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charts/chart1.xml" ContentType="application/vnd.openxmlformats-officedocument.drawingml.chart+xml"/>
  <Override PartName="/xl/drawings/drawing2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1.xml" ContentType="application/vnd.openxmlformats-officedocument.drawing+xml"/>
  <Override PartName="/xl/comments14.xml" ContentType="application/vnd.openxmlformats-officedocument.spreadsheetml.comments+xml"/>
  <Override PartName="/xl/drawings/drawing22.xml" ContentType="application/vnd.openxmlformats-officedocument.drawing+xml"/>
  <Override PartName="/xl/charts/chart3.xml" ContentType="application/vnd.openxmlformats-officedocument.drawingml.chart+xml"/>
  <Override PartName="/xl/drawings/drawing23.xml" ContentType="application/vnd.openxmlformats-officedocument.drawing+xml"/>
  <Override PartName="/xl/charts/chart4.xml" ContentType="application/vnd.openxmlformats-officedocument.drawingml.chart+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docProps/custom.xml" ContentType="application/vnd.openxmlformats-officedocument.custom-properties+xml"/>
  <Override PartName="/customXml/itemProps1.xml" ContentType="application/vnd.openxmlformats-officedocument.customXmlProperties+xml"/>
  <Override PartName="/customXml/itemProps4.xml" ContentType="application/vnd.openxmlformats-officedocument.customXmlProperties+xml"/>
  <Override PartName="/customXml/itemProps2.xml" ContentType="application/vnd.openxmlformats-officedocument.customXmlProperties+xml"/>
  <Override PartName="/customXml/itemProps5.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8aa7da60c294f58"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kash.gupta15\Desktop\"/>
    </mc:Choice>
  </mc:AlternateContent>
  <bookViews>
    <workbookView xWindow="0" yWindow="48" windowWidth="5136" windowHeight="4260" tabRatio="770" firstSheet="2" activeTab="3"/>
  </bookViews>
  <sheets>
    <sheet name="Error Check" sheetId="78" r:id="rId1"/>
    <sheet name="Cover" sheetId="90" r:id="rId2"/>
    <sheet name="START" sheetId="18" r:id="rId3"/>
    <sheet name="DATA GPC" sheetId="91" r:id="rId4"/>
    <sheet name="Conclusion of Value" sheetId="30" r:id="rId5"/>
    <sheet name="Market Cap Reconciliation" sheetId="61" r:id="rId6"/>
    <sheet name="INC STAT Hist Input" sheetId="31" r:id="rId7"/>
    <sheet name="PFI Inputs" sheetId="33" r:id="rId8"/>
    <sheet name="BAL SHEET Hist Input" sheetId="32" r:id="rId9"/>
    <sheet name="NOL Tax Benefit" sheetId="75" r:id="rId10"/>
    <sheet name="WACC and TIC Inputs" sheetId="97" r:id="rId11"/>
    <sheet name="DCF" sheetId="56" r:id="rId12"/>
    <sheet name="WACC" sheetId="20" r:id="rId13"/>
    <sheet name="PFI Inc Stat" sheetId="94" r:id="rId14"/>
    <sheet name="PFI Inc Stat Common Size" sheetId="88" r:id="rId15"/>
    <sheet name="PFI Balance Sheet" sheetId="288" r:id="rId16"/>
    <sheet name="PFI Cash Flow" sheetId="289" r:id="rId17"/>
    <sheet name="TIC" sheetId="19" r:id="rId18"/>
    <sheet name="TIC Multiples" sheetId="80" r:id="rId19"/>
    <sheet name="Growth&amp;Margins" sheetId="81" r:id="rId20"/>
    <sheet name="Equity Multiples" sheetId="83" r:id="rId21"/>
    <sheet name="Guideline Public Company Method" sheetId="39" r:id="rId22"/>
    <sheet name="Guideline Transactions Input" sheetId="283" r:id="rId23"/>
    <sheet name="Guideline Transactions Method" sheetId="85" r:id="rId24"/>
    <sheet name="TOC Print from here&gt;&gt;" sheetId="89" r:id="rId25"/>
    <sheet name="&lt;&lt;to this bookend" sheetId="111" r:id="rId26"/>
    <sheet name="Workpapers-&gt;&gt;" sheetId="77" r:id="rId27"/>
    <sheet name="Tax Amortization Benefit" sheetId="55" r:id="rId28"/>
    <sheet name="Depreciation and Tax Benefit" sheetId="68" r:id="rId29"/>
    <sheet name="Depreciation%Sales" sheetId="82" r:id="rId30"/>
    <sheet name="Working Capital" sheetId="41" r:id="rId31"/>
    <sheet name="GPC WACC" sheetId="38" r:id="rId32"/>
    <sheet name="Segment Information" sheetId="26" r:id="rId33"/>
    <sheet name="GPC Business Descriptions" sheetId="70" r:id="rId34"/>
    <sheet name="Ranking" sheetId="96" r:id="rId35"/>
    <sheet name="EBIT Reconciliation" sheetId="24" r:id="rId36"/>
    <sheet name="Hist Debt Mkt Equity" sheetId="66" r:id="rId37"/>
    <sheet name="DuPont ROA" sheetId="63" r:id="rId38"/>
    <sheet name="DuPont ROE" sheetId="72" r:id="rId39"/>
    <sheet name="Guideline Public Co Estimates" sheetId="71" r:id="rId40"/>
    <sheet name="Other tools-&gt;&gt;" sheetId="47" r:id="rId41"/>
    <sheet name="ValueBridge" sheetId="299" r:id="rId42"/>
    <sheet name="Reference" sheetId="86" r:id="rId43"/>
    <sheet name="BarChart" sheetId="59" r:id="rId44"/>
    <sheet name="PieChart" sheetId="60" r:id="rId45"/>
    <sheet name="User's Guide" sheetId="17" r:id="rId46"/>
    <sheet name="Notes" sheetId="6" state="hidden" r:id="rId47"/>
    <sheet name="_CIQHiddenCacheSheet" sheetId="300" state="hidden" r:id="rId48"/>
    <sheet name="Blank Template" sheetId="87" state="hidden" r:id="rId49"/>
    <sheet name="Settings" sheetId="5" state="hidden" r:id="rId50"/>
    <sheet name="Update notes" sheetId="102" state="hidden" r:id="rId51"/>
  </sheets>
  <externalReferences>
    <externalReference r:id="rId52"/>
    <externalReference r:id="rId53"/>
  </externalReferences>
  <definedNames>
    <definedName name="__FDS_HYPERLINK_TOGGLE_STATE__" hidden="1">"ON"</definedName>
    <definedName name="_xlnm._FilterDatabase" localSheetId="25" hidden="1">'&lt;&lt;to this bookend'!$A$1:$A$160</definedName>
    <definedName name="_xlnm._FilterDatabase" localSheetId="8" hidden="1">'BAL SHEET Hist Input'!$A$1:$A$90</definedName>
    <definedName name="_xlnm._FilterDatabase" localSheetId="48" hidden="1">'Blank Template'!$A$1:$A$37</definedName>
    <definedName name="_xlnm._FilterDatabase" localSheetId="4" hidden="1">'Conclusion of Value'!$A$1:$A$41</definedName>
    <definedName name="_xlnm._FilterDatabase" localSheetId="1" hidden="1">Cover!$A$1:$A$180</definedName>
    <definedName name="_xlnm._FilterDatabase" localSheetId="3" hidden="1">'DATA GPC'!$A$1:$A$1847</definedName>
    <definedName name="_xlnm._FilterDatabase" localSheetId="11" hidden="1">DCF!$A$1:$A$73</definedName>
    <definedName name="_xlnm._FilterDatabase" localSheetId="28" hidden="1">'Depreciation and Tax Benefit'!$A$1:$A$116</definedName>
    <definedName name="_xlnm._FilterDatabase" localSheetId="29" hidden="1">'Depreciation%Sales'!$A$1:$A$99</definedName>
    <definedName name="_xlnm._FilterDatabase" localSheetId="37" hidden="1">'DuPont ROA'!$A$1:$A$99</definedName>
    <definedName name="_xlnm._FilterDatabase" localSheetId="38" hidden="1">'DuPont ROE'!$A$1:$A$77</definedName>
    <definedName name="_xlnm._FilterDatabase" localSheetId="35" hidden="1">'EBIT Reconciliation'!$A$1:$A$146</definedName>
    <definedName name="_xlnm._FilterDatabase" localSheetId="20" hidden="1">'Equity Multiples'!$A$1:$A$106</definedName>
    <definedName name="_xlnm._FilterDatabase" localSheetId="0" hidden="1">'Error Check'!$A$1:$A$84</definedName>
    <definedName name="_xlnm._FilterDatabase" localSheetId="33" hidden="1">'GPC Business Descriptions'!$A$1:$A$497</definedName>
    <definedName name="_xlnm._FilterDatabase" localSheetId="31" hidden="1">'GPC WACC'!$A$1:$A$92</definedName>
    <definedName name="_xlnm._FilterDatabase" localSheetId="19" hidden="1">'Growth&amp;Margins'!$A$1:$A$213</definedName>
    <definedName name="_xlnm._FilterDatabase" localSheetId="39" hidden="1">'Guideline Public Co Estimates'!$A$1:$A$98</definedName>
    <definedName name="_xlnm._FilterDatabase" localSheetId="21" hidden="1">'Guideline Public Company Method'!$A$1:$A$42</definedName>
    <definedName name="_xlnm._FilterDatabase" localSheetId="22" hidden="1">'Guideline Transactions Input'!$A$1:$A$57</definedName>
    <definedName name="_xlnm._FilterDatabase" localSheetId="23" hidden="1">'Guideline Transactions Method'!$A$1:$A$36</definedName>
    <definedName name="_xlnm._FilterDatabase" localSheetId="36" hidden="1">'Hist Debt Mkt Equity'!$A$1:$A$94</definedName>
    <definedName name="_xlnm._FilterDatabase" localSheetId="6" hidden="1">'INC STAT Hist Input'!$A$1:$A$68</definedName>
    <definedName name="_xlnm._FilterDatabase" localSheetId="5" hidden="1">'Market Cap Reconciliation'!$A$1:$A$27</definedName>
    <definedName name="_xlnm._FilterDatabase" localSheetId="9" hidden="1">'NOL Tax Benefit'!$A$1:$A$47</definedName>
    <definedName name="_xlnm._FilterDatabase" localSheetId="15" hidden="1">'PFI Balance Sheet'!$A$1:$A$92</definedName>
    <definedName name="_xlnm._FilterDatabase" localSheetId="16" hidden="1">'PFI Cash Flow'!$A$1:$A$44</definedName>
    <definedName name="_xlnm._FilterDatabase" localSheetId="13" hidden="1">'PFI Inc Stat'!$A$1:$A$53</definedName>
    <definedName name="_xlnm._FilterDatabase" localSheetId="14" hidden="1">'PFI Inc Stat Common Size'!$A$1:$A$49</definedName>
    <definedName name="_xlnm._FilterDatabase" localSheetId="7" hidden="1">'PFI Inputs'!$A$1:$A$328</definedName>
    <definedName name="_xlnm._FilterDatabase" localSheetId="34" hidden="1">Ranking!$A$1:$A$244</definedName>
    <definedName name="_xlnm._FilterDatabase" localSheetId="32" hidden="1">'Segment Information'!$A$1:$A$870</definedName>
    <definedName name="_xlnm._FilterDatabase" localSheetId="49" hidden="1">Settings!$A$1:$A$3725</definedName>
    <definedName name="_xlnm._FilterDatabase" localSheetId="2" hidden="1">START!$A$1:$A$89</definedName>
    <definedName name="_xlnm._FilterDatabase" localSheetId="27" hidden="1">'Tax Amortization Benefit'!$A$1:$A$33</definedName>
    <definedName name="_xlnm._FilterDatabase" localSheetId="17" hidden="1">TIC!$A$1:$A$59</definedName>
    <definedName name="_xlnm._FilterDatabase" localSheetId="18" hidden="1">'TIC Multiples'!$A$1:$A$102</definedName>
    <definedName name="_xlnm._FilterDatabase" localSheetId="24" hidden="1">'TOC Print from here&gt;&gt;'!$A$1:$A$192</definedName>
    <definedName name="_xlnm._FilterDatabase" localSheetId="41" hidden="1">ValueBridge!$A$1:$A$54</definedName>
    <definedName name="_xlnm._FilterDatabase" localSheetId="12" hidden="1">WACC!$A$1:$A$88</definedName>
    <definedName name="_xlnm._FilterDatabase" localSheetId="10" hidden="1">'WACC and TIC Inputs'!$A$1:$A$311</definedName>
    <definedName name="_xlnm._FilterDatabase" localSheetId="30" hidden="1">'Working Capital'!$A$1:$A$246</definedName>
    <definedName name="_xlnm._FilterDatabase" localSheetId="26" hidden="1">'Workpapers-&gt;&gt;'!$A$1:$A$97</definedName>
    <definedName name="AdvanceRange">'DATA GPC'!$K$55:$K$79</definedName>
    <definedName name="AllowChange">Settings!$I$52</definedName>
    <definedName name="AlphabetizedTickers">'DATA GPC'!$AD$20:$AD$44</definedName>
    <definedName name="AlphabetizeGPC">Settings!$I$32</definedName>
    <definedName name="AnalysisInputs">Settings!$S$10:$S$10</definedName>
    <definedName name="AnalystBase">Settings!$M$42</definedName>
    <definedName name="AutoComp">Settings!$I$31</definedName>
    <definedName name="B1Freq">'WACC and TIC Inputs'!$I$127</definedName>
    <definedName name="B1Yrs">'WACC and TIC Inputs'!$H$127</definedName>
    <definedName name="B2Freq">'WACC and TIC Inputs'!$N$127</definedName>
    <definedName name="B2Yrs">'WACC and TIC Inputs'!$M$127</definedName>
    <definedName name="B3Freq">'WACC and TIC Inputs'!$S$127</definedName>
    <definedName name="B3Yrs">'WACC and TIC Inputs'!$R$127</definedName>
    <definedName name="B4Freq">'WACC and TIC Inputs'!$X$127</definedName>
    <definedName name="B4Yrs">'WACC and TIC Inputs'!$W$127</definedName>
    <definedName name="BayesianAdjustSet">'WACC and TIC Inputs'!$J$86</definedName>
    <definedName name="Beta12345">'WACC and TIC Inputs'!$J$89</definedName>
    <definedName name="BetaIndex">Settings!$M$23</definedName>
    <definedName name="BetaIndexList">Settings!$M$21:$M$22</definedName>
    <definedName name="Block_BS">'PFI Inputs'!$C$100:$C$293</definedName>
    <definedName name="Block_IntExpense">'PFI Inputs'!$C$84:$C$89</definedName>
    <definedName name="Block_ISCSOutput">'PFI Inc Stat Common Size'!$C$25:$C$33</definedName>
    <definedName name="Block_ISOutput">'PFI Inc Stat'!$C$25:$C$33</definedName>
    <definedName name="Block_NWCPctRevenue">'PFI Inputs'!$C$296:$C$298</definedName>
    <definedName name="BSBalanceCheck">'PFI Inputs'!$S$327</definedName>
    <definedName name="BSBalanceCopy">'PFI Inputs'!$G$291:$Q$291</definedName>
    <definedName name="BSBalancePaste">'PFI Inputs'!$G$292:$Q$292</definedName>
    <definedName name="BSCIQCol1">'BAL SHEET Hist Input'!$AF$9</definedName>
    <definedName name="BSCol1">'BAL SHEET Hist Input'!$F$9</definedName>
    <definedName name="BSCopyThis">'BAL SHEET Hist Input'!$F$9:$F$55</definedName>
    <definedName name="BSInputs">'PFI Inputs'!$C$25:$Q$286</definedName>
    <definedName name="CapIQIndexName">'DATA GPC'!$AV$5:$AV$8</definedName>
    <definedName name="CapIQIndexType">'DATA GPC'!$AU$5:$AU$8</definedName>
    <definedName name="CAPIQMode">Settings!$M$18</definedName>
    <definedName name="CapIQRunning">'DATA GPC'!$X$4</definedName>
    <definedName name="CapitalIQBeta">'DATA GPC'!$AG$20:$AG$44</definedName>
    <definedName name="CapitalIQDebtEntries">'WACC and TIC Inputs'!$O$197:$O$200</definedName>
    <definedName name="CBoxList">'EBIT Reconciliation'!$AB$6:$AB$7</definedName>
    <definedName name="CBoxSet">'EBIT Reconciliation'!$AD$6</definedName>
    <definedName name="CellHasFormula">GET.CELL(48,INDIRECT("rc",FALSE))</definedName>
    <definedName name="ChartingArea" localSheetId="41">ValueBridge!#REF!,ValueBridge!#REF!</definedName>
    <definedName name="ChartingArea">#REF!,#REF!</definedName>
    <definedName name="CheckReview">Settings!$M$50</definedName>
    <definedName name="CIQDataSetting">Settings!$I$64</definedName>
    <definedName name="CIQLFQLTM">'INC STAT Hist Input'!$AK$9</definedName>
    <definedName name="CIQLookupName">'DATA GPC'!$AJ$19</definedName>
    <definedName name="CIQLookupTicker">'DATA GPC'!$AL$19</definedName>
    <definedName name="CIQOwnerRangeClear">Settings!$I$314:$P$2339</definedName>
    <definedName name="CIQWBGuid" hidden="1">"5af0d8e2-4a75-4584-9479-4d091f716ce2"</definedName>
    <definedName name="ClientName">START!$G$12</definedName>
    <definedName name="CloseQuickly">Settings!$I$43</definedName>
    <definedName name="CoCIQLookup">'DATA GPC'!$AL$19</definedName>
    <definedName name="CoCountry">START!$I$13</definedName>
    <definedName name="ColumnOfRFRate">'WACC and TIC Inputs'!$H$19</definedName>
    <definedName name="ColumnOfTerm">'WACC and TIC Inputs'!$K$19</definedName>
    <definedName name="Competitive_Period">DCF!$M$37</definedName>
    <definedName name="Compslist">'DATA GPC'!$G$20:$G$44</definedName>
    <definedName name="CoNameHeading">START!$C$1</definedName>
    <definedName name="ConstantGrowthNormalizedDFNCF">DCF!$G$36</definedName>
    <definedName name="copy_formula_range">'Guideline Transactions Input'!$H$34:$BF$34</definedName>
    <definedName name="CorporateTaxTable">Reference!$D$85</definedName>
    <definedName name="CountryCode">'DATA GPC'!$AT$5:$AT$113</definedName>
    <definedName name="CountryCurrencyCode">'DATA GPC'!$AX$5:$AX$113</definedName>
    <definedName name="CountryCurrencyName">'DATA GPC'!$AZ$5:$AZ$113</definedName>
    <definedName name="CountryCurrencyNameUnique">'DATA GPC'!$BA$5:$BA$113</definedName>
    <definedName name="CountryCurrencySymbol">'DATA GPC'!$AY$5:$AY$113</definedName>
    <definedName name="CountryCurrencySymbolUnique">'DATA GPC'!$BB$5:$BB$113</definedName>
    <definedName name="CountryIndex">'DATA GPC'!$AV$5:$AV$113</definedName>
    <definedName name="CountryIndexCode">'DATA GPC'!$AW$5:$AW$113</definedName>
    <definedName name="CountryMarket">'DATA GPC'!$AU$5:$AU$113</definedName>
    <definedName name="CountryName">'DATA GPC'!$AS$5:$AS$113</definedName>
    <definedName name="CurrencyForSTART">Settings!$K$61</definedName>
    <definedName name="Dashboard">Settings!$I$47</definedName>
    <definedName name="DataAddress">'DATA GPC'!$AP$1</definedName>
    <definedName name="DataMode">'DATA GPC'!$M$11</definedName>
    <definedName name="DataView_Period">Ranking!$K$6</definedName>
    <definedName name="DataViewDD">Ranking!$I$6</definedName>
    <definedName name="DataViewDDList">Ranking!$U$12:$U$22</definedName>
    <definedName name="DataViewFactor">Ranking!$J$129:$P$129</definedName>
    <definedName name="DataViewItem1">Ranking!$F$10</definedName>
    <definedName name="DataViewItem2">Ranking!$J$10</definedName>
    <definedName name="DataViewItem3">Ranking!$N$10</definedName>
    <definedName name="DataViewItem4">Ranking!$F$41</definedName>
    <definedName name="DataViewItem5">Ranking!$J$41</definedName>
    <definedName name="DataViewItem6">Ranking!$N$41</definedName>
    <definedName name="DataViewItem7">Ranking!$F$72</definedName>
    <definedName name="DataViewItem8">Ranking!$J$72</definedName>
    <definedName name="DataViewItem9">Ranking!$N$72</definedName>
    <definedName name="DataViewItemsDDList">Ranking!$F$110:$F$114</definedName>
    <definedName name="DataViewSettingsTable">Ranking!$F$109</definedName>
    <definedName name="DCFDepr1">DCF!$G$26</definedName>
    <definedName name="DCFDF1">DCF!$G$31</definedName>
    <definedName name="DCFFCF1">DCF!$G$30</definedName>
    <definedName name="dd.DepreciationMethods">'Depreciation and Tax Benefit'!$C$127:$C$131</definedName>
    <definedName name="dd_Cases">OFFSET([1]GenAssm!$X$37,1,0,[1]GenAssm!$X$35,-1)</definedName>
    <definedName name="DebtBetaList">Settings!$P$18:$P$19</definedName>
    <definedName name="DebtList">Settings!$P$14:$P$16</definedName>
    <definedName name="DebtSetNo">START!$E$94</definedName>
    <definedName name="DebtSetting">'WACC and TIC Inputs'!$J$43</definedName>
    <definedName name="DebtSettingBeta">'WACC and TIC Inputs'!$H$86</definedName>
    <definedName name="DebtSettingLabel">'WACC and TIC Inputs'!$H$48</definedName>
    <definedName name="DebtSettingSet">Settings!$I$69</definedName>
    <definedName name="DefaultCodeNamesTop">Settings!$P$36</definedName>
    <definedName name="DefaultOrderList">Settings!$P$37:$P$99</definedName>
    <definedName name="DefaultTabNamesTop">Settings!$S$36</definedName>
    <definedName name="Delete_formula_range">'Guideline Transactions Input'!$D$29:$BF$29</definedName>
    <definedName name="DepreciationTabTopCorner">'Depreciation and Tax Benefit'!$A$1</definedName>
    <definedName name="DETime">'WACC and TIC Inputs'!$F$306:$F$311</definedName>
    <definedName name="DETimeSet">'WACC and TIC Inputs'!$E$306</definedName>
    <definedName name="DMESetting">'WACC and TIC Inputs'!$G$43</definedName>
    <definedName name="DownloadStamp">'DATA GPC'!$F$6</definedName>
    <definedName name="DraftFooter">Settings!$I$15</definedName>
    <definedName name="DraftMode">Settings!$I$14</definedName>
    <definedName name="EBITDA_Bridge" localSheetId="41">ValueBridge!$V$29</definedName>
    <definedName name="EBITDA_Bridge">#REF!</definedName>
    <definedName name="EquityControlPremium">START!$G$60</definedName>
    <definedName name="EquityPremium30Day">'Guideline Transactions Input'!$AL$9</definedName>
    <definedName name="ERR">Settings!$I$135</definedName>
    <definedName name="EVorTIC">Settings!$M$43</definedName>
    <definedName name="EVorTICFull">Settings!$M$44</definedName>
    <definedName name="EVorTIClowercase">Settings!$M$45</definedName>
    <definedName name="ExcludeTop">'TOC Print from here&gt;&gt;'!$C$7</definedName>
    <definedName name="ExhibitFrom">Settings!$I$19</definedName>
    <definedName name="ExhibitLabel">Settings!$I$16</definedName>
    <definedName name="ExhibitPageNumber">Settings!$I$21</definedName>
    <definedName name="ExhibitTo">Settings!$I$20</definedName>
    <definedName name="_xlnm.Extract" localSheetId="49">'DATA GPC'!$BA$5</definedName>
    <definedName name="Fading_Growth_Rate">DCF!$M$38</definedName>
    <definedName name="Fail">Settings!$M$48</definedName>
    <definedName name="FilingModeList">Settings!$H$74:$H$75</definedName>
    <definedName name="FirstStartOfTheDay">Settings!$I$62</definedName>
    <definedName name="FootnoteDRAFT">START!$D$79</definedName>
    <definedName name="FQtr">'INC STAT Hist Input'!$K$9</definedName>
    <definedName name="FXMode">'DATA GPC'!$M$13</definedName>
    <definedName name="FXModeList">Settings!$J$74:$J$75</definedName>
    <definedName name="FYEAfterValuation">START!$G$31</definedName>
    <definedName name="FYEAfterValuationCIQ">START!$H$31</definedName>
    <definedName name="FYear">'INC STAT Hist Input'!$J$9</definedName>
    <definedName name="fySectionName" localSheetId="41">ValueBridge!$C$1</definedName>
    <definedName name="fySheetName" localSheetId="41">ValueBridge!$C$3</definedName>
    <definedName name="fySubsectName" localSheetId="41">ValueBridge!$C$2</definedName>
    <definedName name="GCAutoload">Settings!$R$23</definedName>
    <definedName name="GCDATATopCorner">'DATA GPC'!$A$1</definedName>
    <definedName name="GCID1">'DATA GPC'!$G$20</definedName>
    <definedName name="GCIdentifierTop">'DATA GPC'!$G$19</definedName>
    <definedName name="GCList">'DATA GPC'!$G$20:$G$44</definedName>
    <definedName name="GCNames">'DATA GPC'!$E$20:$E$44</definedName>
    <definedName name="GCNamesBase">'DATA GPC'!#REF!</definedName>
    <definedName name="GCNamesCleaned">'DATA GPC'!$AB$20:$AB$44</definedName>
    <definedName name="GCNamesToSort">'DATA GPC'!$AC$20:$AC$44</definedName>
    <definedName name="GCNamesValued">'DATA GPC'!$AA$20:$AA$44</definedName>
    <definedName name="GCSelectBlock">'DATA GPC'!$D$9</definedName>
    <definedName name="GearingOrLeverage">Settings!$M$46</definedName>
    <definedName name="GraphDropDownSet">'Hist Debt Mkt Equity'!$E$63</definedName>
    <definedName name="Growth_Rate">DCF!$G$39</definedName>
    <definedName name="Header1" localSheetId="41" hidden="1">IF(COUNTA(#REF!)=0,0,INDEX(#REF!,MATCH(ROW(#REF!),#REF!,TRUE)))+1</definedName>
    <definedName name="Header1" hidden="1">IF(COUNTA(#REF!)=0,0,INDEX(#REF!,MATCH(ROW(#REF!),#REF!,TRUE)))+1</definedName>
    <definedName name="Header2" localSheetId="41" hidden="1">ValueBridge!Header1-1 &amp; "." &amp; MAX(1,COUNTA(INDEX(#REF!,MATCH(ValueBridge!Header1-1,#REF!,FALSE)):#REF!))</definedName>
    <definedName name="Header2" hidden="1">[0]!Header1-1 &amp; "." &amp; MAX(1,COUNTA(INDEX(#REF!,MATCH([0]!Header1-1,#REF!,FALSE)):#REF!))</definedName>
    <definedName name="HiddenSheetNames">START!$H$1</definedName>
    <definedName name="HLOOKUPROW">'WACC and TIC Inputs'!$AI$164</definedName>
    <definedName name="IDoNotAgree">Settings!$I$55</definedName>
    <definedName name="InclPensionSetting">Settings!$R$24</definedName>
    <definedName name="IncludeAs11">Settings!$I$26</definedName>
    <definedName name="IndexList">'DATA GPC'!$AV$5:$AV$113</definedName>
    <definedName name="IndexMode">'DATA GPC'!$K$19</definedName>
    <definedName name="India">Settings!$Y$149:$Y$151</definedName>
    <definedName name="InputsBS" localSheetId="15">'PFI Balance Sheet'!$G$12:$L$57</definedName>
    <definedName name="InputsBS" localSheetId="16">'PFI Cash Flow'!$G$13:$L$38</definedName>
    <definedName name="InputsBS">'BAL SHEET Hist Input'!$F$11:$K$55</definedName>
    <definedName name="InputsIS">'INC STAT Hist Input'!$F$10:$L$34</definedName>
    <definedName name="InputsPFI">'PFI Inputs'!$G$27:$Q$305</definedName>
    <definedName name="Inputtype_list">'PFI Inputs'!$C$340:$C$341</definedName>
    <definedName name="Inputtypeinmodel">'PFI Inputs'!$C$344</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localSheetId="43">41805.395787037</definedName>
    <definedName name="IQ_NAMES_REVISION_DATE_" hidden="1">42961.3152083333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QRDATAGPCAJ5" hidden="1">'DATA GPC'!$AJ$6:$AJ$10</definedName>
    <definedName name="IQRDATAGPCAK5" hidden="1">'DATA GPC'!$AK$6:$AK$10</definedName>
    <definedName name="IQRWACCandTICInputsE23" hidden="1">'WACC and TIC Inputs'!$E$24:$E$34</definedName>
    <definedName name="iRibbon">'PFI Inputs'!$C$337</definedName>
    <definedName name="ISCIQCol1">'INC STAT Hist Input'!$AF$9</definedName>
    <definedName name="ISCol1">'INC STAT Hist Input'!$F$9</definedName>
    <definedName name="ISCopyThis">'INC STAT Hist Input'!$F$10:$F$34</definedName>
    <definedName name="LastAnalystBase">Settings!$I$49</definedName>
    <definedName name="LastPrinted">'TOC Print from here&gt;&gt;'!$I$1</definedName>
    <definedName name="LatestPremiaYear">Reference!$J$341</definedName>
    <definedName name="LaunchedFrom" localSheetId="50">'Update notes'!$AA$1</definedName>
    <definedName name="LaunchedFrom">Notes!$AA$1</definedName>
    <definedName name="lblCoInput">'DATA GPC'!$AJ$19</definedName>
    <definedName name="Leverage">Settings!$M$46</definedName>
    <definedName name="LFQLTM">START!$G$33</definedName>
    <definedName name="LFY">START!$G$30</definedName>
    <definedName name="LFYCIQ">START!$H$30</definedName>
    <definedName name="List_NoOfPFIYrs">Settings!$M$51:$M$60</definedName>
    <definedName name="LoadingSequenceBS">'BAL SHEET Hist Input'!$AC$8:$AC$56</definedName>
    <definedName name="LoadingSequenceIS">'INC STAT Hist Input'!$AA$9:$AA$34</definedName>
    <definedName name="LookupCell">'DATA GPC'!$AJ$2</definedName>
    <definedName name="LookUpFormActive">Settings!$I$58</definedName>
    <definedName name="LookupID" localSheetId="49">Settings!$I$57</definedName>
    <definedName name="LookupID">'DATA GPC'!$AK$5</definedName>
    <definedName name="LookupName">'DATA GPC'!$AJ$5</definedName>
    <definedName name="LookUpNAMEID">'DATA GPC'!$AJ$5:$AK$5</definedName>
    <definedName name="LookupSuffix">'DATA GPC'!$AJ$20</definedName>
    <definedName name="LookupTicker">'DATA GPC'!$AL$5</definedName>
    <definedName name="LookupTickers">'DATA GPC'!$AL$6:$AL$11</definedName>
    <definedName name="MacroIsRunning">Settings!$I$65</definedName>
    <definedName name="MasterCheck">'Error Check'!$E$8</definedName>
    <definedName name="MasterFile">Settings!$I$38</definedName>
    <definedName name="MasterState">Settings!$I$37</definedName>
    <definedName name="MatchDataRow">Settings!$I$283</definedName>
    <definedName name="Mediterranean">Settings!$Y$153:$Y$158</definedName>
    <definedName name="MENA">Settings!$Y$160:$Y$177</definedName>
    <definedName name="Mgmt_EV_Base">[2]EV!$J$76</definedName>
    <definedName name="Mgmt_EV_Synergized">[2]EV!$J$45</definedName>
    <definedName name="ModelError">Settings!$I$137</definedName>
    <definedName name="MonthsInStub">START!$G$35</definedName>
    <definedName name="MyCell">Settings!$I$45</definedName>
    <definedName name="MyCountry">Settings!$I$61</definedName>
    <definedName name="MyIndexIDs">Reference!$E$176:$E$315</definedName>
    <definedName name="MyIndexNames">Reference!$G$176:$G$315</definedName>
    <definedName name="MyIndexRow">Reference!$G$173</definedName>
    <definedName name="MyJumpCell">Settings!$I$46</definedName>
    <definedName name="MyJumpSheet">Settings!$I$47</definedName>
    <definedName name="MyPreview">Settings!$I$63</definedName>
    <definedName name="MyRateGroupNames">Reference!$L$176:$L$315</definedName>
    <definedName name="MyRegion">Settings!$I$59</definedName>
    <definedName name="MySheet">Settings!$I$44</definedName>
    <definedName name="MySORTRow">Settings!$I$51</definedName>
    <definedName name="MySubArea">Settings!$I$60</definedName>
    <definedName name="na">Settings!$I$138</definedName>
    <definedName name="NameVersion">Settings!$B$2</definedName>
    <definedName name="Negative">-1</definedName>
    <definedName name="nMarker">'Hist Debt Mkt Equity'!$A$59</definedName>
    <definedName name="NOLBenefitFadingGrowth">'NOL Tax Benefit'!$G$79</definedName>
    <definedName name="NOLBenefitGordonGrowth">'NOL Tax Benefit'!$G$37</definedName>
    <definedName name="NoOfPFIYrs">START!$G$28</definedName>
    <definedName name="Nordics">Settings!$Y$179:$Y$185</definedName>
    <definedName name="NormalizedDepreciation">'Depreciation and Tax Benefit'!$G$80</definedName>
    <definedName name="NoteCount" localSheetId="50">'Update notes'!$B$5</definedName>
    <definedName name="NoteCount">Notes!$B$5</definedName>
    <definedName name="NotesStart" localSheetId="50">'Update notes'!$C$5</definedName>
    <definedName name="NotesStart">Notes!$C$5</definedName>
    <definedName name="OK">Settings!$I$134</definedName>
    <definedName name="Orientation">Settings!$N$11</definedName>
    <definedName name="OutputCurrency">'DATA GPC'!$G$15</definedName>
    <definedName name="OutputCurrencyCode">'DATA GPC'!$H$15</definedName>
    <definedName name="OutputCurrencyLabel">START!$G$16</definedName>
    <definedName name="OutputCurrencySymbol">START!$J$37</definedName>
    <definedName name="PageError">Settings!$I$136</definedName>
    <definedName name="PageHeight">Settings!$I$66</definedName>
    <definedName name="PageWidth">Settings!$I$67</definedName>
    <definedName name="PageWidthPica">Settings!$I$68</definedName>
    <definedName name="PaperSize">Settings!$N$10</definedName>
    <definedName name="Pass">Settings!$M$49</definedName>
    <definedName name="Paste_formula_range">'Guideline Transactions Input'!$H$29:$BF$29</definedName>
    <definedName name="Pension10">'DATA GPC'!$I$222</definedName>
    <definedName name="PensionList">Settings!$P$21:$P$22</definedName>
    <definedName name="PensionSetting">'WACC and TIC Inputs'!$J$44</definedName>
    <definedName name="PeriodList">'Segment Information'!$V$9:$V$14</definedName>
    <definedName name="PFIAnchor">'PFI Inputs'!$F$23</definedName>
    <definedName name="PFICSYear1">'PFI Inc Stat Common Size'!$G$9</definedName>
    <definedName name="PFIFull">'PFI Inputs'!$C$347</definedName>
    <definedName name="PFIInputsDD">'PFI Inputs'!$C$22</definedName>
    <definedName name="PFIYear1" localSheetId="15">'PFI Balance Sheet'!$G$9</definedName>
    <definedName name="PFIYear1" localSheetId="16">'PFI Cash Flow'!$G$9</definedName>
    <definedName name="PFIYear1" localSheetId="14">'PFI Inc Stat Common Size'!$G$9</definedName>
    <definedName name="PFIYear1">'PFI Inc Stat'!$G$9</definedName>
    <definedName name="PInput">'DATA GPC'!$M$11</definedName>
    <definedName name="PlannedLiquityYN">Settings!$J$15</definedName>
    <definedName name="Preview">Settings!$I$30</definedName>
    <definedName name="PreviewBeforePrint">Settings!$I$12</definedName>
    <definedName name="_xlnm.Print_Area" localSheetId="8">'BAL SHEET Hist Input'!$C$1:$U$69</definedName>
    <definedName name="_xlnm.Print_Area" localSheetId="4">'Conclusion of Value'!$C$1:$J$40</definedName>
    <definedName name="_xlnm.Print_Area" localSheetId="1">Cover!$C$1:$Q$45</definedName>
    <definedName name="_xlnm.Print_Area" localSheetId="3">'DATA GPC'!$A$1:$S$1847</definedName>
    <definedName name="_xlnm.Print_Area" localSheetId="11">DCF!$C$1:$S$63</definedName>
    <definedName name="_xlnm.Print_Area" localSheetId="28">'Depreciation and Tax Benefit'!$C$1:$AF$67,'Depreciation and Tax Benefit'!$C$69:$AF$92</definedName>
    <definedName name="_xlnm.Print_Area" localSheetId="29">'Depreciation%Sales'!$C$1:$P$91</definedName>
    <definedName name="_xlnm.Print_Area" localSheetId="37">'DuPont ROA'!$C$1:$N$76</definedName>
    <definedName name="_xlnm.Print_Area" localSheetId="38">'DuPont ROE'!$C$1:$T$76</definedName>
    <definedName name="_xlnm.Print_Area" localSheetId="35">'EBIT Reconciliation'!$C$1:$R$144</definedName>
    <definedName name="_xlnm.Print_Area" localSheetId="20">'Equity Multiples'!$C$1:$T$97</definedName>
    <definedName name="_xlnm.Print_Area" localSheetId="0">'Error Check'!$C$1:$T$51</definedName>
    <definedName name="_xlnm.Print_Area" localSheetId="33">'GPC Business Descriptions'!$C$1:$E$213</definedName>
    <definedName name="_xlnm.Print_Area" localSheetId="31">'GPC WACC'!$C$1:$T$86</definedName>
    <definedName name="_xlnm.Print_Area" localSheetId="19">'Growth&amp;Margins'!$C$1:$AQ$103</definedName>
    <definedName name="_xlnm.Print_Area" localSheetId="39">'Guideline Public Co Estimates'!$C$1:$Y$97</definedName>
    <definedName name="_xlnm.Print_Area" localSheetId="21">'Guideline Public Company Method'!$C$1:$R$36</definedName>
    <definedName name="_xlnm.Print_Area" localSheetId="22">'Guideline Transactions Input'!$C$1:$BG$43</definedName>
    <definedName name="_xlnm.Print_Area" localSheetId="23">'Guideline Transactions Method'!$C$1:$T$30</definedName>
    <definedName name="_xlnm.Print_Area" localSheetId="36">'Hist Debt Mkt Equity'!$C$1:$V$58</definedName>
    <definedName name="_xlnm.Print_Area" localSheetId="6">'INC STAT Hist Input'!$C$1:$U$48</definedName>
    <definedName name="_xlnm.Print_Area" localSheetId="5">'Market Cap Reconciliation'!$C$1:$L$25</definedName>
    <definedName name="_xlnm.Print_Area" localSheetId="9">'NOL Tax Benefit'!$C$1:$V$84</definedName>
    <definedName name="_xlnm.Print_Area" localSheetId="40">'Other tools-&gt;&gt;'!$A$1:$Q$30</definedName>
    <definedName name="_xlnm.Print_Area" localSheetId="15">'PFI Balance Sheet'!$C$1:$T$71</definedName>
    <definedName name="_xlnm.Print_Area" localSheetId="16">'PFI Cash Flow'!$C$1:$V$43</definedName>
    <definedName name="_xlnm.Print_Area" localSheetId="13">'PFI Inc Stat'!$C$1:$T$51</definedName>
    <definedName name="_xlnm.Print_Area" localSheetId="14">'PFI Inc Stat Common Size'!$C$1:$T$47</definedName>
    <definedName name="_xlnm.Print_Area" localSheetId="7">'PFI Inputs'!$C$1:$T$321</definedName>
    <definedName name="_xlnm.Print_Area" localSheetId="34">Ranking!$C$1:$Q$101</definedName>
    <definedName name="_xlnm.Print_Area" localSheetId="32">'Segment Information'!$C$1:$J$859</definedName>
    <definedName name="_xlnm.Print_Area" localSheetId="49">Settings!$C$1:$S$313</definedName>
    <definedName name="_xlnm.Print_Area" localSheetId="2">START!$C$1:$P$63</definedName>
    <definedName name="_xlnm.Print_Area" localSheetId="27">'Tax Amortization Benefit'!$C$1:$V$32</definedName>
    <definedName name="_xlnm.Print_Area" localSheetId="17">TIC!$C$1:$T$42</definedName>
    <definedName name="_xlnm.Print_Area" localSheetId="18">'TIC Multiples'!$C$1:$AQ$98</definedName>
    <definedName name="_xlnm.Print_Area" localSheetId="24">'TOC Print from here&gt;&gt;'!$C$1:$G$35</definedName>
    <definedName name="_xlnm.Print_Area" localSheetId="41">ValueBridge!$C$1:$S$28</definedName>
    <definedName name="_xlnm.Print_Area" localSheetId="12">WACC!$C$1:$S$69</definedName>
    <definedName name="_xlnm.Print_Area" localSheetId="10">'WACC and TIC Inputs'!$A$1:$S$264</definedName>
    <definedName name="_xlnm.Print_Area" localSheetId="30">'Working Capital'!$C$1:$P$200</definedName>
    <definedName name="_xlnm.Print_Area" localSheetId="26">'Workpapers-&gt;&gt;'!$C$1:$L$20</definedName>
    <definedName name="_xlnm.Print_Titles" localSheetId="28">'Depreciation and Tax Benefit'!$C:$E</definedName>
    <definedName name="_xlnm.Print_Titles" localSheetId="7">'PFI Inputs'!$1:$5</definedName>
    <definedName name="_xlnm.Print_Titles" localSheetId="41">ValueBridge!$1:$31</definedName>
    <definedName name="_xlnm.Print_Titles" localSheetId="10">'WACC and TIC Inputs'!$1:$6</definedName>
    <definedName name="PrintCover">Settings!$I$9</definedName>
    <definedName name="PrintDRAFT">Settings!$I$11</definedName>
    <definedName name="PrintDRAFTYN">START!$G$42</definedName>
    <definedName name="PrintTOC">Settings!$I$10</definedName>
    <definedName name="PrnCount">Settings!$I$18</definedName>
    <definedName name="ProxyCoName">'DATA GPC'!$G$12</definedName>
    <definedName name="Public">'INC STAT Hist Input'!$AC$1</definedName>
    <definedName name="PublicPrivateBS">'BAL SHEET Hist Input'!$AE$8</definedName>
    <definedName name="PublicPrivateIS">'INC STAT Hist Input'!$AC$4</definedName>
    <definedName name="PVFactorforTerminalValue">DCF!$G$41</definedName>
    <definedName name="QuickComp">Settings!$I$50</definedName>
    <definedName name="RankingList">'DATA GPC'!$AO$2:$AO$53</definedName>
    <definedName name="RankingListSet">'DATA GPC'!$AO$1</definedName>
    <definedName name="RankingSheetCodeName">'DATA GPC'!$X$3</definedName>
    <definedName name="RedAlertY">'Error Check'!$M$16</definedName>
    <definedName name="ReferenceList">'TOC Print from here&gt;&gt;'!$F$8:$F$41</definedName>
    <definedName name="ReferenceTop">'TOC Print from here&gt;&gt;'!$F$7</definedName>
    <definedName name="RefreshTOCList">Settings!$I$70</definedName>
    <definedName name="RegionFormat">Settings!$M$40</definedName>
    <definedName name="RegionFormatInput">START!$G$40</definedName>
    <definedName name="RegionFormatList">Settings!$M$37:$M$39</definedName>
    <definedName name="ReleaseDate">Settings!$I$36</definedName>
    <definedName name="ReleaseDateNote">Settings!$I$39</definedName>
    <definedName name="ReleverTaxRate">'WACC and TIC Inputs'!$L$86</definedName>
    <definedName name="ReportHeadingList">'TOC Print from here&gt;&gt;'!$D$8:$D$41</definedName>
    <definedName name="ReportHeadingTop">'TOC Print from here&gt;&gt;'!$D$7</definedName>
    <definedName name="ReportType">'DATA GPC'!$M$12</definedName>
    <definedName name="ReportTypeList">Settings!$I$74:$I$78</definedName>
    <definedName name="ReSortTabs">Settings!$I$27</definedName>
    <definedName name="ReturnToRanking">'DATA GPC'!$X$2</definedName>
    <definedName name="RFRate">WACC!$G$42</definedName>
    <definedName name="RFRTerm">'WACC and TIC Inputs'!$J$20</definedName>
    <definedName name="RInput">'DATA GPC'!$M$12</definedName>
    <definedName name="RiskFreeRateCIQAnchor">'WACC and TIC Inputs'!$E$23</definedName>
    <definedName name="RiskPremiaData">Reference!$A$338</definedName>
    <definedName name="RoundingDigit">DCF!$G$67</definedName>
    <definedName name="RowInBSStart">'BAL SHEET Hist Input'!$AC$9</definedName>
    <definedName name="RowInISSTART">'INC STAT Hist Input'!$AA$9</definedName>
    <definedName name="RunDescription">START!$G$13</definedName>
    <definedName name="SAPBEXdnldView">"4HAAR8QG0MUBRU1CZ65J2COYO"</definedName>
    <definedName name="SAPBEXsysID">"PB1"</definedName>
    <definedName name="Scale">'DATA GPC'!$X$1</definedName>
    <definedName name="ScaleInput">START!$G$38</definedName>
    <definedName name="SelectedListNo">'DATA GPC'!$AJ$16</definedName>
    <definedName name="SError1">'WACC and TIC Inputs'!$H$157</definedName>
    <definedName name="SettingsTabNamesTop">Settings!$S$36</definedName>
    <definedName name="SettingTabNamesList">Settings!$S$37:$S$99</definedName>
    <definedName name="SheetNameList">'TOC Print from here&gt;&gt;'!$I$8:$I$41</definedName>
    <definedName name="SheetNameTop">'TOC Print from here&gt;&gt;'!$I$7</definedName>
    <definedName name="ShortCutKeysOn">Settings!$I$53</definedName>
    <definedName name="SingleOrRange" localSheetId="21">'Guideline Public Company Method'!$U$2</definedName>
    <definedName name="SingleOrRange" localSheetId="23">'Guideline Transactions Method'!$W$1</definedName>
    <definedName name="SortCodeNameTop">Settings!$P$36</definedName>
    <definedName name="SortDefaultTabNames">Settings!$Q$37:$Q$84</definedName>
    <definedName name="SortTabNameTop">Settings!$Q$36</definedName>
    <definedName name="SpeakToMe">Settings!$I$80</definedName>
    <definedName name="SpinnerCapex">'Depreciation and Tax Benefit'!$B$14</definedName>
    <definedName name="STARTWACC2">'WACC and TIC Inputs'!$A$41</definedName>
    <definedName name="StubMonths">'INC STAT Hist Input'!$AK$4</definedName>
    <definedName name="StubWt">START!$G$72</definedName>
    <definedName name="StubY">START!$G$34</definedName>
    <definedName name="SubjCoID">START!$G$23</definedName>
    <definedName name="SubjCoIDName">START!$I$23</definedName>
    <definedName name="SubjCoProxy">'DATA GPC'!$G$13</definedName>
    <definedName name="SubjCoProxyProxy">'DATA GPC'!$AJ$21</definedName>
    <definedName name="SubjCurrencyHeading">START!$G$16</definedName>
    <definedName name="SubjMktValue">'WACC and TIC Inputs'!$H$212</definedName>
    <definedName name="SubjOutputCurrency">START!$G$37</definedName>
    <definedName name="SubjOutputCurrencyCode">START!$H$37</definedName>
    <definedName name="TabAmort">'Tax Amortization Benefit'!$G$13</definedName>
    <definedName name="TABCalc">'Tax Amortization Benefit'!$G$25</definedName>
    <definedName name="TABDiff">'Tax Amortization Benefit'!$G$28</definedName>
    <definedName name="TabResortOrder">Settings!$S$37:$S$92</definedName>
    <definedName name="TABSetting">START!$H$52</definedName>
    <definedName name="TABValue">'Tax Amortization Benefit'!$G$27</definedName>
    <definedName name="tbxCoInput">'DATA GPC'!$AL$19</definedName>
    <definedName name="TestModeON">Settings!$I$54</definedName>
    <definedName name="ThisRow">Settings!$I$42</definedName>
    <definedName name="TICControlPremium">START!$G$61</definedName>
    <definedName name="TickersValued">'DATA GPC'!$Z$20:$Z$44</definedName>
    <definedName name="TICList" localSheetId="18">'TIC Multiples'!$AS$99:$AS$99</definedName>
    <definedName name="TICList">TIC!$V$44:$V$45</definedName>
    <definedName name="TICPremium30day">'Guideline Transactions Input'!$AV$9</definedName>
    <definedName name="TICRounded">DCF!$G$56</definedName>
    <definedName name="TICSet">TIC!$V$47</definedName>
    <definedName name="TimeEnd">Settings!$N$15</definedName>
    <definedName name="TimeStart">Settings!$N$14</definedName>
    <definedName name="Tolerance">'Error Check'!$M$13</definedName>
    <definedName name="TradingCountryBeta">'DATA GPC'!$AF$20:$AF$44</definedName>
    <definedName name="UK_and_I">Settings!$Y$187:$Y$193</definedName>
    <definedName name="UnLeverTaxRate">'WACC and TIC Inputs'!$K$86</definedName>
    <definedName name="UseCIQIndex">'DATA GPC'!$AT$3</definedName>
    <definedName name="UseLastSet">Settings!$I$29</definedName>
    <definedName name="Val1Hist2">TIC!$V$48</definedName>
    <definedName name="ValDateHeading">START!$C$4</definedName>
    <definedName name="Valuation_date">START!$I$15</definedName>
    <definedName name="Valuation_Date_GC">'DATA GPC'!$G$16</definedName>
    <definedName name="vba_FCF1">DCF!$G$7:$G$32</definedName>
    <definedName name="vba_FCF2to11">DCF!$H$7:$R$32</definedName>
    <definedName name="ViewCos">Settings!$Q$12</definedName>
    <definedName name="WACC">WACC!$O$51</definedName>
    <definedName name="WACCinDCF">DCF!$D$31</definedName>
    <definedName name="WACCIndexList15">'DATA GPC'!$K$20:$K$44</definedName>
    <definedName name="WACCPremiaTable">'WACC and TIC Inputs'!$A$249</definedName>
    <definedName name="WorkpaperFrom">Settings!$I$22</definedName>
    <definedName name="WorkpaperLabel">Settings!$I$17</definedName>
    <definedName name="WorkpaperPageNumber">Settings!$I$24</definedName>
    <definedName name="WorkpaperTo">Settings!$I$23</definedName>
    <definedName name="WorksheetOrder">Settings!$R$37:$R$102</definedName>
    <definedName name="XList">'WACC and TIC Inputs'!$D$129:$D$153</definedName>
    <definedName name="XXList">'WACC and TIC Inputs'!$D$129:$D$138</definedName>
    <definedName name="YearFracBasis">START!$E$81</definedName>
    <definedName name="YearFracBasisList">START!$E$82:$E$83</definedName>
    <definedName name="YearFracSetting">START!$G$66</definedName>
    <definedName name="YrsInDCF">'PFI Inputs'!$C$350</definedName>
    <definedName name="YSelectcolumn">'WACC and TIC Inputs'!$E$24:$E$38</definedName>
    <definedName name="ZoomAlwaysAt70">Settings!$I$28</definedName>
  </definedNames>
  <calcPr calcId="152510" calcMode="autoNoTable"/>
</workbook>
</file>

<file path=xl/calcChain.xml><?xml version="1.0" encoding="utf-8"?>
<calcChain xmlns="http://schemas.openxmlformats.org/spreadsheetml/2006/main">
  <c r="G39" i="56" l="1"/>
  <c r="D31" i="56"/>
  <c r="U44" i="91"/>
  <c r="U43" i="91"/>
  <c r="U42" i="91"/>
  <c r="U41" i="91"/>
  <c r="U40" i="91"/>
  <c r="U39" i="91"/>
  <c r="U38" i="91"/>
  <c r="U37" i="91"/>
  <c r="U36" i="91"/>
  <c r="U35" i="91"/>
  <c r="U34" i="91"/>
  <c r="U33" i="91"/>
  <c r="U32" i="91"/>
  <c r="U31" i="91"/>
  <c r="U30" i="91"/>
  <c r="U29" i="91"/>
  <c r="U28" i="91"/>
  <c r="U27" i="91"/>
  <c r="U26" i="91"/>
  <c r="U25" i="91"/>
  <c r="U24" i="91"/>
  <c r="U23" i="91"/>
  <c r="U22" i="91"/>
  <c r="U21" i="91"/>
  <c r="U20" i="91"/>
  <c r="J34" i="97"/>
  <c r="I34" i="97"/>
  <c r="J32" i="97"/>
  <c r="F34" i="97"/>
  <c r="I31" i="97"/>
  <c r="F31" i="97"/>
  <c r="F32" i="97"/>
  <c r="I32" i="97"/>
  <c r="I30" i="97"/>
  <c r="F30" i="97"/>
  <c r="J31" i="97"/>
  <c r="J29" i="97"/>
  <c r="J30" i="97"/>
  <c r="J28" i="97"/>
  <c r="I29" i="97"/>
  <c r="F29" i="97"/>
  <c r="J27" i="97"/>
  <c r="F28" i="97"/>
  <c r="I28" i="97"/>
  <c r="F26" i="97"/>
  <c r="I26" i="97"/>
  <c r="I27" i="97"/>
  <c r="F27" i="97"/>
  <c r="J25" i="97"/>
  <c r="F25" i="97"/>
  <c r="J26" i="97"/>
  <c r="J24" i="97"/>
  <c r="I25" i="97"/>
  <c r="L29" i="97"/>
  <c r="L34" i="97"/>
  <c r="F24" i="97"/>
  <c r="I24" i="97"/>
  <c r="L25" i="97"/>
  <c r="L30" i="97"/>
  <c r="L28" i="97"/>
  <c r="L32" i="97"/>
  <c r="L26" i="97"/>
  <c r="L31" i="97"/>
  <c r="L24" i="97"/>
  <c r="L27" i="97"/>
  <c r="AL6" i="91"/>
  <c r="AL9" i="91"/>
  <c r="AL10" i="91"/>
  <c r="AL8" i="91"/>
  <c r="AL7" i="91"/>
  <c r="E25" i="97"/>
  <c r="E29" i="97"/>
  <c r="E33" i="97"/>
  <c r="E26" i="97"/>
  <c r="E30" i="97"/>
  <c r="E27" i="97"/>
  <c r="E31" i="97"/>
  <c r="E24" i="97"/>
  <c r="E28" i="97"/>
  <c r="E32" i="97"/>
  <c r="E34" i="97"/>
  <c r="AJ5" i="91"/>
  <c r="AE672" i="91"/>
  <c r="AE676" i="91"/>
  <c r="AA667" i="91"/>
  <c r="AC680" i="91"/>
  <c r="AC666" i="91"/>
  <c r="AB680" i="91"/>
  <c r="AE670" i="91"/>
  <c r="AD676" i="91"/>
  <c r="AB670" i="91"/>
  <c r="AE661" i="91"/>
  <c r="AE675" i="91"/>
  <c r="AA679" i="91"/>
  <c r="AC659" i="91"/>
  <c r="AC674" i="91"/>
  <c r="AC669" i="91"/>
  <c r="AB665" i="91"/>
  <c r="AB660" i="91"/>
  <c r="AD660" i="91"/>
  <c r="AE671" i="91"/>
  <c r="AD666" i="91"/>
  <c r="AB678" i="91"/>
  <c r="AA680" i="91"/>
  <c r="AC679" i="91"/>
  <c r="AE669" i="91"/>
  <c r="AA664" i="91"/>
  <c r="AC664" i="91"/>
  <c r="AC678" i="91"/>
  <c r="AB671" i="91"/>
  <c r="AB681" i="91"/>
  <c r="AC677" i="91"/>
  <c r="AB679" i="91"/>
  <c r="AE648" i="91"/>
  <c r="AE634" i="91"/>
  <c r="AC637" i="91"/>
  <c r="AE646" i="91"/>
  <c r="AC645" i="91"/>
  <c r="AB628" i="91"/>
  <c r="AC646" i="91"/>
  <c r="AD650" i="91"/>
  <c r="AB651" i="91"/>
  <c r="AA645" i="91"/>
  <c r="AB633" i="91"/>
  <c r="AC652" i="91"/>
  <c r="AD630" i="91"/>
  <c r="AC641" i="91"/>
  <c r="AC631" i="91"/>
  <c r="AA638" i="91"/>
  <c r="AA639" i="91"/>
  <c r="AE636" i="91"/>
  <c r="AE651" i="91"/>
  <c r="AE638" i="91"/>
  <c r="AB629" i="91"/>
  <c r="AC643" i="91"/>
  <c r="AE647" i="91"/>
  <c r="AC635" i="91"/>
  <c r="AA628" i="91"/>
  <c r="AA647" i="91"/>
  <c r="AB631" i="91"/>
  <c r="AD652" i="91"/>
  <c r="AB643" i="91"/>
  <c r="AA648" i="91"/>
  <c r="AB630" i="91"/>
  <c r="AE632" i="91"/>
  <c r="AC610" i="91"/>
  <c r="AB619" i="91"/>
  <c r="AC619" i="91"/>
  <c r="AD614" i="91"/>
  <c r="AE605" i="91"/>
  <c r="AB613" i="91"/>
  <c r="AB611" i="91"/>
  <c r="AB606" i="91"/>
  <c r="AE617" i="91"/>
  <c r="AB618" i="91"/>
  <c r="AC621" i="91"/>
  <c r="AD605" i="91"/>
  <c r="AE619" i="91"/>
  <c r="AA606" i="91"/>
  <c r="AC614" i="91"/>
  <c r="AC611" i="91"/>
  <c r="AB620" i="91"/>
  <c r="AE615" i="91"/>
  <c r="AC613" i="91"/>
  <c r="AA620" i="91"/>
  <c r="AB621" i="91"/>
  <c r="AB604" i="91"/>
  <c r="AC604" i="91"/>
  <c r="AD603" i="91"/>
  <c r="AD602" i="91"/>
  <c r="AD601" i="91"/>
  <c r="AE600" i="91"/>
  <c r="AB600" i="91"/>
  <c r="AD599" i="91"/>
  <c r="AB598" i="91"/>
  <c r="AA597" i="91"/>
  <c r="AB575" i="91"/>
  <c r="AD572" i="91"/>
  <c r="AB567" i="91"/>
  <c r="AD567" i="91"/>
  <c r="AB590" i="91"/>
  <c r="AC569" i="91"/>
  <c r="AA585" i="91"/>
  <c r="AD590" i="91"/>
  <c r="AB569" i="91"/>
  <c r="AE583" i="91"/>
  <c r="AB570" i="91"/>
  <c r="AC571" i="91"/>
  <c r="AA570" i="91"/>
  <c r="AC578" i="91"/>
  <c r="AC572" i="91"/>
  <c r="AA582" i="91"/>
  <c r="AA588" i="91"/>
  <c r="AD587" i="91"/>
  <c r="AA590" i="91"/>
  <c r="AD576" i="91"/>
  <c r="AA579" i="91"/>
  <c r="AB588" i="91"/>
  <c r="AB586" i="91"/>
  <c r="AB583" i="91"/>
  <c r="AA578" i="91"/>
  <c r="AC566" i="91"/>
  <c r="AB572" i="91"/>
  <c r="AC580" i="91"/>
  <c r="AC576" i="91"/>
  <c r="AA571" i="91"/>
  <c r="AD678" i="91"/>
  <c r="AA682" i="91"/>
  <c r="AC676" i="91"/>
  <c r="AC663" i="91"/>
  <c r="AB672" i="91"/>
  <c r="AD670" i="91"/>
  <c r="AE678" i="91"/>
  <c r="AC682" i="91"/>
  <c r="AD669" i="91"/>
  <c r="AE673" i="91"/>
  <c r="AD681" i="91"/>
  <c r="AA671" i="91"/>
  <c r="AE663" i="91"/>
  <c r="AD682" i="91"/>
  <c r="AB675" i="91"/>
  <c r="AC671" i="91"/>
  <c r="AD665" i="91"/>
  <c r="AD677" i="91"/>
  <c r="AD663" i="91"/>
  <c r="AC662" i="91"/>
  <c r="AB662" i="91"/>
  <c r="AE662" i="91"/>
  <c r="AA668" i="91"/>
  <c r="AC668" i="91"/>
  <c r="AA675" i="91"/>
  <c r="AE668" i="91"/>
  <c r="AA666" i="91"/>
  <c r="AA660" i="91"/>
  <c r="AC660" i="91"/>
  <c r="AB683" i="91"/>
  <c r="AC661" i="91"/>
  <c r="AE643" i="91"/>
  <c r="AC648" i="91"/>
  <c r="AC642" i="91"/>
  <c r="AE644" i="91"/>
  <c r="AE629" i="91"/>
  <c r="AD632" i="91"/>
  <c r="AB634" i="91"/>
  <c r="AE630" i="91"/>
  <c r="AB639" i="91"/>
  <c r="AA650" i="91"/>
  <c r="AD637" i="91"/>
  <c r="AA636" i="91"/>
  <c r="AB640" i="91"/>
  <c r="AB647" i="91"/>
  <c r="AE635" i="91"/>
  <c r="AB646" i="91"/>
  <c r="AE645" i="91"/>
  <c r="AE642" i="91"/>
  <c r="AE639" i="91"/>
  <c r="AD644" i="91"/>
  <c r="AD649" i="91"/>
  <c r="AD629" i="91"/>
  <c r="AC630" i="91"/>
  <c r="AE637" i="91"/>
  <c r="AD635" i="91"/>
  <c r="AD634" i="91"/>
  <c r="AA630" i="91"/>
  <c r="AD638" i="91"/>
  <c r="AB635" i="91"/>
  <c r="AC639" i="91"/>
  <c r="AA618" i="91"/>
  <c r="AC608" i="91"/>
  <c r="AD608" i="91"/>
  <c r="AE611" i="91"/>
  <c r="AE616" i="91"/>
  <c r="AC607" i="91"/>
  <c r="AC609" i="91"/>
  <c r="AB608" i="91"/>
  <c r="AC615" i="91"/>
  <c r="AE612" i="91"/>
  <c r="AD611" i="91"/>
  <c r="AD609" i="91"/>
  <c r="AB605" i="91"/>
  <c r="AE608" i="91"/>
  <c r="AB609" i="91"/>
  <c r="AD606" i="91"/>
  <c r="AB617" i="91"/>
  <c r="AC616" i="91"/>
  <c r="AD621" i="91"/>
  <c r="AE614" i="91"/>
  <c r="AA614" i="91"/>
  <c r="AA617" i="91"/>
  <c r="AE604" i="91"/>
  <c r="AB603" i="91"/>
  <c r="AA603" i="91"/>
  <c r="AB602" i="91"/>
  <c r="AB601" i="91"/>
  <c r="AC600" i="91"/>
  <c r="AC599" i="91"/>
  <c r="AA599" i="91"/>
  <c r="AA598" i="91"/>
  <c r="AD597" i="91"/>
  <c r="AE589" i="91"/>
  <c r="AB580" i="91"/>
  <c r="AC573" i="91"/>
  <c r="AA574" i="91"/>
  <c r="AA586" i="91"/>
  <c r="AA583" i="91"/>
  <c r="AE573" i="91"/>
  <c r="AE590" i="91"/>
  <c r="AE566" i="91"/>
  <c r="AC590" i="91"/>
  <c r="AD573" i="91"/>
  <c r="AE586" i="91"/>
  <c r="AD574" i="91"/>
  <c r="AE575" i="91"/>
  <c r="AD577" i="91"/>
  <c r="AE580" i="91"/>
  <c r="AD582" i="91"/>
  <c r="AB574" i="91"/>
  <c r="AA572" i="91"/>
  <c r="AB576" i="91"/>
  <c r="AC574" i="91"/>
  <c r="AC582" i="91"/>
  <c r="AA587" i="91"/>
  <c r="AA569" i="91"/>
  <c r="AE568" i="91"/>
  <c r="AC579" i="91"/>
  <c r="AA567" i="91"/>
  <c r="AE570" i="91"/>
  <c r="AB582" i="91"/>
  <c r="AB571" i="91"/>
  <c r="AK5" i="91"/>
  <c r="AB666" i="91"/>
  <c r="AB659" i="91"/>
  <c r="AE659" i="91"/>
  <c r="AE680" i="91"/>
  <c r="AE677" i="91"/>
  <c r="AA669" i="91"/>
  <c r="AD662" i="91"/>
  <c r="AA681" i="91"/>
  <c r="AB673" i="91"/>
  <c r="AE674" i="91"/>
  <c r="AD659" i="91"/>
  <c r="AD675" i="91"/>
  <c r="AE681" i="91"/>
  <c r="AA677" i="91"/>
  <c r="AE664" i="91"/>
  <c r="AE665" i="91"/>
  <c r="AE650" i="91"/>
  <c r="AD651" i="91"/>
  <c r="AD641" i="91"/>
  <c r="AA644" i="91"/>
  <c r="AA633" i="91"/>
  <c r="AA643" i="91"/>
  <c r="AC644" i="91"/>
  <c r="AE640" i="91"/>
  <c r="AE649" i="91"/>
  <c r="AE652" i="91"/>
  <c r="AD628" i="91"/>
  <c r="AD642" i="91"/>
  <c r="AA646" i="91"/>
  <c r="AC649" i="91"/>
  <c r="AE641" i="91"/>
  <c r="AB645" i="91"/>
  <c r="AC618" i="91"/>
  <c r="AD610" i="91"/>
  <c r="AB615" i="91"/>
  <c r="AE609" i="91"/>
  <c r="AC617" i="91"/>
  <c r="AA611" i="91"/>
  <c r="AA615" i="91"/>
  <c r="AB614" i="91"/>
  <c r="AC612" i="91"/>
  <c r="AD617" i="91"/>
  <c r="AA604" i="91"/>
  <c r="AE602" i="91"/>
  <c r="AE601" i="91"/>
  <c r="AE599" i="91"/>
  <c r="AD598" i="91"/>
  <c r="AD571" i="91"/>
  <c r="AE577" i="91"/>
  <c r="AD568" i="91"/>
  <c r="AB577" i="91"/>
  <c r="AC583" i="91"/>
  <c r="AA566" i="91"/>
  <c r="AC581" i="91"/>
  <c r="AE585" i="91"/>
  <c r="AA568" i="91"/>
  <c r="AD570" i="91"/>
  <c r="AB581" i="91"/>
  <c r="AE576" i="91"/>
  <c r="AD569" i="91"/>
  <c r="AE571" i="91"/>
  <c r="AB589" i="91"/>
  <c r="AE579" i="91"/>
  <c r="AE574" i="91"/>
  <c r="O196" i="97"/>
  <c r="E23" i="97"/>
  <c r="AC670" i="91"/>
  <c r="AA676" i="91"/>
  <c r="AA674" i="91"/>
  <c r="AB677" i="91"/>
  <c r="AB667" i="91"/>
  <c r="AA673" i="91"/>
  <c r="AC665" i="91"/>
  <c r="AA634" i="91"/>
  <c r="AA642" i="91"/>
  <c r="AC638" i="91"/>
  <c r="AD645" i="91"/>
  <c r="AB652" i="91"/>
  <c r="AA629" i="91"/>
  <c r="AD620" i="91"/>
  <c r="AA612" i="91"/>
  <c r="AE613" i="91"/>
  <c r="AB610" i="91"/>
  <c r="AE603" i="91"/>
  <c r="AA600" i="91"/>
  <c r="AE597" i="91"/>
  <c r="AD579" i="91"/>
  <c r="AE582" i="91"/>
  <c r="AB578" i="91"/>
  <c r="AA584" i="91"/>
  <c r="AC567" i="91"/>
  <c r="AB585" i="91"/>
  <c r="AD575" i="91"/>
  <c r="AC587" i="91"/>
  <c r="AA678" i="91"/>
  <c r="AA670" i="91"/>
  <c r="AA672" i="91"/>
  <c r="AC667" i="91"/>
  <c r="AD683" i="91"/>
  <c r="AD668" i="91"/>
  <c r="AE666" i="91"/>
  <c r="AD664" i="91"/>
  <c r="AC681" i="91"/>
  <c r="AD680" i="91"/>
  <c r="AB674" i="91"/>
  <c r="AE683" i="91"/>
  <c r="AB669" i="91"/>
  <c r="AA665" i="91"/>
  <c r="AD671" i="91"/>
  <c r="AE660" i="91"/>
  <c r="AA637" i="91"/>
  <c r="AD639" i="91"/>
  <c r="AD640" i="91"/>
  <c r="AD631" i="91"/>
  <c r="AC632" i="91"/>
  <c r="AC650" i="91"/>
  <c r="AB648" i="91"/>
  <c r="AA651" i="91"/>
  <c r="AB632" i="91"/>
  <c r="AC640" i="91"/>
  <c r="AA641" i="91"/>
  <c r="AD646" i="91"/>
  <c r="AA652" i="91"/>
  <c r="AB636" i="91"/>
  <c r="AD647" i="91"/>
  <c r="AC629" i="91"/>
  <c r="AE621" i="91"/>
  <c r="AB612" i="91"/>
  <c r="AA616" i="91"/>
  <c r="AA621" i="91"/>
  <c r="AD615" i="91"/>
  <c r="AE607" i="91"/>
  <c r="AA613" i="91"/>
  <c r="AB616" i="91"/>
  <c r="AA607" i="91"/>
  <c r="AD613" i="91"/>
  <c r="AC620" i="91"/>
  <c r="AD604" i="91"/>
  <c r="AA602" i="91"/>
  <c r="AA601" i="91"/>
  <c r="AB599" i="91"/>
  <c r="AB597" i="91"/>
  <c r="AB568" i="91"/>
  <c r="AE572" i="91"/>
  <c r="AD580" i="91"/>
  <c r="AB579" i="91"/>
  <c r="AC586" i="91"/>
  <c r="AA577" i="91"/>
  <c r="AB587" i="91"/>
  <c r="AC568" i="91"/>
  <c r="AC588" i="91"/>
  <c r="AE581" i="91"/>
  <c r="AC584" i="91"/>
  <c r="AD586" i="91"/>
  <c r="AC577" i="91"/>
  <c r="AA575" i="91"/>
  <c r="AD585" i="91"/>
  <c r="AD581" i="91"/>
  <c r="AE667" i="91"/>
  <c r="AB682" i="91"/>
  <c r="AD679" i="91"/>
  <c r="AD667" i="91"/>
  <c r="AC683" i="91"/>
  <c r="AD661" i="91"/>
  <c r="AA663" i="91"/>
  <c r="AA661" i="91"/>
  <c r="AB650" i="91"/>
  <c r="AD648" i="91"/>
  <c r="AC647" i="91"/>
  <c r="AB638" i="91"/>
  <c r="AD636" i="91"/>
  <c r="AA632" i="91"/>
  <c r="AE628" i="91"/>
  <c r="AC634" i="91"/>
  <c r="AE631" i="91"/>
  <c r="AA609" i="91"/>
  <c r="AA605" i="91"/>
  <c r="AE610" i="91"/>
  <c r="AC606" i="91"/>
  <c r="AE606" i="91"/>
  <c r="AD619" i="91"/>
  <c r="AC602" i="91"/>
  <c r="AE598" i="91"/>
  <c r="AD589" i="91"/>
  <c r="AD584" i="91"/>
  <c r="AC575" i="91"/>
  <c r="AA580" i="91"/>
  <c r="AB573" i="91"/>
  <c r="AA573" i="91"/>
  <c r="AA581" i="91"/>
  <c r="AE584" i="91"/>
  <c r="AD674" i="91"/>
  <c r="AB664" i="91"/>
  <c r="AC672" i="91"/>
  <c r="AC675" i="91"/>
  <c r="AB649" i="91"/>
  <c r="AC636" i="91"/>
  <c r="AB642" i="91"/>
  <c r="AD612" i="91"/>
  <c r="AD616" i="91"/>
  <c r="AD618" i="91"/>
  <c r="AD600" i="91"/>
  <c r="AC585" i="91"/>
  <c r="AD588" i="91"/>
  <c r="AB566" i="91"/>
  <c r="AE587" i="91"/>
  <c r="BD98" i="91"/>
  <c r="AE682" i="91"/>
  <c r="AE679" i="91"/>
  <c r="AE633" i="91"/>
  <c r="AD643" i="91"/>
  <c r="AC651" i="91"/>
  <c r="AA608" i="91"/>
  <c r="AC597" i="91"/>
  <c r="AE578" i="91"/>
  <c r="AC570" i="91"/>
  <c r="AB676" i="91"/>
  <c r="AB661" i="91"/>
  <c r="AA640" i="91"/>
  <c r="AD633" i="91"/>
  <c r="AC633" i="91"/>
  <c r="AC605" i="91"/>
  <c r="AC601" i="91"/>
  <c r="AE569" i="91"/>
  <c r="AA576" i="91"/>
  <c r="AA659" i="91"/>
  <c r="AA662" i="91"/>
  <c r="AD673" i="91"/>
  <c r="AC673" i="91"/>
  <c r="AA635" i="91"/>
  <c r="AB637" i="91"/>
  <c r="AA631" i="91"/>
  <c r="AC628" i="91"/>
  <c r="AE618" i="91"/>
  <c r="AB607" i="91"/>
  <c r="AA619" i="91"/>
  <c r="AC598" i="91"/>
  <c r="AE588" i="91"/>
  <c r="AA589" i="91"/>
  <c r="AD566" i="91"/>
  <c r="AC589" i="91"/>
  <c r="AB663" i="91"/>
  <c r="AA683" i="91"/>
  <c r="AA649" i="91"/>
  <c r="AB641" i="91"/>
  <c r="AA610" i="91"/>
  <c r="AC603" i="91"/>
  <c r="AB584" i="91"/>
  <c r="AE567" i="91"/>
  <c r="AB668" i="91"/>
  <c r="AD672" i="91"/>
  <c r="AB644" i="91"/>
  <c r="AE620" i="91"/>
  <c r="AD607" i="91"/>
  <c r="AD583" i="91"/>
  <c r="AD578" i="91"/>
  <c r="KU109" i="91"/>
  <c r="KV109" i="91"/>
  <c r="AT115" i="91"/>
  <c r="AV115" i="91"/>
  <c r="KO109" i="91"/>
  <c r="KP109" i="91"/>
  <c r="KQ109" i="91"/>
  <c r="KR109" i="91"/>
  <c r="KS109" i="91"/>
  <c r="KT109" i="91"/>
  <c r="KI109" i="91"/>
  <c r="KJ109" i="91"/>
  <c r="KK109" i="91"/>
  <c r="KL109" i="91"/>
  <c r="KM109" i="91"/>
  <c r="KN109" i="91"/>
  <c r="KC109" i="91"/>
  <c r="KD109" i="91"/>
  <c r="KE109" i="91"/>
  <c r="KF109" i="91"/>
  <c r="KG109" i="91"/>
  <c r="KH109" i="91"/>
  <c r="JW109" i="91"/>
  <c r="JX109" i="91"/>
  <c r="JY109" i="91"/>
  <c r="JZ109" i="91"/>
  <c r="KA109" i="91"/>
  <c r="KB109" i="91"/>
  <c r="JQ109" i="91"/>
  <c r="JR109" i="91"/>
  <c r="JS109" i="91"/>
  <c r="JT109" i="91"/>
  <c r="JU109" i="91"/>
  <c r="JV109" i="91"/>
  <c r="JK109" i="91"/>
  <c r="JL109" i="91"/>
  <c r="JM109" i="91"/>
  <c r="JN109" i="91"/>
  <c r="JO109" i="91"/>
  <c r="JP109" i="91"/>
  <c r="JE109" i="91"/>
  <c r="JF109" i="91"/>
  <c r="JG109" i="91"/>
  <c r="JH109" i="91"/>
  <c r="JI109" i="91"/>
  <c r="JJ109" i="91"/>
  <c r="IY109" i="91"/>
  <c r="IZ109" i="91"/>
  <c r="JA109" i="91"/>
  <c r="JB109" i="91"/>
  <c r="JC109" i="91"/>
  <c r="JD109" i="91"/>
  <c r="IS109" i="91"/>
  <c r="IT109" i="91"/>
  <c r="IU109" i="91"/>
  <c r="IV109" i="91"/>
  <c r="IW109" i="91"/>
  <c r="IX109" i="91"/>
  <c r="IM109" i="91"/>
  <c r="IN109" i="91"/>
  <c r="IO109" i="91"/>
  <c r="IP109" i="91"/>
  <c r="IQ109" i="91"/>
  <c r="IR109" i="91"/>
  <c r="IG109" i="91"/>
  <c r="IH109" i="91"/>
  <c r="II109" i="91"/>
  <c r="IJ109" i="91"/>
  <c r="IK109" i="91"/>
  <c r="IL109" i="91"/>
  <c r="IA109" i="91"/>
  <c r="IB109" i="91"/>
  <c r="IC109" i="91"/>
  <c r="ID109" i="91"/>
  <c r="IE109" i="91"/>
  <c r="IF109" i="91"/>
  <c r="HU109" i="91"/>
  <c r="HV109" i="91"/>
  <c r="HW109" i="91"/>
  <c r="HX109" i="91"/>
  <c r="HY109" i="91"/>
  <c r="HZ109" i="91"/>
  <c r="HO109" i="91"/>
  <c r="HP109" i="91"/>
  <c r="HQ109" i="91"/>
  <c r="HR109" i="91"/>
  <c r="HS109" i="91"/>
  <c r="HT109" i="91"/>
  <c r="HI109" i="91"/>
  <c r="HJ109" i="91"/>
  <c r="HK109" i="91"/>
  <c r="HL109" i="91"/>
  <c r="HM109" i="91"/>
  <c r="HN109" i="91"/>
  <c r="HC109" i="91"/>
  <c r="HD109" i="91"/>
  <c r="HE109" i="91"/>
  <c r="HF109" i="91"/>
  <c r="HG109" i="91"/>
  <c r="HH109" i="91"/>
  <c r="GW109" i="91"/>
  <c r="GX109" i="91"/>
  <c r="GY109" i="91"/>
  <c r="GZ109" i="91"/>
  <c r="HA109" i="91"/>
  <c r="HB109" i="91"/>
  <c r="GQ109" i="91"/>
  <c r="GR109" i="91"/>
  <c r="GS109" i="91"/>
  <c r="GT109" i="91"/>
  <c r="GU109" i="91"/>
  <c r="GV109" i="91"/>
  <c r="GK109" i="91"/>
  <c r="GL109" i="91"/>
  <c r="GM109" i="91"/>
  <c r="GN109" i="91"/>
  <c r="GO109" i="91"/>
  <c r="GP109" i="91"/>
  <c r="KQ108" i="91"/>
  <c r="KR108" i="91"/>
  <c r="KS108" i="91"/>
  <c r="KT108" i="91"/>
  <c r="KU108" i="91"/>
  <c r="KV108" i="91"/>
  <c r="KK108" i="91"/>
  <c r="KL108" i="91"/>
  <c r="KM108" i="91"/>
  <c r="KN108" i="91"/>
  <c r="KO108" i="91"/>
  <c r="KP108" i="91"/>
  <c r="KE108" i="91"/>
  <c r="KF108" i="91"/>
  <c r="KG108" i="91"/>
  <c r="KH108" i="91"/>
  <c r="KI108" i="91"/>
  <c r="KJ108" i="91"/>
  <c r="JY108" i="91"/>
  <c r="JZ108" i="91"/>
  <c r="KA108" i="91"/>
  <c r="KB108" i="91"/>
  <c r="KC108" i="91"/>
  <c r="KD108" i="91"/>
  <c r="JS108" i="91"/>
  <c r="JT108" i="91"/>
  <c r="JU108" i="91"/>
  <c r="JV108" i="91"/>
  <c r="JW108" i="91"/>
  <c r="JX108" i="91"/>
  <c r="JM108" i="91"/>
  <c r="JN108" i="91"/>
  <c r="JO108" i="91"/>
  <c r="JP108" i="91"/>
  <c r="JQ108" i="91"/>
  <c r="JR108" i="91"/>
  <c r="JG108" i="91"/>
  <c r="JH108" i="91"/>
  <c r="JI108" i="91"/>
  <c r="JJ108" i="91"/>
  <c r="JK108" i="91"/>
  <c r="JL108" i="91"/>
  <c r="JA108" i="91"/>
  <c r="JB108" i="91"/>
  <c r="JC108" i="91"/>
  <c r="JD108" i="91"/>
  <c r="JE108" i="91"/>
  <c r="JF108" i="91"/>
  <c r="IU108" i="91"/>
  <c r="IV108" i="91"/>
  <c r="IW108" i="91"/>
  <c r="IX108" i="91"/>
  <c r="IY108" i="91"/>
  <c r="IZ108" i="91"/>
  <c r="IO108" i="91"/>
  <c r="IP108" i="91"/>
  <c r="IQ108" i="91"/>
  <c r="IR108" i="91"/>
  <c r="IS108" i="91"/>
  <c r="IT108" i="91"/>
  <c r="II108" i="91"/>
  <c r="IJ108" i="91"/>
  <c r="IK108" i="91"/>
  <c r="IL108" i="91"/>
  <c r="IM108" i="91"/>
  <c r="IN108" i="91"/>
  <c r="IC108" i="91"/>
  <c r="ID108" i="91"/>
  <c r="IE108" i="91"/>
  <c r="IF108" i="91"/>
  <c r="IG108" i="91"/>
  <c r="IH108" i="91"/>
  <c r="HW108" i="91"/>
  <c r="HX108" i="91"/>
  <c r="HY108" i="91"/>
  <c r="HZ108" i="91"/>
  <c r="IA108" i="91"/>
  <c r="IB108" i="91"/>
  <c r="HQ108" i="91"/>
  <c r="HR108" i="91"/>
  <c r="HS108" i="91"/>
  <c r="HT108" i="91"/>
  <c r="HU108" i="91"/>
  <c r="HV108" i="91"/>
  <c r="HK108" i="91"/>
  <c r="HL108" i="91"/>
  <c r="HM108" i="91"/>
  <c r="HN108" i="91"/>
  <c r="HO108" i="91"/>
  <c r="HP108" i="91"/>
  <c r="HE108" i="91"/>
  <c r="HF108" i="91"/>
  <c r="HG108" i="91"/>
  <c r="HH108" i="91"/>
  <c r="HI108" i="91"/>
  <c r="HJ108" i="91"/>
  <c r="GY108" i="91"/>
  <c r="GZ108" i="91"/>
  <c r="HA108" i="91"/>
  <c r="HB108" i="91"/>
  <c r="HC108" i="91"/>
  <c r="HD108" i="91"/>
  <c r="GS108" i="91"/>
  <c r="GT108" i="91"/>
  <c r="GU108" i="91"/>
  <c r="GV108" i="91"/>
  <c r="GW108" i="91"/>
  <c r="GX108" i="91"/>
  <c r="GM108" i="91"/>
  <c r="GN108" i="91"/>
  <c r="GO108" i="91"/>
  <c r="GP108" i="91"/>
  <c r="GQ108" i="91"/>
  <c r="GR108" i="91"/>
  <c r="KS107" i="91"/>
  <c r="KT107" i="91"/>
  <c r="KU107" i="91"/>
  <c r="KV107" i="91"/>
  <c r="GK108" i="91"/>
  <c r="GL108" i="91"/>
  <c r="KM107" i="91"/>
  <c r="KN107" i="91"/>
  <c r="KO107" i="91"/>
  <c r="KP107" i="91"/>
  <c r="KQ107" i="91"/>
  <c r="KR107" i="91"/>
  <c r="KG107" i="91"/>
  <c r="KH107" i="91"/>
  <c r="KI107" i="91"/>
  <c r="KJ107" i="91"/>
  <c r="KK107" i="91"/>
  <c r="KL107" i="91"/>
  <c r="KA107" i="91"/>
  <c r="KB107" i="91"/>
  <c r="KC107" i="91"/>
  <c r="KD107" i="91"/>
  <c r="KE107" i="91"/>
  <c r="KF107" i="91"/>
  <c r="JU107" i="91"/>
  <c r="JV107" i="91"/>
  <c r="JW107" i="91"/>
  <c r="JX107" i="91"/>
  <c r="JY107" i="91"/>
  <c r="JZ107" i="91"/>
  <c r="JO107" i="91"/>
  <c r="JP107" i="91"/>
  <c r="JQ107" i="91"/>
  <c r="JR107" i="91"/>
  <c r="JS107" i="91"/>
  <c r="JT107" i="91"/>
  <c r="JI107" i="91"/>
  <c r="JJ107" i="91"/>
  <c r="JK107" i="91"/>
  <c r="JL107" i="91"/>
  <c r="JM107" i="91"/>
  <c r="JN107" i="91"/>
  <c r="JC107" i="91"/>
  <c r="JD107" i="91"/>
  <c r="JE107" i="91"/>
  <c r="JF107" i="91"/>
  <c r="JG107" i="91"/>
  <c r="JH107" i="91"/>
  <c r="IW107" i="91"/>
  <c r="IX107" i="91"/>
  <c r="IY107" i="91"/>
  <c r="IZ107" i="91"/>
  <c r="JA107" i="91"/>
  <c r="JB107" i="91"/>
  <c r="IQ107" i="91"/>
  <c r="IR107" i="91"/>
  <c r="IS107" i="91"/>
  <c r="IT107" i="91"/>
  <c r="IU107" i="91"/>
  <c r="IV107" i="91"/>
  <c r="IK107" i="91"/>
  <c r="IL107" i="91"/>
  <c r="IM107" i="91"/>
  <c r="IN107" i="91"/>
  <c r="IO107" i="91"/>
  <c r="IP107" i="91"/>
  <c r="IE107" i="91"/>
  <c r="IF107" i="91"/>
  <c r="IG107" i="91"/>
  <c r="IH107" i="91"/>
  <c r="II107" i="91"/>
  <c r="IJ107" i="91"/>
  <c r="HY107" i="91"/>
  <c r="HZ107" i="91"/>
  <c r="IA107" i="91"/>
  <c r="IB107" i="91"/>
  <c r="IC107" i="91"/>
  <c r="ID107" i="91"/>
  <c r="HS107" i="91"/>
  <c r="HT107" i="91"/>
  <c r="HU107" i="91"/>
  <c r="HV107" i="91"/>
  <c r="HW107" i="91"/>
  <c r="HX107" i="91"/>
  <c r="HM107" i="91"/>
  <c r="HN107" i="91"/>
  <c r="HO107" i="91"/>
  <c r="HP107" i="91"/>
  <c r="HQ107" i="91"/>
  <c r="HR107" i="91"/>
  <c r="HG107" i="91"/>
  <c r="HH107" i="91"/>
  <c r="HI107" i="91"/>
  <c r="HJ107" i="91"/>
  <c r="HK107" i="91"/>
  <c r="HL107" i="91"/>
  <c r="HA107" i="91"/>
  <c r="HB107" i="91"/>
  <c r="HC107" i="91"/>
  <c r="HD107" i="91"/>
  <c r="HE107" i="91"/>
  <c r="HF107" i="91"/>
  <c r="GU107" i="91"/>
  <c r="GV107" i="91"/>
  <c r="GW107" i="91"/>
  <c r="GX107" i="91"/>
  <c r="GY107" i="91"/>
  <c r="GZ107" i="91"/>
  <c r="GO107" i="91"/>
  <c r="GP107" i="91"/>
  <c r="GQ107" i="91"/>
  <c r="GR107" i="91"/>
  <c r="GS107" i="91"/>
  <c r="GT107" i="91"/>
  <c r="KU106" i="91"/>
  <c r="KV106" i="91"/>
  <c r="GK107" i="91"/>
  <c r="GL107" i="91"/>
  <c r="GM107" i="91"/>
  <c r="GN107" i="91"/>
  <c r="KO106" i="91"/>
  <c r="KP106" i="91"/>
  <c r="KQ106" i="91"/>
  <c r="KR106" i="91"/>
  <c r="KS106" i="91"/>
  <c r="KT106" i="91"/>
  <c r="KI106" i="91"/>
  <c r="KJ106" i="91"/>
  <c r="KK106" i="91"/>
  <c r="KL106" i="91"/>
  <c r="KM106" i="91"/>
  <c r="KN106" i="91"/>
  <c r="KC106" i="91"/>
  <c r="KD106" i="91"/>
  <c r="KE106" i="91"/>
  <c r="KF106" i="91"/>
  <c r="KG106" i="91"/>
  <c r="KH106" i="91"/>
  <c r="JW106" i="91"/>
  <c r="JX106" i="91"/>
  <c r="JY106" i="91"/>
  <c r="JZ106" i="91"/>
  <c r="KA106" i="91"/>
  <c r="KB106" i="91"/>
  <c r="JQ106" i="91"/>
  <c r="JR106" i="91"/>
  <c r="JS106" i="91"/>
  <c r="JT106" i="91"/>
  <c r="JU106" i="91"/>
  <c r="JV106" i="91"/>
  <c r="JK106" i="91"/>
  <c r="JL106" i="91"/>
  <c r="JM106" i="91"/>
  <c r="JN106" i="91"/>
  <c r="JO106" i="91"/>
  <c r="JP106" i="91"/>
  <c r="JE106" i="91"/>
  <c r="JF106" i="91"/>
  <c r="JG106" i="91"/>
  <c r="JH106" i="91"/>
  <c r="JI106" i="91"/>
  <c r="JJ106" i="91"/>
  <c r="IY106" i="91"/>
  <c r="IZ106" i="91"/>
  <c r="JA106" i="91"/>
  <c r="JB106" i="91"/>
  <c r="JC106" i="91"/>
  <c r="JD106" i="91"/>
  <c r="IS106" i="91"/>
  <c r="IT106" i="91"/>
  <c r="IU106" i="91"/>
  <c r="IV106" i="91"/>
  <c r="IW106" i="91"/>
  <c r="IX106" i="91"/>
  <c r="IM106" i="91"/>
  <c r="IN106" i="91"/>
  <c r="IO106" i="91"/>
  <c r="IP106" i="91"/>
  <c r="IQ106" i="91"/>
  <c r="IR106" i="91"/>
  <c r="IG106" i="91"/>
  <c r="IH106" i="91"/>
  <c r="II106" i="91"/>
  <c r="IJ106" i="91"/>
  <c r="IK106" i="91"/>
  <c r="IL106" i="91"/>
  <c r="IA106" i="91"/>
  <c r="IB106" i="91"/>
  <c r="IC106" i="91"/>
  <c r="ID106" i="91"/>
  <c r="IE106" i="91"/>
  <c r="IF106" i="91"/>
  <c r="HU106" i="91"/>
  <c r="HV106" i="91"/>
  <c r="HW106" i="91"/>
  <c r="HX106" i="91"/>
  <c r="HY106" i="91"/>
  <c r="HZ106" i="91"/>
  <c r="HO106" i="91"/>
  <c r="HP106" i="91"/>
  <c r="HQ106" i="91"/>
  <c r="HR106" i="91"/>
  <c r="HS106" i="91"/>
  <c r="HT106" i="91"/>
  <c r="HI106" i="91"/>
  <c r="HJ106" i="91"/>
  <c r="HK106" i="91"/>
  <c r="HL106" i="91"/>
  <c r="HM106" i="91"/>
  <c r="HN106" i="91"/>
  <c r="HC106" i="91"/>
  <c r="HD106" i="91"/>
  <c r="HE106" i="91"/>
  <c r="HF106" i="91"/>
  <c r="HG106" i="91"/>
  <c r="HH106" i="91"/>
  <c r="GW106" i="91"/>
  <c r="GX106" i="91"/>
  <c r="GY106" i="91"/>
  <c r="GZ106" i="91"/>
  <c r="HA106" i="91"/>
  <c r="HB106" i="91"/>
  <c r="GQ106" i="91"/>
  <c r="GR106" i="91"/>
  <c r="GS106" i="91"/>
  <c r="GT106" i="91"/>
  <c r="GU106" i="91"/>
  <c r="GV106" i="91"/>
  <c r="GK106" i="91"/>
  <c r="GL106" i="91"/>
  <c r="GM106" i="91"/>
  <c r="GN106" i="91"/>
  <c r="GO106" i="91"/>
  <c r="GP106" i="91"/>
  <c r="KQ105" i="91"/>
  <c r="KR105" i="91"/>
  <c r="KS105" i="91"/>
  <c r="KT105" i="91"/>
  <c r="KU105" i="91"/>
  <c r="KV105" i="91"/>
  <c r="KK105" i="91"/>
  <c r="KL105" i="91"/>
  <c r="KM105" i="91"/>
  <c r="KN105" i="91"/>
  <c r="KO105" i="91"/>
  <c r="KP105" i="91"/>
  <c r="KE105" i="91"/>
  <c r="KF105" i="91"/>
  <c r="KG105" i="91"/>
  <c r="KH105" i="91"/>
  <c r="KI105" i="91"/>
  <c r="KJ105" i="91"/>
  <c r="JY105" i="91"/>
  <c r="JZ105" i="91"/>
  <c r="KA105" i="91"/>
  <c r="KB105" i="91"/>
  <c r="KC105" i="91"/>
  <c r="KD105" i="91"/>
  <c r="JS105" i="91"/>
  <c r="JT105" i="91"/>
  <c r="JU105" i="91"/>
  <c r="JV105" i="91"/>
  <c r="JW105" i="91"/>
  <c r="JX105" i="91"/>
  <c r="JM105" i="91"/>
  <c r="JN105" i="91"/>
  <c r="JO105" i="91"/>
  <c r="JP105" i="91"/>
  <c r="JQ105" i="91"/>
  <c r="JR105" i="91"/>
  <c r="JG105" i="91"/>
  <c r="JH105" i="91"/>
  <c r="JI105" i="91"/>
  <c r="JJ105" i="91"/>
  <c r="JK105" i="91"/>
  <c r="JL105" i="91"/>
  <c r="JA105" i="91"/>
  <c r="JB105" i="91"/>
  <c r="JC105" i="91"/>
  <c r="JD105" i="91"/>
  <c r="JE105" i="91"/>
  <c r="JF105" i="91"/>
  <c r="IU105" i="91"/>
  <c r="IV105" i="91"/>
  <c r="IW105" i="91"/>
  <c r="IX105" i="91"/>
  <c r="IY105" i="91"/>
  <c r="IZ105" i="91"/>
  <c r="IO105" i="91"/>
  <c r="IP105" i="91"/>
  <c r="IQ105" i="91"/>
  <c r="IR105" i="91"/>
  <c r="IS105" i="91"/>
  <c r="IT105" i="91"/>
  <c r="II105" i="91"/>
  <c r="IJ105" i="91"/>
  <c r="IK105" i="91"/>
  <c r="IL105" i="91"/>
  <c r="IM105" i="91"/>
  <c r="IN105" i="91"/>
  <c r="IC105" i="91"/>
  <c r="ID105" i="91"/>
  <c r="IE105" i="91"/>
  <c r="IF105" i="91"/>
  <c r="IG105" i="91"/>
  <c r="IH105" i="91"/>
  <c r="HW105" i="91"/>
  <c r="HX105" i="91"/>
  <c r="HY105" i="91"/>
  <c r="HZ105" i="91"/>
  <c r="IA105" i="91"/>
  <c r="IB105" i="91"/>
  <c r="HQ105" i="91"/>
  <c r="HR105" i="91"/>
  <c r="HS105" i="91"/>
  <c r="HT105" i="91"/>
  <c r="HU105" i="91"/>
  <c r="HV105" i="91"/>
  <c r="HK105" i="91"/>
  <c r="HL105" i="91"/>
  <c r="HM105" i="91"/>
  <c r="HN105" i="91"/>
  <c r="HO105" i="91"/>
  <c r="HP105" i="91"/>
  <c r="HE105" i="91"/>
  <c r="HF105" i="91"/>
  <c r="HG105" i="91"/>
  <c r="HH105" i="91"/>
  <c r="HI105" i="91"/>
  <c r="HJ105" i="91"/>
  <c r="GY105" i="91"/>
  <c r="GZ105" i="91"/>
  <c r="HA105" i="91"/>
  <c r="HB105" i="91"/>
  <c r="HC105" i="91"/>
  <c r="HD105" i="91"/>
  <c r="GS105" i="91"/>
  <c r="GT105" i="91"/>
  <c r="GU105" i="91"/>
  <c r="GV105" i="91"/>
  <c r="GW105" i="91"/>
  <c r="GX105" i="91"/>
  <c r="GM105" i="91"/>
  <c r="GN105" i="91"/>
  <c r="GO105" i="91"/>
  <c r="GP105" i="91"/>
  <c r="GQ105" i="91"/>
  <c r="GR105" i="91"/>
  <c r="KS104" i="91"/>
  <c r="KT104" i="91"/>
  <c r="KU104" i="91"/>
  <c r="KV104" i="91"/>
  <c r="GK105" i="91"/>
  <c r="GL105" i="91"/>
  <c r="KM104" i="91"/>
  <c r="KN104" i="91"/>
  <c r="KO104" i="91"/>
  <c r="KP104" i="91"/>
  <c r="KQ104" i="91"/>
  <c r="KR104" i="91"/>
  <c r="KG104" i="91"/>
  <c r="KH104" i="91"/>
  <c r="KI104" i="91"/>
  <c r="KJ104" i="91"/>
  <c r="KK104" i="91"/>
  <c r="KL104" i="91"/>
  <c r="KA104" i="91"/>
  <c r="KB104" i="91"/>
  <c r="KC104" i="91"/>
  <c r="KD104" i="91"/>
  <c r="KE104" i="91"/>
  <c r="KF104" i="91"/>
  <c r="JU104" i="91"/>
  <c r="JV104" i="91"/>
  <c r="JW104" i="91"/>
  <c r="JX104" i="91"/>
  <c r="JY104" i="91"/>
  <c r="JZ104" i="91"/>
  <c r="JO104" i="91"/>
  <c r="JP104" i="91"/>
  <c r="JQ104" i="91"/>
  <c r="JR104" i="91"/>
  <c r="JS104" i="91"/>
  <c r="JT104" i="91"/>
  <c r="JI104" i="91"/>
  <c r="JJ104" i="91"/>
  <c r="JK104" i="91"/>
  <c r="JL104" i="91"/>
  <c r="JM104" i="91"/>
  <c r="JN104" i="91"/>
  <c r="JC104" i="91"/>
  <c r="JD104" i="91"/>
  <c r="JE104" i="91"/>
  <c r="JF104" i="91"/>
  <c r="JG104" i="91"/>
  <c r="JH104" i="91"/>
  <c r="IW104" i="91"/>
  <c r="IX104" i="91"/>
  <c r="IY104" i="91"/>
  <c r="IZ104" i="91"/>
  <c r="JA104" i="91"/>
  <c r="JB104" i="91"/>
  <c r="IQ104" i="91"/>
  <c r="IR104" i="91"/>
  <c r="IS104" i="91"/>
  <c r="IT104" i="91"/>
  <c r="IU104" i="91"/>
  <c r="IV104" i="91"/>
  <c r="IK104" i="91"/>
  <c r="IL104" i="91"/>
  <c r="IM104" i="91"/>
  <c r="IN104" i="91"/>
  <c r="IO104" i="91"/>
  <c r="IP104" i="91"/>
  <c r="IE104" i="91"/>
  <c r="IF104" i="91"/>
  <c r="IG104" i="91"/>
  <c r="IH104" i="91"/>
  <c r="II104" i="91"/>
  <c r="IJ104" i="91"/>
  <c r="HY104" i="91"/>
  <c r="HZ104" i="91"/>
  <c r="IA104" i="91"/>
  <c r="IB104" i="91"/>
  <c r="IC104" i="91"/>
  <c r="ID104" i="91"/>
  <c r="HS104" i="91"/>
  <c r="HT104" i="91"/>
  <c r="HU104" i="91"/>
  <c r="HV104" i="91"/>
  <c r="HW104" i="91"/>
  <c r="HX104" i="91"/>
  <c r="HM104" i="91"/>
  <c r="HN104" i="91"/>
  <c r="HO104" i="91"/>
  <c r="HP104" i="91"/>
  <c r="HQ104" i="91"/>
  <c r="HR104" i="91"/>
  <c r="HG104" i="91"/>
  <c r="HH104" i="91"/>
  <c r="HI104" i="91"/>
  <c r="HJ104" i="91"/>
  <c r="HK104" i="91"/>
  <c r="HL104" i="91"/>
  <c r="HA104" i="91"/>
  <c r="HB104" i="91"/>
  <c r="HC104" i="91"/>
  <c r="HD104" i="91"/>
  <c r="HE104" i="91"/>
  <c r="HF104" i="91"/>
  <c r="GU104" i="91"/>
  <c r="GV104" i="91"/>
  <c r="GW104" i="91"/>
  <c r="GX104" i="91"/>
  <c r="GY104" i="91"/>
  <c r="GZ104" i="91"/>
  <c r="GO104" i="91"/>
  <c r="GP104" i="91"/>
  <c r="GQ104" i="91"/>
  <c r="GR104" i="91"/>
  <c r="GS104" i="91"/>
  <c r="GT104" i="91"/>
  <c r="KR103" i="91"/>
  <c r="KS103" i="91"/>
  <c r="GK104" i="91"/>
  <c r="GL104" i="91"/>
  <c r="GM104" i="91"/>
  <c r="GN104" i="91"/>
  <c r="KL103" i="91"/>
  <c r="KM103" i="91"/>
  <c r="KN103" i="91"/>
  <c r="KO103" i="91"/>
  <c r="KP103" i="91"/>
  <c r="KQ103" i="91"/>
  <c r="KF103" i="91"/>
  <c r="KG103" i="91"/>
  <c r="KH103" i="91"/>
  <c r="KI103" i="91"/>
  <c r="KJ103" i="91"/>
  <c r="KK103" i="91"/>
  <c r="JZ103" i="91"/>
  <c r="KA103" i="91"/>
  <c r="KB103" i="91"/>
  <c r="KC103" i="91"/>
  <c r="KD103" i="91"/>
  <c r="KE103" i="91"/>
  <c r="JT103" i="91"/>
  <c r="JU103" i="91"/>
  <c r="JV103" i="91"/>
  <c r="JW103" i="91"/>
  <c r="JX103" i="91"/>
  <c r="JY103" i="91"/>
  <c r="JN103" i="91"/>
  <c r="JO103" i="91"/>
  <c r="JP103" i="91"/>
  <c r="JQ103" i="91"/>
  <c r="JR103" i="91"/>
  <c r="JS103" i="91"/>
  <c r="JH103" i="91"/>
  <c r="JI103" i="91"/>
  <c r="JJ103" i="91"/>
  <c r="JK103" i="91"/>
  <c r="JL103" i="91"/>
  <c r="JM103" i="91"/>
  <c r="JB103" i="91"/>
  <c r="JC103" i="91"/>
  <c r="JD103" i="91"/>
  <c r="JE103" i="91"/>
  <c r="JF103" i="91"/>
  <c r="JG103" i="91"/>
  <c r="IV103" i="91"/>
  <c r="IW103" i="91"/>
  <c r="IX103" i="91"/>
  <c r="IY103" i="91"/>
  <c r="IZ103" i="91"/>
  <c r="JA103" i="91"/>
  <c r="IP103" i="91"/>
  <c r="IQ103" i="91"/>
  <c r="IR103" i="91"/>
  <c r="IS103" i="91"/>
  <c r="IT103" i="91"/>
  <c r="IU103" i="91"/>
  <c r="IJ103" i="91"/>
  <c r="IK103" i="91"/>
  <c r="IL103" i="91"/>
  <c r="IM103" i="91"/>
  <c r="IN103" i="91"/>
  <c r="IO103" i="91"/>
  <c r="ID103" i="91"/>
  <c r="IE103" i="91"/>
  <c r="IF103" i="91"/>
  <c r="IG103" i="91"/>
  <c r="IH103" i="91"/>
  <c r="II103" i="91"/>
  <c r="HX103" i="91"/>
  <c r="HY103" i="91"/>
  <c r="HZ103" i="91"/>
  <c r="IA103" i="91"/>
  <c r="IB103" i="91"/>
  <c r="IC103" i="91"/>
  <c r="HR103" i="91"/>
  <c r="HS103" i="91"/>
  <c r="HT103" i="91"/>
  <c r="HU103" i="91"/>
  <c r="HV103" i="91"/>
  <c r="HW103" i="91"/>
  <c r="HL103" i="91"/>
  <c r="HM103" i="91"/>
  <c r="HN103" i="91"/>
  <c r="HO103" i="91"/>
  <c r="HP103" i="91"/>
  <c r="HQ103" i="91"/>
  <c r="HF103" i="91"/>
  <c r="HG103" i="91"/>
  <c r="HH103" i="91"/>
  <c r="HI103" i="91"/>
  <c r="HJ103" i="91"/>
  <c r="HK103" i="91"/>
  <c r="GZ103" i="91"/>
  <c r="HA103" i="91"/>
  <c r="HB103" i="91"/>
  <c r="HC103" i="91"/>
  <c r="HD103" i="91"/>
  <c r="HE103" i="91"/>
  <c r="GT103" i="91"/>
  <c r="GU103" i="91"/>
  <c r="GV103" i="91"/>
  <c r="GW103" i="91"/>
  <c r="GX103" i="91"/>
  <c r="GY103" i="91"/>
  <c r="GN103" i="91"/>
  <c r="GO103" i="91"/>
  <c r="GP103" i="91"/>
  <c r="GQ103" i="91"/>
  <c r="GR103" i="91"/>
  <c r="GS103" i="91"/>
  <c r="KT102" i="91"/>
  <c r="KU102" i="91"/>
  <c r="KV102" i="91"/>
  <c r="GK103" i="91"/>
  <c r="GL103" i="91"/>
  <c r="GM103" i="91"/>
  <c r="KN102" i="91"/>
  <c r="KO102" i="91"/>
  <c r="KP102" i="91"/>
  <c r="KQ102" i="91"/>
  <c r="KR102" i="91"/>
  <c r="KS102" i="91"/>
  <c r="KH102" i="91"/>
  <c r="KI102" i="91"/>
  <c r="KJ102" i="91"/>
  <c r="KK102" i="91"/>
  <c r="KL102" i="91"/>
  <c r="KM102" i="91"/>
  <c r="KB102" i="91"/>
  <c r="KC102" i="91"/>
  <c r="KD102" i="91"/>
  <c r="KE102" i="91"/>
  <c r="KF102" i="91"/>
  <c r="KG102" i="91"/>
  <c r="JV102" i="91"/>
  <c r="JW102" i="91"/>
  <c r="JX102" i="91"/>
  <c r="JY102" i="91"/>
  <c r="JZ102" i="91"/>
  <c r="KA102" i="91"/>
  <c r="JP102" i="91"/>
  <c r="JQ102" i="91"/>
  <c r="JR102" i="91"/>
  <c r="JS102" i="91"/>
  <c r="JT102" i="91"/>
  <c r="JU102" i="91"/>
  <c r="JJ102" i="91"/>
  <c r="JK102" i="91"/>
  <c r="JL102" i="91"/>
  <c r="JM102" i="91"/>
  <c r="JN102" i="91"/>
  <c r="JO102" i="91"/>
  <c r="JD102" i="91"/>
  <c r="JE102" i="91"/>
  <c r="JF102" i="91"/>
  <c r="JG102" i="91"/>
  <c r="JH102" i="91"/>
  <c r="JI102" i="91"/>
  <c r="IX102" i="91"/>
  <c r="IY102" i="91"/>
  <c r="IZ102" i="91"/>
  <c r="JA102" i="91"/>
  <c r="JB102" i="91"/>
  <c r="JC102" i="91"/>
  <c r="IR102" i="91"/>
  <c r="IS102" i="91"/>
  <c r="IT102" i="91"/>
  <c r="IU102" i="91"/>
  <c r="IV102" i="91"/>
  <c r="IW102" i="91"/>
  <c r="IL102" i="91"/>
  <c r="IM102" i="91"/>
  <c r="IN102" i="91"/>
  <c r="IO102" i="91"/>
  <c r="IP102" i="91"/>
  <c r="IQ102" i="91"/>
  <c r="IF102" i="91"/>
  <c r="IG102" i="91"/>
  <c r="IH102" i="91"/>
  <c r="II102" i="91"/>
  <c r="IJ102" i="91"/>
  <c r="IK102" i="91"/>
  <c r="HZ102" i="91"/>
  <c r="IA102" i="91"/>
  <c r="IB102" i="91"/>
  <c r="IC102" i="91"/>
  <c r="ID102" i="91"/>
  <c r="IE102" i="91"/>
  <c r="HT102" i="91"/>
  <c r="HU102" i="91"/>
  <c r="HV102" i="91"/>
  <c r="HW102" i="91"/>
  <c r="HX102" i="91"/>
  <c r="HY102" i="91"/>
  <c r="HN102" i="91"/>
  <c r="HO102" i="91"/>
  <c r="HP102" i="91"/>
  <c r="HQ102" i="91"/>
  <c r="HR102" i="91"/>
  <c r="HS102" i="91"/>
  <c r="HH102" i="91"/>
  <c r="HI102" i="91"/>
  <c r="HJ102" i="91"/>
  <c r="HK102" i="91"/>
  <c r="HL102" i="91"/>
  <c r="HM102" i="91"/>
  <c r="HB102" i="91"/>
  <c r="HC102" i="91"/>
  <c r="HD102" i="91"/>
  <c r="HE102" i="91"/>
  <c r="HF102" i="91"/>
  <c r="HG102" i="91"/>
  <c r="GV102" i="91"/>
  <c r="GW102" i="91"/>
  <c r="GX102" i="91"/>
  <c r="GY102" i="91"/>
  <c r="GZ102" i="91"/>
  <c r="HA102" i="91"/>
  <c r="GP102" i="91"/>
  <c r="GQ102" i="91"/>
  <c r="GR102" i="91"/>
  <c r="GS102" i="91"/>
  <c r="GT102" i="91"/>
  <c r="GU102" i="91"/>
  <c r="KV101" i="91"/>
  <c r="GK102" i="91"/>
  <c r="GL102" i="91"/>
  <c r="GM102" i="91"/>
  <c r="GN102" i="91"/>
  <c r="GO102" i="91"/>
  <c r="KP101" i="91"/>
  <c r="KQ101" i="91"/>
  <c r="KR101" i="91"/>
  <c r="KS101" i="91"/>
  <c r="KT101" i="91"/>
  <c r="KU101" i="91"/>
  <c r="KJ101" i="91"/>
  <c r="KK101" i="91"/>
  <c r="KL101" i="91"/>
  <c r="KM101" i="91"/>
  <c r="KN101" i="91"/>
  <c r="KO101" i="91"/>
  <c r="KD101" i="91"/>
  <c r="KE101" i="91"/>
  <c r="KF101" i="91"/>
  <c r="KG101" i="91"/>
  <c r="KH101" i="91"/>
  <c r="KI101" i="91"/>
  <c r="JX101" i="91"/>
  <c r="JY101" i="91"/>
  <c r="JZ101" i="91"/>
  <c r="KA101" i="91"/>
  <c r="KB101" i="91"/>
  <c r="KC101" i="91"/>
  <c r="JR101" i="91"/>
  <c r="JS101" i="91"/>
  <c r="JT101" i="91"/>
  <c r="JU101" i="91"/>
  <c r="JV101" i="91"/>
  <c r="JW101" i="91"/>
  <c r="JL101" i="91"/>
  <c r="JM101" i="91"/>
  <c r="JN101" i="91"/>
  <c r="JO101" i="91"/>
  <c r="JP101" i="91"/>
  <c r="JQ101" i="91"/>
  <c r="JF101" i="91"/>
  <c r="JG101" i="91"/>
  <c r="JH101" i="91"/>
  <c r="JI101" i="91"/>
  <c r="JJ101" i="91"/>
  <c r="JK101" i="91"/>
  <c r="IZ101" i="91"/>
  <c r="JA101" i="91"/>
  <c r="JB101" i="91"/>
  <c r="JC101" i="91"/>
  <c r="JD101" i="91"/>
  <c r="JE101" i="91"/>
  <c r="IT101" i="91"/>
  <c r="IU101" i="91"/>
  <c r="IV101" i="91"/>
  <c r="IW101" i="91"/>
  <c r="IX101" i="91"/>
  <c r="IY101" i="91"/>
  <c r="IN101" i="91"/>
  <c r="IO101" i="91"/>
  <c r="IP101" i="91"/>
  <c r="IQ101" i="91"/>
  <c r="IR101" i="91"/>
  <c r="IS101" i="91"/>
  <c r="IH101" i="91"/>
  <c r="II101" i="91"/>
  <c r="IJ101" i="91"/>
  <c r="IK101" i="91"/>
  <c r="IL101" i="91"/>
  <c r="IM101" i="91"/>
  <c r="IB101" i="91"/>
  <c r="IC101" i="91"/>
  <c r="ID101" i="91"/>
  <c r="IE101" i="91"/>
  <c r="IF101" i="91"/>
  <c r="IG101" i="91"/>
  <c r="HV101" i="91"/>
  <c r="HW101" i="91"/>
  <c r="HX101" i="91"/>
  <c r="HY101" i="91"/>
  <c r="HZ101" i="91"/>
  <c r="IA101" i="91"/>
  <c r="HP101" i="91"/>
  <c r="HQ101" i="91"/>
  <c r="HR101" i="91"/>
  <c r="HS101" i="91"/>
  <c r="HT101" i="91"/>
  <c r="HU101" i="91"/>
  <c r="HJ101" i="91"/>
  <c r="HK101" i="91"/>
  <c r="HL101" i="91"/>
  <c r="HM101" i="91"/>
  <c r="HN101" i="91"/>
  <c r="HO101" i="91"/>
  <c r="HD101" i="91"/>
  <c r="HE101" i="91"/>
  <c r="HF101" i="91"/>
  <c r="HG101" i="91"/>
  <c r="HH101" i="91"/>
  <c r="HI101" i="91"/>
  <c r="GX101" i="91"/>
  <c r="GY101" i="91"/>
  <c r="GZ101" i="91"/>
  <c r="HA101" i="91"/>
  <c r="HB101" i="91"/>
  <c r="HC101" i="91"/>
  <c r="GR101" i="91"/>
  <c r="GS101" i="91"/>
  <c r="GT101" i="91"/>
  <c r="GU101" i="91"/>
  <c r="GV101" i="91"/>
  <c r="GW101" i="91"/>
  <c r="GL101" i="91"/>
  <c r="GM101" i="91"/>
  <c r="GN101" i="91"/>
  <c r="GO101" i="91"/>
  <c r="GP101" i="91"/>
  <c r="GQ101" i="91"/>
  <c r="KR100" i="91"/>
  <c r="KS100" i="91"/>
  <c r="KT100" i="91"/>
  <c r="KU100" i="91"/>
  <c r="KV100" i="91"/>
  <c r="GK101" i="91"/>
  <c r="KL100" i="91"/>
  <c r="KM100" i="91"/>
  <c r="KN100" i="91"/>
  <c r="KO100" i="91"/>
  <c r="KP100" i="91"/>
  <c r="KQ100" i="91"/>
  <c r="KF100" i="91"/>
  <c r="KG100" i="91"/>
  <c r="KH100" i="91"/>
  <c r="KI100" i="91"/>
  <c r="KJ100" i="91"/>
  <c r="KK100" i="91"/>
  <c r="JZ100" i="91"/>
  <c r="KA100" i="91"/>
  <c r="KB100" i="91"/>
  <c r="KC100" i="91"/>
  <c r="KD100" i="91"/>
  <c r="KE100" i="91"/>
  <c r="JT100" i="91"/>
  <c r="JU100" i="91"/>
  <c r="JV100" i="91"/>
  <c r="JW100" i="91"/>
  <c r="JX100" i="91"/>
  <c r="JY100" i="91"/>
  <c r="JN100" i="91"/>
  <c r="JO100" i="91"/>
  <c r="JP100" i="91"/>
  <c r="JQ100" i="91"/>
  <c r="JR100" i="91"/>
  <c r="JS100" i="91"/>
  <c r="JH100" i="91"/>
  <c r="JI100" i="91"/>
  <c r="JJ100" i="91"/>
  <c r="JK100" i="91"/>
  <c r="JL100" i="91"/>
  <c r="JM100" i="91"/>
  <c r="JB100" i="91"/>
  <c r="JC100" i="91"/>
  <c r="JD100" i="91"/>
  <c r="JE100" i="91"/>
  <c r="JF100" i="91"/>
  <c r="JG100" i="91"/>
  <c r="IV100" i="91"/>
  <c r="IW100" i="91"/>
  <c r="IX100" i="91"/>
  <c r="IY100" i="91"/>
  <c r="IZ100" i="91"/>
  <c r="JA100" i="91"/>
  <c r="IP100" i="91"/>
  <c r="IQ100" i="91"/>
  <c r="IR100" i="91"/>
  <c r="IS100" i="91"/>
  <c r="IT100" i="91"/>
  <c r="IU100" i="91"/>
  <c r="IJ100" i="91"/>
  <c r="IK100" i="91"/>
  <c r="IL100" i="91"/>
  <c r="IM100" i="91"/>
  <c r="IN100" i="91"/>
  <c r="IO100" i="91"/>
  <c r="ID100" i="91"/>
  <c r="IE100" i="91"/>
  <c r="IF100" i="91"/>
  <c r="IG100" i="91"/>
  <c r="IH100" i="91"/>
  <c r="II100" i="91"/>
  <c r="HX100" i="91"/>
  <c r="HY100" i="91"/>
  <c r="HZ100" i="91"/>
  <c r="IA100" i="91"/>
  <c r="IB100" i="91"/>
  <c r="IC100" i="91"/>
  <c r="HR100" i="91"/>
  <c r="HS100" i="91"/>
  <c r="HT100" i="91"/>
  <c r="HU100" i="91"/>
  <c r="HV100" i="91"/>
  <c r="HW100" i="91"/>
  <c r="HL100" i="91"/>
  <c r="HM100" i="91"/>
  <c r="HN100" i="91"/>
  <c r="HO100" i="91"/>
  <c r="HP100" i="91"/>
  <c r="HQ100" i="91"/>
  <c r="HF100" i="91"/>
  <c r="HG100" i="91"/>
  <c r="HH100" i="91"/>
  <c r="HI100" i="91"/>
  <c r="HJ100" i="91"/>
  <c r="HK100" i="91"/>
  <c r="GZ100" i="91"/>
  <c r="HA100" i="91"/>
  <c r="HB100" i="91"/>
  <c r="HC100" i="91"/>
  <c r="HD100" i="91"/>
  <c r="HE100" i="91"/>
  <c r="GT100" i="91"/>
  <c r="GU100" i="91"/>
  <c r="GV100" i="91"/>
  <c r="GW100" i="91"/>
  <c r="GX100" i="91"/>
  <c r="GY100" i="91"/>
  <c r="GN100" i="91"/>
  <c r="GO100" i="91"/>
  <c r="GP100" i="91"/>
  <c r="GQ100" i="91"/>
  <c r="GR100" i="91"/>
  <c r="GS100" i="91"/>
  <c r="KT99" i="91"/>
  <c r="KU99" i="91"/>
  <c r="KV99" i="91"/>
  <c r="GK100" i="91"/>
  <c r="GL100" i="91"/>
  <c r="GM100" i="91"/>
  <c r="KN99" i="91"/>
  <c r="KO99" i="91"/>
  <c r="KP99" i="91"/>
  <c r="KQ99" i="91"/>
  <c r="KR99" i="91"/>
  <c r="KS99" i="91"/>
  <c r="KH99" i="91"/>
  <c r="KI99" i="91"/>
  <c r="KJ99" i="91"/>
  <c r="KK99" i="91"/>
  <c r="KL99" i="91"/>
  <c r="KM99" i="91"/>
  <c r="KB99" i="91"/>
  <c r="KC99" i="91"/>
  <c r="KD99" i="91"/>
  <c r="KE99" i="91"/>
  <c r="KF99" i="91"/>
  <c r="KG99" i="91"/>
  <c r="JV99" i="91"/>
  <c r="JW99" i="91"/>
  <c r="JX99" i="91"/>
  <c r="JY99" i="91"/>
  <c r="JZ99" i="91"/>
  <c r="KA99" i="91"/>
  <c r="JP99" i="91"/>
  <c r="JQ99" i="91"/>
  <c r="JR99" i="91"/>
  <c r="JS99" i="91"/>
  <c r="JT99" i="91"/>
  <c r="JU99" i="91"/>
  <c r="JJ99" i="91"/>
  <c r="JK99" i="91"/>
  <c r="JL99" i="91"/>
  <c r="JM99" i="91"/>
  <c r="JN99" i="91"/>
  <c r="JO99" i="91"/>
  <c r="JD99" i="91"/>
  <c r="JE99" i="91"/>
  <c r="JF99" i="91"/>
  <c r="JG99" i="91"/>
  <c r="JH99" i="91"/>
  <c r="JI99" i="91"/>
  <c r="IX99" i="91"/>
  <c r="IY99" i="91"/>
  <c r="IZ99" i="91"/>
  <c r="JA99" i="91"/>
  <c r="JB99" i="91"/>
  <c r="JC99" i="91"/>
  <c r="IR99" i="91"/>
  <c r="IS99" i="91"/>
  <c r="IT99" i="91"/>
  <c r="IU99" i="91"/>
  <c r="IV99" i="91"/>
  <c r="IW99" i="91"/>
  <c r="IL99" i="91"/>
  <c r="IM99" i="91"/>
  <c r="IN99" i="91"/>
  <c r="IO99" i="91"/>
  <c r="IP99" i="91"/>
  <c r="IQ99" i="91"/>
  <c r="IF99" i="91"/>
  <c r="IG99" i="91"/>
  <c r="IH99" i="91"/>
  <c r="II99" i="91"/>
  <c r="IJ99" i="91"/>
  <c r="IK99" i="91"/>
  <c r="HZ99" i="91"/>
  <c r="IA99" i="91"/>
  <c r="IB99" i="91"/>
  <c r="IC99" i="91"/>
  <c r="ID99" i="91"/>
  <c r="IE99" i="91"/>
  <c r="HT99" i="91"/>
  <c r="HU99" i="91"/>
  <c r="HV99" i="91"/>
  <c r="HW99" i="91"/>
  <c r="HX99" i="91"/>
  <c r="HY99" i="91"/>
  <c r="HN99" i="91"/>
  <c r="HO99" i="91"/>
  <c r="HP99" i="91"/>
  <c r="HQ99" i="91"/>
  <c r="HR99" i="91"/>
  <c r="HS99" i="91"/>
  <c r="HH99" i="91"/>
  <c r="HI99" i="91"/>
  <c r="HJ99" i="91"/>
  <c r="HK99" i="91"/>
  <c r="HL99" i="91"/>
  <c r="HM99" i="91"/>
  <c r="HB99" i="91"/>
  <c r="HC99" i="91"/>
  <c r="HD99" i="91"/>
  <c r="HE99" i="91"/>
  <c r="HF99" i="91"/>
  <c r="HG99" i="91"/>
  <c r="GV99" i="91"/>
  <c r="GW99" i="91"/>
  <c r="GX99" i="91"/>
  <c r="GY99" i="91"/>
  <c r="GZ99" i="91"/>
  <c r="HA99" i="91"/>
  <c r="GP99" i="91"/>
  <c r="GQ99" i="91"/>
  <c r="GR99" i="91"/>
  <c r="GS99" i="91"/>
  <c r="GT99" i="91"/>
  <c r="GU99" i="91"/>
  <c r="GK99" i="91"/>
  <c r="GL99" i="91"/>
  <c r="GM99" i="91"/>
  <c r="GN99" i="91"/>
  <c r="GO99" i="91"/>
  <c r="AX115" i="91"/>
  <c r="AS115" i="91"/>
  <c r="AL11" i="91"/>
  <c r="E26" i="91"/>
  <c r="E27" i="91"/>
  <c r="Q27" i="91"/>
  <c r="E28" i="91"/>
  <c r="E29" i="91"/>
  <c r="E20" i="91"/>
  <c r="E21" i="91"/>
  <c r="Q21" i="91"/>
  <c r="E22" i="91"/>
  <c r="E23" i="91"/>
  <c r="E24" i="91"/>
  <c r="E25" i="91"/>
  <c r="I25" i="91"/>
  <c r="I26" i="91"/>
  <c r="Q26" i="91"/>
  <c r="P26" i="91"/>
  <c r="I27" i="91"/>
  <c r="I28" i="91"/>
  <c r="Q28" i="91"/>
  <c r="P28" i="91"/>
  <c r="I29" i="91"/>
  <c r="Q29" i="91"/>
  <c r="P29" i="91"/>
  <c r="I20" i="91"/>
  <c r="Q20" i="91"/>
  <c r="P20" i="91"/>
  <c r="I21" i="91"/>
  <c r="I22" i="91"/>
  <c r="Q22" i="91"/>
  <c r="P22" i="91"/>
  <c r="I23" i="91"/>
  <c r="Q23" i="91"/>
  <c r="P23" i="91"/>
  <c r="Q24" i="91"/>
  <c r="P24" i="91"/>
  <c r="I24" i="91"/>
  <c r="P25" i="91"/>
  <c r="I11" i="5"/>
  <c r="N16" i="5"/>
  <c r="I39" i="5"/>
  <c r="M40" i="5"/>
  <c r="M42" i="5"/>
  <c r="K58" i="5"/>
  <c r="K61" i="5"/>
  <c r="I66" i="5"/>
  <c r="I67" i="5"/>
  <c r="I68" i="5"/>
  <c r="I69" i="5"/>
  <c r="I104" i="5"/>
  <c r="M104" i="5"/>
  <c r="H105" i="5"/>
  <c r="D105" i="5"/>
  <c r="I105" i="5"/>
  <c r="I106" i="5"/>
  <c r="H107" i="5"/>
  <c r="I107" i="5"/>
  <c r="H108" i="5"/>
  <c r="I108" i="5"/>
  <c r="H109" i="5"/>
  <c r="I109" i="5"/>
  <c r="I110" i="5"/>
  <c r="H111" i="5"/>
  <c r="I111" i="5"/>
  <c r="I112" i="5"/>
  <c r="H113" i="5"/>
  <c r="I113" i="5"/>
  <c r="H114" i="5"/>
  <c r="I114" i="5"/>
  <c r="I115" i="5"/>
  <c r="I116" i="5"/>
  <c r="I117" i="5"/>
  <c r="I118" i="5"/>
  <c r="I119" i="5"/>
  <c r="I120" i="5"/>
  <c r="I121" i="5"/>
  <c r="I122" i="5"/>
  <c r="I123" i="5"/>
  <c r="I124" i="5"/>
  <c r="I125" i="5"/>
  <c r="I126" i="5"/>
  <c r="I127" i="5"/>
  <c r="I128" i="5"/>
  <c r="I129" i="5"/>
  <c r="I140" i="5"/>
  <c r="B278" i="5"/>
  <c r="Q1" i="87"/>
  <c r="C34" i="87"/>
  <c r="B2" i="6"/>
  <c r="B5" i="6"/>
  <c r="B2" i="102"/>
  <c r="B5" i="102"/>
  <c r="B19" i="102"/>
  <c r="B20" i="102"/>
  <c r="B21" i="102"/>
  <c r="B22" i="102"/>
  <c r="B23" i="102"/>
  <c r="B24" i="102"/>
  <c r="B34" i="102"/>
  <c r="B35" i="102"/>
  <c r="B36" i="102"/>
  <c r="B37" i="102"/>
  <c r="B38" i="102"/>
  <c r="B39" i="102"/>
  <c r="B40" i="102"/>
  <c r="B41" i="102"/>
  <c r="B42" i="102"/>
  <c r="B43" i="102"/>
  <c r="B44" i="102"/>
  <c r="B45" i="102"/>
  <c r="B46" i="102"/>
  <c r="B47" i="102"/>
  <c r="B48" i="102"/>
  <c r="B49" i="102"/>
  <c r="B50" i="102"/>
  <c r="B51" i="102"/>
  <c r="B52" i="102"/>
  <c r="B53" i="102"/>
  <c r="B54" i="102"/>
  <c r="B55" i="102"/>
  <c r="B56" i="102"/>
  <c r="B57" i="102"/>
  <c r="B58" i="102"/>
  <c r="B59" i="102"/>
  <c r="B60" i="102"/>
  <c r="C1" i="17"/>
  <c r="C7" i="17"/>
  <c r="C33" i="17"/>
  <c r="D8" i="60"/>
  <c r="E8" i="60"/>
  <c r="F8" i="60"/>
  <c r="G8" i="60"/>
  <c r="H8" i="60"/>
  <c r="I8" i="60"/>
  <c r="B11" i="60"/>
  <c r="B12" i="60"/>
  <c r="B13" i="60"/>
  <c r="B14" i="60"/>
  <c r="B15" i="60"/>
  <c r="B16" i="60"/>
  <c r="D8" i="59"/>
  <c r="E8" i="59"/>
  <c r="F8" i="59"/>
  <c r="G8" i="59"/>
  <c r="H8" i="59"/>
  <c r="I8" i="59"/>
  <c r="B11" i="59"/>
  <c r="B12" i="59"/>
  <c r="B13" i="59"/>
  <c r="B14" i="59"/>
  <c r="B15" i="59"/>
  <c r="B16" i="59"/>
  <c r="D6" i="86"/>
  <c r="H68" i="86"/>
  <c r="H80" i="86"/>
  <c r="H82" i="86"/>
  <c r="C85" i="86"/>
  <c r="C170" i="86"/>
  <c r="H173" i="86"/>
  <c r="L319" i="86"/>
  <c r="K319" i="86"/>
  <c r="J319" i="86"/>
  <c r="M319" i="86"/>
  <c r="G342" i="86"/>
  <c r="G358" i="86"/>
  <c r="G374" i="86"/>
  <c r="G390" i="86"/>
  <c r="G406" i="86"/>
  <c r="G422" i="86"/>
  <c r="G438" i="86"/>
  <c r="G454" i="86"/>
  <c r="G470" i="86"/>
  <c r="G486" i="86"/>
  <c r="G502" i="86"/>
  <c r="G518" i="86"/>
  <c r="G534" i="86"/>
  <c r="J341" i="86"/>
  <c r="H345" i="86"/>
  <c r="J345" i="86"/>
  <c r="H346" i="86"/>
  <c r="J346" i="86"/>
  <c r="H347" i="86"/>
  <c r="J347" i="86"/>
  <c r="H348" i="86"/>
  <c r="J348" i="86"/>
  <c r="H349" i="86"/>
  <c r="J349" i="86"/>
  <c r="H350" i="86"/>
  <c r="J350" i="86"/>
  <c r="H351" i="86"/>
  <c r="J351" i="86"/>
  <c r="H352" i="86"/>
  <c r="J352" i="86"/>
  <c r="H353" i="86"/>
  <c r="J353" i="86"/>
  <c r="H354" i="86"/>
  <c r="J354" i="86"/>
  <c r="H355" i="86"/>
  <c r="H361" i="86"/>
  <c r="J361" i="86"/>
  <c r="H362" i="86"/>
  <c r="J362" i="86"/>
  <c r="H363" i="86"/>
  <c r="J363" i="86"/>
  <c r="H364" i="86"/>
  <c r="J364" i="86"/>
  <c r="H365" i="86"/>
  <c r="J365" i="86"/>
  <c r="H366" i="86"/>
  <c r="J366" i="86"/>
  <c r="H367" i="86"/>
  <c r="J367" i="86"/>
  <c r="H368" i="86"/>
  <c r="J368" i="86"/>
  <c r="H369" i="86"/>
  <c r="J369" i="86"/>
  <c r="H370" i="86"/>
  <c r="J370" i="86"/>
  <c r="H371" i="86"/>
  <c r="H377" i="86"/>
  <c r="J377" i="86"/>
  <c r="H378" i="86"/>
  <c r="J378" i="86"/>
  <c r="H379" i="86"/>
  <c r="J379" i="86"/>
  <c r="H380" i="86"/>
  <c r="J380" i="86"/>
  <c r="H381" i="86"/>
  <c r="J381" i="86"/>
  <c r="H382" i="86"/>
  <c r="J382" i="86"/>
  <c r="H383" i="86"/>
  <c r="J383" i="86"/>
  <c r="H384" i="86"/>
  <c r="J384" i="86"/>
  <c r="H385" i="86"/>
  <c r="J385" i="86"/>
  <c r="H386" i="86"/>
  <c r="J386" i="86"/>
  <c r="H387" i="86"/>
  <c r="H393" i="86"/>
  <c r="J393" i="86"/>
  <c r="H394" i="86"/>
  <c r="J394" i="86"/>
  <c r="H395" i="86"/>
  <c r="J395" i="86"/>
  <c r="H396" i="86"/>
  <c r="J396" i="86"/>
  <c r="H397" i="86"/>
  <c r="J397" i="86"/>
  <c r="H398" i="86"/>
  <c r="J398" i="86"/>
  <c r="H399" i="86"/>
  <c r="J399" i="86"/>
  <c r="H400" i="86"/>
  <c r="J400" i="86"/>
  <c r="H401" i="86"/>
  <c r="J401" i="86"/>
  <c r="H402" i="86"/>
  <c r="J402" i="86"/>
  <c r="H403" i="86"/>
  <c r="H409" i="86"/>
  <c r="J409" i="86"/>
  <c r="H410" i="86"/>
  <c r="J410" i="86"/>
  <c r="H411" i="86"/>
  <c r="J411" i="86"/>
  <c r="H412" i="86"/>
  <c r="J412" i="86"/>
  <c r="H413" i="86"/>
  <c r="J413" i="86"/>
  <c r="H414" i="86"/>
  <c r="J414" i="86"/>
  <c r="H415" i="86"/>
  <c r="J415" i="86"/>
  <c r="H416" i="86"/>
  <c r="J416" i="86"/>
  <c r="H417" i="86"/>
  <c r="J417" i="86"/>
  <c r="H418" i="86"/>
  <c r="J418" i="86"/>
  <c r="H419" i="86"/>
  <c r="H425" i="86"/>
  <c r="H426" i="86"/>
  <c r="H427" i="86"/>
  <c r="H428" i="86"/>
  <c r="H429" i="86"/>
  <c r="H430" i="86"/>
  <c r="H431" i="86"/>
  <c r="H432" i="86"/>
  <c r="H433" i="86"/>
  <c r="H434" i="86"/>
  <c r="H435" i="86"/>
  <c r="H441" i="86"/>
  <c r="H442" i="86"/>
  <c r="H443" i="86"/>
  <c r="H444" i="86"/>
  <c r="H445" i="86"/>
  <c r="H446" i="86"/>
  <c r="H447" i="86"/>
  <c r="H448" i="86"/>
  <c r="H449" i="86"/>
  <c r="H450" i="86"/>
  <c r="H451" i="86"/>
  <c r="H457" i="86"/>
  <c r="H458" i="86"/>
  <c r="H459" i="86"/>
  <c r="H460" i="86"/>
  <c r="H461" i="86"/>
  <c r="H462" i="86"/>
  <c r="H463" i="86"/>
  <c r="H464" i="86"/>
  <c r="H465" i="86"/>
  <c r="H466" i="86"/>
  <c r="H467" i="86"/>
  <c r="H473" i="86"/>
  <c r="H474" i="86"/>
  <c r="H475" i="86"/>
  <c r="H476" i="86"/>
  <c r="H477" i="86"/>
  <c r="H478" i="86"/>
  <c r="H479" i="86"/>
  <c r="H480" i="86"/>
  <c r="H481" i="86"/>
  <c r="H482" i="86"/>
  <c r="H483" i="86"/>
  <c r="H489" i="86"/>
  <c r="H490" i="86"/>
  <c r="H491" i="86"/>
  <c r="H492" i="86"/>
  <c r="H493" i="86"/>
  <c r="H494" i="86"/>
  <c r="H495" i="86"/>
  <c r="H496" i="86"/>
  <c r="H497" i="86"/>
  <c r="H498" i="86"/>
  <c r="H499" i="86"/>
  <c r="H505" i="86"/>
  <c r="H506" i="86"/>
  <c r="I506" i="86"/>
  <c r="H507" i="86"/>
  <c r="I507" i="86"/>
  <c r="H508" i="86"/>
  <c r="I508" i="86"/>
  <c r="H509" i="86"/>
  <c r="I509" i="86"/>
  <c r="H510" i="86"/>
  <c r="I510" i="86"/>
  <c r="H511" i="86"/>
  <c r="I511" i="86"/>
  <c r="H512" i="86"/>
  <c r="I512" i="86"/>
  <c r="H513" i="86"/>
  <c r="I513" i="86"/>
  <c r="H514" i="86"/>
  <c r="I514" i="86"/>
  <c r="H515" i="86"/>
  <c r="I515" i="86"/>
  <c r="H521" i="86"/>
  <c r="H522" i="86"/>
  <c r="H523" i="86"/>
  <c r="H524" i="86"/>
  <c r="H525" i="86"/>
  <c r="H526" i="86"/>
  <c r="H527" i="86"/>
  <c r="H528" i="86"/>
  <c r="H529" i="86"/>
  <c r="H530" i="86"/>
  <c r="H531" i="86"/>
  <c r="H537" i="86"/>
  <c r="H538" i="86"/>
  <c r="I538" i="86"/>
  <c r="H539" i="86"/>
  <c r="I539" i="86"/>
  <c r="H540" i="86"/>
  <c r="I540" i="86"/>
  <c r="H541" i="86"/>
  <c r="I541" i="86"/>
  <c r="H542" i="86"/>
  <c r="I542" i="86"/>
  <c r="H543" i="86"/>
  <c r="I543" i="86"/>
  <c r="H544" i="86"/>
  <c r="I544" i="86"/>
  <c r="H545" i="86"/>
  <c r="I545" i="86"/>
  <c r="H546" i="86"/>
  <c r="I546" i="86"/>
  <c r="H547" i="86"/>
  <c r="I547" i="86"/>
  <c r="E34" i="299"/>
  <c r="E39" i="299"/>
  <c r="A39" i="299"/>
  <c r="E40" i="299"/>
  <c r="C4" i="71"/>
  <c r="D10" i="71"/>
  <c r="D39" i="71"/>
  <c r="D12" i="71"/>
  <c r="D41" i="71"/>
  <c r="D13" i="71"/>
  <c r="D42" i="71"/>
  <c r="D14" i="71"/>
  <c r="D43" i="71"/>
  <c r="D16" i="71"/>
  <c r="D18" i="71"/>
  <c r="D47" i="71"/>
  <c r="D19" i="71"/>
  <c r="D77" i="71"/>
  <c r="D45" i="71"/>
  <c r="D68" i="71"/>
  <c r="D72" i="71"/>
  <c r="D74" i="71"/>
  <c r="E11" i="72"/>
  <c r="C13" i="72"/>
  <c r="C47" i="72"/>
  <c r="C14" i="72"/>
  <c r="C48" i="72"/>
  <c r="C15" i="72"/>
  <c r="C16" i="72"/>
  <c r="C17" i="72"/>
  <c r="C51" i="72"/>
  <c r="C18" i="72"/>
  <c r="C52" i="72"/>
  <c r="C19" i="72"/>
  <c r="C21" i="72"/>
  <c r="C55" i="72"/>
  <c r="C22" i="72"/>
  <c r="C56" i="72"/>
  <c r="E45" i="72"/>
  <c r="C49" i="72"/>
  <c r="C50" i="72"/>
  <c r="C53" i="72"/>
  <c r="E10" i="63"/>
  <c r="C13" i="63"/>
  <c r="C15" i="63"/>
  <c r="C49" i="63"/>
  <c r="C16" i="63"/>
  <c r="C50" i="63"/>
  <c r="C17" i="63"/>
  <c r="C19" i="63"/>
  <c r="C53" i="63"/>
  <c r="C20" i="63"/>
  <c r="C54" i="63"/>
  <c r="C21" i="63"/>
  <c r="C55" i="63"/>
  <c r="C22" i="63"/>
  <c r="E44" i="63"/>
  <c r="C47" i="63"/>
  <c r="C51" i="63"/>
  <c r="C56" i="63"/>
  <c r="C27" i="66"/>
  <c r="C64" i="66"/>
  <c r="C29" i="66"/>
  <c r="C66" i="66"/>
  <c r="C30" i="66"/>
  <c r="C31" i="66"/>
  <c r="C33" i="66"/>
  <c r="C70" i="66"/>
  <c r="C35" i="66"/>
  <c r="C72" i="66"/>
  <c r="C36" i="66"/>
  <c r="C67" i="66"/>
  <c r="C68" i="66"/>
  <c r="C73" i="66"/>
  <c r="E90" i="66"/>
  <c r="F90" i="66"/>
  <c r="G90" i="66"/>
  <c r="H90" i="66"/>
  <c r="I90" i="66"/>
  <c r="J90" i="66"/>
  <c r="K90" i="66"/>
  <c r="L90" i="66"/>
  <c r="M90" i="66"/>
  <c r="N90" i="66"/>
  <c r="O90" i="66"/>
  <c r="P90" i="66"/>
  <c r="Q90" i="66"/>
  <c r="C92" i="66"/>
  <c r="C93" i="66"/>
  <c r="E94" i="66"/>
  <c r="A94" i="66"/>
  <c r="C94" i="66"/>
  <c r="F94" i="66"/>
  <c r="G94" i="66"/>
  <c r="H94" i="66"/>
  <c r="I94" i="66"/>
  <c r="J94" i="66"/>
  <c r="K94" i="66"/>
  <c r="L94" i="66"/>
  <c r="M94" i="66"/>
  <c r="N94" i="66"/>
  <c r="O94" i="66"/>
  <c r="P94" i="66"/>
  <c r="Q94" i="66"/>
  <c r="C5" i="24"/>
  <c r="F8" i="24"/>
  <c r="G8" i="24"/>
  <c r="H8" i="24"/>
  <c r="I8" i="24"/>
  <c r="J8" i="24"/>
  <c r="K8" i="24"/>
  <c r="L8" i="24"/>
  <c r="N8" i="24"/>
  <c r="O8" i="24"/>
  <c r="AE7" i="24"/>
  <c r="C12" i="24"/>
  <c r="AD7" i="24"/>
  <c r="G12" i="91"/>
  <c r="N25" i="91"/>
  <c r="T25" i="91"/>
  <c r="N29" i="91"/>
  <c r="T29" i="91"/>
  <c r="I23" i="18"/>
  <c r="N26" i="91"/>
  <c r="T26" i="91"/>
  <c r="N28" i="91"/>
  <c r="T28" i="91"/>
  <c r="N21" i="91"/>
  <c r="T21" i="91"/>
  <c r="N22" i="91"/>
  <c r="T22" i="91"/>
  <c r="N24" i="91"/>
  <c r="T24" i="91"/>
  <c r="N23" i="91"/>
  <c r="T23" i="91"/>
  <c r="N27" i="91"/>
  <c r="T27" i="91"/>
  <c r="N20" i="91"/>
  <c r="T20" i="91"/>
  <c r="D48" i="71"/>
  <c r="D71" i="71"/>
  <c r="D76" i="71"/>
  <c r="D70" i="71"/>
  <c r="C32" i="66"/>
  <c r="C28" i="66"/>
  <c r="C65" i="66"/>
  <c r="D17" i="71"/>
  <c r="M8" i="24"/>
  <c r="C18" i="63"/>
  <c r="C52" i="63"/>
  <c r="C14" i="63"/>
  <c r="C48" i="63"/>
  <c r="C20" i="72"/>
  <c r="C54" i="72"/>
  <c r="H112" i="5"/>
  <c r="H110" i="5"/>
  <c r="H106" i="5"/>
  <c r="D106" i="5"/>
  <c r="Q25" i="91"/>
  <c r="P21" i="91"/>
  <c r="P27" i="91"/>
  <c r="C34" i="66"/>
  <c r="C71" i="66"/>
  <c r="D15" i="71"/>
  <c r="D11" i="71"/>
  <c r="G12" i="18"/>
  <c r="Q319" i="86"/>
  <c r="C317" i="86"/>
  <c r="C338" i="86"/>
  <c r="C69" i="66"/>
  <c r="A34" i="299"/>
  <c r="A40" i="299"/>
  <c r="I319" i="86"/>
  <c r="P319" i="86"/>
  <c r="D107" i="5"/>
  <c r="M43" i="5"/>
  <c r="M44" i="5"/>
  <c r="M45" i="5"/>
  <c r="M46" i="5"/>
  <c r="C84" i="17"/>
  <c r="C154" i="17"/>
  <c r="D7" i="86"/>
  <c r="C22" i="24"/>
  <c r="D69" i="71"/>
  <c r="D40" i="71"/>
  <c r="D73" i="71"/>
  <c r="D44" i="71"/>
  <c r="D46" i="71"/>
  <c r="D75" i="71"/>
  <c r="E39" i="86"/>
  <c r="D8" i="24"/>
  <c r="D108" i="5"/>
  <c r="D109" i="5"/>
  <c r="D110" i="5"/>
  <c r="O319" i="86"/>
  <c r="H319" i="86"/>
  <c r="N319" i="86"/>
  <c r="D8" i="86"/>
  <c r="D10" i="86"/>
  <c r="D111" i="5"/>
  <c r="D11" i="86"/>
  <c r="D12" i="86"/>
  <c r="D112" i="5"/>
  <c r="D113" i="5"/>
  <c r="D13" i="86"/>
  <c r="D114" i="5"/>
  <c r="D14" i="86"/>
  <c r="D15" i="86"/>
  <c r="D16" i="86"/>
  <c r="D17" i="86"/>
  <c r="D18" i="86"/>
  <c r="D19" i="86"/>
  <c r="D20" i="86"/>
  <c r="D21" i="86"/>
  <c r="D22" i="86"/>
  <c r="D23" i="86"/>
  <c r="D24" i="86"/>
  <c r="D25" i="86"/>
  <c r="D26" i="86"/>
  <c r="D27" i="86"/>
  <c r="D28" i="86"/>
  <c r="D29" i="86"/>
  <c r="D30" i="86"/>
  <c r="D34" i="86"/>
  <c r="D36" i="86"/>
  <c r="D37" i="86"/>
  <c r="D38" i="86"/>
  <c r="D39" i="86"/>
  <c r="D46" i="86"/>
  <c r="D47" i="86"/>
  <c r="D48" i="86"/>
  <c r="D49" i="86"/>
  <c r="D50" i="86"/>
  <c r="D51" i="86"/>
  <c r="D52" i="86"/>
  <c r="D53" i="86"/>
  <c r="D54" i="86"/>
  <c r="D55" i="86"/>
  <c r="D56" i="86"/>
  <c r="D57" i="86"/>
  <c r="D58" i="86"/>
  <c r="D59" i="86"/>
  <c r="D60" i="86"/>
  <c r="D61" i="86"/>
  <c r="D62" i="86"/>
  <c r="D63" i="86"/>
  <c r="D64" i="86"/>
  <c r="D65" i="86"/>
  <c r="D66" i="86"/>
  <c r="D67" i="86"/>
  <c r="D68" i="86"/>
  <c r="D69" i="86"/>
  <c r="D70" i="86"/>
  <c r="D71" i="86"/>
  <c r="D72" i="86"/>
  <c r="D73" i="86"/>
  <c r="D74" i="86"/>
  <c r="D75" i="86"/>
  <c r="D76" i="86"/>
  <c r="D77" i="86"/>
  <c r="D78" i="86"/>
  <c r="D79" i="86"/>
  <c r="D80" i="86"/>
  <c r="D81" i="86"/>
  <c r="D82" i="86"/>
  <c r="D91" i="86"/>
  <c r="D92" i="86"/>
  <c r="D93" i="86"/>
  <c r="D94" i="86"/>
  <c r="D95" i="86"/>
  <c r="D96" i="86"/>
  <c r="D97" i="86"/>
  <c r="D98" i="86"/>
  <c r="D99" i="86"/>
  <c r="D100" i="86"/>
  <c r="D101" i="86"/>
  <c r="D102" i="86"/>
  <c r="D103" i="86"/>
  <c r="D104" i="86"/>
  <c r="D105" i="86"/>
  <c r="D106" i="86"/>
  <c r="D107" i="86"/>
  <c r="D108" i="86"/>
  <c r="D109" i="86"/>
  <c r="D110" i="86"/>
  <c r="D111" i="86"/>
  <c r="D112" i="86"/>
  <c r="D113" i="86"/>
  <c r="D114" i="86"/>
  <c r="D115" i="86"/>
  <c r="D116" i="86"/>
  <c r="D117" i="86"/>
  <c r="D118" i="86"/>
  <c r="D119" i="86"/>
  <c r="D120" i="86"/>
  <c r="D121" i="86"/>
  <c r="D122" i="86"/>
  <c r="D123" i="86"/>
  <c r="D124" i="86"/>
  <c r="D125" i="86"/>
  <c r="D126" i="86"/>
  <c r="D127" i="86"/>
  <c r="D128" i="86"/>
  <c r="D129" i="86"/>
  <c r="D130" i="86"/>
  <c r="D131" i="86"/>
  <c r="D132" i="86"/>
  <c r="D133" i="86"/>
  <c r="D134" i="86"/>
  <c r="D135" i="86"/>
  <c r="D136" i="86"/>
  <c r="D137" i="86"/>
  <c r="D138" i="86"/>
  <c r="D139" i="86"/>
  <c r="D140" i="86"/>
  <c r="D141" i="86"/>
  <c r="D142" i="86"/>
  <c r="D143" i="86"/>
  <c r="D144" i="86"/>
  <c r="D145" i="86"/>
  <c r="D146" i="86"/>
  <c r="D147" i="86"/>
  <c r="D148" i="86"/>
  <c r="D149" i="86"/>
  <c r="D150" i="86"/>
  <c r="D151" i="86"/>
  <c r="D152" i="86"/>
  <c r="D153" i="86"/>
  <c r="D154" i="86"/>
  <c r="D155" i="86"/>
  <c r="D156" i="86"/>
  <c r="D157" i="86"/>
  <c r="D158" i="86"/>
  <c r="D159" i="86"/>
  <c r="D160" i="86"/>
  <c r="D161" i="86"/>
  <c r="D162" i="86"/>
  <c r="D163" i="86"/>
  <c r="D164" i="86"/>
  <c r="D165" i="86"/>
  <c r="D166" i="86"/>
  <c r="D167" i="86"/>
  <c r="D321" i="86"/>
  <c r="D322" i="86"/>
  <c r="D323" i="86"/>
  <c r="D324" i="86"/>
  <c r="D325" i="86"/>
  <c r="D326" i="86"/>
  <c r="D327" i="86"/>
  <c r="D328" i="86"/>
  <c r="D329" i="86"/>
  <c r="D330" i="86"/>
  <c r="D331" i="86"/>
  <c r="D332" i="86"/>
  <c r="D333" i="86"/>
  <c r="D334" i="86"/>
  <c r="D335" i="86"/>
  <c r="C26" i="24"/>
  <c r="C31" i="24"/>
  <c r="C33" i="24"/>
  <c r="C39" i="24"/>
  <c r="AF7" i="24"/>
  <c r="C44" i="24"/>
  <c r="A48" i="24"/>
  <c r="R48" i="24"/>
  <c r="R49" i="24"/>
  <c r="C53" i="24"/>
  <c r="C60" i="24"/>
  <c r="D61" i="24"/>
  <c r="D62" i="24"/>
  <c r="D63" i="24"/>
  <c r="D64" i="24"/>
  <c r="D65" i="24"/>
  <c r="D66" i="24"/>
  <c r="D67" i="24"/>
  <c r="D68" i="24"/>
  <c r="D69" i="24"/>
  <c r="C70" i="24"/>
  <c r="C74" i="24"/>
  <c r="D74" i="24"/>
  <c r="D75" i="24"/>
  <c r="D76" i="24"/>
  <c r="D77" i="24"/>
  <c r="D78" i="24"/>
  <c r="C79" i="24"/>
  <c r="C81" i="24"/>
  <c r="C87" i="24"/>
  <c r="C92" i="24"/>
  <c r="A96" i="24"/>
  <c r="R96" i="24"/>
  <c r="R97" i="24"/>
  <c r="C101" i="24"/>
  <c r="C108" i="24"/>
  <c r="D109" i="24"/>
  <c r="D110" i="24"/>
  <c r="D111" i="24"/>
  <c r="D112" i="24"/>
  <c r="D113" i="24"/>
  <c r="D114" i="24"/>
  <c r="D115" i="24"/>
  <c r="D116" i="24"/>
  <c r="D117" i="24"/>
  <c r="C118" i="24"/>
  <c r="C122" i="24"/>
  <c r="D122" i="24"/>
  <c r="D123" i="24"/>
  <c r="D124" i="24"/>
  <c r="D125" i="24"/>
  <c r="D126" i="24"/>
  <c r="C127" i="24"/>
  <c r="C129" i="24"/>
  <c r="C135" i="24"/>
  <c r="C140" i="24"/>
  <c r="A144" i="24"/>
  <c r="R144" i="24"/>
  <c r="A49" i="24"/>
  <c r="A50" i="24"/>
  <c r="A52" i="24"/>
  <c r="A56" i="24"/>
  <c r="A57" i="24"/>
  <c r="A60" i="24"/>
  <c r="A72" i="24"/>
  <c r="A73" i="24"/>
  <c r="A80" i="24"/>
  <c r="A82" i="24"/>
  <c r="A84" i="24"/>
  <c r="A85" i="24"/>
  <c r="A88" i="24"/>
  <c r="A89" i="24"/>
  <c r="A90" i="24"/>
  <c r="A92" i="24"/>
  <c r="A93" i="24"/>
  <c r="A94" i="24"/>
  <c r="A97" i="24"/>
  <c r="A98" i="24"/>
  <c r="A99" i="24"/>
  <c r="A101" i="24"/>
  <c r="A102" i="24"/>
  <c r="A103" i="24"/>
  <c r="A105" i="24"/>
  <c r="A106" i="24"/>
  <c r="A107" i="24"/>
  <c r="A118" i="24"/>
  <c r="A119" i="24"/>
  <c r="A120" i="24"/>
  <c r="A121" i="24"/>
  <c r="A127" i="24"/>
  <c r="A128" i="24"/>
  <c r="A129" i="24"/>
  <c r="A130" i="24"/>
  <c r="A131" i="24"/>
  <c r="A132" i="24"/>
  <c r="A133" i="24"/>
  <c r="A134" i="24"/>
  <c r="A135" i="24"/>
  <c r="A136" i="24"/>
  <c r="A137" i="24"/>
  <c r="A138" i="24"/>
  <c r="A139" i="24"/>
  <c r="A140" i="24"/>
  <c r="A141" i="24"/>
  <c r="A142" i="24"/>
  <c r="A143" i="24"/>
  <c r="H11" i="96"/>
  <c r="L11" i="96"/>
  <c r="P11" i="96"/>
  <c r="F132" i="96"/>
  <c r="J132" i="96"/>
  <c r="N132" i="96"/>
  <c r="H42" i="96"/>
  <c r="H163" i="96"/>
  <c r="L42" i="96"/>
  <c r="P42" i="96"/>
  <c r="P163" i="96"/>
  <c r="F162" i="96"/>
  <c r="J162" i="96"/>
  <c r="N162" i="96"/>
  <c r="H73" i="96"/>
  <c r="L73" i="96"/>
  <c r="P73" i="96"/>
  <c r="F192" i="96"/>
  <c r="J192" i="96"/>
  <c r="N192" i="96"/>
  <c r="D102" i="96"/>
  <c r="J124" i="96"/>
  <c r="K124" i="96"/>
  <c r="L124" i="96"/>
  <c r="M124" i="96"/>
  <c r="N124" i="96"/>
  <c r="O124" i="96"/>
  <c r="P124" i="96"/>
  <c r="M125" i="96"/>
  <c r="N125" i="96"/>
  <c r="O125" i="96"/>
  <c r="M126" i="96"/>
  <c r="N126" i="96"/>
  <c r="O126" i="96"/>
  <c r="K127" i="96"/>
  <c r="L127" i="96"/>
  <c r="M127" i="96"/>
  <c r="N127" i="96"/>
  <c r="O127" i="96"/>
  <c r="K128" i="96"/>
  <c r="L128" i="96"/>
  <c r="M128" i="96"/>
  <c r="N128" i="96"/>
  <c r="O128" i="96"/>
  <c r="J129" i="96"/>
  <c r="P129" i="96"/>
  <c r="H133" i="96"/>
  <c r="L133" i="96"/>
  <c r="P133" i="96"/>
  <c r="L163" i="96"/>
  <c r="H193" i="96"/>
  <c r="L193" i="96"/>
  <c r="P193" i="96"/>
  <c r="A86" i="24"/>
  <c r="A81" i="24"/>
  <c r="A70" i="24"/>
  <c r="A53" i="24"/>
  <c r="M129" i="96"/>
  <c r="L129" i="96"/>
  <c r="O129" i="96"/>
  <c r="K129" i="96"/>
  <c r="N129" i="96"/>
  <c r="A108" i="24"/>
  <c r="A104" i="24"/>
  <c r="A100" i="24"/>
  <c r="A95" i="24"/>
  <c r="A91" i="24"/>
  <c r="A87" i="24"/>
  <c r="A83" i="24"/>
  <c r="A79" i="24"/>
  <c r="A71" i="24"/>
  <c r="A59" i="24"/>
  <c r="A55" i="24"/>
  <c r="A51" i="24"/>
  <c r="A58" i="24"/>
  <c r="A54" i="24"/>
  <c r="C4" i="70"/>
  <c r="E72" i="70"/>
  <c r="C75" i="70"/>
  <c r="E143" i="70"/>
  <c r="C146" i="70"/>
  <c r="E214" i="70"/>
  <c r="C217" i="70"/>
  <c r="E285" i="70"/>
  <c r="C288" i="70"/>
  <c r="E356" i="70"/>
  <c r="C359" i="70"/>
  <c r="K451" i="70"/>
  <c r="D451" i="70"/>
  <c r="A451" i="70"/>
  <c r="D452" i="70"/>
  <c r="A452" i="70"/>
  <c r="D453" i="70"/>
  <c r="A453" i="70"/>
  <c r="D454" i="70"/>
  <c r="A454" i="70"/>
  <c r="D455" i="70"/>
  <c r="A455" i="70"/>
  <c r="D456" i="70"/>
  <c r="A456" i="70"/>
  <c r="D457" i="70"/>
  <c r="A457" i="70"/>
  <c r="D458" i="70"/>
  <c r="A458" i="70"/>
  <c r="D459" i="70"/>
  <c r="A459" i="70"/>
  <c r="D460" i="70"/>
  <c r="A460" i="70"/>
  <c r="D461" i="70"/>
  <c r="A461" i="70"/>
  <c r="D462" i="70"/>
  <c r="A462" i="70"/>
  <c r="D463" i="70"/>
  <c r="A463" i="70"/>
  <c r="D464" i="70"/>
  <c r="A464" i="70"/>
  <c r="A465" i="70"/>
  <c r="K466" i="70"/>
  <c r="D466" i="70"/>
  <c r="A466" i="70"/>
  <c r="D467" i="70"/>
  <c r="A467" i="70"/>
  <c r="D468" i="70"/>
  <c r="A468" i="70"/>
  <c r="D469" i="70"/>
  <c r="A469" i="70"/>
  <c r="D470" i="70"/>
  <c r="A470" i="70"/>
  <c r="D471" i="70"/>
  <c r="A471" i="70"/>
  <c r="D472" i="70"/>
  <c r="A472" i="70"/>
  <c r="D473" i="70"/>
  <c r="A473" i="70"/>
  <c r="D474" i="70"/>
  <c r="A474" i="70"/>
  <c r="D475" i="70"/>
  <c r="A475" i="70"/>
  <c r="D476" i="70"/>
  <c r="A476" i="70"/>
  <c r="D477" i="70"/>
  <c r="A477" i="70"/>
  <c r="D478" i="70"/>
  <c r="A478" i="70"/>
  <c r="D479" i="70"/>
  <c r="A479" i="70"/>
  <c r="A480" i="70"/>
  <c r="K481" i="70"/>
  <c r="D481" i="70"/>
  <c r="A481" i="70"/>
  <c r="D482" i="70"/>
  <c r="A482" i="70"/>
  <c r="D483" i="70"/>
  <c r="A483" i="70"/>
  <c r="D484" i="70"/>
  <c r="A484" i="70"/>
  <c r="D485" i="70"/>
  <c r="A485" i="70"/>
  <c r="D486" i="70"/>
  <c r="A486" i="70"/>
  <c r="D487" i="70"/>
  <c r="A487" i="70"/>
  <c r="D488" i="70"/>
  <c r="A488" i="70"/>
  <c r="D489" i="70"/>
  <c r="A489" i="70"/>
  <c r="D490" i="70"/>
  <c r="A490" i="70"/>
  <c r="D491" i="70"/>
  <c r="A491" i="70"/>
  <c r="D492" i="70"/>
  <c r="A492" i="70"/>
  <c r="D493" i="70"/>
  <c r="A493" i="70"/>
  <c r="D494" i="70"/>
  <c r="A494" i="70"/>
  <c r="A495" i="70"/>
  <c r="E427" i="70"/>
  <c r="C430" i="70"/>
  <c r="D9" i="26"/>
  <c r="E8" i="26"/>
  <c r="H8" i="26"/>
  <c r="D42" i="26"/>
  <c r="D40" i="26"/>
  <c r="J35" i="26"/>
  <c r="H42" i="26"/>
  <c r="H41" i="26"/>
  <c r="D75" i="26"/>
  <c r="D73" i="26"/>
  <c r="J68" i="26"/>
  <c r="H75" i="26"/>
  <c r="H74" i="26"/>
  <c r="D108" i="26"/>
  <c r="D106" i="26"/>
  <c r="J101" i="26"/>
  <c r="H108" i="26"/>
  <c r="H107" i="26"/>
  <c r="D141" i="26"/>
  <c r="D139" i="26"/>
  <c r="J134" i="26"/>
  <c r="H141" i="26"/>
  <c r="H140" i="26"/>
  <c r="D174" i="26"/>
  <c r="D172" i="26"/>
  <c r="J167" i="26"/>
  <c r="H174" i="26"/>
  <c r="H173" i="26"/>
  <c r="D207" i="26"/>
  <c r="D205" i="26"/>
  <c r="J200" i="26"/>
  <c r="H207" i="26"/>
  <c r="H206" i="26"/>
  <c r="D240" i="26"/>
  <c r="D238" i="26"/>
  <c r="J233" i="26"/>
  <c r="H240" i="26"/>
  <c r="H239" i="26"/>
  <c r="D273" i="26"/>
  <c r="D271" i="26"/>
  <c r="J266" i="26"/>
  <c r="H273" i="26"/>
  <c r="H272" i="26"/>
  <c r="D306" i="26"/>
  <c r="J299" i="26"/>
  <c r="H306" i="26"/>
  <c r="H305" i="26"/>
  <c r="D339" i="26"/>
  <c r="D337" i="26"/>
  <c r="J332" i="26"/>
  <c r="H339" i="26"/>
  <c r="H338" i="26"/>
  <c r="D372" i="26"/>
  <c r="J365" i="26"/>
  <c r="H372" i="26"/>
  <c r="H371" i="26"/>
  <c r="D405" i="26"/>
  <c r="J398" i="26"/>
  <c r="H405" i="26"/>
  <c r="H404" i="26"/>
  <c r="D438" i="26"/>
  <c r="J431" i="26"/>
  <c r="H438" i="26"/>
  <c r="H437" i="26"/>
  <c r="D471" i="26"/>
  <c r="J464" i="26"/>
  <c r="H471" i="26"/>
  <c r="H470" i="26"/>
  <c r="D504" i="26"/>
  <c r="J497" i="26"/>
  <c r="H504" i="26"/>
  <c r="H503" i="26"/>
  <c r="C535" i="26"/>
  <c r="D537" i="26"/>
  <c r="J530" i="26"/>
  <c r="H537" i="26"/>
  <c r="H536" i="26"/>
  <c r="C568" i="26"/>
  <c r="H570" i="26"/>
  <c r="H569" i="26"/>
  <c r="H603" i="26"/>
  <c r="H602" i="26"/>
  <c r="H636" i="26"/>
  <c r="H635" i="26"/>
  <c r="H669" i="26"/>
  <c r="H668" i="26"/>
  <c r="H702" i="26"/>
  <c r="H701" i="26"/>
  <c r="H735" i="26"/>
  <c r="H734" i="26"/>
  <c r="H768" i="26"/>
  <c r="H767" i="26"/>
  <c r="H801" i="26"/>
  <c r="H800" i="26"/>
  <c r="H834" i="26"/>
  <c r="H833" i="26"/>
  <c r="C12" i="38"/>
  <c r="C13" i="38"/>
  <c r="C14" i="38"/>
  <c r="C15" i="38"/>
  <c r="C53" i="38"/>
  <c r="C16" i="38"/>
  <c r="C17" i="38"/>
  <c r="C18" i="38"/>
  <c r="C19" i="38"/>
  <c r="C57" i="38"/>
  <c r="C20" i="38"/>
  <c r="C21" i="38"/>
  <c r="C50" i="38"/>
  <c r="C51" i="38"/>
  <c r="C52" i="38"/>
  <c r="C54" i="38"/>
  <c r="C55" i="38"/>
  <c r="C56" i="38"/>
  <c r="C58" i="38"/>
  <c r="C59" i="38"/>
  <c r="C11" i="41"/>
  <c r="C12" i="41"/>
  <c r="C13" i="41"/>
  <c r="C14" i="41"/>
  <c r="C15" i="41"/>
  <c r="C16" i="41"/>
  <c r="C17" i="41"/>
  <c r="C18" i="41"/>
  <c r="C19" i="41"/>
  <c r="C20" i="41"/>
  <c r="D44" i="41"/>
  <c r="C49" i="41"/>
  <c r="A11" i="41"/>
  <c r="A12" i="41"/>
  <c r="A13" i="41"/>
  <c r="A14" i="41"/>
  <c r="A15" i="41"/>
  <c r="A16" i="41"/>
  <c r="A17" i="41"/>
  <c r="A18" i="41"/>
  <c r="A19" i="41"/>
  <c r="A20" i="41"/>
  <c r="P51" i="41"/>
  <c r="C61" i="41"/>
  <c r="C62" i="41"/>
  <c r="C63" i="41"/>
  <c r="C64" i="41"/>
  <c r="C65" i="41"/>
  <c r="C66" i="41"/>
  <c r="C67" i="41"/>
  <c r="C68" i="41"/>
  <c r="C69" i="41"/>
  <c r="C70" i="41"/>
  <c r="D94" i="41"/>
  <c r="C99" i="41"/>
  <c r="A61" i="41"/>
  <c r="A62" i="41"/>
  <c r="A63" i="41"/>
  <c r="A64" i="41"/>
  <c r="A65" i="41"/>
  <c r="A66" i="41"/>
  <c r="A67" i="41"/>
  <c r="A68" i="41"/>
  <c r="A69" i="41"/>
  <c r="A70" i="41"/>
  <c r="P101" i="41"/>
  <c r="C111" i="41"/>
  <c r="C112" i="41"/>
  <c r="A112" i="41"/>
  <c r="C113" i="41"/>
  <c r="C114" i="41"/>
  <c r="C115" i="41"/>
  <c r="C116" i="41"/>
  <c r="A116" i="41"/>
  <c r="C117" i="41"/>
  <c r="C118" i="41"/>
  <c r="C119" i="41"/>
  <c r="C120" i="41"/>
  <c r="A120" i="41"/>
  <c r="D144" i="41"/>
  <c r="C149" i="41"/>
  <c r="A111" i="41"/>
  <c r="A113" i="41"/>
  <c r="A114" i="41"/>
  <c r="A115" i="41"/>
  <c r="A117" i="41"/>
  <c r="A118" i="41"/>
  <c r="A119" i="41"/>
  <c r="P151" i="41"/>
  <c r="C161" i="41"/>
  <c r="C162" i="41"/>
  <c r="A162" i="41"/>
  <c r="C163" i="41"/>
  <c r="C164" i="41"/>
  <c r="C165" i="41"/>
  <c r="C166" i="41"/>
  <c r="A166" i="41"/>
  <c r="C167" i="41"/>
  <c r="C168" i="41"/>
  <c r="C169" i="41"/>
  <c r="C170" i="41"/>
  <c r="A170" i="41"/>
  <c r="D194" i="41"/>
  <c r="C199" i="41"/>
  <c r="A161" i="41"/>
  <c r="A163" i="41"/>
  <c r="A164" i="41"/>
  <c r="A165" i="41"/>
  <c r="A167" i="41"/>
  <c r="A168" i="41"/>
  <c r="A169" i="41"/>
  <c r="C11" i="82"/>
  <c r="C12" i="82"/>
  <c r="A12" i="82"/>
  <c r="C13" i="82"/>
  <c r="A13" i="82"/>
  <c r="C14" i="82"/>
  <c r="C15" i="82"/>
  <c r="C16" i="82"/>
  <c r="A16" i="82"/>
  <c r="C17" i="82"/>
  <c r="A17" i="82"/>
  <c r="C18" i="82"/>
  <c r="C19" i="82"/>
  <c r="C20" i="82"/>
  <c r="A20" i="82"/>
  <c r="D44" i="82"/>
  <c r="C52" i="82"/>
  <c r="C53" i="82"/>
  <c r="C54" i="82"/>
  <c r="C55" i="82"/>
  <c r="A55" i="82"/>
  <c r="C56" i="82"/>
  <c r="C57" i="82"/>
  <c r="C58" i="82"/>
  <c r="C59" i="82"/>
  <c r="A59" i="82"/>
  <c r="C60" i="82"/>
  <c r="C61" i="82"/>
  <c r="D85" i="82"/>
  <c r="C91" i="82"/>
  <c r="A11" i="82"/>
  <c r="A14" i="82"/>
  <c r="A15" i="82"/>
  <c r="A18" i="82"/>
  <c r="A19" i="82"/>
  <c r="A52" i="82"/>
  <c r="A53" i="82"/>
  <c r="A54" i="82"/>
  <c r="A56" i="82"/>
  <c r="A57" i="82"/>
  <c r="A58" i="82"/>
  <c r="A60" i="82"/>
  <c r="A61" i="82"/>
  <c r="F25" i="68"/>
  <c r="E25" i="68"/>
  <c r="F27" i="68"/>
  <c r="E27" i="68"/>
  <c r="E29" i="68"/>
  <c r="E30" i="68"/>
  <c r="E32" i="68"/>
  <c r="E33" i="68"/>
  <c r="E34" i="68"/>
  <c r="E35" i="68"/>
  <c r="E37" i="68"/>
  <c r="E38" i="68"/>
  <c r="E39" i="68"/>
  <c r="E40" i="68"/>
  <c r="E41" i="68"/>
  <c r="E42" i="68"/>
  <c r="E43" i="68"/>
  <c r="E44" i="68"/>
  <c r="E45" i="68"/>
  <c r="E46" i="68"/>
  <c r="E47" i="68"/>
  <c r="E48" i="68"/>
  <c r="E49" i="68"/>
  <c r="E50" i="68"/>
  <c r="E51" i="68"/>
  <c r="E52" i="68"/>
  <c r="E23" i="68"/>
  <c r="D23" i="68"/>
  <c r="R60" i="68"/>
  <c r="S60" i="68"/>
  <c r="T60" i="68"/>
  <c r="U60" i="68"/>
  <c r="V60" i="68"/>
  <c r="W60" i="68"/>
  <c r="X60" i="68"/>
  <c r="Y60" i="68"/>
  <c r="Z60" i="68"/>
  <c r="AA60" i="68"/>
  <c r="AB60" i="68"/>
  <c r="AC60" i="68"/>
  <c r="AD60" i="68"/>
  <c r="AE60" i="68"/>
  <c r="A39" i="68"/>
  <c r="A40" i="68"/>
  <c r="A41" i="68"/>
  <c r="A42" i="68"/>
  <c r="A43" i="68"/>
  <c r="A44" i="68"/>
  <c r="A45" i="68"/>
  <c r="A46" i="68"/>
  <c r="A47" i="68"/>
  <c r="A48" i="68"/>
  <c r="A49" i="68"/>
  <c r="A50" i="68"/>
  <c r="A51" i="68"/>
  <c r="A52" i="68"/>
  <c r="AF69" i="68"/>
  <c r="G77" i="68"/>
  <c r="H77" i="68"/>
  <c r="I77" i="68"/>
  <c r="J77" i="68"/>
  <c r="K77" i="68"/>
  <c r="L77" i="68"/>
  <c r="M77" i="68"/>
  <c r="N77" i="68"/>
  <c r="O77" i="68"/>
  <c r="P77" i="68"/>
  <c r="Q77" i="68"/>
  <c r="R77" i="68"/>
  <c r="S77" i="68"/>
  <c r="T77" i="68"/>
  <c r="U77" i="68"/>
  <c r="V77" i="68"/>
  <c r="W77" i="68"/>
  <c r="X77" i="68"/>
  <c r="Y77" i="68"/>
  <c r="Z77" i="68"/>
  <c r="AA77" i="68"/>
  <c r="AB77" i="68"/>
  <c r="AC77" i="68"/>
  <c r="AD77" i="68"/>
  <c r="AE77" i="68"/>
  <c r="C133" i="68"/>
  <c r="G133" i="68"/>
  <c r="J133" i="68"/>
  <c r="N133" i="68"/>
  <c r="R133" i="68"/>
  <c r="V133" i="68"/>
  <c r="Z133" i="68"/>
  <c r="H134" i="68"/>
  <c r="I134" i="68"/>
  <c r="J134" i="68"/>
  <c r="K134" i="68"/>
  <c r="L134" i="68"/>
  <c r="M134" i="68"/>
  <c r="N134" i="68"/>
  <c r="O134" i="68"/>
  <c r="P134" i="68"/>
  <c r="Q134" i="68"/>
  <c r="R134" i="68"/>
  <c r="S134" i="68"/>
  <c r="T134" i="68"/>
  <c r="U134" i="68"/>
  <c r="V134" i="68"/>
  <c r="W134" i="68"/>
  <c r="X134" i="68"/>
  <c r="Y134" i="68"/>
  <c r="Z134" i="68"/>
  <c r="AA134" i="68"/>
  <c r="C135" i="68"/>
  <c r="I135" i="68"/>
  <c r="H135" i="68"/>
  <c r="J135" i="68"/>
  <c r="L135" i="68"/>
  <c r="N135" i="68"/>
  <c r="P135" i="68"/>
  <c r="R135" i="68"/>
  <c r="T135" i="68"/>
  <c r="V135" i="68"/>
  <c r="X135" i="68"/>
  <c r="Z135" i="68"/>
  <c r="G3" i="55"/>
  <c r="G7" i="55"/>
  <c r="G9" i="55"/>
  <c r="G10" i="55"/>
  <c r="G11" i="55"/>
  <c r="H15" i="55"/>
  <c r="I15" i="55"/>
  <c r="J15" i="55"/>
  <c r="G19" i="55"/>
  <c r="H19" i="55"/>
  <c r="A8" i="89"/>
  <c r="A9" i="89"/>
  <c r="A10" i="89"/>
  <c r="A11" i="89"/>
  <c r="A12" i="89"/>
  <c r="A13" i="89"/>
  <c r="A14" i="89"/>
  <c r="A15" i="89"/>
  <c r="A16" i="89"/>
  <c r="A17" i="89"/>
  <c r="A18" i="89"/>
  <c r="A19" i="89"/>
  <c r="A20" i="89"/>
  <c r="A21" i="89"/>
  <c r="A22" i="89"/>
  <c r="A23" i="89"/>
  <c r="A24" i="89"/>
  <c r="A25" i="89"/>
  <c r="A26" i="89"/>
  <c r="A27" i="89"/>
  <c r="A28" i="89"/>
  <c r="A29" i="89"/>
  <c r="A30" i="89"/>
  <c r="A31" i="89"/>
  <c r="A32" i="89"/>
  <c r="A33" i="89"/>
  <c r="A34" i="89"/>
  <c r="A35" i="89"/>
  <c r="A36" i="89"/>
  <c r="A37" i="89"/>
  <c r="A38" i="89"/>
  <c r="A39" i="89"/>
  <c r="A40" i="89"/>
  <c r="A41" i="89"/>
  <c r="E9" i="85"/>
  <c r="F10" i="85"/>
  <c r="H10" i="85"/>
  <c r="L10" i="85"/>
  <c r="N10" i="85"/>
  <c r="D12" i="85"/>
  <c r="D15" i="85"/>
  <c r="D18" i="85"/>
  <c r="N22" i="85"/>
  <c r="J24" i="85"/>
  <c r="C28" i="85"/>
  <c r="W2" i="85"/>
  <c r="A22" i="85"/>
  <c r="C4" i="283"/>
  <c r="AF7" i="283"/>
  <c r="AG7" i="283"/>
  <c r="AH7" i="283"/>
  <c r="AI7" i="283"/>
  <c r="S9" i="283"/>
  <c r="Z9" i="283"/>
  <c r="AA9" i="283"/>
  <c r="AB9" i="283"/>
  <c r="AC9" i="283"/>
  <c r="AD9" i="283"/>
  <c r="AE9" i="283"/>
  <c r="E11" i="283"/>
  <c r="F11" i="283"/>
  <c r="G11" i="283"/>
  <c r="H11" i="283"/>
  <c r="I11" i="283"/>
  <c r="J11" i="283"/>
  <c r="K11" i="283"/>
  <c r="L11" i="283"/>
  <c r="M11" i="283"/>
  <c r="N11" i="283"/>
  <c r="O11" i="283"/>
  <c r="P11" i="283"/>
  <c r="Q11" i="283"/>
  <c r="R11" i="283"/>
  <c r="S11" i="283"/>
  <c r="Z11" i="283"/>
  <c r="T11" i="283"/>
  <c r="U11" i="283"/>
  <c r="V11" i="283"/>
  <c r="AF11" i="283"/>
  <c r="W11" i="283"/>
  <c r="X11" i="283"/>
  <c r="AH11" i="283"/>
  <c r="Y11" i="283"/>
  <c r="AI11" i="283"/>
  <c r="AD11" i="283"/>
  <c r="AJ11" i="283"/>
  <c r="AK11" i="283"/>
  <c r="AL11" i="283"/>
  <c r="AM11" i="283"/>
  <c r="AN11" i="283"/>
  <c r="AO11" i="283"/>
  <c r="AP11" i="283"/>
  <c r="AR11" i="283"/>
  <c r="E12" i="283"/>
  <c r="F12" i="283"/>
  <c r="G12" i="283"/>
  <c r="H12" i="283"/>
  <c r="I12" i="283"/>
  <c r="J12" i="283"/>
  <c r="K12" i="283"/>
  <c r="L12" i="283"/>
  <c r="M12" i="283"/>
  <c r="N12" i="283"/>
  <c r="O12" i="283"/>
  <c r="P12" i="283"/>
  <c r="Q12" i="283"/>
  <c r="R12" i="283"/>
  <c r="S12" i="283"/>
  <c r="AC12" i="283"/>
  <c r="T12" i="283"/>
  <c r="U12" i="283"/>
  <c r="V12" i="283"/>
  <c r="W12" i="283"/>
  <c r="X12" i="283"/>
  <c r="AH12" i="283"/>
  <c r="Y12" i="283"/>
  <c r="AI12" i="283"/>
  <c r="AJ12" i="283"/>
  <c r="AK12" i="283"/>
  <c r="AL12" i="283"/>
  <c r="AM12" i="283"/>
  <c r="AN12" i="283"/>
  <c r="AO12" i="283"/>
  <c r="AP12" i="283"/>
  <c r="AQ12" i="283"/>
  <c r="E13" i="283"/>
  <c r="F13" i="283"/>
  <c r="G13" i="283"/>
  <c r="H13" i="283"/>
  <c r="I13" i="283"/>
  <c r="J13" i="283"/>
  <c r="K13" i="283"/>
  <c r="L13" i="283"/>
  <c r="M13" i="283"/>
  <c r="N13" i="283"/>
  <c r="O13" i="283"/>
  <c r="P13" i="283"/>
  <c r="Q13" i="283"/>
  <c r="R13" i="283"/>
  <c r="S13" i="283"/>
  <c r="AD13" i="283"/>
  <c r="T13" i="283"/>
  <c r="U13" i="283"/>
  <c r="V13" i="283"/>
  <c r="W13" i="283"/>
  <c r="X13" i="283"/>
  <c r="AH13" i="283"/>
  <c r="Y13" i="283"/>
  <c r="AI13" i="283"/>
  <c r="AJ13" i="283"/>
  <c r="AK13" i="283"/>
  <c r="AL13" i="283"/>
  <c r="AM13" i="283"/>
  <c r="AN13" i="283"/>
  <c r="AO13" i="283"/>
  <c r="AP13" i="283"/>
  <c r="AR13" i="283"/>
  <c r="E14" i="283"/>
  <c r="F14" i="283"/>
  <c r="G14" i="283"/>
  <c r="H14" i="283"/>
  <c r="I14" i="283"/>
  <c r="J14" i="283"/>
  <c r="K14" i="283"/>
  <c r="L14" i="283"/>
  <c r="M14" i="283"/>
  <c r="N14" i="283"/>
  <c r="O14" i="283"/>
  <c r="P14" i="283"/>
  <c r="Q14" i="283"/>
  <c r="R14" i="283"/>
  <c r="S14" i="283"/>
  <c r="T14" i="283"/>
  <c r="U14" i="283"/>
  <c r="V14" i="283"/>
  <c r="W14" i="283"/>
  <c r="X14" i="283"/>
  <c r="AH14" i="283"/>
  <c r="Y14" i="283"/>
  <c r="AI14" i="283"/>
  <c r="AJ14" i="283"/>
  <c r="AK14" i="283"/>
  <c r="AL14" i="283"/>
  <c r="AM14" i="283"/>
  <c r="AN14" i="283"/>
  <c r="AO14" i="283"/>
  <c r="AP14" i="283"/>
  <c r="E15" i="283"/>
  <c r="F15" i="283"/>
  <c r="G15" i="283"/>
  <c r="H15" i="283"/>
  <c r="I15" i="283"/>
  <c r="J15" i="283"/>
  <c r="K15" i="283"/>
  <c r="L15" i="283"/>
  <c r="M15" i="283"/>
  <c r="N15" i="283"/>
  <c r="O15" i="283"/>
  <c r="P15" i="283"/>
  <c r="Q15" i="283"/>
  <c r="R15" i="283"/>
  <c r="S15" i="283"/>
  <c r="AD15" i="283"/>
  <c r="T15" i="283"/>
  <c r="U15" i="283"/>
  <c r="V15" i="283"/>
  <c r="W15" i="283"/>
  <c r="X15" i="283"/>
  <c r="AH15" i="283"/>
  <c r="Y15" i="283"/>
  <c r="AI15" i="283"/>
  <c r="AB15" i="283"/>
  <c r="AE15" i="283"/>
  <c r="AG15" i="283"/>
  <c r="AJ15" i="283"/>
  <c r="AK15" i="283"/>
  <c r="AL15" i="283"/>
  <c r="AM15" i="283"/>
  <c r="AN15" i="283"/>
  <c r="AO15" i="283"/>
  <c r="AP15" i="283"/>
  <c r="E16" i="283"/>
  <c r="F16" i="283"/>
  <c r="G16" i="283"/>
  <c r="H16" i="283"/>
  <c r="I16" i="283"/>
  <c r="J16" i="283"/>
  <c r="K16" i="283"/>
  <c r="L16" i="283"/>
  <c r="M16" i="283"/>
  <c r="N16" i="283"/>
  <c r="O16" i="283"/>
  <c r="P16" i="283"/>
  <c r="Q16" i="283"/>
  <c r="R16" i="283"/>
  <c r="S16" i="283"/>
  <c r="AC16" i="283"/>
  <c r="T16" i="283"/>
  <c r="U16" i="283"/>
  <c r="AA16" i="283"/>
  <c r="V16" i="283"/>
  <c r="W16" i="283"/>
  <c r="X16" i="283"/>
  <c r="Y16" i="283"/>
  <c r="AI16" i="283"/>
  <c r="AE16" i="283"/>
  <c r="AJ16" i="283"/>
  <c r="AK16" i="283"/>
  <c r="AL16" i="283"/>
  <c r="AM16" i="283"/>
  <c r="AN16" i="283"/>
  <c r="AO16" i="283"/>
  <c r="AP16" i="283"/>
  <c r="AR16" i="283"/>
  <c r="E17" i="283"/>
  <c r="F17" i="283"/>
  <c r="G17" i="283"/>
  <c r="H17" i="283"/>
  <c r="I17" i="283"/>
  <c r="J17" i="283"/>
  <c r="K17" i="283"/>
  <c r="L17" i="283"/>
  <c r="M17" i="283"/>
  <c r="N17" i="283"/>
  <c r="O17" i="283"/>
  <c r="P17" i="283"/>
  <c r="Q17" i="283"/>
  <c r="R17" i="283"/>
  <c r="S17" i="283"/>
  <c r="AD17" i="283"/>
  <c r="T17" i="283"/>
  <c r="U17" i="283"/>
  <c r="V17" i="283"/>
  <c r="W17" i="283"/>
  <c r="X17" i="283"/>
  <c r="AH17" i="283"/>
  <c r="Y17" i="283"/>
  <c r="AI17" i="283"/>
  <c r="AJ17" i="283"/>
  <c r="AK17" i="283"/>
  <c r="AL17" i="283"/>
  <c r="AM17" i="283"/>
  <c r="AN17" i="283"/>
  <c r="AO17" i="283"/>
  <c r="AP17" i="283"/>
  <c r="E18" i="283"/>
  <c r="F18" i="283"/>
  <c r="G18" i="283"/>
  <c r="H18" i="283"/>
  <c r="I18" i="283"/>
  <c r="J18" i="283"/>
  <c r="K18" i="283"/>
  <c r="L18" i="283"/>
  <c r="M18" i="283"/>
  <c r="N18" i="283"/>
  <c r="O18" i="283"/>
  <c r="P18" i="283"/>
  <c r="Q18" i="283"/>
  <c r="R18" i="283"/>
  <c r="S18" i="283"/>
  <c r="AD18" i="283"/>
  <c r="T18" i="283"/>
  <c r="U18" i="283"/>
  <c r="V18" i="283"/>
  <c r="W18" i="283"/>
  <c r="X18" i="283"/>
  <c r="AH18" i="283"/>
  <c r="Y18" i="283"/>
  <c r="AI18" i="283"/>
  <c r="AJ18" i="283"/>
  <c r="AK18" i="283"/>
  <c r="AL18" i="283"/>
  <c r="AM18" i="283"/>
  <c r="AN18" i="283"/>
  <c r="AO18" i="283"/>
  <c r="AP18" i="283"/>
  <c r="AR18" i="283"/>
  <c r="AU18" i="283"/>
  <c r="E19" i="283"/>
  <c r="F19" i="283"/>
  <c r="G19" i="283"/>
  <c r="H19" i="283"/>
  <c r="I19" i="283"/>
  <c r="J19" i="283"/>
  <c r="K19" i="283"/>
  <c r="L19" i="283"/>
  <c r="M19" i="283"/>
  <c r="N19" i="283"/>
  <c r="O19" i="283"/>
  <c r="P19" i="283"/>
  <c r="Q19" i="283"/>
  <c r="R19" i="283"/>
  <c r="S19" i="283"/>
  <c r="AD19" i="283"/>
  <c r="T19" i="283"/>
  <c r="U19" i="283"/>
  <c r="V19" i="283"/>
  <c r="W19" i="283"/>
  <c r="X19" i="283"/>
  <c r="AH19" i="283"/>
  <c r="Y19" i="283"/>
  <c r="AI19" i="283"/>
  <c r="AJ19" i="283"/>
  <c r="AK19" i="283"/>
  <c r="AL19" i="283"/>
  <c r="AM19" i="283"/>
  <c r="AN19" i="283"/>
  <c r="AO19" i="283"/>
  <c r="AP19" i="283"/>
  <c r="E20" i="283"/>
  <c r="F20" i="283"/>
  <c r="G20" i="283"/>
  <c r="H20" i="283"/>
  <c r="I20" i="283"/>
  <c r="J20" i="283"/>
  <c r="K20" i="283"/>
  <c r="L20" i="283"/>
  <c r="M20" i="283"/>
  <c r="N20" i="283"/>
  <c r="O20" i="283"/>
  <c r="P20" i="283"/>
  <c r="Q20" i="283"/>
  <c r="R20" i="283"/>
  <c r="S20" i="283"/>
  <c r="AC20" i="283"/>
  <c r="T20" i="283"/>
  <c r="U20" i="283"/>
  <c r="V20" i="283"/>
  <c r="W20" i="283"/>
  <c r="X20" i="283"/>
  <c r="AH20" i="283"/>
  <c r="Y20" i="283"/>
  <c r="AI20" i="283"/>
  <c r="AA20" i="283"/>
  <c r="AJ20" i="283"/>
  <c r="AK20" i="283"/>
  <c r="AL20" i="283"/>
  <c r="AM20" i="283"/>
  <c r="AN20" i="283"/>
  <c r="AO20" i="283"/>
  <c r="AP20" i="283"/>
  <c r="AR20" i="283"/>
  <c r="E21" i="283"/>
  <c r="F21" i="283"/>
  <c r="G21" i="283"/>
  <c r="H21" i="283"/>
  <c r="I21" i="283"/>
  <c r="J21" i="283"/>
  <c r="K21" i="283"/>
  <c r="L21" i="283"/>
  <c r="M21" i="283"/>
  <c r="N21" i="283"/>
  <c r="O21" i="283"/>
  <c r="P21" i="283"/>
  <c r="Q21" i="283"/>
  <c r="R21" i="283"/>
  <c r="S21" i="283"/>
  <c r="AD21" i="283"/>
  <c r="T21" i="283"/>
  <c r="U21" i="283"/>
  <c r="V21" i="283"/>
  <c r="W21" i="283"/>
  <c r="X21" i="283"/>
  <c r="AH21" i="283"/>
  <c r="Y21" i="283"/>
  <c r="AJ21" i="283"/>
  <c r="AK21" i="283"/>
  <c r="AL21" i="283"/>
  <c r="AM21" i="283"/>
  <c r="AN21" i="283"/>
  <c r="AO21" i="283"/>
  <c r="AP21" i="283"/>
  <c r="E22" i="283"/>
  <c r="F22" i="283"/>
  <c r="G22" i="283"/>
  <c r="H22" i="283"/>
  <c r="I22" i="283"/>
  <c r="J22" i="283"/>
  <c r="K22" i="283"/>
  <c r="L22" i="283"/>
  <c r="M22" i="283"/>
  <c r="N22" i="283"/>
  <c r="O22" i="283"/>
  <c r="P22" i="283"/>
  <c r="Q22" i="283"/>
  <c r="R22" i="283"/>
  <c r="S22" i="283"/>
  <c r="T22" i="283"/>
  <c r="U22" i="283"/>
  <c r="V22" i="283"/>
  <c r="W22" i="283"/>
  <c r="X22" i="283"/>
  <c r="Y22" i="283"/>
  <c r="AI22" i="283"/>
  <c r="AH22" i="283"/>
  <c r="AJ22" i="283"/>
  <c r="AK22" i="283"/>
  <c r="AL22" i="283"/>
  <c r="AM22" i="283"/>
  <c r="AN22" i="283"/>
  <c r="AO22" i="283"/>
  <c r="AP22" i="283"/>
  <c r="E23" i="283"/>
  <c r="F23" i="283"/>
  <c r="G23" i="283"/>
  <c r="H23" i="283"/>
  <c r="I23" i="283"/>
  <c r="J23" i="283"/>
  <c r="K23" i="283"/>
  <c r="L23" i="283"/>
  <c r="M23" i="283"/>
  <c r="N23" i="283"/>
  <c r="O23" i="283"/>
  <c r="P23" i="283"/>
  <c r="Q23" i="283"/>
  <c r="R23" i="283"/>
  <c r="S23" i="283"/>
  <c r="AD23" i="283"/>
  <c r="T23" i="283"/>
  <c r="U23" i="283"/>
  <c r="V23" i="283"/>
  <c r="W23" i="283"/>
  <c r="X23" i="283"/>
  <c r="AH23" i="283"/>
  <c r="Y23" i="283"/>
  <c r="AI23" i="283"/>
  <c r="AJ23" i="283"/>
  <c r="AK23" i="283"/>
  <c r="AL23" i="283"/>
  <c r="AM23" i="283"/>
  <c r="AN23" i="283"/>
  <c r="AO23" i="283"/>
  <c r="AP23" i="283"/>
  <c r="AR23" i="283"/>
  <c r="AU23" i="283"/>
  <c r="E24" i="283"/>
  <c r="F24" i="283"/>
  <c r="G24" i="283"/>
  <c r="H24" i="283"/>
  <c r="I24" i="283"/>
  <c r="J24" i="283"/>
  <c r="K24" i="283"/>
  <c r="L24" i="283"/>
  <c r="M24" i="283"/>
  <c r="N24" i="283"/>
  <c r="O24" i="283"/>
  <c r="P24" i="283"/>
  <c r="Q24" i="283"/>
  <c r="R24" i="283"/>
  <c r="S24" i="283"/>
  <c r="AC24" i="283"/>
  <c r="T24" i="283"/>
  <c r="U24" i="283"/>
  <c r="V24" i="283"/>
  <c r="W24" i="283"/>
  <c r="X24" i="283"/>
  <c r="AH24" i="283"/>
  <c r="Y24" i="283"/>
  <c r="AI24" i="283"/>
  <c r="AE24" i="283"/>
  <c r="AJ24" i="283"/>
  <c r="AK24" i="283"/>
  <c r="AL24" i="283"/>
  <c r="AM24" i="283"/>
  <c r="AN24" i="283"/>
  <c r="AO24" i="283"/>
  <c r="AP24" i="283"/>
  <c r="AR24" i="283"/>
  <c r="E25" i="283"/>
  <c r="F25" i="283"/>
  <c r="G25" i="283"/>
  <c r="H25" i="283"/>
  <c r="I25" i="283"/>
  <c r="J25" i="283"/>
  <c r="K25" i="283"/>
  <c r="L25" i="283"/>
  <c r="M25" i="283"/>
  <c r="N25" i="283"/>
  <c r="O25" i="283"/>
  <c r="P25" i="283"/>
  <c r="Q25" i="283"/>
  <c r="R25" i="283"/>
  <c r="S25" i="283"/>
  <c r="AC25" i="283"/>
  <c r="T25" i="283"/>
  <c r="U25" i="283"/>
  <c r="V25" i="283"/>
  <c r="W25" i="283"/>
  <c r="X25" i="283"/>
  <c r="AH25" i="283"/>
  <c r="Y25" i="283"/>
  <c r="AI25" i="283"/>
  <c r="AJ25" i="283"/>
  <c r="AK25" i="283"/>
  <c r="AL25" i="283"/>
  <c r="AM25" i="283"/>
  <c r="AN25" i="283"/>
  <c r="AO25" i="283"/>
  <c r="AP25" i="283"/>
  <c r="AR25" i="283"/>
  <c r="AU25" i="283"/>
  <c r="E26" i="283"/>
  <c r="F26" i="283"/>
  <c r="G26" i="283"/>
  <c r="H26" i="283"/>
  <c r="I26" i="283"/>
  <c r="J26" i="283"/>
  <c r="K26" i="283"/>
  <c r="L26" i="283"/>
  <c r="M26" i="283"/>
  <c r="N26" i="283"/>
  <c r="O26" i="283"/>
  <c r="P26" i="283"/>
  <c r="Q26" i="283"/>
  <c r="R26" i="283"/>
  <c r="S26" i="283"/>
  <c r="T26" i="283"/>
  <c r="U26" i="283"/>
  <c r="V26" i="283"/>
  <c r="W26" i="283"/>
  <c r="X26" i="283"/>
  <c r="Y26" i="283"/>
  <c r="AI26" i="283"/>
  <c r="AD26" i="283"/>
  <c r="AJ26" i="283"/>
  <c r="AJ36" i="283"/>
  <c r="AK26" i="283"/>
  <c r="AL26" i="283"/>
  <c r="AM26" i="283"/>
  <c r="AN26" i="283"/>
  <c r="AO26" i="283"/>
  <c r="AP26" i="283"/>
  <c r="AR26" i="283"/>
  <c r="E27" i="283"/>
  <c r="F27" i="283"/>
  <c r="G27" i="283"/>
  <c r="H27" i="283"/>
  <c r="I27" i="283"/>
  <c r="J27" i="283"/>
  <c r="K27" i="283"/>
  <c r="L27" i="283"/>
  <c r="M27" i="283"/>
  <c r="N27" i="283"/>
  <c r="O27" i="283"/>
  <c r="P27" i="283"/>
  <c r="Q27" i="283"/>
  <c r="R27" i="283"/>
  <c r="S27" i="283"/>
  <c r="AC27" i="283"/>
  <c r="T27" i="283"/>
  <c r="U27" i="283"/>
  <c r="V27" i="283"/>
  <c r="W27" i="283"/>
  <c r="X27" i="283"/>
  <c r="AH27" i="283"/>
  <c r="Y27" i="283"/>
  <c r="AI27" i="283"/>
  <c r="AJ27" i="283"/>
  <c r="AJ38" i="283"/>
  <c r="AK27" i="283"/>
  <c r="AL27" i="283"/>
  <c r="AM27" i="283"/>
  <c r="AN27" i="283"/>
  <c r="AO27" i="283"/>
  <c r="AP27" i="283"/>
  <c r="AR27" i="283"/>
  <c r="AU27" i="283"/>
  <c r="E28" i="283"/>
  <c r="F28" i="283"/>
  <c r="G28" i="283"/>
  <c r="H28" i="283"/>
  <c r="I28" i="283"/>
  <c r="J28" i="283"/>
  <c r="K28" i="283"/>
  <c r="L28" i="283"/>
  <c r="M28" i="283"/>
  <c r="N28" i="283"/>
  <c r="O28" i="283"/>
  <c r="P28" i="283"/>
  <c r="Q28" i="283"/>
  <c r="R28" i="283"/>
  <c r="S28" i="283"/>
  <c r="AC28" i="283"/>
  <c r="T28" i="283"/>
  <c r="U28" i="283"/>
  <c r="V28" i="283"/>
  <c r="W28" i="283"/>
  <c r="X28" i="283"/>
  <c r="AH28" i="283"/>
  <c r="Y28" i="283"/>
  <c r="AI28" i="283"/>
  <c r="AJ28" i="283"/>
  <c r="AK28" i="283"/>
  <c r="AL28" i="283"/>
  <c r="AM28" i="283"/>
  <c r="AN28" i="283"/>
  <c r="AO28" i="283"/>
  <c r="AP28" i="283"/>
  <c r="AR28" i="283"/>
  <c r="E29" i="283"/>
  <c r="F29" i="283"/>
  <c r="G29" i="283"/>
  <c r="H29" i="283"/>
  <c r="I29" i="283"/>
  <c r="J29" i="283"/>
  <c r="K29" i="283"/>
  <c r="L29" i="283"/>
  <c r="M29" i="283"/>
  <c r="N29" i="283"/>
  <c r="O29" i="283"/>
  <c r="P29" i="283"/>
  <c r="Q29" i="283"/>
  <c r="R29" i="283"/>
  <c r="S29" i="283"/>
  <c r="AD29" i="283"/>
  <c r="T29" i="283"/>
  <c r="U29" i="283"/>
  <c r="V29" i="283"/>
  <c r="W29" i="283"/>
  <c r="X29" i="283"/>
  <c r="AH29" i="283"/>
  <c r="Y29" i="283"/>
  <c r="AI29" i="283"/>
  <c r="AC29" i="283"/>
  <c r="AJ29" i="283"/>
  <c r="AK29" i="283"/>
  <c r="AL29" i="283"/>
  <c r="AM29" i="283"/>
  <c r="AN29" i="283"/>
  <c r="AO29" i="283"/>
  <c r="AP29" i="283"/>
  <c r="AQ9" i="283"/>
  <c r="AR9" i="283"/>
  <c r="AS9" i="283"/>
  <c r="AT9" i="283"/>
  <c r="AU9" i="283"/>
  <c r="AV9" i="283"/>
  <c r="A11" i="283"/>
  <c r="AX11" i="283"/>
  <c r="AZ11" i="283"/>
  <c r="AY11" i="283"/>
  <c r="BA11" i="283"/>
  <c r="BB11" i="283"/>
  <c r="BC11" i="283"/>
  <c r="BD11" i="283"/>
  <c r="BE11" i="283"/>
  <c r="BF11" i="283"/>
  <c r="A12" i="283"/>
  <c r="AX12" i="283"/>
  <c r="AZ12" i="283"/>
  <c r="AY12" i="283"/>
  <c r="BA12" i="283"/>
  <c r="BB12" i="283"/>
  <c r="BC12" i="283"/>
  <c r="BD12" i="283"/>
  <c r="BE12" i="283"/>
  <c r="BF12" i="283"/>
  <c r="A13" i="283"/>
  <c r="AX13" i="283"/>
  <c r="AZ13" i="283"/>
  <c r="AY13" i="283"/>
  <c r="BA13" i="283"/>
  <c r="BB13" i="283"/>
  <c r="BC13" i="283"/>
  <c r="BD13" i="283"/>
  <c r="BE13" i="283"/>
  <c r="BF13" i="283"/>
  <c r="A14" i="283"/>
  <c r="AR14" i="283"/>
  <c r="AU14" i="283"/>
  <c r="AX14" i="283"/>
  <c r="AZ14" i="283"/>
  <c r="AY14" i="283"/>
  <c r="BA14" i="283"/>
  <c r="BB14" i="283"/>
  <c r="BC14" i="283"/>
  <c r="BD14" i="283"/>
  <c r="BE14" i="283"/>
  <c r="BF14" i="283"/>
  <c r="A15" i="283"/>
  <c r="AR15" i="283"/>
  <c r="AU15" i="283"/>
  <c r="AX15" i="283"/>
  <c r="AZ15" i="283"/>
  <c r="AY15" i="283"/>
  <c r="BA15" i="283"/>
  <c r="BB15" i="283"/>
  <c r="BC15" i="283"/>
  <c r="BD15" i="283"/>
  <c r="BE15" i="283"/>
  <c r="BF15" i="283"/>
  <c r="A16" i="283"/>
  <c r="AX16" i="283"/>
  <c r="AZ16" i="283"/>
  <c r="AY16" i="283"/>
  <c r="BA16" i="283"/>
  <c r="BB16" i="283"/>
  <c r="BC16" i="283"/>
  <c r="BD16" i="283"/>
  <c r="BE16" i="283"/>
  <c r="BF16" i="283"/>
  <c r="A17" i="283"/>
  <c r="AR17" i="283"/>
  <c r="AU17" i="283"/>
  <c r="AX17" i="283"/>
  <c r="AZ17" i="283"/>
  <c r="AY17" i="283"/>
  <c r="BA17" i="283"/>
  <c r="BB17" i="283"/>
  <c r="BC17" i="283"/>
  <c r="BD17" i="283"/>
  <c r="BE17" i="283"/>
  <c r="BF17" i="283"/>
  <c r="A18" i="283"/>
  <c r="AX18" i="283"/>
  <c r="AZ18" i="283"/>
  <c r="AY18" i="283"/>
  <c r="BA18" i="283"/>
  <c r="BB18" i="283"/>
  <c r="BC18" i="283"/>
  <c r="BD18" i="283"/>
  <c r="BE18" i="283"/>
  <c r="BF18" i="283"/>
  <c r="A19" i="283"/>
  <c r="AR19" i="283"/>
  <c r="AU19" i="283"/>
  <c r="AX19" i="283"/>
  <c r="AZ19" i="283"/>
  <c r="AY19" i="283"/>
  <c r="BA19" i="283"/>
  <c r="BB19" i="283"/>
  <c r="BC19" i="283"/>
  <c r="BD19" i="283"/>
  <c r="BE19" i="283"/>
  <c r="BF19" i="283"/>
  <c r="A20" i="283"/>
  <c r="AX20" i="283"/>
  <c r="AZ20" i="283"/>
  <c r="AY20" i="283"/>
  <c r="BA20" i="283"/>
  <c r="BB20" i="283"/>
  <c r="BC20" i="283"/>
  <c r="BD20" i="283"/>
  <c r="BE20" i="283"/>
  <c r="BF20" i="283"/>
  <c r="A21" i="283"/>
  <c r="AR21" i="283"/>
  <c r="AU21" i="283"/>
  <c r="AX21" i="283"/>
  <c r="AZ21" i="283"/>
  <c r="AY21" i="283"/>
  <c r="BA21" i="283"/>
  <c r="BB21" i="283"/>
  <c r="BC21" i="283"/>
  <c r="BD21" i="283"/>
  <c r="BE21" i="283"/>
  <c r="BF21" i="283"/>
  <c r="A22" i="283"/>
  <c r="AR22" i="283"/>
  <c r="AX22" i="283"/>
  <c r="AZ22" i="283"/>
  <c r="AY22" i="283"/>
  <c r="BA22" i="283"/>
  <c r="BB22" i="283"/>
  <c r="BC22" i="283"/>
  <c r="BD22" i="283"/>
  <c r="BE22" i="283"/>
  <c r="BF22" i="283"/>
  <c r="A23" i="283"/>
  <c r="AX23" i="283"/>
  <c r="AZ23" i="283"/>
  <c r="AY23" i="283"/>
  <c r="BA23" i="283"/>
  <c r="BB23" i="283"/>
  <c r="BC23" i="283"/>
  <c r="BD23" i="283"/>
  <c r="BE23" i="283"/>
  <c r="BF23" i="283"/>
  <c r="A24" i="283"/>
  <c r="AX24" i="283"/>
  <c r="AZ24" i="283"/>
  <c r="AY24" i="283"/>
  <c r="BA24" i="283"/>
  <c r="BB24" i="283"/>
  <c r="BC24" i="283"/>
  <c r="BD24" i="283"/>
  <c r="BE24" i="283"/>
  <c r="BF24" i="283"/>
  <c r="A25" i="283"/>
  <c r="AX25" i="283"/>
  <c r="AZ25" i="283"/>
  <c r="AY25" i="283"/>
  <c r="BA25" i="283"/>
  <c r="BB25" i="283"/>
  <c r="BC25" i="283"/>
  <c r="BD25" i="283"/>
  <c r="BE25" i="283"/>
  <c r="BF25" i="283"/>
  <c r="A26" i="283"/>
  <c r="AX26" i="283"/>
  <c r="AZ26" i="283"/>
  <c r="AY26" i="283"/>
  <c r="BA26" i="283"/>
  <c r="BB26" i="283"/>
  <c r="BC26" i="283"/>
  <c r="BD26" i="283"/>
  <c r="BE26" i="283"/>
  <c r="BF26" i="283"/>
  <c r="A27" i="283"/>
  <c r="AX27" i="283"/>
  <c r="AZ27" i="283"/>
  <c r="AY27" i="283"/>
  <c r="BA27" i="283"/>
  <c r="BB27" i="283"/>
  <c r="BC27" i="283"/>
  <c r="BD27" i="283"/>
  <c r="BE27" i="283"/>
  <c r="BF27" i="283"/>
  <c r="A28" i="283"/>
  <c r="AX28" i="283"/>
  <c r="AZ28" i="283"/>
  <c r="AY28" i="283"/>
  <c r="BA28" i="283"/>
  <c r="BB28" i="283"/>
  <c r="BC28" i="283"/>
  <c r="BD28" i="283"/>
  <c r="BE28" i="283"/>
  <c r="BF28" i="283"/>
  <c r="A29" i="283"/>
  <c r="AR29" i="283"/>
  <c r="AX29" i="283"/>
  <c r="AZ29" i="283"/>
  <c r="AY29" i="283"/>
  <c r="BA29" i="283"/>
  <c r="BB29" i="283"/>
  <c r="BC29" i="283"/>
  <c r="BD29" i="283"/>
  <c r="BE29" i="283"/>
  <c r="BF29" i="283"/>
  <c r="A30" i="283"/>
  <c r="E30" i="283"/>
  <c r="BD30" i="283"/>
  <c r="F30" i="283"/>
  <c r="G30" i="283"/>
  <c r="H30" i="283"/>
  <c r="I30" i="283"/>
  <c r="J30" i="283"/>
  <c r="K30" i="283"/>
  <c r="L30" i="283"/>
  <c r="M30" i="283"/>
  <c r="N30" i="283"/>
  <c r="O30" i="283"/>
  <c r="P30" i="283"/>
  <c r="Q30" i="283"/>
  <c r="R30" i="283"/>
  <c r="S30" i="283"/>
  <c r="Z30" i="283"/>
  <c r="T30" i="283"/>
  <c r="AF30" i="283"/>
  <c r="U30" i="283"/>
  <c r="V30" i="283"/>
  <c r="W30" i="283"/>
  <c r="AG30" i="283"/>
  <c r="X30" i="283"/>
  <c r="AH30" i="283"/>
  <c r="Y30" i="283"/>
  <c r="AI30" i="283"/>
  <c r="AJ30" i="283"/>
  <c r="AK30" i="283"/>
  <c r="AK36" i="283"/>
  <c r="AL30" i="283"/>
  <c r="AM30" i="283"/>
  <c r="AN30" i="283"/>
  <c r="AO30" i="283"/>
  <c r="AO36" i="283"/>
  <c r="AP30" i="283"/>
  <c r="AR30" i="283"/>
  <c r="AX30" i="283"/>
  <c r="AZ30" i="283"/>
  <c r="AY30" i="283"/>
  <c r="BA30" i="283"/>
  <c r="BB30" i="283"/>
  <c r="BC30" i="283"/>
  <c r="BE30" i="283"/>
  <c r="BF30" i="283"/>
  <c r="D33" i="283"/>
  <c r="AL36" i="283"/>
  <c r="AM36" i="283"/>
  <c r="AN36" i="283"/>
  <c r="AJ37" i="283"/>
  <c r="AK37" i="283"/>
  <c r="AL37" i="283"/>
  <c r="AM37" i="283"/>
  <c r="AN37" i="283"/>
  <c r="AO37" i="283"/>
  <c r="AL38" i="283"/>
  <c r="AM38" i="283"/>
  <c r="AN38" i="283"/>
  <c r="AJ39" i="283"/>
  <c r="AK39" i="283"/>
  <c r="AL39" i="283"/>
  <c r="AM39" i="283"/>
  <c r="AN39" i="283"/>
  <c r="AO39" i="283"/>
  <c r="AL40" i="283"/>
  <c r="AM40" i="283"/>
  <c r="AN40" i="283"/>
  <c r="AJ41" i="283"/>
  <c r="AK41" i="283"/>
  <c r="AL41" i="283"/>
  <c r="AM41" i="283"/>
  <c r="AN41" i="283"/>
  <c r="AO41" i="283"/>
  <c r="F47" i="283"/>
  <c r="N47" i="283"/>
  <c r="E48" i="283"/>
  <c r="E49" i="283"/>
  <c r="F48" i="283"/>
  <c r="N48" i="283"/>
  <c r="F49" i="283"/>
  <c r="N49" i="283"/>
  <c r="E50" i="283"/>
  <c r="E51" i="283"/>
  <c r="E52" i="283"/>
  <c r="E53" i="283"/>
  <c r="E54" i="283"/>
  <c r="E55" i="283"/>
  <c r="E56" i="283"/>
  <c r="E57" i="283"/>
  <c r="E58" i="283"/>
  <c r="E59" i="283"/>
  <c r="E60" i="283"/>
  <c r="E61" i="283"/>
  <c r="E62" i="283"/>
  <c r="E63" i="283"/>
  <c r="E64" i="283"/>
  <c r="E65" i="283"/>
  <c r="E66" i="283"/>
  <c r="F50" i="283"/>
  <c r="N50" i="283"/>
  <c r="F51" i="283"/>
  <c r="N51" i="283"/>
  <c r="F52" i="283"/>
  <c r="N52" i="283"/>
  <c r="F53" i="283"/>
  <c r="N53" i="283"/>
  <c r="F54" i="283"/>
  <c r="N54" i="283"/>
  <c r="F55" i="283"/>
  <c r="N55" i="283"/>
  <c r="F56" i="283"/>
  <c r="N56" i="283"/>
  <c r="F57" i="283"/>
  <c r="N57" i="283"/>
  <c r="F58" i="283"/>
  <c r="N58" i="283"/>
  <c r="F59" i="283"/>
  <c r="N59" i="283"/>
  <c r="F60" i="283"/>
  <c r="N60" i="283"/>
  <c r="F61" i="283"/>
  <c r="N61" i="283"/>
  <c r="F62" i="283"/>
  <c r="N62" i="283"/>
  <c r="F63" i="283"/>
  <c r="N63" i="283"/>
  <c r="F64" i="283"/>
  <c r="N64" i="283"/>
  <c r="F65" i="283"/>
  <c r="N65" i="283"/>
  <c r="F66" i="283"/>
  <c r="N66" i="283"/>
  <c r="E9" i="39"/>
  <c r="F10" i="39"/>
  <c r="H10" i="39"/>
  <c r="L10" i="39"/>
  <c r="N10" i="39"/>
  <c r="D16" i="39"/>
  <c r="D17" i="39"/>
  <c r="D22" i="39"/>
  <c r="T22" i="39"/>
  <c r="D23" i="39"/>
  <c r="T23" i="39"/>
  <c r="N29" i="39"/>
  <c r="J31" i="39"/>
  <c r="U3" i="39"/>
  <c r="T8" i="39"/>
  <c r="T16" i="39"/>
  <c r="T17" i="39"/>
  <c r="A29" i="39"/>
  <c r="F5" i="83"/>
  <c r="P10" i="83"/>
  <c r="S10" i="83"/>
  <c r="C12" i="83"/>
  <c r="C61" i="83"/>
  <c r="C13" i="83"/>
  <c r="C62" i="83"/>
  <c r="C14" i="83"/>
  <c r="C63" i="83"/>
  <c r="C15" i="83"/>
  <c r="C64" i="83"/>
  <c r="C16" i="83"/>
  <c r="C65" i="83"/>
  <c r="C17" i="83"/>
  <c r="C66" i="83"/>
  <c r="C18" i="83"/>
  <c r="C67" i="83"/>
  <c r="C19" i="83"/>
  <c r="C68" i="83"/>
  <c r="C20" i="83"/>
  <c r="C69" i="83"/>
  <c r="C21" i="83"/>
  <c r="C70" i="83"/>
  <c r="T50" i="83"/>
  <c r="T51" i="83"/>
  <c r="F55" i="83"/>
  <c r="P60" i="83"/>
  <c r="S60" i="83"/>
  <c r="T98" i="83"/>
  <c r="C12" i="81"/>
  <c r="C13" i="81"/>
  <c r="C65" i="81"/>
  <c r="C14" i="81"/>
  <c r="C66" i="81"/>
  <c r="A66" i="81"/>
  <c r="C15" i="81"/>
  <c r="C67" i="81"/>
  <c r="A67" i="81"/>
  <c r="C16" i="81"/>
  <c r="C17" i="81"/>
  <c r="C69" i="81"/>
  <c r="C18" i="81"/>
  <c r="C19" i="81"/>
  <c r="C71" i="81"/>
  <c r="A71" i="81"/>
  <c r="C20" i="81"/>
  <c r="C21" i="81"/>
  <c r="C73" i="81"/>
  <c r="E45" i="81"/>
  <c r="R45" i="81"/>
  <c r="AE45" i="81"/>
  <c r="C48" i="81"/>
  <c r="C51" i="81"/>
  <c r="AQ53" i="81"/>
  <c r="C64" i="81"/>
  <c r="C68" i="81"/>
  <c r="C70" i="81"/>
  <c r="A70" i="81"/>
  <c r="C72" i="81"/>
  <c r="A72" i="81"/>
  <c r="R97" i="81"/>
  <c r="AE97" i="81"/>
  <c r="C100" i="81"/>
  <c r="C103" i="81"/>
  <c r="A12" i="81"/>
  <c r="A13" i="81"/>
  <c r="A14" i="81"/>
  <c r="A16" i="81"/>
  <c r="A17" i="81"/>
  <c r="A18" i="81"/>
  <c r="A20" i="81"/>
  <c r="A21" i="81"/>
  <c r="A64" i="81"/>
  <c r="A65" i="81"/>
  <c r="A68" i="81"/>
  <c r="A69" i="81"/>
  <c r="A73" i="81"/>
  <c r="C3" i="80"/>
  <c r="D8" i="80"/>
  <c r="Q8" i="80"/>
  <c r="AD8" i="80"/>
  <c r="D10" i="80"/>
  <c r="C12" i="80"/>
  <c r="C13" i="80"/>
  <c r="C14" i="80"/>
  <c r="A14" i="80"/>
  <c r="C15" i="80"/>
  <c r="C16" i="80"/>
  <c r="C17" i="80"/>
  <c r="C18" i="80"/>
  <c r="A18" i="80"/>
  <c r="C19" i="80"/>
  <c r="C20" i="80"/>
  <c r="C21" i="80"/>
  <c r="C45" i="80"/>
  <c r="AQ50" i="80"/>
  <c r="AQ51" i="80"/>
  <c r="C53" i="80"/>
  <c r="C68" i="80"/>
  <c r="A68" i="80"/>
  <c r="C69" i="80"/>
  <c r="C70" i="80"/>
  <c r="C71" i="80"/>
  <c r="C72" i="80"/>
  <c r="A72" i="80"/>
  <c r="C73" i="80"/>
  <c r="C74" i="80"/>
  <c r="C75" i="80"/>
  <c r="C76" i="80"/>
  <c r="A76" i="80"/>
  <c r="C77" i="80"/>
  <c r="C94" i="80"/>
  <c r="AQ99" i="80"/>
  <c r="A12" i="80"/>
  <c r="AU12" i="80"/>
  <c r="AV46" i="80"/>
  <c r="BB46" i="80"/>
  <c r="AY46" i="80"/>
  <c r="BE46" i="80"/>
  <c r="BI12" i="80"/>
  <c r="BJ46" i="80"/>
  <c r="BM46" i="80"/>
  <c r="BP46" i="80"/>
  <c r="BS46" i="80"/>
  <c r="A13" i="80"/>
  <c r="AU13" i="80"/>
  <c r="BI13" i="80"/>
  <c r="A15" i="80"/>
  <c r="AU15" i="80"/>
  <c r="BI15" i="80"/>
  <c r="A16" i="80"/>
  <c r="AU16" i="80"/>
  <c r="BI16" i="80"/>
  <c r="A17" i="80"/>
  <c r="AU17" i="80"/>
  <c r="BI17" i="80"/>
  <c r="A19" i="80"/>
  <c r="AU19" i="80"/>
  <c r="BI19" i="80"/>
  <c r="A20" i="80"/>
  <c r="AU20" i="80"/>
  <c r="BI20" i="80"/>
  <c r="A21" i="80"/>
  <c r="AU21" i="80"/>
  <c r="BI21" i="80"/>
  <c r="A69" i="80"/>
  <c r="A70" i="80"/>
  <c r="A71" i="80"/>
  <c r="A73" i="80"/>
  <c r="A74" i="80"/>
  <c r="A75" i="80"/>
  <c r="A77" i="80"/>
  <c r="C3" i="19"/>
  <c r="Q8" i="19"/>
  <c r="R8" i="19"/>
  <c r="Q9" i="19"/>
  <c r="J10" i="19"/>
  <c r="Q10" i="19"/>
  <c r="R10" i="19"/>
  <c r="C12" i="19"/>
  <c r="A12" i="19"/>
  <c r="C13" i="19"/>
  <c r="C14" i="19"/>
  <c r="A14" i="19"/>
  <c r="C15" i="19"/>
  <c r="C16" i="19"/>
  <c r="A16" i="19"/>
  <c r="C17" i="19"/>
  <c r="C18" i="19"/>
  <c r="A18" i="19"/>
  <c r="C19" i="19"/>
  <c r="C20" i="19"/>
  <c r="C21" i="19"/>
  <c r="T43" i="19"/>
  <c r="W7" i="19"/>
  <c r="V8" i="19"/>
  <c r="W8" i="19"/>
  <c r="V9" i="19"/>
  <c r="W9" i="19"/>
  <c r="V10" i="19"/>
  <c r="W10" i="19"/>
  <c r="A13" i="19"/>
  <c r="A15" i="19"/>
  <c r="A17" i="19"/>
  <c r="A19" i="19"/>
  <c r="A20" i="19"/>
  <c r="A21" i="19"/>
  <c r="C22" i="289"/>
  <c r="C23" i="289"/>
  <c r="C24" i="289"/>
  <c r="C25" i="289"/>
  <c r="C26" i="289"/>
  <c r="C27" i="289"/>
  <c r="C28" i="289"/>
  <c r="C15" i="288"/>
  <c r="C16" i="288"/>
  <c r="C17" i="288"/>
  <c r="C18" i="288"/>
  <c r="C19" i="288"/>
  <c r="C24" i="288"/>
  <c r="C25" i="288"/>
  <c r="C26" i="288"/>
  <c r="C27" i="288"/>
  <c r="C28" i="288"/>
  <c r="C34" i="288"/>
  <c r="C35" i="288"/>
  <c r="C36" i="288"/>
  <c r="C37" i="288"/>
  <c r="C38" i="288"/>
  <c r="C42" i="288"/>
  <c r="C43" i="288"/>
  <c r="C44" i="288"/>
  <c r="C47" i="288"/>
  <c r="C48" i="288"/>
  <c r="C49" i="288"/>
  <c r="C50" i="288"/>
  <c r="C51" i="288"/>
  <c r="C4" i="88"/>
  <c r="C10" i="88"/>
  <c r="C11" i="88"/>
  <c r="C13" i="88"/>
  <c r="C14" i="88"/>
  <c r="C20" i="88"/>
  <c r="C22" i="88"/>
  <c r="C23" i="88"/>
  <c r="C32" i="88"/>
  <c r="C4" i="94"/>
  <c r="C20" i="94"/>
  <c r="C32" i="94"/>
  <c r="S36" i="94"/>
  <c r="I10" i="20"/>
  <c r="M11" i="20"/>
  <c r="C13" i="20"/>
  <c r="O13" i="20"/>
  <c r="C14" i="20"/>
  <c r="O14" i="20"/>
  <c r="C15" i="20"/>
  <c r="O15" i="20"/>
  <c r="C16" i="20"/>
  <c r="O16" i="20"/>
  <c r="C17" i="20"/>
  <c r="O17" i="20"/>
  <c r="C18" i="20"/>
  <c r="O18" i="20"/>
  <c r="C19" i="20"/>
  <c r="O19" i="20"/>
  <c r="C20" i="20"/>
  <c r="O20" i="20"/>
  <c r="C21" i="20"/>
  <c r="O21" i="20"/>
  <c r="C22" i="20"/>
  <c r="O22" i="20"/>
  <c r="G43" i="20"/>
  <c r="C43" i="20"/>
  <c r="O43" i="20"/>
  <c r="J43" i="20"/>
  <c r="G44" i="20"/>
  <c r="C44" i="20"/>
  <c r="G45" i="20"/>
  <c r="C47" i="20"/>
  <c r="G50" i="20"/>
  <c r="D83" i="20"/>
  <c r="W45" i="20"/>
  <c r="C57" i="20"/>
  <c r="C58" i="20"/>
  <c r="D84" i="20"/>
  <c r="D85" i="20"/>
  <c r="D86" i="20"/>
  <c r="A43" i="20"/>
  <c r="M35" i="56"/>
  <c r="M37" i="56"/>
  <c r="M38" i="56"/>
  <c r="M39" i="56"/>
  <c r="I42" i="56"/>
  <c r="K44" i="56"/>
  <c r="C46" i="56"/>
  <c r="G58" i="56"/>
  <c r="G52" i="56"/>
  <c r="A52" i="56"/>
  <c r="I58" i="56"/>
  <c r="Y39" i="56"/>
  <c r="V58" i="56"/>
  <c r="O46" i="56"/>
  <c r="P46" i="56"/>
  <c r="Q46" i="56"/>
  <c r="C49" i="56"/>
  <c r="C51" i="56"/>
  <c r="C55" i="56"/>
  <c r="C56" i="56"/>
  <c r="C58" i="56"/>
  <c r="D58" i="56"/>
  <c r="C61" i="56"/>
  <c r="C67" i="56"/>
  <c r="Y35" i="56"/>
  <c r="V42" i="56"/>
  <c r="C3" i="97"/>
  <c r="D304" i="26"/>
  <c r="D7" i="26"/>
  <c r="L33" i="97"/>
  <c r="D155" i="26"/>
  <c r="D157" i="26"/>
  <c r="D147" i="26"/>
  <c r="D159" i="26"/>
  <c r="D212" i="26"/>
  <c r="D223" i="26"/>
  <c r="D220" i="26"/>
  <c r="D216" i="26"/>
  <c r="D283" i="26"/>
  <c r="D288" i="26"/>
  <c r="D284" i="26"/>
  <c r="D280" i="26"/>
  <c r="D52" i="26"/>
  <c r="D48" i="26"/>
  <c r="D47" i="26"/>
  <c r="D82" i="26"/>
  <c r="D91" i="26"/>
  <c r="D88" i="26"/>
  <c r="D93" i="26"/>
  <c r="D113" i="26"/>
  <c r="D124" i="26"/>
  <c r="D120" i="26"/>
  <c r="D117" i="26"/>
  <c r="D250" i="26"/>
  <c r="D251" i="26"/>
  <c r="D245" i="26"/>
  <c r="D248" i="26"/>
  <c r="D323" i="26"/>
  <c r="D313" i="26"/>
  <c r="D318" i="26"/>
  <c r="D344" i="26"/>
  <c r="D355" i="26"/>
  <c r="D345" i="26"/>
  <c r="D357" i="26"/>
  <c r="D188" i="26"/>
  <c r="D179" i="26"/>
  <c r="D186" i="26"/>
  <c r="D183" i="26"/>
  <c r="E141" i="26"/>
  <c r="F44" i="26"/>
  <c r="F77" i="26"/>
  <c r="E110" i="26"/>
  <c r="E504" i="26"/>
  <c r="E539" i="26"/>
  <c r="F308" i="26"/>
  <c r="E473" i="26"/>
  <c r="E176" i="26"/>
  <c r="F209" i="26"/>
  <c r="E275" i="26"/>
  <c r="F440" i="26"/>
  <c r="D156" i="26"/>
  <c r="D152" i="26"/>
  <c r="D146" i="26"/>
  <c r="D158" i="26"/>
  <c r="D214" i="26"/>
  <c r="D221" i="26"/>
  <c r="D219" i="26"/>
  <c r="D215" i="26"/>
  <c r="D282" i="26"/>
  <c r="D279" i="26"/>
  <c r="D291" i="26"/>
  <c r="D56" i="26"/>
  <c r="D59" i="26"/>
  <c r="D55" i="26"/>
  <c r="D60" i="26"/>
  <c r="D89" i="26"/>
  <c r="D80" i="26"/>
  <c r="D87" i="26"/>
  <c r="D84" i="26"/>
  <c r="D119" i="26"/>
  <c r="D115" i="26"/>
  <c r="D123" i="26"/>
  <c r="D116" i="26"/>
  <c r="D257" i="26"/>
  <c r="D246" i="26"/>
  <c r="D247" i="26"/>
  <c r="D321" i="26"/>
  <c r="D322" i="26"/>
  <c r="D317" i="26"/>
  <c r="D324" i="26"/>
  <c r="D343" i="26"/>
  <c r="D354" i="26"/>
  <c r="D352" i="26"/>
  <c r="D348" i="26"/>
  <c r="D184" i="26"/>
  <c r="D181" i="26"/>
  <c r="D185" i="26"/>
  <c r="D182" i="26"/>
  <c r="E405" i="26"/>
  <c r="E44" i="26"/>
  <c r="E77" i="26"/>
  <c r="E372" i="26"/>
  <c r="F506" i="26"/>
  <c r="F539" i="26"/>
  <c r="E341" i="26"/>
  <c r="E471" i="26"/>
  <c r="F176" i="26"/>
  <c r="E242" i="26"/>
  <c r="F275" i="26"/>
  <c r="E438" i="26"/>
  <c r="D151" i="26"/>
  <c r="D145" i="26"/>
  <c r="D153" i="26"/>
  <c r="D149" i="26"/>
  <c r="D217" i="26"/>
  <c r="D211" i="26"/>
  <c r="D222" i="26"/>
  <c r="D286" i="26"/>
  <c r="D289" i="26"/>
  <c r="D278" i="26"/>
  <c r="D290" i="26"/>
  <c r="D46" i="26"/>
  <c r="D58" i="26"/>
  <c r="D54" i="26"/>
  <c r="D51" i="26"/>
  <c r="D85" i="26"/>
  <c r="D90" i="26"/>
  <c r="D79" i="26"/>
  <c r="D83" i="26"/>
  <c r="D118" i="26"/>
  <c r="D114" i="26"/>
  <c r="D122" i="26"/>
  <c r="D254" i="26"/>
  <c r="D256" i="26"/>
  <c r="D253" i="26"/>
  <c r="D258" i="26"/>
  <c r="D311" i="26"/>
  <c r="D320" i="26"/>
  <c r="D312" i="26"/>
  <c r="D315" i="26"/>
  <c r="D349" i="26"/>
  <c r="D350" i="26"/>
  <c r="D351" i="26"/>
  <c r="D347" i="26"/>
  <c r="D191" i="26"/>
  <c r="D180" i="26"/>
  <c r="D178" i="26"/>
  <c r="F143" i="26"/>
  <c r="E407" i="26"/>
  <c r="E42" i="26"/>
  <c r="F110" i="26"/>
  <c r="F374" i="26"/>
  <c r="E506" i="26"/>
  <c r="E306" i="26"/>
  <c r="F341" i="26"/>
  <c r="F473" i="26"/>
  <c r="E209" i="26"/>
  <c r="E240" i="26"/>
  <c r="E273" i="26"/>
  <c r="D150" i="26"/>
  <c r="D154" i="26"/>
  <c r="D148" i="26"/>
  <c r="D218" i="26"/>
  <c r="D224" i="26"/>
  <c r="D213" i="26"/>
  <c r="D225" i="26"/>
  <c r="D277" i="26"/>
  <c r="D287" i="26"/>
  <c r="D285" i="26"/>
  <c r="D281" i="26"/>
  <c r="D53" i="26"/>
  <c r="D49" i="26"/>
  <c r="D57" i="26"/>
  <c r="D50" i="26"/>
  <c r="D92" i="26"/>
  <c r="D81" i="26"/>
  <c r="D86" i="26"/>
  <c r="D112" i="26"/>
  <c r="D125" i="26"/>
  <c r="D121" i="26"/>
  <c r="D126" i="26"/>
  <c r="D255" i="26"/>
  <c r="D244" i="26"/>
  <c r="D252" i="26"/>
  <c r="D249" i="26"/>
  <c r="D316" i="26"/>
  <c r="D310" i="26"/>
  <c r="D319" i="26"/>
  <c r="D314" i="26"/>
  <c r="D356" i="26"/>
  <c r="D346" i="26"/>
  <c r="D353" i="26"/>
  <c r="D189" i="26"/>
  <c r="D190" i="26"/>
  <c r="D187" i="26"/>
  <c r="D192" i="26"/>
  <c r="E143" i="26"/>
  <c r="F407" i="26"/>
  <c r="E75" i="26"/>
  <c r="E108" i="26"/>
  <c r="E374" i="26"/>
  <c r="E537" i="26"/>
  <c r="E308" i="26"/>
  <c r="E339" i="26"/>
  <c r="E174" i="26"/>
  <c r="E207" i="26"/>
  <c r="F242" i="26"/>
  <c r="E440" i="26"/>
  <c r="I189" i="26"/>
  <c r="E346" i="26"/>
  <c r="F346" i="26"/>
  <c r="I356" i="26"/>
  <c r="F356" i="26"/>
  <c r="I319" i="26"/>
  <c r="I316" i="26"/>
  <c r="E252" i="26"/>
  <c r="F255" i="26"/>
  <c r="E126" i="26"/>
  <c r="F126" i="26"/>
  <c r="E121" i="26"/>
  <c r="F121" i="26"/>
  <c r="F125" i="26"/>
  <c r="E125" i="26"/>
  <c r="I112" i="26"/>
  <c r="E112" i="26"/>
  <c r="F112" i="26"/>
  <c r="I86" i="26"/>
  <c r="E86" i="26"/>
  <c r="I81" i="26"/>
  <c r="F81" i="26"/>
  <c r="I92" i="26"/>
  <c r="F92" i="26"/>
  <c r="E50" i="26"/>
  <c r="F50" i="26"/>
  <c r="F57" i="26"/>
  <c r="E57" i="26"/>
  <c r="F49" i="26"/>
  <c r="E49" i="26"/>
  <c r="E53" i="26"/>
  <c r="F53" i="26"/>
  <c r="I285" i="26"/>
  <c r="I148" i="26"/>
  <c r="F148" i="26"/>
  <c r="E148" i="26"/>
  <c r="E154" i="26"/>
  <c r="F154" i="26"/>
  <c r="I154" i="26"/>
  <c r="I150" i="26"/>
  <c r="F150" i="26"/>
  <c r="E150" i="26"/>
  <c r="F180" i="26"/>
  <c r="E351" i="26"/>
  <c r="E349" i="26"/>
  <c r="I315" i="26"/>
  <c r="F315" i="26"/>
  <c r="F320" i="26"/>
  <c r="I320" i="26"/>
  <c r="I122" i="26"/>
  <c r="E122" i="26"/>
  <c r="F114" i="26"/>
  <c r="I114" i="26"/>
  <c r="I118" i="26"/>
  <c r="E118" i="26"/>
  <c r="I83" i="26"/>
  <c r="E83" i="26"/>
  <c r="F83" i="26"/>
  <c r="E79" i="26"/>
  <c r="I79" i="26"/>
  <c r="F79" i="26"/>
  <c r="F90" i="26"/>
  <c r="E90" i="26"/>
  <c r="I90" i="26"/>
  <c r="I85" i="26"/>
  <c r="E85" i="26"/>
  <c r="F85" i="26"/>
  <c r="I51" i="26"/>
  <c r="E51" i="26"/>
  <c r="E54" i="26"/>
  <c r="I54" i="26"/>
  <c r="I58" i="26"/>
  <c r="F58" i="26"/>
  <c r="I46" i="26"/>
  <c r="E46" i="26"/>
  <c r="I211" i="26"/>
  <c r="F149" i="26"/>
  <c r="E149" i="26"/>
  <c r="I149" i="26"/>
  <c r="F153" i="26"/>
  <c r="E153" i="26"/>
  <c r="I153" i="26"/>
  <c r="I145" i="26"/>
  <c r="E145" i="26"/>
  <c r="F145" i="26"/>
  <c r="F151" i="26"/>
  <c r="E151" i="26"/>
  <c r="I151" i="26"/>
  <c r="E182" i="26"/>
  <c r="I352" i="26"/>
  <c r="E354" i="26"/>
  <c r="I354" i="26"/>
  <c r="I343" i="26"/>
  <c r="E321" i="26"/>
  <c r="F321" i="26"/>
  <c r="F116" i="26"/>
  <c r="I116" i="26"/>
  <c r="I123" i="26"/>
  <c r="E123" i="26"/>
  <c r="I115" i="26"/>
  <c r="E115" i="26"/>
  <c r="I119" i="26"/>
  <c r="F119" i="26"/>
  <c r="F84" i="26"/>
  <c r="E84" i="26"/>
  <c r="E87" i="26"/>
  <c r="F87" i="26"/>
  <c r="F80" i="26"/>
  <c r="E80" i="26"/>
  <c r="E89" i="26"/>
  <c r="F89" i="26"/>
  <c r="I60" i="26"/>
  <c r="F60" i="26"/>
  <c r="I55" i="26"/>
  <c r="F55" i="26"/>
  <c r="I59" i="26"/>
  <c r="F59" i="26"/>
  <c r="F56" i="26"/>
  <c r="I56" i="26"/>
  <c r="E282" i="26"/>
  <c r="E158" i="26"/>
  <c r="I158" i="26"/>
  <c r="F158" i="26"/>
  <c r="F146" i="26"/>
  <c r="I146" i="26"/>
  <c r="E146" i="26"/>
  <c r="F152" i="26"/>
  <c r="I152" i="26"/>
  <c r="E152" i="26"/>
  <c r="F156" i="26"/>
  <c r="I156" i="26"/>
  <c r="E156" i="26"/>
  <c r="I357" i="26"/>
  <c r="F357" i="26"/>
  <c r="F344" i="26"/>
  <c r="F318" i="26"/>
  <c r="F313" i="26"/>
  <c r="E313" i="26"/>
  <c r="E323" i="26"/>
  <c r="I117" i="26"/>
  <c r="F117" i="26"/>
  <c r="E117" i="26"/>
  <c r="E120" i="26"/>
  <c r="I120" i="26"/>
  <c r="F120" i="26"/>
  <c r="F124" i="26"/>
  <c r="E124" i="26"/>
  <c r="I124" i="26"/>
  <c r="F113" i="26"/>
  <c r="E113" i="26"/>
  <c r="I93" i="26"/>
  <c r="E93" i="26"/>
  <c r="E88" i="26"/>
  <c r="I88" i="26"/>
  <c r="I91" i="26"/>
  <c r="E91" i="26"/>
  <c r="I82" i="26"/>
  <c r="E82" i="26"/>
  <c r="E47" i="26"/>
  <c r="I47" i="26"/>
  <c r="F47" i="26"/>
  <c r="F48" i="26"/>
  <c r="E48" i="26"/>
  <c r="I48" i="26"/>
  <c r="I52" i="26"/>
  <c r="E52" i="26"/>
  <c r="F52" i="26"/>
  <c r="E212" i="26"/>
  <c r="I159" i="26"/>
  <c r="F159" i="26"/>
  <c r="E159" i="26"/>
  <c r="I147" i="26"/>
  <c r="F147" i="26"/>
  <c r="E147" i="26"/>
  <c r="I157" i="26"/>
  <c r="F157" i="26"/>
  <c r="E157" i="26"/>
  <c r="I155" i="26"/>
  <c r="F155" i="26"/>
  <c r="E155" i="26"/>
  <c r="AB29" i="283"/>
  <c r="AU16" i="283"/>
  <c r="AD16" i="283"/>
  <c r="I84" i="26"/>
  <c r="AF20" i="283"/>
  <c r="AA13" i="283"/>
  <c r="E116" i="26"/>
  <c r="I50" i="26"/>
  <c r="AU29" i="283"/>
  <c r="AE25" i="283"/>
  <c r="I280" i="26"/>
  <c r="F290" i="26"/>
  <c r="E279" i="26"/>
  <c r="I277" i="26"/>
  <c r="F248" i="26"/>
  <c r="E249" i="26"/>
  <c r="E253" i="26"/>
  <c r="I250" i="26"/>
  <c r="E215" i="26"/>
  <c r="F215" i="26"/>
  <c r="E220" i="26"/>
  <c r="I217" i="26"/>
  <c r="I183" i="26"/>
  <c r="E178" i="26"/>
  <c r="I190" i="26"/>
  <c r="F289" i="26"/>
  <c r="E291" i="26"/>
  <c r="E256" i="26"/>
  <c r="I245" i="26"/>
  <c r="F214" i="26"/>
  <c r="E219" i="26"/>
  <c r="E184" i="26"/>
  <c r="I187" i="26"/>
  <c r="F314" i="26"/>
  <c r="E315" i="26"/>
  <c r="I318" i="26"/>
  <c r="F319" i="26"/>
  <c r="E312" i="26"/>
  <c r="I317" i="26"/>
  <c r="E310" i="26"/>
  <c r="E320" i="26"/>
  <c r="I323" i="26"/>
  <c r="E316" i="26"/>
  <c r="E311" i="26"/>
  <c r="E314" i="26"/>
  <c r="I324" i="26"/>
  <c r="E318" i="26"/>
  <c r="E319" i="26"/>
  <c r="I313" i="26"/>
  <c r="F317" i="26"/>
  <c r="F310" i="26"/>
  <c r="I322" i="26"/>
  <c r="F323" i="26"/>
  <c r="F316" i="26"/>
  <c r="I321" i="26"/>
  <c r="I347" i="26"/>
  <c r="F348" i="26"/>
  <c r="E357" i="26"/>
  <c r="I351" i="26"/>
  <c r="F352" i="26"/>
  <c r="E345" i="26"/>
  <c r="I350" i="26"/>
  <c r="F354" i="26"/>
  <c r="E355" i="26"/>
  <c r="I349" i="26"/>
  <c r="F343" i="26"/>
  <c r="E344" i="26"/>
  <c r="F347" i="26"/>
  <c r="E348" i="26"/>
  <c r="I353" i="26"/>
  <c r="F351" i="26"/>
  <c r="E352" i="26"/>
  <c r="I346" i="26"/>
  <c r="I288" i="26"/>
  <c r="I281" i="26"/>
  <c r="E244" i="26"/>
  <c r="F258" i="26"/>
  <c r="F223" i="26"/>
  <c r="I222" i="26"/>
  <c r="F191" i="26"/>
  <c r="E185" i="26"/>
  <c r="I344" i="26"/>
  <c r="F349" i="26"/>
  <c r="F355" i="26"/>
  <c r="E350" i="26"/>
  <c r="F345" i="26"/>
  <c r="E353" i="26"/>
  <c r="I348" i="26"/>
  <c r="F311" i="26"/>
  <c r="E322" i="26"/>
  <c r="I310" i="26"/>
  <c r="F312" i="26"/>
  <c r="F324" i="26"/>
  <c r="I314" i="26"/>
  <c r="E286" i="26"/>
  <c r="E278" i="26"/>
  <c r="E254" i="26"/>
  <c r="I251" i="26"/>
  <c r="I248" i="26"/>
  <c r="E221" i="26"/>
  <c r="E216" i="26"/>
  <c r="E181" i="26"/>
  <c r="I192" i="26"/>
  <c r="E343" i="26"/>
  <c r="E356" i="26"/>
  <c r="I355" i="26"/>
  <c r="F350" i="26"/>
  <c r="I345" i="26"/>
  <c r="F353" i="26"/>
  <c r="E347" i="26"/>
  <c r="I311" i="26"/>
  <c r="F322" i="26"/>
  <c r="E317" i="26"/>
  <c r="I312" i="26"/>
  <c r="E324" i="26"/>
  <c r="I113" i="26"/>
  <c r="E119" i="26"/>
  <c r="F118" i="26"/>
  <c r="I125" i="26"/>
  <c r="F115" i="26"/>
  <c r="E114" i="26"/>
  <c r="I121" i="26"/>
  <c r="F123" i="26"/>
  <c r="F122" i="26"/>
  <c r="I126" i="26"/>
  <c r="F82" i="26"/>
  <c r="I89" i="26"/>
  <c r="E92" i="26"/>
  <c r="F91" i="26"/>
  <c r="I80" i="26"/>
  <c r="E81" i="26"/>
  <c r="F88" i="26"/>
  <c r="I87" i="26"/>
  <c r="F86" i="26"/>
  <c r="F93" i="26"/>
  <c r="E56" i="26"/>
  <c r="F46" i="26"/>
  <c r="I53" i="26"/>
  <c r="E59" i="26"/>
  <c r="E58" i="26"/>
  <c r="I49" i="26"/>
  <c r="E55" i="26"/>
  <c r="F54" i="26"/>
  <c r="I57" i="26"/>
  <c r="E60" i="26"/>
  <c r="F51" i="26"/>
  <c r="I286" i="26"/>
  <c r="E283" i="26"/>
  <c r="F282" i="26"/>
  <c r="I289" i="26"/>
  <c r="F287" i="26"/>
  <c r="F279" i="26"/>
  <c r="I278" i="26"/>
  <c r="E284" i="26"/>
  <c r="F291" i="26"/>
  <c r="I290" i="26"/>
  <c r="F280" i="26"/>
  <c r="F254" i="26"/>
  <c r="I255" i="26"/>
  <c r="E257" i="26"/>
  <c r="F256" i="26"/>
  <c r="I244" i="26"/>
  <c r="E246" i="26"/>
  <c r="F253" i="26"/>
  <c r="I252" i="26"/>
  <c r="F247" i="26"/>
  <c r="E258" i="26"/>
  <c r="I249" i="26"/>
  <c r="E218" i="26"/>
  <c r="F212" i="26"/>
  <c r="I214" i="26"/>
  <c r="F224" i="26"/>
  <c r="E223" i="26"/>
  <c r="I221" i="26"/>
  <c r="E213" i="26"/>
  <c r="F220" i="26"/>
  <c r="I219" i="26"/>
  <c r="E225" i="26"/>
  <c r="F216" i="26"/>
  <c r="I215" i="26"/>
  <c r="E188" i="26"/>
  <c r="F184" i="26"/>
  <c r="I191" i="26"/>
  <c r="F179" i="26"/>
  <c r="F181" i="26"/>
  <c r="I180" i="26"/>
  <c r="E186" i="26"/>
  <c r="F178" i="26"/>
  <c r="I185" i="26"/>
  <c r="F183" i="26"/>
  <c r="F182" i="26"/>
  <c r="F277" i="26"/>
  <c r="F283" i="26"/>
  <c r="I282" i="26"/>
  <c r="F288" i="26"/>
  <c r="E287" i="26"/>
  <c r="I279" i="26"/>
  <c r="F285" i="26"/>
  <c r="F284" i="26"/>
  <c r="I291" i="26"/>
  <c r="E281" i="26"/>
  <c r="E280" i="26"/>
  <c r="I254" i="26"/>
  <c r="F250" i="26"/>
  <c r="F257" i="26"/>
  <c r="I256" i="26"/>
  <c r="F251" i="26"/>
  <c r="F246" i="26"/>
  <c r="I253" i="26"/>
  <c r="E245" i="26"/>
  <c r="E247" i="26"/>
  <c r="I258" i="26"/>
  <c r="E248" i="26"/>
  <c r="F218" i="26"/>
  <c r="I212" i="26"/>
  <c r="E217" i="26"/>
  <c r="E224" i="26"/>
  <c r="I223" i="26"/>
  <c r="F211" i="26"/>
  <c r="F213" i="26"/>
  <c r="I220" i="26"/>
  <c r="E222" i="26"/>
  <c r="F225" i="26"/>
  <c r="I216" i="26"/>
  <c r="E189" i="26"/>
  <c r="F188" i="26"/>
  <c r="I184" i="26"/>
  <c r="E190" i="26"/>
  <c r="E179" i="26"/>
  <c r="I181" i="26"/>
  <c r="E187" i="26"/>
  <c r="F186" i="26"/>
  <c r="I178" i="26"/>
  <c r="E192" i="26"/>
  <c r="E183" i="26"/>
  <c r="I182" i="26"/>
  <c r="F286" i="26"/>
  <c r="E277" i="26"/>
  <c r="I283" i="26"/>
  <c r="E289" i="26"/>
  <c r="E288" i="26"/>
  <c r="I287" i="26"/>
  <c r="F278" i="26"/>
  <c r="E285" i="26"/>
  <c r="I284" i="26"/>
  <c r="E290" i="26"/>
  <c r="F281" i="26"/>
  <c r="E255" i="26"/>
  <c r="E250" i="26"/>
  <c r="I257" i="26"/>
  <c r="F244" i="26"/>
  <c r="E251" i="26"/>
  <c r="I246" i="26"/>
  <c r="F252" i="26"/>
  <c r="F245" i="26"/>
  <c r="I247" i="26"/>
  <c r="F249" i="26"/>
  <c r="I218" i="26"/>
  <c r="E214" i="26"/>
  <c r="F217" i="26"/>
  <c r="I224" i="26"/>
  <c r="F221" i="26"/>
  <c r="E211" i="26"/>
  <c r="I213" i="26"/>
  <c r="F219" i="26"/>
  <c r="F222" i="26"/>
  <c r="I225" i="26"/>
  <c r="F189" i="26"/>
  <c r="I188" i="26"/>
  <c r="E191" i="26"/>
  <c r="F190" i="26"/>
  <c r="I179" i="26"/>
  <c r="E180" i="26"/>
  <c r="F187" i="26"/>
  <c r="I186" i="26"/>
  <c r="F185" i="26"/>
  <c r="F192" i="26"/>
  <c r="AB27" i="283"/>
  <c r="AG27" i="283"/>
  <c r="AA26" i="283"/>
  <c r="AU24" i="283"/>
  <c r="AD24" i="283"/>
  <c r="AC19" i="283"/>
  <c r="AA14" i="283"/>
  <c r="AB12" i="283"/>
  <c r="AG29" i="283"/>
  <c r="AU26" i="283"/>
  <c r="AB26" i="283"/>
  <c r="AB23" i="283"/>
  <c r="AA22" i="283"/>
  <c r="AB16" i="283"/>
  <c r="Z15" i="283"/>
  <c r="AF15" i="283"/>
  <c r="D436" i="26"/>
  <c r="C431" i="26"/>
  <c r="J265" i="26"/>
  <c r="J232" i="26"/>
  <c r="J199" i="26"/>
  <c r="F174" i="26"/>
  <c r="D469" i="26"/>
  <c r="C464" i="26"/>
  <c r="J331" i="26"/>
  <c r="F306" i="26"/>
  <c r="J529" i="26"/>
  <c r="D502" i="26"/>
  <c r="C497" i="26"/>
  <c r="D370" i="26"/>
  <c r="C365" i="26"/>
  <c r="J100" i="26"/>
  <c r="J67" i="26"/>
  <c r="F42" i="26"/>
  <c r="D403" i="26"/>
  <c r="C398" i="26"/>
  <c r="F141" i="26"/>
  <c r="AU22" i="283"/>
  <c r="AD22" i="283"/>
  <c r="AG12" i="283"/>
  <c r="Z29" i="283"/>
  <c r="AF29" i="283"/>
  <c r="AG25" i="283"/>
  <c r="AB24" i="283"/>
  <c r="AB19" i="283"/>
  <c r="AC15" i="283"/>
  <c r="AD14" i="283"/>
  <c r="AA12" i="283"/>
  <c r="AE29" i="283"/>
  <c r="AA24" i="283"/>
  <c r="AF23" i="283"/>
  <c r="AA21" i="283"/>
  <c r="AG20" i="283"/>
  <c r="AA18" i="283"/>
  <c r="AG17" i="283"/>
  <c r="BI18" i="80"/>
  <c r="BI14" i="80"/>
  <c r="AU18" i="80"/>
  <c r="AU14" i="80"/>
  <c r="A19" i="81"/>
  <c r="Z20" i="283"/>
  <c r="AH16" i="283"/>
  <c r="AB11" i="283"/>
  <c r="AT12" i="283"/>
  <c r="AB25" i="283"/>
  <c r="AE19" i="283"/>
  <c r="AF19" i="283"/>
  <c r="AF17" i="283"/>
  <c r="AE12" i="283"/>
  <c r="Z12" i="283"/>
  <c r="AF12" i="283"/>
  <c r="AB30" i="283"/>
  <c r="AI21" i="283"/>
  <c r="AU28" i="283"/>
  <c r="AU20" i="283"/>
  <c r="AD28" i="283"/>
  <c r="AF28" i="283"/>
  <c r="AH26" i="283"/>
  <c r="AF25" i="283"/>
  <c r="AE20" i="283"/>
  <c r="Z19" i="283"/>
  <c r="AR12" i="283"/>
  <c r="AA28" i="283"/>
  <c r="AA25" i="283"/>
  <c r="Z24" i="283"/>
  <c r="AF24" i="283"/>
  <c r="AG23" i="283"/>
  <c r="AF22" i="283"/>
  <c r="AG21" i="283"/>
  <c r="AB20" i="283"/>
  <c r="AA19" i="283"/>
  <c r="AA17" i="283"/>
  <c r="Z16" i="283"/>
  <c r="AF16" i="283"/>
  <c r="AF14" i="283"/>
  <c r="AG13" i="283"/>
  <c r="AD12" i="283"/>
  <c r="AU30" i="283"/>
  <c r="AD30" i="283"/>
  <c r="AA30" i="283"/>
  <c r="AA29" i="283"/>
  <c r="AB28" i="283"/>
  <c r="AE27" i="283"/>
  <c r="Z27" i="283"/>
  <c r="AF27" i="283"/>
  <c r="AG26" i="283"/>
  <c r="AC26" i="283"/>
  <c r="Z26" i="283"/>
  <c r="AE26" i="283"/>
  <c r="AD25" i="283"/>
  <c r="Z23" i="283"/>
  <c r="AA11" i="283"/>
  <c r="AG11" i="283"/>
  <c r="AC30" i="283"/>
  <c r="AG28" i="283"/>
  <c r="AD27" i="283"/>
  <c r="AA27" i="283"/>
  <c r="AE23" i="283"/>
  <c r="AC21" i="283"/>
  <c r="Z21" i="283"/>
  <c r="AE21" i="283"/>
  <c r="Z17" i="283"/>
  <c r="AE17" i="283"/>
  <c r="AC17" i="283"/>
  <c r="AC13" i="283"/>
  <c r="Z13" i="283"/>
  <c r="AE13" i="283"/>
  <c r="AE28" i="283"/>
  <c r="Z28" i="283"/>
  <c r="Z25" i="283"/>
  <c r="AC23" i="283"/>
  <c r="AG22" i="283"/>
  <c r="AC22" i="283"/>
  <c r="Z22" i="283"/>
  <c r="AE22" i="283"/>
  <c r="AB22" i="283"/>
  <c r="AB21" i="283"/>
  <c r="AG18" i="283"/>
  <c r="AC18" i="283"/>
  <c r="AB18" i="283"/>
  <c r="Z18" i="283"/>
  <c r="AE18" i="283"/>
  <c r="AB17" i="283"/>
  <c r="AG14" i="283"/>
  <c r="AC14" i="283"/>
  <c r="Z14" i="283"/>
  <c r="AE14" i="283"/>
  <c r="AB14" i="283"/>
  <c r="AB13" i="283"/>
  <c r="AE30" i="283"/>
  <c r="AF26" i="283"/>
  <c r="AG24" i="283"/>
  <c r="AA23" i="283"/>
  <c r="AF21" i="283"/>
  <c r="AD20" i="283"/>
  <c r="AG19" i="283"/>
  <c r="AF18" i="283"/>
  <c r="AG16" i="283"/>
  <c r="AA15" i="283"/>
  <c r="AF13" i="283"/>
  <c r="AC11" i="283"/>
  <c r="AE11" i="283"/>
  <c r="F273" i="26"/>
  <c r="F339" i="26"/>
  <c r="F504" i="26"/>
  <c r="J364" i="26"/>
  <c r="J496" i="26"/>
  <c r="F372" i="26"/>
  <c r="J298" i="26"/>
  <c r="F207" i="26"/>
  <c r="F108" i="26"/>
  <c r="J430" i="26"/>
  <c r="J397" i="26"/>
  <c r="J133" i="26"/>
  <c r="F471" i="26"/>
  <c r="F537" i="26"/>
  <c r="C532" i="26"/>
  <c r="F438" i="26"/>
  <c r="F240" i="26"/>
  <c r="F75" i="26"/>
  <c r="J463" i="26"/>
  <c r="F405" i="26"/>
  <c r="A324" i="26"/>
  <c r="A323" i="26"/>
  <c r="A322" i="26"/>
  <c r="A321" i="26"/>
  <c r="A320" i="26"/>
  <c r="A319" i="26"/>
  <c r="A318" i="26"/>
  <c r="A317" i="26"/>
  <c r="A316" i="26"/>
  <c r="A315" i="26"/>
  <c r="A314" i="26"/>
  <c r="A313" i="26"/>
  <c r="A312" i="26"/>
  <c r="A311" i="26"/>
  <c r="A310" i="26"/>
  <c r="A192" i="26"/>
  <c r="A191" i="26"/>
  <c r="A190" i="26"/>
  <c r="A189" i="26"/>
  <c r="A188" i="26"/>
  <c r="A187" i="26"/>
  <c r="A186" i="26"/>
  <c r="A185" i="26"/>
  <c r="A184" i="26"/>
  <c r="A183" i="26"/>
  <c r="A182" i="26"/>
  <c r="A181" i="26"/>
  <c r="A180" i="26"/>
  <c r="A179" i="26"/>
  <c r="A178" i="26"/>
  <c r="A60" i="26"/>
  <c r="A59" i="26"/>
  <c r="A58" i="26"/>
  <c r="A57" i="26"/>
  <c r="A56" i="26"/>
  <c r="A55" i="26"/>
  <c r="A54" i="26"/>
  <c r="A53" i="26"/>
  <c r="A52" i="26"/>
  <c r="A51" i="26"/>
  <c r="A50" i="26"/>
  <c r="A49" i="26"/>
  <c r="A48" i="26"/>
  <c r="A47" i="26"/>
  <c r="A46" i="26"/>
  <c r="A357" i="26"/>
  <c r="A356" i="26"/>
  <c r="A355" i="26"/>
  <c r="A354" i="26"/>
  <c r="A353" i="26"/>
  <c r="A352" i="26"/>
  <c r="A351" i="26"/>
  <c r="A350" i="26"/>
  <c r="A349" i="26"/>
  <c r="A348" i="26"/>
  <c r="A347" i="26"/>
  <c r="A346" i="26"/>
  <c r="A345" i="26"/>
  <c r="A344" i="26"/>
  <c r="A343" i="26"/>
  <c r="A225" i="26"/>
  <c r="A224" i="26"/>
  <c r="A223" i="26"/>
  <c r="A222" i="26"/>
  <c r="A221" i="26"/>
  <c r="A220" i="26"/>
  <c r="A219" i="26"/>
  <c r="A218" i="26"/>
  <c r="A217" i="26"/>
  <c r="A216" i="26"/>
  <c r="A215" i="26"/>
  <c r="A214" i="26"/>
  <c r="A213" i="26"/>
  <c r="A212" i="26"/>
  <c r="A211" i="26"/>
  <c r="A93" i="26"/>
  <c r="A92" i="26"/>
  <c r="A91" i="26"/>
  <c r="A90" i="26"/>
  <c r="A89" i="26"/>
  <c r="A88" i="26"/>
  <c r="A87" i="26"/>
  <c r="A86" i="26"/>
  <c r="A85" i="26"/>
  <c r="A84" i="26"/>
  <c r="A83" i="26"/>
  <c r="A82" i="26"/>
  <c r="A81" i="26"/>
  <c r="A80" i="26"/>
  <c r="A79" i="26"/>
  <c r="A258" i="26"/>
  <c r="A257" i="26"/>
  <c r="A256" i="26"/>
  <c r="A255" i="26"/>
  <c r="A254" i="26"/>
  <c r="A253" i="26"/>
  <c r="A252" i="26"/>
  <c r="A251" i="26"/>
  <c r="A250" i="26"/>
  <c r="A249" i="26"/>
  <c r="A248" i="26"/>
  <c r="A247" i="26"/>
  <c r="A246" i="26"/>
  <c r="A245" i="26"/>
  <c r="A244" i="26"/>
  <c r="A126" i="26"/>
  <c r="A125" i="26"/>
  <c r="A124" i="26"/>
  <c r="A123" i="26"/>
  <c r="A122" i="26"/>
  <c r="A121" i="26"/>
  <c r="A120" i="26"/>
  <c r="A119" i="26"/>
  <c r="A118" i="26"/>
  <c r="A117" i="26"/>
  <c r="A116" i="26"/>
  <c r="A115" i="26"/>
  <c r="A114" i="26"/>
  <c r="A113" i="26"/>
  <c r="A112" i="26"/>
  <c r="A291" i="26"/>
  <c r="A290" i="26"/>
  <c r="A289" i="26"/>
  <c r="A288" i="26"/>
  <c r="A287" i="26"/>
  <c r="A286" i="26"/>
  <c r="A285" i="26"/>
  <c r="A284" i="26"/>
  <c r="A283" i="26"/>
  <c r="A282" i="26"/>
  <c r="A281" i="26"/>
  <c r="A280" i="26"/>
  <c r="A279" i="26"/>
  <c r="A278" i="26"/>
  <c r="A277" i="26"/>
  <c r="A159" i="26"/>
  <c r="A158" i="26"/>
  <c r="A157" i="26"/>
  <c r="A156" i="26"/>
  <c r="A155" i="26"/>
  <c r="A154" i="26"/>
  <c r="A153" i="26"/>
  <c r="A152" i="26"/>
  <c r="A151" i="26"/>
  <c r="A150" i="26"/>
  <c r="A149" i="26"/>
  <c r="A148" i="26"/>
  <c r="A147" i="26"/>
  <c r="A146" i="26"/>
  <c r="A145" i="26"/>
  <c r="C299" i="26"/>
  <c r="C167" i="26"/>
  <c r="C35" i="26"/>
  <c r="C332" i="26"/>
  <c r="C200" i="26"/>
  <c r="C68" i="26"/>
  <c r="C233" i="26"/>
  <c r="C101" i="26"/>
  <c r="C266" i="26"/>
  <c r="C134" i="26"/>
  <c r="N46" i="56"/>
  <c r="M46" i="56"/>
  <c r="A44" i="20"/>
  <c r="M12" i="38"/>
  <c r="M13" i="38"/>
  <c r="M17" i="38"/>
  <c r="M21" i="38"/>
  <c r="M14" i="38"/>
  <c r="M18" i="38"/>
  <c r="N12" i="38"/>
  <c r="N16" i="38"/>
  <c r="N20" i="38"/>
  <c r="N13" i="38"/>
  <c r="N17" i="38"/>
  <c r="N21" i="38"/>
  <c r="A15" i="81"/>
  <c r="AH36" i="283"/>
  <c r="AH37" i="283"/>
  <c r="AH39" i="283"/>
  <c r="AS30" i="283"/>
  <c r="AV30" i="283"/>
  <c r="AQ30" i="283"/>
  <c r="AT30" i="283"/>
  <c r="AI36" i="283"/>
  <c r="AI38" i="283"/>
  <c r="AI40" i="283"/>
  <c r="AI37" i="283"/>
  <c r="AI41" i="283"/>
  <c r="AD37" i="283"/>
  <c r="AA18" i="85"/>
  <c r="AJ40" i="283"/>
  <c r="AI39" i="283"/>
  <c r="AQ11" i="283"/>
  <c r="AS11" i="283"/>
  <c r="AU13" i="283"/>
  <c r="AR39" i="283"/>
  <c r="AU11" i="283"/>
  <c r="AR40" i="283"/>
  <c r="AR37" i="283"/>
  <c r="AQ29" i="283"/>
  <c r="AT29" i="283"/>
  <c r="AS29" i="283"/>
  <c r="AV29" i="283"/>
  <c r="AQ28" i="283"/>
  <c r="AT28" i="283"/>
  <c r="AS28" i="283"/>
  <c r="AV28" i="283"/>
  <c r="AQ27" i="283"/>
  <c r="AT27" i="283"/>
  <c r="AS27" i="283"/>
  <c r="AV27" i="283"/>
  <c r="AQ26" i="283"/>
  <c r="AT26" i="283"/>
  <c r="AS26" i="283"/>
  <c r="AV26" i="283"/>
  <c r="AQ25" i="283"/>
  <c r="AT25" i="283"/>
  <c r="AS25" i="283"/>
  <c r="AV25" i="283"/>
  <c r="AQ24" i="283"/>
  <c r="AT24" i="283"/>
  <c r="AS24" i="283"/>
  <c r="AV24" i="283"/>
  <c r="AQ23" i="283"/>
  <c r="AT23" i="283"/>
  <c r="AS23" i="283"/>
  <c r="AV23" i="283"/>
  <c r="AQ22" i="283"/>
  <c r="AT22" i="283"/>
  <c r="AS22" i="283"/>
  <c r="AV22" i="283"/>
  <c r="AQ21" i="283"/>
  <c r="AT21" i="283"/>
  <c r="AS21" i="283"/>
  <c r="AV21" i="283"/>
  <c r="AQ20" i="283"/>
  <c r="AT20" i="283"/>
  <c r="AS20" i="283"/>
  <c r="AV20" i="283"/>
  <c r="AQ19" i="283"/>
  <c r="AT19" i="283"/>
  <c r="AS19" i="283"/>
  <c r="AV19" i="283"/>
  <c r="AQ18" i="283"/>
  <c r="AT18" i="283"/>
  <c r="AS18" i="283"/>
  <c r="AV18" i="283"/>
  <c r="AQ17" i="283"/>
  <c r="AT17" i="283"/>
  <c r="AS17" i="283"/>
  <c r="AV17" i="283"/>
  <c r="AQ16" i="283"/>
  <c r="AT16" i="283"/>
  <c r="AS16" i="283"/>
  <c r="AV16" i="283"/>
  <c r="AQ15" i="283"/>
  <c r="AT15" i="283"/>
  <c r="AS15" i="283"/>
  <c r="AV15" i="283"/>
  <c r="AQ14" i="283"/>
  <c r="AT14" i="283"/>
  <c r="AS14" i="283"/>
  <c r="AV14" i="283"/>
  <c r="AQ13" i="283"/>
  <c r="AS13" i="283"/>
  <c r="AG41" i="283"/>
  <c r="K15" i="55"/>
  <c r="J19" i="55"/>
  <c r="AO40" i="283"/>
  <c r="AK40" i="283"/>
  <c r="AO38" i="283"/>
  <c r="AK38" i="283"/>
  <c r="AS12" i="283"/>
  <c r="AV12" i="283"/>
  <c r="AA135" i="68"/>
  <c r="W135" i="68"/>
  <c r="S135" i="68"/>
  <c r="O135" i="68"/>
  <c r="K135" i="68"/>
  <c r="G135" i="68"/>
  <c r="Y133" i="68"/>
  <c r="U133" i="68"/>
  <c r="Q133" i="68"/>
  <c r="M133" i="68"/>
  <c r="I133" i="68"/>
  <c r="X133" i="68"/>
  <c r="T133" i="68"/>
  <c r="P133" i="68"/>
  <c r="L133" i="68"/>
  <c r="H133" i="68"/>
  <c r="I19" i="55"/>
  <c r="Y135" i="68"/>
  <c r="U135" i="68"/>
  <c r="Q135" i="68"/>
  <c r="M135" i="68"/>
  <c r="AA133" i="68"/>
  <c r="W133" i="68"/>
  <c r="S133" i="68"/>
  <c r="O133" i="68"/>
  <c r="K133" i="68"/>
  <c r="E26" i="68"/>
  <c r="D26" i="68"/>
  <c r="E28" i="68"/>
  <c r="E31" i="68"/>
  <c r="E36" i="68"/>
  <c r="M20" i="38"/>
  <c r="M16" i="38"/>
  <c r="N19" i="38"/>
  <c r="N15" i="38"/>
  <c r="M19" i="38"/>
  <c r="N18" i="38"/>
  <c r="M15" i="38"/>
  <c r="N14" i="38"/>
  <c r="C601" i="26"/>
  <c r="J563" i="26"/>
  <c r="D570" i="26"/>
  <c r="D535" i="26"/>
  <c r="J166" i="26"/>
  <c r="J34" i="26"/>
  <c r="L35" i="97"/>
  <c r="L36" i="97"/>
  <c r="L37" i="97"/>
  <c r="L38" i="97"/>
  <c r="I20" i="97"/>
  <c r="D21" i="26"/>
  <c r="D25" i="26"/>
  <c r="D19" i="26"/>
  <c r="D14" i="26"/>
  <c r="E9" i="26"/>
  <c r="G207" i="26"/>
  <c r="G108" i="26"/>
  <c r="G141" i="26"/>
  <c r="D444" i="26"/>
  <c r="D443" i="26"/>
  <c r="D442" i="26"/>
  <c r="D445" i="26"/>
  <c r="D477" i="26"/>
  <c r="D489" i="26"/>
  <c r="D487" i="26"/>
  <c r="D475" i="26"/>
  <c r="D514" i="26"/>
  <c r="D517" i="26"/>
  <c r="D513" i="26"/>
  <c r="E572" i="26"/>
  <c r="D389" i="26"/>
  <c r="D380" i="26"/>
  <c r="D381" i="26"/>
  <c r="D409" i="26"/>
  <c r="D417" i="26"/>
  <c r="D410" i="26"/>
  <c r="D413" i="26"/>
  <c r="D554" i="26"/>
  <c r="D551" i="26"/>
  <c r="D547" i="26"/>
  <c r="D546" i="26"/>
  <c r="K20" i="97"/>
  <c r="G537" i="26"/>
  <c r="D27" i="26"/>
  <c r="D20" i="26"/>
  <c r="E11" i="26"/>
  <c r="G240" i="26"/>
  <c r="G75" i="26"/>
  <c r="D456" i="26"/>
  <c r="D452" i="26"/>
  <c r="D455" i="26"/>
  <c r="D453" i="26"/>
  <c r="D482" i="26"/>
  <c r="D484" i="26"/>
  <c r="D476" i="26"/>
  <c r="D480" i="26"/>
  <c r="D510" i="26"/>
  <c r="D511" i="26"/>
  <c r="D518" i="26"/>
  <c r="D522" i="26"/>
  <c r="D378" i="26"/>
  <c r="D382" i="26"/>
  <c r="D386" i="26"/>
  <c r="D390" i="26"/>
  <c r="G372" i="26"/>
  <c r="D421" i="26"/>
  <c r="D418" i="26"/>
  <c r="D423" i="26"/>
  <c r="D414" i="26"/>
  <c r="G405" i="26"/>
  <c r="D544" i="26"/>
  <c r="D542" i="26"/>
  <c r="D543" i="26"/>
  <c r="D555" i="26"/>
  <c r="D545" i="26"/>
  <c r="L20" i="97"/>
  <c r="H20" i="97"/>
  <c r="D552" i="26"/>
  <c r="D24" i="26"/>
  <c r="D17" i="26"/>
  <c r="D16" i="26"/>
  <c r="D22" i="26"/>
  <c r="D26" i="26"/>
  <c r="D23" i="26"/>
  <c r="F11" i="26"/>
  <c r="G42" i="26"/>
  <c r="G339" i="26"/>
  <c r="D450" i="26"/>
  <c r="D447" i="26"/>
  <c r="D446" i="26"/>
  <c r="G438" i="26"/>
  <c r="D483" i="26"/>
  <c r="D481" i="26"/>
  <c r="D478" i="26"/>
  <c r="D479" i="26"/>
  <c r="G471" i="26"/>
  <c r="D516" i="26"/>
  <c r="D520" i="26"/>
  <c r="D515" i="26"/>
  <c r="D519" i="26"/>
  <c r="F572" i="26"/>
  <c r="D387" i="26"/>
  <c r="D388" i="26"/>
  <c r="D379" i="26"/>
  <c r="D383" i="26"/>
  <c r="D422" i="26"/>
  <c r="D415" i="26"/>
  <c r="D419" i="26"/>
  <c r="D548" i="26"/>
  <c r="D553" i="26"/>
  <c r="D550" i="26"/>
  <c r="D549" i="26"/>
  <c r="E20" i="97"/>
  <c r="D541" i="26"/>
  <c r="D13" i="26"/>
  <c r="D18" i="26"/>
  <c r="D15" i="26"/>
  <c r="G174" i="26"/>
  <c r="G273" i="26"/>
  <c r="G306" i="26"/>
  <c r="D451" i="26"/>
  <c r="D449" i="26"/>
  <c r="D448" i="26"/>
  <c r="D454" i="26"/>
  <c r="D488" i="26"/>
  <c r="D486" i="26"/>
  <c r="D485" i="26"/>
  <c r="D521" i="26"/>
  <c r="D509" i="26"/>
  <c r="D508" i="26"/>
  <c r="D512" i="26"/>
  <c r="G504" i="26"/>
  <c r="E570" i="26"/>
  <c r="D384" i="26"/>
  <c r="D377" i="26"/>
  <c r="D376" i="26"/>
  <c r="D385" i="26"/>
  <c r="D411" i="26"/>
  <c r="D420" i="26"/>
  <c r="D412" i="26"/>
  <c r="D416" i="26"/>
  <c r="N20" i="97"/>
  <c r="I416" i="26"/>
  <c r="E416" i="26"/>
  <c r="I412" i="26"/>
  <c r="E412" i="26"/>
  <c r="F412" i="26"/>
  <c r="I420" i="26"/>
  <c r="E420" i="26"/>
  <c r="F411" i="26"/>
  <c r="E411" i="26"/>
  <c r="F385" i="26"/>
  <c r="E385" i="26"/>
  <c r="I385" i="26"/>
  <c r="F376" i="26"/>
  <c r="I376" i="26"/>
  <c r="E376" i="26"/>
  <c r="E377" i="26"/>
  <c r="I377" i="26"/>
  <c r="F377" i="26"/>
  <c r="I384" i="26"/>
  <c r="E384" i="26"/>
  <c r="I512" i="26"/>
  <c r="E512" i="26"/>
  <c r="F512" i="26"/>
  <c r="I508" i="26"/>
  <c r="E508" i="26"/>
  <c r="F508" i="26"/>
  <c r="E509" i="26"/>
  <c r="I509" i="26"/>
  <c r="F509" i="26"/>
  <c r="F521" i="26"/>
  <c r="I521" i="26"/>
  <c r="E521" i="26"/>
  <c r="I485" i="26"/>
  <c r="F485" i="26"/>
  <c r="E485" i="26"/>
  <c r="I486" i="26"/>
  <c r="F486" i="26"/>
  <c r="E486" i="26"/>
  <c r="E488" i="26"/>
  <c r="F488" i="26"/>
  <c r="I488" i="26"/>
  <c r="E454" i="26"/>
  <c r="F15" i="26"/>
  <c r="I15" i="26"/>
  <c r="E15" i="26"/>
  <c r="F18" i="26"/>
  <c r="E18" i="26"/>
  <c r="I18" i="26"/>
  <c r="F13" i="26"/>
  <c r="I13" i="26"/>
  <c r="E13" i="26"/>
  <c r="F541" i="26"/>
  <c r="I541" i="26"/>
  <c r="E549" i="26"/>
  <c r="F549" i="26"/>
  <c r="I549" i="26"/>
  <c r="F550" i="26"/>
  <c r="E550" i="26"/>
  <c r="F553" i="26"/>
  <c r="I553" i="26"/>
  <c r="E553" i="26"/>
  <c r="F548" i="26"/>
  <c r="E548" i="26"/>
  <c r="I419" i="26"/>
  <c r="F415" i="26"/>
  <c r="E415" i="26"/>
  <c r="F422" i="26"/>
  <c r="I422" i="26"/>
  <c r="I383" i="26"/>
  <c r="F383" i="26"/>
  <c r="E383" i="26"/>
  <c r="E379" i="26"/>
  <c r="I379" i="26"/>
  <c r="F379" i="26"/>
  <c r="E388" i="26"/>
  <c r="I388" i="26"/>
  <c r="E387" i="26"/>
  <c r="I519" i="26"/>
  <c r="F519" i="26"/>
  <c r="E519" i="26"/>
  <c r="E515" i="26"/>
  <c r="F515" i="26"/>
  <c r="I515" i="26"/>
  <c r="F520" i="26"/>
  <c r="I520" i="26"/>
  <c r="E520" i="26"/>
  <c r="I516" i="26"/>
  <c r="E516" i="26"/>
  <c r="F516" i="26"/>
  <c r="I479" i="26"/>
  <c r="E479" i="26"/>
  <c r="F479" i="26"/>
  <c r="I478" i="26"/>
  <c r="E478" i="26"/>
  <c r="F478" i="26"/>
  <c r="I481" i="26"/>
  <c r="F481" i="26"/>
  <c r="E481" i="26"/>
  <c r="I483" i="26"/>
  <c r="F483" i="26"/>
  <c r="E483" i="26"/>
  <c r="E23" i="26"/>
  <c r="I23" i="26"/>
  <c r="F23" i="26"/>
  <c r="F26" i="26"/>
  <c r="E26" i="26"/>
  <c r="I26" i="26"/>
  <c r="E22" i="26"/>
  <c r="F22" i="26"/>
  <c r="I22" i="26"/>
  <c r="I16" i="26"/>
  <c r="F16" i="26"/>
  <c r="E16" i="26"/>
  <c r="E17" i="26"/>
  <c r="F17" i="26"/>
  <c r="I17" i="26"/>
  <c r="F24" i="26"/>
  <c r="I24" i="26"/>
  <c r="E24" i="26"/>
  <c r="I552" i="26"/>
  <c r="F552" i="26"/>
  <c r="E552" i="26"/>
  <c r="E545" i="26"/>
  <c r="I545" i="26"/>
  <c r="I555" i="26"/>
  <c r="F555" i="26"/>
  <c r="E543" i="26"/>
  <c r="F543" i="26"/>
  <c r="I543" i="26"/>
  <c r="I542" i="26"/>
  <c r="F542" i="26"/>
  <c r="I544" i="26"/>
  <c r="E544" i="26"/>
  <c r="F414" i="26"/>
  <c r="I414" i="26"/>
  <c r="F423" i="26"/>
  <c r="E423" i="26"/>
  <c r="E418" i="26"/>
  <c r="F418" i="26"/>
  <c r="I418" i="26"/>
  <c r="E421" i="26"/>
  <c r="I421" i="26"/>
  <c r="I390" i="26"/>
  <c r="F390" i="26"/>
  <c r="E386" i="26"/>
  <c r="E382" i="26"/>
  <c r="F382" i="26"/>
  <c r="I382" i="26"/>
  <c r="F378" i="26"/>
  <c r="I378" i="26"/>
  <c r="E378" i="26"/>
  <c r="I522" i="26"/>
  <c r="F522" i="26"/>
  <c r="E522" i="26"/>
  <c r="F518" i="26"/>
  <c r="I518" i="26"/>
  <c r="E518" i="26"/>
  <c r="F511" i="26"/>
  <c r="E511" i="26"/>
  <c r="I511" i="26"/>
  <c r="F510" i="26"/>
  <c r="I510" i="26"/>
  <c r="E510" i="26"/>
  <c r="I480" i="26"/>
  <c r="E480" i="26"/>
  <c r="F480" i="26"/>
  <c r="I476" i="26"/>
  <c r="E476" i="26"/>
  <c r="F476" i="26"/>
  <c r="I484" i="26"/>
  <c r="E484" i="26"/>
  <c r="F484" i="26"/>
  <c r="F482" i="26"/>
  <c r="E482" i="26"/>
  <c r="I482" i="26"/>
  <c r="F20" i="26"/>
  <c r="I20" i="26"/>
  <c r="E20" i="26"/>
  <c r="F27" i="26"/>
  <c r="E27" i="26"/>
  <c r="I27" i="26"/>
  <c r="I546" i="26"/>
  <c r="F547" i="26"/>
  <c r="E547" i="26"/>
  <c r="F551" i="26"/>
  <c r="I551" i="26"/>
  <c r="F554" i="26"/>
  <c r="E554" i="26"/>
  <c r="I554" i="26"/>
  <c r="E413" i="26"/>
  <c r="I413" i="26"/>
  <c r="F413" i="26"/>
  <c r="I410" i="26"/>
  <c r="E410" i="26"/>
  <c r="F410" i="26"/>
  <c r="F417" i="26"/>
  <c r="E417" i="26"/>
  <c r="I409" i="26"/>
  <c r="F409" i="26"/>
  <c r="E381" i="26"/>
  <c r="F381" i="26"/>
  <c r="F380" i="26"/>
  <c r="I389" i="26"/>
  <c r="E389" i="26"/>
  <c r="F513" i="26"/>
  <c r="E513" i="26"/>
  <c r="I513" i="26"/>
  <c r="I517" i="26"/>
  <c r="E517" i="26"/>
  <c r="F517" i="26"/>
  <c r="I514" i="26"/>
  <c r="E514" i="26"/>
  <c r="F514" i="26"/>
  <c r="E475" i="26"/>
  <c r="F475" i="26"/>
  <c r="I475" i="26"/>
  <c r="E487" i="26"/>
  <c r="F487" i="26"/>
  <c r="I487" i="26"/>
  <c r="I489" i="26"/>
  <c r="E489" i="26"/>
  <c r="F489" i="26"/>
  <c r="E477" i="26"/>
  <c r="I477" i="26"/>
  <c r="F477" i="26"/>
  <c r="E445" i="26"/>
  <c r="I443" i="26"/>
  <c r="F14" i="26"/>
  <c r="I14" i="26"/>
  <c r="E14" i="26"/>
  <c r="I19" i="26"/>
  <c r="E19" i="26"/>
  <c r="F19" i="26"/>
  <c r="I25" i="26"/>
  <c r="F25" i="26"/>
  <c r="E25" i="26"/>
  <c r="I21" i="26"/>
  <c r="F21" i="26"/>
  <c r="E21" i="26"/>
  <c r="I547" i="26"/>
  <c r="E446" i="26"/>
  <c r="E449" i="26"/>
  <c r="E450" i="26"/>
  <c r="E443" i="26"/>
  <c r="I452" i="26"/>
  <c r="E551" i="26"/>
  <c r="E546" i="26"/>
  <c r="F544" i="26"/>
  <c r="F546" i="26"/>
  <c r="E541" i="26"/>
  <c r="E542" i="26"/>
  <c r="F545" i="26"/>
  <c r="E555" i="26"/>
  <c r="I550" i="26"/>
  <c r="I548" i="26"/>
  <c r="F421" i="26"/>
  <c r="E419" i="26"/>
  <c r="F420" i="26"/>
  <c r="E422" i="26"/>
  <c r="F416" i="26"/>
  <c r="E409" i="26"/>
  <c r="F419" i="26"/>
  <c r="E414" i="26"/>
  <c r="I417" i="26"/>
  <c r="I411" i="26"/>
  <c r="I415" i="26"/>
  <c r="I423" i="26"/>
  <c r="F389" i="26"/>
  <c r="F386" i="26"/>
  <c r="E380" i="26"/>
  <c r="F387" i="26"/>
  <c r="E390" i="26"/>
  <c r="F388" i="26"/>
  <c r="F384" i="26"/>
  <c r="I387" i="26"/>
  <c r="I386" i="26"/>
  <c r="I381" i="26"/>
  <c r="I380" i="26"/>
  <c r="F451" i="26"/>
  <c r="E447" i="26"/>
  <c r="I454" i="26"/>
  <c r="F450" i="26"/>
  <c r="E444" i="26"/>
  <c r="F445" i="26"/>
  <c r="E448" i="26"/>
  <c r="F449" i="26"/>
  <c r="F452" i="26"/>
  <c r="E453" i="26"/>
  <c r="F446" i="26"/>
  <c r="I442" i="26"/>
  <c r="I448" i="26"/>
  <c r="I450" i="26"/>
  <c r="F456" i="26"/>
  <c r="E451" i="26"/>
  <c r="E452" i="26"/>
  <c r="F453" i="26"/>
  <c r="E455" i="26"/>
  <c r="F447" i="26"/>
  <c r="F454" i="26"/>
  <c r="I447" i="26"/>
  <c r="I453" i="26"/>
  <c r="I446" i="26"/>
  <c r="I456" i="26"/>
  <c r="I451" i="26"/>
  <c r="F444" i="26"/>
  <c r="E456" i="26"/>
  <c r="F455" i="26"/>
  <c r="F442" i="26"/>
  <c r="F448" i="26"/>
  <c r="E442" i="26"/>
  <c r="F443" i="26"/>
  <c r="I449" i="26"/>
  <c r="I455" i="26"/>
  <c r="I445" i="26"/>
  <c r="I444" i="26"/>
  <c r="AA38" i="283"/>
  <c r="Z13" i="85"/>
  <c r="AD41" i="283"/>
  <c r="W18" i="85"/>
  <c r="AA39" i="283"/>
  <c r="Y13" i="85"/>
  <c r="A414" i="26"/>
  <c r="A413" i="26"/>
  <c r="A416" i="26"/>
  <c r="A419" i="26"/>
  <c r="A423" i="26"/>
  <c r="A410" i="26"/>
  <c r="A412" i="26"/>
  <c r="A415" i="26"/>
  <c r="A418" i="26"/>
  <c r="A417" i="26"/>
  <c r="A420" i="26"/>
  <c r="A422" i="26"/>
  <c r="A421" i="26"/>
  <c r="A409" i="26"/>
  <c r="A411" i="26"/>
  <c r="A385" i="26"/>
  <c r="A383" i="26"/>
  <c r="A390" i="26"/>
  <c r="A381" i="26"/>
  <c r="A376" i="26"/>
  <c r="A379" i="26"/>
  <c r="A386" i="26"/>
  <c r="A380" i="26"/>
  <c r="A377" i="26"/>
  <c r="A388" i="26"/>
  <c r="A382" i="26"/>
  <c r="A389" i="26"/>
  <c r="A384" i="26"/>
  <c r="A387" i="26"/>
  <c r="A378" i="26"/>
  <c r="A512" i="26"/>
  <c r="A519" i="26"/>
  <c r="A522" i="26"/>
  <c r="A513" i="26"/>
  <c r="A508" i="26"/>
  <c r="A515" i="26"/>
  <c r="A518" i="26"/>
  <c r="A517" i="26"/>
  <c r="A509" i="26"/>
  <c r="A520" i="26"/>
  <c r="A511" i="26"/>
  <c r="A514" i="26"/>
  <c r="A521" i="26"/>
  <c r="A516" i="26"/>
  <c r="A510" i="26"/>
  <c r="A479" i="26"/>
  <c r="A480" i="26"/>
  <c r="A475" i="26"/>
  <c r="A485" i="26"/>
  <c r="A478" i="26"/>
  <c r="A476" i="26"/>
  <c r="A487" i="26"/>
  <c r="A486" i="26"/>
  <c r="A481" i="26"/>
  <c r="A484" i="26"/>
  <c r="A489" i="26"/>
  <c r="A488" i="26"/>
  <c r="A483" i="26"/>
  <c r="A482" i="26"/>
  <c r="A477" i="26"/>
  <c r="A444" i="26"/>
  <c r="A451" i="26"/>
  <c r="A450" i="26"/>
  <c r="A456" i="26"/>
  <c r="C136" i="26"/>
  <c r="C301" i="26"/>
  <c r="F570" i="26"/>
  <c r="C565" i="26"/>
  <c r="C37" i="26"/>
  <c r="C169" i="26"/>
  <c r="A445" i="26"/>
  <c r="A454" i="26"/>
  <c r="A442" i="26"/>
  <c r="A453" i="26"/>
  <c r="A448" i="26"/>
  <c r="A446" i="26"/>
  <c r="A455" i="26"/>
  <c r="A449" i="26"/>
  <c r="A443" i="26"/>
  <c r="A452" i="26"/>
  <c r="A447" i="26"/>
  <c r="AC37" i="283"/>
  <c r="AA16" i="85"/>
  <c r="AC40" i="283"/>
  <c r="X16" i="85"/>
  <c r="AF36" i="283"/>
  <c r="AD38" i="283"/>
  <c r="Z18" i="85"/>
  <c r="AB37" i="283"/>
  <c r="AA15" i="85"/>
  <c r="AG36" i="283"/>
  <c r="AC41" i="283"/>
  <c r="W16" i="85"/>
  <c r="Z40" i="283"/>
  <c r="X12" i="85"/>
  <c r="AA37" i="283"/>
  <c r="AA13" i="85"/>
  <c r="AA36" i="283"/>
  <c r="AB13" i="85"/>
  <c r="AA41" i="283"/>
  <c r="W13" i="85"/>
  <c r="AU12" i="283"/>
  <c r="AR36" i="283"/>
  <c r="AR41" i="283"/>
  <c r="AR38" i="283"/>
  <c r="AH38" i="283"/>
  <c r="AH41" i="283"/>
  <c r="AH40" i="283"/>
  <c r="AA40" i="283"/>
  <c r="X13" i="85"/>
  <c r="AU39" i="283"/>
  <c r="AF37" i="283"/>
  <c r="AC38" i="283"/>
  <c r="Z16" i="85"/>
  <c r="AG40" i="283"/>
  <c r="AG37" i="283"/>
  <c r="AD40" i="283"/>
  <c r="X18" i="85"/>
  <c r="AD39" i="283"/>
  <c r="Y18" i="85"/>
  <c r="AC39" i="283"/>
  <c r="Y16" i="85"/>
  <c r="AF41" i="283"/>
  <c r="AC36" i="283"/>
  <c r="AB16" i="85"/>
  <c r="AG38" i="283"/>
  <c r="AG39" i="283"/>
  <c r="AF40" i="283"/>
  <c r="AF39" i="283"/>
  <c r="AB41" i="283"/>
  <c r="W15" i="85"/>
  <c r="AF38" i="283"/>
  <c r="AB39" i="283"/>
  <c r="Y15" i="85"/>
  <c r="A20" i="26"/>
  <c r="A19" i="26"/>
  <c r="A18" i="26"/>
  <c r="A17" i="26"/>
  <c r="A16" i="26"/>
  <c r="A15" i="26"/>
  <c r="A14" i="26"/>
  <c r="A13" i="26"/>
  <c r="A23" i="26"/>
  <c r="A22" i="26"/>
  <c r="A21" i="26"/>
  <c r="C400" i="26"/>
  <c r="C433" i="26"/>
  <c r="C499" i="26"/>
  <c r="AD36" i="283"/>
  <c r="AB18" i="85"/>
  <c r="C367" i="26"/>
  <c r="C334" i="26"/>
  <c r="AE39" i="283"/>
  <c r="Y19" i="85"/>
  <c r="C70" i="26"/>
  <c r="C466" i="26"/>
  <c r="C103" i="26"/>
  <c r="C268" i="26"/>
  <c r="AB36" i="283"/>
  <c r="AB15" i="85"/>
  <c r="AB38" i="283"/>
  <c r="Z15" i="85"/>
  <c r="AB40" i="283"/>
  <c r="X15" i="85"/>
  <c r="Z36" i="283"/>
  <c r="AB12" i="85"/>
  <c r="Z37" i="283"/>
  <c r="AA12" i="85"/>
  <c r="Z39" i="283"/>
  <c r="Y12" i="85"/>
  <c r="Z41" i="283"/>
  <c r="W12" i="85"/>
  <c r="Z38" i="283"/>
  <c r="Z12" i="85"/>
  <c r="C235" i="26"/>
  <c r="C202" i="26"/>
  <c r="AE41" i="283"/>
  <c r="W19" i="85"/>
  <c r="AE36" i="283"/>
  <c r="AB19" i="85"/>
  <c r="AE37" i="283"/>
  <c r="AA19" i="85"/>
  <c r="AE38" i="283"/>
  <c r="Z19" i="85"/>
  <c r="AE40" i="283"/>
  <c r="X19" i="85"/>
  <c r="A554" i="26"/>
  <c r="A553" i="26"/>
  <c r="A552" i="26"/>
  <c r="A551" i="26"/>
  <c r="A550" i="26"/>
  <c r="A548" i="26"/>
  <c r="A547" i="26"/>
  <c r="A546" i="26"/>
  <c r="A544" i="26"/>
  <c r="A543" i="26"/>
  <c r="A542" i="26"/>
  <c r="A541" i="26"/>
  <c r="D603" i="26"/>
  <c r="J596" i="26"/>
  <c r="C634" i="26"/>
  <c r="AS37" i="283"/>
  <c r="AS41" i="283"/>
  <c r="AV11" i="283"/>
  <c r="AS36" i="283"/>
  <c r="AS38" i="283"/>
  <c r="AS40" i="283"/>
  <c r="C530" i="26"/>
  <c r="AU37" i="283"/>
  <c r="AU41" i="283"/>
  <c r="AU36" i="283"/>
  <c r="AU38" i="283"/>
  <c r="AU40" i="283"/>
  <c r="AQ37" i="283"/>
  <c r="AQ41" i="283"/>
  <c r="AT11" i="283"/>
  <c r="AQ36" i="283"/>
  <c r="AQ38" i="283"/>
  <c r="AQ40" i="283"/>
  <c r="J562" i="26"/>
  <c r="D568" i="26"/>
  <c r="L15" i="55"/>
  <c r="K19" i="55"/>
  <c r="AS39" i="283"/>
  <c r="AV13" i="283"/>
  <c r="AV39" i="283"/>
  <c r="AQ39" i="283"/>
  <c r="AT13" i="283"/>
  <c r="AT39" i="283"/>
  <c r="J11" i="97"/>
  <c r="N11" i="97"/>
  <c r="H18" i="97"/>
  <c r="E603" i="26"/>
  <c r="D576" i="26"/>
  <c r="D586" i="26"/>
  <c r="G570" i="26"/>
  <c r="E605" i="26"/>
  <c r="D587" i="26"/>
  <c r="D574" i="26"/>
  <c r="D575" i="26"/>
  <c r="D577" i="26"/>
  <c r="D578" i="26"/>
  <c r="D583" i="26"/>
  <c r="F605" i="26"/>
  <c r="D581" i="26"/>
  <c r="D580" i="26"/>
  <c r="D579" i="26"/>
  <c r="F579" i="26"/>
  <c r="I580" i="26"/>
  <c r="E580" i="26"/>
  <c r="F580" i="26"/>
  <c r="E581" i="26"/>
  <c r="I581" i="26"/>
  <c r="F581" i="26"/>
  <c r="E583" i="26"/>
  <c r="F583" i="26"/>
  <c r="I583" i="26"/>
  <c r="E578" i="26"/>
  <c r="I577" i="26"/>
  <c r="F577" i="26"/>
  <c r="E577" i="26"/>
  <c r="I575" i="26"/>
  <c r="F575" i="26"/>
  <c r="E575" i="26"/>
  <c r="E574" i="26"/>
  <c r="I574" i="26"/>
  <c r="F587" i="26"/>
  <c r="I587" i="26"/>
  <c r="F586" i="26"/>
  <c r="F576" i="26"/>
  <c r="E576" i="26"/>
  <c r="I576" i="26"/>
  <c r="I586" i="26"/>
  <c r="E579" i="26"/>
  <c r="E586" i="26"/>
  <c r="E587" i="26"/>
  <c r="F578" i="26"/>
  <c r="F574" i="26"/>
  <c r="I579" i="26"/>
  <c r="I578" i="26"/>
  <c r="A555" i="26"/>
  <c r="A549" i="26"/>
  <c r="H11" i="97"/>
  <c r="A545" i="26"/>
  <c r="A587" i="26"/>
  <c r="A586" i="26"/>
  <c r="A583" i="26"/>
  <c r="A581" i="26"/>
  <c r="A579" i="26"/>
  <c r="A578" i="26"/>
  <c r="A576" i="26"/>
  <c r="A574" i="26"/>
  <c r="C55" i="20"/>
  <c r="J595" i="26"/>
  <c r="D601" i="26"/>
  <c r="M15" i="55"/>
  <c r="L19" i="55"/>
  <c r="C563" i="26"/>
  <c r="AV36" i="283"/>
  <c r="AV38" i="283"/>
  <c r="AV40" i="283"/>
  <c r="AV37" i="283"/>
  <c r="AV41" i="283"/>
  <c r="F603" i="26"/>
  <c r="C598" i="26"/>
  <c r="AT37" i="283"/>
  <c r="AT41" i="283"/>
  <c r="AT36" i="283"/>
  <c r="AT38" i="283"/>
  <c r="AT40" i="283"/>
  <c r="D636" i="26"/>
  <c r="J629" i="26"/>
  <c r="C667" i="26"/>
  <c r="M22" i="97"/>
  <c r="D588" i="26"/>
  <c r="D619" i="26"/>
  <c r="D613" i="26"/>
  <c r="D608" i="26"/>
  <c r="D620" i="26"/>
  <c r="G603" i="26"/>
  <c r="E636" i="26"/>
  <c r="D584" i="26"/>
  <c r="D612" i="26"/>
  <c r="D607" i="26"/>
  <c r="D621" i="26"/>
  <c r="D617" i="26"/>
  <c r="D582" i="26"/>
  <c r="D609" i="26"/>
  <c r="D614" i="26"/>
  <c r="D611" i="26"/>
  <c r="D615" i="26"/>
  <c r="E638" i="26"/>
  <c r="D585" i="26"/>
  <c r="M31" i="97"/>
  <c r="M25" i="97"/>
  <c r="M28" i="97"/>
  <c r="M26" i="97"/>
  <c r="M37" i="97"/>
  <c r="M24" i="97"/>
  <c r="M30" i="97"/>
  <c r="M34" i="97"/>
  <c r="M32" i="97"/>
  <c r="M27" i="97"/>
  <c r="M29" i="97"/>
  <c r="M38" i="97"/>
  <c r="M36" i="97"/>
  <c r="M33" i="97"/>
  <c r="M35" i="97"/>
  <c r="D616" i="26"/>
  <c r="D618" i="26"/>
  <c r="D610" i="26"/>
  <c r="F638" i="26"/>
  <c r="E610" i="26"/>
  <c r="I610" i="26"/>
  <c r="F610" i="26"/>
  <c r="F618" i="26"/>
  <c r="E618" i="26"/>
  <c r="E616" i="26"/>
  <c r="I616" i="26"/>
  <c r="F616" i="26"/>
  <c r="E585" i="26"/>
  <c r="I585" i="26"/>
  <c r="F585" i="26"/>
  <c r="I615" i="26"/>
  <c r="F615" i="26"/>
  <c r="E611" i="26"/>
  <c r="I611" i="26"/>
  <c r="F614" i="26"/>
  <c r="I614" i="26"/>
  <c r="I609" i="26"/>
  <c r="F609" i="26"/>
  <c r="F582" i="26"/>
  <c r="E582" i="26"/>
  <c r="I582" i="26"/>
  <c r="A582" i="26"/>
  <c r="F617" i="26"/>
  <c r="I617" i="26"/>
  <c r="I621" i="26"/>
  <c r="F621" i="26"/>
  <c r="E621" i="26"/>
  <c r="E607" i="26"/>
  <c r="F612" i="26"/>
  <c r="I612" i="26"/>
  <c r="E584" i="26"/>
  <c r="F584" i="26"/>
  <c r="I584" i="26"/>
  <c r="A584" i="26"/>
  <c r="F620" i="26"/>
  <c r="E620" i="26"/>
  <c r="I620" i="26"/>
  <c r="I608" i="26"/>
  <c r="F608" i="26"/>
  <c r="I613" i="26"/>
  <c r="F613" i="26"/>
  <c r="E613" i="26"/>
  <c r="E619" i="26"/>
  <c r="F619" i="26"/>
  <c r="F588" i="26"/>
  <c r="I588" i="26"/>
  <c r="E588" i="26"/>
  <c r="N22" i="97"/>
  <c r="I618" i="26"/>
  <c r="E608" i="26"/>
  <c r="E617" i="26"/>
  <c r="F607" i="26"/>
  <c r="F611" i="26"/>
  <c r="E614" i="26"/>
  <c r="E615" i="26"/>
  <c r="E609" i="26"/>
  <c r="E612" i="26"/>
  <c r="I619" i="26"/>
  <c r="I607" i="26"/>
  <c r="F636" i="26"/>
  <c r="C631" i="26"/>
  <c r="A580" i="26"/>
  <c r="A585" i="26"/>
  <c r="A577" i="26"/>
  <c r="A588" i="26"/>
  <c r="A575" i="26"/>
  <c r="O22" i="97"/>
  <c r="A621" i="26"/>
  <c r="A620" i="26"/>
  <c r="A619" i="26"/>
  <c r="A618" i="26"/>
  <c r="A617" i="26"/>
  <c r="A616" i="26"/>
  <c r="A615" i="26"/>
  <c r="A614" i="26"/>
  <c r="A613" i="26"/>
  <c r="A612" i="26"/>
  <c r="A611" i="26"/>
  <c r="A610" i="26"/>
  <c r="A609" i="26"/>
  <c r="A608" i="26"/>
  <c r="A607" i="26"/>
  <c r="D669" i="26"/>
  <c r="J662" i="26"/>
  <c r="C700" i="26"/>
  <c r="J628" i="26"/>
  <c r="D634" i="26"/>
  <c r="N15" i="55"/>
  <c r="M19" i="55"/>
  <c r="C596" i="26"/>
  <c r="N35" i="97"/>
  <c r="N30" i="97"/>
  <c r="N26" i="97"/>
  <c r="N25" i="97"/>
  <c r="N34" i="97"/>
  <c r="N24" i="97"/>
  <c r="N32" i="97"/>
  <c r="N29" i="97"/>
  <c r="N38" i="97"/>
  <c r="N28" i="97"/>
  <c r="N31" i="97"/>
  <c r="N33" i="97"/>
  <c r="N36" i="97"/>
  <c r="N27" i="97"/>
  <c r="N37" i="97"/>
  <c r="E669" i="26"/>
  <c r="D653" i="26"/>
  <c r="D649" i="26"/>
  <c r="D654" i="26"/>
  <c r="E671" i="26"/>
  <c r="D640" i="26"/>
  <c r="D641" i="26"/>
  <c r="O33" i="97"/>
  <c r="O38" i="97"/>
  <c r="O28" i="97"/>
  <c r="O27" i="97"/>
  <c r="O36" i="97"/>
  <c r="O30" i="97"/>
  <c r="O25" i="97"/>
  <c r="O35" i="97"/>
  <c r="O34" i="97"/>
  <c r="O32" i="97"/>
  <c r="O24" i="97"/>
  <c r="O31" i="97"/>
  <c r="O26" i="97"/>
  <c r="O29" i="97"/>
  <c r="O37" i="97"/>
  <c r="D645" i="26"/>
  <c r="D646" i="26"/>
  <c r="D647" i="26"/>
  <c r="D643" i="26"/>
  <c r="G636" i="26"/>
  <c r="F671" i="26"/>
  <c r="F643" i="26"/>
  <c r="F647" i="26"/>
  <c r="I647" i="26"/>
  <c r="F646" i="26"/>
  <c r="E646" i="26"/>
  <c r="I646" i="26"/>
  <c r="F645" i="26"/>
  <c r="I641" i="26"/>
  <c r="E641" i="26"/>
  <c r="F640" i="26"/>
  <c r="E640" i="26"/>
  <c r="F654" i="26"/>
  <c r="I649" i="26"/>
  <c r="F653" i="26"/>
  <c r="E653" i="26"/>
  <c r="E649" i="26"/>
  <c r="F649" i="26"/>
  <c r="F641" i="26"/>
  <c r="E643" i="26"/>
  <c r="E647" i="26"/>
  <c r="I640" i="26"/>
  <c r="I645" i="26"/>
  <c r="E645" i="26"/>
  <c r="E654" i="26"/>
  <c r="I643" i="26"/>
  <c r="I654" i="26"/>
  <c r="I653" i="26"/>
  <c r="F669" i="26"/>
  <c r="C664" i="26"/>
  <c r="A653" i="26"/>
  <c r="A649" i="26"/>
  <c r="A646" i="26"/>
  <c r="A645" i="26"/>
  <c r="D702" i="26"/>
  <c r="J695" i="26"/>
  <c r="C733" i="26"/>
  <c r="C629" i="26"/>
  <c r="O15" i="55"/>
  <c r="N19" i="55"/>
  <c r="D667" i="26"/>
  <c r="J661" i="26"/>
  <c r="D651" i="26"/>
  <c r="D642" i="26"/>
  <c r="D676" i="26"/>
  <c r="D677" i="26"/>
  <c r="D678" i="26"/>
  <c r="D685" i="26"/>
  <c r="F704" i="26"/>
  <c r="D673" i="26"/>
  <c r="D675" i="26"/>
  <c r="D682" i="26"/>
  <c r="D679" i="26"/>
  <c r="D652" i="26"/>
  <c r="D650" i="26"/>
  <c r="G669" i="26"/>
  <c r="D648" i="26"/>
  <c r="D644" i="26"/>
  <c r="D684" i="26"/>
  <c r="D680" i="26"/>
  <c r="D683" i="26"/>
  <c r="D674" i="26"/>
  <c r="D687" i="26"/>
  <c r="D686" i="26"/>
  <c r="D681" i="26"/>
  <c r="E704" i="26"/>
  <c r="F686" i="26"/>
  <c r="I687" i="26"/>
  <c r="E687" i="26"/>
  <c r="I683" i="26"/>
  <c r="E680" i="26"/>
  <c r="I684" i="26"/>
  <c r="F684" i="26"/>
  <c r="E644" i="26"/>
  <c r="I644" i="26"/>
  <c r="F644" i="26"/>
  <c r="A644" i="26"/>
  <c r="E648" i="26"/>
  <c r="I648" i="26"/>
  <c r="F648" i="26"/>
  <c r="F650" i="26"/>
  <c r="E650" i="26"/>
  <c r="I650" i="26"/>
  <c r="A650" i="26"/>
  <c r="F652" i="26"/>
  <c r="E652" i="26"/>
  <c r="A652" i="26"/>
  <c r="I652" i="26"/>
  <c r="E679" i="26"/>
  <c r="E682" i="26"/>
  <c r="E675" i="26"/>
  <c r="F675" i="26"/>
  <c r="I675" i="26"/>
  <c r="F673" i="26"/>
  <c r="I685" i="26"/>
  <c r="F678" i="26"/>
  <c r="F677" i="26"/>
  <c r="F642" i="26"/>
  <c r="E642" i="26"/>
  <c r="I642" i="26"/>
  <c r="I651" i="26"/>
  <c r="E651" i="26"/>
  <c r="F651" i="26"/>
  <c r="I681" i="26"/>
  <c r="E676" i="26"/>
  <c r="E685" i="26"/>
  <c r="E686" i="26"/>
  <c r="F682" i="26"/>
  <c r="F683" i="26"/>
  <c r="F687" i="26"/>
  <c r="I680" i="26"/>
  <c r="I679" i="26"/>
  <c r="I678" i="26"/>
  <c r="F674" i="26"/>
  <c r="F685" i="26"/>
  <c r="E683" i="26"/>
  <c r="E673" i="26"/>
  <c r="F679" i="26"/>
  <c r="E677" i="26"/>
  <c r="I686" i="26"/>
  <c r="I674" i="26"/>
  <c r="I676" i="26"/>
  <c r="F676" i="26"/>
  <c r="E674" i="26"/>
  <c r="E678" i="26"/>
  <c r="F680" i="26"/>
  <c r="F681" i="26"/>
  <c r="E681" i="26"/>
  <c r="E684" i="26"/>
  <c r="I673" i="26"/>
  <c r="I682" i="26"/>
  <c r="I677" i="26"/>
  <c r="A641" i="26"/>
  <c r="A654" i="26"/>
  <c r="A642" i="26"/>
  <c r="A648" i="26"/>
  <c r="A640" i="26"/>
  <c r="A643" i="26"/>
  <c r="A647" i="26"/>
  <c r="A651" i="26"/>
  <c r="A676" i="26"/>
  <c r="C662" i="26"/>
  <c r="D735" i="26"/>
  <c r="J728" i="26"/>
  <c r="C766" i="26"/>
  <c r="J694" i="26"/>
  <c r="D700" i="26"/>
  <c r="F702" i="26"/>
  <c r="C697" i="26"/>
  <c r="P15" i="55"/>
  <c r="O19" i="55"/>
  <c r="D711" i="26"/>
  <c r="D709" i="26"/>
  <c r="D710" i="26"/>
  <c r="G702" i="26"/>
  <c r="D706" i="26"/>
  <c r="D707" i="26"/>
  <c r="E702" i="26"/>
  <c r="E735" i="26"/>
  <c r="D718" i="26"/>
  <c r="D717" i="26"/>
  <c r="D712" i="26"/>
  <c r="D715" i="26"/>
  <c r="F737" i="26"/>
  <c r="D720" i="26"/>
  <c r="E737" i="26"/>
  <c r="D708" i="26"/>
  <c r="D719" i="26"/>
  <c r="D713" i="26"/>
  <c r="D714" i="26"/>
  <c r="D716" i="26"/>
  <c r="I716" i="26"/>
  <c r="F716" i="26"/>
  <c r="E714" i="26"/>
  <c r="F713" i="26"/>
  <c r="I713" i="26"/>
  <c r="F708" i="26"/>
  <c r="E708" i="26"/>
  <c r="I715" i="26"/>
  <c r="E712" i="26"/>
  <c r="F717" i="26"/>
  <c r="E718" i="26"/>
  <c r="F707" i="26"/>
  <c r="I707" i="26"/>
  <c r="F710" i="26"/>
  <c r="I710" i="26"/>
  <c r="E709" i="26"/>
  <c r="E711" i="26"/>
  <c r="I711" i="26"/>
  <c r="I717" i="26"/>
  <c r="F714" i="26"/>
  <c r="E720" i="26"/>
  <c r="F711" i="26"/>
  <c r="E713" i="26"/>
  <c r="E715" i="26"/>
  <c r="F715" i="26"/>
  <c r="I706" i="26"/>
  <c r="I720" i="26"/>
  <c r="I718" i="26"/>
  <c r="E719" i="26"/>
  <c r="F718" i="26"/>
  <c r="E707" i="26"/>
  <c r="F719" i="26"/>
  <c r="F720" i="26"/>
  <c r="F709" i="26"/>
  <c r="E706" i="26"/>
  <c r="I714" i="26"/>
  <c r="I709" i="26"/>
  <c r="E710" i="26"/>
  <c r="E717" i="26"/>
  <c r="F712" i="26"/>
  <c r="E716" i="26"/>
  <c r="F706" i="26"/>
  <c r="I712" i="26"/>
  <c r="I719" i="26"/>
  <c r="I708" i="26"/>
  <c r="F735" i="26"/>
  <c r="C730" i="26"/>
  <c r="A674" i="26"/>
  <c r="A681" i="26"/>
  <c r="A685" i="26"/>
  <c r="A679" i="26"/>
  <c r="A683" i="26"/>
  <c r="A678" i="26"/>
  <c r="A682" i="26"/>
  <c r="A680" i="26"/>
  <c r="A686" i="26"/>
  <c r="A675" i="26"/>
  <c r="A677" i="26"/>
  <c r="A684" i="26"/>
  <c r="A687" i="26"/>
  <c r="A673" i="26"/>
  <c r="A720" i="26"/>
  <c r="A719" i="26"/>
  <c r="A718" i="26"/>
  <c r="A717" i="26"/>
  <c r="A714" i="26"/>
  <c r="A713" i="26"/>
  <c r="A712" i="26"/>
  <c r="A711" i="26"/>
  <c r="A710" i="26"/>
  <c r="A709" i="26"/>
  <c r="A708" i="26"/>
  <c r="A707" i="26"/>
  <c r="Q15" i="55"/>
  <c r="P19" i="55"/>
  <c r="D768" i="26"/>
  <c r="J761" i="26"/>
  <c r="C799" i="26"/>
  <c r="C695" i="26"/>
  <c r="J727" i="26"/>
  <c r="D733" i="26"/>
  <c r="E770" i="26"/>
  <c r="E768" i="26"/>
  <c r="F770" i="26"/>
  <c r="D747" i="26"/>
  <c r="I747" i="26"/>
  <c r="F747" i="26"/>
  <c r="E747" i="26"/>
  <c r="F768" i="26"/>
  <c r="C763" i="26"/>
  <c r="A716" i="26"/>
  <c r="A706" i="26"/>
  <c r="A715" i="26"/>
  <c r="A747" i="26"/>
  <c r="C728" i="26"/>
  <c r="D801" i="26"/>
  <c r="J794" i="26"/>
  <c r="C832" i="26"/>
  <c r="R15" i="55"/>
  <c r="Q19" i="55"/>
  <c r="Q18" i="55"/>
  <c r="Q23" i="55"/>
  <c r="Q22" i="55"/>
  <c r="J760" i="26"/>
  <c r="D766" i="26"/>
  <c r="D746" i="26"/>
  <c r="D744" i="26"/>
  <c r="D745" i="26"/>
  <c r="D782" i="26"/>
  <c r="D778" i="26"/>
  <c r="D780" i="26"/>
  <c r="D774" i="26"/>
  <c r="D749" i="26"/>
  <c r="D742" i="26"/>
  <c r="D741" i="26"/>
  <c r="D739" i="26"/>
  <c r="D786" i="26"/>
  <c r="D772" i="26"/>
  <c r="D743" i="26"/>
  <c r="D753" i="26"/>
  <c r="D751" i="26"/>
  <c r="D748" i="26"/>
  <c r="D740" i="26"/>
  <c r="E801" i="26"/>
  <c r="D773" i="26"/>
  <c r="F803" i="26"/>
  <c r="D752" i="26"/>
  <c r="D750" i="26"/>
  <c r="G735" i="26"/>
  <c r="D785" i="26"/>
  <c r="E803" i="26"/>
  <c r="D777" i="26"/>
  <c r="I777" i="26"/>
  <c r="E777" i="26"/>
  <c r="F777" i="26"/>
  <c r="F750" i="26"/>
  <c r="E750" i="26"/>
  <c r="A750" i="26"/>
  <c r="I750" i="26"/>
  <c r="A752" i="26"/>
  <c r="F752" i="26"/>
  <c r="I752" i="26"/>
  <c r="E752" i="26"/>
  <c r="E773" i="26"/>
  <c r="F773" i="26"/>
  <c r="I740" i="26"/>
  <c r="F740" i="26"/>
  <c r="A740" i="26"/>
  <c r="E740" i="26"/>
  <c r="F748" i="26"/>
  <c r="A748" i="26"/>
  <c r="E748" i="26"/>
  <c r="I748" i="26"/>
  <c r="F751" i="26"/>
  <c r="A751" i="26"/>
  <c r="I751" i="26"/>
  <c r="E751" i="26"/>
  <c r="E753" i="26"/>
  <c r="I753" i="26"/>
  <c r="F753" i="26"/>
  <c r="A753" i="26"/>
  <c r="A743" i="26"/>
  <c r="I743" i="26"/>
  <c r="F743" i="26"/>
  <c r="E743" i="26"/>
  <c r="E772" i="26"/>
  <c r="F772" i="26"/>
  <c r="I786" i="26"/>
  <c r="F786" i="26"/>
  <c r="E739" i="26"/>
  <c r="F739" i="26"/>
  <c r="I739" i="26"/>
  <c r="A739" i="26"/>
  <c r="F741" i="26"/>
  <c r="E741" i="26"/>
  <c r="I741" i="26"/>
  <c r="A741" i="26"/>
  <c r="F742" i="26"/>
  <c r="I742" i="26"/>
  <c r="A742" i="26"/>
  <c r="E742" i="26"/>
  <c r="F749" i="26"/>
  <c r="E749" i="26"/>
  <c r="I749" i="26"/>
  <c r="A749" i="26"/>
  <c r="F774" i="26"/>
  <c r="E780" i="26"/>
  <c r="I780" i="26"/>
  <c r="E778" i="26"/>
  <c r="F778" i="26"/>
  <c r="I778" i="26"/>
  <c r="I782" i="26"/>
  <c r="E782" i="26"/>
  <c r="F782" i="26"/>
  <c r="E745" i="26"/>
  <c r="F745" i="26"/>
  <c r="I745" i="26"/>
  <c r="A745" i="26"/>
  <c r="E744" i="26"/>
  <c r="A744" i="26"/>
  <c r="I744" i="26"/>
  <c r="F744" i="26"/>
  <c r="F746" i="26"/>
  <c r="I746" i="26"/>
  <c r="E746" i="26"/>
  <c r="A746" i="26"/>
  <c r="I773" i="26"/>
  <c r="Q21" i="55"/>
  <c r="E786" i="26"/>
  <c r="F780" i="26"/>
  <c r="E785" i="26"/>
  <c r="E774" i="26"/>
  <c r="F785" i="26"/>
  <c r="I772" i="26"/>
  <c r="I774" i="26"/>
  <c r="I785" i="26"/>
  <c r="F801" i="26"/>
  <c r="C796" i="26"/>
  <c r="Q24" i="55"/>
  <c r="R22" i="55"/>
  <c r="S15" i="55"/>
  <c r="R19" i="55"/>
  <c r="R18" i="55"/>
  <c r="R21" i="55"/>
  <c r="R23" i="55"/>
  <c r="C761" i="26"/>
  <c r="D834" i="26"/>
  <c r="J827" i="26"/>
  <c r="D799" i="26"/>
  <c r="J793" i="26"/>
  <c r="D775" i="26"/>
  <c r="G768" i="26"/>
  <c r="F836" i="26"/>
  <c r="D783" i="26"/>
  <c r="D776" i="26"/>
  <c r="E836" i="26"/>
  <c r="D807" i="26"/>
  <c r="D779" i="26"/>
  <c r="D784" i="26"/>
  <c r="D781" i="26"/>
  <c r="E834" i="26"/>
  <c r="E781" i="26"/>
  <c r="F781" i="26"/>
  <c r="I781" i="26"/>
  <c r="I784" i="26"/>
  <c r="F784" i="26"/>
  <c r="E784" i="26"/>
  <c r="E779" i="26"/>
  <c r="F779" i="26"/>
  <c r="I779" i="26"/>
  <c r="A779" i="26"/>
  <c r="F776" i="26"/>
  <c r="E776" i="26"/>
  <c r="I776" i="26"/>
  <c r="E783" i="26"/>
  <c r="F783" i="26"/>
  <c r="I783" i="26"/>
  <c r="F775" i="26"/>
  <c r="I775" i="26"/>
  <c r="E775" i="26"/>
  <c r="E807" i="26"/>
  <c r="I807" i="26"/>
  <c r="F807" i="26"/>
  <c r="F834" i="26"/>
  <c r="C829" i="26"/>
  <c r="A775" i="26"/>
  <c r="A783" i="26"/>
  <c r="A777" i="26"/>
  <c r="R24" i="55"/>
  <c r="A778" i="26"/>
  <c r="A784" i="26"/>
  <c r="A782" i="26"/>
  <c r="A772" i="26"/>
  <c r="A773" i="26"/>
  <c r="A786" i="26"/>
  <c r="A776" i="26"/>
  <c r="A781" i="26"/>
  <c r="A774" i="26"/>
  <c r="A780" i="26"/>
  <c r="A785" i="26"/>
  <c r="A807" i="26"/>
  <c r="J826" i="26"/>
  <c r="D832" i="26"/>
  <c r="S18" i="55"/>
  <c r="S23" i="55"/>
  <c r="S22" i="55"/>
  <c r="T15" i="55"/>
  <c r="S19" i="55"/>
  <c r="C794" i="26"/>
  <c r="D814" i="26"/>
  <c r="D809" i="26"/>
  <c r="D806" i="26"/>
  <c r="D812" i="26"/>
  <c r="D815" i="26"/>
  <c r="D813" i="26"/>
  <c r="D805" i="26"/>
  <c r="D808" i="26"/>
  <c r="D816" i="26"/>
  <c r="D818" i="26"/>
  <c r="D810" i="26"/>
  <c r="D811" i="26"/>
  <c r="D817" i="26"/>
  <c r="G801" i="26"/>
  <c r="D819" i="26"/>
  <c r="I819" i="26"/>
  <c r="F819" i="26"/>
  <c r="E819" i="26"/>
  <c r="A819" i="26"/>
  <c r="E817" i="26"/>
  <c r="F817" i="26"/>
  <c r="I817" i="26"/>
  <c r="A817" i="26"/>
  <c r="F811" i="26"/>
  <c r="A811" i="26"/>
  <c r="I811" i="26"/>
  <c r="E811" i="26"/>
  <c r="E810" i="26"/>
  <c r="F810" i="26"/>
  <c r="I810" i="26"/>
  <c r="A810" i="26"/>
  <c r="I818" i="26"/>
  <c r="A818" i="26"/>
  <c r="F818" i="26"/>
  <c r="E818" i="26"/>
  <c r="E816" i="26"/>
  <c r="A816" i="26"/>
  <c r="F816" i="26"/>
  <c r="I816" i="26"/>
  <c r="A808" i="26"/>
  <c r="E808" i="26"/>
  <c r="F808" i="26"/>
  <c r="I808" i="26"/>
  <c r="E805" i="26"/>
  <c r="I805" i="26"/>
  <c r="F805" i="26"/>
  <c r="A805" i="26"/>
  <c r="F813" i="26"/>
  <c r="I813" i="26"/>
  <c r="E813" i="26"/>
  <c r="A813" i="26"/>
  <c r="F815" i="26"/>
  <c r="E815" i="26"/>
  <c r="A815" i="26"/>
  <c r="I815" i="26"/>
  <c r="F812" i="26"/>
  <c r="A812" i="26"/>
  <c r="I812" i="26"/>
  <c r="E812" i="26"/>
  <c r="F806" i="26"/>
  <c r="I806" i="26"/>
  <c r="E806" i="26"/>
  <c r="A806" i="26"/>
  <c r="E809" i="26"/>
  <c r="I809" i="26"/>
  <c r="F809" i="26"/>
  <c r="A809" i="26"/>
  <c r="E814" i="26"/>
  <c r="F814" i="26"/>
  <c r="A814" i="26"/>
  <c r="I814" i="26"/>
  <c r="U15" i="55"/>
  <c r="T19" i="55"/>
  <c r="T18" i="55"/>
  <c r="T23" i="55"/>
  <c r="T22" i="55"/>
  <c r="C827" i="26"/>
  <c r="S21" i="55"/>
  <c r="S24" i="55"/>
  <c r="G834" i="26"/>
  <c r="D845" i="26"/>
  <c r="D847" i="26"/>
  <c r="D838" i="26"/>
  <c r="D851" i="26"/>
  <c r="D841" i="26"/>
  <c r="D843" i="26"/>
  <c r="D839" i="26"/>
  <c r="D842" i="26"/>
  <c r="D852" i="26"/>
  <c r="D840" i="26"/>
  <c r="D850" i="26"/>
  <c r="D849" i="26"/>
  <c r="D846" i="26"/>
  <c r="D844" i="26"/>
  <c r="D848" i="26"/>
  <c r="I848" i="26"/>
  <c r="E848" i="26"/>
  <c r="F848" i="26"/>
  <c r="A848" i="26"/>
  <c r="I844" i="26"/>
  <c r="F844" i="26"/>
  <c r="E844" i="26"/>
  <c r="A844" i="26"/>
  <c r="E846" i="26"/>
  <c r="F846" i="26"/>
  <c r="A846" i="26"/>
  <c r="I846" i="26"/>
  <c r="F849" i="26"/>
  <c r="E849" i="26"/>
  <c r="I849" i="26"/>
  <c r="E850" i="26"/>
  <c r="I850" i="26"/>
  <c r="F850" i="26"/>
  <c r="F840" i="26"/>
  <c r="A840" i="26"/>
  <c r="I840" i="26"/>
  <c r="E840" i="26"/>
  <c r="I852" i="26"/>
  <c r="F852" i="26"/>
  <c r="E852" i="26"/>
  <c r="I842" i="26"/>
  <c r="F842" i="26"/>
  <c r="E842" i="26"/>
  <c r="F839" i="26"/>
  <c r="E839" i="26"/>
  <c r="I839" i="26"/>
  <c r="I843" i="26"/>
  <c r="E843" i="26"/>
  <c r="F843" i="26"/>
  <c r="I841" i="26"/>
  <c r="E841" i="26"/>
  <c r="F841" i="26"/>
  <c r="E851" i="26"/>
  <c r="I851" i="26"/>
  <c r="F851" i="26"/>
  <c r="A838" i="26"/>
  <c r="F838" i="26"/>
  <c r="I838" i="26"/>
  <c r="E838" i="26"/>
  <c r="E847" i="26"/>
  <c r="A847" i="26"/>
  <c r="I847" i="26"/>
  <c r="F847" i="26"/>
  <c r="E845" i="26"/>
  <c r="F845" i="26"/>
  <c r="I845" i="26"/>
  <c r="A845" i="26"/>
  <c r="A851" i="26"/>
  <c r="A839" i="26"/>
  <c r="A841" i="26"/>
  <c r="A843" i="26"/>
  <c r="A849" i="26"/>
  <c r="A852" i="26"/>
  <c r="A850" i="26"/>
  <c r="A842" i="26"/>
  <c r="T21" i="55"/>
  <c r="T24" i="55"/>
  <c r="U19" i="55"/>
  <c r="U18" i="55"/>
  <c r="U23" i="55"/>
  <c r="U22" i="55"/>
  <c r="J33" i="97"/>
  <c r="I33" i="97"/>
  <c r="F33" i="97"/>
  <c r="U21" i="55"/>
  <c r="U24" i="55"/>
  <c r="F35" i="97"/>
  <c r="I35" i="97"/>
  <c r="J35" i="97"/>
  <c r="F36" i="97"/>
  <c r="I36" i="97"/>
  <c r="J36" i="97"/>
  <c r="F37" i="97"/>
  <c r="I37" i="97"/>
  <c r="J37" i="97"/>
  <c r="F38" i="97"/>
  <c r="I38" i="97"/>
  <c r="J38" i="97"/>
  <c r="AR3" i="97"/>
  <c r="J46" i="97"/>
  <c r="K9" i="20"/>
  <c r="H47" i="97"/>
  <c r="I9" i="20"/>
  <c r="J47" i="97"/>
  <c r="L47" i="97"/>
  <c r="M47" i="97"/>
  <c r="N47" i="97"/>
  <c r="H48" i="97"/>
  <c r="N91" i="97"/>
  <c r="E49" i="97"/>
  <c r="A49" i="97"/>
  <c r="E307" i="97"/>
  <c r="E50" i="97"/>
  <c r="A50" i="97"/>
  <c r="E51" i="97"/>
  <c r="A51" i="97"/>
  <c r="E52" i="97"/>
  <c r="E53" i="97"/>
  <c r="E54" i="97"/>
  <c r="A54" i="97"/>
  <c r="E55" i="97"/>
  <c r="A55" i="97"/>
  <c r="E56" i="97"/>
  <c r="E57" i="97"/>
  <c r="E58" i="97"/>
  <c r="A58" i="97"/>
  <c r="P79" i="97"/>
  <c r="H91" i="97"/>
  <c r="J91" i="97"/>
  <c r="K91" i="97"/>
  <c r="L91" i="97"/>
  <c r="E94" i="97"/>
  <c r="A94" i="97"/>
  <c r="G94" i="97"/>
  <c r="E129" i="97"/>
  <c r="G129" i="97"/>
  <c r="Q94" i="97"/>
  <c r="F9" i="24"/>
  <c r="D12" i="38"/>
  <c r="D50" i="38"/>
  <c r="L90" i="97"/>
  <c r="A56" i="97"/>
  <c r="A52" i="97"/>
  <c r="C3" i="66"/>
  <c r="K10" i="20"/>
  <c r="E321" i="86"/>
  <c r="G321" i="86"/>
  <c r="A57" i="97"/>
  <c r="A53" i="97"/>
  <c r="F10" i="24"/>
  <c r="I321" i="86"/>
  <c r="M321" i="86"/>
  <c r="A321" i="86"/>
  <c r="J321" i="86"/>
  <c r="K321" i="86"/>
  <c r="P321" i="86"/>
  <c r="H321" i="86"/>
  <c r="N321" i="86"/>
  <c r="L321" i="86"/>
  <c r="E95" i="97"/>
  <c r="A95" i="97"/>
  <c r="E130" i="97"/>
  <c r="G130" i="97"/>
  <c r="Q95" i="97"/>
  <c r="G95" i="97"/>
  <c r="O321" i="86"/>
  <c r="G9" i="24"/>
  <c r="D13" i="38"/>
  <c r="D51" i="38"/>
  <c r="E322" i="86"/>
  <c r="G322" i="86"/>
  <c r="Q321" i="86"/>
  <c r="G10" i="24"/>
  <c r="H322" i="86"/>
  <c r="L322" i="86"/>
  <c r="I322" i="86"/>
  <c r="M322" i="86"/>
  <c r="A322" i="86"/>
  <c r="J322" i="86"/>
  <c r="O322" i="86"/>
  <c r="K322" i="86"/>
  <c r="Q322" i="86"/>
  <c r="E96" i="97"/>
  <c r="A96" i="97"/>
  <c r="E131" i="97"/>
  <c r="G131" i="97"/>
  <c r="Q96" i="97"/>
  <c r="G96" i="97"/>
  <c r="N322" i="86"/>
  <c r="H9" i="24"/>
  <c r="D14" i="38"/>
  <c r="D52" i="38"/>
  <c r="E323" i="86"/>
  <c r="G323" i="86"/>
  <c r="P322" i="86"/>
  <c r="H10" i="24"/>
  <c r="K323" i="86"/>
  <c r="Q323" i="86"/>
  <c r="H323" i="86"/>
  <c r="L323" i="86"/>
  <c r="I323" i="86"/>
  <c r="M323" i="86"/>
  <c r="J323" i="86"/>
  <c r="P323" i="86"/>
  <c r="A323" i="86"/>
  <c r="E97" i="97"/>
  <c r="A97" i="97"/>
  <c r="E132" i="97"/>
  <c r="G132" i="97"/>
  <c r="Q97" i="97"/>
  <c r="G97" i="97"/>
  <c r="O323" i="86"/>
  <c r="N323" i="86"/>
  <c r="I9" i="24"/>
  <c r="D15" i="38"/>
  <c r="D53" i="38"/>
  <c r="E324" i="86"/>
  <c r="G324" i="86"/>
  <c r="I10" i="24"/>
  <c r="A324" i="86"/>
  <c r="J324" i="86"/>
  <c r="K324" i="86"/>
  <c r="H324" i="86"/>
  <c r="L324" i="86"/>
  <c r="Q324" i="86"/>
  <c r="M324" i="86"/>
  <c r="I324" i="86"/>
  <c r="O324" i="86"/>
  <c r="E98" i="97"/>
  <c r="A98" i="97"/>
  <c r="E133" i="97"/>
  <c r="G133" i="97"/>
  <c r="Q98" i="97"/>
  <c r="G98" i="97"/>
  <c r="N324" i="86"/>
  <c r="E325" i="86"/>
  <c r="P324" i="86"/>
  <c r="J9" i="24"/>
  <c r="D16" i="38"/>
  <c r="D54" i="38"/>
  <c r="G325" i="86"/>
  <c r="J10" i="24"/>
  <c r="I325" i="86"/>
  <c r="M325" i="86"/>
  <c r="A325" i="86"/>
  <c r="J325" i="86"/>
  <c r="K325" i="86"/>
  <c r="H325" i="86"/>
  <c r="N325" i="86"/>
  <c r="L325" i="86"/>
  <c r="E99" i="97"/>
  <c r="A99" i="97"/>
  <c r="E134" i="97"/>
  <c r="G134" i="97"/>
  <c r="Q99" i="97"/>
  <c r="G99" i="97"/>
  <c r="Q325" i="86"/>
  <c r="P325" i="86"/>
  <c r="O325" i="86"/>
  <c r="K9" i="24"/>
  <c r="D17" i="38"/>
  <c r="D55" i="38"/>
  <c r="E326" i="86"/>
  <c r="G326" i="86"/>
  <c r="K10" i="24"/>
  <c r="H326" i="86"/>
  <c r="L326" i="86"/>
  <c r="I326" i="86"/>
  <c r="M326" i="86"/>
  <c r="A326" i="86"/>
  <c r="J326" i="86"/>
  <c r="P326" i="86"/>
  <c r="K326" i="86"/>
  <c r="Q326" i="86"/>
  <c r="E100" i="97"/>
  <c r="A100" i="97"/>
  <c r="E135" i="97"/>
  <c r="G135" i="97"/>
  <c r="Q100" i="97"/>
  <c r="G100" i="97"/>
  <c r="N326" i="86"/>
  <c r="E327" i="86"/>
  <c r="O326" i="86"/>
  <c r="L9" i="24"/>
  <c r="D18" i="38"/>
  <c r="D56" i="38"/>
  <c r="G327" i="86"/>
  <c r="L10" i="24"/>
  <c r="K327" i="86"/>
  <c r="Q327" i="86"/>
  <c r="H327" i="86"/>
  <c r="L327" i="86"/>
  <c r="I327" i="86"/>
  <c r="M327" i="86"/>
  <c r="A327" i="86"/>
  <c r="J327" i="86"/>
  <c r="P327" i="86"/>
  <c r="E101" i="97"/>
  <c r="A101" i="97"/>
  <c r="E136" i="97"/>
  <c r="G101" i="97"/>
  <c r="O327" i="86"/>
  <c r="N327" i="86"/>
  <c r="E328" i="86"/>
  <c r="G328" i="86"/>
  <c r="G136" i="97"/>
  <c r="Q101" i="97"/>
  <c r="M9" i="24"/>
  <c r="D19" i="38"/>
  <c r="D57" i="38"/>
  <c r="A328" i="86"/>
  <c r="K328" i="86"/>
  <c r="H328" i="86"/>
  <c r="L328" i="86"/>
  <c r="I328" i="86"/>
  <c r="Q328" i="86"/>
  <c r="J328" i="86"/>
  <c r="N328" i="86"/>
  <c r="M328" i="86"/>
  <c r="E102" i="97"/>
  <c r="G102" i="97"/>
  <c r="E137" i="97"/>
  <c r="Q102" i="97"/>
  <c r="G137" i="97"/>
  <c r="M10" i="24"/>
  <c r="A102" i="97"/>
  <c r="O328" i="86"/>
  <c r="P328" i="86"/>
  <c r="E329" i="86"/>
  <c r="G329" i="86"/>
  <c r="N9" i="24"/>
  <c r="D20" i="38"/>
  <c r="D58" i="38"/>
  <c r="N10" i="24"/>
  <c r="A329" i="86"/>
  <c r="J329" i="86"/>
  <c r="K329" i="86"/>
  <c r="O329" i="86"/>
  <c r="L329" i="86"/>
  <c r="M329" i="86"/>
  <c r="H329" i="86"/>
  <c r="P329" i="86"/>
  <c r="I329" i="86"/>
  <c r="N329" i="86"/>
  <c r="Q329" i="86"/>
  <c r="E103" i="97"/>
  <c r="G103" i="97"/>
  <c r="E138" i="97"/>
  <c r="G138" i="97"/>
  <c r="A103" i="97"/>
  <c r="Q103" i="97"/>
  <c r="E330" i="86"/>
  <c r="G330" i="86"/>
  <c r="O9" i="24"/>
  <c r="D21" i="38"/>
  <c r="D59" i="38"/>
  <c r="O10" i="24"/>
  <c r="I330" i="86"/>
  <c r="N330" i="86"/>
  <c r="M330" i="86"/>
  <c r="A330" i="86"/>
  <c r="J330" i="86"/>
  <c r="H330" i="86"/>
  <c r="P330" i="86"/>
  <c r="K330" i="86"/>
  <c r="L330" i="86"/>
  <c r="Q123" i="97"/>
  <c r="BE123" i="97"/>
  <c r="Q330" i="86"/>
  <c r="O330" i="86"/>
  <c r="BE124" i="97"/>
  <c r="I125" i="97"/>
  <c r="N125" i="97"/>
  <c r="S125" i="97"/>
  <c r="X125" i="97"/>
  <c r="E126" i="97"/>
  <c r="K126" i="97"/>
  <c r="P126" i="97"/>
  <c r="Z126" i="97"/>
  <c r="J127" i="97"/>
  <c r="K127" i="97"/>
  <c r="O127" i="97"/>
  <c r="P127" i="97"/>
  <c r="U127" i="97"/>
  <c r="Y127" i="97"/>
  <c r="Z127" i="97"/>
  <c r="T128" i="97"/>
  <c r="A129" i="97"/>
  <c r="A130" i="97"/>
  <c r="A131" i="97"/>
  <c r="A132" i="97"/>
  <c r="A133" i="97"/>
  <c r="A134" i="97"/>
  <c r="A135" i="97"/>
  <c r="A136" i="97"/>
  <c r="A137" i="97"/>
  <c r="A138" i="97"/>
  <c r="E164" i="97"/>
  <c r="A164" i="97"/>
  <c r="AI164" i="97"/>
  <c r="E165" i="97"/>
  <c r="A165" i="97"/>
  <c r="E166" i="97"/>
  <c r="A166" i="97"/>
  <c r="E167" i="97"/>
  <c r="A167" i="97"/>
  <c r="E168" i="97"/>
  <c r="A168" i="97"/>
  <c r="E169" i="97"/>
  <c r="A169" i="97"/>
  <c r="E170" i="97"/>
  <c r="A170" i="97"/>
  <c r="E171" i="97"/>
  <c r="A171" i="97"/>
  <c r="E172" i="97"/>
  <c r="A172" i="97"/>
  <c r="E173" i="97"/>
  <c r="A173" i="97"/>
  <c r="M273" i="97"/>
  <c r="M272" i="97"/>
  <c r="M271" i="97"/>
  <c r="M270" i="97"/>
  <c r="E197" i="97"/>
  <c r="H198" i="97"/>
  <c r="O45" i="20"/>
  <c r="M198" i="97"/>
  <c r="H200" i="97"/>
  <c r="G42" i="20"/>
  <c r="O201" i="97"/>
  <c r="C62" i="20"/>
  <c r="G203" i="97"/>
  <c r="E252" i="97"/>
  <c r="E259" i="97"/>
  <c r="D216" i="97"/>
  <c r="Y217" i="97"/>
  <c r="H218" i="97"/>
  <c r="E221" i="97"/>
  <c r="M221" i="97"/>
  <c r="T218" i="97"/>
  <c r="U218" i="97"/>
  <c r="Y218" i="97"/>
  <c r="T219" i="97"/>
  <c r="Y219" i="97"/>
  <c r="M220" i="97"/>
  <c r="T220" i="97"/>
  <c r="U220" i="97"/>
  <c r="E222" i="97"/>
  <c r="A222" i="97"/>
  <c r="E223" i="97"/>
  <c r="A223" i="97"/>
  <c r="E224" i="97"/>
  <c r="U224" i="97"/>
  <c r="E225" i="97"/>
  <c r="A225" i="97"/>
  <c r="E226" i="97"/>
  <c r="A226" i="97"/>
  <c r="E227" i="97"/>
  <c r="A227" i="97"/>
  <c r="E228" i="97"/>
  <c r="U228" i="97"/>
  <c r="E229" i="97"/>
  <c r="A229" i="97"/>
  <c r="E230" i="97"/>
  <c r="A230" i="97"/>
  <c r="E250" i="97"/>
  <c r="E249" i="97"/>
  <c r="C60" i="20"/>
  <c r="M250" i="97"/>
  <c r="M251" i="97"/>
  <c r="M252" i="97"/>
  <c r="C3" i="75"/>
  <c r="H8" i="75"/>
  <c r="I8" i="75"/>
  <c r="G14" i="75"/>
  <c r="H14" i="75"/>
  <c r="G20" i="75"/>
  <c r="G27" i="75"/>
  <c r="H27" i="75"/>
  <c r="I27" i="75"/>
  <c r="J27" i="75"/>
  <c r="K27" i="75"/>
  <c r="L27" i="75"/>
  <c r="M27" i="75"/>
  <c r="N27" i="75"/>
  <c r="O27" i="75"/>
  <c r="P27" i="75"/>
  <c r="Q27" i="75"/>
  <c r="R27" i="75"/>
  <c r="S27" i="75"/>
  <c r="T27" i="75"/>
  <c r="U27" i="75"/>
  <c r="V43" i="75"/>
  <c r="V44" i="75"/>
  <c r="C45" i="75"/>
  <c r="H50" i="75"/>
  <c r="I50" i="75"/>
  <c r="H89" i="75"/>
  <c r="I89" i="75"/>
  <c r="D93" i="75"/>
  <c r="D94" i="75"/>
  <c r="D92" i="75"/>
  <c r="G56" i="75"/>
  <c r="H56" i="75"/>
  <c r="D62" i="75"/>
  <c r="G62" i="75"/>
  <c r="D64" i="75"/>
  <c r="D69" i="75"/>
  <c r="G69" i="75"/>
  <c r="H69" i="75"/>
  <c r="I69" i="75"/>
  <c r="J69" i="75"/>
  <c r="K69" i="75"/>
  <c r="L69" i="75"/>
  <c r="M69" i="75"/>
  <c r="N69" i="75"/>
  <c r="O69" i="75"/>
  <c r="P69" i="75"/>
  <c r="Q69" i="75"/>
  <c r="R69" i="75"/>
  <c r="S69" i="75"/>
  <c r="T69" i="75"/>
  <c r="U69" i="75"/>
  <c r="G91" i="75"/>
  <c r="H91" i="75"/>
  <c r="AI8" i="32"/>
  <c r="AH8" i="32"/>
  <c r="AG8" i="32"/>
  <c r="AF8" i="32"/>
  <c r="M228" i="97"/>
  <c r="M224" i="97"/>
  <c r="U230" i="97"/>
  <c r="M229" i="97"/>
  <c r="A228" i="97"/>
  <c r="U226" i="97"/>
  <c r="M225" i="97"/>
  <c r="A224" i="97"/>
  <c r="U222" i="97"/>
  <c r="M230" i="97"/>
  <c r="M222" i="97"/>
  <c r="M226" i="97"/>
  <c r="M227" i="97"/>
  <c r="M223" i="97"/>
  <c r="D95" i="75"/>
  <c r="U41" i="20"/>
  <c r="M196" i="97"/>
  <c r="J8" i="75"/>
  <c r="I14" i="75"/>
  <c r="J89" i="75"/>
  <c r="I91" i="75"/>
  <c r="J50" i="75"/>
  <c r="I56" i="75"/>
  <c r="N218" i="97"/>
  <c r="N219" i="97"/>
  <c r="N220" i="97"/>
  <c r="J259" i="97"/>
  <c r="K259" i="97"/>
  <c r="M259" i="97"/>
  <c r="L259" i="97"/>
  <c r="U229" i="97"/>
  <c r="U225" i="97"/>
  <c r="A221" i="97"/>
  <c r="U221" i="97"/>
  <c r="E263" i="97"/>
  <c r="E262" i="97"/>
  <c r="E261" i="97"/>
  <c r="E260" i="97"/>
  <c r="E258" i="97"/>
  <c r="K13" i="38"/>
  <c r="K17" i="38"/>
  <c r="K21" i="38"/>
  <c r="K12" i="38"/>
  <c r="K16" i="38"/>
  <c r="K20" i="38"/>
  <c r="K15" i="38"/>
  <c r="K18" i="38"/>
  <c r="K14" i="38"/>
  <c r="K19" i="38"/>
  <c r="U227" i="97"/>
  <c r="U223" i="97"/>
  <c r="E257" i="97"/>
  <c r="E256" i="97"/>
  <c r="E255" i="97"/>
  <c r="E254" i="97"/>
  <c r="E253" i="97"/>
  <c r="F15" i="32"/>
  <c r="F16" i="32"/>
  <c r="F17" i="32"/>
  <c r="F18" i="32"/>
  <c r="F24" i="32"/>
  <c r="F25" i="32"/>
  <c r="F26" i="32"/>
  <c r="F27" i="32"/>
  <c r="G15" i="32"/>
  <c r="G16" i="32"/>
  <c r="G17" i="32"/>
  <c r="G18" i="32"/>
  <c r="G24" i="32"/>
  <c r="G25" i="32"/>
  <c r="G26" i="32"/>
  <c r="G27" i="32"/>
  <c r="H15" i="32"/>
  <c r="H16" i="32"/>
  <c r="H17" i="32"/>
  <c r="H18" i="32"/>
  <c r="H24" i="32"/>
  <c r="H25" i="32"/>
  <c r="H26" i="32"/>
  <c r="H27" i="32"/>
  <c r="I15" i="32"/>
  <c r="I16" i="32"/>
  <c r="I17" i="32"/>
  <c r="I18" i="32"/>
  <c r="I24" i="32"/>
  <c r="I25" i="32"/>
  <c r="I26" i="32"/>
  <c r="I27" i="32"/>
  <c r="J15" i="32"/>
  <c r="J16" i="32"/>
  <c r="J17" i="32"/>
  <c r="J18" i="32"/>
  <c r="J24" i="32"/>
  <c r="J25" i="32"/>
  <c r="J26" i="32"/>
  <c r="J27" i="32"/>
  <c r="J253" i="97"/>
  <c r="K253" i="97"/>
  <c r="M253" i="97"/>
  <c r="L253" i="97"/>
  <c r="J254" i="97"/>
  <c r="K254" i="97"/>
  <c r="M254" i="97"/>
  <c r="L254" i="97"/>
  <c r="K260" i="97"/>
  <c r="M260" i="97"/>
  <c r="L260" i="97"/>
  <c r="J260" i="97"/>
  <c r="V218" i="97"/>
  <c r="S8" i="19"/>
  <c r="V219" i="97"/>
  <c r="S9" i="19"/>
  <c r="V220" i="97"/>
  <c r="S10" i="19"/>
  <c r="D10" i="83"/>
  <c r="K10" i="19"/>
  <c r="K89" i="75"/>
  <c r="J91" i="75"/>
  <c r="J255" i="97"/>
  <c r="K255" i="97"/>
  <c r="M255" i="97"/>
  <c r="L255" i="97"/>
  <c r="K261" i="97"/>
  <c r="M261" i="97"/>
  <c r="L261" i="97"/>
  <c r="J261" i="97"/>
  <c r="D9" i="83"/>
  <c r="K9" i="19"/>
  <c r="K50" i="75"/>
  <c r="J56" i="75"/>
  <c r="J256" i="97"/>
  <c r="K256" i="97"/>
  <c r="M256" i="97"/>
  <c r="L256" i="97"/>
  <c r="K262" i="97"/>
  <c r="M262" i="97"/>
  <c r="L262" i="97"/>
  <c r="J262" i="97"/>
  <c r="D8" i="83"/>
  <c r="K8" i="19"/>
  <c r="O42" i="20"/>
  <c r="M199" i="97"/>
  <c r="L205" i="97"/>
  <c r="L196" i="97"/>
  <c r="J257" i="97"/>
  <c r="K257" i="97"/>
  <c r="M257" i="97"/>
  <c r="L257" i="97"/>
  <c r="K258" i="97"/>
  <c r="M258" i="97"/>
  <c r="L258" i="97"/>
  <c r="J258" i="97"/>
  <c r="K263" i="97"/>
  <c r="M263" i="97"/>
  <c r="L263" i="97"/>
  <c r="J263" i="97"/>
  <c r="J14" i="75"/>
  <c r="K8" i="75"/>
  <c r="K56" i="75"/>
  <c r="L50" i="75"/>
  <c r="L89" i="75"/>
  <c r="K91" i="75"/>
  <c r="L8" i="75"/>
  <c r="K14" i="75"/>
  <c r="G50" i="38"/>
  <c r="G54" i="38"/>
  <c r="G58" i="38"/>
  <c r="G51" i="38"/>
  <c r="G55" i="38"/>
  <c r="G59" i="38"/>
  <c r="O46" i="20"/>
  <c r="M49" i="20"/>
  <c r="L42" i="20"/>
  <c r="G57" i="38"/>
  <c r="G53" i="38"/>
  <c r="G56" i="38"/>
  <c r="G52" i="38"/>
  <c r="L91" i="75"/>
  <c r="M89" i="75"/>
  <c r="L14" i="75"/>
  <c r="M8" i="75"/>
  <c r="L56" i="75"/>
  <c r="M50" i="75"/>
  <c r="K15" i="32"/>
  <c r="K16" i="32"/>
  <c r="K17" i="32"/>
  <c r="K18" i="32"/>
  <c r="N8" i="75"/>
  <c r="M14" i="75"/>
  <c r="N89" i="75"/>
  <c r="M91" i="75"/>
  <c r="N50" i="75"/>
  <c r="M56" i="75"/>
  <c r="N14" i="75"/>
  <c r="O8" i="75"/>
  <c r="N91" i="75"/>
  <c r="O89" i="75"/>
  <c r="O50" i="75"/>
  <c r="N56" i="75"/>
  <c r="O91" i="75"/>
  <c r="P89" i="75"/>
  <c r="O56" i="75"/>
  <c r="P50" i="75"/>
  <c r="P8" i="75"/>
  <c r="O14" i="75"/>
  <c r="P56" i="75"/>
  <c r="Q50" i="75"/>
  <c r="P14" i="75"/>
  <c r="Q8" i="75"/>
  <c r="Q89" i="75"/>
  <c r="P91" i="75"/>
  <c r="K24" i="32"/>
  <c r="K25" i="32"/>
  <c r="K26" i="32"/>
  <c r="K27" i="32"/>
  <c r="R89" i="75"/>
  <c r="Q91" i="75"/>
  <c r="R50" i="75"/>
  <c r="Q56" i="75"/>
  <c r="R8" i="75"/>
  <c r="Q14" i="75"/>
  <c r="F33" i="32"/>
  <c r="G33" i="32"/>
  <c r="H33" i="32"/>
  <c r="I33" i="32"/>
  <c r="J33" i="32"/>
  <c r="K33" i="32"/>
  <c r="F34" i="32"/>
  <c r="G34" i="32"/>
  <c r="H34" i="32"/>
  <c r="I34" i="32"/>
  <c r="J34" i="32"/>
  <c r="K34" i="32"/>
  <c r="F35" i="32"/>
  <c r="G35" i="32"/>
  <c r="H35" i="32"/>
  <c r="I35" i="32"/>
  <c r="J35" i="32"/>
  <c r="K35" i="32"/>
  <c r="F36" i="32"/>
  <c r="G36" i="32"/>
  <c r="H36" i="32"/>
  <c r="I36" i="32"/>
  <c r="J36" i="32"/>
  <c r="K36" i="32"/>
  <c r="AD40" i="32"/>
  <c r="R14" i="75"/>
  <c r="S8" i="75"/>
  <c r="R91" i="75"/>
  <c r="S89" i="75"/>
  <c r="S50" i="75"/>
  <c r="R56" i="75"/>
  <c r="F41" i="32"/>
  <c r="G41" i="32"/>
  <c r="H41" i="32"/>
  <c r="I41" i="32"/>
  <c r="J41" i="32"/>
  <c r="K41" i="32"/>
  <c r="F42" i="32"/>
  <c r="G42" i="32"/>
  <c r="H42" i="32"/>
  <c r="I42" i="32"/>
  <c r="J42" i="32"/>
  <c r="K42" i="32"/>
  <c r="S56" i="75"/>
  <c r="T50" i="75"/>
  <c r="T8" i="75"/>
  <c r="S14" i="75"/>
  <c r="S91" i="75"/>
  <c r="T89" i="75"/>
  <c r="U89" i="75"/>
  <c r="T91" i="75"/>
  <c r="T14" i="75"/>
  <c r="U8" i="75"/>
  <c r="T56" i="75"/>
  <c r="U50" i="75"/>
  <c r="U91" i="75"/>
  <c r="U14" i="75"/>
  <c r="U56" i="75"/>
  <c r="F46" i="32"/>
  <c r="G46" i="32"/>
  <c r="H46" i="32"/>
  <c r="I46" i="32"/>
  <c r="J46" i="32"/>
  <c r="K46" i="32"/>
  <c r="F47" i="32"/>
  <c r="G47" i="32"/>
  <c r="H47" i="32"/>
  <c r="I47" i="32"/>
  <c r="J47" i="32"/>
  <c r="K47" i="32"/>
  <c r="F48" i="32"/>
  <c r="G48" i="32"/>
  <c r="H48" i="32"/>
  <c r="I48" i="32"/>
  <c r="J48" i="32"/>
  <c r="K48" i="32"/>
  <c r="F49" i="32"/>
  <c r="G49" i="32"/>
  <c r="H49" i="32"/>
  <c r="I49" i="32"/>
  <c r="J49" i="32"/>
  <c r="K49" i="32"/>
  <c r="AC11" i="32"/>
  <c r="AC12" i="32"/>
  <c r="AC13" i="32"/>
  <c r="AC14" i="32"/>
  <c r="A15" i="32"/>
  <c r="AC15" i="32"/>
  <c r="A16" i="32"/>
  <c r="AC16" i="32"/>
  <c r="A17" i="32"/>
  <c r="AC17" i="32"/>
  <c r="A18" i="32"/>
  <c r="AC18" i="32"/>
  <c r="AC20" i="32"/>
  <c r="AC21" i="32"/>
  <c r="AC22" i="32"/>
  <c r="AC23" i="32"/>
  <c r="A24" i="32"/>
  <c r="AC24" i="32"/>
  <c r="A25" i="32"/>
  <c r="AC25" i="32"/>
  <c r="A26" i="32"/>
  <c r="AC26" i="32"/>
  <c r="A27" i="32"/>
  <c r="AC27" i="32"/>
  <c r="AC31" i="32"/>
  <c r="AC32" i="32"/>
  <c r="A33" i="32"/>
  <c r="AC33" i="32"/>
  <c r="A34" i="32"/>
  <c r="AC34" i="32"/>
  <c r="A35" i="32"/>
  <c r="AC35" i="32"/>
  <c r="A36" i="32"/>
  <c r="AC36" i="32"/>
  <c r="AC37" i="32"/>
  <c r="AC38" i="32"/>
  <c r="AC40" i="32"/>
  <c r="A41" i="32"/>
  <c r="AC41" i="32"/>
  <c r="A42" i="32"/>
  <c r="AC42" i="32"/>
  <c r="AC43" i="32"/>
  <c r="AC44" i="32"/>
  <c r="AC45" i="32"/>
  <c r="A46" i="32"/>
  <c r="AC46" i="32"/>
  <c r="A47" i="32"/>
  <c r="AC47" i="32"/>
  <c r="A48" i="32"/>
  <c r="AC48" i="32"/>
  <c r="A49" i="32"/>
  <c r="AC49" i="32"/>
  <c r="AC52" i="32"/>
  <c r="AC54" i="32"/>
  <c r="H9" i="33"/>
  <c r="H18" i="33"/>
  <c r="I18" i="33"/>
  <c r="E23" i="33"/>
  <c r="C50" i="33"/>
  <c r="C15" i="94"/>
  <c r="C15" i="88"/>
  <c r="C54" i="33"/>
  <c r="C16" i="94"/>
  <c r="C16" i="88"/>
  <c r="C58" i="33"/>
  <c r="C17" i="94"/>
  <c r="C17" i="88"/>
  <c r="C62" i="33"/>
  <c r="C18" i="94"/>
  <c r="C18" i="88"/>
  <c r="C66" i="33"/>
  <c r="C19" i="94"/>
  <c r="C19" i="88"/>
  <c r="G70" i="33"/>
  <c r="H70" i="33"/>
  <c r="G77" i="33"/>
  <c r="S77" i="33"/>
  <c r="S23" i="94"/>
  <c r="D78" i="33"/>
  <c r="E78" i="33"/>
  <c r="S91" i="33"/>
  <c r="G83" i="68"/>
  <c r="H83" i="68"/>
  <c r="I83" i="68"/>
  <c r="J83" i="68"/>
  <c r="K83" i="68"/>
  <c r="L83" i="68"/>
  <c r="M83" i="68"/>
  <c r="N83" i="68"/>
  <c r="O83" i="68"/>
  <c r="P83" i="68"/>
  <c r="Q83" i="68"/>
  <c r="R83" i="68"/>
  <c r="S83" i="68"/>
  <c r="T83" i="68"/>
  <c r="U83" i="68"/>
  <c r="V83" i="68"/>
  <c r="W83" i="68"/>
  <c r="X83" i="68"/>
  <c r="Y83" i="68"/>
  <c r="Z83" i="68"/>
  <c r="AA83" i="68"/>
  <c r="AB83" i="68"/>
  <c r="AC83" i="68"/>
  <c r="AD83" i="68"/>
  <c r="AE83" i="68"/>
  <c r="G185" i="33"/>
  <c r="G32" i="288"/>
  <c r="H185" i="33"/>
  <c r="H32" i="288"/>
  <c r="F229" i="33"/>
  <c r="F236" i="33"/>
  <c r="F243" i="33"/>
  <c r="I185" i="33"/>
  <c r="I32" i="288"/>
  <c r="J185" i="33"/>
  <c r="J32" i="288"/>
  <c r="K185" i="33"/>
  <c r="K32" i="288"/>
  <c r="L185" i="33"/>
  <c r="L32" i="288"/>
  <c r="M185" i="33"/>
  <c r="M32" i="288"/>
  <c r="N185" i="33"/>
  <c r="N32" i="288"/>
  <c r="O185" i="33"/>
  <c r="O32" i="288"/>
  <c r="P185" i="33"/>
  <c r="P32" i="288"/>
  <c r="Q185" i="33"/>
  <c r="Q32" i="288"/>
  <c r="G105" i="33"/>
  <c r="H105" i="33"/>
  <c r="I105" i="33"/>
  <c r="J105" i="33"/>
  <c r="K105" i="33"/>
  <c r="L105" i="33"/>
  <c r="M105" i="33"/>
  <c r="N105" i="33"/>
  <c r="O105" i="33"/>
  <c r="P105" i="33"/>
  <c r="Q105" i="33"/>
  <c r="C347" i="33"/>
  <c r="C33" i="88"/>
  <c r="C154" i="33"/>
  <c r="C156" i="33"/>
  <c r="C298" i="33"/>
  <c r="S327" i="33"/>
  <c r="A318" i="33"/>
  <c r="C344" i="33"/>
  <c r="AC1" i="31"/>
  <c r="C47" i="31"/>
  <c r="K8" i="31"/>
  <c r="S8" i="31"/>
  <c r="J9" i="31"/>
  <c r="J9" i="32"/>
  <c r="Q9" i="32"/>
  <c r="K9" i="31"/>
  <c r="S9" i="31"/>
  <c r="L9" i="31"/>
  <c r="T9" i="31"/>
  <c r="F16" i="31"/>
  <c r="G16" i="31"/>
  <c r="H16" i="31"/>
  <c r="I16" i="31"/>
  <c r="J16" i="31"/>
  <c r="K16" i="31"/>
  <c r="L16" i="31"/>
  <c r="F17" i="31"/>
  <c r="G17" i="31"/>
  <c r="H17" i="31"/>
  <c r="I17" i="31"/>
  <c r="J17" i="31"/>
  <c r="K17" i="31"/>
  <c r="L17" i="31"/>
  <c r="F18" i="31"/>
  <c r="G18" i="31"/>
  <c r="H18" i="31"/>
  <c r="I18" i="31"/>
  <c r="J18" i="31"/>
  <c r="K18" i="31"/>
  <c r="L18" i="31"/>
  <c r="F19" i="31"/>
  <c r="G19" i="31"/>
  <c r="H19" i="31"/>
  <c r="I19" i="31"/>
  <c r="J19" i="31"/>
  <c r="K19" i="31"/>
  <c r="L19" i="31"/>
  <c r="AA10" i="31"/>
  <c r="AA11" i="31"/>
  <c r="AA13" i="31"/>
  <c r="AA14" i="31"/>
  <c r="AA15" i="31"/>
  <c r="AA16" i="31"/>
  <c r="AA17" i="31"/>
  <c r="AA18" i="31"/>
  <c r="AA19" i="31"/>
  <c r="AA21" i="31"/>
  <c r="AA22" i="31"/>
  <c r="AA24" i="31"/>
  <c r="AA25" i="31"/>
  <c r="AA26" i="31"/>
  <c r="AA28" i="31"/>
  <c r="AA30" i="31"/>
  <c r="AA31" i="31"/>
  <c r="AA34" i="31"/>
  <c r="G14" i="61"/>
  <c r="G16" i="61"/>
  <c r="G21" i="61"/>
  <c r="C23" i="61"/>
  <c r="E17" i="30"/>
  <c r="F17" i="30"/>
  <c r="F18" i="30"/>
  <c r="E23" i="30"/>
  <c r="E33" i="30"/>
  <c r="C35" i="30"/>
  <c r="A11" i="30"/>
  <c r="A21" i="30"/>
  <c r="A22" i="30"/>
  <c r="A28" i="30"/>
  <c r="A31" i="30"/>
  <c r="A32" i="30"/>
  <c r="X1" i="91"/>
  <c r="F16" i="91"/>
  <c r="F100" i="91"/>
  <c r="F101" i="91"/>
  <c r="F102" i="91"/>
  <c r="A102" i="91"/>
  <c r="F103" i="91"/>
  <c r="F104" i="91"/>
  <c r="F105" i="91"/>
  <c r="F106" i="91"/>
  <c r="A106" i="91"/>
  <c r="F107" i="91"/>
  <c r="F108" i="91"/>
  <c r="F109" i="91"/>
  <c r="E30" i="91"/>
  <c r="F110" i="91"/>
  <c r="E31" i="91"/>
  <c r="F111" i="91"/>
  <c r="E32" i="91"/>
  <c r="F112" i="91"/>
  <c r="E33" i="91"/>
  <c r="F142" i="91"/>
  <c r="F113" i="91"/>
  <c r="E34" i="91"/>
  <c r="F114" i="91"/>
  <c r="E35" i="91"/>
  <c r="F115" i="91"/>
  <c r="E36" i="91"/>
  <c r="F116" i="91"/>
  <c r="E37" i="91"/>
  <c r="F146" i="91"/>
  <c r="F117" i="91"/>
  <c r="E38" i="91"/>
  <c r="F118" i="91"/>
  <c r="E39" i="91"/>
  <c r="F119" i="91"/>
  <c r="E40" i="91"/>
  <c r="F120" i="91"/>
  <c r="E41" i="91"/>
  <c r="F150" i="91"/>
  <c r="F121" i="91"/>
  <c r="E42" i="91"/>
  <c r="F122" i="91"/>
  <c r="E43" i="91"/>
  <c r="F123" i="91"/>
  <c r="E44" i="91"/>
  <c r="F124" i="91"/>
  <c r="F129" i="91"/>
  <c r="F317" i="91"/>
  <c r="F130" i="91"/>
  <c r="F131" i="91"/>
  <c r="F350" i="91"/>
  <c r="F132" i="91"/>
  <c r="F165" i="91"/>
  <c r="F133" i="91"/>
  <c r="F321" i="91"/>
  <c r="F134" i="91"/>
  <c r="F135" i="91"/>
  <c r="F354" i="91"/>
  <c r="F136" i="91"/>
  <c r="F169" i="91"/>
  <c r="F137" i="91"/>
  <c r="F325" i="91"/>
  <c r="F138" i="91"/>
  <c r="F139" i="91"/>
  <c r="F358" i="91"/>
  <c r="F140" i="91"/>
  <c r="F173" i="91"/>
  <c r="F141" i="91"/>
  <c r="F329" i="91"/>
  <c r="F143" i="91"/>
  <c r="F362" i="91"/>
  <c r="F144" i="91"/>
  <c r="F177" i="91"/>
  <c r="F145" i="91"/>
  <c r="F333" i="91"/>
  <c r="F147" i="91"/>
  <c r="F366" i="91"/>
  <c r="F148" i="91"/>
  <c r="F181" i="91"/>
  <c r="F149" i="91"/>
  <c r="F337" i="91"/>
  <c r="F151" i="91"/>
  <c r="F370" i="91"/>
  <c r="F152" i="91"/>
  <c r="F185" i="91"/>
  <c r="F153" i="91"/>
  <c r="F341" i="91"/>
  <c r="F162" i="91"/>
  <c r="A162" i="91"/>
  <c r="F163" i="91"/>
  <c r="F166" i="91"/>
  <c r="F167" i="91"/>
  <c r="F170" i="91"/>
  <c r="F171" i="91"/>
  <c r="F174" i="91"/>
  <c r="F178" i="91"/>
  <c r="F182" i="91"/>
  <c r="F186" i="91"/>
  <c r="F192" i="91"/>
  <c r="F193" i="91"/>
  <c r="F194" i="91"/>
  <c r="F195" i="91"/>
  <c r="F196" i="91"/>
  <c r="F197" i="91"/>
  <c r="F198" i="91"/>
  <c r="F199" i="91"/>
  <c r="F200" i="91"/>
  <c r="F201" i="91"/>
  <c r="F202" i="91"/>
  <c r="F203" i="91"/>
  <c r="F204" i="91"/>
  <c r="F206" i="91"/>
  <c r="F207" i="91"/>
  <c r="F208" i="91"/>
  <c r="F210" i="91"/>
  <c r="F211" i="91"/>
  <c r="F212" i="91"/>
  <c r="F214" i="91"/>
  <c r="F215" i="91"/>
  <c r="F216" i="91"/>
  <c r="F224" i="91"/>
  <c r="F225" i="91"/>
  <c r="F228" i="91"/>
  <c r="F229" i="91"/>
  <c r="F232" i="91"/>
  <c r="F233" i="91"/>
  <c r="F236" i="91"/>
  <c r="F240" i="91"/>
  <c r="F244" i="91"/>
  <c r="F248" i="91"/>
  <c r="I222" i="91"/>
  <c r="F255" i="91"/>
  <c r="F256" i="91"/>
  <c r="F259" i="91"/>
  <c r="F260" i="91"/>
  <c r="F263" i="91"/>
  <c r="F264" i="91"/>
  <c r="F267" i="91"/>
  <c r="F271" i="91"/>
  <c r="F275" i="91"/>
  <c r="F279" i="91"/>
  <c r="F286" i="91"/>
  <c r="F287" i="91"/>
  <c r="F289" i="91"/>
  <c r="F290" i="91"/>
  <c r="F291" i="91"/>
  <c r="F293" i="91"/>
  <c r="F294" i="91"/>
  <c r="F295" i="91"/>
  <c r="F296" i="91"/>
  <c r="F297" i="91"/>
  <c r="F298" i="91"/>
  <c r="F300" i="91"/>
  <c r="F301" i="91"/>
  <c r="F302" i="91"/>
  <c r="F304" i="91"/>
  <c r="F305" i="91"/>
  <c r="F306" i="91"/>
  <c r="F308" i="91"/>
  <c r="F309" i="91"/>
  <c r="F310" i="91"/>
  <c r="F315" i="91"/>
  <c r="F439" i="91"/>
  <c r="F318" i="91"/>
  <c r="F320" i="91"/>
  <c r="F322" i="91"/>
  <c r="F324" i="91"/>
  <c r="F326" i="91"/>
  <c r="F328" i="91"/>
  <c r="F332" i="91"/>
  <c r="F336" i="91"/>
  <c r="F340" i="91"/>
  <c r="F349" i="91"/>
  <c r="F351" i="91"/>
  <c r="F353" i="91"/>
  <c r="F355" i="91"/>
  <c r="F357" i="91"/>
  <c r="F359" i="91"/>
  <c r="F363" i="91"/>
  <c r="F367" i="91"/>
  <c r="F371" i="91"/>
  <c r="F380" i="91"/>
  <c r="F382" i="91"/>
  <c r="F384" i="91"/>
  <c r="F386" i="91"/>
  <c r="F388" i="91"/>
  <c r="F390" i="91"/>
  <c r="F394" i="91"/>
  <c r="F398" i="91"/>
  <c r="F402" i="91"/>
  <c r="F411" i="91"/>
  <c r="F413" i="91"/>
  <c r="F415" i="91"/>
  <c r="F417" i="91"/>
  <c r="F419" i="91"/>
  <c r="F421" i="91"/>
  <c r="F425" i="91"/>
  <c r="F429" i="91"/>
  <c r="F433" i="91"/>
  <c r="F441" i="91"/>
  <c r="F442" i="91"/>
  <c r="F444" i="91"/>
  <c r="F445" i="91"/>
  <c r="F446" i="91"/>
  <c r="F448" i="91"/>
  <c r="F449" i="91"/>
  <c r="F450" i="91"/>
  <c r="F451" i="91"/>
  <c r="F452" i="91"/>
  <c r="F453" i="91"/>
  <c r="F455" i="91"/>
  <c r="F456" i="91"/>
  <c r="F457" i="91"/>
  <c r="F459" i="91"/>
  <c r="F460" i="91"/>
  <c r="F461" i="91"/>
  <c r="F463" i="91"/>
  <c r="F464" i="91"/>
  <c r="F465" i="91"/>
  <c r="F472" i="91"/>
  <c r="F473" i="91"/>
  <c r="F475" i="91"/>
  <c r="F476" i="91"/>
  <c r="F477" i="91"/>
  <c r="F479" i="91"/>
  <c r="F480" i="91"/>
  <c r="F481" i="91"/>
  <c r="F483" i="91"/>
  <c r="F484" i="91"/>
  <c r="F487" i="91"/>
  <c r="F488" i="91"/>
  <c r="F491" i="91"/>
  <c r="F492" i="91"/>
  <c r="F495" i="91"/>
  <c r="F496" i="91"/>
  <c r="F503" i="91"/>
  <c r="F504" i="91"/>
  <c r="F506" i="91"/>
  <c r="F507" i="91"/>
  <c r="F508" i="91"/>
  <c r="F510" i="91"/>
  <c r="F511" i="91"/>
  <c r="F512" i="91"/>
  <c r="F513" i="91"/>
  <c r="F514" i="91"/>
  <c r="F515" i="91"/>
  <c r="F517" i="91"/>
  <c r="F518" i="91"/>
  <c r="F519" i="91"/>
  <c r="F521" i="91"/>
  <c r="F522" i="91"/>
  <c r="F523" i="91"/>
  <c r="F525" i="91"/>
  <c r="F526" i="91"/>
  <c r="F527" i="91"/>
  <c r="F534" i="91"/>
  <c r="F535" i="91"/>
  <c r="F537" i="91"/>
  <c r="F538" i="91"/>
  <c r="F539" i="91"/>
  <c r="F541" i="91"/>
  <c r="F542" i="91"/>
  <c r="F543" i="91"/>
  <c r="F545" i="91"/>
  <c r="F546" i="91"/>
  <c r="F549" i="91"/>
  <c r="F550" i="91"/>
  <c r="F553" i="91"/>
  <c r="F554" i="91"/>
  <c r="F557" i="91"/>
  <c r="F558" i="91"/>
  <c r="F566" i="91"/>
  <c r="F567" i="91"/>
  <c r="F569" i="91"/>
  <c r="F570" i="91"/>
  <c r="F571" i="91"/>
  <c r="F573" i="91"/>
  <c r="F574" i="91"/>
  <c r="F575" i="91"/>
  <c r="F576" i="91"/>
  <c r="F577" i="91"/>
  <c r="F578" i="91"/>
  <c r="F580" i="91"/>
  <c r="F581" i="91"/>
  <c r="F582" i="91"/>
  <c r="F584" i="91"/>
  <c r="F585" i="91"/>
  <c r="F586" i="91"/>
  <c r="F588" i="91"/>
  <c r="F589" i="91"/>
  <c r="F590" i="91"/>
  <c r="F597" i="91"/>
  <c r="F598" i="91"/>
  <c r="F600" i="91"/>
  <c r="F601" i="91"/>
  <c r="F602" i="91"/>
  <c r="F604" i="91"/>
  <c r="F605" i="91"/>
  <c r="F606" i="91"/>
  <c r="F608" i="91"/>
  <c r="F609" i="91"/>
  <c r="F612" i="91"/>
  <c r="F613" i="91"/>
  <c r="F616" i="91"/>
  <c r="F617" i="91"/>
  <c r="F620" i="91"/>
  <c r="F621" i="91"/>
  <c r="F628" i="91"/>
  <c r="F629" i="91"/>
  <c r="F631" i="91"/>
  <c r="F632" i="91"/>
  <c r="F633" i="91"/>
  <c r="F635" i="91"/>
  <c r="F636" i="91"/>
  <c r="F637" i="91"/>
  <c r="F638" i="91"/>
  <c r="F639" i="91"/>
  <c r="F640" i="91"/>
  <c r="F642" i="91"/>
  <c r="F643" i="91"/>
  <c r="F644" i="91"/>
  <c r="F646" i="91"/>
  <c r="F647" i="91"/>
  <c r="F648" i="91"/>
  <c r="F650" i="91"/>
  <c r="F651" i="91"/>
  <c r="F652" i="91"/>
  <c r="F659" i="91"/>
  <c r="F660" i="91"/>
  <c r="F662" i="91"/>
  <c r="F663" i="91"/>
  <c r="F664" i="91"/>
  <c r="F666" i="91"/>
  <c r="F667" i="91"/>
  <c r="F668" i="91"/>
  <c r="F670" i="91"/>
  <c r="F671" i="91"/>
  <c r="F674" i="91"/>
  <c r="F675" i="91"/>
  <c r="F678" i="91"/>
  <c r="F679" i="91"/>
  <c r="F682" i="91"/>
  <c r="F683" i="91"/>
  <c r="F690" i="91"/>
  <c r="F691" i="91"/>
  <c r="F693" i="91"/>
  <c r="F694" i="91"/>
  <c r="F695" i="91"/>
  <c r="F697" i="91"/>
  <c r="F698" i="91"/>
  <c r="F699" i="91"/>
  <c r="F700" i="91"/>
  <c r="F701" i="91"/>
  <c r="F702" i="91"/>
  <c r="F704" i="91"/>
  <c r="F705" i="91"/>
  <c r="F706" i="91"/>
  <c r="F708" i="91"/>
  <c r="F709" i="91"/>
  <c r="F710" i="91"/>
  <c r="F712" i="91"/>
  <c r="F713" i="91"/>
  <c r="F714" i="91"/>
  <c r="F721" i="91"/>
  <c r="F722" i="91"/>
  <c r="F724" i="91"/>
  <c r="F725" i="91"/>
  <c r="F726" i="91"/>
  <c r="F728" i="91"/>
  <c r="F729" i="91"/>
  <c r="F730" i="91"/>
  <c r="F732" i="91"/>
  <c r="F733" i="91"/>
  <c r="F736" i="91"/>
  <c r="F737" i="91"/>
  <c r="F740" i="91"/>
  <c r="F741" i="91"/>
  <c r="F744" i="91"/>
  <c r="F745" i="91"/>
  <c r="F752" i="91"/>
  <c r="F753" i="91"/>
  <c r="F755" i="91"/>
  <c r="F756" i="91"/>
  <c r="F757" i="91"/>
  <c r="F759" i="91"/>
  <c r="F760" i="91"/>
  <c r="F761" i="91"/>
  <c r="F762" i="91"/>
  <c r="F763" i="91"/>
  <c r="F764" i="91"/>
  <c r="F766" i="91"/>
  <c r="F767" i="91"/>
  <c r="F768" i="91"/>
  <c r="F770" i="91"/>
  <c r="F771" i="91"/>
  <c r="F772" i="91"/>
  <c r="F774" i="91"/>
  <c r="F775" i="91"/>
  <c r="F776" i="91"/>
  <c r="F783" i="91"/>
  <c r="F784" i="91"/>
  <c r="F786" i="91"/>
  <c r="F787" i="91"/>
  <c r="F788" i="91"/>
  <c r="F790" i="91"/>
  <c r="F791" i="91"/>
  <c r="F792" i="91"/>
  <c r="F794" i="91"/>
  <c r="F795" i="91"/>
  <c r="F798" i="91"/>
  <c r="F799" i="91"/>
  <c r="F802" i="91"/>
  <c r="F803" i="91"/>
  <c r="F806" i="91"/>
  <c r="F807" i="91"/>
  <c r="F814" i="91"/>
  <c r="F815" i="91"/>
  <c r="F817" i="91"/>
  <c r="F818" i="91"/>
  <c r="F819" i="91"/>
  <c r="F821" i="91"/>
  <c r="F822" i="91"/>
  <c r="F823" i="91"/>
  <c r="F824" i="91"/>
  <c r="F825" i="91"/>
  <c r="F826" i="91"/>
  <c r="F828" i="91"/>
  <c r="F829" i="91"/>
  <c r="F830" i="91"/>
  <c r="F832" i="91"/>
  <c r="F833" i="91"/>
  <c r="F834" i="91"/>
  <c r="F836" i="91"/>
  <c r="F837" i="91"/>
  <c r="F838" i="91"/>
  <c r="F847" i="91"/>
  <c r="F848" i="91"/>
  <c r="F850" i="91"/>
  <c r="F851" i="91"/>
  <c r="F852" i="91"/>
  <c r="F854" i="91"/>
  <c r="F855" i="91"/>
  <c r="F856" i="91"/>
  <c r="F858" i="91"/>
  <c r="F859" i="91"/>
  <c r="F862" i="91"/>
  <c r="F863" i="91"/>
  <c r="F866" i="91"/>
  <c r="F867" i="91"/>
  <c r="F870" i="91"/>
  <c r="F871" i="91"/>
  <c r="F878" i="91"/>
  <c r="F879" i="91"/>
  <c r="F881" i="91"/>
  <c r="F882" i="91"/>
  <c r="F883" i="91"/>
  <c r="F885" i="91"/>
  <c r="F886" i="91"/>
  <c r="F887" i="91"/>
  <c r="F888" i="91"/>
  <c r="F889" i="91"/>
  <c r="F890" i="91"/>
  <c r="F892" i="91"/>
  <c r="F893" i="91"/>
  <c r="F894" i="91"/>
  <c r="F896" i="91"/>
  <c r="F897" i="91"/>
  <c r="F898" i="91"/>
  <c r="F900" i="91"/>
  <c r="F901" i="91"/>
  <c r="F902" i="91"/>
  <c r="F909" i="91"/>
  <c r="F910" i="91"/>
  <c r="F912" i="91"/>
  <c r="F913" i="91"/>
  <c r="F914" i="91"/>
  <c r="F916" i="91"/>
  <c r="F917" i="91"/>
  <c r="F918" i="91"/>
  <c r="F920" i="91"/>
  <c r="F921" i="91"/>
  <c r="F924" i="91"/>
  <c r="F925" i="91"/>
  <c r="F928" i="91"/>
  <c r="F929" i="91"/>
  <c r="F932" i="91"/>
  <c r="F933" i="91"/>
  <c r="F940" i="91"/>
  <c r="F941" i="91"/>
  <c r="F943" i="91"/>
  <c r="F944" i="91"/>
  <c r="F945" i="91"/>
  <c r="F947" i="91"/>
  <c r="F948" i="91"/>
  <c r="F949" i="91"/>
  <c r="F950" i="91"/>
  <c r="F951" i="91"/>
  <c r="F952" i="91"/>
  <c r="F954" i="91"/>
  <c r="F955" i="91"/>
  <c r="F956" i="91"/>
  <c r="F958" i="91"/>
  <c r="F959" i="91"/>
  <c r="F960" i="91"/>
  <c r="F962" i="91"/>
  <c r="F963" i="91"/>
  <c r="F964" i="91"/>
  <c r="F971" i="91"/>
  <c r="F972" i="91"/>
  <c r="F974" i="91"/>
  <c r="F975" i="91"/>
  <c r="F976" i="91"/>
  <c r="F978" i="91"/>
  <c r="F979" i="91"/>
  <c r="F980" i="91"/>
  <c r="F982" i="91"/>
  <c r="F983" i="91"/>
  <c r="F986" i="91"/>
  <c r="F987" i="91"/>
  <c r="F990" i="91"/>
  <c r="F991" i="91"/>
  <c r="F994" i="91"/>
  <c r="F995" i="91"/>
  <c r="F1002" i="91"/>
  <c r="F1003" i="91"/>
  <c r="F1005" i="91"/>
  <c r="F1006" i="91"/>
  <c r="F1007" i="91"/>
  <c r="F1009" i="91"/>
  <c r="F1010" i="91"/>
  <c r="F1011" i="91"/>
  <c r="F1012" i="91"/>
  <c r="F1013" i="91"/>
  <c r="F1014" i="91"/>
  <c r="F1016" i="91"/>
  <c r="F1017" i="91"/>
  <c r="F1018" i="91"/>
  <c r="F1020" i="91"/>
  <c r="F1021" i="91"/>
  <c r="F1022" i="91"/>
  <c r="F1024" i="91"/>
  <c r="F1025" i="91"/>
  <c r="F1026" i="91"/>
  <c r="F1033" i="91"/>
  <c r="F1034" i="91"/>
  <c r="F1036" i="91"/>
  <c r="F1037" i="91"/>
  <c r="F1038" i="91"/>
  <c r="F1040" i="91"/>
  <c r="F1041" i="91"/>
  <c r="F1042" i="91"/>
  <c r="F1044" i="91"/>
  <c r="F1045" i="91"/>
  <c r="F1048" i="91"/>
  <c r="F1049" i="91"/>
  <c r="F1052" i="91"/>
  <c r="F1053" i="91"/>
  <c r="F1056" i="91"/>
  <c r="F1057" i="91"/>
  <c r="F1064" i="91"/>
  <c r="F1065" i="91"/>
  <c r="F1067" i="91"/>
  <c r="F1068" i="91"/>
  <c r="F1069" i="91"/>
  <c r="F1071" i="91"/>
  <c r="F1072" i="91"/>
  <c r="F1073" i="91"/>
  <c r="F1074" i="91"/>
  <c r="F1075" i="91"/>
  <c r="F1076" i="91"/>
  <c r="F1078" i="91"/>
  <c r="F1079" i="91"/>
  <c r="F1080" i="91"/>
  <c r="F1082" i="91"/>
  <c r="F1083" i="91"/>
  <c r="F1084" i="91"/>
  <c r="F1086" i="91"/>
  <c r="F1087" i="91"/>
  <c r="F1088" i="91"/>
  <c r="F1095" i="91"/>
  <c r="F1096" i="91"/>
  <c r="F1098" i="91"/>
  <c r="F1099" i="91"/>
  <c r="F1100" i="91"/>
  <c r="F1102" i="91"/>
  <c r="F1103" i="91"/>
  <c r="F1104" i="91"/>
  <c r="F1106" i="91"/>
  <c r="F1107" i="91"/>
  <c r="F1110" i="91"/>
  <c r="F1111" i="91"/>
  <c r="F1114" i="91"/>
  <c r="F1115" i="91"/>
  <c r="F1118" i="91"/>
  <c r="F1119" i="91"/>
  <c r="F1126" i="91"/>
  <c r="F1127" i="91"/>
  <c r="F1129" i="91"/>
  <c r="F1130" i="91"/>
  <c r="F1131" i="91"/>
  <c r="F1133" i="91"/>
  <c r="F1134" i="91"/>
  <c r="F1135" i="91"/>
  <c r="F1136" i="91"/>
  <c r="F1137" i="91"/>
  <c r="F1138" i="91"/>
  <c r="F1140" i="91"/>
  <c r="F1141" i="91"/>
  <c r="F1142" i="91"/>
  <c r="F1144" i="91"/>
  <c r="F1145" i="91"/>
  <c r="F1146" i="91"/>
  <c r="F1148" i="91"/>
  <c r="F1149" i="91"/>
  <c r="F1150" i="91"/>
  <c r="F1157" i="91"/>
  <c r="F1158" i="91"/>
  <c r="F1160" i="91"/>
  <c r="F1161" i="91"/>
  <c r="F1162" i="91"/>
  <c r="F1164" i="91"/>
  <c r="F1165" i="91"/>
  <c r="F1166" i="91"/>
  <c r="F1168" i="91"/>
  <c r="F1169" i="91"/>
  <c r="F1172" i="91"/>
  <c r="F1173" i="91"/>
  <c r="F1176" i="91"/>
  <c r="F1177" i="91"/>
  <c r="F1180" i="91"/>
  <c r="F1181" i="91"/>
  <c r="F1188" i="91"/>
  <c r="F1189" i="91"/>
  <c r="F1191" i="91"/>
  <c r="F1192" i="91"/>
  <c r="F1193" i="91"/>
  <c r="F1195" i="91"/>
  <c r="F1196" i="91"/>
  <c r="F1197" i="91"/>
  <c r="F1198" i="91"/>
  <c r="F1199" i="91"/>
  <c r="F1200" i="91"/>
  <c r="F1202" i="91"/>
  <c r="F1203" i="91"/>
  <c r="F1204" i="91"/>
  <c r="F1206" i="91"/>
  <c r="F1207" i="91"/>
  <c r="F1208" i="91"/>
  <c r="F1210" i="91"/>
  <c r="F1211" i="91"/>
  <c r="F1212" i="91"/>
  <c r="F1219" i="91"/>
  <c r="F1220" i="91"/>
  <c r="F1222" i="91"/>
  <c r="F1223" i="91"/>
  <c r="F1224" i="91"/>
  <c r="F1226" i="91"/>
  <c r="F1227" i="91"/>
  <c r="F1228" i="91"/>
  <c r="F1230" i="91"/>
  <c r="F1231" i="91"/>
  <c r="F1234" i="91"/>
  <c r="F1235" i="91"/>
  <c r="F1238" i="91"/>
  <c r="F1239" i="91"/>
  <c r="F1242" i="91"/>
  <c r="F1243" i="91"/>
  <c r="F1250" i="91"/>
  <c r="F1251" i="91"/>
  <c r="F1253" i="91"/>
  <c r="F1254" i="91"/>
  <c r="F1255" i="91"/>
  <c r="F1257" i="91"/>
  <c r="F1258" i="91"/>
  <c r="F1259" i="91"/>
  <c r="F1260" i="91"/>
  <c r="F1261" i="91"/>
  <c r="F1262" i="91"/>
  <c r="F1264" i="91"/>
  <c r="F1265" i="91"/>
  <c r="F1266" i="91"/>
  <c r="F1268" i="91"/>
  <c r="F1269" i="91"/>
  <c r="F1270" i="91"/>
  <c r="F1272" i="91"/>
  <c r="F1273" i="91"/>
  <c r="F1274" i="91"/>
  <c r="F1281" i="91"/>
  <c r="F1282" i="91"/>
  <c r="F1284" i="91"/>
  <c r="F1285" i="91"/>
  <c r="F1286" i="91"/>
  <c r="F1288" i="91"/>
  <c r="F1289" i="91"/>
  <c r="F1290" i="91"/>
  <c r="F1292" i="91"/>
  <c r="F1293" i="91"/>
  <c r="F1296" i="91"/>
  <c r="F1297" i="91"/>
  <c r="F1300" i="91"/>
  <c r="F1301" i="91"/>
  <c r="F1304" i="91"/>
  <c r="F1305" i="91"/>
  <c r="F1313" i="91"/>
  <c r="F1314" i="91"/>
  <c r="F1316" i="91"/>
  <c r="F1317" i="91"/>
  <c r="F1318" i="91"/>
  <c r="F1320" i="91"/>
  <c r="F1321" i="91"/>
  <c r="F1322" i="91"/>
  <c r="F1323" i="91"/>
  <c r="F1324" i="91"/>
  <c r="F1325" i="91"/>
  <c r="F1327" i="91"/>
  <c r="F1328" i="91"/>
  <c r="F1329" i="91"/>
  <c r="F1331" i="91"/>
  <c r="F1332" i="91"/>
  <c r="F1333" i="91"/>
  <c r="F1335" i="91"/>
  <c r="F1336" i="91"/>
  <c r="F1337" i="91"/>
  <c r="F1343" i="91"/>
  <c r="F1344" i="91"/>
  <c r="F1346" i="91"/>
  <c r="F1347" i="91"/>
  <c r="F1348" i="91"/>
  <c r="F1350" i="91"/>
  <c r="F1351" i="91"/>
  <c r="F1352" i="91"/>
  <c r="F1354" i="91"/>
  <c r="F1355" i="91"/>
  <c r="F1358" i="91"/>
  <c r="F1359" i="91"/>
  <c r="F1362" i="91"/>
  <c r="F1363" i="91"/>
  <c r="F1366" i="91"/>
  <c r="F1367" i="91"/>
  <c r="F1373" i="91"/>
  <c r="F1374" i="91"/>
  <c r="F1376" i="91"/>
  <c r="F1377" i="91"/>
  <c r="F1378" i="91"/>
  <c r="F1380" i="91"/>
  <c r="F1381" i="91"/>
  <c r="F1382" i="91"/>
  <c r="F1383" i="91"/>
  <c r="F1384" i="91"/>
  <c r="F1385" i="91"/>
  <c r="F1387" i="91"/>
  <c r="F1388" i="91"/>
  <c r="F1389" i="91"/>
  <c r="F1391" i="91"/>
  <c r="F1392" i="91"/>
  <c r="F1393" i="91"/>
  <c r="F1395" i="91"/>
  <c r="F1396" i="91"/>
  <c r="F1397" i="91"/>
  <c r="F1403" i="91"/>
  <c r="F1404" i="91"/>
  <c r="F1406" i="91"/>
  <c r="F1407" i="91"/>
  <c r="F1408" i="91"/>
  <c r="F1410" i="91"/>
  <c r="F1411" i="91"/>
  <c r="F1412" i="91"/>
  <c r="F1414" i="91"/>
  <c r="F1415" i="91"/>
  <c r="F1418" i="91"/>
  <c r="F1419" i="91"/>
  <c r="F1422" i="91"/>
  <c r="F1423" i="91"/>
  <c r="F1426" i="91"/>
  <c r="F1427" i="91"/>
  <c r="F1433" i="91"/>
  <c r="F1434" i="91"/>
  <c r="F1436" i="91"/>
  <c r="F1437" i="91"/>
  <c r="F1438" i="91"/>
  <c r="F1440" i="91"/>
  <c r="F1441" i="91"/>
  <c r="F1442" i="91"/>
  <c r="F1443" i="91"/>
  <c r="F1444" i="91"/>
  <c r="F1445" i="91"/>
  <c r="F1447" i="91"/>
  <c r="F1448" i="91"/>
  <c r="F1449" i="91"/>
  <c r="F1451" i="91"/>
  <c r="F1452" i="91"/>
  <c r="F1453" i="91"/>
  <c r="F1455" i="91"/>
  <c r="F1456" i="91"/>
  <c r="F1457" i="91"/>
  <c r="F1463" i="91"/>
  <c r="F1464" i="91"/>
  <c r="F1466" i="91"/>
  <c r="F1467" i="91"/>
  <c r="F1468" i="91"/>
  <c r="F1470" i="91"/>
  <c r="F1471" i="91"/>
  <c r="F1472" i="91"/>
  <c r="F1474" i="91"/>
  <c r="F1475" i="91"/>
  <c r="F1478" i="91"/>
  <c r="F1479" i="91"/>
  <c r="F1482" i="91"/>
  <c r="F1483" i="91"/>
  <c r="F1486" i="91"/>
  <c r="F1487" i="91"/>
  <c r="F1495" i="91"/>
  <c r="F1496" i="91"/>
  <c r="F1498" i="91"/>
  <c r="F1499" i="91"/>
  <c r="F1500" i="91"/>
  <c r="F1502" i="91"/>
  <c r="F1503" i="91"/>
  <c r="F1504" i="91"/>
  <c r="F1505" i="91"/>
  <c r="F1506" i="91"/>
  <c r="F1507" i="91"/>
  <c r="F1509" i="91"/>
  <c r="F1510" i="91"/>
  <c r="F1511" i="91"/>
  <c r="F1513" i="91"/>
  <c r="F1514" i="91"/>
  <c r="F1515" i="91"/>
  <c r="F1517" i="91"/>
  <c r="F1518" i="91"/>
  <c r="F1519" i="91"/>
  <c r="F1525" i="91"/>
  <c r="F1526" i="91"/>
  <c r="F1528" i="91"/>
  <c r="F1529" i="91"/>
  <c r="F1530" i="91"/>
  <c r="F1532" i="91"/>
  <c r="F1533" i="91"/>
  <c r="F1534" i="91"/>
  <c r="F1536" i="91"/>
  <c r="F1537" i="91"/>
  <c r="F1540" i="91"/>
  <c r="F1541" i="91"/>
  <c r="F1544" i="91"/>
  <c r="F1545" i="91"/>
  <c r="F1548" i="91"/>
  <c r="F1549" i="91"/>
  <c r="F1556" i="91"/>
  <c r="F1561" i="91"/>
  <c r="F1563" i="91"/>
  <c r="F1565" i="91"/>
  <c r="F1567" i="91"/>
  <c r="F1569" i="91"/>
  <c r="F1571" i="91"/>
  <c r="F1575" i="91"/>
  <c r="F1579" i="91"/>
  <c r="F1583" i="91"/>
  <c r="F1589" i="91"/>
  <c r="F1591" i="91"/>
  <c r="F1593" i="91"/>
  <c r="F1595" i="91"/>
  <c r="F1597" i="91"/>
  <c r="F1599" i="91"/>
  <c r="F1603" i="91"/>
  <c r="F1607" i="91"/>
  <c r="F1611" i="91"/>
  <c r="F1618" i="91"/>
  <c r="F1620" i="91"/>
  <c r="F1622" i="91"/>
  <c r="F1624" i="91"/>
  <c r="F1626" i="91"/>
  <c r="F1628" i="91"/>
  <c r="F1632" i="91"/>
  <c r="F1636" i="91"/>
  <c r="F1640" i="91"/>
  <c r="F1647" i="91"/>
  <c r="F1649" i="91"/>
  <c r="F1651" i="91"/>
  <c r="F1653" i="91"/>
  <c r="F1655" i="91"/>
  <c r="F1657" i="91"/>
  <c r="F1661" i="91"/>
  <c r="F1665" i="91"/>
  <c r="F1669" i="91"/>
  <c r="F1673" i="91"/>
  <c r="F1818" i="91"/>
  <c r="F1675" i="91"/>
  <c r="F1676" i="91"/>
  <c r="F1678" i="91"/>
  <c r="F1679" i="91"/>
  <c r="F1680" i="91"/>
  <c r="F1682" i="91"/>
  <c r="F1683" i="91"/>
  <c r="F1684" i="91"/>
  <c r="F1686" i="91"/>
  <c r="F1687" i="91"/>
  <c r="F1690" i="91"/>
  <c r="F1691" i="91"/>
  <c r="F1694" i="91"/>
  <c r="F1695" i="91"/>
  <c r="F1698" i="91"/>
  <c r="F1699" i="91"/>
  <c r="F1704" i="91"/>
  <c r="F1705" i="91"/>
  <c r="F1707" i="91"/>
  <c r="F1708" i="91"/>
  <c r="F1709" i="91"/>
  <c r="F1711" i="91"/>
  <c r="F1712" i="91"/>
  <c r="F1713" i="91"/>
  <c r="F1714" i="91"/>
  <c r="F1715" i="91"/>
  <c r="F1716" i="91"/>
  <c r="F1718" i="91"/>
  <c r="F1719" i="91"/>
  <c r="F1720" i="91"/>
  <c r="F1722" i="91"/>
  <c r="F1723" i="91"/>
  <c r="F1724" i="91"/>
  <c r="F1726" i="91"/>
  <c r="F1727" i="91"/>
  <c r="F1728" i="91"/>
  <c r="F1733" i="91"/>
  <c r="F1734" i="91"/>
  <c r="F1736" i="91"/>
  <c r="F1737" i="91"/>
  <c r="F1738" i="91"/>
  <c r="F1740" i="91"/>
  <c r="F1741" i="91"/>
  <c r="F1742" i="91"/>
  <c r="F1744" i="91"/>
  <c r="F1745" i="91"/>
  <c r="F1748" i="91"/>
  <c r="F1749" i="91"/>
  <c r="F1752" i="91"/>
  <c r="F1753" i="91"/>
  <c r="F1756" i="91"/>
  <c r="F1757" i="91"/>
  <c r="F1762" i="91"/>
  <c r="F1763" i="91"/>
  <c r="F1765" i="91"/>
  <c r="F1766" i="91"/>
  <c r="F1767" i="91"/>
  <c r="F1769" i="91"/>
  <c r="F1770" i="91"/>
  <c r="F1771" i="91"/>
  <c r="F1772" i="91"/>
  <c r="F1773" i="91"/>
  <c r="F1774" i="91"/>
  <c r="F1776" i="91"/>
  <c r="F1777" i="91"/>
  <c r="F1778" i="91"/>
  <c r="F1780" i="91"/>
  <c r="F1781" i="91"/>
  <c r="F1782" i="91"/>
  <c r="F1784" i="91"/>
  <c r="F1785" i="91"/>
  <c r="F1786" i="91"/>
  <c r="F1791" i="91"/>
  <c r="F1792" i="91"/>
  <c r="F1794" i="91"/>
  <c r="F1795" i="91"/>
  <c r="F1796" i="91"/>
  <c r="F1798" i="91"/>
  <c r="F1799" i="91"/>
  <c r="F1800" i="91"/>
  <c r="F1802" i="91"/>
  <c r="F1803" i="91"/>
  <c r="F1806" i="91"/>
  <c r="F1807" i="91"/>
  <c r="F1810" i="91"/>
  <c r="F1811" i="91"/>
  <c r="F1814" i="91"/>
  <c r="F1815" i="91"/>
  <c r="F1821" i="91"/>
  <c r="F1823" i="91"/>
  <c r="F1825" i="91"/>
  <c r="F1827" i="91"/>
  <c r="F1829" i="91"/>
  <c r="F1831" i="91"/>
  <c r="F1835" i="91"/>
  <c r="F1839" i="91"/>
  <c r="F1843" i="91"/>
  <c r="C3" i="91"/>
  <c r="C9" i="91"/>
  <c r="C47" i="91"/>
  <c r="P11" i="91"/>
  <c r="P12" i="91"/>
  <c r="P13" i="91"/>
  <c r="H15" i="91"/>
  <c r="I15" i="91"/>
  <c r="H16" i="91"/>
  <c r="E19" i="91"/>
  <c r="AJ19" i="91"/>
  <c r="AK19" i="91"/>
  <c r="AL19" i="91"/>
  <c r="A20" i="91"/>
  <c r="J20" i="91"/>
  <c r="AB20" i="91"/>
  <c r="AD20" i="91"/>
  <c r="AB21" i="91"/>
  <c r="AB22" i="91"/>
  <c r="AB23" i="91"/>
  <c r="AB24" i="91"/>
  <c r="AB25" i="91"/>
  <c r="AB26" i="91"/>
  <c r="AB27" i="91"/>
  <c r="AB28" i="91"/>
  <c r="AB29" i="91"/>
  <c r="AB30" i="91"/>
  <c r="AB31" i="91"/>
  <c r="AB32" i="91"/>
  <c r="AB33" i="91"/>
  <c r="AB34" i="91"/>
  <c r="AB35" i="91"/>
  <c r="AB36" i="91"/>
  <c r="AB37" i="91"/>
  <c r="AB38" i="91"/>
  <c r="AB39" i="91"/>
  <c r="AB40" i="91"/>
  <c r="AB41" i="91"/>
  <c r="AB42" i="91"/>
  <c r="AB43" i="91"/>
  <c r="AB44" i="91"/>
  <c r="AG20" i="91"/>
  <c r="A21" i="91"/>
  <c r="J21" i="91"/>
  <c r="AG21" i="91"/>
  <c r="A22" i="91"/>
  <c r="J22" i="91"/>
  <c r="AG22" i="91"/>
  <c r="A23" i="91"/>
  <c r="J23" i="91"/>
  <c r="AG23" i="91"/>
  <c r="A24" i="91"/>
  <c r="J24" i="91"/>
  <c r="AG24" i="91"/>
  <c r="A25" i="91"/>
  <c r="J25" i="91"/>
  <c r="K25" i="91"/>
  <c r="S99" i="97"/>
  <c r="AG25" i="91"/>
  <c r="A26" i="91"/>
  <c r="J26" i="91"/>
  <c r="AG26" i="91"/>
  <c r="A27" i="91"/>
  <c r="J27" i="91"/>
  <c r="AG27" i="91"/>
  <c r="A28" i="91"/>
  <c r="J28" i="91"/>
  <c r="AG28" i="91"/>
  <c r="A29" i="91"/>
  <c r="J29" i="91"/>
  <c r="AF29" i="91"/>
  <c r="AG29" i="91"/>
  <c r="A30" i="91"/>
  <c r="I30" i="91"/>
  <c r="J30" i="91"/>
  <c r="K30" i="91"/>
  <c r="S104" i="97"/>
  <c r="N30" i="91"/>
  <c r="T30" i="91"/>
  <c r="O30" i="91"/>
  <c r="P30" i="91"/>
  <c r="O23" i="20"/>
  <c r="Q30" i="91"/>
  <c r="S30" i="91"/>
  <c r="U104" i="97"/>
  <c r="U222" i="91"/>
  <c r="G99" i="91"/>
  <c r="G128" i="91"/>
  <c r="G129" i="91"/>
  <c r="G224" i="91"/>
  <c r="G130" i="91"/>
  <c r="G131" i="91"/>
  <c r="G226" i="91"/>
  <c r="G132" i="91"/>
  <c r="G227" i="91"/>
  <c r="G133" i="91"/>
  <c r="G228" i="91"/>
  <c r="G134" i="91"/>
  <c r="G135" i="91"/>
  <c r="G230" i="91"/>
  <c r="G136" i="91"/>
  <c r="G262" i="91"/>
  <c r="G137" i="91"/>
  <c r="G232" i="91"/>
  <c r="G138" i="91"/>
  <c r="G233" i="91"/>
  <c r="G139" i="91"/>
  <c r="K139" i="91"/>
  <c r="G140" i="91"/>
  <c r="G235" i="91"/>
  <c r="G141" i="91"/>
  <c r="G267" i="91"/>
  <c r="G142" i="91"/>
  <c r="G237" i="91"/>
  <c r="G143" i="91"/>
  <c r="K143" i="91"/>
  <c r="G144" i="91"/>
  <c r="G239" i="91"/>
  <c r="G145" i="91"/>
  <c r="G271" i="91"/>
  <c r="G146" i="91"/>
  <c r="G241" i="91"/>
  <c r="G147" i="91"/>
  <c r="G242" i="91"/>
  <c r="G148" i="91"/>
  <c r="G243" i="91"/>
  <c r="G149" i="91"/>
  <c r="G275" i="91"/>
  <c r="G150" i="91"/>
  <c r="G245" i="91"/>
  <c r="G151" i="91"/>
  <c r="G246" i="91"/>
  <c r="G152" i="91"/>
  <c r="G247" i="91"/>
  <c r="G153" i="91"/>
  <c r="G279" i="91"/>
  <c r="G266" i="91"/>
  <c r="G270" i="91"/>
  <c r="G274" i="91"/>
  <c r="G278" i="91"/>
  <c r="AD30" i="91"/>
  <c r="AF30" i="91"/>
  <c r="AG30" i="91"/>
  <c r="A31" i="91"/>
  <c r="I31" i="91"/>
  <c r="J31" i="91"/>
  <c r="K31" i="91"/>
  <c r="S105" i="97"/>
  <c r="N31" i="91"/>
  <c r="T31" i="91"/>
  <c r="O31" i="91"/>
  <c r="P31" i="91"/>
  <c r="O24" i="20"/>
  <c r="Q31" i="91"/>
  <c r="S31" i="91"/>
  <c r="U105" i="97"/>
  <c r="AD31" i="91"/>
  <c r="AF31" i="91"/>
  <c r="AG31" i="91"/>
  <c r="A32" i="91"/>
  <c r="I32" i="91"/>
  <c r="J32" i="91"/>
  <c r="K32" i="91"/>
  <c r="S106" i="97"/>
  <c r="N32" i="91"/>
  <c r="T32" i="91"/>
  <c r="O32" i="91"/>
  <c r="P32" i="91"/>
  <c r="O25" i="20"/>
  <c r="Q32" i="91"/>
  <c r="S32" i="91"/>
  <c r="U106" i="97"/>
  <c r="AD32" i="91"/>
  <c r="AF32" i="91"/>
  <c r="AG32" i="91"/>
  <c r="A33" i="91"/>
  <c r="I33" i="91"/>
  <c r="J33" i="91"/>
  <c r="K33" i="91"/>
  <c r="S107" i="97"/>
  <c r="N33" i="91"/>
  <c r="T33" i="91"/>
  <c r="O33" i="91"/>
  <c r="P33" i="91"/>
  <c r="O26" i="20"/>
  <c r="Q33" i="91"/>
  <c r="S33" i="91"/>
  <c r="U107" i="97"/>
  <c r="AD33" i="91"/>
  <c r="AF33" i="91"/>
  <c r="AG33" i="91"/>
  <c r="A34" i="91"/>
  <c r="I34" i="91"/>
  <c r="J34" i="91"/>
  <c r="K34" i="91"/>
  <c r="S108" i="97"/>
  <c r="N34" i="91"/>
  <c r="T34" i="91"/>
  <c r="O34" i="91"/>
  <c r="P34" i="91"/>
  <c r="O27" i="20"/>
  <c r="Q34" i="91"/>
  <c r="S34" i="91"/>
  <c r="U108" i="97"/>
  <c r="AD34" i="91"/>
  <c r="AF34" i="91"/>
  <c r="AG34" i="91"/>
  <c r="AW34" i="91"/>
  <c r="A35" i="91"/>
  <c r="I35" i="91"/>
  <c r="J35" i="91"/>
  <c r="K35" i="91"/>
  <c r="S109" i="97"/>
  <c r="N35" i="91"/>
  <c r="T35" i="91"/>
  <c r="O35" i="91"/>
  <c r="P35" i="91"/>
  <c r="O28" i="20"/>
  <c r="Q35" i="91"/>
  <c r="S35" i="91"/>
  <c r="U109" i="97"/>
  <c r="AD35" i="91"/>
  <c r="AF35" i="91"/>
  <c r="AG35" i="91"/>
  <c r="A36" i="91"/>
  <c r="I36" i="91"/>
  <c r="J36" i="91"/>
  <c r="K36" i="91"/>
  <c r="S110" i="97"/>
  <c r="N36" i="91"/>
  <c r="T36" i="91"/>
  <c r="O36" i="91"/>
  <c r="P36" i="91"/>
  <c r="O29" i="20"/>
  <c r="Q36" i="91"/>
  <c r="S36" i="91"/>
  <c r="U110" i="97"/>
  <c r="AD36" i="91"/>
  <c r="AF36" i="91"/>
  <c r="AG36" i="91"/>
  <c r="A37" i="91"/>
  <c r="I37" i="91"/>
  <c r="J37" i="91"/>
  <c r="K37" i="91"/>
  <c r="S111" i="97"/>
  <c r="N37" i="91"/>
  <c r="T37" i="91"/>
  <c r="O37" i="91"/>
  <c r="P37" i="91"/>
  <c r="O30" i="20"/>
  <c r="Q37" i="91"/>
  <c r="S37" i="91"/>
  <c r="U111" i="97"/>
  <c r="AD37" i="91"/>
  <c r="AF37" i="91"/>
  <c r="AG37" i="91"/>
  <c r="A38" i="91"/>
  <c r="I38" i="91"/>
  <c r="J38" i="91"/>
  <c r="K38" i="91"/>
  <c r="S112" i="97"/>
  <c r="N38" i="91"/>
  <c r="T38" i="91"/>
  <c r="O38" i="91"/>
  <c r="P38" i="91"/>
  <c r="O31" i="20"/>
  <c r="Q38" i="91"/>
  <c r="S38" i="91"/>
  <c r="U112" i="97"/>
  <c r="AD38" i="91"/>
  <c r="AF38" i="91"/>
  <c r="AG38" i="91"/>
  <c r="A39" i="91"/>
  <c r="I39" i="91"/>
  <c r="J39" i="91"/>
  <c r="K39" i="91"/>
  <c r="S113" i="97"/>
  <c r="N39" i="91"/>
  <c r="T39" i="91"/>
  <c r="O39" i="91"/>
  <c r="P39" i="91"/>
  <c r="O32" i="20"/>
  <c r="Q39" i="91"/>
  <c r="S39" i="91"/>
  <c r="U113" i="97"/>
  <c r="AD39" i="91"/>
  <c r="AF39" i="91"/>
  <c r="AG39" i="91"/>
  <c r="A40" i="91"/>
  <c r="I40" i="91"/>
  <c r="J40" i="91"/>
  <c r="K40" i="91"/>
  <c r="S114" i="97"/>
  <c r="N40" i="91"/>
  <c r="T40" i="91"/>
  <c r="O40" i="91"/>
  <c r="P40" i="91"/>
  <c r="O33" i="20"/>
  <c r="Q40" i="91"/>
  <c r="S40" i="91"/>
  <c r="U114" i="97"/>
  <c r="AD40" i="91"/>
  <c r="AF40" i="91"/>
  <c r="AG40" i="91"/>
  <c r="A41" i="91"/>
  <c r="I41" i="91"/>
  <c r="J41" i="91"/>
  <c r="K41" i="91"/>
  <c r="S115" i="97"/>
  <c r="N41" i="91"/>
  <c r="T41" i="91"/>
  <c r="O41" i="91"/>
  <c r="P41" i="91"/>
  <c r="O34" i="20"/>
  <c r="Q41" i="91"/>
  <c r="S41" i="91"/>
  <c r="U115" i="97"/>
  <c r="AD41" i="91"/>
  <c r="AF41" i="91"/>
  <c r="AG41" i="91"/>
  <c r="A42" i="91"/>
  <c r="I42" i="91"/>
  <c r="J42" i="91"/>
  <c r="K42" i="91"/>
  <c r="S116" i="97"/>
  <c r="N42" i="91"/>
  <c r="T42" i="91"/>
  <c r="O42" i="91"/>
  <c r="P42" i="91"/>
  <c r="O35" i="20"/>
  <c r="Q42" i="91"/>
  <c r="S42" i="91"/>
  <c r="U116" i="97"/>
  <c r="AD42" i="91"/>
  <c r="AF42" i="91"/>
  <c r="AG42" i="91"/>
  <c r="A43" i="91"/>
  <c r="I43" i="91"/>
  <c r="J43" i="91"/>
  <c r="K43" i="91"/>
  <c r="S117" i="97"/>
  <c r="N43" i="91"/>
  <c r="T43" i="91"/>
  <c r="O43" i="91"/>
  <c r="P43" i="91"/>
  <c r="O36" i="20"/>
  <c r="Q43" i="91"/>
  <c r="S43" i="91"/>
  <c r="U117" i="97"/>
  <c r="AD43" i="91"/>
  <c r="AF43" i="91"/>
  <c r="AG43" i="91"/>
  <c r="A44" i="91"/>
  <c r="I44" i="91"/>
  <c r="J44" i="91"/>
  <c r="K44" i="91"/>
  <c r="S118" i="97"/>
  <c r="N44" i="91"/>
  <c r="T44" i="91"/>
  <c r="O44" i="91"/>
  <c r="P44" i="91"/>
  <c r="O37" i="20"/>
  <c r="Q44" i="91"/>
  <c r="S44" i="91"/>
  <c r="U118" i="97"/>
  <c r="AD44" i="91"/>
  <c r="AF44" i="91"/>
  <c r="AG44" i="91"/>
  <c r="U45" i="91"/>
  <c r="D47" i="91"/>
  <c r="AO52" i="91"/>
  <c r="G54" i="91"/>
  <c r="H54" i="91"/>
  <c r="L54" i="91"/>
  <c r="E55" i="91"/>
  <c r="A55" i="91"/>
  <c r="H100" i="91"/>
  <c r="U100" i="91"/>
  <c r="E56" i="91"/>
  <c r="A56" i="91"/>
  <c r="H101" i="91"/>
  <c r="U101" i="91"/>
  <c r="E57" i="91"/>
  <c r="A57" i="91"/>
  <c r="H102" i="91"/>
  <c r="U102" i="91"/>
  <c r="E58" i="91"/>
  <c r="A58" i="91"/>
  <c r="H103" i="91"/>
  <c r="U103" i="91"/>
  <c r="E59" i="91"/>
  <c r="A59" i="91"/>
  <c r="H104" i="91"/>
  <c r="U104" i="91"/>
  <c r="E60" i="91"/>
  <c r="A60" i="91"/>
  <c r="H105" i="91"/>
  <c r="U105" i="91"/>
  <c r="E61" i="91"/>
  <c r="A61" i="91"/>
  <c r="H106" i="91"/>
  <c r="U106" i="91"/>
  <c r="E62" i="91"/>
  <c r="A62" i="91"/>
  <c r="H107" i="91"/>
  <c r="U107" i="91"/>
  <c r="E63" i="91"/>
  <c r="A63" i="91"/>
  <c r="H108" i="91"/>
  <c r="U108" i="91"/>
  <c r="E64" i="91"/>
  <c r="A64" i="91"/>
  <c r="H109" i="91"/>
  <c r="U109" i="91"/>
  <c r="E65" i="91"/>
  <c r="G65" i="91"/>
  <c r="A65" i="91"/>
  <c r="H65" i="91"/>
  <c r="U139" i="91"/>
  <c r="L65" i="91"/>
  <c r="E66" i="91"/>
  <c r="G66" i="91"/>
  <c r="A66" i="91"/>
  <c r="H66" i="91"/>
  <c r="U140" i="91"/>
  <c r="L66" i="91"/>
  <c r="E67" i="91"/>
  <c r="G67" i="91"/>
  <c r="A67" i="91"/>
  <c r="H67" i="91"/>
  <c r="U141" i="91"/>
  <c r="L67" i="91"/>
  <c r="E68" i="91"/>
  <c r="G68" i="91"/>
  <c r="A68" i="91"/>
  <c r="H68" i="91"/>
  <c r="U142" i="91"/>
  <c r="L68" i="91"/>
  <c r="E69" i="91"/>
  <c r="G69" i="91"/>
  <c r="A69" i="91"/>
  <c r="H69" i="91"/>
  <c r="U143" i="91"/>
  <c r="L69" i="91"/>
  <c r="E70" i="91"/>
  <c r="G70" i="91"/>
  <c r="A70" i="91"/>
  <c r="H70" i="91"/>
  <c r="U144" i="91"/>
  <c r="L70" i="91"/>
  <c r="E71" i="91"/>
  <c r="G71" i="91"/>
  <c r="A71" i="91"/>
  <c r="H71" i="91"/>
  <c r="U145" i="91"/>
  <c r="L71" i="91"/>
  <c r="E72" i="91"/>
  <c r="G72" i="91"/>
  <c r="A72" i="91"/>
  <c r="H72" i="91"/>
  <c r="U146" i="91"/>
  <c r="L72" i="91"/>
  <c r="E73" i="91"/>
  <c r="G73" i="91"/>
  <c r="A73" i="91"/>
  <c r="H73" i="91"/>
  <c r="U147" i="91"/>
  <c r="L73" i="91"/>
  <c r="E74" i="91"/>
  <c r="G74" i="91"/>
  <c r="A74" i="91"/>
  <c r="H74" i="91"/>
  <c r="U148" i="91"/>
  <c r="L74" i="91"/>
  <c r="E75" i="91"/>
  <c r="G75" i="91"/>
  <c r="A75" i="91"/>
  <c r="H75" i="91"/>
  <c r="U149" i="91"/>
  <c r="L75" i="91"/>
  <c r="E76" i="91"/>
  <c r="G76" i="91"/>
  <c r="A76" i="91"/>
  <c r="H76" i="91"/>
  <c r="U150" i="91"/>
  <c r="L76" i="91"/>
  <c r="E77" i="91"/>
  <c r="G77" i="91"/>
  <c r="A77" i="91"/>
  <c r="H77" i="91"/>
  <c r="U151" i="91"/>
  <c r="L77" i="91"/>
  <c r="E78" i="91"/>
  <c r="G78" i="91"/>
  <c r="A78" i="91"/>
  <c r="H78" i="91"/>
  <c r="U152" i="91"/>
  <c r="L78" i="91"/>
  <c r="E79" i="91"/>
  <c r="G79" i="91"/>
  <c r="A79" i="91"/>
  <c r="H79" i="91"/>
  <c r="U153" i="91"/>
  <c r="L79" i="91"/>
  <c r="G100" i="91"/>
  <c r="O128" i="91"/>
  <c r="A100" i="91"/>
  <c r="R100" i="91"/>
  <c r="T100" i="91"/>
  <c r="T129" i="91"/>
  <c r="V100" i="91"/>
  <c r="W100" i="91"/>
  <c r="X100" i="91"/>
  <c r="Y100" i="91"/>
  <c r="A101" i="91"/>
  <c r="G101" i="91"/>
  <c r="R101" i="91"/>
  <c r="T101" i="91"/>
  <c r="T130" i="91"/>
  <c r="V101" i="91"/>
  <c r="W101" i="91"/>
  <c r="X101" i="91"/>
  <c r="Y101" i="91"/>
  <c r="G102" i="91"/>
  <c r="R102" i="91"/>
  <c r="T102" i="91"/>
  <c r="T131" i="91"/>
  <c r="V102" i="91"/>
  <c r="W102" i="91"/>
  <c r="X102" i="91"/>
  <c r="Y102" i="91"/>
  <c r="G103" i="91"/>
  <c r="R103" i="91"/>
  <c r="T103" i="91"/>
  <c r="T132" i="91"/>
  <c r="V103" i="91"/>
  <c r="W103" i="91"/>
  <c r="X103" i="91"/>
  <c r="Y103" i="91"/>
  <c r="A104" i="91"/>
  <c r="G104" i="91"/>
  <c r="R104" i="91"/>
  <c r="T104" i="91"/>
  <c r="T133" i="91"/>
  <c r="V104" i="91"/>
  <c r="W104" i="91"/>
  <c r="X104" i="91"/>
  <c r="Y104" i="91"/>
  <c r="A105" i="91"/>
  <c r="G105" i="91"/>
  <c r="R105" i="91"/>
  <c r="T105" i="91"/>
  <c r="T134" i="91"/>
  <c r="V105" i="91"/>
  <c r="W105" i="91"/>
  <c r="X105" i="91"/>
  <c r="Y105" i="91"/>
  <c r="G106" i="91"/>
  <c r="R106" i="91"/>
  <c r="T106" i="91"/>
  <c r="T135" i="91"/>
  <c r="V106" i="91"/>
  <c r="W106" i="91"/>
  <c r="X106" i="91"/>
  <c r="Y106" i="91"/>
  <c r="G107" i="91"/>
  <c r="R107" i="91"/>
  <c r="T107" i="91"/>
  <c r="T136" i="91"/>
  <c r="V107" i="91"/>
  <c r="W107" i="91"/>
  <c r="X107" i="91"/>
  <c r="Y107" i="91"/>
  <c r="A108" i="91"/>
  <c r="G108" i="91"/>
  <c r="R108" i="91"/>
  <c r="T108" i="91"/>
  <c r="T137" i="91"/>
  <c r="V108" i="91"/>
  <c r="W108" i="91"/>
  <c r="X108" i="91"/>
  <c r="Y108" i="91"/>
  <c r="A109" i="91"/>
  <c r="G109" i="91"/>
  <c r="R109" i="91"/>
  <c r="T109" i="91"/>
  <c r="T138" i="91"/>
  <c r="V109" i="91"/>
  <c r="W109" i="91"/>
  <c r="X109" i="91"/>
  <c r="Y109" i="91"/>
  <c r="G110" i="91"/>
  <c r="H110" i="91"/>
  <c r="T110" i="91"/>
  <c r="T139" i="91"/>
  <c r="R110" i="91"/>
  <c r="U110" i="91"/>
  <c r="V110" i="91"/>
  <c r="W110" i="91"/>
  <c r="Y110" i="91"/>
  <c r="A111" i="91"/>
  <c r="G111" i="91"/>
  <c r="H111" i="91"/>
  <c r="R111" i="91"/>
  <c r="T111" i="91"/>
  <c r="U111" i="91"/>
  <c r="V111" i="91"/>
  <c r="W111" i="91"/>
  <c r="X111" i="91"/>
  <c r="Y111" i="91"/>
  <c r="G112" i="91"/>
  <c r="H112" i="91"/>
  <c r="T112" i="91"/>
  <c r="T141" i="91"/>
  <c r="R112" i="91"/>
  <c r="U112" i="91"/>
  <c r="V112" i="91"/>
  <c r="W112" i="91"/>
  <c r="Y112" i="91"/>
  <c r="A113" i="91"/>
  <c r="G113" i="91"/>
  <c r="H113" i="91"/>
  <c r="R113" i="91"/>
  <c r="T113" i="91"/>
  <c r="U113" i="91"/>
  <c r="V113" i="91"/>
  <c r="W113" i="91"/>
  <c r="X113" i="91"/>
  <c r="Y113" i="91"/>
  <c r="G114" i="91"/>
  <c r="H114" i="91"/>
  <c r="T114" i="91"/>
  <c r="T143" i="91"/>
  <c r="R114" i="91"/>
  <c r="U114" i="91"/>
  <c r="V114" i="91"/>
  <c r="W114" i="91"/>
  <c r="Y114" i="91"/>
  <c r="A115" i="91"/>
  <c r="G115" i="91"/>
  <c r="H115" i="91"/>
  <c r="R115" i="91"/>
  <c r="T115" i="91"/>
  <c r="U115" i="91"/>
  <c r="V115" i="91"/>
  <c r="W115" i="91"/>
  <c r="X115" i="91"/>
  <c r="Y115" i="91"/>
  <c r="G116" i="91"/>
  <c r="H116" i="91"/>
  <c r="T116" i="91"/>
  <c r="T145" i="91"/>
  <c r="R116" i="91"/>
  <c r="U116" i="91"/>
  <c r="V116" i="91"/>
  <c r="W116" i="91"/>
  <c r="Y116" i="91"/>
  <c r="A117" i="91"/>
  <c r="G117" i="91"/>
  <c r="H117" i="91"/>
  <c r="R117" i="91"/>
  <c r="T117" i="91"/>
  <c r="U117" i="91"/>
  <c r="V117" i="91"/>
  <c r="W117" i="91"/>
  <c r="X117" i="91"/>
  <c r="Y117" i="91"/>
  <c r="G118" i="91"/>
  <c r="H118" i="91"/>
  <c r="T118" i="91"/>
  <c r="T147" i="91"/>
  <c r="R118" i="91"/>
  <c r="U118" i="91"/>
  <c r="V118" i="91"/>
  <c r="W118" i="91"/>
  <c r="Y118" i="91"/>
  <c r="A119" i="91"/>
  <c r="G119" i="91"/>
  <c r="H119" i="91"/>
  <c r="R119" i="91"/>
  <c r="T119" i="91"/>
  <c r="U119" i="91"/>
  <c r="V119" i="91"/>
  <c r="W119" i="91"/>
  <c r="X119" i="91"/>
  <c r="Y119" i="91"/>
  <c r="G120" i="91"/>
  <c r="H120" i="91"/>
  <c r="T120" i="91"/>
  <c r="T149" i="91"/>
  <c r="R120" i="91"/>
  <c r="U120" i="91"/>
  <c r="V120" i="91"/>
  <c r="W120" i="91"/>
  <c r="Y120" i="91"/>
  <c r="A121" i="91"/>
  <c r="G121" i="91"/>
  <c r="H121" i="91"/>
  <c r="R121" i="91"/>
  <c r="T121" i="91"/>
  <c r="U121" i="91"/>
  <c r="V121" i="91"/>
  <c r="W121" i="91"/>
  <c r="X121" i="91"/>
  <c r="Y121" i="91"/>
  <c r="G122" i="91"/>
  <c r="H122" i="91"/>
  <c r="T122" i="91"/>
  <c r="T151" i="91"/>
  <c r="R122" i="91"/>
  <c r="U122" i="91"/>
  <c r="V122" i="91"/>
  <c r="W122" i="91"/>
  <c r="Y122" i="91"/>
  <c r="A123" i="91"/>
  <c r="G123" i="91"/>
  <c r="H123" i="91"/>
  <c r="R123" i="91"/>
  <c r="T123" i="91"/>
  <c r="U123" i="91"/>
  <c r="V123" i="91"/>
  <c r="W123" i="91"/>
  <c r="X123" i="91"/>
  <c r="Y123" i="91"/>
  <c r="G124" i="91"/>
  <c r="H124" i="91"/>
  <c r="T124" i="91"/>
  <c r="T153" i="91"/>
  <c r="R124" i="91"/>
  <c r="U124" i="91"/>
  <c r="V124" i="91"/>
  <c r="W124" i="91"/>
  <c r="Y124" i="91"/>
  <c r="A129" i="91"/>
  <c r="H129" i="91"/>
  <c r="H162" i="91"/>
  <c r="G211" i="97"/>
  <c r="A130" i="91"/>
  <c r="H130" i="91"/>
  <c r="A132" i="91"/>
  <c r="H132" i="91"/>
  <c r="A133" i="91"/>
  <c r="H133" i="91"/>
  <c r="A134" i="91"/>
  <c r="H134" i="91"/>
  <c r="A136" i="91"/>
  <c r="H136" i="91"/>
  <c r="A137" i="91"/>
  <c r="H137" i="91"/>
  <c r="A138" i="91"/>
  <c r="H138" i="91"/>
  <c r="A139" i="91"/>
  <c r="J139" i="91"/>
  <c r="L139" i="91"/>
  <c r="N139" i="91"/>
  <c r="P139" i="91"/>
  <c r="S139" i="91"/>
  <c r="V139" i="91"/>
  <c r="X139" i="91"/>
  <c r="A140" i="91"/>
  <c r="H140" i="91"/>
  <c r="J140" i="91"/>
  <c r="N140" i="91"/>
  <c r="S140" i="91"/>
  <c r="T140" i="91"/>
  <c r="X140" i="91"/>
  <c r="A141" i="91"/>
  <c r="H141" i="91"/>
  <c r="J141" i="91"/>
  <c r="L141" i="91"/>
  <c r="N141" i="91"/>
  <c r="P141" i="91"/>
  <c r="S141" i="91"/>
  <c r="V141" i="91"/>
  <c r="X141" i="91"/>
  <c r="J142" i="91"/>
  <c r="N142" i="91"/>
  <c r="S142" i="91"/>
  <c r="T142" i="91"/>
  <c r="X142" i="91"/>
  <c r="A143" i="91"/>
  <c r="J143" i="91"/>
  <c r="L143" i="91"/>
  <c r="N143" i="91"/>
  <c r="P143" i="91"/>
  <c r="S143" i="91"/>
  <c r="V143" i="91"/>
  <c r="X143" i="91"/>
  <c r="A144" i="91"/>
  <c r="H144" i="91"/>
  <c r="J144" i="91"/>
  <c r="N144" i="91"/>
  <c r="S144" i="91"/>
  <c r="T144" i="91"/>
  <c r="X144" i="91"/>
  <c r="A145" i="91"/>
  <c r="H145" i="91"/>
  <c r="J145" i="91"/>
  <c r="K145" i="91"/>
  <c r="L145" i="91"/>
  <c r="N145" i="91"/>
  <c r="O145" i="91"/>
  <c r="E63" i="63"/>
  <c r="M63" i="63"/>
  <c r="P145" i="91"/>
  <c r="S145" i="91"/>
  <c r="V145" i="91"/>
  <c r="X145" i="91"/>
  <c r="Y145" i="91"/>
  <c r="J146" i="91"/>
  <c r="N146" i="91"/>
  <c r="S146" i="91"/>
  <c r="T146" i="91"/>
  <c r="X146" i="91"/>
  <c r="A147" i="91"/>
  <c r="J147" i="91"/>
  <c r="K147" i="91"/>
  <c r="L147" i="91"/>
  <c r="N147" i="91"/>
  <c r="O147" i="91"/>
  <c r="E65" i="63"/>
  <c r="M65" i="63"/>
  <c r="P147" i="91"/>
  <c r="S147" i="91"/>
  <c r="V147" i="91"/>
  <c r="X147" i="91"/>
  <c r="Y147" i="91"/>
  <c r="A148" i="91"/>
  <c r="H148" i="91"/>
  <c r="J148" i="91"/>
  <c r="N148" i="91"/>
  <c r="S148" i="91"/>
  <c r="T148" i="91"/>
  <c r="X148" i="91"/>
  <c r="A149" i="91"/>
  <c r="H149" i="91"/>
  <c r="J149" i="91"/>
  <c r="K149" i="91"/>
  <c r="L149" i="91"/>
  <c r="N149" i="91"/>
  <c r="O149" i="91"/>
  <c r="E67" i="63"/>
  <c r="M67" i="63"/>
  <c r="P149" i="91"/>
  <c r="S149" i="91"/>
  <c r="V149" i="91"/>
  <c r="X149" i="91"/>
  <c r="Y149" i="91"/>
  <c r="J150" i="91"/>
  <c r="N150" i="91"/>
  <c r="S150" i="91"/>
  <c r="T150" i="91"/>
  <c r="X150" i="91"/>
  <c r="A151" i="91"/>
  <c r="J151" i="91"/>
  <c r="K151" i="91"/>
  <c r="L151" i="91"/>
  <c r="N151" i="91"/>
  <c r="O151" i="91"/>
  <c r="E69" i="63"/>
  <c r="M69" i="63"/>
  <c r="P151" i="91"/>
  <c r="S151" i="91"/>
  <c r="V151" i="91"/>
  <c r="X151" i="91"/>
  <c r="Y151" i="91"/>
  <c r="A152" i="91"/>
  <c r="H152" i="91"/>
  <c r="J152" i="91"/>
  <c r="N152" i="91"/>
  <c r="S152" i="91"/>
  <c r="T152" i="91"/>
  <c r="X152" i="91"/>
  <c r="A153" i="91"/>
  <c r="H153" i="91"/>
  <c r="J153" i="91"/>
  <c r="K153" i="91"/>
  <c r="L153" i="91"/>
  <c r="N153" i="91"/>
  <c r="O153" i="91"/>
  <c r="E71" i="63"/>
  <c r="M71" i="63"/>
  <c r="P153" i="91"/>
  <c r="S153" i="91"/>
  <c r="V153" i="91"/>
  <c r="X153" i="91"/>
  <c r="Y153" i="91"/>
  <c r="P160" i="91"/>
  <c r="R160" i="91"/>
  <c r="G162" i="91"/>
  <c r="O162" i="91"/>
  <c r="J132" i="91"/>
  <c r="N132" i="91"/>
  <c r="X132" i="91"/>
  <c r="K138" i="91"/>
  <c r="O138" i="91"/>
  <c r="Y138" i="91"/>
  <c r="I228" i="97"/>
  <c r="I221" i="97"/>
  <c r="I229" i="97"/>
  <c r="O33" i="24"/>
  <c r="M33" i="24"/>
  <c r="K33" i="24"/>
  <c r="I33" i="24"/>
  <c r="G33" i="24"/>
  <c r="R132" i="91"/>
  <c r="M132" i="91"/>
  <c r="W132" i="91"/>
  <c r="J138" i="91"/>
  <c r="N138" i="91"/>
  <c r="X138" i="91"/>
  <c r="I224" i="97"/>
  <c r="I230" i="97"/>
  <c r="I225" i="97"/>
  <c r="U132" i="91"/>
  <c r="P132" i="91"/>
  <c r="L132" i="91"/>
  <c r="V132" i="91"/>
  <c r="R138" i="91"/>
  <c r="M138" i="91"/>
  <c r="W138" i="91"/>
  <c r="I227" i="97"/>
  <c r="I226" i="97"/>
  <c r="N33" i="24"/>
  <c r="L33" i="24"/>
  <c r="J33" i="24"/>
  <c r="H33" i="24"/>
  <c r="F33" i="24"/>
  <c r="O132" i="91"/>
  <c r="L138" i="91"/>
  <c r="K136" i="91"/>
  <c r="O136" i="91"/>
  <c r="Y136" i="91"/>
  <c r="H30" i="18"/>
  <c r="AK9" i="31"/>
  <c r="AG9" i="31"/>
  <c r="J129" i="91"/>
  <c r="N129" i="91"/>
  <c r="X129" i="91"/>
  <c r="K131" i="91"/>
  <c r="O131" i="91"/>
  <c r="Y131" i="91"/>
  <c r="U133" i="91"/>
  <c r="P133" i="91"/>
  <c r="L133" i="91"/>
  <c r="V133" i="91"/>
  <c r="R135" i="91"/>
  <c r="M135" i="91"/>
  <c r="W135" i="91"/>
  <c r="J137" i="91"/>
  <c r="N137" i="91"/>
  <c r="X137" i="91"/>
  <c r="K134" i="91"/>
  <c r="O134" i="91"/>
  <c r="Y134" i="91"/>
  <c r="U130" i="91"/>
  <c r="P130" i="91"/>
  <c r="L130" i="91"/>
  <c r="V130" i="91"/>
  <c r="N162" i="91"/>
  <c r="K132" i="91"/>
  <c r="L136" i="91"/>
  <c r="K129" i="91"/>
  <c r="Y129" i="91"/>
  <c r="V131" i="91"/>
  <c r="J135" i="91"/>
  <c r="O137" i="91"/>
  <c r="L134" i="91"/>
  <c r="W130" i="91"/>
  <c r="Y132" i="91"/>
  <c r="V138" i="91"/>
  <c r="P162" i="91"/>
  <c r="J136" i="91"/>
  <c r="N136" i="91"/>
  <c r="X136" i="91"/>
  <c r="K23" i="18"/>
  <c r="AL9" i="31"/>
  <c r="AF9" i="31"/>
  <c r="R129" i="91"/>
  <c r="M129" i="91"/>
  <c r="W129" i="91"/>
  <c r="J131" i="91"/>
  <c r="N131" i="91"/>
  <c r="X131" i="91"/>
  <c r="K133" i="91"/>
  <c r="O133" i="91"/>
  <c r="Y133" i="91"/>
  <c r="U135" i="91"/>
  <c r="P135" i="91"/>
  <c r="L135" i="91"/>
  <c r="V135" i="91"/>
  <c r="R137" i="91"/>
  <c r="M137" i="91"/>
  <c r="W137" i="91"/>
  <c r="J134" i="91"/>
  <c r="N134" i="91"/>
  <c r="X134" i="91"/>
  <c r="K130" i="91"/>
  <c r="O130" i="91"/>
  <c r="Y130" i="91"/>
  <c r="K162" i="91"/>
  <c r="U136" i="91"/>
  <c r="AJ9" i="31"/>
  <c r="U131" i="91"/>
  <c r="M133" i="91"/>
  <c r="X135" i="91"/>
  <c r="P134" i="91"/>
  <c r="R130" i="91"/>
  <c r="U138" i="91"/>
  <c r="I223" i="97"/>
  <c r="R162" i="91"/>
  <c r="R136" i="91"/>
  <c r="M136" i="91"/>
  <c r="W136" i="91"/>
  <c r="U129" i="91"/>
  <c r="P129" i="91"/>
  <c r="L129" i="91"/>
  <c r="V129" i="91"/>
  <c r="R131" i="91"/>
  <c r="M131" i="91"/>
  <c r="W131" i="91"/>
  <c r="J133" i="91"/>
  <c r="N133" i="91"/>
  <c r="X133" i="91"/>
  <c r="K135" i="91"/>
  <c r="O135" i="91"/>
  <c r="Y135" i="91"/>
  <c r="U137" i="91"/>
  <c r="P137" i="91"/>
  <c r="L137" i="91"/>
  <c r="V137" i="91"/>
  <c r="R134" i="91"/>
  <c r="M134" i="91"/>
  <c r="W134" i="91"/>
  <c r="J130" i="91"/>
  <c r="N130" i="91"/>
  <c r="X130" i="91"/>
  <c r="L162" i="91"/>
  <c r="P138" i="91"/>
  <c r="P136" i="91"/>
  <c r="AH9" i="31"/>
  <c r="L131" i="91"/>
  <c r="W133" i="91"/>
  <c r="K137" i="91"/>
  <c r="Y137" i="91"/>
  <c r="V134" i="91"/>
  <c r="M162" i="91"/>
  <c r="I222" i="97"/>
  <c r="V136" i="91"/>
  <c r="O129" i="91"/>
  <c r="P131" i="91"/>
  <c r="R133" i="91"/>
  <c r="N135" i="91"/>
  <c r="U134" i="91"/>
  <c r="M130" i="91"/>
  <c r="U278" i="91"/>
  <c r="U238" i="91"/>
  <c r="U263" i="91"/>
  <c r="U239" i="91"/>
  <c r="U268" i="91"/>
  <c r="U277" i="91"/>
  <c r="U262" i="91"/>
  <c r="U264" i="91"/>
  <c r="U242" i="91"/>
  <c r="U279" i="91"/>
  <c r="U256" i="91"/>
  <c r="U258" i="91"/>
  <c r="U271" i="91"/>
  <c r="U257" i="91"/>
  <c r="U244" i="91"/>
  <c r="U261" i="91"/>
  <c r="U255" i="91"/>
  <c r="U265" i="91"/>
  <c r="U237" i="91"/>
  <c r="U235" i="91"/>
  <c r="U227" i="91"/>
  <c r="U246" i="91"/>
  <c r="U241" i="91"/>
  <c r="U233" i="91"/>
  <c r="U270" i="91"/>
  <c r="U269" i="91"/>
  <c r="U272" i="91"/>
  <c r="U231" i="91"/>
  <c r="U259" i="91"/>
  <c r="U229" i="91"/>
  <c r="U273" i="91"/>
  <c r="U243" i="91"/>
  <c r="U267" i="91"/>
  <c r="U224" i="91"/>
  <c r="U274" i="91"/>
  <c r="U266" i="91"/>
  <c r="U247" i="91"/>
  <c r="U226" i="91"/>
  <c r="U248" i="91"/>
  <c r="U240" i="91"/>
  <c r="U276" i="91"/>
  <c r="U236" i="91"/>
  <c r="U234" i="91"/>
  <c r="U225" i="91"/>
  <c r="U260" i="91"/>
  <c r="U245" i="91"/>
  <c r="U230" i="91"/>
  <c r="U232" i="91"/>
  <c r="U228" i="91"/>
  <c r="U275" i="91"/>
  <c r="O30" i="24"/>
  <c r="O14" i="24"/>
  <c r="O18" i="24"/>
  <c r="O26" i="24"/>
  <c r="O20" i="24"/>
  <c r="O38" i="24"/>
  <c r="O15" i="24"/>
  <c r="O19" i="24"/>
  <c r="O27" i="24"/>
  <c r="O37" i="24"/>
  <c r="O28" i="24"/>
  <c r="O12" i="24"/>
  <c r="O85" i="24"/>
  <c r="O86" i="24"/>
  <c r="O16" i="24"/>
  <c r="O13" i="24"/>
  <c r="O17" i="24"/>
  <c r="O21" i="24"/>
  <c r="O29" i="24"/>
  <c r="N29" i="24"/>
  <c r="N15" i="24"/>
  <c r="N37" i="24"/>
  <c r="N13" i="24"/>
  <c r="N16" i="24"/>
  <c r="N21" i="24"/>
  <c r="N28" i="24"/>
  <c r="N18" i="24"/>
  <c r="N17" i="24"/>
  <c r="N86" i="24"/>
  <c r="N85" i="24"/>
  <c r="N19" i="24"/>
  <c r="N26" i="24"/>
  <c r="N30" i="24"/>
  <c r="N14" i="24"/>
  <c r="N38" i="24"/>
  <c r="N12" i="24"/>
  <c r="N27" i="24"/>
  <c r="N20" i="24"/>
  <c r="M37" i="24"/>
  <c r="M17" i="24"/>
  <c r="M21" i="24"/>
  <c r="M26" i="24"/>
  <c r="M12" i="24"/>
  <c r="M38" i="24"/>
  <c r="M14" i="24"/>
  <c r="M18" i="24"/>
  <c r="M27" i="24"/>
  <c r="M13" i="24"/>
  <c r="M20" i="24"/>
  <c r="M15" i="24"/>
  <c r="M19" i="24"/>
  <c r="M85" i="24"/>
  <c r="M86" i="24"/>
  <c r="M30" i="24"/>
  <c r="M16" i="24"/>
  <c r="M28" i="24"/>
  <c r="M29" i="24"/>
  <c r="L37" i="24"/>
  <c r="L28" i="24"/>
  <c r="L26" i="24"/>
  <c r="L13" i="24"/>
  <c r="L14" i="24"/>
  <c r="L30" i="24"/>
  <c r="L27" i="24"/>
  <c r="L20" i="24"/>
  <c r="L29" i="24"/>
  <c r="L18" i="24"/>
  <c r="L38" i="24"/>
  <c r="L19" i="24"/>
  <c r="L16" i="24"/>
  <c r="L21" i="24"/>
  <c r="L15" i="24"/>
  <c r="L12" i="24"/>
  <c r="L17" i="24"/>
  <c r="L86" i="24"/>
  <c r="L85" i="24"/>
  <c r="K38" i="24"/>
  <c r="K16" i="24"/>
  <c r="K20" i="24"/>
  <c r="K85" i="24"/>
  <c r="K86" i="24"/>
  <c r="K12" i="24"/>
  <c r="K13" i="24"/>
  <c r="K17" i="24"/>
  <c r="K21" i="24"/>
  <c r="K29" i="24"/>
  <c r="K28" i="24"/>
  <c r="K30" i="24"/>
  <c r="K14" i="24"/>
  <c r="K18" i="24"/>
  <c r="K26" i="24"/>
  <c r="K37" i="24"/>
  <c r="K15" i="24"/>
  <c r="K19" i="24"/>
  <c r="K27" i="24"/>
  <c r="J28" i="24"/>
  <c r="J30" i="24"/>
  <c r="J17" i="24"/>
  <c r="J86" i="24"/>
  <c r="J133" i="24"/>
  <c r="J134" i="24"/>
  <c r="J85" i="24"/>
  <c r="J18" i="24"/>
  <c r="J29" i="24"/>
  <c r="J19" i="24"/>
  <c r="J26" i="24"/>
  <c r="J14" i="24"/>
  <c r="J37" i="24"/>
  <c r="J12" i="24"/>
  <c r="J27" i="24"/>
  <c r="J20" i="24"/>
  <c r="J15" i="24"/>
  <c r="J38" i="24"/>
  <c r="J13" i="24"/>
  <c r="J16" i="24"/>
  <c r="J21" i="24"/>
  <c r="I37" i="24"/>
  <c r="I15" i="24"/>
  <c r="I19" i="24"/>
  <c r="I85" i="24"/>
  <c r="I134" i="24"/>
  <c r="I133" i="24"/>
  <c r="I86" i="24"/>
  <c r="I13" i="24"/>
  <c r="I28" i="24"/>
  <c r="I16" i="24"/>
  <c r="I29" i="24"/>
  <c r="I20" i="24"/>
  <c r="I30" i="24"/>
  <c r="I17" i="24"/>
  <c r="I21" i="24"/>
  <c r="I26" i="24"/>
  <c r="I12" i="24"/>
  <c r="I38" i="24"/>
  <c r="I14" i="24"/>
  <c r="I18" i="24"/>
  <c r="I27" i="24"/>
  <c r="H38" i="24"/>
  <c r="H86" i="24"/>
  <c r="H133" i="24"/>
  <c r="H134" i="24"/>
  <c r="H85" i="24"/>
  <c r="H28" i="24"/>
  <c r="H18" i="24"/>
  <c r="H27" i="24"/>
  <c r="H14" i="24"/>
  <c r="H15" i="24"/>
  <c r="H26" i="24"/>
  <c r="H29" i="24"/>
  <c r="H19" i="24"/>
  <c r="H16" i="24"/>
  <c r="H20" i="24"/>
  <c r="H13" i="24"/>
  <c r="H30" i="24"/>
  <c r="H37" i="24"/>
  <c r="H12" i="24"/>
  <c r="H17" i="24"/>
  <c r="H21" i="24"/>
  <c r="G38" i="24"/>
  <c r="G28" i="24"/>
  <c r="G16" i="24"/>
  <c r="G27" i="24"/>
  <c r="G13" i="24"/>
  <c r="G17" i="24"/>
  <c r="G21" i="24"/>
  <c r="G12" i="24"/>
  <c r="G86" i="24"/>
  <c r="G133" i="24"/>
  <c r="G85" i="24"/>
  <c r="G134" i="24"/>
  <c r="G30" i="24"/>
  <c r="G14" i="24"/>
  <c r="G18" i="24"/>
  <c r="G29" i="24"/>
  <c r="G20" i="24"/>
  <c r="G37" i="24"/>
  <c r="G15" i="24"/>
  <c r="G19" i="24"/>
  <c r="G26" i="24"/>
  <c r="F15" i="24"/>
  <c r="F38" i="24"/>
  <c r="F12" i="24"/>
  <c r="F16" i="24"/>
  <c r="F21" i="24"/>
  <c r="F28" i="24"/>
  <c r="F18" i="24"/>
  <c r="F13" i="24"/>
  <c r="F17" i="24"/>
  <c r="F86" i="24"/>
  <c r="F133" i="24"/>
  <c r="F85" i="24"/>
  <c r="F134" i="24"/>
  <c r="F30" i="24"/>
  <c r="F14" i="24"/>
  <c r="F26" i="24"/>
  <c r="F29" i="24"/>
  <c r="F37" i="24"/>
  <c r="F19" i="24"/>
  <c r="F27" i="24"/>
  <c r="F20" i="24"/>
  <c r="V222" i="91"/>
  <c r="H324" i="26"/>
  <c r="H156" i="26"/>
  <c r="H126" i="26"/>
  <c r="H155" i="26"/>
  <c r="H158" i="26"/>
  <c r="H323" i="26"/>
  <c r="H157" i="26"/>
  <c r="H123" i="26"/>
  <c r="H456" i="26"/>
  <c r="H450" i="26"/>
  <c r="H421" i="26"/>
  <c r="H417" i="26"/>
  <c r="H413" i="26"/>
  <c r="H409" i="26"/>
  <c r="F424" i="26"/>
  <c r="H520" i="26"/>
  <c r="G520" i="26"/>
  <c r="H516" i="26"/>
  <c r="G516" i="26"/>
  <c r="H512" i="26"/>
  <c r="G512" i="26"/>
  <c r="H508" i="26"/>
  <c r="G508" i="26"/>
  <c r="F523" i="26"/>
  <c r="H154" i="26"/>
  <c r="G451" i="26"/>
  <c r="H451" i="26"/>
  <c r="H444" i="26"/>
  <c r="G420" i="26"/>
  <c r="H420" i="26"/>
  <c r="H418" i="26"/>
  <c r="H411" i="26"/>
  <c r="G521" i="26"/>
  <c r="H521" i="26"/>
  <c r="H514" i="26"/>
  <c r="G514" i="26"/>
  <c r="H389" i="26"/>
  <c r="H385" i="26"/>
  <c r="H381" i="26"/>
  <c r="G377" i="26"/>
  <c r="H377" i="26"/>
  <c r="H488" i="26"/>
  <c r="H484" i="26"/>
  <c r="H480" i="26"/>
  <c r="H476" i="26"/>
  <c r="H151" i="26"/>
  <c r="H153" i="26"/>
  <c r="H416" i="26"/>
  <c r="G414" i="26"/>
  <c r="H414" i="26"/>
  <c r="G519" i="26"/>
  <c r="H519" i="26"/>
  <c r="G517" i="26"/>
  <c r="H517" i="26"/>
  <c r="H510" i="26"/>
  <c r="G510" i="26"/>
  <c r="G390" i="26"/>
  <c r="H390" i="26"/>
  <c r="H386" i="26"/>
  <c r="G382" i="26"/>
  <c r="H382" i="26"/>
  <c r="H378" i="26"/>
  <c r="E391" i="26"/>
  <c r="H489" i="26"/>
  <c r="H485" i="26"/>
  <c r="G485" i="26"/>
  <c r="H481" i="26"/>
  <c r="H477" i="26"/>
  <c r="G477" i="26"/>
  <c r="H410" i="26"/>
  <c r="E424" i="26"/>
  <c r="G513" i="26"/>
  <c r="H513" i="26"/>
  <c r="H387" i="26"/>
  <c r="H224" i="26"/>
  <c r="H152" i="26"/>
  <c r="H125" i="26"/>
  <c r="H423" i="26"/>
  <c r="H419" i="26"/>
  <c r="H412" i="26"/>
  <c r="G515" i="26"/>
  <c r="H515" i="26"/>
  <c r="H159" i="26"/>
  <c r="H225" i="26"/>
  <c r="H124" i="26"/>
  <c r="G422" i="26"/>
  <c r="H422" i="26"/>
  <c r="H415" i="26"/>
  <c r="H522" i="26"/>
  <c r="G522" i="26"/>
  <c r="H383" i="26"/>
  <c r="G482" i="26"/>
  <c r="H482" i="26"/>
  <c r="H518" i="26"/>
  <c r="G518" i="26"/>
  <c r="G511" i="26"/>
  <c r="H511" i="26"/>
  <c r="H380" i="26"/>
  <c r="H487" i="26"/>
  <c r="H479" i="26"/>
  <c r="H475" i="26"/>
  <c r="F490" i="26"/>
  <c r="G509" i="26"/>
  <c r="H509" i="26"/>
  <c r="H388" i="26"/>
  <c r="H379" i="26"/>
  <c r="H486" i="26"/>
  <c r="H478" i="26"/>
  <c r="E523" i="26"/>
  <c r="H384" i="26"/>
  <c r="H376" i="26"/>
  <c r="F391" i="26"/>
  <c r="G380" i="26"/>
  <c r="H483" i="26"/>
  <c r="E490" i="26"/>
  <c r="H445" i="26"/>
  <c r="G455" i="26"/>
  <c r="H455" i="26"/>
  <c r="G552" i="26"/>
  <c r="H552" i="26"/>
  <c r="H548" i="26"/>
  <c r="H543" i="26"/>
  <c r="H442" i="26"/>
  <c r="F457" i="26"/>
  <c r="H453" i="26"/>
  <c r="G453" i="26"/>
  <c r="H448" i="26"/>
  <c r="G448" i="26"/>
  <c r="H449" i="26"/>
  <c r="H452" i="26"/>
  <c r="G452" i="26"/>
  <c r="H553" i="26"/>
  <c r="G553" i="26"/>
  <c r="H550" i="26"/>
  <c r="H544" i="26"/>
  <c r="H542" i="26"/>
  <c r="G542" i="26"/>
  <c r="E457" i="26"/>
  <c r="G447" i="26"/>
  <c r="H447" i="26"/>
  <c r="G554" i="26"/>
  <c r="H554" i="26"/>
  <c r="G551" i="26"/>
  <c r="H551" i="26"/>
  <c r="G546" i="26"/>
  <c r="H546" i="26"/>
  <c r="E556" i="26"/>
  <c r="H454" i="26"/>
  <c r="G454" i="26"/>
  <c r="H446" i="26"/>
  <c r="H443" i="26"/>
  <c r="H547" i="26"/>
  <c r="G541" i="26"/>
  <c r="H541" i="26"/>
  <c r="F556" i="26"/>
  <c r="H545" i="26"/>
  <c r="G545" i="26"/>
  <c r="G582" i="26"/>
  <c r="H582" i="26"/>
  <c r="G555" i="26"/>
  <c r="H555" i="26"/>
  <c r="G549" i="26"/>
  <c r="H549" i="26"/>
  <c r="G583" i="26"/>
  <c r="H583" i="26"/>
  <c r="G579" i="26"/>
  <c r="H579" i="26"/>
  <c r="G587" i="26"/>
  <c r="H587" i="26"/>
  <c r="H584" i="26"/>
  <c r="H576" i="26"/>
  <c r="G578" i="26"/>
  <c r="H578" i="26"/>
  <c r="G586" i="26"/>
  <c r="H586" i="26"/>
  <c r="H581" i="26"/>
  <c r="E589" i="26"/>
  <c r="H574" i="26"/>
  <c r="F589" i="26"/>
  <c r="H577" i="26"/>
  <c r="G577" i="26"/>
  <c r="G588" i="26"/>
  <c r="H588" i="26"/>
  <c r="G613" i="26"/>
  <c r="H613" i="26"/>
  <c r="H609" i="26"/>
  <c r="G575" i="26"/>
  <c r="H575" i="26"/>
  <c r="H621" i="26"/>
  <c r="G614" i="26"/>
  <c r="H614" i="26"/>
  <c r="H610" i="26"/>
  <c r="G607" i="26"/>
  <c r="H607" i="26"/>
  <c r="F622" i="26"/>
  <c r="E622" i="26"/>
  <c r="G619" i="26"/>
  <c r="H619" i="26"/>
  <c r="G611" i="26"/>
  <c r="H611" i="26"/>
  <c r="G618" i="26"/>
  <c r="H618" i="26"/>
  <c r="G615" i="26"/>
  <c r="H615" i="26"/>
  <c r="G580" i="26"/>
  <c r="H580" i="26"/>
  <c r="H585" i="26"/>
  <c r="G585" i="26"/>
  <c r="G620" i="26"/>
  <c r="H620" i="26"/>
  <c r="G617" i="26"/>
  <c r="H617" i="26"/>
  <c r="G616" i="26"/>
  <c r="H616" i="26"/>
  <c r="G612" i="26"/>
  <c r="H612" i="26"/>
  <c r="G608" i="26"/>
  <c r="H608" i="26"/>
  <c r="H653" i="26"/>
  <c r="G644" i="26"/>
  <c r="H644" i="26"/>
  <c r="G649" i="26"/>
  <c r="H649" i="26"/>
  <c r="G645" i="26"/>
  <c r="H645" i="26"/>
  <c r="G652" i="26"/>
  <c r="H652" i="26"/>
  <c r="H650" i="26"/>
  <c r="H646" i="26"/>
  <c r="G641" i="26"/>
  <c r="H641" i="26"/>
  <c r="H647" i="26"/>
  <c r="E655" i="26"/>
  <c r="H643" i="26"/>
  <c r="G643" i="26"/>
  <c r="H651" i="26"/>
  <c r="H654" i="26"/>
  <c r="G654" i="26"/>
  <c r="H642" i="26"/>
  <c r="G642" i="26"/>
  <c r="H648" i="26"/>
  <c r="H640" i="26"/>
  <c r="G640" i="26"/>
  <c r="F655" i="26"/>
  <c r="G653" i="26"/>
  <c r="H676" i="26"/>
  <c r="H674" i="26"/>
  <c r="H685" i="26"/>
  <c r="G675" i="26"/>
  <c r="H675" i="26"/>
  <c r="H677" i="26"/>
  <c r="G718" i="26"/>
  <c r="H718" i="26"/>
  <c r="H714" i="26"/>
  <c r="G710" i="26"/>
  <c r="H710" i="26"/>
  <c r="H707" i="26"/>
  <c r="G713" i="26"/>
  <c r="H713" i="26"/>
  <c r="H682" i="26"/>
  <c r="G680" i="26"/>
  <c r="H680" i="26"/>
  <c r="H686" i="26"/>
  <c r="G684" i="26"/>
  <c r="H684" i="26"/>
  <c r="E688" i="26"/>
  <c r="H719" i="26"/>
  <c r="G719" i="26"/>
  <c r="H711" i="26"/>
  <c r="H681" i="26"/>
  <c r="H679" i="26"/>
  <c r="H683" i="26"/>
  <c r="H673" i="26"/>
  <c r="F688" i="26"/>
  <c r="H688" i="26"/>
  <c r="H720" i="26"/>
  <c r="H712" i="26"/>
  <c r="H708" i="26"/>
  <c r="H678" i="26"/>
  <c r="H687" i="26"/>
  <c r="H717" i="26"/>
  <c r="G709" i="26"/>
  <c r="H709" i="26"/>
  <c r="G750" i="26"/>
  <c r="H750" i="26"/>
  <c r="G742" i="26"/>
  <c r="H742" i="26"/>
  <c r="E754" i="26"/>
  <c r="H716" i="26"/>
  <c r="G716" i="26"/>
  <c r="H751" i="26"/>
  <c r="G751" i="26"/>
  <c r="H747" i="26"/>
  <c r="G747" i="26"/>
  <c r="H743" i="26"/>
  <c r="G743" i="26"/>
  <c r="H739" i="26"/>
  <c r="G739" i="26"/>
  <c r="F754" i="26"/>
  <c r="G748" i="26"/>
  <c r="H748" i="26"/>
  <c r="G744" i="26"/>
  <c r="H744" i="26"/>
  <c r="E721" i="26"/>
  <c r="H715" i="26"/>
  <c r="G752" i="26"/>
  <c r="H752" i="26"/>
  <c r="G740" i="26"/>
  <c r="H740" i="26"/>
  <c r="H706" i="26"/>
  <c r="F721" i="26"/>
  <c r="G720" i="26"/>
  <c r="G753" i="26"/>
  <c r="H753" i="26"/>
  <c r="G749" i="26"/>
  <c r="H749" i="26"/>
  <c r="G745" i="26"/>
  <c r="H745" i="26"/>
  <c r="G741" i="26"/>
  <c r="H741" i="26"/>
  <c r="G746" i="26"/>
  <c r="H746" i="26"/>
  <c r="H779" i="26"/>
  <c r="H777" i="26"/>
  <c r="H784" i="26"/>
  <c r="H781" i="26"/>
  <c r="H780" i="26"/>
  <c r="H818" i="26"/>
  <c r="H814" i="26"/>
  <c r="H806" i="26"/>
  <c r="H778" i="26"/>
  <c r="H782" i="26"/>
  <c r="H772" i="26"/>
  <c r="F787" i="26"/>
  <c r="H773" i="26"/>
  <c r="H774" i="26"/>
  <c r="H819" i="26"/>
  <c r="H815" i="26"/>
  <c r="H811" i="26"/>
  <c r="H807" i="26"/>
  <c r="E820" i="26"/>
  <c r="H816" i="26"/>
  <c r="H808" i="26"/>
  <c r="H805" i="26"/>
  <c r="F820" i="26"/>
  <c r="G818" i="26"/>
  <c r="H775" i="26"/>
  <c r="H776" i="26"/>
  <c r="G776" i="26"/>
  <c r="H785" i="26"/>
  <c r="H812" i="26"/>
  <c r="G812" i="26"/>
  <c r="H783" i="26"/>
  <c r="E787" i="26"/>
  <c r="H786" i="26"/>
  <c r="H817" i="26"/>
  <c r="G813" i="26"/>
  <c r="H813" i="26"/>
  <c r="H809" i="26"/>
  <c r="G810" i="26"/>
  <c r="H810" i="26"/>
  <c r="G844" i="26"/>
  <c r="H844" i="26"/>
  <c r="H845" i="26"/>
  <c r="E853" i="26"/>
  <c r="H846" i="26"/>
  <c r="H838" i="26"/>
  <c r="F853" i="26"/>
  <c r="G847" i="26"/>
  <c r="H847" i="26"/>
  <c r="G848" i="26"/>
  <c r="H848" i="26"/>
  <c r="G840" i="26"/>
  <c r="H840" i="26"/>
  <c r="G842" i="26"/>
  <c r="H842" i="26"/>
  <c r="G851" i="26"/>
  <c r="H851" i="26"/>
  <c r="G843" i="26"/>
  <c r="H843" i="26"/>
  <c r="G839" i="26"/>
  <c r="H839" i="26"/>
  <c r="H850" i="26"/>
  <c r="G850" i="26"/>
  <c r="H852" i="26"/>
  <c r="G852" i="26"/>
  <c r="H841" i="26"/>
  <c r="G841" i="26"/>
  <c r="H849" i="26"/>
  <c r="G849" i="26"/>
  <c r="A131" i="91"/>
  <c r="F1768" i="91"/>
  <c r="F1764" i="91"/>
  <c r="F1439" i="91"/>
  <c r="F1435" i="91"/>
  <c r="F1319" i="91"/>
  <c r="F1315" i="91"/>
  <c r="F1194" i="91"/>
  <c r="F1190" i="91"/>
  <c r="F1070" i="91"/>
  <c r="F1066" i="91"/>
  <c r="F946" i="91"/>
  <c r="F942" i="91"/>
  <c r="F820" i="91"/>
  <c r="F816" i="91"/>
  <c r="F696" i="91"/>
  <c r="F692" i="91"/>
  <c r="F572" i="91"/>
  <c r="F568" i="91"/>
  <c r="F447" i="91"/>
  <c r="F443" i="91"/>
  <c r="F292" i="91"/>
  <c r="F288" i="91"/>
  <c r="G258" i="91"/>
  <c r="A135" i="91"/>
  <c r="F1710" i="91"/>
  <c r="F1706" i="91"/>
  <c r="F1501" i="91"/>
  <c r="F1497" i="91"/>
  <c r="F1379" i="91"/>
  <c r="F1375" i="91"/>
  <c r="F1256" i="91"/>
  <c r="F1252" i="91"/>
  <c r="F1132" i="91"/>
  <c r="F1128" i="91"/>
  <c r="F1008" i="91"/>
  <c r="F1004" i="91"/>
  <c r="F884" i="91"/>
  <c r="F880" i="91"/>
  <c r="F758" i="91"/>
  <c r="F754" i="91"/>
  <c r="F634" i="91"/>
  <c r="F630" i="91"/>
  <c r="F509" i="91"/>
  <c r="F505" i="91"/>
  <c r="AF21" i="91"/>
  <c r="AF23" i="91"/>
  <c r="AF26" i="91"/>
  <c r="K22" i="91"/>
  <c r="K24" i="91"/>
  <c r="AF24" i="91"/>
  <c r="G223" i="91"/>
  <c r="G254" i="91"/>
  <c r="K27" i="91"/>
  <c r="S101" i="97"/>
  <c r="AF27" i="91"/>
  <c r="C39" i="19"/>
  <c r="F253" i="91"/>
  <c r="N128" i="91"/>
  <c r="P128" i="91"/>
  <c r="E13" i="63"/>
  <c r="U128" i="91"/>
  <c r="O156" i="91"/>
  <c r="K28" i="91"/>
  <c r="S26" i="91"/>
  <c r="U100" i="97"/>
  <c r="L186" i="33"/>
  <c r="J186" i="33"/>
  <c r="K186" i="33"/>
  <c r="I186" i="33"/>
  <c r="N186" i="33"/>
  <c r="G186" i="33"/>
  <c r="O186" i="33"/>
  <c r="H186" i="33"/>
  <c r="D20" i="91"/>
  <c r="D21" i="91"/>
  <c r="E48" i="72"/>
  <c r="E48" i="63"/>
  <c r="S130" i="91"/>
  <c r="E15" i="63"/>
  <c r="E14" i="72"/>
  <c r="D12" i="41"/>
  <c r="D62" i="41"/>
  <c r="D112" i="41"/>
  <c r="D162" i="41"/>
  <c r="L56" i="91"/>
  <c r="E52" i="72"/>
  <c r="E52" i="63"/>
  <c r="S134" i="91"/>
  <c r="E19" i="63"/>
  <c r="E18" i="72"/>
  <c r="D16" i="41"/>
  <c r="D66" i="41"/>
  <c r="D116" i="41"/>
  <c r="D166" i="41"/>
  <c r="L60" i="91"/>
  <c r="E55" i="63"/>
  <c r="E55" i="72"/>
  <c r="S137" i="91"/>
  <c r="E22" i="63"/>
  <c r="E21" i="72"/>
  <c r="D69" i="41"/>
  <c r="D119" i="41"/>
  <c r="D19" i="41"/>
  <c r="D169" i="41"/>
  <c r="L63" i="91"/>
  <c r="E53" i="72"/>
  <c r="E53" i="63"/>
  <c r="S135" i="91"/>
  <c r="E20" i="63"/>
  <c r="E19" i="72"/>
  <c r="D17" i="41"/>
  <c r="D67" i="41"/>
  <c r="D117" i="41"/>
  <c r="D167" i="41"/>
  <c r="L61" i="91"/>
  <c r="E51" i="63"/>
  <c r="E51" i="72"/>
  <c r="S133" i="91"/>
  <c r="E18" i="63"/>
  <c r="E17" i="72"/>
  <c r="D15" i="41"/>
  <c r="D65" i="41"/>
  <c r="D115" i="41"/>
  <c r="D165" i="41"/>
  <c r="L59" i="91"/>
  <c r="E49" i="72"/>
  <c r="E49" i="63"/>
  <c r="S131" i="91"/>
  <c r="E16" i="63"/>
  <c r="E15" i="72"/>
  <c r="D13" i="41"/>
  <c r="D113" i="41"/>
  <c r="D63" i="41"/>
  <c r="D163" i="41"/>
  <c r="L57" i="91"/>
  <c r="E47" i="63"/>
  <c r="E47" i="72"/>
  <c r="S129" i="91"/>
  <c r="E14" i="63"/>
  <c r="E13" i="72"/>
  <c r="D61" i="41"/>
  <c r="D111" i="41"/>
  <c r="D11" i="41"/>
  <c r="D161" i="41"/>
  <c r="L55" i="91"/>
  <c r="AF9" i="32"/>
  <c r="AG9" i="32"/>
  <c r="AH9" i="32"/>
  <c r="AK9" i="32"/>
  <c r="AJ9" i="32"/>
  <c r="AL8" i="31"/>
  <c r="AK8" i="31"/>
  <c r="AN8" i="31"/>
  <c r="AN6" i="31"/>
  <c r="AK3" i="31"/>
  <c r="AK4" i="31"/>
  <c r="AL7" i="31"/>
  <c r="D63" i="80"/>
  <c r="E54" i="72"/>
  <c r="E54" i="63"/>
  <c r="S136" i="91"/>
  <c r="E21" i="63"/>
  <c r="E20" i="72"/>
  <c r="D18" i="41"/>
  <c r="D68" i="41"/>
  <c r="D118" i="41"/>
  <c r="D168" i="41"/>
  <c r="L62" i="91"/>
  <c r="E160" i="26"/>
  <c r="F160" i="26"/>
  <c r="G158" i="26"/>
  <c r="G145" i="26"/>
  <c r="H145" i="26"/>
  <c r="H146" i="26"/>
  <c r="G146" i="26"/>
  <c r="G147" i="26"/>
  <c r="H147" i="26"/>
  <c r="G148" i="26"/>
  <c r="H148" i="26"/>
  <c r="G149" i="26"/>
  <c r="H149" i="26"/>
  <c r="H150" i="26"/>
  <c r="G150" i="26"/>
  <c r="E292" i="26"/>
  <c r="F292" i="26"/>
  <c r="G277" i="26"/>
  <c r="H277" i="26"/>
  <c r="H278" i="26"/>
  <c r="G278" i="26"/>
  <c r="G279" i="26"/>
  <c r="H279" i="26"/>
  <c r="H280" i="26"/>
  <c r="G280" i="26"/>
  <c r="G281" i="26"/>
  <c r="H281" i="26"/>
  <c r="H282" i="26"/>
  <c r="G282" i="26"/>
  <c r="G283" i="26"/>
  <c r="H283" i="26"/>
  <c r="H284" i="26"/>
  <c r="G284" i="26"/>
  <c r="G285" i="26"/>
  <c r="H285" i="26"/>
  <c r="H286" i="26"/>
  <c r="G286" i="26"/>
  <c r="G287" i="26"/>
  <c r="H287" i="26"/>
  <c r="H288" i="26"/>
  <c r="G288" i="26"/>
  <c r="G289" i="26"/>
  <c r="H289" i="26"/>
  <c r="H290" i="26"/>
  <c r="G290" i="26"/>
  <c r="G291" i="26"/>
  <c r="H291" i="26"/>
  <c r="E127" i="26"/>
  <c r="F127" i="26"/>
  <c r="G126" i="26"/>
  <c r="G112" i="26"/>
  <c r="H112" i="26"/>
  <c r="G113" i="26"/>
  <c r="H113" i="26"/>
  <c r="H114" i="26"/>
  <c r="G114" i="26"/>
  <c r="G115" i="26"/>
  <c r="H115" i="26"/>
  <c r="G116" i="26"/>
  <c r="H116" i="26"/>
  <c r="G117" i="26"/>
  <c r="H117" i="26"/>
  <c r="H118" i="26"/>
  <c r="G118" i="26"/>
  <c r="G119" i="26"/>
  <c r="H119" i="26"/>
  <c r="G120" i="26"/>
  <c r="H120" i="26"/>
  <c r="G121" i="26"/>
  <c r="H121" i="26"/>
  <c r="H122" i="26"/>
  <c r="G122" i="26"/>
  <c r="E259" i="26"/>
  <c r="F259" i="26"/>
  <c r="G245" i="26"/>
  <c r="H244" i="26"/>
  <c r="H245" i="26"/>
  <c r="G246" i="26"/>
  <c r="H246" i="26"/>
  <c r="H247" i="26"/>
  <c r="G247" i="26"/>
  <c r="G248" i="26"/>
  <c r="H248" i="26"/>
  <c r="G249" i="26"/>
  <c r="H249" i="26"/>
  <c r="G250" i="26"/>
  <c r="H250" i="26"/>
  <c r="H251" i="26"/>
  <c r="G251" i="26"/>
  <c r="G252" i="26"/>
  <c r="H252" i="26"/>
  <c r="G253" i="26"/>
  <c r="H253" i="26"/>
  <c r="G254" i="26"/>
  <c r="H254" i="26"/>
  <c r="H255" i="26"/>
  <c r="G255" i="26"/>
  <c r="G256" i="26"/>
  <c r="H256" i="26"/>
  <c r="G257" i="26"/>
  <c r="H257" i="26"/>
  <c r="G258" i="26"/>
  <c r="H258" i="26"/>
  <c r="E94" i="26"/>
  <c r="F94" i="26"/>
  <c r="G79" i="26"/>
  <c r="H79" i="26"/>
  <c r="G80" i="26"/>
  <c r="H80" i="26"/>
  <c r="H81" i="26"/>
  <c r="G81" i="26"/>
  <c r="H82" i="26"/>
  <c r="G82" i="26"/>
  <c r="G83" i="26"/>
  <c r="H83" i="26"/>
  <c r="G84" i="26"/>
  <c r="H84" i="26"/>
  <c r="H85" i="26"/>
  <c r="G85" i="26"/>
  <c r="H86" i="26"/>
  <c r="G86" i="26"/>
  <c r="G87" i="26"/>
  <c r="H87" i="26"/>
  <c r="G88" i="26"/>
  <c r="H88" i="26"/>
  <c r="H89" i="26"/>
  <c r="G89" i="26"/>
  <c r="H90" i="26"/>
  <c r="G90" i="26"/>
  <c r="G91" i="26"/>
  <c r="H91" i="26"/>
  <c r="G92" i="26"/>
  <c r="H92" i="26"/>
  <c r="H93" i="26"/>
  <c r="G93" i="26"/>
  <c r="E226" i="26"/>
  <c r="F226" i="26"/>
  <c r="G211" i="26"/>
  <c r="H211" i="26"/>
  <c r="H212" i="26"/>
  <c r="H213" i="26"/>
  <c r="H214" i="26"/>
  <c r="G215" i="26"/>
  <c r="H215" i="26"/>
  <c r="H216" i="26"/>
  <c r="H217" i="26"/>
  <c r="H218" i="26"/>
  <c r="G219" i="26"/>
  <c r="H219" i="26"/>
  <c r="H220" i="26"/>
  <c r="H221" i="26"/>
  <c r="H222" i="26"/>
  <c r="G223" i="26"/>
  <c r="H223" i="26"/>
  <c r="E358" i="26"/>
  <c r="F358" i="26"/>
  <c r="G343" i="26"/>
  <c r="H343" i="26"/>
  <c r="H344" i="26"/>
  <c r="G345" i="26"/>
  <c r="H345" i="26"/>
  <c r="G346" i="26"/>
  <c r="H346" i="26"/>
  <c r="H347" i="26"/>
  <c r="G347" i="26"/>
  <c r="G348" i="26"/>
  <c r="H348" i="26"/>
  <c r="G349" i="26"/>
  <c r="H349" i="26"/>
  <c r="G350" i="26"/>
  <c r="H350" i="26"/>
  <c r="H351" i="26"/>
  <c r="G351" i="26"/>
  <c r="G352" i="26"/>
  <c r="H352" i="26"/>
  <c r="G353" i="26"/>
  <c r="H353" i="26"/>
  <c r="G354" i="26"/>
  <c r="H354" i="26"/>
  <c r="H355" i="26"/>
  <c r="G355" i="26"/>
  <c r="G356" i="26"/>
  <c r="H356" i="26"/>
  <c r="G357" i="26"/>
  <c r="H357" i="26"/>
  <c r="E61" i="26"/>
  <c r="F61" i="26"/>
  <c r="G46" i="26"/>
  <c r="H46" i="26"/>
  <c r="G47" i="26"/>
  <c r="H47" i="26"/>
  <c r="G48" i="26"/>
  <c r="H48" i="26"/>
  <c r="H49" i="26"/>
  <c r="G49" i="26"/>
  <c r="G50" i="26"/>
  <c r="H50" i="26"/>
  <c r="G51" i="26"/>
  <c r="H51" i="26"/>
  <c r="G52" i="26"/>
  <c r="H52" i="26"/>
  <c r="H53" i="26"/>
  <c r="G53" i="26"/>
  <c r="G54" i="26"/>
  <c r="H54" i="26"/>
  <c r="G55" i="26"/>
  <c r="H55" i="26"/>
  <c r="G56" i="26"/>
  <c r="H56" i="26"/>
  <c r="H57" i="26"/>
  <c r="G57" i="26"/>
  <c r="G58" i="26"/>
  <c r="H58" i="26"/>
  <c r="G59" i="26"/>
  <c r="H59" i="26"/>
  <c r="G60" i="26"/>
  <c r="H60" i="26"/>
  <c r="E193" i="26"/>
  <c r="F193" i="26"/>
  <c r="G178" i="26"/>
  <c r="H178" i="26"/>
  <c r="H179" i="26"/>
  <c r="G180" i="26"/>
  <c r="H180" i="26"/>
  <c r="H181" i="26"/>
  <c r="G181" i="26"/>
  <c r="H182" i="26"/>
  <c r="G182" i="26"/>
  <c r="G183" i="26"/>
  <c r="H183" i="26"/>
  <c r="G184" i="26"/>
  <c r="H184" i="26"/>
  <c r="H185" i="26"/>
  <c r="G185" i="26"/>
  <c r="H186" i="26"/>
  <c r="G186" i="26"/>
  <c r="G187" i="26"/>
  <c r="H187" i="26"/>
  <c r="G188" i="26"/>
  <c r="H188" i="26"/>
  <c r="H189" i="26"/>
  <c r="G189" i="26"/>
  <c r="H190" i="26"/>
  <c r="G190" i="26"/>
  <c r="G191" i="26"/>
  <c r="H191" i="26"/>
  <c r="G192" i="26"/>
  <c r="H192" i="26"/>
  <c r="E325" i="26"/>
  <c r="F325" i="26"/>
  <c r="G310" i="26"/>
  <c r="H310" i="26"/>
  <c r="G311" i="26"/>
  <c r="H311" i="26"/>
  <c r="G312" i="26"/>
  <c r="H312" i="26"/>
  <c r="G313" i="26"/>
  <c r="H313" i="26"/>
  <c r="G314" i="26"/>
  <c r="H314" i="26"/>
  <c r="G315" i="26"/>
  <c r="H315" i="26"/>
  <c r="G316" i="26"/>
  <c r="H316" i="26"/>
  <c r="G317" i="26"/>
  <c r="H317" i="26"/>
  <c r="G318" i="26"/>
  <c r="H318" i="26"/>
  <c r="G319" i="26"/>
  <c r="H319" i="26"/>
  <c r="G320" i="26"/>
  <c r="H320" i="26"/>
  <c r="G321" i="26"/>
  <c r="H321" i="26"/>
  <c r="G322" i="26"/>
  <c r="H322" i="26"/>
  <c r="F22" i="24"/>
  <c r="F24" i="24"/>
  <c r="A13" i="24"/>
  <c r="A14" i="24"/>
  <c r="A15" i="24"/>
  <c r="A16" i="24"/>
  <c r="A17" i="24"/>
  <c r="A18" i="24"/>
  <c r="A19" i="24"/>
  <c r="A20" i="24"/>
  <c r="A21" i="24"/>
  <c r="F31" i="24"/>
  <c r="A26" i="24"/>
  <c r="A27" i="24"/>
  <c r="A28" i="24"/>
  <c r="A29" i="24"/>
  <c r="A30" i="24"/>
  <c r="G22" i="24"/>
  <c r="G24" i="24"/>
  <c r="G31" i="24"/>
  <c r="G35" i="24"/>
  <c r="H22" i="24"/>
  <c r="H24" i="24"/>
  <c r="H31" i="24"/>
  <c r="H35" i="24"/>
  <c r="I22" i="24"/>
  <c r="I24" i="24"/>
  <c r="I31" i="24"/>
  <c r="I35" i="24"/>
  <c r="J22" i="24"/>
  <c r="J24" i="24"/>
  <c r="J31" i="24"/>
  <c r="J35" i="24"/>
  <c r="K22" i="24"/>
  <c r="K24" i="24"/>
  <c r="K31" i="24"/>
  <c r="K35" i="24"/>
  <c r="L22" i="24"/>
  <c r="L24" i="24"/>
  <c r="L31" i="24"/>
  <c r="L35" i="24"/>
  <c r="M22" i="24"/>
  <c r="M24" i="24"/>
  <c r="M31" i="24"/>
  <c r="M35" i="24"/>
  <c r="N22" i="24"/>
  <c r="N24" i="24"/>
  <c r="N31" i="24"/>
  <c r="N35" i="24"/>
  <c r="O22" i="24"/>
  <c r="O24" i="24"/>
  <c r="O31" i="24"/>
  <c r="O35" i="24"/>
  <c r="F16" i="19"/>
  <c r="F20" i="19"/>
  <c r="F13" i="19"/>
  <c r="F17" i="19"/>
  <c r="F21" i="19"/>
  <c r="F12" i="19"/>
  <c r="F14" i="19"/>
  <c r="F18" i="19"/>
  <c r="F15" i="19"/>
  <c r="F19" i="19"/>
  <c r="E56" i="63"/>
  <c r="E56" i="72"/>
  <c r="S138" i="91"/>
  <c r="E22" i="72"/>
  <c r="D20" i="41"/>
  <c r="D70" i="41"/>
  <c r="D120" i="41"/>
  <c r="D170" i="41"/>
  <c r="L64" i="91"/>
  <c r="E50" i="72"/>
  <c r="E50" i="63"/>
  <c r="S132" i="91"/>
  <c r="E17" i="63"/>
  <c r="E16" i="72"/>
  <c r="D14" i="41"/>
  <c r="D64" i="41"/>
  <c r="D114" i="41"/>
  <c r="D164" i="41"/>
  <c r="L58" i="91"/>
  <c r="O20" i="91"/>
  <c r="S20" i="91"/>
  <c r="F369" i="91"/>
  <c r="F1841" i="91"/>
  <c r="F183" i="91"/>
  <c r="F245" i="91"/>
  <c r="F276" i="91"/>
  <c r="F493" i="91"/>
  <c r="F555" i="91"/>
  <c r="F618" i="91"/>
  <c r="F680" i="91"/>
  <c r="F742" i="91"/>
  <c r="F804" i="91"/>
  <c r="F868" i="91"/>
  <c r="F930" i="91"/>
  <c r="F992" i="91"/>
  <c r="F1054" i="91"/>
  <c r="F1116" i="91"/>
  <c r="F1178" i="91"/>
  <c r="F1240" i="91"/>
  <c r="F1302" i="91"/>
  <c r="F1364" i="91"/>
  <c r="F1424" i="91"/>
  <c r="F1484" i="91"/>
  <c r="F1546" i="91"/>
  <c r="F1696" i="91"/>
  <c r="F1754" i="91"/>
  <c r="F1812" i="91"/>
  <c r="A150" i="91"/>
  <c r="F1638" i="91"/>
  <c r="F338" i="91"/>
  <c r="F400" i="91"/>
  <c r="F1609" i="91"/>
  <c r="F1667" i="91"/>
  <c r="F1581" i="91"/>
  <c r="F213" i="91"/>
  <c r="F307" i="91"/>
  <c r="F462" i="91"/>
  <c r="F524" i="91"/>
  <c r="F587" i="91"/>
  <c r="F649" i="91"/>
  <c r="F711" i="91"/>
  <c r="F773" i="91"/>
  <c r="F835" i="91"/>
  <c r="F899" i="91"/>
  <c r="F961" i="91"/>
  <c r="F1023" i="91"/>
  <c r="F1085" i="91"/>
  <c r="F1147" i="91"/>
  <c r="F1209" i="91"/>
  <c r="F1271" i="91"/>
  <c r="F1334" i="91"/>
  <c r="F1394" i="91"/>
  <c r="F1454" i="91"/>
  <c r="F1516" i="91"/>
  <c r="F1725" i="91"/>
  <c r="F1783" i="91"/>
  <c r="H150" i="91"/>
  <c r="F431" i="91"/>
  <c r="F179" i="91"/>
  <c r="F241" i="91"/>
  <c r="F272" i="91"/>
  <c r="F489" i="91"/>
  <c r="F551" i="91"/>
  <c r="F614" i="91"/>
  <c r="F676" i="91"/>
  <c r="F738" i="91"/>
  <c r="F800" i="91"/>
  <c r="F864" i="91"/>
  <c r="F926" i="91"/>
  <c r="F988" i="91"/>
  <c r="F1050" i="91"/>
  <c r="F1112" i="91"/>
  <c r="F1174" i="91"/>
  <c r="F1236" i="91"/>
  <c r="F1298" i="91"/>
  <c r="F1360" i="91"/>
  <c r="F1420" i="91"/>
  <c r="F1480" i="91"/>
  <c r="F1542" i="91"/>
  <c r="F1692" i="91"/>
  <c r="F1750" i="91"/>
  <c r="F1808" i="91"/>
  <c r="F1577" i="91"/>
  <c r="F1837" i="91"/>
  <c r="F334" i="91"/>
  <c r="F396" i="91"/>
  <c r="F1605" i="91"/>
  <c r="F1663" i="91"/>
  <c r="A146" i="91"/>
  <c r="F1634" i="91"/>
  <c r="F209" i="91"/>
  <c r="F303" i="91"/>
  <c r="F458" i="91"/>
  <c r="F520" i="91"/>
  <c r="F583" i="91"/>
  <c r="F645" i="91"/>
  <c r="F707" i="91"/>
  <c r="F769" i="91"/>
  <c r="F831" i="91"/>
  <c r="F895" i="91"/>
  <c r="F957" i="91"/>
  <c r="F1019" i="91"/>
  <c r="F1081" i="91"/>
  <c r="F1143" i="91"/>
  <c r="F1205" i="91"/>
  <c r="F1267" i="91"/>
  <c r="F1330" i="91"/>
  <c r="F1390" i="91"/>
  <c r="F1450" i="91"/>
  <c r="F1512" i="91"/>
  <c r="F1721" i="91"/>
  <c r="F1779" i="91"/>
  <c r="H146" i="91"/>
  <c r="F365" i="91"/>
  <c r="F427" i="91"/>
  <c r="F361" i="91"/>
  <c r="F175" i="91"/>
  <c r="F237" i="91"/>
  <c r="F268" i="91"/>
  <c r="F485" i="91"/>
  <c r="F547" i="91"/>
  <c r="F610" i="91"/>
  <c r="F672" i="91"/>
  <c r="F734" i="91"/>
  <c r="F796" i="91"/>
  <c r="F860" i="91"/>
  <c r="F922" i="91"/>
  <c r="F984" i="91"/>
  <c r="F1046" i="91"/>
  <c r="F1108" i="91"/>
  <c r="F1170" i="91"/>
  <c r="F1232" i="91"/>
  <c r="F1294" i="91"/>
  <c r="F1356" i="91"/>
  <c r="F1416" i="91"/>
  <c r="F1476" i="91"/>
  <c r="F1538" i="91"/>
  <c r="F1688" i="91"/>
  <c r="F1746" i="91"/>
  <c r="F1804" i="91"/>
  <c r="F1630" i="91"/>
  <c r="F330" i="91"/>
  <c r="F392" i="91"/>
  <c r="F1601" i="91"/>
  <c r="F1659" i="91"/>
  <c r="A142" i="91"/>
  <c r="F1833" i="91"/>
  <c r="F205" i="91"/>
  <c r="F299" i="91"/>
  <c r="F454" i="91"/>
  <c r="F516" i="91"/>
  <c r="F579" i="91"/>
  <c r="F641" i="91"/>
  <c r="F703" i="91"/>
  <c r="F765" i="91"/>
  <c r="F827" i="91"/>
  <c r="F891" i="91"/>
  <c r="F953" i="91"/>
  <c r="F1015" i="91"/>
  <c r="F1077" i="91"/>
  <c r="F1139" i="91"/>
  <c r="F1201" i="91"/>
  <c r="F1263" i="91"/>
  <c r="F1326" i="91"/>
  <c r="F1386" i="91"/>
  <c r="F1446" i="91"/>
  <c r="F1508" i="91"/>
  <c r="F1717" i="91"/>
  <c r="F1775" i="91"/>
  <c r="H142" i="91"/>
  <c r="F423" i="91"/>
  <c r="F1573" i="91"/>
  <c r="F8" i="31"/>
  <c r="V221" i="91"/>
  <c r="W222" i="91"/>
  <c r="X222" i="91"/>
  <c r="Y222" i="91"/>
  <c r="Z222" i="91"/>
  <c r="AA222" i="91"/>
  <c r="AB222" i="91"/>
  <c r="AC222" i="91"/>
  <c r="AD222" i="91"/>
  <c r="AE222" i="91"/>
  <c r="AF222" i="91"/>
  <c r="AG222" i="91"/>
  <c r="AH222" i="91"/>
  <c r="AI222" i="91"/>
  <c r="AJ222" i="91"/>
  <c r="AK222" i="91"/>
  <c r="AL222" i="91"/>
  <c r="AM222" i="91"/>
  <c r="AN222" i="91"/>
  <c r="AO222" i="91"/>
  <c r="AP222" i="91"/>
  <c r="AQ222" i="91"/>
  <c r="AR222" i="91"/>
  <c r="AS222" i="91"/>
  <c r="AT222" i="91"/>
  <c r="AU222" i="91"/>
  <c r="AV222" i="91"/>
  <c r="AW222" i="91"/>
  <c r="AX222" i="91"/>
  <c r="M128" i="91"/>
  <c r="N99" i="91"/>
  <c r="N156" i="91"/>
  <c r="I70" i="33"/>
  <c r="D88" i="80"/>
  <c r="D32" i="19"/>
  <c r="F33" i="20"/>
  <c r="G69" i="97"/>
  <c r="G241" i="97"/>
  <c r="D70" i="80"/>
  <c r="D14" i="19"/>
  <c r="F15" i="20"/>
  <c r="G51" i="97"/>
  <c r="G223" i="97"/>
  <c r="F160" i="96"/>
  <c r="N190" i="96"/>
  <c r="O190" i="96"/>
  <c r="F220" i="96"/>
  <c r="J190" i="96"/>
  <c r="K190" i="96"/>
  <c r="J160" i="96"/>
  <c r="K160" i="96"/>
  <c r="J220" i="96"/>
  <c r="K220" i="96"/>
  <c r="N220" i="96"/>
  <c r="O220" i="96"/>
  <c r="N160" i="96"/>
  <c r="O160" i="96"/>
  <c r="F190" i="96"/>
  <c r="N158" i="96"/>
  <c r="O158" i="96"/>
  <c r="F188" i="96"/>
  <c r="N218" i="96"/>
  <c r="O218" i="96"/>
  <c r="J158" i="96"/>
  <c r="K158" i="96"/>
  <c r="J218" i="96"/>
  <c r="K218" i="96"/>
  <c r="J188" i="96"/>
  <c r="K188" i="96"/>
  <c r="N188" i="96"/>
  <c r="O188" i="96"/>
  <c r="F158" i="96"/>
  <c r="F218" i="96"/>
  <c r="F156" i="96"/>
  <c r="N186" i="96"/>
  <c r="O186" i="96"/>
  <c r="F216" i="96"/>
  <c r="J186" i="96"/>
  <c r="K186" i="96"/>
  <c r="J156" i="96"/>
  <c r="K156" i="96"/>
  <c r="J216" i="96"/>
  <c r="K216" i="96"/>
  <c r="N216" i="96"/>
  <c r="O216" i="96"/>
  <c r="N156" i="96"/>
  <c r="O156" i="96"/>
  <c r="F186" i="96"/>
  <c r="N154" i="96"/>
  <c r="O154" i="96"/>
  <c r="F184" i="96"/>
  <c r="N214" i="96"/>
  <c r="O214" i="96"/>
  <c r="J154" i="96"/>
  <c r="K154" i="96"/>
  <c r="J214" i="96"/>
  <c r="K214" i="96"/>
  <c r="J184" i="96"/>
  <c r="K184" i="96"/>
  <c r="F154" i="96"/>
  <c r="F214" i="96"/>
  <c r="N184" i="96"/>
  <c r="O184" i="96"/>
  <c r="F152" i="96"/>
  <c r="N182" i="96"/>
  <c r="O182" i="96"/>
  <c r="F212" i="96"/>
  <c r="J182" i="96"/>
  <c r="K182" i="96"/>
  <c r="J152" i="96"/>
  <c r="K152" i="96"/>
  <c r="J212" i="96"/>
  <c r="K212" i="96"/>
  <c r="N152" i="96"/>
  <c r="O152" i="96"/>
  <c r="F182" i="96"/>
  <c r="N212" i="96"/>
  <c r="O212" i="96"/>
  <c r="N150" i="96"/>
  <c r="O150" i="96"/>
  <c r="F180" i="96"/>
  <c r="N210" i="96"/>
  <c r="O210" i="96"/>
  <c r="J150" i="96"/>
  <c r="K150" i="96"/>
  <c r="J210" i="96"/>
  <c r="K210" i="96"/>
  <c r="J180" i="96"/>
  <c r="K180" i="96"/>
  <c r="F210" i="96"/>
  <c r="N180" i="96"/>
  <c r="O180" i="96"/>
  <c r="F150" i="96"/>
  <c r="F148" i="96"/>
  <c r="N178" i="96"/>
  <c r="O178" i="96"/>
  <c r="F208" i="96"/>
  <c r="J178" i="96"/>
  <c r="K178" i="96"/>
  <c r="J148" i="96"/>
  <c r="K148" i="96"/>
  <c r="J208" i="96"/>
  <c r="K208" i="96"/>
  <c r="N148" i="96"/>
  <c r="O148" i="96"/>
  <c r="F178" i="96"/>
  <c r="N208" i="96"/>
  <c r="O208" i="96"/>
  <c r="N146" i="96"/>
  <c r="O146" i="96"/>
  <c r="F176" i="96"/>
  <c r="N206" i="96"/>
  <c r="O206" i="96"/>
  <c r="J146" i="96"/>
  <c r="K146" i="96"/>
  <c r="J206" i="96"/>
  <c r="K206" i="96"/>
  <c r="J176" i="96"/>
  <c r="K176" i="96"/>
  <c r="F206" i="96"/>
  <c r="N176" i="96"/>
  <c r="O176" i="96"/>
  <c r="F146" i="96"/>
  <c r="F143" i="96"/>
  <c r="N143" i="96"/>
  <c r="J173" i="96"/>
  <c r="F203" i="96"/>
  <c r="N203" i="96"/>
  <c r="N173" i="96"/>
  <c r="J203" i="96"/>
  <c r="J143" i="96"/>
  <c r="F173" i="96"/>
  <c r="F139" i="96"/>
  <c r="N139" i="96"/>
  <c r="J169" i="96"/>
  <c r="F199" i="96"/>
  <c r="N199" i="96"/>
  <c r="J139" i="96"/>
  <c r="F169" i="96"/>
  <c r="N169" i="96"/>
  <c r="J199" i="96"/>
  <c r="G161" i="91"/>
  <c r="W153" i="91"/>
  <c r="R153" i="91"/>
  <c r="M153" i="91"/>
  <c r="F34" i="71"/>
  <c r="E36" i="38"/>
  <c r="W152" i="91"/>
  <c r="R152" i="91"/>
  <c r="M152" i="91"/>
  <c r="F33" i="71"/>
  <c r="E35" i="38"/>
  <c r="W151" i="91"/>
  <c r="R151" i="91"/>
  <c r="M151" i="91"/>
  <c r="H151" i="91"/>
  <c r="W150" i="91"/>
  <c r="R150" i="91"/>
  <c r="M150" i="91"/>
  <c r="W149" i="91"/>
  <c r="R149" i="91"/>
  <c r="M149" i="91"/>
  <c r="F30" i="71"/>
  <c r="E32" i="38"/>
  <c r="W148" i="91"/>
  <c r="R148" i="91"/>
  <c r="M148" i="91"/>
  <c r="F29" i="71"/>
  <c r="E31" i="38"/>
  <c r="W147" i="91"/>
  <c r="R147" i="91"/>
  <c r="M147" i="91"/>
  <c r="H147" i="91"/>
  <c r="W146" i="91"/>
  <c r="R146" i="91"/>
  <c r="M146" i="91"/>
  <c r="W145" i="91"/>
  <c r="R145" i="91"/>
  <c r="M145" i="91"/>
  <c r="F26" i="71"/>
  <c r="E28" i="38"/>
  <c r="W144" i="91"/>
  <c r="R144" i="91"/>
  <c r="M144" i="91"/>
  <c r="F25" i="71"/>
  <c r="E27" i="38"/>
  <c r="W143" i="91"/>
  <c r="R143" i="91"/>
  <c r="M143" i="91"/>
  <c r="H143" i="91"/>
  <c r="W142" i="91"/>
  <c r="R142" i="91"/>
  <c r="M142" i="91"/>
  <c r="W141" i="91"/>
  <c r="R141" i="91"/>
  <c r="M141" i="91"/>
  <c r="F22" i="71"/>
  <c r="E24" i="38"/>
  <c r="W140" i="91"/>
  <c r="R140" i="91"/>
  <c r="M140" i="91"/>
  <c r="F21" i="71"/>
  <c r="E23" i="38"/>
  <c r="W139" i="91"/>
  <c r="R139" i="91"/>
  <c r="M139" i="91"/>
  <c r="H139" i="91"/>
  <c r="F19" i="71"/>
  <c r="E21" i="38"/>
  <c r="F18" i="71"/>
  <c r="E20" i="38"/>
  <c r="F17" i="71"/>
  <c r="E19" i="38"/>
  <c r="H135" i="91"/>
  <c r="F15" i="71"/>
  <c r="E17" i="38"/>
  <c r="F14" i="71"/>
  <c r="E16" i="38"/>
  <c r="F13" i="71"/>
  <c r="E15" i="38"/>
  <c r="H131" i="91"/>
  <c r="F11" i="71"/>
  <c r="E13" i="38"/>
  <c r="F10" i="71"/>
  <c r="E12" i="38"/>
  <c r="O99" i="91"/>
  <c r="C96" i="91"/>
  <c r="C158" i="91"/>
  <c r="D82" i="80"/>
  <c r="D26" i="19"/>
  <c r="F27" i="20"/>
  <c r="G63" i="97"/>
  <c r="G235" i="97"/>
  <c r="D80" i="80"/>
  <c r="D24" i="19"/>
  <c r="F25" i="20"/>
  <c r="G61" i="97"/>
  <c r="G233" i="97"/>
  <c r="G277" i="91"/>
  <c r="G273" i="91"/>
  <c r="G269" i="91"/>
  <c r="G265" i="91"/>
  <c r="G261" i="91"/>
  <c r="G257" i="91"/>
  <c r="G248" i="91"/>
  <c r="G244" i="91"/>
  <c r="G240" i="91"/>
  <c r="G238" i="91"/>
  <c r="G236" i="91"/>
  <c r="G234" i="91"/>
  <c r="AD29" i="91"/>
  <c r="O28" i="91"/>
  <c r="AD27" i="91"/>
  <c r="O26" i="91"/>
  <c r="AD25" i="91"/>
  <c r="O24" i="91"/>
  <c r="AD23" i="91"/>
  <c r="O22" i="91"/>
  <c r="AD21" i="91"/>
  <c r="D68" i="80"/>
  <c r="D12" i="19"/>
  <c r="F13" i="20"/>
  <c r="G49" i="97"/>
  <c r="G221" i="97"/>
  <c r="F1844" i="91"/>
  <c r="F1840" i="91"/>
  <c r="F1836" i="91"/>
  <c r="F1832" i="91"/>
  <c r="F1828" i="91"/>
  <c r="F1824" i="91"/>
  <c r="F1820" i="91"/>
  <c r="F1668" i="91"/>
  <c r="F1664" i="91"/>
  <c r="F1660" i="91"/>
  <c r="F1656" i="91"/>
  <c r="F1652" i="91"/>
  <c r="F1648" i="91"/>
  <c r="F1641" i="91"/>
  <c r="F1637" i="91"/>
  <c r="F1633" i="91"/>
  <c r="F1629" i="91"/>
  <c r="F1625" i="91"/>
  <c r="F1621" i="91"/>
  <c r="F1617" i="91"/>
  <c r="F1610" i="91"/>
  <c r="F1606" i="91"/>
  <c r="F1602" i="91"/>
  <c r="F1598" i="91"/>
  <c r="F1594" i="91"/>
  <c r="F1590" i="91"/>
  <c r="F1584" i="91"/>
  <c r="F1580" i="91"/>
  <c r="F1576" i="91"/>
  <c r="F1572" i="91"/>
  <c r="F1568" i="91"/>
  <c r="F1564" i="91"/>
  <c r="F1560" i="91"/>
  <c r="F434" i="91"/>
  <c r="F430" i="91"/>
  <c r="F426" i="91"/>
  <c r="F422" i="91"/>
  <c r="F418" i="91"/>
  <c r="F414" i="91"/>
  <c r="F410" i="91"/>
  <c r="F401" i="91"/>
  <c r="F397" i="91"/>
  <c r="F393" i="91"/>
  <c r="F389" i="91"/>
  <c r="F385" i="91"/>
  <c r="F381" i="91"/>
  <c r="F372" i="91"/>
  <c r="F368" i="91"/>
  <c r="F364" i="91"/>
  <c r="F360" i="91"/>
  <c r="F356" i="91"/>
  <c r="F352" i="91"/>
  <c r="F348" i="91"/>
  <c r="F339" i="91"/>
  <c r="F335" i="91"/>
  <c r="F331" i="91"/>
  <c r="F327" i="91"/>
  <c r="F323" i="91"/>
  <c r="F319" i="91"/>
  <c r="F278" i="91"/>
  <c r="F274" i="91"/>
  <c r="F270" i="91"/>
  <c r="F266" i="91"/>
  <c r="F262" i="91"/>
  <c r="F258" i="91"/>
  <c r="F247" i="91"/>
  <c r="F243" i="91"/>
  <c r="F239" i="91"/>
  <c r="F235" i="91"/>
  <c r="F231" i="91"/>
  <c r="F227" i="91"/>
  <c r="H129" i="5"/>
  <c r="D129" i="5"/>
  <c r="D34" i="71"/>
  <c r="C37" i="72"/>
  <c r="C37" i="63"/>
  <c r="J104" i="24"/>
  <c r="J106" i="24"/>
  <c r="C36" i="38"/>
  <c r="C35" i="41"/>
  <c r="A35" i="41"/>
  <c r="C35" i="82"/>
  <c r="A35" i="82"/>
  <c r="C76" i="82"/>
  <c r="A76" i="82"/>
  <c r="C85" i="41"/>
  <c r="A85" i="41"/>
  <c r="C135" i="41"/>
  <c r="A135" i="41"/>
  <c r="C185" i="41"/>
  <c r="A185" i="41"/>
  <c r="C36" i="81"/>
  <c r="C36" i="83"/>
  <c r="C92" i="80"/>
  <c r="A92" i="80"/>
  <c r="C36" i="80"/>
  <c r="C37" i="20"/>
  <c r="G37" i="20"/>
  <c r="C36" i="19"/>
  <c r="E73" i="97"/>
  <c r="E118" i="97"/>
  <c r="E153" i="97"/>
  <c r="E245" i="97"/>
  <c r="H127" i="5"/>
  <c r="D127" i="5"/>
  <c r="D32" i="71"/>
  <c r="C35" i="72"/>
  <c r="C35" i="63"/>
  <c r="C49" i="66"/>
  <c r="H104" i="24"/>
  <c r="H106" i="24"/>
  <c r="C34" i="38"/>
  <c r="C33" i="41"/>
  <c r="A33" i="41"/>
  <c r="C33" i="82"/>
  <c r="A33" i="82"/>
  <c r="C74" i="82"/>
  <c r="A74" i="82"/>
  <c r="C83" i="41"/>
  <c r="A83" i="41"/>
  <c r="C133" i="41"/>
  <c r="A133" i="41"/>
  <c r="C183" i="41"/>
  <c r="A183" i="41"/>
  <c r="C34" i="81"/>
  <c r="C34" i="83"/>
  <c r="C90" i="80"/>
  <c r="A90" i="80"/>
  <c r="C34" i="80"/>
  <c r="C34" i="19"/>
  <c r="C35" i="20"/>
  <c r="G35" i="20"/>
  <c r="E71" i="97"/>
  <c r="E116" i="97"/>
  <c r="E151" i="97"/>
  <c r="E243" i="97"/>
  <c r="H125" i="5"/>
  <c r="D125" i="5"/>
  <c r="D30" i="71"/>
  <c r="C33" i="72"/>
  <c r="C33" i="63"/>
  <c r="C47" i="66"/>
  <c r="F104" i="24"/>
  <c r="F106" i="24"/>
  <c r="C32" i="38"/>
  <c r="C31" i="41"/>
  <c r="A31" i="41"/>
  <c r="C31" i="82"/>
  <c r="A31" i="82"/>
  <c r="C72" i="82"/>
  <c r="A72" i="82"/>
  <c r="C81" i="41"/>
  <c r="A81" i="41"/>
  <c r="C131" i="41"/>
  <c r="A131" i="41"/>
  <c r="C181" i="41"/>
  <c r="A181" i="41"/>
  <c r="C32" i="83"/>
  <c r="C32" i="81"/>
  <c r="C88" i="80"/>
  <c r="A88" i="80"/>
  <c r="C32" i="80"/>
  <c r="C32" i="19"/>
  <c r="C33" i="20"/>
  <c r="G33" i="20"/>
  <c r="E69" i="97"/>
  <c r="E114" i="97"/>
  <c r="E149" i="97"/>
  <c r="E241" i="97"/>
  <c r="H123" i="5"/>
  <c r="D123" i="5"/>
  <c r="D28" i="71"/>
  <c r="C31" i="72"/>
  <c r="C31" i="63"/>
  <c r="C45" i="66"/>
  <c r="N56" i="24"/>
  <c r="N58" i="24"/>
  <c r="C30" i="38"/>
  <c r="C29" i="41"/>
  <c r="A29" i="41"/>
  <c r="C29" i="82"/>
  <c r="A29" i="82"/>
  <c r="C70" i="82"/>
  <c r="A70" i="82"/>
  <c r="C79" i="41"/>
  <c r="A79" i="41"/>
  <c r="C129" i="41"/>
  <c r="A129" i="41"/>
  <c r="C179" i="41"/>
  <c r="A179" i="41"/>
  <c r="C30" i="81"/>
  <c r="C30" i="83"/>
  <c r="C86" i="80"/>
  <c r="A86" i="80"/>
  <c r="C30" i="80"/>
  <c r="C30" i="19"/>
  <c r="C31" i="20"/>
  <c r="G31" i="20"/>
  <c r="E67" i="97"/>
  <c r="E112" i="97"/>
  <c r="E147" i="97"/>
  <c r="E239" i="97"/>
  <c r="H121" i="5"/>
  <c r="D121" i="5"/>
  <c r="D26" i="71"/>
  <c r="C29" i="72"/>
  <c r="C29" i="63"/>
  <c r="C43" i="66"/>
  <c r="L56" i="24"/>
  <c r="L58" i="24"/>
  <c r="C28" i="38"/>
  <c r="C27" i="41"/>
  <c r="A27" i="41"/>
  <c r="C77" i="41"/>
  <c r="A77" i="41"/>
  <c r="C27" i="82"/>
  <c r="A27" i="82"/>
  <c r="C68" i="82"/>
  <c r="A68" i="82"/>
  <c r="C127" i="41"/>
  <c r="A127" i="41"/>
  <c r="C177" i="41"/>
  <c r="A177" i="41"/>
  <c r="C28" i="81"/>
  <c r="C28" i="83"/>
  <c r="C84" i="80"/>
  <c r="A84" i="80"/>
  <c r="C28" i="80"/>
  <c r="C28" i="19"/>
  <c r="C29" i="20"/>
  <c r="G29" i="20"/>
  <c r="E65" i="97"/>
  <c r="E110" i="97"/>
  <c r="E145" i="97"/>
  <c r="E237" i="97"/>
  <c r="H119" i="5"/>
  <c r="D119" i="5"/>
  <c r="D24" i="71"/>
  <c r="C27" i="72"/>
  <c r="C41" i="66"/>
  <c r="C27" i="63"/>
  <c r="J56" i="24"/>
  <c r="J58" i="24"/>
  <c r="C26" i="38"/>
  <c r="C25" i="41"/>
  <c r="A25" i="41"/>
  <c r="C75" i="41"/>
  <c r="A75" i="41"/>
  <c r="C25" i="82"/>
  <c r="A25" i="82"/>
  <c r="C66" i="82"/>
  <c r="A66" i="82"/>
  <c r="C125" i="41"/>
  <c r="A125" i="41"/>
  <c r="C175" i="41"/>
  <c r="A175" i="41"/>
  <c r="C26" i="81"/>
  <c r="C26" i="83"/>
  <c r="C75" i="83"/>
  <c r="C26" i="80"/>
  <c r="C82" i="80"/>
  <c r="A82" i="80"/>
  <c r="C26" i="19"/>
  <c r="C27" i="20"/>
  <c r="G27" i="20"/>
  <c r="E63" i="97"/>
  <c r="E108" i="97"/>
  <c r="E143" i="97"/>
  <c r="E235" i="97"/>
  <c r="H117" i="5"/>
  <c r="D117" i="5"/>
  <c r="D22" i="71"/>
  <c r="C25" i="72"/>
  <c r="C25" i="63"/>
  <c r="C39" i="66"/>
  <c r="H56" i="24"/>
  <c r="H58" i="24"/>
  <c r="C24" i="38"/>
  <c r="C23" i="41"/>
  <c r="A23" i="41"/>
  <c r="C73" i="41"/>
  <c r="A73" i="41"/>
  <c r="C23" i="82"/>
  <c r="A23" i="82"/>
  <c r="C64" i="82"/>
  <c r="A64" i="82"/>
  <c r="C123" i="41"/>
  <c r="A123" i="41"/>
  <c r="C173" i="41"/>
  <c r="A173" i="41"/>
  <c r="C24" i="81"/>
  <c r="C24" i="83"/>
  <c r="C73" i="83"/>
  <c r="C80" i="80"/>
  <c r="A80" i="80"/>
  <c r="C24" i="80"/>
  <c r="C24" i="19"/>
  <c r="C25" i="20"/>
  <c r="G25" i="20"/>
  <c r="E61" i="97"/>
  <c r="E106" i="97"/>
  <c r="E141" i="97"/>
  <c r="E233" i="97"/>
  <c r="H115" i="5"/>
  <c r="D115" i="5"/>
  <c r="D20" i="71"/>
  <c r="C23" i="72"/>
  <c r="C37" i="66"/>
  <c r="C23" i="63"/>
  <c r="F56" i="24"/>
  <c r="F58" i="24"/>
  <c r="C22" i="38"/>
  <c r="C21" i="41"/>
  <c r="A21" i="41"/>
  <c r="C71" i="41"/>
  <c r="A71" i="41"/>
  <c r="C21" i="82"/>
  <c r="A21" i="82"/>
  <c r="C62" i="82"/>
  <c r="A62" i="82"/>
  <c r="C121" i="41"/>
  <c r="A121" i="41"/>
  <c r="C171" i="41"/>
  <c r="A171" i="41"/>
  <c r="C22" i="81"/>
  <c r="C22" i="83"/>
  <c r="C71" i="83"/>
  <c r="C78" i="80"/>
  <c r="A78" i="80"/>
  <c r="C22" i="80"/>
  <c r="C22" i="19"/>
  <c r="C23" i="20"/>
  <c r="G23" i="20"/>
  <c r="E59" i="97"/>
  <c r="E104" i="97"/>
  <c r="E139" i="97"/>
  <c r="E231" i="97"/>
  <c r="J142" i="96"/>
  <c r="F172" i="96"/>
  <c r="N172" i="96"/>
  <c r="J202" i="96"/>
  <c r="F142" i="96"/>
  <c r="N142" i="96"/>
  <c r="J172" i="96"/>
  <c r="F202" i="96"/>
  <c r="N202" i="96"/>
  <c r="J138" i="96"/>
  <c r="F168" i="96"/>
  <c r="N168" i="96"/>
  <c r="J198" i="96"/>
  <c r="J168" i="96"/>
  <c r="F198" i="96"/>
  <c r="N198" i="96"/>
  <c r="F138" i="96"/>
  <c r="N138" i="96"/>
  <c r="A18" i="31"/>
  <c r="A16" i="31"/>
  <c r="R9" i="31"/>
  <c r="Q37" i="289"/>
  <c r="Q11" i="288"/>
  <c r="M37" i="289"/>
  <c r="M11" i="288"/>
  <c r="I37" i="289"/>
  <c r="I11" i="288"/>
  <c r="A32" i="288"/>
  <c r="E9" i="60"/>
  <c r="E10" i="60"/>
  <c r="E9" i="59"/>
  <c r="E10" i="59"/>
  <c r="D92" i="80"/>
  <c r="D36" i="19"/>
  <c r="F37" i="20"/>
  <c r="G73" i="97"/>
  <c r="G245" i="97"/>
  <c r="D74" i="80"/>
  <c r="D18" i="19"/>
  <c r="F19" i="20"/>
  <c r="G55" i="97"/>
  <c r="G227" i="97"/>
  <c r="D72" i="80"/>
  <c r="D16" i="19"/>
  <c r="F17" i="20"/>
  <c r="G53" i="97"/>
  <c r="G225" i="97"/>
  <c r="D35" i="41"/>
  <c r="D85" i="41"/>
  <c r="D135" i="41"/>
  <c r="D185" i="41"/>
  <c r="P152" i="91"/>
  <c r="L152" i="91"/>
  <c r="D83" i="41"/>
  <c r="D133" i="41"/>
  <c r="D33" i="41"/>
  <c r="D183" i="41"/>
  <c r="L150" i="91"/>
  <c r="P146" i="91"/>
  <c r="V144" i="91"/>
  <c r="P142" i="91"/>
  <c r="V140" i="91"/>
  <c r="D21" i="41"/>
  <c r="D71" i="41"/>
  <c r="D121" i="41"/>
  <c r="D171" i="41"/>
  <c r="V128" i="91"/>
  <c r="D9" i="60"/>
  <c r="D10" i="60"/>
  <c r="D9" i="59"/>
  <c r="D10" i="59"/>
  <c r="D87" i="80"/>
  <c r="D31" i="19"/>
  <c r="F32" i="20"/>
  <c r="G68" i="97"/>
  <c r="G240" i="97"/>
  <c r="D83" i="80"/>
  <c r="D27" i="19"/>
  <c r="F28" i="20"/>
  <c r="G64" i="97"/>
  <c r="G236" i="97"/>
  <c r="G276" i="91"/>
  <c r="G272" i="91"/>
  <c r="G268" i="91"/>
  <c r="G264" i="91"/>
  <c r="G260" i="91"/>
  <c r="G256" i="91"/>
  <c r="S29" i="91"/>
  <c r="D77" i="80"/>
  <c r="D21" i="19"/>
  <c r="F22" i="20"/>
  <c r="G58" i="97"/>
  <c r="G230" i="97"/>
  <c r="S27" i="91"/>
  <c r="D75" i="80"/>
  <c r="D19" i="19"/>
  <c r="F20" i="20"/>
  <c r="G56" i="97"/>
  <c r="G228" i="97"/>
  <c r="S25" i="91"/>
  <c r="D73" i="80"/>
  <c r="D17" i="19"/>
  <c r="F18" i="20"/>
  <c r="G54" i="97"/>
  <c r="G226" i="97"/>
  <c r="S23" i="91"/>
  <c r="D71" i="80"/>
  <c r="D15" i="19"/>
  <c r="F16" i="20"/>
  <c r="G52" i="97"/>
  <c r="G224" i="97"/>
  <c r="S21" i="91"/>
  <c r="D69" i="80"/>
  <c r="F14" i="20"/>
  <c r="D13" i="19"/>
  <c r="G50" i="97"/>
  <c r="G222" i="97"/>
  <c r="AF20" i="91"/>
  <c r="F1813" i="91"/>
  <c r="F1809" i="91"/>
  <c r="F1805" i="91"/>
  <c r="F1801" i="91"/>
  <c r="F1797" i="91"/>
  <c r="F1793" i="91"/>
  <c r="F1755" i="91"/>
  <c r="F1751" i="91"/>
  <c r="F1747" i="91"/>
  <c r="F1743" i="91"/>
  <c r="F1739" i="91"/>
  <c r="F1735" i="91"/>
  <c r="F1697" i="91"/>
  <c r="F1693" i="91"/>
  <c r="F1689" i="91"/>
  <c r="F1685" i="91"/>
  <c r="F1681" i="91"/>
  <c r="F1677" i="91"/>
  <c r="F1547" i="91"/>
  <c r="F1543" i="91"/>
  <c r="F1539" i="91"/>
  <c r="F1535" i="91"/>
  <c r="F1531" i="91"/>
  <c r="F1527" i="91"/>
  <c r="F1485" i="91"/>
  <c r="F1481" i="91"/>
  <c r="F1477" i="91"/>
  <c r="F1473" i="91"/>
  <c r="F1469" i="91"/>
  <c r="F1465" i="91"/>
  <c r="F1425" i="91"/>
  <c r="F1421" i="91"/>
  <c r="F1417" i="91"/>
  <c r="F1413" i="91"/>
  <c r="F1409" i="91"/>
  <c r="F1405" i="91"/>
  <c r="F1365" i="91"/>
  <c r="F1361" i="91"/>
  <c r="F1357" i="91"/>
  <c r="F1353" i="91"/>
  <c r="F1349" i="91"/>
  <c r="F1345" i="91"/>
  <c r="F1303" i="91"/>
  <c r="F1299" i="91"/>
  <c r="F1295" i="91"/>
  <c r="F1291" i="91"/>
  <c r="F1287" i="91"/>
  <c r="F1283" i="91"/>
  <c r="F1241" i="91"/>
  <c r="F1237" i="91"/>
  <c r="F1233" i="91"/>
  <c r="F1229" i="91"/>
  <c r="F1225" i="91"/>
  <c r="F1221" i="91"/>
  <c r="F1179" i="91"/>
  <c r="F1175" i="91"/>
  <c r="F1171" i="91"/>
  <c r="F1167" i="91"/>
  <c r="F1163" i="91"/>
  <c r="F1159" i="91"/>
  <c r="F1117" i="91"/>
  <c r="F1113" i="91"/>
  <c r="F1109" i="91"/>
  <c r="F1105" i="91"/>
  <c r="F1101" i="91"/>
  <c r="F1097" i="91"/>
  <c r="F1055" i="91"/>
  <c r="F1051" i="91"/>
  <c r="F1047" i="91"/>
  <c r="F1043" i="91"/>
  <c r="F1039" i="91"/>
  <c r="F1035" i="91"/>
  <c r="F993" i="91"/>
  <c r="F989" i="91"/>
  <c r="F985" i="91"/>
  <c r="F981" i="91"/>
  <c r="F977" i="91"/>
  <c r="F973" i="91"/>
  <c r="F931" i="91"/>
  <c r="F927" i="91"/>
  <c r="F923" i="91"/>
  <c r="F919" i="91"/>
  <c r="F915" i="91"/>
  <c r="F911" i="91"/>
  <c r="F869" i="91"/>
  <c r="F865" i="91"/>
  <c r="F861" i="91"/>
  <c r="F857" i="91"/>
  <c r="F853" i="91"/>
  <c r="F849" i="91"/>
  <c r="F805" i="91"/>
  <c r="F801" i="91"/>
  <c r="F797" i="91"/>
  <c r="F793" i="91"/>
  <c r="F789" i="91"/>
  <c r="F785" i="91"/>
  <c r="F743" i="91"/>
  <c r="F739" i="91"/>
  <c r="F735" i="91"/>
  <c r="F731" i="91"/>
  <c r="F727" i="91"/>
  <c r="F723" i="91"/>
  <c r="F681" i="91"/>
  <c r="F677" i="91"/>
  <c r="F673" i="91"/>
  <c r="F669" i="91"/>
  <c r="F665" i="91"/>
  <c r="F661" i="91"/>
  <c r="F619" i="91"/>
  <c r="F615" i="91"/>
  <c r="F611" i="91"/>
  <c r="F607" i="91"/>
  <c r="F603" i="91"/>
  <c r="F599" i="91"/>
  <c r="F556" i="91"/>
  <c r="F552" i="91"/>
  <c r="F548" i="91"/>
  <c r="F544" i="91"/>
  <c r="F540" i="91"/>
  <c r="F536" i="91"/>
  <c r="F494" i="91"/>
  <c r="F490" i="91"/>
  <c r="F486" i="91"/>
  <c r="F482" i="91"/>
  <c r="F478" i="91"/>
  <c r="F474" i="91"/>
  <c r="F277" i="91"/>
  <c r="F273" i="91"/>
  <c r="F269" i="91"/>
  <c r="F265" i="91"/>
  <c r="F261" i="91"/>
  <c r="F257" i="91"/>
  <c r="F246" i="91"/>
  <c r="F242" i="91"/>
  <c r="F238" i="91"/>
  <c r="F234" i="91"/>
  <c r="F230" i="91"/>
  <c r="F226" i="91"/>
  <c r="F184" i="91"/>
  <c r="F180" i="91"/>
  <c r="F176" i="91"/>
  <c r="F172" i="91"/>
  <c r="F168" i="91"/>
  <c r="F164" i="91"/>
  <c r="J189" i="96"/>
  <c r="K189" i="96"/>
  <c r="N159" i="96"/>
  <c r="O159" i="96"/>
  <c r="F189" i="96"/>
  <c r="N219" i="96"/>
  <c r="O219" i="96"/>
  <c r="F159" i="96"/>
  <c r="N189" i="96"/>
  <c r="O189" i="96"/>
  <c r="F219" i="96"/>
  <c r="J159" i="96"/>
  <c r="K159" i="96"/>
  <c r="J219" i="96"/>
  <c r="K219" i="96"/>
  <c r="J157" i="96"/>
  <c r="K157" i="96"/>
  <c r="J217" i="96"/>
  <c r="K217" i="96"/>
  <c r="F157" i="96"/>
  <c r="N187" i="96"/>
  <c r="O187" i="96"/>
  <c r="F217" i="96"/>
  <c r="N157" i="96"/>
  <c r="O157" i="96"/>
  <c r="F187" i="96"/>
  <c r="N217" i="96"/>
  <c r="O217" i="96"/>
  <c r="J187" i="96"/>
  <c r="K187" i="96"/>
  <c r="J185" i="96"/>
  <c r="K185" i="96"/>
  <c r="N155" i="96"/>
  <c r="O155" i="96"/>
  <c r="F185" i="96"/>
  <c r="N215" i="96"/>
  <c r="O215" i="96"/>
  <c r="F155" i="96"/>
  <c r="N185" i="96"/>
  <c r="O185" i="96"/>
  <c r="F215" i="96"/>
  <c r="J215" i="96"/>
  <c r="K215" i="96"/>
  <c r="J155" i="96"/>
  <c r="K155" i="96"/>
  <c r="J153" i="96"/>
  <c r="K153" i="96"/>
  <c r="J213" i="96"/>
  <c r="K213" i="96"/>
  <c r="F153" i="96"/>
  <c r="N183" i="96"/>
  <c r="O183" i="96"/>
  <c r="F213" i="96"/>
  <c r="N153" i="96"/>
  <c r="O153" i="96"/>
  <c r="F183" i="96"/>
  <c r="N213" i="96"/>
  <c r="O213" i="96"/>
  <c r="J183" i="96"/>
  <c r="K183" i="96"/>
  <c r="J181" i="96"/>
  <c r="K181" i="96"/>
  <c r="N151" i="96"/>
  <c r="O151" i="96"/>
  <c r="F181" i="96"/>
  <c r="N211" i="96"/>
  <c r="O211" i="96"/>
  <c r="F151" i="96"/>
  <c r="N181" i="96"/>
  <c r="O181" i="96"/>
  <c r="F211" i="96"/>
  <c r="J211" i="96"/>
  <c r="K211" i="96"/>
  <c r="J151" i="96"/>
  <c r="K151" i="96"/>
  <c r="J149" i="96"/>
  <c r="K149" i="96"/>
  <c r="J209" i="96"/>
  <c r="K209" i="96"/>
  <c r="F149" i="96"/>
  <c r="N179" i="96"/>
  <c r="O179" i="96"/>
  <c r="F209" i="96"/>
  <c r="N149" i="96"/>
  <c r="O149" i="96"/>
  <c r="F179" i="96"/>
  <c r="N209" i="96"/>
  <c r="O209" i="96"/>
  <c r="J179" i="96"/>
  <c r="K179" i="96"/>
  <c r="J177" i="96"/>
  <c r="K177" i="96"/>
  <c r="N147" i="96"/>
  <c r="O147" i="96"/>
  <c r="F177" i="96"/>
  <c r="N207" i="96"/>
  <c r="O207" i="96"/>
  <c r="F147" i="96"/>
  <c r="N177" i="96"/>
  <c r="O177" i="96"/>
  <c r="F207" i="96"/>
  <c r="J147" i="96"/>
  <c r="K147" i="96"/>
  <c r="J207" i="96"/>
  <c r="K207" i="96"/>
  <c r="F145" i="96"/>
  <c r="N145" i="96"/>
  <c r="J175" i="96"/>
  <c r="F205" i="96"/>
  <c r="N205" i="96"/>
  <c r="J145" i="96"/>
  <c r="F175" i="96"/>
  <c r="N175" i="96"/>
  <c r="J205" i="96"/>
  <c r="F141" i="96"/>
  <c r="N141" i="96"/>
  <c r="J171" i="96"/>
  <c r="F201" i="96"/>
  <c r="N201" i="96"/>
  <c r="F171" i="96"/>
  <c r="N171" i="96"/>
  <c r="J201" i="96"/>
  <c r="J141" i="96"/>
  <c r="F137" i="96"/>
  <c r="N137" i="96"/>
  <c r="J167" i="96"/>
  <c r="F197" i="96"/>
  <c r="N197" i="96"/>
  <c r="J137" i="96"/>
  <c r="F167" i="96"/>
  <c r="N167" i="96"/>
  <c r="J197" i="96"/>
  <c r="C68" i="32"/>
  <c r="N11" i="288"/>
  <c r="N37" i="289"/>
  <c r="J11" i="288"/>
  <c r="J37" i="289"/>
  <c r="F26" i="33"/>
  <c r="F306" i="33"/>
  <c r="F325" i="33"/>
  <c r="D76" i="80"/>
  <c r="D20" i="19"/>
  <c r="F21" i="20"/>
  <c r="G57" i="97"/>
  <c r="G229" i="97"/>
  <c r="V152" i="91"/>
  <c r="V150" i="91"/>
  <c r="P150" i="91"/>
  <c r="D31" i="41"/>
  <c r="D81" i="41"/>
  <c r="D131" i="41"/>
  <c r="D181" i="41"/>
  <c r="V148" i="91"/>
  <c r="P148" i="91"/>
  <c r="L148" i="91"/>
  <c r="D29" i="41"/>
  <c r="D79" i="41"/>
  <c r="D129" i="41"/>
  <c r="D179" i="41"/>
  <c r="V146" i="91"/>
  <c r="L146" i="91"/>
  <c r="D27" i="41"/>
  <c r="D77" i="41"/>
  <c r="D127" i="41"/>
  <c r="D177" i="41"/>
  <c r="P144" i="91"/>
  <c r="L144" i="91"/>
  <c r="D75" i="41"/>
  <c r="D125" i="41"/>
  <c r="D25" i="41"/>
  <c r="D175" i="41"/>
  <c r="V142" i="91"/>
  <c r="L142" i="91"/>
  <c r="D23" i="41"/>
  <c r="D123" i="41"/>
  <c r="D73" i="41"/>
  <c r="D173" i="41"/>
  <c r="P140" i="91"/>
  <c r="L140" i="91"/>
  <c r="R128" i="91"/>
  <c r="D91" i="80"/>
  <c r="F36" i="20"/>
  <c r="D35" i="19"/>
  <c r="G72" i="97"/>
  <c r="G244" i="97"/>
  <c r="D89" i="80"/>
  <c r="D33" i="19"/>
  <c r="F34" i="20"/>
  <c r="G70" i="97"/>
  <c r="G242" i="97"/>
  <c r="D85" i="80"/>
  <c r="D29" i="19"/>
  <c r="F30" i="20"/>
  <c r="G66" i="97"/>
  <c r="G238" i="97"/>
  <c r="P156" i="91"/>
  <c r="Y152" i="91"/>
  <c r="O152" i="91"/>
  <c r="E70" i="63"/>
  <c r="M70" i="63"/>
  <c r="K152" i="91"/>
  <c r="Y150" i="91"/>
  <c r="O150" i="91"/>
  <c r="E68" i="63"/>
  <c r="M68" i="63"/>
  <c r="K150" i="91"/>
  <c r="Y148" i="91"/>
  <c r="O148" i="91"/>
  <c r="E66" i="63"/>
  <c r="M66" i="63"/>
  <c r="K148" i="91"/>
  <c r="Y146" i="91"/>
  <c r="O146" i="91"/>
  <c r="E64" i="63"/>
  <c r="M64" i="63"/>
  <c r="K146" i="91"/>
  <c r="Y144" i="91"/>
  <c r="O144" i="91"/>
  <c r="E62" i="63"/>
  <c r="M62" i="63"/>
  <c r="K144" i="91"/>
  <c r="Y143" i="91"/>
  <c r="O143" i="91"/>
  <c r="E61" i="63"/>
  <c r="M61" i="63"/>
  <c r="Y142" i="91"/>
  <c r="O142" i="91"/>
  <c r="E60" i="63"/>
  <c r="M60" i="63"/>
  <c r="K142" i="91"/>
  <c r="Y141" i="91"/>
  <c r="O141" i="91"/>
  <c r="E59" i="63"/>
  <c r="M59" i="63"/>
  <c r="K141" i="91"/>
  <c r="Y140" i="91"/>
  <c r="O140" i="91"/>
  <c r="E58" i="63"/>
  <c r="M58" i="63"/>
  <c r="K140" i="91"/>
  <c r="Y139" i="91"/>
  <c r="O139" i="91"/>
  <c r="E57" i="63"/>
  <c r="M57" i="63"/>
  <c r="S128" i="91"/>
  <c r="X124" i="91"/>
  <c r="A124" i="91"/>
  <c r="X122" i="91"/>
  <c r="A122" i="91"/>
  <c r="X120" i="91"/>
  <c r="A120" i="91"/>
  <c r="X118" i="91"/>
  <c r="A118" i="91"/>
  <c r="X116" i="91"/>
  <c r="A116" i="91"/>
  <c r="X114" i="91"/>
  <c r="A114" i="91"/>
  <c r="X112" i="91"/>
  <c r="A112" i="91"/>
  <c r="X110" i="91"/>
  <c r="A110" i="91"/>
  <c r="A107" i="91"/>
  <c r="A103" i="91"/>
  <c r="U99" i="91"/>
  <c r="P99" i="91"/>
  <c r="G64" i="91"/>
  <c r="G63" i="91"/>
  <c r="G62" i="91"/>
  <c r="G61" i="91"/>
  <c r="G60" i="91"/>
  <c r="G59" i="91"/>
  <c r="G58" i="91"/>
  <c r="G57" i="91"/>
  <c r="G56" i="91"/>
  <c r="G55" i="91"/>
  <c r="D81" i="80"/>
  <c r="D25" i="19"/>
  <c r="F26" i="20"/>
  <c r="G62" i="97"/>
  <c r="G234" i="97"/>
  <c r="D79" i="80"/>
  <c r="D23" i="19"/>
  <c r="F24" i="20"/>
  <c r="G60" i="97"/>
  <c r="G232" i="97"/>
  <c r="G263" i="91"/>
  <c r="G259" i="91"/>
  <c r="G255" i="91"/>
  <c r="G231" i="91"/>
  <c r="G229" i="91"/>
  <c r="G225" i="91"/>
  <c r="D78" i="80"/>
  <c r="D22" i="19"/>
  <c r="F23" i="20"/>
  <c r="G59" i="97"/>
  <c r="G231" i="97"/>
  <c r="O29" i="91"/>
  <c r="AD28" i="91"/>
  <c r="O27" i="91"/>
  <c r="AD26" i="91"/>
  <c r="O25" i="91"/>
  <c r="AD24" i="91"/>
  <c r="O23" i="91"/>
  <c r="AD22" i="91"/>
  <c r="O21" i="91"/>
  <c r="F1842" i="91"/>
  <c r="F1838" i="91"/>
  <c r="F1834" i="91"/>
  <c r="F1830" i="91"/>
  <c r="F1826" i="91"/>
  <c r="F1822" i="91"/>
  <c r="F1670" i="91"/>
  <c r="F1666" i="91"/>
  <c r="F1662" i="91"/>
  <c r="F1658" i="91"/>
  <c r="F1654" i="91"/>
  <c r="F1650" i="91"/>
  <c r="F1646" i="91"/>
  <c r="F1639" i="91"/>
  <c r="F1635" i="91"/>
  <c r="F1631" i="91"/>
  <c r="F1627" i="91"/>
  <c r="F1623" i="91"/>
  <c r="F1619" i="91"/>
  <c r="F1612" i="91"/>
  <c r="F1608" i="91"/>
  <c r="F1604" i="91"/>
  <c r="F1600" i="91"/>
  <c r="F1596" i="91"/>
  <c r="F1592" i="91"/>
  <c r="F1588" i="91"/>
  <c r="F1582" i="91"/>
  <c r="F1578" i="91"/>
  <c r="F1574" i="91"/>
  <c r="F1570" i="91"/>
  <c r="F1566" i="91"/>
  <c r="F1562" i="91"/>
  <c r="F432" i="91"/>
  <c r="F428" i="91"/>
  <c r="F424" i="91"/>
  <c r="F420" i="91"/>
  <c r="F416" i="91"/>
  <c r="F412" i="91"/>
  <c r="F403" i="91"/>
  <c r="F399" i="91"/>
  <c r="F395" i="91"/>
  <c r="F391" i="91"/>
  <c r="F387" i="91"/>
  <c r="F383" i="91"/>
  <c r="F379" i="91"/>
  <c r="H128" i="5"/>
  <c r="D128" i="5"/>
  <c r="D33" i="71"/>
  <c r="C36" i="72"/>
  <c r="C36" i="63"/>
  <c r="C50" i="66"/>
  <c r="I104" i="24"/>
  <c r="I106" i="24"/>
  <c r="C35" i="38"/>
  <c r="C34" i="41"/>
  <c r="A34" i="41"/>
  <c r="C84" i="41"/>
  <c r="A84" i="41"/>
  <c r="C134" i="41"/>
  <c r="A134" i="41"/>
  <c r="C184" i="41"/>
  <c r="A184" i="41"/>
  <c r="C75" i="82"/>
  <c r="A75" i="82"/>
  <c r="C34" i="82"/>
  <c r="A34" i="82"/>
  <c r="C35" i="83"/>
  <c r="C35" i="81"/>
  <c r="C91" i="80"/>
  <c r="A91" i="80"/>
  <c r="C35" i="80"/>
  <c r="C35" i="19"/>
  <c r="C36" i="20"/>
  <c r="G36" i="20"/>
  <c r="E72" i="97"/>
  <c r="E117" i="97"/>
  <c r="E152" i="97"/>
  <c r="E244" i="97"/>
  <c r="H126" i="5"/>
  <c r="D126" i="5"/>
  <c r="D31" i="71"/>
  <c r="C34" i="72"/>
  <c r="C34" i="63"/>
  <c r="C48" i="66"/>
  <c r="G104" i="24"/>
  <c r="G106" i="24"/>
  <c r="C33" i="38"/>
  <c r="C32" i="41"/>
  <c r="A32" i="41"/>
  <c r="C82" i="41"/>
  <c r="A82" i="41"/>
  <c r="C132" i="41"/>
  <c r="A132" i="41"/>
  <c r="C182" i="41"/>
  <c r="A182" i="41"/>
  <c r="C32" i="82"/>
  <c r="A32" i="82"/>
  <c r="C73" i="82"/>
  <c r="A73" i="82"/>
  <c r="C33" i="83"/>
  <c r="C33" i="81"/>
  <c r="C89" i="80"/>
  <c r="A89" i="80"/>
  <c r="C33" i="80"/>
  <c r="C33" i="19"/>
  <c r="C34" i="20"/>
  <c r="G34" i="20"/>
  <c r="E70" i="97"/>
  <c r="E115" i="97"/>
  <c r="E150" i="97"/>
  <c r="E242" i="97"/>
  <c r="H124" i="5"/>
  <c r="D124" i="5"/>
  <c r="D29" i="71"/>
  <c r="C32" i="72"/>
  <c r="C32" i="63"/>
  <c r="C46" i="66"/>
  <c r="O56" i="24"/>
  <c r="O58" i="24"/>
  <c r="C31" i="38"/>
  <c r="C30" i="41"/>
  <c r="A30" i="41"/>
  <c r="C80" i="41"/>
  <c r="A80" i="41"/>
  <c r="C130" i="41"/>
  <c r="A130" i="41"/>
  <c r="C180" i="41"/>
  <c r="A180" i="41"/>
  <c r="C71" i="82"/>
  <c r="A71" i="82"/>
  <c r="C30" i="82"/>
  <c r="A30" i="82"/>
  <c r="C31" i="83"/>
  <c r="C31" i="81"/>
  <c r="C87" i="80"/>
  <c r="A87" i="80"/>
  <c r="C31" i="80"/>
  <c r="C31" i="19"/>
  <c r="C32" i="20"/>
  <c r="G32" i="20"/>
  <c r="E68" i="97"/>
  <c r="E113" i="97"/>
  <c r="E148" i="97"/>
  <c r="E240" i="97"/>
  <c r="H122" i="5"/>
  <c r="D122" i="5"/>
  <c r="D27" i="71"/>
  <c r="C30" i="72"/>
  <c r="C30" i="63"/>
  <c r="C44" i="66"/>
  <c r="M56" i="24"/>
  <c r="M58" i="24"/>
  <c r="C29" i="38"/>
  <c r="C28" i="41"/>
  <c r="A28" i="41"/>
  <c r="C78" i="41"/>
  <c r="A78" i="41"/>
  <c r="C128" i="41"/>
  <c r="A128" i="41"/>
  <c r="C178" i="41"/>
  <c r="A178" i="41"/>
  <c r="C28" i="82"/>
  <c r="A28" i="82"/>
  <c r="C69" i="82"/>
  <c r="A69" i="82"/>
  <c r="C29" i="83"/>
  <c r="C29" i="81"/>
  <c r="C85" i="80"/>
  <c r="A85" i="80"/>
  <c r="C29" i="80"/>
  <c r="C29" i="19"/>
  <c r="C30" i="20"/>
  <c r="G30" i="20"/>
  <c r="E66" i="97"/>
  <c r="E111" i="97"/>
  <c r="E146" i="97"/>
  <c r="E238" i="97"/>
  <c r="H120" i="5"/>
  <c r="D120" i="5"/>
  <c r="D25" i="71"/>
  <c r="C28" i="72"/>
  <c r="C28" i="63"/>
  <c r="C42" i="66"/>
  <c r="K56" i="24"/>
  <c r="K58" i="24"/>
  <c r="C27" i="38"/>
  <c r="C26" i="41"/>
  <c r="A26" i="41"/>
  <c r="C76" i="41"/>
  <c r="A76" i="41"/>
  <c r="C126" i="41"/>
  <c r="A126" i="41"/>
  <c r="C176" i="41"/>
  <c r="A176" i="41"/>
  <c r="C67" i="82"/>
  <c r="A67" i="82"/>
  <c r="C26" i="82"/>
  <c r="A26" i="82"/>
  <c r="C76" i="83"/>
  <c r="C27" i="83"/>
  <c r="C27" i="81"/>
  <c r="C27" i="80"/>
  <c r="C83" i="80"/>
  <c r="A83" i="80"/>
  <c r="C27" i="19"/>
  <c r="C28" i="20"/>
  <c r="G28" i="20"/>
  <c r="E64" i="97"/>
  <c r="E109" i="97"/>
  <c r="E144" i="97"/>
  <c r="E236" i="97"/>
  <c r="H118" i="5"/>
  <c r="D118" i="5"/>
  <c r="D23" i="71"/>
  <c r="C26" i="72"/>
  <c r="C26" i="63"/>
  <c r="C40" i="66"/>
  <c r="I56" i="24"/>
  <c r="I58" i="24"/>
  <c r="C25" i="38"/>
  <c r="C24" i="41"/>
  <c r="A24" i="41"/>
  <c r="C74" i="41"/>
  <c r="A74" i="41"/>
  <c r="C124" i="41"/>
  <c r="A124" i="41"/>
  <c r="C174" i="41"/>
  <c r="A174" i="41"/>
  <c r="C24" i="82"/>
  <c r="A24" i="82"/>
  <c r="C65" i="82"/>
  <c r="A65" i="82"/>
  <c r="C25" i="83"/>
  <c r="C74" i="83"/>
  <c r="C78" i="83"/>
  <c r="C80" i="83"/>
  <c r="C82" i="83"/>
  <c r="C84" i="83"/>
  <c r="C83" i="83"/>
  <c r="C25" i="81"/>
  <c r="C81" i="83"/>
  <c r="C79" i="83"/>
  <c r="C77" i="83"/>
  <c r="C85" i="83"/>
  <c r="C25" i="80"/>
  <c r="C81" i="80"/>
  <c r="A81" i="80"/>
  <c r="C25" i="19"/>
  <c r="C26" i="20"/>
  <c r="G26" i="20"/>
  <c r="E62" i="97"/>
  <c r="E107" i="97"/>
  <c r="E142" i="97"/>
  <c r="E234" i="97"/>
  <c r="H116" i="5"/>
  <c r="D116" i="5"/>
  <c r="D21" i="71"/>
  <c r="C24" i="72"/>
  <c r="C24" i="63"/>
  <c r="C38" i="66"/>
  <c r="G56" i="24"/>
  <c r="G58" i="24"/>
  <c r="C23" i="38"/>
  <c r="C22" i="41"/>
  <c r="A22" i="41"/>
  <c r="C72" i="41"/>
  <c r="A72" i="41"/>
  <c r="C122" i="41"/>
  <c r="A122" i="41"/>
  <c r="C172" i="41"/>
  <c r="A172" i="41"/>
  <c r="C63" i="82"/>
  <c r="A63" i="82"/>
  <c r="C22" i="82"/>
  <c r="A22" i="82"/>
  <c r="C72" i="83"/>
  <c r="C23" i="83"/>
  <c r="C23" i="81"/>
  <c r="C23" i="80"/>
  <c r="C79" i="80"/>
  <c r="A79" i="80"/>
  <c r="C23" i="19"/>
  <c r="C24" i="20"/>
  <c r="G24" i="20"/>
  <c r="E60" i="97"/>
  <c r="E105" i="97"/>
  <c r="E140" i="97"/>
  <c r="E232" i="97"/>
  <c r="J144" i="96"/>
  <c r="F174" i="96"/>
  <c r="N174" i="96"/>
  <c r="J204" i="96"/>
  <c r="N144" i="96"/>
  <c r="J174" i="96"/>
  <c r="F204" i="96"/>
  <c r="N204" i="96"/>
  <c r="F144" i="96"/>
  <c r="J140" i="96"/>
  <c r="F170" i="96"/>
  <c r="N170" i="96"/>
  <c r="J200" i="96"/>
  <c r="N200" i="96"/>
  <c r="F140" i="96"/>
  <c r="N140" i="96"/>
  <c r="J170" i="96"/>
  <c r="F200" i="96"/>
  <c r="J136" i="96"/>
  <c r="F166" i="96"/>
  <c r="N166" i="96"/>
  <c r="J196" i="96"/>
  <c r="N136" i="96"/>
  <c r="J166" i="96"/>
  <c r="F196" i="96"/>
  <c r="N196" i="96"/>
  <c r="F136" i="96"/>
  <c r="G259" i="97"/>
  <c r="I259" i="97"/>
  <c r="G255" i="97"/>
  <c r="I256" i="97"/>
  <c r="G257" i="97"/>
  <c r="I263" i="97"/>
  <c r="G253" i="97"/>
  <c r="G254" i="97"/>
  <c r="I260" i="97"/>
  <c r="I261" i="97"/>
  <c r="G262" i="97"/>
  <c r="G258" i="97"/>
  <c r="I255" i="97"/>
  <c r="G256" i="97"/>
  <c r="I257" i="97"/>
  <c r="G263" i="97"/>
  <c r="I253" i="97"/>
  <c r="I254" i="97"/>
  <c r="G260" i="97"/>
  <c r="G261" i="97"/>
  <c r="I262" i="97"/>
  <c r="I258" i="97"/>
  <c r="A19" i="31"/>
  <c r="A17" i="31"/>
  <c r="D45" i="81"/>
  <c r="D97" i="81"/>
  <c r="K9" i="32"/>
  <c r="I9" i="31"/>
  <c r="O11" i="288"/>
  <c r="O37" i="289"/>
  <c r="K11" i="288"/>
  <c r="K37" i="289"/>
  <c r="G11" i="288"/>
  <c r="G37" i="289"/>
  <c r="P186" i="33"/>
  <c r="D90" i="80"/>
  <c r="D34" i="19"/>
  <c r="F35" i="20"/>
  <c r="G71" i="97"/>
  <c r="G243" i="97"/>
  <c r="D86" i="80"/>
  <c r="D30" i="19"/>
  <c r="F31" i="20"/>
  <c r="G67" i="97"/>
  <c r="G239" i="97"/>
  <c r="D84" i="80"/>
  <c r="D28" i="19"/>
  <c r="F29" i="20"/>
  <c r="G65" i="97"/>
  <c r="G237" i="97"/>
  <c r="C92" i="33"/>
  <c r="P37" i="289"/>
  <c r="P11" i="288"/>
  <c r="L37" i="289"/>
  <c r="L11" i="288"/>
  <c r="H37" i="289"/>
  <c r="H11" i="288"/>
  <c r="Q186" i="33"/>
  <c r="M186" i="33"/>
  <c r="A163" i="91"/>
  <c r="G163" i="91"/>
  <c r="H163" i="91"/>
  <c r="F39" i="24"/>
  <c r="N39" i="24"/>
  <c r="M39" i="24"/>
  <c r="F19" i="38"/>
  <c r="P227" i="97"/>
  <c r="Q228" i="97"/>
  <c r="J228" i="97"/>
  <c r="S224" i="97"/>
  <c r="H63" i="91"/>
  <c r="AN9" i="31"/>
  <c r="R129" i="97"/>
  <c r="I129" i="97"/>
  <c r="J221" i="97"/>
  <c r="H221" i="97"/>
  <c r="S138" i="97"/>
  <c r="I138" i="97"/>
  <c r="S134" i="97"/>
  <c r="I134" i="97"/>
  <c r="S130" i="97"/>
  <c r="I130" i="97"/>
  <c r="R229" i="97"/>
  <c r="L229" i="97"/>
  <c r="R223" i="97"/>
  <c r="F20" i="38"/>
  <c r="H225" i="97"/>
  <c r="H230" i="97"/>
  <c r="R226" i="97"/>
  <c r="P226" i="97"/>
  <c r="J222" i="97"/>
  <c r="R222" i="97"/>
  <c r="R136" i="97"/>
  <c r="H136" i="97"/>
  <c r="R132" i="97"/>
  <c r="H132" i="97"/>
  <c r="L163" i="91"/>
  <c r="Y229" i="97"/>
  <c r="H39" i="24"/>
  <c r="G39" i="24"/>
  <c r="O39" i="24"/>
  <c r="N131" i="97"/>
  <c r="H131" i="97"/>
  <c r="R131" i="97"/>
  <c r="X131" i="97"/>
  <c r="I131" i="97"/>
  <c r="S131" i="97"/>
  <c r="M131" i="97"/>
  <c r="W131" i="97"/>
  <c r="F12" i="38"/>
  <c r="S227" i="97"/>
  <c r="Q227" i="97"/>
  <c r="R228" i="97"/>
  <c r="P224" i="97"/>
  <c r="H224" i="97"/>
  <c r="H59" i="91"/>
  <c r="X129" i="97"/>
  <c r="N129" i="97"/>
  <c r="H129" i="97"/>
  <c r="L221" i="97"/>
  <c r="R138" i="97"/>
  <c r="H138" i="97"/>
  <c r="R134" i="97"/>
  <c r="H134" i="97"/>
  <c r="R130" i="97"/>
  <c r="H130" i="97"/>
  <c r="S229" i="97"/>
  <c r="H62" i="91"/>
  <c r="L223" i="97"/>
  <c r="Y223" i="97"/>
  <c r="S223" i="97"/>
  <c r="F13" i="38"/>
  <c r="Q225" i="97"/>
  <c r="J225" i="97"/>
  <c r="Q230" i="97"/>
  <c r="J230" i="97"/>
  <c r="S226" i="97"/>
  <c r="Q226" i="97"/>
  <c r="L222" i="97"/>
  <c r="H222" i="97"/>
  <c r="X136" i="97"/>
  <c r="N136" i="97"/>
  <c r="X132" i="97"/>
  <c r="N132" i="97"/>
  <c r="H64" i="91"/>
  <c r="R163" i="91"/>
  <c r="M163" i="91"/>
  <c r="Y222" i="97"/>
  <c r="O163" i="91"/>
  <c r="J39" i="24"/>
  <c r="I39" i="24"/>
  <c r="AI9" i="31"/>
  <c r="J227" i="97"/>
  <c r="R227" i="97"/>
  <c r="L228" i="97"/>
  <c r="Y228" i="97"/>
  <c r="S228" i="97"/>
  <c r="Q224" i="97"/>
  <c r="J224" i="97"/>
  <c r="H55" i="91"/>
  <c r="W129" i="97"/>
  <c r="M129" i="97"/>
  <c r="F16" i="38"/>
  <c r="R221" i="97"/>
  <c r="P221" i="97"/>
  <c r="X138" i="97"/>
  <c r="N138" i="97"/>
  <c r="X134" i="97"/>
  <c r="N134" i="97"/>
  <c r="X130" i="97"/>
  <c r="N130" i="97"/>
  <c r="P229" i="97"/>
  <c r="H229" i="97"/>
  <c r="H58" i="91"/>
  <c r="P223" i="97"/>
  <c r="H223" i="97"/>
  <c r="R225" i="97"/>
  <c r="L225" i="97"/>
  <c r="R230" i="97"/>
  <c r="L230" i="97"/>
  <c r="J226" i="97"/>
  <c r="H226" i="97"/>
  <c r="P222" i="97"/>
  <c r="H61" i="91"/>
  <c r="F17" i="38"/>
  <c r="W136" i="97"/>
  <c r="M136" i="97"/>
  <c r="W132" i="97"/>
  <c r="M132" i="97"/>
  <c r="H60" i="91"/>
  <c r="P163" i="91"/>
  <c r="N163" i="91"/>
  <c r="Y225" i="97"/>
  <c r="Y221" i="97"/>
  <c r="L39" i="24"/>
  <c r="K39" i="24"/>
  <c r="J11" i="61"/>
  <c r="N135" i="97"/>
  <c r="H135" i="97"/>
  <c r="R135" i="97"/>
  <c r="I135" i="97"/>
  <c r="S135" i="97"/>
  <c r="X135" i="97"/>
  <c r="M135" i="97"/>
  <c r="W135" i="97"/>
  <c r="F21" i="38"/>
  <c r="L227" i="97"/>
  <c r="Y227" i="97"/>
  <c r="H227" i="97"/>
  <c r="P228" i="97"/>
  <c r="H228" i="97"/>
  <c r="R224" i="97"/>
  <c r="L224" i="97"/>
  <c r="Y224" i="97"/>
  <c r="S129" i="97"/>
  <c r="S221" i="97"/>
  <c r="Q221" i="97"/>
  <c r="W138" i="97"/>
  <c r="M138" i="97"/>
  <c r="W134" i="97"/>
  <c r="M134" i="97"/>
  <c r="W130" i="97"/>
  <c r="M130" i="97"/>
  <c r="Q229" i="97"/>
  <c r="J229" i="97"/>
  <c r="Q223" i="97"/>
  <c r="J223" i="97"/>
  <c r="S225" i="97"/>
  <c r="P225" i="97"/>
  <c r="S230" i="97"/>
  <c r="P230" i="97"/>
  <c r="L226" i="97"/>
  <c r="Y226" i="97"/>
  <c r="S222" i="97"/>
  <c r="Q222" i="97"/>
  <c r="H57" i="91"/>
  <c r="F15" i="38"/>
  <c r="S136" i="97"/>
  <c r="I136" i="97"/>
  <c r="S132" i="97"/>
  <c r="I132" i="97"/>
  <c r="H56" i="91"/>
  <c r="K163" i="91"/>
  <c r="Y230" i="97"/>
  <c r="V275" i="91"/>
  <c r="V256" i="91"/>
  <c r="V248" i="91"/>
  <c r="V263" i="91"/>
  <c r="V276" i="91"/>
  <c r="V279" i="91"/>
  <c r="V278" i="91"/>
  <c r="V267" i="91"/>
  <c r="V264" i="91"/>
  <c r="V266" i="91"/>
  <c r="V255" i="91"/>
  <c r="V231" i="91"/>
  <c r="V228" i="91"/>
  <c r="V270" i="91"/>
  <c r="V235" i="91"/>
  <c r="V232" i="91"/>
  <c r="V260" i="91"/>
  <c r="V241" i="91"/>
  <c r="V246" i="91"/>
  <c r="V245" i="91"/>
  <c r="V236" i="91"/>
  <c r="V259" i="91"/>
  <c r="V242" i="91"/>
  <c r="V262" i="91"/>
  <c r="V257" i="91"/>
  <c r="V234" i="91"/>
  <c r="R124" i="97"/>
  <c r="U223" i="91"/>
  <c r="V254" i="91"/>
  <c r="V238" i="91"/>
  <c r="V273" i="91"/>
  <c r="V258" i="91"/>
  <c r="V226" i="91"/>
  <c r="V239" i="91"/>
  <c r="V225" i="91"/>
  <c r="V243" i="91"/>
  <c r="V240" i="91"/>
  <c r="V277" i="91"/>
  <c r="V229" i="91"/>
  <c r="V268" i="91"/>
  <c r="V265" i="91"/>
  <c r="V230" i="91"/>
  <c r="U254" i="91"/>
  <c r="V237" i="91"/>
  <c r="V227" i="91"/>
  <c r="V247" i="91"/>
  <c r="V271" i="91"/>
  <c r="V233" i="91"/>
  <c r="V274" i="91"/>
  <c r="V224" i="91"/>
  <c r="V244" i="91"/>
  <c r="V272" i="91"/>
  <c r="V223" i="91"/>
  <c r="V261" i="91"/>
  <c r="V269" i="91"/>
  <c r="S22" i="91"/>
  <c r="U96" i="97"/>
  <c r="S96" i="97"/>
  <c r="H622" i="26"/>
  <c r="H457" i="26"/>
  <c r="H424" i="26"/>
  <c r="H787" i="26"/>
  <c r="H490" i="26"/>
  <c r="G220" i="26"/>
  <c r="G216" i="26"/>
  <c r="G212" i="26"/>
  <c r="H853" i="26"/>
  <c r="G846" i="26"/>
  <c r="G805" i="26"/>
  <c r="G816" i="26"/>
  <c r="G807" i="26"/>
  <c r="G815" i="26"/>
  <c r="G774" i="26"/>
  <c r="G772" i="26"/>
  <c r="G706" i="26"/>
  <c r="G715" i="26"/>
  <c r="G678" i="26"/>
  <c r="G712" i="26"/>
  <c r="G673" i="26"/>
  <c r="G683" i="26"/>
  <c r="G681" i="26"/>
  <c r="G686" i="26"/>
  <c r="G682" i="26"/>
  <c r="G707" i="26"/>
  <c r="G685" i="26"/>
  <c r="G651" i="26"/>
  <c r="G647" i="26"/>
  <c r="G646" i="26"/>
  <c r="H589" i="26"/>
  <c r="G581" i="26"/>
  <c r="G584" i="26"/>
  <c r="H556" i="26"/>
  <c r="G547" i="26"/>
  <c r="G446" i="26"/>
  <c r="G544" i="26"/>
  <c r="G449" i="26"/>
  <c r="G543" i="26"/>
  <c r="G483" i="26"/>
  <c r="G384" i="26"/>
  <c r="G478" i="26"/>
  <c r="G379" i="26"/>
  <c r="G479" i="26"/>
  <c r="G415" i="26"/>
  <c r="G159" i="26"/>
  <c r="G423" i="26"/>
  <c r="G152" i="26"/>
  <c r="G416" i="26"/>
  <c r="G151" i="26"/>
  <c r="G480" i="26"/>
  <c r="G488" i="26"/>
  <c r="G444" i="26"/>
  <c r="G450" i="26"/>
  <c r="G123" i="26"/>
  <c r="G155" i="26"/>
  <c r="G156" i="26"/>
  <c r="G222" i="26"/>
  <c r="G218" i="26"/>
  <c r="G214" i="26"/>
  <c r="G809" i="26"/>
  <c r="G817" i="26"/>
  <c r="G783" i="26"/>
  <c r="G778" i="26"/>
  <c r="G814" i="26"/>
  <c r="G780" i="26"/>
  <c r="G784" i="26"/>
  <c r="G779" i="26"/>
  <c r="H721" i="26"/>
  <c r="G717" i="26"/>
  <c r="G711" i="26"/>
  <c r="G714" i="26"/>
  <c r="G677" i="26"/>
  <c r="G676" i="26"/>
  <c r="G610" i="26"/>
  <c r="G621" i="26"/>
  <c r="G609" i="26"/>
  <c r="G445" i="26"/>
  <c r="H391" i="26"/>
  <c r="G388" i="26"/>
  <c r="G383" i="26"/>
  <c r="G124" i="26"/>
  <c r="G412" i="26"/>
  <c r="G387" i="26"/>
  <c r="G481" i="26"/>
  <c r="G489" i="26"/>
  <c r="G378" i="26"/>
  <c r="G386" i="26"/>
  <c r="G381" i="26"/>
  <c r="G389" i="26"/>
  <c r="G418" i="26"/>
  <c r="G154" i="26"/>
  <c r="G409" i="26"/>
  <c r="G417" i="26"/>
  <c r="G323" i="26"/>
  <c r="G221" i="26"/>
  <c r="G217" i="26"/>
  <c r="G213" i="26"/>
  <c r="G838" i="26"/>
  <c r="G845" i="26"/>
  <c r="G786" i="26"/>
  <c r="G785" i="26"/>
  <c r="G775" i="26"/>
  <c r="H820" i="26"/>
  <c r="G811" i="26"/>
  <c r="G819" i="26"/>
  <c r="G773" i="26"/>
  <c r="H754" i="26"/>
  <c r="G687" i="26"/>
  <c r="G708" i="26"/>
  <c r="G679" i="26"/>
  <c r="G674" i="26"/>
  <c r="H655" i="26"/>
  <c r="G648" i="26"/>
  <c r="G650" i="26"/>
  <c r="G574" i="26"/>
  <c r="G576" i="26"/>
  <c r="G443" i="26"/>
  <c r="G550" i="26"/>
  <c r="G442" i="26"/>
  <c r="G548" i="26"/>
  <c r="G556" i="26"/>
  <c r="G376" i="26"/>
  <c r="G486" i="26"/>
  <c r="G475" i="26"/>
  <c r="G487" i="26"/>
  <c r="G225" i="26"/>
  <c r="G419" i="26"/>
  <c r="G224" i="26"/>
  <c r="G410" i="26"/>
  <c r="G476" i="26"/>
  <c r="G484" i="26"/>
  <c r="G385" i="26"/>
  <c r="G411" i="26"/>
  <c r="H523" i="26"/>
  <c r="G456" i="26"/>
  <c r="G808" i="26"/>
  <c r="G782" i="26"/>
  <c r="G806" i="26"/>
  <c r="G781" i="26"/>
  <c r="G777" i="26"/>
  <c r="G754" i="26"/>
  <c r="G125" i="26"/>
  <c r="G153" i="26"/>
  <c r="G523" i="26"/>
  <c r="G413" i="26"/>
  <c r="G421" i="26"/>
  <c r="G157" i="26"/>
  <c r="G324" i="26"/>
  <c r="L113" i="5"/>
  <c r="C152" i="70"/>
  <c r="A166" i="70"/>
  <c r="L111" i="5"/>
  <c r="C111" i="70"/>
  <c r="L108" i="5"/>
  <c r="C55" i="70"/>
  <c r="M107" i="5"/>
  <c r="H40" i="70"/>
  <c r="M112" i="5"/>
  <c r="H126" i="70"/>
  <c r="M110" i="5"/>
  <c r="H96" i="70"/>
  <c r="L114" i="5"/>
  <c r="C167" i="70"/>
  <c r="L110" i="5"/>
  <c r="C96" i="70"/>
  <c r="M109" i="5"/>
  <c r="H81" i="70"/>
  <c r="M114" i="5"/>
  <c r="H167" i="70"/>
  <c r="M108" i="5"/>
  <c r="H55" i="70"/>
  <c r="L107" i="5"/>
  <c r="C40" i="70"/>
  <c r="L109" i="5"/>
  <c r="C81" i="70"/>
  <c r="L112" i="5"/>
  <c r="C126" i="70"/>
  <c r="L105" i="5"/>
  <c r="C10" i="70"/>
  <c r="L106" i="5"/>
  <c r="C25" i="70"/>
  <c r="M105" i="5"/>
  <c r="H10" i="70"/>
  <c r="M106" i="5"/>
  <c r="H25" i="70"/>
  <c r="M111" i="5"/>
  <c r="H111" i="70"/>
  <c r="Y135" i="97"/>
  <c r="O135" i="97"/>
  <c r="T135" i="97"/>
  <c r="J135" i="97"/>
  <c r="AI9" i="32"/>
  <c r="Y131" i="97"/>
  <c r="O131" i="97"/>
  <c r="T131" i="97"/>
  <c r="J131" i="97"/>
  <c r="G179" i="26"/>
  <c r="G244" i="26"/>
  <c r="S102" i="97"/>
  <c r="S28" i="91"/>
  <c r="G193" i="26"/>
  <c r="G344" i="26"/>
  <c r="G358" i="26"/>
  <c r="S98" i="97"/>
  <c r="S24" i="91"/>
  <c r="D22" i="91"/>
  <c r="D23" i="91"/>
  <c r="J132" i="97"/>
  <c r="O132" i="97"/>
  <c r="T132" i="97"/>
  <c r="Y132" i="97"/>
  <c r="J136" i="97"/>
  <c r="O136" i="97"/>
  <c r="T136" i="97"/>
  <c r="Y136" i="97"/>
  <c r="O15" i="38"/>
  <c r="O17" i="38"/>
  <c r="E13" i="19"/>
  <c r="Z13" i="19"/>
  <c r="O13" i="19"/>
  <c r="N13" i="19"/>
  <c r="M13" i="19"/>
  <c r="I13" i="19"/>
  <c r="J13" i="19"/>
  <c r="K222" i="97"/>
  <c r="H13" i="19"/>
  <c r="N222" i="97"/>
  <c r="G13" i="19"/>
  <c r="P13" i="19"/>
  <c r="E17" i="19"/>
  <c r="Z17" i="19"/>
  <c r="N17" i="19"/>
  <c r="M17" i="19"/>
  <c r="I17" i="19"/>
  <c r="J17" i="19"/>
  <c r="K226" i="97"/>
  <c r="H17" i="19"/>
  <c r="N226" i="97"/>
  <c r="G17" i="19"/>
  <c r="P17" i="19"/>
  <c r="O17" i="19"/>
  <c r="M21" i="19"/>
  <c r="I21" i="19"/>
  <c r="J21" i="19"/>
  <c r="K230" i="97"/>
  <c r="H21" i="19"/>
  <c r="N230" i="97"/>
  <c r="G21" i="19"/>
  <c r="E21" i="19"/>
  <c r="Z21" i="19"/>
  <c r="P21" i="19"/>
  <c r="O21" i="19"/>
  <c r="N21" i="19"/>
  <c r="M16" i="19"/>
  <c r="I16" i="19"/>
  <c r="J16" i="19"/>
  <c r="K225" i="97"/>
  <c r="H16" i="19"/>
  <c r="N225" i="97"/>
  <c r="G16" i="19"/>
  <c r="E16" i="19"/>
  <c r="Z16" i="19"/>
  <c r="P16" i="19"/>
  <c r="O16" i="19"/>
  <c r="N16" i="19"/>
  <c r="O13" i="38"/>
  <c r="O20" i="38"/>
  <c r="G14" i="19"/>
  <c r="E14" i="19"/>
  <c r="Z14" i="19"/>
  <c r="P14" i="19"/>
  <c r="O14" i="19"/>
  <c r="N14" i="19"/>
  <c r="M14" i="19"/>
  <c r="I14" i="19"/>
  <c r="J14" i="19"/>
  <c r="K223" i="97"/>
  <c r="H14" i="19"/>
  <c r="N223" i="97"/>
  <c r="I20" i="19"/>
  <c r="J20" i="19"/>
  <c r="K229" i="97"/>
  <c r="H20" i="19"/>
  <c r="N229" i="97"/>
  <c r="G20" i="19"/>
  <c r="E20" i="19"/>
  <c r="Z20" i="19"/>
  <c r="AA20" i="19"/>
  <c r="P20" i="19"/>
  <c r="O20" i="19"/>
  <c r="N20" i="19"/>
  <c r="M20" i="19"/>
  <c r="J130" i="97"/>
  <c r="O130" i="97"/>
  <c r="T130" i="97"/>
  <c r="Y130" i="97"/>
  <c r="J134" i="97"/>
  <c r="O134" i="97"/>
  <c r="T134" i="97"/>
  <c r="Y134" i="97"/>
  <c r="J138" i="97"/>
  <c r="O138" i="97"/>
  <c r="T138" i="97"/>
  <c r="Y138" i="97"/>
  <c r="E12" i="19"/>
  <c r="Z12" i="19"/>
  <c r="N12" i="19"/>
  <c r="M12" i="19"/>
  <c r="I12" i="19"/>
  <c r="J12" i="19"/>
  <c r="K221" i="97"/>
  <c r="H12" i="19"/>
  <c r="N221" i="97"/>
  <c r="G12" i="19"/>
  <c r="P12" i="19"/>
  <c r="O12" i="19"/>
  <c r="O16" i="38"/>
  <c r="J129" i="97"/>
  <c r="O129" i="97"/>
  <c r="T129" i="97"/>
  <c r="Y129" i="97"/>
  <c r="I15" i="19"/>
  <c r="J15" i="19"/>
  <c r="N224" i="97"/>
  <c r="K224" i="97"/>
  <c r="H15" i="19"/>
  <c r="G15" i="19"/>
  <c r="E15" i="19"/>
  <c r="Z15" i="19"/>
  <c r="P15" i="19"/>
  <c r="O15" i="19"/>
  <c r="N15" i="19"/>
  <c r="M15" i="19"/>
  <c r="G19" i="19"/>
  <c r="E19" i="19"/>
  <c r="Z19" i="19"/>
  <c r="P19" i="19"/>
  <c r="O19" i="19"/>
  <c r="N19" i="19"/>
  <c r="M19" i="19"/>
  <c r="I19" i="19"/>
  <c r="J19" i="19"/>
  <c r="N228" i="97"/>
  <c r="K228" i="97"/>
  <c r="H19" i="19"/>
  <c r="E18" i="19"/>
  <c r="Z18" i="19"/>
  <c r="O18" i="19"/>
  <c r="N18" i="19"/>
  <c r="M18" i="19"/>
  <c r="I18" i="19"/>
  <c r="J18" i="19"/>
  <c r="K227" i="97"/>
  <c r="H18" i="19"/>
  <c r="N227" i="97"/>
  <c r="G18" i="19"/>
  <c r="P18" i="19"/>
  <c r="O12" i="38"/>
  <c r="O19" i="38"/>
  <c r="O21" i="38"/>
  <c r="F9" i="68"/>
  <c r="R9" i="32"/>
  <c r="J60" i="97"/>
  <c r="P60" i="97"/>
  <c r="I23" i="38"/>
  <c r="H60" i="97"/>
  <c r="M60" i="97"/>
  <c r="L60" i="97"/>
  <c r="A60" i="97"/>
  <c r="I60" i="97"/>
  <c r="N60" i="97"/>
  <c r="AU23" i="80"/>
  <c r="A23" i="80"/>
  <c r="BI23" i="80"/>
  <c r="F38" i="66"/>
  <c r="J38" i="66"/>
  <c r="N38" i="66"/>
  <c r="C75" i="66"/>
  <c r="G38" i="66"/>
  <c r="K38" i="66"/>
  <c r="O38" i="66"/>
  <c r="E38" i="66"/>
  <c r="I38" i="66"/>
  <c r="Q38" i="66"/>
  <c r="H38" i="66"/>
  <c r="L38" i="66"/>
  <c r="P38" i="66"/>
  <c r="M38" i="66"/>
  <c r="M62" i="97"/>
  <c r="A62" i="97"/>
  <c r="J62" i="97"/>
  <c r="P62" i="97"/>
  <c r="I25" i="38"/>
  <c r="I62" i="97"/>
  <c r="L62" i="97"/>
  <c r="H62" i="97"/>
  <c r="N62" i="97"/>
  <c r="AU25" i="80"/>
  <c r="BI25" i="80"/>
  <c r="A25" i="80"/>
  <c r="I81" i="83"/>
  <c r="M81" i="83"/>
  <c r="J81" i="83"/>
  <c r="G81" i="83"/>
  <c r="K81" i="83"/>
  <c r="H81" i="83"/>
  <c r="L81" i="83"/>
  <c r="G82" i="83"/>
  <c r="K82" i="83"/>
  <c r="H82" i="83"/>
  <c r="L82" i="83"/>
  <c r="I82" i="83"/>
  <c r="M82" i="83"/>
  <c r="J82" i="83"/>
  <c r="D52" i="71"/>
  <c r="D81" i="71"/>
  <c r="G109" i="97"/>
  <c r="A109" i="97"/>
  <c r="G76" i="83"/>
  <c r="L76" i="83"/>
  <c r="J76" i="83"/>
  <c r="M76" i="83"/>
  <c r="H76" i="83"/>
  <c r="K76" i="83"/>
  <c r="I76" i="83"/>
  <c r="D54" i="71"/>
  <c r="D83" i="71"/>
  <c r="A111" i="97"/>
  <c r="G111" i="97"/>
  <c r="AU29" i="80"/>
  <c r="BI29" i="80"/>
  <c r="A29" i="80"/>
  <c r="F44" i="66"/>
  <c r="J44" i="66"/>
  <c r="N44" i="66"/>
  <c r="G44" i="66"/>
  <c r="K44" i="66"/>
  <c r="O44" i="66"/>
  <c r="E44" i="66"/>
  <c r="I44" i="66"/>
  <c r="Q44" i="66"/>
  <c r="H44" i="66"/>
  <c r="L44" i="66"/>
  <c r="P44" i="66"/>
  <c r="C81" i="66"/>
  <c r="M44" i="66"/>
  <c r="L68" i="97"/>
  <c r="H68" i="97"/>
  <c r="M68" i="97"/>
  <c r="A68" i="97"/>
  <c r="I68" i="97"/>
  <c r="N68" i="97"/>
  <c r="J68" i="97"/>
  <c r="P68" i="97"/>
  <c r="I31" i="38"/>
  <c r="C66" i="63"/>
  <c r="E32" i="63"/>
  <c r="M32" i="63"/>
  <c r="I242" i="97"/>
  <c r="F33" i="19"/>
  <c r="M242" i="97"/>
  <c r="R242" i="97"/>
  <c r="O33" i="19"/>
  <c r="A242" i="97"/>
  <c r="J242" i="97"/>
  <c r="G33" i="19"/>
  <c r="N242" i="97"/>
  <c r="S242" i="97"/>
  <c r="P33" i="19"/>
  <c r="Y242" i="97"/>
  <c r="L242" i="97"/>
  <c r="P242" i="97"/>
  <c r="M33" i="19"/>
  <c r="T242" i="97"/>
  <c r="H242" i="97"/>
  <c r="E33" i="19"/>
  <c r="Q242" i="97"/>
  <c r="N33" i="19"/>
  <c r="U242" i="97"/>
  <c r="G33" i="38"/>
  <c r="A33" i="38"/>
  <c r="A71" i="38"/>
  <c r="A34" i="20"/>
  <c r="C85" i="81"/>
  <c r="A85" i="81"/>
  <c r="A33" i="81"/>
  <c r="K33" i="38"/>
  <c r="O33" i="38"/>
  <c r="L33" i="38"/>
  <c r="P33" i="38"/>
  <c r="C71" i="38"/>
  <c r="M33" i="38"/>
  <c r="F33" i="38"/>
  <c r="J33" i="38"/>
  <c r="N33" i="38"/>
  <c r="E34" i="72"/>
  <c r="S34" i="72"/>
  <c r="C68" i="72"/>
  <c r="E68" i="72"/>
  <c r="S68" i="72"/>
  <c r="Q117" i="97"/>
  <c r="G152" i="97"/>
  <c r="A152" i="97"/>
  <c r="E187" i="97"/>
  <c r="A187" i="97"/>
  <c r="A35" i="19"/>
  <c r="V35" i="19"/>
  <c r="W35" i="19"/>
  <c r="X35" i="19"/>
  <c r="D62" i="71"/>
  <c r="D91" i="71"/>
  <c r="D22" i="41"/>
  <c r="D72" i="41"/>
  <c r="D122" i="41"/>
  <c r="D172" i="41"/>
  <c r="D23" i="82"/>
  <c r="D64" i="82"/>
  <c r="D76" i="81"/>
  <c r="D24" i="81"/>
  <c r="D25" i="82"/>
  <c r="D66" i="82"/>
  <c r="D26" i="41"/>
  <c r="D126" i="41"/>
  <c r="D176" i="41"/>
  <c r="D76" i="41"/>
  <c r="D27" i="82"/>
  <c r="D68" i="82"/>
  <c r="D30" i="41"/>
  <c r="D80" i="41"/>
  <c r="D130" i="41"/>
  <c r="D180" i="41"/>
  <c r="G179" i="96"/>
  <c r="L179" i="96"/>
  <c r="H179" i="96"/>
  <c r="P179" i="96"/>
  <c r="P149" i="96"/>
  <c r="H149" i="96"/>
  <c r="G149" i="96"/>
  <c r="L149" i="96"/>
  <c r="P213" i="96"/>
  <c r="H213" i="96"/>
  <c r="G213" i="96"/>
  <c r="L213" i="96"/>
  <c r="G187" i="96"/>
  <c r="L187" i="96"/>
  <c r="H187" i="96"/>
  <c r="P187" i="96"/>
  <c r="P157" i="96"/>
  <c r="H157" i="96"/>
  <c r="L157" i="96"/>
  <c r="G157" i="96"/>
  <c r="U97" i="97"/>
  <c r="U101" i="97"/>
  <c r="D33" i="82"/>
  <c r="D74" i="82"/>
  <c r="D34" i="41"/>
  <c r="D84" i="41"/>
  <c r="D134" i="41"/>
  <c r="D184" i="41"/>
  <c r="D35" i="82"/>
  <c r="D76" i="82"/>
  <c r="A59" i="97"/>
  <c r="I59" i="97"/>
  <c r="N59" i="97"/>
  <c r="J59" i="97"/>
  <c r="L59" i="97"/>
  <c r="P59" i="97"/>
  <c r="I22" i="38"/>
  <c r="H59" i="97"/>
  <c r="M59" i="97"/>
  <c r="E23" i="63"/>
  <c r="M23" i="63"/>
  <c r="C57" i="63"/>
  <c r="L115" i="5"/>
  <c r="C182" i="70"/>
  <c r="M117" i="5"/>
  <c r="H223" i="70"/>
  <c r="K223" i="70"/>
  <c r="L125" i="5"/>
  <c r="C365" i="70"/>
  <c r="L122" i="5"/>
  <c r="C309" i="70"/>
  <c r="L118" i="5"/>
  <c r="C238" i="70"/>
  <c r="M119" i="5"/>
  <c r="H253" i="70"/>
  <c r="K253" i="70"/>
  <c r="L123" i="5"/>
  <c r="C324" i="70"/>
  <c r="M123" i="5"/>
  <c r="H324" i="70"/>
  <c r="K324" i="70"/>
  <c r="L120" i="5"/>
  <c r="C268" i="70"/>
  <c r="M129" i="5"/>
  <c r="H436" i="70"/>
  <c r="K436" i="70"/>
  <c r="L124" i="5"/>
  <c r="C339" i="70"/>
  <c r="M125" i="5"/>
  <c r="H365" i="70"/>
  <c r="K365" i="70"/>
  <c r="M121" i="5"/>
  <c r="H294" i="70"/>
  <c r="K294" i="70"/>
  <c r="L117" i="5"/>
  <c r="C223" i="70"/>
  <c r="L121" i="5"/>
  <c r="C294" i="70"/>
  <c r="M127" i="5"/>
  <c r="H395" i="70"/>
  <c r="K395" i="70"/>
  <c r="M115" i="5"/>
  <c r="H182" i="70"/>
  <c r="K182" i="70"/>
  <c r="L119" i="5"/>
  <c r="C253" i="70"/>
  <c r="L61" i="97"/>
  <c r="M61" i="97"/>
  <c r="A61" i="97"/>
  <c r="I61" i="97"/>
  <c r="N61" i="97"/>
  <c r="J61" i="97"/>
  <c r="P61" i="97"/>
  <c r="I24" i="38"/>
  <c r="H61" i="97"/>
  <c r="H39" i="66"/>
  <c r="L39" i="66"/>
  <c r="P39" i="66"/>
  <c r="E39" i="66"/>
  <c r="I39" i="66"/>
  <c r="M39" i="66"/>
  <c r="Q39" i="66"/>
  <c r="C76" i="66"/>
  <c r="G39" i="66"/>
  <c r="K39" i="66"/>
  <c r="O39" i="66"/>
  <c r="F39" i="66"/>
  <c r="J39" i="66"/>
  <c r="N39" i="66"/>
  <c r="I63" i="97"/>
  <c r="J63" i="97"/>
  <c r="L63" i="97"/>
  <c r="P63" i="97"/>
  <c r="I26" i="38"/>
  <c r="H63" i="97"/>
  <c r="M63" i="97"/>
  <c r="A63" i="97"/>
  <c r="N63" i="97"/>
  <c r="A26" i="80"/>
  <c r="BI26" i="80"/>
  <c r="AU26" i="80"/>
  <c r="E27" i="63"/>
  <c r="M27" i="63"/>
  <c r="C61" i="63"/>
  <c r="A65" i="97"/>
  <c r="I65" i="97"/>
  <c r="N65" i="97"/>
  <c r="M65" i="97"/>
  <c r="J65" i="97"/>
  <c r="P65" i="97"/>
  <c r="I28" i="38"/>
  <c r="L65" i="97"/>
  <c r="H65" i="97"/>
  <c r="E29" i="63"/>
  <c r="M29" i="63"/>
  <c r="C63" i="63"/>
  <c r="L239" i="97"/>
  <c r="P239" i="97"/>
  <c r="M30" i="19"/>
  <c r="T239" i="97"/>
  <c r="H239" i="97"/>
  <c r="E30" i="19"/>
  <c r="Q239" i="97"/>
  <c r="N30" i="19"/>
  <c r="U239" i="97"/>
  <c r="I239" i="97"/>
  <c r="F30" i="19"/>
  <c r="M239" i="97"/>
  <c r="R239" i="97"/>
  <c r="O30" i="19"/>
  <c r="A239" i="97"/>
  <c r="J239" i="97"/>
  <c r="G30" i="19"/>
  <c r="N239" i="97"/>
  <c r="S239" i="97"/>
  <c r="P30" i="19"/>
  <c r="Y239" i="97"/>
  <c r="G30" i="38"/>
  <c r="A30" i="38"/>
  <c r="A68" i="38"/>
  <c r="A31" i="20"/>
  <c r="M30" i="38"/>
  <c r="F30" i="38"/>
  <c r="J30" i="38"/>
  <c r="N30" i="38"/>
  <c r="K30" i="38"/>
  <c r="O30" i="38"/>
  <c r="C68" i="38"/>
  <c r="L30" i="38"/>
  <c r="P30" i="38"/>
  <c r="E31" i="72"/>
  <c r="S31" i="72"/>
  <c r="C65" i="72"/>
  <c r="E65" i="72"/>
  <c r="S65" i="72"/>
  <c r="Q114" i="97"/>
  <c r="G149" i="97"/>
  <c r="A149" i="97"/>
  <c r="E184" i="97"/>
  <c r="A184" i="97"/>
  <c r="W32" i="19"/>
  <c r="A32" i="19"/>
  <c r="V32" i="19"/>
  <c r="D59" i="71"/>
  <c r="D88" i="71"/>
  <c r="A116" i="97"/>
  <c r="G116" i="97"/>
  <c r="A34" i="80"/>
  <c r="BI34" i="80"/>
  <c r="AU34" i="80"/>
  <c r="H49" i="66"/>
  <c r="L49" i="66"/>
  <c r="P49" i="66"/>
  <c r="K49" i="66"/>
  <c r="C86" i="66"/>
  <c r="E49" i="66"/>
  <c r="I49" i="66"/>
  <c r="M49" i="66"/>
  <c r="Q49" i="66"/>
  <c r="F49" i="66"/>
  <c r="J49" i="66"/>
  <c r="N49" i="66"/>
  <c r="G49" i="66"/>
  <c r="O49" i="66"/>
  <c r="L73" i="97"/>
  <c r="H73" i="97"/>
  <c r="A73" i="97"/>
  <c r="I73" i="97"/>
  <c r="N73" i="97"/>
  <c r="M73" i="97"/>
  <c r="J73" i="97"/>
  <c r="P73" i="97"/>
  <c r="I36" i="38"/>
  <c r="E37" i="72"/>
  <c r="S37" i="72"/>
  <c r="C71" i="72"/>
  <c r="E71" i="72"/>
  <c r="S71" i="72"/>
  <c r="F39" i="71"/>
  <c r="F68" i="71"/>
  <c r="F46" i="71"/>
  <c r="F75" i="71"/>
  <c r="F48" i="71"/>
  <c r="F77" i="71"/>
  <c r="F55" i="71"/>
  <c r="F84" i="71"/>
  <c r="F58" i="71"/>
  <c r="F87" i="71"/>
  <c r="F32" i="71"/>
  <c r="E34" i="38"/>
  <c r="P176" i="96"/>
  <c r="G176" i="96"/>
  <c r="L176" i="96"/>
  <c r="H176" i="96"/>
  <c r="P208" i="96"/>
  <c r="G208" i="96"/>
  <c r="L208" i="96"/>
  <c r="H208" i="96"/>
  <c r="P152" i="96"/>
  <c r="G152" i="96"/>
  <c r="L152" i="96"/>
  <c r="H152" i="96"/>
  <c r="P184" i="96"/>
  <c r="G184" i="96"/>
  <c r="L184" i="96"/>
  <c r="H184" i="96"/>
  <c r="P216" i="96"/>
  <c r="G216" i="96"/>
  <c r="L216" i="96"/>
  <c r="H216" i="96"/>
  <c r="H158" i="96"/>
  <c r="G158" i="96"/>
  <c r="L158" i="96"/>
  <c r="P158" i="96"/>
  <c r="H190" i="96"/>
  <c r="G190" i="96"/>
  <c r="L190" i="96"/>
  <c r="P190" i="96"/>
  <c r="P160" i="96"/>
  <c r="G160" i="96"/>
  <c r="L160" i="96"/>
  <c r="H160" i="96"/>
  <c r="W221" i="91"/>
  <c r="G8" i="288"/>
  <c r="F8" i="32"/>
  <c r="N8" i="31"/>
  <c r="F27" i="71"/>
  <c r="E29" i="38"/>
  <c r="F31" i="71"/>
  <c r="E33" i="38"/>
  <c r="H160" i="26"/>
  <c r="D11" i="82"/>
  <c r="D52" i="82"/>
  <c r="D64" i="81"/>
  <c r="D12" i="81"/>
  <c r="D13" i="82"/>
  <c r="D54" i="82"/>
  <c r="D14" i="81"/>
  <c r="D66" i="81"/>
  <c r="D17" i="82"/>
  <c r="D58" i="82"/>
  <c r="D18" i="81"/>
  <c r="D70" i="81"/>
  <c r="D19" i="82"/>
  <c r="D60" i="82"/>
  <c r="D72" i="81"/>
  <c r="D20" i="81"/>
  <c r="D16" i="82"/>
  <c r="D57" i="82"/>
  <c r="D69" i="81"/>
  <c r="D17" i="81"/>
  <c r="I232" i="97"/>
  <c r="F23" i="19"/>
  <c r="M232" i="97"/>
  <c r="R232" i="97"/>
  <c r="O23" i="19"/>
  <c r="A232" i="97"/>
  <c r="J232" i="97"/>
  <c r="G23" i="19"/>
  <c r="N232" i="97"/>
  <c r="S232" i="97"/>
  <c r="P23" i="19"/>
  <c r="Y232" i="97"/>
  <c r="L232" i="97"/>
  <c r="P232" i="97"/>
  <c r="M23" i="19"/>
  <c r="T232" i="97"/>
  <c r="H232" i="97"/>
  <c r="E23" i="19"/>
  <c r="Q232" i="97"/>
  <c r="N23" i="19"/>
  <c r="U232" i="97"/>
  <c r="G23" i="38"/>
  <c r="A23" i="38"/>
  <c r="A61" i="38"/>
  <c r="A24" i="20"/>
  <c r="C75" i="81"/>
  <c r="A75" i="81"/>
  <c r="A23" i="81"/>
  <c r="C58" i="63"/>
  <c r="E24" i="63"/>
  <c r="M24" i="63"/>
  <c r="I234" i="97"/>
  <c r="F25" i="19"/>
  <c r="M234" i="97"/>
  <c r="R234" i="97"/>
  <c r="O25" i="19"/>
  <c r="A234" i="97"/>
  <c r="J234" i="97"/>
  <c r="G25" i="19"/>
  <c r="N234" i="97"/>
  <c r="S234" i="97"/>
  <c r="P25" i="19"/>
  <c r="Y234" i="97"/>
  <c r="L234" i="97"/>
  <c r="P234" i="97"/>
  <c r="M25" i="19"/>
  <c r="T234" i="97"/>
  <c r="H234" i="97"/>
  <c r="E25" i="19"/>
  <c r="Q234" i="97"/>
  <c r="N25" i="19"/>
  <c r="U234" i="97"/>
  <c r="G25" i="38"/>
  <c r="A25" i="38"/>
  <c r="A63" i="38"/>
  <c r="A26" i="20"/>
  <c r="I85" i="83"/>
  <c r="M85" i="83"/>
  <c r="J85" i="83"/>
  <c r="G85" i="83"/>
  <c r="K85" i="83"/>
  <c r="H85" i="83"/>
  <c r="L85" i="83"/>
  <c r="C77" i="81"/>
  <c r="A77" i="81"/>
  <c r="A25" i="81"/>
  <c r="G80" i="83"/>
  <c r="K80" i="83"/>
  <c r="H80" i="83"/>
  <c r="L80" i="83"/>
  <c r="I80" i="83"/>
  <c r="M80" i="83"/>
  <c r="J80" i="83"/>
  <c r="F40" i="66"/>
  <c r="J40" i="66"/>
  <c r="N40" i="66"/>
  <c r="G40" i="66"/>
  <c r="K40" i="66"/>
  <c r="O40" i="66"/>
  <c r="E40" i="66"/>
  <c r="I40" i="66"/>
  <c r="M40" i="66"/>
  <c r="H40" i="66"/>
  <c r="L40" i="66"/>
  <c r="P40" i="66"/>
  <c r="C77" i="66"/>
  <c r="Q40" i="66"/>
  <c r="H64" i="97"/>
  <c r="M64" i="97"/>
  <c r="L64" i="97"/>
  <c r="A64" i="97"/>
  <c r="I64" i="97"/>
  <c r="N64" i="97"/>
  <c r="J64" i="97"/>
  <c r="P64" i="97"/>
  <c r="I27" i="38"/>
  <c r="AU27" i="80"/>
  <c r="A27" i="80"/>
  <c r="BI27" i="80"/>
  <c r="F42" i="66"/>
  <c r="J42" i="66"/>
  <c r="N42" i="66"/>
  <c r="C79" i="66"/>
  <c r="G42" i="66"/>
  <c r="K42" i="66"/>
  <c r="O42" i="66"/>
  <c r="Q42" i="66"/>
  <c r="H42" i="66"/>
  <c r="L42" i="66"/>
  <c r="P42" i="66"/>
  <c r="E42" i="66"/>
  <c r="I42" i="66"/>
  <c r="M42" i="66"/>
  <c r="I66" i="97"/>
  <c r="J66" i="97"/>
  <c r="P66" i="97"/>
  <c r="I29" i="38"/>
  <c r="N66" i="97"/>
  <c r="L66" i="97"/>
  <c r="H66" i="97"/>
  <c r="M66" i="97"/>
  <c r="A66" i="97"/>
  <c r="C64" i="63"/>
  <c r="E30" i="63"/>
  <c r="M30" i="63"/>
  <c r="I240" i="97"/>
  <c r="F31" i="19"/>
  <c r="M240" i="97"/>
  <c r="R240" i="97"/>
  <c r="O31" i="19"/>
  <c r="A240" i="97"/>
  <c r="J240" i="97"/>
  <c r="G31" i="19"/>
  <c r="N240" i="97"/>
  <c r="S240" i="97"/>
  <c r="P31" i="19"/>
  <c r="Y240" i="97"/>
  <c r="L240" i="97"/>
  <c r="P240" i="97"/>
  <c r="M31" i="19"/>
  <c r="T240" i="97"/>
  <c r="H240" i="97"/>
  <c r="E31" i="19"/>
  <c r="Z31" i="19"/>
  <c r="AA31" i="19"/>
  <c r="Q240" i="97"/>
  <c r="N31" i="19"/>
  <c r="U240" i="97"/>
  <c r="G31" i="38"/>
  <c r="A31" i="38"/>
  <c r="A69" i="38"/>
  <c r="A32" i="20"/>
  <c r="C83" i="81"/>
  <c r="A83" i="81"/>
  <c r="A31" i="81"/>
  <c r="K31" i="38"/>
  <c r="O31" i="38"/>
  <c r="L31" i="38"/>
  <c r="P31" i="38"/>
  <c r="M31" i="38"/>
  <c r="F31" i="38"/>
  <c r="J31" i="38"/>
  <c r="N31" i="38"/>
  <c r="C69" i="38"/>
  <c r="E32" i="72"/>
  <c r="S32" i="72"/>
  <c r="C66" i="72"/>
  <c r="E66" i="72"/>
  <c r="S66" i="72"/>
  <c r="G150" i="97"/>
  <c r="Q115" i="97"/>
  <c r="A150" i="97"/>
  <c r="E185" i="97"/>
  <c r="A185" i="97"/>
  <c r="A33" i="19"/>
  <c r="V33" i="19"/>
  <c r="W33" i="19"/>
  <c r="D60" i="71"/>
  <c r="D89" i="71"/>
  <c r="G117" i="97"/>
  <c r="A117" i="97"/>
  <c r="AU35" i="80"/>
  <c r="A35" i="80"/>
  <c r="BI35" i="80"/>
  <c r="F50" i="66"/>
  <c r="J50" i="66"/>
  <c r="N50" i="66"/>
  <c r="C87" i="66"/>
  <c r="I50" i="66"/>
  <c r="Q50" i="66"/>
  <c r="G50" i="66"/>
  <c r="K50" i="66"/>
  <c r="O50" i="66"/>
  <c r="E50" i="66"/>
  <c r="M50" i="66"/>
  <c r="H50" i="66"/>
  <c r="L50" i="66"/>
  <c r="P50" i="66"/>
  <c r="D31" i="82"/>
  <c r="D72" i="82"/>
  <c r="G147" i="96"/>
  <c r="L147" i="96"/>
  <c r="H147" i="96"/>
  <c r="P147" i="96"/>
  <c r="G211" i="96"/>
  <c r="L211" i="96"/>
  <c r="H211" i="96"/>
  <c r="P211" i="96"/>
  <c r="P181" i="96"/>
  <c r="H181" i="96"/>
  <c r="L181" i="96"/>
  <c r="G181" i="96"/>
  <c r="G155" i="96"/>
  <c r="L155" i="96"/>
  <c r="H155" i="96"/>
  <c r="P155" i="96"/>
  <c r="G219" i="96"/>
  <c r="L219" i="96"/>
  <c r="H219" i="96"/>
  <c r="P219" i="96"/>
  <c r="P189" i="96"/>
  <c r="H189" i="96"/>
  <c r="G189" i="96"/>
  <c r="L189" i="96"/>
  <c r="F9" i="60"/>
  <c r="F10" i="60"/>
  <c r="F9" i="59"/>
  <c r="F10" i="59"/>
  <c r="W128" i="91"/>
  <c r="V99" i="91"/>
  <c r="D21" i="82"/>
  <c r="D62" i="82"/>
  <c r="D22" i="81"/>
  <c r="D74" i="81"/>
  <c r="D28" i="41"/>
  <c r="D128" i="41"/>
  <c r="D178" i="41"/>
  <c r="D78" i="41"/>
  <c r="L231" i="97"/>
  <c r="P231" i="97"/>
  <c r="M22" i="19"/>
  <c r="T231" i="97"/>
  <c r="H231" i="97"/>
  <c r="E22" i="19"/>
  <c r="Q231" i="97"/>
  <c r="N22" i="19"/>
  <c r="U231" i="97"/>
  <c r="I231" i="97"/>
  <c r="F22" i="19"/>
  <c r="M231" i="97"/>
  <c r="R231" i="97"/>
  <c r="O22" i="19"/>
  <c r="A231" i="97"/>
  <c r="J231" i="97"/>
  <c r="G22" i="19"/>
  <c r="N231" i="97"/>
  <c r="S231" i="97"/>
  <c r="P22" i="19"/>
  <c r="Y231" i="97"/>
  <c r="G22" i="38"/>
  <c r="A22" i="38"/>
  <c r="A60" i="38"/>
  <c r="A23" i="20"/>
  <c r="G71" i="83"/>
  <c r="I71" i="83"/>
  <c r="K71" i="83"/>
  <c r="M71" i="83"/>
  <c r="J71" i="83"/>
  <c r="H71" i="83"/>
  <c r="L71" i="83"/>
  <c r="H37" i="66"/>
  <c r="L37" i="66"/>
  <c r="P37" i="66"/>
  <c r="C74" i="66"/>
  <c r="E37" i="66"/>
  <c r="I37" i="66"/>
  <c r="M37" i="66"/>
  <c r="Q37" i="66"/>
  <c r="G37" i="66"/>
  <c r="O37" i="66"/>
  <c r="F37" i="66"/>
  <c r="J37" i="66"/>
  <c r="N37" i="66"/>
  <c r="K37" i="66"/>
  <c r="L233" i="97"/>
  <c r="P233" i="97"/>
  <c r="M24" i="19"/>
  <c r="T233" i="97"/>
  <c r="H233" i="97"/>
  <c r="E24" i="19"/>
  <c r="Q233" i="97"/>
  <c r="N24" i="19"/>
  <c r="U233" i="97"/>
  <c r="I233" i="97"/>
  <c r="F24" i="19"/>
  <c r="M233" i="97"/>
  <c r="R233" i="97"/>
  <c r="O24" i="19"/>
  <c r="A233" i="97"/>
  <c r="J233" i="97"/>
  <c r="G24" i="19"/>
  <c r="N233" i="97"/>
  <c r="S233" i="97"/>
  <c r="P24" i="19"/>
  <c r="Y233" i="97"/>
  <c r="G24" i="38"/>
  <c r="A24" i="38"/>
  <c r="A62" i="38"/>
  <c r="A25" i="20"/>
  <c r="H73" i="83"/>
  <c r="J73" i="83"/>
  <c r="L73" i="83"/>
  <c r="M73" i="83"/>
  <c r="K73" i="83"/>
  <c r="I73" i="83"/>
  <c r="G73" i="83"/>
  <c r="E25" i="63"/>
  <c r="M25" i="63"/>
  <c r="C59" i="63"/>
  <c r="L235" i="97"/>
  <c r="P235" i="97"/>
  <c r="M26" i="19"/>
  <c r="T235" i="97"/>
  <c r="H235" i="97"/>
  <c r="E26" i="19"/>
  <c r="Q235" i="97"/>
  <c r="N26" i="19"/>
  <c r="U235" i="97"/>
  <c r="I235" i="97"/>
  <c r="F26" i="19"/>
  <c r="M235" i="97"/>
  <c r="R235" i="97"/>
  <c r="O26" i="19"/>
  <c r="A235" i="97"/>
  <c r="J235" i="97"/>
  <c r="G26" i="19"/>
  <c r="N235" i="97"/>
  <c r="S235" i="97"/>
  <c r="P26" i="19"/>
  <c r="Y235" i="97"/>
  <c r="G26" i="38"/>
  <c r="A26" i="38"/>
  <c r="A64" i="38"/>
  <c r="A27" i="20"/>
  <c r="G75" i="83"/>
  <c r="I75" i="83"/>
  <c r="K75" i="83"/>
  <c r="M75" i="83"/>
  <c r="H75" i="83"/>
  <c r="L75" i="83"/>
  <c r="J75" i="83"/>
  <c r="H41" i="66"/>
  <c r="L41" i="66"/>
  <c r="P41" i="66"/>
  <c r="C78" i="66"/>
  <c r="E41" i="66"/>
  <c r="I41" i="66"/>
  <c r="M41" i="66"/>
  <c r="Q41" i="66"/>
  <c r="F41" i="66"/>
  <c r="J41" i="66"/>
  <c r="N41" i="66"/>
  <c r="G41" i="66"/>
  <c r="K41" i="66"/>
  <c r="O41" i="66"/>
  <c r="L237" i="97"/>
  <c r="P237" i="97"/>
  <c r="M28" i="19"/>
  <c r="T237" i="97"/>
  <c r="H237" i="97"/>
  <c r="E28" i="19"/>
  <c r="Q237" i="97"/>
  <c r="N28" i="19"/>
  <c r="U237" i="97"/>
  <c r="I237" i="97"/>
  <c r="F28" i="19"/>
  <c r="M237" i="97"/>
  <c r="R237" i="97"/>
  <c r="O28" i="19"/>
  <c r="A237" i="97"/>
  <c r="J237" i="97"/>
  <c r="G28" i="19"/>
  <c r="N237" i="97"/>
  <c r="S237" i="97"/>
  <c r="P28" i="19"/>
  <c r="Y237" i="97"/>
  <c r="G28" i="38"/>
  <c r="A28" i="38"/>
  <c r="A66" i="38"/>
  <c r="A29" i="20"/>
  <c r="M28" i="38"/>
  <c r="C66" i="38"/>
  <c r="F28" i="38"/>
  <c r="J28" i="38"/>
  <c r="N28" i="38"/>
  <c r="K28" i="38"/>
  <c r="O28" i="38"/>
  <c r="L28" i="38"/>
  <c r="P28" i="38"/>
  <c r="E29" i="72"/>
  <c r="S29" i="72"/>
  <c r="C63" i="72"/>
  <c r="E63" i="72"/>
  <c r="S63" i="72"/>
  <c r="G147" i="97"/>
  <c r="Q112" i="97"/>
  <c r="A147" i="97"/>
  <c r="E182" i="97"/>
  <c r="A182" i="97"/>
  <c r="W30" i="19"/>
  <c r="A30" i="19"/>
  <c r="V30" i="19"/>
  <c r="C82" i="81"/>
  <c r="A82" i="81"/>
  <c r="A30" i="81"/>
  <c r="D57" i="71"/>
  <c r="D86" i="71"/>
  <c r="G114" i="97"/>
  <c r="A114" i="97"/>
  <c r="BI32" i="80"/>
  <c r="A32" i="80"/>
  <c r="AU32" i="80"/>
  <c r="H47" i="66"/>
  <c r="L47" i="66"/>
  <c r="P47" i="66"/>
  <c r="E47" i="66"/>
  <c r="I47" i="66"/>
  <c r="M47" i="66"/>
  <c r="Q47" i="66"/>
  <c r="C84" i="66"/>
  <c r="O47" i="66"/>
  <c r="F47" i="66"/>
  <c r="J47" i="66"/>
  <c r="N47" i="66"/>
  <c r="G47" i="66"/>
  <c r="K47" i="66"/>
  <c r="A71" i="97"/>
  <c r="P71" i="97"/>
  <c r="I34" i="38"/>
  <c r="L71" i="97"/>
  <c r="J71" i="97"/>
  <c r="H71" i="97"/>
  <c r="M71" i="97"/>
  <c r="I71" i="97"/>
  <c r="N71" i="97"/>
  <c r="E35" i="63"/>
  <c r="M35" i="63"/>
  <c r="C69" i="63"/>
  <c r="L245" i="97"/>
  <c r="P245" i="97"/>
  <c r="M36" i="19"/>
  <c r="T245" i="97"/>
  <c r="H245" i="97"/>
  <c r="E36" i="19"/>
  <c r="Q245" i="97"/>
  <c r="N36" i="19"/>
  <c r="U245" i="97"/>
  <c r="I245" i="97"/>
  <c r="F36" i="19"/>
  <c r="M245" i="97"/>
  <c r="R245" i="97"/>
  <c r="O36" i="19"/>
  <c r="A245" i="97"/>
  <c r="J245" i="97"/>
  <c r="G36" i="19"/>
  <c r="N245" i="97"/>
  <c r="S245" i="97"/>
  <c r="P36" i="19"/>
  <c r="Y245" i="97"/>
  <c r="W36" i="19"/>
  <c r="X36" i="19"/>
  <c r="A36" i="19"/>
  <c r="V36" i="19"/>
  <c r="M36" i="38"/>
  <c r="C74" i="38"/>
  <c r="F36" i="38"/>
  <c r="J36" i="38"/>
  <c r="N36" i="38"/>
  <c r="K36" i="38"/>
  <c r="O36" i="38"/>
  <c r="L36" i="38"/>
  <c r="P36" i="38"/>
  <c r="D63" i="71"/>
  <c r="D92" i="71"/>
  <c r="F71" i="71"/>
  <c r="F42" i="71"/>
  <c r="F44" i="71"/>
  <c r="F73" i="71"/>
  <c r="F20" i="71"/>
  <c r="E22" i="38"/>
  <c r="F59" i="71"/>
  <c r="F88" i="71"/>
  <c r="F62" i="71"/>
  <c r="F91" i="71"/>
  <c r="H146" i="96"/>
  <c r="G146" i="96"/>
  <c r="L146" i="96"/>
  <c r="P146" i="96"/>
  <c r="H210" i="96"/>
  <c r="G210" i="96"/>
  <c r="L210" i="96"/>
  <c r="P210" i="96"/>
  <c r="H182" i="96"/>
  <c r="G182" i="96"/>
  <c r="L182" i="96"/>
  <c r="P182" i="96"/>
  <c r="D14" i="82"/>
  <c r="D55" i="82"/>
  <c r="D15" i="81"/>
  <c r="D67" i="81"/>
  <c r="F35" i="24"/>
  <c r="A31" i="24"/>
  <c r="G325" i="26"/>
  <c r="G61" i="26"/>
  <c r="G226" i="26"/>
  <c r="G94" i="26"/>
  <c r="G259" i="26"/>
  <c r="G127" i="26"/>
  <c r="G292" i="26"/>
  <c r="A11" i="288"/>
  <c r="E332" i="86"/>
  <c r="Q105" i="97"/>
  <c r="G140" i="97"/>
  <c r="A140" i="97"/>
  <c r="E175" i="97"/>
  <c r="A175" i="97"/>
  <c r="A23" i="19"/>
  <c r="V23" i="19"/>
  <c r="W23" i="19"/>
  <c r="K23" i="38"/>
  <c r="O23" i="38"/>
  <c r="L23" i="38"/>
  <c r="P23" i="38"/>
  <c r="M23" i="38"/>
  <c r="F23" i="38"/>
  <c r="J23" i="38"/>
  <c r="N23" i="38"/>
  <c r="C61" i="38"/>
  <c r="E24" i="72"/>
  <c r="S24" i="72"/>
  <c r="C58" i="72"/>
  <c r="E58" i="72"/>
  <c r="S58" i="72"/>
  <c r="E334" i="86"/>
  <c r="G142" i="97"/>
  <c r="Q107" i="97"/>
  <c r="A142" i="97"/>
  <c r="E177" i="97"/>
  <c r="A177" i="97"/>
  <c r="A25" i="19"/>
  <c r="V25" i="19"/>
  <c r="W25" i="19"/>
  <c r="X25" i="19"/>
  <c r="I77" i="83"/>
  <c r="M77" i="83"/>
  <c r="J77" i="83"/>
  <c r="G77" i="83"/>
  <c r="K77" i="83"/>
  <c r="H77" i="83"/>
  <c r="L77" i="83"/>
  <c r="I83" i="83"/>
  <c r="M83" i="83"/>
  <c r="J83" i="83"/>
  <c r="G83" i="83"/>
  <c r="K83" i="83"/>
  <c r="H83" i="83"/>
  <c r="L83" i="83"/>
  <c r="G78" i="83"/>
  <c r="K78" i="83"/>
  <c r="H78" i="83"/>
  <c r="L78" i="83"/>
  <c r="I78" i="83"/>
  <c r="M78" i="83"/>
  <c r="J78" i="83"/>
  <c r="C60" i="63"/>
  <c r="E26" i="63"/>
  <c r="M26" i="63"/>
  <c r="I236" i="97"/>
  <c r="F27" i="19"/>
  <c r="M236" i="97"/>
  <c r="R236" i="97"/>
  <c r="O27" i="19"/>
  <c r="A236" i="97"/>
  <c r="J236" i="97"/>
  <c r="G27" i="19"/>
  <c r="N236" i="97"/>
  <c r="S236" i="97"/>
  <c r="P27" i="19"/>
  <c r="Y236" i="97"/>
  <c r="L236" i="97"/>
  <c r="P236" i="97"/>
  <c r="M27" i="19"/>
  <c r="T236" i="97"/>
  <c r="H236" i="97"/>
  <c r="E27" i="19"/>
  <c r="Q236" i="97"/>
  <c r="N27" i="19"/>
  <c r="U236" i="97"/>
  <c r="G27" i="38"/>
  <c r="A27" i="38"/>
  <c r="A65" i="38"/>
  <c r="A28" i="20"/>
  <c r="A27" i="81"/>
  <c r="C79" i="81"/>
  <c r="A79" i="81"/>
  <c r="C62" i="63"/>
  <c r="E28" i="63"/>
  <c r="M28" i="63"/>
  <c r="I238" i="97"/>
  <c r="F29" i="19"/>
  <c r="M238" i="97"/>
  <c r="R238" i="97"/>
  <c r="O29" i="19"/>
  <c r="A238" i="97"/>
  <c r="J238" i="97"/>
  <c r="G29" i="19"/>
  <c r="N238" i="97"/>
  <c r="S238" i="97"/>
  <c r="P29" i="19"/>
  <c r="Y238" i="97"/>
  <c r="L238" i="97"/>
  <c r="P238" i="97"/>
  <c r="M29" i="19"/>
  <c r="T238" i="97"/>
  <c r="H238" i="97"/>
  <c r="E29" i="19"/>
  <c r="Q238" i="97"/>
  <c r="N29" i="19"/>
  <c r="U238" i="97"/>
  <c r="G29" i="38"/>
  <c r="A29" i="38"/>
  <c r="A67" i="38"/>
  <c r="A30" i="20"/>
  <c r="C81" i="81"/>
  <c r="A81" i="81"/>
  <c r="A29" i="81"/>
  <c r="K29" i="38"/>
  <c r="O29" i="38"/>
  <c r="L29" i="38"/>
  <c r="P29" i="38"/>
  <c r="C67" i="38"/>
  <c r="M29" i="38"/>
  <c r="F29" i="38"/>
  <c r="J29" i="38"/>
  <c r="N29" i="38"/>
  <c r="E30" i="72"/>
  <c r="S30" i="72"/>
  <c r="C64" i="72"/>
  <c r="E64" i="72"/>
  <c r="S64" i="72"/>
  <c r="Q113" i="97"/>
  <c r="G148" i="97"/>
  <c r="A148" i="97"/>
  <c r="E183" i="97"/>
  <c r="A183" i="97"/>
  <c r="A31" i="19"/>
  <c r="V31" i="19"/>
  <c r="W31" i="19"/>
  <c r="D58" i="71"/>
  <c r="D87" i="71"/>
  <c r="A115" i="97"/>
  <c r="G115" i="97"/>
  <c r="AU33" i="80"/>
  <c r="BI33" i="80"/>
  <c r="A33" i="80"/>
  <c r="F48" i="66"/>
  <c r="J48" i="66"/>
  <c r="N48" i="66"/>
  <c r="Q48" i="66"/>
  <c r="G48" i="66"/>
  <c r="K48" i="66"/>
  <c r="O48" i="66"/>
  <c r="E48" i="66"/>
  <c r="I48" i="66"/>
  <c r="H48" i="66"/>
  <c r="L48" i="66"/>
  <c r="P48" i="66"/>
  <c r="C85" i="66"/>
  <c r="M48" i="66"/>
  <c r="H72" i="97"/>
  <c r="M72" i="97"/>
  <c r="L72" i="97"/>
  <c r="A72" i="97"/>
  <c r="I72" i="97"/>
  <c r="N72" i="97"/>
  <c r="J72" i="97"/>
  <c r="P72" i="97"/>
  <c r="I35" i="38"/>
  <c r="C70" i="63"/>
  <c r="E36" i="63"/>
  <c r="M36" i="63"/>
  <c r="R156" i="91"/>
  <c r="R99" i="91"/>
  <c r="D29" i="82"/>
  <c r="D70" i="82"/>
  <c r="D32" i="41"/>
  <c r="D82" i="41"/>
  <c r="D132" i="41"/>
  <c r="D182" i="41"/>
  <c r="P209" i="96"/>
  <c r="H209" i="96"/>
  <c r="L209" i="96"/>
  <c r="G209" i="96"/>
  <c r="G183" i="96"/>
  <c r="L183" i="96"/>
  <c r="H183" i="96"/>
  <c r="P183" i="96"/>
  <c r="P153" i="96"/>
  <c r="H153" i="96"/>
  <c r="G153" i="96"/>
  <c r="L153" i="96"/>
  <c r="P217" i="96"/>
  <c r="H217" i="96"/>
  <c r="G217" i="96"/>
  <c r="L217" i="96"/>
  <c r="U95" i="97"/>
  <c r="U99" i="97"/>
  <c r="U103" i="97"/>
  <c r="E331" i="86"/>
  <c r="G139" i="97"/>
  <c r="Q104" i="97"/>
  <c r="A139" i="97"/>
  <c r="E174" i="97"/>
  <c r="A174" i="97"/>
  <c r="W22" i="19"/>
  <c r="A22" i="19"/>
  <c r="V22" i="19"/>
  <c r="M22" i="38"/>
  <c r="F22" i="38"/>
  <c r="J22" i="38"/>
  <c r="N22" i="38"/>
  <c r="K22" i="38"/>
  <c r="O22" i="38"/>
  <c r="C60" i="38"/>
  <c r="L22" i="38"/>
  <c r="P22" i="38"/>
  <c r="E23" i="72"/>
  <c r="S23" i="72"/>
  <c r="C57" i="72"/>
  <c r="E57" i="72"/>
  <c r="S57" i="72"/>
  <c r="E333" i="86"/>
  <c r="Q106" i="97"/>
  <c r="G141" i="97"/>
  <c r="A141" i="97"/>
  <c r="E176" i="97"/>
  <c r="A176" i="97"/>
  <c r="W24" i="19"/>
  <c r="A24" i="19"/>
  <c r="V24" i="19"/>
  <c r="M24" i="38"/>
  <c r="C62" i="38"/>
  <c r="F24" i="38"/>
  <c r="J24" i="38"/>
  <c r="N24" i="38"/>
  <c r="K24" i="38"/>
  <c r="O24" i="38"/>
  <c r="L24" i="38"/>
  <c r="P24" i="38"/>
  <c r="E25" i="72"/>
  <c r="S25" i="72"/>
  <c r="C59" i="72"/>
  <c r="E59" i="72"/>
  <c r="S59" i="72"/>
  <c r="G143" i="97"/>
  <c r="Q108" i="97"/>
  <c r="A143" i="97"/>
  <c r="E178" i="97"/>
  <c r="A178" i="97"/>
  <c r="W26" i="19"/>
  <c r="A26" i="19"/>
  <c r="V26" i="19"/>
  <c r="M26" i="38"/>
  <c r="F26" i="38"/>
  <c r="J26" i="38"/>
  <c r="N26" i="38"/>
  <c r="K26" i="38"/>
  <c r="O26" i="38"/>
  <c r="C64" i="38"/>
  <c r="L26" i="38"/>
  <c r="P26" i="38"/>
  <c r="E27" i="72"/>
  <c r="S27" i="72"/>
  <c r="C61" i="72"/>
  <c r="E61" i="72"/>
  <c r="S61" i="72"/>
  <c r="Q110" i="97"/>
  <c r="G145" i="97"/>
  <c r="A145" i="97"/>
  <c r="E180" i="97"/>
  <c r="A180" i="97"/>
  <c r="W28" i="19"/>
  <c r="A28" i="19"/>
  <c r="V28" i="19"/>
  <c r="A28" i="81"/>
  <c r="C80" i="81"/>
  <c r="A80" i="81"/>
  <c r="D55" i="71"/>
  <c r="D84" i="71"/>
  <c r="A112" i="97"/>
  <c r="G112" i="97"/>
  <c r="A30" i="80"/>
  <c r="BI30" i="80"/>
  <c r="AU30" i="80"/>
  <c r="H45" i="66"/>
  <c r="L45" i="66"/>
  <c r="P45" i="66"/>
  <c r="E45" i="66"/>
  <c r="I45" i="66"/>
  <c r="M45" i="66"/>
  <c r="Q45" i="66"/>
  <c r="G45" i="66"/>
  <c r="K45" i="66"/>
  <c r="O45" i="66"/>
  <c r="F45" i="66"/>
  <c r="J45" i="66"/>
  <c r="N45" i="66"/>
  <c r="C82" i="66"/>
  <c r="M69" i="97"/>
  <c r="A69" i="97"/>
  <c r="I69" i="97"/>
  <c r="N69" i="97"/>
  <c r="H69" i="97"/>
  <c r="J69" i="97"/>
  <c r="P69" i="97"/>
  <c r="I32" i="38"/>
  <c r="L69" i="97"/>
  <c r="E33" i="63"/>
  <c r="M33" i="63"/>
  <c r="C67" i="63"/>
  <c r="L243" i="97"/>
  <c r="P243" i="97"/>
  <c r="M34" i="19"/>
  <c r="T243" i="97"/>
  <c r="H243" i="97"/>
  <c r="E34" i="19"/>
  <c r="Q243" i="97"/>
  <c r="N34" i="19"/>
  <c r="U243" i="97"/>
  <c r="I243" i="97"/>
  <c r="F34" i="19"/>
  <c r="M243" i="97"/>
  <c r="R243" i="97"/>
  <c r="O34" i="19"/>
  <c r="A243" i="97"/>
  <c r="J243" i="97"/>
  <c r="G34" i="19"/>
  <c r="N243" i="97"/>
  <c r="S243" i="97"/>
  <c r="P34" i="19"/>
  <c r="Y243" i="97"/>
  <c r="G34" i="38"/>
  <c r="A34" i="38"/>
  <c r="A72" i="38"/>
  <c r="A35" i="20"/>
  <c r="M34" i="38"/>
  <c r="F34" i="38"/>
  <c r="J34" i="38"/>
  <c r="N34" i="38"/>
  <c r="K34" i="38"/>
  <c r="O34" i="38"/>
  <c r="C72" i="38"/>
  <c r="L34" i="38"/>
  <c r="P34" i="38"/>
  <c r="E35" i="72"/>
  <c r="S35" i="72"/>
  <c r="C69" i="72"/>
  <c r="E69" i="72"/>
  <c r="S69" i="72"/>
  <c r="E335" i="86"/>
  <c r="G153" i="97"/>
  <c r="Q118" i="97"/>
  <c r="A153" i="97"/>
  <c r="E188" i="97"/>
  <c r="A188" i="97"/>
  <c r="G36" i="38"/>
  <c r="A36" i="38"/>
  <c r="A74" i="38"/>
  <c r="A37" i="20"/>
  <c r="A36" i="81"/>
  <c r="C88" i="81"/>
  <c r="A88" i="81"/>
  <c r="M126" i="5"/>
  <c r="H380" i="70"/>
  <c r="K380" i="70"/>
  <c r="M113" i="5"/>
  <c r="H152" i="70"/>
  <c r="L126" i="5"/>
  <c r="C380" i="70"/>
  <c r="L127" i="5"/>
  <c r="C395" i="70"/>
  <c r="M124" i="5"/>
  <c r="H339" i="70"/>
  <c r="K339" i="70"/>
  <c r="M116" i="5"/>
  <c r="H197" i="70"/>
  <c r="K197" i="70"/>
  <c r="M122" i="5"/>
  <c r="H309" i="70"/>
  <c r="K309" i="70"/>
  <c r="M120" i="5"/>
  <c r="H268" i="70"/>
  <c r="K268" i="70"/>
  <c r="L128" i="5"/>
  <c r="C410" i="70"/>
  <c r="L129" i="5"/>
  <c r="C436" i="70"/>
  <c r="M128" i="5"/>
  <c r="H410" i="70"/>
  <c r="K410" i="70"/>
  <c r="L116" i="5"/>
  <c r="C197" i="70"/>
  <c r="M118" i="5"/>
  <c r="H238" i="70"/>
  <c r="K238" i="70"/>
  <c r="F40" i="71"/>
  <c r="F69" i="71"/>
  <c r="F16" i="71"/>
  <c r="E18" i="38"/>
  <c r="F47" i="71"/>
  <c r="F76" i="71"/>
  <c r="F50" i="71"/>
  <c r="F79" i="71"/>
  <c r="F24" i="71"/>
  <c r="E26" i="38"/>
  <c r="F63" i="71"/>
  <c r="F92" i="71"/>
  <c r="P148" i="96"/>
  <c r="G148" i="96"/>
  <c r="L148" i="96"/>
  <c r="H148" i="96"/>
  <c r="P180" i="96"/>
  <c r="G180" i="96"/>
  <c r="L180" i="96"/>
  <c r="H180" i="96"/>
  <c r="P212" i="96"/>
  <c r="G212" i="96"/>
  <c r="L212" i="96"/>
  <c r="H212" i="96"/>
  <c r="H214" i="96"/>
  <c r="G214" i="96"/>
  <c r="L214" i="96"/>
  <c r="P214" i="96"/>
  <c r="H186" i="96"/>
  <c r="G186" i="96"/>
  <c r="L186" i="96"/>
  <c r="P186" i="96"/>
  <c r="P156" i="96"/>
  <c r="G156" i="96"/>
  <c r="L156" i="96"/>
  <c r="H156" i="96"/>
  <c r="P188" i="96"/>
  <c r="G188" i="96"/>
  <c r="L188" i="96"/>
  <c r="H188" i="96"/>
  <c r="P220" i="96"/>
  <c r="G220" i="96"/>
  <c r="L220" i="96"/>
  <c r="H220" i="96"/>
  <c r="L128" i="91"/>
  <c r="M99" i="91"/>
  <c r="M156" i="91"/>
  <c r="U94" i="97"/>
  <c r="H325" i="26"/>
  <c r="H193" i="26"/>
  <c r="H61" i="26"/>
  <c r="H358" i="26"/>
  <c r="H226" i="26"/>
  <c r="H94" i="26"/>
  <c r="H259" i="26"/>
  <c r="H127" i="26"/>
  <c r="H292" i="26"/>
  <c r="D18" i="82"/>
  <c r="D59" i="82"/>
  <c r="D19" i="81"/>
  <c r="D71" i="81"/>
  <c r="D15" i="82"/>
  <c r="D56" i="82"/>
  <c r="D68" i="81"/>
  <c r="D16" i="81"/>
  <c r="D12" i="82"/>
  <c r="D53" i="82"/>
  <c r="D13" i="81"/>
  <c r="D65" i="81"/>
  <c r="I9" i="32"/>
  <c r="P9" i="32"/>
  <c r="H9" i="31"/>
  <c r="Q9" i="31"/>
  <c r="G105" i="97"/>
  <c r="A105" i="97"/>
  <c r="I72" i="83"/>
  <c r="G72" i="83"/>
  <c r="L72" i="83"/>
  <c r="J72" i="83"/>
  <c r="M72" i="83"/>
  <c r="H72" i="83"/>
  <c r="K72" i="83"/>
  <c r="D50" i="71"/>
  <c r="D79" i="71"/>
  <c r="A107" i="97"/>
  <c r="G107" i="97"/>
  <c r="I79" i="83"/>
  <c r="M79" i="83"/>
  <c r="J79" i="83"/>
  <c r="G79" i="83"/>
  <c r="K79" i="83"/>
  <c r="L79" i="83"/>
  <c r="H79" i="83"/>
  <c r="G84" i="83"/>
  <c r="K84" i="83"/>
  <c r="H84" i="83"/>
  <c r="L84" i="83"/>
  <c r="I84" i="83"/>
  <c r="M84" i="83"/>
  <c r="J84" i="83"/>
  <c r="I74" i="83"/>
  <c r="L74" i="83"/>
  <c r="G74" i="83"/>
  <c r="J74" i="83"/>
  <c r="H74" i="83"/>
  <c r="M74" i="83"/>
  <c r="K74" i="83"/>
  <c r="K25" i="38"/>
  <c r="O25" i="38"/>
  <c r="L25" i="38"/>
  <c r="P25" i="38"/>
  <c r="C63" i="38"/>
  <c r="M25" i="38"/>
  <c r="F25" i="38"/>
  <c r="J25" i="38"/>
  <c r="N25" i="38"/>
  <c r="E26" i="72"/>
  <c r="S26" i="72"/>
  <c r="C60" i="72"/>
  <c r="E60" i="72"/>
  <c r="S60" i="72"/>
  <c r="Q109" i="97"/>
  <c r="G144" i="97"/>
  <c r="A144" i="97"/>
  <c r="E179" i="97"/>
  <c r="A179" i="97"/>
  <c r="A27" i="19"/>
  <c r="V27" i="19"/>
  <c r="W27" i="19"/>
  <c r="X27" i="19"/>
  <c r="K27" i="38"/>
  <c r="O27" i="38"/>
  <c r="L27" i="38"/>
  <c r="P27" i="38"/>
  <c r="M27" i="38"/>
  <c r="F27" i="38"/>
  <c r="J27" i="38"/>
  <c r="N27" i="38"/>
  <c r="C65" i="38"/>
  <c r="E28" i="72"/>
  <c r="S28" i="72"/>
  <c r="C62" i="72"/>
  <c r="E62" i="72"/>
  <c r="S62" i="72"/>
  <c r="G146" i="97"/>
  <c r="Q111" i="97"/>
  <c r="A146" i="97"/>
  <c r="E181" i="97"/>
  <c r="A181" i="97"/>
  <c r="A29" i="19"/>
  <c r="V29" i="19"/>
  <c r="W29" i="19"/>
  <c r="D56" i="71"/>
  <c r="D85" i="71"/>
  <c r="G113" i="97"/>
  <c r="A113" i="97"/>
  <c r="AU31" i="80"/>
  <c r="A31" i="80"/>
  <c r="BI31" i="80"/>
  <c r="F46" i="66"/>
  <c r="J46" i="66"/>
  <c r="N46" i="66"/>
  <c r="C83" i="66"/>
  <c r="I46" i="66"/>
  <c r="G46" i="66"/>
  <c r="K46" i="66"/>
  <c r="O46" i="66"/>
  <c r="E46" i="66"/>
  <c r="M46" i="66"/>
  <c r="H46" i="66"/>
  <c r="L46" i="66"/>
  <c r="P46" i="66"/>
  <c r="Q46" i="66"/>
  <c r="H70" i="97"/>
  <c r="N70" i="97"/>
  <c r="A70" i="97"/>
  <c r="J70" i="97"/>
  <c r="P70" i="97"/>
  <c r="I33" i="38"/>
  <c r="I70" i="97"/>
  <c r="L70" i="97"/>
  <c r="M70" i="97"/>
  <c r="C68" i="63"/>
  <c r="E34" i="63"/>
  <c r="M34" i="63"/>
  <c r="I244" i="97"/>
  <c r="F35" i="19"/>
  <c r="M244" i="97"/>
  <c r="R244" i="97"/>
  <c r="O35" i="19"/>
  <c r="A244" i="97"/>
  <c r="J244" i="97"/>
  <c r="G35" i="19"/>
  <c r="N244" i="97"/>
  <c r="S244" i="97"/>
  <c r="P35" i="19"/>
  <c r="Y244" i="97"/>
  <c r="L244" i="97"/>
  <c r="P244" i="97"/>
  <c r="M35" i="19"/>
  <c r="T244" i="97"/>
  <c r="H244" i="97"/>
  <c r="E35" i="19"/>
  <c r="Q244" i="97"/>
  <c r="N35" i="19"/>
  <c r="U244" i="97"/>
  <c r="G35" i="38"/>
  <c r="A35" i="38"/>
  <c r="A73" i="38"/>
  <c r="A36" i="20"/>
  <c r="C87" i="81"/>
  <c r="A87" i="81"/>
  <c r="A35" i="81"/>
  <c r="K35" i="38"/>
  <c r="O35" i="38"/>
  <c r="L35" i="38"/>
  <c r="P35" i="38"/>
  <c r="M35" i="38"/>
  <c r="F35" i="38"/>
  <c r="J35" i="38"/>
  <c r="N35" i="38"/>
  <c r="C73" i="38"/>
  <c r="E36" i="72"/>
  <c r="S36" i="72"/>
  <c r="C70" i="72"/>
  <c r="E70" i="72"/>
  <c r="S70" i="72"/>
  <c r="G207" i="96"/>
  <c r="L207" i="96"/>
  <c r="H207" i="96"/>
  <c r="P207" i="96"/>
  <c r="P177" i="96"/>
  <c r="H177" i="96"/>
  <c r="G177" i="96"/>
  <c r="L177" i="96"/>
  <c r="G151" i="96"/>
  <c r="L151" i="96"/>
  <c r="H151" i="96"/>
  <c r="P151" i="96"/>
  <c r="G215" i="96"/>
  <c r="L215" i="96"/>
  <c r="H215" i="96"/>
  <c r="P215" i="96"/>
  <c r="P185" i="96"/>
  <c r="H185" i="96"/>
  <c r="G185" i="96"/>
  <c r="L185" i="96"/>
  <c r="G159" i="96"/>
  <c r="L159" i="96"/>
  <c r="H159" i="96"/>
  <c r="P159" i="96"/>
  <c r="D24" i="41"/>
  <c r="D74" i="41"/>
  <c r="D124" i="41"/>
  <c r="D174" i="41"/>
  <c r="A104" i="97"/>
  <c r="G104" i="97"/>
  <c r="A22" i="80"/>
  <c r="BI22" i="80"/>
  <c r="AU22" i="80"/>
  <c r="C74" i="81"/>
  <c r="A74" i="81"/>
  <c r="A22" i="81"/>
  <c r="D49" i="71"/>
  <c r="D78" i="71"/>
  <c r="G106" i="97"/>
  <c r="A106" i="97"/>
  <c r="BI24" i="80"/>
  <c r="A24" i="80"/>
  <c r="AU24" i="80"/>
  <c r="C76" i="81"/>
  <c r="A76" i="81"/>
  <c r="A24" i="81"/>
  <c r="D51" i="71"/>
  <c r="D80" i="71"/>
  <c r="A108" i="97"/>
  <c r="G108" i="97"/>
  <c r="C78" i="81"/>
  <c r="A78" i="81"/>
  <c r="A26" i="81"/>
  <c r="D53" i="71"/>
  <c r="D82" i="71"/>
  <c r="G110" i="97"/>
  <c r="A110" i="97"/>
  <c r="BI28" i="80"/>
  <c r="A28" i="80"/>
  <c r="AU28" i="80"/>
  <c r="H43" i="66"/>
  <c r="L43" i="66"/>
  <c r="P43" i="66"/>
  <c r="E43" i="66"/>
  <c r="I43" i="66"/>
  <c r="M43" i="66"/>
  <c r="Q43" i="66"/>
  <c r="C80" i="66"/>
  <c r="G43" i="66"/>
  <c r="K43" i="66"/>
  <c r="O43" i="66"/>
  <c r="F43" i="66"/>
  <c r="J43" i="66"/>
  <c r="N43" i="66"/>
  <c r="A67" i="97"/>
  <c r="P67" i="97"/>
  <c r="I30" i="38"/>
  <c r="L67" i="97"/>
  <c r="J67" i="97"/>
  <c r="H67" i="97"/>
  <c r="M67" i="97"/>
  <c r="I67" i="97"/>
  <c r="N67" i="97"/>
  <c r="E31" i="63"/>
  <c r="M31" i="63"/>
  <c r="C65" i="63"/>
  <c r="L241" i="97"/>
  <c r="P241" i="97"/>
  <c r="M32" i="19"/>
  <c r="T241" i="97"/>
  <c r="H241" i="97"/>
  <c r="E32" i="19"/>
  <c r="Q241" i="97"/>
  <c r="N32" i="19"/>
  <c r="U241" i="97"/>
  <c r="I241" i="97"/>
  <c r="F32" i="19"/>
  <c r="M241" i="97"/>
  <c r="R241" i="97"/>
  <c r="O32" i="19"/>
  <c r="A241" i="97"/>
  <c r="J241" i="97"/>
  <c r="G32" i="19"/>
  <c r="N241" i="97"/>
  <c r="S241" i="97"/>
  <c r="P32" i="19"/>
  <c r="Y241" i="97"/>
  <c r="G32" i="38"/>
  <c r="A32" i="38"/>
  <c r="A70" i="38"/>
  <c r="A33" i="20"/>
  <c r="C84" i="81"/>
  <c r="A84" i="81"/>
  <c r="A32" i="81"/>
  <c r="M32" i="38"/>
  <c r="C70" i="38"/>
  <c r="F32" i="38"/>
  <c r="J32" i="38"/>
  <c r="N32" i="38"/>
  <c r="K32" i="38"/>
  <c r="O32" i="38"/>
  <c r="L32" i="38"/>
  <c r="P32" i="38"/>
  <c r="E33" i="72"/>
  <c r="S33" i="72"/>
  <c r="C67" i="72"/>
  <c r="E67" i="72"/>
  <c r="S67" i="72"/>
  <c r="G151" i="97"/>
  <c r="Q116" i="97"/>
  <c r="A151" i="97"/>
  <c r="E186" i="97"/>
  <c r="A186" i="97"/>
  <c r="W34" i="19"/>
  <c r="A34" i="19"/>
  <c r="V34" i="19"/>
  <c r="C86" i="81"/>
  <c r="A86" i="81"/>
  <c r="A34" i="81"/>
  <c r="D61" i="71"/>
  <c r="D90" i="71"/>
  <c r="G118" i="97"/>
  <c r="A118" i="97"/>
  <c r="BI36" i="80"/>
  <c r="A36" i="80"/>
  <c r="AU36" i="80"/>
  <c r="E37" i="63"/>
  <c r="M37" i="63"/>
  <c r="C71" i="63"/>
  <c r="F12" i="71"/>
  <c r="E14" i="38"/>
  <c r="F43" i="71"/>
  <c r="F72" i="71"/>
  <c r="F51" i="71"/>
  <c r="F80" i="71"/>
  <c r="F54" i="71"/>
  <c r="F83" i="71"/>
  <c r="F28" i="71"/>
  <c r="E30" i="38"/>
  <c r="H206" i="96"/>
  <c r="G206" i="96"/>
  <c r="L206" i="96"/>
  <c r="P206" i="96"/>
  <c r="H178" i="96"/>
  <c r="G178" i="96"/>
  <c r="L178" i="96"/>
  <c r="P178" i="96"/>
  <c r="H150" i="96"/>
  <c r="G150" i="96"/>
  <c r="L150" i="96"/>
  <c r="P150" i="96"/>
  <c r="H154" i="96"/>
  <c r="G154" i="96"/>
  <c r="L154" i="96"/>
  <c r="P154" i="96"/>
  <c r="H218" i="96"/>
  <c r="G218" i="96"/>
  <c r="L218" i="96"/>
  <c r="P218" i="96"/>
  <c r="J70" i="33"/>
  <c r="F23" i="71"/>
  <c r="E25" i="38"/>
  <c r="D20" i="82"/>
  <c r="D61" i="82"/>
  <c r="D21" i="81"/>
  <c r="D73" i="81"/>
  <c r="G160" i="26"/>
  <c r="A164" i="91"/>
  <c r="G164" i="91"/>
  <c r="H164" i="91"/>
  <c r="K126" i="70"/>
  <c r="K81" i="70"/>
  <c r="K10" i="70"/>
  <c r="K96" i="70"/>
  <c r="K167" i="70"/>
  <c r="K25" i="70"/>
  <c r="K55" i="70"/>
  <c r="K111" i="70"/>
  <c r="K40" i="70"/>
  <c r="Q130" i="97"/>
  <c r="Q138" i="97"/>
  <c r="Q135" i="97"/>
  <c r="L135" i="97"/>
  <c r="Q136" i="97"/>
  <c r="V134" i="97"/>
  <c r="AA131" i="97"/>
  <c r="V131" i="97"/>
  <c r="L132" i="97"/>
  <c r="V129" i="97"/>
  <c r="F14" i="38"/>
  <c r="N164" i="91"/>
  <c r="AA130" i="97"/>
  <c r="AA138" i="97"/>
  <c r="AA136" i="97"/>
  <c r="L130" i="97"/>
  <c r="L138" i="97"/>
  <c r="V132" i="97"/>
  <c r="X137" i="97"/>
  <c r="H137" i="97"/>
  <c r="R137" i="97"/>
  <c r="I137" i="97"/>
  <c r="S137" i="97"/>
  <c r="N137" i="97"/>
  <c r="M137" i="97"/>
  <c r="W137" i="97"/>
  <c r="N133" i="97"/>
  <c r="H133" i="97"/>
  <c r="R133" i="97"/>
  <c r="X133" i="97"/>
  <c r="I133" i="97"/>
  <c r="S133" i="97"/>
  <c r="M133" i="97"/>
  <c r="W133" i="97"/>
  <c r="K164" i="91"/>
  <c r="O164" i="91"/>
  <c r="Q134" i="97"/>
  <c r="AA135" i="97"/>
  <c r="V135" i="97"/>
  <c r="Q132" i="97"/>
  <c r="Q129" i="97"/>
  <c r="V130" i="97"/>
  <c r="V138" i="97"/>
  <c r="Q131" i="97"/>
  <c r="L131" i="97"/>
  <c r="L136" i="97"/>
  <c r="F18" i="38"/>
  <c r="L164" i="91"/>
  <c r="AA134" i="97"/>
  <c r="AA132" i="97"/>
  <c r="AA129" i="97"/>
  <c r="L134" i="97"/>
  <c r="L129" i="97"/>
  <c r="V136" i="97"/>
  <c r="K152" i="70"/>
  <c r="R164" i="91"/>
  <c r="M164" i="91"/>
  <c r="P164" i="91"/>
  <c r="W244" i="91"/>
  <c r="W235" i="91"/>
  <c r="W254" i="91"/>
  <c r="W239" i="91"/>
  <c r="W237" i="91"/>
  <c r="W227" i="91"/>
  <c r="W274" i="91"/>
  <c r="W264" i="91"/>
  <c r="W241" i="91"/>
  <c r="W279" i="91"/>
  <c r="W232" i="91"/>
  <c r="W247" i="91"/>
  <c r="W229" i="91"/>
  <c r="D183" i="70"/>
  <c r="D261" i="70"/>
  <c r="D412" i="70"/>
  <c r="D304" i="70"/>
  <c r="D240" i="70"/>
  <c r="D320" i="70"/>
  <c r="D398" i="70"/>
  <c r="D295" i="70"/>
  <c r="D231" i="70"/>
  <c r="D311" i="70"/>
  <c r="D272" i="70"/>
  <c r="D345" i="70"/>
  <c r="D322" i="70"/>
  <c r="D400" i="70"/>
  <c r="D163" i="70"/>
  <c r="D139" i="70"/>
  <c r="D91" i="70"/>
  <c r="D16" i="70"/>
  <c r="D98" i="70"/>
  <c r="D25" i="70"/>
  <c r="D59" i="70"/>
  <c r="D120" i="70"/>
  <c r="D52" i="70"/>
  <c r="D61" i="70"/>
  <c r="D41" i="70"/>
  <c r="D245" i="70"/>
  <c r="D198" i="70"/>
  <c r="D395" i="70"/>
  <c r="D339" i="70"/>
  <c r="D205" i="70"/>
  <c r="D366" i="70"/>
  <c r="D193" i="70"/>
  <c r="D227" i="70"/>
  <c r="D334" i="70"/>
  <c r="D188" i="70"/>
  <c r="D266" i="70"/>
  <c r="D417" i="70"/>
  <c r="D271" i="70"/>
  <c r="D155" i="70"/>
  <c r="D138" i="70"/>
  <c r="D89" i="70"/>
  <c r="D14" i="70"/>
  <c r="D96" i="70"/>
  <c r="D35" i="70"/>
  <c r="D119" i="70"/>
  <c r="D191" i="70"/>
  <c r="D225" i="70"/>
  <c r="D420" i="70"/>
  <c r="D182" i="70"/>
  <c r="D260" i="70"/>
  <c r="D411" i="70"/>
  <c r="D268" i="70"/>
  <c r="D342" i="70"/>
  <c r="D208" i="70"/>
  <c r="D369" i="70"/>
  <c r="D250" i="70"/>
  <c r="D203" i="70"/>
  <c r="D408" i="70"/>
  <c r="D154" i="70"/>
  <c r="D128" i="70"/>
  <c r="D23" i="70"/>
  <c r="D101" i="70"/>
  <c r="D176" i="70"/>
  <c r="D37" i="70"/>
  <c r="D58" i="70"/>
  <c r="D117" i="70"/>
  <c r="D51" i="70"/>
  <c r="D60" i="70"/>
  <c r="D53" i="70"/>
  <c r="D340" i="70"/>
  <c r="D317" i="70"/>
  <c r="D194" i="70"/>
  <c r="D228" i="70"/>
  <c r="D423" i="70"/>
  <c r="D277" i="70"/>
  <c r="D251" i="70"/>
  <c r="D204" i="70"/>
  <c r="D365" i="70"/>
  <c r="D246" i="70"/>
  <c r="D199" i="70"/>
  <c r="D404" i="70"/>
  <c r="D158" i="70"/>
  <c r="D126" i="70"/>
  <c r="D21" i="70"/>
  <c r="D103" i="70"/>
  <c r="D178" i="70"/>
  <c r="D65" i="70"/>
  <c r="D45" i="70"/>
  <c r="W248" i="91"/>
  <c r="W275" i="91"/>
  <c r="W233" i="91"/>
  <c r="W223" i="91"/>
  <c r="W257" i="91"/>
  <c r="W271" i="91"/>
  <c r="W224" i="91"/>
  <c r="W243" i="91"/>
  <c r="W225" i="91"/>
  <c r="W238" i="91"/>
  <c r="W273" i="91"/>
  <c r="W234" i="91"/>
  <c r="W277" i="91"/>
  <c r="D352" i="70"/>
  <c r="D442" i="70"/>
  <c r="D324" i="70"/>
  <c r="D190" i="70"/>
  <c r="D224" i="70"/>
  <c r="D419" i="70"/>
  <c r="D273" i="70"/>
  <c r="D393" i="70"/>
  <c r="D259" i="70"/>
  <c r="D410" i="70"/>
  <c r="D306" i="70"/>
  <c r="D242" i="70"/>
  <c r="D421" i="70"/>
  <c r="D275" i="70"/>
  <c r="D161" i="70"/>
  <c r="D132" i="70"/>
  <c r="D83" i="70"/>
  <c r="D97" i="70"/>
  <c r="D172" i="70"/>
  <c r="D33" i="70"/>
  <c r="D67" i="70"/>
  <c r="D121" i="70"/>
  <c r="D47" i="70"/>
  <c r="D64" i="70"/>
  <c r="D195" i="70"/>
  <c r="D229" i="70"/>
  <c r="D309" i="70"/>
  <c r="D300" i="70"/>
  <c r="D236" i="70"/>
  <c r="D316" i="70"/>
  <c r="D269" i="70"/>
  <c r="D389" i="70"/>
  <c r="D255" i="70"/>
  <c r="D373" i="70"/>
  <c r="D384" i="70"/>
  <c r="D447" i="70"/>
  <c r="D329" i="70"/>
  <c r="D160" i="70"/>
  <c r="D165" i="70"/>
  <c r="D130" i="70"/>
  <c r="D81" i="70"/>
  <c r="D99" i="70"/>
  <c r="D174" i="70"/>
  <c r="D38" i="70"/>
  <c r="D46" i="70"/>
  <c r="D387" i="70"/>
  <c r="D253" i="70"/>
  <c r="D332" i="70"/>
  <c r="D351" i="70"/>
  <c r="D441" i="70"/>
  <c r="D378" i="70"/>
  <c r="D303" i="70"/>
  <c r="D239" i="70"/>
  <c r="D319" i="70"/>
  <c r="D298" i="70"/>
  <c r="D234" i="70"/>
  <c r="D314" i="70"/>
  <c r="D156" i="70"/>
  <c r="D127" i="70"/>
  <c r="D86" i="70"/>
  <c r="D15" i="70"/>
  <c r="D109" i="70"/>
  <c r="D177" i="70"/>
  <c r="D32" i="70"/>
  <c r="D66" i="70"/>
  <c r="D40" i="70"/>
  <c r="D167" i="70"/>
  <c r="D118" i="70"/>
  <c r="D301" i="70"/>
  <c r="D265" i="70"/>
  <c r="D416" i="70"/>
  <c r="D390" i="70"/>
  <c r="D256" i="70"/>
  <c r="D335" i="70"/>
  <c r="D299" i="70"/>
  <c r="D235" i="70"/>
  <c r="D315" i="70"/>
  <c r="D294" i="70"/>
  <c r="D230" i="70"/>
  <c r="D310" i="70"/>
  <c r="D279" i="70"/>
  <c r="D129" i="70"/>
  <c r="D88" i="70"/>
  <c r="D13" i="70"/>
  <c r="D108" i="70"/>
  <c r="D175" i="70"/>
  <c r="D68" i="70"/>
  <c r="D31" i="70"/>
  <c r="W272" i="91"/>
  <c r="W242" i="91"/>
  <c r="W276" i="91"/>
  <c r="W263" i="91"/>
  <c r="W261" i="91"/>
  <c r="W230" i="91"/>
  <c r="W265" i="91"/>
  <c r="W278" i="91"/>
  <c r="W269" i="91"/>
  <c r="W259" i="91"/>
  <c r="W240" i="91"/>
  <c r="W266" i="91"/>
  <c r="W267" i="91"/>
  <c r="D249" i="70"/>
  <c r="D202" i="70"/>
  <c r="D403" i="70"/>
  <c r="D386" i="70"/>
  <c r="D449" i="70"/>
  <c r="D331" i="70"/>
  <c r="D397" i="70"/>
  <c r="D350" i="70"/>
  <c r="D440" i="70"/>
  <c r="D377" i="70"/>
  <c r="D192" i="70"/>
  <c r="D226" i="70"/>
  <c r="D333" i="70"/>
  <c r="D164" i="70"/>
  <c r="D162" i="70"/>
  <c r="D82" i="70"/>
  <c r="D19" i="70"/>
  <c r="D105" i="70"/>
  <c r="D180" i="70"/>
  <c r="D28" i="70"/>
  <c r="D62" i="70"/>
  <c r="D113" i="70"/>
  <c r="D27" i="70"/>
  <c r="D122" i="70"/>
  <c r="D391" i="70"/>
  <c r="D257" i="70"/>
  <c r="D336" i="70"/>
  <c r="D186" i="70"/>
  <c r="D264" i="70"/>
  <c r="D415" i="70"/>
  <c r="D276" i="70"/>
  <c r="D346" i="70"/>
  <c r="D436" i="70"/>
  <c r="D401" i="70"/>
  <c r="D341" i="70"/>
  <c r="D207" i="70"/>
  <c r="D368" i="70"/>
  <c r="D399" i="70"/>
  <c r="D159" i="70"/>
  <c r="D84" i="70"/>
  <c r="D17" i="70"/>
  <c r="D107" i="70"/>
  <c r="D179" i="70"/>
  <c r="D56" i="70"/>
  <c r="D49" i="70"/>
  <c r="D344" i="70"/>
  <c r="D210" i="70"/>
  <c r="D371" i="70"/>
  <c r="D248" i="70"/>
  <c r="D201" i="70"/>
  <c r="D406" i="70"/>
  <c r="D189" i="70"/>
  <c r="D223" i="70"/>
  <c r="D418" i="70"/>
  <c r="D184" i="70"/>
  <c r="D262" i="70"/>
  <c r="D413" i="70"/>
  <c r="D274" i="70"/>
  <c r="D135" i="70"/>
  <c r="D94" i="70"/>
  <c r="D20" i="70"/>
  <c r="D102" i="70"/>
  <c r="D169" i="70"/>
  <c r="D55" i="70"/>
  <c r="D116" i="70"/>
  <c r="D48" i="70"/>
  <c r="D26" i="70"/>
  <c r="D115" i="70"/>
  <c r="D187" i="70"/>
  <c r="D446" i="70"/>
  <c r="D328" i="70"/>
  <c r="D347" i="70"/>
  <c r="D437" i="70"/>
  <c r="D374" i="70"/>
  <c r="D185" i="70"/>
  <c r="D263" i="70"/>
  <c r="D414" i="70"/>
  <c r="D392" i="70"/>
  <c r="D258" i="70"/>
  <c r="D337" i="70"/>
  <c r="D152" i="70"/>
  <c r="D137" i="70"/>
  <c r="D93" i="70"/>
  <c r="D18" i="70"/>
  <c r="D100" i="70"/>
  <c r="D123" i="70"/>
  <c r="W246" i="91"/>
  <c r="W256" i="91"/>
  <c r="W270" i="91"/>
  <c r="W260" i="91"/>
  <c r="W258" i="91"/>
  <c r="W228" i="91"/>
  <c r="W255" i="91"/>
  <c r="W236" i="91"/>
  <c r="W262" i="91"/>
  <c r="W231" i="91"/>
  <c r="W226" i="91"/>
  <c r="W268" i="91"/>
  <c r="W245" i="91"/>
  <c r="D297" i="70"/>
  <c r="D233" i="70"/>
  <c r="D313" i="70"/>
  <c r="D270" i="70"/>
  <c r="D343" i="70"/>
  <c r="D209" i="70"/>
  <c r="D370" i="70"/>
  <c r="D280" i="70"/>
  <c r="D247" i="70"/>
  <c r="D200" i="70"/>
  <c r="D405" i="70"/>
  <c r="D388" i="70"/>
  <c r="D254" i="70"/>
  <c r="D372" i="70"/>
  <c r="D407" i="70"/>
  <c r="D131" i="70"/>
  <c r="D90" i="70"/>
  <c r="D11" i="70"/>
  <c r="D106" i="70"/>
  <c r="D173" i="70"/>
  <c r="D36" i="70"/>
  <c r="D112" i="70"/>
  <c r="D44" i="70"/>
  <c r="D30" i="70"/>
  <c r="D111" i="70"/>
  <c r="D348" i="70"/>
  <c r="D438" i="70"/>
  <c r="D375" i="70"/>
  <c r="D382" i="70"/>
  <c r="D445" i="70"/>
  <c r="D327" i="70"/>
  <c r="D307" i="70"/>
  <c r="D243" i="70"/>
  <c r="D422" i="70"/>
  <c r="D302" i="70"/>
  <c r="D238" i="70"/>
  <c r="D318" i="70"/>
  <c r="D396" i="70"/>
  <c r="D278" i="70"/>
  <c r="D133" i="70"/>
  <c r="D92" i="70"/>
  <c r="D22" i="70"/>
  <c r="D104" i="70"/>
  <c r="D171" i="70"/>
  <c r="D114" i="70"/>
  <c r="D305" i="70"/>
  <c r="D241" i="70"/>
  <c r="D321" i="70"/>
  <c r="D296" i="70"/>
  <c r="D232" i="70"/>
  <c r="D312" i="70"/>
  <c r="D281" i="70"/>
  <c r="D385" i="70"/>
  <c r="D448" i="70"/>
  <c r="D330" i="70"/>
  <c r="D380" i="70"/>
  <c r="D443" i="70"/>
  <c r="D325" i="70"/>
  <c r="D153" i="70"/>
  <c r="D136" i="70"/>
  <c r="D87" i="70"/>
  <c r="D12" i="70"/>
  <c r="D168" i="70"/>
  <c r="D29" i="70"/>
  <c r="D63" i="70"/>
  <c r="D124" i="70"/>
  <c r="D43" i="70"/>
  <c r="D57" i="70"/>
  <c r="D50" i="70"/>
  <c r="D383" i="70"/>
  <c r="D206" i="70"/>
  <c r="D367" i="70"/>
  <c r="D244" i="70"/>
  <c r="D197" i="70"/>
  <c r="D402" i="70"/>
  <c r="D381" i="70"/>
  <c r="D444" i="70"/>
  <c r="D326" i="70"/>
  <c r="D349" i="70"/>
  <c r="D439" i="70"/>
  <c r="D376" i="70"/>
  <c r="D157" i="70"/>
  <c r="D134" i="70"/>
  <c r="D85" i="70"/>
  <c r="D10" i="70"/>
  <c r="D170" i="70"/>
  <c r="D34" i="70"/>
  <c r="D42" i="70"/>
  <c r="X34" i="19"/>
  <c r="X22" i="19"/>
  <c r="X29" i="19"/>
  <c r="G589" i="26"/>
  <c r="G622" i="26"/>
  <c r="X28" i="19"/>
  <c r="X24" i="19"/>
  <c r="AA14" i="19"/>
  <c r="G490" i="26"/>
  <c r="G457" i="26"/>
  <c r="G424" i="26"/>
  <c r="G655" i="26"/>
  <c r="G688" i="26"/>
  <c r="G721" i="26"/>
  <c r="G787" i="26"/>
  <c r="G391" i="26"/>
  <c r="G853" i="26"/>
  <c r="G820" i="26"/>
  <c r="A39" i="70"/>
  <c r="A29" i="70"/>
  <c r="A37" i="70"/>
  <c r="A32" i="70"/>
  <c r="A31" i="70"/>
  <c r="A26" i="70"/>
  <c r="A34" i="70"/>
  <c r="A25" i="70"/>
  <c r="A33" i="70"/>
  <c r="A28" i="70"/>
  <c r="A36" i="70"/>
  <c r="A27" i="70"/>
  <c r="A35" i="70"/>
  <c r="A30" i="70"/>
  <c r="A38" i="70"/>
  <c r="A54" i="70"/>
  <c r="A40" i="70"/>
  <c r="A48" i="70"/>
  <c r="A43" i="70"/>
  <c r="A51" i="70"/>
  <c r="A42" i="70"/>
  <c r="A50" i="70"/>
  <c r="A45" i="70"/>
  <c r="A53" i="70"/>
  <c r="A44" i="70"/>
  <c r="A52" i="70"/>
  <c r="A47" i="70"/>
  <c r="A46" i="70"/>
  <c r="A41" i="70"/>
  <c r="A49" i="70"/>
  <c r="A104" i="70"/>
  <c r="A96" i="70"/>
  <c r="A103" i="70"/>
  <c r="A102" i="70"/>
  <c r="A109" i="70"/>
  <c r="A101" i="70"/>
  <c r="A108" i="70"/>
  <c r="A100" i="70"/>
  <c r="A97" i="70"/>
  <c r="A107" i="70"/>
  <c r="A99" i="70"/>
  <c r="A106" i="70"/>
  <c r="A98" i="70"/>
  <c r="A110" i="70"/>
  <c r="A105" i="70"/>
  <c r="AA21" i="19"/>
  <c r="A10" i="70"/>
  <c r="A24" i="70"/>
  <c r="A23" i="70"/>
  <c r="A15" i="70"/>
  <c r="A20" i="70"/>
  <c r="A12" i="70"/>
  <c r="A21" i="70"/>
  <c r="A13" i="70"/>
  <c r="A18" i="70"/>
  <c r="A19" i="70"/>
  <c r="A11" i="70"/>
  <c r="A16" i="70"/>
  <c r="A17" i="70"/>
  <c r="A22" i="70"/>
  <c r="A14" i="70"/>
  <c r="A181" i="70"/>
  <c r="A168" i="70"/>
  <c r="A176" i="70"/>
  <c r="A173" i="70"/>
  <c r="A170" i="70"/>
  <c r="A178" i="70"/>
  <c r="A179" i="70"/>
  <c r="A171" i="70"/>
  <c r="A172" i="70"/>
  <c r="A180" i="70"/>
  <c r="A177" i="70"/>
  <c r="A169" i="70"/>
  <c r="A174" i="70"/>
  <c r="A175" i="70"/>
  <c r="A167" i="70"/>
  <c r="A69" i="70"/>
  <c r="A59" i="70"/>
  <c r="A67" i="70"/>
  <c r="A62" i="70"/>
  <c r="A61" i="70"/>
  <c r="A56" i="70"/>
  <c r="A64" i="70"/>
  <c r="A55" i="70"/>
  <c r="A63" i="70"/>
  <c r="A58" i="70"/>
  <c r="A66" i="70"/>
  <c r="A57" i="70"/>
  <c r="A65" i="70"/>
  <c r="A60" i="70"/>
  <c r="A68" i="70"/>
  <c r="A138" i="70"/>
  <c r="A130" i="70"/>
  <c r="A133" i="70"/>
  <c r="A136" i="70"/>
  <c r="A128" i="70"/>
  <c r="A127" i="70"/>
  <c r="A140" i="70"/>
  <c r="A139" i="70"/>
  <c r="A131" i="70"/>
  <c r="A134" i="70"/>
  <c r="A126" i="70"/>
  <c r="A137" i="70"/>
  <c r="A129" i="70"/>
  <c r="A132" i="70"/>
  <c r="A135" i="70"/>
  <c r="A121" i="70"/>
  <c r="A113" i="70"/>
  <c r="A122" i="70"/>
  <c r="A114" i="70"/>
  <c r="A119" i="70"/>
  <c r="A111" i="70"/>
  <c r="A120" i="70"/>
  <c r="A117" i="70"/>
  <c r="A125" i="70"/>
  <c r="A118" i="70"/>
  <c r="A123" i="70"/>
  <c r="A115" i="70"/>
  <c r="A112" i="70"/>
  <c r="A124" i="70"/>
  <c r="A116" i="70"/>
  <c r="A87" i="70"/>
  <c r="A82" i="70"/>
  <c r="A95" i="70"/>
  <c r="A92" i="70"/>
  <c r="A84" i="70"/>
  <c r="A93" i="70"/>
  <c r="A85" i="70"/>
  <c r="A90" i="70"/>
  <c r="A91" i="70"/>
  <c r="A83" i="70"/>
  <c r="A88" i="70"/>
  <c r="A89" i="70"/>
  <c r="A81" i="70"/>
  <c r="A94" i="70"/>
  <c r="A86" i="70"/>
  <c r="S171" i="97"/>
  <c r="R171" i="97"/>
  <c r="H164" i="97"/>
  <c r="I164" i="97"/>
  <c r="H169" i="97"/>
  <c r="I169" i="97"/>
  <c r="X164" i="97"/>
  <c r="W164" i="97"/>
  <c r="W167" i="97"/>
  <c r="X167" i="97"/>
  <c r="W169" i="97"/>
  <c r="X169" i="97"/>
  <c r="H171" i="97"/>
  <c r="I171" i="97"/>
  <c r="H166" i="97"/>
  <c r="I166" i="97"/>
  <c r="M166" i="97"/>
  <c r="N166" i="97"/>
  <c r="S173" i="97"/>
  <c r="R173" i="97"/>
  <c r="R165" i="97"/>
  <c r="S165" i="97"/>
  <c r="M164" i="97"/>
  <c r="N164" i="97"/>
  <c r="M167" i="97"/>
  <c r="N167" i="97"/>
  <c r="R170" i="97"/>
  <c r="S170" i="97"/>
  <c r="W170" i="97"/>
  <c r="X170" i="97"/>
  <c r="M169" i="97"/>
  <c r="N169" i="97"/>
  <c r="Y133" i="97"/>
  <c r="O133" i="97"/>
  <c r="T133" i="97"/>
  <c r="J133" i="97"/>
  <c r="Y137" i="97"/>
  <c r="O137" i="97"/>
  <c r="T137" i="97"/>
  <c r="J137" i="97"/>
  <c r="R167" i="97"/>
  <c r="S167" i="97"/>
  <c r="I173" i="97"/>
  <c r="H173" i="97"/>
  <c r="H165" i="97"/>
  <c r="I165" i="97"/>
  <c r="X171" i="97"/>
  <c r="W171" i="97"/>
  <c r="W173" i="97"/>
  <c r="X173" i="97"/>
  <c r="W165" i="97"/>
  <c r="X165" i="97"/>
  <c r="R164" i="97"/>
  <c r="S164" i="97"/>
  <c r="I167" i="97"/>
  <c r="H167" i="97"/>
  <c r="R166" i="97"/>
  <c r="S166" i="97"/>
  <c r="W166" i="97"/>
  <c r="X166" i="97"/>
  <c r="R169" i="97"/>
  <c r="S169" i="97"/>
  <c r="M171" i="97"/>
  <c r="N171" i="97"/>
  <c r="H170" i="97"/>
  <c r="I170" i="97"/>
  <c r="N170" i="97"/>
  <c r="M170" i="97"/>
  <c r="M173" i="97"/>
  <c r="O173" i="97"/>
  <c r="N173" i="97"/>
  <c r="N165" i="97"/>
  <c r="M165" i="97"/>
  <c r="Z35" i="19"/>
  <c r="AA35" i="19"/>
  <c r="AA18" i="19"/>
  <c r="AA19" i="19"/>
  <c r="Z22" i="19"/>
  <c r="AA22" i="19"/>
  <c r="Z25" i="19"/>
  <c r="AA25" i="19"/>
  <c r="Z23" i="19"/>
  <c r="AA23" i="19"/>
  <c r="AA15" i="19"/>
  <c r="U98" i="97"/>
  <c r="U102" i="97"/>
  <c r="D24" i="91"/>
  <c r="D25" i="91"/>
  <c r="A152" i="70"/>
  <c r="A153" i="70"/>
  <c r="A154" i="70"/>
  <c r="A155" i="70"/>
  <c r="A156" i="70"/>
  <c r="A157" i="70"/>
  <c r="A158" i="70"/>
  <c r="A159" i="70"/>
  <c r="A160" i="70"/>
  <c r="A161" i="70"/>
  <c r="A162" i="70"/>
  <c r="A163" i="70"/>
  <c r="A164" i="70"/>
  <c r="A165" i="70"/>
  <c r="O18" i="38"/>
  <c r="O14" i="38"/>
  <c r="F52" i="71"/>
  <c r="F81" i="71"/>
  <c r="F57" i="71"/>
  <c r="F86" i="71"/>
  <c r="F41" i="71"/>
  <c r="F70" i="71"/>
  <c r="I32" i="19"/>
  <c r="J32" i="19"/>
  <c r="K241" i="97"/>
  <c r="H32" i="19"/>
  <c r="J73" i="38"/>
  <c r="G73" i="38"/>
  <c r="K73" i="38"/>
  <c r="H73" i="38"/>
  <c r="L73" i="38"/>
  <c r="M73" i="38"/>
  <c r="D35" i="80"/>
  <c r="Q35" i="19"/>
  <c r="V244" i="97"/>
  <c r="S35" i="19"/>
  <c r="D29" i="38"/>
  <c r="D67" i="38"/>
  <c r="I146" i="97"/>
  <c r="K146" i="97"/>
  <c r="H146" i="97"/>
  <c r="J146" i="97"/>
  <c r="P146" i="97"/>
  <c r="X146" i="97"/>
  <c r="M146" i="97"/>
  <c r="O146" i="97"/>
  <c r="U146" i="97"/>
  <c r="N146" i="97"/>
  <c r="R146" i="97"/>
  <c r="T146" i="97"/>
  <c r="Z146" i="97"/>
  <c r="S146" i="97"/>
  <c r="W146" i="97"/>
  <c r="Y146" i="97"/>
  <c r="A197" i="70"/>
  <c r="A198" i="70"/>
  <c r="A199" i="70"/>
  <c r="A200" i="70"/>
  <c r="A201" i="70"/>
  <c r="A202" i="70"/>
  <c r="A203" i="70"/>
  <c r="A204" i="70"/>
  <c r="A205" i="70"/>
  <c r="A206" i="70"/>
  <c r="A207" i="70"/>
  <c r="A208" i="70"/>
  <c r="A209" i="70"/>
  <c r="A210" i="70"/>
  <c r="A211" i="70"/>
  <c r="A395" i="70"/>
  <c r="A396" i="70"/>
  <c r="A397" i="70"/>
  <c r="A398" i="70"/>
  <c r="A399" i="70"/>
  <c r="A400" i="70"/>
  <c r="A401" i="70"/>
  <c r="A402" i="70"/>
  <c r="A403" i="70"/>
  <c r="A404" i="70"/>
  <c r="A405" i="70"/>
  <c r="A406" i="70"/>
  <c r="A407" i="70"/>
  <c r="A408" i="70"/>
  <c r="A409" i="70"/>
  <c r="H335" i="86"/>
  <c r="L335" i="86"/>
  <c r="P335" i="86"/>
  <c r="A335" i="86"/>
  <c r="I335" i="86"/>
  <c r="M335" i="86"/>
  <c r="Q335" i="86"/>
  <c r="J335" i="86"/>
  <c r="N335" i="86"/>
  <c r="G335" i="86"/>
  <c r="K335" i="86"/>
  <c r="O335" i="86"/>
  <c r="D34" i="83"/>
  <c r="K34" i="19"/>
  <c r="Z34" i="19"/>
  <c r="AA34" i="19"/>
  <c r="H32" i="38"/>
  <c r="I70" i="38"/>
  <c r="K33" i="20"/>
  <c r="G64" i="38"/>
  <c r="K64" i="38"/>
  <c r="H64" i="38"/>
  <c r="L64" i="38"/>
  <c r="M64" i="38"/>
  <c r="J64" i="38"/>
  <c r="G333" i="86"/>
  <c r="K333" i="86"/>
  <c r="O333" i="86"/>
  <c r="L333" i="86"/>
  <c r="Q333" i="86"/>
  <c r="H333" i="86"/>
  <c r="M333" i="86"/>
  <c r="I333" i="86"/>
  <c r="N333" i="86"/>
  <c r="A333" i="86"/>
  <c r="J333" i="86"/>
  <c r="P333" i="86"/>
  <c r="N38" i="38"/>
  <c r="N39" i="38"/>
  <c r="N40" i="38"/>
  <c r="N43" i="38"/>
  <c r="N41" i="38"/>
  <c r="N42" i="38"/>
  <c r="H35" i="38"/>
  <c r="I73" i="38"/>
  <c r="K36" i="20"/>
  <c r="X31" i="19"/>
  <c r="Z29" i="19"/>
  <c r="AA29" i="19"/>
  <c r="Z27" i="19"/>
  <c r="AA27" i="19"/>
  <c r="I36" i="19"/>
  <c r="J36" i="19"/>
  <c r="K245" i="97"/>
  <c r="H36" i="19"/>
  <c r="X30" i="19"/>
  <c r="D30" i="38"/>
  <c r="D68" i="38"/>
  <c r="I147" i="97"/>
  <c r="K147" i="97"/>
  <c r="H147" i="97"/>
  <c r="J147" i="97"/>
  <c r="P147" i="97"/>
  <c r="X147" i="97"/>
  <c r="M147" i="97"/>
  <c r="O147" i="97"/>
  <c r="U147" i="97"/>
  <c r="N147" i="97"/>
  <c r="R147" i="97"/>
  <c r="T147" i="97"/>
  <c r="Z147" i="97"/>
  <c r="S147" i="97"/>
  <c r="W147" i="97"/>
  <c r="Y147" i="97"/>
  <c r="D28" i="83"/>
  <c r="K28" i="19"/>
  <c r="Z28" i="19"/>
  <c r="AA28" i="19"/>
  <c r="I26" i="19"/>
  <c r="J26" i="19"/>
  <c r="K235" i="97"/>
  <c r="H26" i="19"/>
  <c r="D22" i="80"/>
  <c r="Q22" i="19"/>
  <c r="V231" i="97"/>
  <c r="S22" i="19"/>
  <c r="I31" i="19"/>
  <c r="J31" i="19"/>
  <c r="K240" i="97"/>
  <c r="H31" i="19"/>
  <c r="D25" i="83"/>
  <c r="K25" i="19"/>
  <c r="D23" i="83"/>
  <c r="K23" i="19"/>
  <c r="F56" i="71"/>
  <c r="F85" i="71"/>
  <c r="X221" i="91"/>
  <c r="F61" i="71"/>
  <c r="F90" i="71"/>
  <c r="D32" i="38"/>
  <c r="D70" i="38"/>
  <c r="I149" i="97"/>
  <c r="K149" i="97"/>
  <c r="H149" i="97"/>
  <c r="J149" i="97"/>
  <c r="P149" i="97"/>
  <c r="X149" i="97"/>
  <c r="M149" i="97"/>
  <c r="O149" i="97"/>
  <c r="U149" i="97"/>
  <c r="N149" i="97"/>
  <c r="R149" i="97"/>
  <c r="T149" i="97"/>
  <c r="Z149" i="97"/>
  <c r="S149" i="97"/>
  <c r="W149" i="97"/>
  <c r="Y149" i="97"/>
  <c r="I30" i="19"/>
  <c r="J30" i="19"/>
  <c r="K239" i="97"/>
  <c r="H30" i="19"/>
  <c r="H24" i="38"/>
  <c r="I62" i="38"/>
  <c r="K25" i="20"/>
  <c r="A309" i="70"/>
  <c r="A310" i="70"/>
  <c r="A311" i="70"/>
  <c r="A312" i="70"/>
  <c r="A313" i="70"/>
  <c r="A314" i="70"/>
  <c r="A315" i="70"/>
  <c r="A316" i="70"/>
  <c r="A317" i="70"/>
  <c r="A318" i="70"/>
  <c r="A319" i="70"/>
  <c r="A320" i="70"/>
  <c r="A321" i="70"/>
  <c r="A322" i="70"/>
  <c r="A323" i="70"/>
  <c r="D34" i="82"/>
  <c r="D75" i="82"/>
  <c r="Z33" i="19"/>
  <c r="AA33" i="19"/>
  <c r="H25" i="38"/>
  <c r="I63" i="38"/>
  <c r="K26" i="20"/>
  <c r="D12" i="83"/>
  <c r="K12" i="19"/>
  <c r="T221" i="97"/>
  <c r="D20" i="83"/>
  <c r="K20" i="19"/>
  <c r="T229" i="97"/>
  <c r="D21" i="83"/>
  <c r="K21" i="19"/>
  <c r="T230" i="97"/>
  <c r="AA17" i="19"/>
  <c r="K70" i="33"/>
  <c r="M70" i="38"/>
  <c r="J70" i="38"/>
  <c r="G70" i="38"/>
  <c r="K70" i="38"/>
  <c r="H70" i="38"/>
  <c r="L70" i="38"/>
  <c r="D32" i="83"/>
  <c r="K32" i="19"/>
  <c r="Z32" i="19"/>
  <c r="AA32" i="19"/>
  <c r="D35" i="83"/>
  <c r="K35" i="19"/>
  <c r="H33" i="38"/>
  <c r="I71" i="38"/>
  <c r="K34" i="20"/>
  <c r="D27" i="38"/>
  <c r="D65" i="38"/>
  <c r="H144" i="97"/>
  <c r="J144" i="97"/>
  <c r="I144" i="97"/>
  <c r="K144" i="97"/>
  <c r="P144" i="97"/>
  <c r="X144" i="97"/>
  <c r="M144" i="97"/>
  <c r="O144" i="97"/>
  <c r="U144" i="97"/>
  <c r="N144" i="97"/>
  <c r="R144" i="97"/>
  <c r="T144" i="97"/>
  <c r="Z144" i="97"/>
  <c r="S144" i="97"/>
  <c r="W144" i="97"/>
  <c r="Y144" i="97"/>
  <c r="H63" i="38"/>
  <c r="L63" i="38"/>
  <c r="M63" i="38"/>
  <c r="J63" i="38"/>
  <c r="G63" i="38"/>
  <c r="K63" i="38"/>
  <c r="L156" i="91"/>
  <c r="K128" i="91"/>
  <c r="L99" i="91"/>
  <c r="F53" i="71"/>
  <c r="F82" i="71"/>
  <c r="A380" i="70"/>
  <c r="A381" i="70"/>
  <c r="A382" i="70"/>
  <c r="A383" i="70"/>
  <c r="A384" i="70"/>
  <c r="A385" i="70"/>
  <c r="A386" i="70"/>
  <c r="A387" i="70"/>
  <c r="A388" i="70"/>
  <c r="A389" i="70"/>
  <c r="A390" i="70"/>
  <c r="A391" i="70"/>
  <c r="A392" i="70"/>
  <c r="A393" i="70"/>
  <c r="A394" i="70"/>
  <c r="G72" i="38"/>
  <c r="K72" i="38"/>
  <c r="H72" i="38"/>
  <c r="L72" i="38"/>
  <c r="M72" i="38"/>
  <c r="J72" i="38"/>
  <c r="D34" i="80"/>
  <c r="Q34" i="19"/>
  <c r="V243" i="97"/>
  <c r="S34" i="19"/>
  <c r="X26" i="19"/>
  <c r="D26" i="38"/>
  <c r="D64" i="38"/>
  <c r="I143" i="97"/>
  <c r="K143" i="97"/>
  <c r="H143" i="97"/>
  <c r="J143" i="97"/>
  <c r="P143" i="97"/>
  <c r="X143" i="97"/>
  <c r="M143" i="97"/>
  <c r="O143" i="97"/>
  <c r="U143" i="97"/>
  <c r="N143" i="97"/>
  <c r="R143" i="97"/>
  <c r="T143" i="97"/>
  <c r="Z143" i="97"/>
  <c r="S143" i="97"/>
  <c r="W143" i="97"/>
  <c r="Y143" i="97"/>
  <c r="G60" i="38"/>
  <c r="K60" i="38"/>
  <c r="H60" i="38"/>
  <c r="L60" i="38"/>
  <c r="M60" i="38"/>
  <c r="J60" i="38"/>
  <c r="D31" i="38"/>
  <c r="D69" i="38"/>
  <c r="H148" i="97"/>
  <c r="J148" i="97"/>
  <c r="I148" i="97"/>
  <c r="K148" i="97"/>
  <c r="P148" i="97"/>
  <c r="X148" i="97"/>
  <c r="M148" i="97"/>
  <c r="O148" i="97"/>
  <c r="U148" i="97"/>
  <c r="N148" i="97"/>
  <c r="R148" i="97"/>
  <c r="T148" i="97"/>
  <c r="Z148" i="97"/>
  <c r="S148" i="97"/>
  <c r="W148" i="97"/>
  <c r="Y148" i="97"/>
  <c r="H67" i="38"/>
  <c r="L67" i="38"/>
  <c r="M67" i="38"/>
  <c r="J67" i="38"/>
  <c r="G67" i="38"/>
  <c r="K67" i="38"/>
  <c r="D29" i="80"/>
  <c r="Q29" i="19"/>
  <c r="V238" i="97"/>
  <c r="S29" i="19"/>
  <c r="D27" i="80"/>
  <c r="Q27" i="19"/>
  <c r="V236" i="97"/>
  <c r="S27" i="19"/>
  <c r="I57" i="24"/>
  <c r="I105" i="24"/>
  <c r="D25" i="38"/>
  <c r="D63" i="38"/>
  <c r="I142" i="97"/>
  <c r="K142" i="97"/>
  <c r="H142" i="97"/>
  <c r="J142" i="97"/>
  <c r="P142" i="97"/>
  <c r="X142" i="97"/>
  <c r="M142" i="97"/>
  <c r="O142" i="97"/>
  <c r="U142" i="97"/>
  <c r="N142" i="97"/>
  <c r="R142" i="97"/>
  <c r="T142" i="97"/>
  <c r="Z142" i="97"/>
  <c r="S142" i="97"/>
  <c r="W142" i="97"/>
  <c r="Y142" i="97"/>
  <c r="J61" i="38"/>
  <c r="G61" i="38"/>
  <c r="K61" i="38"/>
  <c r="H61" i="38"/>
  <c r="L61" i="38"/>
  <c r="M61" i="38"/>
  <c r="A332" i="86"/>
  <c r="I332" i="86"/>
  <c r="M332" i="86"/>
  <c r="Q332" i="86"/>
  <c r="J332" i="86"/>
  <c r="O332" i="86"/>
  <c r="K332" i="86"/>
  <c r="P332" i="86"/>
  <c r="G332" i="86"/>
  <c r="L332" i="86"/>
  <c r="H332" i="86"/>
  <c r="N332" i="86"/>
  <c r="D36" i="83"/>
  <c r="K36" i="19"/>
  <c r="Z36" i="19"/>
  <c r="AA36" i="19"/>
  <c r="D28" i="80"/>
  <c r="Q28" i="19"/>
  <c r="V237" i="97"/>
  <c r="S28" i="19"/>
  <c r="D26" i="83"/>
  <c r="K26" i="19"/>
  <c r="Z26" i="19"/>
  <c r="AA26" i="19"/>
  <c r="I24" i="19"/>
  <c r="J24" i="19"/>
  <c r="K233" i="97"/>
  <c r="H24" i="19"/>
  <c r="G9" i="59"/>
  <c r="G10" i="59"/>
  <c r="G9" i="60"/>
  <c r="G10" i="60"/>
  <c r="W99" i="91"/>
  <c r="X128" i="91"/>
  <c r="X33" i="19"/>
  <c r="H29" i="38"/>
  <c r="I67" i="38"/>
  <c r="K30" i="20"/>
  <c r="H27" i="38"/>
  <c r="I65" i="38"/>
  <c r="K28" i="20"/>
  <c r="I25" i="19"/>
  <c r="J25" i="19"/>
  <c r="K234" i="97"/>
  <c r="H25" i="19"/>
  <c r="I23" i="19"/>
  <c r="J23" i="19"/>
  <c r="K232" i="97"/>
  <c r="H23" i="19"/>
  <c r="X32" i="19"/>
  <c r="D30" i="83"/>
  <c r="K30" i="19"/>
  <c r="Z30" i="19"/>
  <c r="AA30" i="19"/>
  <c r="A294" i="70"/>
  <c r="A295" i="70"/>
  <c r="A296" i="70"/>
  <c r="A297" i="70"/>
  <c r="A298" i="70"/>
  <c r="A299" i="70"/>
  <c r="A300" i="70"/>
  <c r="A301" i="70"/>
  <c r="A302" i="70"/>
  <c r="A303" i="70"/>
  <c r="A304" i="70"/>
  <c r="A305" i="70"/>
  <c r="A306" i="70"/>
  <c r="A307" i="70"/>
  <c r="A308" i="70"/>
  <c r="A339" i="70"/>
  <c r="A340" i="70"/>
  <c r="A341" i="70"/>
  <c r="A342" i="70"/>
  <c r="A343" i="70"/>
  <c r="A344" i="70"/>
  <c r="A345" i="70"/>
  <c r="A346" i="70"/>
  <c r="A347" i="70"/>
  <c r="A348" i="70"/>
  <c r="A349" i="70"/>
  <c r="A350" i="70"/>
  <c r="A351" i="70"/>
  <c r="A352" i="70"/>
  <c r="A353" i="70"/>
  <c r="A324" i="70"/>
  <c r="A325" i="70"/>
  <c r="A326" i="70"/>
  <c r="A327" i="70"/>
  <c r="A328" i="70"/>
  <c r="A329" i="70"/>
  <c r="A330" i="70"/>
  <c r="A331" i="70"/>
  <c r="A332" i="70"/>
  <c r="A333" i="70"/>
  <c r="A334" i="70"/>
  <c r="A335" i="70"/>
  <c r="A336" i="70"/>
  <c r="A337" i="70"/>
  <c r="A338" i="70"/>
  <c r="A365" i="70"/>
  <c r="A366" i="70"/>
  <c r="A367" i="70"/>
  <c r="A368" i="70"/>
  <c r="A369" i="70"/>
  <c r="A370" i="70"/>
  <c r="A371" i="70"/>
  <c r="A372" i="70"/>
  <c r="A373" i="70"/>
  <c r="A374" i="70"/>
  <c r="A375" i="70"/>
  <c r="A376" i="70"/>
  <c r="A377" i="70"/>
  <c r="A378" i="70"/>
  <c r="A379" i="70"/>
  <c r="D26" i="82"/>
  <c r="D67" i="82"/>
  <c r="D35" i="38"/>
  <c r="D73" i="38"/>
  <c r="H152" i="97"/>
  <c r="J152" i="97"/>
  <c r="I152" i="97"/>
  <c r="K152" i="97"/>
  <c r="P152" i="97"/>
  <c r="X152" i="97"/>
  <c r="M152" i="97"/>
  <c r="O152" i="97"/>
  <c r="U152" i="97"/>
  <c r="N152" i="97"/>
  <c r="R152" i="97"/>
  <c r="T152" i="97"/>
  <c r="Z152" i="97"/>
  <c r="S152" i="97"/>
  <c r="W152" i="97"/>
  <c r="Y152" i="97"/>
  <c r="H71" i="38"/>
  <c r="L71" i="38"/>
  <c r="M71" i="38"/>
  <c r="J71" i="38"/>
  <c r="G71" i="38"/>
  <c r="K71" i="38"/>
  <c r="D33" i="80"/>
  <c r="Q33" i="19"/>
  <c r="V242" i="97"/>
  <c r="S33" i="19"/>
  <c r="D15" i="83"/>
  <c r="K15" i="19"/>
  <c r="T224" i="97"/>
  <c r="AA12" i="19"/>
  <c r="AA16" i="19"/>
  <c r="AA13" i="19"/>
  <c r="D32" i="80"/>
  <c r="Q32" i="19"/>
  <c r="V241" i="97"/>
  <c r="S32" i="19"/>
  <c r="D24" i="82"/>
  <c r="D65" i="82"/>
  <c r="D26" i="81"/>
  <c r="D28" i="81"/>
  <c r="D30" i="81"/>
  <c r="D32" i="81"/>
  <c r="D34" i="81"/>
  <c r="D77" i="81"/>
  <c r="D79" i="81"/>
  <c r="D80" i="81"/>
  <c r="D84" i="81"/>
  <c r="D88" i="81"/>
  <c r="D25" i="81"/>
  <c r="D29" i="81"/>
  <c r="D33" i="81"/>
  <c r="D81" i="81"/>
  <c r="D85" i="81"/>
  <c r="D35" i="81"/>
  <c r="D36" i="81"/>
  <c r="D78" i="81"/>
  <c r="D82" i="81"/>
  <c r="D86" i="81"/>
  <c r="D27" i="81"/>
  <c r="D31" i="81"/>
  <c r="D87" i="81"/>
  <c r="D83" i="81"/>
  <c r="I35" i="19"/>
  <c r="J35" i="19"/>
  <c r="K244" i="97"/>
  <c r="H35" i="19"/>
  <c r="H9" i="32"/>
  <c r="O9" i="32"/>
  <c r="P9" i="31"/>
  <c r="G9" i="31"/>
  <c r="A436" i="70"/>
  <c r="A437" i="70"/>
  <c r="A438" i="70"/>
  <c r="A439" i="70"/>
  <c r="A440" i="70"/>
  <c r="A441" i="70"/>
  <c r="A442" i="70"/>
  <c r="A443" i="70"/>
  <c r="A444" i="70"/>
  <c r="A445" i="70"/>
  <c r="A446" i="70"/>
  <c r="A447" i="70"/>
  <c r="A448" i="70"/>
  <c r="A449" i="70"/>
  <c r="A450" i="70"/>
  <c r="D28" i="38"/>
  <c r="D66" i="38"/>
  <c r="I145" i="97"/>
  <c r="K145" i="97"/>
  <c r="H145" i="97"/>
  <c r="J145" i="97"/>
  <c r="P145" i="97"/>
  <c r="X145" i="97"/>
  <c r="M145" i="97"/>
  <c r="O145" i="97"/>
  <c r="U145" i="97"/>
  <c r="N145" i="97"/>
  <c r="R145" i="97"/>
  <c r="T145" i="97"/>
  <c r="Z145" i="97"/>
  <c r="S145" i="97"/>
  <c r="W145" i="97"/>
  <c r="Y145" i="97"/>
  <c r="H57" i="24"/>
  <c r="H105" i="24"/>
  <c r="D24" i="38"/>
  <c r="D62" i="38"/>
  <c r="I141" i="97"/>
  <c r="K141" i="97"/>
  <c r="H141" i="97"/>
  <c r="J141" i="97"/>
  <c r="P141" i="97"/>
  <c r="X141" i="97"/>
  <c r="M141" i="97"/>
  <c r="O141" i="97"/>
  <c r="U141" i="97"/>
  <c r="N141" i="97"/>
  <c r="R141" i="97"/>
  <c r="T141" i="97"/>
  <c r="Z141" i="97"/>
  <c r="S141" i="97"/>
  <c r="W141" i="97"/>
  <c r="Y141" i="97"/>
  <c r="F57" i="24"/>
  <c r="F105" i="24"/>
  <c r="D22" i="38"/>
  <c r="D60" i="38"/>
  <c r="I139" i="97"/>
  <c r="K139" i="97"/>
  <c r="H139" i="97"/>
  <c r="L139" i="97"/>
  <c r="P139" i="97"/>
  <c r="X139" i="97"/>
  <c r="M139" i="97"/>
  <c r="Q139" i="97"/>
  <c r="U139" i="97"/>
  <c r="N139" i="97"/>
  <c r="R139" i="97"/>
  <c r="V139" i="97"/>
  <c r="Z139" i="97"/>
  <c r="S139" i="97"/>
  <c r="W139" i="97"/>
  <c r="AA139" i="97"/>
  <c r="D32" i="82"/>
  <c r="D73" i="82"/>
  <c r="D29" i="83"/>
  <c r="K29" i="19"/>
  <c r="D27" i="83"/>
  <c r="K27" i="19"/>
  <c r="A334" i="86"/>
  <c r="I334" i="86"/>
  <c r="M334" i="86"/>
  <c r="H334" i="86"/>
  <c r="N334" i="86"/>
  <c r="J334" i="86"/>
  <c r="O334" i="86"/>
  <c r="K334" i="86"/>
  <c r="P334" i="86"/>
  <c r="G334" i="86"/>
  <c r="L334" i="86"/>
  <c r="Q334" i="86"/>
  <c r="X23" i="19"/>
  <c r="F49" i="71"/>
  <c r="F78" i="71"/>
  <c r="M74" i="38"/>
  <c r="J74" i="38"/>
  <c r="G74" i="38"/>
  <c r="K74" i="38"/>
  <c r="H74" i="38"/>
  <c r="L74" i="38"/>
  <c r="D36" i="80"/>
  <c r="Q36" i="19"/>
  <c r="V245" i="97"/>
  <c r="S36" i="19"/>
  <c r="M66" i="38"/>
  <c r="J66" i="38"/>
  <c r="G66" i="38"/>
  <c r="K66" i="38"/>
  <c r="H66" i="38"/>
  <c r="L66" i="38"/>
  <c r="D26" i="80"/>
  <c r="Q26" i="19"/>
  <c r="V235" i="97"/>
  <c r="S26" i="19"/>
  <c r="D24" i="83"/>
  <c r="K24" i="19"/>
  <c r="Z24" i="19"/>
  <c r="AA24" i="19"/>
  <c r="I22" i="19"/>
  <c r="J22" i="19"/>
  <c r="K231" i="97"/>
  <c r="H22" i="19"/>
  <c r="J69" i="38"/>
  <c r="G69" i="38"/>
  <c r="K69" i="38"/>
  <c r="H69" i="38"/>
  <c r="L69" i="38"/>
  <c r="M69" i="38"/>
  <c r="D31" i="80"/>
  <c r="Q31" i="19"/>
  <c r="V240" i="97"/>
  <c r="S31" i="19"/>
  <c r="F60" i="71"/>
  <c r="F89" i="71"/>
  <c r="H8" i="68"/>
  <c r="H17" i="68"/>
  <c r="F8" i="56"/>
  <c r="H25" i="33"/>
  <c r="G68" i="38"/>
  <c r="K68" i="38"/>
  <c r="H68" i="38"/>
  <c r="L68" i="38"/>
  <c r="M68" i="38"/>
  <c r="J68" i="38"/>
  <c r="D30" i="80"/>
  <c r="Q30" i="19"/>
  <c r="V239" i="97"/>
  <c r="S30" i="19"/>
  <c r="H28" i="38"/>
  <c r="I66" i="38"/>
  <c r="K29" i="20"/>
  <c r="H26" i="38"/>
  <c r="I64" i="38"/>
  <c r="K27" i="20"/>
  <c r="A253" i="70"/>
  <c r="A254" i="70"/>
  <c r="A255" i="70"/>
  <c r="A256" i="70"/>
  <c r="A257" i="70"/>
  <c r="A258" i="70"/>
  <c r="A259" i="70"/>
  <c r="A260" i="70"/>
  <c r="A261" i="70"/>
  <c r="A262" i="70"/>
  <c r="A263" i="70"/>
  <c r="A264" i="70"/>
  <c r="A265" i="70"/>
  <c r="A266" i="70"/>
  <c r="A267" i="70"/>
  <c r="A223" i="70"/>
  <c r="A224" i="70"/>
  <c r="A225" i="70"/>
  <c r="A226" i="70"/>
  <c r="A227" i="70"/>
  <c r="A228" i="70"/>
  <c r="A229" i="70"/>
  <c r="A230" i="70"/>
  <c r="A231" i="70"/>
  <c r="A232" i="70"/>
  <c r="A233" i="70"/>
  <c r="A234" i="70"/>
  <c r="A235" i="70"/>
  <c r="A236" i="70"/>
  <c r="A237" i="70"/>
  <c r="H22" i="38"/>
  <c r="I60" i="38"/>
  <c r="K23" i="20"/>
  <c r="D33" i="83"/>
  <c r="K33" i="19"/>
  <c r="D18" i="83"/>
  <c r="K18" i="19"/>
  <c r="T227" i="97"/>
  <c r="D19" i="83"/>
  <c r="K19" i="19"/>
  <c r="T228" i="97"/>
  <c r="D34" i="38"/>
  <c r="D72" i="38"/>
  <c r="I151" i="97"/>
  <c r="K151" i="97"/>
  <c r="H151" i="97"/>
  <c r="J151" i="97"/>
  <c r="P151" i="97"/>
  <c r="X151" i="97"/>
  <c r="M151" i="97"/>
  <c r="O151" i="97"/>
  <c r="U151" i="97"/>
  <c r="N151" i="97"/>
  <c r="R151" i="97"/>
  <c r="T151" i="97"/>
  <c r="Z151" i="97"/>
  <c r="S151" i="97"/>
  <c r="W151" i="97"/>
  <c r="Y151" i="97"/>
  <c r="H30" i="38"/>
  <c r="I68" i="38"/>
  <c r="K31" i="20"/>
  <c r="J65" i="38"/>
  <c r="G65" i="38"/>
  <c r="K65" i="38"/>
  <c r="H65" i="38"/>
  <c r="L65" i="38"/>
  <c r="M65" i="38"/>
  <c r="F45" i="71"/>
  <c r="F74" i="71"/>
  <c r="A410" i="70"/>
  <c r="A411" i="70"/>
  <c r="A412" i="70"/>
  <c r="A413" i="70"/>
  <c r="A414" i="70"/>
  <c r="A415" i="70"/>
  <c r="A416" i="70"/>
  <c r="A417" i="70"/>
  <c r="A418" i="70"/>
  <c r="A419" i="70"/>
  <c r="A420" i="70"/>
  <c r="A421" i="70"/>
  <c r="A422" i="70"/>
  <c r="A423" i="70"/>
  <c r="A424" i="70"/>
  <c r="J57" i="24"/>
  <c r="N57" i="24"/>
  <c r="K57" i="24"/>
  <c r="O57" i="24"/>
  <c r="L57" i="24"/>
  <c r="M57" i="24"/>
  <c r="J105" i="24"/>
  <c r="D36" i="38"/>
  <c r="D74" i="38"/>
  <c r="K153" i="97"/>
  <c r="I153" i="97"/>
  <c r="H153" i="97"/>
  <c r="J153" i="97"/>
  <c r="P153" i="97"/>
  <c r="X153" i="97"/>
  <c r="M153" i="97"/>
  <c r="O153" i="97"/>
  <c r="U153" i="97"/>
  <c r="N153" i="97"/>
  <c r="R153" i="97"/>
  <c r="T153" i="97"/>
  <c r="Z153" i="97"/>
  <c r="S153" i="97"/>
  <c r="W153" i="97"/>
  <c r="Y153" i="97"/>
  <c r="I34" i="19"/>
  <c r="J34" i="19"/>
  <c r="K243" i="97"/>
  <c r="H34" i="19"/>
  <c r="M62" i="38"/>
  <c r="J62" i="38"/>
  <c r="G62" i="38"/>
  <c r="K62" i="38"/>
  <c r="H62" i="38"/>
  <c r="L62" i="38"/>
  <c r="K42" i="38"/>
  <c r="K39" i="38"/>
  <c r="K38" i="38"/>
  <c r="K41" i="38"/>
  <c r="K40" i="38"/>
  <c r="K43" i="38"/>
  <c r="M43" i="38"/>
  <c r="M38" i="38"/>
  <c r="M39" i="38"/>
  <c r="M40" i="38"/>
  <c r="M41" i="38"/>
  <c r="M42" i="38"/>
  <c r="G331" i="86"/>
  <c r="K331" i="86"/>
  <c r="O331" i="86"/>
  <c r="H331" i="86"/>
  <c r="L331" i="86"/>
  <c r="P331" i="86"/>
  <c r="I331" i="86"/>
  <c r="Q331" i="86"/>
  <c r="J331" i="86"/>
  <c r="A331" i="86"/>
  <c r="M331" i="86"/>
  <c r="N331" i="86"/>
  <c r="I29" i="19"/>
  <c r="J29" i="19"/>
  <c r="K238" i="97"/>
  <c r="H29" i="19"/>
  <c r="I27" i="19"/>
  <c r="J27" i="19"/>
  <c r="K236" i="97"/>
  <c r="H27" i="19"/>
  <c r="G57" i="24"/>
  <c r="G105" i="24"/>
  <c r="D23" i="38"/>
  <c r="D61" i="38"/>
  <c r="H140" i="97"/>
  <c r="J140" i="97"/>
  <c r="I140" i="97"/>
  <c r="K140" i="97"/>
  <c r="P140" i="97"/>
  <c r="X140" i="97"/>
  <c r="M140" i="97"/>
  <c r="O140" i="97"/>
  <c r="U140" i="97"/>
  <c r="N140" i="97"/>
  <c r="R140" i="97"/>
  <c r="T140" i="97"/>
  <c r="Z140" i="97"/>
  <c r="S140" i="97"/>
  <c r="W140" i="97"/>
  <c r="Y140" i="97"/>
  <c r="H34" i="38"/>
  <c r="I72" i="38"/>
  <c r="K35" i="20"/>
  <c r="I28" i="19"/>
  <c r="J28" i="19"/>
  <c r="K237" i="97"/>
  <c r="H28" i="19"/>
  <c r="D24" i="80"/>
  <c r="Q24" i="19"/>
  <c r="V233" i="97"/>
  <c r="S24" i="19"/>
  <c r="D22" i="83"/>
  <c r="K22" i="19"/>
  <c r="D28" i="82"/>
  <c r="D69" i="82"/>
  <c r="D33" i="38"/>
  <c r="D71" i="38"/>
  <c r="I150" i="97"/>
  <c r="K150" i="97"/>
  <c r="H150" i="97"/>
  <c r="J150" i="97"/>
  <c r="P150" i="97"/>
  <c r="X150" i="97"/>
  <c r="M150" i="97"/>
  <c r="O150" i="97"/>
  <c r="U150" i="97"/>
  <c r="N150" i="97"/>
  <c r="R150" i="97"/>
  <c r="T150" i="97"/>
  <c r="Z150" i="97"/>
  <c r="S150" i="97"/>
  <c r="W150" i="97"/>
  <c r="Y150" i="97"/>
  <c r="D31" i="83"/>
  <c r="K31" i="19"/>
  <c r="D25" i="80"/>
  <c r="Q25" i="19"/>
  <c r="V234" i="97"/>
  <c r="S25" i="19"/>
  <c r="D23" i="80"/>
  <c r="Q23" i="19"/>
  <c r="V232" i="97"/>
  <c r="S23" i="19"/>
  <c r="H36" i="38"/>
  <c r="I74" i="38"/>
  <c r="K37" i="20"/>
  <c r="A268" i="70"/>
  <c r="A269" i="70"/>
  <c r="A270" i="70"/>
  <c r="A271" i="70"/>
  <c r="A272" i="70"/>
  <c r="A273" i="70"/>
  <c r="A274" i="70"/>
  <c r="A275" i="70"/>
  <c r="A276" i="70"/>
  <c r="A277" i="70"/>
  <c r="A278" i="70"/>
  <c r="A279" i="70"/>
  <c r="A280" i="70"/>
  <c r="A281" i="70"/>
  <c r="A282" i="70"/>
  <c r="A238" i="70"/>
  <c r="A239" i="70"/>
  <c r="A240" i="70"/>
  <c r="A241" i="70"/>
  <c r="A242" i="70"/>
  <c r="A243" i="70"/>
  <c r="A244" i="70"/>
  <c r="A245" i="70"/>
  <c r="A246" i="70"/>
  <c r="A247" i="70"/>
  <c r="A248" i="70"/>
  <c r="A249" i="70"/>
  <c r="A250" i="70"/>
  <c r="A251" i="70"/>
  <c r="A252" i="70"/>
  <c r="A182" i="70"/>
  <c r="A183" i="70"/>
  <c r="A184" i="70"/>
  <c r="A185" i="70"/>
  <c r="A186" i="70"/>
  <c r="A187" i="70"/>
  <c r="A188" i="70"/>
  <c r="A189" i="70"/>
  <c r="A190" i="70"/>
  <c r="A191" i="70"/>
  <c r="A192" i="70"/>
  <c r="A193" i="70"/>
  <c r="A194" i="70"/>
  <c r="A195" i="70"/>
  <c r="A196" i="70"/>
  <c r="D30" i="82"/>
  <c r="D71" i="82"/>
  <c r="D22" i="82"/>
  <c r="D63" i="82"/>
  <c r="D75" i="81"/>
  <c r="D23" i="81"/>
  <c r="I33" i="19"/>
  <c r="J33" i="19"/>
  <c r="K242" i="97"/>
  <c r="H33" i="19"/>
  <c r="H31" i="38"/>
  <c r="I69" i="38"/>
  <c r="K32" i="20"/>
  <c r="H23" i="38"/>
  <c r="I61" i="38"/>
  <c r="K24" i="20"/>
  <c r="O38" i="38"/>
  <c r="O40" i="38"/>
  <c r="O42" i="38"/>
  <c r="O39" i="38"/>
  <c r="O41" i="38"/>
  <c r="O43" i="38"/>
  <c r="D14" i="83"/>
  <c r="K14" i="19"/>
  <c r="T223" i="97"/>
  <c r="D16" i="83"/>
  <c r="K16" i="19"/>
  <c r="T225" i="97"/>
  <c r="D17" i="83"/>
  <c r="K17" i="19"/>
  <c r="T226" i="97"/>
  <c r="D13" i="83"/>
  <c r="K13" i="19"/>
  <c r="T222" i="97"/>
  <c r="A165" i="91"/>
  <c r="G165" i="91"/>
  <c r="H165" i="91"/>
  <c r="AA133" i="97"/>
  <c r="V133" i="97"/>
  <c r="AA137" i="97"/>
  <c r="V137" i="97"/>
  <c r="P165" i="91"/>
  <c r="M165" i="91"/>
  <c r="R165" i="91"/>
  <c r="N165" i="91"/>
  <c r="Q133" i="97"/>
  <c r="L133" i="97"/>
  <c r="Q137" i="97"/>
  <c r="L137" i="97"/>
  <c r="K165" i="91"/>
  <c r="O165" i="91"/>
  <c r="L165" i="91"/>
  <c r="H78" i="24"/>
  <c r="H60" i="24"/>
  <c r="H62" i="24"/>
  <c r="H64" i="24"/>
  <c r="H66" i="24"/>
  <c r="H68" i="24"/>
  <c r="H74" i="24"/>
  <c r="J124" i="24"/>
  <c r="J114" i="24"/>
  <c r="J108" i="24"/>
  <c r="J69" i="24"/>
  <c r="J112" i="24"/>
  <c r="J77" i="24"/>
  <c r="J125" i="24"/>
  <c r="J62" i="24"/>
  <c r="L74" i="24"/>
  <c r="L78" i="24"/>
  <c r="L62" i="24"/>
  <c r="L66" i="24"/>
  <c r="G109" i="24"/>
  <c r="G62" i="24"/>
  <c r="G113" i="24"/>
  <c r="G66" i="24"/>
  <c r="G126" i="24"/>
  <c r="G112" i="24"/>
  <c r="G110" i="24"/>
  <c r="N62" i="24"/>
  <c r="N66" i="24"/>
  <c r="N74" i="24"/>
  <c r="N78" i="24"/>
  <c r="M66" i="24"/>
  <c r="M63" i="24"/>
  <c r="M67" i="24"/>
  <c r="M75" i="24"/>
  <c r="X278" i="91"/>
  <c r="X267" i="91"/>
  <c r="X243" i="91"/>
  <c r="X236" i="91"/>
  <c r="X271" i="91"/>
  <c r="X247" i="91"/>
  <c r="X240" i="91"/>
  <c r="X233" i="91"/>
  <c r="X272" i="91"/>
  <c r="X244" i="91"/>
  <c r="X237" i="91"/>
  <c r="X226" i="91"/>
  <c r="X223" i="91"/>
  <c r="K62" i="24"/>
  <c r="K66" i="24"/>
  <c r="K63" i="24"/>
  <c r="I114" i="24"/>
  <c r="I124" i="24"/>
  <c r="I69" i="24"/>
  <c r="I60" i="24"/>
  <c r="I111" i="24"/>
  <c r="I64" i="24"/>
  <c r="I66" i="24"/>
  <c r="I117" i="24"/>
  <c r="F78" i="24"/>
  <c r="F122" i="24"/>
  <c r="F112" i="24"/>
  <c r="F126" i="24"/>
  <c r="F116" i="24"/>
  <c r="F110" i="24"/>
  <c r="F124" i="24"/>
  <c r="O68" i="24"/>
  <c r="O76" i="24"/>
  <c r="O60" i="24"/>
  <c r="H112" i="24"/>
  <c r="H122" i="24"/>
  <c r="H116" i="24"/>
  <c r="H126" i="24"/>
  <c r="H124" i="24"/>
  <c r="H110" i="24"/>
  <c r="H108" i="24"/>
  <c r="J75" i="24"/>
  <c r="J65" i="24"/>
  <c r="J113" i="24"/>
  <c r="J123" i="24"/>
  <c r="J117" i="24"/>
  <c r="J78" i="24"/>
  <c r="J76" i="24"/>
  <c r="J111" i="24"/>
  <c r="L63" i="24"/>
  <c r="L67" i="24"/>
  <c r="L75" i="24"/>
  <c r="G116" i="24"/>
  <c r="G65" i="24"/>
  <c r="G124" i="24"/>
  <c r="G122" i="24"/>
  <c r="G108" i="24"/>
  <c r="G77" i="24"/>
  <c r="G63" i="24"/>
  <c r="G61" i="24"/>
  <c r="N63" i="24"/>
  <c r="N67" i="24"/>
  <c r="N75" i="24"/>
  <c r="N68" i="24"/>
  <c r="M68" i="24"/>
  <c r="M76" i="24"/>
  <c r="M60" i="24"/>
  <c r="X269" i="91"/>
  <c r="X262" i="91"/>
  <c r="X246" i="91"/>
  <c r="X227" i="91"/>
  <c r="X266" i="91"/>
  <c r="X255" i="91"/>
  <c r="X231" i="91"/>
  <c r="X224" i="91"/>
  <c r="X275" i="91"/>
  <c r="X256" i="91"/>
  <c r="X228" i="91"/>
  <c r="X279" i="91"/>
  <c r="X276" i="91"/>
  <c r="K67" i="24"/>
  <c r="K75" i="24"/>
  <c r="K68" i="24"/>
  <c r="K76" i="24"/>
  <c r="I65" i="24"/>
  <c r="I75" i="24"/>
  <c r="I122" i="24"/>
  <c r="I109" i="24"/>
  <c r="I62" i="24"/>
  <c r="I113" i="24"/>
  <c r="I115" i="24"/>
  <c r="I68" i="24"/>
  <c r="F108" i="24"/>
  <c r="F69" i="24"/>
  <c r="F63" i="24"/>
  <c r="F77" i="24"/>
  <c r="F67" i="24"/>
  <c r="F61" i="24"/>
  <c r="F75" i="24"/>
  <c r="O61" i="24"/>
  <c r="O65" i="24"/>
  <c r="O69" i="24"/>
  <c r="O77" i="24"/>
  <c r="O64" i="24"/>
  <c r="H114" i="24"/>
  <c r="H63" i="24"/>
  <c r="H69" i="24"/>
  <c r="H67" i="24"/>
  <c r="H77" i="24"/>
  <c r="H75" i="24"/>
  <c r="H61" i="24"/>
  <c r="H125" i="24"/>
  <c r="J60" i="24"/>
  <c r="J115" i="24"/>
  <c r="J64" i="24"/>
  <c r="J74" i="24"/>
  <c r="J68" i="24"/>
  <c r="J116" i="24"/>
  <c r="J61" i="24"/>
  <c r="L60" i="24"/>
  <c r="L64" i="24"/>
  <c r="L68" i="24"/>
  <c r="L76" i="24"/>
  <c r="G67" i="24"/>
  <c r="G114" i="24"/>
  <c r="G75" i="24"/>
  <c r="G69" i="24"/>
  <c r="G117" i="24"/>
  <c r="G123" i="24"/>
  <c r="G125" i="24"/>
  <c r="G78" i="24"/>
  <c r="N76" i="24"/>
  <c r="N60" i="24"/>
  <c r="N64" i="24"/>
  <c r="M64" i="24"/>
  <c r="M65" i="24"/>
  <c r="M69" i="24"/>
  <c r="M77" i="24"/>
  <c r="X248" i="91"/>
  <c r="X241" i="91"/>
  <c r="X230" i="91"/>
  <c r="X273" i="91"/>
  <c r="X245" i="91"/>
  <c r="X234" i="91"/>
  <c r="X277" i="91"/>
  <c r="X270" i="91"/>
  <c r="X259" i="91"/>
  <c r="X235" i="91"/>
  <c r="X274" i="91"/>
  <c r="X263" i="91"/>
  <c r="X260" i="91"/>
  <c r="K60" i="24"/>
  <c r="K64" i="24"/>
  <c r="K77" i="24"/>
  <c r="K61" i="24"/>
  <c r="I123" i="24"/>
  <c r="I76" i="24"/>
  <c r="I78" i="24"/>
  <c r="I77" i="24"/>
  <c r="I63" i="24"/>
  <c r="I110" i="24"/>
  <c r="I67" i="24"/>
  <c r="F114" i="24"/>
  <c r="F125" i="24"/>
  <c r="F62" i="24"/>
  <c r="F109" i="24"/>
  <c r="F115" i="24"/>
  <c r="F113" i="24"/>
  <c r="F123" i="24"/>
  <c r="F117" i="24"/>
  <c r="O66" i="24"/>
  <c r="O74" i="24"/>
  <c r="O78" i="24"/>
  <c r="O62" i="24"/>
  <c r="O75" i="24"/>
  <c r="H65" i="24"/>
  <c r="H109" i="24"/>
  <c r="H111" i="24"/>
  <c r="H113" i="24"/>
  <c r="H115" i="24"/>
  <c r="H117" i="24"/>
  <c r="H123" i="24"/>
  <c r="H76" i="24"/>
  <c r="J109" i="24"/>
  <c r="J66" i="24"/>
  <c r="J122" i="24"/>
  <c r="J63" i="24"/>
  <c r="J126" i="24"/>
  <c r="J67" i="24"/>
  <c r="J110" i="24"/>
  <c r="L65" i="24"/>
  <c r="L69" i="24"/>
  <c r="L77" i="24"/>
  <c r="L61" i="24"/>
  <c r="G60" i="24"/>
  <c r="G111" i="24"/>
  <c r="G64" i="24"/>
  <c r="G115" i="24"/>
  <c r="G68" i="24"/>
  <c r="G74" i="24"/>
  <c r="G76" i="24"/>
  <c r="N65" i="24"/>
  <c r="N69" i="24"/>
  <c r="N77" i="24"/>
  <c r="N61" i="24"/>
  <c r="M61" i="24"/>
  <c r="M74" i="24"/>
  <c r="M78" i="24"/>
  <c r="M62" i="24"/>
  <c r="X232" i="91"/>
  <c r="X225" i="91"/>
  <c r="X264" i="91"/>
  <c r="X257" i="91"/>
  <c r="X229" i="91"/>
  <c r="X268" i="91"/>
  <c r="X261" i="91"/>
  <c r="X254" i="91"/>
  <c r="X238" i="91"/>
  <c r="X265" i="91"/>
  <c r="X258" i="91"/>
  <c r="X242" i="91"/>
  <c r="X239" i="91"/>
  <c r="K65" i="24"/>
  <c r="K69" i="24"/>
  <c r="K74" i="24"/>
  <c r="K78" i="24"/>
  <c r="I74" i="24"/>
  <c r="I125" i="24"/>
  <c r="I108" i="24"/>
  <c r="I126" i="24"/>
  <c r="I112" i="24"/>
  <c r="I61" i="24"/>
  <c r="I116" i="24"/>
  <c r="F65" i="24"/>
  <c r="F76" i="24"/>
  <c r="F111" i="24"/>
  <c r="F60" i="24"/>
  <c r="F66" i="24"/>
  <c r="F64" i="24"/>
  <c r="F74" i="24"/>
  <c r="F68" i="24"/>
  <c r="O63" i="24"/>
  <c r="O67" i="24"/>
  <c r="Y166" i="97"/>
  <c r="O169" i="97"/>
  <c r="T170" i="97"/>
  <c r="O164" i="97"/>
  <c r="J166" i="97"/>
  <c r="P96" i="97"/>
  <c r="J164" i="97"/>
  <c r="P94" i="97"/>
  <c r="J170" i="97"/>
  <c r="P100" i="97"/>
  <c r="H100" i="97"/>
  <c r="T169" i="97"/>
  <c r="T166" i="97"/>
  <c r="T164" i="97"/>
  <c r="J165" i="97"/>
  <c r="P95" i="97"/>
  <c r="T167" i="97"/>
  <c r="T165" i="97"/>
  <c r="O166" i="97"/>
  <c r="Y167" i="97"/>
  <c r="A1" i="70"/>
  <c r="L151" i="97"/>
  <c r="AA141" i="97"/>
  <c r="V141" i="97"/>
  <c r="Q141" i="97"/>
  <c r="N176" i="97"/>
  <c r="L149" i="97"/>
  <c r="A72" i="70"/>
  <c r="L140" i="97"/>
  <c r="I175" i="97"/>
  <c r="Q144" i="97"/>
  <c r="M179" i="97"/>
  <c r="Y171" i="97"/>
  <c r="T173" i="97"/>
  <c r="L144" i="97"/>
  <c r="Y170" i="97"/>
  <c r="T171" i="97"/>
  <c r="H172" i="97"/>
  <c r="I172" i="97"/>
  <c r="N172" i="97"/>
  <c r="M172" i="97"/>
  <c r="H168" i="97"/>
  <c r="I168" i="97"/>
  <c r="N168" i="97"/>
  <c r="M168" i="97"/>
  <c r="R172" i="97"/>
  <c r="S172" i="97"/>
  <c r="W172" i="97"/>
  <c r="X172" i="97"/>
  <c r="R168" i="97"/>
  <c r="S168" i="97"/>
  <c r="X168" i="97"/>
  <c r="W168" i="97"/>
  <c r="AA152" i="97"/>
  <c r="V152" i="97"/>
  <c r="S187" i="97"/>
  <c r="Q152" i="97"/>
  <c r="M187" i="97"/>
  <c r="O165" i="97"/>
  <c r="O170" i="97"/>
  <c r="O171" i="97"/>
  <c r="Y165" i="97"/>
  <c r="J173" i="97"/>
  <c r="P103" i="97"/>
  <c r="H96" i="97"/>
  <c r="I96" i="97"/>
  <c r="J96" i="97"/>
  <c r="G15" i="20"/>
  <c r="Y169" i="97"/>
  <c r="Y164" i="97"/>
  <c r="L141" i="97"/>
  <c r="I176" i="97"/>
  <c r="AA145" i="97"/>
  <c r="W180" i="97"/>
  <c r="V145" i="97"/>
  <c r="Q145" i="97"/>
  <c r="AA149" i="97"/>
  <c r="V149" i="97"/>
  <c r="R184" i="97"/>
  <c r="Q149" i="97"/>
  <c r="J167" i="97"/>
  <c r="P97" i="97"/>
  <c r="Y173" i="97"/>
  <c r="J171" i="97"/>
  <c r="P101" i="97"/>
  <c r="J100" i="97"/>
  <c r="G19" i="20"/>
  <c r="O167" i="97"/>
  <c r="J169" i="97"/>
  <c r="P99" i="97"/>
  <c r="D26" i="91"/>
  <c r="D27" i="91"/>
  <c r="D28" i="91"/>
  <c r="D29" i="91"/>
  <c r="L79" i="24"/>
  <c r="L87" i="24"/>
  <c r="L70" i="24"/>
  <c r="L72" i="24"/>
  <c r="J127" i="24"/>
  <c r="J135" i="24"/>
  <c r="J118" i="24"/>
  <c r="J120" i="24"/>
  <c r="J79" i="24"/>
  <c r="J87" i="24"/>
  <c r="J70" i="24"/>
  <c r="J72" i="24"/>
  <c r="O79" i="24"/>
  <c r="O87" i="24"/>
  <c r="O70" i="24"/>
  <c r="O72" i="24"/>
  <c r="K79" i="24"/>
  <c r="K87" i="24"/>
  <c r="K70" i="24"/>
  <c r="K72" i="24"/>
  <c r="H127" i="24"/>
  <c r="H135" i="24"/>
  <c r="H118" i="24"/>
  <c r="H120" i="24"/>
  <c r="H79" i="24"/>
  <c r="H87" i="24"/>
  <c r="H70" i="24"/>
  <c r="H72" i="24"/>
  <c r="G127" i="24"/>
  <c r="G135" i="24"/>
  <c r="G118" i="24"/>
  <c r="G120" i="24"/>
  <c r="G79" i="24"/>
  <c r="G87" i="24"/>
  <c r="G70" i="24"/>
  <c r="G72" i="24"/>
  <c r="M79" i="24"/>
  <c r="M87" i="24"/>
  <c r="M70" i="24"/>
  <c r="M72" i="24"/>
  <c r="N79" i="24"/>
  <c r="N87" i="24"/>
  <c r="N70" i="24"/>
  <c r="N72" i="24"/>
  <c r="A126" i="24"/>
  <c r="A125" i="24"/>
  <c r="A124" i="24"/>
  <c r="A123" i="24"/>
  <c r="F127" i="24"/>
  <c r="A122" i="24"/>
  <c r="A117" i="24"/>
  <c r="A116" i="24"/>
  <c r="A115" i="24"/>
  <c r="A114" i="24"/>
  <c r="A113" i="24"/>
  <c r="A112" i="24"/>
  <c r="A111" i="24"/>
  <c r="F135" i="24"/>
  <c r="A110" i="24"/>
  <c r="A109" i="24"/>
  <c r="F118" i="24"/>
  <c r="F120" i="24"/>
  <c r="A78" i="24"/>
  <c r="A77" i="24"/>
  <c r="A76" i="24"/>
  <c r="A75" i="24"/>
  <c r="F79" i="24"/>
  <c r="A74" i="24"/>
  <c r="A69" i="24"/>
  <c r="A68" i="24"/>
  <c r="A67" i="24"/>
  <c r="A66" i="24"/>
  <c r="A65" i="24"/>
  <c r="A64" i="24"/>
  <c r="F87" i="24"/>
  <c r="A63" i="24"/>
  <c r="A62" i="24"/>
  <c r="A61" i="24"/>
  <c r="F70" i="24"/>
  <c r="F72" i="24"/>
  <c r="I127" i="24"/>
  <c r="I135" i="24"/>
  <c r="I118" i="24"/>
  <c r="I120" i="24"/>
  <c r="I79" i="24"/>
  <c r="I87" i="24"/>
  <c r="I70" i="24"/>
  <c r="I72" i="24"/>
  <c r="R174" i="97"/>
  <c r="S174" i="97"/>
  <c r="M174" i="97"/>
  <c r="N174" i="97"/>
  <c r="X174" i="97"/>
  <c r="W174" i="97"/>
  <c r="I174" i="97"/>
  <c r="H174" i="97"/>
  <c r="D13" i="80"/>
  <c r="Q13" i="19"/>
  <c r="V222" i="97"/>
  <c r="S13" i="19"/>
  <c r="D14" i="80"/>
  <c r="Q14" i="19"/>
  <c r="V223" i="97"/>
  <c r="S14" i="19"/>
  <c r="T25" i="19"/>
  <c r="R25" i="19"/>
  <c r="E31" i="83"/>
  <c r="A31" i="83"/>
  <c r="I31" i="83"/>
  <c r="M31" i="83"/>
  <c r="S31" i="83"/>
  <c r="G31" i="83"/>
  <c r="L31" i="83"/>
  <c r="H31" i="83"/>
  <c r="O31" i="83"/>
  <c r="J31" i="83"/>
  <c r="P31" i="83"/>
  <c r="F31" i="83"/>
  <c r="K31" i="83"/>
  <c r="R31" i="83"/>
  <c r="R24" i="19"/>
  <c r="T24" i="19"/>
  <c r="L81" i="24"/>
  <c r="J81" i="24"/>
  <c r="D19" i="80"/>
  <c r="Q19" i="19"/>
  <c r="V228" i="97"/>
  <c r="S19" i="19"/>
  <c r="T26" i="19"/>
  <c r="R26" i="19"/>
  <c r="H27" i="83"/>
  <c r="J27" i="83"/>
  <c r="L27" i="83"/>
  <c r="S27" i="83"/>
  <c r="I27" i="83"/>
  <c r="G27" i="83"/>
  <c r="M27" i="83"/>
  <c r="R27" i="83"/>
  <c r="K27" i="83"/>
  <c r="I155" i="97"/>
  <c r="I156" i="97" a="1"/>
  <c r="I156" i="97"/>
  <c r="W176" i="97"/>
  <c r="X176" i="97"/>
  <c r="R176" i="97"/>
  <c r="S176" i="97"/>
  <c r="G9" i="32"/>
  <c r="N9" i="32"/>
  <c r="O9" i="31"/>
  <c r="F9" i="31"/>
  <c r="AO33" i="80"/>
  <c r="AP33" i="80"/>
  <c r="R28" i="19"/>
  <c r="T28" i="19"/>
  <c r="T29" i="19"/>
  <c r="R29" i="19"/>
  <c r="AA148" i="97"/>
  <c r="V148" i="97"/>
  <c r="Q148" i="97"/>
  <c r="AA143" i="97"/>
  <c r="V143" i="97"/>
  <c r="Q143" i="97"/>
  <c r="L143" i="97"/>
  <c r="AO34" i="80"/>
  <c r="AP34" i="80"/>
  <c r="I179" i="97"/>
  <c r="H179" i="97"/>
  <c r="F28" i="83"/>
  <c r="J28" i="83"/>
  <c r="O28" i="83"/>
  <c r="I28" i="83"/>
  <c r="P28" i="83"/>
  <c r="E28" i="83"/>
  <c r="A28" i="83"/>
  <c r="K28" i="83"/>
  <c r="R28" i="83"/>
  <c r="G28" i="83"/>
  <c r="L28" i="83"/>
  <c r="S28" i="83"/>
  <c r="H28" i="83"/>
  <c r="M28" i="83"/>
  <c r="R35" i="19"/>
  <c r="T35" i="19"/>
  <c r="D16" i="80"/>
  <c r="Q16" i="19"/>
  <c r="V225" i="97"/>
  <c r="S16" i="19"/>
  <c r="R23" i="19"/>
  <c r="T23" i="19"/>
  <c r="AA150" i="97"/>
  <c r="V150" i="97"/>
  <c r="Q150" i="97"/>
  <c r="L150" i="97"/>
  <c r="G22" i="83"/>
  <c r="L22" i="83"/>
  <c r="J22" i="83"/>
  <c r="M22" i="83"/>
  <c r="H22" i="83"/>
  <c r="K22" i="83"/>
  <c r="I22" i="83"/>
  <c r="AA140" i="97"/>
  <c r="V140" i="97"/>
  <c r="Q140" i="97"/>
  <c r="AA153" i="97"/>
  <c r="V153" i="97"/>
  <c r="Q153" i="97"/>
  <c r="L153" i="97"/>
  <c r="O81" i="24"/>
  <c r="G33" i="83"/>
  <c r="K33" i="83"/>
  <c r="P33" i="83"/>
  <c r="I33" i="83"/>
  <c r="O33" i="83"/>
  <c r="E33" i="83"/>
  <c r="A33" i="83"/>
  <c r="J33" i="83"/>
  <c r="R33" i="83"/>
  <c r="F33" i="83"/>
  <c r="L33" i="83"/>
  <c r="S33" i="83"/>
  <c r="H33" i="83"/>
  <c r="M33" i="83"/>
  <c r="T30" i="19"/>
  <c r="R30" i="19"/>
  <c r="R36" i="19"/>
  <c r="T36" i="19"/>
  <c r="H129" i="24"/>
  <c r="R32" i="19"/>
  <c r="T32" i="19"/>
  <c r="L152" i="97"/>
  <c r="A356" i="70"/>
  <c r="H30" i="83"/>
  <c r="L30" i="83"/>
  <c r="R30" i="83"/>
  <c r="F30" i="83"/>
  <c r="K30" i="83"/>
  <c r="S30" i="83"/>
  <c r="G30" i="83"/>
  <c r="M30" i="83"/>
  <c r="I30" i="83"/>
  <c r="O30" i="83"/>
  <c r="E30" i="83"/>
  <c r="A30" i="83"/>
  <c r="J30" i="83"/>
  <c r="P30" i="83"/>
  <c r="H9" i="60"/>
  <c r="H10" i="60"/>
  <c r="H9" i="59"/>
  <c r="H10" i="59"/>
  <c r="X99" i="91"/>
  <c r="Y128" i="91"/>
  <c r="J26" i="83"/>
  <c r="M26" i="83"/>
  <c r="H26" i="83"/>
  <c r="K26" i="83"/>
  <c r="I26" i="83"/>
  <c r="L26" i="83"/>
  <c r="G26" i="83"/>
  <c r="AO28" i="80"/>
  <c r="AP28" i="80"/>
  <c r="F36" i="83"/>
  <c r="J36" i="83"/>
  <c r="O36" i="83"/>
  <c r="G36" i="83"/>
  <c r="L36" i="83"/>
  <c r="S36" i="83"/>
  <c r="H36" i="83"/>
  <c r="M36" i="83"/>
  <c r="I36" i="83"/>
  <c r="P36" i="83"/>
  <c r="R36" i="83"/>
  <c r="E36" i="83"/>
  <c r="A36" i="83"/>
  <c r="K36" i="83"/>
  <c r="AA142" i="97"/>
  <c r="V142" i="97"/>
  <c r="Q142" i="97"/>
  <c r="L142" i="97"/>
  <c r="R27" i="19"/>
  <c r="T27" i="19"/>
  <c r="AO29" i="80"/>
  <c r="AP29" i="80"/>
  <c r="K156" i="91"/>
  <c r="J128" i="91"/>
  <c r="K99" i="91"/>
  <c r="D20" i="80"/>
  <c r="Q20" i="19"/>
  <c r="V229" i="97"/>
  <c r="S20" i="19"/>
  <c r="G25" i="83"/>
  <c r="I25" i="83"/>
  <c r="K25" i="83"/>
  <c r="M25" i="83"/>
  <c r="L25" i="83"/>
  <c r="J25" i="83"/>
  <c r="H25" i="83"/>
  <c r="AA147" i="97"/>
  <c r="V147" i="97"/>
  <c r="Q147" i="97"/>
  <c r="L147" i="97"/>
  <c r="AO35" i="80"/>
  <c r="AP35" i="80"/>
  <c r="G129" i="24"/>
  <c r="J129" i="24"/>
  <c r="K81" i="24"/>
  <c r="AA151" i="97"/>
  <c r="V151" i="97"/>
  <c r="Q151" i="97"/>
  <c r="I186" i="97"/>
  <c r="H186" i="97"/>
  <c r="AO30" i="80"/>
  <c r="AP30" i="80"/>
  <c r="H8" i="88"/>
  <c r="H8" i="289"/>
  <c r="H8" i="94"/>
  <c r="R31" i="19"/>
  <c r="T31" i="19"/>
  <c r="G24" i="83"/>
  <c r="J24" i="83"/>
  <c r="H24" i="83"/>
  <c r="M24" i="83"/>
  <c r="K24" i="83"/>
  <c r="I24" i="83"/>
  <c r="L24" i="83"/>
  <c r="AO36" i="80"/>
  <c r="AP36" i="80"/>
  <c r="G29" i="83"/>
  <c r="K29" i="83"/>
  <c r="P29" i="83"/>
  <c r="E29" i="83"/>
  <c r="A29" i="83"/>
  <c r="J29" i="83"/>
  <c r="R29" i="83"/>
  <c r="F29" i="83"/>
  <c r="L29" i="83"/>
  <c r="S29" i="83"/>
  <c r="H29" i="83"/>
  <c r="M29" i="83"/>
  <c r="O29" i="83"/>
  <c r="I29" i="83"/>
  <c r="Y139" i="97"/>
  <c r="W155" i="97"/>
  <c r="W156" i="97" a="1"/>
  <c r="W156" i="97"/>
  <c r="T139" i="97"/>
  <c r="R155" i="97"/>
  <c r="R156" i="97" a="1"/>
  <c r="R156" i="97"/>
  <c r="O139" i="97"/>
  <c r="M155" i="97"/>
  <c r="M156" i="97" a="1"/>
  <c r="M156" i="97"/>
  <c r="J139" i="97"/>
  <c r="F157" i="97"/>
  <c r="R157" i="97"/>
  <c r="H155" i="97"/>
  <c r="H156" i="97" a="1"/>
  <c r="H156" i="97"/>
  <c r="F129" i="24"/>
  <c r="H81" i="24"/>
  <c r="L145" i="97"/>
  <c r="A427" i="70"/>
  <c r="AO32" i="80"/>
  <c r="AP32" i="80"/>
  <c r="A285" i="70"/>
  <c r="I129" i="24"/>
  <c r="AO27" i="80"/>
  <c r="AP27" i="80"/>
  <c r="L148" i="97"/>
  <c r="AA144" i="97"/>
  <c r="V144" i="97"/>
  <c r="E35" i="83"/>
  <c r="A35" i="83"/>
  <c r="I35" i="83"/>
  <c r="M35" i="83"/>
  <c r="S35" i="83"/>
  <c r="F35" i="83"/>
  <c r="K35" i="83"/>
  <c r="R35" i="83"/>
  <c r="G35" i="83"/>
  <c r="L35" i="83"/>
  <c r="H35" i="83"/>
  <c r="O35" i="83"/>
  <c r="J35" i="83"/>
  <c r="P35" i="83"/>
  <c r="F32" i="83"/>
  <c r="J32" i="83"/>
  <c r="O32" i="83"/>
  <c r="H32" i="83"/>
  <c r="M32" i="83"/>
  <c r="I32" i="83"/>
  <c r="P32" i="83"/>
  <c r="E32" i="83"/>
  <c r="A32" i="83"/>
  <c r="K32" i="83"/>
  <c r="R32" i="83"/>
  <c r="L32" i="83"/>
  <c r="S32" i="83"/>
  <c r="G32" i="83"/>
  <c r="L70" i="33"/>
  <c r="D21" i="80"/>
  <c r="Q21" i="19"/>
  <c r="V230" i="97"/>
  <c r="S21" i="19"/>
  <c r="H184" i="97"/>
  <c r="I184" i="97"/>
  <c r="Y221" i="91"/>
  <c r="T22" i="19"/>
  <c r="R22" i="19"/>
  <c r="H34" i="83"/>
  <c r="L34" i="83"/>
  <c r="R34" i="83"/>
  <c r="E34" i="83"/>
  <c r="A34" i="83"/>
  <c r="J34" i="83"/>
  <c r="P34" i="83"/>
  <c r="F34" i="83"/>
  <c r="K34" i="83"/>
  <c r="S34" i="83"/>
  <c r="G34" i="83"/>
  <c r="M34" i="83"/>
  <c r="I34" i="83"/>
  <c r="O34" i="83"/>
  <c r="AA146" i="97"/>
  <c r="V146" i="97"/>
  <c r="Q146" i="97"/>
  <c r="L146" i="97"/>
  <c r="D17" i="80"/>
  <c r="Q17" i="19"/>
  <c r="V226" i="97"/>
  <c r="S17" i="19"/>
  <c r="H175" i="97"/>
  <c r="G81" i="24"/>
  <c r="M81" i="24"/>
  <c r="N81" i="24"/>
  <c r="D18" i="80"/>
  <c r="Q18" i="19"/>
  <c r="V227" i="97"/>
  <c r="S18" i="19"/>
  <c r="A214" i="70"/>
  <c r="AO31" i="80"/>
  <c r="AP31" i="80"/>
  <c r="S155" i="97"/>
  <c r="S156" i="97" a="1"/>
  <c r="S156" i="97"/>
  <c r="N156" i="97" a="1"/>
  <c r="N156" i="97"/>
  <c r="N155" i="97"/>
  <c r="X156" i="97" a="1"/>
  <c r="X156" i="97"/>
  <c r="X155" i="97"/>
  <c r="F81" i="24"/>
  <c r="H176" i="97"/>
  <c r="R180" i="97"/>
  <c r="S180" i="97"/>
  <c r="N180" i="97"/>
  <c r="M180" i="97"/>
  <c r="D15" i="80"/>
  <c r="Q15" i="19"/>
  <c r="V224" i="97"/>
  <c r="S15" i="19"/>
  <c r="T33" i="19"/>
  <c r="R33" i="19"/>
  <c r="W187" i="97"/>
  <c r="X187" i="97"/>
  <c r="I81" i="24"/>
  <c r="G77" i="38"/>
  <c r="G79" i="38"/>
  <c r="G78" i="38"/>
  <c r="G81" i="38"/>
  <c r="G76" i="38"/>
  <c r="G80" i="38"/>
  <c r="T34" i="19"/>
  <c r="R34" i="19"/>
  <c r="D12" i="80"/>
  <c r="Q12" i="19"/>
  <c r="V221" i="97"/>
  <c r="S12" i="19"/>
  <c r="W184" i="97"/>
  <c r="X184" i="97"/>
  <c r="N184" i="97"/>
  <c r="M184" i="97"/>
  <c r="H23" i="83"/>
  <c r="J23" i="83"/>
  <c r="L23" i="83"/>
  <c r="K23" i="83"/>
  <c r="I23" i="83"/>
  <c r="G23" i="83"/>
  <c r="M23" i="83"/>
  <c r="G13" i="20"/>
  <c r="A143" i="70"/>
  <c r="A166" i="91"/>
  <c r="G166" i="91"/>
  <c r="H166" i="91"/>
  <c r="R166" i="91"/>
  <c r="P166" i="91"/>
  <c r="N166" i="91"/>
  <c r="K166" i="91"/>
  <c r="O166" i="91"/>
  <c r="L166" i="91"/>
  <c r="M166" i="91"/>
  <c r="Y235" i="91"/>
  <c r="Y233" i="91"/>
  <c r="Y272" i="91"/>
  <c r="Y270" i="91"/>
  <c r="Y260" i="91"/>
  <c r="Y258" i="91"/>
  <c r="Y227" i="91"/>
  <c r="Y226" i="91"/>
  <c r="Y264" i="91"/>
  <c r="Y262" i="91"/>
  <c r="Y268" i="91"/>
  <c r="Y266" i="91"/>
  <c r="Y240" i="91"/>
  <c r="Y265" i="91"/>
  <c r="Y239" i="91"/>
  <c r="Y273" i="91"/>
  <c r="Y231" i="91"/>
  <c r="Y277" i="91"/>
  <c r="Y244" i="91"/>
  <c r="Y259" i="91"/>
  <c r="Y232" i="91"/>
  <c r="Y223" i="91"/>
  <c r="Y269" i="91"/>
  <c r="Y279" i="91"/>
  <c r="Y257" i="91"/>
  <c r="Y230" i="91"/>
  <c r="Y225" i="91"/>
  <c r="Y267" i="91"/>
  <c r="Y229" i="91"/>
  <c r="Y234" i="91"/>
  <c r="Y275" i="91"/>
  <c r="Y237" i="91"/>
  <c r="Y241" i="91"/>
  <c r="Y255" i="91"/>
  <c r="Y256" i="91"/>
  <c r="Y247" i="91"/>
  <c r="Y228" i="91"/>
  <c r="Y238" i="91"/>
  <c r="Y276" i="91"/>
  <c r="Y274" i="91"/>
  <c r="Y248" i="91"/>
  <c r="Y263" i="91"/>
  <c r="Y236" i="91"/>
  <c r="Y278" i="91"/>
  <c r="Y224" i="91"/>
  <c r="Y246" i="91"/>
  <c r="Y261" i="91"/>
  <c r="Y271" i="91"/>
  <c r="Y254" i="91"/>
  <c r="Y242" i="91"/>
  <c r="Y243" i="91"/>
  <c r="Y245" i="91"/>
  <c r="J184" i="97"/>
  <c r="P114" i="97"/>
  <c r="J175" i="97"/>
  <c r="P105" i="97"/>
  <c r="K105" i="97"/>
  <c r="R187" i="97"/>
  <c r="T187" i="97"/>
  <c r="I100" i="97"/>
  <c r="Y184" i="97"/>
  <c r="O180" i="97"/>
  <c r="X180" i="97"/>
  <c r="Y180" i="97"/>
  <c r="S184" i="97"/>
  <c r="T184" i="97"/>
  <c r="N187" i="97"/>
  <c r="N179" i="97"/>
  <c r="O179" i="97"/>
  <c r="M176" i="97"/>
  <c r="O172" i="97"/>
  <c r="H95" i="97"/>
  <c r="I95" i="97"/>
  <c r="J95" i="97"/>
  <c r="G14" i="20"/>
  <c r="J94" i="97"/>
  <c r="H94" i="97"/>
  <c r="I94" i="97"/>
  <c r="O176" i="97"/>
  <c r="O174" i="97"/>
  <c r="T168" i="97"/>
  <c r="T172" i="97"/>
  <c r="J168" i="97"/>
  <c r="P98" i="97"/>
  <c r="J98" i="97"/>
  <c r="G17" i="20"/>
  <c r="A78" i="70"/>
  <c r="A80" i="70"/>
  <c r="A75" i="70"/>
  <c r="A73" i="70"/>
  <c r="E71" i="70"/>
  <c r="A79" i="70"/>
  <c r="A77" i="70"/>
  <c r="A74" i="70"/>
  <c r="A76" i="70"/>
  <c r="A141" i="70"/>
  <c r="T174" i="97"/>
  <c r="Y168" i="97"/>
  <c r="A4" i="70"/>
  <c r="A2" i="70"/>
  <c r="A7" i="70"/>
  <c r="A8" i="70"/>
  <c r="A6" i="70"/>
  <c r="A5" i="70"/>
  <c r="A70" i="70"/>
  <c r="A9" i="70"/>
  <c r="A3" i="70"/>
  <c r="J179" i="97"/>
  <c r="P109" i="97"/>
  <c r="Y174" i="97"/>
  <c r="Y172" i="97"/>
  <c r="O168" i="97"/>
  <c r="J172" i="97"/>
  <c r="P102" i="97"/>
  <c r="J102" i="97"/>
  <c r="G21" i="20"/>
  <c r="O184" i="97"/>
  <c r="T180" i="97"/>
  <c r="J176" i="97"/>
  <c r="P106" i="97"/>
  <c r="H157" i="97"/>
  <c r="T176" i="97"/>
  <c r="J174" i="97"/>
  <c r="P104" i="97"/>
  <c r="K104" i="97"/>
  <c r="J186" i="97"/>
  <c r="P116" i="97"/>
  <c r="H116" i="97"/>
  <c r="Y176" i="97"/>
  <c r="G18" i="38"/>
  <c r="A18" i="38"/>
  <c r="A56" i="38"/>
  <c r="A19" i="20"/>
  <c r="J97" i="97"/>
  <c r="G16" i="20"/>
  <c r="H97" i="97"/>
  <c r="I97" i="97"/>
  <c r="I99" i="97"/>
  <c r="J99" i="97"/>
  <c r="G18" i="20"/>
  <c r="H99" i="97"/>
  <c r="I103" i="97"/>
  <c r="J103" i="97"/>
  <c r="G22" i="20"/>
  <c r="H103" i="97"/>
  <c r="O187" i="97"/>
  <c r="Y187" i="97"/>
  <c r="I101" i="97"/>
  <c r="J101" i="97"/>
  <c r="G20" i="20"/>
  <c r="H101" i="97"/>
  <c r="G14" i="38"/>
  <c r="A14" i="38"/>
  <c r="A52" i="38"/>
  <c r="A15" i="20"/>
  <c r="D30" i="91"/>
  <c r="D31" i="91"/>
  <c r="D32" i="91"/>
  <c r="D33" i="91"/>
  <c r="D34" i="91"/>
  <c r="D35" i="91"/>
  <c r="D36" i="91"/>
  <c r="D37" i="91"/>
  <c r="D38" i="91"/>
  <c r="D39" i="91"/>
  <c r="D40" i="91"/>
  <c r="I105" i="97"/>
  <c r="O105" i="97"/>
  <c r="M24" i="20"/>
  <c r="L105" i="97"/>
  <c r="I24" i="20"/>
  <c r="J105" i="97"/>
  <c r="H105" i="97"/>
  <c r="N105" i="97"/>
  <c r="K116" i="97"/>
  <c r="L116" i="97"/>
  <c r="I35" i="20"/>
  <c r="L106" i="97"/>
  <c r="I25" i="20"/>
  <c r="J106" i="97"/>
  <c r="M106" i="97"/>
  <c r="J25" i="20"/>
  <c r="H106" i="97"/>
  <c r="N106" i="97"/>
  <c r="I106" i="97"/>
  <c r="K106" i="97"/>
  <c r="O106" i="97"/>
  <c r="M25" i="20"/>
  <c r="J104" i="97"/>
  <c r="T12" i="19"/>
  <c r="R12" i="19"/>
  <c r="T18" i="19"/>
  <c r="R18" i="19"/>
  <c r="W181" i="97"/>
  <c r="X181" i="97"/>
  <c r="Z221" i="91"/>
  <c r="W179" i="97"/>
  <c r="X179" i="97"/>
  <c r="A429" i="70"/>
  <c r="A432" i="70"/>
  <c r="A496" i="70"/>
  <c r="A430" i="70"/>
  <c r="A433" i="70"/>
  <c r="A428" i="70"/>
  <c r="A434" i="70"/>
  <c r="E426" i="70"/>
  <c r="A431" i="70"/>
  <c r="A435" i="70"/>
  <c r="J156" i="97" a="1"/>
  <c r="J156" i="97"/>
  <c r="J155" i="97"/>
  <c r="O156" i="97" a="1"/>
  <c r="O156" i="97"/>
  <c r="O155" i="97"/>
  <c r="T156" i="97" a="1"/>
  <c r="T156" i="97"/>
  <c r="T155" i="97"/>
  <c r="Y156" i="97" a="1"/>
  <c r="Y156" i="97"/>
  <c r="Y155" i="97"/>
  <c r="M186" i="97"/>
  <c r="N186" i="97"/>
  <c r="R182" i="97"/>
  <c r="S182" i="97"/>
  <c r="J99" i="91"/>
  <c r="I128" i="91"/>
  <c r="J156" i="91"/>
  <c r="H177" i="97"/>
  <c r="I177" i="97"/>
  <c r="I187" i="97"/>
  <c r="H187" i="97"/>
  <c r="W188" i="97"/>
  <c r="X188" i="97"/>
  <c r="W185" i="97"/>
  <c r="X185" i="97"/>
  <c r="M178" i="97"/>
  <c r="N178" i="97"/>
  <c r="S183" i="97"/>
  <c r="R183" i="97"/>
  <c r="T14" i="19"/>
  <c r="R14" i="19"/>
  <c r="I131" i="24"/>
  <c r="M83" i="24"/>
  <c r="H131" i="24"/>
  <c r="J131" i="24"/>
  <c r="R15" i="19"/>
  <c r="T15" i="19"/>
  <c r="T17" i="19"/>
  <c r="R17" i="19"/>
  <c r="H181" i="97"/>
  <c r="I181" i="97"/>
  <c r="M70" i="33"/>
  <c r="I183" i="97"/>
  <c r="H183" i="97"/>
  <c r="H180" i="97"/>
  <c r="I180" i="97"/>
  <c r="M157" i="97"/>
  <c r="W157" i="97"/>
  <c r="R186" i="97"/>
  <c r="S186" i="97"/>
  <c r="X182" i="97"/>
  <c r="W182" i="97"/>
  <c r="R20" i="19"/>
  <c r="T20" i="19"/>
  <c r="M177" i="97"/>
  <c r="N177" i="97"/>
  <c r="H188" i="97"/>
  <c r="I188" i="97"/>
  <c r="M175" i="97"/>
  <c r="N175" i="97"/>
  <c r="H185" i="97"/>
  <c r="I185" i="97"/>
  <c r="R16" i="19"/>
  <c r="T16" i="19"/>
  <c r="I109" i="97"/>
  <c r="K109" i="97"/>
  <c r="O109" i="97"/>
  <c r="M28" i="20"/>
  <c r="L109" i="97"/>
  <c r="I28" i="20"/>
  <c r="J109" i="97"/>
  <c r="M109" i="97"/>
  <c r="J28" i="20"/>
  <c r="H109" i="97"/>
  <c r="N109" i="97"/>
  <c r="R178" i="97"/>
  <c r="S178" i="97"/>
  <c r="W183" i="97"/>
  <c r="X183" i="97"/>
  <c r="T13" i="19"/>
  <c r="R13" i="19"/>
  <c r="I83" i="24"/>
  <c r="F83" i="24"/>
  <c r="N83" i="24"/>
  <c r="H83" i="24"/>
  <c r="J83" i="24"/>
  <c r="E142" i="70"/>
  <c r="A146" i="70"/>
  <c r="A150" i="70"/>
  <c r="A149" i="70"/>
  <c r="A147" i="70"/>
  <c r="A151" i="70"/>
  <c r="A144" i="70"/>
  <c r="A148" i="70"/>
  <c r="A212" i="70"/>
  <c r="A145" i="70"/>
  <c r="G12" i="38"/>
  <c r="A13" i="20"/>
  <c r="A217" i="70"/>
  <c r="A220" i="70"/>
  <c r="A215" i="70"/>
  <c r="A221" i="70"/>
  <c r="E213" i="70"/>
  <c r="A218" i="70"/>
  <c r="A222" i="70"/>
  <c r="A216" i="70"/>
  <c r="A219" i="70"/>
  <c r="A283" i="70"/>
  <c r="M181" i="97"/>
  <c r="N181" i="97"/>
  <c r="T21" i="19"/>
  <c r="R21" i="19"/>
  <c r="X186" i="97"/>
  <c r="W186" i="97"/>
  <c r="I182" i="97"/>
  <c r="H182" i="97"/>
  <c r="R177" i="97"/>
  <c r="S177" i="97"/>
  <c r="I9" i="60"/>
  <c r="I10" i="60"/>
  <c r="K12" i="60"/>
  <c r="I9" i="59"/>
  <c r="I10" i="59"/>
  <c r="Y99" i="91"/>
  <c r="N188" i="97"/>
  <c r="M188" i="97"/>
  <c r="S175" i="97"/>
  <c r="R175" i="97"/>
  <c r="M185" i="97"/>
  <c r="N185" i="97"/>
  <c r="X178" i="97"/>
  <c r="W178" i="97"/>
  <c r="R19" i="19"/>
  <c r="T19" i="19"/>
  <c r="F131" i="24"/>
  <c r="G131" i="24"/>
  <c r="O83" i="24"/>
  <c r="R181" i="97"/>
  <c r="S181" i="97"/>
  <c r="L114" i="97"/>
  <c r="I33" i="20"/>
  <c r="J114" i="97"/>
  <c r="M114" i="97"/>
  <c r="J33" i="20"/>
  <c r="H114" i="97"/>
  <c r="N114" i="97"/>
  <c r="I114" i="97"/>
  <c r="K114" i="97"/>
  <c r="O114" i="97"/>
  <c r="M33" i="20"/>
  <c r="S179" i="97"/>
  <c r="R179" i="97"/>
  <c r="A287" i="70"/>
  <c r="A290" i="70"/>
  <c r="A354" i="70"/>
  <c r="A288" i="70"/>
  <c r="A291" i="70"/>
  <c r="A286" i="70"/>
  <c r="A292" i="70"/>
  <c r="E284" i="70"/>
  <c r="A289" i="70"/>
  <c r="A293" i="70"/>
  <c r="M182" i="97"/>
  <c r="N182" i="97"/>
  <c r="W177" i="97"/>
  <c r="X177" i="97"/>
  <c r="A358" i="70"/>
  <c r="A361" i="70"/>
  <c r="A425" i="70"/>
  <c r="A363" i="70"/>
  <c r="A359" i="70"/>
  <c r="A362" i="70"/>
  <c r="A357" i="70"/>
  <c r="E355" i="70"/>
  <c r="A360" i="70"/>
  <c r="A364" i="70"/>
  <c r="R188" i="97"/>
  <c r="S188" i="97"/>
  <c r="W175" i="97"/>
  <c r="X175" i="97"/>
  <c r="R185" i="97"/>
  <c r="S185" i="97"/>
  <c r="I178" i="97"/>
  <c r="H178" i="97"/>
  <c r="J178" i="97"/>
  <c r="P108" i="97"/>
  <c r="M183" i="97"/>
  <c r="N183" i="97"/>
  <c r="F9" i="32"/>
  <c r="M9" i="32"/>
  <c r="N9" i="31"/>
  <c r="G83" i="24"/>
  <c r="K83" i="24"/>
  <c r="L83" i="24"/>
  <c r="A167" i="91"/>
  <c r="G167" i="91"/>
  <c r="H167" i="91"/>
  <c r="V19" i="19"/>
  <c r="L167" i="91"/>
  <c r="V13" i="19"/>
  <c r="V21" i="19"/>
  <c r="R167" i="91"/>
  <c r="M167" i="91"/>
  <c r="N167" i="91"/>
  <c r="V12" i="19"/>
  <c r="P167" i="91"/>
  <c r="V18" i="19"/>
  <c r="V17" i="19"/>
  <c r="V14" i="19"/>
  <c r="K167" i="91"/>
  <c r="O167" i="91"/>
  <c r="V16" i="19"/>
  <c r="V15" i="19"/>
  <c r="V20" i="19"/>
  <c r="Z226" i="91"/>
  <c r="Z239" i="91"/>
  <c r="Z246" i="91"/>
  <c r="Z235" i="91"/>
  <c r="Z247" i="91"/>
  <c r="Z260" i="91"/>
  <c r="Z237" i="91"/>
  <c r="Z278" i="91"/>
  <c r="Z265" i="91"/>
  <c r="Z272" i="91"/>
  <c r="Z245" i="91"/>
  <c r="Z243" i="91"/>
  <c r="Z255" i="91"/>
  <c r="Z257" i="91"/>
  <c r="Z227" i="91"/>
  <c r="Z279" i="91"/>
  <c r="Z277" i="91"/>
  <c r="Z275" i="91"/>
  <c r="Z258" i="91"/>
  <c r="Z264" i="91"/>
  <c r="Z262" i="91"/>
  <c r="Z232" i="91"/>
  <c r="Z230" i="91"/>
  <c r="Z269" i="91"/>
  <c r="Z233" i="91"/>
  <c r="Z254" i="91"/>
  <c r="Z238" i="91"/>
  <c r="Z242" i="91"/>
  <c r="Z266" i="91"/>
  <c r="Z273" i="91"/>
  <c r="Z224" i="91"/>
  <c r="Z248" i="91"/>
  <c r="Z263" i="91"/>
  <c r="Z229" i="91"/>
  <c r="Z223" i="91"/>
  <c r="Z270" i="91"/>
  <c r="Z236" i="91"/>
  <c r="Z271" i="91"/>
  <c r="Z234" i="91"/>
  <c r="Z261" i="91"/>
  <c r="Z259" i="91"/>
  <c r="Z244" i="91"/>
  <c r="Z231" i="91"/>
  <c r="Z225" i="91"/>
  <c r="Z267" i="91"/>
  <c r="Z276" i="91"/>
  <c r="Z240" i="91"/>
  <c r="Z228" i="91"/>
  <c r="Z241" i="91"/>
  <c r="Z268" i="91"/>
  <c r="Z256" i="91"/>
  <c r="Z274" i="91"/>
  <c r="M116" i="97"/>
  <c r="J35" i="20"/>
  <c r="I116" i="97"/>
  <c r="M105" i="97"/>
  <c r="J24" i="20"/>
  <c r="I102" i="97"/>
  <c r="J116" i="97"/>
  <c r="N116" i="97"/>
  <c r="I104" i="97"/>
  <c r="O175" i="97"/>
  <c r="O186" i="97"/>
  <c r="H98" i="97"/>
  <c r="I98" i="97"/>
  <c r="G38" i="20"/>
  <c r="T175" i="97"/>
  <c r="H102" i="97"/>
  <c r="G13" i="38"/>
  <c r="A13" i="38"/>
  <c r="A51" i="38"/>
  <c r="A14" i="20"/>
  <c r="O183" i="97"/>
  <c r="K14" i="60"/>
  <c r="T178" i="97"/>
  <c r="T186" i="97"/>
  <c r="O178" i="97"/>
  <c r="O116" i="97"/>
  <c r="M35" i="20"/>
  <c r="K13" i="60"/>
  <c r="Y186" i="97"/>
  <c r="G39" i="20"/>
  <c r="J185" i="97"/>
  <c r="P115" i="97"/>
  <c r="N115" i="97"/>
  <c r="J188" i="97"/>
  <c r="P118" i="97"/>
  <c r="H118" i="97"/>
  <c r="T179" i="97"/>
  <c r="Y181" i="97"/>
  <c r="O182" i="97"/>
  <c r="J182" i="97"/>
  <c r="P112" i="97"/>
  <c r="N112" i="97"/>
  <c r="Y183" i="97"/>
  <c r="Y182" i="97"/>
  <c r="J180" i="97"/>
  <c r="P110" i="97"/>
  <c r="J110" i="97"/>
  <c r="J181" i="97"/>
  <c r="P111" i="97"/>
  <c r="N111" i="97"/>
  <c r="T183" i="97"/>
  <c r="J187" i="97"/>
  <c r="P117" i="97"/>
  <c r="I117" i="97"/>
  <c r="T182" i="97"/>
  <c r="L104" i="97"/>
  <c r="I23" i="20"/>
  <c r="N104" i="97"/>
  <c r="T188" i="97"/>
  <c r="Y177" i="97"/>
  <c r="O188" i="97"/>
  <c r="O104" i="97"/>
  <c r="M23" i="20"/>
  <c r="H104" i="97"/>
  <c r="Y178" i="97"/>
  <c r="T177" i="97"/>
  <c r="J177" i="97"/>
  <c r="P107" i="97"/>
  <c r="Y179" i="97"/>
  <c r="M104" i="97"/>
  <c r="J23" i="20"/>
  <c r="T185" i="97"/>
  <c r="O185" i="97"/>
  <c r="K15" i="60"/>
  <c r="Y185" i="97"/>
  <c r="O181" i="97"/>
  <c r="A18" i="20"/>
  <c r="G17" i="38"/>
  <c r="A17" i="38"/>
  <c r="A55" i="38"/>
  <c r="G15" i="38"/>
  <c r="A15" i="38"/>
  <c r="A53" i="38"/>
  <c r="A16" i="20"/>
  <c r="Y175" i="97"/>
  <c r="T181" i="97"/>
  <c r="O177" i="97"/>
  <c r="J183" i="97"/>
  <c r="P113" i="97"/>
  <c r="L113" i="97"/>
  <c r="I32" i="20"/>
  <c r="Y188" i="97"/>
  <c r="A22" i="20"/>
  <c r="G21" i="38"/>
  <c r="A21" i="38"/>
  <c r="A59" i="38"/>
  <c r="A21" i="20"/>
  <c r="G20" i="38"/>
  <c r="A20" i="38"/>
  <c r="A58" i="38"/>
  <c r="A17" i="20"/>
  <c r="G16" i="38"/>
  <c r="A16" i="38"/>
  <c r="A54" i="38"/>
  <c r="G19" i="38"/>
  <c r="A19" i="38"/>
  <c r="A57" i="38"/>
  <c r="A20" i="20"/>
  <c r="H115" i="97"/>
  <c r="H110" i="97"/>
  <c r="H113" i="97"/>
  <c r="J124" i="5"/>
  <c r="N33" i="20"/>
  <c r="K11" i="60"/>
  <c r="D41" i="91"/>
  <c r="D42" i="91"/>
  <c r="D43" i="91"/>
  <c r="D44" i="91"/>
  <c r="D98" i="91"/>
  <c r="D127" i="91"/>
  <c r="D160" i="91"/>
  <c r="N70" i="33"/>
  <c r="J116" i="5"/>
  <c r="N25" i="20"/>
  <c r="H112" i="97"/>
  <c r="A12" i="38"/>
  <c r="A50" i="38"/>
  <c r="J107" i="97"/>
  <c r="M107" i="97"/>
  <c r="J26" i="20"/>
  <c r="H107" i="97"/>
  <c r="N107" i="97"/>
  <c r="I107" i="97"/>
  <c r="K107" i="97"/>
  <c r="O107" i="97"/>
  <c r="M26" i="20"/>
  <c r="L107" i="97"/>
  <c r="I26" i="20"/>
  <c r="I99" i="91"/>
  <c r="I156" i="91"/>
  <c r="A38" i="19"/>
  <c r="J119" i="5"/>
  <c r="N28" i="20"/>
  <c r="K16" i="60"/>
  <c r="J115" i="5"/>
  <c r="N24" i="20"/>
  <c r="H108" i="97"/>
  <c r="N108" i="97"/>
  <c r="I108" i="97"/>
  <c r="K108" i="97"/>
  <c r="O108" i="97"/>
  <c r="M27" i="20"/>
  <c r="L108" i="97"/>
  <c r="I27" i="20"/>
  <c r="J108" i="97"/>
  <c r="M108" i="97"/>
  <c r="J27" i="20"/>
  <c r="O117" i="97"/>
  <c r="M36" i="20"/>
  <c r="L117" i="97"/>
  <c r="I36" i="20"/>
  <c r="H117" i="97"/>
  <c r="N117" i="97"/>
  <c r="AA221" i="91"/>
  <c r="J114" i="5"/>
  <c r="N23" i="20"/>
  <c r="J126" i="5"/>
  <c r="N35" i="20"/>
  <c r="A168" i="91"/>
  <c r="G168" i="91"/>
  <c r="H168" i="91"/>
  <c r="P168" i="91"/>
  <c r="M168" i="91"/>
  <c r="R168" i="91"/>
  <c r="K168" i="91"/>
  <c r="O168" i="91"/>
  <c r="L168" i="91"/>
  <c r="N168" i="91"/>
  <c r="AA271" i="91"/>
  <c r="AA270" i="91"/>
  <c r="AA274" i="91"/>
  <c r="AA242" i="91"/>
  <c r="AA247" i="91"/>
  <c r="AA238" i="91"/>
  <c r="AA257" i="91"/>
  <c r="AA227" i="91"/>
  <c r="AA233" i="91"/>
  <c r="AA226" i="91"/>
  <c r="AA263" i="91"/>
  <c r="AA268" i="91"/>
  <c r="AA234" i="91"/>
  <c r="AA258" i="91"/>
  <c r="AA235" i="91"/>
  <c r="AA261" i="91"/>
  <c r="AA266" i="91"/>
  <c r="AA248" i="91"/>
  <c r="AA229" i="91"/>
  <c r="AA246" i="91"/>
  <c r="AA241" i="91"/>
  <c r="AA273" i="91"/>
  <c r="AA269" i="91"/>
  <c r="AA244" i="91"/>
  <c r="AA267" i="91"/>
  <c r="AA256" i="91"/>
  <c r="AA224" i="91"/>
  <c r="AA228" i="91"/>
  <c r="AA255" i="91"/>
  <c r="AA278" i="91"/>
  <c r="AA225" i="91"/>
  <c r="AA259" i="91"/>
  <c r="AA279" i="91"/>
  <c r="AA237" i="91"/>
  <c r="AA245" i="91"/>
  <c r="AA264" i="91"/>
  <c r="AA260" i="91"/>
  <c r="AA239" i="91"/>
  <c r="AA276" i="91"/>
  <c r="AA262" i="91"/>
  <c r="AA272" i="91"/>
  <c r="AA236" i="91"/>
  <c r="AA275" i="91"/>
  <c r="AA232" i="91"/>
  <c r="AA230" i="91"/>
  <c r="AA223" i="91"/>
  <c r="AA240" i="91"/>
  <c r="AA265" i="91"/>
  <c r="AA254" i="91"/>
  <c r="AA243" i="91"/>
  <c r="AA231" i="91"/>
  <c r="AA277" i="91"/>
  <c r="L110" i="97"/>
  <c r="I29" i="20"/>
  <c r="M117" i="97"/>
  <c r="J36" i="20"/>
  <c r="K117" i="97"/>
  <c r="O110" i="97"/>
  <c r="M29" i="20"/>
  <c r="O115" i="97"/>
  <c r="M34" i="20"/>
  <c r="M115" i="97"/>
  <c r="J34" i="20"/>
  <c r="J117" i="97"/>
  <c r="N110" i="97"/>
  <c r="K115" i="97"/>
  <c r="H111" i="97"/>
  <c r="K118" i="97"/>
  <c r="K112" i="97"/>
  <c r="N31" i="20"/>
  <c r="G39" i="38"/>
  <c r="G38" i="38"/>
  <c r="M112" i="97"/>
  <c r="J31" i="20"/>
  <c r="O113" i="97"/>
  <c r="M32" i="20"/>
  <c r="K110" i="97"/>
  <c r="J120" i="5"/>
  <c r="M110" i="97"/>
  <c r="J29" i="20"/>
  <c r="M118" i="97"/>
  <c r="J37" i="20"/>
  <c r="I115" i="97"/>
  <c r="J115" i="97"/>
  <c r="G41" i="38"/>
  <c r="O112" i="97"/>
  <c r="M31" i="20"/>
  <c r="O111" i="97"/>
  <c r="M30" i="20"/>
  <c r="I110" i="97"/>
  <c r="L115" i="97"/>
  <c r="I34" i="20"/>
  <c r="G42" i="38"/>
  <c r="J112" i="97"/>
  <c r="I112" i="97"/>
  <c r="M113" i="97"/>
  <c r="J32" i="20"/>
  <c r="K113" i="97"/>
  <c r="K111" i="97"/>
  <c r="J121" i="5"/>
  <c r="M111" i="97"/>
  <c r="J30" i="20"/>
  <c r="I118" i="97"/>
  <c r="J118" i="97"/>
  <c r="G43" i="38"/>
  <c r="G40" i="38"/>
  <c r="L112" i="97"/>
  <c r="I31" i="20"/>
  <c r="J113" i="97"/>
  <c r="I113" i="97"/>
  <c r="I111" i="97"/>
  <c r="J111" i="97"/>
  <c r="N118" i="97"/>
  <c r="L118" i="97"/>
  <c r="I37" i="20"/>
  <c r="N113" i="97"/>
  <c r="L111" i="97"/>
  <c r="I30" i="20"/>
  <c r="O118" i="97"/>
  <c r="M37" i="20"/>
  <c r="F121" i="97"/>
  <c r="H121" i="97"/>
  <c r="AB221" i="91"/>
  <c r="H120" i="97"/>
  <c r="J120" i="97"/>
  <c r="O70" i="33"/>
  <c r="H119" i="97"/>
  <c r="J117" i="5"/>
  <c r="N26" i="20"/>
  <c r="J128" i="5"/>
  <c r="N37" i="20"/>
  <c r="J127" i="5"/>
  <c r="N36" i="20"/>
  <c r="J118" i="5"/>
  <c r="N27" i="20"/>
  <c r="J123" i="5"/>
  <c r="N32" i="20"/>
  <c r="J125" i="5"/>
  <c r="N34" i="20"/>
  <c r="J122" i="5"/>
  <c r="A169" i="91"/>
  <c r="G169" i="91"/>
  <c r="H169" i="91"/>
  <c r="L169" i="91"/>
  <c r="R169" i="91"/>
  <c r="M169" i="91"/>
  <c r="N169" i="91"/>
  <c r="P169" i="91"/>
  <c r="K169" i="91"/>
  <c r="O169" i="91"/>
  <c r="AB270" i="91"/>
  <c r="AB245" i="91"/>
  <c r="AB241" i="91"/>
  <c r="AB229" i="91"/>
  <c r="AB268" i="91"/>
  <c r="AB244" i="91"/>
  <c r="AB228" i="91"/>
  <c r="AB260" i="91"/>
  <c r="AB233" i="91"/>
  <c r="AB246" i="91"/>
  <c r="AB224" i="91"/>
  <c r="AB230" i="91"/>
  <c r="AB227" i="91"/>
  <c r="AB235" i="91"/>
  <c r="AB278" i="91"/>
  <c r="AB237" i="91"/>
  <c r="AB225" i="91"/>
  <c r="AB276" i="91"/>
  <c r="AB256" i="91"/>
  <c r="AB272" i="91"/>
  <c r="AB231" i="91"/>
  <c r="AB264" i="91"/>
  <c r="AB259" i="91"/>
  <c r="AB254" i="91"/>
  <c r="AB257" i="91"/>
  <c r="AB232" i="91"/>
  <c r="AB277" i="91"/>
  <c r="AB273" i="91"/>
  <c r="AB226" i="91"/>
  <c r="AB262" i="91"/>
  <c r="AB266" i="91"/>
  <c r="AB243" i="91"/>
  <c r="AB258" i="91"/>
  <c r="AB247" i="91"/>
  <c r="AB238" i="91"/>
  <c r="N30" i="20"/>
  <c r="I120" i="97"/>
  <c r="N29" i="20"/>
  <c r="J119" i="97"/>
  <c r="I119" i="97"/>
  <c r="AC221" i="91"/>
  <c r="P70" i="33"/>
  <c r="A170" i="91"/>
  <c r="G170" i="91"/>
  <c r="H170" i="91"/>
  <c r="O170" i="91"/>
  <c r="M170" i="91"/>
  <c r="R170" i="91"/>
  <c r="P170" i="91"/>
  <c r="N170" i="91"/>
  <c r="K170" i="91"/>
  <c r="L170" i="91"/>
  <c r="AB267" i="91"/>
  <c r="AB265" i="91"/>
  <c r="AB248" i="91"/>
  <c r="AB240" i="91"/>
  <c r="AB274" i="91"/>
  <c r="AB269" i="91"/>
  <c r="AB239" i="91"/>
  <c r="AB279" i="91"/>
  <c r="AC270" i="91"/>
  <c r="AC276" i="91"/>
  <c r="AC242" i="91"/>
  <c r="AC264" i="91"/>
  <c r="AC254" i="91"/>
  <c r="AC258" i="91"/>
  <c r="AB255" i="91"/>
  <c r="AB242" i="91"/>
  <c r="AB223" i="91"/>
  <c r="AB271" i="91"/>
  <c r="AB263" i="91"/>
  <c r="AB234" i="91"/>
  <c r="AB275" i="91"/>
  <c r="AB236" i="91"/>
  <c r="AB261" i="91"/>
  <c r="AC241" i="91"/>
  <c r="AC278" i="91"/>
  <c r="AC224" i="91"/>
  <c r="AC229" i="91"/>
  <c r="AC240" i="91"/>
  <c r="AC257" i="91"/>
  <c r="AC265" i="91"/>
  <c r="AC234" i="91"/>
  <c r="AD221" i="91"/>
  <c r="Q70" i="33"/>
  <c r="A171" i="91"/>
  <c r="G171" i="91"/>
  <c r="H171" i="91"/>
  <c r="L171" i="91"/>
  <c r="P171" i="91"/>
  <c r="M171" i="91"/>
  <c r="O171" i="91"/>
  <c r="R171" i="91"/>
  <c r="N171" i="91"/>
  <c r="K171" i="91"/>
  <c r="AC269" i="91"/>
  <c r="AC237" i="91"/>
  <c r="AC259" i="91"/>
  <c r="AC248" i="91"/>
  <c r="AC226" i="91"/>
  <c r="AC231" i="91"/>
  <c r="AC271" i="91"/>
  <c r="AC232" i="91"/>
  <c r="AC262" i="91"/>
  <c r="AC272" i="91"/>
  <c r="AC236" i="91"/>
  <c r="AC239" i="91"/>
  <c r="AC225" i="91"/>
  <c r="AC260" i="91"/>
  <c r="AC266" i="91"/>
  <c r="AC275" i="91"/>
  <c r="AC228" i="91"/>
  <c r="AC245" i="91"/>
  <c r="AC263" i="91"/>
  <c r="AD226" i="91"/>
  <c r="AD242" i="91"/>
  <c r="AD260" i="91"/>
  <c r="AD275" i="91"/>
  <c r="AD248" i="91"/>
  <c r="AD271" i="91"/>
  <c r="AC244" i="91"/>
  <c r="AC235" i="91"/>
  <c r="AC227" i="91"/>
  <c r="AC230" i="91"/>
  <c r="AC268" i="91"/>
  <c r="AC233" i="91"/>
  <c r="AC277" i="91"/>
  <c r="AC274" i="91"/>
  <c r="AC238" i="91"/>
  <c r="AC273" i="91"/>
  <c r="AC267" i="91"/>
  <c r="AC279" i="91"/>
  <c r="AC255" i="91"/>
  <c r="AC246" i="91"/>
  <c r="AC256" i="91"/>
  <c r="AC243" i="91"/>
  <c r="AC261" i="91"/>
  <c r="AC223" i="91"/>
  <c r="AC247" i="91"/>
  <c r="AD245" i="91"/>
  <c r="AD255" i="91"/>
  <c r="AD244" i="91"/>
  <c r="AD259" i="91"/>
  <c r="AD223" i="91"/>
  <c r="AD276" i="91"/>
  <c r="AD265" i="91"/>
  <c r="AD263" i="91"/>
  <c r="AE221" i="91"/>
  <c r="A172" i="91"/>
  <c r="G172" i="91"/>
  <c r="H172" i="91"/>
  <c r="K172" i="91"/>
  <c r="L172" i="91"/>
  <c r="M172" i="91"/>
  <c r="N172" i="91"/>
  <c r="O172" i="91"/>
  <c r="P172" i="91"/>
  <c r="R172" i="91"/>
  <c r="A173" i="91"/>
  <c r="G173" i="91"/>
  <c r="K173" i="91"/>
  <c r="H173" i="91"/>
  <c r="L173" i="91"/>
  <c r="M173" i="91"/>
  <c r="N173" i="91"/>
  <c r="P173" i="91"/>
  <c r="R173" i="91"/>
  <c r="A174" i="91"/>
  <c r="G174" i="91"/>
  <c r="H174" i="91"/>
  <c r="K174" i="91"/>
  <c r="L174" i="91"/>
  <c r="M174" i="91"/>
  <c r="N174" i="91"/>
  <c r="O174" i="91"/>
  <c r="P174" i="91"/>
  <c r="R174" i="91"/>
  <c r="A175" i="91"/>
  <c r="G175" i="91"/>
  <c r="K175" i="91"/>
  <c r="H175" i="91"/>
  <c r="L175" i="91"/>
  <c r="M175" i="91"/>
  <c r="N175" i="91"/>
  <c r="P175" i="91"/>
  <c r="R175" i="91"/>
  <c r="A176" i="91"/>
  <c r="G176" i="91"/>
  <c r="H176" i="91"/>
  <c r="K176" i="91"/>
  <c r="L176" i="91"/>
  <c r="M176" i="91"/>
  <c r="N176" i="91"/>
  <c r="O176" i="91"/>
  <c r="P176" i="91"/>
  <c r="R176" i="91"/>
  <c r="A177" i="91"/>
  <c r="G177" i="91"/>
  <c r="K177" i="91"/>
  <c r="H177" i="91"/>
  <c r="L177" i="91"/>
  <c r="M177" i="91"/>
  <c r="N177" i="91"/>
  <c r="P177" i="91"/>
  <c r="R177" i="91"/>
  <c r="A178" i="91"/>
  <c r="G178" i="91"/>
  <c r="H178" i="91"/>
  <c r="K178" i="91"/>
  <c r="L178" i="91"/>
  <c r="M178" i="91"/>
  <c r="N178" i="91"/>
  <c r="O178" i="91"/>
  <c r="P178" i="91"/>
  <c r="R178" i="91"/>
  <c r="A179" i="91"/>
  <c r="G179" i="91"/>
  <c r="K179" i="91"/>
  <c r="H179" i="91"/>
  <c r="L179" i="91"/>
  <c r="M179" i="91"/>
  <c r="N179" i="91"/>
  <c r="P179" i="91"/>
  <c r="R179" i="91"/>
  <c r="A180" i="91"/>
  <c r="G180" i="91"/>
  <c r="H180" i="91"/>
  <c r="K180" i="91"/>
  <c r="L180" i="91"/>
  <c r="M180" i="91"/>
  <c r="N180" i="91"/>
  <c r="O180" i="91"/>
  <c r="P180" i="91"/>
  <c r="R180" i="91"/>
  <c r="A181" i="91"/>
  <c r="G181" i="91"/>
  <c r="K181" i="91"/>
  <c r="H181" i="91"/>
  <c r="L181" i="91"/>
  <c r="M181" i="91"/>
  <c r="N181" i="91"/>
  <c r="P181" i="91"/>
  <c r="R181" i="91"/>
  <c r="A182" i="91"/>
  <c r="G182" i="91"/>
  <c r="H182" i="91"/>
  <c r="K182" i="91"/>
  <c r="L182" i="91"/>
  <c r="M182" i="91"/>
  <c r="N182" i="91"/>
  <c r="O182" i="91"/>
  <c r="P182" i="91"/>
  <c r="R182" i="91"/>
  <c r="A183" i="91"/>
  <c r="G183" i="91"/>
  <c r="K183" i="91"/>
  <c r="H183" i="91"/>
  <c r="L183" i="91"/>
  <c r="M183" i="91"/>
  <c r="N183" i="91"/>
  <c r="P183" i="91"/>
  <c r="R183" i="91"/>
  <c r="A184" i="91"/>
  <c r="G184" i="91"/>
  <c r="H184" i="91"/>
  <c r="K184" i="91"/>
  <c r="L184" i="91"/>
  <c r="M184" i="91"/>
  <c r="N184" i="91"/>
  <c r="O184" i="91"/>
  <c r="P184" i="91"/>
  <c r="R184" i="91"/>
  <c r="A185" i="91"/>
  <c r="G185" i="91"/>
  <c r="K185" i="91"/>
  <c r="H185" i="91"/>
  <c r="L185" i="91"/>
  <c r="M185" i="91"/>
  <c r="N185" i="91"/>
  <c r="P185" i="91"/>
  <c r="R185" i="91"/>
  <c r="A186" i="91"/>
  <c r="G186" i="91"/>
  <c r="H186" i="91"/>
  <c r="K186" i="91"/>
  <c r="L186" i="91"/>
  <c r="M186" i="91"/>
  <c r="N186" i="91"/>
  <c r="O186" i="91"/>
  <c r="P186" i="91"/>
  <c r="R186" i="91"/>
  <c r="D190" i="91"/>
  <c r="D222" i="91"/>
  <c r="P190" i="91"/>
  <c r="R190" i="91"/>
  <c r="G191" i="91"/>
  <c r="A192" i="91"/>
  <c r="G192" i="91"/>
  <c r="N192" i="91"/>
  <c r="H192" i="91"/>
  <c r="O192" i="91"/>
  <c r="A193" i="91"/>
  <c r="G193" i="91"/>
  <c r="L193" i="91"/>
  <c r="H193" i="91"/>
  <c r="O193" i="91"/>
  <c r="R193" i="91"/>
  <c r="A194" i="91"/>
  <c r="G194" i="91"/>
  <c r="N194" i="91"/>
  <c r="H194" i="91"/>
  <c r="M194" i="91"/>
  <c r="A195" i="91"/>
  <c r="G195" i="91"/>
  <c r="L195" i="91"/>
  <c r="H195" i="91"/>
  <c r="O195" i="91"/>
  <c r="R195" i="91"/>
  <c r="A196" i="91"/>
  <c r="G196" i="91"/>
  <c r="N196" i="91"/>
  <c r="H196" i="91"/>
  <c r="M196" i="91"/>
  <c r="A197" i="91"/>
  <c r="G197" i="91"/>
  <c r="L197" i="91"/>
  <c r="H197" i="91"/>
  <c r="R197" i="91"/>
  <c r="A198" i="91"/>
  <c r="G198" i="91"/>
  <c r="N198" i="91"/>
  <c r="H198" i="91"/>
  <c r="M198" i="91"/>
  <c r="A199" i="91"/>
  <c r="G199" i="91"/>
  <c r="L199" i="91"/>
  <c r="H199" i="91"/>
  <c r="R199" i="91"/>
  <c r="A200" i="91"/>
  <c r="G200" i="91"/>
  <c r="N200" i="91"/>
  <c r="H200" i="91"/>
  <c r="M200" i="91"/>
  <c r="A201" i="91"/>
  <c r="G201" i="91"/>
  <c r="L201" i="91"/>
  <c r="H201" i="91"/>
  <c r="O201" i="91"/>
  <c r="R201" i="91"/>
  <c r="A202" i="91"/>
  <c r="G202" i="91"/>
  <c r="N202" i="91"/>
  <c r="H202" i="91"/>
  <c r="M202" i="91"/>
  <c r="R202" i="91"/>
  <c r="A203" i="91"/>
  <c r="G203" i="91"/>
  <c r="L203" i="91"/>
  <c r="H203" i="91"/>
  <c r="K203" i="91"/>
  <c r="M203" i="91"/>
  <c r="O203" i="91"/>
  <c r="R203" i="91"/>
  <c r="A204" i="91"/>
  <c r="G204" i="91"/>
  <c r="N204" i="91"/>
  <c r="H204" i="91"/>
  <c r="M204" i="91"/>
  <c r="R204" i="91"/>
  <c r="A205" i="91"/>
  <c r="G205" i="91"/>
  <c r="L205" i="91"/>
  <c r="H205" i="91"/>
  <c r="K205" i="91"/>
  <c r="M205" i="91"/>
  <c r="O205" i="91"/>
  <c r="R205" i="91"/>
  <c r="A206" i="91"/>
  <c r="G206" i="91"/>
  <c r="N206" i="91"/>
  <c r="H206" i="91"/>
  <c r="M206" i="91"/>
  <c r="R206" i="91"/>
  <c r="A207" i="91"/>
  <c r="G207" i="91"/>
  <c r="L207" i="91"/>
  <c r="H207" i="91"/>
  <c r="K207" i="91"/>
  <c r="M207" i="91"/>
  <c r="O207" i="91"/>
  <c r="R207" i="91"/>
  <c r="A208" i="91"/>
  <c r="G208" i="91"/>
  <c r="N208" i="91"/>
  <c r="H208" i="91"/>
  <c r="M208" i="91"/>
  <c r="R208" i="91"/>
  <c r="A209" i="91"/>
  <c r="G209" i="91"/>
  <c r="L209" i="91"/>
  <c r="H209" i="91"/>
  <c r="K209" i="91"/>
  <c r="M209" i="91"/>
  <c r="O209" i="91"/>
  <c r="R209" i="91"/>
  <c r="A210" i="91"/>
  <c r="G210" i="91"/>
  <c r="M210" i="91"/>
  <c r="H210" i="91"/>
  <c r="R210" i="91"/>
  <c r="A211" i="91"/>
  <c r="G211" i="91"/>
  <c r="L211" i="91"/>
  <c r="H211" i="91"/>
  <c r="K211" i="91"/>
  <c r="M211" i="91"/>
  <c r="O211" i="91"/>
  <c r="R211" i="91"/>
  <c r="A212" i="91"/>
  <c r="G212" i="91"/>
  <c r="N212" i="91"/>
  <c r="H212" i="91"/>
  <c r="M212" i="91"/>
  <c r="R212" i="91"/>
  <c r="A213" i="91"/>
  <c r="G213" i="91"/>
  <c r="L213" i="91"/>
  <c r="H213" i="91"/>
  <c r="K213" i="91"/>
  <c r="M213" i="91"/>
  <c r="O213" i="91"/>
  <c r="R213" i="91"/>
  <c r="A214" i="91"/>
  <c r="G214" i="91"/>
  <c r="N214" i="91"/>
  <c r="H214" i="91"/>
  <c r="M214" i="91"/>
  <c r="R214" i="91"/>
  <c r="A215" i="91"/>
  <c r="G215" i="91"/>
  <c r="L215" i="91"/>
  <c r="H215" i="91"/>
  <c r="K215" i="91"/>
  <c r="M215" i="91"/>
  <c r="O215" i="91"/>
  <c r="R215" i="91"/>
  <c r="A216" i="91"/>
  <c r="G216" i="91"/>
  <c r="M216" i="91"/>
  <c r="H216" i="91"/>
  <c r="R216" i="91"/>
  <c r="AY222" i="91"/>
  <c r="AZ222" i="91"/>
  <c r="BA222" i="91"/>
  <c r="BB222" i="91"/>
  <c r="BC222" i="91"/>
  <c r="BD222" i="91"/>
  <c r="BE222" i="91"/>
  <c r="BF222" i="91"/>
  <c r="BG222" i="91"/>
  <c r="BH222" i="91"/>
  <c r="BI222" i="91"/>
  <c r="BJ222" i="91"/>
  <c r="BK222" i="91"/>
  <c r="BL222" i="91"/>
  <c r="BM222" i="91"/>
  <c r="BN222" i="91"/>
  <c r="BO222" i="91"/>
  <c r="BP222" i="91"/>
  <c r="BQ222" i="91"/>
  <c r="BR222" i="91"/>
  <c r="BS222" i="91"/>
  <c r="BT222" i="91"/>
  <c r="BU222" i="91"/>
  <c r="BV222" i="91"/>
  <c r="BW222" i="91"/>
  <c r="BX222" i="91"/>
  <c r="BY222" i="91"/>
  <c r="BZ222" i="91"/>
  <c r="CA222" i="91"/>
  <c r="CB222" i="91"/>
  <c r="CC222" i="91"/>
  <c r="CD222" i="91"/>
  <c r="CE222" i="91"/>
  <c r="CF222" i="91"/>
  <c r="CG222" i="91"/>
  <c r="CH222" i="91"/>
  <c r="CI222" i="91"/>
  <c r="CJ222" i="91"/>
  <c r="CK222" i="91"/>
  <c r="CL222" i="91"/>
  <c r="CM222" i="91"/>
  <c r="CN222" i="91"/>
  <c r="CO222" i="91"/>
  <c r="CP222" i="91"/>
  <c r="CQ222" i="91"/>
  <c r="CR222" i="91"/>
  <c r="CS222" i="91"/>
  <c r="CT222" i="91"/>
  <c r="CU222" i="91"/>
  <c r="CV222" i="91"/>
  <c r="CW222" i="91"/>
  <c r="CX222" i="91"/>
  <c r="CY222" i="91"/>
  <c r="CZ222" i="91"/>
  <c r="DA222" i="91"/>
  <c r="DB222" i="91"/>
  <c r="DC222" i="91"/>
  <c r="DD222" i="91"/>
  <c r="DE222" i="91"/>
  <c r="DF222" i="91"/>
  <c r="DG222" i="91"/>
  <c r="DH222" i="91"/>
  <c r="DI222" i="91"/>
  <c r="DJ222" i="91"/>
  <c r="DK222" i="91"/>
  <c r="DL222" i="91"/>
  <c r="DM222" i="91"/>
  <c r="DN222" i="91"/>
  <c r="DO222" i="91"/>
  <c r="DP222" i="91"/>
  <c r="DQ222" i="91"/>
  <c r="DR222" i="91"/>
  <c r="DS222" i="91"/>
  <c r="DT222" i="91"/>
  <c r="DU222" i="91"/>
  <c r="DV222" i="91"/>
  <c r="DW222" i="91"/>
  <c r="DX222" i="91"/>
  <c r="DY222" i="91"/>
  <c r="DZ222" i="91"/>
  <c r="EA222" i="91"/>
  <c r="EB222" i="91"/>
  <c r="EC222" i="91"/>
  <c r="ED222" i="91"/>
  <c r="EE222" i="91"/>
  <c r="EF222" i="91"/>
  <c r="EG222" i="91"/>
  <c r="EH222" i="91"/>
  <c r="EI222" i="91"/>
  <c r="EJ222" i="91"/>
  <c r="EK222" i="91"/>
  <c r="EL222" i="91"/>
  <c r="EM222" i="91"/>
  <c r="EN222" i="91"/>
  <c r="EO222" i="91"/>
  <c r="EP222" i="91"/>
  <c r="EQ222" i="91"/>
  <c r="ER222" i="91"/>
  <c r="ES222" i="91"/>
  <c r="ET222" i="91"/>
  <c r="EU222" i="91"/>
  <c r="EV222" i="91"/>
  <c r="EW222" i="91"/>
  <c r="EX222" i="91"/>
  <c r="EY222" i="91"/>
  <c r="EZ222" i="91"/>
  <c r="FA222" i="91"/>
  <c r="FB222" i="91"/>
  <c r="FC222" i="91"/>
  <c r="FD222" i="91"/>
  <c r="FE222" i="91"/>
  <c r="FF222" i="91"/>
  <c r="FG222" i="91"/>
  <c r="FH222" i="91"/>
  <c r="FI222" i="91"/>
  <c r="FJ222" i="91"/>
  <c r="FK222" i="91"/>
  <c r="FL222" i="91"/>
  <c r="FM222" i="91"/>
  <c r="FN222" i="91"/>
  <c r="FO222" i="91"/>
  <c r="FP222" i="91"/>
  <c r="FQ222" i="91"/>
  <c r="FR222" i="91"/>
  <c r="FS222" i="91"/>
  <c r="FT222" i="91"/>
  <c r="FU222" i="91"/>
  <c r="FV222" i="91"/>
  <c r="FW222" i="91"/>
  <c r="FX222" i="91"/>
  <c r="FY222" i="91"/>
  <c r="FZ222" i="91"/>
  <c r="GA222" i="91"/>
  <c r="GB222" i="91"/>
  <c r="GC222" i="91"/>
  <c r="GD222" i="91"/>
  <c r="GE222" i="91"/>
  <c r="GF222" i="91"/>
  <c r="GG222" i="91"/>
  <c r="GH222" i="91"/>
  <c r="GI222" i="91"/>
  <c r="GJ222" i="91"/>
  <c r="GK222" i="91"/>
  <c r="GL222" i="91"/>
  <c r="GM222" i="91"/>
  <c r="GN222" i="91"/>
  <c r="GO222" i="91"/>
  <c r="GP222" i="91"/>
  <c r="GQ222" i="91"/>
  <c r="GR222" i="91"/>
  <c r="GS222" i="91"/>
  <c r="GT222" i="91"/>
  <c r="GU222" i="91"/>
  <c r="GV222" i="91"/>
  <c r="GW222" i="91"/>
  <c r="GX222" i="91"/>
  <c r="GY222" i="91"/>
  <c r="GZ222" i="91"/>
  <c r="HA222" i="91"/>
  <c r="HB222" i="91"/>
  <c r="HC222" i="91"/>
  <c r="HD222" i="91"/>
  <c r="HE222" i="91"/>
  <c r="HF222" i="91"/>
  <c r="HG222" i="91"/>
  <c r="HH222" i="91"/>
  <c r="HI222" i="91"/>
  <c r="HJ222" i="91"/>
  <c r="HK222" i="91"/>
  <c r="HL222" i="91"/>
  <c r="HM222" i="91"/>
  <c r="HN222" i="91"/>
  <c r="HO222" i="91"/>
  <c r="HP222" i="91"/>
  <c r="HQ222" i="91"/>
  <c r="HR222" i="91"/>
  <c r="HS222" i="91"/>
  <c r="HT222" i="91"/>
  <c r="HU222" i="91"/>
  <c r="HV222" i="91"/>
  <c r="HW222" i="91"/>
  <c r="HX222" i="91"/>
  <c r="HY222" i="91"/>
  <c r="HZ222" i="91"/>
  <c r="IA222" i="91"/>
  <c r="IB222" i="91"/>
  <c r="IC222" i="91"/>
  <c r="ID222" i="91"/>
  <c r="IE222" i="91"/>
  <c r="IF222" i="91"/>
  <c r="IG222" i="91"/>
  <c r="IH222" i="91"/>
  <c r="II222" i="91"/>
  <c r="IJ222" i="91"/>
  <c r="IK222" i="91"/>
  <c r="IL222" i="91"/>
  <c r="IM222" i="91"/>
  <c r="IN222" i="91"/>
  <c r="IO222" i="91"/>
  <c r="IP222" i="91"/>
  <c r="IQ222" i="91"/>
  <c r="IR222" i="91"/>
  <c r="IS222" i="91"/>
  <c r="IT222" i="91"/>
  <c r="IU222" i="91"/>
  <c r="IV222" i="91"/>
  <c r="IW222" i="91"/>
  <c r="IX222" i="91"/>
  <c r="IY222" i="91"/>
  <c r="IZ222" i="91"/>
  <c r="JA222" i="91"/>
  <c r="JB222" i="91"/>
  <c r="JC222" i="91"/>
  <c r="JD222" i="91"/>
  <c r="JE222" i="91"/>
  <c r="JF222" i="91"/>
  <c r="JG222" i="91"/>
  <c r="JH222" i="91"/>
  <c r="JI222" i="91"/>
  <c r="JJ222" i="91"/>
  <c r="JK222" i="91"/>
  <c r="JL222" i="91"/>
  <c r="JM222" i="91"/>
  <c r="JN222" i="91"/>
  <c r="JO222" i="91"/>
  <c r="JP222" i="91"/>
  <c r="JQ222" i="91"/>
  <c r="JR222" i="91"/>
  <c r="JS222" i="91"/>
  <c r="JT222" i="91"/>
  <c r="JU222" i="91"/>
  <c r="JV222" i="91"/>
  <c r="JW222" i="91"/>
  <c r="JX222" i="91"/>
  <c r="JY222" i="91"/>
  <c r="JZ222" i="91"/>
  <c r="KA222" i="91"/>
  <c r="KB222" i="91"/>
  <c r="AD239" i="91"/>
  <c r="AD231" i="91"/>
  <c r="AD273" i="91"/>
  <c r="AD258" i="91"/>
  <c r="AD235" i="91"/>
  <c r="AD234" i="91"/>
  <c r="AD229" i="91"/>
  <c r="AD262" i="91"/>
  <c r="AD225" i="91"/>
  <c r="AD241" i="91"/>
  <c r="AE245" i="91"/>
  <c r="AE230" i="91"/>
  <c r="AE258" i="91"/>
  <c r="AE269" i="91"/>
  <c r="AE239" i="91"/>
  <c r="AE263" i="91"/>
  <c r="AD261" i="91"/>
  <c r="AD230" i="91"/>
  <c r="AD238" i="91"/>
  <c r="AD240" i="91"/>
  <c r="AD257" i="91"/>
  <c r="AD254" i="91"/>
  <c r="AD237" i="91"/>
  <c r="AD227" i="91"/>
  <c r="AD256" i="91"/>
  <c r="AD279" i="91"/>
  <c r="AD278" i="91"/>
  <c r="AE247" i="91"/>
  <c r="AE272" i="91"/>
  <c r="AE270" i="91"/>
  <c r="AE227" i="91"/>
  <c r="AE271" i="91"/>
  <c r="AE276" i="91"/>
  <c r="AE233" i="91"/>
  <c r="AD247" i="91"/>
  <c r="AD246" i="91"/>
  <c r="AD267" i="91"/>
  <c r="AD236" i="91"/>
  <c r="AD266" i="91"/>
  <c r="AD269" i="91"/>
  <c r="AD277" i="91"/>
  <c r="AD224" i="91"/>
  <c r="AE236" i="91"/>
  <c r="AE267" i="91"/>
  <c r="AE240" i="91"/>
  <c r="AE242" i="91"/>
  <c r="AE278" i="91"/>
  <c r="AE232" i="91"/>
  <c r="AE241" i="91"/>
  <c r="AE243" i="91"/>
  <c r="AD228" i="91"/>
  <c r="AD272" i="91"/>
  <c r="AD264" i="91"/>
  <c r="AD274" i="91"/>
  <c r="AD233" i="91"/>
  <c r="AD270" i="91"/>
  <c r="AD232" i="91"/>
  <c r="AD268" i="91"/>
  <c r="AD243" i="91"/>
  <c r="AE226" i="91"/>
  <c r="AE279" i="91"/>
  <c r="AE246" i="91"/>
  <c r="AE256" i="91"/>
  <c r="AE229" i="91"/>
  <c r="AE244" i="91"/>
  <c r="AE259" i="91"/>
  <c r="AE262" i="91"/>
  <c r="AE255" i="91"/>
  <c r="AE260" i="91"/>
  <c r="AE266" i="91"/>
  <c r="AE257" i="91"/>
  <c r="AE231" i="91"/>
  <c r="AE264" i="91"/>
  <c r="AE235" i="91"/>
  <c r="AE225" i="91"/>
  <c r="AE234" i="91"/>
  <c r="AE277" i="91"/>
  <c r="AE238" i="91"/>
  <c r="R187" i="91"/>
  <c r="M187" i="91"/>
  <c r="O197" i="91"/>
  <c r="M201" i="91"/>
  <c r="M199" i="91"/>
  <c r="M197" i="91"/>
  <c r="M195" i="91"/>
  <c r="M193" i="91"/>
  <c r="K192" i="91"/>
  <c r="K201" i="91"/>
  <c r="R200" i="91"/>
  <c r="K199" i="91"/>
  <c r="R198" i="91"/>
  <c r="K197" i="91"/>
  <c r="R196" i="91"/>
  <c r="K195" i="91"/>
  <c r="R194" i="91"/>
  <c r="K193" i="91"/>
  <c r="R192" i="91"/>
  <c r="O199" i="91"/>
  <c r="M192" i="91"/>
  <c r="P187" i="91"/>
  <c r="L187" i="91"/>
  <c r="N187" i="91"/>
  <c r="K187" i="91"/>
  <c r="P216" i="91"/>
  <c r="L216" i="91"/>
  <c r="N215" i="91"/>
  <c r="F84" i="83"/>
  <c r="P214" i="91"/>
  <c r="L214" i="91"/>
  <c r="N213" i="91"/>
  <c r="P212" i="91"/>
  <c r="L212" i="91"/>
  <c r="N211" i="91"/>
  <c r="E80" i="83"/>
  <c r="A80" i="83"/>
  <c r="P210" i="91"/>
  <c r="L210" i="91"/>
  <c r="N209" i="91"/>
  <c r="AE85" i="80"/>
  <c r="AE29" i="80"/>
  <c r="P208" i="91"/>
  <c r="L208" i="91"/>
  <c r="N207" i="91"/>
  <c r="F76" i="83"/>
  <c r="F27" i="83"/>
  <c r="P206" i="91"/>
  <c r="L206" i="91"/>
  <c r="N205" i="91"/>
  <c r="F74" i="83"/>
  <c r="F25" i="83"/>
  <c r="P204" i="91"/>
  <c r="L204" i="91"/>
  <c r="N203" i="91"/>
  <c r="F72" i="83"/>
  <c r="F23" i="83"/>
  <c r="P202" i="91"/>
  <c r="L202" i="91"/>
  <c r="N201" i="91"/>
  <c r="P200" i="91"/>
  <c r="L200" i="91"/>
  <c r="N199" i="91"/>
  <c r="P198" i="91"/>
  <c r="L198" i="91"/>
  <c r="N197" i="91"/>
  <c r="P196" i="91"/>
  <c r="L196" i="91"/>
  <c r="N195" i="91"/>
  <c r="P194" i="91"/>
  <c r="L194" i="91"/>
  <c r="N193" i="91"/>
  <c r="P192" i="91"/>
  <c r="L192" i="91"/>
  <c r="O185" i="91"/>
  <c r="O183" i="91"/>
  <c r="O181" i="91"/>
  <c r="O179" i="91"/>
  <c r="O177" i="91"/>
  <c r="O175" i="91"/>
  <c r="O173" i="91"/>
  <c r="O216" i="91"/>
  <c r="K216" i="91"/>
  <c r="O214" i="91"/>
  <c r="F83" i="83"/>
  <c r="K214" i="91"/>
  <c r="F80" i="83"/>
  <c r="O208" i="91"/>
  <c r="K208" i="91"/>
  <c r="O206" i="91"/>
  <c r="K206" i="91"/>
  <c r="O204" i="91"/>
  <c r="K204" i="91"/>
  <c r="O202" i="91"/>
  <c r="K202" i="91"/>
  <c r="O200" i="91"/>
  <c r="K200" i="91"/>
  <c r="O198" i="91"/>
  <c r="K198" i="91"/>
  <c r="O196" i="91"/>
  <c r="K196" i="91"/>
  <c r="O194" i="91"/>
  <c r="K194" i="91"/>
  <c r="F82" i="83"/>
  <c r="O212" i="91"/>
  <c r="F81" i="83"/>
  <c r="K212" i="91"/>
  <c r="O210" i="91"/>
  <c r="K210" i="91"/>
  <c r="N216" i="91"/>
  <c r="F85" i="83"/>
  <c r="P215" i="91"/>
  <c r="P213" i="91"/>
  <c r="P211" i="91"/>
  <c r="N210" i="91"/>
  <c r="P209" i="91"/>
  <c r="P207" i="91"/>
  <c r="P205" i="91"/>
  <c r="P203" i="91"/>
  <c r="P201" i="91"/>
  <c r="P199" i="91"/>
  <c r="P197" i="91"/>
  <c r="P195" i="91"/>
  <c r="P193" i="91"/>
  <c r="E84" i="83"/>
  <c r="A84" i="83"/>
  <c r="E82" i="83"/>
  <c r="A82" i="83"/>
  <c r="E89" i="80"/>
  <c r="E33" i="80"/>
  <c r="R89" i="80"/>
  <c r="R33" i="80"/>
  <c r="AE89" i="80"/>
  <c r="AE33" i="80"/>
  <c r="F77" i="83"/>
  <c r="E83" i="80"/>
  <c r="E27" i="80"/>
  <c r="F75" i="83"/>
  <c r="F26" i="83"/>
  <c r="E74" i="83"/>
  <c r="R81" i="80"/>
  <c r="R25" i="80"/>
  <c r="E81" i="80"/>
  <c r="E25" i="80"/>
  <c r="AE81" i="80"/>
  <c r="AE25" i="80"/>
  <c r="F73" i="83"/>
  <c r="F24" i="83"/>
  <c r="E72" i="83"/>
  <c r="R79" i="80"/>
  <c r="R23" i="80"/>
  <c r="E79" i="80"/>
  <c r="E23" i="80"/>
  <c r="AE79" i="80"/>
  <c r="AE23" i="80"/>
  <c r="F71" i="83"/>
  <c r="F22" i="83"/>
  <c r="AF221" i="91"/>
  <c r="A224" i="91"/>
  <c r="H224" i="91"/>
  <c r="K224" i="91"/>
  <c r="O224" i="91"/>
  <c r="L224" i="91"/>
  <c r="P224" i="91"/>
  <c r="M224" i="91"/>
  <c r="N224" i="91"/>
  <c r="AE275" i="91"/>
  <c r="AE228" i="91"/>
  <c r="AE274" i="91"/>
  <c r="AF236" i="91"/>
  <c r="AF274" i="91"/>
  <c r="AF260" i="91"/>
  <c r="AE248" i="91"/>
  <c r="AE268" i="91"/>
  <c r="AE237" i="91"/>
  <c r="AF238" i="91"/>
  <c r="AF248" i="91"/>
  <c r="AF247" i="91"/>
  <c r="AE223" i="91"/>
  <c r="AE224" i="91"/>
  <c r="AE261" i="91"/>
  <c r="AF267" i="91"/>
  <c r="AF255" i="91"/>
  <c r="AF237" i="91"/>
  <c r="AE254" i="91"/>
  <c r="AE273" i="91"/>
  <c r="AE265" i="91"/>
  <c r="AF271" i="91"/>
  <c r="AF226" i="91"/>
  <c r="AF235" i="91"/>
  <c r="AF256" i="91"/>
  <c r="AF259" i="91"/>
  <c r="AE83" i="80"/>
  <c r="AE27" i="80"/>
  <c r="AE91" i="80"/>
  <c r="AE35" i="80"/>
  <c r="R83" i="80"/>
  <c r="R27" i="80"/>
  <c r="R91" i="80"/>
  <c r="R35" i="80"/>
  <c r="F79" i="83"/>
  <c r="E76" i="83"/>
  <c r="E91" i="80"/>
  <c r="E35" i="80"/>
  <c r="E87" i="80"/>
  <c r="E31" i="80"/>
  <c r="O187" i="91"/>
  <c r="AE87" i="80"/>
  <c r="AE31" i="80"/>
  <c r="W12" i="19"/>
  <c r="X12" i="19"/>
  <c r="A72" i="83"/>
  <c r="E23" i="83"/>
  <c r="A23" i="83"/>
  <c r="E77" i="83"/>
  <c r="A77" i="83"/>
  <c r="E84" i="80"/>
  <c r="E28" i="80"/>
  <c r="R84" i="80"/>
  <c r="R28" i="80"/>
  <c r="AE84" i="80"/>
  <c r="AE28" i="80"/>
  <c r="E83" i="83"/>
  <c r="A83" i="83"/>
  <c r="E90" i="80"/>
  <c r="E34" i="80"/>
  <c r="R90" i="80"/>
  <c r="R34" i="80"/>
  <c r="AE90" i="80"/>
  <c r="AE34" i="80"/>
  <c r="R85" i="80"/>
  <c r="R29" i="80"/>
  <c r="R87" i="80"/>
  <c r="R31" i="80"/>
  <c r="A74" i="83"/>
  <c r="E25" i="83"/>
  <c r="A25" i="83"/>
  <c r="E79" i="83"/>
  <c r="A79" i="83"/>
  <c r="E86" i="80"/>
  <c r="E30" i="80"/>
  <c r="R86" i="80"/>
  <c r="R30" i="80"/>
  <c r="AE86" i="80"/>
  <c r="AE30" i="80"/>
  <c r="E75" i="83"/>
  <c r="R82" i="80"/>
  <c r="R26" i="80"/>
  <c r="E82" i="80"/>
  <c r="E26" i="80"/>
  <c r="AE82" i="80"/>
  <c r="AE26" i="80"/>
  <c r="E85" i="80"/>
  <c r="E29" i="80"/>
  <c r="A76" i="83"/>
  <c r="E27" i="83"/>
  <c r="A27" i="83"/>
  <c r="E73" i="83"/>
  <c r="R80" i="80"/>
  <c r="R24" i="80"/>
  <c r="E80" i="80"/>
  <c r="E24" i="80"/>
  <c r="AE80" i="80"/>
  <c r="AE24" i="80"/>
  <c r="F78" i="83"/>
  <c r="E78" i="83"/>
  <c r="A78" i="83"/>
  <c r="AG221" i="91"/>
  <c r="E81" i="83"/>
  <c r="A81" i="83"/>
  <c r="E88" i="80"/>
  <c r="E32" i="80"/>
  <c r="R88" i="80"/>
  <c r="R32" i="80"/>
  <c r="AE88" i="80"/>
  <c r="AE32" i="80"/>
  <c r="E71" i="83"/>
  <c r="E78" i="80"/>
  <c r="E22" i="80"/>
  <c r="AE78" i="80"/>
  <c r="AE22" i="80"/>
  <c r="R78" i="80"/>
  <c r="R22" i="80"/>
  <c r="E85" i="83"/>
  <c r="A85" i="83"/>
  <c r="E92" i="80"/>
  <c r="E36" i="80"/>
  <c r="R92" i="80"/>
  <c r="R36" i="80"/>
  <c r="AE92" i="80"/>
  <c r="AE36" i="80"/>
  <c r="A225" i="91"/>
  <c r="H225" i="91"/>
  <c r="N225" i="91"/>
  <c r="O225" i="91"/>
  <c r="K225" i="91"/>
  <c r="L225" i="91"/>
  <c r="P225" i="91"/>
  <c r="M225" i="91"/>
  <c r="AF254" i="91"/>
  <c r="AF233" i="91"/>
  <c r="AF244" i="91"/>
  <c r="AF228" i="91"/>
  <c r="AF239" i="91"/>
  <c r="AF232" i="91"/>
  <c r="AF240" i="91"/>
  <c r="AF273" i="91"/>
  <c r="AF246" i="91"/>
  <c r="AF234" i="91"/>
  <c r="AG269" i="91"/>
  <c r="AG241" i="91"/>
  <c r="AG238" i="91"/>
  <c r="AG231" i="91"/>
  <c r="AG278" i="91"/>
  <c r="AG268" i="91"/>
  <c r="AG229" i="91"/>
  <c r="AG279" i="91"/>
  <c r="AG230" i="91"/>
  <c r="AG247" i="91"/>
  <c r="AG244" i="91"/>
  <c r="AG271" i="91"/>
  <c r="AG256" i="91"/>
  <c r="AF264" i="91"/>
  <c r="AF225" i="91"/>
  <c r="AF279" i="91"/>
  <c r="AF272" i="91"/>
  <c r="AF277" i="91"/>
  <c r="AF269" i="91"/>
  <c r="AF268" i="91"/>
  <c r="AF245" i="91"/>
  <c r="AF275" i="91"/>
  <c r="AF230" i="91"/>
  <c r="AG255" i="91"/>
  <c r="AG232" i="91"/>
  <c r="AG225" i="91"/>
  <c r="AG264" i="91"/>
  <c r="AG273" i="91"/>
  <c r="AG245" i="91"/>
  <c r="AG239" i="91"/>
  <c r="AG266" i="91"/>
  <c r="AG242" i="91"/>
  <c r="AG276" i="91"/>
  <c r="AG267" i="91"/>
  <c r="AG228" i="91"/>
  <c r="AG234" i="91"/>
  <c r="AG274" i="91"/>
  <c r="AG235" i="91"/>
  <c r="AG248" i="91"/>
  <c r="AF276" i="91"/>
  <c r="AF243" i="91"/>
  <c r="AF224" i="91"/>
  <c r="AF229" i="91"/>
  <c r="AF231" i="91"/>
  <c r="AF223" i="91"/>
  <c r="AF270" i="91"/>
  <c r="AF227" i="91"/>
  <c r="AF263" i="91"/>
  <c r="AG258" i="91"/>
  <c r="AG223" i="91"/>
  <c r="AG275" i="91"/>
  <c r="AG227" i="91"/>
  <c r="AG257" i="91"/>
  <c r="AG262" i="91"/>
  <c r="AG263" i="91"/>
  <c r="AG261" i="91"/>
  <c r="AG277" i="91"/>
  <c r="AG254" i="91"/>
  <c r="AG246" i="91"/>
  <c r="AG243" i="91"/>
  <c r="AG233" i="91"/>
  <c r="AG260" i="91"/>
  <c r="AF278" i="91"/>
  <c r="AF241" i="91"/>
  <c r="AF242" i="91"/>
  <c r="AF258" i="91"/>
  <c r="AF261" i="91"/>
  <c r="AF257" i="91"/>
  <c r="AF262" i="91"/>
  <c r="AF266" i="91"/>
  <c r="AF265" i="91"/>
  <c r="AG237" i="91"/>
  <c r="AG270" i="91"/>
  <c r="AG259" i="91"/>
  <c r="AG272" i="91"/>
  <c r="AG236" i="91"/>
  <c r="AG224" i="91"/>
  <c r="AG226" i="91"/>
  <c r="AG240" i="91"/>
  <c r="AG265" i="91"/>
  <c r="W13" i="19"/>
  <c r="X13" i="19"/>
  <c r="A75" i="83"/>
  <c r="E26" i="83"/>
  <c r="A26" i="83"/>
  <c r="A73" i="83"/>
  <c r="E24" i="83"/>
  <c r="A24" i="83"/>
  <c r="A71" i="83"/>
  <c r="E22" i="83"/>
  <c r="A22" i="83"/>
  <c r="AH221" i="91"/>
  <c r="A226" i="91"/>
  <c r="H226" i="91"/>
  <c r="N226" i="91"/>
  <c r="K226" i="91"/>
  <c r="O226" i="91"/>
  <c r="L226" i="91"/>
  <c r="P226" i="91"/>
  <c r="M226" i="91"/>
  <c r="AH270" i="91"/>
  <c r="AH273" i="91"/>
  <c r="AH267" i="91"/>
  <c r="AH245" i="91"/>
  <c r="AH271" i="91"/>
  <c r="AH240" i="91"/>
  <c r="AH260" i="91"/>
  <c r="AH258" i="91"/>
  <c r="AH235" i="91"/>
  <c r="AH241" i="91"/>
  <c r="AH276" i="91"/>
  <c r="AH272" i="91"/>
  <c r="AH279" i="91"/>
  <c r="AH225" i="91"/>
  <c r="AH257" i="91"/>
  <c r="AH246" i="91"/>
  <c r="AH277" i="91"/>
  <c r="AH255" i="91"/>
  <c r="AH228" i="91"/>
  <c r="AH227" i="91"/>
  <c r="AH265" i="91"/>
  <c r="AH269" i="91"/>
  <c r="AH230" i="91"/>
  <c r="AH242" i="91"/>
  <c r="AH263" i="91"/>
  <c r="AH275" i="91"/>
  <c r="AH274" i="91"/>
  <c r="AH256" i="91"/>
  <c r="AH254" i="91"/>
  <c r="AH261" i="91"/>
  <c r="AH262" i="91"/>
  <c r="AH264" i="91"/>
  <c r="AH233" i="91"/>
  <c r="AH244" i="91"/>
  <c r="AH259" i="91"/>
  <c r="AH248" i="91"/>
  <c r="AH234" i="91"/>
  <c r="AH243" i="91"/>
  <c r="AH239" i="91"/>
  <c r="AH236" i="91"/>
  <c r="AH237" i="91"/>
  <c r="AH247" i="91"/>
  <c r="AH266" i="91"/>
  <c r="AH224" i="91"/>
  <c r="AH229" i="91"/>
  <c r="AH223" i="91"/>
  <c r="AH226" i="91"/>
  <c r="AH268" i="91"/>
  <c r="AH232" i="91"/>
  <c r="AH278" i="91"/>
  <c r="AH238" i="91"/>
  <c r="AH231" i="91"/>
  <c r="W14" i="19"/>
  <c r="X14" i="19"/>
  <c r="AI221" i="91"/>
  <c r="A227" i="91"/>
  <c r="H227" i="91"/>
  <c r="L227" i="91"/>
  <c r="M227" i="91"/>
  <c r="K227" i="91"/>
  <c r="N227" i="91"/>
  <c r="O227" i="91"/>
  <c r="P227" i="91"/>
  <c r="AI225" i="91"/>
  <c r="AI232" i="91"/>
  <c r="AI240" i="91"/>
  <c r="AI255" i="91"/>
  <c r="AI274" i="91"/>
  <c r="AI254" i="91"/>
  <c r="AI272" i="91"/>
  <c r="AI231" i="91"/>
  <c r="AI226" i="91"/>
  <c r="AI234" i="91"/>
  <c r="AI279" i="91"/>
  <c r="AI271" i="91"/>
  <c r="AI230" i="91"/>
  <c r="AI244" i="91"/>
  <c r="AI269" i="91"/>
  <c r="AI224" i="91"/>
  <c r="AI236" i="91"/>
  <c r="AI270" i="91"/>
  <c r="AI262" i="91"/>
  <c r="AI258" i="91"/>
  <c r="AI239" i="91"/>
  <c r="AI256" i="91"/>
  <c r="AI247" i="91"/>
  <c r="AI235" i="91"/>
  <c r="AI278" i="91"/>
  <c r="AI243" i="91"/>
  <c r="AI273" i="91"/>
  <c r="AI228" i="91"/>
  <c r="AI266" i="91"/>
  <c r="AI245" i="91"/>
  <c r="AI241" i="91"/>
  <c r="AI229" i="91"/>
  <c r="AI223" i="91"/>
  <c r="AI238" i="91"/>
  <c r="AI275" i="91"/>
  <c r="AI267" i="91"/>
  <c r="AI263" i="91"/>
  <c r="AI248" i="91"/>
  <c r="AI261" i="91"/>
  <c r="AI259" i="91"/>
  <c r="AI277" i="91"/>
  <c r="AI276" i="91"/>
  <c r="AI268" i="91"/>
  <c r="AI233" i="91"/>
  <c r="AI264" i="91"/>
  <c r="AI237" i="91"/>
  <c r="AI260" i="91"/>
  <c r="AI242" i="91"/>
  <c r="AI227" i="91"/>
  <c r="AI246" i="91"/>
  <c r="AI257" i="91"/>
  <c r="W15" i="19"/>
  <c r="X15" i="19"/>
  <c r="AJ221" i="91"/>
  <c r="A228" i="91"/>
  <c r="H228" i="91"/>
  <c r="K228" i="91"/>
  <c r="N228" i="91"/>
  <c r="L228" i="91"/>
  <c r="P228" i="91"/>
  <c r="M228" i="91"/>
  <c r="O228" i="91"/>
  <c r="AJ265" i="91"/>
  <c r="AJ237" i="91"/>
  <c r="AJ254" i="91"/>
  <c r="AJ232" i="91"/>
  <c r="AJ235" i="91"/>
  <c r="AJ238" i="91"/>
  <c r="AI265" i="91"/>
  <c r="AJ239" i="91"/>
  <c r="AJ260" i="91"/>
  <c r="AJ231" i="91"/>
  <c r="AJ227" i="91"/>
  <c r="AJ224" i="91"/>
  <c r="AJ267" i="91"/>
  <c r="AJ268" i="91"/>
  <c r="AJ229" i="91"/>
  <c r="W16" i="19"/>
  <c r="X16" i="19"/>
  <c r="AK221" i="91"/>
  <c r="A229" i="91"/>
  <c r="H229" i="91"/>
  <c r="K229" i="91"/>
  <c r="O229" i="91"/>
  <c r="L229" i="91"/>
  <c r="P229" i="91"/>
  <c r="M229" i="91"/>
  <c r="N229" i="91"/>
  <c r="AK279" i="91"/>
  <c r="AK272" i="91"/>
  <c r="AK241" i="91"/>
  <c r="AJ243" i="91"/>
  <c r="AK245" i="91"/>
  <c r="AJ226" i="91"/>
  <c r="AJ266" i="91"/>
  <c r="AJ275" i="91"/>
  <c r="AJ230" i="91"/>
  <c r="AJ259" i="91"/>
  <c r="AJ248" i="91"/>
  <c r="AJ264" i="91"/>
  <c r="AJ240" i="91"/>
  <c r="AJ256" i="91"/>
  <c r="AK234" i="91"/>
  <c r="AK260" i="91"/>
  <c r="AK223" i="91"/>
  <c r="AK240" i="91"/>
  <c r="AK236" i="91"/>
  <c r="AK265" i="91"/>
  <c r="AK275" i="91"/>
  <c r="AK233" i="91"/>
  <c r="AK268" i="91"/>
  <c r="AK258" i="91"/>
  <c r="AK229" i="91"/>
  <c r="AK235" i="91"/>
  <c r="AK264" i="91"/>
  <c r="AJ261" i="91"/>
  <c r="AJ245" i="91"/>
  <c r="AJ279" i="91"/>
  <c r="AJ241" i="91"/>
  <c r="AJ233" i="91"/>
  <c r="AK225" i="91"/>
  <c r="AK261" i="91"/>
  <c r="AK227" i="91"/>
  <c r="AK254" i="91"/>
  <c r="AK242" i="91"/>
  <c r="AK256" i="91"/>
  <c r="AK247" i="91"/>
  <c r="AJ262" i="91"/>
  <c r="AJ242" i="91"/>
  <c r="AJ263" i="91"/>
  <c r="AJ274" i="91"/>
  <c r="AJ255" i="91"/>
  <c r="AK239" i="91"/>
  <c r="AK263" i="91"/>
  <c r="AK243" i="91"/>
  <c r="AK273" i="91"/>
  <c r="AK269" i="91"/>
  <c r="AJ228" i="91"/>
  <c r="AJ257" i="91"/>
  <c r="AJ271" i="91"/>
  <c r="AJ225" i="91"/>
  <c r="AJ272" i="91"/>
  <c r="AJ276" i="91"/>
  <c r="AJ234" i="91"/>
  <c r="AJ269" i="91"/>
  <c r="AJ258" i="91"/>
  <c r="AK277" i="91"/>
  <c r="AK271" i="91"/>
  <c r="AK257" i="91"/>
  <c r="AK231" i="91"/>
  <c r="AK246" i="91"/>
  <c r="AK230" i="91"/>
  <c r="AK232" i="91"/>
  <c r="AK274" i="91"/>
  <c r="AK226" i="91"/>
  <c r="AK262" i="91"/>
  <c r="AK238" i="91"/>
  <c r="AK267" i="91"/>
  <c r="AK270" i="91"/>
  <c r="AJ246" i="91"/>
  <c r="AJ247" i="91"/>
  <c r="AJ244" i="91"/>
  <c r="AJ223" i="91"/>
  <c r="AJ273" i="91"/>
  <c r="AK276" i="91"/>
  <c r="AK248" i="91"/>
  <c r="AK266" i="91"/>
  <c r="AK244" i="91"/>
  <c r="AK228" i="91"/>
  <c r="AK237" i="91"/>
  <c r="AJ278" i="91"/>
  <c r="AJ277" i="91"/>
  <c r="AJ270" i="91"/>
  <c r="AJ236" i="91"/>
  <c r="AK224" i="91"/>
  <c r="AK255" i="91"/>
  <c r="AK278" i="91"/>
  <c r="AK259" i="91"/>
  <c r="W17" i="19"/>
  <c r="X17" i="19"/>
  <c r="AL221" i="91"/>
  <c r="A230" i="91"/>
  <c r="H230" i="91"/>
  <c r="L230" i="91"/>
  <c r="P230" i="91"/>
  <c r="M230" i="91"/>
  <c r="O230" i="91"/>
  <c r="N230" i="91"/>
  <c r="K230" i="91"/>
  <c r="AL279" i="91"/>
  <c r="AL241" i="91"/>
  <c r="AL245" i="91"/>
  <c r="AL239" i="91"/>
  <c r="AL270" i="91"/>
  <c r="AL248" i="91"/>
  <c r="AL272" i="91"/>
  <c r="AL268" i="91"/>
  <c r="AL238" i="91"/>
  <c r="AL263" i="91"/>
  <c r="AL224" i="91"/>
  <c r="AL275" i="91"/>
  <c r="AL255" i="91"/>
  <c r="AL257" i="91"/>
  <c r="AL274" i="91"/>
  <c r="AL256" i="91"/>
  <c r="AL265" i="91"/>
  <c r="AL254" i="91"/>
  <c r="AL273" i="91"/>
  <c r="AL261" i="91"/>
  <c r="AL242" i="91"/>
  <c r="AL246" i="91"/>
  <c r="AL230" i="91"/>
  <c r="AL277" i="91"/>
  <c r="AL247" i="91"/>
  <c r="AL262" i="91"/>
  <c r="AL278" i="91"/>
  <c r="AL225" i="91"/>
  <c r="AL232" i="91"/>
  <c r="AL269" i="91"/>
  <c r="AL227" i="91"/>
  <c r="AL260" i="91"/>
  <c r="AL234" i="91"/>
  <c r="AL240" i="91"/>
  <c r="AL229" i="91"/>
  <c r="AL271" i="91"/>
  <c r="AL226" i="91"/>
  <c r="AL266" i="91"/>
  <c r="AL264" i="91"/>
  <c r="AL231" i="91"/>
  <c r="AL267" i="91"/>
  <c r="AL259" i="91"/>
  <c r="AL223" i="91"/>
  <c r="W18" i="19"/>
  <c r="X18" i="19"/>
  <c r="AM221" i="91"/>
  <c r="A231" i="91"/>
  <c r="H231" i="91"/>
  <c r="K231" i="91"/>
  <c r="L231" i="91"/>
  <c r="M231" i="91"/>
  <c r="N231" i="91"/>
  <c r="P231" i="91"/>
  <c r="O231" i="91"/>
  <c r="AL258" i="91"/>
  <c r="AL228" i="91"/>
  <c r="AL236" i="91"/>
  <c r="AL244" i="91"/>
  <c r="AM275" i="91"/>
  <c r="AM274" i="91"/>
  <c r="AM239" i="91"/>
  <c r="AM270" i="91"/>
  <c r="AM235" i="91"/>
  <c r="AL243" i="91"/>
  <c r="AL235" i="91"/>
  <c r="AL276" i="91"/>
  <c r="AL233" i="91"/>
  <c r="AL237" i="91"/>
  <c r="AM228" i="91"/>
  <c r="AM246" i="91"/>
  <c r="AM243" i="91"/>
  <c r="AM234" i="91"/>
  <c r="AM241" i="91"/>
  <c r="AM231" i="91"/>
  <c r="AM232" i="91"/>
  <c r="W19" i="19"/>
  <c r="X19" i="19"/>
  <c r="AN221" i="91"/>
  <c r="A232" i="91"/>
  <c r="H232" i="91"/>
  <c r="M232" i="91"/>
  <c r="N232" i="91"/>
  <c r="O232" i="91"/>
  <c r="P232" i="91"/>
  <c r="K232" i="91"/>
  <c r="L232" i="91"/>
  <c r="AN259" i="91"/>
  <c r="AM244" i="91"/>
  <c r="AM260" i="91"/>
  <c r="AM259" i="91"/>
  <c r="AM269" i="91"/>
  <c r="AM268" i="91"/>
  <c r="AM276" i="91"/>
  <c r="AM257" i="91"/>
  <c r="AM266" i="91"/>
  <c r="AM230" i="91"/>
  <c r="AM223" i="91"/>
  <c r="AN248" i="91"/>
  <c r="AN230" i="91"/>
  <c r="AN228" i="91"/>
  <c r="AN244" i="91"/>
  <c r="AN245" i="91"/>
  <c r="AN258" i="91"/>
  <c r="AN229" i="91"/>
  <c r="AN225" i="91"/>
  <c r="AN233" i="91"/>
  <c r="AN265" i="91"/>
  <c r="AN232" i="91"/>
  <c r="AN255" i="91"/>
  <c r="AN263" i="91"/>
  <c r="AM229" i="91"/>
  <c r="AM233" i="91"/>
  <c r="AM256" i="91"/>
  <c r="AM236" i="91"/>
  <c r="AM258" i="91"/>
  <c r="AM264" i="91"/>
  <c r="AM240" i="91"/>
  <c r="AM254" i="91"/>
  <c r="AM262" i="91"/>
  <c r="AM261" i="91"/>
  <c r="AN234" i="91"/>
  <c r="AN277" i="91"/>
  <c r="AN264" i="91"/>
  <c r="AN266" i="91"/>
  <c r="AN243" i="91"/>
  <c r="AN254" i="91"/>
  <c r="AN262" i="91"/>
  <c r="AN260" i="91"/>
  <c r="AN226" i="91"/>
  <c r="AN268" i="91"/>
  <c r="AN241" i="91"/>
  <c r="AN271" i="91"/>
  <c r="AN261" i="91"/>
  <c r="AN227" i="91"/>
  <c r="AM242" i="91"/>
  <c r="AM245" i="91"/>
  <c r="AM237" i="91"/>
  <c r="AM278" i="91"/>
  <c r="AM263" i="91"/>
  <c r="AM224" i="91"/>
  <c r="AM248" i="91"/>
  <c r="AM255" i="91"/>
  <c r="AM267" i="91"/>
  <c r="AM226" i="91"/>
  <c r="AN256" i="91"/>
  <c r="AN274" i="91"/>
  <c r="AN242" i="91"/>
  <c r="AN269" i="91"/>
  <c r="AN236" i="91"/>
  <c r="AN257" i="91"/>
  <c r="AN276" i="91"/>
  <c r="AN267" i="91"/>
  <c r="AN275" i="91"/>
  <c r="AN224" i="91"/>
  <c r="AN246" i="91"/>
  <c r="AN239" i="91"/>
  <c r="AM277" i="91"/>
  <c r="AM272" i="91"/>
  <c r="AM238" i="91"/>
  <c r="AM265" i="91"/>
  <c r="AM227" i="91"/>
  <c r="AM271" i="91"/>
  <c r="AM273" i="91"/>
  <c r="AM225" i="91"/>
  <c r="AM279" i="91"/>
  <c r="AM247" i="91"/>
  <c r="AN273" i="91"/>
  <c r="AN270" i="91"/>
  <c r="AN238" i="91"/>
  <c r="AN240" i="91"/>
  <c r="AN278" i="91"/>
  <c r="AN235" i="91"/>
  <c r="AN247" i="91"/>
  <c r="AN223" i="91"/>
  <c r="AN231" i="91"/>
  <c r="AN237" i="91"/>
  <c r="AN279" i="91"/>
  <c r="AN272" i="91"/>
  <c r="W20" i="19"/>
  <c r="X20" i="19"/>
  <c r="AO221" i="91"/>
  <c r="A233" i="91"/>
  <c r="H233" i="91"/>
  <c r="M233" i="91"/>
  <c r="O233" i="91"/>
  <c r="P233" i="91"/>
  <c r="N233" i="91"/>
  <c r="L233" i="91"/>
  <c r="K233" i="91"/>
  <c r="AO245" i="91"/>
  <c r="AO265" i="91"/>
  <c r="AO261" i="91"/>
  <c r="AO278" i="91"/>
  <c r="AO238" i="91"/>
  <c r="AO257" i="91"/>
  <c r="AO259" i="91"/>
  <c r="AO236" i="91"/>
  <c r="AO228" i="91"/>
  <c r="AO223" i="91"/>
  <c r="AO266" i="91"/>
  <c r="AO226" i="91"/>
  <c r="AO229" i="91"/>
  <c r="AO246" i="91"/>
  <c r="AO242" i="91"/>
  <c r="AO260" i="91"/>
  <c r="AO234" i="91"/>
  <c r="AO231" i="91"/>
  <c r="AO243" i="91"/>
  <c r="AO239" i="91"/>
  <c r="AO263" i="91"/>
  <c r="AO244" i="91"/>
  <c r="AO241" i="91"/>
  <c r="AO277" i="91"/>
  <c r="AO248" i="91"/>
  <c r="AO275" i="91"/>
  <c r="AO247" i="91"/>
  <c r="AO258" i="91"/>
  <c r="AO273" i="91"/>
  <c r="AO279" i="91"/>
  <c r="AO240" i="91"/>
  <c r="AO267" i="91"/>
  <c r="AO272" i="91"/>
  <c r="W21" i="19"/>
  <c r="X21" i="19"/>
  <c r="AP221" i="91"/>
  <c r="A234" i="91"/>
  <c r="H234" i="91"/>
  <c r="K234" i="91"/>
  <c r="L234" i="91"/>
  <c r="M234" i="91"/>
  <c r="N234" i="91"/>
  <c r="O234" i="91"/>
  <c r="P234" i="91"/>
  <c r="A235" i="91"/>
  <c r="H235" i="91"/>
  <c r="K235" i="91"/>
  <c r="L235" i="91"/>
  <c r="M235" i="91"/>
  <c r="N235" i="91"/>
  <c r="O235" i="91"/>
  <c r="P235" i="91"/>
  <c r="A236" i="91"/>
  <c r="H236" i="91"/>
  <c r="K236" i="91"/>
  <c r="L236" i="91"/>
  <c r="M236" i="91"/>
  <c r="N236" i="91"/>
  <c r="O236" i="91"/>
  <c r="P236" i="91"/>
  <c r="A237" i="91"/>
  <c r="H237" i="91"/>
  <c r="K237" i="91"/>
  <c r="L237" i="91"/>
  <c r="M237" i="91"/>
  <c r="N237" i="91"/>
  <c r="O237" i="91"/>
  <c r="P237" i="91"/>
  <c r="A238" i="91"/>
  <c r="H238" i="91"/>
  <c r="K238" i="91"/>
  <c r="L238" i="91"/>
  <c r="M238" i="91"/>
  <c r="N238" i="91"/>
  <c r="O238" i="91"/>
  <c r="P238" i="91"/>
  <c r="A239" i="91"/>
  <c r="H239" i="91"/>
  <c r="K239" i="91"/>
  <c r="L239" i="91"/>
  <c r="M239" i="91"/>
  <c r="N239" i="91"/>
  <c r="O239" i="91"/>
  <c r="P239" i="91"/>
  <c r="A240" i="91"/>
  <c r="H240" i="91"/>
  <c r="K240" i="91"/>
  <c r="L240" i="91"/>
  <c r="M240" i="91"/>
  <c r="N240" i="91"/>
  <c r="O240" i="91"/>
  <c r="P240" i="91"/>
  <c r="A241" i="91"/>
  <c r="H241" i="91"/>
  <c r="K241" i="91"/>
  <c r="L241" i="91"/>
  <c r="M241" i="91"/>
  <c r="N241" i="91"/>
  <c r="O241" i="91"/>
  <c r="P241" i="91"/>
  <c r="A242" i="91"/>
  <c r="H242" i="91"/>
  <c r="K242" i="91"/>
  <c r="L242" i="91"/>
  <c r="M242" i="91"/>
  <c r="N242" i="91"/>
  <c r="O242" i="91"/>
  <c r="P242" i="91"/>
  <c r="A243" i="91"/>
  <c r="H243" i="91"/>
  <c r="K243" i="91"/>
  <c r="L243" i="91"/>
  <c r="M243" i="91"/>
  <c r="N243" i="91"/>
  <c r="O243" i="91"/>
  <c r="P243" i="91"/>
  <c r="A244" i="91"/>
  <c r="H244" i="91"/>
  <c r="K244" i="91"/>
  <c r="L244" i="91"/>
  <c r="M244" i="91"/>
  <c r="N244" i="91"/>
  <c r="O244" i="91"/>
  <c r="P244" i="91"/>
  <c r="A245" i="91"/>
  <c r="H245" i="91"/>
  <c r="K245" i="91"/>
  <c r="L245" i="91"/>
  <c r="M245" i="91"/>
  <c r="N245" i="91"/>
  <c r="O245" i="91"/>
  <c r="P245" i="91"/>
  <c r="A246" i="91"/>
  <c r="H246" i="91"/>
  <c r="K246" i="91"/>
  <c r="L246" i="91"/>
  <c r="M246" i="91"/>
  <c r="N246" i="91"/>
  <c r="O246" i="91"/>
  <c r="P246" i="91"/>
  <c r="A247" i="91"/>
  <c r="H247" i="91"/>
  <c r="K247" i="91"/>
  <c r="L247" i="91"/>
  <c r="M247" i="91"/>
  <c r="N247" i="91"/>
  <c r="O247" i="91"/>
  <c r="P247" i="91"/>
  <c r="A248" i="91"/>
  <c r="H248" i="91"/>
  <c r="K248" i="91"/>
  <c r="L248" i="91"/>
  <c r="M248" i="91"/>
  <c r="N248" i="91"/>
  <c r="O248" i="91"/>
  <c r="P248" i="91"/>
  <c r="M249" i="91"/>
  <c r="N249" i="91"/>
  <c r="D253" i="91"/>
  <c r="A255" i="91"/>
  <c r="H255" i="91"/>
  <c r="N255" i="91"/>
  <c r="K255" i="91"/>
  <c r="O255" i="91"/>
  <c r="P255" i="91"/>
  <c r="L255" i="91"/>
  <c r="M255" i="91"/>
  <c r="AO268" i="91"/>
  <c r="AO237" i="91"/>
  <c r="AO256" i="91"/>
  <c r="AO255" i="91"/>
  <c r="AO271" i="91"/>
  <c r="AP237" i="91"/>
  <c r="AP258" i="91"/>
  <c r="AP226" i="91"/>
  <c r="AO224" i="91"/>
  <c r="AO235" i="91"/>
  <c r="AO276" i="91"/>
  <c r="AO274" i="91"/>
  <c r="AO262" i="91"/>
  <c r="AO270" i="91"/>
  <c r="AO264" i="91"/>
  <c r="AO225" i="91"/>
  <c r="AO230" i="91"/>
  <c r="AP230" i="91"/>
  <c r="AP227" i="91"/>
  <c r="AP254" i="91"/>
  <c r="AP224" i="91"/>
  <c r="AP278" i="91"/>
  <c r="AP223" i="91"/>
  <c r="AP276" i="91"/>
  <c r="AP279" i="91"/>
  <c r="AP277" i="91"/>
  <c r="AP238" i="91"/>
  <c r="AP262" i="91"/>
  <c r="AO227" i="91"/>
  <c r="AP261" i="91"/>
  <c r="AP255" i="91"/>
  <c r="AP275" i="91"/>
  <c r="AP225" i="91"/>
  <c r="AP264" i="91"/>
  <c r="AP247" i="91"/>
  <c r="AP256" i="91"/>
  <c r="AO232" i="91"/>
  <c r="AO269" i="91"/>
  <c r="AO254" i="91"/>
  <c r="AO233" i="91"/>
  <c r="AP268" i="91"/>
  <c r="AP236" i="91"/>
  <c r="AP274" i="91"/>
  <c r="AP229" i="91"/>
  <c r="AP234" i="91"/>
  <c r="AP272" i="91"/>
  <c r="AP265" i="91"/>
  <c r="AP259" i="91"/>
  <c r="AP273" i="91"/>
  <c r="AP260" i="91"/>
  <c r="AP242" i="91"/>
  <c r="AP263" i="91"/>
  <c r="AP266" i="91"/>
  <c r="AP267" i="91"/>
  <c r="AP233" i="91"/>
  <c r="AP271" i="91"/>
  <c r="AP244" i="91"/>
  <c r="AP257" i="91"/>
  <c r="AP246" i="91"/>
  <c r="L249" i="91"/>
  <c r="P249" i="91"/>
  <c r="K249" i="91"/>
  <c r="O249" i="91"/>
  <c r="AQ221" i="91"/>
  <c r="A256" i="91"/>
  <c r="H256" i="91"/>
  <c r="K256" i="91"/>
  <c r="O256" i="91"/>
  <c r="L256" i="91"/>
  <c r="P256" i="91"/>
  <c r="M256" i="91"/>
  <c r="N256" i="91"/>
  <c r="AP243" i="91"/>
  <c r="AP245" i="91"/>
  <c r="AP270" i="91"/>
  <c r="AP241" i="91"/>
  <c r="AP235" i="91"/>
  <c r="AP269" i="91"/>
  <c r="AQ236" i="91"/>
  <c r="AQ277" i="91"/>
  <c r="AQ244" i="91"/>
  <c r="AQ241" i="91"/>
  <c r="AQ266" i="91"/>
  <c r="AQ258" i="91"/>
  <c r="AQ247" i="91"/>
  <c r="AQ265" i="91"/>
  <c r="AQ243" i="91"/>
  <c r="AQ256" i="91"/>
  <c r="AP228" i="91"/>
  <c r="AP240" i="91"/>
  <c r="AP231" i="91"/>
  <c r="AP248" i="91"/>
  <c r="AP239" i="91"/>
  <c r="AP232" i="91"/>
  <c r="AQ263" i="91"/>
  <c r="AQ269" i="91"/>
  <c r="AQ275" i="91"/>
  <c r="AQ239" i="91"/>
  <c r="AQ242" i="91"/>
  <c r="AQ234" i="91"/>
  <c r="AQ268" i="91"/>
  <c r="AQ225" i="91"/>
  <c r="AR221" i="91"/>
  <c r="A257" i="91"/>
  <c r="H257" i="91"/>
  <c r="L257" i="91"/>
  <c r="M257" i="91"/>
  <c r="N257" i="91"/>
  <c r="K257" i="91"/>
  <c r="O257" i="91"/>
  <c r="P257" i="91"/>
  <c r="AQ229" i="91"/>
  <c r="AQ224" i="91"/>
  <c r="AQ279" i="91"/>
  <c r="AQ264" i="91"/>
  <c r="AQ228" i="91"/>
  <c r="AQ226" i="91"/>
  <c r="AQ246" i="91"/>
  <c r="AQ235" i="91"/>
  <c r="AQ259" i="91"/>
  <c r="AQ278" i="91"/>
  <c r="AQ237" i="91"/>
  <c r="AQ233" i="91"/>
  <c r="AQ267" i="91"/>
  <c r="AQ240" i="91"/>
  <c r="AQ230" i="91"/>
  <c r="AQ238" i="91"/>
  <c r="AQ223" i="91"/>
  <c r="AR269" i="91"/>
  <c r="AR246" i="91"/>
  <c r="AR277" i="91"/>
  <c r="AR244" i="91"/>
  <c r="AR227" i="91"/>
  <c r="AR226" i="91"/>
  <c r="AR232" i="91"/>
  <c r="AR233" i="91"/>
  <c r="AQ271" i="91"/>
  <c r="AQ262" i="91"/>
  <c r="AQ254" i="91"/>
  <c r="AQ255" i="91"/>
  <c r="AQ245" i="91"/>
  <c r="AQ227" i="91"/>
  <c r="AQ274" i="91"/>
  <c r="AQ231" i="91"/>
  <c r="AQ273" i="91"/>
  <c r="AQ260" i="91"/>
  <c r="AQ257" i="91"/>
  <c r="AQ248" i="91"/>
  <c r="AQ261" i="91"/>
  <c r="AQ270" i="91"/>
  <c r="AQ272" i="91"/>
  <c r="AQ276" i="91"/>
  <c r="AQ232" i="91"/>
  <c r="AR238" i="91"/>
  <c r="AR254" i="91"/>
  <c r="AR231" i="91"/>
  <c r="AR223" i="91"/>
  <c r="AR258" i="91"/>
  <c r="AR268" i="91"/>
  <c r="AR241" i="91"/>
  <c r="AR234" i="91"/>
  <c r="AR235" i="91"/>
  <c r="AR236" i="91"/>
  <c r="AR261" i="91"/>
  <c r="AS221" i="91"/>
  <c r="A258" i="91"/>
  <c r="H258" i="91"/>
  <c r="N258" i="91"/>
  <c r="L258" i="91"/>
  <c r="M258" i="91"/>
  <c r="K258" i="91"/>
  <c r="O258" i="91"/>
  <c r="P258" i="91"/>
  <c r="AS235" i="91"/>
  <c r="AR272" i="91"/>
  <c r="AR267" i="91"/>
  <c r="AR266" i="91"/>
  <c r="AR228" i="91"/>
  <c r="AR240" i="91"/>
  <c r="AR279" i="91"/>
  <c r="AR256" i="91"/>
  <c r="AR245" i="91"/>
  <c r="AS226" i="91"/>
  <c r="AS246" i="91"/>
  <c r="AS265" i="91"/>
  <c r="AS268" i="91"/>
  <c r="AS273" i="91"/>
  <c r="AS232" i="91"/>
  <c r="AS244" i="91"/>
  <c r="AS262" i="91"/>
  <c r="AS242" i="91"/>
  <c r="AS245" i="91"/>
  <c r="AS258" i="91"/>
  <c r="AS266" i="91"/>
  <c r="AS231" i="91"/>
  <c r="AR243" i="91"/>
  <c r="AR255" i="91"/>
  <c r="AR274" i="91"/>
  <c r="AR263" i="91"/>
  <c r="AR229" i="91"/>
  <c r="AR257" i="91"/>
  <c r="AR248" i="91"/>
  <c r="AR259" i="91"/>
  <c r="AS259" i="91"/>
  <c r="AS225" i="91"/>
  <c r="AS248" i="91"/>
  <c r="AS241" i="91"/>
  <c r="AS277" i="91"/>
  <c r="AS261" i="91"/>
  <c r="AS238" i="91"/>
  <c r="AS255" i="91"/>
  <c r="AS254" i="91"/>
  <c r="AS276" i="91"/>
  <c r="AS256" i="91"/>
  <c r="AS260" i="91"/>
  <c r="AS278" i="91"/>
  <c r="AR260" i="91"/>
  <c r="AR275" i="91"/>
  <c r="AR239" i="91"/>
  <c r="AR230" i="91"/>
  <c r="AR224" i="91"/>
  <c r="AR278" i="91"/>
  <c r="AR242" i="91"/>
  <c r="AR276" i="91"/>
  <c r="AS239" i="91"/>
  <c r="AS240" i="91"/>
  <c r="AS233" i="91"/>
  <c r="AS263" i="91"/>
  <c r="AS229" i="91"/>
  <c r="AS237" i="91"/>
  <c r="AS228" i="91"/>
  <c r="AS257" i="91"/>
  <c r="AS236" i="91"/>
  <c r="AS243" i="91"/>
  <c r="AS227" i="91"/>
  <c r="AS230" i="91"/>
  <c r="AS247" i="91"/>
  <c r="AR270" i="91"/>
  <c r="AR237" i="91"/>
  <c r="AR264" i="91"/>
  <c r="AR225" i="91"/>
  <c r="AR262" i="91"/>
  <c r="AR273" i="91"/>
  <c r="AR271" i="91"/>
  <c r="AR247" i="91"/>
  <c r="AR265" i="91"/>
  <c r="AS270" i="91"/>
  <c r="AS275" i="91"/>
  <c r="AS234" i="91"/>
  <c r="AS279" i="91"/>
  <c r="AS271" i="91"/>
  <c r="AS267" i="91"/>
  <c r="AS264" i="91"/>
  <c r="AS224" i="91"/>
  <c r="AS272" i="91"/>
  <c r="AS269" i="91"/>
  <c r="AS223" i="91"/>
  <c r="AS274" i="91"/>
  <c r="AT221" i="91"/>
  <c r="A259" i="91"/>
  <c r="H259" i="91"/>
  <c r="K259" i="91"/>
  <c r="L259" i="91"/>
  <c r="P259" i="91"/>
  <c r="M259" i="91"/>
  <c r="N259" i="91"/>
  <c r="O259" i="91"/>
  <c r="AT235" i="91"/>
  <c r="AT248" i="91"/>
  <c r="AT232" i="91"/>
  <c r="AT231" i="91"/>
  <c r="AT238" i="91"/>
  <c r="AT225" i="91"/>
  <c r="AT263" i="91"/>
  <c r="AT260" i="91"/>
  <c r="AT226" i="91"/>
  <c r="AT230" i="91"/>
  <c r="AT275" i="91"/>
  <c r="AT279" i="91"/>
  <c r="AT273" i="91"/>
  <c r="AT239" i="91"/>
  <c r="AT245" i="91"/>
  <c r="AT262" i="91"/>
  <c r="AT241" i="91"/>
  <c r="AT243" i="91"/>
  <c r="AT267" i="91"/>
  <c r="AT276" i="91"/>
  <c r="AT269" i="91"/>
  <c r="AT236" i="91"/>
  <c r="AS306" i="91"/>
  <c r="AS297" i="91"/>
  <c r="AS303" i="91"/>
  <c r="AS292" i="91"/>
  <c r="AS291" i="91"/>
  <c r="AS294" i="91"/>
  <c r="AS302" i="91"/>
  <c r="AS286" i="91"/>
  <c r="AS305" i="91"/>
  <c r="AS300" i="91"/>
  <c r="AS308" i="91"/>
  <c r="AS307" i="91"/>
  <c r="AS290" i="91"/>
  <c r="AS310" i="91"/>
  <c r="AS293" i="91"/>
  <c r="AS287" i="91"/>
  <c r="AS295" i="91"/>
  <c r="AS289" i="91"/>
  <c r="AS296" i="91"/>
  <c r="AS298" i="91"/>
  <c r="AS301" i="91"/>
  <c r="AS309" i="91"/>
  <c r="AS299" i="91"/>
  <c r="AS285" i="91"/>
  <c r="AS304" i="91"/>
  <c r="AS288" i="91"/>
  <c r="AU221" i="91"/>
  <c r="A260" i="91"/>
  <c r="H260" i="91"/>
  <c r="L260" i="91"/>
  <c r="M260" i="91"/>
  <c r="N260" i="91"/>
  <c r="P260" i="91"/>
  <c r="K260" i="91"/>
  <c r="O260" i="91"/>
  <c r="AU266" i="91"/>
  <c r="AT254" i="91"/>
  <c r="AU224" i="91"/>
  <c r="AU232" i="91"/>
  <c r="AU263" i="91"/>
  <c r="AU254" i="91"/>
  <c r="AT255" i="91"/>
  <c r="AT274" i="91"/>
  <c r="AT258" i="91"/>
  <c r="AT268" i="91"/>
  <c r="AT247" i="91"/>
  <c r="AT240" i="91"/>
  <c r="AT244" i="91"/>
  <c r="AT277" i="91"/>
  <c r="AT261" i="91"/>
  <c r="AT224" i="91"/>
  <c r="AT265" i="91"/>
  <c r="AT246" i="91"/>
  <c r="AT228" i="91"/>
  <c r="AT237" i="91"/>
  <c r="AT270" i="91"/>
  <c r="AU271" i="91"/>
  <c r="AU225" i="91"/>
  <c r="AU274" i="91"/>
  <c r="AT233" i="91"/>
  <c r="AT272" i="91"/>
  <c r="AT278" i="91"/>
  <c r="AT256" i="91"/>
  <c r="AT271" i="91"/>
  <c r="AT259" i="91"/>
  <c r="AT266" i="91"/>
  <c r="AT242" i="91"/>
  <c r="AT257" i="91"/>
  <c r="AT223" i="91"/>
  <c r="AT264" i="91"/>
  <c r="AT227" i="91"/>
  <c r="AT234" i="91"/>
  <c r="AT229" i="91"/>
  <c r="AU278" i="91"/>
  <c r="AU261" i="91"/>
  <c r="AU240" i="91"/>
  <c r="AU241" i="91"/>
  <c r="AU267" i="91"/>
  <c r="AU265" i="91"/>
  <c r="AV221" i="91"/>
  <c r="A261" i="91"/>
  <c r="H261" i="91"/>
  <c r="K261" i="91"/>
  <c r="O261" i="91"/>
  <c r="P261" i="91"/>
  <c r="N261" i="91"/>
  <c r="L261" i="91"/>
  <c r="M261" i="91"/>
  <c r="AU264" i="91"/>
  <c r="AU235" i="91"/>
  <c r="AU257" i="91"/>
  <c r="AU259" i="91"/>
  <c r="AU277" i="91"/>
  <c r="AU231" i="91"/>
  <c r="AU228" i="91"/>
  <c r="AU275" i="91"/>
  <c r="AU270" i="91"/>
  <c r="AU223" i="91"/>
  <c r="AU256" i="91"/>
  <c r="AU258" i="91"/>
  <c r="AU239" i="91"/>
  <c r="AU244" i="91"/>
  <c r="AU255" i="91"/>
  <c r="AU230" i="91"/>
  <c r="AU248" i="91"/>
  <c r="AU279" i="91"/>
  <c r="AU245" i="91"/>
  <c r="AV259" i="91"/>
  <c r="AV246" i="91"/>
  <c r="AV223" i="91"/>
  <c r="AV254" i="91"/>
  <c r="AV274" i="91"/>
  <c r="AV226" i="91"/>
  <c r="AV255" i="91"/>
  <c r="AU276" i="91"/>
  <c r="AU226" i="91"/>
  <c r="AU227" i="91"/>
  <c r="AU236" i="91"/>
  <c r="AU268" i="91"/>
  <c r="AU262" i="91"/>
  <c r="AU233" i="91"/>
  <c r="AU243" i="91"/>
  <c r="AU273" i="91"/>
  <c r="AU229" i="91"/>
  <c r="AU247" i="91"/>
  <c r="AU238" i="91"/>
  <c r="AU234" i="91"/>
  <c r="AU269" i="91"/>
  <c r="AU260" i="91"/>
  <c r="AU237" i="91"/>
  <c r="AU242" i="91"/>
  <c r="AU246" i="91"/>
  <c r="AU272" i="91"/>
  <c r="AV240" i="91"/>
  <c r="AV243" i="91"/>
  <c r="AV235" i="91"/>
  <c r="AV239" i="91"/>
  <c r="AV269" i="91"/>
  <c r="AV225" i="91"/>
  <c r="AV278" i="91"/>
  <c r="AV263" i="91"/>
  <c r="AV277" i="91"/>
  <c r="AV272" i="91"/>
  <c r="AV229" i="91"/>
  <c r="AW221" i="91"/>
  <c r="A262" i="91"/>
  <c r="H262" i="91"/>
  <c r="K262" i="91"/>
  <c r="L262" i="91"/>
  <c r="M262" i="91"/>
  <c r="N262" i="91"/>
  <c r="P262" i="91"/>
  <c r="O262" i="91"/>
  <c r="AV275" i="91"/>
  <c r="AV279" i="91"/>
  <c r="AV265" i="91"/>
  <c r="AV241" i="91"/>
  <c r="AV233" i="91"/>
  <c r="AV237" i="91"/>
  <c r="AV264" i="91"/>
  <c r="AV270" i="91"/>
  <c r="AV267" i="91"/>
  <c r="AV247" i="91"/>
  <c r="AV245" i="91"/>
  <c r="AV227" i="91"/>
  <c r="AV236" i="91"/>
  <c r="AV230" i="91"/>
  <c r="AV231" i="91"/>
  <c r="AV262" i="91"/>
  <c r="AV258" i="91"/>
  <c r="AW246" i="91"/>
  <c r="AW274" i="91"/>
  <c r="AW236" i="91"/>
  <c r="AW275" i="91"/>
  <c r="AW271" i="91"/>
  <c r="AW248" i="91"/>
  <c r="AW226" i="91"/>
  <c r="AW278" i="91"/>
  <c r="AV234" i="91"/>
  <c r="AV261" i="91"/>
  <c r="AV224" i="91"/>
  <c r="AV268" i="91"/>
  <c r="AV266" i="91"/>
  <c r="AV276" i="91"/>
  <c r="AV273" i="91"/>
  <c r="AV248" i="91"/>
  <c r="AV244" i="91"/>
  <c r="AV257" i="91"/>
  <c r="AV238" i="91"/>
  <c r="AV271" i="91"/>
  <c r="AV242" i="91"/>
  <c r="AV228" i="91"/>
  <c r="AV256" i="91"/>
  <c r="AV260" i="91"/>
  <c r="AV232" i="91"/>
  <c r="AW267" i="91"/>
  <c r="AW247" i="91"/>
  <c r="AW233" i="91"/>
  <c r="AW266" i="91"/>
  <c r="AW245" i="91"/>
  <c r="AW270" i="91"/>
  <c r="AW255" i="91"/>
  <c r="AW237" i="91"/>
  <c r="AW234" i="91"/>
  <c r="AW279" i="91"/>
  <c r="AX221" i="91"/>
  <c r="A263" i="91"/>
  <c r="H263" i="91"/>
  <c r="N263" i="91"/>
  <c r="K263" i="91"/>
  <c r="O263" i="91"/>
  <c r="P263" i="91"/>
  <c r="L263" i="91"/>
  <c r="M263" i="91"/>
  <c r="AW259" i="91"/>
  <c r="AW272" i="91"/>
  <c r="AW243" i="91"/>
  <c r="AW264" i="91"/>
  <c r="AW258" i="91"/>
  <c r="AW261" i="91"/>
  <c r="AW276" i="91"/>
  <c r="AW269" i="91"/>
  <c r="AW257" i="91"/>
  <c r="AW241" i="91"/>
  <c r="AW240" i="91"/>
  <c r="AW235" i="91"/>
  <c r="AW244" i="91"/>
  <c r="AW263" i="91"/>
  <c r="AW232" i="91"/>
  <c r="AW231" i="91"/>
  <c r="AW262" i="91"/>
  <c r="AX276" i="91"/>
  <c r="AX255" i="91"/>
  <c r="AX233" i="91"/>
  <c r="AX246" i="91"/>
  <c r="AX263" i="91"/>
  <c r="AX278" i="91"/>
  <c r="AX258" i="91"/>
  <c r="AW256" i="91"/>
  <c r="AW239" i="91"/>
  <c r="AW238" i="91"/>
  <c r="AW223" i="91"/>
  <c r="AW227" i="91"/>
  <c r="AW260" i="91"/>
  <c r="AW229" i="91"/>
  <c r="AW230" i="91"/>
  <c r="AW277" i="91"/>
  <c r="AW224" i="91"/>
  <c r="AW225" i="91"/>
  <c r="AW254" i="91"/>
  <c r="AW242" i="91"/>
  <c r="AW273" i="91"/>
  <c r="AW265" i="91"/>
  <c r="AW268" i="91"/>
  <c r="AW228" i="91"/>
  <c r="AX262" i="91"/>
  <c r="AX267" i="91"/>
  <c r="AX261" i="91"/>
  <c r="AX270" i="91"/>
  <c r="AX254" i="91"/>
  <c r="AX243" i="91"/>
  <c r="AX275" i="91"/>
  <c r="AY221" i="91"/>
  <c r="A264" i="91"/>
  <c r="H264" i="91"/>
  <c r="K264" i="91"/>
  <c r="L264" i="91"/>
  <c r="P264" i="91"/>
  <c r="M264" i="91"/>
  <c r="N264" i="91"/>
  <c r="O264" i="91"/>
  <c r="AX238" i="91"/>
  <c r="AX229" i="91"/>
  <c r="AX244" i="91"/>
  <c r="AX271" i="91"/>
  <c r="AX240" i="91"/>
  <c r="AX235" i="91"/>
  <c r="AX259" i="91"/>
  <c r="AX224" i="91"/>
  <c r="AX269" i="91"/>
  <c r="AX226" i="91"/>
  <c r="AX268" i="91"/>
  <c r="AX230" i="91"/>
  <c r="AX236" i="91"/>
  <c r="AX277" i="91"/>
  <c r="AX266" i="91"/>
  <c r="AX272" i="91"/>
  <c r="AX237" i="91"/>
  <c r="AX245" i="91"/>
  <c r="AX232" i="91"/>
  <c r="AY259" i="91"/>
  <c r="AY231" i="91"/>
  <c r="AY240" i="91"/>
  <c r="AY227" i="91"/>
  <c r="AY275" i="91"/>
  <c r="AY278" i="91"/>
  <c r="AY241" i="91"/>
  <c r="AX242" i="91"/>
  <c r="AX228" i="91"/>
  <c r="AX231" i="91"/>
  <c r="AX227" i="91"/>
  <c r="AX260" i="91"/>
  <c r="AX273" i="91"/>
  <c r="AX234" i="91"/>
  <c r="AX241" i="91"/>
  <c r="AX247" i="91"/>
  <c r="AX225" i="91"/>
  <c r="AX264" i="91"/>
  <c r="AX274" i="91"/>
  <c r="AX223" i="91"/>
  <c r="AX257" i="91"/>
  <c r="AX239" i="91"/>
  <c r="AX248" i="91"/>
  <c r="AX256" i="91"/>
  <c r="AX265" i="91"/>
  <c r="AX279" i="91"/>
  <c r="AY232" i="91"/>
  <c r="AY230" i="91"/>
  <c r="AY273" i="91"/>
  <c r="AY225" i="91"/>
  <c r="AY234" i="91"/>
  <c r="AY257" i="91"/>
  <c r="AY274" i="91"/>
  <c r="AY256" i="91"/>
  <c r="AY235" i="91"/>
  <c r="AX310" i="91"/>
  <c r="AX293" i="91"/>
  <c r="AX298" i="91"/>
  <c r="AX306" i="91"/>
  <c r="AX300" i="91"/>
  <c r="AX296" i="91"/>
  <c r="AX305" i="91"/>
  <c r="AX288" i="91"/>
  <c r="AX304" i="91"/>
  <c r="AX286" i="91"/>
  <c r="AX302" i="91"/>
  <c r="AX295" i="91"/>
  <c r="AX307" i="91"/>
  <c r="AX292" i="91"/>
  <c r="AX308" i="91"/>
  <c r="AX290" i="91"/>
  <c r="AX294" i="91"/>
  <c r="K23" i="91"/>
  <c r="S97" i="97"/>
  <c r="AX289" i="91"/>
  <c r="AX303" i="91"/>
  <c r="AX297" i="91"/>
  <c r="AX291" i="91"/>
  <c r="AX285" i="91"/>
  <c r="AX299" i="91"/>
  <c r="AX287" i="91"/>
  <c r="AX301" i="91"/>
  <c r="AX309" i="91"/>
  <c r="AZ221" i="91"/>
  <c r="A265" i="91"/>
  <c r="H265" i="91"/>
  <c r="K265" i="91"/>
  <c r="L265" i="91"/>
  <c r="M265" i="91"/>
  <c r="N265" i="91"/>
  <c r="O265" i="91"/>
  <c r="P265" i="91"/>
  <c r="A266" i="91"/>
  <c r="H266" i="91"/>
  <c r="K266" i="91"/>
  <c r="L266" i="91"/>
  <c r="M266" i="91"/>
  <c r="N266" i="91"/>
  <c r="O266" i="91"/>
  <c r="P266" i="91"/>
  <c r="A267" i="91"/>
  <c r="H267" i="91"/>
  <c r="K267" i="91"/>
  <c r="L267" i="91"/>
  <c r="M267" i="91"/>
  <c r="N267" i="91"/>
  <c r="O267" i="91"/>
  <c r="P267" i="91"/>
  <c r="A268" i="91"/>
  <c r="H268" i="91"/>
  <c r="K268" i="91"/>
  <c r="L268" i="91"/>
  <c r="M268" i="91"/>
  <c r="N268" i="91"/>
  <c r="O268" i="91"/>
  <c r="P268" i="91"/>
  <c r="A269" i="91"/>
  <c r="H269" i="91"/>
  <c r="K269" i="91"/>
  <c r="L269" i="91"/>
  <c r="M269" i="91"/>
  <c r="N269" i="91"/>
  <c r="O269" i="91"/>
  <c r="P269" i="91"/>
  <c r="A270" i="91"/>
  <c r="H270" i="91"/>
  <c r="K270" i="91"/>
  <c r="L270" i="91"/>
  <c r="M270" i="91"/>
  <c r="N270" i="91"/>
  <c r="O270" i="91"/>
  <c r="P270" i="91"/>
  <c r="A271" i="91"/>
  <c r="H271" i="91"/>
  <c r="K271" i="91"/>
  <c r="L271" i="91"/>
  <c r="M271" i="91"/>
  <c r="N271" i="91"/>
  <c r="O271" i="91"/>
  <c r="P271" i="91"/>
  <c r="A272" i="91"/>
  <c r="H272" i="91"/>
  <c r="K272" i="91"/>
  <c r="L272" i="91"/>
  <c r="M272" i="91"/>
  <c r="N272" i="91"/>
  <c r="O272" i="91"/>
  <c r="P272" i="91"/>
  <c r="A273" i="91"/>
  <c r="H273" i="91"/>
  <c r="K273" i="91"/>
  <c r="L273" i="91"/>
  <c r="M273" i="91"/>
  <c r="N273" i="91"/>
  <c r="O273" i="91"/>
  <c r="P273" i="91"/>
  <c r="A274" i="91"/>
  <c r="H274" i="91"/>
  <c r="K274" i="91"/>
  <c r="L274" i="91"/>
  <c r="M274" i="91"/>
  <c r="N274" i="91"/>
  <c r="O274" i="91"/>
  <c r="P274" i="91"/>
  <c r="A275" i="91"/>
  <c r="H275" i="91"/>
  <c r="K275" i="91"/>
  <c r="L275" i="91"/>
  <c r="M275" i="91"/>
  <c r="N275" i="91"/>
  <c r="O275" i="91"/>
  <c r="P275" i="91"/>
  <c r="A276" i="91"/>
  <c r="H276" i="91"/>
  <c r="K276" i="91"/>
  <c r="L276" i="91"/>
  <c r="M276" i="91"/>
  <c r="N276" i="91"/>
  <c r="O276" i="91"/>
  <c r="P276" i="91"/>
  <c r="A277" i="91"/>
  <c r="H277" i="91"/>
  <c r="K277" i="91"/>
  <c r="L277" i="91"/>
  <c r="M277" i="91"/>
  <c r="N277" i="91"/>
  <c r="O277" i="91"/>
  <c r="P277" i="91"/>
  <c r="A278" i="91"/>
  <c r="H278" i="91"/>
  <c r="K278" i="91"/>
  <c r="L278" i="91"/>
  <c r="M278" i="91"/>
  <c r="N278" i="91"/>
  <c r="O278" i="91"/>
  <c r="P278" i="91"/>
  <c r="A279" i="91"/>
  <c r="H279" i="91"/>
  <c r="K279" i="91"/>
  <c r="L279" i="91"/>
  <c r="M279" i="91"/>
  <c r="N279" i="91"/>
  <c r="O279" i="91"/>
  <c r="P279" i="91"/>
  <c r="M280" i="91"/>
  <c r="N280" i="91"/>
  <c r="P280" i="91"/>
  <c r="D284" i="91"/>
  <c r="G285" i="91"/>
  <c r="U285" i="91"/>
  <c r="V285" i="91"/>
  <c r="W285" i="91"/>
  <c r="X285" i="91"/>
  <c r="Y285" i="91"/>
  <c r="Z285" i="91"/>
  <c r="AA285" i="91"/>
  <c r="AB285" i="91"/>
  <c r="AC285" i="91"/>
  <c r="AD285" i="91"/>
  <c r="AE285" i="91"/>
  <c r="AF285" i="91"/>
  <c r="AG285" i="91"/>
  <c r="AH285" i="91"/>
  <c r="AI285" i="91"/>
  <c r="AJ285" i="91"/>
  <c r="AK285" i="91"/>
  <c r="AL285" i="91"/>
  <c r="AM285" i="91"/>
  <c r="AN285" i="91"/>
  <c r="AO285" i="91"/>
  <c r="AP285" i="91"/>
  <c r="AQ285" i="91"/>
  <c r="AR285" i="91"/>
  <c r="AT285" i="91"/>
  <c r="AU285" i="91"/>
  <c r="AV285" i="91"/>
  <c r="AW285" i="91"/>
  <c r="A286" i="91"/>
  <c r="G286" i="91"/>
  <c r="H286" i="91"/>
  <c r="N286" i="91"/>
  <c r="K286" i="91"/>
  <c r="O286" i="91"/>
  <c r="P286" i="91"/>
  <c r="L286" i="91"/>
  <c r="M286" i="91"/>
  <c r="AY254" i="91"/>
  <c r="AY267" i="91"/>
  <c r="AY258" i="91"/>
  <c r="AY228" i="91"/>
  <c r="AY226" i="91"/>
  <c r="AY255" i="91"/>
  <c r="AY260" i="91"/>
  <c r="AY224" i="91"/>
  <c r="AY265" i="91"/>
  <c r="AZ260" i="91"/>
  <c r="AZ238" i="91"/>
  <c r="AZ227" i="91"/>
  <c r="AZ224" i="91"/>
  <c r="AZ273" i="91"/>
  <c r="AZ270" i="91"/>
  <c r="AZ263" i="91"/>
  <c r="AZ254" i="91"/>
  <c r="AZ246" i="91"/>
  <c r="AZ248" i="91"/>
  <c r="AZ234" i="91"/>
  <c r="AZ269" i="91"/>
  <c r="AZ239" i="91"/>
  <c r="AY244" i="91"/>
  <c r="AY279" i="91"/>
  <c r="AY264" i="91"/>
  <c r="AY272" i="91"/>
  <c r="AY237" i="91"/>
  <c r="AY261" i="91"/>
  <c r="AY245" i="91"/>
  <c r="AY242" i="91"/>
  <c r="AY238" i="91"/>
  <c r="AZ223" i="91"/>
  <c r="AZ236" i="91"/>
  <c r="AZ275" i="91"/>
  <c r="AZ237" i="91"/>
  <c r="AZ240" i="91"/>
  <c r="AZ245" i="91"/>
  <c r="AZ242" i="91"/>
  <c r="AZ256" i="91"/>
  <c r="AZ230" i="91"/>
  <c r="AZ228" i="91"/>
  <c r="AZ233" i="91"/>
  <c r="AZ274" i="91"/>
  <c r="AZ241" i="91"/>
  <c r="AZ255" i="91"/>
  <c r="AZ258" i="91"/>
  <c r="AZ268" i="91"/>
  <c r="AZ226" i="91"/>
  <c r="AZ262" i="91"/>
  <c r="AZ266" i="91"/>
  <c r="AZ257" i="91"/>
  <c r="AZ244" i="91"/>
  <c r="AZ229" i="91"/>
  <c r="AZ271" i="91"/>
  <c r="AY270" i="91"/>
  <c r="AY263" i="91"/>
  <c r="AY233" i="91"/>
  <c r="AY246" i="91"/>
  <c r="AY236" i="91"/>
  <c r="AY223" i="91"/>
  <c r="AY271" i="91"/>
  <c r="AY276" i="91"/>
  <c r="AY239" i="91"/>
  <c r="AZ278" i="91"/>
  <c r="AZ264" i="91"/>
  <c r="AZ265" i="91"/>
  <c r="AZ247" i="91"/>
  <c r="AZ235" i="91"/>
  <c r="AZ272" i="91"/>
  <c r="AZ225" i="91"/>
  <c r="AZ279" i="91"/>
  <c r="AZ277" i="91"/>
  <c r="AZ276" i="91"/>
  <c r="AY268" i="91"/>
  <c r="AY269" i="91"/>
  <c r="AY277" i="91"/>
  <c r="AY248" i="91"/>
  <c r="AY266" i="91"/>
  <c r="AY247" i="91"/>
  <c r="AY262" i="91"/>
  <c r="AY243" i="91"/>
  <c r="AY229" i="91"/>
  <c r="AZ232" i="91"/>
  <c r="AZ259" i="91"/>
  <c r="AZ243" i="91"/>
  <c r="AZ231" i="91"/>
  <c r="AZ267" i="91"/>
  <c r="AZ261" i="91"/>
  <c r="L280" i="91"/>
  <c r="AY285" i="91"/>
  <c r="K26" i="91"/>
  <c r="S100" i="97"/>
  <c r="K21" i="91"/>
  <c r="S95" i="97"/>
  <c r="O280" i="91"/>
  <c r="K280" i="91"/>
  <c r="AF22" i="91"/>
  <c r="AF28" i="91"/>
  <c r="K29" i="91"/>
  <c r="S103" i="97"/>
  <c r="AF25" i="91"/>
  <c r="K20" i="91"/>
  <c r="S94" i="97"/>
  <c r="AZ285" i="91"/>
  <c r="BA221" i="91"/>
  <c r="U286" i="91"/>
  <c r="V286" i="91"/>
  <c r="W286" i="91"/>
  <c r="X286" i="91"/>
  <c r="Y286" i="91"/>
  <c r="Z286" i="91"/>
  <c r="AA286" i="91"/>
  <c r="AB286" i="91"/>
  <c r="AC286" i="91"/>
  <c r="AD286" i="91"/>
  <c r="AE286" i="91"/>
  <c r="AF286" i="91"/>
  <c r="AG286" i="91"/>
  <c r="AH286" i="91"/>
  <c r="AI286" i="91"/>
  <c r="AJ286" i="91"/>
  <c r="AK286" i="91"/>
  <c r="AL286" i="91"/>
  <c r="AM286" i="91"/>
  <c r="AN286" i="91"/>
  <c r="AO286" i="91"/>
  <c r="AP286" i="91"/>
  <c r="AQ286" i="91"/>
  <c r="AR286" i="91"/>
  <c r="AT286" i="91"/>
  <c r="AU286" i="91"/>
  <c r="AV286" i="91"/>
  <c r="AW286" i="91"/>
  <c r="AY286" i="91"/>
  <c r="AZ286" i="91"/>
  <c r="A287" i="91"/>
  <c r="G287" i="91"/>
  <c r="H287" i="91"/>
  <c r="K287" i="91"/>
  <c r="O287" i="91"/>
  <c r="N287" i="91"/>
  <c r="L287" i="91"/>
  <c r="P287" i="91"/>
  <c r="M287" i="91"/>
  <c r="BA248" i="91"/>
  <c r="BA258" i="91"/>
  <c r="BA238" i="91"/>
  <c r="BA259" i="91"/>
  <c r="BA275" i="91"/>
  <c r="BA254" i="91"/>
  <c r="BA266" i="91"/>
  <c r="BA243" i="91"/>
  <c r="BA273" i="91"/>
  <c r="BA224" i="91"/>
  <c r="BA226" i="91"/>
  <c r="BA272" i="91"/>
  <c r="BA244" i="91"/>
  <c r="BA257" i="91"/>
  <c r="BA223" i="91"/>
  <c r="BA261" i="91"/>
  <c r="BA233" i="91"/>
  <c r="BA270" i="91"/>
  <c r="BA225" i="91"/>
  <c r="BA242" i="91"/>
  <c r="BA278" i="91"/>
  <c r="BA237" i="91"/>
  <c r="BA235" i="91"/>
  <c r="BA267" i="91"/>
  <c r="BA229" i="91"/>
  <c r="BA246" i="91"/>
  <c r="BA247" i="91"/>
  <c r="BB221" i="91"/>
  <c r="U287" i="91"/>
  <c r="V287" i="91"/>
  <c r="W287" i="91"/>
  <c r="X287" i="91"/>
  <c r="Y287" i="91"/>
  <c r="Z287" i="91"/>
  <c r="AA287" i="91"/>
  <c r="AB287" i="91"/>
  <c r="AC287" i="91"/>
  <c r="AD287" i="91"/>
  <c r="AE287" i="91"/>
  <c r="AF287" i="91"/>
  <c r="AG287" i="91"/>
  <c r="AH287" i="91"/>
  <c r="AI287" i="91"/>
  <c r="AJ287" i="91"/>
  <c r="AK287" i="91"/>
  <c r="AL287" i="91"/>
  <c r="AM287" i="91"/>
  <c r="AN287" i="91"/>
  <c r="AO287" i="91"/>
  <c r="AP287" i="91"/>
  <c r="AQ287" i="91"/>
  <c r="AR287" i="91"/>
  <c r="AT287" i="91"/>
  <c r="AU287" i="91"/>
  <c r="AV287" i="91"/>
  <c r="AW287" i="91"/>
  <c r="AY287" i="91"/>
  <c r="AZ287" i="91"/>
  <c r="A288" i="91"/>
  <c r="G288" i="91"/>
  <c r="H288" i="91"/>
  <c r="N288" i="91"/>
  <c r="O288" i="91"/>
  <c r="M288" i="91"/>
  <c r="K288" i="91"/>
  <c r="L288" i="91"/>
  <c r="P288" i="91"/>
  <c r="BB273" i="91"/>
  <c r="BA279" i="91"/>
  <c r="BA230" i="91"/>
  <c r="BA239" i="91"/>
  <c r="BA245" i="91"/>
  <c r="BA232" i="91"/>
  <c r="BA274" i="91"/>
  <c r="BA234" i="91"/>
  <c r="BA271" i="91"/>
  <c r="BA241" i="91"/>
  <c r="BA265" i="91"/>
  <c r="BA256" i="91"/>
  <c r="BA262" i="91"/>
  <c r="BB227" i="91"/>
  <c r="BB255" i="91"/>
  <c r="BB224" i="91"/>
  <c r="BB237" i="91"/>
  <c r="BA227" i="91"/>
  <c r="BA276" i="91"/>
  <c r="BA268" i="91"/>
  <c r="BA228" i="91"/>
  <c r="BA277" i="91"/>
  <c r="BA240" i="91"/>
  <c r="BA269" i="91"/>
  <c r="BA264" i="91"/>
  <c r="BA260" i="91"/>
  <c r="BA231" i="91"/>
  <c r="BA255" i="91"/>
  <c r="BA236" i="91"/>
  <c r="BA263" i="91"/>
  <c r="BB257" i="91"/>
  <c r="BB231" i="91"/>
  <c r="BB277" i="91"/>
  <c r="BB228" i="91"/>
  <c r="BA285" i="91"/>
  <c r="BA286" i="91"/>
  <c r="BA287" i="91"/>
  <c r="BB286" i="91"/>
  <c r="BC221" i="91"/>
  <c r="U288" i="91"/>
  <c r="V288" i="91"/>
  <c r="W288" i="91"/>
  <c r="X288" i="91"/>
  <c r="Y288" i="91"/>
  <c r="Z288" i="91"/>
  <c r="AA288" i="91"/>
  <c r="AB288" i="91"/>
  <c r="AC288" i="91"/>
  <c r="AD288" i="91"/>
  <c r="AE288" i="91"/>
  <c r="AF288" i="91"/>
  <c r="AG288" i="91"/>
  <c r="AH288" i="91"/>
  <c r="AI288" i="91"/>
  <c r="AJ288" i="91"/>
  <c r="AK288" i="91"/>
  <c r="AL288" i="91"/>
  <c r="AM288" i="91"/>
  <c r="AN288" i="91"/>
  <c r="AO288" i="91"/>
  <c r="AP288" i="91"/>
  <c r="AQ288" i="91"/>
  <c r="AR288" i="91"/>
  <c r="AT288" i="91"/>
  <c r="AU288" i="91"/>
  <c r="AV288" i="91"/>
  <c r="AW288" i="91"/>
  <c r="AY288" i="91"/>
  <c r="AZ288" i="91"/>
  <c r="BA288" i="91"/>
  <c r="A289" i="91"/>
  <c r="G289" i="91"/>
  <c r="H289" i="91"/>
  <c r="P289" i="91"/>
  <c r="M289" i="91"/>
  <c r="O289" i="91"/>
  <c r="L289" i="91"/>
  <c r="N289" i="91"/>
  <c r="K289" i="91"/>
  <c r="BB240" i="91"/>
  <c r="BB256" i="91"/>
  <c r="BB262" i="91"/>
  <c r="BB269" i="91"/>
  <c r="BB232" i="91"/>
  <c r="BB275" i="91"/>
  <c r="BB266" i="91"/>
  <c r="BB244" i="91"/>
  <c r="BB274" i="91"/>
  <c r="BB241" i="91"/>
  <c r="BB276" i="91"/>
  <c r="BC231" i="91"/>
  <c r="BC273" i="91"/>
  <c r="BC242" i="91"/>
  <c r="BC269" i="91"/>
  <c r="BC260" i="91"/>
  <c r="BC272" i="91"/>
  <c r="BC278" i="91"/>
  <c r="BC254" i="91"/>
  <c r="BC265" i="91"/>
  <c r="BC230" i="91"/>
  <c r="BC267" i="91"/>
  <c r="BC277" i="91"/>
  <c r="BC266" i="91"/>
  <c r="BC271" i="91"/>
  <c r="BC223" i="91"/>
  <c r="BC257" i="91"/>
  <c r="BC256" i="91"/>
  <c r="BC263" i="91"/>
  <c r="BC270" i="91"/>
  <c r="BC261" i="91"/>
  <c r="BC238" i="91"/>
  <c r="BC233" i="91"/>
  <c r="BC262" i="91"/>
  <c r="BB271" i="91"/>
  <c r="BB259" i="91"/>
  <c r="BB230" i="91"/>
  <c r="BB260" i="91"/>
  <c r="BB223" i="91"/>
  <c r="BB272" i="91"/>
  <c r="BB246" i="91"/>
  <c r="BB278" i="91"/>
  <c r="BB258" i="91"/>
  <c r="BB243" i="91"/>
  <c r="BB279" i="91"/>
  <c r="BC239" i="91"/>
  <c r="BC268" i="91"/>
  <c r="BC275" i="91"/>
  <c r="BC236" i="91"/>
  <c r="BC241" i="91"/>
  <c r="BC227" i="91"/>
  <c r="BC225" i="91"/>
  <c r="BB229" i="91"/>
  <c r="BC232" i="91"/>
  <c r="BC276" i="91"/>
  <c r="BC245" i="91"/>
  <c r="BC235" i="91"/>
  <c r="BB264" i="91"/>
  <c r="BB261" i="91"/>
  <c r="BB267" i="91"/>
  <c r="BB263" i="91"/>
  <c r="BB226" i="91"/>
  <c r="BB225" i="91"/>
  <c r="BB239" i="91"/>
  <c r="BB265" i="91"/>
  <c r="BB234" i="91"/>
  <c r="BB245" i="91"/>
  <c r="BC240" i="91"/>
  <c r="BC248" i="91"/>
  <c r="BC234" i="91"/>
  <c r="BC246" i="91"/>
  <c r="BC259" i="91"/>
  <c r="BC264" i="91"/>
  <c r="BC247" i="91"/>
  <c r="BC279" i="91"/>
  <c r="BC255" i="91"/>
  <c r="BC229" i="91"/>
  <c r="BC244" i="91"/>
  <c r="BC274" i="91"/>
  <c r="BC228" i="91"/>
  <c r="BB238" i="91"/>
  <c r="BB248" i="91"/>
  <c r="BB268" i="91"/>
  <c r="BB254" i="91"/>
  <c r="BB233" i="91"/>
  <c r="BB270" i="91"/>
  <c r="BB247" i="91"/>
  <c r="BB242" i="91"/>
  <c r="BB235" i="91"/>
  <c r="BB236" i="91"/>
  <c r="BC224" i="91"/>
  <c r="BC226" i="91"/>
  <c r="BC237" i="91"/>
  <c r="BC243" i="91"/>
  <c r="BC258" i="91"/>
  <c r="BB287" i="91"/>
  <c r="BB288" i="91"/>
  <c r="BB285" i="91"/>
  <c r="BD221" i="91"/>
  <c r="U289" i="91"/>
  <c r="V289" i="91"/>
  <c r="W289" i="91"/>
  <c r="X289" i="91"/>
  <c r="Y289" i="91"/>
  <c r="Z289" i="91"/>
  <c r="AA289" i="91"/>
  <c r="AB289" i="91"/>
  <c r="AC289" i="91"/>
  <c r="AD289" i="91"/>
  <c r="AE289" i="91"/>
  <c r="AF289" i="91"/>
  <c r="AG289" i="91"/>
  <c r="AH289" i="91"/>
  <c r="AI289" i="91"/>
  <c r="AJ289" i="91"/>
  <c r="AK289" i="91"/>
  <c r="AL289" i="91"/>
  <c r="AM289" i="91"/>
  <c r="AN289" i="91"/>
  <c r="AO289" i="91"/>
  <c r="AP289" i="91"/>
  <c r="AQ289" i="91"/>
  <c r="AR289" i="91"/>
  <c r="AT289" i="91"/>
  <c r="AU289" i="91"/>
  <c r="AV289" i="91"/>
  <c r="AW289" i="91"/>
  <c r="AY289" i="91"/>
  <c r="AZ289" i="91"/>
  <c r="BA289" i="91"/>
  <c r="BB289" i="91"/>
  <c r="A290" i="91"/>
  <c r="G290" i="91"/>
  <c r="H290" i="91"/>
  <c r="N290" i="91"/>
  <c r="K290" i="91"/>
  <c r="O290" i="91"/>
  <c r="L290" i="91"/>
  <c r="P290" i="91"/>
  <c r="M290" i="91"/>
  <c r="BD258" i="91"/>
  <c r="BD267" i="91"/>
  <c r="BD223" i="91"/>
  <c r="BD259" i="91"/>
  <c r="BD271" i="91"/>
  <c r="BD225" i="91"/>
  <c r="BD274" i="91"/>
  <c r="BD266" i="91"/>
  <c r="BD247" i="91"/>
  <c r="BD245" i="91"/>
  <c r="BD240" i="91"/>
  <c r="BD262" i="91"/>
  <c r="BD254" i="91"/>
  <c r="BD264" i="91"/>
  <c r="BD279" i="91"/>
  <c r="BD246" i="91"/>
  <c r="BD275" i="91"/>
  <c r="BD226" i="91"/>
  <c r="BD256" i="91"/>
  <c r="BD248" i="91"/>
  <c r="BD260" i="91"/>
  <c r="BD278" i="91"/>
  <c r="BD273" i="91"/>
  <c r="BD228" i="91"/>
  <c r="BD272" i="91"/>
  <c r="BD269" i="91"/>
  <c r="BD276" i="91"/>
  <c r="BD239" i="91"/>
  <c r="BD238" i="91"/>
  <c r="BD263" i="91"/>
  <c r="BD255" i="91"/>
  <c r="BD233" i="91"/>
  <c r="BD243" i="91"/>
  <c r="BD230" i="91"/>
  <c r="BD235" i="91"/>
  <c r="BD227" i="91"/>
  <c r="BD270" i="91"/>
  <c r="BD231" i="91"/>
  <c r="BD237" i="91"/>
  <c r="BD229" i="91"/>
  <c r="BD232" i="91"/>
  <c r="BD242" i="91"/>
  <c r="BD234" i="91"/>
  <c r="BD236" i="91"/>
  <c r="BD268" i="91"/>
  <c r="BD277" i="91"/>
  <c r="BD265" i="91"/>
  <c r="BD257" i="91"/>
  <c r="BD224" i="91"/>
  <c r="BD261" i="91"/>
  <c r="BD244" i="91"/>
  <c r="BD241" i="91"/>
  <c r="BC287" i="91"/>
  <c r="BC286" i="91"/>
  <c r="BC288" i="91"/>
  <c r="BC285" i="91"/>
  <c r="BC289" i="91"/>
  <c r="BE221" i="91"/>
  <c r="U290" i="91"/>
  <c r="V290" i="91"/>
  <c r="W290" i="91"/>
  <c r="X290" i="91"/>
  <c r="Y290" i="91"/>
  <c r="Z290" i="91"/>
  <c r="AA290" i="91"/>
  <c r="AB290" i="91"/>
  <c r="AC290" i="91"/>
  <c r="AD290" i="91"/>
  <c r="AE290" i="91"/>
  <c r="AF290" i="91"/>
  <c r="AG290" i="91"/>
  <c r="AH290" i="91"/>
  <c r="AI290" i="91"/>
  <c r="AJ290" i="91"/>
  <c r="AK290" i="91"/>
  <c r="AL290" i="91"/>
  <c r="AM290" i="91"/>
  <c r="AN290" i="91"/>
  <c r="AO290" i="91"/>
  <c r="AP290" i="91"/>
  <c r="AQ290" i="91"/>
  <c r="AR290" i="91"/>
  <c r="AT290" i="91"/>
  <c r="AU290" i="91"/>
  <c r="AV290" i="91"/>
  <c r="AW290" i="91"/>
  <c r="AY290" i="91"/>
  <c r="AZ290" i="91"/>
  <c r="BA290" i="91"/>
  <c r="BB290" i="91"/>
  <c r="BC290" i="91"/>
  <c r="A291" i="91"/>
  <c r="G291" i="91"/>
  <c r="H291" i="91"/>
  <c r="K291" i="91"/>
  <c r="O291" i="91"/>
  <c r="L291" i="91"/>
  <c r="N291" i="91"/>
  <c r="P291" i="91"/>
  <c r="M291" i="91"/>
  <c r="BE248" i="91"/>
  <c r="BE257" i="91"/>
  <c r="BE231" i="91"/>
  <c r="BE247" i="91"/>
  <c r="BE274" i="91"/>
  <c r="BE263" i="91"/>
  <c r="BE225" i="91"/>
  <c r="BE234" i="91"/>
  <c r="BE240" i="91"/>
  <c r="BE239" i="91"/>
  <c r="BE276" i="91"/>
  <c r="BE238" i="91"/>
  <c r="BE264" i="91"/>
  <c r="BE233" i="91"/>
  <c r="BE243" i="91"/>
  <c r="BE246" i="91"/>
  <c r="BE269" i="91"/>
  <c r="BE258" i="91"/>
  <c r="BE273" i="91"/>
  <c r="BE262" i="91"/>
  <c r="BE267" i="91"/>
  <c r="BE223" i="91"/>
  <c r="BE275" i="91"/>
  <c r="BE261" i="91"/>
  <c r="BE277" i="91"/>
  <c r="BE255" i="91"/>
  <c r="BE265" i="91"/>
  <c r="BE232" i="91"/>
  <c r="BE237" i="91"/>
  <c r="BE272" i="91"/>
  <c r="BE236" i="91"/>
  <c r="BE278" i="91"/>
  <c r="BE271" i="91"/>
  <c r="BE224" i="91"/>
  <c r="BE229" i="91"/>
  <c r="BE242" i="91"/>
  <c r="BE279" i="91"/>
  <c r="BE226" i="91"/>
  <c r="BE228" i="91"/>
  <c r="BE254" i="91"/>
  <c r="BE268" i="91"/>
  <c r="BE230" i="91"/>
  <c r="BE259" i="91"/>
  <c r="BE256" i="91"/>
  <c r="BE235" i="91"/>
  <c r="BE241" i="91"/>
  <c r="BE260" i="91"/>
  <c r="BE244" i="91"/>
  <c r="BE266" i="91"/>
  <c r="BE270" i="91"/>
  <c r="BE245" i="91"/>
  <c r="BE227" i="91"/>
  <c r="BD288" i="91"/>
  <c r="BD285" i="91"/>
  <c r="BD289" i="91"/>
  <c r="BD290" i="91"/>
  <c r="BD286" i="91"/>
  <c r="BD287" i="91"/>
  <c r="BE290" i="91"/>
  <c r="BE289" i="91"/>
  <c r="BE288" i="91"/>
  <c r="BE287" i="91"/>
  <c r="BE286" i="91"/>
  <c r="BE285" i="91"/>
  <c r="BF221" i="91"/>
  <c r="U291" i="91"/>
  <c r="V291" i="91"/>
  <c r="W291" i="91"/>
  <c r="X291" i="91"/>
  <c r="Y291" i="91"/>
  <c r="Z291" i="91"/>
  <c r="AA291" i="91"/>
  <c r="AB291" i="91"/>
  <c r="AC291" i="91"/>
  <c r="AD291" i="91"/>
  <c r="AE291" i="91"/>
  <c r="AF291" i="91"/>
  <c r="AG291" i="91"/>
  <c r="AH291" i="91"/>
  <c r="AI291" i="91"/>
  <c r="AJ291" i="91"/>
  <c r="AK291" i="91"/>
  <c r="AL291" i="91"/>
  <c r="AM291" i="91"/>
  <c r="AN291" i="91"/>
  <c r="AO291" i="91"/>
  <c r="AP291" i="91"/>
  <c r="AQ291" i="91"/>
  <c r="AR291" i="91"/>
  <c r="AT291" i="91"/>
  <c r="AU291" i="91"/>
  <c r="AV291" i="91"/>
  <c r="AW291" i="91"/>
  <c r="AY291" i="91"/>
  <c r="AZ291" i="91"/>
  <c r="BA291" i="91"/>
  <c r="BB291" i="91"/>
  <c r="BC291" i="91"/>
  <c r="BD291" i="91"/>
  <c r="BE291" i="91"/>
  <c r="A292" i="91"/>
  <c r="G292" i="91"/>
  <c r="H292" i="91"/>
  <c r="M292" i="91"/>
  <c r="N292" i="91"/>
  <c r="P292" i="91"/>
  <c r="K292" i="91"/>
  <c r="O292" i="91"/>
  <c r="L292" i="91"/>
  <c r="BF257" i="91"/>
  <c r="BF269" i="91"/>
  <c r="BF245" i="91"/>
  <c r="BF267" i="91"/>
  <c r="BF268" i="91"/>
  <c r="BF239" i="91"/>
  <c r="BF233" i="91"/>
  <c r="BF246" i="91"/>
  <c r="BF258" i="91"/>
  <c r="BF231" i="91"/>
  <c r="BF240" i="91"/>
  <c r="BF227" i="91"/>
  <c r="BF241" i="91"/>
  <c r="BF234" i="91"/>
  <c r="BF255" i="91"/>
  <c r="BF265" i="91"/>
  <c r="BF244" i="91"/>
  <c r="BF254" i="91"/>
  <c r="BF275" i="91"/>
  <c r="BF235" i="91"/>
  <c r="BF226" i="91"/>
  <c r="BF232" i="91"/>
  <c r="BF243" i="91"/>
  <c r="BF262" i="91"/>
  <c r="BF276" i="91"/>
  <c r="BF260" i="91"/>
  <c r="BF277" i="91"/>
  <c r="BG221" i="91"/>
  <c r="U292" i="91"/>
  <c r="V292" i="91"/>
  <c r="W292" i="91"/>
  <c r="X292" i="91"/>
  <c r="Y292" i="91"/>
  <c r="Z292" i="91"/>
  <c r="AA292" i="91"/>
  <c r="AB292" i="91"/>
  <c r="AC292" i="91"/>
  <c r="AD292" i="91"/>
  <c r="AE292" i="91"/>
  <c r="AF292" i="91"/>
  <c r="AG292" i="91"/>
  <c r="AH292" i="91"/>
  <c r="AI292" i="91"/>
  <c r="AJ292" i="91"/>
  <c r="AK292" i="91"/>
  <c r="AL292" i="91"/>
  <c r="AM292" i="91"/>
  <c r="AN292" i="91"/>
  <c r="AO292" i="91"/>
  <c r="AP292" i="91"/>
  <c r="AQ292" i="91"/>
  <c r="AR292" i="91"/>
  <c r="AT292" i="91"/>
  <c r="AU292" i="91"/>
  <c r="AV292" i="91"/>
  <c r="AW292" i="91"/>
  <c r="AY292" i="91"/>
  <c r="AZ292" i="91"/>
  <c r="BA292" i="91"/>
  <c r="BB292" i="91"/>
  <c r="BC292" i="91"/>
  <c r="BD292" i="91"/>
  <c r="BE292" i="91"/>
  <c r="A293" i="91"/>
  <c r="G293" i="91"/>
  <c r="K293" i="91"/>
  <c r="H293" i="91"/>
  <c r="M293" i="91"/>
  <c r="O293" i="91"/>
  <c r="N293" i="91"/>
  <c r="P293" i="91"/>
  <c r="BG270" i="91"/>
  <c r="BF270" i="91"/>
  <c r="BF247" i="91"/>
  <c r="BF236" i="91"/>
  <c r="BF256" i="91"/>
  <c r="BF259" i="91"/>
  <c r="BF230" i="91"/>
  <c r="BG255" i="91"/>
  <c r="BG239" i="91"/>
  <c r="BG273" i="91"/>
  <c r="BG223" i="91"/>
  <c r="BG262" i="91"/>
  <c r="BG231" i="91"/>
  <c r="BG265" i="91"/>
  <c r="BG227" i="91"/>
  <c r="BG272" i="91"/>
  <c r="BG258" i="91"/>
  <c r="BG235" i="91"/>
  <c r="BG264" i="91"/>
  <c r="BG269" i="91"/>
  <c r="BF238" i="91"/>
  <c r="BF263" i="91"/>
  <c r="BF224" i="91"/>
  <c r="BF266" i="91"/>
  <c r="BF278" i="91"/>
  <c r="BF228" i="91"/>
  <c r="BG247" i="91"/>
  <c r="BG263" i="91"/>
  <c r="BG236" i="91"/>
  <c r="BG245" i="91"/>
  <c r="BG225" i="91"/>
  <c r="BG228" i="91"/>
  <c r="BG240" i="91"/>
  <c r="BG259" i="91"/>
  <c r="BG277" i="91"/>
  <c r="BG267" i="91"/>
  <c r="BG261" i="91"/>
  <c r="BG234" i="91"/>
  <c r="BF237" i="91"/>
  <c r="BF229" i="91"/>
  <c r="BF273" i="91"/>
  <c r="BF272" i="91"/>
  <c r="BF264" i="91"/>
  <c r="BF261" i="91"/>
  <c r="BG242" i="91"/>
  <c r="BG226" i="91"/>
  <c r="BG274" i="91"/>
  <c r="BG257" i="91"/>
  <c r="BG254" i="91"/>
  <c r="BG229" i="91"/>
  <c r="BG248" i="91"/>
  <c r="BG224" i="91"/>
  <c r="BG279" i="91"/>
  <c r="BG256" i="91"/>
  <c r="BG233" i="91"/>
  <c r="BG246" i="91"/>
  <c r="BG243" i="91"/>
  <c r="BF242" i="91"/>
  <c r="BF271" i="91"/>
  <c r="BF274" i="91"/>
  <c r="BF279" i="91"/>
  <c r="BF223" i="91"/>
  <c r="BF248" i="91"/>
  <c r="BF225" i="91"/>
  <c r="BG244" i="91"/>
  <c r="BG237" i="91"/>
  <c r="BG275" i="91"/>
  <c r="BG260" i="91"/>
  <c r="BG276" i="91"/>
  <c r="BG268" i="91"/>
  <c r="BG241" i="91"/>
  <c r="BG278" i="91"/>
  <c r="BG238" i="91"/>
  <c r="BG232" i="91"/>
  <c r="BG230" i="91"/>
  <c r="BG266" i="91"/>
  <c r="BG271" i="91"/>
  <c r="L293" i="91"/>
  <c r="BF285" i="91"/>
  <c r="BF291" i="91"/>
  <c r="BF288" i="91"/>
  <c r="BF289" i="91"/>
  <c r="BF286" i="91"/>
  <c r="BF292" i="91"/>
  <c r="BF290" i="91"/>
  <c r="BF287" i="91"/>
  <c r="BG291" i="91"/>
  <c r="BG288" i="91"/>
  <c r="BG285" i="91"/>
  <c r="BH221" i="91"/>
  <c r="U293" i="91"/>
  <c r="V293" i="91"/>
  <c r="W293" i="91"/>
  <c r="X293" i="91"/>
  <c r="Y293" i="91"/>
  <c r="Z293" i="91"/>
  <c r="AA293" i="91"/>
  <c r="AB293" i="91"/>
  <c r="AC293" i="91"/>
  <c r="AD293" i="91"/>
  <c r="AE293" i="91"/>
  <c r="AF293" i="91"/>
  <c r="AG293" i="91"/>
  <c r="AH293" i="91"/>
  <c r="AI293" i="91"/>
  <c r="AJ293" i="91"/>
  <c r="AK293" i="91"/>
  <c r="AL293" i="91"/>
  <c r="AM293" i="91"/>
  <c r="AN293" i="91"/>
  <c r="AO293" i="91"/>
  <c r="AP293" i="91"/>
  <c r="AQ293" i="91"/>
  <c r="AR293" i="91"/>
  <c r="AT293" i="91"/>
  <c r="AU293" i="91"/>
  <c r="AV293" i="91"/>
  <c r="AW293" i="91"/>
  <c r="AY293" i="91"/>
  <c r="AZ293" i="91"/>
  <c r="BA293" i="91"/>
  <c r="BB293" i="91"/>
  <c r="BC293" i="91"/>
  <c r="BD293" i="91"/>
  <c r="BE293" i="91"/>
  <c r="BF293" i="91"/>
  <c r="BG293" i="91"/>
  <c r="A294" i="91"/>
  <c r="G294" i="91"/>
  <c r="H294" i="91"/>
  <c r="K294" i="91"/>
  <c r="O294" i="91"/>
  <c r="P294" i="91"/>
  <c r="L294" i="91"/>
  <c r="N294" i="91"/>
  <c r="M294" i="91"/>
  <c r="BH278" i="91"/>
  <c r="BH246" i="91"/>
  <c r="BH242" i="91"/>
  <c r="BH224" i="91"/>
  <c r="BH247" i="91"/>
  <c r="BH245" i="91"/>
  <c r="BH237" i="91"/>
  <c r="BH273" i="91"/>
  <c r="BH271" i="91"/>
  <c r="BH269" i="91"/>
  <c r="BH277" i="91"/>
  <c r="BH274" i="91"/>
  <c r="BH256" i="91"/>
  <c r="BH264" i="91"/>
  <c r="BH241" i="91"/>
  <c r="BH268" i="91"/>
  <c r="BH233" i="91"/>
  <c r="BH232" i="91"/>
  <c r="BH255" i="91"/>
  <c r="BH238" i="91"/>
  <c r="BH234" i="91"/>
  <c r="BH235" i="91"/>
  <c r="BH261" i="91"/>
  <c r="BH231" i="91"/>
  <c r="BH239" i="91"/>
  <c r="BH243" i="91"/>
  <c r="BH259" i="91"/>
  <c r="BG292" i="91"/>
  <c r="BG287" i="91"/>
  <c r="BG290" i="91"/>
  <c r="BG289" i="91"/>
  <c r="BG286" i="91"/>
  <c r="BI221" i="91"/>
  <c r="U294" i="91"/>
  <c r="V294" i="91"/>
  <c r="W294" i="91"/>
  <c r="X294" i="91"/>
  <c r="Y294" i="91"/>
  <c r="Z294" i="91"/>
  <c r="AA294" i="91"/>
  <c r="AB294" i="91"/>
  <c r="AC294" i="91"/>
  <c r="AD294" i="91"/>
  <c r="AE294" i="91"/>
  <c r="AF294" i="91"/>
  <c r="AG294" i="91"/>
  <c r="AH294" i="91"/>
  <c r="AI294" i="91"/>
  <c r="AJ294" i="91"/>
  <c r="AK294" i="91"/>
  <c r="AL294" i="91"/>
  <c r="AM294" i="91"/>
  <c r="AN294" i="91"/>
  <c r="AO294" i="91"/>
  <c r="AP294" i="91"/>
  <c r="AQ294" i="91"/>
  <c r="AR294" i="91"/>
  <c r="AT294" i="91"/>
  <c r="AU294" i="91"/>
  <c r="AV294" i="91"/>
  <c r="AW294" i="91"/>
  <c r="AY294" i="91"/>
  <c r="AZ294" i="91"/>
  <c r="BA294" i="91"/>
  <c r="BB294" i="91"/>
  <c r="BC294" i="91"/>
  <c r="BD294" i="91"/>
  <c r="BE294" i="91"/>
  <c r="BF294" i="91"/>
  <c r="BG294" i="91"/>
  <c r="A295" i="91"/>
  <c r="G295" i="91"/>
  <c r="H295" i="91"/>
  <c r="K295" i="91"/>
  <c r="L295" i="91"/>
  <c r="P295" i="91"/>
  <c r="M295" i="91"/>
  <c r="O295" i="91"/>
  <c r="N295" i="91"/>
  <c r="BI278" i="91"/>
  <c r="BH258" i="91"/>
  <c r="BH229" i="91"/>
  <c r="BH279" i="91"/>
  <c r="BH227" i="91"/>
  <c r="BH270" i="91"/>
  <c r="BH275" i="91"/>
  <c r="BH254" i="91"/>
  <c r="BH236" i="91"/>
  <c r="BH223" i="91"/>
  <c r="BH225" i="91"/>
  <c r="BH262" i="91"/>
  <c r="BH266" i="91"/>
  <c r="BI279" i="91"/>
  <c r="BI271" i="91"/>
  <c r="BI255" i="91"/>
  <c r="BI227" i="91"/>
  <c r="BI257" i="91"/>
  <c r="BI248" i="91"/>
  <c r="BI266" i="91"/>
  <c r="BI242" i="91"/>
  <c r="BI223" i="91"/>
  <c r="BH265" i="91"/>
  <c r="BH260" i="91"/>
  <c r="BH230" i="91"/>
  <c r="BH240" i="91"/>
  <c r="BH228" i="91"/>
  <c r="BH276" i="91"/>
  <c r="BH248" i="91"/>
  <c r="BH272" i="91"/>
  <c r="BH244" i="91"/>
  <c r="BH263" i="91"/>
  <c r="BH226" i="91"/>
  <c r="BH257" i="91"/>
  <c r="BH267" i="91"/>
  <c r="BI234" i="91"/>
  <c r="BI229" i="91"/>
  <c r="BI246" i="91"/>
  <c r="BI270" i="91"/>
  <c r="BI264" i="91"/>
  <c r="BI256" i="91"/>
  <c r="BI224" i="91"/>
  <c r="BI267" i="91"/>
  <c r="BI274" i="91"/>
  <c r="BI254" i="91"/>
  <c r="BI225" i="91"/>
  <c r="BI228" i="91"/>
  <c r="BI237" i="91"/>
  <c r="BI231" i="91"/>
  <c r="BI232" i="91"/>
  <c r="BI269" i="91"/>
  <c r="BI260" i="91"/>
  <c r="BH294" i="91"/>
  <c r="BH291" i="91"/>
  <c r="BH292" i="91"/>
  <c r="BH285" i="91"/>
  <c r="BH289" i="91"/>
  <c r="BH288" i="91"/>
  <c r="BH286" i="91"/>
  <c r="BH293" i="91"/>
  <c r="BH290" i="91"/>
  <c r="BH287" i="91"/>
  <c r="BI291" i="91"/>
  <c r="BJ221" i="91"/>
  <c r="U295" i="91"/>
  <c r="V295" i="91"/>
  <c r="W295" i="91"/>
  <c r="X295" i="91"/>
  <c r="Y295" i="91"/>
  <c r="Z295" i="91"/>
  <c r="AA295" i="91"/>
  <c r="AB295" i="91"/>
  <c r="AC295" i="91"/>
  <c r="AD295" i="91"/>
  <c r="AE295" i="91"/>
  <c r="AF295" i="91"/>
  <c r="AG295" i="91"/>
  <c r="AH295" i="91"/>
  <c r="AI295" i="91"/>
  <c r="AJ295" i="91"/>
  <c r="AK295" i="91"/>
  <c r="AL295" i="91"/>
  <c r="AM295" i="91"/>
  <c r="AN295" i="91"/>
  <c r="AO295" i="91"/>
  <c r="AP295" i="91"/>
  <c r="AQ295" i="91"/>
  <c r="AR295" i="91"/>
  <c r="AT295" i="91"/>
  <c r="AU295" i="91"/>
  <c r="AV295" i="91"/>
  <c r="AW295" i="91"/>
  <c r="AY295" i="91"/>
  <c r="AZ295" i="91"/>
  <c r="BA295" i="91"/>
  <c r="BB295" i="91"/>
  <c r="BC295" i="91"/>
  <c r="BD295" i="91"/>
  <c r="BE295" i="91"/>
  <c r="BF295" i="91"/>
  <c r="BG295" i="91"/>
  <c r="BH295" i="91"/>
  <c r="A296" i="91"/>
  <c r="G296" i="91"/>
  <c r="H296" i="91"/>
  <c r="K296" i="91"/>
  <c r="L296" i="91"/>
  <c r="M296" i="91"/>
  <c r="N296" i="91"/>
  <c r="O296" i="91"/>
  <c r="P296" i="91"/>
  <c r="U296" i="91"/>
  <c r="V296" i="91"/>
  <c r="W296" i="91"/>
  <c r="X296" i="91"/>
  <c r="Y296" i="91"/>
  <c r="Z296" i="91"/>
  <c r="AA296" i="91"/>
  <c r="AB296" i="91"/>
  <c r="AC296" i="91"/>
  <c r="AD296" i="91"/>
  <c r="AE296" i="91"/>
  <c r="AF296" i="91"/>
  <c r="AG296" i="91"/>
  <c r="AH296" i="91"/>
  <c r="AI296" i="91"/>
  <c r="AJ296" i="91"/>
  <c r="AK296" i="91"/>
  <c r="AL296" i="91"/>
  <c r="AM296" i="91"/>
  <c r="AN296" i="91"/>
  <c r="AO296" i="91"/>
  <c r="AP296" i="91"/>
  <c r="AQ296" i="91"/>
  <c r="AR296" i="91"/>
  <c r="AT296" i="91"/>
  <c r="AU296" i="91"/>
  <c r="AV296" i="91"/>
  <c r="AW296" i="91"/>
  <c r="AY296" i="91"/>
  <c r="AZ296" i="91"/>
  <c r="BA296" i="91"/>
  <c r="BB296" i="91"/>
  <c r="BC296" i="91"/>
  <c r="BD296" i="91"/>
  <c r="BE296" i="91"/>
  <c r="BF296" i="91"/>
  <c r="BG296" i="91"/>
  <c r="BH296" i="91"/>
  <c r="A297" i="91"/>
  <c r="G297" i="91"/>
  <c r="H297" i="91"/>
  <c r="K297" i="91"/>
  <c r="L297" i="91"/>
  <c r="M297" i="91"/>
  <c r="N297" i="91"/>
  <c r="O297" i="91"/>
  <c r="P297" i="91"/>
  <c r="U297" i="91"/>
  <c r="V297" i="91"/>
  <c r="W297" i="91"/>
  <c r="X297" i="91"/>
  <c r="Y297" i="91"/>
  <c r="Z297" i="91"/>
  <c r="AA297" i="91"/>
  <c r="AB297" i="91"/>
  <c r="AC297" i="91"/>
  <c r="AD297" i="91"/>
  <c r="AE297" i="91"/>
  <c r="AF297" i="91"/>
  <c r="AG297" i="91"/>
  <c r="AH297" i="91"/>
  <c r="AI297" i="91"/>
  <c r="AJ297" i="91"/>
  <c r="AK297" i="91"/>
  <c r="AL297" i="91"/>
  <c r="AM297" i="91"/>
  <c r="AN297" i="91"/>
  <c r="AO297" i="91"/>
  <c r="AP297" i="91"/>
  <c r="AQ297" i="91"/>
  <c r="AR297" i="91"/>
  <c r="AT297" i="91"/>
  <c r="AU297" i="91"/>
  <c r="AV297" i="91"/>
  <c r="AW297" i="91"/>
  <c r="AY297" i="91"/>
  <c r="AZ297" i="91"/>
  <c r="BA297" i="91"/>
  <c r="BB297" i="91"/>
  <c r="BC297" i="91"/>
  <c r="BD297" i="91"/>
  <c r="BE297" i="91"/>
  <c r="BF297" i="91"/>
  <c r="BG297" i="91"/>
  <c r="BH297" i="91"/>
  <c r="A298" i="91"/>
  <c r="G298" i="91"/>
  <c r="H298" i="91"/>
  <c r="K298" i="91"/>
  <c r="L298" i="91"/>
  <c r="M298" i="91"/>
  <c r="N298" i="91"/>
  <c r="O298" i="91"/>
  <c r="P298" i="91"/>
  <c r="U298" i="91"/>
  <c r="V298" i="91"/>
  <c r="W298" i="91"/>
  <c r="X298" i="91"/>
  <c r="Y298" i="91"/>
  <c r="Z298" i="91"/>
  <c r="AA298" i="91"/>
  <c r="AB298" i="91"/>
  <c r="AC298" i="91"/>
  <c r="AD298" i="91"/>
  <c r="AE298" i="91"/>
  <c r="AF298" i="91"/>
  <c r="AG298" i="91"/>
  <c r="AH298" i="91"/>
  <c r="AI298" i="91"/>
  <c r="AJ298" i="91"/>
  <c r="AK298" i="91"/>
  <c r="AL298" i="91"/>
  <c r="AM298" i="91"/>
  <c r="AN298" i="91"/>
  <c r="AO298" i="91"/>
  <c r="AP298" i="91"/>
  <c r="AQ298" i="91"/>
  <c r="AR298" i="91"/>
  <c r="AT298" i="91"/>
  <c r="AU298" i="91"/>
  <c r="AV298" i="91"/>
  <c r="AW298" i="91"/>
  <c r="AY298" i="91"/>
  <c r="AZ298" i="91"/>
  <c r="BA298" i="91"/>
  <c r="BB298" i="91"/>
  <c r="BC298" i="91"/>
  <c r="BD298" i="91"/>
  <c r="BE298" i="91"/>
  <c r="BF298" i="91"/>
  <c r="BG298" i="91"/>
  <c r="BH298" i="91"/>
  <c r="A299" i="91"/>
  <c r="G299" i="91"/>
  <c r="H299" i="91"/>
  <c r="K299" i="91"/>
  <c r="L299" i="91"/>
  <c r="M299" i="91"/>
  <c r="N299" i="91"/>
  <c r="O299" i="91"/>
  <c r="P299" i="91"/>
  <c r="U299" i="91"/>
  <c r="V299" i="91"/>
  <c r="W299" i="91"/>
  <c r="X299" i="91"/>
  <c r="Y299" i="91"/>
  <c r="Z299" i="91"/>
  <c r="AA299" i="91"/>
  <c r="AB299" i="91"/>
  <c r="AC299" i="91"/>
  <c r="AD299" i="91"/>
  <c r="AE299" i="91"/>
  <c r="AF299" i="91"/>
  <c r="AG299" i="91"/>
  <c r="AH299" i="91"/>
  <c r="AI299" i="91"/>
  <c r="AJ299" i="91"/>
  <c r="AK299" i="91"/>
  <c r="AL299" i="91"/>
  <c r="AM299" i="91"/>
  <c r="AN299" i="91"/>
  <c r="AO299" i="91"/>
  <c r="AP299" i="91"/>
  <c r="AQ299" i="91"/>
  <c r="AR299" i="91"/>
  <c r="AT299" i="91"/>
  <c r="AU299" i="91"/>
  <c r="AV299" i="91"/>
  <c r="AW299" i="91"/>
  <c r="AY299" i="91"/>
  <c r="AZ299" i="91"/>
  <c r="BA299" i="91"/>
  <c r="BB299" i="91"/>
  <c r="BC299" i="91"/>
  <c r="BD299" i="91"/>
  <c r="BE299" i="91"/>
  <c r="BF299" i="91"/>
  <c r="BG299" i="91"/>
  <c r="BH299" i="91"/>
  <c r="A300" i="91"/>
  <c r="G300" i="91"/>
  <c r="H300" i="91"/>
  <c r="K300" i="91"/>
  <c r="L300" i="91"/>
  <c r="M300" i="91"/>
  <c r="N300" i="91"/>
  <c r="O300" i="91"/>
  <c r="P300" i="91"/>
  <c r="U300" i="91"/>
  <c r="V300" i="91"/>
  <c r="W300" i="91"/>
  <c r="X300" i="91"/>
  <c r="Y300" i="91"/>
  <c r="Z300" i="91"/>
  <c r="AA300" i="91"/>
  <c r="AB300" i="91"/>
  <c r="AC300" i="91"/>
  <c r="AD300" i="91"/>
  <c r="AE300" i="91"/>
  <c r="AF300" i="91"/>
  <c r="AG300" i="91"/>
  <c r="AH300" i="91"/>
  <c r="AI300" i="91"/>
  <c r="AJ300" i="91"/>
  <c r="AK300" i="91"/>
  <c r="AL300" i="91"/>
  <c r="AM300" i="91"/>
  <c r="AN300" i="91"/>
  <c r="AO300" i="91"/>
  <c r="AP300" i="91"/>
  <c r="AQ300" i="91"/>
  <c r="AR300" i="91"/>
  <c r="AT300" i="91"/>
  <c r="AU300" i="91"/>
  <c r="AV300" i="91"/>
  <c r="AW300" i="91"/>
  <c r="AY300" i="91"/>
  <c r="AZ300" i="91"/>
  <c r="BA300" i="91"/>
  <c r="BB300" i="91"/>
  <c r="BC300" i="91"/>
  <c r="BD300" i="91"/>
  <c r="BE300" i="91"/>
  <c r="BF300" i="91"/>
  <c r="BG300" i="91"/>
  <c r="BH300" i="91"/>
  <c r="A301" i="91"/>
  <c r="G301" i="91"/>
  <c r="H301" i="91"/>
  <c r="K301" i="91"/>
  <c r="L301" i="91"/>
  <c r="M301" i="91"/>
  <c r="N301" i="91"/>
  <c r="O301" i="91"/>
  <c r="P301" i="91"/>
  <c r="U301" i="91"/>
  <c r="V301" i="91"/>
  <c r="W301" i="91"/>
  <c r="X301" i="91"/>
  <c r="Y301" i="91"/>
  <c r="Z301" i="91"/>
  <c r="AA301" i="91"/>
  <c r="AB301" i="91"/>
  <c r="AC301" i="91"/>
  <c r="AD301" i="91"/>
  <c r="AE301" i="91"/>
  <c r="AF301" i="91"/>
  <c r="AG301" i="91"/>
  <c r="AH301" i="91"/>
  <c r="AI301" i="91"/>
  <c r="AJ301" i="91"/>
  <c r="AK301" i="91"/>
  <c r="AL301" i="91"/>
  <c r="AM301" i="91"/>
  <c r="AN301" i="91"/>
  <c r="AO301" i="91"/>
  <c r="AP301" i="91"/>
  <c r="AQ301" i="91"/>
  <c r="AR301" i="91"/>
  <c r="AT301" i="91"/>
  <c r="AU301" i="91"/>
  <c r="AV301" i="91"/>
  <c r="AW301" i="91"/>
  <c r="AY301" i="91"/>
  <c r="AZ301" i="91"/>
  <c r="BA301" i="91"/>
  <c r="BB301" i="91"/>
  <c r="BC301" i="91"/>
  <c r="BD301" i="91"/>
  <c r="BE301" i="91"/>
  <c r="BF301" i="91"/>
  <c r="BG301" i="91"/>
  <c r="BH301" i="91"/>
  <c r="A302" i="91"/>
  <c r="G302" i="91"/>
  <c r="H302" i="91"/>
  <c r="K302" i="91"/>
  <c r="L302" i="91"/>
  <c r="M302" i="91"/>
  <c r="N302" i="91"/>
  <c r="O302" i="91"/>
  <c r="P302" i="91"/>
  <c r="U302" i="91"/>
  <c r="V302" i="91"/>
  <c r="W302" i="91"/>
  <c r="X302" i="91"/>
  <c r="Y302" i="91"/>
  <c r="Z302" i="91"/>
  <c r="AA302" i="91"/>
  <c r="AB302" i="91"/>
  <c r="AC302" i="91"/>
  <c r="AD302" i="91"/>
  <c r="AE302" i="91"/>
  <c r="AF302" i="91"/>
  <c r="AG302" i="91"/>
  <c r="AH302" i="91"/>
  <c r="AI302" i="91"/>
  <c r="AJ302" i="91"/>
  <c r="AK302" i="91"/>
  <c r="AL302" i="91"/>
  <c r="AM302" i="91"/>
  <c r="AN302" i="91"/>
  <c r="AO302" i="91"/>
  <c r="AP302" i="91"/>
  <c r="AQ302" i="91"/>
  <c r="AR302" i="91"/>
  <c r="AT302" i="91"/>
  <c r="AU302" i="91"/>
  <c r="AV302" i="91"/>
  <c r="AW302" i="91"/>
  <c r="AY302" i="91"/>
  <c r="AZ302" i="91"/>
  <c r="BA302" i="91"/>
  <c r="BB302" i="91"/>
  <c r="BC302" i="91"/>
  <c r="BD302" i="91"/>
  <c r="BE302" i="91"/>
  <c r="BF302" i="91"/>
  <c r="BG302" i="91"/>
  <c r="BH302" i="91"/>
  <c r="A303" i="91"/>
  <c r="G303" i="91"/>
  <c r="H303" i="91"/>
  <c r="K303" i="91"/>
  <c r="L303" i="91"/>
  <c r="M303" i="91"/>
  <c r="N303" i="91"/>
  <c r="O303" i="91"/>
  <c r="P303" i="91"/>
  <c r="U303" i="91"/>
  <c r="V303" i="91"/>
  <c r="W303" i="91"/>
  <c r="X303" i="91"/>
  <c r="Y303" i="91"/>
  <c r="Z303" i="91"/>
  <c r="AA303" i="91"/>
  <c r="AB303" i="91"/>
  <c r="AC303" i="91"/>
  <c r="AD303" i="91"/>
  <c r="AE303" i="91"/>
  <c r="AF303" i="91"/>
  <c r="AG303" i="91"/>
  <c r="AH303" i="91"/>
  <c r="AI303" i="91"/>
  <c r="AJ303" i="91"/>
  <c r="AK303" i="91"/>
  <c r="AL303" i="91"/>
  <c r="AM303" i="91"/>
  <c r="AN303" i="91"/>
  <c r="AO303" i="91"/>
  <c r="AP303" i="91"/>
  <c r="AQ303" i="91"/>
  <c r="AR303" i="91"/>
  <c r="AT303" i="91"/>
  <c r="AU303" i="91"/>
  <c r="AV303" i="91"/>
  <c r="AW303" i="91"/>
  <c r="AY303" i="91"/>
  <c r="AZ303" i="91"/>
  <c r="BA303" i="91"/>
  <c r="BB303" i="91"/>
  <c r="BC303" i="91"/>
  <c r="BD303" i="91"/>
  <c r="BE303" i="91"/>
  <c r="BF303" i="91"/>
  <c r="BG303" i="91"/>
  <c r="BH303" i="91"/>
  <c r="A304" i="91"/>
  <c r="G304" i="91"/>
  <c r="H304" i="91"/>
  <c r="K304" i="91"/>
  <c r="L304" i="91"/>
  <c r="M304" i="91"/>
  <c r="N304" i="91"/>
  <c r="O304" i="91"/>
  <c r="P304" i="91"/>
  <c r="U304" i="91"/>
  <c r="V304" i="91"/>
  <c r="W304" i="91"/>
  <c r="X304" i="91"/>
  <c r="Y304" i="91"/>
  <c r="Z304" i="91"/>
  <c r="AA304" i="91"/>
  <c r="AB304" i="91"/>
  <c r="AC304" i="91"/>
  <c r="AD304" i="91"/>
  <c r="AE304" i="91"/>
  <c r="AF304" i="91"/>
  <c r="AG304" i="91"/>
  <c r="AH304" i="91"/>
  <c r="AI304" i="91"/>
  <c r="AJ304" i="91"/>
  <c r="AK304" i="91"/>
  <c r="AL304" i="91"/>
  <c r="AM304" i="91"/>
  <c r="AN304" i="91"/>
  <c r="AO304" i="91"/>
  <c r="AP304" i="91"/>
  <c r="AQ304" i="91"/>
  <c r="AR304" i="91"/>
  <c r="AT304" i="91"/>
  <c r="AU304" i="91"/>
  <c r="AV304" i="91"/>
  <c r="AW304" i="91"/>
  <c r="AY304" i="91"/>
  <c r="AZ304" i="91"/>
  <c r="BA304" i="91"/>
  <c r="BB304" i="91"/>
  <c r="BC304" i="91"/>
  <c r="BD304" i="91"/>
  <c r="BE304" i="91"/>
  <c r="BF304" i="91"/>
  <c r="BG304" i="91"/>
  <c r="BH304" i="91"/>
  <c r="A305" i="91"/>
  <c r="G305" i="91"/>
  <c r="H305" i="91"/>
  <c r="K305" i="91"/>
  <c r="L305" i="91"/>
  <c r="M305" i="91"/>
  <c r="N305" i="91"/>
  <c r="O305" i="91"/>
  <c r="P305" i="91"/>
  <c r="U305" i="91"/>
  <c r="V305" i="91"/>
  <c r="W305" i="91"/>
  <c r="X305" i="91"/>
  <c r="Y305" i="91"/>
  <c r="Z305" i="91"/>
  <c r="AA305" i="91"/>
  <c r="AB305" i="91"/>
  <c r="AC305" i="91"/>
  <c r="AD305" i="91"/>
  <c r="AE305" i="91"/>
  <c r="AF305" i="91"/>
  <c r="AG305" i="91"/>
  <c r="AH305" i="91"/>
  <c r="AI305" i="91"/>
  <c r="AJ305" i="91"/>
  <c r="AK305" i="91"/>
  <c r="AL305" i="91"/>
  <c r="AM305" i="91"/>
  <c r="AN305" i="91"/>
  <c r="AO305" i="91"/>
  <c r="AP305" i="91"/>
  <c r="AQ305" i="91"/>
  <c r="AR305" i="91"/>
  <c r="AT305" i="91"/>
  <c r="AU305" i="91"/>
  <c r="AV305" i="91"/>
  <c r="AW305" i="91"/>
  <c r="AY305" i="91"/>
  <c r="AZ305" i="91"/>
  <c r="BA305" i="91"/>
  <c r="BB305" i="91"/>
  <c r="BC305" i="91"/>
  <c r="BD305" i="91"/>
  <c r="BE305" i="91"/>
  <c r="BF305" i="91"/>
  <c r="BG305" i="91"/>
  <c r="BH305" i="91"/>
  <c r="A306" i="91"/>
  <c r="G306" i="91"/>
  <c r="H306" i="91"/>
  <c r="K306" i="91"/>
  <c r="L306" i="91"/>
  <c r="M306" i="91"/>
  <c r="N306" i="91"/>
  <c r="O306" i="91"/>
  <c r="P306" i="91"/>
  <c r="U306" i="91"/>
  <c r="V306" i="91"/>
  <c r="W306" i="91"/>
  <c r="X306" i="91"/>
  <c r="Y306" i="91"/>
  <c r="Z306" i="91"/>
  <c r="AA306" i="91"/>
  <c r="AB306" i="91"/>
  <c r="AC306" i="91"/>
  <c r="AD306" i="91"/>
  <c r="AE306" i="91"/>
  <c r="AF306" i="91"/>
  <c r="AG306" i="91"/>
  <c r="AH306" i="91"/>
  <c r="AI306" i="91"/>
  <c r="AJ306" i="91"/>
  <c r="AK306" i="91"/>
  <c r="AL306" i="91"/>
  <c r="AM306" i="91"/>
  <c r="AN306" i="91"/>
  <c r="AO306" i="91"/>
  <c r="AP306" i="91"/>
  <c r="AQ306" i="91"/>
  <c r="AR306" i="91"/>
  <c r="AT306" i="91"/>
  <c r="AU306" i="91"/>
  <c r="AV306" i="91"/>
  <c r="AW306" i="91"/>
  <c r="AY306" i="91"/>
  <c r="AZ306" i="91"/>
  <c r="BA306" i="91"/>
  <c r="BB306" i="91"/>
  <c r="BC306" i="91"/>
  <c r="BD306" i="91"/>
  <c r="BE306" i="91"/>
  <c r="BF306" i="91"/>
  <c r="BG306" i="91"/>
  <c r="BH306" i="91"/>
  <c r="A307" i="91"/>
  <c r="G307" i="91"/>
  <c r="H307" i="91"/>
  <c r="K307" i="91"/>
  <c r="L307" i="91"/>
  <c r="M307" i="91"/>
  <c r="N307" i="91"/>
  <c r="O307" i="91"/>
  <c r="P307" i="91"/>
  <c r="U307" i="91"/>
  <c r="V307" i="91"/>
  <c r="W307" i="91"/>
  <c r="X307" i="91"/>
  <c r="Y307" i="91"/>
  <c r="Z307" i="91"/>
  <c r="AA307" i="91"/>
  <c r="AB307" i="91"/>
  <c r="AC307" i="91"/>
  <c r="AD307" i="91"/>
  <c r="AE307" i="91"/>
  <c r="AF307" i="91"/>
  <c r="AG307" i="91"/>
  <c r="AH307" i="91"/>
  <c r="AI307" i="91"/>
  <c r="AJ307" i="91"/>
  <c r="AK307" i="91"/>
  <c r="AL307" i="91"/>
  <c r="AM307" i="91"/>
  <c r="AN307" i="91"/>
  <c r="AO307" i="91"/>
  <c r="AP307" i="91"/>
  <c r="AQ307" i="91"/>
  <c r="AR307" i="91"/>
  <c r="AT307" i="91"/>
  <c r="AU307" i="91"/>
  <c r="AV307" i="91"/>
  <c r="AW307" i="91"/>
  <c r="AY307" i="91"/>
  <c r="AZ307" i="91"/>
  <c r="BA307" i="91"/>
  <c r="BB307" i="91"/>
  <c r="BC307" i="91"/>
  <c r="BD307" i="91"/>
  <c r="BE307" i="91"/>
  <c r="BF307" i="91"/>
  <c r="BG307" i="91"/>
  <c r="BH307" i="91"/>
  <c r="A308" i="91"/>
  <c r="G308" i="91"/>
  <c r="H308" i="91"/>
  <c r="K308" i="91"/>
  <c r="L308" i="91"/>
  <c r="M308" i="91"/>
  <c r="N308" i="91"/>
  <c r="O308" i="91"/>
  <c r="P308" i="91"/>
  <c r="U308" i="91"/>
  <c r="V308" i="91"/>
  <c r="W308" i="91"/>
  <c r="X308" i="91"/>
  <c r="Y308" i="91"/>
  <c r="Z308" i="91"/>
  <c r="AA308" i="91"/>
  <c r="AB308" i="91"/>
  <c r="AC308" i="91"/>
  <c r="AD308" i="91"/>
  <c r="AE308" i="91"/>
  <c r="AF308" i="91"/>
  <c r="AG308" i="91"/>
  <c r="AH308" i="91"/>
  <c r="AI308" i="91"/>
  <c r="AJ308" i="91"/>
  <c r="AK308" i="91"/>
  <c r="AL308" i="91"/>
  <c r="AM308" i="91"/>
  <c r="AN308" i="91"/>
  <c r="AO308" i="91"/>
  <c r="AP308" i="91"/>
  <c r="AQ308" i="91"/>
  <c r="AR308" i="91"/>
  <c r="AT308" i="91"/>
  <c r="AU308" i="91"/>
  <c r="AV308" i="91"/>
  <c r="AW308" i="91"/>
  <c r="AY308" i="91"/>
  <c r="AZ308" i="91"/>
  <c r="BA308" i="91"/>
  <c r="BB308" i="91"/>
  <c r="BC308" i="91"/>
  <c r="BD308" i="91"/>
  <c r="BE308" i="91"/>
  <c r="BF308" i="91"/>
  <c r="BG308" i="91"/>
  <c r="BH308" i="91"/>
  <c r="A309" i="91"/>
  <c r="G309" i="91"/>
  <c r="H309" i="91"/>
  <c r="K309" i="91"/>
  <c r="L309" i="91"/>
  <c r="M309" i="91"/>
  <c r="N309" i="91"/>
  <c r="O309" i="91"/>
  <c r="P309" i="91"/>
  <c r="U309" i="91"/>
  <c r="V309" i="91"/>
  <c r="W309" i="91"/>
  <c r="X309" i="91"/>
  <c r="Y309" i="91"/>
  <c r="Z309" i="91"/>
  <c r="AA309" i="91"/>
  <c r="AB309" i="91"/>
  <c r="AC309" i="91"/>
  <c r="AD309" i="91"/>
  <c r="AE309" i="91"/>
  <c r="AF309" i="91"/>
  <c r="AG309" i="91"/>
  <c r="AH309" i="91"/>
  <c r="AI309" i="91"/>
  <c r="AJ309" i="91"/>
  <c r="AK309" i="91"/>
  <c r="AL309" i="91"/>
  <c r="AM309" i="91"/>
  <c r="AN309" i="91"/>
  <c r="AO309" i="91"/>
  <c r="AP309" i="91"/>
  <c r="AQ309" i="91"/>
  <c r="AR309" i="91"/>
  <c r="AT309" i="91"/>
  <c r="AU309" i="91"/>
  <c r="AV309" i="91"/>
  <c r="AW309" i="91"/>
  <c r="AY309" i="91"/>
  <c r="AZ309" i="91"/>
  <c r="BA309" i="91"/>
  <c r="BB309" i="91"/>
  <c r="BC309" i="91"/>
  <c r="BD309" i="91"/>
  <c r="BE309" i="91"/>
  <c r="BF309" i="91"/>
  <c r="BG309" i="91"/>
  <c r="BH309" i="91"/>
  <c r="A310" i="91"/>
  <c r="G310" i="91"/>
  <c r="H310" i="91"/>
  <c r="K310" i="91"/>
  <c r="K311" i="91"/>
  <c r="L310" i="91"/>
  <c r="M310" i="91"/>
  <c r="N310" i="91"/>
  <c r="O310" i="91"/>
  <c r="O311" i="91"/>
  <c r="P310" i="91"/>
  <c r="U310" i="91"/>
  <c r="V310" i="91"/>
  <c r="W310" i="91"/>
  <c r="X310" i="91"/>
  <c r="Y310" i="91"/>
  <c r="Z310" i="91"/>
  <c r="AA310" i="91"/>
  <c r="AB310" i="91"/>
  <c r="AC310" i="91"/>
  <c r="AD310" i="91"/>
  <c r="AE310" i="91"/>
  <c r="AF310" i="91"/>
  <c r="AG310" i="91"/>
  <c r="AH310" i="91"/>
  <c r="AI310" i="91"/>
  <c r="AJ310" i="91"/>
  <c r="AK310" i="91"/>
  <c r="AL310" i="91"/>
  <c r="AM310" i="91"/>
  <c r="AN310" i="91"/>
  <c r="AO310" i="91"/>
  <c r="AP310" i="91"/>
  <c r="AQ310" i="91"/>
  <c r="AR310" i="91"/>
  <c r="AT310" i="91"/>
  <c r="AU310" i="91"/>
  <c r="AV310" i="91"/>
  <c r="AW310" i="91"/>
  <c r="AY310" i="91"/>
  <c r="AZ310" i="91"/>
  <c r="BA310" i="91"/>
  <c r="BB310" i="91"/>
  <c r="BC310" i="91"/>
  <c r="BD310" i="91"/>
  <c r="BE310" i="91"/>
  <c r="BF310" i="91"/>
  <c r="BG310" i="91"/>
  <c r="BH310" i="91"/>
  <c r="L311" i="91"/>
  <c r="M311" i="91"/>
  <c r="N311" i="91"/>
  <c r="P311" i="91"/>
  <c r="D315" i="91"/>
  <c r="D346" i="91"/>
  <c r="H315" i="91"/>
  <c r="G316" i="91"/>
  <c r="A317" i="91"/>
  <c r="G317" i="91"/>
  <c r="H317" i="91"/>
  <c r="A318" i="91"/>
  <c r="G318" i="91"/>
  <c r="H318" i="91"/>
  <c r="A319" i="91"/>
  <c r="G319" i="91"/>
  <c r="H319" i="91"/>
  <c r="A320" i="91"/>
  <c r="G320" i="91"/>
  <c r="H320" i="91"/>
  <c r="A321" i="91"/>
  <c r="G321" i="91"/>
  <c r="H321" i="91"/>
  <c r="A322" i="91"/>
  <c r="G322" i="91"/>
  <c r="H322" i="91"/>
  <c r="A323" i="91"/>
  <c r="G323" i="91"/>
  <c r="H323" i="91"/>
  <c r="A324" i="91"/>
  <c r="G324" i="91"/>
  <c r="H324" i="91"/>
  <c r="A325" i="91"/>
  <c r="G325" i="91"/>
  <c r="H325" i="91"/>
  <c r="A326" i="91"/>
  <c r="G326" i="91"/>
  <c r="H326" i="91"/>
  <c r="A327" i="91"/>
  <c r="G327" i="91"/>
  <c r="H327" i="91"/>
  <c r="A328" i="91"/>
  <c r="G328" i="91"/>
  <c r="H328" i="91"/>
  <c r="A329" i="91"/>
  <c r="G329" i="91"/>
  <c r="H329" i="91"/>
  <c r="A330" i="91"/>
  <c r="G330" i="91"/>
  <c r="H330" i="91"/>
  <c r="A331" i="91"/>
  <c r="G331" i="91"/>
  <c r="H331" i="91"/>
  <c r="A332" i="91"/>
  <c r="G332" i="91"/>
  <c r="H332" i="91"/>
  <c r="A333" i="91"/>
  <c r="G333" i="91"/>
  <c r="H333" i="91"/>
  <c r="A334" i="91"/>
  <c r="G334" i="91"/>
  <c r="H334" i="91"/>
  <c r="A335" i="91"/>
  <c r="G335" i="91"/>
  <c r="H335" i="91"/>
  <c r="A336" i="91"/>
  <c r="G336" i="91"/>
  <c r="H336" i="91"/>
  <c r="A337" i="91"/>
  <c r="G337" i="91"/>
  <c r="H337" i="91"/>
  <c r="A338" i="91"/>
  <c r="G338" i="91"/>
  <c r="H338" i="91"/>
  <c r="A339" i="91"/>
  <c r="G339" i="91"/>
  <c r="H339" i="91"/>
  <c r="A340" i="91"/>
  <c r="G340" i="91"/>
  <c r="H340" i="91"/>
  <c r="A341" i="91"/>
  <c r="G341" i="91"/>
  <c r="H341" i="91"/>
  <c r="G347" i="91"/>
  <c r="A348" i="91"/>
  <c r="G348" i="91"/>
  <c r="H348" i="91"/>
  <c r="N348" i="91"/>
  <c r="M348" i="91"/>
  <c r="K348" i="91"/>
  <c r="O348" i="91"/>
  <c r="L348" i="91"/>
  <c r="P348" i="91"/>
  <c r="BI236" i="91"/>
  <c r="BI230" i="91"/>
  <c r="BI235" i="91"/>
  <c r="BI258" i="91"/>
  <c r="BI272" i="91"/>
  <c r="BI226" i="91"/>
  <c r="BI273" i="91"/>
  <c r="BJ226" i="91"/>
  <c r="BJ243" i="91"/>
  <c r="BJ247" i="91"/>
  <c r="BJ255" i="91"/>
  <c r="BJ233" i="91"/>
  <c r="BJ225" i="91"/>
  <c r="BJ269" i="91"/>
  <c r="BJ238" i="91"/>
  <c r="BJ239" i="91"/>
  <c r="BJ257" i="91"/>
  <c r="BJ264" i="91"/>
  <c r="BJ246" i="91"/>
  <c r="BJ244" i="91"/>
  <c r="BJ270" i="91"/>
  <c r="BJ271" i="91"/>
  <c r="BJ236" i="91"/>
  <c r="BI277" i="91"/>
  <c r="BI247" i="91"/>
  <c r="BI276" i="91"/>
  <c r="BI259" i="91"/>
  <c r="BI263" i="91"/>
  <c r="BI262" i="91"/>
  <c r="BI244" i="91"/>
  <c r="BI233" i="91"/>
  <c r="BI265" i="91"/>
  <c r="BI240" i="91"/>
  <c r="BI261" i="91"/>
  <c r="BI245" i="91"/>
  <c r="BJ263" i="91"/>
  <c r="BJ258" i="91"/>
  <c r="BJ265" i="91"/>
  <c r="BJ267" i="91"/>
  <c r="BJ256" i="91"/>
  <c r="BJ248" i="91"/>
  <c r="BJ274" i="91"/>
  <c r="BJ275" i="91"/>
  <c r="BJ276" i="91"/>
  <c r="BJ237" i="91"/>
  <c r="BJ224" i="91"/>
  <c r="BJ229" i="91"/>
  <c r="BJ277" i="91"/>
  <c r="BJ279" i="91"/>
  <c r="BJ231" i="91"/>
  <c r="BJ272" i="91"/>
  <c r="BJ223" i="91"/>
  <c r="BJ245" i="91"/>
  <c r="BI239" i="91"/>
  <c r="BI275" i="91"/>
  <c r="BI243" i="91"/>
  <c r="BI241" i="91"/>
  <c r="BI238" i="91"/>
  <c r="BI268" i="91"/>
  <c r="BJ242" i="91"/>
  <c r="BJ240" i="91"/>
  <c r="BJ278" i="91"/>
  <c r="BJ266" i="91"/>
  <c r="BJ235" i="91"/>
  <c r="BJ232" i="91"/>
  <c r="BJ228" i="91"/>
  <c r="BJ259" i="91"/>
  <c r="BJ260" i="91"/>
  <c r="BJ273" i="91"/>
  <c r="BJ262" i="91"/>
  <c r="BJ268" i="91"/>
  <c r="BJ261" i="91"/>
  <c r="BJ230" i="91"/>
  <c r="BJ234" i="91"/>
  <c r="BJ254" i="91"/>
  <c r="BJ241" i="91"/>
  <c r="BJ227" i="91"/>
  <c r="BI299" i="91"/>
  <c r="BI307" i="91"/>
  <c r="BI296" i="91"/>
  <c r="BI288" i="91"/>
  <c r="BI289" i="91"/>
  <c r="BI285" i="91"/>
  <c r="BI308" i="91"/>
  <c r="BI287" i="91"/>
  <c r="BI301" i="91"/>
  <c r="BI305" i="91"/>
  <c r="BI303" i="91"/>
  <c r="BI293" i="91"/>
  <c r="BI292" i="91"/>
  <c r="BI304" i="91"/>
  <c r="BI297" i="91"/>
  <c r="BI309" i="91"/>
  <c r="BI300" i="91"/>
  <c r="BI310" i="91"/>
  <c r="BI295" i="91"/>
  <c r="BI286" i="91"/>
  <c r="BI302" i="91"/>
  <c r="BI290" i="91"/>
  <c r="BI306" i="91"/>
  <c r="BI294" i="91"/>
  <c r="BI298" i="91"/>
  <c r="BJ310" i="91"/>
  <c r="BJ309" i="91"/>
  <c r="BJ308" i="91"/>
  <c r="BJ307" i="91"/>
  <c r="BJ306" i="91"/>
  <c r="BJ305" i="91"/>
  <c r="BJ304" i="91"/>
  <c r="BJ303" i="91"/>
  <c r="BJ302" i="91"/>
  <c r="BJ301" i="91"/>
  <c r="BJ300" i="91"/>
  <c r="BJ299" i="91"/>
  <c r="BJ298" i="91"/>
  <c r="BJ297" i="91"/>
  <c r="BJ296" i="91"/>
  <c r="BJ295" i="91"/>
  <c r="BJ294" i="91"/>
  <c r="BJ293" i="91"/>
  <c r="BJ292" i="91"/>
  <c r="BJ291" i="91"/>
  <c r="BJ290" i="91"/>
  <c r="BJ289" i="91"/>
  <c r="BJ288" i="91"/>
  <c r="BJ287" i="91"/>
  <c r="BJ286" i="91"/>
  <c r="BJ285" i="91"/>
  <c r="BK221" i="91"/>
  <c r="A349" i="91"/>
  <c r="G349" i="91"/>
  <c r="H349" i="91"/>
  <c r="M349" i="91"/>
  <c r="N349" i="91"/>
  <c r="L349" i="91"/>
  <c r="K349" i="91"/>
  <c r="O349" i="91"/>
  <c r="P349" i="91"/>
  <c r="BK241" i="91"/>
  <c r="BK236" i="91"/>
  <c r="BK226" i="91"/>
  <c r="BK276" i="91"/>
  <c r="BK231" i="91"/>
  <c r="BK247" i="91"/>
  <c r="BK274" i="91"/>
  <c r="BK239" i="91"/>
  <c r="BK240" i="91"/>
  <c r="BK272" i="91"/>
  <c r="BK263" i="91"/>
  <c r="BK259" i="91"/>
  <c r="BK234" i="91"/>
  <c r="BK256" i="91"/>
  <c r="BK264" i="91"/>
  <c r="BK268" i="91"/>
  <c r="BK233" i="91"/>
  <c r="BK244" i="91"/>
  <c r="BK245" i="91"/>
  <c r="BK228" i="91"/>
  <c r="BK270" i="91"/>
  <c r="BK223" i="91"/>
  <c r="BK235" i="91"/>
  <c r="BK269" i="91"/>
  <c r="BK255" i="91"/>
  <c r="BK262" i="91"/>
  <c r="BK265" i="91"/>
  <c r="BK258" i="91"/>
  <c r="BK243" i="91"/>
  <c r="BK229" i="91"/>
  <c r="BK266" i="91"/>
  <c r="BK232" i="91"/>
  <c r="BK227" i="91"/>
  <c r="BK246" i="91"/>
  <c r="BK237" i="91"/>
  <c r="BK277" i="91"/>
  <c r="BK278" i="91"/>
  <c r="BK267" i="91"/>
  <c r="BK254" i="91"/>
  <c r="BK230" i="91"/>
  <c r="BK279" i="91"/>
  <c r="BK224" i="91"/>
  <c r="BK238" i="91"/>
  <c r="BK273" i="91"/>
  <c r="BK260" i="91"/>
  <c r="BL221" i="91"/>
  <c r="A350" i="91"/>
  <c r="G350" i="91"/>
  <c r="H350" i="91"/>
  <c r="M350" i="91"/>
  <c r="N350" i="91"/>
  <c r="K350" i="91"/>
  <c r="L350" i="91"/>
  <c r="P350" i="91"/>
  <c r="O350" i="91"/>
  <c r="BK248" i="91"/>
  <c r="BK242" i="91"/>
  <c r="BL234" i="91"/>
  <c r="BL224" i="91"/>
  <c r="BL229" i="91"/>
  <c r="BL267" i="91"/>
  <c r="BL254" i="91"/>
  <c r="BL236" i="91"/>
  <c r="BL258" i="91"/>
  <c r="BL278" i="91"/>
  <c r="BL227" i="91"/>
  <c r="BL268" i="91"/>
  <c r="BL248" i="91"/>
  <c r="BL232" i="91"/>
  <c r="BK225" i="91"/>
  <c r="BK261" i="91"/>
  <c r="BL256" i="91"/>
  <c r="BL240" i="91"/>
  <c r="BL241" i="91"/>
  <c r="BL235" i="91"/>
  <c r="BL270" i="91"/>
  <c r="BL231" i="91"/>
  <c r="BL262" i="91"/>
  <c r="BL223" i="91"/>
  <c r="BL238" i="91"/>
  <c r="BL237" i="91"/>
  <c r="BL247" i="91"/>
  <c r="BL230" i="91"/>
  <c r="BL243" i="91"/>
  <c r="BL261" i="91"/>
  <c r="BL271" i="91"/>
  <c r="BK257" i="91"/>
  <c r="BL228" i="91"/>
  <c r="BL266" i="91"/>
  <c r="BL225" i="91"/>
  <c r="BL233" i="91"/>
  <c r="BL272" i="91"/>
  <c r="BL269" i="91"/>
  <c r="BL277" i="91"/>
  <c r="BL275" i="91"/>
  <c r="BL263" i="91"/>
  <c r="BL255" i="91"/>
  <c r="BL244" i="91"/>
  <c r="BL239" i="91"/>
  <c r="BL260" i="91"/>
  <c r="BK271" i="91"/>
  <c r="BK275" i="91"/>
  <c r="BL273" i="91"/>
  <c r="BL257" i="91"/>
  <c r="BL274" i="91"/>
  <c r="BL279" i="91"/>
  <c r="BL276" i="91"/>
  <c r="BL226" i="91"/>
  <c r="BL245" i="91"/>
  <c r="BL265" i="91"/>
  <c r="BL246" i="91"/>
  <c r="BL242" i="91"/>
  <c r="BL259" i="91"/>
  <c r="BL264" i="91"/>
  <c r="BK306" i="91"/>
  <c r="BK300" i="91"/>
  <c r="BK286" i="91"/>
  <c r="BK288" i="91"/>
  <c r="BK308" i="91"/>
  <c r="BK294" i="91"/>
  <c r="BK298" i="91"/>
  <c r="BK310" i="91"/>
  <c r="BK296" i="91"/>
  <c r="BK292" i="91"/>
  <c r="BK287" i="91"/>
  <c r="BK302" i="91"/>
  <c r="BK290" i="91"/>
  <c r="BK304" i="91"/>
  <c r="BK293" i="91"/>
  <c r="BK291" i="91"/>
  <c r="BK307" i="91"/>
  <c r="BK297" i="91"/>
  <c r="BK295" i="91"/>
  <c r="BK301" i="91"/>
  <c r="BK285" i="91"/>
  <c r="BK299" i="91"/>
  <c r="BK289" i="91"/>
  <c r="BK305" i="91"/>
  <c r="BK303" i="91"/>
  <c r="BK309" i="91"/>
  <c r="BM221" i="91"/>
  <c r="A351" i="91"/>
  <c r="G351" i="91"/>
  <c r="H351" i="91"/>
  <c r="M351" i="91"/>
  <c r="N351" i="91"/>
  <c r="O351" i="91"/>
  <c r="L351" i="91"/>
  <c r="P351" i="91"/>
  <c r="K351" i="91"/>
  <c r="BM223" i="91"/>
  <c r="BM270" i="91"/>
  <c r="BM268" i="91"/>
  <c r="BM247" i="91"/>
  <c r="BM276" i="91"/>
  <c r="BM267" i="91"/>
  <c r="BM242" i="91"/>
  <c r="BL305" i="91"/>
  <c r="BL309" i="91"/>
  <c r="BL287" i="91"/>
  <c r="BL300" i="91"/>
  <c r="BL293" i="91"/>
  <c r="BL290" i="91"/>
  <c r="BL306" i="91"/>
  <c r="BL291" i="91"/>
  <c r="BL307" i="91"/>
  <c r="BL304" i="91"/>
  <c r="BL297" i="91"/>
  <c r="BL294" i="91"/>
  <c r="BL310" i="91"/>
  <c r="BL295" i="91"/>
  <c r="BL288" i="91"/>
  <c r="BL292" i="91"/>
  <c r="BL308" i="91"/>
  <c r="BL285" i="91"/>
  <c r="BL301" i="91"/>
  <c r="BL298" i="91"/>
  <c r="BL299" i="91"/>
  <c r="BL296" i="91"/>
  <c r="BL289" i="91"/>
  <c r="BL286" i="91"/>
  <c r="BL302" i="91"/>
  <c r="BL303" i="91"/>
  <c r="BN221" i="91"/>
  <c r="A352" i="91"/>
  <c r="G352" i="91"/>
  <c r="H352" i="91"/>
  <c r="L352" i="91"/>
  <c r="P352" i="91"/>
  <c r="M352" i="91"/>
  <c r="K352" i="91"/>
  <c r="N352" i="91"/>
  <c r="O352" i="91"/>
  <c r="BM232" i="91"/>
  <c r="BN254" i="91"/>
  <c r="BM235" i="91"/>
  <c r="BM246" i="91"/>
  <c r="BM273" i="91"/>
  <c r="BM239" i="91"/>
  <c r="BM277" i="91"/>
  <c r="BM248" i="91"/>
  <c r="BM237" i="91"/>
  <c r="BM261" i="91"/>
  <c r="BM256" i="91"/>
  <c r="BM241" i="91"/>
  <c r="BM228" i="91"/>
  <c r="BN241" i="91"/>
  <c r="BN262" i="91"/>
  <c r="BN263" i="91"/>
  <c r="BN234" i="91"/>
  <c r="BN236" i="91"/>
  <c r="BN246" i="91"/>
  <c r="BM278" i="91"/>
  <c r="BM231" i="91"/>
  <c r="BM227" i="91"/>
  <c r="BM233" i="91"/>
  <c r="BM229" i="91"/>
  <c r="BM224" i="91"/>
  <c r="BM264" i="91"/>
  <c r="BM275" i="91"/>
  <c r="BM255" i="91"/>
  <c r="BM244" i="91"/>
  <c r="BM262" i="91"/>
  <c r="BN264" i="91"/>
  <c r="BN276" i="91"/>
  <c r="BN265" i="91"/>
  <c r="BN273" i="91"/>
  <c r="BN233" i="91"/>
  <c r="BN248" i="91"/>
  <c r="BN257" i="91"/>
  <c r="BN255" i="91"/>
  <c r="BN232" i="91"/>
  <c r="BN242" i="91"/>
  <c r="BN268" i="91"/>
  <c r="BN266" i="91"/>
  <c r="BN267" i="91"/>
  <c r="BN245" i="91"/>
  <c r="BN279" i="91"/>
  <c r="BN240" i="91"/>
  <c r="BN229" i="91"/>
  <c r="BN247" i="91"/>
  <c r="BN278" i="91"/>
  <c r="BN258" i="91"/>
  <c r="BM279" i="91"/>
  <c r="BM272" i="91"/>
  <c r="BM263" i="91"/>
  <c r="BM254" i="91"/>
  <c r="BM265" i="91"/>
  <c r="BM269" i="91"/>
  <c r="BM230" i="91"/>
  <c r="BM260" i="91"/>
  <c r="BM226" i="91"/>
  <c r="BM240" i="91"/>
  <c r="BM271" i="91"/>
  <c r="BN223" i="91"/>
  <c r="BN277" i="91"/>
  <c r="BN274" i="91"/>
  <c r="BN226" i="91"/>
  <c r="BN271" i="91"/>
  <c r="BN239" i="91"/>
  <c r="BN275" i="91"/>
  <c r="BN261" i="91"/>
  <c r="BN231" i="91"/>
  <c r="BN225" i="91"/>
  <c r="BN270" i="91"/>
  <c r="BN224" i="91"/>
  <c r="BN237" i="91"/>
  <c r="BM274" i="91"/>
  <c r="BM234" i="91"/>
  <c r="BM245" i="91"/>
  <c r="BM258" i="91"/>
  <c r="BM236" i="91"/>
  <c r="BM243" i="91"/>
  <c r="BM259" i="91"/>
  <c r="BM225" i="91"/>
  <c r="BM238" i="91"/>
  <c r="BM266" i="91"/>
  <c r="BM257" i="91"/>
  <c r="BN272" i="91"/>
  <c r="BN230" i="91"/>
  <c r="BN260" i="91"/>
  <c r="BN228" i="91"/>
  <c r="BN259" i="91"/>
  <c r="BN256" i="91"/>
  <c r="BM296" i="91"/>
  <c r="BM289" i="91"/>
  <c r="BM306" i="91"/>
  <c r="BM300" i="91"/>
  <c r="BM293" i="91"/>
  <c r="BM309" i="91"/>
  <c r="BM294" i="91"/>
  <c r="BM310" i="91"/>
  <c r="BM295" i="91"/>
  <c r="BM304" i="91"/>
  <c r="BM298" i="91"/>
  <c r="BM299" i="91"/>
  <c r="BM288" i="91"/>
  <c r="BM297" i="91"/>
  <c r="BM303" i="91"/>
  <c r="BM292" i="91"/>
  <c r="BM308" i="91"/>
  <c r="BM285" i="91"/>
  <c r="BM301" i="91"/>
  <c r="BM291" i="91"/>
  <c r="BM286" i="91"/>
  <c r="BM302" i="91"/>
  <c r="BM307" i="91"/>
  <c r="BM305" i="91"/>
  <c r="BM290" i="91"/>
  <c r="BM287" i="91"/>
  <c r="BO221" i="91"/>
  <c r="A353" i="91"/>
  <c r="G353" i="91"/>
  <c r="H353" i="91"/>
  <c r="L353" i="91"/>
  <c r="M353" i="91"/>
  <c r="N353" i="91"/>
  <c r="P353" i="91"/>
  <c r="O353" i="91"/>
  <c r="K353" i="91"/>
  <c r="BN269" i="91"/>
  <c r="BN238" i="91"/>
  <c r="BN244" i="91"/>
  <c r="BO275" i="91"/>
  <c r="BO225" i="91"/>
  <c r="BO262" i="91"/>
  <c r="BO260" i="91"/>
  <c r="BO257" i="91"/>
  <c r="BO278" i="91"/>
  <c r="BN235" i="91"/>
  <c r="BN227" i="91"/>
  <c r="BN243" i="91"/>
  <c r="BO242" i="91"/>
  <c r="BO238" i="91"/>
  <c r="BO276" i="91"/>
  <c r="BO271" i="91"/>
  <c r="BO270" i="91"/>
  <c r="BO223" i="91"/>
  <c r="BO236" i="91"/>
  <c r="BO256" i="91"/>
  <c r="BN293" i="91"/>
  <c r="BN309" i="91"/>
  <c r="BN294" i="91"/>
  <c r="BN310" i="91"/>
  <c r="BN299" i="91"/>
  <c r="BN303" i="91"/>
  <c r="BN300" i="91"/>
  <c r="BN297" i="91"/>
  <c r="BN298" i="91"/>
  <c r="BN307" i="91"/>
  <c r="BN285" i="91"/>
  <c r="BN288" i="91"/>
  <c r="BN304" i="91"/>
  <c r="BN301" i="91"/>
  <c r="BN286" i="91"/>
  <c r="BN302" i="91"/>
  <c r="BN287" i="91"/>
  <c r="BN292" i="91"/>
  <c r="BN308" i="91"/>
  <c r="BN289" i="91"/>
  <c r="BN305" i="91"/>
  <c r="BN290" i="91"/>
  <c r="BN306" i="91"/>
  <c r="BN291" i="91"/>
  <c r="BN295" i="91"/>
  <c r="BN296" i="91"/>
  <c r="BO287" i="91"/>
  <c r="BP221" i="91"/>
  <c r="A354" i="91"/>
  <c r="G354" i="91"/>
  <c r="H354" i="91"/>
  <c r="O354" i="91"/>
  <c r="L354" i="91"/>
  <c r="P354" i="91"/>
  <c r="K354" i="91"/>
  <c r="M354" i="91"/>
  <c r="N354" i="91"/>
  <c r="BP243" i="91"/>
  <c r="BP275" i="91"/>
  <c r="BO254" i="91"/>
  <c r="BO230" i="91"/>
  <c r="BO232" i="91"/>
  <c r="BO269" i="91"/>
  <c r="BO241" i="91"/>
  <c r="BO240" i="91"/>
  <c r="BO235" i="91"/>
  <c r="BO255" i="91"/>
  <c r="BO248" i="91"/>
  <c r="BO272" i="91"/>
  <c r="BP223" i="91"/>
  <c r="BP240" i="91"/>
  <c r="BP259" i="91"/>
  <c r="BP272" i="91"/>
  <c r="BP230" i="91"/>
  <c r="BP242" i="91"/>
  <c r="BP238" i="91"/>
  <c r="BP232" i="91"/>
  <c r="BP247" i="91"/>
  <c r="BP244" i="91"/>
  <c r="BP233" i="91"/>
  <c r="BP257" i="91"/>
  <c r="BP262" i="91"/>
  <c r="BO261" i="91"/>
  <c r="BO277" i="91"/>
  <c r="BO279" i="91"/>
  <c r="BO245" i="91"/>
  <c r="BO224" i="91"/>
  <c r="BO274" i="91"/>
  <c r="BO265" i="91"/>
  <c r="BO263" i="91"/>
  <c r="BP258" i="91"/>
  <c r="BP278" i="91"/>
  <c r="BP271" i="91"/>
  <c r="BP265" i="91"/>
  <c r="BP273" i="91"/>
  <c r="BP235" i="91"/>
  <c r="BO273" i="91"/>
  <c r="BP226" i="91"/>
  <c r="BP228" i="91"/>
  <c r="BO247" i="91"/>
  <c r="BO258" i="91"/>
  <c r="BO259" i="91"/>
  <c r="BO239" i="91"/>
  <c r="BO246" i="91"/>
  <c r="BO227" i="91"/>
  <c r="BO233" i="91"/>
  <c r="BO244" i="91"/>
  <c r="BO264" i="91"/>
  <c r="BP274" i="91"/>
  <c r="BP267" i="91"/>
  <c r="BP237" i="91"/>
  <c r="BP246" i="91"/>
  <c r="BO231" i="91"/>
  <c r="BO266" i="91"/>
  <c r="BO267" i="91"/>
  <c r="BO243" i="91"/>
  <c r="BO234" i="91"/>
  <c r="BO237" i="91"/>
  <c r="BO226" i="91"/>
  <c r="BO228" i="91"/>
  <c r="BO268" i="91"/>
  <c r="BO229" i="91"/>
  <c r="BP261" i="91"/>
  <c r="BP231" i="91"/>
  <c r="BP270" i="91"/>
  <c r="BP248" i="91"/>
  <c r="BP225" i="91"/>
  <c r="BP245" i="91"/>
  <c r="BP241" i="91"/>
  <c r="BP254" i="91"/>
  <c r="BP277" i="91"/>
  <c r="BP234" i="91"/>
  <c r="BP268" i="91"/>
  <c r="BP279" i="91"/>
  <c r="BP236" i="91"/>
  <c r="BP276" i="91"/>
  <c r="BP255" i="91"/>
  <c r="BP264" i="91"/>
  <c r="BP229" i="91"/>
  <c r="BO300" i="91"/>
  <c r="BO298" i="91"/>
  <c r="BO290" i="91"/>
  <c r="BO296" i="91"/>
  <c r="BO288" i="91"/>
  <c r="BO306" i="91"/>
  <c r="BO286" i="91"/>
  <c r="BO292" i="91"/>
  <c r="BO310" i="91"/>
  <c r="BO308" i="91"/>
  <c r="BO302" i="91"/>
  <c r="BO294" i="91"/>
  <c r="BO304" i="91"/>
  <c r="BO299" i="91"/>
  <c r="BO289" i="91"/>
  <c r="BO305" i="91"/>
  <c r="BO303" i="91"/>
  <c r="BO293" i="91"/>
  <c r="BO309" i="91"/>
  <c r="BO291" i="91"/>
  <c r="BO307" i="91"/>
  <c r="BO297" i="91"/>
  <c r="BO295" i="91"/>
  <c r="BO285" i="91"/>
  <c r="BO301" i="91"/>
  <c r="BQ221" i="91"/>
  <c r="A355" i="91"/>
  <c r="G355" i="91"/>
  <c r="H355" i="91"/>
  <c r="K355" i="91"/>
  <c r="L355" i="91"/>
  <c r="M355" i="91"/>
  <c r="N355" i="91"/>
  <c r="O355" i="91"/>
  <c r="P355" i="91"/>
  <c r="BP266" i="91"/>
  <c r="BP263" i="91"/>
  <c r="BP260" i="91"/>
  <c r="BP227" i="91"/>
  <c r="BP224" i="91"/>
  <c r="BP269" i="91"/>
  <c r="BP256" i="91"/>
  <c r="BP239" i="91"/>
  <c r="BQ257" i="91"/>
  <c r="BP301" i="91"/>
  <c r="BP290" i="91"/>
  <c r="BP306" i="91"/>
  <c r="BP287" i="91"/>
  <c r="BP285" i="91"/>
  <c r="BP292" i="91"/>
  <c r="BP308" i="91"/>
  <c r="BP289" i="91"/>
  <c r="BP305" i="91"/>
  <c r="BP294" i="91"/>
  <c r="BP310" i="91"/>
  <c r="BP295" i="91"/>
  <c r="BP296" i="91"/>
  <c r="BP293" i="91"/>
  <c r="BP309" i="91"/>
  <c r="BP298" i="91"/>
  <c r="BP303" i="91"/>
  <c r="BP291" i="91"/>
  <c r="BP300" i="91"/>
  <c r="BP297" i="91"/>
  <c r="BP286" i="91"/>
  <c r="BP302" i="91"/>
  <c r="BP307" i="91"/>
  <c r="BP299" i="91"/>
  <c r="BP288" i="91"/>
  <c r="BP304" i="91"/>
  <c r="BR221" i="91"/>
  <c r="A356" i="91"/>
  <c r="G356" i="91"/>
  <c r="H356" i="91"/>
  <c r="L356" i="91"/>
  <c r="P356" i="91"/>
  <c r="M356" i="91"/>
  <c r="K356" i="91"/>
  <c r="N356" i="91"/>
  <c r="O356" i="91"/>
  <c r="BQ273" i="91"/>
  <c r="BQ269" i="91"/>
  <c r="BQ225" i="91"/>
  <c r="BQ230" i="91"/>
  <c r="BQ259" i="91"/>
  <c r="BQ275" i="91"/>
  <c r="BQ243" i="91"/>
  <c r="BQ272" i="91"/>
  <c r="BQ268" i="91"/>
  <c r="BQ279" i="91"/>
  <c r="BQ261" i="91"/>
  <c r="BQ266" i="91"/>
  <c r="BQ223" i="91"/>
  <c r="BR259" i="91"/>
  <c r="BR276" i="91"/>
  <c r="BR247" i="91"/>
  <c r="BR257" i="91"/>
  <c r="BR264" i="91"/>
  <c r="BR231" i="91"/>
  <c r="BR271" i="91"/>
  <c r="BQ235" i="91"/>
  <c r="BQ232" i="91"/>
  <c r="BQ229" i="91"/>
  <c r="BQ245" i="91"/>
  <c r="BQ240" i="91"/>
  <c r="BQ247" i="91"/>
  <c r="BQ241" i="91"/>
  <c r="BQ236" i="91"/>
  <c r="BQ231" i="91"/>
  <c r="BQ274" i="91"/>
  <c r="BQ248" i="91"/>
  <c r="BQ255" i="91"/>
  <c r="BQ242" i="91"/>
  <c r="BR279" i="91"/>
  <c r="BR241" i="91"/>
  <c r="BR246" i="91"/>
  <c r="BR239" i="91"/>
  <c r="BR244" i="91"/>
  <c r="BR256" i="91"/>
  <c r="BR266" i="91"/>
  <c r="BQ267" i="91"/>
  <c r="BQ254" i="91"/>
  <c r="BQ234" i="91"/>
  <c r="BQ276" i="91"/>
  <c r="BQ277" i="91"/>
  <c r="BQ278" i="91"/>
  <c r="BQ239" i="91"/>
  <c r="BQ270" i="91"/>
  <c r="BQ227" i="91"/>
  <c r="BQ265" i="91"/>
  <c r="BQ238" i="91"/>
  <c r="BQ258" i="91"/>
  <c r="BQ226" i="91"/>
  <c r="BR254" i="91"/>
  <c r="BR229" i="91"/>
  <c r="BR226" i="91"/>
  <c r="BR277" i="91"/>
  <c r="BR272" i="91"/>
  <c r="BR270" i="91"/>
  <c r="BR235" i="91"/>
  <c r="BQ260" i="91"/>
  <c r="BQ237" i="91"/>
  <c r="BQ264" i="91"/>
  <c r="BQ233" i="91"/>
  <c r="BQ228" i="91"/>
  <c r="BQ271" i="91"/>
  <c r="BQ263" i="91"/>
  <c r="BQ256" i="91"/>
  <c r="BQ224" i="91"/>
  <c r="BQ244" i="91"/>
  <c r="BQ262" i="91"/>
  <c r="BQ246" i="91"/>
  <c r="BR237" i="91"/>
  <c r="BR275" i="91"/>
  <c r="BR240" i="91"/>
  <c r="BR267" i="91"/>
  <c r="BR265" i="91"/>
  <c r="BR238" i="91"/>
  <c r="BQ286" i="91"/>
  <c r="BQ295" i="91"/>
  <c r="BQ299" i="91"/>
  <c r="BQ289" i="91"/>
  <c r="BQ301" i="91"/>
  <c r="BQ293" i="91"/>
  <c r="BQ303" i="91"/>
  <c r="BQ309" i="91"/>
  <c r="BQ307" i="91"/>
  <c r="BQ291" i="91"/>
  <c r="BQ297" i="91"/>
  <c r="BQ285" i="91"/>
  <c r="BQ305" i="91"/>
  <c r="BQ287" i="91"/>
  <c r="BQ298" i="91"/>
  <c r="BQ288" i="91"/>
  <c r="BQ304" i="91"/>
  <c r="BQ302" i="91"/>
  <c r="BQ292" i="91"/>
  <c r="BQ308" i="91"/>
  <c r="BQ290" i="91"/>
  <c r="BQ306" i="91"/>
  <c r="BQ296" i="91"/>
  <c r="BQ294" i="91"/>
  <c r="BQ310" i="91"/>
  <c r="BQ300" i="91"/>
  <c r="BS221" i="91"/>
  <c r="A357" i="91"/>
  <c r="G357" i="91"/>
  <c r="H357" i="91"/>
  <c r="N357" i="91"/>
  <c r="L357" i="91"/>
  <c r="P357" i="91"/>
  <c r="O357" i="91"/>
  <c r="M357" i="91"/>
  <c r="K357" i="91"/>
  <c r="BR245" i="91"/>
  <c r="BS259" i="91"/>
  <c r="BS273" i="91"/>
  <c r="BR258" i="91"/>
  <c r="BR278" i="91"/>
  <c r="BR223" i="91"/>
  <c r="BR274" i="91"/>
  <c r="BR225" i="91"/>
  <c r="BR232" i="91"/>
  <c r="BR228" i="91"/>
  <c r="BR263" i="91"/>
  <c r="BR269" i="91"/>
  <c r="BR261" i="91"/>
  <c r="BR260" i="91"/>
  <c r="BR273" i="91"/>
  <c r="BR234" i="91"/>
  <c r="BS231" i="91"/>
  <c r="BS224" i="91"/>
  <c r="BS271" i="91"/>
  <c r="BS235" i="91"/>
  <c r="BS229" i="91"/>
  <c r="BS225" i="91"/>
  <c r="BS261" i="91"/>
  <c r="BS278" i="91"/>
  <c r="BS257" i="91"/>
  <c r="BS268" i="91"/>
  <c r="BS262" i="91"/>
  <c r="BS236" i="91"/>
  <c r="BS272" i="91"/>
  <c r="BS245" i="91"/>
  <c r="BS267" i="91"/>
  <c r="BS256" i="91"/>
  <c r="BS276" i="91"/>
  <c r="BS223" i="91"/>
  <c r="BS258" i="91"/>
  <c r="BR242" i="91"/>
  <c r="BR230" i="91"/>
  <c r="BR236" i="91"/>
  <c r="BR248" i="91"/>
  <c r="BR224" i="91"/>
  <c r="BR233" i="91"/>
  <c r="BS270" i="91"/>
  <c r="BS242" i="91"/>
  <c r="BS241" i="91"/>
  <c r="BS228" i="91"/>
  <c r="BS243" i="91"/>
  <c r="BS246" i="91"/>
  <c r="BS260" i="91"/>
  <c r="BS269" i="91"/>
  <c r="BS279" i="91"/>
  <c r="BS240" i="91"/>
  <c r="BS248" i="91"/>
  <c r="BS232" i="91"/>
  <c r="BS234" i="91"/>
  <c r="BR255" i="91"/>
  <c r="BR268" i="91"/>
  <c r="BR227" i="91"/>
  <c r="BR243" i="91"/>
  <c r="BR262" i="91"/>
  <c r="BS277" i="91"/>
  <c r="BS255" i="91"/>
  <c r="BS226" i="91"/>
  <c r="BS266" i="91"/>
  <c r="BS239" i="91"/>
  <c r="BS230" i="91"/>
  <c r="BR298" i="91"/>
  <c r="BR292" i="91"/>
  <c r="BR302" i="91"/>
  <c r="BR291" i="91"/>
  <c r="BR296" i="91"/>
  <c r="BR286" i="91"/>
  <c r="BR289" i="91"/>
  <c r="BR305" i="91"/>
  <c r="BR290" i="91"/>
  <c r="BR306" i="91"/>
  <c r="BR303" i="91"/>
  <c r="BR295" i="91"/>
  <c r="BR300" i="91"/>
  <c r="BR293" i="91"/>
  <c r="BR309" i="91"/>
  <c r="BR294" i="91"/>
  <c r="BR310" i="91"/>
  <c r="BR299" i="91"/>
  <c r="BR288" i="91"/>
  <c r="BR304" i="91"/>
  <c r="BR297" i="91"/>
  <c r="BR287" i="91"/>
  <c r="BR307" i="91"/>
  <c r="BR308" i="91"/>
  <c r="BR285" i="91"/>
  <c r="BR301" i="91"/>
  <c r="BT221" i="91"/>
  <c r="A358" i="91"/>
  <c r="G358" i="91"/>
  <c r="N358" i="91"/>
  <c r="H358" i="91"/>
  <c r="K358" i="91"/>
  <c r="M358" i="91"/>
  <c r="O358" i="91"/>
  <c r="A359" i="91"/>
  <c r="G359" i="91"/>
  <c r="H359" i="91"/>
  <c r="K359" i="91"/>
  <c r="L359" i="91"/>
  <c r="M359" i="91"/>
  <c r="N359" i="91"/>
  <c r="O359" i="91"/>
  <c r="P359" i="91"/>
  <c r="A360" i="91"/>
  <c r="G360" i="91"/>
  <c r="K360" i="91"/>
  <c r="H360" i="91"/>
  <c r="M360" i="91"/>
  <c r="A361" i="91"/>
  <c r="G361" i="91"/>
  <c r="K361" i="91"/>
  <c r="H361" i="91"/>
  <c r="L361" i="91"/>
  <c r="M361" i="91"/>
  <c r="N361" i="91"/>
  <c r="O361" i="91"/>
  <c r="P361" i="91"/>
  <c r="A362" i="91"/>
  <c r="G362" i="91"/>
  <c r="N362" i="91"/>
  <c r="H362" i="91"/>
  <c r="K362" i="91"/>
  <c r="M362" i="91"/>
  <c r="O362" i="91"/>
  <c r="A363" i="91"/>
  <c r="G363" i="91"/>
  <c r="H363" i="91"/>
  <c r="K363" i="91"/>
  <c r="L363" i="91"/>
  <c r="M363" i="91"/>
  <c r="N363" i="91"/>
  <c r="O363" i="91"/>
  <c r="P363" i="91"/>
  <c r="A364" i="91"/>
  <c r="G364" i="91"/>
  <c r="K364" i="91"/>
  <c r="H364" i="91"/>
  <c r="M364" i="91"/>
  <c r="A365" i="91"/>
  <c r="G365" i="91"/>
  <c r="H365" i="91"/>
  <c r="K365" i="91"/>
  <c r="L365" i="91"/>
  <c r="M365" i="91"/>
  <c r="N365" i="91"/>
  <c r="O365" i="91"/>
  <c r="P365" i="91"/>
  <c r="A366" i="91"/>
  <c r="G366" i="91"/>
  <c r="N366" i="91"/>
  <c r="H366" i="91"/>
  <c r="K366" i="91"/>
  <c r="M366" i="91"/>
  <c r="O366" i="91"/>
  <c r="A367" i="91"/>
  <c r="G367" i="91"/>
  <c r="H367" i="91"/>
  <c r="K367" i="91"/>
  <c r="L367" i="91"/>
  <c r="M367" i="91"/>
  <c r="N367" i="91"/>
  <c r="O367" i="91"/>
  <c r="P367" i="91"/>
  <c r="A368" i="91"/>
  <c r="G368" i="91"/>
  <c r="K368" i="91"/>
  <c r="H368" i="91"/>
  <c r="M368" i="91"/>
  <c r="A369" i="91"/>
  <c r="G369" i="91"/>
  <c r="H369" i="91"/>
  <c r="K369" i="91"/>
  <c r="L369" i="91"/>
  <c r="M369" i="91"/>
  <c r="N369" i="91"/>
  <c r="O369" i="91"/>
  <c r="P369" i="91"/>
  <c r="A370" i="91"/>
  <c r="G370" i="91"/>
  <c r="N370" i="91"/>
  <c r="H370" i="91"/>
  <c r="K370" i="91"/>
  <c r="M370" i="91"/>
  <c r="O370" i="91"/>
  <c r="A371" i="91"/>
  <c r="G371" i="91"/>
  <c r="H371" i="91"/>
  <c r="K371" i="91"/>
  <c r="L371" i="91"/>
  <c r="M371" i="91"/>
  <c r="N371" i="91"/>
  <c r="O371" i="91"/>
  <c r="P371" i="91"/>
  <c r="A372" i="91"/>
  <c r="G372" i="91"/>
  <c r="O372" i="91"/>
  <c r="H372" i="91"/>
  <c r="M372" i="91"/>
  <c r="D377" i="91"/>
  <c r="G378" i="91"/>
  <c r="A379" i="91"/>
  <c r="G379" i="91"/>
  <c r="H379" i="91"/>
  <c r="P379" i="91"/>
  <c r="M379" i="91"/>
  <c r="K379" i="91"/>
  <c r="O379" i="91"/>
  <c r="L379" i="91"/>
  <c r="N379" i="91"/>
  <c r="BS238" i="91"/>
  <c r="BS227" i="91"/>
  <c r="BS254" i="91"/>
  <c r="BT279" i="91"/>
  <c r="BT274" i="91"/>
  <c r="BT262" i="91"/>
  <c r="BT241" i="91"/>
  <c r="BT277" i="91"/>
  <c r="BT267" i="91"/>
  <c r="BT248" i="91"/>
  <c r="BT244" i="91"/>
  <c r="BT233" i="91"/>
  <c r="BT227" i="91"/>
  <c r="BT264" i="91"/>
  <c r="BT263" i="91"/>
  <c r="BT256" i="91"/>
  <c r="BT237" i="91"/>
  <c r="BT265" i="91"/>
  <c r="BT276" i="91"/>
  <c r="BT258" i="91"/>
  <c r="BT259" i="91"/>
  <c r="BS274" i="91"/>
  <c r="BS247" i="91"/>
  <c r="BS264" i="91"/>
  <c r="BS275" i="91"/>
  <c r="BS233" i="91"/>
  <c r="BS263" i="91"/>
  <c r="BT228" i="91"/>
  <c r="BT247" i="91"/>
  <c r="BT271" i="91"/>
  <c r="BT236" i="91"/>
  <c r="BT245" i="91"/>
  <c r="BT266" i="91"/>
  <c r="BT260" i="91"/>
  <c r="BT270" i="91"/>
  <c r="BT242" i="91"/>
  <c r="BT255" i="91"/>
  <c r="BT246" i="91"/>
  <c r="BT268" i="91"/>
  <c r="BT278" i="91"/>
  <c r="BT240" i="91"/>
  <c r="BT224" i="91"/>
  <c r="BT243" i="91"/>
  <c r="BS265" i="91"/>
  <c r="BS237" i="91"/>
  <c r="BS244" i="91"/>
  <c r="BT230" i="91"/>
  <c r="BT272" i="91"/>
  <c r="BT234" i="91"/>
  <c r="BT235" i="91"/>
  <c r="BT229" i="91"/>
  <c r="BT223" i="91"/>
  <c r="BT239" i="91"/>
  <c r="BT254" i="91"/>
  <c r="BT226" i="91"/>
  <c r="BT261" i="91"/>
  <c r="BT225" i="91"/>
  <c r="BT231" i="91"/>
  <c r="BT273" i="91"/>
  <c r="BT257" i="91"/>
  <c r="BT232" i="91"/>
  <c r="BT238" i="91"/>
  <c r="BT275" i="91"/>
  <c r="BT269" i="91"/>
  <c r="BS294" i="91"/>
  <c r="BS310" i="91"/>
  <c r="BS296" i="91"/>
  <c r="BS301" i="91"/>
  <c r="BS299" i="91"/>
  <c r="BS289" i="91"/>
  <c r="BS298" i="91"/>
  <c r="BS300" i="91"/>
  <c r="BS309" i="91"/>
  <c r="BS287" i="91"/>
  <c r="BS303" i="91"/>
  <c r="BS297" i="91"/>
  <c r="BS286" i="91"/>
  <c r="BS302" i="91"/>
  <c r="BS292" i="91"/>
  <c r="BS304" i="91"/>
  <c r="BS285" i="91"/>
  <c r="BS291" i="91"/>
  <c r="BS307" i="91"/>
  <c r="BS305" i="91"/>
  <c r="BS308" i="91"/>
  <c r="BS290" i="91"/>
  <c r="BS306" i="91"/>
  <c r="BS288" i="91"/>
  <c r="BS293" i="91"/>
  <c r="BS295" i="91"/>
  <c r="M373" i="91"/>
  <c r="BT310" i="91"/>
  <c r="BT309" i="91"/>
  <c r="BT308" i="91"/>
  <c r="BT307" i="91"/>
  <c r="BT306" i="91"/>
  <c r="BT305" i="91"/>
  <c r="BT304" i="91"/>
  <c r="BT303" i="91"/>
  <c r="BT302" i="91"/>
  <c r="BT301" i="91"/>
  <c r="BT300" i="91"/>
  <c r="BT299" i="91"/>
  <c r="BT298" i="91"/>
  <c r="BT297" i="91"/>
  <c r="BT296" i="91"/>
  <c r="BT295" i="91"/>
  <c r="BT294" i="91"/>
  <c r="BT293" i="91"/>
  <c r="BT292" i="91"/>
  <c r="BT291" i="91"/>
  <c r="BT290" i="91"/>
  <c r="BT289" i="91"/>
  <c r="BT288" i="91"/>
  <c r="BT287" i="91"/>
  <c r="BT286" i="91"/>
  <c r="BT285" i="91"/>
  <c r="K372" i="91"/>
  <c r="K373" i="91"/>
  <c r="N372" i="91"/>
  <c r="P370" i="91"/>
  <c r="L370" i="91"/>
  <c r="N368" i="91"/>
  <c r="P366" i="91"/>
  <c r="L366" i="91"/>
  <c r="N364" i="91"/>
  <c r="P362" i="91"/>
  <c r="L362" i="91"/>
  <c r="N360" i="91"/>
  <c r="P358" i="91"/>
  <c r="L358" i="91"/>
  <c r="BU221" i="91"/>
  <c r="P372" i="91"/>
  <c r="L372" i="91"/>
  <c r="P368" i="91"/>
  <c r="L368" i="91"/>
  <c r="P364" i="91"/>
  <c r="L364" i="91"/>
  <c r="P360" i="91"/>
  <c r="L360" i="91"/>
  <c r="O368" i="91"/>
  <c r="O364" i="91"/>
  <c r="O360" i="91"/>
  <c r="A380" i="91"/>
  <c r="G380" i="91"/>
  <c r="H380" i="91"/>
  <c r="N380" i="91"/>
  <c r="L380" i="91"/>
  <c r="K380" i="91"/>
  <c r="M380" i="91"/>
  <c r="O380" i="91"/>
  <c r="P380" i="91"/>
  <c r="BU224" i="91"/>
  <c r="BU243" i="91"/>
  <c r="BU257" i="91"/>
  <c r="N373" i="91"/>
  <c r="L373" i="91"/>
  <c r="O373" i="91"/>
  <c r="P373" i="91"/>
  <c r="BV221" i="91"/>
  <c r="A381" i="91"/>
  <c r="G381" i="91"/>
  <c r="H381" i="91"/>
  <c r="O381" i="91"/>
  <c r="P381" i="91"/>
  <c r="M381" i="91"/>
  <c r="N381" i="91"/>
  <c r="K381" i="91"/>
  <c r="L381" i="91"/>
  <c r="BU226" i="91"/>
  <c r="BU239" i="91"/>
  <c r="BU266" i="91"/>
  <c r="BU233" i="91"/>
  <c r="BU270" i="91"/>
  <c r="BU268" i="91"/>
  <c r="BU230" i="91"/>
  <c r="BU260" i="91"/>
  <c r="BU258" i="91"/>
  <c r="BU223" i="91"/>
  <c r="BU278" i="91"/>
  <c r="BU279" i="91"/>
  <c r="BU244" i="91"/>
  <c r="BU245" i="91"/>
  <c r="BU264" i="91"/>
  <c r="BU238" i="91"/>
  <c r="BU229" i="91"/>
  <c r="BU256" i="91"/>
  <c r="BU275" i="91"/>
  <c r="BU247" i="91"/>
  <c r="BU276" i="91"/>
  <c r="BU274" i="91"/>
  <c r="BU265" i="91"/>
  <c r="BU272" i="91"/>
  <c r="BV230" i="91"/>
  <c r="BV262" i="91"/>
  <c r="BV241" i="91"/>
  <c r="BV274" i="91"/>
  <c r="BU269" i="91"/>
  <c r="BU255" i="91"/>
  <c r="BU267" i="91"/>
  <c r="BU261" i="91"/>
  <c r="BU246" i="91"/>
  <c r="BU231" i="91"/>
  <c r="BU262" i="91"/>
  <c r="BU248" i="91"/>
  <c r="BU254" i="91"/>
  <c r="BU232" i="91"/>
  <c r="BU240" i="91"/>
  <c r="BU237" i="91"/>
  <c r="BU271" i="91"/>
  <c r="BU225" i="91"/>
  <c r="BU263" i="91"/>
  <c r="BU235" i="91"/>
  <c r="BU259" i="91"/>
  <c r="BU227" i="91"/>
  <c r="BU241" i="91"/>
  <c r="BU234" i="91"/>
  <c r="BU236" i="91"/>
  <c r="BU273" i="91"/>
  <c r="BU242" i="91"/>
  <c r="BU228" i="91"/>
  <c r="BU277" i="91"/>
  <c r="BV275" i="91"/>
  <c r="BV270" i="91"/>
  <c r="BV245" i="91"/>
  <c r="BV258" i="91"/>
  <c r="BU288" i="91"/>
  <c r="BU292" i="91"/>
  <c r="BU308" i="91"/>
  <c r="BU298" i="91"/>
  <c r="BU297" i="91"/>
  <c r="BU291" i="91"/>
  <c r="BU307" i="91"/>
  <c r="BU296" i="91"/>
  <c r="BU286" i="91"/>
  <c r="BU302" i="91"/>
  <c r="BU285" i="91"/>
  <c r="BU301" i="91"/>
  <c r="BU295" i="91"/>
  <c r="BU300" i="91"/>
  <c r="BU290" i="91"/>
  <c r="BU306" i="91"/>
  <c r="BU289" i="91"/>
  <c r="BU305" i="91"/>
  <c r="BU299" i="91"/>
  <c r="BU304" i="91"/>
  <c r="BU294" i="91"/>
  <c r="BU310" i="91"/>
  <c r="BU293" i="91"/>
  <c r="BU309" i="91"/>
  <c r="BU287" i="91"/>
  <c r="BU303" i="91"/>
  <c r="BW221" i="91"/>
  <c r="A382" i="91"/>
  <c r="G382" i="91"/>
  <c r="H382" i="91"/>
  <c r="K382" i="91"/>
  <c r="L382" i="91"/>
  <c r="P382" i="91"/>
  <c r="O382" i="91"/>
  <c r="M382" i="91"/>
  <c r="N382" i="91"/>
  <c r="BV276" i="91"/>
  <c r="BV227" i="91"/>
  <c r="BV273" i="91"/>
  <c r="BV263" i="91"/>
  <c r="BV256" i="91"/>
  <c r="BV243" i="91"/>
  <c r="BV240" i="91"/>
  <c r="BV224" i="91"/>
  <c r="BV225" i="91"/>
  <c r="BV248" i="91"/>
  <c r="BV228" i="91"/>
  <c r="BW278" i="91"/>
  <c r="BW244" i="91"/>
  <c r="BV255" i="91"/>
  <c r="BV231" i="91"/>
  <c r="BV278" i="91"/>
  <c r="BV269" i="91"/>
  <c r="BV229" i="91"/>
  <c r="BV232" i="91"/>
  <c r="BV268" i="91"/>
  <c r="BV264" i="91"/>
  <c r="BV239" i="91"/>
  <c r="BV234" i="91"/>
  <c r="BV272" i="91"/>
  <c r="BW277" i="91"/>
  <c r="BW227" i="91"/>
  <c r="BW279" i="91"/>
  <c r="BV242" i="91"/>
  <c r="BV267" i="91"/>
  <c r="BV236" i="91"/>
  <c r="BV254" i="91"/>
  <c r="BV260" i="91"/>
  <c r="BV233" i="91"/>
  <c r="BV277" i="91"/>
  <c r="BV244" i="91"/>
  <c r="BV259" i="91"/>
  <c r="BV265" i="91"/>
  <c r="BV257" i="91"/>
  <c r="BW276" i="91"/>
  <c r="BW233" i="91"/>
  <c r="BW238" i="91"/>
  <c r="BV271" i="91"/>
  <c r="BV261" i="91"/>
  <c r="BV237" i="91"/>
  <c r="BV266" i="91"/>
  <c r="BV238" i="91"/>
  <c r="BV235" i="91"/>
  <c r="BV279" i="91"/>
  <c r="BV247" i="91"/>
  <c r="BV223" i="91"/>
  <c r="BV226" i="91"/>
  <c r="BV246" i="91"/>
  <c r="BW245" i="91"/>
  <c r="BW255" i="91"/>
  <c r="BW223" i="91"/>
  <c r="BV290" i="91"/>
  <c r="BV294" i="91"/>
  <c r="BV287" i="91"/>
  <c r="BV303" i="91"/>
  <c r="BV293" i="91"/>
  <c r="BV300" i="91"/>
  <c r="BV297" i="91"/>
  <c r="BV298" i="91"/>
  <c r="BV307" i="91"/>
  <c r="BV288" i="91"/>
  <c r="BV304" i="91"/>
  <c r="BV305" i="91"/>
  <c r="BV291" i="91"/>
  <c r="BV301" i="91"/>
  <c r="BV286" i="91"/>
  <c r="BV306" i="91"/>
  <c r="BV295" i="91"/>
  <c r="BV292" i="91"/>
  <c r="BV308" i="91"/>
  <c r="BV285" i="91"/>
  <c r="BV309" i="91"/>
  <c r="BV302" i="91"/>
  <c r="BV310" i="91"/>
  <c r="BV299" i="91"/>
  <c r="BV296" i="91"/>
  <c r="BV289" i="91"/>
  <c r="BX221" i="91"/>
  <c r="A383" i="91"/>
  <c r="G383" i="91"/>
  <c r="H383" i="91"/>
  <c r="L383" i="91"/>
  <c r="M383" i="91"/>
  <c r="N383" i="91"/>
  <c r="K383" i="91"/>
  <c r="O383" i="91"/>
  <c r="P383" i="91"/>
  <c r="BW261" i="91"/>
  <c r="BX259" i="91"/>
  <c r="BX254" i="91"/>
  <c r="BX266" i="91"/>
  <c r="BW264" i="91"/>
  <c r="BW257" i="91"/>
  <c r="BW268" i="91"/>
  <c r="BW256" i="91"/>
  <c r="BW260" i="91"/>
  <c r="BW228" i="91"/>
  <c r="BW248" i="91"/>
  <c r="BW262" i="91"/>
  <c r="BW232" i="91"/>
  <c r="BW240" i="91"/>
  <c r="BX270" i="91"/>
  <c r="BX246" i="91"/>
  <c r="BW242" i="91"/>
  <c r="BW231" i="91"/>
  <c r="BW259" i="91"/>
  <c r="BW247" i="91"/>
  <c r="BW234" i="91"/>
  <c r="BW226" i="91"/>
  <c r="BW265" i="91"/>
  <c r="BW274" i="91"/>
  <c r="BW229" i="91"/>
  <c r="BW270" i="91"/>
  <c r="BX272" i="91"/>
  <c r="BX256" i="91"/>
  <c r="BX227" i="91"/>
  <c r="BX226" i="91"/>
  <c r="BX223" i="91"/>
  <c r="BX278" i="91"/>
  <c r="BX242" i="91"/>
  <c r="BX257" i="91"/>
  <c r="BX267" i="91"/>
  <c r="BX230" i="91"/>
  <c r="BX237" i="91"/>
  <c r="BX224" i="91"/>
  <c r="BX232" i="91"/>
  <c r="BX258" i="91"/>
  <c r="BX228" i="91"/>
  <c r="BX225" i="91"/>
  <c r="BX268" i="91"/>
  <c r="BX247" i="91"/>
  <c r="BX239" i="91"/>
  <c r="BW275" i="91"/>
  <c r="BW254" i="91"/>
  <c r="BW267" i="91"/>
  <c r="BW263" i="91"/>
  <c r="BW243" i="91"/>
  <c r="BW224" i="91"/>
  <c r="BW230" i="91"/>
  <c r="BW246" i="91"/>
  <c r="BW239" i="91"/>
  <c r="BW225" i="91"/>
  <c r="BX243" i="91"/>
  <c r="BX235" i="91"/>
  <c r="BX238" i="91"/>
  <c r="BX279" i="91"/>
  <c r="BX248" i="91"/>
  <c r="BX261" i="91"/>
  <c r="BX229" i="91"/>
  <c r="BX245" i="91"/>
  <c r="BX255" i="91"/>
  <c r="BX269" i="91"/>
  <c r="BX260" i="91"/>
  <c r="BX241" i="91"/>
  <c r="BX277" i="91"/>
  <c r="BW241" i="91"/>
  <c r="BW235" i="91"/>
  <c r="BW236" i="91"/>
  <c r="BW271" i="91"/>
  <c r="BW269" i="91"/>
  <c r="BW272" i="91"/>
  <c r="BW266" i="91"/>
  <c r="BW237" i="91"/>
  <c r="BW273" i="91"/>
  <c r="BW258" i="91"/>
  <c r="BX236" i="91"/>
  <c r="BX273" i="91"/>
  <c r="BX233" i="91"/>
  <c r="BX231" i="91"/>
  <c r="BX275" i="91"/>
  <c r="BW293" i="91"/>
  <c r="BW309" i="91"/>
  <c r="BW298" i="91"/>
  <c r="BW303" i="91"/>
  <c r="BW291" i="91"/>
  <c r="BW300" i="91"/>
  <c r="BW297" i="91"/>
  <c r="BW286" i="91"/>
  <c r="BW299" i="91"/>
  <c r="BW288" i="91"/>
  <c r="BW304" i="91"/>
  <c r="BW302" i="91"/>
  <c r="BW285" i="91"/>
  <c r="BW301" i="91"/>
  <c r="BW290" i="91"/>
  <c r="BW306" i="91"/>
  <c r="BW287" i="91"/>
  <c r="BW307" i="91"/>
  <c r="BW292" i="91"/>
  <c r="BW308" i="91"/>
  <c r="BW289" i="91"/>
  <c r="BW305" i="91"/>
  <c r="BW294" i="91"/>
  <c r="BW310" i="91"/>
  <c r="BW295" i="91"/>
  <c r="BW296" i="91"/>
  <c r="BX287" i="91"/>
  <c r="BY221" i="91"/>
  <c r="A384" i="91"/>
  <c r="G384" i="91"/>
  <c r="H384" i="91"/>
  <c r="O384" i="91"/>
  <c r="L384" i="91"/>
  <c r="P384" i="91"/>
  <c r="M384" i="91"/>
  <c r="K384" i="91"/>
  <c r="N384" i="91"/>
  <c r="BX244" i="91"/>
  <c r="BX274" i="91"/>
  <c r="BX263" i="91"/>
  <c r="BY245" i="91"/>
  <c r="BY278" i="91"/>
  <c r="BY241" i="91"/>
  <c r="BX234" i="91"/>
  <c r="BX271" i="91"/>
  <c r="BX265" i="91"/>
  <c r="BY262" i="91"/>
  <c r="BY276" i="91"/>
  <c r="BY235" i="91"/>
  <c r="BX262" i="91"/>
  <c r="BX240" i="91"/>
  <c r="BY269" i="91"/>
  <c r="BY236" i="91"/>
  <c r="BX276" i="91"/>
  <c r="BX264" i="91"/>
  <c r="BY277" i="91"/>
  <c r="BY266" i="91"/>
  <c r="BY228" i="91"/>
  <c r="BY223" i="91"/>
  <c r="BX294" i="91"/>
  <c r="BX308" i="91"/>
  <c r="BX286" i="91"/>
  <c r="BX290" i="91"/>
  <c r="BX300" i="91"/>
  <c r="BX306" i="91"/>
  <c r="BX292" i="91"/>
  <c r="BX288" i="91"/>
  <c r="BX296" i="91"/>
  <c r="BX298" i="91"/>
  <c r="BX304" i="91"/>
  <c r="BX310" i="91"/>
  <c r="BX302" i="91"/>
  <c r="BX295" i="91"/>
  <c r="BX299" i="91"/>
  <c r="BX289" i="91"/>
  <c r="BX305" i="91"/>
  <c r="BX303" i="91"/>
  <c r="BX293" i="91"/>
  <c r="BX309" i="91"/>
  <c r="BX291" i="91"/>
  <c r="BX307" i="91"/>
  <c r="BX297" i="91"/>
  <c r="BX285" i="91"/>
  <c r="BX301" i="91"/>
  <c r="BZ221" i="91"/>
  <c r="A385" i="91"/>
  <c r="G385" i="91"/>
  <c r="H385" i="91"/>
  <c r="O385" i="91"/>
  <c r="L385" i="91"/>
  <c r="P385" i="91"/>
  <c r="N385" i="91"/>
  <c r="M385" i="91"/>
  <c r="K385" i="91"/>
  <c r="BZ233" i="91"/>
  <c r="BY268" i="91"/>
  <c r="BY258" i="91"/>
  <c r="BY226" i="91"/>
  <c r="BY242" i="91"/>
  <c r="BY254" i="91"/>
  <c r="BY231" i="91"/>
  <c r="BY272" i="91"/>
  <c r="BY255" i="91"/>
  <c r="BY271" i="91"/>
  <c r="BY274" i="91"/>
  <c r="BZ242" i="91"/>
  <c r="BZ245" i="91"/>
  <c r="BZ259" i="91"/>
  <c r="BZ225" i="91"/>
  <c r="BZ248" i="91"/>
  <c r="BZ240" i="91"/>
  <c r="BZ262" i="91"/>
  <c r="BZ247" i="91"/>
  <c r="BZ241" i="91"/>
  <c r="BZ235" i="91"/>
  <c r="BZ274" i="91"/>
  <c r="BZ271" i="91"/>
  <c r="BZ223" i="91"/>
  <c r="BY261" i="91"/>
  <c r="BY227" i="91"/>
  <c r="BY257" i="91"/>
  <c r="BY233" i="91"/>
  <c r="BY238" i="91"/>
  <c r="BY224" i="91"/>
  <c r="BY256" i="91"/>
  <c r="BY279" i="91"/>
  <c r="BY230" i="91"/>
  <c r="BY225" i="91"/>
  <c r="BZ272" i="91"/>
  <c r="BZ227" i="91"/>
  <c r="BZ267" i="91"/>
  <c r="BZ261" i="91"/>
  <c r="BZ237" i="91"/>
  <c r="BZ228" i="91"/>
  <c r="BZ257" i="91"/>
  <c r="BZ279" i="91"/>
  <c r="BZ231" i="91"/>
  <c r="BZ265" i="91"/>
  <c r="BY229" i="91"/>
  <c r="BY259" i="91"/>
  <c r="BY275" i="91"/>
  <c r="BY263" i="91"/>
  <c r="BY248" i="91"/>
  <c r="BY247" i="91"/>
  <c r="BY232" i="91"/>
  <c r="BY244" i="91"/>
  <c r="BY243" i="91"/>
  <c r="BY234" i="91"/>
  <c r="BZ276" i="91"/>
  <c r="BZ264" i="91"/>
  <c r="BZ239" i="91"/>
  <c r="BZ254" i="91"/>
  <c r="BY270" i="91"/>
  <c r="BY237" i="91"/>
  <c r="BY246" i="91"/>
  <c r="BY264" i="91"/>
  <c r="BY260" i="91"/>
  <c r="BY267" i="91"/>
  <c r="BY265" i="91"/>
  <c r="BY239" i="91"/>
  <c r="BY273" i="91"/>
  <c r="BY240" i="91"/>
  <c r="BZ277" i="91"/>
  <c r="BZ256" i="91"/>
  <c r="BZ278" i="91"/>
  <c r="BZ260" i="91"/>
  <c r="BZ268" i="91"/>
  <c r="BZ234" i="91"/>
  <c r="BZ226" i="91"/>
  <c r="BZ232" i="91"/>
  <c r="BZ224" i="91"/>
  <c r="BZ263" i="91"/>
  <c r="BZ266" i="91"/>
  <c r="BZ238" i="91"/>
  <c r="BZ255" i="91"/>
  <c r="BZ243" i="91"/>
  <c r="BZ258" i="91"/>
  <c r="BZ275" i="91"/>
  <c r="BY298" i="91"/>
  <c r="BY287" i="91"/>
  <c r="BY301" i="91"/>
  <c r="BY286" i="91"/>
  <c r="BY302" i="91"/>
  <c r="BY291" i="91"/>
  <c r="BY292" i="91"/>
  <c r="BY308" i="91"/>
  <c r="BY289" i="91"/>
  <c r="BY305" i="91"/>
  <c r="BY290" i="91"/>
  <c r="BY306" i="91"/>
  <c r="BY295" i="91"/>
  <c r="BY299" i="91"/>
  <c r="BY296" i="91"/>
  <c r="BY293" i="91"/>
  <c r="BY309" i="91"/>
  <c r="BY294" i="91"/>
  <c r="BY310" i="91"/>
  <c r="BY303" i="91"/>
  <c r="BY307" i="91"/>
  <c r="BY300" i="91"/>
  <c r="BY297" i="91"/>
  <c r="BY285" i="91"/>
  <c r="BY288" i="91"/>
  <c r="BY304" i="91"/>
  <c r="CA221" i="91"/>
  <c r="A386" i="91"/>
  <c r="G386" i="91"/>
  <c r="L386" i="91"/>
  <c r="H386" i="91"/>
  <c r="K386" i="91"/>
  <c r="M386" i="91"/>
  <c r="P386" i="91"/>
  <c r="N386" i="91"/>
  <c r="O386" i="91"/>
  <c r="BZ270" i="91"/>
  <c r="BZ246" i="91"/>
  <c r="BZ229" i="91"/>
  <c r="BZ273" i="91"/>
  <c r="BZ230" i="91"/>
  <c r="BZ244" i="91"/>
  <c r="BZ236" i="91"/>
  <c r="BZ269" i="91"/>
  <c r="CA261" i="91"/>
  <c r="BZ285" i="91"/>
  <c r="BZ294" i="91"/>
  <c r="BZ310" i="91"/>
  <c r="BZ299" i="91"/>
  <c r="BZ296" i="91"/>
  <c r="BZ293" i="91"/>
  <c r="BZ298" i="91"/>
  <c r="BZ304" i="91"/>
  <c r="BZ303" i="91"/>
  <c r="BZ300" i="91"/>
  <c r="BZ287" i="91"/>
  <c r="BZ301" i="91"/>
  <c r="BZ286" i="91"/>
  <c r="BZ302" i="91"/>
  <c r="BZ297" i="91"/>
  <c r="BZ291" i="91"/>
  <c r="BZ307" i="91"/>
  <c r="BZ288" i="91"/>
  <c r="BZ308" i="91"/>
  <c r="BZ289" i="91"/>
  <c r="BZ309" i="91"/>
  <c r="BZ290" i="91"/>
  <c r="BZ306" i="91"/>
  <c r="BZ295" i="91"/>
  <c r="BZ292" i="91"/>
  <c r="BZ305" i="91"/>
  <c r="CB221" i="91"/>
  <c r="A387" i="91"/>
  <c r="G387" i="91"/>
  <c r="H387" i="91"/>
  <c r="L387" i="91"/>
  <c r="P387" i="91"/>
  <c r="O387" i="91"/>
  <c r="M387" i="91"/>
  <c r="N387" i="91"/>
  <c r="K387" i="91"/>
  <c r="CA266" i="91"/>
  <c r="CA267" i="91"/>
  <c r="CA229" i="91"/>
  <c r="CA248" i="91"/>
  <c r="CA240" i="91"/>
  <c r="CA278" i="91"/>
  <c r="CA271" i="91"/>
  <c r="CA258" i="91"/>
  <c r="CA226" i="91"/>
  <c r="CA276" i="91"/>
  <c r="CA270" i="91"/>
  <c r="CA227" i="91"/>
  <c r="CA262" i="91"/>
  <c r="CB247" i="91"/>
  <c r="CB224" i="91"/>
  <c r="CB260" i="91"/>
  <c r="CB231" i="91"/>
  <c r="CB239" i="91"/>
  <c r="CB237" i="91"/>
  <c r="CB242" i="91"/>
  <c r="CB277" i="91"/>
  <c r="CB230" i="91"/>
  <c r="CB269" i="91"/>
  <c r="CB262" i="91"/>
  <c r="CB259" i="91"/>
  <c r="CB273" i="91"/>
  <c r="CB233" i="91"/>
  <c r="CB268" i="91"/>
  <c r="CB257" i="91"/>
  <c r="CA279" i="91"/>
  <c r="CA242" i="91"/>
  <c r="CA264" i="91"/>
  <c r="CA255" i="91"/>
  <c r="CA254" i="91"/>
  <c r="CA246" i="91"/>
  <c r="CA275" i="91"/>
  <c r="CA268" i="91"/>
  <c r="CA243" i="91"/>
  <c r="CA241" i="91"/>
  <c r="CA245" i="91"/>
  <c r="CA259" i="91"/>
  <c r="CA260" i="91"/>
  <c r="CB234" i="91"/>
  <c r="CB243" i="91"/>
  <c r="CB226" i="91"/>
  <c r="CB227" i="91"/>
  <c r="CB248" i="91"/>
  <c r="CB261" i="91"/>
  <c r="CB258" i="91"/>
  <c r="CB240" i="91"/>
  <c r="CB278" i="91"/>
  <c r="CB228" i="91"/>
  <c r="CB236" i="91"/>
  <c r="CA277" i="91"/>
  <c r="CA225" i="91"/>
  <c r="CA224" i="91"/>
  <c r="CA273" i="91"/>
  <c r="CA231" i="91"/>
  <c r="CA257" i="91"/>
  <c r="CB246" i="91"/>
  <c r="CB241" i="91"/>
  <c r="CB271" i="91"/>
  <c r="CB266" i="91"/>
  <c r="CA232" i="91"/>
  <c r="CA263" i="91"/>
  <c r="CA230" i="91"/>
  <c r="CA272" i="91"/>
  <c r="CA233" i="91"/>
  <c r="CA236" i="91"/>
  <c r="CA238" i="91"/>
  <c r="CA274" i="91"/>
  <c r="CA228" i="91"/>
  <c r="CA247" i="91"/>
  <c r="CA239" i="91"/>
  <c r="CA244" i="91"/>
  <c r="CB267" i="91"/>
  <c r="CB272" i="91"/>
  <c r="CB265" i="91"/>
  <c r="CB255" i="91"/>
  <c r="CB275" i="91"/>
  <c r="CB223" i="91"/>
  <c r="CB235" i="91"/>
  <c r="CB279" i="91"/>
  <c r="CA237" i="91"/>
  <c r="CA234" i="91"/>
  <c r="CA223" i="91"/>
  <c r="CA256" i="91"/>
  <c r="CA269" i="91"/>
  <c r="CA265" i="91"/>
  <c r="CA235" i="91"/>
  <c r="CB276" i="91"/>
  <c r="CB274" i="91"/>
  <c r="CB264" i="91"/>
  <c r="CB270" i="91"/>
  <c r="CB254" i="91"/>
  <c r="CB238" i="91"/>
  <c r="CB229" i="91"/>
  <c r="CA306" i="91"/>
  <c r="CA290" i="91"/>
  <c r="CA286" i="91"/>
  <c r="CA302" i="91"/>
  <c r="CA298" i="91"/>
  <c r="CA304" i="91"/>
  <c r="CA287" i="91"/>
  <c r="CA296" i="91"/>
  <c r="CA310" i="91"/>
  <c r="CA294" i="91"/>
  <c r="CA308" i="91"/>
  <c r="CA292" i="91"/>
  <c r="CA288" i="91"/>
  <c r="CA300" i="91"/>
  <c r="CA295" i="91"/>
  <c r="CA299" i="91"/>
  <c r="CA289" i="91"/>
  <c r="CA305" i="91"/>
  <c r="CA303" i="91"/>
  <c r="CA293" i="91"/>
  <c r="CA309" i="91"/>
  <c r="CA291" i="91"/>
  <c r="CA307" i="91"/>
  <c r="CA297" i="91"/>
  <c r="CA285" i="91"/>
  <c r="CA301" i="91"/>
  <c r="CC221" i="91"/>
  <c r="A388" i="91"/>
  <c r="G388" i="91"/>
  <c r="H388" i="91"/>
  <c r="K388" i="91"/>
  <c r="L388" i="91"/>
  <c r="P388" i="91"/>
  <c r="N388" i="91"/>
  <c r="O388" i="91"/>
  <c r="M388" i="91"/>
  <c r="CB245" i="91"/>
  <c r="CC276" i="91"/>
  <c r="CC237" i="91"/>
  <c r="CC229" i="91"/>
  <c r="CB232" i="91"/>
  <c r="CC226" i="91"/>
  <c r="CC231" i="91"/>
  <c r="CC223" i="91"/>
  <c r="CC224" i="91"/>
  <c r="CB256" i="91"/>
  <c r="CB225" i="91"/>
  <c r="CC269" i="91"/>
  <c r="CC227" i="91"/>
  <c r="CC232" i="91"/>
  <c r="CB244" i="91"/>
  <c r="CB263" i="91"/>
  <c r="CC243" i="91"/>
  <c r="CC240" i="91"/>
  <c r="CC234" i="91"/>
  <c r="CC247" i="91"/>
  <c r="CB298" i="91"/>
  <c r="CB292" i="91"/>
  <c r="CB302" i="91"/>
  <c r="CB307" i="91"/>
  <c r="CB296" i="91"/>
  <c r="CB286" i="91"/>
  <c r="CB289" i="91"/>
  <c r="CB305" i="91"/>
  <c r="CB299" i="91"/>
  <c r="CB290" i="91"/>
  <c r="CB306" i="91"/>
  <c r="CB287" i="91"/>
  <c r="CB300" i="91"/>
  <c r="CB293" i="91"/>
  <c r="CB309" i="91"/>
  <c r="CB294" i="91"/>
  <c r="CB310" i="91"/>
  <c r="CB295" i="91"/>
  <c r="CB291" i="91"/>
  <c r="CB288" i="91"/>
  <c r="CB304" i="91"/>
  <c r="CB297" i="91"/>
  <c r="CB303" i="91"/>
  <c r="CB308" i="91"/>
  <c r="CB285" i="91"/>
  <c r="CB301" i="91"/>
  <c r="CD221" i="91"/>
  <c r="A389" i="91"/>
  <c r="G389" i="91"/>
  <c r="N389" i="91"/>
  <c r="H389" i="91"/>
  <c r="K389" i="91"/>
  <c r="M389" i="91"/>
  <c r="O389" i="91"/>
  <c r="A390" i="91"/>
  <c r="G390" i="91"/>
  <c r="H390" i="91"/>
  <c r="K390" i="91"/>
  <c r="L390" i="91"/>
  <c r="M390" i="91"/>
  <c r="N390" i="91"/>
  <c r="O390" i="91"/>
  <c r="P390" i="91"/>
  <c r="A391" i="91"/>
  <c r="G391" i="91"/>
  <c r="K391" i="91"/>
  <c r="H391" i="91"/>
  <c r="M391" i="91"/>
  <c r="A392" i="91"/>
  <c r="G392" i="91"/>
  <c r="H392" i="91"/>
  <c r="K392" i="91"/>
  <c r="L392" i="91"/>
  <c r="M392" i="91"/>
  <c r="N392" i="91"/>
  <c r="O392" i="91"/>
  <c r="P392" i="91"/>
  <c r="A393" i="91"/>
  <c r="G393" i="91"/>
  <c r="N393" i="91"/>
  <c r="N424" i="91"/>
  <c r="H393" i="91"/>
  <c r="K393" i="91"/>
  <c r="M393" i="91"/>
  <c r="O393" i="91"/>
  <c r="A394" i="91"/>
  <c r="G394" i="91"/>
  <c r="K394" i="91"/>
  <c r="K425" i="91"/>
  <c r="H394" i="91"/>
  <c r="L394" i="91"/>
  <c r="M394" i="91"/>
  <c r="N394" i="91"/>
  <c r="O394" i="91"/>
  <c r="P394" i="91"/>
  <c r="A395" i="91"/>
  <c r="G395" i="91"/>
  <c r="K395" i="91"/>
  <c r="K426" i="91"/>
  <c r="H395" i="91"/>
  <c r="M395" i="91"/>
  <c r="A396" i="91"/>
  <c r="G396" i="91"/>
  <c r="H396" i="91"/>
  <c r="K396" i="91"/>
  <c r="L396" i="91"/>
  <c r="M396" i="91"/>
  <c r="N396" i="91"/>
  <c r="O396" i="91"/>
  <c r="P396" i="91"/>
  <c r="A397" i="91"/>
  <c r="G397" i="91"/>
  <c r="N397" i="91"/>
  <c r="N428" i="91"/>
  <c r="H397" i="91"/>
  <c r="K397" i="91"/>
  <c r="M397" i="91"/>
  <c r="O397" i="91"/>
  <c r="A398" i="91"/>
  <c r="G398" i="91"/>
  <c r="K398" i="91"/>
  <c r="K429" i="91"/>
  <c r="H398" i="91"/>
  <c r="L398" i="91"/>
  <c r="M398" i="91"/>
  <c r="N398" i="91"/>
  <c r="O398" i="91"/>
  <c r="P398" i="91"/>
  <c r="A399" i="91"/>
  <c r="G399" i="91"/>
  <c r="K399" i="91"/>
  <c r="K430" i="91"/>
  <c r="H399" i="91"/>
  <c r="M399" i="91"/>
  <c r="A400" i="91"/>
  <c r="G400" i="91"/>
  <c r="H400" i="91"/>
  <c r="K400" i="91"/>
  <c r="L400" i="91"/>
  <c r="M400" i="91"/>
  <c r="N400" i="91"/>
  <c r="O400" i="91"/>
  <c r="P400" i="91"/>
  <c r="A401" i="91"/>
  <c r="G401" i="91"/>
  <c r="N401" i="91"/>
  <c r="N432" i="91"/>
  <c r="H401" i="91"/>
  <c r="K401" i="91"/>
  <c r="M401" i="91"/>
  <c r="O401" i="91"/>
  <c r="A402" i="91"/>
  <c r="G402" i="91"/>
  <c r="K402" i="91"/>
  <c r="K433" i="91"/>
  <c r="H402" i="91"/>
  <c r="L402" i="91"/>
  <c r="M402" i="91"/>
  <c r="N402" i="91"/>
  <c r="O402" i="91"/>
  <c r="P402" i="91"/>
  <c r="A403" i="91"/>
  <c r="G403" i="91"/>
  <c r="K403" i="91"/>
  <c r="K434" i="91"/>
  <c r="H403" i="91"/>
  <c r="M403" i="91"/>
  <c r="D408" i="91"/>
  <c r="D439" i="91"/>
  <c r="D470" i="91"/>
  <c r="P408" i="91"/>
  <c r="I47" i="97"/>
  <c r="G409" i="91"/>
  <c r="A410" i="91"/>
  <c r="G410" i="91"/>
  <c r="H410" i="91"/>
  <c r="K410" i="91"/>
  <c r="L410" i="91"/>
  <c r="M410" i="91"/>
  <c r="N410" i="91"/>
  <c r="O410" i="91"/>
  <c r="P410" i="91"/>
  <c r="I49" i="97"/>
  <c r="M94" i="97"/>
  <c r="J13" i="20"/>
  <c r="T410" i="91"/>
  <c r="A411" i="91"/>
  <c r="G411" i="91"/>
  <c r="H411" i="91"/>
  <c r="K411" i="91"/>
  <c r="L411" i="91"/>
  <c r="M411" i="91"/>
  <c r="N411" i="91"/>
  <c r="O411" i="91"/>
  <c r="V411" i="91"/>
  <c r="P411" i="91"/>
  <c r="I50" i="97"/>
  <c r="M95" i="97"/>
  <c r="J14" i="20"/>
  <c r="A412" i="91"/>
  <c r="G412" i="91"/>
  <c r="H412" i="91"/>
  <c r="K412" i="91"/>
  <c r="L412" i="91"/>
  <c r="M412" i="91"/>
  <c r="N412" i="91"/>
  <c r="V412" i="91"/>
  <c r="O412" i="91"/>
  <c r="P412" i="91"/>
  <c r="I51" i="97"/>
  <c r="M96" i="97"/>
  <c r="J15" i="20"/>
  <c r="A413" i="91"/>
  <c r="G413" i="91"/>
  <c r="H413" i="91"/>
  <c r="K413" i="91"/>
  <c r="L413" i="91"/>
  <c r="M413" i="91"/>
  <c r="N413" i="91"/>
  <c r="O413" i="91"/>
  <c r="P413" i="91"/>
  <c r="I52" i="97"/>
  <c r="M97" i="97"/>
  <c r="J16" i="20"/>
  <c r="A414" i="91"/>
  <c r="G414" i="91"/>
  <c r="H414" i="91"/>
  <c r="K414" i="91"/>
  <c r="L414" i="91"/>
  <c r="M414" i="91"/>
  <c r="N414" i="91"/>
  <c r="O414" i="91"/>
  <c r="P414" i="91"/>
  <c r="I53" i="97"/>
  <c r="M98" i="97"/>
  <c r="J17" i="20"/>
  <c r="A415" i="91"/>
  <c r="G415" i="91"/>
  <c r="H415" i="91"/>
  <c r="K415" i="91"/>
  <c r="L415" i="91"/>
  <c r="M415" i="91"/>
  <c r="N415" i="91"/>
  <c r="O415" i="91"/>
  <c r="P415" i="91"/>
  <c r="I54" i="97"/>
  <c r="M99" i="97"/>
  <c r="J18" i="20"/>
  <c r="A416" i="91"/>
  <c r="G416" i="91"/>
  <c r="H416" i="91"/>
  <c r="K416" i="91"/>
  <c r="L416" i="91"/>
  <c r="M416" i="91"/>
  <c r="N416" i="91"/>
  <c r="O416" i="91"/>
  <c r="P416" i="91"/>
  <c r="I55" i="97"/>
  <c r="M100" i="97"/>
  <c r="J19" i="20"/>
  <c r="A417" i="91"/>
  <c r="G417" i="91"/>
  <c r="H417" i="91"/>
  <c r="K417" i="91"/>
  <c r="L417" i="91"/>
  <c r="M417" i="91"/>
  <c r="N417" i="91"/>
  <c r="O417" i="91"/>
  <c r="P417" i="91"/>
  <c r="I56" i="97"/>
  <c r="M101" i="97"/>
  <c r="J20" i="20"/>
  <c r="A418" i="91"/>
  <c r="G418" i="91"/>
  <c r="H418" i="91"/>
  <c r="K418" i="91"/>
  <c r="L418" i="91"/>
  <c r="M418" i="91"/>
  <c r="N418" i="91"/>
  <c r="O418" i="91"/>
  <c r="P418" i="91"/>
  <c r="I57" i="97"/>
  <c r="M102" i="97"/>
  <c r="J21" i="20"/>
  <c r="A419" i="91"/>
  <c r="G419" i="91"/>
  <c r="H419" i="91"/>
  <c r="K419" i="91"/>
  <c r="L419" i="91"/>
  <c r="M419" i="91"/>
  <c r="N419" i="91"/>
  <c r="O419" i="91"/>
  <c r="V419" i="91"/>
  <c r="P419" i="91"/>
  <c r="I58" i="97"/>
  <c r="M103" i="97"/>
  <c r="J22" i="20"/>
  <c r="A420" i="91"/>
  <c r="G420" i="91"/>
  <c r="H420" i="91"/>
  <c r="K420" i="91"/>
  <c r="M420" i="91"/>
  <c r="O420" i="91"/>
  <c r="A421" i="91"/>
  <c r="G421" i="91"/>
  <c r="H421" i="91"/>
  <c r="K421" i="91"/>
  <c r="L421" i="91"/>
  <c r="M421" i="91"/>
  <c r="N421" i="91"/>
  <c r="O421" i="91"/>
  <c r="P421" i="91"/>
  <c r="A422" i="91"/>
  <c r="G422" i="91"/>
  <c r="H422" i="91"/>
  <c r="M422" i="91"/>
  <c r="A423" i="91"/>
  <c r="G423" i="91"/>
  <c r="H423" i="91"/>
  <c r="K423" i="91"/>
  <c r="L423" i="91"/>
  <c r="M423" i="91"/>
  <c r="N423" i="91"/>
  <c r="O423" i="91"/>
  <c r="P423" i="91"/>
  <c r="A424" i="91"/>
  <c r="G424" i="91"/>
  <c r="H424" i="91"/>
  <c r="K424" i="91"/>
  <c r="M424" i="91"/>
  <c r="O424" i="91"/>
  <c r="A425" i="91"/>
  <c r="G425" i="91"/>
  <c r="H425" i="91"/>
  <c r="L425" i="91"/>
  <c r="M425" i="91"/>
  <c r="N425" i="91"/>
  <c r="O425" i="91"/>
  <c r="P425" i="91"/>
  <c r="A426" i="91"/>
  <c r="G426" i="91"/>
  <c r="H426" i="91"/>
  <c r="M426" i="91"/>
  <c r="A427" i="91"/>
  <c r="G427" i="91"/>
  <c r="H427" i="91"/>
  <c r="K427" i="91"/>
  <c r="L427" i="91"/>
  <c r="M427" i="91"/>
  <c r="N427" i="91"/>
  <c r="O427" i="91"/>
  <c r="V427" i="91"/>
  <c r="P427" i="91"/>
  <c r="A428" i="91"/>
  <c r="G428" i="91"/>
  <c r="H428" i="91"/>
  <c r="K428" i="91"/>
  <c r="M428" i="91"/>
  <c r="O428" i="91"/>
  <c r="A429" i="91"/>
  <c r="G429" i="91"/>
  <c r="H429" i="91"/>
  <c r="L429" i="91"/>
  <c r="M429" i="91"/>
  <c r="N429" i="91"/>
  <c r="V429" i="91"/>
  <c r="O429" i="91"/>
  <c r="P429" i="91"/>
  <c r="A430" i="91"/>
  <c r="G430" i="91"/>
  <c r="H430" i="91"/>
  <c r="M430" i="91"/>
  <c r="A431" i="91"/>
  <c r="G431" i="91"/>
  <c r="H431" i="91"/>
  <c r="K431" i="91"/>
  <c r="L431" i="91"/>
  <c r="M431" i="91"/>
  <c r="N431" i="91"/>
  <c r="O431" i="91"/>
  <c r="P431" i="91"/>
  <c r="A432" i="91"/>
  <c r="G432" i="91"/>
  <c r="H432" i="91"/>
  <c r="K432" i="91"/>
  <c r="M432" i="91"/>
  <c r="O432" i="91"/>
  <c r="A433" i="91"/>
  <c r="G433" i="91"/>
  <c r="H433" i="91"/>
  <c r="L433" i="91"/>
  <c r="M433" i="91"/>
  <c r="N433" i="91"/>
  <c r="O433" i="91"/>
  <c r="P433" i="91"/>
  <c r="A434" i="91"/>
  <c r="G434" i="91"/>
  <c r="H434" i="91"/>
  <c r="M434" i="91"/>
  <c r="P439" i="91"/>
  <c r="G440" i="91"/>
  <c r="A441" i="91"/>
  <c r="G441" i="91"/>
  <c r="H441" i="91"/>
  <c r="A442" i="91"/>
  <c r="G442" i="91"/>
  <c r="H442" i="91"/>
  <c r="A443" i="91"/>
  <c r="G443" i="91"/>
  <c r="H443" i="91"/>
  <c r="A444" i="91"/>
  <c r="G444" i="91"/>
  <c r="H444" i="91"/>
  <c r="A445" i="91"/>
  <c r="G445" i="91"/>
  <c r="H445" i="91"/>
  <c r="A446" i="91"/>
  <c r="G446" i="91"/>
  <c r="H446" i="91"/>
  <c r="A447" i="91"/>
  <c r="G447" i="91"/>
  <c r="H447" i="91"/>
  <c r="A448" i="91"/>
  <c r="G448" i="91"/>
  <c r="H448" i="91"/>
  <c r="A449" i="91"/>
  <c r="G449" i="91"/>
  <c r="H449" i="91"/>
  <c r="A450" i="91"/>
  <c r="G450" i="91"/>
  <c r="H450" i="91"/>
  <c r="A451" i="91"/>
  <c r="G451" i="91"/>
  <c r="H451" i="91"/>
  <c r="S451" i="91"/>
  <c r="T451" i="91"/>
  <c r="U451" i="91"/>
  <c r="V451" i="91"/>
  <c r="W451" i="91"/>
  <c r="X451" i="91"/>
  <c r="A452" i="91"/>
  <c r="G452" i="91"/>
  <c r="H452" i="91"/>
  <c r="S452" i="91"/>
  <c r="T452" i="91"/>
  <c r="U452" i="91"/>
  <c r="V452" i="91"/>
  <c r="W452" i="91"/>
  <c r="X452" i="91"/>
  <c r="A453" i="91"/>
  <c r="G453" i="91"/>
  <c r="H453" i="91"/>
  <c r="S453" i="91"/>
  <c r="T453" i="91"/>
  <c r="U453" i="91"/>
  <c r="V453" i="91"/>
  <c r="W453" i="91"/>
  <c r="X453" i="91"/>
  <c r="A454" i="91"/>
  <c r="G454" i="91"/>
  <c r="H454" i="91"/>
  <c r="S454" i="91"/>
  <c r="T454" i="91"/>
  <c r="U454" i="91"/>
  <c r="V454" i="91"/>
  <c r="W454" i="91"/>
  <c r="X454" i="91"/>
  <c r="A455" i="91"/>
  <c r="G455" i="91"/>
  <c r="H455" i="91"/>
  <c r="S455" i="91"/>
  <c r="T455" i="91"/>
  <c r="U455" i="91"/>
  <c r="V455" i="91"/>
  <c r="W455" i="91"/>
  <c r="X455" i="91"/>
  <c r="A456" i="91"/>
  <c r="G456" i="91"/>
  <c r="H456" i="91"/>
  <c r="S456" i="91"/>
  <c r="T456" i="91"/>
  <c r="U456" i="91"/>
  <c r="V456" i="91"/>
  <c r="W456" i="91"/>
  <c r="X456" i="91"/>
  <c r="A457" i="91"/>
  <c r="G457" i="91"/>
  <c r="H457" i="91"/>
  <c r="S457" i="91"/>
  <c r="T457" i="91"/>
  <c r="U457" i="91"/>
  <c r="V457" i="91"/>
  <c r="W457" i="91"/>
  <c r="X457" i="91"/>
  <c r="A458" i="91"/>
  <c r="G458" i="91"/>
  <c r="H458" i="91"/>
  <c r="S458" i="91"/>
  <c r="T458" i="91"/>
  <c r="U458" i="91"/>
  <c r="V458" i="91"/>
  <c r="W458" i="91"/>
  <c r="X458" i="91"/>
  <c r="A459" i="91"/>
  <c r="G459" i="91"/>
  <c r="H459" i="91"/>
  <c r="S459" i="91"/>
  <c r="T459" i="91"/>
  <c r="U459" i="91"/>
  <c r="V459" i="91"/>
  <c r="W459" i="91"/>
  <c r="X459" i="91"/>
  <c r="A460" i="91"/>
  <c r="G460" i="91"/>
  <c r="H460" i="91"/>
  <c r="S460" i="91"/>
  <c r="T460" i="91"/>
  <c r="U460" i="91"/>
  <c r="V460" i="91"/>
  <c r="W460" i="91"/>
  <c r="X460" i="91"/>
  <c r="A461" i="91"/>
  <c r="G461" i="91"/>
  <c r="H461" i="91"/>
  <c r="S461" i="91"/>
  <c r="T461" i="91"/>
  <c r="U461" i="91"/>
  <c r="V461" i="91"/>
  <c r="W461" i="91"/>
  <c r="X461" i="91"/>
  <c r="A462" i="91"/>
  <c r="G462" i="91"/>
  <c r="H462" i="91"/>
  <c r="S462" i="91"/>
  <c r="T462" i="91"/>
  <c r="U462" i="91"/>
  <c r="V462" i="91"/>
  <c r="W462" i="91"/>
  <c r="X462" i="91"/>
  <c r="A463" i="91"/>
  <c r="G463" i="91"/>
  <c r="H463" i="91"/>
  <c r="S463" i="91"/>
  <c r="T463" i="91"/>
  <c r="U463" i="91"/>
  <c r="V463" i="91"/>
  <c r="W463" i="91"/>
  <c r="X463" i="91"/>
  <c r="A464" i="91"/>
  <c r="G464" i="91"/>
  <c r="H464" i="91"/>
  <c r="S464" i="91"/>
  <c r="T464" i="91"/>
  <c r="U464" i="91"/>
  <c r="V464" i="91"/>
  <c r="W464" i="91"/>
  <c r="X464" i="91"/>
  <c r="A465" i="91"/>
  <c r="G465" i="91"/>
  <c r="H465" i="91"/>
  <c r="S465" i="91"/>
  <c r="T465" i="91"/>
  <c r="U465" i="91"/>
  <c r="V465" i="91"/>
  <c r="W465" i="91"/>
  <c r="X465" i="91"/>
  <c r="G471" i="91"/>
  <c r="A472" i="91"/>
  <c r="G472" i="91"/>
  <c r="H472" i="91"/>
  <c r="K472" i="91"/>
  <c r="O472" i="91"/>
  <c r="L472" i="91"/>
  <c r="P472" i="91"/>
  <c r="M472" i="91"/>
  <c r="N472" i="91"/>
  <c r="CC274" i="91"/>
  <c r="CC239" i="91"/>
  <c r="CC268" i="91"/>
  <c r="CC266" i="91"/>
  <c r="CC242" i="91"/>
  <c r="CC275" i="91"/>
  <c r="CC271" i="91"/>
  <c r="CC272" i="91"/>
  <c r="CC233" i="91"/>
  <c r="CC261" i="91"/>
  <c r="CD227" i="91"/>
  <c r="CD247" i="91"/>
  <c r="CD237" i="91"/>
  <c r="CD278" i="91"/>
  <c r="CD239" i="91"/>
  <c r="CD274" i="91"/>
  <c r="CD257" i="91"/>
  <c r="CD225" i="91"/>
  <c r="CD241" i="91"/>
  <c r="CC264" i="91"/>
  <c r="CC238" i="91"/>
  <c r="CC270" i="91"/>
  <c r="CC235" i="91"/>
  <c r="CC246" i="91"/>
  <c r="CC245" i="91"/>
  <c r="CC273" i="91"/>
  <c r="CC259" i="91"/>
  <c r="CC279" i="91"/>
  <c r="CC258" i="91"/>
  <c r="CD269" i="91"/>
  <c r="CD231" i="91"/>
  <c r="CD261" i="91"/>
  <c r="CD277" i="91"/>
  <c r="CC241" i="91"/>
  <c r="CC263" i="91"/>
  <c r="CC265" i="91"/>
  <c r="CC225" i="91"/>
  <c r="CC228" i="91"/>
  <c r="CC254" i="91"/>
  <c r="CC277" i="91"/>
  <c r="CC255" i="91"/>
  <c r="CC262" i="91"/>
  <c r="CD264" i="91"/>
  <c r="CD248" i="91"/>
  <c r="CD265" i="91"/>
  <c r="CD263" i="91"/>
  <c r="CD268" i="91"/>
  <c r="CD236" i="91"/>
  <c r="CD267" i="91"/>
  <c r="CD224" i="91"/>
  <c r="CD259" i="91"/>
  <c r="CD256" i="91"/>
  <c r="CD240" i="91"/>
  <c r="CD226" i="91"/>
  <c r="CD228" i="91"/>
  <c r="CC236" i="91"/>
  <c r="CC244" i="91"/>
  <c r="CC278" i="91"/>
  <c r="CC248" i="91"/>
  <c r="CC267" i="91"/>
  <c r="CC256" i="91"/>
  <c r="CC230" i="91"/>
  <c r="CC260" i="91"/>
  <c r="CC257" i="91"/>
  <c r="CD243" i="91"/>
  <c r="CD232" i="91"/>
  <c r="CD246" i="91"/>
  <c r="CD229" i="91"/>
  <c r="CD254" i="91"/>
  <c r="CD266" i="91"/>
  <c r="CD238" i="91"/>
  <c r="CD223" i="91"/>
  <c r="CD244" i="91"/>
  <c r="CD235" i="91"/>
  <c r="CD234" i="91"/>
  <c r="CD245" i="91"/>
  <c r="CD260" i="91"/>
  <c r="CD242" i="91"/>
  <c r="CD271" i="91"/>
  <c r="CD258" i="91"/>
  <c r="CD273" i="91"/>
  <c r="CD262" i="91"/>
  <c r="CD276" i="91"/>
  <c r="CD279" i="91"/>
  <c r="CD255" i="91"/>
  <c r="CD275" i="91"/>
  <c r="CD233" i="91"/>
  <c r="CD272" i="91"/>
  <c r="CD230" i="91"/>
  <c r="CD270" i="91"/>
  <c r="V431" i="91"/>
  <c r="T414" i="91"/>
  <c r="S423" i="91"/>
  <c r="U429" i="91"/>
  <c r="T429" i="91"/>
  <c r="M404" i="91"/>
  <c r="S431" i="91"/>
  <c r="S427" i="91"/>
  <c r="U433" i="91"/>
  <c r="V425" i="91"/>
  <c r="T427" i="91"/>
  <c r="T418" i="91"/>
  <c r="U417" i="91"/>
  <c r="V416" i="91"/>
  <c r="S411" i="91"/>
  <c r="S419" i="91"/>
  <c r="V414" i="91"/>
  <c r="V415" i="91"/>
  <c r="S415" i="91"/>
  <c r="U414" i="91"/>
  <c r="V417" i="91"/>
  <c r="CC305" i="91"/>
  <c r="CC289" i="91"/>
  <c r="CC286" i="91"/>
  <c r="CC302" i="91"/>
  <c r="CC295" i="91"/>
  <c r="CC296" i="91"/>
  <c r="CC297" i="91"/>
  <c r="CC290" i="91"/>
  <c r="CC306" i="91"/>
  <c r="CC299" i="91"/>
  <c r="CC300" i="91"/>
  <c r="CC285" i="91"/>
  <c r="CC309" i="91"/>
  <c r="CC294" i="91"/>
  <c r="CC310" i="91"/>
  <c r="CC287" i="91"/>
  <c r="CC303" i="91"/>
  <c r="CC308" i="91"/>
  <c r="CC304" i="91"/>
  <c r="CC293" i="91"/>
  <c r="CC298" i="91"/>
  <c r="CC288" i="91"/>
  <c r="CC301" i="91"/>
  <c r="CC291" i="91"/>
  <c r="CC307" i="91"/>
  <c r="CC292" i="91"/>
  <c r="U425" i="91"/>
  <c r="T425" i="91"/>
  <c r="T423" i="91"/>
  <c r="V421" i="91"/>
  <c r="T416" i="91"/>
  <c r="S414" i="91"/>
  <c r="V413" i="91"/>
  <c r="T412" i="91"/>
  <c r="S410" i="91"/>
  <c r="S425" i="91"/>
  <c r="V433" i="91"/>
  <c r="T431" i="91"/>
  <c r="V423" i="91"/>
  <c r="U421" i="91"/>
  <c r="T421" i="91"/>
  <c r="T419" i="91"/>
  <c r="S418" i="91"/>
  <c r="T417" i="91"/>
  <c r="S416" i="91"/>
  <c r="U415" i="91"/>
  <c r="U413" i="91"/>
  <c r="T413" i="91"/>
  <c r="S412" i="91"/>
  <c r="U411" i="91"/>
  <c r="S429" i="91"/>
  <c r="T433" i="91"/>
  <c r="U427" i="91"/>
  <c r="U418" i="91"/>
  <c r="U416" i="91"/>
  <c r="T415" i="91"/>
  <c r="U412" i="91"/>
  <c r="T411" i="91"/>
  <c r="U410" i="91"/>
  <c r="S433" i="91"/>
  <c r="M435" i="91"/>
  <c r="S421" i="91"/>
  <c r="S417" i="91"/>
  <c r="S413" i="91"/>
  <c r="L49" i="97"/>
  <c r="CD310" i="91"/>
  <c r="CD309" i="91"/>
  <c r="CD308" i="91"/>
  <c r="CD307" i="91"/>
  <c r="CD306" i="91"/>
  <c r="CD305" i="91"/>
  <c r="CD304" i="91"/>
  <c r="CD303" i="91"/>
  <c r="CD302" i="91"/>
  <c r="CD301" i="91"/>
  <c r="CD300" i="91"/>
  <c r="CD299" i="91"/>
  <c r="CD298" i="91"/>
  <c r="CD297" i="91"/>
  <c r="CD296" i="91"/>
  <c r="CD295" i="91"/>
  <c r="CD294" i="91"/>
  <c r="CD293" i="91"/>
  <c r="CD292" i="91"/>
  <c r="CD291" i="91"/>
  <c r="CD290" i="91"/>
  <c r="CD289" i="91"/>
  <c r="CD288" i="91"/>
  <c r="CD287" i="91"/>
  <c r="CD286" i="91"/>
  <c r="CD285" i="91"/>
  <c r="V428" i="91"/>
  <c r="U428" i="91"/>
  <c r="K422" i="91"/>
  <c r="K404" i="91"/>
  <c r="V432" i="91"/>
  <c r="U432" i="91"/>
  <c r="V424" i="91"/>
  <c r="U424" i="91"/>
  <c r="N420" i="91"/>
  <c r="N403" i="91"/>
  <c r="N434" i="91"/>
  <c r="P401" i="91"/>
  <c r="P432" i="91"/>
  <c r="L401" i="91"/>
  <c r="L432" i="91"/>
  <c r="T432" i="91"/>
  <c r="N399" i="91"/>
  <c r="N430" i="91"/>
  <c r="P397" i="91"/>
  <c r="P428" i="91"/>
  <c r="L397" i="91"/>
  <c r="L428" i="91"/>
  <c r="T428" i="91"/>
  <c r="N395" i="91"/>
  <c r="N426" i="91"/>
  <c r="P393" i="91"/>
  <c r="P424" i="91"/>
  <c r="L393" i="91"/>
  <c r="L424" i="91"/>
  <c r="T424" i="91"/>
  <c r="N391" i="91"/>
  <c r="N422" i="91"/>
  <c r="P389" i="91"/>
  <c r="L389" i="91"/>
  <c r="U431" i="91"/>
  <c r="U423" i="91"/>
  <c r="U419" i="91"/>
  <c r="V418" i="91"/>
  <c r="V410" i="91"/>
  <c r="CE221" i="91"/>
  <c r="J9" i="20"/>
  <c r="M90" i="97"/>
  <c r="P403" i="91"/>
  <c r="P434" i="91"/>
  <c r="L403" i="91"/>
  <c r="L434" i="91"/>
  <c r="P399" i="91"/>
  <c r="P430" i="91"/>
  <c r="L399" i="91"/>
  <c r="L430" i="91"/>
  <c r="P395" i="91"/>
  <c r="P426" i="91"/>
  <c r="L395" i="91"/>
  <c r="L426" i="91"/>
  <c r="P391" i="91"/>
  <c r="P422" i="91"/>
  <c r="L391" i="91"/>
  <c r="L422" i="91"/>
  <c r="O403" i="91"/>
  <c r="O434" i="91"/>
  <c r="O399" i="91"/>
  <c r="O430" i="91"/>
  <c r="O395" i="91"/>
  <c r="O426" i="91"/>
  <c r="U426" i="91"/>
  <c r="O391" i="91"/>
  <c r="S472" i="91"/>
  <c r="T472" i="91"/>
  <c r="U472" i="91"/>
  <c r="V472" i="91"/>
  <c r="A473" i="91"/>
  <c r="G473" i="91"/>
  <c r="H473" i="91"/>
  <c r="P473" i="91"/>
  <c r="M473" i="91"/>
  <c r="N473" i="91"/>
  <c r="K473" i="91"/>
  <c r="O473" i="91"/>
  <c r="L473" i="91"/>
  <c r="CE272" i="91"/>
  <c r="CE247" i="91"/>
  <c r="CE257" i="91"/>
  <c r="CE261" i="91"/>
  <c r="CE271" i="91"/>
  <c r="CE230" i="91"/>
  <c r="CE268" i="91"/>
  <c r="CE264" i="91"/>
  <c r="CE233" i="91"/>
  <c r="CE279" i="91"/>
  <c r="CE246" i="91"/>
  <c r="CE266" i="91"/>
  <c r="CE241" i="91"/>
  <c r="CE274" i="91"/>
  <c r="CE223" i="91"/>
  <c r="CE267" i="91"/>
  <c r="T426" i="91"/>
  <c r="T434" i="91"/>
  <c r="L50" i="97"/>
  <c r="O422" i="91"/>
  <c r="O435" i="91"/>
  <c r="O404" i="91"/>
  <c r="T430" i="91"/>
  <c r="V420" i="91"/>
  <c r="N435" i="91"/>
  <c r="U420" i="91"/>
  <c r="P420" i="91"/>
  <c r="P435" i="91"/>
  <c r="P404" i="91"/>
  <c r="V426" i="91"/>
  <c r="N404" i="91"/>
  <c r="S428" i="91"/>
  <c r="S432" i="91"/>
  <c r="S426" i="91"/>
  <c r="CF221" i="91"/>
  <c r="S430" i="91"/>
  <c r="U434" i="91"/>
  <c r="V434" i="91"/>
  <c r="S424" i="91"/>
  <c r="L420" i="91"/>
  <c r="L404" i="91"/>
  <c r="U430" i="91"/>
  <c r="V430" i="91"/>
  <c r="K435" i="91"/>
  <c r="S434" i="91"/>
  <c r="S473" i="91"/>
  <c r="T473" i="91"/>
  <c r="U473" i="91"/>
  <c r="V473" i="91"/>
  <c r="A474" i="91"/>
  <c r="G474" i="91"/>
  <c r="H474" i="91"/>
  <c r="K474" i="91"/>
  <c r="O474" i="91"/>
  <c r="P474" i="91"/>
  <c r="L474" i="91"/>
  <c r="M474" i="91"/>
  <c r="N474" i="91"/>
  <c r="CF242" i="91"/>
  <c r="CF235" i="91"/>
  <c r="CE273" i="91"/>
  <c r="CE232" i="91"/>
  <c r="CE244" i="91"/>
  <c r="CE263" i="91"/>
  <c r="CE234" i="91"/>
  <c r="CE254" i="91"/>
  <c r="CE260" i="91"/>
  <c r="CE229" i="91"/>
  <c r="CE278" i="91"/>
  <c r="CE226" i="91"/>
  <c r="CE255" i="91"/>
  <c r="CE276" i="91"/>
  <c r="CE235" i="91"/>
  <c r="CE228" i="91"/>
  <c r="CE256" i="91"/>
  <c r="CF263" i="91"/>
  <c r="CF258" i="91"/>
  <c r="CF240" i="91"/>
  <c r="CF257" i="91"/>
  <c r="CF245" i="91"/>
  <c r="CE231" i="91"/>
  <c r="CE236" i="91"/>
  <c r="CE275" i="91"/>
  <c r="CE225" i="91"/>
  <c r="CE243" i="91"/>
  <c r="CE262" i="91"/>
  <c r="CE269" i="91"/>
  <c r="CE277" i="91"/>
  <c r="CE238" i="91"/>
  <c r="CE270" i="91"/>
  <c r="CE242" i="91"/>
  <c r="CE237" i="91"/>
  <c r="CE248" i="91"/>
  <c r="CE224" i="91"/>
  <c r="CE258" i="91"/>
  <c r="CE265" i="91"/>
  <c r="CE240" i="91"/>
  <c r="CE245" i="91"/>
  <c r="CE259" i="91"/>
  <c r="CE239" i="91"/>
  <c r="CE227" i="91"/>
  <c r="CF225" i="91"/>
  <c r="CF238" i="91"/>
  <c r="CF231" i="91"/>
  <c r="CF265" i="91"/>
  <c r="CF259" i="91"/>
  <c r="CF271" i="91"/>
  <c r="CE298" i="91"/>
  <c r="S422" i="91"/>
  <c r="U422" i="91"/>
  <c r="T422" i="91"/>
  <c r="V422" i="91"/>
  <c r="CE299" i="91"/>
  <c r="CE308" i="91"/>
  <c r="CE290" i="91"/>
  <c r="CE285" i="91"/>
  <c r="CE307" i="91"/>
  <c r="CE302" i="91"/>
  <c r="CE289" i="91"/>
  <c r="CE306" i="91"/>
  <c r="CE310" i="91"/>
  <c r="CE301" i="91"/>
  <c r="CE288" i="91"/>
  <c r="CE292" i="91"/>
  <c r="CE293" i="91"/>
  <c r="CE305" i="91"/>
  <c r="CE297" i="91"/>
  <c r="CE287" i="91"/>
  <c r="CE304" i="91"/>
  <c r="CE295" i="91"/>
  <c r="CE309" i="91"/>
  <c r="CE286" i="91"/>
  <c r="CE300" i="91"/>
  <c r="CE303" i="91"/>
  <c r="CE291" i="91"/>
  <c r="CE296" i="91"/>
  <c r="CE294" i="91"/>
  <c r="V435" i="91"/>
  <c r="L51" i="97"/>
  <c r="U435" i="91"/>
  <c r="L435" i="91"/>
  <c r="T420" i="91"/>
  <c r="S420" i="91"/>
  <c r="S435" i="91"/>
  <c r="CG221" i="91"/>
  <c r="S474" i="91"/>
  <c r="T474" i="91"/>
  <c r="U474" i="91"/>
  <c r="V474" i="91"/>
  <c r="A475" i="91"/>
  <c r="G475" i="91"/>
  <c r="H475" i="91"/>
  <c r="M475" i="91"/>
  <c r="N475" i="91"/>
  <c r="P475" i="91"/>
  <c r="K475" i="91"/>
  <c r="O475" i="91"/>
  <c r="L475" i="91"/>
  <c r="CF228" i="91"/>
  <c r="CF278" i="91"/>
  <c r="CG236" i="91"/>
  <c r="CG240" i="91"/>
  <c r="CG273" i="91"/>
  <c r="CG257" i="91"/>
  <c r="CF229" i="91"/>
  <c r="CF247" i="91"/>
  <c r="CF254" i="91"/>
  <c r="CF270" i="91"/>
  <c r="CF262" i="91"/>
  <c r="CF244" i="91"/>
  <c r="CF273" i="91"/>
  <c r="CF272" i="91"/>
  <c r="CF266" i="91"/>
  <c r="CF267" i="91"/>
  <c r="CG231" i="91"/>
  <c r="CG259" i="91"/>
  <c r="CG226" i="91"/>
  <c r="CG258" i="91"/>
  <c r="CG248" i="91"/>
  <c r="CG266" i="91"/>
  <c r="CG264" i="91"/>
  <c r="CG278" i="91"/>
  <c r="CG244" i="91"/>
  <c r="CG265" i="91"/>
  <c r="CG263" i="91"/>
  <c r="CG267" i="91"/>
  <c r="CF243" i="91"/>
  <c r="CF233" i="91"/>
  <c r="CF239" i="91"/>
  <c r="CF268" i="91"/>
  <c r="CF241" i="91"/>
  <c r="CF234" i="91"/>
  <c r="CF276" i="91"/>
  <c r="CF227" i="91"/>
  <c r="CF248" i="91"/>
  <c r="CG223" i="91"/>
  <c r="CG256" i="91"/>
  <c r="CG269" i="91"/>
  <c r="CG233" i="91"/>
  <c r="CG270" i="91"/>
  <c r="CG275" i="91"/>
  <c r="CG229" i="91"/>
  <c r="CF236" i="91"/>
  <c r="CG268" i="91"/>
  <c r="CG260" i="91"/>
  <c r="CG235" i="91"/>
  <c r="CG224" i="91"/>
  <c r="CG238" i="91"/>
  <c r="CG230" i="91"/>
  <c r="CF261" i="91"/>
  <c r="CF224" i="91"/>
  <c r="CF264" i="91"/>
  <c r="CF256" i="91"/>
  <c r="CF237" i="91"/>
  <c r="CF279" i="91"/>
  <c r="CF275" i="91"/>
  <c r="CF226" i="91"/>
  <c r="CF223" i="91"/>
  <c r="CG277" i="91"/>
  <c r="CG274" i="91"/>
  <c r="CG255" i="91"/>
  <c r="CG234" i="91"/>
  <c r="CG232" i="91"/>
  <c r="CG228" i="91"/>
  <c r="CG237" i="91"/>
  <c r="CG246" i="91"/>
  <c r="CG245" i="91"/>
  <c r="CG276" i="91"/>
  <c r="CG243" i="91"/>
  <c r="CG271" i="91"/>
  <c r="CG242" i="91"/>
  <c r="CF274" i="91"/>
  <c r="CF277" i="91"/>
  <c r="CF269" i="91"/>
  <c r="CF255" i="91"/>
  <c r="CF246" i="91"/>
  <c r="CF232" i="91"/>
  <c r="CF230" i="91"/>
  <c r="CF260" i="91"/>
  <c r="CG225" i="91"/>
  <c r="CG239" i="91"/>
  <c r="CG261" i="91"/>
  <c r="CG254" i="91"/>
  <c r="CG262" i="91"/>
  <c r="CG279" i="91"/>
  <c r="CG241" i="91"/>
  <c r="CG272" i="91"/>
  <c r="CG227" i="91"/>
  <c r="CG247" i="91"/>
  <c r="CF294" i="91"/>
  <c r="CF287" i="91"/>
  <c r="CF310" i="91"/>
  <c r="CF309" i="91"/>
  <c r="T435" i="91"/>
  <c r="CF303" i="91"/>
  <c r="CF291" i="91"/>
  <c r="CF295" i="91"/>
  <c r="CF306" i="91"/>
  <c r="CF298" i="91"/>
  <c r="CF307" i="91"/>
  <c r="CF286" i="91"/>
  <c r="CF285" i="91"/>
  <c r="CF305" i="91"/>
  <c r="CF296" i="91"/>
  <c r="CF292" i="91"/>
  <c r="CF301" i="91"/>
  <c r="CF299" i="91"/>
  <c r="CF302" i="91"/>
  <c r="CF288" i="91"/>
  <c r="CF308" i="91"/>
  <c r="CF304" i="91"/>
  <c r="CF300" i="91"/>
  <c r="CF290" i="91"/>
  <c r="CF289" i="91"/>
  <c r="CF293" i="91"/>
  <c r="CF297" i="91"/>
  <c r="L52" i="97"/>
  <c r="CH221" i="91"/>
  <c r="S475" i="91"/>
  <c r="T475" i="91"/>
  <c r="U475" i="91"/>
  <c r="V475" i="91"/>
  <c r="A476" i="91"/>
  <c r="G476" i="91"/>
  <c r="H476" i="91"/>
  <c r="M476" i="91"/>
  <c r="N476" i="91"/>
  <c r="O476" i="91"/>
  <c r="L476" i="91"/>
  <c r="P476" i="91"/>
  <c r="K476" i="91"/>
  <c r="CH268" i="91"/>
  <c r="CG304" i="91"/>
  <c r="CG292" i="91"/>
  <c r="CG306" i="91"/>
  <c r="CG300" i="91"/>
  <c r="CG308" i="91"/>
  <c r="CG302" i="91"/>
  <c r="CG286" i="91"/>
  <c r="CG310" i="91"/>
  <c r="CG290" i="91"/>
  <c r="CG294" i="91"/>
  <c r="CG298" i="91"/>
  <c r="CG288" i="91"/>
  <c r="CG287" i="91"/>
  <c r="CG296" i="91"/>
  <c r="CG303" i="91"/>
  <c r="CG293" i="91"/>
  <c r="CG309" i="91"/>
  <c r="CG291" i="91"/>
  <c r="CG307" i="91"/>
  <c r="CG297" i="91"/>
  <c r="CG295" i="91"/>
  <c r="CG285" i="91"/>
  <c r="CG301" i="91"/>
  <c r="CG299" i="91"/>
  <c r="CG289" i="91"/>
  <c r="CG305" i="91"/>
  <c r="L53" i="97"/>
  <c r="CI221" i="91"/>
  <c r="S476" i="91"/>
  <c r="T476" i="91"/>
  <c r="U476" i="91"/>
  <c r="V476" i="91"/>
  <c r="A477" i="91"/>
  <c r="G477" i="91"/>
  <c r="H477" i="91"/>
  <c r="M477" i="91"/>
  <c r="N477" i="91"/>
  <c r="O477" i="91"/>
  <c r="L477" i="91"/>
  <c r="P477" i="91"/>
  <c r="K477" i="91"/>
  <c r="CH228" i="91"/>
  <c r="CH270" i="91"/>
  <c r="CH256" i="91"/>
  <c r="CH276" i="91"/>
  <c r="CH262" i="91"/>
  <c r="CH242" i="91"/>
  <c r="CH246" i="91"/>
  <c r="CH231" i="91"/>
  <c r="CH265" i="91"/>
  <c r="CH229" i="91"/>
  <c r="CH245" i="91"/>
  <c r="CH230" i="91"/>
  <c r="CH277" i="91"/>
  <c r="CH266" i="91"/>
  <c r="CH235" i="91"/>
  <c r="CH255" i="91"/>
  <c r="CH263" i="91"/>
  <c r="CH240" i="91"/>
  <c r="CH243" i="91"/>
  <c r="CH225" i="91"/>
  <c r="CH234" i="91"/>
  <c r="CH260" i="91"/>
  <c r="CH271" i="91"/>
  <c r="CH267" i="91"/>
  <c r="CH247" i="91"/>
  <c r="CH237" i="91"/>
  <c r="CH244" i="91"/>
  <c r="CH275" i="91"/>
  <c r="CH272" i="91"/>
  <c r="CH279" i="91"/>
  <c r="CH248" i="91"/>
  <c r="CH269" i="91"/>
  <c r="CH259" i="91"/>
  <c r="CH278" i="91"/>
  <c r="CH238" i="91"/>
  <c r="CH224" i="91"/>
  <c r="CH274" i="91"/>
  <c r="CH261" i="91"/>
  <c r="CH233" i="91"/>
  <c r="CH227" i="91"/>
  <c r="CH273" i="91"/>
  <c r="CH254" i="91"/>
  <c r="CH258" i="91"/>
  <c r="CH257" i="91"/>
  <c r="CH264" i="91"/>
  <c r="CH236" i="91"/>
  <c r="CH226" i="91"/>
  <c r="CH239" i="91"/>
  <c r="CH232" i="91"/>
  <c r="CH223" i="91"/>
  <c r="CH241" i="91"/>
  <c r="CI229" i="91"/>
  <c r="CH288" i="91"/>
  <c r="CH304" i="91"/>
  <c r="CH297" i="91"/>
  <c r="CH287" i="91"/>
  <c r="CH294" i="91"/>
  <c r="CH310" i="91"/>
  <c r="CH295" i="91"/>
  <c r="CH303" i="91"/>
  <c r="CH308" i="91"/>
  <c r="CH285" i="91"/>
  <c r="CH298" i="91"/>
  <c r="CH299" i="91"/>
  <c r="CH292" i="91"/>
  <c r="CH301" i="91"/>
  <c r="CH296" i="91"/>
  <c r="CH289" i="91"/>
  <c r="CH305" i="91"/>
  <c r="CH286" i="91"/>
  <c r="CH302" i="91"/>
  <c r="CH307" i="91"/>
  <c r="CH300" i="91"/>
  <c r="CH293" i="91"/>
  <c r="CH309" i="91"/>
  <c r="CH290" i="91"/>
  <c r="CH306" i="91"/>
  <c r="CH291" i="91"/>
  <c r="L54" i="97"/>
  <c r="CJ221" i="91"/>
  <c r="S477" i="91"/>
  <c r="T477" i="91"/>
  <c r="U477" i="91"/>
  <c r="V477" i="91"/>
  <c r="A478" i="91"/>
  <c r="G478" i="91"/>
  <c r="H478" i="91"/>
  <c r="L478" i="91"/>
  <c r="P478" i="91"/>
  <c r="K478" i="91"/>
  <c r="M478" i="91"/>
  <c r="N478" i="91"/>
  <c r="O478" i="91"/>
  <c r="CJ228" i="91"/>
  <c r="CI241" i="91"/>
  <c r="CI255" i="91"/>
  <c r="CI269" i="91"/>
  <c r="CI262" i="91"/>
  <c r="CI223" i="91"/>
  <c r="CI235" i="91"/>
  <c r="CI258" i="91"/>
  <c r="CI245" i="91"/>
  <c r="CI236" i="91"/>
  <c r="CI231" i="91"/>
  <c r="CI228" i="91"/>
  <c r="CI230" i="91"/>
  <c r="CI256" i="91"/>
  <c r="CI238" i="91"/>
  <c r="CI279" i="91"/>
  <c r="CI265" i="91"/>
  <c r="CI225" i="91"/>
  <c r="CI259" i="91"/>
  <c r="CI275" i="91"/>
  <c r="CI261" i="91"/>
  <c r="CI264" i="91"/>
  <c r="CI246" i="91"/>
  <c r="CI266" i="91"/>
  <c r="CI272" i="91"/>
  <c r="CI271" i="91"/>
  <c r="CI270" i="91"/>
  <c r="CJ244" i="91"/>
  <c r="CJ255" i="91"/>
  <c r="CJ242" i="91"/>
  <c r="CJ233" i="91"/>
  <c r="CJ263" i="91"/>
  <c r="CJ257" i="91"/>
  <c r="CI248" i="91"/>
  <c r="CI233" i="91"/>
  <c r="CI227" i="91"/>
  <c r="CI232" i="91"/>
  <c r="CI268" i="91"/>
  <c r="CI260" i="91"/>
  <c r="CI247" i="91"/>
  <c r="CI224" i="91"/>
  <c r="CI276" i="91"/>
  <c r="CI277" i="91"/>
  <c r="CI244" i="91"/>
  <c r="CI263" i="91"/>
  <c r="CI267" i="91"/>
  <c r="CI242" i="91"/>
  <c r="CI240" i="91"/>
  <c r="CI226" i="91"/>
  <c r="CI273" i="91"/>
  <c r="CI254" i="91"/>
  <c r="CI278" i="91"/>
  <c r="CI243" i="91"/>
  <c r="CI274" i="91"/>
  <c r="CI237" i="91"/>
  <c r="CI234" i="91"/>
  <c r="CI239" i="91"/>
  <c r="CI257" i="91"/>
  <c r="CJ229" i="91"/>
  <c r="CJ276" i="91"/>
  <c r="CJ245" i="91"/>
  <c r="CJ224" i="91"/>
  <c r="CJ234" i="91"/>
  <c r="CJ265" i="91"/>
  <c r="CJ248" i="91"/>
  <c r="CI295" i="91"/>
  <c r="CI303" i="91"/>
  <c r="CI292" i="91"/>
  <c r="CI308" i="91"/>
  <c r="CI285" i="91"/>
  <c r="CI301" i="91"/>
  <c r="CI294" i="91"/>
  <c r="CI310" i="91"/>
  <c r="CI299" i="91"/>
  <c r="CI296" i="91"/>
  <c r="CI289" i="91"/>
  <c r="CI305" i="91"/>
  <c r="CI298" i="91"/>
  <c r="CI307" i="91"/>
  <c r="CI300" i="91"/>
  <c r="CI293" i="91"/>
  <c r="CI309" i="91"/>
  <c r="CI286" i="91"/>
  <c r="CI302" i="91"/>
  <c r="CI288" i="91"/>
  <c r="CI304" i="91"/>
  <c r="CI297" i="91"/>
  <c r="CI287" i="91"/>
  <c r="CI290" i="91"/>
  <c r="CI306" i="91"/>
  <c r="CI291" i="91"/>
  <c r="L55" i="97"/>
  <c r="CK221" i="91"/>
  <c r="S478" i="91"/>
  <c r="T478" i="91"/>
  <c r="U478" i="91"/>
  <c r="V478" i="91"/>
  <c r="A479" i="91"/>
  <c r="G479" i="91"/>
  <c r="K479" i="91"/>
  <c r="H479" i="91"/>
  <c r="L479" i="91"/>
  <c r="M479" i="91"/>
  <c r="P479" i="91"/>
  <c r="N479" i="91"/>
  <c r="O479" i="91"/>
  <c r="CK261" i="91"/>
  <c r="CK231" i="91"/>
  <c r="CK241" i="91"/>
  <c r="CJ266" i="91"/>
  <c r="CJ247" i="91"/>
  <c r="CJ238" i="91"/>
  <c r="CJ269" i="91"/>
  <c r="CJ230" i="91"/>
  <c r="CJ273" i="91"/>
  <c r="CJ271" i="91"/>
  <c r="CJ241" i="91"/>
  <c r="CJ261" i="91"/>
  <c r="CJ226" i="91"/>
  <c r="CK258" i="91"/>
  <c r="CK238" i="91"/>
  <c r="CK279" i="91"/>
  <c r="CK244" i="91"/>
  <c r="CK228" i="91"/>
  <c r="CK267" i="91"/>
  <c r="CK268" i="91"/>
  <c r="CK225" i="91"/>
  <c r="CK255" i="91"/>
  <c r="CK242" i="91"/>
  <c r="CK234" i="91"/>
  <c r="CK272" i="91"/>
  <c r="CK239" i="91"/>
  <c r="CJ240" i="91"/>
  <c r="CJ232" i="91"/>
  <c r="CJ267" i="91"/>
  <c r="CJ237" i="91"/>
  <c r="CJ239" i="91"/>
  <c r="CJ270" i="91"/>
  <c r="CJ262" i="91"/>
  <c r="CJ274" i="91"/>
  <c r="CJ278" i="91"/>
  <c r="CK224" i="91"/>
  <c r="CK247" i="91"/>
  <c r="CK263" i="91"/>
  <c r="CK245" i="91"/>
  <c r="CK274" i="91"/>
  <c r="CK233" i="91"/>
  <c r="CK273" i="91"/>
  <c r="CK264" i="91"/>
  <c r="CK256" i="91"/>
  <c r="CK235" i="91"/>
  <c r="CK223" i="91"/>
  <c r="CK246" i="91"/>
  <c r="CK243" i="91"/>
  <c r="CJ268" i="91"/>
  <c r="CJ235" i="91"/>
  <c r="CJ277" i="91"/>
  <c r="CJ260" i="91"/>
  <c r="CJ258" i="91"/>
  <c r="CJ254" i="91"/>
  <c r="CJ231" i="91"/>
  <c r="CJ236" i="91"/>
  <c r="CJ256" i="91"/>
  <c r="CK265" i="91"/>
  <c r="CK257" i="91"/>
  <c r="CK276" i="91"/>
  <c r="CK259" i="91"/>
  <c r="CK236" i="91"/>
  <c r="CK271" i="91"/>
  <c r="CK269" i="91"/>
  <c r="CK260" i="91"/>
  <c r="CK275" i="91"/>
  <c r="CK270" i="91"/>
  <c r="CK248" i="91"/>
  <c r="CK277" i="91"/>
  <c r="CJ264" i="91"/>
  <c r="CJ227" i="91"/>
  <c r="CJ246" i="91"/>
  <c r="CJ223" i="91"/>
  <c r="CJ275" i="91"/>
  <c r="CJ279" i="91"/>
  <c r="CJ225" i="91"/>
  <c r="CJ272" i="91"/>
  <c r="CJ259" i="91"/>
  <c r="CJ243" i="91"/>
  <c r="CK262" i="91"/>
  <c r="CK254" i="91"/>
  <c r="CK229" i="91"/>
  <c r="CK226" i="91"/>
  <c r="CK240" i="91"/>
  <c r="CK232" i="91"/>
  <c r="CK278" i="91"/>
  <c r="CK266" i="91"/>
  <c r="CK237" i="91"/>
  <c r="CK230" i="91"/>
  <c r="CK227" i="91"/>
  <c r="CJ305" i="91"/>
  <c r="CJ293" i="91"/>
  <c r="CJ309" i="91"/>
  <c r="CJ298" i="91"/>
  <c r="CJ285" i="91"/>
  <c r="CJ299" i="91"/>
  <c r="CJ300" i="91"/>
  <c r="CJ297" i="91"/>
  <c r="CJ286" i="91"/>
  <c r="CJ302" i="91"/>
  <c r="CJ307" i="91"/>
  <c r="CJ288" i="91"/>
  <c r="CJ304" i="91"/>
  <c r="CJ301" i="91"/>
  <c r="CJ290" i="91"/>
  <c r="CJ306" i="91"/>
  <c r="CJ295" i="91"/>
  <c r="CJ287" i="91"/>
  <c r="CJ292" i="91"/>
  <c r="CJ308" i="91"/>
  <c r="CJ289" i="91"/>
  <c r="CJ294" i="91"/>
  <c r="CJ310" i="91"/>
  <c r="CJ303" i="91"/>
  <c r="CJ291" i="91"/>
  <c r="CJ296" i="91"/>
  <c r="L56" i="97"/>
  <c r="CL221" i="91"/>
  <c r="S479" i="91"/>
  <c r="T479" i="91"/>
  <c r="U479" i="91"/>
  <c r="V479" i="91"/>
  <c r="A480" i="91"/>
  <c r="G480" i="91"/>
  <c r="H480" i="91"/>
  <c r="L480" i="91"/>
  <c r="P480" i="91"/>
  <c r="M480" i="91"/>
  <c r="O480" i="91"/>
  <c r="N480" i="91"/>
  <c r="K480" i="91"/>
  <c r="CL264" i="91"/>
  <c r="CL242" i="91"/>
  <c r="CL254" i="91"/>
  <c r="CL248" i="91"/>
  <c r="CL243" i="91"/>
  <c r="CL263" i="91"/>
  <c r="CL245" i="91"/>
  <c r="CL228" i="91"/>
  <c r="CL239" i="91"/>
  <c r="CL256" i="91"/>
  <c r="CL238" i="91"/>
  <c r="CL240" i="91"/>
  <c r="CL231" i="91"/>
  <c r="CL237" i="91"/>
  <c r="CL267" i="91"/>
  <c r="CL246" i="91"/>
  <c r="CL234" i="91"/>
  <c r="CL233" i="91"/>
  <c r="CL272" i="91"/>
  <c r="CL241" i="91"/>
  <c r="CL262" i="91"/>
  <c r="CL269" i="91"/>
  <c r="CL270" i="91"/>
  <c r="CL261" i="91"/>
  <c r="CL247" i="91"/>
  <c r="CL226" i="91"/>
  <c r="CL255" i="91"/>
  <c r="CL279" i="91"/>
  <c r="CL244" i="91"/>
  <c r="CL260" i="91"/>
  <c r="CL266" i="91"/>
  <c r="CL259" i="91"/>
  <c r="CL258" i="91"/>
  <c r="CL273" i="91"/>
  <c r="CL229" i="91"/>
  <c r="CL271" i="91"/>
  <c r="CL235" i="91"/>
  <c r="CL224" i="91"/>
  <c r="CL257" i="91"/>
  <c r="CL236" i="91"/>
  <c r="CL275" i="91"/>
  <c r="CL277" i="91"/>
  <c r="CL232" i="91"/>
  <c r="CL268" i="91"/>
  <c r="CL227" i="91"/>
  <c r="CL230" i="91"/>
  <c r="CL225" i="91"/>
  <c r="CL274" i="91"/>
  <c r="CL223" i="91"/>
  <c r="CK290" i="91"/>
  <c r="CK294" i="91"/>
  <c r="CK310" i="91"/>
  <c r="CK307" i="91"/>
  <c r="CK303" i="91"/>
  <c r="CK300" i="91"/>
  <c r="CK293" i="91"/>
  <c r="CK309" i="91"/>
  <c r="CK298" i="91"/>
  <c r="CK287" i="91"/>
  <c r="CK288" i="91"/>
  <c r="CK304" i="91"/>
  <c r="CK297" i="91"/>
  <c r="CK302" i="91"/>
  <c r="CK291" i="91"/>
  <c r="CK292" i="91"/>
  <c r="CK308" i="91"/>
  <c r="CK285" i="91"/>
  <c r="CK301" i="91"/>
  <c r="CK306" i="91"/>
  <c r="CK299" i="91"/>
  <c r="CK295" i="91"/>
  <c r="CK296" i="91"/>
  <c r="CK286" i="91"/>
  <c r="CK289" i="91"/>
  <c r="CK305" i="91"/>
  <c r="L57" i="97"/>
  <c r="CM221" i="91"/>
  <c r="S480" i="91"/>
  <c r="T480" i="91"/>
  <c r="U480" i="91"/>
  <c r="V480" i="91"/>
  <c r="A481" i="91"/>
  <c r="G481" i="91"/>
  <c r="H481" i="91"/>
  <c r="L481" i="91"/>
  <c r="P481" i="91"/>
  <c r="M481" i="91"/>
  <c r="O481" i="91"/>
  <c r="N481" i="91"/>
  <c r="K481" i="91"/>
  <c r="CL276" i="91"/>
  <c r="CL278" i="91"/>
  <c r="CM224" i="91"/>
  <c r="CM260" i="91"/>
  <c r="CM223" i="91"/>
  <c r="CM226" i="91"/>
  <c r="CM266" i="91"/>
  <c r="CM245" i="91"/>
  <c r="CM257" i="91"/>
  <c r="CM254" i="91"/>
  <c r="CL265" i="91"/>
  <c r="CM225" i="91"/>
  <c r="CM261" i="91"/>
  <c r="CM278" i="91"/>
  <c r="CM240" i="91"/>
  <c r="CM229" i="91"/>
  <c r="CM262" i="91"/>
  <c r="CM267" i="91"/>
  <c r="CM234" i="91"/>
  <c r="CM273" i="91"/>
  <c r="CM271" i="91"/>
  <c r="CM228" i="91"/>
  <c r="CM227" i="91"/>
  <c r="CL294" i="91"/>
  <c r="CL310" i="91"/>
  <c r="CL291" i="91"/>
  <c r="CL307" i="91"/>
  <c r="CL288" i="91"/>
  <c r="CL304" i="91"/>
  <c r="CL297" i="91"/>
  <c r="CL298" i="91"/>
  <c r="CL295" i="91"/>
  <c r="CL292" i="91"/>
  <c r="CL308" i="91"/>
  <c r="CL285" i="91"/>
  <c r="CL301" i="91"/>
  <c r="CL302" i="91"/>
  <c r="CL299" i="91"/>
  <c r="CL296" i="91"/>
  <c r="CL286" i="91"/>
  <c r="CL289" i="91"/>
  <c r="CL305" i="91"/>
  <c r="CL290" i="91"/>
  <c r="CL306" i="91"/>
  <c r="CL287" i="91"/>
  <c r="CL303" i="91"/>
  <c r="CL300" i="91"/>
  <c r="CL293" i="91"/>
  <c r="CL309" i="91"/>
  <c r="L58" i="97"/>
  <c r="CN221" i="91"/>
  <c r="S481" i="91"/>
  <c r="T481" i="91"/>
  <c r="U481" i="91"/>
  <c r="V481" i="91"/>
  <c r="A482" i="91"/>
  <c r="G482" i="91"/>
  <c r="H482" i="91"/>
  <c r="K482" i="91"/>
  <c r="L482" i="91"/>
  <c r="M482" i="91"/>
  <c r="N482" i="91"/>
  <c r="O482" i="91"/>
  <c r="P482" i="91"/>
  <c r="A483" i="91"/>
  <c r="G483" i="91"/>
  <c r="L483" i="91"/>
  <c r="H483" i="91"/>
  <c r="K483" i="91"/>
  <c r="M483" i="91"/>
  <c r="O483" i="91"/>
  <c r="A484" i="91"/>
  <c r="G484" i="91"/>
  <c r="K484" i="91"/>
  <c r="H484" i="91"/>
  <c r="L484" i="91"/>
  <c r="M484" i="91"/>
  <c r="N484" i="91"/>
  <c r="P484" i="91"/>
  <c r="A485" i="91"/>
  <c r="G485" i="91"/>
  <c r="N485" i="91"/>
  <c r="H485" i="91"/>
  <c r="M485" i="91"/>
  <c r="A486" i="91"/>
  <c r="G486" i="91"/>
  <c r="H486" i="91"/>
  <c r="K486" i="91"/>
  <c r="L486" i="91"/>
  <c r="M486" i="91"/>
  <c r="N486" i="91"/>
  <c r="V486" i="91"/>
  <c r="O486" i="91"/>
  <c r="P486" i="91"/>
  <c r="A487" i="91"/>
  <c r="G487" i="91"/>
  <c r="L487" i="91"/>
  <c r="H487" i="91"/>
  <c r="K487" i="91"/>
  <c r="M487" i="91"/>
  <c r="O487" i="91"/>
  <c r="A488" i="91"/>
  <c r="G488" i="91"/>
  <c r="K488" i="91"/>
  <c r="H488" i="91"/>
  <c r="L488" i="91"/>
  <c r="M488" i="91"/>
  <c r="N488" i="91"/>
  <c r="P488" i="91"/>
  <c r="A489" i="91"/>
  <c r="G489" i="91"/>
  <c r="N489" i="91"/>
  <c r="H489" i="91"/>
  <c r="M489" i="91"/>
  <c r="A490" i="91"/>
  <c r="G490" i="91"/>
  <c r="H490" i="91"/>
  <c r="K490" i="91"/>
  <c r="L490" i="91"/>
  <c r="M490" i="91"/>
  <c r="N490" i="91"/>
  <c r="O490" i="91"/>
  <c r="P490" i="91"/>
  <c r="A491" i="91"/>
  <c r="G491" i="91"/>
  <c r="L491" i="91"/>
  <c r="H491" i="91"/>
  <c r="K491" i="91"/>
  <c r="M491" i="91"/>
  <c r="O491" i="91"/>
  <c r="A492" i="91"/>
  <c r="G492" i="91"/>
  <c r="K492" i="91"/>
  <c r="H492" i="91"/>
  <c r="L492" i="91"/>
  <c r="M492" i="91"/>
  <c r="N492" i="91"/>
  <c r="P492" i="91"/>
  <c r="A493" i="91"/>
  <c r="G493" i="91"/>
  <c r="N493" i="91"/>
  <c r="H493" i="91"/>
  <c r="M493" i="91"/>
  <c r="A494" i="91"/>
  <c r="G494" i="91"/>
  <c r="H494" i="91"/>
  <c r="K494" i="91"/>
  <c r="L494" i="91"/>
  <c r="M494" i="91"/>
  <c r="N494" i="91"/>
  <c r="O494" i="91"/>
  <c r="P494" i="91"/>
  <c r="A495" i="91"/>
  <c r="G495" i="91"/>
  <c r="L495" i="91"/>
  <c r="H495" i="91"/>
  <c r="K495" i="91"/>
  <c r="M495" i="91"/>
  <c r="O495" i="91"/>
  <c r="A496" i="91"/>
  <c r="G496" i="91"/>
  <c r="K496" i="91"/>
  <c r="H496" i="91"/>
  <c r="L496" i="91"/>
  <c r="M496" i="91"/>
  <c r="N496" i="91"/>
  <c r="P496" i="91"/>
  <c r="D501" i="91"/>
  <c r="G502" i="91"/>
  <c r="A503" i="91"/>
  <c r="G503" i="91"/>
  <c r="H503" i="91"/>
  <c r="K503" i="91"/>
  <c r="O503" i="91"/>
  <c r="L503" i="91"/>
  <c r="P503" i="91"/>
  <c r="M503" i="91"/>
  <c r="N503" i="91"/>
  <c r="CM233" i="91"/>
  <c r="CM264" i="91"/>
  <c r="CM244" i="91"/>
  <c r="CM230" i="91"/>
  <c r="CM237" i="91"/>
  <c r="CM269" i="91"/>
  <c r="CM274" i="91"/>
  <c r="CM231" i="91"/>
  <c r="CM246" i="91"/>
  <c r="CM239" i="91"/>
  <c r="CM242" i="91"/>
  <c r="CM279" i="91"/>
  <c r="CM268" i="91"/>
  <c r="CM275" i="91"/>
  <c r="CM238" i="91"/>
  <c r="CM236" i="91"/>
  <c r="CN226" i="91"/>
  <c r="CN236" i="91"/>
  <c r="CN260" i="91"/>
  <c r="CN234" i="91"/>
  <c r="CN269" i="91"/>
  <c r="CN275" i="91"/>
  <c r="CN243" i="91"/>
  <c r="CN263" i="91"/>
  <c r="CN277" i="91"/>
  <c r="CN259" i="91"/>
  <c r="CN235" i="91"/>
  <c r="CN271" i="91"/>
  <c r="CN267" i="91"/>
  <c r="CN256" i="91"/>
  <c r="CN239" i="91"/>
  <c r="CN238" i="91"/>
  <c r="CN227" i="91"/>
  <c r="CN279" i="91"/>
  <c r="CN261" i="91"/>
  <c r="CN270" i="91"/>
  <c r="CN254" i="91"/>
  <c r="CN264" i="91"/>
  <c r="CN224" i="91"/>
  <c r="CN230" i="91"/>
  <c r="CM255" i="91"/>
  <c r="CM276" i="91"/>
  <c r="CM270" i="91"/>
  <c r="CM265" i="91"/>
  <c r="CM247" i="91"/>
  <c r="CM258" i="91"/>
  <c r="CM248" i="91"/>
  <c r="CM256" i="91"/>
  <c r="CN237" i="91"/>
  <c r="CN248" i="91"/>
  <c r="CN268" i="91"/>
  <c r="CN278" i="91"/>
  <c r="CN272" i="91"/>
  <c r="CN273" i="91"/>
  <c r="CN233" i="91"/>
  <c r="CM272" i="91"/>
  <c r="CM259" i="91"/>
  <c r="CM263" i="91"/>
  <c r="CM241" i="91"/>
  <c r="CM235" i="91"/>
  <c r="CM232" i="91"/>
  <c r="CM277" i="91"/>
  <c r="CM243" i="91"/>
  <c r="CN265" i="91"/>
  <c r="CN246" i="91"/>
  <c r="CN245" i="91"/>
  <c r="CN223" i="91"/>
  <c r="CN266" i="91"/>
  <c r="CN255" i="91"/>
  <c r="CN242" i="91"/>
  <c r="CN274" i="91"/>
  <c r="CN247" i="91"/>
  <c r="CN240" i="91"/>
  <c r="CN258" i="91"/>
  <c r="CN262" i="91"/>
  <c r="CN257" i="91"/>
  <c r="CN228" i="91"/>
  <c r="CN229" i="91"/>
  <c r="CN276" i="91"/>
  <c r="CN232" i="91"/>
  <c r="CN241" i="91"/>
  <c r="CN225" i="91"/>
  <c r="CN231" i="91"/>
  <c r="CN244" i="91"/>
  <c r="V490" i="91"/>
  <c r="U490" i="91"/>
  <c r="V482" i="91"/>
  <c r="T486" i="91"/>
  <c r="CM290" i="91"/>
  <c r="CM306" i="91"/>
  <c r="CM287" i="91"/>
  <c r="CM303" i="91"/>
  <c r="CM293" i="91"/>
  <c r="CM309" i="91"/>
  <c r="CM300" i="91"/>
  <c r="CM294" i="91"/>
  <c r="CM310" i="91"/>
  <c r="CM291" i="91"/>
  <c r="CM307" i="91"/>
  <c r="CM297" i="91"/>
  <c r="CM288" i="91"/>
  <c r="CM304" i="91"/>
  <c r="CM298" i="91"/>
  <c r="CM295" i="91"/>
  <c r="CM285" i="91"/>
  <c r="CM301" i="91"/>
  <c r="CM292" i="91"/>
  <c r="CM308" i="91"/>
  <c r="CM302" i="91"/>
  <c r="CM299" i="91"/>
  <c r="CM289" i="91"/>
  <c r="CM305" i="91"/>
  <c r="CM296" i="91"/>
  <c r="CM286" i="91"/>
  <c r="U494" i="91"/>
  <c r="S482" i="91"/>
  <c r="V494" i="91"/>
  <c r="T490" i="91"/>
  <c r="S486" i="91"/>
  <c r="U482" i="91"/>
  <c r="T494" i="91"/>
  <c r="S490" i="91"/>
  <c r="M497" i="91"/>
  <c r="U486" i="91"/>
  <c r="S494" i="91"/>
  <c r="T482" i="91"/>
  <c r="M49" i="97"/>
  <c r="CN310" i="91"/>
  <c r="CN309" i="91"/>
  <c r="CN308" i="91"/>
  <c r="CN307" i="91"/>
  <c r="CN306" i="91"/>
  <c r="CN305" i="91"/>
  <c r="CN304" i="91"/>
  <c r="CN303" i="91"/>
  <c r="CN302" i="91"/>
  <c r="CN301" i="91"/>
  <c r="CN300" i="91"/>
  <c r="CN299" i="91"/>
  <c r="CN298" i="91"/>
  <c r="CN297" i="91"/>
  <c r="CN296" i="91"/>
  <c r="CN295" i="91"/>
  <c r="CN294" i="91"/>
  <c r="CN293" i="91"/>
  <c r="CN292" i="91"/>
  <c r="CN291" i="91"/>
  <c r="CN290" i="91"/>
  <c r="CN289" i="91"/>
  <c r="CN288" i="91"/>
  <c r="CN287" i="91"/>
  <c r="CN286" i="91"/>
  <c r="CN285" i="91"/>
  <c r="N495" i="91"/>
  <c r="P493" i="91"/>
  <c r="L493" i="91"/>
  <c r="N491" i="91"/>
  <c r="P489" i="91"/>
  <c r="L489" i="91"/>
  <c r="N487" i="91"/>
  <c r="P485" i="91"/>
  <c r="L485" i="91"/>
  <c r="N483" i="91"/>
  <c r="S483" i="91"/>
  <c r="CO221" i="91"/>
  <c r="O493" i="91"/>
  <c r="V493" i="91"/>
  <c r="K493" i="91"/>
  <c r="O489" i="91"/>
  <c r="U489" i="91"/>
  <c r="K489" i="91"/>
  <c r="O485" i="91"/>
  <c r="V485" i="91"/>
  <c r="K485" i="91"/>
  <c r="O496" i="91"/>
  <c r="S496" i="91"/>
  <c r="P495" i="91"/>
  <c r="O492" i="91"/>
  <c r="T492" i="91"/>
  <c r="P491" i="91"/>
  <c r="O488" i="91"/>
  <c r="T488" i="91"/>
  <c r="P487" i="91"/>
  <c r="O484" i="91"/>
  <c r="P483" i="91"/>
  <c r="S503" i="91"/>
  <c r="T503" i="91"/>
  <c r="U503" i="91"/>
  <c r="V503" i="91"/>
  <c r="A504" i="91"/>
  <c r="G504" i="91"/>
  <c r="H504" i="91"/>
  <c r="P504" i="91"/>
  <c r="M504" i="91"/>
  <c r="K504" i="91"/>
  <c r="O504" i="91"/>
  <c r="L504" i="91"/>
  <c r="N504" i="91"/>
  <c r="CO239" i="91"/>
  <c r="CO242" i="91"/>
  <c r="CO241" i="91"/>
  <c r="CO233" i="91"/>
  <c r="CO247" i="91"/>
  <c r="CO259" i="91"/>
  <c r="CO254" i="91"/>
  <c r="CO236" i="91"/>
  <c r="CO223" i="91"/>
  <c r="CO264" i="91"/>
  <c r="CO230" i="91"/>
  <c r="CO278" i="91"/>
  <c r="CO275" i="91"/>
  <c r="CO226" i="91"/>
  <c r="CO260" i="91"/>
  <c r="CO270" i="91"/>
  <c r="CO225" i="91"/>
  <c r="CO267" i="91"/>
  <c r="CO237" i="91"/>
  <c r="CO273" i="91"/>
  <c r="CO240" i="91"/>
  <c r="CO276" i="91"/>
  <c r="CO235" i="91"/>
  <c r="CO258" i="91"/>
  <c r="CO224" i="91"/>
  <c r="CO238" i="91"/>
  <c r="CO232" i="91"/>
  <c r="CO248" i="91"/>
  <c r="CO229" i="91"/>
  <c r="CO263" i="91"/>
  <c r="CO265" i="91"/>
  <c r="CO268" i="91"/>
  <c r="CO279" i="91"/>
  <c r="CO255" i="91"/>
  <c r="CO269" i="91"/>
  <c r="CO271" i="91"/>
  <c r="CO256" i="91"/>
  <c r="CO245" i="91"/>
  <c r="CO274" i="91"/>
  <c r="CO261" i="91"/>
  <c r="CO246" i="91"/>
  <c r="CO227" i="91"/>
  <c r="CO257" i="91"/>
  <c r="CO244" i="91"/>
  <c r="CO228" i="91"/>
  <c r="CO272" i="91"/>
  <c r="CO266" i="91"/>
  <c r="CO234" i="91"/>
  <c r="CO243" i="91"/>
  <c r="CO262" i="91"/>
  <c r="CO277" i="91"/>
  <c r="CO231" i="91"/>
  <c r="S493" i="91"/>
  <c r="U493" i="91"/>
  <c r="T493" i="91"/>
  <c r="T483" i="91"/>
  <c r="M50" i="97"/>
  <c r="T484" i="91"/>
  <c r="O497" i="91"/>
  <c r="T485" i="91"/>
  <c r="U495" i="91"/>
  <c r="V495" i="91"/>
  <c r="V484" i="91"/>
  <c r="S492" i="91"/>
  <c r="S489" i="91"/>
  <c r="U491" i="91"/>
  <c r="V491" i="91"/>
  <c r="U484" i="91"/>
  <c r="T491" i="91"/>
  <c r="U488" i="91"/>
  <c r="V492" i="91"/>
  <c r="S488" i="91"/>
  <c r="T496" i="91"/>
  <c r="V496" i="91"/>
  <c r="U487" i="91"/>
  <c r="V487" i="91"/>
  <c r="K497" i="91"/>
  <c r="U496" i="91"/>
  <c r="U485" i="91"/>
  <c r="V489" i="91"/>
  <c r="CP221" i="91"/>
  <c r="V488" i="91"/>
  <c r="P497" i="91"/>
  <c r="S485" i="91"/>
  <c r="U483" i="91"/>
  <c r="U497" i="91"/>
  <c r="V483" i="91"/>
  <c r="N497" i="91"/>
  <c r="T489" i="91"/>
  <c r="S484" i="91"/>
  <c r="S497" i="91"/>
  <c r="U492" i="91"/>
  <c r="L497" i="91"/>
  <c r="S491" i="91"/>
  <c r="T495" i="91"/>
  <c r="T487" i="91"/>
  <c r="S495" i="91"/>
  <c r="S487" i="91"/>
  <c r="S504" i="91"/>
  <c r="T504" i="91"/>
  <c r="U504" i="91"/>
  <c r="V504" i="91"/>
  <c r="A505" i="91"/>
  <c r="G505" i="91"/>
  <c r="H505" i="91"/>
  <c r="L505" i="91"/>
  <c r="M505" i="91"/>
  <c r="N505" i="91"/>
  <c r="P505" i="91"/>
  <c r="K505" i="91"/>
  <c r="O505" i="91"/>
  <c r="CP243" i="91"/>
  <c r="CP270" i="91"/>
  <c r="CP247" i="91"/>
  <c r="CP229" i="91"/>
  <c r="CP223" i="91"/>
  <c r="CP276" i="91"/>
  <c r="CP268" i="91"/>
  <c r="CP272" i="91"/>
  <c r="CP226" i="91"/>
  <c r="CP259" i="91"/>
  <c r="CO287" i="91"/>
  <c r="CO295" i="91"/>
  <c r="CO291" i="91"/>
  <c r="CO308" i="91"/>
  <c r="CO297" i="91"/>
  <c r="CO303" i="91"/>
  <c r="CO288" i="91"/>
  <c r="CO307" i="91"/>
  <c r="CO305" i="91"/>
  <c r="CO310" i="91"/>
  <c r="CO304" i="91"/>
  <c r="CO309" i="91"/>
  <c r="CO292" i="91"/>
  <c r="CO294" i="91"/>
  <c r="CO302" i="91"/>
  <c r="CO296" i="91"/>
  <c r="CO285" i="91"/>
  <c r="CO300" i="91"/>
  <c r="CO298" i="91"/>
  <c r="CO286" i="91"/>
  <c r="CO306" i="91"/>
  <c r="CO299" i="91"/>
  <c r="CO290" i="91"/>
  <c r="CO301" i="91"/>
  <c r="CO289" i="91"/>
  <c r="CO293" i="91"/>
  <c r="T497" i="91"/>
  <c r="M51" i="97"/>
  <c r="V497" i="91"/>
  <c r="CQ221" i="91"/>
  <c r="S505" i="91"/>
  <c r="T505" i="91"/>
  <c r="U505" i="91"/>
  <c r="V505" i="91"/>
  <c r="A506" i="91"/>
  <c r="G506" i="91"/>
  <c r="H506" i="91"/>
  <c r="L506" i="91"/>
  <c r="P506" i="91"/>
  <c r="M506" i="91"/>
  <c r="O506" i="91"/>
  <c r="K506" i="91"/>
  <c r="N506" i="91"/>
  <c r="CP232" i="91"/>
  <c r="CP224" i="91"/>
  <c r="CP242" i="91"/>
  <c r="CP234" i="91"/>
  <c r="CQ267" i="91"/>
  <c r="CQ229" i="91"/>
  <c r="CQ274" i="91"/>
  <c r="CQ268" i="91"/>
  <c r="CP265" i="91"/>
  <c r="CP241" i="91"/>
  <c r="CP237" i="91"/>
  <c r="CP277" i="91"/>
  <c r="CP246" i="91"/>
  <c r="CP258" i="91"/>
  <c r="CP263" i="91"/>
  <c r="CP238" i="91"/>
  <c r="CP248" i="91"/>
  <c r="CP235" i="91"/>
  <c r="CP261" i="91"/>
  <c r="CQ260" i="91"/>
  <c r="CQ227" i="91"/>
  <c r="CQ246" i="91"/>
  <c r="CP231" i="91"/>
  <c r="CP262" i="91"/>
  <c r="CP245" i="91"/>
  <c r="CP240" i="91"/>
  <c r="CP228" i="91"/>
  <c r="CP267" i="91"/>
  <c r="CP239" i="91"/>
  <c r="CP233" i="91"/>
  <c r="CP257" i="91"/>
  <c r="CP269" i="91"/>
  <c r="CP244" i="91"/>
  <c r="CP279" i="91"/>
  <c r="CP278" i="91"/>
  <c r="CQ271" i="91"/>
  <c r="CQ277" i="91"/>
  <c r="CQ234" i="91"/>
  <c r="CQ245" i="91"/>
  <c r="CQ243" i="91"/>
  <c r="CQ225" i="91"/>
  <c r="CP260" i="91"/>
  <c r="CP266" i="91"/>
  <c r="CP236" i="91"/>
  <c r="CP254" i="91"/>
  <c r="CP255" i="91"/>
  <c r="CP274" i="91"/>
  <c r="CP275" i="91"/>
  <c r="CP256" i="91"/>
  <c r="CP230" i="91"/>
  <c r="CP264" i="91"/>
  <c r="CP225" i="91"/>
  <c r="CP227" i="91"/>
  <c r="CP273" i="91"/>
  <c r="CP271" i="91"/>
  <c r="CQ226" i="91"/>
  <c r="CQ223" i="91"/>
  <c r="CQ278" i="91"/>
  <c r="CQ237" i="91"/>
  <c r="CQ233" i="91"/>
  <c r="CQ272" i="91"/>
  <c r="CQ236" i="91"/>
  <c r="CQ275" i="91"/>
  <c r="CQ270" i="91"/>
  <c r="CP290" i="91"/>
  <c r="CP302" i="91"/>
  <c r="CP300" i="91"/>
  <c r="CP296" i="91"/>
  <c r="CP286" i="91"/>
  <c r="CP288" i="91"/>
  <c r="CP306" i="91"/>
  <c r="CP298" i="91"/>
  <c r="CP310" i="91"/>
  <c r="CP292" i="91"/>
  <c r="CP304" i="91"/>
  <c r="CP294" i="91"/>
  <c r="CP308" i="91"/>
  <c r="CP291" i="91"/>
  <c r="CP307" i="91"/>
  <c r="CP297" i="91"/>
  <c r="CP287" i="91"/>
  <c r="CP295" i="91"/>
  <c r="CP285" i="91"/>
  <c r="CP301" i="91"/>
  <c r="CP299" i="91"/>
  <c r="CP289" i="91"/>
  <c r="CP305" i="91"/>
  <c r="CP303" i="91"/>
  <c r="CP293" i="91"/>
  <c r="CP309" i="91"/>
  <c r="M52" i="97"/>
  <c r="CR221" i="91"/>
  <c r="S506" i="91"/>
  <c r="T506" i="91"/>
  <c r="U506" i="91"/>
  <c r="V506" i="91"/>
  <c r="A507" i="91"/>
  <c r="G507" i="91"/>
  <c r="H507" i="91"/>
  <c r="P507" i="91"/>
  <c r="M507" i="91"/>
  <c r="N507" i="91"/>
  <c r="L507" i="91"/>
  <c r="K507" i="91"/>
  <c r="O507" i="91"/>
  <c r="CQ257" i="91"/>
  <c r="CQ254" i="91"/>
  <c r="CR267" i="91"/>
  <c r="CR246" i="91"/>
  <c r="CR238" i="91"/>
  <c r="CR270" i="91"/>
  <c r="CR272" i="91"/>
  <c r="CR264" i="91"/>
  <c r="CQ228" i="91"/>
  <c r="CQ224" i="91"/>
  <c r="CQ239" i="91"/>
  <c r="CQ240" i="91"/>
  <c r="CQ273" i="91"/>
  <c r="CQ255" i="91"/>
  <c r="CQ262" i="91"/>
  <c r="CQ259" i="91"/>
  <c r="CR225" i="91"/>
  <c r="CR261" i="91"/>
  <c r="CR232" i="91"/>
  <c r="CR255" i="91"/>
  <c r="CR228" i="91"/>
  <c r="CR240" i="91"/>
  <c r="CR259" i="91"/>
  <c r="CR263" i="91"/>
  <c r="CR248" i="91"/>
  <c r="CR226" i="91"/>
  <c r="CR256" i="91"/>
  <c r="CR278" i="91"/>
  <c r="CR262" i="91"/>
  <c r="CQ242" i="91"/>
  <c r="CR239" i="91"/>
  <c r="CR279" i="91"/>
  <c r="CR236" i="91"/>
  <c r="CR274" i="91"/>
  <c r="CR224" i="91"/>
  <c r="CR242" i="91"/>
  <c r="CR245" i="91"/>
  <c r="CQ231" i="91"/>
  <c r="CQ263" i="91"/>
  <c r="CQ232" i="91"/>
  <c r="CQ269" i="91"/>
  <c r="CQ235" i="91"/>
  <c r="CQ265" i="91"/>
  <c r="CQ266" i="91"/>
  <c r="CR276" i="91"/>
  <c r="CR243" i="91"/>
  <c r="CR227" i="91"/>
  <c r="CR254" i="91"/>
  <c r="CR237" i="91"/>
  <c r="CQ230" i="91"/>
  <c r="CQ258" i="91"/>
  <c r="CQ247" i="91"/>
  <c r="CQ261" i="91"/>
  <c r="CQ241" i="91"/>
  <c r="CQ264" i="91"/>
  <c r="CQ276" i="91"/>
  <c r="CR230" i="91"/>
  <c r="CR235" i="91"/>
  <c r="CR269" i="91"/>
  <c r="CR241" i="91"/>
  <c r="CR244" i="91"/>
  <c r="CR266" i="91"/>
  <c r="CR277" i="91"/>
  <c r="CR229" i="91"/>
  <c r="CQ279" i="91"/>
  <c r="CQ256" i="91"/>
  <c r="CQ244" i="91"/>
  <c r="CQ238" i="91"/>
  <c r="CQ248" i="91"/>
  <c r="CR275" i="91"/>
  <c r="CR234" i="91"/>
  <c r="CR231" i="91"/>
  <c r="CR273" i="91"/>
  <c r="CR258" i="91"/>
  <c r="CR271" i="91"/>
  <c r="CR233" i="91"/>
  <c r="CR257" i="91"/>
  <c r="CR247" i="91"/>
  <c r="CQ290" i="91"/>
  <c r="CQ306" i="91"/>
  <c r="CQ299" i="91"/>
  <c r="CQ301" i="91"/>
  <c r="CQ292" i="91"/>
  <c r="CQ308" i="91"/>
  <c r="CQ285" i="91"/>
  <c r="CQ310" i="91"/>
  <c r="CQ287" i="91"/>
  <c r="CQ296" i="91"/>
  <c r="CQ286" i="91"/>
  <c r="CQ293" i="91"/>
  <c r="CQ294" i="91"/>
  <c r="CQ303" i="91"/>
  <c r="CQ298" i="91"/>
  <c r="CQ291" i="91"/>
  <c r="CQ307" i="91"/>
  <c r="CQ300" i="91"/>
  <c r="CQ297" i="91"/>
  <c r="CQ302" i="91"/>
  <c r="CQ309" i="91"/>
  <c r="CQ295" i="91"/>
  <c r="CQ289" i="91"/>
  <c r="CQ288" i="91"/>
  <c r="CQ304" i="91"/>
  <c r="CQ305" i="91"/>
  <c r="M53" i="97"/>
  <c r="CR298" i="91"/>
  <c r="CS221" i="91"/>
  <c r="S507" i="91"/>
  <c r="T507" i="91"/>
  <c r="U507" i="91"/>
  <c r="V507" i="91"/>
  <c r="A508" i="91"/>
  <c r="G508" i="91"/>
  <c r="H508" i="91"/>
  <c r="O508" i="91"/>
  <c r="P508" i="91"/>
  <c r="K508" i="91"/>
  <c r="L508" i="91"/>
  <c r="M508" i="91"/>
  <c r="N508" i="91"/>
  <c r="CS267" i="91"/>
  <c r="CS228" i="91"/>
  <c r="CS274" i="91"/>
  <c r="CS229" i="91"/>
  <c r="CR223" i="91"/>
  <c r="CS263" i="91"/>
  <c r="CS261" i="91"/>
  <c r="CS277" i="91"/>
  <c r="CS230" i="91"/>
  <c r="CS240" i="91"/>
  <c r="CS257" i="91"/>
  <c r="CS256" i="91"/>
  <c r="CS275" i="91"/>
  <c r="CS234" i="91"/>
  <c r="CS279" i="91"/>
  <c r="CS245" i="91"/>
  <c r="CS237" i="91"/>
  <c r="CS241" i="91"/>
  <c r="CS224" i="91"/>
  <c r="CS255" i="91"/>
  <c r="CS265" i="91"/>
  <c r="CS271" i="91"/>
  <c r="CS236" i="91"/>
  <c r="CS232" i="91"/>
  <c r="CR260" i="91"/>
  <c r="CS276" i="91"/>
  <c r="CS243" i="91"/>
  <c r="CS235" i="91"/>
  <c r="CS225" i="91"/>
  <c r="CS231" i="91"/>
  <c r="CR265" i="91"/>
  <c r="CS260" i="91"/>
  <c r="CS226" i="91"/>
  <c r="CS227" i="91"/>
  <c r="CS273" i="91"/>
  <c r="CS238" i="91"/>
  <c r="CS242" i="91"/>
  <c r="CS278" i="91"/>
  <c r="CS262" i="91"/>
  <c r="CS254" i="91"/>
  <c r="CS233" i="91"/>
  <c r="CS266" i="91"/>
  <c r="CR268" i="91"/>
  <c r="CS244" i="91"/>
  <c r="CS259" i="91"/>
  <c r="CS239" i="91"/>
  <c r="CS248" i="91"/>
  <c r="CS264" i="91"/>
  <c r="CS272" i="91"/>
  <c r="CS269" i="91"/>
  <c r="CS268" i="91"/>
  <c r="CS247" i="91"/>
  <c r="CS258" i="91"/>
  <c r="CS270" i="91"/>
  <c r="CS246" i="91"/>
  <c r="CR296" i="91"/>
  <c r="CR302" i="91"/>
  <c r="CR287" i="91"/>
  <c r="CR308" i="91"/>
  <c r="CR306" i="91"/>
  <c r="CR288" i="91"/>
  <c r="CR304" i="91"/>
  <c r="CR310" i="91"/>
  <c r="CR294" i="91"/>
  <c r="CR286" i="91"/>
  <c r="CR300" i="91"/>
  <c r="CR290" i="91"/>
  <c r="CR292" i="91"/>
  <c r="CR295" i="91"/>
  <c r="CR299" i="91"/>
  <c r="CR289" i="91"/>
  <c r="CR305" i="91"/>
  <c r="CR303" i="91"/>
  <c r="CR293" i="91"/>
  <c r="CR309" i="91"/>
  <c r="CR291" i="91"/>
  <c r="CR307" i="91"/>
  <c r="CR297" i="91"/>
  <c r="CR285" i="91"/>
  <c r="CR301" i="91"/>
  <c r="M54" i="97"/>
  <c r="CS308" i="91"/>
  <c r="CS306" i="91"/>
  <c r="CS304" i="91"/>
  <c r="CS302" i="91"/>
  <c r="CS300" i="91"/>
  <c r="CS298" i="91"/>
  <c r="CS296" i="91"/>
  <c r="CS292" i="91"/>
  <c r="CS288" i="91"/>
  <c r="CS287" i="91"/>
  <c r="CS286" i="91"/>
  <c r="CT221" i="91"/>
  <c r="S508" i="91"/>
  <c r="T508" i="91"/>
  <c r="U508" i="91"/>
  <c r="V508" i="91"/>
  <c r="A509" i="91"/>
  <c r="G509" i="91"/>
  <c r="H509" i="91"/>
  <c r="L509" i="91"/>
  <c r="M509" i="91"/>
  <c r="N509" i="91"/>
  <c r="K509" i="91"/>
  <c r="O509" i="91"/>
  <c r="P509" i="91"/>
  <c r="CT237" i="91"/>
  <c r="CS223" i="91"/>
  <c r="CT235" i="91"/>
  <c r="CT261" i="91"/>
  <c r="CT260" i="91"/>
  <c r="CT239" i="91"/>
  <c r="CT272" i="91"/>
  <c r="CT257" i="91"/>
  <c r="CT227" i="91"/>
  <c r="CT255" i="91"/>
  <c r="CT254" i="91"/>
  <c r="CT231" i="91"/>
  <c r="CT229" i="91"/>
  <c r="CT241" i="91"/>
  <c r="CT266" i="91"/>
  <c r="CT268" i="91"/>
  <c r="CS310" i="91"/>
  <c r="CS294" i="91"/>
  <c r="CS290" i="91"/>
  <c r="CS291" i="91"/>
  <c r="CS307" i="91"/>
  <c r="CS297" i="91"/>
  <c r="CS295" i="91"/>
  <c r="CS285" i="91"/>
  <c r="CS301" i="91"/>
  <c r="CS299" i="91"/>
  <c r="CS289" i="91"/>
  <c r="CS305" i="91"/>
  <c r="CS303" i="91"/>
  <c r="CS293" i="91"/>
  <c r="CS309" i="91"/>
  <c r="M55" i="97"/>
  <c r="CU221" i="91"/>
  <c r="S509" i="91"/>
  <c r="T509" i="91"/>
  <c r="U509" i="91"/>
  <c r="V509" i="91"/>
  <c r="A510" i="91"/>
  <c r="G510" i="91"/>
  <c r="L510" i="91"/>
  <c r="H510" i="91"/>
  <c r="K510" i="91"/>
  <c r="M510" i="91"/>
  <c r="N510" i="91"/>
  <c r="O510" i="91"/>
  <c r="P510" i="91"/>
  <c r="CT236" i="91"/>
  <c r="CT258" i="91"/>
  <c r="CT240" i="91"/>
  <c r="CT223" i="91"/>
  <c r="CT279" i="91"/>
  <c r="CT247" i="91"/>
  <c r="CT234" i="91"/>
  <c r="CT246" i="91"/>
  <c r="CT263" i="91"/>
  <c r="CT274" i="91"/>
  <c r="CU279" i="91"/>
  <c r="CU258" i="91"/>
  <c r="CU266" i="91"/>
  <c r="CU272" i="91"/>
  <c r="CU238" i="91"/>
  <c r="CU232" i="91"/>
  <c r="CU265" i="91"/>
  <c r="CU263" i="91"/>
  <c r="CU246" i="91"/>
  <c r="CT232" i="91"/>
  <c r="CT238" i="91"/>
  <c r="CT271" i="91"/>
  <c r="CT259" i="91"/>
  <c r="CT248" i="91"/>
  <c r="CT270" i="91"/>
  <c r="CT242" i="91"/>
  <c r="CT243" i="91"/>
  <c r="CT264" i="91"/>
  <c r="CU227" i="91"/>
  <c r="CU259" i="91"/>
  <c r="CU224" i="91"/>
  <c r="CU256" i="91"/>
  <c r="CU235" i="91"/>
  <c r="CU275" i="91"/>
  <c r="CU248" i="91"/>
  <c r="CU271" i="91"/>
  <c r="CT256" i="91"/>
  <c r="CT269" i="91"/>
  <c r="CT276" i="91"/>
  <c r="CT245" i="91"/>
  <c r="CT233" i="91"/>
  <c r="CT262" i="91"/>
  <c r="CT267" i="91"/>
  <c r="CT224" i="91"/>
  <c r="CT277" i="91"/>
  <c r="CT273" i="91"/>
  <c r="CT230" i="91"/>
  <c r="CT244" i="91"/>
  <c r="CT225" i="91"/>
  <c r="CT265" i="91"/>
  <c r="CT226" i="91"/>
  <c r="CT228" i="91"/>
  <c r="CT278" i="91"/>
  <c r="CT275" i="91"/>
  <c r="CU268" i="91"/>
  <c r="CU229" i="91"/>
  <c r="CU270" i="91"/>
  <c r="CU228" i="91"/>
  <c r="CU233" i="91"/>
  <c r="CU230" i="91"/>
  <c r="CT304" i="91"/>
  <c r="CT298" i="91"/>
  <c r="CT287" i="91"/>
  <c r="CT294" i="91"/>
  <c r="CT290" i="91"/>
  <c r="CT308" i="91"/>
  <c r="CT301" i="91"/>
  <c r="CT286" i="91"/>
  <c r="CT310" i="91"/>
  <c r="CT305" i="91"/>
  <c r="CT300" i="91"/>
  <c r="CT309" i="91"/>
  <c r="CT296" i="91"/>
  <c r="CT292" i="91"/>
  <c r="CT293" i="91"/>
  <c r="CT302" i="91"/>
  <c r="CT297" i="91"/>
  <c r="CT288" i="91"/>
  <c r="CT306" i="91"/>
  <c r="CT303" i="91"/>
  <c r="CT307" i="91"/>
  <c r="CT291" i="91"/>
  <c r="CT295" i="91"/>
  <c r="CT285" i="91"/>
  <c r="CT299" i="91"/>
  <c r="CT289" i="91"/>
  <c r="M56" i="97"/>
  <c r="CV221" i="91"/>
  <c r="S510" i="91"/>
  <c r="T510" i="91"/>
  <c r="U510" i="91"/>
  <c r="V510" i="91"/>
  <c r="A511" i="91"/>
  <c r="G511" i="91"/>
  <c r="H511" i="91"/>
  <c r="L511" i="91"/>
  <c r="P511" i="91"/>
  <c r="M511" i="91"/>
  <c r="N511" i="91"/>
  <c r="K511" i="91"/>
  <c r="O511" i="91"/>
  <c r="CV260" i="91"/>
  <c r="CV225" i="91"/>
  <c r="CV271" i="91"/>
  <c r="CU241" i="91"/>
  <c r="CU262" i="91"/>
  <c r="CU243" i="91"/>
  <c r="CU261" i="91"/>
  <c r="CU255" i="91"/>
  <c r="CU278" i="91"/>
  <c r="CU260" i="91"/>
  <c r="CU264" i="91"/>
  <c r="CU244" i="91"/>
  <c r="CU226" i="91"/>
  <c r="CU234" i="91"/>
  <c r="CU254" i="91"/>
  <c r="CU240" i="91"/>
  <c r="CU274" i="91"/>
  <c r="CV226" i="91"/>
  <c r="CV257" i="91"/>
  <c r="CV234" i="91"/>
  <c r="CV246" i="91"/>
  <c r="CV254" i="91"/>
  <c r="CV273" i="91"/>
  <c r="CU236" i="91"/>
  <c r="CU269" i="91"/>
  <c r="CU225" i="91"/>
  <c r="CU273" i="91"/>
  <c r="CU242" i="91"/>
  <c r="CU237" i="91"/>
  <c r="CU277" i="91"/>
  <c r="CU247" i="91"/>
  <c r="CU267" i="91"/>
  <c r="CU223" i="91"/>
  <c r="CU276" i="91"/>
  <c r="CU239" i="91"/>
  <c r="CU245" i="91"/>
  <c r="CU257" i="91"/>
  <c r="CU231" i="91"/>
  <c r="CV276" i="91"/>
  <c r="CV237" i="91"/>
  <c r="CV279" i="91"/>
  <c r="CV277" i="91"/>
  <c r="CV265" i="91"/>
  <c r="CV275" i="91"/>
  <c r="CV247" i="91"/>
  <c r="CU299" i="91"/>
  <c r="CU296" i="91"/>
  <c r="CU289" i="91"/>
  <c r="CU305" i="91"/>
  <c r="CU294" i="91"/>
  <c r="CU310" i="91"/>
  <c r="CU291" i="91"/>
  <c r="CU300" i="91"/>
  <c r="CU293" i="91"/>
  <c r="CU309" i="91"/>
  <c r="CU298" i="91"/>
  <c r="CU295" i="91"/>
  <c r="CU288" i="91"/>
  <c r="CU304" i="91"/>
  <c r="CU297" i="91"/>
  <c r="CU286" i="91"/>
  <c r="CU302" i="91"/>
  <c r="CU303" i="91"/>
  <c r="CU292" i="91"/>
  <c r="CU308" i="91"/>
  <c r="CU285" i="91"/>
  <c r="CU301" i="91"/>
  <c r="CU290" i="91"/>
  <c r="CU306" i="91"/>
  <c r="CU287" i="91"/>
  <c r="CU307" i="91"/>
  <c r="M57" i="97"/>
  <c r="CW221" i="91"/>
  <c r="S511" i="91"/>
  <c r="T511" i="91"/>
  <c r="U511" i="91"/>
  <c r="V511" i="91"/>
  <c r="A512" i="91"/>
  <c r="G512" i="91"/>
  <c r="H512" i="91"/>
  <c r="M512" i="91"/>
  <c r="N512" i="91"/>
  <c r="P512" i="91"/>
  <c r="K512" i="91"/>
  <c r="O512" i="91"/>
  <c r="L512" i="91"/>
  <c r="CV244" i="91"/>
  <c r="CV233" i="91"/>
  <c r="CV245" i="91"/>
  <c r="CV272" i="91"/>
  <c r="CV238" i="91"/>
  <c r="CV262" i="91"/>
  <c r="CV266" i="91"/>
  <c r="CV261" i="91"/>
  <c r="CV228" i="91"/>
  <c r="CW248" i="91"/>
  <c r="CW256" i="91"/>
  <c r="CW276" i="91"/>
  <c r="CW263" i="91"/>
  <c r="CW230" i="91"/>
  <c r="CW266" i="91"/>
  <c r="CW258" i="91"/>
  <c r="CV258" i="91"/>
  <c r="CV232" i="91"/>
  <c r="CV269" i="91"/>
  <c r="CV240" i="91"/>
  <c r="CV263" i="91"/>
  <c r="CV224" i="91"/>
  <c r="CV235" i="91"/>
  <c r="CV227" i="91"/>
  <c r="CV270" i="91"/>
  <c r="CW261" i="91"/>
  <c r="CW260" i="91"/>
  <c r="CW223" i="91"/>
  <c r="CW228" i="91"/>
  <c r="CW225" i="91"/>
  <c r="CW227" i="91"/>
  <c r="CW231" i="91"/>
  <c r="CW233" i="91"/>
  <c r="CW270" i="91"/>
  <c r="CW229" i="91"/>
  <c r="CV264" i="91"/>
  <c r="CV243" i="91"/>
  <c r="CV239" i="91"/>
  <c r="CV255" i="91"/>
  <c r="CW234" i="91"/>
  <c r="CW238" i="91"/>
  <c r="CW224" i="91"/>
  <c r="CW239" i="91"/>
  <c r="CW279" i="91"/>
  <c r="CW244" i="91"/>
  <c r="CW271" i="91"/>
  <c r="CW245" i="91"/>
  <c r="CV248" i="91"/>
  <c r="CV267" i="91"/>
  <c r="CV231" i="91"/>
  <c r="CV241" i="91"/>
  <c r="CV229" i="91"/>
  <c r="CW265" i="91"/>
  <c r="CW259" i="91"/>
  <c r="CW240" i="91"/>
  <c r="CW241" i="91"/>
  <c r="CV242" i="91"/>
  <c r="CV259" i="91"/>
  <c r="CV256" i="91"/>
  <c r="CV274" i="91"/>
  <c r="CV223" i="91"/>
  <c r="CV268" i="91"/>
  <c r="CV278" i="91"/>
  <c r="CV236" i="91"/>
  <c r="CV230" i="91"/>
  <c r="CW236" i="91"/>
  <c r="CW235" i="91"/>
  <c r="CW272" i="91"/>
  <c r="CW246" i="91"/>
  <c r="CW255" i="91"/>
  <c r="CW273" i="91"/>
  <c r="CW226" i="91"/>
  <c r="CW264" i="91"/>
  <c r="CW267" i="91"/>
  <c r="CW257" i="91"/>
  <c r="CW237" i="91"/>
  <c r="CW278" i="91"/>
  <c r="CW262" i="91"/>
  <c r="CW242" i="91"/>
  <c r="CW232" i="91"/>
  <c r="CW277" i="91"/>
  <c r="CW243" i="91"/>
  <c r="CW268" i="91"/>
  <c r="CW274" i="91"/>
  <c r="CW254" i="91"/>
  <c r="CW247" i="91"/>
  <c r="CV290" i="91"/>
  <c r="CV306" i="91"/>
  <c r="CV287" i="91"/>
  <c r="CV303" i="91"/>
  <c r="CV309" i="91"/>
  <c r="CV300" i="91"/>
  <c r="CV293" i="91"/>
  <c r="CV310" i="91"/>
  <c r="CV291" i="91"/>
  <c r="CV307" i="91"/>
  <c r="CV304" i="91"/>
  <c r="CV297" i="91"/>
  <c r="CV294" i="91"/>
  <c r="CV288" i="91"/>
  <c r="CV298" i="91"/>
  <c r="CV295" i="91"/>
  <c r="CV292" i="91"/>
  <c r="CV308" i="91"/>
  <c r="CV285" i="91"/>
  <c r="CV301" i="91"/>
  <c r="CV302" i="91"/>
  <c r="CV299" i="91"/>
  <c r="CV305" i="91"/>
  <c r="CV296" i="91"/>
  <c r="CV286" i="91"/>
  <c r="CV289" i="91"/>
  <c r="M58" i="97"/>
  <c r="CW310" i="91"/>
  <c r="CW308" i="91"/>
  <c r="CW304" i="91"/>
  <c r="CW302" i="91"/>
  <c r="CW298" i="91"/>
  <c r="CW296" i="91"/>
  <c r="CW294" i="91"/>
  <c r="CW292" i="91"/>
  <c r="CW290" i="91"/>
  <c r="CW288" i="91"/>
  <c r="CW287" i="91"/>
  <c r="CW286" i="91"/>
  <c r="CX221" i="91"/>
  <c r="S512" i="91"/>
  <c r="T512" i="91"/>
  <c r="U512" i="91"/>
  <c r="V512" i="91"/>
  <c r="A513" i="91"/>
  <c r="G513" i="91"/>
  <c r="H513" i="91"/>
  <c r="K513" i="91"/>
  <c r="L513" i="91"/>
  <c r="M513" i="91"/>
  <c r="N513" i="91"/>
  <c r="O513" i="91"/>
  <c r="P513" i="91"/>
  <c r="A514" i="91"/>
  <c r="G514" i="91"/>
  <c r="L514" i="91"/>
  <c r="H514" i="91"/>
  <c r="K514" i="91"/>
  <c r="M514" i="91"/>
  <c r="O514" i="91"/>
  <c r="A515" i="91"/>
  <c r="G515" i="91"/>
  <c r="K515" i="91"/>
  <c r="H515" i="91"/>
  <c r="L515" i="91"/>
  <c r="M515" i="91"/>
  <c r="N515" i="91"/>
  <c r="P515" i="91"/>
  <c r="A516" i="91"/>
  <c r="G516" i="91"/>
  <c r="N516" i="91"/>
  <c r="H516" i="91"/>
  <c r="M516" i="91"/>
  <c r="A517" i="91"/>
  <c r="G517" i="91"/>
  <c r="H517" i="91"/>
  <c r="K517" i="91"/>
  <c r="L517" i="91"/>
  <c r="M517" i="91"/>
  <c r="N517" i="91"/>
  <c r="O517" i="91"/>
  <c r="P517" i="91"/>
  <c r="A518" i="91"/>
  <c r="G518" i="91"/>
  <c r="L518" i="91"/>
  <c r="H518" i="91"/>
  <c r="K518" i="91"/>
  <c r="M518" i="91"/>
  <c r="O518" i="91"/>
  <c r="A519" i="91"/>
  <c r="G519" i="91"/>
  <c r="K519" i="91"/>
  <c r="H519" i="91"/>
  <c r="L519" i="91"/>
  <c r="M519" i="91"/>
  <c r="N519" i="91"/>
  <c r="P519" i="91"/>
  <c r="A520" i="91"/>
  <c r="G520" i="91"/>
  <c r="N520" i="91"/>
  <c r="H520" i="91"/>
  <c r="M520" i="91"/>
  <c r="A521" i="91"/>
  <c r="G521" i="91"/>
  <c r="H521" i="91"/>
  <c r="K521" i="91"/>
  <c r="L521" i="91"/>
  <c r="M521" i="91"/>
  <c r="N521" i="91"/>
  <c r="O521" i="91"/>
  <c r="P521" i="91"/>
  <c r="A522" i="91"/>
  <c r="G522" i="91"/>
  <c r="L522" i="91"/>
  <c r="H522" i="91"/>
  <c r="K522" i="91"/>
  <c r="M522" i="91"/>
  <c r="O522" i="91"/>
  <c r="A523" i="91"/>
  <c r="G523" i="91"/>
  <c r="K523" i="91"/>
  <c r="H523" i="91"/>
  <c r="L523" i="91"/>
  <c r="M523" i="91"/>
  <c r="N523" i="91"/>
  <c r="P523" i="91"/>
  <c r="A524" i="91"/>
  <c r="G524" i="91"/>
  <c r="N524" i="91"/>
  <c r="H524" i="91"/>
  <c r="M524" i="91"/>
  <c r="A525" i="91"/>
  <c r="G525" i="91"/>
  <c r="H525" i="91"/>
  <c r="K525" i="91"/>
  <c r="L525" i="91"/>
  <c r="M525" i="91"/>
  <c r="N525" i="91"/>
  <c r="O525" i="91"/>
  <c r="P525" i="91"/>
  <c r="A526" i="91"/>
  <c r="G526" i="91"/>
  <c r="L526" i="91"/>
  <c r="H526" i="91"/>
  <c r="K526" i="91"/>
  <c r="M526" i="91"/>
  <c r="O526" i="91"/>
  <c r="A527" i="91"/>
  <c r="G527" i="91"/>
  <c r="K527" i="91"/>
  <c r="H527" i="91"/>
  <c r="L527" i="91"/>
  <c r="M527" i="91"/>
  <c r="N527" i="91"/>
  <c r="P527" i="91"/>
  <c r="D532" i="91"/>
  <c r="G533" i="91"/>
  <c r="A534" i="91"/>
  <c r="G534" i="91"/>
  <c r="H534" i="91"/>
  <c r="K534" i="91"/>
  <c r="L534" i="91"/>
  <c r="M534" i="91"/>
  <c r="N534" i="91"/>
  <c r="O534" i="91"/>
  <c r="P534" i="91"/>
  <c r="A535" i="91"/>
  <c r="G535" i="91"/>
  <c r="H535" i="91"/>
  <c r="K535" i="91"/>
  <c r="L535" i="91"/>
  <c r="M535" i="91"/>
  <c r="N535" i="91"/>
  <c r="O535" i="91"/>
  <c r="P535" i="91"/>
  <c r="A536" i="91"/>
  <c r="G536" i="91"/>
  <c r="H536" i="91"/>
  <c r="K536" i="91"/>
  <c r="L536" i="91"/>
  <c r="M536" i="91"/>
  <c r="N536" i="91"/>
  <c r="O536" i="91"/>
  <c r="P536" i="91"/>
  <c r="A537" i="91"/>
  <c r="G537" i="91"/>
  <c r="H537" i="91"/>
  <c r="K537" i="91"/>
  <c r="L537" i="91"/>
  <c r="M537" i="91"/>
  <c r="N537" i="91"/>
  <c r="O537" i="91"/>
  <c r="P537" i="91"/>
  <c r="A538" i="91"/>
  <c r="G538" i="91"/>
  <c r="H538" i="91"/>
  <c r="K538" i="91"/>
  <c r="L538" i="91"/>
  <c r="M538" i="91"/>
  <c r="N538" i="91"/>
  <c r="O538" i="91"/>
  <c r="P538" i="91"/>
  <c r="A539" i="91"/>
  <c r="G539" i="91"/>
  <c r="H539" i="91"/>
  <c r="K539" i="91"/>
  <c r="L539" i="91"/>
  <c r="M539" i="91"/>
  <c r="N539" i="91"/>
  <c r="O539" i="91"/>
  <c r="P539" i="91"/>
  <c r="A540" i="91"/>
  <c r="G540" i="91"/>
  <c r="H540" i="91"/>
  <c r="K540" i="91"/>
  <c r="L540" i="91"/>
  <c r="M540" i="91"/>
  <c r="N540" i="91"/>
  <c r="O540" i="91"/>
  <c r="P540" i="91"/>
  <c r="A541" i="91"/>
  <c r="G541" i="91"/>
  <c r="H541" i="91"/>
  <c r="K541" i="91"/>
  <c r="L541" i="91"/>
  <c r="M541" i="91"/>
  <c r="N541" i="91"/>
  <c r="O541" i="91"/>
  <c r="V541" i="91"/>
  <c r="N56" i="97"/>
  <c r="P56" i="97"/>
  <c r="P541" i="91"/>
  <c r="A542" i="91"/>
  <c r="G542" i="91"/>
  <c r="H542" i="91"/>
  <c r="K542" i="91"/>
  <c r="L542" i="91"/>
  <c r="M542" i="91"/>
  <c r="N542" i="91"/>
  <c r="O542" i="91"/>
  <c r="P542" i="91"/>
  <c r="A543" i="91"/>
  <c r="G543" i="91"/>
  <c r="H543" i="91"/>
  <c r="K543" i="91"/>
  <c r="L543" i="91"/>
  <c r="M543" i="91"/>
  <c r="N543" i="91"/>
  <c r="O543" i="91"/>
  <c r="P543" i="91"/>
  <c r="A544" i="91"/>
  <c r="G544" i="91"/>
  <c r="H544" i="91"/>
  <c r="K544" i="91"/>
  <c r="L544" i="91"/>
  <c r="S544" i="91"/>
  <c r="M544" i="91"/>
  <c r="N544" i="91"/>
  <c r="V544" i="91"/>
  <c r="O544" i="91"/>
  <c r="P544" i="91"/>
  <c r="A545" i="91"/>
  <c r="G545" i="91"/>
  <c r="H545" i="91"/>
  <c r="K545" i="91"/>
  <c r="M545" i="91"/>
  <c r="O545" i="91"/>
  <c r="A546" i="91"/>
  <c r="G546" i="91"/>
  <c r="H546" i="91"/>
  <c r="L546" i="91"/>
  <c r="M546" i="91"/>
  <c r="N546" i="91"/>
  <c r="P546" i="91"/>
  <c r="A547" i="91"/>
  <c r="G547" i="91"/>
  <c r="H547" i="91"/>
  <c r="M547" i="91"/>
  <c r="A548" i="91"/>
  <c r="G548" i="91"/>
  <c r="H548" i="91"/>
  <c r="K548" i="91"/>
  <c r="L548" i="91"/>
  <c r="M548" i="91"/>
  <c r="N548" i="91"/>
  <c r="O548" i="91"/>
  <c r="P548" i="91"/>
  <c r="A549" i="91"/>
  <c r="G549" i="91"/>
  <c r="H549" i="91"/>
  <c r="K549" i="91"/>
  <c r="M549" i="91"/>
  <c r="O549" i="91"/>
  <c r="A550" i="91"/>
  <c r="G550" i="91"/>
  <c r="H550" i="91"/>
  <c r="L550" i="91"/>
  <c r="M550" i="91"/>
  <c r="N550" i="91"/>
  <c r="P550" i="91"/>
  <c r="A551" i="91"/>
  <c r="G551" i="91"/>
  <c r="H551" i="91"/>
  <c r="M551" i="91"/>
  <c r="A552" i="91"/>
  <c r="G552" i="91"/>
  <c r="H552" i="91"/>
  <c r="K552" i="91"/>
  <c r="L552" i="91"/>
  <c r="M552" i="91"/>
  <c r="N552" i="91"/>
  <c r="O552" i="91"/>
  <c r="P552" i="91"/>
  <c r="A553" i="91"/>
  <c r="G553" i="91"/>
  <c r="H553" i="91"/>
  <c r="K553" i="91"/>
  <c r="M553" i="91"/>
  <c r="O553" i="91"/>
  <c r="A554" i="91"/>
  <c r="G554" i="91"/>
  <c r="H554" i="91"/>
  <c r="L554" i="91"/>
  <c r="M554" i="91"/>
  <c r="N554" i="91"/>
  <c r="P554" i="91"/>
  <c r="A555" i="91"/>
  <c r="G555" i="91"/>
  <c r="H555" i="91"/>
  <c r="M555" i="91"/>
  <c r="A556" i="91"/>
  <c r="G556" i="91"/>
  <c r="H556" i="91"/>
  <c r="K556" i="91"/>
  <c r="L556" i="91"/>
  <c r="M556" i="91"/>
  <c r="N556" i="91"/>
  <c r="O556" i="91"/>
  <c r="P556" i="91"/>
  <c r="A557" i="91"/>
  <c r="G557" i="91"/>
  <c r="H557" i="91"/>
  <c r="K557" i="91"/>
  <c r="M557" i="91"/>
  <c r="O557" i="91"/>
  <c r="A558" i="91"/>
  <c r="G558" i="91"/>
  <c r="H558" i="91"/>
  <c r="L558" i="91"/>
  <c r="M558" i="91"/>
  <c r="N558" i="91"/>
  <c r="P558" i="91"/>
  <c r="C562" i="91"/>
  <c r="D564" i="91"/>
  <c r="AA563" i="91"/>
  <c r="AA564" i="91"/>
  <c r="AB564" i="91"/>
  <c r="AC564" i="91"/>
  <c r="AD564" i="91"/>
  <c r="AE564" i="91"/>
  <c r="G565" i="91"/>
  <c r="CW269" i="91"/>
  <c r="CX273" i="91"/>
  <c r="CX236" i="91"/>
  <c r="CX260" i="91"/>
  <c r="CW275" i="91"/>
  <c r="CX268" i="91"/>
  <c r="CX277" i="91"/>
  <c r="CX267" i="91"/>
  <c r="CX272" i="91"/>
  <c r="CX233" i="91"/>
  <c r="CX255" i="91"/>
  <c r="CX258" i="91"/>
  <c r="CX243" i="91"/>
  <c r="CX240" i="91"/>
  <c r="CX262" i="91"/>
  <c r="CX263" i="91"/>
  <c r="CX247" i="91"/>
  <c r="CX266" i="91"/>
  <c r="CX245" i="91"/>
  <c r="CX246" i="91"/>
  <c r="CX261" i="91"/>
  <c r="CX234" i="91"/>
  <c r="CX227" i="91"/>
  <c r="CX241" i="91"/>
  <c r="CX226" i="91"/>
  <c r="CX229" i="91"/>
  <c r="CX248" i="91"/>
  <c r="CX232" i="91"/>
  <c r="CX271" i="91"/>
  <c r="CX278" i="91"/>
  <c r="CX279" i="91"/>
  <c r="CX242" i="91"/>
  <c r="CX256" i="91"/>
  <c r="CX228" i="91"/>
  <c r="CX244" i="91"/>
  <c r="CX231" i="91"/>
  <c r="AD565" i="91"/>
  <c r="AE565" i="91"/>
  <c r="AA565" i="91"/>
  <c r="AB565" i="91"/>
  <c r="AC565" i="91"/>
  <c r="CX230" i="91"/>
  <c r="CX235" i="91"/>
  <c r="CX265" i="91"/>
  <c r="CX270" i="91"/>
  <c r="CX276" i="91"/>
  <c r="CX223" i="91"/>
  <c r="CX238" i="91"/>
  <c r="CX275" i="91"/>
  <c r="CX264" i="91"/>
  <c r="CX225" i="91"/>
  <c r="CX257" i="91"/>
  <c r="CX269" i="91"/>
  <c r="CX274" i="91"/>
  <c r="CX237" i="91"/>
  <c r="CX254" i="91"/>
  <c r="CX239" i="91"/>
  <c r="CX259" i="91"/>
  <c r="CX224" i="91"/>
  <c r="CW306" i="91"/>
  <c r="CW300" i="91"/>
  <c r="V536" i="91"/>
  <c r="N51" i="97"/>
  <c r="P51" i="97"/>
  <c r="U521" i="91"/>
  <c r="U513" i="91"/>
  <c r="V556" i="91"/>
  <c r="V548" i="91"/>
  <c r="V525" i="91"/>
  <c r="V517" i="91"/>
  <c r="T521" i="91"/>
  <c r="T513" i="91"/>
  <c r="S552" i="91"/>
  <c r="V552" i="91"/>
  <c r="S548" i="91"/>
  <c r="V540" i="91"/>
  <c r="N55" i="97"/>
  <c r="P55" i="97"/>
  <c r="T539" i="91"/>
  <c r="M559" i="91"/>
  <c r="T543" i="91"/>
  <c r="T540" i="91"/>
  <c r="V538" i="91"/>
  <c r="N53" i="97"/>
  <c r="P53" i="97"/>
  <c r="I16" i="38"/>
  <c r="H54" i="38"/>
  <c r="U537" i="91"/>
  <c r="U541" i="91"/>
  <c r="V542" i="91"/>
  <c r="N57" i="97"/>
  <c r="P57" i="97"/>
  <c r="O102" i="97"/>
  <c r="M21" i="20"/>
  <c r="S536" i="91"/>
  <c r="T535" i="91"/>
  <c r="S539" i="91"/>
  <c r="U534" i="91"/>
  <c r="CW299" i="91"/>
  <c r="CW289" i="91"/>
  <c r="CW305" i="91"/>
  <c r="CW303" i="91"/>
  <c r="CW293" i="91"/>
  <c r="CW309" i="91"/>
  <c r="CW291" i="91"/>
  <c r="CW307" i="91"/>
  <c r="CW297" i="91"/>
  <c r="CW295" i="91"/>
  <c r="CW285" i="91"/>
  <c r="CW301" i="91"/>
  <c r="U543" i="91"/>
  <c r="T542" i="91"/>
  <c r="S542" i="91"/>
  <c r="S540" i="91"/>
  <c r="U540" i="91"/>
  <c r="U538" i="91"/>
  <c r="T537" i="91"/>
  <c r="T534" i="91"/>
  <c r="S534" i="91"/>
  <c r="T525" i="91"/>
  <c r="S521" i="91"/>
  <c r="M528" i="91"/>
  <c r="U517" i="91"/>
  <c r="V513" i="91"/>
  <c r="S537" i="91"/>
  <c r="S525" i="91"/>
  <c r="U556" i="91"/>
  <c r="U552" i="91"/>
  <c r="U548" i="91"/>
  <c r="U544" i="91"/>
  <c r="U542" i="91"/>
  <c r="T541" i="91"/>
  <c r="U539" i="91"/>
  <c r="T538" i="91"/>
  <c r="S538" i="91"/>
  <c r="V537" i="91"/>
  <c r="N52" i="97"/>
  <c r="P52" i="97"/>
  <c r="T536" i="91"/>
  <c r="U525" i="91"/>
  <c r="V521" i="91"/>
  <c r="T517" i="91"/>
  <c r="S513" i="91"/>
  <c r="S556" i="91"/>
  <c r="T552" i="91"/>
  <c r="T548" i="91"/>
  <c r="T544" i="91"/>
  <c r="S543" i="91"/>
  <c r="S541" i="91"/>
  <c r="S535" i="91"/>
  <c r="S517" i="91"/>
  <c r="CX310" i="91"/>
  <c r="CX309" i="91"/>
  <c r="CX308" i="91"/>
  <c r="CX307" i="91"/>
  <c r="CX306" i="91"/>
  <c r="CX305" i="91"/>
  <c r="CX304" i="91"/>
  <c r="CX303" i="91"/>
  <c r="CX302" i="91"/>
  <c r="CX301" i="91"/>
  <c r="CX300" i="91"/>
  <c r="CX299" i="91"/>
  <c r="CX298" i="91"/>
  <c r="CX297" i="91"/>
  <c r="CX296" i="91"/>
  <c r="CX295" i="91"/>
  <c r="CX294" i="91"/>
  <c r="CX293" i="91"/>
  <c r="CX292" i="91"/>
  <c r="CX291" i="91"/>
  <c r="CX290" i="91"/>
  <c r="CX289" i="91"/>
  <c r="CX288" i="91"/>
  <c r="CX287" i="91"/>
  <c r="CX286" i="91"/>
  <c r="CX285" i="91"/>
  <c r="I20" i="38"/>
  <c r="H58" i="38"/>
  <c r="K550" i="91"/>
  <c r="K554" i="91"/>
  <c r="N551" i="91"/>
  <c r="L545" i="91"/>
  <c r="K558" i="91"/>
  <c r="N555" i="91"/>
  <c r="L549" i="91"/>
  <c r="L553" i="91"/>
  <c r="K546" i="91"/>
  <c r="L557" i="91"/>
  <c r="N547" i="91"/>
  <c r="V543" i="91"/>
  <c r="N58" i="97"/>
  <c r="P58" i="97"/>
  <c r="V539" i="91"/>
  <c r="N54" i="97"/>
  <c r="P54" i="97"/>
  <c r="U536" i="91"/>
  <c r="V535" i="91"/>
  <c r="N50" i="97"/>
  <c r="P50" i="97"/>
  <c r="N526" i="91"/>
  <c r="S526" i="91"/>
  <c r="P524" i="91"/>
  <c r="P555" i="91"/>
  <c r="L524" i="91"/>
  <c r="N522" i="91"/>
  <c r="P520" i="91"/>
  <c r="P551" i="91"/>
  <c r="L520" i="91"/>
  <c r="N518" i="91"/>
  <c r="S518" i="91"/>
  <c r="P516" i="91"/>
  <c r="P547" i="91"/>
  <c r="L516" i="91"/>
  <c r="N514" i="91"/>
  <c r="T514" i="91"/>
  <c r="CY221" i="91"/>
  <c r="T556" i="91"/>
  <c r="U535" i="91"/>
  <c r="V534" i="91"/>
  <c r="O524" i="91"/>
  <c r="O555" i="91"/>
  <c r="K524" i="91"/>
  <c r="O520" i="91"/>
  <c r="O551" i="91"/>
  <c r="K520" i="91"/>
  <c r="O516" i="91"/>
  <c r="O547" i="91"/>
  <c r="K516" i="91"/>
  <c r="I19" i="38"/>
  <c r="H57" i="38"/>
  <c r="O101" i="97"/>
  <c r="M20" i="20"/>
  <c r="I15" i="38"/>
  <c r="H53" i="38"/>
  <c r="O97" i="97"/>
  <c r="M16" i="20"/>
  <c r="O527" i="91"/>
  <c r="V527" i="91"/>
  <c r="P526" i="91"/>
  <c r="P557" i="91"/>
  <c r="O523" i="91"/>
  <c r="S523" i="91"/>
  <c r="P522" i="91"/>
  <c r="P553" i="91"/>
  <c r="O519" i="91"/>
  <c r="S519" i="91"/>
  <c r="P518" i="91"/>
  <c r="P549" i="91"/>
  <c r="O515" i="91"/>
  <c r="V515" i="91"/>
  <c r="P514" i="91"/>
  <c r="I18" i="38"/>
  <c r="H56" i="38"/>
  <c r="O100" i="97"/>
  <c r="M19" i="20"/>
  <c r="I14" i="38"/>
  <c r="H52" i="38"/>
  <c r="O96" i="97"/>
  <c r="M15" i="20"/>
  <c r="A566" i="91"/>
  <c r="G566" i="91"/>
  <c r="H566" i="91"/>
  <c r="Z566" i="91"/>
  <c r="A567" i="91"/>
  <c r="G567" i="91"/>
  <c r="H567" i="91"/>
  <c r="Z567" i="91"/>
  <c r="A568" i="91"/>
  <c r="G568" i="91"/>
  <c r="H568" i="91"/>
  <c r="Z568" i="91"/>
  <c r="A569" i="91"/>
  <c r="G569" i="91"/>
  <c r="H569" i="91"/>
  <c r="Z569" i="91"/>
  <c r="A570" i="91"/>
  <c r="G570" i="91"/>
  <c r="H570" i="91"/>
  <c r="Z570" i="91"/>
  <c r="A571" i="91"/>
  <c r="G571" i="91"/>
  <c r="H571" i="91"/>
  <c r="Z571" i="91"/>
  <c r="A572" i="91"/>
  <c r="G572" i="91"/>
  <c r="H572" i="91"/>
  <c r="Z572" i="91"/>
  <c r="A573" i="91"/>
  <c r="G573" i="91"/>
  <c r="H573" i="91"/>
  <c r="Z573" i="91"/>
  <c r="A574" i="91"/>
  <c r="G574" i="91"/>
  <c r="H574" i="91"/>
  <c r="Z574" i="91"/>
  <c r="A575" i="91"/>
  <c r="G575" i="91"/>
  <c r="H575" i="91"/>
  <c r="Z575" i="91"/>
  <c r="A576" i="91"/>
  <c r="G576" i="91"/>
  <c r="H576" i="91"/>
  <c r="J576" i="91"/>
  <c r="K576" i="91"/>
  <c r="L576" i="91"/>
  <c r="M576" i="91"/>
  <c r="N576" i="91"/>
  <c r="O576" i="91"/>
  <c r="P576" i="91"/>
  <c r="R576" i="91"/>
  <c r="U576" i="91"/>
  <c r="V576" i="91"/>
  <c r="W576" i="91"/>
  <c r="X576" i="91"/>
  <c r="Y576" i="91"/>
  <c r="Z576" i="91"/>
  <c r="A577" i="91"/>
  <c r="G577" i="91"/>
  <c r="H577" i="91"/>
  <c r="J577" i="91"/>
  <c r="K577" i="91"/>
  <c r="L577" i="91"/>
  <c r="M577" i="91"/>
  <c r="N577" i="91"/>
  <c r="O577" i="91"/>
  <c r="P577" i="91"/>
  <c r="R577" i="91"/>
  <c r="U577" i="91"/>
  <c r="V577" i="91"/>
  <c r="W577" i="91"/>
  <c r="X577" i="91"/>
  <c r="Y577" i="91"/>
  <c r="Z577" i="91"/>
  <c r="A578" i="91"/>
  <c r="G578" i="91"/>
  <c r="H578" i="91"/>
  <c r="J578" i="91"/>
  <c r="K578" i="91"/>
  <c r="L578" i="91"/>
  <c r="M578" i="91"/>
  <c r="N578" i="91"/>
  <c r="O578" i="91"/>
  <c r="P578" i="91"/>
  <c r="R578" i="91"/>
  <c r="U578" i="91"/>
  <c r="V578" i="91"/>
  <c r="W578" i="91"/>
  <c r="X578" i="91"/>
  <c r="Y578" i="91"/>
  <c r="Z578" i="91"/>
  <c r="A579" i="91"/>
  <c r="G579" i="91"/>
  <c r="M579" i="91"/>
  <c r="H579" i="91"/>
  <c r="K579" i="91"/>
  <c r="L579" i="91"/>
  <c r="N579" i="91"/>
  <c r="O579" i="91"/>
  <c r="P579" i="91"/>
  <c r="U579" i="91"/>
  <c r="V579" i="91"/>
  <c r="X579" i="91"/>
  <c r="Y579" i="91"/>
  <c r="Z579" i="91"/>
  <c r="A580" i="91"/>
  <c r="G580" i="91"/>
  <c r="H580" i="91"/>
  <c r="J580" i="91"/>
  <c r="L580" i="91"/>
  <c r="M580" i="91"/>
  <c r="N580" i="91"/>
  <c r="P580" i="91"/>
  <c r="R580" i="91"/>
  <c r="V580" i="91"/>
  <c r="W580" i="91"/>
  <c r="X580" i="91"/>
  <c r="Z580" i="91"/>
  <c r="A581" i="91"/>
  <c r="G581" i="91"/>
  <c r="M581" i="91"/>
  <c r="H581" i="91"/>
  <c r="J581" i="91"/>
  <c r="K581" i="91"/>
  <c r="L581" i="91"/>
  <c r="N581" i="91"/>
  <c r="O581" i="91"/>
  <c r="P581" i="91"/>
  <c r="T581" i="91"/>
  <c r="U581" i="91"/>
  <c r="V581" i="91"/>
  <c r="X581" i="91"/>
  <c r="Y581" i="91"/>
  <c r="Z581" i="91"/>
  <c r="A582" i="91"/>
  <c r="G582" i="91"/>
  <c r="H582" i="91"/>
  <c r="L582" i="91"/>
  <c r="N582" i="91"/>
  <c r="P582" i="91"/>
  <c r="V582" i="91"/>
  <c r="X582" i="91"/>
  <c r="Z582" i="91"/>
  <c r="A583" i="91"/>
  <c r="G583" i="91"/>
  <c r="M583" i="91"/>
  <c r="H583" i="91"/>
  <c r="J583" i="91"/>
  <c r="L583" i="91"/>
  <c r="N583" i="91"/>
  <c r="P583" i="91"/>
  <c r="V583" i="91"/>
  <c r="X583" i="91"/>
  <c r="Z583" i="91"/>
  <c r="A584" i="91"/>
  <c r="G584" i="91"/>
  <c r="H584" i="91"/>
  <c r="J584" i="91"/>
  <c r="L584" i="91"/>
  <c r="N584" i="91"/>
  <c r="P584" i="91"/>
  <c r="V584" i="91"/>
  <c r="X584" i="91"/>
  <c r="Z584" i="91"/>
  <c r="A585" i="91"/>
  <c r="G585" i="91"/>
  <c r="M585" i="91"/>
  <c r="H585" i="91"/>
  <c r="L585" i="91"/>
  <c r="P585" i="91"/>
  <c r="V585" i="91"/>
  <c r="Z585" i="91"/>
  <c r="A586" i="91"/>
  <c r="G586" i="91"/>
  <c r="L586" i="91"/>
  <c r="H586" i="91"/>
  <c r="J586" i="91"/>
  <c r="N586" i="91"/>
  <c r="P586" i="91"/>
  <c r="V586" i="91"/>
  <c r="X586" i="91"/>
  <c r="Z586" i="91"/>
  <c r="A587" i="91"/>
  <c r="G587" i="91"/>
  <c r="M587" i="91"/>
  <c r="H587" i="91"/>
  <c r="L587" i="91"/>
  <c r="P587" i="91"/>
  <c r="V587" i="91"/>
  <c r="Z587" i="91"/>
  <c r="A588" i="91"/>
  <c r="G588" i="91"/>
  <c r="H588" i="91"/>
  <c r="J588" i="91"/>
  <c r="L588" i="91"/>
  <c r="N588" i="91"/>
  <c r="P588" i="91"/>
  <c r="V588" i="91"/>
  <c r="X588" i="91"/>
  <c r="Z588" i="91"/>
  <c r="A589" i="91"/>
  <c r="G589" i="91"/>
  <c r="H589" i="91"/>
  <c r="L589" i="91"/>
  <c r="P589" i="91"/>
  <c r="V589" i="91"/>
  <c r="Z589" i="91"/>
  <c r="A590" i="91"/>
  <c r="G590" i="91"/>
  <c r="H590" i="91"/>
  <c r="J590" i="91"/>
  <c r="L590" i="91"/>
  <c r="N590" i="91"/>
  <c r="P590" i="91"/>
  <c r="V590" i="91"/>
  <c r="X590" i="91"/>
  <c r="Z590" i="91"/>
  <c r="AA594" i="91"/>
  <c r="D595" i="91"/>
  <c r="AA595" i="91"/>
  <c r="AB595" i="91"/>
  <c r="AC595" i="91"/>
  <c r="AD595" i="91"/>
  <c r="AE595" i="91"/>
  <c r="G596" i="91"/>
  <c r="P569" i="91"/>
  <c r="L569" i="91"/>
  <c r="W569" i="91"/>
  <c r="J573" i="91"/>
  <c r="N573" i="91"/>
  <c r="Y573" i="91"/>
  <c r="U573" i="91"/>
  <c r="R566" i="91"/>
  <c r="M566" i="91"/>
  <c r="X566" i="91"/>
  <c r="K570" i="91"/>
  <c r="O570" i="91"/>
  <c r="V570" i="91"/>
  <c r="R574" i="91"/>
  <c r="M574" i="91"/>
  <c r="X574" i="91"/>
  <c r="R567" i="91"/>
  <c r="M567" i="91"/>
  <c r="X567" i="91"/>
  <c r="K571" i="91"/>
  <c r="O571" i="91"/>
  <c r="V571" i="91"/>
  <c r="R575" i="91"/>
  <c r="M575" i="91"/>
  <c r="X575" i="91"/>
  <c r="R568" i="91"/>
  <c r="M568" i="91"/>
  <c r="X568" i="91"/>
  <c r="K572" i="91"/>
  <c r="O572" i="91"/>
  <c r="V572" i="91"/>
  <c r="V568" i="91"/>
  <c r="M572" i="91"/>
  <c r="K569" i="91"/>
  <c r="O569" i="91"/>
  <c r="V569" i="91"/>
  <c r="R573" i="91"/>
  <c r="M573" i="91"/>
  <c r="X573" i="91"/>
  <c r="P566" i="91"/>
  <c r="L566" i="91"/>
  <c r="W566" i="91"/>
  <c r="J570" i="91"/>
  <c r="N570" i="91"/>
  <c r="Y570" i="91"/>
  <c r="U570" i="91"/>
  <c r="P574" i="91"/>
  <c r="L574" i="91"/>
  <c r="W574" i="91"/>
  <c r="P567" i="91"/>
  <c r="L567" i="91"/>
  <c r="W567" i="91"/>
  <c r="J571" i="91"/>
  <c r="N571" i="91"/>
  <c r="Y571" i="91"/>
  <c r="U571" i="91"/>
  <c r="P575" i="91"/>
  <c r="L575" i="91"/>
  <c r="W575" i="91"/>
  <c r="P568" i="91"/>
  <c r="L568" i="91"/>
  <c r="W568" i="91"/>
  <c r="J572" i="91"/>
  <c r="N572" i="91"/>
  <c r="Y572" i="91"/>
  <c r="U572" i="91"/>
  <c r="M571" i="91"/>
  <c r="K575" i="91"/>
  <c r="V575" i="91"/>
  <c r="O568" i="91"/>
  <c r="J569" i="91"/>
  <c r="N569" i="91"/>
  <c r="Y569" i="91"/>
  <c r="U569" i="91"/>
  <c r="P573" i="91"/>
  <c r="L573" i="91"/>
  <c r="W573" i="91"/>
  <c r="K566" i="91"/>
  <c r="O566" i="91"/>
  <c r="V566" i="91"/>
  <c r="R570" i="91"/>
  <c r="M570" i="91"/>
  <c r="X570" i="91"/>
  <c r="K574" i="91"/>
  <c r="O574" i="91"/>
  <c r="V574" i="91"/>
  <c r="K567" i="91"/>
  <c r="O567" i="91"/>
  <c r="V567" i="91"/>
  <c r="R571" i="91"/>
  <c r="X571" i="91"/>
  <c r="O575" i="91"/>
  <c r="K568" i="91"/>
  <c r="R572" i="91"/>
  <c r="R569" i="91"/>
  <c r="M569" i="91"/>
  <c r="X569" i="91"/>
  <c r="K573" i="91"/>
  <c r="O573" i="91"/>
  <c r="V573" i="91"/>
  <c r="J566" i="91"/>
  <c r="N566" i="91"/>
  <c r="Y566" i="91"/>
  <c r="U566" i="91"/>
  <c r="P570" i="91"/>
  <c r="L570" i="91"/>
  <c r="W570" i="91"/>
  <c r="J574" i="91"/>
  <c r="N574" i="91"/>
  <c r="Y574" i="91"/>
  <c r="U574" i="91"/>
  <c r="J567" i="91"/>
  <c r="N567" i="91"/>
  <c r="Y567" i="91"/>
  <c r="U567" i="91"/>
  <c r="P571" i="91"/>
  <c r="L571" i="91"/>
  <c r="W571" i="91"/>
  <c r="J575" i="91"/>
  <c r="N575" i="91"/>
  <c r="Y575" i="91"/>
  <c r="U575" i="91"/>
  <c r="J568" i="91"/>
  <c r="N568" i="91"/>
  <c r="Y568" i="91"/>
  <c r="U568" i="91"/>
  <c r="P572" i="91"/>
  <c r="L572" i="91"/>
  <c r="W572" i="91"/>
  <c r="X572" i="91"/>
  <c r="CY237" i="91"/>
  <c r="CY235" i="91"/>
  <c r="CY241" i="91"/>
  <c r="CY255" i="91"/>
  <c r="CY223" i="91"/>
  <c r="CY224" i="91"/>
  <c r="CY264" i="91"/>
  <c r="CY247" i="91"/>
  <c r="CY267" i="91"/>
  <c r="CY234" i="91"/>
  <c r="CY248" i="91"/>
  <c r="CY254" i="91"/>
  <c r="CY225" i="91"/>
  <c r="CY273" i="91"/>
  <c r="CY242" i="91"/>
  <c r="CY274" i="91"/>
  <c r="CY246" i="91"/>
  <c r="CY256" i="91"/>
  <c r="CY278" i="91"/>
  <c r="CY271" i="91"/>
  <c r="CY260" i="91"/>
  <c r="CY277" i="91"/>
  <c r="CY245" i="91"/>
  <c r="CY275" i="91"/>
  <c r="CY227" i="91"/>
  <c r="CY233" i="91"/>
  <c r="CY226" i="91"/>
  <c r="CY265" i="91"/>
  <c r="CY238" i="91"/>
  <c r="CY231" i="91"/>
  <c r="AE596" i="91"/>
  <c r="AB596" i="91"/>
  <c r="AD596" i="91"/>
  <c r="AA596" i="91"/>
  <c r="AC596" i="91"/>
  <c r="CY258" i="91"/>
  <c r="CY230" i="91"/>
  <c r="CY232" i="91"/>
  <c r="CY262" i="91"/>
  <c r="CY239" i="91"/>
  <c r="CY257" i="91"/>
  <c r="CY240" i="91"/>
  <c r="CY229" i="91"/>
  <c r="CY259" i="91"/>
  <c r="CY261" i="91"/>
  <c r="CY279" i="91"/>
  <c r="CY268" i="91"/>
  <c r="CY244" i="91"/>
  <c r="CY236" i="91"/>
  <c r="CY266" i="91"/>
  <c r="CY270" i="91"/>
  <c r="CY263" i="91"/>
  <c r="CY228" i="91"/>
  <c r="CY272" i="91"/>
  <c r="CY276" i="91"/>
  <c r="CY243" i="91"/>
  <c r="CY269" i="91"/>
  <c r="J596" i="91"/>
  <c r="I92" i="80"/>
  <c r="I36" i="80"/>
  <c r="H89" i="80"/>
  <c r="H87" i="80"/>
  <c r="I85" i="80"/>
  <c r="I29" i="80"/>
  <c r="H85" i="80"/>
  <c r="G83" i="80"/>
  <c r="G27" i="80"/>
  <c r="H83" i="80"/>
  <c r="I82" i="80"/>
  <c r="I26" i="80"/>
  <c r="T578" i="91"/>
  <c r="G79" i="80"/>
  <c r="G23" i="80"/>
  <c r="H78" i="80"/>
  <c r="G92" i="80"/>
  <c r="G36" i="80"/>
  <c r="G91" i="80"/>
  <c r="G35" i="80"/>
  <c r="I90" i="80"/>
  <c r="I34" i="80"/>
  <c r="G88" i="80"/>
  <c r="G32" i="80"/>
  <c r="G85" i="80"/>
  <c r="G29" i="80"/>
  <c r="H82" i="80"/>
  <c r="T579" i="91"/>
  <c r="I80" i="80"/>
  <c r="I24" i="80"/>
  <c r="T577" i="91"/>
  <c r="G78" i="80"/>
  <c r="G22" i="80"/>
  <c r="G90" i="80"/>
  <c r="G34" i="80"/>
  <c r="G89" i="80"/>
  <c r="G33" i="80"/>
  <c r="I88" i="80"/>
  <c r="I32" i="80"/>
  <c r="G87" i="80"/>
  <c r="G31" i="80"/>
  <c r="I86" i="80"/>
  <c r="I30" i="80"/>
  <c r="I84" i="80"/>
  <c r="I28" i="80"/>
  <c r="G82" i="80"/>
  <c r="G26" i="80"/>
  <c r="I81" i="80"/>
  <c r="I25" i="80"/>
  <c r="H81" i="80"/>
  <c r="H80" i="80"/>
  <c r="I79" i="80"/>
  <c r="I23" i="80"/>
  <c r="U551" i="91"/>
  <c r="G86" i="80"/>
  <c r="G30" i="80"/>
  <c r="G84" i="80"/>
  <c r="G28" i="80"/>
  <c r="I83" i="80"/>
  <c r="I27" i="80"/>
  <c r="G81" i="80"/>
  <c r="G25" i="80"/>
  <c r="G80" i="80"/>
  <c r="G24" i="80"/>
  <c r="H79" i="80"/>
  <c r="I78" i="80"/>
  <c r="I22" i="80"/>
  <c r="U520" i="91"/>
  <c r="O98" i="97"/>
  <c r="M17" i="20"/>
  <c r="I16" i="71"/>
  <c r="L74" i="80"/>
  <c r="L18" i="80"/>
  <c r="J16" i="71"/>
  <c r="K70" i="81"/>
  <c r="M74" i="80"/>
  <c r="M18" i="80"/>
  <c r="K16" i="71"/>
  <c r="N74" i="80"/>
  <c r="N18" i="80"/>
  <c r="L16" i="71"/>
  <c r="O74" i="80"/>
  <c r="O18" i="80"/>
  <c r="M16" i="71"/>
  <c r="P74" i="80"/>
  <c r="P18" i="80"/>
  <c r="G74" i="80"/>
  <c r="G18" i="80"/>
  <c r="H74" i="80"/>
  <c r="I74" i="80"/>
  <c r="I18" i="80"/>
  <c r="G16" i="71"/>
  <c r="J74" i="80"/>
  <c r="J18" i="80"/>
  <c r="T572" i="91"/>
  <c r="H16" i="71"/>
  <c r="K74" i="80"/>
  <c r="K18" i="80"/>
  <c r="E74" i="80"/>
  <c r="E18" i="80"/>
  <c r="I12" i="71"/>
  <c r="L70" i="80"/>
  <c r="L14" i="80"/>
  <c r="J12" i="71"/>
  <c r="K66" i="81"/>
  <c r="M70" i="80"/>
  <c r="M14" i="80"/>
  <c r="K12" i="71"/>
  <c r="N70" i="80"/>
  <c r="N14" i="80"/>
  <c r="L12" i="71"/>
  <c r="O70" i="80"/>
  <c r="O14" i="80"/>
  <c r="M12" i="71"/>
  <c r="P70" i="80"/>
  <c r="P14" i="80"/>
  <c r="G70" i="80"/>
  <c r="G14" i="80"/>
  <c r="H70" i="80"/>
  <c r="I70" i="80"/>
  <c r="I14" i="80"/>
  <c r="G12" i="71"/>
  <c r="J70" i="80"/>
  <c r="J14" i="80"/>
  <c r="T568" i="91"/>
  <c r="H12" i="71"/>
  <c r="K70" i="80"/>
  <c r="K14" i="80"/>
  <c r="E70" i="80"/>
  <c r="E14" i="80"/>
  <c r="I19" i="71"/>
  <c r="L77" i="80"/>
  <c r="L21" i="80"/>
  <c r="J19" i="71"/>
  <c r="K73" i="81"/>
  <c r="M77" i="80"/>
  <c r="M21" i="80"/>
  <c r="K19" i="71"/>
  <c r="N77" i="80"/>
  <c r="N21" i="80"/>
  <c r="L19" i="71"/>
  <c r="O77" i="80"/>
  <c r="O21" i="80"/>
  <c r="M19" i="71"/>
  <c r="P77" i="80"/>
  <c r="P21" i="80"/>
  <c r="G77" i="80"/>
  <c r="G21" i="80"/>
  <c r="H77" i="80"/>
  <c r="I77" i="80"/>
  <c r="I21" i="80"/>
  <c r="G19" i="71"/>
  <c r="J77" i="80"/>
  <c r="J21" i="80"/>
  <c r="T575" i="91"/>
  <c r="H19" i="71"/>
  <c r="K77" i="80"/>
  <c r="K21" i="80"/>
  <c r="E77" i="80"/>
  <c r="E21" i="80"/>
  <c r="I15" i="71"/>
  <c r="L73" i="80"/>
  <c r="L17" i="80"/>
  <c r="J15" i="71"/>
  <c r="K69" i="81"/>
  <c r="M73" i="80"/>
  <c r="M17" i="80"/>
  <c r="K15" i="71"/>
  <c r="N73" i="80"/>
  <c r="N17" i="80"/>
  <c r="L15" i="71"/>
  <c r="O73" i="80"/>
  <c r="O17" i="80"/>
  <c r="M15" i="71"/>
  <c r="P73" i="80"/>
  <c r="P17" i="80"/>
  <c r="G73" i="80"/>
  <c r="G17" i="80"/>
  <c r="H73" i="80"/>
  <c r="I73" i="80"/>
  <c r="I17" i="80"/>
  <c r="G15" i="71"/>
  <c r="J73" i="80"/>
  <c r="J17" i="80"/>
  <c r="T571" i="91"/>
  <c r="H15" i="71"/>
  <c r="K73" i="80"/>
  <c r="K17" i="80"/>
  <c r="E73" i="80"/>
  <c r="E17" i="80"/>
  <c r="I11" i="71"/>
  <c r="L69" i="80"/>
  <c r="L13" i="80"/>
  <c r="J11" i="71"/>
  <c r="K65" i="81"/>
  <c r="M69" i="80"/>
  <c r="M13" i="80"/>
  <c r="K11" i="71"/>
  <c r="N69" i="80"/>
  <c r="N13" i="80"/>
  <c r="L11" i="71"/>
  <c r="O69" i="80"/>
  <c r="O13" i="80"/>
  <c r="M11" i="71"/>
  <c r="P69" i="80"/>
  <c r="P13" i="80"/>
  <c r="G69" i="80"/>
  <c r="G13" i="80"/>
  <c r="H69" i="80"/>
  <c r="I69" i="80"/>
  <c r="I13" i="80"/>
  <c r="G11" i="71"/>
  <c r="J69" i="80"/>
  <c r="J13" i="80"/>
  <c r="T567" i="91"/>
  <c r="H11" i="71"/>
  <c r="K69" i="80"/>
  <c r="K13" i="80"/>
  <c r="E69" i="80"/>
  <c r="E13" i="80"/>
  <c r="CY310" i="91"/>
  <c r="CY309" i="91"/>
  <c r="CY308" i="91"/>
  <c r="CY307" i="91"/>
  <c r="CY306" i="91"/>
  <c r="CY305" i="91"/>
  <c r="CY304" i="91"/>
  <c r="CY303" i="91"/>
  <c r="CY302" i="91"/>
  <c r="CY301" i="91"/>
  <c r="CY300" i="91"/>
  <c r="CY299" i="91"/>
  <c r="CY298" i="91"/>
  <c r="CY297" i="91"/>
  <c r="CY296" i="91"/>
  <c r="CY295" i="91"/>
  <c r="CY294" i="91"/>
  <c r="CY293" i="91"/>
  <c r="CY292" i="91"/>
  <c r="CY291" i="91"/>
  <c r="CY290" i="91"/>
  <c r="CY289" i="91"/>
  <c r="CY288" i="91"/>
  <c r="CY287" i="91"/>
  <c r="CY286" i="91"/>
  <c r="CY285" i="91"/>
  <c r="I18" i="71"/>
  <c r="L76" i="80"/>
  <c r="L20" i="80"/>
  <c r="J18" i="71"/>
  <c r="K72" i="81"/>
  <c r="M76" i="80"/>
  <c r="M20" i="80"/>
  <c r="K18" i="71"/>
  <c r="N76" i="80"/>
  <c r="N20" i="80"/>
  <c r="L18" i="71"/>
  <c r="O76" i="80"/>
  <c r="O20" i="80"/>
  <c r="M18" i="71"/>
  <c r="P76" i="80"/>
  <c r="P20" i="80"/>
  <c r="G76" i="80"/>
  <c r="G20" i="80"/>
  <c r="H76" i="80"/>
  <c r="I76" i="80"/>
  <c r="I20" i="80"/>
  <c r="G18" i="71"/>
  <c r="J76" i="80"/>
  <c r="J20" i="80"/>
  <c r="T574" i="91"/>
  <c r="H18" i="71"/>
  <c r="K76" i="80"/>
  <c r="K20" i="80"/>
  <c r="E76" i="80"/>
  <c r="E20" i="80"/>
  <c r="I14" i="71"/>
  <c r="L72" i="80"/>
  <c r="L16" i="80"/>
  <c r="J14" i="71"/>
  <c r="K68" i="81"/>
  <c r="M72" i="80"/>
  <c r="M16" i="80"/>
  <c r="K14" i="71"/>
  <c r="N72" i="80"/>
  <c r="N16" i="80"/>
  <c r="L14" i="71"/>
  <c r="O72" i="80"/>
  <c r="O16" i="80"/>
  <c r="M14" i="71"/>
  <c r="P72" i="80"/>
  <c r="P16" i="80"/>
  <c r="G72" i="80"/>
  <c r="G16" i="80"/>
  <c r="H72" i="80"/>
  <c r="I72" i="80"/>
  <c r="I16" i="80"/>
  <c r="G14" i="71"/>
  <c r="J72" i="80"/>
  <c r="J16" i="80"/>
  <c r="T570" i="91"/>
  <c r="H14" i="71"/>
  <c r="K72" i="80"/>
  <c r="K16" i="80"/>
  <c r="E72" i="80"/>
  <c r="E16" i="80"/>
  <c r="I10" i="71"/>
  <c r="L68" i="80"/>
  <c r="L12" i="80"/>
  <c r="J10" i="71"/>
  <c r="K64" i="81"/>
  <c r="M68" i="80"/>
  <c r="M12" i="80"/>
  <c r="V591" i="91"/>
  <c r="K10" i="71"/>
  <c r="N68" i="80"/>
  <c r="N12" i="80"/>
  <c r="L10" i="71"/>
  <c r="O68" i="80"/>
  <c r="O12" i="80"/>
  <c r="M10" i="71"/>
  <c r="P68" i="80"/>
  <c r="P12" i="80"/>
  <c r="G68" i="80"/>
  <c r="G12" i="80"/>
  <c r="L591" i="91"/>
  <c r="H68" i="80"/>
  <c r="I68" i="80"/>
  <c r="I12" i="80"/>
  <c r="G10" i="71"/>
  <c r="J68" i="80"/>
  <c r="J12" i="80"/>
  <c r="T566" i="91"/>
  <c r="H10" i="71"/>
  <c r="K68" i="80"/>
  <c r="K12" i="80"/>
  <c r="P591" i="91"/>
  <c r="E68" i="80"/>
  <c r="E12" i="80"/>
  <c r="I17" i="71"/>
  <c r="L75" i="80"/>
  <c r="L19" i="80"/>
  <c r="J17" i="71"/>
  <c r="K71" i="81"/>
  <c r="M75" i="80"/>
  <c r="M19" i="80"/>
  <c r="K17" i="71"/>
  <c r="N75" i="80"/>
  <c r="N19" i="80"/>
  <c r="L17" i="71"/>
  <c r="O75" i="80"/>
  <c r="O19" i="80"/>
  <c r="M17" i="71"/>
  <c r="P75" i="80"/>
  <c r="P19" i="80"/>
  <c r="G75" i="80"/>
  <c r="G19" i="80"/>
  <c r="H75" i="80"/>
  <c r="I75" i="80"/>
  <c r="I19" i="80"/>
  <c r="E75" i="80"/>
  <c r="E19" i="80"/>
  <c r="G17" i="71"/>
  <c r="J75" i="80"/>
  <c r="J19" i="80"/>
  <c r="T573" i="91"/>
  <c r="H17" i="71"/>
  <c r="K75" i="80"/>
  <c r="K19" i="80"/>
  <c r="I13" i="71"/>
  <c r="L71" i="80"/>
  <c r="L15" i="80"/>
  <c r="J13" i="71"/>
  <c r="K67" i="81"/>
  <c r="M71" i="80"/>
  <c r="M15" i="80"/>
  <c r="K13" i="71"/>
  <c r="N71" i="80"/>
  <c r="N15" i="80"/>
  <c r="L13" i="71"/>
  <c r="O71" i="80"/>
  <c r="O15" i="80"/>
  <c r="M13" i="71"/>
  <c r="P71" i="80"/>
  <c r="P15" i="80"/>
  <c r="G71" i="80"/>
  <c r="G15" i="80"/>
  <c r="H71" i="80"/>
  <c r="I71" i="80"/>
  <c r="I15" i="80"/>
  <c r="G13" i="71"/>
  <c r="J71" i="80"/>
  <c r="J15" i="80"/>
  <c r="T569" i="91"/>
  <c r="H13" i="71"/>
  <c r="K71" i="80"/>
  <c r="K15" i="80"/>
  <c r="E71" i="80"/>
  <c r="E15" i="80"/>
  <c r="H25" i="80"/>
  <c r="H33" i="80"/>
  <c r="H31" i="80"/>
  <c r="H29" i="80"/>
  <c r="H27" i="80"/>
  <c r="L34" i="71"/>
  <c r="O92" i="80"/>
  <c r="O36" i="80"/>
  <c r="X589" i="91"/>
  <c r="N589" i="91"/>
  <c r="J589" i="91"/>
  <c r="J32" i="71"/>
  <c r="M90" i="80"/>
  <c r="M34" i="80"/>
  <c r="H32" i="71"/>
  <c r="K90" i="80"/>
  <c r="K34" i="80"/>
  <c r="X587" i="91"/>
  <c r="H30" i="71"/>
  <c r="K88" i="80"/>
  <c r="K32" i="80"/>
  <c r="X585" i="91"/>
  <c r="N585" i="91"/>
  <c r="J585" i="91"/>
  <c r="J28" i="71"/>
  <c r="M86" i="80"/>
  <c r="M30" i="80"/>
  <c r="H28" i="71"/>
  <c r="K86" i="80"/>
  <c r="K30" i="80"/>
  <c r="J26" i="71"/>
  <c r="M84" i="80"/>
  <c r="M28" i="80"/>
  <c r="H26" i="71"/>
  <c r="K84" i="80"/>
  <c r="K28" i="80"/>
  <c r="L25" i="71"/>
  <c r="O83" i="80"/>
  <c r="O27" i="80"/>
  <c r="J24" i="71"/>
  <c r="M82" i="80"/>
  <c r="M26" i="80"/>
  <c r="H24" i="71"/>
  <c r="K82" i="80"/>
  <c r="K26" i="80"/>
  <c r="L23" i="71"/>
  <c r="O81" i="80"/>
  <c r="O25" i="80"/>
  <c r="J579" i="91"/>
  <c r="J22" i="71"/>
  <c r="K76" i="81"/>
  <c r="M80" i="80"/>
  <c r="M24" i="80"/>
  <c r="H22" i="71"/>
  <c r="K80" i="80"/>
  <c r="K24" i="80"/>
  <c r="L21" i="71"/>
  <c r="O79" i="80"/>
  <c r="O23" i="80"/>
  <c r="J20" i="71"/>
  <c r="K74" i="81"/>
  <c r="M78" i="80"/>
  <c r="M22" i="80"/>
  <c r="H20" i="71"/>
  <c r="K78" i="80"/>
  <c r="K22" i="80"/>
  <c r="P528" i="91"/>
  <c r="P545" i="91"/>
  <c r="P559" i="91"/>
  <c r="N49" i="97"/>
  <c r="U522" i="91"/>
  <c r="V522" i="91"/>
  <c r="N553" i="91"/>
  <c r="I13" i="38"/>
  <c r="H51" i="38"/>
  <c r="O95" i="97"/>
  <c r="M14" i="20"/>
  <c r="S514" i="91"/>
  <c r="U516" i="91"/>
  <c r="V524" i="91"/>
  <c r="U519" i="91"/>
  <c r="J34" i="71"/>
  <c r="M92" i="80"/>
  <c r="M36" i="80"/>
  <c r="H34" i="71"/>
  <c r="K92" i="80"/>
  <c r="K36" i="80"/>
  <c r="N587" i="91"/>
  <c r="J587" i="91"/>
  <c r="J30" i="71"/>
  <c r="M88" i="80"/>
  <c r="M32" i="80"/>
  <c r="L27" i="71"/>
  <c r="O85" i="80"/>
  <c r="O29" i="80"/>
  <c r="Y590" i="91"/>
  <c r="U590" i="91"/>
  <c r="O590" i="91"/>
  <c r="K590" i="91"/>
  <c r="W589" i="91"/>
  <c r="R589" i="91"/>
  <c r="M589" i="91"/>
  <c r="Y588" i="91"/>
  <c r="U588" i="91"/>
  <c r="O588" i="91"/>
  <c r="K588" i="91"/>
  <c r="W587" i="91"/>
  <c r="R587" i="91"/>
  <c r="Y586" i="91"/>
  <c r="U586" i="91"/>
  <c r="O586" i="91"/>
  <c r="K586" i="91"/>
  <c r="W585" i="91"/>
  <c r="R585" i="91"/>
  <c r="Y584" i="91"/>
  <c r="U584" i="91"/>
  <c r="O584" i="91"/>
  <c r="K584" i="91"/>
  <c r="W583" i="91"/>
  <c r="R583" i="91"/>
  <c r="Y582" i="91"/>
  <c r="U582" i="91"/>
  <c r="O582" i="91"/>
  <c r="K582" i="91"/>
  <c r="W581" i="91"/>
  <c r="R581" i="91"/>
  <c r="Y580" i="91"/>
  <c r="U580" i="91"/>
  <c r="O580" i="91"/>
  <c r="K580" i="91"/>
  <c r="W579" i="91"/>
  <c r="R579" i="91"/>
  <c r="M22" i="71"/>
  <c r="P80" i="80"/>
  <c r="P24" i="80"/>
  <c r="I22" i="71"/>
  <c r="L80" i="80"/>
  <c r="L24" i="80"/>
  <c r="G22" i="71"/>
  <c r="J80" i="80"/>
  <c r="J24" i="80"/>
  <c r="K21" i="71"/>
  <c r="N79" i="80"/>
  <c r="N23" i="80"/>
  <c r="H23" i="80"/>
  <c r="M20" i="71"/>
  <c r="P78" i="80"/>
  <c r="P22" i="80"/>
  <c r="I20" i="71"/>
  <c r="L78" i="80"/>
  <c r="L22" i="80"/>
  <c r="G20" i="71"/>
  <c r="J78" i="80"/>
  <c r="J22" i="80"/>
  <c r="T515" i="91"/>
  <c r="O546" i="91"/>
  <c r="O528" i="91"/>
  <c r="T523" i="91"/>
  <c r="O554" i="91"/>
  <c r="S516" i="91"/>
  <c r="K547" i="91"/>
  <c r="CZ221" i="91"/>
  <c r="U518" i="91"/>
  <c r="V518" i="91"/>
  <c r="N549" i="91"/>
  <c r="T524" i="91"/>
  <c r="L555" i="91"/>
  <c r="T555" i="91"/>
  <c r="U515" i="91"/>
  <c r="V519" i="91"/>
  <c r="K528" i="91"/>
  <c r="T522" i="91"/>
  <c r="T518" i="91"/>
  <c r="V555" i="91"/>
  <c r="V520" i="91"/>
  <c r="S554" i="91"/>
  <c r="U555" i="91"/>
  <c r="J31" i="71"/>
  <c r="M89" i="80"/>
  <c r="M33" i="80"/>
  <c r="H31" i="71"/>
  <c r="K89" i="80"/>
  <c r="K33" i="80"/>
  <c r="J29" i="71"/>
  <c r="M87" i="80"/>
  <c r="M31" i="80"/>
  <c r="H29" i="71"/>
  <c r="K87" i="80"/>
  <c r="K31" i="80"/>
  <c r="L28" i="71"/>
  <c r="O86" i="80"/>
  <c r="O30" i="80"/>
  <c r="J27" i="71"/>
  <c r="M85" i="80"/>
  <c r="M29" i="80"/>
  <c r="H27" i="71"/>
  <c r="K85" i="80"/>
  <c r="K29" i="80"/>
  <c r="L26" i="71"/>
  <c r="O84" i="80"/>
  <c r="O28" i="80"/>
  <c r="J582" i="91"/>
  <c r="J25" i="71"/>
  <c r="K79" i="81"/>
  <c r="M83" i="80"/>
  <c r="M27" i="80"/>
  <c r="H25" i="71"/>
  <c r="K83" i="80"/>
  <c r="K27" i="80"/>
  <c r="L24" i="71"/>
  <c r="O82" i="80"/>
  <c r="O26" i="80"/>
  <c r="J23" i="71"/>
  <c r="K77" i="81"/>
  <c r="M81" i="80"/>
  <c r="M25" i="80"/>
  <c r="H23" i="71"/>
  <c r="K81" i="80"/>
  <c r="K25" i="80"/>
  <c r="L22" i="71"/>
  <c r="O80" i="80"/>
  <c r="O24" i="80"/>
  <c r="J21" i="71"/>
  <c r="K75" i="81"/>
  <c r="M79" i="80"/>
  <c r="M23" i="80"/>
  <c r="H21" i="71"/>
  <c r="K79" i="80"/>
  <c r="K23" i="80"/>
  <c r="L20" i="71"/>
  <c r="O78" i="80"/>
  <c r="O22" i="80"/>
  <c r="T576" i="91"/>
  <c r="S524" i="91"/>
  <c r="K555" i="91"/>
  <c r="S555" i="91"/>
  <c r="U514" i="91"/>
  <c r="V514" i="91"/>
  <c r="N528" i="91"/>
  <c r="N545" i="91"/>
  <c r="T545" i="91"/>
  <c r="T520" i="91"/>
  <c r="L551" i="91"/>
  <c r="T551" i="91"/>
  <c r="I17" i="38"/>
  <c r="H55" i="38"/>
  <c r="O99" i="97"/>
  <c r="M18" i="20"/>
  <c r="V516" i="91"/>
  <c r="U524" i="91"/>
  <c r="S515" i="91"/>
  <c r="T553" i="91"/>
  <c r="T549" i="91"/>
  <c r="V551" i="91"/>
  <c r="V523" i="91"/>
  <c r="J33" i="71"/>
  <c r="M91" i="80"/>
  <c r="M35" i="80"/>
  <c r="H33" i="71"/>
  <c r="K91" i="80"/>
  <c r="K35" i="80"/>
  <c r="L32" i="71"/>
  <c r="O90" i="80"/>
  <c r="O34" i="80"/>
  <c r="L30" i="71"/>
  <c r="O88" i="80"/>
  <c r="O32" i="80"/>
  <c r="W590" i="91"/>
  <c r="R590" i="91"/>
  <c r="M590" i="91"/>
  <c r="Y589" i="91"/>
  <c r="U589" i="91"/>
  <c r="O589" i="91"/>
  <c r="K589" i="91"/>
  <c r="W588" i="91"/>
  <c r="R588" i="91"/>
  <c r="M588" i="91"/>
  <c r="Y587" i="91"/>
  <c r="U587" i="91"/>
  <c r="O587" i="91"/>
  <c r="K587" i="91"/>
  <c r="W586" i="91"/>
  <c r="R586" i="91"/>
  <c r="M586" i="91"/>
  <c r="Y585" i="91"/>
  <c r="U585" i="91"/>
  <c r="O585" i="91"/>
  <c r="K585" i="91"/>
  <c r="W584" i="91"/>
  <c r="R584" i="91"/>
  <c r="M584" i="91"/>
  <c r="Y583" i="91"/>
  <c r="U583" i="91"/>
  <c r="O583" i="91"/>
  <c r="K583" i="91"/>
  <c r="W582" i="91"/>
  <c r="R582" i="91"/>
  <c r="M582" i="91"/>
  <c r="M25" i="71"/>
  <c r="P83" i="80"/>
  <c r="P27" i="80"/>
  <c r="I25" i="71"/>
  <c r="L83" i="80"/>
  <c r="L27" i="80"/>
  <c r="G25" i="71"/>
  <c r="J83" i="80"/>
  <c r="J27" i="80"/>
  <c r="K24" i="71"/>
  <c r="N82" i="80"/>
  <c r="N26" i="80"/>
  <c r="H26" i="80"/>
  <c r="M23" i="71"/>
  <c r="P81" i="80"/>
  <c r="P25" i="80"/>
  <c r="I23" i="71"/>
  <c r="L81" i="80"/>
  <c r="L25" i="80"/>
  <c r="G23" i="71"/>
  <c r="J81" i="80"/>
  <c r="J25" i="80"/>
  <c r="K22" i="71"/>
  <c r="X22" i="71"/>
  <c r="N80" i="80"/>
  <c r="N24" i="80"/>
  <c r="F80" i="80"/>
  <c r="F24" i="80"/>
  <c r="H24" i="80"/>
  <c r="M21" i="71"/>
  <c r="P79" i="80"/>
  <c r="P23" i="80"/>
  <c r="I21" i="71"/>
  <c r="L79" i="80"/>
  <c r="L23" i="80"/>
  <c r="G21" i="71"/>
  <c r="J79" i="80"/>
  <c r="J23" i="80"/>
  <c r="K20" i="71"/>
  <c r="X20" i="71"/>
  <c r="N78" i="80"/>
  <c r="N22" i="80"/>
  <c r="F78" i="80"/>
  <c r="F22" i="80"/>
  <c r="H22" i="80"/>
  <c r="T519" i="91"/>
  <c r="O550" i="91"/>
  <c r="T527" i="91"/>
  <c r="O558" i="91"/>
  <c r="S558" i="91"/>
  <c r="S520" i="91"/>
  <c r="K551" i="91"/>
  <c r="S551" i="91"/>
  <c r="T516" i="91"/>
  <c r="L547" i="91"/>
  <c r="T547" i="91"/>
  <c r="U526" i="91"/>
  <c r="V526" i="91"/>
  <c r="N557" i="91"/>
  <c r="T557" i="91"/>
  <c r="I21" i="38"/>
  <c r="H59" i="38"/>
  <c r="O103" i="97"/>
  <c r="M22" i="20"/>
  <c r="V547" i="91"/>
  <c r="T526" i="91"/>
  <c r="U547" i="91"/>
  <c r="S546" i="91"/>
  <c r="K559" i="91"/>
  <c r="U527" i="91"/>
  <c r="U523" i="91"/>
  <c r="S527" i="91"/>
  <c r="L528" i="91"/>
  <c r="S522" i="91"/>
  <c r="S557" i="91"/>
  <c r="CZ265" i="91"/>
  <c r="CZ270" i="91"/>
  <c r="CZ256" i="91"/>
  <c r="CZ273" i="91"/>
  <c r="CZ240" i="91"/>
  <c r="CZ258" i="91"/>
  <c r="CZ239" i="91"/>
  <c r="CZ278" i="91"/>
  <c r="CZ264" i="91"/>
  <c r="CZ275" i="91"/>
  <c r="CZ261" i="91"/>
  <c r="CZ226" i="91"/>
  <c r="CZ268" i="91"/>
  <c r="CZ254" i="91"/>
  <c r="CZ232" i="91"/>
  <c r="CZ237" i="91"/>
  <c r="CZ262" i="91"/>
  <c r="CZ229" i="91"/>
  <c r="CZ266" i="91"/>
  <c r="CZ224" i="91"/>
  <c r="CZ235" i="91"/>
  <c r="CZ267" i="91"/>
  <c r="CZ223" i="91"/>
  <c r="CZ243" i="91"/>
  <c r="CZ228" i="91"/>
  <c r="CZ259" i="91"/>
  <c r="CZ233" i="91"/>
  <c r="CZ277" i="91"/>
  <c r="CZ248" i="91"/>
  <c r="CZ238" i="91"/>
  <c r="CZ244" i="91"/>
  <c r="CZ246" i="91"/>
  <c r="CZ241" i="91"/>
  <c r="CZ227" i="91"/>
  <c r="CZ257" i="91"/>
  <c r="CZ279" i="91"/>
  <c r="CZ245" i="91"/>
  <c r="CZ231" i="91"/>
  <c r="CZ234" i="91"/>
  <c r="CZ230" i="91"/>
  <c r="CZ260" i="91"/>
  <c r="CZ276" i="91"/>
  <c r="CZ242" i="91"/>
  <c r="CZ263" i="91"/>
  <c r="CZ255" i="91"/>
  <c r="CZ271" i="91"/>
  <c r="CZ247" i="91"/>
  <c r="CZ272" i="91"/>
  <c r="CZ274" i="91"/>
  <c r="CZ225" i="91"/>
  <c r="CZ236" i="91"/>
  <c r="CZ269" i="91"/>
  <c r="H86" i="80"/>
  <c r="I91" i="80"/>
  <c r="I35" i="80"/>
  <c r="H84" i="80"/>
  <c r="H92" i="80"/>
  <c r="H90" i="80"/>
  <c r="K87" i="81"/>
  <c r="K84" i="81"/>
  <c r="I87" i="80"/>
  <c r="I31" i="80"/>
  <c r="H88" i="80"/>
  <c r="H32" i="80"/>
  <c r="H91" i="80"/>
  <c r="K88" i="81"/>
  <c r="I89" i="80"/>
  <c r="I33" i="80"/>
  <c r="A17" i="71"/>
  <c r="A14" i="71"/>
  <c r="A11" i="71"/>
  <c r="A15" i="71"/>
  <c r="A19" i="71"/>
  <c r="A12" i="71"/>
  <c r="A16" i="71"/>
  <c r="W591" i="91"/>
  <c r="K591" i="91"/>
  <c r="A21" i="71"/>
  <c r="J591" i="91"/>
  <c r="T528" i="91"/>
  <c r="R591" i="91"/>
  <c r="CZ310" i="91"/>
  <c r="CZ309" i="91"/>
  <c r="CZ308" i="91"/>
  <c r="CZ307" i="91"/>
  <c r="CZ306" i="91"/>
  <c r="CZ305" i="91"/>
  <c r="CZ304" i="91"/>
  <c r="CZ303" i="91"/>
  <c r="CZ302" i="91"/>
  <c r="CZ301" i="91"/>
  <c r="CZ300" i="91"/>
  <c r="CZ299" i="91"/>
  <c r="CZ298" i="91"/>
  <c r="CZ297" i="91"/>
  <c r="CZ296" i="91"/>
  <c r="CZ295" i="91"/>
  <c r="CZ294" i="91"/>
  <c r="CZ293" i="91"/>
  <c r="CZ292" i="91"/>
  <c r="CZ291" i="91"/>
  <c r="CZ290" i="91"/>
  <c r="CZ289" i="91"/>
  <c r="CZ288" i="91"/>
  <c r="CZ287" i="91"/>
  <c r="CZ286" i="91"/>
  <c r="CZ285" i="91"/>
  <c r="K26" i="71"/>
  <c r="N84" i="80"/>
  <c r="N28" i="80"/>
  <c r="M27" i="71"/>
  <c r="P85" i="80"/>
  <c r="P29" i="80"/>
  <c r="G31" i="71"/>
  <c r="J89" i="80"/>
  <c r="J33" i="80"/>
  <c r="T587" i="91"/>
  <c r="I33" i="71"/>
  <c r="L91" i="80"/>
  <c r="L35" i="80"/>
  <c r="K34" i="71"/>
  <c r="N92" i="80"/>
  <c r="N36" i="80"/>
  <c r="U545" i="91"/>
  <c r="V545" i="91"/>
  <c r="N559" i="91"/>
  <c r="S545" i="91"/>
  <c r="W23" i="71"/>
  <c r="S547" i="91"/>
  <c r="F79" i="80"/>
  <c r="F23" i="80"/>
  <c r="A22" i="71"/>
  <c r="G24" i="71"/>
  <c r="W24" i="71"/>
  <c r="J82" i="80"/>
  <c r="T580" i="91"/>
  <c r="K25" i="71"/>
  <c r="X25" i="71"/>
  <c r="N83" i="80"/>
  <c r="N27" i="80"/>
  <c r="M26" i="71"/>
  <c r="P84" i="80"/>
  <c r="P28" i="80"/>
  <c r="G28" i="71"/>
  <c r="W28" i="71"/>
  <c r="J86" i="80"/>
  <c r="J30" i="80"/>
  <c r="T584" i="91"/>
  <c r="K29" i="71"/>
  <c r="N87" i="80"/>
  <c r="N31" i="80"/>
  <c r="M30" i="71"/>
  <c r="P88" i="80"/>
  <c r="P32" i="80"/>
  <c r="G32" i="71"/>
  <c r="W32" i="71"/>
  <c r="J90" i="80"/>
  <c r="J34" i="80"/>
  <c r="T588" i="91"/>
  <c r="I34" i="71"/>
  <c r="L92" i="80"/>
  <c r="L36" i="80"/>
  <c r="K78" i="81"/>
  <c r="K82" i="81"/>
  <c r="L29" i="71"/>
  <c r="O87" i="80"/>
  <c r="O31" i="80"/>
  <c r="F81" i="80"/>
  <c r="F25" i="80"/>
  <c r="F71" i="80"/>
  <c r="F15" i="80"/>
  <c r="H15" i="80"/>
  <c r="F75" i="80"/>
  <c r="F19" i="80"/>
  <c r="H19" i="80"/>
  <c r="O591" i="91"/>
  <c r="N591" i="91"/>
  <c r="M38" i="80"/>
  <c r="M39" i="80"/>
  <c r="M40" i="80"/>
  <c r="M41" i="80"/>
  <c r="M42" i="80"/>
  <c r="M43" i="80"/>
  <c r="X14" i="71"/>
  <c r="X18" i="71"/>
  <c r="T550" i="91"/>
  <c r="U550" i="91"/>
  <c r="V550" i="91"/>
  <c r="A25" i="71"/>
  <c r="H30" i="80"/>
  <c r="G29" i="71"/>
  <c r="J87" i="80"/>
  <c r="J31" i="80"/>
  <c r="T585" i="91"/>
  <c r="I31" i="71"/>
  <c r="L89" i="80"/>
  <c r="L33" i="80"/>
  <c r="K32" i="71"/>
  <c r="N90" i="80"/>
  <c r="N34" i="80"/>
  <c r="M33" i="71"/>
  <c r="P91" i="80"/>
  <c r="P35" i="80"/>
  <c r="L559" i="91"/>
  <c r="W21" i="71"/>
  <c r="K83" i="81"/>
  <c r="I24" i="71"/>
  <c r="L82" i="80"/>
  <c r="L26" i="80"/>
  <c r="I28" i="71"/>
  <c r="L86" i="80"/>
  <c r="L30" i="80"/>
  <c r="I32" i="71"/>
  <c r="L90" i="80"/>
  <c r="L34" i="80"/>
  <c r="K33" i="71"/>
  <c r="N91" i="80"/>
  <c r="N35" i="80"/>
  <c r="M34" i="71"/>
  <c r="P92" i="80"/>
  <c r="P36" i="80"/>
  <c r="W22" i="71"/>
  <c r="I38" i="80"/>
  <c r="I39" i="80"/>
  <c r="I40" i="80"/>
  <c r="I41" i="80"/>
  <c r="I42" i="80"/>
  <c r="I43" i="80"/>
  <c r="G38" i="80"/>
  <c r="G39" i="80"/>
  <c r="G40" i="80"/>
  <c r="G41" i="80"/>
  <c r="G42" i="80"/>
  <c r="G43" i="80"/>
  <c r="X591" i="91"/>
  <c r="F72" i="80"/>
  <c r="F16" i="80"/>
  <c r="H16" i="80"/>
  <c r="F76" i="80"/>
  <c r="F20" i="80"/>
  <c r="H20" i="80"/>
  <c r="W11" i="71"/>
  <c r="W15" i="71"/>
  <c r="W19" i="71"/>
  <c r="W12" i="71"/>
  <c r="W16" i="71"/>
  <c r="H28" i="80"/>
  <c r="G27" i="71"/>
  <c r="J85" i="80"/>
  <c r="T583" i="91"/>
  <c r="I29" i="71"/>
  <c r="L87" i="80"/>
  <c r="L31" i="80"/>
  <c r="K30" i="71"/>
  <c r="N88" i="80"/>
  <c r="N32" i="80"/>
  <c r="M31" i="71"/>
  <c r="P89" i="80"/>
  <c r="P33" i="80"/>
  <c r="H36" i="80"/>
  <c r="S550" i="91"/>
  <c r="V528" i="91"/>
  <c r="K81" i="81"/>
  <c r="W29" i="71"/>
  <c r="K85" i="81"/>
  <c r="DA221" i="91"/>
  <c r="T546" i="91"/>
  <c r="U546" i="91"/>
  <c r="O559" i="91"/>
  <c r="V546" i="91"/>
  <c r="A20" i="71"/>
  <c r="X21" i="71"/>
  <c r="K23" i="71"/>
  <c r="X23" i="71"/>
  <c r="N81" i="80"/>
  <c r="N25" i="80"/>
  <c r="M24" i="71"/>
  <c r="P82" i="80"/>
  <c r="P26" i="80"/>
  <c r="G26" i="71"/>
  <c r="W26" i="71"/>
  <c r="J84" i="80"/>
  <c r="J28" i="80"/>
  <c r="T582" i="91"/>
  <c r="K27" i="71"/>
  <c r="N85" i="80"/>
  <c r="N29" i="80"/>
  <c r="M28" i="71"/>
  <c r="P86" i="80"/>
  <c r="P30" i="80"/>
  <c r="G30" i="71"/>
  <c r="W30" i="71"/>
  <c r="J88" i="80"/>
  <c r="J32" i="80"/>
  <c r="T586" i="91"/>
  <c r="K31" i="71"/>
  <c r="X31" i="71"/>
  <c r="N89" i="80"/>
  <c r="N33" i="80"/>
  <c r="M32" i="71"/>
  <c r="P90" i="80"/>
  <c r="P34" i="80"/>
  <c r="W20" i="71"/>
  <c r="K86" i="81"/>
  <c r="A13" i="71"/>
  <c r="W13" i="71"/>
  <c r="W17" i="71"/>
  <c r="E38" i="80"/>
  <c r="E39" i="80"/>
  <c r="E40" i="80"/>
  <c r="E41" i="80"/>
  <c r="E42" i="80"/>
  <c r="E43" i="80"/>
  <c r="K38" i="80"/>
  <c r="K39" i="80"/>
  <c r="K40" i="80"/>
  <c r="K41" i="80"/>
  <c r="K42" i="80"/>
  <c r="K43" i="80"/>
  <c r="M591" i="91"/>
  <c r="Y591" i="91"/>
  <c r="X10" i="71"/>
  <c r="W10" i="71"/>
  <c r="X11" i="71"/>
  <c r="X15" i="71"/>
  <c r="X19" i="71"/>
  <c r="X12" i="71"/>
  <c r="X16" i="71"/>
  <c r="V557" i="91"/>
  <c r="U557" i="91"/>
  <c r="T558" i="91"/>
  <c r="V558" i="91"/>
  <c r="U558" i="91"/>
  <c r="A23" i="71"/>
  <c r="I27" i="71"/>
  <c r="L85" i="80"/>
  <c r="L29" i="80"/>
  <c r="K28" i="71"/>
  <c r="X28" i="71"/>
  <c r="N86" i="80"/>
  <c r="N30" i="80"/>
  <c r="M29" i="71"/>
  <c r="P87" i="80"/>
  <c r="P31" i="80"/>
  <c r="F90" i="80"/>
  <c r="F34" i="80"/>
  <c r="H34" i="80"/>
  <c r="G33" i="71"/>
  <c r="J91" i="80"/>
  <c r="J35" i="80"/>
  <c r="T589" i="91"/>
  <c r="U528" i="91"/>
  <c r="W25" i="71"/>
  <c r="W27" i="71"/>
  <c r="W31" i="71"/>
  <c r="U549" i="91"/>
  <c r="V549" i="91"/>
  <c r="S549" i="91"/>
  <c r="T554" i="91"/>
  <c r="U554" i="91"/>
  <c r="V554" i="91"/>
  <c r="I26" i="71"/>
  <c r="L84" i="80"/>
  <c r="L28" i="80"/>
  <c r="I30" i="71"/>
  <c r="L88" i="80"/>
  <c r="L32" i="80"/>
  <c r="F91" i="80"/>
  <c r="F35" i="80"/>
  <c r="H35" i="80"/>
  <c r="G34" i="71"/>
  <c r="A34" i="71"/>
  <c r="J92" i="80"/>
  <c r="J36" i="80"/>
  <c r="T590" i="91"/>
  <c r="S528" i="91"/>
  <c r="U553" i="91"/>
  <c r="V553" i="91"/>
  <c r="S553" i="91"/>
  <c r="N75" i="97" a="1"/>
  <c r="N75" i="97"/>
  <c r="N74" i="97" a="1"/>
  <c r="N74" i="97"/>
  <c r="P49" i="97"/>
  <c r="K80" i="81"/>
  <c r="L31" i="71"/>
  <c r="O89" i="80"/>
  <c r="O33" i="80"/>
  <c r="L33" i="71"/>
  <c r="O91" i="80"/>
  <c r="O35" i="80"/>
  <c r="F83" i="80"/>
  <c r="F27" i="80"/>
  <c r="F87" i="80"/>
  <c r="F31" i="80"/>
  <c r="X13" i="71"/>
  <c r="X17" i="71"/>
  <c r="A10" i="71"/>
  <c r="F68" i="80"/>
  <c r="F12" i="80"/>
  <c r="H12" i="80"/>
  <c r="U591" i="91"/>
  <c r="W14" i="71"/>
  <c r="A18" i="71"/>
  <c r="W18" i="71"/>
  <c r="F69" i="80"/>
  <c r="F13" i="80"/>
  <c r="H13" i="80"/>
  <c r="F73" i="80"/>
  <c r="F17" i="80"/>
  <c r="H17" i="80"/>
  <c r="F77" i="80"/>
  <c r="F21" i="80"/>
  <c r="H21" i="80"/>
  <c r="F70" i="80"/>
  <c r="F14" i="80"/>
  <c r="H14" i="80"/>
  <c r="F74" i="80"/>
  <c r="F18" i="80"/>
  <c r="H18" i="80"/>
  <c r="A597" i="91"/>
  <c r="G597" i="91"/>
  <c r="H597" i="91"/>
  <c r="M597" i="91"/>
  <c r="R597" i="91"/>
  <c r="X597" i="91"/>
  <c r="N597" i="91"/>
  <c r="O597" i="91"/>
  <c r="J597" i="91"/>
  <c r="Y597" i="91"/>
  <c r="K597" i="91"/>
  <c r="T597" i="91"/>
  <c r="L597" i="91"/>
  <c r="P597" i="91"/>
  <c r="W597" i="91"/>
  <c r="U597" i="91"/>
  <c r="V597" i="91"/>
  <c r="DA278" i="91"/>
  <c r="DA267" i="91"/>
  <c r="DA234" i="91"/>
  <c r="DA223" i="91"/>
  <c r="DA229" i="91"/>
  <c r="DA232" i="91"/>
  <c r="DA238" i="91"/>
  <c r="DA247" i="91"/>
  <c r="DA258" i="91"/>
  <c r="DA263" i="91"/>
  <c r="DA265" i="91"/>
  <c r="DA235" i="91"/>
  <c r="DA262" i="91"/>
  <c r="DA246" i="91"/>
  <c r="DA276" i="91"/>
  <c r="DA236" i="91"/>
  <c r="DA243" i="91"/>
  <c r="DA254" i="91"/>
  <c r="DA231" i="91"/>
  <c r="DA242" i="91"/>
  <c r="DA277" i="91"/>
  <c r="DA233" i="91"/>
  <c r="DA279" i="91"/>
  <c r="DA270" i="91"/>
  <c r="DA225" i="91"/>
  <c r="DA228" i="91"/>
  <c r="DA237" i="91"/>
  <c r="DA224" i="91"/>
  <c r="DA241" i="91"/>
  <c r="DA226" i="91"/>
  <c r="DA245" i="91"/>
  <c r="DA268" i="91"/>
  <c r="DA274" i="91"/>
  <c r="DA256" i="91"/>
  <c r="DA244" i="91"/>
  <c r="DA230" i="91"/>
  <c r="DA260" i="91"/>
  <c r="DA266" i="91"/>
  <c r="DA261" i="91"/>
  <c r="DA271" i="91"/>
  <c r="DA269" i="91"/>
  <c r="DA275" i="91"/>
  <c r="DA248" i="91"/>
  <c r="DA273" i="91"/>
  <c r="DA272" i="91"/>
  <c r="DA227" i="91"/>
  <c r="DA257" i="91"/>
  <c r="DA264" i="91"/>
  <c r="DA239" i="91"/>
  <c r="DA240" i="91"/>
  <c r="DA259" i="91"/>
  <c r="DA255" i="91"/>
  <c r="P42" i="80"/>
  <c r="P43" i="80"/>
  <c r="X24" i="71"/>
  <c r="P40" i="80"/>
  <c r="F86" i="80"/>
  <c r="F30" i="80"/>
  <c r="P38" i="80"/>
  <c r="K90" i="81"/>
  <c r="P41" i="80"/>
  <c r="P39" i="80"/>
  <c r="L42" i="80"/>
  <c r="F89" i="80"/>
  <c r="F33" i="80"/>
  <c r="X32" i="71"/>
  <c r="O39" i="80"/>
  <c r="X27" i="71"/>
  <c r="T591" i="91"/>
  <c r="T559" i="91"/>
  <c r="X29" i="71"/>
  <c r="N41" i="80"/>
  <c r="L41" i="80"/>
  <c r="N40" i="80"/>
  <c r="F84" i="80"/>
  <c r="F28" i="80"/>
  <c r="DA310" i="91"/>
  <c r="DA309" i="91"/>
  <c r="DA308" i="91"/>
  <c r="DA307" i="91"/>
  <c r="DA306" i="91"/>
  <c r="DA305" i="91"/>
  <c r="DA304" i="91"/>
  <c r="DA303" i="91"/>
  <c r="DA302" i="91"/>
  <c r="DA301" i="91"/>
  <c r="DA300" i="91"/>
  <c r="DA299" i="91"/>
  <c r="DA298" i="91"/>
  <c r="DA297" i="91"/>
  <c r="DA296" i="91"/>
  <c r="DA295" i="91"/>
  <c r="DA294" i="91"/>
  <c r="DA293" i="91"/>
  <c r="DA292" i="91"/>
  <c r="DA291" i="91"/>
  <c r="DA290" i="91"/>
  <c r="DA289" i="91"/>
  <c r="DA288" i="91"/>
  <c r="DA287" i="91"/>
  <c r="DA286" i="91"/>
  <c r="DA285" i="91"/>
  <c r="H38" i="80"/>
  <c r="H39" i="80"/>
  <c r="H40" i="80"/>
  <c r="H41" i="80"/>
  <c r="H42" i="80"/>
  <c r="H43" i="80"/>
  <c r="I12" i="38"/>
  <c r="P74" i="97" a="1"/>
  <c r="P74" i="97"/>
  <c r="P75" i="97" a="1"/>
  <c r="P75" i="97"/>
  <c r="N79" i="97"/>
  <c r="O94" i="97"/>
  <c r="A33" i="71"/>
  <c r="O42" i="80"/>
  <c r="O38" i="80"/>
  <c r="DB221" i="91"/>
  <c r="F92" i="80"/>
  <c r="F36" i="80"/>
  <c r="X30" i="71"/>
  <c r="J29" i="80"/>
  <c r="F85" i="80"/>
  <c r="F29" i="80"/>
  <c r="K92" i="81"/>
  <c r="N43" i="80"/>
  <c r="N39" i="80"/>
  <c r="W34" i="71"/>
  <c r="X33" i="71"/>
  <c r="A29" i="71"/>
  <c r="L40" i="80"/>
  <c r="A24" i="71"/>
  <c r="U559" i="91"/>
  <c r="O41" i="80"/>
  <c r="A26" i="71"/>
  <c r="A27" i="71"/>
  <c r="K93" i="81"/>
  <c r="N42" i="80"/>
  <c r="N38" i="80"/>
  <c r="L43" i="80"/>
  <c r="L39" i="80"/>
  <c r="A28" i="71"/>
  <c r="S559" i="91"/>
  <c r="F88" i="80"/>
  <c r="F32" i="80"/>
  <c r="X26" i="71"/>
  <c r="O40" i="80"/>
  <c r="A30" i="71"/>
  <c r="K91" i="81"/>
  <c r="K94" i="81"/>
  <c r="L38" i="80"/>
  <c r="A32" i="71"/>
  <c r="X34" i="71"/>
  <c r="O43" i="80"/>
  <c r="K95" i="81"/>
  <c r="W33" i="71"/>
  <c r="J26" i="80"/>
  <c r="F82" i="80"/>
  <c r="F26" i="80"/>
  <c r="V559" i="91"/>
  <c r="A31" i="71"/>
  <c r="Z597" i="91"/>
  <c r="A598" i="91"/>
  <c r="G598" i="91"/>
  <c r="H598" i="91"/>
  <c r="P598" i="91"/>
  <c r="M598" i="91"/>
  <c r="R598" i="91"/>
  <c r="X598" i="91"/>
  <c r="N598" i="91"/>
  <c r="U598" i="91"/>
  <c r="J598" i="91"/>
  <c r="Y598" i="91"/>
  <c r="K598" i="91"/>
  <c r="O598" i="91"/>
  <c r="V598" i="91"/>
  <c r="T598" i="91"/>
  <c r="L598" i="91"/>
  <c r="W598" i="91"/>
  <c r="DB246" i="91"/>
  <c r="DB245" i="91"/>
  <c r="DB261" i="91"/>
  <c r="DB228" i="91"/>
  <c r="DB257" i="91"/>
  <c r="DB233" i="91"/>
  <c r="DB266" i="91"/>
  <c r="DB227" i="91"/>
  <c r="DB243" i="91"/>
  <c r="DB234" i="91"/>
  <c r="DB263" i="91"/>
  <c r="DB224" i="91"/>
  <c r="DB268" i="91"/>
  <c r="DB267" i="91"/>
  <c r="DB260" i="91"/>
  <c r="DB225" i="91"/>
  <c r="DB265" i="91"/>
  <c r="DB279" i="91"/>
  <c r="DB242" i="91"/>
  <c r="DB276" i="91"/>
  <c r="DB240" i="91"/>
  <c r="DB241" i="91"/>
  <c r="DB262" i="91"/>
  <c r="DB236" i="91"/>
  <c r="DB275" i="91"/>
  <c r="DB264" i="91"/>
  <c r="DB229" i="91"/>
  <c r="DB278" i="91"/>
  <c r="F41" i="80"/>
  <c r="DB307" i="91"/>
  <c r="DB298" i="91"/>
  <c r="F40" i="80"/>
  <c r="DC221" i="91"/>
  <c r="M13" i="20"/>
  <c r="O119" i="97"/>
  <c r="O120" i="97"/>
  <c r="F43" i="80"/>
  <c r="F39" i="80"/>
  <c r="J39" i="80"/>
  <c r="J43" i="80"/>
  <c r="J40" i="80"/>
  <c r="J41" i="80"/>
  <c r="J38" i="80"/>
  <c r="J42" i="80"/>
  <c r="F42" i="80"/>
  <c r="F38" i="80"/>
  <c r="I39" i="38"/>
  <c r="I41" i="38"/>
  <c r="I43" i="38"/>
  <c r="I38" i="38"/>
  <c r="I40" i="38"/>
  <c r="I42" i="38"/>
  <c r="H50" i="38"/>
  <c r="Z598" i="91"/>
  <c r="A599" i="91"/>
  <c r="G599" i="91"/>
  <c r="H599" i="91"/>
  <c r="K599" i="91"/>
  <c r="O599" i="91"/>
  <c r="V599" i="91"/>
  <c r="T599" i="91"/>
  <c r="L599" i="91"/>
  <c r="W599" i="91"/>
  <c r="N599" i="91"/>
  <c r="P599" i="91"/>
  <c r="J599" i="91"/>
  <c r="Y599" i="91"/>
  <c r="M599" i="91"/>
  <c r="R599" i="91"/>
  <c r="X599" i="91"/>
  <c r="U599" i="91"/>
  <c r="DB258" i="91"/>
  <c r="DB247" i="91"/>
  <c r="DB256" i="91"/>
  <c r="DB271" i="91"/>
  <c r="DB226" i="91"/>
  <c r="DB238" i="91"/>
  <c r="DC274" i="91"/>
  <c r="DB269" i="91"/>
  <c r="DB244" i="91"/>
  <c r="DB273" i="91"/>
  <c r="DB237" i="91"/>
  <c r="DB230" i="91"/>
  <c r="DB259" i="91"/>
  <c r="DB255" i="91"/>
  <c r="DB277" i="91"/>
  <c r="DB274" i="91"/>
  <c r="DC278" i="91"/>
  <c r="DC231" i="91"/>
  <c r="DC226" i="91"/>
  <c r="DC246" i="91"/>
  <c r="DC269" i="91"/>
  <c r="DC264" i="91"/>
  <c r="DB235" i="91"/>
  <c r="DB254" i="91"/>
  <c r="DB223" i="91"/>
  <c r="DB248" i="91"/>
  <c r="DB272" i="91"/>
  <c r="DB231" i="91"/>
  <c r="DB232" i="91"/>
  <c r="DB239" i="91"/>
  <c r="DB270" i="91"/>
  <c r="DC270" i="91"/>
  <c r="DC224" i="91"/>
  <c r="DC240" i="91"/>
  <c r="DC256" i="91"/>
  <c r="DC260" i="91"/>
  <c r="DC255" i="91"/>
  <c r="DC257" i="91"/>
  <c r="DB285" i="91"/>
  <c r="DB290" i="91"/>
  <c r="DB306" i="91"/>
  <c r="DB287" i="91"/>
  <c r="DB309" i="91"/>
  <c r="DB303" i="91"/>
  <c r="DB308" i="91"/>
  <c r="DB294" i="91"/>
  <c r="DB291" i="91"/>
  <c r="DB286" i="91"/>
  <c r="DB293" i="91"/>
  <c r="DB304" i="91"/>
  <c r="DB289" i="91"/>
  <c r="DB299" i="91"/>
  <c r="DB310" i="91"/>
  <c r="DB302" i="91"/>
  <c r="DB300" i="91"/>
  <c r="DB296" i="91"/>
  <c r="DB297" i="91"/>
  <c r="DB292" i="91"/>
  <c r="DB301" i="91"/>
  <c r="DB305" i="91"/>
  <c r="DB295" i="91"/>
  <c r="DB288" i="91"/>
  <c r="DC288" i="91"/>
  <c r="DC286" i="91"/>
  <c r="H78" i="38"/>
  <c r="H77" i="38"/>
  <c r="H81" i="38"/>
  <c r="H76" i="38"/>
  <c r="H80" i="38"/>
  <c r="H79" i="38"/>
  <c r="DD221" i="91"/>
  <c r="M38" i="20"/>
  <c r="M39" i="20"/>
  <c r="Z599" i="91"/>
  <c r="A600" i="91"/>
  <c r="G600" i="91"/>
  <c r="H600" i="91"/>
  <c r="M600" i="91"/>
  <c r="J600" i="91"/>
  <c r="N600" i="91"/>
  <c r="U600" i="91"/>
  <c r="Y600" i="91"/>
  <c r="K600" i="91"/>
  <c r="V600" i="91"/>
  <c r="O600" i="91"/>
  <c r="T600" i="91"/>
  <c r="L600" i="91"/>
  <c r="P600" i="91"/>
  <c r="W600" i="91"/>
  <c r="R600" i="91"/>
  <c r="X600" i="91"/>
  <c r="DC225" i="91"/>
  <c r="DC241" i="91"/>
  <c r="DC233" i="91"/>
  <c r="DC279" i="91"/>
  <c r="DC243" i="91"/>
  <c r="DC242" i="91"/>
  <c r="DC273" i="91"/>
  <c r="DC254" i="91"/>
  <c r="DD278" i="91"/>
  <c r="DD259" i="91"/>
  <c r="DD271" i="91"/>
  <c r="DD256" i="91"/>
  <c r="DD223" i="91"/>
  <c r="DD225" i="91"/>
  <c r="DC245" i="91"/>
  <c r="DC261" i="91"/>
  <c r="DC236" i="91"/>
  <c r="DC258" i="91"/>
  <c r="DC277" i="91"/>
  <c r="DC266" i="91"/>
  <c r="DC247" i="91"/>
  <c r="DC248" i="91"/>
  <c r="DC235" i="91"/>
  <c r="DC262" i="91"/>
  <c r="DC271" i="91"/>
  <c r="DC275" i="91"/>
  <c r="DD248" i="91"/>
  <c r="DD274" i="91"/>
  <c r="DD254" i="91"/>
  <c r="DD231" i="91"/>
  <c r="DD230" i="91"/>
  <c r="DD270" i="91"/>
  <c r="DC229" i="91"/>
  <c r="DC238" i="91"/>
  <c r="DC232" i="91"/>
  <c r="DC263" i="91"/>
  <c r="DC268" i="91"/>
  <c r="DC276" i="91"/>
  <c r="DC239" i="91"/>
  <c r="DC265" i="91"/>
  <c r="DD246" i="91"/>
  <c r="DD268" i="91"/>
  <c r="DD241" i="91"/>
  <c r="DD232" i="91"/>
  <c r="DD260" i="91"/>
  <c r="DD275" i="91"/>
  <c r="DC267" i="91"/>
  <c r="DC234" i="91"/>
  <c r="DC223" i="91"/>
  <c r="DC228" i="91"/>
  <c r="DC259" i="91"/>
  <c r="DC244" i="91"/>
  <c r="DC227" i="91"/>
  <c r="DC230" i="91"/>
  <c r="DC237" i="91"/>
  <c r="DC272" i="91"/>
  <c r="DD277" i="91"/>
  <c r="DD264" i="91"/>
  <c r="DD242" i="91"/>
  <c r="DD227" i="91"/>
  <c r="DD239" i="91"/>
  <c r="DD245" i="91"/>
  <c r="DC299" i="91"/>
  <c r="DC292" i="91"/>
  <c r="DC289" i="91"/>
  <c r="DC306" i="91"/>
  <c r="DC290" i="91"/>
  <c r="DC285" i="91"/>
  <c r="DC296" i="91"/>
  <c r="DC301" i="91"/>
  <c r="DC294" i="91"/>
  <c r="DC300" i="91"/>
  <c r="DC291" i="91"/>
  <c r="DC302" i="91"/>
  <c r="DC293" i="91"/>
  <c r="DC297" i="91"/>
  <c r="DC310" i="91"/>
  <c r="DC309" i="91"/>
  <c r="DC308" i="91"/>
  <c r="DC298" i="91"/>
  <c r="DC307" i="91"/>
  <c r="DC304" i="91"/>
  <c r="DC305" i="91"/>
  <c r="DC295" i="91"/>
  <c r="DC303" i="91"/>
  <c r="DC287" i="91"/>
  <c r="DE221" i="91"/>
  <c r="Z600" i="91"/>
  <c r="A601" i="91"/>
  <c r="G601" i="91"/>
  <c r="H601" i="91"/>
  <c r="O601" i="91"/>
  <c r="T601" i="91"/>
  <c r="L601" i="91"/>
  <c r="P601" i="91"/>
  <c r="W601" i="91"/>
  <c r="M601" i="91"/>
  <c r="X601" i="91"/>
  <c r="J601" i="91"/>
  <c r="N601" i="91"/>
  <c r="U601" i="91"/>
  <c r="Y601" i="91"/>
  <c r="K601" i="91"/>
  <c r="V601" i="91"/>
  <c r="R601" i="91"/>
  <c r="DD224" i="91"/>
  <c r="DE271" i="91"/>
  <c r="DE244" i="91"/>
  <c r="DE228" i="91"/>
  <c r="DE225" i="91"/>
  <c r="DD265" i="91"/>
  <c r="DD269" i="91"/>
  <c r="DD257" i="91"/>
  <c r="DD243" i="91"/>
  <c r="DD226" i="91"/>
  <c r="DD266" i="91"/>
  <c r="DD272" i="91"/>
  <c r="DD237" i="91"/>
  <c r="DD229" i="91"/>
  <c r="DD273" i="91"/>
  <c r="DD279" i="91"/>
  <c r="DD235" i="91"/>
  <c r="DD233" i="91"/>
  <c r="DE227" i="91"/>
  <c r="DE258" i="91"/>
  <c r="DE257" i="91"/>
  <c r="DE242" i="91"/>
  <c r="DE256" i="91"/>
  <c r="DE247" i="91"/>
  <c r="DD258" i="91"/>
  <c r="DE235" i="91"/>
  <c r="DE236" i="91"/>
  <c r="DE261" i="91"/>
  <c r="DE233" i="91"/>
  <c r="DE259" i="91"/>
  <c r="DD240" i="91"/>
  <c r="DD263" i="91"/>
  <c r="DD276" i="91"/>
  <c r="DD234" i="91"/>
  <c r="DD228" i="91"/>
  <c r="DD236" i="91"/>
  <c r="DD255" i="91"/>
  <c r="DD247" i="91"/>
  <c r="DD262" i="91"/>
  <c r="DD238" i="91"/>
  <c r="DD267" i="91"/>
  <c r="DD244" i="91"/>
  <c r="DD261" i="91"/>
  <c r="DE273" i="91"/>
  <c r="DE264" i="91"/>
  <c r="DE274" i="91"/>
  <c r="DE246" i="91"/>
  <c r="DD306" i="91"/>
  <c r="DD302" i="91"/>
  <c r="DD298" i="91"/>
  <c r="DD310" i="91"/>
  <c r="DD309" i="91"/>
  <c r="DD297" i="91"/>
  <c r="DD294" i="91"/>
  <c r="DD299" i="91"/>
  <c r="DD296" i="91"/>
  <c r="DD301" i="91"/>
  <c r="DD287" i="91"/>
  <c r="DD303" i="91"/>
  <c r="DD300" i="91"/>
  <c r="DD289" i="91"/>
  <c r="DD305" i="91"/>
  <c r="DD286" i="91"/>
  <c r="DD291" i="91"/>
  <c r="DD307" i="91"/>
  <c r="DD288" i="91"/>
  <c r="DD304" i="91"/>
  <c r="DD293" i="91"/>
  <c r="DD290" i="91"/>
  <c r="DD295" i="91"/>
  <c r="DD285" i="91"/>
  <c r="DD292" i="91"/>
  <c r="DD308" i="91"/>
  <c r="DF221" i="91"/>
  <c r="Z601" i="91"/>
  <c r="A602" i="91"/>
  <c r="G602" i="91"/>
  <c r="H602" i="91"/>
  <c r="T602" i="91"/>
  <c r="L602" i="91"/>
  <c r="P602" i="91"/>
  <c r="W602" i="91"/>
  <c r="M602" i="91"/>
  <c r="R602" i="91"/>
  <c r="X602" i="91"/>
  <c r="O602" i="91"/>
  <c r="J602" i="91"/>
  <c r="N602" i="91"/>
  <c r="U602" i="91"/>
  <c r="Y602" i="91"/>
  <c r="K602" i="91"/>
  <c r="V602" i="91"/>
  <c r="DE278" i="91"/>
  <c r="DE230" i="91"/>
  <c r="DE234" i="91"/>
  <c r="DE239" i="91"/>
  <c r="DE275" i="91"/>
  <c r="DE224" i="91"/>
  <c r="DE269" i="91"/>
  <c r="DE272" i="91"/>
  <c r="DF266" i="91"/>
  <c r="DF269" i="91"/>
  <c r="DF228" i="91"/>
  <c r="DF244" i="91"/>
  <c r="DF243" i="91"/>
  <c r="DF229" i="91"/>
  <c r="DF236" i="91"/>
  <c r="DF276" i="91"/>
  <c r="DF261" i="91"/>
  <c r="DF226" i="91"/>
  <c r="DF224" i="91"/>
  <c r="DF278" i="91"/>
  <c r="DE263" i="91"/>
  <c r="DE231" i="91"/>
  <c r="DE254" i="91"/>
  <c r="DE245" i="91"/>
  <c r="DE265" i="91"/>
  <c r="DE268" i="91"/>
  <c r="DE277" i="91"/>
  <c r="DF260" i="91"/>
  <c r="DF225" i="91"/>
  <c r="DF279" i="91"/>
  <c r="DF238" i="91"/>
  <c r="DF272" i="91"/>
  <c r="DF242" i="91"/>
  <c r="DF268" i="91"/>
  <c r="DF241" i="91"/>
  <c r="DF258" i="91"/>
  <c r="DF240" i="91"/>
  <c r="DF232" i="91"/>
  <c r="DF274" i="91"/>
  <c r="DF235" i="91"/>
  <c r="DE248" i="91"/>
  <c r="DF264" i="91"/>
  <c r="DF245" i="91"/>
  <c r="DF233" i="91"/>
  <c r="DF257" i="91"/>
  <c r="DF270" i="91"/>
  <c r="DF256" i="91"/>
  <c r="DF227" i="91"/>
  <c r="DF265" i="91"/>
  <c r="DE240" i="91"/>
  <c r="DE270" i="91"/>
  <c r="DE279" i="91"/>
  <c r="DE243" i="91"/>
  <c r="DE262" i="91"/>
  <c r="DE276" i="91"/>
  <c r="DE267" i="91"/>
  <c r="DE260" i="91"/>
  <c r="DF254" i="91"/>
  <c r="DF277" i="91"/>
  <c r="DF255" i="91"/>
  <c r="DF239" i="91"/>
  <c r="DF237" i="91"/>
  <c r="DF263" i="91"/>
  <c r="DF267" i="91"/>
  <c r="DF223" i="91"/>
  <c r="DF262" i="91"/>
  <c r="DF246" i="91"/>
  <c r="DF259" i="91"/>
  <c r="DF230" i="91"/>
  <c r="DF271" i="91"/>
  <c r="DE223" i="91"/>
  <c r="DE226" i="91"/>
  <c r="DE229" i="91"/>
  <c r="DE266" i="91"/>
  <c r="DE241" i="91"/>
  <c r="DE232" i="91"/>
  <c r="DE238" i="91"/>
  <c r="DE255" i="91"/>
  <c r="DE237" i="91"/>
  <c r="DF234" i="91"/>
  <c r="DF231" i="91"/>
  <c r="DF248" i="91"/>
  <c r="DF275" i="91"/>
  <c r="DF273" i="91"/>
  <c r="DF247" i="91"/>
  <c r="DE285" i="91"/>
  <c r="DE299" i="91"/>
  <c r="DE296" i="91"/>
  <c r="DE289" i="91"/>
  <c r="DE305" i="91"/>
  <c r="DE286" i="91"/>
  <c r="DE302" i="91"/>
  <c r="DE295" i="91"/>
  <c r="DE301" i="91"/>
  <c r="DE303" i="91"/>
  <c r="DE300" i="91"/>
  <c r="DE293" i="91"/>
  <c r="DE309" i="91"/>
  <c r="DE290" i="91"/>
  <c r="DE306" i="91"/>
  <c r="DE292" i="91"/>
  <c r="DE298" i="91"/>
  <c r="DE291" i="91"/>
  <c r="DE307" i="91"/>
  <c r="DE288" i="91"/>
  <c r="DE304" i="91"/>
  <c r="DE308" i="91"/>
  <c r="DE297" i="91"/>
  <c r="DE287" i="91"/>
  <c r="DE294" i="91"/>
  <c r="DE310" i="91"/>
  <c r="DG221" i="91"/>
  <c r="Z602" i="91"/>
  <c r="A603" i="91"/>
  <c r="G603" i="91"/>
  <c r="H603" i="91"/>
  <c r="T603" i="91"/>
  <c r="L603" i="91"/>
  <c r="P603" i="91"/>
  <c r="W603" i="91"/>
  <c r="R603" i="91"/>
  <c r="X603" i="91"/>
  <c r="O603" i="91"/>
  <c r="M603" i="91"/>
  <c r="V603" i="91"/>
  <c r="J603" i="91"/>
  <c r="N603" i="91"/>
  <c r="U603" i="91"/>
  <c r="Y603" i="91"/>
  <c r="K603" i="91"/>
  <c r="DG277" i="91"/>
  <c r="DG246" i="91"/>
  <c r="DG231" i="91"/>
  <c r="DG239" i="91"/>
  <c r="DG235" i="91"/>
  <c r="DG254" i="91"/>
  <c r="DG263" i="91"/>
  <c r="DG275" i="91"/>
  <c r="DG279" i="91"/>
  <c r="DG267" i="91"/>
  <c r="DG274" i="91"/>
  <c r="DG242" i="91"/>
  <c r="DG265" i="91"/>
  <c r="DG226" i="91"/>
  <c r="DG269" i="91"/>
  <c r="DG232" i="91"/>
  <c r="DG228" i="91"/>
  <c r="DF295" i="91"/>
  <c r="DF292" i="91"/>
  <c r="DF308" i="91"/>
  <c r="DF290" i="91"/>
  <c r="DF289" i="91"/>
  <c r="DF305" i="91"/>
  <c r="DF286" i="91"/>
  <c r="DF299" i="91"/>
  <c r="DF296" i="91"/>
  <c r="DF298" i="91"/>
  <c r="DF293" i="91"/>
  <c r="DF309" i="91"/>
  <c r="DF294" i="91"/>
  <c r="DF303" i="91"/>
  <c r="DF300" i="91"/>
  <c r="DF306" i="91"/>
  <c r="DF297" i="91"/>
  <c r="DF287" i="91"/>
  <c r="DF302" i="91"/>
  <c r="DF291" i="91"/>
  <c r="DF307" i="91"/>
  <c r="DF288" i="91"/>
  <c r="DF304" i="91"/>
  <c r="DF285" i="91"/>
  <c r="DF301" i="91"/>
  <c r="DF310" i="91"/>
  <c r="DH221" i="91"/>
  <c r="Z603" i="91"/>
  <c r="A604" i="91"/>
  <c r="G604" i="91"/>
  <c r="H604" i="91"/>
  <c r="T604" i="91"/>
  <c r="L604" i="91"/>
  <c r="P604" i="91"/>
  <c r="W604" i="91"/>
  <c r="R604" i="91"/>
  <c r="X604" i="91"/>
  <c r="U604" i="91"/>
  <c r="O604" i="91"/>
  <c r="M604" i="91"/>
  <c r="Y604" i="91"/>
  <c r="J604" i="91"/>
  <c r="N604" i="91"/>
  <c r="V604" i="91"/>
  <c r="K604" i="91"/>
  <c r="DG229" i="91"/>
  <c r="DG237" i="91"/>
  <c r="DG223" i="91"/>
  <c r="DG255" i="91"/>
  <c r="DG260" i="91"/>
  <c r="DG233" i="91"/>
  <c r="DG227" i="91"/>
  <c r="DG271" i="91"/>
  <c r="DG225" i="91"/>
  <c r="DG244" i="91"/>
  <c r="DG262" i="91"/>
  <c r="DG276" i="91"/>
  <c r="DG245" i="91"/>
  <c r="DG257" i="91"/>
  <c r="DG264" i="91"/>
  <c r="DG256" i="91"/>
  <c r="DG224" i="91"/>
  <c r="DG243" i="91"/>
  <c r="DG238" i="91"/>
  <c r="DG270" i="91"/>
  <c r="DG266" i="91"/>
  <c r="DG234" i="91"/>
  <c r="DG236" i="91"/>
  <c r="DG259" i="91"/>
  <c r="DG240" i="91"/>
  <c r="DG241" i="91"/>
  <c r="DG230" i="91"/>
  <c r="DG273" i="91"/>
  <c r="DG261" i="91"/>
  <c r="DG258" i="91"/>
  <c r="DG268" i="91"/>
  <c r="DG272" i="91"/>
  <c r="DG248" i="91"/>
  <c r="DG247" i="91"/>
  <c r="DG278" i="91"/>
  <c r="DH277" i="91"/>
  <c r="DG295" i="91"/>
  <c r="DG296" i="91"/>
  <c r="DG286" i="91"/>
  <c r="DG297" i="91"/>
  <c r="DG287" i="91"/>
  <c r="DG310" i="91"/>
  <c r="DG299" i="91"/>
  <c r="DG300" i="91"/>
  <c r="DG302" i="91"/>
  <c r="DG285" i="91"/>
  <c r="DG301" i="91"/>
  <c r="DG303" i="91"/>
  <c r="DG294" i="91"/>
  <c r="DG288" i="91"/>
  <c r="DG304" i="91"/>
  <c r="DG289" i="91"/>
  <c r="DG305" i="91"/>
  <c r="DG290" i="91"/>
  <c r="DG291" i="91"/>
  <c r="DG307" i="91"/>
  <c r="DG306" i="91"/>
  <c r="DG292" i="91"/>
  <c r="DG308" i="91"/>
  <c r="DG293" i="91"/>
  <c r="DG309" i="91"/>
  <c r="DG298" i="91"/>
  <c r="DI221" i="91"/>
  <c r="Z604" i="91"/>
  <c r="A605" i="91"/>
  <c r="G605" i="91"/>
  <c r="H605" i="91"/>
  <c r="Z605" i="91"/>
  <c r="A606" i="91"/>
  <c r="G606" i="91"/>
  <c r="H606" i="91"/>
  <c r="Z606" i="91"/>
  <c r="A607" i="91"/>
  <c r="G607" i="91"/>
  <c r="J607" i="91"/>
  <c r="H607" i="91"/>
  <c r="K607" i="91"/>
  <c r="L607" i="91"/>
  <c r="M607" i="91"/>
  <c r="O607" i="91"/>
  <c r="P607" i="91"/>
  <c r="R607" i="91"/>
  <c r="T607" i="91"/>
  <c r="U607" i="91"/>
  <c r="V607" i="91"/>
  <c r="W607" i="91"/>
  <c r="X607" i="91"/>
  <c r="Y607" i="91"/>
  <c r="Z607" i="91"/>
  <c r="A608" i="91"/>
  <c r="G608" i="91"/>
  <c r="H608" i="91"/>
  <c r="J608" i="91"/>
  <c r="K608" i="91"/>
  <c r="L608" i="91"/>
  <c r="M608" i="91"/>
  <c r="N608" i="91"/>
  <c r="O608" i="91"/>
  <c r="P608" i="91"/>
  <c r="R608" i="91"/>
  <c r="T608" i="91"/>
  <c r="U608" i="91"/>
  <c r="V608" i="91"/>
  <c r="W608" i="91"/>
  <c r="X608" i="91"/>
  <c r="Y608" i="91"/>
  <c r="Z608" i="91"/>
  <c r="A609" i="91"/>
  <c r="G609" i="91"/>
  <c r="J609" i="91"/>
  <c r="H609" i="91"/>
  <c r="K609" i="91"/>
  <c r="L609" i="91"/>
  <c r="M609" i="91"/>
  <c r="O609" i="91"/>
  <c r="P609" i="91"/>
  <c r="R609" i="91"/>
  <c r="T609" i="91"/>
  <c r="U609" i="91"/>
  <c r="V609" i="91"/>
  <c r="W609" i="91"/>
  <c r="X609" i="91"/>
  <c r="Y609" i="91"/>
  <c r="Z609" i="91"/>
  <c r="A610" i="91"/>
  <c r="G610" i="91"/>
  <c r="H610" i="91"/>
  <c r="J610" i="91"/>
  <c r="K610" i="91"/>
  <c r="L610" i="91"/>
  <c r="M610" i="91"/>
  <c r="N610" i="91"/>
  <c r="O610" i="91"/>
  <c r="P610" i="91"/>
  <c r="R610" i="91"/>
  <c r="T610" i="91"/>
  <c r="U610" i="91"/>
  <c r="V610" i="91"/>
  <c r="W610" i="91"/>
  <c r="X610" i="91"/>
  <c r="Y610" i="91"/>
  <c r="Z610" i="91"/>
  <c r="A611" i="91"/>
  <c r="G611" i="91"/>
  <c r="H611" i="91"/>
  <c r="J611" i="91"/>
  <c r="K611" i="91"/>
  <c r="L611" i="91"/>
  <c r="M611" i="91"/>
  <c r="N611" i="91"/>
  <c r="O611" i="91"/>
  <c r="P611" i="91"/>
  <c r="R611" i="91"/>
  <c r="T611" i="91"/>
  <c r="U611" i="91"/>
  <c r="V611" i="91"/>
  <c r="W611" i="91"/>
  <c r="X611" i="91"/>
  <c r="Y611" i="91"/>
  <c r="Z611" i="91"/>
  <c r="A612" i="91"/>
  <c r="G612" i="91"/>
  <c r="H612" i="91"/>
  <c r="K612" i="91"/>
  <c r="L612" i="91"/>
  <c r="M612" i="91"/>
  <c r="O612" i="91"/>
  <c r="P612" i="91"/>
  <c r="R612" i="91"/>
  <c r="T612" i="91"/>
  <c r="U612" i="91"/>
  <c r="V612" i="91"/>
  <c r="W612" i="91"/>
  <c r="X612" i="91"/>
  <c r="Y612" i="91"/>
  <c r="Z612" i="91"/>
  <c r="A613" i="91"/>
  <c r="G613" i="91"/>
  <c r="H613" i="91"/>
  <c r="J613" i="91"/>
  <c r="K613" i="91"/>
  <c r="L613" i="91"/>
  <c r="M613" i="91"/>
  <c r="N613" i="91"/>
  <c r="O613" i="91"/>
  <c r="P613" i="91"/>
  <c r="R613" i="91"/>
  <c r="T613" i="91"/>
  <c r="U613" i="91"/>
  <c r="V613" i="91"/>
  <c r="W613" i="91"/>
  <c r="X613" i="91"/>
  <c r="Y613" i="91"/>
  <c r="Z613" i="91"/>
  <c r="A614" i="91"/>
  <c r="G614" i="91"/>
  <c r="H614" i="91"/>
  <c r="K614" i="91"/>
  <c r="L614" i="91"/>
  <c r="M614" i="91"/>
  <c r="O614" i="91"/>
  <c r="P614" i="91"/>
  <c r="R614" i="91"/>
  <c r="U614" i="91"/>
  <c r="V614" i="91"/>
  <c r="W614" i="91"/>
  <c r="X614" i="91"/>
  <c r="Y614" i="91"/>
  <c r="Z614" i="91"/>
  <c r="A615" i="91"/>
  <c r="G615" i="91"/>
  <c r="H615" i="91"/>
  <c r="J615" i="91"/>
  <c r="K615" i="91"/>
  <c r="L615" i="91"/>
  <c r="M615" i="91"/>
  <c r="N615" i="91"/>
  <c r="O615" i="91"/>
  <c r="P615" i="91"/>
  <c r="R615" i="91"/>
  <c r="T615" i="91"/>
  <c r="U615" i="91"/>
  <c r="V615" i="91"/>
  <c r="W615" i="91"/>
  <c r="X615" i="91"/>
  <c r="Y615" i="91"/>
  <c r="Z615" i="91"/>
  <c r="A616" i="91"/>
  <c r="G616" i="91"/>
  <c r="H616" i="91"/>
  <c r="K616" i="91"/>
  <c r="L616" i="91"/>
  <c r="M616" i="91"/>
  <c r="O616" i="91"/>
  <c r="P616" i="91"/>
  <c r="R616" i="91"/>
  <c r="U616" i="91"/>
  <c r="V616" i="91"/>
  <c r="W616" i="91"/>
  <c r="X616" i="91"/>
  <c r="Y616" i="91"/>
  <c r="Z616" i="91"/>
  <c r="A617" i="91"/>
  <c r="G617" i="91"/>
  <c r="H617" i="91"/>
  <c r="J617" i="91"/>
  <c r="K617" i="91"/>
  <c r="L617" i="91"/>
  <c r="M617" i="91"/>
  <c r="N617" i="91"/>
  <c r="O617" i="91"/>
  <c r="P617" i="91"/>
  <c r="R617" i="91"/>
  <c r="T617" i="91"/>
  <c r="U617" i="91"/>
  <c r="V617" i="91"/>
  <c r="W617" i="91"/>
  <c r="X617" i="91"/>
  <c r="Y617" i="91"/>
  <c r="Z617" i="91"/>
  <c r="A618" i="91"/>
  <c r="G618" i="91"/>
  <c r="H618" i="91"/>
  <c r="K618" i="91"/>
  <c r="L618" i="91"/>
  <c r="M618" i="91"/>
  <c r="O618" i="91"/>
  <c r="P618" i="91"/>
  <c r="R618" i="91"/>
  <c r="U618" i="91"/>
  <c r="V618" i="91"/>
  <c r="W618" i="91"/>
  <c r="X618" i="91"/>
  <c r="Y618" i="91"/>
  <c r="Z618" i="91"/>
  <c r="A619" i="91"/>
  <c r="G619" i="91"/>
  <c r="H619" i="91"/>
  <c r="J619" i="91"/>
  <c r="K619" i="91"/>
  <c r="L619" i="91"/>
  <c r="M619" i="91"/>
  <c r="N619" i="91"/>
  <c r="O619" i="91"/>
  <c r="P619" i="91"/>
  <c r="R619" i="91"/>
  <c r="T619" i="91"/>
  <c r="U619" i="91"/>
  <c r="V619" i="91"/>
  <c r="W619" i="91"/>
  <c r="X619" i="91"/>
  <c r="Y619" i="91"/>
  <c r="Z619" i="91"/>
  <c r="A620" i="91"/>
  <c r="G620" i="91"/>
  <c r="H620" i="91"/>
  <c r="K620" i="91"/>
  <c r="L620" i="91"/>
  <c r="M620" i="91"/>
  <c r="O620" i="91"/>
  <c r="T620" i="91"/>
  <c r="P620" i="91"/>
  <c r="R620" i="91"/>
  <c r="U620" i="91"/>
  <c r="V620" i="91"/>
  <c r="W620" i="91"/>
  <c r="X620" i="91"/>
  <c r="Y620" i="91"/>
  <c r="Z620" i="91"/>
  <c r="A621" i="91"/>
  <c r="G621" i="91"/>
  <c r="H621" i="91"/>
  <c r="J621" i="91"/>
  <c r="K621" i="91"/>
  <c r="L621" i="91"/>
  <c r="M621" i="91"/>
  <c r="N621" i="91"/>
  <c r="O621" i="91"/>
  <c r="T621" i="91"/>
  <c r="P621" i="91"/>
  <c r="R621" i="91"/>
  <c r="U621" i="91"/>
  <c r="V621" i="91"/>
  <c r="W621" i="91"/>
  <c r="X621" i="91"/>
  <c r="Y621" i="91"/>
  <c r="Z621" i="91"/>
  <c r="AA625" i="91"/>
  <c r="D626" i="91"/>
  <c r="AA626" i="91"/>
  <c r="AB626" i="91"/>
  <c r="AC626" i="91"/>
  <c r="AD626" i="91"/>
  <c r="AE626" i="91"/>
  <c r="G627" i="91"/>
  <c r="J627" i="91"/>
  <c r="M605" i="91"/>
  <c r="V605" i="91"/>
  <c r="O605" i="91"/>
  <c r="Y605" i="91"/>
  <c r="K606" i="91"/>
  <c r="P606" i="91"/>
  <c r="V606" i="91"/>
  <c r="N606" i="91"/>
  <c r="L605" i="91"/>
  <c r="U605" i="91"/>
  <c r="X605" i="91"/>
  <c r="T606" i="91"/>
  <c r="J606" i="91"/>
  <c r="O606" i="91"/>
  <c r="Y606" i="91"/>
  <c r="T605" i="91"/>
  <c r="K605" i="91"/>
  <c r="R605" i="91"/>
  <c r="W605" i="91"/>
  <c r="U606" i="91"/>
  <c r="M606" i="91"/>
  <c r="N605" i="91"/>
  <c r="J605" i="91"/>
  <c r="P605" i="91"/>
  <c r="L606" i="91"/>
  <c r="R606" i="91"/>
  <c r="W606" i="91"/>
  <c r="X606" i="91"/>
  <c r="DH271" i="91"/>
  <c r="DH247" i="91"/>
  <c r="DH264" i="91"/>
  <c r="DH260" i="91"/>
  <c r="DH233" i="91"/>
  <c r="DH278" i="91"/>
  <c r="DH261" i="91"/>
  <c r="DH254" i="91"/>
  <c r="DH241" i="91"/>
  <c r="DH243" i="91"/>
  <c r="DH234" i="91"/>
  <c r="DH232" i="91"/>
  <c r="DH237" i="91"/>
  <c r="DI242" i="91"/>
  <c r="DI233" i="91"/>
  <c r="DI254" i="91"/>
  <c r="DI257" i="91"/>
  <c r="DI262" i="91"/>
  <c r="DI263" i="91"/>
  <c r="DI277" i="91"/>
  <c r="DI237" i="91"/>
  <c r="DI276" i="91"/>
  <c r="DI247" i="91"/>
  <c r="DI260" i="91"/>
  <c r="DI235" i="91"/>
  <c r="DI226" i="91"/>
  <c r="DI258" i="91"/>
  <c r="DI275" i="91"/>
  <c r="DH265" i="91"/>
  <c r="DH269" i="91"/>
  <c r="DH225" i="91"/>
  <c r="DH229" i="91"/>
  <c r="DH273" i="91"/>
  <c r="DH274" i="91"/>
  <c r="DH263" i="91"/>
  <c r="DH266" i="91"/>
  <c r="DH279" i="91"/>
  <c r="DH242" i="91"/>
  <c r="DH276" i="91"/>
  <c r="DH223" i="91"/>
  <c r="DH230" i="91"/>
  <c r="DH259" i="91"/>
  <c r="DH257" i="91"/>
  <c r="DH255" i="91"/>
  <c r="DH235" i="91"/>
  <c r="DH246" i="91"/>
  <c r="DH239" i="91"/>
  <c r="DH245" i="91"/>
  <c r="DH267" i="91"/>
  <c r="DH244" i="91"/>
  <c r="DH270" i="91"/>
  <c r="DH240" i="91"/>
  <c r="DH262" i="91"/>
  <c r="DH272" i="91"/>
  <c r="DI240" i="91"/>
  <c r="DI244" i="91"/>
  <c r="DI271" i="91"/>
  <c r="DI265" i="91"/>
  <c r="DI229" i="91"/>
  <c r="DI227" i="91"/>
  <c r="DI268" i="91"/>
  <c r="DH248" i="91"/>
  <c r="DH226" i="91"/>
  <c r="DH268" i="91"/>
  <c r="DH227" i="91"/>
  <c r="DH238" i="91"/>
  <c r="DH275" i="91"/>
  <c r="DH258" i="91"/>
  <c r="DH224" i="91"/>
  <c r="DH256" i="91"/>
  <c r="DH236" i="91"/>
  <c r="DH231" i="91"/>
  <c r="DH228" i="91"/>
  <c r="AB627" i="91"/>
  <c r="AD627" i="91"/>
  <c r="AE627" i="91"/>
  <c r="AC627" i="91"/>
  <c r="AA627" i="91"/>
  <c r="DI279" i="91"/>
  <c r="DI278" i="91"/>
  <c r="DI239" i="91"/>
  <c r="DI256" i="91"/>
  <c r="DI223" i="91"/>
  <c r="DI248" i="91"/>
  <c r="DI245" i="91"/>
  <c r="DI270" i="91"/>
  <c r="DI273" i="91"/>
  <c r="DI259" i="91"/>
  <c r="DI231" i="91"/>
  <c r="DI243" i="91"/>
  <c r="DI267" i="91"/>
  <c r="DI246" i="91"/>
  <c r="DI230" i="91"/>
  <c r="DI232" i="91"/>
  <c r="DI234" i="91"/>
  <c r="DI238" i="91"/>
  <c r="DI261" i="91"/>
  <c r="DI264" i="91"/>
  <c r="DI241" i="91"/>
  <c r="DI255" i="91"/>
  <c r="DI266" i="91"/>
  <c r="DI236" i="91"/>
  <c r="DI272" i="91"/>
  <c r="DI224" i="91"/>
  <c r="DI269" i="91"/>
  <c r="DI274" i="91"/>
  <c r="DI225" i="91"/>
  <c r="DI228" i="91"/>
  <c r="DH286" i="91"/>
  <c r="DH294" i="91"/>
  <c r="DH302" i="91"/>
  <c r="DH310" i="91"/>
  <c r="DH297" i="91"/>
  <c r="DH306" i="91"/>
  <c r="DH305" i="91"/>
  <c r="DH288" i="91"/>
  <c r="DH292" i="91"/>
  <c r="DH287" i="91"/>
  <c r="DH300" i="91"/>
  <c r="DH293" i="91"/>
  <c r="DH304" i="91"/>
  <c r="DH308" i="91"/>
  <c r="DH301" i="91"/>
  <c r="DH298" i="91"/>
  <c r="DH309" i="91"/>
  <c r="DH290" i="91"/>
  <c r="DH296" i="91"/>
  <c r="DH299" i="91"/>
  <c r="DH289" i="91"/>
  <c r="DH303" i="91"/>
  <c r="DH285" i="91"/>
  <c r="DH291" i="91"/>
  <c r="DH307" i="91"/>
  <c r="DH295" i="91"/>
  <c r="DI310" i="91"/>
  <c r="DI309" i="91"/>
  <c r="DI308" i="91"/>
  <c r="DI307" i="91"/>
  <c r="DI306" i="91"/>
  <c r="DI305" i="91"/>
  <c r="DI304" i="91"/>
  <c r="DI303" i="91"/>
  <c r="DI302" i="91"/>
  <c r="DI301" i="91"/>
  <c r="DI300" i="91"/>
  <c r="DI299" i="91"/>
  <c r="DI298" i="91"/>
  <c r="DI297" i="91"/>
  <c r="DI296" i="91"/>
  <c r="DI295" i="91"/>
  <c r="DI294" i="91"/>
  <c r="DI293" i="91"/>
  <c r="DI292" i="91"/>
  <c r="DI291" i="91"/>
  <c r="DI290" i="91"/>
  <c r="DI289" i="91"/>
  <c r="DI288" i="91"/>
  <c r="DI287" i="91"/>
  <c r="DI286" i="91"/>
  <c r="DI285" i="91"/>
  <c r="W622" i="91"/>
  <c r="X622" i="91"/>
  <c r="Y622" i="91"/>
  <c r="O622" i="91"/>
  <c r="P622" i="91"/>
  <c r="R622" i="91"/>
  <c r="U622" i="91"/>
  <c r="V622" i="91"/>
  <c r="K622" i="91"/>
  <c r="L622" i="91"/>
  <c r="M622" i="91"/>
  <c r="N609" i="91"/>
  <c r="N607" i="91"/>
  <c r="DJ221" i="91"/>
  <c r="N620" i="91"/>
  <c r="J620" i="91"/>
  <c r="T618" i="91"/>
  <c r="N618" i="91"/>
  <c r="J618" i="91"/>
  <c r="T616" i="91"/>
  <c r="N616" i="91"/>
  <c r="J616" i="91"/>
  <c r="T614" i="91"/>
  <c r="N614" i="91"/>
  <c r="J614" i="91"/>
  <c r="N612" i="91"/>
  <c r="J612" i="91"/>
  <c r="A628" i="91"/>
  <c r="G628" i="91"/>
  <c r="H628" i="91"/>
  <c r="Z628" i="91"/>
  <c r="A629" i="91"/>
  <c r="G629" i="91"/>
  <c r="H629" i="91"/>
  <c r="Z629" i="91"/>
  <c r="A630" i="91"/>
  <c r="G630" i="91"/>
  <c r="H630" i="91"/>
  <c r="Z630" i="91"/>
  <c r="A631" i="91"/>
  <c r="G631" i="91"/>
  <c r="H631" i="91"/>
  <c r="Z631" i="91"/>
  <c r="A632" i="91"/>
  <c r="G632" i="91"/>
  <c r="H632" i="91"/>
  <c r="Z632" i="91"/>
  <c r="A633" i="91"/>
  <c r="G633" i="91"/>
  <c r="H633" i="91"/>
  <c r="Z633" i="91"/>
  <c r="A634" i="91"/>
  <c r="G634" i="91"/>
  <c r="H634" i="91"/>
  <c r="Z634" i="91"/>
  <c r="A635" i="91"/>
  <c r="G635" i="91"/>
  <c r="H635" i="91"/>
  <c r="Z635" i="91"/>
  <c r="A636" i="91"/>
  <c r="G636" i="91"/>
  <c r="H636" i="91"/>
  <c r="Z636" i="91"/>
  <c r="A637" i="91"/>
  <c r="G637" i="91"/>
  <c r="H637" i="91"/>
  <c r="Z637" i="91"/>
  <c r="A638" i="91"/>
  <c r="G638" i="91"/>
  <c r="H638" i="91"/>
  <c r="J638" i="91"/>
  <c r="K638" i="91"/>
  <c r="L638" i="91"/>
  <c r="T78" i="80"/>
  <c r="T22" i="80"/>
  <c r="M638" i="91"/>
  <c r="U78" i="80"/>
  <c r="N638" i="91"/>
  <c r="V78" i="80"/>
  <c r="V22" i="80"/>
  <c r="O638" i="91"/>
  <c r="P638" i="91"/>
  <c r="R638" i="91"/>
  <c r="U638" i="91"/>
  <c r="V638" i="91"/>
  <c r="W638" i="91"/>
  <c r="X638" i="91"/>
  <c r="Y638" i="91"/>
  <c r="Z638" i="91"/>
  <c r="A639" i="91"/>
  <c r="G639" i="91"/>
  <c r="J639" i="91"/>
  <c r="H639" i="91"/>
  <c r="K639" i="91"/>
  <c r="L639" i="91"/>
  <c r="T79" i="80"/>
  <c r="T23" i="80"/>
  <c r="M639" i="91"/>
  <c r="U79" i="80"/>
  <c r="N639" i="91"/>
  <c r="V79" i="80"/>
  <c r="V23" i="80"/>
  <c r="O639" i="91"/>
  <c r="T639" i="91"/>
  <c r="P639" i="91"/>
  <c r="R639" i="91"/>
  <c r="U639" i="91"/>
  <c r="V639" i="91"/>
  <c r="W639" i="91"/>
  <c r="X639" i="91"/>
  <c r="Y639" i="91"/>
  <c r="Z639" i="91"/>
  <c r="A640" i="91"/>
  <c r="G640" i="91"/>
  <c r="H640" i="91"/>
  <c r="K640" i="91"/>
  <c r="L640" i="91"/>
  <c r="T80" i="80"/>
  <c r="T24" i="80"/>
  <c r="M640" i="91"/>
  <c r="U80" i="80"/>
  <c r="N640" i="91"/>
  <c r="V80" i="80"/>
  <c r="V24" i="80"/>
  <c r="O640" i="91"/>
  <c r="P640" i="91"/>
  <c r="R640" i="91"/>
  <c r="T640" i="91"/>
  <c r="U640" i="91"/>
  <c r="V640" i="91"/>
  <c r="W640" i="91"/>
  <c r="X640" i="91"/>
  <c r="Y640" i="91"/>
  <c r="Z640" i="91"/>
  <c r="A641" i="91"/>
  <c r="G641" i="91"/>
  <c r="M641" i="91"/>
  <c r="U81" i="80"/>
  <c r="H641" i="91"/>
  <c r="L641" i="91"/>
  <c r="T81" i="80"/>
  <c r="T25" i="80"/>
  <c r="N641" i="91"/>
  <c r="V81" i="80"/>
  <c r="V25" i="80"/>
  <c r="P641" i="91"/>
  <c r="V641" i="91"/>
  <c r="X641" i="91"/>
  <c r="Z641" i="91"/>
  <c r="A642" i="91"/>
  <c r="G642" i="91"/>
  <c r="H642" i="91"/>
  <c r="J642" i="91"/>
  <c r="L642" i="91"/>
  <c r="T82" i="80"/>
  <c r="T26" i="80"/>
  <c r="N642" i="91"/>
  <c r="V82" i="80"/>
  <c r="V26" i="80"/>
  <c r="P642" i="91"/>
  <c r="V642" i="91"/>
  <c r="X642" i="91"/>
  <c r="Z642" i="91"/>
  <c r="A643" i="91"/>
  <c r="G643" i="91"/>
  <c r="M643" i="91"/>
  <c r="U83" i="80"/>
  <c r="H643" i="91"/>
  <c r="L643" i="91"/>
  <c r="T83" i="80"/>
  <c r="T27" i="80"/>
  <c r="P643" i="91"/>
  <c r="V643" i="91"/>
  <c r="X643" i="91"/>
  <c r="Z643" i="91"/>
  <c r="A644" i="91"/>
  <c r="G644" i="91"/>
  <c r="H644" i="91"/>
  <c r="J644" i="91"/>
  <c r="L644" i="91"/>
  <c r="T84" i="80"/>
  <c r="T28" i="80"/>
  <c r="N644" i="91"/>
  <c r="V84" i="80"/>
  <c r="V28" i="80"/>
  <c r="P644" i="91"/>
  <c r="V644" i="91"/>
  <c r="X644" i="91"/>
  <c r="Z644" i="91"/>
  <c r="A645" i="91"/>
  <c r="G645" i="91"/>
  <c r="M645" i="91"/>
  <c r="U85" i="80"/>
  <c r="H645" i="91"/>
  <c r="L645" i="91"/>
  <c r="T85" i="80"/>
  <c r="T29" i="80"/>
  <c r="P645" i="91"/>
  <c r="V645" i="91"/>
  <c r="Z645" i="91"/>
  <c r="A646" i="91"/>
  <c r="G646" i="91"/>
  <c r="H646" i="91"/>
  <c r="J646" i="91"/>
  <c r="L646" i="91"/>
  <c r="T86" i="80"/>
  <c r="T30" i="80"/>
  <c r="N646" i="91"/>
  <c r="V86" i="80"/>
  <c r="V30" i="80"/>
  <c r="P646" i="91"/>
  <c r="V646" i="91"/>
  <c r="X646" i="91"/>
  <c r="Z646" i="91"/>
  <c r="A647" i="91"/>
  <c r="G647" i="91"/>
  <c r="M647" i="91"/>
  <c r="U87" i="80"/>
  <c r="H647" i="91"/>
  <c r="L647" i="91"/>
  <c r="T87" i="80"/>
  <c r="T31" i="80"/>
  <c r="P647" i="91"/>
  <c r="V647" i="91"/>
  <c r="Z647" i="91"/>
  <c r="A648" i="91"/>
  <c r="G648" i="91"/>
  <c r="H648" i="91"/>
  <c r="J648" i="91"/>
  <c r="L648" i="91"/>
  <c r="T88" i="80"/>
  <c r="T32" i="80"/>
  <c r="N648" i="91"/>
  <c r="V88" i="80"/>
  <c r="V32" i="80"/>
  <c r="P648" i="91"/>
  <c r="V648" i="91"/>
  <c r="X648" i="91"/>
  <c r="Z648" i="91"/>
  <c r="A649" i="91"/>
  <c r="G649" i="91"/>
  <c r="M649" i="91"/>
  <c r="U89" i="80"/>
  <c r="H649" i="91"/>
  <c r="L649" i="91"/>
  <c r="T89" i="80"/>
  <c r="T33" i="80"/>
  <c r="P649" i="91"/>
  <c r="V649" i="91"/>
  <c r="Z649" i="91"/>
  <c r="A650" i="91"/>
  <c r="G650" i="91"/>
  <c r="H650" i="91"/>
  <c r="J650" i="91"/>
  <c r="L650" i="91"/>
  <c r="T90" i="80"/>
  <c r="T34" i="80"/>
  <c r="N650" i="91"/>
  <c r="V90" i="80"/>
  <c r="V34" i="80"/>
  <c r="P650" i="91"/>
  <c r="V650" i="91"/>
  <c r="X650" i="91"/>
  <c r="Z650" i="91"/>
  <c r="A651" i="91"/>
  <c r="G651" i="91"/>
  <c r="M651" i="91"/>
  <c r="U91" i="80"/>
  <c r="H651" i="91"/>
  <c r="L651" i="91"/>
  <c r="T91" i="80"/>
  <c r="T35" i="80"/>
  <c r="P651" i="91"/>
  <c r="V651" i="91"/>
  <c r="Z651" i="91"/>
  <c r="A652" i="91"/>
  <c r="G652" i="91"/>
  <c r="H652" i="91"/>
  <c r="J652" i="91"/>
  <c r="L652" i="91"/>
  <c r="T92" i="80"/>
  <c r="T36" i="80"/>
  <c r="N652" i="91"/>
  <c r="V92" i="80"/>
  <c r="V36" i="80"/>
  <c r="P652" i="91"/>
  <c r="V652" i="91"/>
  <c r="X652" i="91"/>
  <c r="Z652" i="91"/>
  <c r="AA656" i="91"/>
  <c r="D657" i="91"/>
  <c r="AA657" i="91"/>
  <c r="AB657" i="91"/>
  <c r="AC657" i="91"/>
  <c r="AD657" i="91"/>
  <c r="AE657" i="91"/>
  <c r="G658" i="91"/>
  <c r="J658" i="91"/>
  <c r="O631" i="91"/>
  <c r="K631" i="91"/>
  <c r="V631" i="91"/>
  <c r="M635" i="91"/>
  <c r="X635" i="91"/>
  <c r="R635" i="91"/>
  <c r="N628" i="91"/>
  <c r="J628" i="91"/>
  <c r="U628" i="91"/>
  <c r="Y628" i="91"/>
  <c r="L632" i="91"/>
  <c r="W632" i="91"/>
  <c r="P632" i="91"/>
  <c r="N636" i="91"/>
  <c r="J636" i="91"/>
  <c r="U636" i="91"/>
  <c r="Y636" i="91"/>
  <c r="X629" i="91"/>
  <c r="K633" i="91"/>
  <c r="M637" i="91"/>
  <c r="J634" i="91"/>
  <c r="N631" i="91"/>
  <c r="J631" i="91"/>
  <c r="U631" i="91"/>
  <c r="Y631" i="91"/>
  <c r="L635" i="91"/>
  <c r="W635" i="91"/>
  <c r="P635" i="91"/>
  <c r="M628" i="91"/>
  <c r="X628" i="91"/>
  <c r="R628" i="91"/>
  <c r="O632" i="91"/>
  <c r="K632" i="91"/>
  <c r="V632" i="91"/>
  <c r="M636" i="91"/>
  <c r="X636" i="91"/>
  <c r="R636" i="91"/>
  <c r="L629" i="91"/>
  <c r="W629" i="91"/>
  <c r="P629" i="91"/>
  <c r="N633" i="91"/>
  <c r="J633" i="91"/>
  <c r="U633" i="91"/>
  <c r="Y633" i="91"/>
  <c r="L637" i="91"/>
  <c r="W637" i="91"/>
  <c r="P637" i="91"/>
  <c r="O630" i="91"/>
  <c r="K630" i="91"/>
  <c r="V630" i="91"/>
  <c r="M634" i="91"/>
  <c r="X634" i="91"/>
  <c r="R634" i="91"/>
  <c r="L634" i="91"/>
  <c r="O633" i="91"/>
  <c r="R637" i="91"/>
  <c r="W630" i="91"/>
  <c r="Y634" i="91"/>
  <c r="M631" i="91"/>
  <c r="X631" i="91"/>
  <c r="R631" i="91"/>
  <c r="O635" i="91"/>
  <c r="K635" i="91"/>
  <c r="V635" i="91"/>
  <c r="L628" i="91"/>
  <c r="W628" i="91"/>
  <c r="P628" i="91"/>
  <c r="N632" i="91"/>
  <c r="J632" i="91"/>
  <c r="U632" i="91"/>
  <c r="Y632" i="91"/>
  <c r="L636" i="91"/>
  <c r="W636" i="91"/>
  <c r="P636" i="91"/>
  <c r="O629" i="91"/>
  <c r="K629" i="91"/>
  <c r="V629" i="91"/>
  <c r="M633" i="91"/>
  <c r="X633" i="91"/>
  <c r="R633" i="91"/>
  <c r="O637" i="91"/>
  <c r="K637" i="91"/>
  <c r="V637" i="91"/>
  <c r="N630" i="91"/>
  <c r="J630" i="91"/>
  <c r="U630" i="91"/>
  <c r="Y630" i="91"/>
  <c r="W634" i="91"/>
  <c r="P634" i="91"/>
  <c r="V633" i="91"/>
  <c r="X637" i="91"/>
  <c r="L630" i="91"/>
  <c r="N634" i="91"/>
  <c r="L631" i="91"/>
  <c r="W631" i="91"/>
  <c r="P631" i="91"/>
  <c r="N635" i="91"/>
  <c r="J635" i="91"/>
  <c r="U635" i="91"/>
  <c r="Y635" i="91"/>
  <c r="O628" i="91"/>
  <c r="K628" i="91"/>
  <c r="V628" i="91"/>
  <c r="M632" i="91"/>
  <c r="X632" i="91"/>
  <c r="R632" i="91"/>
  <c r="O636" i="91"/>
  <c r="K636" i="91"/>
  <c r="V636" i="91"/>
  <c r="N629" i="91"/>
  <c r="J629" i="91"/>
  <c r="U629" i="91"/>
  <c r="Y629" i="91"/>
  <c r="L633" i="91"/>
  <c r="W633" i="91"/>
  <c r="P633" i="91"/>
  <c r="N637" i="91"/>
  <c r="J637" i="91"/>
  <c r="U637" i="91"/>
  <c r="Y637" i="91"/>
  <c r="M630" i="91"/>
  <c r="X630" i="91"/>
  <c r="R630" i="91"/>
  <c r="O634" i="91"/>
  <c r="K634" i="91"/>
  <c r="V634" i="91"/>
  <c r="M629" i="91"/>
  <c r="R629" i="91"/>
  <c r="P630" i="91"/>
  <c r="U634" i="91"/>
  <c r="DJ259" i="91"/>
  <c r="DJ227" i="91"/>
  <c r="DJ237" i="91"/>
  <c r="DJ242" i="91"/>
  <c r="DJ261" i="91"/>
  <c r="DJ230" i="91"/>
  <c r="DJ256" i="91"/>
  <c r="DJ228" i="91"/>
  <c r="DJ254" i="91"/>
  <c r="DJ234" i="91"/>
  <c r="DJ239" i="91"/>
  <c r="DJ248" i="91"/>
  <c r="DJ240" i="91"/>
  <c r="DJ275" i="91"/>
  <c r="DJ231" i="91"/>
  <c r="DJ244" i="91"/>
  <c r="DJ260" i="91"/>
  <c r="AC658" i="91"/>
  <c r="AD658" i="91"/>
  <c r="AB658" i="91"/>
  <c r="AA658" i="91"/>
  <c r="AE658" i="91"/>
  <c r="DJ262" i="91"/>
  <c r="DJ238" i="91"/>
  <c r="DJ257" i="91"/>
  <c r="DJ270" i="91"/>
  <c r="DJ226" i="91"/>
  <c r="DJ278" i="91"/>
  <c r="DJ267" i="91"/>
  <c r="DJ235" i="91"/>
  <c r="DJ266" i="91"/>
  <c r="DJ229" i="91"/>
  <c r="DJ223" i="91"/>
  <c r="DJ232" i="91"/>
  <c r="DJ273" i="91"/>
  <c r="DJ264" i="91"/>
  <c r="DJ279" i="91"/>
  <c r="DJ245" i="91"/>
  <c r="DJ246" i="91"/>
  <c r="DJ277" i="91"/>
  <c r="DJ276" i="91"/>
  <c r="DJ241" i="91"/>
  <c r="DJ224" i="91"/>
  <c r="DJ272" i="91"/>
  <c r="DJ269" i="91"/>
  <c r="DJ233" i="91"/>
  <c r="DJ258" i="91"/>
  <c r="DJ247" i="91"/>
  <c r="DJ265" i="91"/>
  <c r="DJ271" i="91"/>
  <c r="DJ236" i="91"/>
  <c r="DJ243" i="91"/>
  <c r="DJ225" i="91"/>
  <c r="DJ255" i="91"/>
  <c r="DJ263" i="91"/>
  <c r="DJ274" i="91"/>
  <c r="DJ268" i="91"/>
  <c r="J622" i="91"/>
  <c r="T622" i="91"/>
  <c r="N622" i="91"/>
  <c r="M45" i="71"/>
  <c r="U45" i="71"/>
  <c r="AC74" i="80"/>
  <c r="AC18" i="80"/>
  <c r="H45" i="71"/>
  <c r="P45" i="71"/>
  <c r="X74" i="80"/>
  <c r="X18" i="80"/>
  <c r="I45" i="71"/>
  <c r="Q45" i="71"/>
  <c r="Y74" i="80"/>
  <c r="Y18" i="80"/>
  <c r="J45" i="71"/>
  <c r="R45" i="71"/>
  <c r="L70" i="81"/>
  <c r="Z74" i="80"/>
  <c r="Z18" i="80"/>
  <c r="K45" i="71"/>
  <c r="S45" i="71"/>
  <c r="AA74" i="80"/>
  <c r="AA18" i="80"/>
  <c r="L45" i="71"/>
  <c r="T45" i="71"/>
  <c r="AB74" i="80"/>
  <c r="AB18" i="80"/>
  <c r="R74" i="80"/>
  <c r="R18" i="80"/>
  <c r="T74" i="80"/>
  <c r="T18" i="80"/>
  <c r="U74" i="80"/>
  <c r="V74" i="80"/>
  <c r="V18" i="80"/>
  <c r="G45" i="71"/>
  <c r="O45" i="71"/>
  <c r="W74" i="80"/>
  <c r="W18" i="80"/>
  <c r="T634" i="91"/>
  <c r="M41" i="71"/>
  <c r="U41" i="71"/>
  <c r="AC70" i="80"/>
  <c r="AC14" i="80"/>
  <c r="H41" i="71"/>
  <c r="P41" i="71"/>
  <c r="X70" i="80"/>
  <c r="X14" i="80"/>
  <c r="I41" i="71"/>
  <c r="Q41" i="71"/>
  <c r="Y70" i="80"/>
  <c r="Y14" i="80"/>
  <c r="J41" i="71"/>
  <c r="R41" i="71"/>
  <c r="L66" i="81"/>
  <c r="Z70" i="80"/>
  <c r="Z14" i="80"/>
  <c r="K41" i="71"/>
  <c r="S41" i="71"/>
  <c r="AA70" i="80"/>
  <c r="AA14" i="80"/>
  <c r="L41" i="71"/>
  <c r="T41" i="71"/>
  <c r="AB70" i="80"/>
  <c r="AB14" i="80"/>
  <c r="R70" i="80"/>
  <c r="R14" i="80"/>
  <c r="T70" i="80"/>
  <c r="T14" i="80"/>
  <c r="U70" i="80"/>
  <c r="V70" i="80"/>
  <c r="V14" i="80"/>
  <c r="G41" i="71"/>
  <c r="O41" i="71"/>
  <c r="W70" i="80"/>
  <c r="W14" i="80"/>
  <c r="T630" i="91"/>
  <c r="M48" i="71"/>
  <c r="U48" i="71"/>
  <c r="AC77" i="80"/>
  <c r="AC21" i="80"/>
  <c r="H48" i="71"/>
  <c r="P48" i="71"/>
  <c r="X77" i="80"/>
  <c r="X21" i="80"/>
  <c r="I48" i="71"/>
  <c r="Q48" i="71"/>
  <c r="Y77" i="80"/>
  <c r="Y21" i="80"/>
  <c r="J48" i="71"/>
  <c r="R48" i="71"/>
  <c r="Z77" i="80"/>
  <c r="Z21" i="80"/>
  <c r="L73" i="81"/>
  <c r="K48" i="71"/>
  <c r="S48" i="71"/>
  <c r="AA77" i="80"/>
  <c r="AA21" i="80"/>
  <c r="L48" i="71"/>
  <c r="T48" i="71"/>
  <c r="AB77" i="80"/>
  <c r="AB21" i="80"/>
  <c r="R77" i="80"/>
  <c r="R21" i="80"/>
  <c r="T77" i="80"/>
  <c r="T21" i="80"/>
  <c r="U77" i="80"/>
  <c r="V77" i="80"/>
  <c r="V21" i="80"/>
  <c r="G48" i="71"/>
  <c r="O48" i="71"/>
  <c r="W77" i="80"/>
  <c r="W21" i="80"/>
  <c r="T637" i="91"/>
  <c r="M44" i="71"/>
  <c r="U44" i="71"/>
  <c r="AC73" i="80"/>
  <c r="AC17" i="80"/>
  <c r="H44" i="71"/>
  <c r="P44" i="71"/>
  <c r="X73" i="80"/>
  <c r="X17" i="80"/>
  <c r="I44" i="71"/>
  <c r="Q44" i="71"/>
  <c r="Y73" i="80"/>
  <c r="Y17" i="80"/>
  <c r="J44" i="71"/>
  <c r="R44" i="71"/>
  <c r="L69" i="81"/>
  <c r="Z73" i="80"/>
  <c r="Z17" i="80"/>
  <c r="K44" i="71"/>
  <c r="S44" i="71"/>
  <c r="AA73" i="80"/>
  <c r="AA17" i="80"/>
  <c r="L44" i="71"/>
  <c r="T44" i="71"/>
  <c r="AB73" i="80"/>
  <c r="AB17" i="80"/>
  <c r="R73" i="80"/>
  <c r="R17" i="80"/>
  <c r="T73" i="80"/>
  <c r="T17" i="80"/>
  <c r="U73" i="80"/>
  <c r="V73" i="80"/>
  <c r="V17" i="80"/>
  <c r="G44" i="71"/>
  <c r="O44" i="71"/>
  <c r="W73" i="80"/>
  <c r="W17" i="80"/>
  <c r="T633" i="91"/>
  <c r="M40" i="71"/>
  <c r="U40" i="71"/>
  <c r="AC69" i="80"/>
  <c r="AC13" i="80"/>
  <c r="H40" i="71"/>
  <c r="P40" i="71"/>
  <c r="X69" i="80"/>
  <c r="X13" i="80"/>
  <c r="I40" i="71"/>
  <c r="Q40" i="71"/>
  <c r="Y69" i="80"/>
  <c r="Y13" i="80"/>
  <c r="J40" i="71"/>
  <c r="R40" i="71"/>
  <c r="L65" i="81"/>
  <c r="Z69" i="80"/>
  <c r="Z13" i="80"/>
  <c r="K40" i="71"/>
  <c r="S40" i="71"/>
  <c r="AA69" i="80"/>
  <c r="AA13" i="80"/>
  <c r="L40" i="71"/>
  <c r="T40" i="71"/>
  <c r="AB69" i="80"/>
  <c r="AB13" i="80"/>
  <c r="R69" i="80"/>
  <c r="R13" i="80"/>
  <c r="T69" i="80"/>
  <c r="T13" i="80"/>
  <c r="U69" i="80"/>
  <c r="V69" i="80"/>
  <c r="V13" i="80"/>
  <c r="G40" i="71"/>
  <c r="O40" i="71"/>
  <c r="W69" i="80"/>
  <c r="W13" i="80"/>
  <c r="T629" i="91"/>
  <c r="DJ310" i="91"/>
  <c r="DJ309" i="91"/>
  <c r="DJ308" i="91"/>
  <c r="DJ307" i="91"/>
  <c r="DJ306" i="91"/>
  <c r="DJ305" i="91"/>
  <c r="DJ304" i="91"/>
  <c r="DJ303" i="91"/>
  <c r="DJ302" i="91"/>
  <c r="DJ301" i="91"/>
  <c r="DJ300" i="91"/>
  <c r="DJ299" i="91"/>
  <c r="DJ298" i="91"/>
  <c r="DJ297" i="91"/>
  <c r="DJ296" i="91"/>
  <c r="DJ295" i="91"/>
  <c r="DJ294" i="91"/>
  <c r="DJ293" i="91"/>
  <c r="DJ292" i="91"/>
  <c r="DJ291" i="91"/>
  <c r="DJ290" i="91"/>
  <c r="DJ289" i="91"/>
  <c r="DJ288" i="91"/>
  <c r="DJ287" i="91"/>
  <c r="DJ286" i="91"/>
  <c r="DJ285" i="91"/>
  <c r="M47" i="71"/>
  <c r="U47" i="71"/>
  <c r="AC76" i="80"/>
  <c r="AC20" i="80"/>
  <c r="H47" i="71"/>
  <c r="P47" i="71"/>
  <c r="X76" i="80"/>
  <c r="X20" i="80"/>
  <c r="I47" i="71"/>
  <c r="Q47" i="71"/>
  <c r="Y76" i="80"/>
  <c r="Y20" i="80"/>
  <c r="J47" i="71"/>
  <c r="R47" i="71"/>
  <c r="L72" i="81"/>
  <c r="Z76" i="80"/>
  <c r="Z20" i="80"/>
  <c r="K47" i="71"/>
  <c r="S47" i="71"/>
  <c r="AA76" i="80"/>
  <c r="AA20" i="80"/>
  <c r="L47" i="71"/>
  <c r="T47" i="71"/>
  <c r="AB76" i="80"/>
  <c r="AB20" i="80"/>
  <c r="R76" i="80"/>
  <c r="R20" i="80"/>
  <c r="T76" i="80"/>
  <c r="T20" i="80"/>
  <c r="U76" i="80"/>
  <c r="V76" i="80"/>
  <c r="V20" i="80"/>
  <c r="G47" i="71"/>
  <c r="O47" i="71"/>
  <c r="W76" i="80"/>
  <c r="W20" i="80"/>
  <c r="T636" i="91"/>
  <c r="M43" i="71"/>
  <c r="U43" i="71"/>
  <c r="AC72" i="80"/>
  <c r="AC16" i="80"/>
  <c r="H43" i="71"/>
  <c r="P43" i="71"/>
  <c r="X72" i="80"/>
  <c r="X16" i="80"/>
  <c r="I43" i="71"/>
  <c r="Q43" i="71"/>
  <c r="Y72" i="80"/>
  <c r="Y16" i="80"/>
  <c r="J43" i="71"/>
  <c r="R43" i="71"/>
  <c r="L68" i="81"/>
  <c r="Z72" i="80"/>
  <c r="Z16" i="80"/>
  <c r="K43" i="71"/>
  <c r="S43" i="71"/>
  <c r="AA72" i="80"/>
  <c r="AA16" i="80"/>
  <c r="L43" i="71"/>
  <c r="T43" i="71"/>
  <c r="AB72" i="80"/>
  <c r="AB16" i="80"/>
  <c r="R72" i="80"/>
  <c r="R16" i="80"/>
  <c r="T72" i="80"/>
  <c r="T16" i="80"/>
  <c r="U72" i="80"/>
  <c r="V72" i="80"/>
  <c r="V16" i="80"/>
  <c r="G43" i="71"/>
  <c r="O43" i="71"/>
  <c r="W72" i="80"/>
  <c r="W16" i="80"/>
  <c r="T632" i="91"/>
  <c r="M39" i="71"/>
  <c r="U39" i="71"/>
  <c r="AC68" i="80"/>
  <c r="AC12" i="80"/>
  <c r="H39" i="71"/>
  <c r="P39" i="71"/>
  <c r="X68" i="80"/>
  <c r="X12" i="80"/>
  <c r="P653" i="91"/>
  <c r="I39" i="71"/>
  <c r="Q39" i="71"/>
  <c r="Y68" i="80"/>
  <c r="Y12" i="80"/>
  <c r="J39" i="71"/>
  <c r="R39" i="71"/>
  <c r="Z68" i="80"/>
  <c r="Z12" i="80"/>
  <c r="L64" i="81"/>
  <c r="V653" i="91"/>
  <c r="K39" i="71"/>
  <c r="S39" i="71"/>
  <c r="AA68" i="80"/>
  <c r="AA12" i="80"/>
  <c r="L39" i="71"/>
  <c r="T39" i="71"/>
  <c r="AB68" i="80"/>
  <c r="AB12" i="80"/>
  <c r="R68" i="80"/>
  <c r="R12" i="80"/>
  <c r="T68" i="80"/>
  <c r="T12" i="80"/>
  <c r="L653" i="91"/>
  <c r="U68" i="80"/>
  <c r="V68" i="80"/>
  <c r="V12" i="80"/>
  <c r="G39" i="71"/>
  <c r="O39" i="71"/>
  <c r="W68" i="80"/>
  <c r="W12" i="80"/>
  <c r="T628" i="91"/>
  <c r="M46" i="71"/>
  <c r="U46" i="71"/>
  <c r="AC75" i="80"/>
  <c r="AC19" i="80"/>
  <c r="H46" i="71"/>
  <c r="P46" i="71"/>
  <c r="X75" i="80"/>
  <c r="X19" i="80"/>
  <c r="I46" i="71"/>
  <c r="Q46" i="71"/>
  <c r="Y75" i="80"/>
  <c r="Y19" i="80"/>
  <c r="J46" i="71"/>
  <c r="R46" i="71"/>
  <c r="L71" i="81"/>
  <c r="Z75" i="80"/>
  <c r="Z19" i="80"/>
  <c r="K46" i="71"/>
  <c r="S46" i="71"/>
  <c r="AA75" i="80"/>
  <c r="AA19" i="80"/>
  <c r="L46" i="71"/>
  <c r="T46" i="71"/>
  <c r="AB75" i="80"/>
  <c r="AB19" i="80"/>
  <c r="T75" i="80"/>
  <c r="T19" i="80"/>
  <c r="U75" i="80"/>
  <c r="V75" i="80"/>
  <c r="V19" i="80"/>
  <c r="R75" i="80"/>
  <c r="R19" i="80"/>
  <c r="G46" i="71"/>
  <c r="O46" i="71"/>
  <c r="W75" i="80"/>
  <c r="W19" i="80"/>
  <c r="T635" i="91"/>
  <c r="M42" i="71"/>
  <c r="U42" i="71"/>
  <c r="AC71" i="80"/>
  <c r="AC15" i="80"/>
  <c r="H42" i="71"/>
  <c r="P42" i="71"/>
  <c r="X71" i="80"/>
  <c r="X15" i="80"/>
  <c r="I42" i="71"/>
  <c r="Q42" i="71"/>
  <c r="Y71" i="80"/>
  <c r="Y15" i="80"/>
  <c r="J42" i="71"/>
  <c r="R42" i="71"/>
  <c r="L67" i="81"/>
  <c r="Z71" i="80"/>
  <c r="Z15" i="80"/>
  <c r="K42" i="71"/>
  <c r="S42" i="71"/>
  <c r="AA71" i="80"/>
  <c r="AA15" i="80"/>
  <c r="L42" i="71"/>
  <c r="T42" i="71"/>
  <c r="AB71" i="80"/>
  <c r="AB15" i="80"/>
  <c r="R71" i="80"/>
  <c r="R15" i="80"/>
  <c r="T71" i="80"/>
  <c r="T15" i="80"/>
  <c r="U71" i="80"/>
  <c r="V71" i="80"/>
  <c r="V15" i="80"/>
  <c r="G42" i="71"/>
  <c r="O42" i="71"/>
  <c r="W71" i="80"/>
  <c r="W15" i="80"/>
  <c r="T631" i="91"/>
  <c r="U25" i="80"/>
  <c r="U27" i="80"/>
  <c r="U29" i="80"/>
  <c r="U35" i="80"/>
  <c r="U33" i="80"/>
  <c r="U31" i="80"/>
  <c r="J63" i="71"/>
  <c r="R63" i="71"/>
  <c r="Z92" i="80"/>
  <c r="Z36" i="80"/>
  <c r="H63" i="71"/>
  <c r="P63" i="71"/>
  <c r="X92" i="80"/>
  <c r="X36" i="80"/>
  <c r="X651" i="91"/>
  <c r="N651" i="91"/>
  <c r="V91" i="80"/>
  <c r="V35" i="80"/>
  <c r="J651" i="91"/>
  <c r="J61" i="71"/>
  <c r="R61" i="71"/>
  <c r="Z90" i="80"/>
  <c r="Z34" i="80"/>
  <c r="H61" i="71"/>
  <c r="P61" i="71"/>
  <c r="X90" i="80"/>
  <c r="X34" i="80"/>
  <c r="J649" i="91"/>
  <c r="H59" i="71"/>
  <c r="P59" i="71"/>
  <c r="X88" i="80"/>
  <c r="X32" i="80"/>
  <c r="X647" i="91"/>
  <c r="N647" i="91"/>
  <c r="V87" i="80"/>
  <c r="V31" i="80"/>
  <c r="J647" i="91"/>
  <c r="J57" i="71"/>
  <c r="R57" i="71"/>
  <c r="Z86" i="80"/>
  <c r="Z30" i="80"/>
  <c r="H57" i="71"/>
  <c r="P57" i="71"/>
  <c r="X86" i="80"/>
  <c r="X30" i="80"/>
  <c r="X645" i="91"/>
  <c r="N645" i="91"/>
  <c r="V85" i="80"/>
  <c r="V29" i="80"/>
  <c r="J645" i="91"/>
  <c r="J55" i="71"/>
  <c r="R55" i="71"/>
  <c r="Z84" i="80"/>
  <c r="Z28" i="80"/>
  <c r="H55" i="71"/>
  <c r="P55" i="71"/>
  <c r="X84" i="80"/>
  <c r="X28" i="80"/>
  <c r="L54" i="71"/>
  <c r="T54" i="71"/>
  <c r="AB83" i="80"/>
  <c r="AB27" i="80"/>
  <c r="N643" i="91"/>
  <c r="V83" i="80"/>
  <c r="V27" i="80"/>
  <c r="J643" i="91"/>
  <c r="J53" i="71"/>
  <c r="R53" i="71"/>
  <c r="Z82" i="80"/>
  <c r="Z26" i="80"/>
  <c r="H53" i="71"/>
  <c r="P53" i="71"/>
  <c r="X82" i="80"/>
  <c r="X26" i="80"/>
  <c r="L52" i="71"/>
  <c r="T52" i="71"/>
  <c r="AB81" i="80"/>
  <c r="AB25" i="80"/>
  <c r="J641" i="91"/>
  <c r="J51" i="71"/>
  <c r="R51" i="71"/>
  <c r="L76" i="81"/>
  <c r="Z80" i="80"/>
  <c r="Z24" i="80"/>
  <c r="H51" i="71"/>
  <c r="P51" i="71"/>
  <c r="X80" i="80"/>
  <c r="X24" i="80"/>
  <c r="L50" i="71"/>
  <c r="T50" i="71"/>
  <c r="AB79" i="80"/>
  <c r="AB23" i="80"/>
  <c r="J49" i="71"/>
  <c r="R49" i="71"/>
  <c r="L74" i="81"/>
  <c r="Z78" i="80"/>
  <c r="Z22" i="80"/>
  <c r="H49" i="71"/>
  <c r="P49" i="71"/>
  <c r="X78" i="80"/>
  <c r="X22" i="80"/>
  <c r="H62" i="71"/>
  <c r="P62" i="71"/>
  <c r="X91" i="80"/>
  <c r="X35" i="80"/>
  <c r="X649" i="91"/>
  <c r="N649" i="91"/>
  <c r="V89" i="80"/>
  <c r="V33" i="80"/>
  <c r="J59" i="71"/>
  <c r="R59" i="71"/>
  <c r="Z88" i="80"/>
  <c r="Z32" i="80"/>
  <c r="Y652" i="91"/>
  <c r="U652" i="91"/>
  <c r="O652" i="91"/>
  <c r="K652" i="91"/>
  <c r="W651" i="91"/>
  <c r="R651" i="91"/>
  <c r="Y650" i="91"/>
  <c r="U650" i="91"/>
  <c r="O650" i="91"/>
  <c r="K650" i="91"/>
  <c r="W649" i="91"/>
  <c r="R649" i="91"/>
  <c r="Y648" i="91"/>
  <c r="U648" i="91"/>
  <c r="O648" i="91"/>
  <c r="K648" i="91"/>
  <c r="W647" i="91"/>
  <c r="R647" i="91"/>
  <c r="Y646" i="91"/>
  <c r="U646" i="91"/>
  <c r="O646" i="91"/>
  <c r="L82" i="81"/>
  <c r="K646" i="91"/>
  <c r="W645" i="91"/>
  <c r="R645" i="91"/>
  <c r="Y644" i="91"/>
  <c r="U644" i="91"/>
  <c r="O644" i="91"/>
  <c r="L80" i="81"/>
  <c r="K644" i="91"/>
  <c r="W643" i="91"/>
  <c r="R643" i="91"/>
  <c r="Y642" i="91"/>
  <c r="U642" i="91"/>
  <c r="O642" i="91"/>
  <c r="K642" i="91"/>
  <c r="W641" i="91"/>
  <c r="R641" i="91"/>
  <c r="M51" i="71"/>
  <c r="U51" i="71"/>
  <c r="AC80" i="80"/>
  <c r="AC24" i="80"/>
  <c r="I51" i="71"/>
  <c r="Q51" i="71"/>
  <c r="Y80" i="80"/>
  <c r="Y24" i="80"/>
  <c r="G51" i="71"/>
  <c r="O51" i="71"/>
  <c r="W80" i="80"/>
  <c r="W24" i="80"/>
  <c r="K50" i="71"/>
  <c r="S50" i="71"/>
  <c r="AA79" i="80"/>
  <c r="AA23" i="80"/>
  <c r="U23" i="80"/>
  <c r="M49" i="71"/>
  <c r="U49" i="71"/>
  <c r="AC78" i="80"/>
  <c r="AC22" i="80"/>
  <c r="I49" i="71"/>
  <c r="Q49" i="71"/>
  <c r="Y78" i="80"/>
  <c r="Y22" i="80"/>
  <c r="G49" i="71"/>
  <c r="O49" i="71"/>
  <c r="W78" i="80"/>
  <c r="W22" i="80"/>
  <c r="DK221" i="91"/>
  <c r="J62" i="71"/>
  <c r="R62" i="71"/>
  <c r="Z91" i="80"/>
  <c r="Z35" i="80"/>
  <c r="J60" i="71"/>
  <c r="R60" i="71"/>
  <c r="Z89" i="80"/>
  <c r="Z33" i="80"/>
  <c r="H60" i="71"/>
  <c r="P60" i="71"/>
  <c r="X89" i="80"/>
  <c r="X33" i="80"/>
  <c r="L57" i="71"/>
  <c r="T57" i="71"/>
  <c r="AB86" i="80"/>
  <c r="AB30" i="80"/>
  <c r="J54" i="71"/>
  <c r="R54" i="71"/>
  <c r="Z83" i="80"/>
  <c r="Z27" i="80"/>
  <c r="H54" i="71"/>
  <c r="P54" i="71"/>
  <c r="X83" i="80"/>
  <c r="X27" i="80"/>
  <c r="L53" i="71"/>
  <c r="T53" i="71"/>
  <c r="AB82" i="80"/>
  <c r="AB26" i="80"/>
  <c r="J52" i="71"/>
  <c r="R52" i="71"/>
  <c r="Z81" i="80"/>
  <c r="Z25" i="80"/>
  <c r="H52" i="71"/>
  <c r="P52" i="71"/>
  <c r="X81" i="80"/>
  <c r="X25" i="80"/>
  <c r="L51" i="71"/>
  <c r="T51" i="71"/>
  <c r="AB80" i="80"/>
  <c r="AB24" i="80"/>
  <c r="J640" i="91"/>
  <c r="J653" i="91"/>
  <c r="J50" i="71"/>
  <c r="R50" i="71"/>
  <c r="L75" i="81"/>
  <c r="Z79" i="80"/>
  <c r="Z23" i="80"/>
  <c r="H50" i="71"/>
  <c r="P50" i="71"/>
  <c r="X79" i="80"/>
  <c r="X23" i="80"/>
  <c r="L49" i="71"/>
  <c r="T49" i="71"/>
  <c r="AB78" i="80"/>
  <c r="AB22" i="80"/>
  <c r="T638" i="91"/>
  <c r="L63" i="71"/>
  <c r="T63" i="71"/>
  <c r="AB92" i="80"/>
  <c r="AB36" i="80"/>
  <c r="L61" i="71"/>
  <c r="T61" i="71"/>
  <c r="AB90" i="80"/>
  <c r="AB34" i="80"/>
  <c r="L59" i="71"/>
  <c r="T59" i="71"/>
  <c r="AB88" i="80"/>
  <c r="AB32" i="80"/>
  <c r="J58" i="71"/>
  <c r="R58" i="71"/>
  <c r="Z87" i="80"/>
  <c r="Z31" i="80"/>
  <c r="H58" i="71"/>
  <c r="P58" i="71"/>
  <c r="X87" i="80"/>
  <c r="X31" i="80"/>
  <c r="J56" i="71"/>
  <c r="R56" i="71"/>
  <c r="Z85" i="80"/>
  <c r="Z29" i="80"/>
  <c r="H56" i="71"/>
  <c r="P56" i="71"/>
  <c r="X85" i="80"/>
  <c r="X29" i="80"/>
  <c r="L55" i="71"/>
  <c r="T55" i="71"/>
  <c r="AB84" i="80"/>
  <c r="AB28" i="80"/>
  <c r="W652" i="91"/>
  <c r="R652" i="91"/>
  <c r="M652" i="91"/>
  <c r="U92" i="80"/>
  <c r="Y651" i="91"/>
  <c r="U651" i="91"/>
  <c r="O651" i="91"/>
  <c r="K651" i="91"/>
  <c r="W650" i="91"/>
  <c r="R650" i="91"/>
  <c r="M650" i="91"/>
  <c r="U90" i="80"/>
  <c r="Y649" i="91"/>
  <c r="U649" i="91"/>
  <c r="O649" i="91"/>
  <c r="K649" i="91"/>
  <c r="W648" i="91"/>
  <c r="R648" i="91"/>
  <c r="M648" i="91"/>
  <c r="U88" i="80"/>
  <c r="Y647" i="91"/>
  <c r="U647" i="91"/>
  <c r="O647" i="91"/>
  <c r="L83" i="81"/>
  <c r="K647" i="91"/>
  <c r="W646" i="91"/>
  <c r="R646" i="91"/>
  <c r="M646" i="91"/>
  <c r="U86" i="80"/>
  <c r="Y645" i="91"/>
  <c r="U645" i="91"/>
  <c r="O645" i="91"/>
  <c r="L81" i="81"/>
  <c r="K645" i="91"/>
  <c r="W644" i="91"/>
  <c r="R644" i="91"/>
  <c r="M644" i="91"/>
  <c r="U84" i="80"/>
  <c r="Y643" i="91"/>
  <c r="U643" i="91"/>
  <c r="O643" i="91"/>
  <c r="K643" i="91"/>
  <c r="W642" i="91"/>
  <c r="R642" i="91"/>
  <c r="M642" i="91"/>
  <c r="U82" i="80"/>
  <c r="Y641" i="91"/>
  <c r="U641" i="91"/>
  <c r="O641" i="91"/>
  <c r="K641" i="91"/>
  <c r="K51" i="71"/>
  <c r="S51" i="71"/>
  <c r="AA80" i="80"/>
  <c r="AA24" i="80"/>
  <c r="S80" i="80"/>
  <c r="S24" i="80"/>
  <c r="U24" i="80"/>
  <c r="M50" i="71"/>
  <c r="U50" i="71"/>
  <c r="AC79" i="80"/>
  <c r="AC23" i="80"/>
  <c r="I50" i="71"/>
  <c r="Q50" i="71"/>
  <c r="Y79" i="80"/>
  <c r="Y23" i="80"/>
  <c r="G50" i="71"/>
  <c r="O50" i="71"/>
  <c r="W79" i="80"/>
  <c r="W23" i="80"/>
  <c r="K49" i="71"/>
  <c r="S49" i="71"/>
  <c r="AA78" i="80"/>
  <c r="AA22" i="80"/>
  <c r="S78" i="80"/>
  <c r="S22" i="80"/>
  <c r="U22" i="80"/>
  <c r="A659" i="91"/>
  <c r="G659" i="91"/>
  <c r="H659" i="91"/>
  <c r="Z659" i="91"/>
  <c r="A660" i="91"/>
  <c r="G660" i="91"/>
  <c r="H660" i="91"/>
  <c r="Z660" i="91"/>
  <c r="A661" i="91"/>
  <c r="G661" i="91"/>
  <c r="H661" i="91"/>
  <c r="Z661" i="91"/>
  <c r="A662" i="91"/>
  <c r="G662" i="91"/>
  <c r="H662" i="91"/>
  <c r="Z662" i="91"/>
  <c r="A663" i="91"/>
  <c r="G663" i="91"/>
  <c r="H663" i="91"/>
  <c r="Z663" i="91"/>
  <c r="A664" i="91"/>
  <c r="G664" i="91"/>
  <c r="H664" i="91"/>
  <c r="Z664" i="91"/>
  <c r="A665" i="91"/>
  <c r="G665" i="91"/>
  <c r="H665" i="91"/>
  <c r="Z665" i="91"/>
  <c r="A666" i="91"/>
  <c r="G666" i="91"/>
  <c r="H666" i="91"/>
  <c r="Z666" i="91"/>
  <c r="A667" i="91"/>
  <c r="G667" i="91"/>
  <c r="H667" i="91"/>
  <c r="Z667" i="91"/>
  <c r="A668" i="91"/>
  <c r="G668" i="91"/>
  <c r="H668" i="91"/>
  <c r="Z668" i="91"/>
  <c r="A669" i="91"/>
  <c r="G669" i="91"/>
  <c r="H669" i="91"/>
  <c r="J669" i="91"/>
  <c r="K669" i="91"/>
  <c r="L669" i="91"/>
  <c r="AG78" i="80"/>
  <c r="AG22" i="80"/>
  <c r="M669" i="91"/>
  <c r="AH78" i="80"/>
  <c r="N669" i="91"/>
  <c r="AI78" i="80"/>
  <c r="AI22" i="80"/>
  <c r="O669" i="91"/>
  <c r="AJ78" i="80"/>
  <c r="AJ22" i="80"/>
  <c r="P669" i="91"/>
  <c r="AK78" i="80"/>
  <c r="AK22" i="80"/>
  <c r="R669" i="91"/>
  <c r="U669" i="91"/>
  <c r="AL78" i="80"/>
  <c r="AL22" i="80"/>
  <c r="V669" i="91"/>
  <c r="W669" i="91"/>
  <c r="AN78" i="80"/>
  <c r="AN22" i="80"/>
  <c r="X669" i="91"/>
  <c r="AO78" i="80"/>
  <c r="AO22" i="80"/>
  <c r="Y669" i="91"/>
  <c r="AP78" i="80"/>
  <c r="AP22" i="80"/>
  <c r="Z669" i="91"/>
  <c r="A670" i="91"/>
  <c r="G670" i="91"/>
  <c r="H670" i="91"/>
  <c r="K670" i="91"/>
  <c r="L670" i="91"/>
  <c r="AG79" i="80"/>
  <c r="AG23" i="80"/>
  <c r="M670" i="91"/>
  <c r="AH79" i="80"/>
  <c r="O670" i="91"/>
  <c r="AJ79" i="80"/>
  <c r="AJ23" i="80"/>
  <c r="P670" i="91"/>
  <c r="AK79" i="80"/>
  <c r="AK23" i="80"/>
  <c r="R670" i="91"/>
  <c r="U670" i="91"/>
  <c r="AL79" i="80"/>
  <c r="AL23" i="80"/>
  <c r="V670" i="91"/>
  <c r="W670" i="91"/>
  <c r="AN79" i="80"/>
  <c r="AN23" i="80"/>
  <c r="X670" i="91"/>
  <c r="AO79" i="80"/>
  <c r="AO23" i="80"/>
  <c r="Y670" i="91"/>
  <c r="AP79" i="80"/>
  <c r="AP23" i="80"/>
  <c r="Z670" i="91"/>
  <c r="A671" i="91"/>
  <c r="G671" i="91"/>
  <c r="H671" i="91"/>
  <c r="J671" i="91"/>
  <c r="K671" i="91"/>
  <c r="L671" i="91"/>
  <c r="AG80" i="80"/>
  <c r="AG24" i="80"/>
  <c r="M671" i="91"/>
  <c r="AH80" i="80"/>
  <c r="N671" i="91"/>
  <c r="AI80" i="80"/>
  <c r="AI24" i="80"/>
  <c r="O671" i="91"/>
  <c r="AJ80" i="80"/>
  <c r="AJ24" i="80"/>
  <c r="P671" i="91"/>
  <c r="AK80" i="80"/>
  <c r="AK24" i="80"/>
  <c r="R671" i="91"/>
  <c r="U671" i="91"/>
  <c r="AL80" i="80"/>
  <c r="AL24" i="80"/>
  <c r="V671" i="91"/>
  <c r="W671" i="91"/>
  <c r="AN80" i="80"/>
  <c r="AN24" i="80"/>
  <c r="X671" i="91"/>
  <c r="AO80" i="80"/>
  <c r="AO24" i="80"/>
  <c r="Y671" i="91"/>
  <c r="AP80" i="80"/>
  <c r="AP24" i="80"/>
  <c r="Z671" i="91"/>
  <c r="A672" i="91"/>
  <c r="G672" i="91"/>
  <c r="H672" i="91"/>
  <c r="K672" i="91"/>
  <c r="L672" i="91"/>
  <c r="AG81" i="80"/>
  <c r="AG25" i="80"/>
  <c r="M672" i="91"/>
  <c r="AH81" i="80"/>
  <c r="O672" i="91"/>
  <c r="AJ81" i="80"/>
  <c r="AJ25" i="80"/>
  <c r="P672" i="91"/>
  <c r="AK81" i="80"/>
  <c r="AK25" i="80"/>
  <c r="R672" i="91"/>
  <c r="U672" i="91"/>
  <c r="AL81" i="80"/>
  <c r="AL25" i="80"/>
  <c r="V672" i="91"/>
  <c r="W672" i="91"/>
  <c r="AN81" i="80"/>
  <c r="AN25" i="80"/>
  <c r="Y672" i="91"/>
  <c r="AP81" i="80"/>
  <c r="AP25" i="80"/>
  <c r="Z672" i="91"/>
  <c r="A673" i="91"/>
  <c r="G673" i="91"/>
  <c r="H673" i="91"/>
  <c r="J673" i="91"/>
  <c r="K673" i="91"/>
  <c r="L673" i="91"/>
  <c r="AG82" i="80"/>
  <c r="AG26" i="80"/>
  <c r="M673" i="91"/>
  <c r="AH82" i="80"/>
  <c r="N673" i="91"/>
  <c r="AI82" i="80"/>
  <c r="AI26" i="80"/>
  <c r="O673" i="91"/>
  <c r="AJ82" i="80"/>
  <c r="AJ26" i="80"/>
  <c r="P673" i="91"/>
  <c r="AK82" i="80"/>
  <c r="AK26" i="80"/>
  <c r="R673" i="91"/>
  <c r="U673" i="91"/>
  <c r="AL82" i="80"/>
  <c r="AL26" i="80"/>
  <c r="V673" i="91"/>
  <c r="W673" i="91"/>
  <c r="AN82" i="80"/>
  <c r="AN26" i="80"/>
  <c r="X673" i="91"/>
  <c r="AO82" i="80"/>
  <c r="Y673" i="91"/>
  <c r="AP82" i="80"/>
  <c r="Z673" i="91"/>
  <c r="A674" i="91"/>
  <c r="G674" i="91"/>
  <c r="H674" i="91"/>
  <c r="K674" i="91"/>
  <c r="L674" i="91"/>
  <c r="AG83" i="80"/>
  <c r="AG27" i="80"/>
  <c r="M674" i="91"/>
  <c r="AH83" i="80"/>
  <c r="O674" i="91"/>
  <c r="AJ83" i="80"/>
  <c r="AJ27" i="80"/>
  <c r="P674" i="91"/>
  <c r="AK83" i="80"/>
  <c r="AK27" i="80"/>
  <c r="R674" i="91"/>
  <c r="U674" i="91"/>
  <c r="AL83" i="80"/>
  <c r="AL27" i="80"/>
  <c r="V674" i="91"/>
  <c r="W674" i="91"/>
  <c r="AN83" i="80"/>
  <c r="AN27" i="80"/>
  <c r="Y674" i="91"/>
  <c r="AP83" i="80"/>
  <c r="Z674" i="91"/>
  <c r="A675" i="91"/>
  <c r="G675" i="91"/>
  <c r="H675" i="91"/>
  <c r="J675" i="91"/>
  <c r="K675" i="91"/>
  <c r="L675" i="91"/>
  <c r="AG84" i="80"/>
  <c r="AG28" i="80"/>
  <c r="M675" i="91"/>
  <c r="AH84" i="80"/>
  <c r="N675" i="91"/>
  <c r="AI84" i="80"/>
  <c r="AI28" i="80"/>
  <c r="O675" i="91"/>
  <c r="AJ84" i="80"/>
  <c r="AJ28" i="80"/>
  <c r="P675" i="91"/>
  <c r="AK84" i="80"/>
  <c r="AK28" i="80"/>
  <c r="R675" i="91"/>
  <c r="U675" i="91"/>
  <c r="AL84" i="80"/>
  <c r="AL28" i="80"/>
  <c r="V675" i="91"/>
  <c r="W675" i="91"/>
  <c r="AN84" i="80"/>
  <c r="AN28" i="80"/>
  <c r="X675" i="91"/>
  <c r="AO84" i="80"/>
  <c r="Y675" i="91"/>
  <c r="AP84" i="80"/>
  <c r="Z675" i="91"/>
  <c r="A676" i="91"/>
  <c r="G676" i="91"/>
  <c r="H676" i="91"/>
  <c r="K676" i="91"/>
  <c r="L676" i="91"/>
  <c r="AG85" i="80"/>
  <c r="AG29" i="80"/>
  <c r="M676" i="91"/>
  <c r="AH85" i="80"/>
  <c r="O676" i="91"/>
  <c r="AJ85" i="80"/>
  <c r="AJ29" i="80"/>
  <c r="P676" i="91"/>
  <c r="AK85" i="80"/>
  <c r="AK29" i="80"/>
  <c r="R676" i="91"/>
  <c r="U676" i="91"/>
  <c r="AL85" i="80"/>
  <c r="AL29" i="80"/>
  <c r="V676" i="91"/>
  <c r="W676" i="91"/>
  <c r="AN85" i="80"/>
  <c r="AN29" i="80"/>
  <c r="Y676" i="91"/>
  <c r="AP85" i="80"/>
  <c r="Z676" i="91"/>
  <c r="A677" i="91"/>
  <c r="G677" i="91"/>
  <c r="H677" i="91"/>
  <c r="J677" i="91"/>
  <c r="K677" i="91"/>
  <c r="L677" i="91"/>
  <c r="AG86" i="80"/>
  <c r="AG30" i="80"/>
  <c r="M677" i="91"/>
  <c r="AH86" i="80"/>
  <c r="N677" i="91"/>
  <c r="AI86" i="80"/>
  <c r="AI30" i="80"/>
  <c r="O677" i="91"/>
  <c r="AJ86" i="80"/>
  <c r="AJ30" i="80"/>
  <c r="P677" i="91"/>
  <c r="AK86" i="80"/>
  <c r="AK30" i="80"/>
  <c r="R677" i="91"/>
  <c r="U677" i="91"/>
  <c r="AL86" i="80"/>
  <c r="AL30" i="80"/>
  <c r="V677" i="91"/>
  <c r="W677" i="91"/>
  <c r="AN86" i="80"/>
  <c r="AN30" i="80"/>
  <c r="X677" i="91"/>
  <c r="AO86" i="80"/>
  <c r="Y677" i="91"/>
  <c r="AP86" i="80"/>
  <c r="Z677" i="91"/>
  <c r="A678" i="91"/>
  <c r="G678" i="91"/>
  <c r="H678" i="91"/>
  <c r="K678" i="91"/>
  <c r="L678" i="91"/>
  <c r="AG87" i="80"/>
  <c r="AG31" i="80"/>
  <c r="M678" i="91"/>
  <c r="AH87" i="80"/>
  <c r="O678" i="91"/>
  <c r="AJ87" i="80"/>
  <c r="AJ31" i="80"/>
  <c r="P678" i="91"/>
  <c r="AK87" i="80"/>
  <c r="AK31" i="80"/>
  <c r="R678" i="91"/>
  <c r="U678" i="91"/>
  <c r="AL87" i="80"/>
  <c r="AL31" i="80"/>
  <c r="V678" i="91"/>
  <c r="W678" i="91"/>
  <c r="AN87" i="80"/>
  <c r="AN31" i="80"/>
  <c r="Y678" i="91"/>
  <c r="AP87" i="80"/>
  <c r="Z678" i="91"/>
  <c r="A679" i="91"/>
  <c r="G679" i="91"/>
  <c r="H679" i="91"/>
  <c r="J679" i="91"/>
  <c r="K679" i="91"/>
  <c r="L679" i="91"/>
  <c r="AG88" i="80"/>
  <c r="AG32" i="80"/>
  <c r="M679" i="91"/>
  <c r="AH88" i="80"/>
  <c r="N679" i="91"/>
  <c r="AI88" i="80"/>
  <c r="AI32" i="80"/>
  <c r="O679" i="91"/>
  <c r="AJ88" i="80"/>
  <c r="AJ32" i="80"/>
  <c r="P679" i="91"/>
  <c r="AK88" i="80"/>
  <c r="AK32" i="80"/>
  <c r="R679" i="91"/>
  <c r="U679" i="91"/>
  <c r="AL88" i="80"/>
  <c r="AL32" i="80"/>
  <c r="V679" i="91"/>
  <c r="W679" i="91"/>
  <c r="AN88" i="80"/>
  <c r="AN32" i="80"/>
  <c r="X679" i="91"/>
  <c r="AO88" i="80"/>
  <c r="Y679" i="91"/>
  <c r="AP88" i="80"/>
  <c r="Z679" i="91"/>
  <c r="A680" i="91"/>
  <c r="G680" i="91"/>
  <c r="H680" i="91"/>
  <c r="K680" i="91"/>
  <c r="L680" i="91"/>
  <c r="AG89" i="80"/>
  <c r="AG33" i="80"/>
  <c r="M680" i="91"/>
  <c r="AH89" i="80"/>
  <c r="O680" i="91"/>
  <c r="AJ89" i="80"/>
  <c r="AJ33" i="80"/>
  <c r="P680" i="91"/>
  <c r="AK89" i="80"/>
  <c r="AK33" i="80"/>
  <c r="R680" i="91"/>
  <c r="U680" i="91"/>
  <c r="AL89" i="80"/>
  <c r="AL33" i="80"/>
  <c r="V680" i="91"/>
  <c r="W680" i="91"/>
  <c r="AN89" i="80"/>
  <c r="AN33" i="80"/>
  <c r="Y680" i="91"/>
  <c r="AP89" i="80"/>
  <c r="Z680" i="91"/>
  <c r="A681" i="91"/>
  <c r="G681" i="91"/>
  <c r="H681" i="91"/>
  <c r="J681" i="91"/>
  <c r="K681" i="91"/>
  <c r="L681" i="91"/>
  <c r="AG90" i="80"/>
  <c r="AG34" i="80"/>
  <c r="M681" i="91"/>
  <c r="AH90" i="80"/>
  <c r="N681" i="91"/>
  <c r="AI90" i="80"/>
  <c r="AI34" i="80"/>
  <c r="O681" i="91"/>
  <c r="AJ90" i="80"/>
  <c r="AJ34" i="80"/>
  <c r="P681" i="91"/>
  <c r="AK90" i="80"/>
  <c r="AK34" i="80"/>
  <c r="R681" i="91"/>
  <c r="U681" i="91"/>
  <c r="AL90" i="80"/>
  <c r="AL34" i="80"/>
  <c r="V681" i="91"/>
  <c r="W681" i="91"/>
  <c r="AN90" i="80"/>
  <c r="AN34" i="80"/>
  <c r="X681" i="91"/>
  <c r="AO90" i="80"/>
  <c r="Y681" i="91"/>
  <c r="AP90" i="80"/>
  <c r="Z681" i="91"/>
  <c r="A682" i="91"/>
  <c r="G682" i="91"/>
  <c r="H682" i="91"/>
  <c r="K682" i="91"/>
  <c r="L682" i="91"/>
  <c r="AG91" i="80"/>
  <c r="AG35" i="80"/>
  <c r="M682" i="91"/>
  <c r="AH91" i="80"/>
  <c r="O682" i="91"/>
  <c r="AJ91" i="80"/>
  <c r="AJ35" i="80"/>
  <c r="P682" i="91"/>
  <c r="AK91" i="80"/>
  <c r="AK35" i="80"/>
  <c r="R682" i="91"/>
  <c r="U682" i="91"/>
  <c r="AL91" i="80"/>
  <c r="AL35" i="80"/>
  <c r="V682" i="91"/>
  <c r="W682" i="91"/>
  <c r="AN91" i="80"/>
  <c r="AN35" i="80"/>
  <c r="Y682" i="91"/>
  <c r="AP91" i="80"/>
  <c r="Z682" i="91"/>
  <c r="A683" i="91"/>
  <c r="G683" i="91"/>
  <c r="H683" i="91"/>
  <c r="J683" i="91"/>
  <c r="K683" i="91"/>
  <c r="L683" i="91"/>
  <c r="AG92" i="80"/>
  <c r="AG36" i="80"/>
  <c r="M683" i="91"/>
  <c r="AH92" i="80"/>
  <c r="N683" i="91"/>
  <c r="AI92" i="80"/>
  <c r="AI36" i="80"/>
  <c r="O683" i="91"/>
  <c r="AJ92" i="80"/>
  <c r="AJ36" i="80"/>
  <c r="P683" i="91"/>
  <c r="AK92" i="80"/>
  <c r="AK36" i="80"/>
  <c r="R683" i="91"/>
  <c r="U683" i="91"/>
  <c r="AL92" i="80"/>
  <c r="AL36" i="80"/>
  <c r="V683" i="91"/>
  <c r="W683" i="91"/>
  <c r="AN92" i="80"/>
  <c r="AN36" i="80"/>
  <c r="X683" i="91"/>
  <c r="AO92" i="80"/>
  <c r="AO26" i="80"/>
  <c r="Y683" i="91"/>
  <c r="AP92" i="80"/>
  <c r="AP26" i="80"/>
  <c r="Z683" i="91"/>
  <c r="D688" i="91"/>
  <c r="D719" i="91"/>
  <c r="G689" i="91"/>
  <c r="A690" i="91"/>
  <c r="G690" i="91"/>
  <c r="H690" i="91"/>
  <c r="A691" i="91"/>
  <c r="G691" i="91"/>
  <c r="H691" i="91"/>
  <c r="A692" i="91"/>
  <c r="G692" i="91"/>
  <c r="H692" i="91"/>
  <c r="A693" i="91"/>
  <c r="G693" i="91"/>
  <c r="H693" i="91"/>
  <c r="A694" i="91"/>
  <c r="G694" i="91"/>
  <c r="H694" i="91"/>
  <c r="A695" i="91"/>
  <c r="G695" i="91"/>
  <c r="H695" i="91"/>
  <c r="A696" i="91"/>
  <c r="G696" i="91"/>
  <c r="H696" i="91"/>
  <c r="A697" i="91"/>
  <c r="G697" i="91"/>
  <c r="H697" i="91"/>
  <c r="A698" i="91"/>
  <c r="G698" i="91"/>
  <c r="H698" i="91"/>
  <c r="A699" i="91"/>
  <c r="G699" i="91"/>
  <c r="H699" i="91"/>
  <c r="A700" i="91"/>
  <c r="G700" i="91"/>
  <c r="H700" i="91"/>
  <c r="A701" i="91"/>
  <c r="G701" i="91"/>
  <c r="H701" i="91"/>
  <c r="A702" i="91"/>
  <c r="G702" i="91"/>
  <c r="H702" i="91"/>
  <c r="A703" i="91"/>
  <c r="G703" i="91"/>
  <c r="H703" i="91"/>
  <c r="A704" i="91"/>
  <c r="G704" i="91"/>
  <c r="H704" i="91"/>
  <c r="A705" i="91"/>
  <c r="G705" i="91"/>
  <c r="H705" i="91"/>
  <c r="A706" i="91"/>
  <c r="G706" i="91"/>
  <c r="H706" i="91"/>
  <c r="A707" i="91"/>
  <c r="G707" i="91"/>
  <c r="H707" i="91"/>
  <c r="A708" i="91"/>
  <c r="G708" i="91"/>
  <c r="H708" i="91"/>
  <c r="A709" i="91"/>
  <c r="G709" i="91"/>
  <c r="H709" i="91"/>
  <c r="A710" i="91"/>
  <c r="G710" i="91"/>
  <c r="H710" i="91"/>
  <c r="A711" i="91"/>
  <c r="G711" i="91"/>
  <c r="H711" i="91"/>
  <c r="A712" i="91"/>
  <c r="G712" i="91"/>
  <c r="H712" i="91"/>
  <c r="A713" i="91"/>
  <c r="G713" i="91"/>
  <c r="H713" i="91"/>
  <c r="A714" i="91"/>
  <c r="G714" i="91"/>
  <c r="H714" i="91"/>
  <c r="G720" i="91"/>
  <c r="A721" i="91"/>
  <c r="G721" i="91"/>
  <c r="H721" i="91"/>
  <c r="A722" i="91"/>
  <c r="G722" i="91"/>
  <c r="H722" i="91"/>
  <c r="A723" i="91"/>
  <c r="G723" i="91"/>
  <c r="H723" i="91"/>
  <c r="A724" i="91"/>
  <c r="G724" i="91"/>
  <c r="H724" i="91"/>
  <c r="A725" i="91"/>
  <c r="G725" i="91"/>
  <c r="H725" i="91"/>
  <c r="A726" i="91"/>
  <c r="G726" i="91"/>
  <c r="H726" i="91"/>
  <c r="A727" i="91"/>
  <c r="G727" i="91"/>
  <c r="H727" i="91"/>
  <c r="A728" i="91"/>
  <c r="G728" i="91"/>
  <c r="H728" i="91"/>
  <c r="A729" i="91"/>
  <c r="G729" i="91"/>
  <c r="H729" i="91"/>
  <c r="A730" i="91"/>
  <c r="G730" i="91"/>
  <c r="H730" i="91"/>
  <c r="A731" i="91"/>
  <c r="G731" i="91"/>
  <c r="H731" i="91"/>
  <c r="A732" i="91"/>
  <c r="G732" i="91"/>
  <c r="H732" i="91"/>
  <c r="A733" i="91"/>
  <c r="G733" i="91"/>
  <c r="H733" i="91"/>
  <c r="A734" i="91"/>
  <c r="G734" i="91"/>
  <c r="H734" i="91"/>
  <c r="A735" i="91"/>
  <c r="G735" i="91"/>
  <c r="H735" i="91"/>
  <c r="A736" i="91"/>
  <c r="G736" i="91"/>
  <c r="H736" i="91"/>
  <c r="A737" i="91"/>
  <c r="G737" i="91"/>
  <c r="H737" i="91"/>
  <c r="A738" i="91"/>
  <c r="G738" i="91"/>
  <c r="H738" i="91"/>
  <c r="A739" i="91"/>
  <c r="G739" i="91"/>
  <c r="H739" i="91"/>
  <c r="A740" i="91"/>
  <c r="G740" i="91"/>
  <c r="H740" i="91"/>
  <c r="A741" i="91"/>
  <c r="G741" i="91"/>
  <c r="H741" i="91"/>
  <c r="A742" i="91"/>
  <c r="G742" i="91"/>
  <c r="H742" i="91"/>
  <c r="A743" i="91"/>
  <c r="G743" i="91"/>
  <c r="H743" i="91"/>
  <c r="A744" i="91"/>
  <c r="G744" i="91"/>
  <c r="H744" i="91"/>
  <c r="A745" i="91"/>
  <c r="G745" i="91"/>
  <c r="H745" i="91"/>
  <c r="G751" i="91"/>
  <c r="A752" i="91"/>
  <c r="G752" i="91"/>
  <c r="H752" i="91"/>
  <c r="A753" i="91"/>
  <c r="G753" i="91"/>
  <c r="H753" i="91"/>
  <c r="A754" i="91"/>
  <c r="G754" i="91"/>
  <c r="H754" i="91"/>
  <c r="A755" i="91"/>
  <c r="G755" i="91"/>
  <c r="H755" i="91"/>
  <c r="A756" i="91"/>
  <c r="G756" i="91"/>
  <c r="H756" i="91"/>
  <c r="A757" i="91"/>
  <c r="G757" i="91"/>
  <c r="H757" i="91"/>
  <c r="A758" i="91"/>
  <c r="G758" i="91"/>
  <c r="H758" i="91"/>
  <c r="A759" i="91"/>
  <c r="G759" i="91"/>
  <c r="H759" i="91"/>
  <c r="A760" i="91"/>
  <c r="G760" i="91"/>
  <c r="H760" i="91"/>
  <c r="A761" i="91"/>
  <c r="G761" i="91"/>
  <c r="H761" i="91"/>
  <c r="A762" i="91"/>
  <c r="G762" i="91"/>
  <c r="H762" i="91"/>
  <c r="A763" i="91"/>
  <c r="G763" i="91"/>
  <c r="H763" i="91"/>
  <c r="A764" i="91"/>
  <c r="G764" i="91"/>
  <c r="H764" i="91"/>
  <c r="A765" i="91"/>
  <c r="G765" i="91"/>
  <c r="H765" i="91"/>
  <c r="A766" i="91"/>
  <c r="G766" i="91"/>
  <c r="H766" i="91"/>
  <c r="A767" i="91"/>
  <c r="G767" i="91"/>
  <c r="H767" i="91"/>
  <c r="A768" i="91"/>
  <c r="G768" i="91"/>
  <c r="H768" i="91"/>
  <c r="A769" i="91"/>
  <c r="G769" i="91"/>
  <c r="H769" i="91"/>
  <c r="A770" i="91"/>
  <c r="G770" i="91"/>
  <c r="H770" i="91"/>
  <c r="A771" i="91"/>
  <c r="G771" i="91"/>
  <c r="H771" i="91"/>
  <c r="A772" i="91"/>
  <c r="G772" i="91"/>
  <c r="H772" i="91"/>
  <c r="A773" i="91"/>
  <c r="G773" i="91"/>
  <c r="H773" i="91"/>
  <c r="A774" i="91"/>
  <c r="G774" i="91"/>
  <c r="H774" i="91"/>
  <c r="A775" i="91"/>
  <c r="G775" i="91"/>
  <c r="H775" i="91"/>
  <c r="A776" i="91"/>
  <c r="G776" i="91"/>
  <c r="H776" i="91"/>
  <c r="G782" i="91"/>
  <c r="J782" i="91"/>
  <c r="A783" i="91"/>
  <c r="G783" i="91"/>
  <c r="H783" i="91"/>
  <c r="Z783" i="91"/>
  <c r="A784" i="91"/>
  <c r="G784" i="91"/>
  <c r="H784" i="91"/>
  <c r="Z784" i="91"/>
  <c r="A785" i="91"/>
  <c r="G785" i="91"/>
  <c r="H785" i="91"/>
  <c r="Z785" i="91"/>
  <c r="A786" i="91"/>
  <c r="G786" i="91"/>
  <c r="H786" i="91"/>
  <c r="Z786" i="91"/>
  <c r="A787" i="91"/>
  <c r="G787" i="91"/>
  <c r="H787" i="91"/>
  <c r="Z787" i="91"/>
  <c r="A788" i="91"/>
  <c r="G788" i="91"/>
  <c r="H788" i="91"/>
  <c r="Z788" i="91"/>
  <c r="A789" i="91"/>
  <c r="G789" i="91"/>
  <c r="H789" i="91"/>
  <c r="Z789" i="91"/>
  <c r="A790" i="91"/>
  <c r="G790" i="91"/>
  <c r="H790" i="91"/>
  <c r="Z790" i="91"/>
  <c r="A791" i="91"/>
  <c r="G791" i="91"/>
  <c r="H791" i="91"/>
  <c r="Z791" i="91"/>
  <c r="A792" i="91"/>
  <c r="G792" i="91"/>
  <c r="H792" i="91"/>
  <c r="Z792" i="91"/>
  <c r="A793" i="91"/>
  <c r="G793" i="91"/>
  <c r="J793" i="91"/>
  <c r="H793" i="91"/>
  <c r="K793" i="91"/>
  <c r="L793" i="91"/>
  <c r="M793" i="91"/>
  <c r="O793" i="91"/>
  <c r="G78" i="71"/>
  <c r="O78" i="71"/>
  <c r="P793" i="91"/>
  <c r="H78" i="71"/>
  <c r="P78" i="71"/>
  <c r="V793" i="91"/>
  <c r="J78" i="71"/>
  <c r="R78" i="71"/>
  <c r="W793" i="91"/>
  <c r="K78" i="71"/>
  <c r="S78" i="71"/>
  <c r="X793" i="91"/>
  <c r="L78" i="71"/>
  <c r="T78" i="71"/>
  <c r="Z793" i="91"/>
  <c r="A794" i="91"/>
  <c r="G794" i="91"/>
  <c r="M794" i="91"/>
  <c r="H794" i="91"/>
  <c r="L794" i="91"/>
  <c r="P794" i="91"/>
  <c r="H79" i="71"/>
  <c r="P79" i="71"/>
  <c r="W794" i="91"/>
  <c r="K79" i="71"/>
  <c r="S79" i="71"/>
  <c r="Z794" i="91"/>
  <c r="A795" i="91"/>
  <c r="G795" i="91"/>
  <c r="H795" i="91"/>
  <c r="J795" i="91"/>
  <c r="K795" i="91"/>
  <c r="L795" i="91"/>
  <c r="M795" i="91"/>
  <c r="N795" i="91"/>
  <c r="O795" i="91"/>
  <c r="G80" i="71"/>
  <c r="O80" i="71"/>
  <c r="P795" i="91"/>
  <c r="H80" i="71"/>
  <c r="P80" i="71"/>
  <c r="U795" i="91"/>
  <c r="I80" i="71"/>
  <c r="Q80" i="71"/>
  <c r="V795" i="91"/>
  <c r="J80" i="71"/>
  <c r="R80" i="71"/>
  <c r="W795" i="91"/>
  <c r="K80" i="71"/>
  <c r="S80" i="71"/>
  <c r="X795" i="91"/>
  <c r="L80" i="71"/>
  <c r="T80" i="71"/>
  <c r="Y795" i="91"/>
  <c r="M80" i="71"/>
  <c r="U80" i="71"/>
  <c r="Z795" i="91"/>
  <c r="A796" i="91"/>
  <c r="G796" i="91"/>
  <c r="K796" i="91"/>
  <c r="H796" i="91"/>
  <c r="J796" i="91"/>
  <c r="L796" i="91"/>
  <c r="N796" i="91"/>
  <c r="P796" i="91"/>
  <c r="H81" i="71"/>
  <c r="P81" i="71"/>
  <c r="U796" i="91"/>
  <c r="I81" i="71"/>
  <c r="Q81" i="71"/>
  <c r="W796" i="91"/>
  <c r="K81" i="71"/>
  <c r="S81" i="71"/>
  <c r="Y796" i="91"/>
  <c r="M81" i="71"/>
  <c r="U81" i="71"/>
  <c r="Z796" i="91"/>
  <c r="A797" i="91"/>
  <c r="G797" i="91"/>
  <c r="J797" i="91"/>
  <c r="H797" i="91"/>
  <c r="K797" i="91"/>
  <c r="L797" i="91"/>
  <c r="M797" i="91"/>
  <c r="O797" i="91"/>
  <c r="G82" i="71"/>
  <c r="O82" i="71"/>
  <c r="P797" i="91"/>
  <c r="H82" i="71"/>
  <c r="P82" i="71"/>
  <c r="V797" i="91"/>
  <c r="J82" i="71"/>
  <c r="R82" i="71"/>
  <c r="W797" i="91"/>
  <c r="K82" i="71"/>
  <c r="S82" i="71"/>
  <c r="X797" i="91"/>
  <c r="L82" i="71"/>
  <c r="T82" i="71"/>
  <c r="Z797" i="91"/>
  <c r="A798" i="91"/>
  <c r="G798" i="91"/>
  <c r="M798" i="91"/>
  <c r="H798" i="91"/>
  <c r="L798" i="91"/>
  <c r="P798" i="91"/>
  <c r="H83" i="71"/>
  <c r="P83" i="71"/>
  <c r="W798" i="91"/>
  <c r="K83" i="71"/>
  <c r="S83" i="71"/>
  <c r="Z798" i="91"/>
  <c r="A799" i="91"/>
  <c r="G799" i="91"/>
  <c r="H799" i="91"/>
  <c r="J799" i="91"/>
  <c r="K799" i="91"/>
  <c r="L799" i="91"/>
  <c r="M799" i="91"/>
  <c r="N799" i="91"/>
  <c r="O799" i="91"/>
  <c r="G84" i="71"/>
  <c r="O84" i="71"/>
  <c r="P799" i="91"/>
  <c r="H84" i="71"/>
  <c r="P84" i="71"/>
  <c r="U799" i="91"/>
  <c r="I84" i="71"/>
  <c r="Q84" i="71"/>
  <c r="V799" i="91"/>
  <c r="J84" i="71"/>
  <c r="R84" i="71"/>
  <c r="W799" i="91"/>
  <c r="K84" i="71"/>
  <c r="S84" i="71"/>
  <c r="X799" i="91"/>
  <c r="L84" i="71"/>
  <c r="T84" i="71"/>
  <c r="Y799" i="91"/>
  <c r="M84" i="71"/>
  <c r="U84" i="71"/>
  <c r="Z799" i="91"/>
  <c r="A800" i="91"/>
  <c r="G800" i="91"/>
  <c r="K800" i="91"/>
  <c r="H800" i="91"/>
  <c r="J800" i="91"/>
  <c r="L800" i="91"/>
  <c r="N800" i="91"/>
  <c r="P800" i="91"/>
  <c r="H85" i="71"/>
  <c r="P85" i="71"/>
  <c r="U800" i="91"/>
  <c r="I85" i="71"/>
  <c r="Q85" i="71"/>
  <c r="W800" i="91"/>
  <c r="K85" i="71"/>
  <c r="S85" i="71"/>
  <c r="Y800" i="91"/>
  <c r="M85" i="71"/>
  <c r="U85" i="71"/>
  <c r="Z800" i="91"/>
  <c r="A801" i="91"/>
  <c r="G801" i="91"/>
  <c r="J801" i="91"/>
  <c r="H801" i="91"/>
  <c r="K801" i="91"/>
  <c r="L801" i="91"/>
  <c r="M801" i="91"/>
  <c r="O801" i="91"/>
  <c r="G86" i="71"/>
  <c r="O86" i="71"/>
  <c r="P801" i="91"/>
  <c r="H86" i="71"/>
  <c r="P86" i="71"/>
  <c r="V801" i="91"/>
  <c r="J86" i="71"/>
  <c r="R86" i="71"/>
  <c r="W801" i="91"/>
  <c r="K86" i="71"/>
  <c r="S86" i="71"/>
  <c r="X801" i="91"/>
  <c r="L86" i="71"/>
  <c r="T86" i="71"/>
  <c r="Z801" i="91"/>
  <c r="A802" i="91"/>
  <c r="G802" i="91"/>
  <c r="M802" i="91"/>
  <c r="H802" i="91"/>
  <c r="L802" i="91"/>
  <c r="P802" i="91"/>
  <c r="H87" i="71"/>
  <c r="P87" i="71"/>
  <c r="W802" i="91"/>
  <c r="K87" i="71"/>
  <c r="S87" i="71"/>
  <c r="Z802" i="91"/>
  <c r="A803" i="91"/>
  <c r="G803" i="91"/>
  <c r="H803" i="91"/>
  <c r="J803" i="91"/>
  <c r="K803" i="91"/>
  <c r="L803" i="91"/>
  <c r="M803" i="91"/>
  <c r="N803" i="91"/>
  <c r="O803" i="91"/>
  <c r="G88" i="71"/>
  <c r="O88" i="71"/>
  <c r="P803" i="91"/>
  <c r="H88" i="71"/>
  <c r="P88" i="71"/>
  <c r="U803" i="91"/>
  <c r="I88" i="71"/>
  <c r="Q88" i="71"/>
  <c r="V803" i="91"/>
  <c r="J88" i="71"/>
  <c r="R88" i="71"/>
  <c r="W803" i="91"/>
  <c r="K88" i="71"/>
  <c r="S88" i="71"/>
  <c r="X803" i="91"/>
  <c r="L88" i="71"/>
  <c r="T88" i="71"/>
  <c r="Y803" i="91"/>
  <c r="M88" i="71"/>
  <c r="U88" i="71"/>
  <c r="Z803" i="91"/>
  <c r="A804" i="91"/>
  <c r="G804" i="91"/>
  <c r="K804" i="91"/>
  <c r="H804" i="91"/>
  <c r="J804" i="91"/>
  <c r="L804" i="91"/>
  <c r="N804" i="91"/>
  <c r="P804" i="91"/>
  <c r="H89" i="71"/>
  <c r="P89" i="71"/>
  <c r="U804" i="91"/>
  <c r="I89" i="71"/>
  <c r="Q89" i="71"/>
  <c r="W804" i="91"/>
  <c r="K89" i="71"/>
  <c r="S89" i="71"/>
  <c r="Y804" i="91"/>
  <c r="M89" i="71"/>
  <c r="U89" i="71"/>
  <c r="Z804" i="91"/>
  <c r="A805" i="91"/>
  <c r="G805" i="91"/>
  <c r="J805" i="91"/>
  <c r="H805" i="91"/>
  <c r="K805" i="91"/>
  <c r="L805" i="91"/>
  <c r="M805" i="91"/>
  <c r="O805" i="91"/>
  <c r="G90" i="71"/>
  <c r="O90" i="71"/>
  <c r="P805" i="91"/>
  <c r="H90" i="71"/>
  <c r="P90" i="71"/>
  <c r="V805" i="91"/>
  <c r="J90" i="71"/>
  <c r="R90" i="71"/>
  <c r="W805" i="91"/>
  <c r="K90" i="71"/>
  <c r="S90" i="71"/>
  <c r="X805" i="91"/>
  <c r="L90" i="71"/>
  <c r="T90" i="71"/>
  <c r="Z805" i="91"/>
  <c r="A806" i="91"/>
  <c r="G806" i="91"/>
  <c r="M806" i="91"/>
  <c r="H806" i="91"/>
  <c r="L806" i="91"/>
  <c r="P806" i="91"/>
  <c r="H91" i="71"/>
  <c r="P91" i="71"/>
  <c r="W806" i="91"/>
  <c r="K91" i="71"/>
  <c r="S91" i="71"/>
  <c r="Z806" i="91"/>
  <c r="A807" i="91"/>
  <c r="G807" i="91"/>
  <c r="H807" i="91"/>
  <c r="J807" i="91"/>
  <c r="K807" i="91"/>
  <c r="L807" i="91"/>
  <c r="M807" i="91"/>
  <c r="N807" i="91"/>
  <c r="O807" i="91"/>
  <c r="G92" i="71"/>
  <c r="O92" i="71"/>
  <c r="P807" i="91"/>
  <c r="H92" i="71"/>
  <c r="P92" i="71"/>
  <c r="U807" i="91"/>
  <c r="I92" i="71"/>
  <c r="Q92" i="71"/>
  <c r="V807" i="91"/>
  <c r="J92" i="71"/>
  <c r="R92" i="71"/>
  <c r="W807" i="91"/>
  <c r="K92" i="71"/>
  <c r="S92" i="71"/>
  <c r="X807" i="91"/>
  <c r="L92" i="71"/>
  <c r="T92" i="71"/>
  <c r="Y807" i="91"/>
  <c r="M92" i="71"/>
  <c r="U92" i="71"/>
  <c r="Z807" i="91"/>
  <c r="G813" i="91"/>
  <c r="H813" i="91"/>
  <c r="J813" i="91"/>
  <c r="M693" i="91"/>
  <c r="P693" i="91"/>
  <c r="N693" i="91"/>
  <c r="K693" i="91"/>
  <c r="L693" i="91"/>
  <c r="O693" i="91"/>
  <c r="K697" i="91"/>
  <c r="O697" i="91"/>
  <c r="N697" i="91"/>
  <c r="L697" i="91"/>
  <c r="P697" i="91"/>
  <c r="M697" i="91"/>
  <c r="M701" i="91"/>
  <c r="L701" i="91"/>
  <c r="P701" i="91"/>
  <c r="K701" i="91"/>
  <c r="N701" i="91"/>
  <c r="O701" i="91"/>
  <c r="L705" i="91"/>
  <c r="N705" i="91"/>
  <c r="M705" i="91"/>
  <c r="O705" i="91"/>
  <c r="K705" i="91"/>
  <c r="P705" i="91"/>
  <c r="M709" i="91"/>
  <c r="K709" i="91"/>
  <c r="O709" i="91"/>
  <c r="P709" i="91"/>
  <c r="L709" i="91"/>
  <c r="N709" i="91"/>
  <c r="N713" i="91"/>
  <c r="K713" i="91"/>
  <c r="M713" i="91"/>
  <c r="L713" i="91"/>
  <c r="P713" i="91"/>
  <c r="O713" i="91"/>
  <c r="P724" i="91"/>
  <c r="N724" i="91"/>
  <c r="O724" i="91"/>
  <c r="K724" i="91"/>
  <c r="L724" i="91"/>
  <c r="M724" i="91"/>
  <c r="M728" i="91"/>
  <c r="N728" i="91"/>
  <c r="P728" i="91"/>
  <c r="O728" i="91"/>
  <c r="L728" i="91"/>
  <c r="K728" i="91"/>
  <c r="L732" i="91"/>
  <c r="P732" i="91"/>
  <c r="O732" i="91"/>
  <c r="N732" i="91"/>
  <c r="K732" i="91"/>
  <c r="M732" i="91"/>
  <c r="L736" i="91"/>
  <c r="O736" i="91"/>
  <c r="K736" i="91"/>
  <c r="P736" i="91"/>
  <c r="M736" i="91"/>
  <c r="N736" i="91"/>
  <c r="N740" i="91"/>
  <c r="P740" i="91"/>
  <c r="K740" i="91"/>
  <c r="L740" i="91"/>
  <c r="O740" i="91"/>
  <c r="M740" i="91"/>
  <c r="N744" i="91"/>
  <c r="K744" i="91"/>
  <c r="O744" i="91"/>
  <c r="P744" i="91"/>
  <c r="M744" i="91"/>
  <c r="L744" i="91"/>
  <c r="M755" i="91"/>
  <c r="L755" i="91"/>
  <c r="N755" i="91"/>
  <c r="P755" i="91"/>
  <c r="K755" i="91"/>
  <c r="O755" i="91"/>
  <c r="N759" i="91"/>
  <c r="M759" i="91"/>
  <c r="L759" i="91"/>
  <c r="O759" i="91"/>
  <c r="K759" i="91"/>
  <c r="P759" i="91"/>
  <c r="O763" i="91"/>
  <c r="N763" i="91"/>
  <c r="L763" i="91"/>
  <c r="P763" i="91"/>
  <c r="M763" i="91"/>
  <c r="K763" i="91"/>
  <c r="K767" i="91"/>
  <c r="O767" i="91"/>
  <c r="L767" i="91"/>
  <c r="N767" i="91"/>
  <c r="M767" i="91"/>
  <c r="P767" i="91"/>
  <c r="M771" i="91"/>
  <c r="P771" i="91"/>
  <c r="N771" i="91"/>
  <c r="L771" i="91"/>
  <c r="K771" i="91"/>
  <c r="O771" i="91"/>
  <c r="P775" i="91"/>
  <c r="M775" i="91"/>
  <c r="L775" i="91"/>
  <c r="O775" i="91"/>
  <c r="K775" i="91"/>
  <c r="N775" i="91"/>
  <c r="DK255" i="91"/>
  <c r="DK229" i="91"/>
  <c r="DK238" i="91"/>
  <c r="DK268" i="91"/>
  <c r="DK254" i="91"/>
  <c r="DK226" i="91"/>
  <c r="DK256" i="91"/>
  <c r="DK237" i="91"/>
  <c r="DK267" i="91"/>
  <c r="DK260" i="91"/>
  <c r="DK241" i="91"/>
  <c r="DK236" i="91"/>
  <c r="DK277" i="91"/>
  <c r="DK271" i="91"/>
  <c r="DK245" i="91"/>
  <c r="DK270" i="91"/>
  <c r="DK258" i="91"/>
  <c r="DK262" i="91"/>
  <c r="N692" i="91"/>
  <c r="P692" i="91"/>
  <c r="L692" i="91"/>
  <c r="K692" i="91"/>
  <c r="M692" i="91"/>
  <c r="O692" i="91"/>
  <c r="N696" i="91"/>
  <c r="L696" i="91"/>
  <c r="P696" i="91"/>
  <c r="M696" i="91"/>
  <c r="K696" i="91"/>
  <c r="O696" i="91"/>
  <c r="M700" i="91"/>
  <c r="L700" i="91"/>
  <c r="P700" i="91"/>
  <c r="N700" i="91"/>
  <c r="O700" i="91"/>
  <c r="K700" i="91"/>
  <c r="M704" i="91"/>
  <c r="L704" i="91"/>
  <c r="P704" i="91"/>
  <c r="O704" i="91"/>
  <c r="N704" i="91"/>
  <c r="K704" i="91"/>
  <c r="M708" i="91"/>
  <c r="N708" i="91"/>
  <c r="L708" i="91"/>
  <c r="K708" i="91"/>
  <c r="P708" i="91"/>
  <c r="O708" i="91"/>
  <c r="L712" i="91"/>
  <c r="M712" i="91"/>
  <c r="K712" i="91"/>
  <c r="O712" i="91"/>
  <c r="P712" i="91"/>
  <c r="N712" i="91"/>
  <c r="L723" i="91"/>
  <c r="N723" i="91"/>
  <c r="P723" i="91"/>
  <c r="K723" i="91"/>
  <c r="M723" i="91"/>
  <c r="O723" i="91"/>
  <c r="N727" i="91"/>
  <c r="K727" i="91"/>
  <c r="P727" i="91"/>
  <c r="L727" i="91"/>
  <c r="O727" i="91"/>
  <c r="M727" i="91"/>
  <c r="M731" i="91"/>
  <c r="N731" i="91"/>
  <c r="P731" i="91"/>
  <c r="K731" i="91"/>
  <c r="O731" i="91"/>
  <c r="L731" i="91"/>
  <c r="N735" i="91"/>
  <c r="P735" i="91"/>
  <c r="M735" i="91"/>
  <c r="O735" i="91"/>
  <c r="K735" i="91"/>
  <c r="L735" i="91"/>
  <c r="L739" i="91"/>
  <c r="M739" i="91"/>
  <c r="K739" i="91"/>
  <c r="N739" i="91"/>
  <c r="O739" i="91"/>
  <c r="P739" i="91"/>
  <c r="P743" i="91"/>
  <c r="L743" i="91"/>
  <c r="M743" i="91"/>
  <c r="O743" i="91"/>
  <c r="K743" i="91"/>
  <c r="N743" i="91"/>
  <c r="M754" i="91"/>
  <c r="K754" i="91"/>
  <c r="O754" i="91"/>
  <c r="L754" i="91"/>
  <c r="P754" i="91"/>
  <c r="N754" i="91"/>
  <c r="K758" i="91"/>
  <c r="N758" i="91"/>
  <c r="L758" i="91"/>
  <c r="M758" i="91"/>
  <c r="P758" i="91"/>
  <c r="O758" i="91"/>
  <c r="P762" i="91"/>
  <c r="N762" i="91"/>
  <c r="O762" i="91"/>
  <c r="M762" i="91"/>
  <c r="L762" i="91"/>
  <c r="K762" i="91"/>
  <c r="N766" i="91"/>
  <c r="O766" i="91"/>
  <c r="L766" i="91"/>
  <c r="M766" i="91"/>
  <c r="K766" i="91"/>
  <c r="P766" i="91"/>
  <c r="M770" i="91"/>
  <c r="P770" i="91"/>
  <c r="K770" i="91"/>
  <c r="O770" i="91"/>
  <c r="N770" i="91"/>
  <c r="L770" i="91"/>
  <c r="L774" i="91"/>
  <c r="N774" i="91"/>
  <c r="K774" i="91"/>
  <c r="O774" i="91"/>
  <c r="P774" i="91"/>
  <c r="M774" i="91"/>
  <c r="DK264" i="91"/>
  <c r="DK228" i="91"/>
  <c r="DK275" i="91"/>
  <c r="DK247" i="91"/>
  <c r="DK233" i="91"/>
  <c r="DK263" i="91"/>
  <c r="DK235" i="91"/>
  <c r="DK265" i="91"/>
  <c r="DK246" i="91"/>
  <c r="DK239" i="91"/>
  <c r="DK225" i="91"/>
  <c r="DK240" i="91"/>
  <c r="DK224" i="91"/>
  <c r="DK230" i="91"/>
  <c r="DK269" i="91"/>
  <c r="M691" i="91"/>
  <c r="O691" i="91"/>
  <c r="K691" i="91"/>
  <c r="N691" i="91"/>
  <c r="L691" i="91"/>
  <c r="P691" i="91"/>
  <c r="P695" i="91"/>
  <c r="N695" i="91"/>
  <c r="O695" i="91"/>
  <c r="K695" i="91"/>
  <c r="L695" i="91"/>
  <c r="M695" i="91"/>
  <c r="L699" i="91"/>
  <c r="M699" i="91"/>
  <c r="N699" i="91"/>
  <c r="P699" i="91"/>
  <c r="K699" i="91"/>
  <c r="O699" i="91"/>
  <c r="K703" i="91"/>
  <c r="M703" i="91"/>
  <c r="O703" i="91"/>
  <c r="P703" i="91"/>
  <c r="N703" i="91"/>
  <c r="L703" i="91"/>
  <c r="N707" i="91"/>
  <c r="O707" i="91"/>
  <c r="P707" i="91"/>
  <c r="M707" i="91"/>
  <c r="L707" i="91"/>
  <c r="K707" i="91"/>
  <c r="O711" i="91"/>
  <c r="N711" i="91"/>
  <c r="P711" i="91"/>
  <c r="L711" i="91"/>
  <c r="K711" i="91"/>
  <c r="M711" i="91"/>
  <c r="P722" i="91"/>
  <c r="L722" i="91"/>
  <c r="M722" i="91"/>
  <c r="N722" i="91"/>
  <c r="O722" i="91"/>
  <c r="K722" i="91"/>
  <c r="M726" i="91"/>
  <c r="P726" i="91"/>
  <c r="K726" i="91"/>
  <c r="L726" i="91"/>
  <c r="O726" i="91"/>
  <c r="N726" i="91"/>
  <c r="K730" i="91"/>
  <c r="M730" i="91"/>
  <c r="L730" i="91"/>
  <c r="O730" i="91"/>
  <c r="N730" i="91"/>
  <c r="P730" i="91"/>
  <c r="O734" i="91"/>
  <c r="N734" i="91"/>
  <c r="K734" i="91"/>
  <c r="L734" i="91"/>
  <c r="P734" i="91"/>
  <c r="M734" i="91"/>
  <c r="K738" i="91"/>
  <c r="N738" i="91"/>
  <c r="L738" i="91"/>
  <c r="M738" i="91"/>
  <c r="O738" i="91"/>
  <c r="P738" i="91"/>
  <c r="O742" i="91"/>
  <c r="N742" i="91"/>
  <c r="P742" i="91"/>
  <c r="L742" i="91"/>
  <c r="K742" i="91"/>
  <c r="M742" i="91"/>
  <c r="M753" i="91"/>
  <c r="K753" i="91"/>
  <c r="L753" i="91"/>
  <c r="P753" i="91"/>
  <c r="N753" i="91"/>
  <c r="O753" i="91"/>
  <c r="L757" i="91"/>
  <c r="P757" i="91"/>
  <c r="N757" i="91"/>
  <c r="K757" i="91"/>
  <c r="O757" i="91"/>
  <c r="M757" i="91"/>
  <c r="M761" i="91"/>
  <c r="L761" i="91"/>
  <c r="P761" i="91"/>
  <c r="O761" i="91"/>
  <c r="K761" i="91"/>
  <c r="N761" i="91"/>
  <c r="P765" i="91"/>
  <c r="N765" i="91"/>
  <c r="L765" i="91"/>
  <c r="K765" i="91"/>
  <c r="O765" i="91"/>
  <c r="M765" i="91"/>
  <c r="N769" i="91"/>
  <c r="L769" i="91"/>
  <c r="P769" i="91"/>
  <c r="O769" i="91"/>
  <c r="K769" i="91"/>
  <c r="M769" i="91"/>
  <c r="O773" i="91"/>
  <c r="P773" i="91"/>
  <c r="N773" i="91"/>
  <c r="K773" i="91"/>
  <c r="L773" i="91"/>
  <c r="M773" i="91"/>
  <c r="DK234" i="91"/>
  <c r="DK243" i="91"/>
  <c r="DK266" i="91"/>
  <c r="DK259" i="91"/>
  <c r="DK244" i="91"/>
  <c r="DK232" i="91"/>
  <c r="DK242" i="91"/>
  <c r="DK274" i="91"/>
  <c r="DK248" i="91"/>
  <c r="DK223" i="91"/>
  <c r="DK278" i="91"/>
  <c r="DK279" i="91"/>
  <c r="DK273" i="91"/>
  <c r="DK227" i="91"/>
  <c r="DK231" i="91"/>
  <c r="DK257" i="91"/>
  <c r="DK276" i="91"/>
  <c r="K690" i="91"/>
  <c r="L690" i="91"/>
  <c r="M690" i="91"/>
  <c r="N690" i="91"/>
  <c r="O690" i="91"/>
  <c r="P690" i="91"/>
  <c r="P694" i="91"/>
  <c r="L694" i="91"/>
  <c r="N694" i="91"/>
  <c r="K694" i="91"/>
  <c r="O694" i="91"/>
  <c r="M694" i="91"/>
  <c r="O698" i="91"/>
  <c r="L698" i="91"/>
  <c r="N698" i="91"/>
  <c r="K698" i="91"/>
  <c r="P698" i="91"/>
  <c r="M698" i="91"/>
  <c r="K702" i="91"/>
  <c r="L702" i="91"/>
  <c r="M702" i="91"/>
  <c r="P702" i="91"/>
  <c r="N702" i="91"/>
  <c r="O702" i="91"/>
  <c r="N706" i="91"/>
  <c r="L706" i="91"/>
  <c r="P706" i="91"/>
  <c r="K706" i="91"/>
  <c r="M706" i="91"/>
  <c r="O706" i="91"/>
  <c r="L710" i="91"/>
  <c r="O710" i="91"/>
  <c r="P710" i="91"/>
  <c r="N710" i="91"/>
  <c r="M710" i="91"/>
  <c r="K710" i="91"/>
  <c r="M714" i="91"/>
  <c r="L714" i="91"/>
  <c r="K714" i="91"/>
  <c r="N714" i="91"/>
  <c r="O714" i="91"/>
  <c r="P714" i="91"/>
  <c r="N721" i="91"/>
  <c r="L721" i="91"/>
  <c r="K721" i="91"/>
  <c r="P721" i="91"/>
  <c r="M721" i="91"/>
  <c r="O721" i="91"/>
  <c r="N725" i="91"/>
  <c r="K725" i="91"/>
  <c r="P725" i="91"/>
  <c r="L725" i="91"/>
  <c r="O725" i="91"/>
  <c r="M725" i="91"/>
  <c r="P729" i="91"/>
  <c r="O729" i="91"/>
  <c r="K729" i="91"/>
  <c r="M729" i="91"/>
  <c r="L729" i="91"/>
  <c r="N729" i="91"/>
  <c r="N733" i="91"/>
  <c r="O733" i="91"/>
  <c r="L733" i="91"/>
  <c r="K733" i="91"/>
  <c r="P733" i="91"/>
  <c r="M733" i="91"/>
  <c r="M737" i="91"/>
  <c r="O737" i="91"/>
  <c r="K737" i="91"/>
  <c r="N737" i="91"/>
  <c r="L737" i="91"/>
  <c r="P737" i="91"/>
  <c r="L741" i="91"/>
  <c r="M741" i="91"/>
  <c r="O741" i="91"/>
  <c r="K741" i="91"/>
  <c r="P741" i="91"/>
  <c r="N741" i="91"/>
  <c r="L745" i="91"/>
  <c r="M745" i="91"/>
  <c r="P745" i="91"/>
  <c r="N745" i="91"/>
  <c r="K745" i="91"/>
  <c r="O745" i="91"/>
  <c r="O752" i="91"/>
  <c r="L752" i="91"/>
  <c r="N752" i="91"/>
  <c r="P752" i="91"/>
  <c r="K752" i="91"/>
  <c r="M752" i="91"/>
  <c r="K756" i="91"/>
  <c r="O756" i="91"/>
  <c r="M756" i="91"/>
  <c r="L756" i="91"/>
  <c r="P756" i="91"/>
  <c r="N756" i="91"/>
  <c r="P760" i="91"/>
  <c r="L760" i="91"/>
  <c r="O760" i="91"/>
  <c r="K760" i="91"/>
  <c r="M760" i="91"/>
  <c r="N760" i="91"/>
  <c r="M764" i="91"/>
  <c r="L764" i="91"/>
  <c r="O764" i="91"/>
  <c r="N764" i="91"/>
  <c r="P764" i="91"/>
  <c r="K764" i="91"/>
  <c r="K768" i="91"/>
  <c r="P768" i="91"/>
  <c r="M768" i="91"/>
  <c r="N768" i="91"/>
  <c r="O768" i="91"/>
  <c r="L768" i="91"/>
  <c r="L772" i="91"/>
  <c r="K772" i="91"/>
  <c r="P772" i="91"/>
  <c r="O772" i="91"/>
  <c r="N772" i="91"/>
  <c r="M772" i="91"/>
  <c r="K776" i="91"/>
  <c r="P776" i="91"/>
  <c r="O776" i="91"/>
  <c r="L776" i="91"/>
  <c r="M776" i="91"/>
  <c r="N776" i="91"/>
  <c r="DK272" i="91"/>
  <c r="DK261" i="91"/>
  <c r="T801" i="91"/>
  <c r="A69" i="71"/>
  <c r="A73" i="71"/>
  <c r="A77" i="71"/>
  <c r="A70" i="71"/>
  <c r="A74" i="71"/>
  <c r="U653" i="91"/>
  <c r="T805" i="91"/>
  <c r="T793" i="91"/>
  <c r="A71" i="71"/>
  <c r="D750" i="91"/>
  <c r="W92" i="71"/>
  <c r="X92" i="71"/>
  <c r="V806" i="91"/>
  <c r="J91" i="71"/>
  <c r="R91" i="71"/>
  <c r="O806" i="91"/>
  <c r="K806" i="91"/>
  <c r="X804" i="91"/>
  <c r="L89" i="71"/>
  <c r="T89" i="71"/>
  <c r="M804" i="91"/>
  <c r="W88" i="71"/>
  <c r="X88" i="71"/>
  <c r="V802" i="91"/>
  <c r="J87" i="71"/>
  <c r="R87" i="71"/>
  <c r="O802" i="91"/>
  <c r="K802" i="91"/>
  <c r="X800" i="91"/>
  <c r="L85" i="71"/>
  <c r="T85" i="71"/>
  <c r="M800" i="91"/>
  <c r="W84" i="71"/>
  <c r="X84" i="71"/>
  <c r="V798" i="91"/>
  <c r="J83" i="71"/>
  <c r="R83" i="71"/>
  <c r="O798" i="91"/>
  <c r="K798" i="91"/>
  <c r="X796" i="91"/>
  <c r="L81" i="71"/>
  <c r="T81" i="71"/>
  <c r="M796" i="91"/>
  <c r="W80" i="71"/>
  <c r="X80" i="71"/>
  <c r="V794" i="91"/>
  <c r="J79" i="71"/>
  <c r="R79" i="71"/>
  <c r="O794" i="91"/>
  <c r="K794" i="91"/>
  <c r="T683" i="91"/>
  <c r="M87" i="81"/>
  <c r="AM91" i="80"/>
  <c r="AM35" i="80"/>
  <c r="T681" i="91"/>
  <c r="M85" i="81"/>
  <c r="AM89" i="80"/>
  <c r="AM33" i="80"/>
  <c r="T679" i="91"/>
  <c r="M83" i="81"/>
  <c r="AM87" i="80"/>
  <c r="AM31" i="80"/>
  <c r="T677" i="91"/>
  <c r="M81" i="81"/>
  <c r="AM85" i="80"/>
  <c r="AM29" i="80"/>
  <c r="T675" i="91"/>
  <c r="M79" i="81"/>
  <c r="AM83" i="80"/>
  <c r="AM27" i="80"/>
  <c r="T673" i="91"/>
  <c r="M77" i="81"/>
  <c r="AM81" i="80"/>
  <c r="AM25" i="80"/>
  <c r="T671" i="91"/>
  <c r="M75" i="81"/>
  <c r="AM79" i="80"/>
  <c r="AM23" i="80"/>
  <c r="T669" i="91"/>
  <c r="U26" i="80"/>
  <c r="G54" i="71"/>
  <c r="O54" i="71"/>
  <c r="W83" i="80"/>
  <c r="W27" i="80"/>
  <c r="T643" i="91"/>
  <c r="I56" i="71"/>
  <c r="Q56" i="71"/>
  <c r="Y85" i="80"/>
  <c r="Y29" i="80"/>
  <c r="K57" i="71"/>
  <c r="S57" i="71"/>
  <c r="AA86" i="80"/>
  <c r="AA30" i="80"/>
  <c r="M58" i="71"/>
  <c r="U58" i="71"/>
  <c r="AC87" i="80"/>
  <c r="AC31" i="80"/>
  <c r="U34" i="80"/>
  <c r="G62" i="71"/>
  <c r="O62" i="71"/>
  <c r="W91" i="80"/>
  <c r="W35" i="80"/>
  <c r="T651" i="91"/>
  <c r="I55" i="71"/>
  <c r="Q55" i="71"/>
  <c r="Y84" i="80"/>
  <c r="Y28" i="80"/>
  <c r="I59" i="71"/>
  <c r="Q59" i="71"/>
  <c r="Y88" i="80"/>
  <c r="Y32" i="80"/>
  <c r="I63" i="71"/>
  <c r="Q63" i="71"/>
  <c r="Y92" i="80"/>
  <c r="Y36" i="80"/>
  <c r="L56" i="71"/>
  <c r="T56" i="71"/>
  <c r="AB85" i="80"/>
  <c r="AB29" i="80"/>
  <c r="L58" i="71"/>
  <c r="T58" i="71"/>
  <c r="AB87" i="80"/>
  <c r="AB31" i="80"/>
  <c r="W42" i="71"/>
  <c r="X42" i="71"/>
  <c r="W46" i="71"/>
  <c r="X46" i="71"/>
  <c r="S68" i="80"/>
  <c r="S12" i="80"/>
  <c r="U12" i="80"/>
  <c r="R38" i="80"/>
  <c r="R39" i="80"/>
  <c r="R40" i="80"/>
  <c r="R41" i="80"/>
  <c r="R42" i="80"/>
  <c r="R43" i="80"/>
  <c r="A72" i="71"/>
  <c r="A76" i="71"/>
  <c r="S69" i="80"/>
  <c r="S13" i="80"/>
  <c r="U13" i="80"/>
  <c r="S73" i="80"/>
  <c r="S17" i="80"/>
  <c r="U17" i="80"/>
  <c r="S77" i="80"/>
  <c r="S21" i="80"/>
  <c r="U21" i="80"/>
  <c r="S70" i="80"/>
  <c r="S14" i="80"/>
  <c r="U14" i="80"/>
  <c r="S74" i="80"/>
  <c r="S18" i="80"/>
  <c r="U18" i="80"/>
  <c r="Y798" i="91"/>
  <c r="M83" i="71"/>
  <c r="U83" i="71"/>
  <c r="AF92" i="80"/>
  <c r="AF36" i="80"/>
  <c r="AH36" i="80"/>
  <c r="AF90" i="80"/>
  <c r="AF34" i="80"/>
  <c r="AH34" i="80"/>
  <c r="AF88" i="80"/>
  <c r="AF32" i="80"/>
  <c r="AH32" i="80"/>
  <c r="AF86" i="80"/>
  <c r="AF30" i="80"/>
  <c r="AH30" i="80"/>
  <c r="AF84" i="80"/>
  <c r="AF28" i="80"/>
  <c r="AH28" i="80"/>
  <c r="AF82" i="80"/>
  <c r="AF26" i="80"/>
  <c r="AH26" i="80"/>
  <c r="AF80" i="80"/>
  <c r="AF24" i="80"/>
  <c r="AH24" i="80"/>
  <c r="AF78" i="80"/>
  <c r="AF22" i="80"/>
  <c r="AH22" i="80"/>
  <c r="X50" i="71"/>
  <c r="W50" i="71"/>
  <c r="G52" i="71"/>
  <c r="O52" i="71"/>
  <c r="W81" i="80"/>
  <c r="T641" i="91"/>
  <c r="I54" i="71"/>
  <c r="Q54" i="71"/>
  <c r="Y83" i="80"/>
  <c r="Y27" i="80"/>
  <c r="K55" i="71"/>
  <c r="S55" i="71"/>
  <c r="AA84" i="80"/>
  <c r="AA28" i="80"/>
  <c r="M56" i="71"/>
  <c r="U56" i="71"/>
  <c r="AC85" i="80"/>
  <c r="AC29" i="80"/>
  <c r="U32" i="80"/>
  <c r="G60" i="71"/>
  <c r="O60" i="71"/>
  <c r="W89" i="80"/>
  <c r="W33" i="80"/>
  <c r="T649" i="91"/>
  <c r="I62" i="71"/>
  <c r="Q62" i="71"/>
  <c r="Y91" i="80"/>
  <c r="Y35" i="80"/>
  <c r="K63" i="71"/>
  <c r="S63" i="71"/>
  <c r="AA92" i="80"/>
  <c r="AA36" i="80"/>
  <c r="L79" i="81"/>
  <c r="DL221" i="91"/>
  <c r="X49" i="71"/>
  <c r="W49" i="71"/>
  <c r="S79" i="80"/>
  <c r="S23" i="80"/>
  <c r="A80" i="71"/>
  <c r="G53" i="71"/>
  <c r="O53" i="71"/>
  <c r="W82" i="80"/>
  <c r="W26" i="80"/>
  <c r="T642" i="91"/>
  <c r="K54" i="71"/>
  <c r="S54" i="71"/>
  <c r="AA83" i="80"/>
  <c r="AA27" i="80"/>
  <c r="M55" i="71"/>
  <c r="U55" i="71"/>
  <c r="AC84" i="80"/>
  <c r="AC28" i="80"/>
  <c r="G57" i="71"/>
  <c r="O57" i="71"/>
  <c r="W86" i="80"/>
  <c r="W30" i="80"/>
  <c r="T646" i="91"/>
  <c r="K58" i="71"/>
  <c r="S58" i="71"/>
  <c r="AA87" i="80"/>
  <c r="AA31" i="80"/>
  <c r="M59" i="71"/>
  <c r="U59" i="71"/>
  <c r="AC88" i="80"/>
  <c r="AC32" i="80"/>
  <c r="G61" i="71"/>
  <c r="O61" i="71"/>
  <c r="W90" i="80"/>
  <c r="W34" i="80"/>
  <c r="T650" i="91"/>
  <c r="U1179" i="91"/>
  <c r="Y34" i="81"/>
  <c r="K62" i="71"/>
  <c r="S62" i="71"/>
  <c r="AA91" i="80"/>
  <c r="AA35" i="80"/>
  <c r="M63" i="71"/>
  <c r="U63" i="71"/>
  <c r="AC92" i="80"/>
  <c r="AC36" i="80"/>
  <c r="S71" i="80"/>
  <c r="S15" i="80"/>
  <c r="U15" i="80"/>
  <c r="N653" i="91"/>
  <c r="X38" i="80"/>
  <c r="AB17" i="39"/>
  <c r="X39" i="80"/>
  <c r="AA17" i="39"/>
  <c r="X40" i="80"/>
  <c r="Z17" i="39"/>
  <c r="X41" i="80"/>
  <c r="Y17" i="39"/>
  <c r="X42" i="80"/>
  <c r="X17" i="39"/>
  <c r="X43" i="80"/>
  <c r="W17" i="39"/>
  <c r="X43" i="71"/>
  <c r="W43" i="71"/>
  <c r="X47" i="71"/>
  <c r="W47" i="71"/>
  <c r="T807" i="91"/>
  <c r="Y806" i="91"/>
  <c r="M91" i="71"/>
  <c r="U91" i="71"/>
  <c r="U806" i="91"/>
  <c r="I91" i="71"/>
  <c r="Q91" i="71"/>
  <c r="N806" i="91"/>
  <c r="J806" i="91"/>
  <c r="T803" i="91"/>
  <c r="Y802" i="91"/>
  <c r="M87" i="71"/>
  <c r="U87" i="71"/>
  <c r="U802" i="91"/>
  <c r="I87" i="71"/>
  <c r="Q87" i="71"/>
  <c r="N802" i="91"/>
  <c r="J802" i="91"/>
  <c r="T799" i="91"/>
  <c r="U798" i="91"/>
  <c r="I83" i="71"/>
  <c r="Q83" i="71"/>
  <c r="N798" i="91"/>
  <c r="J798" i="91"/>
  <c r="T795" i="91"/>
  <c r="Y794" i="91"/>
  <c r="M79" i="71"/>
  <c r="U79" i="71"/>
  <c r="U794" i="91"/>
  <c r="I79" i="71"/>
  <c r="Q79" i="71"/>
  <c r="N794" i="91"/>
  <c r="J794" i="91"/>
  <c r="X806" i="91"/>
  <c r="L91" i="71"/>
  <c r="T91" i="71"/>
  <c r="Y805" i="91"/>
  <c r="M90" i="71"/>
  <c r="U90" i="71"/>
  <c r="U805" i="91"/>
  <c r="I90" i="71"/>
  <c r="Q90" i="71"/>
  <c r="N805" i="91"/>
  <c r="V804" i="91"/>
  <c r="J89" i="71"/>
  <c r="R89" i="71"/>
  <c r="X89" i="71"/>
  <c r="O804" i="91"/>
  <c r="X802" i="91"/>
  <c r="L87" i="71"/>
  <c r="T87" i="71"/>
  <c r="Y801" i="91"/>
  <c r="M86" i="71"/>
  <c r="U86" i="71"/>
  <c r="U801" i="91"/>
  <c r="I86" i="71"/>
  <c r="Q86" i="71"/>
  <c r="N801" i="91"/>
  <c r="V800" i="91"/>
  <c r="J85" i="71"/>
  <c r="R85" i="71"/>
  <c r="X85" i="71"/>
  <c r="O800" i="91"/>
  <c r="X798" i="91"/>
  <c r="L83" i="71"/>
  <c r="T83" i="71"/>
  <c r="Y797" i="91"/>
  <c r="M82" i="71"/>
  <c r="U82" i="71"/>
  <c r="U797" i="91"/>
  <c r="I82" i="71"/>
  <c r="Q82" i="71"/>
  <c r="N797" i="91"/>
  <c r="V796" i="91"/>
  <c r="J81" i="71"/>
  <c r="R81" i="71"/>
  <c r="X81" i="71"/>
  <c r="O796" i="91"/>
  <c r="X794" i="91"/>
  <c r="L79" i="71"/>
  <c r="T79" i="71"/>
  <c r="Y793" i="91"/>
  <c r="M78" i="71"/>
  <c r="U78" i="71"/>
  <c r="U793" i="91"/>
  <c r="I78" i="71"/>
  <c r="Q78" i="71"/>
  <c r="N793" i="91"/>
  <c r="M88" i="81"/>
  <c r="AM92" i="80"/>
  <c r="AM36" i="80"/>
  <c r="X682" i="91"/>
  <c r="AO91" i="80"/>
  <c r="T682" i="91"/>
  <c r="N682" i="91"/>
  <c r="AI91" i="80"/>
  <c r="AI35" i="80"/>
  <c r="J682" i="91"/>
  <c r="M86" i="81"/>
  <c r="AM90" i="80"/>
  <c r="AM34" i="80"/>
  <c r="X680" i="91"/>
  <c r="AO89" i="80"/>
  <c r="T680" i="91"/>
  <c r="N680" i="91"/>
  <c r="AI89" i="80"/>
  <c r="AI33" i="80"/>
  <c r="J680" i="91"/>
  <c r="AM88" i="80"/>
  <c r="AM32" i="80"/>
  <c r="M84" i="81"/>
  <c r="X678" i="91"/>
  <c r="AO87" i="80"/>
  <c r="T678" i="91"/>
  <c r="N678" i="91"/>
  <c r="AI87" i="80"/>
  <c r="AI31" i="80"/>
  <c r="J678" i="91"/>
  <c r="M82" i="81"/>
  <c r="AM86" i="80"/>
  <c r="AM30" i="80"/>
  <c r="X676" i="91"/>
  <c r="AO85" i="80"/>
  <c r="T676" i="91"/>
  <c r="N676" i="91"/>
  <c r="AI85" i="80"/>
  <c r="AI29" i="80"/>
  <c r="J676" i="91"/>
  <c r="AM84" i="80"/>
  <c r="AM28" i="80"/>
  <c r="M80" i="81"/>
  <c r="X674" i="91"/>
  <c r="AO83" i="80"/>
  <c r="T674" i="91"/>
  <c r="N674" i="91"/>
  <c r="AI83" i="80"/>
  <c r="AI27" i="80"/>
  <c r="J674" i="91"/>
  <c r="M78" i="81"/>
  <c r="AM82" i="80"/>
  <c r="AM26" i="80"/>
  <c r="X672" i="91"/>
  <c r="AO81" i="80"/>
  <c r="AO25" i="80"/>
  <c r="T672" i="91"/>
  <c r="N672" i="91"/>
  <c r="AI81" i="80"/>
  <c r="AI25" i="80"/>
  <c r="J672" i="91"/>
  <c r="M76" i="81"/>
  <c r="AM80" i="80"/>
  <c r="AM24" i="80"/>
  <c r="T670" i="91"/>
  <c r="N670" i="91"/>
  <c r="AI79" i="80"/>
  <c r="AI23" i="80"/>
  <c r="J670" i="91"/>
  <c r="M74" i="81"/>
  <c r="AM78" i="80"/>
  <c r="AM22" i="80"/>
  <c r="I52" i="71"/>
  <c r="Q52" i="71"/>
  <c r="Y81" i="80"/>
  <c r="Y25" i="80"/>
  <c r="K53" i="71"/>
  <c r="S53" i="71"/>
  <c r="AA82" i="80"/>
  <c r="AA26" i="80"/>
  <c r="M54" i="71"/>
  <c r="U54" i="71"/>
  <c r="AC83" i="80"/>
  <c r="AC27" i="80"/>
  <c r="U30" i="80"/>
  <c r="G58" i="71"/>
  <c r="O58" i="71"/>
  <c r="W87" i="80"/>
  <c r="W31" i="80"/>
  <c r="T647" i="91"/>
  <c r="I60" i="71"/>
  <c r="Q60" i="71"/>
  <c r="Y89" i="80"/>
  <c r="Y33" i="80"/>
  <c r="K61" i="71"/>
  <c r="S61" i="71"/>
  <c r="AA90" i="80"/>
  <c r="AA34" i="80"/>
  <c r="M62" i="71"/>
  <c r="U62" i="71"/>
  <c r="AC91" i="80"/>
  <c r="AC35" i="80"/>
  <c r="L77" i="81"/>
  <c r="I53" i="71"/>
  <c r="Q53" i="71"/>
  <c r="Y82" i="80"/>
  <c r="Y26" i="80"/>
  <c r="I57" i="71"/>
  <c r="Q57" i="71"/>
  <c r="Y86" i="80"/>
  <c r="Y30" i="80"/>
  <c r="I61" i="71"/>
  <c r="Q61" i="71"/>
  <c r="Y90" i="80"/>
  <c r="Y34" i="80"/>
  <c r="L60" i="71"/>
  <c r="T60" i="71"/>
  <c r="AB89" i="80"/>
  <c r="AB33" i="80"/>
  <c r="S91" i="80"/>
  <c r="S35" i="80"/>
  <c r="S75" i="80"/>
  <c r="S19" i="80"/>
  <c r="U19" i="80"/>
  <c r="O653" i="91"/>
  <c r="V38" i="80"/>
  <c r="V39" i="80"/>
  <c r="V40" i="80"/>
  <c r="V41" i="80"/>
  <c r="V42" i="80"/>
  <c r="V43" i="80"/>
  <c r="T38" i="80"/>
  <c r="T39" i="80"/>
  <c r="T40" i="80"/>
  <c r="T41" i="80"/>
  <c r="T42" i="80"/>
  <c r="T43" i="80"/>
  <c r="X653" i="91"/>
  <c r="Z38" i="80"/>
  <c r="Z39" i="80"/>
  <c r="Z40" i="80"/>
  <c r="Z41" i="80"/>
  <c r="Z42" i="80"/>
  <c r="Z43" i="80"/>
  <c r="X39" i="71"/>
  <c r="W39" i="71"/>
  <c r="S72" i="80"/>
  <c r="S16" i="80"/>
  <c r="U16" i="80"/>
  <c r="S76" i="80"/>
  <c r="S20" i="80"/>
  <c r="U20" i="80"/>
  <c r="W89" i="71"/>
  <c r="AF91" i="80"/>
  <c r="AF35" i="80"/>
  <c r="AH35" i="80"/>
  <c r="AH33" i="80"/>
  <c r="AF87" i="80"/>
  <c r="AF31" i="80"/>
  <c r="AH31" i="80"/>
  <c r="AH29" i="80"/>
  <c r="AF83" i="80"/>
  <c r="AF27" i="80"/>
  <c r="AH27" i="80"/>
  <c r="AH25" i="80"/>
  <c r="AF79" i="80"/>
  <c r="AF23" i="80"/>
  <c r="AH23" i="80"/>
  <c r="A79" i="71"/>
  <c r="M52" i="71"/>
  <c r="U52" i="71"/>
  <c r="AC81" i="80"/>
  <c r="AC25" i="80"/>
  <c r="U28" i="80"/>
  <c r="G56" i="71"/>
  <c r="O56" i="71"/>
  <c r="W85" i="80"/>
  <c r="W29" i="80"/>
  <c r="T645" i="91"/>
  <c r="I58" i="71"/>
  <c r="Q58" i="71"/>
  <c r="Y87" i="80"/>
  <c r="Y31" i="80"/>
  <c r="K59" i="71"/>
  <c r="S59" i="71"/>
  <c r="AA88" i="80"/>
  <c r="AA32" i="80"/>
  <c r="M60" i="71"/>
  <c r="U60" i="71"/>
  <c r="AC89" i="80"/>
  <c r="AC33" i="80"/>
  <c r="U36" i="80"/>
  <c r="L85" i="81"/>
  <c r="L87" i="81"/>
  <c r="A78" i="71"/>
  <c r="W51" i="71"/>
  <c r="X51" i="71"/>
  <c r="K52" i="71"/>
  <c r="S52" i="71"/>
  <c r="AA81" i="80"/>
  <c r="AA25" i="80"/>
  <c r="M53" i="71"/>
  <c r="U53" i="71"/>
  <c r="AC82" i="80"/>
  <c r="AC26" i="80"/>
  <c r="G55" i="71"/>
  <c r="O55" i="71"/>
  <c r="A84" i="71"/>
  <c r="W84" i="80"/>
  <c r="W28" i="80"/>
  <c r="T644" i="91"/>
  <c r="K56" i="71"/>
  <c r="S56" i="71"/>
  <c r="AA85" i="80"/>
  <c r="AA29" i="80"/>
  <c r="M57" i="71"/>
  <c r="U57" i="71"/>
  <c r="AC86" i="80"/>
  <c r="AC30" i="80"/>
  <c r="G59" i="71"/>
  <c r="O59" i="71"/>
  <c r="W88" i="80"/>
  <c r="W32" i="80"/>
  <c r="T648" i="91"/>
  <c r="U1177" i="91"/>
  <c r="K60" i="71"/>
  <c r="S60" i="71"/>
  <c r="AA89" i="80"/>
  <c r="AA33" i="80"/>
  <c r="M61" i="71"/>
  <c r="U61" i="71"/>
  <c r="AC90" i="80"/>
  <c r="AC34" i="80"/>
  <c r="G63" i="71"/>
  <c r="O63" i="71"/>
  <c r="W92" i="80"/>
  <c r="W36" i="80"/>
  <c r="T652" i="91"/>
  <c r="L84" i="81"/>
  <c r="L78" i="81"/>
  <c r="L86" i="81"/>
  <c r="L62" i="71"/>
  <c r="T62" i="71"/>
  <c r="AB91" i="80"/>
  <c r="AB35" i="80"/>
  <c r="L88" i="81"/>
  <c r="A75" i="71"/>
  <c r="M653" i="91"/>
  <c r="AB40" i="80"/>
  <c r="Y653" i="91"/>
  <c r="W40" i="71"/>
  <c r="X40" i="71"/>
  <c r="W44" i="71"/>
  <c r="X44" i="71"/>
  <c r="W48" i="71"/>
  <c r="X48" i="71"/>
  <c r="X41" i="71"/>
  <c r="W41" i="71"/>
  <c r="X45" i="71"/>
  <c r="W45" i="71"/>
  <c r="A814" i="91"/>
  <c r="G814" i="91"/>
  <c r="H814" i="91"/>
  <c r="A815" i="91"/>
  <c r="G815" i="91"/>
  <c r="H815" i="91"/>
  <c r="A816" i="91"/>
  <c r="G816" i="91"/>
  <c r="H816" i="91"/>
  <c r="A817" i="91"/>
  <c r="G817" i="91"/>
  <c r="H817" i="91"/>
  <c r="A818" i="91"/>
  <c r="G818" i="91"/>
  <c r="H818" i="91"/>
  <c r="A819" i="91"/>
  <c r="G819" i="91"/>
  <c r="H819" i="91"/>
  <c r="A820" i="91"/>
  <c r="G820" i="91"/>
  <c r="H820" i="91"/>
  <c r="A821" i="91"/>
  <c r="G821" i="91"/>
  <c r="H821" i="91"/>
  <c r="A822" i="91"/>
  <c r="G822" i="91"/>
  <c r="H822" i="91"/>
  <c r="A823" i="91"/>
  <c r="G823" i="91"/>
  <c r="H823" i="91"/>
  <c r="A824" i="91"/>
  <c r="G824" i="91"/>
  <c r="K824" i="91"/>
  <c r="F62" i="82"/>
  <c r="H824" i="91"/>
  <c r="J824" i="91"/>
  <c r="L824" i="91"/>
  <c r="G62" i="82"/>
  <c r="N824" i="91"/>
  <c r="I62" i="82"/>
  <c r="P824" i="91"/>
  <c r="K62" i="82"/>
  <c r="V824" i="91"/>
  <c r="X824" i="91"/>
  <c r="A825" i="91"/>
  <c r="G825" i="91"/>
  <c r="H825" i="91"/>
  <c r="J825" i="91"/>
  <c r="K825" i="91"/>
  <c r="F63" i="82"/>
  <c r="L825" i="91"/>
  <c r="G63" i="82"/>
  <c r="M825" i="91"/>
  <c r="H63" i="82"/>
  <c r="N825" i="91"/>
  <c r="I63" i="82"/>
  <c r="O825" i="91"/>
  <c r="J63" i="82"/>
  <c r="P825" i="91"/>
  <c r="K63" i="82"/>
  <c r="U825" i="91"/>
  <c r="V825" i="91"/>
  <c r="W825" i="91"/>
  <c r="X825" i="91"/>
  <c r="Y825" i="91"/>
  <c r="A826" i="91"/>
  <c r="G826" i="91"/>
  <c r="M826" i="91"/>
  <c r="H64" i="82"/>
  <c r="H826" i="91"/>
  <c r="L826" i="91"/>
  <c r="G64" i="82"/>
  <c r="P826" i="91"/>
  <c r="K64" i="82"/>
  <c r="X826" i="91"/>
  <c r="A827" i="91"/>
  <c r="G827" i="91"/>
  <c r="H827" i="91"/>
  <c r="J827" i="91"/>
  <c r="K827" i="91"/>
  <c r="F65" i="82"/>
  <c r="L827" i="91"/>
  <c r="G65" i="82"/>
  <c r="M827" i="91"/>
  <c r="H65" i="82"/>
  <c r="N827" i="91"/>
  <c r="I65" i="82"/>
  <c r="O827" i="91"/>
  <c r="J65" i="82"/>
  <c r="P827" i="91"/>
  <c r="K65" i="82"/>
  <c r="U827" i="91"/>
  <c r="V827" i="91"/>
  <c r="W827" i="91"/>
  <c r="X827" i="91"/>
  <c r="Y827" i="91"/>
  <c r="A828" i="91"/>
  <c r="G828" i="91"/>
  <c r="K828" i="91"/>
  <c r="F66" i="82"/>
  <c r="H828" i="91"/>
  <c r="J828" i="91"/>
  <c r="L828" i="91"/>
  <c r="G66" i="82"/>
  <c r="N828" i="91"/>
  <c r="I66" i="82"/>
  <c r="P828" i="91"/>
  <c r="K66" i="82"/>
  <c r="V828" i="91"/>
  <c r="X828" i="91"/>
  <c r="A829" i="91"/>
  <c r="G829" i="91"/>
  <c r="J829" i="91"/>
  <c r="H829" i="91"/>
  <c r="K829" i="91"/>
  <c r="F67" i="82"/>
  <c r="L829" i="91"/>
  <c r="G67" i="82"/>
  <c r="M829" i="91"/>
  <c r="H67" i="82"/>
  <c r="O829" i="91"/>
  <c r="J67" i="82"/>
  <c r="P829" i="91"/>
  <c r="K67" i="82"/>
  <c r="U829" i="91"/>
  <c r="W829" i="91"/>
  <c r="X829" i="91"/>
  <c r="Y829" i="91"/>
  <c r="A830" i="91"/>
  <c r="G830" i="91"/>
  <c r="M830" i="91"/>
  <c r="H68" i="82"/>
  <c r="H830" i="91"/>
  <c r="L830" i="91"/>
  <c r="G68" i="82"/>
  <c r="P830" i="91"/>
  <c r="K68" i="82"/>
  <c r="X830" i="91"/>
  <c r="A831" i="91"/>
  <c r="G831" i="91"/>
  <c r="H831" i="91"/>
  <c r="J831" i="91"/>
  <c r="K831" i="91"/>
  <c r="F69" i="82"/>
  <c r="L831" i="91"/>
  <c r="G69" i="82"/>
  <c r="M831" i="91"/>
  <c r="H69" i="82"/>
  <c r="N831" i="91"/>
  <c r="I69" i="82"/>
  <c r="O831" i="91"/>
  <c r="J69" i="82"/>
  <c r="P831" i="91"/>
  <c r="K69" i="82"/>
  <c r="U831" i="91"/>
  <c r="V831" i="91"/>
  <c r="W831" i="91"/>
  <c r="X831" i="91"/>
  <c r="Y831" i="91"/>
  <c r="A832" i="91"/>
  <c r="G832" i="91"/>
  <c r="K832" i="91"/>
  <c r="F70" i="82"/>
  <c r="H832" i="91"/>
  <c r="J832" i="91"/>
  <c r="L832" i="91"/>
  <c r="G70" i="82"/>
  <c r="N832" i="91"/>
  <c r="I70" i="82"/>
  <c r="P832" i="91"/>
  <c r="K70" i="82"/>
  <c r="V832" i="91"/>
  <c r="X832" i="91"/>
  <c r="A833" i="91"/>
  <c r="G833" i="91"/>
  <c r="H833" i="91"/>
  <c r="J833" i="91"/>
  <c r="K833" i="91"/>
  <c r="F71" i="82"/>
  <c r="L833" i="91"/>
  <c r="G71" i="82"/>
  <c r="M833" i="91"/>
  <c r="H71" i="82"/>
  <c r="N833" i="91"/>
  <c r="I71" i="82"/>
  <c r="O833" i="91"/>
  <c r="J71" i="82"/>
  <c r="P833" i="91"/>
  <c r="K71" i="82"/>
  <c r="U833" i="91"/>
  <c r="V833" i="91"/>
  <c r="W833" i="91"/>
  <c r="X833" i="91"/>
  <c r="Y833" i="91"/>
  <c r="A834" i="91"/>
  <c r="G834" i="91"/>
  <c r="M834" i="91"/>
  <c r="H72" i="82"/>
  <c r="H834" i="91"/>
  <c r="L834" i="91"/>
  <c r="G72" i="82"/>
  <c r="P834" i="91"/>
  <c r="K72" i="82"/>
  <c r="X834" i="91"/>
  <c r="A835" i="91"/>
  <c r="G835" i="91"/>
  <c r="H835" i="91"/>
  <c r="J835" i="91"/>
  <c r="K835" i="91"/>
  <c r="F73" i="82"/>
  <c r="L835" i="91"/>
  <c r="G73" i="82"/>
  <c r="M835" i="91"/>
  <c r="H73" i="82"/>
  <c r="N835" i="91"/>
  <c r="I73" i="82"/>
  <c r="O835" i="91"/>
  <c r="J73" i="82"/>
  <c r="P835" i="91"/>
  <c r="K73" i="82"/>
  <c r="U835" i="91"/>
  <c r="V835" i="91"/>
  <c r="W835" i="91"/>
  <c r="X835" i="91"/>
  <c r="Y835" i="91"/>
  <c r="A836" i="91"/>
  <c r="G836" i="91"/>
  <c r="K836" i="91"/>
  <c r="F74" i="82"/>
  <c r="H836" i="91"/>
  <c r="J836" i="91"/>
  <c r="L836" i="91"/>
  <c r="G74" i="82"/>
  <c r="N836" i="91"/>
  <c r="I74" i="82"/>
  <c r="P836" i="91"/>
  <c r="K74" i="82"/>
  <c r="V836" i="91"/>
  <c r="X836" i="91"/>
  <c r="A837" i="91"/>
  <c r="G837" i="91"/>
  <c r="H837" i="91"/>
  <c r="J837" i="91"/>
  <c r="K837" i="91"/>
  <c r="F75" i="82"/>
  <c r="L837" i="91"/>
  <c r="G75" i="82"/>
  <c r="M837" i="91"/>
  <c r="H75" i="82"/>
  <c r="N837" i="91"/>
  <c r="I75" i="82"/>
  <c r="O837" i="91"/>
  <c r="J75" i="82"/>
  <c r="P837" i="91"/>
  <c r="K75" i="82"/>
  <c r="U837" i="91"/>
  <c r="V837" i="91"/>
  <c r="W837" i="91"/>
  <c r="X837" i="91"/>
  <c r="Y837" i="91"/>
  <c r="A838" i="91"/>
  <c r="G838" i="91"/>
  <c r="M838" i="91"/>
  <c r="H76" i="82"/>
  <c r="H838" i="91"/>
  <c r="L838" i="91"/>
  <c r="G76" i="82"/>
  <c r="P838" i="91"/>
  <c r="K76" i="82"/>
  <c r="X838" i="91"/>
  <c r="C843" i="91"/>
  <c r="C1122" i="91"/>
  <c r="C1309" i="91"/>
  <c r="C1491" i="91"/>
  <c r="C1553" i="91"/>
  <c r="G846" i="91"/>
  <c r="H846" i="91"/>
  <c r="A847" i="91"/>
  <c r="G847" i="91"/>
  <c r="H847" i="91"/>
  <c r="A848" i="91"/>
  <c r="G848" i="91"/>
  <c r="H848" i="91"/>
  <c r="A849" i="91"/>
  <c r="G849" i="91"/>
  <c r="H849" i="91"/>
  <c r="A850" i="91"/>
  <c r="G850" i="91"/>
  <c r="H850" i="91"/>
  <c r="A851" i="91"/>
  <c r="G851" i="91"/>
  <c r="H851" i="91"/>
  <c r="A852" i="91"/>
  <c r="G852" i="91"/>
  <c r="H852" i="91"/>
  <c r="A853" i="91"/>
  <c r="G853" i="91"/>
  <c r="H853" i="91"/>
  <c r="A854" i="91"/>
  <c r="G854" i="91"/>
  <c r="H854" i="91"/>
  <c r="A855" i="91"/>
  <c r="G855" i="91"/>
  <c r="H855" i="91"/>
  <c r="A856" i="91"/>
  <c r="G856" i="91"/>
  <c r="H856" i="91"/>
  <c r="A857" i="91"/>
  <c r="G857" i="91"/>
  <c r="M857" i="91"/>
  <c r="H71" i="41"/>
  <c r="H857" i="91"/>
  <c r="L857" i="91"/>
  <c r="G71" i="41"/>
  <c r="P857" i="91"/>
  <c r="K71" i="41"/>
  <c r="A858" i="91"/>
  <c r="G858" i="91"/>
  <c r="K858" i="91"/>
  <c r="F72" i="41"/>
  <c r="H858" i="91"/>
  <c r="J858" i="91"/>
  <c r="L858" i="91"/>
  <c r="G72" i="41"/>
  <c r="N858" i="91"/>
  <c r="I72" i="41"/>
  <c r="P858" i="91"/>
  <c r="K72" i="41"/>
  <c r="A859" i="91"/>
  <c r="G859" i="91"/>
  <c r="M859" i="91"/>
  <c r="H73" i="41"/>
  <c r="H859" i="91"/>
  <c r="L859" i="91"/>
  <c r="G73" i="41"/>
  <c r="P859" i="91"/>
  <c r="K73" i="41"/>
  <c r="A860" i="91"/>
  <c r="G860" i="91"/>
  <c r="K860" i="91"/>
  <c r="F74" i="41"/>
  <c r="H860" i="91"/>
  <c r="J860" i="91"/>
  <c r="L860" i="91"/>
  <c r="G74" i="41"/>
  <c r="N860" i="91"/>
  <c r="I74" i="41"/>
  <c r="P860" i="91"/>
  <c r="K74" i="41"/>
  <c r="A861" i="91"/>
  <c r="G861" i="91"/>
  <c r="M861" i="91"/>
  <c r="H75" i="41"/>
  <c r="H861" i="91"/>
  <c r="L861" i="91"/>
  <c r="G75" i="41"/>
  <c r="P861" i="91"/>
  <c r="K75" i="41"/>
  <c r="A862" i="91"/>
  <c r="G862" i="91"/>
  <c r="K862" i="91"/>
  <c r="F76" i="41"/>
  <c r="H862" i="91"/>
  <c r="J862" i="91"/>
  <c r="L862" i="91"/>
  <c r="G76" i="41"/>
  <c r="N862" i="91"/>
  <c r="I76" i="41"/>
  <c r="P862" i="91"/>
  <c r="K76" i="41"/>
  <c r="A863" i="91"/>
  <c r="G863" i="91"/>
  <c r="M863" i="91"/>
  <c r="H77" i="41"/>
  <c r="H863" i="91"/>
  <c r="L863" i="91"/>
  <c r="G77" i="41"/>
  <c r="P863" i="91"/>
  <c r="K77" i="41"/>
  <c r="A864" i="91"/>
  <c r="G864" i="91"/>
  <c r="K864" i="91"/>
  <c r="F78" i="41"/>
  <c r="H864" i="91"/>
  <c r="J864" i="91"/>
  <c r="L864" i="91"/>
  <c r="G78" i="41"/>
  <c r="N864" i="91"/>
  <c r="I78" i="41"/>
  <c r="P864" i="91"/>
  <c r="K78" i="41"/>
  <c r="A865" i="91"/>
  <c r="G865" i="91"/>
  <c r="M865" i="91"/>
  <c r="H79" i="41"/>
  <c r="H865" i="91"/>
  <c r="L865" i="91"/>
  <c r="G79" i="41"/>
  <c r="P865" i="91"/>
  <c r="K79" i="41"/>
  <c r="A866" i="91"/>
  <c r="G866" i="91"/>
  <c r="K866" i="91"/>
  <c r="F80" i="41"/>
  <c r="H866" i="91"/>
  <c r="J866" i="91"/>
  <c r="L866" i="91"/>
  <c r="G80" i="41"/>
  <c r="N866" i="91"/>
  <c r="I80" i="41"/>
  <c r="P866" i="91"/>
  <c r="K80" i="41"/>
  <c r="A867" i="91"/>
  <c r="G867" i="91"/>
  <c r="M867" i="91"/>
  <c r="H81" i="41"/>
  <c r="H867" i="91"/>
  <c r="L867" i="91"/>
  <c r="G81" i="41"/>
  <c r="P867" i="91"/>
  <c r="K81" i="41"/>
  <c r="A868" i="91"/>
  <c r="G868" i="91"/>
  <c r="K868" i="91"/>
  <c r="F82" i="41"/>
  <c r="H868" i="91"/>
  <c r="J868" i="91"/>
  <c r="L868" i="91"/>
  <c r="G82" i="41"/>
  <c r="N868" i="91"/>
  <c r="I82" i="41"/>
  <c r="P868" i="91"/>
  <c r="K82" i="41"/>
  <c r="A869" i="91"/>
  <c r="G869" i="91"/>
  <c r="M869" i="91"/>
  <c r="H83" i="41"/>
  <c r="H869" i="91"/>
  <c r="L869" i="91"/>
  <c r="G83" i="41"/>
  <c r="P869" i="91"/>
  <c r="K83" i="41"/>
  <c r="A870" i="91"/>
  <c r="G870" i="91"/>
  <c r="K870" i="91"/>
  <c r="F84" i="41"/>
  <c r="H870" i="91"/>
  <c r="J870" i="91"/>
  <c r="L870" i="91"/>
  <c r="G84" i="41"/>
  <c r="N870" i="91"/>
  <c r="I84" i="41"/>
  <c r="P870" i="91"/>
  <c r="K84" i="41"/>
  <c r="A871" i="91"/>
  <c r="G871" i="91"/>
  <c r="M871" i="91"/>
  <c r="H85" i="41"/>
  <c r="H871" i="91"/>
  <c r="L871" i="91"/>
  <c r="G85" i="41"/>
  <c r="P871" i="91"/>
  <c r="K85" i="41"/>
  <c r="G877" i="91"/>
  <c r="P877" i="91"/>
  <c r="A878" i="91"/>
  <c r="G878" i="91"/>
  <c r="H878" i="91"/>
  <c r="A879" i="91"/>
  <c r="G879" i="91"/>
  <c r="H879" i="91"/>
  <c r="A880" i="91"/>
  <c r="G880" i="91"/>
  <c r="H880" i="91"/>
  <c r="A881" i="91"/>
  <c r="G881" i="91"/>
  <c r="H881" i="91"/>
  <c r="A882" i="91"/>
  <c r="G882" i="91"/>
  <c r="H882" i="91"/>
  <c r="A883" i="91"/>
  <c r="G883" i="91"/>
  <c r="H883" i="91"/>
  <c r="A884" i="91"/>
  <c r="G884" i="91"/>
  <c r="H884" i="91"/>
  <c r="A885" i="91"/>
  <c r="G885" i="91"/>
  <c r="H885" i="91"/>
  <c r="A886" i="91"/>
  <c r="G886" i="91"/>
  <c r="H886" i="91"/>
  <c r="A887" i="91"/>
  <c r="G887" i="91"/>
  <c r="H887" i="91"/>
  <c r="A888" i="91"/>
  <c r="G888" i="91"/>
  <c r="H888" i="91"/>
  <c r="J888" i="91"/>
  <c r="K888" i="91"/>
  <c r="F121" i="41"/>
  <c r="L888" i="91"/>
  <c r="G121" i="41"/>
  <c r="M888" i="91"/>
  <c r="H121" i="41"/>
  <c r="N888" i="91"/>
  <c r="I121" i="41"/>
  <c r="O888" i="91"/>
  <c r="J121" i="41"/>
  <c r="P888" i="91"/>
  <c r="K121" i="41"/>
  <c r="A889" i="91"/>
  <c r="G889" i="91"/>
  <c r="J889" i="91"/>
  <c r="H889" i="91"/>
  <c r="K889" i="91"/>
  <c r="F122" i="41"/>
  <c r="L889" i="91"/>
  <c r="G122" i="41"/>
  <c r="M889" i="91"/>
  <c r="H122" i="41"/>
  <c r="O889" i="91"/>
  <c r="J122" i="41"/>
  <c r="P889" i="91"/>
  <c r="K122" i="41"/>
  <c r="A890" i="91"/>
  <c r="G890" i="91"/>
  <c r="H890" i="91"/>
  <c r="J890" i="91"/>
  <c r="K890" i="91"/>
  <c r="F123" i="41"/>
  <c r="L890" i="91"/>
  <c r="G123" i="41"/>
  <c r="M890" i="91"/>
  <c r="H123" i="41"/>
  <c r="N890" i="91"/>
  <c r="I123" i="41"/>
  <c r="O890" i="91"/>
  <c r="J123" i="41"/>
  <c r="P890" i="91"/>
  <c r="K123" i="41"/>
  <c r="A891" i="91"/>
  <c r="G891" i="91"/>
  <c r="J891" i="91"/>
  <c r="H891" i="91"/>
  <c r="K891" i="91"/>
  <c r="F124" i="41"/>
  <c r="L891" i="91"/>
  <c r="G124" i="41"/>
  <c r="M891" i="91"/>
  <c r="H124" i="41"/>
  <c r="O891" i="91"/>
  <c r="J124" i="41"/>
  <c r="P891" i="91"/>
  <c r="K124" i="41"/>
  <c r="A892" i="91"/>
  <c r="G892" i="91"/>
  <c r="H892" i="91"/>
  <c r="J892" i="91"/>
  <c r="K892" i="91"/>
  <c r="F125" i="41"/>
  <c r="L892" i="91"/>
  <c r="G125" i="41"/>
  <c r="M892" i="91"/>
  <c r="H125" i="41"/>
  <c r="N892" i="91"/>
  <c r="I125" i="41"/>
  <c r="O892" i="91"/>
  <c r="J125" i="41"/>
  <c r="P892" i="91"/>
  <c r="K125" i="41"/>
  <c r="A893" i="91"/>
  <c r="G893" i="91"/>
  <c r="J893" i="91"/>
  <c r="H893" i="91"/>
  <c r="K893" i="91"/>
  <c r="F126" i="41"/>
  <c r="L893" i="91"/>
  <c r="G126" i="41"/>
  <c r="M893" i="91"/>
  <c r="H126" i="41"/>
  <c r="O893" i="91"/>
  <c r="J126" i="41"/>
  <c r="P893" i="91"/>
  <c r="K126" i="41"/>
  <c r="A894" i="91"/>
  <c r="G894" i="91"/>
  <c r="H894" i="91"/>
  <c r="J894" i="91"/>
  <c r="K894" i="91"/>
  <c r="F127" i="41"/>
  <c r="L894" i="91"/>
  <c r="G127" i="41"/>
  <c r="M894" i="91"/>
  <c r="H127" i="41"/>
  <c r="N894" i="91"/>
  <c r="I127" i="41"/>
  <c r="O894" i="91"/>
  <c r="J127" i="41"/>
  <c r="P894" i="91"/>
  <c r="K127" i="41"/>
  <c r="A895" i="91"/>
  <c r="G895" i="91"/>
  <c r="J895" i="91"/>
  <c r="H895" i="91"/>
  <c r="K895" i="91"/>
  <c r="F128" i="41"/>
  <c r="L895" i="91"/>
  <c r="G128" i="41"/>
  <c r="M895" i="91"/>
  <c r="H128" i="41"/>
  <c r="O895" i="91"/>
  <c r="J128" i="41"/>
  <c r="P895" i="91"/>
  <c r="K128" i="41"/>
  <c r="A896" i="91"/>
  <c r="G896" i="91"/>
  <c r="H896" i="91"/>
  <c r="J896" i="91"/>
  <c r="K896" i="91"/>
  <c r="F129" i="41"/>
  <c r="L896" i="91"/>
  <c r="G129" i="41"/>
  <c r="M896" i="91"/>
  <c r="H129" i="41"/>
  <c r="N896" i="91"/>
  <c r="I129" i="41"/>
  <c r="O896" i="91"/>
  <c r="J129" i="41"/>
  <c r="P896" i="91"/>
  <c r="K129" i="41"/>
  <c r="A897" i="91"/>
  <c r="G897" i="91"/>
  <c r="J897" i="91"/>
  <c r="H897" i="91"/>
  <c r="K897" i="91"/>
  <c r="F130" i="41"/>
  <c r="L897" i="91"/>
  <c r="G130" i="41"/>
  <c r="M897" i="91"/>
  <c r="H130" i="41"/>
  <c r="O897" i="91"/>
  <c r="J130" i="41"/>
  <c r="P897" i="91"/>
  <c r="K130" i="41"/>
  <c r="A898" i="91"/>
  <c r="G898" i="91"/>
  <c r="H898" i="91"/>
  <c r="J898" i="91"/>
  <c r="K898" i="91"/>
  <c r="F131" i="41"/>
  <c r="L898" i="91"/>
  <c r="G131" i="41"/>
  <c r="M898" i="91"/>
  <c r="H131" i="41"/>
  <c r="N898" i="91"/>
  <c r="I131" i="41"/>
  <c r="O898" i="91"/>
  <c r="J131" i="41"/>
  <c r="P898" i="91"/>
  <c r="K131" i="41"/>
  <c r="A899" i="91"/>
  <c r="G899" i="91"/>
  <c r="J899" i="91"/>
  <c r="H899" i="91"/>
  <c r="K899" i="91"/>
  <c r="F132" i="41"/>
  <c r="L899" i="91"/>
  <c r="G132" i="41"/>
  <c r="M899" i="91"/>
  <c r="H132" i="41"/>
  <c r="O899" i="91"/>
  <c r="J132" i="41"/>
  <c r="P899" i="91"/>
  <c r="K132" i="41"/>
  <c r="A900" i="91"/>
  <c r="G900" i="91"/>
  <c r="H900" i="91"/>
  <c r="J900" i="91"/>
  <c r="K900" i="91"/>
  <c r="F133" i="41"/>
  <c r="L900" i="91"/>
  <c r="G133" i="41"/>
  <c r="M900" i="91"/>
  <c r="H133" i="41"/>
  <c r="N900" i="91"/>
  <c r="I133" i="41"/>
  <c r="O900" i="91"/>
  <c r="J133" i="41"/>
  <c r="P900" i="91"/>
  <c r="K133" i="41"/>
  <c r="A901" i="91"/>
  <c r="G901" i="91"/>
  <c r="J901" i="91"/>
  <c r="H901" i="91"/>
  <c r="K901" i="91"/>
  <c r="F134" i="41"/>
  <c r="L901" i="91"/>
  <c r="G134" i="41"/>
  <c r="M901" i="91"/>
  <c r="H134" i="41"/>
  <c r="O901" i="91"/>
  <c r="J134" i="41"/>
  <c r="P901" i="91"/>
  <c r="K134" i="41"/>
  <c r="A902" i="91"/>
  <c r="G902" i="91"/>
  <c r="H902" i="91"/>
  <c r="J902" i="91"/>
  <c r="K902" i="91"/>
  <c r="F135" i="41"/>
  <c r="L902" i="91"/>
  <c r="G135" i="41"/>
  <c r="M902" i="91"/>
  <c r="H135" i="41"/>
  <c r="N902" i="91"/>
  <c r="I135" i="41"/>
  <c r="O902" i="91"/>
  <c r="J135" i="41"/>
  <c r="P902" i="91"/>
  <c r="K135" i="41"/>
  <c r="G908" i="91"/>
  <c r="P908" i="91"/>
  <c r="A909" i="91"/>
  <c r="G909" i="91"/>
  <c r="H909" i="91"/>
  <c r="A910" i="91"/>
  <c r="G910" i="91"/>
  <c r="H910" i="91"/>
  <c r="A911" i="91"/>
  <c r="G911" i="91"/>
  <c r="H911" i="91"/>
  <c r="A912" i="91"/>
  <c r="G912" i="91"/>
  <c r="H912" i="91"/>
  <c r="A913" i="91"/>
  <c r="G913" i="91"/>
  <c r="H913" i="91"/>
  <c r="A914" i="91"/>
  <c r="G914" i="91"/>
  <c r="H914" i="91"/>
  <c r="A915" i="91"/>
  <c r="G915" i="91"/>
  <c r="H915" i="91"/>
  <c r="A916" i="91"/>
  <c r="G916" i="91"/>
  <c r="H916" i="91"/>
  <c r="A917" i="91"/>
  <c r="G917" i="91"/>
  <c r="H917" i="91"/>
  <c r="A918" i="91"/>
  <c r="G918" i="91"/>
  <c r="H918" i="91"/>
  <c r="A919" i="91"/>
  <c r="G919" i="91"/>
  <c r="K919" i="91"/>
  <c r="F171" i="41"/>
  <c r="H919" i="91"/>
  <c r="J919" i="91"/>
  <c r="L919" i="91"/>
  <c r="G171" i="41"/>
  <c r="N919" i="91"/>
  <c r="I171" i="41"/>
  <c r="P919" i="91"/>
  <c r="K171" i="41"/>
  <c r="A920" i="91"/>
  <c r="G920" i="91"/>
  <c r="M920" i="91"/>
  <c r="H172" i="41"/>
  <c r="H920" i="91"/>
  <c r="L920" i="91"/>
  <c r="G172" i="41"/>
  <c r="P920" i="91"/>
  <c r="K172" i="41"/>
  <c r="A921" i="91"/>
  <c r="G921" i="91"/>
  <c r="K921" i="91"/>
  <c r="F173" i="41"/>
  <c r="H921" i="91"/>
  <c r="J921" i="91"/>
  <c r="L921" i="91"/>
  <c r="G173" i="41"/>
  <c r="N921" i="91"/>
  <c r="I173" i="41"/>
  <c r="P921" i="91"/>
  <c r="K173" i="41"/>
  <c r="A922" i="91"/>
  <c r="G922" i="91"/>
  <c r="M922" i="91"/>
  <c r="H174" i="41"/>
  <c r="H922" i="91"/>
  <c r="L922" i="91"/>
  <c r="G174" i="41"/>
  <c r="P922" i="91"/>
  <c r="K174" i="41"/>
  <c r="A923" i="91"/>
  <c r="G923" i="91"/>
  <c r="K923" i="91"/>
  <c r="F175" i="41"/>
  <c r="H923" i="91"/>
  <c r="J923" i="91"/>
  <c r="L923" i="91"/>
  <c r="G175" i="41"/>
  <c r="N923" i="91"/>
  <c r="I175" i="41"/>
  <c r="P923" i="91"/>
  <c r="K175" i="41"/>
  <c r="A924" i="91"/>
  <c r="G924" i="91"/>
  <c r="M924" i="91"/>
  <c r="H176" i="41"/>
  <c r="H924" i="91"/>
  <c r="L924" i="91"/>
  <c r="G176" i="41"/>
  <c r="P924" i="91"/>
  <c r="K176" i="41"/>
  <c r="A925" i="91"/>
  <c r="G925" i="91"/>
  <c r="K925" i="91"/>
  <c r="F177" i="41"/>
  <c r="H925" i="91"/>
  <c r="J925" i="91"/>
  <c r="L925" i="91"/>
  <c r="G177" i="41"/>
  <c r="N925" i="91"/>
  <c r="I177" i="41"/>
  <c r="P925" i="91"/>
  <c r="K177" i="41"/>
  <c r="A926" i="91"/>
  <c r="G926" i="91"/>
  <c r="M926" i="91"/>
  <c r="H178" i="41"/>
  <c r="H926" i="91"/>
  <c r="L926" i="91"/>
  <c r="G178" i="41"/>
  <c r="P926" i="91"/>
  <c r="K178" i="41"/>
  <c r="A927" i="91"/>
  <c r="G927" i="91"/>
  <c r="K927" i="91"/>
  <c r="F179" i="41"/>
  <c r="H927" i="91"/>
  <c r="J927" i="91"/>
  <c r="L927" i="91"/>
  <c r="G179" i="41"/>
  <c r="N927" i="91"/>
  <c r="I179" i="41"/>
  <c r="P927" i="91"/>
  <c r="K179" i="41"/>
  <c r="A928" i="91"/>
  <c r="G928" i="91"/>
  <c r="M928" i="91"/>
  <c r="H180" i="41"/>
  <c r="H928" i="91"/>
  <c r="L928" i="91"/>
  <c r="G180" i="41"/>
  <c r="P928" i="91"/>
  <c r="K180" i="41"/>
  <c r="A929" i="91"/>
  <c r="G929" i="91"/>
  <c r="K929" i="91"/>
  <c r="F181" i="41"/>
  <c r="H929" i="91"/>
  <c r="J929" i="91"/>
  <c r="L929" i="91"/>
  <c r="G181" i="41"/>
  <c r="N929" i="91"/>
  <c r="I181" i="41"/>
  <c r="P929" i="91"/>
  <c r="K181" i="41"/>
  <c r="A930" i="91"/>
  <c r="G930" i="91"/>
  <c r="M930" i="91"/>
  <c r="H182" i="41"/>
  <c r="H930" i="91"/>
  <c r="L930" i="91"/>
  <c r="G182" i="41"/>
  <c r="P930" i="91"/>
  <c r="K182" i="41"/>
  <c r="A931" i="91"/>
  <c r="G931" i="91"/>
  <c r="K931" i="91"/>
  <c r="F183" i="41"/>
  <c r="H931" i="91"/>
  <c r="J931" i="91"/>
  <c r="L931" i="91"/>
  <c r="G183" i="41"/>
  <c r="N931" i="91"/>
  <c r="I183" i="41"/>
  <c r="P931" i="91"/>
  <c r="K183" i="41"/>
  <c r="A932" i="91"/>
  <c r="G932" i="91"/>
  <c r="M932" i="91"/>
  <c r="H184" i="41"/>
  <c r="H932" i="91"/>
  <c r="L932" i="91"/>
  <c r="G184" i="41"/>
  <c r="P932" i="91"/>
  <c r="K184" i="41"/>
  <c r="A933" i="91"/>
  <c r="G933" i="91"/>
  <c r="K933" i="91"/>
  <c r="F185" i="41"/>
  <c r="H933" i="91"/>
  <c r="J933" i="91"/>
  <c r="L933" i="91"/>
  <c r="G185" i="41"/>
  <c r="N933" i="91"/>
  <c r="I185" i="41"/>
  <c r="P933" i="91"/>
  <c r="K185" i="41"/>
  <c r="G939" i="91"/>
  <c r="J939" i="91"/>
  <c r="A940" i="91"/>
  <c r="G940" i="91"/>
  <c r="H940" i="91"/>
  <c r="A941" i="91"/>
  <c r="G941" i="91"/>
  <c r="H941" i="91"/>
  <c r="A942" i="91"/>
  <c r="G942" i="91"/>
  <c r="H942" i="91"/>
  <c r="A943" i="91"/>
  <c r="G943" i="91"/>
  <c r="H943" i="91"/>
  <c r="A944" i="91"/>
  <c r="G944" i="91"/>
  <c r="H944" i="91"/>
  <c r="A945" i="91"/>
  <c r="G945" i="91"/>
  <c r="H945" i="91"/>
  <c r="A946" i="91"/>
  <c r="G946" i="91"/>
  <c r="H946" i="91"/>
  <c r="A947" i="91"/>
  <c r="G947" i="91"/>
  <c r="H947" i="91"/>
  <c r="A948" i="91"/>
  <c r="G948" i="91"/>
  <c r="H948" i="91"/>
  <c r="A949" i="91"/>
  <c r="G949" i="91"/>
  <c r="H949" i="91"/>
  <c r="A950" i="91"/>
  <c r="G950" i="91"/>
  <c r="J950" i="91"/>
  <c r="J981" i="91"/>
  <c r="H950" i="91"/>
  <c r="K950" i="91"/>
  <c r="K981" i="91"/>
  <c r="F21" i="41"/>
  <c r="L950" i="91"/>
  <c r="M950" i="91"/>
  <c r="M981" i="91"/>
  <c r="H21" i="41"/>
  <c r="O950" i="91"/>
  <c r="O981" i="91"/>
  <c r="J21" i="41"/>
  <c r="P950" i="91"/>
  <c r="P981" i="91"/>
  <c r="K21" i="41"/>
  <c r="A951" i="91"/>
  <c r="G951" i="91"/>
  <c r="H951" i="91"/>
  <c r="J951" i="91"/>
  <c r="J982" i="91"/>
  <c r="K951" i="91"/>
  <c r="K982" i="91"/>
  <c r="F22" i="41"/>
  <c r="L951" i="91"/>
  <c r="L982" i="91"/>
  <c r="G22" i="41"/>
  <c r="M951" i="91"/>
  <c r="M982" i="91"/>
  <c r="H22" i="41"/>
  <c r="N951" i="91"/>
  <c r="N982" i="91"/>
  <c r="I22" i="41"/>
  <c r="O951" i="91"/>
  <c r="O982" i="91"/>
  <c r="J22" i="41"/>
  <c r="P951" i="91"/>
  <c r="P982" i="91"/>
  <c r="K22" i="41"/>
  <c r="A952" i="91"/>
  <c r="G952" i="91"/>
  <c r="J952" i="91"/>
  <c r="J983" i="91"/>
  <c r="H952" i="91"/>
  <c r="K952" i="91"/>
  <c r="K983" i="91"/>
  <c r="F23" i="41"/>
  <c r="L952" i="91"/>
  <c r="L983" i="91"/>
  <c r="G23" i="41"/>
  <c r="M952" i="91"/>
  <c r="M983" i="91"/>
  <c r="H23" i="41"/>
  <c r="O952" i="91"/>
  <c r="O983" i="91"/>
  <c r="J23" i="41"/>
  <c r="P952" i="91"/>
  <c r="A953" i="91"/>
  <c r="G953" i="91"/>
  <c r="H953" i="91"/>
  <c r="J953" i="91"/>
  <c r="K953" i="91"/>
  <c r="K984" i="91"/>
  <c r="F24" i="41"/>
  <c r="L953" i="91"/>
  <c r="L984" i="91"/>
  <c r="G24" i="41"/>
  <c r="M953" i="91"/>
  <c r="M984" i="91"/>
  <c r="H24" i="41"/>
  <c r="N953" i="91"/>
  <c r="O953" i="91"/>
  <c r="O984" i="91"/>
  <c r="J24" i="41"/>
  <c r="P953" i="91"/>
  <c r="P984" i="91"/>
  <c r="K24" i="41"/>
  <c r="A954" i="91"/>
  <c r="G954" i="91"/>
  <c r="J954" i="91"/>
  <c r="J985" i="91"/>
  <c r="H954" i="91"/>
  <c r="K954" i="91"/>
  <c r="K985" i="91"/>
  <c r="F25" i="41"/>
  <c r="L954" i="91"/>
  <c r="M954" i="91"/>
  <c r="M985" i="91"/>
  <c r="H25" i="41"/>
  <c r="O954" i="91"/>
  <c r="O985" i="91"/>
  <c r="J25" i="41"/>
  <c r="P954" i="91"/>
  <c r="P985" i="91"/>
  <c r="K25" i="41"/>
  <c r="A955" i="91"/>
  <c r="G955" i="91"/>
  <c r="H955" i="91"/>
  <c r="J955" i="91"/>
  <c r="J986" i="91"/>
  <c r="K955" i="91"/>
  <c r="K986" i="91"/>
  <c r="F26" i="41"/>
  <c r="L955" i="91"/>
  <c r="L986" i="91"/>
  <c r="G26" i="41"/>
  <c r="M955" i="91"/>
  <c r="M986" i="91"/>
  <c r="H26" i="41"/>
  <c r="N955" i="91"/>
  <c r="N986" i="91"/>
  <c r="I26" i="41"/>
  <c r="O955" i="91"/>
  <c r="O986" i="91"/>
  <c r="J26" i="41"/>
  <c r="P955" i="91"/>
  <c r="P986" i="91"/>
  <c r="K26" i="41"/>
  <c r="A956" i="91"/>
  <c r="G956" i="91"/>
  <c r="J956" i="91"/>
  <c r="J987" i="91"/>
  <c r="H956" i="91"/>
  <c r="K956" i="91"/>
  <c r="K987" i="91"/>
  <c r="F27" i="41"/>
  <c r="L956" i="91"/>
  <c r="M956" i="91"/>
  <c r="M987" i="91"/>
  <c r="H27" i="41"/>
  <c r="O956" i="91"/>
  <c r="O987" i="91"/>
  <c r="J27" i="41"/>
  <c r="P956" i="91"/>
  <c r="A957" i="91"/>
  <c r="G957" i="91"/>
  <c r="H957" i="91"/>
  <c r="J957" i="91"/>
  <c r="K957" i="91"/>
  <c r="K988" i="91"/>
  <c r="F28" i="41"/>
  <c r="L957" i="91"/>
  <c r="L988" i="91"/>
  <c r="G28" i="41"/>
  <c r="M957" i="91"/>
  <c r="M988" i="91"/>
  <c r="H28" i="41"/>
  <c r="N957" i="91"/>
  <c r="N988" i="91"/>
  <c r="I28" i="41"/>
  <c r="O957" i="91"/>
  <c r="O988" i="91"/>
  <c r="J28" i="41"/>
  <c r="P957" i="91"/>
  <c r="P988" i="91"/>
  <c r="K28" i="41"/>
  <c r="A958" i="91"/>
  <c r="G958" i="91"/>
  <c r="J958" i="91"/>
  <c r="J989" i="91"/>
  <c r="H958" i="91"/>
  <c r="K958" i="91"/>
  <c r="K989" i="91"/>
  <c r="F29" i="41"/>
  <c r="L958" i="91"/>
  <c r="M958" i="91"/>
  <c r="M989" i="91"/>
  <c r="H29" i="41"/>
  <c r="O958" i="91"/>
  <c r="O989" i="91"/>
  <c r="J29" i="41"/>
  <c r="P958" i="91"/>
  <c r="P989" i="91"/>
  <c r="K29" i="41"/>
  <c r="A959" i="91"/>
  <c r="G959" i="91"/>
  <c r="H959" i="91"/>
  <c r="J959" i="91"/>
  <c r="J990" i="91"/>
  <c r="K959" i="91"/>
  <c r="K990" i="91"/>
  <c r="F30" i="41"/>
  <c r="L959" i="91"/>
  <c r="L990" i="91"/>
  <c r="G30" i="41"/>
  <c r="M959" i="91"/>
  <c r="M990" i="91"/>
  <c r="H30" i="41"/>
  <c r="N959" i="91"/>
  <c r="N990" i="91"/>
  <c r="I30" i="41"/>
  <c r="O959" i="91"/>
  <c r="O990" i="91"/>
  <c r="J30" i="41"/>
  <c r="P959" i="91"/>
  <c r="P990" i="91"/>
  <c r="K30" i="41"/>
  <c r="A960" i="91"/>
  <c r="G960" i="91"/>
  <c r="J960" i="91"/>
  <c r="J991" i="91"/>
  <c r="H960" i="91"/>
  <c r="K960" i="91"/>
  <c r="K991" i="91"/>
  <c r="F31" i="41"/>
  <c r="L960" i="91"/>
  <c r="L991" i="91"/>
  <c r="G31" i="41"/>
  <c r="M960" i="91"/>
  <c r="M991" i="91"/>
  <c r="H31" i="41"/>
  <c r="O960" i="91"/>
  <c r="O991" i="91"/>
  <c r="J31" i="41"/>
  <c r="P960" i="91"/>
  <c r="A961" i="91"/>
  <c r="G961" i="91"/>
  <c r="H961" i="91"/>
  <c r="J961" i="91"/>
  <c r="K961" i="91"/>
  <c r="K992" i="91"/>
  <c r="F32" i="41"/>
  <c r="L961" i="91"/>
  <c r="L992" i="91"/>
  <c r="G32" i="41"/>
  <c r="M961" i="91"/>
  <c r="M992" i="91"/>
  <c r="H32" i="41"/>
  <c r="N961" i="91"/>
  <c r="O961" i="91"/>
  <c r="O992" i="91"/>
  <c r="J32" i="41"/>
  <c r="P961" i="91"/>
  <c r="P992" i="91"/>
  <c r="K32" i="41"/>
  <c r="A962" i="91"/>
  <c r="G962" i="91"/>
  <c r="J962" i="91"/>
  <c r="J993" i="91"/>
  <c r="H962" i="91"/>
  <c r="K962" i="91"/>
  <c r="K993" i="91"/>
  <c r="F33" i="41"/>
  <c r="L962" i="91"/>
  <c r="M962" i="91"/>
  <c r="M993" i="91"/>
  <c r="H33" i="41"/>
  <c r="O962" i="91"/>
  <c r="O993" i="91"/>
  <c r="J33" i="41"/>
  <c r="P962" i="91"/>
  <c r="P993" i="91"/>
  <c r="K33" i="41"/>
  <c r="A963" i="91"/>
  <c r="G963" i="91"/>
  <c r="H963" i="91"/>
  <c r="J963" i="91"/>
  <c r="J994" i="91"/>
  <c r="K963" i="91"/>
  <c r="K994" i="91"/>
  <c r="F34" i="41"/>
  <c r="L963" i="91"/>
  <c r="M963" i="91"/>
  <c r="M994" i="91"/>
  <c r="H34" i="41"/>
  <c r="N963" i="91"/>
  <c r="N994" i="91"/>
  <c r="I34" i="41"/>
  <c r="O963" i="91"/>
  <c r="O994" i="91"/>
  <c r="J34" i="41"/>
  <c r="P963" i="91"/>
  <c r="A964" i="91"/>
  <c r="G964" i="91"/>
  <c r="J964" i="91"/>
  <c r="J995" i="91"/>
  <c r="H964" i="91"/>
  <c r="K964" i="91"/>
  <c r="K995" i="91"/>
  <c r="F35" i="41"/>
  <c r="L964" i="91"/>
  <c r="L995" i="91"/>
  <c r="G35" i="41"/>
  <c r="M964" i="91"/>
  <c r="M995" i="91"/>
  <c r="H35" i="41"/>
  <c r="O964" i="91"/>
  <c r="O995" i="91"/>
  <c r="J35" i="41"/>
  <c r="P964" i="91"/>
  <c r="G970" i="91"/>
  <c r="A971" i="91"/>
  <c r="G971" i="91"/>
  <c r="H971" i="91"/>
  <c r="A972" i="91"/>
  <c r="G972" i="91"/>
  <c r="H972" i="91"/>
  <c r="A973" i="91"/>
  <c r="G973" i="91"/>
  <c r="H973" i="91"/>
  <c r="A974" i="91"/>
  <c r="G974" i="91"/>
  <c r="H974" i="91"/>
  <c r="A975" i="91"/>
  <c r="G975" i="91"/>
  <c r="H975" i="91"/>
  <c r="A976" i="91"/>
  <c r="G976" i="91"/>
  <c r="H976" i="91"/>
  <c r="A977" i="91"/>
  <c r="G977" i="91"/>
  <c r="H977" i="91"/>
  <c r="A978" i="91"/>
  <c r="G978" i="91"/>
  <c r="H978" i="91"/>
  <c r="A979" i="91"/>
  <c r="G979" i="91"/>
  <c r="H979" i="91"/>
  <c r="A980" i="91"/>
  <c r="G980" i="91"/>
  <c r="H980" i="91"/>
  <c r="A981" i="91"/>
  <c r="G981" i="91"/>
  <c r="H981" i="91"/>
  <c r="L981" i="91"/>
  <c r="G21" i="41"/>
  <c r="A982" i="91"/>
  <c r="G982" i="91"/>
  <c r="H982" i="91"/>
  <c r="A983" i="91"/>
  <c r="G983" i="91"/>
  <c r="H983" i="91"/>
  <c r="P983" i="91"/>
  <c r="K23" i="41"/>
  <c r="A984" i="91"/>
  <c r="G984" i="91"/>
  <c r="H984" i="91"/>
  <c r="J984" i="91"/>
  <c r="N984" i="91"/>
  <c r="I24" i="41"/>
  <c r="A985" i="91"/>
  <c r="G985" i="91"/>
  <c r="H985" i="91"/>
  <c r="L985" i="91"/>
  <c r="G25" i="41"/>
  <c r="A986" i="91"/>
  <c r="G986" i="91"/>
  <c r="H986" i="91"/>
  <c r="A987" i="91"/>
  <c r="G987" i="91"/>
  <c r="H987" i="91"/>
  <c r="L987" i="91"/>
  <c r="G27" i="41"/>
  <c r="P987" i="91"/>
  <c r="K27" i="41"/>
  <c r="A988" i="91"/>
  <c r="G988" i="91"/>
  <c r="H988" i="91"/>
  <c r="J988" i="91"/>
  <c r="A989" i="91"/>
  <c r="G989" i="91"/>
  <c r="H989" i="91"/>
  <c r="L989" i="91"/>
  <c r="G29" i="41"/>
  <c r="A990" i="91"/>
  <c r="G990" i="91"/>
  <c r="H990" i="91"/>
  <c r="A991" i="91"/>
  <c r="G991" i="91"/>
  <c r="H991" i="91"/>
  <c r="P991" i="91"/>
  <c r="K31" i="41"/>
  <c r="A992" i="91"/>
  <c r="G992" i="91"/>
  <c r="H992" i="91"/>
  <c r="J992" i="91"/>
  <c r="N992" i="91"/>
  <c r="I32" i="41"/>
  <c r="A993" i="91"/>
  <c r="G993" i="91"/>
  <c r="H993" i="91"/>
  <c r="L993" i="91"/>
  <c r="G33" i="41"/>
  <c r="A994" i="91"/>
  <c r="G994" i="91"/>
  <c r="H994" i="91"/>
  <c r="L994" i="91"/>
  <c r="G34" i="41"/>
  <c r="P994" i="91"/>
  <c r="K34" i="41"/>
  <c r="A995" i="91"/>
  <c r="G995" i="91"/>
  <c r="H995" i="91"/>
  <c r="P995" i="91"/>
  <c r="K35" i="41"/>
  <c r="G1001" i="91"/>
  <c r="J1001" i="91"/>
  <c r="A1002" i="91"/>
  <c r="G1002" i="91"/>
  <c r="H1002" i="91"/>
  <c r="A1003" i="91"/>
  <c r="G1003" i="91"/>
  <c r="H1003" i="91"/>
  <c r="A1004" i="91"/>
  <c r="G1004" i="91"/>
  <c r="H1004" i="91"/>
  <c r="A1005" i="91"/>
  <c r="G1005" i="91"/>
  <c r="H1005" i="91"/>
  <c r="A1006" i="91"/>
  <c r="G1006" i="91"/>
  <c r="H1006" i="91"/>
  <c r="A1007" i="91"/>
  <c r="G1007" i="91"/>
  <c r="H1007" i="91"/>
  <c r="A1008" i="91"/>
  <c r="G1008" i="91"/>
  <c r="H1008" i="91"/>
  <c r="A1009" i="91"/>
  <c r="G1009" i="91"/>
  <c r="H1009" i="91"/>
  <c r="A1010" i="91"/>
  <c r="G1010" i="91"/>
  <c r="H1010" i="91"/>
  <c r="A1011" i="91"/>
  <c r="G1011" i="91"/>
  <c r="H1011" i="91"/>
  <c r="A1012" i="91"/>
  <c r="G1012" i="91"/>
  <c r="J1012" i="91"/>
  <c r="H1012" i="91"/>
  <c r="K1012" i="91"/>
  <c r="L1012" i="91"/>
  <c r="M1012" i="91"/>
  <c r="O1012" i="91"/>
  <c r="P1012" i="91"/>
  <c r="A1013" i="91"/>
  <c r="G1013" i="91"/>
  <c r="H1013" i="91"/>
  <c r="J1013" i="91"/>
  <c r="K1013" i="91"/>
  <c r="L1013" i="91"/>
  <c r="M1013" i="91"/>
  <c r="N1013" i="91"/>
  <c r="O1013" i="91"/>
  <c r="P1013" i="91"/>
  <c r="A1014" i="91"/>
  <c r="G1014" i="91"/>
  <c r="J1014" i="91"/>
  <c r="H1014" i="91"/>
  <c r="K1014" i="91"/>
  <c r="L1014" i="91"/>
  <c r="M1014" i="91"/>
  <c r="O1014" i="91"/>
  <c r="P1014" i="91"/>
  <c r="A1015" i="91"/>
  <c r="G1015" i="91"/>
  <c r="H1015" i="91"/>
  <c r="J1015" i="91"/>
  <c r="K1015" i="91"/>
  <c r="L1015" i="91"/>
  <c r="M1015" i="91"/>
  <c r="N1015" i="91"/>
  <c r="O1015" i="91"/>
  <c r="P1015" i="91"/>
  <c r="A1016" i="91"/>
  <c r="G1016" i="91"/>
  <c r="J1016" i="91"/>
  <c r="H1016" i="91"/>
  <c r="K1016" i="91"/>
  <c r="L1016" i="91"/>
  <c r="M1016" i="91"/>
  <c r="O1016" i="91"/>
  <c r="P1016" i="91"/>
  <c r="A1017" i="91"/>
  <c r="G1017" i="91"/>
  <c r="H1017" i="91"/>
  <c r="J1017" i="91"/>
  <c r="K1017" i="91"/>
  <c r="L1017" i="91"/>
  <c r="M1017" i="91"/>
  <c r="N1017" i="91"/>
  <c r="O1017" i="91"/>
  <c r="P1017" i="91"/>
  <c r="A1018" i="91"/>
  <c r="G1018" i="91"/>
  <c r="J1018" i="91"/>
  <c r="H1018" i="91"/>
  <c r="K1018" i="91"/>
  <c r="L1018" i="91"/>
  <c r="M1018" i="91"/>
  <c r="O1018" i="91"/>
  <c r="P1018" i="91"/>
  <c r="A1019" i="91"/>
  <c r="G1019" i="91"/>
  <c r="H1019" i="91"/>
  <c r="J1019" i="91"/>
  <c r="K1019" i="91"/>
  <c r="L1019" i="91"/>
  <c r="M1019" i="91"/>
  <c r="N1019" i="91"/>
  <c r="O1019" i="91"/>
  <c r="P1019" i="91"/>
  <c r="A1020" i="91"/>
  <c r="G1020" i="91"/>
  <c r="J1020" i="91"/>
  <c r="H1020" i="91"/>
  <c r="K1020" i="91"/>
  <c r="L1020" i="91"/>
  <c r="M1020" i="91"/>
  <c r="O1020" i="91"/>
  <c r="P1020" i="91"/>
  <c r="A1021" i="91"/>
  <c r="G1021" i="91"/>
  <c r="H1021" i="91"/>
  <c r="J1021" i="91"/>
  <c r="K1021" i="91"/>
  <c r="L1021" i="91"/>
  <c r="M1021" i="91"/>
  <c r="N1021" i="91"/>
  <c r="O1021" i="91"/>
  <c r="P1021" i="91"/>
  <c r="A1022" i="91"/>
  <c r="G1022" i="91"/>
  <c r="J1022" i="91"/>
  <c r="H1022" i="91"/>
  <c r="K1022" i="91"/>
  <c r="L1022" i="91"/>
  <c r="M1022" i="91"/>
  <c r="O1022" i="91"/>
  <c r="P1022" i="91"/>
  <c r="A1023" i="91"/>
  <c r="G1023" i="91"/>
  <c r="H1023" i="91"/>
  <c r="J1023" i="91"/>
  <c r="K1023" i="91"/>
  <c r="L1023" i="91"/>
  <c r="M1023" i="91"/>
  <c r="N1023" i="91"/>
  <c r="O1023" i="91"/>
  <c r="P1023" i="91"/>
  <c r="A1024" i="91"/>
  <c r="G1024" i="91"/>
  <c r="J1024" i="91"/>
  <c r="H1024" i="91"/>
  <c r="K1024" i="91"/>
  <c r="L1024" i="91"/>
  <c r="M1024" i="91"/>
  <c r="O1024" i="91"/>
  <c r="P1024" i="91"/>
  <c r="A1025" i="91"/>
  <c r="G1025" i="91"/>
  <c r="H1025" i="91"/>
  <c r="J1025" i="91"/>
  <c r="K1025" i="91"/>
  <c r="L1025" i="91"/>
  <c r="M1025" i="91"/>
  <c r="N1025" i="91"/>
  <c r="O1025" i="91"/>
  <c r="P1025" i="91"/>
  <c r="A1026" i="91"/>
  <c r="G1026" i="91"/>
  <c r="J1026" i="91"/>
  <c r="H1026" i="91"/>
  <c r="K1026" i="91"/>
  <c r="L1026" i="91"/>
  <c r="M1026" i="91"/>
  <c r="O1026" i="91"/>
  <c r="P1026" i="91"/>
  <c r="G1032" i="91"/>
  <c r="A1033" i="91"/>
  <c r="G1033" i="91"/>
  <c r="H1033" i="91"/>
  <c r="A1034" i="91"/>
  <c r="G1034" i="91"/>
  <c r="H1034" i="91"/>
  <c r="A1035" i="91"/>
  <c r="G1035" i="91"/>
  <c r="H1035" i="91"/>
  <c r="A1036" i="91"/>
  <c r="G1036" i="91"/>
  <c r="H1036" i="91"/>
  <c r="A1037" i="91"/>
  <c r="G1037" i="91"/>
  <c r="H1037" i="91"/>
  <c r="A1038" i="91"/>
  <c r="G1038" i="91"/>
  <c r="H1038" i="91"/>
  <c r="A1039" i="91"/>
  <c r="G1039" i="91"/>
  <c r="H1039" i="91"/>
  <c r="A1040" i="91"/>
  <c r="G1040" i="91"/>
  <c r="H1040" i="91"/>
  <c r="A1041" i="91"/>
  <c r="G1041" i="91"/>
  <c r="H1041" i="91"/>
  <c r="A1042" i="91"/>
  <c r="G1042" i="91"/>
  <c r="H1042" i="91"/>
  <c r="A1043" i="91"/>
  <c r="G1043" i="91"/>
  <c r="K1043" i="91"/>
  <c r="H1043" i="91"/>
  <c r="L1043" i="91"/>
  <c r="M1043" i="91"/>
  <c r="N1043" i="91"/>
  <c r="P1043" i="91"/>
  <c r="A1044" i="91"/>
  <c r="G1044" i="91"/>
  <c r="N1044" i="91"/>
  <c r="H1044" i="91"/>
  <c r="M1044" i="91"/>
  <c r="A1045" i="91"/>
  <c r="G1045" i="91"/>
  <c r="H1045" i="91"/>
  <c r="K1045" i="91"/>
  <c r="L1045" i="91"/>
  <c r="M1045" i="91"/>
  <c r="N1045" i="91"/>
  <c r="O1045" i="91"/>
  <c r="P1045" i="91"/>
  <c r="A1046" i="91"/>
  <c r="G1046" i="91"/>
  <c r="L1046" i="91"/>
  <c r="H1046" i="91"/>
  <c r="K1046" i="91"/>
  <c r="M1046" i="91"/>
  <c r="O1046" i="91"/>
  <c r="A1047" i="91"/>
  <c r="G1047" i="91"/>
  <c r="K1047" i="91"/>
  <c r="H1047" i="91"/>
  <c r="L1047" i="91"/>
  <c r="M1047" i="91"/>
  <c r="N1047" i="91"/>
  <c r="P1047" i="91"/>
  <c r="A1048" i="91"/>
  <c r="G1048" i="91"/>
  <c r="N1048" i="91"/>
  <c r="H1048" i="91"/>
  <c r="M1048" i="91"/>
  <c r="A1049" i="91"/>
  <c r="G1049" i="91"/>
  <c r="H1049" i="91"/>
  <c r="K1049" i="91"/>
  <c r="L1049" i="91"/>
  <c r="M1049" i="91"/>
  <c r="N1049" i="91"/>
  <c r="O1049" i="91"/>
  <c r="P1049" i="91"/>
  <c r="A1050" i="91"/>
  <c r="G1050" i="91"/>
  <c r="L1050" i="91"/>
  <c r="H1050" i="91"/>
  <c r="K1050" i="91"/>
  <c r="M1050" i="91"/>
  <c r="O1050" i="91"/>
  <c r="A1051" i="91"/>
  <c r="G1051" i="91"/>
  <c r="K1051" i="91"/>
  <c r="H1051" i="91"/>
  <c r="L1051" i="91"/>
  <c r="M1051" i="91"/>
  <c r="N1051" i="91"/>
  <c r="P1051" i="91"/>
  <c r="A1052" i="91"/>
  <c r="G1052" i="91"/>
  <c r="N1052" i="91"/>
  <c r="H1052" i="91"/>
  <c r="M1052" i="91"/>
  <c r="A1053" i="91"/>
  <c r="G1053" i="91"/>
  <c r="H1053" i="91"/>
  <c r="K1053" i="91"/>
  <c r="L1053" i="91"/>
  <c r="M1053" i="91"/>
  <c r="N1053" i="91"/>
  <c r="O1053" i="91"/>
  <c r="P1053" i="91"/>
  <c r="A1054" i="91"/>
  <c r="G1054" i="91"/>
  <c r="L1054" i="91"/>
  <c r="H1054" i="91"/>
  <c r="K1054" i="91"/>
  <c r="M1054" i="91"/>
  <c r="O1054" i="91"/>
  <c r="A1055" i="91"/>
  <c r="G1055" i="91"/>
  <c r="K1055" i="91"/>
  <c r="H1055" i="91"/>
  <c r="L1055" i="91"/>
  <c r="M1055" i="91"/>
  <c r="N1055" i="91"/>
  <c r="P1055" i="91"/>
  <c r="A1056" i="91"/>
  <c r="G1056" i="91"/>
  <c r="N1056" i="91"/>
  <c r="H1056" i="91"/>
  <c r="M1056" i="91"/>
  <c r="A1057" i="91"/>
  <c r="G1057" i="91"/>
  <c r="H1057" i="91"/>
  <c r="K1057" i="91"/>
  <c r="L1057" i="91"/>
  <c r="M1057" i="91"/>
  <c r="N1057" i="91"/>
  <c r="O1057" i="91"/>
  <c r="P1057" i="91"/>
  <c r="G1063" i="91"/>
  <c r="A1064" i="91"/>
  <c r="G1064" i="91"/>
  <c r="H1064" i="91"/>
  <c r="A1065" i="91"/>
  <c r="G1065" i="91"/>
  <c r="H1065" i="91"/>
  <c r="A1066" i="91"/>
  <c r="G1066" i="91"/>
  <c r="H1066" i="91"/>
  <c r="A1067" i="91"/>
  <c r="G1067" i="91"/>
  <c r="H1067" i="91"/>
  <c r="A1068" i="91"/>
  <c r="G1068" i="91"/>
  <c r="H1068" i="91"/>
  <c r="A1069" i="91"/>
  <c r="G1069" i="91"/>
  <c r="H1069" i="91"/>
  <c r="A1070" i="91"/>
  <c r="G1070" i="91"/>
  <c r="H1070" i="91"/>
  <c r="A1071" i="91"/>
  <c r="G1071" i="91"/>
  <c r="H1071" i="91"/>
  <c r="A1072" i="91"/>
  <c r="G1072" i="91"/>
  <c r="H1072" i="91"/>
  <c r="A1073" i="91"/>
  <c r="G1073" i="91"/>
  <c r="H1073" i="91"/>
  <c r="A1074" i="91"/>
  <c r="G1074" i="91"/>
  <c r="K1074" i="91"/>
  <c r="H1074" i="91"/>
  <c r="L1074" i="91"/>
  <c r="M1074" i="91"/>
  <c r="N1074" i="91"/>
  <c r="P1074" i="91"/>
  <c r="P71" i="83"/>
  <c r="P22" i="83"/>
  <c r="A1075" i="91"/>
  <c r="G1075" i="91"/>
  <c r="N1075" i="91"/>
  <c r="H1075" i="91"/>
  <c r="M1075" i="91"/>
  <c r="A1076" i="91"/>
  <c r="G1076" i="91"/>
  <c r="H1076" i="91"/>
  <c r="K1076" i="91"/>
  <c r="L1076" i="91"/>
  <c r="M1076" i="91"/>
  <c r="N1076" i="91"/>
  <c r="O1076" i="91"/>
  <c r="O73" i="83"/>
  <c r="O24" i="83"/>
  <c r="P1076" i="91"/>
  <c r="P73" i="83"/>
  <c r="P24" i="83"/>
  <c r="A1077" i="91"/>
  <c r="G1077" i="91"/>
  <c r="L1077" i="91"/>
  <c r="H1077" i="91"/>
  <c r="K1077" i="91"/>
  <c r="K1446" i="91"/>
  <c r="M1077" i="91"/>
  <c r="O1077" i="91"/>
  <c r="O74" i="83"/>
  <c r="O25" i="83"/>
  <c r="A1078" i="91"/>
  <c r="G1078" i="91"/>
  <c r="K1078" i="91"/>
  <c r="H1078" i="91"/>
  <c r="L1078" i="91"/>
  <c r="M1078" i="91"/>
  <c r="N1078" i="91"/>
  <c r="P1078" i="91"/>
  <c r="P75" i="83"/>
  <c r="P26" i="83"/>
  <c r="A1079" i="91"/>
  <c r="G1079" i="91"/>
  <c r="N1079" i="91"/>
  <c r="H1079" i="91"/>
  <c r="M1079" i="91"/>
  <c r="A1080" i="91"/>
  <c r="G1080" i="91"/>
  <c r="H1080" i="91"/>
  <c r="K1080" i="91"/>
  <c r="L1080" i="91"/>
  <c r="M1080" i="91"/>
  <c r="N1080" i="91"/>
  <c r="O1080" i="91"/>
  <c r="O77" i="83"/>
  <c r="P1080" i="91"/>
  <c r="P77" i="83"/>
  <c r="A1081" i="91"/>
  <c r="G1081" i="91"/>
  <c r="L1081" i="91"/>
  <c r="H1081" i="91"/>
  <c r="K1081" i="91"/>
  <c r="K1450" i="91"/>
  <c r="M1081" i="91"/>
  <c r="O1081" i="91"/>
  <c r="O78" i="83"/>
  <c r="A1082" i="91"/>
  <c r="G1082" i="91"/>
  <c r="K1082" i="91"/>
  <c r="H1082" i="91"/>
  <c r="L1082" i="91"/>
  <c r="M1082" i="91"/>
  <c r="N1082" i="91"/>
  <c r="P1082" i="91"/>
  <c r="P79" i="83"/>
  <c r="A1083" i="91"/>
  <c r="G1083" i="91"/>
  <c r="N1083" i="91"/>
  <c r="H1083" i="91"/>
  <c r="M1083" i="91"/>
  <c r="A1084" i="91"/>
  <c r="G1084" i="91"/>
  <c r="H1084" i="91"/>
  <c r="K1084" i="91"/>
  <c r="L1084" i="91"/>
  <c r="M1084" i="91"/>
  <c r="N1084" i="91"/>
  <c r="O1084" i="91"/>
  <c r="O81" i="83"/>
  <c r="P1084" i="91"/>
  <c r="P81" i="83"/>
  <c r="A1085" i="91"/>
  <c r="G1085" i="91"/>
  <c r="L1085" i="91"/>
  <c r="H1085" i="91"/>
  <c r="K1085" i="91"/>
  <c r="K1454" i="91"/>
  <c r="M1085" i="91"/>
  <c r="O1085" i="91"/>
  <c r="O82" i="83"/>
  <c r="A1086" i="91"/>
  <c r="G1086" i="91"/>
  <c r="K1086" i="91"/>
  <c r="H1086" i="91"/>
  <c r="L1086" i="91"/>
  <c r="M1086" i="91"/>
  <c r="N1086" i="91"/>
  <c r="P1086" i="91"/>
  <c r="P83" i="83"/>
  <c r="A1087" i="91"/>
  <c r="G1087" i="91"/>
  <c r="N1087" i="91"/>
  <c r="H1087" i="91"/>
  <c r="M1087" i="91"/>
  <c r="A1088" i="91"/>
  <c r="G1088" i="91"/>
  <c r="H1088" i="91"/>
  <c r="K1088" i="91"/>
  <c r="L1088" i="91"/>
  <c r="M1088" i="91"/>
  <c r="N1088" i="91"/>
  <c r="O1088" i="91"/>
  <c r="O85" i="83"/>
  <c r="P1088" i="91"/>
  <c r="P85" i="83"/>
  <c r="G1094" i="91"/>
  <c r="A1095" i="91"/>
  <c r="G1095" i="91"/>
  <c r="H1095" i="91"/>
  <c r="A1096" i="91"/>
  <c r="G1096" i="91"/>
  <c r="H1096" i="91"/>
  <c r="A1097" i="91"/>
  <c r="G1097" i="91"/>
  <c r="H1097" i="91"/>
  <c r="A1098" i="91"/>
  <c r="G1098" i="91"/>
  <c r="H1098" i="91"/>
  <c r="A1099" i="91"/>
  <c r="G1099" i="91"/>
  <c r="H1099" i="91"/>
  <c r="A1100" i="91"/>
  <c r="G1100" i="91"/>
  <c r="H1100" i="91"/>
  <c r="A1101" i="91"/>
  <c r="G1101" i="91"/>
  <c r="H1101" i="91"/>
  <c r="A1102" i="91"/>
  <c r="G1102" i="91"/>
  <c r="H1102" i="91"/>
  <c r="A1103" i="91"/>
  <c r="G1103" i="91"/>
  <c r="H1103" i="91"/>
  <c r="A1104" i="91"/>
  <c r="G1104" i="91"/>
  <c r="H1104" i="91"/>
  <c r="A1105" i="91"/>
  <c r="G1105" i="91"/>
  <c r="K1105" i="91"/>
  <c r="H1105" i="91"/>
  <c r="L1105" i="91"/>
  <c r="M1105" i="91"/>
  <c r="N1105" i="91"/>
  <c r="P1105" i="91"/>
  <c r="S71" i="83"/>
  <c r="S22" i="83"/>
  <c r="A1106" i="91"/>
  <c r="G1106" i="91"/>
  <c r="N1106" i="91"/>
  <c r="H1106" i="91"/>
  <c r="M1106" i="91"/>
  <c r="A1107" i="91"/>
  <c r="G1107" i="91"/>
  <c r="H1107" i="91"/>
  <c r="K1107" i="91"/>
  <c r="L1107" i="91"/>
  <c r="M1107" i="91"/>
  <c r="N1107" i="91"/>
  <c r="O1107" i="91"/>
  <c r="R73" i="83"/>
  <c r="R24" i="83"/>
  <c r="P1107" i="91"/>
  <c r="S73" i="83"/>
  <c r="S24" i="83"/>
  <c r="A1108" i="91"/>
  <c r="G1108" i="91"/>
  <c r="L1108" i="91"/>
  <c r="H1108" i="91"/>
  <c r="K1108" i="91"/>
  <c r="M1108" i="91"/>
  <c r="O1108" i="91"/>
  <c r="R74" i="83"/>
  <c r="R25" i="83"/>
  <c r="A1109" i="91"/>
  <c r="G1109" i="91"/>
  <c r="K1109" i="91"/>
  <c r="H1109" i="91"/>
  <c r="L1109" i="91"/>
  <c r="M1109" i="91"/>
  <c r="N1109" i="91"/>
  <c r="P1109" i="91"/>
  <c r="S75" i="83"/>
  <c r="A1110" i="91"/>
  <c r="G1110" i="91"/>
  <c r="N1110" i="91"/>
  <c r="H1110" i="91"/>
  <c r="M1110" i="91"/>
  <c r="A1111" i="91"/>
  <c r="G1111" i="91"/>
  <c r="H1111" i="91"/>
  <c r="K1111" i="91"/>
  <c r="L1111" i="91"/>
  <c r="M1111" i="91"/>
  <c r="N1111" i="91"/>
  <c r="O1111" i="91"/>
  <c r="R77" i="83"/>
  <c r="P1111" i="91"/>
  <c r="S77" i="83"/>
  <c r="A1112" i="91"/>
  <c r="G1112" i="91"/>
  <c r="L1112" i="91"/>
  <c r="H1112" i="91"/>
  <c r="K1112" i="91"/>
  <c r="M1112" i="91"/>
  <c r="O1112" i="91"/>
  <c r="R78" i="83"/>
  <c r="A1113" i="91"/>
  <c r="G1113" i="91"/>
  <c r="K1113" i="91"/>
  <c r="H1113" i="91"/>
  <c r="L1113" i="91"/>
  <c r="M1113" i="91"/>
  <c r="N1113" i="91"/>
  <c r="P1113" i="91"/>
  <c r="S79" i="83"/>
  <c r="A1114" i="91"/>
  <c r="G1114" i="91"/>
  <c r="N1114" i="91"/>
  <c r="H1114" i="91"/>
  <c r="M1114" i="91"/>
  <c r="A1115" i="91"/>
  <c r="G1115" i="91"/>
  <c r="H1115" i="91"/>
  <c r="K1115" i="91"/>
  <c r="L1115" i="91"/>
  <c r="M1115" i="91"/>
  <c r="N1115" i="91"/>
  <c r="O1115" i="91"/>
  <c r="R81" i="83"/>
  <c r="P1115" i="91"/>
  <c r="S81" i="83"/>
  <c r="A1116" i="91"/>
  <c r="G1116" i="91"/>
  <c r="L1116" i="91"/>
  <c r="H1116" i="91"/>
  <c r="K1116" i="91"/>
  <c r="M1116" i="91"/>
  <c r="O1116" i="91"/>
  <c r="R82" i="83"/>
  <c r="A1117" i="91"/>
  <c r="G1117" i="91"/>
  <c r="K1117" i="91"/>
  <c r="H1117" i="91"/>
  <c r="L1117" i="91"/>
  <c r="M1117" i="91"/>
  <c r="N1117" i="91"/>
  <c r="P1117" i="91"/>
  <c r="S83" i="83"/>
  <c r="A1118" i="91"/>
  <c r="G1118" i="91"/>
  <c r="N1118" i="91"/>
  <c r="H1118" i="91"/>
  <c r="M1118" i="91"/>
  <c r="A1119" i="91"/>
  <c r="G1119" i="91"/>
  <c r="H1119" i="91"/>
  <c r="K1119" i="91"/>
  <c r="L1119" i="91"/>
  <c r="M1119" i="91"/>
  <c r="N1119" i="91"/>
  <c r="O1119" i="91"/>
  <c r="R85" i="83"/>
  <c r="R26" i="83"/>
  <c r="P1119" i="91"/>
  <c r="S85" i="83"/>
  <c r="S26" i="83"/>
  <c r="G1125" i="91"/>
  <c r="A1126" i="91"/>
  <c r="G1126" i="91"/>
  <c r="H1126" i="91"/>
  <c r="E12" i="81"/>
  <c r="I1126" i="91"/>
  <c r="F12" i="81"/>
  <c r="J1126" i="91"/>
  <c r="K1126" i="91"/>
  <c r="L1126" i="91"/>
  <c r="G12" i="81"/>
  <c r="M1126" i="91"/>
  <c r="H12" i="81"/>
  <c r="N1126" i="91"/>
  <c r="I12" i="81"/>
  <c r="O1126" i="91"/>
  <c r="P1126" i="91"/>
  <c r="U1126" i="91"/>
  <c r="V1126" i="91"/>
  <c r="W1126" i="91"/>
  <c r="X1126" i="91"/>
  <c r="Y1126" i="91"/>
  <c r="A1127" i="91"/>
  <c r="G1127" i="91"/>
  <c r="H1127" i="91"/>
  <c r="E13" i="81"/>
  <c r="I1127" i="91"/>
  <c r="F13" i="81"/>
  <c r="J1127" i="91"/>
  <c r="K1127" i="91"/>
  <c r="L1127" i="91"/>
  <c r="G13" i="81"/>
  <c r="M1127" i="91"/>
  <c r="H13" i="81"/>
  <c r="N1127" i="91"/>
  <c r="I13" i="81"/>
  <c r="O1127" i="91"/>
  <c r="P1127" i="91"/>
  <c r="U1127" i="91"/>
  <c r="V1127" i="91"/>
  <c r="W1127" i="91"/>
  <c r="X1127" i="91"/>
  <c r="Y1127" i="91"/>
  <c r="A1128" i="91"/>
  <c r="G1128" i="91"/>
  <c r="H1128" i="91"/>
  <c r="E14" i="81"/>
  <c r="I1128" i="91"/>
  <c r="F14" i="81"/>
  <c r="J1128" i="91"/>
  <c r="K1128" i="91"/>
  <c r="L1128" i="91"/>
  <c r="G14" i="81"/>
  <c r="M1128" i="91"/>
  <c r="H14" i="81"/>
  <c r="N1128" i="91"/>
  <c r="I14" i="81"/>
  <c r="O1128" i="91"/>
  <c r="P1128" i="91"/>
  <c r="U1128" i="91"/>
  <c r="V1128" i="91"/>
  <c r="W1128" i="91"/>
  <c r="X1128" i="91"/>
  <c r="Y1128" i="91"/>
  <c r="A1129" i="91"/>
  <c r="G1129" i="91"/>
  <c r="H1129" i="91"/>
  <c r="E15" i="81"/>
  <c r="I1129" i="91"/>
  <c r="F15" i="81"/>
  <c r="J1129" i="91"/>
  <c r="K1129" i="91"/>
  <c r="L1129" i="91"/>
  <c r="G15" i="81"/>
  <c r="M1129" i="91"/>
  <c r="H15" i="81"/>
  <c r="N1129" i="91"/>
  <c r="I15" i="81"/>
  <c r="O1129" i="91"/>
  <c r="P1129" i="91"/>
  <c r="U1129" i="91"/>
  <c r="V1129" i="91"/>
  <c r="W1129" i="91"/>
  <c r="X1129" i="91"/>
  <c r="Y1129" i="91"/>
  <c r="A1130" i="91"/>
  <c r="G1130" i="91"/>
  <c r="H1130" i="91"/>
  <c r="E16" i="81"/>
  <c r="I1130" i="91"/>
  <c r="F16" i="81"/>
  <c r="J1130" i="91"/>
  <c r="K1130" i="91"/>
  <c r="L1130" i="91"/>
  <c r="G16" i="81"/>
  <c r="M1130" i="91"/>
  <c r="H16" i="81"/>
  <c r="N1130" i="91"/>
  <c r="I16" i="81"/>
  <c r="O1130" i="91"/>
  <c r="P1130" i="91"/>
  <c r="U1130" i="91"/>
  <c r="V1130" i="91"/>
  <c r="W1130" i="91"/>
  <c r="X1130" i="91"/>
  <c r="Y1130" i="91"/>
  <c r="A1131" i="91"/>
  <c r="G1131" i="91"/>
  <c r="H1131" i="91"/>
  <c r="E17" i="81"/>
  <c r="I1131" i="91"/>
  <c r="F17" i="81"/>
  <c r="J1131" i="91"/>
  <c r="K1131" i="91"/>
  <c r="L1131" i="91"/>
  <c r="G17" i="81"/>
  <c r="M1131" i="91"/>
  <c r="H17" i="81"/>
  <c r="N1131" i="91"/>
  <c r="I17" i="81"/>
  <c r="O1131" i="91"/>
  <c r="P1131" i="91"/>
  <c r="U1131" i="91"/>
  <c r="V1131" i="91"/>
  <c r="W1131" i="91"/>
  <c r="X1131" i="91"/>
  <c r="Y1131" i="91"/>
  <c r="A1132" i="91"/>
  <c r="G1132" i="91"/>
  <c r="H1132" i="91"/>
  <c r="E18" i="81"/>
  <c r="I1132" i="91"/>
  <c r="F18" i="81"/>
  <c r="J1132" i="91"/>
  <c r="K1132" i="91"/>
  <c r="L1132" i="91"/>
  <c r="G18" i="81"/>
  <c r="M1132" i="91"/>
  <c r="H18" i="81"/>
  <c r="N1132" i="91"/>
  <c r="I18" i="81"/>
  <c r="O1132" i="91"/>
  <c r="P1132" i="91"/>
  <c r="U1132" i="91"/>
  <c r="V1132" i="91"/>
  <c r="W1132" i="91"/>
  <c r="X1132" i="91"/>
  <c r="Y1132" i="91"/>
  <c r="A1133" i="91"/>
  <c r="G1133" i="91"/>
  <c r="H1133" i="91"/>
  <c r="E19" i="81"/>
  <c r="I1133" i="91"/>
  <c r="F19" i="81"/>
  <c r="J1133" i="91"/>
  <c r="K1133" i="91"/>
  <c r="L1133" i="91"/>
  <c r="G19" i="81"/>
  <c r="M1133" i="91"/>
  <c r="H19" i="81"/>
  <c r="N1133" i="91"/>
  <c r="I19" i="81"/>
  <c r="O1133" i="91"/>
  <c r="P1133" i="91"/>
  <c r="U1133" i="91"/>
  <c r="V1133" i="91"/>
  <c r="W1133" i="91"/>
  <c r="X1133" i="91"/>
  <c r="Y1133" i="91"/>
  <c r="A1134" i="91"/>
  <c r="G1134" i="91"/>
  <c r="H1134" i="91"/>
  <c r="E20" i="81"/>
  <c r="I1134" i="91"/>
  <c r="F20" i="81"/>
  <c r="J1134" i="91"/>
  <c r="K1134" i="91"/>
  <c r="L1134" i="91"/>
  <c r="G20" i="81"/>
  <c r="M1134" i="91"/>
  <c r="H20" i="81"/>
  <c r="N1134" i="91"/>
  <c r="I20" i="81"/>
  <c r="O1134" i="91"/>
  <c r="P1134" i="91"/>
  <c r="U1134" i="91"/>
  <c r="V1134" i="91"/>
  <c r="W1134" i="91"/>
  <c r="X1134" i="91"/>
  <c r="Y1134" i="91"/>
  <c r="A1135" i="91"/>
  <c r="G1135" i="91"/>
  <c r="H1135" i="91"/>
  <c r="E21" i="81"/>
  <c r="I1135" i="91"/>
  <c r="F21" i="81"/>
  <c r="J1135" i="91"/>
  <c r="K1135" i="91"/>
  <c r="L1135" i="91"/>
  <c r="G21" i="81"/>
  <c r="M1135" i="91"/>
  <c r="H21" i="81"/>
  <c r="N1135" i="91"/>
  <c r="I21" i="81"/>
  <c r="O1135" i="91"/>
  <c r="P1135" i="91"/>
  <c r="U1135" i="91"/>
  <c r="V1135" i="91"/>
  <c r="W1135" i="91"/>
  <c r="X1135" i="91"/>
  <c r="Y1135" i="91"/>
  <c r="A1136" i="91"/>
  <c r="G1136" i="91"/>
  <c r="H1136" i="91"/>
  <c r="E22" i="81"/>
  <c r="I1136" i="91"/>
  <c r="F22" i="81"/>
  <c r="J1136" i="91"/>
  <c r="K1136" i="91"/>
  <c r="L1136" i="91"/>
  <c r="G22" i="81"/>
  <c r="M1136" i="91"/>
  <c r="H22" i="81"/>
  <c r="N1136" i="91"/>
  <c r="I22" i="81"/>
  <c r="O1136" i="91"/>
  <c r="P1136" i="91"/>
  <c r="U1136" i="91"/>
  <c r="V1136" i="91"/>
  <c r="W1136" i="91"/>
  <c r="X1136" i="91"/>
  <c r="Y1136" i="91"/>
  <c r="A1137" i="91"/>
  <c r="G1137" i="91"/>
  <c r="H1137" i="91"/>
  <c r="E23" i="81"/>
  <c r="I1137" i="91"/>
  <c r="F23" i="81"/>
  <c r="J1137" i="91"/>
  <c r="K1137" i="91"/>
  <c r="L1137" i="91"/>
  <c r="G23" i="81"/>
  <c r="M1137" i="91"/>
  <c r="H23" i="81"/>
  <c r="N1137" i="91"/>
  <c r="I23" i="81"/>
  <c r="O1137" i="91"/>
  <c r="P1137" i="91"/>
  <c r="U1137" i="91"/>
  <c r="V1137" i="91"/>
  <c r="W1137" i="91"/>
  <c r="X1137" i="91"/>
  <c r="Y1137" i="91"/>
  <c r="A1138" i="91"/>
  <c r="G1138" i="91"/>
  <c r="H1138" i="91"/>
  <c r="E24" i="81"/>
  <c r="I1138" i="91"/>
  <c r="F24" i="81"/>
  <c r="J1138" i="91"/>
  <c r="K1138" i="91"/>
  <c r="L1138" i="91"/>
  <c r="G24" i="81"/>
  <c r="M1138" i="91"/>
  <c r="H24" i="81"/>
  <c r="N1138" i="91"/>
  <c r="I24" i="81"/>
  <c r="O1138" i="91"/>
  <c r="P1138" i="91"/>
  <c r="U1138" i="91"/>
  <c r="V1138" i="91"/>
  <c r="W1138" i="91"/>
  <c r="X1138" i="91"/>
  <c r="Y1138" i="91"/>
  <c r="A1139" i="91"/>
  <c r="G1139" i="91"/>
  <c r="H1139" i="91"/>
  <c r="E25" i="81"/>
  <c r="I1139" i="91"/>
  <c r="F25" i="81"/>
  <c r="J1139" i="91"/>
  <c r="K1139" i="91"/>
  <c r="L1139" i="91"/>
  <c r="G25" i="81"/>
  <c r="M1139" i="91"/>
  <c r="H25" i="81"/>
  <c r="N1139" i="91"/>
  <c r="I25" i="81"/>
  <c r="O1139" i="91"/>
  <c r="P1139" i="91"/>
  <c r="U1139" i="91"/>
  <c r="V1139" i="91"/>
  <c r="W1139" i="91"/>
  <c r="X1139" i="91"/>
  <c r="Y1139" i="91"/>
  <c r="A1140" i="91"/>
  <c r="G1140" i="91"/>
  <c r="H1140" i="91"/>
  <c r="E26" i="81"/>
  <c r="I1140" i="91"/>
  <c r="F26" i="81"/>
  <c r="J1140" i="91"/>
  <c r="K1140" i="91"/>
  <c r="L1140" i="91"/>
  <c r="G26" i="81"/>
  <c r="M1140" i="91"/>
  <c r="H26" i="81"/>
  <c r="N1140" i="91"/>
  <c r="I26" i="81"/>
  <c r="O1140" i="91"/>
  <c r="P1140" i="91"/>
  <c r="U1140" i="91"/>
  <c r="V1140" i="91"/>
  <c r="W1140" i="91"/>
  <c r="X1140" i="91"/>
  <c r="Y1140" i="91"/>
  <c r="A1141" i="91"/>
  <c r="G1141" i="91"/>
  <c r="H1141" i="91"/>
  <c r="E27" i="81"/>
  <c r="I1141" i="91"/>
  <c r="F27" i="81"/>
  <c r="J1141" i="91"/>
  <c r="K1141" i="91"/>
  <c r="L1141" i="91"/>
  <c r="G27" i="81"/>
  <c r="M1141" i="91"/>
  <c r="H27" i="81"/>
  <c r="N1141" i="91"/>
  <c r="I27" i="81"/>
  <c r="O1141" i="91"/>
  <c r="P1141" i="91"/>
  <c r="U1141" i="91"/>
  <c r="V1141" i="91"/>
  <c r="W1141" i="91"/>
  <c r="X1141" i="91"/>
  <c r="Y1141" i="91"/>
  <c r="A1142" i="91"/>
  <c r="G1142" i="91"/>
  <c r="H1142" i="91"/>
  <c r="E28" i="81"/>
  <c r="I1142" i="91"/>
  <c r="F28" i="81"/>
  <c r="J1142" i="91"/>
  <c r="K1142" i="91"/>
  <c r="L1142" i="91"/>
  <c r="G28" i="81"/>
  <c r="M1142" i="91"/>
  <c r="H28" i="81"/>
  <c r="N1142" i="91"/>
  <c r="I28" i="81"/>
  <c r="O1142" i="91"/>
  <c r="P1142" i="91"/>
  <c r="U1142" i="91"/>
  <c r="V1142" i="91"/>
  <c r="W1142" i="91"/>
  <c r="X1142" i="91"/>
  <c r="Y1142" i="91"/>
  <c r="A1143" i="91"/>
  <c r="G1143" i="91"/>
  <c r="H1143" i="91"/>
  <c r="E29" i="81"/>
  <c r="I1143" i="91"/>
  <c r="F29" i="81"/>
  <c r="J1143" i="91"/>
  <c r="K1143" i="91"/>
  <c r="L1143" i="91"/>
  <c r="G29" i="81"/>
  <c r="M1143" i="91"/>
  <c r="H29" i="81"/>
  <c r="N1143" i="91"/>
  <c r="I29" i="81"/>
  <c r="O1143" i="91"/>
  <c r="P1143" i="91"/>
  <c r="U1143" i="91"/>
  <c r="V1143" i="91"/>
  <c r="W1143" i="91"/>
  <c r="X1143" i="91"/>
  <c r="Y1143" i="91"/>
  <c r="A1144" i="91"/>
  <c r="G1144" i="91"/>
  <c r="H1144" i="91"/>
  <c r="E30" i="81"/>
  <c r="I1144" i="91"/>
  <c r="F30" i="81"/>
  <c r="J1144" i="91"/>
  <c r="K1144" i="91"/>
  <c r="L1144" i="91"/>
  <c r="G30" i="81"/>
  <c r="M1144" i="91"/>
  <c r="H30" i="81"/>
  <c r="N1144" i="91"/>
  <c r="I30" i="81"/>
  <c r="O1144" i="91"/>
  <c r="P1144" i="91"/>
  <c r="U1144" i="91"/>
  <c r="V1144" i="91"/>
  <c r="W1144" i="91"/>
  <c r="X1144" i="91"/>
  <c r="Y1144" i="91"/>
  <c r="A1145" i="91"/>
  <c r="G1145" i="91"/>
  <c r="H1145" i="91"/>
  <c r="E31" i="81"/>
  <c r="I1145" i="91"/>
  <c r="F31" i="81"/>
  <c r="J1145" i="91"/>
  <c r="K1145" i="91"/>
  <c r="L1145" i="91"/>
  <c r="G31" i="81"/>
  <c r="M1145" i="91"/>
  <c r="H31" i="81"/>
  <c r="N1145" i="91"/>
  <c r="I31" i="81"/>
  <c r="O1145" i="91"/>
  <c r="P1145" i="91"/>
  <c r="U1145" i="91"/>
  <c r="V1145" i="91"/>
  <c r="W1145" i="91"/>
  <c r="X1145" i="91"/>
  <c r="Y1145" i="91"/>
  <c r="A1146" i="91"/>
  <c r="G1146" i="91"/>
  <c r="H1146" i="91"/>
  <c r="E32" i="81"/>
  <c r="I1146" i="91"/>
  <c r="F32" i="81"/>
  <c r="J1146" i="91"/>
  <c r="K1146" i="91"/>
  <c r="L1146" i="91"/>
  <c r="G32" i="81"/>
  <c r="M1146" i="91"/>
  <c r="H32" i="81"/>
  <c r="N1146" i="91"/>
  <c r="I32" i="81"/>
  <c r="O1146" i="91"/>
  <c r="P1146" i="91"/>
  <c r="U1146" i="91"/>
  <c r="V1146" i="91"/>
  <c r="W1146" i="91"/>
  <c r="X1146" i="91"/>
  <c r="Y1146" i="91"/>
  <c r="A1147" i="91"/>
  <c r="G1147" i="91"/>
  <c r="H1147" i="91"/>
  <c r="E33" i="81"/>
  <c r="I1147" i="91"/>
  <c r="F33" i="81"/>
  <c r="J1147" i="91"/>
  <c r="K1147" i="91"/>
  <c r="L1147" i="91"/>
  <c r="G33" i="81"/>
  <c r="M1147" i="91"/>
  <c r="H33" i="81"/>
  <c r="N1147" i="91"/>
  <c r="I33" i="81"/>
  <c r="O1147" i="91"/>
  <c r="P1147" i="91"/>
  <c r="U1147" i="91"/>
  <c r="V1147" i="91"/>
  <c r="W1147" i="91"/>
  <c r="X1147" i="91"/>
  <c r="Y1147" i="91"/>
  <c r="A1148" i="91"/>
  <c r="G1148" i="91"/>
  <c r="H1148" i="91"/>
  <c r="E34" i="81"/>
  <c r="I1148" i="91"/>
  <c r="F34" i="81"/>
  <c r="J1148" i="91"/>
  <c r="K1148" i="91"/>
  <c r="L1148" i="91"/>
  <c r="G34" i="81"/>
  <c r="M1148" i="91"/>
  <c r="H34" i="81"/>
  <c r="N1148" i="91"/>
  <c r="I34" i="81"/>
  <c r="O1148" i="91"/>
  <c r="P1148" i="91"/>
  <c r="U1148" i="91"/>
  <c r="V1148" i="91"/>
  <c r="W1148" i="91"/>
  <c r="X1148" i="91"/>
  <c r="Y1148" i="91"/>
  <c r="A1149" i="91"/>
  <c r="G1149" i="91"/>
  <c r="H1149" i="91"/>
  <c r="E35" i="81"/>
  <c r="I1149" i="91"/>
  <c r="F35" i="81"/>
  <c r="J1149" i="91"/>
  <c r="K1149" i="91"/>
  <c r="L1149" i="91"/>
  <c r="G35" i="81"/>
  <c r="M1149" i="91"/>
  <c r="H35" i="81"/>
  <c r="N1149" i="91"/>
  <c r="I35" i="81"/>
  <c r="O1149" i="91"/>
  <c r="P1149" i="91"/>
  <c r="U1149" i="91"/>
  <c r="V1149" i="91"/>
  <c r="W1149" i="91"/>
  <c r="X1149" i="91"/>
  <c r="Y1149" i="91"/>
  <c r="A1150" i="91"/>
  <c r="G1150" i="91"/>
  <c r="H1150" i="91"/>
  <c r="E36" i="81"/>
  <c r="I1150" i="91"/>
  <c r="F36" i="81"/>
  <c r="J1150" i="91"/>
  <c r="K1150" i="91"/>
  <c r="L1150" i="91"/>
  <c r="G36" i="81"/>
  <c r="M1150" i="91"/>
  <c r="H36" i="81"/>
  <c r="N1150" i="91"/>
  <c r="I36" i="81"/>
  <c r="O1150" i="91"/>
  <c r="P1150" i="91"/>
  <c r="U1150" i="91"/>
  <c r="U1151" i="91"/>
  <c r="V1150" i="91"/>
  <c r="W1150" i="91"/>
  <c r="X1150" i="91"/>
  <c r="Y1150" i="91"/>
  <c r="N1151" i="91"/>
  <c r="G1156" i="91"/>
  <c r="A1157" i="91"/>
  <c r="G1157" i="91"/>
  <c r="H1157" i="91"/>
  <c r="R12" i="81"/>
  <c r="I1157" i="91"/>
  <c r="S12" i="81"/>
  <c r="K1157" i="91"/>
  <c r="L1157" i="91"/>
  <c r="T12" i="81"/>
  <c r="M1157" i="91"/>
  <c r="U12" i="81"/>
  <c r="N1157" i="91"/>
  <c r="V12" i="81"/>
  <c r="O1157" i="91"/>
  <c r="W12" i="81"/>
  <c r="P1157" i="91"/>
  <c r="X12" i="81"/>
  <c r="U1157" i="91"/>
  <c r="Y12" i="81"/>
  <c r="V1157" i="91"/>
  <c r="Z12" i="81"/>
  <c r="W1157" i="91"/>
  <c r="AA12" i="81"/>
  <c r="X1157" i="91"/>
  <c r="AB12" i="81"/>
  <c r="Y1157" i="91"/>
  <c r="AC12" i="81"/>
  <c r="A1158" i="91"/>
  <c r="G1158" i="91"/>
  <c r="H1158" i="91"/>
  <c r="R13" i="81"/>
  <c r="I1158" i="91"/>
  <c r="S13" i="81"/>
  <c r="K1158" i="91"/>
  <c r="L1158" i="91"/>
  <c r="T13" i="81"/>
  <c r="M1158" i="91"/>
  <c r="U13" i="81"/>
  <c r="N1158" i="91"/>
  <c r="V13" i="81"/>
  <c r="O1158" i="91"/>
  <c r="W13" i="81"/>
  <c r="P1158" i="91"/>
  <c r="X13" i="81"/>
  <c r="U1158" i="91"/>
  <c r="Y13" i="81"/>
  <c r="V1158" i="91"/>
  <c r="Z13" i="81"/>
  <c r="W1158" i="91"/>
  <c r="AA13" i="81"/>
  <c r="X1158" i="91"/>
  <c r="AB13" i="81"/>
  <c r="Y1158" i="91"/>
  <c r="AC13" i="81"/>
  <c r="A1159" i="91"/>
  <c r="G1159" i="91"/>
  <c r="H1159" i="91"/>
  <c r="R14" i="81"/>
  <c r="I1159" i="91"/>
  <c r="S14" i="81"/>
  <c r="K1159" i="91"/>
  <c r="L1159" i="91"/>
  <c r="T14" i="81"/>
  <c r="M1159" i="91"/>
  <c r="U14" i="81"/>
  <c r="N1159" i="91"/>
  <c r="V14" i="81"/>
  <c r="O1159" i="91"/>
  <c r="W14" i="81"/>
  <c r="P1159" i="91"/>
  <c r="X14" i="81"/>
  <c r="U1159" i="91"/>
  <c r="Y14" i="81"/>
  <c r="V1159" i="91"/>
  <c r="Z14" i="81"/>
  <c r="W1159" i="91"/>
  <c r="AA14" i="81"/>
  <c r="X1159" i="91"/>
  <c r="AB14" i="81"/>
  <c r="Y1159" i="91"/>
  <c r="AC14" i="81"/>
  <c r="A1160" i="91"/>
  <c r="G1160" i="91"/>
  <c r="H1160" i="91"/>
  <c r="R15" i="81"/>
  <c r="I1160" i="91"/>
  <c r="S15" i="81"/>
  <c r="K1160" i="91"/>
  <c r="L1160" i="91"/>
  <c r="T15" i="81"/>
  <c r="M1160" i="91"/>
  <c r="U15" i="81"/>
  <c r="N1160" i="91"/>
  <c r="V15" i="81"/>
  <c r="O1160" i="91"/>
  <c r="W15" i="81"/>
  <c r="P1160" i="91"/>
  <c r="X15" i="81"/>
  <c r="U1160" i="91"/>
  <c r="Y15" i="81"/>
  <c r="V1160" i="91"/>
  <c r="Z15" i="81"/>
  <c r="W1160" i="91"/>
  <c r="AA15" i="81"/>
  <c r="X1160" i="91"/>
  <c r="AB15" i="81"/>
  <c r="Y1160" i="91"/>
  <c r="AC15" i="81"/>
  <c r="A1161" i="91"/>
  <c r="G1161" i="91"/>
  <c r="H1161" i="91"/>
  <c r="R16" i="81"/>
  <c r="I1161" i="91"/>
  <c r="S16" i="81"/>
  <c r="K1161" i="91"/>
  <c r="L1161" i="91"/>
  <c r="T16" i="81"/>
  <c r="M1161" i="91"/>
  <c r="U16" i="81"/>
  <c r="N1161" i="91"/>
  <c r="V16" i="81"/>
  <c r="O1161" i="91"/>
  <c r="W16" i="81"/>
  <c r="P1161" i="91"/>
  <c r="X16" i="81"/>
  <c r="U1161" i="91"/>
  <c r="Y16" i="81"/>
  <c r="V1161" i="91"/>
  <c r="Z16" i="81"/>
  <c r="W1161" i="91"/>
  <c r="AA16" i="81"/>
  <c r="X1161" i="91"/>
  <c r="AB16" i="81"/>
  <c r="Y1161" i="91"/>
  <c r="AC16" i="81"/>
  <c r="A1162" i="91"/>
  <c r="G1162" i="91"/>
  <c r="H1162" i="91"/>
  <c r="R17" i="81"/>
  <c r="I1162" i="91"/>
  <c r="S17" i="81"/>
  <c r="K1162" i="91"/>
  <c r="L1162" i="91"/>
  <c r="T17" i="81"/>
  <c r="M1162" i="91"/>
  <c r="U17" i="81"/>
  <c r="N1162" i="91"/>
  <c r="V17" i="81"/>
  <c r="O1162" i="91"/>
  <c r="W17" i="81"/>
  <c r="P1162" i="91"/>
  <c r="X17" i="81"/>
  <c r="U1162" i="91"/>
  <c r="Y17" i="81"/>
  <c r="V1162" i="91"/>
  <c r="Z17" i="81"/>
  <c r="W1162" i="91"/>
  <c r="AA17" i="81"/>
  <c r="X1162" i="91"/>
  <c r="AB17" i="81"/>
  <c r="Y1162" i="91"/>
  <c r="AC17" i="81"/>
  <c r="A1163" i="91"/>
  <c r="G1163" i="91"/>
  <c r="H1163" i="91"/>
  <c r="R18" i="81"/>
  <c r="I1163" i="91"/>
  <c r="S18" i="81"/>
  <c r="K1163" i="91"/>
  <c r="L1163" i="91"/>
  <c r="T18" i="81"/>
  <c r="M1163" i="91"/>
  <c r="U18" i="81"/>
  <c r="N1163" i="91"/>
  <c r="V18" i="81"/>
  <c r="O1163" i="91"/>
  <c r="W18" i="81"/>
  <c r="P1163" i="91"/>
  <c r="X18" i="81"/>
  <c r="U1163" i="91"/>
  <c r="Y18" i="81"/>
  <c r="V1163" i="91"/>
  <c r="Z18" i="81"/>
  <c r="W1163" i="91"/>
  <c r="AA18" i="81"/>
  <c r="X1163" i="91"/>
  <c r="AB18" i="81"/>
  <c r="Y1163" i="91"/>
  <c r="AC18" i="81"/>
  <c r="A1164" i="91"/>
  <c r="G1164" i="91"/>
  <c r="H1164" i="91"/>
  <c r="R19" i="81"/>
  <c r="I1164" i="91"/>
  <c r="S19" i="81"/>
  <c r="K1164" i="91"/>
  <c r="L1164" i="91"/>
  <c r="T19" i="81"/>
  <c r="M1164" i="91"/>
  <c r="U19" i="81"/>
  <c r="N1164" i="91"/>
  <c r="V19" i="81"/>
  <c r="O1164" i="91"/>
  <c r="W19" i="81"/>
  <c r="P1164" i="91"/>
  <c r="X19" i="81"/>
  <c r="U1164" i="91"/>
  <c r="Y19" i="81"/>
  <c r="V1164" i="91"/>
  <c r="Z19" i="81"/>
  <c r="W1164" i="91"/>
  <c r="AA19" i="81"/>
  <c r="X1164" i="91"/>
  <c r="AB19" i="81"/>
  <c r="Y1164" i="91"/>
  <c r="AC19" i="81"/>
  <c r="A1165" i="91"/>
  <c r="G1165" i="91"/>
  <c r="H1165" i="91"/>
  <c r="R20" i="81"/>
  <c r="I1165" i="91"/>
  <c r="S20" i="81"/>
  <c r="K1165" i="91"/>
  <c r="L1165" i="91"/>
  <c r="T20" i="81"/>
  <c r="M1165" i="91"/>
  <c r="U20" i="81"/>
  <c r="N1165" i="91"/>
  <c r="V20" i="81"/>
  <c r="O1165" i="91"/>
  <c r="W20" i="81"/>
  <c r="P1165" i="91"/>
  <c r="X20" i="81"/>
  <c r="U1165" i="91"/>
  <c r="Y20" i="81"/>
  <c r="V1165" i="91"/>
  <c r="Z20" i="81"/>
  <c r="W1165" i="91"/>
  <c r="AA20" i="81"/>
  <c r="X1165" i="91"/>
  <c r="AB20" i="81"/>
  <c r="Y1165" i="91"/>
  <c r="AC20" i="81"/>
  <c r="A1166" i="91"/>
  <c r="G1166" i="91"/>
  <c r="H1166" i="91"/>
  <c r="R21" i="81"/>
  <c r="I1166" i="91"/>
  <c r="S21" i="81"/>
  <c r="K1166" i="91"/>
  <c r="L1166" i="91"/>
  <c r="T21" i="81"/>
  <c r="M1166" i="91"/>
  <c r="U21" i="81"/>
  <c r="N1166" i="91"/>
  <c r="V21" i="81"/>
  <c r="O1166" i="91"/>
  <c r="W21" i="81"/>
  <c r="P1166" i="91"/>
  <c r="X21" i="81"/>
  <c r="U1166" i="91"/>
  <c r="Y21" i="81"/>
  <c r="V1166" i="91"/>
  <c r="Z21" i="81"/>
  <c r="W1166" i="91"/>
  <c r="AA21" i="81"/>
  <c r="X1166" i="91"/>
  <c r="AB21" i="81"/>
  <c r="Y1166" i="91"/>
  <c r="AC21" i="81"/>
  <c r="A1167" i="91"/>
  <c r="G1167" i="91"/>
  <c r="H1167" i="91"/>
  <c r="R22" i="81"/>
  <c r="I1167" i="91"/>
  <c r="S22" i="81"/>
  <c r="K1167" i="91"/>
  <c r="L1167" i="91"/>
  <c r="T22" i="81"/>
  <c r="M1167" i="91"/>
  <c r="U22" i="81"/>
  <c r="N1167" i="91"/>
  <c r="V22" i="81"/>
  <c r="O1167" i="91"/>
  <c r="W22" i="81"/>
  <c r="P1167" i="91"/>
  <c r="X22" i="81"/>
  <c r="U1167" i="91"/>
  <c r="Y22" i="81"/>
  <c r="V1167" i="91"/>
  <c r="Z22" i="81"/>
  <c r="W1167" i="91"/>
  <c r="AA22" i="81"/>
  <c r="X1167" i="91"/>
  <c r="AB22" i="81"/>
  <c r="Y1167" i="91"/>
  <c r="AC22" i="81"/>
  <c r="A1168" i="91"/>
  <c r="G1168" i="91"/>
  <c r="H1168" i="91"/>
  <c r="R23" i="81"/>
  <c r="I1168" i="91"/>
  <c r="S23" i="81"/>
  <c r="K1168" i="91"/>
  <c r="L1168" i="91"/>
  <c r="T23" i="81"/>
  <c r="M1168" i="91"/>
  <c r="U23" i="81"/>
  <c r="N1168" i="91"/>
  <c r="V23" i="81"/>
  <c r="O1168" i="91"/>
  <c r="W23" i="81"/>
  <c r="P1168" i="91"/>
  <c r="X23" i="81"/>
  <c r="U1168" i="91"/>
  <c r="Y23" i="81"/>
  <c r="V1168" i="91"/>
  <c r="Z23" i="81"/>
  <c r="W1168" i="91"/>
  <c r="AA23" i="81"/>
  <c r="X1168" i="91"/>
  <c r="AB23" i="81"/>
  <c r="Y1168" i="91"/>
  <c r="AC23" i="81"/>
  <c r="A1169" i="91"/>
  <c r="G1169" i="91"/>
  <c r="H1169" i="91"/>
  <c r="R24" i="81"/>
  <c r="I1169" i="91"/>
  <c r="S24" i="81"/>
  <c r="K1169" i="91"/>
  <c r="L1169" i="91"/>
  <c r="T24" i="81"/>
  <c r="M1169" i="91"/>
  <c r="U24" i="81"/>
  <c r="N1169" i="91"/>
  <c r="V24" i="81"/>
  <c r="O1169" i="91"/>
  <c r="W24" i="81"/>
  <c r="P1169" i="91"/>
  <c r="X24" i="81"/>
  <c r="U1169" i="91"/>
  <c r="Y24" i="81"/>
  <c r="V1169" i="91"/>
  <c r="Z24" i="81"/>
  <c r="W1169" i="91"/>
  <c r="AA24" i="81"/>
  <c r="X1169" i="91"/>
  <c r="AB24" i="81"/>
  <c r="Y1169" i="91"/>
  <c r="AC24" i="81"/>
  <c r="A1170" i="91"/>
  <c r="G1170" i="91"/>
  <c r="H1170" i="91"/>
  <c r="R25" i="81"/>
  <c r="I1170" i="91"/>
  <c r="S25" i="81"/>
  <c r="K1170" i="91"/>
  <c r="L1170" i="91"/>
  <c r="T25" i="81"/>
  <c r="M1170" i="91"/>
  <c r="U25" i="81"/>
  <c r="N1170" i="91"/>
  <c r="V25" i="81"/>
  <c r="O1170" i="91"/>
  <c r="W25" i="81"/>
  <c r="P1170" i="91"/>
  <c r="X25" i="81"/>
  <c r="U1170" i="91"/>
  <c r="Y25" i="81"/>
  <c r="V1170" i="91"/>
  <c r="Z25" i="81"/>
  <c r="W1170" i="91"/>
  <c r="AA25" i="81"/>
  <c r="X1170" i="91"/>
  <c r="AB25" i="81"/>
  <c r="Y1170" i="91"/>
  <c r="AC25" i="81"/>
  <c r="A1171" i="91"/>
  <c r="G1171" i="91"/>
  <c r="H1171" i="91"/>
  <c r="R26" i="81"/>
  <c r="I1171" i="91"/>
  <c r="S26" i="81"/>
  <c r="K1171" i="91"/>
  <c r="L1171" i="91"/>
  <c r="T26" i="81"/>
  <c r="M1171" i="91"/>
  <c r="U26" i="81"/>
  <c r="N1171" i="91"/>
  <c r="V26" i="81"/>
  <c r="O1171" i="91"/>
  <c r="W26" i="81"/>
  <c r="P1171" i="91"/>
  <c r="X26" i="81"/>
  <c r="U1171" i="91"/>
  <c r="Y26" i="81"/>
  <c r="V1171" i="91"/>
  <c r="Z26" i="81"/>
  <c r="W1171" i="91"/>
  <c r="AA26" i="81"/>
  <c r="X1171" i="91"/>
  <c r="AB26" i="81"/>
  <c r="Y1171" i="91"/>
  <c r="AC26" i="81"/>
  <c r="A1172" i="91"/>
  <c r="G1172" i="91"/>
  <c r="H1172" i="91"/>
  <c r="R27" i="81"/>
  <c r="I1172" i="91"/>
  <c r="S27" i="81"/>
  <c r="K1172" i="91"/>
  <c r="L1172" i="91"/>
  <c r="T27" i="81"/>
  <c r="M1172" i="91"/>
  <c r="U27" i="81"/>
  <c r="N1172" i="91"/>
  <c r="V27" i="81"/>
  <c r="O1172" i="91"/>
  <c r="W27" i="81"/>
  <c r="P1172" i="91"/>
  <c r="X27" i="81"/>
  <c r="U1172" i="91"/>
  <c r="Y27" i="81"/>
  <c r="V1172" i="91"/>
  <c r="Z27" i="81"/>
  <c r="W1172" i="91"/>
  <c r="AA27" i="81"/>
  <c r="X1172" i="91"/>
  <c r="AB27" i="81"/>
  <c r="Y1172" i="91"/>
  <c r="AC27" i="81"/>
  <c r="A1173" i="91"/>
  <c r="G1173" i="91"/>
  <c r="H1173" i="91"/>
  <c r="R28" i="81"/>
  <c r="I1173" i="91"/>
  <c r="S28" i="81"/>
  <c r="K1173" i="91"/>
  <c r="L1173" i="91"/>
  <c r="T28" i="81"/>
  <c r="M1173" i="91"/>
  <c r="U28" i="81"/>
  <c r="N1173" i="91"/>
  <c r="V28" i="81"/>
  <c r="O1173" i="91"/>
  <c r="W28" i="81"/>
  <c r="P1173" i="91"/>
  <c r="X28" i="81"/>
  <c r="U1173" i="91"/>
  <c r="Y28" i="81"/>
  <c r="V1173" i="91"/>
  <c r="Z28" i="81"/>
  <c r="W1173" i="91"/>
  <c r="AA28" i="81"/>
  <c r="X1173" i="91"/>
  <c r="AB28" i="81"/>
  <c r="Y1173" i="91"/>
  <c r="AC28" i="81"/>
  <c r="A1174" i="91"/>
  <c r="G1174" i="91"/>
  <c r="H1174" i="91"/>
  <c r="R29" i="81"/>
  <c r="I1174" i="91"/>
  <c r="S29" i="81"/>
  <c r="K1174" i="91"/>
  <c r="L1174" i="91"/>
  <c r="T29" i="81"/>
  <c r="M1174" i="91"/>
  <c r="U29" i="81"/>
  <c r="N1174" i="91"/>
  <c r="V29" i="81"/>
  <c r="O1174" i="91"/>
  <c r="W29" i="81"/>
  <c r="P1174" i="91"/>
  <c r="X29" i="81"/>
  <c r="U1174" i="91"/>
  <c r="Y29" i="81"/>
  <c r="V1174" i="91"/>
  <c r="Z29" i="81"/>
  <c r="W1174" i="91"/>
  <c r="AA29" i="81"/>
  <c r="X1174" i="91"/>
  <c r="AB29" i="81"/>
  <c r="Y1174" i="91"/>
  <c r="AC29" i="81"/>
  <c r="A1175" i="91"/>
  <c r="G1175" i="91"/>
  <c r="H1175" i="91"/>
  <c r="R30" i="81"/>
  <c r="I1175" i="91"/>
  <c r="S30" i="81"/>
  <c r="K1175" i="91"/>
  <c r="L1175" i="91"/>
  <c r="T30" i="81"/>
  <c r="M1175" i="91"/>
  <c r="U30" i="81"/>
  <c r="N1175" i="91"/>
  <c r="V30" i="81"/>
  <c r="O1175" i="91"/>
  <c r="W30" i="81"/>
  <c r="P1175" i="91"/>
  <c r="X30" i="81"/>
  <c r="U1175" i="91"/>
  <c r="Y30" i="81"/>
  <c r="V1175" i="91"/>
  <c r="Z30" i="81"/>
  <c r="W1175" i="91"/>
  <c r="AA30" i="81"/>
  <c r="X1175" i="91"/>
  <c r="AB30" i="81"/>
  <c r="Y1175" i="91"/>
  <c r="AC30" i="81"/>
  <c r="A1176" i="91"/>
  <c r="G1176" i="91"/>
  <c r="H1176" i="91"/>
  <c r="R31" i="81"/>
  <c r="I1176" i="91"/>
  <c r="S31" i="81"/>
  <c r="K1176" i="91"/>
  <c r="L1176" i="91"/>
  <c r="T31" i="81"/>
  <c r="M1176" i="91"/>
  <c r="U31" i="81"/>
  <c r="N1176" i="91"/>
  <c r="V31" i="81"/>
  <c r="O1176" i="91"/>
  <c r="W31" i="81"/>
  <c r="P1176" i="91"/>
  <c r="X31" i="81"/>
  <c r="U1176" i="91"/>
  <c r="Y31" i="81"/>
  <c r="V1176" i="91"/>
  <c r="Z31" i="81"/>
  <c r="W1176" i="91"/>
  <c r="AA31" i="81"/>
  <c r="X1176" i="91"/>
  <c r="AB31" i="81"/>
  <c r="Y1176" i="91"/>
  <c r="AC31" i="81"/>
  <c r="A1177" i="91"/>
  <c r="G1177" i="91"/>
  <c r="H1177" i="91"/>
  <c r="I1177" i="91"/>
  <c r="S32" i="81"/>
  <c r="K1177" i="91"/>
  <c r="L1177" i="91"/>
  <c r="T32" i="81"/>
  <c r="M1177" i="91"/>
  <c r="U32" i="81"/>
  <c r="N1177" i="91"/>
  <c r="V32" i="81"/>
  <c r="O1177" i="91"/>
  <c r="W32" i="81"/>
  <c r="P1177" i="91"/>
  <c r="X32" i="81"/>
  <c r="V1177" i="91"/>
  <c r="Z32" i="81"/>
  <c r="W1177" i="91"/>
  <c r="AA32" i="81"/>
  <c r="X1177" i="91"/>
  <c r="AB32" i="81"/>
  <c r="Y1177" i="91"/>
  <c r="AC32" i="81"/>
  <c r="A1178" i="91"/>
  <c r="G1178" i="91"/>
  <c r="H1178" i="91"/>
  <c r="R33" i="81"/>
  <c r="I1178" i="91"/>
  <c r="S33" i="81"/>
  <c r="K1178" i="91"/>
  <c r="L1178" i="91"/>
  <c r="T33" i="81"/>
  <c r="M1178" i="91"/>
  <c r="U33" i="81"/>
  <c r="N1178" i="91"/>
  <c r="V33" i="81"/>
  <c r="O1178" i="91"/>
  <c r="W33" i="81"/>
  <c r="P1178" i="91"/>
  <c r="X33" i="81"/>
  <c r="U1178" i="91"/>
  <c r="Y33" i="81"/>
  <c r="V1178" i="91"/>
  <c r="Z33" i="81"/>
  <c r="W1178" i="91"/>
  <c r="AA33" i="81"/>
  <c r="X1178" i="91"/>
  <c r="AB33" i="81"/>
  <c r="Y1178" i="91"/>
  <c r="AC33" i="81"/>
  <c r="A1179" i="91"/>
  <c r="G1179" i="91"/>
  <c r="H1179" i="91"/>
  <c r="R34" i="81"/>
  <c r="I1179" i="91"/>
  <c r="S34" i="81"/>
  <c r="K1179" i="91"/>
  <c r="L1179" i="91"/>
  <c r="T34" i="81"/>
  <c r="M1179" i="91"/>
  <c r="U34" i="81"/>
  <c r="N1179" i="91"/>
  <c r="V34" i="81"/>
  <c r="O1179" i="91"/>
  <c r="W34" i="81"/>
  <c r="P1179" i="91"/>
  <c r="X34" i="81"/>
  <c r="V1179" i="91"/>
  <c r="Z34" i="81"/>
  <c r="W1179" i="91"/>
  <c r="AA34" i="81"/>
  <c r="X1179" i="91"/>
  <c r="AB34" i="81"/>
  <c r="Y1179" i="91"/>
  <c r="AC34" i="81"/>
  <c r="A1180" i="91"/>
  <c r="G1180" i="91"/>
  <c r="H1180" i="91"/>
  <c r="R35" i="81"/>
  <c r="I1180" i="91"/>
  <c r="S35" i="81"/>
  <c r="K1180" i="91"/>
  <c r="L1180" i="91"/>
  <c r="T35" i="81"/>
  <c r="M1180" i="91"/>
  <c r="U35" i="81"/>
  <c r="N1180" i="91"/>
  <c r="V35" i="81"/>
  <c r="O1180" i="91"/>
  <c r="W35" i="81"/>
  <c r="P1180" i="91"/>
  <c r="X35" i="81"/>
  <c r="U1180" i="91"/>
  <c r="Y35" i="81"/>
  <c r="V1180" i="91"/>
  <c r="Z35" i="81"/>
  <c r="W1180" i="91"/>
  <c r="AA35" i="81"/>
  <c r="X1180" i="91"/>
  <c r="AB35" i="81"/>
  <c r="Y1180" i="91"/>
  <c r="AC35" i="81"/>
  <c r="A1181" i="91"/>
  <c r="G1181" i="91"/>
  <c r="H1181" i="91"/>
  <c r="R36" i="81"/>
  <c r="I1181" i="91"/>
  <c r="S36" i="81"/>
  <c r="K1181" i="91"/>
  <c r="L1181" i="91"/>
  <c r="T36" i="81"/>
  <c r="M1181" i="91"/>
  <c r="U36" i="81"/>
  <c r="N1181" i="91"/>
  <c r="V36" i="81"/>
  <c r="O1181" i="91"/>
  <c r="W36" i="81"/>
  <c r="P1181" i="91"/>
  <c r="X36" i="81"/>
  <c r="U1181" i="91"/>
  <c r="Y36" i="81"/>
  <c r="V1181" i="91"/>
  <c r="Z36" i="81"/>
  <c r="W1181" i="91"/>
  <c r="AA36" i="81"/>
  <c r="X1181" i="91"/>
  <c r="AB36" i="81"/>
  <c r="Y1181" i="91"/>
  <c r="AC36" i="81"/>
  <c r="G1187" i="91"/>
  <c r="A1188" i="91"/>
  <c r="G1188" i="91"/>
  <c r="A1189" i="91"/>
  <c r="G1189" i="91"/>
  <c r="A1190" i="91"/>
  <c r="G1190" i="91"/>
  <c r="A1191" i="91"/>
  <c r="G1191" i="91"/>
  <c r="A1192" i="91"/>
  <c r="G1192" i="91"/>
  <c r="A1193" i="91"/>
  <c r="G1193" i="91"/>
  <c r="A1194" i="91"/>
  <c r="G1194" i="91"/>
  <c r="A1195" i="91"/>
  <c r="G1195" i="91"/>
  <c r="A1196" i="91"/>
  <c r="G1196" i="91"/>
  <c r="A1197" i="91"/>
  <c r="G1197" i="91"/>
  <c r="A1198" i="91"/>
  <c r="G1198" i="91"/>
  <c r="H1198" i="91"/>
  <c r="AE22" i="81"/>
  <c r="I1198" i="91"/>
  <c r="AF22" i="81"/>
  <c r="K1198" i="91"/>
  <c r="L1198" i="91"/>
  <c r="AG22" i="81"/>
  <c r="M1198" i="91"/>
  <c r="AH22" i="81"/>
  <c r="N1198" i="91"/>
  <c r="AI22" i="81"/>
  <c r="O1198" i="91"/>
  <c r="AJ22" i="81"/>
  <c r="P1198" i="91"/>
  <c r="AK22" i="81"/>
  <c r="U1198" i="91"/>
  <c r="AL22" i="81"/>
  <c r="V1198" i="91"/>
  <c r="AM22" i="81"/>
  <c r="W1198" i="91"/>
  <c r="AN22" i="81"/>
  <c r="X1198" i="91"/>
  <c r="AO22" i="81"/>
  <c r="Y1198" i="91"/>
  <c r="AP22" i="81"/>
  <c r="A1199" i="91"/>
  <c r="G1199" i="91"/>
  <c r="I1199" i="91"/>
  <c r="AF23" i="81"/>
  <c r="L1199" i="91"/>
  <c r="AG23" i="81"/>
  <c r="M1199" i="91"/>
  <c r="AH23" i="81"/>
  <c r="N1199" i="91"/>
  <c r="AI23" i="81"/>
  <c r="O1199" i="91"/>
  <c r="AJ23" i="81"/>
  <c r="P1199" i="91"/>
  <c r="AK23" i="81"/>
  <c r="U1199" i="91"/>
  <c r="AL23" i="81"/>
  <c r="V1199" i="91"/>
  <c r="AM23" i="81"/>
  <c r="W1199" i="91"/>
  <c r="AN23" i="81"/>
  <c r="X1199" i="91"/>
  <c r="AO23" i="81"/>
  <c r="Y1199" i="91"/>
  <c r="AP23" i="81"/>
  <c r="A1200" i="91"/>
  <c r="G1200" i="91"/>
  <c r="H1200" i="91"/>
  <c r="AE24" i="81"/>
  <c r="I1200" i="91"/>
  <c r="AF24" i="81"/>
  <c r="K1200" i="91"/>
  <c r="L1200" i="91"/>
  <c r="AG24" i="81"/>
  <c r="M1200" i="91"/>
  <c r="AH24" i="81"/>
  <c r="N1200" i="91"/>
  <c r="AI24" i="81"/>
  <c r="O1200" i="91"/>
  <c r="AJ24" i="81"/>
  <c r="P1200" i="91"/>
  <c r="AK24" i="81"/>
  <c r="U1200" i="91"/>
  <c r="AL24" i="81"/>
  <c r="V1200" i="91"/>
  <c r="AM24" i="81"/>
  <c r="W1200" i="91"/>
  <c r="AN24" i="81"/>
  <c r="X1200" i="91"/>
  <c r="AO24" i="81"/>
  <c r="Y1200" i="91"/>
  <c r="AP24" i="81"/>
  <c r="A1201" i="91"/>
  <c r="G1201" i="91"/>
  <c r="H1201" i="91"/>
  <c r="AE25" i="81"/>
  <c r="I1201" i="91"/>
  <c r="AF25" i="81"/>
  <c r="K1201" i="91"/>
  <c r="L1201" i="91"/>
  <c r="AG25" i="81"/>
  <c r="M1201" i="91"/>
  <c r="AH25" i="81"/>
  <c r="N1201" i="91"/>
  <c r="AI25" i="81"/>
  <c r="O1201" i="91"/>
  <c r="AJ25" i="81"/>
  <c r="P1201" i="91"/>
  <c r="AK25" i="81"/>
  <c r="U1201" i="91"/>
  <c r="AL25" i="81"/>
  <c r="V1201" i="91"/>
  <c r="AM25" i="81"/>
  <c r="W1201" i="91"/>
  <c r="AN25" i="81"/>
  <c r="X1201" i="91"/>
  <c r="AO25" i="81"/>
  <c r="A1202" i="91"/>
  <c r="G1202" i="91"/>
  <c r="H1202" i="91"/>
  <c r="AE26" i="81"/>
  <c r="I1202" i="91"/>
  <c r="AF26" i="81"/>
  <c r="K1202" i="91"/>
  <c r="L1202" i="91"/>
  <c r="AG26" i="81"/>
  <c r="M1202" i="91"/>
  <c r="AH26" i="81"/>
  <c r="N1202" i="91"/>
  <c r="AI26" i="81"/>
  <c r="O1202" i="91"/>
  <c r="AJ26" i="81"/>
  <c r="P1202" i="91"/>
  <c r="AK26" i="81"/>
  <c r="U1202" i="91"/>
  <c r="AL26" i="81"/>
  <c r="V1202" i="91"/>
  <c r="AM26" i="81"/>
  <c r="W1202" i="91"/>
  <c r="AN26" i="81"/>
  <c r="X1202" i="91"/>
  <c r="AO26" i="81"/>
  <c r="Y1202" i="91"/>
  <c r="AP26" i="81"/>
  <c r="A1203" i="91"/>
  <c r="G1203" i="91"/>
  <c r="H1203" i="91"/>
  <c r="AE27" i="81"/>
  <c r="I1203" i="91"/>
  <c r="AF27" i="81"/>
  <c r="K1203" i="91"/>
  <c r="L1203" i="91"/>
  <c r="AG27" i="81"/>
  <c r="M1203" i="91"/>
  <c r="AH27" i="81"/>
  <c r="N1203" i="91"/>
  <c r="AI27" i="81"/>
  <c r="P1203" i="91"/>
  <c r="AK27" i="81"/>
  <c r="U1203" i="91"/>
  <c r="AL27" i="81"/>
  <c r="V1203" i="91"/>
  <c r="AM27" i="81"/>
  <c r="W1203" i="91"/>
  <c r="AN27" i="81"/>
  <c r="X1203" i="91"/>
  <c r="AO27" i="81"/>
  <c r="Y1203" i="91"/>
  <c r="AP27" i="81"/>
  <c r="A1204" i="91"/>
  <c r="G1204" i="91"/>
  <c r="H1204" i="91"/>
  <c r="AE28" i="81"/>
  <c r="I1204" i="91"/>
  <c r="AF28" i="81"/>
  <c r="K1204" i="91"/>
  <c r="L1204" i="91"/>
  <c r="AG28" i="81"/>
  <c r="M1204" i="91"/>
  <c r="AH28" i="81"/>
  <c r="N1204" i="91"/>
  <c r="AI28" i="81"/>
  <c r="O1204" i="91"/>
  <c r="AJ28" i="81"/>
  <c r="P1204" i="91"/>
  <c r="AK28" i="81"/>
  <c r="U1204" i="91"/>
  <c r="AL28" i="81"/>
  <c r="V1204" i="91"/>
  <c r="AM28" i="81"/>
  <c r="W1204" i="91"/>
  <c r="AN28" i="81"/>
  <c r="X1204" i="91"/>
  <c r="AO28" i="81"/>
  <c r="Y1204" i="91"/>
  <c r="AP28" i="81"/>
  <c r="A1205" i="91"/>
  <c r="G1205" i="91"/>
  <c r="H1205" i="91"/>
  <c r="AE29" i="81"/>
  <c r="I1205" i="91"/>
  <c r="AF29" i="81"/>
  <c r="K1205" i="91"/>
  <c r="L1205" i="91"/>
  <c r="AG29" i="81"/>
  <c r="M1205" i="91"/>
  <c r="AH29" i="81"/>
  <c r="N1205" i="91"/>
  <c r="AI29" i="81"/>
  <c r="O1205" i="91"/>
  <c r="AJ29" i="81"/>
  <c r="P1205" i="91"/>
  <c r="AK29" i="81"/>
  <c r="U1205" i="91"/>
  <c r="AL29" i="81"/>
  <c r="V1205" i="91"/>
  <c r="AM29" i="81"/>
  <c r="W1205" i="91"/>
  <c r="AN29" i="81"/>
  <c r="X1205" i="91"/>
  <c r="AO29" i="81"/>
  <c r="A1206" i="91"/>
  <c r="G1206" i="91"/>
  <c r="H1206" i="91"/>
  <c r="AE30" i="81"/>
  <c r="I1206" i="91"/>
  <c r="AF30" i="81"/>
  <c r="K1206" i="91"/>
  <c r="L1206" i="91"/>
  <c r="AG30" i="81"/>
  <c r="M1206" i="91"/>
  <c r="AH30" i="81"/>
  <c r="N1206" i="91"/>
  <c r="AI30" i="81"/>
  <c r="O1206" i="91"/>
  <c r="AJ30" i="81"/>
  <c r="P1206" i="91"/>
  <c r="AK30" i="81"/>
  <c r="U1206" i="91"/>
  <c r="AL30" i="81"/>
  <c r="V1206" i="91"/>
  <c r="AM30" i="81"/>
  <c r="W1206" i="91"/>
  <c r="AN30" i="81"/>
  <c r="X1206" i="91"/>
  <c r="AO30" i="81"/>
  <c r="Y1206" i="91"/>
  <c r="AP30" i="81"/>
  <c r="A1207" i="91"/>
  <c r="G1207" i="91"/>
  <c r="H1207" i="91"/>
  <c r="AE31" i="81"/>
  <c r="I1207" i="91"/>
  <c r="AF31" i="81"/>
  <c r="K1207" i="91"/>
  <c r="L1207" i="91"/>
  <c r="AG31" i="81"/>
  <c r="M1207" i="91"/>
  <c r="AH31" i="81"/>
  <c r="N1207" i="91"/>
  <c r="AI31" i="81"/>
  <c r="P1207" i="91"/>
  <c r="AK31" i="81"/>
  <c r="U1207" i="91"/>
  <c r="AL31" i="81"/>
  <c r="V1207" i="91"/>
  <c r="AM31" i="81"/>
  <c r="W1207" i="91"/>
  <c r="AN31" i="81"/>
  <c r="X1207" i="91"/>
  <c r="AO31" i="81"/>
  <c r="Y1207" i="91"/>
  <c r="AP31" i="81"/>
  <c r="A1208" i="91"/>
  <c r="G1208" i="91"/>
  <c r="H1208" i="91"/>
  <c r="AE32" i="81"/>
  <c r="I1208" i="91"/>
  <c r="AF32" i="81"/>
  <c r="K1208" i="91"/>
  <c r="L1208" i="91"/>
  <c r="AG32" i="81"/>
  <c r="M1208" i="91"/>
  <c r="AH32" i="81"/>
  <c r="N1208" i="91"/>
  <c r="AI32" i="81"/>
  <c r="O1208" i="91"/>
  <c r="AJ32" i="81"/>
  <c r="P1208" i="91"/>
  <c r="AK32" i="81"/>
  <c r="U1208" i="91"/>
  <c r="AL32" i="81"/>
  <c r="V1208" i="91"/>
  <c r="AM32" i="81"/>
  <c r="W1208" i="91"/>
  <c r="AN32" i="81"/>
  <c r="X1208" i="91"/>
  <c r="AO32" i="81"/>
  <c r="Y1208" i="91"/>
  <c r="AP32" i="81"/>
  <c r="A1209" i="91"/>
  <c r="G1209" i="91"/>
  <c r="H1209" i="91"/>
  <c r="AE33" i="81"/>
  <c r="I1209" i="91"/>
  <c r="AF33" i="81"/>
  <c r="K1209" i="91"/>
  <c r="L1209" i="91"/>
  <c r="AG33" i="81"/>
  <c r="M1209" i="91"/>
  <c r="AH33" i="81"/>
  <c r="N1209" i="91"/>
  <c r="AI33" i="81"/>
  <c r="O1209" i="91"/>
  <c r="AJ33" i="81"/>
  <c r="P1209" i="91"/>
  <c r="AK33" i="81"/>
  <c r="U1209" i="91"/>
  <c r="AL33" i="81"/>
  <c r="V1209" i="91"/>
  <c r="AM33" i="81"/>
  <c r="W1209" i="91"/>
  <c r="AN33" i="81"/>
  <c r="X1209" i="91"/>
  <c r="AO33" i="81"/>
  <c r="A1210" i="91"/>
  <c r="G1210" i="91"/>
  <c r="H1210" i="91"/>
  <c r="AE34" i="81"/>
  <c r="I1210" i="91"/>
  <c r="AF34" i="81"/>
  <c r="K1210" i="91"/>
  <c r="L1210" i="91"/>
  <c r="AG34" i="81"/>
  <c r="M1210" i="91"/>
  <c r="AH34" i="81"/>
  <c r="N1210" i="91"/>
  <c r="AI34" i="81"/>
  <c r="O1210" i="91"/>
  <c r="AJ34" i="81"/>
  <c r="P1210" i="91"/>
  <c r="AK34" i="81"/>
  <c r="U1210" i="91"/>
  <c r="AL34" i="81"/>
  <c r="V1210" i="91"/>
  <c r="AM34" i="81"/>
  <c r="W1210" i="91"/>
  <c r="AN34" i="81"/>
  <c r="X1210" i="91"/>
  <c r="AO34" i="81"/>
  <c r="Y1210" i="91"/>
  <c r="AP34" i="81"/>
  <c r="A1211" i="91"/>
  <c r="G1211" i="91"/>
  <c r="H1211" i="91"/>
  <c r="AE35" i="81"/>
  <c r="I1211" i="91"/>
  <c r="AF35" i="81"/>
  <c r="K1211" i="91"/>
  <c r="L1211" i="91"/>
  <c r="AG35" i="81"/>
  <c r="M1211" i="91"/>
  <c r="AH35" i="81"/>
  <c r="N1211" i="91"/>
  <c r="AI35" i="81"/>
  <c r="P1211" i="91"/>
  <c r="AK35" i="81"/>
  <c r="U1211" i="91"/>
  <c r="AL35" i="81"/>
  <c r="V1211" i="91"/>
  <c r="AM35" i="81"/>
  <c r="W1211" i="91"/>
  <c r="AN35" i="81"/>
  <c r="X1211" i="91"/>
  <c r="AO35" i="81"/>
  <c r="Y1211" i="91"/>
  <c r="AP35" i="81"/>
  <c r="A1212" i="91"/>
  <c r="G1212" i="91"/>
  <c r="H1212" i="91"/>
  <c r="AE36" i="81"/>
  <c r="I1212" i="91"/>
  <c r="AF36" i="81"/>
  <c r="K1212" i="91"/>
  <c r="L1212" i="91"/>
  <c r="AG36" i="81"/>
  <c r="M1212" i="91"/>
  <c r="AH36" i="81"/>
  <c r="N1212" i="91"/>
  <c r="AI36" i="81"/>
  <c r="O1212" i="91"/>
  <c r="AJ36" i="81"/>
  <c r="P1212" i="91"/>
  <c r="AK36" i="81"/>
  <c r="U1212" i="91"/>
  <c r="AL36" i="81"/>
  <c r="V1212" i="91"/>
  <c r="AM36" i="81"/>
  <c r="W1212" i="91"/>
  <c r="AN36" i="81"/>
  <c r="X1212" i="91"/>
  <c r="AO36" i="81"/>
  <c r="Y1212" i="91"/>
  <c r="AP36" i="81"/>
  <c r="G1218" i="91"/>
  <c r="A1219" i="91"/>
  <c r="G1219" i="91"/>
  <c r="K1219" i="91"/>
  <c r="L1219" i="91"/>
  <c r="T64" i="81"/>
  <c r="M1219" i="91"/>
  <c r="U64" i="81"/>
  <c r="N1219" i="91"/>
  <c r="V64" i="81"/>
  <c r="O1219" i="91"/>
  <c r="W64" i="81"/>
  <c r="P1219" i="91"/>
  <c r="X64" i="81"/>
  <c r="U1219" i="91"/>
  <c r="Y64" i="81"/>
  <c r="V1219" i="91"/>
  <c r="Z64" i="81"/>
  <c r="W1219" i="91"/>
  <c r="AA64" i="81"/>
  <c r="X1219" i="91"/>
  <c r="AB64" i="81"/>
  <c r="Y1219" i="91"/>
  <c r="AC64" i="81"/>
  <c r="A1220" i="91"/>
  <c r="G1220" i="91"/>
  <c r="K1220" i="91"/>
  <c r="L1220" i="91"/>
  <c r="T65" i="81"/>
  <c r="M1220" i="91"/>
  <c r="U65" i="81"/>
  <c r="N1220" i="91"/>
  <c r="V65" i="81"/>
  <c r="O1220" i="91"/>
  <c r="W65" i="81"/>
  <c r="P1220" i="91"/>
  <c r="X65" i="81"/>
  <c r="U1220" i="91"/>
  <c r="Y65" i="81"/>
  <c r="V1220" i="91"/>
  <c r="Z65" i="81"/>
  <c r="W1220" i="91"/>
  <c r="AA65" i="81"/>
  <c r="X1220" i="91"/>
  <c r="AB65" i="81"/>
  <c r="Y1220" i="91"/>
  <c r="AC65" i="81"/>
  <c r="A1221" i="91"/>
  <c r="G1221" i="91"/>
  <c r="K1221" i="91"/>
  <c r="L1221" i="91"/>
  <c r="T66" i="81"/>
  <c r="M1221" i="91"/>
  <c r="U66" i="81"/>
  <c r="N1221" i="91"/>
  <c r="V66" i="81"/>
  <c r="O1221" i="91"/>
  <c r="W66" i="81"/>
  <c r="P1221" i="91"/>
  <c r="X66" i="81"/>
  <c r="U1221" i="91"/>
  <c r="Y66" i="81"/>
  <c r="V1221" i="91"/>
  <c r="Z66" i="81"/>
  <c r="W1221" i="91"/>
  <c r="AA66" i="81"/>
  <c r="X1221" i="91"/>
  <c r="AB66" i="81"/>
  <c r="Y1221" i="91"/>
  <c r="AC66" i="81"/>
  <c r="A1222" i="91"/>
  <c r="G1222" i="91"/>
  <c r="K1222" i="91"/>
  <c r="L1222" i="91"/>
  <c r="T67" i="81"/>
  <c r="M1222" i="91"/>
  <c r="U67" i="81"/>
  <c r="N1222" i="91"/>
  <c r="V67" i="81"/>
  <c r="O1222" i="91"/>
  <c r="W67" i="81"/>
  <c r="P1222" i="91"/>
  <c r="X67" i="81"/>
  <c r="U1222" i="91"/>
  <c r="Y67" i="81"/>
  <c r="V1222" i="91"/>
  <c r="Z67" i="81"/>
  <c r="W1222" i="91"/>
  <c r="AA67" i="81"/>
  <c r="X1222" i="91"/>
  <c r="AB67" i="81"/>
  <c r="Y1222" i="91"/>
  <c r="AC67" i="81"/>
  <c r="A1223" i="91"/>
  <c r="G1223" i="91"/>
  <c r="K1223" i="91"/>
  <c r="L1223" i="91"/>
  <c r="T68" i="81"/>
  <c r="M1223" i="91"/>
  <c r="U68" i="81"/>
  <c r="N1223" i="91"/>
  <c r="V68" i="81"/>
  <c r="O1223" i="91"/>
  <c r="W68" i="81"/>
  <c r="P1223" i="91"/>
  <c r="X68" i="81"/>
  <c r="U1223" i="91"/>
  <c r="Y68" i="81"/>
  <c r="V1223" i="91"/>
  <c r="Z68" i="81"/>
  <c r="W1223" i="91"/>
  <c r="AA68" i="81"/>
  <c r="X1223" i="91"/>
  <c r="AB68" i="81"/>
  <c r="Y1223" i="91"/>
  <c r="AC68" i="81"/>
  <c r="A1224" i="91"/>
  <c r="G1224" i="91"/>
  <c r="K1224" i="91"/>
  <c r="L1224" i="91"/>
  <c r="T69" i="81"/>
  <c r="M1224" i="91"/>
  <c r="U69" i="81"/>
  <c r="N1224" i="91"/>
  <c r="V69" i="81"/>
  <c r="O1224" i="91"/>
  <c r="W69" i="81"/>
  <c r="P1224" i="91"/>
  <c r="X69" i="81"/>
  <c r="U1224" i="91"/>
  <c r="Y69" i="81"/>
  <c r="V1224" i="91"/>
  <c r="Z69" i="81"/>
  <c r="W1224" i="91"/>
  <c r="AA69" i="81"/>
  <c r="X1224" i="91"/>
  <c r="AB69" i="81"/>
  <c r="Y1224" i="91"/>
  <c r="AC69" i="81"/>
  <c r="A1225" i="91"/>
  <c r="G1225" i="91"/>
  <c r="K1225" i="91"/>
  <c r="L1225" i="91"/>
  <c r="T70" i="81"/>
  <c r="M1225" i="91"/>
  <c r="U70" i="81"/>
  <c r="N1225" i="91"/>
  <c r="V70" i="81"/>
  <c r="O1225" i="91"/>
  <c r="W70" i="81"/>
  <c r="P1225" i="91"/>
  <c r="X70" i="81"/>
  <c r="U1225" i="91"/>
  <c r="Y70" i="81"/>
  <c r="V1225" i="91"/>
  <c r="Z70" i="81"/>
  <c r="W1225" i="91"/>
  <c r="AA70" i="81"/>
  <c r="X1225" i="91"/>
  <c r="AB70" i="81"/>
  <c r="Y1225" i="91"/>
  <c r="AC70" i="81"/>
  <c r="A1226" i="91"/>
  <c r="G1226" i="91"/>
  <c r="K1226" i="91"/>
  <c r="L1226" i="91"/>
  <c r="T71" i="81"/>
  <c r="M1226" i="91"/>
  <c r="U71" i="81"/>
  <c r="N1226" i="91"/>
  <c r="V71" i="81"/>
  <c r="O1226" i="91"/>
  <c r="W71" i="81"/>
  <c r="P1226" i="91"/>
  <c r="X71" i="81"/>
  <c r="U1226" i="91"/>
  <c r="Y71" i="81"/>
  <c r="V1226" i="91"/>
  <c r="Z71" i="81"/>
  <c r="W1226" i="91"/>
  <c r="AA71" i="81"/>
  <c r="X1226" i="91"/>
  <c r="AB71" i="81"/>
  <c r="Y1226" i="91"/>
  <c r="AC71" i="81"/>
  <c r="A1227" i="91"/>
  <c r="G1227" i="91"/>
  <c r="K1227" i="91"/>
  <c r="L1227" i="91"/>
  <c r="T72" i="81"/>
  <c r="M1227" i="91"/>
  <c r="U72" i="81"/>
  <c r="N1227" i="91"/>
  <c r="V72" i="81"/>
  <c r="O1227" i="91"/>
  <c r="W72" i="81"/>
  <c r="P1227" i="91"/>
  <c r="X72" i="81"/>
  <c r="U1227" i="91"/>
  <c r="Y72" i="81"/>
  <c r="V1227" i="91"/>
  <c r="Z72" i="81"/>
  <c r="W1227" i="91"/>
  <c r="AA72" i="81"/>
  <c r="X1227" i="91"/>
  <c r="AB72" i="81"/>
  <c r="Y1227" i="91"/>
  <c r="AC72" i="81"/>
  <c r="A1228" i="91"/>
  <c r="G1228" i="91"/>
  <c r="K1228" i="91"/>
  <c r="L1228" i="91"/>
  <c r="T73" i="81"/>
  <c r="M1228" i="91"/>
  <c r="U73" i="81"/>
  <c r="N1228" i="91"/>
  <c r="V73" i="81"/>
  <c r="O1228" i="91"/>
  <c r="W73" i="81"/>
  <c r="P1228" i="91"/>
  <c r="X73" i="81"/>
  <c r="U1228" i="91"/>
  <c r="Y73" i="81"/>
  <c r="V1228" i="91"/>
  <c r="Z73" i="81"/>
  <c r="W1228" i="91"/>
  <c r="AA73" i="81"/>
  <c r="X1228" i="91"/>
  <c r="AB73" i="81"/>
  <c r="Y1228" i="91"/>
  <c r="AC73" i="81"/>
  <c r="A1229" i="91"/>
  <c r="G1229" i="91"/>
  <c r="K1229" i="91"/>
  <c r="L1229" i="91"/>
  <c r="T74" i="81"/>
  <c r="M1229" i="91"/>
  <c r="U74" i="81"/>
  <c r="N1229" i="91"/>
  <c r="V74" i="81"/>
  <c r="O1229" i="91"/>
  <c r="W74" i="81"/>
  <c r="P1229" i="91"/>
  <c r="X74" i="81"/>
  <c r="U1229" i="91"/>
  <c r="Y74" i="81"/>
  <c r="V1229" i="91"/>
  <c r="Z74" i="81"/>
  <c r="W1229" i="91"/>
  <c r="AA74" i="81"/>
  <c r="X1229" i="91"/>
  <c r="AB74" i="81"/>
  <c r="Y1229" i="91"/>
  <c r="AC74" i="81"/>
  <c r="A1230" i="91"/>
  <c r="G1230" i="91"/>
  <c r="K1230" i="91"/>
  <c r="L1230" i="91"/>
  <c r="T75" i="81"/>
  <c r="M1230" i="91"/>
  <c r="U75" i="81"/>
  <c r="N1230" i="91"/>
  <c r="V75" i="81"/>
  <c r="O1230" i="91"/>
  <c r="W75" i="81"/>
  <c r="P1230" i="91"/>
  <c r="X75" i="81"/>
  <c r="U1230" i="91"/>
  <c r="Y75" i="81"/>
  <c r="V1230" i="91"/>
  <c r="Z75" i="81"/>
  <c r="W1230" i="91"/>
  <c r="AA75" i="81"/>
  <c r="X1230" i="91"/>
  <c r="AB75" i="81"/>
  <c r="Y1230" i="91"/>
  <c r="AC75" i="81"/>
  <c r="A1231" i="91"/>
  <c r="G1231" i="91"/>
  <c r="K1231" i="91"/>
  <c r="L1231" i="91"/>
  <c r="T76" i="81"/>
  <c r="M1231" i="91"/>
  <c r="U76" i="81"/>
  <c r="N1231" i="91"/>
  <c r="V76" i="81"/>
  <c r="O1231" i="91"/>
  <c r="W76" i="81"/>
  <c r="P1231" i="91"/>
  <c r="X76" i="81"/>
  <c r="U1231" i="91"/>
  <c r="Y76" i="81"/>
  <c r="V1231" i="91"/>
  <c r="Z76" i="81"/>
  <c r="W1231" i="91"/>
  <c r="AA76" i="81"/>
  <c r="X1231" i="91"/>
  <c r="AB76" i="81"/>
  <c r="Y1231" i="91"/>
  <c r="AC76" i="81"/>
  <c r="A1232" i="91"/>
  <c r="G1232" i="91"/>
  <c r="K1232" i="91"/>
  <c r="L1232" i="91"/>
  <c r="T77" i="81"/>
  <c r="M1232" i="91"/>
  <c r="U77" i="81"/>
  <c r="N1232" i="91"/>
  <c r="V77" i="81"/>
  <c r="O1232" i="91"/>
  <c r="W77" i="81"/>
  <c r="P1232" i="91"/>
  <c r="X77" i="81"/>
  <c r="U1232" i="91"/>
  <c r="Y77" i="81"/>
  <c r="V1232" i="91"/>
  <c r="Z77" i="81"/>
  <c r="W1232" i="91"/>
  <c r="AA77" i="81"/>
  <c r="X1232" i="91"/>
  <c r="AB77" i="81"/>
  <c r="Y1232" i="91"/>
  <c r="AC77" i="81"/>
  <c r="A1233" i="91"/>
  <c r="G1233" i="91"/>
  <c r="K1233" i="91"/>
  <c r="L1233" i="91"/>
  <c r="T78" i="81"/>
  <c r="M1233" i="91"/>
  <c r="U78" i="81"/>
  <c r="N1233" i="91"/>
  <c r="V78" i="81"/>
  <c r="O1233" i="91"/>
  <c r="W78" i="81"/>
  <c r="P1233" i="91"/>
  <c r="X78" i="81"/>
  <c r="U1233" i="91"/>
  <c r="Y78" i="81"/>
  <c r="V1233" i="91"/>
  <c r="Z78" i="81"/>
  <c r="W1233" i="91"/>
  <c r="AA78" i="81"/>
  <c r="X1233" i="91"/>
  <c r="AB78" i="81"/>
  <c r="Y1233" i="91"/>
  <c r="AC78" i="81"/>
  <c r="A1234" i="91"/>
  <c r="G1234" i="91"/>
  <c r="K1234" i="91"/>
  <c r="L1234" i="91"/>
  <c r="T79" i="81"/>
  <c r="M1234" i="91"/>
  <c r="U79" i="81"/>
  <c r="N1234" i="91"/>
  <c r="V79" i="81"/>
  <c r="O1234" i="91"/>
  <c r="W79" i="81"/>
  <c r="P1234" i="91"/>
  <c r="X79" i="81"/>
  <c r="U1234" i="91"/>
  <c r="Y79" i="81"/>
  <c r="V1234" i="91"/>
  <c r="Z79" i="81"/>
  <c r="W1234" i="91"/>
  <c r="AA79" i="81"/>
  <c r="X1234" i="91"/>
  <c r="AB79" i="81"/>
  <c r="Y1234" i="91"/>
  <c r="AC79" i="81"/>
  <c r="A1235" i="91"/>
  <c r="G1235" i="91"/>
  <c r="K1235" i="91"/>
  <c r="L1235" i="91"/>
  <c r="T80" i="81"/>
  <c r="M1235" i="91"/>
  <c r="U80" i="81"/>
  <c r="N1235" i="91"/>
  <c r="V80" i="81"/>
  <c r="O1235" i="91"/>
  <c r="W80" i="81"/>
  <c r="P1235" i="91"/>
  <c r="X80" i="81"/>
  <c r="U1235" i="91"/>
  <c r="Y80" i="81"/>
  <c r="V1235" i="91"/>
  <c r="Z80" i="81"/>
  <c r="W1235" i="91"/>
  <c r="AA80" i="81"/>
  <c r="X1235" i="91"/>
  <c r="AB80" i="81"/>
  <c r="Y1235" i="91"/>
  <c r="AC80" i="81"/>
  <c r="A1236" i="91"/>
  <c r="G1236" i="91"/>
  <c r="K1236" i="91"/>
  <c r="L1236" i="91"/>
  <c r="T81" i="81"/>
  <c r="M1236" i="91"/>
  <c r="U81" i="81"/>
  <c r="N1236" i="91"/>
  <c r="V81" i="81"/>
  <c r="O1236" i="91"/>
  <c r="W81" i="81"/>
  <c r="P1236" i="91"/>
  <c r="X81" i="81"/>
  <c r="U1236" i="91"/>
  <c r="Y81" i="81"/>
  <c r="V1236" i="91"/>
  <c r="Z81" i="81"/>
  <c r="W1236" i="91"/>
  <c r="AA81" i="81"/>
  <c r="X1236" i="91"/>
  <c r="AB81" i="81"/>
  <c r="Y1236" i="91"/>
  <c r="AC81" i="81"/>
  <c r="A1237" i="91"/>
  <c r="G1237" i="91"/>
  <c r="K1237" i="91"/>
  <c r="L1237" i="91"/>
  <c r="T82" i="81"/>
  <c r="M1237" i="91"/>
  <c r="U82" i="81"/>
  <c r="N1237" i="91"/>
  <c r="V82" i="81"/>
  <c r="O1237" i="91"/>
  <c r="W82" i="81"/>
  <c r="P1237" i="91"/>
  <c r="X82" i="81"/>
  <c r="U1237" i="91"/>
  <c r="Y82" i="81"/>
  <c r="V1237" i="91"/>
  <c r="Z82" i="81"/>
  <c r="W1237" i="91"/>
  <c r="AA82" i="81"/>
  <c r="X1237" i="91"/>
  <c r="AB82" i="81"/>
  <c r="Y1237" i="91"/>
  <c r="AC82" i="81"/>
  <c r="A1238" i="91"/>
  <c r="G1238" i="91"/>
  <c r="K1238" i="91"/>
  <c r="L1238" i="91"/>
  <c r="T83" i="81"/>
  <c r="M1238" i="91"/>
  <c r="U83" i="81"/>
  <c r="N1238" i="91"/>
  <c r="V83" i="81"/>
  <c r="O1238" i="91"/>
  <c r="W83" i="81"/>
  <c r="P1238" i="91"/>
  <c r="X83" i="81"/>
  <c r="U1238" i="91"/>
  <c r="Y83" i="81"/>
  <c r="V1238" i="91"/>
  <c r="Z83" i="81"/>
  <c r="W1238" i="91"/>
  <c r="AA83" i="81"/>
  <c r="X1238" i="91"/>
  <c r="AB83" i="81"/>
  <c r="Y1238" i="91"/>
  <c r="AC83" i="81"/>
  <c r="A1239" i="91"/>
  <c r="G1239" i="91"/>
  <c r="K1239" i="91"/>
  <c r="L1239" i="91"/>
  <c r="T84" i="81"/>
  <c r="M1239" i="91"/>
  <c r="U84" i="81"/>
  <c r="N1239" i="91"/>
  <c r="V84" i="81"/>
  <c r="O1239" i="91"/>
  <c r="W84" i="81"/>
  <c r="P1239" i="91"/>
  <c r="X84" i="81"/>
  <c r="U1239" i="91"/>
  <c r="Y84" i="81"/>
  <c r="V1239" i="91"/>
  <c r="Z84" i="81"/>
  <c r="W1239" i="91"/>
  <c r="AA84" i="81"/>
  <c r="X1239" i="91"/>
  <c r="AB84" i="81"/>
  <c r="Y1239" i="91"/>
  <c r="AC84" i="81"/>
  <c r="A1240" i="91"/>
  <c r="G1240" i="91"/>
  <c r="K1240" i="91"/>
  <c r="L1240" i="91"/>
  <c r="T85" i="81"/>
  <c r="M1240" i="91"/>
  <c r="U85" i="81"/>
  <c r="N1240" i="91"/>
  <c r="V85" i="81"/>
  <c r="O1240" i="91"/>
  <c r="W85" i="81"/>
  <c r="P1240" i="91"/>
  <c r="X85" i="81"/>
  <c r="U1240" i="91"/>
  <c r="Y85" i="81"/>
  <c r="V1240" i="91"/>
  <c r="Z85" i="81"/>
  <c r="W1240" i="91"/>
  <c r="AA85" i="81"/>
  <c r="X1240" i="91"/>
  <c r="AB85" i="81"/>
  <c r="Y1240" i="91"/>
  <c r="AC85" i="81"/>
  <c r="A1241" i="91"/>
  <c r="G1241" i="91"/>
  <c r="K1241" i="91"/>
  <c r="L1241" i="91"/>
  <c r="T86" i="81"/>
  <c r="M1241" i="91"/>
  <c r="U86" i="81"/>
  <c r="N1241" i="91"/>
  <c r="V86" i="81"/>
  <c r="O1241" i="91"/>
  <c r="W86" i="81"/>
  <c r="P1241" i="91"/>
  <c r="X86" i="81"/>
  <c r="U1241" i="91"/>
  <c r="Y86" i="81"/>
  <c r="V1241" i="91"/>
  <c r="Z86" i="81"/>
  <c r="W1241" i="91"/>
  <c r="AA86" i="81"/>
  <c r="X1241" i="91"/>
  <c r="AB86" i="81"/>
  <c r="Y1241" i="91"/>
  <c r="AC86" i="81"/>
  <c r="A1242" i="91"/>
  <c r="G1242" i="91"/>
  <c r="K1242" i="91"/>
  <c r="L1242" i="91"/>
  <c r="T87" i="81"/>
  <c r="M1242" i="91"/>
  <c r="U87" i="81"/>
  <c r="N1242" i="91"/>
  <c r="V87" i="81"/>
  <c r="O1242" i="91"/>
  <c r="W87" i="81"/>
  <c r="P1242" i="91"/>
  <c r="X87" i="81"/>
  <c r="U1242" i="91"/>
  <c r="Y87" i="81"/>
  <c r="V1242" i="91"/>
  <c r="Z87" i="81"/>
  <c r="W1242" i="91"/>
  <c r="AA87" i="81"/>
  <c r="X1242" i="91"/>
  <c r="AB87" i="81"/>
  <c r="Y1242" i="91"/>
  <c r="AC87" i="81"/>
  <c r="A1243" i="91"/>
  <c r="G1243" i="91"/>
  <c r="K1243" i="91"/>
  <c r="L1243" i="91"/>
  <c r="T88" i="81"/>
  <c r="M1243" i="91"/>
  <c r="U88" i="81"/>
  <c r="N1243" i="91"/>
  <c r="V88" i="81"/>
  <c r="O1243" i="91"/>
  <c r="W88" i="81"/>
  <c r="P1243" i="91"/>
  <c r="X88" i="81"/>
  <c r="U1243" i="91"/>
  <c r="Y88" i="81"/>
  <c r="V1243" i="91"/>
  <c r="Z88" i="81"/>
  <c r="W1243" i="91"/>
  <c r="AA88" i="81"/>
  <c r="X1243" i="91"/>
  <c r="AB88" i="81"/>
  <c r="Y1243" i="91"/>
  <c r="AC88" i="81"/>
  <c r="K1248" i="91"/>
  <c r="L1248" i="91"/>
  <c r="M1248" i="91"/>
  <c r="N1248" i="91"/>
  <c r="G1249" i="91"/>
  <c r="A1250" i="91"/>
  <c r="G1250" i="91"/>
  <c r="A1251" i="91"/>
  <c r="G1251" i="91"/>
  <c r="A1252" i="91"/>
  <c r="G1252" i="91"/>
  <c r="A1253" i="91"/>
  <c r="G1253" i="91"/>
  <c r="A1254" i="91"/>
  <c r="G1254" i="91"/>
  <c r="A1255" i="91"/>
  <c r="G1255" i="91"/>
  <c r="A1256" i="91"/>
  <c r="G1256" i="91"/>
  <c r="A1257" i="91"/>
  <c r="G1257" i="91"/>
  <c r="A1258" i="91"/>
  <c r="G1258" i="91"/>
  <c r="A1259" i="91"/>
  <c r="G1259" i="91"/>
  <c r="A1260" i="91"/>
  <c r="G1260" i="91"/>
  <c r="K1260" i="91"/>
  <c r="L1260" i="91"/>
  <c r="AG74" i="81"/>
  <c r="M1260" i="91"/>
  <c r="AH74" i="81"/>
  <c r="N1260" i="91"/>
  <c r="AI74" i="81"/>
  <c r="O1260" i="91"/>
  <c r="AJ74" i="81"/>
  <c r="P1260" i="91"/>
  <c r="AK74" i="81"/>
  <c r="U1260" i="91"/>
  <c r="AL74" i="81"/>
  <c r="V1260" i="91"/>
  <c r="AM74" i="81"/>
  <c r="W1260" i="91"/>
  <c r="AN74" i="81"/>
  <c r="X1260" i="91"/>
  <c r="AO74" i="81"/>
  <c r="Y1260" i="91"/>
  <c r="AP74" i="81"/>
  <c r="A1261" i="91"/>
  <c r="G1261" i="91"/>
  <c r="K1261" i="91"/>
  <c r="L1261" i="91"/>
  <c r="AG75" i="81"/>
  <c r="M1261" i="91"/>
  <c r="AH75" i="81"/>
  <c r="N1261" i="91"/>
  <c r="AI75" i="81"/>
  <c r="O1261" i="91"/>
  <c r="AJ75" i="81"/>
  <c r="P1261" i="91"/>
  <c r="AK75" i="81"/>
  <c r="U1261" i="91"/>
  <c r="AL75" i="81"/>
  <c r="V1261" i="91"/>
  <c r="AM75" i="81"/>
  <c r="W1261" i="91"/>
  <c r="AN75" i="81"/>
  <c r="X1261" i="91"/>
  <c r="AO75" i="81"/>
  <c r="Y1261" i="91"/>
  <c r="AP75" i="81"/>
  <c r="A1262" i="91"/>
  <c r="G1262" i="91"/>
  <c r="K1262" i="91"/>
  <c r="L1262" i="91"/>
  <c r="AG76" i="81"/>
  <c r="M1262" i="91"/>
  <c r="AH76" i="81"/>
  <c r="N1262" i="91"/>
  <c r="AI76" i="81"/>
  <c r="O1262" i="91"/>
  <c r="AJ76" i="81"/>
  <c r="P1262" i="91"/>
  <c r="AK76" i="81"/>
  <c r="U1262" i="91"/>
  <c r="AL76" i="81"/>
  <c r="V1262" i="91"/>
  <c r="AM76" i="81"/>
  <c r="W1262" i="91"/>
  <c r="AN76" i="81"/>
  <c r="X1262" i="91"/>
  <c r="AO76" i="81"/>
  <c r="Y1262" i="91"/>
  <c r="AP76" i="81"/>
  <c r="A1263" i="91"/>
  <c r="G1263" i="91"/>
  <c r="K1263" i="91"/>
  <c r="L1263" i="91"/>
  <c r="AG77" i="81"/>
  <c r="M1263" i="91"/>
  <c r="AH77" i="81"/>
  <c r="N1263" i="91"/>
  <c r="AI77" i="81"/>
  <c r="O1263" i="91"/>
  <c r="AJ77" i="81"/>
  <c r="P1263" i="91"/>
  <c r="AK77" i="81"/>
  <c r="U1263" i="91"/>
  <c r="AL77" i="81"/>
  <c r="V1263" i="91"/>
  <c r="AM77" i="81"/>
  <c r="W1263" i="91"/>
  <c r="AN77" i="81"/>
  <c r="X1263" i="91"/>
  <c r="AO77" i="81"/>
  <c r="Y1263" i="91"/>
  <c r="AP77" i="81"/>
  <c r="A1264" i="91"/>
  <c r="G1264" i="91"/>
  <c r="K1264" i="91"/>
  <c r="L1264" i="91"/>
  <c r="AG78" i="81"/>
  <c r="M1264" i="91"/>
  <c r="AH78" i="81"/>
  <c r="N1264" i="91"/>
  <c r="AI78" i="81"/>
  <c r="O1264" i="91"/>
  <c r="AJ78" i="81"/>
  <c r="P1264" i="91"/>
  <c r="AK78" i="81"/>
  <c r="U1264" i="91"/>
  <c r="AL78" i="81"/>
  <c r="V1264" i="91"/>
  <c r="AM78" i="81"/>
  <c r="W1264" i="91"/>
  <c r="AN78" i="81"/>
  <c r="X1264" i="91"/>
  <c r="AO78" i="81"/>
  <c r="Y1264" i="91"/>
  <c r="AP78" i="81"/>
  <c r="A1265" i="91"/>
  <c r="G1265" i="91"/>
  <c r="K1265" i="91"/>
  <c r="L1265" i="91"/>
  <c r="AG79" i="81"/>
  <c r="M1265" i="91"/>
  <c r="AH79" i="81"/>
  <c r="N1265" i="91"/>
  <c r="AI79" i="81"/>
  <c r="O1265" i="91"/>
  <c r="AJ79" i="81"/>
  <c r="P1265" i="91"/>
  <c r="AK79" i="81"/>
  <c r="U1265" i="91"/>
  <c r="AL79" i="81"/>
  <c r="V1265" i="91"/>
  <c r="AM79" i="81"/>
  <c r="W1265" i="91"/>
  <c r="AN79" i="81"/>
  <c r="X1265" i="91"/>
  <c r="AO79" i="81"/>
  <c r="Y1265" i="91"/>
  <c r="AP79" i="81"/>
  <c r="A1266" i="91"/>
  <c r="G1266" i="91"/>
  <c r="K1266" i="91"/>
  <c r="L1266" i="91"/>
  <c r="AG80" i="81"/>
  <c r="M1266" i="91"/>
  <c r="AH80" i="81"/>
  <c r="N1266" i="91"/>
  <c r="AI80" i="81"/>
  <c r="O1266" i="91"/>
  <c r="AJ80" i="81"/>
  <c r="P1266" i="91"/>
  <c r="AK80" i="81"/>
  <c r="U1266" i="91"/>
  <c r="AL80" i="81"/>
  <c r="V1266" i="91"/>
  <c r="AM80" i="81"/>
  <c r="W1266" i="91"/>
  <c r="AN80" i="81"/>
  <c r="X1266" i="91"/>
  <c r="AO80" i="81"/>
  <c r="Y1266" i="91"/>
  <c r="AP80" i="81"/>
  <c r="A1267" i="91"/>
  <c r="G1267" i="91"/>
  <c r="K1267" i="91"/>
  <c r="L1267" i="91"/>
  <c r="AG81" i="81"/>
  <c r="M1267" i="91"/>
  <c r="AH81" i="81"/>
  <c r="N1267" i="91"/>
  <c r="AI81" i="81"/>
  <c r="O1267" i="91"/>
  <c r="AJ81" i="81"/>
  <c r="P1267" i="91"/>
  <c r="AK81" i="81"/>
  <c r="U1267" i="91"/>
  <c r="AL81" i="81"/>
  <c r="V1267" i="91"/>
  <c r="AM81" i="81"/>
  <c r="W1267" i="91"/>
  <c r="AN81" i="81"/>
  <c r="X1267" i="91"/>
  <c r="AO81" i="81"/>
  <c r="Y1267" i="91"/>
  <c r="AP81" i="81"/>
  <c r="A1268" i="91"/>
  <c r="G1268" i="91"/>
  <c r="K1268" i="91"/>
  <c r="L1268" i="91"/>
  <c r="AG82" i="81"/>
  <c r="M1268" i="91"/>
  <c r="AH82" i="81"/>
  <c r="N1268" i="91"/>
  <c r="AI82" i="81"/>
  <c r="O1268" i="91"/>
  <c r="AJ82" i="81"/>
  <c r="P1268" i="91"/>
  <c r="AK82" i="81"/>
  <c r="U1268" i="91"/>
  <c r="AL82" i="81"/>
  <c r="V1268" i="91"/>
  <c r="AM82" i="81"/>
  <c r="W1268" i="91"/>
  <c r="AN82" i="81"/>
  <c r="X1268" i="91"/>
  <c r="AO82" i="81"/>
  <c r="Y1268" i="91"/>
  <c r="AP82" i="81"/>
  <c r="A1269" i="91"/>
  <c r="G1269" i="91"/>
  <c r="K1269" i="91"/>
  <c r="L1269" i="91"/>
  <c r="AG83" i="81"/>
  <c r="M1269" i="91"/>
  <c r="AH83" i="81"/>
  <c r="N1269" i="91"/>
  <c r="AI83" i="81"/>
  <c r="O1269" i="91"/>
  <c r="AJ83" i="81"/>
  <c r="P1269" i="91"/>
  <c r="AK83" i="81"/>
  <c r="U1269" i="91"/>
  <c r="AL83" i="81"/>
  <c r="V1269" i="91"/>
  <c r="AM83" i="81"/>
  <c r="W1269" i="91"/>
  <c r="AN83" i="81"/>
  <c r="X1269" i="91"/>
  <c r="AO83" i="81"/>
  <c r="Y1269" i="91"/>
  <c r="AP83" i="81"/>
  <c r="A1270" i="91"/>
  <c r="G1270" i="91"/>
  <c r="K1270" i="91"/>
  <c r="L1270" i="91"/>
  <c r="AG84" i="81"/>
  <c r="M1270" i="91"/>
  <c r="AH84" i="81"/>
  <c r="N1270" i="91"/>
  <c r="AI84" i="81"/>
  <c r="O1270" i="91"/>
  <c r="AJ84" i="81"/>
  <c r="P1270" i="91"/>
  <c r="AK84" i="81"/>
  <c r="U1270" i="91"/>
  <c r="AL84" i="81"/>
  <c r="V1270" i="91"/>
  <c r="AM84" i="81"/>
  <c r="W1270" i="91"/>
  <c r="AN84" i="81"/>
  <c r="X1270" i="91"/>
  <c r="AO84" i="81"/>
  <c r="Y1270" i="91"/>
  <c r="AP84" i="81"/>
  <c r="A1271" i="91"/>
  <c r="G1271" i="91"/>
  <c r="K1271" i="91"/>
  <c r="L1271" i="91"/>
  <c r="AG85" i="81"/>
  <c r="M1271" i="91"/>
  <c r="AH85" i="81"/>
  <c r="N1271" i="91"/>
  <c r="AI85" i="81"/>
  <c r="O1271" i="91"/>
  <c r="AJ85" i="81"/>
  <c r="P1271" i="91"/>
  <c r="AK85" i="81"/>
  <c r="U1271" i="91"/>
  <c r="AL85" i="81"/>
  <c r="V1271" i="91"/>
  <c r="AM85" i="81"/>
  <c r="W1271" i="91"/>
  <c r="AN85" i="81"/>
  <c r="X1271" i="91"/>
  <c r="AO85" i="81"/>
  <c r="Y1271" i="91"/>
  <c r="AP85" i="81"/>
  <c r="A1272" i="91"/>
  <c r="G1272" i="91"/>
  <c r="K1272" i="91"/>
  <c r="L1272" i="91"/>
  <c r="AG86" i="81"/>
  <c r="M1272" i="91"/>
  <c r="AH86" i="81"/>
  <c r="N1272" i="91"/>
  <c r="AI86" i="81"/>
  <c r="O1272" i="91"/>
  <c r="AJ86" i="81"/>
  <c r="P1272" i="91"/>
  <c r="AK86" i="81"/>
  <c r="U1272" i="91"/>
  <c r="AL86" i="81"/>
  <c r="V1272" i="91"/>
  <c r="AM86" i="81"/>
  <c r="W1272" i="91"/>
  <c r="AN86" i="81"/>
  <c r="X1272" i="91"/>
  <c r="AO86" i="81"/>
  <c r="Y1272" i="91"/>
  <c r="AP86" i="81"/>
  <c r="A1273" i="91"/>
  <c r="G1273" i="91"/>
  <c r="K1273" i="91"/>
  <c r="L1273" i="91"/>
  <c r="AG87" i="81"/>
  <c r="M1273" i="91"/>
  <c r="AH87" i="81"/>
  <c r="N1273" i="91"/>
  <c r="AI87" i="81"/>
  <c r="O1273" i="91"/>
  <c r="AJ87" i="81"/>
  <c r="P1273" i="91"/>
  <c r="AK87" i="81"/>
  <c r="U1273" i="91"/>
  <c r="AL87" i="81"/>
  <c r="V1273" i="91"/>
  <c r="AM87" i="81"/>
  <c r="W1273" i="91"/>
  <c r="AN87" i="81"/>
  <c r="X1273" i="91"/>
  <c r="AO87" i="81"/>
  <c r="Y1273" i="91"/>
  <c r="AP87" i="81"/>
  <c r="A1274" i="91"/>
  <c r="G1274" i="91"/>
  <c r="K1274" i="91"/>
  <c r="L1274" i="91"/>
  <c r="AG88" i="81"/>
  <c r="M1274" i="91"/>
  <c r="AH88" i="81"/>
  <c r="N1274" i="91"/>
  <c r="AI88" i="81"/>
  <c r="O1274" i="91"/>
  <c r="AJ88" i="81"/>
  <c r="P1274" i="91"/>
  <c r="AK88" i="81"/>
  <c r="U1274" i="91"/>
  <c r="AL88" i="81"/>
  <c r="V1274" i="91"/>
  <c r="AM88" i="81"/>
  <c r="W1274" i="91"/>
  <c r="AN88" i="81"/>
  <c r="X1274" i="91"/>
  <c r="AO88" i="81"/>
  <c r="Y1274" i="91"/>
  <c r="AP88" i="81"/>
  <c r="G1280" i="91"/>
  <c r="A1281" i="91"/>
  <c r="G1281" i="91"/>
  <c r="A1282" i="91"/>
  <c r="G1282" i="91"/>
  <c r="A1283" i="91"/>
  <c r="G1283" i="91"/>
  <c r="A1284" i="91"/>
  <c r="G1284" i="91"/>
  <c r="A1285" i="91"/>
  <c r="G1285" i="91"/>
  <c r="A1286" i="91"/>
  <c r="G1286" i="91"/>
  <c r="A1287" i="91"/>
  <c r="G1287" i="91"/>
  <c r="A1288" i="91"/>
  <c r="G1288" i="91"/>
  <c r="A1289" i="91"/>
  <c r="G1289" i="91"/>
  <c r="A1290" i="91"/>
  <c r="G1290" i="91"/>
  <c r="A1291" i="91"/>
  <c r="G1291" i="91"/>
  <c r="K1291" i="91"/>
  <c r="L1291" i="91"/>
  <c r="M1291" i="91"/>
  <c r="N1291" i="91"/>
  <c r="O1291" i="91"/>
  <c r="G57" i="63"/>
  <c r="A57" i="63"/>
  <c r="P1291" i="91"/>
  <c r="G23" i="63"/>
  <c r="A23" i="63"/>
  <c r="A1292" i="91"/>
  <c r="G1292" i="91"/>
  <c r="K1292" i="91"/>
  <c r="L1292" i="91"/>
  <c r="M1292" i="91"/>
  <c r="N1292" i="91"/>
  <c r="O1292" i="91"/>
  <c r="G58" i="63"/>
  <c r="A58" i="63"/>
  <c r="P1292" i="91"/>
  <c r="G24" i="63"/>
  <c r="A24" i="63"/>
  <c r="A1293" i="91"/>
  <c r="G1293" i="91"/>
  <c r="K1293" i="91"/>
  <c r="L1293" i="91"/>
  <c r="M1293" i="91"/>
  <c r="N1293" i="91"/>
  <c r="O1293" i="91"/>
  <c r="G59" i="63"/>
  <c r="A59" i="63"/>
  <c r="P1293" i="91"/>
  <c r="G25" i="63"/>
  <c r="A25" i="63"/>
  <c r="A1294" i="91"/>
  <c r="G1294" i="91"/>
  <c r="K1294" i="91"/>
  <c r="L1294" i="91"/>
  <c r="M1294" i="91"/>
  <c r="N1294" i="91"/>
  <c r="O1294" i="91"/>
  <c r="G60" i="63"/>
  <c r="A60" i="63"/>
  <c r="P1294" i="91"/>
  <c r="G26" i="63"/>
  <c r="A26" i="63"/>
  <c r="A1295" i="91"/>
  <c r="G1295" i="91"/>
  <c r="K1295" i="91"/>
  <c r="L1295" i="91"/>
  <c r="M1295" i="91"/>
  <c r="N1295" i="91"/>
  <c r="O1295" i="91"/>
  <c r="G61" i="63"/>
  <c r="A61" i="63"/>
  <c r="P1295" i="91"/>
  <c r="G27" i="63"/>
  <c r="A27" i="63"/>
  <c r="A1296" i="91"/>
  <c r="G1296" i="91"/>
  <c r="K1296" i="91"/>
  <c r="L1296" i="91"/>
  <c r="M1296" i="91"/>
  <c r="N1296" i="91"/>
  <c r="O1296" i="91"/>
  <c r="G62" i="63"/>
  <c r="A62" i="63"/>
  <c r="P1296" i="91"/>
  <c r="G28" i="63"/>
  <c r="A28" i="63"/>
  <c r="A1297" i="91"/>
  <c r="G1297" i="91"/>
  <c r="K1297" i="91"/>
  <c r="L1297" i="91"/>
  <c r="M1297" i="91"/>
  <c r="N1297" i="91"/>
  <c r="O1297" i="91"/>
  <c r="G63" i="63"/>
  <c r="A63" i="63"/>
  <c r="P1297" i="91"/>
  <c r="G29" i="63"/>
  <c r="A29" i="63"/>
  <c r="A1298" i="91"/>
  <c r="G1298" i="91"/>
  <c r="K1298" i="91"/>
  <c r="L1298" i="91"/>
  <c r="M1298" i="91"/>
  <c r="N1298" i="91"/>
  <c r="O1298" i="91"/>
  <c r="G64" i="63"/>
  <c r="A64" i="63"/>
  <c r="P1298" i="91"/>
  <c r="G30" i="63"/>
  <c r="A30" i="63"/>
  <c r="A1299" i="91"/>
  <c r="G1299" i="91"/>
  <c r="K1299" i="91"/>
  <c r="L1299" i="91"/>
  <c r="M1299" i="91"/>
  <c r="N1299" i="91"/>
  <c r="O1299" i="91"/>
  <c r="G65" i="63"/>
  <c r="A65" i="63"/>
  <c r="P1299" i="91"/>
  <c r="G31" i="63"/>
  <c r="A31" i="63"/>
  <c r="A1300" i="91"/>
  <c r="G1300" i="91"/>
  <c r="K1300" i="91"/>
  <c r="L1300" i="91"/>
  <c r="M1300" i="91"/>
  <c r="N1300" i="91"/>
  <c r="O1300" i="91"/>
  <c r="G66" i="63"/>
  <c r="A66" i="63"/>
  <c r="P1300" i="91"/>
  <c r="G32" i="63"/>
  <c r="A32" i="63"/>
  <c r="A1301" i="91"/>
  <c r="G1301" i="91"/>
  <c r="K1301" i="91"/>
  <c r="L1301" i="91"/>
  <c r="M1301" i="91"/>
  <c r="N1301" i="91"/>
  <c r="O1301" i="91"/>
  <c r="G67" i="63"/>
  <c r="A67" i="63"/>
  <c r="P1301" i="91"/>
  <c r="G33" i="63"/>
  <c r="A33" i="63"/>
  <c r="A1302" i="91"/>
  <c r="G1302" i="91"/>
  <c r="K1302" i="91"/>
  <c r="L1302" i="91"/>
  <c r="M1302" i="91"/>
  <c r="N1302" i="91"/>
  <c r="O1302" i="91"/>
  <c r="G68" i="63"/>
  <c r="A68" i="63"/>
  <c r="P1302" i="91"/>
  <c r="G34" i="63"/>
  <c r="A34" i="63"/>
  <c r="A1303" i="91"/>
  <c r="G1303" i="91"/>
  <c r="K1303" i="91"/>
  <c r="L1303" i="91"/>
  <c r="M1303" i="91"/>
  <c r="N1303" i="91"/>
  <c r="O1303" i="91"/>
  <c r="G69" i="63"/>
  <c r="A69" i="63"/>
  <c r="P1303" i="91"/>
  <c r="G35" i="63"/>
  <c r="A35" i="63"/>
  <c r="A1304" i="91"/>
  <c r="G1304" i="91"/>
  <c r="K1304" i="91"/>
  <c r="L1304" i="91"/>
  <c r="M1304" i="91"/>
  <c r="N1304" i="91"/>
  <c r="O1304" i="91"/>
  <c r="G70" i="63"/>
  <c r="A70" i="63"/>
  <c r="P1304" i="91"/>
  <c r="G36" i="63"/>
  <c r="A36" i="63"/>
  <c r="A1305" i="91"/>
  <c r="G1305" i="91"/>
  <c r="K1305" i="91"/>
  <c r="L1305" i="91"/>
  <c r="M1305" i="91"/>
  <c r="N1305" i="91"/>
  <c r="O1305" i="91"/>
  <c r="G71" i="63"/>
  <c r="A71" i="63"/>
  <c r="P1305" i="91"/>
  <c r="G37" i="63"/>
  <c r="A37" i="63"/>
  <c r="G1312" i="91"/>
  <c r="A1313" i="91"/>
  <c r="G1313" i="91"/>
  <c r="A1314" i="91"/>
  <c r="G1314" i="91"/>
  <c r="A1315" i="91"/>
  <c r="G1315" i="91"/>
  <c r="A1316" i="91"/>
  <c r="G1316" i="91"/>
  <c r="A1317" i="91"/>
  <c r="G1317" i="91"/>
  <c r="A1318" i="91"/>
  <c r="G1318" i="91"/>
  <c r="A1319" i="91"/>
  <c r="G1319" i="91"/>
  <c r="A1320" i="91"/>
  <c r="G1320" i="91"/>
  <c r="A1321" i="91"/>
  <c r="G1321" i="91"/>
  <c r="A1322" i="91"/>
  <c r="G1322" i="91"/>
  <c r="A1323" i="91"/>
  <c r="G1323" i="91"/>
  <c r="K1323" i="91"/>
  <c r="L1323" i="91"/>
  <c r="M1323" i="91"/>
  <c r="N1323" i="91"/>
  <c r="O1323" i="91"/>
  <c r="G57" i="72"/>
  <c r="A57" i="72"/>
  <c r="P1323" i="91"/>
  <c r="G23" i="72"/>
  <c r="A23" i="72"/>
  <c r="A1324" i="91"/>
  <c r="G1324" i="91"/>
  <c r="K1324" i="91"/>
  <c r="L1324" i="91"/>
  <c r="M1324" i="91"/>
  <c r="N1324" i="91"/>
  <c r="O1324" i="91"/>
  <c r="G58" i="72"/>
  <c r="A58" i="72"/>
  <c r="P1324" i="91"/>
  <c r="G24" i="72"/>
  <c r="A24" i="72"/>
  <c r="A1325" i="91"/>
  <c r="G1325" i="91"/>
  <c r="K1325" i="91"/>
  <c r="L1325" i="91"/>
  <c r="M1325" i="91"/>
  <c r="N1325" i="91"/>
  <c r="O1325" i="91"/>
  <c r="G59" i="72"/>
  <c r="A59" i="72"/>
  <c r="P1325" i="91"/>
  <c r="G25" i="72"/>
  <c r="A25" i="72"/>
  <c r="A1326" i="91"/>
  <c r="G1326" i="91"/>
  <c r="K1326" i="91"/>
  <c r="L1326" i="91"/>
  <c r="M1326" i="91"/>
  <c r="N1326" i="91"/>
  <c r="O1326" i="91"/>
  <c r="G60" i="72"/>
  <c r="A60" i="72"/>
  <c r="P1326" i="91"/>
  <c r="G26" i="72"/>
  <c r="A26" i="72"/>
  <c r="A1327" i="91"/>
  <c r="G1327" i="91"/>
  <c r="K1327" i="91"/>
  <c r="L1327" i="91"/>
  <c r="M1327" i="91"/>
  <c r="N1327" i="91"/>
  <c r="O1327" i="91"/>
  <c r="G61" i="72"/>
  <c r="A61" i="72"/>
  <c r="P1327" i="91"/>
  <c r="G27" i="72"/>
  <c r="A27" i="72"/>
  <c r="A1328" i="91"/>
  <c r="G1328" i="91"/>
  <c r="K1328" i="91"/>
  <c r="L1328" i="91"/>
  <c r="M1328" i="91"/>
  <c r="N1328" i="91"/>
  <c r="O1328" i="91"/>
  <c r="G62" i="72"/>
  <c r="A62" i="72"/>
  <c r="P1328" i="91"/>
  <c r="G28" i="72"/>
  <c r="A28" i="72"/>
  <c r="A1329" i="91"/>
  <c r="G1329" i="91"/>
  <c r="K1329" i="91"/>
  <c r="L1329" i="91"/>
  <c r="M1329" i="91"/>
  <c r="N1329" i="91"/>
  <c r="O1329" i="91"/>
  <c r="G63" i="72"/>
  <c r="A63" i="72"/>
  <c r="P1329" i="91"/>
  <c r="G29" i="72"/>
  <c r="A29" i="72"/>
  <c r="A1330" i="91"/>
  <c r="G1330" i="91"/>
  <c r="K1330" i="91"/>
  <c r="L1330" i="91"/>
  <c r="M1330" i="91"/>
  <c r="N1330" i="91"/>
  <c r="O1330" i="91"/>
  <c r="G64" i="72"/>
  <c r="A64" i="72"/>
  <c r="P1330" i="91"/>
  <c r="G30" i="72"/>
  <c r="A30" i="72"/>
  <c r="A1331" i="91"/>
  <c r="G1331" i="91"/>
  <c r="K1331" i="91"/>
  <c r="L1331" i="91"/>
  <c r="M1331" i="91"/>
  <c r="N1331" i="91"/>
  <c r="O1331" i="91"/>
  <c r="G65" i="72"/>
  <c r="A65" i="72"/>
  <c r="P1331" i="91"/>
  <c r="G31" i="72"/>
  <c r="A31" i="72"/>
  <c r="A1332" i="91"/>
  <c r="G1332" i="91"/>
  <c r="K1332" i="91"/>
  <c r="L1332" i="91"/>
  <c r="M1332" i="91"/>
  <c r="N1332" i="91"/>
  <c r="O1332" i="91"/>
  <c r="G66" i="72"/>
  <c r="A66" i="72"/>
  <c r="P1332" i="91"/>
  <c r="G32" i="72"/>
  <c r="A32" i="72"/>
  <c r="A1333" i="91"/>
  <c r="G1333" i="91"/>
  <c r="K1333" i="91"/>
  <c r="L1333" i="91"/>
  <c r="M1333" i="91"/>
  <c r="N1333" i="91"/>
  <c r="O1333" i="91"/>
  <c r="G67" i="72"/>
  <c r="A67" i="72"/>
  <c r="P1333" i="91"/>
  <c r="G33" i="72"/>
  <c r="A33" i="72"/>
  <c r="A1334" i="91"/>
  <c r="G1334" i="91"/>
  <c r="K1334" i="91"/>
  <c r="L1334" i="91"/>
  <c r="M1334" i="91"/>
  <c r="N1334" i="91"/>
  <c r="O1334" i="91"/>
  <c r="G68" i="72"/>
  <c r="A68" i="72"/>
  <c r="P1334" i="91"/>
  <c r="G34" i="72"/>
  <c r="A34" i="72"/>
  <c r="A1335" i="91"/>
  <c r="G1335" i="91"/>
  <c r="K1335" i="91"/>
  <c r="L1335" i="91"/>
  <c r="M1335" i="91"/>
  <c r="N1335" i="91"/>
  <c r="O1335" i="91"/>
  <c r="G69" i="72"/>
  <c r="A69" i="72"/>
  <c r="P1335" i="91"/>
  <c r="G35" i="72"/>
  <c r="A35" i="72"/>
  <c r="A1336" i="91"/>
  <c r="G1336" i="91"/>
  <c r="K1336" i="91"/>
  <c r="L1336" i="91"/>
  <c r="M1336" i="91"/>
  <c r="N1336" i="91"/>
  <c r="O1336" i="91"/>
  <c r="G70" i="72"/>
  <c r="A70" i="72"/>
  <c r="P1336" i="91"/>
  <c r="G36" i="72"/>
  <c r="A36" i="72"/>
  <c r="A1337" i="91"/>
  <c r="G1337" i="91"/>
  <c r="K1337" i="91"/>
  <c r="L1337" i="91"/>
  <c r="M1337" i="91"/>
  <c r="N1337" i="91"/>
  <c r="O1337" i="91"/>
  <c r="G71" i="72"/>
  <c r="A71" i="72"/>
  <c r="P1337" i="91"/>
  <c r="G37" i="72"/>
  <c r="A37" i="72"/>
  <c r="G1342" i="91"/>
  <c r="A1343" i="91"/>
  <c r="G1343" i="91"/>
  <c r="A1344" i="91"/>
  <c r="G1344" i="91"/>
  <c r="A1345" i="91"/>
  <c r="G1345" i="91"/>
  <c r="A1346" i="91"/>
  <c r="G1346" i="91"/>
  <c r="A1347" i="91"/>
  <c r="G1347" i="91"/>
  <c r="A1348" i="91"/>
  <c r="G1348" i="91"/>
  <c r="A1349" i="91"/>
  <c r="G1349" i="91"/>
  <c r="A1350" i="91"/>
  <c r="G1350" i="91"/>
  <c r="A1351" i="91"/>
  <c r="G1351" i="91"/>
  <c r="A1352" i="91"/>
  <c r="G1352" i="91"/>
  <c r="A1353" i="91"/>
  <c r="G1353" i="91"/>
  <c r="K1353" i="91"/>
  <c r="L1353" i="91"/>
  <c r="M1353" i="91"/>
  <c r="N1353" i="91"/>
  <c r="O1353" i="91"/>
  <c r="I57" i="72"/>
  <c r="P1353" i="91"/>
  <c r="I23" i="72"/>
  <c r="A1354" i="91"/>
  <c r="G1354" i="91"/>
  <c r="K1354" i="91"/>
  <c r="L1354" i="91"/>
  <c r="M1354" i="91"/>
  <c r="N1354" i="91"/>
  <c r="O1354" i="91"/>
  <c r="I58" i="72"/>
  <c r="P1354" i="91"/>
  <c r="I24" i="72"/>
  <c r="A1355" i="91"/>
  <c r="G1355" i="91"/>
  <c r="K1355" i="91"/>
  <c r="L1355" i="91"/>
  <c r="M1355" i="91"/>
  <c r="N1355" i="91"/>
  <c r="O1355" i="91"/>
  <c r="I59" i="72"/>
  <c r="P1355" i="91"/>
  <c r="I25" i="72"/>
  <c r="A1356" i="91"/>
  <c r="G1356" i="91"/>
  <c r="K1356" i="91"/>
  <c r="L1356" i="91"/>
  <c r="M1356" i="91"/>
  <c r="N1356" i="91"/>
  <c r="O1356" i="91"/>
  <c r="I60" i="72"/>
  <c r="P1356" i="91"/>
  <c r="I26" i="72"/>
  <c r="A1357" i="91"/>
  <c r="G1357" i="91"/>
  <c r="K1357" i="91"/>
  <c r="L1357" i="91"/>
  <c r="M1357" i="91"/>
  <c r="N1357" i="91"/>
  <c r="O1357" i="91"/>
  <c r="I61" i="72"/>
  <c r="P1357" i="91"/>
  <c r="I27" i="72"/>
  <c r="A1358" i="91"/>
  <c r="G1358" i="91"/>
  <c r="K1358" i="91"/>
  <c r="L1358" i="91"/>
  <c r="M1358" i="91"/>
  <c r="N1358" i="91"/>
  <c r="O1358" i="91"/>
  <c r="I62" i="72"/>
  <c r="P1358" i="91"/>
  <c r="I28" i="72"/>
  <c r="A1359" i="91"/>
  <c r="G1359" i="91"/>
  <c r="K1359" i="91"/>
  <c r="L1359" i="91"/>
  <c r="M1359" i="91"/>
  <c r="N1359" i="91"/>
  <c r="O1359" i="91"/>
  <c r="I63" i="72"/>
  <c r="P1359" i="91"/>
  <c r="I29" i="72"/>
  <c r="A1360" i="91"/>
  <c r="G1360" i="91"/>
  <c r="K1360" i="91"/>
  <c r="L1360" i="91"/>
  <c r="M1360" i="91"/>
  <c r="N1360" i="91"/>
  <c r="O1360" i="91"/>
  <c r="I64" i="72"/>
  <c r="P1360" i="91"/>
  <c r="I30" i="72"/>
  <c r="A1361" i="91"/>
  <c r="G1361" i="91"/>
  <c r="K1361" i="91"/>
  <c r="L1361" i="91"/>
  <c r="M1361" i="91"/>
  <c r="N1361" i="91"/>
  <c r="O1361" i="91"/>
  <c r="I65" i="72"/>
  <c r="P1361" i="91"/>
  <c r="I31" i="72"/>
  <c r="A1362" i="91"/>
  <c r="G1362" i="91"/>
  <c r="K1362" i="91"/>
  <c r="L1362" i="91"/>
  <c r="M1362" i="91"/>
  <c r="N1362" i="91"/>
  <c r="O1362" i="91"/>
  <c r="I66" i="72"/>
  <c r="P1362" i="91"/>
  <c r="I32" i="72"/>
  <c r="A1363" i="91"/>
  <c r="G1363" i="91"/>
  <c r="K1363" i="91"/>
  <c r="L1363" i="91"/>
  <c r="M1363" i="91"/>
  <c r="N1363" i="91"/>
  <c r="O1363" i="91"/>
  <c r="I67" i="72"/>
  <c r="P1363" i="91"/>
  <c r="I33" i="72"/>
  <c r="A1364" i="91"/>
  <c r="G1364" i="91"/>
  <c r="K1364" i="91"/>
  <c r="L1364" i="91"/>
  <c r="M1364" i="91"/>
  <c r="N1364" i="91"/>
  <c r="O1364" i="91"/>
  <c r="I68" i="72"/>
  <c r="P1364" i="91"/>
  <c r="I34" i="72"/>
  <c r="A1365" i="91"/>
  <c r="G1365" i="91"/>
  <c r="K1365" i="91"/>
  <c r="L1365" i="91"/>
  <c r="M1365" i="91"/>
  <c r="N1365" i="91"/>
  <c r="O1365" i="91"/>
  <c r="I69" i="72"/>
  <c r="P1365" i="91"/>
  <c r="I35" i="72"/>
  <c r="A1366" i="91"/>
  <c r="G1366" i="91"/>
  <c r="K1366" i="91"/>
  <c r="L1366" i="91"/>
  <c r="M1366" i="91"/>
  <c r="N1366" i="91"/>
  <c r="O1366" i="91"/>
  <c r="I70" i="72"/>
  <c r="P1366" i="91"/>
  <c r="I36" i="72"/>
  <c r="A1367" i="91"/>
  <c r="G1367" i="91"/>
  <c r="K1367" i="91"/>
  <c r="L1367" i="91"/>
  <c r="M1367" i="91"/>
  <c r="N1367" i="91"/>
  <c r="O1367" i="91"/>
  <c r="I71" i="72"/>
  <c r="P1367" i="91"/>
  <c r="I37" i="72"/>
  <c r="G1372" i="91"/>
  <c r="A1373" i="91"/>
  <c r="G1373" i="91"/>
  <c r="A1374" i="91"/>
  <c r="G1374" i="91"/>
  <c r="A1375" i="91"/>
  <c r="G1375" i="91"/>
  <c r="A1376" i="91"/>
  <c r="G1376" i="91"/>
  <c r="A1377" i="91"/>
  <c r="G1377" i="91"/>
  <c r="A1378" i="91"/>
  <c r="G1378" i="91"/>
  <c r="A1379" i="91"/>
  <c r="G1379" i="91"/>
  <c r="A1380" i="91"/>
  <c r="G1380" i="91"/>
  <c r="A1381" i="91"/>
  <c r="G1381" i="91"/>
  <c r="A1382" i="91"/>
  <c r="G1382" i="91"/>
  <c r="A1383" i="91"/>
  <c r="G1383" i="91"/>
  <c r="K1383" i="91"/>
  <c r="L1383" i="91"/>
  <c r="M1383" i="91"/>
  <c r="N1383" i="91"/>
  <c r="O1383" i="91"/>
  <c r="K57" i="72"/>
  <c r="P1383" i="91"/>
  <c r="K23" i="72"/>
  <c r="A1384" i="91"/>
  <c r="G1384" i="91"/>
  <c r="K1384" i="91"/>
  <c r="L1384" i="91"/>
  <c r="M1384" i="91"/>
  <c r="N1384" i="91"/>
  <c r="O1384" i="91"/>
  <c r="K58" i="72"/>
  <c r="P1384" i="91"/>
  <c r="K24" i="72"/>
  <c r="A1385" i="91"/>
  <c r="G1385" i="91"/>
  <c r="K1385" i="91"/>
  <c r="L1385" i="91"/>
  <c r="M1385" i="91"/>
  <c r="N1385" i="91"/>
  <c r="O1385" i="91"/>
  <c r="K59" i="72"/>
  <c r="P1385" i="91"/>
  <c r="K25" i="72"/>
  <c r="A1386" i="91"/>
  <c r="G1386" i="91"/>
  <c r="K1386" i="91"/>
  <c r="L1386" i="91"/>
  <c r="M1386" i="91"/>
  <c r="N1386" i="91"/>
  <c r="O1386" i="91"/>
  <c r="K60" i="72"/>
  <c r="P1386" i="91"/>
  <c r="K26" i="72"/>
  <c r="A1387" i="91"/>
  <c r="G1387" i="91"/>
  <c r="K1387" i="91"/>
  <c r="L1387" i="91"/>
  <c r="M1387" i="91"/>
  <c r="N1387" i="91"/>
  <c r="O1387" i="91"/>
  <c r="K61" i="72"/>
  <c r="P1387" i="91"/>
  <c r="K27" i="72"/>
  <c r="A1388" i="91"/>
  <c r="G1388" i="91"/>
  <c r="K1388" i="91"/>
  <c r="L1388" i="91"/>
  <c r="M1388" i="91"/>
  <c r="N1388" i="91"/>
  <c r="O1388" i="91"/>
  <c r="K62" i="72"/>
  <c r="P1388" i="91"/>
  <c r="K28" i="72"/>
  <c r="A1389" i="91"/>
  <c r="G1389" i="91"/>
  <c r="K1389" i="91"/>
  <c r="L1389" i="91"/>
  <c r="M1389" i="91"/>
  <c r="N1389" i="91"/>
  <c r="O1389" i="91"/>
  <c r="K63" i="72"/>
  <c r="P1389" i="91"/>
  <c r="K29" i="72"/>
  <c r="A1390" i="91"/>
  <c r="G1390" i="91"/>
  <c r="K1390" i="91"/>
  <c r="L1390" i="91"/>
  <c r="M1390" i="91"/>
  <c r="N1390" i="91"/>
  <c r="O1390" i="91"/>
  <c r="K64" i="72"/>
  <c r="P1390" i="91"/>
  <c r="K30" i="72"/>
  <c r="A1391" i="91"/>
  <c r="G1391" i="91"/>
  <c r="K1391" i="91"/>
  <c r="L1391" i="91"/>
  <c r="M1391" i="91"/>
  <c r="N1391" i="91"/>
  <c r="O1391" i="91"/>
  <c r="K65" i="72"/>
  <c r="P1391" i="91"/>
  <c r="K31" i="72"/>
  <c r="A1392" i="91"/>
  <c r="G1392" i="91"/>
  <c r="K1392" i="91"/>
  <c r="L1392" i="91"/>
  <c r="M1392" i="91"/>
  <c r="N1392" i="91"/>
  <c r="O1392" i="91"/>
  <c r="K66" i="72"/>
  <c r="P1392" i="91"/>
  <c r="K32" i="72"/>
  <c r="A1393" i="91"/>
  <c r="G1393" i="91"/>
  <c r="K1393" i="91"/>
  <c r="L1393" i="91"/>
  <c r="M1393" i="91"/>
  <c r="N1393" i="91"/>
  <c r="O1393" i="91"/>
  <c r="K67" i="72"/>
  <c r="P1393" i="91"/>
  <c r="K33" i="72"/>
  <c r="A1394" i="91"/>
  <c r="G1394" i="91"/>
  <c r="K1394" i="91"/>
  <c r="L1394" i="91"/>
  <c r="M1394" i="91"/>
  <c r="N1394" i="91"/>
  <c r="O1394" i="91"/>
  <c r="K68" i="72"/>
  <c r="P1394" i="91"/>
  <c r="K34" i="72"/>
  <c r="A1395" i="91"/>
  <c r="G1395" i="91"/>
  <c r="K1395" i="91"/>
  <c r="L1395" i="91"/>
  <c r="M1395" i="91"/>
  <c r="N1395" i="91"/>
  <c r="O1395" i="91"/>
  <c r="K69" i="72"/>
  <c r="P1395" i="91"/>
  <c r="K35" i="72"/>
  <c r="A1396" i="91"/>
  <c r="G1396" i="91"/>
  <c r="K1396" i="91"/>
  <c r="L1396" i="91"/>
  <c r="M1396" i="91"/>
  <c r="N1396" i="91"/>
  <c r="O1396" i="91"/>
  <c r="K70" i="72"/>
  <c r="P1396" i="91"/>
  <c r="K36" i="72"/>
  <c r="A1397" i="91"/>
  <c r="G1397" i="91"/>
  <c r="K1397" i="91"/>
  <c r="L1397" i="91"/>
  <c r="M1397" i="91"/>
  <c r="N1397" i="91"/>
  <c r="O1397" i="91"/>
  <c r="K71" i="72"/>
  <c r="P1397" i="91"/>
  <c r="K37" i="72"/>
  <c r="G1402" i="91"/>
  <c r="A1403" i="91"/>
  <c r="G1403" i="91"/>
  <c r="A1404" i="91"/>
  <c r="G1404" i="91"/>
  <c r="A1405" i="91"/>
  <c r="G1405" i="91"/>
  <c r="A1406" i="91"/>
  <c r="G1406" i="91"/>
  <c r="A1407" i="91"/>
  <c r="G1407" i="91"/>
  <c r="A1408" i="91"/>
  <c r="G1408" i="91"/>
  <c r="A1409" i="91"/>
  <c r="G1409" i="91"/>
  <c r="A1410" i="91"/>
  <c r="G1410" i="91"/>
  <c r="A1411" i="91"/>
  <c r="G1411" i="91"/>
  <c r="A1412" i="91"/>
  <c r="G1412" i="91"/>
  <c r="A1413" i="91"/>
  <c r="G1413" i="91"/>
  <c r="K1413" i="91"/>
  <c r="L1413" i="91"/>
  <c r="M1413" i="91"/>
  <c r="O1413" i="91"/>
  <c r="P1413" i="91"/>
  <c r="A1414" i="91"/>
  <c r="G1414" i="91"/>
  <c r="K1414" i="91"/>
  <c r="L1414" i="91"/>
  <c r="M1414" i="91"/>
  <c r="N1414" i="91"/>
  <c r="O1414" i="91"/>
  <c r="P1414" i="91"/>
  <c r="A1415" i="91"/>
  <c r="G1415" i="91"/>
  <c r="K1415" i="91"/>
  <c r="L1415" i="91"/>
  <c r="M1415" i="91"/>
  <c r="O1415" i="91"/>
  <c r="P1415" i="91"/>
  <c r="A1416" i="91"/>
  <c r="G1416" i="91"/>
  <c r="K1416" i="91"/>
  <c r="L1416" i="91"/>
  <c r="M1416" i="91"/>
  <c r="N1416" i="91"/>
  <c r="O1416" i="91"/>
  <c r="P1416" i="91"/>
  <c r="A1417" i="91"/>
  <c r="G1417" i="91"/>
  <c r="K1417" i="91"/>
  <c r="L1417" i="91"/>
  <c r="M1417" i="91"/>
  <c r="O1417" i="91"/>
  <c r="P1417" i="91"/>
  <c r="A1418" i="91"/>
  <c r="G1418" i="91"/>
  <c r="K1418" i="91"/>
  <c r="L1418" i="91"/>
  <c r="M1418" i="91"/>
  <c r="N1418" i="91"/>
  <c r="O1418" i="91"/>
  <c r="P1418" i="91"/>
  <c r="A1419" i="91"/>
  <c r="G1419" i="91"/>
  <c r="K1419" i="91"/>
  <c r="L1419" i="91"/>
  <c r="M1419" i="91"/>
  <c r="O1419" i="91"/>
  <c r="P1419" i="91"/>
  <c r="A1420" i="91"/>
  <c r="G1420" i="91"/>
  <c r="K1420" i="91"/>
  <c r="L1420" i="91"/>
  <c r="M1420" i="91"/>
  <c r="N1420" i="91"/>
  <c r="O1420" i="91"/>
  <c r="P1420" i="91"/>
  <c r="A1421" i="91"/>
  <c r="G1421" i="91"/>
  <c r="K1421" i="91"/>
  <c r="L1421" i="91"/>
  <c r="M1421" i="91"/>
  <c r="O1421" i="91"/>
  <c r="P1421" i="91"/>
  <c r="A1422" i="91"/>
  <c r="G1422" i="91"/>
  <c r="K1422" i="91"/>
  <c r="L1422" i="91"/>
  <c r="M1422" i="91"/>
  <c r="N1422" i="91"/>
  <c r="O1422" i="91"/>
  <c r="P1422" i="91"/>
  <c r="A1423" i="91"/>
  <c r="G1423" i="91"/>
  <c r="K1423" i="91"/>
  <c r="L1423" i="91"/>
  <c r="M1423" i="91"/>
  <c r="O1423" i="91"/>
  <c r="P1423" i="91"/>
  <c r="A1424" i="91"/>
  <c r="G1424" i="91"/>
  <c r="K1424" i="91"/>
  <c r="L1424" i="91"/>
  <c r="M1424" i="91"/>
  <c r="N1424" i="91"/>
  <c r="O1424" i="91"/>
  <c r="P1424" i="91"/>
  <c r="A1425" i="91"/>
  <c r="G1425" i="91"/>
  <c r="K1425" i="91"/>
  <c r="L1425" i="91"/>
  <c r="M1425" i="91"/>
  <c r="O1425" i="91"/>
  <c r="P1425" i="91"/>
  <c r="A1426" i="91"/>
  <c r="G1426" i="91"/>
  <c r="K1426" i="91"/>
  <c r="L1426" i="91"/>
  <c r="M1426" i="91"/>
  <c r="N1426" i="91"/>
  <c r="O1426" i="91"/>
  <c r="P1426" i="91"/>
  <c r="A1427" i="91"/>
  <c r="G1427" i="91"/>
  <c r="K1427" i="91"/>
  <c r="L1427" i="91"/>
  <c r="M1427" i="91"/>
  <c r="O1427" i="91"/>
  <c r="P1427" i="91"/>
  <c r="G1432" i="91"/>
  <c r="A1433" i="91"/>
  <c r="G1433" i="91"/>
  <c r="A1434" i="91"/>
  <c r="G1434" i="91"/>
  <c r="A1435" i="91"/>
  <c r="G1435" i="91"/>
  <c r="A1436" i="91"/>
  <c r="G1436" i="91"/>
  <c r="A1437" i="91"/>
  <c r="G1437" i="91"/>
  <c r="A1438" i="91"/>
  <c r="G1438" i="91"/>
  <c r="A1439" i="91"/>
  <c r="G1439" i="91"/>
  <c r="A1440" i="91"/>
  <c r="G1440" i="91"/>
  <c r="A1441" i="91"/>
  <c r="G1441" i="91"/>
  <c r="A1442" i="91"/>
  <c r="G1442" i="91"/>
  <c r="A1443" i="91"/>
  <c r="G1443" i="91"/>
  <c r="L1443" i="91"/>
  <c r="M1443" i="91"/>
  <c r="P1443" i="91"/>
  <c r="O23" i="72"/>
  <c r="A1444" i="91"/>
  <c r="G1444" i="91"/>
  <c r="M1444" i="91"/>
  <c r="A1445" i="91"/>
  <c r="G1445" i="91"/>
  <c r="K1445" i="91"/>
  <c r="L1445" i="91"/>
  <c r="M1445" i="91"/>
  <c r="O1445" i="91"/>
  <c r="O59" i="72"/>
  <c r="P1445" i="91"/>
  <c r="O25" i="72"/>
  <c r="A1446" i="91"/>
  <c r="G1446" i="91"/>
  <c r="M1446" i="91"/>
  <c r="A1447" i="91"/>
  <c r="G1447" i="91"/>
  <c r="L1447" i="91"/>
  <c r="M1447" i="91"/>
  <c r="P1447" i="91"/>
  <c r="O27" i="72"/>
  <c r="A1448" i="91"/>
  <c r="G1448" i="91"/>
  <c r="M1448" i="91"/>
  <c r="A1449" i="91"/>
  <c r="G1449" i="91"/>
  <c r="K1449" i="91"/>
  <c r="L1449" i="91"/>
  <c r="M1449" i="91"/>
  <c r="O1449" i="91"/>
  <c r="O63" i="72"/>
  <c r="P1449" i="91"/>
  <c r="O29" i="72"/>
  <c r="A1450" i="91"/>
  <c r="G1450" i="91"/>
  <c r="M1450" i="91"/>
  <c r="A1451" i="91"/>
  <c r="G1451" i="91"/>
  <c r="L1451" i="91"/>
  <c r="M1451" i="91"/>
  <c r="P1451" i="91"/>
  <c r="O31" i="72"/>
  <c r="A1452" i="91"/>
  <c r="G1452" i="91"/>
  <c r="M1452" i="91"/>
  <c r="A1453" i="91"/>
  <c r="G1453" i="91"/>
  <c r="K1453" i="91"/>
  <c r="L1453" i="91"/>
  <c r="M1453" i="91"/>
  <c r="O1453" i="91"/>
  <c r="O67" i="72"/>
  <c r="P1453" i="91"/>
  <c r="O33" i="72"/>
  <c r="A1454" i="91"/>
  <c r="G1454" i="91"/>
  <c r="M1454" i="91"/>
  <c r="A1455" i="91"/>
  <c r="G1455" i="91"/>
  <c r="L1455" i="91"/>
  <c r="M1455" i="91"/>
  <c r="P1455" i="91"/>
  <c r="O35" i="72"/>
  <c r="A1456" i="91"/>
  <c r="G1456" i="91"/>
  <c r="M1456" i="91"/>
  <c r="A1457" i="91"/>
  <c r="G1457" i="91"/>
  <c r="K1457" i="91"/>
  <c r="L1457" i="91"/>
  <c r="M1457" i="91"/>
  <c r="O1457" i="91"/>
  <c r="O71" i="72"/>
  <c r="P1457" i="91"/>
  <c r="O37" i="72"/>
  <c r="G1462" i="91"/>
  <c r="A1463" i="91"/>
  <c r="G1463" i="91"/>
  <c r="A1464" i="91"/>
  <c r="G1464" i="91"/>
  <c r="A1465" i="91"/>
  <c r="G1465" i="91"/>
  <c r="A1466" i="91"/>
  <c r="G1466" i="91"/>
  <c r="A1467" i="91"/>
  <c r="G1467" i="91"/>
  <c r="A1468" i="91"/>
  <c r="G1468" i="91"/>
  <c r="A1469" i="91"/>
  <c r="G1469" i="91"/>
  <c r="A1470" i="91"/>
  <c r="G1470" i="91"/>
  <c r="A1471" i="91"/>
  <c r="G1471" i="91"/>
  <c r="A1472" i="91"/>
  <c r="G1472" i="91"/>
  <c r="A1473" i="91"/>
  <c r="G1473" i="91"/>
  <c r="L1473" i="91"/>
  <c r="M1473" i="91"/>
  <c r="N1473" i="91"/>
  <c r="P1473" i="91"/>
  <c r="Q23" i="72"/>
  <c r="A1474" i="91"/>
  <c r="G1474" i="91"/>
  <c r="M1474" i="91"/>
  <c r="A1475" i="91"/>
  <c r="G1475" i="91"/>
  <c r="K1475" i="91"/>
  <c r="L1475" i="91"/>
  <c r="M1475" i="91"/>
  <c r="N1475" i="91"/>
  <c r="O1475" i="91"/>
  <c r="Q59" i="72"/>
  <c r="P1475" i="91"/>
  <c r="Q25" i="72"/>
  <c r="A1476" i="91"/>
  <c r="G1476" i="91"/>
  <c r="K1476" i="91"/>
  <c r="M1476" i="91"/>
  <c r="O1476" i="91"/>
  <c r="Q60" i="72"/>
  <c r="A1477" i="91"/>
  <c r="G1477" i="91"/>
  <c r="L1477" i="91"/>
  <c r="M1477" i="91"/>
  <c r="N1477" i="91"/>
  <c r="P1477" i="91"/>
  <c r="Q27" i="72"/>
  <c r="A1478" i="91"/>
  <c r="G1478" i="91"/>
  <c r="M1478" i="91"/>
  <c r="A1479" i="91"/>
  <c r="G1479" i="91"/>
  <c r="K1479" i="91"/>
  <c r="L1479" i="91"/>
  <c r="M1479" i="91"/>
  <c r="N1479" i="91"/>
  <c r="O1479" i="91"/>
  <c r="Q63" i="72"/>
  <c r="P1479" i="91"/>
  <c r="Q29" i="72"/>
  <c r="A1480" i="91"/>
  <c r="G1480" i="91"/>
  <c r="K1480" i="91"/>
  <c r="M1480" i="91"/>
  <c r="O1480" i="91"/>
  <c r="Q64" i="72"/>
  <c r="A1481" i="91"/>
  <c r="G1481" i="91"/>
  <c r="L1481" i="91"/>
  <c r="M1481" i="91"/>
  <c r="N1481" i="91"/>
  <c r="P1481" i="91"/>
  <c r="Q31" i="72"/>
  <c r="A1482" i="91"/>
  <c r="G1482" i="91"/>
  <c r="M1482" i="91"/>
  <c r="A1483" i="91"/>
  <c r="G1483" i="91"/>
  <c r="K1483" i="91"/>
  <c r="L1483" i="91"/>
  <c r="M1483" i="91"/>
  <c r="N1483" i="91"/>
  <c r="O1483" i="91"/>
  <c r="Q67" i="72"/>
  <c r="P1483" i="91"/>
  <c r="Q33" i="72"/>
  <c r="A1484" i="91"/>
  <c r="G1484" i="91"/>
  <c r="K1484" i="91"/>
  <c r="M1484" i="91"/>
  <c r="O1484" i="91"/>
  <c r="Q68" i="72"/>
  <c r="A1485" i="91"/>
  <c r="G1485" i="91"/>
  <c r="L1485" i="91"/>
  <c r="M1485" i="91"/>
  <c r="N1485" i="91"/>
  <c r="P1485" i="91"/>
  <c r="Q35" i="72"/>
  <c r="A1486" i="91"/>
  <c r="G1486" i="91"/>
  <c r="M1486" i="91"/>
  <c r="A1487" i="91"/>
  <c r="G1487" i="91"/>
  <c r="K1487" i="91"/>
  <c r="L1487" i="91"/>
  <c r="M1487" i="91"/>
  <c r="N1487" i="91"/>
  <c r="O1487" i="91"/>
  <c r="Q71" i="72"/>
  <c r="P1487" i="91"/>
  <c r="Q37" i="72"/>
  <c r="G1494" i="91"/>
  <c r="A1495" i="91"/>
  <c r="G1495" i="91"/>
  <c r="A1496" i="91"/>
  <c r="G1496" i="91"/>
  <c r="A1497" i="91"/>
  <c r="G1497" i="91"/>
  <c r="A1498" i="91"/>
  <c r="G1498" i="91"/>
  <c r="A1499" i="91"/>
  <c r="G1499" i="91"/>
  <c r="A1500" i="91"/>
  <c r="G1500" i="91"/>
  <c r="A1501" i="91"/>
  <c r="G1501" i="91"/>
  <c r="A1502" i="91"/>
  <c r="G1502" i="91"/>
  <c r="A1503" i="91"/>
  <c r="G1503" i="91"/>
  <c r="A1504" i="91"/>
  <c r="G1504" i="91"/>
  <c r="A1505" i="91"/>
  <c r="G1505" i="91"/>
  <c r="K1505" i="91"/>
  <c r="L1505" i="91"/>
  <c r="M1505" i="91"/>
  <c r="O1505" i="91"/>
  <c r="K57" i="63"/>
  <c r="P1505" i="91"/>
  <c r="K23" i="63"/>
  <c r="A1506" i="91"/>
  <c r="G1506" i="91"/>
  <c r="K1506" i="91"/>
  <c r="L1506" i="91"/>
  <c r="M1506" i="91"/>
  <c r="N1506" i="91"/>
  <c r="O1506" i="91"/>
  <c r="K58" i="63"/>
  <c r="P1506" i="91"/>
  <c r="K24" i="63"/>
  <c r="A1507" i="91"/>
  <c r="G1507" i="91"/>
  <c r="K1507" i="91"/>
  <c r="L1507" i="91"/>
  <c r="M1507" i="91"/>
  <c r="O1507" i="91"/>
  <c r="K59" i="63"/>
  <c r="P1507" i="91"/>
  <c r="K25" i="63"/>
  <c r="A1508" i="91"/>
  <c r="G1508" i="91"/>
  <c r="K1508" i="91"/>
  <c r="L1508" i="91"/>
  <c r="M1508" i="91"/>
  <c r="N1508" i="91"/>
  <c r="O1508" i="91"/>
  <c r="K60" i="63"/>
  <c r="P1508" i="91"/>
  <c r="K26" i="63"/>
  <c r="A1509" i="91"/>
  <c r="G1509" i="91"/>
  <c r="K1509" i="91"/>
  <c r="L1509" i="91"/>
  <c r="M1509" i="91"/>
  <c r="O1509" i="91"/>
  <c r="K61" i="63"/>
  <c r="P1509" i="91"/>
  <c r="K27" i="63"/>
  <c r="A1510" i="91"/>
  <c r="G1510" i="91"/>
  <c r="K1510" i="91"/>
  <c r="L1510" i="91"/>
  <c r="M1510" i="91"/>
  <c r="N1510" i="91"/>
  <c r="O1510" i="91"/>
  <c r="K62" i="63"/>
  <c r="P1510" i="91"/>
  <c r="K28" i="63"/>
  <c r="A1511" i="91"/>
  <c r="G1511" i="91"/>
  <c r="K1511" i="91"/>
  <c r="L1511" i="91"/>
  <c r="M1511" i="91"/>
  <c r="O1511" i="91"/>
  <c r="K63" i="63"/>
  <c r="P1511" i="91"/>
  <c r="K29" i="63"/>
  <c r="A1512" i="91"/>
  <c r="G1512" i="91"/>
  <c r="K1512" i="91"/>
  <c r="L1512" i="91"/>
  <c r="M1512" i="91"/>
  <c r="N1512" i="91"/>
  <c r="O1512" i="91"/>
  <c r="K64" i="63"/>
  <c r="P1512" i="91"/>
  <c r="K30" i="63"/>
  <c r="A1513" i="91"/>
  <c r="G1513" i="91"/>
  <c r="K1513" i="91"/>
  <c r="L1513" i="91"/>
  <c r="M1513" i="91"/>
  <c r="O1513" i="91"/>
  <c r="K65" i="63"/>
  <c r="P1513" i="91"/>
  <c r="K31" i="63"/>
  <c r="A1514" i="91"/>
  <c r="G1514" i="91"/>
  <c r="K1514" i="91"/>
  <c r="L1514" i="91"/>
  <c r="M1514" i="91"/>
  <c r="N1514" i="91"/>
  <c r="O1514" i="91"/>
  <c r="K66" i="63"/>
  <c r="P1514" i="91"/>
  <c r="K32" i="63"/>
  <c r="A1515" i="91"/>
  <c r="G1515" i="91"/>
  <c r="K1515" i="91"/>
  <c r="L1515" i="91"/>
  <c r="M1515" i="91"/>
  <c r="O1515" i="91"/>
  <c r="K67" i="63"/>
  <c r="P1515" i="91"/>
  <c r="K33" i="63"/>
  <c r="A1516" i="91"/>
  <c r="G1516" i="91"/>
  <c r="K1516" i="91"/>
  <c r="L1516" i="91"/>
  <c r="M1516" i="91"/>
  <c r="N1516" i="91"/>
  <c r="O1516" i="91"/>
  <c r="K68" i="63"/>
  <c r="P1516" i="91"/>
  <c r="K34" i="63"/>
  <c r="A1517" i="91"/>
  <c r="G1517" i="91"/>
  <c r="K1517" i="91"/>
  <c r="L1517" i="91"/>
  <c r="M1517" i="91"/>
  <c r="O1517" i="91"/>
  <c r="K69" i="63"/>
  <c r="P1517" i="91"/>
  <c r="K35" i="63"/>
  <c r="A1518" i="91"/>
  <c r="G1518" i="91"/>
  <c r="K1518" i="91"/>
  <c r="L1518" i="91"/>
  <c r="M1518" i="91"/>
  <c r="N1518" i="91"/>
  <c r="O1518" i="91"/>
  <c r="K70" i="63"/>
  <c r="P1518" i="91"/>
  <c r="K36" i="63"/>
  <c r="G1519" i="91"/>
  <c r="K1519" i="91"/>
  <c r="L1519" i="91"/>
  <c r="M1519" i="91"/>
  <c r="O1519" i="91"/>
  <c r="K71" i="63"/>
  <c r="P1519" i="91"/>
  <c r="K37" i="63"/>
  <c r="G1524" i="91"/>
  <c r="A1525" i="91"/>
  <c r="G1525" i="91"/>
  <c r="H1525" i="91"/>
  <c r="A1526" i="91"/>
  <c r="G1526" i="91"/>
  <c r="H1526" i="91"/>
  <c r="A1527" i="91"/>
  <c r="G1527" i="91"/>
  <c r="H1527" i="91"/>
  <c r="A1528" i="91"/>
  <c r="G1528" i="91"/>
  <c r="H1528" i="91"/>
  <c r="A1529" i="91"/>
  <c r="G1529" i="91"/>
  <c r="H1529" i="91"/>
  <c r="A1530" i="91"/>
  <c r="G1530" i="91"/>
  <c r="H1530" i="91"/>
  <c r="A1531" i="91"/>
  <c r="G1531" i="91"/>
  <c r="H1531" i="91"/>
  <c r="A1532" i="91"/>
  <c r="G1532" i="91"/>
  <c r="H1532" i="91"/>
  <c r="A1533" i="91"/>
  <c r="G1533" i="91"/>
  <c r="H1533" i="91"/>
  <c r="A1534" i="91"/>
  <c r="G1534" i="91"/>
  <c r="H1534" i="91"/>
  <c r="A1535" i="91"/>
  <c r="G1535" i="91"/>
  <c r="H1535" i="91"/>
  <c r="A1536" i="91"/>
  <c r="G1536" i="91"/>
  <c r="H1536" i="91"/>
  <c r="A1537" i="91"/>
  <c r="G1537" i="91"/>
  <c r="H1537" i="91"/>
  <c r="A1538" i="91"/>
  <c r="G1538" i="91"/>
  <c r="H1538" i="91"/>
  <c r="A1539" i="91"/>
  <c r="G1539" i="91"/>
  <c r="H1539" i="91"/>
  <c r="A1540" i="91"/>
  <c r="G1540" i="91"/>
  <c r="H1540" i="91"/>
  <c r="A1541" i="91"/>
  <c r="G1541" i="91"/>
  <c r="H1541" i="91"/>
  <c r="A1542" i="91"/>
  <c r="G1542" i="91"/>
  <c r="H1542" i="91"/>
  <c r="A1543" i="91"/>
  <c r="G1543" i="91"/>
  <c r="H1543" i="91"/>
  <c r="A1544" i="91"/>
  <c r="G1544" i="91"/>
  <c r="H1544" i="91"/>
  <c r="A1545" i="91"/>
  <c r="G1545" i="91"/>
  <c r="H1545" i="91"/>
  <c r="A1546" i="91"/>
  <c r="G1546" i="91"/>
  <c r="H1546" i="91"/>
  <c r="A1547" i="91"/>
  <c r="G1547" i="91"/>
  <c r="H1547" i="91"/>
  <c r="A1548" i="91"/>
  <c r="G1548" i="91"/>
  <c r="H1548" i="91"/>
  <c r="A1549" i="91"/>
  <c r="G1549" i="91"/>
  <c r="H1549" i="91"/>
  <c r="G1559" i="91"/>
  <c r="V1559" i="91"/>
  <c r="U1559" i="91"/>
  <c r="T1559" i="91"/>
  <c r="S1559" i="91"/>
  <c r="R1559" i="91"/>
  <c r="Q1559" i="91"/>
  <c r="P1559" i="91"/>
  <c r="O1559" i="91"/>
  <c r="N1559" i="91"/>
  <c r="M1559" i="91"/>
  <c r="L1559" i="91"/>
  <c r="K1559" i="91"/>
  <c r="J1559" i="91"/>
  <c r="A1560" i="91"/>
  <c r="G1560" i="91"/>
  <c r="A1561" i="91"/>
  <c r="G1561" i="91"/>
  <c r="A1562" i="91"/>
  <c r="G1562" i="91"/>
  <c r="A1563" i="91"/>
  <c r="G1563" i="91"/>
  <c r="A1564" i="91"/>
  <c r="G1564" i="91"/>
  <c r="A1565" i="91"/>
  <c r="G1565" i="91"/>
  <c r="A1566" i="91"/>
  <c r="G1566" i="91"/>
  <c r="A1567" i="91"/>
  <c r="G1567" i="91"/>
  <c r="A1568" i="91"/>
  <c r="G1568" i="91"/>
  <c r="A1569" i="91"/>
  <c r="G1569" i="91"/>
  <c r="A1570" i="91"/>
  <c r="G1570" i="91"/>
  <c r="J1570" i="91"/>
  <c r="M1570" i="91"/>
  <c r="Q1570" i="91"/>
  <c r="U1570" i="91"/>
  <c r="A1571" i="91"/>
  <c r="G1571" i="91"/>
  <c r="K1571" i="91"/>
  <c r="J1571" i="91"/>
  <c r="L1571" i="91"/>
  <c r="M1571" i="91"/>
  <c r="N1571" i="91"/>
  <c r="P1571" i="91"/>
  <c r="Q1571" i="91"/>
  <c r="R1571" i="91"/>
  <c r="T1571" i="91"/>
  <c r="U1571" i="91"/>
  <c r="V1571" i="91"/>
  <c r="A1572" i="91"/>
  <c r="G1572" i="91"/>
  <c r="L1572" i="91"/>
  <c r="K1572" i="91"/>
  <c r="M1572" i="91"/>
  <c r="O1572" i="91"/>
  <c r="Q1572" i="91"/>
  <c r="S1572" i="91"/>
  <c r="U1572" i="91"/>
  <c r="A1573" i="91"/>
  <c r="G1573" i="91"/>
  <c r="J1573" i="91"/>
  <c r="K1573" i="91"/>
  <c r="L1573" i="91"/>
  <c r="M1573" i="91"/>
  <c r="N1573" i="91"/>
  <c r="O1573" i="91"/>
  <c r="P1573" i="91"/>
  <c r="Q1573" i="91"/>
  <c r="R1573" i="91"/>
  <c r="S1573" i="91"/>
  <c r="T1573" i="91"/>
  <c r="U1573" i="91"/>
  <c r="V1573" i="91"/>
  <c r="A1574" i="91"/>
  <c r="G1574" i="91"/>
  <c r="J1574" i="91"/>
  <c r="M1574" i="91"/>
  <c r="Q1574" i="91"/>
  <c r="U1574" i="91"/>
  <c r="A1575" i="91"/>
  <c r="G1575" i="91"/>
  <c r="K1575" i="91"/>
  <c r="J1575" i="91"/>
  <c r="L1575" i="91"/>
  <c r="M1575" i="91"/>
  <c r="N1575" i="91"/>
  <c r="P1575" i="91"/>
  <c r="Q1575" i="91"/>
  <c r="R1575" i="91"/>
  <c r="T1575" i="91"/>
  <c r="U1575" i="91"/>
  <c r="V1575" i="91"/>
  <c r="A1576" i="91"/>
  <c r="G1576" i="91"/>
  <c r="L1576" i="91"/>
  <c r="K1576" i="91"/>
  <c r="M1576" i="91"/>
  <c r="O1576" i="91"/>
  <c r="Q1576" i="91"/>
  <c r="S1576" i="91"/>
  <c r="U1576" i="91"/>
  <c r="A1577" i="91"/>
  <c r="G1577" i="91"/>
  <c r="J1577" i="91"/>
  <c r="K1577" i="91"/>
  <c r="L1577" i="91"/>
  <c r="M1577" i="91"/>
  <c r="N1577" i="91"/>
  <c r="O1577" i="91"/>
  <c r="P1577" i="91"/>
  <c r="Q1577" i="91"/>
  <c r="R1577" i="91"/>
  <c r="S1577" i="91"/>
  <c r="T1577" i="91"/>
  <c r="U1577" i="91"/>
  <c r="V1577" i="91"/>
  <c r="A1578" i="91"/>
  <c r="G1578" i="91"/>
  <c r="J1578" i="91"/>
  <c r="M1578" i="91"/>
  <c r="Q1578" i="91"/>
  <c r="U1578" i="91"/>
  <c r="A1579" i="91"/>
  <c r="G1579" i="91"/>
  <c r="K1579" i="91"/>
  <c r="J1579" i="91"/>
  <c r="L1579" i="91"/>
  <c r="M1579" i="91"/>
  <c r="N1579" i="91"/>
  <c r="P1579" i="91"/>
  <c r="Q1579" i="91"/>
  <c r="R1579" i="91"/>
  <c r="T1579" i="91"/>
  <c r="U1579" i="91"/>
  <c r="V1579" i="91"/>
  <c r="A1580" i="91"/>
  <c r="G1580" i="91"/>
  <c r="L1580" i="91"/>
  <c r="K1580" i="91"/>
  <c r="M1580" i="91"/>
  <c r="O1580" i="91"/>
  <c r="Q1580" i="91"/>
  <c r="S1580" i="91"/>
  <c r="U1580" i="91"/>
  <c r="A1581" i="91"/>
  <c r="G1581" i="91"/>
  <c r="J1581" i="91"/>
  <c r="K1581" i="91"/>
  <c r="L1581" i="91"/>
  <c r="M1581" i="91"/>
  <c r="N1581" i="91"/>
  <c r="O1581" i="91"/>
  <c r="P1581" i="91"/>
  <c r="Q1581" i="91"/>
  <c r="R1581" i="91"/>
  <c r="S1581" i="91"/>
  <c r="T1581" i="91"/>
  <c r="U1581" i="91"/>
  <c r="V1581" i="91"/>
  <c r="A1582" i="91"/>
  <c r="G1582" i="91"/>
  <c r="J1582" i="91"/>
  <c r="M1582" i="91"/>
  <c r="Q1582" i="91"/>
  <c r="U1582" i="91"/>
  <c r="A1583" i="91"/>
  <c r="G1583" i="91"/>
  <c r="K1583" i="91"/>
  <c r="J1583" i="91"/>
  <c r="L1583" i="91"/>
  <c r="M1583" i="91"/>
  <c r="N1583" i="91"/>
  <c r="P1583" i="91"/>
  <c r="Q1583" i="91"/>
  <c r="R1583" i="91"/>
  <c r="T1583" i="91"/>
  <c r="U1583" i="91"/>
  <c r="V1583" i="91"/>
  <c r="A1584" i="91"/>
  <c r="G1584" i="91"/>
  <c r="L1584" i="91"/>
  <c r="K1584" i="91"/>
  <c r="M1584" i="91"/>
  <c r="O1584" i="91"/>
  <c r="Q1584" i="91"/>
  <c r="S1584" i="91"/>
  <c r="U1584" i="91"/>
  <c r="G1587" i="91"/>
  <c r="A1588" i="91"/>
  <c r="G1588" i="91"/>
  <c r="H1588" i="91"/>
  <c r="A1589" i="91"/>
  <c r="G1589" i="91"/>
  <c r="H1589" i="91"/>
  <c r="A1590" i="91"/>
  <c r="G1590" i="91"/>
  <c r="H1590" i="91"/>
  <c r="A1591" i="91"/>
  <c r="G1591" i="91"/>
  <c r="H1591" i="91"/>
  <c r="A1592" i="91"/>
  <c r="G1592" i="91"/>
  <c r="H1592" i="91"/>
  <c r="A1593" i="91"/>
  <c r="G1593" i="91"/>
  <c r="H1593" i="91"/>
  <c r="A1594" i="91"/>
  <c r="G1594" i="91"/>
  <c r="H1594" i="91"/>
  <c r="A1595" i="91"/>
  <c r="G1595" i="91"/>
  <c r="H1595" i="91"/>
  <c r="A1596" i="91"/>
  <c r="G1596" i="91"/>
  <c r="H1596" i="91"/>
  <c r="A1597" i="91"/>
  <c r="G1597" i="91"/>
  <c r="H1597" i="91"/>
  <c r="A1598" i="91"/>
  <c r="G1598" i="91"/>
  <c r="H1598" i="91"/>
  <c r="J1598" i="91"/>
  <c r="K1598" i="91"/>
  <c r="L1598" i="91"/>
  <c r="M1598" i="91"/>
  <c r="N1598" i="91"/>
  <c r="O1598" i="91"/>
  <c r="P1598" i="91"/>
  <c r="Q1598" i="91"/>
  <c r="R1598" i="91"/>
  <c r="S1598" i="91"/>
  <c r="T1598" i="91"/>
  <c r="U1598" i="91"/>
  <c r="V1598" i="91"/>
  <c r="A1599" i="91"/>
  <c r="G1599" i="91"/>
  <c r="H1599" i="91"/>
  <c r="J1599" i="91"/>
  <c r="K1599" i="91"/>
  <c r="L1599" i="91"/>
  <c r="M1599" i="91"/>
  <c r="N1599" i="91"/>
  <c r="O1599" i="91"/>
  <c r="P1599" i="91"/>
  <c r="Q1599" i="91"/>
  <c r="R1599" i="91"/>
  <c r="S1599" i="91"/>
  <c r="T1599" i="91"/>
  <c r="U1599" i="91"/>
  <c r="V1599" i="91"/>
  <c r="A1600" i="91"/>
  <c r="G1600" i="91"/>
  <c r="H1600" i="91"/>
  <c r="J1600" i="91"/>
  <c r="K1600" i="91"/>
  <c r="L1600" i="91"/>
  <c r="M1600" i="91"/>
  <c r="N1600" i="91"/>
  <c r="O1600" i="91"/>
  <c r="P1600" i="91"/>
  <c r="Q1600" i="91"/>
  <c r="R1600" i="91"/>
  <c r="S1600" i="91"/>
  <c r="T1600" i="91"/>
  <c r="U1600" i="91"/>
  <c r="V1600" i="91"/>
  <c r="A1601" i="91"/>
  <c r="G1601" i="91"/>
  <c r="H1601" i="91"/>
  <c r="J1601" i="91"/>
  <c r="K1601" i="91"/>
  <c r="L1601" i="91"/>
  <c r="M1601" i="91"/>
  <c r="N1601" i="91"/>
  <c r="O1601" i="91"/>
  <c r="P1601" i="91"/>
  <c r="Q1601" i="91"/>
  <c r="R1601" i="91"/>
  <c r="S1601" i="91"/>
  <c r="T1601" i="91"/>
  <c r="U1601" i="91"/>
  <c r="V1601" i="91"/>
  <c r="A1602" i="91"/>
  <c r="G1602" i="91"/>
  <c r="H1602" i="91"/>
  <c r="J1602" i="91"/>
  <c r="K1602" i="91"/>
  <c r="L1602" i="91"/>
  <c r="M1602" i="91"/>
  <c r="N1602" i="91"/>
  <c r="O1602" i="91"/>
  <c r="P1602" i="91"/>
  <c r="Q1602" i="91"/>
  <c r="R1602" i="91"/>
  <c r="S1602" i="91"/>
  <c r="T1602" i="91"/>
  <c r="U1602" i="91"/>
  <c r="V1602" i="91"/>
  <c r="A1603" i="91"/>
  <c r="G1603" i="91"/>
  <c r="H1603" i="91"/>
  <c r="J1603" i="91"/>
  <c r="K1603" i="91"/>
  <c r="L1603" i="91"/>
  <c r="M1603" i="91"/>
  <c r="N1603" i="91"/>
  <c r="O1603" i="91"/>
  <c r="P1603" i="91"/>
  <c r="Q1603" i="91"/>
  <c r="R1603" i="91"/>
  <c r="S1603" i="91"/>
  <c r="T1603" i="91"/>
  <c r="U1603" i="91"/>
  <c r="V1603" i="91"/>
  <c r="A1604" i="91"/>
  <c r="G1604" i="91"/>
  <c r="H1604" i="91"/>
  <c r="J1604" i="91"/>
  <c r="K1604" i="91"/>
  <c r="L1604" i="91"/>
  <c r="M1604" i="91"/>
  <c r="N1604" i="91"/>
  <c r="O1604" i="91"/>
  <c r="P1604" i="91"/>
  <c r="Q1604" i="91"/>
  <c r="R1604" i="91"/>
  <c r="S1604" i="91"/>
  <c r="T1604" i="91"/>
  <c r="U1604" i="91"/>
  <c r="V1604" i="91"/>
  <c r="A1605" i="91"/>
  <c r="G1605" i="91"/>
  <c r="H1605" i="91"/>
  <c r="J1605" i="91"/>
  <c r="K1605" i="91"/>
  <c r="L1605" i="91"/>
  <c r="M1605" i="91"/>
  <c r="N1605" i="91"/>
  <c r="O1605" i="91"/>
  <c r="P1605" i="91"/>
  <c r="Q1605" i="91"/>
  <c r="R1605" i="91"/>
  <c r="S1605" i="91"/>
  <c r="T1605" i="91"/>
  <c r="U1605" i="91"/>
  <c r="V1605" i="91"/>
  <c r="A1606" i="91"/>
  <c r="G1606" i="91"/>
  <c r="H1606" i="91"/>
  <c r="J1606" i="91"/>
  <c r="K1606" i="91"/>
  <c r="L1606" i="91"/>
  <c r="M1606" i="91"/>
  <c r="N1606" i="91"/>
  <c r="O1606" i="91"/>
  <c r="P1606" i="91"/>
  <c r="Q1606" i="91"/>
  <c r="R1606" i="91"/>
  <c r="S1606" i="91"/>
  <c r="T1606" i="91"/>
  <c r="U1606" i="91"/>
  <c r="V1606" i="91"/>
  <c r="A1607" i="91"/>
  <c r="G1607" i="91"/>
  <c r="H1607" i="91"/>
  <c r="J1607" i="91"/>
  <c r="K1607" i="91"/>
  <c r="L1607" i="91"/>
  <c r="M1607" i="91"/>
  <c r="N1607" i="91"/>
  <c r="O1607" i="91"/>
  <c r="P1607" i="91"/>
  <c r="Q1607" i="91"/>
  <c r="R1607" i="91"/>
  <c r="S1607" i="91"/>
  <c r="T1607" i="91"/>
  <c r="U1607" i="91"/>
  <c r="V1607" i="91"/>
  <c r="A1608" i="91"/>
  <c r="G1608" i="91"/>
  <c r="H1608" i="91"/>
  <c r="J1608" i="91"/>
  <c r="K1608" i="91"/>
  <c r="L1608" i="91"/>
  <c r="M1608" i="91"/>
  <c r="N1608" i="91"/>
  <c r="O1608" i="91"/>
  <c r="P1608" i="91"/>
  <c r="Q1608" i="91"/>
  <c r="R1608" i="91"/>
  <c r="S1608" i="91"/>
  <c r="T1608" i="91"/>
  <c r="U1608" i="91"/>
  <c r="V1608" i="91"/>
  <c r="A1609" i="91"/>
  <c r="G1609" i="91"/>
  <c r="H1609" i="91"/>
  <c r="J1609" i="91"/>
  <c r="K1609" i="91"/>
  <c r="L1609" i="91"/>
  <c r="M1609" i="91"/>
  <c r="N1609" i="91"/>
  <c r="O1609" i="91"/>
  <c r="P1609" i="91"/>
  <c r="Q1609" i="91"/>
  <c r="R1609" i="91"/>
  <c r="S1609" i="91"/>
  <c r="T1609" i="91"/>
  <c r="U1609" i="91"/>
  <c r="V1609" i="91"/>
  <c r="A1610" i="91"/>
  <c r="G1610" i="91"/>
  <c r="H1610" i="91"/>
  <c r="J1610" i="91"/>
  <c r="K1610" i="91"/>
  <c r="L1610" i="91"/>
  <c r="M1610" i="91"/>
  <c r="N1610" i="91"/>
  <c r="O1610" i="91"/>
  <c r="P1610" i="91"/>
  <c r="Q1610" i="91"/>
  <c r="R1610" i="91"/>
  <c r="S1610" i="91"/>
  <c r="T1610" i="91"/>
  <c r="U1610" i="91"/>
  <c r="V1610" i="91"/>
  <c r="A1611" i="91"/>
  <c r="G1611" i="91"/>
  <c r="H1611" i="91"/>
  <c r="J1611" i="91"/>
  <c r="K1611" i="91"/>
  <c r="L1611" i="91"/>
  <c r="M1611" i="91"/>
  <c r="N1611" i="91"/>
  <c r="O1611" i="91"/>
  <c r="P1611" i="91"/>
  <c r="Q1611" i="91"/>
  <c r="R1611" i="91"/>
  <c r="S1611" i="91"/>
  <c r="T1611" i="91"/>
  <c r="U1611" i="91"/>
  <c r="V1611" i="91"/>
  <c r="A1612" i="91"/>
  <c r="G1612" i="91"/>
  <c r="H1612" i="91"/>
  <c r="J1612" i="91"/>
  <c r="K1612" i="91"/>
  <c r="L1612" i="91"/>
  <c r="M1612" i="91"/>
  <c r="N1612" i="91"/>
  <c r="O1612" i="91"/>
  <c r="P1612" i="91"/>
  <c r="Q1612" i="91"/>
  <c r="R1612" i="91"/>
  <c r="S1612" i="91"/>
  <c r="T1612" i="91"/>
  <c r="U1612" i="91"/>
  <c r="V1612" i="91"/>
  <c r="J1614" i="91"/>
  <c r="G1616" i="91"/>
  <c r="A1617" i="91"/>
  <c r="G1617" i="91"/>
  <c r="H1617" i="91"/>
  <c r="A1618" i="91"/>
  <c r="G1618" i="91"/>
  <c r="H1618" i="91"/>
  <c r="A1619" i="91"/>
  <c r="G1619" i="91"/>
  <c r="H1619" i="91"/>
  <c r="A1620" i="91"/>
  <c r="G1620" i="91"/>
  <c r="H1620" i="91"/>
  <c r="A1621" i="91"/>
  <c r="G1621" i="91"/>
  <c r="H1621" i="91"/>
  <c r="A1622" i="91"/>
  <c r="G1622" i="91"/>
  <c r="H1622" i="91"/>
  <c r="A1623" i="91"/>
  <c r="G1623" i="91"/>
  <c r="H1623" i="91"/>
  <c r="A1624" i="91"/>
  <c r="G1624" i="91"/>
  <c r="H1624" i="91"/>
  <c r="A1625" i="91"/>
  <c r="G1625" i="91"/>
  <c r="H1625" i="91"/>
  <c r="A1626" i="91"/>
  <c r="G1626" i="91"/>
  <c r="H1626" i="91"/>
  <c r="A1627" i="91"/>
  <c r="G1627" i="91"/>
  <c r="K1627" i="91"/>
  <c r="K1685" i="91"/>
  <c r="H1627" i="91"/>
  <c r="J1627" i="91"/>
  <c r="J1685" i="91"/>
  <c r="L1627" i="91"/>
  <c r="N1627" i="91"/>
  <c r="N1685" i="91"/>
  <c r="P1627" i="91"/>
  <c r="P1685" i="91"/>
  <c r="R1627" i="91"/>
  <c r="T1627" i="91"/>
  <c r="T1685" i="91"/>
  <c r="V1627" i="91"/>
  <c r="V1685" i="91"/>
  <c r="A1628" i="91"/>
  <c r="G1628" i="91"/>
  <c r="K1628" i="91"/>
  <c r="K1686" i="91"/>
  <c r="H1628" i="91"/>
  <c r="J1628" i="91"/>
  <c r="J1686" i="91"/>
  <c r="L1628" i="91"/>
  <c r="L1686" i="91"/>
  <c r="N1628" i="91"/>
  <c r="P1628" i="91"/>
  <c r="P1686" i="91"/>
  <c r="R1628" i="91"/>
  <c r="R1686" i="91"/>
  <c r="T1628" i="91"/>
  <c r="T1686" i="91"/>
  <c r="V1628" i="91"/>
  <c r="V1686" i="91"/>
  <c r="A1629" i="91"/>
  <c r="G1629" i="91"/>
  <c r="K1629" i="91"/>
  <c r="K1687" i="91"/>
  <c r="H1629" i="91"/>
  <c r="J1629" i="91"/>
  <c r="J1687" i="91"/>
  <c r="L1629" i="91"/>
  <c r="N1629" i="91"/>
  <c r="N1687" i="91"/>
  <c r="P1629" i="91"/>
  <c r="P1687" i="91"/>
  <c r="R1629" i="91"/>
  <c r="T1629" i="91"/>
  <c r="T1687" i="91"/>
  <c r="V1629" i="91"/>
  <c r="V1687" i="91"/>
  <c r="A1630" i="91"/>
  <c r="G1630" i="91"/>
  <c r="K1630" i="91"/>
  <c r="K1688" i="91"/>
  <c r="H1630" i="91"/>
  <c r="J1630" i="91"/>
  <c r="J1688" i="91"/>
  <c r="L1630" i="91"/>
  <c r="L1688" i="91"/>
  <c r="N1630" i="91"/>
  <c r="P1630" i="91"/>
  <c r="P1688" i="91"/>
  <c r="R1630" i="91"/>
  <c r="R1688" i="91"/>
  <c r="T1630" i="91"/>
  <c r="T1688" i="91"/>
  <c r="V1630" i="91"/>
  <c r="V1688" i="91"/>
  <c r="A1631" i="91"/>
  <c r="G1631" i="91"/>
  <c r="K1631" i="91"/>
  <c r="K1689" i="91"/>
  <c r="H1631" i="91"/>
  <c r="J1631" i="91"/>
  <c r="J1689" i="91"/>
  <c r="L1631" i="91"/>
  <c r="N1631" i="91"/>
  <c r="N1689" i="91"/>
  <c r="P1631" i="91"/>
  <c r="P1689" i="91"/>
  <c r="R1631" i="91"/>
  <c r="T1631" i="91"/>
  <c r="T1689" i="91"/>
  <c r="V1631" i="91"/>
  <c r="V1689" i="91"/>
  <c r="A1632" i="91"/>
  <c r="G1632" i="91"/>
  <c r="K1632" i="91"/>
  <c r="K1690" i="91"/>
  <c r="H1632" i="91"/>
  <c r="J1632" i="91"/>
  <c r="J1690" i="91"/>
  <c r="L1632" i="91"/>
  <c r="L1690" i="91"/>
  <c r="N1632" i="91"/>
  <c r="P1632" i="91"/>
  <c r="P1690" i="91"/>
  <c r="R1632" i="91"/>
  <c r="R1690" i="91"/>
  <c r="T1632" i="91"/>
  <c r="T1690" i="91"/>
  <c r="V1632" i="91"/>
  <c r="V1690" i="91"/>
  <c r="A1633" i="91"/>
  <c r="G1633" i="91"/>
  <c r="K1633" i="91"/>
  <c r="K1691" i="91"/>
  <c r="H1633" i="91"/>
  <c r="J1633" i="91"/>
  <c r="J1691" i="91"/>
  <c r="L1633" i="91"/>
  <c r="N1633" i="91"/>
  <c r="N1691" i="91"/>
  <c r="P1633" i="91"/>
  <c r="P1691" i="91"/>
  <c r="R1633" i="91"/>
  <c r="T1633" i="91"/>
  <c r="T1691" i="91"/>
  <c r="V1633" i="91"/>
  <c r="V1691" i="91"/>
  <c r="A1634" i="91"/>
  <c r="G1634" i="91"/>
  <c r="K1634" i="91"/>
  <c r="K1692" i="91"/>
  <c r="H1634" i="91"/>
  <c r="J1634" i="91"/>
  <c r="J1692" i="91"/>
  <c r="L1634" i="91"/>
  <c r="L1692" i="91"/>
  <c r="N1634" i="91"/>
  <c r="P1634" i="91"/>
  <c r="P1692" i="91"/>
  <c r="R1634" i="91"/>
  <c r="R1692" i="91"/>
  <c r="T1634" i="91"/>
  <c r="T1692" i="91"/>
  <c r="V1634" i="91"/>
  <c r="V1692" i="91"/>
  <c r="A1635" i="91"/>
  <c r="G1635" i="91"/>
  <c r="K1635" i="91"/>
  <c r="K1693" i="91"/>
  <c r="H1635" i="91"/>
  <c r="J1635" i="91"/>
  <c r="J1693" i="91"/>
  <c r="N1635" i="91"/>
  <c r="P1635" i="91"/>
  <c r="P1693" i="91"/>
  <c r="R1635" i="91"/>
  <c r="R1693" i="91"/>
  <c r="T1635" i="91"/>
  <c r="V1635" i="91"/>
  <c r="V1693" i="91"/>
  <c r="A1636" i="91"/>
  <c r="G1636" i="91"/>
  <c r="K1636" i="91"/>
  <c r="K1694" i="91"/>
  <c r="H1636" i="91"/>
  <c r="J1636" i="91"/>
  <c r="J1694" i="91"/>
  <c r="L1636" i="91"/>
  <c r="L1694" i="91"/>
  <c r="N1636" i="91"/>
  <c r="P1636" i="91"/>
  <c r="P1694" i="91"/>
  <c r="R1636" i="91"/>
  <c r="T1636" i="91"/>
  <c r="T1694" i="91"/>
  <c r="V1636" i="91"/>
  <c r="V1694" i="91"/>
  <c r="A1637" i="91"/>
  <c r="G1637" i="91"/>
  <c r="K1637" i="91"/>
  <c r="K1695" i="91"/>
  <c r="H1637" i="91"/>
  <c r="J1637" i="91"/>
  <c r="J1695" i="91"/>
  <c r="L1637" i="91"/>
  <c r="L1695" i="91"/>
  <c r="N1637" i="91"/>
  <c r="N1695" i="91"/>
  <c r="P1637" i="91"/>
  <c r="P1695" i="91"/>
  <c r="R1637" i="91"/>
  <c r="T1637" i="91"/>
  <c r="V1637" i="91"/>
  <c r="A1638" i="91"/>
  <c r="G1638" i="91"/>
  <c r="K1638" i="91"/>
  <c r="K1696" i="91"/>
  <c r="H1638" i="91"/>
  <c r="J1638" i="91"/>
  <c r="L1638" i="91"/>
  <c r="L1696" i="91"/>
  <c r="N1638" i="91"/>
  <c r="N1696" i="91"/>
  <c r="P1638" i="91"/>
  <c r="P1696" i="91"/>
  <c r="R1638" i="91"/>
  <c r="R1696" i="91"/>
  <c r="T1638" i="91"/>
  <c r="T1696" i="91"/>
  <c r="V1638" i="91"/>
  <c r="A1639" i="91"/>
  <c r="G1639" i="91"/>
  <c r="K1639" i="91"/>
  <c r="K1697" i="91"/>
  <c r="H1639" i="91"/>
  <c r="J1639" i="91"/>
  <c r="L1639" i="91"/>
  <c r="N1639" i="91"/>
  <c r="P1639" i="91"/>
  <c r="P1697" i="91"/>
  <c r="R1639" i="91"/>
  <c r="R1697" i="91"/>
  <c r="T1639" i="91"/>
  <c r="T1697" i="91"/>
  <c r="V1639" i="91"/>
  <c r="V1697" i="91"/>
  <c r="A1640" i="91"/>
  <c r="G1640" i="91"/>
  <c r="K1640" i="91"/>
  <c r="K1698" i="91"/>
  <c r="H1640" i="91"/>
  <c r="J1640" i="91"/>
  <c r="J1698" i="91"/>
  <c r="L1640" i="91"/>
  <c r="L1698" i="91"/>
  <c r="N1640" i="91"/>
  <c r="N1698" i="91"/>
  <c r="P1640" i="91"/>
  <c r="P1698" i="91"/>
  <c r="R1640" i="91"/>
  <c r="T1640" i="91"/>
  <c r="T1698" i="91"/>
  <c r="V1640" i="91"/>
  <c r="V1698" i="91"/>
  <c r="A1641" i="91"/>
  <c r="G1641" i="91"/>
  <c r="K1641" i="91"/>
  <c r="K1699" i="91"/>
  <c r="H1641" i="91"/>
  <c r="J1641" i="91"/>
  <c r="J1699" i="91"/>
  <c r="L1641" i="91"/>
  <c r="N1641" i="91"/>
  <c r="N1699" i="91"/>
  <c r="P1641" i="91"/>
  <c r="P1699" i="91"/>
  <c r="R1641" i="91"/>
  <c r="R1699" i="91"/>
  <c r="T1641" i="91"/>
  <c r="T1699" i="91"/>
  <c r="V1641" i="91"/>
  <c r="G1645" i="91"/>
  <c r="A1646" i="91"/>
  <c r="G1646" i="91"/>
  <c r="H1646" i="91"/>
  <c r="A1647" i="91"/>
  <c r="G1647" i="91"/>
  <c r="H1647" i="91"/>
  <c r="A1648" i="91"/>
  <c r="G1648" i="91"/>
  <c r="H1648" i="91"/>
  <c r="A1649" i="91"/>
  <c r="G1649" i="91"/>
  <c r="H1649" i="91"/>
  <c r="A1650" i="91"/>
  <c r="G1650" i="91"/>
  <c r="H1650" i="91"/>
  <c r="A1651" i="91"/>
  <c r="G1651" i="91"/>
  <c r="H1651" i="91"/>
  <c r="A1652" i="91"/>
  <c r="G1652" i="91"/>
  <c r="H1652" i="91"/>
  <c r="A1653" i="91"/>
  <c r="G1653" i="91"/>
  <c r="H1653" i="91"/>
  <c r="A1654" i="91"/>
  <c r="G1654" i="91"/>
  <c r="H1654" i="91"/>
  <c r="A1655" i="91"/>
  <c r="G1655" i="91"/>
  <c r="H1655" i="91"/>
  <c r="A1656" i="91"/>
  <c r="G1656" i="91"/>
  <c r="K1656" i="91"/>
  <c r="H1656" i="91"/>
  <c r="J1656" i="91"/>
  <c r="L1656" i="91"/>
  <c r="N1656" i="91"/>
  <c r="P1656" i="91"/>
  <c r="R1656" i="91"/>
  <c r="T1656" i="91"/>
  <c r="V1656" i="91"/>
  <c r="A1657" i="91"/>
  <c r="G1657" i="91"/>
  <c r="K1657" i="91"/>
  <c r="H1657" i="91"/>
  <c r="J1657" i="91"/>
  <c r="L1657" i="91"/>
  <c r="N1657" i="91"/>
  <c r="P1657" i="91"/>
  <c r="R1657" i="91"/>
  <c r="T1657" i="91"/>
  <c r="V1657" i="91"/>
  <c r="A1658" i="91"/>
  <c r="G1658" i="91"/>
  <c r="K1658" i="91"/>
  <c r="H1658" i="91"/>
  <c r="J1658" i="91"/>
  <c r="L1658" i="91"/>
  <c r="N1658" i="91"/>
  <c r="P1658" i="91"/>
  <c r="R1658" i="91"/>
  <c r="T1658" i="91"/>
  <c r="V1658" i="91"/>
  <c r="A1659" i="91"/>
  <c r="G1659" i="91"/>
  <c r="K1659" i="91"/>
  <c r="H1659" i="91"/>
  <c r="J1659" i="91"/>
  <c r="L1659" i="91"/>
  <c r="N1659" i="91"/>
  <c r="P1659" i="91"/>
  <c r="R1659" i="91"/>
  <c r="T1659" i="91"/>
  <c r="V1659" i="91"/>
  <c r="A1660" i="91"/>
  <c r="G1660" i="91"/>
  <c r="K1660" i="91"/>
  <c r="H1660" i="91"/>
  <c r="J1660" i="91"/>
  <c r="L1660" i="91"/>
  <c r="N1660" i="91"/>
  <c r="P1660" i="91"/>
  <c r="R1660" i="91"/>
  <c r="T1660" i="91"/>
  <c r="V1660" i="91"/>
  <c r="A1661" i="91"/>
  <c r="G1661" i="91"/>
  <c r="K1661" i="91"/>
  <c r="H1661" i="91"/>
  <c r="J1661" i="91"/>
  <c r="L1661" i="91"/>
  <c r="N1661" i="91"/>
  <c r="P1661" i="91"/>
  <c r="R1661" i="91"/>
  <c r="T1661" i="91"/>
  <c r="V1661" i="91"/>
  <c r="A1662" i="91"/>
  <c r="G1662" i="91"/>
  <c r="K1662" i="91"/>
  <c r="H1662" i="91"/>
  <c r="J1662" i="91"/>
  <c r="L1662" i="91"/>
  <c r="N1662" i="91"/>
  <c r="P1662" i="91"/>
  <c r="R1662" i="91"/>
  <c r="T1662" i="91"/>
  <c r="V1662" i="91"/>
  <c r="A1663" i="91"/>
  <c r="G1663" i="91"/>
  <c r="K1663" i="91"/>
  <c r="H1663" i="91"/>
  <c r="J1663" i="91"/>
  <c r="L1663" i="91"/>
  <c r="N1663" i="91"/>
  <c r="P1663" i="91"/>
  <c r="R1663" i="91"/>
  <c r="T1663" i="91"/>
  <c r="V1663" i="91"/>
  <c r="A1664" i="91"/>
  <c r="G1664" i="91"/>
  <c r="K1664" i="91"/>
  <c r="H1664" i="91"/>
  <c r="J1664" i="91"/>
  <c r="L1664" i="91"/>
  <c r="N1664" i="91"/>
  <c r="P1664" i="91"/>
  <c r="R1664" i="91"/>
  <c r="T1664" i="91"/>
  <c r="V1664" i="91"/>
  <c r="A1665" i="91"/>
  <c r="G1665" i="91"/>
  <c r="K1665" i="91"/>
  <c r="H1665" i="91"/>
  <c r="J1665" i="91"/>
  <c r="L1665" i="91"/>
  <c r="N1665" i="91"/>
  <c r="P1665" i="91"/>
  <c r="R1665" i="91"/>
  <c r="T1665" i="91"/>
  <c r="V1665" i="91"/>
  <c r="A1666" i="91"/>
  <c r="G1666" i="91"/>
  <c r="K1666" i="91"/>
  <c r="H1666" i="91"/>
  <c r="J1666" i="91"/>
  <c r="L1666" i="91"/>
  <c r="N1666" i="91"/>
  <c r="P1666" i="91"/>
  <c r="R1666" i="91"/>
  <c r="T1666" i="91"/>
  <c r="V1666" i="91"/>
  <c r="A1667" i="91"/>
  <c r="G1667" i="91"/>
  <c r="K1667" i="91"/>
  <c r="H1667" i="91"/>
  <c r="J1667" i="91"/>
  <c r="L1667" i="91"/>
  <c r="N1667" i="91"/>
  <c r="P1667" i="91"/>
  <c r="R1667" i="91"/>
  <c r="T1667" i="91"/>
  <c r="V1667" i="91"/>
  <c r="A1668" i="91"/>
  <c r="G1668" i="91"/>
  <c r="K1668" i="91"/>
  <c r="H1668" i="91"/>
  <c r="J1668" i="91"/>
  <c r="L1668" i="91"/>
  <c r="N1668" i="91"/>
  <c r="P1668" i="91"/>
  <c r="R1668" i="91"/>
  <c r="T1668" i="91"/>
  <c r="V1668" i="91"/>
  <c r="A1669" i="91"/>
  <c r="G1669" i="91"/>
  <c r="K1669" i="91"/>
  <c r="H1669" i="91"/>
  <c r="J1669" i="91"/>
  <c r="L1669" i="91"/>
  <c r="N1669" i="91"/>
  <c r="P1669" i="91"/>
  <c r="R1669" i="91"/>
  <c r="T1669" i="91"/>
  <c r="V1669" i="91"/>
  <c r="A1670" i="91"/>
  <c r="G1670" i="91"/>
  <c r="K1670" i="91"/>
  <c r="H1670" i="91"/>
  <c r="J1670" i="91"/>
  <c r="L1670" i="91"/>
  <c r="N1670" i="91"/>
  <c r="P1670" i="91"/>
  <c r="R1670" i="91"/>
  <c r="T1670" i="91"/>
  <c r="V1670" i="91"/>
  <c r="J1673" i="91"/>
  <c r="K1673" i="91"/>
  <c r="L1673" i="91"/>
  <c r="M1673" i="91"/>
  <c r="N1673" i="91"/>
  <c r="O1673" i="91"/>
  <c r="P1673" i="91"/>
  <c r="Q1673" i="91"/>
  <c r="R1673" i="91"/>
  <c r="S1673" i="91"/>
  <c r="T1673" i="91"/>
  <c r="U1673" i="91"/>
  <c r="V1673" i="91"/>
  <c r="G1674" i="91"/>
  <c r="A1675" i="91"/>
  <c r="G1675" i="91"/>
  <c r="H1675" i="91"/>
  <c r="A1676" i="91"/>
  <c r="G1676" i="91"/>
  <c r="H1676" i="91"/>
  <c r="A1677" i="91"/>
  <c r="G1677" i="91"/>
  <c r="H1677" i="91"/>
  <c r="A1678" i="91"/>
  <c r="G1678" i="91"/>
  <c r="H1678" i="91"/>
  <c r="A1679" i="91"/>
  <c r="G1679" i="91"/>
  <c r="H1679" i="91"/>
  <c r="A1680" i="91"/>
  <c r="G1680" i="91"/>
  <c r="H1680" i="91"/>
  <c r="A1681" i="91"/>
  <c r="G1681" i="91"/>
  <c r="H1681" i="91"/>
  <c r="A1682" i="91"/>
  <c r="G1682" i="91"/>
  <c r="H1682" i="91"/>
  <c r="A1683" i="91"/>
  <c r="G1683" i="91"/>
  <c r="H1683" i="91"/>
  <c r="A1684" i="91"/>
  <c r="G1684" i="91"/>
  <c r="H1684" i="91"/>
  <c r="A1685" i="91"/>
  <c r="G1685" i="91"/>
  <c r="H1685" i="91"/>
  <c r="L1685" i="91"/>
  <c r="R1685" i="91"/>
  <c r="A1686" i="91"/>
  <c r="G1686" i="91"/>
  <c r="H1686" i="91"/>
  <c r="N1686" i="91"/>
  <c r="A1687" i="91"/>
  <c r="G1687" i="91"/>
  <c r="H1687" i="91"/>
  <c r="L1687" i="91"/>
  <c r="R1687" i="91"/>
  <c r="A1688" i="91"/>
  <c r="G1688" i="91"/>
  <c r="H1688" i="91"/>
  <c r="N1688" i="91"/>
  <c r="A1689" i="91"/>
  <c r="G1689" i="91"/>
  <c r="H1689" i="91"/>
  <c r="L1689" i="91"/>
  <c r="R1689" i="91"/>
  <c r="A1690" i="91"/>
  <c r="G1690" i="91"/>
  <c r="H1690" i="91"/>
  <c r="N1690" i="91"/>
  <c r="A1691" i="91"/>
  <c r="G1691" i="91"/>
  <c r="H1691" i="91"/>
  <c r="L1691" i="91"/>
  <c r="R1691" i="91"/>
  <c r="A1692" i="91"/>
  <c r="G1692" i="91"/>
  <c r="H1692" i="91"/>
  <c r="N1692" i="91"/>
  <c r="A1693" i="91"/>
  <c r="G1693" i="91"/>
  <c r="H1693" i="91"/>
  <c r="N1693" i="91"/>
  <c r="T1693" i="91"/>
  <c r="A1694" i="91"/>
  <c r="G1694" i="91"/>
  <c r="H1694" i="91"/>
  <c r="N1694" i="91"/>
  <c r="R1694" i="91"/>
  <c r="A1695" i="91"/>
  <c r="G1695" i="91"/>
  <c r="H1695" i="91"/>
  <c r="R1695" i="91"/>
  <c r="T1695" i="91"/>
  <c r="V1695" i="91"/>
  <c r="A1696" i="91"/>
  <c r="G1696" i="91"/>
  <c r="H1696" i="91"/>
  <c r="J1696" i="91"/>
  <c r="V1696" i="91"/>
  <c r="A1697" i="91"/>
  <c r="G1697" i="91"/>
  <c r="H1697" i="91"/>
  <c r="J1697" i="91"/>
  <c r="L1697" i="91"/>
  <c r="N1697" i="91"/>
  <c r="A1698" i="91"/>
  <c r="G1698" i="91"/>
  <c r="H1698" i="91"/>
  <c r="R1698" i="91"/>
  <c r="A1699" i="91"/>
  <c r="G1699" i="91"/>
  <c r="H1699" i="91"/>
  <c r="L1699" i="91"/>
  <c r="V1699" i="91"/>
  <c r="J1702" i="91"/>
  <c r="K1702" i="91"/>
  <c r="L1702" i="91"/>
  <c r="M1702" i="91"/>
  <c r="N1702" i="91"/>
  <c r="O1702" i="91"/>
  <c r="P1702" i="91"/>
  <c r="Q1702" i="91"/>
  <c r="R1702" i="91"/>
  <c r="S1702" i="91"/>
  <c r="T1702" i="91"/>
  <c r="U1702" i="91"/>
  <c r="V1702" i="91"/>
  <c r="G1703" i="91"/>
  <c r="A1704" i="91"/>
  <c r="G1704" i="91"/>
  <c r="H1704" i="91"/>
  <c r="P1525" i="91"/>
  <c r="O1525" i="91"/>
  <c r="N1525" i="91"/>
  <c r="K1525" i="91"/>
  <c r="J1525" i="91"/>
  <c r="L1525" i="91"/>
  <c r="M1525" i="91"/>
  <c r="N1529" i="91"/>
  <c r="O1529" i="91"/>
  <c r="J1529" i="91"/>
  <c r="K1529" i="91"/>
  <c r="L1529" i="91"/>
  <c r="M1529" i="91"/>
  <c r="P1529" i="91"/>
  <c r="J1533" i="91"/>
  <c r="K1533" i="91"/>
  <c r="L1533" i="91"/>
  <c r="P1533" i="91"/>
  <c r="M1533" i="91"/>
  <c r="N1533" i="91"/>
  <c r="O1533" i="91"/>
  <c r="L1537" i="91"/>
  <c r="M1537" i="91"/>
  <c r="N1537" i="91"/>
  <c r="O1537" i="91"/>
  <c r="K1537" i="91"/>
  <c r="J1537" i="91"/>
  <c r="P1537" i="91"/>
  <c r="M1541" i="91"/>
  <c r="K1541" i="91"/>
  <c r="N1541" i="91"/>
  <c r="O1541" i="91"/>
  <c r="L1541" i="91"/>
  <c r="J1541" i="91"/>
  <c r="P1541" i="91"/>
  <c r="M1545" i="91"/>
  <c r="O1545" i="91"/>
  <c r="K1545" i="91"/>
  <c r="L1545" i="91"/>
  <c r="N1545" i="91"/>
  <c r="P1545" i="91"/>
  <c r="J1545" i="91"/>
  <c r="M1549" i="91"/>
  <c r="O1549" i="91"/>
  <c r="N1549" i="91"/>
  <c r="K1549" i="91"/>
  <c r="L1549" i="91"/>
  <c r="J1549" i="91"/>
  <c r="P1549" i="91"/>
  <c r="DL254" i="91"/>
  <c r="DL263" i="91"/>
  <c r="DL223" i="91"/>
  <c r="DL265" i="91"/>
  <c r="DL267" i="91"/>
  <c r="DL243" i="91"/>
  <c r="DL269" i="91"/>
  <c r="DL225" i="91"/>
  <c r="DL247" i="91"/>
  <c r="DL257" i="91"/>
  <c r="DL229" i="91"/>
  <c r="DL235" i="91"/>
  <c r="DL240" i="91"/>
  <c r="DL242" i="91"/>
  <c r="DL246" i="91"/>
  <c r="DL227" i="91"/>
  <c r="DL234" i="91"/>
  <c r="DL236" i="91"/>
  <c r="DL272" i="91"/>
  <c r="O1539" i="91"/>
  <c r="M1539" i="91"/>
  <c r="K1539" i="91"/>
  <c r="L1539" i="91"/>
  <c r="N1539" i="91"/>
  <c r="P1539" i="91"/>
  <c r="J1539" i="91"/>
  <c r="DL260" i="91"/>
  <c r="DL230" i="91"/>
  <c r="DL268" i="91"/>
  <c r="DL277" i="91"/>
  <c r="M1528" i="91"/>
  <c r="N1528" i="91"/>
  <c r="J1528" i="91"/>
  <c r="O1528" i="91"/>
  <c r="K1528" i="91"/>
  <c r="L1528" i="91"/>
  <c r="P1528" i="91"/>
  <c r="L1532" i="91"/>
  <c r="J1532" i="91"/>
  <c r="O1532" i="91"/>
  <c r="P1532" i="91"/>
  <c r="K1532" i="91"/>
  <c r="M1532" i="91"/>
  <c r="N1532" i="91"/>
  <c r="M1536" i="91"/>
  <c r="N1536" i="91"/>
  <c r="O1536" i="91"/>
  <c r="L1536" i="91"/>
  <c r="P1536" i="91"/>
  <c r="K1536" i="91"/>
  <c r="J1536" i="91"/>
  <c r="N1540" i="91"/>
  <c r="M1540" i="91"/>
  <c r="L1540" i="91"/>
  <c r="P1540" i="91"/>
  <c r="K1540" i="91"/>
  <c r="O1540" i="91"/>
  <c r="J1540" i="91"/>
  <c r="N1544" i="91"/>
  <c r="O1544" i="91"/>
  <c r="J1544" i="91"/>
  <c r="L1544" i="91"/>
  <c r="M1544" i="91"/>
  <c r="K1544" i="91"/>
  <c r="P1544" i="91"/>
  <c r="M1548" i="91"/>
  <c r="O1548" i="91"/>
  <c r="N1548" i="91"/>
  <c r="K1548" i="91"/>
  <c r="L1548" i="91"/>
  <c r="J1548" i="91"/>
  <c r="P1548" i="91"/>
  <c r="DL276" i="91"/>
  <c r="DL224" i="91"/>
  <c r="L1531" i="91"/>
  <c r="N1531" i="91"/>
  <c r="P1531" i="91"/>
  <c r="J1531" i="91"/>
  <c r="O1531" i="91"/>
  <c r="M1531" i="91"/>
  <c r="K1531" i="91"/>
  <c r="M1547" i="91"/>
  <c r="O1547" i="91"/>
  <c r="K1547" i="91"/>
  <c r="L1547" i="91"/>
  <c r="N1547" i="91"/>
  <c r="P1547" i="91"/>
  <c r="J1547" i="91"/>
  <c r="DL274" i="91"/>
  <c r="DL271" i="91"/>
  <c r="DL256" i="91"/>
  <c r="DL226" i="91"/>
  <c r="DL248" i="91"/>
  <c r="DL266" i="91"/>
  <c r="J1526" i="91"/>
  <c r="O1526" i="91"/>
  <c r="K1526" i="91"/>
  <c r="L1526" i="91"/>
  <c r="P1526" i="91"/>
  <c r="M1526" i="91"/>
  <c r="N1526" i="91"/>
  <c r="P1530" i="91"/>
  <c r="K1530" i="91"/>
  <c r="M1530" i="91"/>
  <c r="N1530" i="91"/>
  <c r="L1530" i="91"/>
  <c r="J1530" i="91"/>
  <c r="O1530" i="91"/>
  <c r="N1534" i="91"/>
  <c r="O1534" i="91"/>
  <c r="K1534" i="91"/>
  <c r="M1534" i="91"/>
  <c r="J1534" i="91"/>
  <c r="L1534" i="91"/>
  <c r="P1534" i="91"/>
  <c r="J1538" i="91"/>
  <c r="N1538" i="91"/>
  <c r="L1538" i="91"/>
  <c r="M1538" i="91"/>
  <c r="O1538" i="91"/>
  <c r="P1538" i="91"/>
  <c r="K1538" i="91"/>
  <c r="K1542" i="91"/>
  <c r="O1542" i="91"/>
  <c r="M1542" i="91"/>
  <c r="L1542" i="91"/>
  <c r="N1542" i="91"/>
  <c r="J1542" i="91"/>
  <c r="P1542" i="91"/>
  <c r="N1546" i="91"/>
  <c r="L1546" i="91"/>
  <c r="K1546" i="91"/>
  <c r="J1546" i="91"/>
  <c r="O1546" i="91"/>
  <c r="M1546" i="91"/>
  <c r="P1546" i="91"/>
  <c r="DL270" i="91"/>
  <c r="DL279" i="91"/>
  <c r="DL239" i="91"/>
  <c r="DL228" i="91"/>
  <c r="DL258" i="91"/>
  <c r="DL264" i="91"/>
  <c r="DL232" i="91"/>
  <c r="DL241" i="91"/>
  <c r="DL255" i="91"/>
  <c r="DL273" i="91"/>
  <c r="DL245" i="91"/>
  <c r="DL238" i="91"/>
  <c r="DL261" i="91"/>
  <c r="DL233" i="91"/>
  <c r="DL237" i="91"/>
  <c r="DL278" i="91"/>
  <c r="DL231" i="91"/>
  <c r="DL275" i="91"/>
  <c r="N1527" i="91"/>
  <c r="P1527" i="91"/>
  <c r="J1527" i="91"/>
  <c r="M1527" i="91"/>
  <c r="O1527" i="91"/>
  <c r="K1527" i="91"/>
  <c r="L1527" i="91"/>
  <c r="N1535" i="91"/>
  <c r="L1535" i="91"/>
  <c r="M1535" i="91"/>
  <c r="P1535" i="91"/>
  <c r="O1535" i="91"/>
  <c r="K1535" i="91"/>
  <c r="J1535" i="91"/>
  <c r="M1543" i="91"/>
  <c r="O1543" i="91"/>
  <c r="L1543" i="91"/>
  <c r="K1543" i="91"/>
  <c r="N1543" i="91"/>
  <c r="J1543" i="91"/>
  <c r="P1543" i="91"/>
  <c r="DL244" i="91"/>
  <c r="DL262" i="91"/>
  <c r="DL259" i="91"/>
  <c r="R1224" i="91"/>
  <c r="AF88" i="81"/>
  <c r="S1227" i="91"/>
  <c r="S69" i="81"/>
  <c r="AF85" i="80"/>
  <c r="AF29" i="80"/>
  <c r="AF89" i="80"/>
  <c r="AF33" i="80"/>
  <c r="M69" i="82"/>
  <c r="S1265" i="91"/>
  <c r="S77" i="81"/>
  <c r="AF81" i="80"/>
  <c r="AF25" i="80"/>
  <c r="S1235" i="91"/>
  <c r="J1151" i="91"/>
  <c r="V1151" i="91"/>
  <c r="K1244" i="91"/>
  <c r="Y1151" i="91"/>
  <c r="Y1244" i="91"/>
  <c r="R1228" i="91"/>
  <c r="M1151" i="91"/>
  <c r="R1220" i="91"/>
  <c r="L1454" i="91"/>
  <c r="L1484" i="91"/>
  <c r="K1451" i="91"/>
  <c r="K1481" i="91"/>
  <c r="L1446" i="91"/>
  <c r="L1476" i="91"/>
  <c r="K1443" i="91"/>
  <c r="K1473" i="91"/>
  <c r="N1482" i="91"/>
  <c r="N1452" i="91"/>
  <c r="N1474" i="91"/>
  <c r="N1444" i="91"/>
  <c r="N34" i="41"/>
  <c r="M32" i="41"/>
  <c r="N30" i="41"/>
  <c r="M28" i="41"/>
  <c r="N26" i="41"/>
  <c r="M24" i="41"/>
  <c r="N22" i="41"/>
  <c r="K1455" i="91"/>
  <c r="K1485" i="91"/>
  <c r="L1450" i="91"/>
  <c r="L1480" i="91"/>
  <c r="K1447" i="91"/>
  <c r="K1477" i="91"/>
  <c r="Y32" i="81"/>
  <c r="U1182" i="91"/>
  <c r="N1486" i="91"/>
  <c r="N1456" i="91"/>
  <c r="N1478" i="91"/>
  <c r="N1448" i="91"/>
  <c r="N32" i="41"/>
  <c r="N28" i="41"/>
  <c r="N24" i="41"/>
  <c r="M36" i="72"/>
  <c r="I36" i="63"/>
  <c r="M34" i="72"/>
  <c r="I34" i="63"/>
  <c r="M32" i="72"/>
  <c r="I32" i="63"/>
  <c r="M30" i="72"/>
  <c r="I30" i="63"/>
  <c r="M28" i="72"/>
  <c r="I28" i="63"/>
  <c r="M26" i="72"/>
  <c r="I26" i="63"/>
  <c r="S1267" i="91"/>
  <c r="S1241" i="91"/>
  <c r="R1240" i="91"/>
  <c r="S1225" i="91"/>
  <c r="Z93" i="81"/>
  <c r="Z92" i="81"/>
  <c r="Z91" i="81"/>
  <c r="Z95" i="81"/>
  <c r="Z94" i="81"/>
  <c r="Z90" i="81"/>
  <c r="Z39" i="81"/>
  <c r="Z43" i="81"/>
  <c r="Z38" i="81"/>
  <c r="Z42" i="81"/>
  <c r="Z41" i="81"/>
  <c r="Z40" i="81"/>
  <c r="V40" i="81"/>
  <c r="V39" i="81"/>
  <c r="V43" i="81"/>
  <c r="V38" i="81"/>
  <c r="V42" i="81"/>
  <c r="V41" i="81"/>
  <c r="S38" i="81"/>
  <c r="S42" i="81"/>
  <c r="S41" i="81"/>
  <c r="S40" i="81"/>
  <c r="S39" i="81"/>
  <c r="S43" i="81"/>
  <c r="T34" i="71"/>
  <c r="O36" i="81"/>
  <c r="P34" i="71"/>
  <c r="K36" i="81"/>
  <c r="T33" i="71"/>
  <c r="O35" i="81"/>
  <c r="P33" i="71"/>
  <c r="K35" i="81"/>
  <c r="T32" i="71"/>
  <c r="O34" i="81"/>
  <c r="P32" i="71"/>
  <c r="K34" i="81"/>
  <c r="T31" i="71"/>
  <c r="O33" i="81"/>
  <c r="P31" i="71"/>
  <c r="K33" i="81"/>
  <c r="T30" i="71"/>
  <c r="O32" i="81"/>
  <c r="P30" i="71"/>
  <c r="K32" i="81"/>
  <c r="T29" i="71"/>
  <c r="O31" i="81"/>
  <c r="P29" i="71"/>
  <c r="K31" i="81"/>
  <c r="T28" i="71"/>
  <c r="O30" i="81"/>
  <c r="P28" i="71"/>
  <c r="K30" i="81"/>
  <c r="T27" i="71"/>
  <c r="O29" i="81"/>
  <c r="P27" i="71"/>
  <c r="K29" i="81"/>
  <c r="T26" i="71"/>
  <c r="O28" i="81"/>
  <c r="P26" i="71"/>
  <c r="K28" i="81"/>
  <c r="T25" i="71"/>
  <c r="O27" i="81"/>
  <c r="P25" i="71"/>
  <c r="K27" i="81"/>
  <c r="T24" i="71"/>
  <c r="O26" i="81"/>
  <c r="P24" i="71"/>
  <c r="K26" i="81"/>
  <c r="T23" i="71"/>
  <c r="O25" i="81"/>
  <c r="P23" i="71"/>
  <c r="K25" i="81"/>
  <c r="T22" i="71"/>
  <c r="O24" i="81"/>
  <c r="P22" i="71"/>
  <c r="K24" i="81"/>
  <c r="T21" i="71"/>
  <c r="O23" i="81"/>
  <c r="P21" i="71"/>
  <c r="K23" i="81"/>
  <c r="T20" i="71"/>
  <c r="O22" i="81"/>
  <c r="P20" i="71"/>
  <c r="K22" i="81"/>
  <c r="T19" i="71"/>
  <c r="O21" i="81"/>
  <c r="P19" i="71"/>
  <c r="K21" i="81"/>
  <c r="T18" i="71"/>
  <c r="O20" i="81"/>
  <c r="P18" i="71"/>
  <c r="K20" i="81"/>
  <c r="T17" i="71"/>
  <c r="O19" i="81"/>
  <c r="P17" i="71"/>
  <c r="K19" i="81"/>
  <c r="T16" i="71"/>
  <c r="O18" i="81"/>
  <c r="P16" i="71"/>
  <c r="K18" i="81"/>
  <c r="T15" i="71"/>
  <c r="O17" i="81"/>
  <c r="P15" i="71"/>
  <c r="K17" i="81"/>
  <c r="T14" i="71"/>
  <c r="O16" i="81"/>
  <c r="P14" i="71"/>
  <c r="K16" i="81"/>
  <c r="T13" i="71"/>
  <c r="O15" i="81"/>
  <c r="P13" i="71"/>
  <c r="K15" i="81"/>
  <c r="T12" i="71"/>
  <c r="O14" i="81"/>
  <c r="P12" i="71"/>
  <c r="K14" i="81"/>
  <c r="T11" i="71"/>
  <c r="O13" i="81"/>
  <c r="P11" i="71"/>
  <c r="K13" i="81"/>
  <c r="T10" i="71"/>
  <c r="O12" i="81"/>
  <c r="P10" i="71"/>
  <c r="K12" i="81"/>
  <c r="G38" i="81"/>
  <c r="G39" i="81"/>
  <c r="G40" i="81"/>
  <c r="G41" i="81"/>
  <c r="G42" i="81"/>
  <c r="G43" i="81"/>
  <c r="E40" i="81"/>
  <c r="E39" i="81"/>
  <c r="E43" i="81"/>
  <c r="E38" i="81"/>
  <c r="E42" i="81"/>
  <c r="E41" i="81"/>
  <c r="N135" i="41"/>
  <c r="N133" i="41"/>
  <c r="N131" i="41"/>
  <c r="N129" i="41"/>
  <c r="N127" i="41"/>
  <c r="N125" i="41"/>
  <c r="N123" i="41"/>
  <c r="N121" i="41"/>
  <c r="N75" i="82"/>
  <c r="N71" i="82"/>
  <c r="N63" i="82"/>
  <c r="AA42" i="80"/>
  <c r="AA38" i="80"/>
  <c r="W82" i="71"/>
  <c r="X82" i="71"/>
  <c r="W90" i="71"/>
  <c r="X90" i="71"/>
  <c r="Y43" i="80"/>
  <c r="Y39" i="80"/>
  <c r="L94" i="81"/>
  <c r="W85" i="71"/>
  <c r="AC41" i="80"/>
  <c r="S85" i="80"/>
  <c r="S29" i="80"/>
  <c r="G91" i="71"/>
  <c r="O91" i="71"/>
  <c r="T806" i="91"/>
  <c r="M35" i="72"/>
  <c r="I35" i="63"/>
  <c r="M33" i="72"/>
  <c r="I33" i="63"/>
  <c r="M29" i="72"/>
  <c r="I29" i="63"/>
  <c r="M27" i="72"/>
  <c r="I27" i="63"/>
  <c r="M25" i="72"/>
  <c r="I25" i="63"/>
  <c r="M23" i="72"/>
  <c r="I23" i="63"/>
  <c r="R1274" i="91"/>
  <c r="S1263" i="91"/>
  <c r="R1262" i="91"/>
  <c r="S1237" i="91"/>
  <c r="Y1182" i="91"/>
  <c r="U1670" i="91"/>
  <c r="Q1670" i="91"/>
  <c r="M1670" i="91"/>
  <c r="U1669" i="91"/>
  <c r="Q1669" i="91"/>
  <c r="M1669" i="91"/>
  <c r="U1668" i="91"/>
  <c r="Q1668" i="91"/>
  <c r="M1668" i="91"/>
  <c r="U1667" i="91"/>
  <c r="Q1667" i="91"/>
  <c r="M1667" i="91"/>
  <c r="U1666" i="91"/>
  <c r="Q1666" i="91"/>
  <c r="M1666" i="91"/>
  <c r="U1665" i="91"/>
  <c r="Q1665" i="91"/>
  <c r="M1665" i="91"/>
  <c r="U1664" i="91"/>
  <c r="Q1664" i="91"/>
  <c r="M1664" i="91"/>
  <c r="U1663" i="91"/>
  <c r="Q1663" i="91"/>
  <c r="M1663" i="91"/>
  <c r="U1662" i="91"/>
  <c r="Q1662" i="91"/>
  <c r="M1662" i="91"/>
  <c r="U1661" i="91"/>
  <c r="Q1661" i="91"/>
  <c r="M1661" i="91"/>
  <c r="U1660" i="91"/>
  <c r="Q1660" i="91"/>
  <c r="M1660" i="91"/>
  <c r="U1659" i="91"/>
  <c r="Q1659" i="91"/>
  <c r="M1659" i="91"/>
  <c r="U1658" i="91"/>
  <c r="Q1658" i="91"/>
  <c r="M1658" i="91"/>
  <c r="U1657" i="91"/>
  <c r="Q1657" i="91"/>
  <c r="M1657" i="91"/>
  <c r="U1656" i="91"/>
  <c r="Q1656" i="91"/>
  <c r="M1656" i="91"/>
  <c r="U1641" i="91"/>
  <c r="U1699" i="91"/>
  <c r="Q1641" i="91"/>
  <c r="Q1699" i="91"/>
  <c r="M1641" i="91"/>
  <c r="M1699" i="91"/>
  <c r="U1640" i="91"/>
  <c r="U1698" i="91"/>
  <c r="Q1640" i="91"/>
  <c r="Q1698" i="91"/>
  <c r="M1640" i="91"/>
  <c r="M1698" i="91"/>
  <c r="U1639" i="91"/>
  <c r="U1697" i="91"/>
  <c r="Q1639" i="91"/>
  <c r="Q1697" i="91"/>
  <c r="M1639" i="91"/>
  <c r="M1697" i="91"/>
  <c r="U1638" i="91"/>
  <c r="U1696" i="91"/>
  <c r="Q1638" i="91"/>
  <c r="Q1696" i="91"/>
  <c r="M1638" i="91"/>
  <c r="M1696" i="91"/>
  <c r="U1637" i="91"/>
  <c r="U1695" i="91"/>
  <c r="Q1637" i="91"/>
  <c r="Q1695" i="91"/>
  <c r="M1637" i="91"/>
  <c r="M1695" i="91"/>
  <c r="U1636" i="91"/>
  <c r="U1694" i="91"/>
  <c r="Q1636" i="91"/>
  <c r="Q1694" i="91"/>
  <c r="M1636" i="91"/>
  <c r="M1694" i="91"/>
  <c r="U1635" i="91"/>
  <c r="U1693" i="91"/>
  <c r="Q1635" i="91"/>
  <c r="Q1693" i="91"/>
  <c r="M1635" i="91"/>
  <c r="M1693" i="91"/>
  <c r="U1634" i="91"/>
  <c r="U1692" i="91"/>
  <c r="Q1634" i="91"/>
  <c r="Q1692" i="91"/>
  <c r="M1634" i="91"/>
  <c r="M1692" i="91"/>
  <c r="U1633" i="91"/>
  <c r="U1691" i="91"/>
  <c r="Q1633" i="91"/>
  <c r="Q1691" i="91"/>
  <c r="M1633" i="91"/>
  <c r="M1691" i="91"/>
  <c r="U1632" i="91"/>
  <c r="U1690" i="91"/>
  <c r="Q1632" i="91"/>
  <c r="Q1690" i="91"/>
  <c r="M1632" i="91"/>
  <c r="M1690" i="91"/>
  <c r="U1631" i="91"/>
  <c r="U1689" i="91"/>
  <c r="Q1631" i="91"/>
  <c r="Q1689" i="91"/>
  <c r="M1631" i="91"/>
  <c r="M1689" i="91"/>
  <c r="U1630" i="91"/>
  <c r="U1688" i="91"/>
  <c r="Q1630" i="91"/>
  <c r="Q1688" i="91"/>
  <c r="M1630" i="91"/>
  <c r="M1688" i="91"/>
  <c r="U1629" i="91"/>
  <c r="U1687" i="91"/>
  <c r="Q1629" i="91"/>
  <c r="Q1687" i="91"/>
  <c r="M1629" i="91"/>
  <c r="M1687" i="91"/>
  <c r="U1628" i="91"/>
  <c r="U1686" i="91"/>
  <c r="Q1628" i="91"/>
  <c r="Q1686" i="91"/>
  <c r="M1628" i="91"/>
  <c r="M1686" i="91"/>
  <c r="U1627" i="91"/>
  <c r="U1685" i="91"/>
  <c r="Q1627" i="91"/>
  <c r="Q1685" i="91"/>
  <c r="M1627" i="91"/>
  <c r="M1685" i="91"/>
  <c r="V1584" i="91"/>
  <c r="R1584" i="91"/>
  <c r="N1584" i="91"/>
  <c r="J1584" i="91"/>
  <c r="T1582" i="91"/>
  <c r="P1582" i="91"/>
  <c r="L1582" i="91"/>
  <c r="V1580" i="91"/>
  <c r="R1580" i="91"/>
  <c r="N1580" i="91"/>
  <c r="J1580" i="91"/>
  <c r="T1578" i="91"/>
  <c r="P1578" i="91"/>
  <c r="L1578" i="91"/>
  <c r="V1576" i="91"/>
  <c r="R1576" i="91"/>
  <c r="N1576" i="91"/>
  <c r="J1576" i="91"/>
  <c r="T1574" i="91"/>
  <c r="P1574" i="91"/>
  <c r="L1574" i="91"/>
  <c r="V1572" i="91"/>
  <c r="R1572" i="91"/>
  <c r="N1572" i="91"/>
  <c r="J1572" i="91"/>
  <c r="T1570" i="91"/>
  <c r="P1570" i="91"/>
  <c r="L1570" i="91"/>
  <c r="M71" i="72"/>
  <c r="I71" i="63"/>
  <c r="M70" i="72"/>
  <c r="I70" i="63"/>
  <c r="I69" i="63"/>
  <c r="M69" i="72"/>
  <c r="M68" i="72"/>
  <c r="I68" i="63"/>
  <c r="M67" i="72"/>
  <c r="I67" i="63"/>
  <c r="M66" i="72"/>
  <c r="I66" i="63"/>
  <c r="I65" i="63"/>
  <c r="M65" i="72"/>
  <c r="M64" i="72"/>
  <c r="I64" i="63"/>
  <c r="M63" i="72"/>
  <c r="I63" i="63"/>
  <c r="M62" i="72"/>
  <c r="I62" i="63"/>
  <c r="I61" i="63"/>
  <c r="M61" i="72"/>
  <c r="M60" i="72"/>
  <c r="I60" i="63"/>
  <c r="M59" i="72"/>
  <c r="I59" i="63"/>
  <c r="M58" i="72"/>
  <c r="I58" i="63"/>
  <c r="I57" i="63"/>
  <c r="M57" i="72"/>
  <c r="AE87" i="81"/>
  <c r="S1272" i="91"/>
  <c r="AF85" i="81"/>
  <c r="AE83" i="81"/>
  <c r="S1268" i="91"/>
  <c r="AF81" i="81"/>
  <c r="AE79" i="81"/>
  <c r="S1264" i="91"/>
  <c r="AF77" i="81"/>
  <c r="AE75" i="81"/>
  <c r="S1260" i="91"/>
  <c r="X1244" i="91"/>
  <c r="N1244" i="91"/>
  <c r="R88" i="81"/>
  <c r="S1242" i="91"/>
  <c r="R1241" i="91"/>
  <c r="S86" i="81"/>
  <c r="R84" i="81"/>
  <c r="S1238" i="91"/>
  <c r="R1237" i="91"/>
  <c r="S82" i="81"/>
  <c r="R80" i="81"/>
  <c r="S1234" i="91"/>
  <c r="R1233" i="91"/>
  <c r="S78" i="81"/>
  <c r="R76" i="81"/>
  <c r="S1230" i="91"/>
  <c r="R1229" i="91"/>
  <c r="S74" i="81"/>
  <c r="R72" i="81"/>
  <c r="S1226" i="91"/>
  <c r="R1225" i="91"/>
  <c r="S70" i="81"/>
  <c r="R68" i="81"/>
  <c r="S1222" i="91"/>
  <c r="R1221" i="91"/>
  <c r="S66" i="81"/>
  <c r="AC92" i="81"/>
  <c r="AC91" i="81"/>
  <c r="AC95" i="81"/>
  <c r="AC90" i="81"/>
  <c r="AC94" i="81"/>
  <c r="AC93" i="81"/>
  <c r="Y92" i="81"/>
  <c r="Y91" i="81"/>
  <c r="Y95" i="81"/>
  <c r="Y90" i="81"/>
  <c r="Y94" i="81"/>
  <c r="Y93" i="81"/>
  <c r="W90" i="81"/>
  <c r="W94" i="81"/>
  <c r="W93" i="81"/>
  <c r="W92" i="81"/>
  <c r="W95" i="81"/>
  <c r="W91" i="81"/>
  <c r="R64" i="81"/>
  <c r="O1211" i="91"/>
  <c r="AJ35" i="81"/>
  <c r="Y1209" i="91"/>
  <c r="AP33" i="81"/>
  <c r="O1207" i="91"/>
  <c r="AJ31" i="81"/>
  <c r="Y1205" i="91"/>
  <c r="AP29" i="81"/>
  <c r="O1203" i="91"/>
  <c r="AJ27" i="81"/>
  <c r="Y1201" i="91"/>
  <c r="AP25" i="81"/>
  <c r="K1199" i="91"/>
  <c r="X1182" i="91"/>
  <c r="P1182" i="91"/>
  <c r="L1182" i="91"/>
  <c r="AC41" i="81"/>
  <c r="AC40" i="81"/>
  <c r="AC39" i="81"/>
  <c r="AC43" i="81"/>
  <c r="AC38" i="81"/>
  <c r="AC42" i="81"/>
  <c r="Y38" i="81"/>
  <c r="Y42" i="81"/>
  <c r="Y41" i="81"/>
  <c r="Y40" i="81"/>
  <c r="Y39" i="81"/>
  <c r="Y43" i="81"/>
  <c r="U39" i="81"/>
  <c r="U43" i="81"/>
  <c r="U38" i="81"/>
  <c r="U42" i="81"/>
  <c r="U41" i="81"/>
  <c r="U40" i="81"/>
  <c r="S34" i="71"/>
  <c r="N36" i="81"/>
  <c r="O34" i="71"/>
  <c r="J36" i="81"/>
  <c r="S33" i="71"/>
  <c r="N35" i="81"/>
  <c r="O33" i="71"/>
  <c r="J35" i="81"/>
  <c r="S32" i="71"/>
  <c r="N34" i="81"/>
  <c r="O32" i="71"/>
  <c r="J34" i="81"/>
  <c r="S31" i="71"/>
  <c r="N33" i="81"/>
  <c r="O31" i="71"/>
  <c r="J33" i="81"/>
  <c r="S30" i="71"/>
  <c r="N32" i="81"/>
  <c r="O30" i="71"/>
  <c r="J32" i="81"/>
  <c r="S29" i="71"/>
  <c r="N31" i="81"/>
  <c r="O29" i="71"/>
  <c r="J31" i="81"/>
  <c r="S28" i="71"/>
  <c r="N30" i="81"/>
  <c r="O28" i="71"/>
  <c r="J30" i="81"/>
  <c r="S27" i="71"/>
  <c r="N29" i="81"/>
  <c r="O27" i="71"/>
  <c r="J29" i="81"/>
  <c r="S26" i="71"/>
  <c r="N28" i="81"/>
  <c r="O26" i="71"/>
  <c r="J28" i="81"/>
  <c r="S25" i="71"/>
  <c r="N27" i="81"/>
  <c r="O25" i="71"/>
  <c r="J27" i="81"/>
  <c r="S24" i="71"/>
  <c r="N26" i="81"/>
  <c r="O24" i="71"/>
  <c r="J26" i="81"/>
  <c r="S23" i="71"/>
  <c r="N25" i="81"/>
  <c r="O23" i="71"/>
  <c r="J25" i="81"/>
  <c r="S22" i="71"/>
  <c r="N24" i="81"/>
  <c r="O22" i="71"/>
  <c r="J24" i="81"/>
  <c r="S21" i="71"/>
  <c r="N23" i="81"/>
  <c r="O21" i="71"/>
  <c r="J23" i="81"/>
  <c r="S20" i="71"/>
  <c r="N22" i="81"/>
  <c r="O20" i="71"/>
  <c r="J22" i="81"/>
  <c r="S19" i="71"/>
  <c r="N21" i="81"/>
  <c r="O19" i="71"/>
  <c r="J21" i="81"/>
  <c r="S18" i="71"/>
  <c r="N20" i="81"/>
  <c r="O18" i="71"/>
  <c r="J20" i="81"/>
  <c r="S17" i="71"/>
  <c r="N19" i="81"/>
  <c r="O17" i="71"/>
  <c r="J19" i="81"/>
  <c r="S16" i="71"/>
  <c r="N18" i="81"/>
  <c r="O16" i="71"/>
  <c r="J18" i="81"/>
  <c r="S15" i="71"/>
  <c r="N17" i="81"/>
  <c r="O15" i="71"/>
  <c r="J17" i="81"/>
  <c r="S14" i="71"/>
  <c r="N16" i="81"/>
  <c r="O14" i="71"/>
  <c r="J16" i="81"/>
  <c r="S13" i="71"/>
  <c r="N15" i="81"/>
  <c r="O13" i="71"/>
  <c r="J15" i="81"/>
  <c r="S12" i="71"/>
  <c r="N14" i="81"/>
  <c r="O12" i="71"/>
  <c r="J14" i="81"/>
  <c r="S11" i="71"/>
  <c r="N13" i="81"/>
  <c r="O11" i="71"/>
  <c r="J13" i="81"/>
  <c r="S10" i="71"/>
  <c r="N12" i="81"/>
  <c r="O10" i="71"/>
  <c r="J12" i="81"/>
  <c r="P1118" i="91"/>
  <c r="S84" i="83"/>
  <c r="L1118" i="91"/>
  <c r="N1116" i="91"/>
  <c r="P1114" i="91"/>
  <c r="S80" i="83"/>
  <c r="L1114" i="91"/>
  <c r="N1112" i="91"/>
  <c r="P1110" i="91"/>
  <c r="S76" i="83"/>
  <c r="L1110" i="91"/>
  <c r="N1108" i="91"/>
  <c r="P1106" i="91"/>
  <c r="S72" i="83"/>
  <c r="S23" i="83"/>
  <c r="L1106" i="91"/>
  <c r="P1087" i="91"/>
  <c r="L1087" i="91"/>
  <c r="N1085" i="91"/>
  <c r="P1083" i="91"/>
  <c r="L1083" i="91"/>
  <c r="N1081" i="91"/>
  <c r="P1079" i="91"/>
  <c r="L1079" i="91"/>
  <c r="N1077" i="91"/>
  <c r="P1075" i="91"/>
  <c r="L1075" i="91"/>
  <c r="P1056" i="91"/>
  <c r="L1056" i="91"/>
  <c r="N1054" i="91"/>
  <c r="P1052" i="91"/>
  <c r="L1052" i="91"/>
  <c r="N1050" i="91"/>
  <c r="P1048" i="91"/>
  <c r="L1048" i="91"/>
  <c r="N1046" i="91"/>
  <c r="P1044" i="91"/>
  <c r="L1044" i="91"/>
  <c r="M933" i="91"/>
  <c r="H185" i="41"/>
  <c r="O932" i="91"/>
  <c r="J184" i="41"/>
  <c r="K932" i="91"/>
  <c r="F184" i="41"/>
  <c r="M931" i="91"/>
  <c r="H183" i="41"/>
  <c r="O930" i="91"/>
  <c r="J182" i="41"/>
  <c r="K930" i="91"/>
  <c r="F182" i="41"/>
  <c r="M929" i="91"/>
  <c r="H181" i="41"/>
  <c r="O928" i="91"/>
  <c r="J180" i="41"/>
  <c r="K928" i="91"/>
  <c r="F180" i="41"/>
  <c r="M927" i="91"/>
  <c r="H179" i="41"/>
  <c r="O926" i="91"/>
  <c r="J178" i="41"/>
  <c r="K926" i="91"/>
  <c r="F178" i="41"/>
  <c r="M925" i="91"/>
  <c r="H177" i="41"/>
  <c r="O924" i="91"/>
  <c r="J176" i="41"/>
  <c r="K924" i="91"/>
  <c r="F176" i="41"/>
  <c r="M923" i="91"/>
  <c r="H175" i="41"/>
  <c r="O922" i="91"/>
  <c r="J174" i="41"/>
  <c r="K922" i="91"/>
  <c r="F174" i="41"/>
  <c r="M921" i="91"/>
  <c r="H173" i="41"/>
  <c r="O920" i="91"/>
  <c r="J172" i="41"/>
  <c r="K920" i="91"/>
  <c r="F172" i="41"/>
  <c r="M919" i="91"/>
  <c r="H171" i="41"/>
  <c r="O871" i="91"/>
  <c r="J85" i="41"/>
  <c r="K871" i="91"/>
  <c r="F85" i="41"/>
  <c r="M870" i="91"/>
  <c r="H84" i="41"/>
  <c r="O869" i="91"/>
  <c r="J83" i="41"/>
  <c r="K869" i="91"/>
  <c r="F83" i="41"/>
  <c r="M868" i="91"/>
  <c r="H82" i="41"/>
  <c r="O867" i="91"/>
  <c r="J81" i="41"/>
  <c r="K867" i="91"/>
  <c r="F81" i="41"/>
  <c r="M866" i="91"/>
  <c r="H80" i="41"/>
  <c r="O865" i="91"/>
  <c r="J79" i="41"/>
  <c r="K865" i="91"/>
  <c r="F79" i="41"/>
  <c r="M864" i="91"/>
  <c r="H78" i="41"/>
  <c r="O863" i="91"/>
  <c r="J77" i="41"/>
  <c r="K863" i="91"/>
  <c r="F77" i="41"/>
  <c r="M862" i="91"/>
  <c r="H76" i="41"/>
  <c r="O861" i="91"/>
  <c r="J75" i="41"/>
  <c r="K861" i="91"/>
  <c r="F75" i="41"/>
  <c r="M860" i="91"/>
  <c r="H74" i="41"/>
  <c r="O859" i="91"/>
  <c r="J73" i="41"/>
  <c r="K859" i="91"/>
  <c r="F73" i="41"/>
  <c r="M858" i="91"/>
  <c r="H72" i="41"/>
  <c r="O857" i="91"/>
  <c r="J71" i="41"/>
  <c r="K857" i="91"/>
  <c r="F71" i="41"/>
  <c r="W838" i="91"/>
  <c r="O838" i="91"/>
  <c r="J76" i="82"/>
  <c r="K838" i="91"/>
  <c r="F76" i="82"/>
  <c r="Y836" i="91"/>
  <c r="U836" i="91"/>
  <c r="M836" i="91"/>
  <c r="H74" i="82"/>
  <c r="W834" i="91"/>
  <c r="O834" i="91"/>
  <c r="J72" i="82"/>
  <c r="K834" i="91"/>
  <c r="F72" i="82"/>
  <c r="Y832" i="91"/>
  <c r="U832" i="91"/>
  <c r="M832" i="91"/>
  <c r="H70" i="82"/>
  <c r="W830" i="91"/>
  <c r="O830" i="91"/>
  <c r="J68" i="82"/>
  <c r="K830" i="91"/>
  <c r="F68" i="82"/>
  <c r="V829" i="91"/>
  <c r="N829" i="91"/>
  <c r="I67" i="82"/>
  <c r="N67" i="82"/>
  <c r="Y828" i="91"/>
  <c r="U828" i="91"/>
  <c r="M828" i="91"/>
  <c r="H66" i="82"/>
  <c r="W826" i="91"/>
  <c r="O826" i="91"/>
  <c r="J64" i="82"/>
  <c r="K826" i="91"/>
  <c r="F64" i="82"/>
  <c r="Y824" i="91"/>
  <c r="U824" i="91"/>
  <c r="M824" i="91"/>
  <c r="H62" i="82"/>
  <c r="AB43" i="80"/>
  <c r="AB39" i="80"/>
  <c r="A85" i="71"/>
  <c r="AA41" i="80"/>
  <c r="S83" i="80"/>
  <c r="S27" i="80"/>
  <c r="W57" i="71"/>
  <c r="X57" i="71"/>
  <c r="A87" i="71"/>
  <c r="X52" i="71"/>
  <c r="W52" i="71"/>
  <c r="G81" i="71"/>
  <c r="O81" i="71"/>
  <c r="T796" i="91"/>
  <c r="G89" i="71"/>
  <c r="O89" i="71"/>
  <c r="T804" i="91"/>
  <c r="X79" i="71"/>
  <c r="W79" i="71"/>
  <c r="Y42" i="80"/>
  <c r="Y38" i="80"/>
  <c r="L90" i="81"/>
  <c r="A86" i="71"/>
  <c r="DM221" i="91"/>
  <c r="A89" i="71"/>
  <c r="X54" i="71"/>
  <c r="W54" i="71"/>
  <c r="AC40" i="80"/>
  <c r="S89" i="80"/>
  <c r="S33" i="80"/>
  <c r="W59" i="71"/>
  <c r="X59" i="71"/>
  <c r="A83" i="71"/>
  <c r="G87" i="71"/>
  <c r="O87" i="71"/>
  <c r="T802" i="91"/>
  <c r="M37" i="72"/>
  <c r="I37" i="63"/>
  <c r="M31" i="72"/>
  <c r="I31" i="63"/>
  <c r="M24" i="72"/>
  <c r="I24" i="63"/>
  <c r="R1270" i="91"/>
  <c r="R1266" i="91"/>
  <c r="R1236" i="91"/>
  <c r="S1582" i="91"/>
  <c r="O1582" i="91"/>
  <c r="K1582" i="91"/>
  <c r="S1578" i="91"/>
  <c r="O1578" i="91"/>
  <c r="K1578" i="91"/>
  <c r="S1574" i="91"/>
  <c r="O1574" i="91"/>
  <c r="K1574" i="91"/>
  <c r="S1570" i="91"/>
  <c r="O1570" i="91"/>
  <c r="K1570" i="91"/>
  <c r="AE88" i="81"/>
  <c r="R1272" i="91"/>
  <c r="AF86" i="81"/>
  <c r="AE84" i="81"/>
  <c r="R1268" i="91"/>
  <c r="AF82" i="81"/>
  <c r="AE80" i="81"/>
  <c r="R1264" i="91"/>
  <c r="AF78" i="81"/>
  <c r="AE76" i="81"/>
  <c r="R1260" i="91"/>
  <c r="AF74" i="81"/>
  <c r="W1244" i="91"/>
  <c r="M1244" i="91"/>
  <c r="R1242" i="91"/>
  <c r="S87" i="81"/>
  <c r="R85" i="81"/>
  <c r="R1238" i="91"/>
  <c r="S83" i="81"/>
  <c r="R81" i="81"/>
  <c r="R1234" i="91"/>
  <c r="S79" i="81"/>
  <c r="R77" i="81"/>
  <c r="R1230" i="91"/>
  <c r="S75" i="81"/>
  <c r="R73" i="81"/>
  <c r="R1226" i="91"/>
  <c r="S71" i="81"/>
  <c r="R69" i="81"/>
  <c r="R1222" i="91"/>
  <c r="S67" i="81"/>
  <c r="R65" i="81"/>
  <c r="AB91" i="81"/>
  <c r="AB95" i="81"/>
  <c r="AB90" i="81"/>
  <c r="AB94" i="81"/>
  <c r="AB93" i="81"/>
  <c r="AB92" i="81"/>
  <c r="V93" i="81"/>
  <c r="V92" i="81"/>
  <c r="V91" i="81"/>
  <c r="V95" i="81"/>
  <c r="V90" i="81"/>
  <c r="V94" i="81"/>
  <c r="W1182" i="91"/>
  <c r="O1182" i="91"/>
  <c r="AB38" i="81"/>
  <c r="AB39" i="81"/>
  <c r="AB40" i="81"/>
  <c r="AB41" i="81"/>
  <c r="AB42" i="81"/>
  <c r="AB43" i="81"/>
  <c r="X38" i="81"/>
  <c r="X39" i="81"/>
  <c r="X40" i="81"/>
  <c r="X41" i="81"/>
  <c r="X42" i="81"/>
  <c r="X43" i="81"/>
  <c r="T38" i="81"/>
  <c r="T39" i="81"/>
  <c r="T40" i="81"/>
  <c r="T41" i="81"/>
  <c r="T42" i="81"/>
  <c r="T43" i="81"/>
  <c r="X1151" i="91"/>
  <c r="P1151" i="91"/>
  <c r="L1151" i="91"/>
  <c r="H1151" i="91"/>
  <c r="R34" i="71"/>
  <c r="M36" i="81"/>
  <c r="R33" i="71"/>
  <c r="M35" i="81"/>
  <c r="R32" i="71"/>
  <c r="M34" i="81"/>
  <c r="R31" i="71"/>
  <c r="M33" i="81"/>
  <c r="R30" i="71"/>
  <c r="M32" i="81"/>
  <c r="R29" i="71"/>
  <c r="M31" i="81"/>
  <c r="R28" i="71"/>
  <c r="M30" i="81"/>
  <c r="R27" i="71"/>
  <c r="M29" i="81"/>
  <c r="R26" i="71"/>
  <c r="M28" i="81"/>
  <c r="R25" i="71"/>
  <c r="M27" i="81"/>
  <c r="R24" i="71"/>
  <c r="M26" i="81"/>
  <c r="R23" i="71"/>
  <c r="M25" i="81"/>
  <c r="R22" i="71"/>
  <c r="M24" i="81"/>
  <c r="R21" i="71"/>
  <c r="M23" i="81"/>
  <c r="R20" i="71"/>
  <c r="M22" i="81"/>
  <c r="R19" i="71"/>
  <c r="M21" i="81"/>
  <c r="R18" i="71"/>
  <c r="M20" i="81"/>
  <c r="R17" i="71"/>
  <c r="M19" i="81"/>
  <c r="R16" i="71"/>
  <c r="M18" i="81"/>
  <c r="R15" i="71"/>
  <c r="M17" i="81"/>
  <c r="R14" i="71"/>
  <c r="M16" i="81"/>
  <c r="R13" i="71"/>
  <c r="M15" i="81"/>
  <c r="R12" i="71"/>
  <c r="M14" i="81"/>
  <c r="R11" i="71"/>
  <c r="M13" i="81"/>
  <c r="R10" i="71"/>
  <c r="M12" i="81"/>
  <c r="I39" i="81"/>
  <c r="I43" i="81"/>
  <c r="I38" i="81"/>
  <c r="I42" i="81"/>
  <c r="I41" i="81"/>
  <c r="I40" i="81"/>
  <c r="O1118" i="91"/>
  <c r="R84" i="83"/>
  <c r="K1118" i="91"/>
  <c r="O1114" i="91"/>
  <c r="R80" i="83"/>
  <c r="K1114" i="91"/>
  <c r="O1110" i="91"/>
  <c r="R76" i="83"/>
  <c r="K1110" i="91"/>
  <c r="O1106" i="91"/>
  <c r="R72" i="83"/>
  <c r="R23" i="83"/>
  <c r="K1106" i="91"/>
  <c r="O1087" i="91"/>
  <c r="K1087" i="91"/>
  <c r="O1083" i="91"/>
  <c r="K1083" i="91"/>
  <c r="O1079" i="91"/>
  <c r="K1079" i="91"/>
  <c r="O1075" i="91"/>
  <c r="K1075" i="91"/>
  <c r="O1056" i="91"/>
  <c r="K1056" i="91"/>
  <c r="O1052" i="91"/>
  <c r="K1052" i="91"/>
  <c r="O1048" i="91"/>
  <c r="K1048" i="91"/>
  <c r="O1044" i="91"/>
  <c r="K1044" i="91"/>
  <c r="N932" i="91"/>
  <c r="I184" i="41"/>
  <c r="M184" i="41"/>
  <c r="J932" i="91"/>
  <c r="N930" i="91"/>
  <c r="I182" i="41"/>
  <c r="M182" i="41"/>
  <c r="J930" i="91"/>
  <c r="N928" i="91"/>
  <c r="I180" i="41"/>
  <c r="M180" i="41"/>
  <c r="J928" i="91"/>
  <c r="N926" i="91"/>
  <c r="I178" i="41"/>
  <c r="M178" i="41"/>
  <c r="J926" i="91"/>
  <c r="N924" i="91"/>
  <c r="I176" i="41"/>
  <c r="M176" i="41"/>
  <c r="J924" i="91"/>
  <c r="N922" i="91"/>
  <c r="I174" i="41"/>
  <c r="M174" i="41"/>
  <c r="J922" i="91"/>
  <c r="N920" i="91"/>
  <c r="I172" i="41"/>
  <c r="M172" i="41"/>
  <c r="J920" i="91"/>
  <c r="M135" i="41"/>
  <c r="M133" i="41"/>
  <c r="M131" i="41"/>
  <c r="M129" i="41"/>
  <c r="M127" i="41"/>
  <c r="M125" i="41"/>
  <c r="M123" i="41"/>
  <c r="M121" i="41"/>
  <c r="N871" i="91"/>
  <c r="I85" i="41"/>
  <c r="M85" i="41"/>
  <c r="J871" i="91"/>
  <c r="N869" i="91"/>
  <c r="I83" i="41"/>
  <c r="M83" i="41"/>
  <c r="J869" i="91"/>
  <c r="N867" i="91"/>
  <c r="I81" i="41"/>
  <c r="M81" i="41"/>
  <c r="J867" i="91"/>
  <c r="N865" i="91"/>
  <c r="I79" i="41"/>
  <c r="M79" i="41"/>
  <c r="J865" i="91"/>
  <c r="N863" i="91"/>
  <c r="I77" i="41"/>
  <c r="M77" i="41"/>
  <c r="J863" i="91"/>
  <c r="N861" i="91"/>
  <c r="I75" i="41"/>
  <c r="M75" i="41"/>
  <c r="J861" i="91"/>
  <c r="N859" i="91"/>
  <c r="I73" i="41"/>
  <c r="M73" i="41"/>
  <c r="J859" i="91"/>
  <c r="N857" i="91"/>
  <c r="I71" i="41"/>
  <c r="M71" i="41"/>
  <c r="J857" i="91"/>
  <c r="V838" i="91"/>
  <c r="N838" i="91"/>
  <c r="I76" i="82"/>
  <c r="M76" i="82"/>
  <c r="J838" i="91"/>
  <c r="M75" i="82"/>
  <c r="N73" i="82"/>
  <c r="V834" i="91"/>
  <c r="N834" i="91"/>
  <c r="I72" i="82"/>
  <c r="M72" i="82"/>
  <c r="J834" i="91"/>
  <c r="M71" i="82"/>
  <c r="N69" i="82"/>
  <c r="V830" i="91"/>
  <c r="N830" i="91"/>
  <c r="I68" i="82"/>
  <c r="M68" i="82"/>
  <c r="J830" i="91"/>
  <c r="M67" i="82"/>
  <c r="N65" i="82"/>
  <c r="V826" i="91"/>
  <c r="N826" i="91"/>
  <c r="I64" i="82"/>
  <c r="M64" i="82"/>
  <c r="J826" i="91"/>
  <c r="M63" i="82"/>
  <c r="AB42" i="80"/>
  <c r="AB38" i="80"/>
  <c r="A88" i="71"/>
  <c r="X58" i="71"/>
  <c r="W58" i="71"/>
  <c r="AA40" i="80"/>
  <c r="X60" i="71"/>
  <c r="W60" i="71"/>
  <c r="W78" i="71"/>
  <c r="X78" i="71"/>
  <c r="W86" i="71"/>
  <c r="X86" i="71"/>
  <c r="X83" i="71"/>
  <c r="W83" i="71"/>
  <c r="X87" i="71"/>
  <c r="W87" i="71"/>
  <c r="Y41" i="80"/>
  <c r="L92" i="81"/>
  <c r="L95" i="81"/>
  <c r="A90" i="71"/>
  <c r="X62" i="71"/>
  <c r="W62" i="71"/>
  <c r="AC43" i="80"/>
  <c r="AC39" i="80"/>
  <c r="U38" i="80"/>
  <c r="U39" i="80"/>
  <c r="U40" i="80"/>
  <c r="U41" i="80"/>
  <c r="U42" i="80"/>
  <c r="U43" i="80"/>
  <c r="A91" i="71"/>
  <c r="X56" i="71"/>
  <c r="W56" i="71"/>
  <c r="G83" i="71"/>
  <c r="O83" i="71"/>
  <c r="T798" i="91"/>
  <c r="D781" i="91"/>
  <c r="S1271" i="91"/>
  <c r="R1232" i="91"/>
  <c r="S1229" i="91"/>
  <c r="X91" i="81"/>
  <c r="X95" i="81"/>
  <c r="X90" i="81"/>
  <c r="X94" i="81"/>
  <c r="X93" i="81"/>
  <c r="X92" i="81"/>
  <c r="T91" i="81"/>
  <c r="T95" i="81"/>
  <c r="T90" i="81"/>
  <c r="T94" i="81"/>
  <c r="T93" i="81"/>
  <c r="T92" i="81"/>
  <c r="L1635" i="91"/>
  <c r="L1693" i="91"/>
  <c r="S1670" i="91"/>
  <c r="O1670" i="91"/>
  <c r="S1669" i="91"/>
  <c r="O1669" i="91"/>
  <c r="S1668" i="91"/>
  <c r="O1668" i="91"/>
  <c r="S1667" i="91"/>
  <c r="O1667" i="91"/>
  <c r="S1666" i="91"/>
  <c r="O1666" i="91"/>
  <c r="S1665" i="91"/>
  <c r="O1665" i="91"/>
  <c r="S1664" i="91"/>
  <c r="O1664" i="91"/>
  <c r="S1663" i="91"/>
  <c r="O1663" i="91"/>
  <c r="S1662" i="91"/>
  <c r="O1662" i="91"/>
  <c r="S1661" i="91"/>
  <c r="O1661" i="91"/>
  <c r="S1660" i="91"/>
  <c r="O1660" i="91"/>
  <c r="S1659" i="91"/>
  <c r="O1659" i="91"/>
  <c r="S1658" i="91"/>
  <c r="O1658" i="91"/>
  <c r="S1657" i="91"/>
  <c r="O1657" i="91"/>
  <c r="S1656" i="91"/>
  <c r="O1656" i="91"/>
  <c r="S1641" i="91"/>
  <c r="S1699" i="91"/>
  <c r="O1641" i="91"/>
  <c r="O1699" i="91"/>
  <c r="S1640" i="91"/>
  <c r="S1698" i="91"/>
  <c r="O1640" i="91"/>
  <c r="O1698" i="91"/>
  <c r="S1639" i="91"/>
  <c r="S1697" i="91"/>
  <c r="O1639" i="91"/>
  <c r="O1697" i="91"/>
  <c r="S1638" i="91"/>
  <c r="S1696" i="91"/>
  <c r="O1638" i="91"/>
  <c r="O1696" i="91"/>
  <c r="S1637" i="91"/>
  <c r="S1695" i="91"/>
  <c r="O1637" i="91"/>
  <c r="O1695" i="91"/>
  <c r="S1636" i="91"/>
  <c r="S1694" i="91"/>
  <c r="O1636" i="91"/>
  <c r="O1694" i="91"/>
  <c r="S1635" i="91"/>
  <c r="S1693" i="91"/>
  <c r="O1635" i="91"/>
  <c r="O1693" i="91"/>
  <c r="S1634" i="91"/>
  <c r="S1692" i="91"/>
  <c r="O1634" i="91"/>
  <c r="O1692" i="91"/>
  <c r="S1633" i="91"/>
  <c r="S1691" i="91"/>
  <c r="O1633" i="91"/>
  <c r="O1691" i="91"/>
  <c r="S1632" i="91"/>
  <c r="S1690" i="91"/>
  <c r="O1632" i="91"/>
  <c r="O1690" i="91"/>
  <c r="S1631" i="91"/>
  <c r="S1689" i="91"/>
  <c r="O1631" i="91"/>
  <c r="O1689" i="91"/>
  <c r="S1630" i="91"/>
  <c r="S1688" i="91"/>
  <c r="O1630" i="91"/>
  <c r="O1688" i="91"/>
  <c r="S1629" i="91"/>
  <c r="S1687" i="91"/>
  <c r="O1629" i="91"/>
  <c r="O1687" i="91"/>
  <c r="S1628" i="91"/>
  <c r="S1686" i="91"/>
  <c r="O1628" i="91"/>
  <c r="O1686" i="91"/>
  <c r="S1627" i="91"/>
  <c r="S1685" i="91"/>
  <c r="O1627" i="91"/>
  <c r="O1685" i="91"/>
  <c r="T1584" i="91"/>
  <c r="P1584" i="91"/>
  <c r="S1583" i="91"/>
  <c r="O1583" i="91"/>
  <c r="V1582" i="91"/>
  <c r="R1582" i="91"/>
  <c r="N1582" i="91"/>
  <c r="T1580" i="91"/>
  <c r="P1580" i="91"/>
  <c r="S1579" i="91"/>
  <c r="O1579" i="91"/>
  <c r="V1578" i="91"/>
  <c r="R1578" i="91"/>
  <c r="N1578" i="91"/>
  <c r="T1576" i="91"/>
  <c r="P1576" i="91"/>
  <c r="S1575" i="91"/>
  <c r="O1575" i="91"/>
  <c r="V1574" i="91"/>
  <c r="R1574" i="91"/>
  <c r="N1574" i="91"/>
  <c r="T1572" i="91"/>
  <c r="P1572" i="91"/>
  <c r="S1571" i="91"/>
  <c r="O1571" i="91"/>
  <c r="V1570" i="91"/>
  <c r="R1570" i="91"/>
  <c r="N1570" i="91"/>
  <c r="O1454" i="91"/>
  <c r="O68" i="72"/>
  <c r="O1450" i="91"/>
  <c r="O64" i="72"/>
  <c r="O1446" i="91"/>
  <c r="O60" i="72"/>
  <c r="S1274" i="91"/>
  <c r="R1273" i="91"/>
  <c r="AF87" i="81"/>
  <c r="AE85" i="81"/>
  <c r="S1270" i="91"/>
  <c r="R1269" i="91"/>
  <c r="AF83" i="81"/>
  <c r="AE81" i="81"/>
  <c r="S1266" i="91"/>
  <c r="R1265" i="91"/>
  <c r="AF79" i="81"/>
  <c r="AE77" i="81"/>
  <c r="S1262" i="91"/>
  <c r="R1261" i="91"/>
  <c r="AF75" i="81"/>
  <c r="V1244" i="91"/>
  <c r="P1244" i="91"/>
  <c r="L1244" i="91"/>
  <c r="R1243" i="91"/>
  <c r="S88" i="81"/>
  <c r="R86" i="81"/>
  <c r="S1240" i="91"/>
  <c r="R1239" i="91"/>
  <c r="S84" i="81"/>
  <c r="R82" i="81"/>
  <c r="S1236" i="91"/>
  <c r="R1235" i="91"/>
  <c r="S80" i="81"/>
  <c r="R78" i="81"/>
  <c r="S1232" i="91"/>
  <c r="R1231" i="91"/>
  <c r="S76" i="81"/>
  <c r="R74" i="81"/>
  <c r="S1228" i="91"/>
  <c r="R1227" i="91"/>
  <c r="S72" i="81"/>
  <c r="R70" i="81"/>
  <c r="S1224" i="91"/>
  <c r="R1223" i="91"/>
  <c r="S68" i="81"/>
  <c r="R66" i="81"/>
  <c r="S1220" i="91"/>
  <c r="AA90" i="81"/>
  <c r="AA94" i="81"/>
  <c r="AA93" i="81"/>
  <c r="AA92" i="81"/>
  <c r="AA91" i="81"/>
  <c r="AA95" i="81"/>
  <c r="R1219" i="91"/>
  <c r="R1244" i="91"/>
  <c r="S64" i="81"/>
  <c r="U92" i="81"/>
  <c r="U91" i="81"/>
  <c r="U95" i="81"/>
  <c r="U90" i="81"/>
  <c r="U94" i="81"/>
  <c r="U93" i="81"/>
  <c r="H1199" i="91"/>
  <c r="AE23" i="81"/>
  <c r="V1182" i="91"/>
  <c r="N1182" i="91"/>
  <c r="I1182" i="91"/>
  <c r="AA40" i="81"/>
  <c r="AA39" i="81"/>
  <c r="AA43" i="81"/>
  <c r="AA38" i="81"/>
  <c r="AA42" i="81"/>
  <c r="AA41" i="81"/>
  <c r="W41" i="81"/>
  <c r="W40" i="81"/>
  <c r="W39" i="81"/>
  <c r="W43" i="81"/>
  <c r="W38" i="81"/>
  <c r="W42" i="81"/>
  <c r="W1151" i="91"/>
  <c r="O1151" i="91"/>
  <c r="U34" i="71"/>
  <c r="P36" i="81"/>
  <c r="Q34" i="71"/>
  <c r="L36" i="81"/>
  <c r="U33" i="71"/>
  <c r="P35" i="81"/>
  <c r="Q33" i="71"/>
  <c r="L35" i="81"/>
  <c r="U32" i="71"/>
  <c r="P34" i="81"/>
  <c r="Q32" i="71"/>
  <c r="L34" i="81"/>
  <c r="U31" i="71"/>
  <c r="P33" i="81"/>
  <c r="Q31" i="71"/>
  <c r="L33" i="81"/>
  <c r="U30" i="71"/>
  <c r="P32" i="81"/>
  <c r="Q30" i="71"/>
  <c r="L32" i="81"/>
  <c r="U29" i="71"/>
  <c r="P31" i="81"/>
  <c r="Q29" i="71"/>
  <c r="L31" i="81"/>
  <c r="U28" i="71"/>
  <c r="P30" i="81"/>
  <c r="Q28" i="71"/>
  <c r="L30" i="81"/>
  <c r="U27" i="71"/>
  <c r="P29" i="81"/>
  <c r="Q27" i="71"/>
  <c r="L29" i="81"/>
  <c r="U26" i="71"/>
  <c r="P28" i="81"/>
  <c r="Q26" i="71"/>
  <c r="L28" i="81"/>
  <c r="U25" i="71"/>
  <c r="P27" i="81"/>
  <c r="Q25" i="71"/>
  <c r="L27" i="81"/>
  <c r="U24" i="71"/>
  <c r="P26" i="81"/>
  <c r="Q24" i="71"/>
  <c r="L26" i="81"/>
  <c r="U23" i="71"/>
  <c r="P25" i="81"/>
  <c r="Q23" i="71"/>
  <c r="L25" i="81"/>
  <c r="U22" i="71"/>
  <c r="P24" i="81"/>
  <c r="Q22" i="71"/>
  <c r="L24" i="81"/>
  <c r="U21" i="71"/>
  <c r="P23" i="81"/>
  <c r="Q21" i="71"/>
  <c r="L23" i="81"/>
  <c r="U20" i="71"/>
  <c r="P22" i="81"/>
  <c r="Q20" i="71"/>
  <c r="L22" i="81"/>
  <c r="U19" i="71"/>
  <c r="P21" i="81"/>
  <c r="Q19" i="71"/>
  <c r="L21" i="81"/>
  <c r="U18" i="71"/>
  <c r="P20" i="81"/>
  <c r="Q18" i="71"/>
  <c r="L20" i="81"/>
  <c r="U17" i="71"/>
  <c r="P19" i="81"/>
  <c r="Q17" i="71"/>
  <c r="L19" i="81"/>
  <c r="U16" i="71"/>
  <c r="P18" i="81"/>
  <c r="Q16" i="71"/>
  <c r="L18" i="81"/>
  <c r="U15" i="71"/>
  <c r="P17" i="81"/>
  <c r="Q15" i="71"/>
  <c r="L17" i="81"/>
  <c r="U14" i="71"/>
  <c r="P16" i="81"/>
  <c r="Q14" i="71"/>
  <c r="L16" i="81"/>
  <c r="U13" i="71"/>
  <c r="P15" i="81"/>
  <c r="Q13" i="71"/>
  <c r="L15" i="81"/>
  <c r="U12" i="71"/>
  <c r="P14" i="81"/>
  <c r="Q12" i="71"/>
  <c r="L14" i="81"/>
  <c r="U11" i="71"/>
  <c r="P13" i="81"/>
  <c r="Q11" i="71"/>
  <c r="L13" i="81"/>
  <c r="U10" i="71"/>
  <c r="P12" i="81"/>
  <c r="Q10" i="71"/>
  <c r="L12" i="81"/>
  <c r="H38" i="81"/>
  <c r="H42" i="81"/>
  <c r="H41" i="81"/>
  <c r="H40" i="81"/>
  <c r="H39" i="81"/>
  <c r="H43" i="81"/>
  <c r="F41" i="81"/>
  <c r="F40" i="81"/>
  <c r="F39" i="81"/>
  <c r="F43" i="81"/>
  <c r="F38" i="81"/>
  <c r="F42" i="81"/>
  <c r="O1117" i="91"/>
  <c r="R83" i="83"/>
  <c r="P1116" i="91"/>
  <c r="S82" i="83"/>
  <c r="O1113" i="91"/>
  <c r="R79" i="83"/>
  <c r="P1112" i="91"/>
  <c r="S78" i="83"/>
  <c r="O1109" i="91"/>
  <c r="R75" i="83"/>
  <c r="P1108" i="91"/>
  <c r="S74" i="83"/>
  <c r="S25" i="83"/>
  <c r="O1105" i="91"/>
  <c r="R71" i="83"/>
  <c r="R22" i="83"/>
  <c r="O1086" i="91"/>
  <c r="P1085" i="91"/>
  <c r="O1082" i="91"/>
  <c r="P1081" i="91"/>
  <c r="O1078" i="91"/>
  <c r="P1077" i="91"/>
  <c r="O1074" i="91"/>
  <c r="O1055" i="91"/>
  <c r="P1054" i="91"/>
  <c r="O1051" i="91"/>
  <c r="P1050" i="91"/>
  <c r="O1047" i="91"/>
  <c r="P1046" i="91"/>
  <c r="O1043" i="91"/>
  <c r="N1026" i="91"/>
  <c r="N1024" i="91"/>
  <c r="N1022" i="91"/>
  <c r="N1020" i="91"/>
  <c r="N1018" i="91"/>
  <c r="N1016" i="91"/>
  <c r="N1014" i="91"/>
  <c r="N1012" i="91"/>
  <c r="N964" i="91"/>
  <c r="N995" i="91"/>
  <c r="I35" i="41"/>
  <c r="N35" i="41"/>
  <c r="N962" i="91"/>
  <c r="N993" i="91"/>
  <c r="I33" i="41"/>
  <c r="M33" i="41"/>
  <c r="N960" i="91"/>
  <c r="N991" i="91"/>
  <c r="I31" i="41"/>
  <c r="N31" i="41"/>
  <c r="N958" i="91"/>
  <c r="N989" i="91"/>
  <c r="I29" i="41"/>
  <c r="N29" i="41"/>
  <c r="N956" i="91"/>
  <c r="N987" i="91"/>
  <c r="I27" i="41"/>
  <c r="N27" i="41"/>
  <c r="N954" i="91"/>
  <c r="N985" i="91"/>
  <c r="I25" i="41"/>
  <c r="M25" i="41"/>
  <c r="N952" i="91"/>
  <c r="N983" i="91"/>
  <c r="I23" i="41"/>
  <c r="N23" i="41"/>
  <c r="N950" i="91"/>
  <c r="N981" i="91"/>
  <c r="I21" i="41"/>
  <c r="N21" i="41"/>
  <c r="O933" i="91"/>
  <c r="J185" i="41"/>
  <c r="O931" i="91"/>
  <c r="J183" i="41"/>
  <c r="O929" i="91"/>
  <c r="J181" i="41"/>
  <c r="O927" i="91"/>
  <c r="J179" i="41"/>
  <c r="O925" i="91"/>
  <c r="J177" i="41"/>
  <c r="O923" i="91"/>
  <c r="J175" i="41"/>
  <c r="O921" i="91"/>
  <c r="J173" i="41"/>
  <c r="O919" i="91"/>
  <c r="J171" i="41"/>
  <c r="N901" i="91"/>
  <c r="I134" i="41"/>
  <c r="N134" i="41"/>
  <c r="N899" i="91"/>
  <c r="I132" i="41"/>
  <c r="N132" i="41"/>
  <c r="N897" i="91"/>
  <c r="I130" i="41"/>
  <c r="N130" i="41"/>
  <c r="N895" i="91"/>
  <c r="I128" i="41"/>
  <c r="N128" i="41"/>
  <c r="N893" i="91"/>
  <c r="I126" i="41"/>
  <c r="N126" i="41"/>
  <c r="N891" i="91"/>
  <c r="I124" i="41"/>
  <c r="N124" i="41"/>
  <c r="N889" i="91"/>
  <c r="I122" i="41"/>
  <c r="N122" i="41"/>
  <c r="O870" i="91"/>
  <c r="J84" i="41"/>
  <c r="O868" i="91"/>
  <c r="J82" i="41"/>
  <c r="O866" i="91"/>
  <c r="J80" i="41"/>
  <c r="O864" i="91"/>
  <c r="J78" i="41"/>
  <c r="O862" i="91"/>
  <c r="J76" i="41"/>
  <c r="O860" i="91"/>
  <c r="J74" i="41"/>
  <c r="O858" i="91"/>
  <c r="J72" i="41"/>
  <c r="Y838" i="91"/>
  <c r="U838" i="91"/>
  <c r="W836" i="91"/>
  <c r="O836" i="91"/>
  <c r="J74" i="82"/>
  <c r="Y834" i="91"/>
  <c r="U834" i="91"/>
  <c r="W832" i="91"/>
  <c r="O832" i="91"/>
  <c r="J70" i="82"/>
  <c r="Y830" i="91"/>
  <c r="U830" i="91"/>
  <c r="W828" i="91"/>
  <c r="O828" i="91"/>
  <c r="J66" i="82"/>
  <c r="Y826" i="91"/>
  <c r="U826" i="91"/>
  <c r="W824" i="91"/>
  <c r="O824" i="91"/>
  <c r="J62" i="82"/>
  <c r="A92" i="71"/>
  <c r="S84" i="80"/>
  <c r="S28" i="80"/>
  <c r="AA43" i="80"/>
  <c r="S87" i="80"/>
  <c r="S31" i="80"/>
  <c r="W61" i="71"/>
  <c r="X61" i="71"/>
  <c r="W53" i="71"/>
  <c r="X53" i="71"/>
  <c r="S86" i="80"/>
  <c r="S30" i="80"/>
  <c r="G85" i="71"/>
  <c r="O85" i="71"/>
  <c r="T800" i="91"/>
  <c r="X91" i="71"/>
  <c r="W91" i="71"/>
  <c r="L93" i="81"/>
  <c r="S88" i="80"/>
  <c r="S32" i="80"/>
  <c r="W25" i="80"/>
  <c r="S81" i="80"/>
  <c r="S25" i="80"/>
  <c r="AC42" i="80"/>
  <c r="W63" i="71"/>
  <c r="X63" i="71"/>
  <c r="W55" i="71"/>
  <c r="X55" i="71"/>
  <c r="S82" i="80"/>
  <c r="S26" i="80"/>
  <c r="G79" i="71"/>
  <c r="O79" i="71"/>
  <c r="T794" i="91"/>
  <c r="A1705" i="91"/>
  <c r="G1705" i="91"/>
  <c r="H1705" i="91"/>
  <c r="U660" i="91"/>
  <c r="N660" i="91"/>
  <c r="Y660" i="91"/>
  <c r="K664" i="91"/>
  <c r="P664" i="91"/>
  <c r="W664" i="91"/>
  <c r="U668" i="91"/>
  <c r="N668" i="91"/>
  <c r="Y668" i="91"/>
  <c r="N786" i="91"/>
  <c r="J786" i="91"/>
  <c r="V786" i="91"/>
  <c r="K661" i="91"/>
  <c r="P661" i="91"/>
  <c r="W661" i="91"/>
  <c r="U665" i="91"/>
  <c r="N665" i="91"/>
  <c r="Y665" i="91"/>
  <c r="L783" i="91"/>
  <c r="X783" i="91"/>
  <c r="P783" i="91"/>
  <c r="L787" i="91"/>
  <c r="X787" i="91"/>
  <c r="P787" i="91"/>
  <c r="L791" i="91"/>
  <c r="X791" i="91"/>
  <c r="P791" i="91"/>
  <c r="L784" i="91"/>
  <c r="X784" i="91"/>
  <c r="P784" i="91"/>
  <c r="L788" i="91"/>
  <c r="X788" i="91"/>
  <c r="P788" i="91"/>
  <c r="L792" i="91"/>
  <c r="X792" i="91"/>
  <c r="P792" i="91"/>
  <c r="L660" i="91"/>
  <c r="R660" i="91"/>
  <c r="M660" i="91"/>
  <c r="X660" i="91"/>
  <c r="J664" i="91"/>
  <c r="O664" i="91"/>
  <c r="V664" i="91"/>
  <c r="L668" i="91"/>
  <c r="R668" i="91"/>
  <c r="M668" i="91"/>
  <c r="X668" i="91"/>
  <c r="M786" i="91"/>
  <c r="Y786" i="91"/>
  <c r="U786" i="91"/>
  <c r="J661" i="91"/>
  <c r="O661" i="91"/>
  <c r="V661" i="91"/>
  <c r="L665" i="91"/>
  <c r="R665" i="91"/>
  <c r="M665" i="91"/>
  <c r="X665" i="91"/>
  <c r="O783" i="91"/>
  <c r="K783" i="91"/>
  <c r="W783" i="91"/>
  <c r="O787" i="91"/>
  <c r="K787" i="91"/>
  <c r="W787" i="91"/>
  <c r="O791" i="91"/>
  <c r="K791" i="91"/>
  <c r="W791" i="91"/>
  <c r="O784" i="91"/>
  <c r="K784" i="91"/>
  <c r="W784" i="91"/>
  <c r="O788" i="91"/>
  <c r="K788" i="91"/>
  <c r="W788" i="91"/>
  <c r="O792" i="91"/>
  <c r="K792" i="91"/>
  <c r="W792" i="91"/>
  <c r="L662" i="91"/>
  <c r="R662" i="91"/>
  <c r="M662" i="91"/>
  <c r="X662" i="91"/>
  <c r="K660" i="91"/>
  <c r="P660" i="91"/>
  <c r="W660" i="91"/>
  <c r="U664" i="91"/>
  <c r="N664" i="91"/>
  <c r="Y664" i="91"/>
  <c r="K668" i="91"/>
  <c r="P668" i="91"/>
  <c r="W668" i="91"/>
  <c r="L786" i="91"/>
  <c r="X786" i="91"/>
  <c r="P786" i="91"/>
  <c r="U661" i="91"/>
  <c r="N661" i="91"/>
  <c r="Y661" i="91"/>
  <c r="K665" i="91"/>
  <c r="P665" i="91"/>
  <c r="W665" i="91"/>
  <c r="J660" i="91"/>
  <c r="O660" i="91"/>
  <c r="V660" i="91"/>
  <c r="L664" i="91"/>
  <c r="R664" i="91"/>
  <c r="M664" i="91"/>
  <c r="X664" i="91"/>
  <c r="J668" i="91"/>
  <c r="O668" i="91"/>
  <c r="V668" i="91"/>
  <c r="O786" i="91"/>
  <c r="K786" i="91"/>
  <c r="W786" i="91"/>
  <c r="L661" i="91"/>
  <c r="R661" i="91"/>
  <c r="M661" i="91"/>
  <c r="X661" i="91"/>
  <c r="J665" i="91"/>
  <c r="O665" i="91"/>
  <c r="V665" i="91"/>
  <c r="M783" i="91"/>
  <c r="Y783" i="91"/>
  <c r="U783" i="91"/>
  <c r="M787" i="91"/>
  <c r="Y787" i="91"/>
  <c r="U787" i="91"/>
  <c r="M791" i="91"/>
  <c r="Y791" i="91"/>
  <c r="U791" i="91"/>
  <c r="M784" i="91"/>
  <c r="Y784" i="91"/>
  <c r="U784" i="91"/>
  <c r="M788" i="91"/>
  <c r="Y788" i="91"/>
  <c r="U788" i="91"/>
  <c r="M792" i="91"/>
  <c r="Y792" i="91"/>
  <c r="U792" i="91"/>
  <c r="J662" i="91"/>
  <c r="O662" i="91"/>
  <c r="V662" i="91"/>
  <c r="L666" i="91"/>
  <c r="N787" i="91"/>
  <c r="J791" i="91"/>
  <c r="V784" i="91"/>
  <c r="N792" i="91"/>
  <c r="N662" i="91"/>
  <c r="J666" i="91"/>
  <c r="O666" i="91"/>
  <c r="V666" i="91"/>
  <c r="L659" i="91"/>
  <c r="R659" i="91"/>
  <c r="M659" i="91"/>
  <c r="X659" i="91"/>
  <c r="J663" i="91"/>
  <c r="O663" i="91"/>
  <c r="V663" i="91"/>
  <c r="L667" i="91"/>
  <c r="R667" i="91"/>
  <c r="M667" i="91"/>
  <c r="X667" i="91"/>
  <c r="L785" i="91"/>
  <c r="P785" i="91"/>
  <c r="X789" i="91"/>
  <c r="X790" i="91"/>
  <c r="N783" i="91"/>
  <c r="J787" i="91"/>
  <c r="V791" i="91"/>
  <c r="N788" i="91"/>
  <c r="J792" i="91"/>
  <c r="K662" i="91"/>
  <c r="U666" i="91"/>
  <c r="N666" i="91"/>
  <c r="Y666" i="91"/>
  <c r="K659" i="91"/>
  <c r="P659" i="91"/>
  <c r="W659" i="91"/>
  <c r="U663" i="91"/>
  <c r="N663" i="91"/>
  <c r="Y663" i="91"/>
  <c r="K667" i="91"/>
  <c r="P667" i="91"/>
  <c r="W667" i="91"/>
  <c r="O785" i="91"/>
  <c r="K785" i="91"/>
  <c r="W785" i="91"/>
  <c r="O789" i="91"/>
  <c r="K789" i="91"/>
  <c r="W789" i="91"/>
  <c r="O790" i="91"/>
  <c r="K790" i="91"/>
  <c r="W790" i="91"/>
  <c r="N785" i="91"/>
  <c r="V785" i="91"/>
  <c r="J789" i="91"/>
  <c r="N790" i="91"/>
  <c r="V790" i="91"/>
  <c r="J783" i="91"/>
  <c r="V787" i="91"/>
  <c r="N784" i="91"/>
  <c r="J788" i="91"/>
  <c r="V792" i="91"/>
  <c r="U662" i="91"/>
  <c r="Y662" i="91"/>
  <c r="R666" i="91"/>
  <c r="M666" i="91"/>
  <c r="X666" i="91"/>
  <c r="J659" i="91"/>
  <c r="O659" i="91"/>
  <c r="V659" i="91"/>
  <c r="L663" i="91"/>
  <c r="R663" i="91"/>
  <c r="M663" i="91"/>
  <c r="X663" i="91"/>
  <c r="J667" i="91"/>
  <c r="O667" i="91"/>
  <c r="V667" i="91"/>
  <c r="J785" i="91"/>
  <c r="N789" i="91"/>
  <c r="V789" i="91"/>
  <c r="J790" i="91"/>
  <c r="V783" i="91"/>
  <c r="N791" i="91"/>
  <c r="J784" i="91"/>
  <c r="V788" i="91"/>
  <c r="P662" i="91"/>
  <c r="W662" i="91"/>
  <c r="K666" i="91"/>
  <c r="P666" i="91"/>
  <c r="W666" i="91"/>
  <c r="U659" i="91"/>
  <c r="N659" i="91"/>
  <c r="Y659" i="91"/>
  <c r="K663" i="91"/>
  <c r="P663" i="91"/>
  <c r="W663" i="91"/>
  <c r="U667" i="91"/>
  <c r="N667" i="91"/>
  <c r="Y667" i="91"/>
  <c r="M785" i="91"/>
  <c r="Y785" i="91"/>
  <c r="U785" i="91"/>
  <c r="M789" i="91"/>
  <c r="Y789" i="91"/>
  <c r="U789" i="91"/>
  <c r="M790" i="91"/>
  <c r="Y790" i="91"/>
  <c r="U790" i="91"/>
  <c r="X785" i="91"/>
  <c r="L789" i="91"/>
  <c r="P789" i="91"/>
  <c r="L790" i="91"/>
  <c r="P790" i="91"/>
  <c r="L817" i="91"/>
  <c r="X817" i="91"/>
  <c r="P817" i="91"/>
  <c r="L821" i="91"/>
  <c r="X821" i="91"/>
  <c r="P821" i="91"/>
  <c r="K848" i="91"/>
  <c r="J852" i="91"/>
  <c r="M852" i="91"/>
  <c r="K856" i="91"/>
  <c r="N856" i="91"/>
  <c r="M880" i="91"/>
  <c r="P880" i="91"/>
  <c r="O884" i="91"/>
  <c r="J912" i="91"/>
  <c r="M912" i="91"/>
  <c r="K916" i="91"/>
  <c r="N916" i="91"/>
  <c r="M940" i="91"/>
  <c r="P940" i="91"/>
  <c r="O944" i="91"/>
  <c r="M948" i="91"/>
  <c r="P948" i="91"/>
  <c r="J1002" i="91"/>
  <c r="M1002" i="91"/>
  <c r="K1006" i="91"/>
  <c r="N1006" i="91"/>
  <c r="L1010" i="91"/>
  <c r="N1033" i="91"/>
  <c r="P1033" i="91"/>
  <c r="L1037" i="91"/>
  <c r="N1041" i="91"/>
  <c r="P1041" i="91"/>
  <c r="N1095" i="91"/>
  <c r="P1095" i="91"/>
  <c r="L1099" i="91"/>
  <c r="N1103" i="91"/>
  <c r="P1103" i="91"/>
  <c r="O817" i="91"/>
  <c r="K817" i="91"/>
  <c r="W817" i="91"/>
  <c r="O821" i="91"/>
  <c r="K821" i="91"/>
  <c r="W821" i="91"/>
  <c r="N848" i="91"/>
  <c r="J848" i="91"/>
  <c r="P852" i="91"/>
  <c r="L852" i="91"/>
  <c r="J856" i="91"/>
  <c r="M856" i="91"/>
  <c r="L880" i="91"/>
  <c r="K884" i="91"/>
  <c r="N884" i="91"/>
  <c r="P912" i="91"/>
  <c r="L912" i="91"/>
  <c r="J916" i="91"/>
  <c r="M916" i="91"/>
  <c r="L940" i="91"/>
  <c r="K944" i="91"/>
  <c r="N944" i="91"/>
  <c r="L948" i="91"/>
  <c r="O948" i="91"/>
  <c r="P1002" i="91"/>
  <c r="L1002" i="91"/>
  <c r="J1006" i="91"/>
  <c r="O1010" i="91"/>
  <c r="K1010" i="91"/>
  <c r="M1033" i="91"/>
  <c r="O1033" i="91"/>
  <c r="K1037" i="91"/>
  <c r="M1041" i="91"/>
  <c r="O1041" i="91"/>
  <c r="M1095" i="91"/>
  <c r="O1095" i="91"/>
  <c r="K1099" i="91"/>
  <c r="M1103" i="91"/>
  <c r="O1103" i="91"/>
  <c r="J1590" i="91"/>
  <c r="N1590" i="91"/>
  <c r="U1590" i="91"/>
  <c r="M1594" i="91"/>
  <c r="S1594" i="91"/>
  <c r="O1594" i="91"/>
  <c r="T1594" i="91"/>
  <c r="M817" i="91"/>
  <c r="Y817" i="91"/>
  <c r="U817" i="91"/>
  <c r="M821" i="91"/>
  <c r="Y821" i="91"/>
  <c r="U821" i="91"/>
  <c r="L848" i="91"/>
  <c r="O848" i="91"/>
  <c r="N852" i="91"/>
  <c r="L856" i="91"/>
  <c r="O856" i="91"/>
  <c r="N880" i="91"/>
  <c r="J880" i="91"/>
  <c r="P884" i="91"/>
  <c r="L884" i="91"/>
  <c r="N912" i="91"/>
  <c r="L916" i="91"/>
  <c r="O916" i="91"/>
  <c r="N940" i="91"/>
  <c r="J940" i="91"/>
  <c r="P944" i="91"/>
  <c r="L944" i="91"/>
  <c r="J948" i="91"/>
  <c r="K1002" i="91"/>
  <c r="N1002" i="91"/>
  <c r="L1006" i="91"/>
  <c r="O1006" i="91"/>
  <c r="M1010" i="91"/>
  <c r="P1010" i="91"/>
  <c r="K1033" i="91"/>
  <c r="K1064" i="91"/>
  <c r="M1037" i="91"/>
  <c r="M1068" i="91"/>
  <c r="O1037" i="91"/>
  <c r="O1068" i="91"/>
  <c r="K1041" i="91"/>
  <c r="K1072" i="91"/>
  <c r="M1064" i="91"/>
  <c r="O1064" i="91"/>
  <c r="K1068" i="91"/>
  <c r="M1072" i="91"/>
  <c r="O1072" i="91"/>
  <c r="K1095" i="91"/>
  <c r="V817" i="91"/>
  <c r="M848" i="91"/>
  <c r="P856" i="91"/>
  <c r="M884" i="91"/>
  <c r="O940" i="91"/>
  <c r="K948" i="91"/>
  <c r="P1006" i="91"/>
  <c r="N1037" i="91"/>
  <c r="N1068" i="91"/>
  <c r="P1064" i="91"/>
  <c r="O1099" i="91"/>
  <c r="K1590" i="91"/>
  <c r="M1590" i="91"/>
  <c r="S1590" i="91"/>
  <c r="J1594" i="91"/>
  <c r="N1594" i="91"/>
  <c r="K1649" i="91"/>
  <c r="P1649" i="91"/>
  <c r="V1649" i="91"/>
  <c r="N1653" i="91"/>
  <c r="J1653" i="91"/>
  <c r="Q1653" i="91"/>
  <c r="U1653" i="91"/>
  <c r="J1648" i="91"/>
  <c r="P1648" i="91"/>
  <c r="U1648" i="91"/>
  <c r="N816" i="91"/>
  <c r="J816" i="91"/>
  <c r="V816" i="91"/>
  <c r="N820" i="91"/>
  <c r="J820" i="91"/>
  <c r="V820" i="91"/>
  <c r="N847" i="91"/>
  <c r="J847" i="91"/>
  <c r="P851" i="91"/>
  <c r="L851" i="91"/>
  <c r="J855" i="91"/>
  <c r="J879" i="91"/>
  <c r="M879" i="91"/>
  <c r="K883" i="91"/>
  <c r="N883" i="91"/>
  <c r="L887" i="91"/>
  <c r="O887" i="91"/>
  <c r="O911" i="91"/>
  <c r="M915" i="91"/>
  <c r="P915" i="91"/>
  <c r="K943" i="91"/>
  <c r="N943" i="91"/>
  <c r="L947" i="91"/>
  <c r="O947" i="91"/>
  <c r="K1005" i="91"/>
  <c r="J1009" i="91"/>
  <c r="M1009" i="91"/>
  <c r="M1036" i="91"/>
  <c r="O1036" i="91"/>
  <c r="K1040" i="91"/>
  <c r="M1067" i="91"/>
  <c r="O1067" i="91"/>
  <c r="K1071" i="91"/>
  <c r="M1098" i="91"/>
  <c r="O1098" i="91"/>
  <c r="K1102" i="91"/>
  <c r="P1561" i="91"/>
  <c r="L1561" i="91"/>
  <c r="S1561" i="91"/>
  <c r="M1563" i="91"/>
  <c r="U1563" i="91"/>
  <c r="Q1563" i="91"/>
  <c r="L1565" i="91"/>
  <c r="R1565" i="91"/>
  <c r="N1565" i="91"/>
  <c r="K1567" i="91"/>
  <c r="O1567" i="91"/>
  <c r="V1567" i="91"/>
  <c r="R1567" i="91"/>
  <c r="L1569" i="91"/>
  <c r="T1569" i="91"/>
  <c r="P1569" i="91"/>
  <c r="J1589" i="91"/>
  <c r="O1589" i="91"/>
  <c r="U1589" i="91"/>
  <c r="M1593" i="91"/>
  <c r="T1593" i="91"/>
  <c r="P1593" i="91"/>
  <c r="J1597" i="91"/>
  <c r="M1597" i="91"/>
  <c r="U1597" i="91"/>
  <c r="Q1597" i="91"/>
  <c r="N1619" i="91"/>
  <c r="S1623" i="91"/>
  <c r="O1623" i="91"/>
  <c r="N1652" i="91"/>
  <c r="J1652" i="91"/>
  <c r="R1652" i="91"/>
  <c r="P1562" i="91"/>
  <c r="L1562" i="91"/>
  <c r="T1562" i="91"/>
  <c r="L1566" i="91"/>
  <c r="Q1566" i="91"/>
  <c r="M1566" i="91"/>
  <c r="S1566" i="91"/>
  <c r="N1591" i="91"/>
  <c r="V1591" i="91"/>
  <c r="R1591" i="91"/>
  <c r="M815" i="91"/>
  <c r="Y815" i="91"/>
  <c r="U815" i="91"/>
  <c r="M819" i="91"/>
  <c r="Y819" i="91"/>
  <c r="U819" i="91"/>
  <c r="M823" i="91"/>
  <c r="Y823" i="91"/>
  <c r="U823" i="91"/>
  <c r="J850" i="91"/>
  <c r="M850" i="91"/>
  <c r="K854" i="91"/>
  <c r="K878" i="91"/>
  <c r="N878" i="91"/>
  <c r="L882" i="91"/>
  <c r="O882" i="91"/>
  <c r="M886" i="91"/>
  <c r="P886" i="91"/>
  <c r="P910" i="91"/>
  <c r="N914" i="91"/>
  <c r="J914" i="91"/>
  <c r="P918" i="91"/>
  <c r="L918" i="91"/>
  <c r="K942" i="91"/>
  <c r="N942" i="91"/>
  <c r="L946" i="91"/>
  <c r="O1004" i="91"/>
  <c r="K1004" i="91"/>
  <c r="J1008" i="91"/>
  <c r="M1008" i="91"/>
  <c r="L1035" i="91"/>
  <c r="N1039" i="91"/>
  <c r="P1039" i="91"/>
  <c r="L1066" i="91"/>
  <c r="N1070" i="91"/>
  <c r="P1070" i="91"/>
  <c r="L1097" i="91"/>
  <c r="N1101" i="91"/>
  <c r="P1101" i="91"/>
  <c r="L1588" i="91"/>
  <c r="R1588" i="91"/>
  <c r="N1588" i="91"/>
  <c r="O1592" i="91"/>
  <c r="K1592" i="91"/>
  <c r="S1592" i="91"/>
  <c r="V1592" i="91"/>
  <c r="P1596" i="91"/>
  <c r="L1596" i="91"/>
  <c r="S1596" i="91"/>
  <c r="K1647" i="91"/>
  <c r="R1647" i="91"/>
  <c r="V1647" i="91"/>
  <c r="O1651" i="91"/>
  <c r="K1651" i="91"/>
  <c r="S1651" i="91"/>
  <c r="K1655" i="91"/>
  <c r="P1655" i="91"/>
  <c r="V1655" i="91"/>
  <c r="J1560" i="91"/>
  <c r="O1560" i="91"/>
  <c r="U1560" i="91"/>
  <c r="M1564" i="91"/>
  <c r="T1564" i="91"/>
  <c r="P1564" i="91"/>
  <c r="J1568" i="91"/>
  <c r="M1568" i="91"/>
  <c r="U1568" i="91"/>
  <c r="Q1568" i="91"/>
  <c r="R1617" i="91"/>
  <c r="J1650" i="91"/>
  <c r="N1650" i="91"/>
  <c r="U1650" i="91"/>
  <c r="M1654" i="91"/>
  <c r="S1654" i="91"/>
  <c r="O1654" i="91"/>
  <c r="T1654" i="91"/>
  <c r="L814" i="91"/>
  <c r="X814" i="91"/>
  <c r="P814" i="91"/>
  <c r="L818" i="91"/>
  <c r="N821" i="91"/>
  <c r="P848" i="91"/>
  <c r="O880" i="91"/>
  <c r="O912" i="91"/>
  <c r="K940" i="91"/>
  <c r="N948" i="91"/>
  <c r="N1010" i="91"/>
  <c r="P1037" i="91"/>
  <c r="P1068" i="91"/>
  <c r="L1068" i="91"/>
  <c r="N1099" i="91"/>
  <c r="Q1590" i="91"/>
  <c r="L1590" i="91"/>
  <c r="R1590" i="91"/>
  <c r="R1619" i="91"/>
  <c r="R1594" i="91"/>
  <c r="V1594" i="91"/>
  <c r="J1649" i="91"/>
  <c r="O1649" i="91"/>
  <c r="U1649" i="91"/>
  <c r="M1653" i="91"/>
  <c r="T1653" i="91"/>
  <c r="P1653" i="91"/>
  <c r="M1648" i="91"/>
  <c r="S1648" i="91"/>
  <c r="O1648" i="91"/>
  <c r="T1648" i="91"/>
  <c r="M816" i="91"/>
  <c r="Y816" i="91"/>
  <c r="U816" i="91"/>
  <c r="M820" i="91"/>
  <c r="Y820" i="91"/>
  <c r="U820" i="91"/>
  <c r="M847" i="91"/>
  <c r="P847" i="91"/>
  <c r="O851" i="91"/>
  <c r="M855" i="91"/>
  <c r="P855" i="91"/>
  <c r="P879" i="91"/>
  <c r="L879" i="91"/>
  <c r="J883" i="91"/>
  <c r="M883" i="91"/>
  <c r="K887" i="91"/>
  <c r="K911" i="91"/>
  <c r="N911" i="91"/>
  <c r="L915" i="91"/>
  <c r="O915" i="91"/>
  <c r="J943" i="91"/>
  <c r="M943" i="91"/>
  <c r="K947" i="91"/>
  <c r="N1005" i="91"/>
  <c r="J1005" i="91"/>
  <c r="P1009" i="91"/>
  <c r="L1009" i="91"/>
  <c r="L1036" i="91"/>
  <c r="N1040" i="91"/>
  <c r="P1040" i="91"/>
  <c r="L1067" i="91"/>
  <c r="N1071" i="91"/>
  <c r="P1071" i="91"/>
  <c r="L1098" i="91"/>
  <c r="N1102" i="91"/>
  <c r="P1102" i="91"/>
  <c r="K1561" i="91"/>
  <c r="O1561" i="91"/>
  <c r="V1561" i="91"/>
  <c r="R1561" i="91"/>
  <c r="L1563" i="91"/>
  <c r="T1563" i="91"/>
  <c r="P1563" i="91"/>
  <c r="K1565" i="91"/>
  <c r="Q1565" i="91"/>
  <c r="V1565" i="91"/>
  <c r="J1567" i="91"/>
  <c r="N1567" i="91"/>
  <c r="U1567" i="91"/>
  <c r="O1569" i="91"/>
  <c r="K1569" i="91"/>
  <c r="S1569" i="91"/>
  <c r="V1569" i="91"/>
  <c r="R1589" i="91"/>
  <c r="N1589" i="91"/>
  <c r="T1589" i="91"/>
  <c r="L1593" i="91"/>
  <c r="S1593" i="91"/>
  <c r="O1593" i="91"/>
  <c r="P1597" i="91"/>
  <c r="L1597" i="91"/>
  <c r="T1597" i="91"/>
  <c r="L1619" i="91"/>
  <c r="Q1619" i="91"/>
  <c r="M1619" i="91"/>
  <c r="S1619" i="91"/>
  <c r="R1623" i="91"/>
  <c r="V1623" i="91"/>
  <c r="M1652" i="91"/>
  <c r="U1652" i="91"/>
  <c r="Q1652" i="91"/>
  <c r="O1562" i="91"/>
  <c r="K1562" i="91"/>
  <c r="S1562" i="91"/>
  <c r="K1566" i="91"/>
  <c r="P1566" i="91"/>
  <c r="V1566" i="91"/>
  <c r="J1591" i="91"/>
  <c r="M1591" i="91"/>
  <c r="U1591" i="91"/>
  <c r="Q1591" i="91"/>
  <c r="L815" i="91"/>
  <c r="X815" i="91"/>
  <c r="P815" i="91"/>
  <c r="L819" i="91"/>
  <c r="X819" i="91"/>
  <c r="P819" i="91"/>
  <c r="L823" i="91"/>
  <c r="X823" i="91"/>
  <c r="P823" i="91"/>
  <c r="P850" i="91"/>
  <c r="N854" i="91"/>
  <c r="J854" i="91"/>
  <c r="J878" i="91"/>
  <c r="M878" i="91"/>
  <c r="K882" i="91"/>
  <c r="N882" i="91"/>
  <c r="L886" i="91"/>
  <c r="L910" i="91"/>
  <c r="O910" i="91"/>
  <c r="M914" i="91"/>
  <c r="P914" i="91"/>
  <c r="O918" i="91"/>
  <c r="K918" i="91"/>
  <c r="J942" i="91"/>
  <c r="O946" i="91"/>
  <c r="K946" i="91"/>
  <c r="N1004" i="91"/>
  <c r="J1004" i="91"/>
  <c r="P1008" i="91"/>
  <c r="L1008" i="91"/>
  <c r="K1035" i="91"/>
  <c r="M1039" i="91"/>
  <c r="O1039" i="91"/>
  <c r="K1066" i="91"/>
  <c r="M1070" i="91"/>
  <c r="O1070" i="91"/>
  <c r="K1097" i="91"/>
  <c r="M1101" i="91"/>
  <c r="O1101" i="91"/>
  <c r="K1588" i="91"/>
  <c r="K1617" i="91"/>
  <c r="Q1588" i="91"/>
  <c r="V1588" i="91"/>
  <c r="V1617" i="91"/>
  <c r="N1592" i="91"/>
  <c r="J1592" i="91"/>
  <c r="R1592" i="91"/>
  <c r="K1596" i="91"/>
  <c r="O1596" i="91"/>
  <c r="O1625" i="91"/>
  <c r="V1596" i="91"/>
  <c r="R1596" i="91"/>
  <c r="J1618" i="91"/>
  <c r="U1618" i="91"/>
  <c r="M1622" i="91"/>
  <c r="J1626" i="91"/>
  <c r="U1626" i="91"/>
  <c r="N1647" i="91"/>
  <c r="J1647" i="91"/>
  <c r="Q1647" i="91"/>
  <c r="U1647" i="91"/>
  <c r="N1651" i="91"/>
  <c r="V1651" i="91"/>
  <c r="R1651" i="91"/>
  <c r="J1655" i="91"/>
  <c r="O1655" i="91"/>
  <c r="U1655" i="91"/>
  <c r="R1560" i="91"/>
  <c r="N1560" i="91"/>
  <c r="T1560" i="91"/>
  <c r="L1564" i="91"/>
  <c r="S1564" i="91"/>
  <c r="O1564" i="91"/>
  <c r="P1568" i="91"/>
  <c r="L1568" i="91"/>
  <c r="T1568" i="91"/>
  <c r="N1617" i="91"/>
  <c r="Q1617" i="91"/>
  <c r="R1625" i="91"/>
  <c r="N817" i="91"/>
  <c r="J821" i="91"/>
  <c r="O852" i="91"/>
  <c r="K880" i="91"/>
  <c r="K912" i="91"/>
  <c r="J944" i="91"/>
  <c r="O1002" i="91"/>
  <c r="J1010" i="91"/>
  <c r="L1041" i="91"/>
  <c r="N1072" i="91"/>
  <c r="M1099" i="91"/>
  <c r="K1103" i="91"/>
  <c r="P1590" i="91"/>
  <c r="V1590" i="91"/>
  <c r="L1594" i="91"/>
  <c r="L1623" i="91"/>
  <c r="Q1594" i="91"/>
  <c r="U1594" i="91"/>
  <c r="R1649" i="91"/>
  <c r="N1649" i="91"/>
  <c r="T1649" i="91"/>
  <c r="L1653" i="91"/>
  <c r="S1653" i="91"/>
  <c r="O1653" i="91"/>
  <c r="L1648" i="91"/>
  <c r="R1648" i="91"/>
  <c r="N1648" i="91"/>
  <c r="L816" i="91"/>
  <c r="X816" i="91"/>
  <c r="P816" i="91"/>
  <c r="L820" i="91"/>
  <c r="X820" i="91"/>
  <c r="P820" i="91"/>
  <c r="L847" i="91"/>
  <c r="K851" i="91"/>
  <c r="N851" i="91"/>
  <c r="L855" i="91"/>
  <c r="O855" i="91"/>
  <c r="O879" i="91"/>
  <c r="K879" i="91"/>
  <c r="P883" i="91"/>
  <c r="N887" i="91"/>
  <c r="J887" i="91"/>
  <c r="J911" i="91"/>
  <c r="M911" i="91"/>
  <c r="K915" i="91"/>
  <c r="N915" i="91"/>
  <c r="P943" i="91"/>
  <c r="N947" i="91"/>
  <c r="J947" i="91"/>
  <c r="M1005" i="91"/>
  <c r="P1005" i="91"/>
  <c r="O1009" i="91"/>
  <c r="K1009" i="91"/>
  <c r="K1036" i="91"/>
  <c r="M1040" i="91"/>
  <c r="O1040" i="91"/>
  <c r="K1067" i="91"/>
  <c r="M1071" i="91"/>
  <c r="O1071" i="91"/>
  <c r="K1098" i="91"/>
  <c r="M1102" i="91"/>
  <c r="O1102" i="91"/>
  <c r="J1561" i="91"/>
  <c r="N1561" i="91"/>
  <c r="U1561" i="91"/>
  <c r="O1563" i="91"/>
  <c r="K1563" i="91"/>
  <c r="S1563" i="91"/>
  <c r="V1563" i="91"/>
  <c r="J1565" i="91"/>
  <c r="P1565" i="91"/>
  <c r="U1565" i="91"/>
  <c r="Q1567" i="91"/>
  <c r="M1567" i="91"/>
  <c r="T1567" i="91"/>
  <c r="N1569" i="91"/>
  <c r="J1569" i="91"/>
  <c r="R1569" i="91"/>
  <c r="L1589" i="91"/>
  <c r="Q1589" i="91"/>
  <c r="Q1618" i="91"/>
  <c r="M1589" i="91"/>
  <c r="S1589" i="91"/>
  <c r="K1593" i="91"/>
  <c r="R1593" i="91"/>
  <c r="R1622" i="91"/>
  <c r="V1593" i="91"/>
  <c r="O1597" i="91"/>
  <c r="O1626" i="91"/>
  <c r="K1597" i="91"/>
  <c r="K1626" i="91"/>
  <c r="S1597" i="91"/>
  <c r="K1619" i="91"/>
  <c r="P1619" i="91"/>
  <c r="V1619" i="91"/>
  <c r="N1623" i="91"/>
  <c r="J1623" i="91"/>
  <c r="Q1623" i="91"/>
  <c r="U1623" i="91"/>
  <c r="L1652" i="91"/>
  <c r="T1652" i="91"/>
  <c r="P1652" i="91"/>
  <c r="N1562" i="91"/>
  <c r="V1562" i="91"/>
  <c r="R1562" i="91"/>
  <c r="J1566" i="91"/>
  <c r="O1566" i="91"/>
  <c r="U1566" i="91"/>
  <c r="P1591" i="91"/>
  <c r="L1591" i="91"/>
  <c r="T1591" i="91"/>
  <c r="O815" i="91"/>
  <c r="K815" i="91"/>
  <c r="W815" i="91"/>
  <c r="O819" i="91"/>
  <c r="K819" i="91"/>
  <c r="W819" i="91"/>
  <c r="O823" i="91"/>
  <c r="K823" i="91"/>
  <c r="W823" i="91"/>
  <c r="L850" i="91"/>
  <c r="O850" i="91"/>
  <c r="M854" i="91"/>
  <c r="P854" i="91"/>
  <c r="P878" i="91"/>
  <c r="L878" i="91"/>
  <c r="J882" i="91"/>
  <c r="O886" i="91"/>
  <c r="K886" i="91"/>
  <c r="K910" i="91"/>
  <c r="N910" i="91"/>
  <c r="L914" i="91"/>
  <c r="O914" i="91"/>
  <c r="N918" i="91"/>
  <c r="M942" i="91"/>
  <c r="P942" i="91"/>
  <c r="N946" i="91"/>
  <c r="J946" i="91"/>
  <c r="M1004" i="91"/>
  <c r="P1004" i="91"/>
  <c r="O1008" i="91"/>
  <c r="N1035" i="91"/>
  <c r="P1035" i="91"/>
  <c r="L1039" i="91"/>
  <c r="N1066" i="91"/>
  <c r="P1066" i="91"/>
  <c r="L1070" i="91"/>
  <c r="N1097" i="91"/>
  <c r="P1097" i="91"/>
  <c r="L1101" i="91"/>
  <c r="J1588" i="91"/>
  <c r="J1617" i="91"/>
  <c r="P1588" i="91"/>
  <c r="U1588" i="91"/>
  <c r="U1617" i="91"/>
  <c r="M1592" i="91"/>
  <c r="U1592" i="91"/>
  <c r="Q1592" i="91"/>
  <c r="J1596" i="91"/>
  <c r="J1625" i="91"/>
  <c r="N1596" i="91"/>
  <c r="N1625" i="91"/>
  <c r="U1596" i="91"/>
  <c r="U1625" i="91"/>
  <c r="M1618" i="91"/>
  <c r="S1618" i="91"/>
  <c r="O1618" i="91"/>
  <c r="T1618" i="91"/>
  <c r="L1622" i="91"/>
  <c r="T1622" i="91"/>
  <c r="P1622" i="91"/>
  <c r="Q1626" i="91"/>
  <c r="M1626" i="91"/>
  <c r="T1626" i="91"/>
  <c r="M1647" i="91"/>
  <c r="T1647" i="91"/>
  <c r="P1647" i="91"/>
  <c r="J1651" i="91"/>
  <c r="M1651" i="91"/>
  <c r="U1651" i="91"/>
  <c r="Q1651" i="91"/>
  <c r="R1655" i="91"/>
  <c r="N1655" i="91"/>
  <c r="T1655" i="91"/>
  <c r="L1560" i="91"/>
  <c r="Q1560" i="91"/>
  <c r="M1560" i="91"/>
  <c r="S1560" i="91"/>
  <c r="K1564" i="91"/>
  <c r="R1564" i="91"/>
  <c r="V1564" i="91"/>
  <c r="O1568" i="91"/>
  <c r="K1568" i="91"/>
  <c r="S1568" i="91"/>
  <c r="P1617" i="91"/>
  <c r="L1625" i="91"/>
  <c r="S1625" i="91"/>
  <c r="P1650" i="91"/>
  <c r="L1650" i="91"/>
  <c r="S1650" i="91"/>
  <c r="K1654" i="91"/>
  <c r="Q1654" i="91"/>
  <c r="V1654" i="91"/>
  <c r="N814" i="91"/>
  <c r="J814" i="91"/>
  <c r="V814" i="91"/>
  <c r="N818" i="91"/>
  <c r="J817" i="91"/>
  <c r="V821" i="91"/>
  <c r="K852" i="91"/>
  <c r="J884" i="91"/>
  <c r="P916" i="91"/>
  <c r="M944" i="91"/>
  <c r="M1006" i="91"/>
  <c r="L1033" i="91"/>
  <c r="N1064" i="91"/>
  <c r="P1072" i="91"/>
  <c r="P1099" i="91"/>
  <c r="O1590" i="91"/>
  <c r="T1590" i="91"/>
  <c r="T1619" i="91"/>
  <c r="K1594" i="91"/>
  <c r="K1623" i="91"/>
  <c r="P1594" i="91"/>
  <c r="L1649" i="91"/>
  <c r="Q1649" i="91"/>
  <c r="M1649" i="91"/>
  <c r="S1649" i="91"/>
  <c r="K1653" i="91"/>
  <c r="R1653" i="91"/>
  <c r="V1653" i="91"/>
  <c r="K1648" i="91"/>
  <c r="Q1648" i="91"/>
  <c r="V1648" i="91"/>
  <c r="O816" i="91"/>
  <c r="K816" i="91"/>
  <c r="W816" i="91"/>
  <c r="O820" i="91"/>
  <c r="K820" i="91"/>
  <c r="W820" i="91"/>
  <c r="O847" i="91"/>
  <c r="K847" i="91"/>
  <c r="J851" i="91"/>
  <c r="M851" i="91"/>
  <c r="K855" i="91"/>
  <c r="N855" i="91"/>
  <c r="N879" i="91"/>
  <c r="L883" i="91"/>
  <c r="O883" i="91"/>
  <c r="M887" i="91"/>
  <c r="P887" i="91"/>
  <c r="P911" i="91"/>
  <c r="L911" i="91"/>
  <c r="J915" i="91"/>
  <c r="L943" i="91"/>
  <c r="O943" i="91"/>
  <c r="M947" i="91"/>
  <c r="P947" i="91"/>
  <c r="L1005" i="91"/>
  <c r="O1005" i="91"/>
  <c r="N1009" i="91"/>
  <c r="N1036" i="91"/>
  <c r="P1036" i="91"/>
  <c r="L1040" i="91"/>
  <c r="N1067" i="91"/>
  <c r="P1067" i="91"/>
  <c r="L1071" i="91"/>
  <c r="N1098" i="91"/>
  <c r="P1098" i="91"/>
  <c r="L1102" i="91"/>
  <c r="Q1561" i="91"/>
  <c r="M1561" i="91"/>
  <c r="T1561" i="91"/>
  <c r="N1563" i="91"/>
  <c r="J1563" i="91"/>
  <c r="R1563" i="91"/>
  <c r="M1565" i="91"/>
  <c r="S1565" i="91"/>
  <c r="O1565" i="91"/>
  <c r="T1565" i="91"/>
  <c r="P1567" i="91"/>
  <c r="L1567" i="91"/>
  <c r="S1567" i="91"/>
  <c r="M1569" i="91"/>
  <c r="U1569" i="91"/>
  <c r="Q1569" i="91"/>
  <c r="K1589" i="91"/>
  <c r="K1618" i="91"/>
  <c r="P1589" i="91"/>
  <c r="P1618" i="91"/>
  <c r="V1589" i="91"/>
  <c r="V1618" i="91"/>
  <c r="N1593" i="91"/>
  <c r="N1622" i="91"/>
  <c r="J1593" i="91"/>
  <c r="J1622" i="91"/>
  <c r="Q1593" i="91"/>
  <c r="Q1622" i="91"/>
  <c r="U1593" i="91"/>
  <c r="U1622" i="91"/>
  <c r="N1597" i="91"/>
  <c r="N1626" i="91"/>
  <c r="V1597" i="91"/>
  <c r="V1626" i="91"/>
  <c r="R1597" i="91"/>
  <c r="R1626" i="91"/>
  <c r="J1619" i="91"/>
  <c r="O1619" i="91"/>
  <c r="U1619" i="91"/>
  <c r="M1623" i="91"/>
  <c r="T1623" i="91"/>
  <c r="P1623" i="91"/>
  <c r="O1652" i="91"/>
  <c r="K1652" i="91"/>
  <c r="S1652" i="91"/>
  <c r="V1652" i="91"/>
  <c r="J1562" i="91"/>
  <c r="M1562" i="91"/>
  <c r="U1562" i="91"/>
  <c r="Q1562" i="91"/>
  <c r="R1566" i="91"/>
  <c r="N1566" i="91"/>
  <c r="T1566" i="91"/>
  <c r="O1591" i="91"/>
  <c r="K1591" i="91"/>
  <c r="S1591" i="91"/>
  <c r="N815" i="91"/>
  <c r="J815" i="91"/>
  <c r="V815" i="91"/>
  <c r="N819" i="91"/>
  <c r="J819" i="91"/>
  <c r="V819" i="91"/>
  <c r="N823" i="91"/>
  <c r="J823" i="91"/>
  <c r="V823" i="91"/>
  <c r="K850" i="91"/>
  <c r="N850" i="91"/>
  <c r="L854" i="91"/>
  <c r="O854" i="91"/>
  <c r="O878" i="91"/>
  <c r="M882" i="91"/>
  <c r="P882" i="91"/>
  <c r="N886" i="91"/>
  <c r="J886" i="91"/>
  <c r="J910" i="91"/>
  <c r="M910" i="91"/>
  <c r="K914" i="91"/>
  <c r="J918" i="91"/>
  <c r="M918" i="91"/>
  <c r="L942" i="91"/>
  <c r="O942" i="91"/>
  <c r="M946" i="91"/>
  <c r="P946" i="91"/>
  <c r="L1004" i="91"/>
  <c r="K1008" i="91"/>
  <c r="N1008" i="91"/>
  <c r="M1035" i="91"/>
  <c r="O1035" i="91"/>
  <c r="K1039" i="91"/>
  <c r="M1066" i="91"/>
  <c r="O1066" i="91"/>
  <c r="K1070" i="91"/>
  <c r="M1097" i="91"/>
  <c r="O1097" i="91"/>
  <c r="K1101" i="91"/>
  <c r="M1588" i="91"/>
  <c r="M1617" i="91"/>
  <c r="S1588" i="91"/>
  <c r="O1588" i="91"/>
  <c r="T1588" i="91"/>
  <c r="T1617" i="91"/>
  <c r="L1592" i="91"/>
  <c r="T1592" i="91"/>
  <c r="P1592" i="91"/>
  <c r="Q1596" i="91"/>
  <c r="Q1625" i="91"/>
  <c r="M1596" i="91"/>
  <c r="M1625" i="91"/>
  <c r="T1596" i="91"/>
  <c r="L1618" i="91"/>
  <c r="R1618" i="91"/>
  <c r="N1618" i="91"/>
  <c r="O1622" i="91"/>
  <c r="K1622" i="91"/>
  <c r="S1622" i="91"/>
  <c r="V1622" i="91"/>
  <c r="P1626" i="91"/>
  <c r="L1626" i="91"/>
  <c r="S1626" i="91"/>
  <c r="L1647" i="91"/>
  <c r="S1647" i="91"/>
  <c r="O1647" i="91"/>
  <c r="P1651" i="91"/>
  <c r="L1651" i="91"/>
  <c r="T1651" i="91"/>
  <c r="L1655" i="91"/>
  <c r="Q1655" i="91"/>
  <c r="M1655" i="91"/>
  <c r="S1655" i="91"/>
  <c r="K1560" i="91"/>
  <c r="P1560" i="91"/>
  <c r="V1560" i="91"/>
  <c r="N1564" i="91"/>
  <c r="J1564" i="91"/>
  <c r="Q1564" i="91"/>
  <c r="U1564" i="91"/>
  <c r="N1568" i="91"/>
  <c r="V1568" i="91"/>
  <c r="R1568" i="91"/>
  <c r="L1617" i="91"/>
  <c r="S1617" i="91"/>
  <c r="O1617" i="91"/>
  <c r="K1625" i="91"/>
  <c r="P1625" i="91"/>
  <c r="V1625" i="91"/>
  <c r="K1650" i="91"/>
  <c r="O1650" i="91"/>
  <c r="V1650" i="91"/>
  <c r="R1650" i="91"/>
  <c r="J1654" i="91"/>
  <c r="P1654" i="91"/>
  <c r="U1654" i="91"/>
  <c r="M814" i="91"/>
  <c r="Y814" i="91"/>
  <c r="U814" i="91"/>
  <c r="M818" i="91"/>
  <c r="Y818" i="91"/>
  <c r="U818" i="91"/>
  <c r="M822" i="91"/>
  <c r="Y822" i="91"/>
  <c r="U822" i="91"/>
  <c r="K849" i="91"/>
  <c r="N849" i="91"/>
  <c r="L853" i="91"/>
  <c r="N881" i="91"/>
  <c r="J881" i="91"/>
  <c r="T1625" i="91"/>
  <c r="L1654" i="91"/>
  <c r="K814" i="91"/>
  <c r="J818" i="91"/>
  <c r="P818" i="91"/>
  <c r="K822" i="91"/>
  <c r="V822" i="91"/>
  <c r="J849" i="91"/>
  <c r="N853" i="91"/>
  <c r="P853" i="91"/>
  <c r="P881" i="91"/>
  <c r="O885" i="91"/>
  <c r="K885" i="91"/>
  <c r="J909" i="91"/>
  <c r="O913" i="91"/>
  <c r="K913" i="91"/>
  <c r="J917" i="91"/>
  <c r="M917" i="91"/>
  <c r="L941" i="91"/>
  <c r="O941" i="91"/>
  <c r="N945" i="91"/>
  <c r="L949" i="91"/>
  <c r="O949" i="91"/>
  <c r="P1003" i="91"/>
  <c r="L1003" i="91"/>
  <c r="J1007" i="91"/>
  <c r="M1007" i="91"/>
  <c r="K1011" i="91"/>
  <c r="N1034" i="91"/>
  <c r="P1034" i="91"/>
  <c r="L1038" i="91"/>
  <c r="N1042" i="91"/>
  <c r="P1042" i="91"/>
  <c r="N1096" i="91"/>
  <c r="P1096" i="91"/>
  <c r="L1100" i="91"/>
  <c r="N1104" i="91"/>
  <c r="J1595" i="91"/>
  <c r="U1595" i="91"/>
  <c r="L1621" i="91"/>
  <c r="O1646" i="91"/>
  <c r="S1646" i="91"/>
  <c r="M1704" i="91"/>
  <c r="U1704" i="91"/>
  <c r="Q1650" i="91"/>
  <c r="R1654" i="91"/>
  <c r="W814" i="91"/>
  <c r="X818" i="91"/>
  <c r="O822" i="91"/>
  <c r="J822" i="91"/>
  <c r="P822" i="91"/>
  <c r="P849" i="91"/>
  <c r="M853" i="91"/>
  <c r="M881" i="91"/>
  <c r="O881" i="91"/>
  <c r="N885" i="91"/>
  <c r="M909" i="91"/>
  <c r="P909" i="91"/>
  <c r="N913" i="91"/>
  <c r="J913" i="91"/>
  <c r="P917" i="91"/>
  <c r="L917" i="91"/>
  <c r="K941" i="91"/>
  <c r="J945" i="91"/>
  <c r="M945" i="91"/>
  <c r="K949" i="91"/>
  <c r="N949" i="91"/>
  <c r="O1003" i="91"/>
  <c r="K1003" i="91"/>
  <c r="P1007" i="91"/>
  <c r="N1011" i="91"/>
  <c r="J1011" i="91"/>
  <c r="M1034" i="91"/>
  <c r="O1034" i="91"/>
  <c r="K1038" i="91"/>
  <c r="M1042" i="91"/>
  <c r="O1042" i="91"/>
  <c r="M1096" i="91"/>
  <c r="O1096" i="91"/>
  <c r="K1100" i="91"/>
  <c r="M1104" i="91"/>
  <c r="O1104" i="91"/>
  <c r="R1595" i="91"/>
  <c r="N1595" i="91"/>
  <c r="T1595" i="91"/>
  <c r="O1621" i="91"/>
  <c r="K1621" i="91"/>
  <c r="S1621" i="91"/>
  <c r="N1646" i="91"/>
  <c r="J1646" i="91"/>
  <c r="R1646" i="91"/>
  <c r="J1704" i="91"/>
  <c r="N1704" i="91"/>
  <c r="R1704" i="91"/>
  <c r="V1704" i="91"/>
  <c r="L1595" i="91"/>
  <c r="M1595" i="91"/>
  <c r="N1621" i="91"/>
  <c r="R1621" i="91"/>
  <c r="U1646" i="91"/>
  <c r="K1704" i="91"/>
  <c r="S1704" i="91"/>
  <c r="M1650" i="91"/>
  <c r="N1654" i="91"/>
  <c r="O818" i="91"/>
  <c r="W818" i="91"/>
  <c r="N822" i="91"/>
  <c r="X822" i="91"/>
  <c r="M849" i="91"/>
  <c r="O849" i="91"/>
  <c r="K853" i="91"/>
  <c r="L881" i="91"/>
  <c r="J885" i="91"/>
  <c r="M885" i="91"/>
  <c r="L909" i="91"/>
  <c r="O909" i="91"/>
  <c r="M913" i="91"/>
  <c r="P913" i="91"/>
  <c r="O917" i="91"/>
  <c r="N941" i="91"/>
  <c r="J941" i="91"/>
  <c r="P945" i="91"/>
  <c r="L945" i="91"/>
  <c r="J949" i="91"/>
  <c r="M949" i="91"/>
  <c r="N1003" i="91"/>
  <c r="L1007" i="91"/>
  <c r="O1007" i="91"/>
  <c r="M1011" i="91"/>
  <c r="P1011" i="91"/>
  <c r="L1034" i="91"/>
  <c r="L1065" i="91"/>
  <c r="N1038" i="91"/>
  <c r="N1069" i="91"/>
  <c r="P1038" i="91"/>
  <c r="P1069" i="91"/>
  <c r="L1042" i="91"/>
  <c r="L1073" i="91"/>
  <c r="N1065" i="91"/>
  <c r="P1065" i="91"/>
  <c r="L1069" i="91"/>
  <c r="N1073" i="91"/>
  <c r="P1073" i="91"/>
  <c r="L1096" i="91"/>
  <c r="N1100" i="91"/>
  <c r="P1100" i="91"/>
  <c r="L1104" i="91"/>
  <c r="Q1595" i="91"/>
  <c r="S1595" i="91"/>
  <c r="V1621" i="91"/>
  <c r="M1646" i="91"/>
  <c r="Q1646" i="91"/>
  <c r="O1704" i="91"/>
  <c r="T1650" i="91"/>
  <c r="O814" i="91"/>
  <c r="K818" i="91"/>
  <c r="V818" i="91"/>
  <c r="L822" i="91"/>
  <c r="W822" i="91"/>
  <c r="L849" i="91"/>
  <c r="O853" i="91"/>
  <c r="J853" i="91"/>
  <c r="K881" i="91"/>
  <c r="P885" i="91"/>
  <c r="L885" i="91"/>
  <c r="K909" i="91"/>
  <c r="N909" i="91"/>
  <c r="L913" i="91"/>
  <c r="K917" i="91"/>
  <c r="N917" i="91"/>
  <c r="M941" i="91"/>
  <c r="P941" i="91"/>
  <c r="O945" i="91"/>
  <c r="K945" i="91"/>
  <c r="P949" i="91"/>
  <c r="J1003" i="91"/>
  <c r="M1003" i="91"/>
  <c r="K1007" i="91"/>
  <c r="N1007" i="91"/>
  <c r="L1011" i="91"/>
  <c r="O1011" i="91"/>
  <c r="K1034" i="91"/>
  <c r="K1065" i="91"/>
  <c r="M1038" i="91"/>
  <c r="M1069" i="91"/>
  <c r="O1038" i="91"/>
  <c r="O1069" i="91"/>
  <c r="K1042" i="91"/>
  <c r="K1073" i="91"/>
  <c r="M1065" i="91"/>
  <c r="O1065" i="91"/>
  <c r="K1069" i="91"/>
  <c r="M1073" i="91"/>
  <c r="O1073" i="91"/>
  <c r="K1096" i="91"/>
  <c r="M1100" i="91"/>
  <c r="O1100" i="91"/>
  <c r="K1104" i="91"/>
  <c r="K1595" i="91"/>
  <c r="P1595" i="91"/>
  <c r="V1595" i="91"/>
  <c r="J1621" i="91"/>
  <c r="M1621" i="91"/>
  <c r="U1621" i="91"/>
  <c r="Q1621" i="91"/>
  <c r="L1646" i="91"/>
  <c r="T1646" i="91"/>
  <c r="P1646" i="91"/>
  <c r="L1704" i="91"/>
  <c r="P1704" i="91"/>
  <c r="T1704" i="91"/>
  <c r="P1104" i="91"/>
  <c r="O1595" i="91"/>
  <c r="P1621" i="91"/>
  <c r="T1621" i="91"/>
  <c r="K1646" i="91"/>
  <c r="V1646" i="91"/>
  <c r="Q1704" i="91"/>
  <c r="O1705" i="91"/>
  <c r="M1705" i="91"/>
  <c r="L1705" i="91"/>
  <c r="P1705" i="91"/>
  <c r="T1705" i="91"/>
  <c r="U1705" i="91"/>
  <c r="J1705" i="91"/>
  <c r="N1705" i="91"/>
  <c r="R1705" i="91"/>
  <c r="V1705" i="91"/>
  <c r="K1705" i="91"/>
  <c r="S1705" i="91"/>
  <c r="Q1705" i="91"/>
  <c r="L1103" i="91"/>
  <c r="L1072" i="91"/>
  <c r="L1095" i="91"/>
  <c r="L1064" i="91"/>
  <c r="DM274" i="91"/>
  <c r="DM241" i="91"/>
  <c r="DM262" i="91"/>
  <c r="DM223" i="91"/>
  <c r="DM266" i="91"/>
  <c r="DM260" i="91"/>
  <c r="DM234" i="91"/>
  <c r="DM235" i="91"/>
  <c r="DM270" i="91"/>
  <c r="DM264" i="91"/>
  <c r="DM226" i="91"/>
  <c r="DM248" i="91"/>
  <c r="DM268" i="91"/>
  <c r="DM247" i="91"/>
  <c r="DM228" i="91"/>
  <c r="DM278" i="91"/>
  <c r="DM265" i="91"/>
  <c r="DM275" i="91"/>
  <c r="DM245" i="91"/>
  <c r="DM255" i="91"/>
  <c r="DM269" i="91"/>
  <c r="DM239" i="91"/>
  <c r="DM237" i="91"/>
  <c r="DM230" i="91"/>
  <c r="DM254" i="91"/>
  <c r="DM243" i="91"/>
  <c r="DM258" i="91"/>
  <c r="DM224" i="91"/>
  <c r="DM231" i="91"/>
  <c r="DM229" i="91"/>
  <c r="DM240" i="91"/>
  <c r="DM271" i="91"/>
  <c r="DM233" i="91"/>
  <c r="DM244" i="91"/>
  <c r="DM225" i="91"/>
  <c r="DM267" i="91"/>
  <c r="DM238" i="91"/>
  <c r="DM236" i="91"/>
  <c r="DM277" i="91"/>
  <c r="DM256" i="91"/>
  <c r="DM272" i="91"/>
  <c r="DM279" i="91"/>
  <c r="DM232" i="91"/>
  <c r="DM261" i="91"/>
  <c r="DM227" i="91"/>
  <c r="DM259" i="91"/>
  <c r="DM273" i="91"/>
  <c r="DM276" i="91"/>
  <c r="DM263" i="91"/>
  <c r="DM242" i="91"/>
  <c r="DM246" i="91"/>
  <c r="DM257" i="91"/>
  <c r="T1679" i="91"/>
  <c r="P1679" i="91"/>
  <c r="S70" i="83"/>
  <c r="S21" i="83"/>
  <c r="Q1679" i="91"/>
  <c r="U1679" i="91"/>
  <c r="M1679" i="91"/>
  <c r="J1679" i="91"/>
  <c r="R66" i="83"/>
  <c r="R17" i="83"/>
  <c r="O70" i="83"/>
  <c r="O21" i="83"/>
  <c r="O62" i="83"/>
  <c r="O13" i="83"/>
  <c r="O66" i="83"/>
  <c r="O17" i="83"/>
  <c r="O1442" i="91"/>
  <c r="O56" i="72"/>
  <c r="O1412" i="91"/>
  <c r="L1442" i="91"/>
  <c r="L1412" i="91"/>
  <c r="N1408" i="91"/>
  <c r="N1438" i="91"/>
  <c r="K1438" i="91"/>
  <c r="K1408" i="91"/>
  <c r="M1434" i="91"/>
  <c r="M1404" i="91"/>
  <c r="P980" i="91"/>
  <c r="K20" i="41"/>
  <c r="K976" i="91"/>
  <c r="F16" i="41"/>
  <c r="O976" i="91"/>
  <c r="J16" i="41"/>
  <c r="P972" i="91"/>
  <c r="K12" i="41"/>
  <c r="M972" i="91"/>
  <c r="H12" i="41"/>
  <c r="I169" i="41"/>
  <c r="F169" i="41"/>
  <c r="G165" i="41"/>
  <c r="I161" i="41"/>
  <c r="F161" i="41"/>
  <c r="G118" i="41"/>
  <c r="K118" i="41"/>
  <c r="F114" i="41"/>
  <c r="J67" i="41"/>
  <c r="G63" i="41"/>
  <c r="G60" i="82"/>
  <c r="F56" i="82"/>
  <c r="J52" i="82"/>
  <c r="V1679" i="91"/>
  <c r="S66" i="83"/>
  <c r="S17" i="83"/>
  <c r="P70" i="83"/>
  <c r="P21" i="83"/>
  <c r="P62" i="83"/>
  <c r="P13" i="83"/>
  <c r="P66" i="83"/>
  <c r="P17" i="83"/>
  <c r="P1412" i="91"/>
  <c r="P1442" i="91"/>
  <c r="O22" i="72"/>
  <c r="M1412" i="91"/>
  <c r="M1442" i="91"/>
  <c r="O1438" i="91"/>
  <c r="O52" i="72"/>
  <c r="O1408" i="91"/>
  <c r="L1408" i="91"/>
  <c r="L1438" i="91"/>
  <c r="N1434" i="91"/>
  <c r="N1404" i="91"/>
  <c r="M980" i="91"/>
  <c r="H20" i="41"/>
  <c r="J980" i="91"/>
  <c r="L976" i="91"/>
  <c r="G16" i="41"/>
  <c r="P976" i="91"/>
  <c r="K16" i="41"/>
  <c r="J972" i="91"/>
  <c r="N972" i="91"/>
  <c r="I12" i="41"/>
  <c r="J169" i="41"/>
  <c r="K165" i="41"/>
  <c r="H165" i="41"/>
  <c r="J161" i="41"/>
  <c r="G161" i="41"/>
  <c r="L934" i="91"/>
  <c r="H118" i="41"/>
  <c r="G114" i="41"/>
  <c r="F67" i="41"/>
  <c r="J63" i="41"/>
  <c r="H63" i="41"/>
  <c r="I60" i="82"/>
  <c r="J56" i="82"/>
  <c r="R1679" i="91"/>
  <c r="N1679" i="91"/>
  <c r="S1679" i="91"/>
  <c r="K1679" i="91"/>
  <c r="O1679" i="91"/>
  <c r="R70" i="83"/>
  <c r="R21" i="83"/>
  <c r="R62" i="83"/>
  <c r="R13" i="83"/>
  <c r="N1442" i="91"/>
  <c r="N1412" i="91"/>
  <c r="P1408" i="91"/>
  <c r="P1438" i="91"/>
  <c r="O18" i="72"/>
  <c r="K1434" i="91"/>
  <c r="K1404" i="91"/>
  <c r="O1434" i="91"/>
  <c r="O48" i="72"/>
  <c r="O1404" i="91"/>
  <c r="M48" i="72"/>
  <c r="N980" i="91"/>
  <c r="I20" i="41"/>
  <c r="K980" i="91"/>
  <c r="F20" i="41"/>
  <c r="M976" i="91"/>
  <c r="H16" i="41"/>
  <c r="J976" i="91"/>
  <c r="K972" i="91"/>
  <c r="F12" i="41"/>
  <c r="G169" i="41"/>
  <c r="K169" i="41"/>
  <c r="I165" i="41"/>
  <c r="K161" i="41"/>
  <c r="P934" i="91"/>
  <c r="H161" i="41"/>
  <c r="I118" i="41"/>
  <c r="J114" i="41"/>
  <c r="H114" i="41"/>
  <c r="H67" i="41"/>
  <c r="K63" i="41"/>
  <c r="K60" i="82"/>
  <c r="J60" i="82"/>
  <c r="L1679" i="91"/>
  <c r="S62" i="83"/>
  <c r="S13" i="83"/>
  <c r="K1442" i="91"/>
  <c r="K1412" i="91"/>
  <c r="M1438" i="91"/>
  <c r="M1408" i="91"/>
  <c r="L1434" i="91"/>
  <c r="L1404" i="91"/>
  <c r="P1404" i="91"/>
  <c r="P1434" i="91"/>
  <c r="O14" i="72"/>
  <c r="O980" i="91"/>
  <c r="J20" i="41"/>
  <c r="L980" i="91"/>
  <c r="G20" i="41"/>
  <c r="N976" i="91"/>
  <c r="I16" i="41"/>
  <c r="O972" i="91"/>
  <c r="J12" i="41"/>
  <c r="L972" i="91"/>
  <c r="G12" i="41"/>
  <c r="H169" i="41"/>
  <c r="M169" i="41"/>
  <c r="F165" i="41"/>
  <c r="J165" i="41"/>
  <c r="F118" i="41"/>
  <c r="J118" i="41"/>
  <c r="K114" i="41"/>
  <c r="K67" i="41"/>
  <c r="I67" i="41"/>
  <c r="F60" i="82"/>
  <c r="K56" i="82"/>
  <c r="F52" i="82"/>
  <c r="T1683" i="91"/>
  <c r="I114" i="41"/>
  <c r="G67" i="41"/>
  <c r="I63" i="41"/>
  <c r="F63" i="41"/>
  <c r="H60" i="82"/>
  <c r="H56" i="82"/>
  <c r="H52" i="82"/>
  <c r="V1683" i="91"/>
  <c r="P1683" i="91"/>
  <c r="K1683" i="91"/>
  <c r="O1675" i="91"/>
  <c r="S1675" i="91"/>
  <c r="L1675" i="91"/>
  <c r="S1684" i="91"/>
  <c r="L1684" i="91"/>
  <c r="P1684" i="91"/>
  <c r="V1680" i="91"/>
  <c r="S1680" i="91"/>
  <c r="K1680" i="91"/>
  <c r="O1680" i="91"/>
  <c r="N1676" i="91"/>
  <c r="R1676" i="91"/>
  <c r="L1676" i="91"/>
  <c r="M1683" i="91"/>
  <c r="Q1683" i="91"/>
  <c r="T1675" i="91"/>
  <c r="M1675" i="91"/>
  <c r="O1550" i="91"/>
  <c r="L1550" i="91"/>
  <c r="R63" i="83"/>
  <c r="R14" i="83"/>
  <c r="O63" i="83"/>
  <c r="O14" i="83"/>
  <c r="N1409" i="91"/>
  <c r="N1439" i="91"/>
  <c r="K1439" i="91"/>
  <c r="K1409" i="91"/>
  <c r="L1405" i="91"/>
  <c r="L1435" i="91"/>
  <c r="P977" i="91"/>
  <c r="K17" i="41"/>
  <c r="M977" i="91"/>
  <c r="H17" i="41"/>
  <c r="O973" i="91"/>
  <c r="J13" i="41"/>
  <c r="L973" i="91"/>
  <c r="G13" i="41"/>
  <c r="H170" i="41"/>
  <c r="F166" i="41"/>
  <c r="H162" i="41"/>
  <c r="I119" i="41"/>
  <c r="K115" i="41"/>
  <c r="H115" i="41"/>
  <c r="J111" i="41"/>
  <c r="O903" i="91"/>
  <c r="J68" i="41"/>
  <c r="G68" i="41"/>
  <c r="I64" i="41"/>
  <c r="F64" i="41"/>
  <c r="I61" i="82"/>
  <c r="I57" i="82"/>
  <c r="I53" i="82"/>
  <c r="DL310" i="91"/>
  <c r="DL306" i="91"/>
  <c r="DL302" i="91"/>
  <c r="DL298" i="91"/>
  <c r="DL294" i="91"/>
  <c r="DL290" i="91"/>
  <c r="DL286" i="91"/>
  <c r="P1681" i="91"/>
  <c r="T1681" i="91"/>
  <c r="M1681" i="91"/>
  <c r="U1677" i="91"/>
  <c r="O1677" i="91"/>
  <c r="J1677" i="91"/>
  <c r="R1684" i="91"/>
  <c r="V1684" i="91"/>
  <c r="N1684" i="91"/>
  <c r="U1680" i="91"/>
  <c r="Q1680" i="91"/>
  <c r="J1680" i="91"/>
  <c r="N1680" i="91"/>
  <c r="V1676" i="91"/>
  <c r="P1676" i="91"/>
  <c r="K1676" i="91"/>
  <c r="S64" i="83"/>
  <c r="S15" i="83"/>
  <c r="P64" i="83"/>
  <c r="P15" i="83"/>
  <c r="N1440" i="91"/>
  <c r="N1410" i="91"/>
  <c r="O1436" i="91"/>
  <c r="O50" i="72"/>
  <c r="O1406" i="91"/>
  <c r="L1436" i="91"/>
  <c r="L1406" i="91"/>
  <c r="P978" i="91"/>
  <c r="K18" i="41"/>
  <c r="M978" i="91"/>
  <c r="H18" i="41"/>
  <c r="O974" i="91"/>
  <c r="J14" i="41"/>
  <c r="L974" i="91"/>
  <c r="G14" i="41"/>
  <c r="G163" i="41"/>
  <c r="K163" i="41"/>
  <c r="K120" i="41"/>
  <c r="H120" i="41"/>
  <c r="J116" i="41"/>
  <c r="G116" i="41"/>
  <c r="I112" i="41"/>
  <c r="I69" i="41"/>
  <c r="F69" i="41"/>
  <c r="H65" i="41"/>
  <c r="F61" i="41"/>
  <c r="J61" i="41"/>
  <c r="F58" i="82"/>
  <c r="J58" i="82"/>
  <c r="F54" i="82"/>
  <c r="J54" i="82"/>
  <c r="K1681" i="91"/>
  <c r="T1677" i="91"/>
  <c r="S65" i="83"/>
  <c r="S16" i="83"/>
  <c r="P69" i="83"/>
  <c r="P20" i="83"/>
  <c r="M1437" i="91"/>
  <c r="M1407" i="91"/>
  <c r="M975" i="91"/>
  <c r="H15" i="41"/>
  <c r="K168" i="41"/>
  <c r="F66" i="41"/>
  <c r="I56" i="82"/>
  <c r="I52" i="82"/>
  <c r="S1683" i="91"/>
  <c r="L1683" i="91"/>
  <c r="P1675" i="91"/>
  <c r="T1684" i="91"/>
  <c r="M1684" i="91"/>
  <c r="Q1684" i="91"/>
  <c r="P1680" i="91"/>
  <c r="T1680" i="91"/>
  <c r="L1680" i="91"/>
  <c r="T1676" i="91"/>
  <c r="O1676" i="91"/>
  <c r="S1676" i="91"/>
  <c r="M1676" i="91"/>
  <c r="U1683" i="91"/>
  <c r="N1683" i="91"/>
  <c r="J1683" i="91"/>
  <c r="U1675" i="91"/>
  <c r="J1675" i="91"/>
  <c r="P1550" i="91"/>
  <c r="M1550" i="91"/>
  <c r="S63" i="83"/>
  <c r="S14" i="83"/>
  <c r="P63" i="83"/>
  <c r="P14" i="83"/>
  <c r="O1439" i="91"/>
  <c r="O53" i="72"/>
  <c r="O1409" i="91"/>
  <c r="P1435" i="91"/>
  <c r="O15" i="72"/>
  <c r="P1405" i="91"/>
  <c r="M1405" i="91"/>
  <c r="M1435" i="91"/>
  <c r="J977" i="91"/>
  <c r="N977" i="91"/>
  <c r="I17" i="41"/>
  <c r="P973" i="91"/>
  <c r="K13" i="41"/>
  <c r="M973" i="91"/>
  <c r="H13" i="41"/>
  <c r="I170" i="41"/>
  <c r="J166" i="41"/>
  <c r="G166" i="41"/>
  <c r="I162" i="41"/>
  <c r="F162" i="41"/>
  <c r="F119" i="41"/>
  <c r="J119" i="41"/>
  <c r="G111" i="41"/>
  <c r="L903" i="91"/>
  <c r="K111" i="41"/>
  <c r="P903" i="91"/>
  <c r="K68" i="41"/>
  <c r="H68" i="41"/>
  <c r="J64" i="41"/>
  <c r="G64" i="41"/>
  <c r="F61" i="82"/>
  <c r="J61" i="82"/>
  <c r="F57" i="82"/>
  <c r="J57" i="82"/>
  <c r="F53" i="82"/>
  <c r="J53" i="82"/>
  <c r="DL309" i="91"/>
  <c r="DL305" i="91"/>
  <c r="DL301" i="91"/>
  <c r="DL297" i="91"/>
  <c r="DL293" i="91"/>
  <c r="DL289" i="91"/>
  <c r="DL285" i="91"/>
  <c r="U1681" i="91"/>
  <c r="Q1681" i="91"/>
  <c r="J1681" i="91"/>
  <c r="N1681" i="91"/>
  <c r="V1677" i="91"/>
  <c r="P1677" i="91"/>
  <c r="K1677" i="91"/>
  <c r="K1684" i="91"/>
  <c r="O1684" i="91"/>
  <c r="R1680" i="91"/>
  <c r="Q1676" i="91"/>
  <c r="R68" i="83"/>
  <c r="R19" i="83"/>
  <c r="O68" i="83"/>
  <c r="O19" i="83"/>
  <c r="K1440" i="91"/>
  <c r="K1410" i="91"/>
  <c r="O1440" i="91"/>
  <c r="O54" i="72"/>
  <c r="O1410" i="91"/>
  <c r="M54" i="72"/>
  <c r="P1406" i="91"/>
  <c r="P1436" i="91"/>
  <c r="O16" i="72"/>
  <c r="M1436" i="91"/>
  <c r="M1406" i="91"/>
  <c r="J978" i="91"/>
  <c r="N978" i="91"/>
  <c r="I18" i="41"/>
  <c r="P974" i="91"/>
  <c r="K14" i="41"/>
  <c r="I167" i="41"/>
  <c r="F167" i="41"/>
  <c r="H163" i="41"/>
  <c r="I120" i="41"/>
  <c r="K116" i="41"/>
  <c r="F112" i="41"/>
  <c r="J112" i="41"/>
  <c r="J69" i="41"/>
  <c r="G69" i="41"/>
  <c r="I65" i="41"/>
  <c r="F65" i="41"/>
  <c r="L872" i="91"/>
  <c r="G61" i="41"/>
  <c r="K58" i="82"/>
  <c r="G58" i="82"/>
  <c r="K54" i="82"/>
  <c r="G54" i="82"/>
  <c r="L1681" i="91"/>
  <c r="O1027" i="91"/>
  <c r="O1433" i="91"/>
  <c r="O1403" i="91"/>
  <c r="M47" i="72"/>
  <c r="J975" i="91"/>
  <c r="F164" i="41"/>
  <c r="F113" i="41"/>
  <c r="J66" i="41"/>
  <c r="I55" i="82"/>
  <c r="R1683" i="91"/>
  <c r="Q1675" i="91"/>
  <c r="N1675" i="91"/>
  <c r="U1684" i="91"/>
  <c r="J1684" i="91"/>
  <c r="M1680" i="91"/>
  <c r="U1676" i="91"/>
  <c r="J1676" i="91"/>
  <c r="O1683" i="91"/>
  <c r="V1675" i="91"/>
  <c r="K1675" i="91"/>
  <c r="J1550" i="91"/>
  <c r="I1550" i="91"/>
  <c r="R67" i="83"/>
  <c r="R18" i="83"/>
  <c r="O67" i="83"/>
  <c r="O18" i="83"/>
  <c r="L1439" i="91"/>
  <c r="L1409" i="91"/>
  <c r="P1409" i="91"/>
  <c r="P1439" i="91"/>
  <c r="O19" i="72"/>
  <c r="N1405" i="91"/>
  <c r="N1435" i="91"/>
  <c r="K977" i="91"/>
  <c r="F17" i="41"/>
  <c r="O977" i="91"/>
  <c r="J17" i="41"/>
  <c r="J973" i="91"/>
  <c r="F170" i="41"/>
  <c r="J170" i="41"/>
  <c r="K166" i="41"/>
  <c r="H166" i="41"/>
  <c r="J162" i="41"/>
  <c r="G162" i="41"/>
  <c r="G119" i="41"/>
  <c r="I115" i="41"/>
  <c r="F115" i="41"/>
  <c r="M903" i="91"/>
  <c r="H111" i="41"/>
  <c r="J903" i="91"/>
  <c r="I68" i="41"/>
  <c r="K64" i="41"/>
  <c r="K61" i="82"/>
  <c r="G61" i="82"/>
  <c r="K57" i="82"/>
  <c r="G57" i="82"/>
  <c r="K53" i="82"/>
  <c r="G53" i="82"/>
  <c r="DL308" i="91"/>
  <c r="DL304" i="91"/>
  <c r="DL300" i="91"/>
  <c r="DL296" i="91"/>
  <c r="DL292" i="91"/>
  <c r="DL288" i="91"/>
  <c r="V1681" i="91"/>
  <c r="R1681" i="91"/>
  <c r="S1677" i="91"/>
  <c r="M1677" i="91"/>
  <c r="Q1677" i="91"/>
  <c r="L1677" i="91"/>
  <c r="S68" i="83"/>
  <c r="S19" i="83"/>
  <c r="P68" i="83"/>
  <c r="P19" i="83"/>
  <c r="L1410" i="91"/>
  <c r="L1440" i="91"/>
  <c r="P1410" i="91"/>
  <c r="P1440" i="91"/>
  <c r="O20" i="72"/>
  <c r="N1406" i="91"/>
  <c r="N1436" i="91"/>
  <c r="K978" i="91"/>
  <c r="F18" i="41"/>
  <c r="M974" i="91"/>
  <c r="H14" i="41"/>
  <c r="J974" i="91"/>
  <c r="J167" i="41"/>
  <c r="G167" i="41"/>
  <c r="I163" i="41"/>
  <c r="F163" i="41"/>
  <c r="F120" i="41"/>
  <c r="H116" i="41"/>
  <c r="G112" i="41"/>
  <c r="K112" i="41"/>
  <c r="K69" i="41"/>
  <c r="H69" i="41"/>
  <c r="J65" i="41"/>
  <c r="K61" i="41"/>
  <c r="P872" i="91"/>
  <c r="H61" i="41"/>
  <c r="H58" i="82"/>
  <c r="H54" i="82"/>
  <c r="R1677" i="91"/>
  <c r="P65" i="83"/>
  <c r="P16" i="83"/>
  <c r="N1411" i="91"/>
  <c r="N1441" i="91"/>
  <c r="N979" i="91"/>
  <c r="I19" i="41"/>
  <c r="K965" i="91"/>
  <c r="K971" i="91"/>
  <c r="J164" i="41"/>
  <c r="J113" i="41"/>
  <c r="K62" i="41"/>
  <c r="I59" i="82"/>
  <c r="G56" i="82"/>
  <c r="N56" i="82"/>
  <c r="P839" i="91"/>
  <c r="K52" i="82"/>
  <c r="X839" i="91"/>
  <c r="L839" i="91"/>
  <c r="G52" i="82"/>
  <c r="R1675" i="91"/>
  <c r="N1550" i="91"/>
  <c r="K1550" i="91"/>
  <c r="S67" i="83"/>
  <c r="S18" i="83"/>
  <c r="P67" i="83"/>
  <c r="P18" i="83"/>
  <c r="M1409" i="91"/>
  <c r="M1439" i="91"/>
  <c r="K1435" i="91"/>
  <c r="K1405" i="91"/>
  <c r="O1435" i="91"/>
  <c r="O49" i="72"/>
  <c r="O1405" i="91"/>
  <c r="M49" i="72"/>
  <c r="L977" i="91"/>
  <c r="G17" i="41"/>
  <c r="N973" i="91"/>
  <c r="I13" i="41"/>
  <c r="K973" i="91"/>
  <c r="F13" i="41"/>
  <c r="G170" i="41"/>
  <c r="K170" i="41"/>
  <c r="I166" i="41"/>
  <c r="K162" i="41"/>
  <c r="K119" i="41"/>
  <c r="H119" i="41"/>
  <c r="J115" i="41"/>
  <c r="G115" i="41"/>
  <c r="I111" i="41"/>
  <c r="K903" i="91"/>
  <c r="F111" i="41"/>
  <c r="F68" i="41"/>
  <c r="H64" i="41"/>
  <c r="M64" i="41"/>
  <c r="H61" i="82"/>
  <c r="H57" i="82"/>
  <c r="H53" i="82"/>
  <c r="DL307" i="91"/>
  <c r="DL303" i="91"/>
  <c r="DL299" i="91"/>
  <c r="DL295" i="91"/>
  <c r="DL291" i="91"/>
  <c r="DL287" i="91"/>
  <c r="O1681" i="91"/>
  <c r="S1681" i="91"/>
  <c r="N1677" i="91"/>
  <c r="R64" i="83"/>
  <c r="R15" i="83"/>
  <c r="O64" i="83"/>
  <c r="O15" i="83"/>
  <c r="M1440" i="91"/>
  <c r="M1410" i="91"/>
  <c r="K1436" i="91"/>
  <c r="K1406" i="91"/>
  <c r="O978" i="91"/>
  <c r="J18" i="41"/>
  <c r="L978" i="91"/>
  <c r="G18" i="41"/>
  <c r="N974" i="91"/>
  <c r="I14" i="41"/>
  <c r="K974" i="91"/>
  <c r="F14" i="41"/>
  <c r="K167" i="41"/>
  <c r="H167" i="41"/>
  <c r="M167" i="41"/>
  <c r="J163" i="41"/>
  <c r="J120" i="41"/>
  <c r="G120" i="41"/>
  <c r="I116" i="41"/>
  <c r="N116" i="41"/>
  <c r="F116" i="41"/>
  <c r="H112" i="41"/>
  <c r="G65" i="41"/>
  <c r="K65" i="41"/>
  <c r="I61" i="41"/>
  <c r="I58" i="82"/>
  <c r="I54" i="82"/>
  <c r="R65" i="83"/>
  <c r="R16" i="83"/>
  <c r="P61" i="83"/>
  <c r="P1437" i="91"/>
  <c r="O17" i="72"/>
  <c r="P1407" i="91"/>
  <c r="K979" i="91"/>
  <c r="F19" i="41"/>
  <c r="O971" i="91"/>
  <c r="O965" i="91"/>
  <c r="H117" i="41"/>
  <c r="K70" i="41"/>
  <c r="H62" i="41"/>
  <c r="O69" i="83"/>
  <c r="O20" i="83"/>
  <c r="O61" i="83"/>
  <c r="M1089" i="91"/>
  <c r="O65" i="83"/>
  <c r="O16" i="83"/>
  <c r="P1441" i="91"/>
  <c r="O21" i="72"/>
  <c r="P1411" i="91"/>
  <c r="M1441" i="91"/>
  <c r="M1411" i="91"/>
  <c r="O1407" i="91"/>
  <c r="O1437" i="91"/>
  <c r="O51" i="72"/>
  <c r="L1407" i="91"/>
  <c r="L1437" i="91"/>
  <c r="N1433" i="91"/>
  <c r="N1403" i="91"/>
  <c r="K1403" i="91"/>
  <c r="K1027" i="91"/>
  <c r="K1433" i="91"/>
  <c r="J979" i="91"/>
  <c r="L975" i="91"/>
  <c r="G15" i="41"/>
  <c r="P975" i="91"/>
  <c r="K15" i="41"/>
  <c r="J965" i="91"/>
  <c r="J971" i="91"/>
  <c r="N971" i="91"/>
  <c r="I11" i="41"/>
  <c r="J168" i="41"/>
  <c r="G168" i="41"/>
  <c r="I164" i="41"/>
  <c r="G117" i="41"/>
  <c r="K117" i="41"/>
  <c r="I113" i="41"/>
  <c r="J70" i="41"/>
  <c r="G70" i="41"/>
  <c r="I66" i="41"/>
  <c r="J62" i="41"/>
  <c r="G62" i="41"/>
  <c r="H59" i="82"/>
  <c r="M59" i="82"/>
  <c r="H55" i="82"/>
  <c r="R69" i="83"/>
  <c r="R20" i="83"/>
  <c r="R61" i="83"/>
  <c r="M1120" i="91"/>
  <c r="M1058" i="91"/>
  <c r="K1411" i="91"/>
  <c r="K1441" i="91"/>
  <c r="O1411" i="91"/>
  <c r="I55" i="63"/>
  <c r="O1441" i="91"/>
  <c r="O55" i="72"/>
  <c r="L1403" i="91"/>
  <c r="L1433" i="91"/>
  <c r="L1027" i="91"/>
  <c r="P1403" i="91"/>
  <c r="P1027" i="91"/>
  <c r="P1433" i="91"/>
  <c r="O979" i="91"/>
  <c r="J19" i="41"/>
  <c r="M19" i="41"/>
  <c r="L979" i="91"/>
  <c r="G19" i="41"/>
  <c r="N975" i="91"/>
  <c r="I15" i="41"/>
  <c r="K975" i="91"/>
  <c r="F15" i="41"/>
  <c r="L965" i="91"/>
  <c r="L971" i="91"/>
  <c r="H168" i="41"/>
  <c r="G164" i="41"/>
  <c r="K164" i="41"/>
  <c r="K189" i="41"/>
  <c r="I117" i="41"/>
  <c r="F117" i="41"/>
  <c r="G113" i="41"/>
  <c r="H70" i="41"/>
  <c r="G66" i="41"/>
  <c r="K66" i="41"/>
  <c r="I62" i="41"/>
  <c r="F59" i="82"/>
  <c r="N59" i="82"/>
  <c r="J59" i="82"/>
  <c r="F55" i="82"/>
  <c r="J55" i="82"/>
  <c r="S69" i="83"/>
  <c r="S20" i="83"/>
  <c r="S61" i="83"/>
  <c r="L1441" i="91"/>
  <c r="L1411" i="91"/>
  <c r="N1437" i="91"/>
  <c r="N1407" i="91"/>
  <c r="K1407" i="91"/>
  <c r="K1437" i="91"/>
  <c r="M1027" i="91"/>
  <c r="M1433" i="91"/>
  <c r="M1403" i="91"/>
  <c r="J1027" i="91"/>
  <c r="P979" i="91"/>
  <c r="K19" i="41"/>
  <c r="M979" i="91"/>
  <c r="H19" i="41"/>
  <c r="O975" i="91"/>
  <c r="J15" i="41"/>
  <c r="P965" i="91"/>
  <c r="P971" i="91"/>
  <c r="K11" i="41"/>
  <c r="M965" i="91"/>
  <c r="M971" i="91"/>
  <c r="I168" i="41"/>
  <c r="F168" i="41"/>
  <c r="H164" i="41"/>
  <c r="J117" i="41"/>
  <c r="K113" i="41"/>
  <c r="H113" i="41"/>
  <c r="N113" i="41"/>
  <c r="I70" i="41"/>
  <c r="F70" i="41"/>
  <c r="H66" i="41"/>
  <c r="F62" i="41"/>
  <c r="F87" i="41"/>
  <c r="K59" i="82"/>
  <c r="G59" i="82"/>
  <c r="K55" i="82"/>
  <c r="G55" i="82"/>
  <c r="N55" i="82"/>
  <c r="H75" i="71"/>
  <c r="P75" i="71"/>
  <c r="H68" i="83"/>
  <c r="H19" i="83"/>
  <c r="P1288" i="91"/>
  <c r="G20" i="63"/>
  <c r="A20" i="63"/>
  <c r="P1320" i="91"/>
  <c r="G20" i="72"/>
  <c r="A20" i="72"/>
  <c r="P1502" i="91"/>
  <c r="K20" i="63"/>
  <c r="P1470" i="91"/>
  <c r="Q20" i="72"/>
  <c r="L1288" i="91"/>
  <c r="L1320" i="91"/>
  <c r="L1470" i="91"/>
  <c r="L1502" i="91"/>
  <c r="H74" i="71"/>
  <c r="P74" i="71"/>
  <c r="H67" i="83"/>
  <c r="H18" i="83"/>
  <c r="P1287" i="91"/>
  <c r="G19" i="63"/>
  <c r="A19" i="63"/>
  <c r="P1319" i="91"/>
  <c r="G19" i="72"/>
  <c r="A19" i="72"/>
  <c r="P1469" i="91"/>
  <c r="Q19" i="72"/>
  <c r="P1501" i="91"/>
  <c r="K19" i="63"/>
  <c r="L1287" i="91"/>
  <c r="L1319" i="91"/>
  <c r="L1469" i="91"/>
  <c r="L1501" i="91"/>
  <c r="L70" i="71"/>
  <c r="T70" i="71"/>
  <c r="L63" i="83"/>
  <c r="L14" i="83"/>
  <c r="I75" i="71"/>
  <c r="Q75" i="71"/>
  <c r="I68" i="83"/>
  <c r="I19" i="83"/>
  <c r="M75" i="71"/>
  <c r="U75" i="71"/>
  <c r="M68" i="83"/>
  <c r="M19" i="83"/>
  <c r="M1320" i="91"/>
  <c r="M1288" i="91"/>
  <c r="M1470" i="91"/>
  <c r="M1502" i="91"/>
  <c r="I67" i="83"/>
  <c r="I18" i="83"/>
  <c r="I74" i="71"/>
  <c r="Q74" i="71"/>
  <c r="M67" i="83"/>
  <c r="M18" i="83"/>
  <c r="M74" i="71"/>
  <c r="U74" i="71"/>
  <c r="F67" i="83"/>
  <c r="F18" i="83"/>
  <c r="M1319" i="91"/>
  <c r="M1287" i="91"/>
  <c r="M1501" i="91"/>
  <c r="M1469" i="91"/>
  <c r="I70" i="71"/>
  <c r="Q70" i="71"/>
  <c r="I63" i="83"/>
  <c r="I14" i="83"/>
  <c r="M70" i="71"/>
  <c r="U70" i="71"/>
  <c r="M63" i="83"/>
  <c r="M14" i="83"/>
  <c r="F63" i="83"/>
  <c r="F14" i="83"/>
  <c r="M1315" i="91"/>
  <c r="M1283" i="91"/>
  <c r="M1497" i="91"/>
  <c r="M1465" i="91"/>
  <c r="L777" i="91"/>
  <c r="P777" i="91"/>
  <c r="I35" i="82"/>
  <c r="G31" i="82"/>
  <c r="K31" i="82"/>
  <c r="I27" i="82"/>
  <c r="G23" i="82"/>
  <c r="K23" i="82"/>
  <c r="I19" i="82"/>
  <c r="G15" i="82"/>
  <c r="K15" i="82"/>
  <c r="N715" i="91"/>
  <c r="I11" i="82"/>
  <c r="AP76" i="80"/>
  <c r="AP20" i="80"/>
  <c r="Y1258" i="91"/>
  <c r="AP72" i="81"/>
  <c r="Y1196" i="91"/>
  <c r="AP20" i="81"/>
  <c r="AI76" i="80"/>
  <c r="AI20" i="80"/>
  <c r="N1381" i="91"/>
  <c r="N1196" i="91"/>
  <c r="AI20" i="81"/>
  <c r="N1258" i="91"/>
  <c r="AI72" i="81"/>
  <c r="N1351" i="91"/>
  <c r="AL76" i="80"/>
  <c r="AL20" i="80"/>
  <c r="U1258" i="91"/>
  <c r="AL72" i="81"/>
  <c r="AN72" i="80"/>
  <c r="AN16" i="80"/>
  <c r="W1254" i="91"/>
  <c r="AN68" i="81"/>
  <c r="W1192" i="91"/>
  <c r="AN16" i="81"/>
  <c r="P1192" i="91"/>
  <c r="AK16" i="81"/>
  <c r="AK72" i="80"/>
  <c r="AK16" i="80"/>
  <c r="P1347" i="91"/>
  <c r="I17" i="72"/>
  <c r="P1254" i="91"/>
  <c r="AK68" i="81"/>
  <c r="P1377" i="91"/>
  <c r="K17" i="72"/>
  <c r="AE72" i="80"/>
  <c r="AE16" i="80"/>
  <c r="K1254" i="91"/>
  <c r="K1192" i="91"/>
  <c r="K1377" i="91"/>
  <c r="K1347" i="91"/>
  <c r="AP68" i="80"/>
  <c r="AP12" i="80"/>
  <c r="Y684" i="91"/>
  <c r="Y1250" i="91"/>
  <c r="Y1188" i="91"/>
  <c r="AI68" i="80"/>
  <c r="AI12" i="80"/>
  <c r="N1188" i="91"/>
  <c r="N1250" i="91"/>
  <c r="N1373" i="91"/>
  <c r="N1343" i="91"/>
  <c r="N684" i="91"/>
  <c r="AL68" i="80"/>
  <c r="AL12" i="80"/>
  <c r="U684" i="91"/>
  <c r="U1250" i="91"/>
  <c r="F32" i="82"/>
  <c r="J32" i="82"/>
  <c r="H28" i="82"/>
  <c r="F24" i="82"/>
  <c r="J24" i="82"/>
  <c r="H20" i="82"/>
  <c r="F16" i="82"/>
  <c r="J16" i="82"/>
  <c r="H12" i="82"/>
  <c r="AN75" i="80"/>
  <c r="AN19" i="80"/>
  <c r="W1195" i="91"/>
  <c r="AN19" i="81"/>
  <c r="W1257" i="91"/>
  <c r="AN71" i="81"/>
  <c r="AK75" i="80"/>
  <c r="AK19" i="80"/>
  <c r="P1350" i="91"/>
  <c r="I20" i="72"/>
  <c r="P1257" i="91"/>
  <c r="AK71" i="81"/>
  <c r="P1195" i="91"/>
  <c r="AK19" i="81"/>
  <c r="P1380" i="91"/>
  <c r="K20" i="72"/>
  <c r="K1195" i="91"/>
  <c r="K1257" i="91"/>
  <c r="K1380" i="91"/>
  <c r="K1350" i="91"/>
  <c r="W1191" i="91"/>
  <c r="AN15" i="81"/>
  <c r="AN71" i="80"/>
  <c r="AN15" i="80"/>
  <c r="W1253" i="91"/>
  <c r="AN67" i="81"/>
  <c r="AK71" i="80"/>
  <c r="AK15" i="80"/>
  <c r="P1191" i="91"/>
  <c r="AK15" i="81"/>
  <c r="P1346" i="91"/>
  <c r="I16" i="72"/>
  <c r="P1253" i="91"/>
  <c r="AK67" i="81"/>
  <c r="P1376" i="91"/>
  <c r="K16" i="72"/>
  <c r="DK302" i="91"/>
  <c r="DK286" i="91"/>
  <c r="J66" i="83"/>
  <c r="J17" i="83"/>
  <c r="J73" i="71"/>
  <c r="R73" i="71"/>
  <c r="N1289" i="91"/>
  <c r="N1321" i="91"/>
  <c r="N1471" i="91"/>
  <c r="N1503" i="91"/>
  <c r="J68" i="71"/>
  <c r="R68" i="71"/>
  <c r="J61" i="83"/>
  <c r="V808" i="91"/>
  <c r="J74" i="71"/>
  <c r="R74" i="71"/>
  <c r="J67" i="83"/>
  <c r="J18" i="83"/>
  <c r="N1287" i="91"/>
  <c r="N1319" i="91"/>
  <c r="N1469" i="91"/>
  <c r="N1501" i="91"/>
  <c r="M777" i="91"/>
  <c r="F35" i="82"/>
  <c r="J35" i="82"/>
  <c r="H31" i="82"/>
  <c r="F27" i="82"/>
  <c r="J27" i="82"/>
  <c r="H23" i="82"/>
  <c r="F19" i="82"/>
  <c r="J19" i="82"/>
  <c r="H15" i="82"/>
  <c r="F11" i="82"/>
  <c r="K715" i="91"/>
  <c r="J11" i="82"/>
  <c r="O715" i="91"/>
  <c r="M72" i="81"/>
  <c r="AM76" i="80"/>
  <c r="AM20" i="80"/>
  <c r="V1196" i="91"/>
  <c r="AM20" i="81"/>
  <c r="V1258" i="91"/>
  <c r="AM72" i="81"/>
  <c r="AJ76" i="80"/>
  <c r="AJ20" i="80"/>
  <c r="T667" i="91"/>
  <c r="U1196" i="91"/>
  <c r="AL20" i="81"/>
  <c r="H1196" i="91"/>
  <c r="AE20" i="81"/>
  <c r="O1381" i="91"/>
  <c r="K55" i="72"/>
  <c r="I1196" i="91"/>
  <c r="AF20" i="81"/>
  <c r="O1196" i="91"/>
  <c r="AJ20" i="81"/>
  <c r="O1258" i="91"/>
  <c r="AJ72" i="81"/>
  <c r="O1351" i="91"/>
  <c r="I55" i="72"/>
  <c r="X1192" i="91"/>
  <c r="AO16" i="81"/>
  <c r="AO72" i="80"/>
  <c r="AO16" i="80"/>
  <c r="X1254" i="91"/>
  <c r="AO68" i="81"/>
  <c r="AH72" i="80"/>
  <c r="M1377" i="91"/>
  <c r="M1347" i="91"/>
  <c r="M1192" i="91"/>
  <c r="AH16" i="81"/>
  <c r="M1254" i="91"/>
  <c r="L1192" i="91"/>
  <c r="AG16" i="81"/>
  <c r="AG72" i="80"/>
  <c r="AG16" i="80"/>
  <c r="L1347" i="91"/>
  <c r="L1254" i="91"/>
  <c r="AG68" i="81"/>
  <c r="L1377" i="91"/>
  <c r="AM68" i="80"/>
  <c r="AM12" i="80"/>
  <c r="V684" i="91"/>
  <c r="M64" i="81"/>
  <c r="V1250" i="91"/>
  <c r="V1188" i="91"/>
  <c r="O684" i="91"/>
  <c r="AJ68" i="80"/>
  <c r="AJ12" i="80"/>
  <c r="T659" i="91"/>
  <c r="H1188" i="91"/>
  <c r="I1188" i="91"/>
  <c r="O1188" i="91"/>
  <c r="O1250" i="91"/>
  <c r="O1373" i="91"/>
  <c r="O1343" i="91"/>
  <c r="G32" i="82"/>
  <c r="K32" i="82"/>
  <c r="I28" i="82"/>
  <c r="G24" i="82"/>
  <c r="K24" i="82"/>
  <c r="I20" i="82"/>
  <c r="G16" i="82"/>
  <c r="K16" i="82"/>
  <c r="I12" i="82"/>
  <c r="AO75" i="80"/>
  <c r="AO19" i="80"/>
  <c r="X1195" i="91"/>
  <c r="AO19" i="81"/>
  <c r="X1257" i="91"/>
  <c r="AO71" i="81"/>
  <c r="AH75" i="80"/>
  <c r="M1380" i="91"/>
  <c r="M1195" i="91"/>
  <c r="AH19" i="81"/>
  <c r="M1350" i="91"/>
  <c r="M1257" i="91"/>
  <c r="AP71" i="80"/>
  <c r="AP15" i="80"/>
  <c r="Y1191" i="91"/>
  <c r="AP15" i="81"/>
  <c r="Y1253" i="91"/>
  <c r="AP67" i="81"/>
  <c r="AL71" i="80"/>
  <c r="AL15" i="80"/>
  <c r="U1253" i="91"/>
  <c r="AL67" i="81"/>
  <c r="DK298" i="91"/>
  <c r="J77" i="71"/>
  <c r="R77" i="71"/>
  <c r="J70" i="83"/>
  <c r="J21" i="83"/>
  <c r="N1282" i="91"/>
  <c r="N1314" i="91"/>
  <c r="N1464" i="91"/>
  <c r="N1496" i="91"/>
  <c r="J72" i="71"/>
  <c r="R72" i="71"/>
  <c r="J65" i="83"/>
  <c r="J16" i="83"/>
  <c r="J75" i="71"/>
  <c r="R75" i="71"/>
  <c r="J68" i="83"/>
  <c r="J19" i="83"/>
  <c r="F68" i="83"/>
  <c r="F19" i="83"/>
  <c r="E68" i="83"/>
  <c r="N1288" i="91"/>
  <c r="N1320" i="91"/>
  <c r="N1470" i="91"/>
  <c r="N1502" i="91"/>
  <c r="J70" i="71"/>
  <c r="R70" i="71"/>
  <c r="J63" i="83"/>
  <c r="J14" i="83"/>
  <c r="N1283" i="91"/>
  <c r="N1315" i="91"/>
  <c r="N1465" i="91"/>
  <c r="N1497" i="91"/>
  <c r="K75" i="71"/>
  <c r="S75" i="71"/>
  <c r="K68" i="83"/>
  <c r="K19" i="83"/>
  <c r="K1288" i="91"/>
  <c r="K1320" i="91"/>
  <c r="K1470" i="91"/>
  <c r="K1502" i="91"/>
  <c r="T790" i="91"/>
  <c r="G75" i="71"/>
  <c r="O75" i="71"/>
  <c r="G68" i="83"/>
  <c r="G19" i="83"/>
  <c r="O1288" i="91"/>
  <c r="G54" i="63"/>
  <c r="A54" i="63"/>
  <c r="O1320" i="91"/>
  <c r="G54" i="72"/>
  <c r="A54" i="72"/>
  <c r="O1470" i="91"/>
  <c r="Q54" i="72"/>
  <c r="O1502" i="91"/>
  <c r="K54" i="63"/>
  <c r="K67" i="83"/>
  <c r="K18" i="83"/>
  <c r="K74" i="71"/>
  <c r="S74" i="71"/>
  <c r="E67" i="83"/>
  <c r="K1287" i="91"/>
  <c r="K1319" i="91"/>
  <c r="K1469" i="91"/>
  <c r="K1501" i="91"/>
  <c r="G67" i="83"/>
  <c r="G18" i="83"/>
  <c r="T789" i="91"/>
  <c r="G74" i="71"/>
  <c r="O74" i="71"/>
  <c r="O1287" i="91"/>
  <c r="G53" i="63"/>
  <c r="A53" i="63"/>
  <c r="O1319" i="91"/>
  <c r="G53" i="72"/>
  <c r="A53" i="72"/>
  <c r="O1501" i="91"/>
  <c r="K53" i="63"/>
  <c r="O1469" i="91"/>
  <c r="Q53" i="72"/>
  <c r="K70" i="71"/>
  <c r="S70" i="71"/>
  <c r="K63" i="83"/>
  <c r="K14" i="83"/>
  <c r="E63" i="83"/>
  <c r="K1283" i="91"/>
  <c r="K1315" i="91"/>
  <c r="K1497" i="91"/>
  <c r="K1465" i="91"/>
  <c r="G70" i="71"/>
  <c r="O70" i="71"/>
  <c r="G63" i="83"/>
  <c r="G14" i="83"/>
  <c r="T785" i="91"/>
  <c r="O1283" i="91"/>
  <c r="G49" i="63"/>
  <c r="A49" i="63"/>
  <c r="O1315" i="91"/>
  <c r="G49" i="72"/>
  <c r="A49" i="72"/>
  <c r="O1497" i="91"/>
  <c r="K49" i="63"/>
  <c r="O1465" i="91"/>
  <c r="Q49" i="72"/>
  <c r="N777" i="91"/>
  <c r="G35" i="82"/>
  <c r="K35" i="82"/>
  <c r="I31" i="82"/>
  <c r="G27" i="82"/>
  <c r="K27" i="82"/>
  <c r="I23" i="82"/>
  <c r="G19" i="82"/>
  <c r="K19" i="82"/>
  <c r="I15" i="82"/>
  <c r="L715" i="91"/>
  <c r="G11" i="82"/>
  <c r="P715" i="91"/>
  <c r="K11" i="82"/>
  <c r="AN76" i="80"/>
  <c r="AN20" i="80"/>
  <c r="W1258" i="91"/>
  <c r="AN72" i="81"/>
  <c r="W1196" i="91"/>
  <c r="AN20" i="81"/>
  <c r="P1196" i="91"/>
  <c r="AK20" i="81"/>
  <c r="AK76" i="80"/>
  <c r="AK20" i="80"/>
  <c r="P1258" i="91"/>
  <c r="AK72" i="81"/>
  <c r="P1351" i="91"/>
  <c r="I21" i="72"/>
  <c r="P1381" i="91"/>
  <c r="K21" i="72"/>
  <c r="AE76" i="80"/>
  <c r="AE20" i="80"/>
  <c r="K1196" i="91"/>
  <c r="K1381" i="91"/>
  <c r="K1258" i="91"/>
  <c r="K1351" i="91"/>
  <c r="AP72" i="80"/>
  <c r="AP16" i="80"/>
  <c r="Y1192" i="91"/>
  <c r="AP16" i="81"/>
  <c r="Y1254" i="91"/>
  <c r="AP68" i="81"/>
  <c r="AI72" i="80"/>
  <c r="AI16" i="80"/>
  <c r="N1377" i="91"/>
  <c r="N1347" i="91"/>
  <c r="N1192" i="91"/>
  <c r="AI16" i="81"/>
  <c r="N1254" i="91"/>
  <c r="AI68" i="81"/>
  <c r="AL72" i="80"/>
  <c r="AL16" i="80"/>
  <c r="U1254" i="91"/>
  <c r="AL68" i="81"/>
  <c r="AN68" i="80"/>
  <c r="AN12" i="80"/>
  <c r="W684" i="91"/>
  <c r="W1188" i="91"/>
  <c r="W1250" i="91"/>
  <c r="P1188" i="91"/>
  <c r="AK68" i="80"/>
  <c r="AK12" i="80"/>
  <c r="P684" i="91"/>
  <c r="P1343" i="91"/>
  <c r="P1250" i="91"/>
  <c r="P1373" i="91"/>
  <c r="AE68" i="80"/>
  <c r="AE12" i="80"/>
  <c r="K684" i="91"/>
  <c r="K1250" i="91"/>
  <c r="K1188" i="91"/>
  <c r="K1373" i="91"/>
  <c r="K1343" i="91"/>
  <c r="H32" i="82"/>
  <c r="F28" i="82"/>
  <c r="J28" i="82"/>
  <c r="H24" i="82"/>
  <c r="F20" i="82"/>
  <c r="J20" i="82"/>
  <c r="H16" i="82"/>
  <c r="F12" i="82"/>
  <c r="J12" i="82"/>
  <c r="AP75" i="80"/>
  <c r="AP19" i="80"/>
  <c r="Y1257" i="91"/>
  <c r="AP71" i="81"/>
  <c r="Y1195" i="91"/>
  <c r="AP19" i="81"/>
  <c r="AI75" i="80"/>
  <c r="AI19" i="80"/>
  <c r="AE75" i="80"/>
  <c r="AE19" i="80"/>
  <c r="N1257" i="91"/>
  <c r="AI71" i="81"/>
  <c r="N1380" i="91"/>
  <c r="N1195" i="91"/>
  <c r="AI19" i="81"/>
  <c r="N1350" i="91"/>
  <c r="AL75" i="80"/>
  <c r="AL19" i="80"/>
  <c r="U1257" i="91"/>
  <c r="AL71" i="81"/>
  <c r="K1191" i="91"/>
  <c r="AE71" i="80"/>
  <c r="AE15" i="80"/>
  <c r="K1253" i="91"/>
  <c r="K1376" i="91"/>
  <c r="K1346" i="91"/>
  <c r="DK310" i="91"/>
  <c r="DK294" i="91"/>
  <c r="N1286" i="91"/>
  <c r="N1318" i="91"/>
  <c r="N1500" i="91"/>
  <c r="N1468" i="91"/>
  <c r="J76" i="71"/>
  <c r="R76" i="71"/>
  <c r="J69" i="83"/>
  <c r="J20" i="83"/>
  <c r="N1281" i="91"/>
  <c r="N1313" i="91"/>
  <c r="N1463" i="91"/>
  <c r="N1495" i="91"/>
  <c r="L75" i="71"/>
  <c r="T75" i="71"/>
  <c r="L68" i="83"/>
  <c r="L19" i="83"/>
  <c r="L74" i="71"/>
  <c r="T74" i="71"/>
  <c r="L67" i="83"/>
  <c r="L18" i="83"/>
  <c r="H70" i="71"/>
  <c r="P70" i="71"/>
  <c r="H63" i="83"/>
  <c r="H14" i="83"/>
  <c r="P1283" i="91"/>
  <c r="G15" i="63"/>
  <c r="A15" i="63"/>
  <c r="P1315" i="91"/>
  <c r="G15" i="72"/>
  <c r="A15" i="72"/>
  <c r="P1465" i="91"/>
  <c r="Q15" i="72"/>
  <c r="P1497" i="91"/>
  <c r="K15" i="63"/>
  <c r="L1283" i="91"/>
  <c r="L1315" i="91"/>
  <c r="L1465" i="91"/>
  <c r="L1497" i="91"/>
  <c r="K777" i="91"/>
  <c r="O777" i="91"/>
  <c r="H35" i="82"/>
  <c r="M35" i="82"/>
  <c r="F31" i="82"/>
  <c r="J31" i="82"/>
  <c r="H27" i="82"/>
  <c r="M27" i="82"/>
  <c r="F23" i="82"/>
  <c r="J23" i="82"/>
  <c r="H19" i="82"/>
  <c r="F15" i="82"/>
  <c r="J15" i="82"/>
  <c r="H11" i="82"/>
  <c r="M715" i="91"/>
  <c r="AO76" i="80"/>
  <c r="AO20" i="80"/>
  <c r="X1196" i="91"/>
  <c r="AO20" i="81"/>
  <c r="X1258" i="91"/>
  <c r="AO72" i="81"/>
  <c r="AH76" i="80"/>
  <c r="M1381" i="91"/>
  <c r="M1196" i="91"/>
  <c r="AH20" i="81"/>
  <c r="M1258" i="91"/>
  <c r="M1351" i="91"/>
  <c r="L1196" i="91"/>
  <c r="AG20" i="81"/>
  <c r="AG76" i="80"/>
  <c r="AG20" i="80"/>
  <c r="L1258" i="91"/>
  <c r="AG72" i="81"/>
  <c r="L1351" i="91"/>
  <c r="L1381" i="91"/>
  <c r="AM72" i="80"/>
  <c r="AM16" i="80"/>
  <c r="M68" i="81"/>
  <c r="V1254" i="91"/>
  <c r="AM68" i="81"/>
  <c r="V1192" i="91"/>
  <c r="AM16" i="81"/>
  <c r="AJ72" i="80"/>
  <c r="AJ16" i="80"/>
  <c r="T663" i="91"/>
  <c r="U1192" i="91"/>
  <c r="AL16" i="81"/>
  <c r="I1192" i="91"/>
  <c r="AF16" i="81"/>
  <c r="O1192" i="91"/>
  <c r="AJ16" i="81"/>
  <c r="O1254" i="91"/>
  <c r="AJ68" i="81"/>
  <c r="O1377" i="91"/>
  <c r="K51" i="72"/>
  <c r="H1192" i="91"/>
  <c r="AE16" i="81"/>
  <c r="O1347" i="91"/>
  <c r="I51" i="72"/>
  <c r="AO68" i="80"/>
  <c r="AO12" i="80"/>
  <c r="X1188" i="91"/>
  <c r="X1250" i="91"/>
  <c r="X684" i="91"/>
  <c r="M684" i="91"/>
  <c r="AH68" i="80"/>
  <c r="M1373" i="91"/>
  <c r="M1343" i="91"/>
  <c r="M1188" i="91"/>
  <c r="M1250" i="91"/>
  <c r="R684" i="91"/>
  <c r="AG68" i="80"/>
  <c r="AG12" i="80"/>
  <c r="L1188" i="91"/>
  <c r="L684" i="91"/>
  <c r="L1343" i="91"/>
  <c r="L1250" i="91"/>
  <c r="L1373" i="91"/>
  <c r="I32" i="82"/>
  <c r="G28" i="82"/>
  <c r="K28" i="82"/>
  <c r="I24" i="82"/>
  <c r="G20" i="82"/>
  <c r="K20" i="82"/>
  <c r="I16" i="82"/>
  <c r="G12" i="82"/>
  <c r="K12" i="82"/>
  <c r="M71" i="81"/>
  <c r="AM75" i="80"/>
  <c r="AM19" i="80"/>
  <c r="V1195" i="91"/>
  <c r="AM19" i="81"/>
  <c r="V1257" i="91"/>
  <c r="AM71" i="81"/>
  <c r="O1195" i="91"/>
  <c r="AJ19" i="81"/>
  <c r="AJ75" i="80"/>
  <c r="AJ19" i="80"/>
  <c r="T666" i="91"/>
  <c r="U1195" i="91"/>
  <c r="AL19" i="81"/>
  <c r="O1257" i="91"/>
  <c r="AJ71" i="81"/>
  <c r="H1195" i="91"/>
  <c r="AE19" i="81"/>
  <c r="O1380" i="91"/>
  <c r="K54" i="72"/>
  <c r="I1195" i="91"/>
  <c r="AF19" i="81"/>
  <c r="O1350" i="91"/>
  <c r="I54" i="72"/>
  <c r="AI71" i="80"/>
  <c r="AI15" i="80"/>
  <c r="N1253" i="91"/>
  <c r="AI67" i="81"/>
  <c r="N1376" i="91"/>
  <c r="N1346" i="91"/>
  <c r="N1191" i="91"/>
  <c r="AI15" i="81"/>
  <c r="DK306" i="91"/>
  <c r="DK290" i="91"/>
  <c r="N1290" i="91"/>
  <c r="N1322" i="91"/>
  <c r="N1504" i="91"/>
  <c r="N1472" i="91"/>
  <c r="J69" i="71"/>
  <c r="R69" i="71"/>
  <c r="J62" i="83"/>
  <c r="J13" i="83"/>
  <c r="N1285" i="91"/>
  <c r="N1317" i="91"/>
  <c r="N1499" i="91"/>
  <c r="N1467" i="91"/>
  <c r="AG75" i="80"/>
  <c r="AG19" i="80"/>
  <c r="L1195" i="91"/>
  <c r="AG19" i="81"/>
  <c r="L1350" i="91"/>
  <c r="L1257" i="91"/>
  <c r="AG71" i="81"/>
  <c r="L1380" i="91"/>
  <c r="AM71" i="80"/>
  <c r="AM15" i="80"/>
  <c r="M67" i="81"/>
  <c r="V1191" i="91"/>
  <c r="AM15" i="81"/>
  <c r="V1253" i="91"/>
  <c r="AM67" i="81"/>
  <c r="O1191" i="91"/>
  <c r="AJ15" i="81"/>
  <c r="AJ71" i="80"/>
  <c r="AJ15" i="80"/>
  <c r="T662" i="91"/>
  <c r="U1191" i="91"/>
  <c r="AL15" i="81"/>
  <c r="I1191" i="91"/>
  <c r="AF15" i="81"/>
  <c r="O1253" i="91"/>
  <c r="AJ67" i="81"/>
  <c r="O1376" i="91"/>
  <c r="K50" i="72"/>
  <c r="H1191" i="91"/>
  <c r="AE15" i="81"/>
  <c r="O1346" i="91"/>
  <c r="I50" i="72"/>
  <c r="DK307" i="91"/>
  <c r="DK303" i="91"/>
  <c r="DK299" i="91"/>
  <c r="DK295" i="91"/>
  <c r="DK291" i="91"/>
  <c r="DK287" i="91"/>
  <c r="I77" i="71"/>
  <c r="Q77" i="71"/>
  <c r="I70" i="83"/>
  <c r="I21" i="83"/>
  <c r="M77" i="71"/>
  <c r="U77" i="71"/>
  <c r="M70" i="83"/>
  <c r="M21" i="83"/>
  <c r="F70" i="83"/>
  <c r="F21" i="83"/>
  <c r="M1322" i="91"/>
  <c r="M1290" i="91"/>
  <c r="M1504" i="91"/>
  <c r="M1472" i="91"/>
  <c r="I73" i="71"/>
  <c r="Q73" i="71"/>
  <c r="I66" i="83"/>
  <c r="I17" i="83"/>
  <c r="M73" i="71"/>
  <c r="U73" i="71"/>
  <c r="M66" i="83"/>
  <c r="M17" i="83"/>
  <c r="F66" i="83"/>
  <c r="F17" i="83"/>
  <c r="M1318" i="91"/>
  <c r="M1286" i="91"/>
  <c r="M1468" i="91"/>
  <c r="M1500" i="91"/>
  <c r="I69" i="71"/>
  <c r="Q69" i="71"/>
  <c r="I62" i="83"/>
  <c r="I13" i="83"/>
  <c r="M69" i="71"/>
  <c r="U69" i="71"/>
  <c r="M62" i="83"/>
  <c r="M13" i="83"/>
  <c r="F62" i="83"/>
  <c r="F13" i="83"/>
  <c r="M1314" i="91"/>
  <c r="M1282" i="91"/>
  <c r="M1464" i="91"/>
  <c r="M1496" i="91"/>
  <c r="I69" i="83"/>
  <c r="I20" i="83"/>
  <c r="I76" i="71"/>
  <c r="Q76" i="71"/>
  <c r="M69" i="83"/>
  <c r="M20" i="83"/>
  <c r="M76" i="71"/>
  <c r="U76" i="71"/>
  <c r="F69" i="83"/>
  <c r="F20" i="83"/>
  <c r="M1321" i="91"/>
  <c r="M1289" i="91"/>
  <c r="M1471" i="91"/>
  <c r="M1503" i="91"/>
  <c r="I72" i="71"/>
  <c r="Q72" i="71"/>
  <c r="I65" i="83"/>
  <c r="I16" i="83"/>
  <c r="M72" i="71"/>
  <c r="U72" i="71"/>
  <c r="M65" i="83"/>
  <c r="M16" i="83"/>
  <c r="F65" i="83"/>
  <c r="F16" i="83"/>
  <c r="M1317" i="91"/>
  <c r="M1285" i="91"/>
  <c r="M1467" i="91"/>
  <c r="M1499" i="91"/>
  <c r="I68" i="71"/>
  <c r="Q68" i="71"/>
  <c r="I61" i="83"/>
  <c r="U808" i="91"/>
  <c r="M61" i="83"/>
  <c r="M68" i="71"/>
  <c r="U68" i="71"/>
  <c r="Y808" i="91"/>
  <c r="F61" i="83"/>
  <c r="M1313" i="91"/>
  <c r="M1281" i="91"/>
  <c r="M1463" i="91"/>
  <c r="M1495" i="91"/>
  <c r="L746" i="91"/>
  <c r="P746" i="91"/>
  <c r="I33" i="82"/>
  <c r="G29" i="82"/>
  <c r="K29" i="82"/>
  <c r="I25" i="82"/>
  <c r="G21" i="82"/>
  <c r="K21" i="82"/>
  <c r="I17" i="82"/>
  <c r="G13" i="82"/>
  <c r="K13" i="82"/>
  <c r="V1194" i="91"/>
  <c r="AM18" i="81"/>
  <c r="M70" i="81"/>
  <c r="AM74" i="80"/>
  <c r="AM18" i="80"/>
  <c r="V1256" i="91"/>
  <c r="AM70" i="81"/>
  <c r="AJ74" i="80"/>
  <c r="AJ18" i="80"/>
  <c r="I1194" i="91"/>
  <c r="AF18" i="81"/>
  <c r="T665" i="91"/>
  <c r="U1194" i="91"/>
  <c r="AL18" i="81"/>
  <c r="O1256" i="91"/>
  <c r="AJ70" i="81"/>
  <c r="H1194" i="91"/>
  <c r="AE18" i="81"/>
  <c r="O1194" i="91"/>
  <c r="AJ18" i="81"/>
  <c r="O1379" i="91"/>
  <c r="K53" i="72"/>
  <c r="O1349" i="91"/>
  <c r="I53" i="72"/>
  <c r="AO70" i="80"/>
  <c r="AO14" i="80"/>
  <c r="X1252" i="91"/>
  <c r="AO66" i="81"/>
  <c r="X1190" i="91"/>
  <c r="AO14" i="81"/>
  <c r="AH70" i="80"/>
  <c r="M1375" i="91"/>
  <c r="M1345" i="91"/>
  <c r="M1190" i="91"/>
  <c r="AH14" i="81"/>
  <c r="M1252" i="91"/>
  <c r="AG70" i="80"/>
  <c r="AG14" i="80"/>
  <c r="L1345" i="91"/>
  <c r="L1190" i="91"/>
  <c r="AG14" i="81"/>
  <c r="L1252" i="91"/>
  <c r="AG66" i="81"/>
  <c r="L1375" i="91"/>
  <c r="K71" i="71"/>
  <c r="S71" i="71"/>
  <c r="K64" i="83"/>
  <c r="K15" i="83"/>
  <c r="E64" i="83"/>
  <c r="K1284" i="91"/>
  <c r="K1316" i="91"/>
  <c r="K1466" i="91"/>
  <c r="K1498" i="91"/>
  <c r="G71" i="71"/>
  <c r="O71" i="71"/>
  <c r="G64" i="83"/>
  <c r="G15" i="83"/>
  <c r="T786" i="91"/>
  <c r="O1284" i="91"/>
  <c r="G50" i="63"/>
  <c r="A50" i="63"/>
  <c r="O1316" i="91"/>
  <c r="G50" i="72"/>
  <c r="A50" i="72"/>
  <c r="O1498" i="91"/>
  <c r="K50" i="63"/>
  <c r="O1466" i="91"/>
  <c r="Q50" i="72"/>
  <c r="I34" i="82"/>
  <c r="G30" i="82"/>
  <c r="K30" i="82"/>
  <c r="I26" i="82"/>
  <c r="G22" i="82"/>
  <c r="K22" i="82"/>
  <c r="I18" i="82"/>
  <c r="G14" i="82"/>
  <c r="K14" i="82"/>
  <c r="M73" i="81"/>
  <c r="AM77" i="80"/>
  <c r="AM21" i="80"/>
  <c r="V1197" i="91"/>
  <c r="AM21" i="81"/>
  <c r="V1259" i="91"/>
  <c r="AM73" i="81"/>
  <c r="T668" i="91"/>
  <c r="H1197" i="91"/>
  <c r="AE21" i="81"/>
  <c r="AJ77" i="80"/>
  <c r="AJ21" i="80"/>
  <c r="O1259" i="91"/>
  <c r="AJ73" i="81"/>
  <c r="I1197" i="91"/>
  <c r="AF21" i="81"/>
  <c r="O1197" i="91"/>
  <c r="AJ21" i="81"/>
  <c r="O1382" i="91"/>
  <c r="K56" i="72"/>
  <c r="O1352" i="91"/>
  <c r="I56" i="72"/>
  <c r="AO73" i="80"/>
  <c r="AO17" i="80"/>
  <c r="X1255" i="91"/>
  <c r="AO69" i="81"/>
  <c r="X1193" i="91"/>
  <c r="AO17" i="81"/>
  <c r="M1193" i="91"/>
  <c r="AH17" i="81"/>
  <c r="AH73" i="80"/>
  <c r="M1255" i="91"/>
  <c r="M1378" i="91"/>
  <c r="M1348" i="91"/>
  <c r="AG73" i="80"/>
  <c r="AG17" i="80"/>
  <c r="L1348" i="91"/>
  <c r="L1193" i="91"/>
  <c r="AG17" i="81"/>
  <c r="L1255" i="91"/>
  <c r="AG69" i="81"/>
  <c r="L1378" i="91"/>
  <c r="M65" i="81"/>
  <c r="AM69" i="80"/>
  <c r="AM13" i="80"/>
  <c r="V1189" i="91"/>
  <c r="AM13" i="81"/>
  <c r="V1251" i="91"/>
  <c r="AM65" i="81"/>
  <c r="H1189" i="91"/>
  <c r="AE13" i="81"/>
  <c r="AJ69" i="80"/>
  <c r="AJ13" i="80"/>
  <c r="T660" i="91"/>
  <c r="I1189" i="91"/>
  <c r="AF13" i="81"/>
  <c r="O1189" i="91"/>
  <c r="AJ13" i="81"/>
  <c r="O1374" i="91"/>
  <c r="K48" i="72"/>
  <c r="O1251" i="91"/>
  <c r="AJ65" i="81"/>
  <c r="O1344" i="91"/>
  <c r="I48" i="72"/>
  <c r="M746" i="91"/>
  <c r="F33" i="82"/>
  <c r="J33" i="82"/>
  <c r="H29" i="82"/>
  <c r="F25" i="82"/>
  <c r="J25" i="82"/>
  <c r="H21" i="82"/>
  <c r="F17" i="82"/>
  <c r="J17" i="82"/>
  <c r="H13" i="82"/>
  <c r="AN74" i="80"/>
  <c r="AN18" i="80"/>
  <c r="W1256" i="91"/>
  <c r="AN70" i="81"/>
  <c r="W1194" i="91"/>
  <c r="AN18" i="81"/>
  <c r="AK74" i="80"/>
  <c r="AK18" i="80"/>
  <c r="P1349" i="91"/>
  <c r="I19" i="72"/>
  <c r="P1256" i="91"/>
  <c r="AK70" i="81"/>
  <c r="P1194" i="91"/>
  <c r="AK18" i="81"/>
  <c r="P1379" i="91"/>
  <c r="K19" i="72"/>
  <c r="AE74" i="80"/>
  <c r="AE18" i="80"/>
  <c r="K1256" i="91"/>
  <c r="K1379" i="91"/>
  <c r="K1194" i="91"/>
  <c r="K1349" i="91"/>
  <c r="AP70" i="80"/>
  <c r="AP14" i="80"/>
  <c r="Y1190" i="91"/>
  <c r="AP14" i="81"/>
  <c r="Y1252" i="91"/>
  <c r="AP66" i="81"/>
  <c r="AI70" i="80"/>
  <c r="AI14" i="80"/>
  <c r="N1190" i="91"/>
  <c r="AI14" i="81"/>
  <c r="N1252" i="91"/>
  <c r="AI66" i="81"/>
  <c r="N1375" i="91"/>
  <c r="N1345" i="91"/>
  <c r="AL70" i="80"/>
  <c r="AL14" i="80"/>
  <c r="U1252" i="91"/>
  <c r="AL66" i="81"/>
  <c r="H64" i="83"/>
  <c r="H15" i="83"/>
  <c r="H71" i="71"/>
  <c r="P71" i="71"/>
  <c r="P1284" i="91"/>
  <c r="G16" i="63"/>
  <c r="A16" i="63"/>
  <c r="P1316" i="91"/>
  <c r="G16" i="72"/>
  <c r="A16" i="72"/>
  <c r="P1466" i="91"/>
  <c r="Q16" i="72"/>
  <c r="P1498" i="91"/>
  <c r="K16" i="63"/>
  <c r="L64" i="83"/>
  <c r="L15" i="83"/>
  <c r="L71" i="71"/>
  <c r="T71" i="71"/>
  <c r="L1284" i="91"/>
  <c r="L1316" i="91"/>
  <c r="L1466" i="91"/>
  <c r="L1498" i="91"/>
  <c r="F34" i="82"/>
  <c r="J34" i="82"/>
  <c r="H30" i="82"/>
  <c r="F26" i="82"/>
  <c r="J26" i="82"/>
  <c r="H22" i="82"/>
  <c r="F18" i="82"/>
  <c r="J18" i="82"/>
  <c r="H14" i="82"/>
  <c r="AN77" i="80"/>
  <c r="AN21" i="80"/>
  <c r="W1197" i="91"/>
  <c r="AN21" i="81"/>
  <c r="W1259" i="91"/>
  <c r="AN73" i="81"/>
  <c r="AK77" i="80"/>
  <c r="AK21" i="80"/>
  <c r="P1352" i="91"/>
  <c r="I22" i="72"/>
  <c r="P1259" i="91"/>
  <c r="AK73" i="81"/>
  <c r="P1197" i="91"/>
  <c r="AK21" i="81"/>
  <c r="P1382" i="91"/>
  <c r="K22" i="72"/>
  <c r="AE77" i="80"/>
  <c r="AE21" i="80"/>
  <c r="K1259" i="91"/>
  <c r="K1382" i="91"/>
  <c r="K1197" i="91"/>
  <c r="K1352" i="91"/>
  <c r="Y1193" i="91"/>
  <c r="AP17" i="81"/>
  <c r="AP73" i="80"/>
  <c r="AP17" i="80"/>
  <c r="Y1255" i="91"/>
  <c r="AP69" i="81"/>
  <c r="AI73" i="80"/>
  <c r="AI17" i="80"/>
  <c r="N1255" i="91"/>
  <c r="AI69" i="81"/>
  <c r="N1378" i="91"/>
  <c r="N1193" i="91"/>
  <c r="AI17" i="81"/>
  <c r="N1348" i="91"/>
  <c r="AL73" i="80"/>
  <c r="AL17" i="80"/>
  <c r="U1255" i="91"/>
  <c r="AL69" i="81"/>
  <c r="AN69" i="80"/>
  <c r="AN13" i="80"/>
  <c r="W1251" i="91"/>
  <c r="AN65" i="81"/>
  <c r="W1189" i="91"/>
  <c r="AN13" i="81"/>
  <c r="AK69" i="80"/>
  <c r="AK13" i="80"/>
  <c r="P1251" i="91"/>
  <c r="AK65" i="81"/>
  <c r="P1344" i="91"/>
  <c r="I14" i="72"/>
  <c r="P1189" i="91"/>
  <c r="AK13" i="81"/>
  <c r="P1374" i="91"/>
  <c r="K14" i="72"/>
  <c r="AE69" i="80"/>
  <c r="AE13" i="80"/>
  <c r="K1189" i="91"/>
  <c r="K1374" i="91"/>
  <c r="K1251" i="91"/>
  <c r="K1344" i="91"/>
  <c r="AO71" i="80"/>
  <c r="AO15" i="80"/>
  <c r="X1253" i="91"/>
  <c r="AO67" i="81"/>
  <c r="X1191" i="91"/>
  <c r="AO15" i="81"/>
  <c r="AH71" i="80"/>
  <c r="M1253" i="91"/>
  <c r="M1376" i="91"/>
  <c r="M1346" i="91"/>
  <c r="M1191" i="91"/>
  <c r="AH15" i="81"/>
  <c r="AG71" i="80"/>
  <c r="AG15" i="80"/>
  <c r="L1346" i="91"/>
  <c r="L1191" i="91"/>
  <c r="AG15" i="81"/>
  <c r="L1253" i="91"/>
  <c r="AG67" i="81"/>
  <c r="L1376" i="91"/>
  <c r="DK309" i="91"/>
  <c r="DK305" i="91"/>
  <c r="DK301" i="91"/>
  <c r="DK297" i="91"/>
  <c r="DK293" i="91"/>
  <c r="DK289" i="91"/>
  <c r="DK285" i="91"/>
  <c r="K77" i="71"/>
  <c r="S77" i="71"/>
  <c r="K70" i="83"/>
  <c r="K21" i="83"/>
  <c r="E70" i="83"/>
  <c r="K1290" i="91"/>
  <c r="K1322" i="91"/>
  <c r="K1472" i="91"/>
  <c r="K1504" i="91"/>
  <c r="G77" i="71"/>
  <c r="O77" i="71"/>
  <c r="G70" i="83"/>
  <c r="G21" i="83"/>
  <c r="T792" i="91"/>
  <c r="O1290" i="91"/>
  <c r="G56" i="63"/>
  <c r="A56" i="63"/>
  <c r="O1322" i="91"/>
  <c r="G56" i="72"/>
  <c r="A56" i="72"/>
  <c r="O1472" i="91"/>
  <c r="Q56" i="72"/>
  <c r="O1504" i="91"/>
  <c r="K56" i="63"/>
  <c r="K73" i="71"/>
  <c r="S73" i="71"/>
  <c r="K66" i="83"/>
  <c r="K17" i="83"/>
  <c r="E66" i="83"/>
  <c r="K1286" i="91"/>
  <c r="K1318" i="91"/>
  <c r="K1468" i="91"/>
  <c r="K1500" i="91"/>
  <c r="G73" i="71"/>
  <c r="O73" i="71"/>
  <c r="G66" i="83"/>
  <c r="G17" i="83"/>
  <c r="T788" i="91"/>
  <c r="O1286" i="91"/>
  <c r="G52" i="63"/>
  <c r="A52" i="63"/>
  <c r="O1318" i="91"/>
  <c r="G52" i="72"/>
  <c r="A52" i="72"/>
  <c r="O1468" i="91"/>
  <c r="Q52" i="72"/>
  <c r="O1500" i="91"/>
  <c r="K52" i="63"/>
  <c r="K69" i="71"/>
  <c r="S69" i="71"/>
  <c r="K62" i="83"/>
  <c r="K13" i="83"/>
  <c r="E62" i="83"/>
  <c r="K1282" i="91"/>
  <c r="K1314" i="91"/>
  <c r="K1464" i="91"/>
  <c r="K1496" i="91"/>
  <c r="T784" i="91"/>
  <c r="G69" i="71"/>
  <c r="O69" i="71"/>
  <c r="G62" i="83"/>
  <c r="G13" i="83"/>
  <c r="O1282" i="91"/>
  <c r="G48" i="63"/>
  <c r="A48" i="63"/>
  <c r="O1314" i="91"/>
  <c r="G48" i="72"/>
  <c r="A48" i="72"/>
  <c r="O1464" i="91"/>
  <c r="Q48" i="72"/>
  <c r="O1496" i="91"/>
  <c r="K48" i="63"/>
  <c r="K69" i="83"/>
  <c r="K20" i="83"/>
  <c r="K76" i="71"/>
  <c r="S76" i="71"/>
  <c r="E69" i="83"/>
  <c r="K1289" i="91"/>
  <c r="K1321" i="91"/>
  <c r="K1471" i="91"/>
  <c r="K1503" i="91"/>
  <c r="G69" i="83"/>
  <c r="G20" i="83"/>
  <c r="T791" i="91"/>
  <c r="G76" i="71"/>
  <c r="O76" i="71"/>
  <c r="O1289" i="91"/>
  <c r="G55" i="63"/>
  <c r="A55" i="63"/>
  <c r="O1321" i="91"/>
  <c r="G55" i="72"/>
  <c r="A55" i="72"/>
  <c r="O1471" i="91"/>
  <c r="Q55" i="72"/>
  <c r="O1503" i="91"/>
  <c r="K55" i="63"/>
  <c r="K72" i="71"/>
  <c r="S72" i="71"/>
  <c r="K65" i="83"/>
  <c r="K16" i="83"/>
  <c r="E65" i="83"/>
  <c r="K1285" i="91"/>
  <c r="K1317" i="91"/>
  <c r="K1467" i="91"/>
  <c r="K1499" i="91"/>
  <c r="G72" i="71"/>
  <c r="O72" i="71"/>
  <c r="G65" i="83"/>
  <c r="G16" i="83"/>
  <c r="T787" i="91"/>
  <c r="O1285" i="91"/>
  <c r="G51" i="63"/>
  <c r="A51" i="63"/>
  <c r="O1317" i="91"/>
  <c r="G51" i="72"/>
  <c r="A51" i="72"/>
  <c r="O1467" i="91"/>
  <c r="Q51" i="72"/>
  <c r="O1499" i="91"/>
  <c r="K51" i="63"/>
  <c r="W808" i="91"/>
  <c r="K68" i="71"/>
  <c r="S68" i="71"/>
  <c r="K61" i="83"/>
  <c r="E61" i="83"/>
  <c r="K1281" i="91"/>
  <c r="K1313" i="91"/>
  <c r="K1463" i="91"/>
  <c r="K1495" i="91"/>
  <c r="G68" i="71"/>
  <c r="O68" i="71"/>
  <c r="G61" i="83"/>
  <c r="T783" i="91"/>
  <c r="O1281" i="91"/>
  <c r="O1313" i="91"/>
  <c r="O1495" i="91"/>
  <c r="K47" i="63"/>
  <c r="O1463" i="91"/>
  <c r="N746" i="91"/>
  <c r="G33" i="82"/>
  <c r="K33" i="82"/>
  <c r="I29" i="82"/>
  <c r="G25" i="82"/>
  <c r="K25" i="82"/>
  <c r="I21" i="82"/>
  <c r="G17" i="82"/>
  <c r="K17" i="82"/>
  <c r="I13" i="82"/>
  <c r="AO74" i="80"/>
  <c r="AO18" i="80"/>
  <c r="X1256" i="91"/>
  <c r="AO70" i="81"/>
  <c r="X1194" i="91"/>
  <c r="AO18" i="81"/>
  <c r="AH74" i="80"/>
  <c r="M1379" i="91"/>
  <c r="M1194" i="91"/>
  <c r="AH18" i="81"/>
  <c r="M1349" i="91"/>
  <c r="M1256" i="91"/>
  <c r="AG74" i="80"/>
  <c r="AG18" i="80"/>
  <c r="L1194" i="91"/>
  <c r="AG18" i="81"/>
  <c r="L1349" i="91"/>
  <c r="L1256" i="91"/>
  <c r="AG70" i="81"/>
  <c r="L1379" i="91"/>
  <c r="V1190" i="91"/>
  <c r="AM14" i="81"/>
  <c r="M66" i="81"/>
  <c r="AM70" i="80"/>
  <c r="AM14" i="80"/>
  <c r="V1252" i="91"/>
  <c r="AM66" i="81"/>
  <c r="I1190" i="91"/>
  <c r="AF14" i="81"/>
  <c r="AJ70" i="80"/>
  <c r="AJ14" i="80"/>
  <c r="T661" i="91"/>
  <c r="U1190" i="91"/>
  <c r="AL14" i="81"/>
  <c r="O1252" i="91"/>
  <c r="AJ66" i="81"/>
  <c r="O1375" i="91"/>
  <c r="K49" i="72"/>
  <c r="H1190" i="91"/>
  <c r="AE14" i="81"/>
  <c r="O1190" i="91"/>
  <c r="AJ14" i="81"/>
  <c r="O1345" i="91"/>
  <c r="I49" i="72"/>
  <c r="I71" i="71"/>
  <c r="Q71" i="71"/>
  <c r="I64" i="83"/>
  <c r="I15" i="83"/>
  <c r="M71" i="71"/>
  <c r="U71" i="71"/>
  <c r="M64" i="83"/>
  <c r="M15" i="83"/>
  <c r="F64" i="83"/>
  <c r="F15" i="83"/>
  <c r="M1316" i="91"/>
  <c r="M1284" i="91"/>
  <c r="M1466" i="91"/>
  <c r="M1498" i="91"/>
  <c r="G34" i="82"/>
  <c r="K34" i="82"/>
  <c r="I30" i="82"/>
  <c r="G26" i="82"/>
  <c r="K26" i="82"/>
  <c r="I22" i="82"/>
  <c r="G18" i="82"/>
  <c r="K18" i="82"/>
  <c r="I14" i="82"/>
  <c r="AO77" i="80"/>
  <c r="AO21" i="80"/>
  <c r="X1197" i="91"/>
  <c r="AO21" i="81"/>
  <c r="X1259" i="91"/>
  <c r="AO73" i="81"/>
  <c r="M1197" i="91"/>
  <c r="AH21" i="81"/>
  <c r="AH77" i="80"/>
  <c r="M1382" i="91"/>
  <c r="M1352" i="91"/>
  <c r="M1259" i="91"/>
  <c r="AG77" i="80"/>
  <c r="AG21" i="80"/>
  <c r="L1197" i="91"/>
  <c r="AG21" i="81"/>
  <c r="L1352" i="91"/>
  <c r="L1259" i="91"/>
  <c r="AG73" i="81"/>
  <c r="L1382" i="91"/>
  <c r="M69" i="81"/>
  <c r="AM73" i="80"/>
  <c r="AM17" i="80"/>
  <c r="V1193" i="91"/>
  <c r="AM17" i="81"/>
  <c r="V1255" i="91"/>
  <c r="AM69" i="81"/>
  <c r="AJ73" i="80"/>
  <c r="AJ17" i="80"/>
  <c r="H1193" i="91"/>
  <c r="AE17" i="81"/>
  <c r="T664" i="91"/>
  <c r="U1193" i="91"/>
  <c r="AL17" i="81"/>
  <c r="O1255" i="91"/>
  <c r="AJ69" i="81"/>
  <c r="O1378" i="91"/>
  <c r="K52" i="72"/>
  <c r="I1193" i="91"/>
  <c r="AF17" i="81"/>
  <c r="O1193" i="91"/>
  <c r="AJ17" i="81"/>
  <c r="O1348" i="91"/>
  <c r="I52" i="72"/>
  <c r="AO69" i="80"/>
  <c r="AO13" i="80"/>
  <c r="X1189" i="91"/>
  <c r="AO13" i="81"/>
  <c r="X1251" i="91"/>
  <c r="AO65" i="81"/>
  <c r="M1189" i="91"/>
  <c r="AH13" i="81"/>
  <c r="AH69" i="80"/>
  <c r="M1374" i="91"/>
  <c r="M1251" i="91"/>
  <c r="M1344" i="91"/>
  <c r="AG69" i="80"/>
  <c r="AG13" i="80"/>
  <c r="L1251" i="91"/>
  <c r="AG65" i="81"/>
  <c r="L1344" i="91"/>
  <c r="L1189" i="91"/>
  <c r="AG13" i="81"/>
  <c r="L1374" i="91"/>
  <c r="DK308" i="91"/>
  <c r="DK304" i="91"/>
  <c r="DK300" i="91"/>
  <c r="DK296" i="91"/>
  <c r="DK292" i="91"/>
  <c r="DK288" i="91"/>
  <c r="H77" i="71"/>
  <c r="P77" i="71"/>
  <c r="H70" i="83"/>
  <c r="H21" i="83"/>
  <c r="P1290" i="91"/>
  <c r="G22" i="63"/>
  <c r="A22" i="63"/>
  <c r="P1322" i="91"/>
  <c r="G22" i="72"/>
  <c r="A22" i="72"/>
  <c r="P1504" i="91"/>
  <c r="K22" i="63"/>
  <c r="P1472" i="91"/>
  <c r="Q22" i="72"/>
  <c r="L77" i="71"/>
  <c r="T77" i="71"/>
  <c r="L70" i="83"/>
  <c r="L21" i="83"/>
  <c r="L1290" i="91"/>
  <c r="L1322" i="91"/>
  <c r="L1472" i="91"/>
  <c r="L1504" i="91"/>
  <c r="H66" i="83"/>
  <c r="H17" i="83"/>
  <c r="H73" i="71"/>
  <c r="P73" i="71"/>
  <c r="P1286" i="91"/>
  <c r="G18" i="63"/>
  <c r="A18" i="63"/>
  <c r="P1318" i="91"/>
  <c r="G18" i="72"/>
  <c r="A18" i="72"/>
  <c r="P1500" i="91"/>
  <c r="K18" i="63"/>
  <c r="P1468" i="91"/>
  <c r="Q18" i="72"/>
  <c r="L66" i="83"/>
  <c r="L17" i="83"/>
  <c r="L73" i="71"/>
  <c r="T73" i="71"/>
  <c r="L1286" i="91"/>
  <c r="L1318" i="91"/>
  <c r="L1468" i="91"/>
  <c r="L1500" i="91"/>
  <c r="H69" i="71"/>
  <c r="P69" i="71"/>
  <c r="H62" i="83"/>
  <c r="H13" i="83"/>
  <c r="P1282" i="91"/>
  <c r="G14" i="63"/>
  <c r="A14" i="63"/>
  <c r="P1314" i="91"/>
  <c r="G14" i="72"/>
  <c r="A14" i="72"/>
  <c r="P1496" i="91"/>
  <c r="K14" i="63"/>
  <c r="P1464" i="91"/>
  <c r="Q14" i="72"/>
  <c r="L69" i="71"/>
  <c r="T69" i="71"/>
  <c r="L62" i="83"/>
  <c r="L13" i="83"/>
  <c r="L1282" i="91"/>
  <c r="L1314" i="91"/>
  <c r="L1496" i="91"/>
  <c r="L1464" i="91"/>
  <c r="H76" i="71"/>
  <c r="P76" i="71"/>
  <c r="H69" i="83"/>
  <c r="H20" i="83"/>
  <c r="P1289" i="91"/>
  <c r="G21" i="63"/>
  <c r="A21" i="63"/>
  <c r="P1321" i="91"/>
  <c r="G21" i="72"/>
  <c r="A21" i="72"/>
  <c r="P1503" i="91"/>
  <c r="K21" i="63"/>
  <c r="P1471" i="91"/>
  <c r="Q21" i="72"/>
  <c r="L76" i="71"/>
  <c r="T76" i="71"/>
  <c r="L69" i="83"/>
  <c r="L20" i="83"/>
  <c r="L1289" i="91"/>
  <c r="L1321" i="91"/>
  <c r="L1471" i="91"/>
  <c r="L1503" i="91"/>
  <c r="H72" i="71"/>
  <c r="P72" i="71"/>
  <c r="H65" i="83"/>
  <c r="H16" i="83"/>
  <c r="P1285" i="91"/>
  <c r="G17" i="63"/>
  <c r="A17" i="63"/>
  <c r="P1317" i="91"/>
  <c r="G17" i="72"/>
  <c r="A17" i="72"/>
  <c r="P1499" i="91"/>
  <c r="K17" i="63"/>
  <c r="P1467" i="91"/>
  <c r="Q17" i="72"/>
  <c r="L72" i="71"/>
  <c r="T72" i="71"/>
  <c r="L65" i="83"/>
  <c r="L16" i="83"/>
  <c r="L1285" i="91"/>
  <c r="L1317" i="91"/>
  <c r="L1499" i="91"/>
  <c r="L1467" i="91"/>
  <c r="H61" i="83"/>
  <c r="P808" i="91"/>
  <c r="H68" i="71"/>
  <c r="P68" i="71"/>
  <c r="P1281" i="91"/>
  <c r="P1313" i="91"/>
  <c r="P1463" i="91"/>
  <c r="P1495" i="91"/>
  <c r="L68" i="71"/>
  <c r="T68" i="71"/>
  <c r="L61" i="83"/>
  <c r="X808" i="91"/>
  <c r="L808" i="91"/>
  <c r="L1281" i="91"/>
  <c r="L1313" i="91"/>
  <c r="L1463" i="91"/>
  <c r="L1495" i="91"/>
  <c r="K746" i="91"/>
  <c r="O746" i="91"/>
  <c r="H33" i="82"/>
  <c r="M33" i="82"/>
  <c r="F29" i="82"/>
  <c r="J29" i="82"/>
  <c r="H25" i="82"/>
  <c r="F21" i="82"/>
  <c r="J21" i="82"/>
  <c r="H17" i="82"/>
  <c r="F13" i="82"/>
  <c r="J13" i="82"/>
  <c r="AP74" i="80"/>
  <c r="AP18" i="80"/>
  <c r="Y1256" i="91"/>
  <c r="AP70" i="81"/>
  <c r="Y1194" i="91"/>
  <c r="AP18" i="81"/>
  <c r="N1194" i="91"/>
  <c r="AI18" i="81"/>
  <c r="AI74" i="80"/>
  <c r="AI18" i="80"/>
  <c r="N1379" i="91"/>
  <c r="N1349" i="91"/>
  <c r="N1256" i="91"/>
  <c r="AI70" i="81"/>
  <c r="AL74" i="80"/>
  <c r="AL18" i="80"/>
  <c r="U1256" i="91"/>
  <c r="AL70" i="81"/>
  <c r="AN70" i="80"/>
  <c r="AN14" i="80"/>
  <c r="W1252" i="91"/>
  <c r="AN66" i="81"/>
  <c r="W1190" i="91"/>
  <c r="AN14" i="81"/>
  <c r="AK70" i="80"/>
  <c r="AK14" i="80"/>
  <c r="P1190" i="91"/>
  <c r="AK14" i="81"/>
  <c r="P1345" i="91"/>
  <c r="I15" i="72"/>
  <c r="P1252" i="91"/>
  <c r="AK66" i="81"/>
  <c r="P1375" i="91"/>
  <c r="K15" i="72"/>
  <c r="AE70" i="80"/>
  <c r="AE14" i="80"/>
  <c r="K1190" i="91"/>
  <c r="K1252" i="91"/>
  <c r="K1375" i="91"/>
  <c r="K1345" i="91"/>
  <c r="J64" i="83"/>
  <c r="J15" i="83"/>
  <c r="J71" i="71"/>
  <c r="R71" i="71"/>
  <c r="N1284" i="91"/>
  <c r="N1316" i="91"/>
  <c r="N1498" i="91"/>
  <c r="N1466" i="91"/>
  <c r="H34" i="82"/>
  <c r="M34" i="82"/>
  <c r="F30" i="82"/>
  <c r="J30" i="82"/>
  <c r="H26" i="82"/>
  <c r="F22" i="82"/>
  <c r="J22" i="82"/>
  <c r="H18" i="82"/>
  <c r="M18" i="82"/>
  <c r="F14" i="82"/>
  <c r="J14" i="82"/>
  <c r="AP77" i="80"/>
  <c r="AP21" i="80"/>
  <c r="Y1197" i="91"/>
  <c r="AP21" i="81"/>
  <c r="Y1259" i="91"/>
  <c r="AP73" i="81"/>
  <c r="AI77" i="80"/>
  <c r="AI21" i="80"/>
  <c r="N1259" i="91"/>
  <c r="AI73" i="81"/>
  <c r="N1197" i="91"/>
  <c r="AI21" i="81"/>
  <c r="N1382" i="91"/>
  <c r="N1352" i="91"/>
  <c r="U1197" i="91"/>
  <c r="AL21" i="81"/>
  <c r="AL77" i="80"/>
  <c r="AL21" i="80"/>
  <c r="U1259" i="91"/>
  <c r="AL73" i="81"/>
  <c r="AN73" i="80"/>
  <c r="AN17" i="80"/>
  <c r="W1193" i="91"/>
  <c r="AN17" i="81"/>
  <c r="W1255" i="91"/>
  <c r="AN69" i="81"/>
  <c r="AK73" i="80"/>
  <c r="AK17" i="80"/>
  <c r="P1193" i="91"/>
  <c r="AK17" i="81"/>
  <c r="P1348" i="91"/>
  <c r="I18" i="72"/>
  <c r="P1255" i="91"/>
  <c r="AK69" i="81"/>
  <c r="P1378" i="91"/>
  <c r="K18" i="72"/>
  <c r="AE73" i="80"/>
  <c r="AE17" i="80"/>
  <c r="K1193" i="91"/>
  <c r="K1255" i="91"/>
  <c r="K1378" i="91"/>
  <c r="K1348" i="91"/>
  <c r="Y1189" i="91"/>
  <c r="AP13" i="81"/>
  <c r="AP69" i="80"/>
  <c r="AP13" i="80"/>
  <c r="Y1251" i="91"/>
  <c r="AP65" i="81"/>
  <c r="AI69" i="80"/>
  <c r="AI13" i="80"/>
  <c r="N1374" i="91"/>
  <c r="N1251" i="91"/>
  <c r="AI65" i="81"/>
  <c r="N1344" i="91"/>
  <c r="N1189" i="91"/>
  <c r="AI13" i="81"/>
  <c r="AL69" i="80"/>
  <c r="AL13" i="80"/>
  <c r="U1189" i="91"/>
  <c r="AL13" i="81"/>
  <c r="U1251" i="91"/>
  <c r="AL65" i="81"/>
  <c r="W839" i="91"/>
  <c r="V839" i="91"/>
  <c r="J872" i="91"/>
  <c r="J934" i="91"/>
  <c r="L1058" i="91"/>
  <c r="N1120" i="91"/>
  <c r="N1027" i="91"/>
  <c r="O1058" i="91"/>
  <c r="N62" i="82"/>
  <c r="N72" i="41"/>
  <c r="N80" i="41"/>
  <c r="N173" i="41"/>
  <c r="N181" i="41"/>
  <c r="P1058" i="91"/>
  <c r="J839" i="91"/>
  <c r="K1058" i="91"/>
  <c r="K1120" i="91"/>
  <c r="U839" i="91"/>
  <c r="N1058" i="91"/>
  <c r="L1120" i="91"/>
  <c r="Y839" i="91"/>
  <c r="S1269" i="91"/>
  <c r="R1267" i="91"/>
  <c r="AE78" i="81"/>
  <c r="AF76" i="81"/>
  <c r="O1244" i="91"/>
  <c r="S1239" i="91"/>
  <c r="R79" i="81"/>
  <c r="S1233" i="91"/>
  <c r="R71" i="81"/>
  <c r="S65" i="81"/>
  <c r="S94" i="81"/>
  <c r="L1306" i="91"/>
  <c r="R1263" i="91"/>
  <c r="AE74" i="81"/>
  <c r="AE86" i="81"/>
  <c r="AF84" i="81"/>
  <c r="S1261" i="91"/>
  <c r="R87" i="81"/>
  <c r="S85" i="81"/>
  <c r="R75" i="81"/>
  <c r="R67" i="81"/>
  <c r="S1221" i="91"/>
  <c r="S1219" i="91"/>
  <c r="R32" i="81"/>
  <c r="H1182" i="91"/>
  <c r="S1273" i="91"/>
  <c r="R1271" i="91"/>
  <c r="AE82" i="81"/>
  <c r="AF80" i="81"/>
  <c r="U1244" i="91"/>
  <c r="S1243" i="91"/>
  <c r="R83" i="81"/>
  <c r="S81" i="81"/>
  <c r="S1231" i="91"/>
  <c r="S73" i="81"/>
  <c r="S1223" i="91"/>
  <c r="M1182" i="91"/>
  <c r="I1151" i="91"/>
  <c r="M65" i="82"/>
  <c r="Y40" i="80"/>
  <c r="J684" i="91"/>
  <c r="T653" i="91"/>
  <c r="AB41" i="80"/>
  <c r="S90" i="80"/>
  <c r="S34" i="80"/>
  <c r="K1182" i="91"/>
  <c r="M73" i="82"/>
  <c r="AC38" i="80"/>
  <c r="L91" i="81"/>
  <c r="N808" i="91"/>
  <c r="K808" i="91"/>
  <c r="AA39" i="80"/>
  <c r="S92" i="80"/>
  <c r="S36" i="80"/>
  <c r="A81" i="71"/>
  <c r="O808" i="91"/>
  <c r="M808" i="91"/>
  <c r="K1151" i="91"/>
  <c r="M34" i="41"/>
  <c r="M30" i="41"/>
  <c r="M26" i="41"/>
  <c r="M22" i="41"/>
  <c r="J808" i="91"/>
  <c r="A82" i="71"/>
  <c r="W81" i="71"/>
  <c r="R653" i="91"/>
  <c r="T797" i="91"/>
  <c r="K653" i="91"/>
  <c r="W653" i="91"/>
  <c r="A68" i="71"/>
  <c r="DM310" i="91"/>
  <c r="DM309" i="91"/>
  <c r="DM308" i="91"/>
  <c r="DM307" i="91"/>
  <c r="DM306" i="91"/>
  <c r="DM305" i="91"/>
  <c r="DM304" i="91"/>
  <c r="DM303" i="91"/>
  <c r="DM302" i="91"/>
  <c r="DM301" i="91"/>
  <c r="DM300" i="91"/>
  <c r="DM299" i="91"/>
  <c r="DM298" i="91"/>
  <c r="DM297" i="91"/>
  <c r="DM296" i="91"/>
  <c r="DM295" i="91"/>
  <c r="DM294" i="91"/>
  <c r="DM293" i="91"/>
  <c r="DM292" i="91"/>
  <c r="DM291" i="91"/>
  <c r="DM290" i="91"/>
  <c r="DM289" i="91"/>
  <c r="DM288" i="91"/>
  <c r="DM287" i="91"/>
  <c r="DM286" i="91"/>
  <c r="DM285" i="91"/>
  <c r="N1417" i="91"/>
  <c r="N1509" i="91"/>
  <c r="N1447" i="91"/>
  <c r="N1425" i="91"/>
  <c r="N1517" i="91"/>
  <c r="N1455" i="91"/>
  <c r="P78" i="83"/>
  <c r="P1450" i="91"/>
  <c r="O30" i="72"/>
  <c r="P1480" i="91"/>
  <c r="Q30" i="72"/>
  <c r="K1444" i="91"/>
  <c r="K1474" i="91"/>
  <c r="K1452" i="91"/>
  <c r="K1482" i="91"/>
  <c r="M66" i="82"/>
  <c r="M70" i="82"/>
  <c r="N73" i="41"/>
  <c r="M78" i="41"/>
  <c r="N81" i="41"/>
  <c r="M171" i="41"/>
  <c r="N174" i="41"/>
  <c r="M179" i="41"/>
  <c r="N182" i="41"/>
  <c r="L1444" i="91"/>
  <c r="L1474" i="91"/>
  <c r="P76" i="83"/>
  <c r="P27" i="83"/>
  <c r="P1448" i="91"/>
  <c r="O28" i="72"/>
  <c r="P1478" i="91"/>
  <c r="Q28" i="72"/>
  <c r="N1484" i="91"/>
  <c r="N1454" i="91"/>
  <c r="A39" i="71"/>
  <c r="A40" i="71"/>
  <c r="A41" i="71"/>
  <c r="A42" i="71"/>
  <c r="A43" i="71"/>
  <c r="A44" i="71"/>
  <c r="A45" i="71"/>
  <c r="A46" i="71"/>
  <c r="A47" i="71"/>
  <c r="A48" i="71"/>
  <c r="A49" i="71"/>
  <c r="A50" i="71"/>
  <c r="A51" i="71"/>
  <c r="A52" i="71"/>
  <c r="A53" i="71"/>
  <c r="A54" i="71"/>
  <c r="A55" i="71"/>
  <c r="A56" i="71"/>
  <c r="A57" i="71"/>
  <c r="A58" i="71"/>
  <c r="A59" i="71"/>
  <c r="A60" i="71"/>
  <c r="A61" i="71"/>
  <c r="A62" i="71"/>
  <c r="A63" i="71"/>
  <c r="M122" i="41"/>
  <c r="M126" i="41"/>
  <c r="M130" i="41"/>
  <c r="M134" i="41"/>
  <c r="O38" i="81"/>
  <c r="O39" i="81"/>
  <c r="O40" i="81"/>
  <c r="O41" i="81"/>
  <c r="O42" i="81"/>
  <c r="O43" i="81"/>
  <c r="N78" i="41"/>
  <c r="N171" i="41"/>
  <c r="N179" i="41"/>
  <c r="M23" i="41"/>
  <c r="M31" i="41"/>
  <c r="M21" i="41"/>
  <c r="M29" i="41"/>
  <c r="N66" i="41"/>
  <c r="M13" i="72"/>
  <c r="I13" i="63"/>
  <c r="P1428" i="91"/>
  <c r="L1520" i="91"/>
  <c r="P12" i="83"/>
  <c r="P1120" i="91"/>
  <c r="M58" i="82"/>
  <c r="O872" i="91"/>
  <c r="M872" i="91"/>
  <c r="K872" i="91"/>
  <c r="K87" i="41"/>
  <c r="K91" i="41"/>
  <c r="M112" i="41"/>
  <c r="M116" i="41"/>
  <c r="M20" i="72"/>
  <c r="I20" i="63"/>
  <c r="K137" i="41"/>
  <c r="K141" i="41"/>
  <c r="I139" i="41"/>
  <c r="G137" i="41"/>
  <c r="G141" i="41"/>
  <c r="M15" i="72"/>
  <c r="I15" i="63"/>
  <c r="M19" i="72"/>
  <c r="I19" i="63"/>
  <c r="N839" i="91"/>
  <c r="M67" i="41"/>
  <c r="M934" i="91"/>
  <c r="K934" i="91"/>
  <c r="K188" i="41"/>
  <c r="K192" i="41"/>
  <c r="I188" i="41"/>
  <c r="M16" i="41"/>
  <c r="N20" i="41"/>
  <c r="N1419" i="91"/>
  <c r="N1511" i="91"/>
  <c r="N1449" i="91"/>
  <c r="N1519" i="91"/>
  <c r="N1457" i="91"/>
  <c r="N1427" i="91"/>
  <c r="O71" i="83"/>
  <c r="O22" i="83"/>
  <c r="O1443" i="91"/>
  <c r="O57" i="72"/>
  <c r="O1473" i="91"/>
  <c r="Q57" i="72"/>
  <c r="O79" i="83"/>
  <c r="O1451" i="91"/>
  <c r="O65" i="72"/>
  <c r="O1481" i="91"/>
  <c r="Q65" i="72"/>
  <c r="P40" i="81"/>
  <c r="P39" i="81"/>
  <c r="P43" i="81"/>
  <c r="P38" i="81"/>
  <c r="P42" i="81"/>
  <c r="P41" i="81"/>
  <c r="O72" i="83"/>
  <c r="O23" i="83"/>
  <c r="O1444" i="91"/>
  <c r="O58" i="72"/>
  <c r="O1474" i="91"/>
  <c r="Q58" i="72"/>
  <c r="O80" i="83"/>
  <c r="O1452" i="91"/>
  <c r="O66" i="72"/>
  <c r="O1482" i="91"/>
  <c r="Q66" i="72"/>
  <c r="DN221" i="91"/>
  <c r="N64" i="82"/>
  <c r="N68" i="82"/>
  <c r="N76" i="82"/>
  <c r="N71" i="41"/>
  <c r="M76" i="41"/>
  <c r="N79" i="41"/>
  <c r="M84" i="41"/>
  <c r="N172" i="41"/>
  <c r="M177" i="41"/>
  <c r="N180" i="41"/>
  <c r="M185" i="41"/>
  <c r="P72" i="83"/>
  <c r="P23" i="83"/>
  <c r="P1444" i="91"/>
  <c r="O24" i="72"/>
  <c r="P1474" i="91"/>
  <c r="Q24" i="72"/>
  <c r="N1480" i="91"/>
  <c r="N1450" i="91"/>
  <c r="L1456" i="91"/>
  <c r="L1486" i="91"/>
  <c r="N39" i="81"/>
  <c r="N43" i="81"/>
  <c r="N38" i="81"/>
  <c r="N42" i="81"/>
  <c r="N41" i="81"/>
  <c r="N40" i="81"/>
  <c r="N25" i="41"/>
  <c r="N33" i="41"/>
  <c r="N117" i="41"/>
  <c r="M117" i="41"/>
  <c r="G11" i="41"/>
  <c r="K13" i="63"/>
  <c r="P1520" i="91"/>
  <c r="M51" i="72"/>
  <c r="I51" i="63"/>
  <c r="K1089" i="91"/>
  <c r="Q47" i="72"/>
  <c r="S88" i="83"/>
  <c r="S87" i="83"/>
  <c r="S12" i="83"/>
  <c r="J88" i="41"/>
  <c r="J92" i="41"/>
  <c r="H89" i="41"/>
  <c r="N61" i="41"/>
  <c r="F90" i="41"/>
  <c r="M14" i="41"/>
  <c r="N18" i="41"/>
  <c r="M50" i="72"/>
  <c r="I50" i="63"/>
  <c r="F137" i="41"/>
  <c r="F138" i="41"/>
  <c r="F139" i="41"/>
  <c r="F140" i="41"/>
  <c r="F141" i="41"/>
  <c r="F142" i="41"/>
  <c r="M119" i="41"/>
  <c r="I78" i="82"/>
  <c r="I82" i="82"/>
  <c r="G80" i="82"/>
  <c r="M118" i="41"/>
  <c r="H189" i="41"/>
  <c r="F187" i="41"/>
  <c r="F191" i="41"/>
  <c r="O934" i="91"/>
  <c r="N165" i="41"/>
  <c r="W40" i="80"/>
  <c r="Z16" i="39"/>
  <c r="W41" i="80"/>
  <c r="Y16" i="39"/>
  <c r="W38" i="80"/>
  <c r="AB16" i="39"/>
  <c r="W42" i="80"/>
  <c r="X16" i="39"/>
  <c r="W39" i="80"/>
  <c r="AA16" i="39"/>
  <c r="W43" i="80"/>
  <c r="W16" i="39"/>
  <c r="N1413" i="91"/>
  <c r="N1505" i="91"/>
  <c r="N1443" i="91"/>
  <c r="N1421" i="91"/>
  <c r="N1513" i="91"/>
  <c r="N1451" i="91"/>
  <c r="P74" i="83"/>
  <c r="P25" i="83"/>
  <c r="P1446" i="91"/>
  <c r="O26" i="72"/>
  <c r="P1476" i="91"/>
  <c r="Q26" i="72"/>
  <c r="P82" i="83"/>
  <c r="P1454" i="91"/>
  <c r="O34" i="72"/>
  <c r="P1484" i="91"/>
  <c r="Q34" i="72"/>
  <c r="K1448" i="91"/>
  <c r="K1478" i="91"/>
  <c r="K1456" i="91"/>
  <c r="K1486" i="91"/>
  <c r="M38" i="81"/>
  <c r="M42" i="81"/>
  <c r="M41" i="81"/>
  <c r="M40" i="81"/>
  <c r="M39" i="81"/>
  <c r="M43" i="81"/>
  <c r="M62" i="82"/>
  <c r="M74" i="82"/>
  <c r="M74" i="41"/>
  <c r="N77" i="41"/>
  <c r="M82" i="41"/>
  <c r="N85" i="41"/>
  <c r="M175" i="41"/>
  <c r="N178" i="41"/>
  <c r="M183" i="41"/>
  <c r="N1476" i="91"/>
  <c r="N1446" i="91"/>
  <c r="L1482" i="91"/>
  <c r="L1452" i="91"/>
  <c r="P84" i="83"/>
  <c r="P1456" i="91"/>
  <c r="O36" i="72"/>
  <c r="P1486" i="91"/>
  <c r="Q36" i="72"/>
  <c r="R93" i="81"/>
  <c r="R94" i="81"/>
  <c r="M124" i="41"/>
  <c r="M128" i="41"/>
  <c r="M132" i="41"/>
  <c r="K38" i="81"/>
  <c r="K39" i="81"/>
  <c r="K40" i="81"/>
  <c r="K41" i="81"/>
  <c r="K42" i="81"/>
  <c r="K43" i="81"/>
  <c r="N74" i="41"/>
  <c r="N82" i="41"/>
  <c r="N175" i="41"/>
  <c r="N183" i="41"/>
  <c r="N66" i="82"/>
  <c r="M27" i="41"/>
  <c r="M35" i="41"/>
  <c r="D812" i="91"/>
  <c r="N965" i="91"/>
  <c r="O13" i="72"/>
  <c r="O47" i="72"/>
  <c r="M17" i="72"/>
  <c r="I17" i="63"/>
  <c r="M21" i="72"/>
  <c r="I21" i="63"/>
  <c r="N1089" i="91"/>
  <c r="P1089" i="91"/>
  <c r="O1089" i="91"/>
  <c r="O1120" i="91"/>
  <c r="N58" i="82"/>
  <c r="N872" i="91"/>
  <c r="N112" i="41"/>
  <c r="N61" i="82"/>
  <c r="J137" i="41"/>
  <c r="J138" i="41"/>
  <c r="J139" i="41"/>
  <c r="J140" i="41"/>
  <c r="J141" i="41"/>
  <c r="J142" i="41"/>
  <c r="H137" i="41"/>
  <c r="H141" i="41"/>
  <c r="I49" i="63"/>
  <c r="I53" i="63"/>
  <c r="M53" i="72"/>
  <c r="O839" i="91"/>
  <c r="M839" i="91"/>
  <c r="K839" i="91"/>
  <c r="M56" i="82"/>
  <c r="N60" i="82"/>
  <c r="N67" i="41"/>
  <c r="J188" i="41"/>
  <c r="J192" i="41"/>
  <c r="I48" i="63"/>
  <c r="M18" i="72"/>
  <c r="I18" i="63"/>
  <c r="M52" i="72"/>
  <c r="I52" i="63"/>
  <c r="M56" i="72"/>
  <c r="I56" i="63"/>
  <c r="N1415" i="91"/>
  <c r="N1507" i="91"/>
  <c r="N1445" i="91"/>
  <c r="N1423" i="91"/>
  <c r="N1515" i="91"/>
  <c r="N1453" i="91"/>
  <c r="O75" i="83"/>
  <c r="O26" i="83"/>
  <c r="O1447" i="91"/>
  <c r="O61" i="72"/>
  <c r="O1477" i="91"/>
  <c r="Q61" i="72"/>
  <c r="O83" i="83"/>
  <c r="O1455" i="91"/>
  <c r="O69" i="72"/>
  <c r="O1485" i="91"/>
  <c r="Q69" i="72"/>
  <c r="L41" i="81"/>
  <c r="L40" i="81"/>
  <c r="L39" i="81"/>
  <c r="L43" i="81"/>
  <c r="L38" i="81"/>
  <c r="L42" i="81"/>
  <c r="S90" i="81"/>
  <c r="S95" i="81"/>
  <c r="O76" i="83"/>
  <c r="O27" i="83"/>
  <c r="O1448" i="91"/>
  <c r="O62" i="72"/>
  <c r="O1478" i="91"/>
  <c r="Q62" i="72"/>
  <c r="O84" i="83"/>
  <c r="O1456" i="91"/>
  <c r="O70" i="72"/>
  <c r="O1486" i="91"/>
  <c r="Q70" i="72"/>
  <c r="N72" i="82"/>
  <c r="M72" i="41"/>
  <c r="N75" i="41"/>
  <c r="M80" i="41"/>
  <c r="N83" i="41"/>
  <c r="M173" i="41"/>
  <c r="N176" i="41"/>
  <c r="M181" i="41"/>
  <c r="N184" i="41"/>
  <c r="L1478" i="91"/>
  <c r="L1448" i="91"/>
  <c r="L1458" i="91"/>
  <c r="P80" i="83"/>
  <c r="P1482" i="91"/>
  <c r="Q32" i="72"/>
  <c r="P1452" i="91"/>
  <c r="O32" i="72"/>
  <c r="J40" i="81"/>
  <c r="J39" i="81"/>
  <c r="J43" i="81"/>
  <c r="J38" i="81"/>
  <c r="J42" i="81"/>
  <c r="J41" i="81"/>
  <c r="N74" i="82"/>
  <c r="N76" i="41"/>
  <c r="N84" i="41"/>
  <c r="N177" i="41"/>
  <c r="N185" i="41"/>
  <c r="N70" i="82"/>
  <c r="M55" i="82"/>
  <c r="J11" i="41"/>
  <c r="O996" i="91"/>
  <c r="H11" i="41"/>
  <c r="F11" i="41"/>
  <c r="K996" i="91"/>
  <c r="M55" i="72"/>
  <c r="L1089" i="91"/>
  <c r="Q13" i="72"/>
  <c r="O12" i="83"/>
  <c r="R90" i="83"/>
  <c r="R92" i="83"/>
  <c r="R12" i="83"/>
  <c r="I89" i="41"/>
  <c r="G87" i="41"/>
  <c r="G91" i="41"/>
  <c r="M163" i="41"/>
  <c r="M16" i="72"/>
  <c r="I16" i="63"/>
  <c r="N903" i="91"/>
  <c r="H80" i="82"/>
  <c r="N52" i="82"/>
  <c r="F81" i="82"/>
  <c r="K79" i="82"/>
  <c r="K83" i="82"/>
  <c r="G189" i="41"/>
  <c r="N934" i="91"/>
  <c r="M14" i="72"/>
  <c r="I14" i="63"/>
  <c r="M22" i="72"/>
  <c r="I22" i="63"/>
  <c r="A1706" i="91"/>
  <c r="G1706" i="91"/>
  <c r="H1706" i="91"/>
  <c r="V1624" i="91"/>
  <c r="S1624" i="91"/>
  <c r="R1624" i="91"/>
  <c r="L1620" i="91"/>
  <c r="M1620" i="91"/>
  <c r="R1620" i="91"/>
  <c r="Q1706" i="91"/>
  <c r="J1706" i="91"/>
  <c r="V1706" i="91"/>
  <c r="P1624" i="91"/>
  <c r="Q1624" i="91"/>
  <c r="M1624" i="91"/>
  <c r="S1620" i="91"/>
  <c r="P1620" i="91"/>
  <c r="J1620" i="91"/>
  <c r="V1620" i="91"/>
  <c r="R1706" i="91"/>
  <c r="S1706" i="91"/>
  <c r="O1624" i="91"/>
  <c r="K1624" i="91"/>
  <c r="L1624" i="91"/>
  <c r="T1624" i="91"/>
  <c r="U1624" i="91"/>
  <c r="K1620" i="91"/>
  <c r="Q1620" i="91"/>
  <c r="N1620" i="91"/>
  <c r="K1706" i="91"/>
  <c r="N1624" i="91"/>
  <c r="J1624" i="91"/>
  <c r="O1620" i="91"/>
  <c r="T1620" i="91"/>
  <c r="U1620" i="91"/>
  <c r="L1706" i="91"/>
  <c r="P1706" i="91"/>
  <c r="T1706" i="91"/>
  <c r="M1706" i="91"/>
  <c r="U1706" i="91"/>
  <c r="N1706" i="91"/>
  <c r="O1706" i="91"/>
  <c r="DN279" i="91"/>
  <c r="DN261" i="91"/>
  <c r="DN276" i="91"/>
  <c r="DN247" i="91"/>
  <c r="DN254" i="91"/>
  <c r="DN227" i="91"/>
  <c r="DN267" i="91"/>
  <c r="DN262" i="91"/>
  <c r="DN265" i="91"/>
  <c r="DN275" i="91"/>
  <c r="DN234" i="91"/>
  <c r="DN241" i="91"/>
  <c r="DN233" i="91"/>
  <c r="DN242" i="91"/>
  <c r="DN235" i="91"/>
  <c r="DN263" i="91"/>
  <c r="DN277" i="91"/>
  <c r="DN274" i="91"/>
  <c r="DN273" i="91"/>
  <c r="DN259" i="91"/>
  <c r="DN248" i="91"/>
  <c r="DN269" i="91"/>
  <c r="DN237" i="91"/>
  <c r="DN225" i="91"/>
  <c r="DN228" i="91"/>
  <c r="DN226" i="91"/>
  <c r="DN229" i="91"/>
  <c r="DN266" i="91"/>
  <c r="DN223" i="91"/>
  <c r="DN231" i="91"/>
  <c r="DN238" i="91"/>
  <c r="DN244" i="91"/>
  <c r="DN245" i="91"/>
  <c r="DN268" i="91"/>
  <c r="DN255" i="91"/>
  <c r="DN230" i="91"/>
  <c r="DN224" i="91"/>
  <c r="DN256" i="91"/>
  <c r="DN258" i="91"/>
  <c r="DN240" i="91"/>
  <c r="DN257" i="91"/>
  <c r="DN260" i="91"/>
  <c r="DN264" i="91"/>
  <c r="DN243" i="91"/>
  <c r="DN246" i="91"/>
  <c r="DN232" i="91"/>
  <c r="DN236" i="91"/>
  <c r="DN270" i="91"/>
  <c r="DN272" i="91"/>
  <c r="DN239" i="91"/>
  <c r="DN278" i="91"/>
  <c r="DN271" i="91"/>
  <c r="P1488" i="91"/>
  <c r="K1368" i="91"/>
  <c r="K1213" i="91"/>
  <c r="N1488" i="91"/>
  <c r="N15" i="41"/>
  <c r="I140" i="41"/>
  <c r="G190" i="41"/>
  <c r="N164" i="41"/>
  <c r="K88" i="41"/>
  <c r="K138" i="41"/>
  <c r="K80" i="82"/>
  <c r="H138" i="41"/>
  <c r="N119" i="41"/>
  <c r="G81" i="82"/>
  <c r="G88" i="41"/>
  <c r="M53" i="82"/>
  <c r="M61" i="82"/>
  <c r="F188" i="41"/>
  <c r="M170" i="41"/>
  <c r="J89" i="41"/>
  <c r="N120" i="41"/>
  <c r="N14" i="41"/>
  <c r="L1428" i="91"/>
  <c r="I79" i="82"/>
  <c r="N115" i="41"/>
  <c r="M17" i="41"/>
  <c r="M52" i="82"/>
  <c r="I90" i="41"/>
  <c r="F78" i="82"/>
  <c r="I187" i="41"/>
  <c r="M60" i="82"/>
  <c r="G138" i="41"/>
  <c r="M161" i="41"/>
  <c r="M12" i="41"/>
  <c r="N63" i="41"/>
  <c r="N118" i="41"/>
  <c r="N16" i="41"/>
  <c r="S92" i="81"/>
  <c r="N1428" i="91"/>
  <c r="S93" i="81"/>
  <c r="S91" i="81"/>
  <c r="S40" i="80"/>
  <c r="R92" i="81"/>
  <c r="N23" i="82"/>
  <c r="M17" i="82"/>
  <c r="G192" i="41"/>
  <c r="G188" i="41"/>
  <c r="K82" i="82"/>
  <c r="K78" i="82"/>
  <c r="F80" i="82"/>
  <c r="H83" i="82"/>
  <c r="H79" i="82"/>
  <c r="J82" i="82"/>
  <c r="J78" i="82"/>
  <c r="I54" i="63"/>
  <c r="N167" i="41"/>
  <c r="G90" i="41"/>
  <c r="I92" i="41"/>
  <c r="I88" i="41"/>
  <c r="R88" i="83"/>
  <c r="R89" i="83"/>
  <c r="L1488" i="91"/>
  <c r="S42" i="80"/>
  <c r="J191" i="41"/>
  <c r="J187" i="41"/>
  <c r="N17" i="41"/>
  <c r="H140" i="41"/>
  <c r="M111" i="41"/>
  <c r="M57" i="82"/>
  <c r="R95" i="81"/>
  <c r="S39" i="80"/>
  <c r="F190" i="41"/>
  <c r="H192" i="41"/>
  <c r="H188" i="41"/>
  <c r="G83" i="82"/>
  <c r="G79" i="82"/>
  <c r="I81" i="82"/>
  <c r="N111" i="41"/>
  <c r="F89" i="41"/>
  <c r="H92" i="41"/>
  <c r="H88" i="41"/>
  <c r="J91" i="41"/>
  <c r="J87" i="41"/>
  <c r="S90" i="83"/>
  <c r="O1428" i="91"/>
  <c r="N996" i="91"/>
  <c r="M113" i="41"/>
  <c r="N12" i="41"/>
  <c r="I191" i="41"/>
  <c r="K191" i="41"/>
  <c r="K187" i="41"/>
  <c r="M63" i="41"/>
  <c r="G140" i="41"/>
  <c r="I142" i="41"/>
  <c r="I138" i="41"/>
  <c r="K140" i="41"/>
  <c r="K90" i="41"/>
  <c r="N54" i="82"/>
  <c r="O1520" i="91"/>
  <c r="N62" i="41"/>
  <c r="S41" i="80"/>
  <c r="L1338" i="91"/>
  <c r="K1306" i="91"/>
  <c r="M66" i="41"/>
  <c r="J996" i="91"/>
  <c r="N68" i="41"/>
  <c r="G187" i="41"/>
  <c r="F83" i="82"/>
  <c r="H82" i="82"/>
  <c r="H78" i="82"/>
  <c r="G89" i="41"/>
  <c r="M996" i="91"/>
  <c r="N1458" i="91"/>
  <c r="J190" i="41"/>
  <c r="N170" i="41"/>
  <c r="H139" i="41"/>
  <c r="N53" i="82"/>
  <c r="R91" i="81"/>
  <c r="K1458" i="91"/>
  <c r="S43" i="80"/>
  <c r="N161" i="41"/>
  <c r="F189" i="41"/>
  <c r="H191" i="41"/>
  <c r="H187" i="41"/>
  <c r="G82" i="82"/>
  <c r="G78" i="82"/>
  <c r="I80" i="82"/>
  <c r="M115" i="41"/>
  <c r="F92" i="41"/>
  <c r="F88" i="41"/>
  <c r="H91" i="41"/>
  <c r="H87" i="41"/>
  <c r="J90" i="41"/>
  <c r="S89" i="83"/>
  <c r="I47" i="63"/>
  <c r="I192" i="41"/>
  <c r="I189" i="41"/>
  <c r="K190" i="41"/>
  <c r="G139" i="41"/>
  <c r="I141" i="41"/>
  <c r="I137" i="41"/>
  <c r="K139" i="41"/>
  <c r="N57" i="82"/>
  <c r="K89" i="41"/>
  <c r="M1428" i="91"/>
  <c r="M69" i="41"/>
  <c r="J83" i="82"/>
  <c r="J79" i="82"/>
  <c r="G191" i="41"/>
  <c r="K81" i="82"/>
  <c r="F79" i="82"/>
  <c r="J81" i="82"/>
  <c r="I91" i="41"/>
  <c r="I87" i="41"/>
  <c r="R91" i="83"/>
  <c r="P996" i="91"/>
  <c r="F82" i="82"/>
  <c r="H81" i="82"/>
  <c r="J80" i="82"/>
  <c r="G92" i="41"/>
  <c r="R87" i="83"/>
  <c r="J189" i="41"/>
  <c r="H142" i="41"/>
  <c r="M120" i="41"/>
  <c r="R90" i="81"/>
  <c r="F192" i="41"/>
  <c r="H190" i="41"/>
  <c r="I83" i="82"/>
  <c r="F91" i="41"/>
  <c r="H90" i="41"/>
  <c r="M61" i="41"/>
  <c r="S91" i="83"/>
  <c r="S92" i="83"/>
  <c r="L996" i="91"/>
  <c r="I190" i="41"/>
  <c r="G142" i="41"/>
  <c r="K142" i="41"/>
  <c r="K92" i="41"/>
  <c r="T808" i="91"/>
  <c r="M164" i="41"/>
  <c r="M1458" i="91"/>
  <c r="N22" i="82"/>
  <c r="M25" i="82"/>
  <c r="M19" i="82"/>
  <c r="M26" i="82"/>
  <c r="N29" i="82"/>
  <c r="O89" i="83"/>
  <c r="S38" i="80"/>
  <c r="N30" i="82"/>
  <c r="N21" i="82"/>
  <c r="O91" i="83"/>
  <c r="O92" i="83"/>
  <c r="N70" i="41"/>
  <c r="O90" i="83"/>
  <c r="N168" i="41"/>
  <c r="S1244" i="91"/>
  <c r="N13" i="82"/>
  <c r="N13" i="41"/>
  <c r="U1678" i="91"/>
  <c r="T1678" i="91"/>
  <c r="O1678" i="91"/>
  <c r="J1682" i="91"/>
  <c r="N1682" i="91"/>
  <c r="N1678" i="91"/>
  <c r="Q1678" i="91"/>
  <c r="K1678" i="91"/>
  <c r="U1682" i="91"/>
  <c r="T1682" i="91"/>
  <c r="L1682" i="91"/>
  <c r="K1682" i="91"/>
  <c r="O1682" i="91"/>
  <c r="V1678" i="91"/>
  <c r="J1678" i="91"/>
  <c r="P1678" i="91"/>
  <c r="S1678" i="91"/>
  <c r="M1682" i="91"/>
  <c r="Q1682" i="91"/>
  <c r="P1682" i="91"/>
  <c r="R1678" i="91"/>
  <c r="M1678" i="91"/>
  <c r="L1678" i="91"/>
  <c r="R1682" i="91"/>
  <c r="S1682" i="91"/>
  <c r="V1682" i="91"/>
  <c r="O88" i="83"/>
  <c r="L87" i="83"/>
  <c r="L12" i="83"/>
  <c r="L91" i="83"/>
  <c r="L89" i="83"/>
  <c r="L92" i="83"/>
  <c r="L90" i="83"/>
  <c r="L88" i="83"/>
  <c r="G13" i="72"/>
  <c r="A13" i="72"/>
  <c r="P1338" i="91"/>
  <c r="H87" i="83"/>
  <c r="H12" i="83"/>
  <c r="H91" i="83"/>
  <c r="H89" i="83"/>
  <c r="H88" i="83"/>
  <c r="H90" i="83"/>
  <c r="H92" i="83"/>
  <c r="AH21" i="80"/>
  <c r="AF77" i="80"/>
  <c r="AF21" i="80"/>
  <c r="AH70" i="81"/>
  <c r="AF70" i="81"/>
  <c r="S1256" i="91"/>
  <c r="AF74" i="80"/>
  <c r="AF18" i="80"/>
  <c r="AH18" i="80"/>
  <c r="G47" i="72"/>
  <c r="A47" i="72"/>
  <c r="O1338" i="91"/>
  <c r="A65" i="83"/>
  <c r="E16" i="83"/>
  <c r="A16" i="83"/>
  <c r="E13" i="83"/>
  <c r="A13" i="83"/>
  <c r="A62" i="83"/>
  <c r="A70" i="83"/>
  <c r="E21" i="83"/>
  <c r="A21" i="83"/>
  <c r="R1251" i="91"/>
  <c r="AE65" i="81"/>
  <c r="M14" i="82"/>
  <c r="N34" i="82"/>
  <c r="M21" i="82"/>
  <c r="A64" i="83"/>
  <c r="E15" i="83"/>
  <c r="A15" i="83"/>
  <c r="AH66" i="81"/>
  <c r="AF66" i="81"/>
  <c r="S1252" i="91"/>
  <c r="AF70" i="80"/>
  <c r="AF14" i="80"/>
  <c r="AH14" i="80"/>
  <c r="M1488" i="91"/>
  <c r="I88" i="83"/>
  <c r="I91" i="83"/>
  <c r="I92" i="83"/>
  <c r="I87" i="83"/>
  <c r="I89" i="83"/>
  <c r="I12" i="83"/>
  <c r="I90" i="83"/>
  <c r="W69" i="71"/>
  <c r="X69" i="71"/>
  <c r="L1398" i="91"/>
  <c r="AG12" i="81"/>
  <c r="L1213" i="91"/>
  <c r="AH12" i="81"/>
  <c r="M1213" i="91"/>
  <c r="AO41" i="80"/>
  <c r="AO38" i="80"/>
  <c r="AO42" i="80"/>
  <c r="AO39" i="80"/>
  <c r="AO43" i="80"/>
  <c r="AO40" i="80"/>
  <c r="N1306" i="91"/>
  <c r="M16" i="82"/>
  <c r="K1398" i="91"/>
  <c r="AE40" i="80"/>
  <c r="AE41" i="80"/>
  <c r="AE38" i="80"/>
  <c r="AE42" i="80"/>
  <c r="AE39" i="80"/>
  <c r="AE43" i="80"/>
  <c r="AN12" i="81"/>
  <c r="W1213" i="91"/>
  <c r="E14" i="83"/>
  <c r="A14" i="83"/>
  <c r="A63" i="83"/>
  <c r="A68" i="83"/>
  <c r="E19" i="83"/>
  <c r="A19" i="83"/>
  <c r="I47" i="72"/>
  <c r="O1368" i="91"/>
  <c r="AF12" i="81"/>
  <c r="I1213" i="91"/>
  <c r="J41" i="82"/>
  <c r="J38" i="82"/>
  <c r="J37" i="82"/>
  <c r="J40" i="82"/>
  <c r="J39" i="82"/>
  <c r="J42" i="82"/>
  <c r="N27" i="82"/>
  <c r="J92" i="83"/>
  <c r="J87" i="83"/>
  <c r="J89" i="83"/>
  <c r="J91" i="83"/>
  <c r="J90" i="83"/>
  <c r="J88" i="83"/>
  <c r="J12" i="83"/>
  <c r="AE71" i="81"/>
  <c r="R1257" i="91"/>
  <c r="N16" i="82"/>
  <c r="M28" i="82"/>
  <c r="AL64" i="81"/>
  <c r="U1275" i="91"/>
  <c r="N1368" i="91"/>
  <c r="AI39" i="80"/>
  <c r="AI43" i="80"/>
  <c r="AI40" i="80"/>
  <c r="AI41" i="80"/>
  <c r="AI38" i="80"/>
  <c r="AI42" i="80"/>
  <c r="AP41" i="80"/>
  <c r="AP38" i="80"/>
  <c r="AP42" i="80"/>
  <c r="AP39" i="80"/>
  <c r="AP43" i="80"/>
  <c r="AP40" i="80"/>
  <c r="R1254" i="91"/>
  <c r="AE68" i="81"/>
  <c r="M168" i="41"/>
  <c r="M166" i="41"/>
  <c r="M68" i="41"/>
  <c r="N162" i="41"/>
  <c r="N169" i="41"/>
  <c r="N14" i="82"/>
  <c r="R1252" i="91"/>
  <c r="AE66" i="81"/>
  <c r="G13" i="63"/>
  <c r="A13" i="63"/>
  <c r="P1306" i="91"/>
  <c r="AH65" i="81"/>
  <c r="AF65" i="81"/>
  <c r="S1251" i="91"/>
  <c r="AH73" i="81"/>
  <c r="AF73" i="81"/>
  <c r="S1259" i="91"/>
  <c r="G47" i="63"/>
  <c r="A47" i="63"/>
  <c r="O1306" i="91"/>
  <c r="K1520" i="91"/>
  <c r="E89" i="83"/>
  <c r="E12" i="83"/>
  <c r="E88" i="83"/>
  <c r="E90" i="83"/>
  <c r="E92" i="83"/>
  <c r="E87" i="83"/>
  <c r="A61" i="83"/>
  <c r="E91" i="83"/>
  <c r="N26" i="82"/>
  <c r="M13" i="82"/>
  <c r="N33" i="82"/>
  <c r="M1306" i="91"/>
  <c r="X68" i="71"/>
  <c r="W68" i="71"/>
  <c r="X73" i="71"/>
  <c r="W73" i="71"/>
  <c r="M1338" i="91"/>
  <c r="AG64" i="81"/>
  <c r="L1275" i="91"/>
  <c r="AG38" i="80"/>
  <c r="AG42" i="80"/>
  <c r="AG39" i="80"/>
  <c r="AG43" i="80"/>
  <c r="AG40" i="80"/>
  <c r="AG41" i="80"/>
  <c r="M1368" i="91"/>
  <c r="N15" i="82"/>
  <c r="N28" i="82"/>
  <c r="K13" i="72"/>
  <c r="P1398" i="91"/>
  <c r="AK40" i="80"/>
  <c r="Z23" i="39"/>
  <c r="AK41" i="80"/>
  <c r="Y23" i="39"/>
  <c r="AK38" i="80"/>
  <c r="AB23" i="39"/>
  <c r="AK42" i="80"/>
  <c r="X23" i="39"/>
  <c r="AK39" i="80"/>
  <c r="AA23" i="39"/>
  <c r="AK43" i="80"/>
  <c r="W23" i="39"/>
  <c r="G40" i="82"/>
  <c r="G37" i="82"/>
  <c r="G41" i="82"/>
  <c r="G38" i="82"/>
  <c r="G42" i="82"/>
  <c r="G39" i="82"/>
  <c r="K47" i="72"/>
  <c r="O1398" i="91"/>
  <c r="AE12" i="81"/>
  <c r="H1213" i="91"/>
  <c r="AM12" i="81"/>
  <c r="V1213" i="91"/>
  <c r="AM38" i="80"/>
  <c r="AB25" i="39"/>
  <c r="AM39" i="80"/>
  <c r="AA25" i="39"/>
  <c r="AM43" i="80"/>
  <c r="W25" i="39"/>
  <c r="AM40" i="80"/>
  <c r="Z25" i="39"/>
  <c r="AM41" i="80"/>
  <c r="Y25" i="39"/>
  <c r="AM42" i="80"/>
  <c r="X25" i="39"/>
  <c r="N19" i="82"/>
  <c r="M31" i="82"/>
  <c r="M20" i="82"/>
  <c r="N1398" i="91"/>
  <c r="AP12" i="81"/>
  <c r="Y1213" i="91"/>
  <c r="I38" i="82"/>
  <c r="I42" i="82"/>
  <c r="I39" i="82"/>
  <c r="I40" i="82"/>
  <c r="I37" i="82"/>
  <c r="I41" i="82"/>
  <c r="M62" i="41"/>
  <c r="M54" i="82"/>
  <c r="M78" i="82"/>
  <c r="N163" i="41"/>
  <c r="M13" i="41"/>
  <c r="M15" i="41"/>
  <c r="N64" i="41"/>
  <c r="O87" i="83"/>
  <c r="R43" i="81"/>
  <c r="R41" i="81"/>
  <c r="R38" i="81"/>
  <c r="R40" i="81"/>
  <c r="R42" i="81"/>
  <c r="R39" i="81"/>
  <c r="R1255" i="91"/>
  <c r="AE69" i="81"/>
  <c r="W71" i="71"/>
  <c r="X71" i="71"/>
  <c r="K89" i="83"/>
  <c r="K91" i="83"/>
  <c r="K12" i="83"/>
  <c r="K88" i="83"/>
  <c r="K90" i="83"/>
  <c r="K92" i="83"/>
  <c r="K87" i="83"/>
  <c r="A69" i="83"/>
  <c r="E20" i="83"/>
  <c r="A20" i="83"/>
  <c r="A66" i="83"/>
  <c r="E17" i="83"/>
  <c r="A17" i="83"/>
  <c r="AH67" i="81"/>
  <c r="AF67" i="81"/>
  <c r="S1253" i="91"/>
  <c r="R1259" i="91"/>
  <c r="AE73" i="81"/>
  <c r="N18" i="82"/>
  <c r="M30" i="82"/>
  <c r="N25" i="82"/>
  <c r="AH69" i="81"/>
  <c r="AF69" i="81"/>
  <c r="S1255" i="91"/>
  <c r="M88" i="83"/>
  <c r="M87" i="83"/>
  <c r="M92" i="83"/>
  <c r="M91" i="83"/>
  <c r="M89" i="83"/>
  <c r="M12" i="83"/>
  <c r="M90" i="83"/>
  <c r="W72" i="71"/>
  <c r="X72" i="71"/>
  <c r="X76" i="71"/>
  <c r="W76" i="71"/>
  <c r="X77" i="71"/>
  <c r="W77" i="71"/>
  <c r="L1368" i="91"/>
  <c r="M1398" i="91"/>
  <c r="AO64" i="81"/>
  <c r="X1275" i="91"/>
  <c r="AF76" i="80"/>
  <c r="AF20" i="80"/>
  <c r="AH20" i="80"/>
  <c r="N20" i="82"/>
  <c r="M32" i="82"/>
  <c r="K1275" i="91"/>
  <c r="R1250" i="91"/>
  <c r="AE64" i="81"/>
  <c r="AK64" i="81"/>
  <c r="P1275" i="91"/>
  <c r="AK12" i="81"/>
  <c r="P1213" i="91"/>
  <c r="AN39" i="80"/>
  <c r="AA26" i="39"/>
  <c r="AN43" i="80"/>
  <c r="W26" i="39"/>
  <c r="AN40" i="80"/>
  <c r="Z26" i="39"/>
  <c r="AN41" i="80"/>
  <c r="Y26" i="39"/>
  <c r="AN38" i="80"/>
  <c r="AB26" i="39"/>
  <c r="AN42" i="80"/>
  <c r="X26" i="39"/>
  <c r="A67" i="83"/>
  <c r="E18" i="83"/>
  <c r="A18" i="83"/>
  <c r="AJ64" i="81"/>
  <c r="O1275" i="91"/>
  <c r="T684" i="91"/>
  <c r="AM64" i="81"/>
  <c r="V1275" i="91"/>
  <c r="F37" i="82"/>
  <c r="F40" i="82"/>
  <c r="F39" i="82"/>
  <c r="F42" i="82"/>
  <c r="F41" i="82"/>
  <c r="N11" i="82"/>
  <c r="F38" i="82"/>
  <c r="M23" i="82"/>
  <c r="M12" i="82"/>
  <c r="N32" i="82"/>
  <c r="AL41" i="80"/>
  <c r="Y24" i="39"/>
  <c r="AL38" i="80"/>
  <c r="AB24" i="39"/>
  <c r="AL42" i="80"/>
  <c r="X24" i="39"/>
  <c r="AL39" i="80"/>
  <c r="AA24" i="39"/>
  <c r="AL43" i="80"/>
  <c r="W24" i="39"/>
  <c r="AL40" i="80"/>
  <c r="Z24" i="39"/>
  <c r="AI64" i="81"/>
  <c r="N1275" i="91"/>
  <c r="AP64" i="81"/>
  <c r="Y1275" i="91"/>
  <c r="X70" i="71"/>
  <c r="W70" i="71"/>
  <c r="W74" i="71"/>
  <c r="X74" i="71"/>
  <c r="M70" i="41"/>
  <c r="K1428" i="91"/>
  <c r="N19" i="41"/>
  <c r="M65" i="41"/>
  <c r="M18" i="41"/>
  <c r="M162" i="41"/>
  <c r="N114" i="41"/>
  <c r="K1488" i="91"/>
  <c r="N1520" i="91"/>
  <c r="AF69" i="80"/>
  <c r="AF13" i="80"/>
  <c r="AH13" i="80"/>
  <c r="G92" i="83"/>
  <c r="G87" i="83"/>
  <c r="G89" i="83"/>
  <c r="G12" i="83"/>
  <c r="G91" i="83"/>
  <c r="G88" i="83"/>
  <c r="G90" i="83"/>
  <c r="K1338" i="91"/>
  <c r="AH15" i="80"/>
  <c r="AF71" i="80"/>
  <c r="AF15" i="80"/>
  <c r="M22" i="82"/>
  <c r="AE70" i="81"/>
  <c r="R1256" i="91"/>
  <c r="N17" i="82"/>
  <c r="M29" i="82"/>
  <c r="AF73" i="80"/>
  <c r="AF17" i="80"/>
  <c r="AH17" i="80"/>
  <c r="M1520" i="91"/>
  <c r="F90" i="83"/>
  <c r="F88" i="83"/>
  <c r="F12" i="83"/>
  <c r="F92" i="83"/>
  <c r="F87" i="83"/>
  <c r="F89" i="83"/>
  <c r="F91" i="83"/>
  <c r="AH64" i="81"/>
  <c r="S1250" i="91"/>
  <c r="M1275" i="91"/>
  <c r="AH12" i="80"/>
  <c r="AF68" i="80"/>
  <c r="AF12" i="80"/>
  <c r="AO12" i="81"/>
  <c r="X1213" i="91"/>
  <c r="AH72" i="81"/>
  <c r="AF72" i="81"/>
  <c r="S1258" i="91"/>
  <c r="M11" i="82"/>
  <c r="H40" i="82"/>
  <c r="H37" i="82"/>
  <c r="H41" i="82"/>
  <c r="H38" i="82"/>
  <c r="H42" i="82"/>
  <c r="H39" i="82"/>
  <c r="N31" i="82"/>
  <c r="N1338" i="91"/>
  <c r="R1253" i="91"/>
  <c r="AE67" i="81"/>
  <c r="N12" i="82"/>
  <c r="M24" i="82"/>
  <c r="I13" i="72"/>
  <c r="P1368" i="91"/>
  <c r="AN64" i="81"/>
  <c r="W1275" i="91"/>
  <c r="R1258" i="91"/>
  <c r="AE72" i="81"/>
  <c r="K40" i="82"/>
  <c r="K37" i="82"/>
  <c r="K41" i="82"/>
  <c r="K38" i="82"/>
  <c r="K42" i="82"/>
  <c r="K39" i="82"/>
  <c r="AH71" i="81"/>
  <c r="AF71" i="81"/>
  <c r="S1257" i="91"/>
  <c r="AH19" i="80"/>
  <c r="AF75" i="80"/>
  <c r="AF19" i="80"/>
  <c r="AJ12" i="81"/>
  <c r="O1213" i="91"/>
  <c r="AJ40" i="80"/>
  <c r="Z22" i="39"/>
  <c r="AJ41" i="80"/>
  <c r="Y22" i="39"/>
  <c r="AJ38" i="80"/>
  <c r="AB22" i="39"/>
  <c r="AJ42" i="80"/>
  <c r="X22" i="39"/>
  <c r="AJ39" i="80"/>
  <c r="AA22" i="39"/>
  <c r="AJ43" i="80"/>
  <c r="W22" i="39"/>
  <c r="M90" i="81"/>
  <c r="M92" i="81"/>
  <c r="M94" i="81"/>
  <c r="M91" i="81"/>
  <c r="M93" i="81"/>
  <c r="M95" i="81"/>
  <c r="AH68" i="81"/>
  <c r="AF68" i="81"/>
  <c r="S1254" i="91"/>
  <c r="AH16" i="80"/>
  <c r="AF72" i="80"/>
  <c r="AF16" i="80"/>
  <c r="M15" i="82"/>
  <c r="N35" i="82"/>
  <c r="N24" i="82"/>
  <c r="U1188" i="91"/>
  <c r="AI12" i="81"/>
  <c r="N1213" i="91"/>
  <c r="X75" i="71"/>
  <c r="W75" i="71"/>
  <c r="N65" i="41"/>
  <c r="N69" i="41"/>
  <c r="N166" i="41"/>
  <c r="M114" i="41"/>
  <c r="M139" i="41"/>
  <c r="M165" i="41"/>
  <c r="M20" i="41"/>
  <c r="DN310" i="91"/>
  <c r="DN309" i="91"/>
  <c r="DN308" i="91"/>
  <c r="DN307" i="91"/>
  <c r="DN306" i="91"/>
  <c r="DN305" i="91"/>
  <c r="DN304" i="91"/>
  <c r="DN303" i="91"/>
  <c r="DN302" i="91"/>
  <c r="DN301" i="91"/>
  <c r="DN300" i="91"/>
  <c r="DN299" i="91"/>
  <c r="DN298" i="91"/>
  <c r="DN297" i="91"/>
  <c r="DN296" i="91"/>
  <c r="DN295" i="91"/>
  <c r="DN294" i="91"/>
  <c r="DN293" i="91"/>
  <c r="DN292" i="91"/>
  <c r="DN291" i="91"/>
  <c r="DN290" i="91"/>
  <c r="DN289" i="91"/>
  <c r="DN288" i="91"/>
  <c r="DN287" i="91"/>
  <c r="DN286" i="91"/>
  <c r="DN285" i="91"/>
  <c r="O1488" i="91"/>
  <c r="P88" i="83"/>
  <c r="N78" i="82"/>
  <c r="N79" i="82"/>
  <c r="N80" i="82"/>
  <c r="N81" i="82"/>
  <c r="N82" i="82"/>
  <c r="N83" i="82"/>
  <c r="O41" i="83"/>
  <c r="O43" i="83"/>
  <c r="O39" i="83"/>
  <c r="O42" i="83"/>
  <c r="O38" i="83"/>
  <c r="O40" i="83"/>
  <c r="K37" i="41"/>
  <c r="K38" i="41"/>
  <c r="K39" i="41"/>
  <c r="K40" i="41"/>
  <c r="K41" i="41"/>
  <c r="K42" i="41"/>
  <c r="M11" i="41"/>
  <c r="H37" i="41"/>
  <c r="H38" i="41"/>
  <c r="H39" i="41"/>
  <c r="H40" i="41"/>
  <c r="H41" i="41"/>
  <c r="H42" i="41"/>
  <c r="P1458" i="91"/>
  <c r="N137" i="41"/>
  <c r="N138" i="41"/>
  <c r="N139" i="41"/>
  <c r="N140" i="41"/>
  <c r="N141" i="41"/>
  <c r="N142" i="41"/>
  <c r="S38" i="83"/>
  <c r="S42" i="83"/>
  <c r="S40" i="83"/>
  <c r="S43" i="83"/>
  <c r="S39" i="83"/>
  <c r="S41" i="83"/>
  <c r="G37" i="41"/>
  <c r="G38" i="41"/>
  <c r="G39" i="41"/>
  <c r="G40" i="41"/>
  <c r="G41" i="41"/>
  <c r="G42" i="41"/>
  <c r="P40" i="83"/>
  <c r="P38" i="83"/>
  <c r="P41" i="83"/>
  <c r="P43" i="83"/>
  <c r="P39" i="83"/>
  <c r="P42" i="83"/>
  <c r="P91" i="83"/>
  <c r="D845" i="91"/>
  <c r="D876" i="91"/>
  <c r="R39" i="83"/>
  <c r="R43" i="83"/>
  <c r="R40" i="83"/>
  <c r="R42" i="83"/>
  <c r="R38" i="83"/>
  <c r="R41" i="83"/>
  <c r="N189" i="41"/>
  <c r="N192" i="41"/>
  <c r="M90" i="41"/>
  <c r="DO221" i="91"/>
  <c r="P89" i="83"/>
  <c r="P87" i="83"/>
  <c r="F37" i="41"/>
  <c r="F38" i="41"/>
  <c r="F39" i="41"/>
  <c r="F40" i="41"/>
  <c r="F41" i="41"/>
  <c r="F42" i="41"/>
  <c r="N11" i="41"/>
  <c r="J37" i="41"/>
  <c r="J38" i="41"/>
  <c r="J39" i="41"/>
  <c r="J40" i="41"/>
  <c r="J41" i="41"/>
  <c r="J42" i="41"/>
  <c r="O1458" i="91"/>
  <c r="M189" i="41"/>
  <c r="I38" i="41"/>
  <c r="I40" i="41"/>
  <c r="I42" i="41"/>
  <c r="I37" i="41"/>
  <c r="I39" i="41"/>
  <c r="I41" i="41"/>
  <c r="P92" i="83"/>
  <c r="P90" i="83"/>
  <c r="A1707" i="91"/>
  <c r="G1707" i="91"/>
  <c r="H1707" i="91"/>
  <c r="J1707" i="91"/>
  <c r="N1707" i="91"/>
  <c r="R1707" i="91"/>
  <c r="V1707" i="91"/>
  <c r="O1707" i="91"/>
  <c r="S1707" i="91"/>
  <c r="U1707" i="91"/>
  <c r="K1707" i="91"/>
  <c r="M1707" i="91"/>
  <c r="L1707" i="91"/>
  <c r="P1707" i="91"/>
  <c r="T1707" i="91"/>
  <c r="Q1707" i="91"/>
  <c r="DO235" i="91"/>
  <c r="DO232" i="91"/>
  <c r="DO258" i="91"/>
  <c r="DO269" i="91"/>
  <c r="DO228" i="91"/>
  <c r="DO229" i="91"/>
  <c r="DO271" i="91"/>
  <c r="DO240" i="91"/>
  <c r="DO241" i="91"/>
  <c r="DO267" i="91"/>
  <c r="DO230" i="91"/>
  <c r="DO245" i="91"/>
  <c r="DO233" i="91"/>
  <c r="DO272" i="91"/>
  <c r="DO224" i="91"/>
  <c r="DO226" i="91"/>
  <c r="DO225" i="91"/>
  <c r="DO254" i="91"/>
  <c r="DO273" i="91"/>
  <c r="DO256" i="91"/>
  <c r="DO265" i="91"/>
  <c r="DO261" i="91"/>
  <c r="DO236" i="91"/>
  <c r="DO238" i="91"/>
  <c r="DO237" i="91"/>
  <c r="DO231" i="91"/>
  <c r="DO239" i="91"/>
  <c r="DO276" i="91"/>
  <c r="DO244" i="91"/>
  <c r="DO259" i="91"/>
  <c r="DO257" i="91"/>
  <c r="DO278" i="91"/>
  <c r="DO270" i="91"/>
  <c r="DO227" i="91"/>
  <c r="DO263" i="91"/>
  <c r="DO277" i="91"/>
  <c r="DO275" i="91"/>
  <c r="DO234" i="91"/>
  <c r="DO264" i="91"/>
  <c r="DO246" i="91"/>
  <c r="DO223" i="91"/>
  <c r="DO255" i="91"/>
  <c r="DO260" i="91"/>
  <c r="DO242" i="91"/>
  <c r="DO243" i="91"/>
  <c r="DO248" i="91"/>
  <c r="DO279" i="91"/>
  <c r="DO268" i="91"/>
  <c r="DO274" i="91"/>
  <c r="DO266" i="91"/>
  <c r="DO262" i="91"/>
  <c r="DO247" i="91"/>
  <c r="N87" i="41"/>
  <c r="N91" i="41"/>
  <c r="M142" i="41"/>
  <c r="M138" i="41"/>
  <c r="M81" i="82"/>
  <c r="M87" i="41"/>
  <c r="N88" i="41"/>
  <c r="N191" i="41"/>
  <c r="M190" i="41"/>
  <c r="AL12" i="81"/>
  <c r="U1213" i="91"/>
  <c r="AG40" i="81"/>
  <c r="AG41" i="81"/>
  <c r="AG38" i="81"/>
  <c r="AG42" i="81"/>
  <c r="AG39" i="81"/>
  <c r="AG43" i="81"/>
  <c r="AH39" i="80"/>
  <c r="AH43" i="80"/>
  <c r="AH40" i="80"/>
  <c r="AH41" i="80"/>
  <c r="AH38" i="80"/>
  <c r="AH42" i="80"/>
  <c r="AJ90" i="81"/>
  <c r="AJ95" i="81"/>
  <c r="AJ94" i="81"/>
  <c r="AJ91" i="81"/>
  <c r="AJ93" i="81"/>
  <c r="AJ92" i="81"/>
  <c r="N90" i="41"/>
  <c r="M192" i="41"/>
  <c r="M188" i="41"/>
  <c r="M141" i="41"/>
  <c r="M137" i="41"/>
  <c r="M89" i="41"/>
  <c r="N190" i="41"/>
  <c r="N187" i="41"/>
  <c r="M80" i="82"/>
  <c r="AJ38" i="81"/>
  <c r="AJ39" i="81"/>
  <c r="AJ42" i="81"/>
  <c r="AJ43" i="81"/>
  <c r="AJ41" i="81"/>
  <c r="AJ40" i="81"/>
  <c r="R1275" i="91"/>
  <c r="G38" i="83"/>
  <c r="G40" i="83"/>
  <c r="G41" i="83"/>
  <c r="G39" i="83"/>
  <c r="G43" i="83"/>
  <c r="G42" i="83"/>
  <c r="AP92" i="81"/>
  <c r="AP94" i="81"/>
  <c r="AP91" i="81"/>
  <c r="AP93" i="81"/>
  <c r="AP95" i="81"/>
  <c r="AP90" i="81"/>
  <c r="AM91" i="81"/>
  <c r="AM95" i="81"/>
  <c r="AM93" i="81"/>
  <c r="AM90" i="81"/>
  <c r="AM92" i="81"/>
  <c r="AM94" i="81"/>
  <c r="AE93" i="81"/>
  <c r="AE94" i="81"/>
  <c r="AE92" i="81"/>
  <c r="AE90" i="81"/>
  <c r="AE91" i="81"/>
  <c r="AE95" i="81"/>
  <c r="AO91" i="81"/>
  <c r="AO93" i="81"/>
  <c r="AO95" i="81"/>
  <c r="AO92" i="81"/>
  <c r="AO90" i="81"/>
  <c r="AO94" i="81"/>
  <c r="AP42" i="81"/>
  <c r="AP38" i="81"/>
  <c r="AP40" i="81"/>
  <c r="AP41" i="81"/>
  <c r="AP43" i="81"/>
  <c r="AP39" i="81"/>
  <c r="AM39" i="81"/>
  <c r="AM41" i="81"/>
  <c r="AM43" i="81"/>
  <c r="AM38" i="81"/>
  <c r="AM40" i="81"/>
  <c r="AM42" i="81"/>
  <c r="AL95" i="81"/>
  <c r="AL90" i="81"/>
  <c r="AL92" i="81"/>
  <c r="AL94" i="81"/>
  <c r="AL91" i="81"/>
  <c r="AL93" i="81"/>
  <c r="AF43" i="81"/>
  <c r="AF40" i="81"/>
  <c r="AF38" i="81"/>
  <c r="AF42" i="81"/>
  <c r="AF39" i="81"/>
  <c r="AF41" i="81"/>
  <c r="AN39" i="81"/>
  <c r="AN43" i="81"/>
  <c r="AN41" i="81"/>
  <c r="AN38" i="81"/>
  <c r="AN40" i="81"/>
  <c r="AN42" i="81"/>
  <c r="I43" i="83"/>
  <c r="I39" i="83"/>
  <c r="I38" i="83"/>
  <c r="I41" i="83"/>
  <c r="I42" i="83"/>
  <c r="I40" i="83"/>
  <c r="F38" i="83"/>
  <c r="F40" i="83"/>
  <c r="F41" i="83"/>
  <c r="F43" i="83"/>
  <c r="F42" i="83"/>
  <c r="F39" i="83"/>
  <c r="AK91" i="81"/>
  <c r="AK93" i="81"/>
  <c r="AK95" i="81"/>
  <c r="AK92" i="81"/>
  <c r="AK90" i="81"/>
  <c r="AK94" i="81"/>
  <c r="M191" i="41"/>
  <c r="M92" i="41"/>
  <c r="M88" i="41"/>
  <c r="N188" i="41"/>
  <c r="M83" i="82"/>
  <c r="M79" i="82"/>
  <c r="M39" i="82"/>
  <c r="M40" i="82"/>
  <c r="M37" i="82"/>
  <c r="M41" i="82"/>
  <c r="M38" i="82"/>
  <c r="M42" i="82"/>
  <c r="AO40" i="81"/>
  <c r="AO41" i="81"/>
  <c r="AO38" i="81"/>
  <c r="AO42" i="81"/>
  <c r="AO39" i="81"/>
  <c r="AO43" i="81"/>
  <c r="S1275" i="91"/>
  <c r="N37" i="82"/>
  <c r="N41" i="82"/>
  <c r="N38" i="82"/>
  <c r="N42" i="82"/>
  <c r="N39" i="82"/>
  <c r="N40" i="82"/>
  <c r="AK38" i="81"/>
  <c r="AK42" i="81"/>
  <c r="AK39" i="81"/>
  <c r="AK43" i="81"/>
  <c r="AK40" i="81"/>
  <c r="AK41" i="81"/>
  <c r="K40" i="83"/>
  <c r="K43" i="83"/>
  <c r="K42" i="83"/>
  <c r="K39" i="83"/>
  <c r="K38" i="83"/>
  <c r="K41" i="83"/>
  <c r="AG90" i="81"/>
  <c r="AG94" i="81"/>
  <c r="AG91" i="81"/>
  <c r="AG93" i="81"/>
  <c r="AG95" i="81"/>
  <c r="AG92" i="81"/>
  <c r="E38" i="83"/>
  <c r="A12" i="83"/>
  <c r="E42" i="83"/>
  <c r="E39" i="83"/>
  <c r="E40" i="83"/>
  <c r="E41" i="83"/>
  <c r="E43" i="83"/>
  <c r="J40" i="83"/>
  <c r="J43" i="83"/>
  <c r="J41" i="83"/>
  <c r="J39" i="83"/>
  <c r="J38" i="83"/>
  <c r="J42" i="83"/>
  <c r="AH43" i="81"/>
  <c r="AH38" i="81"/>
  <c r="AH40" i="81"/>
  <c r="AH42" i="81"/>
  <c r="AH39" i="81"/>
  <c r="AH41" i="81"/>
  <c r="H41" i="83"/>
  <c r="H40" i="83"/>
  <c r="H39" i="83"/>
  <c r="H42" i="83"/>
  <c r="H43" i="83"/>
  <c r="H38" i="83"/>
  <c r="N89" i="41"/>
  <c r="M187" i="41"/>
  <c r="M140" i="41"/>
  <c r="N92" i="41"/>
  <c r="M91" i="41"/>
  <c r="M82" i="82"/>
  <c r="AI43" i="81"/>
  <c r="AI41" i="81"/>
  <c r="AI38" i="81"/>
  <c r="AI40" i="81"/>
  <c r="AI42" i="81"/>
  <c r="AI39" i="81"/>
  <c r="AN94" i="81"/>
  <c r="AN91" i="81"/>
  <c r="AN93" i="81"/>
  <c r="AN92" i="81"/>
  <c r="AN90" i="81"/>
  <c r="AN95" i="81"/>
  <c r="AF38" i="80"/>
  <c r="AF42" i="80"/>
  <c r="AF39" i="80"/>
  <c r="AF43" i="80"/>
  <c r="AF40" i="80"/>
  <c r="AF41" i="80"/>
  <c r="AF64" i="81"/>
  <c r="AH90" i="81"/>
  <c r="AH92" i="81"/>
  <c r="AH94" i="81"/>
  <c r="AH91" i="81"/>
  <c r="AH93" i="81"/>
  <c r="AH95" i="81"/>
  <c r="AI92" i="81"/>
  <c r="AI90" i="81"/>
  <c r="AI91" i="81"/>
  <c r="AI95" i="81"/>
  <c r="AI93" i="81"/>
  <c r="AI94" i="81"/>
  <c r="M38" i="83"/>
  <c r="M40" i="83"/>
  <c r="M42" i="83"/>
  <c r="M43" i="83"/>
  <c r="M39" i="83"/>
  <c r="M41" i="83"/>
  <c r="AE41" i="81"/>
  <c r="AE43" i="81"/>
  <c r="AE39" i="81"/>
  <c r="AE42" i="81"/>
  <c r="AE38" i="81"/>
  <c r="AE40" i="81"/>
  <c r="L39" i="83"/>
  <c r="L38" i="83"/>
  <c r="L43" i="83"/>
  <c r="L41" i="83"/>
  <c r="L40" i="83"/>
  <c r="L42" i="83"/>
  <c r="DO310" i="91"/>
  <c r="DO309" i="91"/>
  <c r="DO308" i="91"/>
  <c r="DO307" i="91"/>
  <c r="DO306" i="91"/>
  <c r="DO305" i="91"/>
  <c r="DO304" i="91"/>
  <c r="DO303" i="91"/>
  <c r="DO302" i="91"/>
  <c r="DO301" i="91"/>
  <c r="DO300" i="91"/>
  <c r="DO299" i="91"/>
  <c r="DO298" i="91"/>
  <c r="DO297" i="91"/>
  <c r="DO296" i="91"/>
  <c r="DO295" i="91"/>
  <c r="DO294" i="91"/>
  <c r="DO293" i="91"/>
  <c r="DO292" i="91"/>
  <c r="DO291" i="91"/>
  <c r="DO290" i="91"/>
  <c r="DO289" i="91"/>
  <c r="DO288" i="91"/>
  <c r="DO287" i="91"/>
  <c r="DO286" i="91"/>
  <c r="DO285" i="91"/>
  <c r="N37" i="41"/>
  <c r="N39" i="41"/>
  <c r="N41" i="41"/>
  <c r="N38" i="41"/>
  <c r="N40" i="41"/>
  <c r="N42" i="41"/>
  <c r="DP221" i="91"/>
  <c r="D907" i="91"/>
  <c r="M37" i="41"/>
  <c r="M38" i="41"/>
  <c r="M39" i="41"/>
  <c r="M40" i="41"/>
  <c r="M41" i="41"/>
  <c r="M42" i="41"/>
  <c r="A1708" i="91"/>
  <c r="G1708" i="91"/>
  <c r="H1708" i="91"/>
  <c r="J1708" i="91"/>
  <c r="S1708" i="91"/>
  <c r="T1708" i="91"/>
  <c r="K1708" i="91"/>
  <c r="L1708" i="91"/>
  <c r="M1708" i="91"/>
  <c r="Q1708" i="91"/>
  <c r="U1708" i="91"/>
  <c r="N1708" i="91"/>
  <c r="R1708" i="91"/>
  <c r="V1708" i="91"/>
  <c r="O1708" i="91"/>
  <c r="P1708" i="91"/>
  <c r="DP224" i="91"/>
  <c r="DP234" i="91"/>
  <c r="DP236" i="91"/>
  <c r="DP270" i="91"/>
  <c r="DP244" i="91"/>
  <c r="DP243" i="91"/>
  <c r="DP272" i="91"/>
  <c r="DP261" i="91"/>
  <c r="DP246" i="91"/>
  <c r="DP279" i="91"/>
  <c r="DP265" i="91"/>
  <c r="DP271" i="91"/>
  <c r="DP259" i="91"/>
  <c r="DP263" i="91"/>
  <c r="DP248" i="91"/>
  <c r="DP245" i="91"/>
  <c r="DP255" i="91"/>
  <c r="DP256" i="91"/>
  <c r="DP275" i="91"/>
  <c r="DP230" i="91"/>
  <c r="DP268" i="91"/>
  <c r="DP276" i="91"/>
  <c r="DP225" i="91"/>
  <c r="DP258" i="91"/>
  <c r="DP237" i="91"/>
  <c r="DP241" i="91"/>
  <c r="DP266" i="91"/>
  <c r="AF92" i="81"/>
  <c r="AF90" i="81"/>
  <c r="AF95" i="81"/>
  <c r="AF94" i="81"/>
  <c r="AF91" i="81"/>
  <c r="AF93" i="81"/>
  <c r="AL43" i="81"/>
  <c r="AL40" i="81"/>
  <c r="AL38" i="81"/>
  <c r="AL42" i="81"/>
  <c r="AL39" i="81"/>
  <c r="AL41" i="81"/>
  <c r="D938" i="91"/>
  <c r="D969" i="91"/>
  <c r="DQ221" i="91"/>
  <c r="A1709" i="91"/>
  <c r="G1709" i="91"/>
  <c r="H1709" i="91"/>
  <c r="N1709" i="91"/>
  <c r="K1709" i="91"/>
  <c r="O1709" i="91"/>
  <c r="S1709" i="91"/>
  <c r="J1709" i="91"/>
  <c r="V1709" i="91"/>
  <c r="L1709" i="91"/>
  <c r="P1709" i="91"/>
  <c r="T1709" i="91"/>
  <c r="M1709" i="91"/>
  <c r="Q1709" i="91"/>
  <c r="U1709" i="91"/>
  <c r="R1709" i="91"/>
  <c r="DP239" i="91"/>
  <c r="DP264" i="91"/>
  <c r="DP232" i="91"/>
  <c r="DP223" i="91"/>
  <c r="DP257" i="91"/>
  <c r="DP269" i="91"/>
  <c r="DP233" i="91"/>
  <c r="DP226" i="91"/>
  <c r="DP242" i="91"/>
  <c r="DP228" i="91"/>
  <c r="DP254" i="91"/>
  <c r="DP247" i="91"/>
  <c r="DP274" i="91"/>
  <c r="DP231" i="91"/>
  <c r="DP240" i="91"/>
  <c r="DP277" i="91"/>
  <c r="DP260" i="91"/>
  <c r="DP235" i="91"/>
  <c r="DP278" i="91"/>
  <c r="DP262" i="91"/>
  <c r="DP267" i="91"/>
  <c r="DP229" i="91"/>
  <c r="DP238" i="91"/>
  <c r="DP227" i="91"/>
  <c r="DP273" i="91"/>
  <c r="DQ276" i="91"/>
  <c r="DP285" i="91"/>
  <c r="DP301" i="91"/>
  <c r="DP291" i="91"/>
  <c r="DP300" i="91"/>
  <c r="DP290" i="91"/>
  <c r="DP306" i="91"/>
  <c r="DP289" i="91"/>
  <c r="DP305" i="91"/>
  <c r="DP295" i="91"/>
  <c r="DP288" i="91"/>
  <c r="DP304" i="91"/>
  <c r="DP294" i="91"/>
  <c r="DP310" i="91"/>
  <c r="DP293" i="91"/>
  <c r="DP309" i="91"/>
  <c r="DP303" i="91"/>
  <c r="DP292" i="91"/>
  <c r="DP308" i="91"/>
  <c r="DP298" i="91"/>
  <c r="DP299" i="91"/>
  <c r="DP297" i="91"/>
  <c r="DP287" i="91"/>
  <c r="DP296" i="91"/>
  <c r="DP286" i="91"/>
  <c r="DP302" i="91"/>
  <c r="DP307" i="91"/>
  <c r="D1000" i="91"/>
  <c r="DR221" i="91"/>
  <c r="A1710" i="91"/>
  <c r="G1710" i="91"/>
  <c r="H1710" i="91"/>
  <c r="R1710" i="91"/>
  <c r="K1710" i="91"/>
  <c r="O1710" i="91"/>
  <c r="S1710" i="91"/>
  <c r="L1710" i="91"/>
  <c r="T1710" i="91"/>
  <c r="Q1710" i="91"/>
  <c r="V1710" i="91"/>
  <c r="P1710" i="91"/>
  <c r="M1710" i="91"/>
  <c r="U1710" i="91"/>
  <c r="J1710" i="91"/>
  <c r="N1710" i="91"/>
  <c r="DQ246" i="91"/>
  <c r="DQ229" i="91"/>
  <c r="DQ262" i="91"/>
  <c r="DQ271" i="91"/>
  <c r="DR238" i="91"/>
  <c r="DR277" i="91"/>
  <c r="DR233" i="91"/>
  <c r="DQ232" i="91"/>
  <c r="DQ256" i="91"/>
  <c r="DQ278" i="91"/>
  <c r="DQ259" i="91"/>
  <c r="DQ228" i="91"/>
  <c r="DQ279" i="91"/>
  <c r="DQ257" i="91"/>
  <c r="DQ261" i="91"/>
  <c r="DQ265" i="91"/>
  <c r="DQ238" i="91"/>
  <c r="DQ267" i="91"/>
  <c r="DQ235" i="91"/>
  <c r="DQ242" i="91"/>
  <c r="DR258" i="91"/>
  <c r="DR229" i="91"/>
  <c r="DQ263" i="91"/>
  <c r="DQ273" i="91"/>
  <c r="DQ240" i="91"/>
  <c r="DQ224" i="91"/>
  <c r="DQ223" i="91"/>
  <c r="DQ225" i="91"/>
  <c r="DQ234" i="91"/>
  <c r="DQ243" i="91"/>
  <c r="DQ268" i="91"/>
  <c r="DQ226" i="91"/>
  <c r="DQ277" i="91"/>
  <c r="DQ233" i="91"/>
  <c r="DQ241" i="91"/>
  <c r="DR271" i="91"/>
  <c r="DR275" i="91"/>
  <c r="DR266" i="91"/>
  <c r="DQ231" i="91"/>
  <c r="DQ245" i="91"/>
  <c r="DQ266" i="91"/>
  <c r="DQ258" i="91"/>
  <c r="DQ275" i="91"/>
  <c r="DQ239" i="91"/>
  <c r="DQ272" i="91"/>
  <c r="DQ254" i="91"/>
  <c r="DQ274" i="91"/>
  <c r="DQ236" i="91"/>
  <c r="DQ244" i="91"/>
  <c r="DQ264" i="91"/>
  <c r="DQ230" i="91"/>
  <c r="DQ255" i="91"/>
  <c r="DQ227" i="91"/>
  <c r="DQ237" i="91"/>
  <c r="DQ260" i="91"/>
  <c r="DQ248" i="91"/>
  <c r="DQ270" i="91"/>
  <c r="DQ247" i="91"/>
  <c r="DQ269" i="91"/>
  <c r="DR276" i="91"/>
  <c r="DR274" i="91"/>
  <c r="DR264" i="91"/>
  <c r="DR244" i="91"/>
  <c r="DR225" i="91"/>
  <c r="DQ294" i="91"/>
  <c r="DQ310" i="91"/>
  <c r="DQ291" i="91"/>
  <c r="DQ307" i="91"/>
  <c r="DQ288" i="91"/>
  <c r="DQ304" i="91"/>
  <c r="DQ297" i="91"/>
  <c r="DQ295" i="91"/>
  <c r="DQ292" i="91"/>
  <c r="DQ308" i="91"/>
  <c r="DQ285" i="91"/>
  <c r="DQ301" i="91"/>
  <c r="DQ298" i="91"/>
  <c r="DQ302" i="91"/>
  <c r="DQ299" i="91"/>
  <c r="DQ296" i="91"/>
  <c r="DQ286" i="91"/>
  <c r="DQ289" i="91"/>
  <c r="DQ305" i="91"/>
  <c r="DQ290" i="91"/>
  <c r="DQ306" i="91"/>
  <c r="DQ287" i="91"/>
  <c r="DQ303" i="91"/>
  <c r="DQ309" i="91"/>
  <c r="DQ300" i="91"/>
  <c r="DQ293" i="91"/>
  <c r="DS221" i="91"/>
  <c r="D1031" i="91"/>
  <c r="D1062" i="91"/>
  <c r="D1093" i="91"/>
  <c r="D1124" i="91"/>
  <c r="D1155" i="91"/>
  <c r="A1711" i="91"/>
  <c r="G1711" i="91"/>
  <c r="H1711" i="91"/>
  <c r="M1711" i="91"/>
  <c r="Q1711" i="91"/>
  <c r="U1711" i="91"/>
  <c r="J1711" i="91"/>
  <c r="N1711" i="91"/>
  <c r="R1711" i="91"/>
  <c r="K1711" i="91"/>
  <c r="O1711" i="91"/>
  <c r="S1711" i="91"/>
  <c r="L1711" i="91"/>
  <c r="P1711" i="91"/>
  <c r="T1711" i="91"/>
  <c r="V1711" i="91"/>
  <c r="DR227" i="91"/>
  <c r="DR278" i="91"/>
  <c r="DS227" i="91"/>
  <c r="DS268" i="91"/>
  <c r="DS235" i="91"/>
  <c r="DS239" i="91"/>
  <c r="DS244" i="91"/>
  <c r="DS255" i="91"/>
  <c r="DS259" i="91"/>
  <c r="DS261" i="91"/>
  <c r="DR232" i="91"/>
  <c r="DR268" i="91"/>
  <c r="DR267" i="91"/>
  <c r="DR247" i="91"/>
  <c r="DR254" i="91"/>
  <c r="DR240" i="91"/>
  <c r="DR279" i="91"/>
  <c r="DR223" i="91"/>
  <c r="DR231" i="91"/>
  <c r="DR234" i="91"/>
  <c r="DS254" i="91"/>
  <c r="DS246" i="91"/>
  <c r="DS224" i="91"/>
  <c r="DS274" i="91"/>
  <c r="DS271" i="91"/>
  <c r="DS262" i="91"/>
  <c r="DS278" i="91"/>
  <c r="DS275" i="91"/>
  <c r="DS228" i="91"/>
  <c r="DS277" i="91"/>
  <c r="DS257" i="91"/>
  <c r="DS273" i="91"/>
  <c r="DS269" i="91"/>
  <c r="DR239" i="91"/>
  <c r="DS233" i="91"/>
  <c r="DS230" i="91"/>
  <c r="DS245" i="91"/>
  <c r="DS272" i="91"/>
  <c r="DS232" i="91"/>
  <c r="DS279" i="91"/>
  <c r="DR260" i="91"/>
  <c r="DR230" i="91"/>
  <c r="DR257" i="91"/>
  <c r="DR224" i="91"/>
  <c r="DR248" i="91"/>
  <c r="DR245" i="91"/>
  <c r="DR235" i="91"/>
  <c r="DR265" i="91"/>
  <c r="DR259" i="91"/>
  <c r="DR273" i="91"/>
  <c r="DR263" i="91"/>
  <c r="DR226" i="91"/>
  <c r="DR246" i="91"/>
  <c r="DR236" i="91"/>
  <c r="DR261" i="91"/>
  <c r="DR272" i="91"/>
  <c r="DR242" i="91"/>
  <c r="DR243" i="91"/>
  <c r="DS242" i="91"/>
  <c r="DS265" i="91"/>
  <c r="DS240" i="91"/>
  <c r="DR228" i="91"/>
  <c r="DR269" i="91"/>
  <c r="DR256" i="91"/>
  <c r="DR241" i="91"/>
  <c r="DR255" i="91"/>
  <c r="DR237" i="91"/>
  <c r="DR270" i="91"/>
  <c r="DR262" i="91"/>
  <c r="DS270" i="91"/>
  <c r="DS237" i="91"/>
  <c r="DS267" i="91"/>
  <c r="DS231" i="91"/>
  <c r="DS238" i="91"/>
  <c r="DS229" i="91"/>
  <c r="DS260" i="91"/>
  <c r="DS223" i="91"/>
  <c r="DS266" i="91"/>
  <c r="DS241" i="91"/>
  <c r="DS248" i="91"/>
  <c r="DS236" i="91"/>
  <c r="DS276" i="91"/>
  <c r="DR298" i="91"/>
  <c r="DR303" i="91"/>
  <c r="DR305" i="91"/>
  <c r="DR293" i="91"/>
  <c r="DR292" i="91"/>
  <c r="DR302" i="91"/>
  <c r="DR285" i="91"/>
  <c r="DR304" i="91"/>
  <c r="DR287" i="91"/>
  <c r="DR301" i="91"/>
  <c r="DR296" i="91"/>
  <c r="DR290" i="91"/>
  <c r="DR306" i="91"/>
  <c r="DR291" i="91"/>
  <c r="DR289" i="91"/>
  <c r="DR286" i="91"/>
  <c r="DR295" i="91"/>
  <c r="DR309" i="91"/>
  <c r="DR300" i="91"/>
  <c r="DR294" i="91"/>
  <c r="DR310" i="91"/>
  <c r="DR299" i="91"/>
  <c r="DR297" i="91"/>
  <c r="DR307" i="91"/>
  <c r="DR288" i="91"/>
  <c r="DR308" i="91"/>
  <c r="DS307" i="91"/>
  <c r="DS303" i="91"/>
  <c r="DS299" i="91"/>
  <c r="DS297" i="91"/>
  <c r="DS293" i="91"/>
  <c r="DS286" i="91"/>
  <c r="DT221" i="91"/>
  <c r="D1186" i="91"/>
  <c r="D1217" i="91"/>
  <c r="D1248" i="91"/>
  <c r="D1279" i="91"/>
  <c r="D1311" i="91"/>
  <c r="D1341" i="91"/>
  <c r="D1371" i="91"/>
  <c r="D1401" i="91"/>
  <c r="D1431" i="91"/>
  <c r="D1461" i="91"/>
  <c r="D1493" i="91"/>
  <c r="D1523" i="91"/>
  <c r="A1712" i="91"/>
  <c r="G1712" i="91"/>
  <c r="H1712" i="91"/>
  <c r="N1712" i="91"/>
  <c r="K1712" i="91"/>
  <c r="O1712" i="91"/>
  <c r="S1712" i="91"/>
  <c r="J1712" i="91"/>
  <c r="V1712" i="91"/>
  <c r="L1712" i="91"/>
  <c r="P1712" i="91"/>
  <c r="T1712" i="91"/>
  <c r="M1712" i="91"/>
  <c r="Q1712" i="91"/>
  <c r="U1712" i="91"/>
  <c r="R1712" i="91"/>
  <c r="DS263" i="91"/>
  <c r="DS234" i="91"/>
  <c r="DS243" i="91"/>
  <c r="DT273" i="91"/>
  <c r="DT259" i="91"/>
  <c r="DT238" i="91"/>
  <c r="DT229" i="91"/>
  <c r="DT228" i="91"/>
  <c r="DT268" i="91"/>
  <c r="DT267" i="91"/>
  <c r="DT225" i="91"/>
  <c r="DS226" i="91"/>
  <c r="DS247" i="91"/>
  <c r="DT243" i="91"/>
  <c r="DT244" i="91"/>
  <c r="DT254" i="91"/>
  <c r="DT257" i="91"/>
  <c r="DT233" i="91"/>
  <c r="DT275" i="91"/>
  <c r="DT248" i="91"/>
  <c r="DT264" i="91"/>
  <c r="DT240" i="91"/>
  <c r="DS256" i="91"/>
  <c r="DS264" i="91"/>
  <c r="DT262" i="91"/>
  <c r="DT236" i="91"/>
  <c r="DT274" i="91"/>
  <c r="DT247" i="91"/>
  <c r="DT270" i="91"/>
  <c r="DT232" i="91"/>
  <c r="DT242" i="91"/>
  <c r="DS225" i="91"/>
  <c r="DS258" i="91"/>
  <c r="DT239" i="91"/>
  <c r="DS289" i="91"/>
  <c r="DS287" i="91"/>
  <c r="DS295" i="91"/>
  <c r="DS309" i="91"/>
  <c r="DS305" i="91"/>
  <c r="DS285" i="91"/>
  <c r="DS301" i="91"/>
  <c r="DS291" i="91"/>
  <c r="DS298" i="91"/>
  <c r="DS288" i="91"/>
  <c r="DS304" i="91"/>
  <c r="DS302" i="91"/>
  <c r="DS292" i="91"/>
  <c r="DS308" i="91"/>
  <c r="DS290" i="91"/>
  <c r="DS306" i="91"/>
  <c r="DS296" i="91"/>
  <c r="DS294" i="91"/>
  <c r="DS310" i="91"/>
  <c r="DS300" i="91"/>
  <c r="DU221" i="91"/>
  <c r="A1713" i="91"/>
  <c r="G1713" i="91"/>
  <c r="H1713" i="91"/>
  <c r="Q1713" i="91"/>
  <c r="K1713" i="91"/>
  <c r="J1713" i="91"/>
  <c r="N1713" i="91"/>
  <c r="V1713" i="91"/>
  <c r="S1713" i="91"/>
  <c r="L1713" i="91"/>
  <c r="P1713" i="91"/>
  <c r="T1713" i="91"/>
  <c r="M1713" i="91"/>
  <c r="U1713" i="91"/>
  <c r="R1713" i="91"/>
  <c r="O1713" i="91"/>
  <c r="DU258" i="91"/>
  <c r="DT261" i="91"/>
  <c r="DT255" i="91"/>
  <c r="DT256" i="91"/>
  <c r="DT241" i="91"/>
  <c r="DT271" i="91"/>
  <c r="DT266" i="91"/>
  <c r="DT231" i="91"/>
  <c r="DU256" i="91"/>
  <c r="DT260" i="91"/>
  <c r="DT226" i="91"/>
  <c r="DT224" i="91"/>
  <c r="DT265" i="91"/>
  <c r="DT227" i="91"/>
  <c r="DT258" i="91"/>
  <c r="DU230" i="91"/>
  <c r="DU240" i="91"/>
  <c r="DU263" i="91"/>
  <c r="DU225" i="91"/>
  <c r="DU274" i="91"/>
  <c r="DU244" i="91"/>
  <c r="DU279" i="91"/>
  <c r="DU226" i="91"/>
  <c r="DU223" i="91"/>
  <c r="DU243" i="91"/>
  <c r="DU266" i="91"/>
  <c r="DU236" i="91"/>
  <c r="DU227" i="91"/>
  <c r="DU245" i="91"/>
  <c r="DU272" i="91"/>
  <c r="DT276" i="91"/>
  <c r="DU259" i="91"/>
  <c r="DU237" i="91"/>
  <c r="DU273" i="91"/>
  <c r="DU232" i="91"/>
  <c r="DU246" i="91"/>
  <c r="DT279" i="91"/>
  <c r="DT234" i="91"/>
  <c r="DT230" i="91"/>
  <c r="DT263" i="91"/>
  <c r="DT245" i="91"/>
  <c r="DT237" i="91"/>
  <c r="DT272" i="91"/>
  <c r="DU231" i="91"/>
  <c r="DU257" i="91"/>
  <c r="DU267" i="91"/>
  <c r="DU270" i="91"/>
  <c r="DU235" i="91"/>
  <c r="DU224" i="91"/>
  <c r="DU254" i="91"/>
  <c r="DU229" i="91"/>
  <c r="DU238" i="91"/>
  <c r="DU233" i="91"/>
  <c r="DU261" i="91"/>
  <c r="DU269" i="91"/>
  <c r="DU262" i="91"/>
  <c r="DT277" i="91"/>
  <c r="DT278" i="91"/>
  <c r="DT223" i="91"/>
  <c r="DT246" i="91"/>
  <c r="DT235" i="91"/>
  <c r="DT269" i="91"/>
  <c r="DU268" i="91"/>
  <c r="DU260" i="91"/>
  <c r="DU234" i="91"/>
  <c r="DU264" i="91"/>
  <c r="DU271" i="91"/>
  <c r="DU242" i="91"/>
  <c r="DT302" i="91"/>
  <c r="DT299" i="91"/>
  <c r="DT305" i="91"/>
  <c r="DT296" i="91"/>
  <c r="DT286" i="91"/>
  <c r="DT290" i="91"/>
  <c r="DT306" i="91"/>
  <c r="DT287" i="91"/>
  <c r="DT303" i="91"/>
  <c r="DT293" i="91"/>
  <c r="DT309" i="91"/>
  <c r="DT300" i="91"/>
  <c r="DT294" i="91"/>
  <c r="DT310" i="91"/>
  <c r="DT291" i="91"/>
  <c r="DT307" i="91"/>
  <c r="DT297" i="91"/>
  <c r="DT288" i="91"/>
  <c r="DT304" i="91"/>
  <c r="DT298" i="91"/>
  <c r="DT295" i="91"/>
  <c r="DT285" i="91"/>
  <c r="DT301" i="91"/>
  <c r="DT292" i="91"/>
  <c r="DT308" i="91"/>
  <c r="DT289" i="91"/>
  <c r="DU304" i="91"/>
  <c r="DV221" i="91"/>
  <c r="A1714" i="91"/>
  <c r="G1714" i="91"/>
  <c r="H1714" i="91"/>
  <c r="J1714" i="91"/>
  <c r="K1714" i="91"/>
  <c r="L1714" i="91"/>
  <c r="M1714" i="91"/>
  <c r="N1714" i="91"/>
  <c r="O1714" i="91"/>
  <c r="P1714" i="91"/>
  <c r="Q1714" i="91"/>
  <c r="R1714" i="91"/>
  <c r="S1714" i="91"/>
  <c r="T1714" i="91"/>
  <c r="U1714" i="91"/>
  <c r="V1714" i="91"/>
  <c r="A1715" i="91"/>
  <c r="G1715" i="91"/>
  <c r="H1715" i="91"/>
  <c r="J1715" i="91"/>
  <c r="K1715" i="91"/>
  <c r="L1715" i="91"/>
  <c r="M1715" i="91"/>
  <c r="N1715" i="91"/>
  <c r="O1715" i="91"/>
  <c r="P1715" i="91"/>
  <c r="Q1715" i="91"/>
  <c r="R1715" i="91"/>
  <c r="S1715" i="91"/>
  <c r="T1715" i="91"/>
  <c r="U1715" i="91"/>
  <c r="V1715" i="91"/>
  <c r="A1716" i="91"/>
  <c r="G1716" i="91"/>
  <c r="H1716" i="91"/>
  <c r="J1716" i="91"/>
  <c r="K1716" i="91"/>
  <c r="L1716" i="91"/>
  <c r="M1716" i="91"/>
  <c r="N1716" i="91"/>
  <c r="O1716" i="91"/>
  <c r="P1716" i="91"/>
  <c r="Q1716" i="91"/>
  <c r="R1716" i="91"/>
  <c r="S1716" i="91"/>
  <c r="T1716" i="91"/>
  <c r="U1716" i="91"/>
  <c r="V1716" i="91"/>
  <c r="A1717" i="91"/>
  <c r="G1717" i="91"/>
  <c r="H1717" i="91"/>
  <c r="J1717" i="91"/>
  <c r="K1717" i="91"/>
  <c r="L1717" i="91"/>
  <c r="M1717" i="91"/>
  <c r="N1717" i="91"/>
  <c r="O1717" i="91"/>
  <c r="P1717" i="91"/>
  <c r="Q1717" i="91"/>
  <c r="R1717" i="91"/>
  <c r="S1717" i="91"/>
  <c r="T1717" i="91"/>
  <c r="U1717" i="91"/>
  <c r="V1717" i="91"/>
  <c r="A1718" i="91"/>
  <c r="G1718" i="91"/>
  <c r="H1718" i="91"/>
  <c r="J1718" i="91"/>
  <c r="K1718" i="91"/>
  <c r="L1718" i="91"/>
  <c r="M1718" i="91"/>
  <c r="N1718" i="91"/>
  <c r="O1718" i="91"/>
  <c r="P1718" i="91"/>
  <c r="Q1718" i="91"/>
  <c r="R1718" i="91"/>
  <c r="S1718" i="91"/>
  <c r="T1718" i="91"/>
  <c r="U1718" i="91"/>
  <c r="V1718" i="91"/>
  <c r="A1719" i="91"/>
  <c r="G1719" i="91"/>
  <c r="H1719" i="91"/>
  <c r="J1719" i="91"/>
  <c r="K1719" i="91"/>
  <c r="L1719" i="91"/>
  <c r="M1719" i="91"/>
  <c r="N1719" i="91"/>
  <c r="O1719" i="91"/>
  <c r="P1719" i="91"/>
  <c r="Q1719" i="91"/>
  <c r="R1719" i="91"/>
  <c r="S1719" i="91"/>
  <c r="T1719" i="91"/>
  <c r="U1719" i="91"/>
  <c r="V1719" i="91"/>
  <c r="A1720" i="91"/>
  <c r="G1720" i="91"/>
  <c r="H1720" i="91"/>
  <c r="J1720" i="91"/>
  <c r="K1720" i="91"/>
  <c r="L1720" i="91"/>
  <c r="M1720" i="91"/>
  <c r="N1720" i="91"/>
  <c r="O1720" i="91"/>
  <c r="P1720" i="91"/>
  <c r="Q1720" i="91"/>
  <c r="R1720" i="91"/>
  <c r="S1720" i="91"/>
  <c r="T1720" i="91"/>
  <c r="U1720" i="91"/>
  <c r="V1720" i="91"/>
  <c r="A1721" i="91"/>
  <c r="G1721" i="91"/>
  <c r="H1721" i="91"/>
  <c r="J1721" i="91"/>
  <c r="K1721" i="91"/>
  <c r="L1721" i="91"/>
  <c r="M1721" i="91"/>
  <c r="N1721" i="91"/>
  <c r="O1721" i="91"/>
  <c r="P1721" i="91"/>
  <c r="Q1721" i="91"/>
  <c r="R1721" i="91"/>
  <c r="S1721" i="91"/>
  <c r="T1721" i="91"/>
  <c r="U1721" i="91"/>
  <c r="V1721" i="91"/>
  <c r="A1722" i="91"/>
  <c r="G1722" i="91"/>
  <c r="H1722" i="91"/>
  <c r="J1722" i="91"/>
  <c r="K1722" i="91"/>
  <c r="L1722" i="91"/>
  <c r="M1722" i="91"/>
  <c r="N1722" i="91"/>
  <c r="O1722" i="91"/>
  <c r="P1722" i="91"/>
  <c r="Q1722" i="91"/>
  <c r="R1722" i="91"/>
  <c r="S1722" i="91"/>
  <c r="T1722" i="91"/>
  <c r="U1722" i="91"/>
  <c r="V1722" i="91"/>
  <c r="A1723" i="91"/>
  <c r="G1723" i="91"/>
  <c r="H1723" i="91"/>
  <c r="J1723" i="91"/>
  <c r="K1723" i="91"/>
  <c r="L1723" i="91"/>
  <c r="M1723" i="91"/>
  <c r="N1723" i="91"/>
  <c r="O1723" i="91"/>
  <c r="P1723" i="91"/>
  <c r="Q1723" i="91"/>
  <c r="R1723" i="91"/>
  <c r="S1723" i="91"/>
  <c r="T1723" i="91"/>
  <c r="U1723" i="91"/>
  <c r="V1723" i="91"/>
  <c r="A1724" i="91"/>
  <c r="G1724" i="91"/>
  <c r="H1724" i="91"/>
  <c r="J1724" i="91"/>
  <c r="K1724" i="91"/>
  <c r="L1724" i="91"/>
  <c r="M1724" i="91"/>
  <c r="N1724" i="91"/>
  <c r="O1724" i="91"/>
  <c r="P1724" i="91"/>
  <c r="Q1724" i="91"/>
  <c r="R1724" i="91"/>
  <c r="S1724" i="91"/>
  <c r="T1724" i="91"/>
  <c r="U1724" i="91"/>
  <c r="V1724" i="91"/>
  <c r="A1725" i="91"/>
  <c r="G1725" i="91"/>
  <c r="H1725" i="91"/>
  <c r="J1725" i="91"/>
  <c r="K1725" i="91"/>
  <c r="L1725" i="91"/>
  <c r="M1725" i="91"/>
  <c r="N1725" i="91"/>
  <c r="O1725" i="91"/>
  <c r="P1725" i="91"/>
  <c r="Q1725" i="91"/>
  <c r="R1725" i="91"/>
  <c r="S1725" i="91"/>
  <c r="T1725" i="91"/>
  <c r="U1725" i="91"/>
  <c r="V1725" i="91"/>
  <c r="A1726" i="91"/>
  <c r="G1726" i="91"/>
  <c r="H1726" i="91"/>
  <c r="J1726" i="91"/>
  <c r="K1726" i="91"/>
  <c r="L1726" i="91"/>
  <c r="M1726" i="91"/>
  <c r="N1726" i="91"/>
  <c r="O1726" i="91"/>
  <c r="P1726" i="91"/>
  <c r="Q1726" i="91"/>
  <c r="R1726" i="91"/>
  <c r="S1726" i="91"/>
  <c r="T1726" i="91"/>
  <c r="U1726" i="91"/>
  <c r="V1726" i="91"/>
  <c r="A1727" i="91"/>
  <c r="G1727" i="91"/>
  <c r="H1727" i="91"/>
  <c r="J1727" i="91"/>
  <c r="K1727" i="91"/>
  <c r="L1727" i="91"/>
  <c r="M1727" i="91"/>
  <c r="N1727" i="91"/>
  <c r="O1727" i="91"/>
  <c r="P1727" i="91"/>
  <c r="Q1727" i="91"/>
  <c r="R1727" i="91"/>
  <c r="S1727" i="91"/>
  <c r="T1727" i="91"/>
  <c r="U1727" i="91"/>
  <c r="V1727" i="91"/>
  <c r="A1728" i="91"/>
  <c r="G1728" i="91"/>
  <c r="H1728" i="91"/>
  <c r="J1728" i="91"/>
  <c r="K1728" i="91"/>
  <c r="L1728" i="91"/>
  <c r="M1728" i="91"/>
  <c r="N1728" i="91"/>
  <c r="O1728" i="91"/>
  <c r="P1728" i="91"/>
  <c r="Q1728" i="91"/>
  <c r="R1728" i="91"/>
  <c r="S1728" i="91"/>
  <c r="T1728" i="91"/>
  <c r="U1728" i="91"/>
  <c r="V1728" i="91"/>
  <c r="J1731" i="91"/>
  <c r="K1731" i="91"/>
  <c r="L1731" i="91"/>
  <c r="M1731" i="91"/>
  <c r="N1731" i="91"/>
  <c r="O1731" i="91"/>
  <c r="P1731" i="91"/>
  <c r="Q1731" i="91"/>
  <c r="R1731" i="91"/>
  <c r="S1731" i="91"/>
  <c r="T1731" i="91"/>
  <c r="U1731" i="91"/>
  <c r="V1731" i="91"/>
  <c r="G1732" i="91"/>
  <c r="A1733" i="91"/>
  <c r="G1733" i="91"/>
  <c r="H1733" i="91"/>
  <c r="A1734" i="91"/>
  <c r="G1734" i="91"/>
  <c r="H1734" i="91"/>
  <c r="A1735" i="91"/>
  <c r="G1735" i="91"/>
  <c r="H1735" i="91"/>
  <c r="A1736" i="91"/>
  <c r="G1736" i="91"/>
  <c r="H1736" i="91"/>
  <c r="A1737" i="91"/>
  <c r="G1737" i="91"/>
  <c r="H1737" i="91"/>
  <c r="A1738" i="91"/>
  <c r="G1738" i="91"/>
  <c r="H1738" i="91"/>
  <c r="A1739" i="91"/>
  <c r="G1739" i="91"/>
  <c r="H1739" i="91"/>
  <c r="A1740" i="91"/>
  <c r="G1740" i="91"/>
  <c r="H1740" i="91"/>
  <c r="A1741" i="91"/>
  <c r="G1741" i="91"/>
  <c r="H1741" i="91"/>
  <c r="A1742" i="91"/>
  <c r="G1742" i="91"/>
  <c r="H1742" i="91"/>
  <c r="A1743" i="91"/>
  <c r="G1743" i="91"/>
  <c r="K1743" i="91"/>
  <c r="H1743" i="91"/>
  <c r="J1743" i="91"/>
  <c r="L1743" i="91"/>
  <c r="M1743" i="91"/>
  <c r="N1743" i="91"/>
  <c r="P1743" i="91"/>
  <c r="Q1743" i="91"/>
  <c r="R1743" i="91"/>
  <c r="T1743" i="91"/>
  <c r="U1743" i="91"/>
  <c r="V1743" i="91"/>
  <c r="A1744" i="91"/>
  <c r="G1744" i="91"/>
  <c r="K1744" i="91"/>
  <c r="H1744" i="91"/>
  <c r="J1744" i="91"/>
  <c r="L1744" i="91"/>
  <c r="M1744" i="91"/>
  <c r="N1744" i="91"/>
  <c r="P1744" i="91"/>
  <c r="Q1744" i="91"/>
  <c r="R1744" i="91"/>
  <c r="T1744" i="91"/>
  <c r="U1744" i="91"/>
  <c r="V1744" i="91"/>
  <c r="A1745" i="91"/>
  <c r="G1745" i="91"/>
  <c r="K1745" i="91"/>
  <c r="H1745" i="91"/>
  <c r="J1745" i="91"/>
  <c r="L1745" i="91"/>
  <c r="M1745" i="91"/>
  <c r="N1745" i="91"/>
  <c r="P1745" i="91"/>
  <c r="Q1745" i="91"/>
  <c r="R1745" i="91"/>
  <c r="T1745" i="91"/>
  <c r="U1745" i="91"/>
  <c r="V1745" i="91"/>
  <c r="A1746" i="91"/>
  <c r="G1746" i="91"/>
  <c r="K1746" i="91"/>
  <c r="H1746" i="91"/>
  <c r="J1746" i="91"/>
  <c r="L1746" i="91"/>
  <c r="M1746" i="91"/>
  <c r="N1746" i="91"/>
  <c r="P1746" i="91"/>
  <c r="Q1746" i="91"/>
  <c r="R1746" i="91"/>
  <c r="T1746" i="91"/>
  <c r="U1746" i="91"/>
  <c r="V1746" i="91"/>
  <c r="A1747" i="91"/>
  <c r="G1747" i="91"/>
  <c r="K1747" i="91"/>
  <c r="H1747" i="91"/>
  <c r="J1747" i="91"/>
  <c r="L1747" i="91"/>
  <c r="M1747" i="91"/>
  <c r="N1747" i="91"/>
  <c r="P1747" i="91"/>
  <c r="Q1747" i="91"/>
  <c r="R1747" i="91"/>
  <c r="T1747" i="91"/>
  <c r="U1747" i="91"/>
  <c r="V1747" i="91"/>
  <c r="A1748" i="91"/>
  <c r="G1748" i="91"/>
  <c r="K1748" i="91"/>
  <c r="H1748" i="91"/>
  <c r="J1748" i="91"/>
  <c r="L1748" i="91"/>
  <c r="M1748" i="91"/>
  <c r="N1748" i="91"/>
  <c r="P1748" i="91"/>
  <c r="Q1748" i="91"/>
  <c r="R1748" i="91"/>
  <c r="T1748" i="91"/>
  <c r="U1748" i="91"/>
  <c r="V1748" i="91"/>
  <c r="A1749" i="91"/>
  <c r="G1749" i="91"/>
  <c r="K1749" i="91"/>
  <c r="H1749" i="91"/>
  <c r="J1749" i="91"/>
  <c r="L1749" i="91"/>
  <c r="M1749" i="91"/>
  <c r="N1749" i="91"/>
  <c r="P1749" i="91"/>
  <c r="Q1749" i="91"/>
  <c r="R1749" i="91"/>
  <c r="T1749" i="91"/>
  <c r="U1749" i="91"/>
  <c r="V1749" i="91"/>
  <c r="A1750" i="91"/>
  <c r="G1750" i="91"/>
  <c r="K1750" i="91"/>
  <c r="H1750" i="91"/>
  <c r="J1750" i="91"/>
  <c r="L1750" i="91"/>
  <c r="M1750" i="91"/>
  <c r="N1750" i="91"/>
  <c r="P1750" i="91"/>
  <c r="Q1750" i="91"/>
  <c r="R1750" i="91"/>
  <c r="T1750" i="91"/>
  <c r="U1750" i="91"/>
  <c r="V1750" i="91"/>
  <c r="A1751" i="91"/>
  <c r="G1751" i="91"/>
  <c r="K1751" i="91"/>
  <c r="H1751" i="91"/>
  <c r="J1751" i="91"/>
  <c r="L1751" i="91"/>
  <c r="M1751" i="91"/>
  <c r="N1751" i="91"/>
  <c r="P1751" i="91"/>
  <c r="Q1751" i="91"/>
  <c r="R1751" i="91"/>
  <c r="T1751" i="91"/>
  <c r="U1751" i="91"/>
  <c r="V1751" i="91"/>
  <c r="A1752" i="91"/>
  <c r="G1752" i="91"/>
  <c r="K1752" i="91"/>
  <c r="H1752" i="91"/>
  <c r="J1752" i="91"/>
  <c r="L1752" i="91"/>
  <c r="M1752" i="91"/>
  <c r="N1752" i="91"/>
  <c r="P1752" i="91"/>
  <c r="Q1752" i="91"/>
  <c r="R1752" i="91"/>
  <c r="T1752" i="91"/>
  <c r="U1752" i="91"/>
  <c r="V1752" i="91"/>
  <c r="A1753" i="91"/>
  <c r="G1753" i="91"/>
  <c r="K1753" i="91"/>
  <c r="H1753" i="91"/>
  <c r="J1753" i="91"/>
  <c r="L1753" i="91"/>
  <c r="M1753" i="91"/>
  <c r="N1753" i="91"/>
  <c r="P1753" i="91"/>
  <c r="Q1753" i="91"/>
  <c r="R1753" i="91"/>
  <c r="T1753" i="91"/>
  <c r="U1753" i="91"/>
  <c r="V1753" i="91"/>
  <c r="A1754" i="91"/>
  <c r="G1754" i="91"/>
  <c r="K1754" i="91"/>
  <c r="H1754" i="91"/>
  <c r="J1754" i="91"/>
  <c r="L1754" i="91"/>
  <c r="M1754" i="91"/>
  <c r="N1754" i="91"/>
  <c r="P1754" i="91"/>
  <c r="Q1754" i="91"/>
  <c r="R1754" i="91"/>
  <c r="T1754" i="91"/>
  <c r="U1754" i="91"/>
  <c r="V1754" i="91"/>
  <c r="A1755" i="91"/>
  <c r="G1755" i="91"/>
  <c r="K1755" i="91"/>
  <c r="H1755" i="91"/>
  <c r="J1755" i="91"/>
  <c r="L1755" i="91"/>
  <c r="M1755" i="91"/>
  <c r="N1755" i="91"/>
  <c r="P1755" i="91"/>
  <c r="Q1755" i="91"/>
  <c r="R1755" i="91"/>
  <c r="T1755" i="91"/>
  <c r="U1755" i="91"/>
  <c r="V1755" i="91"/>
  <c r="A1756" i="91"/>
  <c r="G1756" i="91"/>
  <c r="K1756" i="91"/>
  <c r="H1756" i="91"/>
  <c r="J1756" i="91"/>
  <c r="L1756" i="91"/>
  <c r="M1756" i="91"/>
  <c r="N1756" i="91"/>
  <c r="P1756" i="91"/>
  <c r="Q1756" i="91"/>
  <c r="R1756" i="91"/>
  <c r="T1756" i="91"/>
  <c r="U1756" i="91"/>
  <c r="V1756" i="91"/>
  <c r="A1757" i="91"/>
  <c r="G1757" i="91"/>
  <c r="K1757" i="91"/>
  <c r="H1757" i="91"/>
  <c r="J1757" i="91"/>
  <c r="L1757" i="91"/>
  <c r="M1757" i="91"/>
  <c r="N1757" i="91"/>
  <c r="P1757" i="91"/>
  <c r="Q1757" i="91"/>
  <c r="R1757" i="91"/>
  <c r="T1757" i="91"/>
  <c r="U1757" i="91"/>
  <c r="V1757" i="91"/>
  <c r="J1760" i="91"/>
  <c r="K1760" i="91"/>
  <c r="L1760" i="91"/>
  <c r="M1760" i="91"/>
  <c r="N1760" i="91"/>
  <c r="O1760" i="91"/>
  <c r="P1760" i="91"/>
  <c r="Q1760" i="91"/>
  <c r="R1760" i="91"/>
  <c r="S1760" i="91"/>
  <c r="T1760" i="91"/>
  <c r="U1760" i="91"/>
  <c r="V1760" i="91"/>
  <c r="G1761" i="91"/>
  <c r="A1762" i="91"/>
  <c r="G1762" i="91"/>
  <c r="H1762" i="91"/>
  <c r="A1763" i="91"/>
  <c r="G1763" i="91"/>
  <c r="H1763" i="91"/>
  <c r="A1764" i="91"/>
  <c r="G1764" i="91"/>
  <c r="H1764" i="91"/>
  <c r="A1765" i="91"/>
  <c r="G1765" i="91"/>
  <c r="H1765" i="91"/>
  <c r="A1766" i="91"/>
  <c r="G1766" i="91"/>
  <c r="H1766" i="91"/>
  <c r="A1767" i="91"/>
  <c r="G1767" i="91"/>
  <c r="H1767" i="91"/>
  <c r="A1768" i="91"/>
  <c r="G1768" i="91"/>
  <c r="H1768" i="91"/>
  <c r="A1769" i="91"/>
  <c r="G1769" i="91"/>
  <c r="H1769" i="91"/>
  <c r="A1770" i="91"/>
  <c r="G1770" i="91"/>
  <c r="H1770" i="91"/>
  <c r="A1771" i="91"/>
  <c r="G1771" i="91"/>
  <c r="H1771" i="91"/>
  <c r="A1772" i="91"/>
  <c r="G1772" i="91"/>
  <c r="J1772" i="91"/>
  <c r="J1801" i="91"/>
  <c r="J1830" i="91"/>
  <c r="H1772" i="91"/>
  <c r="L1772" i="91"/>
  <c r="M1772" i="91"/>
  <c r="P1772" i="91"/>
  <c r="P1801" i="91"/>
  <c r="P1830" i="91"/>
  <c r="Q1772" i="91"/>
  <c r="Q1801" i="91"/>
  <c r="Q1830" i="91"/>
  <c r="T1772" i="91"/>
  <c r="U1772" i="91"/>
  <c r="A1773" i="91"/>
  <c r="G1773" i="91"/>
  <c r="J1773" i="91"/>
  <c r="J1802" i="91"/>
  <c r="J1831" i="91"/>
  <c r="H1773" i="91"/>
  <c r="L1773" i="91"/>
  <c r="M1773" i="91"/>
  <c r="P1773" i="91"/>
  <c r="P1802" i="91"/>
  <c r="P1831" i="91"/>
  <c r="Q1773" i="91"/>
  <c r="T1773" i="91"/>
  <c r="U1773" i="91"/>
  <c r="A1774" i="91"/>
  <c r="G1774" i="91"/>
  <c r="J1774" i="91"/>
  <c r="J1803" i="91"/>
  <c r="J1832" i="91"/>
  <c r="H1774" i="91"/>
  <c r="L1774" i="91"/>
  <c r="M1774" i="91"/>
  <c r="M1803" i="91"/>
  <c r="M1832" i="91"/>
  <c r="P1774" i="91"/>
  <c r="Q1774" i="91"/>
  <c r="T1774" i="91"/>
  <c r="U1774" i="91"/>
  <c r="U1803" i="91"/>
  <c r="U1832" i="91"/>
  <c r="A1775" i="91"/>
  <c r="G1775" i="91"/>
  <c r="J1775" i="91"/>
  <c r="H1775" i="91"/>
  <c r="L1775" i="91"/>
  <c r="L1804" i="91"/>
  <c r="L1833" i="91"/>
  <c r="M1775" i="91"/>
  <c r="P1775" i="91"/>
  <c r="Q1775" i="91"/>
  <c r="T1775" i="91"/>
  <c r="T1804" i="91"/>
  <c r="T1833" i="91"/>
  <c r="U1775" i="91"/>
  <c r="A1776" i="91"/>
  <c r="G1776" i="91"/>
  <c r="J1776" i="91"/>
  <c r="J1805" i="91"/>
  <c r="J1834" i="91"/>
  <c r="H1776" i="91"/>
  <c r="L1776" i="91"/>
  <c r="M1776" i="91"/>
  <c r="P1776" i="91"/>
  <c r="Q1776" i="91"/>
  <c r="Q1805" i="91"/>
  <c r="Q1834" i="91"/>
  <c r="T1776" i="91"/>
  <c r="U1776" i="91"/>
  <c r="A1777" i="91"/>
  <c r="G1777" i="91"/>
  <c r="J1777" i="91"/>
  <c r="J1806" i="91"/>
  <c r="J1835" i="91"/>
  <c r="H1777" i="91"/>
  <c r="L1777" i="91"/>
  <c r="M1777" i="91"/>
  <c r="P1777" i="91"/>
  <c r="P1806" i="91"/>
  <c r="P1835" i="91"/>
  <c r="Q1777" i="91"/>
  <c r="T1777" i="91"/>
  <c r="U1777" i="91"/>
  <c r="A1778" i="91"/>
  <c r="G1778" i="91"/>
  <c r="J1778" i="91"/>
  <c r="J1807" i="91"/>
  <c r="J1836" i="91"/>
  <c r="H1778" i="91"/>
  <c r="L1778" i="91"/>
  <c r="M1778" i="91"/>
  <c r="M1807" i="91"/>
  <c r="M1836" i="91"/>
  <c r="P1778" i="91"/>
  <c r="Q1778" i="91"/>
  <c r="T1778" i="91"/>
  <c r="U1778" i="91"/>
  <c r="U1807" i="91"/>
  <c r="U1836" i="91"/>
  <c r="A1779" i="91"/>
  <c r="G1779" i="91"/>
  <c r="J1779" i="91"/>
  <c r="H1779" i="91"/>
  <c r="L1779" i="91"/>
  <c r="L1808" i="91"/>
  <c r="L1837" i="91"/>
  <c r="M1779" i="91"/>
  <c r="P1779" i="91"/>
  <c r="Q1779" i="91"/>
  <c r="T1779" i="91"/>
  <c r="T1808" i="91"/>
  <c r="T1837" i="91"/>
  <c r="U1779" i="91"/>
  <c r="A1780" i="91"/>
  <c r="G1780" i="91"/>
  <c r="J1780" i="91"/>
  <c r="J1809" i="91"/>
  <c r="J1838" i="91"/>
  <c r="H1780" i="91"/>
  <c r="L1780" i="91"/>
  <c r="M1780" i="91"/>
  <c r="P1780" i="91"/>
  <c r="Q1780" i="91"/>
  <c r="Q1809" i="91"/>
  <c r="Q1838" i="91"/>
  <c r="T1780" i="91"/>
  <c r="U1780" i="91"/>
  <c r="A1781" i="91"/>
  <c r="G1781" i="91"/>
  <c r="J1781" i="91"/>
  <c r="J1810" i="91"/>
  <c r="J1839" i="91"/>
  <c r="H1781" i="91"/>
  <c r="L1781" i="91"/>
  <c r="M1781" i="91"/>
  <c r="P1781" i="91"/>
  <c r="P1810" i="91"/>
  <c r="P1839" i="91"/>
  <c r="Q1781" i="91"/>
  <c r="T1781" i="91"/>
  <c r="U1781" i="91"/>
  <c r="A1782" i="91"/>
  <c r="G1782" i="91"/>
  <c r="J1782" i="91"/>
  <c r="J1811" i="91"/>
  <c r="J1840" i="91"/>
  <c r="H1782" i="91"/>
  <c r="L1782" i="91"/>
  <c r="M1782" i="91"/>
  <c r="M1811" i="91"/>
  <c r="M1840" i="91"/>
  <c r="P1782" i="91"/>
  <c r="Q1782" i="91"/>
  <c r="T1782" i="91"/>
  <c r="U1782" i="91"/>
  <c r="U1811" i="91"/>
  <c r="U1840" i="91"/>
  <c r="A1783" i="91"/>
  <c r="G1783" i="91"/>
  <c r="J1783" i="91"/>
  <c r="H1783" i="91"/>
  <c r="L1783" i="91"/>
  <c r="L1812" i="91"/>
  <c r="L1841" i="91"/>
  <c r="M1783" i="91"/>
  <c r="P1783" i="91"/>
  <c r="Q1783" i="91"/>
  <c r="T1783" i="91"/>
  <c r="T1812" i="91"/>
  <c r="T1841" i="91"/>
  <c r="U1783" i="91"/>
  <c r="A1784" i="91"/>
  <c r="G1784" i="91"/>
  <c r="J1784" i="91"/>
  <c r="J1813" i="91"/>
  <c r="J1842" i="91"/>
  <c r="H1784" i="91"/>
  <c r="L1784" i="91"/>
  <c r="M1784" i="91"/>
  <c r="P1784" i="91"/>
  <c r="Q1784" i="91"/>
  <c r="Q1813" i="91"/>
  <c r="Q1842" i="91"/>
  <c r="T1784" i="91"/>
  <c r="U1784" i="91"/>
  <c r="A1785" i="91"/>
  <c r="G1785" i="91"/>
  <c r="J1785" i="91"/>
  <c r="J1814" i="91"/>
  <c r="J1843" i="91"/>
  <c r="H1785" i="91"/>
  <c r="L1785" i="91"/>
  <c r="M1785" i="91"/>
  <c r="P1785" i="91"/>
  <c r="P1814" i="91"/>
  <c r="P1843" i="91"/>
  <c r="Q1785" i="91"/>
  <c r="T1785" i="91"/>
  <c r="U1785" i="91"/>
  <c r="A1786" i="91"/>
  <c r="G1786" i="91"/>
  <c r="J1786" i="91"/>
  <c r="J1815" i="91"/>
  <c r="J1844" i="91"/>
  <c r="H1786" i="91"/>
  <c r="L1786" i="91"/>
  <c r="M1786" i="91"/>
  <c r="M1815" i="91"/>
  <c r="M1844" i="91"/>
  <c r="P1786" i="91"/>
  <c r="Q1786" i="91"/>
  <c r="T1786" i="91"/>
  <c r="U1786" i="91"/>
  <c r="U1815" i="91"/>
  <c r="U1844" i="91"/>
  <c r="J1789" i="91"/>
  <c r="K1789" i="91"/>
  <c r="L1789" i="91"/>
  <c r="M1789" i="91"/>
  <c r="N1789" i="91"/>
  <c r="O1789" i="91"/>
  <c r="P1789" i="91"/>
  <c r="Q1789" i="91"/>
  <c r="R1789" i="91"/>
  <c r="S1789" i="91"/>
  <c r="T1789" i="91"/>
  <c r="U1789" i="91"/>
  <c r="V1789" i="91"/>
  <c r="G1790" i="91"/>
  <c r="A1791" i="91"/>
  <c r="G1791" i="91"/>
  <c r="H1791" i="91"/>
  <c r="A1792" i="91"/>
  <c r="G1792" i="91"/>
  <c r="H1792" i="91"/>
  <c r="A1793" i="91"/>
  <c r="G1793" i="91"/>
  <c r="H1793" i="91"/>
  <c r="A1794" i="91"/>
  <c r="G1794" i="91"/>
  <c r="H1794" i="91"/>
  <c r="A1795" i="91"/>
  <c r="G1795" i="91"/>
  <c r="H1795" i="91"/>
  <c r="A1796" i="91"/>
  <c r="G1796" i="91"/>
  <c r="H1796" i="91"/>
  <c r="A1797" i="91"/>
  <c r="G1797" i="91"/>
  <c r="H1797" i="91"/>
  <c r="A1798" i="91"/>
  <c r="G1798" i="91"/>
  <c r="H1798" i="91"/>
  <c r="A1799" i="91"/>
  <c r="G1799" i="91"/>
  <c r="H1799" i="91"/>
  <c r="A1800" i="91"/>
  <c r="G1800" i="91"/>
  <c r="H1800" i="91"/>
  <c r="A1801" i="91"/>
  <c r="G1801" i="91"/>
  <c r="H1801" i="91"/>
  <c r="L1801" i="91"/>
  <c r="L1830" i="91"/>
  <c r="M1801" i="91"/>
  <c r="T1801" i="91"/>
  <c r="T1830" i="91"/>
  <c r="U1801" i="91"/>
  <c r="A1802" i="91"/>
  <c r="G1802" i="91"/>
  <c r="H1802" i="91"/>
  <c r="L1802" i="91"/>
  <c r="M1802" i="91"/>
  <c r="Q1802" i="91"/>
  <c r="Q1831" i="91"/>
  <c r="T1802" i="91"/>
  <c r="U1802" i="91"/>
  <c r="A1803" i="91"/>
  <c r="G1803" i="91"/>
  <c r="H1803" i="91"/>
  <c r="L1803" i="91"/>
  <c r="P1803" i="91"/>
  <c r="P1832" i="91"/>
  <c r="Q1803" i="91"/>
  <c r="T1803" i="91"/>
  <c r="A1804" i="91"/>
  <c r="G1804" i="91"/>
  <c r="H1804" i="91"/>
  <c r="M1804" i="91"/>
  <c r="M1833" i="91"/>
  <c r="P1804" i="91"/>
  <c r="Q1804" i="91"/>
  <c r="Q1833" i="91"/>
  <c r="U1804" i="91"/>
  <c r="U1833" i="91"/>
  <c r="A1805" i="91"/>
  <c r="G1805" i="91"/>
  <c r="H1805" i="91"/>
  <c r="L1805" i="91"/>
  <c r="L1834" i="91"/>
  <c r="M1805" i="91"/>
  <c r="P1805" i="91"/>
  <c r="T1805" i="91"/>
  <c r="T1834" i="91"/>
  <c r="U1805" i="91"/>
  <c r="A1806" i="91"/>
  <c r="G1806" i="91"/>
  <c r="H1806" i="91"/>
  <c r="L1806" i="91"/>
  <c r="M1806" i="91"/>
  <c r="Q1806" i="91"/>
  <c r="Q1835" i="91"/>
  <c r="T1806" i="91"/>
  <c r="T1835" i="91"/>
  <c r="U1806" i="91"/>
  <c r="A1807" i="91"/>
  <c r="G1807" i="91"/>
  <c r="H1807" i="91"/>
  <c r="L1807" i="91"/>
  <c r="P1807" i="91"/>
  <c r="P1836" i="91"/>
  <c r="Q1807" i="91"/>
  <c r="T1807" i="91"/>
  <c r="A1808" i="91"/>
  <c r="G1808" i="91"/>
  <c r="H1808" i="91"/>
  <c r="M1808" i="91"/>
  <c r="M1837" i="91"/>
  <c r="P1808" i="91"/>
  <c r="Q1808" i="91"/>
  <c r="U1808" i="91"/>
  <c r="U1837" i="91"/>
  <c r="A1809" i="91"/>
  <c r="G1809" i="91"/>
  <c r="H1809" i="91"/>
  <c r="L1809" i="91"/>
  <c r="L1838" i="91"/>
  <c r="M1809" i="91"/>
  <c r="M1838" i="91"/>
  <c r="P1809" i="91"/>
  <c r="T1809" i="91"/>
  <c r="T1838" i="91"/>
  <c r="U1809" i="91"/>
  <c r="A1810" i="91"/>
  <c r="G1810" i="91"/>
  <c r="H1810" i="91"/>
  <c r="L1810" i="91"/>
  <c r="M1810" i="91"/>
  <c r="Q1810" i="91"/>
  <c r="Q1839" i="91"/>
  <c r="T1810" i="91"/>
  <c r="U1810" i="91"/>
  <c r="A1811" i="91"/>
  <c r="G1811" i="91"/>
  <c r="H1811" i="91"/>
  <c r="L1811" i="91"/>
  <c r="P1811" i="91"/>
  <c r="P1840" i="91"/>
  <c r="Q1811" i="91"/>
  <c r="T1811" i="91"/>
  <c r="A1812" i="91"/>
  <c r="G1812" i="91"/>
  <c r="H1812" i="91"/>
  <c r="M1812" i="91"/>
  <c r="M1841" i="91"/>
  <c r="P1812" i="91"/>
  <c r="Q1812" i="91"/>
  <c r="Q1841" i="91"/>
  <c r="U1812" i="91"/>
  <c r="U1841" i="91"/>
  <c r="A1813" i="91"/>
  <c r="G1813" i="91"/>
  <c r="H1813" i="91"/>
  <c r="L1813" i="91"/>
  <c r="L1842" i="91"/>
  <c r="M1813" i="91"/>
  <c r="P1813" i="91"/>
  <c r="T1813" i="91"/>
  <c r="T1842" i="91"/>
  <c r="U1813" i="91"/>
  <c r="A1814" i="91"/>
  <c r="G1814" i="91"/>
  <c r="H1814" i="91"/>
  <c r="L1814" i="91"/>
  <c r="M1814" i="91"/>
  <c r="Q1814" i="91"/>
  <c r="Q1843" i="91"/>
  <c r="T1814" i="91"/>
  <c r="T1843" i="91"/>
  <c r="U1814" i="91"/>
  <c r="A1815" i="91"/>
  <c r="G1815" i="91"/>
  <c r="H1815" i="91"/>
  <c r="L1815" i="91"/>
  <c r="P1815" i="91"/>
  <c r="P1844" i="91"/>
  <c r="Q1815" i="91"/>
  <c r="T1815" i="91"/>
  <c r="J1817" i="91"/>
  <c r="J1818" i="91"/>
  <c r="K1818" i="91"/>
  <c r="L1818" i="91"/>
  <c r="M1818" i="91"/>
  <c r="N1818" i="91"/>
  <c r="O1818" i="91"/>
  <c r="P1818" i="91"/>
  <c r="Q1818" i="91"/>
  <c r="R1818" i="91"/>
  <c r="S1818" i="91"/>
  <c r="T1818" i="91"/>
  <c r="U1818" i="91"/>
  <c r="V1818" i="91"/>
  <c r="G1819" i="91"/>
  <c r="A1820" i="91"/>
  <c r="G1820" i="91"/>
  <c r="H1820" i="91"/>
  <c r="A1821" i="91"/>
  <c r="G1821" i="91"/>
  <c r="H1821" i="91"/>
  <c r="A1822" i="91"/>
  <c r="G1822" i="91"/>
  <c r="H1822" i="91"/>
  <c r="A1823" i="91"/>
  <c r="G1823" i="91"/>
  <c r="H1823" i="91"/>
  <c r="A1824" i="91"/>
  <c r="G1824" i="91"/>
  <c r="H1824" i="91"/>
  <c r="A1825" i="91"/>
  <c r="G1825" i="91"/>
  <c r="H1825" i="91"/>
  <c r="A1826" i="91"/>
  <c r="G1826" i="91"/>
  <c r="H1826" i="91"/>
  <c r="A1827" i="91"/>
  <c r="G1827" i="91"/>
  <c r="H1827" i="91"/>
  <c r="A1828" i="91"/>
  <c r="G1828" i="91"/>
  <c r="H1828" i="91"/>
  <c r="A1829" i="91"/>
  <c r="G1829" i="91"/>
  <c r="H1829" i="91"/>
  <c r="A1830" i="91"/>
  <c r="G1830" i="91"/>
  <c r="H1830" i="91"/>
  <c r="M1830" i="91"/>
  <c r="U1830" i="91"/>
  <c r="A1831" i="91"/>
  <c r="G1831" i="91"/>
  <c r="H1831" i="91"/>
  <c r="L1831" i="91"/>
  <c r="M1831" i="91"/>
  <c r="T1831" i="91"/>
  <c r="U1831" i="91"/>
  <c r="A1832" i="91"/>
  <c r="G1832" i="91"/>
  <c r="H1832" i="91"/>
  <c r="L1832" i="91"/>
  <c r="Q1832" i="91"/>
  <c r="T1832" i="91"/>
  <c r="A1833" i="91"/>
  <c r="G1833" i="91"/>
  <c r="H1833" i="91"/>
  <c r="P1833" i="91"/>
  <c r="A1834" i="91"/>
  <c r="G1834" i="91"/>
  <c r="H1834" i="91"/>
  <c r="M1834" i="91"/>
  <c r="P1834" i="91"/>
  <c r="U1834" i="91"/>
  <c r="A1835" i="91"/>
  <c r="G1835" i="91"/>
  <c r="H1835" i="91"/>
  <c r="L1835" i="91"/>
  <c r="M1835" i="91"/>
  <c r="U1835" i="91"/>
  <c r="A1836" i="91"/>
  <c r="G1836" i="91"/>
  <c r="H1836" i="91"/>
  <c r="L1836" i="91"/>
  <c r="Q1836" i="91"/>
  <c r="T1836" i="91"/>
  <c r="A1837" i="91"/>
  <c r="G1837" i="91"/>
  <c r="H1837" i="91"/>
  <c r="P1837" i="91"/>
  <c r="Q1837" i="91"/>
  <c r="A1838" i="91"/>
  <c r="G1838" i="91"/>
  <c r="H1838" i="91"/>
  <c r="P1838" i="91"/>
  <c r="U1838" i="91"/>
  <c r="A1839" i="91"/>
  <c r="G1839" i="91"/>
  <c r="H1839" i="91"/>
  <c r="L1839" i="91"/>
  <c r="M1839" i="91"/>
  <c r="T1839" i="91"/>
  <c r="U1839" i="91"/>
  <c r="A1840" i="91"/>
  <c r="G1840" i="91"/>
  <c r="H1840" i="91"/>
  <c r="L1840" i="91"/>
  <c r="Q1840" i="91"/>
  <c r="T1840" i="91"/>
  <c r="A1841" i="91"/>
  <c r="G1841" i="91"/>
  <c r="H1841" i="91"/>
  <c r="P1841" i="91"/>
  <c r="A1842" i="91"/>
  <c r="G1842" i="91"/>
  <c r="H1842" i="91"/>
  <c r="M1842" i="91"/>
  <c r="P1842" i="91"/>
  <c r="U1842" i="91"/>
  <c r="A1843" i="91"/>
  <c r="G1843" i="91"/>
  <c r="H1843" i="91"/>
  <c r="L1843" i="91"/>
  <c r="M1843" i="91"/>
  <c r="U1843" i="91"/>
  <c r="A1844" i="91"/>
  <c r="G1844" i="91"/>
  <c r="H1844" i="91"/>
  <c r="L1844" i="91"/>
  <c r="Q1844" i="91"/>
  <c r="T1844" i="91"/>
  <c r="C1" i="18"/>
  <c r="C1" i="78"/>
  <c r="C2" i="18"/>
  <c r="C4" i="18"/>
  <c r="H37" i="18"/>
  <c r="G16" i="18"/>
  <c r="C7" i="18"/>
  <c r="J15" i="18"/>
  <c r="I22" i="18"/>
  <c r="K22" i="18"/>
  <c r="H31" i="18"/>
  <c r="G34" i="18"/>
  <c r="G35" i="18"/>
  <c r="J37" i="18"/>
  <c r="G43" i="18"/>
  <c r="D79" i="18"/>
  <c r="H49" i="18"/>
  <c r="J52" i="18"/>
  <c r="D57" i="18"/>
  <c r="E61" i="18"/>
  <c r="I61" i="18"/>
  <c r="E81" i="18"/>
  <c r="H66" i="18"/>
  <c r="G71" i="18"/>
  <c r="G67" i="18"/>
  <c r="C38" i="19"/>
  <c r="D70" i="18"/>
  <c r="G72" i="18"/>
  <c r="G70" i="18"/>
  <c r="G9" i="56"/>
  <c r="E94" i="18"/>
  <c r="G29" i="90"/>
  <c r="C3" i="78"/>
  <c r="E16" i="78"/>
  <c r="F16" i="78"/>
  <c r="D41" i="78"/>
  <c r="K1736" i="91"/>
  <c r="P1736" i="91"/>
  <c r="V1736" i="91"/>
  <c r="N1740" i="91"/>
  <c r="J1740" i="91"/>
  <c r="Q1740" i="91"/>
  <c r="U1740" i="91"/>
  <c r="N1762" i="91"/>
  <c r="V1762" i="91"/>
  <c r="R1762" i="91"/>
  <c r="J1766" i="91"/>
  <c r="O1766" i="91"/>
  <c r="U1766" i="91"/>
  <c r="M1770" i="91"/>
  <c r="T1770" i="91"/>
  <c r="P1770" i="91"/>
  <c r="M1735" i="91"/>
  <c r="S1735" i="91"/>
  <c r="O1735" i="91"/>
  <c r="T1735" i="91"/>
  <c r="L1739" i="91"/>
  <c r="T1739" i="91"/>
  <c r="P1739" i="91"/>
  <c r="K1765" i="91"/>
  <c r="Q1765" i="91"/>
  <c r="V1765" i="91"/>
  <c r="N1769" i="91"/>
  <c r="J1769" i="91"/>
  <c r="R1769" i="91"/>
  <c r="N1734" i="91"/>
  <c r="J1734" i="91"/>
  <c r="Q1734" i="91"/>
  <c r="U1734" i="91"/>
  <c r="N1738" i="91"/>
  <c r="V1738" i="91"/>
  <c r="R1738" i="91"/>
  <c r="J1742" i="91"/>
  <c r="O1742" i="91"/>
  <c r="U1742" i="91"/>
  <c r="M1764" i="91"/>
  <c r="T1764" i="91"/>
  <c r="P1764" i="91"/>
  <c r="J1768" i="91"/>
  <c r="M1768" i="91"/>
  <c r="U1768" i="91"/>
  <c r="Q1768" i="91"/>
  <c r="AK50" i="32"/>
  <c r="AK38" i="32"/>
  <c r="AK22" i="32"/>
  <c r="AK13" i="32"/>
  <c r="AI57" i="32"/>
  <c r="AF57" i="32"/>
  <c r="AH55" i="32"/>
  <c r="AJ52" i="32"/>
  <c r="AF52" i="32"/>
  <c r="AG50" i="32"/>
  <c r="AH44" i="32"/>
  <c r="AI43" i="32"/>
  <c r="AJ40" i="32"/>
  <c r="AI39" i="32"/>
  <c r="AG38" i="32"/>
  <c r="AF37" i="32"/>
  <c r="AI31" i="32"/>
  <c r="AJ28" i="32"/>
  <c r="AJ19" i="32"/>
  <c r="AI22" i="32"/>
  <c r="AI13" i="32"/>
  <c r="AH21" i="32"/>
  <c r="AH12" i="32"/>
  <c r="AG20" i="32"/>
  <c r="AF28" i="32"/>
  <c r="AF19" i="32"/>
  <c r="AI11" i="32"/>
  <c r="AF11" i="32"/>
  <c r="AN34" i="31"/>
  <c r="AN27" i="31"/>
  <c r="AN10" i="31"/>
  <c r="AN30" i="31"/>
  <c r="AL34" i="31"/>
  <c r="AG34" i="31"/>
  <c r="AH32" i="31"/>
  <c r="AI30" i="31"/>
  <c r="AJ29" i="31"/>
  <c r="AG30" i="31"/>
  <c r="AH29" i="31"/>
  <c r="AJ27" i="31"/>
  <c r="AK25" i="31"/>
  <c r="AL24" i="31"/>
  <c r="AI25" i="31"/>
  <c r="AJ24" i="31"/>
  <c r="AJ23" i="31"/>
  <c r="AK20" i="31"/>
  <c r="AL14" i="31"/>
  <c r="AI20" i="31"/>
  <c r="AJ14" i="31"/>
  <c r="AI21" i="31"/>
  <c r="AH22" i="31"/>
  <c r="AI12" i="31"/>
  <c r="AL10" i="31"/>
  <c r="AJ10" i="31"/>
  <c r="AH10" i="31"/>
  <c r="O1733" i="91"/>
  <c r="K1733" i="91"/>
  <c r="S1733" i="91"/>
  <c r="V1733" i="91"/>
  <c r="P1737" i="91"/>
  <c r="L1737" i="91"/>
  <c r="S1737" i="91"/>
  <c r="K1741" i="91"/>
  <c r="Q1741" i="91"/>
  <c r="V1741" i="91"/>
  <c r="N1763" i="91"/>
  <c r="J1763" i="91"/>
  <c r="R1763" i="91"/>
  <c r="K1767" i="91"/>
  <c r="O1767" i="91"/>
  <c r="V1767" i="91"/>
  <c r="R1767" i="91"/>
  <c r="J1771" i="91"/>
  <c r="P1771" i="91"/>
  <c r="U1771" i="91"/>
  <c r="R1737" i="91"/>
  <c r="P1741" i="91"/>
  <c r="M1763" i="91"/>
  <c r="J1767" i="91"/>
  <c r="U1767" i="91"/>
  <c r="T1771" i="91"/>
  <c r="J1736" i="91"/>
  <c r="O1736" i="91"/>
  <c r="U1736" i="91"/>
  <c r="M1740" i="91"/>
  <c r="T1740" i="91"/>
  <c r="P1740" i="91"/>
  <c r="J1762" i="91"/>
  <c r="M1762" i="91"/>
  <c r="U1762" i="91"/>
  <c r="Q1762" i="91"/>
  <c r="R1766" i="91"/>
  <c r="N1766" i="91"/>
  <c r="T1766" i="91"/>
  <c r="L1770" i="91"/>
  <c r="S1770" i="91"/>
  <c r="O1770" i="91"/>
  <c r="L1735" i="91"/>
  <c r="R1735" i="91"/>
  <c r="N1735" i="91"/>
  <c r="O1739" i="91"/>
  <c r="K1739" i="91"/>
  <c r="S1739" i="91"/>
  <c r="V1739" i="91"/>
  <c r="J1765" i="91"/>
  <c r="P1765" i="91"/>
  <c r="U1765" i="91"/>
  <c r="M1769" i="91"/>
  <c r="U1769" i="91"/>
  <c r="Q1769" i="91"/>
  <c r="M1734" i="91"/>
  <c r="T1734" i="91"/>
  <c r="P1734" i="91"/>
  <c r="J1738" i="91"/>
  <c r="M1738" i="91"/>
  <c r="U1738" i="91"/>
  <c r="Q1738" i="91"/>
  <c r="R1742" i="91"/>
  <c r="N1742" i="91"/>
  <c r="T1742" i="91"/>
  <c r="L1764" i="91"/>
  <c r="S1764" i="91"/>
  <c r="O1764" i="91"/>
  <c r="P1768" i="91"/>
  <c r="L1768" i="91"/>
  <c r="T1768" i="91"/>
  <c r="AK57" i="32"/>
  <c r="AK44" i="32"/>
  <c r="AK37" i="32"/>
  <c r="AK21" i="32"/>
  <c r="AK12" i="32"/>
  <c r="AJ57" i="32"/>
  <c r="AG57" i="32"/>
  <c r="AG52" i="32"/>
  <c r="AH50" i="32"/>
  <c r="AI44" i="32"/>
  <c r="AJ43" i="32"/>
  <c r="AF43" i="32"/>
  <c r="AG40" i="32"/>
  <c r="AJ37" i="32"/>
  <c r="AI37" i="32"/>
  <c r="AH39" i="32"/>
  <c r="AF38" i="32"/>
  <c r="AJ31" i="32"/>
  <c r="AF31" i="32"/>
  <c r="AJ20" i="32"/>
  <c r="AI28" i="32"/>
  <c r="AI19" i="32"/>
  <c r="AH22" i="32"/>
  <c r="AH13" i="32"/>
  <c r="AG21" i="32"/>
  <c r="AG12" i="32"/>
  <c r="AF20" i="32"/>
  <c r="AJ11" i="32"/>
  <c r="AG11" i="32"/>
  <c r="AN14" i="31"/>
  <c r="AN21" i="31"/>
  <c r="AN12" i="31"/>
  <c r="AI34" i="31"/>
  <c r="AK32" i="31"/>
  <c r="AH34" i="31"/>
  <c r="AI32" i="31"/>
  <c r="AJ30" i="31"/>
  <c r="AK29" i="31"/>
  <c r="AL23" i="31"/>
  <c r="AI29" i="31"/>
  <c r="AK27" i="31"/>
  <c r="AL25" i="31"/>
  <c r="AF25" i="31"/>
  <c r="AG24" i="31"/>
  <c r="AK24" i="31"/>
  <c r="AK23" i="31"/>
  <c r="AL20" i="31"/>
  <c r="AF20" i="31"/>
  <c r="AG14" i="31"/>
  <c r="AK14" i="31"/>
  <c r="AF14" i="31"/>
  <c r="AJ21" i="31"/>
  <c r="AI22" i="31"/>
  <c r="AF21" i="31"/>
  <c r="AJ12" i="31"/>
  <c r="AF12" i="31"/>
  <c r="AK10" i="31"/>
  <c r="AI10" i="31"/>
  <c r="N1733" i="91"/>
  <c r="J1733" i="91"/>
  <c r="R1733" i="91"/>
  <c r="K1737" i="91"/>
  <c r="O1737" i="91"/>
  <c r="V1737" i="91"/>
  <c r="J1741" i="91"/>
  <c r="U1741" i="91"/>
  <c r="U1763" i="91"/>
  <c r="Q1763" i="91"/>
  <c r="N1767" i="91"/>
  <c r="O1771" i="91"/>
  <c r="R1736" i="91"/>
  <c r="N1736" i="91"/>
  <c r="T1736" i="91"/>
  <c r="L1740" i="91"/>
  <c r="S1740" i="91"/>
  <c r="O1740" i="91"/>
  <c r="P1762" i="91"/>
  <c r="L1762" i="91"/>
  <c r="T1762" i="91"/>
  <c r="L1766" i="91"/>
  <c r="Q1766" i="91"/>
  <c r="M1766" i="91"/>
  <c r="S1766" i="91"/>
  <c r="K1770" i="91"/>
  <c r="R1770" i="91"/>
  <c r="V1770" i="91"/>
  <c r="K1735" i="91"/>
  <c r="Q1735" i="91"/>
  <c r="V1735" i="91"/>
  <c r="N1739" i="91"/>
  <c r="J1739" i="91"/>
  <c r="R1739" i="91"/>
  <c r="M1765" i="91"/>
  <c r="S1765" i="91"/>
  <c r="O1765" i="91"/>
  <c r="T1765" i="91"/>
  <c r="L1769" i="91"/>
  <c r="T1769" i="91"/>
  <c r="P1769" i="91"/>
  <c r="L1734" i="91"/>
  <c r="S1734" i="91"/>
  <c r="O1734" i="91"/>
  <c r="P1738" i="91"/>
  <c r="L1738" i="91"/>
  <c r="T1738" i="91"/>
  <c r="L1742" i="91"/>
  <c r="Q1742" i="91"/>
  <c r="M1742" i="91"/>
  <c r="S1742" i="91"/>
  <c r="K1764" i="91"/>
  <c r="R1764" i="91"/>
  <c r="V1764" i="91"/>
  <c r="O1768" i="91"/>
  <c r="K1768" i="91"/>
  <c r="S1768" i="91"/>
  <c r="AK55" i="32"/>
  <c r="AK43" i="32"/>
  <c r="AK39" i="32"/>
  <c r="AK20" i="32"/>
  <c r="AK11" i="32"/>
  <c r="AI55" i="32"/>
  <c r="AF55" i="32"/>
  <c r="AH52" i="32"/>
  <c r="AH54" i="32"/>
  <c r="AI50" i="32"/>
  <c r="AJ44" i="32"/>
  <c r="AF44" i="32"/>
  <c r="AG43" i="32"/>
  <c r="AH40" i="32"/>
  <c r="AJ38" i="32"/>
  <c r="AI38" i="32"/>
  <c r="AH37" i="32"/>
  <c r="AG39" i="32"/>
  <c r="AK31" i="32"/>
  <c r="AG31" i="32"/>
  <c r="AJ21" i="32"/>
  <c r="AJ12" i="32"/>
  <c r="AI20" i="32"/>
  <c r="AH28" i="32"/>
  <c r="AH19" i="32"/>
  <c r="AG22" i="32"/>
  <c r="AG13" i="32"/>
  <c r="AF21" i="32"/>
  <c r="AF12" i="32"/>
  <c r="AH11" i="32"/>
  <c r="AN24" i="31"/>
  <c r="AN22" i="31"/>
  <c r="AN20" i="31"/>
  <c r="AJ34" i="31"/>
  <c r="AL32" i="31"/>
  <c r="AF32" i="31"/>
  <c r="AJ32" i="31"/>
  <c r="AK30" i="31"/>
  <c r="AL29" i="31"/>
  <c r="AF29" i="31"/>
  <c r="AH27" i="31"/>
  <c r="AL27" i="31"/>
  <c r="AF27" i="31"/>
  <c r="AG25" i="31"/>
  <c r="AH24" i="31"/>
  <c r="AH23" i="31"/>
  <c r="AF24" i="31"/>
  <c r="AF23" i="31"/>
  <c r="AG20" i="31"/>
  <c r="AH14" i="31"/>
  <c r="AL21" i="31"/>
  <c r="AK21" i="31"/>
  <c r="AJ22" i="31"/>
  <c r="AG21" i="31"/>
  <c r="AF22" i="31"/>
  <c r="AK12" i="31"/>
  <c r="AG12" i="31"/>
  <c r="AF10" i="31"/>
  <c r="J10" i="61"/>
  <c r="M1733" i="91"/>
  <c r="U1733" i="91"/>
  <c r="Q1733" i="91"/>
  <c r="J1737" i="91"/>
  <c r="N1737" i="91"/>
  <c r="U1737" i="91"/>
  <c r="M1741" i="91"/>
  <c r="S1741" i="91"/>
  <c r="O1741" i="91"/>
  <c r="T1741" i="91"/>
  <c r="L1763" i="91"/>
  <c r="T1763" i="91"/>
  <c r="P1763" i="91"/>
  <c r="Q1767" i="91"/>
  <c r="M1767" i="91"/>
  <c r="T1767" i="91"/>
  <c r="L1771" i="91"/>
  <c r="R1771" i="91"/>
  <c r="N1771" i="91"/>
  <c r="AJ54" i="32"/>
  <c r="V1771" i="91"/>
  <c r="AF54" i="32"/>
  <c r="M1771" i="91"/>
  <c r="L1736" i="91"/>
  <c r="Q1736" i="91"/>
  <c r="M1736" i="91"/>
  <c r="S1736" i="91"/>
  <c r="K1740" i="91"/>
  <c r="R1740" i="91"/>
  <c r="V1740" i="91"/>
  <c r="O1762" i="91"/>
  <c r="K1762" i="91"/>
  <c r="S1762" i="91"/>
  <c r="K1766" i="91"/>
  <c r="P1766" i="91"/>
  <c r="V1766" i="91"/>
  <c r="N1770" i="91"/>
  <c r="J1770" i="91"/>
  <c r="Q1770" i="91"/>
  <c r="U1770" i="91"/>
  <c r="J1735" i="91"/>
  <c r="P1735" i="91"/>
  <c r="U1735" i="91"/>
  <c r="M1739" i="91"/>
  <c r="U1739" i="91"/>
  <c r="Q1739" i="91"/>
  <c r="L1765" i="91"/>
  <c r="R1765" i="91"/>
  <c r="N1765" i="91"/>
  <c r="O1769" i="91"/>
  <c r="K1769" i="91"/>
  <c r="S1769" i="91"/>
  <c r="V1769" i="91"/>
  <c r="K1734" i="91"/>
  <c r="R1734" i="91"/>
  <c r="V1734" i="91"/>
  <c r="O1738" i="91"/>
  <c r="K1738" i="91"/>
  <c r="S1738" i="91"/>
  <c r="K1742" i="91"/>
  <c r="P1742" i="91"/>
  <c r="V1742" i="91"/>
  <c r="N1764" i="91"/>
  <c r="J1764" i="91"/>
  <c r="Q1764" i="91"/>
  <c r="U1764" i="91"/>
  <c r="N1768" i="91"/>
  <c r="V1768" i="91"/>
  <c r="R1768" i="91"/>
  <c r="AK52" i="32"/>
  <c r="AK54" i="32"/>
  <c r="AK40" i="32"/>
  <c r="AK28" i="32"/>
  <c r="AK19" i="32"/>
  <c r="AH57" i="32"/>
  <c r="AJ55" i="32"/>
  <c r="AG55" i="32"/>
  <c r="AI52" i="32"/>
  <c r="AJ50" i="32"/>
  <c r="AF50" i="32"/>
  <c r="AG44" i="32"/>
  <c r="AH43" i="32"/>
  <c r="AI40" i="32"/>
  <c r="AF40" i="32"/>
  <c r="AJ39" i="32"/>
  <c r="AH38" i="32"/>
  <c r="AG37" i="32"/>
  <c r="AF39" i="32"/>
  <c r="AH31" i="32"/>
  <c r="AJ22" i="32"/>
  <c r="AJ13" i="32"/>
  <c r="AI21" i="32"/>
  <c r="AI12" i="32"/>
  <c r="AH20" i="32"/>
  <c r="AG28" i="32"/>
  <c r="AG19" i="32"/>
  <c r="AF22" i="32"/>
  <c r="AF13" i="32"/>
  <c r="AN32" i="31"/>
  <c r="AN25" i="31"/>
  <c r="AN29" i="31"/>
  <c r="AN23" i="31"/>
  <c r="AK34" i="31"/>
  <c r="AF34" i="31"/>
  <c r="AG32" i="31"/>
  <c r="AH30" i="31"/>
  <c r="AL30" i="31"/>
  <c r="AF30" i="31"/>
  <c r="AG29" i="31"/>
  <c r="AI27" i="31"/>
  <c r="AJ25" i="31"/>
  <c r="AG27" i="31"/>
  <c r="AH25" i="31"/>
  <c r="AI24" i="31"/>
  <c r="AI23" i="31"/>
  <c r="AJ20" i="31"/>
  <c r="AG23" i="31"/>
  <c r="AH20" i="31"/>
  <c r="AI14" i="31"/>
  <c r="AL22" i="31"/>
  <c r="AK22" i="31"/>
  <c r="AH21" i="31"/>
  <c r="AG22" i="31"/>
  <c r="AL12" i="31"/>
  <c r="AH12" i="31"/>
  <c r="AG10" i="31"/>
  <c r="J12" i="61"/>
  <c r="L1733" i="91"/>
  <c r="T1733" i="91"/>
  <c r="P1733" i="91"/>
  <c r="Q1737" i="91"/>
  <c r="M1737" i="91"/>
  <c r="T1737" i="91"/>
  <c r="L1741" i="91"/>
  <c r="R1741" i="91"/>
  <c r="N1741" i="91"/>
  <c r="O1763" i="91"/>
  <c r="K1763" i="91"/>
  <c r="S1763" i="91"/>
  <c r="V1763" i="91"/>
  <c r="P1767" i="91"/>
  <c r="L1767" i="91"/>
  <c r="S1767" i="91"/>
  <c r="K1771" i="91"/>
  <c r="Q1771" i="91"/>
  <c r="AG54" i="32"/>
  <c r="S1771" i="91"/>
  <c r="AI54" i="32"/>
  <c r="DU276" i="91"/>
  <c r="DU255" i="91"/>
  <c r="DU265" i="91"/>
  <c r="DV232" i="91"/>
  <c r="DV257" i="91"/>
  <c r="DV261" i="91"/>
  <c r="DU278" i="91"/>
  <c r="DU239" i="91"/>
  <c r="DU275" i="91"/>
  <c r="DV276" i="91"/>
  <c r="DV233" i="91"/>
  <c r="DV259" i="91"/>
  <c r="DV275" i="91"/>
  <c r="DV264" i="91"/>
  <c r="DV237" i="91"/>
  <c r="DV242" i="91"/>
  <c r="DV231" i="91"/>
  <c r="DV236" i="91"/>
  <c r="DV241" i="91"/>
  <c r="DV240" i="91"/>
  <c r="DV245" i="91"/>
  <c r="DV271" i="91"/>
  <c r="DV228" i="91"/>
  <c r="DV263" i="91"/>
  <c r="DV235" i="91"/>
  <c r="DU277" i="91"/>
  <c r="DU241" i="91"/>
  <c r="DU247" i="91"/>
  <c r="DV260" i="91"/>
  <c r="DV265" i="91"/>
  <c r="DV238" i="91"/>
  <c r="DV227" i="91"/>
  <c r="DV243" i="91"/>
  <c r="DV269" i="91"/>
  <c r="DV226" i="91"/>
  <c r="DV225" i="91"/>
  <c r="DV230" i="91"/>
  <c r="DV267" i="91"/>
  <c r="DV224" i="91"/>
  <c r="DV229" i="91"/>
  <c r="DV255" i="91"/>
  <c r="DV239" i="91"/>
  <c r="DV270" i="91"/>
  <c r="DV248" i="91"/>
  <c r="DV279" i="91"/>
  <c r="DV268" i="91"/>
  <c r="DV278" i="91"/>
  <c r="DV246" i="91"/>
  <c r="DV277" i="91"/>
  <c r="DV223" i="91"/>
  <c r="DV258" i="91"/>
  <c r="DV262" i="91"/>
  <c r="DV266" i="91"/>
  <c r="DU228" i="91"/>
  <c r="DU248" i="91"/>
  <c r="DV244" i="91"/>
  <c r="DV274" i="91"/>
  <c r="DV273" i="91"/>
  <c r="DV272" i="91"/>
  <c r="DV234" i="91"/>
  <c r="DV254" i="91"/>
  <c r="DV247" i="91"/>
  <c r="DV256" i="91"/>
  <c r="DU292" i="91"/>
  <c r="DU308" i="91"/>
  <c r="DU288" i="91"/>
  <c r="DU300" i="91"/>
  <c r="DU290" i="91"/>
  <c r="DU294" i="91"/>
  <c r="DU286" i="91"/>
  <c r="DU296" i="91"/>
  <c r="DU306" i="91"/>
  <c r="DU310" i="91"/>
  <c r="DU287" i="91"/>
  <c r="DU302" i="91"/>
  <c r="DU298" i="91"/>
  <c r="J1812" i="91"/>
  <c r="J1841" i="91"/>
  <c r="J1808" i="91"/>
  <c r="J1837" i="91"/>
  <c r="J1804" i="91"/>
  <c r="J1833" i="91"/>
  <c r="DU299" i="91"/>
  <c r="DU289" i="91"/>
  <c r="DU305" i="91"/>
  <c r="DU303" i="91"/>
  <c r="DU293" i="91"/>
  <c r="DU309" i="91"/>
  <c r="DU291" i="91"/>
  <c r="DU307" i="91"/>
  <c r="DU297" i="91"/>
  <c r="DU295" i="91"/>
  <c r="DU285" i="91"/>
  <c r="DU301" i="91"/>
  <c r="I37" i="18"/>
  <c r="F54" i="32"/>
  <c r="J54" i="32"/>
  <c r="I54" i="32"/>
  <c r="H54" i="32"/>
  <c r="G54" i="32"/>
  <c r="K54" i="32"/>
  <c r="T1799" i="91"/>
  <c r="T1828" i="91"/>
  <c r="O35" i="66"/>
  <c r="U1799" i="91"/>
  <c r="U1828" i="91"/>
  <c r="P35" i="66"/>
  <c r="V1799" i="91"/>
  <c r="V1828" i="91"/>
  <c r="Q35" i="66"/>
  <c r="N1799" i="91"/>
  <c r="N1828" i="91"/>
  <c r="I35" i="66"/>
  <c r="O1799" i="91"/>
  <c r="O1828" i="91"/>
  <c r="J35" i="66"/>
  <c r="P1799" i="91"/>
  <c r="P1828" i="91"/>
  <c r="K35" i="66"/>
  <c r="Q1799" i="91"/>
  <c r="Q1828" i="91"/>
  <c r="L35" i="66"/>
  <c r="R1799" i="91"/>
  <c r="R1828" i="91"/>
  <c r="M35" i="66"/>
  <c r="S1799" i="91"/>
  <c r="S1828" i="91"/>
  <c r="N35" i="66"/>
  <c r="J1799" i="91"/>
  <c r="J1828" i="91"/>
  <c r="E35" i="66"/>
  <c r="K1799" i="91"/>
  <c r="K1828" i="91"/>
  <c r="F35" i="66"/>
  <c r="L1799" i="91"/>
  <c r="L1828" i="91"/>
  <c r="G35" i="66"/>
  <c r="M1799" i="91"/>
  <c r="M1828" i="91"/>
  <c r="H35" i="66"/>
  <c r="R1795" i="91"/>
  <c r="R1824" i="91"/>
  <c r="M31" i="66"/>
  <c r="S1795" i="91"/>
  <c r="S1824" i="91"/>
  <c r="N31" i="66"/>
  <c r="T1795" i="91"/>
  <c r="T1824" i="91"/>
  <c r="O31" i="66"/>
  <c r="U1795" i="91"/>
  <c r="U1824" i="91"/>
  <c r="P31" i="66"/>
  <c r="V1795" i="91"/>
  <c r="V1824" i="91"/>
  <c r="Q31" i="66"/>
  <c r="L1795" i="91"/>
  <c r="L1824" i="91"/>
  <c r="G31" i="66"/>
  <c r="M1795" i="91"/>
  <c r="M1824" i="91"/>
  <c r="H31" i="66"/>
  <c r="N1795" i="91"/>
  <c r="N1824" i="91"/>
  <c r="I31" i="66"/>
  <c r="O1795" i="91"/>
  <c r="O1824" i="91"/>
  <c r="J31" i="66"/>
  <c r="P1795" i="91"/>
  <c r="P1824" i="91"/>
  <c r="K31" i="66"/>
  <c r="Q1795" i="91"/>
  <c r="Q1824" i="91"/>
  <c r="L31" i="66"/>
  <c r="J1795" i="91"/>
  <c r="J1824" i="91"/>
  <c r="E31" i="66"/>
  <c r="K1795" i="91"/>
  <c r="K1824" i="91"/>
  <c r="F31" i="66"/>
  <c r="V1791" i="91"/>
  <c r="V1820" i="91"/>
  <c r="Q27" i="66"/>
  <c r="P1791" i="91"/>
  <c r="P1820" i="91"/>
  <c r="K27" i="66"/>
  <c r="Q1791" i="91"/>
  <c r="Q1820" i="91"/>
  <c r="L27" i="66"/>
  <c r="R1791" i="91"/>
  <c r="R1820" i="91"/>
  <c r="M27" i="66"/>
  <c r="S1791" i="91"/>
  <c r="S1820" i="91"/>
  <c r="N27" i="66"/>
  <c r="T1791" i="91"/>
  <c r="T1820" i="91"/>
  <c r="O27" i="66"/>
  <c r="U1791" i="91"/>
  <c r="U1820" i="91"/>
  <c r="P27" i="66"/>
  <c r="J1791" i="91"/>
  <c r="J1820" i="91"/>
  <c r="E27" i="66"/>
  <c r="K1791" i="91"/>
  <c r="K1820" i="91"/>
  <c r="F27" i="66"/>
  <c r="L1791" i="91"/>
  <c r="L1820" i="91"/>
  <c r="G27" i="66"/>
  <c r="M1791" i="91"/>
  <c r="M1820" i="91"/>
  <c r="H27" i="66"/>
  <c r="N1791" i="91"/>
  <c r="N1820" i="91"/>
  <c r="I27" i="66"/>
  <c r="O1791" i="91"/>
  <c r="O1820" i="91"/>
  <c r="J27" i="66"/>
  <c r="I10" i="31"/>
  <c r="H10" i="31"/>
  <c r="G10" i="31"/>
  <c r="F10" i="31"/>
  <c r="AO10" i="31"/>
  <c r="S37" i="31"/>
  <c r="F31" i="33"/>
  <c r="K10" i="31"/>
  <c r="J10" i="31"/>
  <c r="AH11" i="31"/>
  <c r="H11" i="31"/>
  <c r="AG11" i="31"/>
  <c r="G11" i="31"/>
  <c r="L596" i="91"/>
  <c r="AF11" i="31"/>
  <c r="F11" i="31"/>
  <c r="K596" i="91"/>
  <c r="L10" i="31"/>
  <c r="AL11" i="31"/>
  <c r="L11" i="31"/>
  <c r="AK11" i="31"/>
  <c r="K11" i="31"/>
  <c r="P596" i="91"/>
  <c r="AO12" i="31"/>
  <c r="S38" i="31"/>
  <c r="AJ11" i="31"/>
  <c r="J11" i="31"/>
  <c r="O596" i="91"/>
  <c r="AI11" i="31"/>
  <c r="I11" i="31"/>
  <c r="N596" i="91"/>
  <c r="F22" i="31"/>
  <c r="F21" i="31"/>
  <c r="G22" i="31"/>
  <c r="G21" i="31"/>
  <c r="H22" i="31"/>
  <c r="H21" i="31"/>
  <c r="I22" i="31"/>
  <c r="I21" i="31"/>
  <c r="J22" i="31"/>
  <c r="J21" i="31"/>
  <c r="K22" i="31"/>
  <c r="K21" i="31"/>
  <c r="F14" i="31"/>
  <c r="L22" i="31"/>
  <c r="F77" i="33"/>
  <c r="F315" i="33"/>
  <c r="L21" i="31"/>
  <c r="K14" i="31"/>
  <c r="J14" i="31"/>
  <c r="I14" i="31"/>
  <c r="H14" i="31"/>
  <c r="G14" i="31"/>
  <c r="L14" i="31"/>
  <c r="AO20" i="31"/>
  <c r="S39" i="31"/>
  <c r="F24" i="31"/>
  <c r="AO23" i="31"/>
  <c r="S40" i="31"/>
  <c r="K24" i="31"/>
  <c r="J24" i="31"/>
  <c r="E84" i="33"/>
  <c r="I24" i="31"/>
  <c r="H24" i="31"/>
  <c r="G24" i="31"/>
  <c r="I25" i="31"/>
  <c r="H25" i="31"/>
  <c r="G25" i="31"/>
  <c r="F25" i="31"/>
  <c r="L24" i="31"/>
  <c r="F84" i="33"/>
  <c r="AG26" i="31"/>
  <c r="G26" i="31"/>
  <c r="AF26" i="31"/>
  <c r="F26" i="31"/>
  <c r="L25" i="31"/>
  <c r="K25" i="31"/>
  <c r="S25" i="31"/>
  <c r="J25" i="31"/>
  <c r="AL26" i="31"/>
  <c r="L26" i="31"/>
  <c r="AK26" i="31"/>
  <c r="K26" i="31"/>
  <c r="AJ26" i="31"/>
  <c r="J26" i="31"/>
  <c r="AI26" i="31"/>
  <c r="I26" i="31"/>
  <c r="Q26" i="31"/>
  <c r="AH26" i="31"/>
  <c r="H26" i="31"/>
  <c r="AI28" i="31"/>
  <c r="I28" i="31"/>
  <c r="Q28" i="31"/>
  <c r="AH28" i="31"/>
  <c r="H28" i="31"/>
  <c r="P28" i="31"/>
  <c r="AG28" i="31"/>
  <c r="G28" i="31"/>
  <c r="AF28" i="31"/>
  <c r="F28" i="31"/>
  <c r="G30" i="31"/>
  <c r="F30" i="31"/>
  <c r="AL28" i="31"/>
  <c r="L28" i="31"/>
  <c r="AK28" i="31"/>
  <c r="K28" i="31"/>
  <c r="AJ28" i="31"/>
  <c r="J28" i="31"/>
  <c r="L30" i="31"/>
  <c r="K30" i="31"/>
  <c r="J30" i="31"/>
  <c r="I30" i="31"/>
  <c r="H30" i="31"/>
  <c r="AJ31" i="31"/>
  <c r="J31" i="31"/>
  <c r="AI31" i="31"/>
  <c r="I31" i="31"/>
  <c r="AH31" i="31"/>
  <c r="H31" i="31"/>
  <c r="AG31" i="31"/>
  <c r="G31" i="31"/>
  <c r="AF31" i="31"/>
  <c r="F31" i="31"/>
  <c r="H34" i="31"/>
  <c r="G34" i="31"/>
  <c r="F34" i="31"/>
  <c r="AL31" i="31"/>
  <c r="L31" i="31"/>
  <c r="AK31" i="31"/>
  <c r="K31" i="31"/>
  <c r="L34" i="31"/>
  <c r="K34" i="31"/>
  <c r="J34" i="31"/>
  <c r="I34" i="31"/>
  <c r="S44" i="31"/>
  <c r="S43" i="31"/>
  <c r="S42" i="31"/>
  <c r="S41" i="31"/>
  <c r="AN11" i="31"/>
  <c r="AN28" i="31"/>
  <c r="AN26" i="31"/>
  <c r="AN31" i="31"/>
  <c r="H11" i="32"/>
  <c r="G11" i="32"/>
  <c r="F11" i="32"/>
  <c r="F13" i="32"/>
  <c r="F12" i="32"/>
  <c r="J11" i="32"/>
  <c r="I11" i="32"/>
  <c r="F22" i="32"/>
  <c r="F21" i="32"/>
  <c r="F20" i="32"/>
  <c r="AF14" i="32"/>
  <c r="F14" i="32"/>
  <c r="AG14" i="32"/>
  <c r="G14" i="32"/>
  <c r="G13" i="32"/>
  <c r="G12" i="32"/>
  <c r="AF23" i="32"/>
  <c r="F23" i="32"/>
  <c r="AG23" i="32"/>
  <c r="G23" i="32"/>
  <c r="G22" i="32"/>
  <c r="G21" i="32"/>
  <c r="G20" i="32"/>
  <c r="H20" i="32"/>
  <c r="AH14" i="32"/>
  <c r="H14" i="32"/>
  <c r="H13" i="32"/>
  <c r="H12" i="32"/>
  <c r="I12" i="32"/>
  <c r="AH23" i="32"/>
  <c r="H23" i="32"/>
  <c r="H22" i="32"/>
  <c r="H21" i="32"/>
  <c r="I21" i="32"/>
  <c r="I20" i="32"/>
  <c r="AI14" i="32"/>
  <c r="I14" i="32"/>
  <c r="I13" i="32"/>
  <c r="J13" i="32"/>
  <c r="J12" i="32"/>
  <c r="AI23" i="32"/>
  <c r="I23" i="32"/>
  <c r="I22" i="32"/>
  <c r="J22" i="32"/>
  <c r="J21" i="32"/>
  <c r="J20" i="32"/>
  <c r="AJ14" i="32"/>
  <c r="J14" i="32"/>
  <c r="H31" i="32"/>
  <c r="G31" i="32"/>
  <c r="F31" i="32"/>
  <c r="AJ23" i="32"/>
  <c r="J23" i="32"/>
  <c r="AF32" i="32"/>
  <c r="F32" i="32"/>
  <c r="K31" i="32"/>
  <c r="J31" i="32"/>
  <c r="E188" i="33"/>
  <c r="I31" i="32"/>
  <c r="G37" i="32"/>
  <c r="AG32" i="32"/>
  <c r="G32" i="32"/>
  <c r="F38" i="32"/>
  <c r="F37" i="32"/>
  <c r="H38" i="32"/>
  <c r="H37" i="32"/>
  <c r="AH32" i="32"/>
  <c r="H32" i="32"/>
  <c r="G38" i="32"/>
  <c r="AJ32" i="32"/>
  <c r="J32" i="32"/>
  <c r="I38" i="32"/>
  <c r="I37" i="32"/>
  <c r="AI32" i="32"/>
  <c r="I32" i="32"/>
  <c r="F40" i="32"/>
  <c r="J38" i="32"/>
  <c r="E222" i="33"/>
  <c r="J37" i="32"/>
  <c r="E218" i="33"/>
  <c r="J40" i="32"/>
  <c r="I40" i="32"/>
  <c r="H40" i="32"/>
  <c r="G40" i="32"/>
  <c r="I43" i="32"/>
  <c r="H43" i="32"/>
  <c r="G43" i="32"/>
  <c r="F43" i="32"/>
  <c r="H44" i="32"/>
  <c r="G44" i="32"/>
  <c r="F44" i="32"/>
  <c r="J43" i="32"/>
  <c r="E248" i="33"/>
  <c r="AG45" i="32"/>
  <c r="G45" i="32"/>
  <c r="AF45" i="32"/>
  <c r="F45" i="32"/>
  <c r="J44" i="32"/>
  <c r="I44" i="32"/>
  <c r="F52" i="32"/>
  <c r="AJ45" i="32"/>
  <c r="J45" i="32"/>
  <c r="AI45" i="32"/>
  <c r="I45" i="32"/>
  <c r="AH45" i="32"/>
  <c r="H45" i="32"/>
  <c r="J52" i="32"/>
  <c r="I52" i="32"/>
  <c r="H52" i="32"/>
  <c r="G52" i="32"/>
  <c r="K11" i="32"/>
  <c r="K12" i="32"/>
  <c r="K13" i="32"/>
  <c r="AK14" i="32"/>
  <c r="K14" i="32"/>
  <c r="K20" i="32"/>
  <c r="F152" i="33"/>
  <c r="K21" i="32"/>
  <c r="K22" i="32"/>
  <c r="AK23" i="32"/>
  <c r="K23" i="32"/>
  <c r="AK32" i="32"/>
  <c r="K32" i="32"/>
  <c r="K37" i="32"/>
  <c r="K38" i="32"/>
  <c r="K40" i="32"/>
  <c r="F227" i="33"/>
  <c r="K43" i="32"/>
  <c r="K44" i="32"/>
  <c r="AK45" i="32"/>
  <c r="K45" i="32"/>
  <c r="K52" i="32"/>
  <c r="S1800" i="91"/>
  <c r="S1829" i="91"/>
  <c r="N36" i="66"/>
  <c r="T1800" i="91"/>
  <c r="T1829" i="91"/>
  <c r="O36" i="66"/>
  <c r="U1800" i="91"/>
  <c r="U1829" i="91"/>
  <c r="P36" i="66"/>
  <c r="V1800" i="91"/>
  <c r="V1829" i="91"/>
  <c r="Q36" i="66"/>
  <c r="M1800" i="91"/>
  <c r="M1829" i="91"/>
  <c r="H36" i="66"/>
  <c r="N1800" i="91"/>
  <c r="N1829" i="91"/>
  <c r="I36" i="66"/>
  <c r="O1800" i="91"/>
  <c r="O1829" i="91"/>
  <c r="J36" i="66"/>
  <c r="P1800" i="91"/>
  <c r="P1829" i="91"/>
  <c r="K36" i="66"/>
  <c r="Q1800" i="91"/>
  <c r="Q1829" i="91"/>
  <c r="L36" i="66"/>
  <c r="R1800" i="91"/>
  <c r="R1829" i="91"/>
  <c r="M36" i="66"/>
  <c r="J1800" i="91"/>
  <c r="J1829" i="91"/>
  <c r="E36" i="66"/>
  <c r="K1800" i="91"/>
  <c r="K1829" i="91"/>
  <c r="F36" i="66"/>
  <c r="L1800" i="91"/>
  <c r="L1829" i="91"/>
  <c r="G36" i="66"/>
  <c r="Q1796" i="91"/>
  <c r="Q1825" i="91"/>
  <c r="L32" i="66"/>
  <c r="R1796" i="91"/>
  <c r="R1825" i="91"/>
  <c r="M32" i="66"/>
  <c r="S1796" i="91"/>
  <c r="S1825" i="91"/>
  <c r="N32" i="66"/>
  <c r="T1796" i="91"/>
  <c r="T1825" i="91"/>
  <c r="O32" i="66"/>
  <c r="U1796" i="91"/>
  <c r="U1825" i="91"/>
  <c r="P32" i="66"/>
  <c r="V1796" i="91"/>
  <c r="V1825" i="91"/>
  <c r="Q32" i="66"/>
  <c r="K1796" i="91"/>
  <c r="K1825" i="91"/>
  <c r="F32" i="66"/>
  <c r="L1796" i="91"/>
  <c r="L1825" i="91"/>
  <c r="G32" i="66"/>
  <c r="M1796" i="91"/>
  <c r="M1825" i="91"/>
  <c r="H32" i="66"/>
  <c r="N1796" i="91"/>
  <c r="N1825" i="91"/>
  <c r="I32" i="66"/>
  <c r="O1796" i="91"/>
  <c r="O1825" i="91"/>
  <c r="J32" i="66"/>
  <c r="P1796" i="91"/>
  <c r="P1825" i="91"/>
  <c r="K32" i="66"/>
  <c r="J1796" i="91"/>
  <c r="J1825" i="91"/>
  <c r="E32" i="66"/>
  <c r="U1792" i="91"/>
  <c r="U1821" i="91"/>
  <c r="P28" i="66"/>
  <c r="V1792" i="91"/>
  <c r="V1821" i="91"/>
  <c r="Q28" i="66"/>
  <c r="O1792" i="91"/>
  <c r="O1821" i="91"/>
  <c r="J28" i="66"/>
  <c r="P1792" i="91"/>
  <c r="P1821" i="91"/>
  <c r="K28" i="66"/>
  <c r="Q1792" i="91"/>
  <c r="Q1821" i="91"/>
  <c r="L28" i="66"/>
  <c r="R1792" i="91"/>
  <c r="R1821" i="91"/>
  <c r="M28" i="66"/>
  <c r="S1792" i="91"/>
  <c r="S1821" i="91"/>
  <c r="N28" i="66"/>
  <c r="T1792" i="91"/>
  <c r="T1821" i="91"/>
  <c r="O28" i="66"/>
  <c r="J1792" i="91"/>
  <c r="J1821" i="91"/>
  <c r="E28" i="66"/>
  <c r="K1792" i="91"/>
  <c r="K1821" i="91"/>
  <c r="F28" i="66"/>
  <c r="L1792" i="91"/>
  <c r="L1821" i="91"/>
  <c r="G28" i="66"/>
  <c r="M1792" i="91"/>
  <c r="M1821" i="91"/>
  <c r="H28" i="66"/>
  <c r="N1792" i="91"/>
  <c r="N1821" i="91"/>
  <c r="I28" i="66"/>
  <c r="DV310" i="91"/>
  <c r="DV309" i="91"/>
  <c r="DV308" i="91"/>
  <c r="DV307" i="91"/>
  <c r="DV306" i="91"/>
  <c r="DV305" i="91"/>
  <c r="DV304" i="91"/>
  <c r="DV303" i="91"/>
  <c r="DV302" i="91"/>
  <c r="DV301" i="91"/>
  <c r="DV300" i="91"/>
  <c r="DV299" i="91"/>
  <c r="DV298" i="91"/>
  <c r="DV297" i="91"/>
  <c r="DV296" i="91"/>
  <c r="DV295" i="91"/>
  <c r="DV294" i="91"/>
  <c r="DV293" i="91"/>
  <c r="DV292" i="91"/>
  <c r="DV291" i="91"/>
  <c r="DV290" i="91"/>
  <c r="DV289" i="91"/>
  <c r="DV288" i="91"/>
  <c r="DV287" i="91"/>
  <c r="DV286" i="91"/>
  <c r="DV285" i="91"/>
  <c r="V1797" i="91"/>
  <c r="V1826" i="91"/>
  <c r="Q33" i="66"/>
  <c r="P1797" i="91"/>
  <c r="P1826" i="91"/>
  <c r="K33" i="66"/>
  <c r="Q1797" i="91"/>
  <c r="Q1826" i="91"/>
  <c r="L33" i="66"/>
  <c r="R1797" i="91"/>
  <c r="R1826" i="91"/>
  <c r="M33" i="66"/>
  <c r="S1797" i="91"/>
  <c r="S1826" i="91"/>
  <c r="N33" i="66"/>
  <c r="T1797" i="91"/>
  <c r="T1826" i="91"/>
  <c r="O33" i="66"/>
  <c r="U1797" i="91"/>
  <c r="U1826" i="91"/>
  <c r="P33" i="66"/>
  <c r="J1797" i="91"/>
  <c r="J1826" i="91"/>
  <c r="E33" i="66"/>
  <c r="K1797" i="91"/>
  <c r="K1826" i="91"/>
  <c r="F33" i="66"/>
  <c r="L1797" i="91"/>
  <c r="L1826" i="91"/>
  <c r="G33" i="66"/>
  <c r="M1797" i="91"/>
  <c r="M1826" i="91"/>
  <c r="H33" i="66"/>
  <c r="N1797" i="91"/>
  <c r="N1826" i="91"/>
  <c r="I33" i="66"/>
  <c r="O1797" i="91"/>
  <c r="O1826" i="91"/>
  <c r="J33" i="66"/>
  <c r="T1793" i="91"/>
  <c r="T1822" i="91"/>
  <c r="O29" i="66"/>
  <c r="U1793" i="91"/>
  <c r="U1822" i="91"/>
  <c r="P29" i="66"/>
  <c r="V1793" i="91"/>
  <c r="V1822" i="91"/>
  <c r="Q29" i="66"/>
  <c r="N1793" i="91"/>
  <c r="N1822" i="91"/>
  <c r="I29" i="66"/>
  <c r="O1793" i="91"/>
  <c r="O1822" i="91"/>
  <c r="J29" i="66"/>
  <c r="P1793" i="91"/>
  <c r="P1822" i="91"/>
  <c r="K29" i="66"/>
  <c r="Q1793" i="91"/>
  <c r="Q1822" i="91"/>
  <c r="L29" i="66"/>
  <c r="R1793" i="91"/>
  <c r="R1822" i="91"/>
  <c r="M29" i="66"/>
  <c r="S1793" i="91"/>
  <c r="S1822" i="91"/>
  <c r="N29" i="66"/>
  <c r="J1793" i="91"/>
  <c r="J1822" i="91"/>
  <c r="E29" i="66"/>
  <c r="K1793" i="91"/>
  <c r="K1822" i="91"/>
  <c r="F29" i="66"/>
  <c r="L1793" i="91"/>
  <c r="L1822" i="91"/>
  <c r="G29" i="66"/>
  <c r="M1793" i="91"/>
  <c r="M1822" i="91"/>
  <c r="H29" i="66"/>
  <c r="U1798" i="91"/>
  <c r="U1827" i="91"/>
  <c r="P34" i="66"/>
  <c r="V1798" i="91"/>
  <c r="V1827" i="91"/>
  <c r="Q34" i="66"/>
  <c r="O1798" i="91"/>
  <c r="O1827" i="91"/>
  <c r="J34" i="66"/>
  <c r="P1798" i="91"/>
  <c r="P1827" i="91"/>
  <c r="K34" i="66"/>
  <c r="Q1798" i="91"/>
  <c r="Q1827" i="91"/>
  <c r="L34" i="66"/>
  <c r="R1798" i="91"/>
  <c r="R1827" i="91"/>
  <c r="M34" i="66"/>
  <c r="S1798" i="91"/>
  <c r="S1827" i="91"/>
  <c r="N34" i="66"/>
  <c r="T1798" i="91"/>
  <c r="T1827" i="91"/>
  <c r="O34" i="66"/>
  <c r="J1798" i="91"/>
  <c r="J1827" i="91"/>
  <c r="E34" i="66"/>
  <c r="K1798" i="91"/>
  <c r="K1827" i="91"/>
  <c r="F34" i="66"/>
  <c r="L1798" i="91"/>
  <c r="L1827" i="91"/>
  <c r="G34" i="66"/>
  <c r="M1798" i="91"/>
  <c r="M1827" i="91"/>
  <c r="H34" i="66"/>
  <c r="N1798" i="91"/>
  <c r="N1827" i="91"/>
  <c r="I34" i="66"/>
  <c r="S1794" i="91"/>
  <c r="S1823" i="91"/>
  <c r="N30" i="66"/>
  <c r="T1794" i="91"/>
  <c r="T1823" i="91"/>
  <c r="O30" i="66"/>
  <c r="U1794" i="91"/>
  <c r="U1823" i="91"/>
  <c r="P30" i="66"/>
  <c r="V1794" i="91"/>
  <c r="V1823" i="91"/>
  <c r="Q30" i="66"/>
  <c r="M1794" i="91"/>
  <c r="M1823" i="91"/>
  <c r="H30" i="66"/>
  <c r="N1794" i="91"/>
  <c r="N1823" i="91"/>
  <c r="I30" i="66"/>
  <c r="O1794" i="91"/>
  <c r="O1823" i="91"/>
  <c r="J30" i="66"/>
  <c r="P1794" i="91"/>
  <c r="P1823" i="91"/>
  <c r="K30" i="66"/>
  <c r="Q1794" i="91"/>
  <c r="Q1823" i="91"/>
  <c r="L30" i="66"/>
  <c r="R1794" i="91"/>
  <c r="R1823" i="91"/>
  <c r="M30" i="66"/>
  <c r="J1794" i="91"/>
  <c r="J1823" i="91"/>
  <c r="E30" i="66"/>
  <c r="K1794" i="91"/>
  <c r="K1823" i="91"/>
  <c r="F30" i="66"/>
  <c r="L1794" i="91"/>
  <c r="L1823" i="91"/>
  <c r="G30" i="66"/>
  <c r="G24" i="56"/>
  <c r="B28" i="68"/>
  <c r="B29" i="68"/>
  <c r="B30" i="68"/>
  <c r="B31" i="68"/>
  <c r="B32" i="68"/>
  <c r="B33" i="68"/>
  <c r="F28" i="33"/>
  <c r="E45" i="33"/>
  <c r="F62" i="33"/>
  <c r="E66" i="33"/>
  <c r="E77" i="33"/>
  <c r="F234" i="33"/>
  <c r="F85" i="33"/>
  <c r="F86" i="33"/>
  <c r="E108" i="33"/>
  <c r="F118" i="33"/>
  <c r="F128" i="33"/>
  <c r="F138" i="33"/>
  <c r="E152" i="33"/>
  <c r="F154" i="33"/>
  <c r="E163" i="33"/>
  <c r="E173" i="33"/>
  <c r="F193" i="33"/>
  <c r="F203" i="33"/>
  <c r="F213" i="33"/>
  <c r="E241" i="33"/>
  <c r="F261" i="33"/>
  <c r="F271" i="33"/>
  <c r="E282" i="33"/>
  <c r="F298" i="33"/>
  <c r="F25" i="33"/>
  <c r="E26" i="33"/>
  <c r="E306" i="33"/>
  <c r="E325" i="33"/>
  <c r="F45" i="33"/>
  <c r="E54" i="33"/>
  <c r="F66" i="33"/>
  <c r="F68" i="33"/>
  <c r="F108" i="33"/>
  <c r="E123" i="33"/>
  <c r="E133" i="33"/>
  <c r="E143" i="33"/>
  <c r="E156" i="33"/>
  <c r="F163" i="33"/>
  <c r="F173" i="33"/>
  <c r="E198" i="33"/>
  <c r="E208" i="33"/>
  <c r="E252" i="33"/>
  <c r="E256" i="33"/>
  <c r="E266" i="33"/>
  <c r="E276" i="33"/>
  <c r="F282" i="33"/>
  <c r="E285" i="33"/>
  <c r="F294" i="33"/>
  <c r="G24" i="33"/>
  <c r="G25" i="33"/>
  <c r="E33" i="33"/>
  <c r="F54" i="33"/>
  <c r="E58" i="33"/>
  <c r="E75" i="33"/>
  <c r="E87" i="33"/>
  <c r="E113" i="33"/>
  <c r="F123" i="33"/>
  <c r="F133" i="33"/>
  <c r="F143" i="33"/>
  <c r="F156" i="33"/>
  <c r="E158" i="33"/>
  <c r="E168" i="33"/>
  <c r="E178" i="33"/>
  <c r="F188" i="33"/>
  <c r="F198" i="33"/>
  <c r="F208" i="33"/>
  <c r="F218" i="33"/>
  <c r="F222" i="33"/>
  <c r="E227" i="33"/>
  <c r="F248" i="33"/>
  <c r="F252" i="33"/>
  <c r="F256" i="33"/>
  <c r="F266" i="33"/>
  <c r="F276" i="33"/>
  <c r="F285" i="33"/>
  <c r="G23" i="33"/>
  <c r="E28" i="33"/>
  <c r="F33" i="33"/>
  <c r="F58" i="33"/>
  <c r="E62" i="33"/>
  <c r="F75" i="33"/>
  <c r="F314" i="33"/>
  <c r="F95" i="33"/>
  <c r="F241" i="33"/>
  <c r="E85" i="33"/>
  <c r="E86" i="33"/>
  <c r="F87" i="33"/>
  <c r="E95" i="33"/>
  <c r="F113" i="33"/>
  <c r="E118" i="33"/>
  <c r="E128" i="33"/>
  <c r="E138" i="33"/>
  <c r="E154" i="33"/>
  <c r="F158" i="33"/>
  <c r="F168" i="33"/>
  <c r="F178" i="33"/>
  <c r="E193" i="33"/>
  <c r="E203" i="33"/>
  <c r="E213" i="33"/>
  <c r="E234" i="33"/>
  <c r="E261" i="33"/>
  <c r="E271" i="33"/>
  <c r="B3" i="5"/>
  <c r="C5" i="299"/>
  <c r="C5" i="96"/>
  <c r="C5" i="55"/>
  <c r="C9" i="68"/>
  <c r="C5" i="85"/>
  <c r="C18" i="68"/>
  <c r="C78" i="68"/>
  <c r="C5" i="39"/>
  <c r="C10" i="56"/>
  <c r="K45" i="56"/>
  <c r="C9" i="288"/>
  <c r="C9" i="289"/>
  <c r="C9" i="94"/>
  <c r="C5" i="75"/>
  <c r="C47" i="75"/>
  <c r="C9" i="32"/>
  <c r="C26" i="33"/>
  <c r="C5" i="30"/>
  <c r="C9" i="31"/>
  <c r="C5" i="61"/>
  <c r="C2" i="87"/>
  <c r="C1" i="60"/>
  <c r="C1" i="59"/>
  <c r="C2" i="299"/>
  <c r="C1" i="71"/>
  <c r="C1" i="72"/>
  <c r="C1" i="63"/>
  <c r="C1" i="66"/>
  <c r="C1" i="24"/>
  <c r="C49" i="24"/>
  <c r="C97" i="24"/>
  <c r="C1" i="96"/>
  <c r="C1" i="70"/>
  <c r="C73" i="70"/>
  <c r="C144" i="70"/>
  <c r="C215" i="70"/>
  <c r="C286" i="70"/>
  <c r="C357" i="70"/>
  <c r="C1" i="26"/>
  <c r="C428" i="70"/>
  <c r="C1" i="38"/>
  <c r="C51" i="41"/>
  <c r="C1" i="41"/>
  <c r="C101" i="41"/>
  <c r="C151" i="41"/>
  <c r="C1" i="82"/>
  <c r="C70" i="68"/>
  <c r="C1" i="55"/>
  <c r="C1" i="283"/>
  <c r="C1" i="68"/>
  <c r="C1" i="85"/>
  <c r="C1" i="89"/>
  <c r="C1" i="39"/>
  <c r="C51" i="83"/>
  <c r="C1" i="83"/>
  <c r="C1" i="81"/>
  <c r="C53" i="81"/>
  <c r="C51" i="80"/>
  <c r="C1" i="80"/>
  <c r="C63" i="80"/>
  <c r="C1" i="19"/>
  <c r="C1" i="88"/>
  <c r="C1" i="289"/>
  <c r="C1" i="288"/>
  <c r="C1" i="94"/>
  <c r="C1" i="56"/>
  <c r="C1" i="97"/>
  <c r="C1" i="20"/>
  <c r="C1" i="75"/>
  <c r="C44" i="75"/>
  <c r="C1" i="32"/>
  <c r="C1" i="33"/>
  <c r="C1" i="61"/>
  <c r="C1" i="30"/>
  <c r="C1" i="31"/>
  <c r="L317" i="91"/>
  <c r="P317" i="91"/>
  <c r="K318" i="91"/>
  <c r="O318" i="91"/>
  <c r="O442" i="91"/>
  <c r="W442" i="91"/>
  <c r="N319" i="91"/>
  <c r="M320" i="91"/>
  <c r="L321" i="91"/>
  <c r="P321" i="91"/>
  <c r="K322" i="91"/>
  <c r="O322" i="91"/>
  <c r="O446" i="91"/>
  <c r="W446" i="91"/>
  <c r="N323" i="91"/>
  <c r="M324" i="91"/>
  <c r="L325" i="91"/>
  <c r="P325" i="91"/>
  <c r="K326" i="91"/>
  <c r="O326" i="91"/>
  <c r="O450" i="91"/>
  <c r="W450" i="91"/>
  <c r="N327" i="91"/>
  <c r="M328" i="91"/>
  <c r="L329" i="91"/>
  <c r="P329" i="91"/>
  <c r="P453" i="91"/>
  <c r="K330" i="91"/>
  <c r="O330" i="91"/>
  <c r="O454" i="91"/>
  <c r="N331" i="91"/>
  <c r="M332" i="91"/>
  <c r="L333" i="91"/>
  <c r="P333" i="91"/>
  <c r="P457" i="91"/>
  <c r="K334" i="91"/>
  <c r="O334" i="91"/>
  <c r="O458" i="91"/>
  <c r="N335" i="91"/>
  <c r="M336" i="91"/>
  <c r="L337" i="91"/>
  <c r="P337" i="91"/>
  <c r="P461" i="91"/>
  <c r="K338" i="91"/>
  <c r="O338" i="91"/>
  <c r="O462" i="91"/>
  <c r="N339" i="91"/>
  <c r="M340" i="91"/>
  <c r="L341" i="91"/>
  <c r="P341" i="91"/>
  <c r="P465" i="91"/>
  <c r="N337" i="91"/>
  <c r="O340" i="91"/>
  <c r="O464" i="91"/>
  <c r="M317" i="91"/>
  <c r="L318" i="91"/>
  <c r="P318" i="91"/>
  <c r="K319" i="91"/>
  <c r="O319" i="91"/>
  <c r="O443" i="91"/>
  <c r="W443" i="91"/>
  <c r="N320" i="91"/>
  <c r="M321" i="91"/>
  <c r="L322" i="91"/>
  <c r="P322" i="91"/>
  <c r="K323" i="91"/>
  <c r="O323" i="91"/>
  <c r="O447" i="91"/>
  <c r="W447" i="91"/>
  <c r="N324" i="91"/>
  <c r="M325" i="91"/>
  <c r="L326" i="91"/>
  <c r="P326" i="91"/>
  <c r="K327" i="91"/>
  <c r="O327" i="91"/>
  <c r="O451" i="91"/>
  <c r="N328" i="91"/>
  <c r="M329" i="91"/>
  <c r="L330" i="91"/>
  <c r="P330" i="91"/>
  <c r="P454" i="91"/>
  <c r="K331" i="91"/>
  <c r="O331" i="91"/>
  <c r="O455" i="91"/>
  <c r="N332" i="91"/>
  <c r="M333" i="91"/>
  <c r="L334" i="91"/>
  <c r="P334" i="91"/>
  <c r="P458" i="91"/>
  <c r="K335" i="91"/>
  <c r="O335" i="91"/>
  <c r="O459" i="91"/>
  <c r="N336" i="91"/>
  <c r="M337" i="91"/>
  <c r="L338" i="91"/>
  <c r="P338" i="91"/>
  <c r="P462" i="91"/>
  <c r="K339" i="91"/>
  <c r="O339" i="91"/>
  <c r="O463" i="91"/>
  <c r="N340" i="91"/>
  <c r="M341" i="91"/>
  <c r="O336" i="91"/>
  <c r="O460" i="91"/>
  <c r="L339" i="91"/>
  <c r="N341" i="91"/>
  <c r="N317" i="91"/>
  <c r="M318" i="91"/>
  <c r="L319" i="91"/>
  <c r="P319" i="91"/>
  <c r="K320" i="91"/>
  <c r="O320" i="91"/>
  <c r="O444" i="91"/>
  <c r="W444" i="91"/>
  <c r="N321" i="91"/>
  <c r="M322" i="91"/>
  <c r="L323" i="91"/>
  <c r="P323" i="91"/>
  <c r="K324" i="91"/>
  <c r="O324" i="91"/>
  <c r="O448" i="91"/>
  <c r="W448" i="91"/>
  <c r="N325" i="91"/>
  <c r="M326" i="91"/>
  <c r="L327" i="91"/>
  <c r="P327" i="91"/>
  <c r="P451" i="91"/>
  <c r="K328" i="91"/>
  <c r="O328" i="91"/>
  <c r="O452" i="91"/>
  <c r="N329" i="91"/>
  <c r="M330" i="91"/>
  <c r="L331" i="91"/>
  <c r="P331" i="91"/>
  <c r="P455" i="91"/>
  <c r="K332" i="91"/>
  <c r="O332" i="91"/>
  <c r="O456" i="91"/>
  <c r="N333" i="91"/>
  <c r="M334" i="91"/>
  <c r="L335" i="91"/>
  <c r="P335" i="91"/>
  <c r="P459" i="91"/>
  <c r="K336" i="91"/>
  <c r="M338" i="91"/>
  <c r="P339" i="91"/>
  <c r="P463" i="91"/>
  <c r="K340" i="91"/>
  <c r="K317" i="91"/>
  <c r="O317" i="91"/>
  <c r="N318" i="91"/>
  <c r="M319" i="91"/>
  <c r="L320" i="91"/>
  <c r="P320" i="91"/>
  <c r="K321" i="91"/>
  <c r="O321" i="91"/>
  <c r="O445" i="91"/>
  <c r="W445" i="91"/>
  <c r="N322" i="91"/>
  <c r="M323" i="91"/>
  <c r="L324" i="91"/>
  <c r="P324" i="91"/>
  <c r="K325" i="91"/>
  <c r="O325" i="91"/>
  <c r="O449" i="91"/>
  <c r="W449" i="91"/>
  <c r="N326" i="91"/>
  <c r="M327" i="91"/>
  <c r="L328" i="91"/>
  <c r="P328" i="91"/>
  <c r="P452" i="91"/>
  <c r="K329" i="91"/>
  <c r="O329" i="91"/>
  <c r="O453" i="91"/>
  <c r="N330" i="91"/>
  <c r="M331" i="91"/>
  <c r="L332" i="91"/>
  <c r="P332" i="91"/>
  <c r="P456" i="91"/>
  <c r="K333" i="91"/>
  <c r="O333" i="91"/>
  <c r="O457" i="91"/>
  <c r="N334" i="91"/>
  <c r="M335" i="91"/>
  <c r="L336" i="91"/>
  <c r="P336" i="91"/>
  <c r="P460" i="91"/>
  <c r="K337" i="91"/>
  <c r="O337" i="91"/>
  <c r="O461" i="91"/>
  <c r="N338" i="91"/>
  <c r="M339" i="91"/>
  <c r="L340" i="91"/>
  <c r="P340" i="91"/>
  <c r="P464" i="91"/>
  <c r="K341" i="91"/>
  <c r="O341" i="91"/>
  <c r="O465" i="91"/>
  <c r="H71" i="18"/>
  <c r="F9" i="26"/>
  <c r="H128" i="91"/>
  <c r="H104" i="5"/>
  <c r="L104" i="5"/>
  <c r="C1" i="87"/>
  <c r="C11" i="72"/>
  <c r="C45" i="72"/>
  <c r="C10" i="63"/>
  <c r="C44" i="63"/>
  <c r="C72" i="70"/>
  <c r="C143" i="70"/>
  <c r="C214" i="70"/>
  <c r="C285" i="70"/>
  <c r="C356" i="70"/>
  <c r="C427" i="70"/>
  <c r="C44" i="41"/>
  <c r="C94" i="41"/>
  <c r="C144" i="41"/>
  <c r="C194" i="41"/>
  <c r="C44" i="82"/>
  <c r="C85" i="82"/>
  <c r="C69" i="68"/>
  <c r="C45" i="81"/>
  <c r="E54" i="91"/>
  <c r="F99" i="91"/>
  <c r="DW221" i="91"/>
  <c r="H73" i="18"/>
  <c r="C23" i="60"/>
  <c r="C24" i="59"/>
  <c r="C27" i="299"/>
  <c r="D97" i="71"/>
  <c r="C76" i="72"/>
  <c r="C76" i="63"/>
  <c r="C58" i="66"/>
  <c r="C47" i="24"/>
  <c r="C95" i="24"/>
  <c r="D105" i="96"/>
  <c r="C143" i="24"/>
  <c r="D99" i="26"/>
  <c r="D231" i="26"/>
  <c r="D363" i="26"/>
  <c r="D396" i="26"/>
  <c r="D429" i="26"/>
  <c r="D462" i="26"/>
  <c r="D495" i="26"/>
  <c r="D528" i="26"/>
  <c r="D660" i="26"/>
  <c r="D792" i="26"/>
  <c r="D66" i="26"/>
  <c r="D198" i="26"/>
  <c r="D330" i="26"/>
  <c r="D561" i="26"/>
  <c r="D693" i="26"/>
  <c r="D825" i="26"/>
  <c r="D33" i="26"/>
  <c r="D165" i="26"/>
  <c r="D297" i="26"/>
  <c r="D594" i="26"/>
  <c r="D726" i="26"/>
  <c r="D858" i="26"/>
  <c r="D132" i="26"/>
  <c r="D264" i="26"/>
  <c r="D627" i="26"/>
  <c r="D759" i="26"/>
  <c r="C86" i="38"/>
  <c r="C67" i="68"/>
  <c r="C32" i="55"/>
  <c r="C92" i="68"/>
  <c r="C30" i="85"/>
  <c r="D36" i="283"/>
  <c r="C36" i="39"/>
  <c r="C97" i="83"/>
  <c r="C49" i="83"/>
  <c r="C49" i="80"/>
  <c r="C98" i="80"/>
  <c r="C43" i="289"/>
  <c r="C71" i="288"/>
  <c r="C51" i="94"/>
  <c r="C69" i="20"/>
  <c r="C42" i="19"/>
  <c r="C47" i="88"/>
  <c r="C63" i="56"/>
  <c r="C42" i="75"/>
  <c r="C84" i="75"/>
  <c r="C69" i="32"/>
  <c r="C48" i="31"/>
  <c r="C321" i="33"/>
  <c r="C25" i="61"/>
  <c r="C37" i="30"/>
  <c r="G73" i="18"/>
  <c r="G17" i="68"/>
  <c r="G8" i="68"/>
  <c r="C4" i="87"/>
  <c r="C4" i="299"/>
  <c r="C4" i="72"/>
  <c r="C4" i="63"/>
  <c r="C4" i="24"/>
  <c r="C4" i="66"/>
  <c r="C52" i="24"/>
  <c r="C100" i="24"/>
  <c r="C4" i="96"/>
  <c r="C4" i="38"/>
  <c r="C4" i="41"/>
  <c r="C54" i="41"/>
  <c r="C104" i="41"/>
  <c r="C154" i="41"/>
  <c r="C4" i="82"/>
  <c r="C4" i="68"/>
  <c r="C3" i="89"/>
  <c r="C4" i="85"/>
  <c r="C72" i="68"/>
  <c r="C4" i="39"/>
  <c r="C4" i="55"/>
  <c r="C4" i="83"/>
  <c r="C4" i="81"/>
  <c r="C56" i="81"/>
  <c r="C54" i="83"/>
  <c r="C4" i="80"/>
  <c r="C4" i="19"/>
  <c r="C54" i="80"/>
  <c r="C4" i="97"/>
  <c r="C4" i="20"/>
  <c r="C4" i="289"/>
  <c r="C4" i="288"/>
  <c r="C4" i="56"/>
  <c r="C4" i="75"/>
  <c r="C46" i="75"/>
  <c r="C4" i="32"/>
  <c r="C4" i="31"/>
  <c r="C4" i="33"/>
  <c r="C4" i="61"/>
  <c r="C4" i="30"/>
  <c r="S1786" i="91"/>
  <c r="O1786" i="91"/>
  <c r="K1786" i="91"/>
  <c r="K1815" i="91"/>
  <c r="K1844" i="91"/>
  <c r="S1785" i="91"/>
  <c r="O1785" i="91"/>
  <c r="K1785" i="91"/>
  <c r="K1814" i="91"/>
  <c r="K1843" i="91"/>
  <c r="S1784" i="91"/>
  <c r="O1784" i="91"/>
  <c r="K1784" i="91"/>
  <c r="K1813" i="91"/>
  <c r="K1842" i="91"/>
  <c r="S1783" i="91"/>
  <c r="O1783" i="91"/>
  <c r="K1783" i="91"/>
  <c r="K1812" i="91"/>
  <c r="K1841" i="91"/>
  <c r="S1782" i="91"/>
  <c r="O1782" i="91"/>
  <c r="K1782" i="91"/>
  <c r="K1811" i="91"/>
  <c r="K1840" i="91"/>
  <c r="S1781" i="91"/>
  <c r="O1781" i="91"/>
  <c r="K1781" i="91"/>
  <c r="K1810" i="91"/>
  <c r="K1839" i="91"/>
  <c r="S1780" i="91"/>
  <c r="O1780" i="91"/>
  <c r="K1780" i="91"/>
  <c r="K1809" i="91"/>
  <c r="K1838" i="91"/>
  <c r="S1779" i="91"/>
  <c r="O1779" i="91"/>
  <c r="K1779" i="91"/>
  <c r="K1808" i="91"/>
  <c r="K1837" i="91"/>
  <c r="S1778" i="91"/>
  <c r="O1778" i="91"/>
  <c r="K1778" i="91"/>
  <c r="K1807" i="91"/>
  <c r="K1836" i="91"/>
  <c r="S1777" i="91"/>
  <c r="O1777" i="91"/>
  <c r="K1777" i="91"/>
  <c r="K1806" i="91"/>
  <c r="K1835" i="91"/>
  <c r="S1776" i="91"/>
  <c r="O1776" i="91"/>
  <c r="K1776" i="91"/>
  <c r="K1805" i="91"/>
  <c r="K1834" i="91"/>
  <c r="S1775" i="91"/>
  <c r="O1775" i="91"/>
  <c r="K1775" i="91"/>
  <c r="K1804" i="91"/>
  <c r="K1833" i="91"/>
  <c r="S1774" i="91"/>
  <c r="O1774" i="91"/>
  <c r="K1774" i="91"/>
  <c r="K1803" i="91"/>
  <c r="K1832" i="91"/>
  <c r="S1773" i="91"/>
  <c r="O1773" i="91"/>
  <c r="K1773" i="91"/>
  <c r="K1802" i="91"/>
  <c r="K1831" i="91"/>
  <c r="S1772" i="91"/>
  <c r="O1772" i="91"/>
  <c r="K1772" i="91"/>
  <c r="K1801" i="91"/>
  <c r="K1830" i="91"/>
  <c r="G74" i="18"/>
  <c r="H74" i="18"/>
  <c r="C5" i="18"/>
  <c r="C2" i="71"/>
  <c r="C2" i="72"/>
  <c r="C2" i="63"/>
  <c r="C2" i="66"/>
  <c r="C2" i="24"/>
  <c r="C50" i="24"/>
  <c r="C98" i="24"/>
  <c r="C2" i="96"/>
  <c r="C2" i="70"/>
  <c r="C2" i="26"/>
  <c r="C2" i="41"/>
  <c r="C52" i="41"/>
  <c r="C2" i="38"/>
  <c r="C102" i="41"/>
  <c r="C152" i="41"/>
  <c r="C2" i="82"/>
  <c r="C2" i="55"/>
  <c r="C2" i="283"/>
  <c r="C2" i="68"/>
  <c r="C2" i="85"/>
  <c r="C2" i="39"/>
  <c r="C2" i="83"/>
  <c r="C52" i="83"/>
  <c r="C2" i="81"/>
  <c r="C54" i="81"/>
  <c r="C2" i="19"/>
  <c r="C2" i="80"/>
  <c r="C52" i="80"/>
  <c r="C2" i="97"/>
  <c r="C2" i="88"/>
  <c r="C2" i="56"/>
  <c r="C2" i="289"/>
  <c r="C2" i="288"/>
  <c r="C2" i="94"/>
  <c r="C2" i="20"/>
  <c r="C2" i="32"/>
  <c r="C2" i="75"/>
  <c r="C2" i="33"/>
  <c r="C2" i="61"/>
  <c r="C2" i="30"/>
  <c r="C2" i="31"/>
  <c r="V1786" i="91"/>
  <c r="V1815" i="91"/>
  <c r="V1844" i="91"/>
  <c r="R1786" i="91"/>
  <c r="R1815" i="91"/>
  <c r="R1844" i="91"/>
  <c r="N1786" i="91"/>
  <c r="N1815" i="91"/>
  <c r="N1844" i="91"/>
  <c r="V1785" i="91"/>
  <c r="V1814" i="91"/>
  <c r="V1843" i="91"/>
  <c r="R1785" i="91"/>
  <c r="R1814" i="91"/>
  <c r="R1843" i="91"/>
  <c r="N1785" i="91"/>
  <c r="N1814" i="91"/>
  <c r="N1843" i="91"/>
  <c r="V1784" i="91"/>
  <c r="V1813" i="91"/>
  <c r="V1842" i="91"/>
  <c r="R1784" i="91"/>
  <c r="R1813" i="91"/>
  <c r="R1842" i="91"/>
  <c r="N1784" i="91"/>
  <c r="N1813" i="91"/>
  <c r="N1842" i="91"/>
  <c r="V1783" i="91"/>
  <c r="V1812" i="91"/>
  <c r="V1841" i="91"/>
  <c r="R1783" i="91"/>
  <c r="R1812" i="91"/>
  <c r="R1841" i="91"/>
  <c r="N1783" i="91"/>
  <c r="N1812" i="91"/>
  <c r="N1841" i="91"/>
  <c r="V1782" i="91"/>
  <c r="V1811" i="91"/>
  <c r="V1840" i="91"/>
  <c r="R1782" i="91"/>
  <c r="R1811" i="91"/>
  <c r="R1840" i="91"/>
  <c r="N1782" i="91"/>
  <c r="N1811" i="91"/>
  <c r="N1840" i="91"/>
  <c r="V1781" i="91"/>
  <c r="V1810" i="91"/>
  <c r="V1839" i="91"/>
  <c r="R1781" i="91"/>
  <c r="R1810" i="91"/>
  <c r="R1839" i="91"/>
  <c r="N1781" i="91"/>
  <c r="N1810" i="91"/>
  <c r="N1839" i="91"/>
  <c r="V1780" i="91"/>
  <c r="V1809" i="91"/>
  <c r="V1838" i="91"/>
  <c r="R1780" i="91"/>
  <c r="R1809" i="91"/>
  <c r="R1838" i="91"/>
  <c r="N1780" i="91"/>
  <c r="N1809" i="91"/>
  <c r="N1838" i="91"/>
  <c r="V1779" i="91"/>
  <c r="V1808" i="91"/>
  <c r="V1837" i="91"/>
  <c r="R1779" i="91"/>
  <c r="R1808" i="91"/>
  <c r="R1837" i="91"/>
  <c r="N1779" i="91"/>
  <c r="N1808" i="91"/>
  <c r="N1837" i="91"/>
  <c r="V1778" i="91"/>
  <c r="V1807" i="91"/>
  <c r="V1836" i="91"/>
  <c r="R1778" i="91"/>
  <c r="R1807" i="91"/>
  <c r="R1836" i="91"/>
  <c r="N1778" i="91"/>
  <c r="N1807" i="91"/>
  <c r="N1836" i="91"/>
  <c r="V1777" i="91"/>
  <c r="V1806" i="91"/>
  <c r="V1835" i="91"/>
  <c r="R1777" i="91"/>
  <c r="R1806" i="91"/>
  <c r="R1835" i="91"/>
  <c r="N1777" i="91"/>
  <c r="N1806" i="91"/>
  <c r="N1835" i="91"/>
  <c r="V1776" i="91"/>
  <c r="V1805" i="91"/>
  <c r="V1834" i="91"/>
  <c r="R1776" i="91"/>
  <c r="R1805" i="91"/>
  <c r="R1834" i="91"/>
  <c r="N1776" i="91"/>
  <c r="N1805" i="91"/>
  <c r="N1834" i="91"/>
  <c r="V1775" i="91"/>
  <c r="V1804" i="91"/>
  <c r="V1833" i="91"/>
  <c r="R1775" i="91"/>
  <c r="R1804" i="91"/>
  <c r="R1833" i="91"/>
  <c r="N1775" i="91"/>
  <c r="N1804" i="91"/>
  <c r="N1833" i="91"/>
  <c r="V1774" i="91"/>
  <c r="V1803" i="91"/>
  <c r="V1832" i="91"/>
  <c r="R1774" i="91"/>
  <c r="R1803" i="91"/>
  <c r="R1832" i="91"/>
  <c r="N1774" i="91"/>
  <c r="N1803" i="91"/>
  <c r="N1832" i="91"/>
  <c r="V1773" i="91"/>
  <c r="V1802" i="91"/>
  <c r="V1831" i="91"/>
  <c r="R1773" i="91"/>
  <c r="R1802" i="91"/>
  <c r="R1831" i="91"/>
  <c r="N1773" i="91"/>
  <c r="N1802" i="91"/>
  <c r="N1831" i="91"/>
  <c r="V1772" i="91"/>
  <c r="V1801" i="91"/>
  <c r="V1830" i="91"/>
  <c r="R1772" i="91"/>
  <c r="R1801" i="91"/>
  <c r="R1830" i="91"/>
  <c r="N1772" i="91"/>
  <c r="N1801" i="91"/>
  <c r="N1830" i="91"/>
  <c r="S1757" i="91"/>
  <c r="S1815" i="91"/>
  <c r="S1844" i="91"/>
  <c r="O1757" i="91"/>
  <c r="S1756" i="91"/>
  <c r="S1814" i="91"/>
  <c r="S1843" i="91"/>
  <c r="O1756" i="91"/>
  <c r="O1814" i="91"/>
  <c r="O1843" i="91"/>
  <c r="S1755" i="91"/>
  <c r="O1755" i="91"/>
  <c r="O1813" i="91"/>
  <c r="O1842" i="91"/>
  <c r="S1754" i="91"/>
  <c r="O1754" i="91"/>
  <c r="S1753" i="91"/>
  <c r="S1811" i="91"/>
  <c r="S1840" i="91"/>
  <c r="O1753" i="91"/>
  <c r="S1752" i="91"/>
  <c r="S1810" i="91"/>
  <c r="S1839" i="91"/>
  <c r="O1752" i="91"/>
  <c r="O1810" i="91"/>
  <c r="O1839" i="91"/>
  <c r="S1751" i="91"/>
  <c r="O1751" i="91"/>
  <c r="O1809" i="91"/>
  <c r="O1838" i="91"/>
  <c r="S1750" i="91"/>
  <c r="O1750" i="91"/>
  <c r="S1749" i="91"/>
  <c r="S1807" i="91"/>
  <c r="S1836" i="91"/>
  <c r="O1749" i="91"/>
  <c r="S1748" i="91"/>
  <c r="S1806" i="91"/>
  <c r="S1835" i="91"/>
  <c r="O1748" i="91"/>
  <c r="O1806" i="91"/>
  <c r="O1835" i="91"/>
  <c r="S1747" i="91"/>
  <c r="O1747" i="91"/>
  <c r="O1805" i="91"/>
  <c r="O1834" i="91"/>
  <c r="S1746" i="91"/>
  <c r="O1746" i="91"/>
  <c r="S1745" i="91"/>
  <c r="S1803" i="91"/>
  <c r="S1832" i="91"/>
  <c r="O1745" i="91"/>
  <c r="S1744" i="91"/>
  <c r="S1802" i="91"/>
  <c r="S1831" i="91"/>
  <c r="O1744" i="91"/>
  <c r="O1802" i="91"/>
  <c r="O1831" i="91"/>
  <c r="S1743" i="91"/>
  <c r="O1743" i="91"/>
  <c r="O1801" i="91"/>
  <c r="O1830" i="91"/>
  <c r="D14" i="78"/>
  <c r="H14" i="78"/>
  <c r="C15" i="78"/>
  <c r="D15" i="78"/>
  <c r="C16" i="78"/>
  <c r="C17" i="78"/>
  <c r="C18" i="78"/>
  <c r="C19" i="78"/>
  <c r="C20" i="78"/>
  <c r="C21" i="78"/>
  <c r="C22" i="78"/>
  <c r="C23" i="78"/>
  <c r="C24" i="78"/>
  <c r="C25" i="78"/>
  <c r="C26" i="78"/>
  <c r="C27" i="78"/>
  <c r="C28" i="78"/>
  <c r="C29" i="78"/>
  <c r="C30" i="78"/>
  <c r="C31" i="78"/>
  <c r="C32" i="78"/>
  <c r="C33" i="78"/>
  <c r="C34" i="78"/>
  <c r="C35" i="78"/>
  <c r="C36" i="78"/>
  <c r="C37" i="78"/>
  <c r="C38" i="78"/>
  <c r="C39" i="78"/>
  <c r="C40" i="78"/>
  <c r="C41" i="78"/>
  <c r="C42" i="78"/>
  <c r="C43" i="78"/>
  <c r="C44" i="78"/>
  <c r="C45" i="78"/>
  <c r="C46" i="78"/>
  <c r="C47" i="78"/>
  <c r="D16" i="78"/>
  <c r="I16" i="78"/>
  <c r="D17" i="78"/>
  <c r="I17" i="78"/>
  <c r="D18" i="78"/>
  <c r="D19" i="78"/>
  <c r="D20" i="78"/>
  <c r="I20" i="78"/>
  <c r="D21" i="78"/>
  <c r="I21" i="78"/>
  <c r="D22" i="78"/>
  <c r="D23" i="78"/>
  <c r="D24" i="78"/>
  <c r="D25" i="78"/>
  <c r="D26" i="78"/>
  <c r="D27" i="78"/>
  <c r="D28" i="78"/>
  <c r="D29" i="78"/>
  <c r="D30" i="78"/>
  <c r="D31" i="78"/>
  <c r="D32" i="78"/>
  <c r="D33" i="78"/>
  <c r="D34" i="78"/>
  <c r="D35" i="78"/>
  <c r="D36" i="78"/>
  <c r="D37" i="78"/>
  <c r="D38" i="78"/>
  <c r="D39" i="78"/>
  <c r="D40" i="78"/>
  <c r="D42" i="78"/>
  <c r="D43" i="78"/>
  <c r="D44" i="78"/>
  <c r="D45" i="78"/>
  <c r="D46" i="78"/>
  <c r="D47" i="78"/>
  <c r="AH13" i="31"/>
  <c r="AG13" i="31"/>
  <c r="AJ13" i="31"/>
  <c r="AI13" i="31"/>
  <c r="AK13" i="31"/>
  <c r="AL13" i="31"/>
  <c r="AN13" i="31"/>
  <c r="AF13" i="31"/>
  <c r="DW274" i="91"/>
  <c r="DW238" i="91"/>
  <c r="DW223" i="91"/>
  <c r="DW269" i="91"/>
  <c r="DW279" i="91"/>
  <c r="DW262" i="91"/>
  <c r="DW242" i="91"/>
  <c r="DW243" i="91"/>
  <c r="DW224" i="91"/>
  <c r="DW246" i="91"/>
  <c r="DW230" i="91"/>
  <c r="DW277" i="91"/>
  <c r="DW235" i="91"/>
  <c r="DW276" i="91"/>
  <c r="DW244" i="91"/>
  <c r="DW233" i="91"/>
  <c r="DW226" i="91"/>
  <c r="DW271" i="91"/>
  <c r="DW268" i="91"/>
  <c r="DW232" i="91"/>
  <c r="DW278" i="91"/>
  <c r="DW229" i="91"/>
  <c r="DW256" i="91"/>
  <c r="DW258" i="91"/>
  <c r="DW257" i="91"/>
  <c r="DW241" i="91"/>
  <c r="DW227" i="91"/>
  <c r="DW245" i="91"/>
  <c r="DW275" i="91"/>
  <c r="DW239" i="91"/>
  <c r="DW267" i="91"/>
  <c r="DW263" i="91"/>
  <c r="DW240" i="91"/>
  <c r="DW270" i="91"/>
  <c r="G9" i="26"/>
  <c r="DW237" i="91"/>
  <c r="DW260" i="91"/>
  <c r="DW236" i="91"/>
  <c r="DW228" i="91"/>
  <c r="DW248" i="91"/>
  <c r="DW225" i="91"/>
  <c r="DW265" i="91"/>
  <c r="DW261" i="91"/>
  <c r="DW266" i="91"/>
  <c r="DW247" i="91"/>
  <c r="DW254" i="91"/>
  <c r="DW272" i="91"/>
  <c r="DW255" i="91"/>
  <c r="DW259" i="91"/>
  <c r="DW273" i="91"/>
  <c r="DW264" i="91"/>
  <c r="DW231" i="91"/>
  <c r="DW234" i="91"/>
  <c r="P31" i="31"/>
  <c r="S26" i="31"/>
  <c r="F60" i="33"/>
  <c r="F56" i="33"/>
  <c r="F48" i="33"/>
  <c r="F64" i="33"/>
  <c r="S31" i="31"/>
  <c r="S28" i="31"/>
  <c r="P26" i="31"/>
  <c r="S14" i="31"/>
  <c r="P11" i="31"/>
  <c r="M596" i="91"/>
  <c r="F36" i="33"/>
  <c r="G36" i="33"/>
  <c r="H36" i="33"/>
  <c r="P25" i="31"/>
  <c r="P14" i="31"/>
  <c r="T34" i="31"/>
  <c r="R28" i="31"/>
  <c r="T25" i="31"/>
  <c r="G26" i="33"/>
  <c r="S1804" i="91"/>
  <c r="S1833" i="91"/>
  <c r="S1808" i="91"/>
  <c r="S1837" i="91"/>
  <c r="S1812" i="91"/>
  <c r="S1841" i="91"/>
  <c r="O1803" i="91"/>
  <c r="O1832" i="91"/>
  <c r="O1807" i="91"/>
  <c r="O1836" i="91"/>
  <c r="O1811" i="91"/>
  <c r="O1840" i="91"/>
  <c r="O1815" i="91"/>
  <c r="O1844" i="91"/>
  <c r="Q25" i="31"/>
  <c r="Q14" i="31"/>
  <c r="E64" i="33"/>
  <c r="Q31" i="31"/>
  <c r="O14" i="31"/>
  <c r="Q11" i="31"/>
  <c r="AF15" i="31"/>
  <c r="F15" i="31"/>
  <c r="F13" i="31"/>
  <c r="AN15" i="31"/>
  <c r="L13" i="31"/>
  <c r="F40" i="33"/>
  <c r="AL15" i="31"/>
  <c r="L15" i="31"/>
  <c r="K13" i="31"/>
  <c r="AK15" i="31"/>
  <c r="K15" i="31"/>
  <c r="S15" i="31"/>
  <c r="AI15" i="31"/>
  <c r="I15" i="31"/>
  <c r="Q15" i="31"/>
  <c r="I13" i="31"/>
  <c r="Q13" i="31"/>
  <c r="AJ15" i="31"/>
  <c r="J15" i="31"/>
  <c r="J13" i="31"/>
  <c r="G13" i="31"/>
  <c r="O13" i="31"/>
  <c r="AG15" i="31"/>
  <c r="G15" i="31"/>
  <c r="O15" i="31"/>
  <c r="H13" i="31"/>
  <c r="P13" i="31"/>
  <c r="AH15" i="31"/>
  <c r="H15" i="31"/>
  <c r="P15" i="31"/>
  <c r="T26" i="31"/>
  <c r="O25" i="31"/>
  <c r="T21" i="31"/>
  <c r="T31" i="31"/>
  <c r="R31" i="31"/>
  <c r="T28" i="31"/>
  <c r="O28" i="31"/>
  <c r="R25" i="31"/>
  <c r="O26" i="31"/>
  <c r="T22" i="31"/>
  <c r="O11" i="31"/>
  <c r="O31" i="31"/>
  <c r="R26" i="31"/>
  <c r="T24" i="31"/>
  <c r="T14" i="31"/>
  <c r="R14" i="31"/>
  <c r="DW310" i="91"/>
  <c r="DW309" i="91"/>
  <c r="DW308" i="91"/>
  <c r="DW307" i="91"/>
  <c r="DW306" i="91"/>
  <c r="DW305" i="91"/>
  <c r="DW304" i="91"/>
  <c r="DW303" i="91"/>
  <c r="DW302" i="91"/>
  <c r="DW301" i="91"/>
  <c r="DW300" i="91"/>
  <c r="DW299" i="91"/>
  <c r="DW298" i="91"/>
  <c r="DW297" i="91"/>
  <c r="DW296" i="91"/>
  <c r="DW295" i="91"/>
  <c r="DW294" i="91"/>
  <c r="DW293" i="91"/>
  <c r="DW292" i="91"/>
  <c r="DW291" i="91"/>
  <c r="DW290" i="91"/>
  <c r="DW289" i="91"/>
  <c r="DW288" i="91"/>
  <c r="DW287" i="91"/>
  <c r="DW286" i="91"/>
  <c r="DW285" i="91"/>
  <c r="E28" i="26"/>
  <c r="F28" i="26"/>
  <c r="G14" i="26"/>
  <c r="H13" i="26"/>
  <c r="G13" i="26"/>
  <c r="H14" i="26"/>
  <c r="H15" i="26"/>
  <c r="H16" i="26"/>
  <c r="G16" i="26"/>
  <c r="H17" i="26"/>
  <c r="G17" i="26"/>
  <c r="H18" i="26"/>
  <c r="H19" i="26"/>
  <c r="H20" i="26"/>
  <c r="G20" i="26"/>
  <c r="H21" i="26"/>
  <c r="G21" i="26"/>
  <c r="H22" i="26"/>
  <c r="H23" i="26"/>
  <c r="H24" i="26"/>
  <c r="G24" i="26"/>
  <c r="H25" i="26"/>
  <c r="H26" i="26"/>
  <c r="G26" i="26"/>
  <c r="H27" i="26"/>
  <c r="B11" i="89"/>
  <c r="B13" i="89"/>
  <c r="B15" i="89"/>
  <c r="G15" i="89"/>
  <c r="B19" i="89"/>
  <c r="G19" i="89"/>
  <c r="B23" i="89"/>
  <c r="G23" i="89"/>
  <c r="B27" i="89"/>
  <c r="G27" i="89"/>
  <c r="B33" i="89"/>
  <c r="G33" i="89"/>
  <c r="B37" i="89"/>
  <c r="B39" i="89"/>
  <c r="B41" i="89"/>
  <c r="G41" i="89"/>
  <c r="B18" i="89"/>
  <c r="G18" i="89"/>
  <c r="B22" i="89"/>
  <c r="G22" i="89"/>
  <c r="B26" i="89"/>
  <c r="G26" i="89"/>
  <c r="B32" i="89"/>
  <c r="G32" i="89"/>
  <c r="B36" i="89"/>
  <c r="G36" i="89"/>
  <c r="B12" i="89"/>
  <c r="B14" i="89"/>
  <c r="B17" i="89"/>
  <c r="G17" i="89"/>
  <c r="B21" i="89"/>
  <c r="G21" i="89"/>
  <c r="B25" i="89"/>
  <c r="G25" i="89"/>
  <c r="B29" i="89"/>
  <c r="G29" i="89"/>
  <c r="B31" i="89"/>
  <c r="G31" i="89"/>
  <c r="B35" i="89"/>
  <c r="G35" i="89"/>
  <c r="B38" i="89"/>
  <c r="B40" i="89"/>
  <c r="B16" i="89"/>
  <c r="G16" i="89"/>
  <c r="B20" i="89"/>
  <c r="G20" i="89"/>
  <c r="B24" i="89"/>
  <c r="G24" i="89"/>
  <c r="B28" i="89"/>
  <c r="G28" i="89"/>
  <c r="B34" i="89"/>
  <c r="G34" i="89"/>
  <c r="C97" i="81"/>
  <c r="AU45" i="80"/>
  <c r="BI45" i="80"/>
  <c r="H161" i="91"/>
  <c r="H223" i="91"/>
  <c r="H191" i="91"/>
  <c r="H254" i="91"/>
  <c r="H285" i="91"/>
  <c r="H316" i="91"/>
  <c r="H347" i="91"/>
  <c r="H378" i="91"/>
  <c r="H440" i="91"/>
  <c r="H471" i="91"/>
  <c r="H409" i="91"/>
  <c r="H502" i="91"/>
  <c r="H565" i="91"/>
  <c r="H533" i="91"/>
  <c r="H596" i="91"/>
  <c r="H627" i="91"/>
  <c r="H658" i="91"/>
  <c r="H720" i="91"/>
  <c r="H782" i="91"/>
  <c r="H689" i="91"/>
  <c r="H751" i="91"/>
  <c r="H970" i="91"/>
  <c r="H1032" i="91"/>
  <c r="H1063" i="91"/>
  <c r="H1094" i="91"/>
  <c r="H1587" i="91"/>
  <c r="H1645" i="91"/>
  <c r="H877" i="91"/>
  <c r="H1616" i="91"/>
  <c r="H908" i="91"/>
  <c r="H1674" i="91"/>
  <c r="H1703" i="91"/>
  <c r="H1524" i="91"/>
  <c r="H939" i="91"/>
  <c r="H1001" i="91"/>
  <c r="H1819" i="91"/>
  <c r="H1732" i="91"/>
  <c r="H1761" i="91"/>
  <c r="H1790" i="91"/>
  <c r="H56" i="97"/>
  <c r="L101" i="97"/>
  <c r="I20" i="20"/>
  <c r="P448" i="91"/>
  <c r="X448" i="91"/>
  <c r="U319" i="91"/>
  <c r="M443" i="91"/>
  <c r="U330" i="91"/>
  <c r="M454" i="91"/>
  <c r="S335" i="91"/>
  <c r="K459" i="91"/>
  <c r="S1809" i="91"/>
  <c r="S1838" i="91"/>
  <c r="S1813" i="91"/>
  <c r="S1842" i="91"/>
  <c r="G22" i="55"/>
  <c r="G76" i="75"/>
  <c r="G34" i="75"/>
  <c r="DX221" i="91"/>
  <c r="C4" i="26"/>
  <c r="S337" i="91"/>
  <c r="K461" i="91"/>
  <c r="S332" i="91"/>
  <c r="K456" i="91"/>
  <c r="O1804" i="91"/>
  <c r="O1833" i="91"/>
  <c r="O1808" i="91"/>
  <c r="O1837" i="91"/>
  <c r="O1812" i="91"/>
  <c r="O1841" i="91"/>
  <c r="F135" i="96"/>
  <c r="N195" i="96"/>
  <c r="N165" i="96"/>
  <c r="J195" i="96"/>
  <c r="J135" i="96"/>
  <c r="F165" i="96"/>
  <c r="J165" i="96"/>
  <c r="N135" i="96"/>
  <c r="F195" i="96"/>
  <c r="F128" i="91"/>
  <c r="G193" i="96"/>
  <c r="F73" i="96"/>
  <c r="B1" i="87"/>
  <c r="C9" i="18"/>
  <c r="C26" i="18"/>
  <c r="C46" i="18"/>
  <c r="U339" i="91"/>
  <c r="M463" i="91"/>
  <c r="U331" i="91"/>
  <c r="M455" i="91"/>
  <c r="U323" i="91"/>
  <c r="M447" i="91"/>
  <c r="H52" i="97"/>
  <c r="L97" i="97"/>
  <c r="I16" i="20"/>
  <c r="P444" i="91"/>
  <c r="X444" i="91"/>
  <c r="O342" i="91"/>
  <c r="O441" i="91"/>
  <c r="U338" i="91"/>
  <c r="M462" i="91"/>
  <c r="U334" i="91"/>
  <c r="M458" i="91"/>
  <c r="U326" i="91"/>
  <c r="M450" i="91"/>
  <c r="H55" i="97"/>
  <c r="L100" i="97"/>
  <c r="I19" i="20"/>
  <c r="P447" i="91"/>
  <c r="X447" i="91"/>
  <c r="U318" i="91"/>
  <c r="M442" i="91"/>
  <c r="S339" i="91"/>
  <c r="K463" i="91"/>
  <c r="V336" i="91"/>
  <c r="N460" i="91"/>
  <c r="U46" i="66"/>
  <c r="T334" i="91"/>
  <c r="L458" i="91"/>
  <c r="S331" i="91"/>
  <c r="K455" i="91"/>
  <c r="V328" i="91"/>
  <c r="N452" i="91"/>
  <c r="U38" i="66"/>
  <c r="T326" i="91"/>
  <c r="L450" i="91"/>
  <c r="S323" i="91"/>
  <c r="K447" i="91"/>
  <c r="V320" i="91"/>
  <c r="N444" i="91"/>
  <c r="T318" i="91"/>
  <c r="L442" i="91"/>
  <c r="U336" i="91"/>
  <c r="M460" i="91"/>
  <c r="T46" i="66"/>
  <c r="U328" i="91"/>
  <c r="M452" i="91"/>
  <c r="T38" i="66"/>
  <c r="H57" i="97"/>
  <c r="L102" i="97"/>
  <c r="I21" i="20"/>
  <c r="P449" i="91"/>
  <c r="X449" i="91"/>
  <c r="U320" i="91"/>
  <c r="M444" i="91"/>
  <c r="H49" i="97"/>
  <c r="L94" i="97"/>
  <c r="I13" i="20"/>
  <c r="P342" i="91"/>
  <c r="P441" i="91"/>
  <c r="F98" i="33"/>
  <c r="G98" i="33"/>
  <c r="F316" i="33"/>
  <c r="G6" i="68"/>
  <c r="H23" i="33"/>
  <c r="I23" i="33"/>
  <c r="H26" i="33"/>
  <c r="G106" i="33"/>
  <c r="G85" i="33"/>
  <c r="G218" i="33"/>
  <c r="G222" i="33"/>
  <c r="G252" i="33"/>
  <c r="E60" i="33"/>
  <c r="G8" i="289"/>
  <c r="G8" i="88"/>
  <c r="G8" i="94"/>
  <c r="E225" i="33"/>
  <c r="E280" i="33"/>
  <c r="E286" i="33"/>
  <c r="E230" i="33"/>
  <c r="E56" i="33"/>
  <c r="E315" i="33"/>
  <c r="E48" i="33"/>
  <c r="F11" i="68"/>
  <c r="K19" i="32"/>
  <c r="P285" i="91"/>
  <c r="H19" i="30"/>
  <c r="O347" i="91"/>
  <c r="O1032" i="91"/>
  <c r="A52" i="32"/>
  <c r="A53" i="32"/>
  <c r="K347" i="91"/>
  <c r="K1032" i="91"/>
  <c r="F64" i="32"/>
  <c r="A37" i="32"/>
  <c r="I39" i="32"/>
  <c r="I63" i="32"/>
  <c r="M908" i="91"/>
  <c r="I62" i="32"/>
  <c r="M877" i="91"/>
  <c r="H59" i="32"/>
  <c r="H61" i="32"/>
  <c r="L846" i="91"/>
  <c r="A23" i="32"/>
  <c r="A14" i="32"/>
  <c r="I19" i="32"/>
  <c r="N285" i="91"/>
  <c r="F19" i="32"/>
  <c r="A11" i="32"/>
  <c r="K285" i="91"/>
  <c r="Q34" i="31"/>
  <c r="N813" i="91"/>
  <c r="P34" i="31"/>
  <c r="M813" i="91"/>
  <c r="R30" i="31"/>
  <c r="O502" i="91"/>
  <c r="A28" i="31"/>
  <c r="N28" i="31"/>
  <c r="N26" i="31"/>
  <c r="A26" i="31"/>
  <c r="P24" i="31"/>
  <c r="M751" i="91"/>
  <c r="K44" i="82"/>
  <c r="S21" i="31"/>
  <c r="P689" i="91"/>
  <c r="R22" i="31"/>
  <c r="O720" i="91"/>
  <c r="G44" i="82"/>
  <c r="O21" i="31"/>
  <c r="L689" i="91"/>
  <c r="N22" i="31"/>
  <c r="A22" i="31"/>
  <c r="K720" i="91"/>
  <c r="N11" i="31"/>
  <c r="A11" i="31"/>
  <c r="J12" i="85"/>
  <c r="K63" i="80"/>
  <c r="F100" i="33"/>
  <c r="F171" i="33"/>
  <c r="G171" i="33"/>
  <c r="S16" i="31"/>
  <c r="S18" i="31"/>
  <c r="S10" i="31"/>
  <c r="K12" i="31"/>
  <c r="S17" i="31"/>
  <c r="S19" i="31"/>
  <c r="G331" i="33"/>
  <c r="P565" i="91"/>
  <c r="H63" i="80"/>
  <c r="H37" i="31"/>
  <c r="H45" i="81"/>
  <c r="P10" i="31"/>
  <c r="H12" i="31"/>
  <c r="P19" i="31"/>
  <c r="P16" i="31"/>
  <c r="P17" i="31"/>
  <c r="P18" i="31"/>
  <c r="M565" i="91"/>
  <c r="I52" i="66"/>
  <c r="I92" i="66"/>
  <c r="I53" i="66"/>
  <c r="I93" i="66"/>
  <c r="E52" i="66"/>
  <c r="E92" i="66"/>
  <c r="E53" i="66"/>
  <c r="E93" i="66"/>
  <c r="M52" i="66"/>
  <c r="M92" i="66"/>
  <c r="M53" i="66"/>
  <c r="M93" i="66"/>
  <c r="M1063" i="91"/>
  <c r="M1094" i="91"/>
  <c r="I56" i="91"/>
  <c r="M56" i="91"/>
  <c r="I57" i="91"/>
  <c r="M57" i="91"/>
  <c r="I59" i="91"/>
  <c r="I60" i="91"/>
  <c r="I61" i="91"/>
  <c r="I62" i="91"/>
  <c r="M62" i="91"/>
  <c r="M65" i="91"/>
  <c r="M68" i="91"/>
  <c r="M70" i="91"/>
  <c r="M73" i="91"/>
  <c r="M75" i="91"/>
  <c r="M78" i="91"/>
  <c r="I55" i="91"/>
  <c r="M55" i="91"/>
  <c r="I58" i="91"/>
  <c r="M58" i="91"/>
  <c r="M59" i="91"/>
  <c r="M60" i="91"/>
  <c r="M61" i="91"/>
  <c r="I63" i="91"/>
  <c r="M63" i="91"/>
  <c r="I64" i="91"/>
  <c r="M64" i="91"/>
  <c r="M66" i="91"/>
  <c r="M67" i="91"/>
  <c r="M69" i="91"/>
  <c r="M71" i="91"/>
  <c r="M72" i="91"/>
  <c r="M74" i="91"/>
  <c r="M76" i="91"/>
  <c r="M77" i="91"/>
  <c r="M79" i="91"/>
  <c r="I65" i="91"/>
  <c r="I66" i="91"/>
  <c r="I67" i="91"/>
  <c r="I68" i="91"/>
  <c r="I69" i="91"/>
  <c r="I70" i="91"/>
  <c r="I71" i="91"/>
  <c r="I72" i="91"/>
  <c r="I73" i="91"/>
  <c r="I74" i="91"/>
  <c r="I75" i="91"/>
  <c r="I76" i="91"/>
  <c r="I77" i="91"/>
  <c r="I78" i="91"/>
  <c r="I79" i="91"/>
  <c r="S341" i="91"/>
  <c r="K465" i="91"/>
  <c r="V338" i="91"/>
  <c r="N462" i="91"/>
  <c r="U48" i="66"/>
  <c r="T336" i="91"/>
  <c r="L460" i="91"/>
  <c r="S46" i="66"/>
  <c r="S333" i="91"/>
  <c r="K457" i="91"/>
  <c r="V330" i="91"/>
  <c r="N454" i="91"/>
  <c r="U40" i="66"/>
  <c r="T328" i="91"/>
  <c r="L452" i="91"/>
  <c r="S325" i="91"/>
  <c r="K449" i="91"/>
  <c r="V322" i="91"/>
  <c r="N446" i="91"/>
  <c r="T320" i="91"/>
  <c r="L444" i="91"/>
  <c r="S317" i="91"/>
  <c r="K342" i="91"/>
  <c r="K441" i="91"/>
  <c r="S336" i="91"/>
  <c r="K460" i="91"/>
  <c r="R46" i="66"/>
  <c r="A46" i="66"/>
  <c r="V333" i="91"/>
  <c r="N457" i="91"/>
  <c r="U43" i="66"/>
  <c r="T331" i="91"/>
  <c r="L455" i="91"/>
  <c r="S328" i="91"/>
  <c r="K452" i="91"/>
  <c r="V325" i="91"/>
  <c r="N449" i="91"/>
  <c r="T323" i="91"/>
  <c r="L447" i="91"/>
  <c r="S320" i="91"/>
  <c r="K444" i="91"/>
  <c r="V317" i="91"/>
  <c r="N342" i="91"/>
  <c r="N441" i="91"/>
  <c r="U341" i="91"/>
  <c r="M465" i="91"/>
  <c r="U333" i="91"/>
  <c r="M457" i="91"/>
  <c r="U325" i="91"/>
  <c r="M449" i="91"/>
  <c r="H54" i="97"/>
  <c r="L99" i="97"/>
  <c r="I18" i="20"/>
  <c r="P446" i="91"/>
  <c r="X446" i="91"/>
  <c r="U317" i="91"/>
  <c r="M342" i="91"/>
  <c r="M441" i="91"/>
  <c r="T341" i="91"/>
  <c r="L465" i="91"/>
  <c r="S338" i="91"/>
  <c r="K462" i="91"/>
  <c r="V335" i="91"/>
  <c r="N459" i="91"/>
  <c r="U45" i="66"/>
  <c r="T333" i="91"/>
  <c r="L457" i="91"/>
  <c r="S43" i="66"/>
  <c r="S330" i="91"/>
  <c r="K454" i="91"/>
  <c r="V327" i="91"/>
  <c r="N451" i="91"/>
  <c r="U37" i="66"/>
  <c r="T325" i="91"/>
  <c r="L449" i="91"/>
  <c r="S322" i="91"/>
  <c r="K446" i="91"/>
  <c r="V319" i="91"/>
  <c r="N443" i="91"/>
  <c r="T317" i="91"/>
  <c r="L342" i="91"/>
  <c r="L441" i="91"/>
  <c r="B1" i="19"/>
  <c r="E43" i="78"/>
  <c r="F43" i="78"/>
  <c r="B1" i="283"/>
  <c r="E28" i="78"/>
  <c r="F28" i="78"/>
  <c r="B1" i="70"/>
  <c r="E25" i="78"/>
  <c r="F25" i="78"/>
  <c r="B1" i="24"/>
  <c r="E22" i="78"/>
  <c r="F22" i="78"/>
  <c r="B1" i="71"/>
  <c r="E26" i="78"/>
  <c r="F26" i="78"/>
  <c r="B7" i="5"/>
  <c r="B34" i="5"/>
  <c r="F161" i="33"/>
  <c r="G161" i="33"/>
  <c r="E121" i="33"/>
  <c r="F279" i="33"/>
  <c r="G279" i="33"/>
  <c r="G248" i="33"/>
  <c r="F211" i="33"/>
  <c r="G211" i="33"/>
  <c r="F136" i="33"/>
  <c r="G136" i="33"/>
  <c r="G243" i="33"/>
  <c r="G246" i="33"/>
  <c r="G236" i="33"/>
  <c r="G229" i="33"/>
  <c r="G232" i="33"/>
  <c r="F176" i="33"/>
  <c r="G176" i="33"/>
  <c r="F274" i="33"/>
  <c r="G274" i="33"/>
  <c r="F206" i="33"/>
  <c r="G206" i="33"/>
  <c r="G154" i="33"/>
  <c r="F131" i="33"/>
  <c r="G131" i="33"/>
  <c r="E68" i="33"/>
  <c r="F43" i="33"/>
  <c r="G43" i="33"/>
  <c r="F42" i="33"/>
  <c r="P347" i="91"/>
  <c r="P1032" i="91"/>
  <c r="L347" i="91"/>
  <c r="L1032" i="91"/>
  <c r="A43" i="32"/>
  <c r="J64" i="32"/>
  <c r="I64" i="32"/>
  <c r="A38" i="32"/>
  <c r="J39" i="32"/>
  <c r="J63" i="32"/>
  <c r="N908" i="91"/>
  <c r="F39" i="32"/>
  <c r="A31" i="32"/>
  <c r="F63" i="32"/>
  <c r="J908" i="91"/>
  <c r="H62" i="32"/>
  <c r="L877" i="91"/>
  <c r="G59" i="32"/>
  <c r="G61" i="32"/>
  <c r="K846" i="91"/>
  <c r="A20" i="32"/>
  <c r="J19" i="32"/>
  <c r="O285" i="91"/>
  <c r="G19" i="32"/>
  <c r="L285" i="91"/>
  <c r="R34" i="31"/>
  <c r="O813" i="91"/>
  <c r="N31" i="31"/>
  <c r="A31" i="31"/>
  <c r="S30" i="31"/>
  <c r="P502" i="91"/>
  <c r="Q24" i="31"/>
  <c r="N751" i="91"/>
  <c r="N24" i="31"/>
  <c r="A24" i="31"/>
  <c r="K751" i="91"/>
  <c r="S22" i="31"/>
  <c r="P720" i="91"/>
  <c r="H44" i="82"/>
  <c r="P21" i="31"/>
  <c r="M689" i="91"/>
  <c r="O22" i="31"/>
  <c r="L720" i="91"/>
  <c r="A13" i="31"/>
  <c r="N13" i="31"/>
  <c r="F101" i="33"/>
  <c r="F191" i="33"/>
  <c r="G191" i="33"/>
  <c r="G332" i="33"/>
  <c r="S11" i="31"/>
  <c r="I63" i="80"/>
  <c r="Q16" i="31"/>
  <c r="Q18" i="31"/>
  <c r="I37" i="31"/>
  <c r="I45" i="81"/>
  <c r="Q10" i="31"/>
  <c r="I12" i="31"/>
  <c r="Q17" i="31"/>
  <c r="Q19" i="31"/>
  <c r="N565" i="91"/>
  <c r="H53" i="66"/>
  <c r="H93" i="66"/>
  <c r="H52" i="66"/>
  <c r="H92" i="66"/>
  <c r="P53" i="66"/>
  <c r="P93" i="66"/>
  <c r="P52" i="66"/>
  <c r="P92" i="66"/>
  <c r="L53" i="66"/>
  <c r="L93" i="66"/>
  <c r="L52" i="66"/>
  <c r="L92" i="66"/>
  <c r="N1063" i="91"/>
  <c r="N1094" i="91"/>
  <c r="H22" i="55"/>
  <c r="H34" i="75"/>
  <c r="H76" i="75"/>
  <c r="I73" i="18"/>
  <c r="I71" i="18"/>
  <c r="H67" i="18"/>
  <c r="U335" i="91"/>
  <c r="M459" i="91"/>
  <c r="T45" i="66"/>
  <c r="U327" i="91"/>
  <c r="M451" i="91"/>
  <c r="T37" i="66"/>
  <c r="U322" i="91"/>
  <c r="M446" i="91"/>
  <c r="H51" i="97"/>
  <c r="L96" i="97"/>
  <c r="I15" i="20"/>
  <c r="P443" i="91"/>
  <c r="X443" i="91"/>
  <c r="V340" i="91"/>
  <c r="N464" i="91"/>
  <c r="U50" i="66"/>
  <c r="T338" i="91"/>
  <c r="L462" i="91"/>
  <c r="S48" i="66"/>
  <c r="V332" i="91"/>
  <c r="N456" i="91"/>
  <c r="U42" i="66"/>
  <c r="T330" i="91"/>
  <c r="L454" i="91"/>
  <c r="S40" i="66"/>
  <c r="S327" i="91"/>
  <c r="K451" i="91"/>
  <c r="V324" i="91"/>
  <c r="N448" i="91"/>
  <c r="T322" i="91"/>
  <c r="L446" i="91"/>
  <c r="S319" i="91"/>
  <c r="K443" i="91"/>
  <c r="U340" i="91"/>
  <c r="M464" i="91"/>
  <c r="T50" i="66"/>
  <c r="U332" i="91"/>
  <c r="M456" i="91"/>
  <c r="U324" i="91"/>
  <c r="M448" i="91"/>
  <c r="H53" i="97"/>
  <c r="L98" i="97"/>
  <c r="I17" i="20"/>
  <c r="P445" i="91"/>
  <c r="X445" i="91"/>
  <c r="B1" i="96"/>
  <c r="E39" i="78"/>
  <c r="F39" i="78"/>
  <c r="B1" i="299"/>
  <c r="E45" i="78"/>
  <c r="F45" i="78"/>
  <c r="F116" i="33"/>
  <c r="G116" i="33"/>
  <c r="E37" i="33"/>
  <c r="E100" i="33"/>
  <c r="E181" i="33"/>
  <c r="F269" i="33"/>
  <c r="G269" i="33"/>
  <c r="F201" i="33"/>
  <c r="G201" i="33"/>
  <c r="F126" i="33"/>
  <c r="G126" i="33"/>
  <c r="E101" i="33"/>
  <c r="E191" i="33"/>
  <c r="E36" i="33"/>
  <c r="G282" i="33"/>
  <c r="E211" i="33"/>
  <c r="F166" i="33"/>
  <c r="G166" i="33"/>
  <c r="G48" i="33"/>
  <c r="F264" i="33"/>
  <c r="G264" i="33"/>
  <c r="F196" i="33"/>
  <c r="G196" i="33"/>
  <c r="F37" i="33"/>
  <c r="K62" i="32"/>
  <c r="O877" i="91"/>
  <c r="M347" i="91"/>
  <c r="M1032" i="91"/>
  <c r="A44" i="32"/>
  <c r="H64" i="32"/>
  <c r="K39" i="32"/>
  <c r="K63" i="32"/>
  <c r="O908" i="91"/>
  <c r="G39" i="32"/>
  <c r="G63" i="32"/>
  <c r="K908" i="91"/>
  <c r="J59" i="32"/>
  <c r="J61" i="32"/>
  <c r="N846" i="91"/>
  <c r="O846" i="91"/>
  <c r="G62" i="32"/>
  <c r="K877" i="91"/>
  <c r="A21" i="32"/>
  <c r="A12" i="32"/>
  <c r="F59" i="32"/>
  <c r="F61" i="32"/>
  <c r="J846" i="91"/>
  <c r="H19" i="32"/>
  <c r="M285" i="91"/>
  <c r="S34" i="31"/>
  <c r="P813" i="91"/>
  <c r="K85" i="82"/>
  <c r="B34" i="31"/>
  <c r="N34" i="31"/>
  <c r="K813" i="91"/>
  <c r="P30" i="31"/>
  <c r="M502" i="91"/>
  <c r="T30" i="31"/>
  <c r="N30" i="31"/>
  <c r="A30" i="31"/>
  <c r="K502" i="91"/>
  <c r="R24" i="31"/>
  <c r="O751" i="91"/>
  <c r="T13" i="31"/>
  <c r="S13" i="31"/>
  <c r="I44" i="82"/>
  <c r="Q21" i="31"/>
  <c r="N689" i="91"/>
  <c r="P22" i="31"/>
  <c r="M720" i="91"/>
  <c r="T11" i="31"/>
  <c r="N10" i="31"/>
  <c r="F12" i="31"/>
  <c r="B10" i="31"/>
  <c r="A10" i="31"/>
  <c r="F37" i="31"/>
  <c r="N19" i="31"/>
  <c r="N16" i="31"/>
  <c r="N17" i="31"/>
  <c r="N18" i="31"/>
  <c r="K565" i="91"/>
  <c r="G53" i="66"/>
  <c r="G93" i="66"/>
  <c r="G52" i="66"/>
  <c r="G92" i="66"/>
  <c r="O53" i="66"/>
  <c r="O93" i="66"/>
  <c r="O52" i="66"/>
  <c r="O92" i="66"/>
  <c r="K52" i="66"/>
  <c r="K92" i="66"/>
  <c r="K53" i="66"/>
  <c r="K93" i="66"/>
  <c r="P1063" i="91"/>
  <c r="P1094" i="91"/>
  <c r="O1063" i="91"/>
  <c r="O1094" i="91"/>
  <c r="D12" i="18"/>
  <c r="S340" i="91"/>
  <c r="K464" i="91"/>
  <c r="V341" i="91"/>
  <c r="N465" i="91"/>
  <c r="S1801" i="91"/>
  <c r="S1830" i="91"/>
  <c r="S1805" i="91"/>
  <c r="S1834" i="91"/>
  <c r="T340" i="91"/>
  <c r="L464" i="91"/>
  <c r="S50" i="66"/>
  <c r="V334" i="91"/>
  <c r="N458" i="91"/>
  <c r="U44" i="66"/>
  <c r="T332" i="91"/>
  <c r="L456" i="91"/>
  <c r="S329" i="91"/>
  <c r="K453" i="91"/>
  <c r="V326" i="91"/>
  <c r="N450" i="91"/>
  <c r="T324" i="91"/>
  <c r="L448" i="91"/>
  <c r="S321" i="91"/>
  <c r="K445" i="91"/>
  <c r="V318" i="91"/>
  <c r="N442" i="91"/>
  <c r="T335" i="91"/>
  <c r="L459" i="91"/>
  <c r="S45" i="66"/>
  <c r="V329" i="91"/>
  <c r="N453" i="91"/>
  <c r="U39" i="66"/>
  <c r="T327" i="91"/>
  <c r="L451" i="91"/>
  <c r="S37" i="66"/>
  <c r="S324" i="91"/>
  <c r="K448" i="91"/>
  <c r="V321" i="91"/>
  <c r="N445" i="91"/>
  <c r="T319" i="91"/>
  <c r="L443" i="91"/>
  <c r="T339" i="91"/>
  <c r="L463" i="91"/>
  <c r="U337" i="91"/>
  <c r="M461" i="91"/>
  <c r="U329" i="91"/>
  <c r="M453" i="91"/>
  <c r="H58" i="97"/>
  <c r="L103" i="97"/>
  <c r="I22" i="20"/>
  <c r="P450" i="91"/>
  <c r="X450" i="91"/>
  <c r="U321" i="91"/>
  <c r="M445" i="91"/>
  <c r="H50" i="97"/>
  <c r="L95" i="97"/>
  <c r="I14" i="20"/>
  <c r="P442" i="91"/>
  <c r="X442" i="91"/>
  <c r="V337" i="91"/>
  <c r="N461" i="91"/>
  <c r="U47" i="66"/>
  <c r="V339" i="91"/>
  <c r="N463" i="91"/>
  <c r="U49" i="66"/>
  <c r="T337" i="91"/>
  <c r="L461" i="91"/>
  <c r="S334" i="91"/>
  <c r="K458" i="91"/>
  <c r="R44" i="66"/>
  <c r="V331" i="91"/>
  <c r="N455" i="91"/>
  <c r="U41" i="66"/>
  <c r="T329" i="91"/>
  <c r="L453" i="91"/>
  <c r="S326" i="91"/>
  <c r="K450" i="91"/>
  <c r="V323" i="91"/>
  <c r="N447" i="91"/>
  <c r="T321" i="91"/>
  <c r="L445" i="91"/>
  <c r="S318" i="91"/>
  <c r="K442" i="91"/>
  <c r="C9" i="97"/>
  <c r="B51" i="83"/>
  <c r="B1" i="83"/>
  <c r="E23" i="78"/>
  <c r="F23" i="78"/>
  <c r="F181" i="33"/>
  <c r="G181" i="33"/>
  <c r="E98" i="33"/>
  <c r="E316" i="33"/>
  <c r="E244" i="33"/>
  <c r="G16" i="55"/>
  <c r="H16" i="55"/>
  <c r="I16" i="55"/>
  <c r="J16" i="55"/>
  <c r="K16" i="55"/>
  <c r="L16" i="55"/>
  <c r="M16" i="55"/>
  <c r="N16" i="55"/>
  <c r="O16" i="55"/>
  <c r="P16" i="55"/>
  <c r="Q16" i="55"/>
  <c r="R16" i="55"/>
  <c r="S16" i="55"/>
  <c r="T16" i="55"/>
  <c r="U16" i="55"/>
  <c r="G9" i="68"/>
  <c r="D12" i="39"/>
  <c r="T12" i="39"/>
  <c r="D24" i="39"/>
  <c r="T24" i="39"/>
  <c r="D18" i="39"/>
  <c r="T18" i="39"/>
  <c r="G9" i="88"/>
  <c r="G9" i="288"/>
  <c r="G9" i="289"/>
  <c r="G9" i="94"/>
  <c r="G9" i="75"/>
  <c r="G306" i="33"/>
  <c r="G325" i="33"/>
  <c r="G103" i="33"/>
  <c r="F259" i="33"/>
  <c r="G259" i="33"/>
  <c r="F225" i="33"/>
  <c r="F280" i="33"/>
  <c r="F286" i="33"/>
  <c r="G156" i="33"/>
  <c r="E314" i="33"/>
  <c r="F147" i="33"/>
  <c r="F182" i="33"/>
  <c r="F111" i="33"/>
  <c r="G111" i="33"/>
  <c r="G149" i="33"/>
  <c r="E111" i="33"/>
  <c r="E147" i="33"/>
  <c r="E182" i="33"/>
  <c r="G239" i="33"/>
  <c r="E237" i="33"/>
  <c r="B34" i="68"/>
  <c r="B35" i="68"/>
  <c r="B36" i="68"/>
  <c r="B37" i="68"/>
  <c r="B38" i="68"/>
  <c r="B39" i="68"/>
  <c r="B40" i="68"/>
  <c r="B41" i="68"/>
  <c r="B42" i="68"/>
  <c r="B43" i="68"/>
  <c r="B44" i="68"/>
  <c r="B45" i="68"/>
  <c r="B46" i="68"/>
  <c r="B47" i="68"/>
  <c r="B48" i="68"/>
  <c r="B49" i="68"/>
  <c r="B50" i="68"/>
  <c r="B51" i="68"/>
  <c r="B52" i="68"/>
  <c r="G10" i="56"/>
  <c r="K64" i="32"/>
  <c r="K59" i="32"/>
  <c r="K61" i="32"/>
  <c r="P846" i="91"/>
  <c r="K94" i="41"/>
  <c r="N347" i="91"/>
  <c r="N1032" i="91"/>
  <c r="A45" i="32"/>
  <c r="A40" i="32"/>
  <c r="G64" i="32"/>
  <c r="A32" i="32"/>
  <c r="H39" i="32"/>
  <c r="H63" i="32"/>
  <c r="L908" i="91"/>
  <c r="J62" i="32"/>
  <c r="N877" i="91"/>
  <c r="I144" i="41"/>
  <c r="I59" i="32"/>
  <c r="I61" i="32"/>
  <c r="M846" i="91"/>
  <c r="H94" i="41"/>
  <c r="A22" i="32"/>
  <c r="F62" i="32"/>
  <c r="A13" i="32"/>
  <c r="J877" i="91"/>
  <c r="O34" i="31"/>
  <c r="L813" i="91"/>
  <c r="Q30" i="31"/>
  <c r="N502" i="91"/>
  <c r="V502" i="91"/>
  <c r="O30" i="31"/>
  <c r="L502" i="91"/>
  <c r="N25" i="31"/>
  <c r="A25" i="31"/>
  <c r="O24" i="31"/>
  <c r="L751" i="91"/>
  <c r="S24" i="31"/>
  <c r="P751" i="91"/>
  <c r="N15" i="31"/>
  <c r="A15" i="31"/>
  <c r="A14" i="31"/>
  <c r="N14" i="31"/>
  <c r="J44" i="82"/>
  <c r="R21" i="31"/>
  <c r="O689" i="91"/>
  <c r="Q22" i="31"/>
  <c r="N720" i="91"/>
  <c r="F44" i="82"/>
  <c r="A21" i="31"/>
  <c r="N21" i="31"/>
  <c r="K689" i="91"/>
  <c r="R11" i="31"/>
  <c r="E327" i="33"/>
  <c r="T10" i="31"/>
  <c r="L12" i="31"/>
  <c r="T16" i="31"/>
  <c r="T17" i="31"/>
  <c r="T18" i="31"/>
  <c r="T19" i="31"/>
  <c r="J63" i="80"/>
  <c r="E326" i="33"/>
  <c r="O37" i="31"/>
  <c r="J37" i="31"/>
  <c r="K37" i="31"/>
  <c r="P37" i="31"/>
  <c r="R10" i="31"/>
  <c r="J12" i="31"/>
  <c r="Q37" i="31"/>
  <c r="R16" i="31"/>
  <c r="R17" i="31"/>
  <c r="R18" i="31"/>
  <c r="R19" i="31"/>
  <c r="O565" i="91"/>
  <c r="G63" i="80"/>
  <c r="O10" i="31"/>
  <c r="G12" i="31"/>
  <c r="O17" i="31"/>
  <c r="O19" i="31"/>
  <c r="O16" i="31"/>
  <c r="O18" i="31"/>
  <c r="G37" i="31"/>
  <c r="G45" i="81"/>
  <c r="L565" i="91"/>
  <c r="J52" i="66"/>
  <c r="J92" i="66"/>
  <c r="J53" i="66"/>
  <c r="J93" i="66"/>
  <c r="F52" i="66"/>
  <c r="F92" i="66"/>
  <c r="F53" i="66"/>
  <c r="F93" i="66"/>
  <c r="N52" i="66"/>
  <c r="N92" i="66"/>
  <c r="N53" i="66"/>
  <c r="N93" i="66"/>
  <c r="Q52" i="66"/>
  <c r="Q92" i="66"/>
  <c r="Q53" i="66"/>
  <c r="Q93" i="66"/>
  <c r="L1063" i="91"/>
  <c r="L1094" i="91"/>
  <c r="A54" i="32"/>
  <c r="K1063" i="91"/>
  <c r="K1094" i="91"/>
  <c r="O161" i="91"/>
  <c r="L161" i="91"/>
  <c r="Q1732" i="91"/>
  <c r="U1732" i="91"/>
  <c r="M1732" i="91"/>
  <c r="J1732" i="91"/>
  <c r="P1587" i="91"/>
  <c r="T1587" i="91"/>
  <c r="M1587" i="91"/>
  <c r="T1761" i="91"/>
  <c r="M1761" i="91"/>
  <c r="Q1761" i="91"/>
  <c r="R596" i="91"/>
  <c r="U782" i="91"/>
  <c r="Y782" i="91"/>
  <c r="T1645" i="91"/>
  <c r="L1645" i="91"/>
  <c r="P1645" i="91"/>
  <c r="P378" i="91"/>
  <c r="R627" i="91"/>
  <c r="U1703" i="91"/>
  <c r="N1703" i="91"/>
  <c r="J1703" i="91"/>
  <c r="U1587" i="91"/>
  <c r="N1761" i="91"/>
  <c r="V782" i="91"/>
  <c r="U1645" i="91"/>
  <c r="J1645" i="91"/>
  <c r="R1703" i="91"/>
  <c r="O1703" i="91"/>
  <c r="M161" i="91"/>
  <c r="R161" i="91"/>
  <c r="R565" i="91"/>
  <c r="S1732" i="91"/>
  <c r="K1732" i="91"/>
  <c r="O1732" i="91"/>
  <c r="V1587" i="91"/>
  <c r="R1587" i="91"/>
  <c r="K1587" i="91"/>
  <c r="R1761" i="91"/>
  <c r="V1761" i="91"/>
  <c r="O1761" i="91"/>
  <c r="K1761" i="91"/>
  <c r="W782" i="91"/>
  <c r="R1645" i="91"/>
  <c r="V1645" i="91"/>
  <c r="N1645" i="91"/>
  <c r="N378" i="91"/>
  <c r="L378" i="91"/>
  <c r="S1703" i="91"/>
  <c r="L1703" i="91"/>
  <c r="P1703" i="91"/>
  <c r="N161" i="91"/>
  <c r="K161" i="91"/>
  <c r="R658" i="91"/>
  <c r="T1732" i="91"/>
  <c r="L1732" i="91"/>
  <c r="P1732" i="91"/>
  <c r="O1587" i="91"/>
  <c r="S1587" i="91"/>
  <c r="L1587" i="91"/>
  <c r="S1761" i="91"/>
  <c r="L1761" i="91"/>
  <c r="P1761" i="91"/>
  <c r="T782" i="91"/>
  <c r="X782" i="91"/>
  <c r="S1645" i="91"/>
  <c r="K1645" i="91"/>
  <c r="O1645" i="91"/>
  <c r="O378" i="91"/>
  <c r="M378" i="91"/>
  <c r="T1703" i="91"/>
  <c r="M1703" i="91"/>
  <c r="Q1703" i="91"/>
  <c r="P161" i="91"/>
  <c r="J565" i="91"/>
  <c r="R1732" i="91"/>
  <c r="V1732" i="91"/>
  <c r="N1732" i="91"/>
  <c r="Q1587" i="91"/>
  <c r="J1587" i="91"/>
  <c r="N1587" i="91"/>
  <c r="U1761" i="91"/>
  <c r="J1761" i="91"/>
  <c r="Q1645" i="91"/>
  <c r="M1645" i="91"/>
  <c r="K378" i="91"/>
  <c r="V1703" i="91"/>
  <c r="K1703" i="91"/>
  <c r="DX241" i="91"/>
  <c r="DX235" i="91"/>
  <c r="DX277" i="91"/>
  <c r="DX276" i="91"/>
  <c r="DX229" i="91"/>
  <c r="DX265" i="91"/>
  <c r="DX275" i="91"/>
  <c r="DX269" i="91"/>
  <c r="DX246" i="91"/>
  <c r="DX279" i="91"/>
  <c r="DX247" i="91"/>
  <c r="DX234" i="91"/>
  <c r="DX260" i="91"/>
  <c r="T565" i="91"/>
  <c r="DX225" i="91"/>
  <c r="DX259" i="91"/>
  <c r="DX261" i="91"/>
  <c r="DX239" i="91"/>
  <c r="DX254" i="91"/>
  <c r="DX228" i="91"/>
  <c r="DX238" i="91"/>
  <c r="DX248" i="91"/>
  <c r="DX274" i="91"/>
  <c r="DX257" i="91"/>
  <c r="DX231" i="91"/>
  <c r="DX245" i="91"/>
  <c r="DX223" i="91"/>
  <c r="T596" i="91"/>
  <c r="DX262" i="91"/>
  <c r="DX256" i="91"/>
  <c r="DX263" i="91"/>
  <c r="DX224" i="91"/>
  <c r="DX266" i="91"/>
  <c r="DX230" i="91"/>
  <c r="DX227" i="91"/>
  <c r="DX242" i="91"/>
  <c r="DX264" i="91"/>
  <c r="DX237" i="91"/>
  <c r="DX268" i="91"/>
  <c r="DX273" i="91"/>
  <c r="DX244" i="91"/>
  <c r="DX278" i="91"/>
  <c r="DX272" i="91"/>
  <c r="DX226" i="91"/>
  <c r="DX240" i="91"/>
  <c r="DX267" i="91"/>
  <c r="DX233" i="91"/>
  <c r="DX243" i="91"/>
  <c r="DX270" i="91"/>
  <c r="DX232" i="91"/>
  <c r="DX258" i="91"/>
  <c r="DX236" i="91"/>
  <c r="DX255" i="91"/>
  <c r="DX271" i="91"/>
  <c r="S42" i="66"/>
  <c r="G27" i="26"/>
  <c r="G25" i="26"/>
  <c r="G23" i="26"/>
  <c r="G19" i="26"/>
  <c r="G15" i="26"/>
  <c r="I94" i="41"/>
  <c r="F121" i="33"/>
  <c r="G121" i="33"/>
  <c r="R38" i="66"/>
  <c r="S38" i="66"/>
  <c r="G22" i="26"/>
  <c r="G18" i="26"/>
  <c r="F307" i="33"/>
  <c r="L37" i="31"/>
  <c r="E116" i="33"/>
  <c r="H194" i="41"/>
  <c r="E161" i="33"/>
  <c r="E201" i="33"/>
  <c r="E141" i="33"/>
  <c r="R13" i="31"/>
  <c r="E40" i="33"/>
  <c r="E126" i="33"/>
  <c r="T42" i="66"/>
  <c r="G84" i="33"/>
  <c r="G26" i="94"/>
  <c r="N44" i="82"/>
  <c r="T502" i="91"/>
  <c r="E176" i="33"/>
  <c r="E279" i="33"/>
  <c r="S39" i="66"/>
  <c r="T47" i="66"/>
  <c r="F144" i="41"/>
  <c r="E196" i="33"/>
  <c r="H144" i="41"/>
  <c r="R15" i="31"/>
  <c r="E50" i="33"/>
  <c r="E52" i="33"/>
  <c r="T15" i="31"/>
  <c r="F50" i="33"/>
  <c r="F52" i="33"/>
  <c r="C40" i="97"/>
  <c r="D24" i="97"/>
  <c r="D25" i="97"/>
  <c r="D26" i="97"/>
  <c r="DX310" i="91"/>
  <c r="DX309" i="91"/>
  <c r="DX308" i="91"/>
  <c r="DX307" i="91"/>
  <c r="DX306" i="91"/>
  <c r="DX305" i="91"/>
  <c r="DX304" i="91"/>
  <c r="DX303" i="91"/>
  <c r="DX302" i="91"/>
  <c r="DX301" i="91"/>
  <c r="DX300" i="91"/>
  <c r="DX299" i="91"/>
  <c r="DX298" i="91"/>
  <c r="DX297" i="91"/>
  <c r="DX296" i="91"/>
  <c r="DX295" i="91"/>
  <c r="DX294" i="91"/>
  <c r="DX293" i="91"/>
  <c r="DX292" i="91"/>
  <c r="DX291" i="91"/>
  <c r="DX290" i="91"/>
  <c r="DX289" i="91"/>
  <c r="DX288" i="91"/>
  <c r="DX287" i="91"/>
  <c r="DX286" i="91"/>
  <c r="DX285" i="91"/>
  <c r="K1790" i="91"/>
  <c r="J1790" i="91"/>
  <c r="Q1790" i="91"/>
  <c r="P1790" i="91"/>
  <c r="O1790" i="91"/>
  <c r="N1790" i="91"/>
  <c r="M1790" i="91"/>
  <c r="L1790" i="91"/>
  <c r="V1790" i="91"/>
  <c r="U1790" i="91"/>
  <c r="T1790" i="91"/>
  <c r="S1790" i="91"/>
  <c r="R1790" i="91"/>
  <c r="J970" i="91"/>
  <c r="J1125" i="91"/>
  <c r="L191" i="91"/>
  <c r="L409" i="91"/>
  <c r="K191" i="91"/>
  <c r="K409" i="91"/>
  <c r="R191" i="91"/>
  <c r="H210" i="97"/>
  <c r="P191" i="91"/>
  <c r="P409" i="91"/>
  <c r="O191" i="91"/>
  <c r="O409" i="91"/>
  <c r="N191" i="91"/>
  <c r="N409" i="91"/>
  <c r="M191" i="91"/>
  <c r="M409" i="91"/>
  <c r="H171" i="33"/>
  <c r="B102" i="5"/>
  <c r="B131" i="5"/>
  <c r="C133" i="5"/>
  <c r="C140" i="5"/>
  <c r="H259" i="33"/>
  <c r="G51" i="75"/>
  <c r="H51" i="75"/>
  <c r="I51" i="75"/>
  <c r="J51" i="75"/>
  <c r="K51" i="75"/>
  <c r="L51" i="75"/>
  <c r="M51" i="75"/>
  <c r="N51" i="75"/>
  <c r="O51" i="75"/>
  <c r="P51" i="75"/>
  <c r="Q51" i="75"/>
  <c r="R51" i="75"/>
  <c r="S51" i="75"/>
  <c r="T51" i="75"/>
  <c r="U51" i="75"/>
  <c r="G90" i="75"/>
  <c r="H9" i="75"/>
  <c r="D16" i="85"/>
  <c r="G18" i="68"/>
  <c r="H9" i="68"/>
  <c r="H181" i="33"/>
  <c r="E63" i="80"/>
  <c r="K1125" i="91"/>
  <c r="N12" i="31"/>
  <c r="F41" i="31"/>
  <c r="F20" i="31"/>
  <c r="F38" i="31"/>
  <c r="B12" i="31"/>
  <c r="A12" i="31"/>
  <c r="F85" i="82"/>
  <c r="F194" i="41"/>
  <c r="J194" i="41"/>
  <c r="H121" i="33"/>
  <c r="H201" i="33"/>
  <c r="H116" i="33"/>
  <c r="R29" i="66"/>
  <c r="S443" i="91"/>
  <c r="U34" i="66"/>
  <c r="V448" i="91"/>
  <c r="J56" i="97"/>
  <c r="I22" i="55"/>
  <c r="I34" i="75"/>
  <c r="I76" i="75"/>
  <c r="J73" i="18"/>
  <c r="Q12" i="31"/>
  <c r="I41" i="31"/>
  <c r="I20" i="31"/>
  <c r="I38" i="31"/>
  <c r="J28" i="32"/>
  <c r="Q19" i="32"/>
  <c r="F94" i="41"/>
  <c r="I65" i="32"/>
  <c r="N254" i="91"/>
  <c r="N316" i="91"/>
  <c r="H131" i="33"/>
  <c r="E136" i="33"/>
  <c r="H136" i="33"/>
  <c r="H279" i="33"/>
  <c r="H161" i="33"/>
  <c r="T342" i="91"/>
  <c r="T35" i="66"/>
  <c r="U449" i="91"/>
  <c r="V342" i="91"/>
  <c r="U32" i="66"/>
  <c r="V446" i="91"/>
  <c r="J54" i="97"/>
  <c r="R43" i="66"/>
  <c r="I85" i="82"/>
  <c r="I28" i="32"/>
  <c r="P19" i="32"/>
  <c r="H60" i="32"/>
  <c r="H44" i="41"/>
  <c r="M939" i="91"/>
  <c r="M970" i="91"/>
  <c r="E166" i="33"/>
  <c r="E288" i="33"/>
  <c r="G46" i="288"/>
  <c r="H252" i="33"/>
  <c r="G254" i="33"/>
  <c r="G28" i="289"/>
  <c r="G39" i="288"/>
  <c r="G220" i="33"/>
  <c r="G22" i="289"/>
  <c r="H6" i="68"/>
  <c r="H218" i="33"/>
  <c r="H222" i="33"/>
  <c r="H24" i="33"/>
  <c r="I26" i="33"/>
  <c r="J26" i="33"/>
  <c r="H77" i="33"/>
  <c r="H106" i="33"/>
  <c r="H85" i="33"/>
  <c r="E216" i="33"/>
  <c r="U30" i="66"/>
  <c r="V444" i="91"/>
  <c r="J52" i="97"/>
  <c r="S36" i="66"/>
  <c r="T450" i="91"/>
  <c r="R41" i="66"/>
  <c r="T28" i="66"/>
  <c r="U442" i="91"/>
  <c r="T36" i="66"/>
  <c r="U450" i="91"/>
  <c r="T48" i="66"/>
  <c r="T41" i="66"/>
  <c r="C57" i="18"/>
  <c r="C64" i="18"/>
  <c r="G201" i="96"/>
  <c r="G196" i="96"/>
  <c r="G205" i="96"/>
  <c r="G202" i="96"/>
  <c r="G203" i="96"/>
  <c r="G197" i="96"/>
  <c r="G199" i="96"/>
  <c r="G204" i="96"/>
  <c r="G198" i="96"/>
  <c r="G200" i="96"/>
  <c r="G195" i="96"/>
  <c r="DY221" i="91"/>
  <c r="R45" i="66"/>
  <c r="A45" i="66"/>
  <c r="T29" i="66"/>
  <c r="U443" i="91"/>
  <c r="H28" i="26"/>
  <c r="P38" i="31"/>
  <c r="Q38" i="31"/>
  <c r="O38" i="31"/>
  <c r="R12" i="31"/>
  <c r="J41" i="31"/>
  <c r="J20" i="31"/>
  <c r="J38" i="31"/>
  <c r="K60" i="32"/>
  <c r="K44" i="41"/>
  <c r="F300" i="33"/>
  <c r="P939" i="91"/>
  <c r="P970" i="91"/>
  <c r="F295" i="33"/>
  <c r="L1125" i="91"/>
  <c r="G85" i="82"/>
  <c r="G194" i="41"/>
  <c r="G23" i="288"/>
  <c r="H156" i="33"/>
  <c r="D13" i="85"/>
  <c r="D19" i="85"/>
  <c r="G40" i="94"/>
  <c r="G23" i="94"/>
  <c r="G27" i="94"/>
  <c r="G28" i="94"/>
  <c r="G29" i="94"/>
  <c r="S31" i="66"/>
  <c r="T445" i="91"/>
  <c r="R36" i="66"/>
  <c r="S450" i="91"/>
  <c r="S47" i="66"/>
  <c r="T31" i="66"/>
  <c r="U445" i="91"/>
  <c r="T39" i="66"/>
  <c r="S49" i="66"/>
  <c r="U31" i="66"/>
  <c r="V445" i="91"/>
  <c r="J53" i="97"/>
  <c r="R31" i="66"/>
  <c r="S445" i="91"/>
  <c r="U36" i="66"/>
  <c r="V450" i="91"/>
  <c r="J58" i="97"/>
  <c r="F45" i="81"/>
  <c r="A37" i="31"/>
  <c r="U502" i="91"/>
  <c r="J60" i="32"/>
  <c r="J44" i="41"/>
  <c r="O939" i="91"/>
  <c r="O970" i="91"/>
  <c r="E295" i="33"/>
  <c r="H65" i="32"/>
  <c r="M254" i="91"/>
  <c r="M316" i="91"/>
  <c r="H196" i="33"/>
  <c r="H166" i="33"/>
  <c r="H269" i="33"/>
  <c r="N1125" i="91"/>
  <c r="M44" i="82"/>
  <c r="G144" i="41"/>
  <c r="I194" i="41"/>
  <c r="M194" i="41"/>
  <c r="G22" i="288"/>
  <c r="H154" i="33"/>
  <c r="H176" i="33"/>
  <c r="E171" i="33"/>
  <c r="I36" i="33"/>
  <c r="E206" i="33"/>
  <c r="U29" i="66"/>
  <c r="V443" i="91"/>
  <c r="J51" i="97"/>
  <c r="S35" i="66"/>
  <c r="T449" i="91"/>
  <c r="R40" i="66"/>
  <c r="U342" i="91"/>
  <c r="R30" i="66"/>
  <c r="S444" i="91"/>
  <c r="U35" i="66"/>
  <c r="V449" i="91"/>
  <c r="J57" i="97"/>
  <c r="S41" i="66"/>
  <c r="S342" i="91"/>
  <c r="F28" i="32"/>
  <c r="M19" i="32"/>
  <c r="A19" i="32"/>
  <c r="E37" i="299"/>
  <c r="A19" i="30"/>
  <c r="G20" i="68"/>
  <c r="F216" i="33"/>
  <c r="G216" i="33"/>
  <c r="E269" i="33"/>
  <c r="H98" i="33"/>
  <c r="R47" i="66"/>
  <c r="D13" i="18"/>
  <c r="O12" i="31"/>
  <c r="G41" i="31"/>
  <c r="G20" i="31"/>
  <c r="G38" i="31"/>
  <c r="J45" i="81"/>
  <c r="E31" i="33"/>
  <c r="G31" i="33"/>
  <c r="G28" i="33"/>
  <c r="E307" i="33"/>
  <c r="T12" i="31"/>
  <c r="L41" i="31"/>
  <c r="L20" i="31"/>
  <c r="H50" i="32"/>
  <c r="G65" i="32"/>
  <c r="L254" i="91"/>
  <c r="L316" i="91"/>
  <c r="K65" i="32"/>
  <c r="E25" i="30"/>
  <c r="H25" i="30"/>
  <c r="J17" i="61"/>
  <c r="J13" i="61"/>
  <c r="P254" i="91"/>
  <c r="P316" i="91"/>
  <c r="P440" i="91"/>
  <c r="X440" i="91"/>
  <c r="F288" i="33"/>
  <c r="O1125" i="91"/>
  <c r="I60" i="32"/>
  <c r="I44" i="41"/>
  <c r="N939" i="91"/>
  <c r="N970" i="91"/>
  <c r="H111" i="33"/>
  <c r="H191" i="33"/>
  <c r="G34" i="289"/>
  <c r="R50" i="66"/>
  <c r="A50" i="66"/>
  <c r="F60" i="32"/>
  <c r="A59" i="32"/>
  <c r="K939" i="91"/>
  <c r="K970" i="91"/>
  <c r="J94" i="41"/>
  <c r="M94" i="41"/>
  <c r="G50" i="32"/>
  <c r="K50" i="32"/>
  <c r="J144" i="41"/>
  <c r="H264" i="33"/>
  <c r="H126" i="33"/>
  <c r="E264" i="33"/>
  <c r="T34" i="66"/>
  <c r="U448" i="91"/>
  <c r="S32" i="66"/>
  <c r="T446" i="91"/>
  <c r="R37" i="66"/>
  <c r="A37" i="66"/>
  <c r="T32" i="66"/>
  <c r="U446" i="91"/>
  <c r="H31" i="33"/>
  <c r="H28" i="33"/>
  <c r="J85" i="82"/>
  <c r="G28" i="32"/>
  <c r="N19" i="32"/>
  <c r="G60" i="32"/>
  <c r="G44" i="41"/>
  <c r="L939" i="91"/>
  <c r="L970" i="91"/>
  <c r="J65" i="32"/>
  <c r="O254" i="91"/>
  <c r="O316" i="91"/>
  <c r="H43" i="33"/>
  <c r="G40" i="33"/>
  <c r="G13" i="94"/>
  <c r="H206" i="33"/>
  <c r="E259" i="33"/>
  <c r="H211" i="33"/>
  <c r="E274" i="33"/>
  <c r="S27" i="66"/>
  <c r="L466" i="91"/>
  <c r="T441" i="91"/>
  <c r="T43" i="66"/>
  <c r="U27" i="66"/>
  <c r="V441" i="91"/>
  <c r="N466" i="91"/>
  <c r="S30" i="66"/>
  <c r="T444" i="91"/>
  <c r="R35" i="66"/>
  <c r="S449" i="91"/>
  <c r="A93" i="66"/>
  <c r="M1125" i="91"/>
  <c r="F63" i="80"/>
  <c r="H85" i="82"/>
  <c r="G94" i="41"/>
  <c r="F65" i="32"/>
  <c r="A64" i="32"/>
  <c r="K254" i="91"/>
  <c r="K316" i="91"/>
  <c r="E146" i="33"/>
  <c r="F146" i="33"/>
  <c r="G146" i="33"/>
  <c r="D19" i="39"/>
  <c r="T19" i="39"/>
  <c r="D13" i="39"/>
  <c r="T13" i="39"/>
  <c r="D25" i="39"/>
  <c r="T25" i="39"/>
  <c r="H9" i="289"/>
  <c r="H9" i="88"/>
  <c r="H9" i="288"/>
  <c r="H9" i="94"/>
  <c r="H306" i="33"/>
  <c r="H325" i="33"/>
  <c r="H103" i="33"/>
  <c r="E131" i="33"/>
  <c r="T30" i="66"/>
  <c r="U444" i="91"/>
  <c r="S28" i="66"/>
  <c r="T442" i="91"/>
  <c r="R33" i="66"/>
  <c r="S447" i="91"/>
  <c r="S44" i="66"/>
  <c r="A44" i="66"/>
  <c r="R49" i="66"/>
  <c r="T44" i="66"/>
  <c r="W441" i="91"/>
  <c r="W466" i="91"/>
  <c r="O466" i="91"/>
  <c r="T33" i="66"/>
  <c r="U447" i="91"/>
  <c r="T49" i="66"/>
  <c r="T40" i="66"/>
  <c r="G28" i="26"/>
  <c r="B1" i="26"/>
  <c r="E40" i="78"/>
  <c r="F40" i="78"/>
  <c r="R28" i="66"/>
  <c r="S442" i="91"/>
  <c r="U33" i="66"/>
  <c r="V447" i="91"/>
  <c r="J55" i="97"/>
  <c r="S29" i="66"/>
  <c r="T443" i="91"/>
  <c r="R34" i="66"/>
  <c r="S448" i="91"/>
  <c r="U28" i="66"/>
  <c r="V442" i="91"/>
  <c r="J50" i="97"/>
  <c r="S34" i="66"/>
  <c r="T448" i="91"/>
  <c r="R39" i="66"/>
  <c r="A39" i="66"/>
  <c r="S502" i="91"/>
  <c r="H28" i="32"/>
  <c r="N144" i="41"/>
  <c r="F72" i="33"/>
  <c r="F311" i="33"/>
  <c r="F38" i="33"/>
  <c r="G45" i="33"/>
  <c r="G14" i="94"/>
  <c r="H48" i="33"/>
  <c r="G54" i="288"/>
  <c r="G29" i="289"/>
  <c r="H282" i="33"/>
  <c r="E311" i="33"/>
  <c r="E38" i="33"/>
  <c r="E72" i="33"/>
  <c r="I67" i="18"/>
  <c r="I74" i="18"/>
  <c r="J71" i="18"/>
  <c r="M39" i="32"/>
  <c r="F50" i="32"/>
  <c r="A39" i="32"/>
  <c r="Q39" i="32"/>
  <c r="J50" i="32"/>
  <c r="H274" i="33"/>
  <c r="G45" i="288"/>
  <c r="H248" i="33"/>
  <c r="G250" i="33"/>
  <c r="G27" i="289"/>
  <c r="R32" i="66"/>
  <c r="S446" i="91"/>
  <c r="R48" i="66"/>
  <c r="A48" i="66"/>
  <c r="T27" i="66"/>
  <c r="U441" i="91"/>
  <c r="M466" i="91"/>
  <c r="S33" i="66"/>
  <c r="T447" i="91"/>
  <c r="R27" i="66"/>
  <c r="K466" i="91"/>
  <c r="S441" i="91"/>
  <c r="A92" i="66"/>
  <c r="P12" i="31"/>
  <c r="H41" i="31"/>
  <c r="H20" i="31"/>
  <c r="H38" i="31"/>
  <c r="P1125" i="91"/>
  <c r="K194" i="41"/>
  <c r="K144" i="41"/>
  <c r="S12" i="31"/>
  <c r="K41" i="31"/>
  <c r="K20" i="31"/>
  <c r="L12" i="85"/>
  <c r="N12" i="85"/>
  <c r="M144" i="41"/>
  <c r="P39" i="32"/>
  <c r="I50" i="32"/>
  <c r="K28" i="32"/>
  <c r="F141" i="33"/>
  <c r="G141" i="33"/>
  <c r="G40" i="288"/>
  <c r="G224" i="33"/>
  <c r="G23" i="289"/>
  <c r="I77" i="33"/>
  <c r="I218" i="33"/>
  <c r="I222" i="33"/>
  <c r="I24" i="33"/>
  <c r="I106" i="33"/>
  <c r="I85" i="33"/>
  <c r="J23" i="33"/>
  <c r="P466" i="91"/>
  <c r="X441" i="91"/>
  <c r="X466" i="91"/>
  <c r="F316" i="91"/>
  <c r="F1587" i="91"/>
  <c r="F191" i="91"/>
  <c r="F285" i="91"/>
  <c r="F440" i="91"/>
  <c r="F502" i="91"/>
  <c r="F565" i="91"/>
  <c r="F627" i="91"/>
  <c r="F689" i="91"/>
  <c r="F751" i="91"/>
  <c r="F813" i="91"/>
  <c r="F877" i="91"/>
  <c r="F939" i="91"/>
  <c r="F1001" i="91"/>
  <c r="F1063" i="91"/>
  <c r="F1125" i="91"/>
  <c r="F1187" i="91"/>
  <c r="F1249" i="91"/>
  <c r="F1312" i="91"/>
  <c r="F1372" i="91"/>
  <c r="F1432" i="91"/>
  <c r="F1494" i="91"/>
  <c r="A1494" i="91"/>
  <c r="F1703" i="91"/>
  <c r="F1761" i="91"/>
  <c r="F347" i="91"/>
  <c r="F409" i="91"/>
  <c r="F1559" i="91"/>
  <c r="F1616" i="91"/>
  <c r="F1819" i="91"/>
  <c r="C25" i="66"/>
  <c r="F161" i="91"/>
  <c r="F223" i="91"/>
  <c r="F254" i="91"/>
  <c r="F471" i="91"/>
  <c r="F533" i="91"/>
  <c r="F596" i="91"/>
  <c r="F658" i="91"/>
  <c r="F720" i="91"/>
  <c r="F782" i="91"/>
  <c r="F846" i="91"/>
  <c r="F908" i="91"/>
  <c r="F970" i="91"/>
  <c r="F1032" i="91"/>
  <c r="F1094" i="91"/>
  <c r="F1156" i="91"/>
  <c r="F1218" i="91"/>
  <c r="F1280" i="91"/>
  <c r="F1342" i="91"/>
  <c r="F1402" i="91"/>
  <c r="F1462" i="91"/>
  <c r="F1524" i="91"/>
  <c r="F1674" i="91"/>
  <c r="F1732" i="91"/>
  <c r="F1790" i="91"/>
  <c r="F378" i="91"/>
  <c r="F1645" i="91"/>
  <c r="R42" i="66"/>
  <c r="A42" i="66"/>
  <c r="G210" i="97"/>
  <c r="N1616" i="91"/>
  <c r="S1616" i="91"/>
  <c r="V1616" i="91"/>
  <c r="P1616" i="91"/>
  <c r="M223" i="91"/>
  <c r="J1616" i="91"/>
  <c r="O1616" i="91"/>
  <c r="U1616" i="91"/>
  <c r="N223" i="91"/>
  <c r="L223" i="91"/>
  <c r="Q1616" i="91"/>
  <c r="K1616" i="91"/>
  <c r="M1616" i="91"/>
  <c r="P223" i="91"/>
  <c r="L1616" i="91"/>
  <c r="R1616" i="91"/>
  <c r="T1616" i="91"/>
  <c r="K223" i="91"/>
  <c r="O223" i="91"/>
  <c r="DY270" i="91"/>
  <c r="DY227" i="91"/>
  <c r="DY246" i="91"/>
  <c r="DY243" i="91"/>
  <c r="DY226" i="91"/>
  <c r="DY235" i="91"/>
  <c r="DY245" i="91"/>
  <c r="DY224" i="91"/>
  <c r="T627" i="91"/>
  <c r="DY242" i="91"/>
  <c r="DY268" i="91"/>
  <c r="DY229" i="91"/>
  <c r="DY257" i="91"/>
  <c r="DY239" i="91"/>
  <c r="DY271" i="91"/>
  <c r="DY278" i="91"/>
  <c r="DY244" i="91"/>
  <c r="DY274" i="91"/>
  <c r="DY262" i="91"/>
  <c r="DY231" i="91"/>
  <c r="DY267" i="91"/>
  <c r="DY272" i="91"/>
  <c r="DY259" i="91"/>
  <c r="DY276" i="91"/>
  <c r="DY254" i="91"/>
  <c r="DY241" i="91"/>
  <c r="U565" i="91"/>
  <c r="DY277" i="91"/>
  <c r="DY236" i="91"/>
  <c r="DY232" i="91"/>
  <c r="DY247" i="91"/>
  <c r="DY228" i="91"/>
  <c r="DY234" i="91"/>
  <c r="DY225" i="91"/>
  <c r="DY264" i="91"/>
  <c r="DY258" i="91"/>
  <c r="DY248" i="91"/>
  <c r="DY256" i="91"/>
  <c r="DY230" i="91"/>
  <c r="DY266" i="91"/>
  <c r="DY265" i="91"/>
  <c r="DY260" i="91"/>
  <c r="DY273" i="91"/>
  <c r="DY238" i="91"/>
  <c r="V565" i="91"/>
  <c r="DY237" i="91"/>
  <c r="DY261" i="91"/>
  <c r="DY269" i="91"/>
  <c r="DY223" i="91"/>
  <c r="DY255" i="91"/>
  <c r="DY233" i="91"/>
  <c r="DY263" i="91"/>
  <c r="DY275" i="91"/>
  <c r="DY240" i="91"/>
  <c r="DY279" i="91"/>
  <c r="L45" i="81"/>
  <c r="A47" i="66"/>
  <c r="A38" i="66"/>
  <c r="G19" i="68"/>
  <c r="U1125" i="91"/>
  <c r="G95" i="33"/>
  <c r="E308" i="33"/>
  <c r="K38" i="31"/>
  <c r="G33" i="33"/>
  <c r="G315" i="33"/>
  <c r="G62" i="33"/>
  <c r="G18" i="94"/>
  <c r="G326" i="33"/>
  <c r="L63" i="80"/>
  <c r="G66" i="33"/>
  <c r="G19" i="94"/>
  <c r="G58" i="33"/>
  <c r="G17" i="94"/>
  <c r="G10" i="94"/>
  <c r="G71" i="33"/>
  <c r="G20" i="94"/>
  <c r="G50" i="33"/>
  <c r="G15" i="94"/>
  <c r="J12" i="39"/>
  <c r="G27" i="88"/>
  <c r="G54" i="33"/>
  <c r="G16" i="94"/>
  <c r="G37" i="33"/>
  <c r="G60" i="68"/>
  <c r="T1674" i="91"/>
  <c r="T1819" i="91"/>
  <c r="O25" i="66"/>
  <c r="O91" i="66"/>
  <c r="R1674" i="91"/>
  <c r="R1819" i="91"/>
  <c r="M25" i="66"/>
  <c r="M91" i="66"/>
  <c r="L1674" i="91"/>
  <c r="L1819" i="91"/>
  <c r="G25" i="66"/>
  <c r="G91" i="66"/>
  <c r="M1674" i="91"/>
  <c r="M1819" i="91"/>
  <c r="H25" i="66"/>
  <c r="H91" i="66"/>
  <c r="K1674" i="91"/>
  <c r="K1819" i="91"/>
  <c r="F25" i="66"/>
  <c r="F91" i="66"/>
  <c r="Q1674" i="91"/>
  <c r="Q1819" i="91"/>
  <c r="L25" i="66"/>
  <c r="L91" i="66"/>
  <c r="U1674" i="91"/>
  <c r="U1819" i="91"/>
  <c r="P25" i="66"/>
  <c r="P91" i="66"/>
  <c r="O1674" i="91"/>
  <c r="O1819" i="91"/>
  <c r="J25" i="66"/>
  <c r="J91" i="66"/>
  <c r="J1674" i="91"/>
  <c r="J1819" i="91"/>
  <c r="E25" i="66"/>
  <c r="P1674" i="91"/>
  <c r="P1819" i="91"/>
  <c r="K25" i="66"/>
  <c r="K91" i="66"/>
  <c r="V1674" i="91"/>
  <c r="V1819" i="91"/>
  <c r="Q25" i="66"/>
  <c r="Q91" i="66"/>
  <c r="S1674" i="91"/>
  <c r="S1819" i="91"/>
  <c r="N25" i="66"/>
  <c r="N91" i="66"/>
  <c r="N1674" i="91"/>
  <c r="N1819" i="91"/>
  <c r="I25" i="66"/>
  <c r="I91" i="66"/>
  <c r="S466" i="91"/>
  <c r="A49" i="66"/>
  <c r="M85" i="82"/>
  <c r="G26" i="88"/>
  <c r="O440" i="91"/>
  <c r="W440" i="91"/>
  <c r="G29" i="88"/>
  <c r="V409" i="91"/>
  <c r="A32" i="66"/>
  <c r="A28" i="66"/>
  <c r="A36" i="66"/>
  <c r="G28" i="88"/>
  <c r="E42" i="33"/>
  <c r="E43" i="33"/>
  <c r="H195" i="96"/>
  <c r="C82" i="97"/>
  <c r="K97" i="81"/>
  <c r="V1125" i="91"/>
  <c r="DY310" i="91"/>
  <c r="DY309" i="91"/>
  <c r="DY308" i="91"/>
  <c r="DY307" i="91"/>
  <c r="DY306" i="91"/>
  <c r="DY305" i="91"/>
  <c r="DY304" i="91"/>
  <c r="DY303" i="91"/>
  <c r="DY302" i="91"/>
  <c r="DY301" i="91"/>
  <c r="DY300" i="91"/>
  <c r="DY299" i="91"/>
  <c r="DY298" i="91"/>
  <c r="DY297" i="91"/>
  <c r="DY296" i="91"/>
  <c r="DY295" i="91"/>
  <c r="DY294" i="91"/>
  <c r="DY293" i="91"/>
  <c r="DY292" i="91"/>
  <c r="DY291" i="91"/>
  <c r="DY290" i="91"/>
  <c r="DY289" i="91"/>
  <c r="DY288" i="91"/>
  <c r="DY287" i="91"/>
  <c r="DY286" i="91"/>
  <c r="DY285" i="91"/>
  <c r="G14" i="88"/>
  <c r="G13" i="88"/>
  <c r="J13" i="39"/>
  <c r="H60" i="68"/>
  <c r="H54" i="33"/>
  <c r="H58" i="33"/>
  <c r="H62" i="33"/>
  <c r="H326" i="33"/>
  <c r="H50" i="33"/>
  <c r="H66" i="33"/>
  <c r="H71" i="33"/>
  <c r="H33" i="33"/>
  <c r="J13" i="85"/>
  <c r="I39" i="288"/>
  <c r="I220" i="33"/>
  <c r="I22" i="289"/>
  <c r="P50" i="32"/>
  <c r="I55" i="32"/>
  <c r="T53" i="66"/>
  <c r="T52" i="66"/>
  <c r="C91" i="66"/>
  <c r="J24" i="33"/>
  <c r="J77" i="33"/>
  <c r="J218" i="33"/>
  <c r="J222" i="33"/>
  <c r="K26" i="33"/>
  <c r="J106" i="33"/>
  <c r="J85" i="33"/>
  <c r="J9" i="88"/>
  <c r="J9" i="288"/>
  <c r="J9" i="289"/>
  <c r="J9" i="94"/>
  <c r="J103" i="33"/>
  <c r="J306" i="33"/>
  <c r="J325" i="33"/>
  <c r="H141" i="33"/>
  <c r="I274" i="33"/>
  <c r="M50" i="32"/>
  <c r="A50" i="32"/>
  <c r="F55" i="32"/>
  <c r="O16" i="32"/>
  <c r="O18" i="32"/>
  <c r="O24" i="32"/>
  <c r="O28" i="32"/>
  <c r="O26" i="32"/>
  <c r="O27" i="32"/>
  <c r="O15" i="32"/>
  <c r="O17" i="32"/>
  <c r="O25" i="32"/>
  <c r="O33" i="32"/>
  <c r="O36" i="32"/>
  <c r="O34" i="32"/>
  <c r="O42" i="32"/>
  <c r="O35" i="32"/>
  <c r="O41" i="32"/>
  <c r="O46" i="32"/>
  <c r="O47" i="32"/>
  <c r="O48" i="32"/>
  <c r="O49" i="32"/>
  <c r="M1001" i="91"/>
  <c r="O32" i="32"/>
  <c r="O13" i="32"/>
  <c r="O14" i="32"/>
  <c r="O21" i="32"/>
  <c r="O37" i="32"/>
  <c r="O11" i="32"/>
  <c r="O43" i="32"/>
  <c r="O20" i="32"/>
  <c r="O12" i="32"/>
  <c r="O54" i="32"/>
  <c r="O45" i="32"/>
  <c r="O52" i="32"/>
  <c r="O40" i="32"/>
  <c r="O38" i="32"/>
  <c r="O44" i="32"/>
  <c r="O22" i="32"/>
  <c r="O23" i="32"/>
  <c r="O31" i="32"/>
  <c r="A34" i="66"/>
  <c r="H18" i="38"/>
  <c r="I56" i="38"/>
  <c r="K19" i="20"/>
  <c r="Z135" i="97"/>
  <c r="U135" i="97"/>
  <c r="K135" i="97"/>
  <c r="K100" i="97"/>
  <c r="N100" i="97"/>
  <c r="P135" i="97"/>
  <c r="I40" i="288"/>
  <c r="I224" i="33"/>
  <c r="I23" i="289"/>
  <c r="R16" i="32"/>
  <c r="R18" i="32"/>
  <c r="R28" i="32"/>
  <c r="R15" i="32"/>
  <c r="R17" i="32"/>
  <c r="R25" i="32"/>
  <c r="R27" i="32"/>
  <c r="R26" i="32"/>
  <c r="R24" i="32"/>
  <c r="R35" i="32"/>
  <c r="R34" i="32"/>
  <c r="R41" i="32"/>
  <c r="R42" i="32"/>
  <c r="R33" i="32"/>
  <c r="R36" i="32"/>
  <c r="R46" i="32"/>
  <c r="R47" i="32"/>
  <c r="R48" i="32"/>
  <c r="R49" i="32"/>
  <c r="P1001" i="91"/>
  <c r="R43" i="32"/>
  <c r="R40" i="32"/>
  <c r="R45" i="32"/>
  <c r="R31" i="32"/>
  <c r="R32" i="32"/>
  <c r="R11" i="32"/>
  <c r="R52" i="32"/>
  <c r="R23" i="32"/>
  <c r="R38" i="32"/>
  <c r="R21" i="32"/>
  <c r="R14" i="32"/>
  <c r="R22" i="32"/>
  <c r="R54" i="32"/>
  <c r="R44" i="32"/>
  <c r="R12" i="32"/>
  <c r="R37" i="32"/>
  <c r="R20" i="32"/>
  <c r="R13" i="32"/>
  <c r="A12" i="85"/>
  <c r="J15" i="85"/>
  <c r="J17" i="39"/>
  <c r="X63" i="80"/>
  <c r="S20" i="31"/>
  <c r="K42" i="31"/>
  <c r="K23" i="31"/>
  <c r="P627" i="91"/>
  <c r="P41" i="31"/>
  <c r="R52" i="66"/>
  <c r="R53" i="66"/>
  <c r="A27" i="66"/>
  <c r="U466" i="91"/>
  <c r="K71" i="18"/>
  <c r="J74" i="18"/>
  <c r="J67" i="18"/>
  <c r="H54" i="288"/>
  <c r="H29" i="289"/>
  <c r="I282" i="33"/>
  <c r="U52" i="66"/>
  <c r="U53" i="66"/>
  <c r="S53" i="66"/>
  <c r="S52" i="66"/>
  <c r="R50" i="32"/>
  <c r="K55" i="32"/>
  <c r="I111" i="33"/>
  <c r="E42" i="299"/>
  <c r="A25" i="30"/>
  <c r="A40" i="66"/>
  <c r="I166" i="33"/>
  <c r="U316" i="91"/>
  <c r="M440" i="91"/>
  <c r="H21" i="38"/>
  <c r="I59" i="38"/>
  <c r="K22" i="20"/>
  <c r="N103" i="97"/>
  <c r="Z138" i="97"/>
  <c r="P138" i="97"/>
  <c r="K138" i="97"/>
  <c r="K103" i="97"/>
  <c r="U138" i="97"/>
  <c r="H16" i="38"/>
  <c r="I54" i="38"/>
  <c r="K17" i="20"/>
  <c r="Z133" i="97"/>
  <c r="U133" i="97"/>
  <c r="P133" i="97"/>
  <c r="N98" i="97"/>
  <c r="K133" i="97"/>
  <c r="K98" i="97"/>
  <c r="G13" i="289"/>
  <c r="G23" i="88"/>
  <c r="G21" i="56"/>
  <c r="G27" i="56"/>
  <c r="G16" i="88"/>
  <c r="G10" i="88"/>
  <c r="G11" i="56"/>
  <c r="DZ221" i="91"/>
  <c r="H204" i="96"/>
  <c r="H202" i="96"/>
  <c r="D14" i="39"/>
  <c r="T14" i="39"/>
  <c r="D26" i="39"/>
  <c r="T26" i="39"/>
  <c r="D20" i="39"/>
  <c r="T20" i="39"/>
  <c r="I9" i="288"/>
  <c r="I9" i="289"/>
  <c r="I9" i="94"/>
  <c r="I9" i="88"/>
  <c r="I306" i="33"/>
  <c r="I325" i="33"/>
  <c r="I103" i="33"/>
  <c r="H39" i="288"/>
  <c r="H220" i="33"/>
  <c r="H22" i="289"/>
  <c r="M44" i="41"/>
  <c r="V316" i="91"/>
  <c r="N440" i="91"/>
  <c r="Q28" i="32"/>
  <c r="Q15" i="32"/>
  <c r="Q17" i="32"/>
  <c r="Q25" i="32"/>
  <c r="Q26" i="32"/>
  <c r="Q27" i="32"/>
  <c r="Q16" i="32"/>
  <c r="Q18" i="32"/>
  <c r="Q24" i="32"/>
  <c r="Q33" i="32"/>
  <c r="Q35" i="32"/>
  <c r="Q34" i="32"/>
  <c r="Q36" i="32"/>
  <c r="Q42" i="32"/>
  <c r="Q41" i="32"/>
  <c r="Q46" i="32"/>
  <c r="Q47" i="32"/>
  <c r="Q48" i="32"/>
  <c r="Q49" i="32"/>
  <c r="O1001" i="91"/>
  <c r="Q14" i="32"/>
  <c r="Q43" i="32"/>
  <c r="Q37" i="32"/>
  <c r="Q20" i="32"/>
  <c r="Q21" i="32"/>
  <c r="Q54" i="32"/>
  <c r="Q40" i="32"/>
  <c r="Q12" i="32"/>
  <c r="Q45" i="32"/>
  <c r="Q32" i="32"/>
  <c r="Q13" i="32"/>
  <c r="Q11" i="32"/>
  <c r="Q44" i="32"/>
  <c r="Q52" i="32"/>
  <c r="Q23" i="32"/>
  <c r="Q31" i="32"/>
  <c r="Q38" i="32"/>
  <c r="Q22" i="32"/>
  <c r="J22" i="55"/>
  <c r="J34" i="75"/>
  <c r="K34" i="75"/>
  <c r="L34" i="75"/>
  <c r="M34" i="75"/>
  <c r="N34" i="75"/>
  <c r="O34" i="75"/>
  <c r="P34" i="75"/>
  <c r="Q34" i="75"/>
  <c r="R34" i="75"/>
  <c r="S34" i="75"/>
  <c r="T34" i="75"/>
  <c r="U34" i="75"/>
  <c r="J76" i="75"/>
  <c r="K76" i="75"/>
  <c r="L76" i="75"/>
  <c r="M76" i="75"/>
  <c r="N76" i="75"/>
  <c r="O76" i="75"/>
  <c r="P76" i="75"/>
  <c r="Q76" i="75"/>
  <c r="R76" i="75"/>
  <c r="S76" i="75"/>
  <c r="T76" i="75"/>
  <c r="U76" i="75"/>
  <c r="K73" i="18"/>
  <c r="H19" i="38"/>
  <c r="I57" i="38"/>
  <c r="K20" i="20"/>
  <c r="N101" i="97"/>
  <c r="K136" i="97"/>
  <c r="K101" i="97"/>
  <c r="Z136" i="97"/>
  <c r="U136" i="97"/>
  <c r="P136" i="97"/>
  <c r="I116" i="33"/>
  <c r="N85" i="82"/>
  <c r="B1" i="82"/>
  <c r="E19" i="78"/>
  <c r="F19" i="78"/>
  <c r="B9" i="89"/>
  <c r="N20" i="31"/>
  <c r="F42" i="31"/>
  <c r="B20" i="31"/>
  <c r="F23" i="31"/>
  <c r="A20" i="31"/>
  <c r="F39" i="31"/>
  <c r="K627" i="91"/>
  <c r="I259" i="33"/>
  <c r="G327" i="33"/>
  <c r="D27" i="97"/>
  <c r="D28" i="97"/>
  <c r="I171" i="33"/>
  <c r="E79" i="33"/>
  <c r="E73" i="33"/>
  <c r="E312" i="33"/>
  <c r="O19" i="32"/>
  <c r="A33" i="66"/>
  <c r="K23" i="33"/>
  <c r="S316" i="91"/>
  <c r="K440" i="91"/>
  <c r="H40" i="33"/>
  <c r="I43" i="33"/>
  <c r="M45" i="81"/>
  <c r="I31" i="33"/>
  <c r="R39" i="32"/>
  <c r="O50" i="32"/>
  <c r="H55" i="32"/>
  <c r="I176" i="33"/>
  <c r="G19" i="88"/>
  <c r="G18" i="88"/>
  <c r="G39" i="88"/>
  <c r="H23" i="288"/>
  <c r="I156" i="33"/>
  <c r="J16" i="39"/>
  <c r="W63" i="80"/>
  <c r="J39" i="31"/>
  <c r="K39" i="31"/>
  <c r="Q39" i="31"/>
  <c r="J23" i="31"/>
  <c r="O39" i="31"/>
  <c r="R20" i="31"/>
  <c r="J42" i="31"/>
  <c r="P39" i="31"/>
  <c r="O627" i="91"/>
  <c r="H199" i="96"/>
  <c r="H205" i="96"/>
  <c r="H315" i="33"/>
  <c r="H243" i="33"/>
  <c r="I243" i="33"/>
  <c r="H236" i="33"/>
  <c r="H229" i="33"/>
  <c r="H19" i="68"/>
  <c r="I6" i="68"/>
  <c r="I279" i="33"/>
  <c r="I121" i="33"/>
  <c r="A41" i="31"/>
  <c r="I9" i="68"/>
  <c r="H18" i="68"/>
  <c r="H90" i="75"/>
  <c r="I9" i="75"/>
  <c r="N12" i="39"/>
  <c r="L12" i="39"/>
  <c r="S409" i="91"/>
  <c r="T466" i="91"/>
  <c r="I191" i="33"/>
  <c r="O39" i="32"/>
  <c r="T63" i="80"/>
  <c r="G23" i="31"/>
  <c r="O20" i="31"/>
  <c r="G42" i="31"/>
  <c r="G39" i="31"/>
  <c r="T45" i="81"/>
  <c r="L627" i="91"/>
  <c r="H95" i="33"/>
  <c r="I98" i="33"/>
  <c r="H216" i="33"/>
  <c r="A37" i="299"/>
  <c r="M24" i="32"/>
  <c r="M26" i="32"/>
  <c r="M17" i="32"/>
  <c r="M27" i="32"/>
  <c r="M15" i="32"/>
  <c r="M25" i="32"/>
  <c r="M16" i="32"/>
  <c r="M18" i="32"/>
  <c r="M28" i="32"/>
  <c r="M33" i="32"/>
  <c r="M34" i="32"/>
  <c r="M36" i="32"/>
  <c r="M35" i="32"/>
  <c r="M42" i="32"/>
  <c r="M41" i="32"/>
  <c r="M46" i="32"/>
  <c r="M47" i="32"/>
  <c r="M48" i="32"/>
  <c r="M49" i="32"/>
  <c r="A28" i="32"/>
  <c r="K1001" i="91"/>
  <c r="M37" i="32"/>
  <c r="M20" i="32"/>
  <c r="M14" i="32"/>
  <c r="M43" i="32"/>
  <c r="M38" i="32"/>
  <c r="M21" i="32"/>
  <c r="M32" i="32"/>
  <c r="M13" i="32"/>
  <c r="M54" i="32"/>
  <c r="M52" i="32"/>
  <c r="M45" i="32"/>
  <c r="M23" i="32"/>
  <c r="M11" i="32"/>
  <c r="M31" i="32"/>
  <c r="M44" i="32"/>
  <c r="M12" i="32"/>
  <c r="M40" i="32"/>
  <c r="M22" i="32"/>
  <c r="A30" i="66"/>
  <c r="J36" i="33"/>
  <c r="I269" i="33"/>
  <c r="E317" i="33"/>
  <c r="E297" i="33"/>
  <c r="F299" i="33"/>
  <c r="E296" i="33"/>
  <c r="G15" i="88"/>
  <c r="G17" i="88"/>
  <c r="H200" i="96"/>
  <c r="H197" i="96"/>
  <c r="H196" i="96"/>
  <c r="H15" i="38"/>
  <c r="I53" i="38"/>
  <c r="K16" i="20"/>
  <c r="Z132" i="97"/>
  <c r="U132" i="97"/>
  <c r="P132" i="97"/>
  <c r="N97" i="97"/>
  <c r="K132" i="97"/>
  <c r="K97" i="97"/>
  <c r="P15" i="32"/>
  <c r="P17" i="32"/>
  <c r="P25" i="32"/>
  <c r="P27" i="32"/>
  <c r="P16" i="32"/>
  <c r="P18" i="32"/>
  <c r="P24" i="32"/>
  <c r="P26" i="32"/>
  <c r="P28" i="32"/>
  <c r="P33" i="32"/>
  <c r="P34" i="32"/>
  <c r="P35" i="32"/>
  <c r="P36" i="32"/>
  <c r="P41" i="32"/>
  <c r="P42" i="32"/>
  <c r="P46" i="32"/>
  <c r="P47" i="32"/>
  <c r="P48" i="32"/>
  <c r="P49" i="32"/>
  <c r="N1001" i="91"/>
  <c r="P43" i="32"/>
  <c r="P11" i="32"/>
  <c r="P38" i="32"/>
  <c r="P22" i="32"/>
  <c r="P23" i="32"/>
  <c r="P45" i="32"/>
  <c r="P12" i="32"/>
  <c r="P32" i="32"/>
  <c r="P13" i="32"/>
  <c r="P37" i="32"/>
  <c r="P14" i="32"/>
  <c r="P54" i="32"/>
  <c r="P20" i="32"/>
  <c r="P52" i="32"/>
  <c r="P40" i="32"/>
  <c r="P31" i="32"/>
  <c r="P44" i="32"/>
  <c r="P21" i="32"/>
  <c r="A43" i="66"/>
  <c r="N94" i="41"/>
  <c r="V63" i="80"/>
  <c r="I23" i="31"/>
  <c r="Q20" i="31"/>
  <c r="I42" i="31"/>
  <c r="Q42" i="31"/>
  <c r="I39" i="31"/>
  <c r="V45" i="81"/>
  <c r="N627" i="91"/>
  <c r="I201" i="33"/>
  <c r="C28" i="68"/>
  <c r="G38" i="33"/>
  <c r="G72" i="33"/>
  <c r="G311" i="33"/>
  <c r="G45" i="94"/>
  <c r="N11" i="96"/>
  <c r="J42" i="96"/>
  <c r="F42" i="96"/>
  <c r="AP1" i="91"/>
  <c r="K193" i="96"/>
  <c r="F11" i="96"/>
  <c r="G133" i="96"/>
  <c r="N42" i="96"/>
  <c r="N73" i="96"/>
  <c r="J11" i="96"/>
  <c r="O163" i="96"/>
  <c r="O193" i="96"/>
  <c r="J73" i="96"/>
  <c r="G163" i="96"/>
  <c r="K133" i="96"/>
  <c r="O133" i="96"/>
  <c r="K163" i="96"/>
  <c r="H16" i="94"/>
  <c r="H20" i="94"/>
  <c r="H23" i="94"/>
  <c r="H13" i="289"/>
  <c r="H27" i="94"/>
  <c r="H28" i="94"/>
  <c r="H29" i="94"/>
  <c r="H17" i="94"/>
  <c r="H40" i="94"/>
  <c r="H39" i="88"/>
  <c r="H13" i="94"/>
  <c r="H18" i="94"/>
  <c r="H10" i="94"/>
  <c r="M63" i="80"/>
  <c r="H11" i="94"/>
  <c r="H15" i="94"/>
  <c r="H19" i="94"/>
  <c r="I264" i="33"/>
  <c r="N50" i="32"/>
  <c r="G55" i="32"/>
  <c r="I229" i="33"/>
  <c r="I236" i="33"/>
  <c r="R19" i="32"/>
  <c r="U63" i="80"/>
  <c r="S63" i="80"/>
  <c r="H23" i="31"/>
  <c r="P20" i="31"/>
  <c r="H42" i="31"/>
  <c r="H39" i="31"/>
  <c r="U45" i="81"/>
  <c r="M627" i="91"/>
  <c r="H45" i="288"/>
  <c r="I248" i="33"/>
  <c r="H250" i="33"/>
  <c r="H27" i="289"/>
  <c r="Q50" i="32"/>
  <c r="J55" i="32"/>
  <c r="H45" i="33"/>
  <c r="H14" i="94"/>
  <c r="I48" i="33"/>
  <c r="F79" i="33"/>
  <c r="F73" i="33"/>
  <c r="F312" i="33"/>
  <c r="H13" i="38"/>
  <c r="I51" i="38"/>
  <c r="K14" i="20"/>
  <c r="N95" i="97"/>
  <c r="K130" i="97"/>
  <c r="K95" i="97"/>
  <c r="Z130" i="97"/>
  <c r="U130" i="97"/>
  <c r="P130" i="97"/>
  <c r="H146" i="33"/>
  <c r="A65" i="32"/>
  <c r="A35" i="66"/>
  <c r="J49" i="97"/>
  <c r="V466" i="91"/>
  <c r="I211" i="33"/>
  <c r="I206" i="33"/>
  <c r="N16" i="32"/>
  <c r="N18" i="32"/>
  <c r="N24" i="32"/>
  <c r="N26" i="32"/>
  <c r="N28" i="32"/>
  <c r="N15" i="32"/>
  <c r="N17" i="32"/>
  <c r="N25" i="32"/>
  <c r="N27" i="32"/>
  <c r="N41" i="32"/>
  <c r="N42" i="32"/>
  <c r="N35" i="32"/>
  <c r="N34" i="32"/>
  <c r="N33" i="32"/>
  <c r="N36" i="32"/>
  <c r="N46" i="32"/>
  <c r="N47" i="32"/>
  <c r="N48" i="32"/>
  <c r="N49" i="32"/>
  <c r="L1001" i="91"/>
  <c r="N12" i="32"/>
  <c r="N31" i="32"/>
  <c r="N43" i="32"/>
  <c r="N22" i="32"/>
  <c r="N23" i="32"/>
  <c r="N44" i="32"/>
  <c r="N45" i="32"/>
  <c r="N20" i="32"/>
  <c r="N11" i="32"/>
  <c r="N13" i="32"/>
  <c r="N14" i="32"/>
  <c r="N54" i="32"/>
  <c r="N38" i="32"/>
  <c r="N52" i="32"/>
  <c r="N40" i="32"/>
  <c r="N21" i="32"/>
  <c r="N32" i="32"/>
  <c r="N37" i="32"/>
  <c r="I126" i="33"/>
  <c r="N39" i="32"/>
  <c r="F44" i="41"/>
  <c r="A60" i="32"/>
  <c r="E299" i="33"/>
  <c r="J14" i="61"/>
  <c r="T316" i="91"/>
  <c r="L440" i="91"/>
  <c r="T20" i="31"/>
  <c r="L42" i="31"/>
  <c r="L23" i="31"/>
  <c r="O41" i="31"/>
  <c r="G19" i="289"/>
  <c r="G316" i="33"/>
  <c r="G150" i="33"/>
  <c r="D25" i="68"/>
  <c r="D14" i="18"/>
  <c r="D15" i="18"/>
  <c r="H20" i="38"/>
  <c r="I58" i="38"/>
  <c r="K21" i="20"/>
  <c r="N102" i="97"/>
  <c r="P137" i="97"/>
  <c r="K137" i="97"/>
  <c r="K102" i="97"/>
  <c r="Z137" i="97"/>
  <c r="U137" i="97"/>
  <c r="H14" i="38"/>
  <c r="I52" i="38"/>
  <c r="K15" i="20"/>
  <c r="P131" i="97"/>
  <c r="K131" i="97"/>
  <c r="K96" i="97"/>
  <c r="Z131" i="97"/>
  <c r="U131" i="97"/>
  <c r="N96" i="97"/>
  <c r="H22" i="288"/>
  <c r="I154" i="33"/>
  <c r="I196" i="33"/>
  <c r="A31" i="66"/>
  <c r="G20" i="88"/>
  <c r="G35" i="94"/>
  <c r="F296" i="33"/>
  <c r="F297" i="33"/>
  <c r="G297" i="33"/>
  <c r="F317" i="33"/>
  <c r="H198" i="96"/>
  <c r="H203" i="96"/>
  <c r="H201" i="96"/>
  <c r="A41" i="66"/>
  <c r="H40" i="288"/>
  <c r="H224" i="33"/>
  <c r="H23" i="289"/>
  <c r="H46" i="288"/>
  <c r="I252" i="33"/>
  <c r="H254" i="33"/>
  <c r="H28" i="289"/>
  <c r="H17" i="38"/>
  <c r="I55" i="38"/>
  <c r="N99" i="97"/>
  <c r="K18" i="20"/>
  <c r="Z134" i="97"/>
  <c r="P134" i="97"/>
  <c r="K134" i="97"/>
  <c r="K99" i="97"/>
  <c r="U134" i="97"/>
  <c r="I161" i="33"/>
  <c r="I136" i="33"/>
  <c r="I131" i="33"/>
  <c r="Q41" i="31"/>
  <c r="A29" i="66"/>
  <c r="N194" i="41"/>
  <c r="A38" i="31"/>
  <c r="I181" i="33"/>
  <c r="U409" i="91"/>
  <c r="H212" i="97"/>
  <c r="I210" i="97"/>
  <c r="T409" i="91"/>
  <c r="E91" i="66"/>
  <c r="A91" i="66"/>
  <c r="DZ230" i="91"/>
  <c r="DZ259" i="91"/>
  <c r="DZ237" i="91"/>
  <c r="DZ247" i="91"/>
  <c r="DZ278" i="91"/>
  <c r="DZ238" i="91"/>
  <c r="DZ256" i="91"/>
  <c r="DZ248" i="91"/>
  <c r="DZ254" i="91"/>
  <c r="DZ255" i="91"/>
  <c r="DZ223" i="91"/>
  <c r="DZ233" i="91"/>
  <c r="U627" i="91"/>
  <c r="DZ241" i="91"/>
  <c r="DZ273" i="91"/>
  <c r="V813" i="91"/>
  <c r="DZ246" i="91"/>
  <c r="DZ231" i="91"/>
  <c r="DZ271" i="91"/>
  <c r="DZ277" i="91"/>
  <c r="DZ261" i="91"/>
  <c r="U813" i="91"/>
  <c r="DZ244" i="91"/>
  <c r="DZ274" i="91"/>
  <c r="DZ232" i="91"/>
  <c r="DZ235" i="91"/>
  <c r="DZ242" i="91"/>
  <c r="DZ240" i="91"/>
  <c r="DZ262" i="91"/>
  <c r="DZ264" i="91"/>
  <c r="DZ245" i="91"/>
  <c r="DZ257" i="91"/>
  <c r="DZ226" i="91"/>
  <c r="DZ276" i="91"/>
  <c r="DZ270" i="91"/>
  <c r="DZ279" i="91"/>
  <c r="DZ228" i="91"/>
  <c r="DZ268" i="91"/>
  <c r="DZ263" i="91"/>
  <c r="DZ243" i="91"/>
  <c r="DZ272" i="91"/>
  <c r="DZ234" i="91"/>
  <c r="DZ229" i="91"/>
  <c r="DZ239" i="91"/>
  <c r="DZ260" i="91"/>
  <c r="DZ224" i="91"/>
  <c r="DZ258" i="91"/>
  <c r="DZ225" i="91"/>
  <c r="DZ266" i="91"/>
  <c r="T658" i="91"/>
  <c r="DZ265" i="91"/>
  <c r="DZ269" i="91"/>
  <c r="DZ267" i="91"/>
  <c r="DZ236" i="91"/>
  <c r="DZ275" i="91"/>
  <c r="DZ227" i="91"/>
  <c r="H37" i="33"/>
  <c r="G11" i="94"/>
  <c r="P42" i="31"/>
  <c r="G14" i="68"/>
  <c r="G21" i="68"/>
  <c r="G22" i="68"/>
  <c r="H11" i="88"/>
  <c r="H27" i="88"/>
  <c r="H35" i="94"/>
  <c r="H19" i="88"/>
  <c r="H29" i="88"/>
  <c r="H20" i="88"/>
  <c r="G328" i="33"/>
  <c r="Y63" i="80"/>
  <c r="F308" i="33"/>
  <c r="L38" i="31"/>
  <c r="F309" i="33"/>
  <c r="L39" i="31"/>
  <c r="H82" i="96"/>
  <c r="F82" i="96"/>
  <c r="A82" i="96"/>
  <c r="H15" i="88"/>
  <c r="H17" i="88"/>
  <c r="H35" i="88"/>
  <c r="H41" i="94"/>
  <c r="H40" i="88"/>
  <c r="H28" i="88"/>
  <c r="H16" i="88"/>
  <c r="O42" i="31"/>
  <c r="F94" i="96"/>
  <c r="E94" i="96"/>
  <c r="C191" i="97"/>
  <c r="C216" i="97"/>
  <c r="C247" i="97"/>
  <c r="J214" i="97"/>
  <c r="DZ310" i="91"/>
  <c r="DZ309" i="91"/>
  <c r="DZ308" i="91"/>
  <c r="DZ307" i="91"/>
  <c r="DZ306" i="91"/>
  <c r="DZ305" i="91"/>
  <c r="DZ304" i="91"/>
  <c r="DZ303" i="91"/>
  <c r="DZ302" i="91"/>
  <c r="DZ301" i="91"/>
  <c r="DZ300" i="91"/>
  <c r="DZ299" i="91"/>
  <c r="DZ298" i="91"/>
  <c r="DZ297" i="91"/>
  <c r="DZ296" i="91"/>
  <c r="DZ295" i="91"/>
  <c r="DZ294" i="91"/>
  <c r="DZ293" i="91"/>
  <c r="DZ292" i="91"/>
  <c r="DZ291" i="91"/>
  <c r="DZ290" i="91"/>
  <c r="DZ289" i="91"/>
  <c r="DZ288" i="91"/>
  <c r="DZ287" i="91"/>
  <c r="DZ286" i="91"/>
  <c r="DZ285" i="91"/>
  <c r="H244" i="33"/>
  <c r="J136" i="33"/>
  <c r="K55" i="38"/>
  <c r="J55" i="38"/>
  <c r="Q55" i="32"/>
  <c r="J57" i="32"/>
  <c r="AH63" i="80"/>
  <c r="P23" i="31"/>
  <c r="H43" i="31"/>
  <c r="H27" i="31"/>
  <c r="H40" i="31"/>
  <c r="AH45" i="81"/>
  <c r="M658" i="91"/>
  <c r="J131" i="33"/>
  <c r="J161" i="33"/>
  <c r="G20" i="289"/>
  <c r="J211" i="33"/>
  <c r="M1218" i="91"/>
  <c r="M1156" i="91"/>
  <c r="H230" i="33"/>
  <c r="K202" i="96"/>
  <c r="K203" i="96"/>
  <c r="K196" i="96"/>
  <c r="K200" i="96"/>
  <c r="K204" i="96"/>
  <c r="K199" i="96"/>
  <c r="K201" i="96"/>
  <c r="K197" i="96"/>
  <c r="K205" i="96"/>
  <c r="K198" i="96"/>
  <c r="N1432" i="91"/>
  <c r="N1402" i="91"/>
  <c r="K53" i="38"/>
  <c r="J53" i="38"/>
  <c r="K36" i="33"/>
  <c r="J181" i="33"/>
  <c r="I46" i="288"/>
  <c r="I254" i="33"/>
  <c r="I28" i="289"/>
  <c r="J252" i="33"/>
  <c r="J112" i="5"/>
  <c r="N21" i="20"/>
  <c r="J20" i="38"/>
  <c r="K58" i="38"/>
  <c r="J58" i="38"/>
  <c r="S25" i="66"/>
  <c r="T440" i="91"/>
  <c r="L1432" i="91"/>
  <c r="L1402" i="91"/>
  <c r="J206" i="33"/>
  <c r="I146" i="33"/>
  <c r="J48" i="33"/>
  <c r="H12" i="94"/>
  <c r="O137" i="96"/>
  <c r="O141" i="96"/>
  <c r="O145" i="96"/>
  <c r="O143" i="96"/>
  <c r="O142" i="96"/>
  <c r="O144" i="96"/>
  <c r="O140" i="96"/>
  <c r="O138" i="96"/>
  <c r="O136" i="96"/>
  <c r="O139" i="96"/>
  <c r="O205" i="96"/>
  <c r="O202" i="96"/>
  <c r="O204" i="96"/>
  <c r="O200" i="96"/>
  <c r="O203" i="96"/>
  <c r="O198" i="96"/>
  <c r="O201" i="96"/>
  <c r="O199" i="96"/>
  <c r="O197" i="96"/>
  <c r="O196" i="96"/>
  <c r="K1432" i="91"/>
  <c r="K1402" i="91"/>
  <c r="I216" i="33"/>
  <c r="L1218" i="91"/>
  <c r="T97" i="81"/>
  <c r="L1156" i="91"/>
  <c r="I90" i="75"/>
  <c r="J9" i="75"/>
  <c r="J6" i="68"/>
  <c r="H57" i="32"/>
  <c r="O55" i="32"/>
  <c r="R25" i="66"/>
  <c r="S440" i="91"/>
  <c r="D29" i="97"/>
  <c r="D30" i="97"/>
  <c r="D31" i="97"/>
  <c r="K1218" i="91"/>
  <c r="K1156" i="91"/>
  <c r="J111" i="5"/>
  <c r="N20" i="20"/>
  <c r="J19" i="38"/>
  <c r="K22" i="55"/>
  <c r="L73" i="18"/>
  <c r="K59" i="38"/>
  <c r="J59" i="38"/>
  <c r="J166" i="33"/>
  <c r="A42" i="299"/>
  <c r="H10" i="88"/>
  <c r="H18" i="88"/>
  <c r="H13" i="88"/>
  <c r="J110" i="5"/>
  <c r="N19" i="20"/>
  <c r="J18" i="38"/>
  <c r="K56" i="38"/>
  <c r="J56" i="38"/>
  <c r="M1432" i="91"/>
  <c r="M1402" i="91"/>
  <c r="J274" i="33"/>
  <c r="P55" i="32"/>
  <c r="I57" i="32"/>
  <c r="H327" i="33"/>
  <c r="N13" i="39"/>
  <c r="A13" i="39"/>
  <c r="L13" i="39"/>
  <c r="F95" i="96"/>
  <c r="F75" i="96"/>
  <c r="F77" i="96"/>
  <c r="H76" i="96"/>
  <c r="H84" i="96"/>
  <c r="H92" i="96"/>
  <c r="H75" i="96"/>
  <c r="H83" i="96"/>
  <c r="H91" i="96"/>
  <c r="H99" i="96"/>
  <c r="F80" i="96"/>
  <c r="F88" i="96"/>
  <c r="F96" i="96"/>
  <c r="I22" i="288"/>
  <c r="J154" i="33"/>
  <c r="K52" i="38"/>
  <c r="J52" i="38"/>
  <c r="D16" i="18"/>
  <c r="J126" i="33"/>
  <c r="H12" i="38"/>
  <c r="K13" i="20"/>
  <c r="Z129" i="97"/>
  <c r="U129" i="97"/>
  <c r="N94" i="97"/>
  <c r="P129" i="97"/>
  <c r="K129" i="97"/>
  <c r="I45" i="288"/>
  <c r="I250" i="33"/>
  <c r="I27" i="289"/>
  <c r="J248" i="33"/>
  <c r="G57" i="32"/>
  <c r="N55" i="32"/>
  <c r="K143" i="96"/>
  <c r="K136" i="96"/>
  <c r="K138" i="96"/>
  <c r="K142" i="96"/>
  <c r="K141" i="96"/>
  <c r="K139" i="96"/>
  <c r="K140" i="96"/>
  <c r="K144" i="96"/>
  <c r="K137" i="96"/>
  <c r="K145" i="96"/>
  <c r="K135" i="96"/>
  <c r="O167" i="96"/>
  <c r="O169" i="96"/>
  <c r="O171" i="96"/>
  <c r="O174" i="96"/>
  <c r="O166" i="96"/>
  <c r="O170" i="96"/>
  <c r="O175" i="96"/>
  <c r="O168" i="96"/>
  <c r="O172" i="96"/>
  <c r="O173" i="96"/>
  <c r="G143" i="96"/>
  <c r="G136" i="96"/>
  <c r="G141" i="96"/>
  <c r="G139" i="96"/>
  <c r="G138" i="96"/>
  <c r="G137" i="96"/>
  <c r="G140" i="96"/>
  <c r="G144" i="96"/>
  <c r="G145" i="96"/>
  <c r="G142" i="96"/>
  <c r="G135" i="96"/>
  <c r="J201" i="33"/>
  <c r="AI63" i="80"/>
  <c r="Q23" i="31"/>
  <c r="I43" i="31"/>
  <c r="I27" i="31"/>
  <c r="I40" i="31"/>
  <c r="AI45" i="81"/>
  <c r="N658" i="91"/>
  <c r="J107" i="5"/>
  <c r="N16" i="20"/>
  <c r="J15" i="38"/>
  <c r="J98" i="33"/>
  <c r="G230" i="33"/>
  <c r="G231" i="33"/>
  <c r="W45" i="81"/>
  <c r="E309" i="33"/>
  <c r="I23" i="288"/>
  <c r="J156" i="33"/>
  <c r="J43" i="33"/>
  <c r="E313" i="33"/>
  <c r="E88" i="33"/>
  <c r="E80" i="33"/>
  <c r="J259" i="33"/>
  <c r="S45" i="81"/>
  <c r="A39" i="31"/>
  <c r="A42" i="31"/>
  <c r="K54" i="38"/>
  <c r="J54" i="38"/>
  <c r="J111" i="33"/>
  <c r="H14" i="88"/>
  <c r="K74" i="18"/>
  <c r="K67" i="18"/>
  <c r="L71" i="18"/>
  <c r="P1218" i="91"/>
  <c r="X97" i="81"/>
  <c r="P1156" i="91"/>
  <c r="N17" i="39"/>
  <c r="A17" i="39"/>
  <c r="L17" i="39"/>
  <c r="M55" i="32"/>
  <c r="F57" i="32"/>
  <c r="A55" i="32"/>
  <c r="J40" i="288"/>
  <c r="J224" i="33"/>
  <c r="J23" i="289"/>
  <c r="J236" i="33"/>
  <c r="J243" i="33"/>
  <c r="J229" i="33"/>
  <c r="F81" i="96"/>
  <c r="F83" i="96"/>
  <c r="F85" i="96"/>
  <c r="H78" i="96"/>
  <c r="H86" i="96"/>
  <c r="H94" i="96"/>
  <c r="H77" i="96"/>
  <c r="H85" i="96"/>
  <c r="H93" i="96"/>
  <c r="F74" i="96"/>
  <c r="E82" i="96"/>
  <c r="F90" i="96"/>
  <c r="F98" i="96"/>
  <c r="G295" i="33"/>
  <c r="H297" i="33"/>
  <c r="J109" i="5"/>
  <c r="N18" i="20"/>
  <c r="J17" i="38"/>
  <c r="G35" i="88"/>
  <c r="G28" i="56"/>
  <c r="G173" i="96"/>
  <c r="G169" i="96"/>
  <c r="G171" i="96"/>
  <c r="G174" i="96"/>
  <c r="G167" i="96"/>
  <c r="G170" i="96"/>
  <c r="G175" i="96"/>
  <c r="G166" i="96"/>
  <c r="G168" i="96"/>
  <c r="G172" i="96"/>
  <c r="G165" i="96"/>
  <c r="J18" i="39"/>
  <c r="G73" i="33"/>
  <c r="G312" i="33"/>
  <c r="G46" i="94"/>
  <c r="G18" i="56"/>
  <c r="N1156" i="91"/>
  <c r="N1218" i="91"/>
  <c r="V97" i="81"/>
  <c r="J269" i="33"/>
  <c r="H19" i="289"/>
  <c r="H20" i="289"/>
  <c r="H316" i="33"/>
  <c r="H150" i="33"/>
  <c r="A12" i="39"/>
  <c r="C29" i="68"/>
  <c r="J279" i="33"/>
  <c r="H14" i="68"/>
  <c r="G237" i="33"/>
  <c r="G238" i="33"/>
  <c r="J176" i="33"/>
  <c r="L26" i="33"/>
  <c r="K77" i="33"/>
  <c r="K106" i="33"/>
  <c r="K85" i="33"/>
  <c r="K24" i="33"/>
  <c r="K218" i="33"/>
  <c r="K222" i="33"/>
  <c r="J171" i="33"/>
  <c r="O1432" i="91"/>
  <c r="O45" i="72"/>
  <c r="O1402" i="91"/>
  <c r="M45" i="72"/>
  <c r="U25" i="66"/>
  <c r="V440" i="91"/>
  <c r="T25" i="66"/>
  <c r="U440" i="91"/>
  <c r="I54" i="288"/>
  <c r="I29" i="289"/>
  <c r="J282" i="33"/>
  <c r="J18" i="85"/>
  <c r="J23" i="39"/>
  <c r="AK63" i="80"/>
  <c r="S23" i="31"/>
  <c r="K43" i="31"/>
  <c r="K27" i="31"/>
  <c r="P658" i="91"/>
  <c r="L15" i="85"/>
  <c r="N15" i="85"/>
  <c r="A15" i="85"/>
  <c r="I141" i="33"/>
  <c r="J23" i="94"/>
  <c r="J13" i="289"/>
  <c r="J27" i="94"/>
  <c r="J28" i="94"/>
  <c r="J29" i="94"/>
  <c r="J40" i="94"/>
  <c r="J39" i="88"/>
  <c r="J39" i="288"/>
  <c r="J220" i="33"/>
  <c r="J22" i="289"/>
  <c r="L13" i="85"/>
  <c r="N13" i="85"/>
  <c r="H38" i="33"/>
  <c r="H72" i="33"/>
  <c r="H311" i="33"/>
  <c r="F79" i="96"/>
  <c r="F89" i="96"/>
  <c r="F91" i="96"/>
  <c r="F93" i="96"/>
  <c r="H80" i="96"/>
  <c r="H88" i="96"/>
  <c r="H96" i="96"/>
  <c r="H79" i="96"/>
  <c r="H87" i="96"/>
  <c r="H95" i="96"/>
  <c r="F76" i="96"/>
  <c r="F84" i="96"/>
  <c r="F92" i="96"/>
  <c r="J106" i="5"/>
  <c r="N15" i="20"/>
  <c r="J14" i="38"/>
  <c r="G25" i="68"/>
  <c r="T23" i="31"/>
  <c r="L43" i="31"/>
  <c r="L27" i="31"/>
  <c r="N44" i="41"/>
  <c r="B101" i="41"/>
  <c r="B51" i="41"/>
  <c r="B1" i="41"/>
  <c r="E35" i="78"/>
  <c r="F35" i="78"/>
  <c r="B10" i="89"/>
  <c r="K51" i="38"/>
  <c r="J51" i="38"/>
  <c r="H237" i="33"/>
  <c r="H206" i="97"/>
  <c r="G49" i="20"/>
  <c r="H259" i="97"/>
  <c r="H263" i="97"/>
  <c r="H262" i="97"/>
  <c r="H258" i="97"/>
  <c r="H253" i="97"/>
  <c r="H256" i="97"/>
  <c r="H254" i="97"/>
  <c r="H255" i="97"/>
  <c r="H257" i="97"/>
  <c r="H261" i="97"/>
  <c r="H260" i="97"/>
  <c r="J196" i="33"/>
  <c r="J105" i="5"/>
  <c r="N14" i="20"/>
  <c r="J13" i="38"/>
  <c r="F313" i="33"/>
  <c r="F88" i="33"/>
  <c r="F80" i="33"/>
  <c r="J264" i="33"/>
  <c r="K170" i="96"/>
  <c r="K167" i="96"/>
  <c r="K166" i="96"/>
  <c r="K175" i="96"/>
  <c r="K173" i="96"/>
  <c r="K171" i="96"/>
  <c r="K172" i="96"/>
  <c r="K169" i="96"/>
  <c r="K174" i="96"/>
  <c r="K168" i="96"/>
  <c r="AG63" i="80"/>
  <c r="G40" i="31"/>
  <c r="AG45" i="81"/>
  <c r="O23" i="31"/>
  <c r="G43" i="31"/>
  <c r="G27" i="31"/>
  <c r="L658" i="91"/>
  <c r="J191" i="33"/>
  <c r="L23" i="33"/>
  <c r="J9" i="68"/>
  <c r="I18" i="68"/>
  <c r="J121" i="33"/>
  <c r="G244" i="33"/>
  <c r="G245" i="33"/>
  <c r="O1218" i="91"/>
  <c r="W97" i="81"/>
  <c r="O1156" i="91"/>
  <c r="J22" i="39"/>
  <c r="AJ63" i="80"/>
  <c r="Q40" i="31"/>
  <c r="R23" i="31"/>
  <c r="J43" i="31"/>
  <c r="J27" i="31"/>
  <c r="O40" i="31"/>
  <c r="J40" i="31"/>
  <c r="K40" i="31"/>
  <c r="P40" i="31"/>
  <c r="O658" i="91"/>
  <c r="N16" i="39"/>
  <c r="A16" i="39"/>
  <c r="L16" i="39"/>
  <c r="N45" i="81"/>
  <c r="J31" i="33"/>
  <c r="F40" i="31"/>
  <c r="B23" i="31"/>
  <c r="N23" i="31"/>
  <c r="F43" i="31"/>
  <c r="F27" i="31"/>
  <c r="A23" i="31"/>
  <c r="K658" i="91"/>
  <c r="J116" i="33"/>
  <c r="K57" i="38"/>
  <c r="J57" i="38"/>
  <c r="I23" i="94"/>
  <c r="I13" i="289"/>
  <c r="I27" i="94"/>
  <c r="I28" i="94"/>
  <c r="I29" i="94"/>
  <c r="I40" i="94"/>
  <c r="EA221" i="91"/>
  <c r="J108" i="5"/>
  <c r="N17" i="20"/>
  <c r="J16" i="38"/>
  <c r="J113" i="5"/>
  <c r="N22" i="20"/>
  <c r="J21" i="38"/>
  <c r="K57" i="32"/>
  <c r="R55" i="32"/>
  <c r="H23" i="88"/>
  <c r="P1432" i="91"/>
  <c r="O11" i="72"/>
  <c r="P1402" i="91"/>
  <c r="K9" i="88"/>
  <c r="K9" i="288"/>
  <c r="K9" i="289"/>
  <c r="K9" i="94"/>
  <c r="K306" i="33"/>
  <c r="K325" i="33"/>
  <c r="K103" i="33"/>
  <c r="I28" i="33"/>
  <c r="F87" i="96"/>
  <c r="F97" i="96"/>
  <c r="F99" i="96"/>
  <c r="H74" i="96"/>
  <c r="H90" i="96"/>
  <c r="H98" i="96"/>
  <c r="H81" i="96"/>
  <c r="H89" i="96"/>
  <c r="H97" i="96"/>
  <c r="F78" i="96"/>
  <c r="F86" i="96"/>
  <c r="V596" i="91"/>
  <c r="U596" i="91"/>
  <c r="V627" i="91"/>
  <c r="EA278" i="91"/>
  <c r="EA266" i="91"/>
  <c r="EA254" i="91"/>
  <c r="EA256" i="91"/>
  <c r="EA227" i="91"/>
  <c r="EA274" i="91"/>
  <c r="EA259" i="91"/>
  <c r="EA267" i="91"/>
  <c r="EA257" i="91"/>
  <c r="EA240" i="91"/>
  <c r="EA265" i="91"/>
  <c r="EA277" i="91"/>
  <c r="EA230" i="91"/>
  <c r="EA225" i="91"/>
  <c r="EA262" i="91"/>
  <c r="EA245" i="91"/>
  <c r="EA233" i="91"/>
  <c r="EA224" i="91"/>
  <c r="EA270" i="91"/>
  <c r="EA258" i="91"/>
  <c r="EA226" i="91"/>
  <c r="EA261" i="91"/>
  <c r="EA238" i="91"/>
  <c r="EA263" i="91"/>
  <c r="EA244" i="91"/>
  <c r="EA248" i="91"/>
  <c r="W565" i="91"/>
  <c r="EA231" i="91"/>
  <c r="EA241" i="91"/>
  <c r="EA229" i="91"/>
  <c r="EA276" i="91"/>
  <c r="EA247" i="91"/>
  <c r="EA272" i="91"/>
  <c r="EA237" i="91"/>
  <c r="EA260" i="91"/>
  <c r="EA269" i="91"/>
  <c r="EA255" i="91"/>
  <c r="EA236" i="91"/>
  <c r="EA232" i="91"/>
  <c r="EA275" i="91"/>
  <c r="EA243" i="91"/>
  <c r="EA223" i="91"/>
  <c r="EA268" i="91"/>
  <c r="EA239" i="91"/>
  <c r="EA264" i="91"/>
  <c r="EA235" i="91"/>
  <c r="EA228" i="91"/>
  <c r="EA271" i="91"/>
  <c r="EA279" i="91"/>
  <c r="EA246" i="91"/>
  <c r="EA234" i="91"/>
  <c r="EA273" i="91"/>
  <c r="EA242" i="91"/>
  <c r="G12" i="94"/>
  <c r="G11" i="88"/>
  <c r="U1218" i="91"/>
  <c r="Y97" i="81"/>
  <c r="AV45" i="80"/>
  <c r="U1156" i="91"/>
  <c r="J16" i="85"/>
  <c r="I40" i="33"/>
  <c r="I13" i="94"/>
  <c r="K165" i="96"/>
  <c r="L165" i="96"/>
  <c r="B151" i="41"/>
  <c r="F310" i="33"/>
  <c r="L40" i="31"/>
  <c r="B1" i="32"/>
  <c r="E31" i="78"/>
  <c r="F31" i="78"/>
  <c r="A43" i="31"/>
  <c r="A94" i="96"/>
  <c r="H135" i="96"/>
  <c r="L137" i="96"/>
  <c r="H166" i="96"/>
  <c r="H174" i="96"/>
  <c r="EA309" i="91"/>
  <c r="EA307" i="91"/>
  <c r="EA305" i="91"/>
  <c r="EA303" i="91"/>
  <c r="EA301" i="91"/>
  <c r="EA299" i="91"/>
  <c r="EA297" i="91"/>
  <c r="EA295" i="91"/>
  <c r="EA293" i="91"/>
  <c r="EA291" i="91"/>
  <c r="EA289" i="91"/>
  <c r="EA287" i="91"/>
  <c r="EA285" i="91"/>
  <c r="L16" i="85"/>
  <c r="N16" i="85"/>
  <c r="A16" i="85"/>
  <c r="G25" i="289"/>
  <c r="G234" i="33"/>
  <c r="G24" i="289"/>
  <c r="G227" i="33"/>
  <c r="E78" i="96"/>
  <c r="A78" i="96"/>
  <c r="A97" i="96"/>
  <c r="E97" i="96"/>
  <c r="O45" i="81"/>
  <c r="K31" i="33"/>
  <c r="AJ45" i="81"/>
  <c r="E310" i="33"/>
  <c r="J18" i="68"/>
  <c r="K9" i="68"/>
  <c r="L168" i="96"/>
  <c r="L171" i="96"/>
  <c r="L167" i="96"/>
  <c r="A87" i="96"/>
  <c r="E87" i="96"/>
  <c r="M11" i="72"/>
  <c r="I10" i="63"/>
  <c r="I44" i="63"/>
  <c r="EB221" i="91"/>
  <c r="I39" i="88"/>
  <c r="R63" i="80"/>
  <c r="AE63" i="80"/>
  <c r="K1372" i="91"/>
  <c r="K1187" i="91"/>
  <c r="K1249" i="91"/>
  <c r="G26" i="289"/>
  <c r="G241" i="33"/>
  <c r="K121" i="33"/>
  <c r="L218" i="33"/>
  <c r="L222" i="33"/>
  <c r="L24" i="33"/>
  <c r="M26" i="33"/>
  <c r="L77" i="33"/>
  <c r="L106" i="33"/>
  <c r="L85" i="33"/>
  <c r="L1249" i="91"/>
  <c r="AG97" i="81"/>
  <c r="L1372" i="91"/>
  <c r="L1187" i="91"/>
  <c r="L174" i="96"/>
  <c r="L173" i="96"/>
  <c r="L170" i="96"/>
  <c r="AF45" i="81"/>
  <c r="A40" i="31"/>
  <c r="O1372" i="91"/>
  <c r="K45" i="72"/>
  <c r="O1187" i="91"/>
  <c r="O1249" i="91"/>
  <c r="AJ97" i="81"/>
  <c r="R27" i="31"/>
  <c r="J29" i="31"/>
  <c r="N22" i="39"/>
  <c r="A22" i="39"/>
  <c r="L22" i="39"/>
  <c r="O27" i="31"/>
  <c r="G29" i="31"/>
  <c r="L169" i="96"/>
  <c r="L175" i="96"/>
  <c r="K196" i="33"/>
  <c r="G13" i="68"/>
  <c r="A17" i="85"/>
  <c r="J29" i="289"/>
  <c r="J54" i="288"/>
  <c r="K282" i="33"/>
  <c r="K229" i="33"/>
  <c r="K236" i="33"/>
  <c r="K243" i="33"/>
  <c r="E90" i="96"/>
  <c r="A90" i="96"/>
  <c r="K259" i="33"/>
  <c r="Q27" i="31"/>
  <c r="I29" i="31"/>
  <c r="H140" i="96"/>
  <c r="H141" i="96"/>
  <c r="L141" i="96"/>
  <c r="L143" i="96"/>
  <c r="N120" i="97"/>
  <c r="H197" i="97"/>
  <c r="N119" i="97"/>
  <c r="I50" i="38"/>
  <c r="H38" i="38"/>
  <c r="H40" i="38"/>
  <c r="H42" i="38"/>
  <c r="H39" i="38"/>
  <c r="H41" i="38"/>
  <c r="H43" i="38"/>
  <c r="A75" i="96"/>
  <c r="E75" i="96"/>
  <c r="H42" i="94"/>
  <c r="H41" i="88"/>
  <c r="H12" i="88"/>
  <c r="H21" i="94"/>
  <c r="H45" i="94"/>
  <c r="K136" i="33"/>
  <c r="E92" i="96"/>
  <c r="A92" i="96"/>
  <c r="A79" i="96"/>
  <c r="E79" i="96"/>
  <c r="L9" i="289"/>
  <c r="L9" i="88"/>
  <c r="L9" i="288"/>
  <c r="L9" i="94"/>
  <c r="L306" i="33"/>
  <c r="L325" i="33"/>
  <c r="L103" i="33"/>
  <c r="N18" i="39"/>
  <c r="A18" i="39"/>
  <c r="L18" i="39"/>
  <c r="A81" i="96"/>
  <c r="E81" i="96"/>
  <c r="K111" i="33"/>
  <c r="E86" i="96"/>
  <c r="A86" i="96"/>
  <c r="A99" i="96"/>
  <c r="E99" i="96"/>
  <c r="I60" i="68"/>
  <c r="J14" i="39"/>
  <c r="I50" i="33"/>
  <c r="I15" i="94"/>
  <c r="I66" i="33"/>
  <c r="I19" i="94"/>
  <c r="I54" i="33"/>
  <c r="I16" i="94"/>
  <c r="I326" i="33"/>
  <c r="I58" i="33"/>
  <c r="I17" i="94"/>
  <c r="I62" i="33"/>
  <c r="I18" i="94"/>
  <c r="I71" i="33"/>
  <c r="I20" i="94"/>
  <c r="J28" i="33"/>
  <c r="I315" i="33"/>
  <c r="I33" i="33"/>
  <c r="K40" i="94"/>
  <c r="K39" i="88"/>
  <c r="K23" i="94"/>
  <c r="K27" i="94"/>
  <c r="K28" i="94"/>
  <c r="K29" i="94"/>
  <c r="I10" i="94"/>
  <c r="I13" i="88"/>
  <c r="K116" i="33"/>
  <c r="B27" i="31"/>
  <c r="N27" i="31"/>
  <c r="F29" i="31"/>
  <c r="A27" i="31"/>
  <c r="C30" i="68"/>
  <c r="K191" i="33"/>
  <c r="O43" i="31"/>
  <c r="L172" i="96"/>
  <c r="L166" i="96"/>
  <c r="K264" i="33"/>
  <c r="E84" i="96"/>
  <c r="A84" i="96"/>
  <c r="A93" i="96"/>
  <c r="E93" i="96"/>
  <c r="K176" i="33"/>
  <c r="H165" i="96"/>
  <c r="H175" i="96"/>
  <c r="H171" i="96"/>
  <c r="I297" i="33"/>
  <c r="H295" i="33"/>
  <c r="I230" i="33"/>
  <c r="K43" i="33"/>
  <c r="I95" i="33"/>
  <c r="Q43" i="31"/>
  <c r="H142" i="96"/>
  <c r="H137" i="96"/>
  <c r="H136" i="96"/>
  <c r="L144" i="96"/>
  <c r="L142" i="96"/>
  <c r="U156" i="97" a="1"/>
  <c r="U156" i="97"/>
  <c r="U155" i="97"/>
  <c r="K126" i="33"/>
  <c r="E96" i="96"/>
  <c r="A96" i="96"/>
  <c r="A95" i="96"/>
  <c r="E95" i="96"/>
  <c r="K274" i="33"/>
  <c r="K166" i="33"/>
  <c r="L22" i="55"/>
  <c r="M73" i="18"/>
  <c r="B1" i="66"/>
  <c r="E30" i="78"/>
  <c r="F30" i="78"/>
  <c r="A25" i="66"/>
  <c r="K9" i="75"/>
  <c r="J90" i="75"/>
  <c r="D32" i="97"/>
  <c r="D33" i="97"/>
  <c r="O135" i="96"/>
  <c r="P135" i="96"/>
  <c r="J146" i="33"/>
  <c r="U97" i="81"/>
  <c r="S1218" i="91"/>
  <c r="P27" i="31"/>
  <c r="H29" i="31"/>
  <c r="T27" i="31"/>
  <c r="L29" i="31"/>
  <c r="H25" i="68"/>
  <c r="E76" i="96"/>
  <c r="A76" i="96"/>
  <c r="A91" i="96"/>
  <c r="E91" i="96"/>
  <c r="J141" i="33"/>
  <c r="P1249" i="91"/>
  <c r="AK97" i="81"/>
  <c r="P1372" i="91"/>
  <c r="K11" i="72"/>
  <c r="P1187" i="91"/>
  <c r="N23" i="39"/>
  <c r="A23" i="39"/>
  <c r="L23" i="39"/>
  <c r="K40" i="288"/>
  <c r="K224" i="33"/>
  <c r="K23" i="289"/>
  <c r="H21" i="68"/>
  <c r="H22" i="68"/>
  <c r="K269" i="33"/>
  <c r="H172" i="96"/>
  <c r="H170" i="96"/>
  <c r="H169" i="96"/>
  <c r="G36" i="94"/>
  <c r="G330" i="33"/>
  <c r="F301" i="33"/>
  <c r="F302" i="33"/>
  <c r="H20" i="30"/>
  <c r="G317" i="33"/>
  <c r="G299" i="33"/>
  <c r="A85" i="96"/>
  <c r="E85" i="96"/>
  <c r="I244" i="33"/>
  <c r="M23" i="33"/>
  <c r="K98" i="33"/>
  <c r="N1187" i="91"/>
  <c r="N1249" i="91"/>
  <c r="AI97" i="81"/>
  <c r="N1372" i="91"/>
  <c r="H145" i="96"/>
  <c r="H138" i="96"/>
  <c r="H143" i="96"/>
  <c r="L135" i="96"/>
  <c r="L140" i="96"/>
  <c r="L138" i="96"/>
  <c r="K156" i="97" a="1"/>
  <c r="K156" i="97"/>
  <c r="K155" i="97"/>
  <c r="K94" i="97"/>
  <c r="Z156" i="97" a="1"/>
  <c r="Z156" i="97"/>
  <c r="Z155" i="97"/>
  <c r="J22" i="288"/>
  <c r="K154" i="33"/>
  <c r="E88" i="96"/>
  <c r="A88" i="96"/>
  <c r="S97" i="81"/>
  <c r="R1218" i="91"/>
  <c r="K6" i="68"/>
  <c r="K48" i="33"/>
  <c r="L36" i="33"/>
  <c r="K211" i="33"/>
  <c r="K131" i="33"/>
  <c r="P43" i="31"/>
  <c r="A89" i="96"/>
  <c r="E89" i="96"/>
  <c r="J19" i="39"/>
  <c r="H73" i="33"/>
  <c r="H312" i="33"/>
  <c r="A13" i="85"/>
  <c r="A14" i="85"/>
  <c r="K29" i="31"/>
  <c r="S27" i="31"/>
  <c r="L18" i="85"/>
  <c r="N18" i="85"/>
  <c r="A18" i="85"/>
  <c r="K171" i="33"/>
  <c r="K39" i="288"/>
  <c r="K220" i="33"/>
  <c r="K22" i="289"/>
  <c r="K279" i="33"/>
  <c r="H168" i="96"/>
  <c r="H167" i="96"/>
  <c r="H173" i="96"/>
  <c r="E98" i="96"/>
  <c r="A98" i="96"/>
  <c r="E74" i="96"/>
  <c r="A74" i="96"/>
  <c r="H100" i="96" a="1"/>
  <c r="H100" i="96"/>
  <c r="A83" i="96"/>
  <c r="E83" i="96"/>
  <c r="I237" i="33"/>
  <c r="M71" i="18"/>
  <c r="L74" i="18"/>
  <c r="L67" i="18"/>
  <c r="J23" i="288"/>
  <c r="K156" i="33"/>
  <c r="K201" i="33"/>
  <c r="H144" i="96"/>
  <c r="H139" i="96"/>
  <c r="L145" i="96"/>
  <c r="L139" i="96"/>
  <c r="L136" i="96"/>
  <c r="J45" i="288"/>
  <c r="J250" i="33"/>
  <c r="J27" i="289"/>
  <c r="K248" i="33"/>
  <c r="P156" i="97" a="1"/>
  <c r="P156" i="97"/>
  <c r="P155" i="97"/>
  <c r="K38" i="20"/>
  <c r="K39" i="20"/>
  <c r="E80" i="96"/>
  <c r="A80" i="96"/>
  <c r="A77" i="96"/>
  <c r="E77" i="96"/>
  <c r="I19" i="68"/>
  <c r="J216" i="33"/>
  <c r="D19" i="18"/>
  <c r="P136" i="96"/>
  <c r="I45" i="33"/>
  <c r="I14" i="94"/>
  <c r="K206" i="33"/>
  <c r="J46" i="288"/>
  <c r="J254" i="33"/>
  <c r="J28" i="289"/>
  <c r="K252" i="33"/>
  <c r="K181" i="33"/>
  <c r="K195" i="96"/>
  <c r="L195" i="96"/>
  <c r="K161" i="33"/>
  <c r="M1187" i="91"/>
  <c r="M1249" i="91"/>
  <c r="M1372" i="91"/>
  <c r="AF63" i="80"/>
  <c r="U12" i="39"/>
  <c r="AV35" i="80"/>
  <c r="AW35" i="80"/>
  <c r="AV25" i="80"/>
  <c r="AW25" i="80"/>
  <c r="AV34" i="80"/>
  <c r="AW34" i="80"/>
  <c r="AV30" i="80"/>
  <c r="AW30" i="80"/>
  <c r="AV26" i="80"/>
  <c r="AW26" i="80"/>
  <c r="AV22" i="80"/>
  <c r="AW22" i="80"/>
  <c r="AV18" i="80"/>
  <c r="AW18" i="80"/>
  <c r="AV14" i="80"/>
  <c r="AW14" i="80"/>
  <c r="AV23" i="80"/>
  <c r="AW23" i="80"/>
  <c r="AV29" i="80"/>
  <c r="AW29" i="80"/>
  <c r="AV13" i="80"/>
  <c r="AW13" i="80"/>
  <c r="AV19" i="80"/>
  <c r="AW19" i="80"/>
  <c r="AV36" i="80"/>
  <c r="AW36" i="80"/>
  <c r="AV32" i="80"/>
  <c r="AW32" i="80"/>
  <c r="AV28" i="80"/>
  <c r="AW28" i="80"/>
  <c r="AV24" i="80"/>
  <c r="AW24" i="80"/>
  <c r="AV20" i="80"/>
  <c r="AW20" i="80"/>
  <c r="AV16" i="80"/>
  <c r="AW16" i="80"/>
  <c r="AV12" i="80"/>
  <c r="AV31" i="80"/>
  <c r="AW31" i="80"/>
  <c r="AV33" i="80"/>
  <c r="AW33" i="80"/>
  <c r="AV17" i="80"/>
  <c r="AW17" i="80"/>
  <c r="AV27" i="80"/>
  <c r="AW27" i="80"/>
  <c r="AV15" i="80"/>
  <c r="AW15" i="80"/>
  <c r="AV21" i="80"/>
  <c r="AW21" i="80"/>
  <c r="EB262" i="91"/>
  <c r="EB235" i="91"/>
  <c r="EB246" i="91"/>
  <c r="EB225" i="91"/>
  <c r="EB260" i="91"/>
  <c r="EB236" i="91"/>
  <c r="EB240" i="91"/>
  <c r="EB238" i="91"/>
  <c r="EB247" i="91"/>
  <c r="EB266" i="91"/>
  <c r="EB259" i="91"/>
  <c r="EB268" i="91"/>
  <c r="EB226" i="91"/>
  <c r="EB279" i="91"/>
  <c r="EB254" i="91"/>
  <c r="EB269" i="91"/>
  <c r="EB267" i="91"/>
  <c r="EB233" i="91"/>
  <c r="EB277" i="91"/>
  <c r="EB264" i="91"/>
  <c r="EB261" i="91"/>
  <c r="EB241" i="91"/>
  <c r="EB258" i="91"/>
  <c r="EB243" i="91"/>
  <c r="EB228" i="91"/>
  <c r="EB244" i="91"/>
  <c r="EB242" i="91"/>
  <c r="W596" i="91"/>
  <c r="EB230" i="91"/>
  <c r="EB239" i="91"/>
  <c r="EB229" i="91"/>
  <c r="EB271" i="91"/>
  <c r="EB231" i="91"/>
  <c r="EB272" i="91"/>
  <c r="EB248" i="91"/>
  <c r="EB223" i="91"/>
  <c r="EB273" i="91"/>
  <c r="EB255" i="91"/>
  <c r="EB265" i="91"/>
  <c r="EB227" i="91"/>
  <c r="EB245" i="91"/>
  <c r="W813" i="91"/>
  <c r="EB256" i="91"/>
  <c r="X565" i="91"/>
  <c r="G21" i="94"/>
  <c r="G12" i="88"/>
  <c r="G13" i="56"/>
  <c r="G14" i="56"/>
  <c r="J19" i="68"/>
  <c r="V1156" i="91"/>
  <c r="V1218" i="91"/>
  <c r="Z97" i="81"/>
  <c r="AY45" i="80"/>
  <c r="L97" i="81"/>
  <c r="J40" i="33"/>
  <c r="J13" i="94"/>
  <c r="J95" i="33"/>
  <c r="J45" i="33"/>
  <c r="J14" i="94"/>
  <c r="J43" i="96"/>
  <c r="I43" i="96"/>
  <c r="W1125" i="91"/>
  <c r="F17" i="96"/>
  <c r="E17" i="96"/>
  <c r="EA298" i="91"/>
  <c r="EA292" i="91"/>
  <c r="EA308" i="91"/>
  <c r="EA302" i="91"/>
  <c r="EA296" i="91"/>
  <c r="EA286" i="91"/>
  <c r="EA290" i="91"/>
  <c r="EA306" i="91"/>
  <c r="EA300" i="91"/>
  <c r="EA294" i="91"/>
  <c r="EA310" i="91"/>
  <c r="EA288" i="91"/>
  <c r="EA304" i="91"/>
  <c r="H17" i="96"/>
  <c r="P137" i="96"/>
  <c r="P142" i="96"/>
  <c r="P139" i="96"/>
  <c r="L43" i="96"/>
  <c r="J66" i="96"/>
  <c r="I66" i="96"/>
  <c r="H20" i="96"/>
  <c r="H34" i="96"/>
  <c r="H36" i="96"/>
  <c r="F13" i="96"/>
  <c r="A13" i="96"/>
  <c r="H13" i="96"/>
  <c r="EB308" i="91"/>
  <c r="EB303" i="91"/>
  <c r="EB302" i="91"/>
  <c r="EB300" i="91"/>
  <c r="EB298" i="91"/>
  <c r="EB297" i="91"/>
  <c r="EB295" i="91"/>
  <c r="EB292" i="91"/>
  <c r="EB291" i="91"/>
  <c r="EB290" i="91"/>
  <c r="EB289" i="91"/>
  <c r="EB287" i="91"/>
  <c r="EB285" i="91"/>
  <c r="D34" i="97"/>
  <c r="D35" i="97"/>
  <c r="D36" i="97"/>
  <c r="D37" i="97"/>
  <c r="D38" i="97"/>
  <c r="M36" i="33"/>
  <c r="AW12" i="80"/>
  <c r="AV38" i="80"/>
  <c r="AV39" i="80"/>
  <c r="AV40" i="80"/>
  <c r="AV41" i="80"/>
  <c r="AV42" i="80"/>
  <c r="AV43" i="80"/>
  <c r="L201" i="96"/>
  <c r="K46" i="288"/>
  <c r="L252" i="33"/>
  <c r="K254" i="33"/>
  <c r="K28" i="289"/>
  <c r="L206" i="33"/>
  <c r="K216" i="33"/>
  <c r="K45" i="288"/>
  <c r="L248" i="33"/>
  <c r="K250" i="33"/>
  <c r="K27" i="289"/>
  <c r="L201" i="33"/>
  <c r="M67" i="18"/>
  <c r="N71" i="18"/>
  <c r="M74" i="18"/>
  <c r="L171" i="33"/>
  <c r="L197" i="96"/>
  <c r="L48" i="33"/>
  <c r="L269" i="33"/>
  <c r="H13" i="68"/>
  <c r="I25" i="68"/>
  <c r="T29" i="31"/>
  <c r="L32" i="31"/>
  <c r="T32" i="31"/>
  <c r="L44" i="31"/>
  <c r="F91" i="33"/>
  <c r="F90" i="33"/>
  <c r="F92" i="33"/>
  <c r="L204" i="96"/>
  <c r="L166" i="33"/>
  <c r="I17" i="88"/>
  <c r="I15" i="88"/>
  <c r="H18" i="96"/>
  <c r="F28" i="96"/>
  <c r="A28" i="96"/>
  <c r="F37" i="96"/>
  <c r="F19" i="96"/>
  <c r="F27" i="96"/>
  <c r="A27" i="96"/>
  <c r="H35" i="96"/>
  <c r="H19" i="96"/>
  <c r="F26" i="96"/>
  <c r="A26" i="96"/>
  <c r="F34" i="96"/>
  <c r="A34" i="96"/>
  <c r="F16" i="96"/>
  <c r="F24" i="96"/>
  <c r="F33" i="96"/>
  <c r="A33" i="96"/>
  <c r="H37" i="96"/>
  <c r="L136" i="33"/>
  <c r="N23" i="33"/>
  <c r="I79" i="38"/>
  <c r="I78" i="38"/>
  <c r="K50" i="38"/>
  <c r="I77" i="38"/>
  <c r="I81" i="38"/>
  <c r="I76" i="38"/>
  <c r="I80" i="38"/>
  <c r="J50" i="38"/>
  <c r="J46" i="96"/>
  <c r="I46" i="96"/>
  <c r="J48" i="96"/>
  <c r="I48" i="96"/>
  <c r="J50" i="96"/>
  <c r="I50" i="96"/>
  <c r="L49" i="96"/>
  <c r="L58" i="96"/>
  <c r="L66" i="96"/>
  <c r="L48" i="96"/>
  <c r="L56" i="96"/>
  <c r="L64" i="96"/>
  <c r="J45" i="96"/>
  <c r="I45" i="96"/>
  <c r="J53" i="96"/>
  <c r="I53" i="96"/>
  <c r="L61" i="96"/>
  <c r="L68" i="96"/>
  <c r="M22" i="55"/>
  <c r="N73" i="18"/>
  <c r="L43" i="33"/>
  <c r="H317" i="33"/>
  <c r="H36" i="94"/>
  <c r="H68" i="96"/>
  <c r="F65" i="96"/>
  <c r="A65" i="96"/>
  <c r="H64" i="96"/>
  <c r="F61" i="96"/>
  <c r="A61" i="96"/>
  <c r="H60" i="96"/>
  <c r="F57" i="96"/>
  <c r="A57" i="96"/>
  <c r="H56" i="96"/>
  <c r="H54" i="96"/>
  <c r="H52" i="96"/>
  <c r="H50" i="96"/>
  <c r="H48" i="96"/>
  <c r="H46" i="96"/>
  <c r="H44" i="96"/>
  <c r="F68" i="96"/>
  <c r="A68" i="96"/>
  <c r="H67" i="96"/>
  <c r="F64" i="96"/>
  <c r="A64" i="96"/>
  <c r="H63" i="96"/>
  <c r="F60" i="96"/>
  <c r="A60" i="96"/>
  <c r="H59" i="96"/>
  <c r="F56" i="96"/>
  <c r="F54" i="96"/>
  <c r="F52" i="96"/>
  <c r="F50" i="96"/>
  <c r="F48" i="96"/>
  <c r="F46" i="96"/>
  <c r="F44" i="96"/>
  <c r="F66" i="96"/>
  <c r="A66" i="96"/>
  <c r="H65" i="96"/>
  <c r="F62" i="96"/>
  <c r="A62" i="96"/>
  <c r="H61" i="96"/>
  <c r="F58" i="96"/>
  <c r="A58" i="96"/>
  <c r="H57" i="96"/>
  <c r="F55" i="96"/>
  <c r="F53" i="96"/>
  <c r="F51" i="96"/>
  <c r="F49" i="96"/>
  <c r="F47" i="96"/>
  <c r="H62" i="96"/>
  <c r="H55" i="96"/>
  <c r="H47" i="96"/>
  <c r="H45" i="96"/>
  <c r="F67" i="96"/>
  <c r="A67" i="96"/>
  <c r="H58" i="96"/>
  <c r="H53" i="96"/>
  <c r="F45" i="96"/>
  <c r="F63" i="96"/>
  <c r="A63" i="96"/>
  <c r="H51" i="96"/>
  <c r="H43" i="96"/>
  <c r="H66" i="96"/>
  <c r="F59" i="96"/>
  <c r="A59" i="96"/>
  <c r="H49" i="96"/>
  <c r="F43" i="96"/>
  <c r="L191" i="33"/>
  <c r="L116" i="33"/>
  <c r="K13" i="289"/>
  <c r="I327" i="33"/>
  <c r="I11" i="94"/>
  <c r="I37" i="33"/>
  <c r="H12" i="96"/>
  <c r="H29" i="96"/>
  <c r="F21" i="96"/>
  <c r="H28" i="96"/>
  <c r="H21" i="96"/>
  <c r="H27" i="96"/>
  <c r="F36" i="96"/>
  <c r="A36" i="96"/>
  <c r="F18" i="96"/>
  <c r="H26" i="96"/>
  <c r="L111" i="33"/>
  <c r="L203" i="96"/>
  <c r="P143" i="96"/>
  <c r="L45" i="96"/>
  <c r="J54" i="96"/>
  <c r="I54" i="96"/>
  <c r="J56" i="96"/>
  <c r="I56" i="96"/>
  <c r="J60" i="96"/>
  <c r="I60" i="96"/>
  <c r="L51" i="96"/>
  <c r="J59" i="96"/>
  <c r="I59" i="96"/>
  <c r="J67" i="96"/>
  <c r="I67" i="96"/>
  <c r="L50" i="96"/>
  <c r="J57" i="96"/>
  <c r="I57" i="96"/>
  <c r="J65" i="96"/>
  <c r="I65" i="96"/>
  <c r="J47" i="96"/>
  <c r="I47" i="96"/>
  <c r="J55" i="96"/>
  <c r="I55" i="96"/>
  <c r="J62" i="96"/>
  <c r="I62" i="96"/>
  <c r="L161" i="33"/>
  <c r="K23" i="288"/>
  <c r="L156" i="33"/>
  <c r="L279" i="33"/>
  <c r="S29" i="31"/>
  <c r="K32" i="31"/>
  <c r="P471" i="91"/>
  <c r="K44" i="31"/>
  <c r="N19" i="39"/>
  <c r="A19" i="39"/>
  <c r="L19" i="39"/>
  <c r="K22" i="288"/>
  <c r="L154" i="33"/>
  <c r="J19" i="289"/>
  <c r="J20" i="289"/>
  <c r="J150" i="33"/>
  <c r="J316" i="33"/>
  <c r="J35" i="94"/>
  <c r="M77" i="33"/>
  <c r="M218" i="33"/>
  <c r="M222" i="33"/>
  <c r="N26" i="33"/>
  <c r="M24" i="33"/>
  <c r="M106" i="33"/>
  <c r="M85" i="33"/>
  <c r="E38" i="299"/>
  <c r="A20" i="30"/>
  <c r="L205" i="96"/>
  <c r="I32" i="31"/>
  <c r="Q29" i="31"/>
  <c r="N471" i="91"/>
  <c r="I44" i="31"/>
  <c r="J244" i="33"/>
  <c r="K54" i="288"/>
  <c r="K29" i="289"/>
  <c r="L282" i="33"/>
  <c r="L40" i="288"/>
  <c r="L224" i="33"/>
  <c r="L23" i="289"/>
  <c r="G44" i="288"/>
  <c r="H246" i="33"/>
  <c r="H245" i="33"/>
  <c r="H26" i="289"/>
  <c r="L181" i="33"/>
  <c r="I14" i="88"/>
  <c r="D28" i="18"/>
  <c r="L211" i="33"/>
  <c r="P141" i="96"/>
  <c r="J14" i="68"/>
  <c r="J21" i="68"/>
  <c r="J22" i="68"/>
  <c r="J104" i="5"/>
  <c r="N13" i="20"/>
  <c r="K120" i="97"/>
  <c r="H196" i="97"/>
  <c r="K119" i="97"/>
  <c r="J129" i="5"/>
  <c r="L98" i="33"/>
  <c r="G38" i="94"/>
  <c r="G14" i="289"/>
  <c r="G36" i="88"/>
  <c r="G37" i="94"/>
  <c r="J25" i="68"/>
  <c r="P29" i="31"/>
  <c r="H32" i="31"/>
  <c r="M471" i="91"/>
  <c r="H44" i="31"/>
  <c r="P145" i="96"/>
  <c r="K90" i="75"/>
  <c r="L9" i="75"/>
  <c r="L274" i="33"/>
  <c r="L126" i="33"/>
  <c r="I295" i="33"/>
  <c r="J297" i="33"/>
  <c r="A29" i="31"/>
  <c r="B29" i="31"/>
  <c r="F32" i="31"/>
  <c r="N29" i="31"/>
  <c r="K471" i="91"/>
  <c r="F44" i="31"/>
  <c r="I20" i="88"/>
  <c r="I16" i="88"/>
  <c r="N14" i="39"/>
  <c r="L14" i="39"/>
  <c r="H14" i="96"/>
  <c r="H22" i="96"/>
  <c r="F32" i="96"/>
  <c r="A32" i="96"/>
  <c r="F15" i="96"/>
  <c r="F23" i="96"/>
  <c r="F31" i="96"/>
  <c r="A31" i="96"/>
  <c r="H15" i="96"/>
  <c r="H23" i="96"/>
  <c r="F30" i="96"/>
  <c r="A30" i="96"/>
  <c r="F12" i="96"/>
  <c r="F20" i="96"/>
  <c r="F29" i="96"/>
  <c r="A29" i="96"/>
  <c r="F35" i="96"/>
  <c r="A35" i="96"/>
  <c r="L23" i="94"/>
  <c r="L13" i="289"/>
  <c r="L27" i="94"/>
  <c r="L28" i="94"/>
  <c r="L29" i="94"/>
  <c r="L40" i="94"/>
  <c r="L39" i="88"/>
  <c r="L199" i="96"/>
  <c r="Z63" i="80"/>
  <c r="H46" i="94"/>
  <c r="H21" i="88"/>
  <c r="H43" i="94"/>
  <c r="H42" i="88"/>
  <c r="P138" i="96"/>
  <c r="G47" i="20"/>
  <c r="K205" i="97"/>
  <c r="L259" i="33"/>
  <c r="J237" i="33"/>
  <c r="L196" i="33"/>
  <c r="G32" i="31"/>
  <c r="O29" i="31"/>
  <c r="L471" i="91"/>
  <c r="G44" i="31"/>
  <c r="M9" i="288"/>
  <c r="M9" i="289"/>
  <c r="M9" i="94"/>
  <c r="M9" i="88"/>
  <c r="M306" i="33"/>
  <c r="M325" i="33"/>
  <c r="M103" i="33"/>
  <c r="L39" i="288"/>
  <c r="L220" i="33"/>
  <c r="L22" i="289"/>
  <c r="AF97" i="81"/>
  <c r="R1249" i="91"/>
  <c r="O195" i="96"/>
  <c r="EC221" i="91"/>
  <c r="K18" i="68"/>
  <c r="L9" i="68"/>
  <c r="P45" i="81"/>
  <c r="L31" i="33"/>
  <c r="M31" i="33"/>
  <c r="N31" i="33"/>
  <c r="G42" i="288"/>
  <c r="H232" i="33"/>
  <c r="G43" i="288"/>
  <c r="H239" i="33"/>
  <c r="H238" i="33"/>
  <c r="H25" i="289"/>
  <c r="J52" i="96"/>
  <c r="I52" i="96"/>
  <c r="L59" i="96"/>
  <c r="L63" i="96"/>
  <c r="L67" i="96"/>
  <c r="L53" i="96"/>
  <c r="L62" i="96"/>
  <c r="L44" i="96"/>
  <c r="L52" i="96"/>
  <c r="L60" i="96"/>
  <c r="J68" i="96"/>
  <c r="I68" i="96"/>
  <c r="J49" i="96"/>
  <c r="I49" i="96"/>
  <c r="L57" i="96"/>
  <c r="L65" i="96"/>
  <c r="U13" i="39"/>
  <c r="V13" i="39"/>
  <c r="AY24" i="80"/>
  <c r="AZ24" i="80"/>
  <c r="AY30" i="80"/>
  <c r="AZ30" i="80"/>
  <c r="AY14" i="80"/>
  <c r="AZ14" i="80"/>
  <c r="AY20" i="80"/>
  <c r="AZ20" i="80"/>
  <c r="AY33" i="80"/>
  <c r="AZ33" i="80"/>
  <c r="AY29" i="80"/>
  <c r="AZ29" i="80"/>
  <c r="AY25" i="80"/>
  <c r="AZ25" i="80"/>
  <c r="AY21" i="80"/>
  <c r="AZ21" i="80"/>
  <c r="AY17" i="80"/>
  <c r="AZ17" i="80"/>
  <c r="AY13" i="80"/>
  <c r="AZ13" i="80"/>
  <c r="AY32" i="80"/>
  <c r="AZ32" i="80"/>
  <c r="AY34" i="80"/>
  <c r="AZ34" i="80"/>
  <c r="AY18" i="80"/>
  <c r="AZ18" i="80"/>
  <c r="AY28" i="80"/>
  <c r="AZ28" i="80"/>
  <c r="AY22" i="80"/>
  <c r="AZ22" i="80"/>
  <c r="AY12" i="80"/>
  <c r="AY36" i="80"/>
  <c r="AZ36" i="80"/>
  <c r="AY16" i="80"/>
  <c r="AZ16" i="80"/>
  <c r="AY26" i="80"/>
  <c r="AZ26" i="80"/>
  <c r="AY35" i="80"/>
  <c r="AZ35" i="80"/>
  <c r="AY31" i="80"/>
  <c r="AZ31" i="80"/>
  <c r="AY27" i="80"/>
  <c r="AZ27" i="80"/>
  <c r="AY23" i="80"/>
  <c r="AZ23" i="80"/>
  <c r="AY19" i="80"/>
  <c r="AZ19" i="80"/>
  <c r="AY15" i="80"/>
  <c r="AZ15" i="80"/>
  <c r="V12" i="39"/>
  <c r="AH97" i="81"/>
  <c r="S1249" i="91"/>
  <c r="L196" i="96"/>
  <c r="L131" i="33"/>
  <c r="L200" i="96"/>
  <c r="P144" i="96"/>
  <c r="L6" i="68"/>
  <c r="L37" i="96"/>
  <c r="J36" i="96"/>
  <c r="L35" i="96"/>
  <c r="L32" i="96"/>
  <c r="J31" i="96"/>
  <c r="L28" i="96"/>
  <c r="J27" i="96"/>
  <c r="L24" i="96"/>
  <c r="L22" i="96"/>
  <c r="L20" i="96"/>
  <c r="L18" i="96"/>
  <c r="L16" i="96"/>
  <c r="L14" i="96"/>
  <c r="L12" i="96"/>
  <c r="J12" i="96"/>
  <c r="J37" i="96"/>
  <c r="J35" i="96"/>
  <c r="L33" i="96"/>
  <c r="J32" i="96"/>
  <c r="L29" i="96"/>
  <c r="J28" i="96"/>
  <c r="J24" i="96"/>
  <c r="I24" i="96"/>
  <c r="J22" i="96"/>
  <c r="I22" i="96"/>
  <c r="J20" i="96"/>
  <c r="I20" i="96"/>
  <c r="J18" i="96"/>
  <c r="I18" i="96"/>
  <c r="J16" i="96"/>
  <c r="I16" i="96"/>
  <c r="J14" i="96"/>
  <c r="I14" i="96"/>
  <c r="L34" i="96"/>
  <c r="J33" i="96"/>
  <c r="L30" i="96"/>
  <c r="J29" i="96"/>
  <c r="L26" i="96"/>
  <c r="L25" i="96"/>
  <c r="L23" i="96"/>
  <c r="L21" i="96"/>
  <c r="L19" i="96"/>
  <c r="L17" i="96"/>
  <c r="L15" i="96"/>
  <c r="L13" i="96"/>
  <c r="L36" i="96"/>
  <c r="J34" i="96"/>
  <c r="L31" i="96"/>
  <c r="J30" i="96"/>
  <c r="L27" i="96"/>
  <c r="J26" i="96"/>
  <c r="J25" i="96"/>
  <c r="I25" i="96"/>
  <c r="J23" i="96"/>
  <c r="I23" i="96"/>
  <c r="J21" i="96"/>
  <c r="I21" i="96"/>
  <c r="J19" i="96"/>
  <c r="I19" i="96"/>
  <c r="J17" i="96"/>
  <c r="I17" i="96"/>
  <c r="J15" i="96"/>
  <c r="I15" i="96"/>
  <c r="J13" i="96"/>
  <c r="I13" i="96"/>
  <c r="H299" i="33"/>
  <c r="K141" i="33"/>
  <c r="L202" i="96"/>
  <c r="K146" i="33"/>
  <c r="P140" i="96"/>
  <c r="I19" i="289"/>
  <c r="I150" i="33"/>
  <c r="I316" i="33"/>
  <c r="I14" i="68"/>
  <c r="I35" i="94"/>
  <c r="L176" i="33"/>
  <c r="L264" i="33"/>
  <c r="N63" i="80"/>
  <c r="I23" i="88"/>
  <c r="I28" i="88"/>
  <c r="I10" i="88"/>
  <c r="I12" i="94"/>
  <c r="I41" i="94"/>
  <c r="I40" i="88"/>
  <c r="J60" i="68"/>
  <c r="J62" i="33"/>
  <c r="J18" i="94"/>
  <c r="J326" i="33"/>
  <c r="J50" i="33"/>
  <c r="J15" i="94"/>
  <c r="J66" i="33"/>
  <c r="J19" i="94"/>
  <c r="J54" i="33"/>
  <c r="J16" i="94"/>
  <c r="J58" i="33"/>
  <c r="J17" i="94"/>
  <c r="J71" i="33"/>
  <c r="J20" i="94"/>
  <c r="J33" i="33"/>
  <c r="K28" i="33"/>
  <c r="J10" i="94"/>
  <c r="J315" i="33"/>
  <c r="I18" i="88"/>
  <c r="I19" i="88"/>
  <c r="H16" i="96"/>
  <c r="H24" i="96"/>
  <c r="H33" i="96"/>
  <c r="A17" i="96"/>
  <c r="F25" i="96"/>
  <c r="H32" i="96"/>
  <c r="H25" i="96"/>
  <c r="H31" i="96"/>
  <c r="F14" i="96"/>
  <c r="F22" i="96"/>
  <c r="H30" i="96"/>
  <c r="L198" i="96"/>
  <c r="J230" i="33"/>
  <c r="J32" i="31"/>
  <c r="R29" i="31"/>
  <c r="O471" i="91"/>
  <c r="J44" i="31"/>
  <c r="E91" i="33"/>
  <c r="E90" i="33"/>
  <c r="E92" i="33"/>
  <c r="L236" i="33"/>
  <c r="L243" i="33"/>
  <c r="L229" i="33"/>
  <c r="L121" i="33"/>
  <c r="O165" i="96"/>
  <c r="C31" i="68"/>
  <c r="G30" i="289"/>
  <c r="I27" i="88"/>
  <c r="J64" i="96"/>
  <c r="I64" i="96"/>
  <c r="J44" i="96"/>
  <c r="I44" i="96"/>
  <c r="L47" i="96"/>
  <c r="L55" i="96"/>
  <c r="J63" i="96"/>
  <c r="I63" i="96"/>
  <c r="L46" i="96"/>
  <c r="L54" i="96"/>
  <c r="J61" i="96"/>
  <c r="I61" i="96"/>
  <c r="J51" i="96"/>
  <c r="I51" i="96"/>
  <c r="J58" i="96"/>
  <c r="I58" i="96"/>
  <c r="I29" i="88"/>
  <c r="EB263" i="91"/>
  <c r="EB237" i="91"/>
  <c r="EB276" i="91"/>
  <c r="EB274" i="91"/>
  <c r="EB275" i="91"/>
  <c r="EB270" i="91"/>
  <c r="Y565" i="91"/>
  <c r="EC262" i="91"/>
  <c r="EC229" i="91"/>
  <c r="EC279" i="91"/>
  <c r="EC247" i="91"/>
  <c r="EC226" i="91"/>
  <c r="EC264" i="91"/>
  <c r="EC224" i="91"/>
  <c r="EC233" i="91"/>
  <c r="EC277" i="91"/>
  <c r="EC274" i="91"/>
  <c r="EC223" i="91"/>
  <c r="EC248" i="91"/>
  <c r="EC243" i="91"/>
  <c r="EC225" i="91"/>
  <c r="EC275" i="91"/>
  <c r="EC231" i="91"/>
  <c r="EC244" i="91"/>
  <c r="EC237" i="91"/>
  <c r="EC230" i="91"/>
  <c r="EC232" i="91"/>
  <c r="EC235" i="91"/>
  <c r="EC240" i="91"/>
  <c r="EC267" i="91"/>
  <c r="EB278" i="91"/>
  <c r="EB234" i="91"/>
  <c r="EB232" i="91"/>
  <c r="X596" i="91"/>
  <c r="EC227" i="91"/>
  <c r="EC242" i="91"/>
  <c r="EC255" i="91"/>
  <c r="EC256" i="91"/>
  <c r="EC258" i="91"/>
  <c r="EC278" i="91"/>
  <c r="EC263" i="91"/>
  <c r="EC276" i="91"/>
  <c r="EB224" i="91"/>
  <c r="EB257" i="91"/>
  <c r="EC234" i="91"/>
  <c r="EC266" i="91"/>
  <c r="EC238" i="91"/>
  <c r="EC261" i="91"/>
  <c r="EC265" i="91"/>
  <c r="EC270" i="91"/>
  <c r="EC272" i="91"/>
  <c r="EC273" i="91"/>
  <c r="EC257" i="91"/>
  <c r="EC236" i="91"/>
  <c r="EC260" i="91"/>
  <c r="EC259" i="91"/>
  <c r="EC241" i="91"/>
  <c r="X813" i="91"/>
  <c r="EC271" i="91"/>
  <c r="EC245" i="91"/>
  <c r="EC269" i="91"/>
  <c r="EC268" i="91"/>
  <c r="EC246" i="91"/>
  <c r="EC254" i="91"/>
  <c r="EC228" i="91"/>
  <c r="EC239" i="91"/>
  <c r="E13" i="96"/>
  <c r="EB288" i="91"/>
  <c r="EB286" i="91"/>
  <c r="EB296" i="91"/>
  <c r="EB309" i="91"/>
  <c r="EB301" i="91"/>
  <c r="EB306" i="91"/>
  <c r="EB305" i="91"/>
  <c r="EB307" i="91"/>
  <c r="EB299" i="91"/>
  <c r="J16" i="88"/>
  <c r="G21" i="88"/>
  <c r="G16" i="56"/>
  <c r="P12" i="96"/>
  <c r="EB310" i="91"/>
  <c r="EB293" i="91"/>
  <c r="EB304" i="91"/>
  <c r="EB294" i="91"/>
  <c r="X1125" i="91"/>
  <c r="K95" i="33"/>
  <c r="P14" i="96"/>
  <c r="N12" i="96"/>
  <c r="M12" i="96"/>
  <c r="N14" i="96"/>
  <c r="M14" i="96"/>
  <c r="L80" i="96"/>
  <c r="N16" i="96"/>
  <c r="M16" i="96"/>
  <c r="J80" i="96"/>
  <c r="I80" i="96"/>
  <c r="P16" i="96"/>
  <c r="H241" i="33"/>
  <c r="J17" i="88"/>
  <c r="H234" i="33"/>
  <c r="K19" i="68"/>
  <c r="L98" i="96"/>
  <c r="L69" i="96" a="1"/>
  <c r="L69" i="96"/>
  <c r="P36" i="96"/>
  <c r="EC310" i="91"/>
  <c r="EC309" i="91"/>
  <c r="EC308" i="91"/>
  <c r="EC307" i="91"/>
  <c r="EC306" i="91"/>
  <c r="EC305" i="91"/>
  <c r="EC304" i="91"/>
  <c r="EC303" i="91"/>
  <c r="EC302" i="91"/>
  <c r="EC301" i="91"/>
  <c r="EC300" i="91"/>
  <c r="EC299" i="91"/>
  <c r="EC298" i="91"/>
  <c r="EC297" i="91"/>
  <c r="EC296" i="91"/>
  <c r="EC295" i="91"/>
  <c r="EC294" i="91"/>
  <c r="EC293" i="91"/>
  <c r="EC292" i="91"/>
  <c r="EC291" i="91"/>
  <c r="EC290" i="91"/>
  <c r="EC289" i="91"/>
  <c r="EC288" i="91"/>
  <c r="EC287" i="91"/>
  <c r="EC286" i="91"/>
  <c r="EC285" i="91"/>
  <c r="K19" i="289"/>
  <c r="K20" i="289"/>
  <c r="K316" i="33"/>
  <c r="K150" i="33"/>
  <c r="K35" i="94"/>
  <c r="K14" i="68"/>
  <c r="K21" i="68"/>
  <c r="K22" i="68"/>
  <c r="D49" i="97"/>
  <c r="D50" i="97"/>
  <c r="D51" i="97"/>
  <c r="D52" i="97"/>
  <c r="D53" i="97"/>
  <c r="D54" i="97"/>
  <c r="D55" i="97"/>
  <c r="D56" i="97"/>
  <c r="D57" i="97"/>
  <c r="D58" i="97"/>
  <c r="D59" i="97"/>
  <c r="D60" i="97"/>
  <c r="D61" i="97"/>
  <c r="D62" i="97"/>
  <c r="D63" i="97"/>
  <c r="D64" i="97"/>
  <c r="D65" i="97"/>
  <c r="D66" i="97"/>
  <c r="D67" i="97"/>
  <c r="D68" i="97"/>
  <c r="D69" i="97"/>
  <c r="D70" i="97"/>
  <c r="D71" i="97"/>
  <c r="D72" i="97"/>
  <c r="D73" i="97"/>
  <c r="D94" i="97"/>
  <c r="D95" i="97"/>
  <c r="D96" i="97"/>
  <c r="D97" i="97"/>
  <c r="D98" i="97"/>
  <c r="D99" i="97"/>
  <c r="D100" i="97"/>
  <c r="D101" i="97"/>
  <c r="D102" i="97"/>
  <c r="D103" i="97"/>
  <c r="D104" i="97"/>
  <c r="D105" i="97"/>
  <c r="D106" i="97"/>
  <c r="D107" i="97"/>
  <c r="D108" i="97"/>
  <c r="D109" i="97"/>
  <c r="D110" i="97"/>
  <c r="D111" i="97"/>
  <c r="D112" i="97"/>
  <c r="D113" i="97"/>
  <c r="D114" i="97"/>
  <c r="D115" i="97"/>
  <c r="D116" i="97"/>
  <c r="D117" i="97"/>
  <c r="D118" i="97"/>
  <c r="B1" i="97"/>
  <c r="E15" i="78"/>
  <c r="F15" i="78"/>
  <c r="K244" i="33"/>
  <c r="M264" i="33"/>
  <c r="I20" i="289"/>
  <c r="K237" i="33"/>
  <c r="A25" i="96"/>
  <c r="E25" i="96"/>
  <c r="O63" i="80"/>
  <c r="J29" i="88"/>
  <c r="J41" i="94"/>
  <c r="J40" i="88"/>
  <c r="J10" i="88"/>
  <c r="J23" i="88"/>
  <c r="J28" i="88"/>
  <c r="J27" i="88"/>
  <c r="J18" i="88"/>
  <c r="M176" i="33"/>
  <c r="L87" i="96"/>
  <c r="L76" i="96"/>
  <c r="H43" i="288"/>
  <c r="I239" i="33"/>
  <c r="I238" i="33"/>
  <c r="I25" i="289"/>
  <c r="S471" i="91"/>
  <c r="K533" i="91"/>
  <c r="K1342" i="91"/>
  <c r="J295" i="33"/>
  <c r="J299" i="33"/>
  <c r="K297" i="33"/>
  <c r="P44" i="31"/>
  <c r="M211" i="33"/>
  <c r="D30" i="18"/>
  <c r="D31" i="18"/>
  <c r="D33" i="18"/>
  <c r="D34" i="18"/>
  <c r="D35" i="18"/>
  <c r="D37" i="18"/>
  <c r="D38" i="18"/>
  <c r="D40" i="18"/>
  <c r="D42" i="18"/>
  <c r="D43" i="18"/>
  <c r="D44" i="18"/>
  <c r="D48" i="18"/>
  <c r="D50" i="18"/>
  <c r="D52" i="18"/>
  <c r="D54" i="18"/>
  <c r="D59" i="18"/>
  <c r="D60" i="18"/>
  <c r="D61" i="18"/>
  <c r="AI1" i="91"/>
  <c r="M181" i="33"/>
  <c r="L54" i="288"/>
  <c r="L29" i="289"/>
  <c r="M282" i="33"/>
  <c r="Q32" i="31"/>
  <c r="N782" i="91"/>
  <c r="M40" i="288"/>
  <c r="M224" i="33"/>
  <c r="M23" i="289"/>
  <c r="J35" i="88"/>
  <c r="L22" i="288"/>
  <c r="M154" i="33"/>
  <c r="M111" i="33"/>
  <c r="A21" i="96"/>
  <c r="E21" i="96"/>
  <c r="E53" i="96"/>
  <c r="A53" i="96"/>
  <c r="E44" i="96"/>
  <c r="A44" i="96"/>
  <c r="A52" i="96"/>
  <c r="E52" i="96"/>
  <c r="E16" i="96"/>
  <c r="A16" i="96"/>
  <c r="P13" i="96"/>
  <c r="P21" i="96"/>
  <c r="P29" i="96"/>
  <c r="N37" i="96"/>
  <c r="N20" i="96"/>
  <c r="M20" i="96"/>
  <c r="P28" i="96"/>
  <c r="P37" i="96"/>
  <c r="P18" i="96"/>
  <c r="N26" i="96"/>
  <c r="N34" i="96"/>
  <c r="N17" i="96"/>
  <c r="M17" i="96"/>
  <c r="N25" i="96"/>
  <c r="M25" i="96"/>
  <c r="N33" i="96"/>
  <c r="M48" i="33"/>
  <c r="L46" i="288"/>
  <c r="M252" i="33"/>
  <c r="L254" i="33"/>
  <c r="L28" i="289"/>
  <c r="P165" i="96"/>
  <c r="P167" i="96"/>
  <c r="P175" i="96"/>
  <c r="P168" i="96"/>
  <c r="P173" i="96"/>
  <c r="P171" i="96"/>
  <c r="P169" i="96"/>
  <c r="P172" i="96"/>
  <c r="P170" i="96"/>
  <c r="P166" i="96"/>
  <c r="P174" i="96"/>
  <c r="J327" i="33"/>
  <c r="J11" i="94"/>
  <c r="J11" i="88"/>
  <c r="J37" i="33"/>
  <c r="I35" i="88"/>
  <c r="O533" i="91"/>
  <c r="O1342" i="91"/>
  <c r="I45" i="72"/>
  <c r="E22" i="96"/>
  <c r="A22" i="96"/>
  <c r="I21" i="68"/>
  <c r="M121" i="33"/>
  <c r="E14" i="96"/>
  <c r="A14" i="96"/>
  <c r="J19" i="88"/>
  <c r="I42" i="94"/>
  <c r="I41" i="88"/>
  <c r="I12" i="88"/>
  <c r="I21" i="94"/>
  <c r="I45" i="94"/>
  <c r="L77" i="96"/>
  <c r="L97" i="96"/>
  <c r="J99" i="96"/>
  <c r="I99" i="96"/>
  <c r="J81" i="96"/>
  <c r="I81" i="96"/>
  <c r="J89" i="96"/>
  <c r="I89" i="96"/>
  <c r="J97" i="96"/>
  <c r="I97" i="96"/>
  <c r="J88" i="96"/>
  <c r="I88" i="96"/>
  <c r="J96" i="96"/>
  <c r="I96" i="96"/>
  <c r="L84" i="96"/>
  <c r="L92" i="96"/>
  <c r="G66" i="288"/>
  <c r="C32" i="68"/>
  <c r="K206" i="97"/>
  <c r="M205" i="97"/>
  <c r="E20" i="96"/>
  <c r="A20" i="96"/>
  <c r="K230" i="33"/>
  <c r="R32" i="31"/>
  <c r="O782" i="91"/>
  <c r="K60" i="68"/>
  <c r="K58" i="33"/>
  <c r="K17" i="94"/>
  <c r="K62" i="33"/>
  <c r="K18" i="94"/>
  <c r="K50" i="33"/>
  <c r="K15" i="94"/>
  <c r="K66" i="33"/>
  <c r="K19" i="94"/>
  <c r="K54" i="33"/>
  <c r="K16" i="94"/>
  <c r="K16" i="88"/>
  <c r="K326" i="33"/>
  <c r="K71" i="33"/>
  <c r="K20" i="94"/>
  <c r="L28" i="33"/>
  <c r="L40" i="33"/>
  <c r="L13" i="94"/>
  <c r="K33" i="33"/>
  <c r="K10" i="94"/>
  <c r="K315" i="33"/>
  <c r="J20" i="88"/>
  <c r="J15" i="88"/>
  <c r="H14" i="289"/>
  <c r="H38" i="94"/>
  <c r="H37" i="88"/>
  <c r="L85" i="96"/>
  <c r="L95" i="96"/>
  <c r="L75" i="96"/>
  <c r="J75" i="96"/>
  <c r="I75" i="96"/>
  <c r="J83" i="96"/>
  <c r="I83" i="96"/>
  <c r="J91" i="96"/>
  <c r="I91" i="96"/>
  <c r="J74" i="96"/>
  <c r="J82" i="96"/>
  <c r="I82" i="96"/>
  <c r="J90" i="96"/>
  <c r="I90" i="96"/>
  <c r="J98" i="96"/>
  <c r="I98" i="96"/>
  <c r="L78" i="96"/>
  <c r="L86" i="96"/>
  <c r="L94" i="96"/>
  <c r="AZ12" i="80"/>
  <c r="AY38" i="80"/>
  <c r="AY39" i="80"/>
  <c r="AY40" i="80"/>
  <c r="AY41" i="80"/>
  <c r="AY42" i="80"/>
  <c r="AY43" i="80"/>
  <c r="ED221" i="91"/>
  <c r="O32" i="31"/>
  <c r="L782" i="91"/>
  <c r="L49" i="20"/>
  <c r="L16" i="38"/>
  <c r="P16" i="38"/>
  <c r="L54" i="38"/>
  <c r="M54" i="38"/>
  <c r="L15" i="38"/>
  <c r="P15" i="38"/>
  <c r="L53" i="38"/>
  <c r="M53" i="38"/>
  <c r="L14" i="38"/>
  <c r="P14" i="38"/>
  <c r="L52" i="38"/>
  <c r="M52" i="38"/>
  <c r="L20" i="38"/>
  <c r="P20" i="38"/>
  <c r="L58" i="38"/>
  <c r="M58" i="38"/>
  <c r="L13" i="38"/>
  <c r="P13" i="38"/>
  <c r="L51" i="38"/>
  <c r="M51" i="38"/>
  <c r="L18" i="38"/>
  <c r="P18" i="38"/>
  <c r="L56" i="38"/>
  <c r="M56" i="38"/>
  <c r="L17" i="38"/>
  <c r="P17" i="38"/>
  <c r="L55" i="38"/>
  <c r="M55" i="38"/>
  <c r="L21" i="38"/>
  <c r="P21" i="38"/>
  <c r="L59" i="38"/>
  <c r="M59" i="38"/>
  <c r="L19" i="38"/>
  <c r="P19" i="38"/>
  <c r="L57" i="38"/>
  <c r="M57" i="38"/>
  <c r="E12" i="96"/>
  <c r="A12" i="96"/>
  <c r="H38" i="96" a="1"/>
  <c r="H38" i="96"/>
  <c r="I317" i="33"/>
  <c r="I36" i="94"/>
  <c r="L90" i="75"/>
  <c r="M9" i="75"/>
  <c r="U471" i="91"/>
  <c r="M533" i="91"/>
  <c r="M1342" i="91"/>
  <c r="J13" i="68"/>
  <c r="Q44" i="31"/>
  <c r="M39" i="288"/>
  <c r="M220" i="33"/>
  <c r="M22" i="289"/>
  <c r="M279" i="33"/>
  <c r="M161" i="33"/>
  <c r="I311" i="33"/>
  <c r="I38" i="33"/>
  <c r="I72" i="33"/>
  <c r="M116" i="33"/>
  <c r="E45" i="96"/>
  <c r="A45" i="96"/>
  <c r="E47" i="96"/>
  <c r="A47" i="96"/>
  <c r="E55" i="96"/>
  <c r="A55" i="96"/>
  <c r="E46" i="96"/>
  <c r="A46" i="96"/>
  <c r="A54" i="96"/>
  <c r="E54" i="96"/>
  <c r="K40" i="33"/>
  <c r="K13" i="94"/>
  <c r="J76" i="38"/>
  <c r="J80" i="38"/>
  <c r="J79" i="38"/>
  <c r="J78" i="38"/>
  <c r="J77" i="38"/>
  <c r="J81" i="38"/>
  <c r="N24" i="33"/>
  <c r="N77" i="33"/>
  <c r="N218" i="33"/>
  <c r="N222" i="33"/>
  <c r="O26" i="33"/>
  <c r="N106" i="33"/>
  <c r="N85" i="33"/>
  <c r="P15" i="96"/>
  <c r="P23" i="96"/>
  <c r="N32" i="96"/>
  <c r="N22" i="96"/>
  <c r="M22" i="96"/>
  <c r="N31" i="96"/>
  <c r="P20" i="96"/>
  <c r="P27" i="96"/>
  <c r="N19" i="96"/>
  <c r="M19" i="96"/>
  <c r="P26" i="96"/>
  <c r="P34" i="96"/>
  <c r="K25" i="68"/>
  <c r="K45" i="33"/>
  <c r="K14" i="94"/>
  <c r="L45" i="288"/>
  <c r="M248" i="33"/>
  <c r="L250" i="33"/>
  <c r="L27" i="289"/>
  <c r="AW38" i="80"/>
  <c r="AB12" i="39"/>
  <c r="AW39" i="80"/>
  <c r="AA12" i="39"/>
  <c r="AW40" i="80"/>
  <c r="Z12" i="39"/>
  <c r="AW41" i="80"/>
  <c r="Y12" i="39"/>
  <c r="AW42" i="80"/>
  <c r="X12" i="39"/>
  <c r="AW43" i="80"/>
  <c r="W12" i="39"/>
  <c r="M6" i="68"/>
  <c r="L19" i="68"/>
  <c r="M131" i="33"/>
  <c r="L93" i="96"/>
  <c r="L81" i="96"/>
  <c r="L83" i="96"/>
  <c r="J77" i="96"/>
  <c r="I77" i="96"/>
  <c r="J85" i="96"/>
  <c r="I85" i="96"/>
  <c r="J93" i="96"/>
  <c r="I93" i="96"/>
  <c r="J76" i="96"/>
  <c r="I76" i="96"/>
  <c r="J84" i="96"/>
  <c r="I84" i="96"/>
  <c r="J92" i="96"/>
  <c r="I92" i="96"/>
  <c r="L99" i="96"/>
  <c r="L88" i="96"/>
  <c r="L96" i="96"/>
  <c r="H84" i="33"/>
  <c r="H26" i="94"/>
  <c r="H26" i="88"/>
  <c r="H231" i="33"/>
  <c r="P195" i="96"/>
  <c r="P205" i="96"/>
  <c r="P198" i="96"/>
  <c r="P199" i="96"/>
  <c r="P201" i="96"/>
  <c r="P202" i="96"/>
  <c r="P200" i="96"/>
  <c r="P197" i="96"/>
  <c r="P203" i="96"/>
  <c r="P196" i="96"/>
  <c r="P204" i="96"/>
  <c r="O44" i="31"/>
  <c r="M259" i="33"/>
  <c r="A23" i="96"/>
  <c r="E23" i="96"/>
  <c r="A14" i="39"/>
  <c r="A15" i="39"/>
  <c r="N32" i="31"/>
  <c r="A32" i="31"/>
  <c r="B32" i="31"/>
  <c r="K782" i="91"/>
  <c r="J13" i="88"/>
  <c r="M274" i="33"/>
  <c r="P32" i="31"/>
  <c r="M782" i="91"/>
  <c r="G37" i="88"/>
  <c r="G29" i="56"/>
  <c r="G46" i="20"/>
  <c r="A46" i="20"/>
  <c r="H199" i="97"/>
  <c r="H44" i="288"/>
  <c r="I246" i="33"/>
  <c r="I245" i="33"/>
  <c r="I26" i="289"/>
  <c r="V471" i="91"/>
  <c r="N533" i="91"/>
  <c r="N1342" i="91"/>
  <c r="N9" i="88"/>
  <c r="N9" i="288"/>
  <c r="N9" i="289"/>
  <c r="N9" i="94"/>
  <c r="N103" i="33"/>
  <c r="N306" i="33"/>
  <c r="N325" i="33"/>
  <c r="J14" i="88"/>
  <c r="P533" i="91"/>
  <c r="P1342" i="91"/>
  <c r="I11" i="72"/>
  <c r="A43" i="96"/>
  <c r="E43" i="96"/>
  <c r="H69" i="96" a="1"/>
  <c r="H69" i="96"/>
  <c r="E49" i="96"/>
  <c r="A49" i="96"/>
  <c r="A48" i="96"/>
  <c r="E48" i="96"/>
  <c r="A56" i="96"/>
  <c r="E56" i="96"/>
  <c r="H37" i="94"/>
  <c r="H36" i="88"/>
  <c r="M43" i="33"/>
  <c r="K77" i="38"/>
  <c r="K81" i="38"/>
  <c r="K76" i="38"/>
  <c r="K80" i="38"/>
  <c r="K79" i="38"/>
  <c r="K78" i="38"/>
  <c r="M136" i="33"/>
  <c r="A19" i="96"/>
  <c r="E19" i="96"/>
  <c r="M166" i="33"/>
  <c r="P17" i="96"/>
  <c r="P25" i="96"/>
  <c r="P33" i="96"/>
  <c r="N24" i="96"/>
  <c r="M24" i="96"/>
  <c r="P32" i="96"/>
  <c r="P22" i="96"/>
  <c r="N30" i="96"/>
  <c r="N13" i="96"/>
  <c r="M13" i="96"/>
  <c r="N21" i="96"/>
  <c r="M21" i="96"/>
  <c r="N29" i="96"/>
  <c r="N35" i="96"/>
  <c r="M269" i="33"/>
  <c r="O71" i="18"/>
  <c r="N67" i="18"/>
  <c r="N74" i="18"/>
  <c r="M201" i="33"/>
  <c r="M206" i="33"/>
  <c r="N36" i="33"/>
  <c r="L146" i="33"/>
  <c r="L141" i="33"/>
  <c r="L38" i="96" a="1"/>
  <c r="L38" i="96"/>
  <c r="I12" i="96"/>
  <c r="L79" i="96"/>
  <c r="L89" i="96"/>
  <c r="L91" i="96"/>
  <c r="J79" i="96"/>
  <c r="I79" i="96"/>
  <c r="J87" i="96"/>
  <c r="I87" i="96"/>
  <c r="J95" i="96"/>
  <c r="I95" i="96"/>
  <c r="J78" i="96"/>
  <c r="I78" i="96"/>
  <c r="J86" i="96"/>
  <c r="I86" i="96"/>
  <c r="J94" i="96"/>
  <c r="I94" i="96"/>
  <c r="L74" i="96"/>
  <c r="L82" i="96"/>
  <c r="L90" i="96"/>
  <c r="L18" i="68"/>
  <c r="M9" i="68"/>
  <c r="M23" i="94"/>
  <c r="M13" i="289"/>
  <c r="M27" i="94"/>
  <c r="M28" i="94"/>
  <c r="M29" i="94"/>
  <c r="M40" i="94"/>
  <c r="M39" i="88"/>
  <c r="T471" i="91"/>
  <c r="L533" i="91"/>
  <c r="L1342" i="91"/>
  <c r="M196" i="33"/>
  <c r="A15" i="96"/>
  <c r="E15" i="96"/>
  <c r="A44" i="31"/>
  <c r="M126" i="33"/>
  <c r="M98" i="33"/>
  <c r="J12" i="38"/>
  <c r="N38" i="20"/>
  <c r="N39" i="20"/>
  <c r="A38" i="299"/>
  <c r="M229" i="33"/>
  <c r="M236" i="33"/>
  <c r="M243" i="33"/>
  <c r="S32" i="31"/>
  <c r="P782" i="91"/>
  <c r="L23" i="288"/>
  <c r="M156" i="33"/>
  <c r="E18" i="96"/>
  <c r="A18" i="96"/>
  <c r="I11" i="88"/>
  <c r="M191" i="33"/>
  <c r="E51" i="96"/>
  <c r="A51" i="96"/>
  <c r="A50" i="96"/>
  <c r="E50" i="96"/>
  <c r="I299" i="33"/>
  <c r="G85" i="68"/>
  <c r="H85" i="68"/>
  <c r="I85" i="68"/>
  <c r="J85" i="68"/>
  <c r="K85" i="68"/>
  <c r="L85" i="68"/>
  <c r="M85" i="68"/>
  <c r="N85" i="68"/>
  <c r="O85" i="68"/>
  <c r="P85" i="68"/>
  <c r="Q85" i="68"/>
  <c r="R85" i="68"/>
  <c r="S85" i="68"/>
  <c r="T85" i="68"/>
  <c r="U85" i="68"/>
  <c r="V85" i="68"/>
  <c r="W85" i="68"/>
  <c r="X85" i="68"/>
  <c r="Y85" i="68"/>
  <c r="Z85" i="68"/>
  <c r="AA85" i="68"/>
  <c r="AB85" i="68"/>
  <c r="AC85" i="68"/>
  <c r="AD85" i="68"/>
  <c r="AE85" i="68"/>
  <c r="N22" i="55"/>
  <c r="O73" i="18"/>
  <c r="O23" i="33"/>
  <c r="E24" i="96"/>
  <c r="A24" i="96"/>
  <c r="E37" i="96"/>
  <c r="A37" i="96"/>
  <c r="P19" i="96"/>
  <c r="N28" i="96"/>
  <c r="P35" i="96"/>
  <c r="N18" i="96"/>
  <c r="M18" i="96"/>
  <c r="N27" i="96"/>
  <c r="N36" i="96"/>
  <c r="P24" i="96"/>
  <c r="P31" i="96"/>
  <c r="N15" i="96"/>
  <c r="M15" i="96"/>
  <c r="N23" i="96"/>
  <c r="M23" i="96"/>
  <c r="P30" i="96"/>
  <c r="I13" i="68"/>
  <c r="M171" i="33"/>
  <c r="L216" i="33"/>
  <c r="Y813" i="91"/>
  <c r="ED274" i="91"/>
  <c r="ED225" i="91"/>
  <c r="ED233" i="91"/>
  <c r="ED258" i="91"/>
  <c r="ED224" i="91"/>
  <c r="ED228" i="91"/>
  <c r="ED243" i="91"/>
  <c r="ED271" i="91"/>
  <c r="ED257" i="91"/>
  <c r="ED227" i="91"/>
  <c r="ED246" i="91"/>
  <c r="ED265" i="91"/>
  <c r="ED223" i="91"/>
  <c r="ED229" i="91"/>
  <c r="ED239" i="91"/>
  <c r="ED255" i="91"/>
  <c r="ED248" i="91"/>
  <c r="W627" i="91"/>
  <c r="ED245" i="91"/>
  <c r="ED254" i="91"/>
  <c r="ED273" i="91"/>
  <c r="ED270" i="91"/>
  <c r="ED260" i="91"/>
  <c r="ED242" i="91"/>
  <c r="ED236" i="91"/>
  <c r="ED279" i="91"/>
  <c r="ED261" i="91"/>
  <c r="ED277" i="91"/>
  <c r="ED256" i="91"/>
  <c r="ED264" i="91"/>
  <c r="ED275" i="91"/>
  <c r="ED262" i="91"/>
  <c r="ED240" i="91"/>
  <c r="ED244" i="91"/>
  <c r="ED247" i="91"/>
  <c r="ED226" i="91"/>
  <c r="ED241" i="91"/>
  <c r="ED237" i="91"/>
  <c r="ED269" i="91"/>
  <c r="ED235" i="91"/>
  <c r="ED238" i="91"/>
  <c r="ED231" i="91"/>
  <c r="ED232" i="91"/>
  <c r="ED267" i="91"/>
  <c r="ED276" i="91"/>
  <c r="ED263" i="91"/>
  <c r="ED234" i="91"/>
  <c r="ED268" i="91"/>
  <c r="ED266" i="91"/>
  <c r="ED278" i="91"/>
  <c r="ED230" i="91"/>
  <c r="ED259" i="91"/>
  <c r="ED272" i="91"/>
  <c r="K37" i="33"/>
  <c r="K72" i="33"/>
  <c r="Y1125" i="91"/>
  <c r="K13" i="88"/>
  <c r="L45" i="33"/>
  <c r="L14" i="94"/>
  <c r="T533" i="91"/>
  <c r="L95" i="33"/>
  <c r="U533" i="91"/>
  <c r="V533" i="91"/>
  <c r="J12" i="94"/>
  <c r="J12" i="88"/>
  <c r="W1156" i="91"/>
  <c r="W1218" i="91"/>
  <c r="AA97" i="81"/>
  <c r="BB45" i="80"/>
  <c r="K38" i="33"/>
  <c r="K311" i="33"/>
  <c r="N98" i="33"/>
  <c r="C33" i="68"/>
  <c r="M141" i="33"/>
  <c r="N201" i="33"/>
  <c r="N274" i="33"/>
  <c r="N131" i="33"/>
  <c r="K14" i="88"/>
  <c r="N39" i="288"/>
  <c r="N220" i="33"/>
  <c r="N22" i="289"/>
  <c r="N116" i="33"/>
  <c r="B1" i="31"/>
  <c r="E32" i="78"/>
  <c r="F32" i="78"/>
  <c r="M90" i="75"/>
  <c r="N9" i="75"/>
  <c r="O31" i="33"/>
  <c r="AZ38" i="80"/>
  <c r="AB13" i="39"/>
  <c r="AZ39" i="80"/>
  <c r="AA13" i="39"/>
  <c r="AZ40" i="80"/>
  <c r="Z13" i="39"/>
  <c r="AZ41" i="80"/>
  <c r="Y13" i="39"/>
  <c r="AZ42" i="80"/>
  <c r="X13" i="39"/>
  <c r="AZ43" i="80"/>
  <c r="W13" i="39"/>
  <c r="L60" i="68"/>
  <c r="L54" i="33"/>
  <c r="L16" i="94"/>
  <c r="L58" i="33"/>
  <c r="L17" i="94"/>
  <c r="L62" i="33"/>
  <c r="L18" i="94"/>
  <c r="L326" i="33"/>
  <c r="L50" i="33"/>
  <c r="L15" i="94"/>
  <c r="L66" i="33"/>
  <c r="L19" i="94"/>
  <c r="L71" i="33"/>
  <c r="L20" i="94"/>
  <c r="L33" i="33"/>
  <c r="L37" i="33"/>
  <c r="M28" i="33"/>
  <c r="M95" i="33"/>
  <c r="L10" i="94"/>
  <c r="L13" i="88"/>
  <c r="L315" i="33"/>
  <c r="M54" i="288"/>
  <c r="M29" i="289"/>
  <c r="N282" i="33"/>
  <c r="N181" i="33"/>
  <c r="J317" i="33"/>
  <c r="J36" i="94"/>
  <c r="N6" i="68"/>
  <c r="K13" i="68"/>
  <c r="O9" i="88"/>
  <c r="O9" i="288"/>
  <c r="O9" i="289"/>
  <c r="O39" i="289"/>
  <c r="O9" i="94"/>
  <c r="O306" i="33"/>
  <c r="O103" i="33"/>
  <c r="N279" i="33"/>
  <c r="K18" i="88"/>
  <c r="O1312" i="91"/>
  <c r="O1280" i="91"/>
  <c r="O1462" i="91"/>
  <c r="Q45" i="72"/>
  <c r="O1494" i="91"/>
  <c r="AA63" i="80"/>
  <c r="I21" i="88"/>
  <c r="I46" i="94"/>
  <c r="I43" i="94"/>
  <c r="I42" i="88"/>
  <c r="P68" i="96"/>
  <c r="N67" i="96"/>
  <c r="M67" i="96"/>
  <c r="P66" i="96"/>
  <c r="N63" i="96"/>
  <c r="M63" i="96"/>
  <c r="P62" i="96"/>
  <c r="N59" i="96"/>
  <c r="M59" i="96"/>
  <c r="P58" i="96"/>
  <c r="P55" i="96"/>
  <c r="P53" i="96"/>
  <c r="P51" i="96"/>
  <c r="P49" i="96"/>
  <c r="P47" i="96"/>
  <c r="P45" i="96"/>
  <c r="P43" i="96"/>
  <c r="N68" i="96"/>
  <c r="M68" i="96"/>
  <c r="N66" i="96"/>
  <c r="M66" i="96"/>
  <c r="P65" i="96"/>
  <c r="N62" i="96"/>
  <c r="M62" i="96"/>
  <c r="P61" i="96"/>
  <c r="N58" i="96"/>
  <c r="M58" i="96"/>
  <c r="P57" i="96"/>
  <c r="N55" i="96"/>
  <c r="M55" i="96"/>
  <c r="N53" i="96"/>
  <c r="M53" i="96"/>
  <c r="N51" i="96"/>
  <c r="M51" i="96"/>
  <c r="N49" i="96"/>
  <c r="M49" i="96"/>
  <c r="N47" i="96"/>
  <c r="M47" i="96"/>
  <c r="N45" i="96"/>
  <c r="M45" i="96"/>
  <c r="N43" i="96"/>
  <c r="P67" i="96"/>
  <c r="N64" i="96"/>
  <c r="M64" i="96"/>
  <c r="P63" i="96"/>
  <c r="N60" i="96"/>
  <c r="M60" i="96"/>
  <c r="P59" i="96"/>
  <c r="N56" i="96"/>
  <c r="M56" i="96"/>
  <c r="N54" i="96"/>
  <c r="M54" i="96"/>
  <c r="N52" i="96"/>
  <c r="M52" i="96"/>
  <c r="N50" i="96"/>
  <c r="M50" i="96"/>
  <c r="N48" i="96"/>
  <c r="M48" i="96"/>
  <c r="N46" i="96"/>
  <c r="M46" i="96"/>
  <c r="N65" i="96"/>
  <c r="M65" i="96"/>
  <c r="P56" i="96"/>
  <c r="P48" i="96"/>
  <c r="N61" i="96"/>
  <c r="M61" i="96"/>
  <c r="P54" i="96"/>
  <c r="P46" i="96"/>
  <c r="P64" i="96"/>
  <c r="N57" i="96"/>
  <c r="M57" i="96"/>
  <c r="P52" i="96"/>
  <c r="P44" i="96"/>
  <c r="P60" i="96"/>
  <c r="P50" i="96"/>
  <c r="N44" i="96"/>
  <c r="M44" i="96"/>
  <c r="N48" i="33"/>
  <c r="M22" i="288"/>
  <c r="N154" i="33"/>
  <c r="N211" i="33"/>
  <c r="K35" i="88"/>
  <c r="N171" i="33"/>
  <c r="I14" i="289"/>
  <c r="I38" i="94"/>
  <c r="M23" i="288"/>
  <c r="N156" i="33"/>
  <c r="L19" i="289"/>
  <c r="L316" i="33"/>
  <c r="L150" i="33"/>
  <c r="L35" i="94"/>
  <c r="N206" i="33"/>
  <c r="G48" i="20"/>
  <c r="G51" i="20"/>
  <c r="M50" i="20"/>
  <c r="H207" i="97"/>
  <c r="L206" i="97"/>
  <c r="M206" i="97"/>
  <c r="M207" i="97"/>
  <c r="N166" i="33"/>
  <c r="N23" i="94"/>
  <c r="N13" i="289"/>
  <c r="N27" i="94"/>
  <c r="N28" i="94"/>
  <c r="N29" i="94"/>
  <c r="N40" i="94"/>
  <c r="M1462" i="91"/>
  <c r="M1494" i="91"/>
  <c r="M1312" i="91"/>
  <c r="M1280" i="91"/>
  <c r="H24" i="289"/>
  <c r="H227" i="33"/>
  <c r="M45" i="288"/>
  <c r="M250" i="33"/>
  <c r="M27" i="289"/>
  <c r="N248" i="33"/>
  <c r="N161" i="33"/>
  <c r="I36" i="88"/>
  <c r="I37" i="94"/>
  <c r="L50" i="20"/>
  <c r="O50" i="20"/>
  <c r="O49" i="20"/>
  <c r="P63" i="80"/>
  <c r="K10" i="88"/>
  <c r="K41" i="94"/>
  <c r="K40" i="88"/>
  <c r="K23" i="88"/>
  <c r="K29" i="88"/>
  <c r="K27" i="88"/>
  <c r="K28" i="88"/>
  <c r="K19" i="88"/>
  <c r="K17" i="88"/>
  <c r="L14" i="88"/>
  <c r="L25" i="68"/>
  <c r="N1280" i="91"/>
  <c r="N1462" i="91"/>
  <c r="N1494" i="91"/>
  <c r="N1312" i="91"/>
  <c r="S533" i="91"/>
  <c r="I234" i="33"/>
  <c r="N264" i="33"/>
  <c r="P26" i="33"/>
  <c r="O28" i="33"/>
  <c r="O325" i="33"/>
  <c r="O288" i="33"/>
  <c r="O77" i="33"/>
  <c r="O106" i="33"/>
  <c r="O85" i="33"/>
  <c r="O24" i="33"/>
  <c r="O218" i="33"/>
  <c r="O222" i="33"/>
  <c r="O299" i="33"/>
  <c r="P23" i="33"/>
  <c r="N126" i="33"/>
  <c r="M146" i="33"/>
  <c r="O74" i="18"/>
  <c r="O67" i="18"/>
  <c r="P71" i="18"/>
  <c r="N136" i="33"/>
  <c r="N43" i="33"/>
  <c r="N259" i="33"/>
  <c r="O22" i="55"/>
  <c r="P73" i="18"/>
  <c r="N196" i="33"/>
  <c r="I241" i="33"/>
  <c r="P38" i="96" a="1"/>
  <c r="P38" i="96"/>
  <c r="M216" i="33"/>
  <c r="N191" i="33"/>
  <c r="P1462" i="91"/>
  <c r="Q11" i="72"/>
  <c r="P1494" i="91"/>
  <c r="P1312" i="91"/>
  <c r="P1280" i="91"/>
  <c r="L12" i="38"/>
  <c r="J39" i="38"/>
  <c r="J41" i="38"/>
  <c r="J43" i="38"/>
  <c r="J38" i="38"/>
  <c r="J40" i="38"/>
  <c r="J42" i="38"/>
  <c r="N9" i="68"/>
  <c r="M18" i="68"/>
  <c r="O36" i="33"/>
  <c r="N269" i="33"/>
  <c r="K1312" i="91"/>
  <c r="K1280" i="91"/>
  <c r="K1462" i="91"/>
  <c r="K1494" i="91"/>
  <c r="N97" i="96"/>
  <c r="M97" i="96"/>
  <c r="N95" i="96"/>
  <c r="M95" i="96"/>
  <c r="N93" i="96"/>
  <c r="M93" i="96"/>
  <c r="N91" i="96"/>
  <c r="M91" i="96"/>
  <c r="N89" i="96"/>
  <c r="M89" i="96"/>
  <c r="N87" i="96"/>
  <c r="M87" i="96"/>
  <c r="N85" i="96"/>
  <c r="M85" i="96"/>
  <c r="N83" i="96"/>
  <c r="M83" i="96"/>
  <c r="N81" i="96"/>
  <c r="M81" i="96"/>
  <c r="N79" i="96"/>
  <c r="M79" i="96"/>
  <c r="N77" i="96"/>
  <c r="M77" i="96"/>
  <c r="N75" i="96"/>
  <c r="M75" i="96"/>
  <c r="P99" i="96"/>
  <c r="P98" i="96"/>
  <c r="P96" i="96"/>
  <c r="P94" i="96"/>
  <c r="P92" i="96"/>
  <c r="P90" i="96"/>
  <c r="P88" i="96"/>
  <c r="P86" i="96"/>
  <c r="P84" i="96"/>
  <c r="P82" i="96"/>
  <c r="P80" i="96"/>
  <c r="P78" i="96"/>
  <c r="P76" i="96"/>
  <c r="P74" i="96"/>
  <c r="P97" i="96"/>
  <c r="P95" i="96"/>
  <c r="P93" i="96"/>
  <c r="P91" i="96"/>
  <c r="P89" i="96"/>
  <c r="P87" i="96"/>
  <c r="P85" i="96"/>
  <c r="P83" i="96"/>
  <c r="P81" i="96"/>
  <c r="P79" i="96"/>
  <c r="P77" i="96"/>
  <c r="P75" i="96"/>
  <c r="N94" i="96"/>
  <c r="M94" i="96"/>
  <c r="N86" i="96"/>
  <c r="M86" i="96"/>
  <c r="N78" i="96"/>
  <c r="M78" i="96"/>
  <c r="N92" i="96"/>
  <c r="M92" i="96"/>
  <c r="N84" i="96"/>
  <c r="M84" i="96"/>
  <c r="N76" i="96"/>
  <c r="M76" i="96"/>
  <c r="N98" i="96"/>
  <c r="M98" i="96"/>
  <c r="N90" i="96"/>
  <c r="M90" i="96"/>
  <c r="N82" i="96"/>
  <c r="M82" i="96"/>
  <c r="N74" i="96"/>
  <c r="N99" i="96"/>
  <c r="M99" i="96"/>
  <c r="N96" i="96"/>
  <c r="M96" i="96"/>
  <c r="N88" i="96"/>
  <c r="M88" i="96"/>
  <c r="N80" i="96"/>
  <c r="M80" i="96"/>
  <c r="L14" i="68"/>
  <c r="N40" i="288"/>
  <c r="N224" i="33"/>
  <c r="N23" i="289"/>
  <c r="N229" i="33"/>
  <c r="N236" i="33"/>
  <c r="N243" i="33"/>
  <c r="J20" i="39"/>
  <c r="I73" i="33"/>
  <c r="I312" i="33"/>
  <c r="J14" i="289"/>
  <c r="J38" i="94"/>
  <c r="J37" i="88"/>
  <c r="L1312" i="91"/>
  <c r="L1462" i="91"/>
  <c r="L1280" i="91"/>
  <c r="L1494" i="91"/>
  <c r="EE221" i="91"/>
  <c r="L100" i="96" a="1"/>
  <c r="L100" i="96"/>
  <c r="I74" i="96"/>
  <c r="K327" i="33"/>
  <c r="K11" i="94"/>
  <c r="K20" i="88"/>
  <c r="K15" i="88"/>
  <c r="N121" i="33"/>
  <c r="I22" i="68"/>
  <c r="J72" i="33"/>
  <c r="J311" i="33"/>
  <c r="J38" i="33"/>
  <c r="M46" i="288"/>
  <c r="M254" i="33"/>
  <c r="M28" i="289"/>
  <c r="N252" i="33"/>
  <c r="N111" i="33"/>
  <c r="K295" i="33"/>
  <c r="K299" i="33"/>
  <c r="L297" i="33"/>
  <c r="N176" i="33"/>
  <c r="J42" i="94"/>
  <c r="J41" i="88"/>
  <c r="EE276" i="91"/>
  <c r="EE238" i="91"/>
  <c r="EE243" i="91"/>
  <c r="EE279" i="91"/>
  <c r="EE230" i="91"/>
  <c r="EE245" i="91"/>
  <c r="EE244" i="91"/>
  <c r="EE263" i="91"/>
  <c r="EE231" i="91"/>
  <c r="EE242" i="91"/>
  <c r="EE278" i="91"/>
  <c r="EE235" i="91"/>
  <c r="EE255" i="91"/>
  <c r="EE226" i="91"/>
  <c r="EE256" i="91"/>
  <c r="EE270" i="91"/>
  <c r="EE277" i="91"/>
  <c r="Y596" i="91"/>
  <c r="EE265" i="91"/>
  <c r="EE259" i="91"/>
  <c r="EE223" i="91"/>
  <c r="EE272" i="91"/>
  <c r="EE236" i="91"/>
  <c r="EE232" i="91"/>
  <c r="EE269" i="91"/>
  <c r="EE228" i="91"/>
  <c r="EE267" i="91"/>
  <c r="EE254" i="91"/>
  <c r="EE257" i="91"/>
  <c r="EE237" i="91"/>
  <c r="EE240" i="91"/>
  <c r="EE275" i="91"/>
  <c r="EE239" i="91"/>
  <c r="EE246" i="91"/>
  <c r="X627" i="91"/>
  <c r="EE274" i="91"/>
  <c r="EE234" i="91"/>
  <c r="EE273" i="91"/>
  <c r="EE248" i="91"/>
  <c r="EE268" i="91"/>
  <c r="EE224" i="91"/>
  <c r="EE225" i="91"/>
  <c r="EE262" i="91"/>
  <c r="EE258" i="91"/>
  <c r="EE264" i="91"/>
  <c r="EE261" i="91"/>
  <c r="EE266" i="91"/>
  <c r="EE241" i="91"/>
  <c r="EE271" i="91"/>
  <c r="EE229" i="91"/>
  <c r="EE247" i="91"/>
  <c r="EE233" i="91"/>
  <c r="EE227" i="91"/>
  <c r="EE260" i="91"/>
  <c r="Y627" i="91"/>
  <c r="J45" i="94"/>
  <c r="L17" i="88"/>
  <c r="J21" i="94"/>
  <c r="O51" i="20"/>
  <c r="ED304" i="91"/>
  <c r="ED298" i="91"/>
  <c r="ED293" i="91"/>
  <c r="ED309" i="91"/>
  <c r="ED299" i="91"/>
  <c r="ED294" i="91"/>
  <c r="ED292" i="91"/>
  <c r="ED308" i="91"/>
  <c r="ED310" i="91"/>
  <c r="ED297" i="91"/>
  <c r="ED287" i="91"/>
  <c r="ED303" i="91"/>
  <c r="ED306" i="91"/>
  <c r="ED302" i="91"/>
  <c r="ED296" i="91"/>
  <c r="ED286" i="91"/>
  <c r="ED285" i="91"/>
  <c r="ED301" i="91"/>
  <c r="ED291" i="91"/>
  <c r="ED307" i="91"/>
  <c r="ED288" i="91"/>
  <c r="ED300" i="91"/>
  <c r="ED290" i="91"/>
  <c r="ED289" i="91"/>
  <c r="ED305" i="91"/>
  <c r="ED295" i="91"/>
  <c r="M45" i="33"/>
  <c r="M14" i="94"/>
  <c r="X1156" i="91"/>
  <c r="X1218" i="91"/>
  <c r="AB97" i="81"/>
  <c r="BE45" i="80"/>
  <c r="Y1218" i="91"/>
  <c r="AC97" i="81"/>
  <c r="Y1156" i="91"/>
  <c r="K14" i="289"/>
  <c r="K38" i="94"/>
  <c r="K37" i="88"/>
  <c r="M19" i="289"/>
  <c r="M20" i="289"/>
  <c r="M150" i="33"/>
  <c r="M316" i="33"/>
  <c r="M35" i="94"/>
  <c r="M14" i="68"/>
  <c r="M21" i="68"/>
  <c r="M297" i="33"/>
  <c r="L295" i="33"/>
  <c r="J73" i="33"/>
  <c r="J312" i="33"/>
  <c r="K10" i="63"/>
  <c r="K44" i="63"/>
  <c r="O136" i="33"/>
  <c r="N146" i="33"/>
  <c r="O39" i="288"/>
  <c r="O220" i="33"/>
  <c r="O22" i="289"/>
  <c r="O60" i="68"/>
  <c r="O58" i="33"/>
  <c r="O62" i="33"/>
  <c r="O50" i="33"/>
  <c r="O66" i="33"/>
  <c r="O54" i="33"/>
  <c r="O326" i="33"/>
  <c r="O71" i="33"/>
  <c r="O206" i="33"/>
  <c r="L20" i="289"/>
  <c r="S45" i="72"/>
  <c r="S55" i="72"/>
  <c r="S52" i="72"/>
  <c r="S53" i="72"/>
  <c r="S56" i="72"/>
  <c r="S50" i="72"/>
  <c r="S54" i="72"/>
  <c r="S51" i="72"/>
  <c r="S48" i="72"/>
  <c r="S49" i="72"/>
  <c r="S47" i="72"/>
  <c r="O59" i="288"/>
  <c r="O62" i="288"/>
  <c r="M19" i="68"/>
  <c r="J37" i="94"/>
  <c r="J36" i="88"/>
  <c r="L10" i="88"/>
  <c r="L41" i="94"/>
  <c r="L40" i="88"/>
  <c r="L28" i="88"/>
  <c r="L23" i="88"/>
  <c r="L27" i="88"/>
  <c r="L29" i="88"/>
  <c r="L38" i="33"/>
  <c r="L72" i="33"/>
  <c r="L311" i="33"/>
  <c r="L16" i="88"/>
  <c r="P31" i="33"/>
  <c r="P28" i="33"/>
  <c r="O131" i="33"/>
  <c r="N141" i="33"/>
  <c r="O166" i="33"/>
  <c r="L35" i="88"/>
  <c r="N23" i="288"/>
  <c r="O156" i="33"/>
  <c r="O171" i="33"/>
  <c r="M43" i="96"/>
  <c r="P69" i="96" a="1"/>
  <c r="P69" i="96"/>
  <c r="O13" i="88"/>
  <c r="O17" i="88"/>
  <c r="O22" i="88"/>
  <c r="O14" i="88"/>
  <c r="O18" i="88"/>
  <c r="O23" i="88"/>
  <c r="O24" i="88"/>
  <c r="O26" i="88"/>
  <c r="O27" i="88"/>
  <c r="O28" i="88"/>
  <c r="O29" i="88"/>
  <c r="O30" i="88"/>
  <c r="O10" i="88"/>
  <c r="O15" i="88"/>
  <c r="O19" i="88"/>
  <c r="O32" i="88"/>
  <c r="O11" i="88"/>
  <c r="O12" i="88"/>
  <c r="O16" i="88"/>
  <c r="O20" i="88"/>
  <c r="O21" i="88"/>
  <c r="O33" i="88"/>
  <c r="O35" i="88"/>
  <c r="O36" i="88"/>
  <c r="O37" i="88"/>
  <c r="O6" i="68"/>
  <c r="N29" i="289"/>
  <c r="N54" i="288"/>
  <c r="O282" i="33"/>
  <c r="M60" i="68"/>
  <c r="M50" i="33"/>
  <c r="M15" i="94"/>
  <c r="M66" i="33"/>
  <c r="M19" i="94"/>
  <c r="M54" i="33"/>
  <c r="M16" i="94"/>
  <c r="M326" i="33"/>
  <c r="M58" i="33"/>
  <c r="M17" i="94"/>
  <c r="M62" i="33"/>
  <c r="M18" i="94"/>
  <c r="M71" i="33"/>
  <c r="M20" i="94"/>
  <c r="M315" i="33"/>
  <c r="N28" i="33"/>
  <c r="N95" i="33"/>
  <c r="N14" i="68"/>
  <c r="N21" i="68"/>
  <c r="M33" i="33"/>
  <c r="M10" i="94"/>
  <c r="L20" i="88"/>
  <c r="O116" i="33"/>
  <c r="O98" i="33"/>
  <c r="O121" i="33"/>
  <c r="O176" i="33"/>
  <c r="K317" i="33"/>
  <c r="K36" i="94"/>
  <c r="K11" i="88"/>
  <c r="L21" i="68"/>
  <c r="L22" i="68"/>
  <c r="O269" i="33"/>
  <c r="C34" i="68"/>
  <c r="S11" i="72"/>
  <c r="S21" i="72"/>
  <c r="S22" i="72"/>
  <c r="S16" i="72"/>
  <c r="S20" i="72"/>
  <c r="S15" i="72"/>
  <c r="S14" i="72"/>
  <c r="S19" i="72"/>
  <c r="S17" i="72"/>
  <c r="S18" i="72"/>
  <c r="S13" i="72"/>
  <c r="O126" i="33"/>
  <c r="P218" i="33"/>
  <c r="P222" i="33"/>
  <c r="P299" i="33"/>
  <c r="P24" i="33"/>
  <c r="Q26" i="33"/>
  <c r="P288" i="33"/>
  <c r="P77" i="33"/>
  <c r="P325" i="33"/>
  <c r="P106" i="33"/>
  <c r="P85" i="33"/>
  <c r="Q23" i="33"/>
  <c r="L100" i="33"/>
  <c r="O229" i="33"/>
  <c r="O236" i="33"/>
  <c r="O243" i="33"/>
  <c r="P9" i="289"/>
  <c r="P39" i="289"/>
  <c r="P9" i="88"/>
  <c r="P9" i="288"/>
  <c r="P9" i="94"/>
  <c r="P306" i="33"/>
  <c r="P103" i="33"/>
  <c r="O264" i="33"/>
  <c r="L13" i="68"/>
  <c r="M25" i="68"/>
  <c r="G78" i="68"/>
  <c r="O161" i="33"/>
  <c r="H42" i="288"/>
  <c r="I232" i="33"/>
  <c r="N22" i="288"/>
  <c r="O154" i="33"/>
  <c r="AB63" i="80"/>
  <c r="J43" i="94"/>
  <c r="J42" i="88"/>
  <c r="J21" i="88"/>
  <c r="J46" i="94"/>
  <c r="O111" i="33"/>
  <c r="N46" i="288"/>
  <c r="N254" i="33"/>
  <c r="N28" i="289"/>
  <c r="O252" i="33"/>
  <c r="EF221" i="91"/>
  <c r="N20" i="39"/>
  <c r="L20" i="39"/>
  <c r="M74" i="96"/>
  <c r="P100" i="96" a="1"/>
  <c r="P100" i="96"/>
  <c r="N18" i="68"/>
  <c r="O9" i="68"/>
  <c r="G10" i="63"/>
  <c r="G44" i="63"/>
  <c r="O191" i="33"/>
  <c r="N216" i="33"/>
  <c r="I44" i="288"/>
  <c r="J246" i="33"/>
  <c r="J245" i="33"/>
  <c r="J26" i="289"/>
  <c r="O196" i="33"/>
  <c r="M40" i="33"/>
  <c r="M13" i="94"/>
  <c r="J307" i="33"/>
  <c r="O14" i="289"/>
  <c r="O315" i="33"/>
  <c r="I43" i="288"/>
  <c r="J239" i="33"/>
  <c r="J238" i="33"/>
  <c r="J25" i="289"/>
  <c r="N45" i="288"/>
  <c r="N250" i="33"/>
  <c r="N27" i="289"/>
  <c r="O248" i="33"/>
  <c r="H30" i="289"/>
  <c r="O279" i="33"/>
  <c r="O17" i="94"/>
  <c r="O32" i="94"/>
  <c r="O33" i="94"/>
  <c r="O35" i="94"/>
  <c r="O36" i="94"/>
  <c r="O37" i="94"/>
  <c r="O38" i="94"/>
  <c r="O40" i="94"/>
  <c r="O39" i="88"/>
  <c r="O41" i="94"/>
  <c r="O40" i="88"/>
  <c r="O42" i="94"/>
  <c r="O41" i="88"/>
  <c r="O43" i="94"/>
  <c r="O42" i="88"/>
  <c r="O44" i="94"/>
  <c r="O43" i="88"/>
  <c r="O45" i="94"/>
  <c r="O46" i="94"/>
  <c r="O47" i="94"/>
  <c r="O12" i="94"/>
  <c r="O13" i="94"/>
  <c r="O14" i="94"/>
  <c r="O18" i="94"/>
  <c r="O10" i="94"/>
  <c r="O11" i="94"/>
  <c r="O15" i="94"/>
  <c r="O19" i="94"/>
  <c r="O16" i="94"/>
  <c r="O20" i="94"/>
  <c r="O21" i="94"/>
  <c r="O22" i="94"/>
  <c r="O12" i="289"/>
  <c r="O23" i="94"/>
  <c r="O13" i="289"/>
  <c r="O24" i="94"/>
  <c r="O26" i="94"/>
  <c r="O27" i="94"/>
  <c r="O28" i="94"/>
  <c r="O29" i="94"/>
  <c r="O30" i="94"/>
  <c r="L327" i="33"/>
  <c r="L11" i="94"/>
  <c r="L11" i="88"/>
  <c r="L19" i="88"/>
  <c r="L18" i="88"/>
  <c r="O9" i="75"/>
  <c r="N90" i="75"/>
  <c r="O274" i="33"/>
  <c r="O201" i="33"/>
  <c r="U14" i="39"/>
  <c r="BB13" i="80"/>
  <c r="BC13" i="80"/>
  <c r="BB25" i="80"/>
  <c r="BC25" i="80"/>
  <c r="BB27" i="80"/>
  <c r="BC27" i="80"/>
  <c r="BB36" i="80"/>
  <c r="BC36" i="80"/>
  <c r="BB32" i="80"/>
  <c r="BC32" i="80"/>
  <c r="BB28" i="80"/>
  <c r="BC28" i="80"/>
  <c r="BB24" i="80"/>
  <c r="BC24" i="80"/>
  <c r="BB20" i="80"/>
  <c r="BC20" i="80"/>
  <c r="BB16" i="80"/>
  <c r="BC16" i="80"/>
  <c r="BB21" i="80"/>
  <c r="BC21" i="80"/>
  <c r="BB31" i="80"/>
  <c r="BC31" i="80"/>
  <c r="BB15" i="80"/>
  <c r="BC15" i="80"/>
  <c r="BB12" i="80"/>
  <c r="BB34" i="80"/>
  <c r="BC34" i="80"/>
  <c r="BB30" i="80"/>
  <c r="BC30" i="80"/>
  <c r="BB26" i="80"/>
  <c r="BC26" i="80"/>
  <c r="BB22" i="80"/>
  <c r="BC22" i="80"/>
  <c r="BB18" i="80"/>
  <c r="BC18" i="80"/>
  <c r="BB14" i="80"/>
  <c r="BC14" i="80"/>
  <c r="BB35" i="80"/>
  <c r="BC35" i="80"/>
  <c r="BB19" i="80"/>
  <c r="BC19" i="80"/>
  <c r="BB33" i="80"/>
  <c r="BC33" i="80"/>
  <c r="BB17" i="80"/>
  <c r="BC17" i="80"/>
  <c r="BB23" i="80"/>
  <c r="BC23" i="80"/>
  <c r="BB29" i="80"/>
  <c r="BC29" i="80"/>
  <c r="O33" i="33"/>
  <c r="O37" i="33"/>
  <c r="P36" i="33"/>
  <c r="L38" i="38"/>
  <c r="L40" i="38"/>
  <c r="L42" i="38"/>
  <c r="L39" i="38"/>
  <c r="L41" i="38"/>
  <c r="L43" i="38"/>
  <c r="P12" i="38"/>
  <c r="G11" i="72"/>
  <c r="G45" i="72"/>
  <c r="P22" i="55"/>
  <c r="Q73" i="18"/>
  <c r="O259" i="33"/>
  <c r="N40" i="33"/>
  <c r="N13" i="94"/>
  <c r="O43" i="33"/>
  <c r="Q71" i="18"/>
  <c r="P74" i="18"/>
  <c r="P67" i="18"/>
  <c r="O40" i="288"/>
  <c r="O224" i="33"/>
  <c r="O23" i="289"/>
  <c r="K12" i="94"/>
  <c r="W86" i="68"/>
  <c r="AC86" i="68"/>
  <c r="G31" i="56"/>
  <c r="O23" i="55"/>
  <c r="H76" i="18"/>
  <c r="H35" i="75"/>
  <c r="H77" i="75"/>
  <c r="L76" i="18"/>
  <c r="L35" i="75"/>
  <c r="L77" i="75"/>
  <c r="N39" i="88"/>
  <c r="I37" i="88"/>
  <c r="O211" i="33"/>
  <c r="N45" i="33"/>
  <c r="N14" i="94"/>
  <c r="O48" i="33"/>
  <c r="O181" i="33"/>
  <c r="L307" i="33"/>
  <c r="L15" i="88"/>
  <c r="K73" i="33"/>
  <c r="K312" i="33"/>
  <c r="K309" i="33"/>
  <c r="AC45" i="81"/>
  <c r="BS45" i="80"/>
  <c r="B1" i="20"/>
  <c r="E46" i="78"/>
  <c r="F46" i="78"/>
  <c r="EF256" i="91"/>
  <c r="EF225" i="91"/>
  <c r="EF243" i="91"/>
  <c r="EF234" i="91"/>
  <c r="EF254" i="91"/>
  <c r="EF271" i="91"/>
  <c r="EF268" i="91"/>
  <c r="EF233" i="91"/>
  <c r="EF269" i="91"/>
  <c r="EF235" i="91"/>
  <c r="EF240" i="91"/>
  <c r="EF244" i="91"/>
  <c r="EF248" i="91"/>
  <c r="EF270" i="91"/>
  <c r="EF257" i="91"/>
  <c r="EF258" i="91"/>
  <c r="EF261" i="91"/>
  <c r="EF267" i="91"/>
  <c r="EF230" i="91"/>
  <c r="EF247" i="91"/>
  <c r="EF265" i="91"/>
  <c r="EF228" i="91"/>
  <c r="EF275" i="91"/>
  <c r="EF278" i="91"/>
  <c r="EF274" i="91"/>
  <c r="EF242" i="91"/>
  <c r="EF224" i="91"/>
  <c r="EF279" i="91"/>
  <c r="EF272" i="91"/>
  <c r="EF226" i="91"/>
  <c r="EF277" i="91"/>
  <c r="EF231" i="91"/>
  <c r="EF232" i="91"/>
  <c r="EF263" i="91"/>
  <c r="EF262" i="91"/>
  <c r="EF223" i="91"/>
  <c r="EF260" i="91"/>
  <c r="EF236" i="91"/>
  <c r="EF227" i="91"/>
  <c r="EF264" i="91"/>
  <c r="EF255" i="91"/>
  <c r="EF259" i="91"/>
  <c r="EF237" i="91"/>
  <c r="EF241" i="91"/>
  <c r="EF266" i="91"/>
  <c r="EF238" i="91"/>
  <c r="EF273" i="91"/>
  <c r="EF229" i="91"/>
  <c r="EF245" i="91"/>
  <c r="EF246" i="91"/>
  <c r="EF239" i="91"/>
  <c r="EF276" i="91"/>
  <c r="J76" i="18"/>
  <c r="J35" i="75"/>
  <c r="J77" i="75"/>
  <c r="K23" i="55"/>
  <c r="M86" i="68"/>
  <c r="G86" i="68"/>
  <c r="P77" i="18"/>
  <c r="X86" i="68"/>
  <c r="N76" i="18"/>
  <c r="N35" i="75"/>
  <c r="N77" i="75"/>
  <c r="S35" i="75"/>
  <c r="S77" i="75"/>
  <c r="R86" i="68"/>
  <c r="H86" i="68"/>
  <c r="K77" i="18"/>
  <c r="N23" i="55"/>
  <c r="AD86" i="68"/>
  <c r="I86" i="68"/>
  <c r="G23" i="55"/>
  <c r="S86" i="68"/>
  <c r="M77" i="18"/>
  <c r="Y41" i="56"/>
  <c r="I76" i="18"/>
  <c r="I35" i="75"/>
  <c r="I77" i="75"/>
  <c r="G77" i="18"/>
  <c r="R35" i="75"/>
  <c r="R77" i="75"/>
  <c r="I23" i="55"/>
  <c r="N86" i="68"/>
  <c r="Y86" i="68"/>
  <c r="T86" i="68"/>
  <c r="M76" i="18"/>
  <c r="M35" i="75"/>
  <c r="M77" i="75"/>
  <c r="K76" i="18"/>
  <c r="K35" i="75"/>
  <c r="K77" i="75"/>
  <c r="I77" i="18"/>
  <c r="G76" i="18"/>
  <c r="G35" i="75"/>
  <c r="G77" i="75"/>
  <c r="U35" i="75"/>
  <c r="U77" i="75"/>
  <c r="M23" i="55"/>
  <c r="J23" i="55"/>
  <c r="Z86" i="68"/>
  <c r="J86" i="68"/>
  <c r="U86" i="68"/>
  <c r="H23" i="55"/>
  <c r="P86" i="68"/>
  <c r="AE86" i="68"/>
  <c r="O86" i="68"/>
  <c r="N77" i="18"/>
  <c r="L77" i="18"/>
  <c r="J77" i="18"/>
  <c r="H77" i="18"/>
  <c r="T35" i="75"/>
  <c r="T77" i="75"/>
  <c r="P23" i="55"/>
  <c r="L23" i="55"/>
  <c r="L49" i="56"/>
  <c r="V86" i="68"/>
  <c r="C86" i="68"/>
  <c r="Q86" i="68"/>
  <c r="AB86" i="68"/>
  <c r="L86" i="68"/>
  <c r="AA86" i="68"/>
  <c r="K86" i="68"/>
  <c r="P76" i="18"/>
  <c r="P35" i="75"/>
  <c r="P77" i="75"/>
  <c r="M13" i="88"/>
  <c r="K101" i="33"/>
  <c r="B1" i="72"/>
  <c r="E21" i="78"/>
  <c r="F21" i="78"/>
  <c r="H309" i="33"/>
  <c r="Z45" i="81"/>
  <c r="BJ45" i="80"/>
  <c r="I307" i="33"/>
  <c r="J241" i="33"/>
  <c r="O77" i="18"/>
  <c r="O76" i="18"/>
  <c r="O35" i="75"/>
  <c r="O77" i="75"/>
  <c r="N19" i="68"/>
  <c r="N22" i="68"/>
  <c r="EE302" i="91"/>
  <c r="EE291" i="91"/>
  <c r="EE307" i="91"/>
  <c r="EE288" i="91"/>
  <c r="EE304" i="91"/>
  <c r="EE308" i="91"/>
  <c r="EE285" i="91"/>
  <c r="EE290" i="91"/>
  <c r="EE306" i="91"/>
  <c r="EE293" i="91"/>
  <c r="EE295" i="91"/>
  <c r="EE292" i="91"/>
  <c r="EE286" i="91"/>
  <c r="EE289" i="91"/>
  <c r="EE294" i="91"/>
  <c r="EE310" i="91"/>
  <c r="EE301" i="91"/>
  <c r="EE299" i="91"/>
  <c r="EE296" i="91"/>
  <c r="EE297" i="91"/>
  <c r="EE298" i="91"/>
  <c r="EE309" i="91"/>
  <c r="EE287" i="91"/>
  <c r="EE303" i="91"/>
  <c r="EE300" i="91"/>
  <c r="EE305" i="91"/>
  <c r="M18" i="88"/>
  <c r="J101" i="33"/>
  <c r="M20" i="88"/>
  <c r="M16" i="88"/>
  <c r="EF310" i="91"/>
  <c r="EF309" i="91"/>
  <c r="EF308" i="91"/>
  <c r="EF307" i="91"/>
  <c r="EF306" i="91"/>
  <c r="EF305" i="91"/>
  <c r="EF304" i="91"/>
  <c r="EF303" i="91"/>
  <c r="EF302" i="91"/>
  <c r="EF301" i="91"/>
  <c r="EF300" i="91"/>
  <c r="EF299" i="91"/>
  <c r="EF298" i="91"/>
  <c r="EF297" i="91"/>
  <c r="EF296" i="91"/>
  <c r="EF295" i="91"/>
  <c r="EF294" i="91"/>
  <c r="EF293" i="91"/>
  <c r="EF292" i="91"/>
  <c r="EF291" i="91"/>
  <c r="EF290" i="91"/>
  <c r="EF289" i="91"/>
  <c r="EF288" i="91"/>
  <c r="EF287" i="91"/>
  <c r="EF286" i="91"/>
  <c r="EF285" i="91"/>
  <c r="O38" i="33"/>
  <c r="O311" i="33"/>
  <c r="L261" i="33"/>
  <c r="L48" i="288"/>
  <c r="L158" i="33"/>
  <c r="L163" i="33"/>
  <c r="L25" i="288"/>
  <c r="L198" i="33"/>
  <c r="L35" i="288"/>
  <c r="L193" i="33"/>
  <c r="L34" i="288"/>
  <c r="L266" i="33"/>
  <c r="L49" i="288"/>
  <c r="L203" i="33"/>
  <c r="L36" i="288"/>
  <c r="L271" i="33"/>
  <c r="L50" i="288"/>
  <c r="L168" i="33"/>
  <c r="L26" i="288"/>
  <c r="L178" i="33"/>
  <c r="L28" i="288"/>
  <c r="L113" i="33"/>
  <c r="L13" i="288"/>
  <c r="L128" i="33"/>
  <c r="L16" i="288"/>
  <c r="L173" i="33"/>
  <c r="L27" i="288"/>
  <c r="L208" i="33"/>
  <c r="L37" i="288"/>
  <c r="L108" i="33"/>
  <c r="L276" i="33"/>
  <c r="L51" i="288"/>
  <c r="L256" i="33"/>
  <c r="L133" i="33"/>
  <c r="L17" i="288"/>
  <c r="L123" i="33"/>
  <c r="L15" i="288"/>
  <c r="L143" i="33"/>
  <c r="L19" i="288"/>
  <c r="L213" i="33"/>
  <c r="L38" i="288"/>
  <c r="L138" i="33"/>
  <c r="L18" i="288"/>
  <c r="P33" i="33"/>
  <c r="P37" i="33"/>
  <c r="Q36" i="33"/>
  <c r="A20" i="39"/>
  <c r="A21" i="39"/>
  <c r="P229" i="33"/>
  <c r="P236" i="33"/>
  <c r="P243" i="33"/>
  <c r="P269" i="33"/>
  <c r="K37" i="94"/>
  <c r="K36" i="88"/>
  <c r="M19" i="88"/>
  <c r="P38" i="38"/>
  <c r="P40" i="38"/>
  <c r="P42" i="38"/>
  <c r="P39" i="38"/>
  <c r="P41" i="38"/>
  <c r="P43" i="38"/>
  <c r="L50" i="38"/>
  <c r="J44" i="288"/>
  <c r="O216" i="33"/>
  <c r="O45" i="33"/>
  <c r="P48" i="33"/>
  <c r="BC12" i="80"/>
  <c r="BB38" i="80"/>
  <c r="BB39" i="80"/>
  <c r="BB40" i="80"/>
  <c r="BB41" i="80"/>
  <c r="BB42" i="80"/>
  <c r="BB43" i="80"/>
  <c r="P201" i="33"/>
  <c r="P9" i="75"/>
  <c r="O90" i="75"/>
  <c r="L101" i="33"/>
  <c r="P9" i="68"/>
  <c r="O18" i="68"/>
  <c r="EG221" i="91"/>
  <c r="O22" i="288"/>
  <c r="P154" i="33"/>
  <c r="H66" i="288"/>
  <c r="P264" i="33"/>
  <c r="P16" i="94"/>
  <c r="P20" i="94"/>
  <c r="P21" i="94"/>
  <c r="P22" i="94"/>
  <c r="P12" i="289"/>
  <c r="P23" i="94"/>
  <c r="P13" i="289"/>
  <c r="P24" i="94"/>
  <c r="P26" i="94"/>
  <c r="P27" i="94"/>
  <c r="P28" i="94"/>
  <c r="P29" i="94"/>
  <c r="P30" i="94"/>
  <c r="P17" i="94"/>
  <c r="P32" i="94"/>
  <c r="P33" i="94"/>
  <c r="P35" i="94"/>
  <c r="P36" i="94"/>
  <c r="P37" i="94"/>
  <c r="P38" i="94"/>
  <c r="P40" i="94"/>
  <c r="P39" i="88"/>
  <c r="P41" i="94"/>
  <c r="P40" i="88"/>
  <c r="P42" i="94"/>
  <c r="P41" i="88"/>
  <c r="P43" i="94"/>
  <c r="P42" i="88"/>
  <c r="P44" i="94"/>
  <c r="P43" i="88"/>
  <c r="P45" i="94"/>
  <c r="P46" i="94"/>
  <c r="P47" i="94"/>
  <c r="P12" i="94"/>
  <c r="P13" i="94"/>
  <c r="P14" i="94"/>
  <c r="P18" i="94"/>
  <c r="P10" i="94"/>
  <c r="P11" i="94"/>
  <c r="P15" i="94"/>
  <c r="P19" i="94"/>
  <c r="P40" i="288"/>
  <c r="P224" i="33"/>
  <c r="P23" i="289"/>
  <c r="O95" i="33"/>
  <c r="P98" i="33"/>
  <c r="M327" i="33"/>
  <c r="M101" i="33"/>
  <c r="M11" i="94"/>
  <c r="M11" i="88"/>
  <c r="M100" i="33"/>
  <c r="M37" i="33"/>
  <c r="L308" i="33"/>
  <c r="M10" i="63"/>
  <c r="M21" i="63"/>
  <c r="M22" i="63"/>
  <c r="M17" i="63"/>
  <c r="M16" i="63"/>
  <c r="M14" i="63"/>
  <c r="M18" i="63"/>
  <c r="M20" i="63"/>
  <c r="M19" i="63"/>
  <c r="M15" i="63"/>
  <c r="M13" i="63"/>
  <c r="L50" i="56"/>
  <c r="L51" i="56"/>
  <c r="L48" i="56"/>
  <c r="L47" i="56"/>
  <c r="V14" i="39"/>
  <c r="W11" i="39"/>
  <c r="P274" i="33"/>
  <c r="O45" i="288"/>
  <c r="P248" i="33"/>
  <c r="O250" i="33"/>
  <c r="O27" i="289"/>
  <c r="J234" i="33"/>
  <c r="P196" i="33"/>
  <c r="P191" i="33"/>
  <c r="C35" i="68"/>
  <c r="K118" i="33"/>
  <c r="K14" i="288"/>
  <c r="K64" i="288"/>
  <c r="K188" i="33"/>
  <c r="P111" i="33"/>
  <c r="P161" i="33"/>
  <c r="P62" i="288"/>
  <c r="P59" i="288"/>
  <c r="Q77" i="33"/>
  <c r="Q218" i="33"/>
  <c r="Q222" i="33"/>
  <c r="Q299" i="33"/>
  <c r="Q325" i="33"/>
  <c r="Q24" i="33"/>
  <c r="Q288" i="33"/>
  <c r="Q106" i="33"/>
  <c r="Q85" i="33"/>
  <c r="G308" i="33"/>
  <c r="G42" i="94"/>
  <c r="G41" i="88"/>
  <c r="G100" i="33"/>
  <c r="H307" i="33"/>
  <c r="G101" i="33"/>
  <c r="R23" i="33"/>
  <c r="H101" i="33"/>
  <c r="H100" i="33"/>
  <c r="G307" i="33"/>
  <c r="G41" i="94"/>
  <c r="I308" i="33"/>
  <c r="I100" i="33"/>
  <c r="I101" i="33"/>
  <c r="H308" i="33"/>
  <c r="J308" i="33"/>
  <c r="G309" i="33"/>
  <c r="Q9" i="288"/>
  <c r="Q9" i="289"/>
  <c r="Q39" i="289"/>
  <c r="Q9" i="94"/>
  <c r="Q9" i="88"/>
  <c r="Q306" i="33"/>
  <c r="Q103" i="33"/>
  <c r="S26" i="33"/>
  <c r="P39" i="288"/>
  <c r="P220" i="33"/>
  <c r="P22" i="289"/>
  <c r="P176" i="33"/>
  <c r="P121" i="33"/>
  <c r="N19" i="289"/>
  <c r="N150" i="33"/>
  <c r="N316" i="33"/>
  <c r="N35" i="94"/>
  <c r="N60" i="68"/>
  <c r="N62" i="33"/>
  <c r="N18" i="94"/>
  <c r="N326" i="33"/>
  <c r="N50" i="33"/>
  <c r="N15" i="94"/>
  <c r="N66" i="33"/>
  <c r="N19" i="94"/>
  <c r="N54" i="33"/>
  <c r="N16" i="94"/>
  <c r="N58" i="33"/>
  <c r="N17" i="94"/>
  <c r="N71" i="33"/>
  <c r="N20" i="94"/>
  <c r="N307" i="33"/>
  <c r="N100" i="33"/>
  <c r="N138" i="33"/>
  <c r="N18" i="288"/>
  <c r="N33" i="33"/>
  <c r="N10" i="94"/>
  <c r="N315" i="33"/>
  <c r="K100" i="33"/>
  <c r="P171" i="33"/>
  <c r="O141" i="33"/>
  <c r="J100" i="33"/>
  <c r="J309" i="33"/>
  <c r="AB45" i="81"/>
  <c r="BP45" i="80"/>
  <c r="L317" i="33"/>
  <c r="L36" i="94"/>
  <c r="P131" i="33"/>
  <c r="Q31" i="33"/>
  <c r="Q28" i="33"/>
  <c r="L73" i="33"/>
  <c r="L312" i="33"/>
  <c r="L309" i="33"/>
  <c r="L12" i="94"/>
  <c r="O146" i="33"/>
  <c r="P136" i="33"/>
  <c r="S296" i="33"/>
  <c r="M295" i="33"/>
  <c r="N297" i="33"/>
  <c r="M22" i="68"/>
  <c r="BE34" i="80"/>
  <c r="BF34" i="80"/>
  <c r="BE22" i="80"/>
  <c r="BF22" i="80"/>
  <c r="BE30" i="80"/>
  <c r="BF30" i="80"/>
  <c r="BE35" i="80"/>
  <c r="BF35" i="80"/>
  <c r="BE31" i="80"/>
  <c r="BF31" i="80"/>
  <c r="BE27" i="80"/>
  <c r="BF27" i="80"/>
  <c r="BE23" i="80"/>
  <c r="BF23" i="80"/>
  <c r="BE19" i="80"/>
  <c r="BF19" i="80"/>
  <c r="BE15" i="80"/>
  <c r="BF15" i="80"/>
  <c r="BE32" i="80"/>
  <c r="BF32" i="80"/>
  <c r="BE16" i="80"/>
  <c r="BF16" i="80"/>
  <c r="BE12" i="80"/>
  <c r="BE36" i="80"/>
  <c r="BF36" i="80"/>
  <c r="BE20" i="80"/>
  <c r="BF20" i="80"/>
  <c r="BE18" i="80"/>
  <c r="BF18" i="80"/>
  <c r="BE24" i="80"/>
  <c r="BF24" i="80"/>
  <c r="BE33" i="80"/>
  <c r="BF33" i="80"/>
  <c r="BE29" i="80"/>
  <c r="BF29" i="80"/>
  <c r="BE25" i="80"/>
  <c r="BF25" i="80"/>
  <c r="BE21" i="80"/>
  <c r="BF21" i="80"/>
  <c r="BE17" i="80"/>
  <c r="BF17" i="80"/>
  <c r="BE13" i="80"/>
  <c r="BF13" i="80"/>
  <c r="BE26" i="80"/>
  <c r="BF26" i="80"/>
  <c r="BE14" i="80"/>
  <c r="BF14" i="80"/>
  <c r="BE28" i="80"/>
  <c r="BF28" i="80"/>
  <c r="BS27" i="80"/>
  <c r="BT27" i="80"/>
  <c r="BS23" i="80"/>
  <c r="BT23" i="80"/>
  <c r="BS19" i="80"/>
  <c r="BT19" i="80"/>
  <c r="BS15" i="80"/>
  <c r="BT15" i="80"/>
  <c r="BS36" i="80"/>
  <c r="BT36" i="80"/>
  <c r="BS32" i="80"/>
  <c r="BT32" i="80"/>
  <c r="BS28" i="80"/>
  <c r="BT28" i="80"/>
  <c r="BS24" i="80"/>
  <c r="BT24" i="80"/>
  <c r="BS20" i="80"/>
  <c r="BT20" i="80"/>
  <c r="BS16" i="80"/>
  <c r="BT16" i="80"/>
  <c r="BS33" i="80"/>
  <c r="BT33" i="80"/>
  <c r="BS29" i="80"/>
  <c r="BT29" i="80"/>
  <c r="BS25" i="80"/>
  <c r="BT25" i="80"/>
  <c r="BS21" i="80"/>
  <c r="BT21" i="80"/>
  <c r="BS17" i="80"/>
  <c r="BT17" i="80"/>
  <c r="BS13" i="80"/>
  <c r="BT13" i="80"/>
  <c r="BS34" i="80"/>
  <c r="BT34" i="80"/>
  <c r="BS30" i="80"/>
  <c r="BT30" i="80"/>
  <c r="BS26" i="80"/>
  <c r="BT26" i="80"/>
  <c r="BS22" i="80"/>
  <c r="BT22" i="80"/>
  <c r="BS18" i="80"/>
  <c r="BT18" i="80"/>
  <c r="BS14" i="80"/>
  <c r="BT14" i="80"/>
  <c r="BS31" i="80"/>
  <c r="BT31" i="80"/>
  <c r="BS12" i="80"/>
  <c r="BS35" i="80"/>
  <c r="BT35" i="80"/>
  <c r="P181" i="33"/>
  <c r="Q67" i="18"/>
  <c r="Q76" i="18"/>
  <c r="Q35" i="75"/>
  <c r="Q77" i="75"/>
  <c r="Q74" i="18"/>
  <c r="Q77" i="18"/>
  <c r="P259" i="33"/>
  <c r="O46" i="288"/>
  <c r="P252" i="33"/>
  <c r="O254" i="33"/>
  <c r="O28" i="289"/>
  <c r="P11" i="88"/>
  <c r="P12" i="88"/>
  <c r="P16" i="88"/>
  <c r="P20" i="88"/>
  <c r="P21" i="88"/>
  <c r="P33" i="88"/>
  <c r="P35" i="88"/>
  <c r="P36" i="88"/>
  <c r="P37" i="88"/>
  <c r="P13" i="88"/>
  <c r="P17" i="88"/>
  <c r="P22" i="88"/>
  <c r="P14" i="88"/>
  <c r="P18" i="88"/>
  <c r="P23" i="88"/>
  <c r="P24" i="88"/>
  <c r="P26" i="88"/>
  <c r="P27" i="88"/>
  <c r="P28" i="88"/>
  <c r="P29" i="88"/>
  <c r="P30" i="88"/>
  <c r="P10" i="88"/>
  <c r="P15" i="88"/>
  <c r="P19" i="88"/>
  <c r="P32" i="88"/>
  <c r="P60" i="68"/>
  <c r="P54" i="33"/>
  <c r="P58" i="33"/>
  <c r="P62" i="33"/>
  <c r="P326" i="33"/>
  <c r="P50" i="33"/>
  <c r="P66" i="33"/>
  <c r="P71" i="33"/>
  <c r="P116" i="33"/>
  <c r="O54" i="288"/>
  <c r="O29" i="289"/>
  <c r="P282" i="33"/>
  <c r="J118" i="33"/>
  <c r="J14" i="288"/>
  <c r="J64" i="288"/>
  <c r="J188" i="33"/>
  <c r="P211" i="33"/>
  <c r="K42" i="94"/>
  <c r="K41" i="88"/>
  <c r="K21" i="94"/>
  <c r="K12" i="88"/>
  <c r="K45" i="94"/>
  <c r="P43" i="33"/>
  <c r="O40" i="33"/>
  <c r="O327" i="33"/>
  <c r="U18" i="39"/>
  <c r="BJ36" i="80"/>
  <c r="BK36" i="80"/>
  <c r="BJ28" i="80"/>
  <c r="BK28" i="80"/>
  <c r="BJ12" i="80"/>
  <c r="BJ32" i="80"/>
  <c r="BK32" i="80"/>
  <c r="BJ24" i="80"/>
  <c r="BK24" i="80"/>
  <c r="BJ20" i="80"/>
  <c r="BK20" i="80"/>
  <c r="BJ16" i="80"/>
  <c r="BK16" i="80"/>
  <c r="BJ33" i="80"/>
  <c r="BK33" i="80"/>
  <c r="BJ29" i="80"/>
  <c r="BK29" i="80"/>
  <c r="BJ25" i="80"/>
  <c r="BK25" i="80"/>
  <c r="BJ21" i="80"/>
  <c r="BK21" i="80"/>
  <c r="BJ17" i="80"/>
  <c r="BK17" i="80"/>
  <c r="BJ13" i="80"/>
  <c r="BK13" i="80"/>
  <c r="BJ34" i="80"/>
  <c r="BK34" i="80"/>
  <c r="BJ30" i="80"/>
  <c r="BK30" i="80"/>
  <c r="BJ26" i="80"/>
  <c r="BK26" i="80"/>
  <c r="BJ22" i="80"/>
  <c r="BK22" i="80"/>
  <c r="BJ18" i="80"/>
  <c r="BK18" i="80"/>
  <c r="BJ14" i="80"/>
  <c r="BK14" i="80"/>
  <c r="BJ35" i="80"/>
  <c r="BK35" i="80"/>
  <c r="BJ31" i="80"/>
  <c r="BK31" i="80"/>
  <c r="BJ27" i="80"/>
  <c r="BK27" i="80"/>
  <c r="BJ23" i="80"/>
  <c r="BK23" i="80"/>
  <c r="BJ19" i="80"/>
  <c r="BK19" i="80"/>
  <c r="BJ15" i="80"/>
  <c r="BK15" i="80"/>
  <c r="P279" i="33"/>
  <c r="I309" i="33"/>
  <c r="AA45" i="81"/>
  <c r="BM45" i="80"/>
  <c r="I84" i="33"/>
  <c r="I26" i="94"/>
  <c r="I26" i="88"/>
  <c r="I231" i="33"/>
  <c r="H78" i="68"/>
  <c r="M13" i="68"/>
  <c r="N25" i="68"/>
  <c r="P315" i="33"/>
  <c r="P14" i="289"/>
  <c r="P126" i="33"/>
  <c r="L299" i="33"/>
  <c r="M10" i="88"/>
  <c r="M41" i="94"/>
  <c r="M40" i="88"/>
  <c r="M29" i="88"/>
  <c r="M28" i="88"/>
  <c r="M27" i="88"/>
  <c r="M23" i="88"/>
  <c r="M307" i="33"/>
  <c r="M17" i="88"/>
  <c r="M15" i="88"/>
  <c r="O19" i="68"/>
  <c r="P6" i="68"/>
  <c r="O23" i="288"/>
  <c r="P156" i="33"/>
  <c r="P166" i="33"/>
  <c r="K307" i="33"/>
  <c r="M14" i="88"/>
  <c r="P206" i="33"/>
  <c r="M44" i="63"/>
  <c r="M53" i="63"/>
  <c r="M48" i="63"/>
  <c r="M55" i="63"/>
  <c r="M52" i="63"/>
  <c r="M51" i="63"/>
  <c r="M50" i="63"/>
  <c r="M56" i="63"/>
  <c r="M54" i="63"/>
  <c r="M49" i="63"/>
  <c r="M47" i="63"/>
  <c r="M35" i="88"/>
  <c r="K308" i="33"/>
  <c r="EG238" i="91"/>
  <c r="EG236" i="91"/>
  <c r="EG246" i="91"/>
  <c r="EG273" i="91"/>
  <c r="EG259" i="91"/>
  <c r="EG242" i="91"/>
  <c r="EG225" i="91"/>
  <c r="EG231" i="91"/>
  <c r="EG226" i="91"/>
  <c r="EG256" i="91"/>
  <c r="EG279" i="91"/>
  <c r="EG255" i="91"/>
  <c r="EG234" i="91"/>
  <c r="EG265" i="91"/>
  <c r="EG245" i="91"/>
  <c r="EG277" i="91"/>
  <c r="EG227" i="91"/>
  <c r="EG228" i="91"/>
  <c r="EG247" i="91"/>
  <c r="EG239" i="91"/>
  <c r="EG223" i="91"/>
  <c r="EG276" i="91"/>
  <c r="EG244" i="91"/>
  <c r="EG272" i="91"/>
  <c r="EG264" i="91"/>
  <c r="EG232" i="91"/>
  <c r="EG230" i="91"/>
  <c r="E41" i="78"/>
  <c r="K241" i="33"/>
  <c r="S297" i="33"/>
  <c r="S37" i="94"/>
  <c r="K246" i="33"/>
  <c r="K245" i="33"/>
  <c r="K26" i="289"/>
  <c r="O14" i="68"/>
  <c r="O21" i="68"/>
  <c r="O22" i="68"/>
  <c r="M12" i="94"/>
  <c r="O72" i="33"/>
  <c r="B1" i="63"/>
  <c r="E20" i="78"/>
  <c r="F20" i="78"/>
  <c r="N17" i="88"/>
  <c r="N16" i="88"/>
  <c r="F41" i="78"/>
  <c r="Q60" i="68"/>
  <c r="Q50" i="33"/>
  <c r="Q66" i="33"/>
  <c r="Q54" i="33"/>
  <c r="Q326" i="33"/>
  <c r="Q58" i="33"/>
  <c r="Q62" i="33"/>
  <c r="Q71" i="33"/>
  <c r="Q307" i="33"/>
  <c r="Q100" i="33"/>
  <c r="P307" i="33"/>
  <c r="P100" i="33"/>
  <c r="P128" i="33"/>
  <c r="P16" i="288"/>
  <c r="O307" i="33"/>
  <c r="O100" i="33"/>
  <c r="O312" i="33"/>
  <c r="O73" i="33"/>
  <c r="P38" i="33"/>
  <c r="P311" i="33"/>
  <c r="P46" i="288"/>
  <c r="Q252" i="33"/>
  <c r="P254" i="33"/>
  <c r="P28" i="289"/>
  <c r="Q181" i="33"/>
  <c r="BF12" i="80"/>
  <c r="BE38" i="80"/>
  <c r="BE39" i="80"/>
  <c r="BE40" i="80"/>
  <c r="BE41" i="80"/>
  <c r="BE42" i="80"/>
  <c r="BE43" i="80"/>
  <c r="Q136" i="33"/>
  <c r="Q133" i="33"/>
  <c r="Q17" i="288"/>
  <c r="Q131" i="33"/>
  <c r="U20" i="39"/>
  <c r="V20" i="39"/>
  <c r="BP26" i="80"/>
  <c r="BQ26" i="80"/>
  <c r="BP22" i="80"/>
  <c r="BQ22" i="80"/>
  <c r="BP18" i="80"/>
  <c r="BQ18" i="80"/>
  <c r="BP14" i="80"/>
  <c r="BQ14" i="80"/>
  <c r="BP34" i="80"/>
  <c r="BQ34" i="80"/>
  <c r="BP35" i="80"/>
  <c r="BQ35" i="80"/>
  <c r="BP31" i="80"/>
  <c r="BQ31" i="80"/>
  <c r="BP27" i="80"/>
  <c r="BQ27" i="80"/>
  <c r="BP23" i="80"/>
  <c r="BQ23" i="80"/>
  <c r="BP19" i="80"/>
  <c r="BQ19" i="80"/>
  <c r="BP15" i="80"/>
  <c r="BQ15" i="80"/>
  <c r="BP36" i="80"/>
  <c r="BQ36" i="80"/>
  <c r="BP32" i="80"/>
  <c r="BQ32" i="80"/>
  <c r="BP28" i="80"/>
  <c r="BQ28" i="80"/>
  <c r="BP24" i="80"/>
  <c r="BQ24" i="80"/>
  <c r="BP20" i="80"/>
  <c r="BQ20" i="80"/>
  <c r="BP16" i="80"/>
  <c r="BQ16" i="80"/>
  <c r="BP33" i="80"/>
  <c r="BQ33" i="80"/>
  <c r="BP29" i="80"/>
  <c r="BQ29" i="80"/>
  <c r="BP25" i="80"/>
  <c r="BQ25" i="80"/>
  <c r="BP21" i="80"/>
  <c r="BQ21" i="80"/>
  <c r="BP17" i="80"/>
  <c r="BQ17" i="80"/>
  <c r="BP13" i="80"/>
  <c r="BQ13" i="80"/>
  <c r="BP30" i="80"/>
  <c r="BQ30" i="80"/>
  <c r="BP12" i="80"/>
  <c r="N128" i="33"/>
  <c r="N16" i="288"/>
  <c r="N113" i="33"/>
  <c r="N13" i="288"/>
  <c r="N178" i="33"/>
  <c r="N28" i="288"/>
  <c r="N168" i="33"/>
  <c r="N26" i="288"/>
  <c r="N108" i="33"/>
  <c r="N271" i="33"/>
  <c r="N50" i="288"/>
  <c r="N208" i="33"/>
  <c r="N37" i="288"/>
  <c r="N133" i="33"/>
  <c r="N17" i="288"/>
  <c r="N266" i="33"/>
  <c r="N49" i="288"/>
  <c r="N261" i="33"/>
  <c r="N48" i="288"/>
  <c r="N256" i="33"/>
  <c r="N203" i="33"/>
  <c r="N36" i="288"/>
  <c r="N163" i="33"/>
  <c r="N25" i="288"/>
  <c r="N198" i="33"/>
  <c r="N35" i="288"/>
  <c r="N173" i="33"/>
  <c r="N27" i="288"/>
  <c r="N123" i="33"/>
  <c r="N15" i="288"/>
  <c r="N158" i="33"/>
  <c r="N193" i="33"/>
  <c r="N34" i="288"/>
  <c r="N276" i="33"/>
  <c r="N51" i="288"/>
  <c r="Q121" i="33"/>
  <c r="Q62" i="288"/>
  <c r="Q59" i="288"/>
  <c r="G40" i="88"/>
  <c r="G12" i="56"/>
  <c r="G188" i="33"/>
  <c r="G118" i="33"/>
  <c r="G14" i="288"/>
  <c r="Q40" i="288"/>
  <c r="A40" i="288"/>
  <c r="Q224" i="33"/>
  <c r="Q23" i="289"/>
  <c r="A23" i="289"/>
  <c r="J43" i="288"/>
  <c r="K239" i="33"/>
  <c r="K238" i="33"/>
  <c r="K25" i="289"/>
  <c r="M188" i="33"/>
  <c r="M118" i="33"/>
  <c r="M14" i="288"/>
  <c r="M64" i="288"/>
  <c r="P90" i="75"/>
  <c r="Q9" i="75"/>
  <c r="K44" i="288"/>
  <c r="L246" i="33"/>
  <c r="L245" i="33"/>
  <c r="L241" i="33"/>
  <c r="L12" i="288"/>
  <c r="L63" i="288"/>
  <c r="L14" i="289"/>
  <c r="L38" i="94"/>
  <c r="P54" i="288"/>
  <c r="P29" i="289"/>
  <c r="Q282" i="33"/>
  <c r="Q166" i="33"/>
  <c r="Q163" i="33"/>
  <c r="Q25" i="288"/>
  <c r="I78" i="68"/>
  <c r="Q206" i="33"/>
  <c r="Q203" i="33"/>
  <c r="Q36" i="288"/>
  <c r="M12" i="88"/>
  <c r="M21" i="94"/>
  <c r="M45" i="94"/>
  <c r="M42" i="94"/>
  <c r="M41" i="88"/>
  <c r="Q126" i="33"/>
  <c r="Q123" i="33"/>
  <c r="Q15" i="288"/>
  <c r="I24" i="289"/>
  <c r="I227" i="33"/>
  <c r="V18" i="39"/>
  <c r="P40" i="33"/>
  <c r="Q43" i="33"/>
  <c r="Q40" i="33"/>
  <c r="AC63" i="80"/>
  <c r="K21" i="88"/>
  <c r="K46" i="94"/>
  <c r="K43" i="94"/>
  <c r="K42" i="88"/>
  <c r="J33" i="288"/>
  <c r="N295" i="33"/>
  <c r="N299" i="33"/>
  <c r="O297" i="33"/>
  <c r="L12" i="88"/>
  <c r="L21" i="94"/>
  <c r="L45" i="94"/>
  <c r="L42" i="94"/>
  <c r="L41" i="88"/>
  <c r="L36" i="88"/>
  <c r="L37" i="94"/>
  <c r="J193" i="33"/>
  <c r="J34" i="288"/>
  <c r="J133" i="33"/>
  <c r="J17" i="288"/>
  <c r="J271" i="33"/>
  <c r="J50" i="288"/>
  <c r="J266" i="33"/>
  <c r="J49" i="288"/>
  <c r="J198" i="33"/>
  <c r="J35" i="288"/>
  <c r="J178" i="33"/>
  <c r="J28" i="288"/>
  <c r="J203" i="33"/>
  <c r="J36" i="288"/>
  <c r="J108" i="33"/>
  <c r="J113" i="33"/>
  <c r="J13" i="288"/>
  <c r="J158" i="33"/>
  <c r="J256" i="33"/>
  <c r="J208" i="33"/>
  <c r="J37" i="288"/>
  <c r="J168" i="33"/>
  <c r="J26" i="288"/>
  <c r="J123" i="33"/>
  <c r="J15" i="288"/>
  <c r="J163" i="33"/>
  <c r="J25" i="288"/>
  <c r="J261" i="33"/>
  <c r="J48" i="288"/>
  <c r="J173" i="33"/>
  <c r="J27" i="288"/>
  <c r="J128" i="33"/>
  <c r="J16" i="288"/>
  <c r="J276" i="33"/>
  <c r="J51" i="288"/>
  <c r="J143" i="33"/>
  <c r="J19" i="288"/>
  <c r="J213" i="33"/>
  <c r="J38" i="288"/>
  <c r="J138" i="33"/>
  <c r="J18" i="288"/>
  <c r="Q171" i="33"/>
  <c r="Q168" i="33"/>
  <c r="Q26" i="288"/>
  <c r="N19" i="88"/>
  <c r="N18" i="88"/>
  <c r="Q176" i="33"/>
  <c r="Q173" i="33"/>
  <c r="Q27" i="288"/>
  <c r="Q10" i="88"/>
  <c r="Q15" i="88"/>
  <c r="Q19" i="88"/>
  <c r="Q32" i="88"/>
  <c r="Q11" i="88"/>
  <c r="Q12" i="88"/>
  <c r="Q16" i="88"/>
  <c r="A16" i="88"/>
  <c r="Q20" i="88"/>
  <c r="Q21" i="88"/>
  <c r="Q33" i="88"/>
  <c r="Q35" i="88"/>
  <c r="Q36" i="88"/>
  <c r="Q37" i="88"/>
  <c r="Q13" i="88"/>
  <c r="Q17" i="88"/>
  <c r="A17" i="88"/>
  <c r="Q22" i="88"/>
  <c r="Q14" i="88"/>
  <c r="Q18" i="88"/>
  <c r="A18" i="88"/>
  <c r="Q23" i="88"/>
  <c r="Q24" i="88"/>
  <c r="Q26" i="88"/>
  <c r="Q27" i="88"/>
  <c r="Q28" i="88"/>
  <c r="Q29" i="88"/>
  <c r="Q30" i="88"/>
  <c r="A9" i="88"/>
  <c r="I188" i="33"/>
  <c r="I118" i="33"/>
  <c r="I14" i="288"/>
  <c r="I64" i="288"/>
  <c r="H168" i="33"/>
  <c r="H26" i="288"/>
  <c r="H173" i="33"/>
  <c r="H27" i="288"/>
  <c r="H208" i="33"/>
  <c r="H37" i="288"/>
  <c r="H108" i="33"/>
  <c r="H178" i="33"/>
  <c r="H28" i="288"/>
  <c r="H271" i="33"/>
  <c r="H50" i="288"/>
  <c r="H163" i="33"/>
  <c r="H25" i="288"/>
  <c r="H276" i="33"/>
  <c r="H51" i="288"/>
  <c r="H266" i="33"/>
  <c r="H49" i="288"/>
  <c r="H203" i="33"/>
  <c r="H36" i="288"/>
  <c r="H133" i="33"/>
  <c r="H17" i="288"/>
  <c r="H113" i="33"/>
  <c r="H13" i="288"/>
  <c r="H256" i="33"/>
  <c r="H198" i="33"/>
  <c r="H35" i="288"/>
  <c r="H261" i="33"/>
  <c r="H48" i="288"/>
  <c r="H123" i="33"/>
  <c r="H15" i="288"/>
  <c r="H193" i="33"/>
  <c r="H34" i="288"/>
  <c r="H158" i="33"/>
  <c r="H128" i="33"/>
  <c r="H16" i="288"/>
  <c r="H138" i="33"/>
  <c r="H18" i="288"/>
  <c r="H143" i="33"/>
  <c r="H19" i="288"/>
  <c r="H213" i="33"/>
  <c r="H38" i="288"/>
  <c r="Q39" i="288"/>
  <c r="Q220" i="33"/>
  <c r="Q22" i="289"/>
  <c r="Q315" i="33"/>
  <c r="P158" i="33"/>
  <c r="Q161" i="33"/>
  <c r="Q158" i="33"/>
  <c r="K33" i="288"/>
  <c r="Q274" i="33"/>
  <c r="Q271" i="33"/>
  <c r="Q50" i="288"/>
  <c r="M311" i="33"/>
  <c r="M38" i="33"/>
  <c r="M72" i="33"/>
  <c r="M308" i="33"/>
  <c r="EH221" i="91"/>
  <c r="Q201" i="33"/>
  <c r="Q198" i="33"/>
  <c r="Q35" i="288"/>
  <c r="BC38" i="80"/>
  <c r="AB14" i="39"/>
  <c r="BC39" i="80"/>
  <c r="AA14" i="39"/>
  <c r="BC40" i="80"/>
  <c r="Z14" i="39"/>
  <c r="BC41" i="80"/>
  <c r="Y14" i="39"/>
  <c r="BC42" i="80"/>
  <c r="X14" i="39"/>
  <c r="BC43" i="80"/>
  <c r="W14" i="39"/>
  <c r="P216" i="33"/>
  <c r="O213" i="33"/>
  <c r="O38" i="288"/>
  <c r="Q33" i="33"/>
  <c r="P101" i="33"/>
  <c r="L24" i="288"/>
  <c r="Q6" i="68"/>
  <c r="P19" i="68"/>
  <c r="P14" i="68"/>
  <c r="P21" i="68"/>
  <c r="P22" i="68"/>
  <c r="N13" i="68"/>
  <c r="O25" i="68"/>
  <c r="P23" i="288"/>
  <c r="Q156" i="33"/>
  <c r="Q23" i="288"/>
  <c r="Q279" i="33"/>
  <c r="Q276" i="33"/>
  <c r="Q51" i="288"/>
  <c r="BK12" i="80"/>
  <c r="BJ38" i="80"/>
  <c r="BJ39" i="80"/>
  <c r="BJ40" i="80"/>
  <c r="BJ41" i="80"/>
  <c r="BJ42" i="80"/>
  <c r="BJ43" i="80"/>
  <c r="Q116" i="33"/>
  <c r="Q113" i="33"/>
  <c r="Q13" i="288"/>
  <c r="Q259" i="33"/>
  <c r="Q256" i="33"/>
  <c r="P256" i="33"/>
  <c r="M317" i="33"/>
  <c r="M36" i="94"/>
  <c r="N143" i="33"/>
  <c r="N19" i="288"/>
  <c r="M299" i="33"/>
  <c r="N29" i="88"/>
  <c r="N10" i="88"/>
  <c r="N27" i="88"/>
  <c r="N41" i="94"/>
  <c r="N40" i="88"/>
  <c r="N28" i="88"/>
  <c r="N23" i="88"/>
  <c r="N20" i="88"/>
  <c r="N15" i="88"/>
  <c r="N20" i="289"/>
  <c r="S9" i="88"/>
  <c r="S9" i="94"/>
  <c r="C92" i="75"/>
  <c r="S40" i="33"/>
  <c r="S13" i="94"/>
  <c r="S62" i="33"/>
  <c r="S18" i="94"/>
  <c r="S87" i="33"/>
  <c r="S325" i="33"/>
  <c r="S28" i="33"/>
  <c r="S45" i="33"/>
  <c r="S14" i="94"/>
  <c r="S50" i="33"/>
  <c r="S15" i="94"/>
  <c r="S66" i="33"/>
  <c r="S19" i="94"/>
  <c r="S86" i="33"/>
  <c r="S54" i="33"/>
  <c r="S16" i="94"/>
  <c r="S71" i="33"/>
  <c r="S20" i="94"/>
  <c r="S95" i="33"/>
  <c r="S85" i="33"/>
  <c r="S58" i="33"/>
  <c r="S17" i="94"/>
  <c r="S306" i="33"/>
  <c r="Q10" i="94"/>
  <c r="A10" i="94"/>
  <c r="Q11" i="94"/>
  <c r="Q15" i="94"/>
  <c r="A15" i="94"/>
  <c r="Q19" i="94"/>
  <c r="A19" i="94"/>
  <c r="Q16" i="94"/>
  <c r="A16" i="94"/>
  <c r="Q20" i="94"/>
  <c r="A20" i="94"/>
  <c r="Q21" i="94"/>
  <c r="Q22" i="94"/>
  <c r="Q12" i="289"/>
  <c r="Q23" i="94"/>
  <c r="Q24" i="94"/>
  <c r="Q26" i="94"/>
  <c r="Q27" i="94"/>
  <c r="Q28" i="94"/>
  <c r="Q29" i="94"/>
  <c r="Q30" i="94"/>
  <c r="Q17" i="94"/>
  <c r="A17" i="94"/>
  <c r="Q32" i="94"/>
  <c r="Q33" i="94"/>
  <c r="Q35" i="94"/>
  <c r="Q36" i="94"/>
  <c r="Q37" i="94"/>
  <c r="Q38" i="94"/>
  <c r="Q40" i="94"/>
  <c r="Q41" i="94"/>
  <c r="Q40" i="88"/>
  <c r="Q42" i="94"/>
  <c r="Q41" i="88"/>
  <c r="Q43" i="94"/>
  <c r="Q42" i="88"/>
  <c r="Q44" i="94"/>
  <c r="Q43" i="88"/>
  <c r="Q45" i="94"/>
  <c r="Q46" i="94"/>
  <c r="Q47" i="94"/>
  <c r="Q12" i="94"/>
  <c r="Q13" i="94"/>
  <c r="A13" i="94"/>
  <c r="Q14" i="94"/>
  <c r="A14" i="94"/>
  <c r="Q18" i="94"/>
  <c r="A18" i="94"/>
  <c r="A9" i="94"/>
  <c r="Y45" i="81"/>
  <c r="G43" i="94"/>
  <c r="I208" i="33"/>
  <c r="I37" i="288"/>
  <c r="I266" i="33"/>
  <c r="I49" i="288"/>
  <c r="I203" i="33"/>
  <c r="I36" i="288"/>
  <c r="I163" i="33"/>
  <c r="I25" i="288"/>
  <c r="I123" i="33"/>
  <c r="I15" i="288"/>
  <c r="I173" i="33"/>
  <c r="I27" i="288"/>
  <c r="I133" i="33"/>
  <c r="I17" i="288"/>
  <c r="I128" i="33"/>
  <c r="I16" i="288"/>
  <c r="I256" i="33"/>
  <c r="I108" i="33"/>
  <c r="I276" i="33"/>
  <c r="I51" i="288"/>
  <c r="I158" i="33"/>
  <c r="I178" i="33"/>
  <c r="I28" i="288"/>
  <c r="I271" i="33"/>
  <c r="I50" i="288"/>
  <c r="I198" i="33"/>
  <c r="I35" i="288"/>
  <c r="I168" i="33"/>
  <c r="I26" i="288"/>
  <c r="I261" i="33"/>
  <c r="I48" i="288"/>
  <c r="I193" i="33"/>
  <c r="I34" i="288"/>
  <c r="I113" i="33"/>
  <c r="I13" i="288"/>
  <c r="I213" i="33"/>
  <c r="I38" i="288"/>
  <c r="I138" i="33"/>
  <c r="I18" i="288"/>
  <c r="I143" i="33"/>
  <c r="I19" i="288"/>
  <c r="H188" i="33"/>
  <c r="H118" i="33"/>
  <c r="H14" i="288"/>
  <c r="H64" i="288"/>
  <c r="G198" i="33"/>
  <c r="G35" i="288"/>
  <c r="G266" i="33"/>
  <c r="G49" i="288"/>
  <c r="G128" i="33"/>
  <c r="G16" i="288"/>
  <c r="G276" i="33"/>
  <c r="G51" i="288"/>
  <c r="G193" i="33"/>
  <c r="G34" i="288"/>
  <c r="G173" i="33"/>
  <c r="G27" i="288"/>
  <c r="G203" i="33"/>
  <c r="G36" i="288"/>
  <c r="G168" i="33"/>
  <c r="G26" i="288"/>
  <c r="G256" i="33"/>
  <c r="G113" i="33"/>
  <c r="G13" i="288"/>
  <c r="G163" i="33"/>
  <c r="G25" i="288"/>
  <c r="G108" i="33"/>
  <c r="G261" i="33"/>
  <c r="G48" i="288"/>
  <c r="G271" i="33"/>
  <c r="G50" i="288"/>
  <c r="G178" i="33"/>
  <c r="G28" i="288"/>
  <c r="G133" i="33"/>
  <c r="G17" i="288"/>
  <c r="G158" i="33"/>
  <c r="G123" i="33"/>
  <c r="G15" i="288"/>
  <c r="G208" i="33"/>
  <c r="G37" i="288"/>
  <c r="G213" i="33"/>
  <c r="G38" i="288"/>
  <c r="G138" i="33"/>
  <c r="G18" i="288"/>
  <c r="G143" i="33"/>
  <c r="G19" i="288"/>
  <c r="P45" i="288"/>
  <c r="Q248" i="33"/>
  <c r="P250" i="33"/>
  <c r="P27" i="289"/>
  <c r="M198" i="33"/>
  <c r="M35" i="288"/>
  <c r="M128" i="33"/>
  <c r="M16" i="288"/>
  <c r="M276" i="33"/>
  <c r="M51" i="288"/>
  <c r="M203" i="33"/>
  <c r="M36" i="288"/>
  <c r="M113" i="33"/>
  <c r="M13" i="288"/>
  <c r="M168" i="33"/>
  <c r="M26" i="288"/>
  <c r="M163" i="33"/>
  <c r="M25" i="288"/>
  <c r="M158" i="33"/>
  <c r="M123" i="33"/>
  <c r="M15" i="288"/>
  <c r="M266" i="33"/>
  <c r="M49" i="288"/>
  <c r="M173" i="33"/>
  <c r="M27" i="288"/>
  <c r="M133" i="33"/>
  <c r="M17" i="288"/>
  <c r="M193" i="33"/>
  <c r="M34" i="288"/>
  <c r="M108" i="33"/>
  <c r="M271" i="33"/>
  <c r="M50" i="288"/>
  <c r="M178" i="33"/>
  <c r="M28" i="288"/>
  <c r="M208" i="33"/>
  <c r="M37" i="288"/>
  <c r="M261" i="33"/>
  <c r="M48" i="288"/>
  <c r="M256" i="33"/>
  <c r="M143" i="33"/>
  <c r="M19" i="288"/>
  <c r="M138" i="33"/>
  <c r="M18" i="288"/>
  <c r="M213" i="33"/>
  <c r="M38" i="288"/>
  <c r="P95" i="33"/>
  <c r="Q98" i="33"/>
  <c r="Q95" i="33"/>
  <c r="C36" i="68"/>
  <c r="L188" i="33"/>
  <c r="L118" i="33"/>
  <c r="L14" i="288"/>
  <c r="L64" i="288"/>
  <c r="N13" i="88"/>
  <c r="N213" i="33"/>
  <c r="N38" i="288"/>
  <c r="L78" i="38"/>
  <c r="L77" i="38"/>
  <c r="L81" i="38"/>
  <c r="L76" i="38"/>
  <c r="L80" i="38"/>
  <c r="L79" i="38"/>
  <c r="M50" i="38"/>
  <c r="P327" i="33"/>
  <c r="L47" i="288"/>
  <c r="U19" i="39"/>
  <c r="V19" i="39"/>
  <c r="BM12" i="80"/>
  <c r="BM33" i="80"/>
  <c r="BN33" i="80"/>
  <c r="BM25" i="80"/>
  <c r="BN25" i="80"/>
  <c r="BM21" i="80"/>
  <c r="BN21" i="80"/>
  <c r="BM17" i="80"/>
  <c r="BN17" i="80"/>
  <c r="BM13" i="80"/>
  <c r="BN13" i="80"/>
  <c r="BM34" i="80"/>
  <c r="BN34" i="80"/>
  <c r="BM30" i="80"/>
  <c r="BN30" i="80"/>
  <c r="BM26" i="80"/>
  <c r="BN26" i="80"/>
  <c r="BM22" i="80"/>
  <c r="BN22" i="80"/>
  <c r="BM18" i="80"/>
  <c r="BN18" i="80"/>
  <c r="BM14" i="80"/>
  <c r="BN14" i="80"/>
  <c r="BM35" i="80"/>
  <c r="BN35" i="80"/>
  <c r="BM31" i="80"/>
  <c r="BN31" i="80"/>
  <c r="BM27" i="80"/>
  <c r="BN27" i="80"/>
  <c r="BM23" i="80"/>
  <c r="BN23" i="80"/>
  <c r="BM19" i="80"/>
  <c r="BN19" i="80"/>
  <c r="BM15" i="80"/>
  <c r="BN15" i="80"/>
  <c r="BM36" i="80"/>
  <c r="BN36" i="80"/>
  <c r="BM32" i="80"/>
  <c r="BN32" i="80"/>
  <c r="BM28" i="80"/>
  <c r="BN28" i="80"/>
  <c r="BM24" i="80"/>
  <c r="BN24" i="80"/>
  <c r="BM20" i="80"/>
  <c r="BN20" i="80"/>
  <c r="BM16" i="80"/>
  <c r="BN16" i="80"/>
  <c r="BM29" i="80"/>
  <c r="BN29" i="80"/>
  <c r="Q211" i="33"/>
  <c r="Q208" i="33"/>
  <c r="Q37" i="288"/>
  <c r="BT12" i="80"/>
  <c r="BS38" i="80"/>
  <c r="BS39" i="80"/>
  <c r="BS40" i="80"/>
  <c r="BS41" i="80"/>
  <c r="BS42" i="80"/>
  <c r="BS43" i="80"/>
  <c r="O143" i="33"/>
  <c r="O19" i="288"/>
  <c r="P146" i="33"/>
  <c r="P141" i="33"/>
  <c r="O138" i="33"/>
  <c r="O18" i="288"/>
  <c r="K198" i="33"/>
  <c r="K35" i="288"/>
  <c r="K266" i="33"/>
  <c r="K49" i="288"/>
  <c r="K163" i="33"/>
  <c r="K25" i="288"/>
  <c r="K133" i="33"/>
  <c r="K17" i="288"/>
  <c r="K256" i="33"/>
  <c r="K113" i="33"/>
  <c r="K13" i="288"/>
  <c r="K158" i="33"/>
  <c r="K276" i="33"/>
  <c r="K51" i="288"/>
  <c r="K193" i="33"/>
  <c r="K34" i="288"/>
  <c r="K203" i="33"/>
  <c r="K36" i="288"/>
  <c r="K108" i="33"/>
  <c r="K178" i="33"/>
  <c r="K28" i="288"/>
  <c r="K208" i="33"/>
  <c r="K37" i="288"/>
  <c r="K271" i="33"/>
  <c r="K50" i="288"/>
  <c r="K128" i="33"/>
  <c r="K16" i="288"/>
  <c r="K173" i="33"/>
  <c r="K27" i="288"/>
  <c r="K261" i="33"/>
  <c r="K48" i="288"/>
  <c r="K168" i="33"/>
  <c r="K26" i="288"/>
  <c r="K123" i="33"/>
  <c r="K15" i="288"/>
  <c r="K138" i="33"/>
  <c r="K18" i="288"/>
  <c r="K213" i="33"/>
  <c r="K38" i="288"/>
  <c r="K143" i="33"/>
  <c r="K19" i="288"/>
  <c r="N327" i="33"/>
  <c r="N101" i="33"/>
  <c r="N11" i="94"/>
  <c r="N11" i="88"/>
  <c r="N37" i="33"/>
  <c r="N35" i="88"/>
  <c r="A35" i="94"/>
  <c r="R325" i="33"/>
  <c r="S23" i="33"/>
  <c r="T23" i="33"/>
  <c r="Q229" i="33"/>
  <c r="Q236" i="33"/>
  <c r="Q243" i="33"/>
  <c r="G20" i="33"/>
  <c r="C350" i="33"/>
  <c r="H9" i="56"/>
  <c r="Q14" i="289"/>
  <c r="Q111" i="33"/>
  <c r="Q108" i="33"/>
  <c r="Q191" i="33"/>
  <c r="Q196" i="33"/>
  <c r="Q193" i="33"/>
  <c r="Q34" i="288"/>
  <c r="N14" i="88"/>
  <c r="O19" i="289"/>
  <c r="O20" i="289"/>
  <c r="O316" i="33"/>
  <c r="O150" i="33"/>
  <c r="Q264" i="33"/>
  <c r="Q261" i="33"/>
  <c r="Q48" i="288"/>
  <c r="P22" i="288"/>
  <c r="Q154" i="33"/>
  <c r="Q22" i="288"/>
  <c r="P18" i="68"/>
  <c r="Q9" i="68"/>
  <c r="P45" i="33"/>
  <c r="Q48" i="33"/>
  <c r="Q45" i="33"/>
  <c r="Q269" i="33"/>
  <c r="Q266" i="33"/>
  <c r="Q49" i="288"/>
  <c r="EG278" i="91"/>
  <c r="EG263" i="91"/>
  <c r="EG262" i="91"/>
  <c r="EG248" i="91"/>
  <c r="EG274" i="91"/>
  <c r="EG254" i="91"/>
  <c r="EG266" i="91"/>
  <c r="EG267" i="91"/>
  <c r="EG261" i="91"/>
  <c r="EG237" i="91"/>
  <c r="EG240" i="91"/>
  <c r="EG269" i="91"/>
  <c r="EG224" i="91"/>
  <c r="EH244" i="91"/>
  <c r="EH229" i="91"/>
  <c r="EH257" i="91"/>
  <c r="EH271" i="91"/>
  <c r="EH267" i="91"/>
  <c r="EH225" i="91"/>
  <c r="EH248" i="91"/>
  <c r="EH259" i="91"/>
  <c r="EH228" i="91"/>
  <c r="EH269" i="91"/>
  <c r="EH260" i="91"/>
  <c r="EG258" i="91"/>
  <c r="EG241" i="91"/>
  <c r="EG268" i="91"/>
  <c r="EG270" i="91"/>
  <c r="EG233" i="91"/>
  <c r="EG260" i="91"/>
  <c r="EH234" i="91"/>
  <c r="EH254" i="91"/>
  <c r="EH236" i="91"/>
  <c r="EH276" i="91"/>
  <c r="EH239" i="91"/>
  <c r="EH224" i="91"/>
  <c r="EH258" i="91"/>
  <c r="EH246" i="91"/>
  <c r="EG243" i="91"/>
  <c r="EG275" i="91"/>
  <c r="EG229" i="91"/>
  <c r="EG235" i="91"/>
  <c r="EG271" i="91"/>
  <c r="EG257" i="91"/>
  <c r="EH273" i="91"/>
  <c r="EH247" i="91"/>
  <c r="EH256" i="91"/>
  <c r="EH243" i="91"/>
  <c r="EH238" i="91"/>
  <c r="EH242" i="91"/>
  <c r="EH279" i="91"/>
  <c r="EH230" i="91"/>
  <c r="EG288" i="91"/>
  <c r="P108" i="33"/>
  <c r="P208" i="33"/>
  <c r="P37" i="288"/>
  <c r="Q128" i="33"/>
  <c r="Q16" i="288"/>
  <c r="P193" i="33"/>
  <c r="P34" i="288"/>
  <c r="P123" i="33"/>
  <c r="P15" i="288"/>
  <c r="A23" i="288"/>
  <c r="P118" i="33"/>
  <c r="P14" i="288"/>
  <c r="P64" i="288"/>
  <c r="P188" i="33"/>
  <c r="P33" i="288"/>
  <c r="P198" i="33"/>
  <c r="P35" i="288"/>
  <c r="P271" i="33"/>
  <c r="P50" i="288"/>
  <c r="P266" i="33"/>
  <c r="P49" i="288"/>
  <c r="P261" i="33"/>
  <c r="P48" i="288"/>
  <c r="P163" i="33"/>
  <c r="P25" i="288"/>
  <c r="P113" i="33"/>
  <c r="P13" i="288"/>
  <c r="P276" i="33"/>
  <c r="P51" i="288"/>
  <c r="P173" i="33"/>
  <c r="P27" i="288"/>
  <c r="P168" i="33"/>
  <c r="P26" i="288"/>
  <c r="P203" i="33"/>
  <c r="P36" i="288"/>
  <c r="EG289" i="91"/>
  <c r="EG302" i="91"/>
  <c r="EG309" i="91"/>
  <c r="EG294" i="91"/>
  <c r="EG307" i="91"/>
  <c r="EG305" i="91"/>
  <c r="EG287" i="91"/>
  <c r="EG310" i="91"/>
  <c r="EG297" i="91"/>
  <c r="EG285" i="91"/>
  <c r="EG298" i="91"/>
  <c r="EG304" i="91"/>
  <c r="EG303" i="91"/>
  <c r="EG296" i="91"/>
  <c r="EG295" i="91"/>
  <c r="EG292" i="91"/>
  <c r="EG301" i="91"/>
  <c r="EG308" i="91"/>
  <c r="EG306" i="91"/>
  <c r="EG286" i="91"/>
  <c r="EG293" i="91"/>
  <c r="EG290" i="91"/>
  <c r="EG300" i="91"/>
  <c r="EG291" i="91"/>
  <c r="EG299" i="91"/>
  <c r="P133" i="33"/>
  <c r="P17" i="288"/>
  <c r="Q178" i="33"/>
  <c r="Q28" i="288"/>
  <c r="P178" i="33"/>
  <c r="P28" i="288"/>
  <c r="A22" i="288"/>
  <c r="A19" i="88"/>
  <c r="H31" i="56"/>
  <c r="H21" i="56"/>
  <c r="H27" i="56"/>
  <c r="H13" i="56"/>
  <c r="H29" i="56"/>
  <c r="H18" i="56"/>
  <c r="H12" i="56"/>
  <c r="H28" i="56"/>
  <c r="H17" i="56"/>
  <c r="H11" i="56"/>
  <c r="H24" i="56"/>
  <c r="H16" i="56"/>
  <c r="H10" i="56"/>
  <c r="L15" i="289"/>
  <c r="P72" i="33"/>
  <c r="P73" i="33"/>
  <c r="EH310" i="91"/>
  <c r="EH304" i="91"/>
  <c r="EH300" i="91"/>
  <c r="EH298" i="91"/>
  <c r="EH291" i="91"/>
  <c r="EH290" i="91"/>
  <c r="EH287" i="91"/>
  <c r="P312" i="33"/>
  <c r="C37" i="68"/>
  <c r="R9" i="68"/>
  <c r="Q18" i="68"/>
  <c r="N72" i="33"/>
  <c r="N311" i="33"/>
  <c r="N38" i="33"/>
  <c r="N308" i="33"/>
  <c r="K61" i="288"/>
  <c r="K62" i="288"/>
  <c r="K63" i="288"/>
  <c r="Q146" i="33"/>
  <c r="Q143" i="33"/>
  <c r="Q19" i="288"/>
  <c r="P143" i="33"/>
  <c r="P19" i="288"/>
  <c r="BT38" i="80"/>
  <c r="BT39" i="80"/>
  <c r="BT40" i="80"/>
  <c r="BT41" i="80"/>
  <c r="BT42" i="80"/>
  <c r="BT43" i="80"/>
  <c r="Q19" i="289"/>
  <c r="Q20" i="289"/>
  <c r="Q150" i="33"/>
  <c r="Q316" i="33"/>
  <c r="M15" i="289"/>
  <c r="M24" i="288"/>
  <c r="G63" i="288"/>
  <c r="J33" i="289"/>
  <c r="I12" i="288"/>
  <c r="I20" i="288"/>
  <c r="I147" i="33"/>
  <c r="Q39" i="88"/>
  <c r="A39" i="88"/>
  <c r="A40" i="94"/>
  <c r="S35" i="94"/>
  <c r="S98" i="33"/>
  <c r="S75" i="33"/>
  <c r="S316" i="33"/>
  <c r="S37" i="33"/>
  <c r="M36" i="88"/>
  <c r="M37" i="94"/>
  <c r="G54" i="94"/>
  <c r="Q47" i="288"/>
  <c r="Q16" i="289"/>
  <c r="EI221" i="91"/>
  <c r="K225" i="33"/>
  <c r="H15" i="289"/>
  <c r="H24" i="288"/>
  <c r="A13" i="88"/>
  <c r="A15" i="88"/>
  <c r="K33" i="289"/>
  <c r="J12" i="288"/>
  <c r="J20" i="288"/>
  <c r="J147" i="33"/>
  <c r="L43" i="94"/>
  <c r="L42" i="88"/>
  <c r="L21" i="88"/>
  <c r="L46" i="94"/>
  <c r="M21" i="88"/>
  <c r="M43" i="94"/>
  <c r="M42" i="88"/>
  <c r="M46" i="94"/>
  <c r="Q54" i="288"/>
  <c r="A54" i="288"/>
  <c r="A55" i="288"/>
  <c r="Q29" i="289"/>
  <c r="A29" i="289"/>
  <c r="L147" i="33"/>
  <c r="L26" i="289"/>
  <c r="L244" i="33"/>
  <c r="Q90" i="75"/>
  <c r="R9" i="75"/>
  <c r="K234" i="33"/>
  <c r="A40" i="88"/>
  <c r="N63" i="288"/>
  <c r="K16" i="289"/>
  <c r="K47" i="288"/>
  <c r="L33" i="288"/>
  <c r="L225" i="33"/>
  <c r="P19" i="289"/>
  <c r="P20" i="289"/>
  <c r="P316" i="33"/>
  <c r="P150" i="33"/>
  <c r="M47" i="288"/>
  <c r="M16" i="289"/>
  <c r="Q45" i="288"/>
  <c r="A45" i="288"/>
  <c r="Q250" i="33"/>
  <c r="Q27" i="289"/>
  <c r="A27" i="289"/>
  <c r="G15" i="289"/>
  <c r="G24" i="288"/>
  <c r="G16" i="289"/>
  <c r="G47" i="288"/>
  <c r="I47" i="288"/>
  <c r="I16" i="289"/>
  <c r="A11" i="94"/>
  <c r="S10" i="94"/>
  <c r="S17" i="88"/>
  <c r="S307" i="33"/>
  <c r="S315" i="33"/>
  <c r="S317" i="33"/>
  <c r="S299" i="33"/>
  <c r="S38" i="94"/>
  <c r="S37" i="88"/>
  <c r="A19" i="289"/>
  <c r="N14" i="289"/>
  <c r="N38" i="94"/>
  <c r="N37" i="88"/>
  <c r="Q63" i="288"/>
  <c r="BK38" i="80"/>
  <c r="AB18" i="39"/>
  <c r="BK39" i="80"/>
  <c r="AA18" i="39"/>
  <c r="BK40" i="80"/>
  <c r="Z18" i="39"/>
  <c r="BK41" i="80"/>
  <c r="Y18" i="39"/>
  <c r="BK42" i="80"/>
  <c r="X18" i="39"/>
  <c r="BK43" i="80"/>
  <c r="W18" i="39"/>
  <c r="K65" i="288"/>
  <c r="K41" i="288"/>
  <c r="A22" i="289"/>
  <c r="H16" i="289"/>
  <c r="H47" i="288"/>
  <c r="A14" i="88"/>
  <c r="A11" i="88"/>
  <c r="A10" i="88"/>
  <c r="J16" i="289"/>
  <c r="J47" i="288"/>
  <c r="W15" i="39"/>
  <c r="J78" i="68"/>
  <c r="L44" i="288"/>
  <c r="M246" i="33"/>
  <c r="M241" i="33"/>
  <c r="M245" i="33"/>
  <c r="G64" i="288"/>
  <c r="A41" i="94"/>
  <c r="N15" i="289"/>
  <c r="N24" i="288"/>
  <c r="N12" i="288"/>
  <c r="N188" i="33"/>
  <c r="N118" i="33"/>
  <c r="N14" i="288"/>
  <c r="N64" i="288"/>
  <c r="L16" i="289"/>
  <c r="N33" i="289"/>
  <c r="M12" i="288"/>
  <c r="M20" i="288"/>
  <c r="M147" i="33"/>
  <c r="G12" i="288"/>
  <c r="H33" i="289"/>
  <c r="G147" i="33"/>
  <c r="G33" i="289"/>
  <c r="I15" i="289"/>
  <c r="I24" i="288"/>
  <c r="G42" i="88"/>
  <c r="G17" i="56"/>
  <c r="Q13" i="289"/>
  <c r="A13" i="289"/>
  <c r="A23" i="94"/>
  <c r="S16" i="88"/>
  <c r="S15" i="88"/>
  <c r="M14" i="289"/>
  <c r="A14" i="289"/>
  <c r="M38" i="94"/>
  <c r="M37" i="88"/>
  <c r="P63" i="288"/>
  <c r="O13" i="68"/>
  <c r="P25" i="68"/>
  <c r="Q327" i="33"/>
  <c r="O101" i="33"/>
  <c r="Q101" i="33"/>
  <c r="Q188" i="33"/>
  <c r="M73" i="33"/>
  <c r="M312" i="33"/>
  <c r="M309" i="33"/>
  <c r="Q15" i="289"/>
  <c r="Q24" i="288"/>
  <c r="H63" i="288"/>
  <c r="I33" i="289"/>
  <c r="H12" i="288"/>
  <c r="H147" i="33"/>
  <c r="A39" i="288"/>
  <c r="J15" i="289"/>
  <c r="J24" i="288"/>
  <c r="O295" i="33"/>
  <c r="O317" i="33"/>
  <c r="P297" i="33"/>
  <c r="J225" i="33"/>
  <c r="I42" i="288"/>
  <c r="J232" i="33"/>
  <c r="L20" i="288"/>
  <c r="G33" i="288"/>
  <c r="G225" i="33"/>
  <c r="G280" i="33"/>
  <c r="BQ12" i="80"/>
  <c r="BP38" i="80"/>
  <c r="BP39" i="80"/>
  <c r="BP40" i="80"/>
  <c r="BP41" i="80"/>
  <c r="BP42" i="80"/>
  <c r="BP43" i="80"/>
  <c r="BF38" i="80"/>
  <c r="BF39" i="80"/>
  <c r="BF40" i="80"/>
  <c r="BF41" i="80"/>
  <c r="BF42" i="80"/>
  <c r="BF43" i="80"/>
  <c r="Q46" i="288"/>
  <c r="A46" i="288"/>
  <c r="Q254" i="33"/>
  <c r="Q28" i="289"/>
  <c r="A28" i="289"/>
  <c r="O128" i="33"/>
  <c r="O16" i="288"/>
  <c r="A16" i="288"/>
  <c r="O198" i="33"/>
  <c r="O35" i="288"/>
  <c r="A35" i="288"/>
  <c r="O261" i="33"/>
  <c r="O48" i="288"/>
  <c r="A48" i="288"/>
  <c r="O193" i="33"/>
  <c r="O34" i="288"/>
  <c r="A34" i="288"/>
  <c r="O158" i="33"/>
  <c r="O173" i="33"/>
  <c r="O27" i="288"/>
  <c r="A27" i="288"/>
  <c r="O168" i="33"/>
  <c r="O26" i="288"/>
  <c r="A26" i="288"/>
  <c r="O123" i="33"/>
  <c r="O15" i="288"/>
  <c r="A15" i="288"/>
  <c r="O203" i="33"/>
  <c r="O36" i="288"/>
  <c r="A36" i="288"/>
  <c r="O133" i="33"/>
  <c r="O17" i="288"/>
  <c r="A17" i="288"/>
  <c r="O178" i="33"/>
  <c r="O28" i="288"/>
  <c r="A28" i="288"/>
  <c r="O163" i="33"/>
  <c r="O25" i="288"/>
  <c r="O256" i="33"/>
  <c r="O113" i="33"/>
  <c r="O13" i="288"/>
  <c r="A13" i="288"/>
  <c r="O276" i="33"/>
  <c r="O51" i="288"/>
  <c r="A51" i="288"/>
  <c r="O266" i="33"/>
  <c r="O49" i="288"/>
  <c r="A49" i="288"/>
  <c r="O271" i="33"/>
  <c r="O50" i="288"/>
  <c r="A50" i="288"/>
  <c r="O108" i="33"/>
  <c r="O208" i="33"/>
  <c r="O37" i="288"/>
  <c r="A37" i="288"/>
  <c r="Q12" i="288"/>
  <c r="Q33" i="289"/>
  <c r="P12" i="288"/>
  <c r="P147" i="33"/>
  <c r="K12" i="288"/>
  <c r="K20" i="288"/>
  <c r="L33" i="289"/>
  <c r="K147" i="33"/>
  <c r="K15" i="289"/>
  <c r="K24" i="288"/>
  <c r="P138" i="33"/>
  <c r="P18" i="288"/>
  <c r="A18" i="288"/>
  <c r="Q141" i="33"/>
  <c r="Q138" i="33"/>
  <c r="Q18" i="288"/>
  <c r="BN12" i="80"/>
  <c r="BM38" i="80"/>
  <c r="BM39" i="80"/>
  <c r="BM40" i="80"/>
  <c r="BM41" i="80"/>
  <c r="BM42" i="80"/>
  <c r="BM43" i="80"/>
  <c r="M79" i="38"/>
  <c r="M78" i="38"/>
  <c r="M77" i="38"/>
  <c r="M81" i="38"/>
  <c r="M76" i="38"/>
  <c r="M80" i="38"/>
  <c r="M63" i="288"/>
  <c r="A25" i="288"/>
  <c r="H33" i="288"/>
  <c r="H61" i="288"/>
  <c r="H62" i="288"/>
  <c r="H225" i="33"/>
  <c r="H280" i="33"/>
  <c r="I63" i="288"/>
  <c r="S14" i="88"/>
  <c r="S40" i="94"/>
  <c r="S39" i="88"/>
  <c r="S27" i="94"/>
  <c r="S27" i="88"/>
  <c r="S28" i="94"/>
  <c r="S28" i="88"/>
  <c r="S29" i="94"/>
  <c r="S29" i="88"/>
  <c r="N12" i="94"/>
  <c r="P47" i="288"/>
  <c r="R6" i="68"/>
  <c r="Q19" i="68"/>
  <c r="Q14" i="68"/>
  <c r="P213" i="33"/>
  <c r="P38" i="288"/>
  <c r="Q216" i="33"/>
  <c r="Q213" i="33"/>
  <c r="Q38" i="288"/>
  <c r="P24" i="288"/>
  <c r="I33" i="288"/>
  <c r="I225" i="33"/>
  <c r="I280" i="33"/>
  <c r="A23" i="88"/>
  <c r="A35" i="88"/>
  <c r="J63" i="288"/>
  <c r="J61" i="288"/>
  <c r="J62" i="288"/>
  <c r="N317" i="33"/>
  <c r="N36" i="94"/>
  <c r="A36" i="94"/>
  <c r="J65" i="288"/>
  <c r="J41" i="288"/>
  <c r="I30" i="289"/>
  <c r="L37" i="88"/>
  <c r="A38" i="94"/>
  <c r="L61" i="288"/>
  <c r="L62" i="288"/>
  <c r="M33" i="289"/>
  <c r="M33" i="288"/>
  <c r="M225" i="33"/>
  <c r="N16" i="289"/>
  <c r="N47" i="288"/>
  <c r="Q37" i="33"/>
  <c r="EH272" i="91"/>
  <c r="EH233" i="91"/>
  <c r="EH245" i="91"/>
  <c r="EH240" i="91"/>
  <c r="EH270" i="91"/>
  <c r="EH266" i="91"/>
  <c r="EI246" i="91"/>
  <c r="EI236" i="91"/>
  <c r="EI227" i="91"/>
  <c r="EI239" i="91"/>
  <c r="EI229" i="91"/>
  <c r="EI230" i="91"/>
  <c r="EI238" i="91"/>
  <c r="EI258" i="91"/>
  <c r="EI228" i="91"/>
  <c r="EH232" i="91"/>
  <c r="EH274" i="91"/>
  <c r="EH265" i="91"/>
  <c r="EH241" i="91"/>
  <c r="EH223" i="91"/>
  <c r="EH226" i="91"/>
  <c r="EH264" i="91"/>
  <c r="EI266" i="91"/>
  <c r="EI237" i="91"/>
  <c r="EI272" i="91"/>
  <c r="EI243" i="91"/>
  <c r="EI263" i="91"/>
  <c r="EH277" i="91"/>
  <c r="EH235" i="91"/>
  <c r="EH275" i="91"/>
  <c r="EH231" i="91"/>
  <c r="EH237" i="91"/>
  <c r="EH261" i="91"/>
  <c r="EI244" i="91"/>
  <c r="EI278" i="91"/>
  <c r="EI231" i="91"/>
  <c r="EI270" i="91"/>
  <c r="EI232" i="91"/>
  <c r="EI255" i="91"/>
  <c r="EI268" i="91"/>
  <c r="EI240" i="91"/>
  <c r="EI259" i="91"/>
  <c r="EI277" i="91"/>
  <c r="EI242" i="91"/>
  <c r="EI235" i="91"/>
  <c r="EI264" i="91"/>
  <c r="EH262" i="91"/>
  <c r="EH263" i="91"/>
  <c r="EH255" i="91"/>
  <c r="EH278" i="91"/>
  <c r="EH268" i="91"/>
  <c r="EH227" i="91"/>
  <c r="EI279" i="91"/>
  <c r="EI257" i="91"/>
  <c r="EI267" i="91"/>
  <c r="EI241" i="91"/>
  <c r="EI256" i="91"/>
  <c r="EI247" i="91"/>
  <c r="EI245" i="91"/>
  <c r="EI224" i="91"/>
  <c r="EI276" i="91"/>
  <c r="EI261" i="91"/>
  <c r="EI226" i="91"/>
  <c r="EI233" i="91"/>
  <c r="EI273" i="91"/>
  <c r="EI225" i="91"/>
  <c r="EI271" i="91"/>
  <c r="EI269" i="91"/>
  <c r="EI254" i="91"/>
  <c r="EI274" i="91"/>
  <c r="EI260" i="91"/>
  <c r="EI223" i="91"/>
  <c r="EI262" i="91"/>
  <c r="EI265" i="91"/>
  <c r="EI248" i="91"/>
  <c r="EI275" i="91"/>
  <c r="EI234" i="91"/>
  <c r="EH289" i="91"/>
  <c r="EH309" i="91"/>
  <c r="EH286" i="91"/>
  <c r="EH292" i="91"/>
  <c r="EH299" i="91"/>
  <c r="EH293" i="91"/>
  <c r="EH306" i="91"/>
  <c r="EH297" i="91"/>
  <c r="EH308" i="91"/>
  <c r="EH288" i="91"/>
  <c r="EH285" i="91"/>
  <c r="EH303" i="91"/>
  <c r="EH296" i="91"/>
  <c r="EH305" i="91"/>
  <c r="EH294" i="91"/>
  <c r="EH301" i="91"/>
  <c r="EH302" i="91"/>
  <c r="EH307" i="91"/>
  <c r="EH295" i="91"/>
  <c r="S20" i="88"/>
  <c r="P16" i="289"/>
  <c r="A19" i="288"/>
  <c r="A38" i="288"/>
  <c r="H14" i="56"/>
  <c r="P20" i="288"/>
  <c r="P15" i="289"/>
  <c r="I9" i="56"/>
  <c r="EI310" i="91"/>
  <c r="EI309" i="91"/>
  <c r="EI308" i="91"/>
  <c r="EI307" i="91"/>
  <c r="EI306" i="91"/>
  <c r="EI305" i="91"/>
  <c r="EI304" i="91"/>
  <c r="EI303" i="91"/>
  <c r="EI302" i="91"/>
  <c r="EI301" i="91"/>
  <c r="EI300" i="91"/>
  <c r="EI299" i="91"/>
  <c r="EI298" i="91"/>
  <c r="EI297" i="91"/>
  <c r="EI296" i="91"/>
  <c r="EI295" i="91"/>
  <c r="EI294" i="91"/>
  <c r="EI293" i="91"/>
  <c r="EI292" i="91"/>
  <c r="EI291" i="91"/>
  <c r="EI290" i="91"/>
  <c r="EI289" i="91"/>
  <c r="EI288" i="91"/>
  <c r="EI287" i="91"/>
  <c r="EI286" i="91"/>
  <c r="EI285" i="91"/>
  <c r="Q21" i="68"/>
  <c r="Q22" i="68"/>
  <c r="A14" i="68"/>
  <c r="Q33" i="288"/>
  <c r="Q225" i="33"/>
  <c r="O12" i="288"/>
  <c r="P33" i="289"/>
  <c r="BQ38" i="80"/>
  <c r="AB20" i="39"/>
  <c r="BQ39" i="80"/>
  <c r="AA20" i="39"/>
  <c r="BQ40" i="80"/>
  <c r="Z20" i="39"/>
  <c r="BQ41" i="80"/>
  <c r="Y20" i="39"/>
  <c r="BQ42" i="80"/>
  <c r="X20" i="39"/>
  <c r="BQ43" i="80"/>
  <c r="W20" i="39"/>
  <c r="M65" i="288"/>
  <c r="M41" i="288"/>
  <c r="BN38" i="80"/>
  <c r="AB19" i="39"/>
  <c r="BN39" i="80"/>
  <c r="AA19" i="39"/>
  <c r="BN40" i="80"/>
  <c r="Z19" i="39"/>
  <c r="BN41" i="80"/>
  <c r="Y19" i="39"/>
  <c r="BN42" i="80"/>
  <c r="X19" i="39"/>
  <c r="BN43" i="80"/>
  <c r="W19" i="39"/>
  <c r="G65" i="288"/>
  <c r="G41" i="288"/>
  <c r="P13" i="68"/>
  <c r="Q25" i="68"/>
  <c r="P61" i="288"/>
  <c r="N33" i="288"/>
  <c r="N61" i="288"/>
  <c r="N62" i="288"/>
  <c r="N225" i="33"/>
  <c r="N20" i="288"/>
  <c r="Q118" i="33"/>
  <c r="M26" i="289"/>
  <c r="M244" i="33"/>
  <c r="S13" i="88"/>
  <c r="K43" i="288"/>
  <c r="L239" i="33"/>
  <c r="L238" i="33"/>
  <c r="S12" i="94"/>
  <c r="S311" i="33"/>
  <c r="S308" i="33"/>
  <c r="S35" i="88"/>
  <c r="P65" i="288"/>
  <c r="P41" i="288"/>
  <c r="O33" i="289"/>
  <c r="A33" i="289"/>
  <c r="M44" i="288"/>
  <c r="N246" i="33"/>
  <c r="N245" i="33"/>
  <c r="N241" i="33"/>
  <c r="K78" i="68"/>
  <c r="S10" i="88"/>
  <c r="S11" i="88"/>
  <c r="S41" i="94"/>
  <c r="S40" i="88"/>
  <c r="S36" i="88"/>
  <c r="S23" i="88"/>
  <c r="L65" i="288"/>
  <c r="L41" i="288"/>
  <c r="S9" i="75"/>
  <c r="R90" i="75"/>
  <c r="C38" i="68"/>
  <c r="Q311" i="33"/>
  <c r="Q38" i="33"/>
  <c r="Q72" i="33"/>
  <c r="Q308" i="33"/>
  <c r="O308" i="33"/>
  <c r="P308" i="33"/>
  <c r="N42" i="94"/>
  <c r="N41" i="88"/>
  <c r="A41" i="88"/>
  <c r="N21" i="94"/>
  <c r="N45" i="94"/>
  <c r="N12" i="88"/>
  <c r="A12" i="88"/>
  <c r="A12" i="94"/>
  <c r="O63" i="288"/>
  <c r="I66" i="288"/>
  <c r="A37" i="88"/>
  <c r="S6" i="68"/>
  <c r="R19" i="68"/>
  <c r="R14" i="68"/>
  <c r="R21" i="68"/>
  <c r="R22" i="68"/>
  <c r="B1" i="38"/>
  <c r="E47" i="78"/>
  <c r="F47" i="78"/>
  <c r="O16" i="289"/>
  <c r="A16" i="289"/>
  <c r="O47" i="288"/>
  <c r="O15" i="289"/>
  <c r="A15" i="289"/>
  <c r="O24" i="288"/>
  <c r="A24" i="288"/>
  <c r="H20" i="288"/>
  <c r="H67" i="288"/>
  <c r="O118" i="33"/>
  <c r="O14" i="288"/>
  <c r="O64" i="288"/>
  <c r="O188" i="33"/>
  <c r="A12" i="288"/>
  <c r="G20" i="288"/>
  <c r="G67" i="288"/>
  <c r="S19" i="88"/>
  <c r="A47" i="288"/>
  <c r="S22" i="94"/>
  <c r="S22" i="88"/>
  <c r="S314" i="33"/>
  <c r="A63" i="288"/>
  <c r="N73" i="33"/>
  <c r="S72" i="33"/>
  <c r="N312" i="33"/>
  <c r="N309" i="33"/>
  <c r="R18" i="68"/>
  <c r="S9" i="68"/>
  <c r="M61" i="288"/>
  <c r="M62" i="288"/>
  <c r="N36" i="88"/>
  <c r="A36" i="88"/>
  <c r="N37" i="94"/>
  <c r="I65" i="288"/>
  <c r="I41" i="288"/>
  <c r="I52" i="288"/>
  <c r="I61" i="288"/>
  <c r="I62" i="288"/>
  <c r="H65" i="288"/>
  <c r="H41" i="288"/>
  <c r="H52" i="288"/>
  <c r="J84" i="33"/>
  <c r="J26" i="94"/>
  <c r="J26" i="88"/>
  <c r="J231" i="33"/>
  <c r="Q297" i="33"/>
  <c r="Q295" i="33"/>
  <c r="Q317" i="33"/>
  <c r="P295" i="33"/>
  <c r="P317" i="33"/>
  <c r="N147" i="33"/>
  <c r="EJ221" i="91"/>
  <c r="S18" i="88"/>
  <c r="G61" i="288"/>
  <c r="A20" i="289"/>
  <c r="P225" i="33"/>
  <c r="EJ245" i="91"/>
  <c r="EJ265" i="91"/>
  <c r="EJ271" i="91"/>
  <c r="EJ232" i="91"/>
  <c r="EJ241" i="91"/>
  <c r="EJ235" i="91"/>
  <c r="EJ272" i="91"/>
  <c r="EJ260" i="91"/>
  <c r="EJ273" i="91"/>
  <c r="EJ229" i="91"/>
  <c r="EJ246" i="91"/>
  <c r="EJ239" i="91"/>
  <c r="EJ247" i="91"/>
  <c r="EJ279" i="91"/>
  <c r="EJ225" i="91"/>
  <c r="EJ266" i="91"/>
  <c r="EJ254" i="91"/>
  <c r="EJ277" i="91"/>
  <c r="EJ227" i="91"/>
  <c r="EJ262" i="91"/>
  <c r="EJ255" i="91"/>
  <c r="EJ228" i="91"/>
  <c r="EJ263" i="91"/>
  <c r="EJ243" i="91"/>
  <c r="EJ238" i="91"/>
  <c r="EJ237" i="91"/>
  <c r="EJ226" i="91"/>
  <c r="EJ223" i="91"/>
  <c r="EJ258" i="91"/>
  <c r="EJ244" i="91"/>
  <c r="EJ236" i="91"/>
  <c r="I29" i="56"/>
  <c r="I18" i="56"/>
  <c r="I12" i="56"/>
  <c r="I28" i="56"/>
  <c r="I17" i="56"/>
  <c r="I11" i="56"/>
  <c r="I24" i="56"/>
  <c r="I16" i="56"/>
  <c r="I10" i="56"/>
  <c r="I31" i="56"/>
  <c r="I21" i="56"/>
  <c r="I27" i="56"/>
  <c r="I13" i="56"/>
  <c r="S90" i="75"/>
  <c r="T9" i="75"/>
  <c r="N26" i="289"/>
  <c r="N244" i="33"/>
  <c r="L25" i="289"/>
  <c r="L237" i="33"/>
  <c r="Q14" i="288"/>
  <c r="Q147" i="33"/>
  <c r="N65" i="288"/>
  <c r="N41" i="288"/>
  <c r="O20" i="288"/>
  <c r="J24" i="289"/>
  <c r="J227" i="33"/>
  <c r="C39" i="68"/>
  <c r="O33" i="288"/>
  <c r="O61" i="288"/>
  <c r="O225" i="33"/>
  <c r="EK221" i="91"/>
  <c r="G62" i="288"/>
  <c r="A62" i="288"/>
  <c r="T9" i="68"/>
  <c r="S18" i="68"/>
  <c r="Q73" i="33"/>
  <c r="Q312" i="33"/>
  <c r="Q309" i="33"/>
  <c r="O309" i="33"/>
  <c r="P309" i="33"/>
  <c r="L234" i="33"/>
  <c r="O147" i="33"/>
  <c r="Q65" i="288"/>
  <c r="Q41" i="288"/>
  <c r="I67" i="288"/>
  <c r="N43" i="94"/>
  <c r="N21" i="88"/>
  <c r="A21" i="88"/>
  <c r="N46" i="94"/>
  <c r="A21" i="94"/>
  <c r="N44" i="288"/>
  <c r="O246" i="33"/>
  <c r="O245" i="33"/>
  <c r="S21" i="94"/>
  <c r="S79" i="33"/>
  <c r="S309" i="33"/>
  <c r="S312" i="33"/>
  <c r="S19" i="68"/>
  <c r="S14" i="68"/>
  <c r="S21" i="68"/>
  <c r="S22" i="68"/>
  <c r="T6" i="68"/>
  <c r="L78" i="68"/>
  <c r="S12" i="88"/>
  <c r="S42" i="94"/>
  <c r="S41" i="88"/>
  <c r="S45" i="94"/>
  <c r="Q13" i="68"/>
  <c r="A25" i="68"/>
  <c r="R25" i="68"/>
  <c r="G52" i="288"/>
  <c r="EJ231" i="91"/>
  <c r="EJ264" i="91"/>
  <c r="EJ248" i="91"/>
  <c r="EJ256" i="91"/>
  <c r="EJ257" i="91"/>
  <c r="EJ242" i="91"/>
  <c r="EK267" i="91"/>
  <c r="EK237" i="91"/>
  <c r="EK234" i="91"/>
  <c r="EK277" i="91"/>
  <c r="EK254" i="91"/>
  <c r="EK259" i="91"/>
  <c r="EK257" i="91"/>
  <c r="EK265" i="91"/>
  <c r="EK242" i="91"/>
  <c r="EK264" i="91"/>
  <c r="EK230" i="91"/>
  <c r="EK266" i="91"/>
  <c r="EJ233" i="91"/>
  <c r="EJ234" i="91"/>
  <c r="EJ270" i="91"/>
  <c r="EJ268" i="91"/>
  <c r="EJ259" i="91"/>
  <c r="EK229" i="91"/>
  <c r="EK278" i="91"/>
  <c r="EK268" i="91"/>
  <c r="EK261" i="91"/>
  <c r="EK270" i="91"/>
  <c r="EK238" i="91"/>
  <c r="EK227" i="91"/>
  <c r="EK276" i="91"/>
  <c r="EK244" i="91"/>
  <c r="EK256" i="91"/>
  <c r="EK226" i="91"/>
  <c r="EK273" i="91"/>
  <c r="EK246" i="91"/>
  <c r="EK248" i="91"/>
  <c r="EK260" i="91"/>
  <c r="EK240" i="91"/>
  <c r="EK239" i="91"/>
  <c r="EK255" i="91"/>
  <c r="EJ267" i="91"/>
  <c r="EJ275" i="91"/>
  <c r="EJ278" i="91"/>
  <c r="EJ276" i="91"/>
  <c r="EJ240" i="91"/>
  <c r="EK231" i="91"/>
  <c r="EK243" i="91"/>
  <c r="EK228" i="91"/>
  <c r="EJ269" i="91"/>
  <c r="EJ230" i="91"/>
  <c r="EJ274" i="91"/>
  <c r="EJ261" i="91"/>
  <c r="EJ224" i="91"/>
  <c r="EK271" i="91"/>
  <c r="EK272" i="91"/>
  <c r="EK245" i="91"/>
  <c r="EK224" i="91"/>
  <c r="EK275" i="91"/>
  <c r="EK232" i="91"/>
  <c r="EK274" i="91"/>
  <c r="EK225" i="91"/>
  <c r="EK262" i="91"/>
  <c r="EK263" i="91"/>
  <c r="EK269" i="91"/>
  <c r="EK223" i="91"/>
  <c r="EK241" i="91"/>
  <c r="EK235" i="91"/>
  <c r="EK258" i="91"/>
  <c r="EK247" i="91"/>
  <c r="EK233" i="91"/>
  <c r="EK279" i="91"/>
  <c r="EK236" i="91"/>
  <c r="EJ286" i="91"/>
  <c r="EJ296" i="91"/>
  <c r="EJ304" i="91"/>
  <c r="EJ310" i="91"/>
  <c r="EJ306" i="91"/>
  <c r="EJ300" i="91"/>
  <c r="EJ308" i="91"/>
  <c r="EJ292" i="91"/>
  <c r="EJ298" i="91"/>
  <c r="EJ288" i="91"/>
  <c r="EJ290" i="91"/>
  <c r="EJ294" i="91"/>
  <c r="EJ302" i="91"/>
  <c r="A33" i="288"/>
  <c r="I14" i="56"/>
  <c r="EJ295" i="91"/>
  <c r="EJ289" i="91"/>
  <c r="EJ305" i="91"/>
  <c r="EJ299" i="91"/>
  <c r="EJ293" i="91"/>
  <c r="EJ309" i="91"/>
  <c r="EJ303" i="91"/>
  <c r="EJ297" i="91"/>
  <c r="EJ287" i="91"/>
  <c r="EJ291" i="91"/>
  <c r="EJ307" i="91"/>
  <c r="EJ285" i="91"/>
  <c r="EJ301" i="91"/>
  <c r="J9" i="56"/>
  <c r="EK310" i="91"/>
  <c r="EK309" i="91"/>
  <c r="EK308" i="91"/>
  <c r="EK307" i="91"/>
  <c r="EK306" i="91"/>
  <c r="EK305" i="91"/>
  <c r="EK304" i="91"/>
  <c r="EK303" i="91"/>
  <c r="EK302" i="91"/>
  <c r="EK301" i="91"/>
  <c r="EK300" i="91"/>
  <c r="EK299" i="91"/>
  <c r="EK298" i="91"/>
  <c r="EK297" i="91"/>
  <c r="EK296" i="91"/>
  <c r="EK295" i="91"/>
  <c r="EK294" i="91"/>
  <c r="EK293" i="91"/>
  <c r="EK292" i="91"/>
  <c r="EK291" i="91"/>
  <c r="EK290" i="91"/>
  <c r="EK289" i="91"/>
  <c r="EK288" i="91"/>
  <c r="EK287" i="91"/>
  <c r="EK286" i="91"/>
  <c r="EK285" i="91"/>
  <c r="S81" i="33"/>
  <c r="S313" i="33"/>
  <c r="S80" i="33"/>
  <c r="O26" i="289"/>
  <c r="O244" i="33"/>
  <c r="N42" i="88"/>
  <c r="A42" i="88"/>
  <c r="A43" i="94"/>
  <c r="C40" i="68"/>
  <c r="Q64" i="288"/>
  <c r="A64" i="288"/>
  <c r="Q61" i="288"/>
  <c r="A61" i="288"/>
  <c r="Q20" i="288"/>
  <c r="A14" i="288"/>
  <c r="M78" i="68"/>
  <c r="S21" i="88"/>
  <c r="S24" i="94"/>
  <c r="S43" i="94"/>
  <c r="S42" i="88"/>
  <c r="S46" i="94"/>
  <c r="U9" i="68"/>
  <c r="T18" i="68"/>
  <c r="T90" i="75"/>
  <c r="U9" i="75"/>
  <c r="U90" i="75"/>
  <c r="R13" i="68"/>
  <c r="S25" i="68"/>
  <c r="T19" i="68"/>
  <c r="T14" i="68"/>
  <c r="T21" i="68"/>
  <c r="T22" i="68"/>
  <c r="U6" i="68"/>
  <c r="O241" i="33"/>
  <c r="EL221" i="91"/>
  <c r="O65" i="288"/>
  <c r="A65" i="288"/>
  <c r="O41" i="288"/>
  <c r="J42" i="288"/>
  <c r="K232" i="33"/>
  <c r="J280" i="33"/>
  <c r="L43" i="288"/>
  <c r="M239" i="33"/>
  <c r="M238" i="33"/>
  <c r="M234" i="33"/>
  <c r="J30" i="289"/>
  <c r="EL275" i="91"/>
  <c r="EL229" i="91"/>
  <c r="EL276" i="91"/>
  <c r="EL266" i="91"/>
  <c r="EL259" i="91"/>
  <c r="EL258" i="91"/>
  <c r="EL245" i="91"/>
  <c r="EL225" i="91"/>
  <c r="EL273" i="91"/>
  <c r="EL254" i="91"/>
  <c r="EL269" i="91"/>
  <c r="EL240" i="91"/>
  <c r="EL261" i="91"/>
  <c r="EL247" i="91"/>
  <c r="EL234" i="91"/>
  <c r="EL231" i="91"/>
  <c r="EL264" i="91"/>
  <c r="EL268" i="91"/>
  <c r="EL248" i="91"/>
  <c r="EL257" i="91"/>
  <c r="EL233" i="91"/>
  <c r="EL271" i="91"/>
  <c r="EL230" i="91"/>
  <c r="EL224" i="91"/>
  <c r="EL267" i="91"/>
  <c r="EL270" i="91"/>
  <c r="EL263" i="91"/>
  <c r="EL279" i="91"/>
  <c r="EL274" i="91"/>
  <c r="EL226" i="91"/>
  <c r="EL278" i="91"/>
  <c r="EL265" i="91"/>
  <c r="EL277" i="91"/>
  <c r="EL244" i="91"/>
  <c r="EL242" i="91"/>
  <c r="EL235" i="91"/>
  <c r="EL238" i="91"/>
  <c r="EL246" i="91"/>
  <c r="EL260" i="91"/>
  <c r="EL272" i="91"/>
  <c r="EL237" i="91"/>
  <c r="EL241" i="91"/>
  <c r="EL232" i="91"/>
  <c r="EL228" i="91"/>
  <c r="EL236" i="91"/>
  <c r="EL262" i="91"/>
  <c r="EL223" i="91"/>
  <c r="EL256" i="91"/>
  <c r="EL255" i="91"/>
  <c r="EL243" i="91"/>
  <c r="EL227" i="91"/>
  <c r="EL239" i="91"/>
  <c r="J21" i="56"/>
  <c r="J27" i="56"/>
  <c r="J29" i="56"/>
  <c r="J10" i="56"/>
  <c r="J18" i="56"/>
  <c r="J28" i="56"/>
  <c r="J17" i="56"/>
  <c r="J11" i="56"/>
  <c r="J24" i="56"/>
  <c r="J16" i="56"/>
  <c r="J31" i="56"/>
  <c r="J12" i="56"/>
  <c r="J13" i="56"/>
  <c r="S82" i="33"/>
  <c r="EL310" i="91"/>
  <c r="EL306" i="91"/>
  <c r="EL302" i="91"/>
  <c r="EL298" i="91"/>
  <c r="EL288" i="91"/>
  <c r="V9" i="68"/>
  <c r="U18" i="68"/>
  <c r="N78" i="68"/>
  <c r="K84" i="33"/>
  <c r="K26" i="94"/>
  <c r="K26" i="88"/>
  <c r="K231" i="33"/>
  <c r="S13" i="68"/>
  <c r="T25" i="68"/>
  <c r="S24" i="88"/>
  <c r="S47" i="94"/>
  <c r="M43" i="288"/>
  <c r="N239" i="33"/>
  <c r="N238" i="33"/>
  <c r="A41" i="288"/>
  <c r="M25" i="289"/>
  <c r="M237" i="33"/>
  <c r="J66" i="288"/>
  <c r="J52" i="288"/>
  <c r="EM221" i="91"/>
  <c r="A20" i="288"/>
  <c r="O44" i="288"/>
  <c r="P246" i="33"/>
  <c r="P245" i="33"/>
  <c r="P241" i="33"/>
  <c r="V6" i="68"/>
  <c r="U19" i="68"/>
  <c r="U14" i="68"/>
  <c r="U21" i="68"/>
  <c r="U22" i="68"/>
  <c r="C41" i="68"/>
  <c r="EM231" i="91"/>
  <c r="EM265" i="91"/>
  <c r="EM229" i="91"/>
  <c r="EM268" i="91"/>
  <c r="EM226" i="91"/>
  <c r="EM270" i="91"/>
  <c r="EM276" i="91"/>
  <c r="EM266" i="91"/>
  <c r="EM240" i="91"/>
  <c r="EM238" i="91"/>
  <c r="EM267" i="91"/>
  <c r="EM275" i="91"/>
  <c r="EM255" i="91"/>
  <c r="EM236" i="91"/>
  <c r="EM248" i="91"/>
  <c r="EM247" i="91"/>
  <c r="EM235" i="91"/>
  <c r="EM233" i="91"/>
  <c r="EM243" i="91"/>
  <c r="EM242" i="91"/>
  <c r="EM271" i="91"/>
  <c r="EM261" i="91"/>
  <c r="EM254" i="91"/>
  <c r="EM256" i="91"/>
  <c r="EM273" i="91"/>
  <c r="EM232" i="91"/>
  <c r="EM225" i="91"/>
  <c r="EM260" i="91"/>
  <c r="EM239" i="91"/>
  <c r="EM237" i="91"/>
  <c r="EM272" i="91"/>
  <c r="EM241" i="91"/>
  <c r="EM227" i="91"/>
  <c r="EM244" i="91"/>
  <c r="EM224" i="91"/>
  <c r="EM246" i="91"/>
  <c r="EM279" i="91"/>
  <c r="EM263" i="91"/>
  <c r="EM259" i="91"/>
  <c r="EM258" i="91"/>
  <c r="EM223" i="91"/>
  <c r="EM278" i="91"/>
  <c r="EM264" i="91"/>
  <c r="EM262" i="91"/>
  <c r="EM245" i="91"/>
  <c r="EM274" i="91"/>
  <c r="EM228" i="91"/>
  <c r="EM269" i="91"/>
  <c r="EM257" i="91"/>
  <c r="EM230" i="91"/>
  <c r="EM277" i="91"/>
  <c r="EM234" i="91"/>
  <c r="J14" i="56"/>
  <c r="EL296" i="91"/>
  <c r="EL286" i="91"/>
  <c r="EL289" i="91"/>
  <c r="EL305" i="91"/>
  <c r="EL295" i="91"/>
  <c r="EL300" i="91"/>
  <c r="EL290" i="91"/>
  <c r="EL293" i="91"/>
  <c r="EL309" i="91"/>
  <c r="EL299" i="91"/>
  <c r="EL304" i="91"/>
  <c r="EL294" i="91"/>
  <c r="EL297" i="91"/>
  <c r="EL287" i="91"/>
  <c r="EL303" i="91"/>
  <c r="EL292" i="91"/>
  <c r="EL308" i="91"/>
  <c r="EL285" i="91"/>
  <c r="EL301" i="91"/>
  <c r="EL291" i="91"/>
  <c r="EL307" i="91"/>
  <c r="K9" i="56"/>
  <c r="EM309" i="91"/>
  <c r="EM307" i="91"/>
  <c r="EM305" i="91"/>
  <c r="EM303" i="91"/>
  <c r="EM301" i="91"/>
  <c r="EM299" i="91"/>
  <c r="EM297" i="91"/>
  <c r="EM295" i="91"/>
  <c r="EM293" i="91"/>
  <c r="EM291" i="91"/>
  <c r="EM289" i="91"/>
  <c r="EM287" i="91"/>
  <c r="EM285" i="91"/>
  <c r="P44" i="288"/>
  <c r="Q246" i="33"/>
  <c r="Q245" i="33"/>
  <c r="Q241" i="33"/>
  <c r="Q44" i="288"/>
  <c r="A44" i="288"/>
  <c r="W6" i="68"/>
  <c r="V19" i="68"/>
  <c r="V14" i="68"/>
  <c r="V21" i="68"/>
  <c r="V22" i="68"/>
  <c r="EN221" i="91"/>
  <c r="V18" i="68"/>
  <c r="W9" i="68"/>
  <c r="N25" i="289"/>
  <c r="N237" i="33"/>
  <c r="T13" i="68"/>
  <c r="U25" i="68"/>
  <c r="O78" i="68"/>
  <c r="P26" i="289"/>
  <c r="P244" i="33"/>
  <c r="J67" i="288"/>
  <c r="N234" i="33"/>
  <c r="K24" i="289"/>
  <c r="K227" i="33"/>
  <c r="C42" i="68"/>
  <c r="EN230" i="91"/>
  <c r="EN254" i="91"/>
  <c r="EN276" i="91"/>
  <c r="EN224" i="91"/>
  <c r="EN279" i="91"/>
  <c r="EN242" i="91"/>
  <c r="EN257" i="91"/>
  <c r="EN255" i="91"/>
  <c r="EN263" i="91"/>
  <c r="EN270" i="91"/>
  <c r="EN274" i="91"/>
  <c r="EN243" i="91"/>
  <c r="EN262" i="91"/>
  <c r="EN237" i="91"/>
  <c r="EN260" i="91"/>
  <c r="EN247" i="91"/>
  <c r="EN259" i="91"/>
  <c r="EN240" i="91"/>
  <c r="EN267" i="91"/>
  <c r="EN261" i="91"/>
  <c r="EN265" i="91"/>
  <c r="EN226" i="91"/>
  <c r="EN229" i="91"/>
  <c r="EN241" i="91"/>
  <c r="EN272" i="91"/>
  <c r="EN256" i="91"/>
  <c r="EN278" i="91"/>
  <c r="EN273" i="91"/>
  <c r="EN264" i="91"/>
  <c r="EN275" i="91"/>
  <c r="EN271" i="91"/>
  <c r="EN248" i="91"/>
  <c r="EN232" i="91"/>
  <c r="EN225" i="91"/>
  <c r="EN269" i="91"/>
  <c r="EN244" i="91"/>
  <c r="EN239" i="91"/>
  <c r="EN258" i="91"/>
  <c r="EN231" i="91"/>
  <c r="EN223" i="91"/>
  <c r="EN235" i="91"/>
  <c r="EN245" i="91"/>
  <c r="EN277" i="91"/>
  <c r="EN234" i="91"/>
  <c r="EN228" i="91"/>
  <c r="EN238" i="91"/>
  <c r="EN246" i="91"/>
  <c r="EN236" i="91"/>
  <c r="EN233" i="91"/>
  <c r="EN268" i="91"/>
  <c r="EN227" i="91"/>
  <c r="EN266" i="91"/>
  <c r="EM292" i="91"/>
  <c r="EM308" i="91"/>
  <c r="EM294" i="91"/>
  <c r="EM310" i="91"/>
  <c r="EM298" i="91"/>
  <c r="EM288" i="91"/>
  <c r="EM296" i="91"/>
  <c r="EM300" i="91"/>
  <c r="EM286" i="91"/>
  <c r="EM302" i="91"/>
  <c r="EM304" i="91"/>
  <c r="EM290" i="91"/>
  <c r="EM306" i="91"/>
  <c r="K29" i="56"/>
  <c r="K18" i="56"/>
  <c r="K12" i="56"/>
  <c r="K28" i="56"/>
  <c r="K17" i="56"/>
  <c r="K11" i="56"/>
  <c r="K24" i="56"/>
  <c r="K16" i="56"/>
  <c r="K10" i="56"/>
  <c r="L9" i="56"/>
  <c r="K31" i="56"/>
  <c r="K21" i="56"/>
  <c r="K27" i="56"/>
  <c r="K13" i="56"/>
  <c r="EN310" i="91"/>
  <c r="EN308" i="91"/>
  <c r="EN306" i="91"/>
  <c r="EN304" i="91"/>
  <c r="EN302" i="91"/>
  <c r="EN300" i="91"/>
  <c r="EN298" i="91"/>
  <c r="EN296" i="91"/>
  <c r="EN294" i="91"/>
  <c r="EN292" i="91"/>
  <c r="EN290" i="91"/>
  <c r="EN288" i="91"/>
  <c r="EN286" i="91"/>
  <c r="K42" i="288"/>
  <c r="L232" i="33"/>
  <c r="L84" i="33"/>
  <c r="L26" i="94"/>
  <c r="L26" i="88"/>
  <c r="L231" i="33"/>
  <c r="K280" i="33"/>
  <c r="K30" i="289"/>
  <c r="U13" i="68"/>
  <c r="V25" i="68"/>
  <c r="EO221" i="91"/>
  <c r="X6" i="68"/>
  <c r="W19" i="68"/>
  <c r="W14" i="68"/>
  <c r="W21" i="68"/>
  <c r="W22" i="68"/>
  <c r="N43" i="288"/>
  <c r="O239" i="33"/>
  <c r="O238" i="33"/>
  <c r="W18" i="68"/>
  <c r="X9" i="68"/>
  <c r="P78" i="68"/>
  <c r="C43" i="68"/>
  <c r="Q26" i="289"/>
  <c r="A26" i="289"/>
  <c r="Q244" i="33"/>
  <c r="EO227" i="91"/>
  <c r="EO238" i="91"/>
  <c r="EO277" i="91"/>
  <c r="EO276" i="91"/>
  <c r="EO225" i="91"/>
  <c r="EO226" i="91"/>
  <c r="EO262" i="91"/>
  <c r="EO263" i="91"/>
  <c r="EO261" i="91"/>
  <c r="EO273" i="91"/>
  <c r="EO256" i="91"/>
  <c r="EO236" i="91"/>
  <c r="EO232" i="91"/>
  <c r="EO269" i="91"/>
  <c r="EO230" i="91"/>
  <c r="EO239" i="91"/>
  <c r="EO271" i="91"/>
  <c r="EO257" i="91"/>
  <c r="EO243" i="91"/>
  <c r="EO231" i="91"/>
  <c r="K14" i="56"/>
  <c r="EN299" i="91"/>
  <c r="EN293" i="91"/>
  <c r="EN309" i="91"/>
  <c r="EN303" i="91"/>
  <c r="EN297" i="91"/>
  <c r="EN287" i="91"/>
  <c r="EN291" i="91"/>
  <c r="EN307" i="91"/>
  <c r="EN285" i="91"/>
  <c r="EN301" i="91"/>
  <c r="EN295" i="91"/>
  <c r="EN289" i="91"/>
  <c r="EN305" i="91"/>
  <c r="L28" i="56"/>
  <c r="L17" i="56"/>
  <c r="L11" i="56"/>
  <c r="L24" i="56"/>
  <c r="L16" i="56"/>
  <c r="L10" i="56"/>
  <c r="M9" i="56"/>
  <c r="L31" i="56"/>
  <c r="L21" i="56"/>
  <c r="L27" i="56"/>
  <c r="L13" i="56"/>
  <c r="L14" i="56"/>
  <c r="L29" i="56"/>
  <c r="L18" i="56"/>
  <c r="L12" i="56"/>
  <c r="O25" i="289"/>
  <c r="O237" i="33"/>
  <c r="EP221" i="91"/>
  <c r="K66" i="288"/>
  <c r="K52" i="288"/>
  <c r="L24" i="289"/>
  <c r="L30" i="289"/>
  <c r="L230" i="33"/>
  <c r="Y9" i="68"/>
  <c r="X18" i="68"/>
  <c r="V13" i="68"/>
  <c r="W25" i="68"/>
  <c r="C44" i="68"/>
  <c r="O234" i="33"/>
  <c r="L227" i="33"/>
  <c r="Q78" i="68"/>
  <c r="X19" i="68"/>
  <c r="X14" i="68"/>
  <c r="X21" i="68"/>
  <c r="X22" i="68"/>
  <c r="Y6" i="68"/>
  <c r="EO260" i="91"/>
  <c r="EO244" i="91"/>
  <c r="EO233" i="91"/>
  <c r="EO229" i="91"/>
  <c r="EO223" i="91"/>
  <c r="EO234" i="91"/>
  <c r="EO278" i="91"/>
  <c r="EO259" i="91"/>
  <c r="EP227" i="91"/>
  <c r="EP277" i="91"/>
  <c r="EP238" i="91"/>
  <c r="EP258" i="91"/>
  <c r="EP231" i="91"/>
  <c r="EP241" i="91"/>
  <c r="EP260" i="91"/>
  <c r="EP270" i="91"/>
  <c r="EP278" i="91"/>
  <c r="EP256" i="91"/>
  <c r="EP269" i="91"/>
  <c r="EP225" i="91"/>
  <c r="EP246" i="91"/>
  <c r="EP267" i="91"/>
  <c r="EO272" i="91"/>
  <c r="EO265" i="91"/>
  <c r="EO240" i="91"/>
  <c r="EO275" i="91"/>
  <c r="EO246" i="91"/>
  <c r="EO228" i="91"/>
  <c r="EO247" i="91"/>
  <c r="EO235" i="91"/>
  <c r="EP275" i="91"/>
  <c r="EP257" i="91"/>
  <c r="EP279" i="91"/>
  <c r="EP228" i="91"/>
  <c r="EO241" i="91"/>
  <c r="EO258" i="91"/>
  <c r="EO264" i="91"/>
  <c r="EO268" i="91"/>
  <c r="EO267" i="91"/>
  <c r="EO242" i="91"/>
  <c r="EO237" i="91"/>
  <c r="EO248" i="91"/>
  <c r="EP230" i="91"/>
  <c r="EP224" i="91"/>
  <c r="EP255" i="91"/>
  <c r="EP268" i="91"/>
  <c r="EP259" i="91"/>
  <c r="EP273" i="91"/>
  <c r="EP226" i="91"/>
  <c r="EP242" i="91"/>
  <c r="EP232" i="91"/>
  <c r="EP265" i="91"/>
  <c r="EP229" i="91"/>
  <c r="EP240" i="91"/>
  <c r="EP254" i="91"/>
  <c r="EP274" i="91"/>
  <c r="EP276" i="91"/>
  <c r="EP233" i="91"/>
  <c r="EP272" i="91"/>
  <c r="EP236" i="91"/>
  <c r="EP266" i="91"/>
  <c r="EP248" i="91"/>
  <c r="EP261" i="91"/>
  <c r="EP245" i="91"/>
  <c r="EO279" i="91"/>
  <c r="EO254" i="91"/>
  <c r="EO266" i="91"/>
  <c r="EO245" i="91"/>
  <c r="EO274" i="91"/>
  <c r="EO255" i="91"/>
  <c r="EO224" i="91"/>
  <c r="EO270" i="91"/>
  <c r="EP243" i="91"/>
  <c r="EP237" i="91"/>
  <c r="EP264" i="91"/>
  <c r="EP247" i="91"/>
  <c r="EP262" i="91"/>
  <c r="EP244" i="91"/>
  <c r="EP234" i="91"/>
  <c r="EP239" i="91"/>
  <c r="EP263" i="91"/>
  <c r="EP223" i="91"/>
  <c r="EP235" i="91"/>
  <c r="EP271" i="91"/>
  <c r="EO298" i="91"/>
  <c r="EO296" i="91"/>
  <c r="EO305" i="91"/>
  <c r="EO290" i="91"/>
  <c r="EO287" i="91"/>
  <c r="EO291" i="91"/>
  <c r="EO292" i="91"/>
  <c r="EO304" i="91"/>
  <c r="EO307" i="91"/>
  <c r="EO308" i="91"/>
  <c r="EO303" i="91"/>
  <c r="EO306" i="91"/>
  <c r="EO294" i="91"/>
  <c r="EO300" i="91"/>
  <c r="EO310" i="91"/>
  <c r="EO309" i="91"/>
  <c r="EO299" i="91"/>
  <c r="EO289" i="91"/>
  <c r="EO286" i="91"/>
  <c r="EO293" i="91"/>
  <c r="EO295" i="91"/>
  <c r="EO301" i="91"/>
  <c r="EO285" i="91"/>
  <c r="EO302" i="91"/>
  <c r="EO288" i="91"/>
  <c r="EO297" i="91"/>
  <c r="M29" i="56"/>
  <c r="M18" i="56"/>
  <c r="M12" i="56"/>
  <c r="M28" i="56"/>
  <c r="M17" i="56"/>
  <c r="M11" i="56"/>
  <c r="M24" i="56"/>
  <c r="M16" i="56"/>
  <c r="M10" i="56"/>
  <c r="N9" i="56"/>
  <c r="M31" i="56"/>
  <c r="M21" i="56"/>
  <c r="M27" i="56"/>
  <c r="M13" i="56"/>
  <c r="M14" i="56"/>
  <c r="EP310" i="91"/>
  <c r="EP309" i="91"/>
  <c r="EP308" i="91"/>
  <c r="EP307" i="91"/>
  <c r="EP306" i="91"/>
  <c r="EP305" i="91"/>
  <c r="EP304" i="91"/>
  <c r="EP303" i="91"/>
  <c r="EP302" i="91"/>
  <c r="EP301" i="91"/>
  <c r="EP300" i="91"/>
  <c r="EP299" i="91"/>
  <c r="EP298" i="91"/>
  <c r="EP297" i="91"/>
  <c r="EP296" i="91"/>
  <c r="EP295" i="91"/>
  <c r="EP294" i="91"/>
  <c r="EP293" i="91"/>
  <c r="EP292" i="91"/>
  <c r="EP291" i="91"/>
  <c r="EP290" i="91"/>
  <c r="EP289" i="91"/>
  <c r="EP288" i="91"/>
  <c r="EP287" i="91"/>
  <c r="EP286" i="91"/>
  <c r="EP285" i="91"/>
  <c r="Z6" i="68"/>
  <c r="Y19" i="68"/>
  <c r="Y14" i="68"/>
  <c r="Y21" i="68"/>
  <c r="Y22" i="68"/>
  <c r="C45" i="68"/>
  <c r="R78" i="68"/>
  <c r="Z9" i="68"/>
  <c r="Y18" i="68"/>
  <c r="EQ221" i="91"/>
  <c r="L42" i="288"/>
  <c r="M232" i="33"/>
  <c r="M84" i="33"/>
  <c r="M26" i="94"/>
  <c r="M26" i="88"/>
  <c r="M231" i="33"/>
  <c r="L280" i="33"/>
  <c r="W13" i="68"/>
  <c r="X25" i="68"/>
  <c r="K67" i="288"/>
  <c r="O43" i="288"/>
  <c r="P239" i="33"/>
  <c r="P238" i="33"/>
  <c r="EQ263" i="91"/>
  <c r="EQ239" i="91"/>
  <c r="EQ259" i="91"/>
  <c r="EQ278" i="91"/>
  <c r="EQ248" i="91"/>
  <c r="EQ236" i="91"/>
  <c r="EQ230" i="91"/>
  <c r="EQ256" i="91"/>
  <c r="EQ274" i="91"/>
  <c r="EQ261" i="91"/>
  <c r="EQ258" i="91"/>
  <c r="EQ237" i="91"/>
  <c r="EQ267" i="91"/>
  <c r="EQ224" i="91"/>
  <c r="EQ264" i="91"/>
  <c r="EQ273" i="91"/>
  <c r="EQ270" i="91"/>
  <c r="EQ234" i="91"/>
  <c r="EQ269" i="91"/>
  <c r="EQ271" i="91"/>
  <c r="EQ257" i="91"/>
  <c r="EQ223" i="91"/>
  <c r="EQ235" i="91"/>
  <c r="EQ276" i="91"/>
  <c r="EQ245" i="91"/>
  <c r="EQ233" i="91"/>
  <c r="EQ240" i="91"/>
  <c r="N12" i="56"/>
  <c r="N24" i="56"/>
  <c r="N13" i="56"/>
  <c r="N31" i="56"/>
  <c r="N17" i="56"/>
  <c r="N11" i="56"/>
  <c r="N29" i="56"/>
  <c r="N21" i="56"/>
  <c r="N27" i="56"/>
  <c r="N10" i="56"/>
  <c r="O9" i="56"/>
  <c r="N16" i="56"/>
  <c r="N28" i="56"/>
  <c r="N18" i="56"/>
  <c r="EQ298" i="91"/>
  <c r="X13" i="68"/>
  <c r="Y25" i="68"/>
  <c r="L66" i="288"/>
  <c r="L67" i="288"/>
  <c r="L52" i="288"/>
  <c r="C46" i="68"/>
  <c r="M24" i="289"/>
  <c r="M30" i="289"/>
  <c r="M230" i="33"/>
  <c r="ER221" i="91"/>
  <c r="Z18" i="68"/>
  <c r="AA9" i="68"/>
  <c r="P25" i="289"/>
  <c r="P237" i="33"/>
  <c r="M227" i="33"/>
  <c r="S78" i="68"/>
  <c r="AA6" i="68"/>
  <c r="Z19" i="68"/>
  <c r="Z14" i="68"/>
  <c r="Z21" i="68"/>
  <c r="Z22" i="68"/>
  <c r="P234" i="33"/>
  <c r="EQ232" i="91"/>
  <c r="ER269" i="91"/>
  <c r="ER270" i="91"/>
  <c r="ER256" i="91"/>
  <c r="EQ272" i="91"/>
  <c r="EQ268" i="91"/>
  <c r="EQ244" i="91"/>
  <c r="EQ260" i="91"/>
  <c r="EQ226" i="91"/>
  <c r="EQ225" i="91"/>
  <c r="EQ241" i="91"/>
  <c r="EQ279" i="91"/>
  <c r="EQ227" i="91"/>
  <c r="EQ228" i="91"/>
  <c r="ER277" i="91"/>
  <c r="ER248" i="91"/>
  <c r="ER246" i="91"/>
  <c r="ER265" i="91"/>
  <c r="ER226" i="91"/>
  <c r="ER272" i="91"/>
  <c r="ER264" i="91"/>
  <c r="ER243" i="91"/>
  <c r="ER245" i="91"/>
  <c r="ER241" i="91"/>
  <c r="EQ247" i="91"/>
  <c r="EQ254" i="91"/>
  <c r="ER267" i="91"/>
  <c r="ER254" i="91"/>
  <c r="ER258" i="91"/>
  <c r="EQ266" i="91"/>
  <c r="EQ229" i="91"/>
  <c r="EQ242" i="91"/>
  <c r="EQ255" i="91"/>
  <c r="EQ275" i="91"/>
  <c r="EQ265" i="91"/>
  <c r="EQ231" i="91"/>
  <c r="EQ238" i="91"/>
  <c r="EQ246" i="91"/>
  <c r="EQ243" i="91"/>
  <c r="EQ262" i="91"/>
  <c r="EQ277" i="91"/>
  <c r="ER263" i="91"/>
  <c r="ER275" i="91"/>
  <c r="ER230" i="91"/>
  <c r="ER257" i="91"/>
  <c r="ER279" i="91"/>
  <c r="ER236" i="91"/>
  <c r="ER268" i="91"/>
  <c r="ER262" i="91"/>
  <c r="ER225" i="91"/>
  <c r="ER240" i="91"/>
  <c r="EQ308" i="91"/>
  <c r="EQ296" i="91"/>
  <c r="EQ310" i="91"/>
  <c r="EQ286" i="91"/>
  <c r="EQ304" i="91"/>
  <c r="EQ290" i="91"/>
  <c r="EQ288" i="91"/>
  <c r="EQ294" i="91"/>
  <c r="EQ300" i="91"/>
  <c r="EQ292" i="91"/>
  <c r="EQ306" i="91"/>
  <c r="EQ302" i="91"/>
  <c r="EQ295" i="91"/>
  <c r="EQ289" i="91"/>
  <c r="EQ305" i="91"/>
  <c r="EQ299" i="91"/>
  <c r="EQ293" i="91"/>
  <c r="EQ309" i="91"/>
  <c r="EQ303" i="91"/>
  <c r="EQ297" i="91"/>
  <c r="EQ287" i="91"/>
  <c r="EQ291" i="91"/>
  <c r="EQ307" i="91"/>
  <c r="EQ285" i="91"/>
  <c r="EQ301" i="91"/>
  <c r="N14" i="56"/>
  <c r="O28" i="56"/>
  <c r="O17" i="56"/>
  <c r="O11" i="56"/>
  <c r="O32" i="56"/>
  <c r="O21" i="56"/>
  <c r="O27" i="56"/>
  <c r="O16" i="56"/>
  <c r="O10" i="56"/>
  <c r="O31" i="56"/>
  <c r="O20" i="56"/>
  <c r="O26" i="56"/>
  <c r="O13" i="56"/>
  <c r="O29" i="56"/>
  <c r="O18" i="56"/>
  <c r="O12" i="56"/>
  <c r="O24" i="56"/>
  <c r="ER310" i="91"/>
  <c r="ER308" i="91"/>
  <c r="ER298" i="91"/>
  <c r="ER288" i="91"/>
  <c r="T78" i="68"/>
  <c r="P43" i="288"/>
  <c r="Q239" i="33"/>
  <c r="Q238" i="33"/>
  <c r="Q234" i="33"/>
  <c r="Q43" i="288"/>
  <c r="A43" i="288"/>
  <c r="AB6" i="68"/>
  <c r="AA19" i="68"/>
  <c r="AA14" i="68"/>
  <c r="AA21" i="68"/>
  <c r="AA22" i="68"/>
  <c r="M42" i="288"/>
  <c r="N232" i="33"/>
  <c r="N84" i="33"/>
  <c r="N231" i="33"/>
  <c r="N227" i="33"/>
  <c r="M280" i="33"/>
  <c r="Y13" i="68"/>
  <c r="Z25" i="68"/>
  <c r="AA18" i="68"/>
  <c r="AB9" i="68"/>
  <c r="C47" i="68"/>
  <c r="ES221" i="91"/>
  <c r="ER274" i="91"/>
  <c r="ER273" i="91"/>
  <c r="ER224" i="91"/>
  <c r="ER229" i="91"/>
  <c r="ER266" i="91"/>
  <c r="ER259" i="91"/>
  <c r="ER247" i="91"/>
  <c r="ER261" i="91"/>
  <c r="ER244" i="91"/>
  <c r="ER227" i="91"/>
  <c r="ER278" i="91"/>
  <c r="ER242" i="91"/>
  <c r="ER233" i="91"/>
  <c r="ER260" i="91"/>
  <c r="ER232" i="91"/>
  <c r="ER228" i="91"/>
  <c r="ER235" i="91"/>
  <c r="ER237" i="91"/>
  <c r="ER271" i="91"/>
  <c r="ER231" i="91"/>
  <c r="ER276" i="91"/>
  <c r="ER223" i="91"/>
  <c r="ER234" i="91"/>
  <c r="ER239" i="91"/>
  <c r="ER255" i="91"/>
  <c r="ER238" i="91"/>
  <c r="ES276" i="91"/>
  <c r="ER300" i="91"/>
  <c r="ER296" i="91"/>
  <c r="ER302" i="91"/>
  <c r="ER290" i="91"/>
  <c r="ER294" i="91"/>
  <c r="ER304" i="91"/>
  <c r="ER306" i="91"/>
  <c r="ER292" i="91"/>
  <c r="ER286" i="91"/>
  <c r="O22" i="56"/>
  <c r="O23" i="56"/>
  <c r="O25" i="56"/>
  <c r="O30" i="56"/>
  <c r="O14" i="56"/>
  <c r="ER301" i="91"/>
  <c r="ER295" i="91"/>
  <c r="ER285" i="91"/>
  <c r="ER289" i="91"/>
  <c r="ER305" i="91"/>
  <c r="ER299" i="91"/>
  <c r="ER293" i="91"/>
  <c r="ER309" i="91"/>
  <c r="ER287" i="91"/>
  <c r="ER303" i="91"/>
  <c r="ER297" i="91"/>
  <c r="ER291" i="91"/>
  <c r="ER307" i="91"/>
  <c r="N42" i="288"/>
  <c r="O232" i="33"/>
  <c r="O84" i="33"/>
  <c r="O231" i="33"/>
  <c r="O227" i="33"/>
  <c r="N280" i="33"/>
  <c r="AB18" i="68"/>
  <c r="AC9" i="68"/>
  <c r="ET221" i="91"/>
  <c r="C48" i="68"/>
  <c r="A11" i="56"/>
  <c r="A27" i="56"/>
  <c r="A29" i="56"/>
  <c r="G80" i="68"/>
  <c r="Y36" i="56"/>
  <c r="G41" i="56"/>
  <c r="M41" i="56"/>
  <c r="N26" i="94"/>
  <c r="N26" i="88"/>
  <c r="S84" i="33"/>
  <c r="Q25" i="289"/>
  <c r="A25" i="289"/>
  <c r="Q237" i="33"/>
  <c r="U78" i="68"/>
  <c r="Z13" i="68"/>
  <c r="AA25" i="68"/>
  <c r="M66" i="288"/>
  <c r="M67" i="288"/>
  <c r="M52" i="288"/>
  <c r="AB19" i="68"/>
  <c r="AB14" i="68"/>
  <c r="AB21" i="68"/>
  <c r="AB22" i="68"/>
  <c r="AC6" i="68"/>
  <c r="N24" i="289"/>
  <c r="N30" i="289"/>
  <c r="N230" i="33"/>
  <c r="ES275" i="91"/>
  <c r="ES255" i="91"/>
  <c r="ES228" i="91"/>
  <c r="ES240" i="91"/>
  <c r="ES247" i="91"/>
  <c r="ES241" i="91"/>
  <c r="ES265" i="91"/>
  <c r="ES261" i="91"/>
  <c r="ES266" i="91"/>
  <c r="ES230" i="91"/>
  <c r="ES258" i="91"/>
  <c r="ES272" i="91"/>
  <c r="ET245" i="91"/>
  <c r="ET266" i="91"/>
  <c r="ET236" i="91"/>
  <c r="ET276" i="91"/>
  <c r="ET272" i="91"/>
  <c r="ES225" i="91"/>
  <c r="ES254" i="91"/>
  <c r="ES245" i="91"/>
  <c r="ES262" i="91"/>
  <c r="ES235" i="91"/>
  <c r="ES269" i="91"/>
  <c r="ES267" i="91"/>
  <c r="ES279" i="91"/>
  <c r="ES236" i="91"/>
  <c r="ES268" i="91"/>
  <c r="ES278" i="91"/>
  <c r="ES238" i="91"/>
  <c r="ES234" i="91"/>
  <c r="ET225" i="91"/>
  <c r="ET275" i="91"/>
  <c r="ET270" i="91"/>
  <c r="ET247" i="91"/>
  <c r="ET232" i="91"/>
  <c r="ET263" i="91"/>
  <c r="ET243" i="91"/>
  <c r="ET240" i="91"/>
  <c r="ET239" i="91"/>
  <c r="ET233" i="91"/>
  <c r="ET231" i="91"/>
  <c r="ET271" i="91"/>
  <c r="ET261" i="91"/>
  <c r="ES226" i="91"/>
  <c r="ES233" i="91"/>
  <c r="ET244" i="91"/>
  <c r="ET235" i="91"/>
  <c r="ET259" i="91"/>
  <c r="ET242" i="91"/>
  <c r="ET256" i="91"/>
  <c r="ET268" i="91"/>
  <c r="ET237" i="91"/>
  <c r="ET273" i="91"/>
  <c r="ET264" i="91"/>
  <c r="ET234" i="91"/>
  <c r="ES263" i="91"/>
  <c r="ES257" i="91"/>
  <c r="ES246" i="91"/>
  <c r="ES274" i="91"/>
  <c r="ES270" i="91"/>
  <c r="ES243" i="91"/>
  <c r="ES239" i="91"/>
  <c r="ES259" i="91"/>
  <c r="ES232" i="91"/>
  <c r="ES223" i="91"/>
  <c r="ES229" i="91"/>
  <c r="ET226" i="91"/>
  <c r="ET255" i="91"/>
  <c r="ET267" i="91"/>
  <c r="ES260" i="91"/>
  <c r="ES231" i="91"/>
  <c r="ES244" i="91"/>
  <c r="ES277" i="91"/>
  <c r="ES273" i="91"/>
  <c r="ES256" i="91"/>
  <c r="ES264" i="91"/>
  <c r="ES237" i="91"/>
  <c r="ES271" i="91"/>
  <c r="ES227" i="91"/>
  <c r="ES242" i="91"/>
  <c r="ES224" i="91"/>
  <c r="ES248" i="91"/>
  <c r="ET228" i="91"/>
  <c r="ET258" i="91"/>
  <c r="ET238" i="91"/>
  <c r="ET278" i="91"/>
  <c r="ET269" i="91"/>
  <c r="ET279" i="91"/>
  <c r="ET229" i="91"/>
  <c r="ET223" i="91"/>
  <c r="ET257" i="91"/>
  <c r="ET227" i="91"/>
  <c r="ET274" i="91"/>
  <c r="ET246" i="91"/>
  <c r="ET262" i="91"/>
  <c r="ET241" i="91"/>
  <c r="ET265" i="91"/>
  <c r="ET260" i="91"/>
  <c r="ET248" i="91"/>
  <c r="ET224" i="91"/>
  <c r="ET277" i="91"/>
  <c r="ET254" i="91"/>
  <c r="ET230" i="91"/>
  <c r="ES310" i="91"/>
  <c r="ES286" i="91"/>
  <c r="ES304" i="91"/>
  <c r="ES289" i="91"/>
  <c r="ES299" i="91"/>
  <c r="ES306" i="91"/>
  <c r="ES293" i="91"/>
  <c r="ES291" i="91"/>
  <c r="ES285" i="91"/>
  <c r="ES294" i="91"/>
  <c r="ES301" i="91"/>
  <c r="ES305" i="91"/>
  <c r="ES308" i="91"/>
  <c r="ES295" i="91"/>
  <c r="ES288" i="91"/>
  <c r="ES296" i="91"/>
  <c r="ES300" i="91"/>
  <c r="ES298" i="91"/>
  <c r="ES297" i="91"/>
  <c r="ES307" i="91"/>
  <c r="ES287" i="91"/>
  <c r="ES292" i="91"/>
  <c r="ES303" i="91"/>
  <c r="ES309" i="91"/>
  <c r="ES302" i="91"/>
  <c r="ES290" i="91"/>
  <c r="ET310" i="91"/>
  <c r="ET309" i="91"/>
  <c r="ET308" i="91"/>
  <c r="ET307" i="91"/>
  <c r="ET306" i="91"/>
  <c r="ET305" i="91"/>
  <c r="ET304" i="91"/>
  <c r="ET303" i="91"/>
  <c r="ET302" i="91"/>
  <c r="ET301" i="91"/>
  <c r="ET300" i="91"/>
  <c r="ET299" i="91"/>
  <c r="ET298" i="91"/>
  <c r="ET297" i="91"/>
  <c r="ET296" i="91"/>
  <c r="ET295" i="91"/>
  <c r="ET294" i="91"/>
  <c r="ET293" i="91"/>
  <c r="ET292" i="91"/>
  <c r="ET291" i="91"/>
  <c r="ET290" i="91"/>
  <c r="ET289" i="91"/>
  <c r="ET288" i="91"/>
  <c r="ET287" i="91"/>
  <c r="ET286" i="91"/>
  <c r="ET285" i="91"/>
  <c r="O42" i="288"/>
  <c r="P232" i="33"/>
  <c r="P84" i="33"/>
  <c r="P231" i="33"/>
  <c r="P227" i="33"/>
  <c r="O280" i="33"/>
  <c r="S26" i="94"/>
  <c r="S88" i="33"/>
  <c r="Y40" i="56"/>
  <c r="Y42" i="56"/>
  <c r="V48" i="56"/>
  <c r="EU221" i="91"/>
  <c r="N66" i="288"/>
  <c r="N67" i="288"/>
  <c r="N52" i="288"/>
  <c r="AD6" i="68"/>
  <c r="AC19" i="68"/>
  <c r="AC14" i="68"/>
  <c r="AC21" i="68"/>
  <c r="AC22" i="68"/>
  <c r="V78" i="68"/>
  <c r="J80" i="68"/>
  <c r="N80" i="68"/>
  <c r="R80" i="68"/>
  <c r="V80" i="68"/>
  <c r="Z80" i="68"/>
  <c r="AD80" i="68"/>
  <c r="K80" i="68"/>
  <c r="O80" i="68"/>
  <c r="S80" i="68"/>
  <c r="W80" i="68"/>
  <c r="AA80" i="68"/>
  <c r="AE80" i="68"/>
  <c r="H80" i="68"/>
  <c r="L80" i="68"/>
  <c r="P80" i="68"/>
  <c r="T80" i="68"/>
  <c r="X80" i="68"/>
  <c r="AB80" i="68"/>
  <c r="I80" i="68"/>
  <c r="M80" i="68"/>
  <c r="Q80" i="68"/>
  <c r="U80" i="68"/>
  <c r="Y80" i="68"/>
  <c r="AC80" i="68"/>
  <c r="AD9" i="68"/>
  <c r="AC18" i="68"/>
  <c r="O24" i="289"/>
  <c r="O30" i="289"/>
  <c r="O230" i="33"/>
  <c r="AA13" i="68"/>
  <c r="AB25" i="68"/>
  <c r="A16" i="56"/>
  <c r="C49" i="68"/>
  <c r="EU276" i="91"/>
  <c r="EU234" i="91"/>
  <c r="EU259" i="91"/>
  <c r="EU241" i="91"/>
  <c r="EU239" i="91"/>
  <c r="EU242" i="91"/>
  <c r="EU277" i="91"/>
  <c r="EU237" i="91"/>
  <c r="EU233" i="91"/>
  <c r="EU243" i="91"/>
  <c r="EU268" i="91"/>
  <c r="EU266" i="91"/>
  <c r="EU262" i="91"/>
  <c r="EU224" i="91"/>
  <c r="EU226" i="91"/>
  <c r="EU264" i="91"/>
  <c r="EU267" i="91"/>
  <c r="EU254" i="91"/>
  <c r="EU228" i="91"/>
  <c r="EU236" i="91"/>
  <c r="EU261" i="91"/>
  <c r="EU235" i="91"/>
  <c r="EU278" i="91"/>
  <c r="EU272" i="91"/>
  <c r="EU270" i="91"/>
  <c r="EU245" i="91"/>
  <c r="EU227" i="91"/>
  <c r="EU271" i="91"/>
  <c r="EU275" i="91"/>
  <c r="EU265" i="91"/>
  <c r="EU260" i="91"/>
  <c r="EU247" i="91"/>
  <c r="EU258" i="91"/>
  <c r="EU273" i="91"/>
  <c r="EU269" i="91"/>
  <c r="EU255" i="91"/>
  <c r="EU279" i="91"/>
  <c r="EU246" i="91"/>
  <c r="EU232" i="91"/>
  <c r="EU263" i="91"/>
  <c r="EU230" i="91"/>
  <c r="EU240" i="91"/>
  <c r="EU238" i="91"/>
  <c r="EU244" i="91"/>
  <c r="EU229" i="91"/>
  <c r="EU274" i="91"/>
  <c r="EU223" i="91"/>
  <c r="EU256" i="91"/>
  <c r="EU225" i="91"/>
  <c r="EU257" i="91"/>
  <c r="EU231" i="91"/>
  <c r="EU248" i="91"/>
  <c r="EU309" i="91"/>
  <c r="EU308" i="91"/>
  <c r="EU307" i="91"/>
  <c r="EU305" i="91"/>
  <c r="EU303" i="91"/>
  <c r="EU301" i="91"/>
  <c r="EU299" i="91"/>
  <c r="EU297" i="91"/>
  <c r="EU295" i="91"/>
  <c r="EU293" i="91"/>
  <c r="EU291" i="91"/>
  <c r="EU289" i="91"/>
  <c r="EU287" i="91"/>
  <c r="EU286" i="91"/>
  <c r="EU285" i="91"/>
  <c r="EV221" i="91"/>
  <c r="G36" i="56"/>
  <c r="O66" i="288"/>
  <c r="O67" i="288"/>
  <c r="O52" i="288"/>
  <c r="AB13" i="68"/>
  <c r="AC25" i="68"/>
  <c r="C50" i="68"/>
  <c r="W78" i="68"/>
  <c r="AD18" i="68"/>
  <c r="AE9" i="68"/>
  <c r="AE18" i="68"/>
  <c r="D47" i="68"/>
  <c r="AE6" i="68"/>
  <c r="AD19" i="68"/>
  <c r="AD14" i="68"/>
  <c r="AD21" i="68"/>
  <c r="AD22" i="68"/>
  <c r="P24" i="289"/>
  <c r="P30" i="289"/>
  <c r="P230" i="33"/>
  <c r="S26" i="88"/>
  <c r="S30" i="94"/>
  <c r="P42" i="288"/>
  <c r="Q232" i="33"/>
  <c r="Q84" i="33"/>
  <c r="Q231" i="33"/>
  <c r="P280" i="33"/>
  <c r="EV236" i="91"/>
  <c r="EV277" i="91"/>
  <c r="EV244" i="91"/>
  <c r="EV267" i="91"/>
  <c r="EV229" i="91"/>
  <c r="EV227" i="91"/>
  <c r="EV279" i="91"/>
  <c r="EV256" i="91"/>
  <c r="EV263" i="91"/>
  <c r="EV254" i="91"/>
  <c r="EV231" i="91"/>
  <c r="EV232" i="91"/>
  <c r="EV274" i="91"/>
  <c r="EV262" i="91"/>
  <c r="EV259" i="91"/>
  <c r="EV230" i="91"/>
  <c r="EV228" i="91"/>
  <c r="EV275" i="91"/>
  <c r="EV261" i="91"/>
  <c r="EV242" i="91"/>
  <c r="EV239" i="91"/>
  <c r="EV238" i="91"/>
  <c r="EV268" i="91"/>
  <c r="EV237" i="91"/>
  <c r="EV271" i="91"/>
  <c r="EV272" i="91"/>
  <c r="EV245" i="91"/>
  <c r="EV247" i="91"/>
  <c r="EV223" i="91"/>
  <c r="EV234" i="91"/>
  <c r="EV233" i="91"/>
  <c r="EV248" i="91"/>
  <c r="EV273" i="91"/>
  <c r="EV270" i="91"/>
  <c r="EV269" i="91"/>
  <c r="EV260" i="91"/>
  <c r="EV241" i="91"/>
  <c r="EV257" i="91"/>
  <c r="EV266" i="91"/>
  <c r="EV264" i="91"/>
  <c r="EV258" i="91"/>
  <c r="EV225" i="91"/>
  <c r="EV265" i="91"/>
  <c r="EV278" i="91"/>
  <c r="EV246" i="91"/>
  <c r="EV255" i="91"/>
  <c r="EV240" i="91"/>
  <c r="EV276" i="91"/>
  <c r="EV226" i="91"/>
  <c r="EV243" i="91"/>
  <c r="EV224" i="91"/>
  <c r="EV235" i="91"/>
  <c r="EU302" i="91"/>
  <c r="EU292" i="91"/>
  <c r="EU290" i="91"/>
  <c r="EU306" i="91"/>
  <c r="EU296" i="91"/>
  <c r="EU294" i="91"/>
  <c r="EU310" i="91"/>
  <c r="EU300" i="91"/>
  <c r="EU298" i="91"/>
  <c r="EU288" i="91"/>
  <c r="EU304" i="91"/>
  <c r="D46" i="68"/>
  <c r="Y46" i="68"/>
  <c r="EV310" i="91"/>
  <c r="EV309" i="91"/>
  <c r="EV308" i="91"/>
  <c r="EV307" i="91"/>
  <c r="EV306" i="91"/>
  <c r="EV305" i="91"/>
  <c r="EV304" i="91"/>
  <c r="EV303" i="91"/>
  <c r="EV302" i="91"/>
  <c r="EV301" i="91"/>
  <c r="EV300" i="91"/>
  <c r="EV299" i="91"/>
  <c r="EV298" i="91"/>
  <c r="EV297" i="91"/>
  <c r="EV296" i="91"/>
  <c r="EV295" i="91"/>
  <c r="EV294" i="91"/>
  <c r="EV293" i="91"/>
  <c r="EV292" i="91"/>
  <c r="EV291" i="91"/>
  <c r="EV290" i="91"/>
  <c r="EV289" i="91"/>
  <c r="EV288" i="91"/>
  <c r="EV287" i="91"/>
  <c r="EV286" i="91"/>
  <c r="EV285" i="91"/>
  <c r="AE19" i="68"/>
  <c r="AE14" i="68"/>
  <c r="P66" i="288"/>
  <c r="P67" i="288"/>
  <c r="P52" i="288"/>
  <c r="C52" i="68"/>
  <c r="D28" i="68"/>
  <c r="D29" i="68"/>
  <c r="D32" i="68"/>
  <c r="D31" i="68"/>
  <c r="D30" i="68"/>
  <c r="D34" i="68"/>
  <c r="D33" i="68"/>
  <c r="D35" i="68"/>
  <c r="D37" i="68"/>
  <c r="D36" i="68"/>
  <c r="D39" i="68"/>
  <c r="D41" i="68"/>
  <c r="D38" i="68"/>
  <c r="D40" i="68"/>
  <c r="D43" i="68"/>
  <c r="D42" i="68"/>
  <c r="D45" i="68"/>
  <c r="X78" i="68"/>
  <c r="D49" i="68"/>
  <c r="G40" i="56"/>
  <c r="M36" i="56"/>
  <c r="Q24" i="289"/>
  <c r="Q230" i="33"/>
  <c r="S30" i="88"/>
  <c r="D50" i="68"/>
  <c r="Z47" i="68"/>
  <c r="C51" i="68"/>
  <c r="D51" i="68"/>
  <c r="AD51" i="68"/>
  <c r="D44" i="68"/>
  <c r="D48" i="68"/>
  <c r="Q227" i="33"/>
  <c r="AC13" i="68"/>
  <c r="AD25" i="68"/>
  <c r="EW221" i="91"/>
  <c r="EW235" i="91"/>
  <c r="EX221" i="91"/>
  <c r="AD13" i="68"/>
  <c r="AE25" i="68"/>
  <c r="AC50" i="68"/>
  <c r="AD50" i="68"/>
  <c r="AE50" i="68"/>
  <c r="Q30" i="289"/>
  <c r="A30" i="289"/>
  <c r="A24" i="289"/>
  <c r="AB49" i="68"/>
  <c r="AC49" i="68"/>
  <c r="AD49" i="68"/>
  <c r="AE49" i="68"/>
  <c r="X45" i="68"/>
  <c r="Q38" i="68"/>
  <c r="A38" i="68"/>
  <c r="P37" i="68"/>
  <c r="Q37" i="68"/>
  <c r="R37" i="68"/>
  <c r="I30" i="68"/>
  <c r="J30" i="68"/>
  <c r="G28" i="68"/>
  <c r="H28" i="68"/>
  <c r="Z46" i="68"/>
  <c r="AA48" i="68"/>
  <c r="AB48" i="68"/>
  <c r="AC48" i="68"/>
  <c r="Q42" i="288"/>
  <c r="Q280" i="33"/>
  <c r="U42" i="68"/>
  <c r="V42" i="68"/>
  <c r="T41" i="68"/>
  <c r="N35" i="68"/>
  <c r="O35" i="68"/>
  <c r="J31" i="68"/>
  <c r="AA47" i="68"/>
  <c r="V43" i="68"/>
  <c r="W43" i="68"/>
  <c r="R39" i="68"/>
  <c r="L33" i="68"/>
  <c r="M33" i="68"/>
  <c r="K32" i="68"/>
  <c r="L32" i="68"/>
  <c r="M32" i="68"/>
  <c r="W44" i="68"/>
  <c r="M40" i="56"/>
  <c r="M42" i="56"/>
  <c r="I48" i="56"/>
  <c r="G42" i="56"/>
  <c r="G48" i="56"/>
  <c r="Y78" i="68"/>
  <c r="S40" i="68"/>
  <c r="O36" i="68"/>
  <c r="M34" i="68"/>
  <c r="H29" i="68"/>
  <c r="AE51" i="68"/>
  <c r="AE21" i="68"/>
  <c r="AE22" i="68"/>
  <c r="D14" i="68"/>
  <c r="EW246" i="91"/>
  <c r="EW272" i="91"/>
  <c r="EW271" i="91"/>
  <c r="EW224" i="91"/>
  <c r="EW240" i="91"/>
  <c r="EW262" i="91"/>
  <c r="EW259" i="91"/>
  <c r="EW227" i="91"/>
  <c r="EW279" i="91"/>
  <c r="EW244" i="91"/>
  <c r="EW270" i="91"/>
  <c r="EW231" i="91"/>
  <c r="EW257" i="91"/>
  <c r="EW263" i="91"/>
  <c r="EW278" i="91"/>
  <c r="EW269" i="91"/>
  <c r="EW241" i="91"/>
  <c r="EX264" i="91"/>
  <c r="EX267" i="91"/>
  <c r="EX231" i="91"/>
  <c r="EX246" i="91"/>
  <c r="EX248" i="91"/>
  <c r="EX245" i="91"/>
  <c r="EW265" i="91"/>
  <c r="EW245" i="91"/>
  <c r="EW264" i="91"/>
  <c r="EW230" i="91"/>
  <c r="EW248" i="91"/>
  <c r="EW277" i="91"/>
  <c r="EW258" i="91"/>
  <c r="EW274" i="91"/>
  <c r="EW260" i="91"/>
  <c r="EW275" i="91"/>
  <c r="EW276" i="91"/>
  <c r="EW255" i="91"/>
  <c r="EW247" i="91"/>
  <c r="EW226" i="91"/>
  <c r="EW236" i="91"/>
  <c r="EW254" i="91"/>
  <c r="EW256" i="91"/>
  <c r="EX273" i="91"/>
  <c r="EX237" i="91"/>
  <c r="EX234" i="91"/>
  <c r="EX224" i="91"/>
  <c r="EW234" i="91"/>
  <c r="EW261" i="91"/>
  <c r="EW268" i="91"/>
  <c r="EW229" i="91"/>
  <c r="EW243" i="91"/>
  <c r="EW237" i="91"/>
  <c r="EW225" i="91"/>
  <c r="EW239" i="91"/>
  <c r="EW223" i="91"/>
  <c r="EW232" i="91"/>
  <c r="EW267" i="91"/>
  <c r="EW233" i="91"/>
  <c r="EW273" i="91"/>
  <c r="EW228" i="91"/>
  <c r="EW238" i="91"/>
  <c r="EW242" i="91"/>
  <c r="EW266" i="91"/>
  <c r="EX235" i="91"/>
  <c r="EX223" i="91"/>
  <c r="EX228" i="91"/>
  <c r="EX227" i="91"/>
  <c r="EW301" i="91"/>
  <c r="EW294" i="91"/>
  <c r="EW310" i="91"/>
  <c r="EW308" i="91"/>
  <c r="EW287" i="91"/>
  <c r="EW303" i="91"/>
  <c r="EW304" i="91"/>
  <c r="EW289" i="91"/>
  <c r="EW305" i="91"/>
  <c r="EW298" i="91"/>
  <c r="EW291" i="91"/>
  <c r="EW307" i="91"/>
  <c r="EW288" i="91"/>
  <c r="EW293" i="91"/>
  <c r="EW309" i="91"/>
  <c r="EW286" i="91"/>
  <c r="EW302" i="91"/>
  <c r="EW295" i="91"/>
  <c r="EW285" i="91"/>
  <c r="EW292" i="91"/>
  <c r="EW297" i="91"/>
  <c r="EW290" i="91"/>
  <c r="EW306" i="91"/>
  <c r="EW296" i="91"/>
  <c r="EW299" i="91"/>
  <c r="EW300" i="91"/>
  <c r="R38" i="68"/>
  <c r="S38" i="68"/>
  <c r="P35" i="68"/>
  <c r="Q35" i="68"/>
  <c r="N32" i="68"/>
  <c r="O32" i="68"/>
  <c r="W42" i="68"/>
  <c r="X42" i="68"/>
  <c r="S37" i="68"/>
  <c r="T37" i="68"/>
  <c r="N33" i="68"/>
  <c r="O33" i="68"/>
  <c r="AD48" i="68"/>
  <c r="AE48" i="68"/>
  <c r="H53" i="68"/>
  <c r="I28" i="68"/>
  <c r="J28" i="68"/>
  <c r="N34" i="68"/>
  <c r="P36" i="68"/>
  <c r="Q36" i="68"/>
  <c r="T40" i="68"/>
  <c r="U40" i="68"/>
  <c r="X44" i="68"/>
  <c r="Y44" i="68"/>
  <c r="Z44" i="68"/>
  <c r="D52" i="68"/>
  <c r="AE52" i="68"/>
  <c r="S39" i="68"/>
  <c r="X43" i="68"/>
  <c r="K31" i="68"/>
  <c r="L31" i="68"/>
  <c r="U41" i="68"/>
  <c r="Q66" i="288"/>
  <c r="Q52" i="288"/>
  <c r="A42" i="288"/>
  <c r="A37" i="68"/>
  <c r="Y45" i="68"/>
  <c r="AB47" i="68"/>
  <c r="AC47" i="68"/>
  <c r="AD47" i="68"/>
  <c r="AE47" i="68"/>
  <c r="EY221" i="91"/>
  <c r="I29" i="68"/>
  <c r="AA46" i="68"/>
  <c r="Y81" i="68"/>
  <c r="Y82" i="68"/>
  <c r="Y84" i="68"/>
  <c r="Y87" i="68"/>
  <c r="Z78" i="68"/>
  <c r="G53" i="68"/>
  <c r="K30" i="68"/>
  <c r="L30" i="68"/>
  <c r="AE13" i="68"/>
  <c r="D13" i="68"/>
  <c r="EX233" i="91"/>
  <c r="EX239" i="91"/>
  <c r="EX274" i="91"/>
  <c r="EX265" i="91"/>
  <c r="EX260" i="91"/>
  <c r="EX242" i="91"/>
  <c r="EX232" i="91"/>
  <c r="EX259" i="91"/>
  <c r="EX262" i="91"/>
  <c r="EX236" i="91"/>
  <c r="EY271" i="91"/>
  <c r="EY269" i="91"/>
  <c r="EY276" i="91"/>
  <c r="EY279" i="91"/>
  <c r="EY263" i="91"/>
  <c r="EY274" i="91"/>
  <c r="EY233" i="91"/>
  <c r="EX269" i="91"/>
  <c r="EX225" i="91"/>
  <c r="EX258" i="91"/>
  <c r="EX270" i="91"/>
  <c r="EX278" i="91"/>
  <c r="EX240" i="91"/>
  <c r="EX263" i="91"/>
  <c r="EX257" i="91"/>
  <c r="EX238" i="91"/>
  <c r="EX254" i="91"/>
  <c r="EY273" i="91"/>
  <c r="EY266" i="91"/>
  <c r="EY234" i="91"/>
  <c r="EY256" i="91"/>
  <c r="EY228" i="91"/>
  <c r="EY237" i="91"/>
  <c r="EY226" i="91"/>
  <c r="EX266" i="91"/>
  <c r="EX272" i="91"/>
  <c r="EX247" i="91"/>
  <c r="EX230" i="91"/>
  <c r="EX241" i="91"/>
  <c r="EX268" i="91"/>
  <c r="EX243" i="91"/>
  <c r="EX255" i="91"/>
  <c r="EX275" i="91"/>
  <c r="EY278" i="91"/>
  <c r="EY259" i="91"/>
  <c r="EY238" i="91"/>
  <c r="EY232" i="91"/>
  <c r="EX261" i="91"/>
  <c r="EX256" i="91"/>
  <c r="EX226" i="91"/>
  <c r="EX276" i="91"/>
  <c r="EX244" i="91"/>
  <c r="EX271" i="91"/>
  <c r="EX229" i="91"/>
  <c r="EX279" i="91"/>
  <c r="EX277" i="91"/>
  <c r="EY277" i="91"/>
  <c r="EY257" i="91"/>
  <c r="EY236" i="91"/>
  <c r="EY264" i="91"/>
  <c r="EY245" i="91"/>
  <c r="EY268" i="91"/>
  <c r="EY260" i="91"/>
  <c r="EY227" i="91"/>
  <c r="EX308" i="91"/>
  <c r="EX310" i="91"/>
  <c r="EX291" i="91"/>
  <c r="EX306" i="91"/>
  <c r="EX307" i="91"/>
  <c r="EX288" i="91"/>
  <c r="EX286" i="91"/>
  <c r="EX305" i="91"/>
  <c r="EX299" i="91"/>
  <c r="EX303" i="91"/>
  <c r="EX292" i="91"/>
  <c r="EX309" i="91"/>
  <c r="EX297" i="91"/>
  <c r="EX285" i="91"/>
  <c r="EX300" i="91"/>
  <c r="EX302" i="91"/>
  <c r="EX289" i="91"/>
  <c r="EX287" i="91"/>
  <c r="EX298" i="91"/>
  <c r="EX293" i="91"/>
  <c r="EX290" i="91"/>
  <c r="EX294" i="91"/>
  <c r="EX304" i="91"/>
  <c r="EX296" i="91"/>
  <c r="EX301" i="91"/>
  <c r="EX295" i="91"/>
  <c r="R35" i="68"/>
  <c r="S35" i="68"/>
  <c r="T35" i="68"/>
  <c r="A35" i="68"/>
  <c r="R36" i="68"/>
  <c r="S36" i="68"/>
  <c r="T36" i="68"/>
  <c r="U36" i="68"/>
  <c r="A36" i="68"/>
  <c r="AA78" i="68"/>
  <c r="Z81" i="68"/>
  <c r="Z82" i="68"/>
  <c r="Z84" i="68"/>
  <c r="Z87" i="68"/>
  <c r="M31" i="68"/>
  <c r="N31" i="68"/>
  <c r="V40" i="68"/>
  <c r="W40" i="68"/>
  <c r="AA44" i="68"/>
  <c r="AB44" i="68"/>
  <c r="I53" i="68"/>
  <c r="P33" i="68"/>
  <c r="U37" i="68"/>
  <c r="P32" i="68"/>
  <c r="AB46" i="68"/>
  <c r="AC46" i="68"/>
  <c r="AD46" i="68"/>
  <c r="A52" i="288"/>
  <c r="Z45" i="68"/>
  <c r="Y42" i="68"/>
  <c r="M30" i="68"/>
  <c r="N30" i="68"/>
  <c r="G15" i="68"/>
  <c r="G54" i="68"/>
  <c r="J29" i="68"/>
  <c r="J53" i="68"/>
  <c r="Q67" i="288"/>
  <c r="A66" i="288"/>
  <c r="O34" i="68"/>
  <c r="T39" i="68"/>
  <c r="K28" i="68"/>
  <c r="T38" i="68"/>
  <c r="EZ221" i="91"/>
  <c r="H15" i="68"/>
  <c r="H54" i="68"/>
  <c r="Y43" i="68"/>
  <c r="V41" i="68"/>
  <c r="EY240" i="91"/>
  <c r="EY255" i="91"/>
  <c r="EY231" i="91"/>
  <c r="EY239" i="91"/>
  <c r="EY258" i="91"/>
  <c r="EY223" i="91"/>
  <c r="EZ275" i="91"/>
  <c r="EZ263" i="91"/>
  <c r="EZ230" i="91"/>
  <c r="EZ231" i="91"/>
  <c r="EZ277" i="91"/>
  <c r="EZ248" i="91"/>
  <c r="EZ273" i="91"/>
  <c r="EZ241" i="91"/>
  <c r="EZ279" i="91"/>
  <c r="EZ257" i="91"/>
  <c r="EY248" i="91"/>
  <c r="EY229" i="91"/>
  <c r="EY275" i="91"/>
  <c r="EY261" i="91"/>
  <c r="EY254" i="91"/>
  <c r="EY224" i="91"/>
  <c r="EZ268" i="91"/>
  <c r="EZ246" i="91"/>
  <c r="EZ244" i="91"/>
  <c r="EZ276" i="91"/>
  <c r="EZ271" i="91"/>
  <c r="EZ235" i="91"/>
  <c r="EZ233" i="91"/>
  <c r="EY262" i="91"/>
  <c r="EY267" i="91"/>
  <c r="EY270" i="91"/>
  <c r="EY243" i="91"/>
  <c r="EY242" i="91"/>
  <c r="EY247" i="91"/>
  <c r="EY246" i="91"/>
  <c r="EZ258" i="91"/>
  <c r="EZ224" i="91"/>
  <c r="EZ228" i="91"/>
  <c r="EZ232" i="91"/>
  <c r="EY230" i="91"/>
  <c r="EY225" i="91"/>
  <c r="EY244" i="91"/>
  <c r="EY265" i="91"/>
  <c r="EY235" i="91"/>
  <c r="EY241" i="91"/>
  <c r="EY272" i="91"/>
  <c r="EZ225" i="91"/>
  <c r="EZ223" i="91"/>
  <c r="EZ237" i="91"/>
  <c r="EZ239" i="91"/>
  <c r="EZ264" i="91"/>
  <c r="EZ267" i="91"/>
  <c r="EZ240" i="91"/>
  <c r="EZ261" i="91"/>
  <c r="EZ245" i="91"/>
  <c r="EZ266" i="91"/>
  <c r="EZ234" i="91"/>
  <c r="EZ269" i="91"/>
  <c r="EZ259" i="91"/>
  <c r="EZ243" i="91"/>
  <c r="EZ265" i="91"/>
  <c r="EZ260" i="91"/>
  <c r="EZ227" i="91"/>
  <c r="EZ256" i="91"/>
  <c r="EZ229" i="91"/>
  <c r="EZ272" i="91"/>
  <c r="EZ270" i="91"/>
  <c r="EZ247" i="91"/>
  <c r="EZ226" i="91"/>
  <c r="EZ278" i="91"/>
  <c r="EZ255" i="91"/>
  <c r="EZ254" i="91"/>
  <c r="EY286" i="91"/>
  <c r="EY302" i="91"/>
  <c r="EY303" i="91"/>
  <c r="EY288" i="91"/>
  <c r="EY304" i="91"/>
  <c r="EY305" i="91"/>
  <c r="EY297" i="91"/>
  <c r="EY290" i="91"/>
  <c r="EY306" i="91"/>
  <c r="EY287" i="91"/>
  <c r="EY285" i="91"/>
  <c r="EY292" i="91"/>
  <c r="EY308" i="91"/>
  <c r="EY289" i="91"/>
  <c r="EY309" i="91"/>
  <c r="EY294" i="91"/>
  <c r="EY310" i="91"/>
  <c r="EY291" i="91"/>
  <c r="EY296" i="91"/>
  <c r="EY293" i="91"/>
  <c r="EY299" i="91"/>
  <c r="EY298" i="91"/>
  <c r="EY295" i="91"/>
  <c r="EY300" i="91"/>
  <c r="EY301" i="91"/>
  <c r="EY307" i="91"/>
  <c r="K29" i="68"/>
  <c r="K53" i="68"/>
  <c r="AE46" i="68"/>
  <c r="EZ310" i="91"/>
  <c r="EZ309" i="91"/>
  <c r="EZ308" i="91"/>
  <c r="EZ307" i="91"/>
  <c r="EZ306" i="91"/>
  <c r="EZ303" i="91"/>
  <c r="EZ302" i="91"/>
  <c r="EZ301" i="91"/>
  <c r="EZ299" i="91"/>
  <c r="EZ297" i="91"/>
  <c r="EZ296" i="91"/>
  <c r="EZ295" i="91"/>
  <c r="EZ294" i="91"/>
  <c r="EZ292" i="91"/>
  <c r="EZ291" i="91"/>
  <c r="EZ290" i="91"/>
  <c r="EZ289" i="91"/>
  <c r="EZ288" i="91"/>
  <c r="EZ287" i="91"/>
  <c r="EZ286" i="91"/>
  <c r="EZ285" i="91"/>
  <c r="V36" i="68"/>
  <c r="W36" i="68"/>
  <c r="H55" i="68"/>
  <c r="H75" i="33"/>
  <c r="X40" i="68"/>
  <c r="Y40" i="68"/>
  <c r="Z40" i="68"/>
  <c r="AA40" i="68"/>
  <c r="AB40" i="68"/>
  <c r="AC40" i="68"/>
  <c r="AD40" i="68"/>
  <c r="AE40" i="68"/>
  <c r="FA221" i="91"/>
  <c r="U38" i="68"/>
  <c r="U39" i="68"/>
  <c r="V39" i="68"/>
  <c r="W39" i="68"/>
  <c r="X39" i="68"/>
  <c r="Y39" i="68"/>
  <c r="G11" i="68"/>
  <c r="AA45" i="68"/>
  <c r="V37" i="68"/>
  <c r="W37" i="68"/>
  <c r="X37" i="68"/>
  <c r="Z43" i="68"/>
  <c r="AA43" i="68"/>
  <c r="L28" i="68"/>
  <c r="P34" i="68"/>
  <c r="Q34" i="68"/>
  <c r="R34" i="68"/>
  <c r="S34" i="68"/>
  <c r="J15" i="68"/>
  <c r="J54" i="68"/>
  <c r="Q32" i="68"/>
  <c r="I15" i="68"/>
  <c r="I54" i="68"/>
  <c r="AB78" i="68"/>
  <c r="AA81" i="68"/>
  <c r="AA82" i="68"/>
  <c r="AA84" i="68"/>
  <c r="AA87" i="68"/>
  <c r="O30" i="68"/>
  <c r="Z42" i="68"/>
  <c r="Q33" i="68"/>
  <c r="A33" i="68"/>
  <c r="O31" i="68"/>
  <c r="AB45" i="68"/>
  <c r="AC45" i="68"/>
  <c r="AD45" i="68"/>
  <c r="AE45" i="68"/>
  <c r="U35" i="68"/>
  <c r="V35" i="68"/>
  <c r="W35" i="68"/>
  <c r="X35" i="68"/>
  <c r="Y35" i="68"/>
  <c r="Z35" i="68"/>
  <c r="AA35" i="68"/>
  <c r="AB35" i="68"/>
  <c r="AC35" i="68"/>
  <c r="AD35" i="68"/>
  <c r="AE35" i="68"/>
  <c r="W41" i="68"/>
  <c r="X41" i="68"/>
  <c r="Y41" i="68"/>
  <c r="A67" i="288"/>
  <c r="G55" i="68"/>
  <c r="G75" i="33"/>
  <c r="AC44" i="68"/>
  <c r="AD44" i="68"/>
  <c r="AE44" i="68"/>
  <c r="EZ262" i="91"/>
  <c r="EZ238" i="91"/>
  <c r="FA225" i="91"/>
  <c r="FA242" i="91"/>
  <c r="FA231" i="91"/>
  <c r="FA266" i="91"/>
  <c r="EZ242" i="91"/>
  <c r="FA275" i="91"/>
  <c r="FA232" i="91"/>
  <c r="FA269" i="91"/>
  <c r="FA264" i="91"/>
  <c r="FA272" i="91"/>
  <c r="FA267" i="91"/>
  <c r="FA263" i="91"/>
  <c r="FA228" i="91"/>
  <c r="FA255" i="91"/>
  <c r="FA279" i="91"/>
  <c r="FA274" i="91"/>
  <c r="FA258" i="91"/>
  <c r="FA260" i="91"/>
  <c r="FA270" i="91"/>
  <c r="FA261" i="91"/>
  <c r="FA259" i="91"/>
  <c r="FA236" i="91"/>
  <c r="FA229" i="91"/>
  <c r="FA271" i="91"/>
  <c r="FA247" i="91"/>
  <c r="FA238" i="91"/>
  <c r="EZ274" i="91"/>
  <c r="FA273" i="91"/>
  <c r="FA278" i="91"/>
  <c r="FA243" i="91"/>
  <c r="FA223" i="91"/>
  <c r="FA226" i="91"/>
  <c r="FA268" i="91"/>
  <c r="FA245" i="91"/>
  <c r="EZ236" i="91"/>
  <c r="FA256" i="91"/>
  <c r="FA233" i="91"/>
  <c r="FA241" i="91"/>
  <c r="FA240" i="91"/>
  <c r="FA227" i="91"/>
  <c r="FA262" i="91"/>
  <c r="FA234" i="91"/>
  <c r="FA237" i="91"/>
  <c r="FA246" i="91"/>
  <c r="FA239" i="91"/>
  <c r="FA276" i="91"/>
  <c r="FA277" i="91"/>
  <c r="FA244" i="91"/>
  <c r="FA235" i="91"/>
  <c r="FA230" i="91"/>
  <c r="FA224" i="91"/>
  <c r="FA248" i="91"/>
  <c r="FA254" i="91"/>
  <c r="FA265" i="91"/>
  <c r="FA257" i="91"/>
  <c r="EZ298" i="91"/>
  <c r="EZ305" i="91"/>
  <c r="EZ304" i="91"/>
  <c r="EZ300" i="91"/>
  <c r="EZ293" i="91"/>
  <c r="L29" i="68"/>
  <c r="M29" i="68"/>
  <c r="AB43" i="68"/>
  <c r="AC43" i="68"/>
  <c r="AD43" i="68"/>
  <c r="AE43" i="68"/>
  <c r="X36" i="68"/>
  <c r="Y36" i="68"/>
  <c r="Z36" i="68"/>
  <c r="A34" i="68"/>
  <c r="FA304" i="91"/>
  <c r="FA303" i="91"/>
  <c r="FA295" i="91"/>
  <c r="FA294" i="91"/>
  <c r="FA292" i="91"/>
  <c r="FA287" i="91"/>
  <c r="FA285" i="91"/>
  <c r="Y37" i="68"/>
  <c r="Z37" i="68"/>
  <c r="AA37" i="68"/>
  <c r="AB37" i="68"/>
  <c r="AC37" i="68"/>
  <c r="AD37" i="68"/>
  <c r="AE37" i="68"/>
  <c r="G314" i="33"/>
  <c r="G151" i="33"/>
  <c r="G152" i="33"/>
  <c r="G22" i="94"/>
  <c r="G79" i="33"/>
  <c r="Z41" i="68"/>
  <c r="AA41" i="68"/>
  <c r="AB41" i="68"/>
  <c r="AC41" i="68"/>
  <c r="AD41" i="68"/>
  <c r="AE41" i="68"/>
  <c r="P31" i="68"/>
  <c r="Q31" i="68"/>
  <c r="A31" i="68"/>
  <c r="R33" i="68"/>
  <c r="AA42" i="68"/>
  <c r="AB42" i="68"/>
  <c r="AC42" i="68"/>
  <c r="AD42" i="68"/>
  <c r="AE42" i="68"/>
  <c r="I55" i="68"/>
  <c r="I75" i="33"/>
  <c r="A32" i="68"/>
  <c r="R32" i="68"/>
  <c r="S32" i="68"/>
  <c r="T32" i="68"/>
  <c r="U32" i="68"/>
  <c r="V32" i="68"/>
  <c r="W32" i="68"/>
  <c r="X32" i="68"/>
  <c r="Y32" i="68"/>
  <c r="Z32" i="68"/>
  <c r="AA32" i="68"/>
  <c r="AB32" i="68"/>
  <c r="AC32" i="68"/>
  <c r="AD32" i="68"/>
  <c r="AE32" i="68"/>
  <c r="M28" i="68"/>
  <c r="H11" i="68"/>
  <c r="G57" i="68"/>
  <c r="H314" i="33"/>
  <c r="H151" i="33"/>
  <c r="H22" i="94"/>
  <c r="H20" i="56"/>
  <c r="H79" i="33"/>
  <c r="AC78" i="68"/>
  <c r="AB81" i="68"/>
  <c r="AB82" i="68"/>
  <c r="AB84" i="68"/>
  <c r="AB87" i="68"/>
  <c r="K15" i="68"/>
  <c r="K54" i="68"/>
  <c r="V38" i="68"/>
  <c r="FB221" i="91"/>
  <c r="P30" i="68"/>
  <c r="J55" i="68"/>
  <c r="J75" i="33"/>
  <c r="T34" i="68"/>
  <c r="U34" i="68"/>
  <c r="V34" i="68"/>
  <c r="W34" i="68"/>
  <c r="X34" i="68"/>
  <c r="Y34" i="68"/>
  <c r="Z34" i="68"/>
  <c r="AA34" i="68"/>
  <c r="AB34" i="68"/>
  <c r="AC34" i="68"/>
  <c r="AD34" i="68"/>
  <c r="AE34" i="68"/>
  <c r="Z39" i="68"/>
  <c r="AA39" i="68"/>
  <c r="AB39" i="68"/>
  <c r="AC39" i="68"/>
  <c r="FB231" i="91"/>
  <c r="FB233" i="91"/>
  <c r="FB235" i="91"/>
  <c r="FB225" i="91"/>
  <c r="FB247" i="91"/>
  <c r="FB264" i="91"/>
  <c r="FB270" i="91"/>
  <c r="FB228" i="91"/>
  <c r="FB267" i="91"/>
  <c r="FB227" i="91"/>
  <c r="FB263" i="91"/>
  <c r="FB245" i="91"/>
  <c r="FB232" i="91"/>
  <c r="FB259" i="91"/>
  <c r="FB230" i="91"/>
  <c r="FB275" i="91"/>
  <c r="FB261" i="91"/>
  <c r="FB238" i="91"/>
  <c r="FB257" i="91"/>
  <c r="FB277" i="91"/>
  <c r="FB239" i="91"/>
  <c r="FB242" i="91"/>
  <c r="FB266" i="91"/>
  <c r="FB255" i="91"/>
  <c r="FB226" i="91"/>
  <c r="V658" i="91"/>
  <c r="FB279" i="91"/>
  <c r="FB234" i="91"/>
  <c r="FB256" i="91"/>
  <c r="FB243" i="91"/>
  <c r="FB269" i="91"/>
  <c r="FB240" i="91"/>
  <c r="FB248" i="91"/>
  <c r="FB224" i="91"/>
  <c r="FB274" i="91"/>
  <c r="FB258" i="91"/>
  <c r="FB276" i="91"/>
  <c r="U658" i="91"/>
  <c r="FB273" i="91"/>
  <c r="FB229" i="91"/>
  <c r="FB237" i="91"/>
  <c r="FB278" i="91"/>
  <c r="FA289" i="91"/>
  <c r="FA309" i="91"/>
  <c r="FA306" i="91"/>
  <c r="FA307" i="91"/>
  <c r="FA300" i="91"/>
  <c r="FA305" i="91"/>
  <c r="FA297" i="91"/>
  <c r="FA310" i="91"/>
  <c r="FA302" i="91"/>
  <c r="FA308" i="91"/>
  <c r="FA296" i="91"/>
  <c r="FA286" i="91"/>
  <c r="FA288" i="91"/>
  <c r="FA301" i="91"/>
  <c r="FA298" i="91"/>
  <c r="FA299" i="91"/>
  <c r="FA293" i="91"/>
  <c r="FA290" i="91"/>
  <c r="FA291" i="91"/>
  <c r="L53" i="68"/>
  <c r="L54" i="68"/>
  <c r="N29" i="68"/>
  <c r="O29" i="68"/>
  <c r="P29" i="68"/>
  <c r="Q29" i="68"/>
  <c r="R29" i="68"/>
  <c r="S29" i="68"/>
  <c r="T29" i="68"/>
  <c r="U29" i="68"/>
  <c r="V29" i="68"/>
  <c r="W29" i="68"/>
  <c r="X29" i="68"/>
  <c r="Y29" i="68"/>
  <c r="Z29" i="68"/>
  <c r="AA29" i="68"/>
  <c r="AB29" i="68"/>
  <c r="AC29" i="68"/>
  <c r="AD29" i="68"/>
  <c r="AE29" i="68"/>
  <c r="H26" i="56"/>
  <c r="H22" i="56"/>
  <c r="AA36" i="68"/>
  <c r="AB36" i="68"/>
  <c r="AC36" i="68"/>
  <c r="AD36" i="68"/>
  <c r="AE36" i="68"/>
  <c r="M97" i="81"/>
  <c r="V1249" i="91"/>
  <c r="AM97" i="81"/>
  <c r="V1187" i="91"/>
  <c r="U1187" i="91"/>
  <c r="U1249" i="91"/>
  <c r="AL97" i="81"/>
  <c r="AC81" i="68"/>
  <c r="AC82" i="68"/>
  <c r="AC84" i="68"/>
  <c r="AC87" i="68"/>
  <c r="AD78" i="68"/>
  <c r="H57" i="68"/>
  <c r="I20" i="68"/>
  <c r="I11" i="68"/>
  <c r="Q30" i="68"/>
  <c r="R30" i="68"/>
  <c r="S30" i="68"/>
  <c r="T30" i="68"/>
  <c r="U30" i="68"/>
  <c r="V30" i="68"/>
  <c r="W30" i="68"/>
  <c r="X30" i="68"/>
  <c r="Y30" i="68"/>
  <c r="Z30" i="68"/>
  <c r="AA30" i="68"/>
  <c r="AB30" i="68"/>
  <c r="AC30" i="68"/>
  <c r="AD30" i="68"/>
  <c r="AE30" i="68"/>
  <c r="K55" i="68"/>
  <c r="K75" i="33"/>
  <c r="J25" i="39"/>
  <c r="H12" i="75"/>
  <c r="H54" i="75"/>
  <c r="H88" i="33"/>
  <c r="H80" i="33"/>
  <c r="H81" i="33"/>
  <c r="H82" i="33"/>
  <c r="H313" i="33"/>
  <c r="H90" i="33"/>
  <c r="H32" i="94"/>
  <c r="H32" i="88"/>
  <c r="H310" i="33"/>
  <c r="AM45" i="81"/>
  <c r="R31" i="68"/>
  <c r="G21" i="288"/>
  <c r="H149" i="33"/>
  <c r="H152" i="33"/>
  <c r="G289" i="33"/>
  <c r="G182" i="33"/>
  <c r="J151" i="33"/>
  <c r="J314" i="33"/>
  <c r="J22" i="94"/>
  <c r="J20" i="56"/>
  <c r="J79" i="33"/>
  <c r="FC221" i="91"/>
  <c r="H12" i="289"/>
  <c r="H22" i="88"/>
  <c r="H24" i="94"/>
  <c r="M53" i="68"/>
  <c r="N28" i="68"/>
  <c r="AD39" i="68"/>
  <c r="AE39" i="68"/>
  <c r="G58" i="68"/>
  <c r="H20" i="68"/>
  <c r="L15" i="68"/>
  <c r="I314" i="33"/>
  <c r="I151" i="33"/>
  <c r="I22" i="94"/>
  <c r="I20" i="56"/>
  <c r="I79" i="33"/>
  <c r="S33" i="68"/>
  <c r="T33" i="68"/>
  <c r="U33" i="68"/>
  <c r="V33" i="68"/>
  <c r="W33" i="68"/>
  <c r="X33" i="68"/>
  <c r="Y33" i="68"/>
  <c r="Z33" i="68"/>
  <c r="AA33" i="68"/>
  <c r="AB33" i="68"/>
  <c r="AC33" i="68"/>
  <c r="AD33" i="68"/>
  <c r="AE33" i="68"/>
  <c r="AF33" i="68"/>
  <c r="J24" i="39"/>
  <c r="G12" i="75"/>
  <c r="G54" i="75"/>
  <c r="G80" i="33"/>
  <c r="G81" i="33"/>
  <c r="G82" i="33"/>
  <c r="G313" i="33"/>
  <c r="G47" i="94"/>
  <c r="G88" i="33"/>
  <c r="G90" i="33"/>
  <c r="G32" i="94"/>
  <c r="G32" i="88"/>
  <c r="J19" i="85"/>
  <c r="G310" i="33"/>
  <c r="G329" i="33"/>
  <c r="AL63" i="80"/>
  <c r="W38" i="68"/>
  <c r="X38" i="68"/>
  <c r="Y38" i="68"/>
  <c r="Z38" i="68"/>
  <c r="AA38" i="68"/>
  <c r="AB38" i="68"/>
  <c r="AC38" i="68"/>
  <c r="AD38" i="68"/>
  <c r="AE38" i="68"/>
  <c r="G22" i="88"/>
  <c r="G12" i="289"/>
  <c r="G20" i="56"/>
  <c r="G24" i="94"/>
  <c r="FB268" i="91"/>
  <c r="FB236" i="91"/>
  <c r="FB254" i="91"/>
  <c r="FB272" i="91"/>
  <c r="FB262" i="91"/>
  <c r="FB260" i="91"/>
  <c r="FC226" i="91"/>
  <c r="FC269" i="91"/>
  <c r="FC267" i="91"/>
  <c r="FC276" i="91"/>
  <c r="FC272" i="91"/>
  <c r="FC260" i="91"/>
  <c r="FC238" i="91"/>
  <c r="FC264" i="91"/>
  <c r="FC265" i="91"/>
  <c r="FC262" i="91"/>
  <c r="FC259" i="91"/>
  <c r="FC235" i="91"/>
  <c r="FC233" i="91"/>
  <c r="X658" i="91"/>
  <c r="FC247" i="91"/>
  <c r="FC232" i="91"/>
  <c r="FC223" i="91"/>
  <c r="FC237" i="91"/>
  <c r="FC227" i="91"/>
  <c r="FC243" i="91"/>
  <c r="FC241" i="91"/>
  <c r="FC268" i="91"/>
  <c r="FC277" i="91"/>
  <c r="W658" i="91"/>
  <c r="FC229" i="91"/>
  <c r="FC240" i="91"/>
  <c r="FC275" i="91"/>
  <c r="FC273" i="91"/>
  <c r="FC278" i="91"/>
  <c r="FC234" i="91"/>
  <c r="FC271" i="91"/>
  <c r="FB265" i="91"/>
  <c r="FB241" i="91"/>
  <c r="FB223" i="91"/>
  <c r="FC256" i="91"/>
  <c r="FC239" i="91"/>
  <c r="FC244" i="91"/>
  <c r="FC245" i="91"/>
  <c r="FC257" i="91"/>
  <c r="FC263" i="91"/>
  <c r="FC230" i="91"/>
  <c r="FC242" i="91"/>
  <c r="FC248" i="91"/>
  <c r="FC224" i="91"/>
  <c r="FB271" i="91"/>
  <c r="FB246" i="91"/>
  <c r="FB244" i="91"/>
  <c r="FC261" i="91"/>
  <c r="FC258" i="91"/>
  <c r="FC246" i="91"/>
  <c r="FC279" i="91"/>
  <c r="FC228" i="91"/>
  <c r="FC225" i="91"/>
  <c r="FC231" i="91"/>
  <c r="FC255" i="91"/>
  <c r="FC236" i="91"/>
  <c r="FC266" i="91"/>
  <c r="FB288" i="91"/>
  <c r="FB286" i="91"/>
  <c r="FB310" i="91"/>
  <c r="FB294" i="91"/>
  <c r="FB304" i="91"/>
  <c r="FB298" i="91"/>
  <c r="FB308" i="91"/>
  <c r="FB302" i="91"/>
  <c r="FB300" i="91"/>
  <c r="FB292" i="91"/>
  <c r="FB306" i="91"/>
  <c r="FB296" i="91"/>
  <c r="FB290" i="91"/>
  <c r="FB285" i="91"/>
  <c r="FB289" i="91"/>
  <c r="FB305" i="91"/>
  <c r="FB295" i="91"/>
  <c r="FB293" i="91"/>
  <c r="FB309" i="91"/>
  <c r="FB299" i="91"/>
  <c r="FB297" i="91"/>
  <c r="FB287" i="91"/>
  <c r="FB303" i="91"/>
  <c r="FB301" i="91"/>
  <c r="FB291" i="91"/>
  <c r="FB307" i="91"/>
  <c r="H58" i="68"/>
  <c r="H61" i="68"/>
  <c r="A29" i="68"/>
  <c r="J26" i="56"/>
  <c r="J22" i="56"/>
  <c r="I26" i="56"/>
  <c r="I22" i="56"/>
  <c r="H23" i="56"/>
  <c r="H25" i="56"/>
  <c r="H30" i="56"/>
  <c r="H32" i="56"/>
  <c r="H92" i="33"/>
  <c r="H11" i="289"/>
  <c r="H17" i="289"/>
  <c r="H32" i="289"/>
  <c r="FC310" i="91"/>
  <c r="FC309" i="91"/>
  <c r="FC308" i="91"/>
  <c r="FC307" i="91"/>
  <c r="FC306" i="91"/>
  <c r="FC304" i="91"/>
  <c r="FC303" i="91"/>
  <c r="FC302" i="91"/>
  <c r="FC300" i="91"/>
  <c r="FC299" i="91"/>
  <c r="FC298" i="91"/>
  <c r="FC297" i="91"/>
  <c r="FC296" i="91"/>
  <c r="FC295" i="91"/>
  <c r="FC294" i="91"/>
  <c r="FC293" i="91"/>
  <c r="FC292" i="91"/>
  <c r="FC291" i="91"/>
  <c r="FC290" i="91"/>
  <c r="FC289" i="91"/>
  <c r="FC288" i="91"/>
  <c r="FC287" i="91"/>
  <c r="FC286" i="91"/>
  <c r="X1249" i="91"/>
  <c r="AO97" i="81"/>
  <c r="X1187" i="91"/>
  <c r="W1249" i="91"/>
  <c r="AN97" i="81"/>
  <c r="W1187" i="91"/>
  <c r="FD221" i="91"/>
  <c r="G29" i="288"/>
  <c r="N25" i="39"/>
  <c r="A25" i="39"/>
  <c r="L25" i="39"/>
  <c r="G24" i="88"/>
  <c r="G30" i="94"/>
  <c r="L19" i="85"/>
  <c r="L21" i="85"/>
  <c r="N19" i="85"/>
  <c r="P21" i="85"/>
  <c r="P22" i="85"/>
  <c r="G55" i="75"/>
  <c r="G57" i="75"/>
  <c r="G60" i="75"/>
  <c r="AM63" i="80"/>
  <c r="H24" i="88"/>
  <c r="H47" i="94"/>
  <c r="H30" i="94"/>
  <c r="H44" i="94"/>
  <c r="H43" i="88"/>
  <c r="J12" i="75"/>
  <c r="J54" i="75"/>
  <c r="J313" i="33"/>
  <c r="J88" i="33"/>
  <c r="J80" i="33"/>
  <c r="J81" i="33"/>
  <c r="J82" i="33"/>
  <c r="J90" i="33"/>
  <c r="J32" i="94"/>
  <c r="J32" i="88"/>
  <c r="J310" i="33"/>
  <c r="AO45" i="81"/>
  <c r="S31" i="68"/>
  <c r="T31" i="68"/>
  <c r="U31" i="68"/>
  <c r="K314" i="33"/>
  <c r="K151" i="33"/>
  <c r="K22" i="94"/>
  <c r="K20" i="56"/>
  <c r="K79" i="33"/>
  <c r="J11" i="68"/>
  <c r="I57" i="68"/>
  <c r="J20" i="68"/>
  <c r="G13" i="75"/>
  <c r="G15" i="75"/>
  <c r="G18" i="75"/>
  <c r="G21" i="75"/>
  <c r="L55" i="68"/>
  <c r="L75" i="33"/>
  <c r="H60" i="75"/>
  <c r="H55" i="75"/>
  <c r="H72" i="75"/>
  <c r="AL45" i="81"/>
  <c r="G44" i="94"/>
  <c r="G43" i="88"/>
  <c r="G26" i="56"/>
  <c r="G22" i="56"/>
  <c r="J26" i="39"/>
  <c r="P28" i="39"/>
  <c r="I54" i="75"/>
  <c r="I12" i="75"/>
  <c r="I313" i="33"/>
  <c r="I88" i="33"/>
  <c r="I80" i="33"/>
  <c r="I81" i="33"/>
  <c r="I82" i="33"/>
  <c r="I90" i="33"/>
  <c r="I32" i="94"/>
  <c r="I32" i="88"/>
  <c r="I310" i="33"/>
  <c r="AN45" i="81"/>
  <c r="N53" i="68"/>
  <c r="O28" i="68"/>
  <c r="J12" i="289"/>
  <c r="J22" i="88"/>
  <c r="J24" i="94"/>
  <c r="G92" i="33"/>
  <c r="N24" i="39"/>
  <c r="L24" i="39"/>
  <c r="I12" i="289"/>
  <c r="I22" i="88"/>
  <c r="I24" i="94"/>
  <c r="M15" i="68"/>
  <c r="M54" i="68"/>
  <c r="H21" i="288"/>
  <c r="H29" i="288"/>
  <c r="I149" i="33"/>
  <c r="I152" i="33"/>
  <c r="H289" i="33"/>
  <c r="H182" i="33"/>
  <c r="H18" i="75"/>
  <c r="H13" i="75"/>
  <c r="H30" i="75"/>
  <c r="H21" i="75"/>
  <c r="A30" i="68"/>
  <c r="AE78" i="68"/>
  <c r="AE81" i="68"/>
  <c r="AE82" i="68"/>
  <c r="AE84" i="68"/>
  <c r="AE87" i="68"/>
  <c r="AD81" i="68"/>
  <c r="AD82" i="68"/>
  <c r="AD84" i="68"/>
  <c r="AD87" i="68"/>
  <c r="FC254" i="91"/>
  <c r="FD277" i="91"/>
  <c r="FD255" i="91"/>
  <c r="FD239" i="91"/>
  <c r="FD232" i="91"/>
  <c r="FC274" i="91"/>
  <c r="FD227" i="91"/>
  <c r="FD265" i="91"/>
  <c r="FD267" i="91"/>
  <c r="FD229" i="91"/>
  <c r="FD246" i="91"/>
  <c r="FD224" i="91"/>
  <c r="FD275" i="91"/>
  <c r="FD258" i="91"/>
  <c r="FD235" i="91"/>
  <c r="FD273" i="91"/>
  <c r="FD241" i="91"/>
  <c r="FD237" i="91"/>
  <c r="FD262" i="91"/>
  <c r="Y658" i="91"/>
  <c r="FD271" i="91"/>
  <c r="FD230" i="91"/>
  <c r="FD278" i="91"/>
  <c r="FD234" i="91"/>
  <c r="FD274" i="91"/>
  <c r="FC270" i="91"/>
  <c r="FD228" i="91"/>
  <c r="FD247" i="91"/>
  <c r="FD240" i="91"/>
  <c r="FD257" i="91"/>
  <c r="FD236" i="91"/>
  <c r="FD238" i="91"/>
  <c r="FD264" i="91"/>
  <c r="FD266" i="91"/>
  <c r="FD231" i="91"/>
  <c r="FD233" i="91"/>
  <c r="FD268" i="91"/>
  <c r="FD270" i="91"/>
  <c r="FD244" i="91"/>
  <c r="FD260" i="91"/>
  <c r="FD259" i="91"/>
  <c r="FD263" i="91"/>
  <c r="FD256" i="91"/>
  <c r="FD276" i="91"/>
  <c r="FD248" i="91"/>
  <c r="FD243" i="91"/>
  <c r="FD245" i="91"/>
  <c r="FD279" i="91"/>
  <c r="FD261" i="91"/>
  <c r="FD254" i="91"/>
  <c r="FD272" i="91"/>
  <c r="FD223" i="91"/>
  <c r="FD242" i="91"/>
  <c r="FD226" i="91"/>
  <c r="FD269" i="91"/>
  <c r="FD225" i="91"/>
  <c r="FC301" i="91"/>
  <c r="FC305" i="91"/>
  <c r="FC285" i="91"/>
  <c r="I23" i="56"/>
  <c r="I25" i="56"/>
  <c r="I30" i="56"/>
  <c r="I32" i="56"/>
  <c r="J23" i="56"/>
  <c r="J25" i="56"/>
  <c r="J30" i="56"/>
  <c r="J32" i="56"/>
  <c r="K26" i="56"/>
  <c r="K22" i="56"/>
  <c r="I92" i="33"/>
  <c r="I11" i="289"/>
  <c r="I17" i="289"/>
  <c r="I32" i="289"/>
  <c r="I58" i="68"/>
  <c r="I61" i="68"/>
  <c r="V31" i="68"/>
  <c r="W31" i="68"/>
  <c r="X31" i="68"/>
  <c r="Y31" i="68"/>
  <c r="Z31" i="68"/>
  <c r="AA31" i="68"/>
  <c r="AB31" i="68"/>
  <c r="AC31" i="68"/>
  <c r="AD31" i="68"/>
  <c r="AE31" i="68"/>
  <c r="H57" i="75"/>
  <c r="FD310" i="91"/>
  <c r="FD309" i="91"/>
  <c r="FD308" i="91"/>
  <c r="FD307" i="91"/>
  <c r="FD306" i="91"/>
  <c r="FD305" i="91"/>
  <c r="FD304" i="91"/>
  <c r="FD303" i="91"/>
  <c r="FD302" i="91"/>
  <c r="FD301" i="91"/>
  <c r="FD300" i="91"/>
  <c r="FD299" i="91"/>
  <c r="FD298" i="91"/>
  <c r="FD297" i="91"/>
  <c r="FD296" i="91"/>
  <c r="FD295" i="91"/>
  <c r="FD294" i="91"/>
  <c r="FD293" i="91"/>
  <c r="FD292" i="91"/>
  <c r="FD291" i="91"/>
  <c r="FD290" i="91"/>
  <c r="FD289" i="91"/>
  <c r="FD288" i="91"/>
  <c r="FD287" i="91"/>
  <c r="FD286" i="91"/>
  <c r="FD285" i="91"/>
  <c r="Y1187" i="91"/>
  <c r="Y1249" i="91"/>
  <c r="AP97" i="81"/>
  <c r="AO63" i="80"/>
  <c r="J24" i="88"/>
  <c r="J47" i="94"/>
  <c r="J44" i="94"/>
  <c r="J43" i="88"/>
  <c r="J30" i="94"/>
  <c r="AN63" i="80"/>
  <c r="I24" i="88"/>
  <c r="I47" i="94"/>
  <c r="I30" i="94"/>
  <c r="I44" i="94"/>
  <c r="I43" i="88"/>
  <c r="O53" i="68"/>
  <c r="P28" i="68"/>
  <c r="N26" i="39"/>
  <c r="A26" i="39"/>
  <c r="L26" i="39"/>
  <c r="L28" i="39"/>
  <c r="H30" i="88"/>
  <c r="H33" i="94"/>
  <c r="H33" i="88"/>
  <c r="A19" i="85"/>
  <c r="A20" i="85"/>
  <c r="N21" i="85"/>
  <c r="N24" i="85"/>
  <c r="FE221" i="91"/>
  <c r="M55" i="68"/>
  <c r="M75" i="33"/>
  <c r="N15" i="68"/>
  <c r="N54" i="68"/>
  <c r="H63" i="75"/>
  <c r="G22" i="75"/>
  <c r="G25" i="75"/>
  <c r="J57" i="68"/>
  <c r="K20" i="68"/>
  <c r="K11" i="68"/>
  <c r="J60" i="75"/>
  <c r="J55" i="75"/>
  <c r="J72" i="75"/>
  <c r="G64" i="75"/>
  <c r="G67" i="75"/>
  <c r="G63" i="75"/>
  <c r="H15" i="75"/>
  <c r="G11" i="289"/>
  <c r="G285" i="33"/>
  <c r="I18" i="75"/>
  <c r="I13" i="75"/>
  <c r="I30" i="75"/>
  <c r="I21" i="75"/>
  <c r="L314" i="33"/>
  <c r="L151" i="33"/>
  <c r="L22" i="94"/>
  <c r="L20" i="56"/>
  <c r="L79" i="33"/>
  <c r="G30" i="75"/>
  <c r="G31" i="75"/>
  <c r="K54" i="75"/>
  <c r="K12" i="75"/>
  <c r="K80" i="33"/>
  <c r="K81" i="33"/>
  <c r="K82" i="33"/>
  <c r="K313" i="33"/>
  <c r="K88" i="33"/>
  <c r="K90" i="33"/>
  <c r="K32" i="94"/>
  <c r="K32" i="88"/>
  <c r="K310" i="33"/>
  <c r="AP45" i="81"/>
  <c r="J92" i="33"/>
  <c r="J11" i="289"/>
  <c r="J17" i="289"/>
  <c r="J32" i="289"/>
  <c r="J13" i="75"/>
  <c r="J30" i="75"/>
  <c r="J18" i="75"/>
  <c r="J21" i="75"/>
  <c r="G72" i="75"/>
  <c r="G73" i="75"/>
  <c r="A24" i="39"/>
  <c r="G23" i="56"/>
  <c r="I21" i="288"/>
  <c r="I29" i="288"/>
  <c r="J149" i="33"/>
  <c r="J152" i="33"/>
  <c r="I289" i="33"/>
  <c r="I182" i="33"/>
  <c r="I55" i="75"/>
  <c r="I72" i="75"/>
  <c r="I60" i="75"/>
  <c r="K12" i="289"/>
  <c r="K22" i="88"/>
  <c r="K24" i="94"/>
  <c r="G30" i="88"/>
  <c r="G33" i="94"/>
  <c r="G33" i="88"/>
  <c r="FE243" i="91"/>
  <c r="FE231" i="91"/>
  <c r="FE279" i="91"/>
  <c r="FE258" i="91"/>
  <c r="FE240" i="91"/>
  <c r="FE254" i="91"/>
  <c r="FE266" i="91"/>
  <c r="FE246" i="91"/>
  <c r="FE257" i="91"/>
  <c r="FE264" i="91"/>
  <c r="FE242" i="91"/>
  <c r="FE224" i="91"/>
  <c r="FE225" i="91"/>
  <c r="FE256" i="91"/>
  <c r="FE255" i="91"/>
  <c r="FE261" i="91"/>
  <c r="FE236" i="91"/>
  <c r="FE234" i="91"/>
  <c r="FE274" i="91"/>
  <c r="FE227" i="91"/>
  <c r="FE267" i="91"/>
  <c r="FE273" i="91"/>
  <c r="FE244" i="91"/>
  <c r="FE276" i="91"/>
  <c r="FE263" i="91"/>
  <c r="FE223" i="91"/>
  <c r="FE229" i="91"/>
  <c r="FE269" i="91"/>
  <c r="FE262" i="91"/>
  <c r="FE275" i="91"/>
  <c r="FE277" i="91"/>
  <c r="FE272" i="91"/>
  <c r="FE226" i="91"/>
  <c r="FE248" i="91"/>
  <c r="FE278" i="91"/>
  <c r="FE247" i="91"/>
  <c r="FE241" i="91"/>
  <c r="FE232" i="91"/>
  <c r="FE235" i="91"/>
  <c r="FE237" i="91"/>
  <c r="FE245" i="91"/>
  <c r="FE230" i="91"/>
  <c r="FE238" i="91"/>
  <c r="FE270" i="91"/>
  <c r="FE233" i="91"/>
  <c r="FE259" i="91"/>
  <c r="FE265" i="91"/>
  <c r="FE268" i="91"/>
  <c r="FE271" i="91"/>
  <c r="FE228" i="91"/>
  <c r="FE260" i="91"/>
  <c r="FE239" i="91"/>
  <c r="N28" i="39"/>
  <c r="N31" i="39"/>
  <c r="L26" i="56"/>
  <c r="L22" i="56"/>
  <c r="K23" i="56"/>
  <c r="K25" i="56"/>
  <c r="K30" i="56"/>
  <c r="K32" i="56"/>
  <c r="A27" i="39"/>
  <c r="I57" i="75"/>
  <c r="K92" i="33"/>
  <c r="K11" i="289"/>
  <c r="K17" i="289"/>
  <c r="K32" i="289"/>
  <c r="G32" i="75"/>
  <c r="G36" i="75"/>
  <c r="J57" i="75"/>
  <c r="G74" i="75"/>
  <c r="G78" i="75"/>
  <c r="G65" i="75"/>
  <c r="H62" i="75"/>
  <c r="H64" i="75"/>
  <c r="H67" i="75"/>
  <c r="I15" i="75"/>
  <c r="J58" i="68"/>
  <c r="J61" i="68"/>
  <c r="FE310" i="91"/>
  <c r="FE309" i="91"/>
  <c r="FE308" i="91"/>
  <c r="FE305" i="91"/>
  <c r="FE303" i="91"/>
  <c r="FE302" i="91"/>
  <c r="FE300" i="91"/>
  <c r="FE299" i="91"/>
  <c r="FE298" i="91"/>
  <c r="FE297" i="91"/>
  <c r="FE296" i="91"/>
  <c r="FE294" i="91"/>
  <c r="FE293" i="91"/>
  <c r="FE292" i="91"/>
  <c r="FE289" i="91"/>
  <c r="FE287" i="91"/>
  <c r="FE286" i="91"/>
  <c r="H15" i="30"/>
  <c r="B1" i="85"/>
  <c r="E29" i="78"/>
  <c r="F29" i="78"/>
  <c r="G26" i="75"/>
  <c r="G28" i="75"/>
  <c r="G23" i="75"/>
  <c r="H20" i="75"/>
  <c r="B53" i="81"/>
  <c r="B1" i="81"/>
  <c r="E24" i="78"/>
  <c r="F24" i="78"/>
  <c r="I63" i="75"/>
  <c r="J21" i="288"/>
  <c r="K149" i="33"/>
  <c r="K152" i="33"/>
  <c r="J289" i="33"/>
  <c r="J182" i="33"/>
  <c r="J15" i="75"/>
  <c r="K13" i="75"/>
  <c r="K30" i="75"/>
  <c r="K18" i="75"/>
  <c r="K21" i="75"/>
  <c r="L11" i="68"/>
  <c r="K57" i="68"/>
  <c r="L20" i="68"/>
  <c r="FF221" i="91"/>
  <c r="P53" i="68"/>
  <c r="Q28" i="68"/>
  <c r="J63" i="75"/>
  <c r="N55" i="68"/>
  <c r="N75" i="33"/>
  <c r="G81" i="68"/>
  <c r="G82" i="68"/>
  <c r="G84" i="68"/>
  <c r="G87" i="68"/>
  <c r="AP63" i="80"/>
  <c r="K30" i="94"/>
  <c r="K47" i="94"/>
  <c r="K24" i="88"/>
  <c r="K44" i="94"/>
  <c r="K43" i="88"/>
  <c r="L12" i="75"/>
  <c r="L54" i="75"/>
  <c r="L88" i="33"/>
  <c r="L80" i="33"/>
  <c r="L81" i="33"/>
  <c r="L82" i="33"/>
  <c r="L313" i="33"/>
  <c r="L90" i="33"/>
  <c r="L32" i="94"/>
  <c r="L32" i="88"/>
  <c r="L310" i="33"/>
  <c r="G25" i="56"/>
  <c r="G30" i="56"/>
  <c r="G32" i="56"/>
  <c r="K55" i="75"/>
  <c r="K72" i="75"/>
  <c r="K60" i="75"/>
  <c r="L12" i="289"/>
  <c r="L22" i="88"/>
  <c r="L24" i="94"/>
  <c r="G56" i="288"/>
  <c r="H285" i="33"/>
  <c r="G290" i="33"/>
  <c r="G291" i="33"/>
  <c r="G286" i="33"/>
  <c r="G288" i="33"/>
  <c r="M314" i="33"/>
  <c r="M151" i="33"/>
  <c r="M22" i="94"/>
  <c r="M20" i="56"/>
  <c r="M79" i="33"/>
  <c r="O15" i="68"/>
  <c r="O54" i="68"/>
  <c r="I30" i="88"/>
  <c r="I33" i="94"/>
  <c r="I33" i="88"/>
  <c r="J30" i="88"/>
  <c r="J33" i="94"/>
  <c r="J33" i="88"/>
  <c r="G17" i="289"/>
  <c r="G68" i="75"/>
  <c r="G70" i="75"/>
  <c r="FF234" i="91"/>
  <c r="FF271" i="91"/>
  <c r="FF231" i="91"/>
  <c r="FF248" i="91"/>
  <c r="FF264" i="91"/>
  <c r="FF241" i="91"/>
  <c r="FF255" i="91"/>
  <c r="FF275" i="91"/>
  <c r="FF268" i="91"/>
  <c r="FF227" i="91"/>
  <c r="FF229" i="91"/>
  <c r="FF237" i="91"/>
  <c r="FF269" i="91"/>
  <c r="FF267" i="91"/>
  <c r="FF223" i="91"/>
  <c r="FF244" i="91"/>
  <c r="FF266" i="91"/>
  <c r="FF261" i="91"/>
  <c r="FF235" i="91"/>
  <c r="FF232" i="91"/>
  <c r="FF279" i="91"/>
  <c r="FF225" i="91"/>
  <c r="FF265" i="91"/>
  <c r="FF257" i="91"/>
  <c r="FF247" i="91"/>
  <c r="FF246" i="91"/>
  <c r="FF242" i="91"/>
  <c r="P29" i="39"/>
  <c r="K58" i="68"/>
  <c r="K61" i="68"/>
  <c r="K57" i="75"/>
  <c r="H73" i="75"/>
  <c r="H74" i="75"/>
  <c r="H78" i="75"/>
  <c r="FE288" i="91"/>
  <c r="FE307" i="91"/>
  <c r="FE290" i="91"/>
  <c r="FE285" i="91"/>
  <c r="FE306" i="91"/>
  <c r="FE295" i="91"/>
  <c r="FE301" i="91"/>
  <c r="FE291" i="91"/>
  <c r="FE304" i="91"/>
  <c r="M26" i="56"/>
  <c r="M22" i="56"/>
  <c r="L23" i="56"/>
  <c r="L25" i="56"/>
  <c r="L30" i="56"/>
  <c r="L32" i="56"/>
  <c r="E36" i="299"/>
  <c r="A15" i="30"/>
  <c r="M12" i="75"/>
  <c r="M54" i="75"/>
  <c r="M313" i="33"/>
  <c r="M88" i="33"/>
  <c r="M80" i="33"/>
  <c r="M81" i="33"/>
  <c r="M82" i="33"/>
  <c r="M90" i="33"/>
  <c r="M32" i="94"/>
  <c r="M32" i="88"/>
  <c r="M310" i="33"/>
  <c r="S310" i="33"/>
  <c r="L60" i="75"/>
  <c r="L55" i="75"/>
  <c r="L72" i="75"/>
  <c r="N151" i="33"/>
  <c r="N314" i="33"/>
  <c r="N22" i="94"/>
  <c r="N20" i="56"/>
  <c r="N79" i="33"/>
  <c r="O55" i="68"/>
  <c r="O75" i="33"/>
  <c r="H81" i="68"/>
  <c r="H82" i="68"/>
  <c r="H84" i="68"/>
  <c r="H87" i="68"/>
  <c r="M12" i="289"/>
  <c r="M22" i="88"/>
  <c r="M24" i="94"/>
  <c r="G57" i="288"/>
  <c r="L18" i="75"/>
  <c r="L13" i="75"/>
  <c r="L30" i="75"/>
  <c r="L21" i="75"/>
  <c r="K33" i="94"/>
  <c r="K33" i="88"/>
  <c r="K30" i="88"/>
  <c r="Q53" i="68"/>
  <c r="R28" i="68"/>
  <c r="A28" i="68"/>
  <c r="M11" i="68"/>
  <c r="L57" i="68"/>
  <c r="M20" i="68"/>
  <c r="K15" i="75"/>
  <c r="H68" i="75"/>
  <c r="H70" i="75"/>
  <c r="L92" i="33"/>
  <c r="L11" i="289"/>
  <c r="B51" i="80"/>
  <c r="B1" i="80"/>
  <c r="E44" i="78"/>
  <c r="F44" i="78"/>
  <c r="H65" i="75"/>
  <c r="I62" i="75"/>
  <c r="P15" i="68"/>
  <c r="P54" i="68"/>
  <c r="K21" i="288"/>
  <c r="K29" i="288"/>
  <c r="L149" i="33"/>
  <c r="L152" i="33"/>
  <c r="K289" i="33"/>
  <c r="K182" i="33"/>
  <c r="H31" i="75"/>
  <c r="H32" i="75"/>
  <c r="H36" i="75"/>
  <c r="H22" i="75"/>
  <c r="H25" i="75"/>
  <c r="H14" i="30"/>
  <c r="B1" i="39"/>
  <c r="E27" i="78"/>
  <c r="F27" i="78"/>
  <c r="B8" i="89"/>
  <c r="H56" i="288"/>
  <c r="H57" i="288"/>
  <c r="H59" i="288"/>
  <c r="I285" i="33"/>
  <c r="H290" i="33"/>
  <c r="H291" i="33"/>
  <c r="H286" i="33"/>
  <c r="H288" i="33"/>
  <c r="L30" i="94"/>
  <c r="L47" i="94"/>
  <c r="L44" i="94"/>
  <c r="L43" i="88"/>
  <c r="L24" i="88"/>
  <c r="K63" i="75"/>
  <c r="G32" i="289"/>
  <c r="FG221" i="91"/>
  <c r="J29" i="288"/>
  <c r="FF256" i="91"/>
  <c r="FF258" i="91"/>
  <c r="FF254" i="91"/>
  <c r="FF263" i="91"/>
  <c r="FF278" i="91"/>
  <c r="FF276" i="91"/>
  <c r="FF230" i="91"/>
  <c r="FG238" i="91"/>
  <c r="FG268" i="91"/>
  <c r="FG226" i="91"/>
  <c r="FG279" i="91"/>
  <c r="FG267" i="91"/>
  <c r="FG260" i="91"/>
  <c r="FG270" i="91"/>
  <c r="FG240" i="91"/>
  <c r="FG244" i="91"/>
  <c r="FG245" i="91"/>
  <c r="FG237" i="91"/>
  <c r="FG277" i="91"/>
  <c r="FG269" i="91"/>
  <c r="FG247" i="91"/>
  <c r="FG274" i="91"/>
  <c r="FG256" i="91"/>
  <c r="FG224" i="91"/>
  <c r="FG230" i="91"/>
  <c r="FG255" i="91"/>
  <c r="FG243" i="91"/>
  <c r="FG266" i="91"/>
  <c r="FG248" i="91"/>
  <c r="FG241" i="91"/>
  <c r="FG228" i="91"/>
  <c r="FG225" i="91"/>
  <c r="FG265" i="91"/>
  <c r="FG259" i="91"/>
  <c r="FG231" i="91"/>
  <c r="FG242" i="91"/>
  <c r="FG235" i="91"/>
  <c r="FG223" i="91"/>
  <c r="FG276" i="91"/>
  <c r="FG264" i="91"/>
  <c r="FG254" i="91"/>
  <c r="FG236" i="91"/>
  <c r="FG232" i="91"/>
  <c r="FG233" i="91"/>
  <c r="FG273" i="91"/>
  <c r="FG261" i="91"/>
  <c r="FF224" i="91"/>
  <c r="FF233" i="91"/>
  <c r="FF238" i="91"/>
  <c r="FF226" i="91"/>
  <c r="FF260" i="91"/>
  <c r="FF274" i="91"/>
  <c r="FG278" i="91"/>
  <c r="FG275" i="91"/>
  <c r="FG272" i="91"/>
  <c r="FG263" i="91"/>
  <c r="FG246" i="91"/>
  <c r="FG239" i="91"/>
  <c r="FG234" i="91"/>
  <c r="FG258" i="91"/>
  <c r="FG262" i="91"/>
  <c r="FG227" i="91"/>
  <c r="FG271" i="91"/>
  <c r="FG229" i="91"/>
  <c r="FG257" i="91"/>
  <c r="FF272" i="91"/>
  <c r="FF243" i="91"/>
  <c r="FF277" i="91"/>
  <c r="FF239" i="91"/>
  <c r="FF240" i="91"/>
  <c r="FF236" i="91"/>
  <c r="FF273" i="91"/>
  <c r="FF228" i="91"/>
  <c r="FF259" i="91"/>
  <c r="FF270" i="91"/>
  <c r="FF245" i="91"/>
  <c r="FF262" i="91"/>
  <c r="FF297" i="91"/>
  <c r="FF294" i="91"/>
  <c r="FF310" i="91"/>
  <c r="FF300" i="91"/>
  <c r="FF291" i="91"/>
  <c r="FF307" i="91"/>
  <c r="FF301" i="91"/>
  <c r="FF298" i="91"/>
  <c r="FF288" i="91"/>
  <c r="FF304" i="91"/>
  <c r="FF295" i="91"/>
  <c r="FF285" i="91"/>
  <c r="FF289" i="91"/>
  <c r="FF305" i="91"/>
  <c r="FF286" i="91"/>
  <c r="FF302" i="91"/>
  <c r="FF292" i="91"/>
  <c r="FF308" i="91"/>
  <c r="FF299" i="91"/>
  <c r="FF293" i="91"/>
  <c r="FF309" i="91"/>
  <c r="FF290" i="91"/>
  <c r="FF306" i="91"/>
  <c r="FF296" i="91"/>
  <c r="FF287" i="91"/>
  <c r="FF303" i="91"/>
  <c r="N26" i="56"/>
  <c r="N22" i="56"/>
  <c r="M23" i="56"/>
  <c r="M25" i="56"/>
  <c r="M30" i="56"/>
  <c r="M32" i="56"/>
  <c r="L15" i="75"/>
  <c r="M92" i="33"/>
  <c r="M11" i="289"/>
  <c r="M17" i="289"/>
  <c r="M32" i="289"/>
  <c r="H23" i="75"/>
  <c r="I20" i="75"/>
  <c r="I31" i="75"/>
  <c r="I32" i="75"/>
  <c r="I36" i="75"/>
  <c r="FG309" i="91"/>
  <c r="FG301" i="91"/>
  <c r="N11" i="68"/>
  <c r="M57" i="68"/>
  <c r="N20" i="68"/>
  <c r="N313" i="33"/>
  <c r="N88" i="33"/>
  <c r="N80" i="33"/>
  <c r="N81" i="33"/>
  <c r="N82" i="33"/>
  <c r="N90" i="33"/>
  <c r="N92" i="33"/>
  <c r="N11" i="289"/>
  <c r="N310" i="33"/>
  <c r="L57" i="75"/>
  <c r="A36" i="299"/>
  <c r="G35" i="289"/>
  <c r="L33" i="94"/>
  <c r="L33" i="88"/>
  <c r="L30" i="88"/>
  <c r="N12" i="289"/>
  <c r="A12" i="289"/>
  <c r="N22" i="88"/>
  <c r="A22" i="88"/>
  <c r="N24" i="94"/>
  <c r="A20" i="56"/>
  <c r="M55" i="75"/>
  <c r="M72" i="75"/>
  <c r="M60" i="75"/>
  <c r="N54" i="75"/>
  <c r="P55" i="68"/>
  <c r="P75" i="33"/>
  <c r="I81" i="68"/>
  <c r="I82" i="68"/>
  <c r="I84" i="68"/>
  <c r="I87" i="68"/>
  <c r="FH221" i="91"/>
  <c r="E35" i="299"/>
  <c r="A14" i="30"/>
  <c r="L17" i="289"/>
  <c r="I56" i="288"/>
  <c r="I57" i="288"/>
  <c r="I59" i="288"/>
  <c r="J285" i="33"/>
  <c r="I290" i="33"/>
  <c r="I291" i="33"/>
  <c r="I286" i="33"/>
  <c r="I288" i="33"/>
  <c r="H26" i="75"/>
  <c r="H28" i="75"/>
  <c r="L21" i="288"/>
  <c r="L29" i="288"/>
  <c r="M149" i="33"/>
  <c r="M152" i="33"/>
  <c r="L289" i="33"/>
  <c r="L182" i="33"/>
  <c r="I73" i="75"/>
  <c r="I74" i="75"/>
  <c r="I78" i="75"/>
  <c r="I64" i="75"/>
  <c r="I67" i="75"/>
  <c r="A22" i="94"/>
  <c r="R53" i="68"/>
  <c r="S28" i="68"/>
  <c r="L63" i="75"/>
  <c r="M18" i="75"/>
  <c r="M13" i="75"/>
  <c r="M30" i="75"/>
  <c r="M21" i="75"/>
  <c r="N12" i="75"/>
  <c r="Q15" i="68"/>
  <c r="Q54" i="68"/>
  <c r="G59" i="288"/>
  <c r="M47" i="94"/>
  <c r="M30" i="94"/>
  <c r="M44" i="94"/>
  <c r="M43" i="88"/>
  <c r="M24" i="88"/>
  <c r="S44" i="94"/>
  <c r="S43" i="88"/>
  <c r="O314" i="33"/>
  <c r="O151" i="33"/>
  <c r="O79" i="33"/>
  <c r="L58" i="68"/>
  <c r="L61" i="68"/>
  <c r="FH230" i="91"/>
  <c r="FH232" i="91"/>
  <c r="FH257" i="91"/>
  <c r="FH237" i="91"/>
  <c r="FH273" i="91"/>
  <c r="FH262" i="91"/>
  <c r="FH235" i="91"/>
  <c r="FH240" i="91"/>
  <c r="FH269" i="91"/>
  <c r="FH266" i="91"/>
  <c r="FH263" i="91"/>
  <c r="FH276" i="91"/>
  <c r="FH279" i="91"/>
  <c r="FH270" i="91"/>
  <c r="FH236" i="91"/>
  <c r="FH255" i="91"/>
  <c r="FH268" i="91"/>
  <c r="FH259" i="91"/>
  <c r="FH275" i="91"/>
  <c r="FH244" i="91"/>
  <c r="FH242" i="91"/>
  <c r="FH260" i="91"/>
  <c r="FH224" i="91"/>
  <c r="FH241" i="91"/>
  <c r="FH267" i="91"/>
  <c r="FH248" i="91"/>
  <c r="FH243" i="91"/>
  <c r="FH264" i="91"/>
  <c r="FH225" i="91"/>
  <c r="FH245" i="91"/>
  <c r="FH254" i="91"/>
  <c r="FH277" i="91"/>
  <c r="FH271" i="91"/>
  <c r="FH258" i="91"/>
  <c r="FH231" i="91"/>
  <c r="FH272" i="91"/>
  <c r="FH238" i="91"/>
  <c r="FH223" i="91"/>
  <c r="FH246" i="91"/>
  <c r="FH233" i="91"/>
  <c r="FH227" i="91"/>
  <c r="FH274" i="91"/>
  <c r="FH234" i="91"/>
  <c r="FH247" i="91"/>
  <c r="FH261" i="91"/>
  <c r="FH278" i="91"/>
  <c r="FH256" i="91"/>
  <c r="FH228" i="91"/>
  <c r="FH229" i="91"/>
  <c r="FH226" i="91"/>
  <c r="FH239" i="91"/>
  <c r="FH265" i="91"/>
  <c r="FG305" i="91"/>
  <c r="FG286" i="91"/>
  <c r="FG290" i="91"/>
  <c r="FG306" i="91"/>
  <c r="FG296" i="91"/>
  <c r="FG287" i="91"/>
  <c r="FG303" i="91"/>
  <c r="FG293" i="91"/>
  <c r="FG294" i="91"/>
  <c r="FG310" i="91"/>
  <c r="FG300" i="91"/>
  <c r="FG291" i="91"/>
  <c r="FG307" i="91"/>
  <c r="FG297" i="91"/>
  <c r="FG298" i="91"/>
  <c r="FG288" i="91"/>
  <c r="FG304" i="91"/>
  <c r="FG295" i="91"/>
  <c r="FG285" i="91"/>
  <c r="FG302" i="91"/>
  <c r="FG292" i="91"/>
  <c r="FG308" i="91"/>
  <c r="FG299" i="91"/>
  <c r="FG289" i="91"/>
  <c r="M58" i="68"/>
  <c r="M61" i="68"/>
  <c r="I22" i="75"/>
  <c r="I25" i="75"/>
  <c r="I26" i="75"/>
  <c r="I28" i="75"/>
  <c r="N23" i="56"/>
  <c r="N25" i="56"/>
  <c r="N30" i="56"/>
  <c r="N32" i="56"/>
  <c r="FH310" i="91"/>
  <c r="FH309" i="91"/>
  <c r="FH308" i="91"/>
  <c r="FH307" i="91"/>
  <c r="FH306" i="91"/>
  <c r="FH305" i="91"/>
  <c r="FH304" i="91"/>
  <c r="FH303" i="91"/>
  <c r="FH302" i="91"/>
  <c r="FH301" i="91"/>
  <c r="FH300" i="91"/>
  <c r="FH299" i="91"/>
  <c r="FH298" i="91"/>
  <c r="FH297" i="91"/>
  <c r="FH296" i="91"/>
  <c r="FH295" i="91"/>
  <c r="FH294" i="91"/>
  <c r="FH293" i="91"/>
  <c r="FH292" i="91"/>
  <c r="FH291" i="91"/>
  <c r="FH290" i="91"/>
  <c r="FH289" i="91"/>
  <c r="FH288" i="91"/>
  <c r="FH287" i="91"/>
  <c r="FH286" i="91"/>
  <c r="FH285" i="91"/>
  <c r="N17" i="289"/>
  <c r="N32" i="289"/>
  <c r="I68" i="75"/>
  <c r="I70" i="75"/>
  <c r="N13" i="75"/>
  <c r="N30" i="75"/>
  <c r="N18" i="75"/>
  <c r="N21" i="75"/>
  <c r="O12" i="75"/>
  <c r="M30" i="88"/>
  <c r="M33" i="94"/>
  <c r="M33" i="88"/>
  <c r="Q55" i="68"/>
  <c r="Q75" i="33"/>
  <c r="J81" i="68"/>
  <c r="J82" i="68"/>
  <c r="J84" i="68"/>
  <c r="J87" i="68"/>
  <c r="J56" i="288"/>
  <c r="J57" i="288"/>
  <c r="J59" i="288"/>
  <c r="K285" i="33"/>
  <c r="J290" i="33"/>
  <c r="J291" i="33"/>
  <c r="J286" i="33"/>
  <c r="J288" i="33"/>
  <c r="FI221" i="91"/>
  <c r="M57" i="75"/>
  <c r="H34" i="289"/>
  <c r="H35" i="289"/>
  <c r="G38" i="289"/>
  <c r="G39" i="289"/>
  <c r="O11" i="68"/>
  <c r="N57" i="68"/>
  <c r="O20" i="68"/>
  <c r="N60" i="75"/>
  <c r="N55" i="75"/>
  <c r="N72" i="75"/>
  <c r="O54" i="75"/>
  <c r="O80" i="33"/>
  <c r="O81" i="33"/>
  <c r="O82" i="33"/>
  <c r="O313" i="33"/>
  <c r="O88" i="33"/>
  <c r="O90" i="33"/>
  <c r="O92" i="33"/>
  <c r="O11" i="289"/>
  <c r="M15" i="75"/>
  <c r="S53" i="68"/>
  <c r="T28" i="68"/>
  <c r="I65" i="75"/>
  <c r="J62" i="75"/>
  <c r="M21" i="288"/>
  <c r="M29" i="288"/>
  <c r="N149" i="33"/>
  <c r="N152" i="33"/>
  <c r="M289" i="33"/>
  <c r="M182" i="33"/>
  <c r="A35" i="299"/>
  <c r="M63" i="75"/>
  <c r="A26" i="56"/>
  <c r="R15" i="68"/>
  <c r="R54" i="68"/>
  <c r="L32" i="289"/>
  <c r="P314" i="33"/>
  <c r="P151" i="33"/>
  <c r="P79" i="33"/>
  <c r="N24" i="88"/>
  <c r="A24" i="88"/>
  <c r="N30" i="94"/>
  <c r="N47" i="94"/>
  <c r="N44" i="94"/>
  <c r="N43" i="88"/>
  <c r="A43" i="88"/>
  <c r="A24" i="94"/>
  <c r="N32" i="94"/>
  <c r="N32" i="88"/>
  <c r="S90" i="33"/>
  <c r="FI227" i="91"/>
  <c r="FI264" i="91"/>
  <c r="FI275" i="91"/>
  <c r="FI232" i="91"/>
  <c r="FI239" i="91"/>
  <c r="FI270" i="91"/>
  <c r="FI245" i="91"/>
  <c r="FI234" i="91"/>
  <c r="FI261" i="91"/>
  <c r="FI238" i="91"/>
  <c r="FI233" i="91"/>
  <c r="FI258" i="91"/>
  <c r="FI256" i="91"/>
  <c r="FI255" i="91"/>
  <c r="FI235" i="91"/>
  <c r="FI242" i="91"/>
  <c r="FI226" i="91"/>
  <c r="FI279" i="91"/>
  <c r="FI223" i="91"/>
  <c r="FI276" i="91"/>
  <c r="FI228" i="91"/>
  <c r="FI260" i="91"/>
  <c r="FI263" i="91"/>
  <c r="FI225" i="91"/>
  <c r="FI231" i="91"/>
  <c r="FI229" i="91"/>
  <c r="FI240" i="91"/>
  <c r="I23" i="75"/>
  <c r="J20" i="75"/>
  <c r="J22" i="75"/>
  <c r="J25" i="75"/>
  <c r="N57" i="75"/>
  <c r="O17" i="289"/>
  <c r="S32" i="94"/>
  <c r="S92" i="33"/>
  <c r="S304" i="33"/>
  <c r="H36" i="56"/>
  <c r="P88" i="33"/>
  <c r="P80" i="33"/>
  <c r="P81" i="33"/>
  <c r="P82" i="33"/>
  <c r="P313" i="33"/>
  <c r="P90" i="33"/>
  <c r="P92" i="33"/>
  <c r="P11" i="289"/>
  <c r="P17" i="289"/>
  <c r="P32" i="289"/>
  <c r="N63" i="75"/>
  <c r="I34" i="289"/>
  <c r="I35" i="289"/>
  <c r="H38" i="289"/>
  <c r="H39" i="289"/>
  <c r="N21" i="288"/>
  <c r="N29" i="288"/>
  <c r="O149" i="33"/>
  <c r="O152" i="33"/>
  <c r="N289" i="33"/>
  <c r="N182" i="33"/>
  <c r="S15" i="68"/>
  <c r="S54" i="68"/>
  <c r="O55" i="75"/>
  <c r="O72" i="75"/>
  <c r="O60" i="75"/>
  <c r="P54" i="75"/>
  <c r="P11" i="68"/>
  <c r="O57" i="68"/>
  <c r="P20" i="68"/>
  <c r="A23" i="56"/>
  <c r="J73" i="75"/>
  <c r="J74" i="75"/>
  <c r="J78" i="75"/>
  <c r="J64" i="75"/>
  <c r="J67" i="75"/>
  <c r="A22" i="56"/>
  <c r="Q314" i="33"/>
  <c r="Q151" i="33"/>
  <c r="Q79" i="33"/>
  <c r="P310" i="33"/>
  <c r="N30" i="88"/>
  <c r="N33" i="94"/>
  <c r="N33" i="88"/>
  <c r="T53" i="68"/>
  <c r="U28" i="68"/>
  <c r="O58" i="68"/>
  <c r="O61" i="68"/>
  <c r="O13" i="75"/>
  <c r="O30" i="75"/>
  <c r="O18" i="75"/>
  <c r="O21" i="75"/>
  <c r="P12" i="75"/>
  <c r="N58" i="68"/>
  <c r="N61" i="68"/>
  <c r="R55" i="68"/>
  <c r="K81" i="68"/>
  <c r="K82" i="68"/>
  <c r="K84" i="68"/>
  <c r="K87" i="68"/>
  <c r="FJ221" i="91"/>
  <c r="K56" i="288"/>
  <c r="K57" i="288"/>
  <c r="K59" i="288"/>
  <c r="L285" i="33"/>
  <c r="K290" i="33"/>
  <c r="K291" i="33"/>
  <c r="K286" i="33"/>
  <c r="K288" i="33"/>
  <c r="N15" i="75"/>
  <c r="FI271" i="91"/>
  <c r="FI268" i="91"/>
  <c r="FI273" i="91"/>
  <c r="FI274" i="91"/>
  <c r="FI278" i="91"/>
  <c r="FI267" i="91"/>
  <c r="FJ279" i="91"/>
  <c r="FJ232" i="91"/>
  <c r="FJ274" i="91"/>
  <c r="FJ271" i="91"/>
  <c r="FJ223" i="91"/>
  <c r="FJ262" i="91"/>
  <c r="FJ254" i="91"/>
  <c r="FJ241" i="91"/>
  <c r="FJ231" i="91"/>
  <c r="FJ244" i="91"/>
  <c r="FJ264" i="91"/>
  <c r="FJ278" i="91"/>
  <c r="FI254" i="91"/>
  <c r="FI269" i="91"/>
  <c r="FI257" i="91"/>
  <c r="FI277" i="91"/>
  <c r="FI247" i="91"/>
  <c r="FI244" i="91"/>
  <c r="FI236" i="91"/>
  <c r="FI272" i="91"/>
  <c r="FI265" i="91"/>
  <c r="FI262" i="91"/>
  <c r="FI230" i="91"/>
  <c r="FI243" i="91"/>
  <c r="FI241" i="91"/>
  <c r="FI237" i="91"/>
  <c r="FI248" i="91"/>
  <c r="FI224" i="91"/>
  <c r="FI266" i="91"/>
  <c r="FI246" i="91"/>
  <c r="FI259" i="91"/>
  <c r="FJ263" i="91"/>
  <c r="FJ277" i="91"/>
  <c r="FJ228" i="91"/>
  <c r="FJ224" i="91"/>
  <c r="FJ270" i="91"/>
  <c r="FJ235" i="91"/>
  <c r="FJ245" i="91"/>
  <c r="FJ260" i="91"/>
  <c r="FJ229" i="91"/>
  <c r="FJ242" i="91"/>
  <c r="FJ266" i="91"/>
  <c r="FJ256" i="91"/>
  <c r="FJ276" i="91"/>
  <c r="FJ227" i="91"/>
  <c r="FJ261" i="91"/>
  <c r="FI290" i="91"/>
  <c r="FI286" i="91"/>
  <c r="FI296" i="91"/>
  <c r="FI306" i="91"/>
  <c r="FI288" i="91"/>
  <c r="FI304" i="91"/>
  <c r="FI302" i="91"/>
  <c r="FI298" i="91"/>
  <c r="FI287" i="91"/>
  <c r="FI300" i="91"/>
  <c r="FI292" i="91"/>
  <c r="FI294" i="91"/>
  <c r="FI308" i="91"/>
  <c r="FI310" i="91"/>
  <c r="FI291" i="91"/>
  <c r="FI307" i="91"/>
  <c r="FI297" i="91"/>
  <c r="FI295" i="91"/>
  <c r="FI285" i="91"/>
  <c r="FI301" i="91"/>
  <c r="FI299" i="91"/>
  <c r="FI289" i="91"/>
  <c r="FI305" i="91"/>
  <c r="FI303" i="91"/>
  <c r="FI293" i="91"/>
  <c r="FI309" i="91"/>
  <c r="O57" i="75"/>
  <c r="G47" i="56"/>
  <c r="G49" i="56"/>
  <c r="FJ294" i="91"/>
  <c r="FK221" i="91"/>
  <c r="O15" i="75"/>
  <c r="O63" i="75"/>
  <c r="S32" i="88"/>
  <c r="S33" i="94"/>
  <c r="L56" i="288"/>
  <c r="L57" i="288"/>
  <c r="L59" i="288"/>
  <c r="M285" i="33"/>
  <c r="L290" i="33"/>
  <c r="L291" i="33"/>
  <c r="L286" i="33"/>
  <c r="L288" i="33"/>
  <c r="U53" i="68"/>
  <c r="V28" i="68"/>
  <c r="Q313" i="33"/>
  <c r="Q88" i="33"/>
  <c r="Q80" i="33"/>
  <c r="Q81" i="33"/>
  <c r="Q82" i="33"/>
  <c r="Q90" i="33"/>
  <c r="Q92" i="33"/>
  <c r="O310" i="33"/>
  <c r="J68" i="75"/>
  <c r="J70" i="75"/>
  <c r="Q11" i="68"/>
  <c r="P57" i="68"/>
  <c r="Q20" i="68"/>
  <c r="J26" i="75"/>
  <c r="J31" i="75"/>
  <c r="J32" i="75"/>
  <c r="J36" i="75"/>
  <c r="P60" i="75"/>
  <c r="P55" i="75"/>
  <c r="P72" i="75"/>
  <c r="Q54" i="75"/>
  <c r="Q310" i="33"/>
  <c r="J23" i="75"/>
  <c r="K20" i="75"/>
  <c r="O32" i="289"/>
  <c r="J65" i="75"/>
  <c r="K62" i="75"/>
  <c r="S55" i="68"/>
  <c r="L81" i="68"/>
  <c r="L82" i="68"/>
  <c r="L84" i="68"/>
  <c r="L87" i="68"/>
  <c r="O21" i="288"/>
  <c r="O29" i="288"/>
  <c r="P149" i="33"/>
  <c r="P152" i="33"/>
  <c r="O289" i="33"/>
  <c r="O182" i="33"/>
  <c r="J34" i="289"/>
  <c r="J35" i="289"/>
  <c r="I38" i="289"/>
  <c r="I39" i="289"/>
  <c r="T15" i="68"/>
  <c r="T54" i="68"/>
  <c r="P18" i="75"/>
  <c r="P13" i="75"/>
  <c r="P30" i="75"/>
  <c r="P21" i="75"/>
  <c r="Q12" i="75"/>
  <c r="FJ272" i="91"/>
  <c r="FK274" i="91"/>
  <c r="FJ259" i="91"/>
  <c r="FJ240" i="91"/>
  <c r="FJ234" i="91"/>
  <c r="FJ255" i="91"/>
  <c r="FJ273" i="91"/>
  <c r="FJ230" i="91"/>
  <c r="FJ247" i="91"/>
  <c r="FJ238" i="91"/>
  <c r="FJ258" i="91"/>
  <c r="FJ248" i="91"/>
  <c r="FJ236" i="91"/>
  <c r="FJ267" i="91"/>
  <c r="FK277" i="91"/>
  <c r="FK279" i="91"/>
  <c r="FK264" i="91"/>
  <c r="FK266" i="91"/>
  <c r="FK237" i="91"/>
  <c r="FK232" i="91"/>
  <c r="FK248" i="91"/>
  <c r="FK244" i="91"/>
  <c r="FK243" i="91"/>
  <c r="FK241" i="91"/>
  <c r="FK278" i="91"/>
  <c r="FK230" i="91"/>
  <c r="FK272" i="91"/>
  <c r="FJ225" i="91"/>
  <c r="FK271" i="91"/>
  <c r="FK226" i="91"/>
  <c r="FK259" i="91"/>
  <c r="FK236" i="91"/>
  <c r="FK239" i="91"/>
  <c r="FK233" i="91"/>
  <c r="FK246" i="91"/>
  <c r="FJ269" i="91"/>
  <c r="FJ246" i="91"/>
  <c r="FJ226" i="91"/>
  <c r="FJ243" i="91"/>
  <c r="FJ239" i="91"/>
  <c r="FJ265" i="91"/>
  <c r="FJ268" i="91"/>
  <c r="FJ237" i="91"/>
  <c r="FJ275" i="91"/>
  <c r="FJ233" i="91"/>
  <c r="FJ257" i="91"/>
  <c r="FK245" i="91"/>
  <c r="FK258" i="91"/>
  <c r="FK256" i="91"/>
  <c r="FK260" i="91"/>
  <c r="FK267" i="91"/>
  <c r="FK231" i="91"/>
  <c r="FJ292" i="91"/>
  <c r="FJ296" i="91"/>
  <c r="FJ300" i="91"/>
  <c r="FJ286" i="91"/>
  <c r="FJ304" i="91"/>
  <c r="FJ310" i="91"/>
  <c r="FJ306" i="91"/>
  <c r="FJ290" i="91"/>
  <c r="FJ308" i="91"/>
  <c r="FJ285" i="91"/>
  <c r="FJ298" i="91"/>
  <c r="FJ302" i="91"/>
  <c r="FJ288" i="91"/>
  <c r="FJ289" i="91"/>
  <c r="FJ305" i="91"/>
  <c r="FJ295" i="91"/>
  <c r="FJ293" i="91"/>
  <c r="FJ309" i="91"/>
  <c r="FJ299" i="91"/>
  <c r="FJ297" i="91"/>
  <c r="FJ287" i="91"/>
  <c r="FJ303" i="91"/>
  <c r="FJ301" i="91"/>
  <c r="FJ291" i="91"/>
  <c r="FJ307" i="91"/>
  <c r="V47" i="56"/>
  <c r="V49" i="56"/>
  <c r="I47" i="56"/>
  <c r="I49" i="56"/>
  <c r="P57" i="75"/>
  <c r="P15" i="75"/>
  <c r="J28" i="75"/>
  <c r="Q11" i="289"/>
  <c r="Q18" i="75"/>
  <c r="Q13" i="75"/>
  <c r="Q30" i="75"/>
  <c r="Q21" i="75"/>
  <c r="R12" i="75"/>
  <c r="K34" i="289"/>
  <c r="K35" i="289"/>
  <c r="J38" i="289"/>
  <c r="J39" i="289"/>
  <c r="T55" i="68"/>
  <c r="M81" i="68"/>
  <c r="M82" i="68"/>
  <c r="M84" i="68"/>
  <c r="M87" i="68"/>
  <c r="P21" i="288"/>
  <c r="P29" i="288"/>
  <c r="Q149" i="33"/>
  <c r="Q152" i="33"/>
  <c r="P289" i="33"/>
  <c r="P182" i="33"/>
  <c r="K73" i="75"/>
  <c r="K74" i="75"/>
  <c r="K78" i="75"/>
  <c r="K64" i="75"/>
  <c r="K67" i="75"/>
  <c r="K22" i="75"/>
  <c r="K25" i="75"/>
  <c r="M56" i="288"/>
  <c r="M57" i="288"/>
  <c r="M59" i="288"/>
  <c r="N285" i="33"/>
  <c r="M290" i="33"/>
  <c r="M291" i="33"/>
  <c r="M286" i="33"/>
  <c r="M288" i="33"/>
  <c r="P58" i="68"/>
  <c r="P61" i="68"/>
  <c r="P63" i="75"/>
  <c r="Q55" i="75"/>
  <c r="Q72" i="75"/>
  <c r="Q60" i="75"/>
  <c r="R54" i="75"/>
  <c r="V53" i="68"/>
  <c r="W28" i="68"/>
  <c r="S33" i="88"/>
  <c r="B1" i="88"/>
  <c r="E37" i="78"/>
  <c r="F37" i="78"/>
  <c r="B1" i="94"/>
  <c r="E36" i="78"/>
  <c r="F36" i="78"/>
  <c r="R11" i="68"/>
  <c r="Q57" i="68"/>
  <c r="R20" i="68"/>
  <c r="U15" i="68"/>
  <c r="U54" i="68"/>
  <c r="FL221" i="91"/>
  <c r="FK238" i="91"/>
  <c r="FK275" i="91"/>
  <c r="FK263" i="91"/>
  <c r="FK228" i="91"/>
  <c r="FK257" i="91"/>
  <c r="FK242" i="91"/>
  <c r="FL240" i="91"/>
  <c r="FL254" i="91"/>
  <c r="FL244" i="91"/>
  <c r="FL268" i="91"/>
  <c r="FL235" i="91"/>
  <c r="FL226" i="91"/>
  <c r="FL276" i="91"/>
  <c r="FL234" i="91"/>
  <c r="FL225" i="91"/>
  <c r="FL262" i="91"/>
  <c r="FL274" i="91"/>
  <c r="FL245" i="91"/>
  <c r="FL260" i="91"/>
  <c r="FL224" i="91"/>
  <c r="FL229" i="91"/>
  <c r="FL239" i="91"/>
  <c r="FL261" i="91"/>
  <c r="FL227" i="91"/>
  <c r="FK265" i="91"/>
  <c r="FK269" i="91"/>
  <c r="FK268" i="91"/>
  <c r="FK240" i="91"/>
  <c r="FK229" i="91"/>
  <c r="FK276" i="91"/>
  <c r="FK270" i="91"/>
  <c r="FK261" i="91"/>
  <c r="FK254" i="91"/>
  <c r="FK247" i="91"/>
  <c r="FK235" i="91"/>
  <c r="FK227" i="91"/>
  <c r="FK223" i="91"/>
  <c r="FK224" i="91"/>
  <c r="FK262" i="91"/>
  <c r="FK255" i="91"/>
  <c r="FK225" i="91"/>
  <c r="FK234" i="91"/>
  <c r="FK273" i="91"/>
  <c r="FL277" i="91"/>
  <c r="FL263" i="91"/>
  <c r="FL278" i="91"/>
  <c r="FL258" i="91"/>
  <c r="FL243" i="91"/>
  <c r="FL273" i="91"/>
  <c r="FL259" i="91"/>
  <c r="FL270" i="91"/>
  <c r="FL264" i="91"/>
  <c r="FL236" i="91"/>
  <c r="FL269" i="91"/>
  <c r="FL233" i="91"/>
  <c r="FL231" i="91"/>
  <c r="FL256" i="91"/>
  <c r="FL242" i="91"/>
  <c r="FL241" i="91"/>
  <c r="FL248" i="91"/>
  <c r="FL271" i="91"/>
  <c r="FL238" i="91"/>
  <c r="FL223" i="91"/>
  <c r="FL255" i="91"/>
  <c r="FL275" i="91"/>
  <c r="FL272" i="91"/>
  <c r="FL257" i="91"/>
  <c r="FL228" i="91"/>
  <c r="FL237" i="91"/>
  <c r="FL265" i="91"/>
  <c r="FL247" i="91"/>
  <c r="FL279" i="91"/>
  <c r="FL230" i="91"/>
  <c r="FL267" i="91"/>
  <c r="FL232" i="91"/>
  <c r="FL246" i="91"/>
  <c r="FL266" i="91"/>
  <c r="FK285" i="91"/>
  <c r="FK309" i="91"/>
  <c r="FK307" i="91"/>
  <c r="FK301" i="91"/>
  <c r="FK308" i="91"/>
  <c r="FK287" i="91"/>
  <c r="FK305" i="91"/>
  <c r="FK300" i="91"/>
  <c r="FK303" i="91"/>
  <c r="FK297" i="91"/>
  <c r="FK293" i="91"/>
  <c r="FK295" i="91"/>
  <c r="FK289" i="91"/>
  <c r="FK299" i="91"/>
  <c r="FK291" i="91"/>
  <c r="FK304" i="91"/>
  <c r="FK290" i="91"/>
  <c r="FK306" i="91"/>
  <c r="FK292" i="91"/>
  <c r="FK294" i="91"/>
  <c r="FK310" i="91"/>
  <c r="FK296" i="91"/>
  <c r="FK298" i="91"/>
  <c r="FK288" i="91"/>
  <c r="FK286" i="91"/>
  <c r="FK302" i="91"/>
  <c r="G51" i="56"/>
  <c r="FL310" i="91"/>
  <c r="FL309" i="91"/>
  <c r="FL308" i="91"/>
  <c r="FL307" i="91"/>
  <c r="FL306" i="91"/>
  <c r="FL305" i="91"/>
  <c r="FL304" i="91"/>
  <c r="FL303" i="91"/>
  <c r="FL302" i="91"/>
  <c r="FL301" i="91"/>
  <c r="FL300" i="91"/>
  <c r="FL299" i="91"/>
  <c r="FL298" i="91"/>
  <c r="FL297" i="91"/>
  <c r="FL296" i="91"/>
  <c r="FL295" i="91"/>
  <c r="FL294" i="91"/>
  <c r="FL292" i="91"/>
  <c r="FL291" i="91"/>
  <c r="FL290" i="91"/>
  <c r="FL288" i="91"/>
  <c r="FL287" i="91"/>
  <c r="FL286" i="91"/>
  <c r="FL285" i="91"/>
  <c r="Q58" i="68"/>
  <c r="Q61" i="68"/>
  <c r="Q57" i="75"/>
  <c r="K65" i="75"/>
  <c r="L62" i="75"/>
  <c r="Q17" i="289"/>
  <c r="A11" i="289"/>
  <c r="R60" i="75"/>
  <c r="R55" i="75"/>
  <c r="R72" i="75"/>
  <c r="S54" i="75"/>
  <c r="K23" i="75"/>
  <c r="L20" i="75"/>
  <c r="Q15" i="75"/>
  <c r="FM221" i="91"/>
  <c r="V15" i="68"/>
  <c r="V54" i="68"/>
  <c r="N56" i="288"/>
  <c r="N57" i="288"/>
  <c r="N59" i="288"/>
  <c r="O285" i="33"/>
  <c r="N290" i="33"/>
  <c r="N291" i="33"/>
  <c r="N286" i="33"/>
  <c r="N288" i="33"/>
  <c r="K26" i="75"/>
  <c r="K31" i="75"/>
  <c r="K32" i="75"/>
  <c r="K36" i="75"/>
  <c r="Q21" i="288"/>
  <c r="Q289" i="33"/>
  <c r="Q182" i="33"/>
  <c r="L34" i="289"/>
  <c r="L35" i="289"/>
  <c r="K38" i="289"/>
  <c r="K39" i="289"/>
  <c r="R57" i="68"/>
  <c r="S20" i="68"/>
  <c r="S11" i="68"/>
  <c r="U55" i="68"/>
  <c r="N81" i="68"/>
  <c r="N82" i="68"/>
  <c r="N84" i="68"/>
  <c r="N87" i="68"/>
  <c r="W53" i="68"/>
  <c r="X28" i="68"/>
  <c r="Q63" i="75"/>
  <c r="K68" i="75"/>
  <c r="K70" i="75"/>
  <c r="R13" i="75"/>
  <c r="R30" i="75"/>
  <c r="R18" i="75"/>
  <c r="R21" i="75"/>
  <c r="S12" i="75"/>
  <c r="FM272" i="91"/>
  <c r="FM278" i="91"/>
  <c r="FM230" i="91"/>
  <c r="FM225" i="91"/>
  <c r="FM263" i="91"/>
  <c r="FM277" i="91"/>
  <c r="FM235" i="91"/>
  <c r="FM256" i="91"/>
  <c r="FM275" i="91"/>
  <c r="FM233" i="91"/>
  <c r="FM248" i="91"/>
  <c r="FM266" i="91"/>
  <c r="FM271" i="91"/>
  <c r="FM273" i="91"/>
  <c r="FM228" i="91"/>
  <c r="FM242" i="91"/>
  <c r="FM241" i="91"/>
  <c r="FM276" i="91"/>
  <c r="FM269" i="91"/>
  <c r="FM259" i="91"/>
  <c r="FM264" i="91"/>
  <c r="FM245" i="91"/>
  <c r="FM239" i="91"/>
  <c r="FM243" i="91"/>
  <c r="FM234" i="91"/>
  <c r="FM261" i="91"/>
  <c r="FM260" i="91"/>
  <c r="FM223" i="91"/>
  <c r="FM258" i="91"/>
  <c r="FM224" i="91"/>
  <c r="FM226" i="91"/>
  <c r="FM246" i="91"/>
  <c r="FM227" i="91"/>
  <c r="FM279" i="91"/>
  <c r="FM236" i="91"/>
  <c r="FM268" i="91"/>
  <c r="FM265" i="91"/>
  <c r="FM244" i="91"/>
  <c r="FM262" i="91"/>
  <c r="FM231" i="91"/>
  <c r="FM267" i="91"/>
  <c r="FM237" i="91"/>
  <c r="FM240" i="91"/>
  <c r="FM232" i="91"/>
  <c r="FM255" i="91"/>
  <c r="FM274" i="91"/>
  <c r="FM238" i="91"/>
  <c r="FM247" i="91"/>
  <c r="FM229" i="91"/>
  <c r="FM257" i="91"/>
  <c r="FM270" i="91"/>
  <c r="FM254" i="91"/>
  <c r="FL289" i="91"/>
  <c r="FL293" i="91"/>
  <c r="R15" i="75"/>
  <c r="FM310" i="91"/>
  <c r="FM308" i="91"/>
  <c r="FM305" i="91"/>
  <c r="FM295" i="91"/>
  <c r="FM289" i="91"/>
  <c r="FM286" i="91"/>
  <c r="W15" i="68"/>
  <c r="W54" i="68"/>
  <c r="Q29" i="288"/>
  <c r="A29" i="288"/>
  <c r="A21" i="288"/>
  <c r="V55" i="68"/>
  <c r="O81" i="68"/>
  <c r="O82" i="68"/>
  <c r="O84" i="68"/>
  <c r="O87" i="68"/>
  <c r="R57" i="75"/>
  <c r="X53" i="68"/>
  <c r="Y28" i="68"/>
  <c r="T11" i="68"/>
  <c r="S57" i="68"/>
  <c r="T20" i="68"/>
  <c r="M34" i="289"/>
  <c r="M35" i="289"/>
  <c r="L38" i="289"/>
  <c r="L39" i="289"/>
  <c r="K28" i="75"/>
  <c r="O56" i="288"/>
  <c r="O57" i="288"/>
  <c r="P285" i="33"/>
  <c r="O290" i="33"/>
  <c r="O291" i="33"/>
  <c r="O286" i="33"/>
  <c r="L22" i="75"/>
  <c r="L25" i="75"/>
  <c r="R63" i="75"/>
  <c r="L73" i="75"/>
  <c r="L74" i="75"/>
  <c r="L78" i="75"/>
  <c r="L64" i="75"/>
  <c r="L67" i="75"/>
  <c r="R58" i="68"/>
  <c r="R61" i="68"/>
  <c r="S55" i="75"/>
  <c r="S72" i="75"/>
  <c r="S60" i="75"/>
  <c r="T54" i="75"/>
  <c r="A59" i="288"/>
  <c r="S13" i="75"/>
  <c r="S30" i="75"/>
  <c r="S18" i="75"/>
  <c r="S21" i="75"/>
  <c r="T12" i="75"/>
  <c r="FN221" i="91"/>
  <c r="Q32" i="289"/>
  <c r="A17" i="289"/>
  <c r="FN277" i="91"/>
  <c r="FN226" i="91"/>
  <c r="FN233" i="91"/>
  <c r="FN266" i="91"/>
  <c r="FN262" i="91"/>
  <c r="FN279" i="91"/>
  <c r="FN244" i="91"/>
  <c r="FN258" i="91"/>
  <c r="FN239" i="91"/>
  <c r="FN242" i="91"/>
  <c r="FN238" i="91"/>
  <c r="FN240" i="91"/>
  <c r="FN248" i="91"/>
  <c r="FN224" i="91"/>
  <c r="FN272" i="91"/>
  <c r="FN256" i="91"/>
  <c r="FN234" i="91"/>
  <c r="FN265" i="91"/>
  <c r="FN276" i="91"/>
  <c r="FN275" i="91"/>
  <c r="FN260" i="91"/>
  <c r="FN255" i="91"/>
  <c r="FN254" i="91"/>
  <c r="FN273" i="91"/>
  <c r="FN247" i="91"/>
  <c r="FN231" i="91"/>
  <c r="FN245" i="91"/>
  <c r="FN270" i="91"/>
  <c r="FN237" i="91"/>
  <c r="FN264" i="91"/>
  <c r="FN271" i="91"/>
  <c r="FN246" i="91"/>
  <c r="FN235" i="91"/>
  <c r="FN263" i="91"/>
  <c r="FN227" i="91"/>
  <c r="FN230" i="91"/>
  <c r="FN241" i="91"/>
  <c r="FN261" i="91"/>
  <c r="FN236" i="91"/>
  <c r="FN274" i="91"/>
  <c r="FN259" i="91"/>
  <c r="FN228" i="91"/>
  <c r="FN267" i="91"/>
  <c r="FN278" i="91"/>
  <c r="FN232" i="91"/>
  <c r="FN229" i="91"/>
  <c r="FN223" i="91"/>
  <c r="FN268" i="91"/>
  <c r="FN269" i="91"/>
  <c r="FN243" i="91"/>
  <c r="FN257" i="91"/>
  <c r="FN225" i="91"/>
  <c r="FM287" i="91"/>
  <c r="FM293" i="91"/>
  <c r="FM288" i="91"/>
  <c r="FM303" i="91"/>
  <c r="FM285" i="91"/>
  <c r="FM290" i="91"/>
  <c r="FM294" i="91"/>
  <c r="FM291" i="91"/>
  <c r="FM304" i="91"/>
  <c r="FM309" i="91"/>
  <c r="FM301" i="91"/>
  <c r="FM306" i="91"/>
  <c r="FM292" i="91"/>
  <c r="FM299" i="91"/>
  <c r="FM302" i="91"/>
  <c r="FM296" i="91"/>
  <c r="FM307" i="91"/>
  <c r="FM298" i="91"/>
  <c r="FM300" i="91"/>
  <c r="FM297" i="91"/>
  <c r="L65" i="75"/>
  <c r="M62" i="75"/>
  <c r="M73" i="75"/>
  <c r="M74" i="75"/>
  <c r="M78" i="75"/>
  <c r="S57" i="75"/>
  <c r="S58" i="68"/>
  <c r="S61" i="68"/>
  <c r="A32" i="289"/>
  <c r="T18" i="75"/>
  <c r="T13" i="75"/>
  <c r="T30" i="75"/>
  <c r="T21" i="75"/>
  <c r="U12" i="75"/>
  <c r="S15" i="75"/>
  <c r="L68" i="75"/>
  <c r="L70" i="75"/>
  <c r="L23" i="75"/>
  <c r="M20" i="75"/>
  <c r="FO221" i="91"/>
  <c r="W55" i="68"/>
  <c r="P81" i="68"/>
  <c r="P82" i="68"/>
  <c r="P84" i="68"/>
  <c r="P87" i="68"/>
  <c r="T60" i="75"/>
  <c r="T55" i="75"/>
  <c r="T72" i="75"/>
  <c r="U54" i="75"/>
  <c r="L26" i="75"/>
  <c r="L31" i="75"/>
  <c r="L32" i="75"/>
  <c r="L36" i="75"/>
  <c r="T57" i="68"/>
  <c r="U20" i="68"/>
  <c r="U11" i="68"/>
  <c r="P56" i="288"/>
  <c r="Q285" i="33"/>
  <c r="P290" i="33"/>
  <c r="P291" i="33"/>
  <c r="P286" i="33"/>
  <c r="Y53" i="68"/>
  <c r="Z28" i="68"/>
  <c r="S63" i="75"/>
  <c r="N34" i="289"/>
  <c r="N35" i="289"/>
  <c r="M38" i="289"/>
  <c r="M39" i="289"/>
  <c r="X15" i="68"/>
  <c r="X54" i="68"/>
  <c r="FO229" i="91"/>
  <c r="FO278" i="91"/>
  <c r="FO237" i="91"/>
  <c r="FO275" i="91"/>
  <c r="FO265" i="91"/>
  <c r="FO261" i="91"/>
  <c r="FO245" i="91"/>
  <c r="FO231" i="91"/>
  <c r="FO258" i="91"/>
  <c r="FO264" i="91"/>
  <c r="FO272" i="91"/>
  <c r="FO262" i="91"/>
  <c r="FO266" i="91"/>
  <c r="FO244" i="91"/>
  <c r="FO236" i="91"/>
  <c r="FO273" i="91"/>
  <c r="FO248" i="91"/>
  <c r="FO267" i="91"/>
  <c r="FO242" i="91"/>
  <c r="FO256" i="91"/>
  <c r="FO276" i="91"/>
  <c r="FO243" i="91"/>
  <c r="FO226" i="91"/>
  <c r="FO255" i="91"/>
  <c r="FO259" i="91"/>
  <c r="FO238" i="91"/>
  <c r="FO270" i="91"/>
  <c r="FO227" i="91"/>
  <c r="FO235" i="91"/>
  <c r="FO279" i="91"/>
  <c r="FO224" i="91"/>
  <c r="FO277" i="91"/>
  <c r="FO225" i="91"/>
  <c r="FO233" i="91"/>
  <c r="FO223" i="91"/>
  <c r="FO239" i="91"/>
  <c r="FO254" i="91"/>
  <c r="FO274" i="91"/>
  <c r="FO260" i="91"/>
  <c r="FO240" i="91"/>
  <c r="FO230" i="91"/>
  <c r="FO228" i="91"/>
  <c r="FO246" i="91"/>
  <c r="FO269" i="91"/>
  <c r="FO271" i="91"/>
  <c r="FO268" i="91"/>
  <c r="FO241" i="91"/>
  <c r="FO247" i="91"/>
  <c r="FO232" i="91"/>
  <c r="FO234" i="91"/>
  <c r="FO263" i="91"/>
  <c r="FO257" i="91"/>
  <c r="FN294" i="91"/>
  <c r="FN310" i="91"/>
  <c r="FN299" i="91"/>
  <c r="FN296" i="91"/>
  <c r="FN286" i="91"/>
  <c r="FN289" i="91"/>
  <c r="FN305" i="91"/>
  <c r="FN298" i="91"/>
  <c r="FN287" i="91"/>
  <c r="FN303" i="91"/>
  <c r="FN300" i="91"/>
  <c r="FN293" i="91"/>
  <c r="FN309" i="91"/>
  <c r="FN302" i="91"/>
  <c r="FN291" i="91"/>
  <c r="FN307" i="91"/>
  <c r="FN288" i="91"/>
  <c r="FN304" i="91"/>
  <c r="FN297" i="91"/>
  <c r="FN290" i="91"/>
  <c r="FN306" i="91"/>
  <c r="FN295" i="91"/>
  <c r="FN292" i="91"/>
  <c r="FN308" i="91"/>
  <c r="FN285" i="91"/>
  <c r="FN301" i="91"/>
  <c r="M64" i="75"/>
  <c r="M67" i="75"/>
  <c r="M68" i="75"/>
  <c r="M70" i="75"/>
  <c r="L28" i="75"/>
  <c r="T58" i="68"/>
  <c r="T61" i="68"/>
  <c r="T57" i="75"/>
  <c r="FO309" i="91"/>
  <c r="FO307" i="91"/>
  <c r="FO305" i="91"/>
  <c r="FO303" i="91"/>
  <c r="FO301" i="91"/>
  <c r="FO299" i="91"/>
  <c r="FO297" i="91"/>
  <c r="FO295" i="91"/>
  <c r="FO293" i="91"/>
  <c r="FO291" i="91"/>
  <c r="FO289" i="91"/>
  <c r="FO287" i="91"/>
  <c r="FO285" i="91"/>
  <c r="V11" i="68"/>
  <c r="U57" i="68"/>
  <c r="V20" i="68"/>
  <c r="T15" i="75"/>
  <c r="Z53" i="68"/>
  <c r="AA28" i="68"/>
  <c r="FP221" i="91"/>
  <c r="O34" i="289"/>
  <c r="O35" i="289"/>
  <c r="N38" i="289"/>
  <c r="N39" i="289"/>
  <c r="Q56" i="288"/>
  <c r="Q290" i="33"/>
  <c r="Q291" i="33"/>
  <c r="Q286" i="33"/>
  <c r="T63" i="75"/>
  <c r="X55" i="68"/>
  <c r="Q81" i="68"/>
  <c r="Q82" i="68"/>
  <c r="Q84" i="68"/>
  <c r="Q87" i="68"/>
  <c r="Y15" i="68"/>
  <c r="Y54" i="68"/>
  <c r="P57" i="288"/>
  <c r="U55" i="75"/>
  <c r="U72" i="75"/>
  <c r="U60" i="75"/>
  <c r="M22" i="75"/>
  <c r="M25" i="75"/>
  <c r="U18" i="75"/>
  <c r="U13" i="75"/>
  <c r="U30" i="75"/>
  <c r="U21" i="75"/>
  <c r="FP243" i="91"/>
  <c r="FP268" i="91"/>
  <c r="FP265" i="91"/>
  <c r="FP275" i="91"/>
  <c r="FP273" i="91"/>
  <c r="FP247" i="91"/>
  <c r="FP239" i="91"/>
  <c r="FP260" i="91"/>
  <c r="FP224" i="91"/>
  <c r="FP246" i="91"/>
  <c r="FP271" i="91"/>
  <c r="FP230" i="91"/>
  <c r="FP267" i="91"/>
  <c r="FP234" i="91"/>
  <c r="FP278" i="91"/>
  <c r="FP233" i="91"/>
  <c r="FP232" i="91"/>
  <c r="FP242" i="91"/>
  <c r="FP262" i="91"/>
  <c r="FP225" i="91"/>
  <c r="FP256" i="91"/>
  <c r="FP258" i="91"/>
  <c r="FP245" i="91"/>
  <c r="FP244" i="91"/>
  <c r="FP240" i="91"/>
  <c r="FP226" i="91"/>
  <c r="FP237" i="91"/>
  <c r="B1" i="33"/>
  <c r="E38" i="78"/>
  <c r="F38" i="78"/>
  <c r="FO304" i="91"/>
  <c r="FO298" i="91"/>
  <c r="FO288" i="91"/>
  <c r="FO292" i="91"/>
  <c r="FO308" i="91"/>
  <c r="FO286" i="91"/>
  <c r="FO302" i="91"/>
  <c r="FO296" i="91"/>
  <c r="FO290" i="91"/>
  <c r="FO306" i="91"/>
  <c r="FO300" i="91"/>
  <c r="FO294" i="91"/>
  <c r="FO310" i="91"/>
  <c r="U15" i="75"/>
  <c r="M65" i="75"/>
  <c r="N62" i="75"/>
  <c r="N73" i="75"/>
  <c r="N74" i="75"/>
  <c r="N78" i="75"/>
  <c r="U58" i="68"/>
  <c r="U61" i="68"/>
  <c r="FP309" i="91"/>
  <c r="FP299" i="91"/>
  <c r="FP287" i="91"/>
  <c r="M26" i="75"/>
  <c r="M31" i="75"/>
  <c r="M32" i="75"/>
  <c r="M36" i="75"/>
  <c r="Y55" i="68"/>
  <c r="R81" i="68"/>
  <c r="R82" i="68"/>
  <c r="R84" i="68"/>
  <c r="R87" i="68"/>
  <c r="U57" i="75"/>
  <c r="Q57" i="288"/>
  <c r="A56" i="288"/>
  <c r="FQ221" i="91"/>
  <c r="W11" i="68"/>
  <c r="V57" i="68"/>
  <c r="W20" i="68"/>
  <c r="M23" i="75"/>
  <c r="N20" i="75"/>
  <c r="A39" i="289"/>
  <c r="AA53" i="68"/>
  <c r="AB28" i="68"/>
  <c r="U63" i="75"/>
  <c r="P34" i="289"/>
  <c r="P35" i="289"/>
  <c r="O38" i="289"/>
  <c r="Z15" i="68"/>
  <c r="Z54" i="68"/>
  <c r="FQ266" i="91"/>
  <c r="FQ268" i="91"/>
  <c r="FQ271" i="91"/>
  <c r="FQ224" i="91"/>
  <c r="FQ248" i="91"/>
  <c r="FQ254" i="91"/>
  <c r="FQ272" i="91"/>
  <c r="FP269" i="91"/>
  <c r="FP238" i="91"/>
  <c r="FP241" i="91"/>
  <c r="FP259" i="91"/>
  <c r="FP263" i="91"/>
  <c r="FP235" i="91"/>
  <c r="FP236" i="91"/>
  <c r="FP270" i="91"/>
  <c r="FP274" i="91"/>
  <c r="FP248" i="91"/>
  <c r="FP279" i="91"/>
  <c r="FP272" i="91"/>
  <c r="FQ269" i="91"/>
  <c r="FQ223" i="91"/>
  <c r="FQ261" i="91"/>
  <c r="FQ226" i="91"/>
  <c r="FQ229" i="91"/>
  <c r="FQ246" i="91"/>
  <c r="FQ255" i="91"/>
  <c r="FQ238" i="91"/>
  <c r="FQ232" i="91"/>
  <c r="FQ225" i="91"/>
  <c r="FP257" i="91"/>
  <c r="FP276" i="91"/>
  <c r="FP229" i="91"/>
  <c r="FP228" i="91"/>
  <c r="FP231" i="91"/>
  <c r="FP254" i="91"/>
  <c r="FP261" i="91"/>
  <c r="FP277" i="91"/>
  <c r="FP266" i="91"/>
  <c r="FP223" i="91"/>
  <c r="FP255" i="91"/>
  <c r="FP264" i="91"/>
  <c r="FP227" i="91"/>
  <c r="FQ239" i="91"/>
  <c r="FQ276" i="91"/>
  <c r="FQ260" i="91"/>
  <c r="FQ241" i="91"/>
  <c r="FQ257" i="91"/>
  <c r="FQ275" i="91"/>
  <c r="FQ234" i="91"/>
  <c r="FQ270" i="91"/>
  <c r="FQ242" i="91"/>
  <c r="FP289" i="91"/>
  <c r="FP295" i="91"/>
  <c r="FP285" i="91"/>
  <c r="FP293" i="91"/>
  <c r="FP291" i="91"/>
  <c r="FP307" i="91"/>
  <c r="FP305" i="91"/>
  <c r="FP301" i="91"/>
  <c r="FP297" i="91"/>
  <c r="FP303" i="91"/>
  <c r="FP298" i="91"/>
  <c r="FP296" i="91"/>
  <c r="FP286" i="91"/>
  <c r="FP302" i="91"/>
  <c r="FP300" i="91"/>
  <c r="FP290" i="91"/>
  <c r="FP306" i="91"/>
  <c r="FP288" i="91"/>
  <c r="FP304" i="91"/>
  <c r="FP294" i="91"/>
  <c r="FP310" i="91"/>
  <c r="FP292" i="91"/>
  <c r="FP308" i="91"/>
  <c r="N64" i="75"/>
  <c r="N67" i="75"/>
  <c r="N68" i="75"/>
  <c r="N70" i="75"/>
  <c r="Z55" i="68"/>
  <c r="S81" i="68"/>
  <c r="S82" i="68"/>
  <c r="S84" i="68"/>
  <c r="S87" i="68"/>
  <c r="AB53" i="68"/>
  <c r="AC28" i="68"/>
  <c r="N22" i="75"/>
  <c r="N25" i="75"/>
  <c r="M28" i="75"/>
  <c r="Q34" i="289"/>
  <c r="P38" i="289"/>
  <c r="AA15" i="68"/>
  <c r="AA54" i="68"/>
  <c r="V58" i="68"/>
  <c r="V61" i="68"/>
  <c r="A57" i="288"/>
  <c r="B1" i="288"/>
  <c r="X11" i="68"/>
  <c r="W57" i="68"/>
  <c r="X20" i="68"/>
  <c r="FR221" i="91"/>
  <c r="FQ274" i="91"/>
  <c r="FQ235" i="91"/>
  <c r="FQ263" i="91"/>
  <c r="FQ262" i="91"/>
  <c r="FR255" i="91"/>
  <c r="FR233" i="91"/>
  <c r="FQ233" i="91"/>
  <c r="FQ240" i="91"/>
  <c r="FQ236" i="91"/>
  <c r="FQ267" i="91"/>
  <c r="FQ228" i="91"/>
  <c r="FQ265" i="91"/>
  <c r="FQ231" i="91"/>
  <c r="FQ273" i="91"/>
  <c r="FQ256" i="91"/>
  <c r="FQ277" i="91"/>
  <c r="FQ278" i="91"/>
  <c r="FQ243" i="91"/>
  <c r="FQ245" i="91"/>
  <c r="FR279" i="91"/>
  <c r="FR272" i="91"/>
  <c r="FR238" i="91"/>
  <c r="FQ259" i="91"/>
  <c r="FR228" i="91"/>
  <c r="FR263" i="91"/>
  <c r="FR275" i="91"/>
  <c r="FR254" i="91"/>
  <c r="FR248" i="91"/>
  <c r="FR258" i="91"/>
  <c r="FQ237" i="91"/>
  <c r="FR247" i="91"/>
  <c r="FR236" i="91"/>
  <c r="FR223" i="91"/>
  <c r="FR243" i="91"/>
  <c r="FR274" i="91"/>
  <c r="FQ264" i="91"/>
  <c r="FQ227" i="91"/>
  <c r="FQ230" i="91"/>
  <c r="FQ258" i="91"/>
  <c r="FQ247" i="91"/>
  <c r="FQ244" i="91"/>
  <c r="FQ279" i="91"/>
  <c r="FR277" i="91"/>
  <c r="FQ307" i="91"/>
  <c r="FQ285" i="91"/>
  <c r="FQ287" i="91"/>
  <c r="FQ293" i="91"/>
  <c r="FQ296" i="91"/>
  <c r="FQ310" i="91"/>
  <c r="FQ301" i="91"/>
  <c r="FQ298" i="91"/>
  <c r="FQ304" i="91"/>
  <c r="FQ294" i="91"/>
  <c r="FQ289" i="91"/>
  <c r="FQ286" i="91"/>
  <c r="FQ300" i="91"/>
  <c r="FQ309" i="91"/>
  <c r="FQ308" i="91"/>
  <c r="FQ290" i="91"/>
  <c r="FQ297" i="91"/>
  <c r="FQ305" i="91"/>
  <c r="FQ302" i="91"/>
  <c r="FQ288" i="91"/>
  <c r="FQ306" i="91"/>
  <c r="FQ303" i="91"/>
  <c r="FQ292" i="91"/>
  <c r="FQ291" i="91"/>
  <c r="FQ295" i="91"/>
  <c r="FQ299" i="91"/>
  <c r="N65" i="75"/>
  <c r="O62" i="75"/>
  <c r="O64" i="75"/>
  <c r="O67" i="75"/>
  <c r="O68" i="75"/>
  <c r="O70" i="75"/>
  <c r="N26" i="75"/>
  <c r="N31" i="75"/>
  <c r="N32" i="75"/>
  <c r="N36" i="75"/>
  <c r="Y11" i="68"/>
  <c r="X57" i="68"/>
  <c r="Y20" i="68"/>
  <c r="N23" i="75"/>
  <c r="O20" i="75"/>
  <c r="Q35" i="289"/>
  <c r="FS221" i="91"/>
  <c r="AA55" i="68"/>
  <c r="T81" i="68"/>
  <c r="T82" i="68"/>
  <c r="T84" i="68"/>
  <c r="T87" i="68"/>
  <c r="AC53" i="68"/>
  <c r="AD28" i="68"/>
  <c r="W58" i="68"/>
  <c r="W61" i="68"/>
  <c r="AB15" i="68"/>
  <c r="AB54" i="68"/>
  <c r="FR237" i="91"/>
  <c r="FR257" i="91"/>
  <c r="FR225" i="91"/>
  <c r="FR269" i="91"/>
  <c r="FR271" i="91"/>
  <c r="FR231" i="91"/>
  <c r="FR259" i="91"/>
  <c r="FR229" i="91"/>
  <c r="FR232" i="91"/>
  <c r="FR265" i="91"/>
  <c r="FR270" i="91"/>
  <c r="FR273" i="91"/>
  <c r="FR276" i="91"/>
  <c r="FR226" i="91"/>
  <c r="FR239" i="91"/>
  <c r="FR227" i="91"/>
  <c r="FR267" i="91"/>
  <c r="FR240" i="91"/>
  <c r="FR234" i="91"/>
  <c r="FR278" i="91"/>
  <c r="FR261" i="91"/>
  <c r="FR266" i="91"/>
  <c r="FR224" i="91"/>
  <c r="FR268" i="91"/>
  <c r="FR246" i="91"/>
  <c r="FR262" i="91"/>
  <c r="FR230" i="91"/>
  <c r="FR264" i="91"/>
  <c r="FR241" i="91"/>
  <c r="FR256" i="91"/>
  <c r="FR260" i="91"/>
  <c r="FR235" i="91"/>
  <c r="FR245" i="91"/>
  <c r="FR242" i="91"/>
  <c r="FR244" i="91"/>
  <c r="FS246" i="91"/>
  <c r="FR299" i="91"/>
  <c r="FR296" i="91"/>
  <c r="FR286" i="91"/>
  <c r="FR302" i="91"/>
  <c r="FR289" i="91"/>
  <c r="FR305" i="91"/>
  <c r="FR287" i="91"/>
  <c r="FR303" i="91"/>
  <c r="FR309" i="91"/>
  <c r="FR300" i="91"/>
  <c r="FR290" i="91"/>
  <c r="FR306" i="91"/>
  <c r="FR293" i="91"/>
  <c r="FR291" i="91"/>
  <c r="FR307" i="91"/>
  <c r="FR288" i="91"/>
  <c r="FR304" i="91"/>
  <c r="FR294" i="91"/>
  <c r="FR310" i="91"/>
  <c r="FR297" i="91"/>
  <c r="FR295" i="91"/>
  <c r="FR292" i="91"/>
  <c r="FR308" i="91"/>
  <c r="FR298" i="91"/>
  <c r="FR285" i="91"/>
  <c r="FR301" i="91"/>
  <c r="O65" i="75"/>
  <c r="P62" i="75"/>
  <c r="P73" i="75"/>
  <c r="P74" i="75"/>
  <c r="P78" i="75"/>
  <c r="O73" i="75"/>
  <c r="O74" i="75"/>
  <c r="O78" i="75"/>
  <c r="X58" i="68"/>
  <c r="X61" i="68"/>
  <c r="N28" i="75"/>
  <c r="AB55" i="68"/>
  <c r="U81" i="68"/>
  <c r="U82" i="68"/>
  <c r="U84" i="68"/>
  <c r="U87" i="68"/>
  <c r="FT221" i="91"/>
  <c r="AD53" i="68"/>
  <c r="AE28" i="68"/>
  <c r="AE53" i="68"/>
  <c r="Q38" i="289"/>
  <c r="B1" i="289"/>
  <c r="A35" i="289"/>
  <c r="Z11" i="68"/>
  <c r="Y57" i="68"/>
  <c r="Z20" i="68"/>
  <c r="AC15" i="68"/>
  <c r="AC54" i="68"/>
  <c r="O22" i="75"/>
  <c r="O25" i="75"/>
  <c r="FS247" i="91"/>
  <c r="FT277" i="91"/>
  <c r="FT254" i="91"/>
  <c r="FT278" i="91"/>
  <c r="FT239" i="91"/>
  <c r="FT231" i="91"/>
  <c r="FT242" i="91"/>
  <c r="FT260" i="91"/>
  <c r="FT273" i="91"/>
  <c r="FT272" i="91"/>
  <c r="FS270" i="91"/>
  <c r="FS237" i="91"/>
  <c r="FS225" i="91"/>
  <c r="FS259" i="91"/>
  <c r="FS224" i="91"/>
  <c r="FS276" i="91"/>
  <c r="FS266" i="91"/>
  <c r="FS274" i="91"/>
  <c r="FS236" i="91"/>
  <c r="FS269" i="91"/>
  <c r="FS230" i="91"/>
  <c r="FS263" i="91"/>
  <c r="FS239" i="91"/>
  <c r="FT240" i="91"/>
  <c r="FT233" i="91"/>
  <c r="FT258" i="91"/>
  <c r="FT223" i="91"/>
  <c r="FT265" i="91"/>
  <c r="FT269" i="91"/>
  <c r="FT266" i="91"/>
  <c r="FT262" i="91"/>
  <c r="FT275" i="91"/>
  <c r="FT259" i="91"/>
  <c r="FT226" i="91"/>
  <c r="FT267" i="91"/>
  <c r="FT238" i="91"/>
  <c r="FS232" i="91"/>
  <c r="FS255" i="91"/>
  <c r="FS226" i="91"/>
  <c r="FS235" i="91"/>
  <c r="FS267" i="91"/>
  <c r="FS244" i="91"/>
  <c r="FS240" i="91"/>
  <c r="FS258" i="91"/>
  <c r="FS260" i="91"/>
  <c r="FS278" i="91"/>
  <c r="FS264" i="91"/>
  <c r="FS265" i="91"/>
  <c r="FT229" i="91"/>
  <c r="FT248" i="91"/>
  <c r="FT245" i="91"/>
  <c r="FT244" i="91"/>
  <c r="FT270" i="91"/>
  <c r="FT232" i="91"/>
  <c r="FT263" i="91"/>
  <c r="FT264" i="91"/>
  <c r="FS245" i="91"/>
  <c r="FS268" i="91"/>
  <c r="FS234" i="91"/>
  <c r="FS231" i="91"/>
  <c r="FS262" i="91"/>
  <c r="FS279" i="91"/>
  <c r="FS242" i="91"/>
  <c r="FS248" i="91"/>
  <c r="FS257" i="91"/>
  <c r="FS273" i="91"/>
  <c r="FS277" i="91"/>
  <c r="FS241" i="91"/>
  <c r="FS254" i="91"/>
  <c r="FT274" i="91"/>
  <c r="FT237" i="91"/>
  <c r="FT224" i="91"/>
  <c r="FT228" i="91"/>
  <c r="FT261" i="91"/>
  <c r="FT236" i="91"/>
  <c r="FT243" i="91"/>
  <c r="FT234" i="91"/>
  <c r="FT268" i="91"/>
  <c r="FT230" i="91"/>
  <c r="FT256" i="91"/>
  <c r="FT227" i="91"/>
  <c r="FT276" i="91"/>
  <c r="FS229" i="91"/>
  <c r="FS261" i="91"/>
  <c r="FS275" i="91"/>
  <c r="FS223" i="91"/>
  <c r="FS256" i="91"/>
  <c r="FS227" i="91"/>
  <c r="FS243" i="91"/>
  <c r="FS228" i="91"/>
  <c r="FS272" i="91"/>
  <c r="FS271" i="91"/>
  <c r="FS233" i="91"/>
  <c r="FS238" i="91"/>
  <c r="FT257" i="91"/>
  <c r="FT241" i="91"/>
  <c r="FT225" i="91"/>
  <c r="FT247" i="91"/>
  <c r="FT235" i="91"/>
  <c r="FT271" i="91"/>
  <c r="FT246" i="91"/>
  <c r="FT279" i="91"/>
  <c r="FT255" i="91"/>
  <c r="FS308" i="91"/>
  <c r="FS294" i="91"/>
  <c r="FS304" i="91"/>
  <c r="FS288" i="91"/>
  <c r="FS292" i="91"/>
  <c r="FS290" i="91"/>
  <c r="FS296" i="91"/>
  <c r="FS298" i="91"/>
  <c r="FS286" i="91"/>
  <c r="FS302" i="91"/>
  <c r="FS310" i="91"/>
  <c r="FS300" i="91"/>
  <c r="FS306" i="91"/>
  <c r="FS287" i="91"/>
  <c r="FS299" i="91"/>
  <c r="FS289" i="91"/>
  <c r="FS305" i="91"/>
  <c r="FS303" i="91"/>
  <c r="FS293" i="91"/>
  <c r="FS309" i="91"/>
  <c r="FS291" i="91"/>
  <c r="FS307" i="91"/>
  <c r="FS297" i="91"/>
  <c r="FS295" i="91"/>
  <c r="FS285" i="91"/>
  <c r="FS301" i="91"/>
  <c r="P64" i="75"/>
  <c r="P67" i="75"/>
  <c r="P68" i="75"/>
  <c r="P70" i="75"/>
  <c r="Y58" i="68"/>
  <c r="Y61" i="68"/>
  <c r="FT285" i="91"/>
  <c r="O26" i="75"/>
  <c r="O31" i="75"/>
  <c r="O32" i="75"/>
  <c r="O36" i="75"/>
  <c r="AC55" i="68"/>
  <c r="V81" i="68"/>
  <c r="V82" i="68"/>
  <c r="V84" i="68"/>
  <c r="V87" i="68"/>
  <c r="AE15" i="68"/>
  <c r="AE54" i="68"/>
  <c r="O23" i="75"/>
  <c r="P20" i="75"/>
  <c r="Z57" i="68"/>
  <c r="AA20" i="68"/>
  <c r="AA11" i="68"/>
  <c r="AD15" i="68"/>
  <c r="AD54" i="68"/>
  <c r="FU221" i="91"/>
  <c r="FU259" i="91"/>
  <c r="FU227" i="91"/>
  <c r="FU263" i="91"/>
  <c r="FU275" i="91"/>
  <c r="FU238" i="91"/>
  <c r="FU274" i="91"/>
  <c r="FU243" i="91"/>
  <c r="FU265" i="91"/>
  <c r="FU258" i="91"/>
  <c r="FU245" i="91"/>
  <c r="FU248" i="91"/>
  <c r="FU234" i="91"/>
  <c r="FU254" i="91"/>
  <c r="FU273" i="91"/>
  <c r="FU236" i="91"/>
  <c r="FU271" i="91"/>
  <c r="FU257" i="91"/>
  <c r="FU224" i="91"/>
  <c r="FU270" i="91"/>
  <c r="FU225" i="91"/>
  <c r="FU247" i="91"/>
  <c r="FU276" i="91"/>
  <c r="FU233" i="91"/>
  <c r="FU231" i="91"/>
  <c r="FU266" i="91"/>
  <c r="FU260" i="91"/>
  <c r="FU228" i="91"/>
  <c r="FU241" i="91"/>
  <c r="FU237" i="91"/>
  <c r="FU223" i="91"/>
  <c r="FU255" i="91"/>
  <c r="FU269" i="91"/>
  <c r="FU267" i="91"/>
  <c r="FU229" i="91"/>
  <c r="FU232" i="91"/>
  <c r="FU272" i="91"/>
  <c r="FU244" i="91"/>
  <c r="FU262" i="91"/>
  <c r="FU226" i="91"/>
  <c r="FU279" i="91"/>
  <c r="FT289" i="91"/>
  <c r="FT299" i="91"/>
  <c r="FT296" i="91"/>
  <c r="FT286" i="91"/>
  <c r="FT302" i="91"/>
  <c r="FT293" i="91"/>
  <c r="FT309" i="91"/>
  <c r="FT307" i="91"/>
  <c r="FT300" i="91"/>
  <c r="FT290" i="91"/>
  <c r="FT306" i="91"/>
  <c r="FT297" i="91"/>
  <c r="FT310" i="91"/>
  <c r="FT291" i="91"/>
  <c r="FT288" i="91"/>
  <c r="FT304" i="91"/>
  <c r="FT294" i="91"/>
  <c r="FT301" i="91"/>
  <c r="FT295" i="91"/>
  <c r="FT292" i="91"/>
  <c r="FT308" i="91"/>
  <c r="FT298" i="91"/>
  <c r="FT287" i="91"/>
  <c r="FT305" i="91"/>
  <c r="FT303" i="91"/>
  <c r="P65" i="75"/>
  <c r="Q62" i="75"/>
  <c r="Q73" i="75"/>
  <c r="Q74" i="75"/>
  <c r="Q78" i="75"/>
  <c r="Z58" i="68"/>
  <c r="Z61" i="68"/>
  <c r="AD55" i="68"/>
  <c r="W81" i="68"/>
  <c r="W82" i="68"/>
  <c r="W84" i="68"/>
  <c r="W87" i="68"/>
  <c r="P22" i="75"/>
  <c r="P25" i="75"/>
  <c r="AE55" i="68"/>
  <c r="X81" i="68"/>
  <c r="X82" i="68"/>
  <c r="X84" i="68"/>
  <c r="X87" i="68"/>
  <c r="FV221" i="91"/>
  <c r="AB11" i="68"/>
  <c r="AA57" i="68"/>
  <c r="AB20" i="68"/>
  <c r="D15" i="68"/>
  <c r="O28" i="75"/>
  <c r="FU239" i="91"/>
  <c r="FV242" i="91"/>
  <c r="FV260" i="91"/>
  <c r="FU264" i="91"/>
  <c r="FU240" i="91"/>
  <c r="FU278" i="91"/>
  <c r="FU268" i="91"/>
  <c r="FU261" i="91"/>
  <c r="FV234" i="91"/>
  <c r="FV269" i="91"/>
  <c r="FV240" i="91"/>
  <c r="FV278" i="91"/>
  <c r="FV231" i="91"/>
  <c r="FV277" i="91"/>
  <c r="FU256" i="91"/>
  <c r="FV256" i="91"/>
  <c r="FV273" i="91"/>
  <c r="FV270" i="91"/>
  <c r="FV257" i="91"/>
  <c r="FU235" i="91"/>
  <c r="FU277" i="91"/>
  <c r="FU230" i="91"/>
  <c r="FU246" i="91"/>
  <c r="FU242" i="91"/>
  <c r="FV238" i="91"/>
  <c r="FV266" i="91"/>
  <c r="FV274" i="91"/>
  <c r="FV233" i="91"/>
  <c r="FV255" i="91"/>
  <c r="FV248" i="91"/>
  <c r="FV258" i="91"/>
  <c r="FU289" i="91"/>
  <c r="FU305" i="91"/>
  <c r="FU286" i="91"/>
  <c r="FU288" i="91"/>
  <c r="FU300" i="91"/>
  <c r="FU293" i="91"/>
  <c r="FU309" i="91"/>
  <c r="FU290" i="91"/>
  <c r="FU306" i="91"/>
  <c r="FU296" i="91"/>
  <c r="FU308" i="91"/>
  <c r="FU295" i="91"/>
  <c r="FU297" i="91"/>
  <c r="FU294" i="91"/>
  <c r="FU310" i="91"/>
  <c r="FU304" i="91"/>
  <c r="FU299" i="91"/>
  <c r="FU285" i="91"/>
  <c r="FU301" i="91"/>
  <c r="FU298" i="91"/>
  <c r="FU287" i="91"/>
  <c r="FU303" i="91"/>
  <c r="FU302" i="91"/>
  <c r="FU292" i="91"/>
  <c r="FU291" i="91"/>
  <c r="FU307" i="91"/>
  <c r="Q64" i="75"/>
  <c r="Q67" i="75"/>
  <c r="Q68" i="75"/>
  <c r="Q70" i="75"/>
  <c r="G88" i="68"/>
  <c r="G53" i="56"/>
  <c r="A53" i="56"/>
  <c r="AA58" i="68"/>
  <c r="AA61" i="68"/>
  <c r="P26" i="75"/>
  <c r="P31" i="75"/>
  <c r="P32" i="75"/>
  <c r="P36" i="75"/>
  <c r="AB57" i="68"/>
  <c r="AC20" i="68"/>
  <c r="AC11" i="68"/>
  <c r="FW221" i="91"/>
  <c r="P23" i="75"/>
  <c r="Q20" i="75"/>
  <c r="FV228" i="91"/>
  <c r="FV276" i="91"/>
  <c r="FW264" i="91"/>
  <c r="FW275" i="91"/>
  <c r="FW232" i="91"/>
  <c r="FW239" i="91"/>
  <c r="FW244" i="91"/>
  <c r="FV244" i="91"/>
  <c r="FV268" i="91"/>
  <c r="FV223" i="91"/>
  <c r="FV259" i="91"/>
  <c r="FV264" i="91"/>
  <c r="FV261" i="91"/>
  <c r="FV275" i="91"/>
  <c r="FV241" i="91"/>
  <c r="FW229" i="91"/>
  <c r="FW248" i="91"/>
  <c r="FW277" i="91"/>
  <c r="FW231" i="91"/>
  <c r="FW276" i="91"/>
  <c r="FW240" i="91"/>
  <c r="FW254" i="91"/>
  <c r="FW258" i="91"/>
  <c r="FW266" i="91"/>
  <c r="FW237" i="91"/>
  <c r="FW243" i="91"/>
  <c r="FW265" i="91"/>
  <c r="FW259" i="91"/>
  <c r="FV271" i="91"/>
  <c r="FV229" i="91"/>
  <c r="FV279" i="91"/>
  <c r="FV262" i="91"/>
  <c r="FW230" i="91"/>
  <c r="FW226" i="91"/>
  <c r="FW270" i="91"/>
  <c r="FW278" i="91"/>
  <c r="FW223" i="91"/>
  <c r="FW247" i="91"/>
  <c r="FW236" i="91"/>
  <c r="FW269" i="91"/>
  <c r="FV247" i="91"/>
  <c r="FV263" i="91"/>
  <c r="FV236" i="91"/>
  <c r="FV226" i="91"/>
  <c r="FW274" i="91"/>
  <c r="FW238" i="91"/>
  <c r="FW256" i="91"/>
  <c r="FW257" i="91"/>
  <c r="FW268" i="91"/>
  <c r="FV232" i="91"/>
  <c r="FV246" i="91"/>
  <c r="FV237" i="91"/>
  <c r="FV235" i="91"/>
  <c r="FV224" i="91"/>
  <c r="FV245" i="91"/>
  <c r="FV227" i="91"/>
  <c r="FV225" i="91"/>
  <c r="FW241" i="91"/>
  <c r="FW242" i="91"/>
  <c r="FW271" i="91"/>
  <c r="FW273" i="91"/>
  <c r="FW279" i="91"/>
  <c r="FW262" i="91"/>
  <c r="FW227" i="91"/>
  <c r="FW224" i="91"/>
  <c r="FV254" i="91"/>
  <c r="FV230" i="91"/>
  <c r="FV272" i="91"/>
  <c r="FV267" i="91"/>
  <c r="FV243" i="91"/>
  <c r="FV265" i="91"/>
  <c r="FV239" i="91"/>
  <c r="FW246" i="91"/>
  <c r="FW235" i="91"/>
  <c r="FW233" i="91"/>
  <c r="FW267" i="91"/>
  <c r="FW255" i="91"/>
  <c r="FW261" i="91"/>
  <c r="FW234" i="91"/>
  <c r="FW245" i="91"/>
  <c r="FW225" i="91"/>
  <c r="FV301" i="91"/>
  <c r="FV305" i="91"/>
  <c r="FV287" i="91"/>
  <c r="FV289" i="91"/>
  <c r="FV307" i="91"/>
  <c r="FV297" i="91"/>
  <c r="FV299" i="91"/>
  <c r="FV293" i="91"/>
  <c r="FV291" i="91"/>
  <c r="FV303" i="91"/>
  <c r="FV295" i="91"/>
  <c r="FV285" i="91"/>
  <c r="FV309" i="91"/>
  <c r="FV286" i="91"/>
  <c r="FV310" i="91"/>
  <c r="FV298" i="91"/>
  <c r="FV288" i="91"/>
  <c r="FV304" i="91"/>
  <c r="FV308" i="91"/>
  <c r="FV302" i="91"/>
  <c r="FV292" i="91"/>
  <c r="FV290" i="91"/>
  <c r="FV306" i="91"/>
  <c r="FV296" i="91"/>
  <c r="FV294" i="91"/>
  <c r="FV300" i="91"/>
  <c r="Q65" i="75"/>
  <c r="R62" i="75"/>
  <c r="R73" i="75"/>
  <c r="R74" i="75"/>
  <c r="R78" i="75"/>
  <c r="P28" i="75"/>
  <c r="AD11" i="68"/>
  <c r="AC57" i="68"/>
  <c r="AD20" i="68"/>
  <c r="Q22" i="75"/>
  <c r="Q25" i="75"/>
  <c r="FX221" i="91"/>
  <c r="AB58" i="68"/>
  <c r="AB61" i="68"/>
  <c r="FW272" i="91"/>
  <c r="FX258" i="91"/>
  <c r="FX254" i="91"/>
  <c r="FX231" i="91"/>
  <c r="FX244" i="91"/>
  <c r="FW228" i="91"/>
  <c r="FX240" i="91"/>
  <c r="FX268" i="91"/>
  <c r="FX235" i="91"/>
  <c r="FX245" i="91"/>
  <c r="FX264" i="91"/>
  <c r="FX263" i="91"/>
  <c r="FX277" i="91"/>
  <c r="FX246" i="91"/>
  <c r="FX239" i="91"/>
  <c r="FX241" i="91"/>
  <c r="FW260" i="91"/>
  <c r="FX257" i="91"/>
  <c r="FX272" i="91"/>
  <c r="FX262" i="91"/>
  <c r="FX234" i="91"/>
  <c r="FX269" i="91"/>
  <c r="FX273" i="91"/>
  <c r="FX256" i="91"/>
  <c r="FW263" i="91"/>
  <c r="FX278" i="91"/>
  <c r="FX230" i="91"/>
  <c r="FX275" i="91"/>
  <c r="FX236" i="91"/>
  <c r="FX265" i="91"/>
  <c r="FX233" i="91"/>
  <c r="FX255" i="91"/>
  <c r="FX279" i="91"/>
  <c r="FX270" i="91"/>
  <c r="FX247" i="91"/>
  <c r="FX228" i="91"/>
  <c r="FX238" i="91"/>
  <c r="FX261" i="91"/>
  <c r="FX242" i="91"/>
  <c r="FX248" i="91"/>
  <c r="FX259" i="91"/>
  <c r="FX274" i="91"/>
  <c r="FX271" i="91"/>
  <c r="FX226" i="91"/>
  <c r="R64" i="75"/>
  <c r="R67" i="75"/>
  <c r="R68" i="75"/>
  <c r="R70" i="75"/>
  <c r="FW301" i="91"/>
  <c r="FW304" i="91"/>
  <c r="FW289" i="91"/>
  <c r="FW305" i="91"/>
  <c r="FW286" i="91"/>
  <c r="FW302" i="91"/>
  <c r="FW292" i="91"/>
  <c r="FW291" i="91"/>
  <c r="FW307" i="91"/>
  <c r="FW288" i="91"/>
  <c r="FW293" i="91"/>
  <c r="FW309" i="91"/>
  <c r="FW290" i="91"/>
  <c r="FW306" i="91"/>
  <c r="FW295" i="91"/>
  <c r="FW296" i="91"/>
  <c r="FW297" i="91"/>
  <c r="FW294" i="91"/>
  <c r="FW310" i="91"/>
  <c r="FW299" i="91"/>
  <c r="FW300" i="91"/>
  <c r="FW285" i="91"/>
  <c r="FW298" i="91"/>
  <c r="FW287" i="91"/>
  <c r="FW303" i="91"/>
  <c r="FW308" i="91"/>
  <c r="AC58" i="68"/>
  <c r="AC61" i="68"/>
  <c r="Q26" i="75"/>
  <c r="Q31" i="75"/>
  <c r="Q32" i="75"/>
  <c r="Q36" i="75"/>
  <c r="AE11" i="68"/>
  <c r="AE57" i="68"/>
  <c r="AD57" i="68"/>
  <c r="AE20" i="68"/>
  <c r="FY221" i="91"/>
  <c r="Q23" i="75"/>
  <c r="R20" i="75"/>
  <c r="FX225" i="91"/>
  <c r="FX243" i="91"/>
  <c r="FX224" i="91"/>
  <c r="FY277" i="91"/>
  <c r="FX223" i="91"/>
  <c r="FX229" i="91"/>
  <c r="FX276" i="91"/>
  <c r="FY265" i="91"/>
  <c r="FX260" i="91"/>
  <c r="FY244" i="91"/>
  <c r="FY278" i="91"/>
  <c r="FY228" i="91"/>
  <c r="FY271" i="91"/>
  <c r="FY234" i="91"/>
  <c r="FY260" i="91"/>
  <c r="FY235" i="91"/>
  <c r="FY254" i="91"/>
  <c r="FY261" i="91"/>
  <c r="FY274" i="91"/>
  <c r="FX267" i="91"/>
  <c r="FX237" i="91"/>
  <c r="FY227" i="91"/>
  <c r="FY230" i="91"/>
  <c r="FY223" i="91"/>
  <c r="FY237" i="91"/>
  <c r="FY268" i="91"/>
  <c r="FY242" i="91"/>
  <c r="FY229" i="91"/>
  <c r="FY232" i="91"/>
  <c r="FY267" i="91"/>
  <c r="FY233" i="91"/>
  <c r="FX266" i="91"/>
  <c r="FX232" i="91"/>
  <c r="FX227" i="91"/>
  <c r="FY238" i="91"/>
  <c r="FY226" i="91"/>
  <c r="FY258" i="91"/>
  <c r="FY231" i="91"/>
  <c r="FY236" i="91"/>
  <c r="FY266" i="91"/>
  <c r="FY255" i="91"/>
  <c r="FY264" i="91"/>
  <c r="FY245" i="91"/>
  <c r="FY243" i="91"/>
  <c r="FY256" i="91"/>
  <c r="FY240" i="91"/>
  <c r="FY239" i="91"/>
  <c r="FY269" i="91"/>
  <c r="FY275" i="91"/>
  <c r="FY262" i="91"/>
  <c r="FY263" i="91"/>
  <c r="FY247" i="91"/>
  <c r="FY257" i="91"/>
  <c r="R65" i="75"/>
  <c r="S62" i="75"/>
  <c r="S73" i="75"/>
  <c r="S74" i="75"/>
  <c r="S78" i="75"/>
  <c r="FX308" i="91"/>
  <c r="FX305" i="91"/>
  <c r="FX296" i="91"/>
  <c r="FX297" i="91"/>
  <c r="FX290" i="91"/>
  <c r="FX306" i="91"/>
  <c r="FX287" i="91"/>
  <c r="FX303" i="91"/>
  <c r="FX285" i="91"/>
  <c r="FX301" i="91"/>
  <c r="FX294" i="91"/>
  <c r="FX310" i="91"/>
  <c r="FX291" i="91"/>
  <c r="FX307" i="91"/>
  <c r="FX300" i="91"/>
  <c r="FX304" i="91"/>
  <c r="FX289" i="91"/>
  <c r="FX309" i="91"/>
  <c r="FX298" i="91"/>
  <c r="FX288" i="91"/>
  <c r="FX295" i="91"/>
  <c r="FX292" i="91"/>
  <c r="FX293" i="91"/>
  <c r="FX286" i="91"/>
  <c r="FX302" i="91"/>
  <c r="FX299" i="91"/>
  <c r="AE58" i="68"/>
  <c r="AE61" i="68"/>
  <c r="Q28" i="75"/>
  <c r="AD58" i="68"/>
  <c r="AD61" i="68"/>
  <c r="R22" i="75"/>
  <c r="R25" i="75"/>
  <c r="FZ221" i="91"/>
  <c r="FY241" i="91"/>
  <c r="FY276" i="91"/>
  <c r="FY248" i="91"/>
  <c r="FY273" i="91"/>
  <c r="FY279" i="91"/>
  <c r="FY225" i="91"/>
  <c r="FZ248" i="91"/>
  <c r="FZ234" i="91"/>
  <c r="FY259" i="91"/>
  <c r="FY270" i="91"/>
  <c r="FY246" i="91"/>
  <c r="FY272" i="91"/>
  <c r="FY224" i="91"/>
  <c r="FZ254" i="91"/>
  <c r="FZ242" i="91"/>
  <c r="B1" i="68"/>
  <c r="E18" i="78"/>
  <c r="F18" i="78"/>
  <c r="S64" i="75"/>
  <c r="S67" i="75"/>
  <c r="S68" i="75"/>
  <c r="S70" i="75"/>
  <c r="FY295" i="91"/>
  <c r="FY292" i="91"/>
  <c r="FY308" i="91"/>
  <c r="FY285" i="91"/>
  <c r="FY301" i="91"/>
  <c r="FY298" i="91"/>
  <c r="FY299" i="91"/>
  <c r="FY296" i="91"/>
  <c r="FY289" i="91"/>
  <c r="FY305" i="91"/>
  <c r="FY286" i="91"/>
  <c r="FY302" i="91"/>
  <c r="FY303" i="91"/>
  <c r="FY300" i="91"/>
  <c r="FY293" i="91"/>
  <c r="FY309" i="91"/>
  <c r="FY290" i="91"/>
  <c r="FY306" i="91"/>
  <c r="FY291" i="91"/>
  <c r="FY307" i="91"/>
  <c r="FY288" i="91"/>
  <c r="FY304" i="91"/>
  <c r="FY297" i="91"/>
  <c r="FY287" i="91"/>
  <c r="FY294" i="91"/>
  <c r="FY310" i="91"/>
  <c r="R23" i="75"/>
  <c r="S20" i="75"/>
  <c r="GA221" i="91"/>
  <c r="R26" i="75"/>
  <c r="R31" i="75"/>
  <c r="R32" i="75"/>
  <c r="R36" i="75"/>
  <c r="FZ246" i="91"/>
  <c r="FZ230" i="91"/>
  <c r="GA246" i="91"/>
  <c r="GA271" i="91"/>
  <c r="GA272" i="91"/>
  <c r="GA243" i="91"/>
  <c r="GA238" i="91"/>
  <c r="GA232" i="91"/>
  <c r="FZ232" i="91"/>
  <c r="FZ257" i="91"/>
  <c r="FZ265" i="91"/>
  <c r="FZ266" i="91"/>
  <c r="FZ245" i="91"/>
  <c r="FZ226" i="91"/>
  <c r="FZ268" i="91"/>
  <c r="FZ239" i="91"/>
  <c r="FZ267" i="91"/>
  <c r="FZ247" i="91"/>
  <c r="FZ273" i="91"/>
  <c r="FZ237" i="91"/>
  <c r="FZ238" i="91"/>
  <c r="FZ278" i="91"/>
  <c r="FZ241" i="91"/>
  <c r="FZ233" i="91"/>
  <c r="FZ256" i="91"/>
  <c r="FZ274" i="91"/>
  <c r="FZ260" i="91"/>
  <c r="FZ279" i="91"/>
  <c r="FZ235" i="91"/>
  <c r="FZ259" i="91"/>
  <c r="GA255" i="91"/>
  <c r="GA260" i="91"/>
  <c r="GA266" i="91"/>
  <c r="GA258" i="91"/>
  <c r="FZ258" i="91"/>
  <c r="FZ261" i="91"/>
  <c r="GA248" i="91"/>
  <c r="GA236" i="91"/>
  <c r="GA256" i="91"/>
  <c r="GA247" i="91"/>
  <c r="GA231" i="91"/>
  <c r="FZ229" i="91"/>
  <c r="FZ277" i="91"/>
  <c r="FZ270" i="91"/>
  <c r="FZ244" i="91"/>
  <c r="FZ231" i="91"/>
  <c r="FZ262" i="91"/>
  <c r="FZ228" i="91"/>
  <c r="FZ236" i="91"/>
  <c r="FZ227" i="91"/>
  <c r="FZ272" i="91"/>
  <c r="FZ225" i="91"/>
  <c r="FZ224" i="91"/>
  <c r="FZ243" i="91"/>
  <c r="FZ255" i="91"/>
  <c r="FZ275" i="91"/>
  <c r="FZ240" i="91"/>
  <c r="FZ271" i="91"/>
  <c r="FZ276" i="91"/>
  <c r="FZ269" i="91"/>
  <c r="FZ263" i="91"/>
  <c r="FZ264" i="91"/>
  <c r="FZ223" i="91"/>
  <c r="GA226" i="91"/>
  <c r="FZ286" i="91"/>
  <c r="S65" i="75"/>
  <c r="T62" i="75"/>
  <c r="T64" i="75"/>
  <c r="T67" i="75"/>
  <c r="FZ310" i="91"/>
  <c r="FZ301" i="91"/>
  <c r="FZ298" i="91"/>
  <c r="FZ303" i="91"/>
  <c r="FZ288" i="91"/>
  <c r="FZ289" i="91"/>
  <c r="FZ305" i="91"/>
  <c r="FZ295" i="91"/>
  <c r="FZ300" i="91"/>
  <c r="FZ302" i="91"/>
  <c r="FZ293" i="91"/>
  <c r="FZ299" i="91"/>
  <c r="FZ308" i="91"/>
  <c r="FZ296" i="91"/>
  <c r="FZ309" i="91"/>
  <c r="FZ290" i="91"/>
  <c r="FZ306" i="91"/>
  <c r="FZ304" i="91"/>
  <c r="FZ297" i="91"/>
  <c r="FZ307" i="91"/>
  <c r="FZ294" i="91"/>
  <c r="FZ291" i="91"/>
  <c r="FZ285" i="91"/>
  <c r="FZ287" i="91"/>
  <c r="FZ292" i="91"/>
  <c r="R28" i="75"/>
  <c r="GB221" i="91"/>
  <c r="S22" i="75"/>
  <c r="S25" i="75"/>
  <c r="GB261" i="91"/>
  <c r="GA263" i="91"/>
  <c r="GA257" i="91"/>
  <c r="GA268" i="91"/>
  <c r="GA233" i="91"/>
  <c r="GA235" i="91"/>
  <c r="GA277" i="91"/>
  <c r="GA244" i="91"/>
  <c r="GA274" i="91"/>
  <c r="GA242" i="91"/>
  <c r="GA224" i="91"/>
  <c r="GA269" i="91"/>
  <c r="GA259" i="91"/>
  <c r="GA240" i="91"/>
  <c r="GA270" i="91"/>
  <c r="GA276" i="91"/>
  <c r="GA234" i="91"/>
  <c r="GA273" i="91"/>
  <c r="GA264" i="91"/>
  <c r="GB244" i="91"/>
  <c r="GB247" i="91"/>
  <c r="GB274" i="91"/>
  <c r="GB265" i="91"/>
  <c r="GB237" i="91"/>
  <c r="GB264" i="91"/>
  <c r="GA262" i="91"/>
  <c r="GA278" i="91"/>
  <c r="GA267" i="91"/>
  <c r="GA254" i="91"/>
  <c r="GA230" i="91"/>
  <c r="GA245" i="91"/>
  <c r="GA227" i="91"/>
  <c r="GA261" i="91"/>
  <c r="GA237" i="91"/>
  <c r="GA239" i="91"/>
  <c r="GA279" i="91"/>
  <c r="GA229" i="91"/>
  <c r="GA265" i="91"/>
  <c r="GA275" i="91"/>
  <c r="GA223" i="91"/>
  <c r="GA228" i="91"/>
  <c r="GA225" i="91"/>
  <c r="GA241" i="91"/>
  <c r="GB240" i="91"/>
  <c r="GB257" i="91"/>
  <c r="GB227" i="91"/>
  <c r="GB228" i="91"/>
  <c r="GB262" i="91"/>
  <c r="GB231" i="91"/>
  <c r="T73" i="75"/>
  <c r="T74" i="75"/>
  <c r="T78" i="75"/>
  <c r="GA292" i="91"/>
  <c r="GA293" i="91"/>
  <c r="GA309" i="91"/>
  <c r="GA290" i="91"/>
  <c r="GA306" i="91"/>
  <c r="GA299" i="91"/>
  <c r="GA296" i="91"/>
  <c r="GA297" i="91"/>
  <c r="GA294" i="91"/>
  <c r="GA310" i="91"/>
  <c r="GA287" i="91"/>
  <c r="GA303" i="91"/>
  <c r="GA304" i="91"/>
  <c r="GA285" i="91"/>
  <c r="GA301" i="91"/>
  <c r="GA298" i="91"/>
  <c r="GA288" i="91"/>
  <c r="GA291" i="91"/>
  <c r="GA307" i="91"/>
  <c r="GA300" i="91"/>
  <c r="GA289" i="91"/>
  <c r="GA305" i="91"/>
  <c r="GA286" i="91"/>
  <c r="GA302" i="91"/>
  <c r="GA295" i="91"/>
  <c r="GA308" i="91"/>
  <c r="T65" i="75"/>
  <c r="U62" i="75"/>
  <c r="GC221" i="91"/>
  <c r="S23" i="75"/>
  <c r="T20" i="75"/>
  <c r="T68" i="75"/>
  <c r="T70" i="75"/>
  <c r="S26" i="75"/>
  <c r="S31" i="75"/>
  <c r="S32" i="75"/>
  <c r="S36" i="75"/>
  <c r="GB266" i="91"/>
  <c r="GB243" i="91"/>
  <c r="GB238" i="91"/>
  <c r="GB278" i="91"/>
  <c r="GB229" i="91"/>
  <c r="GB276" i="91"/>
  <c r="GB272" i="91"/>
  <c r="GB245" i="91"/>
  <c r="GB275" i="91"/>
  <c r="GB267" i="91"/>
  <c r="GC274" i="91"/>
  <c r="GC273" i="91"/>
  <c r="GC246" i="91"/>
  <c r="GC254" i="91"/>
  <c r="GC240" i="91"/>
  <c r="GC258" i="91"/>
  <c r="GC245" i="91"/>
  <c r="GC270" i="91"/>
  <c r="GC230" i="91"/>
  <c r="GC231" i="91"/>
  <c r="GC266" i="91"/>
  <c r="GB254" i="91"/>
  <c r="GB226" i="91"/>
  <c r="GB270" i="91"/>
  <c r="GB235" i="91"/>
  <c r="GB241" i="91"/>
  <c r="GB239" i="91"/>
  <c r="GB242" i="91"/>
  <c r="GB277" i="91"/>
  <c r="GB279" i="91"/>
  <c r="GB269" i="91"/>
  <c r="GC260" i="91"/>
  <c r="GC242" i="91"/>
  <c r="GC244" i="91"/>
  <c r="GC263" i="91"/>
  <c r="GC268" i="91"/>
  <c r="GC247" i="91"/>
  <c r="GC239" i="91"/>
  <c r="GC237" i="91"/>
  <c r="GC279" i="91"/>
  <c r="GC275" i="91"/>
  <c r="GC238" i="91"/>
  <c r="GB236" i="91"/>
  <c r="GB223" i="91"/>
  <c r="GB256" i="91"/>
  <c r="GB234" i="91"/>
  <c r="GB248" i="91"/>
  <c r="GB271" i="91"/>
  <c r="GB255" i="91"/>
  <c r="GB230" i="91"/>
  <c r="GB225" i="91"/>
  <c r="GB259" i="91"/>
  <c r="GC261" i="91"/>
  <c r="GC229" i="91"/>
  <c r="GC256" i="91"/>
  <c r="GC224" i="91"/>
  <c r="GC241" i="91"/>
  <c r="GC227" i="91"/>
  <c r="GC265" i="91"/>
  <c r="GC269" i="91"/>
  <c r="GC226" i="91"/>
  <c r="GC262" i="91"/>
  <c r="GC232" i="91"/>
  <c r="GC259" i="91"/>
  <c r="GB224" i="91"/>
  <c r="GB268" i="91"/>
  <c r="GB263" i="91"/>
  <c r="GB258" i="91"/>
  <c r="GB246" i="91"/>
  <c r="GB232" i="91"/>
  <c r="GB233" i="91"/>
  <c r="GB273" i="91"/>
  <c r="GB260" i="91"/>
  <c r="GC248" i="91"/>
  <c r="GC267" i="91"/>
  <c r="GC257" i="91"/>
  <c r="GC264" i="91"/>
  <c r="GC236" i="91"/>
  <c r="GC235" i="91"/>
  <c r="GC223" i="91"/>
  <c r="GC255" i="91"/>
  <c r="GC228" i="91"/>
  <c r="GC277" i="91"/>
  <c r="GC272" i="91"/>
  <c r="GC278" i="91"/>
  <c r="GB294" i="91"/>
  <c r="GB308" i="91"/>
  <c r="GB286" i="91"/>
  <c r="GB290" i="91"/>
  <c r="GB287" i="91"/>
  <c r="GB292" i="91"/>
  <c r="GB302" i="91"/>
  <c r="GB310" i="91"/>
  <c r="GB296" i="91"/>
  <c r="GB298" i="91"/>
  <c r="GB304" i="91"/>
  <c r="GB301" i="91"/>
  <c r="GB288" i="91"/>
  <c r="GB306" i="91"/>
  <c r="GB309" i="91"/>
  <c r="GB300" i="91"/>
  <c r="GB305" i="91"/>
  <c r="GB299" i="91"/>
  <c r="GB303" i="91"/>
  <c r="GB293" i="91"/>
  <c r="GB291" i="91"/>
  <c r="GB307" i="91"/>
  <c r="GB297" i="91"/>
  <c r="GB295" i="91"/>
  <c r="GB285" i="91"/>
  <c r="GB289" i="91"/>
  <c r="S28" i="75"/>
  <c r="T22" i="75"/>
  <c r="T25" i="75"/>
  <c r="GD221" i="91"/>
  <c r="U73" i="75"/>
  <c r="U74" i="75"/>
  <c r="U78" i="75"/>
  <c r="G79" i="75"/>
  <c r="U64" i="75"/>
  <c r="U67" i="75"/>
  <c r="GC243" i="91"/>
  <c r="GD248" i="91"/>
  <c r="GD242" i="91"/>
  <c r="GD274" i="91"/>
  <c r="GD235" i="91"/>
  <c r="GD255" i="91"/>
  <c r="GD224" i="91"/>
  <c r="GC233" i="91"/>
  <c r="GC234" i="91"/>
  <c r="GD233" i="91"/>
  <c r="GD243" i="91"/>
  <c r="GD265" i="91"/>
  <c r="GD238" i="91"/>
  <c r="GD272" i="91"/>
  <c r="GD276" i="91"/>
  <c r="GC271" i="91"/>
  <c r="GC276" i="91"/>
  <c r="GD240" i="91"/>
  <c r="GD269" i="91"/>
  <c r="GD231" i="91"/>
  <c r="GD246" i="91"/>
  <c r="GD279" i="91"/>
  <c r="GD268" i="91"/>
  <c r="GD266" i="91"/>
  <c r="GC225" i="91"/>
  <c r="GD227" i="91"/>
  <c r="GD226" i="91"/>
  <c r="GD247" i="91"/>
  <c r="GD267" i="91"/>
  <c r="GD244" i="91"/>
  <c r="GD256" i="91"/>
  <c r="GD257" i="91"/>
  <c r="GC302" i="91"/>
  <c r="GC288" i="91"/>
  <c r="GC304" i="91"/>
  <c r="GC297" i="91"/>
  <c r="GC290" i="91"/>
  <c r="GC306" i="91"/>
  <c r="GC287" i="91"/>
  <c r="GC303" i="91"/>
  <c r="GC286" i="91"/>
  <c r="GC292" i="91"/>
  <c r="GC308" i="91"/>
  <c r="GC285" i="91"/>
  <c r="GC301" i="91"/>
  <c r="GC294" i="91"/>
  <c r="GC310" i="91"/>
  <c r="GC291" i="91"/>
  <c r="GC307" i="91"/>
  <c r="GC296" i="91"/>
  <c r="GC289" i="91"/>
  <c r="GC305" i="91"/>
  <c r="GC298" i="91"/>
  <c r="GC295" i="91"/>
  <c r="GC300" i="91"/>
  <c r="GC293" i="91"/>
  <c r="GC309" i="91"/>
  <c r="GC299" i="91"/>
  <c r="T23" i="75"/>
  <c r="U20" i="75"/>
  <c r="U22" i="75"/>
  <c r="U25" i="75"/>
  <c r="T26" i="75"/>
  <c r="T31" i="75"/>
  <c r="T32" i="75"/>
  <c r="T36" i="75"/>
  <c r="U65" i="75"/>
  <c r="GE221" i="91"/>
  <c r="U68" i="75"/>
  <c r="U70" i="75"/>
  <c r="GE235" i="91"/>
  <c r="GD223" i="91"/>
  <c r="GD225" i="91"/>
  <c r="GD245" i="91"/>
  <c r="GD262" i="91"/>
  <c r="GD236" i="91"/>
  <c r="GD264" i="91"/>
  <c r="GD229" i="91"/>
  <c r="GE270" i="91"/>
  <c r="GE248" i="91"/>
  <c r="GE274" i="91"/>
  <c r="GE236" i="91"/>
  <c r="GE238" i="91"/>
  <c r="GE261" i="91"/>
  <c r="GE269" i="91"/>
  <c r="GE267" i="91"/>
  <c r="GE275" i="91"/>
  <c r="GE240" i="91"/>
  <c r="GE223" i="91"/>
  <c r="GE231" i="91"/>
  <c r="GE227" i="91"/>
  <c r="GD234" i="91"/>
  <c r="GD270" i="91"/>
  <c r="GD228" i="91"/>
  <c r="GD241" i="91"/>
  <c r="GD278" i="91"/>
  <c r="GD275" i="91"/>
  <c r="GE265" i="91"/>
  <c r="GE258" i="91"/>
  <c r="GE271" i="91"/>
  <c r="GE272" i="91"/>
  <c r="GE278" i="91"/>
  <c r="GE244" i="91"/>
  <c r="GE263" i="91"/>
  <c r="GE226" i="91"/>
  <c r="GE257" i="91"/>
  <c r="GE234" i="91"/>
  <c r="GE228" i="91"/>
  <c r="GE232" i="91"/>
  <c r="GE256" i="91"/>
  <c r="GE233" i="91"/>
  <c r="GE247" i="91"/>
  <c r="GD230" i="91"/>
  <c r="GD273" i="91"/>
  <c r="GD263" i="91"/>
  <c r="GD258" i="91"/>
  <c r="GD259" i="91"/>
  <c r="GD260" i="91"/>
  <c r="GE268" i="91"/>
  <c r="GE237" i="91"/>
  <c r="GE230" i="91"/>
  <c r="GE241" i="91"/>
  <c r="GE262" i="91"/>
  <c r="GE276" i="91"/>
  <c r="GE245" i="91"/>
  <c r="GE266" i="91"/>
  <c r="GE264" i="91"/>
  <c r="GE254" i="91"/>
  <c r="GE259" i="91"/>
  <c r="GE239" i="91"/>
  <c r="GE260" i="91"/>
  <c r="GD254" i="91"/>
  <c r="GD239" i="91"/>
  <c r="GD277" i="91"/>
  <c r="GD237" i="91"/>
  <c r="GD232" i="91"/>
  <c r="GD261" i="91"/>
  <c r="GD271" i="91"/>
  <c r="GE279" i="91"/>
  <c r="GE242" i="91"/>
  <c r="GE273" i="91"/>
  <c r="GE224" i="91"/>
  <c r="GE225" i="91"/>
  <c r="GE255" i="91"/>
  <c r="GE229" i="91"/>
  <c r="GE246" i="91"/>
  <c r="GE277" i="91"/>
  <c r="GE243" i="91"/>
  <c r="GD300" i="91"/>
  <c r="GD303" i="91"/>
  <c r="GD288" i="91"/>
  <c r="GD304" i="91"/>
  <c r="GD298" i="91"/>
  <c r="GD299" i="91"/>
  <c r="GD297" i="91"/>
  <c r="GD292" i="91"/>
  <c r="GD308" i="91"/>
  <c r="GD286" i="91"/>
  <c r="GD306" i="91"/>
  <c r="GD307" i="91"/>
  <c r="GD285" i="91"/>
  <c r="GD301" i="91"/>
  <c r="GD296" i="91"/>
  <c r="GD302" i="91"/>
  <c r="GD290" i="91"/>
  <c r="GD310" i="91"/>
  <c r="GD287" i="91"/>
  <c r="GD289" i="91"/>
  <c r="GD305" i="91"/>
  <c r="GD291" i="91"/>
  <c r="GD294" i="91"/>
  <c r="GD295" i="91"/>
  <c r="GD293" i="91"/>
  <c r="GD309" i="91"/>
  <c r="T28" i="75"/>
  <c r="U23" i="75"/>
  <c r="GE310" i="91"/>
  <c r="GE308" i="91"/>
  <c r="GE307" i="91"/>
  <c r="GE306" i="91"/>
  <c r="GE304" i="91"/>
  <c r="GE303" i="91"/>
  <c r="GE302" i="91"/>
  <c r="GE300" i="91"/>
  <c r="GE299" i="91"/>
  <c r="GE298" i="91"/>
  <c r="GE296" i="91"/>
  <c r="GE295" i="91"/>
  <c r="GE294" i="91"/>
  <c r="GE292" i="91"/>
  <c r="GE290" i="91"/>
  <c r="GE288" i="91"/>
  <c r="GE286" i="91"/>
  <c r="GE285" i="91"/>
  <c r="U26" i="75"/>
  <c r="U28" i="75"/>
  <c r="GF221" i="91"/>
  <c r="GF276" i="91"/>
  <c r="GF257" i="91"/>
  <c r="GF270" i="91"/>
  <c r="GF255" i="91"/>
  <c r="GF264" i="91"/>
  <c r="GF263" i="91"/>
  <c r="GF274" i="91"/>
  <c r="GF269" i="91"/>
  <c r="GF272" i="91"/>
  <c r="GF237" i="91"/>
  <c r="GF266" i="91"/>
  <c r="GF279" i="91"/>
  <c r="GF238" i="91"/>
  <c r="GF246" i="91"/>
  <c r="GF254" i="91"/>
  <c r="GF233" i="91"/>
  <c r="GF239" i="91"/>
  <c r="GF244" i="91"/>
  <c r="GF245" i="91"/>
  <c r="GF235" i="91"/>
  <c r="GF265" i="91"/>
  <c r="GF229" i="91"/>
  <c r="GF271" i="91"/>
  <c r="GF230" i="91"/>
  <c r="GF256" i="91"/>
  <c r="GF234" i="91"/>
  <c r="GF267" i="91"/>
  <c r="GF226" i="91"/>
  <c r="GF236" i="91"/>
  <c r="GF261" i="91"/>
  <c r="GF275" i="91"/>
  <c r="GF227" i="91"/>
  <c r="GF248" i="91"/>
  <c r="GF273" i="91"/>
  <c r="GF259" i="91"/>
  <c r="GF268" i="91"/>
  <c r="GF260" i="91"/>
  <c r="GF228" i="91"/>
  <c r="GF240" i="91"/>
  <c r="GF247" i="91"/>
  <c r="GE297" i="91"/>
  <c r="GE287" i="91"/>
  <c r="GE301" i="91"/>
  <c r="GE291" i="91"/>
  <c r="GE289" i="91"/>
  <c r="GE305" i="91"/>
  <c r="GE293" i="91"/>
  <c r="GE309" i="91"/>
  <c r="GF301" i="91"/>
  <c r="U31" i="75"/>
  <c r="U32" i="75"/>
  <c r="U36" i="75"/>
  <c r="G37" i="75"/>
  <c r="GG221" i="91"/>
  <c r="GG232" i="91"/>
  <c r="GF232" i="91"/>
  <c r="GF277" i="91"/>
  <c r="GF242" i="91"/>
  <c r="GG260" i="91"/>
  <c r="GG271" i="91"/>
  <c r="GG242" i="91"/>
  <c r="GG254" i="91"/>
  <c r="GG259" i="91"/>
  <c r="GG266" i="91"/>
  <c r="GG236" i="91"/>
  <c r="GG247" i="91"/>
  <c r="GG231" i="91"/>
  <c r="GF225" i="91"/>
  <c r="GF243" i="91"/>
  <c r="GF231" i="91"/>
  <c r="GG255" i="91"/>
  <c r="GG268" i="91"/>
  <c r="GG277" i="91"/>
  <c r="GG223" i="91"/>
  <c r="GG275" i="91"/>
  <c r="GG238" i="91"/>
  <c r="GG256" i="91"/>
  <c r="GG226" i="91"/>
  <c r="GG233" i="91"/>
  <c r="GG241" i="91"/>
  <c r="GG270" i="91"/>
  <c r="GG240" i="91"/>
  <c r="GF224" i="91"/>
  <c r="GF262" i="91"/>
  <c r="GF278" i="91"/>
  <c r="GG234" i="91"/>
  <c r="GG228" i="91"/>
  <c r="GG274" i="91"/>
  <c r="GG265" i="91"/>
  <c r="GG246" i="91"/>
  <c r="GG257" i="91"/>
  <c r="GG230" i="91"/>
  <c r="GG269" i="91"/>
  <c r="GG243" i="91"/>
  <c r="GG235" i="91"/>
  <c r="GG273" i="91"/>
  <c r="GG245" i="91"/>
  <c r="GG278" i="91"/>
  <c r="GF258" i="91"/>
  <c r="GF241" i="91"/>
  <c r="GF223" i="91"/>
  <c r="GG279" i="91"/>
  <c r="GG276" i="91"/>
  <c r="GG258" i="91"/>
  <c r="GG272" i="91"/>
  <c r="GG267" i="91"/>
  <c r="GG262" i="91"/>
  <c r="GG244" i="91"/>
  <c r="GG239" i="91"/>
  <c r="GG261" i="91"/>
  <c r="GG248" i="91"/>
  <c r="GG229" i="91"/>
  <c r="GG264" i="91"/>
  <c r="GG227" i="91"/>
  <c r="GG263" i="91"/>
  <c r="GF309" i="91"/>
  <c r="GF297" i="91"/>
  <c r="GF305" i="91"/>
  <c r="B44" i="75"/>
  <c r="GF294" i="91"/>
  <c r="GF310" i="91"/>
  <c r="GF300" i="91"/>
  <c r="GF291" i="91"/>
  <c r="GF307" i="91"/>
  <c r="GF289" i="91"/>
  <c r="GF298" i="91"/>
  <c r="GF288" i="91"/>
  <c r="GF304" i="91"/>
  <c r="GF295" i="91"/>
  <c r="GF285" i="91"/>
  <c r="GF286" i="91"/>
  <c r="GF302" i="91"/>
  <c r="GF292" i="91"/>
  <c r="GF308" i="91"/>
  <c r="GF299" i="91"/>
  <c r="GF290" i="91"/>
  <c r="GF306" i="91"/>
  <c r="GF296" i="91"/>
  <c r="GF287" i="91"/>
  <c r="GF303" i="91"/>
  <c r="GF293" i="91"/>
  <c r="GH221" i="91"/>
  <c r="G54" i="56"/>
  <c r="B1" i="75"/>
  <c r="E34" i="78"/>
  <c r="F34" i="78"/>
  <c r="GH223" i="91"/>
  <c r="GH227" i="91"/>
  <c r="GH256" i="91"/>
  <c r="GH224" i="91"/>
  <c r="GH275" i="91"/>
  <c r="GH245" i="91"/>
  <c r="GH274" i="91"/>
  <c r="GH228" i="91"/>
  <c r="GH276" i="91"/>
  <c r="GH277" i="91"/>
  <c r="GH241" i="91"/>
  <c r="GH270" i="91"/>
  <c r="GH272" i="91"/>
  <c r="GH243" i="91"/>
  <c r="GH260" i="91"/>
  <c r="GH234" i="91"/>
  <c r="GH268" i="91"/>
  <c r="GH265" i="91"/>
  <c r="GH273" i="91"/>
  <c r="GH232" i="91"/>
  <c r="GH237" i="91"/>
  <c r="GG237" i="91"/>
  <c r="GH267" i="91"/>
  <c r="GH240" i="91"/>
  <c r="GH269" i="91"/>
  <c r="GH233" i="91"/>
  <c r="GH262" i="91"/>
  <c r="GH263" i="91"/>
  <c r="GH235" i="91"/>
  <c r="GH255" i="91"/>
  <c r="GH229" i="91"/>
  <c r="GH258" i="91"/>
  <c r="GH259" i="91"/>
  <c r="GH231" i="91"/>
  <c r="GH238" i="91"/>
  <c r="GG224" i="91"/>
  <c r="GH257" i="91"/>
  <c r="GH254" i="91"/>
  <c r="GH278" i="91"/>
  <c r="GH246" i="91"/>
  <c r="GH279" i="91"/>
  <c r="GH247" i="91"/>
  <c r="GH248" i="91"/>
  <c r="GH225" i="91"/>
  <c r="GH242" i="91"/>
  <c r="GH271" i="91"/>
  <c r="GH244" i="91"/>
  <c r="GH266" i="91"/>
  <c r="GH239" i="91"/>
  <c r="GH236" i="91"/>
  <c r="GH230" i="91"/>
  <c r="GH264" i="91"/>
  <c r="GH261" i="91"/>
  <c r="GH226" i="91"/>
  <c r="GG225" i="91"/>
  <c r="GG289" i="91"/>
  <c r="GG305" i="91"/>
  <c r="GG286" i="91"/>
  <c r="GG302" i="91"/>
  <c r="GG292" i="91"/>
  <c r="GG308" i="91"/>
  <c r="GG291" i="91"/>
  <c r="GG307" i="91"/>
  <c r="GG293" i="91"/>
  <c r="GG290" i="91"/>
  <c r="GG306" i="91"/>
  <c r="GG296" i="91"/>
  <c r="GG295" i="91"/>
  <c r="GG285" i="91"/>
  <c r="GG309" i="91"/>
  <c r="GG297" i="91"/>
  <c r="GG294" i="91"/>
  <c r="GG310" i="91"/>
  <c r="GG300" i="91"/>
  <c r="GG299" i="91"/>
  <c r="GG301" i="91"/>
  <c r="GG298" i="91"/>
  <c r="GG288" i="91"/>
  <c r="GG304" i="91"/>
  <c r="GG287" i="91"/>
  <c r="GG303" i="91"/>
  <c r="A54" i="56"/>
  <c r="G55" i="56"/>
  <c r="GI221" i="91"/>
  <c r="GI272" i="91"/>
  <c r="GH293" i="91"/>
  <c r="GH309" i="91"/>
  <c r="GH290" i="91"/>
  <c r="GH306" i="91"/>
  <c r="GH299" i="91"/>
  <c r="GH296" i="91"/>
  <c r="GH297" i="91"/>
  <c r="GH294" i="91"/>
  <c r="GH310" i="91"/>
  <c r="GH287" i="91"/>
  <c r="GH303" i="91"/>
  <c r="GH300" i="91"/>
  <c r="GH301" i="91"/>
  <c r="GH298" i="91"/>
  <c r="GH291" i="91"/>
  <c r="GH307" i="91"/>
  <c r="GH288" i="91"/>
  <c r="GH304" i="91"/>
  <c r="GH289" i="91"/>
  <c r="GH305" i="91"/>
  <c r="GH286" i="91"/>
  <c r="GH302" i="91"/>
  <c r="GH295" i="91"/>
  <c r="GH285" i="91"/>
  <c r="GH292" i="91"/>
  <c r="GH308" i="91"/>
  <c r="GJ221" i="91"/>
  <c r="L46" i="56"/>
  <c r="G56" i="56"/>
  <c r="GI259" i="91"/>
  <c r="GI226" i="91"/>
  <c r="GI267" i="91"/>
  <c r="GI228" i="91"/>
  <c r="GI224" i="91"/>
  <c r="GI248" i="91"/>
  <c r="GI255" i="91"/>
  <c r="GI244" i="91"/>
  <c r="GI225" i="91"/>
  <c r="GI266" i="91"/>
  <c r="GI257" i="91"/>
  <c r="GI246" i="91"/>
  <c r="GI229" i="91"/>
  <c r="GI261" i="91"/>
  <c r="GI264" i="91"/>
  <c r="GI278" i="91"/>
  <c r="GI274" i="91"/>
  <c r="GI235" i="91"/>
  <c r="GI265" i="91"/>
  <c r="GI276" i="91"/>
  <c r="GI239" i="91"/>
  <c r="GI271" i="91"/>
  <c r="GI279" i="91"/>
  <c r="GI254" i="91"/>
  <c r="GI237" i="91"/>
  <c r="GI236" i="91"/>
  <c r="GI232" i="91"/>
  <c r="GI241" i="91"/>
  <c r="GI260" i="91"/>
  <c r="GI275" i="91"/>
  <c r="GI240" i="91"/>
  <c r="GI263" i="91"/>
  <c r="GI245" i="91"/>
  <c r="GI269" i="91"/>
  <c r="GI247" i="91"/>
  <c r="GI256" i="91"/>
  <c r="GI223" i="91"/>
  <c r="GI273" i="91"/>
  <c r="GI227" i="91"/>
  <c r="GI234" i="91"/>
  <c r="GI268" i="91"/>
  <c r="GI238" i="91"/>
  <c r="GI277" i="91"/>
  <c r="GI230" i="91"/>
  <c r="GI262" i="91"/>
  <c r="GI243" i="91"/>
  <c r="GI231" i="91"/>
  <c r="GI242" i="91"/>
  <c r="GI233" i="91"/>
  <c r="GI270" i="91"/>
  <c r="GI258" i="91"/>
  <c r="GJ244" i="91"/>
  <c r="GI295" i="91"/>
  <c r="GI293" i="91"/>
  <c r="GI309" i="91"/>
  <c r="GI294" i="91"/>
  <c r="GI310" i="91"/>
  <c r="GI299" i="91"/>
  <c r="GI297" i="91"/>
  <c r="GI287" i="91"/>
  <c r="GI288" i="91"/>
  <c r="GI298" i="91"/>
  <c r="GI303" i="91"/>
  <c r="GI292" i="91"/>
  <c r="GI285" i="91"/>
  <c r="GI301" i="91"/>
  <c r="GI304" i="91"/>
  <c r="GI286" i="91"/>
  <c r="GI302" i="91"/>
  <c r="GI296" i="91"/>
  <c r="GI291" i="91"/>
  <c r="GI307" i="91"/>
  <c r="GI308" i="91"/>
  <c r="GI289" i="91"/>
  <c r="GI305" i="91"/>
  <c r="GI290" i="91"/>
  <c r="GI306" i="91"/>
  <c r="GI300" i="91"/>
  <c r="G8" i="55"/>
  <c r="H10" i="30"/>
  <c r="B1" i="56"/>
  <c r="E17" i="78"/>
  <c r="F17" i="78"/>
  <c r="GK221" i="91"/>
  <c r="GJ238" i="91"/>
  <c r="GJ276" i="91"/>
  <c r="GJ248" i="91"/>
  <c r="GJ223" i="91"/>
  <c r="GJ228" i="91"/>
  <c r="GJ233" i="91"/>
  <c r="GJ277" i="91"/>
  <c r="GJ243" i="91"/>
  <c r="GJ273" i="91"/>
  <c r="GJ256" i="91"/>
  <c r="GJ246" i="91"/>
  <c r="GJ245" i="91"/>
  <c r="GJ240" i="91"/>
  <c r="GJ241" i="91"/>
  <c r="GJ266" i="91"/>
  <c r="GJ279" i="91"/>
  <c r="GJ239" i="91"/>
  <c r="GJ265" i="91"/>
  <c r="GJ232" i="91"/>
  <c r="GJ264" i="91"/>
  <c r="GJ257" i="91"/>
  <c r="GJ260" i="91"/>
  <c r="GJ259" i="91"/>
  <c r="GJ229" i="91"/>
  <c r="GJ231" i="91"/>
  <c r="GJ226" i="91"/>
  <c r="GJ247" i="91"/>
  <c r="GJ271" i="91"/>
  <c r="GJ237" i="91"/>
  <c r="GJ268" i="91"/>
  <c r="GJ269" i="91"/>
  <c r="GJ242" i="91"/>
  <c r="GJ254" i="91"/>
  <c r="GJ225" i="91"/>
  <c r="GJ272" i="91"/>
  <c r="GJ275" i="91"/>
  <c r="GJ230" i="91"/>
  <c r="GJ235" i="91"/>
  <c r="GJ258" i="91"/>
  <c r="GJ278" i="91"/>
  <c r="GJ267" i="91"/>
  <c r="GJ262" i="91"/>
  <c r="GJ224" i="91"/>
  <c r="GJ227" i="91"/>
  <c r="GJ270" i="91"/>
  <c r="GJ261" i="91"/>
  <c r="GJ236" i="91"/>
  <c r="GJ263" i="91"/>
  <c r="GJ255" i="91"/>
  <c r="GJ274" i="91"/>
  <c r="GJ234" i="91"/>
  <c r="GK278" i="91"/>
  <c r="GJ306" i="91"/>
  <c r="GJ310" i="91"/>
  <c r="GJ302" i="91"/>
  <c r="GJ298" i="91"/>
  <c r="GJ308" i="91"/>
  <c r="GJ303" i="91"/>
  <c r="GJ300" i="91"/>
  <c r="GJ293" i="91"/>
  <c r="GJ309" i="91"/>
  <c r="GJ290" i="91"/>
  <c r="GJ291" i="91"/>
  <c r="GJ307" i="91"/>
  <c r="GJ288" i="91"/>
  <c r="GJ304" i="91"/>
  <c r="GJ297" i="91"/>
  <c r="GJ287" i="91"/>
  <c r="GJ294" i="91"/>
  <c r="GJ295" i="91"/>
  <c r="GJ292" i="91"/>
  <c r="GJ285" i="91"/>
  <c r="GJ301" i="91"/>
  <c r="GJ299" i="91"/>
  <c r="GJ296" i="91"/>
  <c r="GJ289" i="91"/>
  <c r="GJ305" i="91"/>
  <c r="GJ286" i="91"/>
  <c r="E33" i="299"/>
  <c r="H17" i="30"/>
  <c r="A10" i="30"/>
  <c r="G12" i="55"/>
  <c r="GL221" i="91"/>
  <c r="GK270" i="91"/>
  <c r="GK267" i="91"/>
  <c r="GK228" i="91"/>
  <c r="GK224" i="91"/>
  <c r="GK232" i="91"/>
  <c r="GL268" i="91"/>
  <c r="GL262" i="91"/>
  <c r="GL235" i="91"/>
  <c r="GL255" i="91"/>
  <c r="GL256" i="91"/>
  <c r="GL232" i="91"/>
  <c r="GL243" i="91"/>
  <c r="GL269" i="91"/>
  <c r="GK236" i="91"/>
  <c r="GK273" i="91"/>
  <c r="GK254" i="91"/>
  <c r="GK256" i="91"/>
  <c r="GK275" i="91"/>
  <c r="GK230" i="91"/>
  <c r="GK247" i="91"/>
  <c r="GK239" i="91"/>
  <c r="GK243" i="91"/>
  <c r="GK259" i="91"/>
  <c r="GK277" i="91"/>
  <c r="GK245" i="91"/>
  <c r="GL258" i="91"/>
  <c r="GL223" i="91"/>
  <c r="GL254" i="91"/>
  <c r="GL224" i="91"/>
  <c r="GL237" i="91"/>
  <c r="GL226" i="91"/>
  <c r="GL267" i="91"/>
  <c r="GL266" i="91"/>
  <c r="GL236" i="91"/>
  <c r="GL275" i="91"/>
  <c r="GL228" i="91"/>
  <c r="GL260" i="91"/>
  <c r="GL273" i="91"/>
  <c r="GL230" i="91"/>
  <c r="GL246" i="91"/>
  <c r="GL241" i="91"/>
  <c r="GL238" i="91"/>
  <c r="GL233" i="91"/>
  <c r="GL245" i="91"/>
  <c r="GK248" i="91"/>
  <c r="GK223" i="91"/>
  <c r="GK234" i="91"/>
  <c r="GK233" i="91"/>
  <c r="GK264" i="91"/>
  <c r="GK262" i="91"/>
  <c r="GK231" i="91"/>
  <c r="GK238" i="91"/>
  <c r="GK226" i="91"/>
  <c r="GK255" i="91"/>
  <c r="GK240" i="91"/>
  <c r="GK268" i="91"/>
  <c r="GK246" i="91"/>
  <c r="GL279" i="91"/>
  <c r="GL274" i="91"/>
  <c r="GL225" i="91"/>
  <c r="GL229" i="91"/>
  <c r="GL270" i="91"/>
  <c r="GL240" i="91"/>
  <c r="GL272" i="91"/>
  <c r="GK260" i="91"/>
  <c r="GK257" i="91"/>
  <c r="GK261" i="91"/>
  <c r="GK241" i="91"/>
  <c r="GK266" i="91"/>
  <c r="GK279" i="91"/>
  <c r="GK274" i="91"/>
  <c r="GK258" i="91"/>
  <c r="GK225" i="91"/>
  <c r="GK242" i="91"/>
  <c r="GK271" i="91"/>
  <c r="GK276" i="91"/>
  <c r="GK235" i="91"/>
  <c r="GK265" i="91"/>
  <c r="GK269" i="91"/>
  <c r="GK229" i="91"/>
  <c r="GK227" i="91"/>
  <c r="GK237" i="91"/>
  <c r="GK244" i="91"/>
  <c r="GK272" i="91"/>
  <c r="GK263" i="91"/>
  <c r="GL278" i="91"/>
  <c r="GL263" i="91"/>
  <c r="GL277" i="91"/>
  <c r="GL248" i="91"/>
  <c r="GL261" i="91"/>
  <c r="GL242" i="91"/>
  <c r="GK291" i="91"/>
  <c r="GK287" i="91"/>
  <c r="GK289" i="91"/>
  <c r="GK305" i="91"/>
  <c r="GK293" i="91"/>
  <c r="GK307" i="91"/>
  <c r="GK303" i="91"/>
  <c r="GK299" i="91"/>
  <c r="GK309" i="91"/>
  <c r="GK285" i="91"/>
  <c r="GK297" i="91"/>
  <c r="GK286" i="91"/>
  <c r="GK301" i="91"/>
  <c r="GK295" i="91"/>
  <c r="GK294" i="91"/>
  <c r="GK310" i="91"/>
  <c r="GK300" i="91"/>
  <c r="GK298" i="91"/>
  <c r="GK304" i="91"/>
  <c r="GK288" i="91"/>
  <c r="GK302" i="91"/>
  <c r="GK292" i="91"/>
  <c r="GK308" i="91"/>
  <c r="GK290" i="91"/>
  <c r="GK306" i="91"/>
  <c r="GK296" i="91"/>
  <c r="GL299" i="91"/>
  <c r="GL287" i="91"/>
  <c r="GL286" i="91"/>
  <c r="GL285" i="91"/>
  <c r="A17" i="30"/>
  <c r="H23" i="30"/>
  <c r="GM221" i="91"/>
  <c r="G18" i="55"/>
  <c r="H18" i="55"/>
  <c r="H21" i="55"/>
  <c r="H24" i="55"/>
  <c r="A33" i="299"/>
  <c r="F33" i="299"/>
  <c r="G33" i="299"/>
  <c r="GL265" i="91"/>
  <c r="GL276" i="91"/>
  <c r="GL239" i="91"/>
  <c r="GM269" i="91"/>
  <c r="GL259" i="91"/>
  <c r="GL257" i="91"/>
  <c r="GL271" i="91"/>
  <c r="GM277" i="91"/>
  <c r="GM225" i="91"/>
  <c r="GM276" i="91"/>
  <c r="GM231" i="91"/>
  <c r="GM232" i="91"/>
  <c r="GM261" i="91"/>
  <c r="GM260" i="91"/>
  <c r="GM242" i="91"/>
  <c r="GM226" i="91"/>
  <c r="GM239" i="91"/>
  <c r="GM267" i="91"/>
  <c r="GM273" i="91"/>
  <c r="GM245" i="91"/>
  <c r="GM235" i="91"/>
  <c r="GM265" i="91"/>
  <c r="GM258" i="91"/>
  <c r="GM268" i="91"/>
  <c r="GM270" i="91"/>
  <c r="GM254" i="91"/>
  <c r="GM227" i="91"/>
  <c r="GL247" i="91"/>
  <c r="GL231" i="91"/>
  <c r="GL227" i="91"/>
  <c r="GM241" i="91"/>
  <c r="GM247" i="91"/>
  <c r="GM244" i="91"/>
  <c r="GM274" i="91"/>
  <c r="GM255" i="91"/>
  <c r="GM275" i="91"/>
  <c r="GM266" i="91"/>
  <c r="GM240" i="91"/>
  <c r="GM233" i="91"/>
  <c r="GL244" i="91"/>
  <c r="GL264" i="91"/>
  <c r="GL234" i="91"/>
  <c r="GM257" i="91"/>
  <c r="GM272" i="91"/>
  <c r="GM236" i="91"/>
  <c r="GM248" i="91"/>
  <c r="GM256" i="91"/>
  <c r="GM278" i="91"/>
  <c r="GM264" i="91"/>
  <c r="GM229" i="91"/>
  <c r="GM263" i="91"/>
  <c r="GM243" i="91"/>
  <c r="GM246" i="91"/>
  <c r="GM223" i="91"/>
  <c r="GM230" i="91"/>
  <c r="GM259" i="91"/>
  <c r="GM224" i="91"/>
  <c r="GM237" i="91"/>
  <c r="GM238" i="91"/>
  <c r="GM234" i="91"/>
  <c r="GM228" i="91"/>
  <c r="GM262" i="91"/>
  <c r="GM271" i="91"/>
  <c r="GL289" i="91"/>
  <c r="GL293" i="91"/>
  <c r="GL301" i="91"/>
  <c r="GL303" i="91"/>
  <c r="GL291" i="91"/>
  <c r="GL307" i="91"/>
  <c r="GL295" i="91"/>
  <c r="GL309" i="91"/>
  <c r="GL305" i="91"/>
  <c r="GL297" i="91"/>
  <c r="GL292" i="91"/>
  <c r="GL290" i="91"/>
  <c r="GL306" i="91"/>
  <c r="GL296" i="91"/>
  <c r="GL294" i="91"/>
  <c r="GL310" i="91"/>
  <c r="GL300" i="91"/>
  <c r="GL298" i="91"/>
  <c r="GL288" i="91"/>
  <c r="GL304" i="91"/>
  <c r="GL302" i="91"/>
  <c r="GL308" i="91"/>
  <c r="H34" i="299"/>
  <c r="F34" i="299"/>
  <c r="I18" i="55"/>
  <c r="I21" i="55"/>
  <c r="I24" i="55"/>
  <c r="E41" i="299"/>
  <c r="J16" i="61"/>
  <c r="H26" i="30"/>
  <c r="A23" i="30"/>
  <c r="I33" i="299"/>
  <c r="H33" i="299"/>
  <c r="G21" i="55"/>
  <c r="G24" i="55"/>
  <c r="GN221" i="91"/>
  <c r="GN229" i="91"/>
  <c r="GN266" i="91"/>
  <c r="GN225" i="91"/>
  <c r="GN242" i="91"/>
  <c r="GN258" i="91"/>
  <c r="GN275" i="91"/>
  <c r="GN237" i="91"/>
  <c r="GN224" i="91"/>
  <c r="GN278" i="91"/>
  <c r="GN279" i="91"/>
  <c r="GN259" i="91"/>
  <c r="GN263" i="91"/>
  <c r="GN256" i="91"/>
  <c r="GN247" i="91"/>
  <c r="GN273" i="91"/>
  <c r="GN261" i="91"/>
  <c r="GN243" i="91"/>
  <c r="GN232" i="91"/>
  <c r="GN246" i="91"/>
  <c r="GN231" i="91"/>
  <c r="GN267" i="91"/>
  <c r="GN268" i="91"/>
  <c r="GN271" i="91"/>
  <c r="GN277" i="91"/>
  <c r="GN239" i="91"/>
  <c r="GN264" i="91"/>
  <c r="GN240" i="91"/>
  <c r="GM279" i="91"/>
  <c r="GN274" i="91"/>
  <c r="GN233" i="91"/>
  <c r="GN234" i="91"/>
  <c r="GN238" i="91"/>
  <c r="GN245" i="91"/>
  <c r="GN260" i="91"/>
  <c r="GN272" i="91"/>
  <c r="GN269" i="91"/>
  <c r="GN244" i="91"/>
  <c r="GN248" i="91"/>
  <c r="GN227" i="91"/>
  <c r="GN236" i="91"/>
  <c r="GN262" i="91"/>
  <c r="GM288" i="91"/>
  <c r="GM302" i="91"/>
  <c r="GM290" i="91"/>
  <c r="GM294" i="91"/>
  <c r="GM306" i="91"/>
  <c r="GM310" i="91"/>
  <c r="GM298" i="91"/>
  <c r="GM286" i="91"/>
  <c r="J33" i="299"/>
  <c r="GM304" i="91"/>
  <c r="GM293" i="91"/>
  <c r="GM309" i="91"/>
  <c r="GM291" i="91"/>
  <c r="GM307" i="91"/>
  <c r="GM292" i="91"/>
  <c r="GM308" i="91"/>
  <c r="GM297" i="91"/>
  <c r="GM295" i="91"/>
  <c r="GM296" i="91"/>
  <c r="GM285" i="91"/>
  <c r="GM301" i="91"/>
  <c r="GM299" i="91"/>
  <c r="GM300" i="91"/>
  <c r="GM289" i="91"/>
  <c r="GM305" i="91"/>
  <c r="GM287" i="91"/>
  <c r="GM303" i="91"/>
  <c r="GN308" i="91"/>
  <c r="GN299" i="91"/>
  <c r="GN295" i="91"/>
  <c r="GN293" i="91"/>
  <c r="GN291" i="91"/>
  <c r="GO221" i="91"/>
  <c r="H35" i="299"/>
  <c r="I34" i="299"/>
  <c r="J34" i="299"/>
  <c r="F35" i="299"/>
  <c r="E43" i="299"/>
  <c r="A26" i="30"/>
  <c r="H29" i="30"/>
  <c r="J21" i="61"/>
  <c r="J18" i="61"/>
  <c r="J20" i="61"/>
  <c r="A41" i="299"/>
  <c r="G41" i="299"/>
  <c r="J18" i="55"/>
  <c r="GN228" i="91"/>
  <c r="GN230" i="91"/>
  <c r="GN223" i="91"/>
  <c r="GO239" i="91"/>
  <c r="GO229" i="91"/>
  <c r="GO226" i="91"/>
  <c r="GO243" i="91"/>
  <c r="GO263" i="91"/>
  <c r="GO224" i="91"/>
  <c r="GN257" i="91"/>
  <c r="GN226" i="91"/>
  <c r="GN255" i="91"/>
  <c r="GO264" i="91"/>
  <c r="GO259" i="91"/>
  <c r="GO257" i="91"/>
  <c r="GO258" i="91"/>
  <c r="GO279" i="91"/>
  <c r="GO254" i="91"/>
  <c r="GO248" i="91"/>
  <c r="GN265" i="91"/>
  <c r="GN254" i="91"/>
  <c r="GN270" i="91"/>
  <c r="GN276" i="91"/>
  <c r="GN241" i="91"/>
  <c r="GN235" i="91"/>
  <c r="GO244" i="91"/>
  <c r="GO256" i="91"/>
  <c r="GO247" i="91"/>
  <c r="GO275" i="91"/>
  <c r="GO232" i="91"/>
  <c r="GO233" i="91"/>
  <c r="GO267" i="91"/>
  <c r="B1" i="61"/>
  <c r="E33" i="78"/>
  <c r="F33" i="78"/>
  <c r="GN297" i="91"/>
  <c r="GN303" i="91"/>
  <c r="GN307" i="91"/>
  <c r="GN301" i="91"/>
  <c r="GN286" i="91"/>
  <c r="GN285" i="91"/>
  <c r="GN305" i="91"/>
  <c r="GN287" i="91"/>
  <c r="GN289" i="91"/>
  <c r="GN309" i="91"/>
  <c r="GN294" i="91"/>
  <c r="GN310" i="91"/>
  <c r="GN300" i="91"/>
  <c r="GN298" i="91"/>
  <c r="GN288" i="91"/>
  <c r="GN304" i="91"/>
  <c r="GN302" i="91"/>
  <c r="GN292" i="91"/>
  <c r="GN290" i="91"/>
  <c r="GN306" i="91"/>
  <c r="GN296" i="91"/>
  <c r="J21" i="55"/>
  <c r="J24" i="55"/>
  <c r="K18" i="55"/>
  <c r="K21" i="55"/>
  <c r="K24" i="55"/>
  <c r="GP221" i="91"/>
  <c r="G43" i="299"/>
  <c r="A43" i="299"/>
  <c r="E44" i="299"/>
  <c r="H33" i="30"/>
  <c r="B1" i="30"/>
  <c r="E14" i="78"/>
  <c r="A29" i="30"/>
  <c r="I35" i="299"/>
  <c r="J35" i="299"/>
  <c r="H36" i="299"/>
  <c r="F36" i="299"/>
  <c r="GO272" i="91"/>
  <c r="GO265" i="91"/>
  <c r="GO273" i="91"/>
  <c r="GO277" i="91"/>
  <c r="GO270" i="91"/>
  <c r="GO262" i="91"/>
  <c r="GO235" i="91"/>
  <c r="GO255" i="91"/>
  <c r="GO228" i="91"/>
  <c r="GO231" i="91"/>
  <c r="GO274" i="91"/>
  <c r="GO278" i="91"/>
  <c r="GO269" i="91"/>
  <c r="GO261" i="91"/>
  <c r="GO236" i="91"/>
  <c r="GO227" i="91"/>
  <c r="GO268" i="91"/>
  <c r="GO245" i="91"/>
  <c r="GO266" i="91"/>
  <c r="GO241" i="91"/>
  <c r="GO234" i="91"/>
  <c r="GO246" i="91"/>
  <c r="GO237" i="91"/>
  <c r="GO242" i="91"/>
  <c r="GO271" i="91"/>
  <c r="GO230" i="91"/>
  <c r="GO225" i="91"/>
  <c r="GO240" i="91"/>
  <c r="GO238" i="91"/>
  <c r="GO260" i="91"/>
  <c r="GO276" i="91"/>
  <c r="GO223" i="91"/>
  <c r="GP276" i="91"/>
  <c r="GO299" i="91"/>
  <c r="GO298" i="91"/>
  <c r="GO305" i="91"/>
  <c r="GO293" i="91"/>
  <c r="GO290" i="91"/>
  <c r="GO310" i="91"/>
  <c r="GO303" i="91"/>
  <c r="GO288" i="91"/>
  <c r="GO297" i="91"/>
  <c r="GO308" i="91"/>
  <c r="GO309" i="91"/>
  <c r="GO289" i="91"/>
  <c r="GO300" i="91"/>
  <c r="GO291" i="91"/>
  <c r="GO304" i="91"/>
  <c r="GO286" i="91"/>
  <c r="GO285" i="91"/>
  <c r="GO296" i="91"/>
  <c r="GO295" i="91"/>
  <c r="GO302" i="91"/>
  <c r="GO301" i="91"/>
  <c r="GO306" i="91"/>
  <c r="GO294" i="91"/>
  <c r="GO292" i="91"/>
  <c r="GO307" i="91"/>
  <c r="GO287" i="91"/>
  <c r="L18" i="55"/>
  <c r="L21" i="55"/>
  <c r="L24" i="55"/>
  <c r="F14" i="78"/>
  <c r="H37" i="299"/>
  <c r="I36" i="299"/>
  <c r="J36" i="299"/>
  <c r="F37" i="299"/>
  <c r="E46" i="299"/>
  <c r="E45" i="299"/>
  <c r="A33" i="30"/>
  <c r="A30" i="30"/>
  <c r="A44" i="299"/>
  <c r="GQ221" i="91"/>
  <c r="GP254" i="91"/>
  <c r="GP247" i="91"/>
  <c r="GP230" i="91"/>
  <c r="GP274" i="91"/>
  <c r="GP235" i="91"/>
  <c r="GP264" i="91"/>
  <c r="GP260" i="91"/>
  <c r="GP238" i="91"/>
  <c r="GP231" i="91"/>
  <c r="GP271" i="91"/>
  <c r="GP265" i="91"/>
  <c r="GP262" i="91"/>
  <c r="GP259" i="91"/>
  <c r="GP228" i="91"/>
  <c r="GP261" i="91"/>
  <c r="GP270" i="91"/>
  <c r="GP257" i="91"/>
  <c r="GP242" i="91"/>
  <c r="GP248" i="91"/>
  <c r="GP258" i="91"/>
  <c r="GP245" i="91"/>
  <c r="GP273" i="91"/>
  <c r="GP232" i="91"/>
  <c r="GP279" i="91"/>
  <c r="GP225" i="91"/>
  <c r="GP234" i="91"/>
  <c r="GP266" i="91"/>
  <c r="GP267" i="91"/>
  <c r="GP229" i="91"/>
  <c r="GP233" i="91"/>
  <c r="GP240" i="91"/>
  <c r="GP227" i="91"/>
  <c r="GP246" i="91"/>
  <c r="GP268" i="91"/>
  <c r="GP237" i="91"/>
  <c r="GP255" i="91"/>
  <c r="GP277" i="91"/>
  <c r="GP275" i="91"/>
  <c r="GP263" i="91"/>
  <c r="GP256" i="91"/>
  <c r="GP236" i="91"/>
  <c r="GP269" i="91"/>
  <c r="GP272" i="91"/>
  <c r="GP226" i="91"/>
  <c r="GP243" i="91"/>
  <c r="GP244" i="91"/>
  <c r="GP241" i="91"/>
  <c r="GP223" i="91"/>
  <c r="GP239" i="91"/>
  <c r="GP224" i="91"/>
  <c r="GP278" i="91"/>
  <c r="GQ257" i="91"/>
  <c r="GP286" i="91"/>
  <c r="GP301" i="91"/>
  <c r="GP285" i="91"/>
  <c r="GP303" i="91"/>
  <c r="GP306" i="91"/>
  <c r="GP305" i="91"/>
  <c r="GP288" i="91"/>
  <c r="GP298" i="91"/>
  <c r="GP299" i="91"/>
  <c r="GP308" i="91"/>
  <c r="GP289" i="91"/>
  <c r="GP302" i="91"/>
  <c r="GP295" i="91"/>
  <c r="GP291" i="91"/>
  <c r="GP296" i="91"/>
  <c r="GP287" i="91"/>
  <c r="GP294" i="91"/>
  <c r="GP307" i="91"/>
  <c r="GP310" i="91"/>
  <c r="GP304" i="91"/>
  <c r="GP290" i="91"/>
  <c r="GP293" i="91"/>
  <c r="GP300" i="91"/>
  <c r="GP297" i="91"/>
  <c r="GP292" i="91"/>
  <c r="GP309" i="91"/>
  <c r="M18" i="55"/>
  <c r="M21" i="55"/>
  <c r="M24" i="55"/>
  <c r="I37" i="299"/>
  <c r="J37" i="299"/>
  <c r="H38" i="299"/>
  <c r="F38" i="299"/>
  <c r="A45" i="299"/>
  <c r="A46" i="299"/>
  <c r="G46" i="299"/>
  <c r="GR221" i="91"/>
  <c r="GQ272" i="91"/>
  <c r="GQ258" i="91"/>
  <c r="GQ266" i="91"/>
  <c r="GQ243" i="91"/>
  <c r="GQ223" i="91"/>
  <c r="GQ267" i="91"/>
  <c r="GQ226" i="91"/>
  <c r="GQ229" i="91"/>
  <c r="GQ255" i="91"/>
  <c r="GQ265" i="91"/>
  <c r="GQ262" i="91"/>
  <c r="GQ240" i="91"/>
  <c r="GQ234" i="91"/>
  <c r="GQ232" i="91"/>
  <c r="GQ224" i="91"/>
  <c r="GQ227" i="91"/>
  <c r="GQ278" i="91"/>
  <c r="GQ238" i="91"/>
  <c r="GQ271" i="91"/>
  <c r="GQ231" i="91"/>
  <c r="GQ263" i="91"/>
  <c r="GQ279" i="91"/>
  <c r="GQ245" i="91"/>
  <c r="GQ237" i="91"/>
  <c r="GQ228" i="91"/>
  <c r="GQ264" i="91"/>
  <c r="GQ276" i="91"/>
  <c r="GQ256" i="91"/>
  <c r="GQ277" i="91"/>
  <c r="GQ239" i="91"/>
  <c r="GQ248" i="91"/>
  <c r="GQ269" i="91"/>
  <c r="GQ225" i="91"/>
  <c r="GQ261" i="91"/>
  <c r="GQ275" i="91"/>
  <c r="GQ260" i="91"/>
  <c r="GQ254" i="91"/>
  <c r="GQ233" i="91"/>
  <c r="GQ230" i="91"/>
  <c r="GQ274" i="91"/>
  <c r="GQ246" i="91"/>
  <c r="GQ235" i="91"/>
  <c r="GQ247" i="91"/>
  <c r="GQ236" i="91"/>
  <c r="GQ270" i="91"/>
  <c r="GQ242" i="91"/>
  <c r="GQ241" i="91"/>
  <c r="GQ259" i="91"/>
  <c r="GQ268" i="91"/>
  <c r="GQ244" i="91"/>
  <c r="GQ273" i="91"/>
  <c r="GR273" i="91"/>
  <c r="GQ308" i="91"/>
  <c r="GQ286" i="91"/>
  <c r="GQ290" i="91"/>
  <c r="GQ307" i="91"/>
  <c r="GQ298" i="91"/>
  <c r="GQ301" i="91"/>
  <c r="GQ297" i="91"/>
  <c r="GQ302" i="91"/>
  <c r="GQ295" i="91"/>
  <c r="GQ306" i="91"/>
  <c r="GQ288" i="91"/>
  <c r="GQ310" i="91"/>
  <c r="GQ289" i="91"/>
  <c r="GQ293" i="91"/>
  <c r="GQ296" i="91"/>
  <c r="GQ303" i="91"/>
  <c r="GQ305" i="91"/>
  <c r="GQ304" i="91"/>
  <c r="GQ292" i="91"/>
  <c r="GQ309" i="91"/>
  <c r="GQ300" i="91"/>
  <c r="GQ285" i="91"/>
  <c r="GQ291" i="91"/>
  <c r="GQ299" i="91"/>
  <c r="GQ287" i="91"/>
  <c r="GQ294" i="91"/>
  <c r="N18" i="55"/>
  <c r="O18" i="55"/>
  <c r="GS221" i="91"/>
  <c r="I46" i="299"/>
  <c r="H39" i="299"/>
  <c r="I38" i="299"/>
  <c r="J38" i="299"/>
  <c r="F39" i="299"/>
  <c r="GR232" i="91"/>
  <c r="GR259" i="91"/>
  <c r="GR244" i="91"/>
  <c r="GR266" i="91"/>
  <c r="GR233" i="91"/>
  <c r="GR234" i="91"/>
  <c r="GR243" i="91"/>
  <c r="GR260" i="91"/>
  <c r="GR278" i="91"/>
  <c r="GR246" i="91"/>
  <c r="GR237" i="91"/>
  <c r="GR272" i="91"/>
  <c r="GR226" i="91"/>
  <c r="GR274" i="91"/>
  <c r="GR235" i="91"/>
  <c r="GR224" i="91"/>
  <c r="GR275" i="91"/>
  <c r="GR241" i="91"/>
  <c r="GR225" i="91"/>
  <c r="GR258" i="91"/>
  <c r="GR271" i="91"/>
  <c r="GR268" i="91"/>
  <c r="GR223" i="91"/>
  <c r="GR265" i="91"/>
  <c r="GR277" i="91"/>
  <c r="GR267" i="91"/>
  <c r="GR257" i="91"/>
  <c r="GR254" i="91"/>
  <c r="GR245" i="91"/>
  <c r="GR240" i="91"/>
  <c r="GR231" i="91"/>
  <c r="GR276" i="91"/>
  <c r="GR236" i="91"/>
  <c r="GR239" i="91"/>
  <c r="GR270" i="91"/>
  <c r="GR242" i="91"/>
  <c r="GR248" i="91"/>
  <c r="GR255" i="91"/>
  <c r="GR269" i="91"/>
  <c r="GR262" i="91"/>
  <c r="GR227" i="91"/>
  <c r="GR263" i="91"/>
  <c r="GR229" i="91"/>
  <c r="GR230" i="91"/>
  <c r="GR279" i="91"/>
  <c r="GR247" i="91"/>
  <c r="GR261" i="91"/>
  <c r="GR228" i="91"/>
  <c r="GR238" i="91"/>
  <c r="GR264" i="91"/>
  <c r="GR256" i="91"/>
  <c r="GS269" i="91"/>
  <c r="GR300" i="91"/>
  <c r="GR309" i="91"/>
  <c r="GR292" i="91"/>
  <c r="GR291" i="91"/>
  <c r="GR289" i="91"/>
  <c r="GR310" i="91"/>
  <c r="GR304" i="91"/>
  <c r="GR301" i="91"/>
  <c r="GR293" i="91"/>
  <c r="GR307" i="91"/>
  <c r="GR285" i="91"/>
  <c r="GR287" i="91"/>
  <c r="GR303" i="91"/>
  <c r="GR286" i="91"/>
  <c r="GR297" i="91"/>
  <c r="GR288" i="91"/>
  <c r="GR299" i="91"/>
  <c r="GR308" i="91"/>
  <c r="GR305" i="91"/>
  <c r="GR296" i="91"/>
  <c r="GR295" i="91"/>
  <c r="GR306" i="91"/>
  <c r="GR290" i="91"/>
  <c r="GR294" i="91"/>
  <c r="GR298" i="91"/>
  <c r="GR302" i="91"/>
  <c r="N21" i="55"/>
  <c r="N24" i="55"/>
  <c r="GT221" i="91"/>
  <c r="I39" i="299"/>
  <c r="J39" i="299"/>
  <c r="H40" i="299"/>
  <c r="F40" i="299"/>
  <c r="H41" i="299"/>
  <c r="O21" i="55"/>
  <c r="O24" i="55"/>
  <c r="P18" i="55"/>
  <c r="P21" i="55"/>
  <c r="P24" i="55"/>
  <c r="GS272" i="91"/>
  <c r="GS237" i="91"/>
  <c r="GS266" i="91"/>
  <c r="GS246" i="91"/>
  <c r="GS234" i="91"/>
  <c r="GS238" i="91"/>
  <c r="GS260" i="91"/>
  <c r="GT256" i="91"/>
  <c r="GS271" i="91"/>
  <c r="GS276" i="91"/>
  <c r="GS261" i="91"/>
  <c r="GS231" i="91"/>
  <c r="GS267" i="91"/>
  <c r="GS270" i="91"/>
  <c r="GS248" i="91"/>
  <c r="GS230" i="91"/>
  <c r="GS242" i="91"/>
  <c r="GS225" i="91"/>
  <c r="GS279" i="91"/>
  <c r="GS247" i="91"/>
  <c r="GS235" i="91"/>
  <c r="GS258" i="91"/>
  <c r="GS275" i="91"/>
  <c r="GS240" i="91"/>
  <c r="GS277" i="91"/>
  <c r="GS232" i="91"/>
  <c r="GS245" i="91"/>
  <c r="GS273" i="91"/>
  <c r="GS239" i="91"/>
  <c r="GS264" i="91"/>
  <c r="GS268" i="91"/>
  <c r="GT257" i="91"/>
  <c r="GT246" i="91"/>
  <c r="GT259" i="91"/>
  <c r="GT269" i="91"/>
  <c r="GT279" i="91"/>
  <c r="GT277" i="91"/>
  <c r="GT228" i="91"/>
  <c r="GT231" i="91"/>
  <c r="GT238" i="91"/>
  <c r="GT239" i="91"/>
  <c r="GS229" i="91"/>
  <c r="GS233" i="91"/>
  <c r="GT242" i="91"/>
  <c r="GT226" i="91"/>
  <c r="GT241" i="91"/>
  <c r="GT263" i="91"/>
  <c r="GT254" i="91"/>
  <c r="GT260" i="91"/>
  <c r="GT247" i="91"/>
  <c r="GT266" i="91"/>
  <c r="GT229" i="91"/>
  <c r="GT236" i="91"/>
  <c r="GS257" i="91"/>
  <c r="GS244" i="91"/>
  <c r="GS265" i="91"/>
  <c r="GS254" i="91"/>
  <c r="GS274" i="91"/>
  <c r="GS278" i="91"/>
  <c r="GS256" i="91"/>
  <c r="GS259" i="91"/>
  <c r="GS223" i="91"/>
  <c r="GS226" i="91"/>
  <c r="GS236" i="91"/>
  <c r="GS224" i="91"/>
  <c r="GS241" i="91"/>
  <c r="GT234" i="91"/>
  <c r="GT232" i="91"/>
  <c r="GT275" i="91"/>
  <c r="GT273" i="91"/>
  <c r="GT248" i="91"/>
  <c r="GT227" i="91"/>
  <c r="GT223" i="91"/>
  <c r="GT270" i="91"/>
  <c r="GT262" i="91"/>
  <c r="GT243" i="91"/>
  <c r="GT264" i="91"/>
  <c r="GT224" i="91"/>
  <c r="GT225" i="91"/>
  <c r="GS262" i="91"/>
  <c r="GS263" i="91"/>
  <c r="GS227" i="91"/>
  <c r="GS255" i="91"/>
  <c r="GS243" i="91"/>
  <c r="GS228" i="91"/>
  <c r="GT237" i="91"/>
  <c r="GT258" i="91"/>
  <c r="GT278" i="91"/>
  <c r="GT268" i="91"/>
  <c r="GT240" i="91"/>
  <c r="GT271" i="91"/>
  <c r="GS290" i="91"/>
  <c r="GS305" i="91"/>
  <c r="GS286" i="91"/>
  <c r="GS298" i="91"/>
  <c r="GS306" i="91"/>
  <c r="GS291" i="91"/>
  <c r="GS307" i="91"/>
  <c r="GS294" i="91"/>
  <c r="GS309" i="91"/>
  <c r="GS300" i="91"/>
  <c r="GS296" i="91"/>
  <c r="GS308" i="91"/>
  <c r="GS299" i="91"/>
  <c r="GS297" i="91"/>
  <c r="GS287" i="91"/>
  <c r="GS288" i="91"/>
  <c r="GS301" i="91"/>
  <c r="GS303" i="91"/>
  <c r="GS310" i="91"/>
  <c r="GS292" i="91"/>
  <c r="GS304" i="91"/>
  <c r="GS302" i="91"/>
  <c r="GS295" i="91"/>
  <c r="GS285" i="91"/>
  <c r="G25" i="55"/>
  <c r="G28" i="55"/>
  <c r="H28" i="55"/>
  <c r="B1" i="55"/>
  <c r="E42" i="78"/>
  <c r="F42" i="78"/>
  <c r="E8" i="78"/>
  <c r="GS289" i="91"/>
  <c r="GS293" i="91"/>
  <c r="GU221" i="91"/>
  <c r="I40" i="299"/>
  <c r="J40" i="299"/>
  <c r="F41" i="299"/>
  <c r="I41" i="299"/>
  <c r="J41" i="299"/>
  <c r="GT267" i="91"/>
  <c r="GU238" i="91"/>
  <c r="GT272" i="91"/>
  <c r="GT276" i="91"/>
  <c r="GT274" i="91"/>
  <c r="GT244" i="91"/>
  <c r="GT265" i="91"/>
  <c r="GU258" i="91"/>
  <c r="GU254" i="91"/>
  <c r="GU266" i="91"/>
  <c r="GT245" i="91"/>
  <c r="GU270" i="91"/>
  <c r="GU234" i="91"/>
  <c r="GT235" i="91"/>
  <c r="GT255" i="91"/>
  <c r="GT233" i="91"/>
  <c r="GT230" i="91"/>
  <c r="GT261" i="91"/>
  <c r="GU248" i="91"/>
  <c r="GT296" i="91"/>
  <c r="GT302" i="91"/>
  <c r="GT298" i="91"/>
  <c r="GT286" i="91"/>
  <c r="GT300" i="91"/>
  <c r="GT306" i="91"/>
  <c r="GT290" i="91"/>
  <c r="GT285" i="91"/>
  <c r="GT310" i="91"/>
  <c r="GT292" i="91"/>
  <c r="GT294" i="91"/>
  <c r="GT304" i="91"/>
  <c r="GT308" i="91"/>
  <c r="GT288" i="91"/>
  <c r="G8" i="78"/>
  <c r="GT297" i="91"/>
  <c r="GT287" i="91"/>
  <c r="GT303" i="91"/>
  <c r="GT301" i="91"/>
  <c r="GT291" i="91"/>
  <c r="GT307" i="91"/>
  <c r="GT289" i="91"/>
  <c r="GT305" i="91"/>
  <c r="GT295" i="91"/>
  <c r="GT293" i="91"/>
  <c r="GT309" i="91"/>
  <c r="GT299" i="91"/>
  <c r="H42" i="299"/>
  <c r="F42" i="299"/>
  <c r="H43" i="299"/>
  <c r="A6" i="72"/>
  <c r="A6" i="63"/>
  <c r="A6" i="24"/>
  <c r="A6" i="38"/>
  <c r="A6" i="41"/>
  <c r="A56" i="41"/>
  <c r="A106" i="41"/>
  <c r="A156" i="41"/>
  <c r="A6" i="82"/>
  <c r="A6" i="85"/>
  <c r="A7" i="83"/>
  <c r="A56" i="83"/>
  <c r="A6" i="81"/>
  <c r="A58" i="81"/>
  <c r="A5" i="88"/>
  <c r="A5" i="289"/>
  <c r="A5" i="288"/>
  <c r="A5" i="94"/>
  <c r="A6" i="20"/>
  <c r="A5" i="56"/>
  <c r="A6" i="97"/>
  <c r="A6" i="75"/>
  <c r="A5" i="32"/>
  <c r="B5" i="33"/>
  <c r="A4" i="31"/>
  <c r="B6" i="61"/>
  <c r="B6" i="30"/>
  <c r="A6" i="31"/>
  <c r="F8" i="78"/>
  <c r="GV221" i="91"/>
  <c r="GU225" i="91"/>
  <c r="GU241" i="91"/>
  <c r="GU279" i="91"/>
  <c r="GU267" i="91"/>
  <c r="GU224" i="91"/>
  <c r="GU240" i="91"/>
  <c r="GU278" i="91"/>
  <c r="GU235" i="91"/>
  <c r="GU260" i="91"/>
  <c r="GU259" i="91"/>
  <c r="GU271" i="91"/>
  <c r="GV226" i="91"/>
  <c r="GV266" i="91"/>
  <c r="GV234" i="91"/>
  <c r="GV263" i="91"/>
  <c r="GU228" i="91"/>
  <c r="GU232" i="91"/>
  <c r="GU273" i="91"/>
  <c r="GU223" i="91"/>
  <c r="GU237" i="91"/>
  <c r="GU256" i="91"/>
  <c r="GU246" i="91"/>
  <c r="GU261" i="91"/>
  <c r="GU245" i="91"/>
  <c r="GU231" i="91"/>
  <c r="GU242" i="91"/>
  <c r="GU263" i="91"/>
  <c r="GV260" i="91"/>
  <c r="GV239" i="91"/>
  <c r="GV268" i="91"/>
  <c r="GV271" i="91"/>
  <c r="GV232" i="91"/>
  <c r="GV270" i="91"/>
  <c r="GV231" i="91"/>
  <c r="GV247" i="91"/>
  <c r="GU255" i="91"/>
  <c r="GU269" i="91"/>
  <c r="GU262" i="91"/>
  <c r="GU264" i="91"/>
  <c r="GU265" i="91"/>
  <c r="GU257" i="91"/>
  <c r="GU277" i="91"/>
  <c r="GU243" i="91"/>
  <c r="GU276" i="91"/>
  <c r="GU236" i="91"/>
  <c r="GU274" i="91"/>
  <c r="GV254" i="91"/>
  <c r="GV228" i="91"/>
  <c r="GV233" i="91"/>
  <c r="GV262" i="91"/>
  <c r="GV257" i="91"/>
  <c r="GV276" i="91"/>
  <c r="GV240" i="91"/>
  <c r="GU272" i="91"/>
  <c r="GU230" i="91"/>
  <c r="GU233" i="91"/>
  <c r="GU275" i="91"/>
  <c r="GU244" i="91"/>
  <c r="GU247" i="91"/>
  <c r="GU239" i="91"/>
  <c r="GU229" i="91"/>
  <c r="GU227" i="91"/>
  <c r="GU226" i="91"/>
  <c r="GU268" i="91"/>
  <c r="GV267" i="91"/>
  <c r="GV244" i="91"/>
  <c r="GV237" i="91"/>
  <c r="GV273" i="91"/>
  <c r="GV272" i="91"/>
  <c r="GV269" i="91"/>
  <c r="GV279" i="91"/>
  <c r="GV245" i="91"/>
  <c r="GV230" i="91"/>
  <c r="GV278" i="91"/>
  <c r="GV227" i="91"/>
  <c r="GV229" i="91"/>
  <c r="GV258" i="91"/>
  <c r="GV223" i="91"/>
  <c r="GV241" i="91"/>
  <c r="GV255" i="91"/>
  <c r="GV225" i="91"/>
  <c r="GV224" i="91"/>
  <c r="GV274" i="91"/>
  <c r="GV242" i="91"/>
  <c r="GV248" i="91"/>
  <c r="GU301" i="91"/>
  <c r="GU302" i="91"/>
  <c r="GU299" i="91"/>
  <c r="GU296" i="91"/>
  <c r="GU306" i="91"/>
  <c r="GU289" i="91"/>
  <c r="GU305" i="91"/>
  <c r="GU286" i="91"/>
  <c r="GU310" i="91"/>
  <c r="GU287" i="91"/>
  <c r="GU303" i="91"/>
  <c r="GU300" i="91"/>
  <c r="GU293" i="91"/>
  <c r="GU309" i="91"/>
  <c r="GU290" i="91"/>
  <c r="GU291" i="91"/>
  <c r="GU307" i="91"/>
  <c r="GU288" i="91"/>
  <c r="GU304" i="91"/>
  <c r="GU297" i="91"/>
  <c r="GU294" i="91"/>
  <c r="GU295" i="91"/>
  <c r="GU285" i="91"/>
  <c r="GU292" i="91"/>
  <c r="GU308" i="91"/>
  <c r="GU298" i="91"/>
  <c r="I42" i="299"/>
  <c r="J42" i="299"/>
  <c r="F43" i="299"/>
  <c r="I43" i="299"/>
  <c r="J43" i="299"/>
  <c r="GW221" i="91"/>
  <c r="GV265" i="91"/>
  <c r="GV243" i="91"/>
  <c r="GV264" i="91"/>
  <c r="GW265" i="91"/>
  <c r="GW273" i="91"/>
  <c r="GW239" i="91"/>
  <c r="GW224" i="91"/>
  <c r="GW242" i="91"/>
  <c r="GW261" i="91"/>
  <c r="GW254" i="91"/>
  <c r="GW243" i="91"/>
  <c r="GW258" i="91"/>
  <c r="GW238" i="91"/>
  <c r="GW260" i="91"/>
  <c r="GW247" i="91"/>
  <c r="GW244" i="91"/>
  <c r="GW277" i="91"/>
  <c r="GW262" i="91"/>
  <c r="GW233" i="91"/>
  <c r="GW271" i="91"/>
  <c r="GW255" i="91"/>
  <c r="GW234" i="91"/>
  <c r="GW240" i="91"/>
  <c r="GV275" i="91"/>
  <c r="GV261" i="91"/>
  <c r="GV236" i="91"/>
  <c r="GW256" i="91"/>
  <c r="GW246" i="91"/>
  <c r="GW266" i="91"/>
  <c r="GW267" i="91"/>
  <c r="GW229" i="91"/>
  <c r="GW231" i="91"/>
  <c r="GW259" i="91"/>
  <c r="GW236" i="91"/>
  <c r="GW270" i="91"/>
  <c r="GW279" i="91"/>
  <c r="GW269" i="91"/>
  <c r="GW263" i="91"/>
  <c r="GW274" i="91"/>
  <c r="GV277" i="91"/>
  <c r="GV235" i="91"/>
  <c r="GV246" i="91"/>
  <c r="GW226" i="91"/>
  <c r="GW228" i="91"/>
  <c r="GW223" i="91"/>
  <c r="GW232" i="91"/>
  <c r="GW248" i="91"/>
  <c r="GW264" i="91"/>
  <c r="GW257" i="91"/>
  <c r="GV256" i="91"/>
  <c r="GV238" i="91"/>
  <c r="GV259" i="91"/>
  <c r="GW245" i="91"/>
  <c r="GW235" i="91"/>
  <c r="GW275" i="91"/>
  <c r="GW272" i="91"/>
  <c r="GW237" i="91"/>
  <c r="GW268" i="91"/>
  <c r="GW227" i="91"/>
  <c r="GV289" i="91"/>
  <c r="GV286" i="91"/>
  <c r="GV293" i="91"/>
  <c r="GV309" i="91"/>
  <c r="GV290" i="91"/>
  <c r="GV299" i="91"/>
  <c r="GV296" i="91"/>
  <c r="GV297" i="91"/>
  <c r="GV298" i="91"/>
  <c r="GV294" i="91"/>
  <c r="GV287" i="91"/>
  <c r="GV303" i="91"/>
  <c r="GV300" i="91"/>
  <c r="GV301" i="91"/>
  <c r="GV302" i="91"/>
  <c r="GV306" i="91"/>
  <c r="GV291" i="91"/>
  <c r="GV307" i="91"/>
  <c r="GV288" i="91"/>
  <c r="GV304" i="91"/>
  <c r="GV305" i="91"/>
  <c r="GV310" i="91"/>
  <c r="GV295" i="91"/>
  <c r="GV285" i="91"/>
  <c r="GV292" i="91"/>
  <c r="GV308" i="91"/>
  <c r="GW297" i="91"/>
  <c r="H44" i="299"/>
  <c r="F44" i="299"/>
  <c r="GX221" i="91"/>
  <c r="GW276" i="91"/>
  <c r="GW278" i="91"/>
  <c r="GX243" i="91"/>
  <c r="GX223" i="91"/>
  <c r="GX275" i="91"/>
  <c r="GX264" i="91"/>
  <c r="GX266" i="91"/>
  <c r="GX254" i="91"/>
  <c r="GX235" i="91"/>
  <c r="GX241" i="91"/>
  <c r="GX231" i="91"/>
  <c r="GX232" i="91"/>
  <c r="GW241" i="91"/>
  <c r="GX245" i="91"/>
  <c r="GX269" i="91"/>
  <c r="GX268" i="91"/>
  <c r="GX237" i="91"/>
  <c r="GX255" i="91"/>
  <c r="GX274" i="91"/>
  <c r="GX256" i="91"/>
  <c r="GX236" i="91"/>
  <c r="GX262" i="91"/>
  <c r="GX247" i="91"/>
  <c r="GX279" i="91"/>
  <c r="GW230" i="91"/>
  <c r="GX270" i="91"/>
  <c r="GX227" i="91"/>
  <c r="GX257" i="91"/>
  <c r="GX258" i="91"/>
  <c r="GX228" i="91"/>
  <c r="GX240" i="91"/>
  <c r="GX226" i="91"/>
  <c r="GW225" i="91"/>
  <c r="GX261" i="91"/>
  <c r="GX225" i="91"/>
  <c r="GX260" i="91"/>
  <c r="GX239" i="91"/>
  <c r="GX267" i="91"/>
  <c r="GX276" i="91"/>
  <c r="GX234" i="91"/>
  <c r="GX272" i="91"/>
  <c r="GX242" i="91"/>
  <c r="GX277" i="91"/>
  <c r="GX263" i="91"/>
  <c r="GX238" i="91"/>
  <c r="GW287" i="91"/>
  <c r="GW309" i="91"/>
  <c r="GW308" i="91"/>
  <c r="GW291" i="91"/>
  <c r="GW295" i="91"/>
  <c r="GW300" i="91"/>
  <c r="GW296" i="91"/>
  <c r="GW285" i="91"/>
  <c r="GW299" i="91"/>
  <c r="GW289" i="91"/>
  <c r="GW286" i="91"/>
  <c r="GW305" i="91"/>
  <c r="GW301" i="91"/>
  <c r="GW292" i="91"/>
  <c r="GW303" i="91"/>
  <c r="GW304" i="91"/>
  <c r="GW293" i="91"/>
  <c r="GW307" i="91"/>
  <c r="GW294" i="91"/>
  <c r="GW310" i="91"/>
  <c r="GW298" i="91"/>
  <c r="GW288" i="91"/>
  <c r="GW302" i="91"/>
  <c r="GW290" i="91"/>
  <c r="GW306" i="91"/>
  <c r="GX307" i="91"/>
  <c r="GX305" i="91"/>
  <c r="GX303" i="91"/>
  <c r="GX301" i="91"/>
  <c r="GX300" i="91"/>
  <c r="GX299" i="91"/>
  <c r="GX297" i="91"/>
  <c r="GX289" i="91"/>
  <c r="GX285" i="91"/>
  <c r="GY221" i="91"/>
  <c r="I44" i="299"/>
  <c r="J44" i="299"/>
  <c r="H45" i="299"/>
  <c r="F45" i="299"/>
  <c r="GX224" i="91"/>
  <c r="GX278" i="91"/>
  <c r="GX246" i="91"/>
  <c r="GY243" i="91"/>
  <c r="GY226" i="91"/>
  <c r="GY246" i="91"/>
  <c r="GY266" i="91"/>
  <c r="GY260" i="91"/>
  <c r="GY234" i="91"/>
  <c r="GY224" i="91"/>
  <c r="GY264" i="91"/>
  <c r="GY269" i="91"/>
  <c r="GX229" i="91"/>
  <c r="GX259" i="91"/>
  <c r="GX248" i="91"/>
  <c r="GY263" i="91"/>
  <c r="GY277" i="91"/>
  <c r="GY245" i="91"/>
  <c r="GY230" i="91"/>
  <c r="GY259" i="91"/>
  <c r="GY237" i="91"/>
  <c r="GY247" i="91"/>
  <c r="GY273" i="91"/>
  <c r="GY261" i="91"/>
  <c r="GY229" i="91"/>
  <c r="GY240" i="91"/>
  <c r="GY231" i="91"/>
  <c r="GY227" i="91"/>
  <c r="GY274" i="91"/>
  <c r="GY279" i="91"/>
  <c r="GY265" i="91"/>
  <c r="GY242" i="91"/>
  <c r="GY248" i="91"/>
  <c r="GX265" i="91"/>
  <c r="GX273" i="91"/>
  <c r="GX230" i="91"/>
  <c r="GY268" i="91"/>
  <c r="GY232" i="91"/>
  <c r="GY225" i="91"/>
  <c r="GX244" i="91"/>
  <c r="GX271" i="91"/>
  <c r="GX233" i="91"/>
  <c r="GY271" i="91"/>
  <c r="GY236" i="91"/>
  <c r="GY272" i="91"/>
  <c r="GY262" i="91"/>
  <c r="GY255" i="91"/>
  <c r="GY278" i="91"/>
  <c r="GY223" i="91"/>
  <c r="GY267" i="91"/>
  <c r="GY270" i="91"/>
  <c r="GY228" i="91"/>
  <c r="GY241" i="91"/>
  <c r="GY258" i="91"/>
  <c r="GY276" i="91"/>
  <c r="GX295" i="91"/>
  <c r="GX292" i="91"/>
  <c r="GX308" i="91"/>
  <c r="GX296" i="91"/>
  <c r="GX310" i="91"/>
  <c r="GX291" i="91"/>
  <c r="GX288" i="91"/>
  <c r="GX287" i="91"/>
  <c r="GX293" i="91"/>
  <c r="GX304" i="91"/>
  <c r="GX309" i="91"/>
  <c r="GX286" i="91"/>
  <c r="I45" i="299"/>
  <c r="J45" i="299"/>
  <c r="H46" i="299"/>
  <c r="J46" i="299"/>
  <c r="GX290" i="91"/>
  <c r="GX306" i="91"/>
  <c r="GX294" i="91"/>
  <c r="GX298" i="91"/>
  <c r="GX302" i="91"/>
  <c r="GZ221" i="91"/>
  <c r="GY254" i="91"/>
  <c r="GZ258" i="91"/>
  <c r="GZ237" i="91"/>
  <c r="GZ247" i="91"/>
  <c r="GZ234" i="91"/>
  <c r="GY257" i="91"/>
  <c r="GY256" i="91"/>
  <c r="GY233" i="91"/>
  <c r="GZ227" i="91"/>
  <c r="GZ228" i="91"/>
  <c r="GZ272" i="91"/>
  <c r="GZ264" i="91"/>
  <c r="GZ270" i="91"/>
  <c r="GY275" i="91"/>
  <c r="GZ225" i="91"/>
  <c r="GZ254" i="91"/>
  <c r="GZ263" i="91"/>
  <c r="GZ262" i="91"/>
  <c r="GZ277" i="91"/>
  <c r="GY235" i="91"/>
  <c r="GY239" i="91"/>
  <c r="GY244" i="91"/>
  <c r="GY238" i="91"/>
  <c r="GZ279" i="91"/>
  <c r="GZ239" i="91"/>
  <c r="GZ229" i="91"/>
  <c r="GZ244" i="91"/>
  <c r="GZ257" i="91"/>
  <c r="GZ274" i="91"/>
  <c r="GY289" i="91"/>
  <c r="GY290" i="91"/>
  <c r="GY300" i="91"/>
  <c r="GY293" i="91"/>
  <c r="GY294" i="91"/>
  <c r="GY310" i="91"/>
  <c r="GY291" i="91"/>
  <c r="GY307" i="91"/>
  <c r="GY304" i="91"/>
  <c r="GY298" i="91"/>
  <c r="GY295" i="91"/>
  <c r="GY288" i="91"/>
  <c r="GY297" i="91"/>
  <c r="GY292" i="91"/>
  <c r="GY308" i="91"/>
  <c r="GY285" i="91"/>
  <c r="GY305" i="91"/>
  <c r="GY286" i="91"/>
  <c r="GY302" i="91"/>
  <c r="GY299" i="91"/>
  <c r="GY296" i="91"/>
  <c r="GY309" i="91"/>
  <c r="GY306" i="91"/>
  <c r="GY287" i="91"/>
  <c r="GY303" i="91"/>
  <c r="GY301" i="91"/>
  <c r="HA221" i="91"/>
  <c r="GZ267" i="91"/>
  <c r="GZ240" i="91"/>
  <c r="GZ231" i="91"/>
  <c r="GZ226" i="91"/>
  <c r="GZ243" i="91"/>
  <c r="GZ255" i="91"/>
  <c r="GZ266" i="91"/>
  <c r="GZ224" i="91"/>
  <c r="GZ275" i="91"/>
  <c r="GZ246" i="91"/>
  <c r="GZ238" i="91"/>
  <c r="GZ230" i="91"/>
  <c r="GZ271" i="91"/>
  <c r="GZ273" i="91"/>
  <c r="GZ232" i="91"/>
  <c r="GZ260" i="91"/>
  <c r="GZ223" i="91"/>
  <c r="GZ278" i="91"/>
  <c r="GZ261" i="91"/>
  <c r="GZ276" i="91"/>
  <c r="GZ256" i="91"/>
  <c r="GZ245" i="91"/>
  <c r="GZ248" i="91"/>
  <c r="GZ233" i="91"/>
  <c r="GZ269" i="91"/>
  <c r="GZ268" i="91"/>
  <c r="GZ241" i="91"/>
  <c r="GZ265" i="91"/>
  <c r="GZ242" i="91"/>
  <c r="GZ236" i="91"/>
  <c r="GZ235" i="91"/>
  <c r="GZ259" i="91"/>
  <c r="HA268" i="91"/>
  <c r="GZ291" i="91"/>
  <c r="GZ307" i="91"/>
  <c r="GZ288" i="91"/>
  <c r="GZ304" i="91"/>
  <c r="GZ289" i="91"/>
  <c r="GZ305" i="91"/>
  <c r="GZ290" i="91"/>
  <c r="GZ310" i="91"/>
  <c r="GZ292" i="91"/>
  <c r="GZ309" i="91"/>
  <c r="GZ295" i="91"/>
  <c r="GZ308" i="91"/>
  <c r="GZ293" i="91"/>
  <c r="GZ294" i="91"/>
  <c r="GZ299" i="91"/>
  <c r="GZ296" i="91"/>
  <c r="GZ286" i="91"/>
  <c r="GZ297" i="91"/>
  <c r="GZ298" i="91"/>
  <c r="GZ302" i="91"/>
  <c r="GZ287" i="91"/>
  <c r="GZ303" i="91"/>
  <c r="GZ300" i="91"/>
  <c r="GZ285" i="91"/>
  <c r="GZ301" i="91"/>
  <c r="GZ306" i="91"/>
  <c r="HB221" i="91"/>
  <c r="HA261" i="91"/>
  <c r="HA265" i="91"/>
  <c r="HB276" i="91"/>
  <c r="HB231" i="91"/>
  <c r="HB255" i="91"/>
  <c r="HB240" i="91"/>
  <c r="HB247" i="91"/>
  <c r="HB239" i="91"/>
  <c r="HA276" i="91"/>
  <c r="HA244" i="91"/>
  <c r="HA266" i="91"/>
  <c r="HA234" i="91"/>
  <c r="HA243" i="91"/>
  <c r="HA272" i="91"/>
  <c r="HA267" i="91"/>
  <c r="HA263" i="91"/>
  <c r="HA225" i="91"/>
  <c r="HA224" i="91"/>
  <c r="HA256" i="91"/>
  <c r="HA260" i="91"/>
  <c r="HA226" i="91"/>
  <c r="HB230" i="91"/>
  <c r="HB272" i="91"/>
  <c r="HB256" i="91"/>
  <c r="HB267" i="91"/>
  <c r="HB223" i="91"/>
  <c r="HB246" i="91"/>
  <c r="HB265" i="91"/>
  <c r="HB254" i="91"/>
  <c r="HB241" i="91"/>
  <c r="HB232" i="91"/>
  <c r="HB270" i="91"/>
  <c r="HB258" i="91"/>
  <c r="HB268" i="91"/>
  <c r="HA238" i="91"/>
  <c r="HB264" i="91"/>
  <c r="HB242" i="91"/>
  <c r="HB226" i="91"/>
  <c r="HB228" i="91"/>
  <c r="HB248" i="91"/>
  <c r="HA269" i="91"/>
  <c r="HA248" i="91"/>
  <c r="HA230" i="91"/>
  <c r="HA254" i="91"/>
  <c r="HA237" i="91"/>
  <c r="HA274" i="91"/>
  <c r="HA232" i="91"/>
  <c r="HA235" i="91"/>
  <c r="HA236" i="91"/>
  <c r="HA240" i="91"/>
  <c r="HA241" i="91"/>
  <c r="HA258" i="91"/>
  <c r="HB225" i="91"/>
  <c r="HB236" i="91"/>
  <c r="HB274" i="91"/>
  <c r="HB279" i="91"/>
  <c r="HA223" i="91"/>
  <c r="HA273" i="91"/>
  <c r="HA247" i="91"/>
  <c r="HA255" i="91"/>
  <c r="HA271" i="91"/>
  <c r="HA245" i="91"/>
  <c r="HA242" i="91"/>
  <c r="HA264" i="91"/>
  <c r="HA279" i="91"/>
  <c r="HA239" i="91"/>
  <c r="HA229" i="91"/>
  <c r="HA270" i="91"/>
  <c r="HA278" i="91"/>
  <c r="HA259" i="91"/>
  <c r="HA275" i="91"/>
  <c r="HA277" i="91"/>
  <c r="HA233" i="91"/>
  <c r="HA231" i="91"/>
  <c r="HA227" i="91"/>
  <c r="HA262" i="91"/>
  <c r="HA228" i="91"/>
  <c r="HA246" i="91"/>
  <c r="HA257" i="91"/>
  <c r="HB262" i="91"/>
  <c r="HB233" i="91"/>
  <c r="HB277" i="91"/>
  <c r="HB275" i="91"/>
  <c r="HB261" i="91"/>
  <c r="HB260" i="91"/>
  <c r="HB244" i="91"/>
  <c r="HB238" i="91"/>
  <c r="HB224" i="91"/>
  <c r="HB269" i="91"/>
  <c r="HB245" i="91"/>
  <c r="HB229" i="91"/>
  <c r="HA293" i="91"/>
  <c r="HA291" i="91"/>
  <c r="HA303" i="91"/>
  <c r="HA297" i="91"/>
  <c r="HA309" i="91"/>
  <c r="HA285" i="91"/>
  <c r="HA286" i="91"/>
  <c r="HA307" i="91"/>
  <c r="HA301" i="91"/>
  <c r="HA305" i="91"/>
  <c r="HA289" i="91"/>
  <c r="HA299" i="91"/>
  <c r="HA295" i="91"/>
  <c r="HA287" i="91"/>
  <c r="HA298" i="91"/>
  <c r="HA288" i="91"/>
  <c r="HA304" i="91"/>
  <c r="HA302" i="91"/>
  <c r="HA292" i="91"/>
  <c r="HA308" i="91"/>
  <c r="HA290" i="91"/>
  <c r="HA306" i="91"/>
  <c r="HA296" i="91"/>
  <c r="HA294" i="91"/>
  <c r="HA310" i="91"/>
  <c r="HA300" i="91"/>
  <c r="HC221" i="91"/>
  <c r="HB237" i="91"/>
  <c r="HB263" i="91"/>
  <c r="HB235" i="91"/>
  <c r="HB243" i="91"/>
  <c r="HB273" i="91"/>
  <c r="HB278" i="91"/>
  <c r="HB271" i="91"/>
  <c r="HB259" i="91"/>
  <c r="HB227" i="91"/>
  <c r="HB266" i="91"/>
  <c r="HB257" i="91"/>
  <c r="HB234" i="91"/>
  <c r="HC225" i="91"/>
  <c r="HB307" i="91"/>
  <c r="HB299" i="91"/>
  <c r="HB303" i="91"/>
  <c r="HB285" i="91"/>
  <c r="HB295" i="91"/>
  <c r="HB293" i="91"/>
  <c r="HB309" i="91"/>
  <c r="HB290" i="91"/>
  <c r="HB306" i="91"/>
  <c r="HB296" i="91"/>
  <c r="HB294" i="91"/>
  <c r="HB300" i="91"/>
  <c r="HB297" i="91"/>
  <c r="HB287" i="91"/>
  <c r="HB310" i="91"/>
  <c r="HB301" i="91"/>
  <c r="HB291" i="91"/>
  <c r="HB298" i="91"/>
  <c r="HB288" i="91"/>
  <c r="HB304" i="91"/>
  <c r="HB289" i="91"/>
  <c r="HB305" i="91"/>
  <c r="HB286" i="91"/>
  <c r="HB302" i="91"/>
  <c r="HB292" i="91"/>
  <c r="HB308" i="91"/>
  <c r="HD221" i="91"/>
  <c r="HC264" i="91"/>
  <c r="HC224" i="91"/>
  <c r="HC277" i="91"/>
  <c r="HC244" i="91"/>
  <c r="HC236" i="91"/>
  <c r="HC261" i="91"/>
  <c r="HC234" i="91"/>
  <c r="HC243" i="91"/>
  <c r="HD263" i="91"/>
  <c r="HD230" i="91"/>
  <c r="HD225" i="91"/>
  <c r="HD279" i="91"/>
  <c r="HD261" i="91"/>
  <c r="HC254" i="91"/>
  <c r="HC276" i="91"/>
  <c r="HC275" i="91"/>
  <c r="HC266" i="91"/>
  <c r="HC271" i="91"/>
  <c r="HC279" i="91"/>
  <c r="HC259" i="91"/>
  <c r="HC274" i="91"/>
  <c r="HC239" i="91"/>
  <c r="HC242" i="91"/>
  <c r="HC229" i="91"/>
  <c r="HC267" i="91"/>
  <c r="HC269" i="91"/>
  <c r="HC231" i="91"/>
  <c r="HC235" i="91"/>
  <c r="HC247" i="91"/>
  <c r="HC223" i="91"/>
  <c r="HC262" i="91"/>
  <c r="HC260" i="91"/>
  <c r="HC257" i="91"/>
  <c r="HC228" i="91"/>
  <c r="HC265" i="91"/>
  <c r="HC248" i="91"/>
  <c r="HC237" i="91"/>
  <c r="HD268" i="91"/>
  <c r="HD245" i="91"/>
  <c r="HD229" i="91"/>
  <c r="HD267" i="91"/>
  <c r="HD241" i="91"/>
  <c r="HD272" i="91"/>
  <c r="HD259" i="91"/>
  <c r="HD257" i="91"/>
  <c r="HD256" i="91"/>
  <c r="HD232" i="91"/>
  <c r="HD265" i="91"/>
  <c r="HC232" i="91"/>
  <c r="HC258" i="91"/>
  <c r="HD237" i="91"/>
  <c r="HD247" i="91"/>
  <c r="HD269" i="91"/>
  <c r="HD266" i="91"/>
  <c r="HD254" i="91"/>
  <c r="HD248" i="91"/>
  <c r="HC273" i="91"/>
  <c r="HC233" i="91"/>
  <c r="HC227" i="91"/>
  <c r="HC268" i="91"/>
  <c r="HC263" i="91"/>
  <c r="HC256" i="91"/>
  <c r="HC226" i="91"/>
  <c r="HC246" i="91"/>
  <c r="HC241" i="91"/>
  <c r="HC255" i="91"/>
  <c r="HC270" i="91"/>
  <c r="HC278" i="91"/>
  <c r="HD231" i="91"/>
  <c r="HD227" i="91"/>
  <c r="HD239" i="91"/>
  <c r="HD246" i="91"/>
  <c r="HD271" i="91"/>
  <c r="HD235" i="91"/>
  <c r="HD262" i="91"/>
  <c r="HD234" i="91"/>
  <c r="HD228" i="91"/>
  <c r="HD244" i="91"/>
  <c r="HD240" i="91"/>
  <c r="HD238" i="91"/>
  <c r="HD243" i="91"/>
  <c r="HC238" i="91"/>
  <c r="HC230" i="91"/>
  <c r="HC272" i="91"/>
  <c r="HC245" i="91"/>
  <c r="HC240" i="91"/>
  <c r="HD258" i="91"/>
  <c r="HD224" i="91"/>
  <c r="HD278" i="91"/>
  <c r="HD260" i="91"/>
  <c r="HD226" i="91"/>
  <c r="HC287" i="91"/>
  <c r="HC301" i="91"/>
  <c r="HC299" i="91"/>
  <c r="HC286" i="91"/>
  <c r="HC303" i="91"/>
  <c r="HC297" i="91"/>
  <c r="HC295" i="91"/>
  <c r="HC285" i="91"/>
  <c r="HC289" i="91"/>
  <c r="HC307" i="91"/>
  <c r="HC305" i="91"/>
  <c r="HC291" i="91"/>
  <c r="HC293" i="91"/>
  <c r="HC309" i="91"/>
  <c r="HC294" i="91"/>
  <c r="HC310" i="91"/>
  <c r="HC300" i="91"/>
  <c r="HC288" i="91"/>
  <c r="HC298" i="91"/>
  <c r="HC304" i="91"/>
  <c r="HC302" i="91"/>
  <c r="HC292" i="91"/>
  <c r="HC308" i="91"/>
  <c r="HC290" i="91"/>
  <c r="HC306" i="91"/>
  <c r="HC296" i="91"/>
  <c r="HD309" i="91"/>
  <c r="HD303" i="91"/>
  <c r="HD299" i="91"/>
  <c r="HD293" i="91"/>
  <c r="HD291" i="91"/>
  <c r="HD289" i="91"/>
  <c r="HE221" i="91"/>
  <c r="HD273" i="91"/>
  <c r="HD274" i="91"/>
  <c r="HD264" i="91"/>
  <c r="HD233" i="91"/>
  <c r="HD276" i="91"/>
  <c r="HD255" i="91"/>
  <c r="HD236" i="91"/>
  <c r="HD275" i="91"/>
  <c r="HD223" i="91"/>
  <c r="HD277" i="91"/>
  <c r="HD242" i="91"/>
  <c r="HD270" i="91"/>
  <c r="HE235" i="91"/>
  <c r="HD301" i="91"/>
  <c r="HD286" i="91"/>
  <c r="HD295" i="91"/>
  <c r="HD287" i="91"/>
  <c r="HD305" i="91"/>
  <c r="HD297" i="91"/>
  <c r="HD307" i="91"/>
  <c r="HD285" i="91"/>
  <c r="HD302" i="91"/>
  <c r="HD308" i="91"/>
  <c r="HD290" i="91"/>
  <c r="HD306" i="91"/>
  <c r="HD296" i="91"/>
  <c r="HD300" i="91"/>
  <c r="HD294" i="91"/>
  <c r="HD310" i="91"/>
  <c r="HD298" i="91"/>
  <c r="HD288" i="91"/>
  <c r="HD304" i="91"/>
  <c r="HD292" i="91"/>
  <c r="HF221" i="91"/>
  <c r="HE224" i="91"/>
  <c r="HE243" i="91"/>
  <c r="HE233" i="91"/>
  <c r="HE229" i="91"/>
  <c r="HE239" i="91"/>
  <c r="HE261" i="91"/>
  <c r="HE275" i="91"/>
  <c r="HE273" i="91"/>
  <c r="HE232" i="91"/>
  <c r="HE260" i="91"/>
  <c r="HE274" i="91"/>
  <c r="HE256" i="91"/>
  <c r="HF267" i="91"/>
  <c r="HF223" i="91"/>
  <c r="HF224" i="91"/>
  <c r="HF271" i="91"/>
  <c r="HF247" i="91"/>
  <c r="HF266" i="91"/>
  <c r="HF229" i="91"/>
  <c r="HF268" i="91"/>
  <c r="HF235" i="91"/>
  <c r="HF245" i="91"/>
  <c r="HF248" i="91"/>
  <c r="HF257" i="91"/>
  <c r="HF236" i="91"/>
  <c r="HE230" i="91"/>
  <c r="HE248" i="91"/>
  <c r="HE245" i="91"/>
  <c r="HE271" i="91"/>
  <c r="HE254" i="91"/>
  <c r="HE247" i="91"/>
  <c r="HE255" i="91"/>
  <c r="HE278" i="91"/>
  <c r="HE227" i="91"/>
  <c r="HE265" i="91"/>
  <c r="HE259" i="91"/>
  <c r="HE246" i="91"/>
  <c r="HE262" i="91"/>
  <c r="HF230" i="91"/>
  <c r="HF226" i="91"/>
  <c r="HF237" i="91"/>
  <c r="HF239" i="91"/>
  <c r="HF274" i="91"/>
  <c r="HF244" i="91"/>
  <c r="HF265" i="91"/>
  <c r="HE277" i="91"/>
  <c r="HE226" i="91"/>
  <c r="HE263" i="91"/>
  <c r="HE258" i="91"/>
  <c r="HE241" i="91"/>
  <c r="HE279" i="91"/>
  <c r="HE269" i="91"/>
  <c r="HF260" i="91"/>
  <c r="HF272" i="91"/>
  <c r="HF241" i="91"/>
  <c r="HF270" i="91"/>
  <c r="HF256" i="91"/>
  <c r="HF258" i="91"/>
  <c r="HE264" i="91"/>
  <c r="HE237" i="91"/>
  <c r="HE257" i="91"/>
  <c r="HE266" i="91"/>
  <c r="HE240" i="91"/>
  <c r="HE242" i="91"/>
  <c r="HE272" i="91"/>
  <c r="HE267" i="91"/>
  <c r="HE270" i="91"/>
  <c r="HE234" i="91"/>
  <c r="HE228" i="91"/>
  <c r="HE231" i="91"/>
  <c r="HE223" i="91"/>
  <c r="HF225" i="91"/>
  <c r="HF234" i="91"/>
  <c r="HF279" i="91"/>
  <c r="HF259" i="91"/>
  <c r="HF273" i="91"/>
  <c r="HF269" i="91"/>
  <c r="HE236" i="91"/>
  <c r="HE268" i="91"/>
  <c r="HE276" i="91"/>
  <c r="HE238" i="91"/>
  <c r="HE244" i="91"/>
  <c r="HE225" i="91"/>
  <c r="HF231" i="91"/>
  <c r="HF278" i="91"/>
  <c r="HF227" i="91"/>
  <c r="HF242" i="91"/>
  <c r="HF238" i="91"/>
  <c r="HF228" i="91"/>
  <c r="HF232" i="91"/>
  <c r="HF246" i="91"/>
  <c r="HE287" i="91"/>
  <c r="HE285" i="91"/>
  <c r="HE291" i="91"/>
  <c r="HE307" i="91"/>
  <c r="HE288" i="91"/>
  <c r="HE308" i="91"/>
  <c r="HE289" i="91"/>
  <c r="HE305" i="91"/>
  <c r="HE286" i="91"/>
  <c r="HE306" i="91"/>
  <c r="HE295" i="91"/>
  <c r="HE292" i="91"/>
  <c r="HE293" i="91"/>
  <c r="HE309" i="91"/>
  <c r="HE290" i="91"/>
  <c r="HE310" i="91"/>
  <c r="HE294" i="91"/>
  <c r="HE299" i="91"/>
  <c r="HE296" i="91"/>
  <c r="HE297" i="91"/>
  <c r="HE298" i="91"/>
  <c r="HE303" i="91"/>
  <c r="HE300" i="91"/>
  <c r="HE301" i="91"/>
  <c r="HE302" i="91"/>
  <c r="HE304" i="91"/>
  <c r="HF309" i="91"/>
  <c r="HF303" i="91"/>
  <c r="HF301" i="91"/>
  <c r="HF299" i="91"/>
  <c r="HF297" i="91"/>
  <c r="HF291" i="91"/>
  <c r="HG221" i="91"/>
  <c r="HF240" i="91"/>
  <c r="HF263" i="91"/>
  <c r="HF276" i="91"/>
  <c r="HF261" i="91"/>
  <c r="HF275" i="91"/>
  <c r="HF255" i="91"/>
  <c r="HF277" i="91"/>
  <c r="HF254" i="91"/>
  <c r="HF264" i="91"/>
  <c r="HF243" i="91"/>
  <c r="HF233" i="91"/>
  <c r="HF262" i="91"/>
  <c r="HG223" i="91"/>
  <c r="HF293" i="91"/>
  <c r="HF295" i="91"/>
  <c r="HF305" i="91"/>
  <c r="HF285" i="91"/>
  <c r="HF286" i="91"/>
  <c r="HF307" i="91"/>
  <c r="HF289" i="91"/>
  <c r="HF287" i="91"/>
  <c r="HF294" i="91"/>
  <c r="HF310" i="91"/>
  <c r="HF298" i="91"/>
  <c r="HF288" i="91"/>
  <c r="HF304" i="91"/>
  <c r="HF308" i="91"/>
  <c r="HF302" i="91"/>
  <c r="HF292" i="91"/>
  <c r="HF290" i="91"/>
  <c r="HF306" i="91"/>
  <c r="HF296" i="91"/>
  <c r="HF300" i="91"/>
  <c r="HH221" i="91"/>
  <c r="HG248" i="91"/>
  <c r="HG278" i="91"/>
  <c r="HG239" i="91"/>
  <c r="HG247" i="91"/>
  <c r="HG237" i="91"/>
  <c r="HG242" i="91"/>
  <c r="HG276" i="91"/>
  <c r="HH271" i="91"/>
  <c r="HH232" i="91"/>
  <c r="HH237" i="91"/>
  <c r="HG235" i="91"/>
  <c r="HG270" i="91"/>
  <c r="HG264" i="91"/>
  <c r="HG224" i="91"/>
  <c r="HG228" i="91"/>
  <c r="HG262" i="91"/>
  <c r="HG266" i="91"/>
  <c r="HG240" i="91"/>
  <c r="HG230" i="91"/>
  <c r="HG271" i="91"/>
  <c r="HG267" i="91"/>
  <c r="HG245" i="91"/>
  <c r="HG255" i="91"/>
  <c r="HG229" i="91"/>
  <c r="HG225" i="91"/>
  <c r="HG274" i="91"/>
  <c r="HG268" i="91"/>
  <c r="HG259" i="91"/>
  <c r="HG269" i="91"/>
  <c r="HG260" i="91"/>
  <c r="HG257" i="91"/>
  <c r="HG261" i="91"/>
  <c r="HG275" i="91"/>
  <c r="HG226" i="91"/>
  <c r="HH263" i="91"/>
  <c r="HH238" i="91"/>
  <c r="HH278" i="91"/>
  <c r="HH259" i="91"/>
  <c r="HH243" i="91"/>
  <c r="HH244" i="91"/>
  <c r="HH239" i="91"/>
  <c r="HH270" i="91"/>
  <c r="HH257" i="91"/>
  <c r="HH260" i="91"/>
  <c r="HG246" i="91"/>
  <c r="HH255" i="91"/>
  <c r="HH228" i="91"/>
  <c r="HH236" i="91"/>
  <c r="HH245" i="91"/>
  <c r="HH248" i="91"/>
  <c r="HH234" i="91"/>
  <c r="HH272" i="91"/>
  <c r="HH254" i="91"/>
  <c r="HH247" i="91"/>
  <c r="HG258" i="91"/>
  <c r="HG273" i="91"/>
  <c r="HG231" i="91"/>
  <c r="HG279" i="91"/>
  <c r="HG277" i="91"/>
  <c r="HG265" i="91"/>
  <c r="HG243" i="91"/>
  <c r="HG256" i="91"/>
  <c r="HG241" i="91"/>
  <c r="HG254" i="91"/>
  <c r="HG233" i="91"/>
  <c r="HG227" i="91"/>
  <c r="HG244" i="91"/>
  <c r="HH242" i="91"/>
  <c r="HH225" i="91"/>
  <c r="HH268" i="91"/>
  <c r="HH226" i="91"/>
  <c r="HH267" i="91"/>
  <c r="HH231" i="91"/>
  <c r="HH256" i="91"/>
  <c r="HH265" i="91"/>
  <c r="HH235" i="91"/>
  <c r="HH269" i="91"/>
  <c r="HH273" i="91"/>
  <c r="HH224" i="91"/>
  <c r="HH223" i="91"/>
  <c r="HG236" i="91"/>
  <c r="HG272" i="91"/>
  <c r="HG232" i="91"/>
  <c r="HG263" i="91"/>
  <c r="HG234" i="91"/>
  <c r="HG238" i="91"/>
  <c r="HH275" i="91"/>
  <c r="HH279" i="91"/>
  <c r="HH241" i="91"/>
  <c r="HH258" i="91"/>
  <c r="HH276" i="91"/>
  <c r="HG301" i="91"/>
  <c r="HG298" i="91"/>
  <c r="HG291" i="91"/>
  <c r="HG307" i="91"/>
  <c r="HG288" i="91"/>
  <c r="HG304" i="91"/>
  <c r="HG289" i="91"/>
  <c r="HG305" i="91"/>
  <c r="HG286" i="91"/>
  <c r="HG302" i="91"/>
  <c r="HG310" i="91"/>
  <c r="HG295" i="91"/>
  <c r="HG285" i="91"/>
  <c r="HG292" i="91"/>
  <c r="HG308" i="91"/>
  <c r="HG293" i="91"/>
  <c r="HG309" i="91"/>
  <c r="HG290" i="91"/>
  <c r="HG306" i="91"/>
  <c r="HG299" i="91"/>
  <c r="HG296" i="91"/>
  <c r="HG297" i="91"/>
  <c r="HG294" i="91"/>
  <c r="HG287" i="91"/>
  <c r="HG303" i="91"/>
  <c r="HG300" i="91"/>
  <c r="HI221" i="91"/>
  <c r="HH266" i="91"/>
  <c r="HH233" i="91"/>
  <c r="HH230" i="91"/>
  <c r="HH240" i="91"/>
  <c r="HH274" i="91"/>
  <c r="HH246" i="91"/>
  <c r="HI247" i="91"/>
  <c r="HI274" i="91"/>
  <c r="HI273" i="91"/>
  <c r="HI244" i="91"/>
  <c r="HI278" i="91"/>
  <c r="HH227" i="91"/>
  <c r="HH277" i="91"/>
  <c r="HH264" i="91"/>
  <c r="HH229" i="91"/>
  <c r="HH261" i="91"/>
  <c r="HH262" i="91"/>
  <c r="HI275" i="91"/>
  <c r="HI276" i="91"/>
  <c r="HI268" i="91"/>
  <c r="HI239" i="91"/>
  <c r="HI257" i="91"/>
  <c r="HI226" i="91"/>
  <c r="HH293" i="91"/>
  <c r="HH309" i="91"/>
  <c r="HH306" i="91"/>
  <c r="HH296" i="91"/>
  <c r="HH291" i="91"/>
  <c r="HH297" i="91"/>
  <c r="HH287" i="91"/>
  <c r="HH294" i="91"/>
  <c r="HH310" i="91"/>
  <c r="HH300" i="91"/>
  <c r="HH303" i="91"/>
  <c r="HH295" i="91"/>
  <c r="HH285" i="91"/>
  <c r="HH301" i="91"/>
  <c r="HH298" i="91"/>
  <c r="HH288" i="91"/>
  <c r="HH304" i="91"/>
  <c r="HH299" i="91"/>
  <c r="HH289" i="91"/>
  <c r="HH305" i="91"/>
  <c r="HH286" i="91"/>
  <c r="HH302" i="91"/>
  <c r="HH292" i="91"/>
  <c r="HH308" i="91"/>
  <c r="HH307" i="91"/>
  <c r="HH290" i="91"/>
  <c r="HI309" i="91"/>
  <c r="HJ221" i="91"/>
  <c r="HI258" i="91"/>
  <c r="HI261" i="91"/>
  <c r="HI259" i="91"/>
  <c r="HI262" i="91"/>
  <c r="HI236" i="91"/>
  <c r="HI272" i="91"/>
  <c r="HI225" i="91"/>
  <c r="HI277" i="91"/>
  <c r="HI237" i="91"/>
  <c r="HI223" i="91"/>
  <c r="HI230" i="91"/>
  <c r="HI264" i="91"/>
  <c r="HI270" i="91"/>
  <c r="HI267" i="91"/>
  <c r="HI228" i="91"/>
  <c r="HI233" i="91"/>
  <c r="HI235" i="91"/>
  <c r="HI265" i="91"/>
  <c r="HI243" i="91"/>
  <c r="HI234" i="91"/>
  <c r="HI248" i="91"/>
  <c r="HI242" i="91"/>
  <c r="HI256" i="91"/>
  <c r="HI263" i="91"/>
  <c r="HI245" i="91"/>
  <c r="HI224" i="91"/>
  <c r="HI271" i="91"/>
  <c r="HI254" i="91"/>
  <c r="HI238" i="91"/>
  <c r="HI279" i="91"/>
  <c r="HI260" i="91"/>
  <c r="HI240" i="91"/>
  <c r="HI227" i="91"/>
  <c r="HI255" i="91"/>
  <c r="HI269" i="91"/>
  <c r="HI241" i="91"/>
  <c r="HI266" i="91"/>
  <c r="HI231" i="91"/>
  <c r="HI232" i="91"/>
  <c r="HI229" i="91"/>
  <c r="HI246" i="91"/>
  <c r="HJ258" i="91"/>
  <c r="HI291" i="91"/>
  <c r="HI293" i="91"/>
  <c r="HI303" i="91"/>
  <c r="HI289" i="91"/>
  <c r="HI286" i="91"/>
  <c r="HI307" i="91"/>
  <c r="HI305" i="91"/>
  <c r="HI297" i="91"/>
  <c r="HI295" i="91"/>
  <c r="HI285" i="91"/>
  <c r="HI299" i="91"/>
  <c r="HI287" i="91"/>
  <c r="HI301" i="91"/>
  <c r="HI294" i="91"/>
  <c r="HI310" i="91"/>
  <c r="HI298" i="91"/>
  <c r="HI288" i="91"/>
  <c r="HI304" i="91"/>
  <c r="HI308" i="91"/>
  <c r="HI302" i="91"/>
  <c r="HI292" i="91"/>
  <c r="HI290" i="91"/>
  <c r="HI306" i="91"/>
  <c r="HI296" i="91"/>
  <c r="HI300" i="91"/>
  <c r="HK221" i="91"/>
  <c r="HJ276" i="91"/>
  <c r="HK240" i="91"/>
  <c r="HJ269" i="91"/>
  <c r="HJ266" i="91"/>
  <c r="HJ236" i="91"/>
  <c r="HJ242" i="91"/>
  <c r="HJ231" i="91"/>
  <c r="HJ243" i="91"/>
  <c r="HJ226" i="91"/>
  <c r="HJ268" i="91"/>
  <c r="HJ278" i="91"/>
  <c r="HJ241" i="91"/>
  <c r="HJ254" i="91"/>
  <c r="HJ260" i="91"/>
  <c r="HJ228" i="91"/>
  <c r="HJ262" i="91"/>
  <c r="HJ259" i="91"/>
  <c r="HJ229" i="91"/>
  <c r="HJ238" i="91"/>
  <c r="HJ272" i="91"/>
  <c r="HJ225" i="91"/>
  <c r="HJ234" i="91"/>
  <c r="HJ264" i="91"/>
  <c r="HJ235" i="91"/>
  <c r="HJ244" i="91"/>
  <c r="HJ271" i="91"/>
  <c r="HJ257" i="91"/>
  <c r="HK259" i="91"/>
  <c r="HJ224" i="91"/>
  <c r="HK244" i="91"/>
  <c r="HJ248" i="91"/>
  <c r="HJ227" i="91"/>
  <c r="HJ255" i="91"/>
  <c r="HJ256" i="91"/>
  <c r="HJ279" i="91"/>
  <c r="HJ246" i="91"/>
  <c r="HJ277" i="91"/>
  <c r="HJ270" i="91"/>
  <c r="HJ245" i="91"/>
  <c r="HJ233" i="91"/>
  <c r="HJ273" i="91"/>
  <c r="HJ223" i="91"/>
  <c r="HJ232" i="91"/>
  <c r="HJ274" i="91"/>
  <c r="HJ240" i="91"/>
  <c r="HJ265" i="91"/>
  <c r="HJ263" i="91"/>
  <c r="HJ237" i="91"/>
  <c r="HJ267" i="91"/>
  <c r="HJ247" i="91"/>
  <c r="HJ261" i="91"/>
  <c r="HJ239" i="91"/>
  <c r="HJ275" i="91"/>
  <c r="HJ230" i="91"/>
  <c r="HK266" i="91"/>
  <c r="HJ309" i="91"/>
  <c r="HJ297" i="91"/>
  <c r="HJ294" i="91"/>
  <c r="HJ300" i="91"/>
  <c r="HJ301" i="91"/>
  <c r="HJ310" i="91"/>
  <c r="HJ306" i="91"/>
  <c r="HJ291" i="91"/>
  <c r="HJ307" i="91"/>
  <c r="HJ288" i="91"/>
  <c r="HJ304" i="91"/>
  <c r="HJ303" i="91"/>
  <c r="HJ289" i="91"/>
  <c r="HJ305" i="91"/>
  <c r="HJ290" i="91"/>
  <c r="HJ295" i="91"/>
  <c r="HJ285" i="91"/>
  <c r="HJ292" i="91"/>
  <c r="HJ308" i="91"/>
  <c r="HJ298" i="91"/>
  <c r="HJ286" i="91"/>
  <c r="HJ299" i="91"/>
  <c r="HJ296" i="91"/>
  <c r="HJ293" i="91"/>
  <c r="HJ302" i="91"/>
  <c r="HJ287" i="91"/>
  <c r="HL221" i="91"/>
  <c r="HK276" i="91"/>
  <c r="HK231" i="91"/>
  <c r="HK279" i="91"/>
  <c r="HK224" i="91"/>
  <c r="HK255" i="91"/>
  <c r="HK274" i="91"/>
  <c r="HK230" i="91"/>
  <c r="HK258" i="91"/>
  <c r="HK267" i="91"/>
  <c r="HK232" i="91"/>
  <c r="HK225" i="91"/>
  <c r="HK241" i="91"/>
  <c r="HK261" i="91"/>
  <c r="HK235" i="91"/>
  <c r="HK237" i="91"/>
  <c r="HK239" i="91"/>
  <c r="HK263" i="91"/>
  <c r="HK245" i="91"/>
  <c r="HK269" i="91"/>
  <c r="HK243" i="91"/>
  <c r="HK275" i="91"/>
  <c r="HK278" i="91"/>
  <c r="HK264" i="91"/>
  <c r="HK247" i="91"/>
  <c r="HK272" i="91"/>
  <c r="HK226" i="91"/>
  <c r="HK260" i="91"/>
  <c r="HK273" i="91"/>
  <c r="HK234" i="91"/>
  <c r="HK254" i="91"/>
  <c r="HK233" i="91"/>
  <c r="HK236" i="91"/>
  <c r="HK257" i="91"/>
  <c r="HK246" i="91"/>
  <c r="HK270" i="91"/>
  <c r="HK265" i="91"/>
  <c r="HK229" i="91"/>
  <c r="HK242" i="91"/>
  <c r="HK248" i="91"/>
  <c r="HK227" i="91"/>
  <c r="HK262" i="91"/>
  <c r="HK238" i="91"/>
  <c r="HK256" i="91"/>
  <c r="HK223" i="91"/>
  <c r="HK271" i="91"/>
  <c r="HK268" i="91"/>
  <c r="HK228" i="91"/>
  <c r="HK277" i="91"/>
  <c r="HL242" i="91"/>
  <c r="HK285" i="91"/>
  <c r="HK301" i="91"/>
  <c r="HK308" i="91"/>
  <c r="HK290" i="91"/>
  <c r="HK306" i="91"/>
  <c r="HK295" i="91"/>
  <c r="HK300" i="91"/>
  <c r="HK289" i="91"/>
  <c r="HK305" i="91"/>
  <c r="HK291" i="91"/>
  <c r="HK294" i="91"/>
  <c r="HK310" i="91"/>
  <c r="HK303" i="91"/>
  <c r="HK292" i="91"/>
  <c r="HK293" i="91"/>
  <c r="HK309" i="91"/>
  <c r="HK299" i="91"/>
  <c r="HK288" i="91"/>
  <c r="HK298" i="91"/>
  <c r="HK304" i="91"/>
  <c r="HK297" i="91"/>
  <c r="HK287" i="91"/>
  <c r="HK307" i="91"/>
  <c r="HK296" i="91"/>
  <c r="HK286" i="91"/>
  <c r="HK302" i="91"/>
  <c r="HM221" i="91"/>
  <c r="HL256" i="91"/>
  <c r="HL269" i="91"/>
  <c r="HL276" i="91"/>
  <c r="HL266" i="91"/>
  <c r="HL230" i="91"/>
  <c r="HL273" i="91"/>
  <c r="HL271" i="91"/>
  <c r="HL244" i="91"/>
  <c r="HL279" i="91"/>
  <c r="HL272" i="91"/>
  <c r="HL262" i="91"/>
  <c r="HL275" i="91"/>
  <c r="HM254" i="91"/>
  <c r="HM245" i="91"/>
  <c r="HM271" i="91"/>
  <c r="HL268" i="91"/>
  <c r="HL274" i="91"/>
  <c r="HL239" i="91"/>
  <c r="HL225" i="91"/>
  <c r="HL232" i="91"/>
  <c r="HL231" i="91"/>
  <c r="HL259" i="91"/>
  <c r="HL223" i="91"/>
  <c r="HL233" i="91"/>
  <c r="HL227" i="91"/>
  <c r="HL246" i="91"/>
  <c r="HL265" i="91"/>
  <c r="HL245" i="91"/>
  <c r="HL234" i="91"/>
  <c r="HL270" i="91"/>
  <c r="HL248" i="91"/>
  <c r="HL277" i="91"/>
  <c r="HL263" i="91"/>
  <c r="HL247" i="91"/>
  <c r="HL240" i="91"/>
  <c r="HL264" i="91"/>
  <c r="HL229" i="91"/>
  <c r="HL255" i="91"/>
  <c r="HL254" i="91"/>
  <c r="HL267" i="91"/>
  <c r="HM224" i="91"/>
  <c r="HM248" i="91"/>
  <c r="HM236" i="91"/>
  <c r="HM262" i="91"/>
  <c r="HM259" i="91"/>
  <c r="HM269" i="91"/>
  <c r="HM261" i="91"/>
  <c r="HM255" i="91"/>
  <c r="HM274" i="91"/>
  <c r="HM258" i="91"/>
  <c r="HM244" i="91"/>
  <c r="HM228" i="91"/>
  <c r="HL237" i="91"/>
  <c r="HM266" i="91"/>
  <c r="HM246" i="91"/>
  <c r="HM232" i="91"/>
  <c r="HM260" i="91"/>
  <c r="HM239" i="91"/>
  <c r="HM231" i="91"/>
  <c r="HM230" i="91"/>
  <c r="HL278" i="91"/>
  <c r="HL224" i="91"/>
  <c r="HL238" i="91"/>
  <c r="HL228" i="91"/>
  <c r="HL257" i="91"/>
  <c r="HL235" i="91"/>
  <c r="HL241" i="91"/>
  <c r="HL236" i="91"/>
  <c r="HL260" i="91"/>
  <c r="HL261" i="91"/>
  <c r="HL258" i="91"/>
  <c r="HL243" i="91"/>
  <c r="HM226" i="91"/>
  <c r="HM278" i="91"/>
  <c r="HM233" i="91"/>
  <c r="HM264" i="91"/>
  <c r="HM223" i="91"/>
  <c r="HM263" i="91"/>
  <c r="HM227" i="91"/>
  <c r="HM268" i="91"/>
  <c r="HM235" i="91"/>
  <c r="HM276" i="91"/>
  <c r="HM229" i="91"/>
  <c r="HM225" i="91"/>
  <c r="HM240" i="91"/>
  <c r="HL226" i="91"/>
  <c r="HM242" i="91"/>
  <c r="HM247" i="91"/>
  <c r="HM257" i="91"/>
  <c r="HM238" i="91"/>
  <c r="HM234" i="91"/>
  <c r="HL288" i="91"/>
  <c r="HL298" i="91"/>
  <c r="HL290" i="91"/>
  <c r="HL300" i="91"/>
  <c r="HL286" i="91"/>
  <c r="HL302" i="91"/>
  <c r="HL310" i="91"/>
  <c r="HL296" i="91"/>
  <c r="HL308" i="91"/>
  <c r="HL285" i="91"/>
  <c r="HL294" i="91"/>
  <c r="HL306" i="91"/>
  <c r="HL304" i="91"/>
  <c r="HL292" i="91"/>
  <c r="HL293" i="91"/>
  <c r="HL309" i="91"/>
  <c r="HL297" i="91"/>
  <c r="HL287" i="91"/>
  <c r="HL303" i="91"/>
  <c r="HL307" i="91"/>
  <c r="HL301" i="91"/>
  <c r="HL291" i="91"/>
  <c r="HL289" i="91"/>
  <c r="HL305" i="91"/>
  <c r="HL295" i="91"/>
  <c r="HL299" i="91"/>
  <c r="HN221" i="91"/>
  <c r="HM270" i="91"/>
  <c r="HM237" i="91"/>
  <c r="HM243" i="91"/>
  <c r="HM241" i="91"/>
  <c r="HM275" i="91"/>
  <c r="HN224" i="91"/>
  <c r="HN235" i="91"/>
  <c r="HM273" i="91"/>
  <c r="HN256" i="91"/>
  <c r="HN267" i="91"/>
  <c r="HM256" i="91"/>
  <c r="HM265" i="91"/>
  <c r="HM277" i="91"/>
  <c r="HM267" i="91"/>
  <c r="HM272" i="91"/>
  <c r="HM279" i="91"/>
  <c r="HN268" i="91"/>
  <c r="HN277" i="91"/>
  <c r="HN270" i="91"/>
  <c r="HN231" i="91"/>
  <c r="HM300" i="91"/>
  <c r="HM289" i="91"/>
  <c r="HM304" i="91"/>
  <c r="HM293" i="91"/>
  <c r="HM309" i="91"/>
  <c r="HM294" i="91"/>
  <c r="HM291" i="91"/>
  <c r="HM307" i="91"/>
  <c r="HM292" i="91"/>
  <c r="HM308" i="91"/>
  <c r="HM297" i="91"/>
  <c r="HM298" i="91"/>
  <c r="HM290" i="91"/>
  <c r="HM295" i="91"/>
  <c r="HM296" i="91"/>
  <c r="HM285" i="91"/>
  <c r="HM301" i="91"/>
  <c r="HM306" i="91"/>
  <c r="HM302" i="91"/>
  <c r="HM299" i="91"/>
  <c r="HM305" i="91"/>
  <c r="HM286" i="91"/>
  <c r="HM288" i="91"/>
  <c r="HM310" i="91"/>
  <c r="HM287" i="91"/>
  <c r="HM303" i="91"/>
  <c r="HO221" i="91"/>
  <c r="HO243" i="91"/>
  <c r="HN243" i="91"/>
  <c r="HN265" i="91"/>
  <c r="HN275" i="91"/>
  <c r="HN254" i="91"/>
  <c r="HN262" i="91"/>
  <c r="HN239" i="91"/>
  <c r="HN236" i="91"/>
  <c r="HN223" i="91"/>
  <c r="HN260" i="91"/>
  <c r="HN269" i="91"/>
  <c r="HN237" i="91"/>
  <c r="HO242" i="91"/>
  <c r="HO259" i="91"/>
  <c r="HO227" i="91"/>
  <c r="HO232" i="91"/>
  <c r="HO274" i="91"/>
  <c r="HO260" i="91"/>
  <c r="HO264" i="91"/>
  <c r="HO265" i="91"/>
  <c r="HO225" i="91"/>
  <c r="HO245" i="91"/>
  <c r="HO269" i="91"/>
  <c r="HO229" i="91"/>
  <c r="HO246" i="91"/>
  <c r="HO237" i="91"/>
  <c r="HO273" i="91"/>
  <c r="HO266" i="91"/>
  <c r="HO247" i="91"/>
  <c r="HO271" i="91"/>
  <c r="HO244" i="91"/>
  <c r="HN276" i="91"/>
  <c r="HN228" i="91"/>
  <c r="HN274" i="91"/>
  <c r="HN263" i="91"/>
  <c r="HN258" i="91"/>
  <c r="HO224" i="91"/>
  <c r="HO262" i="91"/>
  <c r="HO231" i="91"/>
  <c r="HO258" i="91"/>
  <c r="HO279" i="91"/>
  <c r="HO268" i="91"/>
  <c r="HN244" i="91"/>
  <c r="HN278" i="91"/>
  <c r="HN273" i="91"/>
  <c r="HN226" i="91"/>
  <c r="HN238" i="91"/>
  <c r="HN261" i="91"/>
  <c r="HN279" i="91"/>
  <c r="HN272" i="91"/>
  <c r="HN227" i="91"/>
  <c r="HN259" i="91"/>
  <c r="HN271" i="91"/>
  <c r="HN248" i="91"/>
  <c r="HN255" i="91"/>
  <c r="HN241" i="91"/>
  <c r="HN246" i="91"/>
  <c r="HN240" i="91"/>
  <c r="HN229" i="91"/>
  <c r="HN234" i="91"/>
  <c r="HN245" i="91"/>
  <c r="HN230" i="91"/>
  <c r="HN257" i="91"/>
  <c r="HN233" i="91"/>
  <c r="HO234" i="91"/>
  <c r="HO228" i="91"/>
  <c r="HO270" i="91"/>
  <c r="HO241" i="91"/>
  <c r="HO257" i="91"/>
  <c r="HO239" i="91"/>
  <c r="HO238" i="91"/>
  <c r="HN264" i="91"/>
  <c r="HN247" i="91"/>
  <c r="HN225" i="91"/>
  <c r="HN242" i="91"/>
  <c r="HN232" i="91"/>
  <c r="HN266" i="91"/>
  <c r="HO275" i="91"/>
  <c r="HO267" i="91"/>
  <c r="HO248" i="91"/>
  <c r="HO235" i="91"/>
  <c r="HO261" i="91"/>
  <c r="HO240" i="91"/>
  <c r="HO223" i="91"/>
  <c r="HN309" i="91"/>
  <c r="HN307" i="91"/>
  <c r="HN303" i="91"/>
  <c r="HN293" i="91"/>
  <c r="HN301" i="91"/>
  <c r="HN297" i="91"/>
  <c r="HN286" i="91"/>
  <c r="HN289" i="91"/>
  <c r="HN299" i="91"/>
  <c r="HN291" i="91"/>
  <c r="HN305" i="91"/>
  <c r="HN285" i="91"/>
  <c r="HN295" i="91"/>
  <c r="HN287" i="91"/>
  <c r="HN298" i="91"/>
  <c r="HN288" i="91"/>
  <c r="HN304" i="91"/>
  <c r="HN302" i="91"/>
  <c r="HN292" i="91"/>
  <c r="HN308" i="91"/>
  <c r="HN290" i="91"/>
  <c r="HN306" i="91"/>
  <c r="HN296" i="91"/>
  <c r="HN294" i="91"/>
  <c r="HN310" i="91"/>
  <c r="HN300" i="91"/>
  <c r="HP221" i="91"/>
  <c r="HO236" i="91"/>
  <c r="HO272" i="91"/>
  <c r="HO256" i="91"/>
  <c r="HO233" i="91"/>
  <c r="HO277" i="91"/>
  <c r="HO226" i="91"/>
  <c r="HP241" i="91"/>
  <c r="HO255" i="91"/>
  <c r="HO276" i="91"/>
  <c r="HO278" i="91"/>
  <c r="HO263" i="91"/>
  <c r="HO254" i="91"/>
  <c r="HO230" i="91"/>
  <c r="HP272" i="91"/>
  <c r="HP233" i="91"/>
  <c r="HO289" i="91"/>
  <c r="HO297" i="91"/>
  <c r="HO298" i="91"/>
  <c r="HO308" i="91"/>
  <c r="HO287" i="91"/>
  <c r="HO303" i="91"/>
  <c r="HO293" i="91"/>
  <c r="HO294" i="91"/>
  <c r="HO300" i="91"/>
  <c r="HO301" i="91"/>
  <c r="HO286" i="91"/>
  <c r="HO302" i="91"/>
  <c r="HO291" i="91"/>
  <c r="HO307" i="91"/>
  <c r="HO288" i="91"/>
  <c r="HO305" i="91"/>
  <c r="HO290" i="91"/>
  <c r="HO306" i="91"/>
  <c r="HO292" i="91"/>
  <c r="HO295" i="91"/>
  <c r="HO285" i="91"/>
  <c r="HO296" i="91"/>
  <c r="HO309" i="91"/>
  <c r="HO310" i="91"/>
  <c r="HO299" i="91"/>
  <c r="HO304" i="91"/>
  <c r="HQ221" i="91"/>
  <c r="HP236" i="91"/>
  <c r="HP274" i="91"/>
  <c r="HP268" i="91"/>
  <c r="HP267" i="91"/>
  <c r="HP243" i="91"/>
  <c r="HP230" i="91"/>
  <c r="HP264" i="91"/>
  <c r="HP276" i="91"/>
  <c r="HP225" i="91"/>
  <c r="HP228" i="91"/>
  <c r="HP258" i="91"/>
  <c r="HP257" i="91"/>
  <c r="HP232" i="91"/>
  <c r="HP239" i="91"/>
  <c r="HP263" i="91"/>
  <c r="HP279" i="91"/>
  <c r="HP235" i="91"/>
  <c r="HP265" i="91"/>
  <c r="HP237" i="91"/>
  <c r="HP247" i="91"/>
  <c r="HP273" i="91"/>
  <c r="HP246" i="91"/>
  <c r="HP254" i="91"/>
  <c r="HP275" i="91"/>
  <c r="HQ230" i="91"/>
  <c r="HQ259" i="91"/>
  <c r="HQ239" i="91"/>
  <c r="HQ268" i="91"/>
  <c r="HQ225" i="91"/>
  <c r="HQ266" i="91"/>
  <c r="HQ227" i="91"/>
  <c r="HQ270" i="91"/>
  <c r="HQ272" i="91"/>
  <c r="HQ265" i="91"/>
  <c r="HQ247" i="91"/>
  <c r="HQ261" i="91"/>
  <c r="HQ228" i="91"/>
  <c r="HQ264" i="91"/>
  <c r="HQ245" i="91"/>
  <c r="HQ229" i="91"/>
  <c r="HQ254" i="91"/>
  <c r="HQ256" i="91"/>
  <c r="HQ241" i="91"/>
  <c r="HQ260" i="91"/>
  <c r="HP227" i="91"/>
  <c r="HP269" i="91"/>
  <c r="HP224" i="91"/>
  <c r="HP240" i="91"/>
  <c r="HP266" i="91"/>
  <c r="HP229" i="91"/>
  <c r="HP245" i="91"/>
  <c r="HP270" i="91"/>
  <c r="HP238" i="91"/>
  <c r="HP244" i="91"/>
  <c r="HP278" i="91"/>
  <c r="HP223" i="91"/>
  <c r="HQ246" i="91"/>
  <c r="HQ276" i="91"/>
  <c r="HQ255" i="91"/>
  <c r="HQ243" i="91"/>
  <c r="HQ277" i="91"/>
  <c r="HQ257" i="91"/>
  <c r="HQ274" i="91"/>
  <c r="HQ258" i="91"/>
  <c r="HQ263" i="91"/>
  <c r="HQ269" i="91"/>
  <c r="HQ235" i="91"/>
  <c r="HQ231" i="91"/>
  <c r="HQ248" i="91"/>
  <c r="HP262" i="91"/>
  <c r="HP248" i="91"/>
  <c r="HP277" i="91"/>
  <c r="HP256" i="91"/>
  <c r="HP231" i="91"/>
  <c r="HP242" i="91"/>
  <c r="HP259" i="91"/>
  <c r="HP255" i="91"/>
  <c r="HP226" i="91"/>
  <c r="HP234" i="91"/>
  <c r="HP260" i="91"/>
  <c r="HP261" i="91"/>
  <c r="HP271" i="91"/>
  <c r="HQ223" i="91"/>
  <c r="HQ267" i="91"/>
  <c r="HQ242" i="91"/>
  <c r="HQ262" i="91"/>
  <c r="HQ233" i="91"/>
  <c r="HQ244" i="91"/>
  <c r="HQ226" i="91"/>
  <c r="HP309" i="91"/>
  <c r="HP301" i="91"/>
  <c r="HP290" i="91"/>
  <c r="HP306" i="91"/>
  <c r="HP296" i="91"/>
  <c r="HP287" i="91"/>
  <c r="HP303" i="91"/>
  <c r="HP304" i="91"/>
  <c r="HP294" i="91"/>
  <c r="HP310" i="91"/>
  <c r="HP291" i="91"/>
  <c r="HP307" i="91"/>
  <c r="HP288" i="91"/>
  <c r="HP308" i="91"/>
  <c r="HP293" i="91"/>
  <c r="HP298" i="91"/>
  <c r="HP295" i="91"/>
  <c r="HP292" i="91"/>
  <c r="HP289" i="91"/>
  <c r="HP297" i="91"/>
  <c r="HP285" i="91"/>
  <c r="HP286" i="91"/>
  <c r="HP302" i="91"/>
  <c r="HP299" i="91"/>
  <c r="HP300" i="91"/>
  <c r="HP305" i="91"/>
  <c r="HR221" i="91"/>
  <c r="HQ237" i="91"/>
  <c r="HQ273" i="91"/>
  <c r="HQ271" i="91"/>
  <c r="HQ238" i="91"/>
  <c r="HQ224" i="91"/>
  <c r="HQ275" i="91"/>
  <c r="HR245" i="91"/>
  <c r="HQ236" i="91"/>
  <c r="HQ232" i="91"/>
  <c r="HQ279" i="91"/>
  <c r="HQ240" i="91"/>
  <c r="HQ234" i="91"/>
  <c r="HQ278" i="91"/>
  <c r="HR243" i="91"/>
  <c r="HQ309" i="91"/>
  <c r="HQ293" i="91"/>
  <c r="HQ298" i="91"/>
  <c r="HQ288" i="91"/>
  <c r="HQ304" i="91"/>
  <c r="HQ303" i="91"/>
  <c r="HQ305" i="91"/>
  <c r="HQ302" i="91"/>
  <c r="HQ292" i="91"/>
  <c r="HQ285" i="91"/>
  <c r="HQ287" i="91"/>
  <c r="HQ301" i="91"/>
  <c r="HQ286" i="91"/>
  <c r="HQ308" i="91"/>
  <c r="HQ290" i="91"/>
  <c r="HQ306" i="91"/>
  <c r="HQ296" i="91"/>
  <c r="HQ291" i="91"/>
  <c r="HQ299" i="91"/>
  <c r="HQ289" i="91"/>
  <c r="HQ294" i="91"/>
  <c r="HQ310" i="91"/>
  <c r="HQ300" i="91"/>
  <c r="HQ295" i="91"/>
  <c r="HQ297" i="91"/>
  <c r="HQ307" i="91"/>
  <c r="HS221" i="91"/>
  <c r="HR261" i="91"/>
  <c r="HR241" i="91"/>
  <c r="HR234" i="91"/>
  <c r="HR225" i="91"/>
  <c r="HR262" i="91"/>
  <c r="HR242" i="91"/>
  <c r="HR257" i="91"/>
  <c r="HR238" i="91"/>
  <c r="HR260" i="91"/>
  <c r="HR258" i="91"/>
  <c r="HR247" i="91"/>
  <c r="HR255" i="91"/>
  <c r="HR230" i="91"/>
  <c r="HR266" i="91"/>
  <c r="HR229" i="91"/>
  <c r="HR254" i="91"/>
  <c r="HR277" i="91"/>
  <c r="HR223" i="91"/>
  <c r="HR272" i="91"/>
  <c r="HR265" i="91"/>
  <c r="HR276" i="91"/>
  <c r="HR274" i="91"/>
  <c r="HR244" i="91"/>
  <c r="HR226" i="91"/>
  <c r="HR263" i="91"/>
  <c r="HS232" i="91"/>
  <c r="HS236" i="91"/>
  <c r="HR269" i="91"/>
  <c r="HR268" i="91"/>
  <c r="HR256" i="91"/>
  <c r="HR228" i="91"/>
  <c r="HR227" i="91"/>
  <c r="HR246" i="91"/>
  <c r="HR236" i="91"/>
  <c r="HR239" i="91"/>
  <c r="HR264" i="91"/>
  <c r="HR232" i="91"/>
  <c r="HR275" i="91"/>
  <c r="HR224" i="91"/>
  <c r="HR278" i="91"/>
  <c r="HR259" i="91"/>
  <c r="HR233" i="91"/>
  <c r="HR240" i="91"/>
  <c r="HR231" i="91"/>
  <c r="HR235" i="91"/>
  <c r="HR237" i="91"/>
  <c r="HR273" i="91"/>
  <c r="HR270" i="91"/>
  <c r="HR267" i="91"/>
  <c r="HR248" i="91"/>
  <c r="HR279" i="91"/>
  <c r="HR271" i="91"/>
  <c r="HS233" i="91"/>
  <c r="HS257" i="91"/>
  <c r="HS248" i="91"/>
  <c r="HS223" i="91"/>
  <c r="HR299" i="91"/>
  <c r="HR293" i="91"/>
  <c r="HR295" i="91"/>
  <c r="HR286" i="91"/>
  <c r="HR301" i="91"/>
  <c r="HR289" i="91"/>
  <c r="HR305" i="91"/>
  <c r="HR285" i="91"/>
  <c r="HR291" i="91"/>
  <c r="HR303" i="91"/>
  <c r="HR307" i="91"/>
  <c r="HR287" i="91"/>
  <c r="HR309" i="91"/>
  <c r="HR297" i="91"/>
  <c r="HR294" i="91"/>
  <c r="HR310" i="91"/>
  <c r="HR300" i="91"/>
  <c r="HR288" i="91"/>
  <c r="HR298" i="91"/>
  <c r="HR304" i="91"/>
  <c r="HR302" i="91"/>
  <c r="HR292" i="91"/>
  <c r="HR308" i="91"/>
  <c r="HR290" i="91"/>
  <c r="HR306" i="91"/>
  <c r="HR296" i="91"/>
  <c r="HT221" i="91"/>
  <c r="HS261" i="91"/>
  <c r="HS247" i="91"/>
  <c r="HS275" i="91"/>
  <c r="HS239" i="91"/>
  <c r="HS229" i="91"/>
  <c r="HS237" i="91"/>
  <c r="HS273" i="91"/>
  <c r="HS278" i="91"/>
  <c r="HS271" i="91"/>
  <c r="HS265" i="91"/>
  <c r="HS267" i="91"/>
  <c r="HS235" i="91"/>
  <c r="HS230" i="91"/>
  <c r="HS231" i="91"/>
  <c r="HS242" i="91"/>
  <c r="HS269" i="91"/>
  <c r="HS245" i="91"/>
  <c r="HS225" i="91"/>
  <c r="HS226" i="91"/>
  <c r="HS268" i="91"/>
  <c r="HS272" i="91"/>
  <c r="HS264" i="91"/>
  <c r="HS234" i="91"/>
  <c r="HS244" i="91"/>
  <c r="HS260" i="91"/>
  <c r="HS274" i="91"/>
  <c r="HS240" i="91"/>
  <c r="HS227" i="91"/>
  <c r="HS224" i="91"/>
  <c r="HS270" i="91"/>
  <c r="HS266" i="91"/>
  <c r="HS243" i="91"/>
  <c r="HS246" i="91"/>
  <c r="HS228" i="91"/>
  <c r="HS279" i="91"/>
  <c r="HS256" i="91"/>
  <c r="HS263" i="91"/>
  <c r="HS254" i="91"/>
  <c r="HS276" i="91"/>
  <c r="HS241" i="91"/>
  <c r="HS255" i="91"/>
  <c r="HS258" i="91"/>
  <c r="HS238" i="91"/>
  <c r="HS262" i="91"/>
  <c r="HS277" i="91"/>
  <c r="HS259" i="91"/>
  <c r="HT244" i="91"/>
  <c r="HS303" i="91"/>
  <c r="HS285" i="91"/>
  <c r="HS305" i="91"/>
  <c r="HS286" i="91"/>
  <c r="HS287" i="91"/>
  <c r="HS293" i="91"/>
  <c r="HS297" i="91"/>
  <c r="HS299" i="91"/>
  <c r="HS291" i="91"/>
  <c r="HS309" i="91"/>
  <c r="HS301" i="91"/>
  <c r="HS289" i="91"/>
  <c r="HS307" i="91"/>
  <c r="HS295" i="91"/>
  <c r="HS302" i="91"/>
  <c r="HS308" i="91"/>
  <c r="HS290" i="91"/>
  <c r="HS306" i="91"/>
  <c r="HS296" i="91"/>
  <c r="HS310" i="91"/>
  <c r="HS294" i="91"/>
  <c r="HS300" i="91"/>
  <c r="HS298" i="91"/>
  <c r="HS288" i="91"/>
  <c r="HS304" i="91"/>
  <c r="HS292" i="91"/>
  <c r="HU221" i="91"/>
  <c r="HU229" i="91"/>
  <c r="HU238" i="91"/>
  <c r="HT229" i="91"/>
  <c r="HT257" i="91"/>
  <c r="HT260" i="91"/>
  <c r="HT242" i="91"/>
  <c r="HT254" i="91"/>
  <c r="HT270" i="91"/>
  <c r="HT264" i="91"/>
  <c r="HT231" i="91"/>
  <c r="HT241" i="91"/>
  <c r="HT269" i="91"/>
  <c r="HT262" i="91"/>
  <c r="HT278" i="91"/>
  <c r="HU233" i="91"/>
  <c r="HU245" i="91"/>
  <c r="HU274" i="91"/>
  <c r="HU247" i="91"/>
  <c r="HU235" i="91"/>
  <c r="HU244" i="91"/>
  <c r="HU268" i="91"/>
  <c r="HU259" i="91"/>
  <c r="HU264" i="91"/>
  <c r="HU278" i="91"/>
  <c r="HU269" i="91"/>
  <c r="HU225" i="91"/>
  <c r="HU240" i="91"/>
  <c r="HT247" i="91"/>
  <c r="HT261" i="91"/>
  <c r="HT258" i="91"/>
  <c r="HT277" i="91"/>
  <c r="HT255" i="91"/>
  <c r="HT256" i="91"/>
  <c r="HT263" i="91"/>
  <c r="HT235" i="91"/>
  <c r="HT275" i="91"/>
  <c r="HT245" i="91"/>
  <c r="HT226" i="91"/>
  <c r="HT224" i="91"/>
  <c r="HU226" i="91"/>
  <c r="HU223" i="91"/>
  <c r="HU237" i="91"/>
  <c r="HU276" i="91"/>
  <c r="HU265" i="91"/>
  <c r="HT246" i="91"/>
  <c r="HU228" i="91"/>
  <c r="HT276" i="91"/>
  <c r="HT228" i="91"/>
  <c r="HT272" i="91"/>
  <c r="HT232" i="91"/>
  <c r="HT223" i="91"/>
  <c r="HT227" i="91"/>
  <c r="HT265" i="91"/>
  <c r="HT230" i="91"/>
  <c r="HT240" i="91"/>
  <c r="HT274" i="91"/>
  <c r="HT234" i="91"/>
  <c r="HT237" i="91"/>
  <c r="HT273" i="91"/>
  <c r="HT268" i="91"/>
  <c r="HT259" i="91"/>
  <c r="HT243" i="91"/>
  <c r="HT267" i="91"/>
  <c r="HT248" i="91"/>
  <c r="HT238" i="91"/>
  <c r="HT279" i="91"/>
  <c r="HT266" i="91"/>
  <c r="HT225" i="91"/>
  <c r="HT271" i="91"/>
  <c r="HT236" i="91"/>
  <c r="HT233" i="91"/>
  <c r="HT239" i="91"/>
  <c r="HU270" i="91"/>
  <c r="HU243" i="91"/>
  <c r="HU241" i="91"/>
  <c r="HU239" i="91"/>
  <c r="HU231" i="91"/>
  <c r="HU261" i="91"/>
  <c r="HU224" i="91"/>
  <c r="HU242" i="91"/>
  <c r="HU266" i="91"/>
  <c r="HU277" i="91"/>
  <c r="HU256" i="91"/>
  <c r="HU273" i="91"/>
  <c r="HU279" i="91"/>
  <c r="HU254" i="91"/>
  <c r="HU262" i="91"/>
  <c r="HU275" i="91"/>
  <c r="HU258" i="91"/>
  <c r="HU255" i="91"/>
  <c r="HU272" i="91"/>
  <c r="HT291" i="91"/>
  <c r="HT307" i="91"/>
  <c r="HT288" i="91"/>
  <c r="HT285" i="91"/>
  <c r="HT301" i="91"/>
  <c r="HT295" i="91"/>
  <c r="HT292" i="91"/>
  <c r="HT289" i="91"/>
  <c r="HT305" i="91"/>
  <c r="HT286" i="91"/>
  <c r="HT306" i="91"/>
  <c r="HT299" i="91"/>
  <c r="HT296" i="91"/>
  <c r="HT293" i="91"/>
  <c r="HT309" i="91"/>
  <c r="HT290" i="91"/>
  <c r="HT310" i="91"/>
  <c r="HT287" i="91"/>
  <c r="HT303" i="91"/>
  <c r="HT300" i="91"/>
  <c r="HT297" i="91"/>
  <c r="HT294" i="91"/>
  <c r="HT302" i="91"/>
  <c r="HT308" i="91"/>
  <c r="HT298" i="91"/>
  <c r="HT304" i="91"/>
  <c r="HV221" i="91"/>
  <c r="HU227" i="91"/>
  <c r="HU271" i="91"/>
  <c r="HU236" i="91"/>
  <c r="HU257" i="91"/>
  <c r="HU263" i="91"/>
  <c r="HU234" i="91"/>
  <c r="HV259" i="91"/>
  <c r="HU267" i="91"/>
  <c r="HU248" i="91"/>
  <c r="HU246" i="91"/>
  <c r="HU232" i="91"/>
  <c r="HU260" i="91"/>
  <c r="HU230" i="91"/>
  <c r="HV231" i="91"/>
  <c r="HV257" i="91"/>
  <c r="HV238" i="91"/>
  <c r="HU289" i="91"/>
  <c r="HU287" i="91"/>
  <c r="HU295" i="91"/>
  <c r="HU286" i="91"/>
  <c r="HU291" i="91"/>
  <c r="HU307" i="91"/>
  <c r="HU297" i="91"/>
  <c r="HU299" i="91"/>
  <c r="HU301" i="91"/>
  <c r="HU309" i="91"/>
  <c r="HU293" i="91"/>
  <c r="HU303" i="91"/>
  <c r="HU285" i="91"/>
  <c r="HU305" i="91"/>
  <c r="HU294" i="91"/>
  <c r="HU310" i="91"/>
  <c r="HU298" i="91"/>
  <c r="HU288" i="91"/>
  <c r="HU304" i="91"/>
  <c r="HU292" i="91"/>
  <c r="HU302" i="91"/>
  <c r="HU308" i="91"/>
  <c r="HU290" i="91"/>
  <c r="HU306" i="91"/>
  <c r="HU296" i="91"/>
  <c r="HU300" i="91"/>
  <c r="HW221" i="91"/>
  <c r="HV267" i="91"/>
  <c r="HV278" i="91"/>
  <c r="HV260" i="91"/>
  <c r="HV273" i="91"/>
  <c r="HV263" i="91"/>
  <c r="HV233" i="91"/>
  <c r="HV229" i="91"/>
  <c r="HV268" i="91"/>
  <c r="HV237" i="91"/>
  <c r="HV277" i="91"/>
  <c r="HV241" i="91"/>
  <c r="HV264" i="91"/>
  <c r="HV275" i="91"/>
  <c r="HV232" i="91"/>
  <c r="HV224" i="91"/>
  <c r="HV244" i="91"/>
  <c r="HV234" i="91"/>
  <c r="HV223" i="91"/>
  <c r="HV247" i="91"/>
  <c r="HV272" i="91"/>
  <c r="HV226" i="91"/>
  <c r="HV227" i="91"/>
  <c r="HV269" i="91"/>
  <c r="HV236" i="91"/>
  <c r="HW238" i="91"/>
  <c r="HW232" i="91"/>
  <c r="HV256" i="91"/>
  <c r="HV239" i="91"/>
  <c r="HV271" i="91"/>
  <c r="HV274" i="91"/>
  <c r="HV266" i="91"/>
  <c r="HV279" i="91"/>
  <c r="HV262" i="91"/>
  <c r="HV261" i="91"/>
  <c r="HV258" i="91"/>
  <c r="HV225" i="91"/>
  <c r="HV243" i="91"/>
  <c r="HV230" i="91"/>
  <c r="HV276" i="91"/>
  <c r="HV270" i="91"/>
  <c r="HV228" i="91"/>
  <c r="HV242" i="91"/>
  <c r="HV245" i="91"/>
  <c r="HV255" i="91"/>
  <c r="HV248" i="91"/>
  <c r="HV240" i="91"/>
  <c r="HV265" i="91"/>
  <c r="HV246" i="91"/>
  <c r="HV254" i="91"/>
  <c r="HV235" i="91"/>
  <c r="HW235" i="91"/>
  <c r="HW267" i="91"/>
  <c r="HW226" i="91"/>
  <c r="HW254" i="91"/>
  <c r="HV287" i="91"/>
  <c r="HV301" i="91"/>
  <c r="HV302" i="91"/>
  <c r="HV291" i="91"/>
  <c r="HV307" i="91"/>
  <c r="HV288" i="91"/>
  <c r="HV304" i="91"/>
  <c r="HV289" i="91"/>
  <c r="HV305" i="91"/>
  <c r="HV286" i="91"/>
  <c r="HV306" i="91"/>
  <c r="HV294" i="91"/>
  <c r="HV295" i="91"/>
  <c r="HV285" i="91"/>
  <c r="HV292" i="91"/>
  <c r="HV308" i="91"/>
  <c r="HV293" i="91"/>
  <c r="HV309" i="91"/>
  <c r="HV290" i="91"/>
  <c r="HV310" i="91"/>
  <c r="HV299" i="91"/>
  <c r="HV296" i="91"/>
  <c r="HV297" i="91"/>
  <c r="HV298" i="91"/>
  <c r="HV303" i="91"/>
  <c r="HV300" i="91"/>
  <c r="HX221" i="91"/>
  <c r="HW277" i="91"/>
  <c r="HW240" i="91"/>
  <c r="HW248" i="91"/>
  <c r="HW234" i="91"/>
  <c r="HW227" i="91"/>
  <c r="HW224" i="91"/>
  <c r="HW236" i="91"/>
  <c r="HW271" i="91"/>
  <c r="HW273" i="91"/>
  <c r="HW245" i="91"/>
  <c r="HW229" i="91"/>
  <c r="HW266" i="91"/>
  <c r="HW244" i="91"/>
  <c r="HW239" i="91"/>
  <c r="HW275" i="91"/>
  <c r="HW237" i="91"/>
  <c r="HW264" i="91"/>
  <c r="HW260" i="91"/>
  <c r="HW233" i="91"/>
  <c r="HW276" i="91"/>
  <c r="HW225" i="91"/>
  <c r="HW261" i="91"/>
  <c r="HW241" i="91"/>
  <c r="HW262" i="91"/>
  <c r="HW256" i="91"/>
  <c r="HW246" i="91"/>
  <c r="HW259" i="91"/>
  <c r="HW279" i="91"/>
  <c r="HW269" i="91"/>
  <c r="HW265" i="91"/>
  <c r="HW223" i="91"/>
  <c r="HW242" i="91"/>
  <c r="HW274" i="91"/>
  <c r="HW268" i="91"/>
  <c r="HW270" i="91"/>
  <c r="HW257" i="91"/>
  <c r="HW247" i="91"/>
  <c r="HW230" i="91"/>
  <c r="HW228" i="91"/>
  <c r="HW263" i="91"/>
  <c r="HW255" i="91"/>
  <c r="HW231" i="91"/>
  <c r="HW278" i="91"/>
  <c r="HW243" i="91"/>
  <c r="HW258" i="91"/>
  <c r="HW272" i="91"/>
  <c r="HX239" i="91"/>
  <c r="HW285" i="91"/>
  <c r="HW299" i="91"/>
  <c r="HW286" i="91"/>
  <c r="HW295" i="91"/>
  <c r="HW297" i="91"/>
  <c r="HW307" i="91"/>
  <c r="HW303" i="91"/>
  <c r="HW287" i="91"/>
  <c r="HW301" i="91"/>
  <c r="HW305" i="91"/>
  <c r="HW291" i="91"/>
  <c r="HW293" i="91"/>
  <c r="HW289" i="91"/>
  <c r="HW309" i="91"/>
  <c r="HW294" i="91"/>
  <c r="HW300" i="91"/>
  <c r="HW298" i="91"/>
  <c r="HW288" i="91"/>
  <c r="HW304" i="91"/>
  <c r="HW308" i="91"/>
  <c r="HW302" i="91"/>
  <c r="HW292" i="91"/>
  <c r="HW290" i="91"/>
  <c r="HW306" i="91"/>
  <c r="HW296" i="91"/>
  <c r="HW310" i="91"/>
  <c r="HY221" i="91"/>
  <c r="HX231" i="91"/>
  <c r="HY262" i="91"/>
  <c r="HY238" i="91"/>
  <c r="HY225" i="91"/>
  <c r="HY275" i="91"/>
  <c r="HY235" i="91"/>
  <c r="HY279" i="91"/>
  <c r="HX233" i="91"/>
  <c r="HX230" i="91"/>
  <c r="HX275" i="91"/>
  <c r="HX255" i="91"/>
  <c r="HX245" i="91"/>
  <c r="HX262" i="91"/>
  <c r="HX240" i="91"/>
  <c r="HX259" i="91"/>
  <c r="HX268" i="91"/>
  <c r="HX234" i="91"/>
  <c r="HX256" i="91"/>
  <c r="HX228" i="91"/>
  <c r="HY270" i="91"/>
  <c r="HY259" i="91"/>
  <c r="HY234" i="91"/>
  <c r="HY268" i="91"/>
  <c r="HY226" i="91"/>
  <c r="HY240" i="91"/>
  <c r="HY229" i="91"/>
  <c r="HY260" i="91"/>
  <c r="HY237" i="91"/>
  <c r="HY232" i="91"/>
  <c r="HY263" i="91"/>
  <c r="HY265" i="91"/>
  <c r="HY224" i="91"/>
  <c r="HX254" i="91"/>
  <c r="HX278" i="91"/>
  <c r="HX247" i="91"/>
  <c r="HX265" i="91"/>
  <c r="HX226" i="91"/>
  <c r="HY223" i="91"/>
  <c r="HY227" i="91"/>
  <c r="HY231" i="91"/>
  <c r="HY255" i="91"/>
  <c r="HX236" i="91"/>
  <c r="HX246" i="91"/>
  <c r="HX248" i="91"/>
  <c r="HX263" i="91"/>
  <c r="HX232" i="91"/>
  <c r="HX279" i="91"/>
  <c r="HX267" i="91"/>
  <c r="HX237" i="91"/>
  <c r="HY266" i="91"/>
  <c r="HY254" i="91"/>
  <c r="HY230" i="91"/>
  <c r="HY248" i="91"/>
  <c r="HX277" i="91"/>
  <c r="HX272" i="91"/>
  <c r="HX223" i="91"/>
  <c r="HX260" i="91"/>
  <c r="HX227" i="91"/>
  <c r="HX225" i="91"/>
  <c r="HX273" i="91"/>
  <c r="HX235" i="91"/>
  <c r="HX258" i="91"/>
  <c r="HX276" i="91"/>
  <c r="HX257" i="91"/>
  <c r="HX266" i="91"/>
  <c r="HX242" i="91"/>
  <c r="HX264" i="91"/>
  <c r="HX271" i="91"/>
  <c r="HX241" i="91"/>
  <c r="HX274" i="91"/>
  <c r="HX269" i="91"/>
  <c r="HX243" i="91"/>
  <c r="HX238" i="91"/>
  <c r="HX270" i="91"/>
  <c r="HX229" i="91"/>
  <c r="HX244" i="91"/>
  <c r="HX224" i="91"/>
  <c r="HX261" i="91"/>
  <c r="HY272" i="91"/>
  <c r="HY233" i="91"/>
  <c r="HY244" i="91"/>
  <c r="HY241" i="91"/>
  <c r="HY277" i="91"/>
  <c r="HY273" i="91"/>
  <c r="HY261" i="91"/>
  <c r="HY257" i="91"/>
  <c r="HY278" i="91"/>
  <c r="HY276" i="91"/>
  <c r="HY271" i="91"/>
  <c r="HY239" i="91"/>
  <c r="HY236" i="91"/>
  <c r="HX310" i="91"/>
  <c r="HX293" i="91"/>
  <c r="HX288" i="91"/>
  <c r="HX303" i="91"/>
  <c r="HX304" i="91"/>
  <c r="HX297" i="91"/>
  <c r="HX298" i="91"/>
  <c r="HX291" i="91"/>
  <c r="HX307" i="91"/>
  <c r="HX305" i="91"/>
  <c r="HX300" i="91"/>
  <c r="HX309" i="91"/>
  <c r="HX294" i="91"/>
  <c r="HX287" i="91"/>
  <c r="HX292" i="91"/>
  <c r="HX308" i="91"/>
  <c r="HX285" i="91"/>
  <c r="HX301" i="91"/>
  <c r="HX306" i="91"/>
  <c r="HX290" i="91"/>
  <c r="HX295" i="91"/>
  <c r="HX296" i="91"/>
  <c r="HX286" i="91"/>
  <c r="HX302" i="91"/>
  <c r="HX299" i="91"/>
  <c r="HX289" i="91"/>
  <c r="HZ221" i="91"/>
  <c r="HY247" i="91"/>
  <c r="HY267" i="91"/>
  <c r="HY274" i="91"/>
  <c r="HY264" i="91"/>
  <c r="HY242" i="91"/>
  <c r="HY256" i="91"/>
  <c r="HY245" i="91"/>
  <c r="HY269" i="91"/>
  <c r="HY258" i="91"/>
  <c r="HY243" i="91"/>
  <c r="HY246" i="91"/>
  <c r="HY228" i="91"/>
  <c r="HZ279" i="91"/>
  <c r="HY304" i="91"/>
  <c r="HY289" i="91"/>
  <c r="HY305" i="91"/>
  <c r="HY291" i="91"/>
  <c r="HY298" i="91"/>
  <c r="HY303" i="91"/>
  <c r="HY293" i="91"/>
  <c r="HY286" i="91"/>
  <c r="HY292" i="91"/>
  <c r="HY309" i="91"/>
  <c r="HY299" i="91"/>
  <c r="HY302" i="91"/>
  <c r="HY297" i="91"/>
  <c r="HY307" i="91"/>
  <c r="HY290" i="91"/>
  <c r="HY306" i="91"/>
  <c r="HY287" i="91"/>
  <c r="HY296" i="91"/>
  <c r="HY300" i="91"/>
  <c r="HY288" i="91"/>
  <c r="HY285" i="91"/>
  <c r="HY301" i="91"/>
  <c r="HY294" i="91"/>
  <c r="HY310" i="91"/>
  <c r="HY295" i="91"/>
  <c r="HY308" i="91"/>
  <c r="IA221" i="91"/>
  <c r="HZ275" i="91"/>
  <c r="IA244" i="91"/>
  <c r="IA278" i="91"/>
  <c r="IA245" i="91"/>
  <c r="IA263" i="91"/>
  <c r="IA241" i="91"/>
  <c r="IA235" i="91"/>
  <c r="IA266" i="91"/>
  <c r="IA276" i="91"/>
  <c r="HZ257" i="91"/>
  <c r="HZ264" i="91"/>
  <c r="HZ271" i="91"/>
  <c r="HZ247" i="91"/>
  <c r="HZ262" i="91"/>
  <c r="HZ274" i="91"/>
  <c r="HZ266" i="91"/>
  <c r="HZ277" i="91"/>
  <c r="HZ227" i="91"/>
  <c r="HZ237" i="91"/>
  <c r="HZ223" i="91"/>
  <c r="HZ235" i="91"/>
  <c r="HZ268" i="91"/>
  <c r="IA230" i="91"/>
  <c r="IA242" i="91"/>
  <c r="IA224" i="91"/>
  <c r="IA272" i="91"/>
  <c r="IA261" i="91"/>
  <c r="IA256" i="91"/>
  <c r="IA232" i="91"/>
  <c r="IA279" i="91"/>
  <c r="IA255" i="91"/>
  <c r="IA229" i="91"/>
  <c r="IA264" i="91"/>
  <c r="IA240" i="91"/>
  <c r="IA227" i="91"/>
  <c r="HZ229" i="91"/>
  <c r="HZ255" i="91"/>
  <c r="HZ240" i="91"/>
  <c r="HZ246" i="91"/>
  <c r="HZ228" i="91"/>
  <c r="HZ259" i="91"/>
  <c r="HZ225" i="91"/>
  <c r="HZ256" i="91"/>
  <c r="IA259" i="91"/>
  <c r="IA269" i="91"/>
  <c r="IA271" i="91"/>
  <c r="IA231" i="91"/>
  <c r="IA273" i="91"/>
  <c r="HZ260" i="91"/>
  <c r="HZ234" i="91"/>
  <c r="HZ242" i="91"/>
  <c r="HZ224" i="91"/>
  <c r="HZ239" i="91"/>
  <c r="IA274" i="91"/>
  <c r="IA248" i="91"/>
  <c r="HZ244" i="91"/>
  <c r="HZ272" i="91"/>
  <c r="HZ226" i="91"/>
  <c r="HZ230" i="91"/>
  <c r="HZ267" i="91"/>
  <c r="HZ254" i="91"/>
  <c r="HZ261" i="91"/>
  <c r="HZ278" i="91"/>
  <c r="HZ258" i="91"/>
  <c r="HZ232" i="91"/>
  <c r="HZ248" i="91"/>
  <c r="HZ263" i="91"/>
  <c r="HZ273" i="91"/>
  <c r="HZ236" i="91"/>
  <c r="HZ233" i="91"/>
  <c r="HZ269" i="91"/>
  <c r="HZ265" i="91"/>
  <c r="HZ276" i="91"/>
  <c r="HZ270" i="91"/>
  <c r="HZ241" i="91"/>
  <c r="HZ245" i="91"/>
  <c r="HZ243" i="91"/>
  <c r="HZ231" i="91"/>
  <c r="HZ238" i="91"/>
  <c r="IA260" i="91"/>
  <c r="IA243" i="91"/>
  <c r="IA225" i="91"/>
  <c r="IA270" i="91"/>
  <c r="IA258" i="91"/>
  <c r="IA237" i="91"/>
  <c r="IA246" i="91"/>
  <c r="IA226" i="91"/>
  <c r="IA239" i="91"/>
  <c r="IA262" i="91"/>
  <c r="IA234" i="91"/>
  <c r="IA223" i="91"/>
  <c r="HZ305" i="91"/>
  <c r="HZ301" i="91"/>
  <c r="HZ299" i="91"/>
  <c r="HZ289" i="91"/>
  <c r="HZ309" i="91"/>
  <c r="HZ293" i="91"/>
  <c r="HZ287" i="91"/>
  <c r="HZ285" i="91"/>
  <c r="HZ303" i="91"/>
  <c r="HZ286" i="91"/>
  <c r="HZ297" i="91"/>
  <c r="HZ307" i="91"/>
  <c r="HZ291" i="91"/>
  <c r="HZ295" i="91"/>
  <c r="HZ294" i="91"/>
  <c r="HZ310" i="91"/>
  <c r="HZ298" i="91"/>
  <c r="HZ288" i="91"/>
  <c r="HZ304" i="91"/>
  <c r="HZ302" i="91"/>
  <c r="HZ308" i="91"/>
  <c r="HZ292" i="91"/>
  <c r="HZ290" i="91"/>
  <c r="HZ306" i="91"/>
  <c r="HZ296" i="91"/>
  <c r="HZ300" i="91"/>
  <c r="IB221" i="91"/>
  <c r="IA257" i="91"/>
  <c r="IA236" i="91"/>
  <c r="IA275" i="91"/>
  <c r="IA268" i="91"/>
  <c r="IA254" i="91"/>
  <c r="IA267" i="91"/>
  <c r="IA233" i="91"/>
  <c r="IA265" i="91"/>
  <c r="IA247" i="91"/>
  <c r="IA238" i="91"/>
  <c r="IA228" i="91"/>
  <c r="IA277" i="91"/>
  <c r="IB262" i="91"/>
  <c r="IA297" i="91"/>
  <c r="IA291" i="91"/>
  <c r="IA288" i="91"/>
  <c r="IA301" i="91"/>
  <c r="IA310" i="91"/>
  <c r="IA295" i="91"/>
  <c r="IA285" i="91"/>
  <c r="IA292" i="91"/>
  <c r="IA308" i="91"/>
  <c r="IA289" i="91"/>
  <c r="IA305" i="91"/>
  <c r="IA290" i="91"/>
  <c r="IA286" i="91"/>
  <c r="IA299" i="91"/>
  <c r="IA296" i="91"/>
  <c r="IA293" i="91"/>
  <c r="IA309" i="91"/>
  <c r="IA298" i="91"/>
  <c r="IA294" i="91"/>
  <c r="IA287" i="91"/>
  <c r="IA303" i="91"/>
  <c r="IA300" i="91"/>
  <c r="IA306" i="91"/>
  <c r="IA302" i="91"/>
  <c r="IA307" i="91"/>
  <c r="IA304" i="91"/>
  <c r="IC221" i="91"/>
  <c r="IB273" i="91"/>
  <c r="IB246" i="91"/>
  <c r="IB257" i="91"/>
  <c r="IB245" i="91"/>
  <c r="IB259" i="91"/>
  <c r="IB243" i="91"/>
  <c r="IB234" i="91"/>
  <c r="IB247" i="91"/>
  <c r="IB241" i="91"/>
  <c r="IB227" i="91"/>
  <c r="IB248" i="91"/>
  <c r="IB279" i="91"/>
  <c r="IC267" i="91"/>
  <c r="IC236" i="91"/>
  <c r="IC272" i="91"/>
  <c r="IC239" i="91"/>
  <c r="IC227" i="91"/>
  <c r="IB224" i="91"/>
  <c r="IB261" i="91"/>
  <c r="IB238" i="91"/>
  <c r="IB233" i="91"/>
  <c r="IB269" i="91"/>
  <c r="IB256" i="91"/>
  <c r="IB264" i="91"/>
  <c r="IB229" i="91"/>
  <c r="IB232" i="91"/>
  <c r="IB271" i="91"/>
  <c r="IB278" i="91"/>
  <c r="IB267" i="91"/>
  <c r="IB260" i="91"/>
  <c r="IB228" i="91"/>
  <c r="IB254" i="91"/>
  <c r="IB231" i="91"/>
  <c r="IB226" i="91"/>
  <c r="IB274" i="91"/>
  <c r="IB268" i="91"/>
  <c r="IB244" i="91"/>
  <c r="IB237" i="91"/>
  <c r="IB276" i="91"/>
  <c r="IB277" i="91"/>
  <c r="IB235" i="91"/>
  <c r="IC223" i="91"/>
  <c r="IC245" i="91"/>
  <c r="IC244" i="91"/>
  <c r="IC260" i="91"/>
  <c r="IC232" i="91"/>
  <c r="IC270" i="91"/>
  <c r="IC237" i="91"/>
  <c r="IC241" i="91"/>
  <c r="IC274" i="91"/>
  <c r="IC234" i="91"/>
  <c r="IB223" i="91"/>
  <c r="IB255" i="91"/>
  <c r="IC254" i="91"/>
  <c r="IC262" i="91"/>
  <c r="IC271" i="91"/>
  <c r="IC247" i="91"/>
  <c r="IC265" i="91"/>
  <c r="IC246" i="91"/>
  <c r="IC257" i="91"/>
  <c r="IB225" i="91"/>
  <c r="IB242" i="91"/>
  <c r="IB266" i="91"/>
  <c r="IB240" i="91"/>
  <c r="IB270" i="91"/>
  <c r="IB263" i="91"/>
  <c r="IB230" i="91"/>
  <c r="IB258" i="91"/>
  <c r="IB272" i="91"/>
  <c r="IB236" i="91"/>
  <c r="IB265" i="91"/>
  <c r="IB239" i="91"/>
  <c r="IC225" i="91"/>
  <c r="IC242" i="91"/>
  <c r="IC264" i="91"/>
  <c r="IC229" i="91"/>
  <c r="IC240" i="91"/>
  <c r="IC268" i="91"/>
  <c r="IC259" i="91"/>
  <c r="IC224" i="91"/>
  <c r="IC256" i="91"/>
  <c r="IC228" i="91"/>
  <c r="IC255" i="91"/>
  <c r="IC238" i="91"/>
  <c r="IC276" i="91"/>
  <c r="IB275" i="91"/>
  <c r="IC231" i="91"/>
  <c r="IC248" i="91"/>
  <c r="IC261" i="91"/>
  <c r="IC266" i="91"/>
  <c r="IC233" i="91"/>
  <c r="IB297" i="91"/>
  <c r="IB295" i="91"/>
  <c r="IB293" i="91"/>
  <c r="IB286" i="91"/>
  <c r="IB287" i="91"/>
  <c r="IB309" i="91"/>
  <c r="IB307" i="91"/>
  <c r="IB291" i="91"/>
  <c r="IB289" i="91"/>
  <c r="IB303" i="91"/>
  <c r="IB285" i="91"/>
  <c r="IB305" i="91"/>
  <c r="IB301" i="91"/>
  <c r="IB299" i="91"/>
  <c r="IB298" i="91"/>
  <c r="IB288" i="91"/>
  <c r="IB304" i="91"/>
  <c r="IB302" i="91"/>
  <c r="IB292" i="91"/>
  <c r="IB308" i="91"/>
  <c r="IB290" i="91"/>
  <c r="IB306" i="91"/>
  <c r="IB296" i="91"/>
  <c r="IB294" i="91"/>
  <c r="IB310" i="91"/>
  <c r="IB300" i="91"/>
  <c r="ID221" i="91"/>
  <c r="ID259" i="91"/>
  <c r="IC263" i="91"/>
  <c r="IC243" i="91"/>
  <c r="IC277" i="91"/>
  <c r="IC230" i="91"/>
  <c r="IC279" i="91"/>
  <c r="IC273" i="91"/>
  <c r="ID241" i="91"/>
  <c r="ID239" i="91"/>
  <c r="ID269" i="91"/>
  <c r="ID254" i="91"/>
  <c r="IC269" i="91"/>
  <c r="IC258" i="91"/>
  <c r="IC278" i="91"/>
  <c r="IC235" i="91"/>
  <c r="IC226" i="91"/>
  <c r="IC275" i="91"/>
  <c r="ID264" i="91"/>
  <c r="ID256" i="91"/>
  <c r="ID232" i="91"/>
  <c r="ID266" i="91"/>
  <c r="IC285" i="91"/>
  <c r="IC292" i="91"/>
  <c r="IC301" i="91"/>
  <c r="IC302" i="91"/>
  <c r="IC299" i="91"/>
  <c r="IC296" i="91"/>
  <c r="IC289" i="91"/>
  <c r="IC305" i="91"/>
  <c r="IC294" i="91"/>
  <c r="IC286" i="91"/>
  <c r="IC310" i="91"/>
  <c r="IC287" i="91"/>
  <c r="IC303" i="91"/>
  <c r="IC300" i="91"/>
  <c r="IC293" i="91"/>
  <c r="IC309" i="91"/>
  <c r="IC306" i="91"/>
  <c r="IC290" i="91"/>
  <c r="IC291" i="91"/>
  <c r="IC307" i="91"/>
  <c r="IC288" i="91"/>
  <c r="IC304" i="91"/>
  <c r="IC297" i="91"/>
  <c r="IC298" i="91"/>
  <c r="IC295" i="91"/>
  <c r="IC308" i="91"/>
  <c r="IE221" i="91"/>
  <c r="IE228" i="91"/>
  <c r="ID238" i="91"/>
  <c r="ID271" i="91"/>
  <c r="ID270" i="91"/>
  <c r="ID267" i="91"/>
  <c r="ID243" i="91"/>
  <c r="ID235" i="91"/>
  <c r="ID274" i="91"/>
  <c r="ID268" i="91"/>
  <c r="ID225" i="91"/>
  <c r="ID258" i="91"/>
  <c r="ID279" i="91"/>
  <c r="ID255" i="91"/>
  <c r="ID228" i="91"/>
  <c r="ID234" i="91"/>
  <c r="ID245" i="91"/>
  <c r="ID273" i="91"/>
  <c r="ID261" i="91"/>
  <c r="ID247" i="91"/>
  <c r="ID275" i="91"/>
  <c r="ID244" i="91"/>
  <c r="ID265" i="91"/>
  <c r="ID223" i="91"/>
  <c r="IE271" i="91"/>
  <c r="IE243" i="91"/>
  <c r="ID262" i="91"/>
  <c r="ID263" i="91"/>
  <c r="ID227" i="91"/>
  <c r="ID229" i="91"/>
  <c r="ID230" i="91"/>
  <c r="ID272" i="91"/>
  <c r="ID242" i="91"/>
  <c r="ID277" i="91"/>
  <c r="ID278" i="91"/>
  <c r="ID276" i="91"/>
  <c r="ID246" i="91"/>
  <c r="ID257" i="91"/>
  <c r="ID248" i="91"/>
  <c r="ID240" i="91"/>
  <c r="ID233" i="91"/>
  <c r="ID237" i="91"/>
  <c r="ID226" i="91"/>
  <c r="ID224" i="91"/>
  <c r="ID260" i="91"/>
  <c r="ID236" i="91"/>
  <c r="ID231" i="91"/>
  <c r="IE272" i="91"/>
  <c r="IE257" i="91"/>
  <c r="IE256" i="91"/>
  <c r="ID285" i="91"/>
  <c r="ID291" i="91"/>
  <c r="ID299" i="91"/>
  <c r="ID287" i="91"/>
  <c r="ID301" i="91"/>
  <c r="ID295" i="91"/>
  <c r="ID297" i="91"/>
  <c r="ID303" i="91"/>
  <c r="ID289" i="91"/>
  <c r="ID309" i="91"/>
  <c r="ID305" i="91"/>
  <c r="ID307" i="91"/>
  <c r="ID293" i="91"/>
  <c r="ID286" i="91"/>
  <c r="ID294" i="91"/>
  <c r="ID310" i="91"/>
  <c r="ID298" i="91"/>
  <c r="ID288" i="91"/>
  <c r="ID304" i="91"/>
  <c r="ID292" i="91"/>
  <c r="ID302" i="91"/>
  <c r="ID308" i="91"/>
  <c r="ID290" i="91"/>
  <c r="ID306" i="91"/>
  <c r="ID296" i="91"/>
  <c r="ID300" i="91"/>
  <c r="IF221" i="91"/>
  <c r="IE232" i="91"/>
  <c r="IE245" i="91"/>
  <c r="IE226" i="91"/>
  <c r="IE276" i="91"/>
  <c r="IE254" i="91"/>
  <c r="IE275" i="91"/>
  <c r="IE233" i="91"/>
  <c r="IE263" i="91"/>
  <c r="IE234" i="91"/>
  <c r="IE229" i="91"/>
  <c r="IE258" i="91"/>
  <c r="IE265" i="91"/>
  <c r="IE244" i="91"/>
  <c r="IE261" i="91"/>
  <c r="IE230" i="91"/>
  <c r="IE246" i="91"/>
  <c r="IE277" i="91"/>
  <c r="IE260" i="91"/>
  <c r="IE235" i="91"/>
  <c r="IE259" i="91"/>
  <c r="IE225" i="91"/>
  <c r="IE223" i="91"/>
  <c r="IE266" i="91"/>
  <c r="IE255" i="91"/>
  <c r="IE248" i="91"/>
  <c r="IE273" i="91"/>
  <c r="IE262" i="91"/>
  <c r="IE240" i="91"/>
  <c r="IE236" i="91"/>
  <c r="IE264" i="91"/>
  <c r="IE238" i="91"/>
  <c r="IE247" i="91"/>
  <c r="IE279" i="91"/>
  <c r="IE242" i="91"/>
  <c r="IE267" i="91"/>
  <c r="IE268" i="91"/>
  <c r="IE269" i="91"/>
  <c r="IE241" i="91"/>
  <c r="IE227" i="91"/>
  <c r="IE239" i="91"/>
  <c r="IE237" i="91"/>
  <c r="IE278" i="91"/>
  <c r="IE270" i="91"/>
  <c r="IE231" i="91"/>
  <c r="IE274" i="91"/>
  <c r="IE224" i="91"/>
  <c r="IF239" i="91"/>
  <c r="IE297" i="91"/>
  <c r="IE298" i="91"/>
  <c r="IE303" i="91"/>
  <c r="IE301" i="91"/>
  <c r="IE302" i="91"/>
  <c r="IE286" i="91"/>
  <c r="IE291" i="91"/>
  <c r="IE307" i="91"/>
  <c r="IE288" i="91"/>
  <c r="IE304" i="91"/>
  <c r="IE289" i="91"/>
  <c r="IE305" i="91"/>
  <c r="IE290" i="91"/>
  <c r="IE310" i="91"/>
  <c r="IE306" i="91"/>
  <c r="IE295" i="91"/>
  <c r="IE285" i="91"/>
  <c r="IE292" i="91"/>
  <c r="IE308" i="91"/>
  <c r="IE293" i="91"/>
  <c r="IE309" i="91"/>
  <c r="IE294" i="91"/>
  <c r="IE299" i="91"/>
  <c r="IE296" i="91"/>
  <c r="IE287" i="91"/>
  <c r="IE300" i="91"/>
  <c r="IG221" i="91"/>
  <c r="IF275" i="91"/>
  <c r="IF262" i="91"/>
  <c r="IF261" i="91"/>
  <c r="IF270" i="91"/>
  <c r="IF279" i="91"/>
  <c r="IF272" i="91"/>
  <c r="IF232" i="91"/>
  <c r="IF227" i="91"/>
  <c r="IF248" i="91"/>
  <c r="IF246" i="91"/>
  <c r="IF224" i="91"/>
  <c r="IF223" i="91"/>
  <c r="IF230" i="91"/>
  <c r="IF274" i="91"/>
  <c r="IF254" i="91"/>
  <c r="IF257" i="91"/>
  <c r="IF260" i="91"/>
  <c r="IF255" i="91"/>
  <c r="IF259" i="91"/>
  <c r="IF240" i="91"/>
  <c r="IF268" i="91"/>
  <c r="IF247" i="91"/>
  <c r="IF236" i="91"/>
  <c r="IF267" i="91"/>
  <c r="IF238" i="91"/>
  <c r="IF263" i="91"/>
  <c r="IF271" i="91"/>
  <c r="IF266" i="91"/>
  <c r="IF269" i="91"/>
  <c r="IF256" i="91"/>
  <c r="IF243" i="91"/>
  <c r="IF241" i="91"/>
  <c r="IF233" i="91"/>
  <c r="IF228" i="91"/>
  <c r="IF235" i="91"/>
  <c r="IF226" i="91"/>
  <c r="IF273" i="91"/>
  <c r="IF234" i="91"/>
  <c r="IF225" i="91"/>
  <c r="IF244" i="91"/>
  <c r="IF265" i="91"/>
  <c r="IF231" i="91"/>
  <c r="IF245" i="91"/>
  <c r="IF277" i="91"/>
  <c r="IF264" i="91"/>
  <c r="IF278" i="91"/>
  <c r="IF276" i="91"/>
  <c r="IF229" i="91"/>
  <c r="IF258" i="91"/>
  <c r="IF242" i="91"/>
  <c r="IF237" i="91"/>
  <c r="IG232" i="91"/>
  <c r="IF299" i="91"/>
  <c r="IF291" i="91"/>
  <c r="IF307" i="91"/>
  <c r="IF293" i="91"/>
  <c r="IF287" i="91"/>
  <c r="IF297" i="91"/>
  <c r="IF295" i="91"/>
  <c r="IF305" i="91"/>
  <c r="IF309" i="91"/>
  <c r="IF285" i="91"/>
  <c r="IF286" i="91"/>
  <c r="IF289" i="91"/>
  <c r="IF301" i="91"/>
  <c r="IF303" i="91"/>
  <c r="IF294" i="91"/>
  <c r="IF300" i="91"/>
  <c r="IF298" i="91"/>
  <c r="IF288" i="91"/>
  <c r="IF304" i="91"/>
  <c r="IF292" i="91"/>
  <c r="IF302" i="91"/>
  <c r="IF308" i="91"/>
  <c r="IF290" i="91"/>
  <c r="IF306" i="91"/>
  <c r="IF296" i="91"/>
  <c r="IF310" i="91"/>
  <c r="IH221" i="91"/>
  <c r="IG265" i="91"/>
  <c r="IG231" i="91"/>
  <c r="IG273" i="91"/>
  <c r="IG275" i="91"/>
  <c r="IG245" i="91"/>
  <c r="IG242" i="91"/>
  <c r="IG262" i="91"/>
  <c r="IG256" i="91"/>
  <c r="IG234" i="91"/>
  <c r="IG230" i="91"/>
  <c r="IG227" i="91"/>
  <c r="IG248" i="91"/>
  <c r="IG274" i="91"/>
  <c r="IG236" i="91"/>
  <c r="IG257" i="91"/>
  <c r="IG239" i="91"/>
  <c r="IG267" i="91"/>
  <c r="IG237" i="91"/>
  <c r="IG226" i="91"/>
  <c r="IG271" i="91"/>
  <c r="IG240" i="91"/>
  <c r="IG228" i="91"/>
  <c r="IG247" i="91"/>
  <c r="IG225" i="91"/>
  <c r="IG263" i="91"/>
  <c r="IG260" i="91"/>
  <c r="IG270" i="91"/>
  <c r="IG266" i="91"/>
  <c r="IG272" i="91"/>
  <c r="IG246" i="91"/>
  <c r="IG259" i="91"/>
  <c r="IG255" i="91"/>
  <c r="IG235" i="91"/>
  <c r="IG277" i="91"/>
  <c r="IG229" i="91"/>
  <c r="IG276" i="91"/>
  <c r="IG223" i="91"/>
  <c r="IG264" i="91"/>
  <c r="IG268" i="91"/>
  <c r="IG279" i="91"/>
  <c r="IG243" i="91"/>
  <c r="IG254" i="91"/>
  <c r="IG224" i="91"/>
  <c r="IG233" i="91"/>
  <c r="IG269" i="91"/>
  <c r="IG244" i="91"/>
  <c r="IG261" i="91"/>
  <c r="IG241" i="91"/>
  <c r="IG278" i="91"/>
  <c r="IG258" i="91"/>
  <c r="IG238" i="91"/>
  <c r="IH237" i="91"/>
  <c r="IG287" i="91"/>
  <c r="IG304" i="91"/>
  <c r="IG297" i="91"/>
  <c r="IG298" i="91"/>
  <c r="IG291" i="91"/>
  <c r="IG307" i="91"/>
  <c r="IG296" i="91"/>
  <c r="IG300" i="91"/>
  <c r="IG293" i="91"/>
  <c r="IG294" i="91"/>
  <c r="IG310" i="91"/>
  <c r="IG292" i="91"/>
  <c r="IG308" i="91"/>
  <c r="IG285" i="91"/>
  <c r="IG301" i="91"/>
  <c r="IG302" i="91"/>
  <c r="IG295" i="91"/>
  <c r="IG289" i="91"/>
  <c r="IG305" i="91"/>
  <c r="IG286" i="91"/>
  <c r="IG306" i="91"/>
  <c r="IG290" i="91"/>
  <c r="IG299" i="91"/>
  <c r="IG309" i="91"/>
  <c r="IG288" i="91"/>
  <c r="IG303" i="91"/>
  <c r="II221" i="91"/>
  <c r="IH267" i="91"/>
  <c r="IH260" i="91"/>
  <c r="IH264" i="91"/>
  <c r="IH230" i="91"/>
  <c r="IH261" i="91"/>
  <c r="IH272" i="91"/>
  <c r="IH271" i="91"/>
  <c r="IH236" i="91"/>
  <c r="IH226" i="91"/>
  <c r="IH227" i="91"/>
  <c r="IH232" i="91"/>
  <c r="IH234" i="91"/>
  <c r="II268" i="91"/>
  <c r="II275" i="91"/>
  <c r="II276" i="91"/>
  <c r="II277" i="91"/>
  <c r="II278" i="91"/>
  <c r="II241" i="91"/>
  <c r="II261" i="91"/>
  <c r="II240" i="91"/>
  <c r="IH258" i="91"/>
  <c r="IH276" i="91"/>
  <c r="IH247" i="91"/>
  <c r="IH268" i="91"/>
  <c r="IH248" i="91"/>
  <c r="IH242" i="91"/>
  <c r="IH245" i="91"/>
  <c r="IH224" i="91"/>
  <c r="IH266" i="91"/>
  <c r="IH240" i="91"/>
  <c r="IH235" i="91"/>
  <c r="IH254" i="91"/>
  <c r="IH243" i="91"/>
  <c r="II259" i="91"/>
  <c r="II256" i="91"/>
  <c r="II246" i="91"/>
  <c r="II238" i="91"/>
  <c r="II227" i="91"/>
  <c r="II274" i="91"/>
  <c r="II264" i="91"/>
  <c r="II258" i="91"/>
  <c r="II237" i="91"/>
  <c r="II242" i="91"/>
  <c r="II255" i="91"/>
  <c r="II236" i="91"/>
  <c r="II232" i="91"/>
  <c r="II247" i="91"/>
  <c r="II260" i="91"/>
  <c r="IH273" i="91"/>
  <c r="IH233" i="91"/>
  <c r="IH274" i="91"/>
  <c r="IH262" i="91"/>
  <c r="IH277" i="91"/>
  <c r="IH241" i="91"/>
  <c r="IH239" i="91"/>
  <c r="IH257" i="91"/>
  <c r="IH229" i="91"/>
  <c r="IH263" i="91"/>
  <c r="IH246" i="91"/>
  <c r="IH244" i="91"/>
  <c r="IH275" i="91"/>
  <c r="II233" i="91"/>
  <c r="II262" i="91"/>
  <c r="II267" i="91"/>
  <c r="II229" i="91"/>
  <c r="II234" i="91"/>
  <c r="II230" i="91"/>
  <c r="II271" i="91"/>
  <c r="IH231" i="91"/>
  <c r="IH259" i="91"/>
  <c r="IH270" i="91"/>
  <c r="IH255" i="91"/>
  <c r="IH238" i="91"/>
  <c r="IH279" i="91"/>
  <c r="IH269" i="91"/>
  <c r="IH228" i="91"/>
  <c r="IH256" i="91"/>
  <c r="IH223" i="91"/>
  <c r="IH278" i="91"/>
  <c r="IH225" i="91"/>
  <c r="IH265" i="91"/>
  <c r="II245" i="91"/>
  <c r="II254" i="91"/>
  <c r="II272" i="91"/>
  <c r="II225" i="91"/>
  <c r="II263" i="91"/>
  <c r="II224" i="91"/>
  <c r="II228" i="91"/>
  <c r="II279" i="91"/>
  <c r="II239" i="91"/>
  <c r="II231" i="91"/>
  <c r="IH293" i="91"/>
  <c r="IH309" i="91"/>
  <c r="IH299" i="91"/>
  <c r="IH298" i="91"/>
  <c r="IH297" i="91"/>
  <c r="IH286" i="91"/>
  <c r="IH302" i="91"/>
  <c r="IH288" i="91"/>
  <c r="IH287" i="91"/>
  <c r="IH307" i="91"/>
  <c r="IH296" i="91"/>
  <c r="IH292" i="91"/>
  <c r="IH285" i="91"/>
  <c r="IH301" i="91"/>
  <c r="IH290" i="91"/>
  <c r="IH306" i="91"/>
  <c r="IH295" i="91"/>
  <c r="IH300" i="91"/>
  <c r="IH308" i="91"/>
  <c r="IH304" i="91"/>
  <c r="IH289" i="91"/>
  <c r="IH305" i="91"/>
  <c r="IH291" i="91"/>
  <c r="IH294" i="91"/>
  <c r="IH310" i="91"/>
  <c r="IH303" i="91"/>
  <c r="II293" i="91"/>
  <c r="IJ221" i="91"/>
  <c r="II265" i="91"/>
  <c r="II273" i="91"/>
  <c r="IJ261" i="91"/>
  <c r="IJ269" i="91"/>
  <c r="II257" i="91"/>
  <c r="II248" i="91"/>
  <c r="II270" i="91"/>
  <c r="II226" i="91"/>
  <c r="II266" i="91"/>
  <c r="II243" i="91"/>
  <c r="IJ244" i="91"/>
  <c r="IJ276" i="91"/>
  <c r="IJ242" i="91"/>
  <c r="IJ224" i="91"/>
  <c r="IJ256" i="91"/>
  <c r="IJ260" i="91"/>
  <c r="IJ239" i="91"/>
  <c r="IJ225" i="91"/>
  <c r="IJ248" i="91"/>
  <c r="IJ238" i="91"/>
  <c r="IJ264" i="91"/>
  <c r="IJ255" i="91"/>
  <c r="IJ265" i="91"/>
  <c r="IJ247" i="91"/>
  <c r="IJ254" i="91"/>
  <c r="IJ262" i="91"/>
  <c r="IJ274" i="91"/>
  <c r="IJ227" i="91"/>
  <c r="IJ231" i="91"/>
  <c r="IJ240" i="91"/>
  <c r="II269" i="91"/>
  <c r="II244" i="91"/>
  <c r="II235" i="91"/>
  <c r="IJ226" i="91"/>
  <c r="IJ273" i="91"/>
  <c r="IJ272" i="91"/>
  <c r="IJ270" i="91"/>
  <c r="IJ266" i="91"/>
  <c r="IJ259" i="91"/>
  <c r="IJ263" i="91"/>
  <c r="IJ277" i="91"/>
  <c r="IJ235" i="91"/>
  <c r="IJ233" i="91"/>
  <c r="IJ275" i="91"/>
  <c r="IJ223" i="91"/>
  <c r="IJ267" i="91"/>
  <c r="II223" i="91"/>
  <c r="IJ271" i="91"/>
  <c r="IJ236" i="91"/>
  <c r="IJ258" i="91"/>
  <c r="IJ228" i="91"/>
  <c r="IJ243" i="91"/>
  <c r="II303" i="91"/>
  <c r="II286" i="91"/>
  <c r="II291" i="91"/>
  <c r="II301" i="91"/>
  <c r="II289" i="91"/>
  <c r="II299" i="91"/>
  <c r="II287" i="91"/>
  <c r="II295" i="91"/>
  <c r="II309" i="91"/>
  <c r="II307" i="91"/>
  <c r="II305" i="91"/>
  <c r="II297" i="91"/>
  <c r="II285" i="91"/>
  <c r="II294" i="91"/>
  <c r="II310" i="91"/>
  <c r="II298" i="91"/>
  <c r="II288" i="91"/>
  <c r="II304" i="91"/>
  <c r="II308" i="91"/>
  <c r="II302" i="91"/>
  <c r="II292" i="91"/>
  <c r="II290" i="91"/>
  <c r="II306" i="91"/>
  <c r="II296" i="91"/>
  <c r="II300" i="91"/>
  <c r="IK221" i="91"/>
  <c r="IK243" i="91"/>
  <c r="IK240" i="91"/>
  <c r="IK226" i="91"/>
  <c r="IK271" i="91"/>
  <c r="IK278" i="91"/>
  <c r="IJ229" i="91"/>
  <c r="IJ241" i="91"/>
  <c r="IJ234" i="91"/>
  <c r="IK273" i="91"/>
  <c r="IK232" i="91"/>
  <c r="IK262" i="91"/>
  <c r="IK237" i="91"/>
  <c r="IK225" i="91"/>
  <c r="IK254" i="91"/>
  <c r="IK247" i="91"/>
  <c r="IK258" i="91"/>
  <c r="IK245" i="91"/>
  <c r="IK242" i="91"/>
  <c r="IK231" i="91"/>
  <c r="IK255" i="91"/>
  <c r="IK239" i="91"/>
  <c r="IJ232" i="91"/>
  <c r="IJ268" i="91"/>
  <c r="IK275" i="91"/>
  <c r="IK268" i="91"/>
  <c r="IK246" i="91"/>
  <c r="IK259" i="91"/>
  <c r="IJ237" i="91"/>
  <c r="IK236" i="91"/>
  <c r="IJ245" i="91"/>
  <c r="IJ230" i="91"/>
  <c r="IJ246" i="91"/>
  <c r="IJ279" i="91"/>
  <c r="IJ257" i="91"/>
  <c r="IJ278" i="91"/>
  <c r="IK241" i="91"/>
  <c r="IK224" i="91"/>
  <c r="IK223" i="91"/>
  <c r="IK235" i="91"/>
  <c r="IK266" i="91"/>
  <c r="IK274" i="91"/>
  <c r="IK265" i="91"/>
  <c r="IK269" i="91"/>
  <c r="IK261" i="91"/>
  <c r="IK248" i="91"/>
  <c r="IK230" i="91"/>
  <c r="IK233" i="91"/>
  <c r="IK276" i="91"/>
  <c r="IK244" i="91"/>
  <c r="IK279" i="91"/>
  <c r="IK228" i="91"/>
  <c r="IK234" i="91"/>
  <c r="IJ288" i="91"/>
  <c r="IJ287" i="91"/>
  <c r="IJ304" i="91"/>
  <c r="IJ297" i="91"/>
  <c r="IJ302" i="91"/>
  <c r="IJ291" i="91"/>
  <c r="IJ307" i="91"/>
  <c r="IJ296" i="91"/>
  <c r="IJ293" i="91"/>
  <c r="IJ309" i="91"/>
  <c r="IJ306" i="91"/>
  <c r="IJ303" i="91"/>
  <c r="IJ292" i="91"/>
  <c r="IJ308" i="91"/>
  <c r="IJ285" i="91"/>
  <c r="IJ301" i="91"/>
  <c r="IJ310" i="91"/>
  <c r="IJ286" i="91"/>
  <c r="IJ295" i="91"/>
  <c r="IJ289" i="91"/>
  <c r="IJ290" i="91"/>
  <c r="IJ298" i="91"/>
  <c r="IJ299" i="91"/>
  <c r="IJ305" i="91"/>
  <c r="IJ300" i="91"/>
  <c r="IJ294" i="91"/>
  <c r="IL221" i="91"/>
  <c r="IL244" i="91"/>
  <c r="IK256" i="91"/>
  <c r="IK238" i="91"/>
  <c r="IK267" i="91"/>
  <c r="IK264" i="91"/>
  <c r="IK277" i="91"/>
  <c r="IK263" i="91"/>
  <c r="IL266" i="91"/>
  <c r="IL273" i="91"/>
  <c r="IK272" i="91"/>
  <c r="IK227" i="91"/>
  <c r="IK270" i="91"/>
  <c r="IK260" i="91"/>
  <c r="IK229" i="91"/>
  <c r="IK257" i="91"/>
  <c r="IL278" i="91"/>
  <c r="IL240" i="91"/>
  <c r="IK296" i="91"/>
  <c r="IK297" i="91"/>
  <c r="IK286" i="91"/>
  <c r="IK302" i="91"/>
  <c r="IK304" i="91"/>
  <c r="IK301" i="91"/>
  <c r="IK290" i="91"/>
  <c r="IK287" i="91"/>
  <c r="IK292" i="91"/>
  <c r="IK285" i="91"/>
  <c r="IK306" i="91"/>
  <c r="IK308" i="91"/>
  <c r="IK289" i="91"/>
  <c r="IK305" i="91"/>
  <c r="IK295" i="91"/>
  <c r="IK291" i="91"/>
  <c r="IK294" i="91"/>
  <c r="IK310" i="91"/>
  <c r="IK299" i="91"/>
  <c r="IK288" i="91"/>
  <c r="IK293" i="91"/>
  <c r="IK309" i="91"/>
  <c r="IK303" i="91"/>
  <c r="IK298" i="91"/>
  <c r="IK307" i="91"/>
  <c r="IK300" i="91"/>
  <c r="IM221" i="91"/>
  <c r="IL260" i="91"/>
  <c r="IM263" i="91"/>
  <c r="IM260" i="91"/>
  <c r="IM231" i="91"/>
  <c r="IM266" i="91"/>
  <c r="IL272" i="91"/>
  <c r="IL224" i="91"/>
  <c r="IL257" i="91"/>
  <c r="IL276" i="91"/>
  <c r="IL259" i="91"/>
  <c r="IL232" i="91"/>
  <c r="IL223" i="91"/>
  <c r="IL227" i="91"/>
  <c r="IL254" i="91"/>
  <c r="IL237" i="91"/>
  <c r="IL265" i="91"/>
  <c r="IL267" i="91"/>
  <c r="IM261" i="91"/>
  <c r="IM234" i="91"/>
  <c r="IM239" i="91"/>
  <c r="IM226" i="91"/>
  <c r="IM240" i="91"/>
  <c r="IM248" i="91"/>
  <c r="IM269" i="91"/>
  <c r="IM235" i="91"/>
  <c r="IM254" i="91"/>
  <c r="IM262" i="91"/>
  <c r="IM265" i="91"/>
  <c r="IM247" i="91"/>
  <c r="IM276" i="91"/>
  <c r="IL269" i="91"/>
  <c r="IL246" i="91"/>
  <c r="IL226" i="91"/>
  <c r="IL261" i="91"/>
  <c r="IL264" i="91"/>
  <c r="IM241" i="91"/>
  <c r="IM246" i="91"/>
  <c r="IM270" i="91"/>
  <c r="IM230" i="91"/>
  <c r="IM258" i="91"/>
  <c r="IM244" i="91"/>
  <c r="IL234" i="91"/>
  <c r="IL271" i="91"/>
  <c r="IL279" i="91"/>
  <c r="IL258" i="91"/>
  <c r="IL275" i="91"/>
  <c r="IL274" i="91"/>
  <c r="IL235" i="91"/>
  <c r="IM271" i="91"/>
  <c r="IM259" i="91"/>
  <c r="IM238" i="91"/>
  <c r="IM256" i="91"/>
  <c r="IL241" i="91"/>
  <c r="IL268" i="91"/>
  <c r="IL248" i="91"/>
  <c r="IL255" i="91"/>
  <c r="IL245" i="91"/>
  <c r="IL228" i="91"/>
  <c r="IL236" i="91"/>
  <c r="IL239" i="91"/>
  <c r="IL277" i="91"/>
  <c r="IL225" i="91"/>
  <c r="IL256" i="91"/>
  <c r="IL263" i="91"/>
  <c r="IL229" i="91"/>
  <c r="IL243" i="91"/>
  <c r="IL270" i="91"/>
  <c r="IL230" i="91"/>
  <c r="IL242" i="91"/>
  <c r="IL247" i="91"/>
  <c r="IL231" i="91"/>
  <c r="IL233" i="91"/>
  <c r="IL262" i="91"/>
  <c r="IL238" i="91"/>
  <c r="IM279" i="91"/>
  <c r="IM267" i="91"/>
  <c r="IM229" i="91"/>
  <c r="IM273" i="91"/>
  <c r="IM233" i="91"/>
  <c r="IM232" i="91"/>
  <c r="IM242" i="91"/>
  <c r="IM268" i="91"/>
  <c r="IM223" i="91"/>
  <c r="IM245" i="91"/>
  <c r="IM243" i="91"/>
  <c r="IM225" i="91"/>
  <c r="IM227" i="91"/>
  <c r="IL305" i="91"/>
  <c r="IL289" i="91"/>
  <c r="IL295" i="91"/>
  <c r="IL297" i="91"/>
  <c r="IL299" i="91"/>
  <c r="IL287" i="91"/>
  <c r="IL309" i="91"/>
  <c r="IL301" i="91"/>
  <c r="IL293" i="91"/>
  <c r="IL285" i="91"/>
  <c r="IL307" i="91"/>
  <c r="IL303" i="91"/>
  <c r="IL286" i="91"/>
  <c r="IL291" i="91"/>
  <c r="IL294" i="91"/>
  <c r="IL300" i="91"/>
  <c r="IL298" i="91"/>
  <c r="IL288" i="91"/>
  <c r="IL304" i="91"/>
  <c r="IL292" i="91"/>
  <c r="IL302" i="91"/>
  <c r="IL308" i="91"/>
  <c r="IL290" i="91"/>
  <c r="IL306" i="91"/>
  <c r="IL296" i="91"/>
  <c r="IL310" i="91"/>
  <c r="IN221" i="91"/>
  <c r="IM257" i="91"/>
  <c r="IM255" i="91"/>
  <c r="IM275" i="91"/>
  <c r="IM278" i="91"/>
  <c r="IN232" i="91"/>
  <c r="IN228" i="91"/>
  <c r="IN235" i="91"/>
  <c r="IN262" i="91"/>
  <c r="IM237" i="91"/>
  <c r="IM228" i="91"/>
  <c r="IM274" i="91"/>
  <c r="IN239" i="91"/>
  <c r="IM224" i="91"/>
  <c r="IN227" i="91"/>
  <c r="IN259" i="91"/>
  <c r="IN271" i="91"/>
  <c r="IN242" i="91"/>
  <c r="IN269" i="91"/>
  <c r="IM277" i="91"/>
  <c r="IM272" i="91"/>
  <c r="IM236" i="91"/>
  <c r="IM264" i="91"/>
  <c r="IN226" i="91"/>
  <c r="IN255" i="91"/>
  <c r="IN224" i="91"/>
  <c r="IN278" i="91"/>
  <c r="IN233" i="91"/>
  <c r="IM309" i="91"/>
  <c r="IM310" i="91"/>
  <c r="IM287" i="91"/>
  <c r="IM300" i="91"/>
  <c r="IM297" i="91"/>
  <c r="IM298" i="91"/>
  <c r="IM288" i="91"/>
  <c r="IM294" i="91"/>
  <c r="IM291" i="91"/>
  <c r="IM307" i="91"/>
  <c r="IM304" i="91"/>
  <c r="IM301" i="91"/>
  <c r="IM295" i="91"/>
  <c r="IM285" i="91"/>
  <c r="IM302" i="91"/>
  <c r="IM292" i="91"/>
  <c r="IM308" i="91"/>
  <c r="IM289" i="91"/>
  <c r="IM305" i="91"/>
  <c r="IM286" i="91"/>
  <c r="IM306" i="91"/>
  <c r="IM299" i="91"/>
  <c r="IM296" i="91"/>
  <c r="IM293" i="91"/>
  <c r="IM290" i="91"/>
  <c r="IM303" i="91"/>
  <c r="IO221" i="91"/>
  <c r="IN276" i="91"/>
  <c r="IN267" i="91"/>
  <c r="IN234" i="91"/>
  <c r="IN238" i="91"/>
  <c r="IN231" i="91"/>
  <c r="IN225" i="91"/>
  <c r="IN258" i="91"/>
  <c r="IN273" i="91"/>
  <c r="IN229" i="91"/>
  <c r="IN261" i="91"/>
  <c r="IO259" i="91"/>
  <c r="IO267" i="91"/>
  <c r="IO273" i="91"/>
  <c r="IO254" i="91"/>
  <c r="IN230" i="91"/>
  <c r="IN241" i="91"/>
  <c r="IN236" i="91"/>
  <c r="IN245" i="91"/>
  <c r="IN260" i="91"/>
  <c r="IN243" i="91"/>
  <c r="IN240" i="91"/>
  <c r="IN264" i="91"/>
  <c r="IN272" i="91"/>
  <c r="IN257" i="91"/>
  <c r="IN248" i="91"/>
  <c r="IN279" i="91"/>
  <c r="IN237" i="91"/>
  <c r="IN254" i="91"/>
  <c r="IN244" i="91"/>
  <c r="IO243" i="91"/>
  <c r="IO278" i="91"/>
  <c r="IO275" i="91"/>
  <c r="IO230" i="91"/>
  <c r="IO271" i="91"/>
  <c r="IO248" i="91"/>
  <c r="IO263" i="91"/>
  <c r="IO235" i="91"/>
  <c r="IO261" i="91"/>
  <c r="IO224" i="91"/>
  <c r="IN274" i="91"/>
  <c r="IN247" i="91"/>
  <c r="IN270" i="91"/>
  <c r="IO272" i="91"/>
  <c r="IO223" i="91"/>
  <c r="IO264" i="91"/>
  <c r="IO256" i="91"/>
  <c r="IO277" i="91"/>
  <c r="IO226" i="91"/>
  <c r="IO242" i="91"/>
  <c r="IN268" i="91"/>
  <c r="IN256" i="91"/>
  <c r="IN246" i="91"/>
  <c r="IN223" i="91"/>
  <c r="IN263" i="91"/>
  <c r="IN266" i="91"/>
  <c r="IN275" i="91"/>
  <c r="IN265" i="91"/>
  <c r="IN277" i="91"/>
  <c r="IO229" i="91"/>
  <c r="IO262" i="91"/>
  <c r="IO245" i="91"/>
  <c r="IO276" i="91"/>
  <c r="IO260" i="91"/>
  <c r="IO231" i="91"/>
  <c r="IO237" i="91"/>
  <c r="IO274" i="91"/>
  <c r="IO279" i="91"/>
  <c r="IO234" i="91"/>
  <c r="IO257" i="91"/>
  <c r="IO265" i="91"/>
  <c r="IO270" i="91"/>
  <c r="IO239" i="91"/>
  <c r="IO266" i="91"/>
  <c r="IO247" i="91"/>
  <c r="IO269" i="91"/>
  <c r="IO232" i="91"/>
  <c r="IO227" i="91"/>
  <c r="IN296" i="91"/>
  <c r="IN297" i="91"/>
  <c r="IN302" i="91"/>
  <c r="IN298" i="91"/>
  <c r="IN299" i="91"/>
  <c r="IN300" i="91"/>
  <c r="IN285" i="91"/>
  <c r="IN287" i="91"/>
  <c r="IN303" i="91"/>
  <c r="IN301" i="91"/>
  <c r="IN310" i="91"/>
  <c r="IN306" i="91"/>
  <c r="IN304" i="91"/>
  <c r="IN289" i="91"/>
  <c r="IN305" i="91"/>
  <c r="IN290" i="91"/>
  <c r="IN288" i="91"/>
  <c r="IN291" i="91"/>
  <c r="IN307" i="91"/>
  <c r="IN292" i="91"/>
  <c r="IN308" i="91"/>
  <c r="IN293" i="91"/>
  <c r="IN309" i="91"/>
  <c r="IN294" i="91"/>
  <c r="IN286" i="91"/>
  <c r="IN295" i="91"/>
  <c r="IO309" i="91"/>
  <c r="IO307" i="91"/>
  <c r="IO293" i="91"/>
  <c r="IP221" i="91"/>
  <c r="IO236" i="91"/>
  <c r="IO255" i="91"/>
  <c r="IO241" i="91"/>
  <c r="IO233" i="91"/>
  <c r="IO258" i="91"/>
  <c r="IO238" i="91"/>
  <c r="IO240" i="91"/>
  <c r="IO244" i="91"/>
  <c r="IO225" i="91"/>
  <c r="IO268" i="91"/>
  <c r="IO228" i="91"/>
  <c r="IO246" i="91"/>
  <c r="IP264" i="91"/>
  <c r="IO303" i="91"/>
  <c r="IO297" i="91"/>
  <c r="IO301" i="91"/>
  <c r="IO286" i="91"/>
  <c r="IO295" i="91"/>
  <c r="IO287" i="91"/>
  <c r="IO305" i="91"/>
  <c r="IO289" i="91"/>
  <c r="IO299" i="91"/>
  <c r="IO291" i="91"/>
  <c r="IO285" i="91"/>
  <c r="IO294" i="91"/>
  <c r="IO298" i="91"/>
  <c r="IO288" i="91"/>
  <c r="IO304" i="91"/>
  <c r="IO292" i="91"/>
  <c r="IO308" i="91"/>
  <c r="IO302" i="91"/>
  <c r="IO290" i="91"/>
  <c r="IO306" i="91"/>
  <c r="IO296" i="91"/>
  <c r="IO310" i="91"/>
  <c r="IO300" i="91"/>
  <c r="IQ221" i="91"/>
  <c r="IP231" i="91"/>
  <c r="IP244" i="91"/>
  <c r="IP232" i="91"/>
  <c r="IP255" i="91"/>
  <c r="IP258" i="91"/>
  <c r="IP228" i="91"/>
  <c r="IP273" i="91"/>
  <c r="IP259" i="91"/>
  <c r="IP272" i="91"/>
  <c r="IP229" i="91"/>
  <c r="IP243" i="91"/>
  <c r="IP224" i="91"/>
  <c r="IP247" i="91"/>
  <c r="IP236" i="91"/>
  <c r="IP267" i="91"/>
  <c r="IP278" i="91"/>
  <c r="IP242" i="91"/>
  <c r="IP275" i="91"/>
  <c r="IP235" i="91"/>
  <c r="IP254" i="91"/>
  <c r="IP270" i="91"/>
  <c r="IP279" i="91"/>
  <c r="IP266" i="91"/>
  <c r="IP238" i="91"/>
  <c r="IP256" i="91"/>
  <c r="IP246" i="91"/>
  <c r="IP269" i="91"/>
  <c r="IP225" i="91"/>
  <c r="IP239" i="91"/>
  <c r="IP237" i="91"/>
  <c r="IP274" i="91"/>
  <c r="IP226" i="91"/>
  <c r="IP233" i="91"/>
  <c r="IP227" i="91"/>
  <c r="IP248" i="91"/>
  <c r="IP276" i="91"/>
  <c r="IP230" i="91"/>
  <c r="IP240" i="91"/>
  <c r="IP223" i="91"/>
  <c r="IP271" i="91"/>
  <c r="IP241" i="91"/>
  <c r="IP265" i="91"/>
  <c r="IP261" i="91"/>
  <c r="IP277" i="91"/>
  <c r="IP245" i="91"/>
  <c r="IP260" i="91"/>
  <c r="IP262" i="91"/>
  <c r="IP234" i="91"/>
  <c r="IP257" i="91"/>
  <c r="IP268" i="91"/>
  <c r="IP263" i="91"/>
  <c r="IQ274" i="91"/>
  <c r="IP289" i="91"/>
  <c r="IP293" i="91"/>
  <c r="IP294" i="91"/>
  <c r="IP287" i="91"/>
  <c r="IP304" i="91"/>
  <c r="IP297" i="91"/>
  <c r="IP302" i="91"/>
  <c r="IP291" i="91"/>
  <c r="IP307" i="91"/>
  <c r="IP309" i="91"/>
  <c r="IP310" i="91"/>
  <c r="IP292" i="91"/>
  <c r="IP308" i="91"/>
  <c r="IP285" i="91"/>
  <c r="IP301" i="91"/>
  <c r="IP306" i="91"/>
  <c r="IP286" i="91"/>
  <c r="IP295" i="91"/>
  <c r="IP305" i="91"/>
  <c r="IP290" i="91"/>
  <c r="IP288" i="91"/>
  <c r="IP298" i="91"/>
  <c r="IP299" i="91"/>
  <c r="IP296" i="91"/>
  <c r="IP300" i="91"/>
  <c r="IP303" i="91"/>
  <c r="IR221" i="91"/>
  <c r="IQ227" i="91"/>
  <c r="IQ244" i="91"/>
  <c r="IQ267" i="91"/>
  <c r="IQ261" i="91"/>
  <c r="IQ259" i="91"/>
  <c r="IQ240" i="91"/>
  <c r="IQ264" i="91"/>
  <c r="IQ232" i="91"/>
  <c r="IQ233" i="91"/>
  <c r="IQ242" i="91"/>
  <c r="IQ262" i="91"/>
  <c r="IQ234" i="91"/>
  <c r="IR243" i="91"/>
  <c r="IR225" i="91"/>
  <c r="IR237" i="91"/>
  <c r="IR257" i="91"/>
  <c r="IR265" i="91"/>
  <c r="IR248" i="91"/>
  <c r="IR277" i="91"/>
  <c r="IQ237" i="91"/>
  <c r="IQ256" i="91"/>
  <c r="IQ257" i="91"/>
  <c r="IQ260" i="91"/>
  <c r="IQ276" i="91"/>
  <c r="IQ254" i="91"/>
  <c r="IQ269" i="91"/>
  <c r="IQ229" i="91"/>
  <c r="IQ279" i="91"/>
  <c r="IQ263" i="91"/>
  <c r="IQ272" i="91"/>
  <c r="IQ226" i="91"/>
  <c r="IQ243" i="91"/>
  <c r="IR245" i="91"/>
  <c r="IR263" i="91"/>
  <c r="IR271" i="91"/>
  <c r="IR230" i="91"/>
  <c r="IR264" i="91"/>
  <c r="IR228" i="91"/>
  <c r="IR275" i="91"/>
  <c r="IR267" i="91"/>
  <c r="IR232" i="91"/>
  <c r="IR233" i="91"/>
  <c r="IR241" i="91"/>
  <c r="IR269" i="91"/>
  <c r="IR261" i="91"/>
  <c r="IR247" i="91"/>
  <c r="IR259" i="91"/>
  <c r="IR238" i="91"/>
  <c r="IQ258" i="91"/>
  <c r="IQ236" i="91"/>
  <c r="IQ270" i="91"/>
  <c r="IQ246" i="91"/>
  <c r="IQ225" i="91"/>
  <c r="IQ278" i="91"/>
  <c r="IQ224" i="91"/>
  <c r="IQ271" i="91"/>
  <c r="IQ245" i="91"/>
  <c r="IQ255" i="91"/>
  <c r="IQ230" i="91"/>
  <c r="IQ241" i="91"/>
  <c r="IQ231" i="91"/>
  <c r="IR255" i="91"/>
  <c r="IR239" i="91"/>
  <c r="IR223" i="91"/>
  <c r="IR234" i="91"/>
  <c r="IR256" i="91"/>
  <c r="IR229" i="91"/>
  <c r="IQ275" i="91"/>
  <c r="IQ223" i="91"/>
  <c r="IQ239" i="91"/>
  <c r="IQ266" i="91"/>
  <c r="IQ238" i="91"/>
  <c r="IQ248" i="91"/>
  <c r="IQ247" i="91"/>
  <c r="IQ273" i="91"/>
  <c r="IQ235" i="91"/>
  <c r="IQ265" i="91"/>
  <c r="IQ268" i="91"/>
  <c r="IQ277" i="91"/>
  <c r="IQ228" i="91"/>
  <c r="IR254" i="91"/>
  <c r="IR272" i="91"/>
  <c r="IR262" i="91"/>
  <c r="IR240" i="91"/>
  <c r="IR258" i="91"/>
  <c r="IR246" i="91"/>
  <c r="IR260" i="91"/>
  <c r="IR236" i="91"/>
  <c r="IR273" i="91"/>
  <c r="IR268" i="91"/>
  <c r="IR279" i="91"/>
  <c r="IQ292" i="91"/>
  <c r="IQ289" i="91"/>
  <c r="IQ305" i="91"/>
  <c r="IQ295" i="91"/>
  <c r="IQ291" i="91"/>
  <c r="IQ304" i="91"/>
  <c r="IQ286" i="91"/>
  <c r="IQ302" i="91"/>
  <c r="IQ308" i="91"/>
  <c r="IQ309" i="91"/>
  <c r="IQ290" i="91"/>
  <c r="IQ306" i="91"/>
  <c r="IQ287" i="91"/>
  <c r="IQ293" i="91"/>
  <c r="IQ303" i="91"/>
  <c r="IQ297" i="91"/>
  <c r="IQ288" i="91"/>
  <c r="IQ294" i="91"/>
  <c r="IQ310" i="91"/>
  <c r="IQ299" i="91"/>
  <c r="IQ300" i="91"/>
  <c r="IQ285" i="91"/>
  <c r="IQ301" i="91"/>
  <c r="IQ296" i="91"/>
  <c r="IQ298" i="91"/>
  <c r="IQ307" i="91"/>
  <c r="IR285" i="91"/>
  <c r="IS221" i="91"/>
  <c r="IR224" i="91"/>
  <c r="IR244" i="91"/>
  <c r="IR276" i="91"/>
  <c r="IS226" i="91"/>
  <c r="IS255" i="91"/>
  <c r="IS260" i="91"/>
  <c r="IS234" i="91"/>
  <c r="IS238" i="91"/>
  <c r="IS279" i="91"/>
  <c r="IS227" i="91"/>
  <c r="IR231" i="91"/>
  <c r="IR235" i="91"/>
  <c r="IR274" i="91"/>
  <c r="IS230" i="91"/>
  <c r="IS274" i="91"/>
  <c r="IS235" i="91"/>
  <c r="IS229" i="91"/>
  <c r="IS257" i="91"/>
  <c r="IS272" i="91"/>
  <c r="IS242" i="91"/>
  <c r="IS275" i="91"/>
  <c r="IS239" i="91"/>
  <c r="IS246" i="91"/>
  <c r="IR270" i="91"/>
  <c r="IR227" i="91"/>
  <c r="IR226" i="91"/>
  <c r="IS248" i="91"/>
  <c r="IS231" i="91"/>
  <c r="IS237" i="91"/>
  <c r="IS268" i="91"/>
  <c r="IS256" i="91"/>
  <c r="IS262" i="91"/>
  <c r="IS271" i="91"/>
  <c r="IR278" i="91"/>
  <c r="IR266" i="91"/>
  <c r="IR242" i="91"/>
  <c r="IS270" i="91"/>
  <c r="IS247" i="91"/>
  <c r="IS254" i="91"/>
  <c r="IS273" i="91"/>
  <c r="IS265" i="91"/>
  <c r="IS240" i="91"/>
  <c r="IS278" i="91"/>
  <c r="IS264" i="91"/>
  <c r="IS269" i="91"/>
  <c r="IS261" i="91"/>
  <c r="IS276" i="91"/>
  <c r="IS228" i="91"/>
  <c r="IS224" i="91"/>
  <c r="IS277" i="91"/>
  <c r="IS223" i="91"/>
  <c r="IS266" i="91"/>
  <c r="IR286" i="91"/>
  <c r="IR303" i="91"/>
  <c r="IR293" i="91"/>
  <c r="IR295" i="91"/>
  <c r="IR301" i="91"/>
  <c r="IR291" i="91"/>
  <c r="IR297" i="91"/>
  <c r="IR289" i="91"/>
  <c r="IR299" i="91"/>
  <c r="IR287" i="91"/>
  <c r="IR305" i="91"/>
  <c r="IR309" i="91"/>
  <c r="IR307" i="91"/>
  <c r="IR298" i="91"/>
  <c r="IR288" i="91"/>
  <c r="IR304" i="91"/>
  <c r="IR302" i="91"/>
  <c r="IR292" i="91"/>
  <c r="IR308" i="91"/>
  <c r="IR290" i="91"/>
  <c r="IR306" i="91"/>
  <c r="IR296" i="91"/>
  <c r="IR294" i="91"/>
  <c r="IR310" i="91"/>
  <c r="IR300" i="91"/>
  <c r="IT221" i="91"/>
  <c r="IS241" i="91"/>
  <c r="IT241" i="91"/>
  <c r="IT275" i="91"/>
  <c r="IT266" i="91"/>
  <c r="IT235" i="91"/>
  <c r="IT247" i="91"/>
  <c r="IT268" i="91"/>
  <c r="IT228" i="91"/>
  <c r="IS225" i="91"/>
  <c r="IS233" i="91"/>
  <c r="IS245" i="91"/>
  <c r="IT270" i="91"/>
  <c r="IT238" i="91"/>
  <c r="IT256" i="91"/>
  <c r="IT225" i="91"/>
  <c r="IT263" i="91"/>
  <c r="IT276" i="91"/>
  <c r="IT233" i="91"/>
  <c r="IT255" i="91"/>
  <c r="IT269" i="91"/>
  <c r="IT277" i="91"/>
  <c r="IT265" i="91"/>
  <c r="IT240" i="91"/>
  <c r="IT261" i="91"/>
  <c r="IT229" i="91"/>
  <c r="IT242" i="91"/>
  <c r="IT226" i="91"/>
  <c r="IT246" i="91"/>
  <c r="IS243" i="91"/>
  <c r="IS258" i="91"/>
  <c r="IS236" i="91"/>
  <c r="IT243" i="91"/>
  <c r="IT239" i="91"/>
  <c r="IT227" i="91"/>
  <c r="IT234" i="91"/>
  <c r="IT273" i="91"/>
  <c r="IS244" i="91"/>
  <c r="IS232" i="91"/>
  <c r="IS259" i="91"/>
  <c r="IS267" i="91"/>
  <c r="IS263" i="91"/>
  <c r="IT259" i="91"/>
  <c r="IT245" i="91"/>
  <c r="IT260" i="91"/>
  <c r="IT272" i="91"/>
  <c r="IT271" i="91"/>
  <c r="IT254" i="91"/>
  <c r="IT230" i="91"/>
  <c r="IT257" i="91"/>
  <c r="IT231" i="91"/>
  <c r="IT244" i="91"/>
  <c r="IT224" i="91"/>
  <c r="IS300" i="91"/>
  <c r="IS289" i="91"/>
  <c r="IS305" i="91"/>
  <c r="IS286" i="91"/>
  <c r="IS303" i="91"/>
  <c r="IS304" i="91"/>
  <c r="IS293" i="91"/>
  <c r="IS309" i="91"/>
  <c r="IS294" i="91"/>
  <c r="IS291" i="91"/>
  <c r="IS307" i="91"/>
  <c r="IS292" i="91"/>
  <c r="IS308" i="91"/>
  <c r="IS297" i="91"/>
  <c r="IS302" i="91"/>
  <c r="IS290" i="91"/>
  <c r="IS295" i="91"/>
  <c r="IS296" i="91"/>
  <c r="IS285" i="91"/>
  <c r="IS301" i="91"/>
  <c r="IS306" i="91"/>
  <c r="IS298" i="91"/>
  <c r="IS299" i="91"/>
  <c r="IS288" i="91"/>
  <c r="IS310" i="91"/>
  <c r="IS287" i="91"/>
  <c r="IT307" i="91"/>
  <c r="IT303" i="91"/>
  <c r="IT301" i="91"/>
  <c r="IT297" i="91"/>
  <c r="IT291" i="91"/>
  <c r="IT287" i="91"/>
  <c r="IT286" i="91"/>
  <c r="IU221" i="91"/>
  <c r="IT267" i="91"/>
  <c r="IT274" i="91"/>
  <c r="IT278" i="91"/>
  <c r="IU247" i="91"/>
  <c r="IU243" i="91"/>
  <c r="IU229" i="91"/>
  <c r="IU224" i="91"/>
  <c r="IT232" i="91"/>
  <c r="IT262" i="91"/>
  <c r="IT237" i="91"/>
  <c r="IU255" i="91"/>
  <c r="IT264" i="91"/>
  <c r="IT223" i="91"/>
  <c r="IU232" i="91"/>
  <c r="IU268" i="91"/>
  <c r="IU246" i="91"/>
  <c r="IU236" i="91"/>
  <c r="IU262" i="91"/>
  <c r="IU227" i="91"/>
  <c r="IU256" i="91"/>
  <c r="IU238" i="91"/>
  <c r="IU277" i="91"/>
  <c r="IU230" i="91"/>
  <c r="IT248" i="91"/>
  <c r="IU261" i="91"/>
  <c r="IU278" i="91"/>
  <c r="IU237" i="91"/>
  <c r="IU272" i="91"/>
  <c r="IU258" i="91"/>
  <c r="IU245" i="91"/>
  <c r="IU244" i="91"/>
  <c r="IT236" i="91"/>
  <c r="IT258" i="91"/>
  <c r="IT279" i="91"/>
  <c r="IU264" i="91"/>
  <c r="IU266" i="91"/>
  <c r="IU234" i="91"/>
  <c r="IU231" i="91"/>
  <c r="IU260" i="91"/>
  <c r="IU263" i="91"/>
  <c r="IU225" i="91"/>
  <c r="IU240" i="91"/>
  <c r="IU239" i="91"/>
  <c r="IU257" i="91"/>
  <c r="IU259" i="91"/>
  <c r="IU241" i="91"/>
  <c r="IU226" i="91"/>
  <c r="IU242" i="91"/>
  <c r="IU223" i="91"/>
  <c r="IU228" i="91"/>
  <c r="IU267" i="91"/>
  <c r="IU269" i="91"/>
  <c r="IU279" i="91"/>
  <c r="IT289" i="91"/>
  <c r="IT285" i="91"/>
  <c r="IT295" i="91"/>
  <c r="IT299" i="91"/>
  <c r="IT293" i="91"/>
  <c r="IT305" i="91"/>
  <c r="IT309" i="91"/>
  <c r="IT298" i="91"/>
  <c r="IT288" i="91"/>
  <c r="IT304" i="91"/>
  <c r="IT302" i="91"/>
  <c r="IT292" i="91"/>
  <c r="IT308" i="91"/>
  <c r="IT290" i="91"/>
  <c r="IT306" i="91"/>
  <c r="IT296" i="91"/>
  <c r="IT294" i="91"/>
  <c r="IT310" i="91"/>
  <c r="IT300" i="91"/>
  <c r="IV221" i="91"/>
  <c r="IU274" i="91"/>
  <c r="IU248" i="91"/>
  <c r="IU265" i="91"/>
  <c r="IV264" i="91"/>
  <c r="IV260" i="91"/>
  <c r="IV243" i="91"/>
  <c r="IV261" i="91"/>
  <c r="IV228" i="91"/>
  <c r="IV230" i="91"/>
  <c r="IU254" i="91"/>
  <c r="IV275" i="91"/>
  <c r="IV274" i="91"/>
  <c r="IV231" i="91"/>
  <c r="IV233" i="91"/>
  <c r="IV240" i="91"/>
  <c r="IU271" i="91"/>
  <c r="IU233" i="91"/>
  <c r="IV224" i="91"/>
  <c r="IV266" i="91"/>
  <c r="IV238" i="91"/>
  <c r="IV242" i="91"/>
  <c r="IV276" i="91"/>
  <c r="IV277" i="91"/>
  <c r="IU276" i="91"/>
  <c r="IV273" i="91"/>
  <c r="IV272" i="91"/>
  <c r="IV225" i="91"/>
  <c r="IV241" i="91"/>
  <c r="IU235" i="91"/>
  <c r="IU270" i="91"/>
  <c r="IU273" i="91"/>
  <c r="IV271" i="91"/>
  <c r="IV237" i="91"/>
  <c r="IV235" i="91"/>
  <c r="IV239" i="91"/>
  <c r="IV265" i="91"/>
  <c r="IV232" i="91"/>
  <c r="IV269" i="91"/>
  <c r="IU275" i="91"/>
  <c r="IV279" i="91"/>
  <c r="IV257" i="91"/>
  <c r="IV248" i="91"/>
  <c r="IV227" i="91"/>
  <c r="IV223" i="91"/>
  <c r="IU297" i="91"/>
  <c r="IU290" i="91"/>
  <c r="IU306" i="91"/>
  <c r="IU295" i="91"/>
  <c r="IU285" i="91"/>
  <c r="IU292" i="91"/>
  <c r="IU308" i="91"/>
  <c r="IU301" i="91"/>
  <c r="IU294" i="91"/>
  <c r="IU310" i="91"/>
  <c r="IU299" i="91"/>
  <c r="IU296" i="91"/>
  <c r="IU289" i="91"/>
  <c r="IU305" i="91"/>
  <c r="IU298" i="91"/>
  <c r="IU287" i="91"/>
  <c r="IU303" i="91"/>
  <c r="IU300" i="91"/>
  <c r="IU293" i="91"/>
  <c r="IU309" i="91"/>
  <c r="IU286" i="91"/>
  <c r="IU302" i="91"/>
  <c r="IU291" i="91"/>
  <c r="IU307" i="91"/>
  <c r="IU288" i="91"/>
  <c r="IU304" i="91"/>
  <c r="IW221" i="91"/>
  <c r="IW241" i="91"/>
  <c r="IW265" i="91"/>
  <c r="IW275" i="91"/>
  <c r="IV268" i="91"/>
  <c r="IV244" i="91"/>
  <c r="IV246" i="91"/>
  <c r="IV229" i="91"/>
  <c r="IV267" i="91"/>
  <c r="IW266" i="91"/>
  <c r="IW256" i="91"/>
  <c r="IW232" i="91"/>
  <c r="IW231" i="91"/>
  <c r="IW233" i="91"/>
  <c r="IW242" i="91"/>
  <c r="IW240" i="91"/>
  <c r="IW279" i="91"/>
  <c r="IW277" i="91"/>
  <c r="IW278" i="91"/>
  <c r="IW248" i="91"/>
  <c r="IW274" i="91"/>
  <c r="IW239" i="91"/>
  <c r="IV247" i="91"/>
  <c r="IV263" i="91"/>
  <c r="IV259" i="91"/>
  <c r="IV255" i="91"/>
  <c r="IW263" i="91"/>
  <c r="IW226" i="91"/>
  <c r="IW235" i="91"/>
  <c r="IW270" i="91"/>
  <c r="IW262" i="91"/>
  <c r="IV236" i="91"/>
  <c r="IW246" i="91"/>
  <c r="IV234" i="91"/>
  <c r="IV254" i="91"/>
  <c r="IV278" i="91"/>
  <c r="IV262" i="91"/>
  <c r="IV270" i="91"/>
  <c r="IV245" i="91"/>
  <c r="IV226" i="91"/>
  <c r="IV258" i="91"/>
  <c r="IV256" i="91"/>
  <c r="IW243" i="91"/>
  <c r="IW267" i="91"/>
  <c r="IW259" i="91"/>
  <c r="IW223" i="91"/>
  <c r="IW276" i="91"/>
  <c r="IW225" i="91"/>
  <c r="IW227" i="91"/>
  <c r="IW257" i="91"/>
  <c r="IW258" i="91"/>
  <c r="IW260" i="91"/>
  <c r="IW224" i="91"/>
  <c r="IW229" i="91"/>
  <c r="IW244" i="91"/>
  <c r="IW228" i="91"/>
  <c r="IW237" i="91"/>
  <c r="IW264" i="91"/>
  <c r="IW245" i="91"/>
  <c r="IW247" i="91"/>
  <c r="IV302" i="91"/>
  <c r="IV291" i="91"/>
  <c r="IV288" i="91"/>
  <c r="IV293" i="91"/>
  <c r="IV309" i="91"/>
  <c r="IV290" i="91"/>
  <c r="IV306" i="91"/>
  <c r="IV300" i="91"/>
  <c r="IV295" i="91"/>
  <c r="IV285" i="91"/>
  <c r="IV292" i="91"/>
  <c r="IV305" i="91"/>
  <c r="IV297" i="91"/>
  <c r="IV294" i="91"/>
  <c r="IV310" i="91"/>
  <c r="IV299" i="91"/>
  <c r="IV296" i="91"/>
  <c r="IV289" i="91"/>
  <c r="IV286" i="91"/>
  <c r="IV307" i="91"/>
  <c r="IV308" i="91"/>
  <c r="IV301" i="91"/>
  <c r="IV298" i="91"/>
  <c r="IV287" i="91"/>
  <c r="IV303" i="91"/>
  <c r="IV304" i="91"/>
  <c r="IX221" i="91"/>
  <c r="IW236" i="91"/>
  <c r="IW269" i="91"/>
  <c r="IW254" i="91"/>
  <c r="IW273" i="91"/>
  <c r="IW271" i="91"/>
  <c r="IW268" i="91"/>
  <c r="IX235" i="91"/>
  <c r="IX267" i="91"/>
  <c r="IX234" i="91"/>
  <c r="IX248" i="91"/>
  <c r="IX270" i="91"/>
  <c r="IX225" i="91"/>
  <c r="IX231" i="91"/>
  <c r="IW272" i="91"/>
  <c r="IW261" i="91"/>
  <c r="IW255" i="91"/>
  <c r="IW238" i="91"/>
  <c r="IW234" i="91"/>
  <c r="IW230" i="91"/>
  <c r="IX224" i="91"/>
  <c r="IX272" i="91"/>
  <c r="IX258" i="91"/>
  <c r="IX244" i="91"/>
  <c r="IX255" i="91"/>
  <c r="IX226" i="91"/>
  <c r="IX257" i="91"/>
  <c r="IX256" i="91"/>
  <c r="IW286" i="91"/>
  <c r="IW305" i="91"/>
  <c r="IW309" i="91"/>
  <c r="IW294" i="91"/>
  <c r="IW310" i="91"/>
  <c r="IW300" i="91"/>
  <c r="IW295" i="91"/>
  <c r="IW289" i="91"/>
  <c r="IW307" i="91"/>
  <c r="IW298" i="91"/>
  <c r="IW288" i="91"/>
  <c r="IW299" i="91"/>
  <c r="IW297" i="91"/>
  <c r="IW293" i="91"/>
  <c r="IW304" i="91"/>
  <c r="IW302" i="91"/>
  <c r="IW292" i="91"/>
  <c r="IW308" i="91"/>
  <c r="IW303" i="91"/>
  <c r="IW301" i="91"/>
  <c r="IW290" i="91"/>
  <c r="IW306" i="91"/>
  <c r="IW296" i="91"/>
  <c r="IW287" i="91"/>
  <c r="IW285" i="91"/>
  <c r="IW291" i="91"/>
  <c r="IY221" i="91"/>
  <c r="IY248" i="91"/>
  <c r="IX269" i="91"/>
  <c r="IX275" i="91"/>
  <c r="IX263" i="91"/>
  <c r="IX241" i="91"/>
  <c r="IX273" i="91"/>
  <c r="IX239" i="91"/>
  <c r="IX254" i="91"/>
  <c r="IX271" i="91"/>
  <c r="IX262" i="91"/>
  <c r="IY272" i="91"/>
  <c r="IY241" i="91"/>
  <c r="IY270" i="91"/>
  <c r="IY278" i="91"/>
  <c r="IY268" i="91"/>
  <c r="IY260" i="91"/>
  <c r="IY264" i="91"/>
  <c r="IY234" i="91"/>
  <c r="IY232" i="91"/>
  <c r="IY269" i="91"/>
  <c r="IY258" i="91"/>
  <c r="IY228" i="91"/>
  <c r="IY277" i="91"/>
  <c r="IX245" i="91"/>
  <c r="IX247" i="91"/>
  <c r="IX276" i="91"/>
  <c r="IX227" i="91"/>
  <c r="IX268" i="91"/>
  <c r="IX223" i="91"/>
  <c r="IX265" i="91"/>
  <c r="IX233" i="91"/>
  <c r="IX260" i="91"/>
  <c r="IY230" i="91"/>
  <c r="IY263" i="91"/>
  <c r="IY245" i="91"/>
  <c r="IY259" i="91"/>
  <c r="IY243" i="91"/>
  <c r="IY276" i="91"/>
  <c r="IY257" i="91"/>
  <c r="IX229" i="91"/>
  <c r="IX279" i="91"/>
  <c r="IX274" i="91"/>
  <c r="IX236" i="91"/>
  <c r="IX243" i="91"/>
  <c r="IX230" i="91"/>
  <c r="IX266" i="91"/>
  <c r="IX240" i="91"/>
  <c r="IX259" i="91"/>
  <c r="IX261" i="91"/>
  <c r="IX232" i="91"/>
  <c r="IX242" i="91"/>
  <c r="IX237" i="91"/>
  <c r="IX228" i="91"/>
  <c r="IX246" i="91"/>
  <c r="IX264" i="91"/>
  <c r="IX277" i="91"/>
  <c r="IX238" i="91"/>
  <c r="IX278" i="91"/>
  <c r="IY233" i="91"/>
  <c r="IY274" i="91"/>
  <c r="IY226" i="91"/>
  <c r="IY246" i="91"/>
  <c r="IY227" i="91"/>
  <c r="IY266" i="91"/>
  <c r="IY262" i="91"/>
  <c r="IY225" i="91"/>
  <c r="IY239" i="91"/>
  <c r="IY265" i="91"/>
  <c r="IY254" i="91"/>
  <c r="IY261" i="91"/>
  <c r="IY231" i="91"/>
  <c r="IY256" i="91"/>
  <c r="IY223" i="91"/>
  <c r="IY247" i="91"/>
  <c r="IY273" i="91"/>
  <c r="IY255" i="91"/>
  <c r="IY237" i="91"/>
  <c r="IX305" i="91"/>
  <c r="IX309" i="91"/>
  <c r="IX297" i="91"/>
  <c r="IX301" i="91"/>
  <c r="IX293" i="91"/>
  <c r="IX298" i="91"/>
  <c r="IX288" i="91"/>
  <c r="IX304" i="91"/>
  <c r="IX299" i="91"/>
  <c r="IX307" i="91"/>
  <c r="IX303" i="91"/>
  <c r="IX286" i="91"/>
  <c r="IX302" i="91"/>
  <c r="IX292" i="91"/>
  <c r="IX308" i="91"/>
  <c r="IX290" i="91"/>
  <c r="IX306" i="91"/>
  <c r="IX296" i="91"/>
  <c r="IX287" i="91"/>
  <c r="IX285" i="91"/>
  <c r="IX289" i="91"/>
  <c r="IX294" i="91"/>
  <c r="IX310" i="91"/>
  <c r="IX300" i="91"/>
  <c r="IX291" i="91"/>
  <c r="IX295" i="91"/>
  <c r="IY309" i="91"/>
  <c r="IY305" i="91"/>
  <c r="IY303" i="91"/>
  <c r="IY299" i="91"/>
  <c r="IY295" i="91"/>
  <c r="IY293" i="91"/>
  <c r="IZ221" i="91"/>
  <c r="IY240" i="91"/>
  <c r="IY224" i="91"/>
  <c r="IY229" i="91"/>
  <c r="IY244" i="91"/>
  <c r="IY267" i="91"/>
  <c r="IY235" i="91"/>
  <c r="IZ255" i="91"/>
  <c r="IZ256" i="91"/>
  <c r="IY236" i="91"/>
  <c r="IY275" i="91"/>
  <c r="IY279" i="91"/>
  <c r="IY271" i="91"/>
  <c r="IY238" i="91"/>
  <c r="IY242" i="91"/>
  <c r="IZ275" i="91"/>
  <c r="IZ243" i="91"/>
  <c r="IZ245" i="91"/>
  <c r="IZ238" i="91"/>
  <c r="IY297" i="91"/>
  <c r="IY291" i="91"/>
  <c r="IY289" i="91"/>
  <c r="IY286" i="91"/>
  <c r="IY307" i="91"/>
  <c r="IY285" i="91"/>
  <c r="IY301" i="91"/>
  <c r="IY287" i="91"/>
  <c r="IY294" i="91"/>
  <c r="IY310" i="91"/>
  <c r="IY298" i="91"/>
  <c r="IY288" i="91"/>
  <c r="IY304" i="91"/>
  <c r="IY292" i="91"/>
  <c r="IY302" i="91"/>
  <c r="IY308" i="91"/>
  <c r="IY290" i="91"/>
  <c r="IY306" i="91"/>
  <c r="IY296" i="91"/>
  <c r="IY300" i="91"/>
  <c r="JA221" i="91"/>
  <c r="JA229" i="91"/>
  <c r="JA271" i="91"/>
  <c r="IZ235" i="91"/>
  <c r="IZ233" i="91"/>
  <c r="IZ242" i="91"/>
  <c r="IZ239" i="91"/>
  <c r="IZ266" i="91"/>
  <c r="IZ279" i="91"/>
  <c r="IZ271" i="91"/>
  <c r="IZ229" i="91"/>
  <c r="IZ276" i="91"/>
  <c r="IZ248" i="91"/>
  <c r="IZ265" i="91"/>
  <c r="IZ274" i="91"/>
  <c r="IZ223" i="91"/>
  <c r="JA244" i="91"/>
  <c r="JA273" i="91"/>
  <c r="JA255" i="91"/>
  <c r="JA261" i="91"/>
  <c r="JA262" i="91"/>
  <c r="JA234" i="91"/>
  <c r="JA268" i="91"/>
  <c r="JA239" i="91"/>
  <c r="JA254" i="91"/>
  <c r="JA225" i="91"/>
  <c r="JA279" i="91"/>
  <c r="JA258" i="91"/>
  <c r="JA241" i="91"/>
  <c r="JA269" i="91"/>
  <c r="JA240" i="91"/>
  <c r="JA236" i="91"/>
  <c r="JA246" i="91"/>
  <c r="IZ258" i="91"/>
  <c r="IZ237" i="91"/>
  <c r="IZ268" i="91"/>
  <c r="IZ277" i="91"/>
  <c r="JA224" i="91"/>
  <c r="JA226" i="91"/>
  <c r="JA245" i="91"/>
  <c r="JA231" i="91"/>
  <c r="JA265" i="91"/>
  <c r="IZ234" i="91"/>
  <c r="IZ264" i="91"/>
  <c r="IZ247" i="91"/>
  <c r="IZ260" i="91"/>
  <c r="IZ270" i="91"/>
  <c r="IZ225" i="91"/>
  <c r="IZ232" i="91"/>
  <c r="IZ228" i="91"/>
  <c r="IZ226" i="91"/>
  <c r="IZ273" i="91"/>
  <c r="IZ224" i="91"/>
  <c r="IZ272" i="91"/>
  <c r="IZ254" i="91"/>
  <c r="IZ263" i="91"/>
  <c r="IZ236" i="91"/>
  <c r="IZ246" i="91"/>
  <c r="IZ278" i="91"/>
  <c r="IZ244" i="91"/>
  <c r="IZ262" i="91"/>
  <c r="IZ227" i="91"/>
  <c r="IZ261" i="91"/>
  <c r="IZ241" i="91"/>
  <c r="IZ257" i="91"/>
  <c r="JA263" i="91"/>
  <c r="JA276" i="91"/>
  <c r="JA256" i="91"/>
  <c r="JA257" i="91"/>
  <c r="JA232" i="91"/>
  <c r="JA259" i="91"/>
  <c r="JA247" i="91"/>
  <c r="JA264" i="91"/>
  <c r="JA278" i="91"/>
  <c r="IZ230" i="91"/>
  <c r="IZ231" i="91"/>
  <c r="IZ267" i="91"/>
  <c r="IZ259" i="91"/>
  <c r="IZ269" i="91"/>
  <c r="IZ240" i="91"/>
  <c r="JA242" i="91"/>
  <c r="JA237" i="91"/>
  <c r="JA267" i="91"/>
  <c r="JA274" i="91"/>
  <c r="JA223" i="91"/>
  <c r="JA272" i="91"/>
  <c r="JA243" i="91"/>
  <c r="IZ294" i="91"/>
  <c r="IZ288" i="91"/>
  <c r="IZ287" i="91"/>
  <c r="IZ292" i="91"/>
  <c r="IZ285" i="91"/>
  <c r="IZ301" i="91"/>
  <c r="IZ298" i="91"/>
  <c r="IZ291" i="91"/>
  <c r="IZ307" i="91"/>
  <c r="IZ289" i="91"/>
  <c r="IZ295" i="91"/>
  <c r="IZ296" i="91"/>
  <c r="IZ305" i="91"/>
  <c r="IZ286" i="91"/>
  <c r="IZ302" i="91"/>
  <c r="IZ300" i="91"/>
  <c r="IZ306" i="91"/>
  <c r="IZ304" i="91"/>
  <c r="IZ293" i="91"/>
  <c r="IZ309" i="91"/>
  <c r="IZ290" i="91"/>
  <c r="IZ310" i="91"/>
  <c r="IZ308" i="91"/>
  <c r="IZ299" i="91"/>
  <c r="IZ297" i="91"/>
  <c r="IZ303" i="91"/>
  <c r="JB221" i="91"/>
  <c r="JA233" i="91"/>
  <c r="JA270" i="91"/>
  <c r="JA227" i="91"/>
  <c r="JA238" i="91"/>
  <c r="JA260" i="91"/>
  <c r="JA230" i="91"/>
  <c r="JA275" i="91"/>
  <c r="JA235" i="91"/>
  <c r="JA228" i="91"/>
  <c r="JA248" i="91"/>
  <c r="JA277" i="91"/>
  <c r="JA266" i="91"/>
  <c r="JB275" i="91"/>
  <c r="JA310" i="91"/>
  <c r="JA287" i="91"/>
  <c r="JA303" i="91"/>
  <c r="JA300" i="91"/>
  <c r="JA290" i="91"/>
  <c r="JA289" i="91"/>
  <c r="JA305" i="91"/>
  <c r="JA286" i="91"/>
  <c r="JA307" i="91"/>
  <c r="JA288" i="91"/>
  <c r="JA309" i="91"/>
  <c r="JA294" i="91"/>
  <c r="JA291" i="91"/>
  <c r="JA304" i="91"/>
  <c r="JA293" i="91"/>
  <c r="JA295" i="91"/>
  <c r="JA292" i="91"/>
  <c r="JA308" i="91"/>
  <c r="JA297" i="91"/>
  <c r="JA298" i="91"/>
  <c r="JA302" i="91"/>
  <c r="JA299" i="91"/>
  <c r="JA296" i="91"/>
  <c r="JA285" i="91"/>
  <c r="JA301" i="91"/>
  <c r="JA306" i="91"/>
  <c r="JC221" i="91"/>
  <c r="JB237" i="91"/>
  <c r="JB279" i="91"/>
  <c r="JB228" i="91"/>
  <c r="JB231" i="91"/>
  <c r="JB277" i="91"/>
  <c r="JB255" i="91"/>
  <c r="JB239" i="91"/>
  <c r="JB270" i="91"/>
  <c r="JB262" i="91"/>
  <c r="JB247" i="91"/>
  <c r="JB233" i="91"/>
  <c r="JB269" i="91"/>
  <c r="JB238" i="91"/>
  <c r="JB248" i="91"/>
  <c r="JB241" i="91"/>
  <c r="JB243" i="91"/>
  <c r="JB244" i="91"/>
  <c r="JB265" i="91"/>
  <c r="JB229" i="91"/>
  <c r="JB274" i="91"/>
  <c r="JB225" i="91"/>
  <c r="JB242" i="91"/>
  <c r="JB246" i="91"/>
  <c r="JB263" i="91"/>
  <c r="JB223" i="91"/>
  <c r="JB267" i="91"/>
  <c r="JC233" i="91"/>
  <c r="JC276" i="91"/>
  <c r="JC273" i="91"/>
  <c r="JC256" i="91"/>
  <c r="JC268" i="91"/>
  <c r="JB235" i="91"/>
  <c r="JB260" i="91"/>
  <c r="JB276" i="91"/>
  <c r="JB271" i="91"/>
  <c r="JB261" i="91"/>
  <c r="JB266" i="91"/>
  <c r="JB240" i="91"/>
  <c r="JB236" i="91"/>
  <c r="JB245" i="91"/>
  <c r="JB264" i="91"/>
  <c r="JB278" i="91"/>
  <c r="JB226" i="91"/>
  <c r="JB256" i="91"/>
  <c r="JB268" i="91"/>
  <c r="JB224" i="91"/>
  <c r="JB230" i="91"/>
  <c r="JB273" i="91"/>
  <c r="JB234" i="91"/>
  <c r="JB254" i="91"/>
  <c r="JB258" i="91"/>
  <c r="JB257" i="91"/>
  <c r="JB259" i="91"/>
  <c r="JB227" i="91"/>
  <c r="JB272" i="91"/>
  <c r="JB232" i="91"/>
  <c r="JC248" i="91"/>
  <c r="JC244" i="91"/>
  <c r="JC229" i="91"/>
  <c r="JC263" i="91"/>
  <c r="JC242" i="91"/>
  <c r="JB307" i="91"/>
  <c r="JB305" i="91"/>
  <c r="JB293" i="91"/>
  <c r="JB289" i="91"/>
  <c r="JB299" i="91"/>
  <c r="JB297" i="91"/>
  <c r="JB295" i="91"/>
  <c r="JB309" i="91"/>
  <c r="JB301" i="91"/>
  <c r="JB287" i="91"/>
  <c r="JB303" i="91"/>
  <c r="JB286" i="91"/>
  <c r="JB285" i="91"/>
  <c r="JB291" i="91"/>
  <c r="JB294" i="91"/>
  <c r="JB310" i="91"/>
  <c r="JB298" i="91"/>
  <c r="JB288" i="91"/>
  <c r="JB304" i="91"/>
  <c r="JB302" i="91"/>
  <c r="JB308" i="91"/>
  <c r="JB292" i="91"/>
  <c r="JB290" i="91"/>
  <c r="JB306" i="91"/>
  <c r="JB296" i="91"/>
  <c r="JB300" i="91"/>
  <c r="JD221" i="91"/>
  <c r="JC235" i="91"/>
  <c r="JC260" i="91"/>
  <c r="JC243" i="91"/>
  <c r="JC265" i="91"/>
  <c r="JC225" i="91"/>
  <c r="JC227" i="91"/>
  <c r="JC269" i="91"/>
  <c r="JC232" i="91"/>
  <c r="JC259" i="91"/>
  <c r="JC245" i="91"/>
  <c r="JC258" i="91"/>
  <c r="JC247" i="91"/>
  <c r="JC261" i="91"/>
  <c r="JC264" i="91"/>
  <c r="JC266" i="91"/>
  <c r="JC270" i="91"/>
  <c r="JC275" i="91"/>
  <c r="JC257" i="91"/>
  <c r="JC226" i="91"/>
  <c r="JC272" i="91"/>
  <c r="JC279" i="91"/>
  <c r="JC277" i="91"/>
  <c r="JD279" i="91"/>
  <c r="JD258" i="91"/>
  <c r="JC254" i="91"/>
  <c r="JC274" i="91"/>
  <c r="JC231" i="91"/>
  <c r="JC267" i="91"/>
  <c r="JC236" i="91"/>
  <c r="JC237" i="91"/>
  <c r="JC224" i="91"/>
  <c r="JC234" i="91"/>
  <c r="JC262" i="91"/>
  <c r="JC278" i="91"/>
  <c r="JC238" i="91"/>
  <c r="JC246" i="91"/>
  <c r="JC228" i="91"/>
  <c r="JC241" i="91"/>
  <c r="JC240" i="91"/>
  <c r="JC223" i="91"/>
  <c r="JC239" i="91"/>
  <c r="JC230" i="91"/>
  <c r="JC255" i="91"/>
  <c r="JC271" i="91"/>
  <c r="JD265" i="91"/>
  <c r="JD225" i="91"/>
  <c r="JC296" i="91"/>
  <c r="JC310" i="91"/>
  <c r="JC304" i="91"/>
  <c r="JC293" i="91"/>
  <c r="JC309" i="91"/>
  <c r="JC298" i="91"/>
  <c r="JC286" i="91"/>
  <c r="JC291" i="91"/>
  <c r="JC307" i="91"/>
  <c r="JC300" i="91"/>
  <c r="JC289" i="91"/>
  <c r="JC290" i="91"/>
  <c r="JC292" i="91"/>
  <c r="JC308" i="91"/>
  <c r="JC297" i="91"/>
  <c r="JC306" i="91"/>
  <c r="JC294" i="91"/>
  <c r="JC295" i="91"/>
  <c r="JC285" i="91"/>
  <c r="JC301" i="91"/>
  <c r="JC288" i="91"/>
  <c r="JC302" i="91"/>
  <c r="JC299" i="91"/>
  <c r="JC305" i="91"/>
  <c r="JC287" i="91"/>
  <c r="JC303" i="91"/>
  <c r="JE221" i="91"/>
  <c r="JD231" i="91"/>
  <c r="JD271" i="91"/>
  <c r="JD263" i="91"/>
  <c r="JD234" i="91"/>
  <c r="JD256" i="91"/>
  <c r="JD237" i="91"/>
  <c r="JD223" i="91"/>
  <c r="JD260" i="91"/>
  <c r="JD240" i="91"/>
  <c r="JD270" i="91"/>
  <c r="JD241" i="91"/>
  <c r="JD228" i="91"/>
  <c r="JD239" i="91"/>
  <c r="JD226" i="91"/>
  <c r="JD246" i="91"/>
  <c r="JD243" i="91"/>
  <c r="JD262" i="91"/>
  <c r="JD245" i="91"/>
  <c r="JD278" i="91"/>
  <c r="JD264" i="91"/>
  <c r="JD248" i="91"/>
  <c r="JD277" i="91"/>
  <c r="JD266" i="91"/>
  <c r="JD257" i="91"/>
  <c r="JD235" i="91"/>
  <c r="JD232" i="91"/>
  <c r="JD267" i="91"/>
  <c r="JD254" i="91"/>
  <c r="JD268" i="91"/>
  <c r="JD238" i="91"/>
  <c r="JD276" i="91"/>
  <c r="JD275" i="91"/>
  <c r="JD227" i="91"/>
  <c r="JD259" i="91"/>
  <c r="JD255" i="91"/>
  <c r="JD233" i="91"/>
  <c r="JD244" i="91"/>
  <c r="JD229" i="91"/>
  <c r="JD272" i="91"/>
  <c r="JD273" i="91"/>
  <c r="JD224" i="91"/>
  <c r="JD230" i="91"/>
  <c r="JD269" i="91"/>
  <c r="JD247" i="91"/>
  <c r="JD242" i="91"/>
  <c r="JD261" i="91"/>
  <c r="JD274" i="91"/>
  <c r="JD236" i="91"/>
  <c r="JE267" i="91"/>
  <c r="JD288" i="91"/>
  <c r="JD297" i="91"/>
  <c r="JD287" i="91"/>
  <c r="JD307" i="91"/>
  <c r="JD296" i="91"/>
  <c r="JD286" i="91"/>
  <c r="JD302" i="91"/>
  <c r="JD300" i="91"/>
  <c r="JD285" i="91"/>
  <c r="JD308" i="91"/>
  <c r="JD306" i="91"/>
  <c r="JD292" i="91"/>
  <c r="JD301" i="91"/>
  <c r="JD290" i="91"/>
  <c r="JD291" i="91"/>
  <c r="JD304" i="91"/>
  <c r="JD289" i="91"/>
  <c r="JD305" i="91"/>
  <c r="JD295" i="91"/>
  <c r="JD294" i="91"/>
  <c r="JD310" i="91"/>
  <c r="JD303" i="91"/>
  <c r="JD293" i="91"/>
  <c r="JD309" i="91"/>
  <c r="JD299" i="91"/>
  <c r="JD298" i="91"/>
  <c r="JF221" i="91"/>
  <c r="JE225" i="91"/>
  <c r="JF226" i="91"/>
  <c r="JF224" i="91"/>
  <c r="JE262" i="91"/>
  <c r="JE273" i="91"/>
  <c r="JE235" i="91"/>
  <c r="JE241" i="91"/>
  <c r="JE256" i="91"/>
  <c r="JE274" i="91"/>
  <c r="JE272" i="91"/>
  <c r="JE265" i="91"/>
  <c r="JE228" i="91"/>
  <c r="JE254" i="91"/>
  <c r="JE244" i="91"/>
  <c r="JE268" i="91"/>
  <c r="JE259" i="91"/>
  <c r="JE258" i="91"/>
  <c r="JE260" i="91"/>
  <c r="JE275" i="91"/>
  <c r="JE223" i="91"/>
  <c r="JE226" i="91"/>
  <c r="JE245" i="91"/>
  <c r="JE229" i="91"/>
  <c r="JE237" i="91"/>
  <c r="JE246" i="91"/>
  <c r="JE239" i="91"/>
  <c r="JE279" i="91"/>
  <c r="JE261" i="91"/>
  <c r="JE238" i="91"/>
  <c r="JF257" i="91"/>
  <c r="JF262" i="91"/>
  <c r="JF271" i="91"/>
  <c r="JF245" i="91"/>
  <c r="JF240" i="91"/>
  <c r="JF260" i="91"/>
  <c r="JF231" i="91"/>
  <c r="JF236" i="91"/>
  <c r="JF274" i="91"/>
  <c r="JF232" i="91"/>
  <c r="JF258" i="91"/>
  <c r="JF246" i="91"/>
  <c r="JF248" i="91"/>
  <c r="JF259" i="91"/>
  <c r="JF272" i="91"/>
  <c r="JF268" i="91"/>
  <c r="JF238" i="91"/>
  <c r="JF228" i="91"/>
  <c r="JF269" i="91"/>
  <c r="JF255" i="91"/>
  <c r="JF244" i="91"/>
  <c r="JE248" i="91"/>
  <c r="JE269" i="91"/>
  <c r="JE233" i="91"/>
  <c r="JE234" i="91"/>
  <c r="JE255" i="91"/>
  <c r="JE276" i="91"/>
  <c r="JE264" i="91"/>
  <c r="JE224" i="91"/>
  <c r="JE243" i="91"/>
  <c r="JE263" i="91"/>
  <c r="JE277" i="91"/>
  <c r="JE242" i="91"/>
  <c r="JF279" i="91"/>
  <c r="JF264" i="91"/>
  <c r="JF277" i="91"/>
  <c r="JF243" i="91"/>
  <c r="JF275" i="91"/>
  <c r="JF229" i="91"/>
  <c r="JF256" i="91"/>
  <c r="JF266" i="91"/>
  <c r="JF233" i="91"/>
  <c r="JF278" i="91"/>
  <c r="JF227" i="91"/>
  <c r="JF235" i="91"/>
  <c r="JF242" i="91"/>
  <c r="JE236" i="91"/>
  <c r="JE257" i="91"/>
  <c r="JE231" i="91"/>
  <c r="JE230" i="91"/>
  <c r="JE278" i="91"/>
  <c r="JE271" i="91"/>
  <c r="JE266" i="91"/>
  <c r="JE240" i="91"/>
  <c r="JE270" i="91"/>
  <c r="JE227" i="91"/>
  <c r="JE232" i="91"/>
  <c r="JE247" i="91"/>
  <c r="JF239" i="91"/>
  <c r="JF247" i="91"/>
  <c r="JF265" i="91"/>
  <c r="JF237" i="91"/>
  <c r="JE301" i="91"/>
  <c r="JE297" i="91"/>
  <c r="JE291" i="91"/>
  <c r="JE303" i="91"/>
  <c r="JE295" i="91"/>
  <c r="JE285" i="91"/>
  <c r="JE289" i="91"/>
  <c r="JE309" i="91"/>
  <c r="JE299" i="91"/>
  <c r="JE286" i="91"/>
  <c r="JE287" i="91"/>
  <c r="JE305" i="91"/>
  <c r="JE293" i="91"/>
  <c r="JE307" i="91"/>
  <c r="JE294" i="91"/>
  <c r="JE310" i="91"/>
  <c r="JE298" i="91"/>
  <c r="JE288" i="91"/>
  <c r="JE304" i="91"/>
  <c r="JE308" i="91"/>
  <c r="JE302" i="91"/>
  <c r="JE292" i="91"/>
  <c r="JE290" i="91"/>
  <c r="JE306" i="91"/>
  <c r="JE296" i="91"/>
  <c r="JE300" i="91"/>
  <c r="JG221" i="91"/>
  <c r="JF267" i="91"/>
  <c r="JF223" i="91"/>
  <c r="JF234" i="91"/>
  <c r="JF276" i="91"/>
  <c r="JF273" i="91"/>
  <c r="JF254" i="91"/>
  <c r="JG279" i="91"/>
  <c r="JG242" i="91"/>
  <c r="JF263" i="91"/>
  <c r="JF225" i="91"/>
  <c r="JF261" i="91"/>
  <c r="JF230" i="91"/>
  <c r="JF241" i="91"/>
  <c r="JF270" i="91"/>
  <c r="JG226" i="91"/>
  <c r="JG267" i="91"/>
  <c r="JG257" i="91"/>
  <c r="JG235" i="91"/>
  <c r="JF293" i="91"/>
  <c r="JF297" i="91"/>
  <c r="JF303" i="91"/>
  <c r="JF300" i="91"/>
  <c r="JF285" i="91"/>
  <c r="JF301" i="91"/>
  <c r="JF302" i="91"/>
  <c r="JF308" i="91"/>
  <c r="JF291" i="91"/>
  <c r="JF307" i="91"/>
  <c r="JF292" i="91"/>
  <c r="JF309" i="91"/>
  <c r="JF296" i="91"/>
  <c r="JF294" i="91"/>
  <c r="JF298" i="91"/>
  <c r="JF304" i="91"/>
  <c r="JF289" i="91"/>
  <c r="JF305" i="91"/>
  <c r="JF286" i="91"/>
  <c r="JF306" i="91"/>
  <c r="JF295" i="91"/>
  <c r="JF290" i="91"/>
  <c r="JF310" i="91"/>
  <c r="JF299" i="91"/>
  <c r="JF288" i="91"/>
  <c r="JF287" i="91"/>
  <c r="JH221" i="91"/>
  <c r="JH232" i="91"/>
  <c r="JG263" i="91"/>
  <c r="JG255" i="91"/>
  <c r="JG233" i="91"/>
  <c r="JG254" i="91"/>
  <c r="JG245" i="91"/>
  <c r="JG277" i="91"/>
  <c r="JG243" i="91"/>
  <c r="JG227" i="91"/>
  <c r="JG223" i="91"/>
  <c r="JG237" i="91"/>
  <c r="JG275" i="91"/>
  <c r="JG248" i="91"/>
  <c r="JG270" i="91"/>
  <c r="JG264" i="91"/>
  <c r="JG268" i="91"/>
  <c r="JG224" i="91"/>
  <c r="JG278" i="91"/>
  <c r="JG266" i="91"/>
  <c r="JG238" i="91"/>
  <c r="JG230" i="91"/>
  <c r="JG256" i="91"/>
  <c r="JG247" i="91"/>
  <c r="JG240" i="91"/>
  <c r="JH236" i="91"/>
  <c r="JH255" i="91"/>
  <c r="JH245" i="91"/>
  <c r="JG262" i="91"/>
  <c r="JG276" i="91"/>
  <c r="JG273" i="91"/>
  <c r="JG229" i="91"/>
  <c r="JG231" i="91"/>
  <c r="JG225" i="91"/>
  <c r="JG258" i="91"/>
  <c r="JG234" i="91"/>
  <c r="JG271" i="91"/>
  <c r="JG239" i="91"/>
  <c r="JG232" i="91"/>
  <c r="JG246" i="91"/>
  <c r="JG236" i="91"/>
  <c r="JG259" i="91"/>
  <c r="JG244" i="91"/>
  <c r="JG274" i="91"/>
  <c r="JG269" i="91"/>
  <c r="JG260" i="91"/>
  <c r="JG241" i="91"/>
  <c r="JG272" i="91"/>
  <c r="JG228" i="91"/>
  <c r="JG265" i="91"/>
  <c r="JG261" i="91"/>
  <c r="JH270" i="91"/>
  <c r="JH273" i="91"/>
  <c r="JH272" i="91"/>
  <c r="JH268" i="91"/>
  <c r="JG298" i="91"/>
  <c r="JG308" i="91"/>
  <c r="JG289" i="91"/>
  <c r="JG299" i="91"/>
  <c r="JG304" i="91"/>
  <c r="JG302" i="91"/>
  <c r="JG287" i="91"/>
  <c r="JG285" i="91"/>
  <c r="JG286" i="91"/>
  <c r="JG305" i="91"/>
  <c r="JG303" i="91"/>
  <c r="JG290" i="91"/>
  <c r="JG306" i="91"/>
  <c r="JG292" i="91"/>
  <c r="JG309" i="91"/>
  <c r="JG291" i="91"/>
  <c r="JG307" i="91"/>
  <c r="JG297" i="91"/>
  <c r="JG288" i="91"/>
  <c r="JG293" i="91"/>
  <c r="JG294" i="91"/>
  <c r="JG310" i="91"/>
  <c r="JG300" i="91"/>
  <c r="JG295" i="91"/>
  <c r="JG296" i="91"/>
  <c r="JG301" i="91"/>
  <c r="JI221" i="91"/>
  <c r="JH269" i="91"/>
  <c r="JH247" i="91"/>
  <c r="JH224" i="91"/>
  <c r="JH238" i="91"/>
  <c r="JH240" i="91"/>
  <c r="JH229" i="91"/>
  <c r="JI277" i="91"/>
  <c r="JI267" i="91"/>
  <c r="JI257" i="91"/>
  <c r="JI247" i="91"/>
  <c r="JH228" i="91"/>
  <c r="JH231" i="91"/>
  <c r="JH223" i="91"/>
  <c r="JH248" i="91"/>
  <c r="JH262" i="91"/>
  <c r="JH261" i="91"/>
  <c r="JH271" i="91"/>
  <c r="JH264" i="91"/>
  <c r="JH234" i="91"/>
  <c r="JH279" i="91"/>
  <c r="JH241" i="91"/>
  <c r="JH244" i="91"/>
  <c r="JH260" i="91"/>
  <c r="JH275" i="91"/>
  <c r="JH274" i="91"/>
  <c r="JH239" i="91"/>
  <c r="JH263" i="91"/>
  <c r="JH257" i="91"/>
  <c r="JH242" i="91"/>
  <c r="JH254" i="91"/>
  <c r="JH225" i="91"/>
  <c r="JI261" i="91"/>
  <c r="JI228" i="91"/>
  <c r="JI262" i="91"/>
  <c r="JI268" i="91"/>
  <c r="JI260" i="91"/>
  <c r="JI230" i="91"/>
  <c r="JI236" i="91"/>
  <c r="JI275" i="91"/>
  <c r="JI238" i="91"/>
  <c r="JI254" i="91"/>
  <c r="JI244" i="91"/>
  <c r="JI270" i="91"/>
  <c r="JI246" i="91"/>
  <c r="JH243" i="91"/>
  <c r="JI279" i="91"/>
  <c r="JI231" i="91"/>
  <c r="JI256" i="91"/>
  <c r="JI276" i="91"/>
  <c r="JH276" i="91"/>
  <c r="JH277" i="91"/>
  <c r="JH259" i="91"/>
  <c r="JH246" i="91"/>
  <c r="JH227" i="91"/>
  <c r="JH265" i="91"/>
  <c r="JH226" i="91"/>
  <c r="JH267" i="91"/>
  <c r="JH233" i="91"/>
  <c r="JH235" i="91"/>
  <c r="JH258" i="91"/>
  <c r="JI226" i="91"/>
  <c r="JI263" i="91"/>
  <c r="JI264" i="91"/>
  <c r="JI271" i="91"/>
  <c r="JI243" i="91"/>
  <c r="JI245" i="91"/>
  <c r="JI233" i="91"/>
  <c r="JI225" i="91"/>
  <c r="JI234" i="91"/>
  <c r="JI241" i="91"/>
  <c r="JI274" i="91"/>
  <c r="JI229" i="91"/>
  <c r="JI272" i="91"/>
  <c r="JH278" i="91"/>
  <c r="JH230" i="91"/>
  <c r="JH256" i="91"/>
  <c r="JH237" i="91"/>
  <c r="JH266" i="91"/>
  <c r="JI240" i="91"/>
  <c r="JI259" i="91"/>
  <c r="JI265" i="91"/>
  <c r="JI278" i="91"/>
  <c r="JI223" i="91"/>
  <c r="JI258" i="91"/>
  <c r="JH287" i="91"/>
  <c r="JH303" i="91"/>
  <c r="JH297" i="91"/>
  <c r="JH289" i="91"/>
  <c r="JH307" i="91"/>
  <c r="JH286" i="91"/>
  <c r="JH295" i="91"/>
  <c r="JH301" i="91"/>
  <c r="JH299" i="91"/>
  <c r="JH293" i="91"/>
  <c r="JH285" i="91"/>
  <c r="JH291" i="91"/>
  <c r="JH309" i="91"/>
  <c r="JH305" i="91"/>
  <c r="JH294" i="91"/>
  <c r="JH300" i="91"/>
  <c r="JH298" i="91"/>
  <c r="JH288" i="91"/>
  <c r="JH304" i="91"/>
  <c r="JH292" i="91"/>
  <c r="JH302" i="91"/>
  <c r="JH308" i="91"/>
  <c r="JH290" i="91"/>
  <c r="JH306" i="91"/>
  <c r="JH296" i="91"/>
  <c r="JH310" i="91"/>
  <c r="JJ221" i="91"/>
  <c r="JJ261" i="91"/>
  <c r="JI269" i="91"/>
  <c r="JI232" i="91"/>
  <c r="JI237" i="91"/>
  <c r="JI227" i="91"/>
  <c r="JI248" i="91"/>
  <c r="JI266" i="91"/>
  <c r="JJ271" i="91"/>
  <c r="JJ276" i="91"/>
  <c r="JJ263" i="91"/>
  <c r="JI273" i="91"/>
  <c r="JI224" i="91"/>
  <c r="JI235" i="91"/>
  <c r="JI242" i="91"/>
  <c r="JI239" i="91"/>
  <c r="JI255" i="91"/>
  <c r="JJ227" i="91"/>
  <c r="JJ256" i="91"/>
  <c r="JJ270" i="91"/>
  <c r="JJ248" i="91"/>
  <c r="JI297" i="91"/>
  <c r="JI285" i="91"/>
  <c r="JI308" i="91"/>
  <c r="JI304" i="91"/>
  <c r="JI289" i="91"/>
  <c r="JI305" i="91"/>
  <c r="JI286" i="91"/>
  <c r="JI306" i="91"/>
  <c r="JI291" i="91"/>
  <c r="JI307" i="91"/>
  <c r="JI300" i="91"/>
  <c r="JI301" i="91"/>
  <c r="JI302" i="91"/>
  <c r="JI298" i="91"/>
  <c r="JI303" i="91"/>
  <c r="JI292" i="91"/>
  <c r="JI293" i="91"/>
  <c r="JI309" i="91"/>
  <c r="JI290" i="91"/>
  <c r="JI310" i="91"/>
  <c r="JI295" i="91"/>
  <c r="JI294" i="91"/>
  <c r="JI288" i="91"/>
  <c r="JI299" i="91"/>
  <c r="JI296" i="91"/>
  <c r="JI287" i="91"/>
  <c r="JK221" i="91"/>
  <c r="JJ277" i="91"/>
  <c r="JJ254" i="91"/>
  <c r="JJ259" i="91"/>
  <c r="JJ240" i="91"/>
  <c r="JJ258" i="91"/>
  <c r="JJ257" i="91"/>
  <c r="JJ274" i="91"/>
  <c r="JJ245" i="91"/>
  <c r="JJ228" i="91"/>
  <c r="JJ226" i="91"/>
  <c r="JJ265" i="91"/>
  <c r="JJ242" i="91"/>
  <c r="JJ237" i="91"/>
  <c r="JJ260" i="91"/>
  <c r="JJ238" i="91"/>
  <c r="JJ233" i="91"/>
  <c r="JJ272" i="91"/>
  <c r="JJ236" i="91"/>
  <c r="JJ241" i="91"/>
  <c r="JJ231" i="91"/>
  <c r="JJ279" i="91"/>
  <c r="JJ246" i="91"/>
  <c r="JJ234" i="91"/>
  <c r="JJ232" i="91"/>
  <c r="JJ266" i="91"/>
  <c r="JJ262" i="91"/>
  <c r="JJ235" i="91"/>
  <c r="JJ275" i="91"/>
  <c r="JJ267" i="91"/>
  <c r="JJ255" i="91"/>
  <c r="JJ225" i="91"/>
  <c r="JJ244" i="91"/>
  <c r="JJ239" i="91"/>
  <c r="JJ230" i="91"/>
  <c r="JJ243" i="91"/>
  <c r="JJ269" i="91"/>
  <c r="JJ247" i="91"/>
  <c r="JJ278" i="91"/>
  <c r="JJ224" i="91"/>
  <c r="JJ223" i="91"/>
  <c r="JJ268" i="91"/>
  <c r="JJ229" i="91"/>
  <c r="JJ273" i="91"/>
  <c r="JJ264" i="91"/>
  <c r="JK278" i="91"/>
  <c r="JJ297" i="91"/>
  <c r="JJ287" i="91"/>
  <c r="JJ304" i="91"/>
  <c r="JJ286" i="91"/>
  <c r="JJ302" i="91"/>
  <c r="JJ292" i="91"/>
  <c r="JJ288" i="91"/>
  <c r="JJ285" i="91"/>
  <c r="JJ301" i="91"/>
  <c r="JJ290" i="91"/>
  <c r="JJ306" i="91"/>
  <c r="JJ291" i="91"/>
  <c r="JJ300" i="91"/>
  <c r="JJ308" i="91"/>
  <c r="JJ289" i="91"/>
  <c r="JJ305" i="91"/>
  <c r="JJ295" i="91"/>
  <c r="JJ294" i="91"/>
  <c r="JJ310" i="91"/>
  <c r="JJ299" i="91"/>
  <c r="JJ307" i="91"/>
  <c r="JJ293" i="91"/>
  <c r="JJ309" i="91"/>
  <c r="JJ303" i="91"/>
  <c r="JJ296" i="91"/>
  <c r="JJ298" i="91"/>
  <c r="JL221" i="91"/>
  <c r="JK240" i="91"/>
  <c r="JK276" i="91"/>
  <c r="JK234" i="91"/>
  <c r="JK266" i="91"/>
  <c r="JK247" i="91"/>
  <c r="JK254" i="91"/>
  <c r="JK237" i="91"/>
  <c r="JK265" i="91"/>
  <c r="JK226" i="91"/>
  <c r="JK257" i="91"/>
  <c r="JK272" i="91"/>
  <c r="JK235" i="91"/>
  <c r="JK256" i="91"/>
  <c r="JL255" i="91"/>
  <c r="JL262" i="91"/>
  <c r="JL266" i="91"/>
  <c r="JL277" i="91"/>
  <c r="JL238" i="91"/>
  <c r="JL257" i="91"/>
  <c r="JL259" i="91"/>
  <c r="JL236" i="91"/>
  <c r="JL247" i="91"/>
  <c r="JK262" i="91"/>
  <c r="JK255" i="91"/>
  <c r="JK224" i="91"/>
  <c r="JK274" i="91"/>
  <c r="JK270" i="91"/>
  <c r="JK225" i="91"/>
  <c r="JK223" i="91"/>
  <c r="JK269" i="91"/>
  <c r="JK229" i="91"/>
  <c r="JK242" i="91"/>
  <c r="JK236" i="91"/>
  <c r="JK244" i="91"/>
  <c r="JK273" i="91"/>
  <c r="JL228" i="91"/>
  <c r="JL230" i="91"/>
  <c r="JL231" i="91"/>
  <c r="JL239" i="91"/>
  <c r="JL229" i="91"/>
  <c r="JL232" i="91"/>
  <c r="JL241" i="91"/>
  <c r="JL244" i="91"/>
  <c r="JL268" i="91"/>
  <c r="JL276" i="91"/>
  <c r="JL235" i="91"/>
  <c r="JL278" i="91"/>
  <c r="JL248" i="91"/>
  <c r="JL274" i="91"/>
  <c r="JL258" i="91"/>
  <c r="JK243" i="91"/>
  <c r="JK248" i="91"/>
  <c r="JK268" i="91"/>
  <c r="JK279" i="91"/>
  <c r="JK233" i="91"/>
  <c r="JK228" i="91"/>
  <c r="JK263" i="91"/>
  <c r="JK261" i="91"/>
  <c r="JK275" i="91"/>
  <c r="JK231" i="91"/>
  <c r="JK258" i="91"/>
  <c r="JK241" i="91"/>
  <c r="JK238" i="91"/>
  <c r="JL224" i="91"/>
  <c r="JL269" i="91"/>
  <c r="JL260" i="91"/>
  <c r="JL261" i="91"/>
  <c r="JL272" i="91"/>
  <c r="JL265" i="91"/>
  <c r="JK264" i="91"/>
  <c r="JK246" i="91"/>
  <c r="JK239" i="91"/>
  <c r="JK232" i="91"/>
  <c r="JK260" i="91"/>
  <c r="JK271" i="91"/>
  <c r="JK267" i="91"/>
  <c r="JK230" i="91"/>
  <c r="JK245" i="91"/>
  <c r="JK227" i="91"/>
  <c r="JK277" i="91"/>
  <c r="JK259" i="91"/>
  <c r="JL267" i="91"/>
  <c r="JL270" i="91"/>
  <c r="JL264" i="91"/>
  <c r="JL223" i="91"/>
  <c r="JL246" i="91"/>
  <c r="JL233" i="91"/>
  <c r="JL273" i="91"/>
  <c r="JL271" i="91"/>
  <c r="JL275" i="91"/>
  <c r="JL237" i="91"/>
  <c r="JK301" i="91"/>
  <c r="JK298" i="91"/>
  <c r="JK308" i="91"/>
  <c r="JK307" i="91"/>
  <c r="JK289" i="91"/>
  <c r="JK305" i="91"/>
  <c r="JK302" i="91"/>
  <c r="JK304" i="91"/>
  <c r="JK286" i="91"/>
  <c r="JK306" i="91"/>
  <c r="JK295" i="91"/>
  <c r="JK285" i="91"/>
  <c r="JK288" i="91"/>
  <c r="JK309" i="91"/>
  <c r="JK310" i="91"/>
  <c r="JK290" i="91"/>
  <c r="JK299" i="91"/>
  <c r="JK300" i="91"/>
  <c r="JK293" i="91"/>
  <c r="JK296" i="91"/>
  <c r="JK297" i="91"/>
  <c r="JK294" i="91"/>
  <c r="JK287" i="91"/>
  <c r="JK303" i="91"/>
  <c r="JK292" i="91"/>
  <c r="JK291" i="91"/>
  <c r="JM221" i="91"/>
  <c r="JL226" i="91"/>
  <c r="JL254" i="91"/>
  <c r="JL242" i="91"/>
  <c r="JL227" i="91"/>
  <c r="JL243" i="91"/>
  <c r="JL234" i="91"/>
  <c r="JL256" i="91"/>
  <c r="JL240" i="91"/>
  <c r="JL245" i="91"/>
  <c r="JL263" i="91"/>
  <c r="JL225" i="91"/>
  <c r="JL279" i="91"/>
  <c r="JM235" i="91"/>
  <c r="JL310" i="91"/>
  <c r="S310" i="91"/>
  <c r="R118" i="97"/>
  <c r="JL287" i="91"/>
  <c r="S287" i="91"/>
  <c r="R95" i="97"/>
  <c r="JL303" i="91"/>
  <c r="S303" i="91"/>
  <c r="R111" i="97"/>
  <c r="JL300" i="91"/>
  <c r="S300" i="91"/>
  <c r="R108" i="97"/>
  <c r="JL293" i="91"/>
  <c r="S293" i="91"/>
  <c r="R101" i="97"/>
  <c r="JL309" i="91"/>
  <c r="S309" i="91"/>
  <c r="R117" i="97"/>
  <c r="JL294" i="91"/>
  <c r="S294" i="91"/>
  <c r="R102" i="97"/>
  <c r="JL304" i="91"/>
  <c r="S304" i="91"/>
  <c r="R112" i="97"/>
  <c r="JL297" i="91"/>
  <c r="S297" i="91"/>
  <c r="R105" i="97"/>
  <c r="JL302" i="91"/>
  <c r="S302" i="91"/>
  <c r="R110" i="97"/>
  <c r="JL291" i="91"/>
  <c r="S291" i="91"/>
  <c r="R99" i="97"/>
  <c r="JL307" i="91"/>
  <c r="S307" i="91"/>
  <c r="R115" i="97"/>
  <c r="JL288" i="91"/>
  <c r="S288" i="91"/>
  <c r="R96" i="97"/>
  <c r="JL295" i="91"/>
  <c r="S295" i="91"/>
  <c r="R103" i="97"/>
  <c r="JL292" i="91"/>
  <c r="S292" i="91"/>
  <c r="R100" i="97"/>
  <c r="JL308" i="91"/>
  <c r="S308" i="91"/>
  <c r="R116" i="97"/>
  <c r="JL285" i="91"/>
  <c r="S285" i="91"/>
  <c r="JL301" i="91"/>
  <c r="S301" i="91"/>
  <c r="R109" i="97"/>
  <c r="JL306" i="91"/>
  <c r="S306" i="91"/>
  <c r="R114" i="97"/>
  <c r="JL298" i="91"/>
  <c r="S298" i="91"/>
  <c r="R106" i="97"/>
  <c r="JL299" i="91"/>
  <c r="S299" i="91"/>
  <c r="R107" i="97"/>
  <c r="JL296" i="91"/>
  <c r="S296" i="91"/>
  <c r="R104" i="97"/>
  <c r="JL286" i="91"/>
  <c r="S286" i="91"/>
  <c r="R94" i="97"/>
  <c r="JL289" i="91"/>
  <c r="S289" i="91"/>
  <c r="R97" i="97"/>
  <c r="JL305" i="91"/>
  <c r="S305" i="91"/>
  <c r="R113" i="97"/>
  <c r="JL290" i="91"/>
  <c r="S290" i="91"/>
  <c r="R98" i="97"/>
  <c r="JN221" i="91"/>
  <c r="JM258" i="91"/>
  <c r="JM224" i="91"/>
  <c r="JM247" i="91"/>
  <c r="JM264" i="91"/>
  <c r="JM226" i="91"/>
  <c r="JM245" i="91"/>
  <c r="JM240" i="91"/>
  <c r="JM269" i="91"/>
  <c r="JM279" i="91"/>
  <c r="JM266" i="91"/>
  <c r="JM278" i="91"/>
  <c r="JM223" i="91"/>
  <c r="JM275" i="91"/>
  <c r="JN259" i="91"/>
  <c r="JN230" i="91"/>
  <c r="JN229" i="91"/>
  <c r="JN254" i="91"/>
  <c r="JN223" i="91"/>
  <c r="JN225" i="91"/>
  <c r="JN257" i="91"/>
  <c r="JM273" i="91"/>
  <c r="JM255" i="91"/>
  <c r="JM233" i="91"/>
  <c r="JM228" i="91"/>
  <c r="JM267" i="91"/>
  <c r="JM231" i="91"/>
  <c r="JM236" i="91"/>
  <c r="JM229" i="91"/>
  <c r="JM241" i="91"/>
  <c r="JM246" i="91"/>
  <c r="JM277" i="91"/>
  <c r="JM274" i="91"/>
  <c r="JM270" i="91"/>
  <c r="JN227" i="91"/>
  <c r="JN258" i="91"/>
  <c r="JN247" i="91"/>
  <c r="JN244" i="91"/>
  <c r="JN260" i="91"/>
  <c r="JN242" i="91"/>
  <c r="JN275" i="91"/>
  <c r="JN255" i="91"/>
  <c r="JN262" i="91"/>
  <c r="JN267" i="91"/>
  <c r="JN243" i="91"/>
  <c r="JM237" i="91"/>
  <c r="JM272" i="91"/>
  <c r="JM239" i="91"/>
  <c r="JM248" i="91"/>
  <c r="JM268" i="91"/>
  <c r="JM259" i="91"/>
  <c r="JM261" i="91"/>
  <c r="JM276" i="91"/>
  <c r="JM227" i="91"/>
  <c r="JM230" i="91"/>
  <c r="JM263" i="91"/>
  <c r="JM265" i="91"/>
  <c r="JM254" i="91"/>
  <c r="JN245" i="91"/>
  <c r="JN273" i="91"/>
  <c r="JN279" i="91"/>
  <c r="JN263" i="91"/>
  <c r="JN278" i="91"/>
  <c r="JN248" i="91"/>
  <c r="JN276" i="91"/>
  <c r="JN272" i="91"/>
  <c r="JN233" i="91"/>
  <c r="JN232" i="91"/>
  <c r="JN224" i="91"/>
  <c r="JN234" i="91"/>
  <c r="JN246" i="91"/>
  <c r="JN266" i="91"/>
  <c r="JN236" i="91"/>
  <c r="JM234" i="91"/>
  <c r="JM243" i="91"/>
  <c r="JM232" i="91"/>
  <c r="JM262" i="91"/>
  <c r="JM225" i="91"/>
  <c r="JM257" i="91"/>
  <c r="JM242" i="91"/>
  <c r="JM256" i="91"/>
  <c r="JM238" i="91"/>
  <c r="JM271" i="91"/>
  <c r="JM244" i="91"/>
  <c r="JM260" i="91"/>
  <c r="JN269" i="91"/>
  <c r="JN238" i="91"/>
  <c r="JN237" i="91"/>
  <c r="JN261" i="91"/>
  <c r="JN241" i="91"/>
  <c r="JN265" i="91"/>
  <c r="JN226" i="91"/>
  <c r="JM297" i="91"/>
  <c r="JM309" i="91"/>
  <c r="JM301" i="91"/>
  <c r="JM289" i="91"/>
  <c r="JM299" i="91"/>
  <c r="JM291" i="91"/>
  <c r="JM295" i="91"/>
  <c r="JM287" i="91"/>
  <c r="JM307" i="91"/>
  <c r="JM305" i="91"/>
  <c r="JM293" i="91"/>
  <c r="JM285" i="91"/>
  <c r="JM303" i="91"/>
  <c r="JM286" i="91"/>
  <c r="JM294" i="91"/>
  <c r="JM310" i="91"/>
  <c r="JM298" i="91"/>
  <c r="JM288" i="91"/>
  <c r="JM304" i="91"/>
  <c r="JM302" i="91"/>
  <c r="JM292" i="91"/>
  <c r="JM308" i="91"/>
  <c r="JM290" i="91"/>
  <c r="JM306" i="91"/>
  <c r="JM296" i="91"/>
  <c r="JM300" i="91"/>
  <c r="JO221" i="91"/>
  <c r="JN271" i="91"/>
  <c r="JN240" i="91"/>
  <c r="JN268" i="91"/>
  <c r="JN256" i="91"/>
  <c r="JN277" i="91"/>
  <c r="JN228" i="91"/>
  <c r="JN274" i="91"/>
  <c r="JN264" i="91"/>
  <c r="JN270" i="91"/>
  <c r="JN239" i="91"/>
  <c r="JN231" i="91"/>
  <c r="JN235" i="91"/>
  <c r="JO238" i="91"/>
  <c r="JN300" i="91"/>
  <c r="JN301" i="91"/>
  <c r="JN306" i="91"/>
  <c r="JN298" i="91"/>
  <c r="JN303" i="91"/>
  <c r="JN304" i="91"/>
  <c r="JN289" i="91"/>
  <c r="JN305" i="91"/>
  <c r="JN290" i="91"/>
  <c r="JN288" i="91"/>
  <c r="JN310" i="91"/>
  <c r="JN291" i="91"/>
  <c r="JN307" i="91"/>
  <c r="JN292" i="91"/>
  <c r="JN308" i="91"/>
  <c r="JN293" i="91"/>
  <c r="JN309" i="91"/>
  <c r="JN294" i="91"/>
  <c r="JN295" i="91"/>
  <c r="JN296" i="91"/>
  <c r="JN297" i="91"/>
  <c r="JN302" i="91"/>
  <c r="JN286" i="91"/>
  <c r="JN299" i="91"/>
  <c r="JN285" i="91"/>
  <c r="JN287" i="91"/>
  <c r="JP221" i="91"/>
  <c r="JP257" i="91"/>
  <c r="JO265" i="91"/>
  <c r="JP269" i="91"/>
  <c r="JO223" i="91"/>
  <c r="JO269" i="91"/>
  <c r="JO262" i="91"/>
  <c r="JO247" i="91"/>
  <c r="JO242" i="91"/>
  <c r="JO270" i="91"/>
  <c r="JO258" i="91"/>
  <c r="JO279" i="91"/>
  <c r="JO234" i="91"/>
  <c r="JO259" i="91"/>
  <c r="JO277" i="91"/>
  <c r="JO225" i="91"/>
  <c r="JO237" i="91"/>
  <c r="JP272" i="91"/>
  <c r="JP248" i="91"/>
  <c r="JP254" i="91"/>
  <c r="JP242" i="91"/>
  <c r="JP246" i="91"/>
  <c r="JP243" i="91"/>
  <c r="JP276" i="91"/>
  <c r="JP277" i="91"/>
  <c r="JP268" i="91"/>
  <c r="JP245" i="91"/>
  <c r="JP225" i="91"/>
  <c r="JP238" i="91"/>
  <c r="JP259" i="91"/>
  <c r="JP261" i="91"/>
  <c r="JP236" i="91"/>
  <c r="JP255" i="91"/>
  <c r="JP274" i="91"/>
  <c r="JP260" i="91"/>
  <c r="JP270" i="91"/>
  <c r="JP229" i="91"/>
  <c r="JO273" i="91"/>
  <c r="JO239" i="91"/>
  <c r="JO255" i="91"/>
  <c r="JO276" i="91"/>
  <c r="JO224" i="91"/>
  <c r="JO226" i="91"/>
  <c r="JP279" i="91"/>
  <c r="JP275" i="91"/>
  <c r="JP228" i="91"/>
  <c r="JP234" i="91"/>
  <c r="JP264" i="91"/>
  <c r="JP230" i="91"/>
  <c r="JO260" i="91"/>
  <c r="JO233" i="91"/>
  <c r="JO235" i="91"/>
  <c r="JO256" i="91"/>
  <c r="JO278" i="91"/>
  <c r="JO245" i="91"/>
  <c r="JO267" i="91"/>
  <c r="JO229" i="91"/>
  <c r="JO246" i="91"/>
  <c r="JO240" i="91"/>
  <c r="JO275" i="91"/>
  <c r="JO264" i="91"/>
  <c r="JO232" i="91"/>
  <c r="JO274" i="91"/>
  <c r="JO236" i="91"/>
  <c r="JO272" i="91"/>
  <c r="JO230" i="91"/>
  <c r="JO268" i="91"/>
  <c r="JO244" i="91"/>
  <c r="JO231" i="91"/>
  <c r="JO257" i="91"/>
  <c r="JO263" i="91"/>
  <c r="JO228" i="91"/>
  <c r="JO266" i="91"/>
  <c r="JO254" i="91"/>
  <c r="JP240" i="91"/>
  <c r="JP256" i="91"/>
  <c r="JP235" i="91"/>
  <c r="JP262" i="91"/>
  <c r="JP241" i="91"/>
  <c r="JP232" i="91"/>
  <c r="JO241" i="91"/>
  <c r="JO227" i="91"/>
  <c r="JO261" i="91"/>
  <c r="JO243" i="91"/>
  <c r="JO248" i="91"/>
  <c r="JO271" i="91"/>
  <c r="JP227" i="91"/>
  <c r="JP273" i="91"/>
  <c r="JP233" i="91"/>
  <c r="JP224" i="91"/>
  <c r="JP237" i="91"/>
  <c r="JP226" i="91"/>
  <c r="JO305" i="91"/>
  <c r="JO289" i="91"/>
  <c r="JO303" i="91"/>
  <c r="JO293" i="91"/>
  <c r="JO291" i="91"/>
  <c r="JO297" i="91"/>
  <c r="JO295" i="91"/>
  <c r="JO286" i="91"/>
  <c r="JO301" i="91"/>
  <c r="JO299" i="91"/>
  <c r="JO287" i="91"/>
  <c r="JO309" i="91"/>
  <c r="JO285" i="91"/>
  <c r="JO307" i="91"/>
  <c r="JO294" i="91"/>
  <c r="JO310" i="91"/>
  <c r="JO298" i="91"/>
  <c r="JO288" i="91"/>
  <c r="JO304" i="91"/>
  <c r="JO292" i="91"/>
  <c r="JO302" i="91"/>
  <c r="JO308" i="91"/>
  <c r="JO290" i="91"/>
  <c r="JO306" i="91"/>
  <c r="JO296" i="91"/>
  <c r="JO300" i="91"/>
  <c r="JQ221" i="91"/>
  <c r="JP247" i="91"/>
  <c r="JP271" i="91"/>
  <c r="JP244" i="91"/>
  <c r="JQ227" i="91"/>
  <c r="JQ264" i="91"/>
  <c r="JQ255" i="91"/>
  <c r="JQ245" i="91"/>
  <c r="JQ238" i="91"/>
  <c r="JQ259" i="91"/>
  <c r="JQ239" i="91"/>
  <c r="JQ230" i="91"/>
  <c r="JQ225" i="91"/>
  <c r="JQ265" i="91"/>
  <c r="JQ277" i="91"/>
  <c r="JQ248" i="91"/>
  <c r="JQ270" i="91"/>
  <c r="JQ279" i="91"/>
  <c r="JQ242" i="91"/>
  <c r="JQ244" i="91"/>
  <c r="JQ261" i="91"/>
  <c r="JP258" i="91"/>
  <c r="JQ256" i="91"/>
  <c r="JQ271" i="91"/>
  <c r="JQ260" i="91"/>
  <c r="JQ263" i="91"/>
  <c r="JQ229" i="91"/>
  <c r="JQ269" i="91"/>
  <c r="JQ257" i="91"/>
  <c r="JP267" i="91"/>
  <c r="JP278" i="91"/>
  <c r="JP223" i="91"/>
  <c r="JP263" i="91"/>
  <c r="JP266" i="91"/>
  <c r="JP239" i="91"/>
  <c r="JQ237" i="91"/>
  <c r="JQ258" i="91"/>
  <c r="JQ235" i="91"/>
  <c r="JQ276" i="91"/>
  <c r="JQ262" i="91"/>
  <c r="JQ247" i="91"/>
  <c r="JQ233" i="91"/>
  <c r="JQ241" i="91"/>
  <c r="JQ273" i="91"/>
  <c r="JP231" i="91"/>
  <c r="JP265" i="91"/>
  <c r="JQ274" i="91"/>
  <c r="JQ223" i="91"/>
  <c r="JQ275" i="91"/>
  <c r="JQ267" i="91"/>
  <c r="JQ226" i="91"/>
  <c r="JQ228" i="91"/>
  <c r="JQ278" i="91"/>
  <c r="JP304" i="91"/>
  <c r="JP289" i="91"/>
  <c r="JP286" i="91"/>
  <c r="JP300" i="91"/>
  <c r="JP287" i="91"/>
  <c r="JP293" i="91"/>
  <c r="JP309" i="91"/>
  <c r="JP290" i="91"/>
  <c r="JP310" i="91"/>
  <c r="JP308" i="91"/>
  <c r="JP306" i="91"/>
  <c r="JP291" i="91"/>
  <c r="JP307" i="91"/>
  <c r="JP292" i="91"/>
  <c r="JP297" i="91"/>
  <c r="JP294" i="91"/>
  <c r="JP288" i="91"/>
  <c r="JP295" i="91"/>
  <c r="JP296" i="91"/>
  <c r="JP285" i="91"/>
  <c r="JP301" i="91"/>
  <c r="JP298" i="91"/>
  <c r="JP299" i="91"/>
  <c r="JP305" i="91"/>
  <c r="JP302" i="91"/>
  <c r="JP303" i="91"/>
  <c r="JQ309" i="91"/>
  <c r="JQ307" i="91"/>
  <c r="JQ295" i="91"/>
  <c r="JQ291" i="91"/>
  <c r="JQ289" i="91"/>
  <c r="JQ287" i="91"/>
  <c r="JR221" i="91"/>
  <c r="JR259" i="91"/>
  <c r="JR275" i="91"/>
  <c r="JR239" i="91"/>
  <c r="JR244" i="91"/>
  <c r="JR268" i="91"/>
  <c r="JQ232" i="91"/>
  <c r="JQ240" i="91"/>
  <c r="JQ268" i="91"/>
  <c r="JQ254" i="91"/>
  <c r="JQ236" i="91"/>
  <c r="JQ243" i="91"/>
  <c r="JR223" i="91"/>
  <c r="JR271" i="91"/>
  <c r="JR272" i="91"/>
  <c r="JR234" i="91"/>
  <c r="JR260" i="91"/>
  <c r="JR258" i="91"/>
  <c r="JQ266" i="91"/>
  <c r="JR245" i="91"/>
  <c r="JR247" i="91"/>
  <c r="JR226" i="91"/>
  <c r="JR273" i="91"/>
  <c r="JR257" i="91"/>
  <c r="JQ224" i="91"/>
  <c r="JQ231" i="91"/>
  <c r="JQ246" i="91"/>
  <c r="JQ272" i="91"/>
  <c r="JR224" i="91"/>
  <c r="JR241" i="91"/>
  <c r="JR264" i="91"/>
  <c r="JR231" i="91"/>
  <c r="JR227" i="91"/>
  <c r="JR269" i="91"/>
  <c r="JQ234" i="91"/>
  <c r="JR278" i="91"/>
  <c r="JR276" i="91"/>
  <c r="JR238" i="91"/>
  <c r="JR255" i="91"/>
  <c r="JR233" i="91"/>
  <c r="JQ303" i="91"/>
  <c r="JQ293" i="91"/>
  <c r="JQ286" i="91"/>
  <c r="JQ297" i="91"/>
  <c r="JQ305" i="91"/>
  <c r="JQ285" i="91"/>
  <c r="JQ299" i="91"/>
  <c r="JQ301" i="91"/>
  <c r="JQ298" i="91"/>
  <c r="JQ288" i="91"/>
  <c r="JQ304" i="91"/>
  <c r="JQ302" i="91"/>
  <c r="JQ292" i="91"/>
  <c r="JQ308" i="91"/>
  <c r="JQ290" i="91"/>
  <c r="JQ306" i="91"/>
  <c r="JQ296" i="91"/>
  <c r="JQ294" i="91"/>
  <c r="JQ310" i="91"/>
  <c r="JQ300" i="91"/>
  <c r="JS221" i="91"/>
  <c r="JR256" i="91"/>
  <c r="JR225" i="91"/>
  <c r="JR229" i="91"/>
  <c r="JR246" i="91"/>
  <c r="JR263" i="91"/>
  <c r="JR266" i="91"/>
  <c r="JR230" i="91"/>
  <c r="JR232" i="91"/>
  <c r="JR277" i="91"/>
  <c r="JR254" i="91"/>
  <c r="JR261" i="91"/>
  <c r="JR265" i="91"/>
  <c r="JR243" i="91"/>
  <c r="JR240" i="91"/>
  <c r="JR248" i="91"/>
  <c r="JR228" i="91"/>
  <c r="JR267" i="91"/>
  <c r="JR236" i="91"/>
  <c r="JR274" i="91"/>
  <c r="JR262" i="91"/>
  <c r="JR270" i="91"/>
  <c r="JR242" i="91"/>
  <c r="JR237" i="91"/>
  <c r="JR279" i="91"/>
  <c r="JR235" i="91"/>
  <c r="JS276" i="91"/>
  <c r="JR301" i="91"/>
  <c r="JR298" i="91"/>
  <c r="JR304" i="91"/>
  <c r="JR299" i="91"/>
  <c r="JR308" i="91"/>
  <c r="JR289" i="91"/>
  <c r="JR305" i="91"/>
  <c r="JR286" i="91"/>
  <c r="JR302" i="91"/>
  <c r="JR287" i="91"/>
  <c r="JR303" i="91"/>
  <c r="JR293" i="91"/>
  <c r="JR309" i="91"/>
  <c r="JR290" i="91"/>
  <c r="JR306" i="91"/>
  <c r="JR307" i="91"/>
  <c r="JR288" i="91"/>
  <c r="JR291" i="91"/>
  <c r="JR285" i="91"/>
  <c r="JR292" i="91"/>
  <c r="JR297" i="91"/>
  <c r="JR294" i="91"/>
  <c r="JR310" i="91"/>
  <c r="JR296" i="91"/>
  <c r="JR295" i="91"/>
  <c r="JR300" i="91"/>
  <c r="JT221" i="91"/>
  <c r="JS247" i="91"/>
  <c r="JS239" i="91"/>
  <c r="JS230" i="91"/>
  <c r="JS240" i="91"/>
  <c r="JS256" i="91"/>
  <c r="JS277" i="91"/>
  <c r="JS267" i="91"/>
  <c r="JS262" i="91"/>
  <c r="JS225" i="91"/>
  <c r="JS233" i="91"/>
  <c r="JS265" i="91"/>
  <c r="JS241" i="91"/>
  <c r="JS261" i="91"/>
  <c r="JT279" i="91"/>
  <c r="JT237" i="91"/>
  <c r="JS224" i="91"/>
  <c r="JS274" i="91"/>
  <c r="JS257" i="91"/>
  <c r="JS245" i="91"/>
  <c r="JS266" i="91"/>
  <c r="JS275" i="91"/>
  <c r="JS273" i="91"/>
  <c r="JS259" i="91"/>
  <c r="JS242" i="91"/>
  <c r="JS248" i="91"/>
  <c r="JS258" i="91"/>
  <c r="JS226" i="91"/>
  <c r="JS264" i="91"/>
  <c r="JT227" i="91"/>
  <c r="JS229" i="91"/>
  <c r="JS260" i="91"/>
  <c r="JS255" i="91"/>
  <c r="JS279" i="91"/>
  <c r="JS236" i="91"/>
  <c r="JS268" i="91"/>
  <c r="JS228" i="91"/>
  <c r="JS244" i="91"/>
  <c r="JS272" i="91"/>
  <c r="JS269" i="91"/>
  <c r="JS234" i="91"/>
  <c r="JS237" i="91"/>
  <c r="JS278" i="91"/>
  <c r="JT261" i="91"/>
  <c r="JT273" i="91"/>
  <c r="JS227" i="91"/>
  <c r="JS270" i="91"/>
  <c r="JS246" i="91"/>
  <c r="JS243" i="91"/>
  <c r="JS235" i="91"/>
  <c r="JS223" i="91"/>
  <c r="JS231" i="91"/>
  <c r="JS254" i="91"/>
  <c r="JS271" i="91"/>
  <c r="JS238" i="91"/>
  <c r="JS263" i="91"/>
  <c r="JS232" i="91"/>
  <c r="JT229" i="91"/>
  <c r="JT278" i="91"/>
  <c r="JS295" i="91"/>
  <c r="JS293" i="91"/>
  <c r="JS309" i="91"/>
  <c r="JS288" i="91"/>
  <c r="JS298" i="91"/>
  <c r="JS287" i="91"/>
  <c r="JS300" i="91"/>
  <c r="JS286" i="91"/>
  <c r="JS302" i="91"/>
  <c r="JS299" i="91"/>
  <c r="JS297" i="91"/>
  <c r="JS303" i="91"/>
  <c r="JS292" i="91"/>
  <c r="JS285" i="91"/>
  <c r="JS301" i="91"/>
  <c r="JS290" i="91"/>
  <c r="JS306" i="91"/>
  <c r="JS296" i="91"/>
  <c r="JS291" i="91"/>
  <c r="JS307" i="91"/>
  <c r="JS304" i="91"/>
  <c r="JS289" i="91"/>
  <c r="JS305" i="91"/>
  <c r="JS294" i="91"/>
  <c r="JS310" i="91"/>
  <c r="JS308" i="91"/>
  <c r="JU221" i="91"/>
  <c r="JT238" i="91"/>
  <c r="JT230" i="91"/>
  <c r="JT247" i="91"/>
  <c r="JT239" i="91"/>
  <c r="JT241" i="91"/>
  <c r="JT255" i="91"/>
  <c r="JT234" i="91"/>
  <c r="JT267" i="91"/>
  <c r="JT260" i="91"/>
  <c r="JT232" i="91"/>
  <c r="JT274" i="91"/>
  <c r="JT266" i="91"/>
  <c r="JU278" i="91"/>
  <c r="JU277" i="91"/>
  <c r="JT271" i="91"/>
  <c r="JT231" i="91"/>
  <c r="JT277" i="91"/>
  <c r="JT276" i="91"/>
  <c r="JT254" i="91"/>
  <c r="JT248" i="91"/>
  <c r="JT262" i="91"/>
  <c r="JT268" i="91"/>
  <c r="JT233" i="91"/>
  <c r="JT236" i="91"/>
  <c r="JT270" i="91"/>
  <c r="JU230" i="91"/>
  <c r="JU237" i="91"/>
  <c r="JT226" i="91"/>
  <c r="JT225" i="91"/>
  <c r="JT256" i="91"/>
  <c r="JT264" i="91"/>
  <c r="JT258" i="91"/>
  <c r="JT257" i="91"/>
  <c r="JT242" i="91"/>
  <c r="JT272" i="91"/>
  <c r="JT240" i="91"/>
  <c r="JT263" i="91"/>
  <c r="JT223" i="91"/>
  <c r="JU225" i="91"/>
  <c r="JU268" i="91"/>
  <c r="JU244" i="91"/>
  <c r="JT265" i="91"/>
  <c r="JT259" i="91"/>
  <c r="JT269" i="91"/>
  <c r="JT245" i="91"/>
  <c r="JT228" i="91"/>
  <c r="JT235" i="91"/>
  <c r="JT275" i="91"/>
  <c r="JT224" i="91"/>
  <c r="JT243" i="91"/>
  <c r="JT244" i="91"/>
  <c r="JT246" i="91"/>
  <c r="JU269" i="91"/>
  <c r="JU238" i="91"/>
  <c r="JU258" i="91"/>
  <c r="JT307" i="91"/>
  <c r="JT305" i="91"/>
  <c r="JT285" i="91"/>
  <c r="JT289" i="91"/>
  <c r="JT293" i="91"/>
  <c r="JT286" i="91"/>
  <c r="JT309" i="91"/>
  <c r="JT297" i="91"/>
  <c r="JT301" i="91"/>
  <c r="JT298" i="91"/>
  <c r="JT288" i="91"/>
  <c r="JT304" i="91"/>
  <c r="JT302" i="91"/>
  <c r="JT292" i="91"/>
  <c r="JT308" i="91"/>
  <c r="JT303" i="91"/>
  <c r="JT290" i="91"/>
  <c r="JT306" i="91"/>
  <c r="JT296" i="91"/>
  <c r="JT287" i="91"/>
  <c r="JT291" i="91"/>
  <c r="JT294" i="91"/>
  <c r="JT310" i="91"/>
  <c r="JT300" i="91"/>
  <c r="JT295" i="91"/>
  <c r="JT299" i="91"/>
  <c r="JV221" i="91"/>
  <c r="JU223" i="91"/>
  <c r="JU260" i="91"/>
  <c r="JU232" i="91"/>
  <c r="JU241" i="91"/>
  <c r="JU275" i="91"/>
  <c r="JU247" i="91"/>
  <c r="JU235" i="91"/>
  <c r="JU240" i="91"/>
  <c r="JU243" i="91"/>
  <c r="JU270" i="91"/>
  <c r="JU264" i="91"/>
  <c r="JU276" i="91"/>
  <c r="JU279" i="91"/>
  <c r="JU236" i="91"/>
  <c r="JU271" i="91"/>
  <c r="JU267" i="91"/>
  <c r="JU272" i="91"/>
  <c r="JU254" i="91"/>
  <c r="JU226" i="91"/>
  <c r="JU242" i="91"/>
  <c r="JU274" i="91"/>
  <c r="JU229" i="91"/>
  <c r="JU246" i="91"/>
  <c r="JU256" i="91"/>
  <c r="JU245" i="91"/>
  <c r="JU233" i="91"/>
  <c r="JU262" i="91"/>
  <c r="JU248" i="91"/>
  <c r="JU257" i="91"/>
  <c r="JU261" i="91"/>
  <c r="JU265" i="91"/>
  <c r="JU259" i="91"/>
  <c r="JU231" i="91"/>
  <c r="JU224" i="91"/>
  <c r="JU228" i="91"/>
  <c r="JU234" i="91"/>
  <c r="JU255" i="91"/>
  <c r="JU263" i="91"/>
  <c r="JU239" i="91"/>
  <c r="JU227" i="91"/>
  <c r="JU273" i="91"/>
  <c r="JU266" i="91"/>
  <c r="JV226" i="91"/>
  <c r="JU307" i="91"/>
  <c r="JU289" i="91"/>
  <c r="JU297" i="91"/>
  <c r="JU285" i="91"/>
  <c r="JU299" i="91"/>
  <c r="JU303" i="91"/>
  <c r="JU295" i="91"/>
  <c r="JU291" i="91"/>
  <c r="JU293" i="91"/>
  <c r="JU287" i="91"/>
  <c r="JU305" i="91"/>
  <c r="JU301" i="91"/>
  <c r="JU309" i="91"/>
  <c r="JU286" i="91"/>
  <c r="JU294" i="91"/>
  <c r="JU310" i="91"/>
  <c r="JU300" i="91"/>
  <c r="JU304" i="91"/>
  <c r="JU298" i="91"/>
  <c r="JU288" i="91"/>
  <c r="JU302" i="91"/>
  <c r="JU292" i="91"/>
  <c r="JU308" i="91"/>
  <c r="JU290" i="91"/>
  <c r="JU306" i="91"/>
  <c r="JU296" i="91"/>
  <c r="JW221" i="91"/>
  <c r="JV247" i="91"/>
  <c r="JV223" i="91"/>
  <c r="JV277" i="91"/>
  <c r="JV237" i="91"/>
  <c r="JV238" i="91"/>
  <c r="JV262" i="91"/>
  <c r="JV227" i="91"/>
  <c r="JV271" i="91"/>
  <c r="JV239" i="91"/>
  <c r="JV275" i="91"/>
  <c r="JV267" i="91"/>
  <c r="JV256" i="91"/>
  <c r="JV268" i="91"/>
  <c r="JV246" i="91"/>
  <c r="JV229" i="91"/>
  <c r="JV241" i="91"/>
  <c r="JV224" i="91"/>
  <c r="JV264" i="91"/>
  <c r="JV265" i="91"/>
  <c r="JV231" i="91"/>
  <c r="JV279" i="91"/>
  <c r="JV274" i="91"/>
  <c r="JV225" i="91"/>
  <c r="JV236" i="91"/>
  <c r="JV232" i="91"/>
  <c r="JV278" i="91"/>
  <c r="JV272" i="91"/>
  <c r="JV245" i="91"/>
  <c r="JV269" i="91"/>
  <c r="JV248" i="91"/>
  <c r="JV242" i="91"/>
  <c r="JV263" i="91"/>
  <c r="JV228" i="91"/>
  <c r="JV276" i="91"/>
  <c r="JV260" i="91"/>
  <c r="JV266" i="91"/>
  <c r="JV255" i="91"/>
  <c r="JV257" i="91"/>
  <c r="JV254" i="91"/>
  <c r="JV244" i="91"/>
  <c r="JV235" i="91"/>
  <c r="JV273" i="91"/>
  <c r="JV261" i="91"/>
  <c r="JV230" i="91"/>
  <c r="JV233" i="91"/>
  <c r="JV270" i="91"/>
  <c r="JV258" i="91"/>
  <c r="JV243" i="91"/>
  <c r="JV259" i="91"/>
  <c r="JV240" i="91"/>
  <c r="JV234" i="91"/>
  <c r="JV286" i="91"/>
  <c r="JV285" i="91"/>
  <c r="JV293" i="91"/>
  <c r="JV305" i="91"/>
  <c r="JV291" i="91"/>
  <c r="JV295" i="91"/>
  <c r="JV299" i="91"/>
  <c r="JV289" i="91"/>
  <c r="JV301" i="91"/>
  <c r="JV309" i="91"/>
  <c r="JV303" i="91"/>
  <c r="JV297" i="91"/>
  <c r="JV307" i="91"/>
  <c r="JV287" i="91"/>
  <c r="JV294" i="91"/>
  <c r="JV310" i="91"/>
  <c r="JV300" i="91"/>
  <c r="JV290" i="91"/>
  <c r="JV296" i="91"/>
  <c r="JV304" i="91"/>
  <c r="JV306" i="91"/>
  <c r="JV298" i="91"/>
  <c r="JV288" i="91"/>
  <c r="JV302" i="91"/>
  <c r="JV292" i="91"/>
  <c r="JV308" i="91"/>
  <c r="JX221" i="91"/>
  <c r="JW223" i="91"/>
  <c r="JW224" i="91"/>
  <c r="JW225" i="91"/>
  <c r="JW226" i="91"/>
  <c r="JW227" i="91"/>
  <c r="JW228" i="91"/>
  <c r="JW229" i="91"/>
  <c r="JW230" i="91"/>
  <c r="JW231" i="91"/>
  <c r="JW232" i="91"/>
  <c r="JW234" i="91"/>
  <c r="JW236" i="91"/>
  <c r="JW238" i="91"/>
  <c r="JW240" i="91"/>
  <c r="JW242" i="91"/>
  <c r="JW244" i="91"/>
  <c r="JW246" i="91"/>
  <c r="JW248" i="91"/>
  <c r="JW254" i="91"/>
  <c r="JW233" i="91"/>
  <c r="JW235" i="91"/>
  <c r="JW237" i="91"/>
  <c r="JW239" i="91"/>
  <c r="JW241" i="91"/>
  <c r="JW243" i="91"/>
  <c r="JW245" i="91"/>
  <c r="JW247" i="91"/>
  <c r="JW255" i="91"/>
  <c r="JW256" i="91"/>
  <c r="JW257" i="91"/>
  <c r="JW258" i="91"/>
  <c r="JW259" i="91"/>
  <c r="JW260" i="91"/>
  <c r="JW261" i="91"/>
  <c r="JW262" i="91"/>
  <c r="JW263" i="91"/>
  <c r="JW264" i="91"/>
  <c r="JW266" i="91"/>
  <c r="JW268" i="91"/>
  <c r="JW270" i="91"/>
  <c r="JW272" i="91"/>
  <c r="JW274" i="91"/>
  <c r="JW276" i="91"/>
  <c r="JW278" i="91"/>
  <c r="JW265" i="91"/>
  <c r="JW267" i="91"/>
  <c r="JW269" i="91"/>
  <c r="JW271" i="91"/>
  <c r="JW273" i="91"/>
  <c r="JW275" i="91"/>
  <c r="JW277" i="91"/>
  <c r="JW279" i="91"/>
  <c r="JW309" i="91"/>
  <c r="JW301" i="91"/>
  <c r="JW304" i="91"/>
  <c r="JW296" i="91"/>
  <c r="JW291" i="91"/>
  <c r="JW287" i="91"/>
  <c r="JW307" i="91"/>
  <c r="JW299" i="91"/>
  <c r="JW310" i="91"/>
  <c r="JW302" i="91"/>
  <c r="JW294" i="91"/>
  <c r="JW290" i="91"/>
  <c r="JW286" i="91"/>
  <c r="JW305" i="91"/>
  <c r="JW297" i="91"/>
  <c r="JW308" i="91"/>
  <c r="JW300" i="91"/>
  <c r="JW293" i="91"/>
  <c r="JW289" i="91"/>
  <c r="JW285" i="91"/>
  <c r="JW303" i="91"/>
  <c r="JW295" i="91"/>
  <c r="JW306" i="91"/>
  <c r="JW298" i="91"/>
  <c r="JW292" i="91"/>
  <c r="JW288" i="91"/>
  <c r="JY221" i="91"/>
  <c r="JX223" i="91"/>
  <c r="JX224" i="91"/>
  <c r="JX225" i="91"/>
  <c r="JX226" i="91"/>
  <c r="JX227" i="91"/>
  <c r="JX228" i="91"/>
  <c r="JX229" i="91"/>
  <c r="JX230" i="91"/>
  <c r="JX231" i="91"/>
  <c r="JX232" i="91"/>
  <c r="JX234" i="91"/>
  <c r="JX236" i="91"/>
  <c r="JX238" i="91"/>
  <c r="JX240" i="91"/>
  <c r="JX242" i="91"/>
  <c r="JX244" i="91"/>
  <c r="JX246" i="91"/>
  <c r="JX248" i="91"/>
  <c r="JX254" i="91"/>
  <c r="JX233" i="91"/>
  <c r="JX235" i="91"/>
  <c r="JX237" i="91"/>
  <c r="JX239" i="91"/>
  <c r="JX241" i="91"/>
  <c r="JX243" i="91"/>
  <c r="JX245" i="91"/>
  <c r="JX247" i="91"/>
  <c r="JX255" i="91"/>
  <c r="JX256" i="91"/>
  <c r="JX257" i="91"/>
  <c r="JX258" i="91"/>
  <c r="JX259" i="91"/>
  <c r="JX260" i="91"/>
  <c r="JX261" i="91"/>
  <c r="JX262" i="91"/>
  <c r="JX263" i="91"/>
  <c r="JX265" i="91"/>
  <c r="JX267" i="91"/>
  <c r="JX269" i="91"/>
  <c r="JX271" i="91"/>
  <c r="JX273" i="91"/>
  <c r="JX275" i="91"/>
  <c r="JX277" i="91"/>
  <c r="JX279" i="91"/>
  <c r="JX264" i="91"/>
  <c r="JX266" i="91"/>
  <c r="JX268" i="91"/>
  <c r="JX270" i="91"/>
  <c r="JX272" i="91"/>
  <c r="JX274" i="91"/>
  <c r="JX276" i="91"/>
  <c r="JX278" i="91"/>
  <c r="JX309" i="91"/>
  <c r="JX301" i="91"/>
  <c r="JX304" i="91"/>
  <c r="JX299" i="91"/>
  <c r="JX305" i="91"/>
  <c r="JX297" i="91"/>
  <c r="JX308" i="91"/>
  <c r="JX300" i="91"/>
  <c r="JX293" i="91"/>
  <c r="JX289" i="91"/>
  <c r="JX285" i="91"/>
  <c r="JX303" i="91"/>
  <c r="JX295" i="91"/>
  <c r="JX306" i="91"/>
  <c r="JX298" i="91"/>
  <c r="JX292" i="91"/>
  <c r="JX288" i="91"/>
  <c r="JZ221" i="91"/>
  <c r="JY223" i="91"/>
  <c r="JY224" i="91"/>
  <c r="JY225" i="91"/>
  <c r="JY226" i="91"/>
  <c r="JY227" i="91"/>
  <c r="JY228" i="91"/>
  <c r="JY229" i="91"/>
  <c r="JY230" i="91"/>
  <c r="JY231" i="91"/>
  <c r="JY232" i="91"/>
  <c r="JY233" i="91"/>
  <c r="JY235" i="91"/>
  <c r="JY237" i="91"/>
  <c r="JY239" i="91"/>
  <c r="JY241" i="91"/>
  <c r="JY243" i="91"/>
  <c r="JY245" i="91"/>
  <c r="JY247" i="91"/>
  <c r="JY248" i="91"/>
  <c r="JY254" i="91"/>
  <c r="JY234" i="91"/>
  <c r="JY236" i="91"/>
  <c r="JY238" i="91"/>
  <c r="JY240" i="91"/>
  <c r="JY242" i="91"/>
  <c r="JY244" i="91"/>
  <c r="JY246" i="91"/>
  <c r="JY255" i="91"/>
  <c r="JY256" i="91"/>
  <c r="JY257" i="91"/>
  <c r="JY258" i="91"/>
  <c r="JY259" i="91"/>
  <c r="JY260" i="91"/>
  <c r="JY261" i="91"/>
  <c r="JY262" i="91"/>
  <c r="JY263" i="91"/>
  <c r="JY265" i="91"/>
  <c r="JY267" i="91"/>
  <c r="JY269" i="91"/>
  <c r="JY271" i="91"/>
  <c r="JY273" i="91"/>
  <c r="JY275" i="91"/>
  <c r="JY277" i="91"/>
  <c r="JY279" i="91"/>
  <c r="JY264" i="91"/>
  <c r="JY266" i="91"/>
  <c r="JY268" i="91"/>
  <c r="JY270" i="91"/>
  <c r="JY272" i="91"/>
  <c r="JY274" i="91"/>
  <c r="JY276" i="91"/>
  <c r="JY278" i="91"/>
  <c r="JX296" i="91"/>
  <c r="JX291" i="91"/>
  <c r="JX287" i="91"/>
  <c r="JX307" i="91"/>
  <c r="JX310" i="91"/>
  <c r="JX302" i="91"/>
  <c r="JX294" i="91"/>
  <c r="JX290" i="91"/>
  <c r="JX286" i="91"/>
  <c r="JY309" i="91"/>
  <c r="JY301" i="91"/>
  <c r="JY294" i="91"/>
  <c r="JY290" i="91"/>
  <c r="JY286" i="91"/>
  <c r="JY310" i="91"/>
  <c r="JY303" i="91"/>
  <c r="JY295" i="91"/>
  <c r="JY291" i="91"/>
  <c r="JY287" i="91"/>
  <c r="JY304" i="91"/>
  <c r="JY296" i="91"/>
  <c r="JY307" i="91"/>
  <c r="JY299" i="91"/>
  <c r="JY293" i="91"/>
  <c r="JY289" i="91"/>
  <c r="JY285" i="91"/>
  <c r="JY302" i="91"/>
  <c r="JY305" i="91"/>
  <c r="JY297" i="91"/>
  <c r="JY292" i="91"/>
  <c r="JY288" i="91"/>
  <c r="KA221" i="91"/>
  <c r="JZ223" i="91"/>
  <c r="JZ224" i="91"/>
  <c r="JZ225" i="91"/>
  <c r="JZ226" i="91"/>
  <c r="JZ227" i="91"/>
  <c r="JZ228" i="91"/>
  <c r="JZ229" i="91"/>
  <c r="JZ230" i="91"/>
  <c r="JZ231" i="91"/>
  <c r="JZ232" i="91"/>
  <c r="JZ233" i="91"/>
  <c r="JZ235" i="91"/>
  <c r="JZ237" i="91"/>
  <c r="JZ239" i="91"/>
  <c r="JZ241" i="91"/>
  <c r="JZ243" i="91"/>
  <c r="JZ245" i="91"/>
  <c r="JZ247" i="91"/>
  <c r="JZ234" i="91"/>
  <c r="JZ236" i="91"/>
  <c r="JZ238" i="91"/>
  <c r="JZ240" i="91"/>
  <c r="JZ242" i="91"/>
  <c r="JZ244" i="91"/>
  <c r="JZ246" i="91"/>
  <c r="JZ248" i="91"/>
  <c r="JZ254" i="91"/>
  <c r="JZ255" i="91"/>
  <c r="JZ256" i="91"/>
  <c r="JZ257" i="91"/>
  <c r="JZ258" i="91"/>
  <c r="JZ259" i="91"/>
  <c r="JZ260" i="91"/>
  <c r="JZ261" i="91"/>
  <c r="JZ262" i="91"/>
  <c r="JZ263" i="91"/>
  <c r="JZ264" i="91"/>
  <c r="JZ266" i="91"/>
  <c r="JZ268" i="91"/>
  <c r="JZ270" i="91"/>
  <c r="JZ272" i="91"/>
  <c r="JZ274" i="91"/>
  <c r="JZ276" i="91"/>
  <c r="JZ278" i="91"/>
  <c r="JZ265" i="91"/>
  <c r="JZ267" i="91"/>
  <c r="JZ269" i="91"/>
  <c r="JZ271" i="91"/>
  <c r="JZ273" i="91"/>
  <c r="JZ275" i="91"/>
  <c r="JZ277" i="91"/>
  <c r="JZ279" i="91"/>
  <c r="JY308" i="91"/>
  <c r="JY300" i="91"/>
  <c r="JY306" i="91"/>
  <c r="JY298" i="91"/>
  <c r="JZ308" i="91"/>
  <c r="JZ300" i="91"/>
  <c r="JZ307" i="91"/>
  <c r="JZ299" i="91"/>
  <c r="JZ293" i="91"/>
  <c r="JZ289" i="91"/>
  <c r="JZ285" i="91"/>
  <c r="JZ306" i="91"/>
  <c r="JZ298" i="91"/>
  <c r="JZ305" i="91"/>
  <c r="JZ297" i="91"/>
  <c r="JZ304" i="91"/>
  <c r="JZ296" i="91"/>
  <c r="JZ303" i="91"/>
  <c r="JZ295" i="91"/>
  <c r="JZ291" i="91"/>
  <c r="JZ287" i="91"/>
  <c r="JZ310" i="91"/>
  <c r="JZ302" i="91"/>
  <c r="JZ309" i="91"/>
  <c r="JZ301" i="91"/>
  <c r="JZ294" i="91"/>
  <c r="JZ290" i="91"/>
  <c r="JZ286" i="91"/>
  <c r="JZ292" i="91"/>
  <c r="JZ288" i="91"/>
  <c r="KB221" i="91"/>
  <c r="KA223" i="91"/>
  <c r="KA224" i="91"/>
  <c r="KA225" i="91"/>
  <c r="KA226" i="91"/>
  <c r="KA227" i="91"/>
  <c r="KA228" i="91"/>
  <c r="KA229" i="91"/>
  <c r="KA230" i="91"/>
  <c r="KA231" i="91"/>
  <c r="KA232" i="91"/>
  <c r="KA234" i="91"/>
  <c r="KA236" i="91"/>
  <c r="KA238" i="91"/>
  <c r="KA240" i="91"/>
  <c r="KA242" i="91"/>
  <c r="KA244" i="91"/>
  <c r="KA246" i="91"/>
  <c r="KA248" i="91"/>
  <c r="KA254" i="91"/>
  <c r="KA247" i="91"/>
  <c r="KA233" i="91"/>
  <c r="KA235" i="91"/>
  <c r="KA237" i="91"/>
  <c r="KA239" i="91"/>
  <c r="KA241" i="91"/>
  <c r="KA243" i="91"/>
  <c r="KA245" i="91"/>
  <c r="KA255" i="91"/>
  <c r="KA256" i="91"/>
  <c r="KA257" i="91"/>
  <c r="KA258" i="91"/>
  <c r="KA259" i="91"/>
  <c r="KA260" i="91"/>
  <c r="KA261" i="91"/>
  <c r="KA262" i="91"/>
  <c r="KA263" i="91"/>
  <c r="KA264" i="91"/>
  <c r="KA266" i="91"/>
  <c r="KA268" i="91"/>
  <c r="KA270" i="91"/>
  <c r="KA272" i="91"/>
  <c r="KA274" i="91"/>
  <c r="KA276" i="91"/>
  <c r="KA278" i="91"/>
  <c r="KA265" i="91"/>
  <c r="KA267" i="91"/>
  <c r="KA269" i="91"/>
  <c r="KA271" i="91"/>
  <c r="KA273" i="91"/>
  <c r="KA275" i="91"/>
  <c r="KA277" i="91"/>
  <c r="KA279" i="91"/>
  <c r="KA308" i="91"/>
  <c r="KA300" i="91"/>
  <c r="KA293" i="91"/>
  <c r="KA289" i="91"/>
  <c r="KA285" i="91"/>
  <c r="KA310" i="91"/>
  <c r="KA302" i="91"/>
  <c r="KA294" i="91"/>
  <c r="KA290" i="91"/>
  <c r="KA286" i="91"/>
  <c r="KA297" i="91"/>
  <c r="KA295" i="91"/>
  <c r="KA301" i="91"/>
  <c r="KA309" i="91"/>
  <c r="KA306" i="91"/>
  <c r="KA298" i="91"/>
  <c r="KA292" i="91"/>
  <c r="KA288" i="91"/>
  <c r="KB223" i="91"/>
  <c r="KB224" i="91"/>
  <c r="KB225" i="91"/>
  <c r="KB226" i="91"/>
  <c r="KB227" i="91"/>
  <c r="KB228" i="91"/>
  <c r="KB229" i="91"/>
  <c r="KB230" i="91"/>
  <c r="KB231" i="91"/>
  <c r="KB232" i="91"/>
  <c r="KB234" i="91"/>
  <c r="KB236" i="91"/>
  <c r="KB238" i="91"/>
  <c r="KB240" i="91"/>
  <c r="KB242" i="91"/>
  <c r="KB244" i="91"/>
  <c r="KB246" i="91"/>
  <c r="KB248" i="91"/>
  <c r="KB254" i="91"/>
  <c r="KB233" i="91"/>
  <c r="KB235" i="91"/>
  <c r="KB237" i="91"/>
  <c r="KB239" i="91"/>
  <c r="KB241" i="91"/>
  <c r="KB243" i="91"/>
  <c r="KB245" i="91"/>
  <c r="KB247" i="91"/>
  <c r="KB255" i="91"/>
  <c r="KB256" i="91"/>
  <c r="KB257" i="91"/>
  <c r="KB258" i="91"/>
  <c r="KB259" i="91"/>
  <c r="KB260" i="91"/>
  <c r="KB261" i="91"/>
  <c r="KB262" i="91"/>
  <c r="KB263" i="91"/>
  <c r="KB265" i="91"/>
  <c r="KB267" i="91"/>
  <c r="KB269" i="91"/>
  <c r="KB271" i="91"/>
  <c r="KB273" i="91"/>
  <c r="KB275" i="91"/>
  <c r="KB277" i="91"/>
  <c r="KB279" i="91"/>
  <c r="KB264" i="91"/>
  <c r="KB266" i="91"/>
  <c r="KB268" i="91"/>
  <c r="KB270" i="91"/>
  <c r="KB272" i="91"/>
  <c r="KB274" i="91"/>
  <c r="KB276" i="91"/>
  <c r="KB278" i="91"/>
  <c r="KA305" i="91"/>
  <c r="KA307" i="91"/>
  <c r="KA299" i="91"/>
  <c r="KA304" i="91"/>
  <c r="KA296" i="91"/>
  <c r="KA291" i="91"/>
  <c r="KA287" i="91"/>
  <c r="KA303" i="91"/>
  <c r="KB307" i="91"/>
  <c r="KB299" i="91"/>
  <c r="KB310" i="91"/>
  <c r="KB302" i="91"/>
  <c r="KB294" i="91"/>
  <c r="KB290" i="91"/>
  <c r="KB286" i="91"/>
  <c r="KB308" i="91"/>
  <c r="KB300" i="91"/>
  <c r="KB293" i="91"/>
  <c r="KB289" i="91"/>
  <c r="KB285" i="91"/>
  <c r="KB303" i="91"/>
  <c r="KB295" i="91"/>
  <c r="KB306" i="91"/>
  <c r="KB298" i="91"/>
  <c r="KB292" i="91"/>
  <c r="KB288" i="91"/>
  <c r="KB309" i="91"/>
  <c r="KB301" i="91"/>
  <c r="KB304" i="91"/>
  <c r="KB296" i="91"/>
  <c r="KB291" i="91"/>
  <c r="KB287" i="91"/>
  <c r="KB305" i="91"/>
  <c r="KB297" i="91"/>
</calcChain>
</file>

<file path=xl/comments1.xml><?xml version="1.0" encoding="utf-8"?>
<comments xmlns="http://schemas.openxmlformats.org/spreadsheetml/2006/main">
  <authors>
    <author>John S Tjia</author>
    <author>John S. Tjia</author>
  </authors>
  <commentList>
    <comment ref="I15" authorId="0" shapeId="0">
      <text>
        <r>
          <rPr>
            <sz val="9"/>
            <color indexed="81"/>
            <rFont val="Tahoma"/>
            <family val="2"/>
          </rPr>
          <t xml:space="preserve">This date drives all the valuation calculations in the Model.
</t>
        </r>
      </text>
    </comment>
    <comment ref="G23" authorId="1" shapeId="0">
      <text>
        <r>
          <rPr>
            <sz val="9"/>
            <color indexed="81"/>
            <rFont val="Tahoma"/>
            <family val="2"/>
          </rPr>
          <t>Entering a ticker means that your subject Company is public and Capital IQ will attempt to download the finanical data.
If your subject company is private, leave this input blank.</t>
        </r>
      </text>
    </comment>
    <comment ref="G33" authorId="0" shapeId="0">
      <text>
        <r>
          <rPr>
            <sz val="9"/>
            <color indexed="81"/>
            <rFont val="Tahoma"/>
            <family val="2"/>
          </rPr>
          <t xml:space="preserve">If there is no stub period, enter the same date as the Last fiscal year end, seen above
</t>
        </r>
      </text>
    </comment>
  </commentList>
</comments>
</file>

<file path=xl/comments2.xml><?xml version="1.0" encoding="utf-8"?>
<comments xmlns="http://schemas.openxmlformats.org/spreadsheetml/2006/main">
  <authors>
    <author>John S Tjia</author>
  </authors>
  <commentList>
    <comment ref="H11" authorId="0" shapeId="0">
      <text>
        <r>
          <rPr>
            <sz val="9"/>
            <color indexed="81"/>
            <rFont val="Tahoma"/>
            <family val="2"/>
          </rPr>
          <t>You can populate the guideline companies  for a non-public company as long as you have its CIQ number. If you do not, then use a comparable company's ticker/CIQ number as the proxy.</t>
        </r>
      </text>
    </comment>
    <comment ref="O19" authorId="0" shapeId="0">
      <text>
        <r>
          <rPr>
            <sz val="9"/>
            <color indexed="81"/>
            <rFont val="Tahoma"/>
            <family val="2"/>
          </rPr>
          <t xml:space="preserve">The red  background formatting indicates that the index currency is not the same as trading currency.
</t>
        </r>
      </text>
    </comment>
    <comment ref="P97" authorId="0" shapeId="0">
      <text>
        <r>
          <rPr>
            <sz val="9"/>
            <color indexed="81"/>
            <rFont val="Tahoma"/>
            <family val="2"/>
          </rPr>
          <t xml:space="preserve">Use "2000" (the code for LTM) for both LFQ and LTM data.
</t>
        </r>
      </text>
    </comment>
    <comment ref="F439" authorId="0" shapeId="0">
      <text>
        <r>
          <rPr>
            <sz val="9"/>
            <color indexed="81"/>
            <rFont val="Tahoma"/>
            <family val="2"/>
          </rPr>
          <t xml:space="preserve">Includes capial leases
</t>
        </r>
      </text>
    </comment>
    <comment ref="T564" authorId="0" shapeId="0">
      <text>
        <r>
          <rPr>
            <sz val="9"/>
            <color indexed="81"/>
            <rFont val="Tahoma"/>
            <family val="2"/>
          </rPr>
          <t xml:space="preserve">This column is the base "prior" year to make sure that growth rates for data with  "Advanced" timing calculate correctly. If there is no Advanced, this is the LFY data. If Advanced is being used (so NFY+1 data is labelled as NFY), this column shows the original NFY data.
</t>
        </r>
      </text>
    </comment>
    <comment ref="T595" authorId="0" shapeId="0">
      <text>
        <r>
          <rPr>
            <sz val="9"/>
            <color indexed="81"/>
            <rFont val="Tahoma"/>
            <family val="2"/>
          </rPr>
          <t xml:space="preserve">This column is the base "prior" year to make sure that growth rates for data with  "Advanced" timing calculate correctly. If there is no Advanced, this is the LFY data. If Advanced is being used (so NFY+1 data is labelled as NFY), this column shows the original NFY data.
</t>
        </r>
      </text>
    </comment>
    <comment ref="T626" authorId="0" shapeId="0">
      <text>
        <r>
          <rPr>
            <sz val="9"/>
            <color indexed="81"/>
            <rFont val="Tahoma"/>
            <family val="2"/>
          </rPr>
          <t xml:space="preserve">This column is the base "prior" year to make sure that growth rates for data with  "Advanced" timing calculate correctly. If there is no Advanced, this is the LFY data. If Advanced is being used (so NFY+1 data is labelled as NFY), this column shows the original NFY data.
</t>
        </r>
      </text>
    </comment>
    <comment ref="T657" authorId="0" shapeId="0">
      <text>
        <r>
          <rPr>
            <sz val="9"/>
            <color indexed="81"/>
            <rFont val="Tahoma"/>
            <family val="2"/>
          </rPr>
          <t xml:space="preserve">This column is the base "prior" year to make sure that growth rates for data with  "Advanced" timing calculate correctly. If there is no Advanced, this is the LFY data. If Advanced is being used (so NFY+1 data is labelled as NFY), this column shows the original NFY data.
</t>
        </r>
      </text>
    </comment>
    <comment ref="T781" authorId="0" shapeId="0">
      <text>
        <r>
          <rPr>
            <sz val="9"/>
            <color indexed="81"/>
            <rFont val="Tahoma"/>
            <family val="2"/>
          </rPr>
          <t xml:space="preserve">This column is the base "prior" year to make sure that growth rates for data with  "Advanced" timing calculate correctly. If there is no Advanced, this is the LFY data. If Advanced is being used (so NFY+1 data is labelled as NFY), this column shows the original NFY data.
</t>
        </r>
      </text>
    </comment>
  </commentList>
</comments>
</file>

<file path=xl/comments3.xml><?xml version="1.0" encoding="utf-8"?>
<comments xmlns="http://schemas.openxmlformats.org/spreadsheetml/2006/main">
  <authors>
    <author>John S Tjia</author>
  </authors>
  <commentList>
    <comment ref="AK9" authorId="0" shapeId="0">
      <text>
        <r>
          <rPr>
            <sz val="9"/>
            <color indexed="81"/>
            <rFont val="Tahoma"/>
            <family val="2"/>
          </rPr>
          <t xml:space="preserve">These two columns' dates read the date codes in row 6.  These column dates then determine the date codes in Row 8 that are read by the rest of the rows in these two columns.
</t>
        </r>
      </text>
    </comment>
    <comment ref="AN9" authorId="0" shapeId="0">
      <text>
        <r>
          <rPr>
            <sz val="9"/>
            <color indexed="81"/>
            <rFont val="Tahoma"/>
            <family val="2"/>
          </rPr>
          <t xml:space="preserve">These two columns' dates read the date codes in row 6.  These column dates then determine the date codes in Row 8 that are read by the rest of the rows in these two columns.
</t>
        </r>
      </text>
    </comment>
    <comment ref="AB21" authorId="0" shapeId="0">
      <text>
        <r>
          <rPr>
            <sz val="9"/>
            <color indexed="81"/>
            <rFont val="Tahoma"/>
            <family val="2"/>
          </rPr>
          <t xml:space="preserve">IQ_DA_SUPPLE_CF is Depreciation only, no Amortization of Intangibles
</t>
        </r>
      </text>
    </comment>
  </commentList>
</comments>
</file>

<file path=xl/comments4.xml><?xml version="1.0" encoding="utf-8"?>
<comments xmlns="http://schemas.openxmlformats.org/spreadsheetml/2006/main">
  <authors>
    <author>John S Tjia</author>
  </authors>
  <commentList>
    <comment ref="F23" authorId="0" shapeId="0">
      <text>
        <r>
          <rPr>
            <sz val="9"/>
            <color indexed="81"/>
            <rFont val="Tahoma"/>
            <family val="2"/>
          </rPr>
          <t xml:space="preserve">Year 0 is the last year that begins with a historical date. It is either the completed LFY or the current year where we have a historical YTD and a forecast stub period.
</t>
        </r>
      </text>
    </comment>
    <comment ref="F31" authorId="0" shapeId="0">
      <text>
        <r>
          <rPr>
            <sz val="9"/>
            <color indexed="81"/>
            <rFont val="Tahoma"/>
            <family val="2"/>
          </rPr>
          <t xml:space="preserve">LTM growth
</t>
        </r>
      </text>
    </comment>
    <comment ref="S75" authorId="0" shapeId="0">
      <text>
        <r>
          <rPr>
            <sz val="9"/>
            <color indexed="81"/>
            <rFont val="Tahoma"/>
            <family val="2"/>
          </rPr>
          <t xml:space="preserve">In the Normalized period, Depreciation is set to equal to Capital Expenditures
</t>
        </r>
      </text>
    </comment>
    <comment ref="S78" authorId="0" shapeId="0">
      <text>
        <r>
          <rPr>
            <sz val="9"/>
            <color indexed="81"/>
            <rFont val="Tahoma"/>
            <family val="2"/>
          </rPr>
          <t xml:space="preserve">In the Normmalized perioid, Amortization of intangibles should be 0.
</t>
        </r>
      </text>
    </comment>
    <comment ref="S91" authorId="0" shapeId="0">
      <text>
        <r>
          <rPr>
            <b/>
            <sz val="9"/>
            <color indexed="81"/>
            <rFont val="Tahoma"/>
            <family val="2"/>
          </rPr>
          <t>Based on the tax rate in the last forecast year.</t>
        </r>
        <r>
          <rPr>
            <sz val="9"/>
            <color indexed="81"/>
            <rFont val="Tahoma"/>
            <family val="2"/>
          </rPr>
          <t xml:space="preserve">
</t>
        </r>
      </text>
    </comment>
    <comment ref="S296" authorId="0" shapeId="0">
      <text>
        <r>
          <rPr>
            <b/>
            <sz val="9"/>
            <color indexed="81"/>
            <rFont val="Tahoma"/>
            <family val="2"/>
          </rPr>
          <t>Based on the DFNWC as % of Revenue
in the last forecast year.</t>
        </r>
        <r>
          <rPr>
            <sz val="9"/>
            <color indexed="81"/>
            <rFont val="Tahoma"/>
            <family val="2"/>
          </rPr>
          <t xml:space="preserve">
</t>
        </r>
      </text>
    </comment>
    <comment ref="S299" authorId="0" shapeId="0">
      <text>
        <r>
          <rPr>
            <sz val="9"/>
            <color indexed="81"/>
            <rFont val="Tahoma"/>
            <family val="2"/>
          </rPr>
          <t xml:space="preserve">The denominator is (1+growth rate) in order to unwind the effect of the Gordon Growth formula, i.e., (1+growth rate)/(WACC-growth rate). When we use the full Gordon Growth formula for the calculation of terminal value, the (1+growth rate) is reapplied.
</t>
        </r>
      </text>
    </comment>
    <comment ref="F301" authorId="0" shapeId="0">
      <text>
        <r>
          <rPr>
            <sz val="9"/>
            <color indexed="81"/>
            <rFont val="Tahoma"/>
            <family val="2"/>
          </rPr>
          <t xml:space="preserve">Normalized based on LTM  Revenue x
 implied percent of Forecast Year 1  revenue.
</t>
        </r>
      </text>
    </comment>
  </commentList>
</comments>
</file>

<file path=xl/comments5.xml><?xml version="1.0" encoding="utf-8"?>
<comments xmlns="http://schemas.openxmlformats.org/spreadsheetml/2006/main">
  <authors>
    <author>Varick R Tucker</author>
  </authors>
  <commentList>
    <comment ref="C12" authorId="0" shapeId="0">
      <text>
        <r>
          <rPr>
            <sz val="9"/>
            <color indexed="81"/>
            <rFont val="Tahoma"/>
            <family val="2"/>
          </rPr>
          <t>At long-term growth rate beyond the discrete period; does not take high growth rate in the fading growth assumption.</t>
        </r>
      </text>
    </comment>
    <comment ref="C54" authorId="0" shapeId="0">
      <text>
        <r>
          <rPr>
            <sz val="9"/>
            <color indexed="81"/>
            <rFont val="Tahoma"/>
            <family val="2"/>
          </rPr>
          <t>At long-term growth rate beyond the discrete period; does not take high growth rate in the fading growth assumption.</t>
        </r>
      </text>
    </comment>
  </commentList>
</comments>
</file>

<file path=xl/comments6.xml><?xml version="1.0" encoding="utf-8"?>
<comments xmlns="http://schemas.openxmlformats.org/spreadsheetml/2006/main">
  <authors>
    <author xml:space="preserve"> </author>
    <author>John S Tjia</author>
  </authors>
  <commentList>
    <comment ref="J85" authorId="0" shapeId="0">
      <text>
        <r>
          <rPr>
            <sz val="8"/>
            <color indexed="81"/>
            <rFont val="Tahoma"/>
            <family val="2"/>
          </rPr>
          <t xml:space="preserve">Bayesian adjustment = 2/3 * beta + 1/3
</t>
        </r>
      </text>
    </comment>
    <comment ref="K85" authorId="1" shapeId="0">
      <text>
        <r>
          <rPr>
            <sz val="9"/>
            <color indexed="81"/>
            <rFont val="Tahoma"/>
            <family val="2"/>
          </rPr>
          <t xml:space="preserve">The default is "Y."  Please consider very carefully if you want to change it to "N."
</t>
        </r>
      </text>
    </comment>
    <comment ref="L85" authorId="1" shapeId="0">
      <text>
        <r>
          <rPr>
            <sz val="9"/>
            <color indexed="81"/>
            <rFont val="Tahoma"/>
            <family val="2"/>
          </rPr>
          <t xml:space="preserve">The default is "Y."  Please consider very carefully if you want to change it to "N."
</t>
        </r>
      </text>
    </comment>
  </commentList>
</comments>
</file>

<file path=xl/comments7.xml><?xml version="1.0" encoding="utf-8"?>
<comments xmlns="http://schemas.openxmlformats.org/spreadsheetml/2006/main">
  <authors>
    <author>John S Tjia</author>
  </authors>
  <commentList>
    <comment ref="Q10" authorId="0" shapeId="0">
      <text>
        <r>
          <rPr>
            <sz val="9"/>
            <color indexed="81"/>
            <rFont val="Tahoma"/>
            <family val="2"/>
          </rPr>
          <t xml:space="preserve">This is the value from the SUM of the components. See notes to the right.
</t>
        </r>
      </text>
    </comment>
  </commentList>
</comments>
</file>

<file path=xl/comments8.xml><?xml version="1.0" encoding="utf-8"?>
<comments xmlns="http://schemas.openxmlformats.org/spreadsheetml/2006/main">
  <authors>
    <author>John S Tjia</author>
  </authors>
  <commentList>
    <comment ref="BJ10" authorId="0" shapeId="0">
      <text>
        <r>
          <rPr>
            <sz val="9"/>
            <color indexed="81"/>
            <rFont val="Tahoma"/>
            <family val="2"/>
          </rPr>
          <t xml:space="preserve">The growth is from the NEXT year column
</t>
        </r>
      </text>
    </comment>
    <comment ref="BM10" authorId="0" shapeId="0">
      <text>
        <r>
          <rPr>
            <sz val="9"/>
            <color indexed="81"/>
            <rFont val="Tahoma"/>
            <family val="2"/>
          </rPr>
          <t xml:space="preserve">The growth is from the NEXT year column
</t>
        </r>
      </text>
    </comment>
    <comment ref="BP10" authorId="0" shapeId="0">
      <text>
        <r>
          <rPr>
            <sz val="9"/>
            <color indexed="81"/>
            <rFont val="Tahoma"/>
            <family val="2"/>
          </rPr>
          <t xml:space="preserve">The growth is from the NEXT year column
</t>
        </r>
      </text>
    </comment>
    <comment ref="BS10" authorId="0" shapeId="0">
      <text>
        <r>
          <rPr>
            <sz val="9"/>
            <color indexed="81"/>
            <rFont val="Tahoma"/>
            <family val="2"/>
          </rPr>
          <t xml:space="preserve">The growth is from the NEXT year column
</t>
        </r>
      </text>
    </comment>
  </commentList>
</comments>
</file>

<file path=xl/comments9.xml><?xml version="1.0" encoding="utf-8"?>
<comments xmlns="http://schemas.openxmlformats.org/spreadsheetml/2006/main">
  <authors>
    <author>John S Tjia</author>
  </authors>
  <commentList>
    <comment ref="P9" authorId="0" shapeId="0">
      <text>
        <r>
          <rPr>
            <sz val="9"/>
            <color indexed="81"/>
            <rFont val="Tahoma"/>
            <family val="2"/>
          </rPr>
          <t xml:space="preserve">If multiple acquirors, type shows the first acquiror's company 
type.
</t>
        </r>
      </text>
    </comment>
  </commentList>
</comments>
</file>

<file path=xl/comments10.xml><?xml version="1.0" encoding="utf-8"?>
<comments xmlns="http://schemas.openxmlformats.org/spreadsheetml/2006/main">
  <authors>
    <author>John S Tjia</author>
  </authors>
  <commentList>
    <comment ref="C9" authorId="0" shapeId="0">
      <text>
        <r>
          <rPr>
            <sz val="9"/>
            <color indexed="81"/>
            <rFont val="Tahoma"/>
            <family val="2"/>
          </rPr>
          <t xml:space="preserve">Normalized.
</t>
        </r>
      </text>
    </comment>
  </commentList>
</comments>
</file>

<file path=xl/comments11.xml><?xml version="1.0" encoding="utf-8"?>
<comments xmlns="http://schemas.openxmlformats.org/spreadsheetml/2006/main">
  <authors>
    <author>Beth Brown</author>
  </authors>
  <commentList>
    <comment ref="C3" authorId="0" shapeId="0">
      <text>
        <r>
          <rPr>
            <b/>
            <sz val="9"/>
            <color indexed="81"/>
            <rFont val="Tahoma"/>
            <family val="2"/>
          </rPr>
          <t>Beth Brown:</t>
        </r>
        <r>
          <rPr>
            <sz val="9"/>
            <color indexed="81"/>
            <rFont val="Tahoma"/>
            <family val="2"/>
          </rPr>
          <t xml:space="preserve">
</t>
        </r>
      </text>
    </comment>
  </commentList>
</comments>
</file>

<file path=xl/comments12.xml><?xml version="1.0" encoding="utf-8"?>
<comments xmlns="http://schemas.openxmlformats.org/spreadsheetml/2006/main">
  <authors>
    <author>John S Tjia</author>
  </authors>
  <commentList>
    <comment ref="AC37" authorId="0" shapeId="0">
      <text>
        <r>
          <rPr>
            <sz val="9"/>
            <color indexed="81"/>
            <rFont val="Tahoma"/>
            <family val="2"/>
          </rPr>
          <t xml:space="preserve">IQ_DA_SUPPLE_CF is Depreciation only, no Amortization of Intangibles
</t>
        </r>
      </text>
    </comment>
    <comment ref="AC85" authorId="0" shapeId="0">
      <text>
        <r>
          <rPr>
            <sz val="9"/>
            <color indexed="81"/>
            <rFont val="Tahoma"/>
            <family val="2"/>
          </rPr>
          <t xml:space="preserve">IQ_DA_SUPPLE_CF is Depreciation only, no Amortization of Intangibles
</t>
        </r>
      </text>
    </comment>
    <comment ref="AC133" authorId="0" shapeId="0">
      <text>
        <r>
          <rPr>
            <sz val="9"/>
            <color indexed="81"/>
            <rFont val="Tahoma"/>
            <family val="2"/>
          </rPr>
          <t xml:space="preserve">IQ_DA_SUPPLE_CF is Depreciation only, no Amortization of Intangibles
</t>
        </r>
      </text>
    </comment>
  </commentList>
</comments>
</file>

<file path=xl/comments13.xml><?xml version="1.0" encoding="utf-8"?>
<comments xmlns="http://schemas.openxmlformats.org/spreadsheetml/2006/main">
  <authors>
    <author>John S Tjia</author>
  </authors>
  <commentList>
    <comment ref="R24" authorId="0" shapeId="0">
      <text>
        <r>
          <rPr>
            <sz val="9"/>
            <color indexed="81"/>
            <rFont val="Tahoma"/>
            <family val="2"/>
          </rPr>
          <t>All Averages are averages of the final ratios, not averages of the numerators devided by the averages of the denominators.</t>
        </r>
      </text>
    </comment>
  </commentList>
</comments>
</file>

<file path=xl/comments14.xml><?xml version="1.0" encoding="utf-8"?>
<comments xmlns="http://schemas.openxmlformats.org/spreadsheetml/2006/main">
  <authors>
    <author>Ernst &amp; Young</author>
    <author>John S Tjia</author>
  </authors>
  <commentList>
    <comment ref="L91" authorId="0" shapeId="0">
      <text>
        <r>
          <rPr>
            <b/>
            <sz val="8"/>
            <color indexed="81"/>
            <rFont val="Tahoma"/>
            <family val="2"/>
          </rPr>
          <t>Ernst &amp; Young:</t>
        </r>
        <r>
          <rPr>
            <sz val="8"/>
            <color indexed="81"/>
            <rFont val="Tahoma"/>
            <family val="2"/>
          </rPr>
          <t xml:space="preserve">
2012, Tax Guide, Pg 28
The corporate income tax rate is 25% for trade and service activities. A
reduced rate of 19% applies to production of goods, construction and public
works.</t>
        </r>
      </text>
    </comment>
    <comment ref="M91" authorId="0" shapeId="0">
      <text>
        <r>
          <rPr>
            <b/>
            <sz val="8"/>
            <color indexed="81"/>
            <rFont val="Tahoma"/>
            <family val="2"/>
          </rPr>
          <t>Ernst &amp; Young:</t>
        </r>
        <r>
          <rPr>
            <sz val="8"/>
            <color indexed="81"/>
            <rFont val="Tahoma"/>
            <family val="2"/>
          </rPr>
          <t xml:space="preserve">
Worldwide_corporate_tax_guide_2013.pdf
Pg 30</t>
        </r>
      </text>
    </comment>
    <comment ref="N91" authorId="0" shapeId="0">
      <text>
        <r>
          <rPr>
            <b/>
            <sz val="8"/>
            <color indexed="81"/>
            <rFont val="Tahoma"/>
            <family val="2"/>
          </rPr>
          <t>Ernst &amp; Young:</t>
        </r>
        <r>
          <rPr>
            <sz val="8"/>
            <color indexed="81"/>
            <rFont val="Tahoma"/>
            <family val="2"/>
          </rPr>
          <t xml:space="preserve">
Worldwide_corporate_tax_guide_2014.pdf
Pg 31
The corporate income tax rate is 25% for trade and service activities. A reduced rate of 19% applies to production of goods, construction and public works.</t>
        </r>
      </text>
    </comment>
    <comment ref="G92" authorId="0" shapeId="0">
      <text>
        <r>
          <rPr>
            <b/>
            <sz val="8"/>
            <color indexed="81"/>
            <rFont val="Tahoma"/>
            <family val="2"/>
          </rPr>
          <t>Ernst &amp; Young:</t>
        </r>
        <r>
          <rPr>
            <sz val="8"/>
            <color indexed="81"/>
            <rFont val="Tahoma"/>
            <family val="2"/>
          </rPr>
          <t xml:space="preserve">
WW_corporate_tax_guide_2007.pdf
Pg 17</t>
        </r>
      </text>
    </comment>
    <comment ref="H92" authorId="0" shapeId="0">
      <text>
        <r>
          <rPr>
            <b/>
            <sz val="8"/>
            <color indexed="81"/>
            <rFont val="Tahoma"/>
            <family val="2"/>
          </rPr>
          <t>Ernst &amp; Young:</t>
        </r>
        <r>
          <rPr>
            <sz val="8"/>
            <color indexed="81"/>
            <rFont val="Tahoma"/>
            <family val="2"/>
          </rPr>
          <t xml:space="preserve">
WW_corporate_tax_guide_2008.pdf
Pg 26</t>
        </r>
      </text>
    </comment>
    <comment ref="I92" authorId="0" shapeId="0">
      <text>
        <r>
          <rPr>
            <b/>
            <sz val="8"/>
            <color indexed="81"/>
            <rFont val="Tahoma"/>
            <family val="2"/>
          </rPr>
          <t>Ernst &amp; Young:</t>
        </r>
        <r>
          <rPr>
            <sz val="8"/>
            <color indexed="81"/>
            <rFont val="Tahoma"/>
            <family val="2"/>
          </rPr>
          <t xml:space="preserve">
worldwide corporate tax guide 2009.pdf
Pg 19</t>
        </r>
      </text>
    </comment>
    <comment ref="J92" authorId="0" shapeId="0">
      <text>
        <r>
          <rPr>
            <b/>
            <sz val="8"/>
            <color indexed="81"/>
            <rFont val="Tahoma"/>
            <family val="2"/>
          </rPr>
          <t>Ernst &amp; Young:</t>
        </r>
        <r>
          <rPr>
            <sz val="8"/>
            <color indexed="81"/>
            <rFont val="Tahoma"/>
            <family val="2"/>
          </rPr>
          <t xml:space="preserve">
2010 Corporate Tax Guide.pdf
Pg 27</t>
        </r>
      </text>
    </comment>
    <comment ref="K92" authorId="0" shapeId="0">
      <text>
        <r>
          <rPr>
            <b/>
            <sz val="8"/>
            <color indexed="81"/>
            <rFont val="Tahoma"/>
            <family val="2"/>
          </rPr>
          <t>Ernst &amp; Young:</t>
        </r>
        <r>
          <rPr>
            <sz val="8"/>
            <color indexed="81"/>
            <rFont val="Tahoma"/>
            <family val="2"/>
          </rPr>
          <t xml:space="preserve">
Worldwide_corporate_tax_guide_2011.pdf
Pg 34</t>
        </r>
      </text>
    </comment>
    <comment ref="L92" authorId="0" shapeId="0">
      <text>
        <r>
          <rPr>
            <b/>
            <sz val="8"/>
            <color indexed="81"/>
            <rFont val="Tahoma"/>
            <family val="2"/>
          </rPr>
          <t>Ernst &amp; Young:</t>
        </r>
        <r>
          <rPr>
            <sz val="8"/>
            <color indexed="81"/>
            <rFont val="Tahoma"/>
            <family val="2"/>
          </rPr>
          <t xml:space="preserve">
Worldwide_Corporate_tax_guide_2012.pdf
Pg 44</t>
        </r>
      </text>
    </comment>
    <comment ref="M92" authorId="0" shapeId="0">
      <text>
        <r>
          <rPr>
            <b/>
            <sz val="8"/>
            <color indexed="81"/>
            <rFont val="Tahoma"/>
            <family val="2"/>
          </rPr>
          <t>Ernst &amp; Young:</t>
        </r>
        <r>
          <rPr>
            <sz val="8"/>
            <color indexed="81"/>
            <rFont val="Tahoma"/>
            <family val="2"/>
          </rPr>
          <t xml:space="preserve">
Worldwide_corporate_tax_guide_2013.pdf
Pg 47</t>
        </r>
      </text>
    </comment>
    <comment ref="N92" authorId="0" shapeId="0">
      <text>
        <r>
          <rPr>
            <b/>
            <sz val="8"/>
            <color indexed="81"/>
            <rFont val="Tahoma"/>
            <family val="2"/>
          </rPr>
          <t>Ernst &amp; Young:</t>
        </r>
        <r>
          <rPr>
            <sz val="8"/>
            <color indexed="81"/>
            <rFont val="Tahoma"/>
            <family val="2"/>
          </rPr>
          <t xml:space="preserve">
Worldwide_corporate_tax_guide_2014.pdf
Pg 49</t>
        </r>
      </text>
    </comment>
    <comment ref="G93" authorId="0" shapeId="0">
      <text>
        <r>
          <rPr>
            <b/>
            <sz val="8"/>
            <color indexed="81"/>
            <rFont val="Tahoma"/>
            <family val="2"/>
          </rPr>
          <t>Ernst &amp; Young:</t>
        </r>
        <r>
          <rPr>
            <sz val="8"/>
            <color indexed="81"/>
            <rFont val="Tahoma"/>
            <family val="2"/>
          </rPr>
          <t xml:space="preserve">
WW_corporate_tax_guide_2007.pdf
Pg 31</t>
        </r>
      </text>
    </comment>
    <comment ref="H93" authorId="0" shapeId="0">
      <text>
        <r>
          <rPr>
            <b/>
            <sz val="8"/>
            <color indexed="81"/>
            <rFont val="Tahoma"/>
            <family val="2"/>
          </rPr>
          <t>Ernst &amp; Young:</t>
        </r>
        <r>
          <rPr>
            <sz val="8"/>
            <color indexed="81"/>
            <rFont val="Tahoma"/>
            <family val="2"/>
          </rPr>
          <t xml:space="preserve">
WW_corporate_tax_guide_2008.pdf
Pg 40</t>
        </r>
      </text>
    </comment>
    <comment ref="I93" authorId="0" shapeId="0">
      <text>
        <r>
          <rPr>
            <b/>
            <sz val="8"/>
            <color indexed="81"/>
            <rFont val="Tahoma"/>
            <family val="2"/>
          </rPr>
          <t>Ernst &amp; Young:</t>
        </r>
        <r>
          <rPr>
            <sz val="8"/>
            <color indexed="81"/>
            <rFont val="Tahoma"/>
            <family val="2"/>
          </rPr>
          <t xml:space="preserve">
worldwide corporate tax guide 2009.pdf
Pg 19</t>
        </r>
      </text>
    </comment>
    <comment ref="J93" authorId="0" shapeId="0">
      <text>
        <r>
          <rPr>
            <b/>
            <sz val="8"/>
            <color indexed="81"/>
            <rFont val="Tahoma"/>
            <family val="2"/>
          </rPr>
          <t>Ernst &amp; Young:</t>
        </r>
        <r>
          <rPr>
            <sz val="8"/>
            <color indexed="81"/>
            <rFont val="Tahoma"/>
            <family val="2"/>
          </rPr>
          <t xml:space="preserve">
2010 Corporate Tax Guide.pdf
Pg 41</t>
        </r>
      </text>
    </comment>
    <comment ref="K93" authorId="0" shapeId="0">
      <text>
        <r>
          <rPr>
            <b/>
            <sz val="8"/>
            <color indexed="81"/>
            <rFont val="Tahoma"/>
            <family val="2"/>
          </rPr>
          <t>Ernst &amp; Young:</t>
        </r>
        <r>
          <rPr>
            <sz val="8"/>
            <color indexed="81"/>
            <rFont val="Tahoma"/>
            <family val="2"/>
          </rPr>
          <t xml:space="preserve">
Worldwide_corporate_tax_guide_2011.pdf
Pg 57</t>
        </r>
      </text>
    </comment>
    <comment ref="L93" authorId="0" shapeId="0">
      <text>
        <r>
          <rPr>
            <b/>
            <sz val="8"/>
            <color indexed="81"/>
            <rFont val="Tahoma"/>
            <family val="2"/>
          </rPr>
          <t>Ernst &amp; Young:</t>
        </r>
        <r>
          <rPr>
            <sz val="8"/>
            <color indexed="81"/>
            <rFont val="Tahoma"/>
            <family val="2"/>
          </rPr>
          <t xml:space="preserve">
Worldwide_Corporate_tax_guide_2012.pdf
Pg 69</t>
        </r>
      </text>
    </comment>
    <comment ref="M93" authorId="0" shapeId="0">
      <text>
        <r>
          <rPr>
            <b/>
            <sz val="8"/>
            <color indexed="81"/>
            <rFont val="Tahoma"/>
            <family val="2"/>
          </rPr>
          <t>Ernst &amp; Young:</t>
        </r>
        <r>
          <rPr>
            <sz val="8"/>
            <color indexed="81"/>
            <rFont val="Tahoma"/>
            <family val="2"/>
          </rPr>
          <t xml:space="preserve">
Worldwide_corporate_tax_guide_2013.pdf
Pg 74</t>
        </r>
      </text>
    </comment>
    <comment ref="N93" authorId="0" shapeId="0">
      <text>
        <r>
          <rPr>
            <b/>
            <sz val="8"/>
            <color indexed="81"/>
            <rFont val="Tahoma"/>
            <family val="2"/>
          </rPr>
          <t>Ernst &amp; Young:</t>
        </r>
        <r>
          <rPr>
            <sz val="8"/>
            <color indexed="81"/>
            <rFont val="Tahoma"/>
            <family val="2"/>
          </rPr>
          <t xml:space="preserve">
Worldwide_corporate_tax_guide_2014.pdf
Pg 79
The coalition government elected in September 2013 is proposing to reduce
the corporate rate to 28.5%, effective from 1 July 2015. A new 1.5% Paid
Parental Leave Scheme Levy will be imposed on companies with taxable in -
comes in excess of AUD5 million (levied on the excess income amount),
effective from 1 July 2015. </t>
        </r>
      </text>
    </comment>
    <comment ref="G94" authorId="0" shapeId="0">
      <text>
        <r>
          <rPr>
            <b/>
            <sz val="8"/>
            <color indexed="81"/>
            <rFont val="Tahoma"/>
            <family val="2"/>
          </rPr>
          <t>Ernst &amp; Young:</t>
        </r>
        <r>
          <rPr>
            <sz val="8"/>
            <color indexed="81"/>
            <rFont val="Tahoma"/>
            <family val="2"/>
          </rPr>
          <t xml:space="preserve">
WW_corporate_tax_guide_2007.pdf
Pg 46</t>
        </r>
      </text>
    </comment>
    <comment ref="H94" authorId="0" shapeId="0">
      <text>
        <r>
          <rPr>
            <b/>
            <sz val="8"/>
            <color indexed="81"/>
            <rFont val="Tahoma"/>
            <family val="2"/>
          </rPr>
          <t>Ernst &amp; Young:</t>
        </r>
        <r>
          <rPr>
            <sz val="8"/>
            <color indexed="81"/>
            <rFont val="Tahoma"/>
            <family val="2"/>
          </rPr>
          <t xml:space="preserve">
WW_corporate_tax_guide_2008.pdf
Pg 54</t>
        </r>
      </text>
    </comment>
    <comment ref="I94" authorId="0" shapeId="0">
      <text>
        <r>
          <rPr>
            <b/>
            <sz val="8"/>
            <color indexed="81"/>
            <rFont val="Tahoma"/>
            <family val="2"/>
          </rPr>
          <t>Ernst &amp; Young:</t>
        </r>
        <r>
          <rPr>
            <sz val="8"/>
            <color indexed="81"/>
            <rFont val="Tahoma"/>
            <family val="2"/>
          </rPr>
          <t xml:space="preserve">
worldwide corporate tax guide 2009.pdf
Pg 19</t>
        </r>
      </text>
    </comment>
    <comment ref="J94" authorId="0" shapeId="0">
      <text>
        <r>
          <rPr>
            <b/>
            <sz val="8"/>
            <color indexed="81"/>
            <rFont val="Tahoma"/>
            <family val="2"/>
          </rPr>
          <t>Ernst &amp; Young:</t>
        </r>
        <r>
          <rPr>
            <sz val="8"/>
            <color indexed="81"/>
            <rFont val="Tahoma"/>
            <family val="2"/>
          </rPr>
          <t xml:space="preserve">
2010 Corporate Tax Guide.pdf
Pg 59</t>
        </r>
      </text>
    </comment>
    <comment ref="K94" authorId="0" shapeId="0">
      <text>
        <r>
          <rPr>
            <b/>
            <sz val="8"/>
            <color indexed="81"/>
            <rFont val="Tahoma"/>
            <family val="2"/>
          </rPr>
          <t>Ernst &amp; Young:</t>
        </r>
        <r>
          <rPr>
            <sz val="8"/>
            <color indexed="81"/>
            <rFont val="Tahoma"/>
            <family val="2"/>
          </rPr>
          <t xml:space="preserve">
Worldwide_corporate_tax_guide_2011.pdf
Pg 77</t>
        </r>
      </text>
    </comment>
    <comment ref="L94" authorId="0" shapeId="0">
      <text>
        <r>
          <rPr>
            <b/>
            <sz val="8"/>
            <color indexed="81"/>
            <rFont val="Tahoma"/>
            <family val="2"/>
          </rPr>
          <t>Ernst &amp; Young:</t>
        </r>
        <r>
          <rPr>
            <sz val="8"/>
            <color indexed="81"/>
            <rFont val="Tahoma"/>
            <family val="2"/>
          </rPr>
          <t xml:space="preserve">
Worldwide_Corporate_tax_guide_2012.pdf
Pg 90</t>
        </r>
      </text>
    </comment>
    <comment ref="M94" authorId="0" shapeId="0">
      <text>
        <r>
          <rPr>
            <b/>
            <sz val="8"/>
            <color indexed="81"/>
            <rFont val="Tahoma"/>
            <family val="2"/>
          </rPr>
          <t>Ernst &amp; Young:</t>
        </r>
        <r>
          <rPr>
            <sz val="8"/>
            <color indexed="81"/>
            <rFont val="Tahoma"/>
            <family val="2"/>
          </rPr>
          <t xml:space="preserve">
Worldwide_corporate_tax_guide_2013.pdf
Pg 95</t>
        </r>
      </text>
    </comment>
    <comment ref="N94" authorId="0" shapeId="0">
      <text>
        <r>
          <rPr>
            <b/>
            <sz val="8"/>
            <color indexed="81"/>
            <rFont val="Tahoma"/>
            <family val="2"/>
          </rPr>
          <t>Ernst &amp; Young:</t>
        </r>
        <r>
          <rPr>
            <sz val="8"/>
            <color indexed="81"/>
            <rFont val="Tahoma"/>
            <family val="2"/>
          </rPr>
          <t xml:space="preserve">
Worldwide_corporate_tax_guide_2014.pdf
Pg 99</t>
        </r>
      </text>
    </comment>
    <comment ref="M95" authorId="0" shapeId="0">
      <text>
        <r>
          <rPr>
            <b/>
            <sz val="8"/>
            <color indexed="81"/>
            <rFont val="Tahoma"/>
            <family val="2"/>
          </rPr>
          <t>Ernst &amp; Young:</t>
        </r>
        <r>
          <rPr>
            <sz val="8"/>
            <color indexed="81"/>
            <rFont val="Tahoma"/>
            <family val="2"/>
          </rPr>
          <t xml:space="preserve">
Worldwide_corporate_tax_guide_2013.pdf
Pg 111</t>
        </r>
      </text>
    </comment>
    <comment ref="N95" authorId="0" shapeId="0">
      <text>
        <r>
          <rPr>
            <b/>
            <sz val="8"/>
            <color indexed="81"/>
            <rFont val="Tahoma"/>
            <family val="2"/>
          </rPr>
          <t>Ernst &amp; Young:</t>
        </r>
        <r>
          <rPr>
            <sz val="8"/>
            <color indexed="81"/>
            <rFont val="Tahoma"/>
            <family val="2"/>
          </rPr>
          <t xml:space="preserve">
Worldwide_corporate_tax_guide_2014.pdf
Pg 115</t>
        </r>
      </text>
    </comment>
    <comment ref="G97" authorId="0" shapeId="0">
      <text>
        <r>
          <rPr>
            <b/>
            <sz val="8"/>
            <color indexed="81"/>
            <rFont val="Tahoma"/>
            <family val="2"/>
          </rPr>
          <t>Ernst &amp; Young:</t>
        </r>
        <r>
          <rPr>
            <sz val="8"/>
            <color indexed="81"/>
            <rFont val="Tahoma"/>
            <family val="2"/>
          </rPr>
          <t xml:space="preserve">
WW_corporate_tax_guide_2007.pdf
Pg 76
Additionally 3.0% surtax is imposed</t>
        </r>
      </text>
    </comment>
    <comment ref="H97" authorId="0" shapeId="0">
      <text>
        <r>
          <rPr>
            <b/>
            <sz val="8"/>
            <color indexed="81"/>
            <rFont val="Tahoma"/>
            <family val="2"/>
          </rPr>
          <t>Ernst &amp; Young:</t>
        </r>
        <r>
          <rPr>
            <sz val="8"/>
            <color indexed="81"/>
            <rFont val="Tahoma"/>
            <family val="2"/>
          </rPr>
          <t xml:space="preserve">
WW_corporate_tax_guide_2008.pdf
Pg 88
3.0% surtax imposed</t>
        </r>
      </text>
    </comment>
    <comment ref="I97" authorId="0" shapeId="0">
      <text>
        <r>
          <rPr>
            <b/>
            <sz val="8"/>
            <color indexed="81"/>
            <rFont val="Tahoma"/>
            <family val="2"/>
          </rPr>
          <t>Ernst &amp; Young:</t>
        </r>
        <r>
          <rPr>
            <sz val="8"/>
            <color indexed="81"/>
            <rFont val="Tahoma"/>
            <family val="2"/>
          </rPr>
          <t xml:space="preserve">
worldwide corporate tax guide 2009.pdf
Pg 85
3.0% surtax imposed</t>
        </r>
      </text>
    </comment>
    <comment ref="J97" authorId="0" shapeId="0">
      <text>
        <r>
          <rPr>
            <b/>
            <sz val="8"/>
            <color indexed="81"/>
            <rFont val="Tahoma"/>
            <family val="2"/>
          </rPr>
          <t>Ernst &amp; Young:</t>
        </r>
        <r>
          <rPr>
            <sz val="8"/>
            <color indexed="81"/>
            <rFont val="Tahoma"/>
            <family val="2"/>
          </rPr>
          <t xml:space="preserve">
2010 Corporate Tax Guide.pdf
Pg 59
3.0% surtax</t>
        </r>
      </text>
    </comment>
    <comment ref="K97" authorId="0" shapeId="0">
      <text>
        <r>
          <rPr>
            <b/>
            <sz val="8"/>
            <color indexed="81"/>
            <rFont val="Tahoma"/>
            <family val="2"/>
          </rPr>
          <t>Ernst &amp; Young:</t>
        </r>
        <r>
          <rPr>
            <sz val="8"/>
            <color indexed="81"/>
            <rFont val="Tahoma"/>
            <family val="2"/>
          </rPr>
          <t xml:space="preserve">
Worldwide_corporate_tax_guide_2011.pdf
Pg 114
Additional 3.0% surtax is imposed</t>
        </r>
      </text>
    </comment>
    <comment ref="L97" authorId="0" shapeId="0">
      <text>
        <r>
          <rPr>
            <b/>
            <sz val="8"/>
            <color indexed="81"/>
            <rFont val="Tahoma"/>
            <family val="2"/>
          </rPr>
          <t>Ernst &amp; Young:</t>
        </r>
        <r>
          <rPr>
            <sz val="8"/>
            <color indexed="81"/>
            <rFont val="Tahoma"/>
            <family val="2"/>
          </rPr>
          <t xml:space="preserve">
Worldwide_Corporate_tax_guide_2012.pdf
Pg 129
Additional 3.0% surtax is imposed</t>
        </r>
      </text>
    </comment>
    <comment ref="M97" authorId="0" shapeId="0">
      <text>
        <r>
          <rPr>
            <b/>
            <sz val="8"/>
            <color indexed="81"/>
            <rFont val="Tahoma"/>
            <family val="2"/>
          </rPr>
          <t>Ernst &amp; Young:</t>
        </r>
        <r>
          <rPr>
            <sz val="8"/>
            <color indexed="81"/>
            <rFont val="Tahoma"/>
            <family val="2"/>
          </rPr>
          <t xml:space="preserve">
Worldwide_corporate_tax_guide_2013.pdf
Pg 111
Additional 3.0% surtax is imposed</t>
        </r>
      </text>
    </comment>
    <comment ref="N97" authorId="0" shapeId="0">
      <text>
        <r>
          <rPr>
            <b/>
            <sz val="8"/>
            <color indexed="81"/>
            <rFont val="Tahoma"/>
            <family val="2"/>
          </rPr>
          <t>Ernst &amp; Young:</t>
        </r>
        <r>
          <rPr>
            <sz val="8"/>
            <color indexed="81"/>
            <rFont val="Tahoma"/>
            <family val="2"/>
          </rPr>
          <t xml:space="preserve">
Worldwide_corporate_tax_guide_2014.pdf
Pg 143
Additional 3.0% surtax is imposed</t>
        </r>
      </text>
    </comment>
    <comment ref="G98" authorId="0" shapeId="0">
      <text>
        <r>
          <rPr>
            <b/>
            <sz val="8"/>
            <color indexed="81"/>
            <rFont val="Tahoma"/>
            <family val="2"/>
          </rPr>
          <t>Ernst &amp; Young:</t>
        </r>
        <r>
          <rPr>
            <sz val="8"/>
            <color indexed="81"/>
            <rFont val="Tahoma"/>
            <family val="2"/>
          </rPr>
          <t xml:space="preserve">
WW_corporate_tax_guide_2007.pdf
Pg 86</t>
        </r>
      </text>
    </comment>
    <comment ref="H98" authorId="0" shapeId="0">
      <text>
        <r>
          <rPr>
            <b/>
            <sz val="8"/>
            <color indexed="81"/>
            <rFont val="Tahoma"/>
            <family val="2"/>
          </rPr>
          <t>Ernst &amp; Young:</t>
        </r>
        <r>
          <rPr>
            <sz val="8"/>
            <color indexed="81"/>
            <rFont val="Tahoma"/>
            <family val="2"/>
          </rPr>
          <t xml:space="preserve">
WW_corporate_tax_guide_2008.pdf
Pg 1203</t>
        </r>
      </text>
    </comment>
    <comment ref="I98" authorId="0" shapeId="0">
      <text>
        <r>
          <rPr>
            <b/>
            <sz val="8"/>
            <color indexed="81"/>
            <rFont val="Tahoma"/>
            <family val="2"/>
          </rPr>
          <t>Ernst &amp; Young:</t>
        </r>
        <r>
          <rPr>
            <sz val="8"/>
            <color indexed="81"/>
            <rFont val="Tahoma"/>
            <family val="2"/>
          </rPr>
          <t xml:space="preserve">
worldwide corporate tax guide 2009.pdf
Pg 97</t>
        </r>
      </text>
    </comment>
    <comment ref="J98" authorId="0" shapeId="0">
      <text>
        <r>
          <rPr>
            <b/>
            <sz val="8"/>
            <color indexed="81"/>
            <rFont val="Tahoma"/>
            <family val="2"/>
          </rPr>
          <t>Ernst &amp; Young:</t>
        </r>
        <r>
          <rPr>
            <sz val="8"/>
            <color indexed="81"/>
            <rFont val="Tahoma"/>
            <family val="2"/>
          </rPr>
          <t xml:space="preserve">
2010 Corporate Tax Guide.pdf
Pg 107</t>
        </r>
      </text>
    </comment>
    <comment ref="K98" authorId="0" shapeId="0">
      <text>
        <r>
          <rPr>
            <b/>
            <sz val="8"/>
            <color indexed="81"/>
            <rFont val="Tahoma"/>
            <family val="2"/>
          </rPr>
          <t>Ernst &amp; Young:</t>
        </r>
        <r>
          <rPr>
            <sz val="8"/>
            <color indexed="81"/>
            <rFont val="Tahoma"/>
            <family val="2"/>
          </rPr>
          <t xml:space="preserve">
Worldwide_corporate_tax_guide_2011.pdf
Pg 125</t>
        </r>
      </text>
    </comment>
    <comment ref="L98" authorId="0" shapeId="0">
      <text>
        <r>
          <rPr>
            <b/>
            <sz val="8"/>
            <color indexed="81"/>
            <rFont val="Tahoma"/>
            <family val="2"/>
          </rPr>
          <t>Ernst &amp; Young:</t>
        </r>
        <r>
          <rPr>
            <sz val="8"/>
            <color indexed="81"/>
            <rFont val="Tahoma"/>
            <family val="2"/>
          </rPr>
          <t xml:space="preserve">
Worldwide_Corporate_tax_guide_2012.pdf
Pg 140</t>
        </r>
      </text>
    </comment>
    <comment ref="M98" authorId="0" shapeId="0">
      <text>
        <r>
          <rPr>
            <b/>
            <sz val="8"/>
            <color indexed="81"/>
            <rFont val="Tahoma"/>
            <family val="2"/>
          </rPr>
          <t>Ernst &amp; Young:</t>
        </r>
        <r>
          <rPr>
            <sz val="8"/>
            <color indexed="81"/>
            <rFont val="Tahoma"/>
            <family val="2"/>
          </rPr>
          <t xml:space="preserve">
Worldwide_corporate_tax_guide_2013.pdf
Pg 152</t>
        </r>
      </text>
    </comment>
    <comment ref="N98" authorId="0" shapeId="0">
      <text>
        <r>
          <rPr>
            <b/>
            <sz val="8"/>
            <color indexed="81"/>
            <rFont val="Tahoma"/>
            <family val="2"/>
          </rPr>
          <t>Ernst &amp; Young:</t>
        </r>
        <r>
          <rPr>
            <sz val="8"/>
            <color indexed="81"/>
            <rFont val="Tahoma"/>
            <family val="2"/>
          </rPr>
          <t xml:space="preserve">
Worldwide_corporate_tax_guide_2014.pdf
Pg 156</t>
        </r>
      </text>
    </comment>
    <comment ref="G99" authorId="0" shapeId="0">
      <text>
        <r>
          <rPr>
            <b/>
            <sz val="8"/>
            <color indexed="81"/>
            <rFont val="Tahoma"/>
            <family val="2"/>
          </rPr>
          <t>Ernst &amp; Young:</t>
        </r>
        <r>
          <rPr>
            <sz val="8"/>
            <color indexed="81"/>
            <rFont val="Tahoma"/>
            <family val="2"/>
          </rPr>
          <t xml:space="preserve">
WW_corporate_tax_guide_2007.pdf
Pg 100
The total
effective tax rate on corporate profits is 34% (25% CIT [including
the 10% surtax] plus 9% SCT).</t>
        </r>
      </text>
    </comment>
    <comment ref="H99" authorId="0" shapeId="0">
      <text>
        <r>
          <rPr>
            <b/>
            <sz val="8"/>
            <color indexed="81"/>
            <rFont val="Tahoma"/>
            <family val="2"/>
          </rPr>
          <t>Ernst &amp; Young:</t>
        </r>
        <r>
          <rPr>
            <sz val="8"/>
            <color indexed="81"/>
            <rFont val="Tahoma"/>
            <family val="2"/>
          </rPr>
          <t xml:space="preserve">
WW_corporate_tax_guide_2008.pdf
Pg 113
The total
effective tax rate on corporate profits is 34% (25% CIT [including
the 10% surtax] plus 9% SCT).</t>
        </r>
      </text>
    </comment>
    <comment ref="I99" authorId="0" shapeId="0">
      <text>
        <r>
          <rPr>
            <b/>
            <sz val="8"/>
            <color indexed="81"/>
            <rFont val="Tahoma"/>
            <family val="2"/>
          </rPr>
          <t>Ernst &amp; Young:</t>
        </r>
        <r>
          <rPr>
            <sz val="8"/>
            <color indexed="81"/>
            <rFont val="Tahoma"/>
            <family val="2"/>
          </rPr>
          <t xml:space="preserve">
worldwide corporate tax guide 2009.pdf
Pg 122
The total
effective tax rate on corporate profits is 34% (25% CIT [including
the 10% surtax] plus 9% SCT).</t>
        </r>
      </text>
    </comment>
    <comment ref="J99" authorId="0" shapeId="0">
      <text>
        <r>
          <rPr>
            <b/>
            <sz val="8"/>
            <color indexed="81"/>
            <rFont val="Tahoma"/>
            <family val="2"/>
          </rPr>
          <t>Ernst &amp; Young:</t>
        </r>
        <r>
          <rPr>
            <sz val="8"/>
            <color indexed="81"/>
            <rFont val="Tahoma"/>
            <family val="2"/>
          </rPr>
          <t xml:space="preserve">
2010 Corporate Tax Guide.pdf
Pg 122
The total
effective tax rate on corporate profits is 34% (25% CIT [including
the 10% surtax] plus 9% SCT).</t>
        </r>
      </text>
    </comment>
    <comment ref="K99" authorId="0" shapeId="0">
      <text>
        <r>
          <rPr>
            <b/>
            <sz val="8"/>
            <color indexed="81"/>
            <rFont val="Tahoma"/>
            <family val="2"/>
          </rPr>
          <t>Ernst &amp; Young:</t>
        </r>
        <r>
          <rPr>
            <sz val="8"/>
            <color indexed="81"/>
            <rFont val="Tahoma"/>
            <family val="2"/>
          </rPr>
          <t xml:space="preserve">
Worldwide_corporate_tax_guide_2011.pdf
Pg 140
The total
effective tax rate on corporate profits is 34% (25% CIT [including
the 10% surtax] plus 9% SCT).</t>
        </r>
      </text>
    </comment>
    <comment ref="L99" authorId="0" shapeId="0">
      <text>
        <r>
          <rPr>
            <b/>
            <sz val="8"/>
            <color indexed="81"/>
            <rFont val="Tahoma"/>
            <family val="2"/>
          </rPr>
          <t>Ernst &amp; Young:</t>
        </r>
        <r>
          <rPr>
            <sz val="8"/>
            <color indexed="81"/>
            <rFont val="Tahoma"/>
            <family val="2"/>
          </rPr>
          <t xml:space="preserve">
Worldwide_Corporate_tax_guide_2012.pdf
Pg 158
The total
effective tax rate on corporate profits is 34% (25% CIT [including
the 10% surtax] plus 9% SCT).</t>
        </r>
      </text>
    </comment>
    <comment ref="M99" authorId="0" shapeId="0">
      <text>
        <r>
          <rPr>
            <b/>
            <sz val="8"/>
            <color indexed="81"/>
            <rFont val="Tahoma"/>
            <family val="2"/>
          </rPr>
          <t>Ernst &amp; Young:</t>
        </r>
        <r>
          <rPr>
            <sz val="8"/>
            <color indexed="81"/>
            <rFont val="Tahoma"/>
            <family val="2"/>
          </rPr>
          <t xml:space="preserve">
Worldwide_corporate_tax_guide_2013.pdf
Pg 173
The total
effective tax rate on corporate profits is 34% (25% CIT [including
the 10% surtax] plus 9% SCT).</t>
        </r>
      </text>
    </comment>
    <comment ref="N99" authorId="0" shapeId="0">
      <text>
        <r>
          <rPr>
            <b/>
            <sz val="8"/>
            <color indexed="81"/>
            <rFont val="Tahoma"/>
            <family val="2"/>
          </rPr>
          <t>Ernst &amp; Young:</t>
        </r>
        <r>
          <rPr>
            <sz val="8"/>
            <color indexed="81"/>
            <rFont val="Tahoma"/>
            <family val="2"/>
          </rPr>
          <t xml:space="preserve">
Worldwide_corporate_tax_guide_2014.pdf
Pg 177
The total effective tax rate on corporate profits is 34% (25% CIT [including the 10% surtax] plus 9% SCT)</t>
        </r>
      </text>
    </comment>
    <comment ref="G100" authorId="0" shapeId="0">
      <text>
        <r>
          <rPr>
            <b/>
            <sz val="8"/>
            <color indexed="81"/>
            <rFont val="Tahoma"/>
            <family val="2"/>
          </rPr>
          <t>Ernst &amp; Young:</t>
        </r>
        <r>
          <rPr>
            <sz val="8"/>
            <color indexed="81"/>
            <rFont val="Tahoma"/>
            <family val="2"/>
          </rPr>
          <t xml:space="preserve">
WW_corporate_tax_guide_2007.pdf
Pg 110</t>
        </r>
      </text>
    </comment>
    <comment ref="H100" authorId="0" shapeId="0">
      <text>
        <r>
          <rPr>
            <b/>
            <sz val="8"/>
            <color indexed="81"/>
            <rFont val="Tahoma"/>
            <family val="2"/>
          </rPr>
          <t>Ernst &amp; Young:</t>
        </r>
        <r>
          <rPr>
            <sz val="8"/>
            <color indexed="81"/>
            <rFont val="Tahoma"/>
            <family val="2"/>
          </rPr>
          <t xml:space="preserve">
WW_corporate_tax_guide_2008.pdf
Pg 1227</t>
        </r>
      </text>
    </comment>
    <comment ref="I100" authorId="0" shapeId="0">
      <text>
        <r>
          <rPr>
            <b/>
            <sz val="8"/>
            <color indexed="81"/>
            <rFont val="Tahoma"/>
            <family val="2"/>
          </rPr>
          <t>Ernst &amp; Young:</t>
        </r>
        <r>
          <rPr>
            <sz val="8"/>
            <color indexed="81"/>
            <rFont val="Tahoma"/>
            <family val="2"/>
          </rPr>
          <t xml:space="preserve">
worldwide corporate tax guide 2009.pdf
Pg 123</t>
        </r>
      </text>
    </comment>
    <comment ref="J100" authorId="0" shapeId="0">
      <text>
        <r>
          <rPr>
            <b/>
            <sz val="8"/>
            <color indexed="81"/>
            <rFont val="Tahoma"/>
            <family val="2"/>
          </rPr>
          <t>Ernst &amp; Young:</t>
        </r>
        <r>
          <rPr>
            <sz val="8"/>
            <color indexed="81"/>
            <rFont val="Tahoma"/>
            <family val="2"/>
          </rPr>
          <t xml:space="preserve">
2010 Corporate Tax Guide.pdf
Pg 134</t>
        </r>
      </text>
    </comment>
    <comment ref="K100" authorId="0" shapeId="0">
      <text>
        <r>
          <rPr>
            <b/>
            <sz val="8"/>
            <color indexed="81"/>
            <rFont val="Tahoma"/>
            <family val="2"/>
          </rPr>
          <t>Ernst &amp; Young:</t>
        </r>
        <r>
          <rPr>
            <sz val="8"/>
            <color indexed="81"/>
            <rFont val="Tahoma"/>
            <family val="2"/>
          </rPr>
          <t xml:space="preserve">
Worldwide_corporate_tax_guide_2011.pdf
Pg 153</t>
        </r>
      </text>
    </comment>
    <comment ref="L100" authorId="0" shapeId="0">
      <text>
        <r>
          <rPr>
            <b/>
            <sz val="8"/>
            <color indexed="81"/>
            <rFont val="Tahoma"/>
            <family val="2"/>
          </rPr>
          <t>Ernst &amp; Young:</t>
        </r>
        <r>
          <rPr>
            <sz val="8"/>
            <color indexed="81"/>
            <rFont val="Tahoma"/>
            <family val="2"/>
          </rPr>
          <t xml:space="preserve">
Worldwide_Corporate_tax_guide_2012.pdf
Pg 172</t>
        </r>
      </text>
    </comment>
    <comment ref="M100" authorId="0" shapeId="0">
      <text>
        <r>
          <rPr>
            <b/>
            <sz val="8"/>
            <color indexed="81"/>
            <rFont val="Tahoma"/>
            <family val="2"/>
          </rPr>
          <t>Ernst &amp; Young:</t>
        </r>
        <r>
          <rPr>
            <sz val="8"/>
            <color indexed="81"/>
            <rFont val="Tahoma"/>
            <family val="2"/>
          </rPr>
          <t xml:space="preserve">
Worldwide_corporate_tax_guide_2013.pdf
Pg 188</t>
        </r>
      </text>
    </comment>
    <comment ref="N100" authorId="0" shapeId="0">
      <text>
        <r>
          <rPr>
            <b/>
            <sz val="8"/>
            <color indexed="81"/>
            <rFont val="Tahoma"/>
            <family val="2"/>
          </rPr>
          <t>Ernst &amp; Young:</t>
        </r>
        <r>
          <rPr>
            <sz val="8"/>
            <color indexed="81"/>
            <rFont val="Tahoma"/>
            <family val="2"/>
          </rPr>
          <t xml:space="preserve">
Worldwide_corporate_tax_guide_2014.pdf
Pg 193</t>
        </r>
      </text>
    </comment>
    <comment ref="G101" authorId="0" shapeId="0">
      <text>
        <r>
          <rPr>
            <b/>
            <sz val="8"/>
            <color indexed="81"/>
            <rFont val="Tahoma"/>
            <family val="2"/>
          </rPr>
          <t>Ernst &amp; Young:</t>
        </r>
        <r>
          <rPr>
            <sz val="8"/>
            <color indexed="81"/>
            <rFont val="Tahoma"/>
            <family val="2"/>
          </rPr>
          <t xml:space="preserve">
WW_corporate_tax_guide_2007.pdf
Pg 124
22.12% Federal corporate income tax rate and additional tax is levied by the provinces and territories of Canada, and the combined federal and provincial or territorial rates on general income may vary from approximately 32.02% to 36.12%</t>
        </r>
      </text>
    </comment>
    <comment ref="H101" authorId="0" shapeId="0">
      <text>
        <r>
          <rPr>
            <b/>
            <sz val="8"/>
            <color indexed="81"/>
            <rFont val="Tahoma"/>
            <family val="2"/>
          </rPr>
          <t>Ernst &amp; Young:</t>
        </r>
        <r>
          <rPr>
            <sz val="8"/>
            <color indexed="81"/>
            <rFont val="Tahoma"/>
            <family val="2"/>
          </rPr>
          <t xml:space="preserve">
WW_corporate_tax_guide_2008.pdf
Pg 137
20.5% Federal corporate income tax rate and additional tax is levied by the provinces and territories of Canada, and the combined federal and provincial or territorial rates on general income may vary from approximately 30.5% to 36.5%</t>
        </r>
      </text>
    </comment>
    <comment ref="I101" authorId="0" shapeId="0">
      <text>
        <r>
          <rPr>
            <b/>
            <sz val="8"/>
            <color indexed="81"/>
            <rFont val="Tahoma"/>
            <family val="2"/>
          </rPr>
          <t>Ernst &amp; Young:</t>
        </r>
        <r>
          <rPr>
            <sz val="8"/>
            <color indexed="81"/>
            <rFont val="Tahoma"/>
            <family val="2"/>
          </rPr>
          <t xml:space="preserve">
Worldwide Corporate Tax Guide 2009.pdf
Pg 142
18% Federal corporate income tax rate and additional tax is levied by the provinces and territories of Canada, and the combined federal and provincial or territorial rates on general income may vary from approximately 29% to 35%</t>
        </r>
      </text>
    </comment>
    <comment ref="J101" authorId="0" shapeId="0">
      <text>
        <r>
          <rPr>
            <b/>
            <sz val="8"/>
            <color indexed="81"/>
            <rFont val="Tahoma"/>
            <family val="2"/>
          </rPr>
          <t>Ernst &amp; Young:</t>
        </r>
        <r>
          <rPr>
            <sz val="8"/>
            <color indexed="81"/>
            <rFont val="Tahoma"/>
            <family val="2"/>
          </rPr>
          <t xml:space="preserve">
2010 Corporate Tax Guide.pdf
Pg 154
18% Federal corporate income tax rate and additional tax is levied by the provinces and territories of Canada, and the combined federal and provincial or territorial rates on general income may vary from approximately 28% to 34%</t>
        </r>
      </text>
    </comment>
    <comment ref="K101" authorId="0" shapeId="0">
      <text>
        <r>
          <rPr>
            <b/>
            <sz val="8"/>
            <color indexed="81"/>
            <rFont val="Tahoma"/>
            <family val="2"/>
          </rPr>
          <t>Ernst &amp; Young:</t>
        </r>
        <r>
          <rPr>
            <sz val="8"/>
            <color indexed="81"/>
            <rFont val="Tahoma"/>
            <family val="2"/>
          </rPr>
          <t xml:space="preserve">
Worldwide_corporate_tax_guide_2011.pdf
Pg 174
16.5% Federal corporate income tax rate and additional tax is levied by the provinces and territories of Canada, and the combined federal and provincial or territorial rates on general income may vary from approximately 26.5% to 32.5%</t>
        </r>
      </text>
    </comment>
    <comment ref="L101" authorId="0" shapeId="0">
      <text>
        <r>
          <rPr>
            <b/>
            <sz val="8"/>
            <color indexed="81"/>
            <rFont val="Tahoma"/>
            <family val="2"/>
          </rPr>
          <t>Ernst &amp; Young:</t>
        </r>
        <r>
          <rPr>
            <sz val="8"/>
            <color indexed="81"/>
            <rFont val="Tahoma"/>
            <family val="2"/>
          </rPr>
          <t xml:space="preserve">
Worldwide_Corporate_tax_guide_2012.pdf
Pg 194
15.0% Federal corporate income tax rate and additional tax is levied by the provinces and territories of Canada, and the combined federal and provincial or territorial rates on general income may vary from approximately 28% to 34%</t>
        </r>
      </text>
    </comment>
    <comment ref="M101" authorId="0" shapeId="0">
      <text>
        <r>
          <rPr>
            <b/>
            <sz val="8"/>
            <color indexed="81"/>
            <rFont val="Tahoma"/>
            <family val="2"/>
          </rPr>
          <t>Ernst &amp; Young:</t>
        </r>
        <r>
          <rPr>
            <sz val="8"/>
            <color indexed="81"/>
            <rFont val="Tahoma"/>
            <family val="2"/>
          </rPr>
          <t xml:space="preserve">
Worldwide_corporate_tax_guide_2013.pdf
Pg 215
15.0% Federal corporate income tax rate and additional tax is levied by the provinces and territories of Canada, and the combined federal and provincial or territorial rates on general income may vary from approximately 20% to 31%</t>
        </r>
      </text>
    </comment>
    <comment ref="N101" authorId="0" shapeId="0">
      <text>
        <r>
          <rPr>
            <b/>
            <sz val="8"/>
            <color indexed="81"/>
            <rFont val="Tahoma"/>
            <family val="2"/>
          </rPr>
          <t>Ernst &amp; Young:</t>
        </r>
        <r>
          <rPr>
            <sz val="8"/>
            <color indexed="81"/>
            <rFont val="Tahoma"/>
            <family val="2"/>
          </rPr>
          <t xml:space="preserve">
Worldwide_corporate_tax_guide_2014.pdf
Pg 222
15.0% Federal corporate income tax rate and additional tax is levied by the provinces and territories of Canada, and the combined federal and provincial or territorial rates on general income may vary from approximately 10% to 16%
</t>
        </r>
      </text>
    </comment>
    <comment ref="G102" authorId="0" shapeId="0">
      <text>
        <r>
          <rPr>
            <b/>
            <sz val="8"/>
            <color indexed="81"/>
            <rFont val="Tahoma"/>
            <family val="2"/>
          </rPr>
          <t>Ernst &amp; Young:</t>
        </r>
        <r>
          <rPr>
            <sz val="8"/>
            <color indexed="81"/>
            <rFont val="Tahoma"/>
            <family val="2"/>
          </rPr>
          <t xml:space="preserve">
WW_corporate_tax_guide_2007.pdf
Pg 136</t>
        </r>
      </text>
    </comment>
    <comment ref="H102" authorId="0" shapeId="0">
      <text>
        <r>
          <rPr>
            <b/>
            <sz val="8"/>
            <color indexed="81"/>
            <rFont val="Tahoma"/>
            <family val="2"/>
          </rPr>
          <t>Ernst &amp; Young:</t>
        </r>
        <r>
          <rPr>
            <sz val="8"/>
            <color indexed="81"/>
            <rFont val="Tahoma"/>
            <family val="2"/>
          </rPr>
          <t xml:space="preserve">
WW_corporate_tax_guide_2008.pdf
Pg 1253</t>
        </r>
      </text>
    </comment>
    <comment ref="I102" authorId="0" shapeId="0">
      <text>
        <r>
          <rPr>
            <b/>
            <sz val="8"/>
            <color indexed="81"/>
            <rFont val="Tahoma"/>
            <family val="2"/>
          </rPr>
          <t>Ernst &amp; Young:</t>
        </r>
        <r>
          <rPr>
            <sz val="8"/>
            <color indexed="81"/>
            <rFont val="Tahoma"/>
            <family val="2"/>
          </rPr>
          <t xml:space="preserve">
worldwide corporate tax guide 2009.pdf
Pg 155</t>
        </r>
      </text>
    </comment>
    <comment ref="J102" authorId="0" shapeId="0">
      <text>
        <r>
          <rPr>
            <b/>
            <sz val="8"/>
            <color indexed="81"/>
            <rFont val="Tahoma"/>
            <family val="2"/>
          </rPr>
          <t>Ernst &amp; Young:</t>
        </r>
        <r>
          <rPr>
            <sz val="8"/>
            <color indexed="81"/>
            <rFont val="Tahoma"/>
            <family val="2"/>
          </rPr>
          <t xml:space="preserve">
2010 Corporate Tax Guide.pdf
Pg 169</t>
        </r>
      </text>
    </comment>
    <comment ref="K102" authorId="0" shapeId="0">
      <text>
        <r>
          <rPr>
            <b/>
            <sz val="8"/>
            <color indexed="81"/>
            <rFont val="Tahoma"/>
            <family val="2"/>
          </rPr>
          <t>Ernst &amp; Young:</t>
        </r>
        <r>
          <rPr>
            <sz val="8"/>
            <color indexed="81"/>
            <rFont val="Tahoma"/>
            <family val="2"/>
          </rPr>
          <t xml:space="preserve">
Worldwide_corporate_tax_guide_2011.pdf
Pg 189</t>
        </r>
      </text>
    </comment>
    <comment ref="L102" authorId="0" shapeId="0">
      <text>
        <r>
          <rPr>
            <b/>
            <sz val="8"/>
            <color indexed="81"/>
            <rFont val="Tahoma"/>
            <family val="2"/>
          </rPr>
          <t>Ernst &amp; Young:</t>
        </r>
        <r>
          <rPr>
            <sz val="8"/>
            <color indexed="81"/>
            <rFont val="Tahoma"/>
            <family val="2"/>
          </rPr>
          <t xml:space="preserve">
Worldwide_Corporate_tax_guide_2012.pdf
Pg 210</t>
        </r>
      </text>
    </comment>
    <comment ref="M102" authorId="0" shapeId="0">
      <text>
        <r>
          <rPr>
            <b/>
            <sz val="8"/>
            <color indexed="81"/>
            <rFont val="Tahoma"/>
            <family val="2"/>
          </rPr>
          <t>Ernst &amp; Young:</t>
        </r>
        <r>
          <rPr>
            <sz val="8"/>
            <color indexed="81"/>
            <rFont val="Tahoma"/>
            <family val="2"/>
          </rPr>
          <t xml:space="preserve">
Worldwide_corporate_tax_guide_2013.pdf
Pg 233</t>
        </r>
      </text>
    </comment>
    <comment ref="N102" authorId="0" shapeId="0">
      <text>
        <r>
          <rPr>
            <b/>
            <sz val="8"/>
            <color indexed="81"/>
            <rFont val="Tahoma"/>
            <family val="2"/>
          </rPr>
          <t>Ernst &amp; Young:</t>
        </r>
        <r>
          <rPr>
            <sz val="8"/>
            <color indexed="81"/>
            <rFont val="Tahoma"/>
            <family val="2"/>
          </rPr>
          <t xml:space="preserve">
Worldwide_corporate_tax_guide_2014.pdf
Pg 239</t>
        </r>
      </text>
    </comment>
    <comment ref="G104" authorId="0" shapeId="0">
      <text>
        <r>
          <rPr>
            <b/>
            <sz val="8"/>
            <color indexed="81"/>
            <rFont val="Tahoma"/>
            <family val="2"/>
          </rPr>
          <t>Ernst &amp; Young:</t>
        </r>
        <r>
          <rPr>
            <sz val="8"/>
            <color indexed="81"/>
            <rFont val="Tahoma"/>
            <family val="2"/>
          </rPr>
          <t xml:space="preserve">
WW_corporate_tax_guide_2007.pdf
Pg 139</t>
        </r>
      </text>
    </comment>
    <comment ref="H104" authorId="0" shapeId="0">
      <text>
        <r>
          <rPr>
            <b/>
            <sz val="8"/>
            <color indexed="81"/>
            <rFont val="Tahoma"/>
            <family val="2"/>
          </rPr>
          <t>Ernst &amp; Young:</t>
        </r>
        <r>
          <rPr>
            <sz val="8"/>
            <color indexed="81"/>
            <rFont val="Tahoma"/>
            <family val="2"/>
          </rPr>
          <t xml:space="preserve">
WW_corporate_tax_guide_2008.pdf
Pg 152
</t>
        </r>
      </text>
    </comment>
    <comment ref="I104" authorId="0" shapeId="0">
      <text>
        <r>
          <rPr>
            <b/>
            <sz val="8"/>
            <color indexed="81"/>
            <rFont val="Tahoma"/>
            <family val="2"/>
          </rPr>
          <t>Ernst &amp; Young:</t>
        </r>
        <r>
          <rPr>
            <sz val="8"/>
            <color indexed="81"/>
            <rFont val="Tahoma"/>
            <family val="2"/>
          </rPr>
          <t xml:space="preserve">
worldwide corporate tax guide 2009.pdf
Pg 158</t>
        </r>
      </text>
    </comment>
    <comment ref="J104" authorId="0" shapeId="0">
      <text>
        <r>
          <rPr>
            <b/>
            <sz val="8"/>
            <color indexed="81"/>
            <rFont val="Tahoma"/>
            <family val="2"/>
          </rPr>
          <t>Ernst &amp; Young:</t>
        </r>
        <r>
          <rPr>
            <sz val="8"/>
            <color indexed="81"/>
            <rFont val="Tahoma"/>
            <family val="2"/>
          </rPr>
          <t xml:space="preserve">
2010 Corporate Tax Guide.pdf
Pg 173</t>
        </r>
      </text>
    </comment>
    <comment ref="K104" authorId="0" shapeId="0">
      <text>
        <r>
          <rPr>
            <b/>
            <sz val="8"/>
            <color indexed="81"/>
            <rFont val="Tahoma"/>
            <family val="2"/>
          </rPr>
          <t>Ernst &amp; Young:</t>
        </r>
        <r>
          <rPr>
            <sz val="8"/>
            <color indexed="81"/>
            <rFont val="Tahoma"/>
            <family val="2"/>
          </rPr>
          <t xml:space="preserve">
Worldwide_corporate_tax_guide_2011.pdf
Pg 193
The corporate tax rate of 17% in temporarily increased to 20% in 2011 and 18.5% for 2012</t>
        </r>
      </text>
    </comment>
    <comment ref="L104" authorId="0" shapeId="0">
      <text>
        <r>
          <rPr>
            <b/>
            <sz val="8"/>
            <color indexed="81"/>
            <rFont val="Tahoma"/>
            <family val="2"/>
          </rPr>
          <t>Ernst &amp; Young:</t>
        </r>
        <r>
          <rPr>
            <sz val="8"/>
            <color indexed="81"/>
            <rFont val="Tahoma"/>
            <family val="2"/>
          </rPr>
          <t xml:space="preserve">
Worldwide_Corporate_tax_guide_2012.pdf
Pg 214
Corporate income tax rate of 17% is temporarily increased to 18.5% for 2012</t>
        </r>
      </text>
    </comment>
    <comment ref="M104" authorId="0" shapeId="0">
      <text>
        <r>
          <rPr>
            <b/>
            <sz val="8"/>
            <color indexed="81"/>
            <rFont val="Tahoma"/>
            <family val="2"/>
          </rPr>
          <t>Ernst &amp; Young:</t>
        </r>
        <r>
          <rPr>
            <sz val="8"/>
            <color indexed="81"/>
            <rFont val="Tahoma"/>
            <family val="2"/>
          </rPr>
          <t xml:space="preserve">
Worldwide_corporate_tax_guide_2013.pdf
Pg 243</t>
        </r>
      </text>
    </comment>
    <comment ref="N104" authorId="0" shapeId="0">
      <text>
        <r>
          <rPr>
            <b/>
            <sz val="8"/>
            <color indexed="81"/>
            <rFont val="Tahoma"/>
            <family val="2"/>
          </rPr>
          <t>Ernst &amp; Young:</t>
        </r>
        <r>
          <rPr>
            <sz val="8"/>
            <color indexed="81"/>
            <rFont val="Tahoma"/>
            <family val="2"/>
          </rPr>
          <t xml:space="preserve">
Worldwide_corporate_tax_guide_2014.pdf
Pg 249</t>
        </r>
      </text>
    </comment>
    <comment ref="G105" authorId="0" shapeId="0">
      <text>
        <r>
          <rPr>
            <b/>
            <sz val="8"/>
            <color indexed="81"/>
            <rFont val="Tahoma"/>
            <family val="2"/>
          </rPr>
          <t>Ernst &amp; Young:</t>
        </r>
        <r>
          <rPr>
            <sz val="8"/>
            <color indexed="81"/>
            <rFont val="Tahoma"/>
            <family val="2"/>
          </rPr>
          <t xml:space="preserve">
WW_corporate_tax_guide_2007.pdf
Pg 147</t>
        </r>
      </text>
    </comment>
    <comment ref="H105" authorId="0" shapeId="0">
      <text>
        <r>
          <rPr>
            <b/>
            <sz val="8"/>
            <color indexed="81"/>
            <rFont val="Tahoma"/>
            <family val="2"/>
          </rPr>
          <t>Ernst &amp; Young:</t>
        </r>
        <r>
          <rPr>
            <sz val="8"/>
            <color indexed="81"/>
            <rFont val="Tahoma"/>
            <family val="2"/>
          </rPr>
          <t xml:space="preserve">
WW_corporate_tax_guide_2008.pdf
Pg 152
</t>
        </r>
      </text>
    </comment>
    <comment ref="I105" authorId="0" shapeId="0">
      <text>
        <r>
          <rPr>
            <b/>
            <sz val="8"/>
            <color indexed="81"/>
            <rFont val="Tahoma"/>
            <family val="2"/>
          </rPr>
          <t>Ernst &amp; Young:</t>
        </r>
        <r>
          <rPr>
            <sz val="8"/>
            <color indexed="81"/>
            <rFont val="Tahoma"/>
            <family val="2"/>
          </rPr>
          <t xml:space="preserve">
worldwide corporate tax guide 2009.pdf
Pg 169</t>
        </r>
      </text>
    </comment>
    <comment ref="J105" authorId="0" shapeId="0">
      <text>
        <r>
          <rPr>
            <b/>
            <sz val="8"/>
            <color indexed="81"/>
            <rFont val="Tahoma"/>
            <family val="2"/>
          </rPr>
          <t>Ernst &amp; Young:</t>
        </r>
        <r>
          <rPr>
            <sz val="8"/>
            <color indexed="81"/>
            <rFont val="Tahoma"/>
            <family val="2"/>
          </rPr>
          <t xml:space="preserve">
2010 Corporate Tax Guide.pdf
Pg 184</t>
        </r>
      </text>
    </comment>
    <comment ref="K105" authorId="0" shapeId="0">
      <text>
        <r>
          <rPr>
            <b/>
            <sz val="8"/>
            <color indexed="81"/>
            <rFont val="Tahoma"/>
            <family val="2"/>
          </rPr>
          <t>Ernst &amp; Young:</t>
        </r>
        <r>
          <rPr>
            <sz val="8"/>
            <color indexed="81"/>
            <rFont val="Tahoma"/>
            <family val="2"/>
          </rPr>
          <t xml:space="preserve">
Worldwide_corporate_tax_guide_2011.pdf
Pg 205</t>
        </r>
      </text>
    </comment>
    <comment ref="L105" authorId="0" shapeId="0">
      <text>
        <r>
          <rPr>
            <b/>
            <sz val="8"/>
            <color indexed="81"/>
            <rFont val="Tahoma"/>
            <family val="2"/>
          </rPr>
          <t>Ernst &amp; Young:</t>
        </r>
        <r>
          <rPr>
            <sz val="8"/>
            <color indexed="81"/>
            <rFont val="Tahoma"/>
            <family val="2"/>
          </rPr>
          <t xml:space="preserve">
Worldwide_Corporate_tax_guide_2012.pdf
Pg 227</t>
        </r>
      </text>
    </comment>
    <comment ref="M105" authorId="0" shapeId="0">
      <text>
        <r>
          <rPr>
            <b/>
            <sz val="8"/>
            <color indexed="81"/>
            <rFont val="Tahoma"/>
            <family val="2"/>
          </rPr>
          <t>Ernst &amp; Young:</t>
        </r>
        <r>
          <rPr>
            <sz val="8"/>
            <color indexed="81"/>
            <rFont val="Tahoma"/>
            <family val="2"/>
          </rPr>
          <t xml:space="preserve">
Worldwide_corporate_tax_guide_2013.pdf
Pg 257</t>
        </r>
      </text>
    </comment>
    <comment ref="N105" authorId="0" shapeId="0">
      <text>
        <r>
          <rPr>
            <b/>
            <sz val="8"/>
            <color indexed="81"/>
            <rFont val="Tahoma"/>
            <family val="2"/>
          </rPr>
          <t>Ernst &amp; Young:</t>
        </r>
        <r>
          <rPr>
            <sz val="8"/>
            <color indexed="81"/>
            <rFont val="Tahoma"/>
            <family val="2"/>
          </rPr>
          <t xml:space="preserve">
Worldwide_corporate_tax_guide_2014.pdf
Pg 263</t>
        </r>
      </text>
    </comment>
    <comment ref="G106" authorId="0" shapeId="0">
      <text>
        <r>
          <rPr>
            <b/>
            <sz val="8"/>
            <color indexed="81"/>
            <rFont val="Tahoma"/>
            <family val="2"/>
          </rPr>
          <t>Ernst &amp; Young:</t>
        </r>
        <r>
          <rPr>
            <sz val="8"/>
            <color indexed="81"/>
            <rFont val="Tahoma"/>
            <family val="2"/>
          </rPr>
          <t xml:space="preserve">
WW_corporate_tax_guide_2007.pdf
Pg 157</t>
        </r>
      </text>
    </comment>
    <comment ref="H106" authorId="0" shapeId="0">
      <text>
        <r>
          <rPr>
            <b/>
            <sz val="8"/>
            <color indexed="81"/>
            <rFont val="Tahoma"/>
            <family val="2"/>
          </rPr>
          <t>Ernst &amp; Young:</t>
        </r>
        <r>
          <rPr>
            <sz val="8"/>
            <color indexed="81"/>
            <rFont val="Tahoma"/>
            <family val="2"/>
          </rPr>
          <t xml:space="preserve">
WW_corporate_tax_guide_2008.pdf
Pg 171
</t>
        </r>
      </text>
    </comment>
    <comment ref="I106" authorId="0" shapeId="0">
      <text>
        <r>
          <rPr>
            <b/>
            <sz val="8"/>
            <color indexed="81"/>
            <rFont val="Tahoma"/>
            <family val="2"/>
          </rPr>
          <t>Ernst &amp; Young:</t>
        </r>
        <r>
          <rPr>
            <sz val="8"/>
            <color indexed="81"/>
            <rFont val="Tahoma"/>
            <family val="2"/>
          </rPr>
          <t xml:space="preserve">
worldwide corporate tax guide 2009.pdf
Pg 179</t>
        </r>
      </text>
    </comment>
    <comment ref="J106" authorId="0" shapeId="0">
      <text>
        <r>
          <rPr>
            <b/>
            <sz val="8"/>
            <color indexed="81"/>
            <rFont val="Tahoma"/>
            <family val="2"/>
          </rPr>
          <t>Ernst &amp; Young:</t>
        </r>
        <r>
          <rPr>
            <sz val="8"/>
            <color indexed="81"/>
            <rFont val="Tahoma"/>
            <family val="2"/>
          </rPr>
          <t xml:space="preserve">
2010 Corporate Tax Guide.pdf
Pg 196</t>
        </r>
      </text>
    </comment>
    <comment ref="K106" authorId="0" shapeId="0">
      <text>
        <r>
          <rPr>
            <b/>
            <sz val="8"/>
            <color indexed="81"/>
            <rFont val="Tahoma"/>
            <family val="2"/>
          </rPr>
          <t>Ernst &amp; Young:</t>
        </r>
        <r>
          <rPr>
            <sz val="8"/>
            <color indexed="81"/>
            <rFont val="Tahoma"/>
            <family val="2"/>
          </rPr>
          <t xml:space="preserve">
Worldwide_corporate_tax_guide_2011.pdf
Pg 217</t>
        </r>
      </text>
    </comment>
    <comment ref="L106" authorId="0" shapeId="0">
      <text>
        <r>
          <rPr>
            <b/>
            <sz val="8"/>
            <color indexed="81"/>
            <rFont val="Tahoma"/>
            <family val="2"/>
          </rPr>
          <t>Ernst &amp; Young:</t>
        </r>
        <r>
          <rPr>
            <sz val="8"/>
            <color indexed="81"/>
            <rFont val="Tahoma"/>
            <family val="2"/>
          </rPr>
          <t xml:space="preserve">
Worldwide_Corporate_tax_guide_2012.pdf
Pg 240
Reduced and gradually increasing income tax rates exist.</t>
        </r>
      </text>
    </comment>
    <comment ref="M106" authorId="0" shapeId="0">
      <text>
        <r>
          <rPr>
            <b/>
            <sz val="8"/>
            <color indexed="81"/>
            <rFont val="Tahoma"/>
            <family val="2"/>
          </rPr>
          <t>Ernst &amp; Young:</t>
        </r>
        <r>
          <rPr>
            <sz val="8"/>
            <color indexed="81"/>
            <rFont val="Tahoma"/>
            <family val="2"/>
          </rPr>
          <t xml:space="preserve">
Worldwide_corporate_tax_guide_2013.pdf
Pg 272
Reduced and gradually increasing income tax rates exist.</t>
        </r>
      </text>
    </comment>
    <comment ref="N106" authorId="0" shapeId="0">
      <text>
        <r>
          <rPr>
            <b/>
            <sz val="8"/>
            <color indexed="81"/>
            <rFont val="Tahoma"/>
            <family val="2"/>
          </rPr>
          <t>Ernst &amp; Young:</t>
        </r>
        <r>
          <rPr>
            <sz val="8"/>
            <color indexed="81"/>
            <rFont val="Tahoma"/>
            <family val="2"/>
          </rPr>
          <t xml:space="preserve">
Worldwide_corporate_tax_guide_2014.pdf
Pg 278
Reduced and gradually increasing income tax rates exist.</t>
        </r>
      </text>
    </comment>
    <comment ref="G107" authorId="0" shapeId="0">
      <text>
        <r>
          <rPr>
            <b/>
            <sz val="8"/>
            <color indexed="81"/>
            <rFont val="Tahoma"/>
            <family val="2"/>
          </rPr>
          <t>Ernst &amp; Young:</t>
        </r>
        <r>
          <rPr>
            <sz val="8"/>
            <color indexed="81"/>
            <rFont val="Tahoma"/>
            <family val="2"/>
          </rPr>
          <t xml:space="preserve">
WW_corporate_tax_guide_2007.pdf
Pg 180</t>
        </r>
      </text>
    </comment>
    <comment ref="H107" authorId="0" shapeId="0">
      <text>
        <r>
          <rPr>
            <b/>
            <sz val="8"/>
            <color indexed="81"/>
            <rFont val="Tahoma"/>
            <family val="2"/>
          </rPr>
          <t>Ernst &amp; Young:</t>
        </r>
        <r>
          <rPr>
            <sz val="8"/>
            <color indexed="81"/>
            <rFont val="Tahoma"/>
            <family val="2"/>
          </rPr>
          <t xml:space="preserve">
WW_corporate_tax_guide_2008.pdf
Pg 1300</t>
        </r>
      </text>
    </comment>
    <comment ref="I107" authorId="0" shapeId="0">
      <text>
        <r>
          <rPr>
            <b/>
            <sz val="8"/>
            <color indexed="81"/>
            <rFont val="Tahoma"/>
            <family val="2"/>
          </rPr>
          <t>Ernst &amp; Young:</t>
        </r>
        <r>
          <rPr>
            <sz val="8"/>
            <color indexed="81"/>
            <rFont val="Tahoma"/>
            <family val="2"/>
          </rPr>
          <t xml:space="preserve">
worldwide corporate tax guide 2009.pdf
Pg 204</t>
        </r>
      </text>
    </comment>
    <comment ref="J107" authorId="0" shapeId="0">
      <text>
        <r>
          <rPr>
            <b/>
            <sz val="8"/>
            <color indexed="81"/>
            <rFont val="Tahoma"/>
            <family val="2"/>
          </rPr>
          <t>Ernst &amp; Young:</t>
        </r>
        <r>
          <rPr>
            <sz val="8"/>
            <color indexed="81"/>
            <rFont val="Tahoma"/>
            <family val="2"/>
          </rPr>
          <t xml:space="preserve">
2010 Corporate Tax Guide.pdf
Pg 227</t>
        </r>
      </text>
    </comment>
    <comment ref="K107" authorId="0" shapeId="0">
      <text>
        <r>
          <rPr>
            <b/>
            <sz val="8"/>
            <color indexed="81"/>
            <rFont val="Tahoma"/>
            <family val="2"/>
          </rPr>
          <t>Ernst &amp; Young:</t>
        </r>
        <r>
          <rPr>
            <sz val="8"/>
            <color indexed="81"/>
            <rFont val="Tahoma"/>
            <family val="2"/>
          </rPr>
          <t xml:space="preserve">
Worldwide_corporate_tax_guide_2011.pdf
Pg 249</t>
        </r>
      </text>
    </comment>
    <comment ref="L107" authorId="0" shapeId="0">
      <text>
        <r>
          <rPr>
            <b/>
            <sz val="8"/>
            <color indexed="81"/>
            <rFont val="Tahoma"/>
            <family val="2"/>
          </rPr>
          <t>Ernst &amp; Young:</t>
        </r>
        <r>
          <rPr>
            <sz val="8"/>
            <color indexed="81"/>
            <rFont val="Tahoma"/>
            <family val="2"/>
          </rPr>
          <t xml:space="preserve">
Worldwide_Corporate_tax_guide_2012.pdf
Pg 271</t>
        </r>
      </text>
    </comment>
    <comment ref="M107" authorId="0" shapeId="0">
      <text>
        <r>
          <rPr>
            <b/>
            <sz val="8"/>
            <color indexed="81"/>
            <rFont val="Tahoma"/>
            <family val="2"/>
          </rPr>
          <t>Ernst &amp; Young:</t>
        </r>
        <r>
          <rPr>
            <sz val="8"/>
            <color indexed="81"/>
            <rFont val="Tahoma"/>
            <family val="2"/>
          </rPr>
          <t xml:space="preserve">
Worldwide_corporate_tax_guide_2013.pdf
Pg 306</t>
        </r>
      </text>
    </comment>
    <comment ref="N107" authorId="0" shapeId="0">
      <text>
        <r>
          <rPr>
            <b/>
            <sz val="8"/>
            <color indexed="81"/>
            <rFont val="Tahoma"/>
            <family val="2"/>
          </rPr>
          <t>Ernst &amp; Young:</t>
        </r>
        <r>
          <rPr>
            <sz val="8"/>
            <color indexed="81"/>
            <rFont val="Tahoma"/>
            <family val="2"/>
          </rPr>
          <t xml:space="preserve">
Worldwide_corporate_tax_guide_2014.pdf
Pg 312</t>
        </r>
      </text>
    </comment>
    <comment ref="G108" authorId="0" shapeId="0">
      <text>
        <r>
          <rPr>
            <b/>
            <sz val="8"/>
            <color indexed="81"/>
            <rFont val="Tahoma"/>
            <family val="2"/>
          </rPr>
          <t>Ernst &amp; Young:</t>
        </r>
        <r>
          <rPr>
            <sz val="8"/>
            <color indexed="81"/>
            <rFont val="Tahoma"/>
            <family val="2"/>
          </rPr>
          <t xml:space="preserve">
WW_corporate_tax_guide_2007.pdf
Pg 186</t>
        </r>
      </text>
    </comment>
    <comment ref="H108" authorId="0" shapeId="0">
      <text>
        <r>
          <rPr>
            <b/>
            <sz val="8"/>
            <color indexed="81"/>
            <rFont val="Tahoma"/>
            <family val="2"/>
          </rPr>
          <t>Ernst &amp; Young:</t>
        </r>
        <r>
          <rPr>
            <sz val="8"/>
            <color indexed="81"/>
            <rFont val="Tahoma"/>
            <family val="2"/>
          </rPr>
          <t xml:space="preserve">
WW_corporate_tax_guide_2008.pdf
Pg 1306</t>
        </r>
      </text>
    </comment>
    <comment ref="I108" authorId="0" shapeId="0">
      <text>
        <r>
          <rPr>
            <b/>
            <sz val="8"/>
            <color indexed="81"/>
            <rFont val="Tahoma"/>
            <family val="2"/>
          </rPr>
          <t>Ernst &amp; Young:</t>
        </r>
        <r>
          <rPr>
            <sz val="8"/>
            <color indexed="81"/>
            <rFont val="Tahoma"/>
            <family val="2"/>
          </rPr>
          <t xml:space="preserve">
worldwide corporate tax guide 2009.pdf
Pg 210</t>
        </r>
      </text>
    </comment>
    <comment ref="J108" authorId="0" shapeId="0">
      <text>
        <r>
          <rPr>
            <b/>
            <sz val="8"/>
            <color indexed="81"/>
            <rFont val="Tahoma"/>
            <family val="2"/>
          </rPr>
          <t>Ernst &amp; Young:</t>
        </r>
        <r>
          <rPr>
            <sz val="8"/>
            <color indexed="81"/>
            <rFont val="Tahoma"/>
            <family val="2"/>
          </rPr>
          <t xml:space="preserve">
2010 Corporate Tax Guide.pdf
Pg 233</t>
        </r>
      </text>
    </comment>
    <comment ref="K108" authorId="0" shapeId="0">
      <text>
        <r>
          <rPr>
            <b/>
            <sz val="8"/>
            <color indexed="81"/>
            <rFont val="Tahoma"/>
            <family val="2"/>
          </rPr>
          <t>Ernst &amp; Young:</t>
        </r>
        <r>
          <rPr>
            <sz val="8"/>
            <color indexed="81"/>
            <rFont val="Tahoma"/>
            <family val="2"/>
          </rPr>
          <t xml:space="preserve">
Worldwide_corporate_tax_guide_2011.pdf
Pg 263</t>
        </r>
      </text>
    </comment>
    <comment ref="L108" authorId="0" shapeId="0">
      <text>
        <r>
          <rPr>
            <b/>
            <sz val="8"/>
            <color indexed="81"/>
            <rFont val="Tahoma"/>
            <family val="2"/>
          </rPr>
          <t>Ernst &amp; Young:</t>
        </r>
        <r>
          <rPr>
            <sz val="8"/>
            <color indexed="81"/>
            <rFont val="Tahoma"/>
            <family val="2"/>
          </rPr>
          <t xml:space="preserve">
Worldwide_Corporate_tax_guide_2012.pdf
Pg 286</t>
        </r>
      </text>
    </comment>
    <comment ref="M108" authorId="0" shapeId="0">
      <text>
        <r>
          <rPr>
            <b/>
            <sz val="8"/>
            <color indexed="81"/>
            <rFont val="Tahoma"/>
            <family val="2"/>
          </rPr>
          <t>Ernst &amp; Young:</t>
        </r>
        <r>
          <rPr>
            <sz val="8"/>
            <color indexed="81"/>
            <rFont val="Tahoma"/>
            <family val="2"/>
          </rPr>
          <t xml:space="preserve">
Worldwide_corporate_tax_guide_2013.pdf
Pg 323</t>
        </r>
      </text>
    </comment>
    <comment ref="N108" authorId="0" shapeId="0">
      <text>
        <r>
          <rPr>
            <b/>
            <sz val="8"/>
            <color indexed="81"/>
            <rFont val="Tahoma"/>
            <family val="2"/>
          </rPr>
          <t>Ernst &amp; Young:</t>
        </r>
        <r>
          <rPr>
            <sz val="8"/>
            <color indexed="81"/>
            <rFont val="Tahoma"/>
            <family val="2"/>
          </rPr>
          <t xml:space="preserve">
Worldwide_corporate_tax_guide_2014.pdf
Pg 329</t>
        </r>
      </text>
    </comment>
    <comment ref="G109" authorId="0" shapeId="0">
      <text>
        <r>
          <rPr>
            <b/>
            <sz val="8"/>
            <color indexed="81"/>
            <rFont val="Tahoma"/>
            <family val="2"/>
          </rPr>
          <t>Ernst &amp; Young:</t>
        </r>
        <r>
          <rPr>
            <sz val="8"/>
            <color indexed="81"/>
            <rFont val="Tahoma"/>
            <family val="2"/>
          </rPr>
          <t xml:space="preserve">
WW_corporate_tax_guide_2007.pdf
Pg 190</t>
        </r>
      </text>
    </comment>
    <comment ref="H109" authorId="0" shapeId="0">
      <text>
        <r>
          <rPr>
            <b/>
            <sz val="8"/>
            <color indexed="81"/>
            <rFont val="Tahoma"/>
            <family val="2"/>
          </rPr>
          <t>Ernst &amp; Young:</t>
        </r>
        <r>
          <rPr>
            <sz val="8"/>
            <color indexed="81"/>
            <rFont val="Tahoma"/>
            <family val="2"/>
          </rPr>
          <t xml:space="preserve">
WW_corporate_tax_guide_2008.pdf
Pg 206</t>
        </r>
      </text>
    </comment>
    <comment ref="I109" authorId="0" shapeId="0">
      <text>
        <r>
          <rPr>
            <b/>
            <sz val="8"/>
            <color indexed="81"/>
            <rFont val="Tahoma"/>
            <family val="2"/>
          </rPr>
          <t>Ernst &amp; Young:</t>
        </r>
        <r>
          <rPr>
            <sz val="8"/>
            <color indexed="81"/>
            <rFont val="Tahoma"/>
            <family val="2"/>
          </rPr>
          <t xml:space="preserve">
worldwide corporate tax guide 2009.pdf
Pg 214</t>
        </r>
      </text>
    </comment>
    <comment ref="J109" authorId="0" shapeId="0">
      <text>
        <r>
          <rPr>
            <b/>
            <sz val="8"/>
            <color indexed="81"/>
            <rFont val="Tahoma"/>
            <family val="2"/>
          </rPr>
          <t>Ernst &amp; Young:</t>
        </r>
        <r>
          <rPr>
            <sz val="8"/>
            <color indexed="81"/>
            <rFont val="Tahoma"/>
            <family val="2"/>
          </rPr>
          <t xml:space="preserve">
2010 Corporate Tax Guide.pdf
Pg 237</t>
        </r>
      </text>
    </comment>
    <comment ref="K109" authorId="0" shapeId="0">
      <text>
        <r>
          <rPr>
            <b/>
            <sz val="8"/>
            <color indexed="81"/>
            <rFont val="Tahoma"/>
            <family val="2"/>
          </rPr>
          <t>Ernst &amp; Young:</t>
        </r>
        <r>
          <rPr>
            <sz val="8"/>
            <color indexed="81"/>
            <rFont val="Tahoma"/>
            <family val="2"/>
          </rPr>
          <t xml:space="preserve">
Worldwide_corporate_tax_guide_2011.pdf
Pg 268
</t>
        </r>
      </text>
    </comment>
    <comment ref="L109" authorId="0" shapeId="0">
      <text>
        <r>
          <rPr>
            <b/>
            <sz val="8"/>
            <color indexed="81"/>
            <rFont val="Tahoma"/>
            <family val="2"/>
          </rPr>
          <t>Ernst &amp; Young:</t>
        </r>
        <r>
          <rPr>
            <sz val="8"/>
            <color indexed="81"/>
            <rFont val="Tahoma"/>
            <family val="2"/>
          </rPr>
          <t xml:space="preserve">
Worldwide_Corporate_tax_guide_2012.pdf
Pg 290</t>
        </r>
      </text>
    </comment>
    <comment ref="M109" authorId="0" shapeId="0">
      <text>
        <r>
          <rPr>
            <b/>
            <sz val="8"/>
            <color indexed="81"/>
            <rFont val="Tahoma"/>
            <family val="2"/>
          </rPr>
          <t>Ernst &amp; Young:</t>
        </r>
        <r>
          <rPr>
            <sz val="8"/>
            <color indexed="81"/>
            <rFont val="Tahoma"/>
            <family val="2"/>
          </rPr>
          <t xml:space="preserve">
Worldwide_corporate_tax_guide_2013.pdf
Pg 329</t>
        </r>
      </text>
    </comment>
    <comment ref="N109" authorId="0" shapeId="0">
      <text>
        <r>
          <rPr>
            <b/>
            <sz val="8"/>
            <color indexed="81"/>
            <rFont val="Tahoma"/>
            <family val="2"/>
          </rPr>
          <t>Ernst &amp; Young:</t>
        </r>
        <r>
          <rPr>
            <sz val="8"/>
            <color indexed="81"/>
            <rFont val="Tahoma"/>
            <family val="2"/>
          </rPr>
          <t xml:space="preserve">
Worldwide_corporate_tax_guide_2014.pdf
Pg 335</t>
        </r>
      </text>
    </comment>
    <comment ref="G110" authorId="0" shapeId="0">
      <text>
        <r>
          <rPr>
            <b/>
            <sz val="8"/>
            <color indexed="81"/>
            <rFont val="Tahoma"/>
            <family val="2"/>
          </rPr>
          <t>Ernst &amp; Young:</t>
        </r>
        <r>
          <rPr>
            <sz val="8"/>
            <color indexed="81"/>
            <rFont val="Tahoma"/>
            <family val="2"/>
          </rPr>
          <t xml:space="preserve">
WW_corporate_tax_guide_2007.pdf
Pg 202</t>
        </r>
      </text>
    </comment>
    <comment ref="H110" authorId="0" shapeId="0">
      <text>
        <r>
          <rPr>
            <b/>
            <sz val="8"/>
            <color indexed="81"/>
            <rFont val="Tahoma"/>
            <family val="2"/>
          </rPr>
          <t>Ernst &amp; Young:</t>
        </r>
        <r>
          <rPr>
            <sz val="8"/>
            <color indexed="81"/>
            <rFont val="Tahoma"/>
            <family val="2"/>
          </rPr>
          <t xml:space="preserve">
WW_corporate_tax_guide_2008.pdf
Pg 1322</t>
        </r>
      </text>
    </comment>
    <comment ref="I110" authorId="0" shapeId="0">
      <text>
        <r>
          <rPr>
            <b/>
            <sz val="8"/>
            <color indexed="81"/>
            <rFont val="Tahoma"/>
            <family val="2"/>
          </rPr>
          <t>Ernst &amp; Young:</t>
        </r>
        <r>
          <rPr>
            <sz val="8"/>
            <color indexed="81"/>
            <rFont val="Tahoma"/>
            <family val="2"/>
          </rPr>
          <t xml:space="preserve">
worldwide corporate tax guide 2009.pdf
Pg 229</t>
        </r>
      </text>
    </comment>
    <comment ref="J110" authorId="0" shapeId="0">
      <text>
        <r>
          <rPr>
            <b/>
            <sz val="8"/>
            <color indexed="81"/>
            <rFont val="Tahoma"/>
            <family val="2"/>
          </rPr>
          <t>Ernst &amp; Young:</t>
        </r>
        <r>
          <rPr>
            <sz val="8"/>
            <color indexed="81"/>
            <rFont val="Tahoma"/>
            <family val="2"/>
          </rPr>
          <t xml:space="preserve">
2010 Corporate Tax Guide.pdf
Pg 251</t>
        </r>
      </text>
    </comment>
    <comment ref="K110" authorId="0" shapeId="0">
      <text>
        <r>
          <rPr>
            <b/>
            <sz val="8"/>
            <color indexed="81"/>
            <rFont val="Tahoma"/>
            <family val="2"/>
          </rPr>
          <t>Ernst &amp; Young:</t>
        </r>
        <r>
          <rPr>
            <sz val="8"/>
            <color indexed="81"/>
            <rFont val="Tahoma"/>
            <family val="2"/>
          </rPr>
          <t xml:space="preserve">
Worldwide_corporate_tax_guide_2011.pdf
Pg 281</t>
        </r>
      </text>
    </comment>
    <comment ref="L110" authorId="0" shapeId="0">
      <text>
        <r>
          <rPr>
            <b/>
            <sz val="8"/>
            <color indexed="81"/>
            <rFont val="Tahoma"/>
            <family val="2"/>
          </rPr>
          <t>Ernst &amp; Young:</t>
        </r>
        <r>
          <rPr>
            <sz val="8"/>
            <color indexed="81"/>
            <rFont val="Tahoma"/>
            <family val="2"/>
          </rPr>
          <t xml:space="preserve">
Worldwide_Corporate_tax_guide_2012.pdf
Pg 304</t>
        </r>
      </text>
    </comment>
    <comment ref="M110" authorId="0" shapeId="0">
      <text>
        <r>
          <rPr>
            <b/>
            <sz val="8"/>
            <color indexed="81"/>
            <rFont val="Tahoma"/>
            <family val="2"/>
          </rPr>
          <t>Ernst &amp; Young:</t>
        </r>
        <r>
          <rPr>
            <sz val="8"/>
            <color indexed="81"/>
            <rFont val="Tahoma"/>
            <family val="2"/>
          </rPr>
          <t xml:space="preserve">
Worldwide_corporate_tax_guide_2013.pdf
Pg 346</t>
        </r>
      </text>
    </comment>
    <comment ref="N110" authorId="0" shapeId="0">
      <text>
        <r>
          <rPr>
            <b/>
            <sz val="8"/>
            <color indexed="81"/>
            <rFont val="Tahoma"/>
            <family val="2"/>
          </rPr>
          <t>Ernst &amp; Young:</t>
        </r>
        <r>
          <rPr>
            <sz val="8"/>
            <color indexed="81"/>
            <rFont val="Tahoma"/>
            <family val="2"/>
          </rPr>
          <t xml:space="preserve">
Worldwide_corporate_tax_guide_2014.pdf
Pg 352
The corporate income tax rate will gradually be lowered from 24.5% in the 2014 income year to 22% in the 2016 income year.</t>
        </r>
      </text>
    </comment>
    <comment ref="G111" authorId="0" shapeId="0">
      <text>
        <r>
          <rPr>
            <b/>
            <sz val="8"/>
            <color indexed="81"/>
            <rFont val="Tahoma"/>
            <family val="2"/>
          </rPr>
          <t>Ernst &amp; Young:</t>
        </r>
        <r>
          <rPr>
            <sz val="8"/>
            <color indexed="81"/>
            <rFont val="Tahoma"/>
            <family val="2"/>
          </rPr>
          <t xml:space="preserve">
WW_corporate_tax_guide_2007.pdf
Pg 219</t>
        </r>
      </text>
    </comment>
    <comment ref="H111" authorId="0" shapeId="0">
      <text>
        <r>
          <rPr>
            <b/>
            <sz val="8"/>
            <color indexed="81"/>
            <rFont val="Tahoma"/>
            <family val="2"/>
          </rPr>
          <t>Ernst &amp; Young:</t>
        </r>
        <r>
          <rPr>
            <sz val="8"/>
            <color indexed="81"/>
            <rFont val="Tahoma"/>
            <family val="2"/>
          </rPr>
          <t xml:space="preserve">
WW_corporate_tax_guide_2008.pdf
Pg 237</t>
        </r>
      </text>
    </comment>
    <comment ref="I111" authorId="0" shapeId="0">
      <text>
        <r>
          <rPr>
            <b/>
            <sz val="8"/>
            <color indexed="81"/>
            <rFont val="Tahoma"/>
            <family val="2"/>
          </rPr>
          <t>Ernst &amp; Young:</t>
        </r>
        <r>
          <rPr>
            <sz val="8"/>
            <color indexed="81"/>
            <rFont val="Tahoma"/>
            <family val="2"/>
          </rPr>
          <t xml:space="preserve">
worldwide corporate tax guide 2009.pdf
Pg 249</t>
        </r>
      </text>
    </comment>
    <comment ref="J111" authorId="0" shapeId="0">
      <text>
        <r>
          <rPr>
            <b/>
            <sz val="8"/>
            <color indexed="81"/>
            <rFont val="Tahoma"/>
            <family val="2"/>
          </rPr>
          <t>Ernst &amp; Young:</t>
        </r>
        <r>
          <rPr>
            <sz val="8"/>
            <color indexed="81"/>
            <rFont val="Tahoma"/>
            <family val="2"/>
          </rPr>
          <t xml:space="preserve">
2010 Corporate Tax Guide.pdf
Pg 273</t>
        </r>
      </text>
    </comment>
    <comment ref="K111" authorId="0" shapeId="0">
      <text>
        <r>
          <rPr>
            <b/>
            <sz val="8"/>
            <color indexed="81"/>
            <rFont val="Tahoma"/>
            <family val="2"/>
          </rPr>
          <t>Ernst &amp; Young:</t>
        </r>
        <r>
          <rPr>
            <sz val="8"/>
            <color indexed="81"/>
            <rFont val="Tahoma"/>
            <family val="2"/>
          </rPr>
          <t xml:space="preserve">
Worldwide_corporate_tax_guide_2011.pdf
Pg 303
</t>
        </r>
      </text>
    </comment>
    <comment ref="L111" authorId="0" shapeId="0">
      <text>
        <r>
          <rPr>
            <b/>
            <sz val="8"/>
            <color indexed="81"/>
            <rFont val="Tahoma"/>
            <family val="2"/>
          </rPr>
          <t>Ernst &amp; Young:</t>
        </r>
        <r>
          <rPr>
            <sz val="8"/>
            <color indexed="81"/>
            <rFont val="Tahoma"/>
            <family val="2"/>
          </rPr>
          <t xml:space="preserve">
Worldwide_Corporate_tax_guide_2012.pdf
Pg 327
The standard rates of corporate profit tax are 20% and 25%</t>
        </r>
      </text>
    </comment>
    <comment ref="M111" authorId="0" shapeId="0">
      <text>
        <r>
          <rPr>
            <b/>
            <sz val="8"/>
            <color indexed="81"/>
            <rFont val="Tahoma"/>
            <family val="2"/>
          </rPr>
          <t>Ernst &amp; Young:</t>
        </r>
        <r>
          <rPr>
            <sz val="8"/>
            <color indexed="81"/>
            <rFont val="Tahoma"/>
            <family val="2"/>
          </rPr>
          <t xml:space="preserve">
Worldwide_corporate_tax_guide_2013.pdf
Pg 373
The standard rates for corporate profit tax are 20.0% and 25.0%</t>
        </r>
      </text>
    </comment>
    <comment ref="N111" authorId="0" shapeId="0">
      <text>
        <r>
          <rPr>
            <b/>
            <sz val="8"/>
            <color indexed="81"/>
            <rFont val="Tahoma"/>
            <family val="2"/>
          </rPr>
          <t>Ernst &amp; Young:</t>
        </r>
        <r>
          <rPr>
            <sz val="8"/>
            <color indexed="81"/>
            <rFont val="Tahoma"/>
            <family val="2"/>
          </rPr>
          <t xml:space="preserve">
Worldwide_corporate_tax_guide_2014.pdf
Pg 379</t>
        </r>
      </text>
    </comment>
    <comment ref="G112" authorId="0" shapeId="0">
      <text>
        <r>
          <rPr>
            <b/>
            <sz val="8"/>
            <color indexed="81"/>
            <rFont val="Tahoma"/>
            <family val="2"/>
          </rPr>
          <t>Ernst &amp; Young:</t>
        </r>
        <r>
          <rPr>
            <sz val="8"/>
            <color indexed="81"/>
            <rFont val="Tahoma"/>
            <family val="2"/>
          </rPr>
          <t xml:space="preserve">
WW_corporate_tax_guide_2007.pdf
Pg 246</t>
        </r>
      </text>
    </comment>
    <comment ref="H112" authorId="0" shapeId="0">
      <text>
        <r>
          <rPr>
            <b/>
            <sz val="8"/>
            <color indexed="81"/>
            <rFont val="Tahoma"/>
            <family val="2"/>
          </rPr>
          <t>Ernst &amp; Young:</t>
        </r>
        <r>
          <rPr>
            <sz val="8"/>
            <color indexed="81"/>
            <rFont val="Tahoma"/>
            <family val="2"/>
          </rPr>
          <t xml:space="preserve">
WW_corporate_tax_guide_2008.pdf
Pg 1369</t>
        </r>
      </text>
    </comment>
    <comment ref="I112" authorId="0" shapeId="0">
      <text>
        <r>
          <rPr>
            <b/>
            <sz val="8"/>
            <color indexed="81"/>
            <rFont val="Tahoma"/>
            <family val="2"/>
          </rPr>
          <t>Ernst &amp; Young:</t>
        </r>
        <r>
          <rPr>
            <sz val="8"/>
            <color indexed="81"/>
            <rFont val="Tahoma"/>
            <family val="2"/>
          </rPr>
          <t xml:space="preserve">
worldwide corporate tax guide 2009.pdf
Pg 278</t>
        </r>
      </text>
    </comment>
    <comment ref="J112" authorId="0" shapeId="0">
      <text>
        <r>
          <rPr>
            <b/>
            <sz val="8"/>
            <color indexed="81"/>
            <rFont val="Tahoma"/>
            <family val="2"/>
          </rPr>
          <t>Ernst &amp; Young:</t>
        </r>
        <r>
          <rPr>
            <sz val="8"/>
            <color indexed="81"/>
            <rFont val="Tahoma"/>
            <family val="2"/>
          </rPr>
          <t xml:space="preserve">
2010 Corporate Tax Guide.pdf
Pg 303</t>
        </r>
      </text>
    </comment>
    <comment ref="K112" authorId="0" shapeId="0">
      <text>
        <r>
          <rPr>
            <b/>
            <sz val="8"/>
            <color indexed="81"/>
            <rFont val="Tahoma"/>
            <family val="2"/>
          </rPr>
          <t>Ernst &amp; Young:</t>
        </r>
        <r>
          <rPr>
            <sz val="8"/>
            <color indexed="81"/>
            <rFont val="Tahoma"/>
            <family val="2"/>
          </rPr>
          <t xml:space="preserve">
Worldwide_corporate_tax_guide_2011.pdf
Pg 335</t>
        </r>
      </text>
    </comment>
    <comment ref="L112" authorId="0" shapeId="0">
      <text>
        <r>
          <rPr>
            <b/>
            <sz val="8"/>
            <color indexed="81"/>
            <rFont val="Tahoma"/>
            <family val="2"/>
          </rPr>
          <t>Ernst &amp; Young:</t>
        </r>
        <r>
          <rPr>
            <sz val="8"/>
            <color indexed="81"/>
            <rFont val="Tahoma"/>
            <family val="2"/>
          </rPr>
          <t xml:space="preserve">
Worldwide_Corporate_tax_guide_2012.pdf
Pg 360</t>
        </r>
      </text>
    </comment>
    <comment ref="M112" authorId="0" shapeId="0">
      <text>
        <r>
          <rPr>
            <b/>
            <sz val="8"/>
            <color indexed="81"/>
            <rFont val="Tahoma"/>
            <family val="2"/>
          </rPr>
          <t>Ernst &amp; Young:</t>
        </r>
        <r>
          <rPr>
            <sz val="8"/>
            <color indexed="81"/>
            <rFont val="Tahoma"/>
            <family val="2"/>
          </rPr>
          <t xml:space="preserve">
Worldwide_corporate_tax_guide_2013.pdf
Pg 410</t>
        </r>
      </text>
    </comment>
    <comment ref="N112" authorId="0" shapeId="0">
      <text>
        <r>
          <rPr>
            <b/>
            <sz val="8"/>
            <color indexed="81"/>
            <rFont val="Tahoma"/>
            <family val="2"/>
          </rPr>
          <t>Ernst &amp; Young:</t>
        </r>
        <r>
          <rPr>
            <sz val="8"/>
            <color indexed="81"/>
            <rFont val="Tahoma"/>
            <family val="2"/>
          </rPr>
          <t xml:space="preserve">
Worldwide_corporate_tax_guide_2014.pdf
Pg 415</t>
        </r>
      </text>
    </comment>
    <comment ref="G113" authorId="0" shapeId="0">
      <text>
        <r>
          <rPr>
            <b/>
            <sz val="8"/>
            <color indexed="81"/>
            <rFont val="Tahoma"/>
            <family val="2"/>
          </rPr>
          <t>Ernst &amp; Young:</t>
        </r>
        <r>
          <rPr>
            <sz val="8"/>
            <color indexed="81"/>
            <rFont val="Tahoma"/>
            <family val="2"/>
          </rPr>
          <t xml:space="preserve">
WW_corporate_tax_guide_2007.pdf
Pg 260</t>
        </r>
      </text>
    </comment>
    <comment ref="H113" authorId="0" shapeId="0">
      <text>
        <r>
          <rPr>
            <b/>
            <sz val="8"/>
            <color indexed="81"/>
            <rFont val="Tahoma"/>
            <family val="2"/>
          </rPr>
          <t>Ernst &amp; Young:</t>
        </r>
        <r>
          <rPr>
            <sz val="8"/>
            <color indexed="81"/>
            <rFont val="Tahoma"/>
            <family val="2"/>
          </rPr>
          <t xml:space="preserve">
WW_corporate_tax_guide_2008.pdf
Pg 280</t>
        </r>
      </text>
    </comment>
    <comment ref="I113" authorId="0" shapeId="0">
      <text>
        <r>
          <rPr>
            <b/>
            <sz val="8"/>
            <color indexed="81"/>
            <rFont val="Tahoma"/>
            <family val="2"/>
          </rPr>
          <t>Ernst &amp; Young:</t>
        </r>
        <r>
          <rPr>
            <sz val="8"/>
            <color indexed="81"/>
            <rFont val="Tahoma"/>
            <family val="2"/>
          </rPr>
          <t xml:space="preserve">
worldwide corporate tax guide 2009.pdf
Pg 293</t>
        </r>
      </text>
    </comment>
    <comment ref="J113" authorId="0" shapeId="0">
      <text>
        <r>
          <rPr>
            <b/>
            <sz val="8"/>
            <color indexed="81"/>
            <rFont val="Tahoma"/>
            <family val="2"/>
          </rPr>
          <t>Ernst &amp; Young:</t>
        </r>
        <r>
          <rPr>
            <sz val="8"/>
            <color indexed="81"/>
            <rFont val="Tahoma"/>
            <family val="2"/>
          </rPr>
          <t xml:space="preserve">
2010 Corporate Tax Guide.pdf
Pg 318</t>
        </r>
      </text>
    </comment>
    <comment ref="K113" authorId="0" shapeId="0">
      <text>
        <r>
          <rPr>
            <b/>
            <sz val="8"/>
            <color indexed="81"/>
            <rFont val="Tahoma"/>
            <family val="2"/>
          </rPr>
          <t>Ernst &amp; Young:</t>
        </r>
        <r>
          <rPr>
            <sz val="8"/>
            <color indexed="81"/>
            <rFont val="Tahoma"/>
            <family val="2"/>
          </rPr>
          <t xml:space="preserve">
Worldwide_corporate_tax_guide_2011.pdf
Pg 350
</t>
        </r>
      </text>
    </comment>
    <comment ref="L113" authorId="0" shapeId="0">
      <text>
        <r>
          <rPr>
            <b/>
            <sz val="8"/>
            <color indexed="81"/>
            <rFont val="Tahoma"/>
            <family val="2"/>
          </rPr>
          <t>Ernst &amp; Young:</t>
        </r>
        <r>
          <rPr>
            <sz val="8"/>
            <color indexed="81"/>
            <rFont val="Tahoma"/>
            <family val="2"/>
          </rPr>
          <t xml:space="preserve">
Worldwide_Corporate_tax_guide_2012.pdf
Pg 376</t>
        </r>
      </text>
    </comment>
    <comment ref="M113" authorId="0" shapeId="0">
      <text>
        <r>
          <rPr>
            <b/>
            <sz val="8"/>
            <color indexed="81"/>
            <rFont val="Tahoma"/>
            <family val="2"/>
          </rPr>
          <t>Ernst &amp; Young:</t>
        </r>
        <r>
          <rPr>
            <sz val="8"/>
            <color indexed="81"/>
            <rFont val="Tahoma"/>
            <family val="2"/>
          </rPr>
          <t xml:space="preserve">
Worldwide_corporate_tax_guide_2013.pdf
Pg 428
Additional 3.3% surtax is imposed</t>
        </r>
      </text>
    </comment>
    <comment ref="N113" authorId="0" shapeId="0">
      <text>
        <r>
          <rPr>
            <b/>
            <sz val="8"/>
            <color indexed="81"/>
            <rFont val="Tahoma"/>
            <family val="2"/>
          </rPr>
          <t>Ernst &amp; Young:</t>
        </r>
        <r>
          <rPr>
            <sz val="8"/>
            <color indexed="81"/>
            <rFont val="Tahoma"/>
            <family val="2"/>
          </rPr>
          <t xml:space="preserve">
Worldwide_corporate_tax_guide_2014.pdf
Pg 434
Additional 3.3% surtax is imposed</t>
        </r>
      </text>
    </comment>
    <comment ref="G114" authorId="0" shapeId="0">
      <text>
        <r>
          <rPr>
            <b/>
            <sz val="8"/>
            <color indexed="81"/>
            <rFont val="Tahoma"/>
            <family val="2"/>
          </rPr>
          <t>Ernst &amp; Young:</t>
        </r>
        <r>
          <rPr>
            <sz val="8"/>
            <color indexed="81"/>
            <rFont val="Tahoma"/>
            <family val="2"/>
          </rPr>
          <t xml:space="preserve">
WW_corporate_tax_guide_2007.pdf
Pg 293
Additionally 5.5% surtax is imposed</t>
        </r>
      </text>
    </comment>
    <comment ref="H114" authorId="0" shapeId="0">
      <text>
        <r>
          <rPr>
            <b/>
            <sz val="8"/>
            <color indexed="81"/>
            <rFont val="Tahoma"/>
            <family val="2"/>
          </rPr>
          <t>Ernst &amp; Young:</t>
        </r>
        <r>
          <rPr>
            <sz val="8"/>
            <color indexed="81"/>
            <rFont val="Tahoma"/>
            <family val="2"/>
          </rPr>
          <t xml:space="preserve">
WW_corporate_tax_guide_2008.pdf
Pg 312
Additional 5.5% surcharge is also imposed</t>
        </r>
      </text>
    </comment>
    <comment ref="I114" authorId="0" shapeId="0">
      <text>
        <r>
          <rPr>
            <b/>
            <sz val="8"/>
            <color indexed="81"/>
            <rFont val="Tahoma"/>
            <family val="2"/>
          </rPr>
          <t>Ernst &amp; Young:</t>
        </r>
        <r>
          <rPr>
            <sz val="8"/>
            <color indexed="81"/>
            <rFont val="Tahoma"/>
            <family val="2"/>
          </rPr>
          <t xml:space="preserve">
worldwide corporate tax guide 2009.pdf
Pg 328
5.5% surcharge</t>
        </r>
      </text>
    </comment>
    <comment ref="J114" authorId="0" shapeId="0">
      <text>
        <r>
          <rPr>
            <b/>
            <sz val="8"/>
            <color indexed="81"/>
            <rFont val="Tahoma"/>
            <family val="2"/>
          </rPr>
          <t>Ernst &amp; Young:</t>
        </r>
        <r>
          <rPr>
            <sz val="8"/>
            <color indexed="81"/>
            <rFont val="Tahoma"/>
            <family val="2"/>
          </rPr>
          <t xml:space="preserve">
2010 Corporate Tax Guide.pdf
Pg 352
5.5% surcharge</t>
        </r>
      </text>
    </comment>
    <comment ref="K114" authorId="0" shapeId="0">
      <text>
        <r>
          <rPr>
            <b/>
            <sz val="8"/>
            <color indexed="81"/>
            <rFont val="Tahoma"/>
            <family val="2"/>
          </rPr>
          <t>Ernst &amp; Young:</t>
        </r>
        <r>
          <rPr>
            <sz val="8"/>
            <color indexed="81"/>
            <rFont val="Tahoma"/>
            <family val="2"/>
          </rPr>
          <t xml:space="preserve">
Worldwide_corporate_tax_guide_2011.pdf
Pg 350
5.5% tax surcharge is imposed</t>
        </r>
      </text>
    </comment>
    <comment ref="L114" authorId="0" shapeId="0">
      <text>
        <r>
          <rPr>
            <b/>
            <sz val="8"/>
            <color indexed="81"/>
            <rFont val="Tahoma"/>
            <family val="2"/>
          </rPr>
          <t>Ernst &amp; Young:</t>
        </r>
        <r>
          <rPr>
            <sz val="8"/>
            <color indexed="81"/>
            <rFont val="Tahoma"/>
            <family val="2"/>
          </rPr>
          <t xml:space="preserve">
Worldwide_Corporate_tax_guide_2012.pdf
Pg 418
Additional 5.5% surtax is imposed
Additional avg. trade tax of 14%</t>
        </r>
      </text>
    </comment>
    <comment ref="M114" authorId="0" shapeId="0">
      <text>
        <r>
          <rPr>
            <b/>
            <sz val="8"/>
            <color indexed="81"/>
            <rFont val="Tahoma"/>
            <family val="2"/>
          </rPr>
          <t>Ernst &amp; Young:</t>
        </r>
        <r>
          <rPr>
            <sz val="8"/>
            <color indexed="81"/>
            <rFont val="Tahoma"/>
            <family val="2"/>
          </rPr>
          <t xml:space="preserve">
Worldwide_corporate_tax_guide_2013.pdf
Pg 472
Additional 5.5% surtax is imposed
Additional avg. trade tax of 14%</t>
        </r>
      </text>
    </comment>
    <comment ref="N114" authorId="0" shapeId="0">
      <text>
        <r>
          <rPr>
            <b/>
            <sz val="8"/>
            <color indexed="81"/>
            <rFont val="Tahoma"/>
            <family val="2"/>
          </rPr>
          <t>Ernst &amp; Young:</t>
        </r>
        <r>
          <rPr>
            <sz val="8"/>
            <color indexed="81"/>
            <rFont val="Tahoma"/>
            <family val="2"/>
          </rPr>
          <t xml:space="preserve">
Worldwide_corporate_tax_guide_2014.pdf
Pg 482
Additional 5.5% surtax is imposed
Additional avg. trade tax of 14%
Taking into account the various municipality multipliers,
the combined average tax rate for corporations (including
corporate income tax, solidarity surcharge and trade tax) ranges
from approximately 23% to 33%.</t>
        </r>
      </text>
    </comment>
    <comment ref="G115" authorId="0" shapeId="0">
      <text>
        <r>
          <rPr>
            <b/>
            <sz val="8"/>
            <color indexed="81"/>
            <rFont val="Tahoma"/>
            <family val="2"/>
          </rPr>
          <t>Ernst &amp; Young:</t>
        </r>
        <r>
          <rPr>
            <sz val="8"/>
            <color indexed="81"/>
            <rFont val="Tahoma"/>
            <family val="2"/>
          </rPr>
          <t xml:space="preserve">
WW_corporate_tax_guide_2007.pdf
Pg 315</t>
        </r>
      </text>
    </comment>
    <comment ref="H115" authorId="0" shapeId="0">
      <text>
        <r>
          <rPr>
            <b/>
            <sz val="8"/>
            <color indexed="81"/>
            <rFont val="Tahoma"/>
            <family val="2"/>
          </rPr>
          <t>Ernst &amp; Young:</t>
        </r>
        <r>
          <rPr>
            <sz val="8"/>
            <color indexed="81"/>
            <rFont val="Tahoma"/>
            <family val="2"/>
          </rPr>
          <t xml:space="preserve">
WW_corporate_tax_guide_2008.pdf
Pg 334</t>
        </r>
      </text>
    </comment>
    <comment ref="I115" authorId="0" shapeId="0">
      <text>
        <r>
          <rPr>
            <b/>
            <sz val="8"/>
            <color indexed="81"/>
            <rFont val="Tahoma"/>
            <family val="2"/>
          </rPr>
          <t>Ernst &amp; Young:</t>
        </r>
        <r>
          <rPr>
            <sz val="8"/>
            <color indexed="81"/>
            <rFont val="Tahoma"/>
            <family val="2"/>
          </rPr>
          <t xml:space="preserve">
worldwide corporate tax guide 2009.pdf
Pg 351</t>
        </r>
      </text>
    </comment>
    <comment ref="J115" authorId="0" shapeId="0">
      <text>
        <r>
          <rPr>
            <b/>
            <sz val="8"/>
            <color indexed="81"/>
            <rFont val="Tahoma"/>
            <family val="2"/>
          </rPr>
          <t>Ernst &amp; Young:</t>
        </r>
        <r>
          <rPr>
            <sz val="8"/>
            <color indexed="81"/>
            <rFont val="Tahoma"/>
            <family val="2"/>
          </rPr>
          <t xml:space="preserve">
2010 Corporate Tax Guide.pdf
Pg 376</t>
        </r>
      </text>
    </comment>
    <comment ref="K115" authorId="0" shapeId="0">
      <text>
        <r>
          <rPr>
            <b/>
            <sz val="8"/>
            <color indexed="81"/>
            <rFont val="Tahoma"/>
            <family val="2"/>
          </rPr>
          <t>Ernst &amp; Young:</t>
        </r>
        <r>
          <rPr>
            <sz val="8"/>
            <color indexed="81"/>
            <rFont val="Tahoma"/>
            <family val="2"/>
          </rPr>
          <t xml:space="preserve">
Worldwide_corporate_tax_guide_2011.pdf
Pg 414
</t>
        </r>
      </text>
    </comment>
    <comment ref="L115" authorId="0" shapeId="0">
      <text>
        <r>
          <rPr>
            <b/>
            <sz val="8"/>
            <color indexed="81"/>
            <rFont val="Tahoma"/>
            <family val="2"/>
          </rPr>
          <t>Ernst &amp; Young:</t>
        </r>
        <r>
          <rPr>
            <sz val="8"/>
            <color indexed="81"/>
            <rFont val="Tahoma"/>
            <family val="2"/>
          </rPr>
          <t xml:space="preserve">
Worldwide_Corporate_tax_guide_2012.pdf
Pg 445</t>
        </r>
      </text>
    </comment>
    <comment ref="M115" authorId="0" shapeId="0">
      <text>
        <r>
          <rPr>
            <b/>
            <sz val="8"/>
            <color indexed="81"/>
            <rFont val="Tahoma"/>
            <family val="2"/>
          </rPr>
          <t>Ernst &amp; Young:</t>
        </r>
        <r>
          <rPr>
            <sz val="8"/>
            <color indexed="81"/>
            <rFont val="Tahoma"/>
            <family val="2"/>
          </rPr>
          <t xml:space="preserve">
Worldwide_corporate_tax_guide_2013.pdf
Pg 499</t>
        </r>
      </text>
    </comment>
    <comment ref="N115" authorId="0" shapeId="0">
      <text>
        <r>
          <rPr>
            <b/>
            <sz val="8"/>
            <color indexed="81"/>
            <rFont val="Tahoma"/>
            <family val="2"/>
          </rPr>
          <t>Ernst &amp; Young:</t>
        </r>
        <r>
          <rPr>
            <sz val="8"/>
            <color indexed="81"/>
            <rFont val="Tahoma"/>
            <family val="2"/>
          </rPr>
          <t xml:space="preserve">
Worldwide_corporate_tax_guide_2014.pdf
Pg 513</t>
        </r>
      </text>
    </comment>
    <comment ref="G116" authorId="0" shapeId="0">
      <text>
        <r>
          <rPr>
            <b/>
            <sz val="8"/>
            <color indexed="81"/>
            <rFont val="Tahoma"/>
            <family val="2"/>
          </rPr>
          <t>Ernst &amp; Young:</t>
        </r>
        <r>
          <rPr>
            <sz val="8"/>
            <color indexed="81"/>
            <rFont val="Tahoma"/>
            <family val="2"/>
          </rPr>
          <t xml:space="preserve">
WW_corporate_tax_guide_2007.pdf
Pg 339</t>
        </r>
      </text>
    </comment>
    <comment ref="H116" authorId="0" shapeId="0">
      <text>
        <r>
          <rPr>
            <b/>
            <sz val="8"/>
            <color indexed="81"/>
            <rFont val="Tahoma"/>
            <family val="2"/>
          </rPr>
          <t>Ernst &amp; Young:</t>
        </r>
        <r>
          <rPr>
            <sz val="8"/>
            <color indexed="81"/>
            <rFont val="Tahoma"/>
            <family val="2"/>
          </rPr>
          <t xml:space="preserve">
WW_corporate_tax_guide_2008.pdf
Pg 1465</t>
        </r>
      </text>
    </comment>
    <comment ref="I116" authorId="0" shapeId="0">
      <text>
        <r>
          <rPr>
            <b/>
            <sz val="8"/>
            <color indexed="81"/>
            <rFont val="Tahoma"/>
            <family val="2"/>
          </rPr>
          <t>Ernst &amp; Young:</t>
        </r>
        <r>
          <rPr>
            <sz val="8"/>
            <color indexed="81"/>
            <rFont val="Tahoma"/>
            <family val="2"/>
          </rPr>
          <t xml:space="preserve">
worldwide corporate tax guide 2009.pdf
Pg 378</t>
        </r>
      </text>
    </comment>
    <comment ref="J116" authorId="0" shapeId="0">
      <text>
        <r>
          <rPr>
            <b/>
            <sz val="8"/>
            <color indexed="81"/>
            <rFont val="Tahoma"/>
            <family val="2"/>
          </rPr>
          <t>Ernst &amp; Young:</t>
        </r>
        <r>
          <rPr>
            <sz val="8"/>
            <color indexed="81"/>
            <rFont val="Tahoma"/>
            <family val="2"/>
          </rPr>
          <t xml:space="preserve">
2010 Corporate Tax Guide.pdf
Pg 403</t>
        </r>
      </text>
    </comment>
    <comment ref="K116" authorId="0" shapeId="0">
      <text>
        <r>
          <rPr>
            <b/>
            <sz val="8"/>
            <color indexed="81"/>
            <rFont val="Tahoma"/>
            <family val="2"/>
          </rPr>
          <t>Ernst &amp; Young:</t>
        </r>
        <r>
          <rPr>
            <sz val="8"/>
            <color indexed="81"/>
            <rFont val="Tahoma"/>
            <family val="2"/>
          </rPr>
          <t xml:space="preserve">
Worldwide_corporate_tax_guide_2011.pdf
Pg 443</t>
        </r>
      </text>
    </comment>
    <comment ref="L116" authorId="0" shapeId="0">
      <text>
        <r>
          <rPr>
            <b/>
            <sz val="8"/>
            <color indexed="81"/>
            <rFont val="Tahoma"/>
            <family val="2"/>
          </rPr>
          <t>Ernst &amp; Young:</t>
        </r>
        <r>
          <rPr>
            <sz val="8"/>
            <color indexed="81"/>
            <rFont val="Tahoma"/>
            <family val="2"/>
          </rPr>
          <t xml:space="preserve">
Worldwide_Corporate_tax_guide_2012.pdf
Pg 474</t>
        </r>
      </text>
    </comment>
    <comment ref="M116" authorId="0" shapeId="0">
      <text>
        <r>
          <rPr>
            <b/>
            <sz val="8"/>
            <color indexed="81"/>
            <rFont val="Tahoma"/>
            <family val="2"/>
          </rPr>
          <t>Ernst &amp; Young:</t>
        </r>
        <r>
          <rPr>
            <sz val="8"/>
            <color indexed="81"/>
            <rFont val="Tahoma"/>
            <family val="2"/>
          </rPr>
          <t xml:space="preserve">
Worldwide_corporate_tax_guide_2013.pdf
Pg 534</t>
        </r>
      </text>
    </comment>
    <comment ref="N116" authorId="0" shapeId="0">
      <text>
        <r>
          <rPr>
            <b/>
            <sz val="8"/>
            <color indexed="81"/>
            <rFont val="Tahoma"/>
            <family val="2"/>
          </rPr>
          <t>Ernst &amp; Young:</t>
        </r>
        <r>
          <rPr>
            <sz val="8"/>
            <color indexed="81"/>
            <rFont val="Tahoma"/>
            <family val="2"/>
          </rPr>
          <t xml:space="preserve">
Worldwide_corporate_tax_guide_2014.pdf
Pg 549</t>
        </r>
      </text>
    </comment>
    <comment ref="G117" authorId="0" shapeId="0">
      <text>
        <r>
          <rPr>
            <b/>
            <sz val="8"/>
            <color indexed="81"/>
            <rFont val="Tahoma"/>
            <family val="2"/>
          </rPr>
          <t>Ernst &amp; Young:</t>
        </r>
        <r>
          <rPr>
            <sz val="8"/>
            <color indexed="81"/>
            <rFont val="Tahoma"/>
            <family val="2"/>
          </rPr>
          <t xml:space="preserve">
WW_corporate_tax_guide_2007.pdf
Pg 345</t>
        </r>
      </text>
    </comment>
    <comment ref="H117" authorId="0" shapeId="0">
      <text>
        <r>
          <rPr>
            <b/>
            <sz val="8"/>
            <color indexed="81"/>
            <rFont val="Tahoma"/>
            <family val="2"/>
          </rPr>
          <t>Ernst &amp; Young:</t>
        </r>
        <r>
          <rPr>
            <sz val="8"/>
            <color indexed="81"/>
            <rFont val="Tahoma"/>
            <family val="2"/>
          </rPr>
          <t xml:space="preserve">
WW_corporate_tax_guide_2008.pdf
Pg 1470</t>
        </r>
      </text>
    </comment>
    <comment ref="I117" authorId="0" shapeId="0">
      <text>
        <r>
          <rPr>
            <b/>
            <sz val="8"/>
            <color indexed="81"/>
            <rFont val="Tahoma"/>
            <family val="2"/>
          </rPr>
          <t>Ernst &amp; Young:</t>
        </r>
        <r>
          <rPr>
            <sz val="8"/>
            <color indexed="81"/>
            <rFont val="Tahoma"/>
            <family val="2"/>
          </rPr>
          <t xml:space="preserve">
worldwide corporate tax guide 2009.pdf
Pg 384</t>
        </r>
      </text>
    </comment>
    <comment ref="J117" authorId="0" shapeId="0">
      <text>
        <r>
          <rPr>
            <b/>
            <sz val="8"/>
            <color indexed="81"/>
            <rFont val="Tahoma"/>
            <family val="2"/>
          </rPr>
          <t>Ernst &amp; Young:</t>
        </r>
        <r>
          <rPr>
            <sz val="8"/>
            <color indexed="81"/>
            <rFont val="Tahoma"/>
            <family val="2"/>
          </rPr>
          <t xml:space="preserve">
2010 Corporate Tax Guide.pdf
Pg 408
10.0% rate applies to first HUF 500 million (~USD 2,500,000) of taxable income</t>
        </r>
      </text>
    </comment>
    <comment ref="K117" authorId="0" shapeId="0">
      <text>
        <r>
          <rPr>
            <b/>
            <sz val="8"/>
            <color indexed="81"/>
            <rFont val="Tahoma"/>
            <family val="2"/>
          </rPr>
          <t>Ernst &amp; Young:</t>
        </r>
        <r>
          <rPr>
            <sz val="8"/>
            <color indexed="81"/>
            <rFont val="Tahoma"/>
            <family val="2"/>
          </rPr>
          <t xml:space="preserve">
Worldwide_corporate_tax_guide_2011.pdf
Pg 450
10.0% rate applies to first HUF 500 million (~USD 2,500,000) of taxable income</t>
        </r>
      </text>
    </comment>
    <comment ref="L117" authorId="0" shapeId="0">
      <text>
        <r>
          <rPr>
            <b/>
            <sz val="8"/>
            <color indexed="81"/>
            <rFont val="Tahoma"/>
            <family val="2"/>
          </rPr>
          <t>Ernst &amp; Young:</t>
        </r>
        <r>
          <rPr>
            <sz val="8"/>
            <color indexed="81"/>
            <rFont val="Tahoma"/>
            <family val="2"/>
          </rPr>
          <t xml:space="preserve">
Worldwide_Corporate_tax_guide_2012.pdf
Pg 481
10.0% rate applies to first HUF 500 million (~USD 2,500,000) of taxable income</t>
        </r>
      </text>
    </comment>
    <comment ref="M117" authorId="0" shapeId="0">
      <text>
        <r>
          <rPr>
            <b/>
            <sz val="8"/>
            <color indexed="81"/>
            <rFont val="Tahoma"/>
            <family val="2"/>
          </rPr>
          <t>Ernst &amp; Young:</t>
        </r>
        <r>
          <rPr>
            <sz val="8"/>
            <color indexed="81"/>
            <rFont val="Tahoma"/>
            <family val="2"/>
          </rPr>
          <t xml:space="preserve">
Worldwide_corporate_tax_guide_2013.pdf
Pg 233
10.0% rate applies to first HUF 500 million (~USD 2,500,000) of taxable income</t>
        </r>
      </text>
    </comment>
    <comment ref="N117" authorId="0" shapeId="0">
      <text>
        <r>
          <rPr>
            <b/>
            <sz val="8"/>
            <color indexed="81"/>
            <rFont val="Tahoma"/>
            <family val="2"/>
          </rPr>
          <t>Ernst &amp; Young:</t>
        </r>
        <r>
          <rPr>
            <sz val="8"/>
            <color indexed="81"/>
            <rFont val="Tahoma"/>
            <family val="2"/>
          </rPr>
          <t xml:space="preserve">
Worldwide_corporate_tax_guide_2014.pdf
Pg 557
 The 10% rate applies to the first HUF500 million (approximately USD2,273,000) of taxable
income. All taxpayers must pay tax on the alternative minimum tax base if this
base exceeds taxable income calculated under the general rules</t>
        </r>
      </text>
    </comment>
    <comment ref="G118" authorId="0" shapeId="0">
      <text>
        <r>
          <rPr>
            <b/>
            <sz val="8"/>
            <color indexed="81"/>
            <rFont val="Tahoma"/>
            <family val="2"/>
          </rPr>
          <t>Ernst &amp; Young:</t>
        </r>
        <r>
          <rPr>
            <sz val="8"/>
            <color indexed="81"/>
            <rFont val="Tahoma"/>
            <family val="2"/>
          </rPr>
          <t xml:space="preserve">
WW_corporate_tax_guide_2007.pdf
Pg 362
Additional 10.0% surcharge is imposed and further increased by a cess levied at 2% of tax payable
</t>
        </r>
      </text>
    </comment>
    <comment ref="H118" authorId="0" shapeId="0">
      <text>
        <r>
          <rPr>
            <b/>
            <sz val="8"/>
            <color indexed="81"/>
            <rFont val="Tahoma"/>
            <family val="2"/>
          </rPr>
          <t>Ernst &amp; Young:</t>
        </r>
        <r>
          <rPr>
            <sz val="8"/>
            <color indexed="81"/>
            <rFont val="Tahoma"/>
            <family val="2"/>
          </rPr>
          <t xml:space="preserve">
WW_corporate_tax_guide_2008.pdf
Pg 384
Additional 10.0% surcharge is imposed and further increased by a cess levied at 3% of tax payable
</t>
        </r>
      </text>
    </comment>
    <comment ref="I118" authorId="0" shapeId="0">
      <text>
        <r>
          <rPr>
            <b/>
            <sz val="8"/>
            <color indexed="81"/>
            <rFont val="Tahoma"/>
            <family val="2"/>
          </rPr>
          <t>Ernst &amp; Young:</t>
        </r>
        <r>
          <rPr>
            <sz val="8"/>
            <color indexed="81"/>
            <rFont val="Tahoma"/>
            <family val="2"/>
          </rPr>
          <t xml:space="preserve">
worldwide corporate tax guide 2009.pdf
Pg 401
Additional 10.0% surcharge is imposed and further increased by a cess levied at 3% of tax payable
</t>
        </r>
      </text>
    </comment>
    <comment ref="J118" authorId="0" shapeId="0">
      <text>
        <r>
          <rPr>
            <b/>
            <sz val="8"/>
            <color indexed="81"/>
            <rFont val="Tahoma"/>
            <family val="2"/>
          </rPr>
          <t>Ernst &amp; Young:</t>
        </r>
        <r>
          <rPr>
            <sz val="8"/>
            <color indexed="81"/>
            <rFont val="Tahoma"/>
            <family val="2"/>
          </rPr>
          <t xml:space="preserve">
2010Corporate Tax Guide.pdf
Pg 427
Additional 10.0% surcharge is imposed and further increased by a cess levied at 3% of tax payable
</t>
        </r>
      </text>
    </comment>
    <comment ref="K118" authorId="0" shapeId="0">
      <text>
        <r>
          <rPr>
            <b/>
            <sz val="8"/>
            <color indexed="81"/>
            <rFont val="Tahoma"/>
            <family val="2"/>
          </rPr>
          <t>Ernst &amp; Young:</t>
        </r>
        <r>
          <rPr>
            <sz val="8"/>
            <color indexed="81"/>
            <rFont val="Tahoma"/>
            <family val="2"/>
          </rPr>
          <t xml:space="preserve">
Worldwide_corporate_tax_guide_2011.pdf
Pg 467
Additional 7.5% surcharge is imposed and further increased by a cess levied at 3% of tax payable
</t>
        </r>
      </text>
    </comment>
    <comment ref="L118" authorId="0" shapeId="0">
      <text>
        <r>
          <rPr>
            <b/>
            <sz val="8"/>
            <color indexed="81"/>
            <rFont val="Tahoma"/>
            <family val="2"/>
          </rPr>
          <t>Ernst &amp; Young:</t>
        </r>
        <r>
          <rPr>
            <sz val="8"/>
            <color indexed="81"/>
            <rFont val="Tahoma"/>
            <family val="2"/>
          </rPr>
          <t xml:space="preserve">
Worldwide_Corporate_tax_guide_2012.pdf
Pg 500
Additional 5.0% surcharge is imposed and further increased by a cess levied at 3% of tax payable
</t>
        </r>
      </text>
    </comment>
    <comment ref="M118" authorId="0" shapeId="0">
      <text>
        <r>
          <rPr>
            <b/>
            <sz val="8"/>
            <color indexed="81"/>
            <rFont val="Tahoma"/>
            <family val="2"/>
          </rPr>
          <t>Ernst &amp; Young:</t>
        </r>
        <r>
          <rPr>
            <sz val="8"/>
            <color indexed="81"/>
            <rFont val="Tahoma"/>
            <family val="2"/>
          </rPr>
          <t xml:space="preserve">
Worldwide_corporate_tax_guide_2013.pdf
Pg 561
Additional 5.0% surcharge is imposed and further increased by a cess levied at 3% of tax payable
</t>
        </r>
      </text>
    </comment>
    <comment ref="N118" authorId="0" shapeId="0">
      <text>
        <r>
          <rPr>
            <b/>
            <sz val="8"/>
            <color indexed="81"/>
            <rFont val="Tahoma"/>
            <family val="2"/>
          </rPr>
          <t>Ernst &amp; Young:</t>
        </r>
        <r>
          <rPr>
            <sz val="8"/>
            <color indexed="81"/>
            <rFont val="Tahoma"/>
            <family val="2"/>
          </rPr>
          <t xml:space="preserve">
Worldwide_corporate_tax_guide_2014.pdf
Pg 577
The rates are subject to an additional levy consisting of a surcharge and a cess.
They are increased by the following surcharges on such taxes:
• Domestic companies with net income exceeding INR100 million: 10%
• Foreign companies with net income exceeding INR100 million: 5%
• Domestic companies with net income exceeding INR10 million: 5%
• Foreign companies with net income exceeding INR10 million: 2%
No surcharge is payable if the net income does not exceed INR10 million.
The tax payable (inclusive of the surcharge, as applicable) is further increased
by a cess levied at 3% of the tax payable.
</t>
        </r>
      </text>
    </comment>
    <comment ref="G119" authorId="0" shapeId="0">
      <text>
        <r>
          <rPr>
            <b/>
            <sz val="8"/>
            <color indexed="81"/>
            <rFont val="Tahoma"/>
            <family val="2"/>
          </rPr>
          <t>Ernst &amp; Young:</t>
        </r>
        <r>
          <rPr>
            <sz val="8"/>
            <color indexed="81"/>
            <rFont val="Tahoma"/>
            <family val="2"/>
          </rPr>
          <t xml:space="preserve">
WW_corporate_tax_guide_2007.pdf
Pg 378</t>
        </r>
      </text>
    </comment>
    <comment ref="H119" authorId="0" shapeId="0">
      <text>
        <r>
          <rPr>
            <b/>
            <sz val="8"/>
            <color indexed="81"/>
            <rFont val="Tahoma"/>
            <family val="2"/>
          </rPr>
          <t>Ernst &amp; Young:</t>
        </r>
        <r>
          <rPr>
            <sz val="8"/>
            <color indexed="81"/>
            <rFont val="Tahoma"/>
            <family val="2"/>
          </rPr>
          <t xml:space="preserve">
WW_corporate_tax_guide_2008.pdf
Pg 400</t>
        </r>
      </text>
    </comment>
    <comment ref="I119" authorId="0" shapeId="0">
      <text>
        <r>
          <rPr>
            <b/>
            <sz val="8"/>
            <color indexed="81"/>
            <rFont val="Tahoma"/>
            <family val="2"/>
          </rPr>
          <t>Ernst &amp; Young:</t>
        </r>
        <r>
          <rPr>
            <sz val="8"/>
            <color indexed="81"/>
            <rFont val="Tahoma"/>
            <family val="2"/>
          </rPr>
          <t xml:space="preserve">
worldwide corporate tax guide 2009.pdf
Pg 443</t>
        </r>
      </text>
    </comment>
    <comment ref="J119" authorId="0" shapeId="0">
      <text>
        <r>
          <rPr>
            <b/>
            <sz val="8"/>
            <color indexed="81"/>
            <rFont val="Tahoma"/>
            <family val="2"/>
          </rPr>
          <t>Ernst &amp; Young:</t>
        </r>
        <r>
          <rPr>
            <sz val="8"/>
            <color indexed="81"/>
            <rFont val="Tahoma"/>
            <family val="2"/>
          </rPr>
          <t xml:space="preserve">
2010 Corporate Tax Guide.pdf
Pg 443</t>
        </r>
      </text>
    </comment>
    <comment ref="K119" authorId="0" shapeId="0">
      <text>
        <r>
          <rPr>
            <b/>
            <sz val="8"/>
            <color indexed="81"/>
            <rFont val="Tahoma"/>
            <family val="2"/>
          </rPr>
          <t>Ernst &amp; Young:</t>
        </r>
        <r>
          <rPr>
            <sz val="8"/>
            <color indexed="81"/>
            <rFont val="Tahoma"/>
            <family val="2"/>
          </rPr>
          <t xml:space="preserve">
Worldwide_corporate_tax_guide_2011.pdf
Pg 484
</t>
        </r>
      </text>
    </comment>
    <comment ref="L119" authorId="0" shapeId="0">
      <text>
        <r>
          <rPr>
            <b/>
            <sz val="8"/>
            <color indexed="81"/>
            <rFont val="Tahoma"/>
            <family val="2"/>
          </rPr>
          <t>Ernst &amp; Young:</t>
        </r>
        <r>
          <rPr>
            <sz val="8"/>
            <color indexed="81"/>
            <rFont val="Tahoma"/>
            <family val="2"/>
          </rPr>
          <t xml:space="preserve">
Worldwide_Corporate_tax_guide_2012.pdf
Pg 517</t>
        </r>
      </text>
    </comment>
    <comment ref="M119" authorId="0" shapeId="0">
      <text>
        <r>
          <rPr>
            <b/>
            <sz val="8"/>
            <color indexed="81"/>
            <rFont val="Tahoma"/>
            <family val="2"/>
          </rPr>
          <t>Ernst &amp; Young:</t>
        </r>
        <r>
          <rPr>
            <sz val="8"/>
            <color indexed="81"/>
            <rFont val="Tahoma"/>
            <family val="2"/>
          </rPr>
          <t xml:space="preserve">
Worldwide_corporate_tax_guide_2013.pdf
Pg 580</t>
        </r>
      </text>
    </comment>
    <comment ref="N119" authorId="0" shapeId="0">
      <text>
        <r>
          <rPr>
            <b/>
            <sz val="8"/>
            <color indexed="81"/>
            <rFont val="Tahoma"/>
            <family val="2"/>
          </rPr>
          <t>Ernst &amp; Young:</t>
        </r>
        <r>
          <rPr>
            <sz val="8"/>
            <color indexed="81"/>
            <rFont val="Tahoma"/>
            <family val="2"/>
          </rPr>
          <t xml:space="preserve">
Worldwide_corporate_tax_guide_2014.pdf
Pg 599</t>
        </r>
      </text>
    </comment>
    <comment ref="G121" authorId="0" shapeId="0">
      <text>
        <r>
          <rPr>
            <b/>
            <sz val="8"/>
            <color indexed="81"/>
            <rFont val="Tahoma"/>
            <family val="2"/>
          </rPr>
          <t>Ernst &amp; Young:</t>
        </r>
        <r>
          <rPr>
            <sz val="8"/>
            <color indexed="81"/>
            <rFont val="Tahoma"/>
            <family val="2"/>
          </rPr>
          <t xml:space="preserve">
WW_corporate_tax_guide_2007.pdf
Pg 387</t>
        </r>
      </text>
    </comment>
    <comment ref="H121" authorId="0" shapeId="0">
      <text>
        <r>
          <rPr>
            <b/>
            <sz val="8"/>
            <color indexed="81"/>
            <rFont val="Tahoma"/>
            <family val="2"/>
          </rPr>
          <t>Ernst &amp; Young:</t>
        </r>
        <r>
          <rPr>
            <sz val="8"/>
            <color indexed="81"/>
            <rFont val="Tahoma"/>
            <family val="2"/>
          </rPr>
          <t xml:space="preserve">
WW_corporate_tax_guide_2008.pdf
Pg 1517</t>
        </r>
      </text>
    </comment>
    <comment ref="I121" authorId="0" shapeId="0">
      <text>
        <r>
          <rPr>
            <b/>
            <sz val="8"/>
            <color indexed="81"/>
            <rFont val="Tahoma"/>
            <family val="2"/>
          </rPr>
          <t>Ernst &amp; Young:</t>
        </r>
        <r>
          <rPr>
            <sz val="8"/>
            <color indexed="81"/>
            <rFont val="Tahoma"/>
            <family val="2"/>
          </rPr>
          <t xml:space="preserve">
worldwide corporate tax guide 2009.pdf
Pg 431</t>
        </r>
      </text>
    </comment>
    <comment ref="J121" authorId="0" shapeId="0">
      <text>
        <r>
          <rPr>
            <b/>
            <sz val="8"/>
            <color indexed="81"/>
            <rFont val="Tahoma"/>
            <family val="2"/>
          </rPr>
          <t>Ernst &amp; Young:</t>
        </r>
        <r>
          <rPr>
            <sz val="8"/>
            <color indexed="81"/>
            <rFont val="Tahoma"/>
            <family val="2"/>
          </rPr>
          <t xml:space="preserve">
2010 Corporate Tax Guide.pdf
Pg 457</t>
        </r>
      </text>
    </comment>
    <comment ref="K121" authorId="0" shapeId="0">
      <text>
        <r>
          <rPr>
            <b/>
            <sz val="8"/>
            <color indexed="81"/>
            <rFont val="Tahoma"/>
            <family val="2"/>
          </rPr>
          <t>Ernst &amp; Young:</t>
        </r>
        <r>
          <rPr>
            <sz val="8"/>
            <color indexed="81"/>
            <rFont val="Tahoma"/>
            <family val="2"/>
          </rPr>
          <t xml:space="preserve">
Worldwide_corporate_tax_guide_2011.pdf
Pg 498</t>
        </r>
      </text>
    </comment>
    <comment ref="L121" authorId="0" shapeId="0">
      <text>
        <r>
          <rPr>
            <b/>
            <sz val="8"/>
            <color indexed="81"/>
            <rFont val="Tahoma"/>
            <family val="2"/>
          </rPr>
          <t>Ernst &amp; Young:</t>
        </r>
        <r>
          <rPr>
            <sz val="8"/>
            <color indexed="81"/>
            <rFont val="Tahoma"/>
            <family val="2"/>
          </rPr>
          <t xml:space="preserve">
Worldwide_Corporate_tax_guide_2012.pdf
Pg 533</t>
        </r>
      </text>
    </comment>
    <comment ref="M121" authorId="0" shapeId="0">
      <text>
        <r>
          <rPr>
            <b/>
            <sz val="8"/>
            <color indexed="81"/>
            <rFont val="Tahoma"/>
            <family val="2"/>
          </rPr>
          <t>Ernst &amp; Young:</t>
        </r>
        <r>
          <rPr>
            <sz val="8"/>
            <color indexed="81"/>
            <rFont val="Tahoma"/>
            <family val="2"/>
          </rPr>
          <t xml:space="preserve">
Worldwide_corporate_tax_guide_2013.pdf
Pg 597</t>
        </r>
      </text>
    </comment>
    <comment ref="N121" authorId="0" shapeId="0">
      <text>
        <r>
          <rPr>
            <b/>
            <sz val="8"/>
            <color indexed="81"/>
            <rFont val="Tahoma"/>
            <family val="2"/>
          </rPr>
          <t>Ernst &amp; Young:</t>
        </r>
        <r>
          <rPr>
            <sz val="8"/>
            <color indexed="81"/>
            <rFont val="Tahoma"/>
            <family val="2"/>
          </rPr>
          <t xml:space="preserve">
Worldwide_corporate_tax_guide_2014.pdf
Pg 617</t>
        </r>
      </text>
    </comment>
    <comment ref="G122" authorId="0" shapeId="0">
      <text>
        <r>
          <rPr>
            <b/>
            <sz val="8"/>
            <color indexed="81"/>
            <rFont val="Tahoma"/>
            <family val="2"/>
          </rPr>
          <t>Ernst &amp; Young:</t>
        </r>
        <r>
          <rPr>
            <sz val="8"/>
            <color indexed="81"/>
            <rFont val="Tahoma"/>
            <family val="2"/>
          </rPr>
          <t xml:space="preserve">
WW_corporate_tax_guide_2007.pdf
Pg 411</t>
        </r>
      </text>
    </comment>
    <comment ref="H122" authorId="0" shapeId="0">
      <text>
        <r>
          <rPr>
            <b/>
            <sz val="8"/>
            <color indexed="81"/>
            <rFont val="Tahoma"/>
            <family val="2"/>
          </rPr>
          <t>Ernst &amp; Young:</t>
        </r>
        <r>
          <rPr>
            <sz val="8"/>
            <color indexed="81"/>
            <rFont val="Tahoma"/>
            <family val="2"/>
          </rPr>
          <t xml:space="preserve">
WW_corporate_tax_guide_2008.pdf
Pg 438</t>
        </r>
      </text>
    </comment>
    <comment ref="I122" authorId="0" shapeId="0">
      <text>
        <r>
          <rPr>
            <b/>
            <sz val="8"/>
            <color indexed="81"/>
            <rFont val="Tahoma"/>
            <family val="2"/>
          </rPr>
          <t>Ernst &amp; Young:</t>
        </r>
        <r>
          <rPr>
            <sz val="8"/>
            <color indexed="81"/>
            <rFont val="Tahoma"/>
            <family val="2"/>
          </rPr>
          <t xml:space="preserve">
worldwide corporate tax guide 2009.pdf
Pg 481</t>
        </r>
      </text>
    </comment>
    <comment ref="J122" authorId="0" shapeId="0">
      <text>
        <r>
          <rPr>
            <b/>
            <sz val="8"/>
            <color indexed="81"/>
            <rFont val="Tahoma"/>
            <family val="2"/>
          </rPr>
          <t>Ernst &amp; Young:</t>
        </r>
        <r>
          <rPr>
            <sz val="8"/>
            <color indexed="81"/>
            <rFont val="Tahoma"/>
            <family val="2"/>
          </rPr>
          <t xml:space="preserve">
2010 Corporate Tax Guide.pdf
Pg 481</t>
        </r>
      </text>
    </comment>
    <comment ref="K122" authorId="0" shapeId="0">
      <text>
        <r>
          <rPr>
            <b/>
            <sz val="8"/>
            <color indexed="81"/>
            <rFont val="Tahoma"/>
            <family val="2"/>
          </rPr>
          <t>Ernst &amp; Young:</t>
        </r>
        <r>
          <rPr>
            <sz val="8"/>
            <color indexed="81"/>
            <rFont val="Tahoma"/>
            <family val="2"/>
          </rPr>
          <t xml:space="preserve">
Worldwide_corporate_tax_guide_2011.pdf
Pg 524
</t>
        </r>
      </text>
    </comment>
    <comment ref="L122" authorId="0" shapeId="0">
      <text>
        <r>
          <rPr>
            <b/>
            <sz val="8"/>
            <color indexed="81"/>
            <rFont val="Tahoma"/>
            <family val="2"/>
          </rPr>
          <t>Ernst &amp; Young:</t>
        </r>
        <r>
          <rPr>
            <sz val="8"/>
            <color indexed="81"/>
            <rFont val="Tahoma"/>
            <family val="2"/>
          </rPr>
          <t xml:space="preserve">
Worldwide_Corporate_tax_guide_2012.pdf
Pg 559</t>
        </r>
      </text>
    </comment>
    <comment ref="M122" authorId="0" shapeId="0">
      <text>
        <r>
          <rPr>
            <b/>
            <sz val="8"/>
            <color indexed="81"/>
            <rFont val="Tahoma"/>
            <family val="2"/>
          </rPr>
          <t>Ernst &amp; Young:</t>
        </r>
        <r>
          <rPr>
            <sz val="8"/>
            <color indexed="81"/>
            <rFont val="Tahoma"/>
            <family val="2"/>
          </rPr>
          <t xml:space="preserve">
Worldwide_corporate_tax_guide_2013.pdf
Pg 623</t>
        </r>
      </text>
    </comment>
    <comment ref="N122" authorId="0" shapeId="0">
      <text>
        <r>
          <rPr>
            <b/>
            <sz val="8"/>
            <color indexed="81"/>
            <rFont val="Tahoma"/>
            <family val="2"/>
          </rPr>
          <t>Ernst &amp; Young:</t>
        </r>
        <r>
          <rPr>
            <sz val="8"/>
            <color indexed="81"/>
            <rFont val="Tahoma"/>
            <family val="2"/>
          </rPr>
          <t xml:space="preserve">
Worldwide_corporate_tax_guide_2014.pdf
Pg 644</t>
        </r>
      </text>
    </comment>
    <comment ref="G123" authorId="0" shapeId="0">
      <text>
        <r>
          <rPr>
            <b/>
            <sz val="8"/>
            <color indexed="81"/>
            <rFont val="Tahoma"/>
            <family val="2"/>
          </rPr>
          <t>Ernst &amp; Young:</t>
        </r>
        <r>
          <rPr>
            <sz val="8"/>
            <color indexed="81"/>
            <rFont val="Tahoma"/>
            <family val="2"/>
          </rPr>
          <t xml:space="preserve">
WW_corporate_tax_guide_2007.pdf
Pg 427</t>
        </r>
      </text>
    </comment>
    <comment ref="H123" authorId="0" shapeId="0">
      <text>
        <r>
          <rPr>
            <b/>
            <sz val="8"/>
            <color indexed="81"/>
            <rFont val="Tahoma"/>
            <family val="2"/>
          </rPr>
          <t>Ernst &amp; Young:</t>
        </r>
        <r>
          <rPr>
            <sz val="8"/>
            <color indexed="81"/>
            <rFont val="Tahoma"/>
            <family val="2"/>
          </rPr>
          <t xml:space="preserve">
WW_corporate_tax_guide_2008.pdf
Pg 453</t>
        </r>
      </text>
    </comment>
    <comment ref="I123" authorId="0" shapeId="0">
      <text>
        <r>
          <rPr>
            <b/>
            <sz val="8"/>
            <color indexed="81"/>
            <rFont val="Tahoma"/>
            <family val="2"/>
          </rPr>
          <t>Ernst &amp; Young:</t>
        </r>
        <r>
          <rPr>
            <sz val="8"/>
            <color indexed="81"/>
            <rFont val="Tahoma"/>
            <family val="2"/>
          </rPr>
          <t xml:space="preserve">
worldwide corporate tax guide 2009.pdf
Pg 471</t>
        </r>
      </text>
    </comment>
    <comment ref="J123" authorId="0" shapeId="0">
      <text>
        <r>
          <rPr>
            <b/>
            <sz val="8"/>
            <color indexed="81"/>
            <rFont val="Tahoma"/>
            <family val="2"/>
          </rPr>
          <t>Ernst &amp; Young:</t>
        </r>
        <r>
          <rPr>
            <sz val="8"/>
            <color indexed="81"/>
            <rFont val="Tahoma"/>
            <family val="2"/>
          </rPr>
          <t xml:space="preserve">
2010 Corporate Tax Guide.pdf
Pg 497</t>
        </r>
      </text>
    </comment>
    <comment ref="L123" authorId="0" shapeId="0">
      <text>
        <r>
          <rPr>
            <b/>
            <sz val="8"/>
            <color indexed="81"/>
            <rFont val="Tahoma"/>
            <family val="2"/>
          </rPr>
          <t>Ernst &amp; Young:</t>
        </r>
        <r>
          <rPr>
            <sz val="8"/>
            <color indexed="81"/>
            <rFont val="Tahoma"/>
            <family val="2"/>
          </rPr>
          <t xml:space="preserve">
Worldwide_Corporate_tax_guide_2012.pdf
Pg 90</t>
        </r>
      </text>
    </comment>
    <comment ref="M123" authorId="0" shapeId="0">
      <text>
        <r>
          <rPr>
            <b/>
            <sz val="8"/>
            <color indexed="81"/>
            <rFont val="Tahoma"/>
            <family val="2"/>
          </rPr>
          <t>Ernst &amp; Young:</t>
        </r>
        <r>
          <rPr>
            <sz val="8"/>
            <color indexed="81"/>
            <rFont val="Tahoma"/>
            <family val="2"/>
          </rPr>
          <t xml:space="preserve">
Worldwide_corporate_tax_guide_2013.pdf
Pg 639</t>
        </r>
      </text>
    </comment>
    <comment ref="N123" authorId="0" shapeId="0">
      <text>
        <r>
          <rPr>
            <b/>
            <sz val="8"/>
            <color indexed="81"/>
            <rFont val="Tahoma"/>
            <family val="2"/>
          </rPr>
          <t>Ernst &amp; Young:</t>
        </r>
        <r>
          <rPr>
            <sz val="8"/>
            <color indexed="81"/>
            <rFont val="Tahoma"/>
            <family val="2"/>
          </rPr>
          <t xml:space="preserve">
Worldwide_corporate_tax_guide_2014.pdf
Pg 662
A 6.5% surcharge (increasing the total tax rate to 34%) is imposed on
oil, gas and energy companies with revenues exceeding EUR3 million and
taxable income exceeding EUR300,000, with reference to the preceding year
</t>
        </r>
      </text>
    </comment>
    <comment ref="G125" authorId="0" shapeId="0">
      <text>
        <r>
          <rPr>
            <b/>
            <sz val="8"/>
            <color indexed="81"/>
            <rFont val="Tahoma"/>
            <family val="2"/>
          </rPr>
          <t>Ernst &amp; Young:</t>
        </r>
        <r>
          <rPr>
            <sz val="8"/>
            <color indexed="81"/>
            <rFont val="Tahoma"/>
            <family val="2"/>
          </rPr>
          <t xml:space="preserve">
WW_corporate_tax_guide_2007.pdf
Pg 451</t>
        </r>
      </text>
    </comment>
    <comment ref="H125" authorId="0" shapeId="0">
      <text>
        <r>
          <rPr>
            <b/>
            <sz val="8"/>
            <color indexed="81"/>
            <rFont val="Tahoma"/>
            <family val="2"/>
          </rPr>
          <t>Ernst &amp; Young:</t>
        </r>
        <r>
          <rPr>
            <sz val="8"/>
            <color indexed="81"/>
            <rFont val="Tahoma"/>
            <family val="2"/>
          </rPr>
          <t xml:space="preserve">
WW_corporate_tax_guide_2008.pdf
Pg 479</t>
        </r>
      </text>
    </comment>
    <comment ref="I125" authorId="0" shapeId="0">
      <text>
        <r>
          <rPr>
            <b/>
            <sz val="8"/>
            <color indexed="81"/>
            <rFont val="Tahoma"/>
            <family val="2"/>
          </rPr>
          <t>Ernst &amp; Young:</t>
        </r>
        <r>
          <rPr>
            <sz val="8"/>
            <color indexed="81"/>
            <rFont val="Tahoma"/>
            <family val="2"/>
          </rPr>
          <t xml:space="preserve">
worldwide corporate tax guide 2009.pdf
Pg 498</t>
        </r>
      </text>
    </comment>
    <comment ref="J125" authorId="0" shapeId="0">
      <text>
        <r>
          <rPr>
            <b/>
            <sz val="8"/>
            <color indexed="81"/>
            <rFont val="Tahoma"/>
            <family val="2"/>
          </rPr>
          <t>Ernst &amp; Young:</t>
        </r>
        <r>
          <rPr>
            <sz val="8"/>
            <color indexed="81"/>
            <rFont val="Tahoma"/>
            <family val="2"/>
          </rPr>
          <t xml:space="preserve">
2010 Corporate Tax Guide.pdf
Pg 523</t>
        </r>
      </text>
    </comment>
    <comment ref="K125" authorId="0" shapeId="0">
      <text>
        <r>
          <rPr>
            <b/>
            <sz val="8"/>
            <color indexed="81"/>
            <rFont val="Tahoma"/>
            <family val="2"/>
          </rPr>
          <t>Ernst &amp; Young:</t>
        </r>
        <r>
          <rPr>
            <sz val="8"/>
            <color indexed="81"/>
            <rFont val="Tahoma"/>
            <family val="2"/>
          </rPr>
          <t xml:space="preserve">
Worldwide_corporate_tax_guide_2011.pdf
Pg 567
</t>
        </r>
      </text>
    </comment>
    <comment ref="L125" authorId="0" shapeId="0">
      <text>
        <r>
          <rPr>
            <b/>
            <sz val="8"/>
            <color indexed="81"/>
            <rFont val="Tahoma"/>
            <family val="2"/>
          </rPr>
          <t>Ernst &amp; Young:</t>
        </r>
        <r>
          <rPr>
            <sz val="8"/>
            <color indexed="81"/>
            <rFont val="Tahoma"/>
            <family val="2"/>
          </rPr>
          <t xml:space="preserve">
Worldwide_Corporate_tax_guide_2012.pdf
Pg 604</t>
        </r>
      </text>
    </comment>
    <comment ref="M125" authorId="0" shapeId="0">
      <text>
        <r>
          <rPr>
            <b/>
            <sz val="8"/>
            <color indexed="81"/>
            <rFont val="Tahoma"/>
            <family val="2"/>
          </rPr>
          <t>Ernst &amp; Young:</t>
        </r>
        <r>
          <rPr>
            <sz val="8"/>
            <color indexed="81"/>
            <rFont val="Tahoma"/>
            <family val="2"/>
          </rPr>
          <t xml:space="preserve">
Worldwide_corporate_tax_guide_2013.pdf
Pg 670</t>
        </r>
      </text>
    </comment>
    <comment ref="N125" authorId="0" shapeId="0">
      <text>
        <r>
          <rPr>
            <b/>
            <sz val="8"/>
            <color indexed="81"/>
            <rFont val="Tahoma"/>
            <family val="2"/>
          </rPr>
          <t>Ernst &amp; Young:</t>
        </r>
        <r>
          <rPr>
            <sz val="8"/>
            <color indexed="81"/>
            <rFont val="Tahoma"/>
            <family val="2"/>
          </rPr>
          <t xml:space="preserve">
Worldwide_corporate_tax_guide_2014.pdf
Pg 695
* Local income taxes are also imposed- Pg 700
In addition, under the special law to secure funds for reconstruction from the 11 March 2011 disasters, a
special additional national corporation tax (10% of the normal corporation tax due) is imposed for
 two tax years beginning on or after 1 April 2012</t>
        </r>
      </text>
    </comment>
    <comment ref="G126" authorId="0" shapeId="0">
      <text>
        <r>
          <rPr>
            <b/>
            <sz val="8"/>
            <color indexed="81"/>
            <rFont val="Tahoma"/>
            <family val="2"/>
          </rPr>
          <t>Ernst &amp; Young:</t>
        </r>
        <r>
          <rPr>
            <sz val="8"/>
            <color indexed="81"/>
            <rFont val="Tahoma"/>
            <family val="2"/>
          </rPr>
          <t xml:space="preserve">
WW_corporate_tax_guide_2007.pdf
Pg 463</t>
        </r>
      </text>
    </comment>
    <comment ref="H126" authorId="0" shapeId="0">
      <text>
        <r>
          <rPr>
            <b/>
            <sz val="8"/>
            <color indexed="81"/>
            <rFont val="Tahoma"/>
            <family val="2"/>
          </rPr>
          <t>Ernst &amp; Young:</t>
        </r>
        <r>
          <rPr>
            <sz val="8"/>
            <color indexed="81"/>
            <rFont val="Tahoma"/>
            <family val="2"/>
          </rPr>
          <t xml:space="preserve">
WW_corporate_tax_guide_2008.pdf
Pg 1595</t>
        </r>
      </text>
    </comment>
    <comment ref="I126" authorId="0" shapeId="0">
      <text>
        <r>
          <rPr>
            <b/>
            <sz val="8"/>
            <color indexed="81"/>
            <rFont val="Tahoma"/>
            <family val="2"/>
          </rPr>
          <t>Ernst &amp; Young:</t>
        </r>
        <r>
          <rPr>
            <sz val="8"/>
            <color indexed="81"/>
            <rFont val="Tahoma"/>
            <family val="2"/>
          </rPr>
          <t xml:space="preserve">
worldwide corporate tax guide 2009.pdf
Pg 512</t>
        </r>
      </text>
    </comment>
    <comment ref="J126" authorId="0" shapeId="0">
      <text>
        <r>
          <rPr>
            <b/>
            <sz val="8"/>
            <color indexed="81"/>
            <rFont val="Tahoma"/>
            <family val="2"/>
          </rPr>
          <t>Ernst &amp; Young:</t>
        </r>
        <r>
          <rPr>
            <sz val="8"/>
            <color indexed="81"/>
            <rFont val="Tahoma"/>
            <family val="2"/>
          </rPr>
          <t xml:space="preserve">
2010 Corporate Tax Guide.pdf
Pg 537
</t>
        </r>
      </text>
    </comment>
    <comment ref="K126" authorId="0" shapeId="0">
      <text>
        <r>
          <rPr>
            <b/>
            <sz val="8"/>
            <color indexed="81"/>
            <rFont val="Tahoma"/>
            <family val="2"/>
          </rPr>
          <t>Ernst &amp; Young:</t>
        </r>
        <r>
          <rPr>
            <sz val="8"/>
            <color indexed="81"/>
            <rFont val="Tahoma"/>
            <family val="2"/>
          </rPr>
          <t xml:space="preserve">
Worldwide_corporate_tax_guide_2011.pdf
Pg 581</t>
        </r>
      </text>
    </comment>
    <comment ref="L126" authorId="0" shapeId="0">
      <text>
        <r>
          <rPr>
            <b/>
            <sz val="8"/>
            <color indexed="81"/>
            <rFont val="Tahoma"/>
            <family val="2"/>
          </rPr>
          <t>Ernst &amp; Young:</t>
        </r>
        <r>
          <rPr>
            <sz val="8"/>
            <color indexed="81"/>
            <rFont val="Tahoma"/>
            <family val="2"/>
          </rPr>
          <t xml:space="preserve">
Worldwide_Corporate_tax_guide_2012.pdf
Pg 611</t>
        </r>
      </text>
    </comment>
    <comment ref="M126" authorId="0" shapeId="0">
      <text>
        <r>
          <rPr>
            <b/>
            <sz val="8"/>
            <color indexed="81"/>
            <rFont val="Tahoma"/>
            <family val="2"/>
          </rPr>
          <t>Ernst &amp; Young:</t>
        </r>
        <r>
          <rPr>
            <sz val="8"/>
            <color indexed="81"/>
            <rFont val="Tahoma"/>
            <family val="2"/>
          </rPr>
          <t xml:space="preserve">
Worldwide_corporate_tax_guide_2013.pdf
Pg 687</t>
        </r>
      </text>
    </comment>
    <comment ref="N126" authorId="0" shapeId="0">
      <text>
        <r>
          <rPr>
            <b/>
            <sz val="8"/>
            <color indexed="81"/>
            <rFont val="Tahoma"/>
            <family val="2"/>
          </rPr>
          <t>Ernst &amp; Young:</t>
        </r>
        <r>
          <rPr>
            <sz val="8"/>
            <color indexed="81"/>
            <rFont val="Tahoma"/>
            <family val="2"/>
          </rPr>
          <t xml:space="preserve">
Worldwide_corporate_tax_guide_2014.pdf
Pg 712
This is the maximum rate.
</t>
        </r>
        <r>
          <rPr>
            <b/>
            <u/>
            <sz val="8"/>
            <color indexed="81"/>
            <rFont val="Tahoma"/>
            <family val="2"/>
          </rPr>
          <t>Sector Rate(%)</t>
        </r>
        <r>
          <rPr>
            <sz val="8"/>
            <color indexed="81"/>
            <rFont val="Tahoma"/>
            <family val="2"/>
          </rPr>
          <t xml:space="preserve">
Banking                 30%
Insurance, telecommunications, stockbrokers,
finance companies, currency-exchange
companies and leasing companies         24%
Others      14%</t>
        </r>
      </text>
    </comment>
    <comment ref="G127" authorId="0" shapeId="0">
      <text>
        <r>
          <rPr>
            <b/>
            <sz val="8"/>
            <color indexed="81"/>
            <rFont val="Tahoma"/>
            <family val="2"/>
          </rPr>
          <t>Ernst &amp; Young:</t>
        </r>
        <r>
          <rPr>
            <sz val="8"/>
            <color indexed="81"/>
            <rFont val="Tahoma"/>
            <family val="2"/>
          </rPr>
          <t xml:space="preserve">
WW_corporate_tax_guide_2007.pdf
Pg 467</t>
        </r>
      </text>
    </comment>
    <comment ref="H127" authorId="0" shapeId="0">
      <text>
        <r>
          <rPr>
            <b/>
            <sz val="8"/>
            <color indexed="81"/>
            <rFont val="Tahoma"/>
            <family val="2"/>
          </rPr>
          <t>Ernst &amp; Young:</t>
        </r>
        <r>
          <rPr>
            <sz val="8"/>
            <color indexed="81"/>
            <rFont val="Tahoma"/>
            <family val="2"/>
          </rPr>
          <t xml:space="preserve">
WW_corporate_tax_guide_2008.pdf
Pg 495</t>
        </r>
      </text>
    </comment>
    <comment ref="I127" authorId="0" shapeId="0">
      <text>
        <r>
          <rPr>
            <b/>
            <sz val="8"/>
            <color indexed="81"/>
            <rFont val="Tahoma"/>
            <family val="2"/>
          </rPr>
          <t>Ernst &amp; Young:</t>
        </r>
        <r>
          <rPr>
            <sz val="8"/>
            <color indexed="81"/>
            <rFont val="Tahoma"/>
            <family val="2"/>
          </rPr>
          <t xml:space="preserve">
worldwide corporate tax guide 2009.pdf
Pg 516</t>
        </r>
      </text>
    </comment>
    <comment ref="J127" authorId="0" shapeId="0">
      <text>
        <r>
          <rPr>
            <b/>
            <sz val="8"/>
            <color indexed="81"/>
            <rFont val="Tahoma"/>
            <family val="2"/>
          </rPr>
          <t>Ernst &amp; Young:</t>
        </r>
        <r>
          <rPr>
            <sz val="8"/>
            <color indexed="81"/>
            <rFont val="Tahoma"/>
            <family val="2"/>
          </rPr>
          <t xml:space="preserve">
2010 Corporate Tax Guide.pdf
Pg 541</t>
        </r>
      </text>
    </comment>
    <comment ref="K127" authorId="0" shapeId="0">
      <text>
        <r>
          <rPr>
            <b/>
            <sz val="8"/>
            <color indexed="81"/>
            <rFont val="Tahoma"/>
            <family val="2"/>
          </rPr>
          <t>Ernst &amp; Young:</t>
        </r>
        <r>
          <rPr>
            <sz val="8"/>
            <color indexed="81"/>
            <rFont val="Tahoma"/>
            <family val="2"/>
          </rPr>
          <t xml:space="preserve">
Worldwide_corporate_tax_guide_2011.pdf
Pg 586
</t>
        </r>
      </text>
    </comment>
    <comment ref="L127" authorId="0" shapeId="0">
      <text>
        <r>
          <rPr>
            <b/>
            <sz val="8"/>
            <color indexed="81"/>
            <rFont val="Tahoma"/>
            <family val="2"/>
          </rPr>
          <t>Ernst &amp; Young:</t>
        </r>
        <r>
          <rPr>
            <sz val="8"/>
            <color indexed="81"/>
            <rFont val="Tahoma"/>
            <family val="2"/>
          </rPr>
          <t xml:space="preserve">
Worldwide_Corporate_tax_guide_2012.pdf
Pg 623</t>
        </r>
      </text>
    </comment>
    <comment ref="M127" authorId="0" shapeId="0">
      <text>
        <r>
          <rPr>
            <b/>
            <sz val="8"/>
            <color indexed="81"/>
            <rFont val="Tahoma"/>
            <family val="2"/>
          </rPr>
          <t>Ernst &amp; Young:</t>
        </r>
        <r>
          <rPr>
            <sz val="8"/>
            <color indexed="81"/>
            <rFont val="Tahoma"/>
            <family val="2"/>
          </rPr>
          <t xml:space="preserve">
Worldwide_corporate_tax_guide_2013.pdf
Pg 692</t>
        </r>
      </text>
    </comment>
    <comment ref="N127" authorId="0" shapeId="0">
      <text>
        <r>
          <rPr>
            <b/>
            <sz val="8"/>
            <color indexed="81"/>
            <rFont val="Tahoma"/>
            <family val="2"/>
          </rPr>
          <t>Ernst &amp; Young:</t>
        </r>
        <r>
          <rPr>
            <sz val="8"/>
            <color indexed="81"/>
            <rFont val="Tahoma"/>
            <family val="2"/>
          </rPr>
          <t xml:space="preserve">
Worldwide_corporate_tax_guide_2014.pdf
Pg 717</t>
        </r>
      </text>
    </comment>
    <comment ref="G128" authorId="0" shapeId="0">
      <text>
        <r>
          <rPr>
            <b/>
            <sz val="8"/>
            <color indexed="81"/>
            <rFont val="Tahoma"/>
            <family val="2"/>
          </rPr>
          <t>Ernst &amp; Young:</t>
        </r>
        <r>
          <rPr>
            <sz val="8"/>
            <color indexed="81"/>
            <rFont val="Tahoma"/>
            <family val="2"/>
          </rPr>
          <t xml:space="preserve">
WW_corporate_tax_guide_2007.pdf
Pg 474</t>
        </r>
      </text>
    </comment>
    <comment ref="H128" authorId="0" shapeId="0">
      <text>
        <r>
          <rPr>
            <b/>
            <sz val="8"/>
            <color indexed="81"/>
            <rFont val="Tahoma"/>
            <family val="2"/>
          </rPr>
          <t>Ernst &amp; Young:</t>
        </r>
        <r>
          <rPr>
            <sz val="8"/>
            <color indexed="81"/>
            <rFont val="Tahoma"/>
            <family val="2"/>
          </rPr>
          <t xml:space="preserve">
WW_corporate_tax_guide_2008.pdf
Pg 1606</t>
        </r>
      </text>
    </comment>
    <comment ref="I128" authorId="0" shapeId="0">
      <text>
        <r>
          <rPr>
            <b/>
            <sz val="8"/>
            <color indexed="81"/>
            <rFont val="Tahoma"/>
            <family val="2"/>
          </rPr>
          <t>Ernst &amp; Young:</t>
        </r>
        <r>
          <rPr>
            <sz val="8"/>
            <color indexed="81"/>
            <rFont val="Tahoma"/>
            <family val="2"/>
          </rPr>
          <t xml:space="preserve">
worldwide corporate tax guide 2009.pdf
Pg 522</t>
        </r>
      </text>
    </comment>
    <comment ref="J128" authorId="0" shapeId="0">
      <text>
        <r>
          <rPr>
            <b/>
            <sz val="8"/>
            <color indexed="81"/>
            <rFont val="Tahoma"/>
            <family val="2"/>
          </rPr>
          <t>Ernst &amp; Young:</t>
        </r>
        <r>
          <rPr>
            <sz val="8"/>
            <color indexed="81"/>
            <rFont val="Tahoma"/>
            <family val="2"/>
          </rPr>
          <t xml:space="preserve">
2010 Corporate Tax Guide.pdf
Pg 547</t>
        </r>
      </text>
    </comment>
    <comment ref="K128" authorId="0" shapeId="0">
      <text>
        <r>
          <rPr>
            <b/>
            <sz val="8"/>
            <color indexed="81"/>
            <rFont val="Tahoma"/>
            <family val="2"/>
          </rPr>
          <t>Ernst &amp; Young:</t>
        </r>
        <r>
          <rPr>
            <sz val="8"/>
            <color indexed="81"/>
            <rFont val="Tahoma"/>
            <family val="2"/>
          </rPr>
          <t xml:space="preserve">
Worldwide_corporate_tax_guide_2011.pdf
Pg 593</t>
        </r>
      </text>
    </comment>
    <comment ref="L128" authorId="0" shapeId="0">
      <text>
        <r>
          <rPr>
            <b/>
            <sz val="8"/>
            <color indexed="81"/>
            <rFont val="Tahoma"/>
            <family val="2"/>
          </rPr>
          <t>Ernst &amp; Young:</t>
        </r>
        <r>
          <rPr>
            <sz val="8"/>
            <color indexed="81"/>
            <rFont val="Tahoma"/>
            <family val="2"/>
          </rPr>
          <t xml:space="preserve">
Worldwide_Corporate_tax_guide_2012.pdf
Pg 630</t>
        </r>
      </text>
    </comment>
    <comment ref="M128" authorId="0" shapeId="0">
      <text>
        <r>
          <rPr>
            <b/>
            <sz val="8"/>
            <color indexed="81"/>
            <rFont val="Tahoma"/>
            <family val="2"/>
          </rPr>
          <t>Ernst &amp; Young:</t>
        </r>
        <r>
          <rPr>
            <sz val="8"/>
            <color indexed="81"/>
            <rFont val="Tahoma"/>
            <family val="2"/>
          </rPr>
          <t xml:space="preserve">
Worldwide_corporate_tax_guide_2013.pdf
Pg 699</t>
        </r>
      </text>
    </comment>
    <comment ref="N128" authorId="0" shapeId="0">
      <text>
        <r>
          <rPr>
            <b/>
            <sz val="8"/>
            <color indexed="81"/>
            <rFont val="Tahoma"/>
            <family val="2"/>
          </rPr>
          <t>Ernst &amp; Young:</t>
        </r>
        <r>
          <rPr>
            <sz val="8"/>
            <color indexed="81"/>
            <rFont val="Tahoma"/>
            <family val="2"/>
          </rPr>
          <t xml:space="preserve">
Worldwide_corporate_tax_guide_2014.pdf
Pg 725</t>
        </r>
      </text>
    </comment>
    <comment ref="G129" authorId="0" shapeId="0">
      <text>
        <r>
          <rPr>
            <b/>
            <sz val="8"/>
            <color indexed="81"/>
            <rFont val="Tahoma"/>
            <family val="2"/>
          </rPr>
          <t>Ernst &amp; Young:</t>
        </r>
        <r>
          <rPr>
            <sz val="8"/>
            <color indexed="81"/>
            <rFont val="Tahoma"/>
            <family val="2"/>
          </rPr>
          <t xml:space="preserve">
WW_corporate_tax_guide_2007.pdf
Pg 487</t>
        </r>
      </text>
    </comment>
    <comment ref="H129" authorId="0" shapeId="0">
      <text>
        <r>
          <rPr>
            <b/>
            <sz val="8"/>
            <color indexed="81"/>
            <rFont val="Tahoma"/>
            <family val="2"/>
          </rPr>
          <t>Ernst &amp; Young:</t>
        </r>
        <r>
          <rPr>
            <sz val="8"/>
            <color indexed="81"/>
            <rFont val="Tahoma"/>
            <family val="2"/>
          </rPr>
          <t xml:space="preserve">
WW_corporate_tax_guide_2008.pdf
Pg 1620</t>
        </r>
      </text>
    </comment>
    <comment ref="I129" authorId="0" shapeId="0">
      <text>
        <r>
          <rPr>
            <b/>
            <sz val="8"/>
            <color indexed="81"/>
            <rFont val="Tahoma"/>
            <family val="2"/>
          </rPr>
          <t>Ernst &amp; Young:</t>
        </r>
        <r>
          <rPr>
            <sz val="8"/>
            <color indexed="81"/>
            <rFont val="Tahoma"/>
            <family val="2"/>
          </rPr>
          <t xml:space="preserve">
worldwide corporate tax guide 2009.pdf
Pg 535</t>
        </r>
      </text>
    </comment>
    <comment ref="J129" authorId="0" shapeId="0">
      <text>
        <r>
          <rPr>
            <b/>
            <sz val="8"/>
            <color indexed="81"/>
            <rFont val="Tahoma"/>
            <family val="2"/>
          </rPr>
          <t>Ernst &amp; Young:</t>
        </r>
        <r>
          <rPr>
            <sz val="8"/>
            <color indexed="81"/>
            <rFont val="Tahoma"/>
            <family val="2"/>
          </rPr>
          <t xml:space="preserve">
2010 Corporate Tax Guide.pdf
Pg 560
</t>
        </r>
      </text>
    </comment>
    <comment ref="K129" authorId="0" shapeId="0">
      <text>
        <r>
          <rPr>
            <b/>
            <sz val="8"/>
            <color indexed="81"/>
            <rFont val="Tahoma"/>
            <family val="2"/>
          </rPr>
          <t>Ernst &amp; Young:</t>
        </r>
        <r>
          <rPr>
            <sz val="8"/>
            <color indexed="81"/>
            <rFont val="Tahoma"/>
            <family val="2"/>
          </rPr>
          <t xml:space="preserve">
Worldwide_corporate_tax_guide_2011.pdf
Pg 605</t>
        </r>
      </text>
    </comment>
    <comment ref="L129" authorId="0" shapeId="0">
      <text>
        <r>
          <rPr>
            <b/>
            <sz val="8"/>
            <color indexed="81"/>
            <rFont val="Tahoma"/>
            <family val="2"/>
          </rPr>
          <t>Ernst &amp; Young:</t>
        </r>
        <r>
          <rPr>
            <sz val="8"/>
            <color indexed="81"/>
            <rFont val="Tahoma"/>
            <family val="2"/>
          </rPr>
          <t xml:space="preserve">
Worldwide_Corporate_tax_guide_2012.pdf
Pg 643</t>
        </r>
      </text>
    </comment>
    <comment ref="M129" authorId="0" shapeId="0">
      <text>
        <r>
          <rPr>
            <b/>
            <sz val="8"/>
            <color indexed="81"/>
            <rFont val="Tahoma"/>
            <family val="2"/>
          </rPr>
          <t>Ernst &amp; Young:</t>
        </r>
        <r>
          <rPr>
            <sz val="8"/>
            <color indexed="81"/>
            <rFont val="Tahoma"/>
            <family val="2"/>
          </rPr>
          <t xml:space="preserve">
Worldwide_corporate_tax_guide_2013.pdf
Pg 713</t>
        </r>
      </text>
    </comment>
    <comment ref="N129" authorId="0" shapeId="0">
      <text>
        <r>
          <rPr>
            <b/>
            <sz val="8"/>
            <color indexed="81"/>
            <rFont val="Tahoma"/>
            <family val="2"/>
          </rPr>
          <t>Ernst &amp; Young:</t>
        </r>
        <r>
          <rPr>
            <sz val="8"/>
            <color indexed="81"/>
            <rFont val="Tahoma"/>
            <family val="2"/>
          </rPr>
          <t xml:space="preserve">
Worldwide_corporate_tax_guide_2014.pdf
Pg 745</t>
        </r>
      </text>
    </comment>
    <comment ref="G130" authorId="0" shapeId="0">
      <text>
        <r>
          <rPr>
            <b/>
            <sz val="8"/>
            <color indexed="81"/>
            <rFont val="Tahoma"/>
            <family val="2"/>
          </rPr>
          <t>Ernst &amp; Young:</t>
        </r>
        <r>
          <rPr>
            <sz val="8"/>
            <color indexed="81"/>
            <rFont val="Tahoma"/>
            <family val="2"/>
          </rPr>
          <t xml:space="preserve">
WW_corporate_tax_guide_2007.pdf
Pg 511</t>
        </r>
      </text>
    </comment>
    <comment ref="H130" authorId="0" shapeId="0">
      <text>
        <r>
          <rPr>
            <b/>
            <sz val="8"/>
            <color indexed="81"/>
            <rFont val="Tahoma"/>
            <family val="2"/>
          </rPr>
          <t>Ernst &amp; Young:</t>
        </r>
        <r>
          <rPr>
            <sz val="8"/>
            <color indexed="81"/>
            <rFont val="Tahoma"/>
            <family val="2"/>
          </rPr>
          <t xml:space="preserve">
WW_corporate_tax_guide_2008.pdf
Pg 1647</t>
        </r>
      </text>
    </comment>
    <comment ref="I130" authorId="0" shapeId="0">
      <text>
        <r>
          <rPr>
            <b/>
            <sz val="8"/>
            <color indexed="81"/>
            <rFont val="Tahoma"/>
            <family val="2"/>
          </rPr>
          <t>Ernst &amp; Young:</t>
        </r>
        <r>
          <rPr>
            <sz val="8"/>
            <color indexed="81"/>
            <rFont val="Tahoma"/>
            <family val="2"/>
          </rPr>
          <t xml:space="preserve">
worldwide corporate tax guide 2009.pdf
Pg 573</t>
        </r>
      </text>
    </comment>
    <comment ref="J130" authorId="0" shapeId="0">
      <text>
        <r>
          <rPr>
            <b/>
            <sz val="8"/>
            <color indexed="81"/>
            <rFont val="Tahoma"/>
            <family val="2"/>
          </rPr>
          <t>Ernst &amp; Young:</t>
        </r>
        <r>
          <rPr>
            <sz val="8"/>
            <color indexed="81"/>
            <rFont val="Tahoma"/>
            <family val="2"/>
          </rPr>
          <t xml:space="preserve">
2010 Corporate Tax Guide.pdf
Pg 599</t>
        </r>
      </text>
    </comment>
    <comment ref="K130" authorId="0" shapeId="0">
      <text>
        <r>
          <rPr>
            <b/>
            <sz val="8"/>
            <color indexed="81"/>
            <rFont val="Tahoma"/>
            <family val="2"/>
          </rPr>
          <t>Ernst &amp; Young:</t>
        </r>
        <r>
          <rPr>
            <sz val="8"/>
            <color indexed="81"/>
            <rFont val="Tahoma"/>
            <family val="2"/>
          </rPr>
          <t xml:space="preserve">
Worldwide_corporate_tax_guide_2011.pdf
Pg 645</t>
        </r>
      </text>
    </comment>
    <comment ref="L130" authorId="0" shapeId="0">
      <text>
        <r>
          <rPr>
            <b/>
            <sz val="8"/>
            <color indexed="81"/>
            <rFont val="Tahoma"/>
            <family val="2"/>
          </rPr>
          <t>Ernst &amp; Young:</t>
        </r>
        <r>
          <rPr>
            <sz val="8"/>
            <color indexed="81"/>
            <rFont val="Tahoma"/>
            <family val="2"/>
          </rPr>
          <t xml:space="preserve">
Worldwide_Corporate_tax_guide_2012.pdf
Pg 684</t>
        </r>
      </text>
    </comment>
    <comment ref="M130" authorId="0" shapeId="0">
      <text>
        <r>
          <rPr>
            <b/>
            <sz val="8"/>
            <color indexed="81"/>
            <rFont val="Tahoma"/>
            <family val="2"/>
          </rPr>
          <t>Ernst &amp; Young:</t>
        </r>
        <r>
          <rPr>
            <sz val="8"/>
            <color indexed="81"/>
            <rFont val="Tahoma"/>
            <family val="2"/>
          </rPr>
          <t xml:space="preserve">
Worldwide_corporate_tax_guide_2013.pdf
Pg 758</t>
        </r>
      </text>
    </comment>
    <comment ref="N130" authorId="0" shapeId="0">
      <text>
        <r>
          <rPr>
            <b/>
            <sz val="8"/>
            <color indexed="81"/>
            <rFont val="Tahoma"/>
            <family val="2"/>
          </rPr>
          <t>Ernst &amp; Young:</t>
        </r>
        <r>
          <rPr>
            <sz val="8"/>
            <color indexed="81"/>
            <rFont val="Tahoma"/>
            <family val="2"/>
          </rPr>
          <t xml:space="preserve">
Worldwide_corporate_tax_guide_2014.pdf
Pg 791</t>
        </r>
      </text>
    </comment>
    <comment ref="G131" authorId="0" shapeId="0">
      <text>
        <r>
          <rPr>
            <b/>
            <sz val="8"/>
            <color indexed="81"/>
            <rFont val="Tahoma"/>
            <family val="2"/>
          </rPr>
          <t>Ernst &amp; Young:</t>
        </r>
        <r>
          <rPr>
            <sz val="8"/>
            <color indexed="81"/>
            <rFont val="Tahoma"/>
            <family val="2"/>
          </rPr>
          <t xml:space="preserve">
WW_corporate_tax_guide_2007.pdf
Pg 521</t>
        </r>
      </text>
    </comment>
    <comment ref="H131" authorId="0" shapeId="0">
      <text>
        <r>
          <rPr>
            <b/>
            <sz val="8"/>
            <color indexed="81"/>
            <rFont val="Tahoma"/>
            <family val="2"/>
          </rPr>
          <t>Ernst &amp; Young:</t>
        </r>
        <r>
          <rPr>
            <sz val="8"/>
            <color indexed="81"/>
            <rFont val="Tahoma"/>
            <family val="2"/>
          </rPr>
          <t xml:space="preserve">
WW_corporate_tax_guide_2008.pdf
Pg 1656</t>
        </r>
      </text>
    </comment>
    <comment ref="I131" authorId="0" shapeId="0">
      <text>
        <r>
          <rPr>
            <b/>
            <sz val="8"/>
            <color indexed="81"/>
            <rFont val="Tahoma"/>
            <family val="2"/>
          </rPr>
          <t>Ernst &amp; Young:</t>
        </r>
        <r>
          <rPr>
            <sz val="8"/>
            <color indexed="81"/>
            <rFont val="Tahoma"/>
            <family val="2"/>
          </rPr>
          <t xml:space="preserve">
worldwide corporate tax guide 2009.pdf
Pg 583</t>
        </r>
      </text>
    </comment>
    <comment ref="J131" authorId="0" shapeId="0">
      <text>
        <r>
          <rPr>
            <b/>
            <sz val="8"/>
            <color indexed="81"/>
            <rFont val="Tahoma"/>
            <family val="2"/>
          </rPr>
          <t>Ernst &amp; Young:</t>
        </r>
        <r>
          <rPr>
            <sz val="8"/>
            <color indexed="81"/>
            <rFont val="Tahoma"/>
            <family val="2"/>
          </rPr>
          <t xml:space="preserve">
2010 Corporate Tax Guide.pdf
Pg 611</t>
        </r>
      </text>
    </comment>
    <comment ref="K131" authorId="0" shapeId="0">
      <text>
        <r>
          <rPr>
            <b/>
            <sz val="8"/>
            <color indexed="81"/>
            <rFont val="Tahoma"/>
            <family val="2"/>
          </rPr>
          <t>Ernst &amp; Young:</t>
        </r>
        <r>
          <rPr>
            <sz val="8"/>
            <color indexed="81"/>
            <rFont val="Tahoma"/>
            <family val="2"/>
          </rPr>
          <t xml:space="preserve">
Worldwide_corporate_tax_guide_2011.pdf
Pg 656</t>
        </r>
      </text>
    </comment>
    <comment ref="L131" authorId="0" shapeId="0">
      <text>
        <r>
          <rPr>
            <b/>
            <sz val="8"/>
            <color indexed="81"/>
            <rFont val="Tahoma"/>
            <family val="2"/>
          </rPr>
          <t>Ernst &amp; Young:</t>
        </r>
        <r>
          <rPr>
            <sz val="8"/>
            <color indexed="81"/>
            <rFont val="Tahoma"/>
            <family val="2"/>
          </rPr>
          <t xml:space="preserve">
Worldwide_Corporate_tax_guide_2012.pdf
Pg 696</t>
        </r>
      </text>
    </comment>
    <comment ref="M131" authorId="0" shapeId="0">
      <text>
        <r>
          <rPr>
            <b/>
            <sz val="8"/>
            <color indexed="81"/>
            <rFont val="Tahoma"/>
            <family val="2"/>
          </rPr>
          <t>Ernst &amp; Young:</t>
        </r>
        <r>
          <rPr>
            <sz val="8"/>
            <color indexed="81"/>
            <rFont val="Tahoma"/>
            <family val="2"/>
          </rPr>
          <t xml:space="preserve">
Worldwide_corporate_tax_guide_2013.pdf
Pg 772</t>
        </r>
      </text>
    </comment>
    <comment ref="N131" authorId="0" shapeId="0">
      <text>
        <r>
          <rPr>
            <b/>
            <sz val="8"/>
            <color indexed="81"/>
            <rFont val="Tahoma"/>
            <family val="2"/>
          </rPr>
          <t>Ernst &amp; Young:</t>
        </r>
        <r>
          <rPr>
            <sz val="8"/>
            <color indexed="81"/>
            <rFont val="Tahoma"/>
            <family val="2"/>
          </rPr>
          <t xml:space="preserve">
Worldwide_corporate_tax_guide_2014.pdf
Pg 804
</t>
        </r>
        <r>
          <rPr>
            <b/>
            <sz val="8"/>
            <color indexed="81"/>
            <rFont val="Tahoma"/>
            <family val="2"/>
          </rPr>
          <t>Corporate income tax rates range from 20% to 21%,</t>
        </r>
        <r>
          <rPr>
            <sz val="8"/>
            <color indexed="81"/>
            <rFont val="Tahoma"/>
            <family val="2"/>
          </rPr>
          <t xml:space="preserve">
depending on the income level. In addition, a surcharge of 7% is
payable to the employment fund. A local income tax (municipal
business tax) is also levied by the different municipalities. The
rate varies depending on the municipality, with an average rate of
7.5%. </t>
        </r>
        <r>
          <rPr>
            <b/>
            <sz val="8"/>
            <color indexed="81"/>
            <rFont val="Tahoma"/>
            <family val="2"/>
          </rPr>
          <t>The municipal business tax for Luxembourg City is 6.75%
and the maximum effective overall tax rate for companies in
Luxembourg City is 29.22%.</t>
        </r>
      </text>
    </comment>
    <comment ref="G132" authorId="0" shapeId="0">
      <text>
        <r>
          <rPr>
            <b/>
            <sz val="8"/>
            <color indexed="81"/>
            <rFont val="Tahoma"/>
            <family val="2"/>
          </rPr>
          <t>Ernst &amp; Young:</t>
        </r>
        <r>
          <rPr>
            <sz val="8"/>
            <color indexed="81"/>
            <rFont val="Tahoma"/>
            <family val="2"/>
          </rPr>
          <t xml:space="preserve">
WW_corporate_tax_guide_2007.pdf
Pg 552
Resident companies that have paid-up ordinary capital of RM 2,500,000 or
less and that satisfy specified conditions are taxed at a rate of 20% on their
first RM 500,000 of chargeable income. The balance is taxed at 27%. These
rates do not apply to petroleum companies, which are taxed at a rate of 38%.</t>
        </r>
      </text>
    </comment>
    <comment ref="H132" authorId="0" shapeId="0">
      <text>
        <r>
          <rPr>
            <b/>
            <sz val="8"/>
            <color indexed="81"/>
            <rFont val="Tahoma"/>
            <family val="2"/>
          </rPr>
          <t>Ernst &amp; Young:</t>
        </r>
        <r>
          <rPr>
            <sz val="8"/>
            <color indexed="81"/>
            <rFont val="Tahoma"/>
            <family val="2"/>
          </rPr>
          <t xml:space="preserve">
WW_corporate_tax_guide_2008.pdf
Pg 584
Resident companies that have paid-up ordinary capital of RM 2,500,000 or
less and that satisfy specified conditions are taxed at a rate of 20% on their
first RM 500,000 of chargeable income. The balance is taxed at 26%. These
rates do not apply to petroleum companies, which are taxed at a rate of 38%</t>
        </r>
      </text>
    </comment>
    <comment ref="I132" authorId="0" shapeId="0">
      <text>
        <r>
          <rPr>
            <b/>
            <sz val="8"/>
            <color indexed="81"/>
            <rFont val="Tahoma"/>
            <family val="2"/>
          </rPr>
          <t>Ernst &amp; Young:</t>
        </r>
        <r>
          <rPr>
            <sz val="8"/>
            <color indexed="81"/>
            <rFont val="Tahoma"/>
            <family val="2"/>
          </rPr>
          <t xml:space="preserve">
worldwide corporate tax guide 2009.pdf
Pg 616
Resident companies that have paid-up ordinary capital of RM 2,500,000 or
less and that satisfy specified conditions are taxed at a rate of 20% on their
first RM 500,000 of chargeable income. The balance is taxed at 25%. These
rates do not apply to petroleum companies, which are taxed at a rate of 38%</t>
        </r>
      </text>
    </comment>
    <comment ref="J132" authorId="0" shapeId="0">
      <text>
        <r>
          <rPr>
            <b/>
            <sz val="8"/>
            <color indexed="81"/>
            <rFont val="Tahoma"/>
            <family val="2"/>
          </rPr>
          <t>Ernst &amp; Young:</t>
        </r>
        <r>
          <rPr>
            <sz val="8"/>
            <color indexed="81"/>
            <rFont val="Tahoma"/>
            <family val="2"/>
          </rPr>
          <t xml:space="preserve">
2010 Corporate Tax Guide.pdf
Pg 643
Resident companies that have paid-up ordinary capital of RM 2,500,000 or
less and that satisfy specified conditions are taxed at a rate of 20% on their
first RM 500,000 of chargeable income. The balance is taxed at 25%. These
rates do not apply to petroleum companies, which are taxed at a rate of 38%</t>
        </r>
      </text>
    </comment>
    <comment ref="K132" authorId="0" shapeId="0">
      <text>
        <r>
          <rPr>
            <b/>
            <sz val="8"/>
            <color indexed="81"/>
            <rFont val="Tahoma"/>
            <family val="2"/>
          </rPr>
          <t>Ernst &amp; Young:</t>
        </r>
        <r>
          <rPr>
            <sz val="8"/>
            <color indexed="81"/>
            <rFont val="Tahoma"/>
            <family val="2"/>
          </rPr>
          <t xml:space="preserve">
Worldwide_corporate_tax_guide_2011.pdf
Pg 694
Resident companies that have paid-up ordinary capital of RM 2,500,000 or
less and that satisfy specified conditions are taxed at a rate of 20% on their
first RM 500,000 of chargeable income. The balance is taxed at 25%. These
rates do not apply to petroleum companies, which are taxed at a rate of 38%</t>
        </r>
      </text>
    </comment>
    <comment ref="L132" authorId="0" shapeId="0">
      <text>
        <r>
          <rPr>
            <b/>
            <sz val="8"/>
            <color indexed="81"/>
            <rFont val="Tahoma"/>
            <family val="2"/>
          </rPr>
          <t>Ernst &amp; Young:</t>
        </r>
        <r>
          <rPr>
            <sz val="8"/>
            <color indexed="81"/>
            <rFont val="Tahoma"/>
            <family val="2"/>
          </rPr>
          <t xml:space="preserve">
Worldwide_Corporate_tax_guide_2012.pdf
Pg 736
Resident companies that have paid-up ordinary capital of RM 2,500,000 or
less and that satisfy specified conditions are taxed at a rate of 20% on their
first RM 500,000 of chargeable income. The balance is taxed at 25%. These
rates do not apply to petroleum companies, which are taxed at a rate of 38%.</t>
        </r>
      </text>
    </comment>
    <comment ref="M132" authorId="0" shapeId="0">
      <text>
        <r>
          <rPr>
            <b/>
            <sz val="8"/>
            <color indexed="81"/>
            <rFont val="Tahoma"/>
            <family val="2"/>
          </rPr>
          <t>Ernst &amp; Young:</t>
        </r>
        <r>
          <rPr>
            <sz val="8"/>
            <color indexed="81"/>
            <rFont val="Tahoma"/>
            <family val="2"/>
          </rPr>
          <t xml:space="preserve">
Worldwide_corporate_tax_guide_2013.pdf
Pg 705
Additional 10.0% surtax is imposed</t>
        </r>
      </text>
    </comment>
    <comment ref="N132" authorId="0" shapeId="0">
      <text>
        <r>
          <rPr>
            <b/>
            <sz val="8"/>
            <color indexed="81"/>
            <rFont val="Tahoma"/>
            <family val="2"/>
          </rPr>
          <t>Ernst &amp; Young:</t>
        </r>
        <r>
          <rPr>
            <sz val="8"/>
            <color indexed="81"/>
            <rFont val="Tahoma"/>
            <family val="2"/>
          </rPr>
          <t xml:space="preserve">
Worldwide_corporate_tax_guide_2014.pdf
Pg 849</t>
        </r>
      </text>
    </comment>
    <comment ref="G133" authorId="0" shapeId="0">
      <text>
        <r>
          <rPr>
            <b/>
            <sz val="8"/>
            <color indexed="81"/>
            <rFont val="Tahoma"/>
            <family val="2"/>
          </rPr>
          <t>Ernst &amp; Young:</t>
        </r>
        <r>
          <rPr>
            <sz val="8"/>
            <color indexed="81"/>
            <rFont val="Tahoma"/>
            <family val="2"/>
          </rPr>
          <t xml:space="preserve">
WW_corporate_tax_guide_2007.pdf
Pg 574</t>
        </r>
      </text>
    </comment>
    <comment ref="H133" authorId="0" shapeId="0">
      <text>
        <r>
          <rPr>
            <b/>
            <sz val="8"/>
            <color indexed="81"/>
            <rFont val="Tahoma"/>
            <family val="2"/>
          </rPr>
          <t>Ernst &amp; Young:</t>
        </r>
        <r>
          <rPr>
            <sz val="8"/>
            <color indexed="81"/>
            <rFont val="Tahoma"/>
            <family val="2"/>
          </rPr>
          <t xml:space="preserve">
WW_corporate_tax_guide_2008.pdf
Pg 1647</t>
        </r>
      </text>
    </comment>
    <comment ref="I133" authorId="0" shapeId="0">
      <text>
        <r>
          <rPr>
            <b/>
            <sz val="8"/>
            <color indexed="81"/>
            <rFont val="Tahoma"/>
            <family val="2"/>
          </rPr>
          <t>Ernst &amp; Young:</t>
        </r>
        <r>
          <rPr>
            <sz val="8"/>
            <color indexed="81"/>
            <rFont val="Tahoma"/>
            <family val="2"/>
          </rPr>
          <t xml:space="preserve">
worldwide corporate tax guide 2009.pdf
Pg 641</t>
        </r>
      </text>
    </comment>
    <comment ref="J133" authorId="0" shapeId="0">
      <text>
        <r>
          <rPr>
            <b/>
            <sz val="8"/>
            <color indexed="81"/>
            <rFont val="Tahoma"/>
            <family val="2"/>
          </rPr>
          <t>Ernst &amp; Young:</t>
        </r>
        <r>
          <rPr>
            <sz val="8"/>
            <color indexed="81"/>
            <rFont val="Tahoma"/>
            <family val="2"/>
          </rPr>
          <t xml:space="preserve">
2010 Corporate Tax Guide.pdf
Pg 668</t>
        </r>
      </text>
    </comment>
    <comment ref="K133" authorId="0" shapeId="0">
      <text>
        <r>
          <rPr>
            <b/>
            <sz val="8"/>
            <color indexed="81"/>
            <rFont val="Tahoma"/>
            <family val="2"/>
          </rPr>
          <t>Ernst &amp; Young:</t>
        </r>
        <r>
          <rPr>
            <sz val="8"/>
            <color indexed="81"/>
            <rFont val="Tahoma"/>
            <family val="2"/>
          </rPr>
          <t xml:space="preserve">
Worldwide_corporate_tax_guide_2011.pdf
Pg 720</t>
        </r>
      </text>
    </comment>
    <comment ref="L133" authorId="0" shapeId="0">
      <text>
        <r>
          <rPr>
            <b/>
            <sz val="8"/>
            <color indexed="81"/>
            <rFont val="Tahoma"/>
            <family val="2"/>
          </rPr>
          <t>Ernst &amp; Young:</t>
        </r>
        <r>
          <rPr>
            <sz val="8"/>
            <color indexed="81"/>
            <rFont val="Tahoma"/>
            <family val="2"/>
          </rPr>
          <t xml:space="preserve">
Worldwide_Corporate_tax_guide_2012.pdf
Pg 762</t>
        </r>
      </text>
    </comment>
    <comment ref="M133" authorId="0" shapeId="0">
      <text>
        <r>
          <rPr>
            <b/>
            <sz val="8"/>
            <color indexed="81"/>
            <rFont val="Tahoma"/>
            <family val="2"/>
          </rPr>
          <t>Ernst &amp; Young:</t>
        </r>
        <r>
          <rPr>
            <sz val="8"/>
            <color indexed="81"/>
            <rFont val="Tahoma"/>
            <family val="2"/>
          </rPr>
          <t xml:space="preserve">
Worldwide_corporate_tax_guide_2013.pdf
Pg 845</t>
        </r>
      </text>
    </comment>
    <comment ref="N133" authorId="0" shapeId="0">
      <text>
        <r>
          <rPr>
            <b/>
            <sz val="8"/>
            <color indexed="81"/>
            <rFont val="Tahoma"/>
            <family val="2"/>
          </rPr>
          <t>Ernst &amp; Young:</t>
        </r>
        <r>
          <rPr>
            <sz val="8"/>
            <color indexed="81"/>
            <rFont val="Tahoma"/>
            <family val="2"/>
          </rPr>
          <t xml:space="preserve">
Worldwide_corporate_tax_guide_2014.pdf
Pg 879</t>
        </r>
      </text>
    </comment>
    <comment ref="G134" authorId="0" shapeId="0">
      <text>
        <r>
          <rPr>
            <sz val="8"/>
            <color indexed="81"/>
            <rFont val="Tahoma"/>
            <family val="2"/>
          </rPr>
          <t>WW_corporate_tax_guide_2007.pdf,Page 585</t>
        </r>
        <r>
          <rPr>
            <sz val="8"/>
            <color indexed="81"/>
            <rFont val="Tahoma"/>
            <family val="2"/>
          </rPr>
          <t xml:space="preserve">
</t>
        </r>
      </text>
    </comment>
    <comment ref="H134" authorId="0" shapeId="0">
      <text>
        <r>
          <rPr>
            <sz val="8"/>
            <color indexed="81"/>
            <rFont val="Tahoma"/>
            <family val="2"/>
          </rPr>
          <t>WW_corporate_tax_guide_2008.pdf,Page 1722</t>
        </r>
        <r>
          <rPr>
            <sz val="8"/>
            <color indexed="81"/>
            <rFont val="Tahoma"/>
            <family val="2"/>
          </rPr>
          <t xml:space="preserve">
</t>
        </r>
      </text>
    </comment>
    <comment ref="I134" authorId="0" shapeId="0">
      <text>
        <r>
          <rPr>
            <sz val="8"/>
            <color indexed="81"/>
            <rFont val="Tahoma"/>
            <family val="2"/>
          </rPr>
          <t>worldwide corporate tax guide 2009.pdf,Page 652</t>
        </r>
        <r>
          <rPr>
            <sz val="8"/>
            <color indexed="81"/>
            <rFont val="Tahoma"/>
            <family val="2"/>
          </rPr>
          <t xml:space="preserve">
</t>
        </r>
      </text>
    </comment>
    <comment ref="J134" authorId="0" shapeId="0">
      <text>
        <r>
          <rPr>
            <sz val="8"/>
            <color indexed="81"/>
            <rFont val="Tahoma"/>
            <family val="2"/>
          </rPr>
          <t xml:space="preserve">2010 Corporate Tax Guide.pdf,Page 680
</t>
        </r>
        <r>
          <rPr>
            <sz val="8"/>
            <color indexed="81"/>
            <rFont val="Tahoma"/>
            <family val="2"/>
          </rPr>
          <t xml:space="preserve">
</t>
        </r>
      </text>
    </comment>
    <comment ref="K134" authorId="0" shapeId="0">
      <text>
        <r>
          <rPr>
            <sz val="8"/>
            <color indexed="81"/>
            <rFont val="Tahoma"/>
            <family val="2"/>
          </rPr>
          <t xml:space="preserve">Worldwide_corporate_tax_guide_2011.pdf.Page732
</t>
        </r>
        <r>
          <rPr>
            <sz val="8"/>
            <color indexed="81"/>
            <rFont val="Tahoma"/>
            <family val="2"/>
          </rPr>
          <t xml:space="preserve">
</t>
        </r>
      </text>
    </comment>
    <comment ref="L134" authorId="0" shapeId="0">
      <text>
        <r>
          <rPr>
            <sz val="8"/>
            <color indexed="81"/>
            <rFont val="Tahoma"/>
            <family val="2"/>
          </rPr>
          <t>Worldwide_Corporate_tax_guide_2012.pdf,Page 777</t>
        </r>
        <r>
          <rPr>
            <sz val="8"/>
            <color indexed="81"/>
            <rFont val="Tahoma"/>
            <family val="2"/>
          </rPr>
          <t xml:space="preserve">
</t>
        </r>
      </text>
    </comment>
    <comment ref="M134" authorId="0" shapeId="0">
      <text>
        <r>
          <rPr>
            <b/>
            <sz val="8"/>
            <color indexed="81"/>
            <rFont val="Tahoma"/>
            <family val="2"/>
          </rPr>
          <t>Ernst &amp; Young:</t>
        </r>
        <r>
          <rPr>
            <sz val="8"/>
            <color indexed="81"/>
            <rFont val="Tahoma"/>
            <family val="2"/>
          </rPr>
          <t xml:space="preserve">
Worldwide_corporate_tax_guide_2013.pdf
Pg 815
Resident companies that have paid-up ordinary capital of RM 2,500,000 or
less and that satisfy specified conditions are taxed at a rate of 20% on their
first RM 500,000 of chargeable income. The balance is taxed at 25%. These
rates do not apply to petroleum companies, which are taxed at a rate of 38%.</t>
        </r>
      </text>
    </comment>
    <comment ref="N134" authorId="0" shapeId="0">
      <text>
        <r>
          <rPr>
            <b/>
            <sz val="8"/>
            <color indexed="81"/>
            <rFont val="Tahoma"/>
            <family val="2"/>
          </rPr>
          <t>Ernst &amp; Young:</t>
        </r>
        <r>
          <rPr>
            <sz val="8"/>
            <color indexed="81"/>
            <rFont val="Tahoma"/>
            <family val="2"/>
          </rPr>
          <t xml:space="preserve">
Worldwide_corporate_tax_guide_2014.pdf
Pg 896
</t>
        </r>
      </text>
    </comment>
    <comment ref="G135" authorId="0" shapeId="0">
      <text>
        <r>
          <rPr>
            <b/>
            <sz val="8"/>
            <color indexed="81"/>
            <rFont val="Tahoma"/>
            <family val="2"/>
          </rPr>
          <t>Ernst &amp; Young:</t>
        </r>
        <r>
          <rPr>
            <sz val="8"/>
            <color indexed="81"/>
            <rFont val="Tahoma"/>
            <family val="2"/>
          </rPr>
          <t xml:space="preserve">
WW_corporate_tax_guide_2007.pdf
Pg 602</t>
        </r>
      </text>
    </comment>
    <comment ref="H135" authorId="0" shapeId="0">
      <text>
        <r>
          <rPr>
            <b/>
            <sz val="8"/>
            <color indexed="81"/>
            <rFont val="Tahoma"/>
            <family val="2"/>
          </rPr>
          <t>Ernst &amp; Young:</t>
        </r>
        <r>
          <rPr>
            <sz val="8"/>
            <color indexed="81"/>
            <rFont val="Tahoma"/>
            <family val="2"/>
          </rPr>
          <t xml:space="preserve">
WW_corporate_tax_guide_2008.pdf
Pg 1736</t>
        </r>
      </text>
    </comment>
    <comment ref="I135" authorId="0" shapeId="0">
      <text>
        <r>
          <rPr>
            <b/>
            <sz val="8"/>
            <color indexed="81"/>
            <rFont val="Tahoma"/>
            <family val="2"/>
          </rPr>
          <t>Ernst &amp; Young:</t>
        </r>
        <r>
          <rPr>
            <sz val="8"/>
            <color indexed="81"/>
            <rFont val="Tahoma"/>
            <family val="2"/>
          </rPr>
          <t xml:space="preserve">
worldwide corporate tax guide 2009.pdf
Pg 666</t>
        </r>
      </text>
    </comment>
    <comment ref="J135" authorId="0" shapeId="0">
      <text>
        <r>
          <rPr>
            <b/>
            <sz val="8"/>
            <color indexed="81"/>
            <rFont val="Tahoma"/>
            <family val="2"/>
          </rPr>
          <t>Ernst &amp; Young:</t>
        </r>
        <r>
          <rPr>
            <sz val="8"/>
            <color indexed="81"/>
            <rFont val="Tahoma"/>
            <family val="2"/>
          </rPr>
          <t xml:space="preserve">
2010 Corporate Tax Guide.pdf
Pg 694</t>
        </r>
      </text>
    </comment>
    <comment ref="K135" authorId="0" shapeId="0">
      <text>
        <r>
          <rPr>
            <b/>
            <sz val="8"/>
            <color indexed="81"/>
            <rFont val="Tahoma"/>
            <family val="2"/>
          </rPr>
          <t>Ernst &amp; Young:</t>
        </r>
        <r>
          <rPr>
            <sz val="8"/>
            <color indexed="81"/>
            <rFont val="Tahoma"/>
            <family val="2"/>
          </rPr>
          <t xml:space="preserve">
Worldwide_corporate_tax_guide_2011.pdf
Pg 752</t>
        </r>
      </text>
    </comment>
    <comment ref="L135" authorId="0" shapeId="0">
      <text>
        <r>
          <rPr>
            <b/>
            <sz val="8"/>
            <color indexed="81"/>
            <rFont val="Tahoma"/>
            <family val="2"/>
          </rPr>
          <t>Ernst &amp; Young:</t>
        </r>
        <r>
          <rPr>
            <sz val="8"/>
            <color indexed="81"/>
            <rFont val="Tahoma"/>
            <family val="2"/>
          </rPr>
          <t xml:space="preserve">
Worldwide_Corporate_tax_guide_2012.pdf
Pg 803</t>
        </r>
      </text>
    </comment>
    <comment ref="M135" authorId="0" shapeId="0">
      <text>
        <r>
          <rPr>
            <b/>
            <sz val="8"/>
            <color indexed="81"/>
            <rFont val="Tahoma"/>
            <family val="2"/>
          </rPr>
          <t>Ernst &amp; Young:</t>
        </r>
        <r>
          <rPr>
            <sz val="8"/>
            <color indexed="81"/>
            <rFont val="Tahoma"/>
            <family val="2"/>
          </rPr>
          <t xml:space="preserve">
Worldwide_corporate_tax_guide_2013.pdf
Pg 889</t>
        </r>
      </text>
    </comment>
    <comment ref="N135" authorId="0" shapeId="0">
      <text>
        <r>
          <rPr>
            <b/>
            <sz val="8"/>
            <color indexed="81"/>
            <rFont val="Tahoma"/>
            <family val="2"/>
          </rPr>
          <t>Ernst &amp; Young:</t>
        </r>
        <r>
          <rPr>
            <sz val="8"/>
            <color indexed="81"/>
            <rFont val="Tahoma"/>
            <family val="2"/>
          </rPr>
          <t xml:space="preserve">
Worldwide_corporate_tax_guide_2014.pdf
Pg 924
The corporate income tax rate is 37% for banks, financial institutions and
insurance companies. A 10% rate applies to such companies with taxable
income of less than MAD300,000</t>
        </r>
      </text>
    </comment>
    <comment ref="G136" authorId="0" shapeId="0">
      <text>
        <r>
          <rPr>
            <sz val="8"/>
            <color indexed="81"/>
            <rFont val="Tahoma"/>
            <family val="2"/>
          </rPr>
          <t>WW_corporate_tax_guide_2007.pdf,Page 623</t>
        </r>
        <r>
          <rPr>
            <sz val="8"/>
            <color indexed="81"/>
            <rFont val="Tahoma"/>
            <family val="2"/>
          </rPr>
          <t xml:space="preserve">
</t>
        </r>
      </text>
    </comment>
    <comment ref="H136" authorId="0" shapeId="0">
      <text>
        <r>
          <rPr>
            <sz val="8"/>
            <color indexed="81"/>
            <rFont val="Tahoma"/>
            <family val="2"/>
          </rPr>
          <t>WW_corporate_tax_guide_2008.pdf,Page 1757</t>
        </r>
        <r>
          <rPr>
            <sz val="8"/>
            <color indexed="81"/>
            <rFont val="Tahoma"/>
            <family val="2"/>
          </rPr>
          <t xml:space="preserve">
</t>
        </r>
      </text>
    </comment>
    <comment ref="I136" authorId="0" shapeId="0">
      <text>
        <r>
          <rPr>
            <sz val="8"/>
            <color indexed="81"/>
            <rFont val="Tahoma"/>
            <family val="2"/>
          </rPr>
          <t>worldwide corporate tax guide 2009.pdf,Page 688</t>
        </r>
        <r>
          <rPr>
            <sz val="8"/>
            <color indexed="81"/>
            <rFont val="Tahoma"/>
            <family val="2"/>
          </rPr>
          <t xml:space="preserve">
</t>
        </r>
      </text>
    </comment>
    <comment ref="J136" authorId="0" shapeId="0">
      <text>
        <r>
          <rPr>
            <sz val="8"/>
            <color indexed="81"/>
            <rFont val="Tahoma"/>
            <family val="2"/>
          </rPr>
          <t xml:space="preserve">2010 Corporate Tax Guide.pdf,Page 716
</t>
        </r>
        <r>
          <rPr>
            <sz val="8"/>
            <color indexed="81"/>
            <rFont val="Tahoma"/>
            <family val="2"/>
          </rPr>
          <t xml:space="preserve">
</t>
        </r>
      </text>
    </comment>
    <comment ref="K136" authorId="0" shapeId="0">
      <text>
        <r>
          <rPr>
            <sz val="8"/>
            <color indexed="81"/>
            <rFont val="Tahoma"/>
            <family val="2"/>
          </rPr>
          <t xml:space="preserve">A tax rate of 20.0% applies to the first €200,000 of taxable income. An
effective tax rate of 5% is available for income related to certain
intellectual property (IP).
</t>
        </r>
        <r>
          <rPr>
            <b/>
            <sz val="8"/>
            <color indexed="81"/>
            <rFont val="Tahoma"/>
            <family val="2"/>
          </rPr>
          <t xml:space="preserve">
Source:</t>
        </r>
        <r>
          <rPr>
            <sz val="8"/>
            <color indexed="81"/>
            <rFont val="Tahoma"/>
            <family val="2"/>
          </rPr>
          <t xml:space="preserve">Worldwide_corporate_tax_guide_2011.pdf.Page774
</t>
        </r>
        <r>
          <rPr>
            <sz val="8"/>
            <color indexed="81"/>
            <rFont val="Tahoma"/>
            <family val="2"/>
          </rPr>
          <t xml:space="preserve">
</t>
        </r>
      </text>
    </comment>
    <comment ref="L136" authorId="0" shapeId="0">
      <text>
        <r>
          <rPr>
            <sz val="8"/>
            <color indexed="81"/>
            <rFont val="Tahoma"/>
            <family val="2"/>
          </rPr>
          <t xml:space="preserve">A tax rate of 20.0% applies to the first €200,000 of taxable income. An
effective tax rate of 5% is available for income related to certain
intellectual property (IP).
</t>
        </r>
        <r>
          <rPr>
            <b/>
            <sz val="8"/>
            <color indexed="81"/>
            <rFont val="Tahoma"/>
            <family val="2"/>
          </rPr>
          <t>Source:</t>
        </r>
        <r>
          <rPr>
            <sz val="8"/>
            <color indexed="81"/>
            <rFont val="Tahoma"/>
            <family val="2"/>
          </rPr>
          <t>Worldwide_Corporate_tax_guide_2012.pdf,Page 826</t>
        </r>
        <r>
          <rPr>
            <sz val="8"/>
            <color indexed="81"/>
            <rFont val="Tahoma"/>
            <family val="2"/>
          </rPr>
          <t xml:space="preserve">
</t>
        </r>
      </text>
    </comment>
    <comment ref="M136" authorId="0" shapeId="0">
      <text>
        <r>
          <rPr>
            <b/>
            <sz val="8"/>
            <color indexed="81"/>
            <rFont val="Tahoma"/>
            <family val="2"/>
          </rPr>
          <t>Ernst &amp; Young:</t>
        </r>
        <r>
          <rPr>
            <sz val="8"/>
            <color indexed="81"/>
            <rFont val="Tahoma"/>
            <family val="2"/>
          </rPr>
          <t xml:space="preserve">
Worldwide_corporate_tax_guide_2013.pdf
Pg 861</t>
        </r>
      </text>
    </comment>
    <comment ref="N136" authorId="0" shapeId="0">
      <text>
        <r>
          <rPr>
            <b/>
            <sz val="8"/>
            <color indexed="81"/>
            <rFont val="Tahoma"/>
            <family val="2"/>
          </rPr>
          <t>Ernst &amp; Young:</t>
        </r>
        <r>
          <rPr>
            <sz val="8"/>
            <color indexed="81"/>
            <rFont val="Tahoma"/>
            <family val="2"/>
          </rPr>
          <t xml:space="preserve">
Worldwide_corporate_tax_guide_2014.pdf
Pg 955
A tax rate of 20% applies to the first EUR200,000 of taxable income. An
effective tax rate of 5% is available for income related to certain intellectual
property</t>
        </r>
      </text>
    </comment>
    <comment ref="G137" authorId="0" shapeId="0">
      <text>
        <r>
          <rPr>
            <b/>
            <sz val="8"/>
            <color indexed="81"/>
            <rFont val="Tahoma"/>
            <family val="2"/>
          </rPr>
          <t>Ernst &amp; Young:</t>
        </r>
        <r>
          <rPr>
            <sz val="8"/>
            <color indexed="81"/>
            <rFont val="Tahoma"/>
            <family val="2"/>
          </rPr>
          <t xml:space="preserve">
WW_corporate_tax_guide_2007.pdf
Pg 650</t>
        </r>
      </text>
    </comment>
    <comment ref="H137" authorId="0" shapeId="0">
      <text>
        <r>
          <rPr>
            <b/>
            <sz val="8"/>
            <color indexed="81"/>
            <rFont val="Tahoma"/>
            <family val="2"/>
          </rPr>
          <t>Ernst &amp; Young:</t>
        </r>
        <r>
          <rPr>
            <sz val="8"/>
            <color indexed="81"/>
            <rFont val="Tahoma"/>
            <family val="2"/>
          </rPr>
          <t xml:space="preserve">
WW_corporate_tax_guide_2008.pdf
Pg 1782</t>
        </r>
      </text>
    </comment>
    <comment ref="I137" authorId="0" shapeId="0">
      <text>
        <r>
          <rPr>
            <b/>
            <sz val="8"/>
            <color indexed="81"/>
            <rFont val="Tahoma"/>
            <family val="2"/>
          </rPr>
          <t>Ernst &amp; Young:</t>
        </r>
        <r>
          <rPr>
            <sz val="8"/>
            <color indexed="81"/>
            <rFont val="Tahoma"/>
            <family val="2"/>
          </rPr>
          <t xml:space="preserve">
worldwide corporate tax guide 2009.pdf
Pg 713</t>
        </r>
      </text>
    </comment>
    <comment ref="J137" authorId="0" shapeId="0">
      <text>
        <r>
          <rPr>
            <b/>
            <sz val="8"/>
            <color indexed="81"/>
            <rFont val="Tahoma"/>
            <family val="2"/>
          </rPr>
          <t>Ernst &amp; Young:</t>
        </r>
        <r>
          <rPr>
            <sz val="8"/>
            <color indexed="81"/>
            <rFont val="Tahoma"/>
            <family val="2"/>
          </rPr>
          <t xml:space="preserve">
2010 Corporate Tax Guide.pdf
Pg 742</t>
        </r>
      </text>
    </comment>
    <comment ref="K137" authorId="0" shapeId="0">
      <text>
        <r>
          <rPr>
            <b/>
            <sz val="8"/>
            <color indexed="81"/>
            <rFont val="Tahoma"/>
            <family val="2"/>
          </rPr>
          <t>Ernst &amp; Young:</t>
        </r>
        <r>
          <rPr>
            <sz val="8"/>
            <color indexed="81"/>
            <rFont val="Tahoma"/>
            <family val="2"/>
          </rPr>
          <t xml:space="preserve">
Worldwide_corporate_tax_guide_2011.pdf
Pg 794</t>
        </r>
      </text>
    </comment>
    <comment ref="L137" authorId="0" shapeId="0">
      <text>
        <r>
          <rPr>
            <b/>
            <sz val="8"/>
            <color indexed="81"/>
            <rFont val="Tahoma"/>
            <family val="2"/>
          </rPr>
          <t>Ernst &amp; Young:</t>
        </r>
        <r>
          <rPr>
            <sz val="8"/>
            <color indexed="81"/>
            <rFont val="Tahoma"/>
            <family val="2"/>
          </rPr>
          <t xml:space="preserve">
Worldwide_Corporate_tax_guide_2012.pdf
Pg 842</t>
        </r>
      </text>
    </comment>
    <comment ref="M137" authorId="0" shapeId="0">
      <text>
        <r>
          <rPr>
            <b/>
            <sz val="8"/>
            <color indexed="81"/>
            <rFont val="Tahoma"/>
            <family val="2"/>
          </rPr>
          <t>Ernst &amp; Young:</t>
        </r>
        <r>
          <rPr>
            <sz val="8"/>
            <color indexed="81"/>
            <rFont val="Tahoma"/>
            <family val="2"/>
          </rPr>
          <t xml:space="preserve">
Worldwide_corporate_tax_guide_2013.pdf
Pg 931</t>
        </r>
      </text>
    </comment>
    <comment ref="N137" authorId="0" shapeId="0">
      <text>
        <r>
          <rPr>
            <b/>
            <sz val="8"/>
            <color indexed="81"/>
            <rFont val="Tahoma"/>
            <family val="2"/>
          </rPr>
          <t>Ernst &amp; Young:</t>
        </r>
        <r>
          <rPr>
            <sz val="8"/>
            <color indexed="81"/>
            <rFont val="Tahoma"/>
            <family val="2"/>
          </rPr>
          <t xml:space="preserve">
Worldwide_corporate_tax_guide_2014.pdf
Pg 973</t>
        </r>
      </text>
    </comment>
    <comment ref="G138" authorId="0" shapeId="0">
      <text>
        <r>
          <rPr>
            <sz val="8"/>
            <color indexed="81"/>
            <rFont val="Tahoma"/>
            <family val="2"/>
          </rPr>
          <t>WW_corporate_tax_guide_2007.pdf,Page 663</t>
        </r>
        <r>
          <rPr>
            <sz val="8"/>
            <color indexed="81"/>
            <rFont val="Tahoma"/>
            <family val="2"/>
          </rPr>
          <t xml:space="preserve">
</t>
        </r>
      </text>
    </comment>
    <comment ref="H138" authorId="0" shapeId="0">
      <text>
        <r>
          <rPr>
            <sz val="8"/>
            <color indexed="81"/>
            <rFont val="Tahoma"/>
            <family val="2"/>
          </rPr>
          <t>WW_corporate_tax_guide_2008.pdf,Page 1797</t>
        </r>
        <r>
          <rPr>
            <sz val="8"/>
            <color indexed="81"/>
            <rFont val="Tahoma"/>
            <family val="2"/>
          </rPr>
          <t xml:space="preserve">
</t>
        </r>
      </text>
    </comment>
    <comment ref="I138" authorId="0" shapeId="0">
      <text>
        <r>
          <rPr>
            <sz val="8"/>
            <color indexed="81"/>
            <rFont val="Tahoma"/>
            <family val="2"/>
          </rPr>
          <t>worldwide corporate tax guide 2009.pdf,Page 729</t>
        </r>
        <r>
          <rPr>
            <sz val="8"/>
            <color indexed="81"/>
            <rFont val="Tahoma"/>
            <family val="2"/>
          </rPr>
          <t xml:space="preserve">
</t>
        </r>
      </text>
    </comment>
    <comment ref="J138" authorId="0" shapeId="0">
      <text>
        <r>
          <rPr>
            <sz val="8"/>
            <color indexed="81"/>
            <rFont val="Tahoma"/>
            <family val="2"/>
          </rPr>
          <t xml:space="preserve">2010 Corporate Tax Guide.pdf,Page 759
</t>
        </r>
        <r>
          <rPr>
            <sz val="8"/>
            <color indexed="81"/>
            <rFont val="Tahoma"/>
            <family val="2"/>
          </rPr>
          <t xml:space="preserve">
</t>
        </r>
      </text>
    </comment>
    <comment ref="K138" authorId="0" shapeId="0">
      <text>
        <r>
          <rPr>
            <sz val="8"/>
            <color indexed="81"/>
            <rFont val="Tahoma"/>
            <family val="2"/>
          </rPr>
          <t xml:space="preserve">Worldwide_corporate_tax_guide_2011.pdf.Page812
</t>
        </r>
        <r>
          <rPr>
            <sz val="8"/>
            <color indexed="81"/>
            <rFont val="Tahoma"/>
            <family val="2"/>
          </rPr>
          <t xml:space="preserve">
</t>
        </r>
      </text>
    </comment>
    <comment ref="L138" authorId="0" shapeId="0">
      <text>
        <r>
          <rPr>
            <sz val="8"/>
            <color indexed="81"/>
            <rFont val="Tahoma"/>
            <family val="2"/>
          </rPr>
          <t>Worldwide_Corporate_tax_guide_2012.pdf,Page 860</t>
        </r>
        <r>
          <rPr>
            <sz val="8"/>
            <color indexed="81"/>
            <rFont val="Tahoma"/>
            <family val="2"/>
          </rPr>
          <t xml:space="preserve">
</t>
        </r>
      </text>
    </comment>
    <comment ref="M138" authorId="0" shapeId="0">
      <text>
        <r>
          <rPr>
            <b/>
            <sz val="8"/>
            <color indexed="81"/>
            <rFont val="Tahoma"/>
            <family val="2"/>
          </rPr>
          <t>Ernst &amp; Young:</t>
        </r>
        <r>
          <rPr>
            <sz val="8"/>
            <color indexed="81"/>
            <rFont val="Tahoma"/>
            <family val="2"/>
          </rPr>
          <t xml:space="preserve">
Worldwide_corporate_tax_guide_2013.pdf
Pg 914</t>
        </r>
      </text>
    </comment>
    <comment ref="N138" authorId="0" shapeId="0">
      <text>
        <r>
          <rPr>
            <b/>
            <sz val="8"/>
            <color indexed="81"/>
            <rFont val="Tahoma"/>
            <family val="2"/>
          </rPr>
          <t>Ernst &amp; Young:</t>
        </r>
        <r>
          <rPr>
            <sz val="8"/>
            <color indexed="81"/>
            <rFont val="Tahoma"/>
            <family val="2"/>
          </rPr>
          <t xml:space="preserve">
Worldwide_corporate_tax_guide_2014.pdf
Pg 991</t>
        </r>
      </text>
    </comment>
    <comment ref="G139" authorId="0" shapeId="0">
      <text>
        <r>
          <rPr>
            <sz val="8"/>
            <color indexed="81"/>
            <rFont val="Tahoma"/>
            <family val="2"/>
          </rPr>
          <t>WW_corporate_tax_guide_2007.pdf,Page 676</t>
        </r>
        <r>
          <rPr>
            <sz val="8"/>
            <color indexed="81"/>
            <rFont val="Tahoma"/>
            <family val="2"/>
          </rPr>
          <t xml:space="preserve">
</t>
        </r>
      </text>
    </comment>
    <comment ref="H139" authorId="0" shapeId="0">
      <text>
        <r>
          <rPr>
            <sz val="8"/>
            <color indexed="81"/>
            <rFont val="Tahoma"/>
            <family val="2"/>
          </rPr>
          <t>WW_corporate_tax_guide_2008.pdf,Page 1809</t>
        </r>
        <r>
          <rPr>
            <sz val="8"/>
            <color indexed="81"/>
            <rFont val="Tahoma"/>
            <family val="2"/>
          </rPr>
          <t xml:space="preserve">
</t>
        </r>
      </text>
    </comment>
    <comment ref="I139" authorId="0" shapeId="0">
      <text>
        <r>
          <rPr>
            <sz val="8"/>
            <color indexed="81"/>
            <rFont val="Tahoma"/>
            <family val="2"/>
          </rPr>
          <t>worldwide corporate tax guide 2009.pdf,Page 742</t>
        </r>
        <r>
          <rPr>
            <sz val="8"/>
            <color indexed="81"/>
            <rFont val="Tahoma"/>
            <family val="2"/>
          </rPr>
          <t xml:space="preserve">
</t>
        </r>
      </text>
    </comment>
    <comment ref="J139" authorId="0" shapeId="0">
      <text>
        <r>
          <rPr>
            <sz val="8"/>
            <color indexed="81"/>
            <rFont val="Tahoma"/>
            <family val="2"/>
          </rPr>
          <t xml:space="preserve">2010 Corporate Tax Guide.pdf,Page 772
</t>
        </r>
        <r>
          <rPr>
            <sz val="8"/>
            <color indexed="81"/>
            <rFont val="Tahoma"/>
            <family val="2"/>
          </rPr>
          <t xml:space="preserve">
</t>
        </r>
      </text>
    </comment>
    <comment ref="K139" authorId="0" shapeId="0">
      <text>
        <r>
          <rPr>
            <sz val="8"/>
            <color indexed="81"/>
            <rFont val="Tahoma"/>
            <family val="2"/>
          </rPr>
          <t xml:space="preserve">Worldwide_corporate_tax_guide_2011.pdf.Page825
</t>
        </r>
        <r>
          <rPr>
            <sz val="8"/>
            <color indexed="81"/>
            <rFont val="Tahoma"/>
            <family val="2"/>
          </rPr>
          <t xml:space="preserve">
</t>
        </r>
      </text>
    </comment>
    <comment ref="L139" authorId="0" shapeId="0">
      <text>
        <r>
          <rPr>
            <sz val="8"/>
            <color indexed="81"/>
            <rFont val="Tahoma"/>
            <family val="2"/>
          </rPr>
          <t>Worldwide_Corporate_tax_guide_2012.pdf,Page 873</t>
        </r>
        <r>
          <rPr>
            <sz val="8"/>
            <color indexed="81"/>
            <rFont val="Tahoma"/>
            <family val="2"/>
          </rPr>
          <t xml:space="preserve">
</t>
        </r>
      </text>
    </comment>
    <comment ref="M139" authorId="0" shapeId="0">
      <text>
        <r>
          <rPr>
            <b/>
            <sz val="8"/>
            <color indexed="81"/>
            <rFont val="Tahoma"/>
            <family val="2"/>
          </rPr>
          <t>Ernst &amp; Young:</t>
        </r>
        <r>
          <rPr>
            <sz val="8"/>
            <color indexed="81"/>
            <rFont val="Tahoma"/>
            <family val="2"/>
          </rPr>
          <t xml:space="preserve">
Worldwide_corporate_tax_guide_2013.pdf
Pg 949</t>
        </r>
      </text>
    </comment>
    <comment ref="N139" authorId="0" shapeId="0">
      <text>
        <r>
          <rPr>
            <b/>
            <sz val="8"/>
            <color indexed="81"/>
            <rFont val="Tahoma"/>
            <family val="2"/>
          </rPr>
          <t>Ernst &amp; Young:</t>
        </r>
        <r>
          <rPr>
            <sz val="8"/>
            <color indexed="81"/>
            <rFont val="Tahoma"/>
            <family val="2"/>
          </rPr>
          <t xml:space="preserve">
Worldwide_corporate_tax_guide_2014.pdf
Pg 1005</t>
        </r>
      </text>
    </comment>
    <comment ref="G140" authorId="0" shapeId="0">
      <text>
        <r>
          <rPr>
            <b/>
            <sz val="8"/>
            <color indexed="81"/>
            <rFont val="Tahoma"/>
            <family val="2"/>
          </rPr>
          <t>Ernst &amp; Young:</t>
        </r>
        <r>
          <rPr>
            <sz val="8"/>
            <color indexed="81"/>
            <rFont val="Tahoma"/>
            <family val="2"/>
          </rPr>
          <t xml:space="preserve">
WW_corporate_tax_guide_2007.pdf
Pg 683</t>
        </r>
      </text>
    </comment>
    <comment ref="H140" authorId="0" shapeId="0">
      <text>
        <r>
          <rPr>
            <b/>
            <sz val="8"/>
            <color indexed="81"/>
            <rFont val="Tahoma"/>
            <family val="2"/>
          </rPr>
          <t>Ernst &amp; Young:</t>
        </r>
        <r>
          <rPr>
            <sz val="8"/>
            <color indexed="81"/>
            <rFont val="Tahoma"/>
            <family val="2"/>
          </rPr>
          <t xml:space="preserve">
WW_corporate_tax_guide_2008.pdf
Pg 1817</t>
        </r>
      </text>
    </comment>
    <comment ref="I140" authorId="0" shapeId="0">
      <text>
        <r>
          <rPr>
            <b/>
            <sz val="8"/>
            <color indexed="81"/>
            <rFont val="Tahoma"/>
            <family val="2"/>
          </rPr>
          <t>Ernst &amp; Young:</t>
        </r>
        <r>
          <rPr>
            <sz val="8"/>
            <color indexed="81"/>
            <rFont val="Tahoma"/>
            <family val="2"/>
          </rPr>
          <t xml:space="preserve">
worldwide corporate tax guide 2009.pdf
Pg 750</t>
        </r>
      </text>
    </comment>
    <comment ref="J140" authorId="0" shapeId="0">
      <text>
        <r>
          <rPr>
            <b/>
            <sz val="8"/>
            <color indexed="81"/>
            <rFont val="Tahoma"/>
            <family val="2"/>
          </rPr>
          <t>Ernst &amp; Young:</t>
        </r>
        <r>
          <rPr>
            <sz val="8"/>
            <color indexed="81"/>
            <rFont val="Tahoma"/>
            <family val="2"/>
          </rPr>
          <t xml:space="preserve">
2010 Corporate Tax Guide.pdf
Pg 780</t>
        </r>
      </text>
    </comment>
    <comment ref="K140" authorId="0" shapeId="0">
      <text>
        <r>
          <rPr>
            <b/>
            <sz val="8"/>
            <color indexed="81"/>
            <rFont val="Tahoma"/>
            <family val="2"/>
          </rPr>
          <t>Ernst &amp; Young:</t>
        </r>
        <r>
          <rPr>
            <sz val="8"/>
            <color indexed="81"/>
            <rFont val="Tahoma"/>
            <family val="2"/>
          </rPr>
          <t xml:space="preserve">
Worldwide_corporate_tax_guide_2011.pdf
Pg 834</t>
        </r>
      </text>
    </comment>
    <comment ref="L140" authorId="0" shapeId="0">
      <text>
        <r>
          <rPr>
            <b/>
            <sz val="8"/>
            <color indexed="81"/>
            <rFont val="Tahoma"/>
            <family val="2"/>
          </rPr>
          <t>Ernst &amp; Young:</t>
        </r>
        <r>
          <rPr>
            <sz val="8"/>
            <color indexed="81"/>
            <rFont val="Tahoma"/>
            <family val="2"/>
          </rPr>
          <t xml:space="preserve">
Worldwide_Corporate_tax_guide_2012.pdf
Pg 882</t>
        </r>
      </text>
    </comment>
    <comment ref="M140" authorId="0" shapeId="0">
      <text>
        <r>
          <rPr>
            <b/>
            <sz val="8"/>
            <color indexed="81"/>
            <rFont val="Tahoma"/>
            <family val="2"/>
          </rPr>
          <t>Ernst &amp; Young:</t>
        </r>
        <r>
          <rPr>
            <sz val="8"/>
            <color indexed="81"/>
            <rFont val="Tahoma"/>
            <family val="2"/>
          </rPr>
          <t xml:space="preserve">
Worldwide_corporate_tax_guide_2013.pdf
Pg 971</t>
        </r>
      </text>
    </comment>
    <comment ref="N140" authorId="0" shapeId="0">
      <text>
        <r>
          <rPr>
            <b/>
            <sz val="8"/>
            <color indexed="81"/>
            <rFont val="Tahoma"/>
            <family val="2"/>
          </rPr>
          <t>Ernst &amp; Young:</t>
        </r>
        <r>
          <rPr>
            <sz val="8"/>
            <color indexed="81"/>
            <rFont val="Tahoma"/>
            <family val="2"/>
          </rPr>
          <t xml:space="preserve">
Worldwide_corporate_tax_guide_2014.pdf
Pg 1015
Companies registered in Oman,regardless of the extent of foreign participation, and permanent
establishments of foreign companies are subject to tax at a rate of 0% on their first OMR30,000
 of taxable income, and at a rate of
12% on their taxable income in excess of OMR30,000</t>
        </r>
      </text>
    </comment>
    <comment ref="G141" authorId="0" shapeId="0">
      <text>
        <r>
          <rPr>
            <sz val="8"/>
            <color indexed="81"/>
            <rFont val="Tahoma"/>
            <family val="2"/>
          </rPr>
          <t>WW_corporate_tax_guide_2007.pdf,Page 688</t>
        </r>
        <r>
          <rPr>
            <sz val="8"/>
            <color indexed="81"/>
            <rFont val="Tahoma"/>
            <family val="2"/>
          </rPr>
          <t xml:space="preserve">
</t>
        </r>
      </text>
    </comment>
    <comment ref="H141" authorId="0" shapeId="0">
      <text>
        <r>
          <rPr>
            <sz val="8"/>
            <color indexed="81"/>
            <rFont val="Tahoma"/>
            <family val="2"/>
          </rPr>
          <t>WW_corporate_tax_guide_2008.pdf,Page 1822</t>
        </r>
        <r>
          <rPr>
            <sz val="8"/>
            <color indexed="81"/>
            <rFont val="Tahoma"/>
            <family val="2"/>
          </rPr>
          <t xml:space="preserve">
</t>
        </r>
      </text>
    </comment>
    <comment ref="I141" authorId="0" shapeId="0">
      <text>
        <r>
          <rPr>
            <sz val="8"/>
            <color indexed="81"/>
            <rFont val="Tahoma"/>
            <family val="2"/>
          </rPr>
          <t>worldwide corporate tax guide 2009.pdf,Page 755</t>
        </r>
        <r>
          <rPr>
            <sz val="8"/>
            <color indexed="81"/>
            <rFont val="Tahoma"/>
            <family val="2"/>
          </rPr>
          <t xml:space="preserve">
</t>
        </r>
      </text>
    </comment>
    <comment ref="J141" authorId="0" shapeId="0">
      <text>
        <r>
          <rPr>
            <sz val="8"/>
            <color indexed="81"/>
            <rFont val="Tahoma"/>
            <family val="2"/>
          </rPr>
          <t xml:space="preserve">2010 Corporate Tax Guide.pdf,Page 788
</t>
        </r>
        <r>
          <rPr>
            <sz val="8"/>
            <color indexed="81"/>
            <rFont val="Tahoma"/>
            <family val="2"/>
          </rPr>
          <t xml:space="preserve">
</t>
        </r>
      </text>
    </comment>
    <comment ref="K141" authorId="0" shapeId="0">
      <text>
        <r>
          <rPr>
            <sz val="8"/>
            <color indexed="81"/>
            <rFont val="Tahoma"/>
            <family val="2"/>
          </rPr>
          <t xml:space="preserve">Worldwide_corporate_tax_guide_2011.pdf.Page841
</t>
        </r>
        <r>
          <rPr>
            <sz val="8"/>
            <color indexed="81"/>
            <rFont val="Tahoma"/>
            <family val="2"/>
          </rPr>
          <t xml:space="preserve">
</t>
        </r>
      </text>
    </comment>
    <comment ref="L141" authorId="0" shapeId="0">
      <text>
        <r>
          <rPr>
            <sz val="8"/>
            <color indexed="81"/>
            <rFont val="Tahoma"/>
            <family val="2"/>
          </rPr>
          <t>Worldwide_Corporate_tax_guide_2012.pdf,Page 889</t>
        </r>
        <r>
          <rPr>
            <sz val="8"/>
            <color indexed="81"/>
            <rFont val="Tahoma"/>
            <family val="2"/>
          </rPr>
          <t xml:space="preserve">
</t>
        </r>
      </text>
    </comment>
    <comment ref="M141" authorId="0" shapeId="0">
      <text>
        <r>
          <rPr>
            <b/>
            <sz val="8"/>
            <color indexed="81"/>
            <rFont val="Tahoma"/>
            <family val="2"/>
          </rPr>
          <t>Ernst &amp; Young:</t>
        </r>
        <r>
          <rPr>
            <sz val="8"/>
            <color indexed="81"/>
            <rFont val="Tahoma"/>
            <family val="2"/>
          </rPr>
          <t xml:space="preserve">
Worldwide_corporate_tax_guide_2013.pdf
Pg 962</t>
        </r>
      </text>
    </comment>
    <comment ref="N141" authorId="0" shapeId="0">
      <text>
        <r>
          <rPr>
            <b/>
            <sz val="8"/>
            <color indexed="81"/>
            <rFont val="Tahoma"/>
            <family val="2"/>
          </rPr>
          <t>Ernst &amp; Young:</t>
        </r>
        <r>
          <rPr>
            <sz val="8"/>
            <color indexed="81"/>
            <rFont val="Tahoma"/>
            <family val="2"/>
          </rPr>
          <t xml:space="preserve">
Worldwide_corporate_tax_guide_2014.pdf
Pg 1023</t>
        </r>
      </text>
    </comment>
    <comment ref="G142" authorId="0" shapeId="0">
      <text>
        <r>
          <rPr>
            <sz val="8"/>
            <color indexed="81"/>
            <rFont val="Tahoma"/>
            <family val="2"/>
          </rPr>
          <t>WW_corporate_tax_guide_2007.pdf,Page 709</t>
        </r>
        <r>
          <rPr>
            <sz val="8"/>
            <color indexed="81"/>
            <rFont val="Tahoma"/>
            <family val="2"/>
          </rPr>
          <t xml:space="preserve">
</t>
        </r>
      </text>
    </comment>
    <comment ref="H142" authorId="0" shapeId="0">
      <text>
        <r>
          <rPr>
            <sz val="8"/>
            <color indexed="81"/>
            <rFont val="Tahoma"/>
            <family val="2"/>
          </rPr>
          <t>WW_corporate_tax_guide_2008.pdf,Page 1845</t>
        </r>
        <r>
          <rPr>
            <sz val="8"/>
            <color indexed="81"/>
            <rFont val="Tahoma"/>
            <family val="2"/>
          </rPr>
          <t xml:space="preserve">
</t>
        </r>
      </text>
    </comment>
    <comment ref="I142" authorId="0" shapeId="0">
      <text>
        <r>
          <rPr>
            <sz val="8"/>
            <color indexed="81"/>
            <rFont val="Tahoma"/>
            <family val="2"/>
          </rPr>
          <t>worldwide corporate tax guide 2009.pdf,Page 778</t>
        </r>
      </text>
    </comment>
    <comment ref="J142" authorId="0" shapeId="0">
      <text>
        <r>
          <rPr>
            <sz val="8"/>
            <color indexed="81"/>
            <rFont val="Tahoma"/>
            <family val="2"/>
          </rPr>
          <t xml:space="preserve">2010 Corporate Tax Guide.pdf,Page 821
</t>
        </r>
        <r>
          <rPr>
            <sz val="8"/>
            <color indexed="81"/>
            <rFont val="Tahoma"/>
            <family val="2"/>
          </rPr>
          <t xml:space="preserve">
</t>
        </r>
      </text>
    </comment>
    <comment ref="K142" authorId="0" shapeId="0">
      <text>
        <r>
          <rPr>
            <sz val="8"/>
            <color indexed="81"/>
            <rFont val="Tahoma"/>
            <family val="2"/>
          </rPr>
          <t xml:space="preserve">Worldwide_corporate_tax_guide_2011.pdf.Page876
</t>
        </r>
        <r>
          <rPr>
            <sz val="8"/>
            <color indexed="81"/>
            <rFont val="Tahoma"/>
            <family val="2"/>
          </rPr>
          <t xml:space="preserve">
</t>
        </r>
      </text>
    </comment>
    <comment ref="L142" authorId="0" shapeId="0">
      <text>
        <r>
          <rPr>
            <sz val="8"/>
            <color indexed="81"/>
            <rFont val="Tahoma"/>
            <family val="2"/>
          </rPr>
          <t>Worldwide_Corporate_tax_guide_2012.pdf,Page 925</t>
        </r>
        <r>
          <rPr>
            <sz val="8"/>
            <color indexed="81"/>
            <rFont val="Tahoma"/>
            <family val="2"/>
          </rPr>
          <t xml:space="preserve">
</t>
        </r>
      </text>
    </comment>
    <comment ref="M142" authorId="0" shapeId="0">
      <text>
        <r>
          <rPr>
            <b/>
            <sz val="8"/>
            <color indexed="81"/>
            <rFont val="Tahoma"/>
            <family val="2"/>
          </rPr>
          <t>Ernst &amp; Young:</t>
        </r>
        <r>
          <rPr>
            <sz val="8"/>
            <color indexed="81"/>
            <rFont val="Tahoma"/>
            <family val="2"/>
          </rPr>
          <t xml:space="preserve">
Worldwide_corporate_tax_guide_2013.pdf
Pg 979</t>
        </r>
      </text>
    </comment>
    <comment ref="N142" authorId="0" shapeId="0">
      <text>
        <r>
          <rPr>
            <b/>
            <sz val="8"/>
            <color indexed="81"/>
            <rFont val="Tahoma"/>
            <family val="2"/>
          </rPr>
          <t>Ernst &amp; Young:</t>
        </r>
        <r>
          <rPr>
            <sz val="8"/>
            <color indexed="81"/>
            <rFont val="Tahoma"/>
            <family val="2"/>
          </rPr>
          <t xml:space="preserve">
Worldwide_corporate_tax_guide_2014.pdf
Pg 1066</t>
        </r>
      </text>
    </comment>
    <comment ref="G143" authorId="0" shapeId="0">
      <text>
        <r>
          <rPr>
            <sz val="8"/>
            <color indexed="81"/>
            <rFont val="Tahoma"/>
            <family val="2"/>
          </rPr>
          <t>WW_corporate_tax_guide_2007.pdf,Page 718</t>
        </r>
        <r>
          <rPr>
            <sz val="8"/>
            <color indexed="81"/>
            <rFont val="Tahoma"/>
            <family val="2"/>
          </rPr>
          <t xml:space="preserve">
</t>
        </r>
      </text>
    </comment>
    <comment ref="H143" authorId="0" shapeId="0">
      <text>
        <r>
          <rPr>
            <sz val="8"/>
            <color indexed="81"/>
            <rFont val="Tahoma"/>
            <family val="2"/>
          </rPr>
          <t>WW_corporate_tax_guide_2008.pdf,Page 1854</t>
        </r>
        <r>
          <rPr>
            <sz val="8"/>
            <color indexed="81"/>
            <rFont val="Tahoma"/>
            <family val="2"/>
          </rPr>
          <t xml:space="preserve">
</t>
        </r>
      </text>
    </comment>
    <comment ref="I143" authorId="0" shapeId="0">
      <text>
        <r>
          <rPr>
            <sz val="8"/>
            <color indexed="81"/>
            <rFont val="Tahoma"/>
            <family val="2"/>
          </rPr>
          <t>worldwide corporate tax guide 2009.pdf,Page 786</t>
        </r>
        <r>
          <rPr>
            <sz val="8"/>
            <color indexed="81"/>
            <rFont val="Tahoma"/>
            <family val="2"/>
          </rPr>
          <t xml:space="preserve">
</t>
        </r>
      </text>
    </comment>
    <comment ref="J143" authorId="0" shapeId="0">
      <text>
        <r>
          <rPr>
            <sz val="8"/>
            <color indexed="81"/>
            <rFont val="Tahoma"/>
            <family val="2"/>
          </rPr>
          <t xml:space="preserve">2010 Corporate Tax Guide.pdf,Page 829
</t>
        </r>
        <r>
          <rPr>
            <sz val="8"/>
            <color indexed="81"/>
            <rFont val="Tahoma"/>
            <family val="2"/>
          </rPr>
          <t xml:space="preserve">
</t>
        </r>
      </text>
    </comment>
    <comment ref="K143" authorId="0" shapeId="0">
      <text>
        <r>
          <rPr>
            <sz val="8"/>
            <color indexed="81"/>
            <rFont val="Tahoma"/>
            <family val="2"/>
          </rPr>
          <t xml:space="preserve">Worldwide_corporate_tax_guide_2011.pdf.Page885
</t>
        </r>
        <r>
          <rPr>
            <sz val="8"/>
            <color indexed="81"/>
            <rFont val="Tahoma"/>
            <family val="2"/>
          </rPr>
          <t xml:space="preserve">
</t>
        </r>
      </text>
    </comment>
    <comment ref="L143" authorId="0" shapeId="0">
      <text>
        <r>
          <rPr>
            <sz val="8"/>
            <color indexed="81"/>
            <rFont val="Tahoma"/>
            <family val="2"/>
          </rPr>
          <t>Worldwide_Corporate_tax_guide_2012.pdf,Page 935</t>
        </r>
        <r>
          <rPr>
            <sz val="8"/>
            <color indexed="81"/>
            <rFont val="Tahoma"/>
            <family val="2"/>
          </rPr>
          <t xml:space="preserve">
</t>
        </r>
      </text>
    </comment>
    <comment ref="M143" authorId="0" shapeId="0">
      <text>
        <r>
          <rPr>
            <b/>
            <sz val="8"/>
            <color indexed="81"/>
            <rFont val="Tahoma"/>
            <family val="2"/>
          </rPr>
          <t>Ernst &amp; Young:</t>
        </r>
        <r>
          <rPr>
            <sz val="8"/>
            <color indexed="81"/>
            <rFont val="Tahoma"/>
            <family val="2"/>
          </rPr>
          <t xml:space="preserve">
Worldwide_corporate_tax_guide_2013.pdf
Pg 1019</t>
        </r>
      </text>
    </comment>
    <comment ref="N143" authorId="0" shapeId="0">
      <text>
        <r>
          <rPr>
            <b/>
            <sz val="8"/>
            <color indexed="81"/>
            <rFont val="Tahoma"/>
            <family val="2"/>
          </rPr>
          <t>Ernst &amp; Young:</t>
        </r>
        <r>
          <rPr>
            <sz val="8"/>
            <color indexed="81"/>
            <rFont val="Tahoma"/>
            <family val="2"/>
          </rPr>
          <t xml:space="preserve">
Worldwide_corporate_tax_guide_2014.pdf
Pg 1078</t>
        </r>
      </text>
    </comment>
    <comment ref="G144" authorId="0" shapeId="0">
      <text>
        <r>
          <rPr>
            <sz val="8"/>
            <color indexed="81"/>
            <rFont val="Tahoma"/>
            <family val="2"/>
          </rPr>
          <t>WW_corporate_tax_guide_2007.pdf,Page 727</t>
        </r>
      </text>
    </comment>
    <comment ref="H144" authorId="0" shapeId="0">
      <text>
        <r>
          <rPr>
            <sz val="8"/>
            <color indexed="81"/>
            <rFont val="Tahoma"/>
            <family val="2"/>
          </rPr>
          <t>WW_corporate_tax_guide_2008.pdf,Page 1863</t>
        </r>
        <r>
          <rPr>
            <sz val="8"/>
            <color indexed="81"/>
            <rFont val="Tahoma"/>
            <family val="2"/>
          </rPr>
          <t xml:space="preserve">
</t>
        </r>
      </text>
    </comment>
    <comment ref="I144" authorId="0" shapeId="0">
      <text>
        <r>
          <rPr>
            <sz val="8"/>
            <color indexed="81"/>
            <rFont val="Tahoma"/>
            <family val="2"/>
          </rPr>
          <t>worldwide corporate tax guide 2009.pdf,Page 795</t>
        </r>
        <r>
          <rPr>
            <sz val="8"/>
            <color indexed="81"/>
            <rFont val="Tahoma"/>
            <family val="2"/>
          </rPr>
          <t xml:space="preserve">
</t>
        </r>
      </text>
    </comment>
    <comment ref="J144" authorId="0" shapeId="0">
      <text>
        <r>
          <rPr>
            <sz val="8"/>
            <color indexed="81"/>
            <rFont val="Tahoma"/>
            <family val="2"/>
          </rPr>
          <t xml:space="preserve">2010 Corporate Tax Guide.pdf,Page 839
</t>
        </r>
        <r>
          <rPr>
            <sz val="8"/>
            <color indexed="81"/>
            <rFont val="Tahoma"/>
            <family val="2"/>
          </rPr>
          <t xml:space="preserve">
</t>
        </r>
      </text>
    </comment>
    <comment ref="K144" authorId="0" shapeId="0">
      <text>
        <r>
          <rPr>
            <sz val="8"/>
            <color indexed="81"/>
            <rFont val="Tahoma"/>
            <family val="2"/>
          </rPr>
          <t xml:space="preserve">Worldwide_corporate_tax_guide_2011.pdf.Page895
</t>
        </r>
        <r>
          <rPr>
            <sz val="8"/>
            <color indexed="81"/>
            <rFont val="Tahoma"/>
            <family val="2"/>
          </rPr>
          <t xml:space="preserve">
</t>
        </r>
      </text>
    </comment>
    <comment ref="L144" authorId="0" shapeId="0">
      <text>
        <r>
          <rPr>
            <sz val="8"/>
            <color indexed="81"/>
            <rFont val="Tahoma"/>
            <family val="2"/>
          </rPr>
          <t>Worldwide_Corporate_tax_guide_2012.pdf,Page 945</t>
        </r>
        <r>
          <rPr>
            <sz val="8"/>
            <color indexed="81"/>
            <rFont val="Tahoma"/>
            <family val="2"/>
          </rPr>
          <t xml:space="preserve">
</t>
        </r>
      </text>
    </comment>
    <comment ref="M144" authorId="0" shapeId="0">
      <text>
        <r>
          <rPr>
            <b/>
            <sz val="8"/>
            <color indexed="81"/>
            <rFont val="Tahoma"/>
            <family val="2"/>
          </rPr>
          <t>Ernst &amp; Young:</t>
        </r>
        <r>
          <rPr>
            <sz val="8"/>
            <color indexed="81"/>
            <rFont val="Tahoma"/>
            <family val="2"/>
          </rPr>
          <t xml:space="preserve">
Worldwide_corporate_tax_guide_2013.pdf
Pg 1031</t>
        </r>
      </text>
    </comment>
    <comment ref="N144" authorId="0" shapeId="0">
      <text>
        <r>
          <rPr>
            <b/>
            <sz val="8"/>
            <color indexed="81"/>
            <rFont val="Tahoma"/>
            <family val="2"/>
          </rPr>
          <t>Ernst &amp; Young:</t>
        </r>
        <r>
          <rPr>
            <sz val="8"/>
            <color indexed="81"/>
            <rFont val="Tahoma"/>
            <family val="2"/>
          </rPr>
          <t xml:space="preserve">
Worldwide_corporate_tax_guide_2014.pdf
Pg 1089</t>
        </r>
      </text>
    </comment>
    <comment ref="G145" authorId="0" shapeId="0">
      <text>
        <r>
          <rPr>
            <sz val="8"/>
            <color indexed="81"/>
            <rFont val="Tahoma"/>
            <family val="2"/>
          </rPr>
          <t>WW_corporate_tax_guide_2007.pdf,Page 738</t>
        </r>
      </text>
    </comment>
    <comment ref="H145" authorId="0" shapeId="0">
      <text>
        <r>
          <rPr>
            <sz val="8"/>
            <color indexed="81"/>
            <rFont val="Tahoma"/>
            <family val="2"/>
          </rPr>
          <t>WW_corporate_tax_guide_2008.pdf,Page 1873</t>
        </r>
        <r>
          <rPr>
            <sz val="8"/>
            <color indexed="81"/>
            <rFont val="Tahoma"/>
            <family val="2"/>
          </rPr>
          <t xml:space="preserve">
</t>
        </r>
      </text>
    </comment>
    <comment ref="I145" authorId="0" shapeId="0">
      <text>
        <r>
          <rPr>
            <sz val="8"/>
            <color indexed="81"/>
            <rFont val="Tahoma"/>
            <family val="2"/>
          </rPr>
          <t>worldwide corporate tax guide 2009.pdf,Page 806</t>
        </r>
        <r>
          <rPr>
            <sz val="8"/>
            <color indexed="81"/>
            <rFont val="Tahoma"/>
            <family val="2"/>
          </rPr>
          <t xml:space="preserve">
</t>
        </r>
      </text>
    </comment>
    <comment ref="J145" authorId="0" shapeId="0">
      <text>
        <r>
          <rPr>
            <sz val="8"/>
            <color indexed="81"/>
            <rFont val="Tahoma"/>
            <family val="2"/>
          </rPr>
          <t xml:space="preserve">2010 Corporate Tax Guide.pdf,Page 850
</t>
        </r>
        <r>
          <rPr>
            <sz val="8"/>
            <color indexed="81"/>
            <rFont val="Tahoma"/>
            <family val="2"/>
          </rPr>
          <t xml:space="preserve">
</t>
        </r>
      </text>
    </comment>
    <comment ref="K145" authorId="0" shapeId="0">
      <text>
        <r>
          <rPr>
            <sz val="8"/>
            <color indexed="81"/>
            <rFont val="Tahoma"/>
            <family val="2"/>
          </rPr>
          <t xml:space="preserve">Worldwide_corporate_tax_guide_2011.pdf.Page907
</t>
        </r>
        <r>
          <rPr>
            <sz val="8"/>
            <color indexed="81"/>
            <rFont val="Tahoma"/>
            <family val="2"/>
          </rPr>
          <t xml:space="preserve">
</t>
        </r>
      </text>
    </comment>
    <comment ref="L145" authorId="0" shapeId="0">
      <text>
        <r>
          <rPr>
            <sz val="8"/>
            <color indexed="81"/>
            <rFont val="Tahoma"/>
            <family val="2"/>
          </rPr>
          <t>Worldwide_Corporate_tax_guide_2012.pdf,Page 958</t>
        </r>
        <r>
          <rPr>
            <sz val="8"/>
            <color indexed="81"/>
            <rFont val="Tahoma"/>
            <family val="2"/>
          </rPr>
          <t xml:space="preserve">
</t>
        </r>
      </text>
    </comment>
    <comment ref="M145" authorId="0" shapeId="0">
      <text>
        <r>
          <rPr>
            <b/>
            <sz val="8"/>
            <color indexed="81"/>
            <rFont val="Tahoma"/>
            <family val="2"/>
          </rPr>
          <t>Ernst &amp; Young:</t>
        </r>
        <r>
          <rPr>
            <sz val="8"/>
            <color indexed="81"/>
            <rFont val="Tahoma"/>
            <family val="2"/>
          </rPr>
          <t xml:space="preserve">
Worldwide_corporate_tax_guide_2013.pdf
Pg 1041</t>
        </r>
      </text>
    </comment>
    <comment ref="N145" authorId="0" shapeId="0">
      <text>
        <r>
          <rPr>
            <b/>
            <sz val="8"/>
            <color indexed="81"/>
            <rFont val="Tahoma"/>
            <family val="2"/>
          </rPr>
          <t>Ernst &amp; Young:</t>
        </r>
        <r>
          <rPr>
            <sz val="8"/>
            <color indexed="81"/>
            <rFont val="Tahoma"/>
            <family val="2"/>
          </rPr>
          <t xml:space="preserve">
Worldwide_corporate_tax_guide_2014.pdf
Pg 1104</t>
        </r>
      </text>
    </comment>
    <comment ref="G146" authorId="0" shapeId="0">
      <text>
        <r>
          <rPr>
            <b/>
            <sz val="8"/>
            <color indexed="81"/>
            <rFont val="Tahoma"/>
            <family val="2"/>
          </rPr>
          <t>Ernst &amp; Young:</t>
        </r>
        <r>
          <rPr>
            <sz val="8"/>
            <color indexed="81"/>
            <rFont val="Tahoma"/>
            <family val="2"/>
          </rPr>
          <t xml:space="preserve">
WW_corporate_tax_guide_2007.pdf
Pg 756</t>
        </r>
      </text>
    </comment>
    <comment ref="H146" authorId="0" shapeId="0">
      <text>
        <r>
          <rPr>
            <b/>
            <sz val="8"/>
            <color indexed="81"/>
            <rFont val="Tahoma"/>
            <family val="2"/>
          </rPr>
          <t>Ernst &amp; Young:</t>
        </r>
        <r>
          <rPr>
            <sz val="8"/>
            <color indexed="81"/>
            <rFont val="Tahoma"/>
            <family val="2"/>
          </rPr>
          <t xml:space="preserve">
WW_corporate_tax_guide_2008.pdf
Pg 1892</t>
        </r>
      </text>
    </comment>
    <comment ref="I146" authorId="0" shapeId="0">
      <text>
        <r>
          <rPr>
            <b/>
            <sz val="8"/>
            <color indexed="81"/>
            <rFont val="Tahoma"/>
            <family val="2"/>
          </rPr>
          <t>Ernst &amp; Young:</t>
        </r>
        <r>
          <rPr>
            <sz val="8"/>
            <color indexed="81"/>
            <rFont val="Tahoma"/>
            <family val="2"/>
          </rPr>
          <t xml:space="preserve">
worldwide corporate tax guide 2009.pdf
Pg 826</t>
        </r>
      </text>
    </comment>
    <comment ref="J146" authorId="0" shapeId="0">
      <text>
        <r>
          <rPr>
            <b/>
            <sz val="8"/>
            <color indexed="81"/>
            <rFont val="Tahoma"/>
            <family val="2"/>
          </rPr>
          <t>Ernst &amp; Young:</t>
        </r>
        <r>
          <rPr>
            <sz val="8"/>
            <color indexed="81"/>
            <rFont val="Tahoma"/>
            <family val="2"/>
          </rPr>
          <t xml:space="preserve">
2010 Corporate Tax Guide.pdf
Pg 872</t>
        </r>
      </text>
    </comment>
    <comment ref="K146" authorId="0" shapeId="0">
      <text>
        <r>
          <rPr>
            <b/>
            <sz val="8"/>
            <color indexed="81"/>
            <rFont val="Tahoma"/>
            <family val="2"/>
          </rPr>
          <t>Ernst &amp; Young:</t>
        </r>
        <r>
          <rPr>
            <sz val="8"/>
            <color indexed="81"/>
            <rFont val="Tahoma"/>
            <family val="2"/>
          </rPr>
          <t xml:space="preserve">
Worldwide_corporate_tax_guide_2011.pdf
Pg 929</t>
        </r>
      </text>
    </comment>
    <comment ref="L146" authorId="0" shapeId="0">
      <text>
        <r>
          <rPr>
            <b/>
            <sz val="8"/>
            <color indexed="81"/>
            <rFont val="Tahoma"/>
            <family val="2"/>
          </rPr>
          <t>Ernst &amp; Young:</t>
        </r>
        <r>
          <rPr>
            <sz val="8"/>
            <color indexed="81"/>
            <rFont val="Tahoma"/>
            <family val="2"/>
          </rPr>
          <t xml:space="preserve">
Worldwide_Corporate_tax_guide_2012.pdf
Pg 1190</t>
        </r>
      </text>
    </comment>
    <comment ref="M146" authorId="0" shapeId="0">
      <text>
        <r>
          <rPr>
            <b/>
            <sz val="8"/>
            <color indexed="81"/>
            <rFont val="Tahoma"/>
            <family val="2"/>
          </rPr>
          <t>Ernst &amp; Young:</t>
        </r>
        <r>
          <rPr>
            <sz val="8"/>
            <color indexed="81"/>
            <rFont val="Tahoma"/>
            <family val="2"/>
          </rPr>
          <t xml:space="preserve">
Worldwide_corporate_tax_guide_2013.pdf
Pg 1081</t>
        </r>
      </text>
    </comment>
    <comment ref="N146" authorId="0" shapeId="0">
      <text>
        <r>
          <rPr>
            <b/>
            <sz val="8"/>
            <color indexed="81"/>
            <rFont val="Tahoma"/>
            <family val="2"/>
          </rPr>
          <t>Ernst &amp; Young:</t>
        </r>
        <r>
          <rPr>
            <sz val="8"/>
            <color indexed="81"/>
            <rFont val="Tahoma"/>
            <family val="2"/>
          </rPr>
          <t xml:space="preserve">
Worldwide_corporate_tax_guide_2014.pdf
Pg 1134</t>
        </r>
      </text>
    </comment>
    <comment ref="G147" authorId="0" shapeId="0">
      <text>
        <r>
          <rPr>
            <sz val="8"/>
            <color indexed="81"/>
            <rFont val="Tahoma"/>
            <family val="2"/>
          </rPr>
          <t>WW_corporate_tax_guide_2007.pdf,Page 761</t>
        </r>
      </text>
    </comment>
    <comment ref="H147" authorId="0" shapeId="0">
      <text>
        <r>
          <rPr>
            <sz val="8"/>
            <color indexed="81"/>
            <rFont val="Tahoma"/>
            <family val="2"/>
          </rPr>
          <t>WW_corporate_tax_guide_2008.pdf,Page 1898</t>
        </r>
        <r>
          <rPr>
            <sz val="8"/>
            <color indexed="81"/>
            <rFont val="Tahoma"/>
            <family val="2"/>
          </rPr>
          <t xml:space="preserve">
</t>
        </r>
      </text>
    </comment>
    <comment ref="I147" authorId="0" shapeId="0">
      <text>
        <r>
          <rPr>
            <sz val="8"/>
            <color indexed="81"/>
            <rFont val="Tahoma"/>
            <family val="2"/>
          </rPr>
          <t>worldwide corporate tax guide 2009.pdf,Page 832</t>
        </r>
        <r>
          <rPr>
            <sz val="8"/>
            <color indexed="81"/>
            <rFont val="Tahoma"/>
            <family val="2"/>
          </rPr>
          <t xml:space="preserve">
</t>
        </r>
      </text>
    </comment>
    <comment ref="J147" authorId="0" shapeId="0">
      <text>
        <r>
          <rPr>
            <sz val="8"/>
            <color indexed="81"/>
            <rFont val="Tahoma"/>
            <family val="2"/>
          </rPr>
          <t xml:space="preserve">2010 Corporate Tax Guide.pdf,Page 879
</t>
        </r>
        <r>
          <rPr>
            <sz val="8"/>
            <color indexed="81"/>
            <rFont val="Tahoma"/>
            <family val="2"/>
          </rPr>
          <t xml:space="preserve">
</t>
        </r>
      </text>
    </comment>
    <comment ref="K147" authorId="0" shapeId="0">
      <text>
        <r>
          <rPr>
            <sz val="8"/>
            <color indexed="81"/>
            <rFont val="Tahoma"/>
            <family val="2"/>
          </rPr>
          <t xml:space="preserve">Worldwide_corporate_tax_guide_2011.pdf.Page937
</t>
        </r>
        <r>
          <rPr>
            <sz val="8"/>
            <color indexed="81"/>
            <rFont val="Tahoma"/>
            <family val="2"/>
          </rPr>
          <t xml:space="preserve">
</t>
        </r>
      </text>
    </comment>
    <comment ref="L147" authorId="0" shapeId="0">
      <text>
        <r>
          <rPr>
            <sz val="8"/>
            <color indexed="81"/>
            <rFont val="Tahoma"/>
            <family val="2"/>
          </rPr>
          <t>Worldwide_Corporate_tax_guide_2012.pdf,Page 990</t>
        </r>
        <r>
          <rPr>
            <sz val="8"/>
            <color indexed="81"/>
            <rFont val="Tahoma"/>
            <family val="2"/>
          </rPr>
          <t xml:space="preserve">
</t>
        </r>
      </text>
    </comment>
    <comment ref="M147" authorId="0" shapeId="0">
      <text>
        <r>
          <rPr>
            <b/>
            <sz val="8"/>
            <color indexed="81"/>
            <rFont val="Tahoma"/>
            <family val="2"/>
          </rPr>
          <t>Ernst &amp; Young:</t>
        </r>
        <r>
          <rPr>
            <sz val="8"/>
            <color indexed="81"/>
            <rFont val="Tahoma"/>
            <family val="2"/>
          </rPr>
          <t xml:space="preserve">
Worldwide_corporate_tax_guide_2013.pdf
Pg 1055</t>
        </r>
      </text>
    </comment>
    <comment ref="N147" authorId="0" shapeId="0">
      <text>
        <r>
          <rPr>
            <b/>
            <sz val="8"/>
            <color indexed="81"/>
            <rFont val="Tahoma"/>
            <family val="2"/>
          </rPr>
          <t>Ernst &amp; Young:</t>
        </r>
        <r>
          <rPr>
            <sz val="8"/>
            <color indexed="81"/>
            <rFont val="Tahoma"/>
            <family val="2"/>
          </rPr>
          <t xml:space="preserve">
Worldwide_corporate_tax_guide_2014.pdf
Pg 1145</t>
        </r>
      </text>
    </comment>
    <comment ref="G148" authorId="0" shapeId="0">
      <text>
        <r>
          <rPr>
            <sz val="8"/>
            <color indexed="81"/>
            <rFont val="Tahoma"/>
            <family val="2"/>
          </rPr>
          <t>WW_corporate_tax_guide_2007.pdf,Page 775</t>
        </r>
        <r>
          <rPr>
            <sz val="8"/>
            <color indexed="81"/>
            <rFont val="Tahoma"/>
            <family val="2"/>
          </rPr>
          <t xml:space="preserve">
</t>
        </r>
      </text>
    </comment>
    <comment ref="H148" authorId="0" shapeId="0">
      <text>
        <r>
          <rPr>
            <sz val="8"/>
            <color indexed="81"/>
            <rFont val="Tahoma"/>
            <family val="2"/>
          </rPr>
          <t>WW_corporate_tax_guide_2008.pdf,Page 1911</t>
        </r>
        <r>
          <rPr>
            <sz val="8"/>
            <color indexed="81"/>
            <rFont val="Tahoma"/>
            <family val="2"/>
          </rPr>
          <t xml:space="preserve">
</t>
        </r>
      </text>
    </comment>
    <comment ref="I148" authorId="0" shapeId="0">
      <text>
        <r>
          <rPr>
            <sz val="8"/>
            <color indexed="81"/>
            <rFont val="Tahoma"/>
            <family val="2"/>
          </rPr>
          <t>worldwide corporate tax guide 2009.pdf,Page 846</t>
        </r>
        <r>
          <rPr>
            <sz val="8"/>
            <color indexed="81"/>
            <rFont val="Tahoma"/>
            <family val="2"/>
          </rPr>
          <t xml:space="preserve">
</t>
        </r>
      </text>
    </comment>
    <comment ref="J148" authorId="0" shapeId="0">
      <text>
        <r>
          <rPr>
            <sz val="8"/>
            <color indexed="81"/>
            <rFont val="Tahoma"/>
            <family val="2"/>
          </rPr>
          <t xml:space="preserve">2010 Corporate Tax Guide.pdf,Page 895
</t>
        </r>
        <r>
          <rPr>
            <sz val="8"/>
            <color indexed="81"/>
            <rFont val="Tahoma"/>
            <family val="2"/>
          </rPr>
          <t xml:space="preserve">
</t>
        </r>
      </text>
    </comment>
    <comment ref="K148" authorId="0" shapeId="0">
      <text>
        <r>
          <rPr>
            <sz val="8"/>
            <color indexed="81"/>
            <rFont val="Tahoma"/>
            <family val="2"/>
          </rPr>
          <t>Worldwide_corporate_tax_guide_2011.pdf.Page951</t>
        </r>
      </text>
    </comment>
    <comment ref="L148" authorId="0" shapeId="0">
      <text>
        <r>
          <rPr>
            <sz val="8"/>
            <color indexed="81"/>
            <rFont val="Tahoma"/>
            <family val="2"/>
          </rPr>
          <t>Worldwide_Corporate_tax_guide_2012.pdf,Page 1005</t>
        </r>
        <r>
          <rPr>
            <sz val="8"/>
            <color indexed="81"/>
            <rFont val="Tahoma"/>
            <family val="2"/>
          </rPr>
          <t xml:space="preserve">
</t>
        </r>
      </text>
    </comment>
    <comment ref="M148" authorId="0" shapeId="0">
      <text>
        <r>
          <rPr>
            <b/>
            <sz val="8"/>
            <color indexed="81"/>
            <rFont val="Tahoma"/>
            <family val="2"/>
          </rPr>
          <t>Ernst &amp; Young:</t>
        </r>
        <r>
          <rPr>
            <sz val="8"/>
            <color indexed="81"/>
            <rFont val="Tahoma"/>
            <family val="2"/>
          </rPr>
          <t xml:space="preserve">
Worldwide_corporate_tax_guide_2013.pdf
Pg 1091</t>
        </r>
      </text>
    </comment>
    <comment ref="N148" authorId="0" shapeId="0">
      <text>
        <r>
          <rPr>
            <b/>
            <sz val="8"/>
            <color indexed="81"/>
            <rFont val="Tahoma"/>
            <family val="2"/>
          </rPr>
          <t>Ernst &amp; Young:</t>
        </r>
        <r>
          <rPr>
            <sz val="8"/>
            <color indexed="81"/>
            <rFont val="Tahoma"/>
            <family val="2"/>
          </rPr>
          <t xml:space="preserve">
Worldwide_corporate_tax_guide_2014.pdf
Pg 1163
The basic corporate profits tax rate consists of a 2% rate payable to the central
government and rates ranging from 13.5% to 18% payable to the regional
governments. The regional governments set the rates applicable to their
respective regions</t>
        </r>
      </text>
    </comment>
    <comment ref="G149" authorId="0" shapeId="0">
      <text>
        <r>
          <rPr>
            <sz val="8"/>
            <color indexed="81"/>
            <rFont val="Tahoma"/>
            <family val="2"/>
          </rPr>
          <t>WW_corporate_tax_guide_2007.pdf,Page 787</t>
        </r>
        <r>
          <rPr>
            <sz val="8"/>
            <color indexed="81"/>
            <rFont val="Tahoma"/>
            <family val="2"/>
          </rPr>
          <t xml:space="preserve">
</t>
        </r>
      </text>
    </comment>
    <comment ref="H149" authorId="0" shapeId="0">
      <text>
        <r>
          <rPr>
            <sz val="8"/>
            <color indexed="81"/>
            <rFont val="Tahoma"/>
            <family val="2"/>
          </rPr>
          <t>WW_corporate_tax_guide_2008.pdf,Page 1923</t>
        </r>
        <r>
          <rPr>
            <sz val="8"/>
            <color indexed="81"/>
            <rFont val="Tahoma"/>
            <family val="2"/>
          </rPr>
          <t xml:space="preserve">
</t>
        </r>
      </text>
    </comment>
    <comment ref="I149" authorId="0" shapeId="0">
      <text>
        <r>
          <rPr>
            <sz val="8"/>
            <color indexed="81"/>
            <rFont val="Tahoma"/>
            <family val="2"/>
          </rPr>
          <t>worldwide corporate tax guide 2009.pdf,Page 858</t>
        </r>
        <r>
          <rPr>
            <sz val="8"/>
            <color indexed="81"/>
            <rFont val="Tahoma"/>
            <family val="2"/>
          </rPr>
          <t xml:space="preserve">
</t>
        </r>
      </text>
    </comment>
    <comment ref="J149" authorId="0" shapeId="0">
      <text>
        <r>
          <rPr>
            <sz val="8"/>
            <color indexed="81"/>
            <rFont val="Tahoma"/>
            <family val="2"/>
          </rPr>
          <t xml:space="preserve">2010 Corporate Tax Guide.pdf,Page 907
</t>
        </r>
        <r>
          <rPr>
            <sz val="8"/>
            <color indexed="81"/>
            <rFont val="Tahoma"/>
            <family val="2"/>
          </rPr>
          <t xml:space="preserve">
</t>
        </r>
      </text>
    </comment>
    <comment ref="K149" authorId="0" shapeId="0">
      <text>
        <r>
          <rPr>
            <sz val="8"/>
            <color indexed="81"/>
            <rFont val="Tahoma"/>
            <family val="2"/>
          </rPr>
          <t xml:space="preserve">Worldwide_corporate_tax_guide_2011.pdf.Page965
</t>
        </r>
        <r>
          <rPr>
            <sz val="8"/>
            <color indexed="81"/>
            <rFont val="Tahoma"/>
            <family val="2"/>
          </rPr>
          <t xml:space="preserve">
</t>
        </r>
      </text>
    </comment>
    <comment ref="L149" authorId="0" shapeId="0">
      <text>
        <r>
          <rPr>
            <sz val="8"/>
            <color indexed="81"/>
            <rFont val="Tahoma"/>
            <family val="2"/>
          </rPr>
          <t>Worldwide_Corporate_tax_guide_2012.pdf,Page 1008</t>
        </r>
        <r>
          <rPr>
            <sz val="8"/>
            <color indexed="81"/>
            <rFont val="Tahoma"/>
            <family val="2"/>
          </rPr>
          <t xml:space="preserve">
</t>
        </r>
      </text>
    </comment>
    <comment ref="M149" authorId="0" shapeId="0">
      <text>
        <r>
          <rPr>
            <b/>
            <sz val="8"/>
            <color indexed="81"/>
            <rFont val="Tahoma"/>
            <family val="2"/>
          </rPr>
          <t>Ernst &amp; Young:</t>
        </r>
        <r>
          <rPr>
            <sz val="8"/>
            <color indexed="81"/>
            <rFont val="Tahoma"/>
            <family val="2"/>
          </rPr>
          <t xml:space="preserve">
Worldwide_corporate_tax_guide_2013.pdf
Pg 1107</t>
        </r>
      </text>
    </comment>
    <comment ref="N149" authorId="0" shapeId="0">
      <text>
        <r>
          <rPr>
            <b/>
            <sz val="8"/>
            <color indexed="81"/>
            <rFont val="Tahoma"/>
            <family val="2"/>
          </rPr>
          <t>Ernst &amp; Young:</t>
        </r>
        <r>
          <rPr>
            <sz val="8"/>
            <color indexed="81"/>
            <rFont val="Tahoma"/>
            <family val="2"/>
          </rPr>
          <t xml:space="preserve">
Worldwide_corporate_tax_guide_2014.pdf
Pg 1184
Corporate Tax rate : 30% to 85% </t>
        </r>
      </text>
    </comment>
    <comment ref="G150" authorId="0" shapeId="0">
      <text>
        <r>
          <rPr>
            <sz val="8"/>
            <color indexed="81"/>
            <rFont val="Tahoma"/>
            <family val="2"/>
          </rPr>
          <t>WW_corporate_tax_guide_2007.pdf,Page 809</t>
        </r>
        <r>
          <rPr>
            <sz val="8"/>
            <color indexed="81"/>
            <rFont val="Tahoma"/>
            <family val="2"/>
          </rPr>
          <t xml:space="preserve">
</t>
        </r>
      </text>
    </comment>
    <comment ref="H150" authorId="0" shapeId="0">
      <text>
        <r>
          <rPr>
            <sz val="8"/>
            <color indexed="81"/>
            <rFont val="Tahoma"/>
            <family val="2"/>
          </rPr>
          <t>WW_corporate_tax_guide_2008.pdf,Page 1946</t>
        </r>
        <r>
          <rPr>
            <sz val="8"/>
            <color indexed="81"/>
            <rFont val="Tahoma"/>
            <family val="2"/>
          </rPr>
          <t xml:space="preserve">
</t>
        </r>
      </text>
    </comment>
    <comment ref="I150" authorId="0" shapeId="0">
      <text>
        <r>
          <rPr>
            <sz val="8"/>
            <color indexed="81"/>
            <rFont val="Tahoma"/>
            <family val="2"/>
          </rPr>
          <t>worldwide corporate tax guide 2009.pdf,Page881</t>
        </r>
        <r>
          <rPr>
            <sz val="8"/>
            <color indexed="81"/>
            <rFont val="Tahoma"/>
            <family val="2"/>
          </rPr>
          <t xml:space="preserve">
</t>
        </r>
      </text>
    </comment>
    <comment ref="J150" authorId="0" shapeId="0">
      <text>
        <r>
          <rPr>
            <sz val="8"/>
            <color indexed="81"/>
            <rFont val="Tahoma"/>
            <family val="2"/>
          </rPr>
          <t xml:space="preserve">2010 Corporate Tax Guide.pdf,Page 930
</t>
        </r>
        <r>
          <rPr>
            <sz val="8"/>
            <color indexed="81"/>
            <rFont val="Tahoma"/>
            <family val="2"/>
          </rPr>
          <t xml:space="preserve">
</t>
        </r>
      </text>
    </comment>
    <comment ref="K150" authorId="0" shapeId="0">
      <text>
        <r>
          <rPr>
            <sz val="8"/>
            <color indexed="81"/>
            <rFont val="Tahoma"/>
            <family val="2"/>
          </rPr>
          <t xml:space="preserve">Worldwide_corporate_tax_guide_2011.pdf.Page988
</t>
        </r>
        <r>
          <rPr>
            <sz val="8"/>
            <color indexed="81"/>
            <rFont val="Tahoma"/>
            <family val="2"/>
          </rPr>
          <t xml:space="preserve">
</t>
        </r>
      </text>
    </comment>
    <comment ref="L150" authorId="0" shapeId="0">
      <text>
        <r>
          <rPr>
            <sz val="8"/>
            <color indexed="81"/>
            <rFont val="Tahoma"/>
            <family val="2"/>
          </rPr>
          <t>Worldwide_Corporate_tax_guide_2012.pdf,Page 1042</t>
        </r>
        <r>
          <rPr>
            <sz val="8"/>
            <color indexed="81"/>
            <rFont val="Tahoma"/>
            <family val="2"/>
          </rPr>
          <t xml:space="preserve">
</t>
        </r>
      </text>
    </comment>
    <comment ref="M150" authorId="0" shapeId="0">
      <text>
        <r>
          <rPr>
            <b/>
            <sz val="8"/>
            <color indexed="81"/>
            <rFont val="Tahoma"/>
            <family val="2"/>
          </rPr>
          <t>Ernst &amp; Young:</t>
        </r>
        <r>
          <rPr>
            <sz val="8"/>
            <color indexed="81"/>
            <rFont val="Tahoma"/>
            <family val="2"/>
          </rPr>
          <t xml:space="preserve">
Worldwide_corporate_tax_guide_2013.pdf
Pg 1122</t>
        </r>
      </text>
    </comment>
    <comment ref="N150" authorId="0" shapeId="0">
      <text>
        <r>
          <rPr>
            <b/>
            <sz val="8"/>
            <color indexed="81"/>
            <rFont val="Tahoma"/>
            <family val="2"/>
          </rPr>
          <t>Ernst &amp; Young:</t>
        </r>
        <r>
          <rPr>
            <sz val="8"/>
            <color indexed="81"/>
            <rFont val="Tahoma"/>
            <family val="2"/>
          </rPr>
          <t xml:space="preserve">
Worldwide_corporate_tax_guide_2014.pdf
Pg 1212</t>
        </r>
      </text>
    </comment>
    <comment ref="G151" authorId="0" shapeId="0">
      <text>
        <r>
          <rPr>
            <sz val="8"/>
            <color indexed="81"/>
            <rFont val="Tahoma"/>
            <family val="2"/>
          </rPr>
          <t>WW_corporate_tax_guide_2007.pdf,Page 840</t>
        </r>
        <r>
          <rPr>
            <sz val="8"/>
            <color indexed="81"/>
            <rFont val="Tahoma"/>
            <family val="2"/>
          </rPr>
          <t xml:space="preserve">
</t>
        </r>
      </text>
    </comment>
    <comment ref="H151" authorId="0" shapeId="0">
      <text>
        <r>
          <rPr>
            <sz val="8"/>
            <color indexed="81"/>
            <rFont val="Tahoma"/>
            <family val="2"/>
          </rPr>
          <t>WW_corporate_tax_guide_2008.pdf,Page 1975</t>
        </r>
        <r>
          <rPr>
            <sz val="8"/>
            <color indexed="81"/>
            <rFont val="Tahoma"/>
            <family val="2"/>
          </rPr>
          <t xml:space="preserve">
</t>
        </r>
      </text>
    </comment>
    <comment ref="I151" authorId="0" shapeId="0">
      <text>
        <r>
          <rPr>
            <sz val="8"/>
            <color indexed="81"/>
            <rFont val="Tahoma"/>
            <family val="2"/>
          </rPr>
          <t>worldwide corporate tax guide 2009.pdf,Page 911</t>
        </r>
        <r>
          <rPr>
            <sz val="8"/>
            <color indexed="81"/>
            <rFont val="Tahoma"/>
            <family val="2"/>
          </rPr>
          <t xml:space="preserve">
</t>
        </r>
      </text>
    </comment>
    <comment ref="J151" authorId="0" shapeId="0">
      <text>
        <r>
          <rPr>
            <sz val="8"/>
            <color indexed="81"/>
            <rFont val="Tahoma"/>
            <family val="2"/>
          </rPr>
          <t xml:space="preserve">2010 Corporate Tax Guide.pdf,Page 962
</t>
        </r>
        <r>
          <rPr>
            <sz val="8"/>
            <color indexed="81"/>
            <rFont val="Tahoma"/>
            <family val="2"/>
          </rPr>
          <t xml:space="preserve">
</t>
        </r>
      </text>
    </comment>
    <comment ref="K151" authorId="0" shapeId="0">
      <text>
        <r>
          <rPr>
            <sz val="8"/>
            <color indexed="81"/>
            <rFont val="Tahoma"/>
            <family val="2"/>
          </rPr>
          <t xml:space="preserve">Worldwide_corporate_tax_guide_2011.pdf.Page1030
</t>
        </r>
        <r>
          <rPr>
            <sz val="8"/>
            <color indexed="81"/>
            <rFont val="Tahoma"/>
            <family val="2"/>
          </rPr>
          <t xml:space="preserve">
</t>
        </r>
      </text>
    </comment>
    <comment ref="L151" authorId="0" shapeId="0">
      <text>
        <r>
          <rPr>
            <sz val="8"/>
            <color indexed="81"/>
            <rFont val="Tahoma"/>
            <family val="2"/>
          </rPr>
          <t>Worldwide_Corporate_tax_guide_2012.pdf,Page 1085</t>
        </r>
        <r>
          <rPr>
            <sz val="8"/>
            <color indexed="81"/>
            <rFont val="Tahoma"/>
            <family val="2"/>
          </rPr>
          <t xml:space="preserve">
</t>
        </r>
      </text>
    </comment>
    <comment ref="M151" authorId="0" shapeId="0">
      <text>
        <r>
          <rPr>
            <b/>
            <sz val="8"/>
            <color indexed="81"/>
            <rFont val="Tahoma"/>
            <family val="2"/>
          </rPr>
          <t>Ernst &amp; Young:</t>
        </r>
        <r>
          <rPr>
            <sz val="8"/>
            <color indexed="81"/>
            <rFont val="Tahoma"/>
            <family val="2"/>
          </rPr>
          <t xml:space="preserve">
Worldwide_corporate_tax_guide_2013.pdf
Pg 1193</t>
        </r>
      </text>
    </comment>
    <comment ref="N151" authorId="0" shapeId="0">
      <text>
        <r>
          <rPr>
            <b/>
            <sz val="8"/>
            <color indexed="81"/>
            <rFont val="Tahoma"/>
            <family val="2"/>
          </rPr>
          <t>Ernst &amp; Young:</t>
        </r>
        <r>
          <rPr>
            <sz val="8"/>
            <color indexed="81"/>
            <rFont val="Tahoma"/>
            <family val="2"/>
          </rPr>
          <t xml:space="preserve">
Worldwide_corporate_tax_guide_2014.pdf
Pg 1258
The mining income of gold mining companies is taxed under a special formula,
and the non-mining income of such companies is taxed at a rate of 28%
Special rules apply to life insurance companies, petroleum and gas producers
and small business corporations.</t>
        </r>
      </text>
    </comment>
    <comment ref="G152" authorId="0" shapeId="0">
      <text>
        <r>
          <rPr>
            <b/>
            <sz val="8"/>
            <color indexed="81"/>
            <rFont val="Tahoma"/>
            <family val="2"/>
          </rPr>
          <t>Ernst &amp; Young:</t>
        </r>
        <r>
          <rPr>
            <sz val="8"/>
            <color indexed="81"/>
            <rFont val="Tahoma"/>
            <family val="2"/>
          </rPr>
          <t xml:space="preserve">
WW_corporate_tax_guide_2007.pdf
Pg 479
Additionally 10.0% surtax is imposed</t>
        </r>
      </text>
    </comment>
    <comment ref="H152" authorId="0" shapeId="0">
      <text>
        <r>
          <rPr>
            <b/>
            <sz val="8"/>
            <color indexed="81"/>
            <rFont val="Tahoma"/>
            <family val="2"/>
          </rPr>
          <t>Ernst &amp; Young:</t>
        </r>
        <r>
          <rPr>
            <sz val="8"/>
            <color indexed="81"/>
            <rFont val="Tahoma"/>
            <family val="2"/>
          </rPr>
          <t xml:space="preserve">
WW_corporate_tax_guide_2008.pdf
Pg 508
10.0% surtax imposed</t>
        </r>
      </text>
    </comment>
    <comment ref="I152" authorId="0" shapeId="0">
      <text>
        <r>
          <rPr>
            <b/>
            <sz val="8"/>
            <color indexed="81"/>
            <rFont val="Tahoma"/>
            <family val="2"/>
          </rPr>
          <t>Ernst &amp; Young:</t>
        </r>
        <r>
          <rPr>
            <sz val="8"/>
            <color indexed="81"/>
            <rFont val="Tahoma"/>
            <family val="2"/>
          </rPr>
          <t xml:space="preserve">
worldwide corporate tax guide 2009.pdf
Pg 527
Resident surtax of 10% is also imposed</t>
        </r>
      </text>
    </comment>
    <comment ref="J152" authorId="0" shapeId="0">
      <text>
        <r>
          <rPr>
            <b/>
            <sz val="8"/>
            <color indexed="81"/>
            <rFont val="Tahoma"/>
            <family val="2"/>
          </rPr>
          <t>Ernst &amp; Young:</t>
        </r>
        <r>
          <rPr>
            <sz val="8"/>
            <color indexed="81"/>
            <rFont val="Tahoma"/>
            <family val="2"/>
          </rPr>
          <t xml:space="preserve">
2010 Corporate Tax Guide.pdf
Pg 552</t>
        </r>
      </text>
    </comment>
    <comment ref="K152" authorId="0" shapeId="0">
      <text>
        <r>
          <rPr>
            <b/>
            <sz val="8"/>
            <color indexed="81"/>
            <rFont val="Tahoma"/>
            <family val="2"/>
          </rPr>
          <t>Ernst &amp; Young:</t>
        </r>
        <r>
          <rPr>
            <sz val="8"/>
            <color indexed="81"/>
            <rFont val="Tahoma"/>
            <family val="2"/>
          </rPr>
          <t xml:space="preserve">
Worldwide_corporate_tax_guide_2011.pdf
Pg 598
10.0% surcharge 
</t>
        </r>
      </text>
    </comment>
    <comment ref="L152" authorId="0" shapeId="0">
      <text>
        <r>
          <rPr>
            <b/>
            <sz val="8"/>
            <color indexed="81"/>
            <rFont val="Tahoma"/>
            <family val="2"/>
          </rPr>
          <t>Ernst &amp; Young:</t>
        </r>
        <r>
          <rPr>
            <sz val="8"/>
            <color indexed="81"/>
            <rFont val="Tahoma"/>
            <family val="2"/>
          </rPr>
          <t xml:space="preserve">
Worldwide_Corporate_tax_guide_2012.pdf
Pg 635
Additional 10.0% surtax is imposed</t>
        </r>
      </text>
    </comment>
    <comment ref="M152" authorId="0" shapeId="0">
      <text>
        <r>
          <rPr>
            <b/>
            <sz val="8"/>
            <color indexed="81"/>
            <rFont val="Tahoma"/>
            <family val="2"/>
          </rPr>
          <t>Ernst &amp; Young:</t>
        </r>
        <r>
          <rPr>
            <sz val="8"/>
            <color indexed="81"/>
            <rFont val="Tahoma"/>
            <family val="2"/>
          </rPr>
          <t xml:space="preserve">
Worldwide_corporate_tax_guide_2013.pdf
Pg 707</t>
        </r>
      </text>
    </comment>
    <comment ref="N152" authorId="0" shapeId="0">
      <text>
        <r>
          <rPr>
            <b/>
            <sz val="8"/>
            <color indexed="81"/>
            <rFont val="Tahoma"/>
            <family val="2"/>
          </rPr>
          <t>Ernst &amp; Young:</t>
        </r>
        <r>
          <rPr>
            <sz val="8"/>
            <color indexed="81"/>
            <rFont val="Tahoma"/>
            <family val="2"/>
          </rPr>
          <t xml:space="preserve">
Worldwide_corporate_tax_guide_2014.pdf
Pg 732
Local income surtax at a rate of 10% is also imposed.</t>
        </r>
      </text>
    </comment>
    <comment ref="G153" authorId="0" shapeId="0">
      <text>
        <r>
          <rPr>
            <sz val="8"/>
            <color indexed="81"/>
            <rFont val="Tahoma"/>
            <family val="2"/>
          </rPr>
          <t>WW_corporate_tax_guide_2007.pdf,Page 856</t>
        </r>
        <r>
          <rPr>
            <sz val="8"/>
            <color indexed="81"/>
            <rFont val="Tahoma"/>
            <family val="2"/>
          </rPr>
          <t xml:space="preserve">
</t>
        </r>
      </text>
    </comment>
    <comment ref="H153" authorId="0" shapeId="0">
      <text>
        <r>
          <rPr>
            <sz val="8"/>
            <color indexed="81"/>
            <rFont val="Tahoma"/>
            <family val="2"/>
          </rPr>
          <t>WW_corporate_tax_guide_2008.pdf,Page 1992</t>
        </r>
        <r>
          <rPr>
            <sz val="8"/>
            <color indexed="81"/>
            <rFont val="Tahoma"/>
            <family val="2"/>
          </rPr>
          <t xml:space="preserve">
</t>
        </r>
      </text>
    </comment>
    <comment ref="I153" authorId="0" shapeId="0">
      <text>
        <r>
          <rPr>
            <sz val="8"/>
            <color indexed="81"/>
            <rFont val="Tahoma"/>
            <family val="2"/>
          </rPr>
          <t>worldwide corporate tax guide 2009.pdf,Page 928</t>
        </r>
        <r>
          <rPr>
            <sz val="8"/>
            <color indexed="81"/>
            <rFont val="Tahoma"/>
            <family val="2"/>
          </rPr>
          <t xml:space="preserve">
</t>
        </r>
      </text>
    </comment>
    <comment ref="J153" authorId="0" shapeId="0">
      <text>
        <r>
          <rPr>
            <sz val="8"/>
            <color indexed="81"/>
            <rFont val="Tahoma"/>
            <family val="2"/>
          </rPr>
          <t xml:space="preserve">2010 Corporate Tax Guide.pdf,Page 979
</t>
        </r>
        <r>
          <rPr>
            <sz val="8"/>
            <color indexed="81"/>
            <rFont val="Tahoma"/>
            <family val="2"/>
          </rPr>
          <t xml:space="preserve">
</t>
        </r>
      </text>
    </comment>
    <comment ref="K153" authorId="0" shapeId="0">
      <text>
        <r>
          <rPr>
            <sz val="8"/>
            <color indexed="81"/>
            <rFont val="Tahoma"/>
            <family val="2"/>
          </rPr>
          <t xml:space="preserve">Worldwide_corporate_tax_guide_2011.pdf.Page1047
</t>
        </r>
        <r>
          <rPr>
            <sz val="8"/>
            <color indexed="81"/>
            <rFont val="Tahoma"/>
            <family val="2"/>
          </rPr>
          <t xml:space="preserve">
</t>
        </r>
      </text>
    </comment>
    <comment ref="L153" authorId="0" shapeId="0">
      <text>
        <r>
          <rPr>
            <sz val="8"/>
            <color indexed="81"/>
            <rFont val="Tahoma"/>
            <family val="2"/>
          </rPr>
          <t>Worldwide_Corporate_tax_guide_2012.pdf,Page 1102</t>
        </r>
        <r>
          <rPr>
            <sz val="8"/>
            <color indexed="81"/>
            <rFont val="Tahoma"/>
            <family val="2"/>
          </rPr>
          <t xml:space="preserve">
</t>
        </r>
      </text>
    </comment>
    <comment ref="M153" authorId="0" shapeId="0">
      <text>
        <r>
          <rPr>
            <b/>
            <sz val="8"/>
            <color indexed="81"/>
            <rFont val="Tahoma"/>
            <family val="2"/>
          </rPr>
          <t>Ernst &amp; Young:</t>
        </r>
        <r>
          <rPr>
            <sz val="8"/>
            <color indexed="81"/>
            <rFont val="Tahoma"/>
            <family val="2"/>
          </rPr>
          <t xml:space="preserve">
Worldwide_corporate_tax_guide_2013.pdf
Pg 1212</t>
        </r>
      </text>
    </comment>
    <comment ref="N153" authorId="0" shapeId="0">
      <text>
        <r>
          <rPr>
            <b/>
            <sz val="8"/>
            <color indexed="81"/>
            <rFont val="Tahoma"/>
            <family val="2"/>
          </rPr>
          <t>Ernst &amp; Young:</t>
        </r>
        <r>
          <rPr>
            <sz val="8"/>
            <color indexed="81"/>
            <rFont val="Tahoma"/>
            <family val="2"/>
          </rPr>
          <t xml:space="preserve">
Worldwide_corporate_tax_guide_2014.pdf
Pg 1282</t>
        </r>
      </text>
    </comment>
    <comment ref="G154" authorId="0" shapeId="0">
      <text>
        <r>
          <rPr>
            <b/>
            <sz val="8"/>
            <color indexed="81"/>
            <rFont val="Tahoma"/>
            <family val="2"/>
          </rPr>
          <t>Ernst &amp; Young:</t>
        </r>
        <r>
          <rPr>
            <sz val="8"/>
            <color indexed="81"/>
            <rFont val="Tahoma"/>
            <family val="2"/>
          </rPr>
          <t xml:space="preserve">
WW_corporate_tax_guide_2007.pdf
Pg 867</t>
        </r>
      </text>
    </comment>
    <comment ref="H154" authorId="0" shapeId="0">
      <text>
        <r>
          <rPr>
            <b/>
            <sz val="8"/>
            <color indexed="81"/>
            <rFont val="Tahoma"/>
            <family val="2"/>
          </rPr>
          <t>Ernst &amp; Young:</t>
        </r>
        <r>
          <rPr>
            <sz val="8"/>
            <color indexed="81"/>
            <rFont val="Tahoma"/>
            <family val="2"/>
          </rPr>
          <t xml:space="preserve">
WW_corporate_tax_guide_2008.pdf
Pg 2003</t>
        </r>
      </text>
    </comment>
    <comment ref="I154" authorId="0" shapeId="0">
      <text>
        <r>
          <rPr>
            <b/>
            <sz val="8"/>
            <color indexed="81"/>
            <rFont val="Tahoma"/>
            <family val="2"/>
          </rPr>
          <t>Ernst &amp; Young:</t>
        </r>
        <r>
          <rPr>
            <sz val="8"/>
            <color indexed="81"/>
            <rFont val="Tahoma"/>
            <family val="2"/>
          </rPr>
          <t xml:space="preserve">
worldwide corporate tax guide 2009.pdf
Pg 940</t>
        </r>
      </text>
    </comment>
    <comment ref="J154" authorId="0" shapeId="0">
      <text>
        <r>
          <rPr>
            <b/>
            <sz val="8"/>
            <color indexed="81"/>
            <rFont val="Tahoma"/>
            <family val="2"/>
          </rPr>
          <t>Ernst &amp; Young:</t>
        </r>
        <r>
          <rPr>
            <sz val="8"/>
            <color indexed="81"/>
            <rFont val="Tahoma"/>
            <family val="2"/>
          </rPr>
          <t xml:space="preserve">
2010 Corporate Tax Guide.pdf
Pg 991</t>
        </r>
      </text>
    </comment>
    <comment ref="K154" authorId="0" shapeId="0">
      <text>
        <r>
          <rPr>
            <b/>
            <sz val="8"/>
            <color indexed="81"/>
            <rFont val="Tahoma"/>
            <family val="2"/>
          </rPr>
          <t>Ernst &amp; Young:</t>
        </r>
        <r>
          <rPr>
            <sz val="8"/>
            <color indexed="81"/>
            <rFont val="Tahoma"/>
            <family val="2"/>
          </rPr>
          <t xml:space="preserve">
Worldwide_corporate_tax_guide_2011.pdf
Pg 1060</t>
        </r>
      </text>
    </comment>
    <comment ref="L154" authorId="0" shapeId="0">
      <text>
        <r>
          <rPr>
            <b/>
            <sz val="8"/>
            <color indexed="81"/>
            <rFont val="Tahoma"/>
            <family val="2"/>
          </rPr>
          <t>Ernst &amp; Young:</t>
        </r>
        <r>
          <rPr>
            <sz val="8"/>
            <color indexed="81"/>
            <rFont val="Tahoma"/>
            <family val="2"/>
          </rPr>
          <t xml:space="preserve">
Worldwide_Corporate_tax_guide_2012.pdf
Pg 1118</t>
        </r>
      </text>
    </comment>
    <comment ref="M154" authorId="0" shapeId="0">
      <text>
        <r>
          <rPr>
            <b/>
            <sz val="8"/>
            <color indexed="81"/>
            <rFont val="Tahoma"/>
            <family val="2"/>
          </rPr>
          <t>Ernst &amp; Young:</t>
        </r>
        <r>
          <rPr>
            <sz val="8"/>
            <color indexed="81"/>
            <rFont val="Tahoma"/>
            <family val="2"/>
          </rPr>
          <t xml:space="preserve">
Worldwide_corporate_tax_guide_2013.pdf
Pg 1229</t>
        </r>
      </text>
    </comment>
    <comment ref="N154" authorId="0" shapeId="0">
      <text>
        <r>
          <rPr>
            <b/>
            <sz val="8"/>
            <color indexed="81"/>
            <rFont val="Tahoma"/>
            <family val="2"/>
          </rPr>
          <t>Ernst &amp; Young:</t>
        </r>
        <r>
          <rPr>
            <sz val="8"/>
            <color indexed="81"/>
            <rFont val="Tahoma"/>
            <family val="2"/>
          </rPr>
          <t xml:space="preserve">
Worldwide_corporate_tax_guide_2014.pdf
Pg 1300</t>
        </r>
      </text>
    </comment>
    <comment ref="G155" authorId="0" shapeId="0">
      <text>
        <r>
          <rPr>
            <sz val="8"/>
            <color indexed="81"/>
            <rFont val="Tahoma"/>
            <family val="2"/>
          </rPr>
          <t>WW_corporate_tax_guide_2007.pdf,Page 879</t>
        </r>
        <r>
          <rPr>
            <sz val="8"/>
            <color indexed="81"/>
            <rFont val="Tahoma"/>
            <family val="2"/>
          </rPr>
          <t xml:space="preserve">
</t>
        </r>
      </text>
    </comment>
    <comment ref="H155" authorId="0" shapeId="0">
      <text>
        <r>
          <rPr>
            <sz val="8"/>
            <color indexed="81"/>
            <rFont val="Tahoma"/>
            <family val="2"/>
          </rPr>
          <t>WW_corporate_tax_guide_2008.pdf,Page 2017</t>
        </r>
        <r>
          <rPr>
            <sz val="8"/>
            <color indexed="81"/>
            <rFont val="Tahoma"/>
            <family val="2"/>
          </rPr>
          <t xml:space="preserve">
</t>
        </r>
      </text>
    </comment>
    <comment ref="I155" authorId="0" shapeId="0">
      <text>
        <r>
          <rPr>
            <sz val="8"/>
            <color indexed="81"/>
            <rFont val="Tahoma"/>
            <family val="2"/>
          </rPr>
          <t>worldwide corporate tax guide 2009.pdf,Page 955</t>
        </r>
        <r>
          <rPr>
            <sz val="8"/>
            <color indexed="81"/>
            <rFont val="Tahoma"/>
            <family val="2"/>
          </rPr>
          <t xml:space="preserve">
</t>
        </r>
      </text>
    </comment>
    <comment ref="J155" authorId="0" shapeId="0">
      <text>
        <r>
          <rPr>
            <sz val="8"/>
            <color indexed="81"/>
            <rFont val="Tahoma"/>
            <family val="2"/>
          </rPr>
          <t xml:space="preserve">2010 Corporate Tax Guide.pdf,Page 1009
</t>
        </r>
        <r>
          <rPr>
            <sz val="8"/>
            <color indexed="81"/>
            <rFont val="Tahoma"/>
            <family val="2"/>
          </rPr>
          <t xml:space="preserve">
</t>
        </r>
      </text>
    </comment>
    <comment ref="K155" authorId="0" shapeId="0">
      <text>
        <r>
          <rPr>
            <sz val="8"/>
            <color indexed="81"/>
            <rFont val="Tahoma"/>
            <family val="2"/>
          </rPr>
          <t xml:space="preserve">Worldwide_corporate_tax_guide_2011.pdf.Page1078
</t>
        </r>
        <r>
          <rPr>
            <sz val="8"/>
            <color indexed="81"/>
            <rFont val="Tahoma"/>
            <family val="2"/>
          </rPr>
          <t xml:space="preserve">
</t>
        </r>
      </text>
    </comment>
    <comment ref="L155" authorId="0" shapeId="0">
      <text>
        <r>
          <rPr>
            <sz val="8"/>
            <color indexed="81"/>
            <rFont val="Tahoma"/>
            <family val="2"/>
          </rPr>
          <t>Worldwide_Corporate_tax_guide_2012.pdf,Page 1136</t>
        </r>
        <r>
          <rPr>
            <sz val="8"/>
            <color indexed="81"/>
            <rFont val="Tahoma"/>
            <family val="2"/>
          </rPr>
          <t xml:space="preserve">
</t>
        </r>
      </text>
    </comment>
    <comment ref="M155" authorId="0" shapeId="0">
      <text>
        <r>
          <rPr>
            <b/>
            <sz val="8"/>
            <color indexed="81"/>
            <rFont val="Tahoma"/>
            <family val="2"/>
          </rPr>
          <t>Ernst &amp; Young:</t>
        </r>
        <r>
          <rPr>
            <sz val="8"/>
            <color indexed="81"/>
            <rFont val="Tahoma"/>
            <family val="2"/>
          </rPr>
          <t xml:space="preserve">
Worldwide_corporate_tax_guide_2013.pdf
Pg 1254</t>
        </r>
      </text>
    </comment>
    <comment ref="N155" authorId="0" shapeId="0">
      <text>
        <r>
          <rPr>
            <b/>
            <sz val="8"/>
            <color indexed="81"/>
            <rFont val="Tahoma"/>
            <family val="2"/>
          </rPr>
          <t>Ernst &amp; Young:</t>
        </r>
        <r>
          <rPr>
            <sz val="8"/>
            <color indexed="81"/>
            <rFont val="Tahoma"/>
            <family val="2"/>
          </rPr>
          <t xml:space="preserve">
Worldwide_corporate_tax_guide_2014.pdf
Pg 1326</t>
        </r>
      </text>
    </comment>
    <comment ref="G156" authorId="0" shapeId="0">
      <text>
        <r>
          <rPr>
            <sz val="8"/>
            <color indexed="81"/>
            <rFont val="Tahoma"/>
            <family val="2"/>
          </rPr>
          <t>WW_corporate_tax_guide_2007.pdf,Page 891</t>
        </r>
        <r>
          <rPr>
            <sz val="8"/>
            <color indexed="81"/>
            <rFont val="Tahoma"/>
            <family val="2"/>
          </rPr>
          <t xml:space="preserve">
</t>
        </r>
      </text>
    </comment>
    <comment ref="H156" authorId="0" shapeId="0">
      <text>
        <r>
          <rPr>
            <sz val="8"/>
            <color indexed="81"/>
            <rFont val="Tahoma"/>
            <family val="2"/>
          </rPr>
          <t>WW_corporate_tax_guide_2008.pdf,Page 2029</t>
        </r>
        <r>
          <rPr>
            <sz val="8"/>
            <color indexed="81"/>
            <rFont val="Tahoma"/>
            <family val="2"/>
          </rPr>
          <t xml:space="preserve">
</t>
        </r>
      </text>
    </comment>
    <comment ref="I156" authorId="0" shapeId="0">
      <text>
        <r>
          <rPr>
            <sz val="8"/>
            <color indexed="81"/>
            <rFont val="Tahoma"/>
            <family val="2"/>
          </rPr>
          <t>worldwide corporate tax guide 2009.pdf,Page 967</t>
        </r>
        <r>
          <rPr>
            <sz val="8"/>
            <color indexed="81"/>
            <rFont val="Tahoma"/>
            <family val="2"/>
          </rPr>
          <t xml:space="preserve">
</t>
        </r>
      </text>
    </comment>
    <comment ref="J156" authorId="0" shapeId="0">
      <text>
        <r>
          <rPr>
            <sz val="8"/>
            <color indexed="81"/>
            <rFont val="Tahoma"/>
            <family val="2"/>
          </rPr>
          <t xml:space="preserve">2010 Corporate Tax Guide.pdf,Page 1021
</t>
        </r>
        <r>
          <rPr>
            <sz val="8"/>
            <color indexed="81"/>
            <rFont val="Tahoma"/>
            <family val="2"/>
          </rPr>
          <t xml:space="preserve">
</t>
        </r>
      </text>
    </comment>
    <comment ref="K156" authorId="0" shapeId="0">
      <text>
        <r>
          <rPr>
            <sz val="8"/>
            <color indexed="81"/>
            <rFont val="Tahoma"/>
            <family val="2"/>
          </rPr>
          <t xml:space="preserve">Worldwide_corporate_tax_guide_2011.pdf.Page1089
</t>
        </r>
        <r>
          <rPr>
            <sz val="8"/>
            <color indexed="81"/>
            <rFont val="Tahoma"/>
            <family val="2"/>
          </rPr>
          <t xml:space="preserve">
</t>
        </r>
      </text>
    </comment>
    <comment ref="L156" authorId="0" shapeId="0">
      <text>
        <r>
          <rPr>
            <sz val="8"/>
            <color indexed="81"/>
            <rFont val="Tahoma"/>
            <family val="2"/>
          </rPr>
          <t>Worldwide_Corporate_tax_guide_2012.pdf,Page 1148</t>
        </r>
        <r>
          <rPr>
            <sz val="8"/>
            <color indexed="81"/>
            <rFont val="Tahoma"/>
            <family val="2"/>
          </rPr>
          <t xml:space="preserve">
</t>
        </r>
      </text>
    </comment>
    <comment ref="M156" authorId="0" shapeId="0">
      <text>
        <r>
          <rPr>
            <b/>
            <sz val="8"/>
            <color indexed="81"/>
            <rFont val="Tahoma"/>
            <family val="2"/>
          </rPr>
          <t>Ernst &amp; Young:</t>
        </r>
        <r>
          <rPr>
            <sz val="8"/>
            <color indexed="81"/>
            <rFont val="Tahoma"/>
            <family val="2"/>
          </rPr>
          <t xml:space="preserve">
Worldwide_corporate_tax_guide_2013.pdf
Pg 1266</t>
        </r>
      </text>
    </comment>
    <comment ref="N156" authorId="0" shapeId="0">
      <text>
        <r>
          <rPr>
            <b/>
            <sz val="8"/>
            <color indexed="81"/>
            <rFont val="Tahoma"/>
            <family val="2"/>
          </rPr>
          <t>Ernst &amp; Young:</t>
        </r>
        <r>
          <rPr>
            <sz val="8"/>
            <color indexed="81"/>
            <rFont val="Tahoma"/>
            <family val="2"/>
          </rPr>
          <t xml:space="preserve">
Worldwide_corporate_tax_guide_2014.pdf
Pg 1339
Corporate Tax Rate range : 12% to 24%</t>
        </r>
      </text>
    </comment>
    <comment ref="G157" authorId="0" shapeId="0">
      <text>
        <r>
          <rPr>
            <b/>
            <sz val="8"/>
            <color indexed="81"/>
            <rFont val="Tahoma"/>
            <family val="2"/>
          </rPr>
          <t>Ernst &amp; Young:</t>
        </r>
        <r>
          <rPr>
            <sz val="8"/>
            <color indexed="81"/>
            <rFont val="Tahoma"/>
            <family val="2"/>
          </rPr>
          <t xml:space="preserve">
WW_corporate_tax_guide_2007.pdf
Pg 910</t>
        </r>
      </text>
    </comment>
    <comment ref="H157" authorId="0" shapeId="0">
      <text>
        <r>
          <rPr>
            <b/>
            <sz val="8"/>
            <color indexed="81"/>
            <rFont val="Tahoma"/>
            <family val="2"/>
          </rPr>
          <t>Ernst &amp; Young:</t>
        </r>
        <r>
          <rPr>
            <sz val="8"/>
            <color indexed="81"/>
            <rFont val="Tahoma"/>
            <family val="2"/>
          </rPr>
          <t xml:space="preserve">
WW_corporate_tax_guide_2008.pdf
Pg 2048</t>
        </r>
      </text>
    </comment>
    <comment ref="I157" authorId="0" shapeId="0">
      <text>
        <r>
          <rPr>
            <b/>
            <sz val="8"/>
            <color indexed="81"/>
            <rFont val="Tahoma"/>
            <family val="2"/>
          </rPr>
          <t>Ernst &amp; Young:</t>
        </r>
        <r>
          <rPr>
            <sz val="8"/>
            <color indexed="81"/>
            <rFont val="Tahoma"/>
            <family val="2"/>
          </rPr>
          <t xml:space="preserve">
worldwide corporate tax guide 2009.pdf
Pg 987</t>
        </r>
      </text>
    </comment>
    <comment ref="J157" authorId="0" shapeId="0">
      <text>
        <r>
          <rPr>
            <b/>
            <sz val="8"/>
            <color indexed="81"/>
            <rFont val="Tahoma"/>
            <family val="2"/>
          </rPr>
          <t>Ernst &amp; Young:</t>
        </r>
        <r>
          <rPr>
            <sz val="8"/>
            <color indexed="81"/>
            <rFont val="Tahoma"/>
            <family val="2"/>
          </rPr>
          <t xml:space="preserve">
2010 Corporate Tax Guide.pdf
Pg 1042</t>
        </r>
      </text>
    </comment>
    <comment ref="K157" authorId="0" shapeId="0">
      <text>
        <r>
          <rPr>
            <b/>
            <sz val="8"/>
            <color indexed="81"/>
            <rFont val="Tahoma"/>
            <family val="2"/>
          </rPr>
          <t>Ernst &amp; Young:</t>
        </r>
        <r>
          <rPr>
            <sz val="8"/>
            <color indexed="81"/>
            <rFont val="Tahoma"/>
            <family val="2"/>
          </rPr>
          <t xml:space="preserve">
Worldwide_corporate_tax_guide_2011.pdf
Pg 1111</t>
        </r>
      </text>
    </comment>
    <comment ref="L157" authorId="0" shapeId="0">
      <text>
        <r>
          <rPr>
            <b/>
            <sz val="8"/>
            <color indexed="81"/>
            <rFont val="Tahoma"/>
            <family val="2"/>
          </rPr>
          <t>Ernst &amp; Young:</t>
        </r>
        <r>
          <rPr>
            <sz val="8"/>
            <color indexed="81"/>
            <rFont val="Tahoma"/>
            <family val="2"/>
          </rPr>
          <t xml:space="preserve">
Worldwide_Corporate_tax_guide_2012.pdf
Pg 1164</t>
        </r>
      </text>
    </comment>
    <comment ref="M157" authorId="0" shapeId="0">
      <text>
        <r>
          <rPr>
            <b/>
            <sz val="8"/>
            <color indexed="81"/>
            <rFont val="Tahoma"/>
            <family val="2"/>
          </rPr>
          <t>Ernst &amp; Young:</t>
        </r>
        <r>
          <rPr>
            <sz val="8"/>
            <color indexed="81"/>
            <rFont val="Tahoma"/>
            <family val="2"/>
          </rPr>
          <t xml:space="preserve">
Worldwide_corporate_tax_guide_2013.pdf
Pg 1284</t>
        </r>
      </text>
    </comment>
    <comment ref="N157" authorId="0" shapeId="0">
      <text>
        <r>
          <rPr>
            <b/>
            <sz val="8"/>
            <color indexed="81"/>
            <rFont val="Tahoma"/>
            <family val="2"/>
          </rPr>
          <t>Ernst &amp; Young:</t>
        </r>
        <r>
          <rPr>
            <sz val="8"/>
            <color indexed="81"/>
            <rFont val="Tahoma"/>
            <family val="2"/>
          </rPr>
          <t xml:space="preserve">
Worldwide_corporate_tax_guide_2014.pdf
Pg 1357</t>
        </r>
      </text>
    </comment>
    <comment ref="G158" authorId="0" shapeId="0">
      <text>
        <r>
          <rPr>
            <sz val="8"/>
            <color indexed="81"/>
            <rFont val="Tahoma"/>
            <family val="2"/>
          </rPr>
          <t>WW_corporate_tax_guide_2007.pdf,Page 924</t>
        </r>
        <r>
          <rPr>
            <sz val="8"/>
            <color indexed="81"/>
            <rFont val="Tahoma"/>
            <family val="2"/>
          </rPr>
          <t xml:space="preserve">
</t>
        </r>
      </text>
    </comment>
    <comment ref="H158" authorId="0" shapeId="0">
      <text>
        <r>
          <rPr>
            <sz val="8"/>
            <color indexed="81"/>
            <rFont val="Tahoma"/>
            <family val="2"/>
          </rPr>
          <t>WW_corporate_tax_guide_2008.pdf,Page 2061</t>
        </r>
        <r>
          <rPr>
            <sz val="8"/>
            <color indexed="81"/>
            <rFont val="Tahoma"/>
            <family val="2"/>
          </rPr>
          <t xml:space="preserve">
</t>
        </r>
      </text>
    </comment>
    <comment ref="I158" authorId="0" shapeId="0">
      <text>
        <r>
          <rPr>
            <sz val="8"/>
            <color indexed="81"/>
            <rFont val="Tahoma"/>
            <family val="2"/>
          </rPr>
          <t>worldwide corporate tax guide 2009.pdf,Page 1000</t>
        </r>
        <r>
          <rPr>
            <sz val="8"/>
            <color indexed="81"/>
            <rFont val="Tahoma"/>
            <family val="2"/>
          </rPr>
          <t xml:space="preserve">
</t>
        </r>
      </text>
    </comment>
    <comment ref="J158" authorId="0" shapeId="0">
      <text>
        <r>
          <rPr>
            <sz val="8"/>
            <color indexed="81"/>
            <rFont val="Tahoma"/>
            <family val="2"/>
          </rPr>
          <t xml:space="preserve">2010 Corporate Tax Guide.pdf,Page 1056
</t>
        </r>
        <r>
          <rPr>
            <sz val="8"/>
            <color indexed="81"/>
            <rFont val="Tahoma"/>
            <family val="2"/>
          </rPr>
          <t xml:space="preserve">
</t>
        </r>
      </text>
    </comment>
    <comment ref="K158" authorId="0" shapeId="0">
      <text>
        <r>
          <rPr>
            <sz val="8"/>
            <color indexed="81"/>
            <rFont val="Tahoma"/>
            <family val="2"/>
          </rPr>
          <t xml:space="preserve">Worldwide_corporate_tax_guide_2011.pdf.Page1125
</t>
        </r>
        <r>
          <rPr>
            <sz val="8"/>
            <color indexed="81"/>
            <rFont val="Tahoma"/>
            <family val="2"/>
          </rPr>
          <t xml:space="preserve">
</t>
        </r>
      </text>
    </comment>
    <comment ref="L158" authorId="0" shapeId="0">
      <text>
        <r>
          <rPr>
            <sz val="8"/>
            <color indexed="81"/>
            <rFont val="Tahoma"/>
            <family val="2"/>
          </rPr>
          <t>Worldwide_Corporate_tax_guide_2012.pdf,Page 1178</t>
        </r>
        <r>
          <rPr>
            <sz val="8"/>
            <color indexed="81"/>
            <rFont val="Tahoma"/>
            <family val="2"/>
          </rPr>
          <t xml:space="preserve">
</t>
        </r>
      </text>
    </comment>
    <comment ref="M158" authorId="0" shapeId="0">
      <text>
        <r>
          <rPr>
            <b/>
            <sz val="8"/>
            <color indexed="81"/>
            <rFont val="Tahoma"/>
            <family val="2"/>
          </rPr>
          <t>Ernst &amp; Young:</t>
        </r>
        <r>
          <rPr>
            <sz val="8"/>
            <color indexed="81"/>
            <rFont val="Tahoma"/>
            <family val="2"/>
          </rPr>
          <t xml:space="preserve">
Worldwide_corporate_tax_guide_2013.pdf
Pg 1299</t>
        </r>
      </text>
    </comment>
    <comment ref="N158" authorId="0" shapeId="0">
      <text>
        <r>
          <rPr>
            <b/>
            <sz val="8"/>
            <color indexed="81"/>
            <rFont val="Tahoma"/>
            <family val="2"/>
          </rPr>
          <t>Ernst &amp; Young:</t>
        </r>
        <r>
          <rPr>
            <sz val="8"/>
            <color indexed="81"/>
            <rFont val="Tahoma"/>
            <family val="2"/>
          </rPr>
          <t xml:space="preserve">
Worldwide_corporate_tax_guide_2014.pdf
Pg 1372</t>
        </r>
      </text>
    </comment>
    <comment ref="G159" authorId="0" shapeId="0">
      <text>
        <r>
          <rPr>
            <b/>
            <sz val="8"/>
            <color indexed="81"/>
            <rFont val="Tahoma"/>
            <family val="2"/>
          </rPr>
          <t>Ernst &amp; Young:</t>
        </r>
        <r>
          <rPr>
            <sz val="8"/>
            <color indexed="81"/>
            <rFont val="Tahoma"/>
            <family val="2"/>
          </rPr>
          <t xml:space="preserve">
WW_corporate_tax_guide_2007.pdf
Pg 934</t>
        </r>
      </text>
    </comment>
    <comment ref="H159" authorId="0" shapeId="0">
      <text>
        <r>
          <rPr>
            <b/>
            <sz val="8"/>
            <color indexed="81"/>
            <rFont val="Tahoma"/>
            <family val="2"/>
          </rPr>
          <t>Ernst &amp; Young:</t>
        </r>
        <r>
          <rPr>
            <sz val="8"/>
            <color indexed="81"/>
            <rFont val="Tahoma"/>
            <family val="2"/>
          </rPr>
          <t xml:space="preserve">
WW_corporate_tax_guide_2008.pdf
Pg 2072</t>
        </r>
      </text>
    </comment>
    <comment ref="I159" authorId="0" shapeId="0">
      <text>
        <r>
          <rPr>
            <b/>
            <sz val="8"/>
            <color indexed="81"/>
            <rFont val="Tahoma"/>
            <family val="2"/>
          </rPr>
          <t>Ernst &amp; Young:</t>
        </r>
        <r>
          <rPr>
            <sz val="8"/>
            <color indexed="81"/>
            <rFont val="Tahoma"/>
            <family val="2"/>
          </rPr>
          <t xml:space="preserve">
worldwide corporate tax guide 2009.pdf
Pg 1011</t>
        </r>
      </text>
    </comment>
    <comment ref="J159" authorId="0" shapeId="0">
      <text>
        <r>
          <rPr>
            <b/>
            <sz val="8"/>
            <color indexed="81"/>
            <rFont val="Tahoma"/>
            <family val="2"/>
          </rPr>
          <t>Ernst &amp; Young:</t>
        </r>
        <r>
          <rPr>
            <sz val="8"/>
            <color indexed="81"/>
            <rFont val="Tahoma"/>
            <family val="2"/>
          </rPr>
          <t xml:space="preserve">
2010 Corporate Tax Guide.pdf
Pg 1067</t>
        </r>
      </text>
    </comment>
    <comment ref="K159" authorId="0" shapeId="0">
      <text>
        <r>
          <rPr>
            <b/>
            <sz val="8"/>
            <color indexed="81"/>
            <rFont val="Tahoma"/>
            <family val="2"/>
          </rPr>
          <t>Ernst &amp; Young:</t>
        </r>
        <r>
          <rPr>
            <sz val="8"/>
            <color indexed="81"/>
            <rFont val="Tahoma"/>
            <family val="2"/>
          </rPr>
          <t xml:space="preserve">
Worldwide_corporate_tax_guide_2011.pdf
Pg 1136</t>
        </r>
      </text>
    </comment>
    <comment ref="L159" authorId="0" shapeId="0">
      <text>
        <r>
          <rPr>
            <b/>
            <sz val="8"/>
            <color indexed="81"/>
            <rFont val="Tahoma"/>
            <family val="2"/>
          </rPr>
          <t>Ernst &amp; Young:</t>
        </r>
        <r>
          <rPr>
            <sz val="8"/>
            <color indexed="81"/>
            <rFont val="Tahoma"/>
            <family val="2"/>
          </rPr>
          <t xml:space="preserve">
Worldwide_Corporate_tax_guide_2012.pdf
Pg 1190</t>
        </r>
      </text>
    </comment>
    <comment ref="M159" authorId="0" shapeId="0">
      <text>
        <r>
          <rPr>
            <b/>
            <sz val="8"/>
            <color indexed="81"/>
            <rFont val="Tahoma"/>
            <family val="2"/>
          </rPr>
          <t>Ernst &amp; Young:</t>
        </r>
        <r>
          <rPr>
            <sz val="8"/>
            <color indexed="81"/>
            <rFont val="Tahoma"/>
            <family val="2"/>
          </rPr>
          <t xml:space="preserve">
Worldwide_corporate_tax_guide_2013.pdf
Pg 1311</t>
        </r>
      </text>
    </comment>
    <comment ref="N159" authorId="0" shapeId="0">
      <text>
        <r>
          <rPr>
            <b/>
            <sz val="8"/>
            <color indexed="81"/>
            <rFont val="Tahoma"/>
            <family val="2"/>
          </rPr>
          <t>Ernst &amp; Young:</t>
        </r>
        <r>
          <rPr>
            <sz val="8"/>
            <color indexed="81"/>
            <rFont val="Tahoma"/>
            <family val="2"/>
          </rPr>
          <t xml:space="preserve">
Worldwide_corporate_tax_guide_2014.pdf
Pg 1384
Oil service companies,banks, financial institutions (for example, insurance companies) 
and telecommunicationcompanies are subject to corporate income tax at a rate of 35%.
Handi craft, agricultural and fishing companies are subject to corporate income
tax at a rate of 10%. Benefits from exportations realized on or after 1 January
2014 are subject to corporate income tax at a rate of 10%.</t>
        </r>
      </text>
    </comment>
    <comment ref="G160" authorId="0" shapeId="0">
      <text>
        <r>
          <rPr>
            <sz val="8"/>
            <color indexed="81"/>
            <rFont val="Tahoma"/>
            <family val="2"/>
          </rPr>
          <t>WW_corporate_tax_guide_2007.pdf,Page 941</t>
        </r>
        <r>
          <rPr>
            <sz val="8"/>
            <color indexed="81"/>
            <rFont val="Tahoma"/>
            <family val="2"/>
          </rPr>
          <t xml:space="preserve">
</t>
        </r>
      </text>
    </comment>
    <comment ref="H160" authorId="0" shapeId="0">
      <text>
        <r>
          <rPr>
            <sz val="8"/>
            <color indexed="81"/>
            <rFont val="Tahoma"/>
            <family val="2"/>
          </rPr>
          <t>WW_corporate_tax_guide_2008.pdf,Page 2079</t>
        </r>
        <r>
          <rPr>
            <sz val="8"/>
            <color indexed="81"/>
            <rFont val="Tahoma"/>
            <family val="2"/>
          </rPr>
          <t xml:space="preserve">
</t>
        </r>
      </text>
    </comment>
    <comment ref="I160" authorId="0" shapeId="0">
      <text>
        <r>
          <rPr>
            <sz val="8"/>
            <color indexed="81"/>
            <rFont val="Tahoma"/>
            <family val="2"/>
          </rPr>
          <t>worldwide corporate tax guide 2009.pdf,Page 1018</t>
        </r>
        <r>
          <rPr>
            <sz val="8"/>
            <color indexed="81"/>
            <rFont val="Tahoma"/>
            <family val="2"/>
          </rPr>
          <t xml:space="preserve">
</t>
        </r>
      </text>
    </comment>
    <comment ref="J160" authorId="0" shapeId="0">
      <text>
        <r>
          <rPr>
            <sz val="8"/>
            <color indexed="81"/>
            <rFont val="Tahoma"/>
            <family val="2"/>
          </rPr>
          <t xml:space="preserve">2010 Corporate Tax Guide.pdf,Page 1073
</t>
        </r>
        <r>
          <rPr>
            <sz val="8"/>
            <color indexed="81"/>
            <rFont val="Tahoma"/>
            <family val="2"/>
          </rPr>
          <t xml:space="preserve">
</t>
        </r>
      </text>
    </comment>
    <comment ref="K160" authorId="0" shapeId="0">
      <text>
        <r>
          <rPr>
            <sz val="8"/>
            <color indexed="81"/>
            <rFont val="Tahoma"/>
            <family val="2"/>
          </rPr>
          <t xml:space="preserve">Worldwide_corporate_tax_guide_2011.pdf.Page1143
</t>
        </r>
        <r>
          <rPr>
            <sz val="8"/>
            <color indexed="81"/>
            <rFont val="Tahoma"/>
            <family val="2"/>
          </rPr>
          <t xml:space="preserve">
</t>
        </r>
      </text>
    </comment>
    <comment ref="L160" authorId="0" shapeId="0">
      <text>
        <r>
          <rPr>
            <sz val="8"/>
            <color indexed="81"/>
            <rFont val="Tahoma"/>
            <family val="2"/>
          </rPr>
          <t>Worldwide_Corporate_tax_guide_2012.pdf,Page 1196</t>
        </r>
        <r>
          <rPr>
            <sz val="8"/>
            <color indexed="81"/>
            <rFont val="Tahoma"/>
            <family val="2"/>
          </rPr>
          <t xml:space="preserve">
</t>
        </r>
      </text>
    </comment>
    <comment ref="M160" authorId="0" shapeId="0">
      <text>
        <r>
          <rPr>
            <b/>
            <sz val="8"/>
            <color indexed="81"/>
            <rFont val="Tahoma"/>
            <family val="2"/>
          </rPr>
          <t>Ernst &amp; Young:</t>
        </r>
        <r>
          <rPr>
            <sz val="8"/>
            <color indexed="81"/>
            <rFont val="Tahoma"/>
            <family val="2"/>
          </rPr>
          <t xml:space="preserve">
Worldwide_corporate_tax_guide_2013.pdf
Pg 1319</t>
        </r>
      </text>
    </comment>
    <comment ref="N160" authorId="0" shapeId="0">
      <text>
        <r>
          <rPr>
            <b/>
            <sz val="8"/>
            <color indexed="81"/>
            <rFont val="Tahoma"/>
            <family val="2"/>
          </rPr>
          <t>Ernst &amp; Young:</t>
        </r>
        <r>
          <rPr>
            <sz val="8"/>
            <color indexed="81"/>
            <rFont val="Tahoma"/>
            <family val="2"/>
          </rPr>
          <t xml:space="preserve">
Worldwide_corporate_tax_guide_2014.pdf
Pg 1392</t>
        </r>
      </text>
    </comment>
    <comment ref="G161" authorId="0" shapeId="0">
      <text>
        <r>
          <rPr>
            <sz val="8"/>
            <color indexed="81"/>
            <rFont val="Tahoma"/>
            <family val="2"/>
          </rPr>
          <t>WW_corporate_tax_guide_2007.pdf,Page 956</t>
        </r>
        <r>
          <rPr>
            <sz val="8"/>
            <color indexed="81"/>
            <rFont val="Tahoma"/>
            <family val="2"/>
          </rPr>
          <t xml:space="preserve">
</t>
        </r>
      </text>
    </comment>
    <comment ref="H161" authorId="0" shapeId="0">
      <text>
        <r>
          <rPr>
            <sz val="8"/>
            <color indexed="81"/>
            <rFont val="Tahoma"/>
            <family val="2"/>
          </rPr>
          <t>WW_corporate_tax_guide_2008.pdf,Page 2093</t>
        </r>
        <r>
          <rPr>
            <sz val="8"/>
            <color indexed="81"/>
            <rFont val="Tahoma"/>
            <family val="2"/>
          </rPr>
          <t xml:space="preserve">
</t>
        </r>
      </text>
    </comment>
    <comment ref="I161" authorId="0" shapeId="0">
      <text>
        <r>
          <rPr>
            <sz val="8"/>
            <color indexed="81"/>
            <rFont val="Tahoma"/>
            <family val="2"/>
          </rPr>
          <t>worldwide corporate tax guide 2009.pdf,Page 1035</t>
        </r>
      </text>
    </comment>
    <comment ref="J161" authorId="0" shapeId="0">
      <text>
        <r>
          <rPr>
            <sz val="8"/>
            <color indexed="81"/>
            <rFont val="Tahoma"/>
            <family val="2"/>
          </rPr>
          <t xml:space="preserve">2010 Corporate Tax Guide.pdf,Page 1091
</t>
        </r>
        <r>
          <rPr>
            <sz val="8"/>
            <color indexed="81"/>
            <rFont val="Tahoma"/>
            <family val="2"/>
          </rPr>
          <t xml:space="preserve">
</t>
        </r>
      </text>
    </comment>
    <comment ref="K161" authorId="0" shapeId="0">
      <text>
        <r>
          <rPr>
            <sz val="8"/>
            <color indexed="81"/>
            <rFont val="Tahoma"/>
            <family val="2"/>
          </rPr>
          <t>Worldwide_corporate_tax_guide_2011.pdf.Page1160</t>
        </r>
        <r>
          <rPr>
            <sz val="8"/>
            <color indexed="81"/>
            <rFont val="Tahoma"/>
            <family val="2"/>
          </rPr>
          <t xml:space="preserve">
</t>
        </r>
      </text>
    </comment>
    <comment ref="L161" authorId="0" shapeId="0">
      <text>
        <r>
          <rPr>
            <sz val="8"/>
            <color indexed="81"/>
            <rFont val="Tahoma"/>
            <family val="2"/>
          </rPr>
          <t>Worldwide_Corporate_tax_guide_2012.pdf,Page 1214</t>
        </r>
        <r>
          <rPr>
            <sz val="8"/>
            <color indexed="81"/>
            <rFont val="Tahoma"/>
            <family val="2"/>
          </rPr>
          <t xml:space="preserve">
</t>
        </r>
      </text>
    </comment>
    <comment ref="M161" authorId="0" shapeId="0">
      <text>
        <r>
          <rPr>
            <b/>
            <sz val="8"/>
            <color indexed="81"/>
            <rFont val="Tahoma"/>
            <family val="2"/>
          </rPr>
          <t>Ernst &amp; Young:</t>
        </r>
        <r>
          <rPr>
            <sz val="8"/>
            <color indexed="81"/>
            <rFont val="Tahoma"/>
            <family val="2"/>
          </rPr>
          <t xml:space="preserve">
Worldwide_corporate_tax_guide_2013.pdf
Pg 1338</t>
        </r>
      </text>
    </comment>
    <comment ref="N161" authorId="0" shapeId="0">
      <text>
        <r>
          <rPr>
            <b/>
            <sz val="8"/>
            <color indexed="81"/>
            <rFont val="Tahoma"/>
            <family val="2"/>
          </rPr>
          <t>Ernst &amp; Young:</t>
        </r>
        <r>
          <rPr>
            <sz val="8"/>
            <color indexed="81"/>
            <rFont val="Tahoma"/>
            <family val="2"/>
          </rPr>
          <t xml:space="preserve">
Worldwide_corporate_tax_guide_2014.pdf
Pg 1411</t>
        </r>
      </text>
    </comment>
    <comment ref="G162" authorId="0" shapeId="0">
      <text>
        <r>
          <rPr>
            <sz val="8"/>
            <color indexed="81"/>
            <rFont val="Tahoma"/>
            <family val="2"/>
          </rPr>
          <t>WW_corporate_tax_guide_2007.pdf,Page 964</t>
        </r>
        <r>
          <rPr>
            <sz val="8"/>
            <color indexed="81"/>
            <rFont val="Tahoma"/>
            <family val="2"/>
          </rPr>
          <t xml:space="preserve">
</t>
        </r>
      </text>
    </comment>
    <comment ref="H162" authorId="0" shapeId="0">
      <text>
        <r>
          <rPr>
            <sz val="8"/>
            <color indexed="81"/>
            <rFont val="Tahoma"/>
            <family val="2"/>
          </rPr>
          <t>WW_corporate_tax_guide_2008.pdf,Page 2073</t>
        </r>
        <r>
          <rPr>
            <sz val="8"/>
            <color indexed="81"/>
            <rFont val="Tahoma"/>
            <family val="2"/>
          </rPr>
          <t xml:space="preserve">
</t>
        </r>
      </text>
    </comment>
    <comment ref="I162" authorId="0" shapeId="0">
      <text>
        <r>
          <rPr>
            <sz val="8"/>
            <color indexed="81"/>
            <rFont val="Tahoma"/>
            <family val="2"/>
          </rPr>
          <t>worldwide corporate tax guide 2009.pdf,Page 1045</t>
        </r>
        <r>
          <rPr>
            <sz val="8"/>
            <color indexed="81"/>
            <rFont val="Tahoma"/>
            <family val="2"/>
          </rPr>
          <t xml:space="preserve">
</t>
        </r>
      </text>
    </comment>
    <comment ref="J162" authorId="0" shapeId="0">
      <text>
        <r>
          <rPr>
            <sz val="8"/>
            <color indexed="81"/>
            <rFont val="Tahoma"/>
            <family val="2"/>
          </rPr>
          <t xml:space="preserve">2010 Corporate Tax Guide.pdf,Page 1102
</t>
        </r>
        <r>
          <rPr>
            <sz val="8"/>
            <color indexed="81"/>
            <rFont val="Tahoma"/>
            <family val="2"/>
          </rPr>
          <t xml:space="preserve">
</t>
        </r>
      </text>
    </comment>
    <comment ref="K162" authorId="0" shapeId="0">
      <text>
        <r>
          <rPr>
            <sz val="8"/>
            <color indexed="81"/>
            <rFont val="Tahoma"/>
            <family val="2"/>
          </rPr>
          <t xml:space="preserve">Worldwide_corporate_tax_guide_2011.pdf.Page1172
</t>
        </r>
        <r>
          <rPr>
            <sz val="8"/>
            <color indexed="81"/>
            <rFont val="Tahoma"/>
            <family val="2"/>
          </rPr>
          <t xml:space="preserve">
</t>
        </r>
      </text>
    </comment>
    <comment ref="L162" authorId="0" shapeId="0">
      <text>
        <r>
          <rPr>
            <sz val="8"/>
            <color indexed="81"/>
            <rFont val="Tahoma"/>
            <family val="2"/>
          </rPr>
          <t>Worldwide_Corporate_tax_guide_2012.pdf,Page 1227</t>
        </r>
        <r>
          <rPr>
            <sz val="8"/>
            <color indexed="81"/>
            <rFont val="Tahoma"/>
            <family val="2"/>
          </rPr>
          <t xml:space="preserve">
</t>
        </r>
      </text>
    </comment>
    <comment ref="M162" authorId="0" shapeId="0">
      <text>
        <r>
          <rPr>
            <b/>
            <sz val="8"/>
            <color indexed="81"/>
            <rFont val="Tahoma"/>
            <family val="2"/>
          </rPr>
          <t>Ernst &amp; Young:</t>
        </r>
        <r>
          <rPr>
            <sz val="8"/>
            <color indexed="81"/>
            <rFont val="Tahoma"/>
            <family val="2"/>
          </rPr>
          <t xml:space="preserve">
Worldwide_corporate_tax_guide_2013.pdf
Pg 1353</t>
        </r>
      </text>
    </comment>
    <comment ref="N162" authorId="0" shapeId="0">
      <text>
        <r>
          <rPr>
            <b/>
            <sz val="8"/>
            <color indexed="81"/>
            <rFont val="Tahoma"/>
            <family val="2"/>
          </rPr>
          <t>Ernst &amp; Young:</t>
        </r>
        <r>
          <rPr>
            <sz val="8"/>
            <color indexed="81"/>
            <rFont val="Tahoma"/>
            <family val="2"/>
          </rPr>
          <t xml:space="preserve">
Worldwide_corporate_tax_guide_2014.pdf
Pg 1426</t>
        </r>
      </text>
    </comment>
    <comment ref="G163" authorId="0" shapeId="0">
      <text>
        <r>
          <rPr>
            <sz val="8"/>
            <color indexed="81"/>
            <rFont val="Tahoma"/>
            <family val="2"/>
          </rPr>
          <t>WW_corporate_tax_guide_2007.pdf,Page 973</t>
        </r>
        <r>
          <rPr>
            <sz val="8"/>
            <color indexed="81"/>
            <rFont val="Tahoma"/>
            <family val="2"/>
          </rPr>
          <t xml:space="preserve">
</t>
        </r>
      </text>
    </comment>
    <comment ref="H163" authorId="0" shapeId="0">
      <text>
        <r>
          <rPr>
            <sz val="8"/>
            <color indexed="81"/>
            <rFont val="Tahoma"/>
            <family val="2"/>
          </rPr>
          <t>WW_corporate_tax_guide_2008.pdf,Page 2112,
Effective from 1stApril 2008,tax rate will be 28%</t>
        </r>
        <r>
          <rPr>
            <sz val="8"/>
            <color indexed="81"/>
            <rFont val="Tahoma"/>
            <family val="2"/>
          </rPr>
          <t xml:space="preserve">
</t>
        </r>
      </text>
    </comment>
    <comment ref="I163" authorId="0" shapeId="0">
      <text>
        <r>
          <rPr>
            <sz val="8"/>
            <color indexed="81"/>
            <rFont val="Tahoma"/>
            <family val="2"/>
          </rPr>
          <t>worldwide corporate tax guide 2009.pdf,Page 1056</t>
        </r>
        <r>
          <rPr>
            <sz val="8"/>
            <color indexed="81"/>
            <rFont val="Tahoma"/>
            <family val="2"/>
          </rPr>
          <t xml:space="preserve">
</t>
        </r>
      </text>
    </comment>
    <comment ref="J163" authorId="0" shapeId="0">
      <text>
        <r>
          <rPr>
            <sz val="8"/>
            <color indexed="81"/>
            <rFont val="Tahoma"/>
            <family val="2"/>
          </rPr>
          <t xml:space="preserve">2010 Corporate Tax Guide.pdf,Page 1114
</t>
        </r>
        <r>
          <rPr>
            <sz val="8"/>
            <color indexed="81"/>
            <rFont val="Tahoma"/>
            <family val="2"/>
          </rPr>
          <t xml:space="preserve">
</t>
        </r>
      </text>
    </comment>
    <comment ref="K163" authorId="0" shapeId="0">
      <text>
        <r>
          <rPr>
            <sz val="8"/>
            <color indexed="81"/>
            <rFont val="Tahoma"/>
            <family val="2"/>
          </rPr>
          <t xml:space="preserve">Worldwide_corporate_tax_guide_2011.pdf.Page1184
</t>
        </r>
        <r>
          <rPr>
            <sz val="8"/>
            <color indexed="81"/>
            <rFont val="Tahoma"/>
            <family val="2"/>
          </rPr>
          <t xml:space="preserve">
</t>
        </r>
      </text>
    </comment>
    <comment ref="L163" authorId="0" shapeId="0">
      <text>
        <r>
          <rPr>
            <sz val="8"/>
            <color indexed="81"/>
            <rFont val="Tahoma"/>
            <family val="2"/>
          </rPr>
          <t>Worldwide_Corporate_tax_guide_2012.pdf,Page 1240</t>
        </r>
        <r>
          <rPr>
            <sz val="8"/>
            <color indexed="81"/>
            <rFont val="Tahoma"/>
            <family val="2"/>
          </rPr>
          <t xml:space="preserve">
</t>
        </r>
      </text>
    </comment>
    <comment ref="M163" authorId="0" shapeId="0">
      <text>
        <r>
          <rPr>
            <b/>
            <sz val="8"/>
            <color indexed="81"/>
            <rFont val="Tahoma"/>
            <family val="2"/>
          </rPr>
          <t>Ernst &amp; Young:</t>
        </r>
        <r>
          <rPr>
            <sz val="8"/>
            <color indexed="81"/>
            <rFont val="Tahoma"/>
            <family val="2"/>
          </rPr>
          <t xml:space="preserve">
Worldwide_corporate_tax_guide_2013.pdf
Pg 1368</t>
        </r>
      </text>
    </comment>
    <comment ref="N163" authorId="0" shapeId="0">
      <text>
        <r>
          <rPr>
            <b/>
            <sz val="8"/>
            <color indexed="81"/>
            <rFont val="Tahoma"/>
            <family val="2"/>
          </rPr>
          <t>Ernst &amp; Young:</t>
        </r>
        <r>
          <rPr>
            <sz val="8"/>
            <color indexed="81"/>
            <rFont val="Tahoma"/>
            <family val="2"/>
          </rPr>
          <t xml:space="preserve">
Worldwide_corporate_tax_guide_2014.pdf
Pg 1441
Effective from 1 April 2014, the main rate of corporation tax will decrease to 21%, while the small profits rate will remain at 20%</t>
        </r>
      </text>
    </comment>
    <comment ref="G164" authorId="0" shapeId="0">
      <text>
        <r>
          <rPr>
            <sz val="8"/>
            <color indexed="81"/>
            <rFont val="Tahoma"/>
            <family val="2"/>
          </rPr>
          <t>WW_corporate_tax_guide_2007.pdf,Page 1007</t>
        </r>
        <r>
          <rPr>
            <sz val="8"/>
            <color indexed="81"/>
            <rFont val="Tahoma"/>
            <family val="2"/>
          </rPr>
          <t xml:space="preserve">
</t>
        </r>
      </text>
    </comment>
    <comment ref="H164" authorId="0" shapeId="0">
      <text>
        <r>
          <rPr>
            <sz val="8"/>
            <color indexed="81"/>
            <rFont val="Tahoma"/>
            <family val="2"/>
          </rPr>
          <t>WW_corporate_tax_guide_2008.pdf,Page 2152</t>
        </r>
        <r>
          <rPr>
            <sz val="8"/>
            <color indexed="81"/>
            <rFont val="Tahoma"/>
            <family val="2"/>
          </rPr>
          <t xml:space="preserve">
</t>
        </r>
      </text>
    </comment>
    <comment ref="I164" authorId="0" shapeId="0">
      <text>
        <r>
          <rPr>
            <sz val="8"/>
            <color indexed="81"/>
            <rFont val="Tahoma"/>
            <family val="2"/>
          </rPr>
          <t>worldwide corporate tax guide 2009.pdf,Page 1099</t>
        </r>
        <r>
          <rPr>
            <sz val="8"/>
            <color indexed="81"/>
            <rFont val="Tahoma"/>
            <family val="2"/>
          </rPr>
          <t xml:space="preserve">
</t>
        </r>
      </text>
    </comment>
    <comment ref="J164" authorId="0" shapeId="0">
      <text>
        <r>
          <rPr>
            <sz val="8"/>
            <color indexed="81"/>
            <rFont val="Tahoma"/>
            <family val="2"/>
          </rPr>
          <t xml:space="preserve">2010 Corporate Tax Guide.pdf,Page 1158
</t>
        </r>
        <r>
          <rPr>
            <sz val="8"/>
            <color indexed="81"/>
            <rFont val="Tahoma"/>
            <family val="2"/>
          </rPr>
          <t xml:space="preserve">
</t>
        </r>
      </text>
    </comment>
    <comment ref="K164" authorId="0" shapeId="0">
      <text>
        <r>
          <rPr>
            <sz val="8"/>
            <color indexed="81"/>
            <rFont val="Tahoma"/>
            <family val="2"/>
          </rPr>
          <t xml:space="preserve">Worldwide_corporate_tax_guide_2011.pdf.Page1232
</t>
        </r>
        <r>
          <rPr>
            <sz val="8"/>
            <color indexed="81"/>
            <rFont val="Tahoma"/>
            <family val="2"/>
          </rPr>
          <t xml:space="preserve">
</t>
        </r>
      </text>
    </comment>
    <comment ref="L164" authorId="0" shapeId="0">
      <text>
        <r>
          <rPr>
            <sz val="8"/>
            <color indexed="81"/>
            <rFont val="Tahoma"/>
            <family val="2"/>
          </rPr>
          <t>Worldwide_Corporate_tax_guide_2012.pdf,Page 1299</t>
        </r>
        <r>
          <rPr>
            <sz val="8"/>
            <color indexed="81"/>
            <rFont val="Tahoma"/>
            <family val="2"/>
          </rPr>
          <t xml:space="preserve">
</t>
        </r>
      </text>
    </comment>
    <comment ref="M164" authorId="0" shapeId="0">
      <text>
        <r>
          <rPr>
            <b/>
            <sz val="8"/>
            <color indexed="81"/>
            <rFont val="Tahoma"/>
            <family val="2"/>
          </rPr>
          <t>Ernst &amp; Young:</t>
        </r>
        <r>
          <rPr>
            <sz val="8"/>
            <color indexed="81"/>
            <rFont val="Tahoma"/>
            <family val="2"/>
          </rPr>
          <t xml:space="preserve">
Worldwide_corporate_tax_guide_2013.pdf
Pg 1429</t>
        </r>
      </text>
    </comment>
    <comment ref="N164" authorId="0" shapeId="0">
      <text>
        <r>
          <rPr>
            <b/>
            <sz val="8"/>
            <color indexed="81"/>
            <rFont val="Tahoma"/>
            <family val="2"/>
          </rPr>
          <t>Ernst &amp; Young:</t>
        </r>
        <r>
          <rPr>
            <sz val="8"/>
            <color indexed="81"/>
            <rFont val="Tahoma"/>
            <family val="2"/>
          </rPr>
          <t xml:space="preserve">
Worldwide_corporate_tax_guide_2014.pdf
Pg 1429
States levy income or capital-based taxes. An alternative minimum tax is imposed</t>
        </r>
      </text>
    </comment>
    <comment ref="G165" authorId="0" shapeId="0">
      <text>
        <r>
          <rPr>
            <sz val="8"/>
            <color indexed="81"/>
            <rFont val="Tahoma"/>
            <family val="2"/>
          </rPr>
          <t>WW_corporate_tax_guide_2007.pdf,Page 1030</t>
        </r>
        <r>
          <rPr>
            <sz val="8"/>
            <color indexed="81"/>
            <rFont val="Tahoma"/>
            <family val="2"/>
          </rPr>
          <t xml:space="preserve">
</t>
        </r>
      </text>
    </comment>
    <comment ref="H165" authorId="0" shapeId="0">
      <text>
        <r>
          <rPr>
            <sz val="8"/>
            <color indexed="81"/>
            <rFont val="Tahoma"/>
            <family val="2"/>
          </rPr>
          <t>WW_corporate_tax_guide_2008.pdf,Page 2175</t>
        </r>
        <r>
          <rPr>
            <sz val="8"/>
            <color indexed="81"/>
            <rFont val="Tahoma"/>
            <family val="2"/>
          </rPr>
          <t xml:space="preserve">
</t>
        </r>
      </text>
    </comment>
    <comment ref="I165" authorId="0" shapeId="0">
      <text>
        <r>
          <rPr>
            <sz val="8"/>
            <color indexed="81"/>
            <rFont val="Tahoma"/>
            <family val="2"/>
          </rPr>
          <t>worldwide corporate tax guide 2009.pdf,Page 1123</t>
        </r>
        <r>
          <rPr>
            <sz val="8"/>
            <color indexed="81"/>
            <rFont val="Tahoma"/>
            <family val="2"/>
          </rPr>
          <t xml:space="preserve">
</t>
        </r>
      </text>
    </comment>
    <comment ref="J165" authorId="0" shapeId="0">
      <text>
        <r>
          <rPr>
            <sz val="8"/>
            <color indexed="81"/>
            <rFont val="Tahoma"/>
            <family val="2"/>
          </rPr>
          <t xml:space="preserve">2010 Corporate Tax Guide.pdf,Page 1184
</t>
        </r>
        <r>
          <rPr>
            <sz val="8"/>
            <color indexed="81"/>
            <rFont val="Tahoma"/>
            <family val="2"/>
          </rPr>
          <t xml:space="preserve">
</t>
        </r>
      </text>
    </comment>
    <comment ref="K165" authorId="0" shapeId="0">
      <text>
        <r>
          <rPr>
            <sz val="8"/>
            <color indexed="81"/>
            <rFont val="Tahoma"/>
            <family val="2"/>
          </rPr>
          <t xml:space="preserve">Worldwide_corporate_tax_guide_2011.pdf.Page1257
</t>
        </r>
        <r>
          <rPr>
            <sz val="8"/>
            <color indexed="81"/>
            <rFont val="Tahoma"/>
            <family val="2"/>
          </rPr>
          <t xml:space="preserve">
</t>
        </r>
      </text>
    </comment>
    <comment ref="L165" authorId="0" shapeId="0">
      <text>
        <r>
          <rPr>
            <sz val="8"/>
            <color indexed="81"/>
            <rFont val="Tahoma"/>
            <family val="2"/>
          </rPr>
          <t xml:space="preserve">Worldwide_Corporate_tax_guide_2012.pdf,Page 1325
</t>
        </r>
      </text>
    </comment>
    <comment ref="M165" authorId="0" shapeId="0">
      <text>
        <r>
          <rPr>
            <b/>
            <sz val="8"/>
            <color indexed="81"/>
            <rFont val="Tahoma"/>
            <family val="2"/>
          </rPr>
          <t>Ernst &amp; Young:</t>
        </r>
        <r>
          <rPr>
            <sz val="8"/>
            <color indexed="81"/>
            <rFont val="Tahoma"/>
            <family val="2"/>
          </rPr>
          <t xml:space="preserve">
Worldwide_corporate_tax_guide_2013.pdf
Pg 1456</t>
        </r>
      </text>
    </comment>
    <comment ref="N165" authorId="0" shapeId="0">
      <text>
        <r>
          <rPr>
            <b/>
            <sz val="8"/>
            <color indexed="81"/>
            <rFont val="Tahoma"/>
            <family val="2"/>
          </rPr>
          <t>Ernst &amp; Young:</t>
        </r>
        <r>
          <rPr>
            <sz val="8"/>
            <color indexed="81"/>
            <rFont val="Tahoma"/>
            <family val="2"/>
          </rPr>
          <t xml:space="preserve">
Worldwide_corporate_tax_guide_2014.pdf
Pg 1530</t>
        </r>
      </text>
    </comment>
    <comment ref="G166" authorId="0" shapeId="0">
      <text>
        <r>
          <rPr>
            <sz val="8"/>
            <color indexed="81"/>
            <rFont val="Tahoma"/>
            <family val="2"/>
          </rPr>
          <t xml:space="preserve">Enterprise Income tax rate
</t>
        </r>
        <r>
          <rPr>
            <b/>
            <sz val="8"/>
            <color indexed="81"/>
            <rFont val="Tahoma"/>
            <family val="2"/>
          </rPr>
          <t xml:space="preserve">Source: </t>
        </r>
        <r>
          <rPr>
            <sz val="8"/>
            <color indexed="81"/>
            <rFont val="Tahoma"/>
            <family val="2"/>
          </rPr>
          <t>WW_corporate_tax_guide_2007.pdf,Page 1038</t>
        </r>
        <r>
          <rPr>
            <sz val="8"/>
            <color indexed="81"/>
            <rFont val="Tahoma"/>
            <family val="2"/>
          </rPr>
          <t xml:space="preserve">
</t>
        </r>
      </text>
    </comment>
    <comment ref="H166" authorId="0" shapeId="0">
      <text>
        <r>
          <rPr>
            <sz val="8"/>
            <color indexed="81"/>
            <rFont val="Tahoma"/>
            <family val="2"/>
          </rPr>
          <t xml:space="preserve">Enterprise Income tax rate
</t>
        </r>
        <r>
          <rPr>
            <b/>
            <sz val="8"/>
            <color indexed="81"/>
            <rFont val="Tahoma"/>
            <family val="2"/>
          </rPr>
          <t xml:space="preserve">Source: </t>
        </r>
        <r>
          <rPr>
            <sz val="8"/>
            <color indexed="81"/>
            <rFont val="Tahoma"/>
            <family val="2"/>
          </rPr>
          <t>WW_corporate_tax_guide_2008.pdf,Page 2184</t>
        </r>
        <r>
          <rPr>
            <sz val="8"/>
            <color indexed="81"/>
            <rFont val="Tahoma"/>
            <family val="2"/>
          </rPr>
          <t xml:space="preserve">
</t>
        </r>
      </text>
    </comment>
    <comment ref="I166" authorId="0" shapeId="0">
      <text>
        <r>
          <rPr>
            <sz val="8"/>
            <color indexed="81"/>
            <rFont val="Tahoma"/>
            <family val="2"/>
          </rPr>
          <t>worldwide corporate tax guide 2009.pdf,Page 1132</t>
        </r>
        <r>
          <rPr>
            <sz val="8"/>
            <color indexed="81"/>
            <rFont val="Tahoma"/>
            <family val="2"/>
          </rPr>
          <t xml:space="preserve">
</t>
        </r>
      </text>
    </comment>
    <comment ref="J166" authorId="0" shapeId="0">
      <text>
        <r>
          <rPr>
            <sz val="8"/>
            <color indexed="81"/>
            <rFont val="Tahoma"/>
            <family val="2"/>
          </rPr>
          <t xml:space="preserve">2010 Corporate Tax Guide.pdf,Page 1193
</t>
        </r>
        <r>
          <rPr>
            <sz val="8"/>
            <color indexed="81"/>
            <rFont val="Tahoma"/>
            <family val="2"/>
          </rPr>
          <t xml:space="preserve">
</t>
        </r>
      </text>
    </comment>
    <comment ref="K166" authorId="0" shapeId="0">
      <text>
        <r>
          <rPr>
            <sz val="8"/>
            <color indexed="81"/>
            <rFont val="Tahoma"/>
            <family val="2"/>
          </rPr>
          <t xml:space="preserve">Worldwide_corporate_tax_guide_2011.pdf.Page1266
</t>
        </r>
        <r>
          <rPr>
            <sz val="8"/>
            <color indexed="81"/>
            <rFont val="Tahoma"/>
            <family val="2"/>
          </rPr>
          <t xml:space="preserve">
</t>
        </r>
      </text>
    </comment>
    <comment ref="L166" authorId="0" shapeId="0">
      <text>
        <r>
          <rPr>
            <sz val="8"/>
            <color indexed="81"/>
            <rFont val="Tahoma"/>
            <family val="2"/>
          </rPr>
          <t>Worldwide_Corporate_tax_guide_2012.pdf,Page 1333</t>
        </r>
        <r>
          <rPr>
            <sz val="8"/>
            <color indexed="81"/>
            <rFont val="Tahoma"/>
            <family val="2"/>
          </rPr>
          <t xml:space="preserve">
</t>
        </r>
      </text>
    </comment>
    <comment ref="M166" authorId="0" shapeId="0">
      <text>
        <r>
          <rPr>
            <b/>
            <sz val="8"/>
            <color indexed="81"/>
            <rFont val="Tahoma"/>
            <family val="2"/>
          </rPr>
          <t>Ernst &amp; Young:</t>
        </r>
        <r>
          <rPr>
            <sz val="8"/>
            <color indexed="81"/>
            <rFont val="Tahoma"/>
            <family val="2"/>
          </rPr>
          <t xml:space="preserve">
Worldwide_corporate_tax_guide_2013.pdf
Pg 1466</t>
        </r>
      </text>
    </comment>
    <comment ref="N166" authorId="0" shapeId="0">
      <text>
        <r>
          <rPr>
            <b/>
            <sz val="8"/>
            <color indexed="81"/>
            <rFont val="Tahoma"/>
            <family val="2"/>
          </rPr>
          <t>Ernst &amp; Young:</t>
        </r>
        <r>
          <rPr>
            <sz val="8"/>
            <color indexed="81"/>
            <rFont val="Tahoma"/>
            <family val="2"/>
          </rPr>
          <t xml:space="preserve">
Worldwide_corporate_tax_guide_2014.pdf
Pg 1540</t>
        </r>
      </text>
    </comment>
    <comment ref="I409" authorId="1" shapeId="0">
      <text>
        <r>
          <rPr>
            <sz val="8"/>
            <color indexed="81"/>
            <rFont val="Tahoma"/>
            <family val="2"/>
          </rPr>
          <t>Leave this as 0 to provide a minimum floor.</t>
        </r>
        <r>
          <rPr>
            <sz val="8"/>
            <color indexed="81"/>
            <rFont val="Tahoma"/>
            <family val="2"/>
          </rPr>
          <t xml:space="preserve">
</t>
        </r>
      </text>
    </comment>
    <comment ref="I425" authorId="1" shapeId="0">
      <text>
        <r>
          <rPr>
            <sz val="8"/>
            <color indexed="81"/>
            <rFont val="Tahoma"/>
            <family val="2"/>
          </rPr>
          <t>Leave this as 0 to provide a minimum floor.</t>
        </r>
        <r>
          <rPr>
            <sz val="8"/>
            <color indexed="81"/>
            <rFont val="Tahoma"/>
            <family val="2"/>
          </rPr>
          <t xml:space="preserve">
</t>
        </r>
      </text>
    </comment>
    <comment ref="J435" authorId="1" shapeId="0">
      <text>
        <r>
          <rPr>
            <sz val="8"/>
            <color indexed="81"/>
            <rFont val="Tahoma"/>
            <family val="2"/>
          </rPr>
          <t xml:space="preserve">The highest is 329,725.255. The 999,999 gives plenty of ceiling for anything that might be bigger than the highest.
</t>
        </r>
      </text>
    </comment>
    <comment ref="I441" authorId="1" shapeId="0">
      <text>
        <r>
          <rPr>
            <sz val="8"/>
            <color indexed="81"/>
            <rFont val="Tahoma"/>
            <family val="2"/>
          </rPr>
          <t>Leave this as 0 to provide a minimum floor.</t>
        </r>
        <r>
          <rPr>
            <sz val="8"/>
            <color indexed="81"/>
            <rFont val="Tahoma"/>
            <family val="2"/>
          </rPr>
          <t xml:space="preserve">
</t>
        </r>
      </text>
    </comment>
    <comment ref="I457" authorId="1" shapeId="0">
      <text>
        <r>
          <rPr>
            <sz val="8"/>
            <color indexed="81"/>
            <rFont val="Tahoma"/>
            <family val="2"/>
          </rPr>
          <t>Leave this as 0 to provide a minimum floor.</t>
        </r>
        <r>
          <rPr>
            <sz val="8"/>
            <color indexed="81"/>
            <rFont val="Tahoma"/>
            <family val="2"/>
          </rPr>
          <t xml:space="preserve">
</t>
        </r>
      </text>
    </comment>
    <comment ref="I473" authorId="1" shapeId="0">
      <text>
        <r>
          <rPr>
            <sz val="8"/>
            <color indexed="81"/>
            <rFont val="Tahoma"/>
            <family val="2"/>
          </rPr>
          <t>Leave this as 0 to provide a minimum floor.</t>
        </r>
        <r>
          <rPr>
            <sz val="8"/>
            <color indexed="81"/>
            <rFont val="Tahoma"/>
            <family val="2"/>
          </rPr>
          <t xml:space="preserve">
</t>
        </r>
      </text>
    </comment>
    <comment ref="I489" authorId="1" shapeId="0">
      <text>
        <r>
          <rPr>
            <sz val="8"/>
            <color indexed="81"/>
            <rFont val="Tahoma"/>
            <family val="2"/>
          </rPr>
          <t>Leave this as 0 to provide a minimum floor.</t>
        </r>
        <r>
          <rPr>
            <sz val="8"/>
            <color indexed="81"/>
            <rFont val="Tahoma"/>
            <family val="2"/>
          </rPr>
          <t xml:space="preserve">
</t>
        </r>
      </text>
    </comment>
    <comment ref="I505" authorId="1" shapeId="0">
      <text>
        <r>
          <rPr>
            <sz val="8"/>
            <color indexed="81"/>
            <rFont val="Tahoma"/>
            <family val="2"/>
          </rPr>
          <t>Leave this as 0 to provide a minimum floor.</t>
        </r>
        <r>
          <rPr>
            <sz val="8"/>
            <color indexed="81"/>
            <rFont val="Tahoma"/>
            <family val="2"/>
          </rPr>
          <t xml:space="preserve">
</t>
        </r>
      </text>
    </comment>
    <comment ref="I521" authorId="1" shapeId="0">
      <text>
        <r>
          <rPr>
            <sz val="8"/>
            <color indexed="81"/>
            <rFont val="Tahoma"/>
            <family val="2"/>
          </rPr>
          <t>Leave this as 0 to provide a minimum floor.</t>
        </r>
        <r>
          <rPr>
            <sz val="8"/>
            <color indexed="81"/>
            <rFont val="Tahoma"/>
            <family val="2"/>
          </rPr>
          <t xml:space="preserve">
</t>
        </r>
      </text>
    </comment>
    <comment ref="I537" authorId="1" shapeId="0">
      <text>
        <r>
          <rPr>
            <sz val="8"/>
            <color indexed="81"/>
            <rFont val="Tahoma"/>
            <family val="2"/>
          </rPr>
          <t>Leave this as 0 to provide a minimum floor.</t>
        </r>
        <r>
          <rPr>
            <sz val="8"/>
            <color indexed="81"/>
            <rFont val="Tahoma"/>
            <family val="2"/>
          </rPr>
          <t xml:space="preserve">
</t>
        </r>
      </text>
    </comment>
  </commentList>
</comments>
</file>

<file path=xl/sharedStrings.xml><?xml version="1.0" encoding="utf-8"?>
<sst xmlns="http://schemas.openxmlformats.org/spreadsheetml/2006/main" count="8231" uniqueCount="3116">
  <si>
    <t>Error Check</t>
  </si>
  <si>
    <t>Error checks</t>
  </si>
  <si>
    <t xml:space="preserve">TOTAL WORKSHEETS IN ERROR: </t>
  </si>
  <si>
    <t>WORKSHEETS CHECK</t>
  </si>
  <si>
    <t>INPUTS CHECK</t>
  </si>
  <si>
    <t>Double-click to go to sheet</t>
  </si>
  <si>
    <t>Error Count</t>
  </si>
  <si>
    <t>Flag</t>
  </si>
  <si>
    <t>Input</t>
  </si>
  <si>
    <t>Additional Information:</t>
  </si>
  <si>
    <t>Tolerance for error</t>
  </si>
  <si>
    <t>Unaccounted other adjustments:</t>
  </si>
  <si>
    <t>Red Alert warning on sheets</t>
  </si>
  <si>
    <t>Guideline Company's 1-10</t>
  </si>
  <si>
    <t>Enable</t>
  </si>
  <si>
    <t>Guideline Company's 11-15</t>
  </si>
  <si>
    <t>Difference in Expected and Cap IQ values:</t>
  </si>
  <si>
    <t>n</t>
  </si>
  <si>
    <t>Page end</t>
  </si>
  <si>
    <t>EY Yellow R255 G230 B0</t>
  </si>
  <si>
    <t>START page</t>
  </si>
  <si>
    <t>General Assumptions and Data</t>
  </si>
  <si>
    <t>Subject Company</t>
  </si>
  <si>
    <t>Headings of each sheet</t>
  </si>
  <si>
    <t></t>
  </si>
  <si>
    <t>First line: Client name</t>
  </si>
  <si>
    <t>Second line:  [Your description]</t>
  </si>
  <si>
    <t xml:space="preserve">Third line: </t>
  </si>
  <si>
    <t>Description as shown on each sheet</t>
  </si>
  <si>
    <t>Valuation date</t>
  </si>
  <si>
    <t xml:space="preserve">Fourth line: </t>
  </si>
  <si>
    <t>Estimation of value as of</t>
  </si>
  <si>
    <t>Fifth line:</t>
  </si>
  <si>
    <t>Heading for conclusion of value</t>
  </si>
  <si>
    <t>Description of scope</t>
  </si>
  <si>
    <t>Recommended value</t>
  </si>
  <si>
    <t>Enter ticker if Subj Co is public</t>
  </si>
  <si>
    <t>Valuation date settings and other settings</t>
  </si>
  <si>
    <t>Set number of forecast years</t>
  </si>
  <si>
    <t>Note: This is the number of FULL years; the entry does NOT include the count for the stub period, if any</t>
  </si>
  <si>
    <t>Last fiscal year end (LFY)</t>
  </si>
  <si>
    <t>First forecast fiscal year end</t>
  </si>
  <si>
    <t>Year-to-Date (YTD) date</t>
  </si>
  <si>
    <t>Is there a Stub period?</t>
  </si>
  <si>
    <t>Months in Stub period</t>
  </si>
  <si>
    <t>Currency code</t>
  </si>
  <si>
    <t>Currency name</t>
  </si>
  <si>
    <t>Currency sumbol</t>
  </si>
  <si>
    <t>Currency to use for Subject Company</t>
  </si>
  <si>
    <t>USD</t>
  </si>
  <si>
    <t>Scale</t>
  </si>
  <si>
    <t>Millions</t>
  </si>
  <si>
    <t>Regional label conventions</t>
  </si>
  <si>
    <t>US format (TIC, Leverage)</t>
  </si>
  <si>
    <t>Print in DRAFT mode</t>
  </si>
  <si>
    <t>Y</t>
  </si>
  <si>
    <t>DRAFT footnote wording</t>
  </si>
  <si>
    <t>FINAL footnote wording</t>
  </si>
  <si>
    <t>Depreciation, amortization and tax settings</t>
  </si>
  <si>
    <t>Life (yrs)</t>
  </si>
  <si>
    <t>Method</t>
  </si>
  <si>
    <t>Depreciation of last hsitorical Net PPE</t>
  </si>
  <si>
    <t>Straight-line</t>
  </si>
  <si>
    <t>Depreciation of forecast capital expenditures</t>
  </si>
  <si>
    <t>Use TAB for US-based taxable transaction?</t>
  </si>
  <si>
    <t>N</t>
  </si>
  <si>
    <t>Allow tax benefits on negative EBIT?</t>
  </si>
  <si>
    <t>Allow such tax benefits for enterprises that are subsidiaries of profitable parents (who can use the operating losses to offset their taxes). For standalone enterprises, do not allow.</t>
  </si>
  <si>
    <t>Select control premium</t>
  </si>
  <si>
    <t>Equity control premium</t>
  </si>
  <si>
    <t xml:space="preserve">Hyperlink to screening for equity control </t>
  </si>
  <si>
    <t>DCF discount factors</t>
  </si>
  <si>
    <t>Fraction of year basis</t>
  </si>
  <si>
    <t>Actual/Actual</t>
  </si>
  <si>
    <t>No of days in Year</t>
  </si>
  <si>
    <t>Stub Weight Factor</t>
  </si>
  <si>
    <t>No of periods: mid-period method to valuation date</t>
  </si>
  <si>
    <t>No of periods: period-end method to valuation date</t>
  </si>
  <si>
    <t>Mid-period PV factors for FCF and growth TV</t>
  </si>
  <si>
    <t>Period-end PV factors for TV by multiples</t>
  </si>
  <si>
    <t>30/360</t>
  </si>
  <si>
    <t>DebtSetNo</t>
  </si>
  <si>
    <t>Capital IQ Data Sheet</t>
  </si>
  <si>
    <t>DO NOT TOUCH. This is used for the lookup</t>
  </si>
  <si>
    <t>Dropdown list of market indices</t>
  </si>
  <si>
    <t>Guideline public company data</t>
  </si>
  <si>
    <t>ReturnToRanking</t>
  </si>
  <si>
    <t>alibaba</t>
  </si>
  <si>
    <t>Amortization</t>
  </si>
  <si>
    <t>CountryName</t>
  </si>
  <si>
    <t>CountryCode</t>
  </si>
  <si>
    <t>CountryMarket</t>
  </si>
  <si>
    <t>CountryIndex</t>
  </si>
  <si>
    <t>CountryIndexCode</t>
  </si>
  <si>
    <t>CountryCurrencyCode</t>
  </si>
  <si>
    <t>CountryCurrencySymbol</t>
  </si>
  <si>
    <t>CountryCurrencyName</t>
  </si>
  <si>
    <t>CountryCurrencyNameUnique</t>
  </si>
  <si>
    <t>CountryCurrencySymbolUnique</t>
  </si>
  <si>
    <t xml:space="preserve">Codename </t>
  </si>
  <si>
    <t>Ranking</t>
  </si>
  <si>
    <t>Assets</t>
  </si>
  <si>
    <t>CapIQRunning</t>
  </si>
  <si>
    <t>Done</t>
  </si>
  <si>
    <t>Assets /
equity</t>
  </si>
  <si>
    <t>Country</t>
  </si>
  <si>
    <t>Code</t>
  </si>
  <si>
    <t>Type</t>
  </si>
  <si>
    <t>Index name</t>
  </si>
  <si>
    <t>CapIQ code</t>
  </si>
  <si>
    <t>Index Currency</t>
  </si>
  <si>
    <t>Symbol</t>
  </si>
  <si>
    <t>Full Currency Name</t>
  </si>
  <si>
    <t>Unique Currency Name</t>
  </si>
  <si>
    <t>Unique Currency</t>
  </si>
  <si>
    <t>Parameter</t>
  </si>
  <si>
    <t>Financial/Estimate</t>
  </si>
  <si>
    <t>Market Data</t>
  </si>
  <si>
    <t>Multiples</t>
  </si>
  <si>
    <t>Events</t>
  </si>
  <si>
    <t>Key Devs</t>
  </si>
  <si>
    <t>Transactions</t>
  </si>
  <si>
    <t>Quick Match</t>
  </si>
  <si>
    <t>Constituents</t>
  </si>
  <si>
    <t>Dividend</t>
  </si>
  <si>
    <t>Ticker</t>
  </si>
  <si>
    <t>Capital Expenditure</t>
  </si>
  <si>
    <t>UNITED STATES</t>
  </si>
  <si>
    <t>US</t>
  </si>
  <si>
    <t>US:  S&amp;P 500 Index</t>
  </si>
  <si>
    <t>^SPX</t>
  </si>
  <si>
    <t>$</t>
  </si>
  <si>
    <t>United States Dollar</t>
  </si>
  <si>
    <t>Filing</t>
  </si>
  <si>
    <t>Identifier</t>
  </si>
  <si>
    <t>Download stamp:</t>
  </si>
  <si>
    <t>Alibaba Group Holding Limited</t>
  </si>
  <si>
    <t>IQ42083601</t>
  </si>
  <si>
    <t>Cash &amp; ST investments</t>
  </si>
  <si>
    <t>CANADA</t>
  </si>
  <si>
    <t>CA</t>
  </si>
  <si>
    <t>CANADA:  TSX 60 Index</t>
  </si>
  <si>
    <t>IQ2671807</t>
  </si>
  <si>
    <t>CAD</t>
  </si>
  <si>
    <t>Canadian Dollar</t>
  </si>
  <si>
    <t>--------------------------------</t>
  </si>
  <si>
    <t>Metric</t>
  </si>
  <si>
    <t>Go to:</t>
  </si>
  <si>
    <t>Alibaba.com Limited</t>
  </si>
  <si>
    <t>IQ428457</t>
  </si>
  <si>
    <t>Cash &amp; ST Investments Quarterly</t>
  </si>
  <si>
    <t>Developed Markets</t>
  </si>
  <si>
    <t>Developed Markets: MSCI EAFE</t>
  </si>
  <si>
    <t>IQ20246358</t>
  </si>
  <si>
    <t>US Dollar</t>
  </si>
  <si>
    <t>Period Type</t>
  </si>
  <si>
    <t>Start Date</t>
  </si>
  <si>
    <t>BLANK</t>
  </si>
  <si>
    <t>Start Rank</t>
  </si>
  <si>
    <t>Alibaba.Com, Inc.</t>
  </si>
  <si>
    <t>IQ38707079</t>
  </si>
  <si>
    <t>Check for amended filings</t>
  </si>
  <si>
    <t>Emerging Markets</t>
  </si>
  <si>
    <t>Emerging Markets:  MSCI Emerging Markets</t>
  </si>
  <si>
    <t>IQ20246097</t>
  </si>
  <si>
    <t>As of Date</t>
  </si>
  <si>
    <t>End Date</t>
  </si>
  <si>
    <t>Currency</t>
  </si>
  <si>
    <t>End Rank</t>
  </si>
  <si>
    <t>Guideline public company selection</t>
  </si>
  <si>
    <t>Alibaba Pictures Group Limited</t>
  </si>
  <si>
    <t>IQ142011474</t>
  </si>
  <si>
    <t>Dates Quarterly</t>
  </si>
  <si>
    <t>-------------------------------------------------------------------</t>
  </si>
  <si>
    <t>Pound Sterling</t>
  </si>
  <si>
    <t>GBP</t>
  </si>
  <si>
    <t>Key Dev Type</t>
  </si>
  <si>
    <t>Conversion Mode</t>
  </si>
  <si>
    <t>Date</t>
  </si>
  <si>
    <t>Alibaba Health Information Technology Limited</t>
  </si>
  <si>
    <t>IQ4481114</t>
  </si>
  <si>
    <t>Debt (does not include pensions)</t>
  </si>
  <si>
    <t>US:  Dow Jones Industrial Average</t>
  </si>
  <si>
    <t>^DJI</t>
  </si>
  <si>
    <t>Argentine Peso</t>
  </si>
  <si>
    <t>ARS</t>
  </si>
  <si>
    <t>Comp</t>
  </si>
  <si>
    <t>Enter reference ticker for QuickComp</t>
  </si>
  <si>
    <t>Data mode</t>
  </si>
  <si>
    <t>F</t>
  </si>
  <si>
    <t>"P"=Period [VISTA Default],"F" = Filing</t>
  </si>
  <si>
    <t>WMTM Equipamentos de Gases Ltda.</t>
  </si>
  <si>
    <t>IQ46337811</t>
  </si>
  <si>
    <t>Debt Quarterly</t>
  </si>
  <si>
    <t>US:  NASDAQ-100 Index</t>
  </si>
  <si>
    <t>^NDX</t>
  </si>
  <si>
    <t>Australian Dollar</t>
  </si>
  <si>
    <t>AUD</t>
  </si>
  <si>
    <t>Asc/Desc</t>
  </si>
  <si>
    <t>Reporting type</t>
  </si>
  <si>
    <t>L</t>
  </si>
  <si>
    <t>"L" = Latest [VISTA default]</t>
  </si>
  <si>
    <t>Depreciation</t>
  </si>
  <si>
    <t>US: NYSE Composite Index</t>
  </si>
  <si>
    <t>^NYA</t>
  </si>
  <si>
    <t>Euro</t>
  </si>
  <si>
    <t>EUR</t>
  </si>
  <si>
    <t>Frequency</t>
  </si>
  <si>
    <t>FX conversion mode</t>
  </si>
  <si>
    <t>C</t>
  </si>
  <si>
    <t xml:space="preserve">"C"=Current [default], "H"=Historical </t>
  </si>
  <si>
    <t>EBIT</t>
  </si>
  <si>
    <t>US:  Russell 2000 Index</t>
  </si>
  <si>
    <t>^RUT</t>
  </si>
  <si>
    <t>Bangladesh Taka</t>
  </si>
  <si>
    <t>BDT</t>
  </si>
  <si>
    <t>Label</t>
  </si>
  <si>
    <t>DO NOT DELETE</t>
  </si>
  <si>
    <t>EBIT /
revenues</t>
  </si>
  <si>
    <t>US:  Wilshire 5000</t>
  </si>
  <si>
    <t>IQ2672010</t>
  </si>
  <si>
    <t>Brazilian Real</t>
  </si>
  <si>
    <t>BRL</t>
  </si>
  <si>
    <t>Currency for run:</t>
  </si>
  <si>
    <t>Hard coded values</t>
  </si>
  <si>
    <t>Formulas</t>
  </si>
  <si>
    <t>EBIT growth</t>
  </si>
  <si>
    <t>UNITED KINGDOM</t>
  </si>
  <si>
    <t>GB</t>
  </si>
  <si>
    <t>UK:  FTSE All-Share Index (GBP)</t>
  </si>
  <si>
    <t>^ASX</t>
  </si>
  <si>
    <t>£</t>
  </si>
  <si>
    <t>Chilean Peso</t>
  </si>
  <si>
    <t>CLP</t>
  </si>
  <si>
    <t>Valuation date:</t>
  </si>
  <si>
    <t>TickersValued</t>
  </si>
  <si>
    <t>GCNamesValued</t>
  </si>
  <si>
    <t>GCNamesCleaned:</t>
  </si>
  <si>
    <t>GCNamesToSort</t>
  </si>
  <si>
    <t>AlphabetizedTickers</t>
  </si>
  <si>
    <t>EBIT margin</t>
  </si>
  <si>
    <t>UK:  FTSE 100 Index</t>
  </si>
  <si>
    <t>IQ20923775</t>
  </si>
  <si>
    <t>Hong Kong Dollar</t>
  </si>
  <si>
    <t>HKD</t>
  </si>
  <si>
    <t>Copy paste value</t>
  </si>
  <si>
    <t>Alphabetized tickers</t>
  </si>
  <si>
    <t>EBITDA</t>
  </si>
  <si>
    <t>UK: LSE Alternative Investment Market</t>
  </si>
  <si>
    <t>IQ20246562</t>
  </si>
  <si>
    <t>Chinese Yuan</t>
  </si>
  <si>
    <t>CNY</t>
  </si>
  <si>
    <t>Trading</t>
  </si>
  <si>
    <t>S&amp;P long-term</t>
  </si>
  <si>
    <t>Formulas to</t>
  </si>
  <si>
    <t>GCNames</t>
  </si>
  <si>
    <t xml:space="preserve">to copy back as </t>
  </si>
  <si>
    <t>ID</t>
  </si>
  <si>
    <t>EBITDA growth</t>
  </si>
  <si>
    <t>Colombian Peso</t>
  </si>
  <si>
    <t>COP</t>
  </si>
  <si>
    <t>Headquarters</t>
  </si>
  <si>
    <t>in Model</t>
  </si>
  <si>
    <t>Trading Country beta indices in use</t>
  </si>
  <si>
    <t>currency</t>
  </si>
  <si>
    <t>Index currency</t>
  </si>
  <si>
    <t>company rating</t>
  </si>
  <si>
    <t>Industry</t>
  </si>
  <si>
    <t>Index code</t>
  </si>
  <si>
    <t>Trading Country</t>
  </si>
  <si>
    <t>Headquarter Currency</t>
  </si>
  <si>
    <t>Tickers here</t>
  </si>
  <si>
    <t>GCNames here</t>
  </si>
  <si>
    <t>remove "The"</t>
  </si>
  <si>
    <t>here then SORT</t>
  </si>
  <si>
    <t>values to CompsList</t>
  </si>
  <si>
    <t>TradingCountryBeta</t>
  </si>
  <si>
    <t>CapitalIQBeta</t>
  </si>
  <si>
    <t>EBITDA margin</t>
  </si>
  <si>
    <t>ARGENTINA</t>
  </si>
  <si>
    <t>AR</t>
  </si>
  <si>
    <t>ARGENTINA: Argentina Merval Index</t>
  </si>
  <si>
    <t>^MERV</t>
  </si>
  <si>
    <t>Croatian Kuna</t>
  </si>
  <si>
    <t>HRK</t>
  </si>
  <si>
    <t>LSE:BLT</t>
  </si>
  <si>
    <t>BHP Billiton plc</t>
  </si>
  <si>
    <t>Anglo American plc</t>
  </si>
  <si>
    <t>Effective Tax Rate</t>
  </si>
  <si>
    <t>ARGENTINA: Bolsa Index</t>
  </si>
  <si>
    <t>IQ32199917</t>
  </si>
  <si>
    <t>Czech Koruna</t>
  </si>
  <si>
    <t>CZK</t>
  </si>
  <si>
    <t>LSE:RIO</t>
  </si>
  <si>
    <t>Rio Tinto plc</t>
  </si>
  <si>
    <t>PLL</t>
  </si>
  <si>
    <t>Interest expense</t>
  </si>
  <si>
    <t>AUSTRALIA</t>
  </si>
  <si>
    <t>AU</t>
  </si>
  <si>
    <t>AUSTRALIA:  ASX 100 Index</t>
  </si>
  <si>
    <t>^XTO</t>
  </si>
  <si>
    <t>Danish Krone</t>
  </si>
  <si>
    <t>DKK</t>
  </si>
  <si>
    <t>LSE:GLEN</t>
  </si>
  <si>
    <t>Glencore Plc</t>
  </si>
  <si>
    <t>Boliden AB</t>
  </si>
  <si>
    <t>Inventory</t>
  </si>
  <si>
    <t>AUSTRALIA:  ASX 200 Index</t>
  </si>
  <si>
    <t>IQ20246595</t>
  </si>
  <si>
    <t>Egyptian Pound</t>
  </si>
  <si>
    <t>EGP</t>
  </si>
  <si>
    <t>LSE:KAZ</t>
  </si>
  <si>
    <t>KAZ Minerals plc</t>
  </si>
  <si>
    <t>Market capital</t>
  </si>
  <si>
    <t>AUSTRALIA:  ASX All Ordinaries Index</t>
  </si>
  <si>
    <t>IQ20246496</t>
  </si>
  <si>
    <t>Hungarian Forint</t>
  </si>
  <si>
    <t>HUF</t>
  </si>
  <si>
    <t>TSE:5713</t>
  </si>
  <si>
    <t>Sumitomo Metal Mining Co., Ltd.</t>
  </si>
  <si>
    <t>Market capital Quarterly</t>
  </si>
  <si>
    <t>AUSTRALIA:  ASX Small Ordinaries Index</t>
  </si>
  <si>
    <t>IQ32199971</t>
  </si>
  <si>
    <t>Indian Rupee</t>
  </si>
  <si>
    <t>INR</t>
  </si>
  <si>
    <t>ASX:S32</t>
  </si>
  <si>
    <t>South32 Limited</t>
  </si>
  <si>
    <t>Nyrstar NV</t>
  </si>
  <si>
    <t>Market equity</t>
  </si>
  <si>
    <t>AUSTRIA</t>
  </si>
  <si>
    <t>AT</t>
  </si>
  <si>
    <t>AUSTRIA:  WBI Index</t>
  </si>
  <si>
    <t>IQ61939790</t>
  </si>
  <si>
    <t>€</t>
  </si>
  <si>
    <t>Indonesian Rupiah</t>
  </si>
  <si>
    <t>IDR</t>
  </si>
  <si>
    <t>OM:BOL</t>
  </si>
  <si>
    <t>Market equity Quarterly</t>
  </si>
  <si>
    <t>BANGLADESH</t>
  </si>
  <si>
    <t>BD</t>
  </si>
  <si>
    <t>BANGLADESH: Dhaka Stock Exchange General Index</t>
  </si>
  <si>
    <t>IQ139948986</t>
  </si>
  <si>
    <t>Israeli New Shekel</t>
  </si>
  <si>
    <t>ILS</t>
  </si>
  <si>
    <t>LSE:AAL</t>
  </si>
  <si>
    <t>Minority interest I/S</t>
  </si>
  <si>
    <t>BELGIUM</t>
  </si>
  <si>
    <t>BE</t>
  </si>
  <si>
    <t>BELGIUM:  BEL 20 Index</t>
  </si>
  <si>
    <t>IQ20246640</t>
  </si>
  <si>
    <t>Jamaican Dollar</t>
  </si>
  <si>
    <t>JMD</t>
  </si>
  <si>
    <t>SEHK:2899</t>
  </si>
  <si>
    <t>Zijin Mining Group Company Limited</t>
  </si>
  <si>
    <t>Minority interest B/S</t>
  </si>
  <si>
    <t>BRAZIL</t>
  </si>
  <si>
    <t>BR</t>
  </si>
  <si>
    <t>BRAZIL: IBRX Index</t>
  </si>
  <si>
    <t>^IBXX</t>
  </si>
  <si>
    <t>Japanese Yen</t>
  </si>
  <si>
    <t>JPY</t>
  </si>
  <si>
    <t>ENXTBR:NYR</t>
  </si>
  <si>
    <t>S&amp;P 500 for all U.S. stocks</t>
  </si>
  <si>
    <t>Minority interest Quarterly</t>
  </si>
  <si>
    <t>BRAZIL: Brazil IBOVESPA Index</t>
  </si>
  <si>
    <t>IQ32199944</t>
  </si>
  <si>
    <t>Kazakhstan Tenge</t>
  </si>
  <si>
    <t>KZT</t>
  </si>
  <si>
    <t>--</t>
  </si>
  <si>
    <t>zzzz</t>
  </si>
  <si>
    <t>S&amp;P/TSX Composite for all Canadian Stocks</t>
  </si>
  <si>
    <t>Net debt</t>
  </si>
  <si>
    <t>BULGARIA</t>
  </si>
  <si>
    <t>BUL</t>
  </si>
  <si>
    <t xml:space="preserve">BULGARIA: SOFIX Index </t>
  </si>
  <si>
    <t>IQ50960003</t>
  </si>
  <si>
    <t>BGN</t>
  </si>
  <si>
    <t>Bulgarian Lev</t>
  </si>
  <si>
    <t>Malaysian Ringgit</t>
  </si>
  <si>
    <t>MYR</t>
  </si>
  <si>
    <t>MSCI Emerging Markets for all other international stocks</t>
  </si>
  <si>
    <t>Net debt / Market equity</t>
  </si>
  <si>
    <t>CANADA:  S&amp;P/TSX</t>
  </si>
  <si>
    <t>^GSPTSE</t>
  </si>
  <si>
    <t>Mexican Peso</t>
  </si>
  <si>
    <t>MXN</t>
  </si>
  <si>
    <t>MSCI EAFE for Developed Markets</t>
  </si>
  <si>
    <t>Net debt Quarterly</t>
  </si>
  <si>
    <t>Morocco Dirham</t>
  </si>
  <si>
    <t>MAD</t>
  </si>
  <si>
    <t>Net debt Quarterly/Market capital</t>
  </si>
  <si>
    <t>CANADA:  TSX Composite Index</t>
  </si>
  <si>
    <t>IQ2671800</t>
  </si>
  <si>
    <t>New Zealand Dollar</t>
  </si>
  <si>
    <t>NZD</t>
  </si>
  <si>
    <t>Net income</t>
  </si>
  <si>
    <t>CHILE</t>
  </si>
  <si>
    <t>CL</t>
  </si>
  <si>
    <t>CHILE: IPSA Index</t>
  </si>
  <si>
    <t>Nigerian Naira</t>
  </si>
  <si>
    <t>NGN</t>
  </si>
  <si>
    <t>Net income /
pretax income</t>
  </si>
  <si>
    <t>CHINA</t>
  </si>
  <si>
    <t>CN</t>
  </si>
  <si>
    <t>CHINA:  Shanghai Stock Exchange A Share Index</t>
  </si>
  <si>
    <t>^SHSE-A</t>
  </si>
  <si>
    <t>¥</t>
  </si>
  <si>
    <t>Norwegian Krone</t>
  </si>
  <si>
    <t>NOK</t>
  </si>
  <si>
    <t>Net margin</t>
  </si>
  <si>
    <t>CHINA:  Shenzhen Stock Exchange A Share Index</t>
  </si>
  <si>
    <t>^SZSE-A</t>
  </si>
  <si>
    <t>Pakistani Rupee</t>
  </si>
  <si>
    <t>Net working capital</t>
  </si>
  <si>
    <t>CHINA:  Shanghai Stock Exchange Composite Index</t>
  </si>
  <si>
    <t>IQ20246487</t>
  </si>
  <si>
    <t>Peruvian Nuevo Sol</t>
  </si>
  <si>
    <t>PEN</t>
  </si>
  <si>
    <t>Net working capital/Revenue</t>
  </si>
  <si>
    <t>CHINA:  Hang Seng Index</t>
  </si>
  <si>
    <t>IQ20246511</t>
  </si>
  <si>
    <t>Philippine Peso</t>
  </si>
  <si>
    <t>PHP</t>
  </si>
  <si>
    <t>Pension liabilities</t>
  </si>
  <si>
    <t>CHINA:  SSE 180 Index</t>
  </si>
  <si>
    <t>IQ20246478</t>
  </si>
  <si>
    <t>Polish Zloty</t>
  </si>
  <si>
    <t>PLN</t>
  </si>
  <si>
    <t>Pensions Quarterly</t>
  </si>
  <si>
    <t>COLOMBIA</t>
  </si>
  <si>
    <t>CO</t>
  </si>
  <si>
    <t>COLOMBIA: Colombia IGBC Index</t>
  </si>
  <si>
    <t>IQ45463278</t>
  </si>
  <si>
    <t>P</t>
  </si>
  <si>
    <t>Romanian Leu</t>
  </si>
  <si>
    <t>RON</t>
  </si>
  <si>
    <t>Preferred equity</t>
  </si>
  <si>
    <t>CROATIA</t>
  </si>
  <si>
    <t>HR</t>
  </si>
  <si>
    <t xml:space="preserve">CROATIA: CROBEX </t>
  </si>
  <si>
    <t>IQ50960000</t>
  </si>
  <si>
    <t>Russian Rouble</t>
  </si>
  <si>
    <t>RUB</t>
  </si>
  <si>
    <t>Preferred equity Quarterly</t>
  </si>
  <si>
    <t>CYPRUS</t>
  </si>
  <si>
    <t>CY</t>
  </si>
  <si>
    <t>CYPRUS: CSE General Market Index</t>
  </si>
  <si>
    <t>IQ61940164</t>
  </si>
  <si>
    <t>Saudi Riyal</t>
  </si>
  <si>
    <t>Pretax income</t>
  </si>
  <si>
    <t>CZECH</t>
  </si>
  <si>
    <t>CZ</t>
  </si>
  <si>
    <t>CZECH:  Prague Stock Exchange Index</t>
  </si>
  <si>
    <t>IQ50960048</t>
  </si>
  <si>
    <t>Serbian Dinar</t>
  </si>
  <si>
    <t>RSD</t>
  </si>
  <si>
    <t>Pretax income/
EBIT</t>
  </si>
  <si>
    <t>DENMARK</t>
  </si>
  <si>
    <t>DK</t>
  </si>
  <si>
    <t>DENMARK:  KAX Index</t>
  </si>
  <si>
    <t>IQ20246601</t>
  </si>
  <si>
    <t>Singapore Dollar</t>
  </si>
  <si>
    <t>SGD</t>
  </si>
  <si>
    <t>Revenue</t>
  </si>
  <si>
    <t>South African Rand</t>
  </si>
  <si>
    <t>ZAR</t>
  </si>
  <si>
    <t>Revenue growth</t>
  </si>
  <si>
    <t>EGYPT</t>
  </si>
  <si>
    <t>EG</t>
  </si>
  <si>
    <t>EGYPT: EGX 30 Index</t>
  </si>
  <si>
    <t>IQ50960012</t>
  </si>
  <si>
    <t>South Korean Won</t>
  </si>
  <si>
    <t>KRW</t>
  </si>
  <si>
    <t>Revenues /
assets</t>
  </si>
  <si>
    <t>Swedish Krona</t>
  </si>
  <si>
    <t>SEK</t>
  </si>
  <si>
    <t>ROA</t>
  </si>
  <si>
    <t>Europe</t>
  </si>
  <si>
    <t>Europe:  Euronext 100 Index</t>
  </si>
  <si>
    <t>IQ33586729</t>
  </si>
  <si>
    <t>Swiss Franc</t>
  </si>
  <si>
    <t>CHF</t>
  </si>
  <si>
    <t>Months</t>
  </si>
  <si>
    <t>ROE</t>
  </si>
  <si>
    <t xml:space="preserve">Europe: Euronext 150 Index </t>
  </si>
  <si>
    <t>IQ33586732</t>
  </si>
  <si>
    <t>New Taiwan Dollar</t>
  </si>
  <si>
    <t>TWD</t>
  </si>
  <si>
    <t xml:space="preserve">"Forecast </t>
  </si>
  <si>
    <t>guideline co</t>
  </si>
  <si>
    <t>Tangible Book Value</t>
  </si>
  <si>
    <t>Europe:  Stoxx 600</t>
  </si>
  <si>
    <t>IQ36315063</t>
  </si>
  <si>
    <t>Thai Baht</t>
  </si>
  <si>
    <t>THB</t>
  </si>
  <si>
    <t>year 1" date</t>
  </si>
  <si>
    <t>Forecast Yr 1</t>
  </si>
  <si>
    <t>Advance</t>
  </si>
  <si>
    <t>Tax</t>
  </si>
  <si>
    <t>FINLAND</t>
  </si>
  <si>
    <t>FI</t>
  </si>
  <si>
    <t>FINLAND:  All Share Index</t>
  </si>
  <si>
    <t>IQ20246523</t>
  </si>
  <si>
    <t>Turkish Lira</t>
  </si>
  <si>
    <t>YTL</t>
  </si>
  <si>
    <t>in CIQ</t>
  </si>
  <si>
    <t>(earlier) later</t>
  </si>
  <si>
    <t>by 1 year?</t>
  </si>
  <si>
    <t>after</t>
  </si>
  <si>
    <t>FRANCE</t>
  </si>
  <si>
    <t>FR</t>
  </si>
  <si>
    <t>FRANCE:  CAC All-Tradable Index</t>
  </si>
  <si>
    <t>IQ20246604</t>
  </si>
  <si>
    <t>Ukrainian Hryvna</t>
  </si>
  <si>
    <t>UAH</t>
  </si>
  <si>
    <t>download</t>
  </si>
  <si>
    <t>vs subject co</t>
  </si>
  <si>
    <t>(Y/N)</t>
  </si>
  <si>
    <t>adjustment</t>
  </si>
  <si>
    <t>post-adjust</t>
  </si>
  <si>
    <t>FRANCE:  CAC 40 Index</t>
  </si>
  <si>
    <t>IQ20246508</t>
  </si>
  <si>
    <t>UAE Dirham</t>
  </si>
  <si>
    <t>AED</t>
  </si>
  <si>
    <t>GERMANY</t>
  </si>
  <si>
    <t>DE</t>
  </si>
  <si>
    <t>GERMANY:  DAX Price Index</t>
  </si>
  <si>
    <t>IQ50026362</t>
  </si>
  <si>
    <t>Uruguayan Peso</t>
  </si>
  <si>
    <t>UYU</t>
  </si>
  <si>
    <t>GERMANY:  DAX Performance Index</t>
  </si>
  <si>
    <t>IQ20923778</t>
  </si>
  <si>
    <t>Venezuelan Bolívar Fuerte</t>
  </si>
  <si>
    <t>VEF</t>
  </si>
  <si>
    <t>GREECE</t>
  </si>
  <si>
    <t>GR</t>
  </si>
  <si>
    <t>GREECE:  ATHEX Composite Index</t>
  </si>
  <si>
    <t>IQ46518929</t>
  </si>
  <si>
    <t>Vietnamese Dong</t>
  </si>
  <si>
    <t>VND</t>
  </si>
  <si>
    <t>Hong Kong</t>
  </si>
  <si>
    <t>HK</t>
  </si>
  <si>
    <t>HUNGARY</t>
  </si>
  <si>
    <t>HU</t>
  </si>
  <si>
    <t>HUNGARY:  Budapest Stock Exchange</t>
  </si>
  <si>
    <t>IQ36315060</t>
  </si>
  <si>
    <t>INDIA</t>
  </si>
  <si>
    <t>IN</t>
  </si>
  <si>
    <t>INDIA:  BSE 500 Index</t>
  </si>
  <si>
    <t>IQ44929124</t>
  </si>
  <si>
    <t>INDIA: BSE Sensex</t>
  </si>
  <si>
    <t>^BSESN</t>
  </si>
  <si>
    <t>INDONESIA</t>
  </si>
  <si>
    <t>INDONESIA:  Jakarta Composite Index</t>
  </si>
  <si>
    <t>IQ59677460</t>
  </si>
  <si>
    <t>Rp</t>
  </si>
  <si>
    <t>International</t>
  </si>
  <si>
    <t>International:  MSCI EAFE</t>
  </si>
  <si>
    <t>International:  MSCI World Index</t>
  </si>
  <si>
    <t>IQ2668622</t>
  </si>
  <si>
    <t>IRELAND</t>
  </si>
  <si>
    <t>IE</t>
  </si>
  <si>
    <t>IRELAND:  ISEQ Overall Index</t>
  </si>
  <si>
    <t>IQ20246502</t>
  </si>
  <si>
    <t>ISRAEL</t>
  </si>
  <si>
    <t>IL</t>
  </si>
  <si>
    <t>ISRAEL:  TA-25 Index</t>
  </si>
  <si>
    <t>IQ32199974</t>
  </si>
  <si>
    <t>ITALY</t>
  </si>
  <si>
    <t>IT</t>
  </si>
  <si>
    <t>ITALY:  MSCI Italy</t>
  </si>
  <si>
    <t>IQ20246244</t>
  </si>
  <si>
    <t>ITALY:  Milan MIB 30 Index</t>
  </si>
  <si>
    <t>IQ20246481</t>
  </si>
  <si>
    <t>JAMAICA</t>
  </si>
  <si>
    <t>JAPAN</t>
  </si>
  <si>
    <t>JP</t>
  </si>
  <si>
    <t>JAPAN:  TOPIX Index</t>
  </si>
  <si>
    <t>IQ32199947</t>
  </si>
  <si>
    <t>JAPAN:  Nikkei 225 Index</t>
  </si>
  <si>
    <t>IQ2668711</t>
  </si>
  <si>
    <t>KAZAKHSTAN</t>
  </si>
  <si>
    <t>KZ</t>
  </si>
  <si>
    <t>KAZAKHSTAN: Kazakhstan Stock Exchange Index (KASE)</t>
  </si>
  <si>
    <t>IQ84942297</t>
  </si>
  <si>
    <t>LUXEMBOURG</t>
  </si>
  <si>
    <t>LU</t>
  </si>
  <si>
    <t>LUXEMBOURG:  LuxX Index</t>
  </si>
  <si>
    <t>IQ62097146</t>
  </si>
  <si>
    <t>MALAYSIA</t>
  </si>
  <si>
    <t>MY</t>
  </si>
  <si>
    <t>MALAYSIA:  KLSE Composite Index</t>
  </si>
  <si>
    <t>IQ58987039</t>
  </si>
  <si>
    <t xml:space="preserve">MALTA </t>
  </si>
  <si>
    <t>MT</t>
  </si>
  <si>
    <t xml:space="preserve">Emerging Markets </t>
  </si>
  <si>
    <t xml:space="preserve">MALTA: Malta Stock Exchange Index  </t>
  </si>
  <si>
    <t xml:space="preserve">IQ50960006  </t>
  </si>
  <si>
    <t xml:space="preserve">EUR </t>
  </si>
  <si>
    <t>MEXICO</t>
  </si>
  <si>
    <t>MX</t>
  </si>
  <si>
    <t xml:space="preserve">MEXICO: Mexico IPC Index </t>
  </si>
  <si>
    <t>IQ39093061</t>
  </si>
  <si>
    <t>MOROCCO</t>
  </si>
  <si>
    <t>MA</t>
  </si>
  <si>
    <t>MOROCCO: MASI Index</t>
  </si>
  <si>
    <t>IQ50960015</t>
  </si>
  <si>
    <t>NETHERLANDS</t>
  </si>
  <si>
    <t>NL</t>
  </si>
  <si>
    <t>NETHERLANDS:  AEX Index</t>
  </si>
  <si>
    <t>IQ20246547</t>
  </si>
  <si>
    <t>NEW ZEALAND</t>
  </si>
  <si>
    <t>NZ</t>
  </si>
  <si>
    <t>NEW ZEALAND:  NZX 50 Index</t>
  </si>
  <si>
    <t>IQ32199989</t>
  </si>
  <si>
    <t>NIGERIA</t>
  </si>
  <si>
    <t>NG</t>
  </si>
  <si>
    <t>NIGERIA: Nigeria Stock Exchange All Shares Index</t>
  </si>
  <si>
    <t>IQT50960030</t>
  </si>
  <si>
    <t>Nordic</t>
  </si>
  <si>
    <t xml:space="preserve">Nordic: OMX NORDIC All Share </t>
  </si>
  <si>
    <t>IQ50026380</t>
  </si>
  <si>
    <t>NORWAY</t>
  </si>
  <si>
    <t>NO</t>
  </si>
  <si>
    <t>NORWAY:  OBX Index</t>
  </si>
  <si>
    <t>IQ20246625</t>
  </si>
  <si>
    <t xml:space="preserve">Use this section to advance the date considered by the Model as the "first forecast year" for guideline public company whose fiscal year end is earlier </t>
  </si>
  <si>
    <t>PAKISTAN</t>
  </si>
  <si>
    <t>PK</t>
  </si>
  <si>
    <t>PAKISTAN: MSCI Index</t>
  </si>
  <si>
    <t>IQ20246286</t>
  </si>
  <si>
    <t>than the subject company's. In this way, the sample of estimates used for the multiples is more aligned to the fiscal year end of the subject company.</t>
  </si>
  <si>
    <t>PKR</t>
  </si>
  <si>
    <t>PERU</t>
  </si>
  <si>
    <t>PE</t>
  </si>
  <si>
    <t>PERU: IGBVL Index</t>
  </si>
  <si>
    <t>IQ45463150</t>
  </si>
  <si>
    <t xml:space="preserve">Suitable guideline public company candidates for this adjustment are those marked with red in Column H above, with negative (earlier) month counts. </t>
  </si>
  <si>
    <t>PHILIPPINES</t>
  </si>
  <si>
    <t>PH</t>
  </si>
  <si>
    <t>PHILIPPINES:  PSE Composite</t>
  </si>
  <si>
    <t>IQ20246553</t>
  </si>
  <si>
    <t>Negative counts of more than 12 months may mean that the company is no longer in business or has gone private; no recent data are available.</t>
  </si>
  <si>
    <t>POLAND</t>
  </si>
  <si>
    <t>PL</t>
  </si>
  <si>
    <t>POLAND:  WIG 20 Index</t>
  </si>
  <si>
    <t>IQ20246619</t>
  </si>
  <si>
    <t>PORTUGAL</t>
  </si>
  <si>
    <t>PT</t>
  </si>
  <si>
    <t>PORTUGAL:  PSI-20 Index</t>
  </si>
  <si>
    <t>IQ20246628</t>
  </si>
  <si>
    <t>To make Model read a guideline public company's advanced estimates, enter "Y" in the guideline public company's row in Column J. All historical periods will also shift.</t>
  </si>
  <si>
    <t>ROMANIA</t>
  </si>
  <si>
    <t>RO</t>
  </si>
  <si>
    <t>ROMANIA:  Exchange Trading Index</t>
  </si>
  <si>
    <t>IQ50959994</t>
  </si>
  <si>
    <t xml:space="preserve">R </t>
  </si>
  <si>
    <t>RUSSIA</t>
  </si>
  <si>
    <t>RU</t>
  </si>
  <si>
    <t>RUSSIA:  RTS Index</t>
  </si>
  <si>
    <t>IQ20246577</t>
  </si>
  <si>
    <t>Russian Ruble</t>
  </si>
  <si>
    <t>The section works only to advance a "lagging" estimate year for guideline public company. It does not work the other way, to retard the date for</t>
  </si>
  <si>
    <t>SAUDI ARABIA</t>
  </si>
  <si>
    <t>SA</t>
  </si>
  <si>
    <t>SAUDI ARABIA: S&amp;P Pan Arab Composite</t>
  </si>
  <si>
    <t>IQ109849619</t>
  </si>
  <si>
    <t>Guideline public company whose fiscal year end is later than the subject company's.</t>
  </si>
  <si>
    <t xml:space="preserve">SERBIA </t>
  </si>
  <si>
    <t>CS</t>
  </si>
  <si>
    <t xml:space="preserve">SERBIA: Serbia Belex 15 Index  </t>
  </si>
  <si>
    <t xml:space="preserve">IQ128621853 </t>
  </si>
  <si>
    <t>SINGAPORE</t>
  </si>
  <si>
    <t>SG</t>
  </si>
  <si>
    <t>SINGAPORE:  FTSE Straits Times Index</t>
  </si>
  <si>
    <t>IQ20246514</t>
  </si>
  <si>
    <t>SINGAPORE:  Dow Jones - Singapore Stocks</t>
  </si>
  <si>
    <t>IQ2667834</t>
  </si>
  <si>
    <t xml:space="preserve"> </t>
  </si>
  <si>
    <t>Guideline public company Capital IQ data</t>
  </si>
  <si>
    <t>SLOVAKIA</t>
  </si>
  <si>
    <t>SK</t>
  </si>
  <si>
    <t>SLOVAKIA:  Slovak Share Index</t>
  </si>
  <si>
    <t>IQ50959997</t>
  </si>
  <si>
    <t>SLOVENIA</t>
  </si>
  <si>
    <t>SI</t>
  </si>
  <si>
    <t>SLOVENIA:  Blue Chip Index</t>
  </si>
  <si>
    <t>IQ50960051</t>
  </si>
  <si>
    <t>Dates</t>
  </si>
  <si>
    <t>SOUTH AFRICA</t>
  </si>
  <si>
    <t>ZA</t>
  </si>
  <si>
    <t>SOUTH AFRICA:  FTSE/JSE All Share Index</t>
  </si>
  <si>
    <t>IQ59644229</t>
  </si>
  <si>
    <t>SOUTH KOREA</t>
  </si>
  <si>
    <t>KR</t>
  </si>
  <si>
    <t>SOUTH KOREA:  Kospi Composite Index</t>
  </si>
  <si>
    <t>IQ33154424</t>
  </si>
  <si>
    <t>Fiscal year end</t>
  </si>
  <si>
    <t>Advance  Y/N</t>
  </si>
  <si>
    <t>LFY-5</t>
  </si>
  <si>
    <t>LFY-4</t>
  </si>
  <si>
    <t>LFY-3</t>
  </si>
  <si>
    <t>LFY-2</t>
  </si>
  <si>
    <t>LFY-1</t>
  </si>
  <si>
    <t>LFY</t>
  </si>
  <si>
    <t>LTM</t>
  </si>
  <si>
    <t>LTM 1 Yr ago</t>
  </si>
  <si>
    <t>NFY</t>
  </si>
  <si>
    <t>NFY+1</t>
  </si>
  <si>
    <t>NFY+2</t>
  </si>
  <si>
    <t>NFY+3</t>
  </si>
  <si>
    <t>NFY+4</t>
  </si>
  <si>
    <t>SPAIN</t>
  </si>
  <si>
    <t>ES</t>
  </si>
  <si>
    <t>SPAIN:  Ibex 35 Index</t>
  </si>
  <si>
    <t>IQ20246535</t>
  </si>
  <si>
    <t>SWEDEN</t>
  </si>
  <si>
    <t>SE</t>
  </si>
  <si>
    <t>SWEDEN:  OMX 30 Index</t>
  </si>
  <si>
    <t>IQ20246637</t>
  </si>
  <si>
    <t>SWEDEN:  OMXS All Share Index</t>
  </si>
  <si>
    <t>IQ50026440</t>
  </si>
  <si>
    <t>SWITZERLAND</t>
  </si>
  <si>
    <t>CH</t>
  </si>
  <si>
    <t>SWITZERLAND:  SMI Index</t>
  </si>
  <si>
    <t>IQ20246538</t>
  </si>
  <si>
    <t>TAIWAN</t>
  </si>
  <si>
    <t>TW</t>
  </si>
  <si>
    <t>TAIWAN:  TAIEX Index</t>
  </si>
  <si>
    <t>IQ20246520</t>
  </si>
  <si>
    <t>THAILAND</t>
  </si>
  <si>
    <t>TH</t>
  </si>
  <si>
    <t>THAILAND:  SET Index</t>
  </si>
  <si>
    <t>IQ38807257</t>
  </si>
  <si>
    <t>THAILAND:  Dow Jones - Thailand Stocks</t>
  </si>
  <si>
    <t>IQ2667888</t>
  </si>
  <si>
    <t>TURKEY</t>
  </si>
  <si>
    <t>TR</t>
  </si>
  <si>
    <t>TURKEY:  ISE National 100 Index</t>
  </si>
  <si>
    <t>IQ50960054</t>
  </si>
  <si>
    <t>TURKEY:  ISE National All Shares 100</t>
  </si>
  <si>
    <t>IQ61995443</t>
  </si>
  <si>
    <t>UKRAINE</t>
  </si>
  <si>
    <t>UA</t>
  </si>
  <si>
    <t>UKRAINE: PFTS Index</t>
  </si>
  <si>
    <t>IQ61940078</t>
  </si>
  <si>
    <t>UNITED ARAB EMIRATES</t>
  </si>
  <si>
    <t>AE</t>
  </si>
  <si>
    <t>UAE: General Index</t>
  </si>
  <si>
    <t>IQ50026344</t>
  </si>
  <si>
    <t>URUGUAY</t>
  </si>
  <si>
    <t>UY</t>
  </si>
  <si>
    <t>URUGUAY: Barclays Capital Emerging Markets</t>
  </si>
  <si>
    <t>IQ129665101</t>
  </si>
  <si>
    <t>VENEZUELA</t>
  </si>
  <si>
    <t>VE</t>
  </si>
  <si>
    <t>VENEZUELA: IBC Index</t>
  </si>
  <si>
    <t>IQ20246532</t>
  </si>
  <si>
    <t>VIETNAM</t>
  </si>
  <si>
    <t>VN</t>
  </si>
  <si>
    <t>VIETNAM: VN-Index</t>
  </si>
  <si>
    <t>IQ140310521</t>
  </si>
  <si>
    <t>VIETNAM: MSCI Vietnam</t>
  </si>
  <si>
    <t>IQ48504833</t>
  </si>
  <si>
    <t>Sample formula to get index name</t>
  </si>
  <si>
    <t>To get the index code, right click the mouse to get the short menu, click the "Insert CIQ Indentifiers"</t>
  </si>
  <si>
    <t>Search "Market Indices" in the dropdown. Type the name of the index and click "Go".</t>
  </si>
  <si>
    <t>MEDIAN OF GCs (Excludes Subj Co)</t>
  </si>
  <si>
    <t>Pink designates estimate value</t>
  </si>
  <si>
    <t>IQ_EST_DATE</t>
  </si>
  <si>
    <t>Number of days in year</t>
  </si>
  <si>
    <t>WACC</t>
  </si>
  <si>
    <t>This block for liquidity in last 12 months calculations</t>
  </si>
  <si>
    <t>Aqua</t>
  </si>
  <si>
    <t>IQ_MARKETCAP</t>
  </si>
  <si>
    <t>Data validity test</t>
  </si>
  <si>
    <t>Data validity test. If Market capital=0, note appears (value is 0)</t>
  </si>
  <si>
    <t>Blue</t>
  </si>
  <si>
    <t>Include in debt?</t>
  </si>
  <si>
    <t>1=Y, 0=N</t>
  </si>
  <si>
    <t>LFQ</t>
  </si>
  <si>
    <t>IQ_PENSION</t>
  </si>
  <si>
    <t>Trading volume</t>
  </si>
  <si>
    <t>IQ_TOTAL_DEBT</t>
  </si>
  <si>
    <t>Shares Out</t>
  </si>
  <si>
    <t>Liquidity</t>
  </si>
  <si>
    <t>IQ_CASH_ST_INVEST</t>
  </si>
  <si>
    <t>Daily liquidity</t>
  </si>
  <si>
    <t>Hist</t>
  </si>
  <si>
    <t>5-yr Average</t>
  </si>
  <si>
    <t>4-yr Average</t>
  </si>
  <si>
    <t>3-yr Average</t>
  </si>
  <si>
    <t>2-yr Average</t>
  </si>
  <si>
    <t>IQ_MINORITY_INTEREST_TOTAL</t>
  </si>
  <si>
    <t>IQ_PREF_EQUITY</t>
  </si>
  <si>
    <t>Yellow</t>
  </si>
  <si>
    <t>Green</t>
  </si>
  <si>
    <t>IQ_EBT</t>
  </si>
  <si>
    <t>IQ_INC_TAX</t>
  </si>
  <si>
    <t>Market multiples data</t>
  </si>
  <si>
    <t>See right for number of estimates in consensus</t>
  </si>
  <si>
    <t>IQ_REVENUE_EST</t>
  </si>
  <si>
    <t>NFY-1</t>
  </si>
  <si>
    <t>IQ_TOTAL_REV</t>
  </si>
  <si>
    <t>Cost of Goods Sold</t>
  </si>
  <si>
    <t>IQ_COGS</t>
  </si>
  <si>
    <t>IQ_COGS_EST</t>
  </si>
  <si>
    <t>IQ_EBITDA_EST</t>
  </si>
  <si>
    <t>IQ_EBITDA</t>
  </si>
  <si>
    <t>IQ_EBIT_EST</t>
  </si>
  <si>
    <t>IQ_EBIT</t>
  </si>
  <si>
    <t xml:space="preserve">IQ_DA_SUPPL_CF </t>
  </si>
  <si>
    <t>IQ_GW_INTAN_AMORT_CF</t>
  </si>
  <si>
    <t>IQ_INTEREST_EXP</t>
  </si>
  <si>
    <t>IQ_NI_EST</t>
  </si>
  <si>
    <t>IQ_NI</t>
  </si>
  <si>
    <t>IQ_CAPEX_EST</t>
  </si>
  <si>
    <t>IQ_CAPEX</t>
  </si>
  <si>
    <t>Balance sheet items</t>
  </si>
  <si>
    <t>Accounts receivable</t>
  </si>
  <si>
    <t>IQ_TOTAL_RECEIV</t>
  </si>
  <si>
    <t>IQ_INVENTORY</t>
  </si>
  <si>
    <t>Accounts payable</t>
  </si>
  <si>
    <t>IQ_AP</t>
  </si>
  <si>
    <t>IQ_NET_WORKING_CAP</t>
  </si>
  <si>
    <t>IQ_TOTAL_ASSETS</t>
  </si>
  <si>
    <t>Total equity</t>
  </si>
  <si>
    <t>IQ_TOTAL_EQUITY</t>
  </si>
  <si>
    <t>IQ_TBV</t>
  </si>
  <si>
    <t xml:space="preserve">Growth </t>
  </si>
  <si>
    <t>5-yr CAGR</t>
  </si>
  <si>
    <t>3-yr CAGR</t>
  </si>
  <si>
    <t>Default is "n/a"</t>
  </si>
  <si>
    <t>ROI</t>
  </si>
  <si>
    <t>Difference between Latest (Section 5.01) and Latest Fully Reported (this section)</t>
  </si>
  <si>
    <t xml:space="preserve">Quarterly Debt/Market Capital </t>
  </si>
  <si>
    <t>Capital IQ quarterly data in filing currency</t>
  </si>
  <si>
    <t>LQ-12</t>
  </si>
  <si>
    <t>LQ-11</t>
  </si>
  <si>
    <t>LQ-10</t>
  </si>
  <si>
    <t>LQ-9</t>
  </si>
  <si>
    <t>LQ-8</t>
  </si>
  <si>
    <t>LQ-7</t>
  </si>
  <si>
    <t>LQ-6</t>
  </si>
  <si>
    <t>LQ-5</t>
  </si>
  <si>
    <t>LQ-4</t>
  </si>
  <si>
    <t>LQ-3</t>
  </si>
  <si>
    <t>LQ-2</t>
  </si>
  <si>
    <t>LQ-1</t>
  </si>
  <si>
    <t>Last Qtr</t>
  </si>
  <si>
    <t>IQ_PERIODDATE</t>
  </si>
  <si>
    <t>Company</t>
  </si>
  <si>
    <t>(=Market cap + Minority interest + Preferred stock)</t>
  </si>
  <si>
    <t>NA( ) errors are needed to eliminate 0 values in the graph</t>
  </si>
  <si>
    <t>Exhibit 1</t>
  </si>
  <si>
    <t>Conclusion of value</t>
  </si>
  <si>
    <t>Weighting</t>
  </si>
  <si>
    <t>Values</t>
  </si>
  <si>
    <t>Income Approach</t>
  </si>
  <si>
    <t>Discounted Cash Flow Method</t>
  </si>
  <si>
    <t>Single-period cap</t>
  </si>
  <si>
    <t>Market Approach</t>
  </si>
  <si>
    <t>Guideline Public Company Method</t>
  </si>
  <si>
    <t>Guideline Transactions Method</t>
  </si>
  <si>
    <t>Add: Cash &amp; short-term investments</t>
  </si>
  <si>
    <t>Add/(subtract): Excess/(deficient) DFNWC</t>
  </si>
  <si>
    <t>Add/(subtract): Non-operating assets/(liabilities)</t>
  </si>
  <si>
    <t>Add/(subtract): Other</t>
  </si>
  <si>
    <t>Indicated equity (controlling marketable)</t>
  </si>
  <si>
    <t>Interest under consideration</t>
  </si>
  <si>
    <t>Concluded equity (controlling marketable)</t>
  </si>
  <si>
    <t>Discount for lack of control</t>
  </si>
  <si>
    <t>Discount for lack of marketability</t>
  </si>
  <si>
    <t>Exhibit 2</t>
  </si>
  <si>
    <t>Market capital reconciliation</t>
  </si>
  <si>
    <t>Market capitalization</t>
  </si>
  <si>
    <t>Stock price</t>
  </si>
  <si>
    <t>Shares outstanding</t>
  </si>
  <si>
    <t>Market value of equity</t>
  </si>
  <si>
    <t>Book value of debt</t>
  </si>
  <si>
    <t>Estimated value</t>
  </si>
  <si>
    <t>Implied equity value</t>
  </si>
  <si>
    <t>,</t>
  </si>
  <si>
    <t>Implied equity control premium</t>
  </si>
  <si>
    <t>Subj Co Public?</t>
  </si>
  <si>
    <t>Historical income statement</t>
  </si>
  <si>
    <t>YTD months</t>
  </si>
  <si>
    <t>Stub months</t>
  </si>
  <si>
    <t>StubY (1 if there are stub months, 0 if none)</t>
  </si>
  <si>
    <t>YTD</t>
  </si>
  <si>
    <t>Notes:</t>
  </si>
  <si>
    <t>Capital IQ Links</t>
  </si>
  <si>
    <t>Income statement</t>
  </si>
  <si>
    <t>Growth %</t>
  </si>
  <si>
    <t xml:space="preserve">IQ_TOTAL_REV </t>
  </si>
  <si>
    <t>Cost of goods sold</t>
  </si>
  <si>
    <t>Gross profit</t>
  </si>
  <si>
    <t>IQ_GROSS_PROFIT</t>
  </si>
  <si>
    <t>SGA (Excluding depr &amp; amort)</t>
  </si>
  <si>
    <t>IQ_SGA</t>
  </si>
  <si>
    <t>SGA EXCLUDING Depreciation &amp; Amortization</t>
  </si>
  <si>
    <t>Research and development</t>
  </si>
  <si>
    <t xml:space="preserve">IQ_RD_EXP </t>
  </si>
  <si>
    <t>Other operating (expense) / income</t>
  </si>
  <si>
    <t>Other operating expense / (income)</t>
  </si>
  <si>
    <t xml:space="preserve">IQ_EBITDA </t>
  </si>
  <si>
    <t xml:space="preserve">IQ_GW_INTAN_AMORT_CF  </t>
  </si>
  <si>
    <t xml:space="preserve">Interest expense </t>
  </si>
  <si>
    <t xml:space="preserve">Interest income </t>
  </si>
  <si>
    <t>IQ_INTEREST_INVEST_INC</t>
  </si>
  <si>
    <t>Interest income</t>
  </si>
  <si>
    <t xml:space="preserve">Other non-operating income / (expense) </t>
  </si>
  <si>
    <t>Other non-operating expense / (income)</t>
  </si>
  <si>
    <t xml:space="preserve">Pretax income before unusual items </t>
  </si>
  <si>
    <t>IQ_EBT_EXCL</t>
  </si>
  <si>
    <t>Pretax income before unusual items</t>
  </si>
  <si>
    <t xml:space="preserve">Unusual items </t>
  </si>
  <si>
    <t>Unusual items</t>
  </si>
  <si>
    <t xml:space="preserve">IQ_EBT </t>
  </si>
  <si>
    <t>Income taxes</t>
  </si>
  <si>
    <t xml:space="preserve">IQ_INC_TAX </t>
  </si>
  <si>
    <t>Minority interest</t>
  </si>
  <si>
    <t xml:space="preserve">IQ_NI </t>
  </si>
  <si>
    <t>Capital expenditures</t>
  </si>
  <si>
    <t>Selected performance metrics</t>
  </si>
  <si>
    <t>Over 4 yrs</t>
  </si>
  <si>
    <t>Over 3 yrs</t>
  </si>
  <si>
    <t>Over 2 yrs</t>
  </si>
  <si>
    <t xml:space="preserve">LTM </t>
  </si>
  <si>
    <t>CAGR</t>
  </si>
  <si>
    <t>Gross profit growth</t>
  </si>
  <si>
    <t>Gross profit margin</t>
  </si>
  <si>
    <t>Average</t>
  </si>
  <si>
    <t>Tax rate</t>
  </si>
  <si>
    <t xml:space="preserve">CAGR=Compound annual growth rate; EBIT=Earnings before interest and taxes, EBITDA=Earnings before interest and taxes, depreciation and amortization; LTM=Last twelve months; SGA=Sales, general &amp; administration; Yrs=Years; YTD=Year-to-date, </t>
  </si>
  <si>
    <t>Exhibit 3</t>
  </si>
  <si>
    <t>Prospective financial information inputs</t>
  </si>
  <si>
    <t>DCF terminal value assumptions</t>
  </si>
  <si>
    <t>Perpetuity growth assumptions</t>
  </si>
  <si>
    <t xml:space="preserve">Please remember to </t>
  </si>
  <si>
    <t>Terminal period growth rate %</t>
  </si>
  <si>
    <t>format the layout of the DCF worksheet</t>
  </si>
  <si>
    <t>to show the methodology (or methodologies)</t>
  </si>
  <si>
    <t>Fading growth assumptions</t>
  </si>
  <si>
    <t>that you have selected</t>
  </si>
  <si>
    <t>Competitive advantage period in years</t>
  </si>
  <si>
    <t>year(s)</t>
  </si>
  <si>
    <t>Fading growth rate</t>
  </si>
  <si>
    <t>EBITDA (enter only if you are using this)</t>
  </si>
  <si>
    <t>EBITDA exit multiple</t>
  </si>
  <si>
    <t>PFI Inputs</t>
  </si>
  <si>
    <t>P&amp;L only</t>
  </si>
  <si>
    <t>Normalized</t>
  </si>
  <si>
    <t>Hard coded value</t>
  </si>
  <si>
    <t>Annual growth rate</t>
  </si>
  <si>
    <t>Annual growth rate used</t>
  </si>
  <si>
    <t>% of revenue</t>
  </si>
  <si>
    <t>% of revenue used</t>
  </si>
  <si>
    <t>Gross margin</t>
  </si>
  <si>
    <t>SGA (excluding Depr &amp; Amort)</t>
  </si>
  <si>
    <t>`</t>
  </si>
  <si>
    <t>Incremental EBITDA margin</t>
  </si>
  <si>
    <t>EBITDA haircut</t>
  </si>
  <si>
    <t>EBITDA margin (with haircut)</t>
  </si>
  <si>
    <t>Depreciation (tax basis)</t>
  </si>
  <si>
    <t>Amortization (tax basis)</t>
  </si>
  <si>
    <t>Income taxes on EBIT</t>
  </si>
  <si>
    <t>n/a</t>
  </si>
  <si>
    <t>Debt-free net income [EBIT after taxes]</t>
  </si>
  <si>
    <t>% of Revenue</t>
  </si>
  <si>
    <t>12-month revenue</t>
  </si>
  <si>
    <t>12-month COGS</t>
  </si>
  <si>
    <t>Balance sheet</t>
  </si>
  <si>
    <t>Excess cash</t>
  </si>
  <si>
    <t>Interest rate %</t>
  </si>
  <si>
    <t>Cash and cash equivalents</t>
  </si>
  <si>
    <t>Receivable days on revenue</t>
  </si>
  <si>
    <t>Receivable days</t>
  </si>
  <si>
    <t>Inventory days on COGS</t>
  </si>
  <si>
    <t>Inventory days</t>
  </si>
  <si>
    <t>Current assets</t>
  </si>
  <si>
    <t>Current assets 2</t>
  </si>
  <si>
    <t>Current assets 3</t>
  </si>
  <si>
    <t>Current assets 4</t>
  </si>
  <si>
    <t>Current assets 5</t>
  </si>
  <si>
    <t>Beginning Net PPE</t>
  </si>
  <si>
    <t>Plus: Capital expenditures</t>
  </si>
  <si>
    <t>Less: Depreciation</t>
  </si>
  <si>
    <t>Ending Net PPE</t>
  </si>
  <si>
    <t>Long-term assets</t>
  </si>
  <si>
    <t>Long-term assets 2</t>
  </si>
  <si>
    <t>Long-term assets 3</t>
  </si>
  <si>
    <t>Long-term assets 4</t>
  </si>
  <si>
    <t>Long-term assets 5</t>
  </si>
  <si>
    <t>Total assets</t>
  </si>
  <si>
    <t>Liabilities &amp; equity</t>
  </si>
  <si>
    <t>Revolver</t>
  </si>
  <si>
    <t>Current liabilities</t>
  </si>
  <si>
    <t>Current liabilities 2</t>
  </si>
  <si>
    <t>Current liabilities 3</t>
  </si>
  <si>
    <t>Current liabilities 4</t>
  </si>
  <si>
    <t>Current liabilities 5</t>
  </si>
  <si>
    <t xml:space="preserve">Short-term borrowings </t>
  </si>
  <si>
    <t>Draw / (Repayment) used in model</t>
  </si>
  <si>
    <t>Current portion of LT debt</t>
  </si>
  <si>
    <t>Long-term debt 1</t>
  </si>
  <si>
    <t>Draw / (Repayment)</t>
  </si>
  <si>
    <t>Repayment by annuity style, repmt years</t>
  </si>
  <si>
    <t>Yearly annuity repayment</t>
  </si>
  <si>
    <t>Long-term debt 2</t>
  </si>
  <si>
    <t>Repayment by annuity style Y/N</t>
  </si>
  <si>
    <t>Long-term debt 3</t>
  </si>
  <si>
    <t>Capital leases</t>
  </si>
  <si>
    <t>Increase / (decrease) used in model</t>
  </si>
  <si>
    <t>Long-term liabilities</t>
  </si>
  <si>
    <t>Long-term liabilities 2</t>
  </si>
  <si>
    <t>Long-term liabilities 3</t>
  </si>
  <si>
    <t>Long-term liabilities 4</t>
  </si>
  <si>
    <t>Long-term liabilities 5</t>
  </si>
  <si>
    <t>Total liabilities</t>
  </si>
  <si>
    <t>Total liabilities and equity</t>
  </si>
  <si>
    <t>Balance check</t>
  </si>
  <si>
    <t>Total assets without excess cash</t>
  </si>
  <si>
    <t>Total liabilties and equity without revolver</t>
  </si>
  <si>
    <t>Excess cash / (Revolver) calculated</t>
  </si>
  <si>
    <t>Excess cash / (Revolver) in the model</t>
  </si>
  <si>
    <t>Debt-free Net Working Capital</t>
  </si>
  <si>
    <t>DFNWC, excluding cash</t>
  </si>
  <si>
    <t>DFNWC as % of Revenue</t>
  </si>
  <si>
    <t>(Increase) / decrease in DFNWC</t>
  </si>
  <si>
    <t>Actual latest DFNWC</t>
  </si>
  <si>
    <t>Normalized DFNWC</t>
  </si>
  <si>
    <t>Excess/(deficient)</t>
  </si>
  <si>
    <t>Normalized DFNCF available for distribution</t>
  </si>
  <si>
    <t>Depreciation as % of revenue</t>
  </si>
  <si>
    <t>Amortization as % of revenue</t>
  </si>
  <si>
    <t>Capital expenditures as % of revenue</t>
  </si>
  <si>
    <t>DFNWC as a % of revenue</t>
  </si>
  <si>
    <t>EBIT=Earnings before interest and taxes; EBITDA=Earnings before interest and taxes, depreciation and amortization; SGA=Sales, general &amp; administration</t>
  </si>
  <si>
    <t>DFNWC=Debt-free net working capital; DSO=Days sales outstanding; DIO=Days inventory outstanding; DPO=Days payable outstanding</t>
  </si>
  <si>
    <t>Do not touch</t>
  </si>
  <si>
    <t>No of days in year</t>
  </si>
  <si>
    <t>Revenue for First forecast period</t>
  </si>
  <si>
    <t>COGS for Year 1</t>
  </si>
  <si>
    <t>EBITDA for Year 1</t>
  </si>
  <si>
    <t>EBIT for Year 1</t>
  </si>
  <si>
    <t>DFNWC as % of total year 1 revenue</t>
  </si>
  <si>
    <t>LTM Revenue</t>
  </si>
  <si>
    <t>LTM COGS</t>
  </si>
  <si>
    <t>IRibbon</t>
  </si>
  <si>
    <t>Input Type</t>
  </si>
  <si>
    <t>FULL P&amp;L and B/S</t>
  </si>
  <si>
    <t>No. of Input type</t>
  </si>
  <si>
    <t>Selected run: P&amp;L only=0, FULL=1</t>
  </si>
  <si>
    <t>YearsInDCF</t>
  </si>
  <si>
    <t>Historical balance sheet</t>
  </si>
  <si>
    <t>``</t>
  </si>
  <si>
    <t>% Assets</t>
  </si>
  <si>
    <t>Comments</t>
  </si>
  <si>
    <t>Other current assets</t>
  </si>
  <si>
    <t>IQ_TOTAL_CA</t>
  </si>
  <si>
    <t>Net PPE</t>
  </si>
  <si>
    <t>IQ_NPPE</t>
  </si>
  <si>
    <t>Goodwill</t>
  </si>
  <si>
    <t>IQ_GW</t>
  </si>
  <si>
    <t>Intangibles</t>
  </si>
  <si>
    <t>IQ_OTHER_INTAN</t>
  </si>
  <si>
    <t>Intangible assets</t>
  </si>
  <si>
    <t>Other long-term assets</t>
  </si>
  <si>
    <t xml:space="preserve">Accounts payable </t>
  </si>
  <si>
    <t xml:space="preserve">Other current liabilities </t>
  </si>
  <si>
    <t>IQ_ST_DEBT</t>
  </si>
  <si>
    <t>IQ_CURRENT_PORT</t>
  </si>
  <si>
    <t xml:space="preserve">Current portion of LT debt and cap leases </t>
  </si>
  <si>
    <t>IQ_TOTAL_CL</t>
  </si>
  <si>
    <t>Long-term debt</t>
  </si>
  <si>
    <t>IQ_CAPITAL_LEASES</t>
  </si>
  <si>
    <t>Other liabilities</t>
  </si>
  <si>
    <t>IQ_TOTAL_LIAB</t>
  </si>
  <si>
    <t>IQ_TOTAL_LIAB_EQUITY</t>
  </si>
  <si>
    <t>Check</t>
  </si>
  <si>
    <t>Debt-free, cash-free net working capital</t>
  </si>
  <si>
    <t>DFCFNWC as % of revenue</t>
  </si>
  <si>
    <t>Accounts receivable days</t>
  </si>
  <si>
    <t>Accounts payable days</t>
  </si>
  <si>
    <t>Total debt and capital leases</t>
  </si>
  <si>
    <t>Net debt and capital leases</t>
  </si>
  <si>
    <t>DFCFNWC=Debt-free cash-free net working capital; LT debt=Long-term debt; PPE=Plant, property &amp; equipment</t>
  </si>
  <si>
    <t>Exhibit 5</t>
  </si>
  <si>
    <t>Calculation of NOL</t>
  </si>
  <si>
    <t>Taxes without NOL usage</t>
  </si>
  <si>
    <t>After tax EBIT</t>
  </si>
  <si>
    <t>Taxes with NOL usage</t>
  </si>
  <si>
    <t>Beginning NOL</t>
  </si>
  <si>
    <t>NOL new</t>
  </si>
  <si>
    <t>NOL used, 382 Limitation</t>
  </si>
  <si>
    <t>Ending NOL</t>
  </si>
  <si>
    <t>AMT EBIT</t>
  </si>
  <si>
    <t>Income taxes on AMT EBIT</t>
  </si>
  <si>
    <t>AMT Tax rate</t>
  </si>
  <si>
    <t>Income tax savings</t>
  </si>
  <si>
    <t>Discounting periods (mid-period)</t>
  </si>
  <si>
    <t>Present Value factor</t>
  </si>
  <si>
    <t>Present Value of tax savings</t>
  </si>
  <si>
    <t>Sum of PV of tax savings benefit</t>
  </si>
  <si>
    <t>(A) Unadjusted EBIT is assumed to grow at the long-term growth rate beyond the discrete forecasted years.</t>
  </si>
  <si>
    <t>AMT=Alternative minimum tax; EBIT=Earnings before interest and taxes; NOL=Net operating losses; PV=Present value</t>
  </si>
  <si>
    <t>EBIT growth rate past forecast years</t>
  </si>
  <si>
    <t>Perpetuity rate</t>
  </si>
  <si>
    <t>Increment decrease per year</t>
  </si>
  <si>
    <t>DETimeSet</t>
  </si>
  <si>
    <t>Valuation Date</t>
  </si>
  <si>
    <t>5-Yr Avg</t>
  </si>
  <si>
    <t>4-Yr Avg</t>
  </si>
  <si>
    <t>3-Yr Avg</t>
  </si>
  <si>
    <t>2-Yr Avg</t>
  </si>
  <si>
    <t>Risk free rate data</t>
  </si>
  <si>
    <t>Risk free rate in use</t>
  </si>
  <si>
    <t>Description in use</t>
  </si>
  <si>
    <t>Source in use</t>
  </si>
  <si>
    <t>In use in the model</t>
  </si>
  <si>
    <t xml:space="preserve">Select risk free rate </t>
  </si>
  <si>
    <t>Risk free rate input</t>
  </si>
  <si>
    <t>Description input</t>
  </si>
  <si>
    <t>Source input</t>
  </si>
  <si>
    <t>Enter your own</t>
  </si>
  <si>
    <t>Or, use the selection below</t>
  </si>
  <si>
    <t>Name</t>
  </si>
  <si>
    <t>Last close</t>
  </si>
  <si>
    <t>Term</t>
  </si>
  <si>
    <t>20 Year</t>
  </si>
  <si>
    <t>Last Close</t>
  </si>
  <si>
    <t>Last Month</t>
  </si>
  <si>
    <t>Last Year</t>
  </si>
  <si>
    <t>Debt/market equity and tax settings</t>
  </si>
  <si>
    <t>Derive WACC: Select Debt to Market Equity and Tax settings</t>
  </si>
  <si>
    <t>Debt/market equity as of:</t>
  </si>
  <si>
    <t>Debt setting</t>
  </si>
  <si>
    <t>Total debt</t>
  </si>
  <si>
    <t>NOT included in debt</t>
  </si>
  <si>
    <t>Click here to reference World Corporate Tax Rate table</t>
  </si>
  <si>
    <t>Override</t>
  </si>
  <si>
    <t>Tax treatment for calculations</t>
  </si>
  <si>
    <t>Company name</t>
  </si>
  <si>
    <t>Output currency</t>
  </si>
  <si>
    <t>Mkt equity</t>
  </si>
  <si>
    <t>Pre-tax inc</t>
  </si>
  <si>
    <t>tax</t>
  </si>
  <si>
    <t>tax rate</t>
  </si>
  <si>
    <t>used</t>
  </si>
  <si>
    <t>Normalize tax rates?</t>
  </si>
  <si>
    <t>Normalize to this rate</t>
  </si>
  <si>
    <t>The normalized rate will be used for:</t>
  </si>
  <si>
    <t>For any rates above this</t>
  </si>
  <si>
    <t>or below this</t>
  </si>
  <si>
    <t>or for "nmf" or where pre-tax income is negative</t>
  </si>
  <si>
    <t>Market equity = Market capitalization + minority int + pref stock</t>
  </si>
  <si>
    <t>Mean</t>
  </si>
  <si>
    <t>Median</t>
  </si>
  <si>
    <t>Median of</t>
  </si>
  <si>
    <t xml:space="preserve">Used in </t>
  </si>
  <si>
    <t>Guideline cos</t>
  </si>
  <si>
    <t>WACC calculation</t>
  </si>
  <si>
    <t>Tax rate assumptions for WACC</t>
  </si>
  <si>
    <t>Betas</t>
  </si>
  <si>
    <t>Use tax rates to</t>
  </si>
  <si>
    <t>Beta de-levering setting</t>
  </si>
  <si>
    <t>Bayesian Adj?</t>
  </si>
  <si>
    <t>UNlever Beta?</t>
  </si>
  <si>
    <t>RElever Beta?</t>
  </si>
  <si>
    <t>Adjustments</t>
  </si>
  <si>
    <t>Negative Debt/Mkt Eq allowed</t>
  </si>
  <si>
    <t xml:space="preserve">Include betas with </t>
  </si>
  <si>
    <t>Significant only</t>
  </si>
  <si>
    <t>T-Test results</t>
  </si>
  <si>
    <t>Betas in use in the model</t>
  </si>
  <si>
    <t>Which beta do you want to use?</t>
  </si>
  <si>
    <t>Select 1 out of 4</t>
  </si>
  <si>
    <t>Significance level of T-Test</t>
  </si>
  <si>
    <t>Equity beta</t>
  </si>
  <si>
    <t>Unlevered</t>
  </si>
  <si>
    <t>market</t>
  </si>
  <si>
    <t>R Square</t>
  </si>
  <si>
    <t>Bayesian adj</t>
  </si>
  <si>
    <t>beta</t>
  </si>
  <si>
    <t>debt</t>
  </si>
  <si>
    <t>equity</t>
  </si>
  <si>
    <t>mkt equity</t>
  </si>
  <si>
    <t>T-Test</t>
  </si>
  <si>
    <t>Float</t>
  </si>
  <si>
    <t>Index</t>
  </si>
  <si>
    <t>Sample size</t>
  </si>
  <si>
    <t>Standard error</t>
  </si>
  <si>
    <t>Beta options</t>
  </si>
  <si>
    <t>Beta 1</t>
  </si>
  <si>
    <t>Beta 2</t>
  </si>
  <si>
    <t>Beta 3</t>
  </si>
  <si>
    <t>Beta 4</t>
  </si>
  <si>
    <t>Period Yrs</t>
  </si>
  <si>
    <t>"x" to</t>
  </si>
  <si>
    <t>Weekly</t>
  </si>
  <si>
    <t>Monthly</t>
  </si>
  <si>
    <t>omit</t>
  </si>
  <si>
    <t>Beta data points</t>
  </si>
  <si>
    <t xml:space="preserve">Assigned </t>
  </si>
  <si>
    <t>Value of T-Test</t>
  </si>
  <si>
    <t>T-Test result</t>
  </si>
  <si>
    <t>Significancy</t>
  </si>
  <si>
    <t xml:space="preserve">α </t>
  </si>
  <si>
    <t>p</t>
  </si>
  <si>
    <t>df</t>
  </si>
  <si>
    <t>Cost of equity and cost of debt calculation to derive WACC</t>
  </si>
  <si>
    <t xml:space="preserve">Indication of </t>
  </si>
  <si>
    <t>Cost of equity calculation</t>
  </si>
  <si>
    <t>Cost of debt calculation</t>
  </si>
  <si>
    <t>debt borrowing rate by Capital IQ</t>
  </si>
  <si>
    <t xml:space="preserve">Unlevered beta </t>
  </si>
  <si>
    <t xml:space="preserve">Debt borrowing rate </t>
  </si>
  <si>
    <t>Country-specific adjustment</t>
  </si>
  <si>
    <t xml:space="preserve">Expected income tax rate </t>
  </si>
  <si>
    <t>All Corporates</t>
  </si>
  <si>
    <t>Sector</t>
  </si>
  <si>
    <t xml:space="preserve">Relevered beta </t>
  </si>
  <si>
    <t xml:space="preserve">After-tax cost of debt </t>
  </si>
  <si>
    <t>BBB</t>
  </si>
  <si>
    <t>Rating</t>
  </si>
  <si>
    <t xml:space="preserve">Risk-free rate </t>
  </si>
  <si>
    <t>20Y</t>
  </si>
  <si>
    <t>QE adjustment</t>
  </si>
  <si>
    <t>Volatility adjustment</t>
  </si>
  <si>
    <t>Market equity risk premium</t>
  </si>
  <si>
    <t>Country-specific risk premium</t>
  </si>
  <si>
    <t>Weighted Average Cost of Capital</t>
  </si>
  <si>
    <t>Company-specific risk premium</t>
  </si>
  <si>
    <t>Debt</t>
  </si>
  <si>
    <t>Company-size premium</t>
  </si>
  <si>
    <t>Equity</t>
  </si>
  <si>
    <t>Cost of equity</t>
  </si>
  <si>
    <t>WACC (rounded)</t>
  </si>
  <si>
    <t>Company-size premium inputs</t>
  </si>
  <si>
    <t>Subj market cap (USD MM) if public</t>
  </si>
  <si>
    <t xml:space="preserve">Subj market cap (USD MM) if private co </t>
  </si>
  <si>
    <t>Subj mkt capitalization used for risk premia table (USD MM)</t>
  </si>
  <si>
    <t>Premia used</t>
  </si>
  <si>
    <t>Select ==&gt;</t>
  </si>
  <si>
    <t>Detailed Decile</t>
  </si>
  <si>
    <t>Common</t>
  </si>
  <si>
    <t>Other</t>
  </si>
  <si>
    <t>Total</t>
  </si>
  <si>
    <t>Plus:</t>
  </si>
  <si>
    <t>Less:</t>
  </si>
  <si>
    <t>Stock</t>
  </si>
  <si>
    <t>control</t>
  </si>
  <si>
    <t>Cash and</t>
  </si>
  <si>
    <t>Minority</t>
  </si>
  <si>
    <t>Preferred</t>
  </si>
  <si>
    <t>Guideline public companies</t>
  </si>
  <si>
    <t>price</t>
  </si>
  <si>
    <t>shares</t>
  </si>
  <si>
    <t>capital</t>
  </si>
  <si>
    <t>ST Invest</t>
  </si>
  <si>
    <t>interest</t>
  </si>
  <si>
    <t>stock</t>
  </si>
  <si>
    <t>By Cap IQ</t>
  </si>
  <si>
    <t>Size premia table (for reference only)</t>
  </si>
  <si>
    <t>Mid/Low/</t>
  </si>
  <si>
    <t>Detailed</t>
  </si>
  <si>
    <t>No detail</t>
  </si>
  <si>
    <t>USD Millions</t>
  </si>
  <si>
    <t>Micro</t>
  </si>
  <si>
    <t>10a 10b</t>
  </si>
  <si>
    <t>10ab</t>
  </si>
  <si>
    <t>Decile</t>
  </si>
  <si>
    <t>Low</t>
  </si>
  <si>
    <t>Subject Co</t>
  </si>
  <si>
    <t>High</t>
  </si>
  <si>
    <t>Cap</t>
  </si>
  <si>
    <t>10b</t>
  </si>
  <si>
    <t>10a</t>
  </si>
  <si>
    <t>End</t>
  </si>
  <si>
    <t>As Selected</t>
  </si>
  <si>
    <t>AllCorp</t>
  </si>
  <si>
    <t>ConsumerDiscretionary</t>
  </si>
  <si>
    <t>Consumer Discretionary</t>
  </si>
  <si>
    <t>AAA</t>
  </si>
  <si>
    <t>1Y</t>
  </si>
  <si>
    <t>UK</t>
  </si>
  <si>
    <t>ConsumerStaples</t>
  </si>
  <si>
    <t>Consumer Staples</t>
  </si>
  <si>
    <t>AA</t>
  </si>
  <si>
    <t>2Y</t>
  </si>
  <si>
    <t>European</t>
  </si>
  <si>
    <t>Energy</t>
  </si>
  <si>
    <t>A</t>
  </si>
  <si>
    <t>3Y</t>
  </si>
  <si>
    <t>Financials</t>
  </si>
  <si>
    <t>4Y</t>
  </si>
  <si>
    <t>Healthcare</t>
  </si>
  <si>
    <t>BB</t>
  </si>
  <si>
    <t>5Y</t>
  </si>
  <si>
    <t>Industrials</t>
  </si>
  <si>
    <t>B</t>
  </si>
  <si>
    <t>6Y</t>
  </si>
  <si>
    <t>InformationTechnology</t>
  </si>
  <si>
    <t>Information Technology</t>
  </si>
  <si>
    <t>CCC</t>
  </si>
  <si>
    <t>7Y</t>
  </si>
  <si>
    <t>Materials</t>
  </si>
  <si>
    <t>IG</t>
  </si>
  <si>
    <t>Investment-grade</t>
  </si>
  <si>
    <t>8Y</t>
  </si>
  <si>
    <t>NonFin</t>
  </si>
  <si>
    <t>Non-Financials</t>
  </si>
  <si>
    <t>HY</t>
  </si>
  <si>
    <t>High-yield</t>
  </si>
  <si>
    <t>9Y</t>
  </si>
  <si>
    <t>TelecommunicationService</t>
  </si>
  <si>
    <t>Telecommunication Service</t>
  </si>
  <si>
    <t>10Y</t>
  </si>
  <si>
    <t>Utilities</t>
  </si>
  <si>
    <t>11Y</t>
  </si>
  <si>
    <t>12Y</t>
  </si>
  <si>
    <t>13Y</t>
  </si>
  <si>
    <t>14Y</t>
  </si>
  <si>
    <t>15Y</t>
  </si>
  <si>
    <t>16Y</t>
  </si>
  <si>
    <t>17Y</t>
  </si>
  <si>
    <t>18Y</t>
  </si>
  <si>
    <t>19Y</t>
  </si>
  <si>
    <t>21Y</t>
  </si>
  <si>
    <t>22Y</t>
  </si>
  <si>
    <t>23Y</t>
  </si>
  <si>
    <t>24Y</t>
  </si>
  <si>
    <t>25Y</t>
  </si>
  <si>
    <t>26Y</t>
  </si>
  <si>
    <t>27Y</t>
  </si>
  <si>
    <t>28Y</t>
  </si>
  <si>
    <t>29Y</t>
  </si>
  <si>
    <t>30Y</t>
  </si>
  <si>
    <t>Discounted Cash Flow valuation</t>
  </si>
  <si>
    <t>Revenue growth %</t>
  </si>
  <si>
    <t>Gross Profit</t>
  </si>
  <si>
    <t>Gross margin %</t>
  </si>
  <si>
    <t>EBITDA growth %</t>
  </si>
  <si>
    <t>EBITDA margin %</t>
  </si>
  <si>
    <t>Depreciation (tax)</t>
  </si>
  <si>
    <t>Amortization (tax)</t>
  </si>
  <si>
    <t>Debt-free net income (loss)</t>
  </si>
  <si>
    <t>Add: Depreciation (tax)</t>
  </si>
  <si>
    <t>NOTE to USER</t>
  </si>
  <si>
    <t>If not needed, move the Fading Growth section out of the main body</t>
  </si>
  <si>
    <t>of the DCF worksheet. You can then move the data table</t>
  </si>
  <si>
    <t>(Increase) / decrease DFNWC</t>
  </si>
  <si>
    <t>per your own preference for a better presentation.</t>
  </si>
  <si>
    <t>Free cash flow</t>
  </si>
  <si>
    <t>Mid-year discount factors with WACC</t>
  </si>
  <si>
    <t>Likewise, move the Exit multiple section below to the main body</t>
  </si>
  <si>
    <t>Present value</t>
  </si>
  <si>
    <t>of the DCF worksheet if you are using this approach.</t>
  </si>
  <si>
    <t>Terminal value - Constant growth</t>
  </si>
  <si>
    <t>Value</t>
  </si>
  <si>
    <t>Terminal value - Fading growth</t>
  </si>
  <si>
    <t>Terminal value - Multiple</t>
  </si>
  <si>
    <t>Competitive advantage period (in years)</t>
  </si>
  <si>
    <t>Exit multiple</t>
  </si>
  <si>
    <t xml:space="preserve">Terminal value </t>
  </si>
  <si>
    <t>Terminal value</t>
  </si>
  <si>
    <t>Terminal Value</t>
  </si>
  <si>
    <t>PV factor</t>
  </si>
  <si>
    <t>PV of terminal Value</t>
  </si>
  <si>
    <t>Terminal growth rate</t>
  </si>
  <si>
    <t>Constant</t>
  </si>
  <si>
    <t>Fading</t>
  </si>
  <si>
    <t>EBITDA x</t>
  </si>
  <si>
    <t>PV of debt-free cash flow available for distribution</t>
  </si>
  <si>
    <t>PV of terminal value</t>
  </si>
  <si>
    <t>Discount</t>
  </si>
  <si>
    <t>rate</t>
  </si>
  <si>
    <t>Add: PV of tax amortization benefit</t>
  </si>
  <si>
    <t>Add: Depreciation carryforward</t>
  </si>
  <si>
    <t>Add: PV of existing NOL tax benefit</t>
  </si>
  <si>
    <t xml:space="preserve">DFNCF=Debt free net cash flow; DFNWC=Debt-free net working capital; EBIT=Earnings before interest and taxes; EBITDA=Earnings before interest and taxes, depreciation and amortization </t>
  </si>
  <si>
    <t>S&amp;P</t>
  </si>
  <si>
    <t>long-term</t>
  </si>
  <si>
    <t>debt (d)</t>
  </si>
  <si>
    <t>equity (d )</t>
  </si>
  <si>
    <t>co rating</t>
  </si>
  <si>
    <t>Debt/Market Equity</t>
  </si>
  <si>
    <t>(a)</t>
  </si>
  <si>
    <t>(g)</t>
  </si>
  <si>
    <t>Beta selector</t>
  </si>
  <si>
    <t>(b)</t>
  </si>
  <si>
    <t>(c)</t>
  </si>
  <si>
    <t>(d)</t>
  </si>
  <si>
    <t>Company size premium</t>
  </si>
  <si>
    <t>(e)</t>
  </si>
  <si>
    <t>Company specific risk premium</t>
  </si>
  <si>
    <t>(f)</t>
  </si>
  <si>
    <t>(b) Equity risk premium is based on historical equity risk premium, forward-looking premium estimates, and recent academic studies.</t>
  </si>
  <si>
    <t>Market equity = market capitalization + minority interest + preferred stock</t>
  </si>
  <si>
    <t>(f) Based on specific risk factors related to the Company's financial performance and prospects</t>
  </si>
  <si>
    <t>Avg=Average,  WACC=Weighted average cost of capital, S&amp;P=Standard &amp; Poor's</t>
  </si>
  <si>
    <t>Source: Capital IQ</t>
  </si>
  <si>
    <t>Removed</t>
  </si>
  <si>
    <t>PFI Income statement</t>
  </si>
  <si>
    <t>SGA</t>
  </si>
  <si>
    <t>DFNWC</t>
  </si>
  <si>
    <t>DFNWC % of Revenue</t>
  </si>
  <si>
    <t>DFNWC=Debt-free net working capital; EBIT=Earnings before interest and taxes;  EBITDA=Earnings before interest and taxes, depreciation and amortization;  SGA=Sales, general &amp; administration</t>
  </si>
  <si>
    <t>DFNWC as % of Revenue in last projected year</t>
  </si>
  <si>
    <t>Exhibit 4</t>
  </si>
  <si>
    <t>PFI Common-size income statement</t>
  </si>
  <si>
    <t>As percent of revenue</t>
  </si>
  <si>
    <t>Selected growth metrics</t>
  </si>
  <si>
    <t>PFI Balance sheet</t>
  </si>
  <si>
    <t>EY and management estimates</t>
  </si>
  <si>
    <t>PFI Cashflow statement</t>
  </si>
  <si>
    <t>Add: Depreciation</t>
  </si>
  <si>
    <t>Add: Amortization</t>
  </si>
  <si>
    <t>Change in long-term assets</t>
  </si>
  <si>
    <t>Change in long-term liabilities</t>
  </si>
  <si>
    <t>Cash from operating activities</t>
  </si>
  <si>
    <t>Cash from investing activities</t>
  </si>
  <si>
    <t>Increase / (decrease) minority inerest</t>
  </si>
  <si>
    <t>Cash from financing activities</t>
  </si>
  <si>
    <t>Net cash from all activities</t>
  </si>
  <si>
    <t>Change in cash &amp; equivalents</t>
  </si>
  <si>
    <t>Beginning excess cash / (revolver)</t>
  </si>
  <si>
    <t>Ending excess cash / (revolver)</t>
  </si>
  <si>
    <t>Balance Sheet excess cash / (revolver)</t>
  </si>
  <si>
    <t>Difference</t>
  </si>
  <si>
    <t>DFCFNWC=Debt-free cash-free net working capital</t>
  </si>
  <si>
    <t xml:space="preserve">By Cap IQ </t>
  </si>
  <si>
    <t>By SUM</t>
  </si>
  <si>
    <t>Calculated</t>
  </si>
  <si>
    <t>from</t>
  </si>
  <si>
    <t>common</t>
  </si>
  <si>
    <t>Capital IQ</t>
  </si>
  <si>
    <t>ST invest</t>
  </si>
  <si>
    <t>data</t>
  </si>
  <si>
    <t>Differences between the CapIQ (col Q) and SUM (col V)</t>
  </si>
  <si>
    <t>can be due to foreign currency translations</t>
  </si>
  <si>
    <t>Also:</t>
  </si>
  <si>
    <t>Cap IQ reference data</t>
  </si>
  <si>
    <t>use the "F" setting for Period/Filing Mode</t>
  </si>
  <si>
    <t>Check that the model</t>
  </si>
  <si>
    <t>also has the same "F" setting under</t>
  </si>
  <si>
    <t>"Capital IQ Download Settings" button on</t>
  </si>
  <si>
    <t>the START form</t>
  </si>
  <si>
    <t>c</t>
  </si>
  <si>
    <t>Worksheet for selecting a range of revenue multiples. See the Guideline Pulic Company Method sheet</t>
  </si>
  <si>
    <t>To select a range of EBITDA multiples</t>
  </si>
  <si>
    <t>Select Guideline Public Companies with similar EBITDA Margins to identify their range of revenue multiples</t>
  </si>
  <si>
    <t>Select Guideline Public Companies with similar EBITDA Margins to identify their range of EBITDA multiples</t>
  </si>
  <si>
    <t>Associated</t>
  </si>
  <si>
    <t>For range of EBITDA multiples</t>
  </si>
  <si>
    <t>5-year</t>
  </si>
  <si>
    <t>3-year</t>
  </si>
  <si>
    <t>revenue</t>
  </si>
  <si>
    <t>growth</t>
  </si>
  <si>
    <t>average</t>
  </si>
  <si>
    <t>margin</t>
  </si>
  <si>
    <t>multiple</t>
  </si>
  <si>
    <t xml:space="preserve">mult NFY </t>
  </si>
  <si>
    <t>mult NFY +1</t>
  </si>
  <si>
    <t>mult NFY +2</t>
  </si>
  <si>
    <t>mult NFY +3</t>
  </si>
  <si>
    <t>r</t>
  </si>
  <si>
    <t>Selected</t>
  </si>
  <si>
    <t>3rd Quartile</t>
  </si>
  <si>
    <t>1st Quartile</t>
  </si>
  <si>
    <t>Subject company</t>
  </si>
  <si>
    <t>LFY=Last fiscal year; LTM=Last twelve months;NFY=Next fiscal year</t>
  </si>
  <si>
    <t>Select within +/-</t>
  </si>
  <si>
    <t>Growth and margins</t>
  </si>
  <si>
    <t>LTM date</t>
  </si>
  <si>
    <t>2yr CAGR from LFY to NFY+1</t>
  </si>
  <si>
    <t>Revenues</t>
  </si>
  <si>
    <t>Workpaper 1</t>
  </si>
  <si>
    <t>Equity multiples</t>
  </si>
  <si>
    <t xml:space="preserve"> Market capital / Net income</t>
  </si>
  <si>
    <t>Price / Book value</t>
  </si>
  <si>
    <t>Price / Tangible</t>
  </si>
  <si>
    <t>book value</t>
  </si>
  <si>
    <t>Book value</t>
  </si>
  <si>
    <t>Tangible book value</t>
  </si>
  <si>
    <t>Setting for Range or Single Point estimate</t>
  </si>
  <si>
    <t>Use Single Point Estimate</t>
  </si>
  <si>
    <t>If the dropdown fails, enter 1 or 2 here.</t>
  </si>
  <si>
    <t>Guideline public company method</t>
  </si>
  <si>
    <t>Use Range</t>
  </si>
  <si>
    <t>And manually Group and Ungroup the columns</t>
  </si>
  <si>
    <t>_____________________________________________________________________________________________________________________________</t>
  </si>
  <si>
    <t>Performance</t>
  </si>
  <si>
    <t>measure</t>
  </si>
  <si>
    <t>Weight</t>
  </si>
  <si>
    <t>Based on a range ABOVE and BELOW</t>
  </si>
  <si>
    <t>Selected metrics</t>
  </si>
  <si>
    <t>Subj Co EBITDA margin</t>
  </si>
  <si>
    <t>Subj Co Yr+1 EBITDA growth</t>
  </si>
  <si>
    <t>Weighted indication</t>
  </si>
  <si>
    <t>EBIT=Earnings before interest and taxes; EBITDA=Earnings before interest and taxes, depreciation and amortization; LFY=Last fiscal year; LTM=Last twelve months</t>
  </si>
  <si>
    <t>Transactions control premium analysis</t>
  </si>
  <si>
    <t>In Transaction Currency Millions</t>
  </si>
  <si>
    <t>IQ_TR_ANN_DATE_BL</t>
  </si>
  <si>
    <t>IQ_TR_STATUS</t>
  </si>
  <si>
    <t>IQ_TR_TRANSACTION_TYPE</t>
  </si>
  <si>
    <t>IQ_TR_TARGETNAME</t>
  </si>
  <si>
    <t>IQ_TR_TARGET_ID</t>
  </si>
  <si>
    <t>IQ_COMPANY_TYPE</t>
  </si>
  <si>
    <t>IQ_COUNTRY_NAME</t>
  </si>
  <si>
    <t>IQ_INDUSTRY</t>
  </si>
  <si>
    <t>IQ_TR_PCT_SOUGHT_ACQUIRED_FINAL</t>
  </si>
  <si>
    <t>IQ_TR_BUYERNAME</t>
  </si>
  <si>
    <t>IQ_TR_BUYER_ID</t>
  </si>
  <si>
    <t>IQ_TEV</t>
  </si>
  <si>
    <t>IQ_TR_TARGET_TOTAL_REV</t>
  </si>
  <si>
    <t>IQ_TR_TARGET_REVENUE_EST</t>
  </si>
  <si>
    <t>IQ_TR_TARGET_EBITDA</t>
  </si>
  <si>
    <t>IQ_TR_TARGET_EBITDA_EST</t>
  </si>
  <si>
    <t>IQ_TR_TARGET_EBIT</t>
  </si>
  <si>
    <t>IQ_TR_TARGET_EBIT_EST</t>
  </si>
  <si>
    <t>IQ_TR_TARGET_STOCKPREMIUM_1D</t>
  </si>
  <si>
    <t>IQ_TR_TARGET_STOCKPREMIUM_1W</t>
  </si>
  <si>
    <t>IQ_TR_TARGET_STOCKPREMIUM_1M</t>
  </si>
  <si>
    <t>IQ_TR_TARGET_MARKETCAP</t>
  </si>
  <si>
    <t>IQ_NET_DEBT</t>
  </si>
  <si>
    <t>IQ_TR_IMPLIED_EQ</t>
  </si>
  <si>
    <t>IQ_TR_TARGET_CLOSEPRICE_1D</t>
  </si>
  <si>
    <t>IQ_TR_TARGET_CLOSEPRICE_1W</t>
  </si>
  <si>
    <t>IQ_TR_TARGET_CLOSEPRICE_1M</t>
  </si>
  <si>
    <t>IQ_SHARESOUTSTANDING</t>
  </si>
  <si>
    <t>CIQ ID</t>
  </si>
  <si>
    <t>Announced date</t>
  </si>
  <si>
    <t>Status</t>
  </si>
  <si>
    <t>Transaction type</t>
  </si>
  <si>
    <t>Target</t>
  </si>
  <si>
    <t>Target ID</t>
  </si>
  <si>
    <t>Company type</t>
  </si>
  <si>
    <t>Geographic location</t>
  </si>
  <si>
    <t>Percent
acquired</t>
  </si>
  <si>
    <t>Acquirer</t>
  </si>
  <si>
    <t>Acquiror ID</t>
  </si>
  <si>
    <t>Target 
LTM revenue</t>
  </si>
  <si>
    <t>Target 
NTM revenue</t>
  </si>
  <si>
    <t>Target 
LTM EBITDA</t>
  </si>
  <si>
    <t>Target 
NTM EBITDA</t>
  </si>
  <si>
    <t>Target 
LTM EBIT</t>
  </si>
  <si>
    <t>Target 
NTM EBIT</t>
  </si>
  <si>
    <t>LTM
EBITDA/
revenue</t>
  </si>
  <si>
    <t>NTM
EBITDA/
revenue</t>
  </si>
  <si>
    <t>LTM
EBIT/
revenue</t>
  </si>
  <si>
    <t>NTM
EBIT/
revenue</t>
  </si>
  <si>
    <t xml:space="preserve">1-day premium
Equity basis </t>
  </si>
  <si>
    <t>5-day premium
Equity basis</t>
  </si>
  <si>
    <t>30-day premium
Equity basis</t>
  </si>
  <si>
    <t>Target
Market Cap
1 day before</t>
  </si>
  <si>
    <t>Target
Market Cap
5 days before</t>
  </si>
  <si>
    <t>Target
Market Cap
30 days before</t>
  </si>
  <si>
    <t>Target implied equity value</t>
  </si>
  <si>
    <t>No. of shares</t>
  </si>
  <si>
    <t>Target
share price
1 day before</t>
  </si>
  <si>
    <t>Target
share price
5 days before</t>
  </si>
  <si>
    <t>Target
share price
30 days before</t>
  </si>
  <si>
    <t>Date - 5 days before announcement</t>
  </si>
  <si>
    <t>Date - 30 days before announcement</t>
  </si>
  <si>
    <t>Share outstanding - 5 days before</t>
  </si>
  <si>
    <t>Share outstanding - 30 days before</t>
  </si>
  <si>
    <t>Business description of Target</t>
  </si>
  <si>
    <t>Business description of Acquiror</t>
  </si>
  <si>
    <t>Guideline transactions method</t>
  </si>
  <si>
    <t>From the Guideline Transactions Input worksheet</t>
  </si>
  <si>
    <t>Last printed: 23-Feb-2017 10:41 AM</t>
  </si>
  <si>
    <t>Table of contents</t>
  </si>
  <si>
    <t>This column is to show the sheet tab name</t>
  </si>
  <si>
    <t>Double-click on the Sheet Name in this column or the Report Heading name in Column D to go to that sheet</t>
  </si>
  <si>
    <t>Report heading</t>
  </si>
  <si>
    <t>Reference</t>
  </si>
  <si>
    <t>Sheet Name</t>
  </si>
  <si>
    <t>Depreciation%Sales</t>
  </si>
  <si>
    <t>Working Capital</t>
  </si>
  <si>
    <t>Guideline public company estimates</t>
  </si>
  <si>
    <t>Exhibit 30</t>
  </si>
  <si>
    <t>Guideline Public Co Estimates</t>
  </si>
  <si>
    <t>Exhibit 20</t>
  </si>
  <si>
    <t>Other Tools Divider: This page deliberately left blank.</t>
  </si>
  <si>
    <t>Tax amortization benefit</t>
  </si>
  <si>
    <t>Fair value of business enterprise</t>
  </si>
  <si>
    <t>Less: DFCFNWC</t>
  </si>
  <si>
    <t>Less: Cash and ST investments</t>
  </si>
  <si>
    <t>Less: Book value of Net PPE</t>
  </si>
  <si>
    <t>Fair value of goodwill and intangibles</t>
  </si>
  <si>
    <t>Amortization period in years</t>
  </si>
  <si>
    <t>Amortization Tax Benefit</t>
  </si>
  <si>
    <t>Amortization expense (1st yr stubbed)</t>
  </si>
  <si>
    <t>Tax benefit</t>
  </si>
  <si>
    <t>No of years to discount</t>
  </si>
  <si>
    <t>Present value factor</t>
  </si>
  <si>
    <t>Present value of tax amortization benefit</t>
  </si>
  <si>
    <t>PV of tax amortization benefit</t>
  </si>
  <si>
    <t>Hard-coded value read by DCF as TAB</t>
  </si>
  <si>
    <t>Convergence check</t>
  </si>
  <si>
    <t>DCF=Discounted cash flow; DFCFNWC=Debt-free cash-free net working capital; PPE=Plant, porperty &amp; equipment; TAB=Tax amortization benefit</t>
  </si>
  <si>
    <t>Workpaper 2</t>
  </si>
  <si>
    <t>Depreciation schedule</t>
  </si>
  <si>
    <t>Balance sheet related</t>
  </si>
  <si>
    <t>Depreciation of existing net PPE</t>
  </si>
  <si>
    <t>Depreciation of net PPE by capex</t>
  </si>
  <si>
    <t xml:space="preserve">Opening Net PPE </t>
  </si>
  <si>
    <t>Existing Opening Net PPE</t>
  </si>
  <si>
    <t>Depreciation for all projected Capex</t>
  </si>
  <si>
    <t>Capex</t>
  </si>
  <si>
    <t>Depreciation of capital expenditures</t>
  </si>
  <si>
    <t>Total depreciation</t>
  </si>
  <si>
    <t>Total depreciation as % revenue</t>
  </si>
  <si>
    <t>Average net capital equipment</t>
  </si>
  <si>
    <t>Avg net cap. equipment turnover (a)</t>
  </si>
  <si>
    <t>nmf</t>
  </si>
  <si>
    <t>(a) Defined as total revenue divided by average net capital equipment.</t>
  </si>
  <si>
    <t>PPE=Plant, property &amp; equipment; DCF=Discounted cash flow; MACRS=Modified accelerated capital recovery system</t>
  </si>
  <si>
    <t>Residual Depreciation Tax Benefit</t>
  </si>
  <si>
    <t>Normalized tax depreciaton</t>
  </si>
  <si>
    <t>Projected tax depreciation</t>
  </si>
  <si>
    <t>Excess depreciation over normalized value</t>
  </si>
  <si>
    <t>No. of periods: mid-year method to valuation date</t>
  </si>
  <si>
    <t>PV of tax depreciation carryforward</t>
  </si>
  <si>
    <t>Depreciation carry forward</t>
  </si>
  <si>
    <t>PV=Present value; WACC=Weighted average cost of capital</t>
  </si>
  <si>
    <t>If the Recovery Period is:</t>
  </si>
  <si>
    <t>and the Recovery Year is:</t>
  </si>
  <si>
    <t>3-Year MACRS Half-Year</t>
  </si>
  <si>
    <t>3-Year MACRS 1st Q (Mid Q)</t>
  </si>
  <si>
    <t>3-Year MACRS 2nd Q (Mid Q)</t>
  </si>
  <si>
    <t>3-Year MACRS 3rd Q (Mid Q)</t>
  </si>
  <si>
    <t>5-Year MACRS Half-Year</t>
  </si>
  <si>
    <t>5-Year MACRS 1st Q (Mid Q)</t>
  </si>
  <si>
    <t>5-Year MACRS 2nd Q (Mid Q)</t>
  </si>
  <si>
    <t>5-Year MACRS 3rd Q (Mid Q)</t>
  </si>
  <si>
    <t>7-Year MACRS Half-Year</t>
  </si>
  <si>
    <t>7-Year MACRS 1st Q (Mid Q)</t>
  </si>
  <si>
    <t>7-Year MACRS 2nd Q (Mid Q)</t>
  </si>
  <si>
    <t>7-Year MACRS 3rd Q (Mid Q)</t>
  </si>
  <si>
    <t>10-Year MACRS Half-Year</t>
  </si>
  <si>
    <t>10-Year MACRS 1st Q (Mid Q)</t>
  </si>
  <si>
    <t>10-Year MACRS 2nd Q (Mid Q)</t>
  </si>
  <si>
    <t>10-Year MACRS 3rd Q (Mid Q)</t>
  </si>
  <si>
    <t>15-Year MACRS Half-Year</t>
  </si>
  <si>
    <t>15-Year MACRS 1st Q (Mid Q)</t>
  </si>
  <si>
    <t>15-Year MACRS 2nd Q (Mid Q)</t>
  </si>
  <si>
    <t>15-Year MACRS 3rd Q (Mid Q)</t>
  </si>
  <si>
    <t>20-Year MACRS Half-Year</t>
  </si>
  <si>
    <t>20-Year MACRS 1st Q (Mid Q)</t>
  </si>
  <si>
    <t>20-Year MACRS 2nd Q (Mid Q)</t>
  </si>
  <si>
    <t>20-Year MACRS 3rd Q (Mid Q)</t>
  </si>
  <si>
    <t>MACRS Half-Year</t>
  </si>
  <si>
    <t>MACRS 1st Q (Mid Q)</t>
  </si>
  <si>
    <t>MACRS 2nd Q (Mid Q)</t>
  </si>
  <si>
    <t>MACRS 3rd Q (Mid Q)</t>
  </si>
  <si>
    <t>Existing PPE</t>
  </si>
  <si>
    <t>MACRS Schedule</t>
  </si>
  <si>
    <t>Year of asset installed</t>
  </si>
  <si>
    <t>Projected Capex</t>
  </si>
  <si>
    <t>Depreciation and capital expenditures as percent of revenue</t>
  </si>
  <si>
    <t>Depreciation % of revenues</t>
  </si>
  <si>
    <t>Capex as % of revenues</t>
  </si>
  <si>
    <t>LFY=Last fiscal year; LTM=Last twelve months</t>
  </si>
  <si>
    <t>Net Working Capital as % of Sales</t>
  </si>
  <si>
    <t/>
  </si>
  <si>
    <t>DFNWC=Debt-free net working capital; LFY=Last fiscal year; LTM=Last twelve months</t>
  </si>
  <si>
    <t>Days Sales Outstanding</t>
  </si>
  <si>
    <t>Days Inventory Outstanding</t>
  </si>
  <si>
    <t>Days Payable Outstanding</t>
  </si>
  <si>
    <t>Workpaper 5</t>
  </si>
  <si>
    <t>Weighted average cost of capital: Guideline public companies</t>
  </si>
  <si>
    <t>Debt/</t>
  </si>
  <si>
    <t>specific</t>
  </si>
  <si>
    <t>Cost of</t>
  </si>
  <si>
    <t>Market cap</t>
  </si>
  <si>
    <t>Income</t>
  </si>
  <si>
    <t>Asset</t>
  </si>
  <si>
    <t>Risk-free</t>
  </si>
  <si>
    <t>Relevered</t>
  </si>
  <si>
    <t>risk</t>
  </si>
  <si>
    <t>size</t>
  </si>
  <si>
    <t>symbol</t>
  </si>
  <si>
    <t>in millions</t>
  </si>
  <si>
    <t>beta (a)</t>
  </si>
  <si>
    <t>rate (b)</t>
  </si>
  <si>
    <t>premium (c)</t>
  </si>
  <si>
    <t>premium (d)</t>
  </si>
  <si>
    <t>premium</t>
  </si>
  <si>
    <t>After-tax</t>
  </si>
  <si>
    <t>borrowing</t>
  </si>
  <si>
    <t>cost of</t>
  </si>
  <si>
    <t>Debt %</t>
  </si>
  <si>
    <t>Equity %</t>
  </si>
  <si>
    <t>WACC=Weighted average cost of capital</t>
  </si>
  <si>
    <t>Workpaper 6</t>
  </si>
  <si>
    <t>Exhibit 24</t>
  </si>
  <si>
    <t>Guideline public company business segment analysis</t>
  </si>
  <si>
    <t>Total Revenue</t>
  </si>
  <si>
    <t>LTM/LFQ</t>
  </si>
  <si>
    <t>YoY</t>
  </si>
  <si>
    <t>Business segment</t>
  </si>
  <si>
    <t>% revenue</t>
  </si>
  <si>
    <t>% growth</t>
  </si>
  <si>
    <t>Segment description</t>
  </si>
  <si>
    <t>LTM/LFQ=Last twelve months/Last fiscal quarter; LFY=Last fiscal year</t>
  </si>
  <si>
    <t>Last fiscal year</t>
  </si>
  <si>
    <t>Workpaper 7</t>
  </si>
  <si>
    <t>Exhibit 25</t>
  </si>
  <si>
    <t>Guideline public company business descriptions</t>
  </si>
  <si>
    <t>Guideline public company</t>
  </si>
  <si>
    <t>Description</t>
  </si>
  <si>
    <t>Workpaper 8</t>
  </si>
  <si>
    <t>Ranking against Guideline public companies</t>
  </si>
  <si>
    <t>Select data view group</t>
  </si>
  <si>
    <t>General</t>
  </si>
  <si>
    <t>Period</t>
  </si>
  <si>
    <t>Data Views</t>
  </si>
  <si>
    <t>Note: Medians exclude the Subject Company metric</t>
  </si>
  <si>
    <t>3-yr average</t>
  </si>
  <si>
    <t>3-yr wt avg</t>
  </si>
  <si>
    <t>5-yr average</t>
  </si>
  <si>
    <t>5-yr wt avg</t>
  </si>
  <si>
    <t>Data View Group</t>
  </si>
  <si>
    <t>User defined 1</t>
  </si>
  <si>
    <t>User defined 2</t>
  </si>
  <si>
    <t>User defined 3</t>
  </si>
  <si>
    <t>DO NOT TOUCH BELOW</t>
  </si>
  <si>
    <t>Boolean tests</t>
  </si>
  <si>
    <t>Periods</t>
  </si>
  <si>
    <t>Data View Factor</t>
  </si>
  <si>
    <t>Row in Data sheet</t>
  </si>
  <si>
    <t>Unordered value</t>
  </si>
  <si>
    <t>Rank</t>
  </si>
  <si>
    <t>Workpaper 9</t>
  </si>
  <si>
    <t>EBIT reconciliation</t>
  </si>
  <si>
    <t>List</t>
  </si>
  <si>
    <t>Formulae</t>
  </si>
  <si>
    <t>Filing currency</t>
  </si>
  <si>
    <t>Merger &amp; related restructuring charges</t>
  </si>
  <si>
    <t>IQ_MERGER_RESTRUCTURE</t>
  </si>
  <si>
    <t>Impairment of Goodwill</t>
  </si>
  <si>
    <t>IQ_IMPAIRMENT_GW</t>
  </si>
  <si>
    <t>Gain (loss) on sale of investments</t>
  </si>
  <si>
    <t xml:space="preserve">IQ_GAIN_INVEST
</t>
  </si>
  <si>
    <t>Gain (loss) on sale of assets</t>
  </si>
  <si>
    <t xml:space="preserve">IQ_GAIN_ASSETS
</t>
  </si>
  <si>
    <t>Asset writedown</t>
  </si>
  <si>
    <t xml:space="preserve">IQ_ASSET_WRITEDOWN
</t>
  </si>
  <si>
    <t>In-process research &amp; development</t>
  </si>
  <si>
    <t xml:space="preserve">IQ_IPRD
</t>
  </si>
  <si>
    <t>Insurance settlements</t>
  </si>
  <si>
    <t xml:space="preserve">IQ_INS_SETTLE
</t>
  </si>
  <si>
    <t>Legal settlements</t>
  </si>
  <si>
    <t xml:space="preserve">IQ_LEGAL_SETTLE
</t>
  </si>
  <si>
    <r>
      <t>Other unusual items</t>
    </r>
    <r>
      <rPr>
        <vertAlign val="superscript"/>
        <sz val="10"/>
        <rFont val="Arial Narrow"/>
        <family val="2"/>
      </rPr>
      <t>1</t>
    </r>
  </si>
  <si>
    <t xml:space="preserve">IQ_OTHER_UNUSUAL_SUPPL
</t>
  </si>
  <si>
    <t>Unaccounted other adjustments</t>
  </si>
  <si>
    <t xml:space="preserve">IQ_EBT_EXCL
</t>
  </si>
  <si>
    <t>(+) Income/(loss) from affiliates</t>
  </si>
  <si>
    <t xml:space="preserve">IQ_INC_EQUITY
</t>
  </si>
  <si>
    <t>(+) Currency exchange gain/(loss)</t>
  </si>
  <si>
    <t xml:space="preserve">IQ_CURRENCY_GAIN
</t>
  </si>
  <si>
    <t>(+) Other non operating income/(expense)</t>
  </si>
  <si>
    <t xml:space="preserve">IQ_OTHER_NON_OPER_EXP_SUPPL
</t>
  </si>
  <si>
    <t>(+) Net interest expenses</t>
  </si>
  <si>
    <t xml:space="preserve">IQ_NET_INTEREST_EXP
</t>
  </si>
  <si>
    <t>Unaccounted difference in expected and Cap IQ values</t>
  </si>
  <si>
    <t>Amortization of Intangibles</t>
  </si>
  <si>
    <t>Note</t>
  </si>
  <si>
    <r>
      <t>1.</t>
    </r>
    <r>
      <rPr>
        <b/>
        <i/>
        <sz val="10"/>
        <rFont val="Arial Narrow"/>
        <family val="2"/>
      </rPr>
      <t xml:space="preserve"> Other Unusual Items</t>
    </r>
    <r>
      <rPr>
        <i/>
        <sz val="10"/>
        <rFont val="Arial Narrow"/>
        <family val="2"/>
      </rPr>
      <t xml:space="preserve"> include  - Forgiveness of Debt, Non Recurring Charges, Special Charges, Unusual Charges, Write-off Of Notes Receivable </t>
    </r>
  </si>
  <si>
    <t>EBIT Reconciliation</t>
  </si>
  <si>
    <t>Unaccounted difference in Expected and Cap IQ values</t>
  </si>
  <si>
    <t>Workpaper 10</t>
  </si>
  <si>
    <t>Mean of Guideline Cos</t>
  </si>
  <si>
    <t>Median of Guideline Cos</t>
  </si>
  <si>
    <t>Q=Last quarter</t>
  </si>
  <si>
    <t>Page End</t>
  </si>
  <si>
    <t>List for guideline cos dropdown</t>
  </si>
  <si>
    <t>Selection</t>
  </si>
  <si>
    <t>Select one to compare with</t>
  </si>
  <si>
    <t>Charting range</t>
  </si>
  <si>
    <t>Workpaper 11</t>
  </si>
  <si>
    <t>DuPont return on assets</t>
  </si>
  <si>
    <t>Net income /</t>
  </si>
  <si>
    <t>Revenues /</t>
  </si>
  <si>
    <t>Rank of</t>
  </si>
  <si>
    <t>Last Twelve Months (LTM)</t>
  </si>
  <si>
    <t>revenues</t>
  </si>
  <si>
    <t>assets</t>
  </si>
  <si>
    <t>Last Fiscal Year (LFY)</t>
  </si>
  <si>
    <t xml:space="preserve">   </t>
  </si>
  <si>
    <t>LFY=Last fiscal year;  LTM=Last twelve months; ROA=Return on assets</t>
  </si>
  <si>
    <t>Workpaper 12</t>
  </si>
  <si>
    <t>DuPont return on equity (ROE)</t>
  </si>
  <si>
    <t>Net Income /</t>
  </si>
  <si>
    <t>Pretax</t>
  </si>
  <si>
    <t>income /</t>
  </si>
  <si>
    <t>EBIT /</t>
  </si>
  <si>
    <t>Assets /</t>
  </si>
  <si>
    <t>ROE on LTM</t>
  </si>
  <si>
    <t>As of</t>
  </si>
  <si>
    <t>ROE on LFY</t>
  </si>
  <si>
    <t>EBIT=Earnings before interest and tax;  LTM=Last twelve months; LFY=Last fiscal year; ROE=Return on equity</t>
  </si>
  <si>
    <t xml:space="preserve">Source: Capital IQ    </t>
  </si>
  <si>
    <t>Workpaper 13</t>
  </si>
  <si>
    <t>2 year</t>
  </si>
  <si>
    <t>3 year</t>
  </si>
  <si>
    <t>LFY to</t>
  </si>
  <si>
    <t>Revenue estimates and growth</t>
  </si>
  <si>
    <t>2 yr average</t>
  </si>
  <si>
    <t>3 yr average</t>
  </si>
  <si>
    <t>NFY to</t>
  </si>
  <si>
    <t>EBITDA estimates and margin</t>
  </si>
  <si>
    <t>Net income estinates and margin</t>
  </si>
  <si>
    <t>LFY=Last fiscal year; LTM=Last twelve months; NFY=Next fiscal year; EBITDA=Earnings before interest, tax, depreciation &amp; amortization; CAGR=Compound annual growth rate</t>
  </si>
  <si>
    <t>Caterpillar Inc.</t>
  </si>
  <si>
    <t>Exhibit 23</t>
  </si>
  <si>
    <t>Value Bridge</t>
  </si>
  <si>
    <t>Value Bridge Summary</t>
  </si>
  <si>
    <t>Value Bridge Logic</t>
  </si>
  <si>
    <t>Do not remove the highlighted cell</t>
  </si>
  <si>
    <t>Cumulative for error bar connectors</t>
  </si>
  <si>
    <t>Start &amp; End</t>
  </si>
  <si>
    <t>Before</t>
  </si>
  <si>
    <t>After</t>
  </si>
  <si>
    <t>Data Label Y Position</t>
  </si>
  <si>
    <t>Cash &amp; short-term investments</t>
  </si>
  <si>
    <t>Excess/(deficient) DFNWC</t>
  </si>
  <si>
    <t>Non-operating assets/(liabilities)</t>
  </si>
  <si>
    <t>Indicated TIC</t>
  </si>
  <si>
    <t>Less: Total debt &amp; capital leases</t>
  </si>
  <si>
    <t>DLOC, DLOM</t>
  </si>
  <si>
    <t>Do not print</t>
  </si>
  <si>
    <t>This page does not print</t>
  </si>
  <si>
    <t>Definitions</t>
  </si>
  <si>
    <t>Capital IQ definitions can be looked up at the Capital IQ website, My Capital IQ&gt;Financial Glossary</t>
  </si>
  <si>
    <t>Item (listed alphabetically)</t>
  </si>
  <si>
    <t>Capital IQ formulas used</t>
  </si>
  <si>
    <t>Definition</t>
  </si>
  <si>
    <t>Activist investor</t>
  </si>
  <si>
    <t>None</t>
  </si>
  <si>
    <t>An individual or group that purchases a public company's shares and/or tries to obtain seats on the company's board</t>
  </si>
  <si>
    <t>with a goal to effect a major change in the company. (www.investopedia.com)</t>
  </si>
  <si>
    <t>Assets or Total assets</t>
  </si>
  <si>
    <t>Book Value</t>
  </si>
  <si>
    <t>See Shareholders' Equity</t>
  </si>
  <si>
    <t>Buildings</t>
  </si>
  <si>
    <t>IQ_BUILDINGS</t>
  </si>
  <si>
    <t>Capitalization</t>
  </si>
  <si>
    <t>IQ_TOTAL_CAP</t>
  </si>
  <si>
    <t>Total common equity + Total preferred equity + Minority interest + Total debt.</t>
  </si>
  <si>
    <t>Cash conversion cycle</t>
  </si>
  <si>
    <t>DSO (Days Sales Outstanding)  + DIO (Days Inventory Outstanding) - DPO (Days Payables Outstanding)</t>
  </si>
  <si>
    <t>Common dividends</t>
  </si>
  <si>
    <t>IQ_COMMON_DIV_CF</t>
  </si>
  <si>
    <t>Common shares outstanding</t>
  </si>
  <si>
    <t>IQ_CLASS_SHARESOUTSTANDING</t>
  </si>
  <si>
    <t>IQ_COST_REV</t>
  </si>
  <si>
    <t>Current portion of LT debt and cap leases</t>
  </si>
  <si>
    <t>Current portion of LT debt and leases</t>
  </si>
  <si>
    <t>Debt or Total debt</t>
  </si>
  <si>
    <t>Debt service coverage ratio</t>
  </si>
  <si>
    <t>Cash flow from operations / (debt repayments + interest expense)</t>
  </si>
  <si>
    <t>Dividend Payout Ratio</t>
  </si>
  <si>
    <t>Total Dividends (Common and Preferred) divided by Net Income</t>
  </si>
  <si>
    <t>Earnings before interest and taxes</t>
  </si>
  <si>
    <t>Earnings before interest and taxes, depreciation and amortization</t>
  </si>
  <si>
    <t>Effective tax rate</t>
  </si>
  <si>
    <t>IQ_EFFECT_TAX_RATE</t>
  </si>
  <si>
    <t>Tax expense / EBT including unusual items</t>
  </si>
  <si>
    <t>Enterprise Value or Total Invested Capital</t>
  </si>
  <si>
    <t>Market capitalization + Total debt + Total preferred equity + Minority interest - Cash &amp; Short term investments. Not used for private companies</t>
  </si>
  <si>
    <t>EV to EBIT</t>
  </si>
  <si>
    <t>IQ_TEV / IQ_EBIT</t>
  </si>
  <si>
    <t>EV / EBIT</t>
  </si>
  <si>
    <t>EV to EBITDA</t>
  </si>
  <si>
    <t>IQ_TEV / IQ_EBITDA</t>
  </si>
  <si>
    <t>EV / EBITDA</t>
  </si>
  <si>
    <t>EV to Revenue</t>
  </si>
  <si>
    <t>IQ_TEV / IQ_TOTAL_REV</t>
  </si>
  <si>
    <t>EV / Revenue</t>
  </si>
  <si>
    <t>Fixed charges</t>
  </si>
  <si>
    <t>Lease expenses, common dividends, preferred dividends, and rent</t>
  </si>
  <si>
    <t>Fixed charges coverage ratio</t>
  </si>
  <si>
    <t>(EBIT + fixed charges) / (Interest + fixed charges)</t>
  </si>
  <si>
    <t xml:space="preserve">This ratio shows the firm's ability to meet its fixed-charge obligations, and is typically calculated by taking </t>
  </si>
  <si>
    <t xml:space="preserve">earnings before interest, depreciation and amortization minus unfunded capital expenditures and distributions divided by </t>
  </si>
  <si>
    <t>fixed charges (annual principal and interest payments).</t>
  </si>
  <si>
    <t>IQ_FLOAT</t>
  </si>
  <si>
    <t>The number of shares outstanding excluding shares held by strategic investors (holdings greater than 5%),</t>
  </si>
  <si>
    <t>company insiders, pension funds, etc. The unit of measurement is millions.</t>
  </si>
  <si>
    <t>Float Percent</t>
  </si>
  <si>
    <t>IQ_FLOAT_PERCENT</t>
  </si>
  <si>
    <t>Percentage of shares outstanding owned by investors other than strategic 5% investors and insiders</t>
  </si>
  <si>
    <t>Gross working capital</t>
  </si>
  <si>
    <t>Accounts receivable + inventory + accounts payable</t>
  </si>
  <si>
    <t>Holding period return</t>
  </si>
  <si>
    <t>(Ending period stock price - Starting period stock price + Dividends over the period(s)) / Starting stock price. If the period is more than one year, result shows the absolute return, not on an annual basis.</t>
  </si>
  <si>
    <t>IQ_TR_IMPLIED_EV</t>
  </si>
  <si>
    <t>(Total Consideration to Shareholders divided by Percent Sought)</t>
  </si>
  <si>
    <t>+ Other Consideration</t>
  </si>
  <si>
    <t>+ Total Earnouts</t>
  </si>
  <si>
    <t>+ Total Rights.Warrants/Options</t>
  </si>
  <si>
    <t>+ Adjustment Size</t>
  </si>
  <si>
    <t>+ Net Assumed Liabilities</t>
  </si>
  <si>
    <t>= Implied Enterprise Value</t>
  </si>
  <si>
    <t>Implied Transaction Value</t>
  </si>
  <si>
    <t>IQ_TR_TOTALVALUE</t>
  </si>
  <si>
    <t>Total consideration to shareholders</t>
  </si>
  <si>
    <t>Inventory DIO</t>
  </si>
  <si>
    <t>IQ_INVENTORY / IQ_COST_REV * 365</t>
  </si>
  <si>
    <t>Inventory / Cost of goods sold * 365</t>
  </si>
  <si>
    <t>Land</t>
  </si>
  <si>
    <t>IQ_LAND</t>
  </si>
  <si>
    <t>Lease expense</t>
  </si>
  <si>
    <t>IQ_LEASE_EXPENSE</t>
  </si>
  <si>
    <t>Lease Expense (REIT) [34678] represents the expenses incurred from the company’s leasing operations during the period.</t>
  </si>
  <si>
    <t>Levered Free Cash Flow Margin</t>
  </si>
  <si>
    <t>IQ_LFCF_MARGIN</t>
  </si>
  <si>
    <t>[(EBIT + Interest Expense) * (1-37.5%) + Depreciation &amp; Amort., Total + Other Amortization + Capital Expenditure + Sale (Purchase) of Intangible assets - Change in Net Working Capital]/Revenue</t>
  </si>
  <si>
    <t>Long-term debt and cap leases</t>
  </si>
  <si>
    <t>IQ_LT_DEBT_CAPITAL_LEASES</t>
  </si>
  <si>
    <t>Long-term debt and capital leases. Does not include current portion of LT debt and leases</t>
  </si>
  <si>
    <t>Common stock * price</t>
  </si>
  <si>
    <t>Market to book</t>
  </si>
  <si>
    <t>IQ_MARKETCAP / IQ_TOTAL_EQUITY</t>
  </si>
  <si>
    <t>Market capitalization / shareholders' equity</t>
  </si>
  <si>
    <t>(Total current assets - cash and ST investments) - (Current liabilities - current portion of LT debt)</t>
  </si>
  <si>
    <t>Other Revenues, Total</t>
  </si>
  <si>
    <t>IQ_OTHER_REV</t>
  </si>
  <si>
    <t>Finance Div. Revenues + Insurance Div. Revenues + Gain(Loss) on Sale of Assets (Rev) + Gain(Loss) on Sale of Invest.(Rev) + Interest and Invest. Income (Rev) + Other Revenues.</t>
  </si>
  <si>
    <t>Payables DPO</t>
  </si>
  <si>
    <t>IQ_AP/ IQ_COST_REV * 365</t>
  </si>
  <si>
    <t>Payables / Cost of goods sold * 365</t>
  </si>
  <si>
    <t>Personal property</t>
  </si>
  <si>
    <t>IQ_NPPE - (IQ_LAND + IQ_BUILDINGS)</t>
  </si>
  <si>
    <t>Net PPE - Land &amp; buildings</t>
  </si>
  <si>
    <t>Preferred dividends</t>
  </si>
  <si>
    <t>IQ_PREF_DIV_C</t>
  </si>
  <si>
    <t>Receivables DSO</t>
  </si>
  <si>
    <t>IQ_TOTAL_RECEIV / IQ_TOTAL_REV * 365</t>
  </si>
  <si>
    <t>Receivables / Revenue * 365</t>
  </si>
  <si>
    <t>Rent</t>
  </si>
  <si>
    <t>IQ_NET_RENTAL_EXP_FN</t>
  </si>
  <si>
    <t>Return on assets (ROA)</t>
  </si>
  <si>
    <t>Net income/Total assets</t>
  </si>
  <si>
    <t>Return on equity (ROE)</t>
  </si>
  <si>
    <t>IQ_NI_AVAIL_INCL_CS / IQ_TOTAL_EQUITY</t>
  </si>
  <si>
    <t>Net available to common / Shareholders' equity</t>
  </si>
  <si>
    <t>Return on Invested Capital (ROIC)</t>
  </si>
  <si>
    <t>IQ_EBITDA / IQ_TEV</t>
  </si>
  <si>
    <t>EBITDA / TIC or EBITDA / EV (TIC and EV are equivalent terms, depending on the region of the world)</t>
  </si>
  <si>
    <t>Revenue or Total revenue</t>
  </si>
  <si>
    <t>Revenues + Other Revenues, Total.</t>
  </si>
  <si>
    <t>Shareholders' equity</t>
  </si>
  <si>
    <t>Short-term debt</t>
  </si>
  <si>
    <t>Stock price index</t>
  </si>
  <si>
    <t>None (calc from components)</t>
  </si>
  <si>
    <t>Period-end stock price/Stock price at LFY-2</t>
  </si>
  <si>
    <t>Shareholders equity'  - Goodwill  - Intangibles</t>
  </si>
  <si>
    <t>TIC to EBIT</t>
  </si>
  <si>
    <t>TIC / EBIT</t>
  </si>
  <si>
    <t>TIC to EBITDA</t>
  </si>
  <si>
    <t>TIC / EBITDA</t>
  </si>
  <si>
    <t>TIC to Revenue</t>
  </si>
  <si>
    <t>TIC / Revenue</t>
  </si>
  <si>
    <t>Time-weighted average (TWA)</t>
  </si>
  <si>
    <t>Time-Weighted Average. For a 5-Year TWA, the weighting in the most recent year is 5 / (5+4+3+2+1); the weighting for the second most recent year is 4 / (5+4+3+2+1); etc.</t>
  </si>
  <si>
    <t>Total assets or Assets</t>
  </si>
  <si>
    <t>Total debt or Debt</t>
  </si>
  <si>
    <t>Total Invested Capital or Enterprise Value</t>
  </si>
  <si>
    <t>Total revenue or Revenue</t>
  </si>
  <si>
    <t>TWA</t>
  </si>
  <si>
    <t>Z-Score</t>
  </si>
  <si>
    <t>Altman metric for likelihood of bankruptcy. For more information, click on the link below (you must be connected to the internet).</t>
  </si>
  <si>
    <t>http://en.wikipedia.org/wiki/Altman_Z-score</t>
  </si>
  <si>
    <t>Corporate tax rate reference table</t>
  </si>
  <si>
    <t>Back to Start worksheet</t>
  </si>
  <si>
    <t>Corporate Tax Rates</t>
  </si>
  <si>
    <t>Countries</t>
  </si>
  <si>
    <t>Algeria</t>
  </si>
  <si>
    <t>N/A</t>
  </si>
  <si>
    <t>Argentina</t>
  </si>
  <si>
    <t>Australia</t>
  </si>
  <si>
    <t>Austria</t>
  </si>
  <si>
    <t>Bahamas</t>
  </si>
  <si>
    <t>Bangladesh</t>
  </si>
  <si>
    <t>Belgium</t>
  </si>
  <si>
    <t xml:space="preserve">Bermuda </t>
  </si>
  <si>
    <t>Brazil</t>
  </si>
  <si>
    <t xml:space="preserve">Bulgaria </t>
  </si>
  <si>
    <t>Canada</t>
  </si>
  <si>
    <t xml:space="preserve">Cayman Islands </t>
  </si>
  <si>
    <t xml:space="preserve">Channel slands </t>
  </si>
  <si>
    <t>Chile</t>
  </si>
  <si>
    <t>China</t>
  </si>
  <si>
    <t>Colombia</t>
  </si>
  <si>
    <t xml:space="preserve">Croatia </t>
  </si>
  <si>
    <t xml:space="preserve">Cyprus </t>
  </si>
  <si>
    <t>Czech Republic</t>
  </si>
  <si>
    <t xml:space="preserve">Denmark </t>
  </si>
  <si>
    <t>Egypt</t>
  </si>
  <si>
    <t xml:space="preserve">Finland </t>
  </si>
  <si>
    <t>France</t>
  </si>
  <si>
    <t>Germany</t>
  </si>
  <si>
    <t>Greece</t>
  </si>
  <si>
    <t xml:space="preserve">Hong Kong </t>
  </si>
  <si>
    <t xml:space="preserve">Hungary </t>
  </si>
  <si>
    <t>India</t>
  </si>
  <si>
    <t>Indonesia</t>
  </si>
  <si>
    <t>Iran</t>
  </si>
  <si>
    <t xml:space="preserve">Ireland </t>
  </si>
  <si>
    <t>Israel</t>
  </si>
  <si>
    <t>Italy</t>
  </si>
  <si>
    <t xml:space="preserve">Ivory Coast </t>
  </si>
  <si>
    <t>Japan</t>
  </si>
  <si>
    <t xml:space="preserve">Jordan </t>
  </si>
  <si>
    <t>Kazakhstan</t>
  </si>
  <si>
    <t xml:space="preserve">Kenya </t>
  </si>
  <si>
    <t xml:space="preserve">Kuwait </t>
  </si>
  <si>
    <t xml:space="preserve">Lithuania </t>
  </si>
  <si>
    <t xml:space="preserve">Luxembourg </t>
  </si>
  <si>
    <t>Malaysia</t>
  </si>
  <si>
    <t xml:space="preserve">Mauritius </t>
  </si>
  <si>
    <t>Mexico</t>
  </si>
  <si>
    <t xml:space="preserve">Morocco </t>
  </si>
  <si>
    <t>Netherlands</t>
  </si>
  <si>
    <t xml:space="preserve">New Zealand </t>
  </si>
  <si>
    <t>Nigeria</t>
  </si>
  <si>
    <t>Norway</t>
  </si>
  <si>
    <t xml:space="preserve">Oman </t>
  </si>
  <si>
    <t>Pakistan</t>
  </si>
  <si>
    <t>Peru</t>
  </si>
  <si>
    <t>Philippines</t>
  </si>
  <si>
    <t>Poland</t>
  </si>
  <si>
    <t>Portugal</t>
  </si>
  <si>
    <t xml:space="preserve">Qatar </t>
  </si>
  <si>
    <t>Romania</t>
  </si>
  <si>
    <t>Russia</t>
  </si>
  <si>
    <t>Saudi Arabia</t>
  </si>
  <si>
    <t>Singapore</t>
  </si>
  <si>
    <t>South Africa</t>
  </si>
  <si>
    <t>South Korea</t>
  </si>
  <si>
    <t>Spain</t>
  </si>
  <si>
    <t xml:space="preserve">Sri Lanka </t>
  </si>
  <si>
    <t>Sweden</t>
  </si>
  <si>
    <t>Switzerland</t>
  </si>
  <si>
    <t xml:space="preserve">Taiwan </t>
  </si>
  <si>
    <t>Thailand</t>
  </si>
  <si>
    <t xml:space="preserve">Tunisia </t>
  </si>
  <si>
    <t>Turkey</t>
  </si>
  <si>
    <t>Ukraine</t>
  </si>
  <si>
    <t>United Arab Emirates</t>
  </si>
  <si>
    <t>United Kingdom</t>
  </si>
  <si>
    <t>United States</t>
  </si>
  <si>
    <t>Venezuela</t>
  </si>
  <si>
    <t>Vietnam</t>
  </si>
  <si>
    <t>Others</t>
  </si>
  <si>
    <t>Risk free rate codes</t>
  </si>
  <si>
    <t>MyIndexRow</t>
  </si>
  <si>
    <t>MyIndexIDs</t>
  </si>
  <si>
    <t>MyIndexNames</t>
  </si>
  <si>
    <t>MyRateGroupNames</t>
  </si>
  <si>
    <t>Trading item id</t>
  </si>
  <si>
    <t>Rate Name</t>
  </si>
  <si>
    <t>Rate Group Name</t>
  </si>
  <si>
    <t>IQT26211482</t>
  </si>
  <si>
    <t>Agency Bond Repo Rates - USD - Overnight</t>
  </si>
  <si>
    <t>Agency Bond Repo Rates - USD</t>
  </si>
  <si>
    <t>IQT50027640</t>
  </si>
  <si>
    <t>Australia Government Debt - 2 Year</t>
  </si>
  <si>
    <t>Australia Government Debt</t>
  </si>
  <si>
    <t>IQT26210457</t>
  </si>
  <si>
    <t>Banker's Acceptance Domestic Early Rate - 1 Month</t>
  </si>
  <si>
    <t>Banker's Acceptance Domestic Early Rate</t>
  </si>
  <si>
    <t>IQT26210475</t>
  </si>
  <si>
    <t>Banker's Acceptance Domestic Late Rate - 1 Month</t>
  </si>
  <si>
    <t>Banker's Acceptance Domestic Late Rate</t>
  </si>
  <si>
    <t>IQT26210517</t>
  </si>
  <si>
    <t>Banker's Acceptance Foreign Early Rate - 1 Month</t>
  </si>
  <si>
    <t>Banker's Acceptance Foreign Early Rate</t>
  </si>
  <si>
    <t>IQT26210535</t>
  </si>
  <si>
    <t>Banker's Acceptance Foreign Late Rate - 1 Month</t>
  </si>
  <si>
    <t>Banker's Acceptance Foreign Late Rate</t>
  </si>
  <si>
    <t>IQT100893226</t>
  </si>
  <si>
    <t>BIBOR - THB - 1 Week</t>
  </si>
  <si>
    <t>BIBOR - THB</t>
  </si>
  <si>
    <t>IQT100893130</t>
  </si>
  <si>
    <t>BUBID/BUBOR - RON - Overnight</t>
  </si>
  <si>
    <t>Bubid/Bubor - Ron</t>
  </si>
  <si>
    <t>IQT100893070</t>
  </si>
  <si>
    <t>BUBOR - HUF - Overnight</t>
  </si>
  <si>
    <t>BUBOR - HUF</t>
  </si>
  <si>
    <t>IQT26210879</t>
  </si>
  <si>
    <t>Call Money Rate</t>
  </si>
  <si>
    <t>IQT50027650</t>
  </si>
  <si>
    <t>Canada Government Debt - 2 Year</t>
  </si>
  <si>
    <t>Canada Government Debt</t>
  </si>
  <si>
    <t>IQT26211446</t>
  </si>
  <si>
    <t>Canada Prime Rate</t>
  </si>
  <si>
    <t>IQT26210661</t>
  </si>
  <si>
    <t>Certificate of Deposit Composite Primary Top Rates - USD - 3 Month</t>
  </si>
  <si>
    <t>Certificate of Deposit Composite Primary Top Rates - USD</t>
  </si>
  <si>
    <t>IQT26210936</t>
  </si>
  <si>
    <t>Certificate of Deposit Domestic Early Rate - Eurodollar - 1 Month</t>
  </si>
  <si>
    <t>Certificate of Deposit Domestic Early Rate - Eurodollar</t>
  </si>
  <si>
    <t>IQT26210613</t>
  </si>
  <si>
    <t>Certificate of Deposit Domestic Early Rate - USD - 1 Month</t>
  </si>
  <si>
    <t>Certificate of Deposit Domestic Early Rate - USD</t>
  </si>
  <si>
    <t>IQT26210954</t>
  </si>
  <si>
    <t>Certificate of Deposit Domestic Late Rate - Eurodollar - 1 Month</t>
  </si>
  <si>
    <t>Certificate of Deposit Domestic Late Rate - Eurodollar</t>
  </si>
  <si>
    <t>IQT26210631</t>
  </si>
  <si>
    <t>Certificate of Deposit Domestic Late Rate - USD - 1 Month</t>
  </si>
  <si>
    <t>Certificate of Deposit Domestic Late Rate - USD</t>
  </si>
  <si>
    <t>IQT26210906</t>
  </si>
  <si>
    <t>Certificate of Deposit Domestic Rate - Eurodollar - 7 Month</t>
  </si>
  <si>
    <t>Certificate of Deposit Domestic Rate - Eurodollar</t>
  </si>
  <si>
    <t>IQT26210583</t>
  </si>
  <si>
    <t>Certificate of Deposit Domestic Rate - USD - 7 Month</t>
  </si>
  <si>
    <t>Certificate of Deposit Domestic Rate - USD</t>
  </si>
  <si>
    <t>IQT26211008</t>
  </si>
  <si>
    <t>Certificate of Deposit Foreign Early Rate - Eurodollar - 1 Month</t>
  </si>
  <si>
    <t>Certificate of Deposit Foreign Early Rate - Eurodollar</t>
  </si>
  <si>
    <t>IQT26211026</t>
  </si>
  <si>
    <t>Certificate of Deposit Foreign Late Rate - Eurodollar - 1 Month</t>
  </si>
  <si>
    <t>Certificate of Deposit Foreign Late Rate - Eurodollar</t>
  </si>
  <si>
    <t>IQT26210978</t>
  </si>
  <si>
    <t>Certificate of Deposit Foreign Rate - Eurodollar - 7 Month</t>
  </si>
  <si>
    <t>Certificate of Deposit Foreign Rate - Eurodollar</t>
  </si>
  <si>
    <t>IQT26210885</t>
  </si>
  <si>
    <t>Certificate of Deposit Primary Dealer Rates - Eurodollar - 1 Month</t>
  </si>
  <si>
    <t>Certificate of Deposit Primary Dealer Rates - Eurodollar</t>
  </si>
  <si>
    <t>IQT26210720</t>
  </si>
  <si>
    <t>Certificate of Deposit Yankee Early Rate - USD - 1 Month</t>
  </si>
  <si>
    <t>Certificate of Deposit Yankee Early Rate - USD</t>
  </si>
  <si>
    <t>IQT26210738</t>
  </si>
  <si>
    <t>Certificate of Deposit Yankee Late Rate - USD - 1 Month</t>
  </si>
  <si>
    <t>Certificate of Deposit Yankee Late Rate - USD</t>
  </si>
  <si>
    <t>IQT26210688</t>
  </si>
  <si>
    <t>Certificate of Deposit Yankee Rate - USD - 7 Month</t>
  </si>
  <si>
    <t>Certificate of Deposit Yankee Rate - USD</t>
  </si>
  <si>
    <t>IQT136585891</t>
  </si>
  <si>
    <t>China Government Debt - 3 Year</t>
  </si>
  <si>
    <t>China Government Debt</t>
  </si>
  <si>
    <t>IQT100892994</t>
  </si>
  <si>
    <t>CIBOR - DKK - 2 Day</t>
  </si>
  <si>
    <t>CIBOR - DKK</t>
  </si>
  <si>
    <t>IQT26210765</t>
  </si>
  <si>
    <t>Commercial Paper A1/P1 Rate - USD - 5 Day</t>
  </si>
  <si>
    <t>Commercial Paper A1/P1 Rate - USD</t>
  </si>
  <si>
    <t>IQT26210795</t>
  </si>
  <si>
    <t>Commercial Paper A1/P2 Rate - USD - 5 Day</t>
  </si>
  <si>
    <t>Commercial Paper A1/P2 Rate - USD</t>
  </si>
  <si>
    <t>IQT26210825</t>
  </si>
  <si>
    <t>Commercial Paper A2/P2 Rate - USD - 5 Day</t>
  </si>
  <si>
    <t>Commercial Paper A2/P2 Rate - USD</t>
  </si>
  <si>
    <t>IQT26210861</t>
  </si>
  <si>
    <t>Commercial Paper Primary Hi Grade Composite Rates - USD - 1 Month</t>
  </si>
  <si>
    <t>Commercial Paper Primary Hi Grade Composite Rates - USD</t>
  </si>
  <si>
    <t>IQT136585875</t>
  </si>
  <si>
    <t>Denmark Government Debt - 2 Year</t>
  </si>
  <si>
    <t>Denmark Government Debt</t>
  </si>
  <si>
    <t>IQT100892942</t>
  </si>
  <si>
    <t>Domestic Certificate of Deposit Rates - AUD - 3 Month</t>
  </si>
  <si>
    <t>Domestic Certificate of Deposit Rates - AUD</t>
  </si>
  <si>
    <t>IQT100892854</t>
  </si>
  <si>
    <t>Domestic Deposit Rates - EUR - 2 Day</t>
  </si>
  <si>
    <t>Domestic Deposit Rates - EUR</t>
  </si>
  <si>
    <t>IQT100892738</t>
  </si>
  <si>
    <t>Domestic Deposit Rates - HKD - 1 Month</t>
  </si>
  <si>
    <t>Domestic Deposit Rates - HKD</t>
  </si>
  <si>
    <t>IQT100892698</t>
  </si>
  <si>
    <t>Domestic Deposit Rates - NOK - 1 Month</t>
  </si>
  <si>
    <t>Domestic Deposit Rates - NOK</t>
  </si>
  <si>
    <t>IQT100892634</t>
  </si>
  <si>
    <t>Domestic Deposit Rates - SGD - Overnight</t>
  </si>
  <si>
    <t>Domestic Deposit Rates - SGD</t>
  </si>
  <si>
    <t>IQT100892598</t>
  </si>
  <si>
    <t>Domestic Deposit Rates - VND - Overnight</t>
  </si>
  <si>
    <t>Domestic Deposit Rates - VND</t>
  </si>
  <si>
    <t>IQT100892594</t>
  </si>
  <si>
    <t>EIBOR - AED - 1 Month</t>
  </si>
  <si>
    <t>EIBOR - AED</t>
  </si>
  <si>
    <t>IQT100892570</t>
  </si>
  <si>
    <t>EONIA - EUR - 1 Week</t>
  </si>
  <si>
    <t>EONIA - EUR</t>
  </si>
  <si>
    <t>IQT100892478</t>
  </si>
  <si>
    <t>EUREPO Fixing Rates - Overnight</t>
  </si>
  <si>
    <t>EUREPO Fixing Rates</t>
  </si>
  <si>
    <t>IQT36183761</t>
  </si>
  <si>
    <t>EURIBOR - EUR - 1 Week</t>
  </si>
  <si>
    <t>EURIBOR - EUR</t>
  </si>
  <si>
    <t>IQT100892474</t>
  </si>
  <si>
    <t>Euro Deposit Rates - AUD</t>
  </si>
  <si>
    <t>IQT100892422</t>
  </si>
  <si>
    <t>Euro Deposit Rates - CAD - 2 Day</t>
  </si>
  <si>
    <t>Euro Deposit Rates - CAD</t>
  </si>
  <si>
    <t>IQT100892334</t>
  </si>
  <si>
    <t>Euro Deposit Rates - DKK - 2 Day</t>
  </si>
  <si>
    <t>Euro Deposit Rates - DKK</t>
  </si>
  <si>
    <t>IQT100892306</t>
  </si>
  <si>
    <t>Euro Deposit Rates - EUR - 1 Week</t>
  </si>
  <si>
    <t>Euro Deposit Rates - EUR</t>
  </si>
  <si>
    <t>IQT100892242</t>
  </si>
  <si>
    <t>Euro Deposit Rates - GBP - 2 Day</t>
  </si>
  <si>
    <t>Euro Deposit Rates - GBP</t>
  </si>
  <si>
    <t>IQT100892186</t>
  </si>
  <si>
    <t>Euro Deposit Rates - JPY - 3 Month</t>
  </si>
  <si>
    <t>Euro Deposit Rates - JPY</t>
  </si>
  <si>
    <t>IQT100892150</t>
  </si>
  <si>
    <t>Euro Deposit Rates - NOK - 2 Day</t>
  </si>
  <si>
    <t>Euro Deposit Rates - NOK</t>
  </si>
  <si>
    <t>IQT100892114</t>
  </si>
  <si>
    <t>Euro Deposit Rates - NZD - 2 Day</t>
  </si>
  <si>
    <t>Euro Deposit Rates - NZD</t>
  </si>
  <si>
    <t>IQT100892086</t>
  </si>
  <si>
    <t>Euro Deposit Rates - PLN - 1 Week</t>
  </si>
  <si>
    <t>Euro Deposit Rates - PLN</t>
  </si>
  <si>
    <t>IQT100892046</t>
  </si>
  <si>
    <t>Euro Deposit Rates - SEK - 2 Day</t>
  </si>
  <si>
    <t>Euro Deposit Rates - SEK</t>
  </si>
  <si>
    <t>IQT100891970</t>
  </si>
  <si>
    <t>Euro Deposit Rates - USD - Spot</t>
  </si>
  <si>
    <t>Euro Deposit Rates - USD</t>
  </si>
  <si>
    <t>IQT43943802</t>
  </si>
  <si>
    <t>European Central Bank Bond - 3 Month</t>
  </si>
  <si>
    <t>European Central Bank Bond</t>
  </si>
  <si>
    <t>IQT26211389</t>
  </si>
  <si>
    <t>Fannie Mae Rates - 1 Month</t>
  </si>
  <si>
    <t>Fannie Mae Rates</t>
  </si>
  <si>
    <t>IQT26210882</t>
  </si>
  <si>
    <t>Fed Discount Rate</t>
  </si>
  <si>
    <t>IQT60253584</t>
  </si>
  <si>
    <t>Fed Discount Window Primary Credit Rate</t>
  </si>
  <si>
    <t>IQT26211184</t>
  </si>
  <si>
    <t>Fed Funds Effective Overnight Rate</t>
  </si>
  <si>
    <t>IQT26211196</t>
  </si>
  <si>
    <t>Fed Funds Opening Rate</t>
  </si>
  <si>
    <t>IQT43585336</t>
  </si>
  <si>
    <t>Fed Funds Target Rate</t>
  </si>
  <si>
    <t>IQT26211123</t>
  </si>
  <si>
    <t>Federal Farm Credit Bank Rates - 1 Month</t>
  </si>
  <si>
    <t>Federal Farm Credit Bank Rates</t>
  </si>
  <si>
    <t>IQT26211199</t>
  </si>
  <si>
    <t>Federal Home Loan Bank Rates - 1 Month</t>
  </si>
  <si>
    <t>Federal Home Loan Bank Rates</t>
  </si>
  <si>
    <t>IQT100891334</t>
  </si>
  <si>
    <t>Forward Rate Agreements - USD Gold - 1 Month</t>
  </si>
  <si>
    <t>Forward Rate Agreements - 1M USD Gold</t>
  </si>
  <si>
    <t>IQT100891326</t>
  </si>
  <si>
    <t>Forward Rate Agreements - USD Gold - 2 Month</t>
  </si>
  <si>
    <t>Forward Rate Agreements - USD Gold</t>
  </si>
  <si>
    <t>IQT100891314</t>
  </si>
  <si>
    <t>France Government Debt - 1 Year</t>
  </si>
  <si>
    <t>France Government Debt</t>
  </si>
  <si>
    <t>IQT26211253</t>
  </si>
  <si>
    <t>Freddie Mac Rates - 1 Month</t>
  </si>
  <si>
    <t>Freddie Mac Rates</t>
  </si>
  <si>
    <t>IQT100891298</t>
  </si>
  <si>
    <t>Germany Government Debt - 1 Year</t>
  </si>
  <si>
    <t>Germany Government Debt</t>
  </si>
  <si>
    <t>IQT26211449</t>
  </si>
  <si>
    <t>Germany Prime Rate</t>
  </si>
  <si>
    <t>IQT26211530</t>
  </si>
  <si>
    <t>Ginne Mae Bond Repo Rates - 1 Month</t>
  </si>
  <si>
    <t>Ginne Mae Bond Repo Rates</t>
  </si>
  <si>
    <t>IQT26211461</t>
  </si>
  <si>
    <t>Govermenment Bond Repo Early Rates - USD - Overnight</t>
  </si>
  <si>
    <t>Govermenment Bond Repo Early Rates - USD</t>
  </si>
  <si>
    <t>IQT26211509</t>
  </si>
  <si>
    <t>Govermenment Bond Repo Rates - USD - Overnight</t>
  </si>
  <si>
    <t>Govermenment Bond Repo Rates - USD</t>
  </si>
  <si>
    <t>IQT136585859</t>
  </si>
  <si>
    <t>Greece Government Debt - 2 Year</t>
  </si>
  <si>
    <t>Greece Government Debt</t>
  </si>
  <si>
    <t>IQT100891278</t>
  </si>
  <si>
    <t>HIBOR - HKD - 1 Week</t>
  </si>
  <si>
    <t>HIBOR - HKD</t>
  </si>
  <si>
    <t>IQT136585847</t>
  </si>
  <si>
    <t>Hong Kong Government Debt - 2 Year</t>
  </si>
  <si>
    <t>Hong Kong Government Debt</t>
  </si>
  <si>
    <t>IQT100891214</t>
  </si>
  <si>
    <t>Implied Yield - INR - 1 Week</t>
  </si>
  <si>
    <t>Implied Yield - INR</t>
  </si>
  <si>
    <t>IQT100891162</t>
  </si>
  <si>
    <t>Implied Yield - KRW - 1 Week</t>
  </si>
  <si>
    <t>Implied Yield - KRW</t>
  </si>
  <si>
    <t>IQT100891110</t>
  </si>
  <si>
    <t>Implied Yield - PHP - 1 Week</t>
  </si>
  <si>
    <t>Implied Yield - PHP</t>
  </si>
  <si>
    <t>IQT100890978</t>
  </si>
  <si>
    <t>Interbank Deposits - HKD - Overnight</t>
  </si>
  <si>
    <t>Interbank Deposits - HKD</t>
  </si>
  <si>
    <t>IQT60253602</t>
  </si>
  <si>
    <t>Interest Rate Swaps - USD - 1 Year</t>
  </si>
  <si>
    <t>Interest Rate Swaps - USD</t>
  </si>
  <si>
    <t>IQT100890974</t>
  </si>
  <si>
    <t>Italy Government Debt - 1 Year</t>
  </si>
  <si>
    <t>Italy Government Debt</t>
  </si>
  <si>
    <t>IQT100890958</t>
  </si>
  <si>
    <t>Japan Government Debt - 1 Year</t>
  </si>
  <si>
    <t>Japan Government Debt</t>
  </si>
  <si>
    <t>IQT26211452</t>
  </si>
  <si>
    <t>Japan Prime Rate</t>
  </si>
  <si>
    <t>IQT100890942</t>
  </si>
  <si>
    <t>JIBOR - ZAR - 1 Month</t>
  </si>
  <si>
    <t>JIBOR - ZAR</t>
  </si>
  <si>
    <t>IQT100890910</t>
  </si>
  <si>
    <t>KLIBOR - MYR - Overnight</t>
  </si>
  <si>
    <t>KLIBOR - MYR</t>
  </si>
  <si>
    <t>IQT36183347</t>
  </si>
  <si>
    <t>LIBOR - AUD - Overnight</t>
  </si>
  <si>
    <t>LIBOR - AUD</t>
  </si>
  <si>
    <t>IQT36183392</t>
  </si>
  <si>
    <t>LIBOR - CAD - Overnight</t>
  </si>
  <si>
    <t>LIBOR - CAD</t>
  </si>
  <si>
    <t>IQT36183437</t>
  </si>
  <si>
    <t>LIBOR - CHF - Overnight</t>
  </si>
  <si>
    <t>LIBOR - CHF</t>
  </si>
  <si>
    <t>IQT36183482</t>
  </si>
  <si>
    <t>LIBOR - DKK - Overnight</t>
  </si>
  <si>
    <t>LIBOR - DKK</t>
  </si>
  <si>
    <t>IQT36183527</t>
  </si>
  <si>
    <t>LIBOR - EUR - Overnight</t>
  </si>
  <si>
    <t>LIBOR - EUR</t>
  </si>
  <si>
    <t>IQT36183572</t>
  </si>
  <si>
    <t>LIBOR - GBP - Overnight</t>
  </si>
  <si>
    <t>LIBOR - GBP</t>
  </si>
  <si>
    <t>IQT100890894</t>
  </si>
  <si>
    <t>LIBOR - INR - Overnight</t>
  </si>
  <si>
    <t>LIBOR - INR</t>
  </si>
  <si>
    <t>IQT36183617</t>
  </si>
  <si>
    <t>LIBOR - JPY - Overnight</t>
  </si>
  <si>
    <t>LIBOR - JPY</t>
  </si>
  <si>
    <t>IQT100890866</t>
  </si>
  <si>
    <t>LIBOR - LVL - Overnight</t>
  </si>
  <si>
    <t>LIBOR - LVL</t>
  </si>
  <si>
    <t>IQT36183662</t>
  </si>
  <si>
    <t>LIBOR - NZD - Overnight</t>
  </si>
  <si>
    <t>LIBOR - NZD</t>
  </si>
  <si>
    <t>IQT36183707</t>
  </si>
  <si>
    <t>LIBOR - SEK - Overnight</t>
  </si>
  <si>
    <t>LIBOR - SEK</t>
  </si>
  <si>
    <t>IQT100890834</t>
  </si>
  <si>
    <t>LIBOR - TRY - Overnight</t>
  </si>
  <si>
    <t>LIBOR - TRY</t>
  </si>
  <si>
    <t>IQT36183752</t>
  </si>
  <si>
    <t>LIBOR - USD - Overnight</t>
  </si>
  <si>
    <t>LIBOR - USD</t>
  </si>
  <si>
    <t>IQT50027672</t>
  </si>
  <si>
    <t>Netherlands Government Debt - 2 Year</t>
  </si>
  <si>
    <t>Netherlands Government Debt</t>
  </si>
  <si>
    <t>IQT100890794</t>
  </si>
  <si>
    <t>NIBOR - NOK - 2 Day</t>
  </si>
  <si>
    <t>NIBOR - NOK</t>
  </si>
  <si>
    <t>IQT184536267</t>
  </si>
  <si>
    <t>Portugal Government Debt - 3 Year</t>
  </si>
  <si>
    <t>Portugal Government Debt</t>
  </si>
  <si>
    <t>IQT100890726</t>
  </si>
  <si>
    <t>PRIBOR - CZK - Overnight</t>
  </si>
  <si>
    <t>PRIBOR - CZK</t>
  </si>
  <si>
    <t>IQT100890698</t>
  </si>
  <si>
    <t>REIBOR - ISK - Overnight</t>
  </si>
  <si>
    <t>REIBOR - ISK</t>
  </si>
  <si>
    <t>IQT26211554</t>
  </si>
  <si>
    <t>Sallie Mae Rates - 1 Month</t>
  </si>
  <si>
    <t>Sallie Mae Rates</t>
  </si>
  <si>
    <t>IQT100890618</t>
  </si>
  <si>
    <t>SHIBOR - CNY - Overnight</t>
  </si>
  <si>
    <t>SHIBOR - CNY</t>
  </si>
  <si>
    <t>IQT100890586</t>
  </si>
  <si>
    <t>SIBOR - SGD - Overnight</t>
  </si>
  <si>
    <t>SIBOR - SGD</t>
  </si>
  <si>
    <t>IQT136585827</t>
  </si>
  <si>
    <t>Singapore Government Debt - 2 Year</t>
  </si>
  <si>
    <t>Singapore Government Debt</t>
  </si>
  <si>
    <t>IQT100890562</t>
  </si>
  <si>
    <t>SOFIA IBOR - BGN - Overnight</t>
  </si>
  <si>
    <t>Sofia Ibor - BGN</t>
  </si>
  <si>
    <t>IQT136585811</t>
  </si>
  <si>
    <t>South Africa Government Debt - 2 Year</t>
  </si>
  <si>
    <t>South Africa Government Debt</t>
  </si>
  <si>
    <t>IQT136585795</t>
  </si>
  <si>
    <t>South Korea Government Debt - 2 Year</t>
  </si>
  <si>
    <t>South Korea Government Debt</t>
  </si>
  <si>
    <t>IQT50027679</t>
  </si>
  <si>
    <t>Spain Government Debt - 2 Year</t>
  </si>
  <si>
    <t>Spain Government Debt</t>
  </si>
  <si>
    <t>IQT100890526</t>
  </si>
  <si>
    <t>STIBOR - SEK - 2 Day</t>
  </si>
  <si>
    <t>STIBOR - SEK</t>
  </si>
  <si>
    <t>IQT100890494</t>
  </si>
  <si>
    <t>Swap Rates - Annual/Quarterly - USD - 1 Year</t>
  </si>
  <si>
    <t>Swap Rates - Annual/Quarterly - USD</t>
  </si>
  <si>
    <t>IQT100890430</t>
  </si>
  <si>
    <t>Swap Rates - Annual/Semi-Annual - CHF - 2 Year</t>
  </si>
  <si>
    <t>Swap Rates - Annual/Semi-Annual - CHF</t>
  </si>
  <si>
    <t>IQT100890398</t>
  </si>
  <si>
    <t>Swap Rates - Annual/Semi-Annual - EUR - 1 Year</t>
  </si>
  <si>
    <t>Swap Rates - Annual/Semi-Annual - EUR</t>
  </si>
  <si>
    <t>IQT100890338</t>
  </si>
  <si>
    <t>Swap Rates - Annual/Semi-Annual - USD - 2 Year</t>
  </si>
  <si>
    <t>Swap Rates - Annual/Semi-Annual - USD</t>
  </si>
  <si>
    <t>IQT100890306</t>
  </si>
  <si>
    <t>Swap Rates - Quarterly/Quarterly - AUD - 1 Year</t>
  </si>
  <si>
    <t>Swap Rates - Quarterly/Quarterly - AUD</t>
  </si>
  <si>
    <t>IQT100890218</t>
  </si>
  <si>
    <t>Swap Rates - Semi-Annual/Quarterly - USD - 2 Year</t>
  </si>
  <si>
    <t>Swap Rates - Semi-Annual/Quarterly - USD</t>
  </si>
  <si>
    <t>IQT100890178</t>
  </si>
  <si>
    <t>Swap Rates - Semi-Annual/Semi-Annual - AUD - 1 Year</t>
  </si>
  <si>
    <t>Swap Rates - Semi-Annual/Semi-Annual - AUD</t>
  </si>
  <si>
    <t>IQT100890090</t>
  </si>
  <si>
    <t>Swap Rates - Semi-Annual/Semi-Annual - NOK - 1 Year</t>
  </si>
  <si>
    <t>Swap Rates - Semi-Annual/Semi-Annual - NOK</t>
  </si>
  <si>
    <t>IQT50027683</t>
  </si>
  <si>
    <t>Sweden Government Debt - 2 Year</t>
  </si>
  <si>
    <t>Sweden Government Debt</t>
  </si>
  <si>
    <t>IQT50027687</t>
  </si>
  <si>
    <t>Switzerland Government Debt - 2 Year</t>
  </si>
  <si>
    <t>Switzerland Government Debt</t>
  </si>
  <si>
    <t>IQT26211455</t>
  </si>
  <si>
    <t>Switzerland Prime Rate</t>
  </si>
  <si>
    <t>IQT100889962</t>
  </si>
  <si>
    <t>TALIBOR - EEK - Overnight</t>
  </si>
  <si>
    <t>TALIBOR - EEK</t>
  </si>
  <si>
    <t>IQT60253570</t>
  </si>
  <si>
    <t>Treasury Reported Certificate of Deposit Rates - 1 Month</t>
  </si>
  <si>
    <t>Treasury Reported Certificate of Deposit Rates</t>
  </si>
  <si>
    <t>IQT60253564</t>
  </si>
  <si>
    <t>Treasury Reported Commercial Paper Financial Rates - 1 Month</t>
  </si>
  <si>
    <t>Treasury Reported Commercial Paper Financial Rates</t>
  </si>
  <si>
    <t>Not loaded</t>
  </si>
  <si>
    <t>Treasury Reported Commercial Paper Nonfinancial Rates - 1 Month</t>
  </si>
  <si>
    <t>Treasury Reported Commercial Paper Nonfinancial Rates</t>
  </si>
  <si>
    <t>IQT60253576</t>
  </si>
  <si>
    <t>Treasury Reported Eurodollar Deposit Rates</t>
  </si>
  <si>
    <t>IQT26211754</t>
  </si>
  <si>
    <t>United Kingdom Clearing Bank Base Rate Dealer Rate</t>
  </si>
  <si>
    <t>IQT100889954</t>
  </si>
  <si>
    <t>United Kingdom Government Debt</t>
  </si>
  <si>
    <t>IQT26211458</t>
  </si>
  <si>
    <t>United Kingdom Prime Rate</t>
  </si>
  <si>
    <t>IQT60253582</t>
  </si>
  <si>
    <t>United States Prime Rate</t>
  </si>
  <si>
    <t>IQT60253586</t>
  </si>
  <si>
    <t>United States Treasury Bill - 4 Week</t>
  </si>
  <si>
    <t>United States Treasury Bill</t>
  </si>
  <si>
    <t>IQT26211604</t>
  </si>
  <si>
    <t>United States Treasury Bill Secondary Dealer Rate - 1 Month</t>
  </si>
  <si>
    <t>United States Treasury Bill Secondary Dealer Rate</t>
  </si>
  <si>
    <t>IQT36183815</t>
  </si>
  <si>
    <t>United States Treasury Constant Maturity - 1 Month</t>
  </si>
  <si>
    <t>United States Treasury Constant Maturity</t>
  </si>
  <si>
    <t>IQT60253594</t>
  </si>
  <si>
    <t>United States Treasury Constant Maturity Inflation Indexed - 5 Year</t>
  </si>
  <si>
    <t>United States Treasury Constant Maturity Inflation Indexed</t>
  </si>
  <si>
    <t>IQT100889914</t>
  </si>
  <si>
    <t>VILNIUS IBOR - LTL - Overnight</t>
  </si>
  <si>
    <t>Vilnius Ibor - LTL</t>
  </si>
  <si>
    <t>IQT100889878</t>
  </si>
  <si>
    <t>WIBOR - PLN - Overnight</t>
  </si>
  <si>
    <t>WIBOR - PLN</t>
  </si>
  <si>
    <t>IQT26211775</t>
  </si>
  <si>
    <t>World Bank Discount Rates - 1 Month</t>
  </si>
  <si>
    <t>World Bank Discount Rates</t>
  </si>
  <si>
    <t>Bottom of range</t>
  </si>
  <si>
    <t>Corporate tax rate table</t>
  </si>
  <si>
    <t>Risk Premia Data</t>
  </si>
  <si>
    <t>Back to WACC Worksheet</t>
  </si>
  <si>
    <t>This row is the top anchor for a range.</t>
  </si>
  <si>
    <t>Latest available year</t>
  </si>
  <si>
    <t>2005 Risk Premia Ibbotson Associates</t>
  </si>
  <si>
    <t>In millions</t>
  </si>
  <si>
    <t>Mid/Low</t>
  </si>
  <si>
    <t>Detailed 
10a 10b</t>
  </si>
  <si>
    <t>No detail 10ab</t>
  </si>
  <si>
    <t>Micro Cap</t>
  </si>
  <si>
    <t>Premium_2005</t>
  </si>
  <si>
    <t>2006 Risk Premia Ibbotson Associates</t>
  </si>
  <si>
    <t>Premium_2006</t>
  </si>
  <si>
    <t>Morningstar, Inc. Valuation Edition 2007 Yearbook</t>
  </si>
  <si>
    <t>Premium_2007</t>
  </si>
  <si>
    <t>Morningstar, Inc. Valuation Edition 2008 Yearbook</t>
  </si>
  <si>
    <t>Premium_2008</t>
  </si>
  <si>
    <t>Morningstar, Inc. Valuation Edition 2009 Yearbook</t>
  </si>
  <si>
    <t>Premium_2009</t>
  </si>
  <si>
    <t>Morningstar, Inc. 2010 Ibbotson SBBI Valuation Yearbook</t>
  </si>
  <si>
    <t>Premium_2010</t>
  </si>
  <si>
    <t>This table installed 3/1/2010</t>
  </si>
  <si>
    <t>Morningstar, Inc. 2011 Ibbotson SBBI Valuation Yearbook</t>
  </si>
  <si>
    <t>Premium_2011</t>
  </si>
  <si>
    <t>This table installed 10/12/2011</t>
  </si>
  <si>
    <t>Morningstar, Inc. 2012 Ibbotson SBBI Valuation Yearbook</t>
  </si>
  <si>
    <t xml:space="preserve"> - </t>
  </si>
  <si>
    <t>Premium_2012</t>
  </si>
  <si>
    <t>This table installed 4/5/2013</t>
  </si>
  <si>
    <t>Morningstar, Inc. 2013 Ibbotson SBBI Valuation Yearbook</t>
  </si>
  <si>
    <t>Premium_2013</t>
  </si>
  <si>
    <t>This table installed 4/5/2014</t>
  </si>
  <si>
    <t>2014 Valuation Handbook - Guide to Cost of Capital</t>
  </si>
  <si>
    <t>Premium_2014</t>
  </si>
  <si>
    <t>This table installed 5/6/2015</t>
  </si>
  <si>
    <t>2015 Valuation Handbook - Guide to Cost of Capital</t>
  </si>
  <si>
    <t>Premium_2015</t>
  </si>
  <si>
    <t>This table installed 2/15/2016</t>
  </si>
  <si>
    <t>2016 Valuation Handbook - Guide to Cost of Capital</t>
  </si>
  <si>
    <t>Premium_2016</t>
  </si>
  <si>
    <t>This table installed 2/6/2016</t>
  </si>
  <si>
    <t>2017 DP Valuation Handbook - Guide to Cost of Capital</t>
  </si>
  <si>
    <t>Premium_2017</t>
  </si>
  <si>
    <t>This table installed 7/6/2017</t>
  </si>
  <si>
    <t>Chart title</t>
  </si>
  <si>
    <t>YOY revenue trend by product</t>
  </si>
  <si>
    <t>Vertical axis title</t>
  </si>
  <si>
    <t>$ millions</t>
  </si>
  <si>
    <t>Pie Chart selector</t>
  </si>
  <si>
    <t>FY05</t>
  </si>
  <si>
    <t>User's Guide</t>
  </si>
  <si>
    <t>Starting</t>
  </si>
  <si>
    <t>You must enable the macros in the model when the file is first opened. The file is stored with all sheets hidden. When the macros are enabled, the model automatically starts the Unhide Worksheets macro to unhide the hidden sheets.  The sheets can only be unhidden through this macro.</t>
  </si>
  <si>
    <t>All input cells are pale yellow with blue font. Make entries into the model only in these cells. Do not touch other cells.</t>
  </si>
  <si>
    <t>You must be logged into Capital IQ</t>
  </si>
  <si>
    <t>Because the model uses Capital IQ for its data downloads, it should be running in your Excel: You should be able to see the "Capital IQ" tab in the ribbon (the Excel menu at the top of the screen). If you do not see it, check with your local help desk to have it enabled.</t>
  </si>
  <si>
    <t>If you do not seem to be connected to Capital IQ, check in the Add-In form that the Capital IQ Worksheet Functions checkbox is checked.</t>
  </si>
  <si>
    <t>To expedite the Capital IQ data refresh, Vista turns off the "Automatically retrieve Capital IQ data" setting (Capital IQ&gt;Settings&gt;Settings&gt;Data) at the start of its macro run, and then turns it back on to retrieve the data at one point in the macro sequence. Vista then sets the auto-retrieve setting to whatever it was set to in your machine when you quit the model.</t>
  </si>
  <si>
    <t>You should be connected to the EY network</t>
  </si>
  <si>
    <t>To benefit from the informational links in the model, you should be signed into the EY network. However, if you are relying only on the Capital IQ data, you do not need to be connected to the EY network.</t>
  </si>
  <si>
    <t>Controls: the ribbon</t>
  </si>
  <si>
    <t>Vista has its own custom ribbon. This has the controls for the macros in the model. You can activate the ribbon by clicking the tab "VISTA".</t>
  </si>
  <si>
    <t xml:space="preserve"> To activate it without a mouse, press Alt and the character "S".</t>
  </si>
  <si>
    <t>Once the Alt+S is entered, the letters that appear against the commands in the ribbon are the keys that will invoke that command. For example, the shortcut keystroke combination to insert a blank worksheet is Alt+S, I.
If you have other add-ins in your Excel that has taken up the shortcut letter "S", the VISTA tab may show other letters such as "Y(x)" where x is a numeral indicating the number of multiple conflicting shortcut letters.</t>
  </si>
  <si>
    <t>How to Begin</t>
  </si>
  <si>
    <t>All input cells are marked with a yellow background as shown here. All other cells contain calculations and formulas and should not be touched.</t>
  </si>
  <si>
    <t>Go the START screen.</t>
  </si>
  <si>
    <t>Vista is a tool to perform a valuation on your subject company. It uses benchmark data from up to 25 other companies (the "guideline public companies"). In typical use, the subject company is a privately held company so that there is no publicly trade share price (which is a measure of value), and the guideline public companies are publicly trade companies. So:</t>
  </si>
  <si>
    <t>The subject company typically requires a manual input of its historical and current data, as well as forecast asssumptions for the "prospective financial information" ("PFI").</t>
  </si>
  <si>
    <t>The guideline public companies will rely on downloads of publicly available data from Capital IQ. You can specify the guideline public company tickers that the model will use, or use (usually for a quick initial research) Capital IQ's Auto-Comp feature to automatically selelct 10 guideline comanies (the Auto Comp has a limit of 10 companlies).</t>
  </si>
  <si>
    <t>Entering Subject Company data manually</t>
  </si>
  <si>
    <t>1. Enter the client name in entry 1.01 (row 12)</t>
  </si>
  <si>
    <t>2. Enter the valuation date in Column I of entry 1.04. The valuation date is important as it defines the point in time for discounting purposes.</t>
  </si>
  <si>
    <t>3. As this is a privately held company, DO NOT enter any tickers in Cell G23. There is also NO need to click the button marked "Get Public Subject Co Data"</t>
  </si>
  <si>
    <t>4. Enter other information as appropriate.</t>
  </si>
  <si>
    <t>5. Review all other settings at the bottom of the START sheet</t>
  </si>
  <si>
    <t>6. Then go to the worksheet "SUBJ CO Hist IS Input" to enter the income statement historical data for the subject company.</t>
  </si>
  <si>
    <t>7. Go to the SUBJ CO Hist BS Input to enter the balance sheet historical data for the company.</t>
  </si>
  <si>
    <t>Entering Subject Company data by Capital IQ</t>
  </si>
  <si>
    <t>3. Click the button marked "Get Public Subject Co Data". Enter the ticker in the input box in the form. Define or check the valuation date. Select the regional labelling for Total invested capital/Enterprise value and Leverage/Gearing. Click OK.</t>
  </si>
  <si>
    <t xml:space="preserve">4. Then go to the worksheet "SUBJ CO Hist IS Input" and check that the income statement historical data for the subject company has been downloaded properly into the model. The formatting of the data input rows has changed so that it is no longer yellow. </t>
  </si>
  <si>
    <t>5. Go to the SUBJ CO Hist BS Input check that the balance sheet historical data for the subject company has been downloaded properly. The formatting of the data input rows has changed so that it is no longer yellow.</t>
  </si>
  <si>
    <t>Entering the Guideline public company data by Capital IQ</t>
  </si>
  <si>
    <t>Go to the DATA GC worksheet. Click on the "Download Cap IQ Data" button</t>
  </si>
  <si>
    <t>Enter Subject/Proxy Company ticker</t>
  </si>
  <si>
    <t xml:space="preserve">This entry is important only if you wish to have Capital IQ automatically download quideline public companies that are peers to the subject company. If the subject company is not publicly traded, then enter the ticker of a comparable company which by proxy can serve as the anchor company for Capital IQ to auto select the guideline public companies. </t>
  </si>
  <si>
    <t>Use Capital IQ Auto Comps to get Guideline public company data (max 10)</t>
  </si>
  <si>
    <t>Check this box is you wih to have Capital IQ automatically select guideline public companies for the ticker you have entered. The Auto Comp can select only up to 10 companies.</t>
  </si>
  <si>
    <t>If you do not want the Auto Comp feature, leave the two entries blank.</t>
  </si>
  <si>
    <t>Date of valuation</t>
  </si>
  <si>
    <t>Confirm that this is the date of valuation. This should be the same as the date seen in the START page.</t>
  </si>
  <si>
    <t>Regional labelling</t>
  </si>
  <si>
    <t>Select the regional labelling for Total invested capital/Enterprise value and Leverage/Gearing. Click OK.</t>
  </si>
  <si>
    <t>Other menu commands</t>
  </si>
  <si>
    <t>Setup</t>
  </si>
  <si>
    <t>Unhide Worksheets</t>
  </si>
  <si>
    <t>Vista selectively hides all the worksheets during the saving process and then automatically unhides them after the saving is done. Click on this if the macro to unhide does not automatically kick in for some reason.</t>
  </si>
  <si>
    <t>Hide Worksheets</t>
  </si>
  <si>
    <t>This hides supplementary sheets in the model.</t>
  </si>
  <si>
    <t>Insert Blank Sheet</t>
  </si>
  <si>
    <t>You can insert as many blank sheets as required as "scrtach pads", either for your supplementary input worksheets or as output report sheets.</t>
  </si>
  <si>
    <t>Grid View On/Off</t>
  </si>
  <si>
    <t>This is a toggle to turn the grid background off and on. Note: even when the grid is on, it will not appear in the printing (unless you specifically set that in the print setting).</t>
  </si>
  <si>
    <t>Adjust Zoom</t>
  </si>
  <si>
    <t>You can adjust the zoom of the individual worksheets manually. This command allows you to reset the zoom in all the worksheets at onece. A user form gives standard zoom sizes, but you can also set your own custom zoom percentage.</t>
  </si>
  <si>
    <t>Data Input Format</t>
  </si>
  <si>
    <t>You have a cjoice of working with the model with only P&amp;L data, or with P&amp;L and Balance sheet data. (In either case, the model will ask for inputs for working capital and capital expenditures.). When the P&amp;L is selected, the inputs for Balance Sheet, and the outputs for Balance Sheet and the Cash Flow Statement will be hidden.</t>
  </si>
  <si>
    <t>Refresh Data</t>
  </si>
  <si>
    <t>This is equivalent to the Capital IQ refresh workbook command. To refresh a selection within a worksheet, use the Ctrl+Shift+S shortcut.</t>
  </si>
  <si>
    <t>Navigation</t>
  </si>
  <si>
    <t>This is a quick button to get you to the START worksheet from anywhere in the model</t>
  </si>
  <si>
    <t>Table of Contents</t>
  </si>
  <si>
    <t>The Table of Contents serves also as the list of worksheets that will be printed when the "Print Sheets Selected in TOC" is clicked.</t>
  </si>
  <si>
    <t>Go to</t>
  </si>
  <si>
    <t>A dropdown of worksheets to navigate to.</t>
  </si>
  <si>
    <t>Review</t>
  </si>
  <si>
    <t>This command brings you to the Error check sheet which shows areas in the model that might require checking</t>
  </si>
  <si>
    <t>Trace Precedents or Trace Dependents</t>
  </si>
  <si>
    <t>To check precedents or dependents of cells, highlight a range of cells and then click on the icon in the Review section. The Trace Precedents and Trace Dependents macros can do traces on ranges, not just individual cells (the native Excel functionality only traces to and from a single cell).</t>
  </si>
  <si>
    <t>Remove All Arrows</t>
  </si>
  <si>
    <t>The Remove All Arrows removes any of the arrows created in the Trace Precedents or Trace Dependents sequence.</t>
  </si>
  <si>
    <t>Write a Note</t>
  </si>
  <si>
    <t>From anywhere in the sheet, click on this command to write a note through an input form. The note is compiled in a new tab that appear, called Notes. If you highlight a cell or a range of cells while you do this, the location will be noted in the Notes listing.</t>
  </si>
  <si>
    <t>Go to/Return from a Note</t>
  </si>
  <si>
    <t xml:space="preserve">From anywhere in the sheet, click on this command to review the notes made in the Notes worksheet. The cursor is set to find the latest note of the worksheet in which your cursor was located, if any, when you clicked this command. </t>
  </si>
  <si>
    <t>From the Notes tab, you can click on the Go/toReturn from a Note and return to the Vista to the point noted in the Note.</t>
  </si>
  <si>
    <t>Printing</t>
  </si>
  <si>
    <t>Clear Print List in TOC (Table of Contents)</t>
  </si>
  <si>
    <t>The Table of Contents serves as the list of worksheets that the print macro (from the "Print Sheets Selected in TOC" command) will print. This command clears the list to be printed.</t>
  </si>
  <si>
    <t>Use Last Print List</t>
  </si>
  <si>
    <t>After a printing sequence, you might want to retrieve the list of worksheets that you had last used to print. Click this command to use that last set of printouts.</t>
  </si>
  <si>
    <t>Print Selected Sheet(s)</t>
  </si>
  <si>
    <r>
      <t xml:space="preserve">This will print any worksheet whose tab has been selected. This can be just one worksheet (the current sheet) or multiple sheets that have been selected by either Shift+mouse click (to select continguous sheets) or Ctrl+mouse click (to select non-continguous sheets). 
</t>
    </r>
    <r>
      <rPr>
        <b/>
        <sz val="10"/>
        <color theme="1"/>
        <rFont val="Arial Narrow"/>
        <family val="2"/>
      </rPr>
      <t>Always</t>
    </r>
    <r>
      <rPr>
        <sz val="10"/>
        <color theme="1"/>
        <rFont val="Arial Narrow"/>
        <family val="2"/>
      </rPr>
      <t xml:space="preserve"> use this command to print (as opposed to doing a manual Excel print command) as the macro includes page formatting and auto filtering (to hide rows with 0s only).</t>
    </r>
  </si>
  <si>
    <t>Gather Sheets to Print</t>
  </si>
  <si>
    <t>This is a way of defining (or gathering) the sheets to be printed. The selected sheets will appear in the Table of Contents (TOC) worksheet, and they will be printed when the "Print Sheets Selected in TOC" command is launched.</t>
  </si>
  <si>
    <t>Print Sheets Selected in TOC</t>
  </si>
  <si>
    <t>Once the list of worksheets has been defined by the "Gather Sheet(s) to Print", this command will start the command that will print all the selected sheets.</t>
  </si>
  <si>
    <t>Other Notes</t>
  </si>
  <si>
    <t>Turning off Capital IQ shortcut keys</t>
  </si>
  <si>
    <t>Capital IQ has its own shortcut keys. The Vista shortcut keys do not work if the Capital IQ keys are enabled. To disable Capital IQ's shortcut keys, go to the Capital IQ tab, Settings, Settings. From the left columns, select General (under Shortcuts). Then uncheck the check box under the General heading at the top of the form.</t>
  </si>
  <si>
    <t>Notes</t>
  </si>
  <si>
    <t>Launched From</t>
  </si>
  <si>
    <t>$E$58</t>
  </si>
  <si>
    <t>Workbook name</t>
  </si>
  <si>
    <t>Cell</t>
  </si>
  <si>
    <t>Formula/Content</t>
  </si>
  <si>
    <t>Click the Write a Note command in the ribbon while anywhere in the model. Use the Go to/Return from a Note to navigate to and from here.</t>
  </si>
  <si>
    <t>DONE</t>
  </si>
  <si>
    <t xml:space="preserve">Inputs </t>
  </si>
  <si>
    <t xml:space="preserve">If the analysis is as of i.e 12/31/2012, financials as of that date won't be available. It's not relevant for RAS, but might be for some users. </t>
  </si>
  <si>
    <t xml:space="preserve">$H$10 </t>
  </si>
  <si>
    <t>General observations:</t>
  </si>
  <si>
    <t>AwABTAVMT0NBTAFI/////wFQLwMAACNDSVEuMC5JUV9TSEFSRVNPVVRTVEFORElORy40LzQvMjAxNgEAAABVhHcDAwAAAAAATO9BKWZ11Qg2Bcp+ZnXVCDZDSVEuVVNELklRX0ZVTExfQ1VSVkVfQU5OVUFMLkFMTENPUlAuQkJCLjIwWS4yLzI4LzIwMTcBAAAAAAAAAAIAAAAJMC4wNDkwMDg1AE0VRjJmddUIx+mTM2Z11QgxQ0lRLjAuSVFfQlVTX1NFR19ERVNDUklQVElPTi4yMDAwLjIvMjgvMjAxNy4uLi4uOQEAAABVhHcDAwAAAAAATRVGMmZ11QhNFUYyZnXVCDBDSVEuMC5JUV9SRVZFTlVFX0VTVC4zLzMxLzIwMTkuMi8yOC8yMDE3LkwuRi5VU0QFAAAAAQAAAAgAAAAVKEludmFsaWQgVGltZSBQZXJpb2QpMgUKLWZ11Qg5Box+ZnXVCCRDSVEuMC5JUV9DT0dTLi0tLjIvMjgvMjAxNy5MLkYuVVNELkMFAAAAAQAAAAgAAAAVKEludmFsaWQgVGltZSBQZXJpb2QpOfU6rWZ11Qg59TqtZnXVCCRDSVEuMC5JUV9TSEFSRVNPVVRTVEFORElORy4xLzE2LzIwMTcBAAAAVYR3AwMAAAAAAP9/dzBmddUI1fNZfmZ11QgZQ0lRLjAuSVFfVk9MVU1FLjYvMjkvMjAxNgEAAABVhHcDAwAAAAAAtHwcK2Z11Qhjaa1+ZnXVCCRDSVEuMC5JUV9TSEFSRVNPVVRTVEFORElORy41LzE2LzIwMTYBAAAAVYR3AwMAAAAAADSMPylmddUIqba7fmZ11QgjQ0lRLjAuSVFfU0hBUkVTT1VUU1RBTkRJTkcuNi8zLzIwMTYBAAAAVYR3AwM</t>
  </si>
  <si>
    <t>AAAAAAMA+2ytmddUIPY+0fmZ11QgkQ0lRLjAuSVFfU0hBUkVTT1VUU1RBTkRJTkcuMy8yMS8yMDE2AQAAAFWEdwMDAAAAAABPVg4oZnXVCJVnzH5mddUIGkNJUS4wLklRX1ZPTFVNRS4xMi8xOS8yMDE2AQAAAFWEdwMDAAAAAAD/f3cwZnXVCHTfZX5mddUIMENJUS4wLklRX0JVU19TRUdfUkVWLjIwMDAuMi8yOC8yMDE3LkwuRi5VU0QuQy4xMgEAAABVhHcDAwAAAAAATRVGMmZ11QhNFUYyZnXVCBpDSVEuMC5JUV9WT0xVTUUuMTIvMzAvMjAxNgEAAABVhHcDAwAAAAAA/393MGZ11QhKuF5+ZnXVCCRDSVEuMC5JUV9TSEFSRVNPVVRTVEFORElORy44LzI5LzIwMTYBAAAAVYR3AwMAAAAAALAF6yxmddUI14+VfmZ11QgkQ0lRLjAuSVFfU0hBUkVTT1VUU1RBTkRJTkcuMy8xMC8yMDE2AQAAAFWEdwMDAAAAAABauRAoZnXVCJAt0X5mddUIGUNJUS4wLklRX1ZPTFVNRS45LzE1LzIwMTYBAAAAVYR3AwMAAAAAALAF6yxmddUIBMuQfmZ11QgkQ0lRLjAuSVFfU0hBUkVTT1VUU1RBTkRJTkcuOC8xNS8yMDE2AQAAAFWEdwMDAAAAAABDae0sZnXVCC63nH5mddUIGUNJUS4wLklRX1ZPTFVNRS4zLzE2LzIwMTYBAAAAVYR3AwMAAAAAAFq5EChmddUI7cnOfmZ11QgkQ0lRLjAuSVFfU0hBUkVTT1VUU1RBTkRJTkcuMS8xMS8yMDE3AQAAAFWEdwMDAAAAAAD/f3cwZnXVCNXzWX5mddUIGkNJUS4wLklRX1ZPTFVNRS4xMS8xNC</t>
  </si>
  <si>
    <t>8yMDE2AQAAAFWEdwMDAAAAAACMYJ8uZnXVCPUtdH5mddUIKkNJUS5JUVQzNjE4MzgzMC5JUV9MQVNUU0FMRVBSSUNFLjIvMjgvMjAxNwEAAAAUHygCAgAAAAQxLjQ5AE0VRjJmddUITg+bM2Z11QgnQ0lRLjAuSVFfUkVWRU5VRV9FU1QuLjIvMjgvMjAxNy5MLkYuVVNEAQAAAFWEdwMDAAAAAACmZwwtZnXVCDkGjH5mddUIK0NJUS4wLklRX0RBX1NVUFBMX0NGLjk5OC4yLzI4LzIwMTcuTC5GLi0tLkMFAAAAAQAAAAgAAAAaKEludmFsaWQgQ3VycmVuY3kgUmVxdWVzdClmOZguZnXVCFRzsIBmddUIGUNJUS4wLklRX1ZPTFVNRS44LzI2LzIwMTYBAAAAVYR3AwMAAAAAALAF6yxmddUIPvKXfmZ11QgrQ0lRLjAuSVFfVE9UQUxfUkVWLjk5OS4yLzI4LzIwMTcuTEZSLkYuLS0uQwUAAAABAAAACAAAABooSW52YWxpZCBDdXJyZW5jeSBSZXF1ZXN0KWY5mC5mddUIWdWygGZ11QgsQ0lRLjAuSVFfREFfU1VQUExfQ0YuMTAwMC4yLzI4LzIwMTcuTC5GLi0tLkMFAAAAAQAAAAgAAAAaKEludmFsaWQgQ3VycmVuY3kgUmVxdWVzdClmOZguZnXVCFnVsoBmddUIJENJUS4wLklRX1NIQVJFU09VVFNUQU5ESU5HLjExLzEvMjAxNgEAAABVhHcDAwAAAAAAjGCfLmZ11QjA8nh+ZnXVCCZDSVEuMC5JUV9FQklUREFfRVNULi4yLzI4LzIwMTcuTC5GLlVTRAEAAABVhHcDAwAAAAAApmcMLWZ11Qg5Box+ZnXVCCpDSVEuSVFUMzYxO</t>
  </si>
  <si>
    <t>DM4MTUuSVFfTEFTVFNBTEVQUklDRS4yLzI4LzIwMTcBAAAABR8oAgIAAAADMC40AE0VRjJmddUITg+bM2Z11QgkQ0lRLjAuSVFfU0hBUkVTT1VUU1RBTkRJTkcuMy8xNC8yMDE2AQAAAFWEdwMDAAAAAABauRAoZnXVCJAt0X5mddUIK0NJUS4wLklRX0JVU19TRUdfTkFNRS4yMDAwLjIvMjgvMjAxNy4uLi4uMTEBAAAAVYR3AwMAAAAAAE0VRjJmddUIkn1EfmZ11QgZQ0lRLjAuSVFfVk9MVU1FLjExLzQvMjAxNgEAAABVhHcDAwAAAAAAjGCfLmZ11QhxkHZ+ZnXVCBlDSVEuMC5JUV9WT0xVTUUuMy8xMS8yMDE2AQAAAFWEdwMDAAAAAABauRAoZnXVCJAt0X5mddUIJUNJUS5JUVQzNjE4MzgxNS5JUV9ZSUVMRF9DVVJWRV9MSVNULjgBAAAABR8oAgMAAAALSVFUMzYxODM4MzYAjLRDMmZ11QhOD5szZnXVCCRDSVEuMC5JUV9TSEFSRVNPVVRTVEFORElORy40LzI1LzIwMTYBAAAAVYR3AwMAAAAAADSMPylmddUII9/CfmZ11Qg1Q0lRLi0tLklRX01FUkdFUl9SRVNUUlVDVFVSRS5JUV9GWS4yLzI4LzIwMTcuTC5GLi0tLkMFAAAAAQAAAAgAAAAaKEludmFsaWQgQ3VycmVuY3kgUmVxdWVzdCmLUEEyZnXVCGkHTn5mddUIL0NJUS4wLklRX0JVU19TRUdfUkVWLjIwMDAuMi8yOC8yMDE3LkwuRi5VU0QuQy43AQAAAFWEdwMDAAAAAABNFUYyZnXVCE0VRjJmddUIK0NJUS4wLklRX1RPVEFMX1JFVi45OTUuMi8yOC8yMDE3</t>
  </si>
  <si>
    <t>LkxGUi5GLi0tLkMFAAAAAQAAAAgAAAAaKEludmFsaWQgQ3VycmVuY3kgUmVxdWVzdClmOZguZnXVCFnVsoBmddUIH0NJUS5JUVQzNjE4MzgzMC5JUV9DT01QQU5ZX05BTUUBAAAAFB8oAgMAAAAxVW5pdGVkIFN0YXRlcyBUcmVhc3VyeSBDb25zdGFudCBNYXR1cml0eSAtIDMgWWVhcgBGioE1ZnXVCKhVmTVmddUIGENJUS4wLklRX1ZPTFVNRS4zLzgvMjAxNgEAAABVhHcDAwAAAAAAWrkQKGZ11QiQLdF+ZnXVCCRDSVEuMC5JUV9TSEFSRVNPVVRTVEFORElORy40LzE5LzIwMTYBAAAAVYR3AwMAAAAAADSMPylmddUIPkDFfmZ11QgeQ0lRLklRNDI4NDU3LklRX0NPTVBBTllfVElDS0VSAQAAAKmJBgADAAAAAABGioE1ZnXVCA05tYBmddUIJENJUS4wLklRX1NIQVJFU09VVFNUQU5ESU5HLjYvMTMvMjAxNgEAAABVhHcDAwAAAAAAwD7bK2Z11QjmLLJ+ZnXVCDtDSVFSQU5HRS5BTElCQUJBLklRX0NPTVBBTllfTkFNRV9RVUlDS19NQVRDSC4xLjUuLi4uLi4uTkFNRQQAAABaYEQABQAAAAMAAAAdQWxpYmFiYSBHcm91cCBIb2xkaW5nIExpbWl0ZWQDAAAAE0FsaWJhYmEuY29tIExpbWl0ZWQDAAAAEUFsaWJhYmEuQ29tLCBJbmMuAwAAAB5BbGliYWJhIFBpY3R1cmVzIEdyb3VwIExpbWl0ZWQDAAAALUFsaWJhYmEgSGVhbHRoIEluZm9ybWF0aW9uIFRlY2hub2xvZ3kgTGltaXRlZIy0QzJmddUIw7g/fmZ11QgZQ0l</t>
  </si>
  <si>
    <t>RLjAuSVFfVk9MVU1FLjEwLzYvMjAxNgEAAABVhHcDAwAAAAAAMgUKLWZ11QjSo4l+ZnXVCCRDSVEuMC5JUV9TSEFSRVNPVVRTVEFORElORy41LzExLzIwMTYBAAAAVYR3AwMAAAAAADSMPylmddUIqba7fmZ11QgkQ0lRLjAuSVFfU0hBUkVTT1VUU1RBTkRJTkcuOS8xNi8yMDE2AQAAAFWEdwMDAAAAAACwBessZnXVCATLkH5mddUIGkNJUS4wLklRX1ZPTFVNRS4xMC8yNS8yMDE2AQAAAFWEdwMDAAAAAACMYJ8uZnXVCDhVe35mddUII0NJUS4wLklRX1NIQVJFU09VVFNUQU5ESU5HLjUvMy8yMDE2AQAAAFWEdwMDAAAAAAA0jD8pZnXVCKd8wH5mddUIGUNJUS4wLklRX1ZPTFVNRS41LzE2LzIwMTYBAAAAVYR3AwMAAAAAADSMPylmddUIqba7fmZ11QgZQ0lRLjAuSVFfVk9MVU1FLjUvMTEvMjAxNgEAAABVhHcDAwAAAAAANIw/KWZ11Qiptrt+ZnXVCCRDSVEuMC5JUV9TSEFSRVNPVVRTVEFORElORy42LzIwLzIwMTYBAAAAVYR3AwMAAAAAAFU1IStmddUIfsqvfmZ11QgZQ0lRLjAuSVFfVk9MVU1FLjgvMjkvMjAxNgEAAABVhHcDAwAAAAAAsAXrLGZ11QjXj5V+ZnXVCCxDSVEuMC5JUV9UT1RBTF9SRVYuMjAwMC4yLzI4LzIwMTcuTEZSLkYuLS0uQwUAAAABAAAACAAAABooSW52YWxpZCBDdXJyZW5jeSBSZXF1ZXN0KWY5mC5mddUIWdWygGZ11QglQ0lRLjAuSVFfU0hBUkVTT1VUU1RBTkRJTkcuMTAvMTEvMjAxNg</t>
  </si>
  <si>
    <t>EAAABVhHcDAwAAAAAAMgUKLWZ11QhOQYd+ZnXVCBpDSVEuMC5JUV9WT0xVTUUuMTEvMjQvMjAxNgEAAABVhHcDAwAAAAAANf6cLmZ11QgeaW9+ZnXVCBlDSVEuMC5JUV9WT0xVTUUuOC8xNS8yMDE2AQAAAFWEdwMDAAAAAACwBessZnXVCC63nH5mddUII0NJUS4wLklRX1NIQVJFU09VVFNUQU5ESU5HLjgvNC8yMDE2AQAAAFWEdwMDAAAAAAC0fBwrZnXVCGJ9oX5mddUIGUNJUS4wLklRX1ZPTFVNRS40LzIyLzIwMTYBAAAAVYR3AwMAAAAAAEzvQSlmddUII9/CfmZ11QgZQ0lRLjAuSVFfVk9MVU1FLjgvMzAvMjAxNgEAAABVhHcDAwAAAAAAsAXrLGZ11QjXj5V+ZnXVCB9DSVEuSVFUMzYxODM4MzAuSVFfUkFURV9DT1VOVFJZAQAAABQfKAIDAAAAGFVuaXRlZCBTdGF0ZXMgb2YgQW1lcmljYQBGioE1ZnXVCKhVmTVmddUIJUNJUS5JUVQzNjE4MzgxNS5JUV9ZSUVMRF9DVVJWRV9MSVNULjcBAAAABR8oAgMAAAALSVFUMzYxODM4MzMAjLRDMmZ11QhOD5szZnXVCBlDSVEuMC5JUV9WT0xVTUUuMy8yMi8yMDE2AQAAAFWEdwMDAAAAAABauRAoZnXVCJVnzH5mddUIK0NJUS4wLklRX1RPVEFMX1JFVi4yMDAwLjIvMjgvMjAxNy5MLkYuVVNELkMBAAAAVYR3AwMAAAAAAE0VRjJmddUIWdWygGZ11QgkQ0lRLjAuSVFfU0hBUkVTT1VUU1RBTkRJTkcuMS8yMy8yMDE3AQAAAFWEdwMDAAAAAAD/f3cwZnXVCPeQV35mddUIN</t>
  </si>
  <si>
    <t>ENJUS4uSVFfQlVTX1NFR19ERVNDUklQVElPTi5MVE0vTEZRLjIvMjgvMjAxNy4uLi4uMTAFAAAAAQAAAAgAAAAUKEludmFsaWQgSWRlbnRpZmllcimLUEEyZnXVCItQQTJmddUIHENJUS5JUVQzNjE4MzgyNC5JUV9SQVRFX1RFUk0BAAAADh8oAgMAAAAGMSBZZWFyAEaKgTVmddUIqFWZNWZ11QgkQ0lRLjAuSVFfU0hBUkVTT1VUU1RBTkRJTkcuMS8xNy8yMDE3AQAAAFWEdwMDAAAAAAD/f3cwZnXVCNXzWX5mddUIJENJUS4wLklRX1NIQVJFU09VVFNUQU5ESU5HLjgvMjUvMjAxNgEAAABVhHcDAwAAAAAAsAXrLGZ11Qg+8pd+ZnXVCDJDSVEuMC5JUV9HV19JTlRBTl9BTU9SVF9DRi4yMDAwLjIvMjgvMjAxNy5MLkYuLS0uQwUAAAABAAAACAAAABooSW52YWxpZCBDdXJyZW5jeSBSZXF1ZXN0KWY5mC5mddUIWdWygGZ11QgZQ0lRLjAuSVFfVk9MVU1FLjQvMjUvMjAxNgEAAABVhHcDAwAAAAAATO9BKWZ11Qgj38J+ZnXVCC9DSVEuMC5JUV9CVVNfU0VHX1JFVi4xOTk5LjIvMjgvMjAxNy5MLkYuVVNELkMuNAEAAABVhHcDAwAAAAAATRVGMmZ11QhNFUYyZnXVCCBDSVEuSVEzODcwNzA3OS5JUV9DT01QQU5ZX1RJQ0tFUgEAAACHn04CAwAAAAAARoqBNWZ11QhZ1bKAZnXVCBlDSVEuMC5JUV9WT0xVTUUuNC8xOS8yMDE2AQAAAFWEdwMDAAAAAABM70EpZnXVCD5AxX5mddUIGUNJUS4wLklRX1ZPTFVNRS4yLzE1LzIw</t>
  </si>
  <si>
    <t>MTcBAAAAVYR3AwMAAAAAAP9/dzBmddUIuGlQfmZ11QgaQ0lRLjAuSVFfVk9MVU1FLjExLzE4LzIwMTYBAAAAVYR3AwMAAAAAADX+nC5mddUIhctxfmZ11QgnQ0lRLi5JUV9UT1RBTF9SRVYuMjAwMC4yLzI4LzIwMTcuTC5GLi5DBQAAAAEAAAAIAAAAFChJbnZhbGlkIElkZW50aWZpZXIpRoqBNWZ11QioVZk1ZnXVCClDSVEuMC5JUV9EQV9TVVBQTF9DRi45OTkuMi8yOC8yMDE3LkwuRi4uQwEAAABVhHcDAwAAAAAAXTlYgGZ11QhdOViAZnXVCBxDSVEuSVFUMzYxODM4MjQuSVFfUkFURV9UWVBFAQAAAA4fKAIDAAAAD0dvdmVybm1lbnQgRGVidABGioE1ZnXVCKhVmTVmddUIGkNJUS4wLklRX1ZPTFVNRS4xMC8xOC8yMDE2AQAAAFWEdwMDAAAAAABmOZguZnXVCPx9gn5mddUIKUNJUS4wLklRX0RBX1NVUFBMX0NGLjk5OC4yLzI4LzIwMTcuTC5GLi5DAQAAAFWEdwMDAAAAAABdOViAZnXVCF05WIBmddUIJUNJUS4wLklRX1NIQVJFU09VVFNUQU5ESU5HLjExLzI5LzIwMTYBAAAAVYR3AwMAAAAAADX+nC5mddUITQhtfmZ11QgqQ0lRLjAuSVFfQlVTX1NFR19OQU1FLjIwMDAuMi8yOC8yMDE3Li4uLi4yAQAAAFWEdwMDAAAAAABNFUYyZnXVCJJ9RH5mddUIJENJUS4wLklRX1NIQVJFU09VVFNUQU5ESU5HLjMvMTYvMjAxNgEAAABVhHcDAwAAAAAAT1YOKGZ11Qjtyc5+ZnXVCBlDSVEuLS0uSVFfUFJJQ0VEQVRFLjQ</t>
  </si>
  <si>
    <t>wOTY3BQAAAAAAAAAIAAAAFChJbnZhbGlkIElkZW50aWZpZXIpi1BBMmZ11QiSQkl+ZnXVCDFDSVEuMC5JUV9CVVNfU0VHX0RFU0NSSVBUSU9OLjIwMDAuMi8yOC8yMDE3Li4uLi4zAQAAAFWEdwMDAAAAAABNFUYyZnXVCE0VRjJmddUIJENJUS4wLklRX1NIQVJFU09VVFNUQU5ESU5HLjQvMjcvMjAxNgEAAABVhHcDAwAAAAAANIw/KWZ11Qgj38J+ZnXVCBlDSVEuMC5JUV9WT0xVTUUuOS8xNi8yMDE2AQAAAFWEdwMDAAAAAACwBessZnXVCATLkH5mddUIKkNJUS4wLklRX1RPVEFMX1JFVi4yMDAwLjIvMjgvMjAxNy5MRlIuRi4uQwEAAABVhHcDAwAAAAAAXTlYgGZ11QhdOViAZnXVCCNDSVEuMC5JUV9TSEFSRVNPVVRTVEFORElORy40LzcvMjAxNgEAAABVhHcDAwAAAAAATO9BKWZ11Qiuosd+ZnXVCCpDSVEuSVFUMzYxODM4MjcuSVFfTEFTVFNBTEVQUklDRS4xLzI4LzIwMTcBAAAAER8oAgIAAAAEMS4yMgBNFUYyZnXVCE4PmzNmddUIJENJUS4wLklRX1NIQVJFU09VVFNUQU5ESU5HLjYvMjgvMjAxNgEAAABVhHcDAwAAAAAArNIeK2Z11Qhjaa1+ZnXVCBpDSVEuMC5JUV9WT0xVTUUuMTEvMTcvMjAxNgEAAABVhHcDAwAAAAAANf6cLmZ11QiFy3F+ZnXVCCRDSVEuMC5JUV9TSEFSRVNPVVRTVEFORElORy45LzI2LzIwMTYBAAAAVYR3AwMAAAAAALAF6yxmddUInWiOfmZ11QglQ0lRLjAuSVFfU0hBUkVTT1VUU1</t>
  </si>
  <si>
    <t>RBTkRJTkcuMTIvMzAvMjAxNgEAAABVhHcDAwAAAAAA/393MGZ11QhKuF5+ZnXVCBlDSVEuMC5JUV9WT0xVTUUuNS8yNi8yMDE2AQAAAFWEdwMDAAAAAABlld0rZnXVCM3xtn5mddUIKUNJUS4wLklRX0RBX1NVUFBMX0NGLjk5Ny4yLzI4LzIwMTcuTC5GLi5DAQAAAFWEdwMDAAAAAABdOViAZnXVCF05WIBmddUIGUNJUS4wLklRX1ZPTFVNRS4xLzMwLzIwMTcBAAAAVYR3AwMAAAAAAP9/dzBmddUIfy5VfmZ11QgZQ0lRLjAuSVFfVk9MVU1FLjEwLzQvMjAxNgEAAABVhHcDAwAAAAAAMgUKLWZ11QjSo4l+ZnXVCCNDSVEuMC5JUV9TSEFSRVNPVVRTVEFORElORy45LzgvMjAxNgEAAABVhHcDAwAAAAAAQ2ntLGZ11QjELpN+ZnXVCClDSVEuMC5JUV9EQV9TVVBQTF9DRi45OTYuMi8yOC8yMDE3LkwuRi4uQwEAAABVhHcDAwAAAAAAXTlYgGZ11QhdOViAZnXVCC5DSVEuLS0uSVFfREFfU1VQUExfQ0YuSVFfRlkuMi8yOC8yMDE3LkwuRi4tLS5DBQAAAAEAAAAIAAAAGihJbnZhbGlkIEN1cnJlbmN5IFJlcXVlc3QpTRVGMmZ11Qj5rauAZnXVCCtDSVEuMC5JUV9JTlRFUkVTVF9FWFAuMjAwMC4yLzI4LzIwMTcuTC5GLi5DAQAAAFWEdwMDAAAAAABdOViAZnXVCF05WIBmddUIL0NJUS4wLklRX0JVU19TRUdfUkVWLjE5OTkuMi8yOC8yMDE3LkwuRi5VU0QuQy4xAQAAAFWEdwMDAAAAAABNFUYyZnXVCE0VRjJmddUIJENJU</t>
  </si>
  <si>
    <t>S4wLklRX1NIQVJFU09VVFNUQU5ESU5HLjMvMjIvMjAxNgEAAABVhHcDAwAAAAAAT1YOKGZ11QiVZ8x+ZnXVCBxDSVEuSVFUMzYxODM4MjcuSVFfUkFURV9UWVBFAQAAABEfKAIDAAAAD0dvdmVybm1lbnQgRGVidABGioE1ZnXVCKhVmTVmddUIGENJUS4wLklRX1ZPTFVNRS44LzEvMjAxNgEAAABVhHcDAwAAAAAArNIeK2Z11QhifaF+ZnXVCC5DSVEuLS0uSVFfR0FJTl9JTlZFU1QuSVFfRlkuMi8yOC8yMDE3LkwuRi4tLS5DBQAAAAEAAAAIAAAAGihJbnZhbGlkIEN1cnJlbmN5IFJlcXVlc3Qpi1BBMmZ11QhpB05+ZnXVCCxDSVEuLklRX0RBX1NVUFBMX0NGLklRX0ZZLjIvMjgvMjAxNy5MLkYuLS0uQwUAAAABAAAACAAAABQoSW52YWxpZCBJZGVudGlmaWVyKV05WIBmddUIXTlYgGZ11QgkQ0lRLjAuSVFfU0hBUkVTT1VUU1RBTkRJTkcuMTEvMi8yMDE2AQAAAFWEdwMDAAAAAACMYJ8uZnXVCMDyeH5mddUIJENJUS4wLklRX1NIQVJFU09VVFNUQU5ESU5HLjgvMTgvMjAxNgEAAABVhHcDAwAAAAAAsAXrLGZ11Qi/VJp+ZnXVCCpDSVEuSVFUMzYxODM4MzMuSVFfTEFTVFNBTEVQUklDRS4yLzI4LzIwMTcBAAAAFx8oAgIAAAAEMS44OQBNFUYyZnXVCE4PmzNmddUIGENJUS4wLklRX1ZPTFVNRS4zLzIvMjAxNgEAAABVhHcDAwAAAAAAWrkQKGZ11QjcjtN+ZnXVCCRDSVEuMC5JUV9TSEFSRVNPVVRTVEFORElORy44</t>
  </si>
  <si>
    <t>LzE2LzIwMTYBAAAAVYR3AwMAAAAAAENp7SxmddUIv1SafmZ11QgZQ0lRLjAuSVFfVk9MVU1FLjMvMTUvMjAxNgEAAABVhHcDAwAAAAAAWrkQKGZ11Qjtyc5+ZnXVCCNDSVEuMC5JUV9TSEFSRVNPVVRTVEFORElORy41LzUvMjAxNgEAAABVhHcDAwAAAAAANIw/KWZ11QgcGb5+ZnXVCCpDSVEuSVFUMzYxODM4NDIuSVFfTEFTVFNBTEVQUklDRS4yLzI4LzIwMTcBAAAAIB8oAgIAAAADMi43AE0VRjJmddUI/LmbNWZ11QgjQ0lRLjAuSVFfU0hBUkVTT1VUU1RBTkRJTkcuOS83LzIwMTYBAAAAVYR3AwMAAAAAAENp7SxmddUIxC6TfmZ11QgyQ0lRLi5JUV9HV19JTlRBTl9BTU9SVF9DRi5JUV9GWS4yLzI4LzIwMTcuTC5GLi0tLkMFAAAAAQAAAAgAAAAUKEludmFsaWQgSWRlbnRpZmllcildOViAZnXVCF05WIBmddUII0NJUS4wLklRX1NIQVJFU09VVFNUQU5ESU5HLjMvNy8yMDE2AQAAAFWEdwMDAAAAAABauRAoZnXVCNyO035mddUIJENJUS4wLklRX1NIQVJFU09VVFNUQU5ESU5HLjcvMTkvMjAxNgEAAABVhHcDAwAAAAAArNIeK2Z11QjhQKZ+ZnXVCBlDSVEuMC5JUV9WT0xVTUUuOC8yNS8yMDE2AQAAAFWEdwMDAAAAAACwBessZnXVCD7yl35mddUIJUNJUS4wLklRX1NIQVJFU09VVFNUQU5ESU5HLjEyLzEyLzIwMTYBAAAAVYR3AwMAAAAAAMmbmi5mddUI9EFofmZ11QgkQ0lRLjAuSVFfU0hBUkVTT1VUU1RBTkR</t>
  </si>
  <si>
    <t>JTkcuMTAvNC8yMDE2AQAAAFWEdwMDAAAAAAAyBQotZnXVCNKjiX5mddUII0NJUS4wLklRX1NIQVJFU09VVFNUQU5ESU5HLjMvOS8yMDE2AQAAAFWEdwMDAAAAAABauRAoZnXVCJAt0X5mddUII0NJUS4wLklRX1NIQVJFU09VVFNUQU5ESU5HLjgvOC8yMDE2AQAAAFWEdwMDAAAAAABDae0sZnXVCIUZn35mddUIJUNJUS5JUVQzNjE4MzgxNS5JUV9ZSUVMRF9DVVJWRV9MSVNULjIBAAAABR8oAgMAAAALSVFUMzYxODM4MTgAjLRDMmZ11QhOD5szZnXVCCNDSVEuMC5JUV9TSEFSRVNPVVRTVEFORElORy4zLzMvMjAxNgEAAABVhHcDAwAAAAAAWrkQKGZ11QjcjtN+ZnXVCBpDSVEuMC5JUV9WT0xVTUUuMTAvMjgvMjAxNgEAAABVhHcDAwAAAAAAjGCfLmZ11QjA8nh+ZnXVCCpDSVEuMC5JUV9CVVNfU0VHX05BTUUuMjAwMC4yLzI4LzIwMTcuLi4uLjQBAAAAVYR3AwMAAAAAAE0VRjJmddUIkn1EfmZ11QgZQ0lRLjAuSVFfVk9MVU1FLjExLzkvMjAxNgEAAABVhHcDAwAAAAAAjGCfLmZ11Qj1LXR+ZnXVCDFDSVEuMC5JUV9CVVNfU0VHX0RFU0NSSVBUSU9OLjIwMDAuMi8yOC8yMDE3Li4uLi41AQAAAFWEdwMDAAAAAABNFUYyZnXVCE0VRjJmddUIKkNJUS5JUVQzNjE4Mzg0NS5JUV9MQVNUU0FMRVBSSUNFLjIvMjgvMjAxNgEAAAAjHygCAgAAAAQyLjYzAE0VRjJmddUITg+bM2Z11QgZQ0lRLjAuSVFfVk9MVU1FLjExLz</t>
  </si>
  <si>
    <t>cvMjAxNgEAAABVhHcDAwAAAAAAjGCfLmZ11QhxkHZ+ZnXVCCRDSVEuMC5JUV9TSEFSRVNPVVRTVEFORElORy40LzE0LzIwMTYBAAAAVYR3AwMAAAAAADSMPylmddUIPkDFfmZ11QgfQ0lRLi5JUV9MQVNUU0FMRVBSSUNFLjIvMjgvMjAxNwUAAAABAAAACAAAABQoSW52YWxpZCBJZGVudGlmaWVyKU0VRjJmddUIx+mTM2Z11QgjQ0lRLjAuSVFfU0hBUkVTT1VUU1RBTkRJTkcuNy82LzIwMTYBAAAAVYR3AwMAAAAAAKzSHitmddUIuAWrfmZ11QgkQ0lRLjAuSVFfU0hBUkVTT1VUU1RBTkRJTkcuNi8yNy8yMDE2AQAAAFWEdwMDAAAAAACs0h4rZnXVCGNprX5mddUIGUNJUS4wLklRX1ZPTFVNRS41LzEyLzIwMTYBAAAAVYR3AwMAAAAAADSMPylmddUIqba7fmZ11QgqQ0lRLklRVDM2MTgzODM2LklRX0xBU1RTQUxFUFJJQ0UuMi8yOC8yMDE2AQAAABofKAICAAAABDEuNTUATRVGMmZ11QhOD5szZnXVCDBDSVEuMC5JUV9CVVNfU0VHX1JFVi4xOTk5LjIvMjgvMjAxNy5MLkYuVVNELkMuMTEBAAAAVYR3AwMAAAAAAE0VRjJmddUITRVGMmZ11QgZQ0lRLjAuSVFfVk9MVU1FLjYvMjgvMjAxNgEAAABVhHcDAwAAAAAAtHwcK2Z11Qhjaa1+ZnXVCBlDSVEuMC5JUV9WT0xVTUUuOS8yNi8yMDE2AQAAAFWEdwMDAAAAAACwBessZnXVCJ1ojn5mddUIGkNJUS4wLklRX1ZPTFVNRS4xMi8xNi8yMDE2AQAAAFWEdwMDAAAAAAD/f</t>
  </si>
  <si>
    <t>3cwZnXVCHTfZX5mddUIGUNJUS4wLklRX1ZPTFVNRS4xLzEyLzIwMTcBAAAAVYR3AwMAAAAAAP9/dzBmddUI1fNZfmZ11QgaQ0lRLjAuSVFfVk9MVU1FLjEwLzE0LzIwMTYBAAAAVYR3AwMAAAAAADIFCi1mddUITkGHfmZ11QgjQ0lRLjAuSVFfU0hBUkVTT1VUU1RBTkRJTkcuNi8yLzIwMTYBAAAAVYR3AwMAAAAAAMA+2ytmddUIPY+0fmZ11QgkQ0lRLjAuSVFfU0hBUkVTT1VUU1RBTkRJTkcuMy8zMC8yMDE2AQAAAFWEdwMDAAAAAABM70EpZnXVCDYFyn5mddUIJENJUS4wLklRX1NIQVJFU09VVFNUQU5ESU5HLjIvMjIvMjAxNwEAAABVhHcDAwAAAAAA/393MGZ11QhpB05+ZnXVCCRDSVEuMC5JUV9TSEFSRVNPVVRTVEFORElORy40LzIxLzIwMTYBAAAAVYR3AwMAAAAAADSMPylmddUII9/CfmZ11QgjQ0lRLjAuSVFfU0hBUkVTT1VUU1RBTkRJTkcuNi82LzIwMTYBAAAAVYR3AwMAAAAAAMA+2ytmddUIPY+0fmZ11QgwQ0lRLjAuSVFfQlVTX1NFR19SRVYuMjAwMC4yLzI4LzIwMTcuTC5GLlVTRC5DLjEwAQAAAFWEdwMDAAAAAABNFUYyZnXVCE0VRjJmddUIHENJUS5JUVQzNjE4MzgyNy5JUV9SQVRFX1RFUk0BAAAAER8oAgMAAAAGMiBZZWFyAEaKgTVmddUIqFWZNWZ11QgZQ0lRLjAuSVFfVk9MVU1FLjgvMTgvMjAxNgEAAABVhHcDAwAAAAAAsAXrLGZ11Qi/VJp+ZnXVCBlDSVEuMC5JUV9WT0xVTUUuMi8xNC8y</t>
  </si>
  <si>
    <t>MDE3AQAAAFWEdwMDAAAAAAD/f3cwZnXVCLhpUH5mddUIKkNJUS5JUVQzNjE4MzgzOS5JUV9MQVNUU0FMRVBSSUNFLjIvMjgvMjAxNwEAAAAdHygCAgAAAAQyLjM2AE0VRjJmddUITg+bM2Z11QgjQ0lRLjAuSVFfU0hBUkVTT1VUU1RBTkRJTkcuNC81LzIwMTYBAAAAVYR3AwMAAAAAAEzvQSlmddUINgXKfmZ11QgkQ0lRLjAuSVFfU0hBUkVTT1VUU1RBTkRJTkcuNi8zMC8yMDE2AQAAAFWEdwMDAAAAAACs0h4rZnXVCLgFq35mddUIJUNJUS4wLklRX1NIQVJFU09VVFNUQU5ESU5HLjEwLzEyLzIwMTYBAAAAVYR3AwMAAAAAADIFCi1mddUITkGHfmZ11QgaQ0lRLjAuSVFfVk9MVU1FLjExLzE1LzIwMTYBAAAAVYR3AwMAAAAAAIxgny5mddUIhctxfmZ11QgZQ0lRLjAuSVFfVk9MVU1FLjgvMTYvMjAxNgEAAABVhHcDAwAAAAAAsAXrLGZ11Qi/VJp+ZnXVCCpDSVEuMC5JUV9CVVNfU0VHX05BTUUuMjAwMC4yLzI4LzIwMTcuLi4uLjkBAAAAVYR3AwMAAAAAAE0VRjJmddUIkn1EfmZ11QgZQ0lRLjAuSVFfVk9MVU1FLjQvMjEvMjAxNgEAAABVhHcDAwAAAAAATO9BKWZ11Qgj38J+ZnXVCCVDSVEuMC5JUV9TSEFSRVNPVVRTVEFORElORy4xMi8yMS8yMDE2AQAAAFWEdwMDAAAAAAD/f3cwZnXVCHTfZX5mddUILUNJUS4tLS5JUV9JTlNfU0VUVExFLklRX0ZZLjIvMjgvMjAxNy5MLkYuLS0uQwUAAAABAAAACAAAABooSW5</t>
  </si>
  <si>
    <t>2YWxpZCBDdXJyZW5jeSBSZXF1ZXN0KYtQQTJmddUIaQdOfmZ11QglQ0lRLjAuSVFfU0hBUkVTT1VUU1RBTkRJTkcuMTAvMjUvMjAxNgEAAABVhHcDAwAAAAAAjGCfLmZ11Qg4VXt+ZnXVCC9DSVEuMC5JUV9CVVNfU0VHX1JFVi4xOTk5LjIvMjgvMjAxNy5MLkYuVVNELkMuNgEAAABVhHcDAwAAAAAATRVGMmZ11QhNFUYyZnXVCBpDSVEuMC5JUV9WT0xVTUUuMTEvMjIvMjAxNgEAAABVhHcDAwAAAAAANf6cLmZ11QgeaW9+ZnXVCDFDSVEuMC5JUV9CVVNfU0VHX0RFU0NSSVBUSU9OLjIwMDAuMi8yOC8yMDE3Li4uLi44AQAAAFWEdwMDAAAAAABNFUYyZnXVCE0VRjJmddUIK0NJUS4wLklRX1RPVEFMX1JFVi45OTguMi8yOC8yMDE3LkxGUi5GLi0tLkMFAAAAAQAAAAgAAAAaKEludmFsaWQgQ3VycmVuY3kgUmVxdWVzdClmOZguZnXVCFnVsoBmddUIGUNJUS4wLklRX1ZPTFVNRS4xMi82LzIwMTYBAAAAVYR3AwMAAAAAADX+nC5mddUIW6RqfmZ11QgYQ0lRLjAuSVFfVk9MVU1FLjkvMi8yMDE2AQAAAFWEdwMDAAAAAACwBessZnXVCNePlX5mddUIGUNJUS4wLklRX1ZPTFVNRS43LzE5LzIwMTYBAAAAVYR3AwMAAAAAAFU1IStmddUI4UCmfmZ11QgYQ0lRLjAuSVFfVk9MVU1FLjMvNy8yMDE2AQAAAFWEdwMDAAAAAABauRAoZnXVCNyO035mddUIJENJUS4wLklRX1NIQVJFU09VVFNUQU5ESU5HLjExLzQvMjAxNgEAAA</t>
  </si>
  <si>
    <t>BVhHcDAwAAAAAAjGCfLmZ11QhxkHZ+ZnXVCCpDSVEuSVFUMzYxODM4MjEuSVFfTEFTVFNBTEVQUklDRS4yLzI4LzIwMTYBAAAACx8oAgIAAAAEMC40NwBNFUYyZnXVCE4PmzNmddUILUNJUS4wLklRX0lOVEVSRVNUX0VYUC4yMDAwLjIvMjgvMjAxNy5MLkYuLS0uQwUAAAABAAAACAAAABooSW52YWxpZCBDdXJyZW5jeSBSZXF1ZXN0KWY5mC5mddUIWdWygGZ11QgZQ0lRLjAuSVFfVk9MVU1FLjMvMTcvMjAxNgEAAABVhHcDAwAAAAAAWrkQKGZ11Qjtyc5+ZnXVCBhDSVEuMC5JUV9WT0xVTUUuMy85LzIwMTYBAAAAVYR3AwMAAAAAAFq5EChmddUIkC3RfmZ11QgZQ0lRLjAuSVFfVk9MVU1FLjQvMTQvMjAxNgEAAABVhHcDAwAAAAAANIw/KWZ11Qg+QMV+ZnXVCCRDSVEuMC5JUV9TSEFSRVNPVVRTVEFORElORy44LzEwLzIwMTYBAAAAVYR3AwMAAAAAAENp7SxmddUIhRmffmZ11QgZQ0lRLjAuSVFfVk9MVU1FLjYvMjcvMjAxNgEAAABVhHcDAwAAAAAAtHwcK2Z11Qhjaa1+ZnXVCBlDSVEuMC5JUV9WT0xVTUUuOC8zMS8yMDE2AQAAAFWEdwMDAAAAAACwBessZnXVCNePlX5mddUII0NJUS4wLklRX1NIQVJFU09VVFNUQU5ESU5HLjkvNS8yMDE2AQAAAFWEdwMDAAAAAABDae0sZnXVCNePlX5mddUIGUNJUS4wLklRX1ZPTFVNRS42LzMwLzIwMTYBAAAAVYR3AwMAAAAAALR8HCtmddUIuAWrfmZ11QgqQ0lRLklRVDM2M</t>
  </si>
  <si>
    <t>TgzODMwLklRX0xBU1RTQUxFUFJJQ0UuMi8yOC8yMDE2AQAAABQfKAICAAAABDAuOTMATRVGMmZ11QhOD5szZnXVCCVDSVEuMC5JUV9TSEFSRVNPVVRTVEFORElORy4xMS8xOC8yMDE2AQAAAFWEdwMDAAAAAAA1/pwuZnXVCIXLcX5mddUIGUNJUS4wLklRX1ZPTFVNRS4yLzI5LzIwMTYBAAAAVYR3AwMAAAAAAFq5EChmddUI3I7TfmZ11QgYQ0lRLjAuSVFfVk9MVU1FLjgvMi8yMDE2AQAAAFWEdwMDAAAAAACs0h4rZnXVCGJ9oX5mddUIJENJUS4wLklRX1NIQVJFU09VVFNUQU5ESU5HLjMvMTUvMjAxNgEAAABVhHcDAwAAAAAAT1YOKGZ11Qjtyc5+ZnXVCB9DSVEuSVFUMzYxODM4MzMuSVFfQ09NUEFOWV9OQU1FAQAAABcfKAIDAAAAMVVuaXRlZCBTdGF0ZXMgVHJlYXN1cnkgQ29uc3RhbnQgTWF0dXJpdHkgLSA1IFllYXIARoqBNWZ11QioVZk1ZnXVCBlDSVEuMC5JUV9WT0xVTUUuMy8xOC8yMDE2AQAAAFWEdwMDAAAAAABauRAoZnXVCO3Jzn5mddUIMENJUS4wLklRX1JFVkVOVUVfRVNULjMvMzEvMjAyMS4yLzI4LzIwMTcuTC5GLlVTRAUAAAABAAAACAAAABUoSW52YWxpZCBUaW1lIFBlcmlvZCmwBessZnXVCJ1ojn5mddUII0NJUS4wLklRX1NIQVJFU09VVFNUQU5ESU5HLjEvOS8yMDE3AQAAAFWEdwMDAAAAAAD/f3cwZnXVCNpVXH5mddUIJENJUS4wLklRX0VCSVRfRVNULi4yLzI4LzIwMTcuTC5GLlVTRAEA</t>
  </si>
  <si>
    <t>AABVhHcDAwAAAAAAQ2ntLGZ11Qg5Box+ZnXVCBhDSVEuMC5JUV9WT0xVTUUuMy8xLzIwMTYBAAAAVYR3AwMAAAAAAFq5EChmddUI3I7TfmZ11QgwQ0lRLjAuSVFfUkVWRU5VRV9FU1QuMy8zMS8yMDE4LjIvMjgvMjAxNy5MLkYuVVNEBQAAAAEAAAAIAAAAFShJbnZhbGlkIFRpbWUgUGVyaW9kKTIFCi1mddUIOQaMfmZ11QgkQ0lRLjAuSVFfU0hBUkVTT1VUU1RBTkRJTkcuNS8yNy8yMDE2AQAAAFWEdwMDAAAAAADAPtsrZnXVCM3xtn5mddUIKkNJUS5JUVQzNjE4MzgxOC5JUV9MQVNUU0FMRVBSSUNFLjIvMjgvMjAxNwEAAAAIHygCAgAAAAQwLjUzAE0VRjJmddUITg+bM2Z11QgZQ0lRLjAuSVFfVk9MVU1FLjQvMTIvMjAxNgEAAABVhHcDAwAAAAAANIw/KWZ11Qiuosd+ZnXVCBlDSVEuMC5JUV9WT0xVTUUuOC8xMC8yMDE2AQAAAFWEdwMDAAAAAACwBessZnXVCIUZn35mddUIK0NJUS4wLklRX1JFVkVOVUVfTlVNX0VTVC4xMDAxLjIvMjgvMjAxNy5DT04BAAAAVYR3AwMAAAAAAIxgny5mddUIw7g/fmZ11QgZQ0lRLjAuSVFfVk9MVU1FLjEwLzcvMjAxNgEAAABVhHcDAwAAAAAAMgUKLWZ11QjSo4l+ZnXVCCtDSVEuMC5JUV9EQV9TVVBQTF9DRi45OTcuMi8yOC8yMDE3LkwuRi4tLS5DBQAAAAEAAAAIAAAAGihJbnZhbGlkIEN1cnJlbmN5IFJlcXVlc3QpZjmYLmZ11QhZ1bKAZnXVCCpDSVEuMC5JUV9UT1RBTF9</t>
  </si>
  <si>
    <t>SRVYuMTAwMC4yLzI4LzIwMTcuTEZSLkYuLkMBAAAAVYR3AwMAAAAAAF05WIBmddUIXTlYgGZ11QgfQ0lRLklRVDM2MTgzODI3LklRX0NPTVBBTllfTkFNRQEAAAARHygCAwAAADFVbml0ZWQgU3RhdGVzIFRyZWFzdXJ5IENvbnN0YW50IE1hdHVyaXR5IC0gMiBZZWFyAEaKgTVmddUIqFWZNWZ11QgkQ0lRLjAuSVFfU0hBUkVTT1VUU1RBTkRJTkcuMy8zMS8yMDE2AQAAAFWEdwMDAAAAAABM70EpZnXVCDYFyn5mddUIGUNJUS4wLklRX1ZPTFVNRS4xMC8zLzIwMTYBAAAAVYR3AwMAAAAAADIFCi1mddUIOQaMfmZ11QgjQ0lRLjAuSVFfU0hBUkVTT1VUU1RBTkRJTkcuNy8xLzIwMTYBAAAAVYR3AwMAAAAAAKzSHitmddUIuAWrfmZ11QgZQ0lRLjAuSVFfVk9MVU1FLjkvMTMvMjAxNgEAAABVhHcDAwAAAAAAsAXrLGZ11QjELpN+ZnXVCBlDSVEuMC5JUV9WT0xVTUUuMy8yMy8yMDE2AQAAAFWEdwMDAAAAAAA0jD8pZnXVCJVnzH5mddUII0NJUS4wLklRX1NIQVJFU09VVFNUQU5ESU5HLjcvNS8yMDE2AQAAAFWEdwMDAAAAAACs0h4rZnXVCLgFq35mddUIGUNJUS4wLklRX1ZPTFVNRS4zLzI0LzIwMTYBAAAAVYR3AwMAAAAAADSMPylmddUIlWfMfmZ11QgjQ0lRLjAuSVFfU0hBUkVTT1VUU1RBTkRJTkcuNS82LzIwMTYBAAAAVYR3AwMAAAAAADSMPylmddUIHBm+fmZ11QgYQ0lRLjAuSVFfVk9MVU1FLjQvMS8yMDE2AQ</t>
  </si>
  <si>
    <t>AAAFWEdwMDAAAAAAA0jD8pZnXVCDYFyn5mddUIKUNJUS4uSVFfQlVTX1NFR19OQU1FLjIwMDAuMi8yOC8yMDE3Li4uLi45BQAAAAEAAAAIAAAAFChJbnZhbGlkIElkZW50aWZpZXIpRoqBNWZ11QioVZk1ZnXVCCRDSVEuMC5JUV9TSEFSRVNPVVRTVEFORElORy43LzI4LzIwMTYBAAAAVYR3AwMAAAAAALR8HCtmddUIVN6jfmZ11QgZQ0lRLjAuSVFfVk9MVU1FLjEvMTMvMjAxNwEAAABVhHcDAwAAAAAA/393MGZ11QjV81l+ZnXVCCNDSVEuMC5JUV9TSEFSRVNPVVRTVEFORElORy4zLzQvMjAxNgEAAABVhHcDAwAAAAAAWrkQKGZ11QjcjtN+ZnXVCCNDSVEuMC5JUV9TSEFSRVNPVVRTVEFORElORy44LzUvMjAxNgEAAABVhHcDAwAAAAAAQ2ntLGZ11QiFGZ9+ZnXVCDFDSVEuMC5JUV9HV19JTlRBTl9BTU9SVF9DRi45OTYuMi8yOC8yMDE3LkwuRi4tLS5DBQAAAAEAAAAIAAAAGihJbnZhbGlkIEN1cnJlbmN5IFJlcXVlc3QpZjmYLmZ11QhZ1bKAZnXVCCRDSVEuMC5JUV9TSEFSRVNPVVRTVEFORElORy4zLzI4LzIwMTYBAAAAVYR3AwMAAAAAAEzvQSlmddUIlWfMfmZ11QgkQ0lRLjAuSVFfU0hBUkVTT1VUU1RBTkRJTkcuMTAvNy8yMDE2AQAAAFWEdwMDAAAAAAAyBQotZnXVCNKjiX5mddUIJUNJUS4wLklRX1NIQVJFU09VVFNUQU5ESU5HLjEwLzI3LzIwMTYBAAAAVYR3AwMAAAAAAIxgny5mddUIOFV7fmZ11QgZQ</t>
  </si>
  <si>
    <t>0lRLjAuSVFfVk9MVU1FLjEvMTgvMjAxNwEAAABVhHcDAwAAAAAA/393MGZ11Qj3kFd+ZnXVCCRDSVEuMC5JUV9TSEFSRVNPVVRTVEFORElORy4yLzIzLzIwMTcBAAAAVYR3AwMAAAAAAP9/dzBmddUI/qRLfmZ11QgaQ0lRLjAuSVFfVk9MVU1FLjEwLzE5LzIwMTYBAAAAVYR3AwMAAAAAAGY5mC5mddUILBqAfmZ11QglQ0lRLjAuSVFfU0hBUkVTT1VUU1RBTkRJTkcuMTEvMjgvMjAxNgEAAABVhHcDAwAAAAAANf6cLmZ11QgeaW9+ZnXVCDBDSVEuMC5JUV9CVVNfU0VHX1JFVi4xOTk5LjIvMjgvMjAxNy5MLkYuVVNELkMuMTMBAAAAVYR3AwMAAAAAAE0VRjJmddUITRVGMmZ11QgZQ0lRLjAuSVFfVk9MVU1FLjEvMTYvMjAxNwEAAABVhHcDAwAAAAAA/393MGZ11QjV81l+ZnXVCBpDSVEuMC5JUV9WT0xVTUUuMTAvMTcvMjAxNgEAAABVhHcDAwAAAAAAZjmYLmZ11Qj23oR+ZnXVCCRDSVEuMC5JUV9TSEFSRVNPVVRTVEFORElORy4yLzIwLzIwMTcBAAAAVYR3AwMAAAAAAP9/dzBmddUIaQdOfmZ11QgjQ0lRLjAuSVFfU0hBUkVTT1VUU1RBTkRJTkcuNC84LzIwMTYBAAAAVYR3AwMAAAAAAEzvQSlmddUIrqLHfmZ11QgjQ0lRLjAuSVFfU0hBUkVTT1VUU1RBTkRJTkcuNC82LzIwMTYBAAAAVYR3AwMAAAAAAEzvQSlmddUIrqLHfmZ11QgZQ0lRLjAuSVFfVk9MVU1FLjEvMTAvMjAxNwEAAABVhHcDAwAAAAAA/393MGZ1</t>
  </si>
  <si>
    <t>1QjaVVx+ZnXVCCRDSVEuMC5JUV9TSEFSRVNPVVRTVEFORElORy45LzI3LzIwMTYBAAAAVYR3AwMAAAAAALAF6yxmddUIOQaMfmZ11QgqQ0lRLklRVDM2MTgzODQyLklRX0xBU1RTQUxFUFJJQ0UuMS8yOC8yMDE3AQAAACAfKAICAAAAAzIuOABNFUYyZnXVCE4PmzNmddUIGUNJUS4wLklRX1ZPTFVNRS41LzI3LzIwMTYBAAAAVYR3AwMAAAAAAGWV3StmddUIzfG2fmZ11QgaQ0lRLjAuSVFfVk9MVU1FLjEyLzE1LzIwMTYBAAAAVYR3AwMAAAAAAP9/dzBmddUI9EFofmZ11QgYQ0lRLjAuSVFfVk9MVU1FLjEvOS8yMDE3AQAAAFWEdwMDAAAAAAD/f3cwZnXVCNpVXH5mddUIGUNJUS4wLklRX1ZPTFVNRS4xMi81LzIwMTYBAAAAVYR3AwMAAAAAADX+nC5mddUITQhtfmZ11QgaQ0lRLjAuSVFfVk9MVU1FLjEyLzI5LzIwMTYBAAAAVYR3AwMAAAAAAP9/dzBmddUISrhefmZ11QgZQ0lRLjAuSVFfVk9MVU1FLjIvMjEvMjAxNwEAAABVhHcDAwAAAAAA/393MGZ11QhpB05+ZnXVCC9DSVEuMC5JUV9CVVNfU0VHX1JFVi4yMDAwLjIvMjgvMjAxNy5MLkYuVVNELkMuOQEAAABVhHcDAwAAAAAATRVGMmZ11QhNFUYyZnXVCB9DSVEuSVFUMzYxODM4MzYuSVFfQ09NUEFOWV9OQU1FAQAAABofKAIDAAAAMVVuaXRlZCBTdGF0ZXMgVHJlYXN1cnkgQ29uc3RhbnQgTWF0dXJpdHkgLSA3IFllYXIARoqBNWZ11QioVZk1ZnXVCCRDSVE</t>
  </si>
  <si>
    <t>uMC5JUV9TSEFSRVNPVVRTVEFORElORy44LzE5LzIwMTYBAAAAVYR3AwMAAAAAALAF6yxmddUIv1SafmZ11QgqQ0lRLjAuSVFfQlVTX1NFR19OQU1FLjIwMDAuMi8yOC8yMDE3Li4uLi4zAQAAAFWEdwMDAAAAAABNFUYyZnXVCJJ9RH5mddUIIkNJUS4wLklRX1BFUklPRERBVEUuMTk5Ni4yLzI4LzIwMTcBAAAAVYR3AwMAAAAAAE0VRjJmddUIkn1EfmZ11QgYQ0lRLjAuSVFfVk9MVU1FLjMvMy8yMDE2AQAAAFWEdwMDAAAAAABauRAoZnXVCNyO035mddUIJENJUS4wLklRX1NIQVJFU09VVFNUQU5ESU5HLjgvMTcvMjAxNgEAAABVhHcDAwAAAAAAsAXrLGZ11Qi/VJp+ZnXVCBlDSVEuMC5JUV9WT0xVTUUuMy8xNC8yMDE2AQAAAFWEdwMDAAAAAABauRAoZnXVCJAt0X5mddUIMkNJUS4wLklRX0JVU19TRUdfREVTQ1JJUFRJT04uMjAwMC4yLzI4LzIwMTcuLi4uLjE0AQAAAFWEdwMDAAAAAABNFUYyZnXVCE0VRjJmddUIJENJUS4wLklRX1NIQVJFU09VVFNUQU5ESU5HLjEvMjAvMjAxNwEAAABVhHcDAwAAAAAA/393MGZ11Qj3kFd+ZnXVCBlDSVEuMC5JUV9WT0xVTUUuMi8xMC8yMDE3AQAAAFWEdwMDAAAAAAA54nkwZnXVCLhpUH5mddUIGkNJUS4wLklRX1ZPTFVNRS4xMS8xNi8yMDE2AQAAAFWEdwMDAAAAAACMYJ8uZnXVCIXLcX5mddUILENJUS4wLklRX0lOVEVSRVNUX0VYUC45OTYuMi8yOC8yMDE3LkwuRi4tLS</t>
  </si>
  <si>
    <t>5DBQAAAAEAAAAIAAAAGihJbnZhbGlkIEN1cnJlbmN5IFJlcXVlc3QpZjmYLmZ11QhZ1bKAZnXVCDBDSVEuMC5JUV9CVVNfU0VHX1JFVi4yMDAwLjIvMjgvMjAxNy5MLkYuVVNELkMuMTEBAAAAVYR3AwMAAAAAAE0VRjJmddUITRVGMmZ11QglQ0lRLjAuSVFfU0hBUkVTT1VUU1RBTkRJTkcuMTIvMjIvMjAxNgEAAABVhHcDAwAAAAAA/393MGZ11Qg+fWN+ZnXVCB9DSVEuSVFUMzYxODM4MjQuSVFfQ09NUEFOWV9OQU1FAQAAAA4fKAIDAAAAMVVuaXRlZCBTdGF0ZXMgVHJlYXN1cnkgQ29uc3RhbnQgTWF0dXJpdHkgLSAxIFllYXIARoqBNWZ11QioVZk1ZnXVCBlDSVEuMC5JUV9WT0xVTUUuNi8yMy8yMDE2AQAAAFWEdwMDAAAAAAC0fBwrZnXVCGNprX5mddUIJUNJUS4wLklRX1NIQVJFU09VVFNUQU5ESU5HLjEwLzE0LzIwMTYBAAAAVYR3AwMAAAAAADIFCi1mddUITkGHfmZ11QgfQ0lRLklRVDM2MTgzODI0LklRX1JBVEVfQ09VTlRSWQEAAAAOHygCAwAAABhVbml0ZWQgU3RhdGVzIG9mIEFtZXJpY2EARoqBNWZ11QioVZk1ZnXVCCRDSVEuMC5JUV9TSEFSRVNPVVRTVEFORElORy43LzE4LzIwMTYBAAAAVYR3AwMAAAAAAKzSHitmddUI4UCmfmZ11QgaQ0lRLjAuSVFfVk9MVU1FLjExLzIxLzIwMTYBAAAAVYR3AwMAAAAAADX+nC5mddUIhctxfmZ11QgcQ0lRLklRVDM2MTgzODQyLklRX1JBVEVfVFlQRQEAAAAgH</t>
  </si>
  <si>
    <t>ygCAwAAAA9Hb3Zlcm5tZW50IERlYnQATRVGMmZ11Qj8uZs1ZnXVCBlDSVEuMC5JUV9WT0xVTUUuNy8yOC8yMDE2AQAAAFWEdwMDAAAAAACs0h4rZnXVCFTeo35mddUIJENJUS4wLklRX1NIQVJFU09VVFNUQU5ESU5HLjMvMTgvMjAxNgEAAABVhHcDAwAAAAAAT1YOKGZ11Qjtyc5+ZnXVCBlDSVEuMC5JUV9WT0xVTUUuMTEvOC8yMDE2AQAAAFWEdwMDAAAAAACMYJ8uZnXVCPUtdH5mddUIJENJUS4wLklRX1NIQVJFU09VVFNUQU5ESU5HLjExLzkvMjAxNgEAAABVhHcDAwAAAAAAjGCfLmZ11Qj1LXR+ZnXVCC9DSVEuMC5JUV9CVVNfU0VHX1JFVi4xOTk5LjIvMjgvMjAxNy5MLkYuVVNELkMuMgEAAABVhHcDAwAAAAAATRVGMmZ11QhNFUYyZnXVCBlDSVEuMC5JUV9WT0xVTUUuMy8yMS8yMDE2AQAAAFWEdwMDAAAAAABauRAoZnXVCJVnzH5mddUIGENJUS4wLklRX1ZPTFVNRS4zLzQvMjAxNgEAAABVhHcDAwAAAAAAWrkQKGZ11QjcjtN+ZnXVCCRDSVEuMC5JUV9TSEFSRVNPVVRTVEFORElORy40LzE1LzIwMTYBAAAAVYR3AwMAAAAAADSMPylmddUIPkDFfmZ11QgjQ0lRLjAuSVFfU0hBUkVTT1VUU1RBTkRJTkcuNy83LzIwMTYBAAAAVYR3AwMAAAAAAKzSHitmddUIOKOofmZ11QgkQ0lRLjAuSVFfU0hBUkVTT1VUU1RBTkRJTkcuMTEvNy8yMDE2AQAAAFWEdwMDAAAAAACMYJ8uZnXVCHGQdn5mddUIHENJUS5JUVQz</t>
  </si>
  <si>
    <t>NjE4MzgyMS5JUV9SQVRFX1RFUk0BAAAACx8oAgMAAAAHNiBNb250aABGioE1ZnXVCKhVmTVmddUIKUNJUS4wLklRX1RPVEFMX1JFVi45OTguMi8yOC8yMDE3LkxGUi5GLi5DAQAAAFWEdwMDAAAAAABdOViAZnXVCF05WIBmddUIGENJUS4wLklRX1ZPTFVNRS41LzIvMjAxNgEAAABVhHcDAwAAAAAATO9BKWZ11QinfMB+ZnXVCCRDSVEuMC5JUV9TSEFSRVNPVVRTVEFORElORy45LzI4LzIwMTYBAAAAVYR3AwMAAAAAADIFCi1mddUIOQaMfmZ11QgaQ0lRLjAuSVFfVk9MVU1FLjEwLzMxLzIwMTYBAAAAVYR3AwMAAAAAAIxgny5mddUIwPJ4fmZ11QgqQ0lRLklRVDM2MTgzODMzLklRX0xBU1RTQUxFUFJJQ0UuMi8yOC8yMDE2AQAAABcfKAICAAAABDEuMjMATRVGMmZ11QhOD5szZnXVCBlDSVEuMC5JUV9WT0xVTUUuOC8yMi8yMDE2AQAAAFWEdwMDAAAAAACwBessZnXVCD7yl35mddUII0NJUS4wLklRX1NIQVJFU09VVFNUQU5ESU5HLjkvNi8yMDE2AQAAAFWEdwMDAAAAAABDae0sZnXVCMQuk35mddUILUNJUS4wLklRX0NBUEVYX0VTVC4zLzMxLzIwMTguMi8yOC8yMDE3LkwuRi4tLQUAAAABAAAACAAAABUoSW52YWxpZCBUaW1lIFBlcmlvZCkyBQotZnXVCDkGjH5mddUIK0NJUS4wLklRX0JVU19TRUdfTkFNRS4yMDAwLjIvMjgvMjAxNy4uLi4uMTIBAAAAVYR3AwMAAAAAAE0VRjJmddUIkn1EfmZ11QglQ0lRLkl</t>
  </si>
  <si>
    <t>RVDM2MTgzODE1LklRX1lJRUxEX0NVUlZFX0xJU1QuNQEAAAAFHygCAwAAAAtJUVQzNjE4MzgyNwCMtEMyZnXVCE4PmzNmddUIL0NJUS4wLklRX0JVU19TRUdfUkVWLjIwMDAuMi8yOC8yMDE3LkwuRi5VU0QuQy40AQAAAFWEdwMDAAAAAABNFUYyZnXVCE0VRjJmddUIJENJUS4wLklRX1NIQVJFU09VVFNUQU5ESU5HLjEwLzUvMjAxNgEAAABVhHcDAwAAAAAAMgUKLWZ11QjSo4l+ZnXVCCRDSVEuMC5JUV9TSEFSRVNPVVRTVEFORElORy4yLzIxLzIwMTcBAAAAVYR3AwMAAAAAAP9/dzBmddUIaQdOfmZ11QgvQ0lRLjAuSVFfRUJJVERBX0VTVC4zLzMxLzIwMjIuMi8yOC8yMDE3LkwuRi5VU0QFAAAAAQAAAAgAAAAVKEludmFsaWQgVGltZSBQZXJpb2QpsAXrLGZ11QidaI5+ZnXVCCNDSVEuMC5JUV9TSEFSRVNPVVRTVEFORElORy4zLzIvMjAxNgEAAABVhHcDAwAAAAAAWrkQKGZ11QjcjtN+ZnXVCCRDSVEuMC5JUV9TSEFSRVNPVVRTVEFORElORy41LzEzLzIwMTYBAAAAVYR3AwMAAAAAADSMPylmddUIqba7fmZ11QgZQ0lRLjAuSVFfVk9MVU1FLjkvMjcvMjAxNgEAAABVhHcDAwAAAAAAsAXrLGZ11Qg5Box+ZnXVCC1DSVEuMC5JUV9DQVBFWF9FU1QuMy8zMS8yMDIxLjIvMjgvMjAxNy5MLkYuLS0FAAAAAQAAAAgAAAAVKEludmFsaWQgVGltZSBQZXJpb2QpsAXrLGZ11QidaI5+ZnXVCCVDSVEuMC5JUV9TSEFSRV</t>
  </si>
  <si>
    <t>NPVVRTVEFORElORy4xMS8zMC8yMDE2AQAAAFWEdwMDAAAAAAA1/pwuZnXVCE0IbX5mddUIJENJUS4wLklRX1NIQVJFU09VVFNUQU5ESU5HLjMvMjQvMjAxNgEAAABVhHcDAwAAAAAATO9BKWZ11QiVZ8x+ZnXVCCtDSVEuMC5JUV9UT1RBTF9SRVYuOTk2LjIvMjgvMjAxNy5MRlIuRi4tLS5DBQAAAAEAAAAIAAAAGihJbnZhbGlkIEN1cnJlbmN5IFJlcXVlc3QpZjmYLmZ11QhZ1bKAZnXVCDJDSVEuMC5JUV9CVVNfU0VHX0RFU0NSSVBUSU9OLjIwMDAuMi8yOC8yMDE3Li4uLi4xMQEAAABVhHcDAwAAAAAATRVGMmZ11QhNFUYyZnXVCBlDSVEuMC5JUV9WT0xVTUUuMy8xMC8yMDE2AQAAAFWEdwMDAAAAAABauRAoZnXVCJAt0X5mddUIMENJUS4wLklRX1JFVkVOVUVfRVNULjMvMzEvMjAyMi4yLzI4LzIwMTcuTC5GLlVTRAUAAAABAAAACAAAABUoSW52YWxpZCBUaW1lIFBlcmlvZCmwBessZnXVCJ1ojn5mddUIJENJUS4wLklRX1NIQVJFU09VVFNUQU5ESU5HLjUvMjQvMjAxNgEAAABVhHcDAwAAAAAAwD7bK2Z11QjN8bZ+ZnXVCDBDSVEuMC5JUV9CVVNfU0VHX1JFVi4xOTk5LjIvMjgvMjAxNy5MLkYuVVNELkMuMTUBAAAAVYR3AwMAAAAAAE0VRjJmddUITRVGMmZ11QgZQ0lRLjAuSVFfVk9MVU1FLjgvMTkvMjAxNgEAAABVhHcDAwAAAAAAsAXrLGZ11Qi/VJp+ZnXVCBlDSVEuMC5JUV9WT0xVTUUuMS8xOS8yMDE3A</t>
  </si>
  <si>
    <t>QAAAFWEdwMDAAAAAAD/f3cwZnXVCPeQV35mddUIJENJUS4wLklRX1NIQVJFU09VVFNUQU5ESU5HLjUvMjAvMjAxNgEAAABVhHcDAwAAAAAAwD7bK2Z11QgcVLl+ZnXVCCRDSVEuMC5JUV9TSEFSRVNPVVRTVEFORElORy4xLzE4LzIwMTcBAAAAVYR3AwMAAAAAAP9/dzBmddUI95BXfmZ11QglQ0lRLjAuSVFfU0hBUkVTT1VUU1RBTkRJTkcuMTAvMTMvMjAxNgEAAABVhHcDAwAAAAAAMgUKLWZ11QhOQYd+ZnXVCCdDSVEuLS0uSVFfREFfU1VQUExfQ0YuLjIvMjgvMjAxNy5MLkYuLkMFAAAAAAAAAAgAAAAUKEludmFsaWQgSWRlbnRpZmllcimMtEMyZnXVCIy0QzJmddUIGUNJUS4wLklRX1ZPTFVNRS44LzE3LzIwMTYBAAAAVYR3AwMAAAAAALAF6yxmddUIv1SafmZ11QglQ0lRLjAuSVFfU0hBUkVTT1VUU1RBTkRJTkcuMTAvMjAvMjAxNgEAAABVhHcDAwAAAAAAZjmYLmZ11QgIuX1+ZnXVCCRDSVEuMC5JUV9TSEFSRVNPVVRTVEFORElORy4xMi8yLzIwMTYBAAAAVYR3AwMAAAAAADX+nC5mddUITQhtfmZ11QgZQ0lRLjAuSVFfVk9MVU1FLjEvMTcvMjAxNwEAAABVhHcDAwAAAAAA/393MGZ11QjV81l+ZnXVCCVDSVEuMC5JUV9TSEFSRVNPVVRTVEFORElORy4xMC8yNC8yMDE2AQAAAFWEdwMDAAAAAACMYJ8uZnXVCDhVe35mddUIJkNJUS5JUVQzNjE4MzgxNS5JUV9ZSUVMRF9DVVJWRV9MSVNULjEwAQAAAAUfKAID</t>
  </si>
  <si>
    <t>AAAAC0lRVDM2MTgzODQyAIy0QzJmddUITg+bM2Z11QgZQ0lRLjAuSVFfVk9MVU1FLjEyLzcvMjAxNgEAAABVhHcDAwAAAAAANf6cLmZ11QhbpGp+ZnXVCCNDSVEuMC5JUV9TSEFSRVNPVVRTVEFORElORy43LzgvMjAxNgEAAABVhHcDAwAAAAAArNIeK2Z11Qg4o6h+ZnXVCCRDSVEuMC5JUV9TSEFSRVNPVVRTVEFORElORy4xMi82LzIwMTYBAAAAVYR3AwMAAAAAADX+nC5mddUIW6RqfmZ11QgxQ0lRLjAuSVFfQlVTX1NFR19ERVNDUklQVElPTi4yMDAwLjIvMjgvMjAxNy4uLi4uMQEAAABVhHcDAwAAAAAATRVGMmZ11QhNFUYyZnXVCBlDSVEuMC5JUV9WT0xVTUUuNy8xOC8yMDE2AQAAAFWEdwMDAAAAAABVNSErZnXVCOFApn5mddUIHENJUS5JUVQzNjE4MzgzOS5JUV9SQVRFX1RFUk0BAAAAHR8oAgMAAAAHMTAgWWVhcgBGioE1ZnXVCKhVmTVmddUIMkNJUS4wLklRX0dXX0lOVEFOX0FNT1JUX0NGLjEwMDAuMi8yOC8yMDE3LkwuRi4tLS5DBQAAAAEAAAAIAAAAGihJbnZhbGlkIEN1cnJlbmN5IFJlcXVlc3QpZjmYLmZ11QhZ1bKAZnXVCClDSVEuLklRX0JVU19TRUdfTkFNRS4yMDAwLjIvMjgvMjAxNy4uLi4uMwUAAAABAAAACAAAABQoSW52YWxpZCBJZGVudGlmaWVyKUaKgTVmddUIqFWZNWZ11QgqQ0lRLklRVDM2MTgzODI0LklRX0xBU1RTQUxFUFJJQ0UuMS8yOC8yMDE3AQAAAA4fKAICAAAABDAuODIATRV</t>
  </si>
  <si>
    <t>GMmZ11QhOD5szZnXVCCpDSVEuLklRX0JVU19TRUdfTkFNRS4yMDAwLjIvMjgvMjAxNy4uLi4uMTQFAAAAAQAAAAgAAAAUKEludmFsaWQgSWRlbnRpZmllcilGioE1ZnXVCKhVmTVmddUILENJUS4wLklRX0lOVEVSRVNUX0VYUC45OTkuMi8yOC8yMDE3LkwuRi4tLS5DBQAAAAEAAAAIAAAAGihJbnZhbGlkIEN1cnJlbmN5IFJlcXVlc3QpZjmYLmZ11QhZ1bKAZnXVCCNDSVEuMC5JUV9TSEFSRVNPVVRTVEFORElORy42LzcvMjAxNgEAAABVhHcDAwAAAAAAwD7bK2Z11Qg9j7R+ZnXVCCRDSVEuMC5JUV9TSEFSRVNPVVRTVEFORElORy42LzIxLzIwMTYBAAAAVYR3AwMAAAAAAFU1IStmddUIfsqvfmZ11QgrQ0lRLjAuSVFfREFfU1VQUExfQ0YuOTk2LjIvMjgvMjAxNy5MLkYuLS0uQwUAAAABAAAACAAAABooSW52YWxpZCBDdXJyZW5jeSBSZXF1ZXN0KWY5mC5mddUIWdWygGZ11QgzQ0lRLi0tLklRX05FVF9JTlRFUkVTVF9FWFAuSVFfRlkuMi8yOC8yMDE3LkwuRi4tLS5DBQAAAAEAAAAIAAAAGihJbnZhbGlkIEN1cnJlbmN5IFJlcXVlc3Qpi1BBMmZ11QhpB05+ZnXVCDBDSVEuMC5JUV9HV19JTlRBTl9BTU9SVF9DRi4yMDAwLjIvMjgvMjAxNy5MLkYuLkMBAAAAVYR3AwMAAAAAAF05WIBmddUIXTlYgGZ11QgZQ0lRLjAuSVFfVk9MVU1FLjQvMTUvMjAxNgEAAABVhHcDAwAAAAAANIw/KWZ11Qg+QMV+ZnXVCBxDSV</t>
  </si>
  <si>
    <t>EuSVFUMzYxODM4MzYuSVFfUkFURV9UWVBFAQAAABofKAIDAAAAD0dvdmVybm1lbnQgRGVidABGioE1ZnXVCKhVmTVmddUIGUNJUS4wLklRX1ZPTFVNRS41LzIwLzIwMTYBAAAAVYR3AwMAAAAAAGWV3StmddUIHFS5fmZ11Qg0Q0lRLi0tLklRX0dXX0lOVEFOX0FNT1JUX0NGLklRX0ZZLjIvMjgvMjAxNy5MLkYuLS0uQwUAAAABAAAACAAAABooSW52YWxpZCBDdXJyZW5jeSBSZXF1ZXN0KU0VRjJmddUI+a2rgGZ11QgZQ0lRLjAuSVFfVk9MVU1FLjkvMjgvMjAxNgEAAABVhHcDAwAAAAAApmcMLWZ11Qg5Box+ZnXVCC9DSVEuMC5JUV9CVVNfU0VHX1JFVi4yMDAwLjIvMjgvMjAxNy5MLkYuVVNELkMuMgEAAABVhHcDAwAAAAAATRVGMmZ11QhNFUYyZnXVCBlDSVEuMC5JUV9WT0xVTUUuNi8yMS8yMDE2AQAAAFWEdwMDAAAAAAC0fBwrZnXVCH7Kr35mddUIKkNJUS5JUVQzNjE4MzgzOS5JUV9MQVNUU0FMRVBSSUNFLjIvMjgvMjAxNgEAAAAdHygCAgAAAAQxLjc2AE0VRjJmddUITg+bM2Z11QglQ0lRLjAuSVFfU0hBUkVTT1VUU1RBTkRJTkcuMTEvMjUvMjAxNgEAAABVhHcDAwAAAAAANf6cLmZ11QgeaW9+ZnXVCBpDSVEuMC5JUV9WT0xVTUUuMTEvMjMvMjAxNgEAAABVhHcDAwAAAAAANf6cLmZ11QgeaW9+ZnXVCBlDSVEuMC5JUV9WT0xVTUUuNS8yMy8yMDE2AQAAAFWEdwMDAAAAAABlld0rZnXVCBxUuX5mddUIL</t>
  </si>
  <si>
    <t>0NJUS4wLklRX0JVU19TRUdfUkVWLjE5OTkuMi8yOC8yMDE3LkwuRi5VU0QuQy43AQAAAFWEdwMDAAAAAABNFUYyZnXVCE0VRjJmddUII0NJUS4wLklRX1NIQVJFU09VVFNUQU5ESU5HLjYvOC8yMDE2AQAAAFWEdwMDAAAAAADAPtsrZnXVCOYssn5mddUIJENJUS4wLklRX1NIQVJFU09VVFNUQU5ESU5HLjIvMjQvMjAxNwEAAABVhHcDAwAAAAAA/393MGZ11QiSQkl+ZnXVCDtDSVEuLS0uSVFfT1RIRVJfTk9OX09QRVJfRVhQX1NVUFBMLklRX0ZZLjIvMjgvMjAxNy5MLkYuLS0uQwUAAAABAAAACAAAABooSW52YWxpZCBDdXJyZW5jeSBSZXF1ZXN0KYtQQTJmddUIaQdOfmZ11QgfQ0lRLklRVDM2MTgzODE4LklRX1JBVEVfQ09VTlRSWQEAAAAIHygCAwAAABhVbml0ZWQgU3RhdGVzIG9mIEFtZXJpY2EARoqBNWZ11QioVZk1ZnXVCCRDSVEuMC5JUV9TSEFSRVNPVVRTVEFORElORy42LzI0LzIwMTYBAAAAVYR3AwMAAAAAAKzSHitmddUIY2mtfmZ11QgaQ0lRLjAuSVFfVk9MVU1FLjExLzEwLzIwMTYBAAAAVYR3AwMAAAAAAIxgny5mddUI9S10fmZ11QgZQ0lRLjAuSVFfVk9MVU1FLjEvMjMvMjAxNwEAAABVhHcDAwAAAAAA/393MGZ11Qj3kFd+ZnXVCCBDSVEuLklRX0NPR1NfRVNULi4yLzI4LzIwMTcuTC5GLgUAAAABAAAACAAAABQoSW52YWxpZCBJZGVudGlmaWVyKYtQQTJmddUIi1BBMmZ11Qg2Q0lRLi0tLklR</t>
  </si>
  <si>
    <t>X09USEVSX1VOVVNVQUxfU1VQUEwuSVFfRlkuMi8yOC8yMDE3LkwuRi4tLS5DBQAAAAEAAAAIAAAAGihJbnZhbGlkIEN1cnJlbmN5IFJlcXVlc3QpTRVGMmZ11QhpB05+ZnXVCCpDSVEuSVFUMzYxODM4MjEuSVFfTEFTVFNBTEVQUklDRS4yLzI4LzIwMTcBAAAACx8oAgIAAAAEMC42OQBNFUYyZnXVCE4PmzNmddUIGUNJUS4wLklRX1ZPTFVNRS40LzEzLzIwMTYBAAAAVYR3AwMAAAAAADSMPylmddUIPkDFfmZ11QgkQ0lRLjAuSVFfU0hBUkVTT1VUU1RBTkRJTkcuMi8xMy8yMDE3AQAAAFWEdwMDAAAAAAD/f3cwZnXVCLhpUH5mddUIGUNJUS4wLklRX1ZPTFVNRS4xMi84LzIwMTYBAAAAVYR3AwMAAAAAADX+nC5mddUIW6RqfmZ11QgZQ0lRLjAuSVFfVk9MVU1FLjUvMjQvMjAxNgEAAABVhHcDAwAAAAAAZZXdK2Z11QjN8bZ+ZnXVCDFDSVEuMC5JUV9HV19JTlRBTl9BTU9SVF9DRi45OTkuMi8yOC8yMDE3LkwuRi4tLS5DBQAAAAEAAAAIAAAAGihJbnZhbGlkIEN1cnJlbmN5IFJlcXVlc3QpZjmYLmZ11QhZ1bKAZnXVCCRDSVEuMC5JUV9TSEFSRVNPVVRTVEFORElORy45LzIwLzIwMTYBAAAAVYR3AwMAAAAAALAF6yxmddUIBMuQfmZ11QglQ0lRLjAuSVFfU0hBUkVTT1VUU1RBTkRJTkcuMTAvMTcvMjAxNgEAAABVhHcDAwAAAAAAZjmYLmZ11Qj23oR+ZnXVCBxDSVEuSVFUMzYxODM4MTUuSVFfUkFURV9URVJNAQA</t>
  </si>
  <si>
    <t>AAAUfKAIDAAAABzEgTW9udGgARoqBNWZ11QioVZk1ZnXVCCpDSVEuLklRX0JVU19TRUdfTkFNRS4yMDAwLjIvMjgvMjAxNy4uLi4uMTEFAAAAAQAAAAgAAAAUKEludmFsaWQgSWRlbnRpZmllcilGioE1ZnXVCKhVmTVmddUIN0NJUVJBTkdFLkFMSUJBQkEuSVFfQ09NUEFOWV9JRF9RVUlDS19NQVRDSC4xLjUuLi4uLi4uSUQEAAAAWmBEAAUAAAADAAAACklRNDIwODM2MDEDAAAACElRNDI4NDU3AwAAAApJUTM4NzA3MDc5AwAAAAtJUTE0MjAxMTQ3NAMAAAAJSVE0NDgxMTE0jLRDMmZ11QjDuD9+ZnXVCBdDSVEuLklRX1BSSUNFREFURS40MDk2NwUAAAABAAAACAAAABQoSW52YWxpZCBJZGVudGlmaWVyKYtQQTJmddUIx+mTM2Z11QgpQ0lRLi5JUV9CVVNfU0VHX05BTUUuMjAwMC4yLzI4LzIwMTcuLi4uLjUFAAAAAQAAAAgAAAAUKEludmFsaWQgSWRlbnRpZmllcilGioE1ZnXVCKhVmTVmddUIGENJUS4wLklRX1ZPTFVNRS44LzMvMjAxNgEAAABVhHcDAwAAAAAArNIeK2Z11QhifaF+ZnXVCBBDSVEuMC5JUV9WT0xVTUUuAQAAAFWEdwMDAAAAAABdOViAZnXVCF05WIBmddUIGUNJUS4wLklRX1ZPTFVNRS45LzEyLzIwMTYBAAAAVYR3AwMAAAAAALAF6yxmddUIxC6TfmZ11QgjQ0lRLjAuSVFfU0hBUkVTT1VUU1RBTkRJTkcuNS85LzIwMTYBAAAAVYR3AwMAAAAAADSMPylmddUIHBm+fmZ11QgZQ0lRLjAuSVFfVk</t>
  </si>
  <si>
    <t>9MVU1FLjMvMjUvMjAxNgEAAABVhHcDAwAAAAAANIw/KWZ11QiVZ8x+ZnXVCCRDSVEuMC5JUV9TSEFSRVNPVVRTVEFORElORy40LzIyLzIwMTYBAAAAVYR3AwMAAAAAADSMPylmddUII9/CfmZ11QgkQ0lRLjAuSVFfU0hBUkVTT1VUU1RBTkRJTkcuNS8yNi8yMDE2AQAAAFWEdwMDAAAAAADAPtsrZnXVCM3xtn5mddUIJENJUS4wLklRX1NIQVJFU09VVFNUQU5ESU5HLjcvMTUvMjAxNgEAAABVhHcDAwAAAAAArNIeK2Z11QjhQKZ+ZnXVCCVDSVEuMC5JUV9TSEFSRVNPVVRTVEFORElORy4xMS8xNi8yMDE2AQAAAFWEdwMDAAAAAACMYJ8uZnXVCIXLcX5mddUIJENJUS4wLklRX1NIQVJFU09VVFNUQU5ESU5HLjcvMjkvMjAxNgEAAABVhHcDAwAAAAAAtHwcK2Z11QhifaF+ZnXVCBlDSVEuMC5JUV9WT0xVTUUuOS8yMC8yMDE2AQAAAFWEdwMDAAAAAACwBessZnXVCATLkH5mddUIJENJUS4wLklRX1NIQVJFU09VVFNUQU5ESU5HLjMvMjkvMjAxNgEAAABVhHcDAwAAAAAATO9BKWZ11Qg2Bcp+ZnXVCCRDSVEuMC5JUV9TSEFSRVNPVVRTVEFORElORy4xMC82LzIwMTYBAAAAVYR3AwMAAAAAADIFCi1mddUI0qOJfmZ11QglQ0lRLjAuSVFfU0hBUkVTT1VUU1RBTkRJTkcuMTAvMjYvMjAxNgEAAABVhHcDAwAAAAAAjGCfLmZ11Qg4VXt+ZnXVCCNDSVEuMC5JUV9TSEFSRVNPVVRTVEFORElORy4zLzEvMjAxNgEAAABVhHcDA</t>
  </si>
  <si>
    <t>wAAAAAAWrkQKGZ11QjcjtN+ZnXVCBhDSVEuMC5JUV9WT0xVTUUuOS8xLzIwMTYBAAAAVYR3AwMAAAAAALAF6yxmddUI14+VfmZ11QgrQ0lRLjAuSVFfUkVWRU5VRV9OVU1fRVNULjEwMDMuMi8yOC8yMDE3LkNPTgEAAABVhHcDAwAAAAAAjGCfLmZ11QjDuD9+ZnXVCCtDSVEuMC5JUV9SRVZFTlVFX05VTV9FU1QuMTAwNS4yLzI4LzIwMTcuQ09OAQAAAFWEdwMDAAAAAACMYJ8uZnXVCMO4P35mddUII0NJUS4wLklRX1NIQVJFU09VVFNUQU5ESU5HLjcvNC8yMDE2AQAAAFWEdwMDAAAAAACs0h4rZnXVCLgFq35mddUIGENJUS4wLklRX1ZPTFVNRS42LzMvMjAxNgEAAABVhHcDAwAAAAAAZZXdK2Z11Qg9j7R+ZnXVCCRDSVEuMC5JUV9TSEFSRVNPVVRTVEFORElORy4xLzE5LzIwMTcBAAAAVYR3AwMAAAAAAP9/dzBmddUI95BXfmZ11QgwQ0lRLjAuSVFfUkVWRU5VRV9FU1QuMy8zMS8yMDIwLjIvMjgvMjAxNy5MLkYuVVNEBQAAAAEAAAAIAAAAFShJbnZhbGlkIFRpbWUgUGVyaW9kKbAF6yxmddUIOQaMfmZ11QgrQ0lRLjAuSVFfQlVTX1NFR19OQU1FLjIwMDAuMi8yOC8yMDE3Li4uLi4xNAEAAABVhHcDAwAAAAAATRVGMmZ11QiSfUR+ZnXVCCpDSVEuSVFUMzYxODM4MTguSVFfTEFTVFNBTEVQUklDRS4xLzI4LzIwMTcBAAAACB8oAgIAAAAEMC41MgBNFUYyZnXVCE4PmzNmddUIMkNJUS4wLklRX0JVU19TRUdfREVT</t>
  </si>
  <si>
    <t>Q1JJUFRJT04uMjAwMC4yLzI4LzIwMTcuLi4uLjEzAQAAAFWEdwMDAAAAAABNFUYyZnXVCE0VRjJmddUIKkNJUS4wLklRX0JVU19TRUdfTkFNRS4yMDAwLjIvMjgvMjAxNy4uLi4uNwEAAABVhHcDAwAAAAAATRVGMmZ11QiSfUR+ZnXVCBlDSVEuMC5JUV9WT0xVTUUuNi8yMC8yMDE2AQAAAFWEdwMDAAAAAACs0h4rZnXVCH7Kr35mddUIKkNJUS5JUVQzNjE4MzgxNS5JUV9MQVNUU0FMRVBSSUNFLjEvMjgvMjAxNwEAAAAFHygCAgAAAAQwLjQ5AE0VRjJmddUITg+bM2Z11QgxQ0lRLjAuSVFfQlVTX1NFR19ERVNDUklQVElPTi4yMDAwLjIvMjgvMjAxNy4uLi4uNgEAAABVhHcDAwAAAAAATRVGMmZ11QhNFUYyZnXVCBlDSVEuMC5JUV9WT0xVTUUuNi8yNC8yMDE2AQAAAFWEdwMDAAAAAAC0fBwrZnXVCGNprX5mddUIK0NJUS4wLklRX1JFVkVOVUVfTlVNX0VTVC4xMDAyLjIvMjgvMjAxNy5DT04BAAAAVYR3AwMAAAAAAIxgny5mddUIw7g/fmZ11QgrQ0lRLjAuSVFfUkVWRU5VRV9OVU1fRVNULjEwMDQuMi8yOC8yMDE3LkNPTgEAAABVhHcDAwAAAAAAjGCfLmZ11QjDuD9+ZnXVCC9DSVEuMC5JUV9FQklUREFfRVNULjMvMzEvMjAyMC4yLzI4LzIwMTcuTC5GLlVTRAUAAAABAAAACAAAABUoSW52YWxpZCBUaW1lIFBlcmlvZCmwBessZnXVCJ1ojn5mddUIMENJUS4wLklRX0JVU19TRUdfUkVWLjIwMDAuMi8yOC8yMDE</t>
  </si>
  <si>
    <t>3LkwuRi5VU0QuQy4xNQEAAABVhHcDAwAAAAAATRVGMmZ11QhNFUYyZnXVCCRDSVEuMC5JUV9TSEFSRVNPVVRTVEFORElORy4xMi8xLzIwMTYBAAAAVYR3AwMAAAAAADX+nC5mddUITQhtfmZ11QgtQ0lRLjAuSVFfRUJJVF9FU1QuMy8zMS8yMDIxLjIvMjgvMjAxNy5MLkYuVVNEBQAAAAEAAAAIAAAAFShJbnZhbGlkIFRpbWUgUGVyaW9kKbAF6yxmddUIv1SafmZ11QgYQ0lRLjAuSVFfVk9MVU1FLjkvOS8yMDE2AQAAAFWEdwMDAAAAAACwBessZnXVCMQuk35mddUIGkNJUS4wLklRX1ZPTFVNRS4xMi8xNC8yMDE2AQAAAFWEdwMDAAAAAAD/f3cwZnXVCPRBaH5mddUIGUNJUS4wLklRX1ZPTFVNRS43LzEyLzIwMTYBAAAAVYR3AwMAAAAAAFU1IStmddUIOKOofmZ11QgkQ0lRLjAuSVFfU0hBUkVTT1VUU1RBTkRJTkcuMTIvNS8yMDE2AQAAAFWEdwMDAAAAAAA1/pwuZnXVCE0IbX5mddUIMENJUS4tLS5JUV9JTVBBSVJNRU5UX0dXLklRX0ZZLjIvMjgvMjAxNy5MLkYuLS0uQwUAAAABAAAACAAAABooSW52YWxpZCBDdXJyZW5jeSBSZXF1ZXN0KYtQQTJmddUIaQdOfmZ11QgwQ0lRLjAuSVFfQlVTX1NFR19SRVYuMTk5OS4yLzI4LzIwMTcuTC5GLlVTRC5DLjEyAQAAAFWEdwMDAAAAAABNFUYyZnXVCE0VRjJmddUIJENJUS4wLklRX1NIQVJFU09VVFNUQU5ESU5HLjQvMTEvMjAxNgEAAABVhHcDAwAAAAAATO9BKWZ11Q</t>
  </si>
  <si>
    <t>iuosd+ZnXVCCRDSVEuMC5JUV9TSEFSRVNPVVRTVEFORElORy43LzI2LzIwMTYBAAAAVYR3AwMAAAAAALR8HCtmddUIVN6jfmZ11QgcQ0lRLklRVDM2MTgzODMzLklRX1JBVEVfVFlQRQEAAAAXHygCAwAAAA9Hb3Zlcm5tZW50IERlYnQARoqBNWZ11QioVZk1ZnXVCB9DSVEuSVFUMzYxODM4MjEuSVFfUkFURV9DT1VOVFJZAQAAAAsfKAIDAAAAGFVuaXRlZCBTdGF0ZXMgb2YgQW1lcmljYQBGioE1ZnXVCKhVmTVmddUIGUNJUS4wLklRX1ZPTFVNRS40LzExLzIwMTYBAAAAVYR3AwMAAAAAADSMPylmddUIrqLHfmZ11QglQ0lRLjAuSVFfU0hBUkVTT1VUU1RBTkRJTkcuMTIvMjMvMjAxNgEAAABVhHcDAwAAAAAA/393MGZ11Qg+fWN+ZnXVCBlDSVEuMC5JUV9WT0xVTUUuNi8yMi8yMDE2AQAAAFWEdwMDAAAAAAC0fBwrZnXVCGNprX5mddUIGUNJUS4wLklRX1ZPTFVNRS43LzE1LzIwMTYBAAAAVYR3AwMAAAAAAFU1IStmddUI4UCmfmZ11QgZQ0lRLjAuSVFfVk9MVU1FLjcvMjkvMjAxNgEAAABVhHcDAwAAAAAArNIeK2Z11QhifaF+ZnXVCBpDSVEuMC5JUV9WT0xVTUUuMTIvMjgvMjAxNgEAAABVhHcDAwAAAAAA/393MGZ11QihGmF+ZnXVCCRDSVEuMC5JUV9TSEFSRVNPVVRTVEFORElORy4xMS84LzIwMTYBAAAAVYR3AwMAAAAAAIxgny5mddUI9S10fmZ11QglQ0lRLjAuSVFfU0hBUkVTT1VUU1RBTkRJTkcuMTIvM</t>
  </si>
  <si>
    <t>TkvMjAxNgEAAABVhHcDAwAAAAAA/393MGZ11Qh032V+ZnXVCCpDSVEuMC5JUV9EQV9TVVBQTF9DRi4yMDAwLjIvMjgvMjAxNy5MLkYuLkMBAAAAVYR3AwMAAAAAAF05WIBmddUIXTlYgGZ11QglQ0lRLklRVDM2MTgzODE1LklRX1lJRUxEX0NVUlZFX0xJU1QuOQEAAAAFHygCAwAAAAtJUVQzNjE4MzgzOQCMtEMyZnXVCE4PmzNmddUIL0NJUS4wLklRX0JVU19TRUdfUkVWLjIwMDAuMi8yOC8yMDE3LkwuRi5VU0QuQy44AQAAAFWEdwMDAAAAAABNFUYyZnXVCE0VRjJmddUIL0NJUS4wLklRX0JVU19TRUdfUkVWLjE5OTkuMi8yOC8yMDE3LkwuRi5VU0QuQy45AQAAAFWEdwMDAAAAAABNFUYyZnXVCE0VRjJmddUIGUNJUS4wLklRX1ZPTFVNRS4yLzIyLzIwMTcBAAAAVYR3AwMAAAAAAP9/dzBmddUIaQdOfmZ11QgZQ0lRLjAuSVFfVk9MVU1FLjgvMTIvMjAxNgEAAABVhHcDAwAAAAAAsAXrLGZ11Qgut5x+ZnXVCDBDSVEuLS0uSVFfQ1VSUkVOQ1lfR0FJTi5JUV9GWS4yLzI4LzIwMTcuTC5GLi0tLkMFAAAAAQAAAAgAAAAaKEludmFsaWQgQ3VycmVuY3kgUmVxdWVzdCmLUEEyZnXVCGkHTn5mddUIGENJUS4wLklRX1ZPTFVNRS41LzMvMjAxNgEAAABVhHcDAwAAAAAATO9BKWZ11QinfMB+ZnXVCCRDSVEuMC5JUV9TSEFSRVNPVVRTVEFORElORy45LzI5LzIwMTYBAAAAVYR3AwMAAAAAADIFCi1mddUIOQaMfmZ11Qgf</t>
  </si>
  <si>
    <t>Q0lRLklRVDM2MTgzODQ1LklRX1JBVEVfQ09VTlRSWQEAAAAjHygCAwAAABhVbml0ZWQgU3RhdGVzIG9mIEFtZXJpY2EARoqBNWZ11QioVZk1ZnXVCBhDSVEuMC5JUV9WT0xVTUUuNS80LzIwMTYBAAAAVYR3AwMAAAAAAEzvQSlmddUIHBm+fmZ11QgaQ0lRLjAuSVFfVk9MVU1FLjEwLzIwLzIwMTYBAAAAVYR3AwMAAAAAAGY5mC5mddUICLl9fmZ11QgZQ0lRLjAuSVFfVk9MVU1FLjEvMjcvMjAxNwEAAABVhHcDAwAAAAAA/393MGZ11Qh/LlV+ZnXVCCVDSVEuMC5JUV9TSEFSRVNPVVRTVEFORElORy4xMS8xNC8yMDE2AQAAAFWEdwMDAAAAAACMYJ8uZnXVCPUtdH5mddUIJUNJUS4wLklRX1NIQVJFU09VVFNUQU5ESU5HLjExLzEwLzIwMTYBAAAAVYR3AwMAAAAAAIxgny5mddUI9S10fmZ11QgaQ0lRLjAuSVFfVk9MVU1FLjEyLzI3LzIwMTYBAAAAVYR3AwMAAAAAAP9/dzBmddUIoRphfmZ11QgkQ0lRLjAuSVFfU0hBUkVTT1VUU1RBTkRJTkcuMS8zMS8yMDE3AQAAAFWEdwMDAAAAAAD/f3cwZnXVCBvMUn5mddUIGENJUS4wLklRX1ZPTFVNRS44LzkvMjAxNgEAAABVhHcDAwAAAAAAsAXrLGZ11QiFGZ9+ZnXVCCRDSVEuMC5JUV9TSEFSRVNPVVRTVEFORElORy41LzEyLzIwMTYBAAAAVYR3AwMAAAAAADSMPylmddUIqba7fmZ11QgkQ0lRLjAuSVFfU0hBUkVTT1VUU1RBTkRJTkcuMy8yNS8yMDE2AQAAAFWEdwMDAAA</t>
  </si>
  <si>
    <t>AAABM70EpZnXVCJVnzH5mddUIJENJUS4wLklRX1NIQVJFU09VVFNUQU5ESU5HLjgvMjMvMjAxNgEAAABVhHcDAwAAAAAAsAXrLGZ11Qg+8pd+ZnXVCCpDSVEuLklRX0JVU19TRUdfTkFNRS4yMDAwLjIvMjgvMjAxNy4uLi4uMTMFAAAAAQAAAAgAAAAUKEludmFsaWQgSWRlbnRpZmllcilGioE1ZnXVCKhVmTVmddUII0NJUS4wLklRX1NIQVJFU09VVFNUQU5ESU5HLjEvNS8yMDE3AQAAAFWEdwMDAAAAAAD/f3cwZnXVCNpVXH5mddUIKUNJUS4uSVFfQlVTX1NFR19OQU1FLjIwMDAuMi8yOC8yMDE3Li4uLi43BQAAAAEAAAAIAAAAFChJbnZhbGlkIElkZW50aWZpZXIpRoqBNWZ11QioVZk1ZnXVCBlDSVEuMC5JUV9WT0xVTUUuMS8yNC8yMDE3AQAAAFWEdwMDAAAAAAD/f3cwZnXVCPeQV35mddUIJENJUS4wLklRX1NIQVJFU09VVFNUQU5ESU5HLjEvMjUvMjAxNwEAAABVhHcDAwAAAAAA/393MGZ11Qh/LlV+ZnXVCBlDSVEuMC5JUV9WT0xVTUUuOC8yMy8yMDE2AQAAAFWEdwMDAAAAAACwBessZnXVCD7yl35mddUIJENJUS4wLklRX1NIQVJFU09VVFNUQU5ESU5HLjUvMjUvMjAxNgEAAABVhHcDAwAAAAAAwD7bK2Z11QjN8bZ+ZnXVCBhDSVEuMC5JUV9WT0xVTUUuNC80LzIwMTYBAAAAVYR3AwMAAAAAADSMPylmddUINgXKfmZ11QgmQ0lRLi0tLklRX0VCVC5JUV9GWS4yLzI4LzIwMTcuTC5GLi0tLkMFAAAAAQAAAA</t>
  </si>
  <si>
    <t>gAAAAaKEludmFsaWQgQ3VycmVuY3kgUmVxdWVzdCmLUEEyZnXVCGkHTn5mddUIGUNJUS4wLklRX1ZPTFVNRS43LzI2LzIwMTYBAAAAVYR3AwMAAAAAAFU1IStmddUIVN6jfmZ11QghQ0lRLklRMTQyMDExNDc0LklRX0NPTVBBTllfVElDS0VSAQAAAFLsdggDAAAACVNFSEs6MTA2MABGioE1ZnXVCFnVsoBmddUIH0NJUS5JUVQzNjE4Mzg0Mi5JUV9DT01QQU5ZX05BTUUBAAAAIB8oAgMAAAAyVW5pdGVkIFN0YXRlcyBUcmVhc3VyeSBDb25zdGFudCBNYXR1cml0eSAtIDIwIFllYXIAjLRDMmZ11Qj8uZs1ZnXVCCVDSVEuMC5JUV9TSEFSRVNPVVRTVEFORElORy4xMS8yMS8yMDE2AQAAAFWEdwMDAAAAAAA1/pwuZnXVCIXLcX5mddUII0NJUS4wLklRX1NIQVJFU09VVFNUQU5ESU5HLjEvNi8yMDE3AQAAAFWEdwMDAAAAAAD/f3cwZnXVCNpVXH5mddUIJENJUS4wLklRX1NIQVJFU09VVFNUQU5ESU5HLjEyLzcvMjAxNgEAAABVhHcDAwAAAAAANf6cLmZ11QhbpGp+ZnXVCBlDSVEuMC5JUV9WT0xVTUUuMy8yOC8yMDE2AQAAAFWEdwMDAAAAAAA0jD8pZnXVCJVnzH5mddUII0NJUS4wLklRX1NIQVJFU09VVFNUQU5ESU5HLjEvMi8yMDE3AQAAAFWEdwMDAAAAAAD/f3cwZnXVCEq4Xn5mddUILUNJUS4wLklRX0NBUEVYX0VTVC4zLzMxLzIwMjIuMi8yOC8yMDE3LkwuRi4tLQUAAAABAAAACAAAABUoSW52YWxpZCBUaW1lI</t>
  </si>
  <si>
    <t>FBlcmlvZCmwBessZnXVCJ1ojn5mddUIMkNJUS4tLS5JUV9BU1NFVF9XUklURURPV04uSVFfRlkuMi8yOC8yMDE3LkwuRi4tLS5DBQAAAAEAAAAIAAAAGihJbnZhbGlkIEN1cnJlbmN5IFJlcXVlc3Qpi1BBMmZ11QhpB05+ZnXVCD1DSVFSQU5HRS5JUVQzNjE4MzgxNS5JUV9ZSUVMRF9DVVJWRV9MSVNULjEuLi4uLi5DQVBJVEFMIElRIElEAwAAAAUfKAILAAAAAAAAAAMAAAAAAAAADSJJUVQzNjE4MzgxNSILSVFUMzYxODM4MTUBAAAAFSJJUV9ZSUVMRF9DVVJWRV9MSVNUIhNJUV9ZSUVMRF9DVVJWRV9MSVNUAgAAAAExATEAAAAAAwAAAAAAAAANIklRVDM2MTgzODE1IgtJUVQzNjE4MzgxNQEAAAAVIklRX1lJRUxEX0NVUlZFX0xJU1QiE0lRX1lJRUxEX0NVUlZFX0xJU1QCAAAAATIBMgAAAAADAAAAAAAAAA0iSVFUMzYxODM4MTUiC0lRVDM2MTgzODE1AQAAABUiSVFfWUlFTERfQ1VSVkVfTElTVCITSVFfWUlFTERfQ1VSVkVfTElTVAIAAAABMwEzAAAAAAMAAAAAAAAADSJJUVQzNjE4MzgxNSILSVFUMzYxODM4MTUBAAAAFSJJUV9ZSUVMRF9DVVJWRV9MSVNUIhNJUV9ZSUVMRF9DVVJWRV9MSVNUAgAAAAE0ATQAAAAAAwAAAAAAAAANIklRVDM2MTgzODE1IgtJUVQzNjE4MzgxNQEAAAAVIklRX1lJRUxEX0NVUlZFX0xJU1QiE0lRX1lJRUxEX0NVUlZFX0xJU1QCAAAAATUBNQAAAAADAAAAAAAAAA0iSVFUMzYx</t>
  </si>
  <si>
    <t>ODM4MTUiC0lRVDM2MTgzODE1AQAAABUiSVFfWUlFTERfQ1VSVkVfTElTVCITSVFfWUlFTERfQ1VSVkVfTElTVAIAAAABNgE2AAAAAAMAAAAAAAAADSJJUVQzNjE4MzgxNSILSVFUMzYxODM4MTUBAAAAFSJJUV9ZSUVMRF9DVVJWRV9MSVNUIhNJUV9ZSUVMRF9DVVJWRV9MSVNUAgAAAAE3ATcAAAAAAwAAAAAAAAANIklRVDM2MTgzODE1IgtJUVQzNjE4MzgxNQEAAAAVIklRX1lJRUxEX0NVUlZFX0xJU1QiE0lRX1lJRUxEX0NVUlZFX0xJU1QCAAAAATgBOAAAAAADAAAAAAAAAA0iSVFUMzYxODM4MTUiC0lRVDM2MTgzODE1AQAAABUiSVFfWUlFTERfQ1VSVkVfTElTVCITSVFfWUlFTERfQ1VSVkVfTElTVAIAAAABOQE5AAAAAAMAAAAAAAAADSJJUVQzNjE4MzgxNSILSVFUMzYxODM4MTUBAAAAFSJJUV9ZSUVMRF9DVVJWRV9MSVNUIhNJUV9ZSUVMRF9DVVJWRV9MSVNUAgAAAAIxMAIxMAAAAAADAAAAAAAAAA0iSVFUMzYxODM4MTUiC0lRVDM2MTgzODE1AQAAABUiSVFfWUlFTERfQ1VSVkVfTElTVCITSVFfWUlFTERfQ1VSVkVfTElTVAIAAAACMTECMTGLUEEyZnXVCItQQTJmddUIGENJUS4wLklRX1ZPTFVNRS42LzcvMjAxNgEAAABVhHcDAwAAAAAAwD7bK2Z11Qg9j7R+ZnXVCC1DSVEuLS0uSVFfSU5DX0VRVUlUWS5JUV9GWS4yLzI4LzIwMTcuTC5GLi0tLkMFAAAAAQAAAAgAAAAaKEludmFsaWQgQ3VycmVuY3k</t>
  </si>
  <si>
    <t>gUmVxdWVzdClNFUYyZnXVCGkHTn5mddUIG0NJUS4wLklRX1NIQVJFU09VVFNUQU5ESU5HLgEAAABVhHcDAwAAAAAAXTlYgGZ11QhdOViAZnXVCCRDSVEuMC5JUV9TSEFSRVNPVVRTVEFORElORy43LzIwLzIwMTYBAAAAVYR3AwMAAAAAAKzSHitmddUI4UCmfmZ11QgqQ0lRLklRVDM2MTgzODMzLklRX0xBU1RTQUxFUFJJQ0UuMS8yOC8yMDE3AQAAABcfKAICAAAABDEuOTQATRVGMmZ11QhOD5szZnXVCBxDSVEuSVFUMzYxODM4MzMuSVFfUkFURV9URVJNAQAAABcfKAIDAAAABjUgWWVhcgBGioE1ZnXVCKhVmTVmddUIGUNJUS4wLklRX1ZPTFVNRS41LzMxLzIwMTYBAAAAVYR3AwMAAAAAAGWV3StmddUIPY+0fmZ11QgZQ0lRLjAuSVFfVk9MVU1FLjkvMjkvMjAxNgEAAABVhHcDAwAAAAAApmcMLWZ11Qg5Box+ZnXVCCVDSVEuMC5JUV9TSEFSRVNPVVRTVEFORElORy4xMS8yNC8yMDE2AQAAAFWEdwMDAAAAAAA1/pwuZnXVCB5pb35mddUIJENJUS4wLklRX1NIQVJFU09VVFNUQU5ESU5HLjYvMTcvMjAxNgEAAABVhHcDAwAAAAAAVTUhK2Z11Qh+yq9+ZnXVCB9DSVEuSVFUMzYxODM4MzkuSVFfQ09NUEFOWV9OQU1FAQAAAB0fKAIDAAAAMlVuaXRlZCBTdGF0ZXMgVHJlYXN1cnkgQ29uc3RhbnQgTWF0dXJpdHkgLSAxMCBZZWFyAEaKgTVmddUIqFWZNWZ11QgjQ0lRLjAuSVFfU0hBUkVTT1VUU1RBTkRJTkcuMi82Lz</t>
  </si>
  <si>
    <t>IwMTcBAAAAVYR3AwMAAAAAAP9/dzBmddUIG8xSfmZ11QgqQ0lRLjAuSVFfQlVTX1NFR19OQU1FLjIwMDAuMi8yOC8yMDE3Li4uLi4xAQAAAFWEdwMDAAAAAABNFUYyZnXVCJJ9RH5mddUIGUNJUS4wLklRX1ZPTFVNRS4zLzMxLzIwMTYBAAAAVYR3AwMAAAAAADSMPylmddUINgXKfmZ11QgmQ0lRLjAuSVFfQ09HU19FU1QuLS0uMi8yOC8yMDE3LkwuRi5VU0QFAAAAAQAAAAgAAAAWKEludmFsaWQgRm9ybXVsYSBOYW1lKTIFCi1mddUIR4ao8mZ11QgfQ0lRLklRVDM2MTgzODM2LklRX1JBVEVfQ09VTlRSWQEAAAAaHygCAwAAABhVbml0ZWQgU3RhdGVzIG9mIEFtZXJpY2EARoqBNWZ11QioVZk1ZnXVCChDSVEuMC5JUV9UT1RBTF9SRVYuMjAwMC4yLzI4LzIwMTcuTC5GLi5DAQAAAFWEdwMDAAAAAABdOViAZnXVCF05WIBmddUIJENJUS4wLklRX1NIQVJFU09VVFNUQU5ESU5HLjgvMzEvMjAxNgEAAABVhHcDAwAAAAAAsAXrLGZ11QjXj5V+ZnXVCCNDSVEuMC5JUV9TSEFSRVNPVVRTVEFORElORy4yLzgvMjAxNwEAAABVhHcDAwAAAAAA/393MGZ11QgbzFJ+ZnXVCCpDSVEuSVFUMzYxODM4NDUuSVFfTEFTVFNBTEVQUklDRS4xLzI4LzIwMTcBAAAAIx8oAgIAAAAEMy4wNgBNFUYyZnXVCE4PmzNmddUII0NJUS4wLklRX1NIQVJFU09VVFNUQU5ESU5HLjIvMi8yMDE3AQAAAFWEdwMDAAAAAAD/f3cwZnXVCBvMUn5md</t>
  </si>
  <si>
    <t>dUIGkNJUS4wLklRX1ZPTFVNRS4xMC8yMS8yMDE2AQAAAFWEdwMDAAAAAABmOZguZnXVCDhVe35mddUIH0NJUS5JUVQzNjE4Mzg0NS5JUV9DT01QQU5ZX05BTUUBAAAAIx8oAgMAAAAyVW5pdGVkIFN0YXRlcyBUcmVhc3VyeSBDb25zdGFudCBNYXR1cml0eSAtIDMwIFllYXIARoqBNWZ11QioVZk1ZnXVCC9DSVEuMC5JUV9HV19JTlRBTl9BTU9SVF9DRi45OTYuMi8yOC8yMDE3LkwuRi4uQwEAAABVhHcDAwAAAAAAXTlYgGZ11QhdOViAZnXVCDBDSVEuMC5JUV9CVVNfU0VHX1JFVi4yMDAwLjIvMjgvMjAxNy5MLkYuVVNELkMuMTMBAAAAVYR3AwMAAAAAAE0VRjJmddUITRVGMmZ11QgvQ0lRLjAuSVFfR1dfSU5UQU5fQU1PUlRfQ0YuOTk3LjIvMjgvMjAxNy5MLkYuLkMBAAAAVYR3AwMAAAAAAF05WIBmddUIXTlYgGZ11QgkQ0lRLjAuSVFfU0hBUkVTT1VUU1RBTkRJTkcuNy8xMS8yMDE2AQAAAFWEdwMDAAAAAACs0h4rZnXVCDijqH5mddUILUNJUS4tLS5JUV9HV19JTlRBTl9BTU9SVF9DRi4uMi8yOC8yMDE3LkwuRi4uQwUAAAAAAAAACAAAABQoSW52YWxpZCBJZGVudGlmaWVyKYy0QzJmddUIjLRDMmZ11QgZQ0lRLjAuSVFfVk9MVU1FLjcvMjAvMjAxNgEAAABVhHcDAwAAAAAAVTUhK2Z11QjhQKZ+ZnXVCBhDSVEuMC5JUV9WT0xVTUUuMS81LzIwMTcBAAAAVYR3AwMAAAAAAP9/dzBmddUI2lVcfmZ11QgZQ0lR</t>
  </si>
  <si>
    <t>LjAuSVFfVk9MVU1FLjEyLzkvMjAxNgEAAABVhHcDAwAAAAAANf6cLmZ11Qj0QWh+ZnXVCBlDSVEuMC5JUV9WT0xVTUUuNS8yNS8yMDE2AQAAAFWEdwMDAAAAAABlld0rZnXVCM3xtn5mddUIJENJUS4wLklRX1NIQVJFU09VVFNUQU5ESU5HLjEyLzgvMjAxNgEAAABVhHcDAwAAAAAANf6cLmZ11QhbpGp+ZnXVCCZDSVEuSVFUMzYxODM4MTUuSVFfWUlFTERfQ1VSVkVfTElTVC4xMQEAAAAFHygCAwAAAAtJUVQzNjE4Mzg0NQCMtEMyZnXVCE4PmzNmddUIGUNJUS4wLklRX1ZPTFVNRS43LzExLzIwMTYBAAAAVYR3AwMAAAAAAFU1IStmddUIOKOofmZ11QgqQ0lRLklRVDM2MTgzODI0LklRX0xBU1RTQUxFUFJJQ0UuMi8yOC8yMDE3AQAAAA4fKAICAAAABDAuODgATRVGMmZ11QhOD5szZnXVCBlDSVEuMC5JUV9WT0xVTUUuMi8yMy8yMDE3AQAAAFWEdwMDAAAAAAD/f3cwZnXVCP6kS35mddUIGkNJUS4wLklRX1ZPTFVNRS4xMi8xMi8yMDE2AQAAAFWEdwMDAAAAAAA1/pwuZnXVCPRBaH5mddUII0NJUS4wLklRX1NIQVJFU09VVFNUQU5ESU5HLjYvOS8yMDE2AQAAAFWEdwMDAAAAAADAPtsrZnXVCOYssn5mddUIHENJUS5JUVQzNjE4MzgxOC5JUV9SQVRFX1RFUk0BAAAACB8oAgMAAAAHMyBNb250aABGioE1ZnXVCKhVmTVmddUIJENJUS4wLklRX1NIQVJFU09VVFNUQU5ESU5HLjQvMTIvMjAxNgEAAABVhHcDAwAAAAA</t>
  </si>
  <si>
    <t>ANIw/KWZ11Qiuosd+ZnXVCBlDSVEuMC5JUV9WT0xVTUUuMi8yOC8yMDE3AQAAAFWEdwMDAAAAAABNFUYyZnXVCPmtq4BmddUIGUNJUS4wLklRX1ZPTFVNRS4xLzI2LzIwMTcBAAAAVYR3AwMAAAAAAP9/dzBmddUIfy5VfmZ11QgvQ0lRLjAuSVFfR1dfSU5UQU5fQU1PUlRfQ0YuOTk4LjIvMjgvMjAxNy5MLkYuLkMBAAAAVYR3AwMAAAAAAF05WIBmddUIXTlYgGZ11QgkQ0lRLjAuSVFfU0hBUkVTT1VUU1RBTkRJTkcuMS8yNy8yMDE3AQAAAFWEdwMDAAAAAAD/f3cwZnXVCH8uVX5mddUIKkNJUS5JUVQzNjE4MzgxNS5JUV9MQVNUU0FMRVBSSUNFLjIvMjgvMjAxNgEAAAAFHygCAgAAAAQwLjI2AE0VRjJmddUITg+bM2Z11QgYQ0lRLjAuSVFfVk9MVU1FLjEvNi8yMDE3AQAAAFWEdwMDAAAAAAD/f3cwZnXVCNpVXH5mddUIJENJUS4wLklRX1NIQVJFU09VVFNUQU5ESU5HLjUvMzAvMjAxNgEAAABVhHcDAwAAAAAAwD7bK2Z11QjN8bZ+ZnXVCCVDSVEuMC5JUV9TSEFSRVNPVVRTVEFORElORy4xMC8xOC8yMDE2AQAAAFWEdwMDAAAAAABmOZguZnXVCPx9gn5mddUIL0NJUS4wLklRX0JVU19TRUdfUkVWLjIwMDAuMi8yOC8yMDE3LkwuRi5VU0QuQy42AQAAAFWEdwMDAAAAAABNFUYyZnXVCE0VRjJmddUIJENJUS4wLklRX1NIQVJFU09VVFNUQU5ESU5HLjcvMTQvMjAxNgEAAABVhHcDAwAAAAAArNIeK2Z11QjhQKZ+Zn</t>
  </si>
  <si>
    <t>XVCC9DSVEuMC5JUV9FQklUREFfRVNULjMvMzEvMjAxOC4yLzI4LzIwMTcuTC5GLlVTRAUAAAABAAAACAAAABUoSW52YWxpZCBUaW1lIFBlcmlvZCmwBessZnXVCDkGjH5mddUIJENJUS4wLklRX1NIQVJFU09VVFNUQU5ESU5HLjkvMTMvMjAxNgEAAABVhHcDAwAAAAAAQ2ntLGZ11QjELpN+ZnXVCCVDSVEuMC5JUV9TSEFSRVNPVVRTVEFORElORy4xMS8xNy8yMDE2AQAAAFWEdwMDAAAAAAA1/pwuZnXVCIXLcX5mddUIGkNJUS4wLklRX1ZPTFVNRS4xMS8xMS8yMDE2AQAAAFWEdwMDAAAAAACMYJ8uZnXVCPUtdH5mddUIGENJUS4wLklRX1ZPTFVNRS44LzQvMjAxNgEAAABVhHcDAwAAAAAArNIeK2Z11QhifaF+ZnXVCCVDSVEuMC5JUV9TSEFSRVNPVVRTVEFORElORy4xMS8yMy8yMDE2AQAAAFWEdwMDAAAAAAA1/pwuZnXVCB5pb35mddUIGENJUS4wLklRX1ZPTFVNRS4xLzMvMjAxNwEAAABVhHcDAwAAAAAA/393MGZ11QhKuF5+ZnXVCCpDSVEuMC5JUV9JTlRFUkVTVF9FWFAuOTk4LjIvMjgvMjAxNy5MLkYuLkMBAAAAVYR3AwMAAAAAAF05WIBmddUIXTlYgGZ11QgjQ0lRLjAuSVFfU0hBUkVTT1VUU1RBTkRJTkcuMS80LzIwMTcBAAAAVYR3AwMAAAAAAP9/dzBmddUI2lVcfmZ11QglQ0lRLklRVDM2MTgzODE1LklRX1lJRUxEX0NVUlZFX0xJU1QuMwEAAAAFHygCAwAAAAtJUVQzNjE4MzgyMQCMtEMyZnXVCE4Pm</t>
  </si>
  <si>
    <t>zNmddUIKkNJUS4wLklRX0lOVEVSRVNUX0VYUC45OTkuMi8yOC8yMDE3LkwuRi4uQwEAAABVhHcDAwAAAAAAXTlYgGZ11QhdOViAZnXVCCRDSVEuMC5JUV9TSEFSRVNPVVRTVEFORElORy4xLzI0LzIwMTcBAAAAVYR3AwMAAAAAAP9/dzBmddUI95BXfmZ11QgcQ0lRLklRVDM2MTgzODE4LklRX1JBVEVfVFlQRQEAAAAIHygCAwAAAA9Hb3Zlcm5tZW50IERlYnQARoqBNWZ11QioVZk1ZnXVCCVDSVEuMC5JUV9TSEFSRVNPVVRTVEFORElORy4xMi8yOC8yMDE2AQAAAFWEdwMDAAAAAAD/f3cwZnXVCKEaYX5mddUIGUNJUS4wLklRX1ZPTFVNRS42LzE3LzIwMTYBAAAAVYR3AwMAAAAAAKzSHitmddUIfsqvfmZ11QgaQ0lRLjAuSVFfVk9MVU1FLjEwLzEyLzIwMTYBAAAAVYR3AwMAAAAAADIFCi1mddUITkGHfmZ11QgYQ0lRLjAuSVFfVk9MVU1FLjcvNC8yMDE2AQAAAFWEdwMDAAAAAAC0fBwrZnXVCLgFq35mddUIGENJUS4wLklRX1ZPTFVNRS42LzIvMjAxNgEAAABVhHcDAwAAAAAAZZXdK2Z11Qg9j7R+ZnXVCB9DSVEuSVFUMzYxODM4MTUuSVFfQ09NUEFOWV9OQU1FAQAAAAUfKAIDAAAAMlVuaXRlZCBTdGF0ZXMgVHJlYXN1cnkgQ29uc3RhbnQgTWF0dXJpdHkgLSAxIE1vbnRoAEaKgTVmddUIqFWZNWZ11QgZQ0lRLjAuSVFfVk9MVU1FLjUvMzAvMjAxNgEAAABVhHcDAwAAAAAAZZXdK2Z11QjN8bZ+ZnXVCClDSVEu</t>
  </si>
  <si>
    <t>MC5JUV9UT1RBTF9SRVYuOTk2LjIvMjgvMjAxNy5MRlIuRi4uQwEAAABVhHcDAwAAAAAAXTlYgGZ11QhdOViAZnXVCBhDSVEuMC5JUV9WT0xVTUUuMi82LzIwMTcBAAAAVYR3AwMAAAAAADnieTBmddUIG8xSfmZ11QgqQ0lRLjAuSVFfSU5URVJFU1RfRVhQLjk5Ni4yLzI4LzIwMTcuTC5GLi5DAQAAAFWEdwMDAAAAAABdOViAZnXVCF05WIBmddUIGENJUS4wLklRX1ZPTFVNRS4yLzgvMjAxNwEAAABVhHcDAwAAAAAAOeJ5MGZ11QgbzFJ+ZnXVCBlDSVEuMC5JUV9WT0xVTUUuNy8yMi8yMDE2AQAAAFWEdwMDAAAAAABVNSErZnXVCFTeo35mddUIMENJUS4wLklRX0JVU19TRUdfUkVWLjE5OTkuMi8yOC8yMDE3LkwuRi5VU0QuQy4xMAEAAABVhHcDAwAAAAAATRVGMmZ11QhNFUYyZnXVCCpDSVEuMC5JUV9JTlRFUkVTVF9FWFAuOTk3LjIvMjgvMjAxNy5MLkYuLkMBAAAAVYR3AwMAAAAAAF05WIBmddUIXTlYgGZ11QgkQ0lRLjAuSVFfU0hBUkVTT1VUU1RBTkRJTkcuMi8xMC8yMDE3AQAAAFWEdwMDAAAAAAD/f3cwZnXVCLhpUH5mddUIKUNJUS4uSVFfQlVTX1NFR19OQU1FLjIwMDAuMi8yOC8yMDE3Li4uLi4xBQAAAAEAAAAIAAAAFChJbnZhbGlkIElkZW50aWZpZXIpRoqBNWZ11QioVZk1ZnXVCCNDSVEuMC5JUV9TSEFSRVNPVVRTVEFORElORy44LzMvMjAxNgEAAABVhHcDAwAAAAAAtHwcK2Z11QhifaF+ZnXVCCV</t>
  </si>
  <si>
    <t>DSVEuSVFUMzYxODM4MTUuSVFfWUlFTERfQ1VSVkVfTElTVC42AQAAAAUfKAIDAAAAC0lRVDM2MTgzODMwAIy0QzJmddUITg+bM2Z11QgkQ0lRLjAuSVFfU0hBUkVTT1VUU1RBTkRJTkcuNS8xOS8yMDE2AQAAAFWEdwMDAAAAAADAPtsrZnXVCBxUuX5mddUILUNJUS4wLklRX0NBUEVYX0VTVC4zLzMxLzIwMTkuMi8yOC8yMDE3LkwuRi4tLQUAAAABAAAACAAAABUoSW52YWxpZCBUaW1lIFBlcmlvZCmwBessZnXVCDkGjH5mddUIJENJUS4wLklRX1NIQVJFU09VVFNUQU5ESU5HLjcvMjcvMjAxNgEAAABVhHcDAwAAAAAAtHwcK2Z11QhU3qN+ZnXVCCRDSVEuMC5JUV9TSEFSRVNPVVRTVEFORElORy43LzEzLzIwMTYBAAAAVYR3AwMAAAAAAKzSHitmddUIOKOofmZ11QgYQ0lRLjAuSVFfVk9MVU1FLjQvNy8yMDE2AQAAAFWEdwMDAAAAAAA0jD8pZnXVCK6ix35mddUIHENJUS5JUVQzNjE4MzgzMC5JUV9SQVRFX1RFUk0BAAAAFB8oAgMAAAAGMyBZZWFyAEaKgTVmddUIqFWZNWZ11QgkQ0lRLjAuSVFfU0hBUkVTT1VUU1RBTkRJTkcuOS8zMC8yMDE2AQAAAFWEdwMDAAAAAAAyBQotZnXVCDkGjH5mddUIGUNJUS4wLklRX1ZPTFVNRS45LzIzLzIwMTYBAAAAVYR3AwMAAAAAALAF6yxmddUInWiOfmZ11QglQ0lRLjAuSVFfU0hBUkVTT1VUU1RBTkRJTkcuMTAvMjgvMjAxNgEAAABVhHcDAwAAAAAAjGCfLmZ11QjA8nh+Zn</t>
  </si>
  <si>
    <t>XVCCVDSVEuMC5JUV9TSEFSRVNPVVRTVEFORElORy4xMC8xMC8yMDE2AQAAAFWEdwMDAAAAAAAyBQotZnXVCE5Bh35mddUII0NJUS4wLklRX1NIQVJFU09VVFNUQU5ESU5HLjIvNy8yMDE3AQAAAFWEdwMDAAAAAAD/f3cwZnXVCBvMUn5mddUIL0NJUS4wLklRX0JVU19TRUdfUkVWLjE5OTkuMi8yOC8yMDE3LkwuRi5VU0QuQy41AQAAAFWEdwMDAAAAAABNFUYyZnXVCE0VRjJmddUIGENJUS4wLklRX1ZPTFVNRS45LzgvMjAxNgEAAABVhHcDAwAAAAAAsAXrLGZ11QjELpN+ZnXVCBlDSVEuMC5JUV9WT0xVTUUuNy8xNC8yMDE2AQAAAFWEdwMDAAAAAABVNSErZnXVCOFApn5mddUIGUNJUS4wLklRX1ZPTFVNRS43LzEzLzIwMTYBAAAAVYR3AwMAAAAAAFU1IStmddUIOKOofmZ11QgjQ0lRLjAuSVFfU0hBUkVTT1VUU1RBTkRJTkcuMi85LzIwMTcBAAAAVYR3AwMAAAAAAP9/dzBmddUIG8xSfmZ11QgjQ0lRLjAuSVFfU0hBUkVTT1VUU1RBTkRJTkcuMi8zLzIwMTcBAAAAVYR3AwMAAAAAAP9/dzBmddUIG8xSfmZ11QgjQ0lRLjAuSVFfU0hBUkVTT1VUU1RBTkRJTkcuOS8xLzIwMTYBAAAAVYR3AwMAAAAAAENp7SxmddUI14+VfmZ11QglQ0lRLjAuSVFfU0hBUkVTT1VUU1RBTkRJTkcuMTIvMTYvMjAxNgEAAABVhHcDAwAAAAAA/393MGZ11Qh032V+ZnXVCC1DSVEuMC5JUV9JTlRFUkVTVF9FWFAuMTAwMC4yLzI4LzIwM</t>
  </si>
  <si>
    <t>TcuTC5GLi0tLkMFAAAAAQAAAAgAAAAaKEludmFsaWQgQ3VycmVuY3kgUmVxdWVzdClmOZguZnXVCFnVsoBmddUIO0NJUVJBTkdFLjAuSVFfVFJBRElOR0RBWS4tMVkuMi8yOC8yMDE3Li4uREVTQy5ELlRSQURJTkcgREFZBQAAAAEAAAAIAAAAFihJbnZhbGlkIEZvcm11bGEgTmFtZSmLUEEyZnXVCE4PmzNmddUIJENJUS4wLklRX1NIQVJFU09VVFNUQU5ESU5HLjYvMjMvMjAxNgEAAABVhHcDAwAAAAAAVTUhK2Z11Qhjaa1+ZnXVCBhDSVEuMC5JUV9WT0xVTUUuMS80LzIwMTcBAAAAVYR3AwMAAAAAAP9/dzBmddUISrhefmZ11QgZQ0lRLjAuSVFfVk9MVU1FLjIvMjQvMjAxNwEAAABVhHcDAwAAAAAA/393MGZ11QiSQkl+ZnXVCDFDSVEuMC5JUV9CVVNfU0VHX0RFU0NSSVBUSU9OLjIwMDAuMi8yOC8yMDE3Li4uLi4yAQAAAFWEdwMDAAAAAABNFUYyZnXVCE0VRjJmddUIGENJUS4wLklRX1ZPTFVNRS41LzUvMjAxNgEAAABVhHcDAwAAAAAATO9BKWZ11QgcGb5+ZnXVCBhDSVEuMC5JUV9WT0xVTUUuOS83LzIwMTYBAAAAVYR3AwMAAAAAALAF6yxmddUIxC6TfmZ11QgZQ0lRLjAuSVFfVk9MVU1FLjkvMzAvMjAxNgEAAABVhHcDAwAAAAAAMgUKLWZ11Qg5Box+ZnXVCCVDSVEuMC5JUV9TSEFSRVNPVVRTVEFORElORy4xMS8xNS8yMDE2AQAAAFWEdwMDAAAAAACMYJ8uZnXVCIXLcX5mddUIJENJUS4wLklRX1NIQVJF</t>
  </si>
  <si>
    <t>U09VVFNUQU5ESU5HLjYvMTQvMjAxNgEAAABVhHcDAwAAAAAAVTUhK2Z11QjmLLJ+ZnXVCCRDSVEuMC5JUV9TSEFSRVNPVVRTVEFORElORy42LzEwLzIwMTYBAAAAVYR3AwMAAAAAAMA+2ytmddUI5iyyfmZ11QgkQ0lRLjAuSVFfU0hBUkVTT1VUU1RBTkRJTkcuMi8yOC8yMDE3AQAAAFWEdwMDAAAAAABNFUYyZnXVCPmtq4BmddUIGENJUS4wLklRX1ZPTFVNRS44LzgvMjAxNgEAAABVhHcDAwAAAAAAsAXrLGZ11QiFGZ9+ZnXVCC1DSVEuMC5JUV9FQklUX0VTVC4zLzMxLzIwMTguMi8yOC8yMDE3LkwuRi5VU0QFAAAAAQAAAAgAAAAVKEludmFsaWQgVGltZSBQZXJpb2QpsAXrLGZ11Qi/VJp+ZnXVCCRDSVEuMC5JUV9TSEFSRVNPVVRTVEFORElORy4xMC8zLzIwMTYBAAAAVYR3AwMAAAAAADIFCi1mddUIOQaMfmZ11QgkQ0lRLjAuSVFfU0hBUkVTT1VUU1RBTkRJTkcuMS8yNi8yMDE3AQAAAFWEdwMDAAAAAAD/f3cwZnXVCH8uVX5mddUIJENJUS4wLklRX1NIQVJFU09VVFNUQU5ESU5HLjgvMjIvMjAxNgEAAABVhHcDAwAAAAAAsAXrLGZ11Qg+8pd+ZnXVCBlDSVEuMC5JUV9WT0xVTUUuMi8yNy8yMDE3AQAAAFWEdwMDAAAAAACLUEEyZnXVCJJCSX5mddUIGENJUS4wLklRX1ZPTFVNRS43LzEvMjAxNgEAAABVhHcDAwAAAAAAtHwcK2Z11Qi4Bat+ZnXVCBhDSVEuMC5JUV9WT0xVTUUuNy82LzIwMTYBAAAAVYR3AwM</t>
  </si>
  <si>
    <t>AAAAAALR8HCtmddUIuAWrfmZ11QgYQ0lRLjAuSVFfVk9MVU1FLjEvMi8yMDE3AQAAAFWEdwMDAAAAAAD/f3cwZnXVCEq4Xn5mddUIJENJUS4wLklRX1JFVkVOVUVfRVNULi4yLzI4LzIwMTcuTC5GLgEAAABVhHcDAwAAAAAApmcMLWZ11Qg5Box+ZnXVCCpDSVEuSVFUMzYxODM4MTguSVFfTEFTVFNBTEVQUklDRS4yLzI4LzIwMTYBAAAACB8oAgIAAAAEMC4zMwBNFUYyZnXVCE4PmzNmddUIGUNJUS4wLklRX1ZPTFVNRS41LzE5LzIwMTYBAAAAVYR3AwMAAAAAAGWV3StmddUIHFS5fmZ11QgZQ0lRLjAuSVFfVk9MVU1FLjcvMjcvMjAxNgEAAABVhHcDAwAAAAAArNIeK2Z11QhU3qN+ZnXVCBpDSVEuMC5JUV9WT0xVTUUuMTIvMjYvMjAxNgEAAABVhHcDAwAAAAAA/393MGZ11Qg+fWN+ZnXVCCpDSVEuSVFUMzYxODM4NDIuSVFfTEFTVFNBTEVQUklDRS4yLzI4LzIwMTYBAAAAIB8oAgIAAAADMi4yAE0VRjJmddUITg+bM2Z11QgkQ0lRLjAuSVFfU0hBUkVTT1VUU1RBTkRJTkcuOC8zMC8yMDE2AQAAAFWEdwMDAAAAAACwBessZnXVCNePlX5mddUIGUNJUS4wLklRX1ZPTFVNRS42LzEwLzIwMTYBAAAAVYR3AwMAAAAAAMA+2ytmddUI5iyyfmZ11QgjQ0lRLjAuSVFfU0hBUkVTT1VUU1RBTkRJTkcuOC8xLzIwMTYBAAAAVYR3AwMAAAAAALR8HCtmddUIYn2hfmZ11QgZQ0lRLjAuSVFfVk9MVU1FLjMvMjkvMjAxNgEAAA</t>
  </si>
  <si>
    <t>BVhHcDAwAAAAAANIw/KWZ11Qg2Bcp+ZnXVCCpDSVEuMC5JUV9CVVNfU0VHX05BTUUuMjAwMC4yLzI4LzIwMTcuLi4uLjUBAAAAVYR3AwMAAAAAAE0VRjJmddUIkn1EfmZ11QgZQ0lRLjAuSVFfVk9MVU1FLjYvMTMvMjAxNgEAAABVhHcDAwAAAAAAwD7bK2Z11QjmLLJ+ZnXVCBhDSVEuMC5JUV9WT0xVTUUuMi83LzIwMTcBAAAAVYR3AwMAAAAAADnieTBmddUIG8xSfmZ11QgxQ0lRLjAuSVFfQlVTX1NFR19ERVNDUklQVElPTi4yMDAwLjIvMjgvMjAxNy4uLi4uNAEAAABVhHcDAwAAAAAATRVGMmZ11QhNFUYyZnXVCBhDSVEuMC5JUV9WT0xVTUUuNi82LzIwMTYBAAAAVYR3AwMAAAAAAMA+2ytmddUIPY+0fmZ11QgqQ0lRLklRVDM2MTgzODQ1LklRX0xBU1RTQUxFUFJJQ0UuMi8yOC8yMDE3AQAAACMfKAICAAAABDIuOTcATRVGMmZ11QhOD5szZnXVCB9DSVEuLklRX0xBU1RTQUxFUFJJQ0UuMi8yOC8yMDE2BQAAAAEAAAAIAAAAFChJbnZhbGlkIElkZW50aWZpZXIpTRVGMmZ11QjH6ZMzZnXVCCRDSVEuMC5JUV9TSEFSRVNPVVRTVEFORElORy43LzI1LzIwMTYBAAAAVYR3AwMAAAAAAKzSHitmddUIVN6jfmZ11QgpQ0lRLi5JUV9CVVNfU0VHX05BTUUuMjAwMC4yLzI4LzIwMTcuLi4uLjYFAAAAAQAAAAgAAAAUKEludmFsaWQgSWRlbnRpZmllcilGioE1ZnXVCKhVmTVmddUIGENJUS4wLklRX1ZPTFVNRS4yLzkvM</t>
  </si>
  <si>
    <t>jAxNwEAAABVhHcDAwAAAAAAOeJ5MGZ11QgbzFJ+ZnXVCBhDSVEuMC5JUV9WT0xVTUUuNC81LzIwMTYBAAAAVYR3AwMAAAAAADSMPylmddUINgXKfmZ11QgqQ0lRLklRVDM2MTgzODM2LklRX0xBU1RTQUxFUFJJQ0UuMi8yOC8yMDE3AQAAABofKAICAAAABDIuMTkATRVGMmZ11QhOD5szZnXVCBhDSVEuMC5JUV9WT0xVTUUuMi8yLzIwMTcBAAAAVYR3AwMAAAAAAP9/dzBmddUIG8xSfmZ11QgqQ0lRLklRVDM2MTgzODI3LklRX0xBU1RTQUxFUFJJQ0UuMi8yOC8yMDE2AQAAABEfKAICAAAAAzAuOABNFUYyZnXVCE4PmzNmddUIGUNJUS4wLklRX1ZPTFVNRS4yLzEzLzIwMTcBAAAAVYR3AwMAAAAAAP9/dzBmddUIuGlQfmZ11QgkQ0lRLjAuSVFfU0hBUkVTT1VUU1RBTkRJTkcuOC8xMS8yMDE2AQAAAFWEdwMDAAAAAABDae0sZnXVCIUZn35mddUIGUNJUS4wLklRX1ZPTFVNRS42LzE0LzIwMTYBAAAAVYR3AwMAAAAAAKzSHitmddUI5iyyfmZ11QgYQ0lRLjAuSVFfVk9MVU1FLjYvMS8yMDE2AQAAAFWEdwMDAAAAAABlld0rZnXVCD2PtH5mddUIJENJUS4wLklRX1NIQVJFU09VVFNUQU5ESU5HLjMvMTEvMjAxNgEAAABVhHcDAwAAAAAAWrkQKGZ11QiQLdF+ZnXVCBlDSVEuMC5JUV9WT0xVTUUuOC8xMS8yMDE2AQAAAFWEdwMDAAAAAACwBessZnXVCIUZn35mddUIJENJUS4wLklRX0NPR1NfRVNULi4yLzI4LzIwMTcu</t>
  </si>
  <si>
    <t>TC5GLlVTRAUAAAABAAAACAAAABYoSW52YWxpZCBGb3JtdWxhIE5hbWUpMgUKLWZ11QjIAmzdZnXVCBhDSVEuMC5JUV9WT0xVTUUuMi8xLzIwMTcBAAAAVYR3AwMAAAAAAP9/dzBmddUIG8xSfmZ11QgkQ0lRLjAuSVFfU0hBUkVTT1VUU1RBTkRJTkcuNS8yMy8yMDE2AQAAAFWEdwMDAAAAAADAPtsrZnXVCBxUuX5mddUIKUNJUS4wLklRX1RPVEFMX1JFVi45OTcuMi8yOC8yMDE3LkxGUi5GLi5DAQAAAFWEdwMDAAAAAABdOViAZnXVCF05WIBmddUIGENJUS4wLklRX1ZPTFVNRS45LzUvMjAxNgEAAABVhHcDAwAAAAAAsAXrLGZ11QjXj5V+ZnXVCBxDSVEuSVFUMzYxODM4NDIuSVFfUkFURV9URVJNAQAAACAfKAIDAAAABzIwIFllYXIATRVGMmZ11Qj8uZs1ZnXVCCRDSVEuMC5JUV9TSEFSRVNPVVRTVEFORElORy42LzE2LzIwMTYBAAAAVYR3AwMAAAAAAFU1IStmddUIfsqvfmZ11QgkQ0lRLjAuSVFfU0hBUkVTT1VUU1RBTkRJTkcuMTIvOS8yMDE2AQAAAFWEdwMDAAAAAADJm5ouZnXVCPRBaH5mddUIGkNJUS4wLklRX1ZPTFVNRS4xMi8yMi8yMDE2AQAAAFWEdwMDAAAAAAD/f3cwZnXVCD59Y35mddUIGENJUS4wLklRX1ZPTFVNRS42LzkvMjAxNgEAAABVhHcDAwAAAAAAwD7bK2Z11QjmLLJ+ZnXVCCRDSVEuMC5JUV9TSEFSRVNPVVRTVEFORElORy41LzEwLzIwMTYBAAAAVYR3AwMAAAAAADSMPylmddUIqba7fmZ</t>
  </si>
  <si>
    <t>11QgZQ0lRLjAuSVFfVk9MVU1FLjExLzMvMjAxNgEAAABVhHcDAwAAAAAAjGCfLmZ11QhxkHZ+ZnXVCCRDSVEuMC5JUV9TSEFSRVNPVVRTVEFORElORy40LzEzLzIwMTYBAAAAVYR3AwMAAAAAADSMPylmddUIPkDFfmZ11QgvQ0lRLjAuSVFfRUJJVERBX0VTVC4zLzMxLzIwMTkuMi8yOC8yMDE3LkwuRi5VU0QFAAAAAQAAAAgAAAAVKEludmFsaWQgVGltZSBQZXJpb2QpsAXrLGZ11Qg5Box+ZnXVCClDSVEuMC5JUV9UT1RBTF9SRVYuOTk1LjIvMjgvMjAxNy5MRlIuRi4uQwEAAABVhHcDAwAAAAAAXTlYgGZ11QhdOViAZnXVCCVDSVEuMC5JUV9TSEFSRVNPVVRTVEFORElORy4xMC8xOS8yMDE2AQAAAFWEdwMDAAAAAABmOZguZnXVCCwagH5mddUIH0NJUS5JUVQzNjE4MzgzMy5JUV9SQVRFX0NPVU5UUlkBAAAAFx8oAgMAAAAYVW5pdGVkIFN0YXRlcyBvZiBBbWVyaWNhAEaKgTVmddUIqFWZNWZ11QgkQ0lRLjAuSVFfU0hBUkVTT1VUU1RBTkRJTkcuOS8xMi8yMDE2AQAAAFWEdwMDAAAAAABDae0sZnXVCMQuk35mddUIJENJUS4wLklRX1NIQVJFU09VVFNUQU5ESU5HLjQvMjkvMjAxNgEAAABVhHcDAwAAAAAANIw/KWZ11QinfMB+ZnXVCBlDSVEuMC5JUV9WT0xVTUUuNy8yNS8yMDE2AQAAAFWEdwMDAAAAAABVNSErZnXVCFTeo35mddUIJUNJUS4wLklRX1NIQVJFU09VVFNUQU5ESU5HLjExLzIyLzIwMTYBAAAAVY</t>
  </si>
  <si>
    <t>R3AwMAAAAAADX+nC5mddUIHmlvfmZ11QgkQ0lRLjAuSVFfU0hBUkVTT1VUU1RBTkRJTkcuMi8yNy8yMDE3AQAAAFWEdwMDAAAAAACLUEEyZnXVCJJCSX5mddUII0NJUS4wLklRX1NIQVJFU09VVFNUQU5ESU5HLjkvMi8yMDE2AQAAAFWEdwMDAAAAAABDae0sZnXVCNePlX5mddUIJUNJUS4wLklRX1NIQVJFU09VVFNUQU5ESU5HLjEyLzE1LzIwMTYBAAAAVYR3AwMAAAAAAP9/dzBmddUI9EFofmZ11QgaQ0lRLjAuSVFfVk9MVU1FLjEyLzEzLzIwMTYBAAAAVYR3AwMAAAAAAP9/dzBmddUI9EFofmZ11QglQ0lRLjAuSVFfU0hBUkVTT1VUU1RBTkRJTkcuMTIvMjkvMjAxNgEAAABVhHcDAwAAAAAA/393MGZ11QhKuF5+ZnXVCCpDSVEuSVFUMzYxODM4MjQuSVFfTEFTVFNBTEVQUklDRS4yLzI4LzIwMTYBAAAADh8oAgIAAAADMC42AE0VRjJmddUITg+bM2Z11QgvQ0lRLi0tLklRX0xFR0FMX1NFVFRMRS5JUV9GWS4yLzI4LzIwMTcuTC5GLi0tLkMFAAAAAQAAAAgAAAAaKEludmFsaWQgQ3VycmVuY3kgUmVxdWVzdClNFUYyZnXVCGkHTn5mddUIGkNJUS4wLklRX1ZPTFVNRS4xMC8xMy8yMDE2AQAAAFWEdwMDAAAAAAAyBQotZnXVCE5Bh35mddUIGENJUS4wLklRX1ZPTFVNRS43LzUvMjAxNgEAAABVhHcDAwAAAAAAtHwcK2Z11Qi4Bat+ZnXVCBlDSVEuMC5JUV9WT0xVTUUuNS8xMC8yMDE2AQAAAFWEdwMDAAAAAAA0j</t>
  </si>
  <si>
    <t>D8pZnXVCKm2u35mddUIJENJUS4wLklRX1NIQVJFU09VVFNUQU5ESU5HLjkvMTQvMjAxNgEAAABVhHcDAwAAAAAAQ2ntLGZ11QgEy5B+ZnXVCBpDSVEuMC5JUV9WT0xVTUUuMTAvMjcvMjAxNgEAAABVhHcDAwAAAAAAjGCfLmZ11Qg4VXt+ZnXVCBhDSVEuMC5JUV9WT0xVTUUuNS82LzIwMTYBAAAAVYR3AwMAAAAAAEzvQSlmddUIHBm+fmZ11QgaQ0lRLjAuSVFfVk9MVU1FLjEwLzEwLzIwMTYBAAAAVYR3AwMAAAAAADIFCi1mddUITkGHfmZ11QgZQ0lRLjAuSVFfVk9MVU1FLjEvMjUvMjAxNwEAAABVhHcDAwAAAAAA/393MGZ11Qh/LlV+ZnXVCBpDSVEuMC5JUV9WT0xVTUUuMTIvMjAvMjAxNgEAAABVhHcDAwAAAAAA/393MGZ11Qh032V+ZnXVCCtDSVEuMC5JUV9CVVNfU0VHX05BTUUuMjAwMC4yLzI4LzIwMTcuLi4uLjEzAQAAAFWEdwMDAAAAAABNFUYyZnXVCJJ9RH5mddUIGENJUS4wLklRX1ZPTFVNRS44LzUvMjAxNgEAAABVhHcDAwAAAAAAsAXrLGZ11QiFGZ9+ZnXVCC9DSVEuMC5JUV9CVVNfU0VHX1JFVi4yMDAwLjIvMjgvMjAxNy5MLkYuVVNELkMuNQEAAABVhHcDAwAAAAAATRVGMmZ11QhNFUYyZnXVCCVDSVEuMC5JUV9TSEFSRVNPVVRTVEFORElORy4xMC8yMS8yMDE2AQAAAFWEdwMDAAAAAABmOZguZnXVCDhVe35mddUIGUNJUS4wLklRX1ZPTFVNRS4xMi8yLzIwMTYBAAAAVYR3AwMAAAAAADX+nC5m</t>
  </si>
  <si>
    <t>ddUITQhtfmZ11QgjQ0lRLjAuSVFfU0hBUkVTT1VUU1RBTkRJTkcuOC8yLzIwMTYBAAAAVYR3AwMAAAAAALR8HCtmddUIYn2hfmZ11QgkQ0lRLjAuSVFfU0hBUkVTT1VUU1RBTkRJTkcuMS8zMC8yMDE3AQAAAFWEdwMDAAAAAAD/f3cwZnXVCH8uVX5mddUIGUNJUS4wLklRX1ZPTFVNRS42LzE2LzIwMTYBAAAAVYR3AwMAAAAAAKzSHitmddUIfsqvfmZ11QgaQ0lRLjAuSVFfVk9MVU1FLjExLzI4LzIwMTYBAAAAVYR3AwMAAAAAADX+nC5mddUIHmlvfmZ11QgfQ0lRLklRVDM2MTgzODIxLklRX0NPTVBBTllfTkFNRQEAAAALHygCAwAAADJVbml0ZWQgU3RhdGVzIFRyZWFzdXJ5IENvbnN0YW50IE1hdHVyaXR5IC0gNiBNb250aABGioE1ZnXVCKhVmTVmddUILUNJUS4wLklRX0VCSVRfRVNULjMvMzEvMjAxOS4yLzI4LzIwMTcuTC5GLlVTRAUAAAABAAAACAAAABUoSW52YWxpZCBUaW1lIFBlcmlvZCmwBessZnXVCL9Umn5mddUIKUNJUS4wLklRX1RPVEFMX1JFVi45OTkuMi8yOC8yMDE3LkxGUi5GLi5DAQAAAFWEdwMDAAAAAABdOViAZnXVCF05WIBmddUIJENJUS4wLklRX1NIQVJFU09VVFNUQU5ESU5HLjUvMTgvMjAxNgEAAABVhHcDAwAAAAAAwD7bK2Z11QgcVLl+ZnXVCCNDSVEuMC5JUV9TSEFSRVNPVVRTVEFORElORy4xLzMvMjAxNwEAAABVhHcDAwAAAAAA/393MGZ11QhKuF5+ZnXVCBhDSVEuMC5JUV9WT0x</t>
  </si>
  <si>
    <t>VTUUuNC84LzIwMTYBAAAAVYR3AwMAAAAAADSMPylmddUIrqLHfmZ11QgxQ0lRLjAuSVFfR1dfSU5UQU5fQU1PUlRfQ0YuOTk3LjIvMjgvMjAxNy5MLkYuLS0uQwUAAAABAAAACAAAABooSW52YWxpZCBDdXJyZW5jeSBSZXF1ZXN0KWY5mC5mddUIVHOwgGZ11QgYQ0lRLjAuSVFfVk9MVU1FLjIvMy8yMDE3AQAAAFWEdwMDAAAAAAA54nkwZnXVCBvMUn5mddUILENJUS4wLklRX1RPVEFMX1JFVi4xMDAwLjIvMjgvMjAxNy5MRlIuRi4tLS5DBQAAAAEAAAAIAAAAGihJbnZhbGlkIEN1cnJlbmN5IFJlcXVlc3QpZjmYLmZ11QhZ1bKAZnXVCCRDSVEuMC5JUV9TSEFSRVNPVVRTVEFORElORy43LzEyLzIwMTYBAAAAVYR3AwMAAAAAAKzSHitmddUIOKOofmZ11QgYQ0lRLjAuSVFfVk9MVU1FLjQvNi8yMDE2AQAAAFWEdwMDAAAAAAA0jD8pZnXVCK6ix35mddUIJUNJUS4wLklRX1NIQVJFU09VVFNUQU5ESU5HLjExLzExLzIwMTYBAAAAVYR3AwMAAAAAAIxgny5mddUI9S10fmZ11QgpQ0lRLi5JUV9CVVNfU0VHX05BTUUuMjAwMC4yLzI4LzIwMTcuLi4uLjgFAAAAAQAAAAgAAAAUKEludmFsaWQgSWRlbnRpZmllcilGioE1ZnXVCKhVmTVmddUIGUNJUS4wLklRX1ZPTFVNRS40LzI3LzIwMTYBAAAAVYR3AwMAAAAAAEzvQSlmddUII9/CfmZ11QglQ0lRLjAuSVFfU0hBUkVTT1VUU1RBTkRJTkcuMTIvMjYvMjAxNgEAAABVhH</t>
  </si>
  <si>
    <t>cDAwAAAAAA/393MGZ11Qg+fWN+ZnXVCCpDSVEuSVFUMzYxODM4MzAuSVFfTEFTVFNBTEVQUklDRS4xLzI4LzIwMTcBAAAAFB8oAgIAAAAEMS40OABNFUYyZnXVCE4PmzNmddUIGUNJUS4wLklRX1ZPTFVNRS4yLzE3LzIwMTcBAAAAVYR3AwMAAAAAAP9/dzBmddUIuGlQfmZ11QgZQ0lRLjAuSVFfVk9MVU1FLjQvMjkvMjAxNgEAAABVhHcDAwAAAAAATO9BKWZ11QinfMB+ZnXVCBlDSVEuMC5JUV9WT0xVTUUuMS8zMS8yMDE3AQAAAFWEdwMDAAAAAAD/f3cwZnXVCBvMUn5mddUIJENJUS4wLklRX1NIQVJFU09VVFNUQU5ESU5HLjkvMjIvMjAxNgEAAABVhHcDAwAAAAAAsAXrLGZ11QidaI5+ZnXVCBlDSVEuMC5JUV9WT0xVTUUuMTEvMS8yMDE2AQAAAFWEdwMDAAAAAACMYJ8uZnXVCMDyeH5mddUIJENJUS4wLklRX1NIQVJFU09VVFNUQU5ESU5HLjYvMjIvMjAxNgEAAABVhHcDAwAAAAAAVTUhK2Z11Qhjaa1+ZnXVCDJDSVEuMC5JUV9CVVNfU0VHX0RFU0NSSVBUSU9OLjIwMDAuMi8yOC8yMDE3Li4uLi4xMAEAAABVhHcDAwAAAAAATRVGMmZ11QhNFUYyZnXVCCtDSVEuMC5JUV9UT1RBTF9SRVYuOTk3LjIvMjgvMjAxNy5MRlIuRi4tLS5DBQAAAAEAAAAIAAAAGihJbnZhbGlkIEN1cnJlbmN5IFJlcXVlc3QpZjmYLmZ11QhZ1bKAZnXVCCNDSVEuMC5JUV9TSEFSRVNPVVRTVEFORElORy40LzEvMjAxNgEAAABVhHcDA</t>
  </si>
  <si>
    <t>wAAAAAATO9BKWZ11Qg2Bcp+ZnXVCC9DSVEuMC5JUV9FQklUREFfRVNULjMvMzEvMjAyMS4yLzI4LzIwMTcuTC5GLlVTRAUAAAABAAAACAAAABUoSW52YWxpZCBUaW1lIFBlcmlvZCmwBessZnXVCJ1ojn5mddUIGUNJUS4wLklRX1ZPTFVNRS45LzIyLzIwMTYBAAAAVYR3AwMAAAAAALAF6yxmddUInWiOfmZ11QgfQ0lRLklRVDM2MTgzODE1LklRX1JBVEVfQ09VTlRSWQEAAAAFHygCAwAAABhVbml0ZWQgU3RhdGVzIG9mIEFtZXJpY2EARoqBNWZ11QioVZk1ZnXVCBlDSVEuMC5JUV9WT0xVTUUuOS8xNC8yMDE2AQAAAFWEdwMDAAAAAACwBessZnXVCATLkH5mddUILUNJUS4wLklRX0VCSVRfRVNULjMvMzEvMjAyMC4yLzI4LzIwMTcuTC5GLlVTRAUAAAABAAAACAAAABUoSW52YWxpZCBUaW1lIFBlcmlvZCmwBessZnXVCL9Umn5mddUIL0NJUS4wLklRX0JVU19TRUdfUkVWLjIwMDAuMi8yOC8yMDE3LkwuRi5VU0QuQy4zAQAAAFWEdwMDAAAAAABNFUYyZnXVCE0VRjJmddUIJENJUS4wLklRX1NIQVJFU09VVFNUQU5ESU5HLjIvMTUvMjAxNwEAAABVhHcDAwAAAAAA/393MGZ11Qi4aVB+ZnXVCCxDSVEuMC5JUV9EQV9TVVBQTF9DRi4yMDAwLjIvMjgvMjAxNy5MLkYuLS0uQwUAAAABAAAACAAAABooSW52YWxpZCBDdXJyZW5jeSBSZXF1ZXN0KWY5mC5mddUIWdWygGZ11QgsQ0lRLjAuSVFfSU5URVJFU1RfRVhQLjk5</t>
  </si>
  <si>
    <t>OC4yLzI4LzIwMTcuTC5GLi0tLkMFAAAAAQAAAAgAAAAaKEludmFsaWQgQ3VycmVuY3kgUmVxdWVzdClmOZguZnXVCFnVsoBmddUIJENJUS4wLklRX1NIQVJFU09VVFNUQU5ESU5HLjYvMTUvMjAxNgEAAABVhHcDAwAAAAAAVTUhK2Z11QjmLLJ+ZnXVCCRDSVEuMC5JUV9TSEFSRVNPVVRTVEFORElORy44LzEyLzIwMTYBAAAAVYR3AwMAAAAAAENp7SxmddUILrecfmZ11QgkQ0lRLjAuSVFfU0hBUkVTT1VUU1RBTkRJTkcuNS8xNy8yMDE2AQAAAFWEdwMDAAAAAADAPtsrZnXVCBxUuX5mddUIGkNJUS4wLklRX1ZPTFVNRS4xMC8xMS8yMDE2AQAAAFWEdwMDAAAAAAAyBQotZnXVCE5Bh35mddUIGENJUS4wLklRX1ZPTFVNRS43LzcvMjAxNgEAAABVhHcDAwAAAAAAtHwcK2Z11Qg4o6h+ZnXVCCxDSVEuMC5JUV9JTlRFUkVTVF9FWFAuOTk3LjIvMjgvMjAxNy5MLkYuLS0uQwUAAAABAAAACAAAABooSW52YWxpZCBDdXJyZW5jeSBSZXF1ZXN0KWY5mC5mddUIWdWygGZ11QgkQ0lRLjAuSVFfU0hBUkVTT1VUU1RBTkRJTkcuNy8yMS8yMDE2AQAAAFWEdwMDAAAAAACs0h4rZnXVCOFApn5mddUIH0NJUS5JUTQ0ODExMTQuSVFfQ09NUEFOWV9USUNLRVIBAAAAWmBEAAMAAAAIU0VISzoyNDEARoqBNWZ11QhZ1bKAZnXVCBhDSVEuMC5JUV9WT0xVTUUuOS82LzIwMTYBAAAAVYR3AwMAAAAAALAF6yxmddUIxC6TfmZ11QgZQ0l</t>
  </si>
  <si>
    <t>RLjAuSVFfVk9MVU1FLjUvMTgvMjAxNgEAAABVhHcDAwAAAAAAZZXdK2Z11QgcVLl+ZnXVCCVDSVEuSVFUMzYxODM4MTUuSVFfWUlFTERfQ1VSVkVfTElTVC4xAQAAAAUfKAIDAAAAC0lRVDM2MTgzODE1AItQQTJmddUITg+bM2Z11QgyQ0lRLjAuSVFfQlVTX1NFR19ERVNDUklQVElPTi4yMDAwLjIvMjgvMjAxNy4uLi4uMTUBAAAAVYR3AwMAAAAAAE0VRjJmddUITRVGMmZ11QgZQ0lRLjAuSVFfVk9MVU1FLjcvMjEvMjAxNgEAAABVhHcDAwAAAAAAVTUhK2Z11QjhQKZ+ZnXVCCRDSVEuMC5JUV9TSEFSRVNPVVRTVEFORElORy4xLzEyLzIwMTcBAAAAVYR3AwMAAAAAAP9/dzBmddUI1fNZfmZ11QgZQ0lRLjAuSVFfVk9MVU1FLjMvMzAvMjAxNgEAAABVhHcDAwAAAAAANIw/KWZ11Qg2Bcp+ZnXVCBxDSVEuSVFUMzYxODM4MzYuSVFfUkFURV9URVJNAQAAABofKAIDAAAABjcgWWVhcgBGioE1ZnXVCKhVmTVmddUIMUNJUS4wLklRX0dXX0lOVEFOX0FNT1JUX0NGLjk5OC4yLzI4LzIwMTcuTC5GLi0tLkMFAAAAAQAAAAgAAAAaKEludmFsaWQgQ3VycmVuY3kgUmVxdWVzdClmOZguZnXVCFnVsoBmddUIKkNJUS4wLklRX0RBX1NVUFBMX0NGLjEwMDAuMi8yOC8yMDE3LkwuRi4uQwEAAABVhHcDAwAAAAAAXTlYgGZ11QhdOViAZnXVCBpDSVEuMC5JUV9WT0xVTUUuMTAvMjQvMjAxNgEAAABVhHcDAwAAAAAAjGCfLmZ11Q</t>
  </si>
  <si>
    <t>g4VXt+ZnXVCC9DSVEuMC5JUV9CVVNfU0VHX1JFVi4xOTk5LjIvMjgvMjAxNy5MLkYuVVNELkMuMwEAAABVhHcDAwAAAAAATRVGMmZ11QhNFUYyZnXVCB9DSVEuSVFUMzYxODM4MTguSVFfQ09NUEFOWV9OQU1FAQAAAAgfKAIDAAAAMlVuaXRlZCBTdGF0ZXMgVHJlYXN1cnkgQ29uc3RhbnQgTWF0dXJpdHkgLSAzIE1vbnRoAEaKgTVmddUIqFWZNWZ11QgkQ0lRLjAuSVFfU0hBUkVTT1VUU1RBTkRJTkcuNC8yMC8yMDE2AQAAAFWEdwMDAAAAAAA0jD8pZnXVCCPfwn5mddUIJENJUS4wLklRX1NIQVJFU09VVFNUQU5ESU5HLjQvMTgvMjAxNgEAAABVhHcDAwAAAAAANIw/KWZ11Qg+QMV+ZnXVCC5DSVEuLS0uSVFfR0FJTl9BU1NFVFMuSVFfRlkuMi8yOC8yMDE3LkwuRi4tLS5DBQAAAAEAAAAIAAAAGihJbnZhbGlkIEN1cnJlbmN5IFJlcXVlc3Qpi1BBMmZ11QhpB05+ZnXVCBpDSVEuMC5JUV9WT0xVTUUuMTEvMzAvMjAxNgEAAABVhHcDAwAAAAAANf6cLmZ11QhNCG1+ZnXVCBxDSVEuSVFUMzYxODM4NDUuSVFfUkFURV9UWVBFAQAAACMfKAIDAAAAD0dvdmVybm1lbnQgRGVidABGioE1ZnXVCKhVmTVmddUIHENJUS5JUVQzNjE4MzgyMS5JUV9SQVRFX1RZUEUBAAAACx8oAgMAAAAPR292ZXJubWVudCBEZWJ0AEaKgTVmddUIqFWZNWZ11QgZQ0lRLjAuSVFfVk9MVU1FLjEyLzEvMjAxNgEAAABVhHcDAwAAAAAANf6cL</t>
  </si>
  <si>
    <t>mZ11QhNCG1+ZnXVCCVDSVEuSVFUMzYxODM4MTUuSVFfWUlFTERfQ1VSVkVfTElTVC40AQAAAAUfKAIDAAAAC0lRVDM2MTgzODI0AIy0QzJmddUITg+bM2Z11QglQ0lRLjAuSVFfU0hBUkVTT1VUU1RBTkRJTkcuMTIvMjAvMjAxNgEAAABVhHcDAwAAAAAA/393MGZ11Qh032V+ZnXVCBhDSVEuMC5JUV9WT0xVTUUuNy84LzIwMTYBAAAAVYR3AwMAAAAAALR8HCtmddUIOKOofmZ11QgtQ0lRLjAuSVFfQ0FQRVhfRVNULjMvMzEvMjAyMC4yLzI4LzIwMTcuTC5GLi0tBQAAAAEAAAAIAAAAFShJbnZhbGlkIFRpbWUgUGVyaW9kKbAF6yxmddUInWiOfmZ11QgkQ0lRLjAuSVFfU0hBUkVTT1VUU1RBTkRJTkcuOS8xOS8yMDE2AQAAAFWEdwMDAAAAAACwBessZnXVCATLkH5mddUIKkNJUS4uSVFfQlVTX1NFR19OQU1FLjIwMDAuMi8yOC8yMDE3Li4uLi4xMAUAAAABAAAACAAAABQoSW52YWxpZCBJZGVudGlmaWVyKUaKgTVmddUIqFWZNWZ11QgZQ0lRLjAuSVFfVk9MVU1FLjYvMTUvMjAxNgEAAABVhHcDAwAAAAAArNIeK2Z11QjmLLJ+ZnXVCBxDSVEuSVFUMzYxODM4NDUuSVFfUkFURV9URVJNAQAAACMfKAIDAAAABzMwIFllYXIARoqBNWZ11QioVZk1ZnXVCCtDSVEuMC5JUV9CVVNfU0VHX05BTUUuMjAwMC4yLzI4LzIwMTcuLi4uLjE1AQAAAFWEdwMDAAAAAABNFUYyZnXVCJJ9RH5mddUIJENJUS4wLklRX1NIQVJFU09V</t>
  </si>
  <si>
    <t>VFNUQU5ESU5HLjUvMzEvMjAxNgEAAABVhHcDAwAAAAAAwD7bK2Z11Qg9j7R+ZnXVCCtDSVEuMC5JUV9EQV9TVVBQTF9DRi45OTkuMi8yOC8yMDE3LkwuRi4tLS5DBQAAAAEAAAAIAAAAGihJbnZhbGlkIEN1cnJlbmN5IFJlcXVlc3QpZjmYLmZ11QhZ1bKAZnXVCCNDSVEuMC5JUV9TSEFSRVNPVVRTVEFORElORy41LzIvMjAxNgEAAABVhHcDAwAAAAAANIw/KWZ11QinfMB+ZnXVCCdDSVEuLS0uSVFfSVBSRC5JUV9GWS4yLzI4LzIwMTcuTC5GLi0tLkMFAAAAAQAAAAgAAAAaKEludmFsaWQgQ3VycmVuY3kgUmVxdWVzdCmLUEEyZnXVCGkHTn5mddUIMkNJUS4wLklRX0JVU19TRUdfREVTQ1JJUFRJT04uMjAwMC4yLzI4LzIwMTcuLi4uLjEyAQAAAFWEdwMDAAAAAABNFUYyZnXVCE0VRjJmddUIGUNJUS4wLklRX1ZPTFVNRS41LzE3LzIwMTYBAAAAVYR3AwMAAAAAAGWV3StmddUIHFS5fmZ11QgqQ0lRLjAuSVFfQlVTX1NFR19OQU1FLjIwMDAuMi8yOC8yMDE3Li4uLi42AQAAAFWEdwMDAAAAAABNFUYyZnXVCJJ9RH5mddUIMUNJUS4wLklRX0JVU19TRUdfREVTQ1JJUFRJT04uMjAwMC4yLzI4LzIwMTcuLi4uLjcBAAAAVYR3AwMAAAAAAE0VRjJmddUITRVGMmZ11QgZQ0lRLjAuSVFfVk9MVU1FLjIvMTYvMjAxNwEAAABVhHcDAwAAAAAA/393MGZ11Qi4aVB+ZnXVCDBDSVEuMC5JUV9CVVNfU0VHX1JFVi4xOTk5LjI</t>
  </si>
  <si>
    <t>vMjgvMjAxNy5MLkYuVVNELkMuMTQBAAAAVYR3AwMAAAAAAE0VRjJmddUITRVGMmZ11QgkQ0lRLjAuSVFfU0hBUkVTT1VUU1RBTkRJTkcuMi8xNy8yMDE3AQAAAFWEdwMDAAAAAAD/f3cwZnXVCLhpUH5mddUIGUNJUS4wLklRX1ZPTFVNRS40LzIwLzIwMTYBAAAAVYR3AwMAAAAAAEzvQSlmddUII9/CfmZ11QgkQ0lRLjAuSVFfU0hBUkVTT1VUU1RBTkRJTkcuOC8yNC8yMDE2AQAAAFWEdwMDAAAAAACwBessZnXVCD7yl35mddUIMENJUS4wLklRX0JVU19TRUdfUkVWLjIwMDAuMi8yOC8yMDE3LkwuRi5VU0QuQy4xNAEAAABVhHcDAwAAAAAATRVGMmZ11QhNFUYyZnXVCBpDSVEuMC5JUV9WT0xVTUUuMTEvMjUvMjAxNgEAAABVhHcDAwAAAAAANf6cLmZ11QgeaW9+ZnXVCCpDSVEuSVFUMzYxODM4MjcuSVFfTEFTVFNBTEVQUklDRS4yLzI4LzIwMTcBAAAAER8oAgIAAAAEMS4yMgBNFUYyZnXVCE4PmzNmddUIGkNJUS4wLklRX1ZPTFVNRS4xMi8yMy8yMDE2AQAAAFWEdwMDAAAAAAD/f3cwZnXVCD59Y35mddUIJUNJUS4wLklRX1NIQVJFU09VVFNUQU5ESU5HLjEwLzMxLzIwMTYBAAAAVYR3AwMAAAAAAIxgny5mddUIwPJ4fmZ11QgYQ0lRLjAuSVFfVk9MVU1FLjYvOC8yMDE2AQAAAFWEdwMDAAAAAADAPtsrZnXVCOYssn5mddUIJENJUS4wLklRX1NIQVJFU09VVFNUQU5ESU5HLjkvMjEvMjAxNgEAAABVhHcDAwAAAA</t>
  </si>
  <si>
    <t>AAsAXrLGZ11QidaI5+ZnXVCBlDSVEuMC5JUV9WT0xVTUUuMTEvMi8yMDE2AQAAAFWEdwMDAAAAAACMYJ8uZnXVCMDyeH5mddUIKUNJUS4uSVFfQlVTX1NFR19OQU1FLjIwMDAuMi8yOC8yMDE3Li4uLi4yBQAAAAEAAAAIAAAAFChJbnZhbGlkIElkZW50aWZpZXIpRoqBNWZ11QioVZk1ZnXVCCpDSVEuLklRX0JVU19TRUdfTkFNRS4yMDAwLjIvMjgvMjAxNy4uLi4uMTUFAAAAAQAAAAgAAAAUKEludmFsaWQgSWRlbnRpZmllcilGioE1ZnXVCKhVmTVmddUIJENJUS4wLklRX1NIQVJFU09VVFNUQU5ESU5HLjIvMTQvMjAxNwEAAABVhHcDAwAAAAAA/393MGZ11Qi4aVB+ZnXVCCpDSVEuSVFUMzYxODM4MzYuSVFfTEFTVFNBTEVQUklDRS4xLzI4LzIwMTcBAAAAGh8oAgIAAAAEMi4yOABNFUYyZnXVCE4PmzNmddUIK0NJUS4wLklRX0JVU19TRUdfTkFNRS4yMDAwLjIvMjgvMjAxNy4uLi4uMTABAAAAVYR3AwMAAAAAAE0VRjJmddUIkn1EfmZ11QgkQ0lRLjAuSVFfU0hBUkVTT1VUU1RBTkRJTkcuNC8yNi8yMDE2AQAAAFWEdwMDAAAAAAA0jD8pZnXVCCPfwn5mddUIGUNJUS4wLklRX1ZPTFVNRS45LzIxLzIwMTYBAAAAVYR3AwMAAAAAALAF6yxmddUInWiOfmZ11QgkQ0lRLjAuSVFfU0hBUkVTT1VUU1RBTkRJTkcuNC8yOC8yMDE2AQAAAFWEdwMDAAAAAAA0jD8pZnXVCKd8wH5mddUIGUNJUS4wLklRX1ZPTFVNRS40L</t>
  </si>
  <si>
    <t>zE4LzIwMTYBAAAAVYR3AwMAAAAAADSMPylmddUIPkDFfmZ11QgvQ0lRLjAuSVFfQlVTX1NFR19SRVYuMjAwMC4yLzI4LzIwMTcuTC5GLlVTRC5DLjEBAAAAVYR3AwMAAAAAAE0VRjJmddUITRVGMmZ11QgjQ0lRLjAuSVFfU0hBUkVTT1VUU1RBTkRJTkcuMi8xLzIwMTcBAAAAVYR3AwMAAAAAAP9/dzBmddUIG8xSfmZ11QglQ0lRLjAuSVFfU0hBUkVTT1VUU1RBTkRJTkcuMTIvMTQvMjAxNgEAAABVhHcDAwAAAAAA/393MGZ11Qj0QWh+ZnXVCCNDSVEuMC5JUV9TSEFSRVNPVVRTVEFORElORy45LzkvMjAxNgEAAABVhHcDAwAAAAAAQ2ntLGZ11QjELpN+ZnXVCC1DSVEuMC5JUV9FQklUX0VTVC4zLzMxLzIwMjIuMi8yOC8yMDE3LkwuRi5VU0QFAAAAAQAAAAgAAAAVKEludmFsaWQgVGltZSBQZXJpb2QpsAXrLGZ11Qi/VJp+ZnXVCCNDSVEuMC5JUV9TSEFSRVNPVVRTVEFORElORy42LzEvMjAxNgEAAABVhHcDAwAAAAAAwD7bK2Z11Qg9j7R+ZnXVCCRDSVEuMC5JUV9TSEFSRVNPVVRTVEFORElORy4zLzIzLzIwMTYBAAAAVYR3AwMAAAAAAEzvQSlmddUIlWfMfmZ11QgvQ0lRLjAuSVFfQlVTX1NFR19SRVYuMTk5OS4yLzI4LzIwMTcuTC5GLlVTRC5DLjgBAAAAVYR3AwMAAAAAAE0VRjJmddUITRVGMmZ11QgcQ0lRLklRVDM2MTgzODM5LklRX1JBVEVfVFlQRQEAAAAdHygCAwAAAA9Hb3Zlcm5tZW50IERlYnQARoqB</t>
  </si>
  <si>
    <t>NWZ11QioVZk1ZnXVCBhDSVEuMC5JUV9WT0xVTUUuNS85LzIwMTYBAAAAVYR3AwMAAAAAAEzvQSlmddUIHBm+fmZ11QgiQ0lRLjAuSVFfUEVSSU9EREFURS4yMDAwLjIvMjgvMjAxNwEAAABVhHcDAwAAAAAATRVGMmZ11QiSfUR+ZnXVCCRDSVEuMC5JUV9TSEFSRVNPVVRTVEFORElORy4zLzE3LzIwMTYBAAAAVYR3AwMAAAAAAE9WDihmddUI7cnOfmZ11QgZQ0lRLjAuSVFfVk9MVU1FLjkvMTkvMjAxNgEAAABVhHcDAwAAAAAAsAXrLGZ11QgEy5B+ZnXVCBpDSVEuMC5JUV9WT0xVTUUuMTAvMjYvMjAxNgEAAABVhHcDAwAAAAAAjGCfLmZ11Qg4VXt+ZnXVCC9DSVEuMC5JUV9HV19JTlRBTl9BTU9SVF9DRi45OTkuMi8yOC8yMDE3LkwuRi4uQwEAAABVhHcDAwAAAAAAXTlYgGZ11QhdOViAZnXVCB9DSVEuLklRX0xBU1RTQUxFUFJJQ0UuMS8yOC8yMDE3BQAAAAEAAAAIAAAAFChJbnZhbGlkIElkZW50aWZpZXIpTRVGMmZ11QjH6ZMzZnXVCCRDSVEuMC5JUV9TSEFSRVNPVVRTVEFORElORy4xLzEzLzIwMTcBAAAAVYR3AwMAAAAAAP9/dzBmddUI1fNZfmZ11QgkQ0lRLjAuSVFfU0hBUkVTT1VUU1RBTkRJTkcuNi8yOS8yMDE2AQAAAFWEdwMDAAAAAACs0h4rZnXVCGNprX5mddUIIENJUS5JUTQyMDgzNjAxLklRX0NPTVBBTllfVElDS0VSAQAAABElggIDAAAACU5ZU0U6QkFCQQBGioE1ZnXVCFnVsoBmddUIJENJUS4</t>
  </si>
  <si>
    <t>wLklRX1NIQVJFU09VVFNUQU5ESU5HLjEvMTAvMjAxNwEAAABVhHcDAwAAAAAA/393MGZ11QjaVVx+ZnXVCCRDSVEuMC5JUV9TSEFSRVNPVVRTVEFORElORy4yLzI5LzIwMTYBAAAAVYR3AwMAAAAAAFq5EChmddUI3I7TfmZ11QgZQ0lRLjAuSVFfVk9MVU1FLjEwLzUvMjAxNgEAAABVhHcDAwAAAAAAMgUKLWZ11QjSo4l+ZnXVCBlDSVEuMC5JUV9WT0xVTUUuMi8yMC8yMDE3AQAAAFWEdwMDAAAAAAD/f3cwZnXVCGkHTn5mddUIGUNJUS4wLklRX1ZPTFVNRS44LzI0LzIwMTYBAAAAVYR3AwMAAAAAALAF6yxmddUIPvKXfmZ11QgqQ0lRLi5JUV9CVVNfU0VHX05BTUUuMjAwMC4yLzI4LzIwMTcuLi4uLjEyBQAAAAEAAAAIAAAAFChJbnZhbGlkIElkZW50aWZpZXIpRoqBNWZ11QioVZk1ZnXVCCFDSVEuMC5JUV9DT0dTX0VTVC4uMi8yOC8yMDE3LkwuRi4FAAAAAQAAAAgAAAAWKEludmFsaWQgRm9ybXVsYSBOYW1lKV05WIBmddUIXTlYgGZ11QgkQ0lRLjAuSVFfU0hBUkVTT1VUU1RBTkRJTkcuMTEvMy8yMDE2AQAAAFWEdwMDAAAAAACMYJ8uZnXVCHGQdn5mddUIKUNJUS4uSVFfQlVTX1NFR19OQU1FLjIwMDAuMi8yOC8yMDE3Li4uLi40BQAAAAEAAAAIAAAAFChJbnZhbGlkIElkZW50aWZpZXIpRoqBNWZ11QioVZk1ZnXVCCRDSVEuMC5JUV9TSEFSRVNPVVRTVEFORElORy45LzE1LzIwMTYBAAAAVYR3AwMAAAAAAE</t>
  </si>
  <si>
    <t>Np7SxmddUIBMuQfmZ11QgfQ0lRLklRVDM2MTgzODI3LklRX1JBVEVfQ09VTlRSWQEAAAARHygCAwAAABhVbml0ZWQgU3RhdGVzIG9mIEFtZXJpY2EARoqBNWZ11QioVZk1ZnXVCCRDSVEuMC5JUV9TSEFSRVNPVVRTVEFORElORy43LzIyLzIwMTYBAAAAVYR3AwMAAAAAAKzSHitmddUIVN6jfmZ11QgjQ0lRLjAuSVFfU0hBUkVTT1VUU1RBTkRJTkcuNS80LzIwMTYBAAAAVYR3AwMAAAAAADSMPylmddUIHBm+fmZ11QgkQ0lRLjAuSVFfU0hBUkVTT1VUU1RBTkRJTkcuOC8yNi8yMDE2AQAAAFWEdwMDAAAAAACwBessZnXVCD7yl35mddUIGUNJUS4wLklRX1ZPTFVNRS40LzI2LzIwMTYBAAAAVYR3AwMAAAAAAEzvQSlmddUII9/CfmZ11QgZQ0lRLjAuSVFfVk9MVU1FLjEvMTEvMjAxNwEAAABVhHcDAwAAAAAA/393MGZ11QjV81l+ZnXVCCpDSVEuSVFUMzYxODM4MzkuSVFfTEFTVFNBTEVQUklDRS4xLzI4LzIwMTcBAAAAHR8oAgIAAAAEMi40OQBNFUYyZnXVCE4PmzNmddUIJUNJUS4wLklRX1NIQVJFU09VVFNUQU5ESU5HLjEyLzI3LzIwMTYBAAAAVYR3AwMAAAAAAP9/dzBmddUIoRphfmZ11QgfQ0lRLklRVDM2MTgzODM5LklRX1JBVEVfQ09VTlRSWQEAAAAdHygCAwAAABhVbml0ZWQgU3RhdGVzIG9mIEFtZXJpY2EARoqBNWZ11QioVZk1ZnXVCBpDSVEuMC5JUV9WT0xVTUUuMTIvMjEvMjAxNgEAAABVhHcDAwAAA</t>
  </si>
  <si>
    <t>AAA/393MGZ11Qh032V+ZnXVCCVDSVEuMC5JUV9TSEFSRVNPVVRTVEFORElORy4xMi8xMy8yMDE2AQAAAFWEdwMDAAAAAAD/f3cwZnXVCPRBaH5mddUIGUNJUS4wLklRX1ZPTFVNRS40LzI4LzIwMTYBAAAAVYR3AwMAAAAAAEzvQSlmddUIp3zAfmZ11QgcQ0lRLklRVDM2MTgzODE1LklRX1JBVEVfVFlQRQEAAAAFHygCAwAAAA9Hb3Zlcm5tZW50IERlYnQARoqBNWZ11QioVZk1ZnXVCBpDSVEuMC5JUV9WT0xVTUUuMTEvMjkvMjAxNgEAAABVhHcDAwAAAAAANf6cLmZ11QhNCG1+ZnXVCCNDSVEuMC5JUV9TSEFSRVNPVVRTVEFORElORy4zLzgvMjAxNgEAAABVhHcDAwAAAAAAWrkQKGZ11QiQLdF+ZnXVCCNDSVEuMC5JUV9TSEFSRVNPVVRTVEFORElORy44LzkvMjAxNgEAAABVhHcDAwAAAAAAQ2ntLGZ11QiFGZ9+ZnXVCCRDSVEuMC5JUV9TSEFSRVNPVVRTVEFORElORy45LzIzLzIwMTYBAAAAVYR3AwMAAAAAALAF6yxmddUInWiOfmZ11QgZQ0lRLjAuSVFfVk9MVU1FLjEvMjAvMjAxNwEAAABVhHcDAwAAAAAA/393MGZ11Qj3kFd+ZnXVCCRDSVEuMC5JUV9TSEFSRVNPVVRTVEFORElORy4yLzE2LzIwMTcBAAAAVYR3AwMAAAAAAP9/dzBmddUIuGlQfmZ11QgqQ0lRLklRVDM2MTgzODIxLklRX0xBU1RTQUxFUFJJQ0UuMS8yOC8yMDE3AQAAAAsfKAICAAAABDAuNjMATRVGMmZ11QhOD5szZnXVCCtDSVEuLS0uSVFf</t>
  </si>
  <si>
    <t>RUJUX0VYQ0wuSVFfRlkuMi8yOC8yMDE3LkwuRi4tLS5DBQAAAAEAAAAIAAAAGihJbnZhbGlkIEN1cnJlbmN5IFJlcXVlc3QpTRVGMmZ11QhpB05+ZnXVCBlDSVEuMC5JUV9WT0xVTUUuNS8xMy8yMDE2AQAAAFWEdwMDAAAAAAA0jD8pZnXVCKm2u35mddUIH0NJUS5JUVQzNjE4Mzg0Mi5JUV9SQVRFX0NPVU5UUlkBAAAAIB8oAgMAAAAYVW5pdGVkIFN0YXRlcyBvZiBBbWVyaWNhAE0VRjJmddUI/LmbNWZ11QgwQ0lRLjAuSVFfR1dfSU5UQU5fQU1PUlRfQ0YuMTAwMC4yLzI4LzIwMTcuTC5GLi5DAQAAAFWEdwMDAAAAAABdOViAZnXVCF05WIBmddUIHENJUS5JUVQzNjE4MzgzMC5JUV9SQVRFX1RZUEUBAAAAFB8oAgMAAAAPR292ZXJubWVudCBEZWJ0AEaKgTVmddUIqFWZNWZ11QgrQ0lRLjAuSVFfSU5URVJFU1RfRVhQLjEwMDAuMi8yOC8yMDE3LkwuRi4uQwEAAABVhHcDAwAAAAAAXTlYgGZ11QhdOViAZnXVCCpDSVEuMC5JUV9CVVNfU0VHX05BTUUuMjAwMC4yLzI4LzIwMTcuLi4uLjgBAAAAVYR3AwMAAAAAAE0VRjJmddUIkn1EfmZ11Qg=</t>
  </si>
  <si>
    <t>[Put your heading here]</t>
  </si>
  <si>
    <t>Settings</t>
  </si>
  <si>
    <t>Specify your exhibit number/label here</t>
  </si>
  <si>
    <t>VISTA Version 3.1  August 25 2017  32/64-bit</t>
  </si>
  <si>
    <t>PrintCover</t>
  </si>
  <si>
    <t>Unused</t>
  </si>
  <si>
    <t>PrintTOC</t>
  </si>
  <si>
    <t>Paper size</t>
  </si>
  <si>
    <t>Letter</t>
  </si>
  <si>
    <t>If ASC 350: Are any units failing or close to failing?</t>
  </si>
  <si>
    <t>PrintDRAFT</t>
  </si>
  <si>
    <t>Printing orientation</t>
  </si>
  <si>
    <t>Landscape</t>
  </si>
  <si>
    <t>PreviewBeforePrint</t>
  </si>
  <si>
    <t>ViewCos</t>
  </si>
  <si>
    <t>DraftMode</t>
  </si>
  <si>
    <t>TimeStart</t>
  </si>
  <si>
    <t>DraftFooter</t>
  </si>
  <si>
    <t>Draft and preliminary. All data subject to change upon completion of additional analysis</t>
  </si>
  <si>
    <t>TimeEnd</t>
  </si>
  <si>
    <t>Net debt, floor at 0</t>
  </si>
  <si>
    <t>ExhibitLabel</t>
  </si>
  <si>
    <t>Exhibit</t>
  </si>
  <si>
    <t>WorkpaperLabel</t>
  </si>
  <si>
    <t>Workpaper</t>
  </si>
  <si>
    <t>PrnCount</t>
  </si>
  <si>
    <t>CAPIQMode</t>
  </si>
  <si>
    <t>SubjCo</t>
  </si>
  <si>
    <t>ExhibitFrom</t>
  </si>
  <si>
    <t>Debt/Mkt Eq floor at zero</t>
  </si>
  <si>
    <t>ExhibitTo</t>
  </si>
  <si>
    <t>ExhibitPageNumber</t>
  </si>
  <si>
    <t>BetaIndexList</t>
  </si>
  <si>
    <t>Trading country beta index</t>
  </si>
  <si>
    <t>WorkpaperFrom</t>
  </si>
  <si>
    <t>Capital IQ beta index</t>
  </si>
  <si>
    <t>Included in debt</t>
  </si>
  <si>
    <t>WorkpaperTo</t>
  </si>
  <si>
    <t>BetaIndex</t>
  </si>
  <si>
    <t>GCAutoload</t>
  </si>
  <si>
    <t>WorkpaperPageNumber</t>
  </si>
  <si>
    <t>InclPensionSetting</t>
  </si>
  <si>
    <t>IncludeAs11</t>
  </si>
  <si>
    <t>ReSortTabs</t>
  </si>
  <si>
    <t>ZoomAlwaysAt70</t>
  </si>
  <si>
    <t>UseLastSet</t>
  </si>
  <si>
    <t>Preview</t>
  </si>
  <si>
    <t>AutoComp</t>
  </si>
  <si>
    <t>AlphabetizeGPC</t>
  </si>
  <si>
    <t>Run the macro LayOutDefaultOrderCodeNames to write the codenames by the order already shown in the model</t>
  </si>
  <si>
    <t>This label "Codename" is Storage.Range("DefaultCodeNamesTop")</t>
  </si>
  <si>
    <t>DefaultTabNamesTop</t>
  </si>
  <si>
    <t>Default order codename</t>
  </si>
  <si>
    <t>Default order tab names</t>
  </si>
  <si>
    <t>ReleaseDate</t>
  </si>
  <si>
    <t>Region labels</t>
  </si>
  <si>
    <t>This is set by developer</t>
  </si>
  <si>
    <t>Writes the sheet names</t>
  </si>
  <si>
    <t>MasterState</t>
  </si>
  <si>
    <t>RegionFormatList</t>
  </si>
  <si>
    <t>ErrorCheck</t>
  </si>
  <si>
    <t>in the model</t>
  </si>
  <si>
    <t>MasterFile (date Master file first used)</t>
  </si>
  <si>
    <t>Non-US format (EV, Leverage)</t>
  </si>
  <si>
    <t>Cover</t>
  </si>
  <si>
    <t>based on the</t>
  </si>
  <si>
    <t>ReleaseDateNote</t>
  </si>
  <si>
    <t>Non-US format (EV, Gearing)</t>
  </si>
  <si>
    <t>START</t>
  </si>
  <si>
    <t>dafault code names</t>
  </si>
  <si>
    <t>ReleaseDateNote1</t>
  </si>
  <si>
    <t>RegionFormat</t>
  </si>
  <si>
    <t>DATASheet</t>
  </si>
  <si>
    <t>DATA GPC</t>
  </si>
  <si>
    <t>ReleaseDateNote2</t>
  </si>
  <si>
    <t>ConclusionOfValue</t>
  </si>
  <si>
    <t>Conclusion of Value</t>
  </si>
  <si>
    <t>ThisRow</t>
  </si>
  <si>
    <t>AnalystBase</t>
  </si>
  <si>
    <t>MarketCapReconciliation</t>
  </si>
  <si>
    <t>Market Cap Reconciliation</t>
  </si>
  <si>
    <t>CloseQuickly</t>
  </si>
  <si>
    <t>EVorTIC</t>
  </si>
  <si>
    <t>HistoricalIS</t>
  </si>
  <si>
    <t>INC STAT Hist Input</t>
  </si>
  <si>
    <t>MySheet</t>
  </si>
  <si>
    <t>EVorTICFull</t>
  </si>
  <si>
    <t>HistoricalBS</t>
  </si>
  <si>
    <t>BAL SHEET Hist Input</t>
  </si>
  <si>
    <t>MyCell</t>
  </si>
  <si>
    <t>$A$20</t>
  </si>
  <si>
    <t>EVorTIClowercase</t>
  </si>
  <si>
    <t>PFIInput</t>
  </si>
  <si>
    <t>MyJumpCell</t>
  </si>
  <si>
    <t>GearingOrLeverage</t>
  </si>
  <si>
    <t>NOLTaxBenefit</t>
  </si>
  <si>
    <t>Exhibit 6</t>
  </si>
  <si>
    <t>NOL Tax Benefit</t>
  </si>
  <si>
    <t>MyJumpSheet</t>
  </si>
  <si>
    <t>BetaAndTICInputs</t>
  </si>
  <si>
    <t>Exhibit 7</t>
  </si>
  <si>
    <t>WACC and TIC Inputs</t>
  </si>
  <si>
    <t>Symbol used for error check failure</t>
  </si>
  <si>
    <t>ERROR</t>
  </si>
  <si>
    <t>DCF</t>
  </si>
  <si>
    <t>Exhibit 8</t>
  </si>
  <si>
    <t>LastAnalystBase</t>
  </si>
  <si>
    <t>Symbol used for error check success</t>
  </si>
  <si>
    <t>OK</t>
  </si>
  <si>
    <t>Exhibit 9</t>
  </si>
  <si>
    <t>QuickComp</t>
  </si>
  <si>
    <t>Symbol used for items that need further review</t>
  </si>
  <si>
    <t>REVIEW</t>
  </si>
  <si>
    <t>PFIOutput</t>
  </si>
  <si>
    <t>Exhibit 10</t>
  </si>
  <si>
    <t>PFI</t>
  </si>
  <si>
    <t>MySORTRow</t>
  </si>
  <si>
    <t>PFIOutputCS</t>
  </si>
  <si>
    <t>Exhibit 11</t>
  </si>
  <si>
    <t>PFI Common Size</t>
  </si>
  <si>
    <t>AllowChange</t>
  </si>
  <si>
    <t>TIC</t>
  </si>
  <si>
    <t>Exhibit 12</t>
  </si>
  <si>
    <t>ShortCutKeysOn</t>
  </si>
  <si>
    <t>TICMultiples</t>
  </si>
  <si>
    <t>Exhibit 13</t>
  </si>
  <si>
    <t>TIC Multiples</t>
  </si>
  <si>
    <t>TestModeON</t>
  </si>
  <si>
    <t>GrowthAndMargins</t>
  </si>
  <si>
    <t>Exhibit 14</t>
  </si>
  <si>
    <t>Growth&amp;Margins</t>
  </si>
  <si>
    <t>IDoNotAgree</t>
  </si>
  <si>
    <t>EquityMultiples</t>
  </si>
  <si>
    <t>Exhibit 15</t>
  </si>
  <si>
    <t>Equity Multiples</t>
  </si>
  <si>
    <t>GuidelinePublicCompanyMethod</t>
  </si>
  <si>
    <t>Exhibit 16</t>
  </si>
  <si>
    <t>LookupID</t>
  </si>
  <si>
    <t>GuidelineTransactionsInput</t>
  </si>
  <si>
    <t>Exhibit 17</t>
  </si>
  <si>
    <t>Guideline Transactions Input</t>
  </si>
  <si>
    <t>LookUpFormActive</t>
  </si>
  <si>
    <t>GuidelineTransactions</t>
  </si>
  <si>
    <t>Exhibit 18</t>
  </si>
  <si>
    <t>MyRegion</t>
  </si>
  <si>
    <t>Americas</t>
  </si>
  <si>
    <t>TOC</t>
  </si>
  <si>
    <t>NONE</t>
  </si>
  <si>
    <t>TOC Print from here&gt;&gt;</t>
  </si>
  <si>
    <t>MySubArea</t>
  </si>
  <si>
    <t>PRINTEND</t>
  </si>
  <si>
    <t>&lt;&lt;to this bookend</t>
  </si>
  <si>
    <t>MyCountry</t>
  </si>
  <si>
    <t>East Central</t>
  </si>
  <si>
    <t>Workpapers</t>
  </si>
  <si>
    <t>Workpapers-&gt;&gt;</t>
  </si>
  <si>
    <t>FirstStartOfTheDay</t>
  </si>
  <si>
    <t>TABSheet</t>
  </si>
  <si>
    <t>Exhibit 19</t>
  </si>
  <si>
    <t>Tax Amortization Benefit</t>
  </si>
  <si>
    <t>MyPreview</t>
  </si>
  <si>
    <t>Depreciation and Tax Benefit</t>
  </si>
  <si>
    <t>CIQDataSetting</t>
  </si>
  <si>
    <t>1 means the starting status was Auto data was ON, 0=OFF</t>
  </si>
  <si>
    <t>DepreciationSales</t>
  </si>
  <si>
    <t>Exhibit 21</t>
  </si>
  <si>
    <t>MacroIsRunning</t>
  </si>
  <si>
    <t>NWCSales</t>
  </si>
  <si>
    <t>Exhibit 22</t>
  </si>
  <si>
    <t xml:space="preserve">PageHeight </t>
  </si>
  <si>
    <t>850 for letter; 800 for A4</t>
  </si>
  <si>
    <t>WACCGuidelineCos</t>
  </si>
  <si>
    <t>GPC WACC</t>
  </si>
  <si>
    <t xml:space="preserve">PageWidth </t>
  </si>
  <si>
    <t>1035 for letter; 1140 for A4</t>
  </si>
  <si>
    <t>SegmentInformation</t>
  </si>
  <si>
    <t>Segment Information</t>
  </si>
  <si>
    <t>PageWidthPica</t>
  </si>
  <si>
    <t>205 for letter; 222 for A4</t>
  </si>
  <si>
    <t>GuidelineDescriptions</t>
  </si>
  <si>
    <t>GPC Business Descriptions</t>
  </si>
  <si>
    <t>DebtSettingSet</t>
  </si>
  <si>
    <t>Exhibit 26</t>
  </si>
  <si>
    <t>RefreshTOCList</t>
  </si>
  <si>
    <t>EBITRecon</t>
  </si>
  <si>
    <t>Exhibit 27</t>
  </si>
  <si>
    <t>HistDebtEquity</t>
  </si>
  <si>
    <t>Exhibit 28</t>
  </si>
  <si>
    <t>Hist Debt Mkt Equity</t>
  </si>
  <si>
    <t>[Default] notations denote settings in VISTA, not in Capital IQ</t>
  </si>
  <si>
    <t>DuPontROA</t>
  </si>
  <si>
    <t>Exhibit 29</t>
  </si>
  <si>
    <t>DuPont ROA</t>
  </si>
  <si>
    <t>FilingModeList</t>
  </si>
  <si>
    <t>ReportTypeList</t>
  </si>
  <si>
    <t>FXModeList</t>
  </si>
  <si>
    <t>DuPontROE</t>
  </si>
  <si>
    <t>DuPont ROE</t>
  </si>
  <si>
    <t>"P" Period Mode</t>
  </si>
  <si>
    <t>Latest Fully Reported [Default]</t>
  </si>
  <si>
    <t>Historical [Default]</t>
  </si>
  <si>
    <t>GuidelineEstimates</t>
  </si>
  <si>
    <t>Exhibit 31</t>
  </si>
  <si>
    <t>"F" Filing Mode [Default]</t>
  </si>
  <si>
    <t>Latest</t>
  </si>
  <si>
    <t>Current</t>
  </si>
  <si>
    <t>OtherTools</t>
  </si>
  <si>
    <t>Other tools-&gt;&gt;</t>
  </si>
  <si>
    <t>Original</t>
  </si>
  <si>
    <t>ValueBridge</t>
  </si>
  <si>
    <t>Preliminary</t>
  </si>
  <si>
    <t>Latest Reported Instance</t>
  </si>
  <si>
    <t>BarChart</t>
  </si>
  <si>
    <t>PieChart</t>
  </si>
  <si>
    <t>Speak to me</t>
  </si>
  <si>
    <t>This operates the model's spoken description of the download steps</t>
  </si>
  <si>
    <t>Blank0</t>
  </si>
  <si>
    <t>Blank Template</t>
  </si>
  <si>
    <t>UsersGuide</t>
  </si>
  <si>
    <t>UpdateNotes</t>
  </si>
  <si>
    <t>Update notes</t>
  </si>
  <si>
    <t>Storage</t>
  </si>
  <si>
    <t>Sheet24</t>
  </si>
  <si>
    <t>List of Companies in use</t>
  </si>
  <si>
    <t>Beta</t>
  </si>
  <si>
    <t>Use this list</t>
  </si>
  <si>
    <t>Error messages</t>
  </si>
  <si>
    <t>Error</t>
  </si>
  <si>
    <t>ERR</t>
  </si>
  <si>
    <t>Error on page message</t>
  </si>
  <si>
    <t>Error on current sheet</t>
  </si>
  <si>
    <t>Model in error message</t>
  </si>
  <si>
    <t>Error in in other sheet(s) in Model</t>
  </si>
  <si>
    <t>na</t>
  </si>
  <si>
    <t>Error check column</t>
  </si>
  <si>
    <t>Range("ExhibitFrom").Value = Me.txtExhibitFrom.Value</t>
  </si>
  <si>
    <t xml:space="preserve">    Range("ExhibitTo").Value = Me.txtExhibitTo.Value</t>
  </si>
  <si>
    <t xml:space="preserve">    Range("ExhibitPageNumber").Value = Me.txtExhibitPageNumber.Value</t>
  </si>
  <si>
    <t xml:space="preserve">    Range("WorkpaperFrom").Value = Me.txtWorkpaperFrom.Value</t>
  </si>
  <si>
    <t xml:space="preserve">    Range("WorkpaperTo").Value = Me.txtWorkpaperTo.Value</t>
  </si>
  <si>
    <t>Nepal</t>
  </si>
  <si>
    <t xml:space="preserve">    Range("WorkpaperPageNumber").Value = Me.txtWorkpaperPageNumber.Value</t>
  </si>
  <si>
    <t>Mediterranean</t>
  </si>
  <si>
    <t>Andorra</t>
  </si>
  <si>
    <t>Gibraltar</t>
  </si>
  <si>
    <t>San Marino</t>
  </si>
  <si>
    <t>MENA</t>
  </si>
  <si>
    <t>Afghanistan</t>
  </si>
  <si>
    <t>Bahrain</t>
  </si>
  <si>
    <t>Iraq</t>
  </si>
  <si>
    <t>Jordan</t>
  </si>
  <si>
    <t>Kuwait</t>
  </si>
  <si>
    <t>Lebanon</t>
  </si>
  <si>
    <t>Libya</t>
  </si>
  <si>
    <t>Oman</t>
  </si>
  <si>
    <t>Palestine</t>
  </si>
  <si>
    <t>Palestinian Authority</t>
  </si>
  <si>
    <t>Qatar</t>
  </si>
  <si>
    <t>Syria</t>
  </si>
  <si>
    <t>Yemen</t>
  </si>
  <si>
    <t>Nordics</t>
  </si>
  <si>
    <t>Denmark</t>
  </si>
  <si>
    <t>Faroe Islands</t>
  </si>
  <si>
    <t>Finland</t>
  </si>
  <si>
    <t>Greenland</t>
  </si>
  <si>
    <t>Iceland</t>
  </si>
  <si>
    <t>UK_and_I</t>
  </si>
  <si>
    <t>Guernsey</t>
  </si>
  <si>
    <t>Ireland</t>
  </si>
  <si>
    <t>Ireland-Rep</t>
  </si>
  <si>
    <t>Isle of Man</t>
  </si>
  <si>
    <t>Jersey</t>
  </si>
  <si>
    <t>Norfolk</t>
  </si>
  <si>
    <t>Data sheet lookup</t>
  </si>
  <si>
    <t>Update notes for the model developer</t>
  </si>
  <si>
    <t>Edit by</t>
  </si>
  <si>
    <t>VISTA 1.0 2017 02 20</t>
  </si>
  <si>
    <t>Input defaults corrected to show yellow color. It was set to a print mode when the yellow changes to white</t>
  </si>
  <si>
    <t>John Tjia</t>
  </si>
  <si>
    <t>Global</t>
  </si>
  <si>
    <t>VISTA 1.0 2017 02 23</t>
  </si>
  <si>
    <t>Dropdown list in DATA GPC now more complete for all items on the sheet.</t>
  </si>
  <si>
    <t>AO1:AO53</t>
  </si>
  <si>
    <t>Auto-numbering form sequence improved</t>
  </si>
  <si>
    <t>VBA</t>
  </si>
  <si>
    <t>frmAutoNumbering and modNEWPrint,AutoNumberingforTOC</t>
  </si>
  <si>
    <t>Input dates use conditional formatting to turn white (no user input) when Subj Co ticker is entered</t>
  </si>
  <si>
    <t>G30:G34</t>
  </si>
  <si>
    <t>Screen shots of VISTA ribbon updated</t>
  </si>
  <si>
    <t>VISTA 1.0a 2017 02 23</t>
  </si>
  <si>
    <t>Additional column added to show beta as is (before unlevering) but with or without Bayesian adjustment</t>
  </si>
  <si>
    <t xml:space="preserve">J126:J150; O126:O150; T126:T150; Y126:Y150; </t>
  </si>
  <si>
    <t>5-yr, 3-yr averages and CAGR added on TIC and TIC Multiples sheets</t>
  </si>
  <si>
    <t>TIC and TIC Multiple</t>
  </si>
  <si>
    <t xml:space="preserve">Minor formatting of lines </t>
  </si>
  <si>
    <t>TIC and TIC Multiple, Equity multiples</t>
  </si>
  <si>
    <t xml:space="preserve">VBA code added in A_MasterSave macro to set the range AlphabetizeGPC=true </t>
  </si>
  <si>
    <t>VISTA 1.0a 2017 03 06</t>
  </si>
  <si>
    <t>Stray test formula in the IF statement in sheet "Depreciation and Tax Benefit" line Q29:AE29 removed. There was no effect on the calculations</t>
  </si>
  <si>
    <t xml:space="preserve"> Q29:AE29</t>
  </si>
  <si>
    <t>VISTA 1.0a 2017 03 08</t>
  </si>
  <si>
    <t>SpeaktoMe code commented out. This feature taken out</t>
  </si>
  <si>
    <t>Print range settings for Segment Information and GPC Business Descriptions redone to ensure the print area covers only the number of GPCs in the run. This resetting macro is run at the end of each GPC Capital IQ macro run, and also at the beginning of the Print Current Sheet(s) and the Print Selection macros.</t>
  </si>
  <si>
    <t>No of GPC companies Settings page corrected</t>
  </si>
  <si>
    <t>D104:D129</t>
  </si>
  <si>
    <t>Column I in Segment Information widened to allows more text per line, and so no overflows to the next page</t>
  </si>
  <si>
    <t>Column I</t>
  </si>
  <si>
    <t>INDEX range corrected to match MATCH range</t>
  </si>
  <si>
    <t>Y20 and below</t>
  </si>
  <si>
    <t>=IF(X20="ZZZZ","",INDEX($G$20:$G$44,MATCH(X20,$W$20:$W$44,0)))</t>
  </si>
  <si>
    <t>VISTA 1.0a 2017 03 09</t>
  </si>
  <si>
    <t>Liquidity data added; Dropdown for T-test significance level added; Dropdown to excluded "Insignificant" betas added</t>
  </si>
  <si>
    <t>WACC and TIC INputs</t>
  </si>
  <si>
    <t>Rows 80-100</t>
  </si>
  <si>
    <t>VISTA 1.0d 2017 03 13</t>
  </si>
  <si>
    <t>PFI sheet reads only projected column from PFI inputs (1st period no longer uses SUMIFS).  In this way, DCF correctly reads only the prospective columns.</t>
  </si>
  <si>
    <t>PFI Inputs, PFI</t>
  </si>
  <si>
    <t>Column G in PFI</t>
  </si>
  <si>
    <t>VISTA 1.0e 2017 03 13</t>
  </si>
  <si>
    <t>Stub calculation linked to START entries</t>
  </si>
  <si>
    <t>INC STAT Hist Inputs</t>
  </si>
  <si>
    <t>AK3</t>
  </si>
  <si>
    <t>VISTA 1.0f 2017 03 14</t>
  </si>
  <si>
    <t>Clean up of StubY and StubInMonths definitions</t>
  </si>
  <si>
    <t>VISTA 1.0h 2017 03 14</t>
  </si>
  <si>
    <t>Stub calculation in Depreciation wedge in Depreciation and Tax benefit uses the Stub weight only for the first capex.  The calculations were using the stub wt for each new capex in the forecast years</t>
  </si>
  <si>
    <t>VISTA 1.0i 2017 03 28</t>
  </si>
  <si>
    <t>Balance sheet input and balance sheet and cash flow statement outputs added (from EY Moscow). CUSTOM BETA formula uses the IQ_PRICEDATE code to grab the starting observation when the first date is on a non-trading day. This makes it consistent with GCM (from EY Johannesburg). Screening for multiples by growth and margins put in (from EY Houston/Gaurav Ghoge).</t>
  </si>
  <si>
    <t>PFI Inputs, WACC and TIC Inputs, GPC Method</t>
  </si>
  <si>
    <t>VISTA 1.0i 2017 03 31</t>
  </si>
  <si>
    <t>QE adjustment and Volatility adjustment enteries added to the WACC and TIC inputs. Debt/Market Equity columns shows LFQ debt and Valuation date Mkt Equity only, even when d/mkt equity selection is other type (e.g., 2-year average)</t>
  </si>
  <si>
    <t>WACC and TIC inputs</t>
  </si>
  <si>
    <t>H201:H202</t>
  </si>
  <si>
    <t>Date shift adjustment is only for the forecast and not for any historical years.  New column created to bring in estimates date for the actual NFY if the "NFY" selected in the model through the Advanced setting becomes NFY+1. WACC display shows any Bayesean adjustment</t>
  </si>
  <si>
    <t>WACC display shows any Bayesean adjustment</t>
  </si>
  <si>
    <t>G13:G37</t>
  </si>
  <si>
    <t>VISTA 2.0 2017 04 06</t>
  </si>
  <si>
    <t>Normalized DFNCF available for distribution added.
Check in DCF cell H36 now reads PFIInputs!S304</t>
  </si>
  <si>
    <t>PFI inputs</t>
  </si>
  <si>
    <t>S304</t>
  </si>
  <si>
    <t>=S92+S95+S75+S299</t>
  </si>
  <si>
    <t>VISTA 2.1 2017 04 16</t>
  </si>
  <si>
    <t>value bridge chart changed to line chart, not bar chart</t>
  </si>
  <si>
    <t>VISTA 2.2 2017 04 27</t>
  </si>
  <si>
    <t>Tax rate timing follos the D/E timing</t>
  </si>
  <si>
    <t>Column N49 down</t>
  </si>
  <si>
    <t>VISTA 2.3 2017 05 02</t>
  </si>
  <si>
    <t>CAGR formula for 3-year growth in I1064:I1088 down corrected. It was 1/5, instead of 1/3.</t>
  </si>
  <si>
    <t>I1064</t>
  </si>
  <si>
    <t>=IFERROR(($O535/$L535)^(1/3)-1,"--")</t>
  </si>
  <si>
    <t>VISTA 2.4 2017 05 11</t>
  </si>
  <si>
    <t>CapIQ macro formulas for keeping track of Data Refresh setting commented out.</t>
  </si>
  <si>
    <t>D/E ratio in WACC and TIC inputs rows 91-115 column N changed so that it can show D/E=0 when it is 0, rather than "n/a"</t>
  </si>
  <si>
    <t>N91-N115</t>
  </si>
  <si>
    <t>VISTA 2.5 2017 06 01</t>
  </si>
  <si>
    <t>Currency links corrected for some blocks for GPCs 13 to 25</t>
  </si>
  <si>
    <t>Row H</t>
  </si>
  <si>
    <t>No of consensus estimates for Revenue, EBITDA and EBIT added</t>
  </si>
  <si>
    <t>AA532: AE559 and similar blocks for EBITDA and EBIT</t>
  </si>
  <si>
    <t>Depreciation lives settings for Depteciation and Tax worksheet moved to the START page</t>
  </si>
  <si>
    <t>Total debt &amp; capital leases in Bal Sheet Hist Input row (row 64) corrected to include LT debt 2 and 3</t>
  </si>
  <si>
    <t>Bal Sheet Hist Input</t>
  </si>
  <si>
    <t>Row 64</t>
  </si>
  <si>
    <t>VISTA 2.6 2017 06 06</t>
  </si>
  <si>
    <t>Number 12 factor included in the NTM adjustment in the Global Transactions Method calcs for Revenue, EBITDA and EBIT</t>
  </si>
  <si>
    <t>Global Transactions Method</t>
  </si>
  <si>
    <t>J13, J16, J19</t>
  </si>
  <si>
    <r>
      <t>Example for J13
=IF(StubY,'PFI Inputs'!G28+(12-MonthsInStub)</t>
    </r>
    <r>
      <rPr>
        <b/>
        <sz val="8.5"/>
        <color theme="1"/>
        <rFont val="Arial Narrow"/>
        <family val="2"/>
      </rPr>
      <t>/12</t>
    </r>
    <r>
      <rPr>
        <sz val="10"/>
        <color theme="1"/>
        <rFont val="Arial Narrow"/>
        <family val="2"/>
      </rPr>
      <t>*'PFI Inputs'!H28,'PFI Inputs'!G28)</t>
    </r>
  </si>
  <si>
    <t>DATA GPC Amortization table links to ticker symbols corrected.</t>
  </si>
  <si>
    <t>G659:G683</t>
  </si>
  <si>
    <t>VISTA 2.6 2017 06 07</t>
  </si>
  <si>
    <t>Errant data removed from DATA GPC.  Default Curerncy in START set to USD.</t>
  </si>
  <si>
    <t>VISTA 2.6 2017 06 012</t>
  </si>
  <si>
    <t>Mean and median formulas in WACC and TIC worksheet accounts for 0 values. (where there are no entries, the model already puts the string "--" in place.</t>
  </si>
  <si>
    <t>WACC and TIC Inuts</t>
  </si>
  <si>
    <t>N119, N120</t>
  </si>
  <si>
    <t>=IFERROR(AVERAGE(N94:N118),"n/a"), =IFERROR(MEDIAN(N94:N118),"n/a")</t>
  </si>
  <si>
    <t>VISTA 2.6 2017 06 13</t>
  </si>
  <si>
    <t>Data table in DCF sheet corrected, Average formulas use AVERAGE instead of Quartile 2 (which is MEDIAN), Current assets 4 and 5  now included in DFNWC formulas and total assets without cash in PFI Inputs</t>
  </si>
  <si>
    <t>DCF, Guideline Transacations Input, PFI Inputs</t>
  </si>
  <si>
    <t>VISTA 2.7 2017 06 14</t>
  </si>
  <si>
    <t>References in fiscal year rows for GPCs 10-15 corrected</t>
  </si>
  <si>
    <t xml:space="preserve">Macro for alphabetizing GPC tickers uses new TickersValued column. </t>
  </si>
  <si>
    <t>DATA GPC, VBE</t>
  </si>
  <si>
    <t>Tickers in Segment Infomration read the START worksheet directly so that Capital IQ can refresh quickly</t>
  </si>
  <si>
    <t>VISTA 2.8 2017 06 14</t>
  </si>
  <si>
    <t>CAGR exponent for 3 yr corrected to ^(1/3)</t>
  </si>
  <si>
    <t>EBITDA EBIT growth rates</t>
  </si>
  <si>
    <t>VISTA 2.9 2017 07 06</t>
  </si>
  <si>
    <t>Duff &amp; Phelps Size Premia table updated</t>
  </si>
  <si>
    <t>G534:M550</t>
  </si>
  <si>
    <t>VISTA 3.0 2017 07 19</t>
  </si>
  <si>
    <t>Added data validity checks for WACC</t>
  </si>
  <si>
    <t>Pension, Total Debt, Cash and ST investments, Net dect, Mkt cap, minority interest, income tax</t>
  </si>
  <si>
    <t>Correction to average 5-year EBIT on TIC multiples</t>
  </si>
  <si>
    <t>TIC multiples</t>
  </si>
  <si>
    <t>AE68:AE92</t>
  </si>
  <si>
    <t>Net debt mininum 0 put into the net debt module in DATA GPC. Settings for this moved to the START page</t>
  </si>
  <si>
    <t>DATA GPC, START</t>
  </si>
  <si>
    <t>Liquidity formulas changed from CIQ range to actual live formulas</t>
  </si>
  <si>
    <t xml:space="preserve">TIC control premium now flows through the TIC modules </t>
  </si>
  <si>
    <t>Check of CIQ numbers vs SUM of Market capital checks correctly by removing any pensions if set to be part of the debt</t>
  </si>
  <si>
    <t xml:space="preserve">TIC </t>
  </si>
  <si>
    <t>Default beta index now follows the company headquarters's location, and not the trading currency.</t>
  </si>
  <si>
    <t>Taxation settings for normalilzation reformatted so that they appear as inputs</t>
  </si>
  <si>
    <t>VISTA 3.1 2017 07 19</t>
  </si>
  <si>
    <t>Item 46 reversed in terms of how the model uses the settings. Inputs moved to START page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</si>
</sst>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28">
    <numFmt numFmtId="5" formatCode="&quot;$&quot;#,##0_);\(&quot;$&quot;#,##0\)"/>
    <numFmt numFmtId="6" formatCode="&quot;$&quot;#,##0_);[Red]\(&quot;$&quot;#,##0\)"/>
    <numFmt numFmtId="44" formatCode="_(&quot;$&quot;* #,##0.00_);_(&quot;$&quot;* \(#,##0.00\);_(&quot;$&quot;* &quot;-&quot;??_);_(@_)"/>
    <numFmt numFmtId="43" formatCode="_(* #,##0.00_);_(* \(#,##0.00\);_(* &quot;-&quot;??_);_(@_)"/>
    <numFmt numFmtId="164" formatCode="_-* #,##0_-;\-* #,##0_-;_-* &quot;-&quot;_-;_-@_-"/>
    <numFmt numFmtId="165" formatCode="#,##0_);[Red]\(#,##0\);&quot;--&quot;_);@_)"/>
    <numFmt numFmtId="166" formatCode="_(#,##0_);_(\(#,##0\);\-_)"/>
    <numFmt numFmtId="167" formatCode="_(#,##0.00_);_(\(#,##0.00\);\-_)"/>
    <numFmt numFmtId="168" formatCode="[$-409]mmm\ yy;@"/>
    <numFmt numFmtId="169" formatCode="[$-409]mmm\-d\-yy\ h:mm\ AM/PM;@"/>
    <numFmt numFmtId="170" formatCode="#,##0.0_);\(#,##0.0\);@_)"/>
    <numFmt numFmtId="171" formatCode="#,##0_);\(#,##0\);@_)"/>
    <numFmt numFmtId="172" formatCode="0.0%_);\(0.0%\);@_)"/>
    <numFmt numFmtId="173" formatCode="0_);\(0\)"/>
    <numFmt numFmtId="174" formatCode="#,##0_);\(#,##0\);&quot; -&quot;_);@_)"/>
    <numFmt numFmtId="175" formatCode="#,##0_);\(#,##0\);\-_);@_)"/>
    <numFmt numFmtId="176" formatCode="#,##0.00_);\(#,##0.00\);@_)"/>
    <numFmt numFmtId="177" formatCode="0.0%"/>
    <numFmt numFmtId="178" formatCode="#,##0_);\(#,##0\);&quot; - &quot;_);@_)"/>
    <numFmt numFmtId="179" formatCode="#0.0%_);\(#0.0%\);0.0%_);@_)"/>
    <numFmt numFmtId="180" formatCode="0_);\(0\);@_)"/>
    <numFmt numFmtId="181" formatCode="[$-409]d\-mmm\-yy;@"/>
    <numFmt numFmtId="182" formatCode="#,##0.0_);\(#,##0.0\);&quot;--&quot;_);@_)"/>
    <numFmt numFmtId="183" formatCode="#,##0.000_);\(#,##0.000\);@_)"/>
    <numFmt numFmtId="184" formatCode="#,##0.00_);\(#,##0.00\);&quot; -&quot;_);@_)"/>
    <numFmt numFmtId="185" formatCode="#,##0.0\ \x_);\(#,##0.0\ \x\);@_)"/>
    <numFmt numFmtId="186" formatCode="&quot;Period&quot;"/>
    <numFmt numFmtId="187" formatCode="#,##0_);\(#,##0\);;@_)"/>
    <numFmt numFmtId="188" formatCode="_(* #,##0_);_(* \(#,##0\);_(* &quot;-&quot;??_);_(@_)"/>
    <numFmt numFmtId="189" formatCode="#,##0.000_);\(#,##0.000\);&quot; -&quot;_);@_)"/>
    <numFmt numFmtId="190" formatCode="#,##0.00_);\(#,##0.00\);&quot; - &quot;_);@_)"/>
    <numFmt numFmtId="191" formatCode="0.00%_);\(0.00%\);@_)"/>
    <numFmt numFmtId="192" formatCode="&quot;$&quot;#,##0.000_);[Red]\(&quot;$&quot;#,##0.000\)"/>
    <numFmt numFmtId="193" formatCode="0.0\x_);@_)"/>
    <numFmt numFmtId="194" formatCode="###0_);\(#,##0\);&quot; -&quot;_);@_)"/>
    <numFmt numFmtId="195" formatCode="#,##0.000_);[Red]\(#,##0.000\)"/>
    <numFmt numFmtId="196" formatCode="#,##0_);[Red]\(#,##0\);@_)"/>
    <numFmt numFmtId="197" formatCode="[$-409]mmm\ d\,\ yyyy\ h:mm\ AM/PM;@"/>
    <numFmt numFmtId="198" formatCode="###0_);\(###0\);@_)"/>
    <numFmt numFmtId="199" formatCode="m/d/yy;@"/>
    <numFmt numFmtId="200" formatCode="0.0\x_)"/>
    <numFmt numFmtId="201" formatCode="###;&quot;&quot;;&quot;&quot;"/>
    <numFmt numFmtId="202" formatCode="###;&quot;N/A&quot;;&quot;N/A&quot;"/>
    <numFmt numFmtId="203" formatCode="#,##0.0000_);\(#,##0.0000\);@_)"/>
    <numFmt numFmtId="204" formatCode="&quot;Beta&quot;_)"/>
    <numFmt numFmtId="205" formatCode="#,##0;\(#,##0\);&quot;-&quot;"/>
    <numFmt numFmtId="206" formatCode="#0%_);\(#0%\);&quot;-&quot;_);@_)"/>
    <numFmt numFmtId="207" formatCode="d\-mmm\-yy;@_)"/>
    <numFmt numFmtId="208" formatCode="yyyy&quot;A&quot;"/>
    <numFmt numFmtId="209" formatCode="mmm\-yyyy&quot;A&quot;"/>
    <numFmt numFmtId="210" formatCode="[$-409]mmm\ yyyy&quot;A&quot;"/>
    <numFmt numFmtId="211" formatCode="yyyy&quot;E&quot;"/>
    <numFmt numFmtId="212" formatCode="0&quot;-year&quot;_)"/>
    <numFmt numFmtId="213" formatCode="yyyy"/>
    <numFmt numFmtId="214" formatCode="#,##0_);\(#,##0\);* &quot;-&quot;_);@_)"/>
    <numFmt numFmtId="215" formatCode="yyyy&quot;E&quot;;;&quot;&quot;"/>
    <numFmt numFmtId="216" formatCode="#,##0_);\(#,##0\);&quot;--&quot;;@_)"/>
    <numFmt numFmtId="217" formatCode="#,##0.0%_);\(#,##0.0%\);&quot;--&quot;;@_)"/>
    <numFmt numFmtId="218" formatCode="#,##0.00_);\(#,##0.00\);&quot;--&quot;;@_)"/>
    <numFmt numFmtId="219" formatCode="#,##0_);\(#,##0\);&quot;-&quot;;@_)"/>
    <numFmt numFmtId="220" formatCode="#,##0.00_);\(#,##0.00\);&quot;-&quot;_);@_)"/>
    <numFmt numFmtId="221" formatCode="#,##0.000_);\(#,##0.000\);&quot;-&quot;_);@_)"/>
    <numFmt numFmtId="222" formatCode="0.0%_);\(0.0%\);&quot; - &quot;_);@_)"/>
    <numFmt numFmtId="223" formatCode="#,##0_);\(#,##0\);&quot; - &quot;;@_)"/>
    <numFmt numFmtId="224" formatCode="0.0%_);\(0.0%\);&quot; - &quot;;@_)"/>
    <numFmt numFmtId="225" formatCode="#0.0\x"/>
    <numFmt numFmtId="226" formatCode="[$-409]mmm\-yy;@"/>
    <numFmt numFmtId="227" formatCode="0.0\x"/>
    <numFmt numFmtId="228" formatCode="#,##0_)"/>
    <numFmt numFmtId="229" formatCode="0.0\x;\(0.0\x\);&quot; - &quot;_)"/>
    <numFmt numFmtId="230" formatCode="&quot;$&quot;#,##0_);\(&quot;$&quot;#,##0\);&quot; - &quot;_);@_)"/>
    <numFmt numFmtId="231" formatCode="#,##0_);\(#,##0\);&quot;- &quot;_);@_)"/>
    <numFmt numFmtId="232" formatCode="yyyy&quot;F&quot;"/>
    <numFmt numFmtId="233" formatCode="yyyy&quot;F&quot;;&quot;Error&quot;;&quot; - &quot;_)"/>
    <numFmt numFmtId="234" formatCode="#,##0.000_);\(#,##0.000\)"/>
    <numFmt numFmtId="235" formatCode="#,##0_);\(#,##0\);&quot;--&quot;_);@_)"/>
    <numFmt numFmtId="236" formatCode="[$-409]mmm\-yy_);&quot;-&quot;_);&quot;-&quot;_);@_)"/>
    <numFmt numFmtId="237" formatCode="d\-mmm\-yy;@"/>
    <numFmt numFmtId="238" formatCode="yyyy&quot;F&quot;;;&quot;&quot;"/>
    <numFmt numFmtId="239" formatCode="&quot;Year &quot;\ 0"/>
    <numFmt numFmtId="240" formatCode="\ #,##0.0_);\(#,##0.0\);&quot; - &quot;_);@_)"/>
    <numFmt numFmtId="241" formatCode="d\ mmmm\ yyyy"/>
    <numFmt numFmtId="242" formatCode="#,##0;[Red]\(#,##0\);0"/>
    <numFmt numFmtId="243" formatCode="###0_);\(#,##0\);@_)"/>
    <numFmt numFmtId="244" formatCode="_(* #,##0.0_);_(* \(#,##0.0\);_(* &quot; - &quot;_);_(@_)"/>
    <numFmt numFmtId="245" formatCode="dd\ mmmm\ yyyy"/>
    <numFmt numFmtId="246" formatCode="0%_);\(0%\);@_)"/>
    <numFmt numFmtId="247" formatCode="[$-409]mmm\-yy;@_)"/>
    <numFmt numFmtId="248" formatCode="#,##0%_);\(#,##0%\);@_)"/>
    <numFmt numFmtId="249" formatCode="#,##0.00_);\(#,##0.00\);\-_);@_)"/>
    <numFmt numFmtId="250" formatCode="[$-409]d\-mmm\-yyyy\ h:mm\ AM/PM;@"/>
    <numFmt numFmtId="251" formatCode="[$-C09]dd\-mmm\-yy;@"/>
    <numFmt numFmtId="252" formatCode="#,##0_);\(#,##0\);\-_)"/>
    <numFmt numFmtId="253" formatCode="hh:mm:ss.00"/>
    <numFmt numFmtId="254" formatCode="yyyy&quot;F&quot;;yyyy&quot;F&quot;;&quot;--&quot;_)"/>
    <numFmt numFmtId="255" formatCode=";;;"/>
    <numFmt numFmtId="256" formatCode="0.00%_);\(0.00%\);&quot;-&quot;_);@_)"/>
    <numFmt numFmtId="257" formatCode="#,##0.000000_);\(#,##0.000000\);@_)"/>
    <numFmt numFmtId="258" formatCode="&quot;Capital expenditures in &quot;yyyy&quot;&quot;"/>
    <numFmt numFmtId="259" formatCode="_(\ #,##0.0%_);_(\ \(#,##0.0%\);_(\ &quot; - &quot;\%_);_(@_)"/>
    <numFmt numFmtId="260" formatCode="_(\ #,##0.0%_);_(\ \(#,##0.0%\);_(\ &quot; - &quot;_);_(@_)"/>
    <numFmt numFmtId="261" formatCode="#,##0_);\(#,##0\);&quot;-&quot;_);@_)"/>
    <numFmt numFmtId="262" formatCode="#,##0.0\ &quot;x&quot;_);\(#,##0.0\ &quot;x&quot;\);\-_);@_)"/>
    <numFmt numFmtId="263" formatCode="[$-C09]d\-mmm\-yy;@"/>
    <numFmt numFmtId="264" formatCode="mm/dd/yy;@"/>
    <numFmt numFmtId="265" formatCode="yyyy;yyyy;&quot;--&quot;"/>
    <numFmt numFmtId="266" formatCode="yyyy_);yyyy_);&quot;--&quot;_)"/>
    <numFmt numFmtId="267" formatCode="mmm\-yyyy"/>
    <numFmt numFmtId="268" formatCode="###0_);\(###0\);&quot;-&quot;_);@_)"/>
    <numFmt numFmtId="269" formatCode="dd/mm/yyyy;@"/>
    <numFmt numFmtId="270" formatCode="0.000"/>
    <numFmt numFmtId="271" formatCode="\ #,##0.00_);\(#,##0.00\);&quot; - &quot;_);@_)"/>
    <numFmt numFmtId="272" formatCode="\ #,##0.000_);\(#,##0.000\);&quot; - &quot;_);@_)"/>
    <numFmt numFmtId="273" formatCode="#,##0.0_);\(#,##0.0\);&quot; - &quot;_);@_)"/>
    <numFmt numFmtId="274" formatCode="#,##0.0_);\(#,##0.0\);\-_);@_)"/>
    <numFmt numFmtId="275" formatCode="_(* #,##0.0_);_(* \(#,##0.0\);_(* &quot;-&quot;??_);_(@_)"/>
    <numFmt numFmtId="276" formatCode="0.0"/>
    <numFmt numFmtId="277" formatCode="&quot;Yes&quot;;&quot;No&quot;;&quot;No&quot;"/>
    <numFmt numFmtId="278" formatCode="#,##0.0_);\(#,##0.0\);&quot;-&quot;_);@_)"/>
    <numFmt numFmtId="279" formatCode="#,##0_);\(#,##0\);&quot;OK&quot;_);@_)"/>
    <numFmt numFmtId="280" formatCode="#,##0.0_);\(#,##0.0\);\-\ _);@_)"/>
    <numFmt numFmtId="281" formatCode="#,##0.0%_);\(#,##0.0%\);\-\ _);@_)"/>
    <numFmt numFmtId="282" formatCode="#,##0.0\x_);\(#,##0.0\x\);\-\ _);@_)"/>
    <numFmt numFmtId="283" formatCode="[$-409]d/mmm/yy;@"/>
    <numFmt numFmtId="284" formatCode="#,##0_);\(#,##0\);\-\ _);@_)"/>
    <numFmt numFmtId="285" formatCode="&quot;$&quot;#,##0_);\(&quot;$&quot;#,##0\);@_)"/>
    <numFmt numFmtId="286" formatCode="#,##0_);\(#,##0\);&quot;no mkt cap&quot;_);@_)"/>
    <numFmt numFmtId="287" formatCode="0\ &quot;months&quot;"/>
  </numFmts>
  <fonts count="174">
    <font>
      <sz val="10"/>
      <color theme="1"/>
      <name val="Arial Narrow"/>
      <family val="2"/>
    </font>
    <font>
      <sz val="10"/>
      <name val="Arial"/>
      <family val="2"/>
    </font>
    <font>
      <b/>
      <sz val="10"/>
      <name val="Arial"/>
      <family val="2"/>
    </font>
    <font>
      <b/>
      <sz val="16"/>
      <name val="Arial"/>
      <family val="2"/>
    </font>
    <font>
      <sz val="10"/>
      <color theme="1"/>
      <name val="Arial"/>
      <family val="2"/>
    </font>
    <font>
      <sz val="10"/>
      <color rgb="FF0000FF"/>
      <name val="Arial"/>
      <family val="2"/>
    </font>
    <font>
      <i/>
      <sz val="10"/>
      <color rgb="FF0000FF"/>
      <name val="Arial"/>
      <family val="2"/>
    </font>
    <font>
      <i/>
      <sz val="10"/>
      <color theme="1"/>
      <name val="Arial"/>
      <family val="2"/>
    </font>
    <font>
      <sz val="16"/>
      <color rgb="FFFF0000"/>
      <name val="Arial"/>
      <family val="2"/>
    </font>
    <font>
      <sz val="12"/>
      <color theme="1"/>
      <name val="Arial"/>
      <family val="2"/>
    </font>
    <font>
      <b/>
      <sz val="10"/>
      <color theme="1"/>
      <name val="Arial"/>
      <family val="2"/>
    </font>
    <font>
      <b/>
      <sz val="14"/>
      <color theme="0"/>
      <name val="Arial"/>
      <family val="2"/>
    </font>
    <font>
      <b/>
      <sz val="10"/>
      <color theme="0"/>
      <name val="Arial"/>
      <family val="2"/>
    </font>
    <font>
      <sz val="10"/>
      <color theme="0"/>
      <name val="Arial"/>
      <family val="2"/>
    </font>
    <font>
      <b/>
      <sz val="10"/>
      <name val="Calibri"/>
      <family val="2"/>
      <scheme val="minor"/>
    </font>
    <font>
      <b/>
      <sz val="16"/>
      <color theme="1"/>
      <name val="Arial"/>
      <family val="2"/>
    </font>
    <font>
      <b/>
      <sz val="10"/>
      <color rgb="FFFF0000"/>
      <name val="Arial"/>
      <family val="2"/>
    </font>
    <font>
      <b/>
      <sz val="10"/>
      <color rgb="FF0000FF"/>
      <name val="Arial"/>
      <family val="2"/>
    </font>
    <font>
      <sz val="10"/>
      <name val="Arial Narrow"/>
      <family val="2"/>
    </font>
    <font>
      <b/>
      <sz val="10"/>
      <name val="Arial Narrow"/>
      <family val="2"/>
    </font>
    <font>
      <b/>
      <i/>
      <sz val="10"/>
      <name val="Arial Narrow"/>
      <family val="2"/>
    </font>
    <font>
      <i/>
      <sz val="10"/>
      <name val="Arial Narrow"/>
      <family val="2"/>
    </font>
    <font>
      <sz val="12"/>
      <name val="Arial"/>
      <family val="2"/>
    </font>
    <font>
      <sz val="10"/>
      <color rgb="FF000000"/>
      <name val="Arial Narrow"/>
      <family val="2"/>
    </font>
    <font>
      <sz val="10"/>
      <color theme="1"/>
      <name val="Arial Narrow"/>
      <family val="2"/>
    </font>
    <font>
      <sz val="8"/>
      <color indexed="81"/>
      <name val="Tahoma"/>
      <family val="2"/>
    </font>
    <font>
      <b/>
      <sz val="8"/>
      <color indexed="81"/>
      <name val="Tahoma"/>
      <family val="2"/>
    </font>
    <font>
      <sz val="26"/>
      <color theme="1"/>
      <name val="EY Tagline"/>
    </font>
    <font>
      <b/>
      <sz val="12"/>
      <color theme="1"/>
      <name val="Arial"/>
      <family val="2"/>
    </font>
    <font>
      <sz val="12"/>
      <color theme="1"/>
      <name val="Arial Narrow"/>
      <family val="2"/>
    </font>
    <font>
      <u/>
      <sz val="10"/>
      <color rgb="FF000000"/>
      <name val="Arial"/>
      <family val="2"/>
    </font>
    <font>
      <b/>
      <sz val="10"/>
      <color theme="4" tint="-0.249977111117893"/>
      <name val="Arial"/>
      <family val="2"/>
    </font>
    <font>
      <sz val="10"/>
      <color indexed="8"/>
      <name val="Arial"/>
      <family val="2"/>
    </font>
    <font>
      <sz val="8"/>
      <name val="Arial"/>
      <family val="2"/>
    </font>
    <font>
      <b/>
      <sz val="10"/>
      <color theme="1"/>
      <name val="Arial Narrow"/>
      <family val="2"/>
    </font>
    <font>
      <b/>
      <sz val="12"/>
      <name val="Arial Narrow"/>
      <family val="2"/>
    </font>
    <font>
      <i/>
      <sz val="10"/>
      <color theme="1"/>
      <name val="Arial Narrow"/>
      <family val="2"/>
    </font>
    <font>
      <b/>
      <sz val="14"/>
      <color theme="0"/>
      <name val="Arial Narrow"/>
      <family val="2"/>
    </font>
    <font>
      <b/>
      <sz val="10"/>
      <color rgb="FF0000FF"/>
      <name val="Arial Narrow"/>
      <family val="2"/>
    </font>
    <font>
      <sz val="10"/>
      <color rgb="FF0000FF"/>
      <name val="Arial Narrow"/>
      <family val="2"/>
    </font>
    <font>
      <b/>
      <sz val="10"/>
      <color indexed="48"/>
      <name val="Arial Narrow"/>
      <family val="2"/>
    </font>
    <font>
      <sz val="9"/>
      <color indexed="81"/>
      <name val="Tahoma"/>
      <family val="2"/>
    </font>
    <font>
      <sz val="10"/>
      <color theme="0" tint="-0.499984740745262"/>
      <name val="Arial"/>
      <family val="2"/>
    </font>
    <font>
      <b/>
      <sz val="12"/>
      <color indexed="8"/>
      <name val="Arial"/>
      <family val="2"/>
    </font>
    <font>
      <i/>
      <sz val="10"/>
      <name val="Arial"/>
      <family val="2"/>
    </font>
    <font>
      <b/>
      <i/>
      <u/>
      <sz val="10"/>
      <name val="Arial Narrow"/>
      <family val="2"/>
    </font>
    <font>
      <b/>
      <sz val="10"/>
      <color rgb="FFFF0000"/>
      <name val="Arial Narrow"/>
      <family val="2"/>
    </font>
    <font>
      <b/>
      <sz val="14"/>
      <name val="Arial"/>
      <family val="2"/>
    </font>
    <font>
      <b/>
      <sz val="10"/>
      <color rgb="FF000000"/>
      <name val="Arial Narrow"/>
      <family val="2"/>
    </font>
    <font>
      <sz val="12"/>
      <name val="Arial Narrow"/>
      <family val="2"/>
    </font>
    <font>
      <sz val="9"/>
      <name val="Times New Roman"/>
      <family val="1"/>
    </font>
    <font>
      <b/>
      <sz val="14"/>
      <color indexed="25"/>
      <name val="Arial"/>
      <family val="2"/>
    </font>
    <font>
      <sz val="10"/>
      <name val="Times New Roman"/>
      <family val="1"/>
    </font>
    <font>
      <b/>
      <sz val="12"/>
      <color indexed="25"/>
      <name val="Arial"/>
      <family val="2"/>
    </font>
    <font>
      <b/>
      <sz val="10"/>
      <color indexed="25"/>
      <name val="Arial"/>
      <family val="2"/>
    </font>
    <font>
      <b/>
      <sz val="10"/>
      <color indexed="25"/>
      <name val="Arial Narrow"/>
      <family val="2"/>
    </font>
    <font>
      <sz val="8"/>
      <color indexed="25"/>
      <name val="Arial Narrow"/>
      <family val="2"/>
    </font>
    <font>
      <sz val="10"/>
      <color indexed="8"/>
      <name val="Arial Narrow"/>
      <family val="2"/>
    </font>
    <font>
      <sz val="10"/>
      <color rgb="FF0033CC"/>
      <name val="Arial Narrow"/>
      <family val="2"/>
    </font>
    <font>
      <sz val="10"/>
      <color indexed="38"/>
      <name val="Arial Narrow"/>
      <family val="2"/>
    </font>
    <font>
      <sz val="10"/>
      <color indexed="25"/>
      <name val="Arial"/>
      <family val="2"/>
    </font>
    <font>
      <sz val="10"/>
      <color rgb="FFFF0000"/>
      <name val="Arial"/>
      <family val="2"/>
    </font>
    <font>
      <b/>
      <sz val="10"/>
      <color rgb="FF00B050"/>
      <name val="Arial Narrow"/>
      <family val="2"/>
    </font>
    <font>
      <sz val="9"/>
      <name val="Arial Narrow"/>
      <family val="2"/>
    </font>
    <font>
      <b/>
      <sz val="10"/>
      <color theme="1" tint="0.499984740745262"/>
      <name val="Arial Narrow"/>
      <family val="2"/>
    </font>
    <font>
      <sz val="11"/>
      <name val="Arial"/>
      <family val="2"/>
    </font>
    <font>
      <b/>
      <sz val="14"/>
      <color rgb="FF0000FF"/>
      <name val="Arial"/>
      <family val="2"/>
    </font>
    <font>
      <sz val="10"/>
      <color indexed="12"/>
      <name val="Arial Narrow"/>
      <family val="2"/>
    </font>
    <font>
      <sz val="10"/>
      <color theme="0" tint="-0.499984740745262"/>
      <name val="Arial Narrow"/>
      <family val="2"/>
    </font>
    <font>
      <sz val="14"/>
      <name val="Arial"/>
      <family val="2"/>
    </font>
    <font>
      <b/>
      <sz val="10"/>
      <color indexed="9"/>
      <name val="Arial Narrow"/>
      <family val="2"/>
    </font>
    <font>
      <sz val="8"/>
      <name val="Arial Narrow"/>
      <family val="2"/>
    </font>
    <font>
      <sz val="14"/>
      <color theme="1"/>
      <name val="Arial"/>
      <family val="2"/>
    </font>
    <font>
      <i/>
      <sz val="10"/>
      <color theme="0" tint="-0.499984740745262"/>
      <name val="Arial Narrow"/>
      <family val="2"/>
    </font>
    <font>
      <sz val="10"/>
      <color theme="0" tint="-0.34998626667073579"/>
      <name val="Arial Narrow"/>
      <family val="2"/>
    </font>
    <font>
      <b/>
      <sz val="12"/>
      <color indexed="8"/>
      <name val="Arial Narrow"/>
      <family val="2"/>
    </font>
    <font>
      <b/>
      <sz val="10"/>
      <color rgb="FF009900"/>
      <name val="Arial Narrow"/>
      <family val="2"/>
    </font>
    <font>
      <sz val="10"/>
      <color rgb="FF008000"/>
      <name val="Arial Narrow"/>
      <family val="2"/>
    </font>
    <font>
      <sz val="10"/>
      <color rgb="FF1C0DE3"/>
      <name val="Arial Narrow"/>
      <family val="2"/>
    </font>
    <font>
      <b/>
      <sz val="10"/>
      <color rgb="FF008000"/>
      <name val="Arial Narrow"/>
      <family val="2"/>
    </font>
    <font>
      <b/>
      <i/>
      <sz val="10"/>
      <color theme="1"/>
      <name val="Arial Narrow"/>
      <family val="2"/>
    </font>
    <font>
      <b/>
      <sz val="10"/>
      <color indexed="8"/>
      <name val="Arial Narrow"/>
      <family val="2"/>
    </font>
    <font>
      <sz val="10"/>
      <color indexed="17"/>
      <name val="Arial Narrow"/>
      <family val="2"/>
    </font>
    <font>
      <vertAlign val="superscript"/>
      <sz val="10"/>
      <name val="Arial Narrow"/>
      <family val="2"/>
    </font>
    <font>
      <b/>
      <u/>
      <sz val="10"/>
      <name val="Arial Narrow"/>
      <family val="2"/>
    </font>
    <font>
      <b/>
      <sz val="10"/>
      <color theme="0" tint="-0.499984740745262"/>
      <name val="EYLogo"/>
    </font>
    <font>
      <b/>
      <sz val="10"/>
      <color rgb="FFFF0000"/>
      <name val="Times New Roman"/>
      <family val="1"/>
    </font>
    <font>
      <b/>
      <u/>
      <sz val="10"/>
      <color theme="1"/>
      <name val="Arial Narrow"/>
      <family val="2"/>
    </font>
    <font>
      <b/>
      <i/>
      <u/>
      <sz val="10"/>
      <color theme="1"/>
      <name val="Arial Narrow"/>
      <family val="2"/>
    </font>
    <font>
      <b/>
      <sz val="10"/>
      <color theme="0" tint="-0.499984740745262"/>
      <name val="Arial Narrow"/>
      <family val="2"/>
    </font>
    <font>
      <b/>
      <sz val="10"/>
      <color theme="0" tint="-0.499984740745262"/>
      <name val="Arial"/>
      <family val="2"/>
    </font>
    <font>
      <b/>
      <sz val="14"/>
      <color theme="0" tint="-0.499984740745262"/>
      <name val="Arial"/>
      <family val="2"/>
    </font>
    <font>
      <sz val="12"/>
      <color theme="0" tint="-0.499984740745262"/>
      <name val="Arial"/>
      <family val="2"/>
    </font>
    <font>
      <sz val="12"/>
      <color rgb="FF0000FF"/>
      <name val="Arial Narrow"/>
      <family val="2"/>
    </font>
    <font>
      <sz val="10"/>
      <color indexed="25"/>
      <name val="Arial Narrow"/>
      <family val="2"/>
    </font>
    <font>
      <b/>
      <sz val="14"/>
      <color theme="1" tint="0.499984740745262"/>
      <name val="Arial"/>
      <family val="2"/>
    </font>
    <font>
      <b/>
      <sz val="12"/>
      <color theme="1" tint="0.499984740745262"/>
      <name val="Arial"/>
      <family val="2"/>
    </font>
    <font>
      <i/>
      <sz val="10"/>
      <color theme="1" tint="0.499984740745262"/>
      <name val="Arial Narrow"/>
      <family val="2"/>
    </font>
    <font>
      <sz val="10"/>
      <color theme="1" tint="0.499984740745262"/>
      <name val="Arial Narrow"/>
      <family val="2"/>
    </font>
    <font>
      <b/>
      <sz val="10"/>
      <color theme="1" tint="0.499984740745262"/>
      <name val="Arial"/>
      <family val="2"/>
    </font>
    <font>
      <b/>
      <sz val="14"/>
      <color theme="1" tint="0.499984740745262"/>
      <name val="Arial Narrow"/>
      <family val="2"/>
    </font>
    <font>
      <b/>
      <sz val="14"/>
      <color theme="1" tint="0.249977111117893"/>
      <name val="Arial"/>
      <family val="2"/>
    </font>
    <font>
      <b/>
      <sz val="10"/>
      <color theme="0"/>
      <name val="Arial Narrow"/>
      <family val="2"/>
    </font>
    <font>
      <b/>
      <sz val="12"/>
      <color theme="1"/>
      <name val="Arial Narrow"/>
      <family val="2"/>
    </font>
    <font>
      <b/>
      <sz val="12"/>
      <color rgb="FF000000"/>
      <name val="Arial Narrow"/>
      <family val="2"/>
    </font>
    <font>
      <i/>
      <sz val="9"/>
      <name val="Times New Roman"/>
      <family val="1"/>
    </font>
    <font>
      <u val="doubleAccounting"/>
      <sz val="9"/>
      <name val="Times New Roman"/>
      <family val="1"/>
    </font>
    <font>
      <u val="singleAccounting"/>
      <sz val="9"/>
      <name val="Times New Roman"/>
      <family val="1"/>
    </font>
    <font>
      <b/>
      <sz val="20"/>
      <color theme="1" tint="0.14999847407452621"/>
      <name val="Arial"/>
      <family val="2"/>
    </font>
    <font>
      <sz val="10"/>
      <color theme="1" tint="0.14999847407452621"/>
      <name val="Arial Narrow"/>
      <family val="2"/>
    </font>
    <font>
      <sz val="14"/>
      <color theme="1" tint="0.14999847407452621"/>
      <name val="Arial"/>
      <family val="2"/>
    </font>
    <font>
      <u val="doubleAccounting"/>
      <sz val="9"/>
      <color theme="1" tint="0.14999847407452621"/>
      <name val="Times New Roman"/>
      <family val="1"/>
    </font>
    <font>
      <sz val="12"/>
      <color theme="1" tint="0.14999847407452621"/>
      <name val="Arial"/>
      <family val="2"/>
    </font>
    <font>
      <b/>
      <sz val="9"/>
      <color indexed="81"/>
      <name val="Tahoma"/>
      <family val="2"/>
    </font>
    <font>
      <sz val="10"/>
      <color theme="0"/>
      <name val="Arial Narrow"/>
      <family val="2"/>
    </font>
    <font>
      <u/>
      <sz val="10"/>
      <color theme="11"/>
      <name val="Arial Narrow"/>
      <family val="2"/>
    </font>
    <font>
      <u/>
      <sz val="12"/>
      <color theme="11"/>
      <name val="Arial Narrow"/>
      <family val="2"/>
    </font>
    <font>
      <sz val="10"/>
      <color rgb="FF0000CC"/>
      <name val="Arial Narrow"/>
      <family val="2"/>
    </font>
    <font>
      <sz val="14"/>
      <color rgb="FF000000"/>
      <name val="Arial Narrow"/>
      <family val="2"/>
    </font>
    <font>
      <sz val="14"/>
      <name val="Arial Narrow"/>
      <family val="2"/>
    </font>
    <font>
      <b/>
      <sz val="14"/>
      <name val="Arial Narrow"/>
      <family val="2"/>
    </font>
    <font>
      <sz val="14"/>
      <color theme="1"/>
      <name val="Arial Narrow"/>
      <family val="2"/>
    </font>
    <font>
      <sz val="14"/>
      <color rgb="FF0000FF"/>
      <name val="Arial Narrow"/>
      <family val="2"/>
    </font>
    <font>
      <b/>
      <sz val="14"/>
      <color indexed="10"/>
      <name val="Arial Narrow"/>
      <family val="2"/>
    </font>
    <font>
      <b/>
      <sz val="10"/>
      <color theme="1" tint="0.249977111117893"/>
      <name val="Arial"/>
      <family val="2"/>
    </font>
    <font>
      <b/>
      <sz val="12"/>
      <color theme="0"/>
      <name val="Arial Narrow"/>
      <family val="2"/>
    </font>
    <font>
      <b/>
      <sz val="14"/>
      <color rgb="FFFF0000"/>
      <name val="Arial Narrow"/>
      <family val="2"/>
    </font>
    <font>
      <b/>
      <sz val="11"/>
      <color theme="1"/>
      <name val="Calibri"/>
      <family val="2"/>
      <scheme val="minor"/>
    </font>
    <font>
      <b/>
      <i/>
      <sz val="10"/>
      <color theme="1" tint="0.499984740745262"/>
      <name val="Arial Narrow"/>
      <family val="2"/>
    </font>
    <font>
      <sz val="10"/>
      <color theme="3"/>
      <name val="Arial"/>
      <family val="2"/>
    </font>
    <font>
      <sz val="14"/>
      <color theme="0" tint="-0.499984740745262"/>
      <name val="Arial Narrow"/>
      <family val="2"/>
    </font>
    <font>
      <b/>
      <sz val="14"/>
      <color theme="0" tint="-0.499984740745262"/>
      <name val="Arial Narrow"/>
      <family val="2"/>
    </font>
    <font>
      <b/>
      <sz val="12"/>
      <color theme="0" tint="-0.499984740745262"/>
      <name val="Arial Narrow"/>
      <family val="2"/>
    </font>
    <font>
      <sz val="12"/>
      <color theme="0" tint="-0.499984740745262"/>
      <name val="Arial Narrow"/>
      <family val="2"/>
    </font>
    <font>
      <b/>
      <i/>
      <sz val="10"/>
      <color theme="0" tint="-0.499984740745262"/>
      <name val="Arial Narrow"/>
      <family val="2"/>
    </font>
    <font>
      <b/>
      <sz val="10"/>
      <name val="Times New Roman"/>
      <family val="1"/>
    </font>
    <font>
      <sz val="11"/>
      <color theme="1"/>
      <name val="Calibri"/>
      <family val="2"/>
    </font>
    <font>
      <sz val="10"/>
      <color rgb="FFFF0000"/>
      <name val="Arial Narrow"/>
      <family val="2"/>
    </font>
    <font>
      <sz val="11"/>
      <color theme="1"/>
      <name val="Arial Narrow"/>
      <family val="2"/>
    </font>
    <font>
      <b/>
      <sz val="14"/>
      <color theme="1" tint="0.249977111117893"/>
      <name val="Arial Narrow"/>
      <family val="2"/>
    </font>
    <font>
      <sz val="14"/>
      <color theme="1" tint="0.249977111117893"/>
      <name val="Arial Narrow"/>
      <family val="2"/>
    </font>
    <font>
      <sz val="11"/>
      <name val="Arial Narrow"/>
      <family val="2"/>
    </font>
    <font>
      <b/>
      <sz val="11"/>
      <name val="Arial Narrow"/>
      <family val="2"/>
    </font>
    <font>
      <sz val="11"/>
      <color theme="0" tint="-0.499984740745262"/>
      <name val="Arial Narrow"/>
      <family val="2"/>
    </font>
    <font>
      <b/>
      <sz val="11"/>
      <color theme="0" tint="-0.499984740745262"/>
      <name val="Arial Narrow"/>
      <family val="2"/>
    </font>
    <font>
      <b/>
      <u/>
      <sz val="16"/>
      <color rgb="FF0000FF"/>
      <name val="Arial Narrow"/>
      <family val="2"/>
    </font>
    <font>
      <b/>
      <u/>
      <sz val="10"/>
      <color rgb="FF000000"/>
      <name val="Arial Narrow"/>
      <family val="2"/>
    </font>
    <font>
      <b/>
      <sz val="10"/>
      <color theme="1" tint="0.249977111117893"/>
      <name val="Arial Narrow"/>
      <family val="2"/>
    </font>
    <font>
      <b/>
      <sz val="36"/>
      <color indexed="25"/>
      <name val="Arial"/>
      <family val="2"/>
    </font>
    <font>
      <i/>
      <sz val="14"/>
      <color rgb="FF0000FF"/>
      <name val="Arial Narrow"/>
      <family val="2"/>
    </font>
    <font>
      <i/>
      <sz val="12"/>
      <color theme="1"/>
      <name val="Arial Narrow"/>
      <family val="2"/>
    </font>
    <font>
      <sz val="12"/>
      <color theme="1"/>
      <name val="Times New Roman"/>
      <family val="1"/>
    </font>
    <font>
      <b/>
      <sz val="10"/>
      <color rgb="FF7F7E82"/>
      <name val="Arial Narrow"/>
      <family val="2"/>
    </font>
    <font>
      <b/>
      <sz val="10"/>
      <color indexed="23"/>
      <name val="Arial Narrow"/>
      <family val="2"/>
    </font>
    <font>
      <b/>
      <sz val="10"/>
      <name val="Arial Narrow"/>
      <family val="2"/>
      <charset val="238"/>
    </font>
    <font>
      <i/>
      <sz val="10"/>
      <color rgb="FF000000"/>
      <name val="Arial Narrow"/>
      <family val="2"/>
    </font>
    <font>
      <sz val="11"/>
      <color theme="1"/>
      <name val="Calibri"/>
      <family val="2"/>
      <scheme val="minor"/>
    </font>
    <font>
      <i/>
      <sz val="12"/>
      <name val="Arial Narrow"/>
      <family val="2"/>
    </font>
    <font>
      <u/>
      <sz val="10"/>
      <color theme="10"/>
      <name val="Arial Narrow"/>
      <family val="2"/>
    </font>
    <font>
      <b/>
      <u/>
      <sz val="8"/>
      <color indexed="81"/>
      <name val="Tahoma"/>
      <family val="2"/>
    </font>
    <font>
      <i/>
      <sz val="10"/>
      <color rgb="FF0000FF"/>
      <name val="Arial Narrow"/>
      <family val="2"/>
    </font>
    <font>
      <b/>
      <i/>
      <sz val="10"/>
      <color rgb="FF0000FF"/>
      <name val="Arial Narrow"/>
      <family val="2"/>
    </font>
    <font>
      <b/>
      <sz val="12"/>
      <name val="Arial"/>
      <family val="2"/>
    </font>
    <font>
      <b/>
      <sz val="10"/>
      <color rgb="FF006600"/>
      <name val="Arial Narrow"/>
      <family val="2"/>
    </font>
    <font>
      <b/>
      <sz val="14"/>
      <color rgb="FF0000FF"/>
      <name val="Arial Narrow"/>
      <family val="2"/>
    </font>
    <font>
      <b/>
      <sz val="14"/>
      <color indexed="32"/>
      <name val="Arial"/>
      <family val="2"/>
    </font>
    <font>
      <i/>
      <sz val="10"/>
      <color indexed="32"/>
      <name val="Arial Narrow"/>
      <family val="2"/>
    </font>
    <font>
      <sz val="10"/>
      <color indexed="32"/>
      <name val="Arial Narrow"/>
      <family val="2"/>
    </font>
    <font>
      <b/>
      <sz val="10"/>
      <color indexed="32"/>
      <name val="Arial Narrow"/>
      <family val="2"/>
    </font>
    <font>
      <b/>
      <u val="singleAccounting"/>
      <sz val="10"/>
      <name val="Times New Roman"/>
      <family val="1"/>
    </font>
    <font>
      <sz val="8"/>
      <color indexed="32"/>
      <name val="Arial Narrow"/>
      <family val="2"/>
    </font>
    <font>
      <sz val="18"/>
      <color theme="3"/>
      <name val="Cambria"/>
      <family val="2"/>
      <scheme val="major"/>
    </font>
    <font>
      <b/>
      <sz val="10"/>
      <color theme="1"/>
      <name val="Calibri"/>
      <family val="2"/>
      <scheme val="minor"/>
    </font>
    <font>
      <b/>
      <sz val="8.5"/>
      <color theme="1"/>
      <name val="Arial Narrow"/>
      <family val="2"/>
    </font>
  </fonts>
  <fills count="34">
    <fill>
      <patternFill patternType="none"/>
    </fill>
    <fill>
      <patternFill patternType="gray125"/>
    </fill>
    <fill>
      <patternFill patternType="solid">
        <fgColor rgb="FFFFFFCC"/>
        <bgColor indexed="64"/>
      </patternFill>
    </fill>
    <fill>
      <patternFill patternType="solid">
        <fgColor theme="0" tint="-0.34998626667073579"/>
        <bgColor indexed="64"/>
      </patternFill>
    </fill>
    <fill>
      <patternFill patternType="solid">
        <fgColor theme="0"/>
        <bgColor indexed="15"/>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CCFFFF"/>
        <bgColor indexed="64"/>
      </patternFill>
    </fill>
    <fill>
      <patternFill patternType="solid">
        <fgColor rgb="FFFFFF99"/>
        <bgColor indexed="64"/>
      </patternFill>
    </fill>
    <fill>
      <patternFill patternType="solid">
        <fgColor indexed="22"/>
        <bgColor indexed="64"/>
      </patternFill>
    </fill>
    <fill>
      <patternFill patternType="solid">
        <fgColor theme="0" tint="-0.14996795556505021"/>
        <bgColor indexed="64"/>
      </patternFill>
    </fill>
    <fill>
      <patternFill patternType="solid">
        <fgColor rgb="FFFFD782"/>
        <bgColor indexed="64"/>
      </patternFill>
    </fill>
    <fill>
      <patternFill patternType="solid">
        <fgColor theme="0"/>
        <bgColor indexed="64"/>
      </patternFill>
    </fill>
    <fill>
      <patternFill patternType="solid">
        <fgColor rgb="FF0000CC"/>
        <bgColor indexed="64"/>
      </patternFill>
    </fill>
    <fill>
      <patternFill patternType="solid">
        <fgColor rgb="FFCCFF99"/>
        <bgColor indexed="64"/>
      </patternFill>
    </fill>
    <fill>
      <patternFill patternType="solid">
        <fgColor rgb="FFFFD581"/>
        <bgColor indexed="64"/>
      </patternFill>
    </fill>
    <fill>
      <patternFill patternType="solid">
        <fgColor theme="6" tint="0.59999389629810485"/>
        <bgColor indexed="64"/>
      </patternFill>
    </fill>
    <fill>
      <patternFill patternType="solid">
        <fgColor rgb="FFFFFFCC"/>
      </patternFill>
    </fill>
    <fill>
      <patternFill patternType="solid">
        <fgColor theme="5" tint="0.7999816888943144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FFFFFF"/>
        <bgColor indexed="64"/>
      </patternFill>
    </fill>
    <fill>
      <patternFill patternType="solid">
        <fgColor rgb="FF0000FF"/>
        <bgColor indexed="64"/>
      </patternFill>
    </fill>
    <fill>
      <patternFill patternType="solid">
        <fgColor rgb="FFFFE600"/>
        <bgColor indexed="64"/>
      </patternFill>
    </fill>
    <fill>
      <patternFill patternType="solid">
        <fgColor rgb="FFFFC000"/>
        <bgColor indexed="64"/>
      </patternFill>
    </fill>
    <fill>
      <patternFill patternType="solid">
        <fgColor indexed="25"/>
        <bgColor indexed="64"/>
      </patternFill>
    </fill>
    <fill>
      <patternFill patternType="gray125">
        <bgColor theme="0"/>
      </patternFill>
    </fill>
  </fills>
  <borders count="143">
    <border>
      <left/>
      <right/>
      <top/>
      <bottom/>
      <diagonal/>
    </border>
    <border>
      <left/>
      <right/>
      <top/>
      <bottom style="thick">
        <color rgb="FFFFCC00"/>
      </bottom>
      <diagonal/>
    </border>
    <border>
      <left/>
      <right/>
      <top style="medium">
        <color theme="0" tint="-0.34998626667073579"/>
      </top>
      <bottom style="medium">
        <color theme="0" tint="-0.34998626667073579"/>
      </bottom>
      <diagonal/>
    </border>
    <border>
      <left style="hair">
        <color rgb="FF7F7F7F"/>
      </left>
      <right style="hair">
        <color rgb="FF7F7F7F"/>
      </right>
      <top style="hair">
        <color rgb="FF7F7F7F"/>
      </top>
      <bottom style="hair">
        <color rgb="FF7F7F7F"/>
      </bottom>
      <diagonal/>
    </border>
    <border>
      <left/>
      <right style="medium">
        <color theme="0" tint="-0.24994659260841701"/>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thin">
        <color indexed="64"/>
      </left>
      <right style="hair">
        <color theme="0" tint="-0.499984740745262"/>
      </right>
      <top style="hair">
        <color theme="0" tint="-0.499984740745262"/>
      </top>
      <bottom style="hair">
        <color theme="0" tint="-0.499984740745262"/>
      </bottom>
      <diagonal/>
    </border>
    <border>
      <left style="hair">
        <color theme="0" tint="-0.499984740745262"/>
      </left>
      <right style="thin">
        <color indexed="64"/>
      </right>
      <top style="hair">
        <color theme="0" tint="-0.499984740745262"/>
      </top>
      <bottom style="hair">
        <color theme="0" tint="-0.499984740745262"/>
      </bottom>
      <diagonal/>
    </border>
    <border>
      <left style="thin">
        <color indexed="64"/>
      </left>
      <right style="hair">
        <color theme="0" tint="-0.499984740745262"/>
      </right>
      <top style="hair">
        <color theme="0" tint="-0.499984740745262"/>
      </top>
      <bottom style="thin">
        <color indexed="64"/>
      </bottom>
      <diagonal/>
    </border>
    <border>
      <left style="hair">
        <color theme="0" tint="-0.499984740745262"/>
      </left>
      <right style="hair">
        <color theme="0" tint="-0.499984740745262"/>
      </right>
      <top style="hair">
        <color theme="0" tint="-0.499984740745262"/>
      </top>
      <bottom style="thin">
        <color indexed="64"/>
      </bottom>
      <diagonal/>
    </border>
    <border>
      <left style="hair">
        <color theme="0" tint="-0.499984740745262"/>
      </left>
      <right style="thin">
        <color indexed="64"/>
      </right>
      <top style="hair">
        <color theme="0" tint="-0.499984740745262"/>
      </top>
      <bottom style="thin">
        <color indexed="64"/>
      </bottom>
      <diagonal/>
    </border>
    <border>
      <left/>
      <right/>
      <top style="thin">
        <color theme="0" tint="-0.24994659260841701"/>
      </top>
      <bottom/>
      <diagonal/>
    </border>
    <border>
      <left style="thin">
        <color indexed="64"/>
      </left>
      <right style="hair">
        <color theme="0" tint="-0.499984740745262"/>
      </right>
      <top/>
      <bottom style="hair">
        <color theme="0" tint="-0.499984740745262"/>
      </bottom>
      <diagonal/>
    </border>
    <border>
      <left style="medium">
        <color theme="0" tint="-0.34998626667073579"/>
      </left>
      <right/>
      <top/>
      <bottom/>
      <diagonal/>
    </border>
    <border>
      <left/>
      <right/>
      <top/>
      <bottom style="double">
        <color indexed="64"/>
      </bottom>
      <diagonal/>
    </border>
    <border>
      <left style="hair">
        <color rgb="FF7F7F7F"/>
      </left>
      <right style="hair">
        <color rgb="FF7F7F7F"/>
      </right>
      <top style="hair">
        <color rgb="FF7F7F7F"/>
      </top>
      <bottom style="hair">
        <color auto="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style="thin">
        <color indexed="64"/>
      </right>
      <top/>
      <bottom style="hair">
        <color theme="0" tint="-0.499984740745262"/>
      </bottom>
      <diagonal/>
    </border>
    <border>
      <left/>
      <right/>
      <top style="thin">
        <color indexed="64"/>
      </top>
      <bottom style="medium">
        <color indexed="64"/>
      </bottom>
      <diagonal/>
    </border>
    <border>
      <left/>
      <right/>
      <top/>
      <bottom style="thin">
        <color theme="1" tint="0.499984740745262"/>
      </bottom>
      <diagonal/>
    </border>
    <border>
      <left/>
      <right/>
      <top style="thin">
        <color theme="1" tint="0.499984740745262"/>
      </top>
      <bottom/>
      <diagonal/>
    </border>
    <border>
      <left/>
      <right/>
      <top/>
      <bottom style="thin">
        <color auto="1"/>
      </bottom>
      <diagonal/>
    </border>
    <border>
      <left/>
      <right/>
      <top style="thin">
        <color auto="1"/>
      </top>
      <bottom/>
      <diagonal/>
    </border>
    <border>
      <left/>
      <right style="thin">
        <color auto="1"/>
      </right>
      <top/>
      <bottom style="thin">
        <color auto="1"/>
      </bottom>
      <diagonal/>
    </border>
    <border>
      <left/>
      <right/>
      <top style="thin">
        <color theme="0" tint="-0.499984740745262"/>
      </top>
      <bottom/>
      <diagonal/>
    </border>
    <border>
      <left/>
      <right/>
      <top style="thin">
        <color theme="0" tint="-0.499984740745262"/>
      </top>
      <bottom style="thin">
        <color theme="0" tint="-0.499984740745262"/>
      </bottom>
      <diagonal/>
    </border>
    <border>
      <left/>
      <right/>
      <top/>
      <bottom style="thin">
        <color theme="0" tint="-0.499984740745262"/>
      </bottom>
      <diagonal/>
    </border>
    <border>
      <left style="thin">
        <color rgb="FFB2B2B2"/>
      </left>
      <right style="thin">
        <color rgb="FFB2B2B2"/>
      </right>
      <top style="thin">
        <color rgb="FFB2B2B2"/>
      </top>
      <bottom style="thin">
        <color rgb="FFB2B2B2"/>
      </bottom>
      <diagonal/>
    </border>
    <border>
      <left/>
      <right style="thin">
        <color rgb="FFB2B2B2"/>
      </right>
      <top style="thin">
        <color rgb="FFB2B2B2"/>
      </top>
      <bottom style="thin">
        <color rgb="FFB2B2B2"/>
      </bottom>
      <diagonal/>
    </border>
    <border>
      <left/>
      <right/>
      <top style="thin">
        <color rgb="FFB2B2B2"/>
      </top>
      <bottom style="thin">
        <color rgb="FFB2B2B2"/>
      </bottom>
      <diagonal/>
    </border>
    <border>
      <left style="thin">
        <color rgb="FFB2B2B2"/>
      </left>
      <right/>
      <top style="thin">
        <color rgb="FFB2B2B2"/>
      </top>
      <bottom style="thin">
        <color rgb="FFB2B2B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hair">
        <color indexed="23"/>
      </left>
      <right style="hair">
        <color indexed="23"/>
      </right>
      <top style="hair">
        <color indexed="23"/>
      </top>
      <bottom style="hair">
        <color indexed="23"/>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auto="1"/>
      </left>
      <right style="medium">
        <color theme="0" tint="-0.24994659260841701"/>
      </right>
      <top style="hair">
        <color auto="1"/>
      </top>
      <bottom style="hair">
        <color indexed="64"/>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hair">
        <color auto="1"/>
      </right>
      <top/>
      <bottom/>
      <diagonal/>
    </border>
    <border>
      <left/>
      <right style="hair">
        <color auto="1"/>
      </right>
      <top style="thin">
        <color theme="0" tint="-0.499984740745262"/>
      </top>
      <bottom/>
      <diagonal/>
    </border>
    <border>
      <left/>
      <right style="hair">
        <color auto="1"/>
      </right>
      <top/>
      <bottom style="thin">
        <color theme="0" tint="-0.499984740745262"/>
      </bottom>
      <diagonal/>
    </border>
    <border>
      <left/>
      <right style="hair">
        <color auto="1"/>
      </right>
      <top style="thin">
        <color theme="1" tint="0.499984740745262"/>
      </top>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hair">
        <color auto="1"/>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top style="thin">
        <color theme="1" tint="0.499984740745262"/>
      </top>
      <bottom style="thin">
        <color theme="1" tint="0.499984740745262"/>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24994659260841701"/>
      </bottom>
      <diagonal/>
    </border>
    <border>
      <left style="hair">
        <color auto="1"/>
      </left>
      <right style="hair">
        <color auto="1"/>
      </right>
      <top style="hair">
        <color auto="1"/>
      </top>
      <bottom style="hair">
        <color auto="1"/>
      </bottom>
      <diagonal/>
    </border>
    <border>
      <left style="thin">
        <color theme="0" tint="-0.499984740745262"/>
      </left>
      <right/>
      <top style="thin">
        <color theme="0" tint="-0.499984740745262"/>
      </top>
      <bottom style="thin">
        <color theme="0" tint="-0.499984740745262"/>
      </bottom>
      <diagonal/>
    </border>
    <border>
      <left/>
      <right style="medium">
        <color auto="1"/>
      </right>
      <top/>
      <bottom style="thin">
        <color auto="1"/>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style="hair">
        <color auto="1"/>
      </left>
      <right style="hair">
        <color auto="1"/>
      </right>
      <top/>
      <bottom style="hair">
        <color auto="1"/>
      </bottom>
      <diagonal/>
    </border>
    <border>
      <left style="hair">
        <color auto="1"/>
      </left>
      <right/>
      <top/>
      <bottom style="hair">
        <color auto="1"/>
      </bottom>
      <diagonal/>
    </border>
    <border>
      <left/>
      <right/>
      <top/>
      <bottom style="hair">
        <color auto="1"/>
      </bottom>
      <diagonal/>
    </border>
    <border>
      <left/>
      <right style="hair">
        <color theme="0" tint="-0.499984740745262"/>
      </right>
      <top/>
      <bottom style="hair">
        <color auto="1"/>
      </bottom>
      <diagonal/>
    </border>
    <border>
      <left/>
      <right style="hair">
        <color auto="1"/>
      </right>
      <top/>
      <bottom style="hair">
        <color auto="1"/>
      </bottom>
      <diagonal/>
    </border>
    <border>
      <left style="hair">
        <color auto="1"/>
      </left>
      <right style="thick">
        <color rgb="FF00FF00"/>
      </right>
      <top style="hair">
        <color auto="1"/>
      </top>
      <bottom style="hair">
        <color auto="1"/>
      </bottom>
      <diagonal/>
    </border>
    <border>
      <left/>
      <right style="thick">
        <color rgb="FF00FF00"/>
      </right>
      <top style="hair">
        <color auto="1"/>
      </top>
      <bottom style="hair">
        <color auto="1"/>
      </bottom>
      <diagonal/>
    </border>
    <border>
      <left/>
      <right style="hair">
        <color rgb="FF7F7F7F"/>
      </right>
      <top style="hair">
        <color rgb="FF7F7F7F"/>
      </top>
      <bottom style="hair">
        <color rgb="FF7F7F7F"/>
      </bottom>
      <diagonal/>
    </border>
    <border>
      <left style="medium">
        <color theme="0" tint="-0.499984740745262"/>
      </left>
      <right style="thick">
        <color rgb="FF00FF00"/>
      </right>
      <top style="hair">
        <color auto="1"/>
      </top>
      <bottom style="hair">
        <color auto="1"/>
      </bottom>
      <diagonal/>
    </border>
    <border>
      <left/>
      <right/>
      <top style="thin">
        <color rgb="FF7F7E82"/>
      </top>
      <bottom style="thin">
        <color rgb="FF7F7E82"/>
      </bottom>
      <diagonal/>
    </border>
    <border>
      <left/>
      <right/>
      <top style="thin">
        <color indexed="55"/>
      </top>
      <bottom style="thin">
        <color indexed="55"/>
      </bottom>
      <diagonal/>
    </border>
    <border>
      <left style="hair">
        <color auto="1"/>
      </left>
      <right style="thick">
        <color rgb="FF00FF00"/>
      </right>
      <top style="hair">
        <color auto="1"/>
      </top>
      <bottom style="thin">
        <color auto="1"/>
      </bottom>
      <diagonal/>
    </border>
    <border>
      <left style="medium">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thin">
        <color theme="0" tint="-0.499984740745262"/>
      </bottom>
      <diagonal/>
    </border>
    <border>
      <left/>
      <right style="medium">
        <color theme="0" tint="-0.499984740745262"/>
      </right>
      <top/>
      <bottom style="thin">
        <color theme="0" tint="-0.499984740745262"/>
      </bottom>
      <diagonal/>
    </border>
    <border>
      <left style="hair">
        <color auto="1"/>
      </left>
      <right/>
      <top style="hair">
        <color auto="1"/>
      </top>
      <bottom style="hair">
        <color auto="1"/>
      </bottom>
      <diagonal/>
    </border>
    <border>
      <left/>
      <right style="thick">
        <color rgb="FF15FF15"/>
      </right>
      <top style="hair">
        <color auto="1"/>
      </top>
      <bottom style="hair">
        <color auto="1"/>
      </bottom>
      <diagonal/>
    </border>
    <border>
      <left style="hair">
        <color auto="1"/>
      </left>
      <right style="thick">
        <color rgb="FF15FF15"/>
      </right>
      <top style="hair">
        <color auto="1"/>
      </top>
      <bottom style="hair">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ck">
        <color rgb="FF00FF00"/>
      </left>
      <right/>
      <top/>
      <bottom style="thin">
        <color indexed="64"/>
      </bottom>
      <diagonal/>
    </border>
    <border>
      <left style="hair">
        <color auto="1"/>
      </left>
      <right style="thick">
        <color rgb="FF15FF15"/>
      </right>
      <top style="hair">
        <color auto="1"/>
      </top>
      <bottom style="thin">
        <color indexed="64"/>
      </bottom>
      <diagonal/>
    </border>
    <border>
      <left/>
      <right style="medium">
        <color rgb="FFFFC000"/>
      </right>
      <top/>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style="hair">
        <color auto="1"/>
      </left>
      <right style="hair">
        <color auto="1"/>
      </right>
      <top style="hair">
        <color auto="1"/>
      </top>
      <bottom/>
      <diagonal/>
    </border>
    <border>
      <left/>
      <right/>
      <top style="thin">
        <color theme="0" tint="-0.499984740745262"/>
      </top>
      <bottom style="medium">
        <color theme="0" tint="-0.499984740745262"/>
      </bottom>
      <diagonal/>
    </border>
    <border>
      <left/>
      <right/>
      <top style="thin">
        <color theme="1" tint="0.499984740745262"/>
      </top>
      <bottom style="medium">
        <color theme="1" tint="0.499984740745262"/>
      </bottom>
      <diagonal/>
    </border>
    <border>
      <left/>
      <right style="hair">
        <color auto="1"/>
      </right>
      <top style="thin">
        <color theme="1" tint="0.499984740745262"/>
      </top>
      <bottom style="medium">
        <color theme="1" tint="0.499984740745262"/>
      </bottom>
      <diagonal/>
    </border>
    <border>
      <left/>
      <right style="hair">
        <color auto="1"/>
      </right>
      <top style="thin">
        <color theme="0" tint="-0.499984740745262"/>
      </top>
      <bottom style="medium">
        <color theme="0" tint="-0.499984740745262"/>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auto="1"/>
      </right>
      <top/>
      <bottom style="thin">
        <color theme="1" tint="0.499984740745262"/>
      </bottom>
      <diagonal/>
    </border>
    <border>
      <left/>
      <right/>
      <top style="thin">
        <color indexed="32"/>
      </top>
      <bottom style="thin">
        <color indexed="32"/>
      </bottom>
      <diagonal/>
    </border>
    <border>
      <left style="hair">
        <color auto="1"/>
      </left>
      <right style="hair">
        <color auto="1"/>
      </right>
      <top/>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tint="-0.24994659260841701"/>
      </left>
      <right style="hair">
        <color auto="1"/>
      </right>
      <top style="thin">
        <color theme="0" tint="-0.24994659260841701"/>
      </top>
      <bottom style="hair">
        <color auto="1"/>
      </bottom>
      <diagonal/>
    </border>
    <border>
      <left style="thin">
        <color theme="0" tint="-0.24994659260841701"/>
      </left>
      <right style="hair">
        <color theme="0" tint="-0.24994659260841701"/>
      </right>
      <top/>
      <bottom/>
      <diagonal/>
    </border>
    <border>
      <left style="thin">
        <color theme="0" tint="-0.24994659260841701"/>
      </left>
      <right style="hair">
        <color theme="0" tint="-0.24994659260841701"/>
      </right>
      <top style="hair">
        <color theme="0" tint="-0.24994659260841701"/>
      </top>
      <bottom/>
      <diagonal/>
    </border>
    <border>
      <left style="thin">
        <color theme="0" tint="-0.24994659260841701"/>
      </left>
      <right style="hair">
        <color theme="0" tint="-0.24994659260841701"/>
      </right>
      <top/>
      <bottom style="hair">
        <color theme="0" tint="-0.24994659260841701"/>
      </bottom>
      <diagonal/>
    </border>
    <border>
      <left style="hair">
        <color auto="1"/>
      </left>
      <right style="hair">
        <color auto="1"/>
      </right>
      <top style="hair">
        <color auto="1"/>
      </top>
      <bottom style="hair">
        <color auto="1"/>
      </bottom>
      <diagonal/>
    </border>
    <border>
      <left style="hair">
        <color indexed="23"/>
      </left>
      <right/>
      <top style="hair">
        <color indexed="23"/>
      </top>
      <bottom style="hair">
        <color indexed="23"/>
      </bottom>
      <diagonal/>
    </border>
    <border>
      <left/>
      <right/>
      <top style="hair">
        <color indexed="23"/>
      </top>
      <bottom style="hair">
        <color indexed="23"/>
      </bottom>
      <diagonal/>
    </border>
    <border>
      <left/>
      <right/>
      <top style="hair">
        <color indexed="23"/>
      </top>
      <bottom/>
      <diagonal/>
    </border>
    <border>
      <left style="medium">
        <color theme="0" tint="-0.34998626667073579"/>
      </left>
      <right style="hair">
        <color indexed="23"/>
      </right>
      <top style="hair">
        <color indexed="23"/>
      </top>
      <bottom style="hair">
        <color indexed="23"/>
      </bottom>
      <diagonal/>
    </border>
    <border>
      <left style="hair">
        <color auto="1"/>
      </left>
      <right style="hair">
        <color auto="1"/>
      </right>
      <top style="hair">
        <color auto="1"/>
      </top>
      <bottom style="hair">
        <color indexed="23"/>
      </bottom>
      <diagonal/>
    </border>
    <border>
      <left/>
      <right/>
      <top style="thin">
        <color indexed="32"/>
      </top>
      <bottom/>
      <diagonal/>
    </border>
    <border>
      <left/>
      <right/>
      <top style="thin">
        <color indexed="32"/>
      </top>
      <bottom style="thin">
        <color indexed="64"/>
      </bottom>
      <diagonal/>
    </border>
    <border>
      <left style="thin">
        <color indexed="64"/>
      </left>
      <right style="thin">
        <color indexed="64"/>
      </right>
      <top style="thin">
        <color indexed="64"/>
      </top>
      <bottom/>
      <diagonal/>
    </border>
    <border>
      <left/>
      <right/>
      <top style="hair">
        <color indexed="64"/>
      </top>
      <bottom/>
      <diagonal/>
    </border>
    <border>
      <left/>
      <right style="medium">
        <color theme="0" tint="-0.24994659260841701"/>
      </right>
      <top style="hair">
        <color indexed="64"/>
      </top>
      <bottom style="hair">
        <color indexed="64"/>
      </bottom>
      <diagonal/>
    </border>
  </borders>
  <cellStyleXfs count="44">
    <xf numFmtId="261" fontId="0" fillId="0" borderId="0" applyFill="0" applyBorder="0" applyAlignment="0"/>
    <xf numFmtId="252" fontId="4" fillId="6" borderId="0">
      <alignment horizontal="right"/>
    </xf>
    <xf numFmtId="252" fontId="4" fillId="0" borderId="62">
      <alignment horizontal="right"/>
    </xf>
    <xf numFmtId="175" fontId="129" fillId="0" borderId="0">
      <alignment horizontal="right"/>
    </xf>
    <xf numFmtId="251" fontId="4" fillId="0" borderId="0">
      <alignment horizontal="right"/>
    </xf>
    <xf numFmtId="251" fontId="38" fillId="11" borderId="62" applyProtection="0">
      <alignment horizontal="right"/>
      <protection locked="0"/>
    </xf>
    <xf numFmtId="172" fontId="36" fillId="0" borderId="0" applyBorder="0" applyAlignment="0">
      <alignment horizontal="right"/>
    </xf>
    <xf numFmtId="172" fontId="160" fillId="11" borderId="62" applyProtection="0">
      <alignment horizontal="right"/>
      <protection locked="0"/>
    </xf>
    <xf numFmtId="175" fontId="24" fillId="0" borderId="0" applyBorder="0">
      <alignment horizontal="right"/>
    </xf>
    <xf numFmtId="171" fontId="38" fillId="11" borderId="62" applyProtection="0">
      <alignment horizontal="right"/>
      <protection locked="0"/>
    </xf>
    <xf numFmtId="9" fontId="24" fillId="0" borderId="0" applyFont="0" applyFill="0" applyBorder="0" applyAlignment="0" applyProtection="0"/>
    <xf numFmtId="0" fontId="18" fillId="0" borderId="0" applyFill="0" applyBorder="0">
      <alignment horizontal="left" vertical="top" wrapText="1"/>
    </xf>
    <xf numFmtId="259" fontId="18" fillId="0" borderId="0" applyBorder="0">
      <alignment horizontal="right" vertical="top"/>
    </xf>
    <xf numFmtId="252" fontId="4" fillId="0" borderId="79">
      <alignment horizontal="right"/>
    </xf>
    <xf numFmtId="262" fontId="24" fillId="0" borderId="0" applyFill="0" applyBorder="0" applyAlignment="0">
      <alignment horizontal="right"/>
    </xf>
    <xf numFmtId="0" fontId="152" fillId="0" borderId="93">
      <alignment horizontal="right" wrapText="1"/>
    </xf>
    <xf numFmtId="271" fontId="18" fillId="0" borderId="0" applyFill="0" applyBorder="0">
      <alignment horizontal="right" vertical="top"/>
    </xf>
    <xf numFmtId="44" fontId="24" fillId="0" borderId="0" applyFont="0" applyFill="0" applyBorder="0" applyAlignment="0" applyProtection="0"/>
    <xf numFmtId="0" fontId="156" fillId="0" borderId="0"/>
    <xf numFmtId="261" fontId="158" fillId="0" borderId="0" applyNumberFormat="0" applyFill="0" applyBorder="0" applyAlignment="0" applyProtection="0"/>
    <xf numFmtId="280" fontId="18" fillId="0" borderId="35" applyAlignment="0"/>
    <xf numFmtId="281" fontId="18" fillId="0" borderId="0" applyBorder="0" applyAlignment="0"/>
    <xf numFmtId="282" fontId="18" fillId="0" borderId="0" applyBorder="0" applyAlignment="0"/>
    <xf numFmtId="283" fontId="18" fillId="0" borderId="0" applyBorder="0" applyAlignment="0"/>
    <xf numFmtId="205" fontId="22" fillId="0" borderId="0"/>
    <xf numFmtId="205" fontId="1" fillId="0" borderId="0"/>
    <xf numFmtId="205" fontId="165" fillId="0" borderId="0"/>
    <xf numFmtId="0" fontId="52" fillId="0" borderId="0" applyFill="0" applyBorder="0">
      <alignment horizontal="left" vertical="top"/>
    </xf>
    <xf numFmtId="164" fontId="52" fillId="0" borderId="0" applyFill="0" applyBorder="0" applyAlignment="0" applyProtection="0">
      <alignment horizontal="right" vertical="top"/>
    </xf>
    <xf numFmtId="205" fontId="166" fillId="0" borderId="123">
      <alignment horizontal="left"/>
    </xf>
    <xf numFmtId="205" fontId="167" fillId="0" borderId="123">
      <alignment horizontal="center"/>
    </xf>
    <xf numFmtId="0" fontId="168" fillId="0" borderId="123">
      <alignment horizontal="right"/>
    </xf>
    <xf numFmtId="0" fontId="169" fillId="0" borderId="0">
      <alignment horizontal="center" wrapText="1"/>
    </xf>
    <xf numFmtId="0" fontId="19" fillId="0" borderId="0">
      <alignment horizontal="left" vertical="top" wrapText="1"/>
    </xf>
    <xf numFmtId="178" fontId="18" fillId="0" borderId="0" applyFill="0" applyBorder="0">
      <alignment horizontal="right" vertical="top"/>
    </xf>
    <xf numFmtId="244" fontId="52" fillId="0" borderId="0" applyFill="0" applyBorder="0">
      <alignment horizontal="right" vertical="top"/>
    </xf>
    <xf numFmtId="205" fontId="170" fillId="0" borderId="0">
      <alignment horizontal="left" vertical="top"/>
    </xf>
    <xf numFmtId="0" fontId="171" fillId="0" borderId="0" applyNumberFormat="0" applyFill="0" applyBorder="0" applyAlignment="0" applyProtection="0"/>
    <xf numFmtId="0" fontId="172" fillId="0" borderId="125" applyNumberFormat="0" applyFill="0" applyAlignment="0" applyProtection="0"/>
    <xf numFmtId="252" fontId="18" fillId="13" borderId="126" applyNumberFormat="0" applyAlignment="0">
      <alignment horizontal="right"/>
    </xf>
    <xf numFmtId="280" fontId="18" fillId="0" borderId="0" applyBorder="0" applyAlignment="0"/>
    <xf numFmtId="0" fontId="18" fillId="6" borderId="0" applyNumberFormat="0" applyFont="0" applyBorder="0" applyAlignment="0">
      <alignment horizontal="centerContinuous"/>
    </xf>
    <xf numFmtId="0" fontId="114" fillId="33" borderId="0" applyNumberFormat="0" applyFont="0" applyBorder="0" applyAlignment="0">
      <alignment horizontal="centerContinuous"/>
    </xf>
    <xf numFmtId="285" fontId="18" fillId="0" borderId="0" applyFont="0" applyFill="0" applyBorder="0" applyAlignment="0" applyProtection="0">
      <alignment horizontal="right"/>
    </xf>
  </cellStyleXfs>
  <cellXfs count="2329">
    <xf numFmtId="261" fontId="0" fillId="0" borderId="0" xfId="0"/>
    <xf numFmtId="191" fontId="24" fillId="0" borderId="0" xfId="0" applyNumberFormat="1" applyFont="1" applyAlignment="1">
      <alignment horizontal="right"/>
    </xf>
    <xf numFmtId="174" fontId="35" fillId="0" borderId="25" xfId="0" applyNumberFormat="1" applyFont="1" applyFill="1" applyBorder="1" applyAlignment="1">
      <alignment horizontal="center"/>
    </xf>
    <xf numFmtId="172" fontId="24" fillId="0" borderId="0" xfId="6" applyFont="1" applyAlignment="1">
      <alignment horizontal="right"/>
    </xf>
    <xf numFmtId="177" fontId="18" fillId="0" borderId="0" xfId="10" applyNumberFormat="1" applyFont="1" applyAlignment="1"/>
    <xf numFmtId="253" fontId="18" fillId="0" borderId="0" xfId="0" applyNumberFormat="1" applyFont="1" applyBorder="1"/>
    <xf numFmtId="172" fontId="160" fillId="11" borderId="62" xfId="7" applyProtection="1">
      <alignment horizontal="right"/>
      <protection locked="0"/>
    </xf>
    <xf numFmtId="261" fontId="8" fillId="0" borderId="0" xfId="0" applyFont="1"/>
    <xf numFmtId="261" fontId="7" fillId="0" borderId="0" xfId="0" applyFont="1"/>
    <xf numFmtId="165" fontId="0" fillId="3" borderId="0" xfId="0" applyNumberFormat="1" applyFill="1" applyAlignment="1">
      <alignment horizontal="left"/>
    </xf>
    <xf numFmtId="49" fontId="1" fillId="0" borderId="0" xfId="0" applyNumberFormat="1" applyFont="1" applyFill="1" applyBorder="1" applyAlignment="1" applyProtection="1">
      <alignment horizontal="left"/>
      <protection locked="0"/>
    </xf>
    <xf numFmtId="261" fontId="0" fillId="0" borderId="0" xfId="0" applyFont="1"/>
    <xf numFmtId="261" fontId="0" fillId="0" borderId="0" xfId="0" applyFont="1" applyAlignment="1">
      <alignment horizontal="center"/>
    </xf>
    <xf numFmtId="261" fontId="1" fillId="0" borderId="0" xfId="0" applyFont="1" applyAlignment="1">
      <alignment horizontal="center"/>
    </xf>
    <xf numFmtId="261" fontId="0" fillId="0" borderId="0" xfId="0" applyAlignment="1">
      <alignment horizontal="center"/>
    </xf>
    <xf numFmtId="261" fontId="0" fillId="0" borderId="0" xfId="0" applyFont="1" applyAlignment="1">
      <alignment horizontal="right"/>
    </xf>
    <xf numFmtId="261" fontId="3" fillId="0" borderId="0" xfId="0" applyFont="1"/>
    <xf numFmtId="261" fontId="10" fillId="0" borderId="1" xfId="0" applyFont="1" applyBorder="1" applyAlignment="1">
      <alignment horizontal="center"/>
    </xf>
    <xf numFmtId="261" fontId="0" fillId="0" borderId="0" xfId="0" applyAlignment="1">
      <alignment horizontal="left"/>
    </xf>
    <xf numFmtId="261" fontId="10" fillId="0" borderId="1" xfId="0" applyFont="1" applyBorder="1" applyAlignment="1">
      <alignment horizontal="left"/>
    </xf>
    <xf numFmtId="261" fontId="0" fillId="0" borderId="0" xfId="0" applyFill="1"/>
    <xf numFmtId="261" fontId="0" fillId="0" borderId="0" xfId="0" applyFont="1" applyAlignment="1">
      <alignment horizontal="left"/>
    </xf>
    <xf numFmtId="261" fontId="0" fillId="0" borderId="0" xfId="0" applyFill="1" applyBorder="1"/>
    <xf numFmtId="261" fontId="0" fillId="0" borderId="0" xfId="0" applyFont="1" applyFill="1" applyBorder="1" applyAlignment="1">
      <alignment horizontal="center"/>
    </xf>
    <xf numFmtId="261" fontId="2" fillId="0" borderId="1" xfId="0" applyFont="1" applyBorder="1" applyAlignment="1">
      <alignment horizontal="left"/>
    </xf>
    <xf numFmtId="168" fontId="10" fillId="0" borderId="1" xfId="0" applyNumberFormat="1" applyFont="1" applyBorder="1" applyAlignment="1">
      <alignment horizontal="center"/>
    </xf>
    <xf numFmtId="165" fontId="0" fillId="3" borderId="0" xfId="0" applyNumberFormat="1" applyFill="1" applyAlignment="1">
      <alignment horizontal="center"/>
    </xf>
    <xf numFmtId="166" fontId="14" fillId="4" borderId="0" xfId="0" applyNumberFormat="1" applyFont="1" applyFill="1" applyBorder="1" applyAlignment="1">
      <alignment horizontal="center"/>
    </xf>
    <xf numFmtId="261" fontId="15" fillId="0" borderId="0" xfId="0" applyFont="1" applyAlignment="1">
      <alignment horizontal="left"/>
    </xf>
    <xf numFmtId="261" fontId="10" fillId="0" borderId="1" xfId="0" applyFont="1" applyBorder="1" applyAlignment="1"/>
    <xf numFmtId="261" fontId="0" fillId="0" borderId="0" xfId="0" applyAlignment="1"/>
    <xf numFmtId="165" fontId="11" fillId="3" borderId="0" xfId="0" applyNumberFormat="1" applyFont="1" applyFill="1" applyAlignment="1"/>
    <xf numFmtId="165" fontId="12" fillId="3" borderId="0" xfId="0" applyNumberFormat="1" applyFont="1" applyFill="1" applyAlignment="1"/>
    <xf numFmtId="261" fontId="12" fillId="0" borderId="1" xfId="0" applyFont="1" applyBorder="1" applyAlignment="1">
      <alignment horizontal="center"/>
    </xf>
    <xf numFmtId="261" fontId="7" fillId="0" borderId="0" xfId="0" applyFont="1" applyAlignment="1">
      <alignment horizontal="center"/>
    </xf>
    <xf numFmtId="261" fontId="0" fillId="0" borderId="0" xfId="0" applyAlignment="1">
      <alignment wrapText="1"/>
    </xf>
    <xf numFmtId="261" fontId="0" fillId="0" borderId="0" xfId="0" applyAlignment="1">
      <alignment horizontal="center" vertical="top"/>
    </xf>
    <xf numFmtId="261" fontId="1" fillId="0" borderId="0" xfId="0" applyFont="1" applyAlignment="1">
      <alignment horizontal="left"/>
    </xf>
    <xf numFmtId="261" fontId="7" fillId="0" borderId="0" xfId="0" applyFont="1" applyAlignment="1">
      <alignment horizontal="left"/>
    </xf>
    <xf numFmtId="261" fontId="8" fillId="0" borderId="0" xfId="0" applyFont="1" applyAlignment="1">
      <alignment wrapText="1"/>
    </xf>
    <xf numFmtId="261" fontId="10" fillId="0" borderId="0" xfId="0" applyFont="1" applyAlignment="1">
      <alignment horizontal="center" wrapText="1"/>
    </xf>
    <xf numFmtId="168" fontId="10" fillId="0" borderId="1" xfId="0" applyNumberFormat="1" applyFont="1" applyBorder="1" applyAlignment="1">
      <alignment wrapText="1"/>
    </xf>
    <xf numFmtId="15" fontId="10" fillId="3" borderId="0" xfId="0" applyNumberFormat="1" applyFont="1" applyFill="1" applyAlignment="1">
      <alignment wrapText="1"/>
    </xf>
    <xf numFmtId="261" fontId="0" fillId="5" borderId="0" xfId="0" applyFill="1"/>
    <xf numFmtId="261" fontId="0" fillId="0" borderId="0" xfId="0" applyAlignment="1">
      <alignment horizontal="left" indent="1"/>
    </xf>
    <xf numFmtId="166" fontId="2" fillId="0" borderId="0" xfId="0" applyNumberFormat="1" applyFont="1" applyFill="1" applyBorder="1" applyAlignment="1">
      <alignment horizontal="left"/>
    </xf>
    <xf numFmtId="261" fontId="0" fillId="0" borderId="0" xfId="0" applyFont="1" applyFill="1" applyAlignment="1">
      <alignment horizontal="left"/>
    </xf>
    <xf numFmtId="175" fontId="4" fillId="0" borderId="0" xfId="0" applyNumberFormat="1" applyFont="1" applyAlignment="1">
      <alignment horizontal="left" vertical="top"/>
    </xf>
    <xf numFmtId="261" fontId="1" fillId="0" borderId="0" xfId="0" applyFont="1" applyFill="1" applyBorder="1" applyAlignment="1" applyProtection="1">
      <alignment horizontal="center"/>
      <protection locked="0"/>
    </xf>
    <xf numFmtId="261" fontId="1" fillId="0" borderId="0" xfId="0" applyFont="1" applyAlignment="1"/>
    <xf numFmtId="261" fontId="10" fillId="0" borderId="0" xfId="0" applyFont="1" applyAlignment="1"/>
    <xf numFmtId="261" fontId="0" fillId="0" borderId="0" xfId="0" applyFont="1" applyFill="1"/>
    <xf numFmtId="261" fontId="10" fillId="0" borderId="0" xfId="0" applyFont="1" applyFill="1" applyBorder="1" applyAlignment="1">
      <alignment horizontal="right"/>
    </xf>
    <xf numFmtId="261" fontId="0" fillId="0" borderId="0" xfId="0" applyFont="1" applyFill="1" applyBorder="1"/>
    <xf numFmtId="261" fontId="16" fillId="0" borderId="0" xfId="0" applyFont="1" applyAlignment="1">
      <alignment horizontal="right"/>
    </xf>
    <xf numFmtId="2" fontId="10" fillId="0" borderId="0" xfId="0" applyNumberFormat="1" applyFont="1"/>
    <xf numFmtId="0" fontId="10" fillId="0" borderId="0" xfId="0" applyNumberFormat="1" applyFont="1" applyAlignment="1">
      <alignment horizontal="center"/>
    </xf>
    <xf numFmtId="261" fontId="0" fillId="8" borderId="0" xfId="0" applyFont="1" applyFill="1" applyAlignment="1">
      <alignment horizontal="left"/>
    </xf>
    <xf numFmtId="261" fontId="1" fillId="8" borderId="0" xfId="0" applyFont="1" applyFill="1" applyBorder="1" applyAlignment="1" applyProtection="1">
      <alignment horizontal="center"/>
      <protection locked="0"/>
    </xf>
    <xf numFmtId="261" fontId="17" fillId="0" borderId="0" xfId="0" applyFont="1" applyFill="1" applyBorder="1" applyAlignment="1" applyProtection="1">
      <alignment horizontal="center"/>
      <protection locked="0"/>
    </xf>
    <xf numFmtId="261" fontId="0" fillId="0" borderId="0" xfId="0" applyFont="1" applyFill="1" applyBorder="1" applyAlignment="1">
      <alignment horizontal="left"/>
    </xf>
    <xf numFmtId="261" fontId="2" fillId="0" borderId="1" xfId="0" applyFont="1" applyBorder="1" applyAlignment="1">
      <alignment horizontal="center"/>
    </xf>
    <xf numFmtId="261" fontId="0" fillId="0" borderId="0" xfId="0" applyFont="1" applyFill="1" applyBorder="1" applyAlignment="1"/>
    <xf numFmtId="261" fontId="28" fillId="0" borderId="0" xfId="0" applyFont="1" applyAlignment="1">
      <alignment horizontal="left"/>
    </xf>
    <xf numFmtId="49" fontId="1" fillId="0" borderId="0" xfId="0" applyNumberFormat="1" applyFont="1" applyFill="1" applyBorder="1" applyAlignment="1" applyProtection="1">
      <alignment horizontal="left" wrapText="1"/>
      <protection locked="0"/>
    </xf>
    <xf numFmtId="2" fontId="10" fillId="0" borderId="0" xfId="0" applyNumberFormat="1" applyFont="1" applyFill="1" applyAlignment="1">
      <alignment horizontal="right"/>
    </xf>
    <xf numFmtId="261" fontId="28" fillId="0" borderId="0" xfId="0" applyFont="1"/>
    <xf numFmtId="171" fontId="30" fillId="0" borderId="0" xfId="0" applyNumberFormat="1" applyFont="1" applyAlignment="1" applyProtection="1"/>
    <xf numFmtId="2" fontId="10" fillId="0" borderId="0" xfId="0" applyNumberFormat="1" applyFont="1" applyAlignment="1">
      <alignment horizontal="center"/>
    </xf>
    <xf numFmtId="261" fontId="0" fillId="0" borderId="1" xfId="0" applyFont="1" applyBorder="1"/>
    <xf numFmtId="261" fontId="0" fillId="0" borderId="0" xfId="0" applyFont="1" applyFill="1" applyBorder="1" applyAlignment="1">
      <alignment horizontal="left" wrapText="1"/>
    </xf>
    <xf numFmtId="37" fontId="0" fillId="0" borderId="0" xfId="0" applyNumberFormat="1" applyFont="1" applyFill="1" applyBorder="1" applyAlignment="1">
      <alignment horizontal="left" wrapText="1"/>
    </xf>
    <xf numFmtId="167" fontId="10" fillId="0" borderId="0" xfId="0" applyNumberFormat="1" applyFont="1" applyAlignment="1">
      <alignment horizontal="center"/>
    </xf>
    <xf numFmtId="176" fontId="0" fillId="0" borderId="0" xfId="0" applyNumberFormat="1" applyFont="1"/>
    <xf numFmtId="261" fontId="23" fillId="0" borderId="1" xfId="0" applyFont="1" applyBorder="1" applyAlignment="1" applyProtection="1">
      <alignment horizontal="left"/>
    </xf>
    <xf numFmtId="261" fontId="0" fillId="0" borderId="4" xfId="0" applyFont="1" applyBorder="1" applyAlignment="1"/>
    <xf numFmtId="261" fontId="0" fillId="0" borderId="0" xfId="0" applyFont="1" applyBorder="1" applyAlignment="1"/>
    <xf numFmtId="183" fontId="0" fillId="0" borderId="0" xfId="0" applyNumberFormat="1" applyFont="1"/>
    <xf numFmtId="261" fontId="0" fillId="0" borderId="7" xfId="0" applyFont="1" applyBorder="1"/>
    <xf numFmtId="261" fontId="0" fillId="0" borderId="8" xfId="0" applyFont="1" applyBorder="1"/>
    <xf numFmtId="178" fontId="0" fillId="0" borderId="9" xfId="0" applyNumberFormat="1" applyFont="1" applyBorder="1"/>
    <xf numFmtId="178" fontId="0" fillId="0" borderId="11" xfId="0" applyNumberFormat="1" applyFont="1" applyBorder="1"/>
    <xf numFmtId="178" fontId="0" fillId="0" borderId="12" xfId="0" applyNumberFormat="1" applyFont="1" applyBorder="1"/>
    <xf numFmtId="178" fontId="0" fillId="0" borderId="13" xfId="0" applyNumberFormat="1" applyFont="1" applyBorder="1"/>
    <xf numFmtId="178" fontId="0" fillId="0" borderId="14" xfId="0" applyNumberFormat="1" applyFont="1" applyBorder="1"/>
    <xf numFmtId="261" fontId="0" fillId="8" borderId="0" xfId="0" applyFont="1" applyFill="1" applyBorder="1" applyAlignment="1" applyProtection="1">
      <alignment horizontal="right"/>
      <protection locked="0"/>
    </xf>
    <xf numFmtId="261" fontId="0" fillId="0" borderId="4" xfId="0" applyFont="1" applyFill="1" applyBorder="1" applyAlignment="1"/>
    <xf numFmtId="0" fontId="11" fillId="3" borderId="0" xfId="0" applyNumberFormat="1" applyFont="1" applyFill="1" applyAlignment="1">
      <alignment horizontal="center" vertical="center"/>
    </xf>
    <xf numFmtId="261" fontId="10" fillId="0" borderId="0" xfId="0" applyFont="1"/>
    <xf numFmtId="261" fontId="0" fillId="0" borderId="0" xfId="0" applyFont="1" applyAlignment="1"/>
    <xf numFmtId="261" fontId="0" fillId="0" borderId="0" xfId="0" applyAlignment="1">
      <alignment horizontal="right"/>
    </xf>
    <xf numFmtId="261" fontId="0" fillId="0" borderId="0" xfId="0" applyFont="1" applyFill="1"/>
    <xf numFmtId="261" fontId="0" fillId="0" borderId="0" xfId="0" applyFont="1" applyFill="1" applyAlignment="1"/>
    <xf numFmtId="174" fontId="1" fillId="0" borderId="0" xfId="0" applyNumberFormat="1" applyFont="1" applyAlignment="1"/>
    <xf numFmtId="261" fontId="0" fillId="0" borderId="0" xfId="0" applyFont="1"/>
    <xf numFmtId="261" fontId="1" fillId="0" borderId="0" xfId="0" applyFont="1"/>
    <xf numFmtId="169" fontId="0" fillId="0" borderId="0" xfId="0" applyNumberFormat="1" applyAlignment="1">
      <alignment horizontal="left" vertical="top"/>
    </xf>
    <xf numFmtId="261" fontId="0" fillId="0" borderId="0" xfId="0" applyAlignment="1">
      <alignment vertical="top" wrapText="1"/>
    </xf>
    <xf numFmtId="178" fontId="0" fillId="0" borderId="10" xfId="0" applyNumberFormat="1" applyFont="1" applyBorder="1"/>
    <xf numFmtId="261" fontId="32" fillId="0" borderId="0" xfId="0" applyFont="1"/>
    <xf numFmtId="261" fontId="32" fillId="5" borderId="0" xfId="0" applyFont="1" applyFill="1"/>
    <xf numFmtId="0" fontId="32" fillId="5" borderId="0" xfId="0" applyNumberFormat="1" applyFont="1" applyFill="1" applyBorder="1" applyAlignment="1" applyProtection="1">
      <alignment horizontal="left"/>
    </xf>
    <xf numFmtId="261" fontId="32" fillId="10" borderId="0" xfId="0" applyFont="1" applyFill="1"/>
    <xf numFmtId="172" fontId="0" fillId="0" borderId="0" xfId="0" applyNumberFormat="1" applyFont="1"/>
    <xf numFmtId="261" fontId="2" fillId="0" borderId="0" xfId="0" applyFont="1" applyBorder="1" applyAlignment="1">
      <alignment horizontal="center"/>
    </xf>
    <xf numFmtId="176" fontId="2" fillId="0" borderId="0" xfId="0" applyNumberFormat="1" applyFont="1" applyBorder="1" applyAlignment="1">
      <alignment horizontal="center"/>
    </xf>
    <xf numFmtId="170" fontId="0" fillId="0" borderId="0" xfId="0" applyNumberFormat="1"/>
    <xf numFmtId="261" fontId="0" fillId="0" borderId="0" xfId="0" quotePrefix="1"/>
    <xf numFmtId="261" fontId="10" fillId="0" borderId="0" xfId="0" applyFont="1" applyAlignment="1">
      <alignment horizontal="center"/>
    </xf>
    <xf numFmtId="261" fontId="10" fillId="0" borderId="0" xfId="0" applyFont="1" applyFill="1" applyBorder="1" applyAlignment="1">
      <alignment horizontal="left" wrapText="1"/>
    </xf>
    <xf numFmtId="37" fontId="0" fillId="0" borderId="0" xfId="0" applyNumberFormat="1" applyFill="1" applyBorder="1" applyAlignment="1">
      <alignment horizontal="left" wrapText="1"/>
    </xf>
    <xf numFmtId="261" fontId="22" fillId="0" borderId="0" xfId="0" applyFont="1" applyFill="1" applyBorder="1" applyAlignment="1" applyProtection="1">
      <alignment horizontal="left"/>
      <protection locked="0"/>
    </xf>
    <xf numFmtId="261" fontId="0" fillId="0" borderId="0" xfId="0" quotePrefix="1" applyFont="1" applyFill="1"/>
    <xf numFmtId="169" fontId="0" fillId="0" borderId="0" xfId="0" applyNumberFormat="1" applyAlignment="1">
      <alignment horizontal="left"/>
    </xf>
    <xf numFmtId="261" fontId="0" fillId="6" borderId="0" xfId="0" applyFill="1" applyAlignment="1">
      <alignment vertical="top"/>
    </xf>
    <xf numFmtId="261" fontId="0" fillId="6" borderId="0" xfId="0" applyFill="1" applyAlignment="1">
      <alignment vertical="top" wrapText="1"/>
    </xf>
    <xf numFmtId="169" fontId="0" fillId="6" borderId="0" xfId="0" applyNumberFormat="1" applyFill="1" applyAlignment="1">
      <alignment vertical="top"/>
    </xf>
    <xf numFmtId="261" fontId="0" fillId="6" borderId="0" xfId="0" quotePrefix="1" applyFill="1" applyAlignment="1">
      <alignment vertical="top" wrapText="1"/>
    </xf>
    <xf numFmtId="261" fontId="0" fillId="0" borderId="0" xfId="0" quotePrefix="1" applyAlignment="1">
      <alignment vertical="top"/>
    </xf>
    <xf numFmtId="261" fontId="0" fillId="0" borderId="0" xfId="0"/>
    <xf numFmtId="165" fontId="12" fillId="3" borderId="0" xfId="0" applyNumberFormat="1" applyFont="1" applyFill="1" applyAlignment="1">
      <alignment horizontal="left"/>
    </xf>
    <xf numFmtId="165" fontId="0" fillId="3" borderId="0" xfId="0" applyNumberFormat="1" applyFont="1" applyFill="1" applyAlignment="1">
      <alignment horizontal="center"/>
    </xf>
    <xf numFmtId="165" fontId="0" fillId="3" borderId="0" xfId="0" applyNumberFormat="1" applyFont="1" applyFill="1" applyAlignment="1">
      <alignment horizontal="left"/>
    </xf>
    <xf numFmtId="261" fontId="0" fillId="0" borderId="0" xfId="0" applyFont="1"/>
    <xf numFmtId="261" fontId="0" fillId="0" borderId="0" xfId="0" applyFont="1" applyFill="1"/>
    <xf numFmtId="2" fontId="10" fillId="0" borderId="0" xfId="0" applyNumberFormat="1" applyFont="1" applyFill="1" applyAlignment="1">
      <alignment horizontal="center"/>
    </xf>
    <xf numFmtId="261" fontId="0" fillId="0" borderId="0" xfId="0" applyFont="1" applyAlignment="1">
      <alignment horizontal="center"/>
    </xf>
    <xf numFmtId="175" fontId="4" fillId="0" borderId="0" xfId="0" applyNumberFormat="1" applyFont="1" applyAlignment="1">
      <alignment horizontal="right" vertical="top"/>
    </xf>
    <xf numFmtId="174" fontId="0" fillId="0" borderId="0" xfId="0" applyNumberFormat="1" applyFont="1" applyAlignment="1">
      <alignment vertical="top"/>
    </xf>
    <xf numFmtId="174" fontId="34" fillId="0" borderId="0" xfId="0" applyNumberFormat="1" applyFont="1" applyAlignment="1">
      <alignment vertical="top"/>
    </xf>
    <xf numFmtId="174" fontId="19" fillId="0" borderId="0" xfId="0" applyNumberFormat="1" applyFont="1" applyAlignment="1">
      <alignment horizontal="right"/>
    </xf>
    <xf numFmtId="174" fontId="0" fillId="0" borderId="0" xfId="0" applyNumberFormat="1" applyFont="1" applyAlignment="1">
      <alignment horizontal="right" vertical="top"/>
    </xf>
    <xf numFmtId="165" fontId="37" fillId="3" borderId="0" xfId="0" applyNumberFormat="1" applyFont="1" applyFill="1" applyAlignment="1">
      <alignment horizontal="left"/>
    </xf>
    <xf numFmtId="174" fontId="0" fillId="0" borderId="0" xfId="0" applyNumberFormat="1" applyFont="1" applyFill="1" applyAlignment="1">
      <alignment vertical="top"/>
    </xf>
    <xf numFmtId="0" fontId="37" fillId="0" borderId="0" xfId="0" applyNumberFormat="1" applyFont="1" applyFill="1" applyAlignment="1">
      <alignment horizontal="center"/>
    </xf>
    <xf numFmtId="165" fontId="37" fillId="0" borderId="0" xfId="0" applyNumberFormat="1" applyFont="1" applyFill="1" applyAlignment="1">
      <alignment horizontal="left"/>
    </xf>
    <xf numFmtId="174" fontId="39" fillId="0" borderId="0" xfId="0" applyNumberFormat="1" applyFont="1" applyAlignment="1">
      <alignment vertical="top"/>
    </xf>
    <xf numFmtId="261" fontId="0" fillId="0" borderId="0" xfId="0" applyFont="1" applyAlignment="1">
      <alignment horizontal="right" vertical="top"/>
    </xf>
    <xf numFmtId="174" fontId="0" fillId="0" borderId="0" xfId="0" applyNumberFormat="1" applyFont="1" applyFill="1" applyBorder="1" applyAlignment="1">
      <alignment horizontal="left"/>
    </xf>
    <xf numFmtId="174" fontId="34" fillId="0" borderId="0" xfId="0" applyNumberFormat="1" applyFont="1" applyAlignment="1">
      <alignment horizontal="left"/>
    </xf>
    <xf numFmtId="174" fontId="19" fillId="0" borderId="0" xfId="0" applyNumberFormat="1" applyFont="1" applyAlignment="1">
      <alignment horizontal="center"/>
    </xf>
    <xf numFmtId="174" fontId="19" fillId="0" borderId="0" xfId="0" applyNumberFormat="1" applyFont="1" applyAlignment="1">
      <alignment horizontal="center" vertical="top"/>
    </xf>
    <xf numFmtId="174" fontId="19" fillId="0" borderId="17" xfId="0" applyNumberFormat="1" applyFont="1" applyBorder="1" applyAlignment="1">
      <alignment horizontal="center"/>
    </xf>
    <xf numFmtId="174" fontId="0" fillId="0" borderId="0" xfId="0" applyNumberFormat="1" applyFont="1" applyAlignment="1">
      <alignment horizontal="center" vertical="top"/>
    </xf>
    <xf numFmtId="174" fontId="19" fillId="0" borderId="17" xfId="0" applyNumberFormat="1" applyFont="1" applyBorder="1" applyAlignment="1">
      <alignment horizontal="right"/>
    </xf>
    <xf numFmtId="190" fontId="0" fillId="0" borderId="0" xfId="0" applyNumberFormat="1" applyFont="1" applyBorder="1" applyAlignment="1">
      <alignment horizontal="right"/>
    </xf>
    <xf numFmtId="174" fontId="0" fillId="0" borderId="0" xfId="0" applyNumberFormat="1" applyFont="1" applyAlignment="1"/>
    <xf numFmtId="172" fontId="36" fillId="0" borderId="0" xfId="0" applyNumberFormat="1" applyFont="1" applyAlignment="1">
      <alignment horizontal="right" vertical="top"/>
    </xf>
    <xf numFmtId="261" fontId="0" fillId="0" borderId="9" xfId="0" applyFont="1" applyBorder="1"/>
    <xf numFmtId="174" fontId="1" fillId="0" borderId="0" xfId="0" applyNumberFormat="1" applyFont="1" applyAlignment="1">
      <alignment vertical="top"/>
    </xf>
    <xf numFmtId="174" fontId="1" fillId="6" borderId="0" xfId="0" applyNumberFormat="1" applyFont="1" applyFill="1" applyAlignment="1">
      <alignment vertical="top"/>
    </xf>
    <xf numFmtId="192" fontId="1" fillId="0" borderId="0" xfId="0" applyNumberFormat="1" applyFont="1" applyAlignment="1">
      <alignment vertical="top"/>
    </xf>
    <xf numFmtId="0" fontId="10" fillId="0" borderId="0" xfId="0" applyNumberFormat="1" applyFont="1"/>
    <xf numFmtId="261" fontId="2" fillId="6" borderId="0" xfId="0" applyFont="1" applyFill="1" applyAlignment="1">
      <alignment horizontal="right"/>
    </xf>
    <xf numFmtId="174" fontId="2" fillId="0" borderId="0" xfId="0" applyNumberFormat="1" applyFont="1" applyAlignment="1">
      <alignment vertical="top"/>
    </xf>
    <xf numFmtId="177" fontId="1" fillId="7" borderId="0" xfId="0" applyNumberFormat="1" applyFont="1" applyFill="1" applyAlignment="1">
      <alignment horizontal="right" vertical="center"/>
    </xf>
    <xf numFmtId="177" fontId="1" fillId="7" borderId="0" xfId="0" applyNumberFormat="1" applyFont="1" applyFill="1" applyAlignment="1">
      <alignment horizontal="right"/>
    </xf>
    <xf numFmtId="177" fontId="4" fillId="7" borderId="0" xfId="0" applyNumberFormat="1" applyFont="1" applyFill="1" applyAlignment="1">
      <alignment horizontal="right"/>
    </xf>
    <xf numFmtId="174" fontId="10" fillId="0" borderId="0" xfId="0" applyNumberFormat="1" applyFont="1" applyAlignment="1">
      <alignment horizontal="right"/>
    </xf>
    <xf numFmtId="174" fontId="0" fillId="0" borderId="0" xfId="0" applyNumberFormat="1" applyFont="1" applyAlignment="1">
      <alignment horizontal="left" vertical="center"/>
    </xf>
    <xf numFmtId="174" fontId="0" fillId="0" borderId="0" xfId="0" applyNumberFormat="1" applyFont="1" applyAlignment="1">
      <alignment vertical="center"/>
    </xf>
    <xf numFmtId="174" fontId="0" fillId="0" borderId="0" xfId="0" applyNumberFormat="1" applyFont="1" applyFill="1" applyAlignment="1">
      <alignment horizontal="left" vertical="center"/>
    </xf>
    <xf numFmtId="174" fontId="0" fillId="0" borderId="0" xfId="0" applyNumberFormat="1" applyFont="1" applyFill="1" applyAlignment="1">
      <alignment horizontal="right" vertical="center"/>
    </xf>
    <xf numFmtId="165" fontId="37" fillId="3" borderId="0" xfId="0" applyNumberFormat="1" applyFont="1" applyFill="1" applyAlignment="1">
      <alignment horizontal="left" vertical="center"/>
    </xf>
    <xf numFmtId="194" fontId="10" fillId="0" borderId="0" xfId="0" applyNumberFormat="1" applyFont="1" applyAlignment="1"/>
    <xf numFmtId="191" fontId="36" fillId="12" borderId="0" xfId="0" applyNumberFormat="1" applyFont="1" applyFill="1" applyAlignment="1"/>
    <xf numFmtId="174" fontId="18" fillId="9" borderId="0" xfId="0" applyNumberFormat="1" applyFont="1" applyFill="1" applyAlignment="1"/>
    <xf numFmtId="174" fontId="35" fillId="0" borderId="0" xfId="0" applyNumberFormat="1" applyFont="1" applyAlignment="1"/>
    <xf numFmtId="193" fontId="0" fillId="0" borderId="0" xfId="0" applyNumberFormat="1" applyBorder="1" applyAlignment="1">
      <alignment horizontal="right"/>
    </xf>
    <xf numFmtId="174" fontId="22" fillId="0" borderId="0" xfId="0" applyNumberFormat="1" applyFont="1" applyAlignment="1"/>
    <xf numFmtId="174" fontId="1" fillId="0" borderId="0" xfId="0" applyNumberFormat="1" applyFont="1" applyAlignment="1">
      <alignment horizontal="centerContinuous"/>
    </xf>
    <xf numFmtId="174" fontId="43" fillId="0" borderId="0" xfId="0" applyNumberFormat="1" applyFont="1" applyBorder="1" applyAlignment="1">
      <alignment horizontal="left"/>
    </xf>
    <xf numFmtId="174" fontId="1" fillId="0" borderId="0" xfId="0" applyNumberFormat="1" applyFont="1" applyBorder="1" applyAlignment="1">
      <alignment horizontal="centerContinuous"/>
    </xf>
    <xf numFmtId="174" fontId="4" fillId="0" borderId="0" xfId="0" applyNumberFormat="1" applyFont="1" applyAlignment="1"/>
    <xf numFmtId="174" fontId="1" fillId="0" borderId="0" xfId="0" applyNumberFormat="1" applyFont="1" applyFill="1" applyBorder="1" applyAlignment="1">
      <alignment horizontal="right"/>
    </xf>
    <xf numFmtId="38" fontId="1" fillId="0" borderId="0" xfId="0" applyNumberFormat="1" applyFont="1" applyBorder="1" applyAlignment="1">
      <alignment horizontal="right"/>
    </xf>
    <xf numFmtId="195" fontId="1" fillId="0" borderId="0" xfId="0" applyNumberFormat="1" applyFont="1" applyBorder="1" applyAlignment="1"/>
    <xf numFmtId="198" fontId="0" fillId="0" borderId="0" xfId="0" applyNumberFormat="1" applyFont="1" applyAlignment="1"/>
    <xf numFmtId="174" fontId="1" fillId="0" borderId="0" xfId="0" applyNumberFormat="1" applyFont="1" applyAlignment="1"/>
    <xf numFmtId="174" fontId="2" fillId="0" borderId="0" xfId="0" applyNumberFormat="1" applyFont="1" applyAlignment="1"/>
    <xf numFmtId="174" fontId="1" fillId="5" borderId="0" xfId="0" applyNumberFormat="1" applyFont="1" applyFill="1" applyAlignment="1"/>
    <xf numFmtId="174" fontId="45" fillId="0" borderId="0" xfId="0" applyNumberFormat="1" applyFont="1" applyAlignment="1"/>
    <xf numFmtId="172" fontId="36" fillId="0" borderId="0" xfId="0" applyNumberFormat="1" applyFont="1" applyAlignment="1">
      <alignment vertical="top"/>
    </xf>
    <xf numFmtId="174" fontId="18" fillId="0" borderId="0" xfId="0" applyNumberFormat="1" applyFont="1" applyFill="1" applyBorder="1" applyAlignment="1"/>
    <xf numFmtId="261" fontId="16" fillId="0" borderId="0" xfId="0" applyFont="1"/>
    <xf numFmtId="174" fontId="2" fillId="0" borderId="0" xfId="0" applyNumberFormat="1" applyFont="1" applyAlignment="1">
      <alignment horizontal="center"/>
    </xf>
    <xf numFmtId="174" fontId="18" fillId="0" borderId="0" xfId="0" applyNumberFormat="1" applyFont="1" applyBorder="1" applyAlignment="1">
      <alignment horizontal="right"/>
    </xf>
    <xf numFmtId="174" fontId="1" fillId="0" borderId="0" xfId="0" applyNumberFormat="1" applyFont="1" applyBorder="1" applyAlignment="1">
      <alignment vertical="top"/>
    </xf>
    <xf numFmtId="174" fontId="1" fillId="0" borderId="0" xfId="0" applyNumberFormat="1" applyFont="1" applyAlignment="1">
      <alignment vertical="top" wrapText="1"/>
    </xf>
    <xf numFmtId="174" fontId="2" fillId="5" borderId="0" xfId="0" applyNumberFormat="1" applyFont="1" applyFill="1" applyAlignment="1">
      <alignment vertical="top"/>
    </xf>
    <xf numFmtId="174" fontId="2" fillId="5" borderId="0" xfId="0" applyNumberFormat="1" applyFont="1" applyFill="1" applyAlignment="1">
      <alignment vertical="top" wrapText="1"/>
    </xf>
    <xf numFmtId="174" fontId="1" fillId="5" borderId="0" xfId="0" applyNumberFormat="1" applyFont="1" applyFill="1" applyAlignment="1">
      <alignment vertical="top"/>
    </xf>
    <xf numFmtId="174" fontId="16" fillId="5" borderId="0" xfId="0" applyNumberFormat="1" applyFont="1" applyFill="1" applyAlignment="1">
      <alignment vertical="top"/>
    </xf>
    <xf numFmtId="174" fontId="1" fillId="5" borderId="0" xfId="0" applyNumberFormat="1" applyFont="1" applyFill="1" applyAlignment="1">
      <alignment vertical="top" wrapText="1"/>
    </xf>
    <xf numFmtId="174" fontId="2" fillId="5" borderId="0" xfId="0" applyNumberFormat="1" applyFont="1" applyFill="1" applyAlignment="1">
      <alignment horizontal="center"/>
    </xf>
    <xf numFmtId="192" fontId="1" fillId="5" borderId="0" xfId="0" applyNumberFormat="1" applyFont="1" applyFill="1" applyAlignment="1">
      <alignment vertical="top"/>
    </xf>
    <xf numFmtId="174" fontId="1" fillId="0" borderId="0" xfId="0" applyNumberFormat="1" applyFont="1" applyFill="1" applyBorder="1" applyAlignment="1">
      <alignment horizontal="centerContinuous"/>
    </xf>
    <xf numFmtId="174" fontId="1" fillId="0" borderId="0" xfId="0" applyNumberFormat="1" applyFont="1" applyFill="1" applyAlignment="1">
      <alignment horizontal="centerContinuous"/>
    </xf>
    <xf numFmtId="174" fontId="2" fillId="0" borderId="0" xfId="0" applyNumberFormat="1" applyFont="1" applyAlignment="1">
      <alignment wrapText="1"/>
    </xf>
    <xf numFmtId="174" fontId="2" fillId="5" borderId="0" xfId="0" applyNumberFormat="1" applyFont="1" applyFill="1" applyAlignment="1">
      <alignment wrapText="1"/>
    </xf>
    <xf numFmtId="195" fontId="1" fillId="0" borderId="0" xfId="0" applyNumberFormat="1" applyFont="1" applyAlignment="1">
      <alignment horizontal="right"/>
    </xf>
    <xf numFmtId="195" fontId="1" fillId="0" borderId="0" xfId="0" applyNumberFormat="1" applyFont="1" applyAlignment="1">
      <alignment vertical="top"/>
    </xf>
    <xf numFmtId="195" fontId="33" fillId="0" borderId="0" xfId="0" applyNumberFormat="1" applyFont="1" applyAlignment="1">
      <alignment vertical="top"/>
    </xf>
    <xf numFmtId="174" fontId="1" fillId="5" borderId="0" xfId="0" applyNumberFormat="1" applyFont="1" applyFill="1" applyBorder="1" applyAlignment="1">
      <alignment horizontal="left" wrapText="1"/>
    </xf>
    <xf numFmtId="174" fontId="1" fillId="5" borderId="0" xfId="0" applyNumberFormat="1" applyFont="1" applyFill="1" applyAlignment="1">
      <alignment horizontal="left" wrapText="1"/>
    </xf>
    <xf numFmtId="174" fontId="1" fillId="5" borderId="0" xfId="0" applyNumberFormat="1" applyFont="1" applyFill="1" applyAlignment="1">
      <alignment horizontal="left"/>
    </xf>
    <xf numFmtId="174" fontId="2" fillId="0" borderId="0" xfId="0" applyNumberFormat="1" applyFont="1" applyBorder="1" applyAlignment="1">
      <alignment horizontal="centerContinuous"/>
    </xf>
    <xf numFmtId="171" fontId="17" fillId="13" borderId="19" xfId="0" applyNumberFormat="1" applyFont="1" applyFill="1" applyBorder="1" applyAlignment="1">
      <alignment horizontal="center"/>
    </xf>
    <xf numFmtId="178" fontId="0" fillId="14" borderId="9" xfId="0" applyNumberFormat="1" applyFont="1" applyFill="1" applyBorder="1"/>
    <xf numFmtId="261" fontId="0" fillId="14" borderId="0" xfId="0" applyFont="1" applyFill="1"/>
    <xf numFmtId="178" fontId="0" fillId="0" borderId="7" xfId="0" applyNumberFormat="1" applyFont="1" applyFill="1" applyBorder="1"/>
    <xf numFmtId="178" fontId="0" fillId="0" borderId="16" xfId="0" applyNumberFormat="1" applyFont="1" applyBorder="1"/>
    <xf numFmtId="178" fontId="0" fillId="0" borderId="20" xfId="0" applyNumberFormat="1" applyFont="1" applyBorder="1"/>
    <xf numFmtId="178" fontId="0" fillId="0" borderId="21" xfId="0" applyNumberFormat="1" applyFont="1" applyBorder="1"/>
    <xf numFmtId="261" fontId="0" fillId="0" borderId="7" xfId="0" applyBorder="1"/>
    <xf numFmtId="261" fontId="0" fillId="0" borderId="8" xfId="0" applyBorder="1"/>
    <xf numFmtId="0" fontId="2" fillId="0" borderId="0" xfId="0" applyNumberFormat="1" applyFont="1" applyBorder="1"/>
    <xf numFmtId="195" fontId="18" fillId="0" borderId="0" xfId="0" applyNumberFormat="1" applyFont="1" applyAlignment="1">
      <alignment vertical="top"/>
    </xf>
    <xf numFmtId="0" fontId="1" fillId="0" borderId="0" xfId="0" applyNumberFormat="1" applyFont="1" applyAlignment="1">
      <alignment horizontal="left"/>
    </xf>
    <xf numFmtId="174" fontId="0" fillId="0" borderId="0" xfId="0" applyNumberFormat="1" applyFont="1" applyAlignment="1">
      <alignment horizontal="left" vertical="top"/>
    </xf>
    <xf numFmtId="174" fontId="1" fillId="0" borderId="22" xfId="0" applyNumberFormat="1" applyFont="1" applyBorder="1" applyAlignment="1">
      <alignment vertical="top"/>
    </xf>
    <xf numFmtId="6" fontId="1" fillId="0" borderId="0" xfId="0" applyNumberFormat="1" applyFont="1" applyBorder="1" applyAlignment="1">
      <alignment vertical="top"/>
    </xf>
    <xf numFmtId="38" fontId="1" fillId="0" borderId="0" xfId="0" applyNumberFormat="1" applyFont="1" applyBorder="1" applyAlignment="1">
      <alignment vertical="top"/>
    </xf>
    <xf numFmtId="201" fontId="1" fillId="0" borderId="0" xfId="0" applyNumberFormat="1" applyFont="1" applyBorder="1" applyAlignment="1">
      <alignment horizontal="left" vertical="top" wrapText="1"/>
    </xf>
    <xf numFmtId="195" fontId="1" fillId="0" borderId="0" xfId="0" applyNumberFormat="1" applyFont="1" applyBorder="1" applyAlignment="1">
      <alignment vertical="top"/>
    </xf>
    <xf numFmtId="174" fontId="1" fillId="15" borderId="0" xfId="0" applyNumberFormat="1" applyFont="1" applyFill="1" applyAlignment="1">
      <alignment vertical="top"/>
    </xf>
    <xf numFmtId="174" fontId="2" fillId="15" borderId="0" xfId="0" applyNumberFormat="1" applyFont="1" applyFill="1" applyAlignment="1">
      <alignment vertical="top"/>
    </xf>
    <xf numFmtId="171" fontId="4" fillId="15" borderId="0" xfId="0" applyNumberFormat="1" applyFont="1" applyFill="1" applyAlignment="1">
      <alignment vertical="top"/>
    </xf>
    <xf numFmtId="0" fontId="1" fillId="5" borderId="0" xfId="0" applyNumberFormat="1" applyFont="1" applyFill="1"/>
    <xf numFmtId="193" fontId="0" fillId="0" borderId="15" xfId="0" applyNumberFormat="1" applyBorder="1" applyAlignment="1">
      <alignment horizontal="right"/>
    </xf>
    <xf numFmtId="0" fontId="1" fillId="6" borderId="0" xfId="0" applyNumberFormat="1" applyFont="1" applyFill="1"/>
    <xf numFmtId="174" fontId="1" fillId="11" borderId="0" xfId="0" applyNumberFormat="1" applyFont="1" applyFill="1" applyAlignment="1" applyProtection="1">
      <alignment vertical="top"/>
      <protection locked="0"/>
    </xf>
    <xf numFmtId="192" fontId="1" fillId="11" borderId="0" xfId="0" applyNumberFormat="1" applyFont="1" applyFill="1" applyAlignment="1" applyProtection="1">
      <alignment vertical="top"/>
      <protection locked="0"/>
    </xf>
    <xf numFmtId="261" fontId="12" fillId="16" borderId="0" xfId="0" applyFont="1" applyFill="1" applyProtection="1">
      <protection locked="0"/>
    </xf>
    <xf numFmtId="261" fontId="13" fillId="16" borderId="0" xfId="0" applyFont="1" applyFill="1" applyProtection="1">
      <protection locked="0"/>
    </xf>
    <xf numFmtId="181" fontId="1" fillId="8" borderId="0" xfId="0" applyNumberFormat="1" applyFont="1" applyFill="1" applyBorder="1" applyAlignment="1" applyProtection="1">
      <alignment horizontal="right"/>
      <protection locked="0"/>
    </xf>
    <xf numFmtId="173" fontId="0" fillId="6" borderId="0" xfId="0" applyNumberFormat="1" applyFill="1" applyAlignment="1">
      <alignment horizontal="right"/>
    </xf>
    <xf numFmtId="174" fontId="19" fillId="6" borderId="0" xfId="0" applyNumberFormat="1" applyFont="1" applyFill="1" applyAlignment="1"/>
    <xf numFmtId="174" fontId="18" fillId="6" borderId="0" xfId="0" applyNumberFormat="1" applyFont="1" applyFill="1" applyAlignment="1"/>
    <xf numFmtId="173" fontId="0" fillId="6" borderId="0" xfId="0" applyNumberFormat="1" applyFill="1" applyAlignment="1"/>
    <xf numFmtId="174" fontId="18" fillId="6" borderId="0" xfId="0" applyNumberFormat="1" applyFont="1" applyFill="1" applyAlignment="1">
      <alignment horizontal="right"/>
    </xf>
    <xf numFmtId="174" fontId="18" fillId="12" borderId="0" xfId="0" applyNumberFormat="1" applyFont="1" applyFill="1" applyAlignment="1"/>
    <xf numFmtId="174" fontId="18" fillId="6" borderId="0" xfId="0" applyNumberFormat="1" applyFont="1" applyFill="1" applyBorder="1" applyAlignment="1"/>
    <xf numFmtId="173" fontId="18" fillId="6" borderId="0" xfId="0" applyNumberFormat="1" applyFont="1" applyFill="1" applyAlignment="1"/>
    <xf numFmtId="171" fontId="18" fillId="6" borderId="0" xfId="0" applyNumberFormat="1" applyFont="1" applyFill="1" applyBorder="1" applyAlignment="1" applyProtection="1"/>
    <xf numFmtId="174" fontId="19" fillId="6" borderId="0" xfId="0" quotePrefix="1" applyNumberFormat="1" applyFont="1" applyFill="1" applyAlignment="1"/>
    <xf numFmtId="174" fontId="0" fillId="0" borderId="9" xfId="0" applyNumberFormat="1" applyBorder="1" applyAlignment="1">
      <alignment vertical="top"/>
    </xf>
    <xf numFmtId="172" fontId="0" fillId="0" borderId="0" xfId="0" applyNumberFormat="1" applyFont="1" applyAlignment="1">
      <alignment vertical="top"/>
    </xf>
    <xf numFmtId="261" fontId="0" fillId="18" borderId="0" xfId="0" applyFont="1" applyFill="1" applyAlignment="1"/>
    <xf numFmtId="261" fontId="4" fillId="0" borderId="0" xfId="0" applyFont="1"/>
    <xf numFmtId="261" fontId="10" fillId="0" borderId="0" xfId="0" applyFont="1" applyAlignment="1">
      <alignment horizontal="left"/>
    </xf>
    <xf numFmtId="0" fontId="11" fillId="3" borderId="0" xfId="0" applyNumberFormat="1" applyFont="1" applyFill="1" applyAlignment="1">
      <alignment horizontal="center"/>
    </xf>
    <xf numFmtId="165" fontId="11" fillId="3" borderId="0" xfId="0" applyNumberFormat="1" applyFont="1" applyFill="1" applyAlignment="1">
      <alignment horizontal="left"/>
    </xf>
    <xf numFmtId="15" fontId="10" fillId="3" borderId="0" xfId="0" applyNumberFormat="1" applyFont="1" applyFill="1"/>
    <xf numFmtId="261" fontId="4" fillId="0" borderId="0" xfId="0" applyFont="1" applyBorder="1" applyAlignment="1"/>
    <xf numFmtId="261" fontId="0" fillId="0" borderId="0" xfId="0" applyFont="1"/>
    <xf numFmtId="0" fontId="0" fillId="0" borderId="0" xfId="0" applyNumberFormat="1" applyAlignment="1">
      <alignment horizontal="left" indent="1"/>
    </xf>
    <xf numFmtId="174" fontId="19" fillId="0" borderId="0" xfId="0" applyNumberFormat="1" applyFont="1" applyBorder="1" applyAlignment="1">
      <alignment vertical="top"/>
    </xf>
    <xf numFmtId="261" fontId="0" fillId="17" borderId="0" xfId="0" applyFont="1" applyFill="1" applyAlignment="1"/>
    <xf numFmtId="204" fontId="19" fillId="0" borderId="0" xfId="0" applyNumberFormat="1" applyFont="1" applyAlignment="1">
      <alignment horizontal="right"/>
    </xf>
    <xf numFmtId="2" fontId="19" fillId="0" borderId="0" xfId="0" applyNumberFormat="1" applyFont="1" applyAlignment="1">
      <alignment horizontal="right"/>
    </xf>
    <xf numFmtId="261" fontId="0" fillId="19" borderId="0" xfId="0" applyFont="1" applyFill="1" applyAlignment="1">
      <alignment horizontal="center"/>
    </xf>
    <xf numFmtId="261" fontId="10" fillId="0" borderId="0" xfId="0" applyFont="1" applyFill="1"/>
    <xf numFmtId="261" fontId="0" fillId="0" borderId="0" xfId="0" applyFont="1" applyFill="1"/>
    <xf numFmtId="261" fontId="0" fillId="6" borderId="0" xfId="0" applyFont="1" applyFill="1"/>
    <xf numFmtId="261" fontId="1" fillId="6" borderId="0" xfId="0" applyFont="1" applyFill="1"/>
    <xf numFmtId="261" fontId="0" fillId="6" borderId="0" xfId="0" applyFont="1" applyFill="1" applyAlignment="1">
      <alignment horizontal="left"/>
    </xf>
    <xf numFmtId="178" fontId="0" fillId="0" borderId="9" xfId="0" quotePrefix="1" applyNumberFormat="1" applyFont="1" applyBorder="1"/>
    <xf numFmtId="261" fontId="0" fillId="0" borderId="7" xfId="0" quotePrefix="1" applyFont="1" applyBorder="1"/>
    <xf numFmtId="261" fontId="42" fillId="0" borderId="0" xfId="0" applyFont="1"/>
    <xf numFmtId="173" fontId="18" fillId="9" borderId="0" xfId="0" applyNumberFormat="1" applyFont="1" applyFill="1" applyAlignment="1"/>
    <xf numFmtId="174" fontId="34" fillId="0" borderId="0" xfId="0" applyNumberFormat="1" applyFont="1" applyAlignment="1">
      <alignment horizontal="right"/>
    </xf>
    <xf numFmtId="261" fontId="19" fillId="0" borderId="0" xfId="0" applyFont="1" applyAlignment="1">
      <alignment horizontal="right" wrapText="1"/>
    </xf>
    <xf numFmtId="171" fontId="19" fillId="0" borderId="0" xfId="0" applyNumberFormat="1" applyFont="1" applyAlignment="1">
      <alignment horizontal="right"/>
    </xf>
    <xf numFmtId="206" fontId="44" fillId="0" borderId="0" xfId="0" applyNumberFormat="1" applyFont="1" applyBorder="1" applyAlignment="1">
      <alignment horizontal="right" vertical="top"/>
    </xf>
    <xf numFmtId="0" fontId="2" fillId="5" borderId="0" xfId="0" applyNumberFormat="1" applyFont="1" applyFill="1" applyAlignment="1">
      <alignment horizontal="right"/>
    </xf>
    <xf numFmtId="0" fontId="1" fillId="5" borderId="0" xfId="0" applyNumberFormat="1" applyFont="1" applyFill="1" applyAlignment="1">
      <alignment horizontal="right" vertical="top"/>
    </xf>
    <xf numFmtId="172" fontId="0" fillId="8" borderId="0" xfId="0" applyNumberFormat="1" applyFont="1" applyFill="1" applyBorder="1" applyAlignment="1" applyProtection="1">
      <alignment horizontal="right"/>
      <protection locked="0"/>
    </xf>
    <xf numFmtId="172" fontId="0" fillId="8" borderId="4" xfId="0" applyNumberFormat="1" applyFont="1" applyFill="1" applyBorder="1" applyAlignment="1" applyProtection="1">
      <alignment horizontal="right"/>
      <protection locked="0"/>
    </xf>
    <xf numFmtId="261" fontId="0" fillId="18" borderId="0" xfId="0" applyFont="1" applyFill="1" applyBorder="1"/>
    <xf numFmtId="174" fontId="16" fillId="0" borderId="0" xfId="0" applyNumberFormat="1" applyFont="1" applyBorder="1" applyAlignment="1">
      <alignment horizontal="left"/>
    </xf>
    <xf numFmtId="174" fontId="10" fillId="0" borderId="0" xfId="0" applyNumberFormat="1" applyFont="1" applyFill="1" applyBorder="1" applyAlignment="1">
      <alignment horizontal="center"/>
    </xf>
    <xf numFmtId="174" fontId="1" fillId="0" borderId="0" xfId="0" applyNumberFormat="1" applyFont="1" applyAlignment="1">
      <alignment vertical="top"/>
    </xf>
    <xf numFmtId="174" fontId="19" fillId="0" borderId="0" xfId="0" applyNumberFormat="1" applyFont="1" applyAlignment="1">
      <alignment vertical="top"/>
    </xf>
    <xf numFmtId="206" fontId="44" fillId="0" borderId="0" xfId="0" applyNumberFormat="1" applyFont="1" applyBorder="1" applyAlignment="1">
      <alignment horizontal="right" vertical="top" wrapText="1"/>
    </xf>
    <xf numFmtId="261" fontId="18" fillId="0" borderId="0" xfId="0" applyFont="1"/>
    <xf numFmtId="261" fontId="18" fillId="0" borderId="0" xfId="0" applyFont="1"/>
    <xf numFmtId="261" fontId="51" fillId="0" borderId="0" xfId="0" applyFont="1"/>
    <xf numFmtId="261" fontId="18" fillId="0" borderId="0" xfId="0" applyFont="1" applyBorder="1"/>
    <xf numFmtId="261" fontId="0" fillId="0" borderId="0" xfId="0" applyFont="1" applyAlignment="1">
      <alignment horizontal="left" vertical="top" wrapText="1"/>
    </xf>
    <xf numFmtId="261" fontId="0" fillId="0" borderId="0" xfId="0" applyFont="1" applyBorder="1" applyAlignment="1">
      <alignment horizontal="left" vertical="top" wrapText="1"/>
    </xf>
    <xf numFmtId="261" fontId="18" fillId="0" borderId="0" xfId="0" applyFont="1" applyFill="1"/>
    <xf numFmtId="261" fontId="47" fillId="0" borderId="0" xfId="0" applyFont="1"/>
    <xf numFmtId="261" fontId="19" fillId="0" borderId="0" xfId="0" applyFont="1"/>
    <xf numFmtId="15" fontId="55" fillId="0" borderId="23" xfId="0" applyNumberFormat="1" applyFont="1" applyBorder="1" applyAlignment="1">
      <alignment horizontal="right" wrapText="1"/>
    </xf>
    <xf numFmtId="0" fontId="1" fillId="0" borderId="0" xfId="0" applyNumberFormat="1" applyFont="1"/>
    <xf numFmtId="261" fontId="58" fillId="0" borderId="0" xfId="0" applyFont="1" applyFill="1" applyBorder="1" applyAlignment="1">
      <alignment horizontal="right" vertical="top"/>
    </xf>
    <xf numFmtId="261" fontId="18" fillId="0" borderId="0" xfId="0" applyFont="1" applyAlignment="1">
      <alignment vertical="top"/>
    </xf>
    <xf numFmtId="261" fontId="19" fillId="0" borderId="24" xfId="0" applyFont="1" applyBorder="1" applyAlignment="1">
      <alignment horizontal="left" vertical="top" wrapText="1"/>
    </xf>
    <xf numFmtId="261" fontId="0" fillId="0" borderId="0" xfId="0" applyFont="1" applyFill="1" applyBorder="1" applyAlignment="1">
      <alignment horizontal="left" vertical="top" wrapText="1"/>
    </xf>
    <xf numFmtId="261" fontId="18" fillId="0" borderId="24" xfId="0" applyFont="1" applyBorder="1" applyAlignment="1">
      <alignment vertical="top"/>
    </xf>
    <xf numFmtId="261" fontId="18" fillId="0" borderId="24" xfId="0" applyFont="1" applyFill="1" applyBorder="1" applyAlignment="1">
      <alignment horizontal="right" vertical="top"/>
    </xf>
    <xf numFmtId="261" fontId="18" fillId="0" borderId="0" xfId="0" applyFont="1" applyAlignment="1">
      <alignment horizontal="right" vertical="top"/>
    </xf>
    <xf numFmtId="261" fontId="1" fillId="0" borderId="0" xfId="0" applyFont="1" applyAlignment="1">
      <alignment vertical="top"/>
    </xf>
    <xf numFmtId="261" fontId="18" fillId="0" borderId="0" xfId="0" applyFont="1" applyFill="1" applyAlignment="1">
      <alignment horizontal="left" vertical="top" wrapText="1"/>
    </xf>
    <xf numFmtId="261" fontId="0" fillId="0" borderId="0" xfId="0" applyFont="1" applyFill="1" applyAlignment="1">
      <alignment horizontal="left" vertical="top" wrapText="1"/>
    </xf>
    <xf numFmtId="0" fontId="1" fillId="0" borderId="0" xfId="0" applyNumberFormat="1" applyFont="1" applyFill="1" applyBorder="1"/>
    <xf numFmtId="208" fontId="18" fillId="0" borderId="0" xfId="0" applyNumberFormat="1" applyFont="1" applyBorder="1" applyAlignment="1">
      <alignment wrapText="1"/>
    </xf>
    <xf numFmtId="208" fontId="18" fillId="0" borderId="0" xfId="0" applyNumberFormat="1" applyFont="1" applyBorder="1"/>
    <xf numFmtId="210" fontId="55" fillId="0" borderId="0" xfId="0" applyNumberFormat="1" applyFont="1" applyBorder="1" applyAlignment="1">
      <alignment horizontal="right" wrapText="1"/>
    </xf>
    <xf numFmtId="178" fontId="39" fillId="0" borderId="0" xfId="0" applyNumberFormat="1" applyFont="1" applyBorder="1"/>
    <xf numFmtId="261" fontId="24" fillId="0" borderId="0" xfId="0" applyFont="1" applyAlignment="1"/>
    <xf numFmtId="261" fontId="18" fillId="0" borderId="0" xfId="0" applyFont="1" applyAlignment="1">
      <alignment vertical="top"/>
    </xf>
    <xf numFmtId="174" fontId="18" fillId="0" borderId="0" xfId="0" applyNumberFormat="1" applyFont="1" applyAlignment="1"/>
    <xf numFmtId="174" fontId="18" fillId="0" borderId="0" xfId="0" applyNumberFormat="1" applyFont="1" applyFill="1" applyAlignment="1"/>
    <xf numFmtId="261" fontId="19" fillId="0" borderId="0" xfId="0" applyFont="1" applyBorder="1" applyAlignment="1">
      <alignment horizontal="left" vertical="top" wrapText="1"/>
    </xf>
    <xf numFmtId="188" fontId="1" fillId="0" borderId="0" xfId="0" applyNumberFormat="1" applyFont="1"/>
    <xf numFmtId="261" fontId="18" fillId="7" borderId="0" xfId="0" applyFont="1" applyFill="1"/>
    <xf numFmtId="261" fontId="18" fillId="0" borderId="25" xfId="0" applyFont="1" applyBorder="1"/>
    <xf numFmtId="0" fontId="19" fillId="0" borderId="0" xfId="0" applyNumberFormat="1" applyFont="1" applyFill="1" applyBorder="1" applyAlignment="1" applyProtection="1">
      <alignment horizontal="left"/>
      <protection locked="0"/>
    </xf>
    <xf numFmtId="174" fontId="1" fillId="0" borderId="0" xfId="0" applyNumberFormat="1" applyFont="1" applyFill="1" applyAlignment="1"/>
    <xf numFmtId="261" fontId="19" fillId="0" borderId="0" xfId="0" applyFont="1"/>
    <xf numFmtId="174" fontId="1" fillId="0" borderId="0" xfId="0" applyNumberFormat="1" applyFont="1" applyAlignment="1"/>
    <xf numFmtId="0" fontId="21" fillId="0" borderId="0" xfId="0" applyNumberFormat="1" applyFont="1" applyFill="1" applyBorder="1" applyAlignment="1" applyProtection="1">
      <alignment horizontal="left"/>
      <protection locked="0"/>
    </xf>
    <xf numFmtId="178" fontId="18" fillId="0" borderId="0" xfId="0" applyNumberFormat="1" applyFont="1"/>
    <xf numFmtId="178" fontId="19" fillId="0" borderId="0" xfId="0" applyNumberFormat="1" applyFont="1" applyBorder="1"/>
    <xf numFmtId="9" fontId="1" fillId="0" borderId="0" xfId="0" applyNumberFormat="1" applyFont="1" applyFill="1" applyBorder="1"/>
    <xf numFmtId="195" fontId="1" fillId="0" borderId="0" xfId="0" applyNumberFormat="1" applyFont="1" applyAlignment="1"/>
    <xf numFmtId="261" fontId="18" fillId="0" borderId="0" xfId="0" applyFont="1" applyFill="1" applyBorder="1" applyAlignment="1">
      <alignment horizontal="right" vertical="top"/>
    </xf>
    <xf numFmtId="261" fontId="52" fillId="0" borderId="0" xfId="0" applyFont="1" applyBorder="1"/>
    <xf numFmtId="261" fontId="18" fillId="0" borderId="0" xfId="0" applyFont="1" applyFill="1"/>
    <xf numFmtId="261" fontId="18" fillId="0" borderId="0" xfId="0" applyFont="1" applyBorder="1" applyAlignment="1">
      <alignment horizontal="left" vertical="top" wrapText="1"/>
    </xf>
    <xf numFmtId="261" fontId="18" fillId="0" borderId="0" xfId="0" applyFont="1" applyAlignment="1"/>
    <xf numFmtId="261" fontId="1" fillId="0" borderId="0" xfId="0" applyFont="1"/>
    <xf numFmtId="261" fontId="18" fillId="0" borderId="0" xfId="0" applyFont="1"/>
    <xf numFmtId="261" fontId="18" fillId="0" borderId="0" xfId="0" applyFont="1" applyFill="1"/>
    <xf numFmtId="261" fontId="18" fillId="0" borderId="0" xfId="0" applyFont="1" applyBorder="1"/>
    <xf numFmtId="261" fontId="22" fillId="0" borderId="0" xfId="0" applyFont="1"/>
    <xf numFmtId="261" fontId="18" fillId="0" borderId="0" xfId="0" applyFont="1" applyAlignment="1">
      <alignment horizontal="right"/>
    </xf>
    <xf numFmtId="261" fontId="53" fillId="0" borderId="0" xfId="0" applyFont="1"/>
    <xf numFmtId="261" fontId="54" fillId="0" borderId="0" xfId="0" applyFont="1"/>
    <xf numFmtId="205" fontId="52" fillId="0" borderId="0" xfId="0" applyNumberFormat="1" applyFont="1" applyFill="1" applyBorder="1" applyAlignment="1">
      <alignment vertical="top"/>
    </xf>
    <xf numFmtId="261" fontId="54" fillId="0" borderId="0" xfId="0" applyFont="1" applyFill="1" applyBorder="1"/>
    <xf numFmtId="0" fontId="18" fillId="0" borderId="0" xfId="0" applyNumberFormat="1" applyFont="1" applyFill="1" applyBorder="1"/>
    <xf numFmtId="261" fontId="18" fillId="0" borderId="0" xfId="0" applyFont="1" applyFill="1" applyBorder="1" applyAlignment="1">
      <alignment horizontal="center" wrapText="1"/>
    </xf>
    <xf numFmtId="261" fontId="18" fillId="0" borderId="0" xfId="0" applyFont="1" applyFill="1" applyBorder="1" applyAlignment="1"/>
    <xf numFmtId="261" fontId="18" fillId="0" borderId="0" xfId="0" applyFont="1" applyFill="1" applyBorder="1"/>
    <xf numFmtId="213" fontId="18" fillId="0" borderId="0" xfId="0" applyNumberFormat="1" applyFont="1" applyFill="1" applyBorder="1"/>
    <xf numFmtId="261" fontId="39" fillId="0" borderId="0" xfId="0" applyFont="1" applyFill="1" applyBorder="1"/>
    <xf numFmtId="261" fontId="18" fillId="0" borderId="0" xfId="0" applyFont="1" applyFill="1" applyBorder="1"/>
    <xf numFmtId="261" fontId="18" fillId="0" borderId="0" xfId="0" applyFont="1" applyFill="1" applyBorder="1" applyAlignment="1">
      <alignment vertical="top"/>
    </xf>
    <xf numFmtId="0" fontId="36" fillId="0" borderId="0" xfId="0" applyNumberFormat="1" applyFont="1" applyAlignment="1">
      <alignment horizontal="right"/>
    </xf>
    <xf numFmtId="0" fontId="0" fillId="0" borderId="0" xfId="0" applyNumberFormat="1" applyFont="1" applyAlignment="1">
      <alignment horizontal="right"/>
    </xf>
    <xf numFmtId="261" fontId="1" fillId="0" borderId="0" xfId="0" applyFont="1" applyFill="1" applyBorder="1" applyAlignment="1">
      <alignment vertical="top"/>
    </xf>
    <xf numFmtId="177" fontId="18" fillId="0" borderId="0" xfId="0" applyNumberFormat="1" applyFont="1" applyFill="1" applyBorder="1"/>
    <xf numFmtId="261" fontId="52" fillId="0" borderId="0" xfId="0" applyFont="1" applyFill="1" applyBorder="1"/>
    <xf numFmtId="0" fontId="57" fillId="0" borderId="0" xfId="0" applyNumberFormat="1" applyFont="1" applyFill="1" applyBorder="1"/>
    <xf numFmtId="0" fontId="59" fillId="0" borderId="0" xfId="0" applyNumberFormat="1" applyFont="1" applyFill="1" applyBorder="1"/>
    <xf numFmtId="0" fontId="60" fillId="0" borderId="0" xfId="0" applyNumberFormat="1" applyFont="1" applyFill="1" applyBorder="1" applyAlignment="1">
      <alignment horizontal="right" vertical="center"/>
    </xf>
    <xf numFmtId="17" fontId="18" fillId="0" borderId="0" xfId="0" applyNumberFormat="1" applyFont="1" applyAlignment="1">
      <alignment horizontal="right"/>
    </xf>
    <xf numFmtId="261" fontId="18" fillId="0" borderId="24" xfId="0" applyFont="1" applyBorder="1"/>
    <xf numFmtId="188" fontId="1" fillId="0" borderId="0" xfId="0" applyNumberFormat="1" applyFont="1" applyFill="1" applyBorder="1"/>
    <xf numFmtId="261" fontId="18" fillId="6" borderId="0" xfId="0" applyFont="1" applyFill="1"/>
    <xf numFmtId="261" fontId="55" fillId="0" borderId="0" xfId="0" applyFont="1" applyFill="1" applyBorder="1" applyAlignment="1">
      <alignment horizontal="right"/>
    </xf>
    <xf numFmtId="261" fontId="22" fillId="0" borderId="0" xfId="0" applyFont="1" applyAlignment="1">
      <alignment horizontal="right"/>
    </xf>
    <xf numFmtId="261" fontId="1" fillId="0" borderId="0" xfId="0" applyFont="1" applyBorder="1" applyAlignment="1">
      <alignment horizontal="centerContinuous"/>
    </xf>
    <xf numFmtId="261" fontId="65" fillId="0" borderId="0" xfId="0" applyFont="1"/>
    <xf numFmtId="214" fontId="22" fillId="0" borderId="0" xfId="0" applyNumberFormat="1" applyFont="1" applyAlignment="1">
      <alignment horizontal="right"/>
    </xf>
    <xf numFmtId="174" fontId="18" fillId="0" borderId="0" xfId="0" applyNumberFormat="1" applyFont="1" applyAlignment="1">
      <alignment wrapText="1"/>
    </xf>
    <xf numFmtId="261" fontId="66" fillId="0" borderId="0" xfId="0" applyFont="1"/>
    <xf numFmtId="172" fontId="18" fillId="0" borderId="0" xfId="0" applyNumberFormat="1" applyFont="1" applyAlignment="1">
      <alignment horizontal="right" vertical="top"/>
    </xf>
    <xf numFmtId="172" fontId="18" fillId="0" borderId="24" xfId="0" applyNumberFormat="1" applyFont="1" applyBorder="1" applyAlignment="1">
      <alignment horizontal="right" vertical="top"/>
    </xf>
    <xf numFmtId="172" fontId="18" fillId="0" borderId="0" xfId="0" applyNumberFormat="1" applyFont="1" applyBorder="1" applyAlignment="1">
      <alignment horizontal="right" vertical="top"/>
    </xf>
    <xf numFmtId="195" fontId="18" fillId="0" borderId="0" xfId="0" applyNumberFormat="1" applyFont="1" applyBorder="1" applyAlignment="1"/>
    <xf numFmtId="261" fontId="24" fillId="0" borderId="0" xfId="0" applyFont="1"/>
    <xf numFmtId="182" fontId="34" fillId="0" borderId="0" xfId="0" applyNumberFormat="1" applyFont="1" applyAlignment="1">
      <alignment horizontal="right"/>
    </xf>
    <xf numFmtId="49" fontId="34" fillId="0" borderId="0" xfId="0" applyNumberFormat="1" applyFont="1" applyAlignment="1">
      <alignment horizontal="right"/>
    </xf>
    <xf numFmtId="261" fontId="24" fillId="0" borderId="0" xfId="0" applyFont="1" applyBorder="1"/>
    <xf numFmtId="261" fontId="36" fillId="0" borderId="0" xfId="0" applyFont="1"/>
    <xf numFmtId="183" fontId="36" fillId="0" borderId="0" xfId="0" applyNumberFormat="1" applyFont="1"/>
    <xf numFmtId="203" fontId="24" fillId="0" borderId="0" xfId="0" applyNumberFormat="1" applyFont="1"/>
    <xf numFmtId="261" fontId="34" fillId="0" borderId="0" xfId="0" applyFont="1" applyBorder="1"/>
    <xf numFmtId="261" fontId="24" fillId="0" borderId="0" xfId="0" applyFont="1" applyAlignment="1">
      <alignment horizontal="left"/>
    </xf>
    <xf numFmtId="261" fontId="34" fillId="0" borderId="0" xfId="0" applyFont="1" applyFill="1" applyBorder="1"/>
    <xf numFmtId="261" fontId="34" fillId="0" borderId="0" xfId="0" applyFont="1" applyFill="1" applyBorder="1" applyAlignment="1">
      <alignment horizontal="centerContinuous" vertical="distributed"/>
    </xf>
    <xf numFmtId="261" fontId="24" fillId="0" borderId="0" xfId="0" applyFont="1" applyFill="1" applyBorder="1" applyAlignment="1">
      <alignment horizontal="right"/>
    </xf>
    <xf numFmtId="174" fontId="18" fillId="0" borderId="0" xfId="0" applyNumberFormat="1" applyFont="1" applyBorder="1" applyAlignment="1">
      <alignment horizontal="centerContinuous"/>
    </xf>
    <xf numFmtId="195" fontId="18" fillId="0" borderId="0" xfId="0" applyNumberFormat="1" applyFont="1" applyAlignment="1"/>
    <xf numFmtId="37" fontId="0" fillId="0" borderId="0" xfId="0" applyNumberFormat="1" applyFont="1" applyAlignment="1">
      <alignment horizontal="left" vertical="top"/>
    </xf>
    <xf numFmtId="261" fontId="69" fillId="0" borderId="0" xfId="0" applyFont="1" applyAlignment="1">
      <alignment horizontal="right"/>
    </xf>
    <xf numFmtId="39" fontId="18" fillId="0" borderId="0" xfId="0" applyNumberFormat="1" applyFont="1" applyFill="1" applyAlignment="1">
      <alignment horizontal="right"/>
    </xf>
    <xf numFmtId="37" fontId="18" fillId="0" borderId="0" xfId="0" applyNumberFormat="1" applyFont="1" applyFill="1" applyAlignment="1">
      <alignment horizontal="right"/>
    </xf>
    <xf numFmtId="174" fontId="18" fillId="0" borderId="0" xfId="0" applyNumberFormat="1" applyFont="1" applyFill="1" applyBorder="1" applyAlignment="1">
      <alignment horizontal="right"/>
    </xf>
    <xf numFmtId="38" fontId="18" fillId="0" borderId="0" xfId="0" applyNumberFormat="1" applyFont="1" applyBorder="1" applyAlignment="1">
      <alignment horizontal="right"/>
    </xf>
    <xf numFmtId="193" fontId="0" fillId="0" borderId="15" xfId="0" applyNumberFormat="1" applyFont="1" applyBorder="1" applyAlignment="1">
      <alignment horizontal="right"/>
    </xf>
    <xf numFmtId="174" fontId="18" fillId="0" borderId="0" xfId="0" applyNumberFormat="1" applyFont="1" applyAlignment="1">
      <alignment horizontal="left"/>
    </xf>
    <xf numFmtId="215" fontId="34" fillId="0" borderId="0" xfId="0" applyNumberFormat="1" applyFont="1" applyBorder="1" applyAlignment="1">
      <alignment horizontal="right"/>
    </xf>
    <xf numFmtId="261" fontId="72" fillId="0" borderId="0" xfId="0" applyFont="1"/>
    <xf numFmtId="214" fontId="69" fillId="0" borderId="0" xfId="0" applyNumberFormat="1" applyFont="1" applyAlignment="1">
      <alignment horizontal="right"/>
    </xf>
    <xf numFmtId="261" fontId="72" fillId="0" borderId="0" xfId="0" applyFont="1" applyAlignment="1">
      <alignment horizontal="right"/>
    </xf>
    <xf numFmtId="173" fontId="18" fillId="6" borderId="0" xfId="0" applyNumberFormat="1" applyFont="1" applyFill="1"/>
    <xf numFmtId="173" fontId="18" fillId="6" borderId="0" xfId="0" applyNumberFormat="1" applyFont="1" applyFill="1" applyAlignment="1">
      <alignment vertical="top"/>
    </xf>
    <xf numFmtId="261" fontId="19" fillId="0" borderId="28" xfId="0" applyFont="1" applyBorder="1" applyAlignment="1">
      <alignment horizontal="left" vertical="top" wrapText="1"/>
    </xf>
    <xf numFmtId="172" fontId="18" fillId="0" borderId="28" xfId="0" applyNumberFormat="1" applyFont="1" applyBorder="1" applyAlignment="1">
      <alignment horizontal="right" vertical="top"/>
    </xf>
    <xf numFmtId="261" fontId="19" fillId="0" borderId="29" xfId="0" applyFont="1" applyBorder="1" applyAlignment="1">
      <alignment horizontal="left" wrapText="1"/>
    </xf>
    <xf numFmtId="261" fontId="64" fillId="0" borderId="0" xfId="0" applyFont="1" applyFill="1" applyBorder="1"/>
    <xf numFmtId="211" fontId="19" fillId="0" borderId="30" xfId="0" applyNumberFormat="1" applyFont="1" applyBorder="1" applyAlignment="1">
      <alignment horizontal="right" wrapText="1"/>
    </xf>
    <xf numFmtId="261" fontId="0" fillId="0" borderId="0" xfId="0" applyFont="1" applyFill="1" applyAlignment="1">
      <alignment horizontal="left" vertical="top"/>
    </xf>
    <xf numFmtId="172" fontId="19" fillId="0" borderId="28" xfId="0" applyNumberFormat="1" applyFont="1" applyBorder="1" applyAlignment="1">
      <alignment horizontal="right" vertical="top"/>
    </xf>
    <xf numFmtId="0" fontId="74" fillId="5" borderId="0" xfId="0" applyNumberFormat="1" applyFont="1" applyFill="1" applyAlignment="1">
      <alignment horizontal="center"/>
    </xf>
    <xf numFmtId="9" fontId="18" fillId="0" borderId="0" xfId="0" applyNumberFormat="1" applyFont="1" applyBorder="1"/>
    <xf numFmtId="261" fontId="18" fillId="0" borderId="0" xfId="0" applyFont="1" applyBorder="1" applyAlignment="1">
      <alignment horizontal="left" vertical="top" wrapText="1" indent="2"/>
    </xf>
    <xf numFmtId="192" fontId="1" fillId="0" borderId="0" xfId="0" applyNumberFormat="1" applyFont="1" applyAlignment="1"/>
    <xf numFmtId="174" fontId="49" fillId="0" borderId="0" xfId="0" applyNumberFormat="1" applyFont="1" applyBorder="1" applyAlignment="1"/>
    <xf numFmtId="174" fontId="19" fillId="0" borderId="0" xfId="0" applyNumberFormat="1" applyFont="1" applyAlignment="1"/>
    <xf numFmtId="174" fontId="75" fillId="0" borderId="0" xfId="0" applyNumberFormat="1" applyFont="1" applyBorder="1" applyAlignment="1">
      <alignment horizontal="left"/>
    </xf>
    <xf numFmtId="174" fontId="24" fillId="0" borderId="0" xfId="0" applyNumberFormat="1" applyFont="1" applyFill="1" applyBorder="1" applyAlignment="1"/>
    <xf numFmtId="174" fontId="24" fillId="0" borderId="0" xfId="0" applyNumberFormat="1" applyFont="1" applyFill="1" applyBorder="1" applyAlignment="1">
      <alignment horizontal="right"/>
    </xf>
    <xf numFmtId="174" fontId="24" fillId="0" borderId="0" xfId="0" quotePrefix="1" applyNumberFormat="1" applyFont="1" applyFill="1" applyBorder="1" applyAlignment="1">
      <alignment horizontal="right"/>
    </xf>
    <xf numFmtId="174" fontId="46" fillId="0" borderId="0" xfId="0" applyNumberFormat="1" applyFont="1" applyFill="1" applyBorder="1" applyAlignment="1">
      <alignment horizontal="left"/>
    </xf>
    <xf numFmtId="174" fontId="24" fillId="0" borderId="0" xfId="0" applyNumberFormat="1" applyFont="1" applyFill="1" applyAlignment="1"/>
    <xf numFmtId="174" fontId="24" fillId="0" borderId="0" xfId="0" applyNumberFormat="1" applyFont="1" applyAlignment="1"/>
    <xf numFmtId="174" fontId="24" fillId="0" borderId="0" xfId="0" applyNumberFormat="1" applyFont="1" applyFill="1" applyBorder="1" applyAlignment="1" applyProtection="1"/>
    <xf numFmtId="192" fontId="1" fillId="6" borderId="0" xfId="0" applyNumberFormat="1" applyFont="1" applyFill="1" applyAlignment="1"/>
    <xf numFmtId="192" fontId="18" fillId="0" borderId="0" xfId="0" applyNumberFormat="1" applyFont="1" applyAlignment="1"/>
    <xf numFmtId="174" fontId="46" fillId="0" borderId="0" xfId="0" applyNumberFormat="1" applyFont="1" applyFill="1" applyBorder="1" applyAlignment="1">
      <alignment horizontal="center"/>
    </xf>
    <xf numFmtId="217" fontId="21" fillId="0" borderId="0" xfId="0" applyNumberFormat="1" applyFont="1" applyFill="1" applyBorder="1" applyAlignment="1"/>
    <xf numFmtId="174" fontId="24" fillId="0" borderId="0" xfId="0" quotePrefix="1" applyNumberFormat="1" applyFont="1" applyFill="1" applyBorder="1" applyAlignment="1">
      <alignment horizontal="left"/>
    </xf>
    <xf numFmtId="218" fontId="21" fillId="0" borderId="0" xfId="0" applyNumberFormat="1" applyFont="1" applyFill="1" applyBorder="1" applyAlignment="1"/>
    <xf numFmtId="174" fontId="24" fillId="0" borderId="0" xfId="0" quotePrefix="1" applyNumberFormat="1" applyFont="1" applyBorder="1" applyAlignment="1">
      <alignment horizontal="left"/>
    </xf>
    <xf numFmtId="174" fontId="76" fillId="0" borderId="0" xfId="0" applyNumberFormat="1" applyFont="1" applyAlignment="1"/>
    <xf numFmtId="195" fontId="0" fillId="0" borderId="0" xfId="0" applyNumberFormat="1" applyBorder="1" applyAlignment="1"/>
    <xf numFmtId="261" fontId="18" fillId="0" borderId="0" xfId="0" applyFont="1" applyBorder="1" applyAlignment="1">
      <alignment horizontal="right" vertical="top"/>
    </xf>
    <xf numFmtId="261" fontId="0" fillId="0" borderId="0" xfId="0" applyFont="1" applyBorder="1" applyAlignment="1">
      <alignment horizontal="right" vertical="top"/>
    </xf>
    <xf numFmtId="220" fontId="36" fillId="0" borderId="0" xfId="0" applyNumberFormat="1" applyFont="1"/>
    <xf numFmtId="221" fontId="36" fillId="0" borderId="0" xfId="0" applyNumberFormat="1" applyFont="1" applyAlignment="1">
      <alignment horizontal="right"/>
    </xf>
    <xf numFmtId="261" fontId="18" fillId="0" borderId="0" xfId="0" applyFont="1" applyFill="1" applyBorder="1" applyAlignment="1">
      <alignment horizontal="left"/>
    </xf>
    <xf numFmtId="0" fontId="19" fillId="0" borderId="0" xfId="0" applyNumberFormat="1" applyFont="1" applyFill="1" applyBorder="1"/>
    <xf numFmtId="177" fontId="77" fillId="0" borderId="0" xfId="0" applyNumberFormat="1" applyFont="1" applyFill="1" applyAlignment="1">
      <alignment horizontal="right"/>
    </xf>
    <xf numFmtId="177" fontId="18" fillId="0" borderId="0" xfId="0" applyNumberFormat="1" applyFont="1" applyFill="1" applyAlignment="1">
      <alignment horizontal="right"/>
    </xf>
    <xf numFmtId="172" fontId="18" fillId="0" borderId="0" xfId="0" applyNumberFormat="1" applyFont="1" applyFill="1" applyAlignment="1">
      <alignment horizontal="right"/>
    </xf>
    <xf numFmtId="261" fontId="19" fillId="0" borderId="0" xfId="0" applyFont="1" applyFill="1" applyBorder="1" applyAlignment="1">
      <alignment horizontal="right"/>
    </xf>
    <xf numFmtId="177" fontId="19" fillId="0" borderId="0" xfId="0" applyNumberFormat="1" applyFont="1" applyFill="1" applyBorder="1"/>
    <xf numFmtId="261" fontId="34" fillId="0" borderId="0" xfId="0" applyFont="1" applyFill="1"/>
    <xf numFmtId="261" fontId="34" fillId="0" borderId="0" xfId="0" applyFont="1" applyAlignment="1">
      <alignment horizontal="left" indent="1"/>
    </xf>
    <xf numFmtId="0" fontId="34" fillId="0" borderId="0" xfId="0" applyNumberFormat="1" applyFont="1"/>
    <xf numFmtId="261" fontId="34" fillId="0" borderId="0" xfId="0" applyFont="1" applyAlignment="1">
      <alignment horizontal="left"/>
    </xf>
    <xf numFmtId="261" fontId="79" fillId="0" borderId="0" xfId="0" applyFont="1" applyFill="1" applyBorder="1" applyAlignment="1">
      <alignment horizontal="center"/>
    </xf>
    <xf numFmtId="261" fontId="79" fillId="0" borderId="0" xfId="0" applyFont="1" applyFill="1" applyBorder="1" applyAlignment="1">
      <alignment horizontal="right"/>
    </xf>
    <xf numFmtId="261" fontId="0" fillId="0" borderId="0" xfId="0"/>
    <xf numFmtId="261" fontId="0" fillId="20" borderId="32" xfId="0" applyFont="1" applyFill="1" applyBorder="1"/>
    <xf numFmtId="261" fontId="0" fillId="20" borderId="33" xfId="0" applyFont="1" applyFill="1" applyBorder="1"/>
    <xf numFmtId="261" fontId="0" fillId="0" borderId="0" xfId="0" applyAlignment="1">
      <alignment horizontal="center"/>
    </xf>
    <xf numFmtId="261" fontId="10" fillId="0" borderId="0" xfId="0" applyFont="1" applyAlignment="1">
      <alignment horizontal="right"/>
    </xf>
    <xf numFmtId="261" fontId="39" fillId="20" borderId="31" xfId="0" applyFont="1" applyFill="1" applyBorder="1"/>
    <xf numFmtId="178" fontId="18" fillId="0" borderId="28" xfId="0" applyNumberFormat="1" applyFont="1" applyBorder="1" applyAlignment="1">
      <alignment horizontal="right" vertical="top"/>
    </xf>
    <xf numFmtId="178" fontId="19" fillId="0" borderId="28" xfId="0" applyNumberFormat="1" applyFont="1" applyBorder="1" applyAlignment="1">
      <alignment horizontal="right" vertical="top"/>
    </xf>
    <xf numFmtId="224" fontId="18" fillId="0" borderId="0" xfId="0" applyNumberFormat="1" applyFont="1" applyBorder="1" applyAlignment="1">
      <alignment horizontal="right" vertical="top"/>
    </xf>
    <xf numFmtId="261" fontId="81" fillId="0" borderId="0" xfId="0" applyFont="1" applyFill="1" applyBorder="1" applyAlignment="1">
      <alignment horizontal="right"/>
    </xf>
    <xf numFmtId="225" fontId="82" fillId="0" borderId="0" xfId="0" applyNumberFormat="1" applyFont="1" applyFill="1" applyAlignment="1">
      <alignment horizontal="right"/>
    </xf>
    <xf numFmtId="37" fontId="18" fillId="0" borderId="0" xfId="0" applyNumberFormat="1" applyFont="1" applyFill="1"/>
    <xf numFmtId="174" fontId="18" fillId="0" borderId="0" xfId="0" applyNumberFormat="1" applyFont="1" applyBorder="1" applyAlignment="1">
      <alignment horizontal="left"/>
    </xf>
    <xf numFmtId="174" fontId="19" fillId="0" borderId="0" xfId="0" applyNumberFormat="1" applyFont="1" applyBorder="1" applyAlignment="1">
      <alignment horizontal="left"/>
    </xf>
    <xf numFmtId="174" fontId="18" fillId="0" borderId="0" xfId="0" quotePrefix="1" applyNumberFormat="1" applyFont="1" applyBorder="1" applyAlignment="1">
      <alignment horizontal="left"/>
    </xf>
    <xf numFmtId="171" fontId="18" fillId="0" borderId="0" xfId="0" applyNumberFormat="1" applyFont="1" applyAlignment="1" applyProtection="1"/>
    <xf numFmtId="174" fontId="81" fillId="0" borderId="0" xfId="0" applyNumberFormat="1" applyFont="1" applyBorder="1" applyAlignment="1">
      <alignment horizontal="left"/>
    </xf>
    <xf numFmtId="172" fontId="36" fillId="0" borderId="0" xfId="0" applyNumberFormat="1" applyFont="1" applyAlignment="1">
      <alignment horizontal="right"/>
    </xf>
    <xf numFmtId="174" fontId="0" fillId="0" borderId="0" xfId="0" applyNumberFormat="1" applyFont="1" applyAlignment="1">
      <alignment horizontal="right"/>
    </xf>
    <xf numFmtId="261" fontId="0" fillId="0" borderId="0" xfId="0" applyFill="1" applyBorder="1" applyAlignment="1">
      <alignment horizontal="left" vertical="top" wrapText="1"/>
    </xf>
    <xf numFmtId="261" fontId="18" fillId="6" borderId="0" xfId="0" applyFont="1" applyFill="1" applyAlignment="1">
      <alignment horizontal="right"/>
    </xf>
    <xf numFmtId="227" fontId="0" fillId="8" borderId="0" xfId="0" applyNumberFormat="1" applyFont="1" applyFill="1" applyBorder="1" applyAlignment="1" applyProtection="1">
      <alignment horizontal="right"/>
      <protection locked="0"/>
    </xf>
    <xf numFmtId="227" fontId="0" fillId="8" borderId="4" xfId="0" applyNumberFormat="1" applyFont="1" applyFill="1" applyBorder="1" applyAlignment="1" applyProtection="1">
      <alignment horizontal="right"/>
      <protection locked="0"/>
    </xf>
    <xf numFmtId="174" fontId="24" fillId="0" borderId="0" xfId="0" applyNumberFormat="1" applyFont="1" applyFill="1" applyAlignment="1">
      <alignment horizontal="right"/>
    </xf>
    <xf numFmtId="172" fontId="36" fillId="0" borderId="0" xfId="0" applyNumberFormat="1" applyFont="1" applyFill="1" applyAlignment="1">
      <alignment horizontal="right"/>
    </xf>
    <xf numFmtId="227" fontId="36" fillId="0" borderId="0" xfId="0" applyNumberFormat="1" applyFont="1" applyFill="1" applyAlignment="1">
      <alignment horizontal="right"/>
    </xf>
    <xf numFmtId="174" fontId="0" fillId="0" borderId="0" xfId="0" applyNumberFormat="1" applyFill="1" applyAlignment="1"/>
    <xf numFmtId="226" fontId="24" fillId="0" borderId="0" xfId="0" applyNumberFormat="1" applyFont="1" applyFill="1" applyAlignment="1">
      <alignment horizontal="right"/>
    </xf>
    <xf numFmtId="261" fontId="68" fillId="6" borderId="0" xfId="0" applyFont="1" applyFill="1" applyAlignment="1">
      <alignment horizontal="right" vertical="center"/>
    </xf>
    <xf numFmtId="174" fontId="0" fillId="0" borderId="0" xfId="0" applyNumberFormat="1" applyFont="1" applyFill="1" applyAlignment="1">
      <alignment horizontal="right"/>
    </xf>
    <xf numFmtId="261" fontId="0" fillId="0" borderId="0" xfId="0" applyFill="1" applyAlignment="1">
      <alignment horizontal="center"/>
    </xf>
    <xf numFmtId="261" fontId="0" fillId="0" borderId="0" xfId="0" applyFill="1" applyAlignment="1">
      <alignment horizontal="left"/>
    </xf>
    <xf numFmtId="170" fontId="0" fillId="6" borderId="0" xfId="0" applyNumberFormat="1" applyFill="1" applyAlignment="1">
      <alignment horizontal="center"/>
    </xf>
    <xf numFmtId="261" fontId="0" fillId="6" borderId="0" xfId="0" applyFill="1" applyAlignment="1">
      <alignment horizontal="center"/>
    </xf>
    <xf numFmtId="261" fontId="0" fillId="6" borderId="0" xfId="0" applyFill="1" applyAlignment="1">
      <alignment horizontal="left"/>
    </xf>
    <xf numFmtId="261" fontId="18" fillId="0" borderId="0" xfId="0" applyFont="1" applyBorder="1" applyAlignment="1">
      <alignment vertical="top"/>
    </xf>
    <xf numFmtId="261" fontId="18" fillId="6" borderId="0" xfId="0" applyFont="1" applyFill="1" applyBorder="1" applyAlignment="1">
      <alignment vertical="top"/>
    </xf>
    <xf numFmtId="173" fontId="68" fillId="15" borderId="5" xfId="0" applyNumberFormat="1" applyFont="1" applyFill="1" applyBorder="1" applyAlignment="1"/>
    <xf numFmtId="174" fontId="68" fillId="15" borderId="5" xfId="0" applyNumberFormat="1" applyFont="1" applyFill="1" applyBorder="1" applyAlignment="1">
      <alignment horizontal="right"/>
    </xf>
    <xf numFmtId="173" fontId="18" fillId="15" borderId="0" xfId="0" applyNumberFormat="1" applyFont="1" applyFill="1" applyBorder="1" applyAlignment="1">
      <alignment horizontal="left" indent="1"/>
    </xf>
    <xf numFmtId="174" fontId="18" fillId="15" borderId="0" xfId="0" applyNumberFormat="1" applyFont="1" applyFill="1" applyBorder="1" applyAlignment="1"/>
    <xf numFmtId="191" fontId="73" fillId="6" borderId="0" xfId="0" applyNumberFormat="1" applyFont="1" applyFill="1" applyBorder="1" applyAlignment="1"/>
    <xf numFmtId="191" fontId="36" fillId="15" borderId="6" xfId="0" applyNumberFormat="1" applyFont="1" applyFill="1" applyBorder="1" applyAlignment="1"/>
    <xf numFmtId="191" fontId="73" fillId="6" borderId="0" xfId="0" applyNumberFormat="1" applyFont="1" applyFill="1" applyBorder="1" applyAlignment="1">
      <alignment vertical="center"/>
    </xf>
    <xf numFmtId="191" fontId="36" fillId="15" borderId="6" xfId="0" applyNumberFormat="1" applyFont="1" applyFill="1" applyBorder="1" applyAlignment="1">
      <alignment vertical="center"/>
    </xf>
    <xf numFmtId="174" fontId="34" fillId="0" borderId="0" xfId="0" applyNumberFormat="1" applyFont="1" applyAlignment="1">
      <alignment horizontal="right" wrapText="1"/>
    </xf>
    <xf numFmtId="195" fontId="19" fillId="0" borderId="0" xfId="0" applyNumberFormat="1" applyFont="1" applyBorder="1" applyAlignment="1">
      <alignment horizontal="left"/>
    </xf>
    <xf numFmtId="195" fontId="20" fillId="0" borderId="0" xfId="0" applyNumberFormat="1" applyFont="1" applyBorder="1" applyAlignment="1">
      <alignment horizontal="left"/>
    </xf>
    <xf numFmtId="195" fontId="18" fillId="0" borderId="0" xfId="0" applyNumberFormat="1" applyFont="1" applyBorder="1" applyAlignment="1">
      <alignment horizontal="left" indent="1"/>
    </xf>
    <xf numFmtId="192" fontId="18" fillId="0" borderId="0" xfId="0" applyNumberFormat="1" applyFont="1" applyAlignment="1">
      <alignment vertical="top"/>
    </xf>
    <xf numFmtId="37" fontId="18" fillId="0" borderId="0" xfId="0" applyNumberFormat="1" applyFont="1" applyFill="1" applyBorder="1" applyAlignment="1">
      <alignment horizontal="right"/>
    </xf>
    <xf numFmtId="37" fontId="19" fillId="0" borderId="0" xfId="0" applyNumberFormat="1" applyFont="1" applyAlignment="1">
      <alignment horizontal="right"/>
    </xf>
    <xf numFmtId="37" fontId="18" fillId="0" borderId="0" xfId="0" applyNumberFormat="1" applyFont="1" applyAlignment="1">
      <alignment horizontal="right"/>
    </xf>
    <xf numFmtId="174" fontId="21" fillId="0" borderId="0" xfId="0" applyNumberFormat="1" applyFont="1" applyAlignment="1">
      <alignment vertical="top"/>
    </xf>
    <xf numFmtId="172" fontId="21" fillId="0" borderId="0" xfId="0" applyNumberFormat="1" applyFont="1" applyAlignment="1">
      <alignment horizontal="right"/>
    </xf>
    <xf numFmtId="172" fontId="18" fillId="8" borderId="0" xfId="0" applyNumberFormat="1" applyFont="1" applyFill="1" applyBorder="1" applyAlignment="1" applyProtection="1">
      <alignment horizontal="right"/>
      <protection locked="0"/>
    </xf>
    <xf numFmtId="174" fontId="0" fillId="0" borderId="5" xfId="0" applyNumberFormat="1" applyBorder="1" applyAlignment="1">
      <alignment vertical="top"/>
    </xf>
    <xf numFmtId="173" fontId="19" fillId="0" borderId="0" xfId="0" applyNumberFormat="1" applyFont="1" applyAlignment="1">
      <alignment vertical="top"/>
    </xf>
    <xf numFmtId="261" fontId="0" fillId="21" borderId="0" xfId="0" applyFont="1" applyFill="1" applyAlignment="1"/>
    <xf numFmtId="228" fontId="0" fillId="21" borderId="5" xfId="0" applyNumberFormat="1" applyFill="1" applyBorder="1" applyAlignment="1">
      <alignment vertical="top"/>
    </xf>
    <xf numFmtId="261" fontId="0" fillId="0" borderId="0" xfId="0" applyFill="1" applyBorder="1" applyAlignment="1">
      <alignment horizontal="right" vertical="top"/>
    </xf>
    <xf numFmtId="0" fontId="0" fillId="0" borderId="0" xfId="0" applyNumberFormat="1" applyFill="1" applyBorder="1"/>
    <xf numFmtId="261" fontId="0" fillId="0" borderId="0" xfId="0" applyAlignment="1">
      <alignment horizontal="right" vertical="top"/>
    </xf>
    <xf numFmtId="261" fontId="19" fillId="0" borderId="0" xfId="0" applyFont="1" applyAlignment="1">
      <alignment horizontal="left" vertical="top" wrapText="1"/>
    </xf>
    <xf numFmtId="178" fontId="0" fillId="0" borderId="0" xfId="0" applyNumberFormat="1"/>
    <xf numFmtId="223" fontId="34" fillId="0" borderId="0" xfId="0" applyNumberFormat="1" applyFont="1" applyAlignment="1">
      <alignment horizontal="right"/>
    </xf>
    <xf numFmtId="261" fontId="66" fillId="6" borderId="0" xfId="0" applyFont="1" applyFill="1"/>
    <xf numFmtId="261" fontId="22" fillId="6" borderId="0" xfId="0" applyFont="1" applyFill="1"/>
    <xf numFmtId="174" fontId="24" fillId="6" borderId="0" xfId="0" applyNumberFormat="1" applyFont="1" applyFill="1" applyAlignment="1"/>
    <xf numFmtId="195" fontId="18" fillId="6" borderId="0" xfId="0" applyNumberFormat="1" applyFont="1" applyFill="1" applyBorder="1" applyAlignment="1"/>
    <xf numFmtId="188" fontId="39" fillId="20" borderId="31" xfId="0" applyNumberFormat="1" applyFont="1" applyFill="1" applyBorder="1" applyAlignment="1">
      <alignment horizontal="right"/>
    </xf>
    <xf numFmtId="188" fontId="18" fillId="0" borderId="31" xfId="0" applyNumberFormat="1" applyFont="1" applyFill="1" applyBorder="1" applyAlignment="1">
      <alignment horizontal="right"/>
    </xf>
    <xf numFmtId="261" fontId="34" fillId="0" borderId="0" xfId="0" applyFont="1" applyAlignment="1">
      <alignment horizontal="right"/>
    </xf>
    <xf numFmtId="261" fontId="19" fillId="6" borderId="0" xfId="0" applyFont="1" applyFill="1" applyAlignment="1">
      <alignment horizontal="right"/>
    </xf>
    <xf numFmtId="172" fontId="36" fillId="6" borderId="0" xfId="0" applyNumberFormat="1" applyFont="1" applyFill="1" applyAlignment="1">
      <alignment horizontal="right"/>
    </xf>
    <xf numFmtId="261" fontId="19" fillId="6" borderId="0" xfId="0" applyFont="1" applyFill="1"/>
    <xf numFmtId="261" fontId="0" fillId="0" borderId="0" xfId="0" applyBorder="1" applyAlignment="1"/>
    <xf numFmtId="174" fontId="46" fillId="0" borderId="0" xfId="0" applyNumberFormat="1" applyFont="1" applyAlignment="1"/>
    <xf numFmtId="230" fontId="18" fillId="0" borderId="0" xfId="0" applyNumberFormat="1" applyFont="1" applyFill="1" applyAlignment="1">
      <alignment horizontal="right"/>
    </xf>
    <xf numFmtId="261" fontId="46" fillId="0" borderId="0" xfId="0" applyFont="1"/>
    <xf numFmtId="261" fontId="18" fillId="0" borderId="0" xfId="0" applyFont="1" applyBorder="1" applyAlignment="1">
      <alignment horizontal="left"/>
    </xf>
    <xf numFmtId="0" fontId="1" fillId="0" borderId="28" xfId="0" applyNumberFormat="1" applyFont="1" applyBorder="1" applyAlignment="1">
      <alignment horizontal="left"/>
    </xf>
    <xf numFmtId="0" fontId="1" fillId="0" borderId="0" xfId="0" applyNumberFormat="1" applyFont="1" applyFill="1" applyBorder="1" applyAlignment="1">
      <alignment horizontal="left"/>
    </xf>
    <xf numFmtId="0" fontId="61" fillId="0" borderId="0" xfId="0" applyNumberFormat="1" applyFont="1" applyAlignment="1">
      <alignment horizontal="left"/>
    </xf>
    <xf numFmtId="43" fontId="36" fillId="0" borderId="0" xfId="0" applyNumberFormat="1" applyFont="1" applyFill="1"/>
    <xf numFmtId="222" fontId="21" fillId="0" borderId="0" xfId="0" applyNumberFormat="1" applyFont="1" applyAlignment="1">
      <alignment horizontal="right" vertical="top"/>
    </xf>
    <xf numFmtId="37" fontId="7" fillId="0" borderId="0" xfId="0" applyNumberFormat="1" applyFont="1" applyAlignment="1">
      <alignment horizontal="right"/>
    </xf>
    <xf numFmtId="191" fontId="36" fillId="9" borderId="0" xfId="0" applyNumberFormat="1" applyFont="1" applyFill="1" applyAlignment="1"/>
    <xf numFmtId="174" fontId="40" fillId="15" borderId="0" xfId="0" applyNumberFormat="1" applyFont="1" applyFill="1" applyBorder="1" applyAlignment="1">
      <alignment horizontal="right" wrapText="1"/>
    </xf>
    <xf numFmtId="174" fontId="40" fillId="15" borderId="0" xfId="0" applyNumberFormat="1" applyFont="1" applyFill="1" applyBorder="1" applyAlignment="1">
      <alignment horizontal="right"/>
    </xf>
    <xf numFmtId="174" fontId="40" fillId="0" borderId="0" xfId="0" applyNumberFormat="1" applyFont="1" applyFill="1" applyBorder="1" applyAlignment="1">
      <alignment horizontal="right"/>
    </xf>
    <xf numFmtId="174" fontId="40" fillId="15" borderId="6" xfId="0" applyNumberFormat="1" applyFont="1" applyFill="1" applyBorder="1" applyAlignment="1">
      <alignment horizontal="right"/>
    </xf>
    <xf numFmtId="174" fontId="18" fillId="15" borderId="0" xfId="0" applyNumberFormat="1" applyFont="1" applyFill="1" applyBorder="1" applyAlignment="1">
      <alignment horizontal="right"/>
    </xf>
    <xf numFmtId="231" fontId="24" fillId="0" borderId="0" xfId="0" applyNumberFormat="1" applyFont="1" applyFill="1" applyBorder="1" applyAlignment="1"/>
    <xf numFmtId="261" fontId="55" fillId="0" borderId="0" xfId="0" applyFont="1" applyFill="1" applyBorder="1"/>
    <xf numFmtId="205" fontId="18" fillId="0" borderId="0" xfId="0" applyNumberFormat="1" applyFont="1" applyFill="1" applyBorder="1" applyAlignment="1">
      <alignment vertical="top"/>
    </xf>
    <xf numFmtId="0" fontId="0" fillId="0" borderId="0" xfId="0" applyNumberFormat="1" applyFont="1" applyBorder="1"/>
    <xf numFmtId="0" fontId="0" fillId="0" borderId="0" xfId="0" applyNumberFormat="1" applyBorder="1"/>
    <xf numFmtId="261" fontId="0" fillId="0" borderId="0" xfId="0" applyBorder="1" applyAlignment="1">
      <alignment horizontal="left" vertical="top" wrapText="1"/>
    </xf>
    <xf numFmtId="0" fontId="18" fillId="0" borderId="0" xfId="0" applyNumberFormat="1" applyFont="1" applyAlignment="1">
      <alignment horizontal="left"/>
    </xf>
    <xf numFmtId="191" fontId="36" fillId="0" borderId="0" xfId="0" applyNumberFormat="1" applyFont="1" applyFill="1" applyAlignment="1">
      <alignment horizontal="right" vertical="center"/>
    </xf>
    <xf numFmtId="174" fontId="0" fillId="0" borderId="0" xfId="0" applyNumberFormat="1" applyFont="1" applyFill="1" applyBorder="1" applyAlignment="1"/>
    <xf numFmtId="172" fontId="36" fillId="0" borderId="0" xfId="0" applyNumberFormat="1" applyFont="1"/>
    <xf numFmtId="176" fontId="36" fillId="0" borderId="0" xfId="0" applyNumberFormat="1" applyFont="1" applyAlignment="1">
      <alignment vertical="top"/>
    </xf>
    <xf numFmtId="172" fontId="36" fillId="0" borderId="0" xfId="0" applyNumberFormat="1" applyFont="1" applyFill="1" applyBorder="1" applyAlignment="1"/>
    <xf numFmtId="184" fontId="36" fillId="0" borderId="0" xfId="0" applyNumberFormat="1" applyFont="1" applyFill="1" applyBorder="1" applyAlignment="1">
      <alignment horizontal="right"/>
    </xf>
    <xf numFmtId="174" fontId="0" fillId="0" borderId="0" xfId="0" applyNumberFormat="1" applyAlignment="1">
      <alignment horizontal="left" indent="1"/>
    </xf>
    <xf numFmtId="174" fontId="18" fillId="0" borderId="18" xfId="0" applyNumberFormat="1" applyFont="1" applyBorder="1" applyAlignment="1"/>
    <xf numFmtId="174" fontId="85" fillId="0" borderId="0" xfId="0" applyNumberFormat="1" applyFont="1" applyBorder="1" applyAlignment="1">
      <alignment horizontal="right"/>
    </xf>
    <xf numFmtId="205" fontId="86" fillId="0" borderId="0" xfId="0" applyNumberFormat="1" applyFont="1" applyAlignment="1">
      <alignment vertical="top"/>
    </xf>
    <xf numFmtId="261" fontId="0" fillId="0" borderId="0" xfId="0" applyFont="1" applyBorder="1" applyAlignment="1">
      <alignment horizontal="left"/>
    </xf>
    <xf numFmtId="261" fontId="35" fillId="0" borderId="0" xfId="0" applyFont="1" applyBorder="1" applyAlignment="1">
      <alignment horizontal="left" vertical="top" wrapText="1"/>
    </xf>
    <xf numFmtId="261" fontId="18" fillId="0" borderId="0" xfId="0" applyFont="1" applyBorder="1" applyAlignment="1">
      <alignment horizontal="right" vertical="top" wrapText="1" indent="2"/>
    </xf>
    <xf numFmtId="0" fontId="34" fillId="0" borderId="0" xfId="0" applyNumberFormat="1" applyFont="1" applyAlignment="1">
      <alignment horizontal="right"/>
    </xf>
    <xf numFmtId="261" fontId="0" fillId="3" borderId="0" xfId="0" applyFill="1"/>
    <xf numFmtId="174" fontId="18" fillId="3" borderId="0" xfId="0" applyNumberFormat="1" applyFont="1" applyFill="1" applyAlignment="1"/>
    <xf numFmtId="171" fontId="18" fillId="3" borderId="0" xfId="0" applyNumberFormat="1" applyFont="1" applyFill="1" applyAlignment="1" applyProtection="1"/>
    <xf numFmtId="174" fontId="37" fillId="3" borderId="0" xfId="0" quotePrefix="1" applyNumberFormat="1" applyFont="1" applyFill="1" applyBorder="1" applyAlignment="1">
      <alignment horizontal="left"/>
    </xf>
    <xf numFmtId="261" fontId="37" fillId="3" borderId="0" xfId="0" applyFont="1" applyFill="1" applyAlignment="1">
      <alignment horizontal="center"/>
    </xf>
    <xf numFmtId="174" fontId="42" fillId="6" borderId="0" xfId="0" applyNumberFormat="1" applyFont="1" applyFill="1" applyAlignment="1">
      <alignment horizontal="left"/>
    </xf>
    <xf numFmtId="261" fontId="69" fillId="6" borderId="0" xfId="0" applyFont="1" applyFill="1" applyAlignment="1">
      <alignment horizontal="right"/>
    </xf>
    <xf numFmtId="37" fontId="18" fillId="0" borderId="0" xfId="0" applyNumberFormat="1" applyFont="1" applyProtection="1"/>
    <xf numFmtId="261" fontId="87" fillId="0" borderId="0" xfId="0" applyFont="1"/>
    <xf numFmtId="261" fontId="34" fillId="0" borderId="25" xfId="0" applyFont="1" applyBorder="1"/>
    <xf numFmtId="261" fontId="34" fillId="0" borderId="25" xfId="0" applyFont="1" applyBorder="1" applyAlignment="1">
      <alignment horizontal="center"/>
    </xf>
    <xf numFmtId="37" fontId="18" fillId="0" borderId="35" xfId="0" applyNumberFormat="1" applyFont="1" applyBorder="1" applyAlignment="1" applyProtection="1">
      <alignment horizontal="center"/>
    </xf>
    <xf numFmtId="261" fontId="34" fillId="0" borderId="36" xfId="0" applyFont="1" applyBorder="1" applyAlignment="1">
      <alignment horizontal="center"/>
    </xf>
    <xf numFmtId="37" fontId="46" fillId="0" borderId="35" xfId="0" applyNumberFormat="1" applyFont="1" applyBorder="1" applyAlignment="1" applyProtection="1">
      <alignment horizontal="center"/>
    </xf>
    <xf numFmtId="37" fontId="62" fillId="0" borderId="35" xfId="0" applyNumberFormat="1" applyFont="1" applyBorder="1" applyAlignment="1" applyProtection="1">
      <alignment horizontal="center"/>
    </xf>
    <xf numFmtId="261" fontId="80" fillId="0" borderId="0" xfId="0" applyFont="1" applyAlignment="1">
      <alignment horizontal="right"/>
    </xf>
    <xf numFmtId="261" fontId="88" fillId="0" borderId="0" xfId="0" applyFont="1" applyAlignment="1">
      <alignment horizontal="right"/>
    </xf>
    <xf numFmtId="261" fontId="34" fillId="0" borderId="0" xfId="0" applyFont="1" applyBorder="1" applyAlignment="1">
      <alignment horizontal="center"/>
    </xf>
    <xf numFmtId="37" fontId="19" fillId="0" borderId="35" xfId="0" applyNumberFormat="1" applyFont="1" applyBorder="1" applyAlignment="1" applyProtection="1">
      <alignment horizontal="center"/>
    </xf>
    <xf numFmtId="234" fontId="89" fillId="0" borderId="35" xfId="0" applyNumberFormat="1" applyFont="1" applyBorder="1" applyAlignment="1" applyProtection="1">
      <alignment horizontal="center"/>
    </xf>
    <xf numFmtId="261" fontId="34" fillId="0" borderId="24" xfId="0" applyFont="1" applyBorder="1" applyAlignment="1">
      <alignment horizontal="right" vertical="top"/>
    </xf>
    <xf numFmtId="183" fontId="36" fillId="0" borderId="0" xfId="0" applyNumberFormat="1" applyFont="1" applyBorder="1" applyAlignment="1">
      <alignment horizontal="right" vertical="top"/>
    </xf>
    <xf numFmtId="37" fontId="46" fillId="0" borderId="0" xfId="0" applyNumberFormat="1" applyFont="1" applyBorder="1" applyAlignment="1" applyProtection="1">
      <alignment horizontal="center"/>
    </xf>
    <xf numFmtId="261" fontId="39" fillId="0" borderId="0" xfId="0" applyFont="1" applyBorder="1"/>
    <xf numFmtId="171" fontId="39" fillId="0" borderId="0" xfId="0" applyNumberFormat="1" applyFont="1" applyBorder="1" applyAlignment="1" applyProtection="1"/>
    <xf numFmtId="261" fontId="68" fillId="0" borderId="0" xfId="0" applyFont="1"/>
    <xf numFmtId="187" fontId="42" fillId="0" borderId="0" xfId="0" applyNumberFormat="1" applyFont="1"/>
    <xf numFmtId="187" fontId="42" fillId="0" borderId="0" xfId="0" applyNumberFormat="1" applyFont="1" applyFill="1"/>
    <xf numFmtId="174" fontId="68" fillId="0" borderId="0" xfId="0" applyNumberFormat="1" applyFont="1" applyAlignment="1">
      <alignment vertical="top"/>
    </xf>
    <xf numFmtId="0" fontId="68" fillId="6" borderId="0" xfId="0" applyNumberFormat="1" applyFont="1" applyFill="1" applyBorder="1"/>
    <xf numFmtId="197" fontId="89" fillId="6" borderId="0" xfId="0" applyNumberFormat="1" applyFont="1" applyFill="1" applyBorder="1" applyAlignment="1">
      <alignment horizontal="left"/>
    </xf>
    <xf numFmtId="195" fontId="68" fillId="6" borderId="0" xfId="0" applyNumberFormat="1" applyFont="1" applyFill="1" applyAlignment="1"/>
    <xf numFmtId="195" fontId="68" fillId="6" borderId="0" xfId="0" applyNumberFormat="1" applyFont="1" applyFill="1" applyAlignment="1">
      <alignment horizontal="right"/>
    </xf>
    <xf numFmtId="261" fontId="68" fillId="6" borderId="0" xfId="0" applyFont="1" applyFill="1" applyAlignment="1">
      <alignment horizontal="right"/>
    </xf>
    <xf numFmtId="261" fontId="91" fillId="6" borderId="0" xfId="0" applyFont="1" applyFill="1"/>
    <xf numFmtId="261" fontId="92" fillId="6" borderId="0" xfId="0" applyFont="1" applyFill="1"/>
    <xf numFmtId="174" fontId="68" fillId="6" borderId="0" xfId="0" applyNumberFormat="1" applyFont="1" applyFill="1" applyBorder="1" applyAlignment="1"/>
    <xf numFmtId="195" fontId="68" fillId="6" borderId="0" xfId="0" applyNumberFormat="1" applyFont="1" applyFill="1" applyBorder="1" applyAlignment="1"/>
    <xf numFmtId="174" fontId="42" fillId="6" borderId="0" xfId="0" applyNumberFormat="1" applyFont="1" applyFill="1" applyAlignment="1">
      <alignment vertical="top" wrapText="1"/>
    </xf>
    <xf numFmtId="171" fontId="42" fillId="6" borderId="0" xfId="0" applyNumberFormat="1" applyFont="1" applyFill="1" applyAlignment="1">
      <alignment vertical="top"/>
    </xf>
    <xf numFmtId="174" fontId="90" fillId="6" borderId="0" xfId="0" applyNumberFormat="1" applyFont="1" applyFill="1" applyAlignment="1">
      <alignment horizontal="center"/>
    </xf>
    <xf numFmtId="213" fontId="68" fillId="6" borderId="0" xfId="0" applyNumberFormat="1" applyFont="1" applyFill="1" applyBorder="1"/>
    <xf numFmtId="261" fontId="42" fillId="6" borderId="0" xfId="0" applyFont="1" applyFill="1" applyBorder="1" applyAlignment="1">
      <alignment vertical="top"/>
    </xf>
    <xf numFmtId="174" fontId="90" fillId="6" borderId="0" xfId="0" applyNumberFormat="1" applyFont="1" applyFill="1" applyAlignment="1"/>
    <xf numFmtId="261" fontId="0" fillId="0" borderId="0" xfId="0" applyBorder="1" applyAlignment="1">
      <alignment horizontal="left" wrapText="1"/>
    </xf>
    <xf numFmtId="174" fontId="19" fillId="6" borderId="0" xfId="0" applyNumberFormat="1" applyFont="1" applyFill="1" applyAlignment="1">
      <alignment horizontal="right"/>
    </xf>
    <xf numFmtId="171" fontId="84" fillId="0" borderId="0" xfId="0" applyNumberFormat="1" applyFont="1" applyAlignment="1" applyProtection="1"/>
    <xf numFmtId="188" fontId="23" fillId="20" borderId="31" xfId="0" applyNumberFormat="1" applyFont="1" applyFill="1" applyBorder="1" applyAlignment="1" applyProtection="1">
      <alignment horizontal="right"/>
    </xf>
    <xf numFmtId="171" fontId="23" fillId="6" borderId="0" xfId="0" applyNumberFormat="1" applyFont="1" applyFill="1" applyAlignment="1" applyProtection="1"/>
    <xf numFmtId="195" fontId="23" fillId="0" borderId="0" xfId="0" applyNumberFormat="1" applyFont="1" applyAlignment="1" applyProtection="1"/>
    <xf numFmtId="17" fontId="23" fillId="0" borderId="0" xfId="0" applyNumberFormat="1" applyFont="1" applyAlignment="1" applyProtection="1">
      <alignment horizontal="right"/>
    </xf>
    <xf numFmtId="174" fontId="23" fillId="0" borderId="0" xfId="0" applyNumberFormat="1" applyFont="1" applyAlignment="1" applyProtection="1">
      <alignment vertical="top"/>
    </xf>
    <xf numFmtId="39" fontId="23" fillId="0" borderId="0" xfId="0" applyNumberFormat="1" applyFont="1" applyFill="1" applyAlignment="1" applyProtection="1">
      <alignment horizontal="right"/>
    </xf>
    <xf numFmtId="171" fontId="23" fillId="0" borderId="0" xfId="0" applyNumberFormat="1" applyFont="1" applyFill="1" applyBorder="1" applyAlignment="1" applyProtection="1">
      <alignment horizontal="right" vertical="top"/>
    </xf>
    <xf numFmtId="174" fontId="23" fillId="0" borderId="0" xfId="0" applyNumberFormat="1" applyFont="1" applyFill="1" applyBorder="1" applyAlignment="1" applyProtection="1"/>
    <xf numFmtId="171" fontId="23" fillId="0" borderId="0" xfId="0" applyNumberFormat="1" applyFont="1" applyAlignment="1" applyProtection="1">
      <alignment horizontal="right" vertical="top"/>
    </xf>
    <xf numFmtId="171" fontId="23" fillId="0" borderId="0" xfId="0" applyNumberFormat="1" applyFont="1" applyFill="1" applyBorder="1" applyAlignment="1" applyProtection="1"/>
    <xf numFmtId="49" fontId="23" fillId="0" borderId="0" xfId="0" applyNumberFormat="1" applyFont="1" applyFill="1" applyBorder="1" applyAlignment="1" applyProtection="1">
      <alignment horizontal="left" wrapText="1"/>
      <protection locked="0"/>
    </xf>
    <xf numFmtId="171" fontId="23" fillId="0" borderId="24" xfId="0" applyNumberFormat="1" applyFont="1" applyFill="1" applyBorder="1" applyAlignment="1" applyProtection="1">
      <alignment horizontal="right" vertical="top"/>
    </xf>
    <xf numFmtId="0" fontId="23" fillId="0" borderId="0" xfId="0" applyNumberFormat="1" applyFont="1" applyFill="1" applyBorder="1" applyAlignment="1" applyProtection="1"/>
    <xf numFmtId="171" fontId="23" fillId="0" borderId="0" xfId="0" applyNumberFormat="1" applyFont="1" applyBorder="1" applyAlignment="1" applyProtection="1"/>
    <xf numFmtId="171" fontId="23" fillId="0" borderId="0" xfId="0" applyNumberFormat="1" applyFont="1" applyAlignment="1" applyProtection="1">
      <alignment horizontal="left"/>
    </xf>
    <xf numFmtId="171" fontId="23" fillId="0" borderId="25" xfId="0" applyNumberFormat="1" applyFont="1" applyBorder="1" applyAlignment="1" applyProtection="1">
      <alignment horizontal="center"/>
    </xf>
    <xf numFmtId="2" fontId="23" fillId="0" borderId="0" xfId="0" applyNumberFormat="1" applyFont="1" applyFill="1" applyBorder="1" applyAlignment="1" applyProtection="1">
      <alignment horizontal="left" wrapText="1"/>
      <protection locked="0"/>
    </xf>
    <xf numFmtId="183" fontId="18" fillId="0" borderId="0" xfId="0" applyNumberFormat="1" applyFont="1"/>
    <xf numFmtId="174" fontId="29" fillId="0" borderId="0" xfId="0" applyNumberFormat="1" applyFont="1" applyAlignment="1"/>
    <xf numFmtId="172" fontId="18" fillId="0" borderId="0" xfId="0" applyNumberFormat="1" applyFont="1" applyBorder="1" applyAlignment="1">
      <alignment horizontal="left" vertical="top"/>
    </xf>
    <xf numFmtId="174" fontId="35" fillId="0" borderId="0" xfId="0" applyNumberFormat="1" applyFont="1" applyAlignment="1">
      <alignment horizontal="left" vertical="top"/>
    </xf>
    <xf numFmtId="261" fontId="19" fillId="0" borderId="0" xfId="0" applyFont="1" applyBorder="1" applyAlignment="1">
      <alignment horizontal="left" wrapText="1"/>
    </xf>
    <xf numFmtId="236" fontId="19" fillId="0" borderId="25" xfId="0" applyNumberFormat="1" applyFont="1" applyFill="1" applyBorder="1" applyAlignment="1">
      <alignment horizontal="right"/>
    </xf>
    <xf numFmtId="261" fontId="0" fillId="15" borderId="0" xfId="0" applyFont="1" applyFill="1" applyAlignment="1"/>
    <xf numFmtId="174" fontId="0" fillId="0" borderId="38" xfId="0" applyNumberFormat="1" applyBorder="1" applyAlignment="1">
      <alignment vertical="top"/>
    </xf>
    <xf numFmtId="174" fontId="0" fillId="0" borderId="40" xfId="0" applyNumberFormat="1" applyBorder="1" applyAlignment="1">
      <alignment vertical="top"/>
    </xf>
    <xf numFmtId="172" fontId="36" fillId="0" borderId="25" xfId="0" applyNumberFormat="1" applyFont="1" applyBorder="1" applyAlignment="1">
      <alignment horizontal="right"/>
    </xf>
    <xf numFmtId="172" fontId="24" fillId="0" borderId="0" xfId="0" applyNumberFormat="1" applyFont="1" applyAlignment="1">
      <alignment horizontal="right"/>
    </xf>
    <xf numFmtId="261" fontId="24" fillId="0" borderId="0" xfId="0" applyFont="1" applyBorder="1" applyAlignment="1">
      <alignment horizontal="right" vertical="top"/>
    </xf>
    <xf numFmtId="261" fontId="24" fillId="0" borderId="0" xfId="0" applyFont="1" applyBorder="1" applyAlignment="1"/>
    <xf numFmtId="261" fontId="24" fillId="0" borderId="0" xfId="0" applyFont="1" applyBorder="1" applyAlignment="1">
      <alignment horizontal="right"/>
    </xf>
    <xf numFmtId="261" fontId="24" fillId="0" borderId="0" xfId="0" applyFont="1" applyFill="1" applyBorder="1" applyAlignment="1">
      <alignment horizontal="left"/>
    </xf>
    <xf numFmtId="176" fontId="0" fillId="0" borderId="0" xfId="0" applyNumberFormat="1" applyFont="1" applyAlignment="1">
      <alignment horizontal="right"/>
    </xf>
    <xf numFmtId="174" fontId="40" fillId="6" borderId="25" xfId="0" applyNumberFormat="1" applyFont="1" applyFill="1" applyBorder="1" applyAlignment="1">
      <alignment horizontal="right" wrapText="1"/>
    </xf>
    <xf numFmtId="174" fontId="40" fillId="0" borderId="25" xfId="0" applyNumberFormat="1" applyFont="1" applyFill="1" applyBorder="1" applyAlignment="1">
      <alignment horizontal="right"/>
    </xf>
    <xf numFmtId="15" fontId="19" fillId="0" borderId="0" xfId="0" applyNumberFormat="1" applyFont="1" applyAlignment="1">
      <alignment horizontal="right"/>
    </xf>
    <xf numFmtId="261" fontId="0" fillId="0" borderId="0" xfId="0"/>
    <xf numFmtId="9" fontId="52" fillId="0" borderId="0" xfId="0" applyNumberFormat="1" applyFont="1" applyAlignment="1">
      <alignment vertical="top"/>
    </xf>
    <xf numFmtId="219" fontId="38" fillId="0" borderId="0" xfId="0" applyNumberFormat="1" applyFont="1" applyFill="1" applyBorder="1" applyAlignment="1">
      <alignment horizontal="center"/>
    </xf>
    <xf numFmtId="174" fontId="42" fillId="6" borderId="0" xfId="0" quotePrefix="1" applyNumberFormat="1" applyFont="1" applyFill="1" applyAlignment="1">
      <alignment horizontal="right"/>
    </xf>
    <xf numFmtId="261" fontId="19" fillId="7" borderId="0" xfId="0" applyFont="1" applyFill="1"/>
    <xf numFmtId="17" fontId="0" fillId="0" borderId="0" xfId="0" applyNumberFormat="1" applyFont="1" applyAlignment="1">
      <alignment horizontal="right"/>
    </xf>
    <xf numFmtId="0" fontId="94" fillId="0" borderId="0" xfId="0" applyNumberFormat="1" applyFont="1" applyFill="1" applyBorder="1" applyAlignment="1">
      <alignment horizontal="right" vertical="center"/>
    </xf>
    <xf numFmtId="174" fontId="19" fillId="15" borderId="0" xfId="0" applyNumberFormat="1" applyFont="1" applyFill="1" applyAlignment="1">
      <alignment vertical="top"/>
    </xf>
    <xf numFmtId="171" fontId="0" fillId="15" borderId="0" xfId="0" applyNumberFormat="1" applyFont="1" applyFill="1" applyAlignment="1">
      <alignment vertical="top"/>
    </xf>
    <xf numFmtId="6" fontId="18" fillId="0" borderId="0" xfId="0" applyNumberFormat="1" applyFont="1" applyBorder="1" applyAlignment="1">
      <alignment vertical="top"/>
    </xf>
    <xf numFmtId="201" fontId="18" fillId="0" borderId="0" xfId="0" applyNumberFormat="1" applyFont="1" applyBorder="1" applyAlignment="1">
      <alignment horizontal="left" vertical="top" wrapText="1"/>
    </xf>
    <xf numFmtId="195" fontId="18" fillId="0" borderId="0" xfId="0" applyNumberFormat="1" applyFont="1" applyBorder="1" applyAlignment="1">
      <alignment vertical="top"/>
    </xf>
    <xf numFmtId="174" fontId="18" fillId="0" borderId="22" xfId="0" applyNumberFormat="1" applyFont="1" applyBorder="1" applyAlignment="1">
      <alignment vertical="top"/>
    </xf>
    <xf numFmtId="174" fontId="68" fillId="6" borderId="0" xfId="0" applyNumberFormat="1" applyFont="1" applyFill="1" applyAlignment="1">
      <alignment vertical="top"/>
    </xf>
    <xf numFmtId="174" fontId="0" fillId="0" borderId="0" xfId="0" applyNumberFormat="1" applyFont="1" applyAlignment="1">
      <alignment horizontal="left"/>
    </xf>
    <xf numFmtId="171" fontId="23" fillId="0" borderId="0" xfId="0" applyNumberFormat="1" applyFont="1" applyFill="1" applyBorder="1" applyAlignment="1" applyProtection="1">
      <alignment horizontal="left"/>
    </xf>
    <xf numFmtId="226" fontId="23" fillId="0" borderId="0" xfId="0" applyNumberFormat="1" applyFont="1" applyFill="1" applyAlignment="1" applyProtection="1">
      <alignment horizontal="right"/>
    </xf>
    <xf numFmtId="193" fontId="23" fillId="0" borderId="0" xfId="0" applyNumberFormat="1" applyFont="1" applyBorder="1" applyAlignment="1" applyProtection="1">
      <alignment horizontal="right"/>
    </xf>
    <xf numFmtId="171" fontId="23" fillId="0" borderId="0" xfId="0" applyNumberFormat="1" applyFont="1" applyBorder="1" applyAlignment="1" applyProtection="1">
      <alignment horizontal="left" vertical="top" wrapText="1" indent="2"/>
    </xf>
    <xf numFmtId="0" fontId="23" fillId="0" borderId="0" xfId="0" applyNumberFormat="1" applyFont="1" applyAlignment="1" applyProtection="1"/>
    <xf numFmtId="174" fontId="23" fillId="0" borderId="0" xfId="0" applyNumberFormat="1" applyFont="1" applyFill="1" applyAlignment="1" applyProtection="1"/>
    <xf numFmtId="37" fontId="23" fillId="0" borderId="35" xfId="0" applyNumberFormat="1" applyFont="1" applyBorder="1" applyAlignment="1" applyProtection="1">
      <alignment horizontal="center"/>
    </xf>
    <xf numFmtId="2" fontId="23" fillId="0" borderId="0" xfId="0" applyNumberFormat="1" applyFont="1" applyFill="1" applyAlignment="1" applyProtection="1">
      <alignment horizontal="center"/>
    </xf>
    <xf numFmtId="2" fontId="23" fillId="0" borderId="0" xfId="0" applyNumberFormat="1" applyFont="1" applyFill="1" applyAlignment="1" applyProtection="1">
      <alignment horizontal="left" indent="2"/>
    </xf>
    <xf numFmtId="171" fontId="23" fillId="0" borderId="0" xfId="0" applyNumberFormat="1" applyFont="1" applyFill="1" applyAlignment="1" applyProtection="1">
      <alignment horizontal="left" indent="2"/>
    </xf>
    <xf numFmtId="171" fontId="23" fillId="6" borderId="0" xfId="0" applyNumberFormat="1" applyFont="1" applyFill="1" applyAlignment="1" applyProtection="1">
      <alignment horizontal="left" indent="2"/>
    </xf>
    <xf numFmtId="174" fontId="23" fillId="0" borderId="0" xfId="0" applyNumberFormat="1" applyFont="1" applyAlignment="1" applyProtection="1">
      <alignment horizontal="left" indent="2"/>
    </xf>
    <xf numFmtId="195" fontId="23" fillId="0" borderId="0" xfId="0" applyNumberFormat="1" applyFont="1" applyAlignment="1" applyProtection="1">
      <alignment horizontal="left" indent="2"/>
    </xf>
    <xf numFmtId="174" fontId="23" fillId="0" borderId="0" xfId="0" applyNumberFormat="1" applyFont="1" applyBorder="1" applyAlignment="1" applyProtection="1">
      <alignment horizontal="left" indent="2"/>
    </xf>
    <xf numFmtId="226" fontId="23" fillId="0" borderId="0" xfId="0" applyNumberFormat="1" applyFont="1" applyFill="1" applyAlignment="1" applyProtection="1">
      <alignment horizontal="left" indent="2"/>
    </xf>
    <xf numFmtId="174" fontId="23" fillId="0" borderId="0" xfId="0" applyNumberFormat="1" applyFont="1" applyFill="1" applyBorder="1" applyAlignment="1" applyProtection="1">
      <alignment horizontal="left" indent="2"/>
    </xf>
    <xf numFmtId="17" fontId="23" fillId="0" borderId="0" xfId="0" applyNumberFormat="1" applyFont="1" applyAlignment="1" applyProtection="1">
      <alignment horizontal="left" indent="2"/>
    </xf>
    <xf numFmtId="192" fontId="23" fillId="0" borderId="0" xfId="0" applyNumberFormat="1" applyFont="1" applyAlignment="1" applyProtection="1">
      <alignment horizontal="left" indent="2"/>
    </xf>
    <xf numFmtId="171" fontId="23" fillId="0" borderId="0" xfId="0" applyNumberFormat="1" applyFont="1" applyFill="1" applyBorder="1" applyAlignment="1" applyProtection="1">
      <alignment horizontal="left" indent="2"/>
    </xf>
    <xf numFmtId="171" fontId="23" fillId="0" borderId="24" xfId="0" applyNumberFormat="1" applyFont="1" applyFill="1" applyBorder="1" applyAlignment="1" applyProtection="1">
      <alignment horizontal="left" indent="2"/>
    </xf>
    <xf numFmtId="49" fontId="23" fillId="0" borderId="0" xfId="0" applyNumberFormat="1" applyFont="1" applyFill="1" applyBorder="1" applyAlignment="1" applyProtection="1">
      <alignment horizontal="left" indent="2"/>
      <protection locked="0"/>
    </xf>
    <xf numFmtId="0" fontId="23" fillId="0" borderId="0" xfId="0" applyNumberFormat="1" applyFont="1" applyAlignment="1" applyProtection="1">
      <alignment horizontal="right"/>
    </xf>
    <xf numFmtId="174" fontId="23" fillId="6" borderId="0" xfId="0" applyNumberFormat="1" applyFont="1" applyFill="1" applyAlignment="1" applyProtection="1"/>
    <xf numFmtId="172" fontId="23" fillId="0" borderId="0" xfId="0" applyNumberFormat="1" applyFont="1" applyAlignment="1" applyProtection="1">
      <alignment horizontal="right"/>
    </xf>
    <xf numFmtId="0" fontId="23" fillId="6" borderId="0" xfId="0" applyNumberFormat="1" applyFont="1" applyFill="1" applyBorder="1" applyAlignment="1" applyProtection="1"/>
    <xf numFmtId="174" fontId="23" fillId="0" borderId="0" xfId="0" applyNumberFormat="1" applyFont="1" applyAlignment="1" applyProtection="1">
      <alignment horizontal="right"/>
    </xf>
    <xf numFmtId="188" fontId="23" fillId="0" borderId="0" xfId="0" applyNumberFormat="1" applyFont="1" applyFill="1" applyBorder="1" applyAlignment="1" applyProtection="1"/>
    <xf numFmtId="183" fontId="23" fillId="0" borderId="0" xfId="0" applyNumberFormat="1" applyFont="1" applyAlignment="1" applyProtection="1"/>
    <xf numFmtId="2" fontId="23" fillId="0" borderId="0" xfId="0" applyNumberFormat="1" applyFont="1" applyFill="1" applyBorder="1" applyAlignment="1" applyProtection="1">
      <alignment horizontal="left" vertical="top" wrapText="1"/>
      <protection locked="0"/>
    </xf>
    <xf numFmtId="174" fontId="23" fillId="0" borderId="22" xfId="0" applyNumberFormat="1" applyFont="1" applyBorder="1" applyAlignment="1" applyProtection="1">
      <alignment horizontal="left" indent="2"/>
    </xf>
    <xf numFmtId="0" fontId="23" fillId="0" borderId="0" xfId="0" applyNumberFormat="1" applyFont="1" applyFill="1" applyBorder="1" applyAlignment="1" applyProtection="1">
      <alignment horizontal="left" indent="2"/>
    </xf>
    <xf numFmtId="171" fontId="23" fillId="0" borderId="0" xfId="0" applyNumberFormat="1" applyFont="1" applyFill="1" applyAlignment="1" applyProtection="1">
      <alignment horizontal="right"/>
    </xf>
    <xf numFmtId="171" fontId="23" fillId="0" borderId="0" xfId="0" applyNumberFormat="1" applyFont="1" applyAlignment="1" applyProtection="1">
      <alignment horizontal="right"/>
    </xf>
    <xf numFmtId="195" fontId="23" fillId="0" borderId="0" xfId="0" applyNumberFormat="1" applyFont="1" applyBorder="1" applyAlignment="1" applyProtection="1"/>
    <xf numFmtId="172" fontId="23" fillId="0" borderId="0" xfId="0" applyNumberFormat="1" applyFont="1" applyAlignment="1" applyProtection="1">
      <alignment horizontal="right" vertical="top"/>
    </xf>
    <xf numFmtId="195" fontId="23" fillId="6" borderId="0" xfId="0" applyNumberFormat="1" applyFont="1" applyFill="1" applyAlignment="1" applyProtection="1"/>
    <xf numFmtId="197" fontId="23" fillId="6" borderId="0" xfId="0" applyNumberFormat="1" applyFont="1" applyFill="1" applyBorder="1" applyAlignment="1" applyProtection="1">
      <alignment horizontal="left"/>
    </xf>
    <xf numFmtId="165" fontId="23" fillId="3" borderId="0" xfId="0" applyNumberFormat="1" applyFont="1" applyFill="1" applyAlignment="1" applyProtection="1">
      <alignment horizontal="left" wrapText="1"/>
    </xf>
    <xf numFmtId="174" fontId="23" fillId="0" borderId="0" xfId="0" applyNumberFormat="1" applyFont="1" applyBorder="1" applyAlignment="1" applyProtection="1">
      <alignment horizontal="centerContinuous"/>
    </xf>
    <xf numFmtId="171" fontId="23" fillId="0" borderId="0" xfId="0" applyNumberFormat="1" applyFont="1" applyFill="1" applyBorder="1" applyAlignment="1" applyProtection="1">
      <alignment horizontal="left" wrapText="1"/>
    </xf>
    <xf numFmtId="174" fontId="23" fillId="6" borderId="0" xfId="0" applyNumberFormat="1" applyFont="1" applyFill="1" applyAlignment="1" applyProtection="1">
      <alignment horizontal="left" indent="2"/>
    </xf>
    <xf numFmtId="174" fontId="23" fillId="0" borderId="0" xfId="0" applyNumberFormat="1" applyFont="1" applyAlignment="1" applyProtection="1">
      <alignment horizontal="centerContinuous"/>
    </xf>
    <xf numFmtId="174" fontId="23" fillId="6" borderId="0" xfId="0" applyNumberFormat="1" applyFont="1" applyFill="1" applyAlignment="1" applyProtection="1">
      <alignment horizontal="right"/>
    </xf>
    <xf numFmtId="226" fontId="23" fillId="0" borderId="0" xfId="0" applyNumberFormat="1" applyFont="1" applyAlignment="1" applyProtection="1"/>
    <xf numFmtId="195" fontId="23" fillId="0" borderId="0" xfId="0" applyNumberFormat="1" applyFont="1" applyBorder="1" applyAlignment="1" applyProtection="1">
      <alignment horizontal="left" indent="2"/>
    </xf>
    <xf numFmtId="165" fontId="23" fillId="3" borderId="0" xfId="0" applyNumberFormat="1" applyFont="1" applyFill="1" applyAlignment="1" applyProtection="1">
      <alignment horizontal="left" indent="2"/>
    </xf>
    <xf numFmtId="174" fontId="23" fillId="3" borderId="0" xfId="0" applyNumberFormat="1" applyFont="1" applyFill="1" applyAlignment="1" applyProtection="1">
      <alignment horizontal="left" indent="2"/>
    </xf>
    <xf numFmtId="189" fontId="23" fillId="0" borderId="0" xfId="0" applyNumberFormat="1" applyFont="1" applyAlignment="1" applyProtection="1">
      <alignment horizontal="left" indent="2"/>
    </xf>
    <xf numFmtId="0" fontId="23" fillId="6" borderId="0" xfId="0" applyNumberFormat="1" applyFont="1" applyFill="1" applyBorder="1" applyAlignment="1" applyProtection="1">
      <alignment horizontal="left" indent="2"/>
    </xf>
    <xf numFmtId="205" fontId="23" fillId="0" borderId="0" xfId="0" applyNumberFormat="1" applyFont="1" applyAlignment="1" applyProtection="1">
      <alignment horizontal="left" indent="2"/>
    </xf>
    <xf numFmtId="205" fontId="23" fillId="0" borderId="0" xfId="0" applyNumberFormat="1" applyFont="1" applyAlignment="1" applyProtection="1">
      <alignment vertical="top"/>
    </xf>
    <xf numFmtId="205" fontId="23" fillId="0" borderId="0" xfId="0" applyNumberFormat="1" applyFont="1" applyFill="1" applyBorder="1" applyAlignment="1" applyProtection="1">
      <alignment horizontal="left" indent="2"/>
    </xf>
    <xf numFmtId="171" fontId="23" fillId="0" borderId="28" xfId="0" applyNumberFormat="1" applyFont="1" applyBorder="1" applyAlignment="1" applyProtection="1">
      <alignment horizontal="left" indent="2"/>
    </xf>
    <xf numFmtId="15" fontId="12" fillId="3" borderId="0" xfId="0" applyNumberFormat="1" applyFont="1" applyFill="1" applyAlignment="1">
      <alignment horizontal="right"/>
    </xf>
    <xf numFmtId="261" fontId="58" fillId="0" borderId="0" xfId="0" applyFont="1" applyBorder="1" applyAlignment="1">
      <alignment horizontal="left" vertical="top"/>
    </xf>
    <xf numFmtId="171" fontId="64" fillId="0" borderId="24" xfId="0" applyNumberFormat="1" applyFont="1" applyBorder="1" applyAlignment="1">
      <alignment horizontal="centerContinuous"/>
    </xf>
    <xf numFmtId="171" fontId="64" fillId="0" borderId="24" xfId="0" applyNumberFormat="1" applyFont="1" applyBorder="1" applyAlignment="1">
      <alignment horizontal="right" wrapText="1"/>
    </xf>
    <xf numFmtId="261" fontId="97" fillId="0" borderId="23" xfId="0" applyFont="1" applyBorder="1" applyAlignment="1">
      <alignment horizontal="left"/>
    </xf>
    <xf numFmtId="208" fontId="64" fillId="0" borderId="23" xfId="0" applyNumberFormat="1" applyFont="1" applyBorder="1" applyAlignment="1">
      <alignment wrapText="1"/>
    </xf>
    <xf numFmtId="261" fontId="19" fillId="0" borderId="24" xfId="0" applyFont="1" applyBorder="1" applyAlignment="1">
      <alignment horizontal="right" wrapText="1"/>
    </xf>
    <xf numFmtId="171" fontId="64" fillId="0" borderId="23" xfId="0" applyNumberFormat="1" applyFont="1" applyBorder="1" applyAlignment="1">
      <alignment horizontal="left" wrapText="1"/>
    </xf>
    <xf numFmtId="209" fontId="64" fillId="0" borderId="23" xfId="0" applyNumberFormat="1" applyFont="1" applyBorder="1" applyAlignment="1">
      <alignment horizontal="right" wrapText="1"/>
    </xf>
    <xf numFmtId="208" fontId="64" fillId="0" borderId="23" xfId="0" applyNumberFormat="1" applyFont="1" applyBorder="1" applyAlignment="1">
      <alignment horizontal="center" wrapText="1"/>
    </xf>
    <xf numFmtId="171" fontId="64" fillId="0" borderId="0" xfId="0" applyNumberFormat="1" applyFont="1" applyBorder="1" applyAlignment="1"/>
    <xf numFmtId="171" fontId="64" fillId="0" borderId="0" xfId="0" applyNumberFormat="1" applyFont="1" applyBorder="1" applyAlignment="1">
      <alignment horizontal="right"/>
    </xf>
    <xf numFmtId="174" fontId="64" fillId="0" borderId="0" xfId="0" applyNumberFormat="1" applyFont="1" applyBorder="1" applyAlignment="1">
      <alignment horizontal="right"/>
    </xf>
    <xf numFmtId="171" fontId="64" fillId="0" borderId="0" xfId="0" applyNumberFormat="1" applyFont="1" applyFill="1" applyBorder="1" applyAlignment="1">
      <alignment horizontal="left"/>
    </xf>
    <xf numFmtId="0" fontId="64" fillId="0" borderId="0" xfId="0" applyNumberFormat="1" applyFont="1" applyFill="1" applyBorder="1" applyAlignment="1"/>
    <xf numFmtId="171" fontId="64" fillId="0" borderId="0" xfId="0" applyNumberFormat="1" applyFont="1" applyFill="1" applyBorder="1" applyAlignment="1"/>
    <xf numFmtId="44" fontId="64" fillId="0" borderId="0" xfId="0" applyNumberFormat="1" applyFont="1" applyFill="1" applyBorder="1" applyAlignment="1">
      <alignment horizontal="centerContinuous"/>
    </xf>
    <xf numFmtId="171" fontId="64" fillId="0" borderId="0" xfId="0" applyNumberFormat="1" applyFont="1" applyFill="1" applyBorder="1" applyAlignment="1">
      <alignment horizontal="right"/>
    </xf>
    <xf numFmtId="171" fontId="64" fillId="0" borderId="0" xfId="0" applyNumberFormat="1" applyFont="1" applyFill="1" applyBorder="1" applyAlignment="1">
      <alignment horizontal="centerContinuous"/>
    </xf>
    <xf numFmtId="171" fontId="64" fillId="0" borderId="0" xfId="0" applyNumberFormat="1" applyFont="1" applyFill="1" applyBorder="1" applyAlignment="1">
      <alignment horizontal="center"/>
    </xf>
    <xf numFmtId="174" fontId="64" fillId="0" borderId="0" xfId="0" applyNumberFormat="1" applyFont="1" applyBorder="1" applyAlignment="1"/>
    <xf numFmtId="174" fontId="64" fillId="0" borderId="0" xfId="0" applyNumberFormat="1" applyFont="1" applyFill="1" applyBorder="1" applyAlignment="1">
      <alignment horizontal="right"/>
    </xf>
    <xf numFmtId="174" fontId="64" fillId="0" borderId="0" xfId="0" applyNumberFormat="1" applyFont="1" applyBorder="1" applyAlignment="1">
      <alignment horizontal="centerContinuous"/>
    </xf>
    <xf numFmtId="174" fontId="64" fillId="0" borderId="0" xfId="0" applyNumberFormat="1" applyFont="1" applyBorder="1" applyAlignment="1">
      <alignment horizontal="left"/>
    </xf>
    <xf numFmtId="171" fontId="64" fillId="0" borderId="0" xfId="0" applyNumberFormat="1" applyFont="1" applyBorder="1" applyAlignment="1">
      <alignment horizontal="right" wrapText="1"/>
    </xf>
    <xf numFmtId="174" fontId="64" fillId="0" borderId="0" xfId="0" applyNumberFormat="1" applyFont="1" applyFill="1" applyBorder="1" applyAlignment="1"/>
    <xf numFmtId="174" fontId="64" fillId="0" borderId="0" xfId="0" applyNumberFormat="1" applyFont="1" applyBorder="1" applyAlignment="1" applyProtection="1">
      <alignment horizontal="right"/>
    </xf>
    <xf numFmtId="174" fontId="64" fillId="0" borderId="0" xfId="0" applyNumberFormat="1" applyFont="1" applyBorder="1" applyAlignment="1">
      <alignment vertical="top"/>
    </xf>
    <xf numFmtId="15" fontId="64" fillId="0" borderId="0" xfId="0" applyNumberFormat="1" applyFont="1" applyBorder="1" applyAlignment="1">
      <alignment horizontal="right" vertical="top"/>
    </xf>
    <xf numFmtId="174" fontId="64" fillId="0" borderId="0" xfId="0" applyNumberFormat="1" applyFont="1" applyBorder="1" applyAlignment="1">
      <alignment horizontal="right" vertical="top"/>
    </xf>
    <xf numFmtId="15" fontId="64" fillId="0" borderId="0" xfId="0" applyNumberFormat="1" applyFont="1" applyBorder="1" applyAlignment="1" applyProtection="1">
      <alignment horizontal="right" vertical="top"/>
    </xf>
    <xf numFmtId="205" fontId="64" fillId="0" borderId="0" xfId="0" applyNumberFormat="1" applyFont="1" applyBorder="1" applyAlignment="1">
      <alignment vertical="top"/>
    </xf>
    <xf numFmtId="171" fontId="64" fillId="0" borderId="0" xfId="0" applyNumberFormat="1" applyFont="1" applyBorder="1" applyAlignment="1">
      <alignment vertical="top"/>
    </xf>
    <xf numFmtId="171" fontId="64" fillId="0" borderId="0" xfId="0" applyNumberFormat="1" applyFont="1" applyBorder="1" applyAlignment="1">
      <alignment horizontal="right" vertical="top"/>
    </xf>
    <xf numFmtId="171" fontId="64" fillId="0" borderId="0" xfId="0" applyNumberFormat="1" applyFont="1" applyBorder="1" applyAlignment="1" applyProtection="1"/>
    <xf numFmtId="188" fontId="64" fillId="20" borderId="31" xfId="0" applyNumberFormat="1" applyFont="1" applyFill="1" applyBorder="1" applyAlignment="1">
      <alignment horizontal="right"/>
    </xf>
    <xf numFmtId="261" fontId="97" fillId="0" borderId="30" xfId="0" applyFont="1" applyBorder="1" applyAlignment="1">
      <alignment horizontal="left"/>
    </xf>
    <xf numFmtId="0" fontId="64" fillId="0" borderId="0" xfId="0" applyNumberFormat="1" applyFont="1" applyFill="1" applyBorder="1" applyAlignment="1" applyProtection="1"/>
    <xf numFmtId="243" fontId="34" fillId="20" borderId="31" xfId="0" applyNumberFormat="1" applyFont="1" applyFill="1" applyBorder="1"/>
    <xf numFmtId="173" fontId="64" fillId="0" borderId="0" xfId="0" applyNumberFormat="1" applyFont="1" applyBorder="1" applyAlignment="1"/>
    <xf numFmtId="173" fontId="64" fillId="0" borderId="4" xfId="0" applyNumberFormat="1" applyFont="1" applyBorder="1" applyAlignment="1"/>
    <xf numFmtId="173" fontId="64" fillId="0" borderId="0" xfId="0" applyNumberFormat="1" applyFont="1" applyFill="1" applyBorder="1" applyAlignment="1"/>
    <xf numFmtId="171" fontId="64" fillId="0" borderId="0" xfId="0" applyNumberFormat="1" applyFont="1" applyBorder="1" applyAlignment="1">
      <alignment horizontal="left"/>
    </xf>
    <xf numFmtId="171" fontId="64" fillId="0" borderId="4" xfId="0" applyNumberFormat="1" applyFont="1" applyBorder="1" applyAlignment="1"/>
    <xf numFmtId="180" fontId="64" fillId="0" borderId="0" xfId="0" applyNumberFormat="1" applyFont="1" applyBorder="1" applyAlignment="1">
      <alignment horizontal="right"/>
    </xf>
    <xf numFmtId="180" fontId="64" fillId="0" borderId="4" xfId="0" applyNumberFormat="1" applyFont="1" applyBorder="1" applyAlignment="1">
      <alignment horizontal="right"/>
    </xf>
    <xf numFmtId="180" fontId="64" fillId="0" borderId="0" xfId="0" applyNumberFormat="1" applyFont="1" applyFill="1" applyBorder="1" applyAlignment="1">
      <alignment horizontal="right"/>
    </xf>
    <xf numFmtId="15" fontId="64" fillId="0" borderId="0" xfId="0" applyNumberFormat="1" applyFont="1" applyFill="1" applyBorder="1" applyAlignment="1">
      <alignment horizontal="right"/>
    </xf>
    <xf numFmtId="15" fontId="64" fillId="23" borderId="0" xfId="0" applyNumberFormat="1" applyFont="1" applyFill="1" applyBorder="1" applyAlignment="1">
      <alignment horizontal="right"/>
    </xf>
    <xf numFmtId="171" fontId="64" fillId="24" borderId="0" xfId="0" applyNumberFormat="1" applyFont="1" applyFill="1" applyBorder="1" applyAlignment="1">
      <alignment horizontal="right"/>
    </xf>
    <xf numFmtId="171" fontId="64" fillId="22" borderId="0" xfId="0" applyNumberFormat="1" applyFont="1" applyFill="1" applyBorder="1" applyAlignment="1">
      <alignment horizontal="right"/>
    </xf>
    <xf numFmtId="198" fontId="64" fillId="0" borderId="0" xfId="0" applyNumberFormat="1" applyFont="1" applyBorder="1" applyAlignment="1"/>
    <xf numFmtId="171" fontId="64" fillId="0" borderId="0" xfId="0" applyNumberFormat="1" applyFont="1" applyFill="1" applyBorder="1" applyAlignment="1" applyProtection="1">
      <alignment horizontal="center"/>
      <protection locked="0"/>
    </xf>
    <xf numFmtId="173" fontId="64" fillId="0" borderId="0" xfId="0" applyNumberFormat="1" applyFont="1" applyBorder="1" applyAlignment="1">
      <alignment vertical="top"/>
    </xf>
    <xf numFmtId="181" fontId="64" fillId="0" borderId="0" xfId="0" applyNumberFormat="1" applyFont="1" applyBorder="1" applyAlignment="1">
      <alignment horizontal="right"/>
    </xf>
    <xf numFmtId="261" fontId="99" fillId="0" borderId="0" xfId="0" applyFont="1"/>
    <xf numFmtId="174" fontId="99" fillId="0" borderId="0" xfId="0" applyNumberFormat="1" applyFont="1" applyBorder="1" applyAlignment="1">
      <alignment horizontal="left"/>
    </xf>
    <xf numFmtId="171" fontId="23" fillId="0" borderId="0" xfId="0" applyNumberFormat="1" applyFont="1" applyFill="1" applyAlignment="1" applyProtection="1">
      <alignment horizontal="left"/>
    </xf>
    <xf numFmtId="0" fontId="23" fillId="0" borderId="0" xfId="0" applyNumberFormat="1" applyFont="1" applyAlignment="1" applyProtection="1">
      <alignment horizontal="left"/>
    </xf>
    <xf numFmtId="176" fontId="29" fillId="0" borderId="0" xfId="0" applyNumberFormat="1" applyFont="1" applyAlignment="1">
      <alignment horizontal="right"/>
    </xf>
    <xf numFmtId="261" fontId="49" fillId="0" borderId="0" xfId="0" applyFont="1"/>
    <xf numFmtId="174" fontId="29" fillId="0" borderId="0" xfId="0" applyNumberFormat="1" applyFont="1" applyFill="1" applyAlignment="1">
      <alignment horizontal="right"/>
    </xf>
    <xf numFmtId="165" fontId="98" fillId="0" borderId="0" xfId="0" applyNumberFormat="1" applyFont="1" applyFill="1" applyAlignment="1">
      <alignment horizontal="left"/>
    </xf>
    <xf numFmtId="261" fontId="98" fillId="0" borderId="0" xfId="0" applyFont="1" applyFill="1"/>
    <xf numFmtId="2" fontId="64" fillId="0" borderId="0" xfId="0" applyNumberFormat="1" applyFont="1" applyFill="1" applyAlignment="1">
      <alignment horizontal="center"/>
    </xf>
    <xf numFmtId="2" fontId="64" fillId="0" borderId="0" xfId="0" applyNumberFormat="1" applyFont="1" applyAlignment="1">
      <alignment horizontal="center"/>
    </xf>
    <xf numFmtId="261" fontId="98" fillId="0" borderId="0" xfId="0" applyFont="1"/>
    <xf numFmtId="165" fontId="95" fillId="0" borderId="2" xfId="0" applyNumberFormat="1" applyFont="1" applyFill="1" applyBorder="1" applyAlignment="1">
      <alignment horizontal="left" vertical="center"/>
    </xf>
    <xf numFmtId="165" fontId="95" fillId="0" borderId="0" xfId="0" applyNumberFormat="1" applyFont="1" applyFill="1" applyBorder="1" applyAlignment="1">
      <alignment horizontal="center" vertical="center"/>
    </xf>
    <xf numFmtId="165" fontId="95" fillId="0" borderId="0" xfId="0" applyNumberFormat="1" applyFont="1" applyFill="1" applyBorder="1" applyAlignment="1">
      <alignment horizontal="left" vertical="center"/>
    </xf>
    <xf numFmtId="2" fontId="99" fillId="0" borderId="0" xfId="0" applyNumberFormat="1" applyFont="1" applyAlignment="1">
      <alignment horizontal="center"/>
    </xf>
    <xf numFmtId="2" fontId="99" fillId="0" borderId="0" xfId="0" applyNumberFormat="1" applyFont="1" applyFill="1" applyAlignment="1">
      <alignment horizontal="center"/>
    </xf>
    <xf numFmtId="184" fontId="99" fillId="6" borderId="0" xfId="0" applyNumberFormat="1" applyFont="1" applyFill="1" applyAlignment="1">
      <alignment vertical="top"/>
    </xf>
    <xf numFmtId="165" fontId="100" fillId="0" borderId="0" xfId="0" applyNumberFormat="1" applyFont="1" applyFill="1" applyAlignment="1">
      <alignment horizontal="left" vertical="center"/>
    </xf>
    <xf numFmtId="165" fontId="100" fillId="0" borderId="0" xfId="0" applyNumberFormat="1" applyFont="1" applyFill="1" applyAlignment="1">
      <alignment horizontal="left"/>
    </xf>
    <xf numFmtId="0" fontId="95" fillId="0" borderId="0" xfId="0" applyNumberFormat="1" applyFont="1" applyFill="1" applyAlignment="1">
      <alignment horizontal="center"/>
    </xf>
    <xf numFmtId="165" fontId="98" fillId="0" borderId="2" xfId="0" applyNumberFormat="1" applyFont="1" applyFill="1" applyBorder="1" applyAlignment="1">
      <alignment horizontal="left"/>
    </xf>
    <xf numFmtId="165" fontId="98" fillId="0" borderId="2" xfId="0" applyNumberFormat="1" applyFont="1" applyFill="1" applyBorder="1" applyAlignment="1">
      <alignment horizontal="center"/>
    </xf>
    <xf numFmtId="15" fontId="99" fillId="0" borderId="2" xfId="0" applyNumberFormat="1" applyFont="1" applyFill="1" applyBorder="1"/>
    <xf numFmtId="165" fontId="95" fillId="0" borderId="0" xfId="0" applyNumberFormat="1" applyFont="1" applyFill="1" applyAlignment="1">
      <alignment horizontal="left"/>
    </xf>
    <xf numFmtId="165" fontId="98" fillId="0" borderId="0" xfId="0" applyNumberFormat="1" applyFont="1" applyFill="1" applyAlignment="1" applyProtection="1">
      <alignment horizontal="left"/>
    </xf>
    <xf numFmtId="15" fontId="99" fillId="0" borderId="0" xfId="0" applyNumberFormat="1" applyFont="1" applyFill="1" applyAlignment="1"/>
    <xf numFmtId="165" fontId="98" fillId="0" borderId="0" xfId="0" applyNumberFormat="1" applyFont="1" applyFill="1" applyAlignment="1" applyProtection="1">
      <alignment horizontal="left" indent="2"/>
    </xf>
    <xf numFmtId="15" fontId="99" fillId="0" borderId="0" xfId="0" applyNumberFormat="1" applyFont="1" applyFill="1" applyBorder="1" applyAlignment="1"/>
    <xf numFmtId="0" fontId="95" fillId="0" borderId="0" xfId="0" applyNumberFormat="1" applyFont="1" applyFill="1" applyBorder="1" applyAlignment="1">
      <alignment horizontal="center"/>
    </xf>
    <xf numFmtId="165" fontId="95" fillId="0" borderId="0" xfId="0" applyNumberFormat="1" applyFont="1" applyFill="1" applyBorder="1" applyAlignment="1">
      <alignment horizontal="left"/>
    </xf>
    <xf numFmtId="165" fontId="98" fillId="0" borderId="0" xfId="0" applyNumberFormat="1" applyFont="1" applyFill="1" applyBorder="1" applyAlignment="1">
      <alignment horizontal="left"/>
    </xf>
    <xf numFmtId="261" fontId="98" fillId="0" borderId="0" xfId="0" applyFont="1" applyAlignment="1"/>
    <xf numFmtId="261" fontId="98" fillId="0" borderId="0" xfId="0" applyFont="1" applyAlignment="1">
      <alignment horizontal="left"/>
    </xf>
    <xf numFmtId="0" fontId="99" fillId="0" borderId="0" xfId="0" applyNumberFormat="1" applyFont="1" applyAlignment="1">
      <alignment horizontal="center"/>
    </xf>
    <xf numFmtId="261" fontId="98" fillId="0" borderId="0" xfId="0" applyFont="1" applyFill="1" applyBorder="1" applyAlignment="1">
      <alignment horizontal="left"/>
    </xf>
    <xf numFmtId="177" fontId="64" fillId="0" borderId="0" xfId="0" applyNumberFormat="1" applyFont="1" applyFill="1" applyBorder="1"/>
    <xf numFmtId="171" fontId="23" fillId="0" borderId="0" xfId="0" applyNumberFormat="1" applyFont="1" applyAlignment="1" applyProtection="1">
      <alignment vertical="top"/>
    </xf>
    <xf numFmtId="261" fontId="0" fillId="2" borderId="34" xfId="0" applyFont="1" applyFill="1" applyBorder="1"/>
    <xf numFmtId="261" fontId="0" fillId="2" borderId="33" xfId="0" applyFont="1" applyFill="1" applyBorder="1"/>
    <xf numFmtId="261" fontId="39" fillId="2" borderId="31" xfId="0" applyFont="1" applyFill="1" applyBorder="1"/>
    <xf numFmtId="171" fontId="48" fillId="0" borderId="0" xfId="0" applyNumberFormat="1" applyFont="1" applyAlignment="1" applyProtection="1"/>
    <xf numFmtId="261" fontId="19" fillId="0" borderId="0" xfId="0" applyFont="1" applyBorder="1" applyAlignment="1"/>
    <xf numFmtId="261" fontId="19" fillId="0" borderId="24" xfId="0" applyFont="1" applyBorder="1" applyAlignment="1">
      <alignment horizontal="left" vertical="top"/>
    </xf>
    <xf numFmtId="261" fontId="0" fillId="0" borderId="0" xfId="0" applyFont="1" applyAlignment="1">
      <alignment horizontal="left" vertical="top"/>
    </xf>
    <xf numFmtId="261" fontId="0" fillId="0" borderId="0" xfId="0" applyFont="1" applyFill="1" applyBorder="1" applyAlignment="1">
      <alignment horizontal="left" vertical="top"/>
    </xf>
    <xf numFmtId="261" fontId="18" fillId="0" borderId="0" xfId="0" applyFont="1" applyBorder="1" applyAlignment="1">
      <alignment horizontal="left" vertical="top"/>
    </xf>
    <xf numFmtId="261" fontId="18" fillId="0" borderId="24" xfId="0" applyFont="1" applyBorder="1" applyAlignment="1"/>
    <xf numFmtId="261" fontId="19" fillId="0" borderId="0" xfId="0" applyFont="1" applyAlignment="1">
      <alignment horizontal="left" vertical="top"/>
    </xf>
    <xf numFmtId="261" fontId="18" fillId="0" borderId="0" xfId="0" applyFont="1" applyFill="1" applyAlignment="1">
      <alignment horizontal="left" vertical="top"/>
    </xf>
    <xf numFmtId="261" fontId="18" fillId="0" borderId="25" xfId="0" applyFont="1" applyFill="1" applyBorder="1" applyAlignment="1">
      <alignment horizontal="left" vertical="top"/>
    </xf>
    <xf numFmtId="261" fontId="19" fillId="0" borderId="0" xfId="0" applyFont="1" applyBorder="1" applyAlignment="1">
      <alignment horizontal="left" vertical="top"/>
    </xf>
    <xf numFmtId="0" fontId="1" fillId="0" borderId="0" xfId="0" applyNumberFormat="1" applyFont="1" applyAlignment="1"/>
    <xf numFmtId="261" fontId="19" fillId="0" borderId="25" xfId="0" applyFont="1" applyBorder="1" applyAlignment="1">
      <alignment horizontal="left" vertical="top"/>
    </xf>
    <xf numFmtId="178" fontId="79" fillId="0" borderId="0" xfId="0" applyNumberFormat="1" applyFont="1" applyBorder="1" applyAlignment="1">
      <alignment horizontal="right"/>
    </xf>
    <xf numFmtId="261" fontId="39" fillId="11" borderId="0" xfId="0" applyFont="1" applyFill="1" applyBorder="1" applyAlignment="1" applyProtection="1">
      <alignment horizontal="right"/>
    </xf>
    <xf numFmtId="165" fontId="98" fillId="5" borderId="0" xfId="0" applyNumberFormat="1" applyFont="1" applyFill="1" applyBorder="1" applyAlignment="1" applyProtection="1">
      <alignment horizontal="left" indent="2"/>
    </xf>
    <xf numFmtId="0" fontId="95" fillId="5" borderId="0" xfId="0" applyNumberFormat="1" applyFont="1" applyFill="1" applyBorder="1" applyAlignment="1">
      <alignment horizontal="center"/>
    </xf>
    <xf numFmtId="165" fontId="98" fillId="5" borderId="0" xfId="0" applyNumberFormat="1" applyFont="1" applyFill="1" applyBorder="1" applyAlignment="1">
      <alignment horizontal="center"/>
    </xf>
    <xf numFmtId="165" fontId="101" fillId="5" borderId="0" xfId="0" applyNumberFormat="1" applyFont="1" applyFill="1" applyBorder="1" applyAlignment="1">
      <alignment horizontal="left"/>
    </xf>
    <xf numFmtId="174" fontId="0" fillId="6" borderId="0" xfId="0" applyNumberFormat="1" applyFont="1" applyFill="1" applyAlignment="1"/>
    <xf numFmtId="261" fontId="0" fillId="0" borderId="28" xfId="0" applyFont="1" applyFill="1" applyBorder="1" applyAlignment="1">
      <alignment horizontal="right" wrapText="1"/>
    </xf>
    <xf numFmtId="171" fontId="0" fillId="0" borderId="28" xfId="0" applyNumberFormat="1" applyFont="1" applyFill="1" applyBorder="1" applyAlignment="1">
      <alignment horizontal="right" wrapText="1"/>
    </xf>
    <xf numFmtId="261" fontId="0" fillId="0" borderId="30" xfId="0" applyFont="1" applyBorder="1" applyAlignment="1">
      <alignment horizontal="left"/>
    </xf>
    <xf numFmtId="0" fontId="48" fillId="0" borderId="0" xfId="0" applyNumberFormat="1" applyFont="1" applyAlignment="1" applyProtection="1"/>
    <xf numFmtId="15" fontId="0" fillId="0" borderId="0" xfId="0" applyNumberFormat="1" applyFont="1" applyFill="1" applyBorder="1"/>
    <xf numFmtId="174" fontId="19" fillId="0" borderId="0" xfId="0" applyNumberFormat="1" applyFont="1" applyAlignment="1">
      <alignment horizontal="right" vertical="top"/>
    </xf>
    <xf numFmtId="165" fontId="102" fillId="0" borderId="0" xfId="0" applyNumberFormat="1" applyFont="1" applyFill="1" applyAlignment="1">
      <alignment horizontal="left"/>
    </xf>
    <xf numFmtId="261" fontId="18" fillId="0" borderId="0" xfId="0" applyFont="1" applyBorder="1" applyAlignment="1"/>
    <xf numFmtId="261" fontId="9" fillId="0" borderId="0" xfId="0" applyFont="1" applyAlignment="1">
      <alignment horizontal="left"/>
    </xf>
    <xf numFmtId="261" fontId="95" fillId="0" borderId="0" xfId="0" applyFont="1" applyAlignment="1">
      <alignment horizontal="left"/>
    </xf>
    <xf numFmtId="261" fontId="96" fillId="0" borderId="0" xfId="0" applyFont="1" applyAlignment="1">
      <alignment horizontal="left"/>
    </xf>
    <xf numFmtId="261" fontId="65" fillId="0" borderId="0" xfId="0" applyFont="1" applyAlignment="1"/>
    <xf numFmtId="261" fontId="54" fillId="0" borderId="0" xfId="0" applyFont="1" applyAlignment="1"/>
    <xf numFmtId="261" fontId="54" fillId="0" borderId="0" xfId="0" applyFont="1" applyFill="1" applyBorder="1" applyAlignment="1"/>
    <xf numFmtId="261" fontId="19" fillId="0" borderId="24" xfId="0" applyFont="1" applyBorder="1" applyAlignment="1">
      <alignment horizontal="right"/>
    </xf>
    <xf numFmtId="261" fontId="19" fillId="0" borderId="28" xfId="0" applyFont="1" applyBorder="1" applyAlignment="1">
      <alignment horizontal="left" vertical="top"/>
    </xf>
    <xf numFmtId="226" fontId="23" fillId="0" borderId="0" xfId="0" applyNumberFormat="1" applyFont="1" applyFill="1" applyAlignment="1" applyProtection="1"/>
    <xf numFmtId="261" fontId="18" fillId="5" borderId="0" xfId="0" applyFont="1" applyFill="1"/>
    <xf numFmtId="0" fontId="68" fillId="6" borderId="0" xfId="0" applyNumberFormat="1" applyFont="1" applyFill="1" applyBorder="1" applyAlignment="1">
      <alignment horizontal="right"/>
    </xf>
    <xf numFmtId="261" fontId="103" fillId="0" borderId="25" xfId="0" applyFont="1" applyBorder="1"/>
    <xf numFmtId="261" fontId="93" fillId="0" borderId="0" xfId="0" applyFont="1"/>
    <xf numFmtId="205" fontId="50" fillId="0" borderId="0" xfId="0" applyNumberFormat="1" applyFont="1" applyAlignment="1">
      <alignment vertical="top"/>
    </xf>
    <xf numFmtId="205" fontId="50" fillId="0" borderId="0" xfId="0" applyNumberFormat="1" applyFont="1" applyAlignment="1"/>
    <xf numFmtId="205" fontId="50" fillId="0" borderId="0" xfId="0" applyNumberFormat="1" applyFont="1" applyAlignment="1">
      <alignment horizontal="left" vertical="top" wrapText="1"/>
    </xf>
    <xf numFmtId="244" fontId="18" fillId="0" borderId="0" xfId="0" applyNumberFormat="1" applyFont="1" applyBorder="1" applyAlignment="1">
      <alignment horizontal="right" vertical="top"/>
    </xf>
    <xf numFmtId="164" fontId="18" fillId="0" borderId="0" xfId="0" applyNumberFormat="1" applyFont="1" applyBorder="1" applyAlignment="1">
      <alignment horizontal="right" vertical="top"/>
    </xf>
    <xf numFmtId="205" fontId="50" fillId="0" borderId="0" xfId="0" applyNumberFormat="1" applyFont="1" applyAlignment="1">
      <alignment horizontal="left"/>
    </xf>
    <xf numFmtId="244" fontId="18" fillId="0" borderId="0" xfId="0" applyNumberFormat="1" applyFont="1" applyBorder="1" applyAlignment="1">
      <alignment horizontal="right"/>
    </xf>
    <xf numFmtId="164" fontId="18" fillId="0" borderId="0" xfId="0" applyNumberFormat="1" applyFont="1" applyBorder="1" applyAlignment="1">
      <alignment horizontal="right"/>
    </xf>
    <xf numFmtId="205" fontId="50" fillId="0" borderId="0" xfId="0" applyNumberFormat="1" applyFont="1" applyAlignment="1">
      <alignment vertical="top" wrapText="1"/>
    </xf>
    <xf numFmtId="205" fontId="50" fillId="0" borderId="0" xfId="0" applyNumberFormat="1" applyFont="1" applyAlignment="1">
      <alignment horizontal="center" vertical="top"/>
    </xf>
    <xf numFmtId="261" fontId="50" fillId="0" borderId="0" xfId="0" applyFont="1" applyAlignment="1">
      <alignment horizontal="left" vertical="top"/>
    </xf>
    <xf numFmtId="0" fontId="18" fillId="0" borderId="0" xfId="0" applyNumberFormat="1" applyFont="1" applyAlignment="1">
      <alignment horizontal="left" vertical="top" wrapText="1"/>
    </xf>
    <xf numFmtId="240" fontId="106" fillId="0" borderId="0" xfId="0" applyNumberFormat="1" applyFont="1" applyAlignment="1">
      <alignment horizontal="right" vertical="top"/>
    </xf>
    <xf numFmtId="242" fontId="53" fillId="0" borderId="0" xfId="0" applyNumberFormat="1" applyFont="1" applyAlignment="1">
      <alignment vertical="center"/>
    </xf>
    <xf numFmtId="240" fontId="107" fillId="0" borderId="0" xfId="0" applyNumberFormat="1" applyFont="1" applyAlignment="1">
      <alignment horizontal="right" vertical="top"/>
    </xf>
    <xf numFmtId="0" fontId="108" fillId="0" borderId="0" xfId="0" applyNumberFormat="1" applyFont="1" applyAlignment="1" applyProtection="1">
      <alignment vertical="center"/>
      <protection locked="0"/>
    </xf>
    <xf numFmtId="240" fontId="109" fillId="0" borderId="0" xfId="0" applyNumberFormat="1" applyFont="1" applyAlignment="1" applyProtection="1">
      <alignment horizontal="right" vertical="top"/>
      <protection locked="0"/>
    </xf>
    <xf numFmtId="240" fontId="109" fillId="0" borderId="0" xfId="0" applyNumberFormat="1" applyFont="1" applyAlignment="1">
      <alignment horizontal="right" vertical="top"/>
    </xf>
    <xf numFmtId="0" fontId="110" fillId="0" borderId="0" xfId="0" applyNumberFormat="1" applyFont="1" applyAlignment="1" applyProtection="1">
      <alignment vertical="center"/>
      <protection locked="0"/>
    </xf>
    <xf numFmtId="240" fontId="111" fillId="0" borderId="0" xfId="0" applyNumberFormat="1" applyFont="1" applyAlignment="1">
      <alignment horizontal="right" vertical="top"/>
    </xf>
    <xf numFmtId="241" fontId="112" fillId="0" borderId="0" xfId="0" applyNumberFormat="1" applyFont="1" applyAlignment="1">
      <alignment horizontal="left" vertical="center"/>
    </xf>
    <xf numFmtId="208" fontId="34" fillId="0" borderId="0" xfId="0" applyNumberFormat="1" applyFont="1" applyBorder="1" applyAlignment="1">
      <alignment horizontal="right" wrapText="1"/>
    </xf>
    <xf numFmtId="232" fontId="34" fillId="0" borderId="0" xfId="0" applyNumberFormat="1" applyFont="1" applyBorder="1" applyAlignment="1">
      <alignment horizontal="right" wrapText="1"/>
    </xf>
    <xf numFmtId="261" fontId="0" fillId="0" borderId="0" xfId="0" applyFont="1" applyFill="1" applyBorder="1" applyAlignment="1">
      <alignment horizontal="left" vertical="top" wrapText="1" indent="1"/>
    </xf>
    <xf numFmtId="261" fontId="1" fillId="6" borderId="0" xfId="0" applyFont="1" applyFill="1" applyAlignment="1">
      <alignment horizontal="left"/>
    </xf>
    <xf numFmtId="171" fontId="115" fillId="0" borderId="0" xfId="0" applyNumberFormat="1" applyFont="1" applyAlignment="1" applyProtection="1">
      <alignment horizontal="left"/>
    </xf>
    <xf numFmtId="174" fontId="115" fillId="0" borderId="0" xfId="0" applyNumberFormat="1" applyFont="1" applyAlignment="1" applyProtection="1">
      <alignment vertical="top"/>
    </xf>
    <xf numFmtId="171" fontId="64" fillId="6" borderId="3" xfId="0" applyNumberFormat="1" applyFont="1" applyFill="1" applyBorder="1" applyAlignment="1" applyProtection="1">
      <alignment horizontal="center"/>
      <protection locked="0"/>
    </xf>
    <xf numFmtId="175" fontId="24" fillId="0" borderId="0" xfId="0" applyNumberFormat="1" applyFont="1" applyAlignment="1">
      <alignment horizontal="right"/>
    </xf>
    <xf numFmtId="175" fontId="34" fillId="0" borderId="28" xfId="0" applyNumberFormat="1" applyFont="1" applyBorder="1" applyAlignment="1">
      <alignment horizontal="right"/>
    </xf>
    <xf numFmtId="174" fontId="0" fillId="3" borderId="0" xfId="0" applyNumberFormat="1" applyFill="1" applyAlignment="1"/>
    <xf numFmtId="174" fontId="114" fillId="3" borderId="0" xfId="0" applyNumberFormat="1" applyFont="1" applyFill="1" applyAlignment="1"/>
    <xf numFmtId="165" fontId="115" fillId="0" borderId="0" xfId="0" applyNumberFormat="1" applyFont="1" applyFill="1" applyAlignment="1" applyProtection="1">
      <alignment horizontal="left"/>
    </xf>
    <xf numFmtId="0" fontId="18" fillId="0" borderId="26" xfId="0" applyNumberFormat="1" applyFont="1" applyBorder="1" applyAlignment="1">
      <alignment horizontal="center" wrapText="1"/>
    </xf>
    <xf numFmtId="0" fontId="18" fillId="0" borderId="26" xfId="0" applyNumberFormat="1" applyFont="1" applyBorder="1" applyAlignment="1"/>
    <xf numFmtId="0" fontId="18" fillId="0" borderId="0" xfId="0" applyNumberFormat="1" applyFont="1" applyBorder="1" applyAlignment="1">
      <alignment horizontal="left"/>
    </xf>
    <xf numFmtId="261" fontId="34" fillId="0" borderId="0" xfId="0" applyFont="1" applyAlignment="1">
      <alignment horizontal="left" vertical="top" wrapText="1"/>
    </xf>
    <xf numFmtId="0" fontId="46" fillId="0" borderId="0" xfId="0" applyNumberFormat="1" applyFont="1" applyAlignment="1" applyProtection="1"/>
    <xf numFmtId="172" fontId="24" fillId="0" borderId="0" xfId="0" applyNumberFormat="1" applyFont="1" applyBorder="1" applyAlignment="1">
      <alignment horizontal="right"/>
    </xf>
    <xf numFmtId="172" fontId="0" fillId="0" borderId="0" xfId="0" applyNumberFormat="1" applyFont="1" applyAlignment="1">
      <alignment horizontal="right"/>
    </xf>
    <xf numFmtId="174" fontId="119" fillId="0" borderId="0" xfId="0" quotePrefix="1" applyNumberFormat="1" applyFont="1" applyBorder="1" applyAlignment="1">
      <alignment horizontal="left"/>
    </xf>
    <xf numFmtId="174" fontId="119" fillId="0" borderId="0" xfId="0" applyNumberFormat="1" applyFont="1" applyAlignment="1"/>
    <xf numFmtId="174" fontId="121" fillId="0" borderId="0" xfId="0" applyNumberFormat="1" applyFont="1" applyAlignment="1"/>
    <xf numFmtId="174" fontId="120" fillId="0" borderId="0" xfId="0" applyNumberFormat="1" applyFont="1" applyAlignment="1"/>
    <xf numFmtId="174" fontId="119" fillId="0" borderId="0" xfId="0" applyNumberFormat="1" applyFont="1" applyAlignment="1">
      <alignment horizontal="left"/>
    </xf>
    <xf numFmtId="174" fontId="121" fillId="0" borderId="0" xfId="0" applyNumberFormat="1" applyFont="1" applyAlignment="1">
      <alignment horizontal="right"/>
    </xf>
    <xf numFmtId="174" fontId="119" fillId="0" borderId="0" xfId="0" applyNumberFormat="1" applyFont="1" applyBorder="1" applyAlignment="1">
      <alignment horizontal="right"/>
    </xf>
    <xf numFmtId="174" fontId="119" fillId="0" borderId="0" xfId="0" applyNumberFormat="1" applyFont="1" applyFill="1" applyAlignment="1">
      <alignment horizontal="left"/>
    </xf>
    <xf numFmtId="174" fontId="118" fillId="0" borderId="0" xfId="0" applyNumberFormat="1" applyFont="1" applyAlignment="1" applyProtection="1">
      <alignment horizontal="left"/>
    </xf>
    <xf numFmtId="174" fontId="118" fillId="0" borderId="0" xfId="0" applyNumberFormat="1" applyFont="1" applyAlignment="1" applyProtection="1"/>
    <xf numFmtId="174" fontId="118" fillId="0" borderId="0" xfId="0" applyNumberFormat="1" applyFont="1" applyFill="1" applyAlignment="1" applyProtection="1"/>
    <xf numFmtId="9" fontId="120" fillId="0" borderId="0" xfId="0" applyNumberFormat="1" applyFont="1" applyBorder="1" applyAlignment="1"/>
    <xf numFmtId="174" fontId="118" fillId="0" borderId="0" xfId="0" applyNumberFormat="1" applyFont="1" applyBorder="1" applyAlignment="1" applyProtection="1">
      <alignment horizontal="right"/>
    </xf>
    <xf numFmtId="174" fontId="123" fillId="0" borderId="0" xfId="0" applyNumberFormat="1" applyFont="1" applyAlignment="1">
      <alignment horizontal="right"/>
    </xf>
    <xf numFmtId="174" fontId="118" fillId="0" borderId="0" xfId="0" applyNumberFormat="1" applyFont="1" applyBorder="1" applyAlignment="1" applyProtection="1">
      <alignment horizontal="left"/>
    </xf>
    <xf numFmtId="174" fontId="118" fillId="0" borderId="0" xfId="0" applyNumberFormat="1" applyFont="1" applyFill="1" applyBorder="1" applyAlignment="1" applyProtection="1">
      <alignment horizontal="left"/>
    </xf>
    <xf numFmtId="174" fontId="119" fillId="0" borderId="0" xfId="0" applyNumberFormat="1" applyFont="1" applyAlignment="1">
      <alignment horizontal="right"/>
    </xf>
    <xf numFmtId="174" fontId="119" fillId="0" borderId="0" xfId="0" applyNumberFormat="1" applyFont="1" applyFill="1" applyAlignment="1"/>
    <xf numFmtId="186" fontId="19" fillId="0" borderId="25" xfId="0" applyNumberFormat="1" applyFont="1" applyBorder="1" applyAlignment="1">
      <alignment horizontal="left"/>
    </xf>
    <xf numFmtId="261" fontId="0" fillId="0" borderId="25" xfId="0" applyBorder="1"/>
    <xf numFmtId="247" fontId="19" fillId="0" borderId="25" xfId="0" applyNumberFormat="1" applyFont="1" applyFill="1" applyBorder="1" applyAlignment="1">
      <alignment horizontal="right"/>
    </xf>
    <xf numFmtId="174" fontId="24" fillId="0" borderId="0" xfId="0" applyNumberFormat="1" applyFont="1" applyBorder="1" applyAlignment="1"/>
    <xf numFmtId="174" fontId="34" fillId="0" borderId="0" xfId="0" applyNumberFormat="1" applyFont="1" applyBorder="1" applyAlignment="1">
      <alignment horizontal="right"/>
    </xf>
    <xf numFmtId="174" fontId="24" fillId="0" borderId="0" xfId="0" applyNumberFormat="1" applyFont="1" applyBorder="1" applyAlignment="1">
      <alignment horizontal="right"/>
    </xf>
    <xf numFmtId="246" fontId="0" fillId="0" borderId="0" xfId="0" applyNumberFormat="1" applyFont="1"/>
    <xf numFmtId="171" fontId="0" fillId="0" borderId="0" xfId="0" applyNumberFormat="1" applyFont="1"/>
    <xf numFmtId="248" fontId="0" fillId="0" borderId="0" xfId="0" applyNumberFormat="1" applyFont="1"/>
    <xf numFmtId="185" fontId="0" fillId="0" borderId="0" xfId="0" applyNumberFormat="1"/>
    <xf numFmtId="185" fontId="0" fillId="0" borderId="0" xfId="0" applyNumberFormat="1" applyFont="1"/>
    <xf numFmtId="171" fontId="0" fillId="0" borderId="0" xfId="0" applyNumberFormat="1"/>
    <xf numFmtId="2" fontId="64" fillId="0" borderId="0" xfId="0" applyNumberFormat="1" applyFont="1" applyAlignment="1">
      <alignment horizontal="right"/>
    </xf>
    <xf numFmtId="174" fontId="34" fillId="0" borderId="0" xfId="0" applyNumberFormat="1" applyFont="1" applyFill="1" applyBorder="1" applyAlignment="1"/>
    <xf numFmtId="174" fontId="0" fillId="0" borderId="0" xfId="0" applyNumberFormat="1" applyFont="1" applyFill="1" applyBorder="1" applyAlignment="1">
      <alignment horizontal="left" indent="2"/>
    </xf>
    <xf numFmtId="249" fontId="24" fillId="0" borderId="0" xfId="0" applyNumberFormat="1" applyFont="1" applyAlignment="1">
      <alignment horizontal="right"/>
    </xf>
    <xf numFmtId="261" fontId="10" fillId="19" borderId="0" xfId="0" applyFont="1" applyFill="1" applyBorder="1" applyAlignment="1">
      <alignment horizontal="right"/>
    </xf>
    <xf numFmtId="261" fontId="0" fillId="19" borderId="0" xfId="0" applyFont="1" applyFill="1" applyAlignment="1">
      <alignment horizontal="right"/>
    </xf>
    <xf numFmtId="261" fontId="34" fillId="6" borderId="0" xfId="0" applyFont="1" applyFill="1"/>
    <xf numFmtId="180" fontId="19" fillId="6" borderId="0" xfId="0" applyNumberFormat="1" applyFont="1" applyFill="1" applyBorder="1" applyAlignment="1">
      <alignment horizontal="right"/>
    </xf>
    <xf numFmtId="180" fontId="19" fillId="6" borderId="4" xfId="0" applyNumberFormat="1" applyFont="1" applyFill="1" applyBorder="1" applyAlignment="1">
      <alignment horizontal="right"/>
    </xf>
    <xf numFmtId="171" fontId="19" fillId="6" borderId="0" xfId="0" applyNumberFormat="1" applyFont="1" applyFill="1" applyBorder="1" applyAlignment="1">
      <alignment horizontal="right"/>
    </xf>
    <xf numFmtId="176" fontId="0" fillId="6" borderId="0" xfId="0" applyNumberFormat="1" applyFill="1"/>
    <xf numFmtId="176" fontId="0" fillId="6" borderId="37" xfId="0" applyNumberFormat="1" applyFill="1" applyBorder="1"/>
    <xf numFmtId="261" fontId="0" fillId="6" borderId="0" xfId="0" applyFill="1" applyBorder="1"/>
    <xf numFmtId="171" fontId="0" fillId="0" borderId="25" xfId="0" applyNumberFormat="1" applyBorder="1"/>
    <xf numFmtId="172" fontId="24" fillId="0" borderId="0" xfId="0" applyNumberFormat="1" applyFont="1" applyFill="1" applyBorder="1" applyAlignment="1" applyProtection="1">
      <alignment horizontal="right"/>
      <protection locked="0"/>
    </xf>
    <xf numFmtId="172" fontId="34" fillId="0" borderId="0" xfId="0" applyNumberFormat="1" applyFont="1" applyAlignment="1">
      <alignment horizontal="right"/>
    </xf>
    <xf numFmtId="165" fontId="98" fillId="0" borderId="0" xfId="0" applyNumberFormat="1" applyFont="1" applyFill="1" applyBorder="1" applyAlignment="1" applyProtection="1">
      <alignment horizontal="left" indent="2"/>
    </xf>
    <xf numFmtId="165" fontId="98" fillId="0" borderId="0" xfId="0" applyNumberFormat="1" applyFont="1" applyFill="1" applyBorder="1" applyAlignment="1">
      <alignment horizontal="center"/>
    </xf>
    <xf numFmtId="261" fontId="34" fillId="6" borderId="43" xfId="0" applyFont="1" applyFill="1" applyBorder="1"/>
    <xf numFmtId="261" fontId="34" fillId="6" borderId="43" xfId="0" applyFont="1" applyFill="1" applyBorder="1" applyAlignment="1">
      <alignment horizontal="right"/>
    </xf>
    <xf numFmtId="261" fontId="34" fillId="0" borderId="43" xfId="0" applyFont="1" applyBorder="1"/>
    <xf numFmtId="174" fontId="18" fillId="0" borderId="43" xfId="0" applyNumberFormat="1" applyFont="1" applyBorder="1" applyAlignment="1">
      <alignment horizontal="right"/>
    </xf>
    <xf numFmtId="261" fontId="117" fillId="11" borderId="43" xfId="0" applyFont="1" applyFill="1" applyBorder="1" applyAlignment="1">
      <alignment horizontal="right"/>
    </xf>
    <xf numFmtId="174" fontId="124" fillId="6" borderId="0" xfId="0" applyNumberFormat="1" applyFont="1" applyFill="1" applyAlignment="1"/>
    <xf numFmtId="205" fontId="50" fillId="0" borderId="0" xfId="0" applyNumberFormat="1" applyFont="1" applyAlignment="1">
      <alignment horizontal="left" indent="1"/>
    </xf>
    <xf numFmtId="2" fontId="64" fillId="0" borderId="0" xfId="0" applyNumberFormat="1" applyFont="1" applyAlignment="1">
      <alignment horizontal="right" indent="1"/>
    </xf>
    <xf numFmtId="171" fontId="1" fillId="0" borderId="0" xfId="0" applyNumberFormat="1" applyFont="1" applyFill="1" applyBorder="1" applyAlignment="1" applyProtection="1">
      <alignment horizontal="right"/>
      <protection locked="0"/>
    </xf>
    <xf numFmtId="171" fontId="2" fillId="0" borderId="0" xfId="0" applyNumberFormat="1" applyFont="1" applyFill="1" applyBorder="1" applyAlignment="1" applyProtection="1">
      <alignment horizontal="right"/>
      <protection locked="0"/>
    </xf>
    <xf numFmtId="171" fontId="10" fillId="0" borderId="0" xfId="0" applyNumberFormat="1" applyFont="1" applyAlignment="1">
      <alignment horizontal="right"/>
    </xf>
    <xf numFmtId="261" fontId="125" fillId="0" borderId="0" xfId="0" quotePrefix="1" applyFont="1" applyFill="1"/>
    <xf numFmtId="224" fontId="36" fillId="0" borderId="0" xfId="0" applyNumberFormat="1" applyFont="1" applyFill="1" applyBorder="1" applyAlignment="1"/>
    <xf numFmtId="171" fontId="19" fillId="0" borderId="0" xfId="0" applyNumberFormat="1" applyFont="1" applyBorder="1" applyAlignment="1">
      <alignment horizontal="left"/>
    </xf>
    <xf numFmtId="174" fontId="19" fillId="0" borderId="0" xfId="0" applyNumberFormat="1" applyFont="1" applyBorder="1" applyAlignment="1"/>
    <xf numFmtId="250" fontId="1" fillId="0" borderId="0" xfId="0" applyNumberFormat="1" applyFont="1" applyFill="1" applyBorder="1" applyAlignment="1" applyProtection="1">
      <alignment horizontal="left"/>
      <protection locked="0"/>
    </xf>
    <xf numFmtId="261" fontId="0" fillId="26" borderId="0" xfId="0" applyFill="1"/>
    <xf numFmtId="261" fontId="0" fillId="9" borderId="0" xfId="0" applyFont="1" applyFill="1"/>
    <xf numFmtId="261" fontId="46" fillId="0" borderId="0" xfId="0" applyFont="1" applyAlignment="1">
      <alignment horizontal="right"/>
    </xf>
    <xf numFmtId="261" fontId="46" fillId="0" borderId="0" xfId="0" applyFont="1" applyAlignment="1">
      <alignment horizontal="left" indent="1"/>
    </xf>
    <xf numFmtId="0" fontId="0" fillId="0" borderId="0" xfId="0" applyNumberFormat="1" applyAlignment="1">
      <alignment horizontal="right"/>
    </xf>
    <xf numFmtId="0" fontId="24" fillId="0" borderId="0" xfId="0" applyNumberFormat="1" applyFont="1" applyAlignment="1">
      <alignment horizontal="right"/>
    </xf>
    <xf numFmtId="174" fontId="21" fillId="6" borderId="0" xfId="0" applyNumberFormat="1" applyFont="1" applyFill="1" applyBorder="1" applyAlignment="1"/>
    <xf numFmtId="172" fontId="24" fillId="6" borderId="0" xfId="0" applyNumberFormat="1" applyFont="1" applyFill="1"/>
    <xf numFmtId="175" fontId="24" fillId="0" borderId="0" xfId="0" applyNumberFormat="1" applyFont="1" applyFill="1" applyAlignment="1">
      <alignment horizontal="right"/>
    </xf>
    <xf numFmtId="175" fontId="34" fillId="0" borderId="28" xfId="0" applyNumberFormat="1" applyFont="1" applyFill="1" applyBorder="1" applyAlignment="1">
      <alignment horizontal="right"/>
    </xf>
    <xf numFmtId="171" fontId="18" fillId="5" borderId="0" xfId="0" applyNumberFormat="1" applyFont="1" applyFill="1" applyAlignment="1" applyProtection="1"/>
    <xf numFmtId="261" fontId="0" fillId="0" borderId="0" xfId="0" quotePrefix="1" applyFont="1" applyAlignment="1"/>
    <xf numFmtId="174" fontId="23" fillId="0" borderId="22" xfId="0" applyNumberFormat="1" applyFont="1" applyBorder="1" applyAlignment="1" applyProtection="1"/>
    <xf numFmtId="261" fontId="0" fillId="0" borderId="0" xfId="0" applyProtection="1"/>
    <xf numFmtId="37" fontId="42" fillId="6" borderId="0" xfId="0" applyNumberFormat="1" applyFont="1" applyFill="1" applyAlignment="1"/>
    <xf numFmtId="174" fontId="1" fillId="0" borderId="0" xfId="0" applyNumberFormat="1" applyFont="1" applyBorder="1" applyAlignment="1">
      <alignment horizontal="center"/>
    </xf>
    <xf numFmtId="261" fontId="18" fillId="7" borderId="0" xfId="0" applyFont="1" applyFill="1" applyBorder="1"/>
    <xf numFmtId="261" fontId="0" fillId="0" borderId="0" xfId="0" applyAlignment="1">
      <alignment horizontal="left"/>
    </xf>
    <xf numFmtId="261" fontId="18" fillId="0" borderId="24" xfId="0" applyFont="1" applyBorder="1" applyAlignment="1">
      <alignment horizontal="left" vertical="top"/>
    </xf>
    <xf numFmtId="223" fontId="19" fillId="0" borderId="24" xfId="0" applyNumberFormat="1" applyFont="1" applyBorder="1" applyAlignment="1">
      <alignment horizontal="right" vertical="top"/>
    </xf>
    <xf numFmtId="224" fontId="18" fillId="0" borderId="24" xfId="0" applyNumberFormat="1" applyFont="1" applyBorder="1" applyAlignment="1">
      <alignment horizontal="right" vertical="top"/>
    </xf>
    <xf numFmtId="261" fontId="18" fillId="0" borderId="24" xfId="0" applyFont="1" applyBorder="1" applyAlignment="1">
      <alignment horizontal="left" vertical="top" wrapText="1"/>
    </xf>
    <xf numFmtId="261" fontId="126" fillId="0" borderId="0" xfId="0" applyFont="1" applyFill="1"/>
    <xf numFmtId="261" fontId="19" fillId="0" borderId="24" xfId="0" applyFont="1" applyFill="1" applyBorder="1" applyAlignment="1">
      <alignment horizontal="right" vertical="top"/>
    </xf>
    <xf numFmtId="261" fontId="127" fillId="0" borderId="46" xfId="0" applyFont="1" applyBorder="1" applyAlignment="1">
      <alignment horizontal="center" vertical="center" wrapText="1"/>
    </xf>
    <xf numFmtId="261" fontId="127" fillId="0" borderId="53" xfId="0" applyFont="1" applyBorder="1" applyAlignment="1">
      <alignment horizontal="center" vertical="center" wrapText="1"/>
    </xf>
    <xf numFmtId="261" fontId="127" fillId="0" borderId="49" xfId="0" applyFont="1" applyBorder="1" applyAlignment="1">
      <alignment horizontal="center" vertical="center" wrapText="1"/>
    </xf>
    <xf numFmtId="261" fontId="127" fillId="0" borderId="49" xfId="0" applyFont="1" applyFill="1" applyBorder="1" applyAlignment="1">
      <alignment horizontal="center" vertical="center" wrapText="1"/>
    </xf>
    <xf numFmtId="261" fontId="127" fillId="0" borderId="50" xfId="0" applyFont="1" applyBorder="1" applyAlignment="1">
      <alignment horizontal="center" vertical="center" wrapText="1"/>
    </xf>
    <xf numFmtId="261" fontId="127" fillId="0" borderId="47" xfId="0" applyFont="1" applyBorder="1" applyAlignment="1">
      <alignment horizontal="center" vertical="center" wrapText="1"/>
    </xf>
    <xf numFmtId="261" fontId="0" fillId="0" borderId="53" xfId="0" applyBorder="1" applyAlignment="1">
      <alignment horizontal="center" vertical="center" wrapText="1"/>
    </xf>
    <xf numFmtId="261" fontId="0" fillId="0" borderId="49" xfId="0" applyBorder="1" applyAlignment="1">
      <alignment horizontal="center" vertical="center" wrapText="1"/>
    </xf>
    <xf numFmtId="261" fontId="0" fillId="0" borderId="49" xfId="0" applyFill="1" applyBorder="1" applyAlignment="1">
      <alignment horizontal="center" vertical="center" wrapText="1"/>
    </xf>
    <xf numFmtId="261" fontId="0" fillId="0" borderId="50" xfId="0" applyBorder="1" applyAlignment="1">
      <alignment horizontal="center" vertical="center" wrapText="1"/>
    </xf>
    <xf numFmtId="261" fontId="0" fillId="0" borderId="54" xfId="0" applyBorder="1" applyAlignment="1">
      <alignment horizontal="center" vertical="center" wrapText="1"/>
    </xf>
    <xf numFmtId="261" fontId="0" fillId="0" borderId="7" xfId="0" applyBorder="1" applyAlignment="1">
      <alignment horizontal="center" vertical="center" wrapText="1"/>
    </xf>
    <xf numFmtId="261" fontId="0" fillId="0" borderId="7" xfId="0" applyFill="1" applyBorder="1" applyAlignment="1">
      <alignment horizontal="center" vertical="center" wrapText="1"/>
    </xf>
    <xf numFmtId="261" fontId="0" fillId="0" borderId="51" xfId="0" applyBorder="1" applyAlignment="1">
      <alignment horizontal="center" vertical="center" wrapText="1"/>
    </xf>
    <xf numFmtId="261" fontId="127" fillId="0" borderId="48" xfId="0" applyFont="1" applyBorder="1" applyAlignment="1">
      <alignment horizontal="center" vertical="center" wrapText="1"/>
    </xf>
    <xf numFmtId="261" fontId="0" fillId="0" borderId="55" xfId="0" applyBorder="1" applyAlignment="1">
      <alignment horizontal="center" vertical="center" wrapText="1"/>
    </xf>
    <xf numFmtId="261" fontId="0" fillId="0" borderId="56" xfId="0" applyBorder="1" applyAlignment="1">
      <alignment horizontal="center" vertical="center" wrapText="1"/>
    </xf>
    <xf numFmtId="261" fontId="0" fillId="0" borderId="56" xfId="0" applyFill="1" applyBorder="1" applyAlignment="1">
      <alignment horizontal="center" vertical="center" wrapText="1"/>
    </xf>
    <xf numFmtId="261" fontId="0" fillId="0" borderId="52" xfId="0" applyBorder="1" applyAlignment="1">
      <alignment horizontal="center" vertical="center" wrapText="1"/>
    </xf>
    <xf numFmtId="172" fontId="18" fillId="5" borderId="0" xfId="0" applyNumberFormat="1" applyFont="1" applyFill="1" applyAlignment="1">
      <alignment horizontal="right" vertical="top"/>
    </xf>
    <xf numFmtId="188" fontId="19" fillId="0" borderId="43" xfId="0" applyNumberFormat="1" applyFont="1" applyBorder="1" applyAlignment="1"/>
    <xf numFmtId="10" fontId="18" fillId="6" borderId="43" xfId="0" applyNumberFormat="1" applyFont="1" applyFill="1" applyBorder="1" applyAlignment="1"/>
    <xf numFmtId="10" fontId="18" fillId="0" borderId="43" xfId="0" applyNumberFormat="1" applyFont="1" applyFill="1" applyBorder="1" applyAlignment="1"/>
    <xf numFmtId="10" fontId="18" fillId="0" borderId="43" xfId="0" applyNumberFormat="1" applyFont="1" applyFill="1" applyBorder="1" applyAlignment="1">
      <alignment horizontal="right"/>
    </xf>
    <xf numFmtId="261" fontId="0" fillId="7" borderId="0" xfId="0" applyFill="1"/>
    <xf numFmtId="261" fontId="0" fillId="6" borderId="0" xfId="0" applyFill="1"/>
    <xf numFmtId="261" fontId="0" fillId="0" borderId="24" xfId="0" applyBorder="1"/>
    <xf numFmtId="261" fontId="128" fillId="0" borderId="0" xfId="0" applyFont="1" applyFill="1" applyBorder="1"/>
    <xf numFmtId="176" fontId="128" fillId="0" borderId="0" xfId="0" applyNumberFormat="1" applyFont="1" applyFill="1" applyBorder="1"/>
    <xf numFmtId="176" fontId="128" fillId="0" borderId="57" xfId="0" applyNumberFormat="1" applyFont="1" applyFill="1" applyBorder="1"/>
    <xf numFmtId="209" fontId="34" fillId="0" borderId="57" xfId="0" applyNumberFormat="1" applyFont="1" applyBorder="1" applyAlignment="1">
      <alignment horizontal="right" wrapText="1"/>
    </xf>
    <xf numFmtId="261" fontId="18" fillId="0" borderId="57" xfId="0" applyFont="1" applyFill="1" applyBorder="1" applyAlignment="1">
      <alignment horizontal="right" vertical="top"/>
    </xf>
    <xf numFmtId="261" fontId="0" fillId="0" borderId="57" xfId="0" applyBorder="1" applyAlignment="1">
      <alignment horizontal="right"/>
    </xf>
    <xf numFmtId="261" fontId="19" fillId="0" borderId="60" xfId="0" applyFont="1" applyFill="1" applyBorder="1" applyAlignment="1">
      <alignment horizontal="right" vertical="top"/>
    </xf>
    <xf numFmtId="261" fontId="18" fillId="0" borderId="57" xfId="0" applyFont="1" applyBorder="1" applyAlignment="1">
      <alignment horizontal="right"/>
    </xf>
    <xf numFmtId="0" fontId="1" fillId="0" borderId="57" xfId="0" applyNumberFormat="1" applyFont="1" applyFill="1" applyBorder="1" applyAlignment="1">
      <alignment horizontal="right"/>
    </xf>
    <xf numFmtId="261" fontId="0" fillId="0" borderId="57" xfId="0" applyFont="1" applyBorder="1" applyAlignment="1">
      <alignment horizontal="right" vertical="top"/>
    </xf>
    <xf numFmtId="174" fontId="121" fillId="0" borderId="0" xfId="0" applyNumberFormat="1" applyFont="1" applyBorder="1" applyAlignment="1"/>
    <xf numFmtId="174" fontId="121" fillId="0" borderId="0" xfId="0" applyNumberFormat="1" applyFont="1" applyBorder="1" applyAlignment="1">
      <alignment horizontal="right"/>
    </xf>
    <xf numFmtId="261" fontId="122" fillId="2" borderId="0" xfId="0" applyFont="1" applyFill="1" applyBorder="1" applyProtection="1">
      <protection locked="0"/>
    </xf>
    <xf numFmtId="165" fontId="124" fillId="5" borderId="0" xfId="0" applyNumberFormat="1" applyFont="1" applyFill="1" applyBorder="1" applyAlignment="1">
      <alignment horizontal="left"/>
    </xf>
    <xf numFmtId="261" fontId="46" fillId="0" borderId="0" xfId="0" applyFont="1" applyAlignment="1">
      <alignment horizontal="left"/>
    </xf>
    <xf numFmtId="261" fontId="34" fillId="0" borderId="0" xfId="0" applyFont="1" applyFill="1" applyAlignment="1">
      <alignment horizontal="left"/>
    </xf>
    <xf numFmtId="261" fontId="0" fillId="0" borderId="0" xfId="0" applyFont="1" applyFill="1" applyAlignment="1">
      <alignment horizontal="left" indent="1"/>
    </xf>
    <xf numFmtId="261" fontId="0" fillId="0" borderId="0" xfId="0"/>
    <xf numFmtId="261" fontId="0" fillId="0" borderId="0" xfId="0" applyFill="1"/>
    <xf numFmtId="261" fontId="0" fillId="0" borderId="0" xfId="0" applyFont="1" applyAlignment="1">
      <alignment horizontal="left" indent="1"/>
    </xf>
    <xf numFmtId="261" fontId="19" fillId="0" borderId="0" xfId="0" applyFont="1" applyAlignment="1">
      <alignment horizontal="right"/>
    </xf>
    <xf numFmtId="261" fontId="18" fillId="0" borderId="0" xfId="0" applyFont="1"/>
    <xf numFmtId="261" fontId="1" fillId="0" borderId="0" xfId="0" applyFont="1" applyAlignment="1">
      <alignment vertical="top"/>
    </xf>
    <xf numFmtId="261" fontId="34" fillId="0" borderId="0" xfId="0" applyFont="1"/>
    <xf numFmtId="171" fontId="23" fillId="0" borderId="0" xfId="0" applyNumberFormat="1" applyFont="1" applyAlignment="1" applyProtection="1">
      <alignment horizontal="left" indent="1"/>
    </xf>
    <xf numFmtId="174" fontId="64" fillId="0" borderId="25" xfId="0" applyNumberFormat="1" applyFont="1" applyBorder="1" applyAlignment="1">
      <alignment horizontal="right"/>
    </xf>
    <xf numFmtId="165" fontId="98" fillId="5" borderId="0" xfId="0" applyNumberFormat="1" applyFont="1" applyFill="1" applyBorder="1" applyAlignment="1">
      <alignment horizontal="left"/>
    </xf>
    <xf numFmtId="181" fontId="18" fillId="0" borderId="0" xfId="0" applyNumberFormat="1" applyFont="1" applyBorder="1" applyAlignment="1">
      <alignment horizontal="right"/>
    </xf>
    <xf numFmtId="235" fontId="18" fillId="0" borderId="0" xfId="0" applyNumberFormat="1" applyFont="1" applyBorder="1" applyAlignment="1">
      <alignment horizontal="center"/>
    </xf>
    <xf numFmtId="174" fontId="18" fillId="0" borderId="0" xfId="0" applyNumberFormat="1" applyFont="1" applyFill="1" applyBorder="1" applyAlignment="1">
      <alignment horizontal="left"/>
    </xf>
    <xf numFmtId="174" fontId="18" fillId="0" borderId="0" xfId="0" applyNumberFormat="1" applyFont="1" applyBorder="1" applyAlignment="1">
      <alignment horizontal="left" indent="1"/>
    </xf>
    <xf numFmtId="261" fontId="0" fillId="0" borderId="0" xfId="0" applyFont="1" applyAlignment="1">
      <alignment horizontal="left" indent="2"/>
    </xf>
    <xf numFmtId="261" fontId="0" fillId="0" borderId="0" xfId="0" quotePrefix="1" applyFont="1"/>
    <xf numFmtId="0" fontId="0" fillId="0" borderId="0" xfId="0" applyNumberFormat="1" applyFont="1"/>
    <xf numFmtId="174" fontId="16" fillId="6" borderId="0" xfId="0" applyNumberFormat="1" applyFont="1" applyFill="1" applyAlignment="1"/>
    <xf numFmtId="261" fontId="64" fillId="0" borderId="28" xfId="0" applyFont="1" applyFill="1" applyBorder="1"/>
    <xf numFmtId="205" fontId="52" fillId="0" borderId="28" xfId="0" applyNumberFormat="1" applyFont="1" applyFill="1" applyBorder="1" applyAlignment="1">
      <alignment vertical="top"/>
    </xf>
    <xf numFmtId="171" fontId="64" fillId="0" borderId="28" xfId="0" applyNumberFormat="1" applyFont="1" applyFill="1" applyBorder="1" applyAlignment="1">
      <alignment horizontal="left"/>
    </xf>
    <xf numFmtId="261" fontId="19" fillId="0" borderId="0" xfId="0" applyFont="1" applyFill="1" applyBorder="1" applyAlignment="1">
      <alignment horizontal="right" wrapText="1"/>
    </xf>
    <xf numFmtId="261" fontId="19" fillId="0" borderId="0" xfId="0" applyFont="1" applyBorder="1" applyAlignment="1">
      <alignment horizontal="right" wrapText="1"/>
    </xf>
    <xf numFmtId="15" fontId="10" fillId="3" borderId="0" xfId="0" quotePrefix="1" applyNumberFormat="1" applyFont="1" applyFill="1"/>
    <xf numFmtId="261" fontId="10" fillId="9" borderId="0" xfId="0" applyFont="1" applyFill="1"/>
    <xf numFmtId="261" fontId="46" fillId="0" borderId="0" xfId="0" applyFont="1" applyAlignment="1">
      <alignment horizontal="left" vertical="top"/>
    </xf>
    <xf numFmtId="174" fontId="16" fillId="6" borderId="0" xfId="0" applyNumberFormat="1" applyFont="1" applyFill="1" applyAlignment="1">
      <alignment horizontal="left" indent="4"/>
    </xf>
    <xf numFmtId="261" fontId="0" fillId="0" borderId="37" xfId="0" applyBorder="1"/>
    <xf numFmtId="0" fontId="19" fillId="0" borderId="25" xfId="0" applyNumberFormat="1" applyFont="1" applyBorder="1" applyAlignment="1">
      <alignment wrapText="1"/>
    </xf>
    <xf numFmtId="15" fontId="19" fillId="0" borderId="0" xfId="0" applyNumberFormat="1" applyFont="1"/>
    <xf numFmtId="0" fontId="19" fillId="0" borderId="25" xfId="0" applyNumberFormat="1" applyFont="1" applyBorder="1" applyAlignment="1">
      <alignment horizontal="right" wrapText="1"/>
    </xf>
    <xf numFmtId="15" fontId="64" fillId="0" borderId="0" xfId="0" applyNumberFormat="1" applyFont="1" applyBorder="1" applyAlignment="1"/>
    <xf numFmtId="174" fontId="18" fillId="0" borderId="0" xfId="0" applyNumberFormat="1" applyFont="1" applyAlignment="1"/>
    <xf numFmtId="0" fontId="18" fillId="0" borderId="0" xfId="0" applyNumberFormat="1" applyFont="1"/>
    <xf numFmtId="171" fontId="34" fillId="6" borderId="43" xfId="0" applyNumberFormat="1" applyFont="1" applyFill="1" applyBorder="1" applyAlignment="1">
      <alignment horizontal="right"/>
    </xf>
    <xf numFmtId="171" fontId="42" fillId="6" borderId="0" xfId="0" applyNumberFormat="1" applyFont="1" applyFill="1" applyAlignment="1"/>
    <xf numFmtId="171" fontId="117" fillId="11" borderId="43" xfId="0" applyNumberFormat="1" applyFont="1" applyFill="1" applyBorder="1" applyAlignment="1">
      <alignment horizontal="right"/>
    </xf>
    <xf numFmtId="166" fontId="0" fillId="0" borderId="0" xfId="0" applyNumberFormat="1" applyFont="1" applyFill="1" applyBorder="1" applyAlignment="1">
      <alignment horizontal="right" vertical="top"/>
    </xf>
    <xf numFmtId="174" fontId="19" fillId="0" borderId="0" xfId="0" applyNumberFormat="1" applyFont="1" applyAlignment="1">
      <alignment horizontal="left"/>
    </xf>
    <xf numFmtId="171" fontId="19" fillId="0" borderId="0" xfId="0" applyNumberFormat="1" applyFont="1" applyAlignment="1">
      <alignment horizontal="left"/>
    </xf>
    <xf numFmtId="174" fontId="19" fillId="0" borderId="0" xfId="0" applyNumberFormat="1" applyFont="1" applyAlignment="1">
      <alignment horizontal="left" wrapText="1"/>
    </xf>
    <xf numFmtId="171" fontId="38" fillId="11" borderId="62" xfId="9" applyProtection="1">
      <alignment horizontal="right"/>
      <protection locked="0"/>
    </xf>
    <xf numFmtId="261" fontId="38" fillId="11" borderId="45" xfId="0" applyFont="1" applyFill="1" applyBorder="1" applyAlignment="1" applyProtection="1">
      <alignment horizontal="center"/>
      <protection locked="0"/>
    </xf>
    <xf numFmtId="261" fontId="38" fillId="11" borderId="45" xfId="0" applyFont="1" applyFill="1" applyBorder="1" applyProtection="1">
      <protection locked="0"/>
    </xf>
    <xf numFmtId="261" fontId="24" fillId="0" borderId="28" xfId="0" applyFont="1" applyBorder="1" applyAlignment="1">
      <alignment horizontal="left"/>
    </xf>
    <xf numFmtId="261" fontId="24" fillId="0" borderId="28" xfId="0" applyFont="1" applyBorder="1"/>
    <xf numFmtId="171" fontId="23" fillId="0" borderId="28" xfId="0" applyNumberFormat="1" applyFont="1" applyBorder="1" applyAlignment="1" applyProtection="1"/>
    <xf numFmtId="261" fontId="24" fillId="0" borderId="28" xfId="0" applyFont="1" applyBorder="1" applyAlignment="1">
      <alignment horizontal="right" vertical="top"/>
    </xf>
    <xf numFmtId="261" fontId="34" fillId="0" borderId="28" xfId="0" applyFont="1" applyFill="1" applyBorder="1"/>
    <xf numFmtId="261" fontId="4" fillId="0" borderId="28" xfId="0" applyFont="1" applyBorder="1"/>
    <xf numFmtId="261" fontId="24" fillId="0" borderId="28" xfId="0" applyFont="1" applyFill="1" applyBorder="1" applyAlignment="1">
      <alignment horizontal="right"/>
    </xf>
    <xf numFmtId="37" fontId="24" fillId="0" borderId="28" xfId="0" applyNumberFormat="1" applyFont="1" applyFill="1" applyBorder="1" applyAlignment="1">
      <alignment horizontal="right"/>
    </xf>
    <xf numFmtId="261" fontId="34" fillId="0" borderId="29" xfId="0" applyFont="1" applyBorder="1"/>
    <xf numFmtId="171" fontId="23" fillId="0" borderId="29" xfId="0" applyNumberFormat="1" applyFont="1" applyBorder="1" applyAlignment="1" applyProtection="1"/>
    <xf numFmtId="261" fontId="24" fillId="0" borderId="29" xfId="0" applyFont="1" applyBorder="1"/>
    <xf numFmtId="261" fontId="0" fillId="0" borderId="29" xfId="0" applyBorder="1"/>
    <xf numFmtId="261" fontId="24" fillId="0" borderId="63" xfId="0" applyFont="1" applyFill="1" applyBorder="1" applyAlignment="1">
      <alignment horizontal="right"/>
    </xf>
    <xf numFmtId="261" fontId="24" fillId="0" borderId="64" xfId="0" applyFont="1" applyFill="1" applyBorder="1" applyAlignment="1">
      <alignment horizontal="right"/>
    </xf>
    <xf numFmtId="261" fontId="34" fillId="0" borderId="30" xfId="0" applyFont="1" applyFill="1" applyBorder="1"/>
    <xf numFmtId="261" fontId="4" fillId="0" borderId="30" xfId="0" applyFont="1" applyBorder="1"/>
    <xf numFmtId="171" fontId="23" fillId="0" borderId="30" xfId="0" applyNumberFormat="1" applyFont="1" applyBorder="1" applyAlignment="1" applyProtection="1">
      <alignment horizontal="left" indent="2"/>
    </xf>
    <xf numFmtId="261" fontId="34" fillId="0" borderId="30" xfId="0" applyFont="1" applyBorder="1"/>
    <xf numFmtId="174" fontId="24" fillId="6" borderId="29" xfId="0" applyNumberFormat="1" applyFont="1" applyFill="1" applyBorder="1" applyAlignment="1">
      <alignment vertical="top"/>
    </xf>
    <xf numFmtId="174" fontId="23" fillId="6" borderId="29" xfId="0" applyNumberFormat="1" applyFont="1" applyFill="1" applyBorder="1" applyAlignment="1" applyProtection="1">
      <alignment horizontal="left" indent="2"/>
    </xf>
    <xf numFmtId="174" fontId="24" fillId="6" borderId="65" xfId="0" applyNumberFormat="1" applyFont="1" applyFill="1" applyBorder="1" applyAlignment="1">
      <alignment vertical="top"/>
    </xf>
    <xf numFmtId="174" fontId="89" fillId="0" borderId="0" xfId="0" applyNumberFormat="1" applyFont="1" applyFill="1" applyBorder="1" applyAlignment="1">
      <alignment horizontal="left"/>
    </xf>
    <xf numFmtId="261" fontId="68" fillId="0" borderId="0" xfId="0" applyFont="1" applyBorder="1"/>
    <xf numFmtId="171" fontId="68" fillId="0" borderId="0" xfId="0" applyNumberFormat="1" applyFont="1" applyBorder="1" applyAlignment="1" applyProtection="1"/>
    <xf numFmtId="238" fontId="89" fillId="0" borderId="0" xfId="0" applyNumberFormat="1" applyFont="1" applyBorder="1" applyAlignment="1">
      <alignment horizontal="right"/>
    </xf>
    <xf numFmtId="174" fontId="89" fillId="0" borderId="0" xfId="0" applyNumberFormat="1" applyFont="1" applyFill="1" applyBorder="1" applyAlignment="1">
      <alignment horizontal="right"/>
    </xf>
    <xf numFmtId="261" fontId="0" fillId="0" borderId="28" xfId="0" applyBorder="1"/>
    <xf numFmtId="261" fontId="89" fillId="0" borderId="0" xfId="0" applyFont="1" applyBorder="1" applyAlignment="1">
      <alignment horizontal="left"/>
    </xf>
    <xf numFmtId="261" fontId="18" fillId="0" borderId="64" xfId="0" applyFont="1" applyBorder="1"/>
    <xf numFmtId="261" fontId="24" fillId="0" borderId="66" xfId="0" applyFont="1" applyFill="1" applyBorder="1" applyAlignment="1">
      <alignment horizontal="right"/>
    </xf>
    <xf numFmtId="261" fontId="89" fillId="0" borderId="64" xfId="0" applyFont="1" applyBorder="1" applyAlignment="1">
      <alignment horizontal="right"/>
    </xf>
    <xf numFmtId="261" fontId="24" fillId="0" borderId="67" xfId="0" applyFont="1" applyFill="1" applyBorder="1" applyAlignment="1">
      <alignment horizontal="right"/>
    </xf>
    <xf numFmtId="261" fontId="18" fillId="0" borderId="68" xfId="0" applyFont="1" applyBorder="1"/>
    <xf numFmtId="261" fontId="24" fillId="0" borderId="68" xfId="0" applyFont="1" applyFill="1" applyBorder="1" applyAlignment="1">
      <alignment horizontal="right"/>
    </xf>
    <xf numFmtId="261" fontId="24" fillId="0" borderId="30" xfId="0" applyFont="1" applyFill="1" applyBorder="1" applyAlignment="1">
      <alignment horizontal="right"/>
    </xf>
    <xf numFmtId="261" fontId="24" fillId="0" borderId="69" xfId="0" applyFont="1" applyFill="1" applyBorder="1" applyAlignment="1">
      <alignment horizontal="right"/>
    </xf>
    <xf numFmtId="171" fontId="38" fillId="11" borderId="45" xfId="9" applyBorder="1" applyProtection="1">
      <alignment horizontal="right"/>
      <protection locked="0"/>
    </xf>
    <xf numFmtId="171" fontId="38" fillId="11" borderId="61" xfId="9" applyBorder="1" applyAlignment="1" applyProtection="1">
      <alignment horizontal="left"/>
      <protection locked="0"/>
    </xf>
    <xf numFmtId="171" fontId="38" fillId="11" borderId="45" xfId="9" applyBorder="1" applyAlignment="1" applyProtection="1">
      <alignment horizontal="left"/>
      <protection locked="0"/>
    </xf>
    <xf numFmtId="261" fontId="89" fillId="0" borderId="28" xfId="0" applyFont="1" applyFill="1" applyBorder="1" applyAlignment="1">
      <alignment horizontal="right" wrapText="1"/>
    </xf>
    <xf numFmtId="171" fontId="68" fillId="0" borderId="28" xfId="0" applyNumberFormat="1" applyFont="1" applyFill="1" applyBorder="1" applyAlignment="1" applyProtection="1">
      <alignment horizontal="left" indent="2"/>
    </xf>
    <xf numFmtId="261" fontId="89" fillId="0" borderId="28" xfId="0" applyFont="1" applyFill="1" applyBorder="1" applyAlignment="1">
      <alignment horizontal="right"/>
    </xf>
    <xf numFmtId="261" fontId="89" fillId="0" borderId="28" xfId="0" applyFont="1" applyBorder="1" applyAlignment="1">
      <alignment horizontal="right"/>
    </xf>
    <xf numFmtId="261" fontId="89" fillId="0" borderId="28" xfId="0" applyFont="1" applyBorder="1" applyAlignment="1">
      <alignment horizontal="left"/>
    </xf>
    <xf numFmtId="261" fontId="89" fillId="0" borderId="28" xfId="0" applyFont="1" applyBorder="1" applyAlignment="1">
      <alignment horizontal="centerContinuous"/>
    </xf>
    <xf numFmtId="261" fontId="73" fillId="0" borderId="23" xfId="0" applyFont="1" applyBorder="1" applyAlignment="1">
      <alignment horizontal="left"/>
    </xf>
    <xf numFmtId="261" fontId="73" fillId="0" borderId="30" xfId="0" applyFont="1" applyBorder="1" applyAlignment="1">
      <alignment horizontal="left"/>
    </xf>
    <xf numFmtId="211" fontId="89" fillId="0" borderId="30" xfId="0" applyNumberFormat="1" applyFont="1" applyFill="1" applyBorder="1" applyAlignment="1" applyProtection="1"/>
    <xf numFmtId="209" fontId="89" fillId="0" borderId="30" xfId="0" applyNumberFormat="1" applyFont="1" applyFill="1" applyBorder="1" applyAlignment="1">
      <alignment horizontal="right" wrapText="1"/>
    </xf>
    <xf numFmtId="232" fontId="89" fillId="0" borderId="30" xfId="0" applyNumberFormat="1" applyFont="1" applyBorder="1" applyAlignment="1">
      <alignment horizontal="right" wrapText="1"/>
    </xf>
    <xf numFmtId="261" fontId="19" fillId="0" borderId="29" xfId="0" applyFont="1" applyBorder="1" applyAlignment="1">
      <alignment horizontal="left" vertical="top" wrapText="1"/>
    </xf>
    <xf numFmtId="175" fontId="34" fillId="0" borderId="29" xfId="0" applyNumberFormat="1" applyFont="1" applyFill="1" applyBorder="1" applyAlignment="1">
      <alignment horizontal="right"/>
    </xf>
    <xf numFmtId="175" fontId="34" fillId="0" borderId="29" xfId="0" applyNumberFormat="1" applyFont="1" applyBorder="1" applyAlignment="1">
      <alignment horizontal="right"/>
    </xf>
    <xf numFmtId="261" fontId="89" fillId="0" borderId="29" xfId="0" applyFont="1" applyBorder="1" applyAlignment="1">
      <alignment horizontal="left" wrapText="1"/>
    </xf>
    <xf numFmtId="0" fontId="90" fillId="0" borderId="29" xfId="0" applyNumberFormat="1" applyFont="1" applyFill="1" applyBorder="1" applyAlignment="1">
      <alignment horizontal="left"/>
    </xf>
    <xf numFmtId="0" fontId="42" fillId="0" borderId="29" xfId="0" applyNumberFormat="1" applyFont="1" applyFill="1" applyBorder="1"/>
    <xf numFmtId="232" fontId="89" fillId="0" borderId="29" xfId="0" applyNumberFormat="1" applyFont="1" applyBorder="1" applyAlignment="1">
      <alignment horizontal="right" wrapText="1"/>
    </xf>
    <xf numFmtId="171" fontId="68" fillId="0" borderId="28" xfId="0" applyNumberFormat="1" applyFont="1" applyBorder="1" applyAlignment="1" applyProtection="1">
      <alignment horizontal="left" indent="2"/>
    </xf>
    <xf numFmtId="211" fontId="89" fillId="0" borderId="30" xfId="0" applyNumberFormat="1" applyFont="1" applyBorder="1" applyAlignment="1" applyProtection="1">
      <alignment horizontal="left" indent="2"/>
    </xf>
    <xf numFmtId="209" fontId="89" fillId="0" borderId="30" xfId="0" applyNumberFormat="1" applyFont="1" applyBorder="1" applyAlignment="1">
      <alignment horizontal="right" wrapText="1"/>
    </xf>
    <xf numFmtId="261" fontId="19" fillId="0" borderId="70" xfId="0" applyFont="1" applyBorder="1" applyAlignment="1">
      <alignment horizontal="left" vertical="top" wrapText="1"/>
    </xf>
    <xf numFmtId="172" fontId="18" fillId="0" borderId="70" xfId="0" applyNumberFormat="1" applyFont="1" applyBorder="1" applyAlignment="1">
      <alignment horizontal="right" vertical="top"/>
    </xf>
    <xf numFmtId="208" fontId="48" fillId="0" borderId="0" xfId="0" applyNumberFormat="1" applyFont="1" applyFill="1" applyBorder="1" applyAlignment="1" applyProtection="1"/>
    <xf numFmtId="254" fontId="89" fillId="0" borderId="29" xfId="0" applyNumberFormat="1" applyFont="1" applyBorder="1" applyAlignment="1">
      <alignment horizontal="right" wrapText="1"/>
    </xf>
    <xf numFmtId="171" fontId="89" fillId="0" borderId="58" xfId="0" applyNumberFormat="1" applyFont="1" applyBorder="1" applyAlignment="1">
      <alignment horizontal="right"/>
    </xf>
    <xf numFmtId="171" fontId="89" fillId="0" borderId="28" xfId="0" applyNumberFormat="1" applyFont="1" applyBorder="1" applyAlignment="1">
      <alignment horizontal="right"/>
    </xf>
    <xf numFmtId="261" fontId="19" fillId="0" borderId="0" xfId="0" applyFont="1" applyBorder="1" applyAlignment="1">
      <alignment horizontal="centerContinuous" wrapText="1"/>
    </xf>
    <xf numFmtId="232" fontId="89" fillId="0" borderId="0" xfId="0" applyNumberFormat="1" applyFont="1" applyBorder="1" applyAlignment="1">
      <alignment horizontal="right" wrapText="1"/>
    </xf>
    <xf numFmtId="175" fontId="34" fillId="0" borderId="0" xfId="0" applyNumberFormat="1" applyFont="1" applyBorder="1" applyAlignment="1">
      <alignment horizontal="right"/>
    </xf>
    <xf numFmtId="9" fontId="0" fillId="0" borderId="0" xfId="0" applyNumberFormat="1"/>
    <xf numFmtId="261" fontId="18" fillId="0" borderId="30" xfId="0" applyFont="1" applyFill="1" applyBorder="1" applyAlignment="1">
      <alignment horizontal="left" vertical="top" wrapText="1"/>
    </xf>
    <xf numFmtId="172" fontId="18" fillId="0" borderId="30" xfId="0" applyNumberFormat="1" applyFont="1" applyBorder="1" applyAlignment="1">
      <alignment horizontal="right" vertical="top"/>
    </xf>
    <xf numFmtId="261" fontId="89" fillId="0" borderId="28" xfId="0" applyFont="1" applyBorder="1" applyAlignment="1">
      <alignment horizontal="centerContinuous" wrapText="1"/>
    </xf>
    <xf numFmtId="0" fontId="89" fillId="0" borderId="28" xfId="0" applyNumberFormat="1" applyFont="1" applyBorder="1" applyAlignment="1">
      <alignment horizontal="right"/>
    </xf>
    <xf numFmtId="212" fontId="19" fillId="0" borderId="0" xfId="0" applyNumberFormat="1" applyFont="1" applyFill="1" applyBorder="1"/>
    <xf numFmtId="255" fontId="18" fillId="0" borderId="0" xfId="0" applyNumberFormat="1" applyFont="1" applyFill="1" applyBorder="1"/>
    <xf numFmtId="171" fontId="0" fillId="0" borderId="0" xfId="0" applyNumberFormat="1" applyFont="1" applyAlignment="1">
      <alignment horizontal="right"/>
    </xf>
    <xf numFmtId="176" fontId="0" fillId="0" borderId="0" xfId="0" applyNumberFormat="1" applyFont="1" applyBorder="1" applyAlignment="1">
      <alignment horizontal="right"/>
    </xf>
    <xf numFmtId="261" fontId="68" fillId="0" borderId="63" xfId="0" applyFont="1" applyBorder="1"/>
    <xf numFmtId="174" fontId="89" fillId="0" borderId="30" xfId="0" applyNumberFormat="1" applyFont="1" applyFill="1" applyBorder="1" applyAlignment="1">
      <alignment horizontal="left"/>
    </xf>
    <xf numFmtId="261" fontId="68" fillId="0" borderId="30" xfId="0" applyFont="1" applyBorder="1"/>
    <xf numFmtId="238" fontId="89" fillId="0" borderId="30" xfId="0" applyNumberFormat="1" applyFont="1" applyBorder="1" applyAlignment="1">
      <alignment horizontal="right"/>
    </xf>
    <xf numFmtId="174" fontId="89" fillId="0" borderId="30" xfId="0" applyNumberFormat="1" applyFont="1" applyFill="1" applyBorder="1" applyAlignment="1">
      <alignment horizontal="right"/>
    </xf>
    <xf numFmtId="261" fontId="34" fillId="0" borderId="29" xfId="0" applyFont="1" applyBorder="1" applyAlignment="1"/>
    <xf numFmtId="261" fontId="18" fillId="0" borderId="29" xfId="0" applyFont="1" applyBorder="1"/>
    <xf numFmtId="174" fontId="130" fillId="0" borderId="29" xfId="0" applyNumberFormat="1" applyFont="1" applyBorder="1" applyAlignment="1"/>
    <xf numFmtId="174" fontId="131" fillId="0" borderId="29" xfId="0" applyNumberFormat="1" applyFont="1" applyBorder="1" applyAlignment="1">
      <alignment horizontal="right"/>
    </xf>
    <xf numFmtId="17" fontId="131" fillId="0" borderId="29" xfId="0" applyNumberFormat="1" applyFont="1" applyBorder="1" applyAlignment="1">
      <alignment horizontal="right"/>
    </xf>
    <xf numFmtId="171" fontId="130" fillId="0" borderId="29" xfId="0" applyNumberFormat="1" applyFont="1" applyBorder="1" applyAlignment="1" applyProtection="1"/>
    <xf numFmtId="174" fontId="132" fillId="0" borderId="29" xfId="0" applyNumberFormat="1" applyFont="1" applyBorder="1" applyAlignment="1"/>
    <xf numFmtId="174" fontId="133" fillId="0" borderId="29" xfId="0" applyNumberFormat="1" applyFont="1" applyBorder="1" applyAlignment="1"/>
    <xf numFmtId="174" fontId="35" fillId="0" borderId="29" xfId="0" applyNumberFormat="1" applyFont="1" applyBorder="1" applyAlignment="1"/>
    <xf numFmtId="174" fontId="49" fillId="0" borderId="29" xfId="0" applyNumberFormat="1" applyFont="1" applyBorder="1" applyAlignment="1"/>
    <xf numFmtId="174" fontId="29" fillId="0" borderId="0" xfId="0" applyNumberFormat="1" applyFont="1" applyBorder="1" applyAlignment="1"/>
    <xf numFmtId="174" fontId="29" fillId="0" borderId="28" xfId="0" applyNumberFormat="1" applyFont="1" applyFill="1" applyBorder="1" applyAlignment="1"/>
    <xf numFmtId="174" fontId="29" fillId="0" borderId="28" xfId="0" applyNumberFormat="1" applyFont="1" applyBorder="1" applyAlignment="1"/>
    <xf numFmtId="174" fontId="29" fillId="0" borderId="28" xfId="0" applyNumberFormat="1" applyFont="1" applyBorder="1" applyAlignment="1">
      <alignment horizontal="right"/>
    </xf>
    <xf numFmtId="171" fontId="29" fillId="0" borderId="0" xfId="0" applyNumberFormat="1" applyFont="1" applyBorder="1" applyAlignment="1">
      <alignment horizontal="right"/>
    </xf>
    <xf numFmtId="171" fontId="64" fillId="0" borderId="28" xfId="0" applyNumberFormat="1" applyFont="1" applyBorder="1" applyAlignment="1">
      <alignment horizontal="centerContinuous" wrapText="1"/>
    </xf>
    <xf numFmtId="171" fontId="64" fillId="0" borderId="28" xfId="0" applyNumberFormat="1" applyFont="1" applyBorder="1" applyAlignment="1">
      <alignment horizontal="centerContinuous"/>
    </xf>
    <xf numFmtId="171" fontId="64" fillId="0" borderId="28" xfId="0" applyNumberFormat="1" applyFont="1" applyBorder="1" applyAlignment="1">
      <alignment horizontal="right"/>
    </xf>
    <xf numFmtId="171" fontId="64" fillId="0" borderId="28" xfId="0" applyNumberFormat="1" applyFont="1" applyBorder="1" applyAlignment="1">
      <alignment horizontal="right" wrapText="1"/>
    </xf>
    <xf numFmtId="261" fontId="89" fillId="0" borderId="29" xfId="0" applyFont="1" applyBorder="1" applyAlignment="1">
      <alignment horizontal="left"/>
    </xf>
    <xf numFmtId="188" fontId="68" fillId="0" borderId="29" xfId="0" applyNumberFormat="1" applyFont="1" applyFill="1" applyBorder="1" applyAlignment="1" applyProtection="1"/>
    <xf numFmtId="188" fontId="42" fillId="0" borderId="29" xfId="0" applyNumberFormat="1" applyFont="1" applyFill="1" applyBorder="1"/>
    <xf numFmtId="0" fontId="42" fillId="0" borderId="0" xfId="0" applyNumberFormat="1" applyFont="1"/>
    <xf numFmtId="261" fontId="42" fillId="0" borderId="29" xfId="0" applyFont="1" applyFill="1" applyBorder="1" applyAlignment="1">
      <alignment vertical="top"/>
    </xf>
    <xf numFmtId="261" fontId="89" fillId="0" borderId="29" xfId="0" applyFont="1" applyBorder="1" applyAlignment="1">
      <alignment horizontal="right" wrapText="1"/>
    </xf>
    <xf numFmtId="239" fontId="73" fillId="6" borderId="0" xfId="0" applyNumberFormat="1" applyFont="1" applyFill="1"/>
    <xf numFmtId="239" fontId="73" fillId="6" borderId="57" xfId="0" applyNumberFormat="1" applyFont="1" applyFill="1" applyBorder="1"/>
    <xf numFmtId="261" fontId="89" fillId="0" borderId="30" xfId="0" applyFont="1" applyBorder="1" applyAlignment="1">
      <alignment horizontal="left"/>
    </xf>
    <xf numFmtId="261" fontId="89" fillId="0" borderId="30" xfId="0" applyFont="1" applyBorder="1" applyAlignment="1">
      <alignment horizontal="center"/>
    </xf>
    <xf numFmtId="171" fontId="68" fillId="0" borderId="30" xfId="0" applyNumberFormat="1" applyFont="1" applyBorder="1" applyAlignment="1" applyProtection="1">
      <alignment horizontal="center"/>
    </xf>
    <xf numFmtId="174" fontId="0" fillId="0" borderId="28" xfId="0" applyNumberFormat="1" applyFont="1" applyBorder="1" applyAlignment="1"/>
    <xf numFmtId="261" fontId="0" fillId="0" borderId="28" xfId="0" applyFont="1" applyBorder="1"/>
    <xf numFmtId="176" fontId="0" fillId="0" borderId="28" xfId="0" applyNumberFormat="1" applyFont="1" applyBorder="1" applyAlignment="1">
      <alignment horizontal="right"/>
    </xf>
    <xf numFmtId="172" fontId="36" fillId="0" borderId="28" xfId="0" applyNumberFormat="1" applyFont="1" applyBorder="1" applyAlignment="1">
      <alignment horizontal="right"/>
    </xf>
    <xf numFmtId="171" fontId="64" fillId="0" borderId="28" xfId="0" applyNumberFormat="1" applyFont="1" applyBorder="1" applyAlignment="1"/>
    <xf numFmtId="15" fontId="64" fillId="0" borderId="28" xfId="0" applyNumberFormat="1" applyFont="1" applyBorder="1" applyAlignment="1">
      <alignment horizontal="right"/>
    </xf>
    <xf numFmtId="0" fontId="18" fillId="0" borderId="28" xfId="0" applyNumberFormat="1" applyFont="1" applyFill="1" applyBorder="1"/>
    <xf numFmtId="171" fontId="64" fillId="0" borderId="28" xfId="0" applyNumberFormat="1" applyFont="1" applyFill="1" applyBorder="1" applyAlignment="1">
      <alignment horizontal="right"/>
    </xf>
    <xf numFmtId="171" fontId="64" fillId="0" borderId="28" xfId="0" applyNumberFormat="1" applyFont="1" applyFill="1" applyBorder="1" applyAlignment="1">
      <alignment horizontal="centerContinuous" wrapText="1"/>
    </xf>
    <xf numFmtId="233" fontId="64" fillId="0" borderId="30" xfId="0" applyNumberFormat="1" applyFont="1" applyFill="1" applyBorder="1" applyAlignment="1">
      <alignment horizontal="right"/>
    </xf>
    <xf numFmtId="0" fontId="18" fillId="0" borderId="30" xfId="0" applyNumberFormat="1" applyFont="1" applyFill="1" applyBorder="1"/>
    <xf numFmtId="0" fontId="23" fillId="0" borderId="28" xfId="0" applyNumberFormat="1" applyFont="1" applyFill="1" applyBorder="1" applyAlignment="1" applyProtection="1"/>
    <xf numFmtId="0" fontId="23" fillId="0" borderId="30" xfId="0" applyNumberFormat="1" applyFont="1" applyFill="1" applyBorder="1" applyAlignment="1" applyProtection="1"/>
    <xf numFmtId="261" fontId="19" fillId="0" borderId="0" xfId="0" applyFont="1" applyFill="1" applyBorder="1" applyAlignment="1">
      <alignment horizontal="left" vertical="top" wrapText="1"/>
    </xf>
    <xf numFmtId="261" fontId="19" fillId="0" borderId="0" xfId="0" applyFont="1" applyFill="1" applyBorder="1" applyAlignment="1">
      <alignment horizontal="right" vertical="top"/>
    </xf>
    <xf numFmtId="261" fontId="19" fillId="0" borderId="29" xfId="0" applyFont="1" applyFill="1" applyBorder="1" applyAlignment="1">
      <alignment horizontal="left" vertical="top" wrapText="1"/>
    </xf>
    <xf numFmtId="0" fontId="19" fillId="0" borderId="29" xfId="0" applyNumberFormat="1" applyFont="1" applyFill="1" applyBorder="1"/>
    <xf numFmtId="0" fontId="23" fillId="0" borderId="29" xfId="0" applyNumberFormat="1" applyFont="1" applyFill="1" applyBorder="1" applyAlignment="1" applyProtection="1">
      <alignment horizontal="left" indent="2"/>
    </xf>
    <xf numFmtId="261" fontId="19" fillId="0" borderId="29" xfId="0" applyFont="1" applyFill="1" applyBorder="1" applyAlignment="1">
      <alignment horizontal="right" vertical="top"/>
    </xf>
    <xf numFmtId="261" fontId="19" fillId="0" borderId="29" xfId="0" applyFont="1" applyFill="1" applyBorder="1" applyAlignment="1">
      <alignment horizontal="left" wrapText="1"/>
    </xf>
    <xf numFmtId="0" fontId="19" fillId="0" borderId="29" xfId="0" applyNumberFormat="1" applyFont="1" applyFill="1" applyBorder="1" applyAlignment="1"/>
    <xf numFmtId="261" fontId="19" fillId="0" borderId="29" xfId="0" applyFont="1" applyFill="1" applyBorder="1" applyAlignment="1">
      <alignment horizontal="right"/>
    </xf>
    <xf numFmtId="229" fontId="19" fillId="0" borderId="29" xfId="0" applyNumberFormat="1" applyFont="1" applyFill="1" applyBorder="1" applyAlignment="1">
      <alignment horizontal="right"/>
    </xf>
    <xf numFmtId="174" fontId="24" fillId="0" borderId="28" xfId="0" applyNumberFormat="1" applyFont="1" applyFill="1" applyBorder="1" applyAlignment="1"/>
    <xf numFmtId="0" fontId="64" fillId="0" borderId="28" xfId="0" applyNumberFormat="1" applyFont="1" applyFill="1" applyBorder="1" applyAlignment="1"/>
    <xf numFmtId="232" fontId="19" fillId="0" borderId="30" xfId="0" applyNumberFormat="1" applyFont="1" applyFill="1" applyBorder="1" applyAlignment="1">
      <alignment horizontal="right"/>
    </xf>
    <xf numFmtId="232" fontId="64" fillId="0" borderId="30" xfId="0" applyNumberFormat="1" applyFont="1" applyFill="1" applyBorder="1" applyAlignment="1">
      <alignment horizontal="right"/>
    </xf>
    <xf numFmtId="183" fontId="21" fillId="0" borderId="0" xfId="0" applyNumberFormat="1" applyFont="1" applyBorder="1" applyAlignment="1">
      <alignment vertical="top"/>
    </xf>
    <xf numFmtId="174" fontId="24" fillId="0" borderId="28" xfId="0" applyNumberFormat="1" applyFont="1" applyFill="1" applyBorder="1" applyAlignment="1">
      <alignment horizontal="right"/>
    </xf>
    <xf numFmtId="171" fontId="64" fillId="0" borderId="29" xfId="0" applyNumberFormat="1" applyFont="1" applyFill="1" applyBorder="1" applyAlignment="1">
      <alignment horizontal="center"/>
    </xf>
    <xf numFmtId="171" fontId="64" fillId="0" borderId="29" xfId="0" applyNumberFormat="1" applyFont="1" applyFill="1" applyBorder="1" applyAlignment="1">
      <alignment horizontal="right"/>
    </xf>
    <xf numFmtId="174" fontId="64" fillId="0" borderId="30" xfId="0" applyNumberFormat="1" applyFont="1" applyFill="1" applyBorder="1" applyAlignment="1">
      <alignment horizontal="left"/>
    </xf>
    <xf numFmtId="174" fontId="64" fillId="0" borderId="30" xfId="0" applyNumberFormat="1" applyFont="1" applyBorder="1" applyAlignment="1">
      <alignment horizontal="right"/>
    </xf>
    <xf numFmtId="174" fontId="64" fillId="0" borderId="28" xfId="0" applyNumberFormat="1" applyFont="1" applyBorder="1" applyAlignment="1"/>
    <xf numFmtId="174" fontId="64" fillId="0" borderId="28" xfId="0" applyNumberFormat="1" applyFont="1" applyBorder="1" applyAlignment="1">
      <alignment horizontal="right"/>
    </xf>
    <xf numFmtId="174" fontId="64" fillId="0" borderId="28" xfId="0" applyNumberFormat="1" applyFont="1" applyBorder="1" applyAlignment="1">
      <alignment horizontal="centerContinuous"/>
    </xf>
    <xf numFmtId="171" fontId="64" fillId="0" borderId="30" xfId="0" applyNumberFormat="1" applyFont="1" applyBorder="1" applyAlignment="1"/>
    <xf numFmtId="174" fontId="64" fillId="0" borderId="30" xfId="0" applyNumberFormat="1" applyFont="1" applyFill="1" applyBorder="1" applyAlignment="1">
      <alignment horizontal="center"/>
    </xf>
    <xf numFmtId="174" fontId="64" fillId="0" borderId="0" xfId="0" applyNumberFormat="1" applyFont="1" applyBorder="1" applyAlignment="1" applyProtection="1">
      <alignment horizontal="centerContinuous"/>
    </xf>
    <xf numFmtId="174" fontId="64" fillId="0" borderId="28" xfId="0" applyNumberFormat="1" applyFont="1" applyBorder="1" applyAlignment="1" applyProtection="1">
      <alignment horizontal="centerContinuous"/>
    </xf>
    <xf numFmtId="174" fontId="1" fillId="15" borderId="28" xfId="0" applyNumberFormat="1" applyFont="1" applyFill="1" applyBorder="1" applyAlignment="1">
      <alignment vertical="top"/>
    </xf>
    <xf numFmtId="171" fontId="64" fillId="0" borderId="30" xfId="0" applyNumberFormat="1" applyFont="1" applyBorder="1" applyAlignment="1">
      <alignment horizontal="right"/>
    </xf>
    <xf numFmtId="15" fontId="64" fillId="0" borderId="30" xfId="0" applyNumberFormat="1" applyFont="1" applyBorder="1" applyAlignment="1">
      <alignment horizontal="right"/>
    </xf>
    <xf numFmtId="171" fontId="64" fillId="0" borderId="30" xfId="0" applyNumberFormat="1" applyFont="1" applyBorder="1" applyAlignment="1" applyProtection="1">
      <alignment horizontal="right"/>
    </xf>
    <xf numFmtId="195" fontId="18" fillId="0" borderId="0" xfId="0" applyNumberFormat="1" applyFont="1" applyBorder="1" applyAlignment="1">
      <alignment horizontal="right"/>
    </xf>
    <xf numFmtId="174" fontId="19" fillId="0" borderId="28" xfId="0" applyNumberFormat="1" applyFont="1" applyBorder="1" applyAlignment="1">
      <alignment wrapText="1"/>
    </xf>
    <xf numFmtId="174" fontId="34" fillId="0" borderId="28" xfId="0" applyNumberFormat="1" applyFont="1" applyBorder="1" applyAlignment="1">
      <alignment horizontal="right" wrapText="1"/>
    </xf>
    <xf numFmtId="174" fontId="19" fillId="0" borderId="0" xfId="0" applyNumberFormat="1" applyFont="1" applyBorder="1" applyAlignment="1">
      <alignment wrapText="1"/>
    </xf>
    <xf numFmtId="195" fontId="19" fillId="0" borderId="30" xfId="0" applyNumberFormat="1" applyFont="1" applyBorder="1" applyAlignment="1">
      <alignment horizontal="left"/>
    </xf>
    <xf numFmtId="195" fontId="20" fillId="0" borderId="30" xfId="0" applyNumberFormat="1" applyFont="1" applyBorder="1" applyAlignment="1">
      <alignment horizontal="left"/>
    </xf>
    <xf numFmtId="261" fontId="0" fillId="0" borderId="30" xfId="0" applyFont="1" applyBorder="1" applyAlignment="1">
      <alignment horizontal="right"/>
    </xf>
    <xf numFmtId="174" fontId="89" fillId="0" borderId="28" xfId="0" applyNumberFormat="1" applyFont="1" applyBorder="1" applyAlignment="1">
      <alignment horizontal="right" wrapText="1"/>
    </xf>
    <xf numFmtId="174" fontId="89" fillId="0" borderId="0" xfId="0" applyNumberFormat="1" applyFont="1" applyBorder="1" applyAlignment="1">
      <alignment wrapText="1"/>
    </xf>
    <xf numFmtId="174" fontId="68" fillId="0" borderId="0" xfId="0" applyNumberFormat="1" applyFont="1" applyBorder="1" applyAlignment="1">
      <alignment horizontal="right"/>
    </xf>
    <xf numFmtId="195" fontId="89" fillId="0" borderId="30" xfId="0" applyNumberFormat="1" applyFont="1" applyBorder="1" applyAlignment="1">
      <alignment horizontal="left"/>
    </xf>
    <xf numFmtId="195" fontId="134" fillId="0" borderId="30" xfId="0" applyNumberFormat="1" applyFont="1" applyBorder="1" applyAlignment="1">
      <alignment horizontal="left"/>
    </xf>
    <xf numFmtId="261" fontId="68" fillId="0" borderId="30" xfId="0" applyFont="1" applyBorder="1" applyAlignment="1">
      <alignment horizontal="right"/>
    </xf>
    <xf numFmtId="174" fontId="19" fillId="0" borderId="28" xfId="0" applyNumberFormat="1" applyFont="1" applyBorder="1" applyAlignment="1">
      <alignment horizontal="left"/>
    </xf>
    <xf numFmtId="192" fontId="18" fillId="0" borderId="28" xfId="0" applyNumberFormat="1" applyFont="1" applyBorder="1" applyAlignment="1">
      <alignment vertical="top"/>
    </xf>
    <xf numFmtId="192" fontId="23" fillId="0" borderId="28" xfId="0" applyNumberFormat="1" applyFont="1" applyBorder="1" applyAlignment="1" applyProtection="1">
      <alignment horizontal="left" indent="2"/>
    </xf>
    <xf numFmtId="37" fontId="18" fillId="0" borderId="28" xfId="0" applyNumberFormat="1" applyFont="1" applyFill="1" applyBorder="1" applyAlignment="1">
      <alignment horizontal="right"/>
    </xf>
    <xf numFmtId="195" fontId="19" fillId="0" borderId="29" xfId="0" applyNumberFormat="1" applyFont="1" applyBorder="1" applyAlignment="1">
      <alignment horizontal="left"/>
    </xf>
    <xf numFmtId="174" fontId="19" fillId="0" borderId="29" xfId="0" applyNumberFormat="1" applyFont="1" applyBorder="1" applyAlignment="1">
      <alignment vertical="top"/>
    </xf>
    <xf numFmtId="174" fontId="23" fillId="0" borderId="29" xfId="0" applyNumberFormat="1" applyFont="1" applyBorder="1" applyAlignment="1" applyProtection="1">
      <alignment vertical="top"/>
    </xf>
    <xf numFmtId="37" fontId="19" fillId="0" borderId="29" xfId="0" applyNumberFormat="1" applyFont="1" applyFill="1" applyBorder="1" applyAlignment="1">
      <alignment horizontal="right"/>
    </xf>
    <xf numFmtId="195" fontId="19" fillId="0" borderId="28" xfId="0" applyNumberFormat="1" applyFont="1" applyBorder="1" applyAlignment="1">
      <alignment horizontal="left"/>
    </xf>
    <xf numFmtId="174" fontId="70" fillId="0" borderId="28" xfId="0" applyNumberFormat="1" applyFont="1" applyBorder="1" applyAlignment="1">
      <alignment horizontal="center"/>
    </xf>
    <xf numFmtId="174" fontId="23" fillId="0" borderId="28" xfId="0" applyNumberFormat="1" applyFont="1" applyBorder="1" applyAlignment="1" applyProtection="1">
      <alignment horizontal="center"/>
    </xf>
    <xf numFmtId="37" fontId="19" fillId="0" borderId="28" xfId="0" applyNumberFormat="1" applyFont="1" applyBorder="1" applyAlignment="1">
      <alignment horizontal="right"/>
    </xf>
    <xf numFmtId="174" fontId="70" fillId="0" borderId="0" xfId="0" applyNumberFormat="1" applyFont="1" applyBorder="1" applyAlignment="1">
      <alignment horizontal="center"/>
    </xf>
    <xf numFmtId="174" fontId="23" fillId="0" borderId="0" xfId="0" applyNumberFormat="1" applyFont="1" applyBorder="1" applyAlignment="1" applyProtection="1">
      <alignment horizontal="center"/>
    </xf>
    <xf numFmtId="195" fontId="19" fillId="0" borderId="30" xfId="0" applyNumberFormat="1" applyFont="1" applyBorder="1" applyAlignment="1"/>
    <xf numFmtId="195" fontId="18" fillId="0" borderId="30" xfId="0" applyNumberFormat="1" applyFont="1" applyBorder="1" applyAlignment="1"/>
    <xf numFmtId="195" fontId="23" fillId="0" borderId="30" xfId="0" applyNumberFormat="1" applyFont="1" applyBorder="1" applyAlignment="1" applyProtection="1"/>
    <xf numFmtId="188" fontId="19" fillId="0" borderId="30" xfId="0" applyNumberFormat="1" applyFont="1" applyBorder="1" applyAlignment="1">
      <alignment horizontal="right"/>
    </xf>
    <xf numFmtId="261" fontId="0" fillId="0" borderId="30" xfId="0" applyFont="1" applyBorder="1"/>
    <xf numFmtId="174" fontId="18" fillId="0" borderId="29" xfId="0" applyNumberFormat="1" applyFont="1" applyBorder="1" applyAlignment="1">
      <alignment vertical="top"/>
    </xf>
    <xf numFmtId="171" fontId="19" fillId="0" borderId="29" xfId="0" applyNumberFormat="1" applyFont="1" applyBorder="1" applyAlignment="1">
      <alignment horizontal="right" vertical="top"/>
    </xf>
    <xf numFmtId="174" fontId="23" fillId="0" borderId="28" xfId="0" applyNumberFormat="1" applyFont="1" applyBorder="1" applyAlignment="1" applyProtection="1">
      <alignment wrapText="1"/>
    </xf>
    <xf numFmtId="174" fontId="23" fillId="0" borderId="0" xfId="0" applyNumberFormat="1" applyFont="1" applyBorder="1" applyAlignment="1" applyProtection="1">
      <alignment wrapText="1"/>
    </xf>
    <xf numFmtId="195" fontId="23" fillId="0" borderId="30" xfId="0" applyNumberFormat="1" applyFont="1" applyBorder="1" applyAlignment="1" applyProtection="1">
      <alignment horizontal="left" indent="2"/>
    </xf>
    <xf numFmtId="192" fontId="23" fillId="0" borderId="0" xfId="0" applyNumberFormat="1" applyFont="1" applyBorder="1" applyAlignment="1" applyProtection="1">
      <alignment horizontal="left" indent="2"/>
    </xf>
    <xf numFmtId="174" fontId="23" fillId="0" borderId="30" xfId="0" applyNumberFormat="1" applyFont="1" applyBorder="1" applyAlignment="1" applyProtection="1">
      <alignment vertical="top"/>
    </xf>
    <xf numFmtId="37" fontId="19" fillId="0" borderId="30" xfId="0" applyNumberFormat="1" applyFont="1" applyFill="1" applyBorder="1" applyAlignment="1">
      <alignment horizontal="right"/>
    </xf>
    <xf numFmtId="171" fontId="64" fillId="0" borderId="28" xfId="0" applyNumberFormat="1" applyFont="1" applyFill="1" applyBorder="1" applyAlignment="1">
      <alignment horizontal="centerContinuous"/>
    </xf>
    <xf numFmtId="171" fontId="64" fillId="0" borderId="28" xfId="0" applyNumberFormat="1" applyFont="1" applyFill="1" applyBorder="1" applyAlignment="1"/>
    <xf numFmtId="171" fontId="64" fillId="0" borderId="30" xfId="0" applyNumberFormat="1" applyFont="1" applyFill="1" applyBorder="1" applyAlignment="1">
      <alignment horizontal="right"/>
    </xf>
    <xf numFmtId="0" fontId="0" fillId="0" borderId="28" xfId="0" applyNumberFormat="1" applyFont="1" applyBorder="1" applyAlignment="1"/>
    <xf numFmtId="0" fontId="64" fillId="0" borderId="28" xfId="0" applyNumberFormat="1" applyFont="1" applyBorder="1" applyAlignment="1"/>
    <xf numFmtId="261" fontId="55" fillId="0" borderId="30" xfId="0" applyFont="1" applyBorder="1" applyAlignment="1">
      <alignment horizontal="left" wrapText="1"/>
    </xf>
    <xf numFmtId="171" fontId="64" fillId="0" borderId="30" xfId="0" applyNumberFormat="1" applyFont="1" applyFill="1" applyBorder="1" applyAlignment="1">
      <alignment horizontal="right" wrapText="1"/>
    </xf>
    <xf numFmtId="0" fontId="64" fillId="0" borderId="30" xfId="0" applyNumberFormat="1" applyFont="1" applyBorder="1" applyAlignment="1"/>
    <xf numFmtId="171" fontId="64" fillId="0" borderId="30" xfId="0" applyNumberFormat="1" applyFont="1" applyBorder="1" applyAlignment="1">
      <alignment horizontal="right" wrapText="1"/>
    </xf>
    <xf numFmtId="0" fontId="89" fillId="0" borderId="30" xfId="0" applyNumberFormat="1" applyFont="1" applyBorder="1" applyAlignment="1">
      <alignment horizontal="right"/>
    </xf>
    <xf numFmtId="261" fontId="18" fillId="0" borderId="28" xfId="0" applyFont="1" applyFill="1" applyBorder="1"/>
    <xf numFmtId="171" fontId="64" fillId="0" borderId="30" xfId="0" applyNumberFormat="1" applyFont="1" applyFill="1" applyBorder="1" applyAlignment="1">
      <alignment horizontal="left"/>
    </xf>
    <xf numFmtId="0" fontId="64" fillId="0" borderId="30" xfId="0" applyNumberFormat="1" applyFont="1" applyFill="1" applyBorder="1" applyAlignment="1">
      <alignment horizontal="right"/>
    </xf>
    <xf numFmtId="261" fontId="18" fillId="0" borderId="30" xfId="0" applyFont="1" applyFill="1" applyBorder="1"/>
    <xf numFmtId="171" fontId="64" fillId="0" borderId="30" xfId="0" applyNumberFormat="1" applyFont="1" applyBorder="1" applyAlignment="1">
      <alignment horizontal="left" wrapText="1"/>
    </xf>
    <xf numFmtId="174" fontId="64" fillId="0" borderId="28" xfId="0" applyNumberFormat="1" applyFont="1" applyFill="1" applyBorder="1" applyAlignment="1"/>
    <xf numFmtId="174" fontId="64" fillId="0" borderId="30" xfId="0" applyNumberFormat="1" applyFont="1" applyFill="1" applyBorder="1" applyAlignment="1"/>
    <xf numFmtId="174" fontId="18" fillId="0" borderId="29" xfId="0" applyNumberFormat="1" applyFont="1" applyBorder="1" applyAlignment="1"/>
    <xf numFmtId="174" fontId="64" fillId="0" borderId="30" xfId="0" applyNumberFormat="1" applyFont="1" applyBorder="1" applyAlignment="1">
      <alignment horizontal="left"/>
    </xf>
    <xf numFmtId="174" fontId="64" fillId="0" borderId="28" xfId="0" applyNumberFormat="1" applyFont="1" applyBorder="1" applyAlignment="1" applyProtection="1">
      <alignment horizontal="right"/>
    </xf>
    <xf numFmtId="174" fontId="64" fillId="0" borderId="30" xfId="0" applyNumberFormat="1" applyFont="1" applyBorder="1" applyAlignment="1" applyProtection="1">
      <alignment horizontal="left" indent="2"/>
    </xf>
    <xf numFmtId="171" fontId="64" fillId="0" borderId="28" xfId="0" applyNumberFormat="1" applyFont="1" applyFill="1" applyBorder="1" applyAlignment="1" applyProtection="1">
      <alignment horizontal="right"/>
    </xf>
    <xf numFmtId="171" fontId="64" fillId="0" borderId="30" xfId="0" applyNumberFormat="1" applyFont="1" applyFill="1" applyBorder="1" applyAlignment="1"/>
    <xf numFmtId="171" fontId="64" fillId="0" borderId="30" xfId="0" applyNumberFormat="1" applyFont="1" applyFill="1" applyBorder="1" applyAlignment="1" applyProtection="1">
      <alignment horizontal="right"/>
    </xf>
    <xf numFmtId="174" fontId="68" fillId="0" borderId="29" xfId="0" applyNumberFormat="1" applyFont="1" applyBorder="1" applyAlignment="1"/>
    <xf numFmtId="174" fontId="89" fillId="0" borderId="29" xfId="0" quotePrefix="1" applyNumberFormat="1" applyFont="1" applyBorder="1" applyAlignment="1">
      <alignment horizontal="right"/>
    </xf>
    <xf numFmtId="174" fontId="89" fillId="0" borderId="29" xfId="0" quotePrefix="1" applyNumberFormat="1" applyFont="1" applyBorder="1" applyAlignment="1" applyProtection="1">
      <alignment horizontal="right"/>
    </xf>
    <xf numFmtId="174" fontId="89" fillId="0" borderId="29" xfId="0" applyNumberFormat="1" applyFont="1" applyBorder="1" applyAlignment="1">
      <alignment horizontal="right"/>
    </xf>
    <xf numFmtId="171" fontId="64" fillId="0" borderId="28" xfId="0" applyNumberFormat="1" applyFont="1" applyBorder="1" applyAlignment="1">
      <alignment vertical="top"/>
    </xf>
    <xf numFmtId="195" fontId="64" fillId="0" borderId="30" xfId="0" applyNumberFormat="1" applyFont="1" applyBorder="1" applyAlignment="1"/>
    <xf numFmtId="207" fontId="64" fillId="0" borderId="30" xfId="0" applyNumberFormat="1" applyFont="1" applyBorder="1" applyAlignment="1">
      <alignment horizontal="right"/>
    </xf>
    <xf numFmtId="171" fontId="64" fillId="0" borderId="28" xfId="0" applyNumberFormat="1" applyFont="1" applyBorder="1" applyAlignment="1" applyProtection="1"/>
    <xf numFmtId="195" fontId="64" fillId="0" borderId="30" xfId="0" applyNumberFormat="1" applyFont="1" applyBorder="1" applyAlignment="1" applyProtection="1"/>
    <xf numFmtId="171" fontId="64" fillId="0" borderId="29" xfId="0" applyNumberFormat="1" applyFont="1" applyBorder="1" applyAlignment="1">
      <alignment horizontal="left"/>
    </xf>
    <xf numFmtId="171" fontId="64" fillId="0" borderId="29" xfId="0" applyNumberFormat="1" applyFont="1" applyBorder="1" applyAlignment="1">
      <alignment horizontal="left" wrapText="1"/>
    </xf>
    <xf numFmtId="261" fontId="0" fillId="0" borderId="29" xfId="0" applyBorder="1" applyAlignment="1">
      <alignment horizontal="left"/>
    </xf>
    <xf numFmtId="261" fontId="0" fillId="0" borderId="29" xfId="0" applyBorder="1" applyAlignment="1">
      <alignment horizontal="left" wrapText="1"/>
    </xf>
    <xf numFmtId="227" fontId="39" fillId="11" borderId="0" xfId="0" applyNumberFormat="1" applyFont="1" applyFill="1" applyAlignment="1" applyProtection="1">
      <alignment horizontal="center"/>
      <protection locked="0"/>
    </xf>
    <xf numFmtId="261" fontId="18" fillId="0" borderId="30" xfId="0" applyFont="1" applyBorder="1" applyAlignment="1">
      <alignment horizontal="left" vertical="top"/>
    </xf>
    <xf numFmtId="261" fontId="18" fillId="0" borderId="30" xfId="0" applyFont="1" applyBorder="1" applyAlignment="1">
      <alignment horizontal="left" vertical="top" wrapText="1"/>
    </xf>
    <xf numFmtId="261" fontId="19" fillId="0" borderId="30" xfId="0" applyFont="1" applyBorder="1" applyAlignment="1">
      <alignment horizontal="left" vertical="top"/>
    </xf>
    <xf numFmtId="261" fontId="19" fillId="0" borderId="30" xfId="0" applyFont="1" applyBorder="1" applyAlignment="1">
      <alignment horizontal="left" vertical="top" wrapText="1"/>
    </xf>
    <xf numFmtId="0" fontId="1" fillId="0" borderId="30" xfId="0" applyNumberFormat="1" applyFont="1" applyFill="1" applyBorder="1" applyAlignment="1">
      <alignment horizontal="left"/>
    </xf>
    <xf numFmtId="178" fontId="19" fillId="0" borderId="30" xfId="0" applyNumberFormat="1" applyFont="1" applyBorder="1" applyAlignment="1">
      <alignment horizontal="right" vertical="top"/>
    </xf>
    <xf numFmtId="0" fontId="1" fillId="0" borderId="30" xfId="0" applyNumberFormat="1" applyFont="1" applyBorder="1" applyAlignment="1">
      <alignment horizontal="left"/>
    </xf>
    <xf numFmtId="261" fontId="39" fillId="11" borderId="30" xfId="0" applyFont="1" applyFill="1" applyBorder="1" applyAlignment="1" applyProtection="1">
      <alignment horizontal="right"/>
    </xf>
    <xf numFmtId="0" fontId="19" fillId="0" borderId="30" xfId="0" applyNumberFormat="1" applyFont="1" applyFill="1" applyBorder="1" applyAlignment="1" applyProtection="1">
      <alignment horizontal="right"/>
      <protection locked="0"/>
    </xf>
    <xf numFmtId="178" fontId="23" fillId="0" borderId="30" xfId="0" applyNumberFormat="1" applyFont="1" applyBorder="1" applyAlignment="1" applyProtection="1"/>
    <xf numFmtId="178" fontId="18" fillId="0" borderId="30" xfId="0" applyNumberFormat="1" applyFont="1" applyBorder="1"/>
    <xf numFmtId="261" fontId="18" fillId="0" borderId="30" xfId="0" applyFont="1" applyFill="1" applyBorder="1" applyAlignment="1">
      <alignment horizontal="left" vertical="top"/>
    </xf>
    <xf numFmtId="174" fontId="24" fillId="0" borderId="28" xfId="0" applyNumberFormat="1" applyFont="1" applyFill="1" applyBorder="1" applyAlignment="1" applyProtection="1"/>
    <xf numFmtId="189" fontId="21" fillId="0" borderId="0" xfId="0" applyNumberFormat="1" applyFont="1" applyFill="1" applyBorder="1" applyAlignment="1"/>
    <xf numFmtId="216" fontId="24" fillId="0" borderId="28" xfId="0" applyNumberFormat="1" applyFont="1" applyFill="1" applyBorder="1" applyAlignment="1"/>
    <xf numFmtId="174" fontId="24" fillId="0" borderId="29" xfId="0" applyNumberFormat="1" applyFont="1" applyBorder="1" applyAlignment="1"/>
    <xf numFmtId="261" fontId="18" fillId="0" borderId="29" xfId="0" applyFont="1" applyFill="1" applyBorder="1"/>
    <xf numFmtId="261" fontId="0" fillId="0" borderId="29" xfId="0" applyFill="1" applyBorder="1"/>
    <xf numFmtId="171" fontId="23" fillId="0" borderId="29" xfId="0" applyNumberFormat="1" applyFont="1" applyFill="1" applyBorder="1" applyAlignment="1" applyProtection="1"/>
    <xf numFmtId="5" fontId="19" fillId="0" borderId="29" xfId="0" applyNumberFormat="1" applyFont="1" applyFill="1" applyBorder="1"/>
    <xf numFmtId="174" fontId="1" fillId="0" borderId="28" xfId="0" applyNumberFormat="1" applyFont="1" applyBorder="1" applyAlignment="1"/>
    <xf numFmtId="195" fontId="1" fillId="0" borderId="28" xfId="0" applyNumberFormat="1" applyFont="1" applyBorder="1" applyAlignment="1"/>
    <xf numFmtId="39" fontId="23" fillId="0" borderId="28" xfId="0" applyNumberFormat="1" applyFont="1" applyFill="1" applyBorder="1" applyAlignment="1" applyProtection="1">
      <alignment horizontal="right"/>
    </xf>
    <xf numFmtId="196" fontId="1" fillId="0" borderId="28" xfId="0" applyNumberFormat="1" applyFont="1" applyBorder="1" applyAlignment="1">
      <alignment horizontal="right"/>
    </xf>
    <xf numFmtId="174" fontId="44" fillId="0" borderId="28" xfId="0" applyNumberFormat="1" applyFont="1" applyFill="1" applyBorder="1" applyAlignment="1"/>
    <xf numFmtId="174" fontId="18" fillId="0" borderId="28" xfId="0" applyNumberFormat="1" applyFont="1" applyBorder="1" applyAlignment="1"/>
    <xf numFmtId="193" fontId="23" fillId="0" borderId="28" xfId="0" applyNumberFormat="1" applyFont="1" applyBorder="1" applyAlignment="1" applyProtection="1">
      <alignment horizontal="left" indent="2"/>
    </xf>
    <xf numFmtId="193" fontId="0" fillId="0" borderId="28" xfId="0" applyNumberFormat="1" applyFont="1" applyBorder="1" applyAlignment="1">
      <alignment horizontal="right"/>
    </xf>
    <xf numFmtId="174" fontId="18" fillId="0" borderId="28" xfId="0" applyNumberFormat="1" applyFont="1" applyFill="1" applyBorder="1" applyAlignment="1"/>
    <xf numFmtId="174" fontId="0" fillId="0" borderId="28" xfId="0" applyNumberFormat="1" applyBorder="1" applyAlignment="1"/>
    <xf numFmtId="174" fontId="23" fillId="0" borderId="28" xfId="0" applyNumberFormat="1" applyFont="1" applyBorder="1" applyAlignment="1" applyProtection="1"/>
    <xf numFmtId="174" fontId="24" fillId="0" borderId="28" xfId="0" applyNumberFormat="1" applyFont="1" applyBorder="1" applyAlignment="1"/>
    <xf numFmtId="226" fontId="23" fillId="0" borderId="28" xfId="0" applyNumberFormat="1" applyFont="1" applyBorder="1" applyAlignment="1" applyProtection="1"/>
    <xf numFmtId="174" fontId="0" fillId="0" borderId="28" xfId="0" applyNumberFormat="1" applyFont="1" applyBorder="1" applyAlignment="1">
      <alignment horizontal="right"/>
    </xf>
    <xf numFmtId="174" fontId="23" fillId="0" borderId="28" xfId="0" applyNumberFormat="1" applyFont="1" applyBorder="1" applyAlignment="1" applyProtection="1">
      <alignment horizontal="right"/>
    </xf>
    <xf numFmtId="172" fontId="36" fillId="0" borderId="64" xfId="0" applyNumberFormat="1" applyFont="1" applyBorder="1" applyAlignment="1">
      <alignment horizontal="right"/>
    </xf>
    <xf numFmtId="174" fontId="0" fillId="0" borderId="64" xfId="0" applyNumberFormat="1" applyBorder="1" applyAlignment="1"/>
    <xf numFmtId="174" fontId="118" fillId="0" borderId="29" xfId="0" applyNumberFormat="1" applyFont="1" applyBorder="1" applyAlignment="1" applyProtection="1"/>
    <xf numFmtId="174" fontId="121" fillId="0" borderId="29" xfId="0" applyNumberFormat="1" applyFont="1" applyBorder="1" applyAlignment="1"/>
    <xf numFmtId="174" fontId="119" fillId="0" borderId="29" xfId="0" applyNumberFormat="1" applyFont="1" applyFill="1" applyBorder="1" applyAlignment="1">
      <alignment horizontal="right"/>
    </xf>
    <xf numFmtId="174" fontId="119" fillId="0" borderId="29" xfId="0" applyNumberFormat="1" applyFont="1" applyBorder="1" applyAlignment="1">
      <alignment horizontal="right"/>
    </xf>
    <xf numFmtId="174" fontId="118" fillId="0" borderId="29" xfId="0" applyNumberFormat="1" applyFont="1" applyBorder="1" applyAlignment="1" applyProtection="1">
      <alignment horizontal="left"/>
    </xf>
    <xf numFmtId="261" fontId="0" fillId="0" borderId="29" xfId="0" applyFont="1" applyBorder="1"/>
    <xf numFmtId="174" fontId="48" fillId="0" borderId="0" xfId="0" applyNumberFormat="1" applyFont="1" applyAlignment="1" applyProtection="1"/>
    <xf numFmtId="261" fontId="0" fillId="0" borderId="71" xfId="0" applyBorder="1"/>
    <xf numFmtId="261" fontId="0" fillId="0" borderId="72" xfId="0" applyBorder="1"/>
    <xf numFmtId="261" fontId="0" fillId="0" borderId="50" xfId="0" applyBorder="1"/>
    <xf numFmtId="174" fontId="0" fillId="0" borderId="0" xfId="0" applyNumberFormat="1" applyFont="1" applyBorder="1" applyAlignment="1">
      <alignment vertical="top"/>
    </xf>
    <xf numFmtId="190" fontId="0" fillId="0" borderId="41" xfId="0" applyNumberFormat="1" applyFont="1" applyBorder="1" applyAlignment="1">
      <alignment horizontal="right"/>
    </xf>
    <xf numFmtId="261" fontId="0" fillId="0" borderId="0" xfId="0" applyFont="1" applyBorder="1" applyAlignment="1">
      <alignment horizontal="left" indent="1"/>
    </xf>
    <xf numFmtId="261" fontId="0" fillId="0" borderId="51" xfId="0" applyBorder="1"/>
    <xf numFmtId="174" fontId="0" fillId="0" borderId="0" xfId="0" applyNumberFormat="1" applyFont="1" applyBorder="1" applyAlignment="1">
      <alignment horizontal="left" vertical="top"/>
    </xf>
    <xf numFmtId="174" fontId="0" fillId="0" borderId="0" xfId="0" applyNumberFormat="1" applyFont="1" applyBorder="1" applyAlignment="1">
      <alignment horizontal="left" vertical="top" indent="1"/>
    </xf>
    <xf numFmtId="261" fontId="0" fillId="0" borderId="75" xfId="0" applyBorder="1"/>
    <xf numFmtId="261" fontId="0" fillId="0" borderId="52" xfId="0" applyBorder="1"/>
    <xf numFmtId="174" fontId="19" fillId="0" borderId="0" xfId="0" applyNumberFormat="1" applyFont="1" applyBorder="1" applyAlignment="1">
      <alignment horizontal="center" vertical="top"/>
    </xf>
    <xf numFmtId="174" fontId="19" fillId="0" borderId="0" xfId="0" applyNumberFormat="1" applyFont="1" applyBorder="1" applyAlignment="1">
      <alignment horizontal="right"/>
    </xf>
    <xf numFmtId="172" fontId="36" fillId="0" borderId="0" xfId="6" applyFont="1" applyAlignment="1">
      <alignment horizontal="center" vertical="top"/>
    </xf>
    <xf numFmtId="256" fontId="36" fillId="0" borderId="0" xfId="6" applyNumberFormat="1" applyAlignment="1"/>
    <xf numFmtId="257" fontId="136" fillId="0" borderId="0" xfId="0" applyNumberFormat="1" applyFont="1" applyAlignment="1">
      <alignment vertical="center"/>
    </xf>
    <xf numFmtId="175" fontId="24" fillId="0" borderId="0" xfId="8" applyAlignment="1">
      <alignment horizontal="left"/>
    </xf>
    <xf numFmtId="172" fontId="36" fillId="0" borderId="28" xfId="6" applyBorder="1" applyAlignment="1">
      <alignment horizontal="right"/>
    </xf>
    <xf numFmtId="172" fontId="36" fillId="0" borderId="0" xfId="6" applyAlignment="1">
      <alignment horizontal="right"/>
    </xf>
    <xf numFmtId="261" fontId="38" fillId="0" borderId="0" xfId="0" applyFont="1"/>
    <xf numFmtId="258" fontId="0" fillId="0" borderId="0" xfId="0" applyNumberFormat="1" applyAlignment="1">
      <alignment horizontal="left" vertical="top" wrapText="1"/>
    </xf>
    <xf numFmtId="261" fontId="0" fillId="0" borderId="0" xfId="0" applyAlignment="1">
      <alignment horizontal="left" indent="3"/>
    </xf>
    <xf numFmtId="172" fontId="160" fillId="11" borderId="62" xfId="7" applyProtection="1">
      <alignment horizontal="right"/>
    </xf>
    <xf numFmtId="172" fontId="36" fillId="0" borderId="0" xfId="6" applyAlignment="1"/>
    <xf numFmtId="172" fontId="18" fillId="5" borderId="0" xfId="7" applyFont="1" applyFill="1" applyBorder="1" applyProtection="1">
      <alignment horizontal="right"/>
      <protection locked="0"/>
    </xf>
    <xf numFmtId="172" fontId="36" fillId="0" borderId="0" xfId="6" applyAlignment="1">
      <alignment vertical="top"/>
    </xf>
    <xf numFmtId="261" fontId="9" fillId="0" borderId="0" xfId="0" applyFont="1" applyFill="1" applyAlignment="1">
      <alignment horizontal="left"/>
    </xf>
    <xf numFmtId="261" fontId="95" fillId="0" borderId="0" xfId="0" applyFont="1" applyFill="1" applyAlignment="1">
      <alignment horizontal="left"/>
    </xf>
    <xf numFmtId="261" fontId="96" fillId="0" borderId="0" xfId="0" quotePrefix="1" applyFont="1" applyFill="1" applyAlignment="1">
      <alignment horizontal="left"/>
    </xf>
    <xf numFmtId="261" fontId="97" fillId="0" borderId="23" xfId="0" applyFont="1" applyFill="1" applyBorder="1" applyAlignment="1">
      <alignment horizontal="left"/>
    </xf>
    <xf numFmtId="261" fontId="18" fillId="0" borderId="0" xfId="0" applyFont="1" applyFill="1" applyAlignment="1">
      <alignment horizontal="left" vertical="top" wrapText="1" indent="2"/>
    </xf>
    <xf numFmtId="261" fontId="18" fillId="0" borderId="0" xfId="0" applyFont="1" applyFill="1" applyAlignment="1">
      <alignment horizontal="left" vertical="top" wrapText="1" indent="1"/>
    </xf>
    <xf numFmtId="261" fontId="19" fillId="0" borderId="24" xfId="0" applyFont="1" applyFill="1" applyBorder="1" applyAlignment="1">
      <alignment horizontal="left" vertical="top" wrapText="1"/>
    </xf>
    <xf numFmtId="171" fontId="115" fillId="0" borderId="0" xfId="0" applyNumberFormat="1" applyFont="1" applyFill="1" applyAlignment="1" applyProtection="1">
      <alignment horizontal="left" vertical="top" wrapText="1"/>
    </xf>
    <xf numFmtId="261" fontId="18" fillId="0" borderId="0" xfId="0" applyFont="1" applyFill="1" applyAlignment="1">
      <alignment horizontal="left" vertical="top" wrapText="1" indent="3"/>
    </xf>
    <xf numFmtId="261" fontId="18" fillId="0" borderId="0" xfId="0" applyFont="1" applyFill="1" applyBorder="1" applyAlignment="1">
      <alignment horizontal="left" wrapText="1"/>
    </xf>
    <xf numFmtId="261" fontId="56" fillId="0" borderId="0" xfId="0" applyFont="1" applyFill="1" applyBorder="1" applyAlignment="1">
      <alignment horizontal="left" vertical="top"/>
    </xf>
    <xf numFmtId="261" fontId="68" fillId="5" borderId="0" xfId="0" applyFont="1" applyFill="1"/>
    <xf numFmtId="261" fontId="18" fillId="0" borderId="30" xfId="0" applyFont="1" applyBorder="1"/>
    <xf numFmtId="261" fontId="18" fillId="5" borderId="0" xfId="0" applyFont="1" applyFill="1" applyBorder="1" applyAlignment="1">
      <alignment horizontal="right" vertical="top"/>
    </xf>
    <xf numFmtId="261" fontId="38" fillId="0" borderId="0" xfId="0" quotePrefix="1" applyFont="1"/>
    <xf numFmtId="261" fontId="34" fillId="0" borderId="0" xfId="0" applyFont="1" applyBorder="1" applyAlignment="1">
      <alignment horizontal="left"/>
    </xf>
    <xf numFmtId="14" fontId="110" fillId="0" borderId="0" xfId="0" applyNumberFormat="1" applyFont="1" applyAlignment="1">
      <alignment vertical="center"/>
    </xf>
    <xf numFmtId="261" fontId="1" fillId="0" borderId="0" xfId="0" applyFont="1" applyBorder="1" applyAlignment="1"/>
    <xf numFmtId="0" fontId="19" fillId="0" borderId="0" xfId="0" applyNumberFormat="1" applyFont="1" applyBorder="1" applyAlignment="1">
      <alignment horizontal="left" wrapText="1" indent="2"/>
    </xf>
    <xf numFmtId="0" fontId="19" fillId="0" borderId="0" xfId="0" applyNumberFormat="1" applyFont="1" applyBorder="1" applyAlignment="1">
      <alignment horizontal="right" wrapText="1"/>
    </xf>
    <xf numFmtId="0" fontId="19" fillId="0" borderId="0" xfId="0" applyNumberFormat="1" applyFont="1" applyBorder="1" applyAlignment="1">
      <alignment horizontal="center" wrapText="1"/>
    </xf>
    <xf numFmtId="0" fontId="19" fillId="0" borderId="0" xfId="0" applyNumberFormat="1" applyFont="1" applyBorder="1" applyAlignment="1">
      <alignment wrapText="1"/>
    </xf>
    <xf numFmtId="261" fontId="19" fillId="0" borderId="28" xfId="0" applyFont="1" applyFill="1" applyBorder="1" applyAlignment="1" applyProtection="1">
      <alignment horizontal="center"/>
      <protection locked="0"/>
    </xf>
    <xf numFmtId="0" fontId="18" fillId="0" borderId="28" xfId="0" applyNumberFormat="1" applyFont="1" applyBorder="1" applyAlignment="1">
      <alignment horizontal="left" indent="2"/>
    </xf>
    <xf numFmtId="0" fontId="18" fillId="0" borderId="28" xfId="0" applyNumberFormat="1" applyFont="1" applyBorder="1" applyAlignment="1">
      <alignment horizontal="left"/>
    </xf>
    <xf numFmtId="261" fontId="0" fillId="0" borderId="77" xfId="0" applyBorder="1"/>
    <xf numFmtId="171" fontId="48" fillId="0" borderId="76" xfId="0" applyNumberFormat="1" applyFont="1" applyBorder="1" applyAlignment="1" applyProtection="1">
      <alignment horizontal="left" indent="1"/>
    </xf>
    <xf numFmtId="261" fontId="34" fillId="0" borderId="37" xfId="0" applyFont="1" applyBorder="1"/>
    <xf numFmtId="256" fontId="34" fillId="0" borderId="37" xfId="6" applyNumberFormat="1" applyFont="1" applyBorder="1" applyAlignment="1"/>
    <xf numFmtId="256" fontId="34" fillId="0" borderId="28" xfId="6" applyNumberFormat="1" applyFont="1" applyBorder="1" applyAlignment="1">
      <alignment horizontal="right"/>
    </xf>
    <xf numFmtId="256" fontId="34" fillId="0" borderId="0" xfId="6" applyNumberFormat="1" applyFont="1" applyAlignment="1"/>
    <xf numFmtId="261" fontId="0" fillId="0" borderId="0" xfId="0" applyFill="1" applyAlignment="1">
      <alignment horizontal="right"/>
    </xf>
    <xf numFmtId="261" fontId="34" fillId="0" borderId="0" xfId="0" applyFont="1" applyFill="1" applyAlignment="1">
      <alignment horizontal="right"/>
    </xf>
    <xf numFmtId="261" fontId="99" fillId="0" borderId="0" xfId="0" applyFont="1" applyBorder="1"/>
    <xf numFmtId="174" fontId="42" fillId="5" borderId="0" xfId="0" applyNumberFormat="1" applyFont="1" applyFill="1" applyAlignment="1">
      <alignment horizontal="right"/>
    </xf>
    <xf numFmtId="261" fontId="19" fillId="0" borderId="29" xfId="0" applyFont="1" applyBorder="1" applyAlignment="1">
      <alignment horizontal="left" vertical="top"/>
    </xf>
    <xf numFmtId="223" fontId="19" fillId="0" borderId="29" xfId="0" applyNumberFormat="1" applyFont="1" applyFill="1" applyBorder="1" applyAlignment="1">
      <alignment horizontal="right" vertical="top"/>
    </xf>
    <xf numFmtId="224" fontId="19" fillId="0" borderId="29" xfId="0" applyNumberFormat="1" applyFont="1" applyBorder="1" applyAlignment="1">
      <alignment horizontal="right" vertical="top"/>
    </xf>
    <xf numFmtId="0" fontId="1" fillId="0" borderId="29" xfId="0" applyNumberFormat="1" applyFont="1" applyBorder="1" applyAlignment="1">
      <alignment horizontal="left"/>
    </xf>
    <xf numFmtId="178" fontId="19" fillId="0" borderId="29" xfId="0" applyNumberFormat="1" applyFont="1" applyBorder="1" applyAlignment="1">
      <alignment horizontal="right" vertical="top"/>
    </xf>
    <xf numFmtId="261" fontId="55" fillId="0" borderId="0" xfId="0" applyFont="1" applyFill="1"/>
    <xf numFmtId="174" fontId="46" fillId="6" borderId="0" xfId="0" applyNumberFormat="1" applyFont="1" applyFill="1" applyAlignment="1">
      <alignment horizontal="left" indent="4"/>
    </xf>
    <xf numFmtId="174" fontId="46" fillId="6" borderId="0" xfId="0" applyNumberFormat="1" applyFont="1" applyFill="1" applyAlignment="1">
      <alignment horizontal="left" indent="3"/>
    </xf>
    <xf numFmtId="174" fontId="42" fillId="6" borderId="0" xfId="0" applyNumberFormat="1" applyFont="1" applyFill="1" applyAlignment="1">
      <alignment horizontal="left" indent="1"/>
    </xf>
    <xf numFmtId="174" fontId="46" fillId="6" borderId="0" xfId="0" applyNumberFormat="1" applyFont="1" applyFill="1" applyAlignment="1">
      <alignment horizontal="left" indent="5"/>
    </xf>
    <xf numFmtId="174" fontId="137" fillId="6" borderId="0" xfId="0" applyNumberFormat="1" applyFont="1" applyFill="1" applyAlignment="1"/>
    <xf numFmtId="174" fontId="137" fillId="6" borderId="0" xfId="0" applyNumberFormat="1" applyFont="1" applyFill="1" applyAlignment="1">
      <alignment vertical="top"/>
    </xf>
    <xf numFmtId="261" fontId="137" fillId="6" borderId="0" xfId="0" applyFont="1" applyFill="1"/>
    <xf numFmtId="261" fontId="103" fillId="0" borderId="0" xfId="0" applyFont="1" applyAlignment="1">
      <alignment horizontal="left"/>
    </xf>
    <xf numFmtId="174" fontId="18" fillId="0" borderId="0" xfId="0" applyNumberFormat="1" applyFont="1" applyBorder="1" applyAlignment="1">
      <alignment horizontal="center"/>
    </xf>
    <xf numFmtId="174" fontId="46" fillId="0" borderId="0" xfId="0" applyNumberFormat="1" applyFont="1" applyBorder="1" applyAlignment="1">
      <alignment horizontal="left"/>
    </xf>
    <xf numFmtId="261" fontId="138" fillId="0" borderId="0" xfId="0" applyFont="1" applyAlignment="1">
      <alignment vertical="center"/>
    </xf>
    <xf numFmtId="187" fontId="42" fillId="6" borderId="0" xfId="0" applyNumberFormat="1" applyFont="1" applyFill="1"/>
    <xf numFmtId="172" fontId="36" fillId="0" borderId="0" xfId="6" applyBorder="1">
      <alignment horizontal="right"/>
    </xf>
    <xf numFmtId="261" fontId="46" fillId="0" borderId="28" xfId="0" applyFont="1" applyBorder="1" applyAlignment="1">
      <alignment horizontal="left" vertical="top"/>
    </xf>
    <xf numFmtId="15" fontId="55" fillId="27" borderId="23" xfId="0" applyNumberFormat="1" applyFont="1" applyFill="1" applyBorder="1" applyAlignment="1">
      <alignment horizontal="right" wrapText="1"/>
    </xf>
    <xf numFmtId="15" fontId="0" fillId="0" borderId="0" xfId="0" applyNumberFormat="1" applyAlignment="1">
      <alignment horizontal="left" vertical="top"/>
    </xf>
    <xf numFmtId="165" fontId="139" fillId="5" borderId="0" xfId="0" applyNumberFormat="1" applyFont="1" applyFill="1" applyBorder="1" applyAlignment="1">
      <alignment horizontal="left"/>
    </xf>
    <xf numFmtId="0" fontId="139" fillId="0" borderId="0" xfId="0" applyNumberFormat="1" applyFont="1" applyFill="1" applyAlignment="1">
      <alignment horizontal="center" vertical="center"/>
    </xf>
    <xf numFmtId="0" fontId="139" fillId="0" borderId="0" xfId="0" applyNumberFormat="1" applyFont="1" applyFill="1" applyBorder="1" applyAlignment="1">
      <alignment horizontal="center"/>
    </xf>
    <xf numFmtId="165" fontId="140" fillId="5" borderId="0" xfId="0" applyNumberFormat="1" applyFont="1" applyFill="1" applyBorder="1" applyAlignment="1" applyProtection="1">
      <alignment horizontal="left" indent="2"/>
    </xf>
    <xf numFmtId="0" fontId="139" fillId="0" borderId="0" xfId="0" applyNumberFormat="1" applyFont="1" applyFill="1" applyAlignment="1">
      <alignment horizontal="center"/>
    </xf>
    <xf numFmtId="165" fontId="139" fillId="0" borderId="0" xfId="0" applyNumberFormat="1" applyFont="1" applyFill="1" applyAlignment="1">
      <alignment horizontal="left"/>
    </xf>
    <xf numFmtId="0" fontId="100" fillId="0" borderId="0" xfId="0" applyNumberFormat="1" applyFont="1" applyFill="1" applyAlignment="1">
      <alignment horizontal="center"/>
    </xf>
    <xf numFmtId="0" fontId="64" fillId="0" borderId="0" xfId="0" applyNumberFormat="1" applyFont="1" applyAlignment="1">
      <alignment horizontal="center"/>
    </xf>
    <xf numFmtId="0" fontId="100" fillId="0" borderId="0" xfId="0" applyNumberFormat="1" applyFont="1" applyFill="1" applyBorder="1" applyAlignment="1">
      <alignment horizontal="center"/>
    </xf>
    <xf numFmtId="165" fontId="100" fillId="0" borderId="0" xfId="0" applyNumberFormat="1" applyFont="1" applyFill="1" applyBorder="1" applyAlignment="1">
      <alignment horizontal="left"/>
    </xf>
    <xf numFmtId="261" fontId="0" fillId="18" borderId="0" xfId="0" applyFont="1" applyFill="1" applyAlignment="1">
      <alignment horizontal="left"/>
    </xf>
    <xf numFmtId="261" fontId="18" fillId="18" borderId="0" xfId="0" applyFont="1" applyFill="1" applyBorder="1" applyAlignment="1" applyProtection="1">
      <alignment horizontal="center"/>
      <protection locked="0"/>
    </xf>
    <xf numFmtId="261" fontId="18" fillId="0" borderId="0" xfId="0" applyFont="1" applyFill="1" applyBorder="1" applyAlignment="1" applyProtection="1">
      <alignment horizontal="center"/>
      <protection locked="0"/>
    </xf>
    <xf numFmtId="261" fontId="18" fillId="8" borderId="0" xfId="0" applyFont="1" applyFill="1" applyBorder="1" applyAlignment="1" applyProtection="1">
      <alignment horizontal="center"/>
      <protection locked="0"/>
    </xf>
    <xf numFmtId="261" fontId="18" fillId="8" borderId="0" xfId="0" applyFont="1" applyFill="1" applyBorder="1" applyAlignment="1" applyProtection="1">
      <alignment horizontal="right"/>
      <protection locked="0"/>
    </xf>
    <xf numFmtId="261" fontId="18" fillId="8" borderId="4" xfId="0" applyFont="1" applyFill="1" applyBorder="1" applyAlignment="1" applyProtection="1">
      <alignment horizontal="right"/>
      <protection locked="0"/>
    </xf>
    <xf numFmtId="174" fontId="18" fillId="18" borderId="0" xfId="0" applyNumberFormat="1" applyFont="1" applyFill="1" applyAlignment="1"/>
    <xf numFmtId="261" fontId="34" fillId="0" borderId="0" xfId="0" applyFont="1" applyAlignment="1"/>
    <xf numFmtId="165" fontId="64" fillId="0" borderId="0" xfId="0" applyNumberFormat="1" applyFont="1" applyFill="1" applyAlignment="1">
      <alignment horizontal="left"/>
    </xf>
    <xf numFmtId="261" fontId="18" fillId="17" borderId="0" xfId="0" applyFont="1" applyFill="1" applyBorder="1" applyAlignment="1" applyProtection="1">
      <alignment horizontal="left"/>
      <protection locked="0"/>
    </xf>
    <xf numFmtId="261" fontId="18" fillId="17" borderId="0" xfId="0" applyFont="1" applyFill="1" applyBorder="1" applyAlignment="1" applyProtection="1">
      <alignment horizontal="center"/>
      <protection locked="0"/>
    </xf>
    <xf numFmtId="174" fontId="18" fillId="17" borderId="0" xfId="0" applyNumberFormat="1" applyFont="1" applyFill="1" applyAlignment="1"/>
    <xf numFmtId="165" fontId="64" fillId="0" borderId="0" xfId="0" applyNumberFormat="1" applyFont="1" applyFill="1" applyBorder="1" applyAlignment="1">
      <alignment horizontal="left"/>
    </xf>
    <xf numFmtId="174" fontId="0" fillId="0" borderId="26" xfId="0" applyNumberFormat="1" applyFont="1" applyBorder="1" applyAlignment="1">
      <alignment vertical="top"/>
    </xf>
    <xf numFmtId="174" fontId="0" fillId="21" borderId="0" xfId="0" applyNumberFormat="1" applyFont="1" applyFill="1" applyBorder="1" applyAlignment="1">
      <alignment horizontal="left" vertical="top"/>
    </xf>
    <xf numFmtId="174" fontId="0" fillId="21" borderId="0" xfId="0" applyNumberFormat="1" applyFont="1" applyFill="1" applyBorder="1" applyAlignment="1">
      <alignment vertical="top"/>
    </xf>
    <xf numFmtId="174" fontId="0" fillId="21" borderId="0" xfId="0" applyNumberFormat="1" applyFont="1" applyFill="1" applyAlignment="1">
      <alignment vertical="top"/>
    </xf>
    <xf numFmtId="181" fontId="0" fillId="21" borderId="41" xfId="0" applyNumberFormat="1" applyFont="1" applyFill="1" applyBorder="1" applyAlignment="1">
      <alignment horizontal="right"/>
    </xf>
    <xf numFmtId="181" fontId="0" fillId="0" borderId="41" xfId="0" applyNumberFormat="1" applyFont="1" applyBorder="1" applyAlignment="1">
      <alignment horizontal="right"/>
    </xf>
    <xf numFmtId="174" fontId="0" fillId="0" borderId="25" xfId="0" applyNumberFormat="1" applyFont="1" applyBorder="1" applyAlignment="1">
      <alignment vertical="top"/>
    </xf>
    <xf numFmtId="261" fontId="34" fillId="0" borderId="0" xfId="0" applyFont="1" applyFill="1" applyBorder="1" applyAlignment="1">
      <alignment horizontal="right"/>
    </xf>
    <xf numFmtId="181" fontId="18" fillId="8" borderId="0" xfId="0" applyNumberFormat="1" applyFont="1" applyFill="1" applyBorder="1" applyAlignment="1" applyProtection="1">
      <alignment horizontal="right"/>
      <protection locked="0"/>
    </xf>
    <xf numFmtId="181" fontId="18" fillId="8" borderId="4" xfId="0" applyNumberFormat="1" applyFont="1" applyFill="1" applyBorder="1" applyAlignment="1" applyProtection="1">
      <alignment horizontal="right"/>
      <protection locked="0"/>
    </xf>
    <xf numFmtId="15" fontId="64" fillId="0" borderId="0" xfId="0" applyNumberFormat="1" applyFont="1" applyFill="1" applyAlignment="1"/>
    <xf numFmtId="15" fontId="64" fillId="0" borderId="4" xfId="0" applyNumberFormat="1" applyFont="1" applyFill="1" applyBorder="1" applyAlignment="1"/>
    <xf numFmtId="15" fontId="64" fillId="0" borderId="0" xfId="0" applyNumberFormat="1" applyFont="1" applyFill="1" applyBorder="1" applyAlignment="1"/>
    <xf numFmtId="261" fontId="18" fillId="0" borderId="0" xfId="0" quotePrefix="1" applyFont="1" applyFill="1" applyBorder="1" applyAlignment="1" applyProtection="1">
      <alignment horizontal="left"/>
      <protection locked="0"/>
    </xf>
    <xf numFmtId="181" fontId="18" fillId="0" borderId="0" xfId="0" applyNumberFormat="1" applyFont="1" applyFill="1" applyBorder="1" applyAlignment="1" applyProtection="1">
      <alignment horizontal="right"/>
      <protection locked="0"/>
    </xf>
    <xf numFmtId="261" fontId="0" fillId="18" borderId="0" xfId="0" applyFont="1" applyFill="1"/>
    <xf numFmtId="172" fontId="18" fillId="8" borderId="4" xfId="0" applyNumberFormat="1" applyFont="1" applyFill="1" applyBorder="1" applyAlignment="1" applyProtection="1">
      <alignment horizontal="right"/>
      <protection locked="0"/>
    </xf>
    <xf numFmtId="261" fontId="18" fillId="6" borderId="44" xfId="0" applyFont="1" applyFill="1" applyBorder="1" applyAlignment="1" applyProtection="1">
      <alignment horizontal="right"/>
      <protection locked="0"/>
    </xf>
    <xf numFmtId="261" fontId="18" fillId="6" borderId="45" xfId="0" applyFont="1" applyFill="1" applyBorder="1" applyAlignment="1" applyProtection="1">
      <alignment horizontal="right"/>
      <protection locked="0"/>
    </xf>
    <xf numFmtId="261" fontId="18" fillId="0" borderId="44" xfId="0" applyFont="1" applyFill="1" applyBorder="1" applyAlignment="1" applyProtection="1">
      <alignment horizontal="right"/>
      <protection locked="0"/>
    </xf>
    <xf numFmtId="261" fontId="18" fillId="0" borderId="45" xfId="0" applyFont="1" applyFill="1" applyBorder="1" applyAlignment="1" applyProtection="1">
      <alignment horizontal="right"/>
      <protection locked="0"/>
    </xf>
    <xf numFmtId="261" fontId="0" fillId="17" borderId="0" xfId="0" applyFont="1" applyFill="1"/>
    <xf numFmtId="261" fontId="18" fillId="0" borderId="0" xfId="0" applyFont="1" applyFill="1" applyBorder="1" applyAlignment="1" applyProtection="1">
      <alignment horizontal="right"/>
      <protection locked="0"/>
    </xf>
    <xf numFmtId="261" fontId="18" fillId="0" borderId="4" xfId="0" applyFont="1" applyFill="1" applyBorder="1" applyAlignment="1" applyProtection="1">
      <alignment horizontal="right"/>
      <protection locked="0"/>
    </xf>
    <xf numFmtId="172" fontId="18" fillId="8" borderId="0" xfId="0" applyNumberFormat="1" applyFont="1" applyFill="1" applyBorder="1" applyAlignment="1" applyProtection="1">
      <alignment horizontal="center"/>
      <protection locked="0"/>
    </xf>
    <xf numFmtId="227" fontId="18" fillId="8" borderId="0" xfId="0" applyNumberFormat="1" applyFont="1" applyFill="1" applyBorder="1" applyAlignment="1" applyProtection="1">
      <alignment horizontal="center"/>
      <protection locked="0"/>
    </xf>
    <xf numFmtId="174" fontId="0" fillId="0" borderId="39" xfId="0" applyNumberFormat="1" applyFont="1" applyBorder="1" applyAlignment="1">
      <alignment vertical="top"/>
    </xf>
    <xf numFmtId="174" fontId="0" fillId="0" borderId="6" xfId="0" applyNumberFormat="1" applyFont="1" applyBorder="1" applyAlignment="1">
      <alignment vertical="top"/>
    </xf>
    <xf numFmtId="174" fontId="0" fillId="0" borderId="6" xfId="0" applyNumberFormat="1" applyFont="1" applyBorder="1" applyAlignment="1">
      <alignment horizontal="right"/>
    </xf>
    <xf numFmtId="181" fontId="0" fillId="0" borderId="0" xfId="0" applyNumberFormat="1" applyFont="1" applyBorder="1" applyAlignment="1">
      <alignment horizontal="right"/>
    </xf>
    <xf numFmtId="181" fontId="0" fillId="0" borderId="0" xfId="0" applyNumberFormat="1" applyFont="1" applyBorder="1" applyAlignment="1">
      <alignment horizontal="left"/>
    </xf>
    <xf numFmtId="174" fontId="0" fillId="0" borderId="27" xfId="0" applyNumberFormat="1" applyFont="1" applyBorder="1" applyAlignment="1">
      <alignment vertical="top"/>
    </xf>
    <xf numFmtId="174" fontId="68" fillId="6" borderId="0" xfId="0" applyNumberFormat="1" applyFont="1" applyFill="1" applyAlignment="1">
      <alignment horizontal="right"/>
    </xf>
    <xf numFmtId="165" fontId="139" fillId="0" borderId="0" xfId="0" applyNumberFormat="1" applyFont="1" applyFill="1" applyBorder="1" applyAlignment="1">
      <alignment horizontal="left"/>
    </xf>
    <xf numFmtId="0" fontId="100" fillId="0" borderId="0" xfId="0" applyNumberFormat="1" applyFont="1" applyFill="1" applyAlignment="1">
      <alignment horizontal="center" vertical="center"/>
    </xf>
    <xf numFmtId="166" fontId="19" fillId="0" borderId="0" xfId="0" applyNumberFormat="1" applyFont="1" applyFill="1" applyBorder="1" applyAlignment="1">
      <alignment horizontal="left"/>
    </xf>
    <xf numFmtId="261" fontId="34" fillId="0" borderId="0" xfId="0" applyFont="1" applyAlignment="1">
      <alignment horizontal="center" wrapText="1"/>
    </xf>
    <xf numFmtId="261" fontId="34" fillId="0" borderId="1" xfId="0" applyFont="1" applyBorder="1" applyAlignment="1"/>
    <xf numFmtId="168" fontId="34" fillId="0" borderId="1" xfId="0" applyNumberFormat="1" applyFont="1" applyBorder="1" applyAlignment="1">
      <alignment wrapText="1"/>
    </xf>
    <xf numFmtId="261" fontId="34" fillId="0" borderId="1" xfId="0" applyFont="1" applyBorder="1" applyAlignment="1">
      <alignment horizontal="left"/>
    </xf>
    <xf numFmtId="9" fontId="64" fillId="0" borderId="0" xfId="0" applyNumberFormat="1" applyFont="1" applyFill="1" applyBorder="1" applyAlignment="1"/>
    <xf numFmtId="10" fontId="18" fillId="0" borderId="0" xfId="0" applyNumberFormat="1" applyFont="1" applyFill="1" applyBorder="1"/>
    <xf numFmtId="261" fontId="18" fillId="0" borderId="29" xfId="0" applyFont="1" applyBorder="1" applyAlignment="1">
      <alignment horizontal="left"/>
    </xf>
    <xf numFmtId="261" fontId="63" fillId="0" borderId="29" xfId="0" applyFont="1" applyBorder="1"/>
    <xf numFmtId="174" fontId="0" fillId="0" borderId="30" xfId="0" applyNumberFormat="1" applyFont="1" applyFill="1" applyBorder="1" applyAlignment="1"/>
    <xf numFmtId="174" fontId="24" fillId="0" borderId="30" xfId="0" applyNumberFormat="1" applyFont="1" applyFill="1" applyBorder="1" applyAlignment="1"/>
    <xf numFmtId="174" fontId="24" fillId="0" borderId="30" xfId="0" applyNumberFormat="1" applyFont="1" applyFill="1" applyBorder="1" applyAlignment="1">
      <alignment horizontal="right"/>
    </xf>
    <xf numFmtId="261" fontId="0" fillId="0" borderId="0" xfId="0"/>
    <xf numFmtId="261" fontId="0" fillId="0" borderId="0" xfId="0" applyAlignment="1">
      <alignment wrapText="1"/>
    </xf>
    <xf numFmtId="261" fontId="0" fillId="0" borderId="0" xfId="0" applyAlignment="1">
      <alignment horizontal="left" vertical="top"/>
    </xf>
    <xf numFmtId="261" fontId="0" fillId="0" borderId="0" xfId="0" applyBorder="1"/>
    <xf numFmtId="0" fontId="0" fillId="0" borderId="0" xfId="0" applyNumberFormat="1"/>
    <xf numFmtId="261" fontId="0" fillId="0" borderId="0" xfId="0" applyFont="1" applyBorder="1"/>
    <xf numFmtId="171" fontId="23" fillId="0" borderId="0" xfId="0" applyNumberFormat="1" applyFont="1" applyAlignment="1" applyProtection="1"/>
    <xf numFmtId="174" fontId="1" fillId="0" borderId="0" xfId="0" applyNumberFormat="1" applyFont="1" applyAlignment="1"/>
    <xf numFmtId="261" fontId="19" fillId="0" borderId="0" xfId="0" applyFont="1"/>
    <xf numFmtId="174" fontId="1" fillId="0" borderId="0" xfId="0" applyNumberFormat="1" applyFont="1" applyAlignment="1">
      <alignment vertical="top"/>
    </xf>
    <xf numFmtId="174" fontId="1" fillId="6" borderId="0" xfId="0" applyNumberFormat="1" applyFont="1" applyFill="1" applyAlignment="1"/>
    <xf numFmtId="174" fontId="42" fillId="6" borderId="0" xfId="0" applyNumberFormat="1" applyFont="1" applyFill="1" applyAlignment="1"/>
    <xf numFmtId="261" fontId="4" fillId="0" borderId="0" xfId="0" applyFont="1"/>
    <xf numFmtId="174" fontId="18" fillId="0" borderId="0" xfId="0" applyNumberFormat="1" applyFont="1" applyAlignment="1">
      <alignment horizontal="right"/>
    </xf>
    <xf numFmtId="174" fontId="18" fillId="0" borderId="0" xfId="0" applyNumberFormat="1" applyFont="1" applyAlignment="1"/>
    <xf numFmtId="174" fontId="18" fillId="0" borderId="0" xfId="0" applyNumberFormat="1" applyFont="1" applyBorder="1" applyAlignment="1">
      <alignment vertical="top"/>
    </xf>
    <xf numFmtId="174" fontId="1" fillId="0" borderId="0" xfId="0" applyNumberFormat="1" applyFont="1" applyAlignment="1">
      <alignment vertical="top" wrapText="1"/>
    </xf>
    <xf numFmtId="174" fontId="1" fillId="0" borderId="0" xfId="0" applyNumberFormat="1" applyFont="1" applyBorder="1" applyAlignment="1"/>
    <xf numFmtId="0" fontId="1" fillId="0" borderId="0" xfId="0" applyNumberFormat="1" applyFont="1" applyBorder="1" applyAlignment="1">
      <alignment horizontal="left"/>
    </xf>
    <xf numFmtId="174" fontId="42" fillId="6" borderId="0" xfId="0" applyNumberFormat="1" applyFont="1" applyFill="1" applyAlignment="1">
      <alignment vertical="top"/>
    </xf>
    <xf numFmtId="174" fontId="0" fillId="6" borderId="0" xfId="0" applyNumberFormat="1" applyFill="1" applyAlignment="1"/>
    <xf numFmtId="174" fontId="0" fillId="0" borderId="0" xfId="0" applyNumberFormat="1" applyAlignment="1"/>
    <xf numFmtId="174" fontId="1" fillId="0" borderId="0" xfId="0" applyNumberFormat="1" applyFont="1" applyAlignment="1">
      <alignment horizontal="centerContinuous" wrapText="1"/>
    </xf>
    <xf numFmtId="174" fontId="1" fillId="0" borderId="0" xfId="0" applyNumberFormat="1" applyFont="1" applyBorder="1" applyAlignment="1">
      <alignment horizontal="centerContinuous" wrapText="1"/>
    </xf>
    <xf numFmtId="174" fontId="2" fillId="0" borderId="0" xfId="0" applyNumberFormat="1" applyFont="1" applyAlignment="1">
      <alignment horizontal="center" wrapText="1"/>
    </xf>
    <xf numFmtId="202" fontId="1" fillId="0" borderId="0" xfId="0" applyNumberFormat="1" applyFont="1" applyBorder="1" applyAlignment="1">
      <alignment horizontal="left" vertical="top" wrapText="1"/>
    </xf>
    <xf numFmtId="261" fontId="18" fillId="0" borderId="0" xfId="0" applyFont="1"/>
    <xf numFmtId="205" fontId="52" fillId="0" borderId="0" xfId="0" applyNumberFormat="1" applyFont="1" applyAlignment="1">
      <alignment vertical="top"/>
    </xf>
    <xf numFmtId="261" fontId="18" fillId="0" borderId="0" xfId="0" applyFont="1" applyBorder="1"/>
    <xf numFmtId="261" fontId="18" fillId="0" borderId="0" xfId="0" applyFont="1" applyAlignment="1">
      <alignment horizontal="left" vertical="top" wrapText="1"/>
    </xf>
    <xf numFmtId="261" fontId="18" fillId="0" borderId="0" xfId="0" applyFont="1" applyFill="1" applyBorder="1"/>
    <xf numFmtId="261" fontId="18" fillId="0" borderId="0" xfId="0" applyFont="1" applyFill="1"/>
    <xf numFmtId="261" fontId="18" fillId="0" borderId="0" xfId="0" applyFont="1" applyFill="1" applyBorder="1" applyAlignment="1">
      <alignment horizontal="left" vertical="top" wrapText="1"/>
    </xf>
    <xf numFmtId="0" fontId="1" fillId="0" borderId="0" xfId="0" applyNumberFormat="1" applyFont="1" applyBorder="1"/>
    <xf numFmtId="261" fontId="1" fillId="0" borderId="0" xfId="0" applyFont="1" applyAlignment="1">
      <alignment vertical="top"/>
    </xf>
    <xf numFmtId="261" fontId="55" fillId="0" borderId="0" xfId="0" applyFont="1" applyFill="1" applyBorder="1" applyAlignment="1">
      <alignment horizontal="right" wrapText="1"/>
    </xf>
    <xf numFmtId="178" fontId="18" fillId="0" borderId="0" xfId="0" applyNumberFormat="1" applyFont="1" applyBorder="1"/>
    <xf numFmtId="261" fontId="19" fillId="0" borderId="0" xfId="0" applyFont="1" applyBorder="1"/>
    <xf numFmtId="9" fontId="1" fillId="0" borderId="0" xfId="0" applyNumberFormat="1" applyFont="1" applyBorder="1"/>
    <xf numFmtId="174" fontId="18" fillId="0" borderId="0" xfId="0" applyNumberFormat="1" applyFont="1" applyAlignment="1">
      <alignment vertical="top"/>
    </xf>
    <xf numFmtId="261" fontId="18" fillId="0" borderId="0" xfId="0" applyFont="1" applyFill="1" applyBorder="1" applyAlignment="1">
      <alignment horizontal="left" vertical="top"/>
    </xf>
    <xf numFmtId="261" fontId="63" fillId="0" borderId="0" xfId="0" applyFont="1"/>
    <xf numFmtId="261" fontId="18" fillId="0" borderId="0" xfId="0" applyFont="1" applyAlignment="1">
      <alignment horizontal="left"/>
    </xf>
    <xf numFmtId="0" fontId="0" fillId="0" borderId="0" xfId="0" applyNumberFormat="1" applyFont="1" applyAlignment="1"/>
    <xf numFmtId="0" fontId="24" fillId="0" borderId="0" xfId="0" applyNumberFormat="1" applyFont="1" applyBorder="1" applyAlignment="1">
      <alignment horizontal="right"/>
    </xf>
    <xf numFmtId="0" fontId="18" fillId="0" borderId="0" xfId="0" applyNumberFormat="1" applyFont="1" applyAlignment="1"/>
    <xf numFmtId="0" fontId="18" fillId="0" borderId="0" xfId="0" applyNumberFormat="1" applyFont="1" applyBorder="1" applyAlignment="1"/>
    <xf numFmtId="174" fontId="42" fillId="6" borderId="0" xfId="0" applyNumberFormat="1" applyFont="1" applyFill="1" applyAlignment="1">
      <alignment horizontal="right"/>
    </xf>
    <xf numFmtId="174" fontId="42" fillId="6" borderId="0" xfId="0" applyNumberFormat="1" applyFont="1" applyFill="1" applyAlignment="1">
      <alignment wrapText="1"/>
    </xf>
    <xf numFmtId="174" fontId="1" fillId="0" borderId="0" xfId="0" applyNumberFormat="1" applyFont="1" applyAlignment="1">
      <alignment wrapText="1"/>
    </xf>
    <xf numFmtId="193" fontId="0" fillId="0" borderId="0" xfId="0" applyNumberFormat="1" applyFont="1" applyBorder="1" applyAlignment="1">
      <alignment horizontal="right"/>
    </xf>
    <xf numFmtId="261" fontId="56" fillId="0" borderId="0" xfId="0" applyFont="1" applyBorder="1" applyAlignment="1">
      <alignment horizontal="left" vertical="top"/>
    </xf>
    <xf numFmtId="9" fontId="32" fillId="0" borderId="0" xfId="0" applyNumberFormat="1" applyFont="1" applyBorder="1"/>
    <xf numFmtId="174" fontId="68" fillId="6" borderId="0" xfId="0" applyNumberFormat="1" applyFont="1" applyFill="1" applyAlignment="1"/>
    <xf numFmtId="261" fontId="19" fillId="0" borderId="0" xfId="0" applyFont="1" applyFill="1" applyAlignment="1">
      <alignment horizontal="right"/>
    </xf>
    <xf numFmtId="224" fontId="18" fillId="0" borderId="0" xfId="0" applyNumberFormat="1" applyFont="1" applyAlignment="1">
      <alignment horizontal="right" vertical="top"/>
    </xf>
    <xf numFmtId="174" fontId="18" fillId="0" borderId="0" xfId="0" applyNumberFormat="1" applyFont="1" applyBorder="1" applyAlignment="1"/>
    <xf numFmtId="172" fontId="36" fillId="0" borderId="0" xfId="0" applyNumberFormat="1" applyFont="1" applyBorder="1" applyAlignment="1">
      <alignment horizontal="right"/>
    </xf>
    <xf numFmtId="261" fontId="68" fillId="6" borderId="0" xfId="0" applyFont="1" applyFill="1"/>
    <xf numFmtId="174" fontId="0" fillId="0" borderId="0" xfId="0" applyNumberFormat="1" applyFont="1" applyBorder="1" applyAlignment="1">
      <alignment horizontal="right"/>
    </xf>
    <xf numFmtId="195" fontId="18" fillId="0" borderId="0" xfId="0" applyNumberFormat="1" applyFont="1" applyAlignment="1">
      <alignment horizontal="right"/>
    </xf>
    <xf numFmtId="195" fontId="71" fillId="0" borderId="0" xfId="0" applyNumberFormat="1" applyFont="1" applyAlignment="1">
      <alignment vertical="top"/>
    </xf>
    <xf numFmtId="261" fontId="0" fillId="0" borderId="0" xfId="0" applyAlignment="1">
      <alignment horizontal="left" vertical="top" wrapText="1"/>
    </xf>
    <xf numFmtId="174" fontId="18" fillId="0" borderId="0" xfId="0" applyNumberFormat="1" applyFont="1" applyAlignment="1">
      <alignment horizontal="right" wrapText="1"/>
    </xf>
    <xf numFmtId="172" fontId="24" fillId="0" borderId="0" xfId="0" applyNumberFormat="1" applyFont="1" applyBorder="1" applyAlignment="1">
      <alignment horizontal="right" vertical="top"/>
    </xf>
    <xf numFmtId="174" fontId="0" fillId="0" borderId="0" xfId="0" applyNumberFormat="1" applyFont="1" applyBorder="1" applyAlignment="1"/>
    <xf numFmtId="261" fontId="68" fillId="6" borderId="0" xfId="0" applyFont="1" applyFill="1" applyBorder="1"/>
    <xf numFmtId="192" fontId="42" fillId="6" borderId="0" xfId="0" applyNumberFormat="1" applyFont="1" applyFill="1" applyAlignment="1">
      <alignment vertical="top"/>
    </xf>
    <xf numFmtId="174" fontId="23" fillId="0" borderId="0" xfId="0" applyNumberFormat="1" applyFont="1" applyAlignment="1" applyProtection="1"/>
    <xf numFmtId="171" fontId="23" fillId="0" borderId="0" xfId="0" applyNumberFormat="1" applyFont="1" applyFill="1" applyAlignment="1" applyProtection="1"/>
    <xf numFmtId="174" fontId="23" fillId="0" borderId="0" xfId="0" applyNumberFormat="1" applyFont="1" applyBorder="1" applyAlignment="1" applyProtection="1"/>
    <xf numFmtId="0" fontId="0" fillId="0" borderId="0" xfId="0" applyNumberFormat="1" applyFont="1" applyBorder="1" applyAlignment="1">
      <alignment horizontal="right"/>
    </xf>
    <xf numFmtId="174" fontId="18" fillId="0" borderId="0" xfId="0" applyNumberFormat="1" applyFont="1" applyAlignment="1">
      <alignment vertical="top" wrapText="1"/>
    </xf>
    <xf numFmtId="174" fontId="18" fillId="15" borderId="0" xfId="0" applyNumberFormat="1" applyFont="1" applyFill="1" applyAlignment="1">
      <alignment vertical="top"/>
    </xf>
    <xf numFmtId="174" fontId="19" fillId="0" borderId="0" xfId="0" applyNumberFormat="1" applyFont="1" applyAlignment="1">
      <alignment horizontal="center" wrapText="1"/>
    </xf>
    <xf numFmtId="38" fontId="18" fillId="0" borderId="0" xfId="0" applyNumberFormat="1" applyFont="1" applyBorder="1" applyAlignment="1">
      <alignment vertical="top"/>
    </xf>
    <xf numFmtId="206" fontId="21" fillId="0" borderId="0" xfId="0" applyNumberFormat="1" applyFont="1" applyBorder="1" applyAlignment="1">
      <alignment horizontal="right" vertical="top"/>
    </xf>
    <xf numFmtId="202" fontId="18" fillId="0" borderId="0" xfId="0" applyNumberFormat="1" applyFont="1" applyBorder="1" applyAlignment="1">
      <alignment horizontal="left" vertical="top" wrapText="1"/>
    </xf>
    <xf numFmtId="195" fontId="0" fillId="0" borderId="0" xfId="0" applyNumberFormat="1" applyFont="1" applyBorder="1" applyAlignment="1"/>
    <xf numFmtId="171" fontId="23" fillId="0" borderId="0" xfId="0" applyNumberFormat="1" applyFont="1" applyAlignment="1" applyProtection="1">
      <alignment horizontal="left" indent="2"/>
    </xf>
    <xf numFmtId="174" fontId="23" fillId="0" borderId="0" xfId="0" applyNumberFormat="1" applyFont="1" applyBorder="1" applyAlignment="1" applyProtection="1">
      <alignment vertical="top"/>
    </xf>
    <xf numFmtId="193" fontId="23" fillId="0" borderId="0" xfId="0" applyNumberFormat="1" applyFont="1" applyBorder="1" applyAlignment="1" applyProtection="1">
      <alignment horizontal="left" indent="2"/>
    </xf>
    <xf numFmtId="0" fontId="23" fillId="0" borderId="0" xfId="0" applyNumberFormat="1" applyFont="1" applyAlignment="1" applyProtection="1">
      <alignment horizontal="left" indent="2"/>
    </xf>
    <xf numFmtId="178" fontId="23" fillId="0" borderId="0" xfId="0" applyNumberFormat="1" applyFont="1" applyBorder="1" applyAlignment="1" applyProtection="1"/>
    <xf numFmtId="224" fontId="23" fillId="0" borderId="0" xfId="0" applyNumberFormat="1" applyFont="1" applyAlignment="1" applyProtection="1">
      <alignment horizontal="right" vertical="top"/>
    </xf>
    <xf numFmtId="0" fontId="23" fillId="0" borderId="0" xfId="0" applyNumberFormat="1" applyFont="1" applyBorder="1" applyAlignment="1" applyProtection="1"/>
    <xf numFmtId="0" fontId="23" fillId="0" borderId="0" xfId="0" applyNumberFormat="1" applyFont="1" applyBorder="1" applyAlignment="1" applyProtection="1">
      <alignment horizontal="left" indent="2"/>
    </xf>
    <xf numFmtId="195" fontId="23" fillId="0" borderId="0" xfId="0" applyNumberFormat="1" applyFont="1" applyAlignment="1" applyProtection="1">
      <alignment vertical="top"/>
    </xf>
    <xf numFmtId="174" fontId="64" fillId="0" borderId="0" xfId="0" applyNumberFormat="1" applyFont="1" applyBorder="1" applyAlignment="1">
      <alignment vertical="top" wrapText="1"/>
    </xf>
    <xf numFmtId="261" fontId="18" fillId="0" borderId="0" xfId="0" applyFont="1" applyAlignment="1">
      <alignment horizontal="left" vertical="top"/>
    </xf>
    <xf numFmtId="5" fontId="19" fillId="0" borderId="0" xfId="0" applyNumberFormat="1" applyFont="1" applyFill="1" applyBorder="1"/>
    <xf numFmtId="261" fontId="19" fillId="0" borderId="30" xfId="0" applyFont="1" applyBorder="1"/>
    <xf numFmtId="171" fontId="64" fillId="0" borderId="24" xfId="0" applyNumberFormat="1" applyFont="1" applyBorder="1" applyAlignment="1">
      <alignment horizontal="centerContinuous" wrapText="1"/>
    </xf>
    <xf numFmtId="174" fontId="0" fillId="0" borderId="0" xfId="0" applyNumberFormat="1" applyBorder="1" applyAlignment="1"/>
    <xf numFmtId="174" fontId="23" fillId="0" borderId="0" xfId="0" applyNumberFormat="1" applyFont="1" applyBorder="1" applyAlignment="1" applyProtection="1">
      <alignment horizontal="right"/>
    </xf>
    <xf numFmtId="251" fontId="19" fillId="0" borderId="62" xfId="5" applyFont="1" applyFill="1" applyProtection="1">
      <alignment horizontal="right"/>
      <protection locked="0"/>
    </xf>
    <xf numFmtId="171" fontId="19" fillId="0" borderId="0" xfId="0" applyNumberFormat="1" applyFont="1" applyBorder="1" applyAlignment="1">
      <alignment horizontal="right"/>
    </xf>
    <xf numFmtId="171" fontId="19" fillId="0" borderId="25" xfId="0" applyNumberFormat="1" applyFont="1" applyBorder="1" applyAlignment="1">
      <alignment horizontal="right"/>
    </xf>
    <xf numFmtId="10" fontId="34" fillId="0" borderId="0" xfId="10" applyNumberFormat="1" applyFont="1"/>
    <xf numFmtId="261" fontId="38" fillId="0" borderId="0" xfId="0" applyFont="1" applyAlignment="1">
      <alignment horizontal="right"/>
    </xf>
    <xf numFmtId="174" fontId="38" fillId="0" borderId="0" xfId="0" applyNumberFormat="1" applyFont="1" applyAlignment="1" applyProtection="1">
      <alignment vertical="top"/>
    </xf>
    <xf numFmtId="175" fontId="89" fillId="0" borderId="30" xfId="8" applyFont="1" applyBorder="1" applyAlignment="1"/>
    <xf numFmtId="174" fontId="1" fillId="0" borderId="30" xfId="0" applyNumberFormat="1" applyFont="1" applyBorder="1" applyAlignment="1"/>
    <xf numFmtId="175" fontId="89" fillId="0" borderId="0" xfId="8" applyFont="1" applyBorder="1" applyAlignment="1"/>
    <xf numFmtId="174" fontId="34" fillId="6" borderId="80" xfId="0" applyNumberFormat="1" applyFont="1" applyFill="1" applyBorder="1" applyAlignment="1">
      <alignment horizontal="left"/>
    </xf>
    <xf numFmtId="261" fontId="93" fillId="0" borderId="0" xfId="0" applyFont="1" applyFill="1"/>
    <xf numFmtId="183" fontId="21" fillId="0" borderId="0" xfId="0" applyNumberFormat="1" applyFont="1" applyBorder="1" applyAlignment="1">
      <alignment horizontal="right" vertical="top"/>
    </xf>
    <xf numFmtId="225" fontId="78" fillId="0" borderId="0" xfId="0" applyNumberFormat="1" applyFont="1" applyFill="1" applyBorder="1" applyAlignment="1">
      <alignment horizontal="center"/>
    </xf>
    <xf numFmtId="225" fontId="67" fillId="0" borderId="0" xfId="0" applyNumberFormat="1" applyFont="1" applyFill="1" applyBorder="1" applyAlignment="1">
      <alignment horizontal="center"/>
    </xf>
    <xf numFmtId="200" fontId="39" fillId="11" borderId="0" xfId="0" applyNumberFormat="1" applyFont="1" applyFill="1" applyBorder="1" applyAlignment="1" applyProtection="1">
      <alignment horizontal="center"/>
      <protection locked="0"/>
    </xf>
    <xf numFmtId="172" fontId="39" fillId="11" borderId="0" xfId="7" applyFont="1" applyBorder="1" applyAlignment="1" applyProtection="1">
      <alignment horizontal="right"/>
      <protection locked="0"/>
    </xf>
    <xf numFmtId="185" fontId="18" fillId="0" borderId="0" xfId="0" applyNumberFormat="1" applyFont="1" applyFill="1" applyAlignment="1" applyProtection="1">
      <alignment horizontal="right"/>
      <protection locked="0"/>
    </xf>
    <xf numFmtId="260" fontId="0" fillId="0" borderId="0" xfId="0" applyNumberFormat="1" applyFont="1" applyFill="1" applyBorder="1" applyAlignment="1">
      <alignment horizontal="right" vertical="top"/>
    </xf>
    <xf numFmtId="166" fontId="0" fillId="0" borderId="29" xfId="0" applyNumberFormat="1" applyFont="1" applyFill="1" applyBorder="1" applyAlignment="1">
      <alignment horizontal="right" vertical="top"/>
    </xf>
    <xf numFmtId="166" fontId="34" fillId="0" borderId="0" xfId="0" applyNumberFormat="1" applyFont="1" applyFill="1" applyBorder="1" applyAlignment="1">
      <alignment horizontal="right" vertical="top"/>
    </xf>
    <xf numFmtId="172" fontId="36" fillId="0" borderId="0" xfId="6" applyBorder="1" applyAlignment="1">
      <alignment horizontal="right"/>
    </xf>
    <xf numFmtId="15" fontId="0" fillId="0" borderId="0" xfId="0" applyNumberFormat="1"/>
    <xf numFmtId="179" fontId="21" fillId="0" borderId="0" xfId="0" applyNumberFormat="1" applyFont="1" applyBorder="1" applyAlignment="1">
      <alignment horizontal="center" vertical="top"/>
    </xf>
    <xf numFmtId="171" fontId="19" fillId="0" borderId="81" xfId="0" applyNumberFormat="1" applyFont="1" applyBorder="1" applyAlignment="1">
      <alignment horizontal="right"/>
    </xf>
    <xf numFmtId="171" fontId="19" fillId="0" borderId="25" xfId="0" applyNumberFormat="1" applyFont="1" applyBorder="1" applyAlignment="1">
      <alignment horizontal="left"/>
    </xf>
    <xf numFmtId="171" fontId="19" fillId="0" borderId="25" xfId="0" applyNumberFormat="1" applyFont="1" applyBorder="1" applyAlignment="1">
      <alignment horizontal="center"/>
    </xf>
    <xf numFmtId="261" fontId="18" fillId="0" borderId="82" xfId="0" applyFont="1" applyFill="1" applyBorder="1"/>
    <xf numFmtId="205" fontId="141" fillId="5" borderId="0" xfId="0" applyNumberFormat="1" applyFont="1" applyFill="1" applyAlignment="1"/>
    <xf numFmtId="205" fontId="142" fillId="5" borderId="0" xfId="0" applyNumberFormat="1" applyFont="1" applyFill="1" applyAlignment="1"/>
    <xf numFmtId="205" fontId="143" fillId="5" borderId="0" xfId="0" applyNumberFormat="1" applyFont="1" applyFill="1" applyAlignment="1"/>
    <xf numFmtId="261" fontId="144" fillId="5" borderId="25" xfId="0" applyFont="1" applyFill="1" applyBorder="1"/>
    <xf numFmtId="261" fontId="10" fillId="9" borderId="0" xfId="0" applyFont="1" applyFill="1" applyAlignment="1">
      <alignment horizontal="left"/>
    </xf>
    <xf numFmtId="175" fontId="24" fillId="0" borderId="0" xfId="8">
      <alignment horizontal="right"/>
    </xf>
    <xf numFmtId="172" fontId="36" fillId="0" borderId="0" xfId="6" applyBorder="1" applyAlignment="1">
      <alignment horizontal="right" vertical="top"/>
    </xf>
    <xf numFmtId="172" fontId="36" fillId="0" borderId="0" xfId="6" applyAlignment="1">
      <alignment horizontal="right" vertical="top"/>
    </xf>
    <xf numFmtId="172" fontId="36" fillId="0" borderId="28" xfId="6" applyBorder="1" applyAlignment="1">
      <alignment horizontal="right" vertical="top"/>
    </xf>
    <xf numFmtId="172" fontId="36" fillId="0" borderId="30" xfId="6" applyBorder="1" applyAlignment="1">
      <alignment horizontal="right" vertical="top"/>
    </xf>
    <xf numFmtId="174" fontId="68" fillId="6" borderId="0" xfId="0" applyNumberFormat="1" applyFont="1" applyFill="1" applyAlignment="1">
      <alignment vertical="center"/>
    </xf>
    <xf numFmtId="261" fontId="42" fillId="6" borderId="0" xfId="0" applyFont="1" applyFill="1"/>
    <xf numFmtId="0" fontId="101" fillId="6" borderId="0" xfId="0" applyNumberFormat="1" applyFont="1" applyFill="1" applyBorder="1" applyAlignment="1">
      <alignment horizontal="center"/>
    </xf>
    <xf numFmtId="165" fontId="139" fillId="6" borderId="0" xfId="0" applyNumberFormat="1" applyFont="1" applyFill="1" applyBorder="1" applyAlignment="1">
      <alignment horizontal="left"/>
    </xf>
    <xf numFmtId="165" fontId="98" fillId="6" borderId="0" xfId="0" applyNumberFormat="1" applyFont="1" applyFill="1" applyBorder="1" applyAlignment="1" applyProtection="1">
      <alignment horizontal="left" indent="2"/>
    </xf>
    <xf numFmtId="0" fontId="95" fillId="6" borderId="0" xfId="0" applyNumberFormat="1" applyFont="1" applyFill="1" applyBorder="1" applyAlignment="1">
      <alignment horizontal="center"/>
    </xf>
    <xf numFmtId="165" fontId="116" fillId="6" borderId="0" xfId="0" applyNumberFormat="1" applyFont="1" applyFill="1" applyBorder="1" applyAlignment="1" applyProtection="1">
      <alignment horizontal="left"/>
    </xf>
    <xf numFmtId="165" fontId="98" fillId="6" borderId="0" xfId="0" applyNumberFormat="1" applyFont="1" applyFill="1" applyBorder="1" applyAlignment="1">
      <alignment horizontal="left"/>
    </xf>
    <xf numFmtId="0" fontId="139" fillId="6" borderId="0" xfId="0" applyNumberFormat="1" applyFont="1" applyFill="1" applyBorder="1" applyAlignment="1">
      <alignment horizontal="center"/>
    </xf>
    <xf numFmtId="165" fontId="98" fillId="6" borderId="0" xfId="0" applyNumberFormat="1" applyFont="1" applyFill="1" applyBorder="1" applyAlignment="1">
      <alignment horizontal="center"/>
    </xf>
    <xf numFmtId="261" fontId="0" fillId="6" borderId="0" xfId="0" applyFill="1" applyAlignment="1">
      <alignment horizontal="right"/>
    </xf>
    <xf numFmtId="261" fontId="103" fillId="0" borderId="0" xfId="0" applyFont="1" applyFill="1" applyAlignment="1">
      <alignment horizontal="right"/>
    </xf>
    <xf numFmtId="10" fontId="0" fillId="0" borderId="0" xfId="10" applyNumberFormat="1" applyFont="1"/>
    <xf numFmtId="261" fontId="36" fillId="0" borderId="0" xfId="0" applyFont="1" applyBorder="1" applyAlignment="1">
      <alignment horizontal="right" vertical="top"/>
    </xf>
    <xf numFmtId="172" fontId="160" fillId="11" borderId="62" xfId="7" applyAlignment="1" applyProtection="1">
      <alignment horizontal="right"/>
      <protection locked="0"/>
    </xf>
    <xf numFmtId="226" fontId="23" fillId="0" borderId="0" xfId="0" applyNumberFormat="1" applyFont="1" applyBorder="1" applyAlignment="1" applyProtection="1"/>
    <xf numFmtId="264" fontId="0" fillId="0" borderId="0" xfId="0" applyNumberFormat="1" applyAlignment="1"/>
    <xf numFmtId="265" fontId="89" fillId="0" borderId="30" xfId="0" applyNumberFormat="1" applyFont="1" applyBorder="1" applyAlignment="1">
      <alignment horizontal="right" wrapText="1"/>
    </xf>
    <xf numFmtId="265" fontId="64" fillId="0" borderId="30" xfId="0" applyNumberFormat="1" applyFont="1" applyBorder="1" applyAlignment="1">
      <alignment horizontal="right"/>
    </xf>
    <xf numFmtId="261" fontId="24" fillId="0" borderId="0" xfId="0" applyNumberFormat="1" applyFont="1" applyBorder="1" applyAlignment="1"/>
    <xf numFmtId="261" fontId="0" fillId="0" borderId="0" xfId="0" applyNumberFormat="1"/>
    <xf numFmtId="267" fontId="64" fillId="0" borderId="23" xfId="0" applyNumberFormat="1" applyFont="1" applyFill="1" applyBorder="1" applyAlignment="1">
      <alignment horizontal="right"/>
    </xf>
    <xf numFmtId="266" fontId="64" fillId="0" borderId="23" xfId="0" applyNumberFormat="1" applyFont="1" applyBorder="1" applyAlignment="1">
      <alignment horizontal="right" wrapText="1"/>
    </xf>
    <xf numFmtId="267" fontId="89" fillId="0" borderId="59" xfId="0" applyNumberFormat="1" applyFont="1" applyBorder="1" applyAlignment="1">
      <alignment horizontal="right" wrapText="1"/>
    </xf>
    <xf numFmtId="265" fontId="64" fillId="0" borderId="29" xfId="0" applyNumberFormat="1" applyFont="1" applyFill="1" applyBorder="1" applyAlignment="1" applyProtection="1">
      <alignment horizontal="right"/>
    </xf>
    <xf numFmtId="265" fontId="64" fillId="0" borderId="29" xfId="0" applyNumberFormat="1" applyFont="1" applyFill="1" applyBorder="1" applyAlignment="1">
      <alignment horizontal="right"/>
    </xf>
    <xf numFmtId="266" fontId="64" fillId="0" borderId="30" xfId="0" applyNumberFormat="1" applyFont="1" applyFill="1" applyBorder="1" applyAlignment="1">
      <alignment horizontal="right"/>
    </xf>
    <xf numFmtId="174" fontId="1" fillId="0" borderId="83" xfId="0" applyNumberFormat="1" applyFont="1" applyBorder="1" applyAlignment="1"/>
    <xf numFmtId="174" fontId="1" fillId="0" borderId="7" xfId="0" applyNumberFormat="1" applyFont="1" applyBorder="1" applyAlignment="1"/>
    <xf numFmtId="174" fontId="1" fillId="0" borderId="8" xfId="0" applyNumberFormat="1" applyFont="1" applyBorder="1" applyAlignment="1"/>
    <xf numFmtId="171" fontId="23" fillId="0" borderId="5" xfId="0" applyNumberFormat="1" applyFont="1" applyBorder="1" applyAlignment="1" applyProtection="1"/>
    <xf numFmtId="268" fontId="18" fillId="0" borderId="0" xfId="0" applyNumberFormat="1" applyFont="1" applyAlignment="1">
      <alignment vertical="top"/>
    </xf>
    <xf numFmtId="262" fontId="24" fillId="0" borderId="0" xfId="14" applyAlignment="1">
      <alignment vertical="top"/>
    </xf>
    <xf numFmtId="261" fontId="19" fillId="0" borderId="0" xfId="0" applyFont="1" applyAlignment="1">
      <alignment vertical="top"/>
    </xf>
    <xf numFmtId="262" fontId="24" fillId="0" borderId="0" xfId="14" applyAlignment="1">
      <alignment horizontal="right" vertical="top"/>
    </xf>
    <xf numFmtId="175" fontId="24" fillId="0" borderId="28" xfId="8" applyBorder="1">
      <alignment horizontal="right"/>
    </xf>
    <xf numFmtId="175" fontId="24" fillId="0" borderId="0" xfId="8" applyBorder="1">
      <alignment horizontal="right"/>
    </xf>
    <xf numFmtId="171" fontId="145" fillId="0" borderId="0" xfId="0" applyNumberFormat="1" applyFont="1" applyAlignment="1" applyProtection="1"/>
    <xf numFmtId="261" fontId="46" fillId="0" borderId="0" xfId="0" applyFont="1" applyFill="1" applyBorder="1" applyAlignment="1">
      <alignment horizontal="left" vertical="top" wrapText="1" indent="2"/>
    </xf>
    <xf numFmtId="49" fontId="104" fillId="0" borderId="0" xfId="0" applyNumberFormat="1" applyFont="1" applyFill="1" applyBorder="1" applyAlignment="1" applyProtection="1">
      <alignment horizontal="left" wrapText="1"/>
      <protection locked="0"/>
    </xf>
    <xf numFmtId="49" fontId="23" fillId="0" borderId="0" xfId="0" applyNumberFormat="1" applyFont="1" applyFill="1" applyBorder="1" applyAlignment="1" applyProtection="1">
      <alignment horizontal="left"/>
      <protection locked="0"/>
    </xf>
    <xf numFmtId="49" fontId="48" fillId="0" borderId="0" xfId="0" applyNumberFormat="1" applyFont="1" applyFill="1" applyBorder="1" applyAlignment="1" applyProtection="1">
      <alignment horizontal="left" wrapText="1"/>
      <protection locked="0"/>
    </xf>
    <xf numFmtId="171" fontId="48" fillId="0" borderId="0" xfId="0" applyNumberFormat="1" applyFont="1" applyFill="1" applyBorder="1" applyAlignment="1" applyProtection="1">
      <alignment horizontal="left" wrapText="1"/>
    </xf>
    <xf numFmtId="171" fontId="146" fillId="0" borderId="0" xfId="0" applyNumberFormat="1" applyFont="1" applyFill="1" applyBorder="1" applyAlignment="1" applyProtection="1">
      <alignment horizontal="left"/>
    </xf>
    <xf numFmtId="37" fontId="23" fillId="0" borderId="0" xfId="0" applyNumberFormat="1" applyFont="1" applyFill="1" applyBorder="1" applyAlignment="1" applyProtection="1">
      <alignment horizontal="left"/>
    </xf>
    <xf numFmtId="49" fontId="48" fillId="0" borderId="0" xfId="0" applyNumberFormat="1" applyFont="1" applyFill="1" applyBorder="1" applyAlignment="1" applyProtection="1">
      <alignment horizontal="left"/>
      <protection locked="0"/>
    </xf>
    <xf numFmtId="37" fontId="34" fillId="0" borderId="0" xfId="0" applyNumberFormat="1" applyFont="1" applyFill="1" applyBorder="1" applyAlignment="1">
      <alignment horizontal="left" wrapText="1"/>
    </xf>
    <xf numFmtId="261" fontId="34" fillId="0" borderId="0" xfId="0" applyFont="1" applyFill="1" applyBorder="1" applyAlignment="1">
      <alignment horizontal="left" wrapText="1"/>
    </xf>
    <xf numFmtId="261" fontId="87" fillId="0" borderId="0" xfId="0" applyFont="1" applyFill="1" applyBorder="1" applyAlignment="1">
      <alignment horizontal="left" wrapText="1"/>
    </xf>
    <xf numFmtId="261" fontId="0" fillId="0" borderId="0" xfId="0" applyFont="1" applyAlignment="1">
      <alignment wrapText="1"/>
    </xf>
    <xf numFmtId="191" fontId="160" fillId="11" borderId="84" xfId="7" applyNumberFormat="1" applyBorder="1" applyProtection="1">
      <alignment horizontal="right"/>
      <protection locked="0"/>
    </xf>
    <xf numFmtId="261" fontId="38" fillId="11" borderId="85" xfId="0" applyFont="1" applyFill="1" applyBorder="1" applyAlignment="1" applyProtection="1">
      <alignment horizontal="left"/>
      <protection locked="0"/>
    </xf>
    <xf numFmtId="261" fontId="38" fillId="11" borderId="86" xfId="0" applyFont="1" applyFill="1" applyBorder="1" applyAlignment="1" applyProtection="1">
      <alignment horizontal="right"/>
      <protection locked="0"/>
    </xf>
    <xf numFmtId="261" fontId="38" fillId="11" borderId="87" xfId="0" applyFont="1" applyFill="1" applyBorder="1" applyAlignment="1" applyProtection="1">
      <alignment horizontal="right"/>
      <protection locked="0"/>
    </xf>
    <xf numFmtId="261" fontId="38" fillId="11" borderId="88" xfId="0" applyFont="1" applyFill="1" applyBorder="1" applyAlignment="1" applyProtection="1">
      <alignment horizontal="right"/>
      <protection locked="0"/>
    </xf>
    <xf numFmtId="171" fontId="104" fillId="0" borderId="25" xfId="0" applyNumberFormat="1" applyFont="1" applyBorder="1" applyAlignment="1" applyProtection="1">
      <alignment horizontal="left"/>
    </xf>
    <xf numFmtId="165" fontId="147" fillId="6" borderId="0" xfId="0" applyNumberFormat="1" applyFont="1" applyFill="1" applyBorder="1" applyAlignment="1">
      <alignment horizontal="left"/>
    </xf>
    <xf numFmtId="0" fontId="18" fillId="0" borderId="28" xfId="0" applyNumberFormat="1" applyFont="1" applyBorder="1" applyAlignment="1"/>
    <xf numFmtId="0" fontId="64" fillId="0" borderId="28" xfId="0" applyNumberFormat="1" applyFont="1" applyBorder="1" applyAlignment="1" applyProtection="1"/>
    <xf numFmtId="0" fontId="19" fillId="0" borderId="30" xfId="0" applyNumberFormat="1" applyFont="1" applyBorder="1" applyAlignment="1"/>
    <xf numFmtId="0" fontId="64" fillId="0" borderId="30" xfId="0" applyNumberFormat="1" applyFont="1" applyBorder="1" applyAlignment="1" applyProtection="1">
      <alignment horizontal="left" indent="2"/>
    </xf>
    <xf numFmtId="224" fontId="19" fillId="0" borderId="24" xfId="0" applyNumberFormat="1" applyFont="1" applyBorder="1" applyAlignment="1">
      <alignment horizontal="right" vertical="top"/>
    </xf>
    <xf numFmtId="172" fontId="34" fillId="0" borderId="28" xfId="6" applyFont="1" applyBorder="1" applyAlignment="1">
      <alignment horizontal="right" vertical="top"/>
    </xf>
    <xf numFmtId="172" fontId="34" fillId="0" borderId="30" xfId="6" applyFont="1" applyBorder="1" applyAlignment="1">
      <alignment horizontal="right" vertical="top"/>
    </xf>
    <xf numFmtId="172" fontId="34" fillId="0" borderId="29" xfId="6" applyFont="1" applyBorder="1" applyAlignment="1">
      <alignment horizontal="right" vertical="top"/>
    </xf>
    <xf numFmtId="174" fontId="1" fillId="0" borderId="0" xfId="0" quotePrefix="1" applyNumberFormat="1" applyFont="1" applyAlignment="1"/>
    <xf numFmtId="261" fontId="34" fillId="0" borderId="25" xfId="0" applyFont="1" applyBorder="1" applyAlignment="1">
      <alignment horizontal="right"/>
    </xf>
    <xf numFmtId="204" fontId="19" fillId="0" borderId="25" xfId="0" applyNumberFormat="1" applyFont="1" applyBorder="1" applyAlignment="1">
      <alignment horizontal="right"/>
    </xf>
    <xf numFmtId="261" fontId="50" fillId="5" borderId="0" xfId="0" applyFont="1" applyFill="1" applyAlignment="1">
      <alignment horizontal="left" vertical="top"/>
    </xf>
    <xf numFmtId="0" fontId="18" fillId="5" borderId="0" xfId="0" applyNumberFormat="1" applyFont="1" applyFill="1" applyAlignment="1">
      <alignment horizontal="left" vertical="top" wrapText="1"/>
    </xf>
    <xf numFmtId="241" fontId="112" fillId="5" borderId="0" xfId="0" applyNumberFormat="1" applyFont="1" applyFill="1" applyAlignment="1">
      <alignment horizontal="left" vertical="center"/>
    </xf>
    <xf numFmtId="205" fontId="105" fillId="5" borderId="0" xfId="0" applyNumberFormat="1" applyFont="1" applyFill="1" applyAlignment="1">
      <alignment horizontal="left" vertical="top" wrapText="1"/>
    </xf>
    <xf numFmtId="205" fontId="50" fillId="5" borderId="0" xfId="0" applyNumberFormat="1" applyFont="1" applyFill="1" applyAlignment="1">
      <alignment horizontal="left" vertical="top" wrapText="1"/>
    </xf>
    <xf numFmtId="205" fontId="50" fillId="5" borderId="0" xfId="0" applyNumberFormat="1" applyFont="1" applyFill="1" applyAlignment="1">
      <alignment horizontal="left"/>
    </xf>
    <xf numFmtId="0" fontId="50" fillId="5" borderId="0" xfId="0" applyNumberFormat="1" applyFont="1" applyFill="1" applyAlignment="1">
      <alignment horizontal="left" vertical="top" wrapText="1"/>
    </xf>
    <xf numFmtId="242" fontId="148" fillId="0" borderId="0" xfId="0" applyNumberFormat="1" applyFont="1" applyAlignment="1">
      <alignment vertical="center"/>
    </xf>
    <xf numFmtId="176" fontId="0" fillId="0" borderId="0" xfId="0" applyNumberFormat="1" applyFont="1" applyFill="1" applyAlignment="1">
      <alignment horizontal="right"/>
    </xf>
    <xf numFmtId="261" fontId="0" fillId="0" borderId="0" xfId="0" quotePrefix="1" applyFont="1" applyFill="1" applyBorder="1" applyAlignment="1">
      <alignment horizontal="left"/>
    </xf>
    <xf numFmtId="176" fontId="18" fillId="0" borderId="0" xfId="0" applyNumberFormat="1" applyFont="1" applyFill="1" applyAlignment="1" applyProtection="1">
      <alignment horizontal="right"/>
      <protection locked="0"/>
    </xf>
    <xf numFmtId="176" fontId="18" fillId="0" borderId="0" xfId="0" applyNumberFormat="1" applyFont="1" applyFill="1" applyAlignment="1">
      <alignment horizontal="right"/>
    </xf>
    <xf numFmtId="176" fontId="0" fillId="0" borderId="0" xfId="0" applyNumberFormat="1" applyFont="1" applyFill="1" applyAlignment="1">
      <alignment horizontal="left"/>
    </xf>
    <xf numFmtId="174" fontId="18" fillId="0" borderId="0" xfId="0" applyNumberFormat="1" applyFont="1" applyFill="1" applyAlignment="1">
      <alignment horizontal="right"/>
    </xf>
    <xf numFmtId="174" fontId="18" fillId="0" borderId="0" xfId="0" applyNumberFormat="1" applyFont="1" applyFill="1" applyAlignment="1">
      <alignment horizontal="left" indent="2"/>
    </xf>
    <xf numFmtId="174" fontId="18" fillId="0" borderId="0" xfId="0" applyNumberFormat="1" applyFont="1" applyFill="1" applyAlignment="1">
      <alignment horizontal="left"/>
    </xf>
    <xf numFmtId="0" fontId="18" fillId="0" borderId="0" xfId="0" applyNumberFormat="1" applyFont="1" applyAlignment="1">
      <alignment horizontal="left" vertical="top"/>
    </xf>
    <xf numFmtId="2" fontId="18" fillId="0" borderId="0" xfId="0" applyNumberFormat="1" applyFont="1" applyFill="1" applyBorder="1" applyAlignment="1" applyProtection="1">
      <alignment horizontal="left" wrapText="1"/>
      <protection locked="0"/>
    </xf>
    <xf numFmtId="172" fontId="36" fillId="0" borderId="30" xfId="6" applyBorder="1" applyAlignment="1">
      <alignment horizontal="right"/>
    </xf>
    <xf numFmtId="172" fontId="36" fillId="0" borderId="69" xfId="6" applyBorder="1" applyAlignment="1">
      <alignment horizontal="right"/>
    </xf>
    <xf numFmtId="172" fontId="36" fillId="0" borderId="28" xfId="6" applyBorder="1" applyAlignment="1"/>
    <xf numFmtId="172" fontId="36" fillId="0" borderId="28" xfId="6" applyBorder="1" applyAlignment="1">
      <alignment horizontal="center"/>
    </xf>
    <xf numFmtId="172" fontId="36" fillId="0" borderId="66" xfId="6" applyBorder="1" applyAlignment="1"/>
    <xf numFmtId="172" fontId="36" fillId="0" borderId="0" xfId="6" applyBorder="1" applyAlignment="1"/>
    <xf numFmtId="9" fontId="149" fillId="2" borderId="0" xfId="10" applyFont="1" applyFill="1" applyBorder="1" applyProtection="1">
      <protection locked="0"/>
    </xf>
    <xf numFmtId="172" fontId="150" fillId="0" borderId="29" xfId="6" applyFont="1" applyBorder="1" applyAlignment="1">
      <alignment horizontal="right"/>
    </xf>
    <xf numFmtId="191" fontId="80" fillId="0" borderId="29" xfId="6" applyNumberFormat="1" applyFont="1" applyBorder="1" applyAlignment="1">
      <alignment horizontal="right"/>
    </xf>
    <xf numFmtId="191" fontId="36" fillId="0" borderId="0" xfId="6" applyNumberFormat="1" applyAlignment="1">
      <alignment horizontal="right"/>
    </xf>
    <xf numFmtId="191" fontId="36" fillId="0" borderId="28" xfId="6" applyNumberFormat="1" applyBorder="1" applyAlignment="1"/>
    <xf numFmtId="191" fontId="80" fillId="0" borderId="29" xfId="6" applyNumberFormat="1" applyFont="1" applyBorder="1" applyAlignment="1"/>
    <xf numFmtId="172" fontId="160" fillId="11" borderId="0" xfId="7" applyBorder="1" applyProtection="1">
      <alignment horizontal="right"/>
      <protection locked="0"/>
    </xf>
    <xf numFmtId="172" fontId="36" fillId="0" borderId="0" xfId="6" applyBorder="1" applyAlignment="1">
      <alignment horizontal="left" vertical="top" wrapText="1"/>
    </xf>
    <xf numFmtId="172" fontId="36" fillId="0" borderId="30" xfId="6" applyBorder="1" applyAlignment="1">
      <alignment horizontal="left" vertical="top" wrapText="1"/>
    </xf>
    <xf numFmtId="172" fontId="36" fillId="0" borderId="24" xfId="6" applyBorder="1" applyAlignment="1">
      <alignment horizontal="right" vertical="top"/>
    </xf>
    <xf numFmtId="172" fontId="36" fillId="0" borderId="70" xfId="6" applyBorder="1" applyAlignment="1">
      <alignment horizontal="right" vertical="top"/>
    </xf>
    <xf numFmtId="172" fontId="36" fillId="0" borderId="24" xfId="6" applyBorder="1" applyAlignment="1">
      <alignment horizontal="right"/>
    </xf>
    <xf numFmtId="172" fontId="36" fillId="0" borderId="23" xfId="6" applyBorder="1" applyAlignment="1">
      <alignment horizontal="right"/>
    </xf>
    <xf numFmtId="172" fontId="36" fillId="0" borderId="64" xfId="6" applyBorder="1" applyAlignment="1">
      <alignment horizontal="right"/>
    </xf>
    <xf numFmtId="172" fontId="36" fillId="0" borderId="63" xfId="6" applyBorder="1" applyAlignment="1">
      <alignment horizontal="right"/>
    </xf>
    <xf numFmtId="172" fontId="36" fillId="0" borderId="68" xfId="6" applyBorder="1" applyAlignment="1">
      <alignment horizontal="right"/>
    </xf>
    <xf numFmtId="172" fontId="36" fillId="0" borderId="57" xfId="6" applyBorder="1" applyAlignment="1">
      <alignment horizontal="right" vertical="top"/>
    </xf>
    <xf numFmtId="172" fontId="36" fillId="0" borderId="57" xfId="6" applyBorder="1" applyAlignment="1">
      <alignment horizontal="right"/>
    </xf>
    <xf numFmtId="263" fontId="38" fillId="11" borderId="62" xfId="5" applyNumberFormat="1" applyAlignment="1" applyProtection="1">
      <alignment horizontal="center"/>
      <protection locked="0"/>
    </xf>
    <xf numFmtId="251" fontId="38" fillId="11" borderId="62" xfId="5" applyFill="1" applyAlignment="1" applyProtection="1">
      <alignment horizontal="center"/>
      <protection locked="0"/>
    </xf>
    <xf numFmtId="261" fontId="0" fillId="0" borderId="0" xfId="0" applyFont="1" applyBorder="1" applyAlignment="1">
      <alignment horizontal="right"/>
    </xf>
    <xf numFmtId="193" fontId="23" fillId="0" borderId="15" xfId="0" applyNumberFormat="1" applyFont="1" applyBorder="1" applyAlignment="1" applyProtection="1">
      <alignment horizontal="right"/>
    </xf>
    <xf numFmtId="174" fontId="1" fillId="0" borderId="15" xfId="0" applyNumberFormat="1" applyFont="1" applyBorder="1" applyAlignment="1"/>
    <xf numFmtId="261" fontId="0" fillId="0" borderId="15" xfId="0" applyBorder="1"/>
    <xf numFmtId="0" fontId="19" fillId="0" borderId="0" xfId="0" applyNumberFormat="1" applyFont="1" applyFill="1" applyBorder="1" applyAlignment="1">
      <alignment horizontal="right"/>
    </xf>
    <xf numFmtId="39" fontId="18" fillId="0" borderId="0" xfId="0" applyNumberFormat="1" applyFont="1" applyFill="1" applyBorder="1" applyAlignment="1" applyProtection="1">
      <alignment horizontal="right"/>
    </xf>
    <xf numFmtId="39" fontId="19" fillId="0" borderId="15" xfId="0" applyNumberFormat="1" applyFont="1" applyFill="1" applyBorder="1" applyAlignment="1" applyProtection="1">
      <alignment horizontal="right"/>
    </xf>
    <xf numFmtId="39" fontId="18" fillId="0" borderId="15" xfId="0" applyNumberFormat="1" applyFont="1" applyFill="1" applyBorder="1" applyAlignment="1" applyProtection="1">
      <alignment horizontal="right"/>
    </xf>
    <xf numFmtId="39" fontId="19" fillId="0" borderId="15" xfId="0" applyNumberFormat="1" applyFont="1" applyFill="1" applyBorder="1" applyAlignment="1">
      <alignment horizontal="right"/>
    </xf>
    <xf numFmtId="261" fontId="135" fillId="0" borderId="15" xfId="0" applyFont="1" applyFill="1" applyBorder="1" applyAlignment="1"/>
    <xf numFmtId="261" fontId="19" fillId="0" borderId="15" xfId="0" applyFont="1" applyFill="1" applyBorder="1" applyAlignment="1">
      <alignment horizontal="right"/>
    </xf>
    <xf numFmtId="172" fontId="80" fillId="0" borderId="15" xfId="6" applyFont="1" applyBorder="1" applyAlignment="1">
      <alignment horizontal="right"/>
    </xf>
    <xf numFmtId="172" fontId="36" fillId="0" borderId="15" xfId="6" applyBorder="1" applyAlignment="1">
      <alignment horizontal="right"/>
    </xf>
    <xf numFmtId="172" fontId="36" fillId="0" borderId="15" xfId="6" applyBorder="1" applyAlignment="1"/>
    <xf numFmtId="172" fontId="36" fillId="0" borderId="78" xfId="6" applyBorder="1" applyAlignment="1"/>
    <xf numFmtId="172" fontId="36" fillId="0" borderId="78" xfId="6" applyBorder="1" applyAlignment="1">
      <alignment horizontal="right"/>
    </xf>
    <xf numFmtId="0" fontId="19" fillId="0" borderId="0" xfId="0" applyNumberFormat="1" applyFont="1" applyBorder="1" applyAlignment="1"/>
    <xf numFmtId="171" fontId="64" fillId="0" borderId="0" xfId="0" applyNumberFormat="1" applyFont="1" applyFill="1" applyBorder="1" applyAlignment="1">
      <alignment horizontal="right" wrapText="1"/>
    </xf>
    <xf numFmtId="0" fontId="64" fillId="0" borderId="0" xfId="0" applyNumberFormat="1" applyFont="1" applyBorder="1" applyAlignment="1" applyProtection="1">
      <alignment horizontal="left" indent="2"/>
    </xf>
    <xf numFmtId="0" fontId="89" fillId="0" borderId="0" xfId="0" applyNumberFormat="1" applyFont="1" applyBorder="1" applyAlignment="1">
      <alignment horizontal="right"/>
    </xf>
    <xf numFmtId="0" fontId="19" fillId="0" borderId="0" xfId="0" applyNumberFormat="1" applyFont="1" applyAlignment="1"/>
    <xf numFmtId="261" fontId="151" fillId="0" borderId="0" xfId="0" applyFont="1"/>
    <xf numFmtId="171" fontId="64" fillId="6" borderId="91" xfId="0" applyNumberFormat="1" applyFont="1" applyFill="1" applyBorder="1" applyAlignment="1" applyProtection="1">
      <alignment horizontal="center"/>
      <protection locked="0"/>
    </xf>
    <xf numFmtId="261" fontId="38" fillId="11" borderId="89" xfId="0" applyFont="1" applyFill="1" applyBorder="1" applyAlignment="1" applyProtection="1">
      <alignment horizontal="center"/>
      <protection locked="0"/>
    </xf>
    <xf numFmtId="171" fontId="38" fillId="11" borderId="89" xfId="9" applyBorder="1" applyAlignment="1" applyProtection="1">
      <alignment horizontal="center"/>
      <protection locked="0"/>
    </xf>
    <xf numFmtId="261" fontId="38" fillId="11" borderId="92" xfId="0" applyFont="1" applyFill="1" applyBorder="1" applyAlignment="1" applyProtection="1">
      <alignment horizontal="center"/>
      <protection locked="0"/>
    </xf>
    <xf numFmtId="171" fontId="38" fillId="11" borderId="89" xfId="9" applyBorder="1" applyProtection="1">
      <alignment horizontal="right"/>
    </xf>
    <xf numFmtId="261" fontId="38" fillId="11" borderId="89" xfId="0" applyFont="1" applyFill="1" applyBorder="1" applyAlignment="1" applyProtection="1">
      <alignment horizontal="center"/>
    </xf>
    <xf numFmtId="261" fontId="38" fillId="11" borderId="89" xfId="0" applyFont="1" applyFill="1" applyBorder="1" applyAlignment="1" applyProtection="1">
      <alignment horizontal="left" indent="1"/>
    </xf>
    <xf numFmtId="171" fontId="38" fillId="11" borderId="89" xfId="9" applyBorder="1" applyAlignment="1" applyProtection="1">
      <alignment horizontal="center"/>
    </xf>
    <xf numFmtId="15" fontId="0" fillId="0" borderId="0" xfId="0" applyNumberFormat="1" applyFont="1" applyAlignment="1">
      <alignment vertical="top"/>
    </xf>
    <xf numFmtId="269" fontId="0" fillId="0" borderId="0" xfId="0" applyNumberFormat="1" applyFont="1" applyAlignment="1">
      <alignment vertical="top"/>
    </xf>
    <xf numFmtId="261" fontId="46" fillId="0" borderId="0" xfId="0" quotePrefix="1" applyFont="1" applyFill="1" applyAlignment="1">
      <alignment horizontal="left" indent="1"/>
    </xf>
    <xf numFmtId="174" fontId="18" fillId="0" borderId="0" xfId="0" applyNumberFormat="1" applyFont="1" applyFill="1" applyAlignment="1">
      <alignment horizontal="center" vertical="top"/>
    </xf>
    <xf numFmtId="174" fontId="64" fillId="0" borderId="30" xfId="0" applyNumberFormat="1" applyFont="1" applyFill="1" applyBorder="1" applyAlignment="1">
      <alignment horizontal="right"/>
    </xf>
    <xf numFmtId="237" fontId="64" fillId="0" borderId="30" xfId="0" applyNumberFormat="1" applyFont="1" applyBorder="1" applyAlignment="1">
      <alignment horizontal="right"/>
    </xf>
    <xf numFmtId="174" fontId="0" fillId="0" borderId="0" xfId="0" applyNumberFormat="1" applyAlignment="1">
      <alignment vertical="top"/>
    </xf>
    <xf numFmtId="49" fontId="153" fillId="0" borderId="94" xfId="15" applyNumberFormat="1" applyFont="1" applyBorder="1" applyAlignment="1">
      <alignment horizontal="right" wrapText="1"/>
    </xf>
    <xf numFmtId="1" fontId="153" fillId="0" borderId="94" xfId="15" applyNumberFormat="1" applyFont="1" applyBorder="1" applyAlignment="1">
      <alignment horizontal="right" wrapText="1"/>
    </xf>
    <xf numFmtId="174" fontId="0" fillId="0" borderId="0" xfId="0" applyNumberFormat="1" applyFill="1" applyAlignment="1">
      <alignment vertical="top"/>
    </xf>
    <xf numFmtId="174" fontId="19" fillId="0" borderId="0" xfId="0" applyNumberFormat="1" applyFont="1" applyFill="1" applyAlignment="1">
      <alignment horizontal="center" vertical="top"/>
    </xf>
    <xf numFmtId="261" fontId="0" fillId="0" borderId="0" xfId="0" applyFill="1" applyAlignment="1"/>
    <xf numFmtId="261" fontId="18" fillId="0" borderId="0" xfId="0" applyFont="1" applyFill="1" applyAlignment="1">
      <alignment horizontal="right"/>
    </xf>
    <xf numFmtId="270" fontId="0" fillId="0" borderId="0" xfId="0" applyNumberFormat="1" applyFill="1" applyAlignment="1">
      <alignment horizontal="right"/>
    </xf>
    <xf numFmtId="270" fontId="0" fillId="0" borderId="0" xfId="0" applyNumberFormat="1" applyFill="1" applyAlignment="1">
      <alignment horizontal="center"/>
    </xf>
    <xf numFmtId="270" fontId="0" fillId="0" borderId="0" xfId="0" applyNumberFormat="1" applyFill="1" applyAlignment="1"/>
    <xf numFmtId="174" fontId="154" fillId="0" borderId="0" xfId="0" applyNumberFormat="1" applyFont="1" applyFill="1" applyAlignment="1">
      <alignment vertical="top"/>
    </xf>
    <xf numFmtId="270" fontId="0" fillId="0" borderId="0" xfId="0" applyNumberFormat="1" applyFill="1"/>
    <xf numFmtId="174" fontId="19" fillId="0" borderId="0" xfId="0" applyNumberFormat="1" applyFont="1" applyFill="1" applyAlignment="1">
      <alignment horizontal="right"/>
    </xf>
    <xf numFmtId="261" fontId="18" fillId="0" borderId="0" xfId="0" applyFont="1" applyFill="1" applyAlignment="1"/>
    <xf numFmtId="270" fontId="18" fillId="0" borderId="0" xfId="0" applyNumberFormat="1" applyFont="1" applyFill="1"/>
    <xf numFmtId="271" fontId="18" fillId="0" borderId="0" xfId="16" applyFill="1" applyBorder="1">
      <alignment horizontal="right" vertical="top"/>
    </xf>
    <xf numFmtId="190" fontId="36" fillId="0" borderId="0" xfId="0" applyNumberFormat="1" applyFont="1" applyBorder="1" applyAlignment="1">
      <alignment horizontal="right"/>
    </xf>
    <xf numFmtId="261" fontId="38" fillId="11" borderId="95" xfId="0" applyFont="1" applyFill="1" applyBorder="1" applyAlignment="1" applyProtection="1">
      <alignment horizontal="center"/>
      <protection locked="0"/>
    </xf>
    <xf numFmtId="171" fontId="104" fillId="0" borderId="73" xfId="0" applyNumberFormat="1" applyFont="1" applyBorder="1" applyAlignment="1" applyProtection="1">
      <alignment horizontal="left" indent="1"/>
    </xf>
    <xf numFmtId="174" fontId="0" fillId="0" borderId="73" xfId="0" applyNumberFormat="1" applyFont="1" applyBorder="1" applyAlignment="1">
      <alignment horizontal="left" vertical="top" indent="1"/>
    </xf>
    <xf numFmtId="261" fontId="0" fillId="0" borderId="73" xfId="0" applyBorder="1" applyAlignment="1">
      <alignment horizontal="left" indent="1"/>
    </xf>
    <xf numFmtId="171" fontId="48" fillId="0" borderId="73" xfId="0" applyNumberFormat="1" applyFont="1" applyBorder="1" applyAlignment="1" applyProtection="1">
      <alignment horizontal="left" indent="1"/>
    </xf>
    <xf numFmtId="171" fontId="23" fillId="0" borderId="73" xfId="0" applyNumberFormat="1" applyFont="1" applyBorder="1" applyAlignment="1" applyProtection="1">
      <alignment horizontal="left" indent="1"/>
    </xf>
    <xf numFmtId="174" fontId="23" fillId="0" borderId="73" xfId="0" applyNumberFormat="1" applyFont="1" applyBorder="1" applyAlignment="1" applyProtection="1">
      <alignment horizontal="left" vertical="top" indent="1"/>
    </xf>
    <xf numFmtId="261" fontId="0" fillId="0" borderId="74" xfId="0" applyBorder="1" applyAlignment="1">
      <alignment horizontal="left" indent="1"/>
    </xf>
    <xf numFmtId="261" fontId="0" fillId="0" borderId="83" xfId="0" applyFont="1" applyBorder="1"/>
    <xf numFmtId="273" fontId="21" fillId="0" borderId="0" xfId="0" applyNumberFormat="1" applyFont="1"/>
    <xf numFmtId="261" fontId="19" fillId="0" borderId="57" xfId="0" applyFont="1" applyBorder="1" applyAlignment="1">
      <alignment horizontal="right"/>
    </xf>
    <xf numFmtId="261" fontId="21" fillId="0" borderId="0" xfId="0" applyFont="1" applyBorder="1" applyAlignment="1">
      <alignment horizontal="right"/>
    </xf>
    <xf numFmtId="171" fontId="64" fillId="0" borderId="0" xfId="0" applyNumberFormat="1" applyFont="1" applyBorder="1" applyAlignment="1">
      <alignment horizontal="centerContinuous"/>
    </xf>
    <xf numFmtId="174" fontId="64" fillId="0" borderId="28" xfId="0" applyNumberFormat="1" applyFont="1" applyFill="1" applyBorder="1" applyAlignment="1">
      <alignment horizontal="centerContinuous"/>
    </xf>
    <xf numFmtId="210" fontId="89" fillId="0" borderId="29" xfId="0" applyNumberFormat="1" applyFont="1" applyBorder="1" applyAlignment="1">
      <alignment horizontal="right" wrapText="1"/>
    </xf>
    <xf numFmtId="267" fontId="89" fillId="0" borderId="30" xfId="0" applyNumberFormat="1" applyFont="1" applyBorder="1" applyAlignment="1">
      <alignment horizontal="right" wrapText="1"/>
    </xf>
    <xf numFmtId="175" fontId="24" fillId="0" borderId="30" xfId="8" applyBorder="1">
      <alignment horizontal="right"/>
    </xf>
    <xf numFmtId="37" fontId="38" fillId="0" borderId="0" xfId="0" applyNumberFormat="1" applyFont="1" applyAlignment="1">
      <alignment horizontal="left" indent="1"/>
    </xf>
    <xf numFmtId="171" fontId="89" fillId="0" borderId="28" xfId="0" applyNumberFormat="1" applyFont="1" applyBorder="1" applyAlignment="1">
      <alignment horizontal="left"/>
    </xf>
    <xf numFmtId="171" fontId="89" fillId="0" borderId="28" xfId="0" applyNumberFormat="1" applyFont="1" applyBorder="1" applyAlignment="1">
      <alignment horizontal="left" wrapText="1"/>
    </xf>
    <xf numFmtId="175" fontId="24" fillId="0" borderId="24" xfId="8" applyBorder="1">
      <alignment horizontal="right"/>
    </xf>
    <xf numFmtId="171" fontId="64" fillId="0" borderId="0" xfId="0" applyNumberFormat="1" applyFont="1" applyBorder="1" applyAlignment="1">
      <alignment horizontal="left" wrapText="1"/>
    </xf>
    <xf numFmtId="261" fontId="0" fillId="0" borderId="0" xfId="0" applyBorder="1" applyAlignment="1">
      <alignment horizontal="left"/>
    </xf>
    <xf numFmtId="261" fontId="18" fillId="6" borderId="0" xfId="0" applyFont="1" applyFill="1" applyBorder="1" applyAlignment="1">
      <alignment horizontal="right" vertical="top"/>
    </xf>
    <xf numFmtId="44" fontId="0" fillId="0" borderId="0" xfId="17" applyFont="1"/>
    <xf numFmtId="177" fontId="0" fillId="0" borderId="0" xfId="10" applyNumberFormat="1" applyFont="1"/>
    <xf numFmtId="174" fontId="154" fillId="0" borderId="0" xfId="0" applyNumberFormat="1" applyFont="1" applyFill="1" applyAlignment="1">
      <alignment horizontal="center" vertical="top"/>
    </xf>
    <xf numFmtId="261" fontId="34" fillId="0" borderId="0" xfId="0" applyFont="1" applyFill="1" applyAlignment="1">
      <alignment horizontal="left" indent="1"/>
    </xf>
    <xf numFmtId="222" fontId="155" fillId="0" borderId="0" xfId="0" applyNumberFormat="1" applyFont="1" applyAlignment="1" applyProtection="1">
      <alignment horizontal="right" vertical="top"/>
    </xf>
    <xf numFmtId="274" fontId="36" fillId="0" borderId="0" xfId="8" applyNumberFormat="1" applyFont="1">
      <alignment horizontal="right"/>
    </xf>
    <xf numFmtId="274" fontId="36" fillId="0" borderId="24" xfId="8" applyNumberFormat="1" applyFont="1" applyBorder="1">
      <alignment horizontal="right"/>
    </xf>
    <xf numFmtId="274" fontId="36" fillId="0" borderId="0" xfId="8" applyNumberFormat="1" applyFont="1" applyBorder="1">
      <alignment horizontal="right"/>
    </xf>
    <xf numFmtId="274" fontId="36" fillId="0" borderId="23" xfId="8" applyNumberFormat="1" applyFont="1" applyBorder="1">
      <alignment horizontal="right"/>
    </xf>
    <xf numFmtId="171" fontId="64" fillId="0" borderId="0" xfId="0" applyNumberFormat="1" applyFont="1" applyFill="1" applyBorder="1" applyAlignment="1" applyProtection="1">
      <alignment horizontal="right"/>
    </xf>
    <xf numFmtId="0" fontId="64" fillId="0" borderId="0" xfId="0" applyNumberFormat="1" applyFont="1" applyBorder="1" applyAlignment="1"/>
    <xf numFmtId="171" fontId="19" fillId="0" borderId="0" xfId="0" applyNumberFormat="1" applyFont="1" applyBorder="1" applyAlignment="1">
      <alignment horizontal="left" wrapText="1"/>
    </xf>
    <xf numFmtId="171" fontId="34" fillId="0" borderId="0" xfId="0" applyNumberFormat="1" applyFont="1" applyBorder="1" applyAlignment="1">
      <alignment horizontal="left" wrapText="1"/>
    </xf>
    <xf numFmtId="171" fontId="19" fillId="0" borderId="30" xfId="0" applyNumberFormat="1" applyFont="1" applyBorder="1" applyAlignment="1">
      <alignment horizontal="left" wrapText="1"/>
    </xf>
    <xf numFmtId="0" fontId="64" fillId="0" borderId="0" xfId="0" applyNumberFormat="1" applyFont="1" applyFill="1" applyBorder="1" applyAlignment="1">
      <alignment horizontal="right"/>
    </xf>
    <xf numFmtId="171" fontId="19" fillId="0" borderId="0" xfId="0" applyNumberFormat="1" applyFont="1" applyFill="1" applyBorder="1" applyAlignment="1">
      <alignment horizontal="left"/>
    </xf>
    <xf numFmtId="171" fontId="19" fillId="0" borderId="30" xfId="0" applyNumberFormat="1" applyFont="1" applyFill="1" applyBorder="1" applyAlignment="1">
      <alignment horizontal="left"/>
    </xf>
    <xf numFmtId="15" fontId="64" fillId="0" borderId="0" xfId="0" applyNumberFormat="1" applyFont="1" applyBorder="1" applyAlignment="1">
      <alignment horizontal="right"/>
    </xf>
    <xf numFmtId="174" fontId="19" fillId="0" borderId="30" xfId="0" applyNumberFormat="1" applyFont="1" applyFill="1" applyBorder="1" applyAlignment="1">
      <alignment horizontal="left"/>
    </xf>
    <xf numFmtId="174" fontId="19" fillId="0" borderId="0" xfId="0" applyNumberFormat="1" applyFont="1" applyFill="1" applyBorder="1" applyAlignment="1">
      <alignment horizontal="left"/>
    </xf>
    <xf numFmtId="237" fontId="64" fillId="0" borderId="0" xfId="0" applyNumberFormat="1" applyFont="1" applyBorder="1" applyAlignment="1">
      <alignment horizontal="right"/>
    </xf>
    <xf numFmtId="194" fontId="64" fillId="0" borderId="0" xfId="0" applyNumberFormat="1" applyFont="1" applyBorder="1" applyAlignment="1" applyProtection="1">
      <alignment horizontal="right"/>
    </xf>
    <xf numFmtId="194" fontId="64" fillId="0" borderId="0" xfId="0" applyNumberFormat="1" applyFont="1" applyBorder="1" applyAlignment="1">
      <alignment horizontal="right"/>
    </xf>
    <xf numFmtId="15" fontId="19" fillId="6" borderId="0" xfId="0" applyNumberFormat="1" applyFont="1" applyFill="1" applyBorder="1" applyAlignment="1">
      <alignment horizontal="right"/>
    </xf>
    <xf numFmtId="174" fontId="19" fillId="6" borderId="0" xfId="0" applyNumberFormat="1" applyFont="1" applyFill="1" applyBorder="1" applyAlignment="1">
      <alignment horizontal="right"/>
    </xf>
    <xf numFmtId="176" fontId="0" fillId="0" borderId="0" xfId="0" applyNumberFormat="1" applyFont="1" applyFill="1" applyBorder="1" applyAlignment="1">
      <alignment horizontal="right"/>
    </xf>
    <xf numFmtId="171" fontId="19" fillId="0" borderId="24" xfId="0" applyNumberFormat="1" applyFont="1" applyBorder="1" applyAlignment="1"/>
    <xf numFmtId="171" fontId="64" fillId="0" borderId="24" xfId="0" applyNumberFormat="1" applyFont="1" applyBorder="1" applyAlignment="1"/>
    <xf numFmtId="171" fontId="64" fillId="0" borderId="24" xfId="0" applyNumberFormat="1" applyFont="1" applyBorder="1" applyAlignment="1">
      <alignment horizontal="right"/>
    </xf>
    <xf numFmtId="261" fontId="19" fillId="0" borderId="30" xfId="0" applyFont="1" applyBorder="1" applyAlignment="1">
      <alignment horizontal="left"/>
    </xf>
    <xf numFmtId="171" fontId="22" fillId="0" borderId="0" xfId="18" applyNumberFormat="1" applyFont="1" applyFill="1" applyBorder="1"/>
    <xf numFmtId="171" fontId="22" fillId="0" borderId="0" xfId="18" applyNumberFormat="1" applyFont="1" applyFill="1" applyBorder="1" applyAlignment="1">
      <alignment horizontal="left"/>
    </xf>
    <xf numFmtId="171" fontId="22" fillId="0" borderId="0" xfId="18" applyNumberFormat="1" applyFont="1" applyFill="1" applyBorder="1" applyAlignment="1"/>
    <xf numFmtId="171" fontId="18" fillId="0" borderId="0" xfId="18" applyNumberFormat="1" applyFont="1" applyFill="1" applyBorder="1"/>
    <xf numFmtId="193" fontId="49" fillId="0" borderId="0" xfId="18" applyNumberFormat="1" applyFont="1" applyFill="1" applyBorder="1" applyAlignment="1">
      <alignment horizontal="right"/>
    </xf>
    <xf numFmtId="177" fontId="49" fillId="0" borderId="0" xfId="18" applyNumberFormat="1" applyFont="1" applyFill="1" applyBorder="1"/>
    <xf numFmtId="275" fontId="49" fillId="0" borderId="0" xfId="18" applyNumberFormat="1" applyFont="1" applyFill="1" applyBorder="1"/>
    <xf numFmtId="172" fontId="157" fillId="28" borderId="0" xfId="18" applyNumberFormat="1" applyFont="1" applyFill="1" applyBorder="1" applyAlignment="1">
      <alignment horizontal="right"/>
    </xf>
    <xf numFmtId="172" fontId="157" fillId="0" borderId="0" xfId="18" applyNumberFormat="1" applyFont="1" applyFill="1" applyBorder="1" applyAlignment="1">
      <alignment horizontal="right"/>
    </xf>
    <xf numFmtId="276" fontId="49" fillId="28" borderId="0" xfId="18" applyNumberFormat="1" applyFont="1" applyFill="1" applyBorder="1" applyAlignment="1">
      <alignment horizontal="right"/>
    </xf>
    <xf numFmtId="171" fontId="18" fillId="0" borderId="0" xfId="18" applyNumberFormat="1" applyFont="1"/>
    <xf numFmtId="171" fontId="35" fillId="0" borderId="0" xfId="18" applyNumberFormat="1" applyFont="1" applyFill="1" applyBorder="1"/>
    <xf numFmtId="171" fontId="35" fillId="0" borderId="0" xfId="18" applyNumberFormat="1" applyFont="1" applyFill="1" applyBorder="1" applyAlignment="1">
      <alignment horizontal="center"/>
    </xf>
    <xf numFmtId="171" fontId="35" fillId="0" borderId="0" xfId="18" quotePrefix="1" applyNumberFormat="1" applyFont="1" applyFill="1" applyBorder="1" applyAlignment="1">
      <alignment horizontal="center"/>
    </xf>
    <xf numFmtId="171" fontId="35" fillId="0" borderId="0" xfId="18" applyNumberFormat="1" applyFont="1" applyFill="1" applyBorder="1" applyAlignment="1">
      <alignment horizontal="left"/>
    </xf>
    <xf numFmtId="171" fontId="19" fillId="0" borderId="0" xfId="18" applyNumberFormat="1" applyFont="1" applyFill="1" applyBorder="1"/>
    <xf numFmtId="171" fontId="18" fillId="9" borderId="0" xfId="18" applyNumberFormat="1" applyFont="1" applyFill="1" applyBorder="1"/>
    <xf numFmtId="171" fontId="1" fillId="0" borderId="0" xfId="18" applyNumberFormat="1" applyFont="1"/>
    <xf numFmtId="171" fontId="18" fillId="0" borderId="0" xfId="18" applyNumberFormat="1" applyFont="1" applyBorder="1"/>
    <xf numFmtId="171" fontId="35" fillId="0" borderId="86" xfId="18" applyNumberFormat="1" applyFont="1" applyFill="1" applyBorder="1" applyAlignment="1"/>
    <xf numFmtId="193" fontId="18" fillId="0" borderId="0" xfId="18" applyNumberFormat="1" applyFont="1" applyFill="1" applyBorder="1" applyAlignment="1">
      <alignment horizontal="right"/>
    </xf>
    <xf numFmtId="249" fontId="24" fillId="0" borderId="0" xfId="8" applyNumberFormat="1" applyBorder="1">
      <alignment horizontal="right"/>
    </xf>
    <xf numFmtId="175" fontId="24" fillId="0" borderId="0" xfId="8" applyBorder="1" applyAlignment="1">
      <alignment horizontal="left"/>
    </xf>
    <xf numFmtId="175" fontId="98" fillId="9" borderId="0" xfId="8" applyFont="1" applyFill="1" applyBorder="1">
      <alignment horizontal="right"/>
    </xf>
    <xf numFmtId="262" fontId="24" fillId="0" borderId="0" xfId="14" applyFill="1" applyBorder="1" applyAlignment="1">
      <alignment horizontal="right"/>
    </xf>
    <xf numFmtId="171" fontId="22" fillId="0" borderId="28" xfId="18" applyNumberFormat="1" applyFont="1" applyFill="1" applyBorder="1" applyAlignment="1"/>
    <xf numFmtId="171" fontId="22" fillId="0" borderId="28" xfId="18" applyNumberFormat="1" applyFont="1" applyFill="1" applyBorder="1" applyAlignment="1">
      <alignment horizontal="left"/>
    </xf>
    <xf numFmtId="171" fontId="22" fillId="0" borderId="28" xfId="18" applyNumberFormat="1" applyFont="1" applyFill="1" applyBorder="1"/>
    <xf numFmtId="171" fontId="18" fillId="0" borderId="28" xfId="18" applyNumberFormat="1" applyFont="1" applyFill="1" applyBorder="1"/>
    <xf numFmtId="171" fontId="19" fillId="0" borderId="29" xfId="18" applyNumberFormat="1" applyFont="1" applyFill="1" applyBorder="1" applyAlignment="1"/>
    <xf numFmtId="171" fontId="19" fillId="0" borderId="29" xfId="18" applyNumberFormat="1" applyFont="1" applyFill="1" applyBorder="1" applyAlignment="1">
      <alignment horizontal="right" wrapText="1"/>
    </xf>
    <xf numFmtId="171" fontId="19" fillId="0" borderId="29" xfId="18" quotePrefix="1" applyNumberFormat="1" applyFont="1" applyFill="1" applyBorder="1" applyAlignment="1">
      <alignment horizontal="right" wrapText="1"/>
    </xf>
    <xf numFmtId="171" fontId="18" fillId="9" borderId="29" xfId="18" applyNumberFormat="1" applyFont="1" applyFill="1" applyBorder="1"/>
    <xf numFmtId="171" fontId="18" fillId="9" borderId="0" xfId="18" applyNumberFormat="1" applyFont="1" applyFill="1" applyBorder="1" applyAlignment="1">
      <alignment horizontal="right"/>
    </xf>
    <xf numFmtId="172" fontId="36" fillId="0" borderId="28" xfId="6" applyBorder="1">
      <alignment horizontal="right"/>
    </xf>
    <xf numFmtId="174" fontId="18" fillId="0" borderId="30" xfId="0" applyNumberFormat="1" applyFont="1" applyFill="1" applyBorder="1" applyAlignment="1"/>
    <xf numFmtId="172" fontId="36" fillId="0" borderId="30" xfId="6" applyBorder="1">
      <alignment horizontal="right"/>
    </xf>
    <xf numFmtId="262" fontId="24" fillId="0" borderId="28" xfId="14" applyFill="1" applyBorder="1" applyAlignment="1">
      <alignment horizontal="right"/>
    </xf>
    <xf numFmtId="262" fontId="24" fillId="0" borderId="30" xfId="14" applyFill="1" applyBorder="1" applyAlignment="1">
      <alignment horizontal="right"/>
    </xf>
    <xf numFmtId="9" fontId="22" fillId="0" borderId="0" xfId="10" applyFont="1" applyFill="1" applyBorder="1" applyAlignment="1"/>
    <xf numFmtId="9" fontId="22" fillId="0" borderId="0" xfId="10" applyFont="1" applyFill="1" applyBorder="1" applyAlignment="1">
      <alignment horizontal="left"/>
    </xf>
    <xf numFmtId="9" fontId="22" fillId="0" borderId="0" xfId="10" applyFont="1" applyFill="1" applyBorder="1"/>
    <xf numFmtId="9" fontId="0" fillId="0" borderId="0" xfId="10" applyFont="1"/>
    <xf numFmtId="9" fontId="18" fillId="0" borderId="0" xfId="10" applyFont="1" applyFill="1" applyBorder="1"/>
    <xf numFmtId="181" fontId="18" fillId="28" borderId="0" xfId="18" applyNumberFormat="1" applyFont="1" applyFill="1" applyBorder="1" applyAlignment="1">
      <alignment horizontal="right"/>
    </xf>
    <xf numFmtId="181" fontId="18" fillId="28" borderId="0" xfId="18" applyNumberFormat="1" applyFont="1" applyFill="1" applyBorder="1" applyAlignment="1"/>
    <xf numFmtId="181" fontId="18" fillId="28" borderId="0" xfId="18" applyNumberFormat="1" applyFont="1" applyFill="1" applyBorder="1" applyAlignment="1">
      <alignment horizontal="left" indent="1"/>
    </xf>
    <xf numFmtId="171" fontId="19" fillId="0" borderId="29" xfId="18" quotePrefix="1" applyNumberFormat="1" applyFont="1" applyFill="1" applyBorder="1" applyAlignment="1">
      <alignment horizontal="left" wrapText="1"/>
    </xf>
    <xf numFmtId="171" fontId="19" fillId="0" borderId="97" xfId="18" quotePrefix="1" applyNumberFormat="1" applyFont="1" applyFill="1" applyBorder="1" applyAlignment="1">
      <alignment horizontal="left" wrapText="1"/>
    </xf>
    <xf numFmtId="175" fontId="24" fillId="0" borderId="99" xfId="8" applyBorder="1" applyAlignment="1">
      <alignment horizontal="left"/>
    </xf>
    <xf numFmtId="171" fontId="18" fillId="0" borderId="30" xfId="18" applyNumberFormat="1" applyFont="1" applyFill="1" applyBorder="1"/>
    <xf numFmtId="171" fontId="19" fillId="0" borderId="97" xfId="18" applyNumberFormat="1" applyFont="1" applyFill="1" applyBorder="1" applyAlignment="1">
      <alignment horizontal="right" wrapText="1"/>
    </xf>
    <xf numFmtId="171" fontId="35" fillId="0" borderId="99" xfId="18" applyNumberFormat="1" applyFont="1" applyFill="1" applyBorder="1" applyAlignment="1">
      <alignment horizontal="center" wrapText="1"/>
    </xf>
    <xf numFmtId="172" fontId="36" fillId="0" borderId="99" xfId="6" applyBorder="1" applyAlignment="1">
      <alignment horizontal="right"/>
    </xf>
    <xf numFmtId="171" fontId="22" fillId="0" borderId="101" xfId="18" applyNumberFormat="1" applyFont="1" applyFill="1" applyBorder="1"/>
    <xf numFmtId="171" fontId="35" fillId="0" borderId="99" xfId="18" applyNumberFormat="1" applyFont="1" applyFill="1" applyBorder="1" applyAlignment="1">
      <alignment horizontal="left"/>
    </xf>
    <xf numFmtId="171" fontId="22" fillId="0" borderId="101" xfId="18" applyNumberFormat="1" applyFont="1" applyFill="1" applyBorder="1" applyAlignment="1">
      <alignment horizontal="left"/>
    </xf>
    <xf numFmtId="172" fontId="160" fillId="11" borderId="84" xfId="7" applyBorder="1" applyProtection="1">
      <alignment horizontal="right"/>
      <protection locked="0"/>
    </xf>
    <xf numFmtId="261" fontId="0" fillId="0" borderId="0" xfId="0" applyFill="1" applyBorder="1" applyAlignment="1">
      <alignment horizontal="left"/>
    </xf>
    <xf numFmtId="171" fontId="19" fillId="0" borderId="96" xfId="18" applyNumberFormat="1" applyFont="1" applyFill="1" applyBorder="1" applyAlignment="1">
      <alignment horizontal="left" indent="1"/>
    </xf>
    <xf numFmtId="171" fontId="35" fillId="0" borderId="98" xfId="18" applyNumberFormat="1" applyFont="1" applyFill="1" applyBorder="1" applyAlignment="1">
      <alignment horizontal="left" indent="1"/>
    </xf>
    <xf numFmtId="175" fontId="24" fillId="0" borderId="98" xfId="8" applyBorder="1" applyAlignment="1">
      <alignment horizontal="left" indent="1"/>
    </xf>
    <xf numFmtId="171" fontId="22" fillId="0" borderId="100" xfId="18" applyNumberFormat="1" applyFont="1" applyFill="1" applyBorder="1" applyAlignment="1">
      <alignment horizontal="left" indent="1"/>
    </xf>
    <xf numFmtId="171" fontId="19" fillId="0" borderId="29" xfId="18" applyNumberFormat="1" applyFont="1" applyFill="1" applyBorder="1" applyAlignment="1">
      <alignment horizontal="left" indent="1"/>
    </xf>
    <xf numFmtId="171" fontId="35" fillId="0" borderId="0" xfId="18" applyNumberFormat="1" applyFont="1" applyFill="1" applyBorder="1" applyAlignment="1">
      <alignment horizontal="left" indent="1"/>
    </xf>
    <xf numFmtId="175" fontId="24" fillId="0" borderId="0" xfId="8" applyBorder="1" applyAlignment="1">
      <alignment horizontal="left" indent="1"/>
    </xf>
    <xf numFmtId="37" fontId="24" fillId="0" borderId="0" xfId="8" applyNumberFormat="1" applyBorder="1" applyAlignment="1">
      <alignment horizontal="left" indent="1"/>
    </xf>
    <xf numFmtId="171" fontId="22" fillId="0" borderId="0" xfId="18" applyNumberFormat="1" applyFont="1" applyFill="1" applyBorder="1" applyAlignment="1">
      <alignment horizontal="left" indent="1"/>
    </xf>
    <xf numFmtId="171" fontId="19" fillId="30" borderId="29" xfId="18" applyNumberFormat="1" applyFont="1" applyFill="1" applyBorder="1" applyAlignment="1">
      <alignment horizontal="right" wrapText="1"/>
    </xf>
    <xf numFmtId="171" fontId="19" fillId="17" borderId="29" xfId="18" quotePrefix="1" applyNumberFormat="1" applyFont="1" applyFill="1" applyBorder="1" applyAlignment="1">
      <alignment horizontal="right" wrapText="1"/>
    </xf>
    <xf numFmtId="172" fontId="36" fillId="30" borderId="28" xfId="6" applyFill="1" applyBorder="1" applyAlignment="1">
      <alignment horizontal="right"/>
    </xf>
    <xf numFmtId="172" fontId="36" fillId="30" borderId="0" xfId="6" applyFill="1" applyBorder="1" applyAlignment="1">
      <alignment horizontal="right"/>
    </xf>
    <xf numFmtId="172" fontId="36" fillId="30" borderId="30" xfId="6" applyFill="1" applyBorder="1" applyAlignment="1">
      <alignment horizontal="right"/>
    </xf>
    <xf numFmtId="172" fontId="36" fillId="17" borderId="28" xfId="6" applyFill="1" applyBorder="1">
      <alignment horizontal="right"/>
    </xf>
    <xf numFmtId="172" fontId="36" fillId="17" borderId="0" xfId="6" applyFill="1" applyBorder="1">
      <alignment horizontal="right"/>
    </xf>
    <xf numFmtId="172" fontId="36" fillId="17" borderId="30" xfId="6" applyFill="1" applyBorder="1">
      <alignment horizontal="right"/>
    </xf>
    <xf numFmtId="261" fontId="158" fillId="0" borderId="0" xfId="19"/>
    <xf numFmtId="261" fontId="0" fillId="0" borderId="28" xfId="0" applyFill="1" applyBorder="1" applyAlignment="1">
      <alignment horizontal="left"/>
    </xf>
    <xf numFmtId="261" fontId="0" fillId="0" borderId="28" xfId="0" applyFill="1" applyBorder="1"/>
    <xf numFmtId="261" fontId="0" fillId="0" borderId="0" xfId="0" applyFill="1" applyBorder="1" applyAlignment="1">
      <alignment horizontal="right"/>
    </xf>
    <xf numFmtId="261" fontId="0" fillId="0" borderId="0" xfId="0" applyFill="1" applyBorder="1" applyAlignment="1"/>
    <xf numFmtId="261" fontId="102" fillId="29" borderId="25" xfId="0" applyFont="1" applyFill="1" applyBorder="1"/>
    <xf numFmtId="261" fontId="18" fillId="0" borderId="0" xfId="0" applyFont="1" applyAlignment="1">
      <alignment horizontal="centerContinuous"/>
    </xf>
    <xf numFmtId="171" fontId="19" fillId="0" borderId="0" xfId="18" quotePrefix="1" applyNumberFormat="1" applyFont="1" applyFill="1" applyBorder="1" applyAlignment="1">
      <alignment horizontal="right" wrapText="1"/>
    </xf>
    <xf numFmtId="171" fontId="0" fillId="0" borderId="0" xfId="0" applyNumberFormat="1" applyFill="1" applyBorder="1"/>
    <xf numFmtId="261" fontId="38" fillId="11" borderId="104" xfId="0" applyFont="1" applyFill="1" applyBorder="1" applyAlignment="1" applyProtection="1">
      <alignment horizontal="center"/>
      <protection locked="0"/>
    </xf>
    <xf numFmtId="261" fontId="38" fillId="11" borderId="104" xfId="0" applyFont="1" applyFill="1" applyBorder="1" applyAlignment="1" applyProtection="1">
      <alignment horizontal="center"/>
    </xf>
    <xf numFmtId="261" fontId="0" fillId="0" borderId="105" xfId="0" applyBorder="1"/>
    <xf numFmtId="261" fontId="0" fillId="0" borderId="106" xfId="0" applyBorder="1"/>
    <xf numFmtId="261" fontId="1" fillId="0" borderId="107" xfId="0" applyFont="1" applyBorder="1" applyAlignment="1"/>
    <xf numFmtId="261" fontId="0" fillId="0" borderId="107" xfId="0" applyBorder="1"/>
    <xf numFmtId="194" fontId="64" fillId="0" borderId="30" xfId="0" applyNumberFormat="1" applyFont="1" applyBorder="1" applyAlignment="1" applyProtection="1">
      <alignment horizontal="right"/>
    </xf>
    <xf numFmtId="194" fontId="64" fillId="0" borderId="30" xfId="0" applyNumberFormat="1" applyFont="1" applyBorder="1" applyAlignment="1">
      <alignment horizontal="right"/>
    </xf>
    <xf numFmtId="261" fontId="89" fillId="0" borderId="0" xfId="0" applyFont="1" applyBorder="1" applyAlignment="1">
      <alignment horizontal="centerContinuous"/>
    </xf>
    <xf numFmtId="171" fontId="64" fillId="0" borderId="0" xfId="0" applyNumberFormat="1" applyFont="1" applyBorder="1" applyAlignment="1">
      <alignment horizontal="centerContinuous" wrapText="1"/>
    </xf>
    <xf numFmtId="193" fontId="23" fillId="0" borderId="28" xfId="0" applyNumberFormat="1" applyFont="1" applyBorder="1" applyAlignment="1" applyProtection="1">
      <alignment horizontal="right"/>
    </xf>
    <xf numFmtId="193" fontId="23" fillId="0" borderId="30" xfId="0" applyNumberFormat="1" applyFont="1" applyBorder="1" applyAlignment="1" applyProtection="1">
      <alignment horizontal="right"/>
    </xf>
    <xf numFmtId="171" fontId="23" fillId="0" borderId="28" xfId="0" applyNumberFormat="1" applyFont="1" applyBorder="1" applyAlignment="1" applyProtection="1">
      <alignment horizontal="right"/>
    </xf>
    <xf numFmtId="174" fontId="42" fillId="6" borderId="0" xfId="0" applyNumberFormat="1" applyFont="1" applyFill="1" applyBorder="1" applyAlignment="1"/>
    <xf numFmtId="0" fontId="0" fillId="0" borderId="0" xfId="0" applyNumberFormat="1" applyFont="1" applyBorder="1" applyAlignment="1"/>
    <xf numFmtId="0" fontId="64" fillId="0" borderId="0" xfId="0" applyNumberFormat="1" applyFont="1" applyBorder="1" applyAlignment="1" applyProtection="1"/>
    <xf numFmtId="174" fontId="64" fillId="0" borderId="0" xfId="0" applyNumberFormat="1" applyFont="1" applyFill="1" applyBorder="1" applyAlignment="1">
      <alignment horizontal="centerContinuous"/>
    </xf>
    <xf numFmtId="174" fontId="1" fillId="15" borderId="0" xfId="0" applyNumberFormat="1" applyFont="1" applyFill="1" applyBorder="1" applyAlignment="1">
      <alignment vertical="top"/>
    </xf>
    <xf numFmtId="174" fontId="1" fillId="0" borderId="28" xfId="0" applyNumberFormat="1" applyFont="1" applyBorder="1" applyAlignment="1">
      <alignment horizontal="centerContinuous"/>
    </xf>
    <xf numFmtId="171" fontId="64" fillId="0" borderId="0" xfId="0" applyNumberFormat="1" applyFont="1" applyBorder="1" applyAlignment="1" applyProtection="1">
      <alignment horizontal="right"/>
    </xf>
    <xf numFmtId="37" fontId="0" fillId="0" borderId="0" xfId="0" applyNumberFormat="1" applyAlignment="1">
      <alignment vertical="top" wrapText="1"/>
    </xf>
    <xf numFmtId="221" fontId="0" fillId="0" borderId="0" xfId="0" applyNumberFormat="1"/>
    <xf numFmtId="261" fontId="0" fillId="0" borderId="83" xfId="0" applyFont="1" applyBorder="1" applyAlignment="1"/>
    <xf numFmtId="191" fontId="36" fillId="0" borderId="7" xfId="6" applyNumberFormat="1" applyBorder="1" applyAlignment="1">
      <alignment horizontal="right"/>
    </xf>
    <xf numFmtId="191" fontId="36" fillId="0" borderId="8" xfId="6" applyNumberFormat="1" applyBorder="1" applyAlignment="1">
      <alignment horizontal="right"/>
    </xf>
    <xf numFmtId="261" fontId="34" fillId="0" borderId="0" xfId="0" applyFont="1" applyBorder="1" applyAlignment="1">
      <alignment horizontal="right"/>
    </xf>
    <xf numFmtId="172" fontId="161" fillId="11" borderId="109" xfId="7" applyFont="1" applyBorder="1" applyProtection="1">
      <alignment horizontal="right"/>
      <protection locked="0"/>
    </xf>
    <xf numFmtId="171" fontId="38" fillId="11" borderId="104" xfId="9" applyBorder="1" applyProtection="1">
      <alignment horizontal="right"/>
      <protection locked="0"/>
    </xf>
    <xf numFmtId="261" fontId="34" fillId="0" borderId="0" xfId="0" applyFont="1" applyBorder="1" applyAlignment="1">
      <alignment horizontal="left" indent="1"/>
    </xf>
    <xf numFmtId="261" fontId="34" fillId="0" borderId="36" xfId="0" applyFont="1" applyBorder="1" applyAlignment="1">
      <alignment horizontal="center" vertical="center"/>
    </xf>
    <xf numFmtId="249" fontId="24" fillId="0" borderId="0" xfId="8" applyNumberFormat="1">
      <alignment horizontal="right"/>
    </xf>
    <xf numFmtId="249" fontId="24" fillId="0" borderId="15" xfId="8" applyNumberFormat="1" applyBorder="1">
      <alignment horizontal="right"/>
    </xf>
    <xf numFmtId="220" fontId="0" fillId="6" borderId="0" xfId="0" applyNumberFormat="1" applyFill="1" applyAlignment="1">
      <alignment horizontal="left"/>
    </xf>
    <xf numFmtId="277" fontId="24" fillId="0" borderId="0" xfId="8" applyNumberFormat="1">
      <alignment horizontal="right"/>
    </xf>
    <xf numFmtId="261" fontId="68" fillId="27" borderId="0" xfId="0" applyFont="1" applyFill="1"/>
    <xf numFmtId="261" fontId="18" fillId="0" borderId="0" xfId="0" applyFont="1" applyFill="1" applyBorder="1" applyAlignment="1">
      <alignment horizontal="left" vertical="top" wrapText="1" indent="2"/>
    </xf>
    <xf numFmtId="261" fontId="0" fillId="0" borderId="0" xfId="0" applyFill="1" applyAlignment="1">
      <alignment horizontal="left" vertical="top" wrapText="1"/>
    </xf>
    <xf numFmtId="174" fontId="162" fillId="0" borderId="0" xfId="0" applyNumberFormat="1" applyFont="1" applyAlignment="1"/>
    <xf numFmtId="194" fontId="64" fillId="0" borderId="29" xfId="0" applyNumberFormat="1" applyFont="1" applyBorder="1" applyAlignment="1">
      <alignment horizontal="left"/>
    </xf>
    <xf numFmtId="194" fontId="64" fillId="0" borderId="29" xfId="0" applyNumberFormat="1" applyFont="1" applyBorder="1" applyAlignment="1">
      <alignment horizontal="right"/>
    </xf>
    <xf numFmtId="172" fontId="36" fillId="0" borderId="0" xfId="6">
      <alignment horizontal="right"/>
    </xf>
    <xf numFmtId="261" fontId="0" fillId="0" borderId="78" xfId="0" applyBorder="1" applyAlignment="1">
      <alignment horizontal="right"/>
    </xf>
    <xf numFmtId="172" fontId="36" fillId="0" borderId="110" xfId="6" applyBorder="1" applyAlignment="1">
      <alignment horizontal="right"/>
    </xf>
    <xf numFmtId="193" fontId="0" fillId="0" borderId="111" xfId="0" applyNumberFormat="1" applyBorder="1" applyAlignment="1">
      <alignment horizontal="right"/>
    </xf>
    <xf numFmtId="193" fontId="0" fillId="0" borderId="112" xfId="0" applyNumberFormat="1" applyFont="1" applyBorder="1" applyAlignment="1">
      <alignment horizontal="right"/>
    </xf>
    <xf numFmtId="193" fontId="0" fillId="0" borderId="112" xfId="0" applyNumberFormat="1" applyBorder="1" applyAlignment="1">
      <alignment horizontal="right"/>
    </xf>
    <xf numFmtId="193" fontId="0" fillId="0" borderId="113" xfId="0" applyNumberFormat="1" applyFont="1" applyBorder="1" applyAlignment="1">
      <alignment horizontal="right"/>
    </xf>
    <xf numFmtId="194" fontId="64" fillId="0" borderId="28" xfId="0" applyNumberFormat="1" applyFont="1" applyBorder="1" applyAlignment="1">
      <alignment horizontal="right"/>
    </xf>
    <xf numFmtId="194" fontId="64" fillId="0" borderId="28" xfId="0" applyNumberFormat="1" applyFont="1" applyBorder="1" applyAlignment="1">
      <alignment horizontal="left"/>
    </xf>
    <xf numFmtId="174" fontId="99" fillId="0" borderId="28" xfId="0" applyNumberFormat="1" applyFont="1" applyBorder="1" applyAlignment="1">
      <alignment horizontal="right"/>
    </xf>
    <xf numFmtId="261" fontId="64" fillId="0" borderId="0" xfId="0" applyFont="1" applyBorder="1" applyAlignment="1">
      <alignment horizontal="right"/>
    </xf>
    <xf numFmtId="174" fontId="99" fillId="0" borderId="0" xfId="0" applyNumberFormat="1" applyFont="1" applyBorder="1" applyAlignment="1">
      <alignment horizontal="right"/>
    </xf>
    <xf numFmtId="261" fontId="64" fillId="0" borderId="30" xfId="0" applyFont="1" applyBorder="1" applyAlignment="1">
      <alignment horizontal="right"/>
    </xf>
    <xf numFmtId="172" fontId="160" fillId="11" borderId="114" xfId="7" applyBorder="1" applyProtection="1">
      <alignment horizontal="right"/>
      <protection locked="0"/>
    </xf>
    <xf numFmtId="261" fontId="18" fillId="0" borderId="38" xfId="0" applyFont="1" applyBorder="1" applyAlignment="1">
      <alignment vertical="top"/>
    </xf>
    <xf numFmtId="261" fontId="18" fillId="0" borderId="39" xfId="0" applyFont="1" applyBorder="1" applyAlignment="1">
      <alignment vertical="top"/>
    </xf>
    <xf numFmtId="172" fontId="36" fillId="0" borderId="5" xfId="6" applyBorder="1" applyAlignment="1">
      <alignment vertical="top"/>
    </xf>
    <xf numFmtId="172" fontId="36" fillId="0" borderId="40" xfId="6" applyBorder="1" applyAlignment="1">
      <alignment vertical="top"/>
    </xf>
    <xf numFmtId="262" fontId="163" fillId="7" borderId="0" xfId="14" applyFont="1" applyFill="1" applyAlignment="1">
      <alignment horizontal="right" vertical="top"/>
    </xf>
    <xf numFmtId="171" fontId="164" fillId="11" borderId="104" xfId="9" applyFont="1" applyBorder="1" applyAlignment="1" applyProtection="1">
      <alignment horizontal="left"/>
    </xf>
    <xf numFmtId="261" fontId="19" fillId="0" borderId="0" xfId="0" applyFont="1" applyFill="1"/>
    <xf numFmtId="261" fontId="103" fillId="0" borderId="0" xfId="0" applyFont="1" applyFill="1" applyBorder="1" applyAlignment="1">
      <alignment horizontal="left"/>
    </xf>
    <xf numFmtId="261" fontId="35" fillId="0" borderId="0" xfId="0" applyFont="1" applyFill="1" applyBorder="1" applyAlignment="1">
      <alignment horizontal="left" vertical="top" wrapText="1"/>
    </xf>
    <xf numFmtId="261" fontId="35" fillId="0" borderId="0" xfId="0" applyFont="1" applyFill="1"/>
    <xf numFmtId="261" fontId="18" fillId="0" borderId="28" xfId="0" applyFont="1" applyBorder="1" applyAlignment="1">
      <alignment horizontal="left" vertical="top"/>
    </xf>
    <xf numFmtId="278" fontId="21" fillId="0" borderId="0" xfId="0" applyNumberFormat="1" applyFont="1" applyFill="1" applyBorder="1" applyAlignment="1">
      <alignment horizontal="right" vertical="top"/>
    </xf>
    <xf numFmtId="278" fontId="21" fillId="0" borderId="57" xfId="0" applyNumberFormat="1" applyFont="1" applyFill="1" applyBorder="1" applyAlignment="1">
      <alignment horizontal="right" vertical="top"/>
    </xf>
    <xf numFmtId="261" fontId="19" fillId="0" borderId="28" xfId="0" applyFont="1" applyBorder="1" applyAlignment="1">
      <alignment vertical="top"/>
    </xf>
    <xf numFmtId="261" fontId="19" fillId="0" borderId="28" xfId="0" applyFont="1" applyBorder="1" applyAlignment="1">
      <alignment horizontal="right" vertical="top"/>
    </xf>
    <xf numFmtId="261" fontId="19" fillId="0" borderId="60" xfId="0" applyFont="1" applyFill="1" applyBorder="1" applyAlignment="1">
      <alignment vertical="top"/>
    </xf>
    <xf numFmtId="261" fontId="19" fillId="0" borderId="24" xfId="0" applyFont="1" applyFill="1" applyBorder="1" applyAlignment="1">
      <alignment vertical="top"/>
    </xf>
    <xf numFmtId="261" fontId="19" fillId="0" borderId="115" xfId="0" applyFont="1" applyBorder="1" applyAlignment="1">
      <alignment horizontal="left" vertical="top"/>
    </xf>
    <xf numFmtId="261" fontId="18" fillId="0" borderId="115" xfId="0" applyFont="1" applyBorder="1" applyAlignment="1">
      <alignment horizontal="left" vertical="top"/>
    </xf>
    <xf numFmtId="261" fontId="19" fillId="0" borderId="115" xfId="0" applyFont="1" applyBorder="1" applyAlignment="1">
      <alignment vertical="top"/>
    </xf>
    <xf numFmtId="261" fontId="19" fillId="0" borderId="115" xfId="0" applyFont="1" applyFill="1" applyBorder="1" applyAlignment="1">
      <alignment vertical="top"/>
    </xf>
    <xf numFmtId="261" fontId="19" fillId="0" borderId="116" xfId="0" applyFont="1" applyFill="1" applyBorder="1" applyAlignment="1">
      <alignment horizontal="left" vertical="top" wrapText="1"/>
    </xf>
    <xf numFmtId="261" fontId="18" fillId="0" borderId="116" xfId="0" applyFont="1" applyFill="1" applyBorder="1" applyAlignment="1">
      <alignment horizontal="right" vertical="top"/>
    </xf>
    <xf numFmtId="261" fontId="19" fillId="0" borderId="116" xfId="0" applyFont="1" applyFill="1" applyBorder="1" applyAlignment="1">
      <alignment horizontal="right" vertical="top"/>
    </xf>
    <xf numFmtId="261" fontId="19" fillId="0" borderId="117" xfId="0" applyFont="1" applyFill="1" applyBorder="1" applyAlignment="1">
      <alignment horizontal="right" vertical="top"/>
    </xf>
    <xf numFmtId="261" fontId="18" fillId="0" borderId="0" xfId="0" applyFont="1" applyFill="1" applyBorder="1" applyAlignment="1">
      <alignment horizontal="center" vertical="top"/>
    </xf>
    <xf numFmtId="261" fontId="35" fillId="0" borderId="0" xfId="0" applyFont="1" applyAlignment="1">
      <alignment horizontal="left" vertical="top"/>
    </xf>
    <xf numFmtId="261" fontId="19" fillId="0" borderId="0" xfId="0" applyFont="1" applyBorder="1" applyAlignment="1">
      <alignment vertical="top"/>
    </xf>
    <xf numFmtId="222" fontId="155" fillId="0" borderId="0" xfId="0" applyNumberFormat="1" applyFont="1" applyFill="1" applyAlignment="1" applyProtection="1">
      <alignment horizontal="right" vertical="top"/>
    </xf>
    <xf numFmtId="273" fontId="21" fillId="0" borderId="0" xfId="0" applyNumberFormat="1" applyFont="1" applyFill="1"/>
    <xf numFmtId="261" fontId="18" fillId="0" borderId="0" xfId="0" applyFont="1" applyFill="1" applyAlignment="1">
      <alignment horizontal="left" indent="2"/>
    </xf>
    <xf numFmtId="174" fontId="1" fillId="31" borderId="0" xfId="0" applyNumberFormat="1" applyFont="1" applyFill="1" applyAlignment="1"/>
    <xf numFmtId="261" fontId="98" fillId="6" borderId="0" xfId="0" applyFont="1" applyFill="1"/>
    <xf numFmtId="171" fontId="98" fillId="6" borderId="0" xfId="0" applyNumberFormat="1" applyFont="1" applyFill="1" applyAlignment="1" applyProtection="1"/>
    <xf numFmtId="261" fontId="98" fillId="6" borderId="57" xfId="0" applyFont="1" applyFill="1" applyBorder="1" applyAlignment="1">
      <alignment horizontal="right"/>
    </xf>
    <xf numFmtId="172" fontId="160" fillId="11" borderId="45" xfId="7" applyBorder="1" applyProtection="1">
      <alignment horizontal="right"/>
      <protection locked="0"/>
    </xf>
    <xf numFmtId="261" fontId="18" fillId="0" borderId="57" xfId="0" applyFont="1" applyBorder="1"/>
    <xf numFmtId="261" fontId="19" fillId="0" borderId="58" xfId="0" applyFont="1" applyBorder="1" applyAlignment="1">
      <alignment horizontal="right" vertical="top"/>
    </xf>
    <xf numFmtId="261" fontId="19" fillId="0" borderId="118" xfId="0" applyFont="1" applyBorder="1" applyAlignment="1">
      <alignment vertical="top"/>
    </xf>
    <xf numFmtId="261" fontId="19" fillId="0" borderId="57" xfId="0" applyFont="1" applyBorder="1" applyAlignment="1">
      <alignment vertical="top"/>
    </xf>
    <xf numFmtId="172" fontId="18" fillId="0" borderId="57" xfId="0" applyNumberFormat="1" applyFont="1" applyBorder="1" applyAlignment="1">
      <alignment horizontal="right" vertical="top"/>
    </xf>
    <xf numFmtId="210" fontId="89" fillId="0" borderId="65" xfId="0" applyNumberFormat="1" applyFont="1" applyBorder="1" applyAlignment="1">
      <alignment horizontal="right" wrapText="1"/>
    </xf>
    <xf numFmtId="172" fontId="36" fillId="0" borderId="59" xfId="6" applyBorder="1" applyAlignment="1">
      <alignment horizontal="right" vertical="top"/>
    </xf>
    <xf numFmtId="261" fontId="19" fillId="0" borderId="118" xfId="0" applyFont="1" applyFill="1" applyBorder="1" applyAlignment="1">
      <alignment horizontal="right" vertical="top"/>
    </xf>
    <xf numFmtId="261" fontId="18" fillId="0" borderId="57" xfId="0" applyFont="1" applyBorder="1" applyAlignment="1">
      <alignment vertical="top"/>
    </xf>
    <xf numFmtId="261" fontId="68" fillId="6" borderId="0" xfId="0" applyFont="1" applyFill="1" applyBorder="1" applyAlignment="1">
      <alignment horizontal="left" vertical="top"/>
    </xf>
    <xf numFmtId="261" fontId="89" fillId="6" borderId="0" xfId="0" applyFont="1" applyFill="1" applyBorder="1" applyAlignment="1">
      <alignment vertical="top"/>
    </xf>
    <xf numFmtId="261" fontId="89" fillId="6" borderId="57" xfId="0" applyFont="1" applyFill="1" applyBorder="1" applyAlignment="1">
      <alignment vertical="top"/>
    </xf>
    <xf numFmtId="261" fontId="68" fillId="6" borderId="0" xfId="0" applyFont="1" applyFill="1" applyBorder="1" applyAlignment="1">
      <alignment vertical="top"/>
    </xf>
    <xf numFmtId="261" fontId="89" fillId="6" borderId="57" xfId="0" applyFont="1" applyFill="1" applyBorder="1" applyAlignment="1">
      <alignment horizontal="right" vertical="top"/>
    </xf>
    <xf numFmtId="261" fontId="68" fillId="6" borderId="0" xfId="0" applyFont="1" applyFill="1" applyBorder="1" applyAlignment="1">
      <alignment horizontal="right" vertical="top"/>
    </xf>
    <xf numFmtId="279" fontId="137" fillId="0" borderId="0" xfId="0" applyNumberFormat="1" applyFont="1" applyBorder="1" applyAlignment="1">
      <alignment vertical="top"/>
    </xf>
    <xf numFmtId="279" fontId="137" fillId="0" borderId="57" xfId="0" applyNumberFormat="1" applyFont="1" applyBorder="1" applyAlignment="1">
      <alignment vertical="top"/>
    </xf>
    <xf numFmtId="261" fontId="39" fillId="0" borderId="0" xfId="0" applyFont="1" applyFill="1" applyBorder="1" applyAlignment="1" applyProtection="1">
      <alignment horizontal="right"/>
    </xf>
    <xf numFmtId="10" fontId="149" fillId="2" borderId="0" xfId="10" applyNumberFormat="1" applyFont="1" applyFill="1" applyBorder="1" applyProtection="1">
      <protection locked="0"/>
    </xf>
    <xf numFmtId="261" fontId="34" fillId="3" borderId="0" xfId="0" applyFont="1" applyFill="1"/>
    <xf numFmtId="261" fontId="34" fillId="0" borderId="0" xfId="0" quotePrefix="1" applyFont="1"/>
    <xf numFmtId="175" fontId="24" fillId="0" borderId="0" xfId="0" applyNumberFormat="1" applyFont="1" applyAlignment="1">
      <alignment horizontal="left"/>
    </xf>
    <xf numFmtId="261" fontId="34" fillId="0" borderId="24" xfId="0" applyFont="1" applyBorder="1"/>
    <xf numFmtId="261" fontId="34" fillId="0" borderId="70" xfId="0" applyFont="1" applyBorder="1"/>
    <xf numFmtId="261" fontId="0" fillId="0" borderId="70" xfId="0" applyFont="1" applyBorder="1"/>
    <xf numFmtId="261" fontId="0" fillId="0" borderId="70" xfId="0" applyBorder="1"/>
    <xf numFmtId="261" fontId="35" fillId="0" borderId="23" xfId="0" applyFont="1" applyFill="1" applyBorder="1" applyAlignment="1">
      <alignment horizontal="left" vertical="top" wrapText="1"/>
    </xf>
    <xf numFmtId="261" fontId="18" fillId="0" borderId="23" xfId="0" applyFont="1" applyBorder="1"/>
    <xf numFmtId="171" fontId="48" fillId="0" borderId="23" xfId="0" applyNumberFormat="1" applyFont="1" applyBorder="1" applyAlignment="1" applyProtection="1"/>
    <xf numFmtId="261" fontId="19" fillId="0" borderId="122" xfId="0" applyFont="1" applyBorder="1" applyAlignment="1">
      <alignment horizontal="right"/>
    </xf>
    <xf numFmtId="265" fontId="89" fillId="0" borderId="23" xfId="0" applyNumberFormat="1" applyFont="1" applyBorder="1" applyAlignment="1">
      <alignment horizontal="right" wrapText="1"/>
    </xf>
    <xf numFmtId="178" fontId="62" fillId="0" borderId="0" xfId="0" applyNumberFormat="1" applyFont="1" applyBorder="1" applyAlignment="1">
      <alignment horizontal="right"/>
    </xf>
    <xf numFmtId="252" fontId="24" fillId="0" borderId="0" xfId="1" applyFont="1" applyFill="1">
      <alignment horizontal="right"/>
    </xf>
    <xf numFmtId="279" fontId="137" fillId="0" borderId="0" xfId="0" applyNumberFormat="1" applyFont="1" applyBorder="1" applyAlignment="1">
      <alignment horizontal="right" vertical="top"/>
    </xf>
    <xf numFmtId="261" fontId="68" fillId="6" borderId="46" xfId="0" applyFont="1" applyFill="1" applyBorder="1" applyAlignment="1">
      <alignment horizontal="right" vertical="top"/>
    </xf>
    <xf numFmtId="261" fontId="0" fillId="0" borderId="0" xfId="0"/>
    <xf numFmtId="205" fontId="51" fillId="0" borderId="0" xfId="26" applyFont="1"/>
    <xf numFmtId="261" fontId="22" fillId="0" borderId="0" xfId="0" applyFont="1"/>
    <xf numFmtId="205" fontId="22" fillId="0" borderId="0" xfId="0" applyNumberFormat="1" applyFont="1" applyAlignment="1">
      <alignment vertical="top"/>
    </xf>
    <xf numFmtId="0" fontId="18" fillId="32" borderId="0" xfId="11" applyFill="1">
      <alignment horizontal="left" vertical="top" wrapText="1"/>
    </xf>
    <xf numFmtId="0" fontId="19" fillId="0" borderId="0" xfId="11" applyFont="1" applyAlignment="1">
      <alignment horizontal="left" vertical="top"/>
    </xf>
    <xf numFmtId="205" fontId="52" fillId="0" borderId="0" xfId="27" applyNumberFormat="1" applyFont="1">
      <alignment horizontal="left" vertical="top"/>
    </xf>
    <xf numFmtId="244" fontId="52" fillId="0" borderId="0" xfId="28" applyNumberFormat="1" applyFont="1">
      <alignment horizontal="right" vertical="top"/>
    </xf>
    <xf numFmtId="261" fontId="0" fillId="0" borderId="0" xfId="0" applyAlignment="1">
      <alignment vertical="top"/>
    </xf>
    <xf numFmtId="0" fontId="52" fillId="0" borderId="0" xfId="27" applyFont="1">
      <alignment horizontal="left" vertical="top"/>
    </xf>
    <xf numFmtId="174" fontId="42" fillId="0" borderId="0" xfId="0" applyNumberFormat="1" applyFont="1" applyFill="1" applyAlignment="1"/>
    <xf numFmtId="0" fontId="52" fillId="0" borderId="0" xfId="27" applyFont="1" applyFill="1">
      <alignment horizontal="left" vertical="top"/>
    </xf>
    <xf numFmtId="174" fontId="42" fillId="0" borderId="0" xfId="0" applyNumberFormat="1" applyFont="1" applyFill="1" applyAlignment="1">
      <alignment horizontal="right"/>
    </xf>
    <xf numFmtId="261" fontId="0" fillId="0" borderId="0" xfId="0" applyFill="1"/>
    <xf numFmtId="170" fontId="161" fillId="11" borderId="62" xfId="9" applyNumberFormat="1" applyFont="1" applyProtection="1">
      <alignment horizontal="right"/>
      <protection locked="0"/>
    </xf>
    <xf numFmtId="220" fontId="18" fillId="0" borderId="0" xfId="0" applyNumberFormat="1" applyFont="1"/>
    <xf numFmtId="261" fontId="46" fillId="0" borderId="124" xfId="0" applyFont="1" applyBorder="1"/>
    <xf numFmtId="15" fontId="34" fillId="0" borderId="0" xfId="0" applyNumberFormat="1" applyFont="1" applyAlignment="1">
      <alignment horizontal="right"/>
    </xf>
    <xf numFmtId="261" fontId="38" fillId="0" borderId="0" xfId="0" applyFont="1" applyAlignment="1"/>
    <xf numFmtId="172" fontId="36" fillId="0" borderId="0" xfId="6" applyFill="1" applyAlignment="1">
      <alignment horizontal="right"/>
    </xf>
    <xf numFmtId="191" fontId="36" fillId="0" borderId="0" xfId="6" applyNumberFormat="1" applyBorder="1" applyAlignment="1"/>
    <xf numFmtId="191" fontId="36" fillId="0" borderId="29" xfId="6" applyNumberFormat="1" applyBorder="1" applyAlignment="1">
      <alignment horizontal="right"/>
    </xf>
    <xf numFmtId="191" fontId="36" fillId="15" borderId="0" xfId="6" applyNumberFormat="1" applyFill="1" applyBorder="1" applyAlignment="1"/>
    <xf numFmtId="0" fontId="18" fillId="13" borderId="127" xfId="39" applyNumberFormat="1" applyBorder="1" applyAlignment="1">
      <alignment horizontal="center" wrapText="1"/>
    </xf>
    <xf numFmtId="0" fontId="18" fillId="13" borderId="126" xfId="39" applyNumberFormat="1" applyAlignment="1">
      <alignment horizontal="center" wrapText="1"/>
    </xf>
    <xf numFmtId="284" fontId="18" fillId="0" borderId="35" xfId="40" applyNumberFormat="1" applyBorder="1" applyAlignment="1">
      <alignment wrapText="1"/>
    </xf>
    <xf numFmtId="284" fontId="18" fillId="0" borderId="35" xfId="40" applyNumberFormat="1" applyFill="1" applyBorder="1"/>
    <xf numFmtId="284" fontId="19" fillId="0" borderId="35" xfId="40" applyNumberFormat="1" applyFont="1" applyBorder="1"/>
    <xf numFmtId="261" fontId="0" fillId="0" borderId="108" xfId="0" applyBorder="1" applyAlignment="1">
      <alignment horizontal="left" indent="1"/>
    </xf>
    <xf numFmtId="175" fontId="24" fillId="0" borderId="0" xfId="8" applyBorder="1" applyAlignment="1"/>
    <xf numFmtId="171" fontId="23" fillId="0" borderId="24" xfId="0" applyNumberFormat="1" applyFont="1" applyFill="1" applyBorder="1" applyAlignment="1" applyProtection="1">
      <alignment horizontal="right" vertical="top" wrapText="1"/>
    </xf>
    <xf numFmtId="284" fontId="19" fillId="6" borderId="35" xfId="41" applyNumberFormat="1" applyFont="1" applyBorder="1" applyAlignment="1"/>
    <xf numFmtId="175" fontId="24" fillId="0" borderId="35" xfId="8" applyBorder="1">
      <alignment horizontal="right"/>
    </xf>
    <xf numFmtId="171" fontId="38" fillId="11" borderId="128" xfId="9" applyBorder="1" applyProtection="1">
      <alignment horizontal="right"/>
    </xf>
    <xf numFmtId="37" fontId="0" fillId="0" borderId="0" xfId="0" applyNumberFormat="1" applyFont="1" applyAlignment="1">
      <alignment wrapText="1"/>
    </xf>
    <xf numFmtId="261" fontId="38" fillId="11" borderId="104" xfId="0" applyFont="1" applyFill="1" applyBorder="1" applyAlignment="1" applyProtection="1">
      <alignment horizontal="right"/>
    </xf>
    <xf numFmtId="0" fontId="48" fillId="0" borderId="0" xfId="0" applyNumberFormat="1" applyFont="1" applyAlignment="1" applyProtection="1">
      <alignment horizontal="right"/>
    </xf>
    <xf numFmtId="261" fontId="21" fillId="0" borderId="6" xfId="0" applyFont="1" applyBorder="1" applyAlignment="1">
      <alignment vertical="top"/>
    </xf>
    <xf numFmtId="261" fontId="21" fillId="0" borderId="27" xfId="0" applyFont="1" applyBorder="1" applyAlignment="1">
      <alignment vertical="top"/>
    </xf>
    <xf numFmtId="285" fontId="0" fillId="0" borderId="0" xfId="43" applyFont="1" applyFill="1" applyAlignment="1"/>
    <xf numFmtId="285" fontId="0" fillId="0" borderId="0" xfId="43" applyFont="1" applyAlignment="1"/>
    <xf numFmtId="285" fontId="19" fillId="0" borderId="29" xfId="43" applyFont="1" applyFill="1" applyBorder="1" applyAlignment="1"/>
    <xf numFmtId="171" fontId="64" fillId="0" borderId="30" xfId="0" applyNumberFormat="1" applyFont="1" applyFill="1" applyBorder="1" applyAlignment="1">
      <alignment horizontal="center"/>
    </xf>
    <xf numFmtId="171" fontId="64" fillId="0" borderId="28" xfId="0" applyNumberFormat="1" applyFont="1" applyFill="1" applyBorder="1" applyAlignment="1">
      <alignment horizontal="center"/>
    </xf>
    <xf numFmtId="261" fontId="34" fillId="0" borderId="0" xfId="0" applyFont="1" applyFill="1" applyBorder="1" applyAlignment="1"/>
    <xf numFmtId="261" fontId="34" fillId="0" borderId="0" xfId="0" applyFont="1" applyBorder="1" applyAlignment="1"/>
    <xf numFmtId="261" fontId="0" fillId="0" borderId="0" xfId="0" quotePrefix="1" applyAlignment="1">
      <alignment horizontal="left" vertical="top" wrapText="1"/>
    </xf>
    <xf numFmtId="261" fontId="0" fillId="0" borderId="0" xfId="0" quotePrefix="1" applyAlignment="1">
      <alignment horizontal="left" vertical="top"/>
    </xf>
    <xf numFmtId="190" fontId="0" fillId="0" borderId="0" xfId="0" applyNumberFormat="1" applyFont="1" applyFill="1" applyBorder="1" applyAlignment="1">
      <alignment horizontal="right"/>
    </xf>
    <xf numFmtId="172" fontId="0" fillId="0" borderId="0" xfId="0" quotePrefix="1" applyNumberFormat="1" applyFont="1" applyFill="1" applyAlignment="1">
      <alignment horizontal="right"/>
    </xf>
    <xf numFmtId="172" fontId="0" fillId="0" borderId="0" xfId="0" applyNumberFormat="1" applyFont="1" applyFill="1" applyAlignment="1">
      <alignment horizontal="right"/>
    </xf>
    <xf numFmtId="171" fontId="46" fillId="0" borderId="0" xfId="0" applyNumberFormat="1" applyFont="1" applyAlignment="1" applyProtection="1">
      <alignment horizontal="right"/>
    </xf>
    <xf numFmtId="261" fontId="0" fillId="0" borderId="0" xfId="0" applyFill="1" applyBorder="1" applyAlignment="1">
      <alignment horizontal="center"/>
    </xf>
    <xf numFmtId="261" fontId="0" fillId="18" borderId="0" xfId="0" applyFill="1" applyAlignment="1">
      <alignment horizontal="left"/>
    </xf>
    <xf numFmtId="261" fontId="0" fillId="18" borderId="0" xfId="0" applyFill="1" applyBorder="1" applyAlignment="1">
      <alignment horizontal="center"/>
    </xf>
    <xf numFmtId="261" fontId="0" fillId="18" borderId="0" xfId="0" applyFill="1" applyBorder="1"/>
    <xf numFmtId="261" fontId="0" fillId="0" borderId="130" xfId="0" applyBorder="1"/>
    <xf numFmtId="261" fontId="0" fillId="0" borderId="129" xfId="0" applyBorder="1"/>
    <xf numFmtId="261" fontId="0" fillId="0" borderId="131" xfId="0" applyBorder="1"/>
    <xf numFmtId="261" fontId="36" fillId="0" borderId="25" xfId="0" applyFont="1" applyBorder="1"/>
    <xf numFmtId="261" fontId="36" fillId="0" borderId="25" xfId="0" applyFont="1" applyBorder="1" applyAlignment="1">
      <alignment horizontal="right"/>
    </xf>
    <xf numFmtId="189" fontId="1" fillId="0" borderId="0" xfId="0" applyNumberFormat="1" applyFont="1" applyAlignment="1"/>
    <xf numFmtId="174" fontId="64" fillId="0" borderId="0" xfId="0" applyNumberFormat="1" applyFont="1" applyBorder="1" applyAlignment="1">
      <alignment horizontal="center"/>
    </xf>
    <xf numFmtId="261" fontId="18" fillId="6" borderId="0" xfId="0" applyFont="1" applyFill="1" applyBorder="1" applyAlignment="1" applyProtection="1">
      <alignment horizontal="center"/>
      <protection locked="0"/>
    </xf>
    <xf numFmtId="286" fontId="18" fillId="6" borderId="44" xfId="0" applyNumberFormat="1" applyFont="1" applyFill="1" applyBorder="1" applyAlignment="1" applyProtection="1">
      <alignment horizontal="right"/>
      <protection locked="0"/>
    </xf>
    <xf numFmtId="261" fontId="0" fillId="6" borderId="0" xfId="0" applyFill="1" applyBorder="1" applyAlignment="1">
      <alignment horizontal="center"/>
    </xf>
    <xf numFmtId="15" fontId="0" fillId="0" borderId="0" xfId="0" applyNumberFormat="1" applyFont="1" applyAlignment="1"/>
    <xf numFmtId="174" fontId="35" fillId="0" borderId="25" xfId="0" applyNumberFormat="1" applyFont="1" applyFill="1" applyBorder="1" applyAlignment="1">
      <alignment horizontal="center" vertical="top"/>
    </xf>
    <xf numFmtId="174" fontId="40" fillId="15" borderId="25" xfId="0" applyNumberFormat="1" applyFont="1" applyFill="1" applyBorder="1" applyAlignment="1">
      <alignment horizontal="center"/>
    </xf>
    <xf numFmtId="15" fontId="34" fillId="6" borderId="0" xfId="0" applyNumberFormat="1" applyFont="1" applyFill="1" applyAlignment="1"/>
    <xf numFmtId="15" fontId="34" fillId="6" borderId="0" xfId="0" applyNumberFormat="1" applyFont="1" applyFill="1" applyAlignment="1">
      <alignment horizontal="right"/>
    </xf>
    <xf numFmtId="221" fontId="0" fillId="6" borderId="0" xfId="0" applyNumberFormat="1" applyFill="1" applyAlignment="1">
      <alignment horizontal="right"/>
    </xf>
    <xf numFmtId="261" fontId="0" fillId="6" borderId="0" xfId="0" applyFont="1" applyFill="1" applyAlignment="1">
      <alignment horizontal="right"/>
    </xf>
    <xf numFmtId="256" fontId="36" fillId="6" borderId="0" xfId="6" applyNumberFormat="1" applyFill="1" applyAlignment="1">
      <alignment horizontal="right"/>
    </xf>
    <xf numFmtId="261" fontId="18" fillId="18" borderId="44" xfId="0" applyFont="1" applyFill="1" applyBorder="1" applyAlignment="1" applyProtection="1">
      <alignment horizontal="right"/>
      <protection locked="0"/>
    </xf>
    <xf numFmtId="171" fontId="18" fillId="18" borderId="44" xfId="0" applyNumberFormat="1" applyFont="1" applyFill="1" applyBorder="1" applyAlignment="1" applyProtection="1">
      <alignment horizontal="right"/>
      <protection locked="0"/>
    </xf>
    <xf numFmtId="171" fontId="18" fillId="0" borderId="44" xfId="0" applyNumberFormat="1" applyFont="1" applyFill="1" applyBorder="1" applyAlignment="1" applyProtection="1">
      <alignment horizontal="right"/>
      <protection locked="0"/>
    </xf>
    <xf numFmtId="172" fontId="18" fillId="18" borderId="44" xfId="0" applyNumberFormat="1" applyFont="1" applyFill="1" applyBorder="1" applyAlignment="1" applyProtection="1">
      <alignment horizontal="right"/>
      <protection locked="0"/>
    </xf>
    <xf numFmtId="172" fontId="18" fillId="0" borderId="44" xfId="0" applyNumberFormat="1" applyFont="1" applyFill="1" applyBorder="1" applyAlignment="1" applyProtection="1">
      <alignment horizontal="right"/>
      <protection locked="0"/>
    </xf>
    <xf numFmtId="172" fontId="160" fillId="11" borderId="132" xfId="7" applyBorder="1" applyProtection="1">
      <alignment horizontal="right"/>
    </xf>
    <xf numFmtId="173" fontId="68" fillId="15" borderId="38" xfId="0" applyNumberFormat="1" applyFont="1" applyFill="1" applyBorder="1" applyAlignment="1">
      <alignment horizontal="right"/>
    </xf>
    <xf numFmtId="174" fontId="19" fillId="15" borderId="42" xfId="0" applyNumberFormat="1" applyFont="1" applyFill="1" applyBorder="1" applyAlignment="1"/>
    <xf numFmtId="174" fontId="18" fillId="15" borderId="42" xfId="0" applyNumberFormat="1" applyFont="1" applyFill="1" applyBorder="1" applyAlignment="1"/>
    <xf numFmtId="174" fontId="40" fillId="15" borderId="42" xfId="0" applyNumberFormat="1" applyFont="1" applyFill="1" applyBorder="1" applyAlignment="1">
      <alignment horizontal="right"/>
    </xf>
    <xf numFmtId="174" fontId="40" fillId="0" borderId="42" xfId="0" applyNumberFormat="1" applyFont="1" applyFill="1" applyBorder="1" applyAlignment="1">
      <alignment horizontal="right"/>
    </xf>
    <xf numFmtId="174" fontId="40" fillId="15" borderId="39" xfId="0" applyNumberFormat="1" applyFont="1" applyFill="1" applyBorder="1" applyAlignment="1">
      <alignment horizontal="right"/>
    </xf>
    <xf numFmtId="174" fontId="40" fillId="15" borderId="25" xfId="0" applyNumberFormat="1" applyFont="1" applyFill="1" applyBorder="1" applyAlignment="1">
      <alignment horizontal="left" wrapText="1"/>
    </xf>
    <xf numFmtId="174" fontId="40" fillId="15" borderId="25" xfId="0" applyNumberFormat="1" applyFont="1" applyFill="1" applyBorder="1" applyAlignment="1">
      <alignment horizontal="right"/>
    </xf>
    <xf numFmtId="174" fontId="40" fillId="15" borderId="27" xfId="0" applyNumberFormat="1" applyFont="1" applyFill="1" applyBorder="1" applyAlignment="1">
      <alignment horizontal="right"/>
    </xf>
    <xf numFmtId="174" fontId="18" fillId="15" borderId="40" xfId="0" applyNumberFormat="1" applyFont="1" applyFill="1" applyBorder="1" applyAlignment="1"/>
    <xf numFmtId="174" fontId="18" fillId="15" borderId="25" xfId="0" applyNumberFormat="1" applyFont="1" applyFill="1" applyBorder="1" applyAlignment="1"/>
    <xf numFmtId="174" fontId="18" fillId="15" borderId="27" xfId="0" applyNumberFormat="1" applyFont="1" applyFill="1" applyBorder="1" applyAlignment="1"/>
    <xf numFmtId="287" fontId="34" fillId="0" borderId="0" xfId="0" applyNumberFormat="1" applyFont="1" applyAlignment="1">
      <alignment horizontal="right"/>
    </xf>
    <xf numFmtId="261" fontId="38" fillId="11" borderId="45" xfId="0" applyFont="1" applyFill="1" applyBorder="1" applyAlignment="1" applyProtection="1">
      <alignment horizontal="left"/>
    </xf>
    <xf numFmtId="261" fontId="38" fillId="11" borderId="102" xfId="0" applyFont="1" applyFill="1" applyBorder="1" applyAlignment="1" applyProtection="1">
      <alignment horizontal="left"/>
      <protection locked="0"/>
    </xf>
    <xf numFmtId="261" fontId="38" fillId="11" borderId="90" xfId="0" applyFont="1" applyFill="1" applyBorder="1" applyAlignment="1" applyProtection="1">
      <alignment horizontal="center"/>
      <protection locked="0"/>
    </xf>
    <xf numFmtId="174" fontId="89" fillId="0" borderId="28" xfId="0" applyNumberFormat="1" applyFont="1" applyBorder="1" applyAlignment="1">
      <alignment wrapText="1"/>
    </xf>
    <xf numFmtId="245" fontId="110" fillId="5" borderId="0" xfId="0" applyNumberFormat="1" applyFont="1" applyFill="1" applyAlignment="1" applyProtection="1">
      <alignment horizontal="left" vertical="center"/>
    </xf>
    <xf numFmtId="15" fontId="24" fillId="0" borderId="0" xfId="0" applyNumberFormat="1" applyFont="1" applyAlignment="1">
      <alignment horizontal="left"/>
    </xf>
    <xf numFmtId="261" fontId="38" fillId="11" borderId="90" xfId="0" applyFont="1" applyFill="1" applyBorder="1" applyAlignment="1" applyProtection="1">
      <alignment horizontal="center"/>
    </xf>
    <xf numFmtId="261" fontId="38" fillId="11" borderId="45" xfId="0" applyFont="1" applyFill="1" applyBorder="1" applyAlignment="1" applyProtection="1">
      <alignment horizontal="left"/>
    </xf>
    <xf numFmtId="261" fontId="38" fillId="11" borderId="102" xfId="0" applyFont="1" applyFill="1" applyBorder="1" applyAlignment="1" applyProtection="1">
      <alignment horizontal="center"/>
      <protection locked="0"/>
    </xf>
    <xf numFmtId="261" fontId="38" fillId="11" borderId="103" xfId="0" applyFont="1" applyFill="1" applyBorder="1" applyAlignment="1" applyProtection="1">
      <alignment horizontal="center"/>
      <protection locked="0"/>
    </xf>
    <xf numFmtId="261" fontId="38" fillId="11" borderId="102" xfId="0" applyFont="1" applyFill="1" applyBorder="1" applyAlignment="1" applyProtection="1">
      <alignment horizontal="left"/>
      <protection locked="0"/>
    </xf>
    <xf numFmtId="261" fontId="0" fillId="0" borderId="61" xfId="0" applyBorder="1" applyAlignment="1">
      <alignment horizontal="left"/>
    </xf>
    <xf numFmtId="261" fontId="0" fillId="0" borderId="103" xfId="0" applyBorder="1" applyAlignment="1">
      <alignment horizontal="left"/>
    </xf>
    <xf numFmtId="261" fontId="34" fillId="0" borderId="119" xfId="0" applyFont="1" applyBorder="1" applyAlignment="1">
      <alignment horizontal="center"/>
    </xf>
    <xf numFmtId="261" fontId="34" fillId="0" borderId="120" xfId="0" applyFont="1" applyBorder="1" applyAlignment="1">
      <alignment horizontal="center"/>
    </xf>
    <xf numFmtId="261" fontId="34" fillId="0" borderId="121" xfId="0" applyFont="1" applyBorder="1" applyAlignment="1">
      <alignment horizontal="center"/>
    </xf>
    <xf numFmtId="261" fontId="38" fillId="11" borderId="90" xfId="0" applyFont="1" applyFill="1" applyBorder="1" applyAlignment="1" applyProtection="1">
      <alignment horizontal="center"/>
      <protection locked="0"/>
    </xf>
    <xf numFmtId="10" fontId="39" fillId="11" borderId="102" xfId="0" applyNumberFormat="1" applyFont="1" applyFill="1" applyBorder="1" applyAlignment="1" applyProtection="1">
      <alignment horizontal="center" vertical="center"/>
      <protection locked="0"/>
    </xf>
    <xf numFmtId="10" fontId="39" fillId="11" borderId="90" xfId="0" applyNumberFormat="1" applyFont="1" applyFill="1" applyBorder="1" applyAlignment="1" applyProtection="1">
      <alignment horizontal="center" vertical="center"/>
      <protection locked="0"/>
    </xf>
    <xf numFmtId="174" fontId="89" fillId="0" borderId="28" xfId="0" applyNumberFormat="1" applyFont="1" applyBorder="1" applyAlignment="1">
      <alignment wrapText="1"/>
    </xf>
    <xf numFmtId="261" fontId="27" fillId="0" borderId="0" xfId="0" applyFont="1" applyAlignment="1">
      <alignment vertical="top"/>
    </xf>
    <xf numFmtId="261" fontId="38" fillId="11" borderId="102" xfId="0" applyFont="1" applyFill="1" applyBorder="1" applyAlignment="1" applyProtection="1">
      <alignment horizontal="left"/>
    </xf>
    <xf numFmtId="261" fontId="38" fillId="11" borderId="102" xfId="0" applyFont="1" applyFill="1" applyBorder="1" applyAlignment="1" applyProtection="1">
      <alignment horizontal="left"/>
    </xf>
    <xf numFmtId="171" fontId="38" fillId="11" borderId="132" xfId="9" applyBorder="1" applyAlignment="1" applyProtection="1">
      <alignment horizontal="left"/>
      <protection locked="0"/>
    </xf>
    <xf numFmtId="261" fontId="38" fillId="11" borderId="102" xfId="0" applyFont="1" applyFill="1" applyBorder="1" applyAlignment="1" applyProtection="1">
      <alignment horizontal="center"/>
    </xf>
    <xf numFmtId="171" fontId="38" fillId="11" borderId="102" xfId="9" quotePrefix="1" applyBorder="1" applyAlignment="1" applyProtection="1">
      <alignment horizontal="left"/>
      <protection locked="0"/>
    </xf>
    <xf numFmtId="261" fontId="38" fillId="11" borderId="132" xfId="0" applyFont="1" applyFill="1" applyBorder="1" applyAlignment="1" applyProtection="1">
      <alignment horizontal="right"/>
      <protection locked="0"/>
    </xf>
    <xf numFmtId="261" fontId="38" fillId="11" borderId="132" xfId="0" applyFont="1" applyFill="1" applyBorder="1" applyAlignment="1" applyProtection="1">
      <alignment horizontal="right"/>
    </xf>
    <xf numFmtId="174" fontId="31" fillId="0" borderId="76" xfId="0" applyNumberFormat="1" applyFont="1" applyBorder="1" applyAlignment="1">
      <alignment vertical="top"/>
    </xf>
    <xf numFmtId="174" fontId="31" fillId="0" borderId="37" xfId="0" applyNumberFormat="1" applyFont="1" applyBorder="1" applyAlignment="1">
      <alignment vertical="top"/>
    </xf>
    <xf numFmtId="174" fontId="31" fillId="0" borderId="77" xfId="0" applyNumberFormat="1" applyFont="1" applyBorder="1" applyAlignment="1">
      <alignment vertical="top"/>
    </xf>
    <xf numFmtId="174" fontId="31" fillId="0" borderId="36" xfId="0" applyNumberFormat="1" applyFont="1" applyFill="1" applyBorder="1" applyAlignment="1">
      <alignment vertical="top"/>
    </xf>
    <xf numFmtId="174" fontId="31" fillId="0" borderId="76" xfId="0" applyNumberFormat="1" applyFont="1" applyFill="1" applyBorder="1" applyAlignment="1">
      <alignment vertical="top"/>
    </xf>
    <xf numFmtId="171" fontId="38" fillId="11" borderId="102" xfId="9" applyBorder="1" applyAlignment="1" applyProtection="1">
      <alignment horizontal="left"/>
      <protection locked="0"/>
    </xf>
    <xf numFmtId="175" fontId="34" fillId="0" borderId="132" xfId="8" applyFont="1" applyBorder="1" applyAlignment="1">
      <alignment horizontal="center"/>
    </xf>
    <xf numFmtId="174" fontId="19" fillId="0" borderId="133" xfId="0" applyNumberFormat="1" applyFont="1" applyBorder="1" applyAlignment="1"/>
    <xf numFmtId="174" fontId="18" fillId="0" borderId="134" xfId="0" applyNumberFormat="1" applyFont="1" applyBorder="1" applyAlignment="1"/>
    <xf numFmtId="174" fontId="19" fillId="0" borderId="61" xfId="0" applyNumberFormat="1" applyFont="1" applyBorder="1" applyAlignment="1"/>
    <xf numFmtId="181" fontId="19" fillId="0" borderId="61" xfId="0" applyNumberFormat="1" applyFont="1" applyBorder="1" applyAlignment="1">
      <alignment horizontal="right"/>
    </xf>
    <xf numFmtId="199" fontId="19" fillId="0" borderId="61" xfId="0" applyNumberFormat="1" applyFont="1" applyBorder="1" applyAlignment="1">
      <alignment horizontal="center"/>
    </xf>
    <xf numFmtId="174" fontId="19" fillId="0" borderId="45" xfId="0" applyNumberFormat="1" applyFont="1" applyBorder="1" applyAlignment="1">
      <alignment horizontal="left"/>
    </xf>
    <xf numFmtId="174" fontId="18" fillId="0" borderId="135" xfId="0" applyNumberFormat="1" applyFont="1" applyFill="1" applyBorder="1" applyAlignment="1">
      <alignment horizontal="left"/>
    </xf>
    <xf numFmtId="174" fontId="18" fillId="0" borderId="135" xfId="0" applyNumberFormat="1" applyFont="1" applyFill="1" applyBorder="1" applyAlignment="1">
      <alignment horizontal="left" indent="1"/>
    </xf>
    <xf numFmtId="174" fontId="0" fillId="21" borderId="132" xfId="0" applyNumberFormat="1" applyFont="1" applyFill="1" applyBorder="1" applyAlignment="1">
      <alignment horizontal="right"/>
    </xf>
    <xf numFmtId="174" fontId="0" fillId="0" borderId="132" xfId="0" applyNumberFormat="1" applyFont="1" applyFill="1" applyBorder="1" applyAlignment="1">
      <alignment horizontal="right"/>
    </xf>
    <xf numFmtId="174" fontId="0" fillId="0" borderId="132" xfId="0" applyNumberFormat="1" applyFont="1" applyBorder="1" applyAlignment="1">
      <alignment horizontal="right"/>
    </xf>
    <xf numFmtId="172" fontId="36" fillId="21" borderId="132" xfId="0" applyNumberFormat="1" applyFont="1" applyFill="1" applyBorder="1" applyAlignment="1">
      <alignment horizontal="right"/>
    </xf>
    <xf numFmtId="172" fontId="36" fillId="0" borderId="132" xfId="0" applyNumberFormat="1" applyFont="1" applyBorder="1" applyAlignment="1">
      <alignment horizontal="right"/>
    </xf>
    <xf numFmtId="172" fontId="149" fillId="11" borderId="132" xfId="7" applyFont="1" applyBorder="1" applyProtection="1">
      <alignment horizontal="right"/>
      <protection locked="0"/>
    </xf>
    <xf numFmtId="172" fontId="160" fillId="11" borderId="132" xfId="7" applyBorder="1" applyProtection="1">
      <alignment horizontal="right"/>
      <protection locked="0"/>
    </xf>
    <xf numFmtId="171" fontId="38" fillId="11" borderId="132" xfId="9" applyBorder="1" applyProtection="1">
      <alignment horizontal="right"/>
      <protection locked="0"/>
    </xf>
    <xf numFmtId="185" fontId="38" fillId="11" borderId="132" xfId="0" applyNumberFormat="1" applyFont="1" applyFill="1" applyBorder="1" applyAlignment="1" applyProtection="1">
      <alignment horizontal="right"/>
      <protection locked="0"/>
    </xf>
    <xf numFmtId="170" fontId="161" fillId="11" borderId="132" xfId="9" applyNumberFormat="1" applyFont="1" applyBorder="1" applyProtection="1">
      <alignment horizontal="right"/>
      <protection locked="0"/>
    </xf>
    <xf numFmtId="171" fontId="38" fillId="11" borderId="132" xfId="9" applyBorder="1" applyAlignment="1" applyProtection="1">
      <alignment horizontal="left"/>
    </xf>
    <xf numFmtId="171" fontId="38" fillId="11" borderId="132" xfId="9" applyBorder="1" applyAlignment="1" applyProtection="1">
      <alignment horizontal="center"/>
    </xf>
    <xf numFmtId="175" fontId="24" fillId="0" borderId="132" xfId="8" applyBorder="1">
      <alignment horizontal="right"/>
    </xf>
    <xf numFmtId="261" fontId="0" fillId="0" borderId="132" xfId="0" applyBorder="1"/>
    <xf numFmtId="261" fontId="0" fillId="0" borderId="132" xfId="0" applyBorder="1" applyAlignment="1">
      <alignment horizontal="center"/>
    </xf>
    <xf numFmtId="261" fontId="19" fillId="0" borderId="26" xfId="0" applyFont="1" applyBorder="1" applyAlignment="1">
      <alignment horizontal="left" vertical="top"/>
    </xf>
    <xf numFmtId="261" fontId="18" fillId="0" borderId="26" xfId="0" applyFont="1" applyBorder="1"/>
    <xf numFmtId="261" fontId="19" fillId="0" borderId="26" xfId="0" applyFont="1" applyBorder="1"/>
    <xf numFmtId="171" fontId="39" fillId="11" borderId="132" xfId="0" applyNumberFormat="1" applyFont="1" applyFill="1" applyBorder="1" applyAlignment="1" applyProtection="1">
      <alignment horizontal="right"/>
      <protection locked="0"/>
    </xf>
    <xf numFmtId="261" fontId="0" fillId="0" borderId="41" xfId="0" applyFont="1" applyBorder="1" applyAlignment="1">
      <alignment horizontal="left" vertical="top"/>
    </xf>
    <xf numFmtId="261" fontId="0" fillId="0" borderId="41" xfId="0" applyFont="1" applyBorder="1" applyAlignment="1">
      <alignment horizontal="right" vertical="top"/>
    </xf>
    <xf numFmtId="172" fontId="36" fillId="0" borderId="41" xfId="0" applyNumberFormat="1" applyFont="1" applyBorder="1" applyAlignment="1">
      <alignment horizontal="right" vertical="top"/>
    </xf>
    <xf numFmtId="174" fontId="0" fillId="0" borderId="41" xfId="0" applyNumberFormat="1" applyFont="1" applyBorder="1" applyAlignment="1">
      <alignment horizontal="right" vertical="top"/>
    </xf>
    <xf numFmtId="171" fontId="19" fillId="0" borderId="26" xfId="0" applyNumberFormat="1" applyFont="1" applyBorder="1" applyAlignment="1">
      <alignment horizontal="right"/>
    </xf>
    <xf numFmtId="261" fontId="34" fillId="0" borderId="26" xfId="0" applyFont="1" applyBorder="1" applyAlignment="1">
      <alignment horizontal="right"/>
    </xf>
    <xf numFmtId="15" fontId="19" fillId="0" borderId="26" xfId="0" applyNumberFormat="1" applyFont="1" applyBorder="1" applyAlignment="1">
      <alignment horizontal="right"/>
    </xf>
    <xf numFmtId="261" fontId="18" fillId="0" borderId="26" xfId="0" applyFont="1" applyFill="1" applyBorder="1"/>
    <xf numFmtId="190" fontId="0" fillId="0" borderId="26" xfId="0" applyNumberFormat="1" applyFont="1" applyFill="1" applyBorder="1" applyAlignment="1">
      <alignment horizontal="right"/>
    </xf>
    <xf numFmtId="172" fontId="0" fillId="0" borderId="26" xfId="0" quotePrefix="1" applyNumberFormat="1" applyFont="1" applyFill="1" applyBorder="1" applyAlignment="1">
      <alignment horizontal="right"/>
    </xf>
    <xf numFmtId="172" fontId="0" fillId="0" borderId="26" xfId="0" applyNumberFormat="1" applyFont="1" applyFill="1" applyBorder="1" applyAlignment="1">
      <alignment horizontal="right"/>
    </xf>
    <xf numFmtId="174" fontId="35" fillId="0" borderId="25" xfId="0" applyNumberFormat="1" applyFont="1" applyBorder="1" applyAlignment="1">
      <alignment horizontal="center"/>
    </xf>
    <xf numFmtId="174" fontId="35" fillId="25" borderId="25" xfId="0" applyNumberFormat="1" applyFont="1" applyFill="1" applyBorder="1" applyAlignment="1">
      <alignment horizontal="left"/>
    </xf>
    <xf numFmtId="174" fontId="19" fillId="0" borderId="26" xfId="0" applyNumberFormat="1" applyFont="1" applyBorder="1" applyAlignment="1">
      <alignment horizontal="right"/>
    </xf>
    <xf numFmtId="261" fontId="38" fillId="11" borderId="132" xfId="0" applyFont="1" applyFill="1" applyBorder="1" applyAlignment="1" applyProtection="1">
      <alignment horizontal="center"/>
      <protection locked="0"/>
    </xf>
    <xf numFmtId="190" fontId="0" fillId="0" borderId="41" xfId="0" applyNumberFormat="1" applyFont="1" applyFill="1" applyBorder="1" applyAlignment="1">
      <alignment horizontal="right"/>
    </xf>
    <xf numFmtId="190" fontId="0" fillId="0" borderId="136" xfId="0" applyNumberFormat="1" applyFont="1" applyBorder="1" applyAlignment="1">
      <alignment horizontal="right"/>
    </xf>
    <xf numFmtId="272" fontId="18" fillId="0" borderId="41" xfId="16" applyNumberFormat="1" applyFill="1" applyBorder="1">
      <alignment horizontal="right" vertical="top"/>
    </xf>
    <xf numFmtId="271" fontId="18" fillId="0" borderId="41" xfId="16" applyFill="1" applyBorder="1">
      <alignment horizontal="right" vertical="top"/>
    </xf>
    <xf numFmtId="191" fontId="160" fillId="11" borderId="132" xfId="7" applyNumberFormat="1" applyBorder="1" applyProtection="1">
      <alignment horizontal="right"/>
      <protection locked="0"/>
    </xf>
    <xf numFmtId="174" fontId="64" fillId="0" borderId="25" xfId="0" applyNumberFormat="1" applyFont="1" applyFill="1" applyBorder="1" applyAlignment="1">
      <alignment horizontal="left"/>
    </xf>
    <xf numFmtId="172" fontId="80" fillId="0" borderId="132" xfId="6" applyFont="1" applyBorder="1">
      <alignment horizontal="right"/>
    </xf>
    <xf numFmtId="172" fontId="19" fillId="0" borderId="132" xfId="7" applyFont="1" applyFill="1" applyBorder="1" applyProtection="1">
      <alignment horizontal="right"/>
    </xf>
    <xf numFmtId="261" fontId="38" fillId="11" borderId="132" xfId="0" applyFont="1" applyFill="1" applyBorder="1" applyProtection="1"/>
    <xf numFmtId="15" fontId="19" fillId="6" borderId="25" xfId="0" applyNumberFormat="1" applyFont="1" applyFill="1" applyBorder="1" applyAlignment="1">
      <alignment horizontal="right"/>
    </xf>
    <xf numFmtId="174" fontId="19" fillId="6" borderId="25" xfId="0" applyNumberFormat="1" applyFont="1" applyFill="1" applyBorder="1" applyAlignment="1">
      <alignment horizontal="right"/>
    </xf>
    <xf numFmtId="172" fontId="36" fillId="0" borderId="132" xfId="6" applyBorder="1">
      <alignment horizontal="right"/>
    </xf>
    <xf numFmtId="171" fontId="38" fillId="11" borderId="132" xfId="9" applyBorder="1" applyProtection="1">
      <alignment horizontal="right"/>
    </xf>
    <xf numFmtId="171" fontId="39" fillId="11" borderId="132" xfId="9" applyFont="1" applyBorder="1" applyProtection="1">
      <alignment horizontal="right"/>
    </xf>
    <xf numFmtId="171" fontId="23" fillId="0" borderId="132" xfId="0" applyNumberFormat="1" applyFont="1" applyBorder="1" applyAlignment="1" applyProtection="1">
      <alignment horizontal="right" vertical="top"/>
    </xf>
    <xf numFmtId="10" fontId="18" fillId="0" borderId="26" xfId="0" applyNumberFormat="1" applyFont="1" applyBorder="1" applyAlignment="1">
      <alignment horizontal="center"/>
    </xf>
    <xf numFmtId="174" fontId="19" fillId="6" borderId="132" xfId="0" applyNumberFormat="1" applyFont="1" applyFill="1" applyBorder="1" applyAlignment="1">
      <alignment vertical="top"/>
    </xf>
    <xf numFmtId="174" fontId="19" fillId="6" borderId="132" xfId="0" applyNumberFormat="1" applyFont="1" applyFill="1" applyBorder="1" applyAlignment="1">
      <alignment horizontal="center" vertical="top"/>
    </xf>
    <xf numFmtId="186" fontId="19" fillId="0" borderId="137" xfId="0" applyNumberFormat="1" applyFont="1" applyFill="1" applyBorder="1" applyAlignment="1">
      <alignment horizontal="center" vertical="top"/>
    </xf>
    <xf numFmtId="174" fontId="18" fillId="0" borderId="132" xfId="0" applyNumberFormat="1" applyFont="1" applyBorder="1" applyAlignment="1">
      <alignment horizontal="center"/>
    </xf>
    <xf numFmtId="181" fontId="18" fillId="0" borderId="41" xfId="0" applyNumberFormat="1" applyFont="1" applyBorder="1" applyAlignment="1">
      <alignment horizontal="center"/>
    </xf>
    <xf numFmtId="174" fontId="18" fillId="0" borderId="41" xfId="0" applyNumberFormat="1" applyFont="1" applyBorder="1" applyAlignment="1">
      <alignment horizontal="center" vertical="top"/>
    </xf>
    <xf numFmtId="174" fontId="18" fillId="0" borderId="41" xfId="0" applyNumberFormat="1" applyFont="1" applyBorder="1" applyAlignment="1">
      <alignment horizontal="center"/>
    </xf>
    <xf numFmtId="0" fontId="38" fillId="2" borderId="41" xfId="0" applyNumberFormat="1" applyFont="1" applyFill="1" applyBorder="1" applyAlignment="1">
      <alignment horizontal="center" vertical="top"/>
    </xf>
    <xf numFmtId="174" fontId="64" fillId="0" borderId="25" xfId="0" applyNumberFormat="1" applyFont="1" applyFill="1" applyBorder="1" applyAlignment="1">
      <alignment vertical="top"/>
    </xf>
    <xf numFmtId="174" fontId="64" fillId="0" borderId="25" xfId="0" applyNumberFormat="1" applyFont="1" applyFill="1" applyBorder="1" applyAlignment="1">
      <alignment horizontal="right" vertical="top"/>
    </xf>
    <xf numFmtId="174" fontId="64" fillId="0" borderId="25" xfId="0" applyNumberFormat="1" applyFont="1" applyFill="1" applyBorder="1" applyAlignment="1">
      <alignment vertical="top" wrapText="1"/>
    </xf>
    <xf numFmtId="206" fontId="21" fillId="0" borderId="22" xfId="0" applyNumberFormat="1" applyFont="1" applyBorder="1" applyAlignment="1">
      <alignment horizontal="right" vertical="top"/>
    </xf>
    <xf numFmtId="174" fontId="2" fillId="6" borderId="132" xfId="0" applyNumberFormat="1" applyFont="1" applyFill="1" applyBorder="1" applyAlignment="1">
      <alignment vertical="top"/>
    </xf>
    <xf numFmtId="174" fontId="23" fillId="6" borderId="132" xfId="0" applyNumberFormat="1" applyFont="1" applyFill="1" applyBorder="1" applyAlignment="1" applyProtection="1">
      <alignment vertical="top"/>
    </xf>
    <xf numFmtId="0" fontId="19" fillId="0" borderId="41" xfId="0" applyNumberFormat="1" applyFont="1" applyFill="1" applyBorder="1" applyAlignment="1">
      <alignment horizontal="center" vertical="top"/>
    </xf>
    <xf numFmtId="174" fontId="64" fillId="0" borderId="25" xfId="0" applyNumberFormat="1" applyFont="1" applyFill="1" applyBorder="1" applyAlignment="1" applyProtection="1">
      <alignment horizontal="right" vertical="top"/>
    </xf>
    <xf numFmtId="174" fontId="2" fillId="6" borderId="132" xfId="0" applyNumberFormat="1" applyFont="1" applyFill="1" applyBorder="1" applyAlignment="1">
      <alignment horizontal="center" vertical="top"/>
    </xf>
    <xf numFmtId="186" fontId="2" fillId="0" borderId="137" xfId="0" applyNumberFormat="1" applyFont="1" applyFill="1" applyBorder="1" applyAlignment="1">
      <alignment horizontal="center" vertical="top"/>
    </xf>
    <xf numFmtId="174" fontId="1" fillId="0" borderId="41" xfId="0" applyNumberFormat="1" applyFont="1" applyBorder="1" applyAlignment="1">
      <alignment horizontal="center"/>
    </xf>
    <xf numFmtId="0" fontId="2" fillId="0" borderId="41" xfId="0" applyNumberFormat="1" applyFont="1" applyFill="1" applyBorder="1" applyAlignment="1">
      <alignment horizontal="center" vertical="top"/>
    </xf>
    <xf numFmtId="206" fontId="44" fillId="0" borderId="22" xfId="0" applyNumberFormat="1" applyFont="1" applyBorder="1" applyAlignment="1">
      <alignment horizontal="right" vertical="top"/>
    </xf>
    <xf numFmtId="206" fontId="44" fillId="0" borderId="22" xfId="0" applyNumberFormat="1" applyFont="1" applyBorder="1" applyAlignment="1">
      <alignment horizontal="right" vertical="top" wrapText="1"/>
    </xf>
    <xf numFmtId="165" fontId="117" fillId="11" borderId="132" xfId="0" applyNumberFormat="1" applyFont="1" applyFill="1" applyBorder="1" applyAlignment="1">
      <alignment horizontal="right" vertical="center"/>
    </xf>
    <xf numFmtId="176" fontId="0" fillId="6" borderId="76" xfId="0" applyNumberFormat="1" applyFill="1" applyBorder="1"/>
    <xf numFmtId="176" fontId="0" fillId="6" borderId="77" xfId="0" applyNumberFormat="1" applyFill="1" applyBorder="1"/>
    <xf numFmtId="172" fontId="6" fillId="2" borderId="41" xfId="0" applyNumberFormat="1" applyFont="1" applyFill="1" applyBorder="1" applyAlignment="1" applyProtection="1">
      <alignment horizontal="right"/>
      <protection locked="0"/>
    </xf>
    <xf numFmtId="261" fontId="0" fillId="0" borderId="76" xfId="0" applyBorder="1"/>
    <xf numFmtId="174" fontId="40" fillId="6" borderId="138" xfId="0" applyNumberFormat="1" applyFont="1" applyFill="1" applyBorder="1" applyAlignment="1">
      <alignment horizontal="right" wrapText="1"/>
    </xf>
    <xf numFmtId="174" fontId="40" fillId="0" borderId="139" xfId="0" applyNumberFormat="1" applyFont="1" applyFill="1" applyBorder="1" applyAlignment="1">
      <alignment horizontal="center"/>
    </xf>
    <xf numFmtId="174" fontId="40" fillId="0" borderId="138" xfId="0" applyNumberFormat="1" applyFont="1" applyFill="1" applyBorder="1" applyAlignment="1">
      <alignment horizontal="right"/>
    </xf>
    <xf numFmtId="174" fontId="40" fillId="0" borderId="138" xfId="0" applyNumberFormat="1" applyFont="1" applyFill="1" applyBorder="1" applyAlignment="1">
      <alignment horizontal="right" wrapText="1"/>
    </xf>
    <xf numFmtId="171" fontId="38" fillId="11" borderId="132" xfId="9" applyBorder="1" applyAlignment="1" applyProtection="1">
      <alignment horizontal="left" wrapText="1"/>
    </xf>
    <xf numFmtId="15" fontId="1" fillId="0" borderId="132" xfId="0" applyNumberFormat="1" applyFont="1" applyFill="1" applyBorder="1" applyAlignment="1" applyProtection="1">
      <alignment horizontal="center"/>
      <protection locked="0"/>
    </xf>
    <xf numFmtId="261" fontId="17" fillId="2" borderId="132" xfId="0" applyFont="1" applyFill="1" applyBorder="1" applyAlignment="1" applyProtection="1">
      <alignment horizontal="center"/>
      <protection locked="0"/>
    </xf>
    <xf numFmtId="0" fontId="1" fillId="0" borderId="132" xfId="0" applyNumberFormat="1" applyFont="1" applyFill="1" applyBorder="1" applyAlignment="1" applyProtection="1">
      <alignment horizontal="center"/>
      <protection locked="0"/>
    </xf>
    <xf numFmtId="261" fontId="0" fillId="0" borderId="140" xfId="0" applyFont="1" applyBorder="1"/>
    <xf numFmtId="15" fontId="0" fillId="0" borderId="132" xfId="0" applyNumberFormat="1" applyFont="1" applyBorder="1" applyAlignment="1">
      <alignment horizontal="center"/>
    </xf>
    <xf numFmtId="171" fontId="0" fillId="0" borderId="132" xfId="0" applyNumberFormat="1" applyFont="1" applyBorder="1" applyAlignment="1">
      <alignment horizontal="center"/>
    </xf>
    <xf numFmtId="15" fontId="0" fillId="0" borderId="132" xfId="0" applyNumberFormat="1" applyFont="1" applyBorder="1" applyAlignment="1">
      <alignment horizontal="left"/>
    </xf>
    <xf numFmtId="261" fontId="0" fillId="0" borderId="132" xfId="0" applyFont="1" applyBorder="1" applyAlignment="1">
      <alignment horizontal="center"/>
    </xf>
    <xf numFmtId="261" fontId="0" fillId="0" borderId="132" xfId="0" applyFont="1" applyBorder="1"/>
    <xf numFmtId="261" fontId="5" fillId="2" borderId="132" xfId="0" applyFont="1" applyFill="1" applyBorder="1" applyAlignment="1" applyProtection="1">
      <alignment horizontal="center"/>
      <protection locked="0"/>
    </xf>
    <xf numFmtId="261" fontId="5" fillId="2" borderId="132" xfId="0" applyFont="1" applyFill="1" applyBorder="1" applyAlignment="1" applyProtection="1">
      <alignment horizontal="left"/>
      <protection locked="0"/>
    </xf>
    <xf numFmtId="174" fontId="18" fillId="0" borderId="141" xfId="0" applyNumberFormat="1" applyFont="1" applyBorder="1" applyAlignment="1">
      <alignment horizontal="left"/>
    </xf>
    <xf numFmtId="181" fontId="1" fillId="18" borderId="132" xfId="0" applyNumberFormat="1" applyFont="1" applyFill="1" applyBorder="1" applyAlignment="1" applyProtection="1">
      <alignment horizontal="right"/>
      <protection locked="0"/>
    </xf>
    <xf numFmtId="181" fontId="18" fillId="18" borderId="132" xfId="0" applyNumberFormat="1" applyFont="1" applyFill="1" applyBorder="1" applyAlignment="1" applyProtection="1">
      <alignment horizontal="right"/>
      <protection locked="0"/>
    </xf>
    <xf numFmtId="14" fontId="1" fillId="15" borderId="132" xfId="0" applyNumberFormat="1" applyFont="1" applyFill="1" applyBorder="1" applyAlignment="1" applyProtection="1">
      <alignment horizontal="right"/>
      <protection locked="0"/>
    </xf>
    <xf numFmtId="1" fontId="18" fillId="15" borderId="132" xfId="0" applyNumberFormat="1" applyFont="1" applyFill="1" applyBorder="1" applyAlignment="1" applyProtection="1">
      <alignment horizontal="right"/>
      <protection locked="0"/>
    </xf>
    <xf numFmtId="1" fontId="1" fillId="15" borderId="132" xfId="0" applyNumberFormat="1" applyFont="1" applyFill="1" applyBorder="1" applyAlignment="1" applyProtection="1">
      <alignment horizontal="right"/>
      <protection locked="0"/>
    </xf>
    <xf numFmtId="181" fontId="18" fillId="25" borderId="44" xfId="0" applyNumberFormat="1" applyFont="1" applyFill="1" applyBorder="1" applyAlignment="1" applyProtection="1">
      <alignment horizontal="right"/>
      <protection locked="0"/>
    </xf>
    <xf numFmtId="181" fontId="18" fillId="0" borderId="132" xfId="0" applyNumberFormat="1" applyFont="1" applyFill="1" applyBorder="1" applyAlignment="1" applyProtection="1">
      <alignment horizontal="right"/>
      <protection locked="0"/>
    </xf>
    <xf numFmtId="181" fontId="18" fillId="18" borderId="44" xfId="0" applyNumberFormat="1" applyFont="1" applyFill="1" applyBorder="1" applyAlignment="1" applyProtection="1">
      <alignment horizontal="right"/>
      <protection locked="0"/>
    </xf>
    <xf numFmtId="181" fontId="1" fillId="0" borderId="132" xfId="0" applyNumberFormat="1" applyFont="1" applyFill="1" applyBorder="1" applyAlignment="1" applyProtection="1">
      <alignment horizontal="right"/>
      <protection locked="0"/>
    </xf>
    <xf numFmtId="261" fontId="18" fillId="18" borderId="132" xfId="0" applyFont="1" applyFill="1" applyBorder="1" applyAlignment="1" applyProtection="1">
      <alignment horizontal="right"/>
      <protection locked="0"/>
    </xf>
    <xf numFmtId="261" fontId="18" fillId="23" borderId="132" xfId="0" applyFont="1" applyFill="1" applyBorder="1" applyAlignment="1" applyProtection="1">
      <alignment horizontal="right"/>
      <protection locked="0"/>
    </xf>
    <xf numFmtId="261" fontId="18" fillId="0" borderId="132" xfId="0" applyFont="1" applyFill="1" applyBorder="1" applyAlignment="1" applyProtection="1">
      <alignment horizontal="right"/>
      <protection locked="0"/>
    </xf>
    <xf numFmtId="286" fontId="18" fillId="6" borderId="132" xfId="0" applyNumberFormat="1" applyFont="1" applyFill="1" applyBorder="1" applyAlignment="1" applyProtection="1">
      <alignment horizontal="right"/>
      <protection locked="0"/>
    </xf>
    <xf numFmtId="286" fontId="18" fillId="23" borderId="132" xfId="0" applyNumberFormat="1" applyFont="1" applyFill="1" applyBorder="1" applyAlignment="1" applyProtection="1">
      <alignment horizontal="right"/>
      <protection locked="0"/>
    </xf>
    <xf numFmtId="261" fontId="18" fillId="6" borderId="132" xfId="0" applyFont="1" applyFill="1" applyBorder="1" applyAlignment="1" applyProtection="1">
      <alignment horizontal="right"/>
      <protection locked="0"/>
    </xf>
    <xf numFmtId="171" fontId="18" fillId="18" borderId="132" xfId="0" applyNumberFormat="1" applyFont="1" applyFill="1" applyBorder="1" applyAlignment="1" applyProtection="1">
      <alignment horizontal="right"/>
      <protection locked="0"/>
    </xf>
    <xf numFmtId="261" fontId="0" fillId="18" borderId="132" xfId="0" applyFont="1" applyFill="1" applyBorder="1" applyAlignment="1" applyProtection="1">
      <alignment horizontal="right"/>
      <protection locked="0"/>
    </xf>
    <xf numFmtId="171" fontId="18" fillId="0" borderId="132" xfId="0" applyNumberFormat="1" applyFont="1" applyFill="1" applyBorder="1" applyAlignment="1" applyProtection="1">
      <alignment horizontal="right"/>
      <protection locked="0"/>
    </xf>
    <xf numFmtId="261" fontId="0" fillId="0" borderId="132" xfId="0" applyFont="1" applyFill="1" applyBorder="1" applyAlignment="1" applyProtection="1">
      <alignment horizontal="right"/>
      <protection locked="0"/>
    </xf>
    <xf numFmtId="172" fontId="18" fillId="18" borderId="132" xfId="0" applyNumberFormat="1" applyFont="1" applyFill="1" applyBorder="1" applyAlignment="1" applyProtection="1">
      <alignment horizontal="right"/>
      <protection locked="0"/>
    </xf>
    <xf numFmtId="172" fontId="18" fillId="0" borderId="132" xfId="0" applyNumberFormat="1" applyFont="1" applyFill="1" applyBorder="1" applyAlignment="1" applyProtection="1">
      <alignment horizontal="right"/>
      <protection locked="0"/>
    </xf>
    <xf numFmtId="172" fontId="18" fillId="23" borderId="132" xfId="0" applyNumberFormat="1" applyFont="1" applyFill="1" applyBorder="1" applyAlignment="1" applyProtection="1">
      <alignment horizontal="right"/>
      <protection locked="0"/>
    </xf>
    <xf numFmtId="172" fontId="0" fillId="18" borderId="132" xfId="0" applyNumberFormat="1" applyFont="1" applyFill="1" applyBorder="1" applyAlignment="1" applyProtection="1">
      <alignment horizontal="right"/>
      <protection locked="0"/>
    </xf>
    <xf numFmtId="172" fontId="0" fillId="18" borderId="44" xfId="0" applyNumberFormat="1" applyFont="1" applyFill="1" applyBorder="1" applyAlignment="1" applyProtection="1">
      <alignment horizontal="right"/>
      <protection locked="0"/>
    </xf>
    <xf numFmtId="172" fontId="0" fillId="0" borderId="132" xfId="0" applyNumberFormat="1" applyFont="1" applyFill="1" applyBorder="1" applyAlignment="1" applyProtection="1">
      <alignment horizontal="right"/>
      <protection locked="0"/>
    </xf>
    <xf numFmtId="172" fontId="0" fillId="0" borderId="44" xfId="0" applyNumberFormat="1" applyFont="1" applyFill="1" applyBorder="1" applyAlignment="1" applyProtection="1">
      <alignment horizontal="right"/>
      <protection locked="0"/>
    </xf>
    <xf numFmtId="261" fontId="18" fillId="17" borderId="132" xfId="0" applyFont="1" applyFill="1" applyBorder="1" applyAlignment="1" applyProtection="1">
      <alignment horizontal="right"/>
      <protection locked="0"/>
    </xf>
    <xf numFmtId="261" fontId="18" fillId="25" borderId="132" xfId="0" applyFont="1" applyFill="1" applyBorder="1" applyAlignment="1" applyProtection="1">
      <alignment horizontal="right"/>
      <protection locked="0"/>
    </xf>
    <xf numFmtId="172" fontId="18" fillId="17" borderId="132" xfId="0" applyNumberFormat="1" applyFont="1" applyFill="1" applyBorder="1" applyAlignment="1" applyProtection="1">
      <alignment horizontal="right"/>
      <protection locked="0"/>
    </xf>
    <xf numFmtId="172" fontId="18" fillId="17" borderId="44" xfId="0" applyNumberFormat="1" applyFont="1" applyFill="1" applyBorder="1" applyAlignment="1" applyProtection="1">
      <alignment horizontal="right"/>
      <protection locked="0"/>
    </xf>
    <xf numFmtId="261" fontId="18" fillId="17" borderId="44" xfId="0" applyFont="1" applyFill="1" applyBorder="1" applyAlignment="1" applyProtection="1">
      <alignment horizontal="right"/>
      <protection locked="0"/>
    </xf>
    <xf numFmtId="172" fontId="0" fillId="17" borderId="142" xfId="0" applyNumberFormat="1" applyFont="1" applyFill="1" applyBorder="1" applyAlignment="1" applyProtection="1">
      <alignment horizontal="right"/>
      <protection locked="0"/>
    </xf>
    <xf numFmtId="172" fontId="0" fillId="17" borderId="132" xfId="0" applyNumberFormat="1" applyFont="1" applyFill="1" applyBorder="1" applyAlignment="1" applyProtection="1">
      <alignment horizontal="right"/>
      <protection locked="0"/>
    </xf>
    <xf numFmtId="172" fontId="0" fillId="0" borderId="142" xfId="0" applyNumberFormat="1" applyFont="1" applyFill="1" applyBorder="1" applyAlignment="1" applyProtection="1">
      <alignment horizontal="right"/>
      <protection locked="0"/>
    </xf>
    <xf numFmtId="172" fontId="0" fillId="17" borderId="44" xfId="0" applyNumberFormat="1" applyFont="1" applyFill="1" applyBorder="1" applyAlignment="1" applyProtection="1">
      <alignment horizontal="right"/>
      <protection locked="0"/>
    </xf>
    <xf numFmtId="227" fontId="0" fillId="17" borderId="132" xfId="0" applyNumberFormat="1" applyFont="1" applyFill="1" applyBorder="1" applyAlignment="1" applyProtection="1">
      <alignment horizontal="right"/>
      <protection locked="0"/>
    </xf>
    <xf numFmtId="227" fontId="0" fillId="17" borderId="44" xfId="0" applyNumberFormat="1" applyFont="1" applyFill="1" applyBorder="1" applyAlignment="1" applyProtection="1">
      <alignment horizontal="right"/>
      <protection locked="0"/>
    </xf>
    <xf numFmtId="227" fontId="0" fillId="0" borderId="132" xfId="0" applyNumberFormat="1" applyFont="1" applyFill="1" applyBorder="1" applyAlignment="1" applyProtection="1">
      <alignment horizontal="right"/>
      <protection locked="0"/>
    </xf>
    <xf numFmtId="227" fontId="0" fillId="0" borderId="44" xfId="0" applyNumberFormat="1" applyFont="1" applyFill="1" applyBorder="1" applyAlignment="1" applyProtection="1">
      <alignment horizontal="right"/>
      <protection locked="0"/>
    </xf>
  </cellXfs>
  <cellStyles count="44">
    <cellStyle name="c_IntentBlank" xfId="42"/>
    <cellStyle name="c_O #" xfId="40"/>
    <cellStyle name="c_O %" xfId="21"/>
    <cellStyle name="c_O Date" xfId="23"/>
    <cellStyle name="c_O x" xfId="22"/>
    <cellStyle name="c_R #" xfId="20"/>
    <cellStyle name="c_TableSubHeader" xfId="39"/>
    <cellStyle name="c_Uniq" xfId="41"/>
    <cellStyle name="Currency" xfId="17" builtinId="4"/>
    <cellStyle name="EY # Input" xfId="9"/>
    <cellStyle name="EY # Output" xfId="8"/>
    <cellStyle name="EY % Input" xfId="7"/>
    <cellStyle name="EY % Output" xfId="6"/>
    <cellStyle name="EY Date Input" xfId="5"/>
    <cellStyle name="EY Date Output" xfId="4"/>
    <cellStyle name="EY Macro" xfId="3"/>
    <cellStyle name="EY Reference" xfId="2"/>
    <cellStyle name="EY Reference 2" xfId="13"/>
    <cellStyle name="EY Unique Cell" xfId="1"/>
    <cellStyle name="EY x" xfId="14"/>
    <cellStyle name="EY%input" xfId="12"/>
    <cellStyle name="EY0dp" xfId="34"/>
    <cellStyle name="EY1dp_EBITDA Bridge Template2" xfId="35"/>
    <cellStyle name="EY2dp" xfId="16"/>
    <cellStyle name="EYColumnHeading" xfId="15"/>
    <cellStyle name="EYColumnHeading 2" xfId="31"/>
    <cellStyle name="EYColumnHeading_EBITDA Bridge Template2" xfId="32"/>
    <cellStyle name="EYCurrency" xfId="29"/>
    <cellStyle name="EYNotesHeading" xfId="30"/>
    <cellStyle name="EYnumber_EBITDA Bridge Template2" xfId="28"/>
    <cellStyle name="EYSectionHeading" xfId="24"/>
    <cellStyle name="EYSheetHeading" xfId="26"/>
    <cellStyle name="EYsmallheading" xfId="25"/>
    <cellStyle name="EYSource" xfId="36"/>
    <cellStyle name="EYtext" xfId="11"/>
    <cellStyle name="EYtext_EBITDA Bridge Template2" xfId="27"/>
    <cellStyle name="EYtextbold" xfId="33"/>
    <cellStyle name="Hyperlink" xfId="19" builtinId="8"/>
    <cellStyle name="Normal" xfId="0" builtinId="0" customBuiltin="1"/>
    <cellStyle name="Normal 2" xfId="18"/>
    <cellStyle name="Percent" xfId="10" builtinId="5"/>
    <cellStyle name="Title" xfId="37" builtinId="15" hidden="1"/>
    <cellStyle name="Total" xfId="38" builtinId="25" hidden="1"/>
    <cellStyle name="Vista currency" xfId="43"/>
  </cellStyles>
  <dxfs count="515">
    <dxf>
      <font>
        <b/>
        <i val="0"/>
        <color rgb="FFFFFF99"/>
      </font>
      <fill>
        <patternFill>
          <bgColor rgb="FFFF0000"/>
        </patternFill>
      </fill>
    </dxf>
    <dxf>
      <font>
        <b/>
        <i val="0"/>
        <color rgb="FFFF0000"/>
      </font>
      <border>
        <left/>
        <right/>
        <top/>
        <bottom/>
      </border>
    </dxf>
    <dxf>
      <font>
        <b/>
        <i val="0"/>
        <color rgb="FFFF0000"/>
      </font>
    </dxf>
    <dxf>
      <font>
        <b/>
        <i val="0"/>
        <color rgb="FF008000"/>
      </font>
    </dxf>
    <dxf>
      <font>
        <b/>
        <i val="0"/>
        <color rgb="FF7030A0"/>
      </font>
    </dxf>
    <dxf>
      <font>
        <color theme="0"/>
      </font>
      <fill>
        <patternFill patternType="none">
          <bgColor auto="1"/>
        </patternFill>
      </fill>
    </dxf>
    <dxf>
      <font>
        <condense val="0"/>
        <extend val="0"/>
        <color rgb="FF9C0006"/>
      </font>
      <fill>
        <patternFill>
          <bgColor rgb="FFFFC7CE"/>
        </patternFill>
      </fill>
    </dxf>
    <dxf>
      <font>
        <b/>
        <i val="0"/>
        <color rgb="FFFFFF99"/>
      </font>
      <fill>
        <patternFill>
          <bgColor rgb="FFFF0000"/>
        </patternFill>
      </fill>
    </dxf>
    <dxf>
      <font>
        <b/>
        <i val="0"/>
        <color rgb="FFFF0000"/>
      </font>
      <border>
        <left/>
        <right/>
        <top/>
        <bottom/>
      </border>
    </dxf>
    <dxf>
      <font>
        <b/>
        <i val="0"/>
        <color rgb="FFFFFF99"/>
      </font>
      <fill>
        <patternFill>
          <bgColor rgb="FFFF0000"/>
        </patternFill>
      </fill>
    </dxf>
    <dxf>
      <font>
        <color theme="0" tint="-0.499984740745262"/>
      </font>
      <fill>
        <patternFill>
          <bgColor theme="0" tint="-4.9989318521683403E-2"/>
        </patternFill>
      </fill>
    </dxf>
    <dxf>
      <font>
        <color theme="0" tint="-0.14996795556505021"/>
      </font>
      <fill>
        <patternFill>
          <bgColor theme="0" tint="-4.9989318521683403E-2"/>
        </patternFill>
      </fill>
    </dxf>
    <dxf>
      <font>
        <color rgb="FFFFFF00"/>
      </font>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ont>
        <color rgb="FFFFFF00"/>
      </font>
      <fill>
        <patternFill>
          <bgColor rgb="FFFF0000"/>
        </patternFill>
      </fill>
    </dxf>
    <dxf>
      <font>
        <b/>
        <i val="0"/>
        <color rgb="FFFF0000"/>
      </font>
    </dxf>
    <dxf>
      <font>
        <b/>
        <i val="0"/>
        <color rgb="FFFF0000"/>
      </font>
    </dxf>
    <dxf>
      <fill>
        <patternFill>
          <bgColor rgb="FFFF0000"/>
        </patternFill>
      </fill>
    </dxf>
    <dxf>
      <font>
        <b/>
        <i val="0"/>
        <color rgb="FFFF0000"/>
      </font>
    </dxf>
    <dxf>
      <font>
        <color rgb="FFFFFF00"/>
      </font>
      <fill>
        <patternFill>
          <bgColor rgb="FFFF0000"/>
        </patternFill>
      </fill>
    </dxf>
    <dxf>
      <font>
        <b/>
        <i val="0"/>
        <color rgb="FFFF0000"/>
      </font>
    </dxf>
    <dxf>
      <font>
        <b/>
        <i val="0"/>
        <color rgb="FFFF0000"/>
      </font>
    </dxf>
    <dxf>
      <font>
        <b/>
        <i val="0"/>
        <color rgb="FFFF0000"/>
      </font>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ont>
        <color rgb="FFFFFF00"/>
      </font>
      <fill>
        <patternFill>
          <bgColor rgb="FFFF0000"/>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color rgb="FFFFFF00"/>
      </font>
      <fill>
        <patternFill>
          <bgColor rgb="FFFF0000"/>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ont>
        <b/>
        <i val="0"/>
        <color rgb="FFFF0000"/>
      </font>
      <fill>
        <patternFill>
          <bgColor theme="9" tint="0.59996337778862885"/>
        </patternFill>
      </fill>
    </dxf>
    <dxf>
      <fill>
        <patternFill>
          <bgColor rgb="FFFF0000"/>
        </patternFill>
      </fill>
    </dxf>
    <dxf>
      <font>
        <color rgb="FFFFFF00"/>
      </font>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theme="0" tint="-0.14996795556505021"/>
        </patternFill>
      </fill>
    </dxf>
    <dxf>
      <fill>
        <patternFill>
          <bgColor rgb="FFFF0000"/>
        </patternFill>
      </fill>
    </dxf>
    <dxf>
      <font>
        <color rgb="FFFFFF00"/>
      </font>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0000"/>
      </font>
    </dxf>
    <dxf>
      <font>
        <b/>
        <i val="0"/>
        <color theme="0"/>
      </font>
      <fill>
        <patternFill>
          <bgColor rgb="FFFF0000"/>
        </patternFill>
      </fill>
    </dxf>
    <dxf>
      <font>
        <b/>
        <i val="0"/>
        <color theme="0"/>
      </font>
      <fill>
        <patternFill>
          <bgColor rgb="FFFF0000"/>
        </patternFill>
      </fill>
    </dxf>
    <dxf>
      <font>
        <color theme="0" tint="-0.24994659260841701"/>
      </font>
      <fill>
        <patternFill>
          <bgColor theme="0" tint="-4.9989318521683403E-2"/>
        </patternFill>
      </fill>
    </dxf>
    <dxf>
      <fill>
        <patternFill>
          <bgColor rgb="FFFF0000"/>
        </patternFill>
      </fill>
    </dxf>
    <dxf>
      <font>
        <color rgb="FFFFFF00"/>
      </font>
      <fill>
        <patternFill>
          <bgColor rgb="FFFF0000"/>
        </patternFill>
      </fill>
    </dxf>
    <dxf>
      <font>
        <b/>
        <i val="0"/>
        <color rgb="FFFFFF00"/>
      </font>
      <fill>
        <patternFill>
          <bgColor rgb="FFFF0000"/>
        </patternFill>
      </fill>
    </dxf>
    <dxf>
      <font>
        <color rgb="FFFFFF00"/>
      </font>
      <fill>
        <patternFill>
          <bgColor rgb="FFFF0000"/>
        </patternFill>
      </fill>
    </dxf>
    <dxf>
      <font>
        <color theme="0" tint="-0.24994659260841701"/>
      </font>
      <fill>
        <patternFill>
          <bgColor theme="0" tint="-4.9989318521683403E-2"/>
        </patternFill>
      </fill>
    </dxf>
    <dxf>
      <font>
        <b/>
        <i val="0"/>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color rgb="FFFFFF00"/>
      </font>
      <fill>
        <patternFill>
          <bgColor rgb="FFFF0000"/>
        </patternFill>
      </fill>
    </dxf>
    <dxf>
      <font>
        <b/>
        <i val="0"/>
        <color rgb="FFFFFF00"/>
      </font>
      <fill>
        <patternFill>
          <bgColor rgb="FFFF0000"/>
        </patternFill>
      </fill>
    </dxf>
    <dxf>
      <border>
        <left/>
        <right/>
        <top/>
        <bottom/>
      </border>
    </dxf>
    <dxf>
      <font>
        <b/>
        <i val="0"/>
        <color rgb="FFFF0000"/>
      </font>
    </dxf>
    <dxf>
      <border>
        <left/>
        <right/>
        <top/>
        <bottom/>
      </border>
    </dxf>
    <dxf>
      <font>
        <b/>
        <i val="0"/>
        <color rgb="FFFF0000"/>
      </font>
    </dxf>
    <dxf>
      <fill>
        <patternFill>
          <bgColor rgb="FFFF0000"/>
        </patternFill>
      </fill>
    </dxf>
    <dxf>
      <border>
        <left/>
        <right/>
        <top/>
        <bottom/>
      </border>
    </dxf>
    <dxf>
      <fill>
        <patternFill>
          <bgColor rgb="FFFF0000"/>
        </patternFill>
      </fill>
    </dxf>
    <dxf>
      <fill>
        <patternFill>
          <bgColor rgb="FFFF0000"/>
        </patternFill>
      </fill>
    </dxf>
    <dxf>
      <font>
        <color rgb="FFFFFF00"/>
      </font>
      <fill>
        <patternFill>
          <bgColor rgb="FFFF0000"/>
        </patternFill>
      </fill>
    </dxf>
    <dxf>
      <font>
        <b/>
        <i val="0"/>
        <color rgb="FFFF0000"/>
      </font>
    </dxf>
    <dxf>
      <font>
        <b/>
        <i val="0"/>
        <color rgb="FFFF0000"/>
      </font>
    </dxf>
    <dxf>
      <border>
        <left/>
        <right/>
        <top/>
        <bottom/>
      </border>
    </dxf>
    <dxf>
      <border>
        <left/>
        <right/>
        <top/>
        <bottom/>
      </border>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border>
        <left/>
        <right/>
        <top/>
        <bottom/>
        <vertical/>
        <horizontal/>
      </border>
    </dxf>
    <dxf>
      <fill>
        <patternFill>
          <bgColor rgb="FFFF0000"/>
        </patternFill>
      </fill>
    </dxf>
    <dxf>
      <fill>
        <patternFill>
          <bgColor rgb="FFFF0000"/>
        </patternFill>
      </fill>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ill>
        <patternFill>
          <bgColor rgb="FFFF0000"/>
        </patternFill>
      </fill>
    </dxf>
    <dxf>
      <border>
        <left/>
        <right/>
        <top/>
        <bottom/>
      </border>
    </dxf>
    <dxf>
      <border>
        <left/>
        <right/>
        <top/>
        <bottom/>
      </border>
    </dxf>
    <dxf>
      <border>
        <left/>
        <right/>
        <top/>
        <bottom/>
      </border>
    </dxf>
    <dxf>
      <border>
        <left/>
        <right/>
        <top/>
        <bottom/>
      </border>
    </dxf>
    <dxf>
      <border>
        <left/>
        <right/>
        <top/>
        <bottom/>
      </border>
    </dxf>
    <dxf>
      <border>
        <left/>
        <right/>
        <top/>
        <bottom/>
      </border>
    </dxf>
    <dxf>
      <fill>
        <patternFill>
          <bgColor rgb="FFFF0000"/>
        </patternFill>
      </fill>
    </dxf>
    <dxf>
      <fill>
        <patternFill>
          <bgColor rgb="FFFF0000"/>
        </patternFill>
      </fill>
    </dxf>
    <dxf>
      <border>
        <left/>
        <right/>
        <top/>
        <bottom/>
      </border>
    </dxf>
    <dxf>
      <font>
        <color rgb="FFFFFF00"/>
      </font>
      <fill>
        <patternFill>
          <bgColor rgb="FFFF0000"/>
        </patternFill>
      </fill>
    </dxf>
    <dxf>
      <font>
        <b/>
        <i val="0"/>
        <color rgb="FFFFFF99"/>
      </font>
      <fill>
        <patternFill>
          <bgColor rgb="FFFF0000"/>
        </patternFill>
      </fill>
    </dxf>
    <dxf>
      <font>
        <color auto="1"/>
      </font>
      <fill>
        <patternFill patternType="none">
          <bgColor auto="1"/>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border>
        <left/>
        <right/>
        <top/>
        <bottom/>
        <vertical/>
        <horizontal/>
      </border>
    </dxf>
    <dxf>
      <font>
        <color theme="0"/>
      </font>
      <border>
        <left/>
        <right/>
        <top/>
        <bottom/>
        <vertical/>
        <horizontal/>
      </border>
    </dxf>
    <dxf>
      <font>
        <b/>
        <i val="0"/>
        <color rgb="FFFFFF00"/>
      </font>
      <fill>
        <patternFill>
          <bgColor rgb="FFFF0000"/>
        </patternFill>
      </fill>
    </dxf>
    <dxf>
      <fill>
        <patternFill>
          <bgColor rgb="FFFF0000"/>
        </patternFill>
      </fill>
    </dxf>
    <dxf>
      <fill>
        <patternFill>
          <bgColor rgb="FFFF0000"/>
        </patternFill>
      </fill>
    </dxf>
    <dxf>
      <font>
        <color theme="0"/>
      </font>
      <border>
        <left/>
        <right/>
        <top/>
        <bottom/>
        <vertical/>
        <horizontal/>
      </border>
    </dxf>
    <dxf>
      <font>
        <color rgb="FFFFFF00"/>
      </font>
      <fill>
        <patternFill>
          <bgColor rgb="FFFF0000"/>
        </patternFill>
      </fill>
    </dxf>
    <dxf>
      <font>
        <color theme="0"/>
      </font>
      <border>
        <left/>
        <right/>
        <top/>
        <bottom/>
        <vertical/>
        <horizontal/>
      </border>
    </dxf>
    <dxf>
      <font>
        <b/>
        <i val="0"/>
      </font>
      <fill>
        <patternFill>
          <bgColor rgb="FF99FF33"/>
        </patternFill>
      </fill>
    </dxf>
    <dxf>
      <font>
        <b val="0"/>
        <i val="0"/>
        <color theme="1"/>
      </font>
      <fill>
        <patternFill>
          <bgColor theme="0"/>
        </patternFill>
      </fill>
    </dxf>
    <dxf>
      <font>
        <color auto="1"/>
      </font>
      <fill>
        <patternFill patternType="none">
          <bgColor auto="1"/>
        </patternFill>
      </fill>
    </dxf>
    <dxf>
      <font>
        <b val="0"/>
        <i val="0"/>
        <color theme="1"/>
      </font>
      <fill>
        <patternFill>
          <bgColor theme="0"/>
        </patternFill>
      </fill>
    </dxf>
    <dxf>
      <font>
        <color auto="1"/>
      </font>
      <fill>
        <patternFill patternType="none">
          <bgColor auto="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b/>
        <i val="0"/>
        <color rgb="FFFFFF00"/>
      </font>
      <fill>
        <patternFill>
          <bgColor rgb="FFFF0000"/>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val="0"/>
        <i val="0"/>
      </font>
      <fill>
        <patternFill>
          <bgColor theme="9" tint="0.39994506668294322"/>
        </patternFill>
      </fill>
    </dxf>
    <dxf>
      <font>
        <b/>
        <i val="0"/>
        <color theme="0"/>
      </font>
      <fill>
        <patternFill>
          <bgColor rgb="FFFF0000"/>
        </patternFill>
      </fill>
    </dxf>
    <dxf>
      <font>
        <color theme="0"/>
      </font>
    </dxf>
    <dxf>
      <font>
        <color theme="0" tint="-0.499984740745262"/>
      </font>
      <fill>
        <patternFill>
          <bgColor theme="0" tint="-4.9989318521683403E-2"/>
        </patternFill>
      </fill>
    </dxf>
    <dxf>
      <font>
        <color rgb="FFFFFF00"/>
      </font>
      <fill>
        <patternFill>
          <bgColor rgb="FFFF0000"/>
        </patternFill>
      </fill>
    </dxf>
    <dxf>
      <fill>
        <patternFill>
          <bgColor rgb="FF99FF99"/>
        </patternFill>
      </fill>
    </dxf>
    <dxf>
      <fill>
        <patternFill>
          <bgColor rgb="FFFFC000"/>
        </patternFill>
      </fill>
    </dxf>
    <dxf>
      <font>
        <b/>
        <i val="0"/>
        <color rgb="FFFFFF00"/>
      </font>
      <fill>
        <patternFill>
          <bgColor rgb="FFFF0000"/>
        </patternFill>
      </fill>
    </dxf>
    <dxf>
      <font>
        <b val="0"/>
        <i val="0"/>
        <color theme="1"/>
      </font>
      <fill>
        <patternFill>
          <bgColor theme="0"/>
        </patternFill>
      </fill>
    </dxf>
    <dxf>
      <font>
        <color auto="1"/>
      </font>
      <fill>
        <patternFill patternType="none">
          <bgColor auto="1"/>
        </patternFill>
      </fill>
    </dxf>
    <dxf>
      <font>
        <b val="0"/>
        <i val="0"/>
        <color theme="1"/>
      </font>
      <fill>
        <patternFill>
          <bgColor theme="0"/>
        </patternFill>
      </fill>
    </dxf>
    <dxf>
      <font>
        <color auto="1"/>
      </font>
      <fill>
        <patternFill patternType="none">
          <bgColor auto="1"/>
        </patternFill>
      </fill>
    </dxf>
    <dxf>
      <font>
        <b val="0"/>
        <i val="0"/>
        <color theme="1"/>
      </font>
      <fill>
        <patternFill>
          <bgColor theme="0"/>
        </patternFill>
      </fill>
    </dxf>
    <dxf>
      <font>
        <color auto="1"/>
      </font>
      <fill>
        <patternFill patternType="none">
          <bgColor auto="1"/>
        </patternFill>
      </fill>
    </dxf>
    <dxf>
      <font>
        <b/>
        <i val="0"/>
        <color rgb="FFFFFF99"/>
      </font>
      <fill>
        <patternFill>
          <bgColor rgb="FFFF0000"/>
        </patternFill>
      </fill>
    </dxf>
    <dxf>
      <fill>
        <patternFill>
          <bgColor rgb="FFFF0000"/>
        </patternFill>
      </fill>
    </dxf>
    <dxf>
      <fill>
        <patternFill>
          <bgColor rgb="FFCCFF99"/>
        </patternFill>
      </fill>
    </dxf>
    <dxf>
      <font>
        <b val="0"/>
        <i val="0"/>
        <color theme="1"/>
      </font>
      <fill>
        <patternFill>
          <bgColor theme="0"/>
        </patternFill>
      </fill>
    </dxf>
    <dxf>
      <font>
        <color auto="1"/>
      </font>
      <fill>
        <patternFill patternType="none">
          <bgColor auto="1"/>
        </patternFill>
      </fill>
    </dxf>
    <dxf>
      <font>
        <color theme="0" tint="-0.499984740745262"/>
      </font>
      <fill>
        <patternFill>
          <bgColor theme="0" tint="-4.9989318521683403E-2"/>
        </patternFill>
      </fill>
    </dxf>
    <dxf>
      <font>
        <color theme="0" tint="-0.14996795556505021"/>
      </font>
      <fill>
        <patternFill>
          <bgColor theme="0" tint="-4.9989318521683403E-2"/>
        </patternFill>
      </fill>
    </dxf>
    <dxf>
      <font>
        <color theme="0"/>
      </font>
    </dxf>
    <dxf>
      <font>
        <color theme="0"/>
      </font>
    </dxf>
    <dxf>
      <font>
        <color theme="0"/>
      </font>
    </dxf>
    <dxf>
      <font>
        <color theme="0" tint="-0.499984740745262"/>
      </font>
      <fill>
        <patternFill>
          <bgColor theme="0" tint="-4.9989318521683403E-2"/>
        </patternFill>
      </fill>
    </dxf>
    <dxf>
      <font>
        <b/>
        <i/>
        <color rgb="FFFFFF00"/>
      </font>
      <fill>
        <patternFill>
          <bgColor rgb="FFFF0000"/>
        </patternFill>
      </fill>
    </dxf>
    <dxf>
      <font>
        <b/>
        <i val="0"/>
        <color rgb="FFFFFF00"/>
      </font>
      <fill>
        <patternFill>
          <bgColor rgb="FFFF0000"/>
        </patternFill>
      </fill>
    </dxf>
    <dxf>
      <font>
        <color theme="0" tint="-0.499984740745262"/>
      </font>
      <fill>
        <patternFill>
          <bgColor theme="0" tint="-4.9989318521683403E-2"/>
        </patternFill>
      </fill>
    </dxf>
    <dxf>
      <font>
        <b/>
        <i val="0"/>
        <color rgb="FFFFFF00"/>
      </font>
      <fill>
        <patternFill>
          <bgColor rgb="FFFF0000"/>
        </patternFill>
      </fill>
    </dxf>
    <dxf>
      <font>
        <b/>
        <i val="0"/>
        <color rgb="FFFFFF00"/>
      </font>
      <fill>
        <patternFill>
          <bgColor rgb="FFFF0000"/>
        </patternFill>
      </fill>
    </dxf>
    <dxf>
      <fill>
        <patternFill>
          <bgColor rgb="FFFF0000"/>
        </patternFill>
      </fill>
    </dxf>
    <dxf>
      <font>
        <color rgb="FFFFFF00"/>
      </font>
      <fill>
        <patternFill>
          <bgColor rgb="FFFF0000"/>
        </patternFill>
      </fill>
    </dxf>
    <dxf>
      <font>
        <color rgb="FFFFFF00"/>
      </font>
      <fill>
        <patternFill>
          <bgColor rgb="FFFF0000"/>
        </patternFill>
      </fill>
    </dxf>
    <dxf>
      <font>
        <b/>
        <i val="0"/>
        <color rgb="FFFF0000"/>
      </font>
    </dxf>
    <dxf>
      <font>
        <b/>
        <i val="0"/>
        <color rgb="FFFF0000"/>
      </font>
    </dxf>
    <dxf>
      <font>
        <b val="0"/>
        <i val="0"/>
        <color auto="1"/>
      </font>
      <fill>
        <patternFill patternType="none">
          <bgColor auto="1"/>
        </patternFill>
      </fill>
    </dxf>
    <dxf>
      <fill>
        <patternFill>
          <bgColor rgb="FFFF0000"/>
        </patternFill>
      </fill>
    </dxf>
    <dxf>
      <fill>
        <patternFill>
          <bgColor rgb="FFFF0000"/>
        </patternFill>
      </fill>
    </dxf>
    <dxf>
      <font>
        <b val="0"/>
        <i val="0"/>
        <color auto="1"/>
      </font>
      <fill>
        <patternFill patternType="none">
          <bgColor auto="1"/>
        </patternFill>
      </fill>
    </dxf>
    <dxf>
      <font>
        <color rgb="FFFFFF00"/>
      </font>
      <fill>
        <patternFill>
          <bgColor rgb="FFFF0000"/>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ill>
        <patternFill>
          <bgColor rgb="FFFF0000"/>
        </patternFill>
      </fill>
    </dxf>
    <dxf>
      <fill>
        <patternFill>
          <bgColor rgb="FFFF0000"/>
        </patternFill>
      </fill>
    </dxf>
    <dxf>
      <fill>
        <patternFill>
          <bgColor rgb="FFFF0000"/>
        </patternFill>
      </fill>
    </dxf>
    <dxf>
      <font>
        <b/>
        <i val="0"/>
        <color rgb="FF008000"/>
      </font>
    </dxf>
    <dxf>
      <fill>
        <patternFill>
          <bgColor rgb="FFFF0000"/>
        </patternFill>
      </fill>
    </dxf>
    <dxf>
      <fill>
        <patternFill>
          <bgColor rgb="FFFF0000"/>
        </patternFill>
      </fill>
    </dxf>
    <dxf>
      <font>
        <color theme="0" tint="-0.34998626667073579"/>
      </font>
      <fill>
        <patternFill>
          <bgColor theme="0" tint="-4.9989318521683403E-2"/>
        </patternFill>
      </fill>
    </dxf>
    <dxf>
      <fill>
        <patternFill>
          <bgColor rgb="FFFF0000"/>
        </patternFill>
      </fill>
    </dxf>
    <dxf>
      <font>
        <color theme="0" tint="-0.34998626667073579"/>
      </font>
      <fill>
        <patternFill>
          <bgColor theme="0" tint="-4.9989318521683403E-2"/>
        </patternFill>
      </fill>
    </dxf>
    <dxf>
      <fill>
        <patternFill>
          <bgColor rgb="FFFF0000"/>
        </patternFill>
      </fill>
    </dxf>
    <dxf>
      <font>
        <color theme="0" tint="-0.34998626667073579"/>
      </font>
      <fill>
        <patternFill>
          <bgColor theme="0" tint="-4.9989318521683403E-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C000"/>
        </patternFill>
      </fill>
    </dxf>
    <dxf>
      <fill>
        <patternFill>
          <bgColor rgb="FFCCFF66"/>
        </patternFill>
      </fill>
    </dxf>
    <dxf>
      <font>
        <color theme="0"/>
      </font>
      <fill>
        <patternFill patternType="none">
          <bgColor auto="1"/>
        </patternFill>
      </fill>
    </dxf>
    <dxf>
      <fill>
        <patternFill>
          <bgColor rgb="FFFFC000"/>
        </patternFill>
      </fill>
    </dxf>
    <dxf>
      <fill>
        <patternFill>
          <bgColor rgb="FFCCFF66"/>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ont>
        <color theme="0"/>
      </font>
      <fill>
        <patternFill patternType="none">
          <bgColor auto="1"/>
        </patternFill>
      </fill>
    </dxf>
    <dxf>
      <fill>
        <patternFill>
          <bgColor rgb="FFFFC000"/>
        </patternFill>
      </fill>
    </dxf>
    <dxf>
      <fill>
        <patternFill>
          <bgColor rgb="FFCCFF66"/>
        </patternFill>
      </fill>
    </dxf>
    <dxf>
      <font>
        <color theme="0"/>
      </font>
      <fill>
        <patternFill patternType="none">
          <bgColor auto="1"/>
        </patternFill>
      </fill>
    </dxf>
    <dxf>
      <fill>
        <patternFill>
          <bgColor rgb="FFFF0000"/>
        </patternFill>
      </fill>
    </dxf>
    <dxf>
      <fill>
        <patternFill>
          <bgColor rgb="FFFF0000"/>
        </patternFill>
      </fill>
    </dxf>
    <dxf>
      <font>
        <b val="0"/>
        <i val="0"/>
        <color auto="1"/>
      </font>
      <fill>
        <patternFill patternType="none">
          <bgColor auto="1"/>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ont>
        <b val="0"/>
        <i val="0"/>
        <color indexed="13"/>
      </font>
      <fill>
        <patternFill>
          <bgColor indexed="10"/>
        </patternFill>
      </fill>
    </dxf>
    <dxf>
      <font>
        <color theme="0"/>
      </font>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b val="0"/>
        <i val="0"/>
        <color auto="1"/>
      </font>
      <fill>
        <patternFill patternType="none">
          <bgColor auto="1"/>
        </patternFill>
      </fill>
    </dxf>
    <dxf>
      <font>
        <color theme="0" tint="-0.499984740745262"/>
      </font>
      <fill>
        <patternFill>
          <bgColor theme="0" tint="-4.9989318521683403E-2"/>
        </patternFill>
      </fill>
    </dxf>
    <dxf>
      <font>
        <b/>
        <i val="0"/>
        <color rgb="FFFF0000"/>
      </font>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color theme="0" tint="-0.499984740745262"/>
      </font>
      <fill>
        <patternFill>
          <bgColor theme="0" tint="-4.9989318521683403E-2"/>
        </patternFill>
      </fill>
    </dxf>
    <dxf>
      <font>
        <b/>
        <i val="0"/>
        <color rgb="FFFF0000"/>
      </font>
    </dxf>
    <dxf>
      <font>
        <color theme="0" tint="-0.499984740745262"/>
      </font>
      <fill>
        <patternFill>
          <bgColor theme="0" tint="-4.9989318521683403E-2"/>
        </patternFill>
      </fill>
    </dxf>
    <dxf>
      <font>
        <color theme="0" tint="-0.499984740745262"/>
      </font>
      <fill>
        <patternFill>
          <bgColor theme="0" tint="-4.9989318521683403E-2"/>
        </patternFill>
      </fill>
    </dxf>
    <dxf>
      <font>
        <b/>
        <i val="0"/>
        <color rgb="FFFF0000"/>
      </font>
    </dxf>
    <dxf>
      <font>
        <color theme="0" tint="-0.499984740745262"/>
      </font>
      <fill>
        <patternFill>
          <bgColor theme="0" tint="-4.9989318521683403E-2"/>
        </patternFill>
      </fill>
    </dxf>
    <dxf>
      <font>
        <color theme="0" tint="-0.499984740745262"/>
      </font>
      <fill>
        <patternFill>
          <bgColor theme="0" tint="-4.9989318521683403E-2"/>
        </patternFill>
      </fill>
    </dxf>
    <dxf>
      <fill>
        <patternFill>
          <bgColor rgb="FFFF0000"/>
        </patternFill>
      </fill>
    </dxf>
    <dxf>
      <font>
        <b/>
        <i val="0"/>
        <color rgb="FFFF0000"/>
      </font>
    </dxf>
    <dxf>
      <font>
        <color theme="0" tint="-0.499984740745262"/>
      </font>
      <fill>
        <patternFill>
          <bgColor theme="0" tint="-4.9989318521683403E-2"/>
        </patternFill>
      </fill>
    </dxf>
    <dxf>
      <font>
        <b val="0"/>
        <i val="0"/>
        <color auto="1"/>
      </font>
      <fill>
        <patternFill patternType="none">
          <bgColor auto="1"/>
        </patternFill>
      </fill>
    </dxf>
    <dxf>
      <font>
        <b val="0"/>
        <i val="0"/>
        <color auto="1"/>
      </font>
      <fill>
        <patternFill patternType="none">
          <bgColor auto="1"/>
        </patternFill>
      </fill>
    </dxf>
    <dxf>
      <font>
        <b/>
        <i val="0"/>
        <color rgb="FFFF0000"/>
      </font>
    </dxf>
    <dxf>
      <font>
        <color theme="0" tint="-0.499984740745262"/>
      </font>
      <fill>
        <patternFill>
          <bgColor theme="0" tint="-4.9989318521683403E-2"/>
        </patternFill>
      </fill>
    </dxf>
    <dxf>
      <fill>
        <patternFill>
          <bgColor rgb="FF92D050"/>
        </patternFill>
      </fill>
    </dxf>
    <dxf>
      <fill>
        <patternFill>
          <bgColor rgb="FF92D050"/>
        </patternFill>
      </fill>
    </dxf>
    <dxf>
      <fill>
        <patternFill>
          <bgColor rgb="FF92D050"/>
        </patternFill>
      </fill>
    </dxf>
    <dxf>
      <fill>
        <patternFill>
          <bgColor rgb="FF15FF15"/>
        </patternFill>
      </fill>
    </dxf>
    <dxf>
      <font>
        <b/>
        <i val="0"/>
        <color rgb="FFFFFF00"/>
      </font>
      <fill>
        <patternFill>
          <bgColor rgb="FFFF0000"/>
        </patternFill>
      </fill>
    </dxf>
    <dxf>
      <fill>
        <patternFill>
          <bgColor theme="9" tint="0.39994506668294322"/>
        </patternFill>
      </fill>
    </dxf>
    <dxf>
      <fill>
        <patternFill>
          <bgColor rgb="FFFFC000"/>
        </patternFill>
      </fill>
    </dxf>
    <dxf>
      <fill>
        <patternFill>
          <bgColor rgb="FFFFC000"/>
        </patternFill>
      </fill>
    </dxf>
    <dxf>
      <font>
        <color theme="0"/>
      </font>
      <fill>
        <patternFill>
          <bgColor theme="5" tint="-0.24994659260841701"/>
        </patternFill>
      </fill>
    </dxf>
    <dxf>
      <font>
        <b/>
        <i val="0"/>
        <color rgb="FF0000FF"/>
      </font>
    </dxf>
    <dxf>
      <font>
        <b/>
        <i val="0"/>
        <color rgb="FF0000FF"/>
      </font>
    </dxf>
    <dxf>
      <font>
        <b/>
        <i val="0"/>
        <color rgb="FF0000FF"/>
      </font>
    </dxf>
    <dxf>
      <fill>
        <patternFill>
          <bgColor rgb="FF92D050"/>
        </patternFill>
      </fill>
    </dxf>
    <dxf>
      <font>
        <color auto="1"/>
      </font>
      <fill>
        <patternFill patternType="none">
          <bgColor auto="1"/>
        </patternFill>
      </fill>
    </dxf>
    <dxf>
      <font>
        <color theme="0" tint="-0.24994659260841701"/>
      </font>
      <fill>
        <patternFill>
          <bgColor theme="0" tint="-4.9989318521683403E-2"/>
        </patternFill>
      </fill>
    </dxf>
    <dxf>
      <font>
        <color theme="0" tint="-0.24994659260841701"/>
      </font>
      <fill>
        <patternFill>
          <bgColor theme="0" tint="-4.9989318521683403E-2"/>
        </patternFill>
      </fill>
    </dxf>
    <dxf>
      <font>
        <b/>
        <i val="0"/>
        <color rgb="FFFFFF00"/>
      </font>
      <fill>
        <patternFill>
          <bgColor rgb="FFFF0000"/>
        </patternFill>
      </fill>
    </dxf>
    <dxf>
      <font>
        <color theme="0" tint="-0.499984740745262"/>
      </font>
      <fill>
        <patternFill>
          <bgColor theme="0" tint="-4.9989318521683403E-2"/>
        </patternFill>
      </fill>
    </dxf>
    <dxf>
      <font>
        <b/>
        <i val="0"/>
        <color rgb="FFFFFF00"/>
      </font>
      <fill>
        <patternFill>
          <bgColor rgb="FFFF0000"/>
        </patternFill>
      </fill>
    </dxf>
    <dxf>
      <font>
        <b/>
        <i val="0"/>
        <color rgb="FFFF0000"/>
      </font>
    </dxf>
    <dxf>
      <font>
        <b/>
        <i val="0"/>
        <color rgb="FF008000"/>
      </font>
    </dxf>
    <dxf>
      <font>
        <b/>
        <i val="0"/>
        <color rgb="FFFF0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7030A0"/>
      </font>
    </dxf>
    <dxf>
      <font>
        <b/>
        <i val="0"/>
        <color rgb="FFFF0000"/>
      </font>
    </dxf>
    <dxf>
      <font>
        <b/>
        <i val="0"/>
        <color rgb="FF008000"/>
      </font>
    </dxf>
    <dxf>
      <font>
        <b/>
        <i val="0"/>
        <color rgb="FF7030A0"/>
      </font>
    </dxf>
    <dxf>
      <font>
        <b/>
        <i val="0"/>
        <color rgb="FFFF0000"/>
      </font>
    </dxf>
    <dxf>
      <font>
        <b/>
        <i val="0"/>
        <color rgb="FF008000"/>
      </font>
    </dxf>
    <dxf>
      <font>
        <b/>
        <i val="0"/>
        <color rgb="FF7030A0"/>
      </font>
    </dxf>
    <dxf>
      <font>
        <b/>
        <i val="0"/>
        <color rgb="FFFF0000"/>
      </font>
    </dxf>
    <dxf>
      <font>
        <b/>
        <i val="0"/>
        <color rgb="FF008000"/>
      </font>
    </dxf>
    <dxf>
      <font>
        <b/>
        <i val="0"/>
        <color rgb="FF7030A0"/>
      </font>
    </dxf>
    <dxf>
      <font>
        <b/>
        <i val="0"/>
        <color rgb="FFFF0000"/>
      </font>
    </dxf>
    <dxf>
      <font>
        <b/>
        <i val="0"/>
        <color rgb="FF008000"/>
      </font>
    </dxf>
    <dxf>
      <font>
        <b/>
        <i val="0"/>
        <color rgb="FFFF0000"/>
      </font>
    </dxf>
    <dxf>
      <font>
        <b/>
        <i val="0"/>
        <color rgb="FF008000"/>
      </font>
    </dxf>
    <dxf>
      <font>
        <b/>
        <i val="0"/>
        <color rgb="FFFF0000"/>
      </font>
    </dxf>
    <dxf>
      <font>
        <b/>
        <i val="0"/>
        <color rgb="FF008000"/>
      </font>
    </dxf>
    <dxf>
      <font>
        <b/>
        <i val="0"/>
        <color rgb="FF7030A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E41F1F"/>
      <rgbColor rgb="0000FF00"/>
      <rgbColor rgb="000000FF"/>
      <rgbColor rgb="00FFFF00"/>
      <rgbColor rgb="00FF00FF"/>
      <rgbColor rgb="0000FFFF"/>
      <rgbColor rgb="00800000"/>
      <rgbColor rgb="00008000"/>
      <rgbColor rgb="00002261"/>
      <rgbColor rgb="00808000"/>
      <rgbColor rgb="00800080"/>
      <rgbColor rgb="00008080"/>
      <rgbColor rgb="00C0C0C0"/>
      <rgbColor rgb="00808080"/>
      <rgbColor rgb="00FFE600"/>
      <rgbColor rgb="007F7E82"/>
      <rgbColor rgb="00CCCBCD"/>
      <rgbColor rgb="002C973E"/>
      <rgbColor rgb="0095CB9E"/>
      <rgbColor rgb="0091278F"/>
      <rgbColor rgb="00C893C7"/>
      <rgbColor rgb="00FFE87F"/>
      <rgbColor rgb="0000A3BB"/>
      <rgbColor rgb="007FD1DD"/>
      <rgbColor rgb="00F04C3E"/>
      <rgbColor rgb="00F7A59E"/>
      <rgbColor rgb="00F2F2F2"/>
      <rgbColor rgb="00CCCBCD"/>
      <rgbColor rgb="005F5F5F"/>
      <rgbColor rgb="0000000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5FF15"/>
      <color rgb="FFF2F2F2"/>
      <color rgb="FFD9D9D9"/>
      <color rgb="FFDDDDDD"/>
      <color rgb="FF7E7F82"/>
      <color rgb="FFFFE600"/>
      <color rgb="FFFF00FF"/>
      <color rgb="FF0000FF"/>
      <color rgb="FF008000"/>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customXml" Target="../customXml/item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62"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719126175710032E-2"/>
          <c:y val="0.10756972111553822"/>
          <c:w val="0.72341199154185021"/>
          <c:h val="0.74369189907058153"/>
        </c:manualLayout>
      </c:layout>
      <c:lineChart>
        <c:grouping val="standard"/>
        <c:varyColors val="0"/>
        <c:ser>
          <c:idx val="17"/>
          <c:order val="0"/>
          <c:tx>
            <c:strRef>
              <c:f>'Hist Debt Mkt Equity'!$C$91:$D$91</c:f>
              <c:strCache>
                <c:ptCount val="2"/>
                <c:pt idx="0">
                  <c:v> </c:v>
                </c:pt>
              </c:strCache>
            </c:strRef>
          </c:tx>
          <c:spPr>
            <a:ln>
              <a:solidFill>
                <a:srgbClr val="0000FF"/>
              </a:solidFill>
            </a:ln>
          </c:spPr>
          <c:marker>
            <c:symbol val="circle"/>
            <c:size val="6"/>
            <c:spPr>
              <a:solidFill>
                <a:srgbClr val="FF0000"/>
              </a:solidFill>
            </c:spPr>
          </c:marker>
          <c:cat>
            <c:strRef>
              <c:f>'Hist Debt Mkt Equity'!$E$90:$Q$90</c:f>
              <c:strCache>
                <c:ptCount val="13"/>
                <c:pt idx="0">
                  <c:v>LQ-12 </c:v>
                </c:pt>
                <c:pt idx="1">
                  <c:v>LQ-11 </c:v>
                </c:pt>
                <c:pt idx="2">
                  <c:v>LQ-10 </c:v>
                </c:pt>
                <c:pt idx="3">
                  <c:v>LQ-9 </c:v>
                </c:pt>
                <c:pt idx="4">
                  <c:v>LQ-8 </c:v>
                </c:pt>
                <c:pt idx="5">
                  <c:v>LQ-7 </c:v>
                </c:pt>
                <c:pt idx="6">
                  <c:v>LQ-6 </c:v>
                </c:pt>
                <c:pt idx="7">
                  <c:v>LQ-5 </c:v>
                </c:pt>
                <c:pt idx="8">
                  <c:v>LQ-4 </c:v>
                </c:pt>
                <c:pt idx="9">
                  <c:v>LQ-3 </c:v>
                </c:pt>
                <c:pt idx="10">
                  <c:v>LQ-2 </c:v>
                </c:pt>
                <c:pt idx="11">
                  <c:v>LQ-1 </c:v>
                </c:pt>
                <c:pt idx="12">
                  <c:v>Last Qtr </c:v>
                </c:pt>
              </c:strCache>
            </c:strRef>
          </c:cat>
          <c:val>
            <c:numRef>
              <c:f>'Hist Debt Mkt Equity'!$E$91:$Q$91</c:f>
              <c:numCache>
                <c:formatCode>0.0%_);\(0.0%\);@_)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
          <c:order val="1"/>
          <c:tx>
            <c:strRef>
              <c:f>'Hist Debt Mkt Equity'!$C$92:$D$92</c:f>
              <c:strCache>
                <c:ptCount val="2"/>
                <c:pt idx="0">
                  <c:v>Mean of Guideline Cos </c:v>
                </c:pt>
              </c:strCache>
            </c:strRef>
          </c:tx>
          <c:spPr>
            <a:ln>
              <a:solidFill>
                <a:srgbClr val="FFC000"/>
              </a:solidFill>
            </a:ln>
          </c:spPr>
          <c:marker>
            <c:symbol val="none"/>
          </c:marker>
          <c:cat>
            <c:strRef>
              <c:f>'Hist Debt Mkt Equity'!$E$90:$Q$90</c:f>
              <c:strCache>
                <c:ptCount val="13"/>
                <c:pt idx="0">
                  <c:v>LQ-12 </c:v>
                </c:pt>
                <c:pt idx="1">
                  <c:v>LQ-11 </c:v>
                </c:pt>
                <c:pt idx="2">
                  <c:v>LQ-10 </c:v>
                </c:pt>
                <c:pt idx="3">
                  <c:v>LQ-9 </c:v>
                </c:pt>
                <c:pt idx="4">
                  <c:v>LQ-8 </c:v>
                </c:pt>
                <c:pt idx="5">
                  <c:v>LQ-7 </c:v>
                </c:pt>
                <c:pt idx="6">
                  <c:v>LQ-6 </c:v>
                </c:pt>
                <c:pt idx="7">
                  <c:v>LQ-5 </c:v>
                </c:pt>
                <c:pt idx="8">
                  <c:v>LQ-4 </c:v>
                </c:pt>
                <c:pt idx="9">
                  <c:v>LQ-3 </c:v>
                </c:pt>
                <c:pt idx="10">
                  <c:v>LQ-2 </c:v>
                </c:pt>
                <c:pt idx="11">
                  <c:v>LQ-1 </c:v>
                </c:pt>
                <c:pt idx="12">
                  <c:v>Last Qtr </c:v>
                </c:pt>
              </c:strCache>
            </c:strRef>
          </c:cat>
          <c:val>
            <c:numRef>
              <c:f>'Hist Debt Mkt Equity'!$E$92:$Q$92</c:f>
              <c:numCache>
                <c:formatCode>0.0%_);\(0.0%\);@_)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0"/>
          <c:order val="2"/>
          <c:tx>
            <c:strRef>
              <c:f>'Hist Debt Mkt Equity'!$C$93:$D$93</c:f>
              <c:strCache>
                <c:ptCount val="2"/>
                <c:pt idx="0">
                  <c:v>Median of Guideline Cos </c:v>
                </c:pt>
              </c:strCache>
            </c:strRef>
          </c:tx>
          <c:spPr>
            <a:ln>
              <a:solidFill>
                <a:schemeClr val="tx1">
                  <a:lumMod val="50000"/>
                  <a:lumOff val="50000"/>
                </a:schemeClr>
              </a:solidFill>
            </a:ln>
          </c:spPr>
          <c:marker>
            <c:symbol val="none"/>
          </c:marker>
          <c:cat>
            <c:strRef>
              <c:f>'Hist Debt Mkt Equity'!$E$90:$Q$90</c:f>
              <c:strCache>
                <c:ptCount val="13"/>
                <c:pt idx="0">
                  <c:v>LQ-12 </c:v>
                </c:pt>
                <c:pt idx="1">
                  <c:v>LQ-11 </c:v>
                </c:pt>
                <c:pt idx="2">
                  <c:v>LQ-10 </c:v>
                </c:pt>
                <c:pt idx="3">
                  <c:v>LQ-9 </c:v>
                </c:pt>
                <c:pt idx="4">
                  <c:v>LQ-8 </c:v>
                </c:pt>
                <c:pt idx="5">
                  <c:v>LQ-7 </c:v>
                </c:pt>
                <c:pt idx="6">
                  <c:v>LQ-6 </c:v>
                </c:pt>
                <c:pt idx="7">
                  <c:v>LQ-5 </c:v>
                </c:pt>
                <c:pt idx="8">
                  <c:v>LQ-4 </c:v>
                </c:pt>
                <c:pt idx="9">
                  <c:v>LQ-3 </c:v>
                </c:pt>
                <c:pt idx="10">
                  <c:v>LQ-2 </c:v>
                </c:pt>
                <c:pt idx="11">
                  <c:v>LQ-1 </c:v>
                </c:pt>
                <c:pt idx="12">
                  <c:v>Last Qtr </c:v>
                </c:pt>
              </c:strCache>
            </c:strRef>
          </c:cat>
          <c:val>
            <c:numRef>
              <c:f>'Hist Debt Mkt Equity'!$E$93:$Q$93</c:f>
              <c:numCache>
                <c:formatCode>0.0%_);\(0.0%\);@_)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2"/>
          <c:order val="3"/>
          <c:tx>
            <c:strRef>
              <c:f>'Hist Debt Mkt Equity'!$C$94:$D$94</c:f>
              <c:strCache>
                <c:ptCount val="2"/>
                <c:pt idx="0">
                  <c:v>Select one to compare with </c:v>
                </c:pt>
              </c:strCache>
            </c:strRef>
          </c:tx>
          <c:cat>
            <c:strRef>
              <c:f>'Hist Debt Mkt Equity'!$E$90:$Q$90</c:f>
              <c:strCache>
                <c:ptCount val="13"/>
                <c:pt idx="0">
                  <c:v>LQ-12 </c:v>
                </c:pt>
                <c:pt idx="1">
                  <c:v>LQ-11 </c:v>
                </c:pt>
                <c:pt idx="2">
                  <c:v>LQ-10 </c:v>
                </c:pt>
                <c:pt idx="3">
                  <c:v>LQ-9 </c:v>
                </c:pt>
                <c:pt idx="4">
                  <c:v>LQ-8 </c:v>
                </c:pt>
                <c:pt idx="5">
                  <c:v>LQ-7 </c:v>
                </c:pt>
                <c:pt idx="6">
                  <c:v>LQ-6 </c:v>
                </c:pt>
                <c:pt idx="7">
                  <c:v>LQ-5 </c:v>
                </c:pt>
                <c:pt idx="8">
                  <c:v>LQ-4 </c:v>
                </c:pt>
                <c:pt idx="9">
                  <c:v>LQ-3 </c:v>
                </c:pt>
                <c:pt idx="10">
                  <c:v>LQ-2 </c:v>
                </c:pt>
                <c:pt idx="11">
                  <c:v>LQ-1 </c:v>
                </c:pt>
                <c:pt idx="12">
                  <c:v>Last Qtr </c:v>
                </c:pt>
              </c:strCache>
            </c:strRef>
          </c:cat>
          <c:val>
            <c:numRef>
              <c:f>'Hist Debt Mkt Equity'!$E$94:$Q$94</c:f>
              <c:numCache>
                <c:formatCode>0.0%_);\(0.0%\);@_)</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ser>
        <c:dLbls>
          <c:showLegendKey val="0"/>
          <c:showVal val="0"/>
          <c:showCatName val="0"/>
          <c:showSerName val="0"/>
          <c:showPercent val="0"/>
          <c:showBubbleSize val="0"/>
        </c:dLbls>
        <c:marker val="1"/>
        <c:smooth val="0"/>
        <c:axId val="-1760519416"/>
        <c:axId val="-1753522168"/>
      </c:lineChart>
      <c:catAx>
        <c:axId val="-1760519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Narrow" panose="020B0606020202030204" pitchFamily="34" charset="0"/>
                <a:ea typeface="Arial"/>
                <a:cs typeface="Arial"/>
              </a:defRPr>
            </a:pPr>
            <a:endParaRPr lang="en-US"/>
          </a:p>
        </c:txPr>
        <c:crossAx val="-1753522168"/>
        <c:crosses val="autoZero"/>
        <c:auto val="1"/>
        <c:lblAlgn val="ctr"/>
        <c:lblOffset val="100"/>
        <c:tickLblSkip val="1"/>
        <c:tickMarkSkip val="1"/>
        <c:noMultiLvlLbl val="0"/>
      </c:catAx>
      <c:valAx>
        <c:axId val="-1753522168"/>
        <c:scaling>
          <c:orientation val="minMax"/>
        </c:scaling>
        <c:delete val="0"/>
        <c:axPos val="l"/>
        <c:majorGridlines>
          <c:spPr>
            <a:ln w="3175">
              <a:solidFill>
                <a:schemeClr val="bg1">
                  <a:lumMod val="95000"/>
                </a:schemeClr>
              </a:solidFill>
              <a:prstDash val="solid"/>
            </a:ln>
          </c:spPr>
        </c:majorGridlines>
        <c:numFmt formatCode="#,##0%_);\(#,##0%\);@_)"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Narrow" panose="020B0606020202030204" pitchFamily="34" charset="0"/>
                <a:ea typeface="Arial"/>
                <a:cs typeface="Arial"/>
              </a:defRPr>
            </a:pPr>
            <a:endParaRPr lang="en-US"/>
          </a:p>
        </c:txPr>
        <c:crossAx val="-1760519416"/>
        <c:crosses val="autoZero"/>
        <c:crossBetween val="between"/>
      </c:valAx>
      <c:spPr>
        <a:noFill/>
        <a:ln w="25400">
          <a:noFill/>
        </a:ln>
      </c:spPr>
    </c:plotArea>
    <c:legend>
      <c:legendPos val="r"/>
      <c:layout>
        <c:manualLayout>
          <c:xMode val="edge"/>
          <c:yMode val="edge"/>
          <c:x val="0.81498987305245263"/>
          <c:y val="9.4383022198574293E-2"/>
          <c:w val="0.16095726191904969"/>
          <c:h val="0.26855940267707068"/>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Narrow" panose="020B0606020202030204" pitchFamily="34" charset="0"/>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ValueBridge!$G$32</c:f>
              <c:strCache>
                <c:ptCount val="1"/>
                <c:pt idx="0">
                  <c:v>Start &amp; End</c:v>
                </c:pt>
              </c:strCache>
            </c:strRef>
          </c:tx>
          <c:spPr>
            <a:solidFill>
              <a:srgbClr val="FFC000"/>
            </a:solidFill>
            <a:ln>
              <a:solidFill>
                <a:srgbClr val="F2F2F2"/>
              </a:solidFill>
            </a:ln>
            <a:effectLst/>
          </c:spPr>
          <c:invertIfNegative val="0"/>
          <c:cat>
            <c:strRef>
              <c:f>ValueBridge!$D$33:$D$46</c:f>
              <c:strCache>
                <c:ptCount val="14"/>
                <c:pt idx="0">
                  <c:v>Discounted Cash Flow Method</c:v>
                </c:pt>
                <c:pt idx="1">
                  <c:v>Single-period cap</c:v>
                </c:pt>
                <c:pt idx="2">
                  <c:v>Guideline Public Company Method</c:v>
                </c:pt>
                <c:pt idx="3">
                  <c:v>Guideline Transactions Method</c:v>
                </c:pt>
                <c:pt idx="4">
                  <c:v>Cash &amp; short-term investments</c:v>
                </c:pt>
                <c:pt idx="5">
                  <c:v>Excess/(deficient) DFNWC</c:v>
                </c:pt>
                <c:pt idx="6">
                  <c:v>Non-operating assets/(liabilities)</c:v>
                </c:pt>
                <c:pt idx="7">
                  <c:v>Other</c:v>
                </c:pt>
                <c:pt idx="8">
                  <c:v>Indicated TIC</c:v>
                </c:pt>
                <c:pt idx="9">
                  <c:v>Less: Total debt &amp; capital leases</c:v>
                </c:pt>
                <c:pt idx="10">
                  <c:v>Concluded equity (controlling marketable)</c:v>
                </c:pt>
                <c:pt idx="11">
                  <c:v>DLOC, DLOM</c:v>
                </c:pt>
                <c:pt idx="12">
                  <c:v>Other</c:v>
                </c:pt>
                <c:pt idx="13">
                  <c:v>Recommended value</c:v>
                </c:pt>
              </c:strCache>
            </c:strRef>
          </c:cat>
          <c:val>
            <c:numRef>
              <c:f>ValueBridge!$G$33:$G$46</c:f>
              <c:numCache>
                <c:formatCode>#,##0_);\(#,##0\);@_)</c:formatCode>
                <c:ptCount val="14"/>
                <c:pt idx="0">
                  <c:v>0</c:v>
                </c:pt>
                <c:pt idx="8">
                  <c:v>0</c:v>
                </c:pt>
                <c:pt idx="10">
                  <c:v>0</c:v>
                </c:pt>
                <c:pt idx="13">
                  <c:v>0</c:v>
                </c:pt>
              </c:numCache>
            </c:numRef>
          </c:val>
        </c:ser>
        <c:dLbls>
          <c:showLegendKey val="0"/>
          <c:showVal val="0"/>
          <c:showCatName val="0"/>
          <c:showSerName val="0"/>
          <c:showPercent val="0"/>
          <c:showBubbleSize val="0"/>
        </c:dLbls>
        <c:gapWidth val="100"/>
        <c:overlap val="-27"/>
        <c:axId val="-1753516408"/>
        <c:axId val="-1753515832"/>
      </c:barChart>
      <c:lineChart>
        <c:grouping val="standard"/>
        <c:varyColors val="0"/>
        <c:ser>
          <c:idx val="1"/>
          <c:order val="1"/>
          <c:tx>
            <c:strRef>
              <c:f>ValueBridge!$H$32</c:f>
              <c:strCache>
                <c:ptCount val="1"/>
                <c:pt idx="0">
                  <c:v>Before</c:v>
                </c:pt>
              </c:strCache>
            </c:strRef>
          </c:tx>
          <c:spPr>
            <a:ln w="28575" cap="rnd">
              <a:noFill/>
              <a:round/>
            </a:ln>
            <a:effectLst/>
          </c:spPr>
          <c:marker>
            <c:symbol val="none"/>
          </c:marker>
          <c:errBars>
            <c:errDir val="y"/>
            <c:errBarType val="plus"/>
            <c:errValType val="fixedVal"/>
            <c:noEndCap val="1"/>
            <c:val val="1"/>
            <c:spPr>
              <a:noFill/>
              <a:ln w="9525" cap="flat" cmpd="sng" algn="ctr">
                <a:solidFill>
                  <a:schemeClr val="tx1">
                    <a:lumMod val="65000"/>
                    <a:lumOff val="35000"/>
                  </a:schemeClr>
                </a:solidFill>
                <a:round/>
              </a:ln>
              <a:effectLst/>
            </c:spPr>
          </c:errBars>
          <c:cat>
            <c:strRef>
              <c:f>ValueBridge!$D$33:$D$46</c:f>
              <c:strCache>
                <c:ptCount val="14"/>
                <c:pt idx="0">
                  <c:v>Discounted Cash Flow Method</c:v>
                </c:pt>
                <c:pt idx="1">
                  <c:v>Single-period cap</c:v>
                </c:pt>
                <c:pt idx="2">
                  <c:v>Guideline Public Company Method</c:v>
                </c:pt>
                <c:pt idx="3">
                  <c:v>Guideline Transactions Method</c:v>
                </c:pt>
                <c:pt idx="4">
                  <c:v>Cash &amp; short-term investments</c:v>
                </c:pt>
                <c:pt idx="5">
                  <c:v>Excess/(deficient) DFNWC</c:v>
                </c:pt>
                <c:pt idx="6">
                  <c:v>Non-operating assets/(liabilities)</c:v>
                </c:pt>
                <c:pt idx="7">
                  <c:v>Other</c:v>
                </c:pt>
                <c:pt idx="8">
                  <c:v>Indicated TIC</c:v>
                </c:pt>
                <c:pt idx="9">
                  <c:v>Less: Total debt &amp; capital leases</c:v>
                </c:pt>
                <c:pt idx="10">
                  <c:v>Concluded equity (controlling marketable)</c:v>
                </c:pt>
                <c:pt idx="11">
                  <c:v>DLOC, DLOM</c:v>
                </c:pt>
                <c:pt idx="12">
                  <c:v>Other</c:v>
                </c:pt>
                <c:pt idx="13">
                  <c:v>Recommended value</c:v>
                </c:pt>
              </c:strCache>
            </c:strRef>
          </c:cat>
          <c:val>
            <c:numRef>
              <c:f>ValueBridge!$H$33:$H$46</c:f>
              <c:numCache>
                <c:formatCode>#,##0_);\(#,##0\);\-_);@_)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ser>
        <c:ser>
          <c:idx val="2"/>
          <c:order val="2"/>
          <c:tx>
            <c:strRef>
              <c:f>ValueBridge!$I$32</c:f>
              <c:strCache>
                <c:ptCount val="1"/>
                <c:pt idx="0">
                  <c:v>After</c:v>
                </c:pt>
              </c:strCache>
            </c:strRef>
          </c:tx>
          <c:spPr>
            <a:ln w="28575" cap="rnd">
              <a:noFill/>
              <a:round/>
            </a:ln>
            <a:effectLst/>
          </c:spPr>
          <c:marker>
            <c:symbol val="none"/>
          </c:marker>
          <c:cat>
            <c:strRef>
              <c:f>ValueBridge!$D$33:$D$46</c:f>
              <c:strCache>
                <c:ptCount val="14"/>
                <c:pt idx="0">
                  <c:v>Discounted Cash Flow Method</c:v>
                </c:pt>
                <c:pt idx="1">
                  <c:v>Single-period cap</c:v>
                </c:pt>
                <c:pt idx="2">
                  <c:v>Guideline Public Company Method</c:v>
                </c:pt>
                <c:pt idx="3">
                  <c:v>Guideline Transactions Method</c:v>
                </c:pt>
                <c:pt idx="4">
                  <c:v>Cash &amp; short-term investments</c:v>
                </c:pt>
                <c:pt idx="5">
                  <c:v>Excess/(deficient) DFNWC</c:v>
                </c:pt>
                <c:pt idx="6">
                  <c:v>Non-operating assets/(liabilities)</c:v>
                </c:pt>
                <c:pt idx="7">
                  <c:v>Other</c:v>
                </c:pt>
                <c:pt idx="8">
                  <c:v>Indicated TIC</c:v>
                </c:pt>
                <c:pt idx="9">
                  <c:v>Less: Total debt &amp; capital leases</c:v>
                </c:pt>
                <c:pt idx="10">
                  <c:v>Concluded equity (controlling marketable)</c:v>
                </c:pt>
                <c:pt idx="11">
                  <c:v>DLOC, DLOM</c:v>
                </c:pt>
                <c:pt idx="12">
                  <c:v>Other</c:v>
                </c:pt>
                <c:pt idx="13">
                  <c:v>Recommended value</c:v>
                </c:pt>
              </c:strCache>
            </c:strRef>
          </c:cat>
          <c:val>
            <c:numRef>
              <c:f>ValueBridge!$I$33:$I$46</c:f>
              <c:numCache>
                <c:formatCode>#,##0_);\(#,##0\);\-_);@_)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ser>
        <c:dLbls>
          <c:showLegendKey val="0"/>
          <c:showVal val="0"/>
          <c:showCatName val="0"/>
          <c:showSerName val="0"/>
          <c:showPercent val="0"/>
          <c:showBubbleSize val="0"/>
        </c:dLbls>
        <c:upDownBars>
          <c:gapWidth val="100"/>
          <c:upBars>
            <c:spPr>
              <a:solidFill>
                <a:schemeClr val="bg1">
                  <a:lumMod val="75000"/>
                </a:schemeClr>
              </a:solidFill>
              <a:ln w="9525">
                <a:solidFill>
                  <a:schemeClr val="bg1">
                    <a:lumMod val="95000"/>
                  </a:schemeClr>
                </a:solidFill>
              </a:ln>
              <a:effectLst/>
            </c:spPr>
          </c:upBars>
          <c:downBars>
            <c:spPr>
              <a:solidFill>
                <a:schemeClr val="tx1">
                  <a:lumMod val="50000"/>
                  <a:lumOff val="50000"/>
                </a:schemeClr>
              </a:solidFill>
              <a:ln w="9525">
                <a:solidFill>
                  <a:srgbClr val="D9D9D9"/>
                </a:solidFill>
              </a:ln>
              <a:effectLst/>
            </c:spPr>
          </c:downBars>
        </c:upDownBars>
        <c:marker val="1"/>
        <c:smooth val="0"/>
        <c:axId val="-1753516408"/>
        <c:axId val="-1753515832"/>
      </c:lineChart>
      <c:scatterChart>
        <c:scatterStyle val="lineMarker"/>
        <c:varyColors val="0"/>
        <c:ser>
          <c:idx val="4"/>
          <c:order val="3"/>
          <c:tx>
            <c:strRef>
              <c:f>ValueBridge!$F$32</c:f>
              <c:strCache>
                <c:ptCount val="1"/>
                <c:pt idx="0">
                  <c:v>Cumulative for error bar connectors</c:v>
                </c:pt>
              </c:strCache>
            </c:strRef>
          </c:tx>
          <c:spPr>
            <a:ln w="25400" cap="rnd">
              <a:noFill/>
              <a:round/>
            </a:ln>
            <a:effectLst/>
          </c:spPr>
          <c:marker>
            <c:symbol val="none"/>
          </c:marker>
          <c:errBars>
            <c:errDir val="x"/>
            <c:errBarType val="plus"/>
            <c:errValType val="fixedVal"/>
            <c:noEndCap val="1"/>
            <c:val val="1"/>
            <c:spPr>
              <a:noFill/>
              <a:ln w="9525" cap="flat" cmpd="sng" algn="ctr">
                <a:solidFill>
                  <a:schemeClr val="bg1">
                    <a:lumMod val="95000"/>
                  </a:schemeClr>
                </a:solidFill>
                <a:round/>
              </a:ln>
              <a:effectLst/>
            </c:spPr>
          </c:errBars>
          <c:yVal>
            <c:numRef>
              <c:f>ValueBridge!$F$33:$F$46</c:f>
              <c:numCache>
                <c:formatCode>#,##0_);\(#,##0\);"-"_);@_)</c:formatCode>
                <c:ptCount val="14"/>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ser>
        <c:ser>
          <c:idx val="3"/>
          <c:order val="4"/>
          <c:tx>
            <c:strRef>
              <c:f>ValueBridge!$J$32</c:f>
              <c:strCache>
                <c:ptCount val="1"/>
                <c:pt idx="0">
                  <c:v>Data Label Y Position</c:v>
                </c:pt>
              </c:strCache>
            </c:strRef>
          </c:tx>
          <c:spPr>
            <a:ln w="25400" cap="rnd">
              <a:noFill/>
              <a:round/>
            </a:ln>
            <a:effectLst/>
          </c:spPr>
          <c:marker>
            <c:symbol val="none"/>
          </c:marker>
          <c:dLbls>
            <c:dLbl>
              <c:idx val="0"/>
              <c:tx>
                <c:rich>
                  <a:bodyPr/>
                  <a:lstStyle/>
                  <a:p>
                    <a:fld id="{D93A5E16-D870-4213-977D-BC34FB8A67E9}"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1"/>
              <c:tx>
                <c:rich>
                  <a:bodyPr/>
                  <a:lstStyle/>
                  <a:p>
                    <a:fld id="{40808EDA-925D-4668-9CCF-C2FBF2BD4FE5}"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2"/>
              <c:tx>
                <c:rich>
                  <a:bodyPr/>
                  <a:lstStyle/>
                  <a:p>
                    <a:fld id="{BD81A228-F6EF-48F0-B70A-12D596536D3D}"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3"/>
              <c:tx>
                <c:rich>
                  <a:bodyPr/>
                  <a:lstStyle/>
                  <a:p>
                    <a:fld id="{7DB75DE9-E38B-4499-9CA1-E3CBBE9E4A65}"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4"/>
              <c:tx>
                <c:rich>
                  <a:bodyPr/>
                  <a:lstStyle/>
                  <a:p>
                    <a:fld id="{D361D327-6A48-4B2A-8673-5D4826188CFD}"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5"/>
              <c:tx>
                <c:rich>
                  <a:bodyPr/>
                  <a:lstStyle/>
                  <a:p>
                    <a:fld id="{F5F82AAF-616D-449B-B19E-DA8A20B8FD0D}"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6"/>
              <c:tx>
                <c:rich>
                  <a:bodyPr/>
                  <a:lstStyle/>
                  <a:p>
                    <a:fld id="{9C5FBCDB-DD0E-46BE-A8FA-07BB0D035091}"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7"/>
              <c:tx>
                <c:rich>
                  <a:bodyPr/>
                  <a:lstStyle/>
                  <a:p>
                    <a:fld id="{C4715084-974E-4D77-8BE0-08DA552C392B}"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8"/>
              <c:tx>
                <c:rich>
                  <a:bodyPr/>
                  <a:lstStyle/>
                  <a:p>
                    <a:fld id="{AB22D9F0-693C-415E-AACE-1B5184FF8199}"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9"/>
              <c:layout>
                <c:manualLayout>
                  <c:x val="-3.409947063371567E-2"/>
                  <c:y val="-4.317834885645621E-2"/>
                </c:manualLayout>
              </c:layout>
              <c:tx>
                <c:rich>
                  <a:bodyPr/>
                  <a:lstStyle/>
                  <a:p>
                    <a:fld id="{C92FB0D8-587C-401B-A758-33BF49DB2169}" type="CELLRANGE">
                      <a:rPr lang="en-US"/>
                      <a:pPr/>
                      <a:t>[]</a:t>
                    </a:fld>
                    <a:endParaRPr/>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0"/>
              <c:tx>
                <c:rich>
                  <a:bodyPr/>
                  <a:lstStyle/>
                  <a:p>
                    <a:fld id="{170537B9-A0C7-4ADB-9A91-96700921AF06}"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11"/>
              <c:tx>
                <c:rich>
                  <a:bodyPr/>
                  <a:lstStyle/>
                  <a:p>
                    <a:fld id="{054D26B6-38CA-4AE0-965C-1BBA0CFF5146}"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12"/>
              <c:tx>
                <c:rich>
                  <a:bodyPr/>
                  <a:lstStyle/>
                  <a:p>
                    <a:fld id="{05B6BFE3-C42A-4C86-B59F-732323A80BC3}"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13"/>
              <c:tx>
                <c:rich>
                  <a:bodyPr/>
                  <a:lstStyle/>
                  <a:p>
                    <a:fld id="{5EDC1EE5-8A2D-4F72-8EFA-796BD6BDFFBB}" type="CELLRANGE">
                      <a:rPr lang="en-US"/>
                      <a:pPr/>
                      <a:t>[]</a:t>
                    </a:fld>
                    <a:endParaRPr/>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noFill/>
                      <a:round/>
                    </a:ln>
                    <a:effectLst/>
                  </c:spPr>
                </c15:leaderLines>
              </c:ext>
            </c:extLst>
          </c:dLbls>
          <c:yVal>
            <c:numRef>
              <c:f>ValueBridge!$J$33:$J$46</c:f>
              <c:numCache>
                <c:formatCode>#,##0_);\(#,##0\);\-_);@_)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5="http://schemas.microsoft.com/office/drawing/2012/chart" uri="{02D57815-91ED-43cb-92C2-25804820EDAC}">
              <c15:datalabelsRange>
                <c15:f>ValueBridge!$E$33:$E$46</c15:f>
                <c15:dlblRangeCache>
                  <c:ptCount val="14"/>
                  <c:pt idx="0">
                    <c:v>0 </c:v>
                  </c:pt>
                  <c:pt idx="1">
                    <c:v>0 </c:v>
                  </c:pt>
                  <c:pt idx="2">
                    <c:v>0 </c:v>
                  </c:pt>
                  <c:pt idx="3">
                    <c:v>0 </c:v>
                  </c:pt>
                  <c:pt idx="4">
                    <c:v>0 </c:v>
                  </c:pt>
                  <c:pt idx="5">
                    <c:v>0 </c:v>
                  </c:pt>
                  <c:pt idx="6">
                    <c:v>0 </c:v>
                  </c:pt>
                  <c:pt idx="7">
                    <c:v>0 </c:v>
                  </c:pt>
                  <c:pt idx="8">
                    <c:v>0 </c:v>
                  </c:pt>
                  <c:pt idx="9">
                    <c:v>0 </c:v>
                  </c:pt>
                  <c:pt idx="10">
                    <c:v>0 </c:v>
                  </c:pt>
                  <c:pt idx="11">
                    <c:v>0 </c:v>
                  </c:pt>
                  <c:pt idx="12">
                    <c:v>0 </c:v>
                  </c:pt>
                  <c:pt idx="13">
                    <c:v>0 </c:v>
                  </c:pt>
                </c15:dlblRangeCache>
              </c15:datalabelsRange>
            </c:ext>
          </c:extLst>
        </c:ser>
        <c:dLbls>
          <c:showLegendKey val="0"/>
          <c:showVal val="0"/>
          <c:showCatName val="0"/>
          <c:showSerName val="0"/>
          <c:showPercent val="0"/>
          <c:showBubbleSize val="0"/>
        </c:dLbls>
        <c:axId val="-1753516408"/>
        <c:axId val="-1753515832"/>
      </c:scatterChart>
      <c:catAx>
        <c:axId val="-17535164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53515832"/>
        <c:crosses val="autoZero"/>
        <c:auto val="1"/>
        <c:lblAlgn val="ctr"/>
        <c:lblOffset val="100"/>
        <c:noMultiLvlLbl val="0"/>
      </c:catAx>
      <c:valAx>
        <c:axId val="-1753515832"/>
        <c:scaling>
          <c:orientation val="minMax"/>
        </c:scaling>
        <c:delete val="0"/>
        <c:axPos val="l"/>
        <c:numFmt formatCode="#,##0_);\(#,##0\);&quot;-&quot;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51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BarChart!$C$11</c:f>
              <c:strCache>
                <c:ptCount val="1"/>
              </c:strCache>
            </c:strRef>
          </c:tx>
          <c:spPr>
            <a:solidFill>
              <a:srgbClr val="0000FF"/>
            </a:solidFill>
          </c:spPr>
          <c:invertIfNegative val="0"/>
          <c:cat>
            <c:strRef>
              <c:f>BarChart!$D$10:$I$10</c:f>
              <c:strCache>
                <c:ptCount val="6"/>
                <c:pt idx="0">
                  <c:v>FY17 </c:v>
                </c:pt>
                <c:pt idx="1">
                  <c:v>FY18 </c:v>
                </c:pt>
                <c:pt idx="2">
                  <c:v>FY19 </c:v>
                </c:pt>
                <c:pt idx="3">
                  <c:v>FY20 </c:v>
                </c:pt>
                <c:pt idx="4">
                  <c:v>FY21 </c:v>
                </c:pt>
                <c:pt idx="5">
                  <c:v>FY22 </c:v>
                </c:pt>
              </c:strCache>
            </c:strRef>
          </c:cat>
          <c:val>
            <c:numRef>
              <c:f>BarChart!$D$11:$I$11</c:f>
              <c:numCache>
                <c:formatCode>_(* #,##0_);_(* \(#,##0\);_(* "-"??_);_(@_)</c:formatCode>
                <c:ptCount val="6"/>
              </c:numCache>
            </c:numRef>
          </c:val>
        </c:ser>
        <c:ser>
          <c:idx val="1"/>
          <c:order val="1"/>
          <c:tx>
            <c:strRef>
              <c:f>BarChart!$C$12</c:f>
              <c:strCache>
                <c:ptCount val="1"/>
              </c:strCache>
            </c:strRef>
          </c:tx>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path path="circle">
                <a:fillToRect l="100000" t="100000"/>
              </a:path>
              <a:tileRect r="-100000" b="-100000"/>
            </a:gradFill>
          </c:spPr>
          <c:invertIfNegative val="0"/>
          <c:cat>
            <c:strRef>
              <c:f>BarChart!$D$10:$I$10</c:f>
              <c:strCache>
                <c:ptCount val="6"/>
                <c:pt idx="0">
                  <c:v>FY17 </c:v>
                </c:pt>
                <c:pt idx="1">
                  <c:v>FY18 </c:v>
                </c:pt>
                <c:pt idx="2">
                  <c:v>FY19 </c:v>
                </c:pt>
                <c:pt idx="3">
                  <c:v>FY20 </c:v>
                </c:pt>
                <c:pt idx="4">
                  <c:v>FY21 </c:v>
                </c:pt>
                <c:pt idx="5">
                  <c:v>FY22 </c:v>
                </c:pt>
              </c:strCache>
            </c:strRef>
          </c:cat>
          <c:val>
            <c:numRef>
              <c:f>BarChart!$D$12:$I$12</c:f>
              <c:numCache>
                <c:formatCode>_(* #,##0_);_(* \(#,##0\);_(* "-"??_);_(@_)</c:formatCode>
                <c:ptCount val="6"/>
              </c:numCache>
            </c:numRef>
          </c:val>
        </c:ser>
        <c:ser>
          <c:idx val="2"/>
          <c:order val="2"/>
          <c:tx>
            <c:strRef>
              <c:f>BarChart!$C$13</c:f>
              <c:strCache>
                <c:ptCount val="1"/>
              </c:strCache>
            </c:strRef>
          </c:tx>
          <c:spPr>
            <a:gradFill flip="none" rotWithShape="1">
              <a:gsLst>
                <a:gs pos="0">
                  <a:schemeClr val="bg1">
                    <a:lumMod val="50000"/>
                    <a:shade val="30000"/>
                    <a:satMod val="115000"/>
                  </a:schemeClr>
                </a:gs>
                <a:gs pos="50000">
                  <a:schemeClr val="bg1">
                    <a:lumMod val="50000"/>
                    <a:shade val="67500"/>
                    <a:satMod val="115000"/>
                  </a:schemeClr>
                </a:gs>
                <a:gs pos="100000">
                  <a:schemeClr val="bg1">
                    <a:lumMod val="50000"/>
                    <a:shade val="100000"/>
                    <a:satMod val="115000"/>
                  </a:schemeClr>
                </a:gs>
              </a:gsLst>
              <a:path path="circle">
                <a:fillToRect l="100000" t="100000"/>
              </a:path>
              <a:tileRect r="-100000" b="-100000"/>
            </a:gradFill>
          </c:spPr>
          <c:invertIfNegative val="0"/>
          <c:cat>
            <c:strRef>
              <c:f>BarChart!$D$10:$I$10</c:f>
              <c:strCache>
                <c:ptCount val="6"/>
                <c:pt idx="0">
                  <c:v>FY17 </c:v>
                </c:pt>
                <c:pt idx="1">
                  <c:v>FY18 </c:v>
                </c:pt>
                <c:pt idx="2">
                  <c:v>FY19 </c:v>
                </c:pt>
                <c:pt idx="3">
                  <c:v>FY20 </c:v>
                </c:pt>
                <c:pt idx="4">
                  <c:v>FY21 </c:v>
                </c:pt>
                <c:pt idx="5">
                  <c:v>FY22 </c:v>
                </c:pt>
              </c:strCache>
            </c:strRef>
          </c:cat>
          <c:val>
            <c:numRef>
              <c:f>BarChart!$D$13:$I$13</c:f>
              <c:numCache>
                <c:formatCode>_(* #,##0_);_(* \(#,##0\);_(* "-"??_);_(@_)</c:formatCode>
                <c:ptCount val="6"/>
              </c:numCache>
            </c:numRef>
          </c:val>
        </c:ser>
        <c:ser>
          <c:idx val="3"/>
          <c:order val="3"/>
          <c:tx>
            <c:strRef>
              <c:f>BarChart!$C$14</c:f>
              <c:strCache>
                <c:ptCount val="1"/>
              </c:strCache>
            </c:strRef>
          </c:tx>
          <c:spPr>
            <a:solidFill>
              <a:schemeClr val="accent3">
                <a:lumMod val="60000"/>
                <a:lumOff val="40000"/>
              </a:schemeClr>
            </a:solidFill>
          </c:spPr>
          <c:invertIfNegative val="0"/>
          <c:dPt>
            <c:idx val="0"/>
            <c:invertIfNegative val="0"/>
            <c:bubble3D val="0"/>
            <c:spPr>
              <a:gradFill flip="none" rotWithShape="1">
                <a:gsLst>
                  <a:gs pos="0">
                    <a:schemeClr val="accent3">
                      <a:lumMod val="60000"/>
                      <a:lumOff val="40000"/>
                      <a:shade val="30000"/>
                      <a:satMod val="115000"/>
                    </a:schemeClr>
                  </a:gs>
                  <a:gs pos="50000">
                    <a:schemeClr val="accent3">
                      <a:lumMod val="60000"/>
                      <a:lumOff val="40000"/>
                      <a:shade val="67500"/>
                      <a:satMod val="115000"/>
                    </a:schemeClr>
                  </a:gs>
                  <a:gs pos="100000">
                    <a:schemeClr val="accent3">
                      <a:lumMod val="60000"/>
                      <a:lumOff val="40000"/>
                      <a:shade val="100000"/>
                      <a:satMod val="115000"/>
                    </a:schemeClr>
                  </a:gs>
                </a:gsLst>
                <a:path path="circle">
                  <a:fillToRect l="100000" t="100000"/>
                </a:path>
                <a:tileRect r="-100000" b="-100000"/>
              </a:gradFill>
            </c:spPr>
          </c:dPt>
          <c:cat>
            <c:strRef>
              <c:f>BarChart!$D$10:$I$10</c:f>
              <c:strCache>
                <c:ptCount val="6"/>
                <c:pt idx="0">
                  <c:v>FY17 </c:v>
                </c:pt>
                <c:pt idx="1">
                  <c:v>FY18 </c:v>
                </c:pt>
                <c:pt idx="2">
                  <c:v>FY19 </c:v>
                </c:pt>
                <c:pt idx="3">
                  <c:v>FY20 </c:v>
                </c:pt>
                <c:pt idx="4">
                  <c:v>FY21 </c:v>
                </c:pt>
                <c:pt idx="5">
                  <c:v>FY22 </c:v>
                </c:pt>
              </c:strCache>
            </c:strRef>
          </c:cat>
          <c:val>
            <c:numRef>
              <c:f>BarChart!$D$14:$I$14</c:f>
              <c:numCache>
                <c:formatCode>_(* #,##0_);_(* \(#,##0\);_(* "-"??_);_(@_)</c:formatCode>
                <c:ptCount val="6"/>
              </c:numCache>
            </c:numRef>
          </c:val>
        </c:ser>
        <c:ser>
          <c:idx val="4"/>
          <c:order val="4"/>
          <c:tx>
            <c:strRef>
              <c:f>BarChart!$C$15</c:f>
              <c:strCache>
                <c:ptCount val="1"/>
              </c:strCache>
            </c:strRef>
          </c:tx>
          <c:spPr>
            <a:gradFill flip="none" rotWithShape="1">
              <a:gsLst>
                <a:gs pos="0">
                  <a:schemeClr val="accent4">
                    <a:lumMod val="60000"/>
                    <a:lumOff val="40000"/>
                    <a:shade val="30000"/>
                    <a:satMod val="115000"/>
                  </a:schemeClr>
                </a:gs>
                <a:gs pos="50000">
                  <a:schemeClr val="accent4">
                    <a:lumMod val="60000"/>
                    <a:lumOff val="40000"/>
                    <a:shade val="67500"/>
                    <a:satMod val="115000"/>
                  </a:schemeClr>
                </a:gs>
                <a:gs pos="100000">
                  <a:schemeClr val="accent4">
                    <a:lumMod val="60000"/>
                    <a:lumOff val="40000"/>
                    <a:shade val="100000"/>
                    <a:satMod val="115000"/>
                  </a:schemeClr>
                </a:gs>
              </a:gsLst>
              <a:path path="circle">
                <a:fillToRect l="100000" t="100000"/>
              </a:path>
              <a:tileRect r="-100000" b="-100000"/>
            </a:gradFill>
          </c:spPr>
          <c:invertIfNegative val="0"/>
          <c:cat>
            <c:strRef>
              <c:f>BarChart!$D$10:$I$10</c:f>
              <c:strCache>
                <c:ptCount val="6"/>
                <c:pt idx="0">
                  <c:v>FY17 </c:v>
                </c:pt>
                <c:pt idx="1">
                  <c:v>FY18 </c:v>
                </c:pt>
                <c:pt idx="2">
                  <c:v>FY19 </c:v>
                </c:pt>
                <c:pt idx="3">
                  <c:v>FY20 </c:v>
                </c:pt>
                <c:pt idx="4">
                  <c:v>FY21 </c:v>
                </c:pt>
                <c:pt idx="5">
                  <c:v>FY22 </c:v>
                </c:pt>
              </c:strCache>
            </c:strRef>
          </c:cat>
          <c:val>
            <c:numRef>
              <c:f>BarChart!$D$15:$I$15</c:f>
              <c:numCache>
                <c:formatCode>_(* #,##0_);_(* \(#,##0\);_(* "-"??_);_(@_)</c:formatCode>
                <c:ptCount val="6"/>
              </c:numCache>
            </c:numRef>
          </c:val>
        </c:ser>
        <c:ser>
          <c:idx val="5"/>
          <c:order val="5"/>
          <c:tx>
            <c:strRef>
              <c:f>BarChart!$C$16</c:f>
              <c:strCache>
                <c:ptCount val="1"/>
              </c:strCache>
            </c:strRef>
          </c:tx>
          <c:spPr>
            <a:gradFill flip="none" rotWithShape="1">
              <a:gsLst>
                <a:gs pos="0">
                  <a:schemeClr val="accent2">
                    <a:lumMod val="60000"/>
                    <a:lumOff val="40000"/>
                    <a:shade val="30000"/>
                    <a:satMod val="115000"/>
                  </a:schemeClr>
                </a:gs>
                <a:gs pos="50000">
                  <a:schemeClr val="accent2">
                    <a:lumMod val="60000"/>
                    <a:lumOff val="40000"/>
                    <a:shade val="67500"/>
                    <a:satMod val="115000"/>
                  </a:schemeClr>
                </a:gs>
                <a:gs pos="100000">
                  <a:schemeClr val="accent2">
                    <a:lumMod val="60000"/>
                    <a:lumOff val="40000"/>
                    <a:shade val="100000"/>
                    <a:satMod val="115000"/>
                  </a:schemeClr>
                </a:gs>
              </a:gsLst>
              <a:lin ang="16200000" scaled="1"/>
              <a:tileRect/>
            </a:gradFill>
          </c:spPr>
          <c:invertIfNegative val="0"/>
          <c:cat>
            <c:strRef>
              <c:f>BarChart!$D$10:$I$10</c:f>
              <c:strCache>
                <c:ptCount val="6"/>
                <c:pt idx="0">
                  <c:v>FY17 </c:v>
                </c:pt>
                <c:pt idx="1">
                  <c:v>FY18 </c:v>
                </c:pt>
                <c:pt idx="2">
                  <c:v>FY19 </c:v>
                </c:pt>
                <c:pt idx="3">
                  <c:v>FY20 </c:v>
                </c:pt>
                <c:pt idx="4">
                  <c:v>FY21 </c:v>
                </c:pt>
                <c:pt idx="5">
                  <c:v>FY22 </c:v>
                </c:pt>
              </c:strCache>
            </c:strRef>
          </c:cat>
          <c:val>
            <c:numRef>
              <c:f>BarChart!$D$16:$I$16</c:f>
              <c:numCache>
                <c:formatCode>_(* #,##0_);_(* \(#,##0\);_(* "-"??_);_(@_)</c:formatCode>
                <c:ptCount val="6"/>
              </c:numCache>
            </c:numRef>
          </c:val>
        </c:ser>
        <c:dLbls>
          <c:showLegendKey val="0"/>
          <c:showVal val="0"/>
          <c:showCatName val="0"/>
          <c:showSerName val="0"/>
          <c:showPercent val="0"/>
          <c:showBubbleSize val="0"/>
        </c:dLbls>
        <c:gapWidth val="150"/>
        <c:axId val="-1752378872"/>
        <c:axId val="-1752378296"/>
      </c:barChart>
      <c:catAx>
        <c:axId val="-1752378872"/>
        <c:scaling>
          <c:orientation val="minMax"/>
        </c:scaling>
        <c:delete val="0"/>
        <c:axPos val="b"/>
        <c:numFmt formatCode="General" sourceLinked="1"/>
        <c:majorTickMark val="out"/>
        <c:minorTickMark val="none"/>
        <c:tickLblPos val="nextTo"/>
        <c:crossAx val="-1752378296"/>
        <c:crosses val="autoZero"/>
        <c:auto val="1"/>
        <c:lblAlgn val="ctr"/>
        <c:lblOffset val="100"/>
        <c:noMultiLvlLbl val="0"/>
      </c:catAx>
      <c:valAx>
        <c:axId val="-1752378296"/>
        <c:scaling>
          <c:orientation val="minMax"/>
        </c:scaling>
        <c:delete val="0"/>
        <c:axPos val="l"/>
        <c:title>
          <c:overlay val="0"/>
          <c:txPr>
            <a:bodyPr rot="-5400000" vert="horz"/>
            <a:lstStyle/>
            <a:p>
              <a:pPr>
                <a:defRPr/>
              </a:pPr>
              <a:endParaRPr lang="en-US"/>
            </a:p>
          </c:txPr>
        </c:title>
        <c:numFmt formatCode="_(* #,##0_);_(* \(#,##0\);_(* &quot;-&quot;??_);_(@_)" sourceLinked="1"/>
        <c:majorTickMark val="out"/>
        <c:minorTickMark val="none"/>
        <c:tickLblPos val="nextTo"/>
        <c:crossAx val="-1752378872"/>
        <c:crosses val="autoZero"/>
        <c:crossBetween val="between"/>
      </c:valAx>
      <c:spPr>
        <a:noFill/>
        <a:ln w="25400">
          <a:noFill/>
        </a:ln>
      </c:spPr>
    </c:plotArea>
    <c:legend>
      <c:legendPos val="b"/>
      <c:layout>
        <c:manualLayout>
          <c:xMode val="edge"/>
          <c:yMode val="edge"/>
          <c:x val="0.15070283707206281"/>
          <c:y val="0.79060891048661797"/>
          <c:w val="0.81364640275261058"/>
          <c:h val="0.18377059096268855"/>
        </c:manualLayout>
      </c:layout>
      <c:overlay val="0"/>
    </c:legend>
    <c:plotVisOnly val="1"/>
    <c:dispBlanksAs val="gap"/>
    <c:showDLblsOverMax val="0"/>
  </c:chart>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txPr>
        <a:bodyPr/>
        <a:lstStyle/>
        <a:p>
          <a:pPr>
            <a:defRPr baseline="0">
              <a:latin typeface="Arial Narrow" panose="020B0606020202030204" pitchFamily="34" charset="0"/>
            </a:defRPr>
          </a:pPr>
          <a:endParaRPr lang="en-US"/>
        </a:p>
      </c:txPr>
    </c:title>
    <c:autoTitleDeleted val="0"/>
    <c:plotArea>
      <c:layout/>
      <c:pieChart>
        <c:varyColors val="1"/>
        <c:ser>
          <c:idx val="0"/>
          <c:order val="0"/>
          <c:tx>
            <c:strRef>
              <c:f>PieChart!$K$10</c:f>
              <c:strCache>
                <c:ptCount val="1"/>
                <c:pt idx="0">
                  <c:v>FY05</c:v>
                </c:pt>
              </c:strCache>
            </c:strRef>
          </c:tx>
          <c:dPt>
            <c:idx val="0"/>
            <c:bubble3D val="0"/>
            <c:spPr>
              <a:solidFill>
                <a:srgbClr val="0000CC"/>
              </a:solidFill>
            </c:spPr>
          </c:dPt>
          <c:dPt>
            <c:idx val="1"/>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5400000" scaled="1"/>
                <a:tileRect/>
              </a:gradFill>
            </c:spPr>
          </c:dPt>
          <c:dPt>
            <c:idx val="2"/>
            <c:bubble3D val="0"/>
            <c:spPr>
              <a:gradFill flip="none" rotWithShape="1">
                <a:gsLst>
                  <a:gs pos="0">
                    <a:schemeClr val="bg1">
                      <a:lumMod val="50000"/>
                      <a:tint val="66000"/>
                      <a:satMod val="160000"/>
                    </a:schemeClr>
                  </a:gs>
                  <a:gs pos="50000">
                    <a:schemeClr val="bg1">
                      <a:lumMod val="50000"/>
                      <a:tint val="44500"/>
                      <a:satMod val="160000"/>
                    </a:schemeClr>
                  </a:gs>
                  <a:gs pos="100000">
                    <a:schemeClr val="bg1">
                      <a:lumMod val="50000"/>
                      <a:tint val="23500"/>
                      <a:satMod val="160000"/>
                    </a:schemeClr>
                  </a:gs>
                </a:gsLst>
                <a:lin ang="10800000" scaled="1"/>
                <a:tileRect/>
              </a:gradFill>
            </c:spPr>
          </c:dPt>
          <c:dPt>
            <c:idx val="3"/>
            <c:bubble3D val="0"/>
            <c:spPr>
              <a:gradFill flip="none" rotWithShape="1">
                <a:gsLst>
                  <a:gs pos="0">
                    <a:schemeClr val="accent3">
                      <a:lumMod val="60000"/>
                      <a:lumOff val="40000"/>
                      <a:shade val="30000"/>
                      <a:satMod val="115000"/>
                    </a:schemeClr>
                  </a:gs>
                  <a:gs pos="50000">
                    <a:schemeClr val="accent3">
                      <a:lumMod val="60000"/>
                      <a:lumOff val="40000"/>
                      <a:shade val="67500"/>
                      <a:satMod val="115000"/>
                    </a:schemeClr>
                  </a:gs>
                  <a:gs pos="100000">
                    <a:schemeClr val="accent3">
                      <a:lumMod val="60000"/>
                      <a:lumOff val="40000"/>
                      <a:shade val="100000"/>
                      <a:satMod val="115000"/>
                    </a:schemeClr>
                  </a:gs>
                </a:gsLst>
                <a:path path="circle">
                  <a:fillToRect t="100000" r="100000"/>
                </a:path>
                <a:tileRect l="-100000" b="-100000"/>
              </a:gradFill>
            </c:spPr>
          </c:dPt>
          <c:dPt>
            <c:idx val="4"/>
            <c:bubble3D val="0"/>
            <c:spPr>
              <a:gradFill flip="none" rotWithShape="1">
                <a:gsLst>
                  <a:gs pos="0">
                    <a:schemeClr val="accent4">
                      <a:lumMod val="75000"/>
                      <a:shade val="30000"/>
                      <a:satMod val="115000"/>
                    </a:schemeClr>
                  </a:gs>
                  <a:gs pos="50000">
                    <a:schemeClr val="accent4">
                      <a:lumMod val="75000"/>
                      <a:shade val="67500"/>
                      <a:satMod val="115000"/>
                    </a:schemeClr>
                  </a:gs>
                  <a:gs pos="100000">
                    <a:schemeClr val="accent4">
                      <a:lumMod val="75000"/>
                      <a:shade val="100000"/>
                      <a:satMod val="115000"/>
                    </a:schemeClr>
                  </a:gs>
                </a:gsLst>
                <a:path path="circle">
                  <a:fillToRect t="100000" r="100000"/>
                </a:path>
                <a:tileRect l="-100000" b="-100000"/>
              </a:gradFill>
            </c:spPr>
          </c:dPt>
          <c:dPt>
            <c:idx val="5"/>
            <c:bubble3D val="0"/>
            <c:spPr>
              <a:gradFill flip="none" rotWithShape="1">
                <a:gsLst>
                  <a:gs pos="0">
                    <a:schemeClr val="accent2">
                      <a:lumMod val="60000"/>
                      <a:lumOff val="40000"/>
                      <a:shade val="30000"/>
                      <a:satMod val="115000"/>
                    </a:schemeClr>
                  </a:gs>
                  <a:gs pos="50000">
                    <a:schemeClr val="accent2">
                      <a:lumMod val="60000"/>
                      <a:lumOff val="40000"/>
                      <a:shade val="67500"/>
                      <a:satMod val="115000"/>
                    </a:schemeClr>
                  </a:gs>
                  <a:gs pos="100000">
                    <a:schemeClr val="accent2">
                      <a:lumMod val="60000"/>
                      <a:lumOff val="40000"/>
                      <a:shade val="100000"/>
                      <a:satMod val="115000"/>
                    </a:schemeClr>
                  </a:gs>
                </a:gsLst>
                <a:path path="circle">
                  <a:fillToRect r="100000" b="100000"/>
                </a:path>
                <a:tileRect l="-100000" t="-100000"/>
              </a:gradFill>
            </c:spPr>
          </c:dPt>
          <c:dLbls>
            <c:spPr>
              <a:noFill/>
              <a:ln>
                <a:noFill/>
              </a:ln>
              <a:effectLst/>
            </c:spPr>
            <c:txPr>
              <a:bodyPr/>
              <a:lstStyle/>
              <a:p>
                <a:pPr>
                  <a:defRPr>
                    <a:solidFill>
                      <a:sysClr val="windowText" lastClr="000000"/>
                    </a:solidFil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PieChart!$C$11:$C$16</c:f>
              <c:numCache>
                <c:formatCode>#,##0_);\(#,##0\);"-"_);@_)</c:formatCode>
                <c:ptCount val="6"/>
              </c:numCache>
            </c:numRef>
          </c:cat>
          <c:val>
            <c:numRef>
              <c:f>PieChart!$K$11:$K$16</c:f>
              <c:numCache>
                <c:formatCode>_(* #,##0_);_(* \(#,##0\);_(* "-"??_);_(@_)</c:formatCode>
                <c:ptCount val="6"/>
                <c:pt idx="0">
                  <c:v>#N/A</c:v>
                </c:pt>
                <c:pt idx="1">
                  <c:v>#N/A</c:v>
                </c:pt>
                <c:pt idx="2">
                  <c:v>#N/A</c:v>
                </c:pt>
                <c:pt idx="3">
                  <c:v>#N/A</c:v>
                </c:pt>
                <c:pt idx="4">
                  <c:v>#N/A</c:v>
                </c:pt>
                <c:pt idx="5">
                  <c:v>#N/A</c:v>
                </c:pt>
              </c:numCache>
            </c:numRef>
          </c:val>
        </c:ser>
        <c:dLbls>
          <c:showLegendKey val="0"/>
          <c:showVal val="0"/>
          <c:showCatName val="1"/>
          <c:showSerName val="0"/>
          <c:showPercent val="1"/>
          <c:showBubbleSize val="0"/>
          <c:showLeaderLines val="1"/>
        </c:dLbls>
        <c:firstSliceAng val="140"/>
      </c:pieChart>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9.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wmf"/><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drawings/drawing3.xml><?xml version="1.0" encoding="utf-8"?>
<xdr:wsDr xmlns:xdr="http://schemas.openxmlformats.org/drawingml/2006/spreadsheetDrawing" xmlns:a="http://schemas.openxmlformats.org/drawingml/2006/main"/>
</file>

<file path=xl/drawings/drawing4.xml><?xml version="1.0" encoding="utf-8"?>
<xdr:wsDr xmlns:xdr="http://schemas.openxmlformats.org/drawingml/2006/spreadsheetDrawing" xmlns:a="http://schemas.openxmlformats.org/drawingml/2006/main"/>
</file>

<file path=xl/drawings/drawing5.xml><?xml version="1.0" encoding="utf-8"?>
<xdr:wsDr xmlns:xdr="http://schemas.openxmlformats.org/drawingml/2006/spreadsheetDrawing" xmlns:a="http://schemas.openxmlformats.org/drawingml/2006/main"/>
</file>

<file path=xl/drawings/drawing6.xml><?xml version="1.0" encoding="utf-8"?>
<xdr:wsDr xmlns:xdr="http://schemas.openxmlformats.org/drawingml/2006/spreadsheetDrawing" xmlns:a="http://schemas.openxmlformats.org/drawingml/2006/main"/>
</file>

<file path=xl/drawings/drawing7.xml><?xml version="1.0" encoding="utf-8"?>
<xdr:wsDr xmlns:xdr="http://schemas.openxmlformats.org/drawingml/2006/spreadsheetDrawing" xmlns:a="http://schemas.openxmlformats.org/drawingml/2006/main"/>
</file>

<file path=xl/drawings/drawing8.xml><?xml version="1.0" encoding="utf-8"?>
<xdr:wsDr xmlns:xdr="http://schemas.openxmlformats.org/drawingml/2006/spreadsheetDrawing" xmlns:a="http://schemas.openxmlformats.org/drawingml/2006/main"/>
</file>

<file path=xl/drawings/drawing9.xml><?xml version="1.0" encoding="utf-8"?>
<xdr:wsDr xmlns:xdr="http://schemas.openxmlformats.org/drawingml/2006/spreadsheetDrawing" xmlns:a="http://schemas.openxmlformats.org/drawingml/2006/main"/>
</file>

<file path=xl/drawings/drawing10.xml><?xml version="1.0" encoding="utf-8"?>
<xdr:wsDr xmlns:xdr="http://schemas.openxmlformats.org/drawingml/2006/spreadsheetDrawing" xmlns:a="http://schemas.openxmlformats.org/drawingml/2006/main"/>
</file>

<file path=xl/drawings/drawing11.xml><?xml version="1.0" encoding="utf-8"?>
<xdr:wsDr xmlns:xdr="http://schemas.openxmlformats.org/drawingml/2006/spreadsheetDrawing" xmlns:a="http://schemas.openxmlformats.org/drawingml/2006/main"/>
</file>

<file path=xl/drawings/drawing12.xml><?xml version="1.0" encoding="utf-8"?>
<xdr:wsDr xmlns:xdr="http://schemas.openxmlformats.org/drawingml/2006/spreadsheetDrawing" xmlns:a="http://schemas.openxmlformats.org/drawingml/2006/main"/>
</file>

<file path=xl/drawings/drawing13.xml><?xml version="1.0" encoding="utf-8"?>
<xdr:wsDr xmlns:xdr="http://schemas.openxmlformats.org/drawingml/2006/spreadsheetDrawing" xmlns:a="http://schemas.openxmlformats.org/drawingml/2006/main"/>
</file>

<file path=xl/drawings/drawing14.xml><?xml version="1.0" encoding="utf-8"?>
<xdr:wsDr xmlns:xdr="http://schemas.openxmlformats.org/drawingml/2006/spreadsheetDrawing" xmlns:a="http://schemas.openxmlformats.org/drawingml/2006/main"/>
</file>

<file path=xl/drawings/drawing15.xml><?xml version="1.0" encoding="utf-8"?>
<xdr:wsDr xmlns:xdr="http://schemas.openxmlformats.org/drawingml/2006/spreadsheetDrawing" xmlns:a="http://schemas.openxmlformats.org/drawingml/2006/main"/>
</file>

<file path=xl/drawings/drawing16.xml><?xml version="1.0" encoding="utf-8"?>
<xdr:wsDr xmlns:xdr="http://schemas.openxmlformats.org/drawingml/2006/spreadsheetDrawing" xmlns:a="http://schemas.openxmlformats.org/drawingml/2006/main"/>
</file>

<file path=xl/drawings/drawing17.xml><?xml version="1.0" encoding="utf-8"?>
<xdr:wsDr xmlns:xdr="http://schemas.openxmlformats.org/drawingml/2006/spreadsheetDrawing" xmlns:a="http://schemas.openxmlformats.org/drawingml/2006/main"/>
</file>

<file path=xl/drawings/drawing18.xml><?xml version="1.0" encoding="utf-8"?>
<xdr:wsDr xmlns:xdr="http://schemas.openxmlformats.org/drawingml/2006/spreadsheetDrawing" xmlns:a="http://schemas.openxmlformats.org/drawingml/2006/main"/>
</file>

<file path=xl/drawings/drawing19.xml><?xml version="1.0" encoding="utf-8"?>
<xdr:wsDr xmlns:xdr="http://schemas.openxmlformats.org/drawingml/2006/spreadsheetDrawing" xmlns:a="http://schemas.openxmlformats.org/drawingml/2006/main">
  <xdr:twoCellAnchor>
    <xdr:from>
      <xdr:col>2</xdr:col>
      <xdr:colOff>123825</xdr:colOff>
      <xdr:row>4</xdr:row>
      <xdr:rowOff>200025</xdr:rowOff>
    </xdr:from>
    <xdr:to>
      <xdr:col>21</xdr:col>
      <xdr:colOff>133350</xdr:colOff>
      <xdr:row>20</xdr:row>
      <xdr:rowOff>95250</xdr:rowOff>
    </xdr:to>
    <xdr:graphicFrame macro="">
      <xdr:nvGraphicFramePr>
        <xdr:cNvPr id="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485775</xdr:colOff>
      <xdr:row>7</xdr:row>
      <xdr:rowOff>209550</xdr:rowOff>
    </xdr:from>
    <xdr:to>
      <xdr:col>8</xdr:col>
      <xdr:colOff>971550</xdr:colOff>
      <xdr:row>24</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file>

<file path=xl/drawings/drawing22.xml><?xml version="1.0" encoding="utf-8"?>
<xdr:wsDr xmlns:xdr="http://schemas.openxmlformats.org/drawingml/2006/spreadsheetDrawing" xmlns:a="http://schemas.openxmlformats.org/drawingml/2006/main">
  <xdr:twoCellAnchor>
    <xdr:from>
      <xdr:col>10</xdr:col>
      <xdr:colOff>533400</xdr:colOff>
      <xdr:row>4</xdr:row>
      <xdr:rowOff>57150</xdr:rowOff>
    </xdr:from>
    <xdr:to>
      <xdr:col>20</xdr:col>
      <xdr:colOff>523875</xdr:colOff>
      <xdr:row>22</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390525</xdr:colOff>
      <xdr:row>5</xdr:row>
      <xdr:rowOff>85725</xdr:rowOff>
    </xdr:from>
    <xdr:to>
      <xdr:col>21</xdr:col>
      <xdr:colOff>133350</xdr:colOff>
      <xdr:row>22</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oneCell">
    <xdr:from>
      <xdr:col>4</xdr:col>
      <xdr:colOff>38100</xdr:colOff>
      <xdr:row>28</xdr:row>
      <xdr:rowOff>114300</xdr:rowOff>
    </xdr:from>
    <xdr:to>
      <xdr:col>12</xdr:col>
      <xdr:colOff>361950</xdr:colOff>
      <xdr:row>28</xdr:row>
      <xdr:rowOff>1219200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277470" y="7070911"/>
          <a:ext cx="11497236" cy="1112043"/>
        </a:xfrm>
        <a:prstGeom prst="rect">
          <a:avLst/>
        </a:prstGeom>
      </xdr:spPr>
    </xdr:pic>
    <xdr:clientData/>
  </xdr:twoCellAnchor>
  <xdr:twoCellAnchor editAs="oneCell">
    <xdr:from>
      <xdr:col>4</xdr:col>
      <xdr:colOff>66675</xdr:colOff>
      <xdr:row>26</xdr:row>
      <xdr:rowOff>76200</xdr:rowOff>
    </xdr:from>
    <xdr:to>
      <xdr:col>12</xdr:col>
      <xdr:colOff>352425</xdr:colOff>
      <xdr:row>26</xdr:row>
      <xdr:rowOff>1200150</xdr:rowOff>
    </xdr:to>
    <xdr:pic>
      <xdr:nvPicPr>
        <xdr:cNvPr id="3" name="Picture 2"/>
        <xdr:cNvPicPr>
          <a:picLocks noChangeAspect="1"/>
        </xdr:cNvPicPr>
      </xdr:nvPicPr>
      <xdr:blipFill>
        <a:blip xmlns:r="http://schemas.openxmlformats.org/officeDocument/2006/relationships" r:embed="rId2"/>
        <a:stretch>
          <a:fillRect/>
        </a:stretch>
      </xdr:blipFill>
      <xdr:spPr>
        <a:xfrm>
          <a:off x="1299882" y="5506763"/>
          <a:ext cx="11463618" cy="1127119"/>
        </a:xfrm>
        <a:prstGeom prst="rect">
          <a:avLst/>
        </a:prstGeom>
      </xdr:spPr>
    </xdr:pic>
    <xdr:clientData/>
  </xdr:twoCellAnchor>
  <xdr:twoCellAnchor editAs="oneCell">
    <xdr:from>
      <xdr:col>7</xdr:col>
      <xdr:colOff>219075</xdr:colOff>
      <xdr:row>0</xdr:row>
      <xdr:rowOff>0</xdr:rowOff>
    </xdr:from>
    <xdr:to>
      <xdr:col>8</xdr:col>
      <xdr:colOff>114300</xdr:colOff>
      <xdr:row>3</xdr:row>
      <xdr:rowOff>9525</xdr:rowOff>
    </xdr:to>
    <xdr:pic>
      <xdr:nvPicPr>
        <xdr:cNvPr id="26" name="Picture 25" descr="EY_Logo4.wmf"/>
        <xdr:cNvPicPr>
          <a:picLocks noChangeAspect="1"/>
        </xdr:cNvPicPr>
      </xdr:nvPicPr>
      <xdr:blipFill>
        <a:blip xmlns:r="http://schemas.openxmlformats.org/officeDocument/2006/relationships" r:embed="rId3" cstate="print"/>
        <a:stretch>
          <a:fillRect/>
        </a:stretch>
      </xdr:blipFill>
      <xdr:spPr>
        <a:xfrm>
          <a:off x="9659482" y="0"/>
          <a:ext cx="672331" cy="687295"/>
        </a:xfrm>
        <a:prstGeom prst="rect">
          <a:avLst/>
        </a:prstGeom>
      </xdr:spPr>
    </xdr:pic>
    <xdr:clientData/>
  </xdr:twoCellAnchor>
  <xdr:twoCellAnchor editAs="oneCell">
    <xdr:from>
      <xdr:col>3</xdr:col>
      <xdr:colOff>447675</xdr:colOff>
      <xdr:row>157</xdr:row>
      <xdr:rowOff>171450</xdr:rowOff>
    </xdr:from>
    <xdr:to>
      <xdr:col>4</xdr:col>
      <xdr:colOff>4114800</xdr:colOff>
      <xdr:row>157</xdr:row>
      <xdr:rowOff>3209925</xdr:rowOff>
    </xdr:to>
    <xdr:pic>
      <xdr:nvPicPr>
        <xdr:cNvPr id="2" name="Picture 1"/>
        <xdr:cNvPicPr>
          <a:picLocks noChangeAspect="1"/>
        </xdr:cNvPicPr>
      </xdr:nvPicPr>
      <xdr:blipFill>
        <a:blip xmlns:r="http://schemas.openxmlformats.org/officeDocument/2006/relationships" r:embed="rId4"/>
        <a:stretch>
          <a:fillRect/>
        </a:stretch>
      </xdr:blipFill>
      <xdr:spPr>
        <a:xfrm>
          <a:off x="1075764" y="19386178"/>
          <a:ext cx="4123765" cy="3043544"/>
        </a:xfrm>
        <a:prstGeom prst="rect">
          <a:avLst/>
        </a:prstGeom>
      </xdr:spPr>
    </xdr:pic>
    <xdr:clientData/>
  </xdr:twoCellAnchor>
  <xdr:twoCellAnchor editAs="oneCell">
    <xdr:from>
      <xdr:col>4</xdr:col>
      <xdr:colOff>0</xdr:colOff>
      <xdr:row>45</xdr:row>
      <xdr:rowOff>114300</xdr:rowOff>
    </xdr:from>
    <xdr:to>
      <xdr:col>4</xdr:col>
      <xdr:colOff>5457825</xdr:colOff>
      <xdr:row>45</xdr:row>
      <xdr:rowOff>3486150</xdr:rowOff>
    </xdr:to>
    <xdr:pic>
      <xdr:nvPicPr>
        <xdr:cNvPr id="13" name="Picture 12"/>
        <xdr:cNvPicPr>
          <a:picLocks noChangeAspect="1"/>
        </xdr:cNvPicPr>
      </xdr:nvPicPr>
      <xdr:blipFill>
        <a:blip xmlns:r="http://schemas.openxmlformats.org/officeDocument/2006/relationships" r:embed="rId5"/>
        <a:stretch>
          <a:fillRect/>
        </a:stretch>
      </xdr:blipFill>
      <xdr:spPr>
        <a:xfrm>
          <a:off x="1232647" y="12685058"/>
          <a:ext cx="5463081" cy="3371949"/>
        </a:xfrm>
        <a:prstGeom prst="rect">
          <a:avLst/>
        </a:prstGeom>
      </xdr:spPr>
    </xdr:pic>
    <xdr:clientData/>
  </xdr:twoCellAnchor>
  <xdr:twoCellAnchor editAs="oneCell">
    <xdr:from>
      <xdr:col>4</xdr:col>
      <xdr:colOff>0</xdr:colOff>
      <xdr:row>60</xdr:row>
      <xdr:rowOff>0</xdr:rowOff>
    </xdr:from>
    <xdr:to>
      <xdr:col>4</xdr:col>
      <xdr:colOff>3657600</xdr:colOff>
      <xdr:row>60</xdr:row>
      <xdr:rowOff>1971675</xdr:rowOff>
    </xdr:to>
    <xdr:pic>
      <xdr:nvPicPr>
        <xdr:cNvPr id="17" name="Picture 16"/>
        <xdr:cNvPicPr>
          <a:picLocks noChangeAspect="1"/>
        </xdr:cNvPicPr>
      </xdr:nvPicPr>
      <xdr:blipFill>
        <a:blip xmlns:r="http://schemas.openxmlformats.org/officeDocument/2006/relationships" r:embed="rId6"/>
        <a:stretch>
          <a:fillRect/>
        </a:stretch>
      </xdr:blipFill>
      <xdr:spPr>
        <a:xfrm>
          <a:off x="1232647" y="19050000"/>
          <a:ext cx="3664324" cy="1974981"/>
        </a:xfrm>
        <a:prstGeom prst="rect">
          <a:avLst/>
        </a:prstGeom>
      </xdr:spPr>
    </xdr:pic>
    <xdr:clientData/>
  </xdr:twoCellAnchor>
  <xdr:twoCellAnchor editAs="oneCell">
    <xdr:from>
      <xdr:col>3</xdr:col>
      <xdr:colOff>381000</xdr:colOff>
      <xdr:row>67</xdr:row>
      <xdr:rowOff>114300</xdr:rowOff>
    </xdr:from>
    <xdr:to>
      <xdr:col>4</xdr:col>
      <xdr:colOff>3629025</xdr:colOff>
      <xdr:row>68</xdr:row>
      <xdr:rowOff>2314575</xdr:rowOff>
    </xdr:to>
    <xdr:pic>
      <xdr:nvPicPr>
        <xdr:cNvPr id="23" name="Picture 22"/>
        <xdr:cNvPicPr>
          <a:picLocks noChangeAspect="1"/>
        </xdr:cNvPicPr>
      </xdr:nvPicPr>
      <xdr:blipFill>
        <a:blip xmlns:r="http://schemas.openxmlformats.org/officeDocument/2006/relationships" r:embed="rId7"/>
        <a:stretch>
          <a:fillRect/>
        </a:stretch>
      </xdr:blipFill>
      <xdr:spPr>
        <a:xfrm>
          <a:off x="1221441" y="22456589"/>
          <a:ext cx="3641912" cy="2360349"/>
        </a:xfrm>
        <a:prstGeom prst="rect">
          <a:avLst/>
        </a:prstGeom>
      </xdr:spPr>
    </xdr:pic>
    <xdr:clientData/>
  </xdr:twoCellAnchor>
  <xdr:twoCellAnchor editAs="oneCell">
    <xdr:from>
      <xdr:col>4</xdr:col>
      <xdr:colOff>9525</xdr:colOff>
      <xdr:row>30</xdr:row>
      <xdr:rowOff>142875</xdr:rowOff>
    </xdr:from>
    <xdr:to>
      <xdr:col>12</xdr:col>
      <xdr:colOff>361950</xdr:colOff>
      <xdr:row>31</xdr:row>
      <xdr:rowOff>1085850</xdr:rowOff>
    </xdr:to>
    <xdr:pic>
      <xdr:nvPicPr>
        <xdr:cNvPr id="6" name="Picture 5"/>
        <xdr:cNvPicPr>
          <a:picLocks noChangeAspect="1"/>
        </xdr:cNvPicPr>
      </xdr:nvPicPr>
      <xdr:blipFill>
        <a:blip xmlns:r="http://schemas.openxmlformats.org/officeDocument/2006/relationships" r:embed="rId8"/>
        <a:stretch>
          <a:fillRect/>
        </a:stretch>
      </xdr:blipFill>
      <xdr:spPr>
        <a:xfrm>
          <a:off x="1243853" y="9200030"/>
          <a:ext cx="11530853" cy="1100378"/>
        </a:xfrm>
        <a:prstGeom prst="rect">
          <a:avLst/>
        </a:prstGeom>
      </xdr:spPr>
    </xdr:pic>
    <xdr:clientData/>
  </xdr:twoCellAnchor>
  <xdr:twoCellAnchor editAs="oneCell">
    <xdr:from>
      <xdr:col>4</xdr:col>
      <xdr:colOff>0</xdr:colOff>
      <xdr:row>85</xdr:row>
      <xdr:rowOff>0</xdr:rowOff>
    </xdr:from>
    <xdr:to>
      <xdr:col>12</xdr:col>
      <xdr:colOff>285750</xdr:colOff>
      <xdr:row>85</xdr:row>
      <xdr:rowOff>1123950</xdr:rowOff>
    </xdr:to>
    <xdr:pic>
      <xdr:nvPicPr>
        <xdr:cNvPr id="22" name="Picture 21"/>
        <xdr:cNvPicPr>
          <a:picLocks noChangeAspect="1"/>
        </xdr:cNvPicPr>
      </xdr:nvPicPr>
      <xdr:blipFill>
        <a:blip xmlns:r="http://schemas.openxmlformats.org/officeDocument/2006/relationships" r:embed="rId2"/>
        <a:stretch>
          <a:fillRect/>
        </a:stretch>
      </xdr:blipFill>
      <xdr:spPr>
        <a:xfrm>
          <a:off x="1232647" y="28440529"/>
          <a:ext cx="11463618" cy="11271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file>

<file path=xl/externalLinks/_rels/externalLink1.xml.rels><?xml version="1.0" encoding="UTF-8" standalone="yes"?>
<Relationships xmlns="http://schemas.openxmlformats.org/package/2006/relationships"><Relationship Id="rId1" Type="http://schemas.microsoft.com/office/2006/relationships/xlExternalLinkPath/xlPathMissing" Target="!DRAFT_UTC_M&amp;A_08Mar17_v28_GJ.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RAFT_UTC_M&amp;A_08Mar17_v28.2.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age"/>
      <sheetName val="ModelInfo"/>
      <sheetName val="GenAssm"/>
      <sheetName val="WACC"/>
      <sheetName val="MgmtFcst"/>
      <sheetName val="SYN_IntCost"/>
      <sheetName val="PPA"/>
      <sheetName val="Dashboard"/>
      <sheetName val="FinancialSum"/>
      <sheetName val="SynergyBridge"/>
      <sheetName val="10YPnL"/>
      <sheetName val="Sensitivities"/>
      <sheetName val="EPSImpact"/>
      <sheetName val="FootballChart"/>
      <sheetName val="PriceAnalysis"/>
      <sheetName val="Synergysum"/>
      <sheetName val="MgmtFS"/>
      <sheetName val="EV"/>
      <sheetName val="ValDetail"/>
    </sheetNames>
    <sheetDataSet>
      <sheetData sheetId="0"/>
      <sheetData sheetId="1"/>
      <sheetData sheetId="2">
        <row r="35">
          <cell r="X35">
            <v>2</v>
          </cell>
        </row>
        <row r="37">
          <cell r="X37" t="str">
            <v>Scenario name</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age"/>
      <sheetName val="ModelInfo"/>
      <sheetName val="GenAssm"/>
      <sheetName val="WACC"/>
      <sheetName val="MgmtFcst"/>
      <sheetName val="SYN_IntCost"/>
      <sheetName val="PPA"/>
      <sheetName val="Dashboard"/>
      <sheetName val="FinancialSum"/>
      <sheetName val="SynergyBridge"/>
      <sheetName val="10YPnL"/>
      <sheetName val="Sensitivities"/>
      <sheetName val="EPSImpact"/>
      <sheetName val="FootballChart"/>
      <sheetName val="PriceAnalysis"/>
      <sheetName val="Synergysum"/>
      <sheetName val="MgmtFS"/>
      <sheetName val="EV"/>
      <sheetName val="ValDetail"/>
    </sheetNames>
    <sheetDataSet>
      <sheetData sheetId="0"/>
      <sheetData sheetId="1"/>
      <sheetData sheetId="2"/>
      <sheetData sheetId="3"/>
      <sheetData sheetId="4"/>
      <sheetData sheetId="5"/>
      <sheetData sheetId="6"/>
      <sheetData sheetId="7">
        <row r="59">
          <cell r="AH59" t="str">
            <v>Major points</v>
          </cell>
        </row>
      </sheetData>
      <sheetData sheetId="8"/>
      <sheetData sheetId="9"/>
      <sheetData sheetId="10"/>
      <sheetData sheetId="11"/>
      <sheetData sheetId="12"/>
      <sheetData sheetId="13"/>
      <sheetData sheetId="14"/>
      <sheetData sheetId="15"/>
      <sheetData sheetId="16"/>
      <sheetData sheetId="17">
        <row r="45">
          <cell r="J45">
            <v>1407.5260936738325</v>
          </cell>
        </row>
        <row r="76">
          <cell r="J76">
            <v>1176.4252058034872</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omments" Target="../comments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omments" Target="../comments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omments" Target="../comments9.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28.bin"/><Relationship Id="rId4" Type="http://schemas.openxmlformats.org/officeDocument/2006/relationships/comments" Target="../comments1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29.bin"/><Relationship Id="rId4" Type="http://schemas.openxmlformats.org/officeDocument/2006/relationships/comments" Target="../comments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36.bin"/><Relationship Id="rId4" Type="http://schemas.openxmlformats.org/officeDocument/2006/relationships/comments" Target="../comments1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37.bin"/><Relationship Id="rId4" Type="http://schemas.openxmlformats.org/officeDocument/2006/relationships/comments" Target="../comments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43.bin"/><Relationship Id="rId1" Type="http://schemas.openxmlformats.org/officeDocument/2006/relationships/hyperlink" Target="http://en.wikipedia.org/wiki/Altman_Z-score"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rrorCheck">
    <tabColor theme="3" tint="-0.249977111117893"/>
  </sheetPr>
  <dimension ref="A1:U52"/>
  <sheetViews>
    <sheetView showGridLines="0" zoomScale="85" zoomScaleNormal="85" workbookViewId="0"/>
  </sheetViews>
  <sheetFormatPr defaultRowHeight="13.9"/>
  <cols>
    <col min="1" max="1" width="2.83203125" customWidth="1"/>
    <col min="2" max="2" width="3.83203125" customWidth="1"/>
    <col min="3" max="3" width="6.1640625" customWidth="1"/>
    <col min="4" max="4" width="32" customWidth="1"/>
    <col min="5" max="6" width="10.83203125" customWidth="1"/>
    <col min="7" max="7" width="5" customWidth="1"/>
    <col min="8" max="8" width="32" customWidth="1"/>
    <col min="9" max="9" width="10.83203125" customWidth="1"/>
    <col min="10" max="10" width="10.83203125" style="449" customWidth="1"/>
    <col min="11" max="11" width="6.6640625" style="646" customWidth="1"/>
    <col min="12" max="12" width="44.5" style="449" customWidth="1"/>
    <col min="13" max="13" width="11.1640625" style="449" customWidth="1"/>
    <col min="14" max="14" width="2.1640625" style="449" customWidth="1"/>
    <col min="15" max="19" width="8.1640625" style="449" customWidth="1"/>
    <col min="20" max="20" width="2.6640625" style="449" customWidth="1"/>
    <col min="21" max="21" width="9.83203125" style="449" customWidth="1"/>
  </cols>
  <sheetData>
    <row r="1" spans="1:21" ht="18" customHeight="1">
      <c r="A1" s="2060"/>
      <c r="B1" s="1557"/>
      <c r="C1" s="838" t="str">
        <f>CoNameHeading</f>
        <v>Client Name</v>
      </c>
      <c r="D1" s="2060"/>
      <c r="E1" s="2060"/>
      <c r="F1" s="2060"/>
      <c r="G1" s="2060"/>
      <c r="H1" s="2060"/>
      <c r="I1" s="2060"/>
      <c r="J1" s="2060"/>
      <c r="K1" s="2060"/>
      <c r="L1" s="2060"/>
      <c r="M1" s="2060"/>
      <c r="N1" s="2060"/>
      <c r="O1" s="2060"/>
      <c r="P1" s="2060"/>
      <c r="Q1" s="2060"/>
      <c r="R1" s="2060"/>
      <c r="S1" s="2060"/>
      <c r="T1" s="2060"/>
      <c r="U1" s="1557"/>
    </row>
    <row r="2" spans="1:21" ht="18" customHeight="1">
      <c r="A2" s="1557"/>
      <c r="B2" s="1557"/>
      <c r="C2" s="839" t="s">
        <v>0</v>
      </c>
      <c r="D2" s="2060"/>
      <c r="E2" s="2060"/>
      <c r="F2" s="2060"/>
      <c r="G2" s="2060"/>
      <c r="H2" s="2060"/>
      <c r="I2" s="2060"/>
      <c r="J2" s="2060"/>
      <c r="K2" s="2060"/>
      <c r="L2" s="2060"/>
      <c r="M2" s="2060"/>
      <c r="N2" s="2060"/>
      <c r="O2" s="2060"/>
      <c r="P2" s="2060"/>
      <c r="Q2" s="2060"/>
      <c r="R2" s="2060"/>
      <c r="S2" s="2060"/>
      <c r="T2" s="2060"/>
      <c r="U2" s="1557"/>
    </row>
    <row r="3" spans="1:21" ht="18" customHeight="1">
      <c r="A3" s="1557"/>
      <c r="B3" s="1557"/>
      <c r="C3" s="2062" t="str">
        <f>ValDateHeading</f>
        <v>Estimation of value as of 28 February 2017</v>
      </c>
      <c r="D3" s="2060"/>
      <c r="E3" s="2060"/>
      <c r="F3" s="2060"/>
      <c r="G3" s="2060"/>
      <c r="H3" s="2060"/>
      <c r="I3" s="2060"/>
      <c r="J3" s="2060"/>
      <c r="K3" s="2060"/>
      <c r="L3" s="2060"/>
      <c r="M3" s="2060"/>
      <c r="N3" s="2060"/>
      <c r="O3" s="2060"/>
      <c r="P3" s="2060"/>
      <c r="Q3" s="2060"/>
      <c r="R3" s="2060"/>
      <c r="S3" s="2060"/>
      <c r="T3" s="2060"/>
      <c r="U3" s="1557"/>
    </row>
    <row r="4" spans="1:21" ht="18" customHeight="1">
      <c r="A4" s="1557"/>
      <c r="B4" s="1557"/>
      <c r="C4" s="2060"/>
      <c r="D4" s="2060"/>
      <c r="E4" s="2060"/>
      <c r="F4" s="2060"/>
      <c r="G4" s="2060"/>
      <c r="H4" s="2060"/>
      <c r="I4" s="2060"/>
      <c r="J4" s="2060"/>
      <c r="K4" s="2060"/>
      <c r="L4" s="2060"/>
      <c r="M4" s="2060"/>
      <c r="N4" s="2060"/>
      <c r="O4" s="2060"/>
      <c r="P4" s="2060"/>
      <c r="Q4" s="2060"/>
      <c r="R4" s="2060"/>
      <c r="S4" s="2060"/>
      <c r="T4" s="2060"/>
      <c r="U4" s="1557"/>
    </row>
    <row r="5" spans="1:21">
      <c r="A5" s="1557"/>
      <c r="B5" s="1557"/>
      <c r="C5" s="2060"/>
      <c r="D5" s="2060"/>
      <c r="E5" s="2060"/>
      <c r="F5" s="2060"/>
      <c r="G5" s="2060"/>
      <c r="H5" s="2060"/>
      <c r="I5" s="2060"/>
      <c r="J5" s="2060"/>
      <c r="K5" s="2060"/>
      <c r="L5" s="2060"/>
      <c r="M5" s="2060"/>
      <c r="N5" s="2060"/>
      <c r="O5" s="2060"/>
      <c r="P5" s="2060"/>
      <c r="Q5" s="2060"/>
      <c r="R5" s="2060"/>
      <c r="S5" s="2060"/>
      <c r="T5" s="2060"/>
      <c r="U5" s="1557"/>
    </row>
    <row r="6" spans="1:21" ht="18">
      <c r="A6" s="1557"/>
      <c r="B6" s="1557"/>
      <c r="C6" s="567">
        <v>1</v>
      </c>
      <c r="D6" s="566" t="s">
        <v>1</v>
      </c>
      <c r="E6" s="564"/>
      <c r="F6" s="564"/>
      <c r="G6" s="564"/>
      <c r="H6" s="565"/>
      <c r="I6" s="565"/>
      <c r="J6" s="564"/>
      <c r="K6" s="564"/>
      <c r="L6" s="565"/>
      <c r="M6" s="565"/>
      <c r="N6" s="565"/>
      <c r="O6" s="564"/>
      <c r="P6" s="565"/>
      <c r="Q6" s="565"/>
      <c r="R6" s="565"/>
      <c r="S6" s="565"/>
      <c r="T6" s="565"/>
      <c r="U6" s="1557"/>
    </row>
    <row r="7" spans="1:21">
      <c r="A7" s="1557"/>
      <c r="B7" s="1557"/>
      <c r="C7" s="2060"/>
      <c r="D7" s="2060"/>
      <c r="E7" s="2060"/>
      <c r="F7" s="2060"/>
      <c r="G7" s="2060"/>
      <c r="H7" s="2060"/>
      <c r="I7" s="2060"/>
      <c r="J7" s="2060"/>
      <c r="K7" s="2060"/>
      <c r="L7" s="2060"/>
      <c r="M7" s="2060"/>
      <c r="N7" s="2060"/>
      <c r="O7" s="2060"/>
      <c r="P7" s="2060"/>
      <c r="Q7" s="2060"/>
      <c r="R7" s="2060"/>
      <c r="S7" s="2060"/>
      <c r="T7" s="2060"/>
      <c r="U7" s="1557"/>
    </row>
    <row r="8" spans="1:21" s="449" customFormat="1">
      <c r="A8" s="1557"/>
      <c r="B8" s="1557"/>
      <c r="C8" s="2060"/>
      <c r="D8" s="521" t="s">
        <v>2</v>
      </c>
      <c r="E8" s="581">
        <f>IF(ClientName="",0,COUNTIF(F14:F48,Fail))</f>
        <v>0</v>
      </c>
      <c r="F8" s="576" t="str">
        <f>IF(E8=0,Pass,Fail)</f>
        <v>OK</v>
      </c>
      <c r="G8" s="2060" t="e">
        <f ca="1">INDEX($D$14:$D$47,MATCH(MAX(E14:E47),$E$14:$E$47,0))&amp;" sheet"</f>
        <v>#VALUE!</v>
      </c>
      <c r="H8" s="2060"/>
      <c r="I8" s="2060"/>
      <c r="J8" s="2060"/>
      <c r="K8" s="2060"/>
      <c r="L8" s="2060"/>
      <c r="M8" s="2060"/>
      <c r="N8" s="2060"/>
      <c r="O8" s="2060"/>
      <c r="P8" s="2060"/>
      <c r="Q8" s="2060"/>
      <c r="R8" s="2060"/>
      <c r="S8" s="2060"/>
      <c r="T8" s="2060"/>
      <c r="U8" s="1557"/>
    </row>
    <row r="9" spans="1:21" s="449" customFormat="1">
      <c r="A9" s="1557"/>
      <c r="B9" s="1557"/>
      <c r="C9" s="2060"/>
      <c r="D9" s="2060"/>
      <c r="E9" s="2060"/>
      <c r="F9" s="2060"/>
      <c r="G9" s="2060"/>
      <c r="H9" s="2060"/>
      <c r="I9" s="2060"/>
      <c r="J9" s="2060"/>
      <c r="K9" s="2060"/>
      <c r="L9" s="2060"/>
      <c r="M9" s="2060"/>
      <c r="N9" s="2060"/>
      <c r="O9" s="2060"/>
      <c r="P9" s="2060"/>
      <c r="Q9" s="2060"/>
      <c r="R9" s="2060"/>
      <c r="S9" s="2060"/>
      <c r="T9" s="2060"/>
      <c r="U9" s="1557"/>
    </row>
    <row r="10" spans="1:21">
      <c r="A10" s="1557"/>
      <c r="B10" s="1557"/>
      <c r="C10" s="2060"/>
      <c r="D10" s="575" t="s">
        <v>3</v>
      </c>
      <c r="E10" s="2060"/>
      <c r="F10" s="2060"/>
      <c r="G10" s="2060"/>
      <c r="H10" s="575" t="s">
        <v>4</v>
      </c>
      <c r="I10" s="2060"/>
      <c r="J10" s="2060"/>
      <c r="K10" s="2060"/>
      <c r="L10" s="2060"/>
      <c r="M10" s="2060"/>
      <c r="N10" s="2060"/>
      <c r="O10" s="2060"/>
      <c r="P10" s="2060"/>
      <c r="Q10" s="2060"/>
      <c r="R10" s="2060"/>
      <c r="S10" s="2060"/>
      <c r="T10" s="2060"/>
      <c r="U10" s="1557"/>
    </row>
    <row r="11" spans="1:21" s="449" customFormat="1">
      <c r="A11" s="1557"/>
      <c r="B11" s="1557"/>
      <c r="C11" s="2060"/>
      <c r="D11" s="2060"/>
      <c r="E11" s="1505"/>
      <c r="F11" s="2060"/>
      <c r="G11" s="2060"/>
      <c r="H11" s="2060"/>
      <c r="I11" s="2060"/>
      <c r="J11" s="2060"/>
      <c r="K11" s="578"/>
      <c r="L11" s="2060"/>
      <c r="M11" s="2060"/>
      <c r="N11" s="2060"/>
      <c r="O11" s="2060"/>
      <c r="P11" s="2060"/>
      <c r="Q11" s="2060"/>
      <c r="R11" s="2060"/>
      <c r="S11" s="2060"/>
      <c r="T11" s="2060"/>
      <c r="U11" s="1557"/>
    </row>
    <row r="12" spans="1:21">
      <c r="A12" s="1557"/>
      <c r="B12" s="1557"/>
      <c r="C12" s="2060"/>
      <c r="D12" s="1931" t="s">
        <v>5</v>
      </c>
      <c r="E12" s="625" t="s">
        <v>6</v>
      </c>
      <c r="F12" s="573" t="s">
        <v>7</v>
      </c>
      <c r="G12" s="2060"/>
      <c r="H12" s="572" t="s">
        <v>8</v>
      </c>
      <c r="I12" s="573" t="s">
        <v>7</v>
      </c>
      <c r="J12" s="2060"/>
      <c r="K12" s="579"/>
      <c r="L12" s="571" t="s">
        <v>9</v>
      </c>
      <c r="M12" s="570"/>
      <c r="N12" s="2060"/>
      <c r="O12" s="2060"/>
      <c r="P12" s="2060"/>
      <c r="Q12" s="2060"/>
      <c r="R12" s="2060"/>
      <c r="S12" s="2060"/>
      <c r="T12" s="580"/>
      <c r="U12" s="1557"/>
    </row>
    <row r="13" spans="1:21">
      <c r="A13" s="1557"/>
      <c r="B13" s="1557"/>
      <c r="C13" s="2060"/>
      <c r="D13" s="2060"/>
      <c r="E13" s="1505"/>
      <c r="F13" s="2060"/>
      <c r="G13" s="2060"/>
      <c r="H13" s="2060"/>
      <c r="I13" s="2060"/>
      <c r="J13" s="2060"/>
      <c r="K13" s="2060"/>
      <c r="L13" s="570" t="s">
        <v>10</v>
      </c>
      <c r="M13" s="582">
        <v>1E-3</v>
      </c>
      <c r="N13" s="2060"/>
      <c r="O13" s="2060"/>
      <c r="P13" s="2060"/>
      <c r="Q13" s="2060"/>
      <c r="R13" s="2060"/>
      <c r="S13" s="2060"/>
      <c r="T13" s="2060"/>
      <c r="U13" s="1557"/>
    </row>
    <row r="14" spans="1:21">
      <c r="A14" s="1557"/>
      <c r="B14" s="1557"/>
      <c r="C14" s="2060">
        <v>1</v>
      </c>
      <c r="D14" s="30" t="e">
        <f ca="1">RIGHT(CELL("filename",'Conclusion of Value'!$A$1),LEN(CELL("filename",'Conclusion of Value'!$A$1))-FIND("]",CELL("filename",'Conclusion of Value'!$A$1)))</f>
        <v>#VALUE!</v>
      </c>
      <c r="E14" s="667">
        <f ca="1">'Conclusion of Value'!$B$1</f>
        <v>0</v>
      </c>
      <c r="F14" s="576" t="str">
        <f ca="1">IF(E14=0,Pass,Fail)</f>
        <v>OK</v>
      </c>
      <c r="G14" s="2060"/>
      <c r="H14" s="609" t="e">
        <f ca="1">RIGHT(CELL("filename",'EBIT Reconciliation'!$A$1),LEN(CELL("filename",'EBIT Reconciliation'!$A$1))-FIND("]",CELL("filename",'EBIT Reconciliation'!$A$1)))</f>
        <v>#VALUE!</v>
      </c>
      <c r="I14" s="2060"/>
      <c r="J14" s="2060"/>
      <c r="K14" s="585"/>
      <c r="L14" s="2060"/>
      <c r="M14" s="2060"/>
      <c r="N14" s="2060"/>
      <c r="O14" s="2060"/>
      <c r="P14" s="2060"/>
      <c r="Q14" s="2060"/>
      <c r="R14" s="2060"/>
      <c r="S14" s="2060"/>
      <c r="T14" s="586"/>
      <c r="U14" s="1557"/>
    </row>
    <row r="15" spans="1:21">
      <c r="A15" s="1557"/>
      <c r="B15" s="1557"/>
      <c r="C15" s="2060">
        <f>C14+1</f>
        <v>2</v>
      </c>
      <c r="D15" s="30" t="e">
        <f ca="1">RIGHT(CELL("filename",'WACC and TIC Inputs'!$A$1),LEN(CELL("filename",'WACC and TIC Inputs'!$A$1))-FIND("]",CELL("filename",'WACC and TIC Inputs'!$A$1)))</f>
        <v>#VALUE!</v>
      </c>
      <c r="E15" s="667">
        <f ca="1">'WACC and TIC Inputs'!B1</f>
        <v>0</v>
      </c>
      <c r="F15" s="576" t="str">
        <f ca="1">IF(E15=0,Pass,Fail)</f>
        <v>OK</v>
      </c>
      <c r="G15" s="2060"/>
      <c r="H15" s="2060" t="s">
        <v>11</v>
      </c>
      <c r="I15" s="2060"/>
      <c r="J15" s="2060"/>
      <c r="K15" s="585"/>
      <c r="L15" s="571" t="s">
        <v>12</v>
      </c>
      <c r="M15" s="570"/>
      <c r="N15" s="2060"/>
      <c r="O15" s="2060"/>
      <c r="P15" s="2060"/>
      <c r="Q15" s="2060"/>
      <c r="R15" s="2060"/>
      <c r="S15" s="2060"/>
      <c r="T15" s="2060"/>
      <c r="U15" s="1557"/>
    </row>
    <row r="16" spans="1:21" s="646" customFormat="1">
      <c r="A16" s="1557"/>
      <c r="B16" s="1557"/>
      <c r="C16" s="2060">
        <f>C15+1</f>
        <v>3</v>
      </c>
      <c r="D16" s="30" t="e">
        <f ca="1">RIGHT(CELL("filename",'DATA GPC'!$A$1),LEN(CELL("filename",'DATA GPC'!$A$1))-FIND("]",CELL("filename",'DATA GPC'!$A$1)))</f>
        <v>#VALUE!</v>
      </c>
      <c r="E16" s="667">
        <f>'DATA GPC'!B1</f>
        <v>0</v>
      </c>
      <c r="F16" s="576" t="str">
        <f>IF(E16=0,Pass,Fail)</f>
        <v>OK</v>
      </c>
      <c r="G16" s="2060"/>
      <c r="H16" s="1030" t="s">
        <v>13</v>
      </c>
      <c r="I16" s="576" t="str">
        <f>IF(SUM('EBIT Reconciliation'!F24:O24)&lt;&gt;0,CheckReview,Pass)</f>
        <v>OK</v>
      </c>
      <c r="J16" s="2060"/>
      <c r="K16" s="585"/>
      <c r="L16" s="570" t="s">
        <v>14</v>
      </c>
      <c r="M16" s="582" t="b">
        <v>0</v>
      </c>
      <c r="N16" s="2060"/>
      <c r="O16" s="2060"/>
      <c r="P16" s="2060"/>
      <c r="Q16" s="2060"/>
      <c r="R16" s="2060"/>
      <c r="S16" s="2060"/>
      <c r="T16" s="2060"/>
      <c r="U16" s="1557"/>
    </row>
    <row r="17" spans="1:21">
      <c r="A17" s="1557"/>
      <c r="B17" s="1557"/>
      <c r="C17" s="2060">
        <f>C16+1</f>
        <v>4</v>
      </c>
      <c r="D17" s="30" t="e">
        <f ca="1">RIGHT(CELL("filename",DCF!$A$1),LEN(CELL("filename",DCF!$A$1))-FIND("]",CELL("filename",DCF!$A$1)))</f>
        <v>#VALUE!</v>
      </c>
      <c r="E17" s="667">
        <f ca="1">DCF!$B$1</f>
        <v>0</v>
      </c>
      <c r="F17" s="576" t="str">
        <f ca="1">IF(E17=0,Pass,Fail)</f>
        <v>OK</v>
      </c>
      <c r="G17" s="2060"/>
      <c r="H17" s="1030" t="s">
        <v>15</v>
      </c>
      <c r="I17" s="576" t="str">
        <f>IF(SUM('EBIT Reconciliation'!F72:J72)&lt;&gt;0,CheckReview,Pass)</f>
        <v>OK</v>
      </c>
      <c r="J17" s="2060"/>
      <c r="K17" s="585"/>
      <c r="L17" s="2060"/>
      <c r="M17" s="2060"/>
      <c r="N17" s="2060"/>
      <c r="O17" s="2060"/>
      <c r="P17" s="2060"/>
      <c r="Q17" s="2060"/>
      <c r="R17" s="2060"/>
      <c r="S17" s="2060"/>
      <c r="T17" s="586"/>
      <c r="U17" s="1557"/>
    </row>
    <row r="18" spans="1:21">
      <c r="A18" s="1557"/>
      <c r="B18" s="1557"/>
      <c r="C18" s="2060">
        <f>C17+1</f>
        <v>5</v>
      </c>
      <c r="D18" s="30" t="e">
        <f ca="1">RIGHT(CELL("filename",'Depreciation and Tax Benefit'!$A$1),LEN(CELL("filename",'Depreciation and Tax Benefit'!$A$1))-FIND("]",CELL("filename",'Depreciation and Tax Benefit'!$A$1)))</f>
        <v>#VALUE!</v>
      </c>
      <c r="E18" s="667">
        <f ca="1">'Depreciation and Tax Benefit'!$B$1</f>
        <v>0</v>
      </c>
      <c r="F18" s="576" t="str">
        <f t="shared" ref="F18:F33" ca="1" si="0">IF(E18=0,Pass,Fail)</f>
        <v>OK</v>
      </c>
      <c r="G18" s="2060"/>
      <c r="H18" s="2060" t="s">
        <v>16</v>
      </c>
      <c r="I18" s="2060"/>
      <c r="J18" s="2060"/>
      <c r="K18" s="585"/>
      <c r="L18" s="2060"/>
      <c r="M18" s="2060"/>
      <c r="N18" s="2060"/>
      <c r="O18" s="2060"/>
      <c r="P18" s="2060"/>
      <c r="Q18" s="2060"/>
      <c r="R18" s="2060"/>
      <c r="S18" s="2060"/>
      <c r="T18" s="586"/>
      <c r="U18" s="1557"/>
    </row>
    <row r="19" spans="1:21">
      <c r="A19" s="1557"/>
      <c r="B19" s="1557"/>
      <c r="C19" s="2060">
        <f t="shared" ref="C19:C34" si="1">C18+1</f>
        <v>6</v>
      </c>
      <c r="D19" s="30" t="e">
        <f ca="1">RIGHT(CELL("filename",'Depreciation%Sales'!$A$1),LEN(CELL("filename",'Depreciation%Sales'!$A$1))-FIND("]",CELL("filename",'Depreciation%Sales'!$A$1)))</f>
        <v>#VALUE!</v>
      </c>
      <c r="E19" s="667">
        <f>'Depreciation%Sales'!$B$1</f>
        <v>0</v>
      </c>
      <c r="F19" s="576" t="str">
        <f t="shared" si="0"/>
        <v>OK</v>
      </c>
      <c r="G19" s="2060"/>
      <c r="H19" s="2060"/>
      <c r="I19" s="2060"/>
      <c r="J19" s="2060"/>
      <c r="K19" s="585"/>
      <c r="L19" s="2060"/>
      <c r="M19" s="2060"/>
      <c r="N19" s="2060"/>
      <c r="O19" s="2060"/>
      <c r="P19" s="2060"/>
      <c r="Q19" s="2060"/>
      <c r="R19" s="2060"/>
      <c r="S19" s="2060"/>
      <c r="T19" s="586"/>
      <c r="U19" s="1557"/>
    </row>
    <row r="20" spans="1:21" s="646" customFormat="1">
      <c r="A20" s="1557"/>
      <c r="B20" s="1557"/>
      <c r="C20" s="2060">
        <f t="shared" si="1"/>
        <v>7</v>
      </c>
      <c r="D20" s="30" t="e">
        <f ca="1">RIGHT(CELL("filename",'DuPont ROA'!$A$1),LEN(CELL("filename",'DuPont ROA'!$A$1))-FIND("]",CELL("filename",'DuPont ROA'!$A$1)))</f>
        <v>#VALUE!</v>
      </c>
      <c r="E20" s="574">
        <f ca="1">'DuPont ROA'!$B$1</f>
        <v>0</v>
      </c>
      <c r="F20" s="576" t="str">
        <f t="shared" ca="1" si="0"/>
        <v>OK</v>
      </c>
      <c r="G20" s="2060"/>
      <c r="H20" s="1030" t="s">
        <v>13</v>
      </c>
      <c r="I20" s="576" t="str">
        <f>IF(SUM('EBIT Reconciliation'!F35:O35)&lt;&gt;0,CheckReview,Pass)</f>
        <v>OK</v>
      </c>
      <c r="J20" s="2060"/>
      <c r="K20" s="585"/>
      <c r="L20" s="2060"/>
      <c r="M20" s="2060"/>
      <c r="N20" s="2060"/>
      <c r="O20" s="2060"/>
      <c r="P20" s="2060"/>
      <c r="Q20" s="2060"/>
      <c r="R20" s="2060"/>
      <c r="S20" s="2060"/>
      <c r="T20" s="586"/>
      <c r="U20" s="1557"/>
    </row>
    <row r="21" spans="1:21">
      <c r="A21" s="1557"/>
      <c r="B21" s="1557"/>
      <c r="C21" s="2060">
        <f t="shared" si="1"/>
        <v>8</v>
      </c>
      <c r="D21" s="30" t="e">
        <f ca="1">RIGHT(CELL("filename",'DuPont ROE'!$A$1),LEN(CELL("filename",'DuPont ROE'!$A$1))-FIND("]",CELL("filename",'DuPont ROE'!$A$1)))</f>
        <v>#VALUE!</v>
      </c>
      <c r="E21" s="574">
        <f ca="1">'DuPont ROE'!$B$1</f>
        <v>0</v>
      </c>
      <c r="F21" s="576" t="str">
        <f t="shared" ca="1" si="0"/>
        <v>OK</v>
      </c>
      <c r="G21" s="2060"/>
      <c r="H21" s="1030" t="s">
        <v>15</v>
      </c>
      <c r="I21" s="576" t="str">
        <f>IF(SUM('EBIT Reconciliation'!F83:J83)&lt;&gt;0,CheckReview,Pass)</f>
        <v>OK</v>
      </c>
      <c r="J21" s="2060"/>
      <c r="K21" s="585"/>
      <c r="L21" s="2060"/>
      <c r="M21" s="2060"/>
      <c r="N21" s="2060"/>
      <c r="O21" s="2060"/>
      <c r="P21" s="2060"/>
      <c r="Q21" s="2060"/>
      <c r="R21" s="2060"/>
      <c r="S21" s="2060"/>
      <c r="T21" s="586"/>
      <c r="U21" s="1557"/>
    </row>
    <row r="22" spans="1:21">
      <c r="A22" s="1557"/>
      <c r="B22" s="1557"/>
      <c r="C22" s="2060">
        <f t="shared" si="1"/>
        <v>9</v>
      </c>
      <c r="D22" s="30" t="e">
        <f ca="1">RIGHT(CELL("filename",'EBIT Reconciliation'!$A$1),LEN(CELL("filename",'EBIT Reconciliation'!$A$1))-FIND("]",CELL("filename",'EBIT Reconciliation'!$A$1)))</f>
        <v>#VALUE!</v>
      </c>
      <c r="E22" s="574">
        <f ca="1">'EBIT Reconciliation'!$B$1</f>
        <v>0</v>
      </c>
      <c r="F22" s="576" t="str">
        <f t="shared" ca="1" si="0"/>
        <v>OK</v>
      </c>
      <c r="G22" s="2060"/>
      <c r="H22" s="2060"/>
      <c r="I22" s="2060"/>
      <c r="J22" s="2060"/>
      <c r="K22" s="585"/>
      <c r="L22" s="2060"/>
      <c r="M22" s="2060"/>
      <c r="N22" s="2060"/>
      <c r="O22" s="2060"/>
      <c r="P22" s="2060"/>
      <c r="Q22" s="2060"/>
      <c r="R22" s="2060"/>
      <c r="S22" s="2060"/>
      <c r="T22" s="586"/>
      <c r="U22" s="1557"/>
    </row>
    <row r="23" spans="1:21">
      <c r="A23" s="1557"/>
      <c r="B23" s="1557"/>
      <c r="C23" s="2060">
        <f t="shared" si="1"/>
        <v>10</v>
      </c>
      <c r="D23" s="30" t="e">
        <f ca="1">RIGHT(CELL("filename",'Equity Multiples'!$A$1),LEN(CELL("filename",'Equity Multiples'!$A$1))-FIND("]",CELL("filename",'Equity Multiples'!$A$1)))</f>
        <v>#VALUE!</v>
      </c>
      <c r="E23" s="574">
        <f ca="1">'Equity Multiples'!$B$1</f>
        <v>0</v>
      </c>
      <c r="F23" s="576" t="str">
        <f t="shared" ca="1" si="0"/>
        <v>OK</v>
      </c>
      <c r="G23" s="2060"/>
      <c r="H23" s="2060"/>
      <c r="I23" s="2060"/>
      <c r="J23" s="2060"/>
      <c r="K23" s="585"/>
      <c r="L23" s="2060"/>
      <c r="M23" s="2060"/>
      <c r="N23" s="2060"/>
      <c r="O23" s="2060"/>
      <c r="P23" s="2060"/>
      <c r="Q23" s="2060"/>
      <c r="R23" s="2060"/>
      <c r="S23" s="2060"/>
      <c r="T23" s="587"/>
      <c r="U23" s="1557"/>
    </row>
    <row r="24" spans="1:21" s="646" customFormat="1">
      <c r="A24" s="1557"/>
      <c r="B24" s="1557"/>
      <c r="C24" s="2060">
        <f t="shared" si="1"/>
        <v>11</v>
      </c>
      <c r="D24" s="30" t="e">
        <f ca="1">RIGHT(CELL("filename",'Growth&amp;Margins'!$A$1),LEN(CELL("filename",'Growth&amp;Margins'!$A$1))-FIND("]",CELL("filename",'Growth&amp;Margins'!$A$1)))</f>
        <v>#VALUE!</v>
      </c>
      <c r="E24" s="574">
        <f ca="1">'Growth&amp;Margins'!$B$1</f>
        <v>0</v>
      </c>
      <c r="F24" s="576" t="str">
        <f t="shared" ca="1" si="0"/>
        <v>OK</v>
      </c>
      <c r="G24" s="2060"/>
      <c r="H24" s="2060"/>
      <c r="I24" s="2060"/>
      <c r="J24" s="2060"/>
      <c r="K24" s="585"/>
      <c r="L24" s="2060"/>
      <c r="M24" s="2060"/>
      <c r="N24" s="2060"/>
      <c r="O24" s="2060"/>
      <c r="P24" s="2060"/>
      <c r="Q24" s="2060"/>
      <c r="R24" s="2060"/>
      <c r="S24" s="2060"/>
      <c r="T24" s="587"/>
      <c r="U24" s="1557"/>
    </row>
    <row r="25" spans="1:21" s="646" customFormat="1">
      <c r="A25" s="1557"/>
      <c r="B25" s="1557"/>
      <c r="C25" s="2060">
        <f t="shared" si="1"/>
        <v>12</v>
      </c>
      <c r="D25" s="30" t="e">
        <f ca="1">RIGHT(CELL("filename",'GPC Business Descriptions'!$A$1),LEN(CELL("filename",'GPC Business Descriptions'!$A$1))-FIND("]",CELL("filename",'GPC Business Descriptions'!$A$1)))</f>
        <v>#VALUE!</v>
      </c>
      <c r="E25" s="574">
        <f>'GPC Business Descriptions'!$B$1</f>
        <v>0</v>
      </c>
      <c r="F25" s="576" t="str">
        <f t="shared" si="0"/>
        <v>OK</v>
      </c>
      <c r="G25" s="2060"/>
      <c r="H25" s="2060"/>
      <c r="I25" s="2060"/>
      <c r="J25" s="2060"/>
      <c r="K25" s="585"/>
      <c r="L25" s="2060"/>
      <c r="M25" s="2060"/>
      <c r="N25" s="2060"/>
      <c r="O25" s="2060"/>
      <c r="P25" s="2060"/>
      <c r="Q25" s="2060"/>
      <c r="R25" s="2060"/>
      <c r="S25" s="2060"/>
      <c r="T25" s="587"/>
      <c r="U25" s="1557"/>
    </row>
    <row r="26" spans="1:21">
      <c r="A26" s="1557"/>
      <c r="B26" s="1557"/>
      <c r="C26" s="2060">
        <f t="shared" si="1"/>
        <v>13</v>
      </c>
      <c r="D26" s="30" t="e">
        <f ca="1">RIGHT(CELL("filename",'Guideline Public Co Estimates'!$A$1),LEN(CELL("filename",'Guideline Public Co Estimates'!$A$1))-FIND("]",CELL("filename",'Guideline Public Co Estimates'!$A$1)))</f>
        <v>#VALUE!</v>
      </c>
      <c r="E26" s="574">
        <f ca="1">'Guideline Public Co Estimates'!$B$1</f>
        <v>0</v>
      </c>
      <c r="F26" s="576" t="str">
        <f t="shared" ca="1" si="0"/>
        <v>OK</v>
      </c>
      <c r="G26" s="2060"/>
      <c r="H26" s="2060"/>
      <c r="I26" s="2060"/>
      <c r="J26" s="2060"/>
      <c r="K26" s="585"/>
      <c r="L26" s="2060"/>
      <c r="M26" s="2060"/>
      <c r="N26" s="2060"/>
      <c r="O26" s="2060"/>
      <c r="P26" s="2060"/>
      <c r="Q26" s="2060"/>
      <c r="R26" s="2060"/>
      <c r="S26" s="2060"/>
      <c r="T26" s="586"/>
      <c r="U26" s="1557"/>
    </row>
    <row r="27" spans="1:21">
      <c r="A27" s="1557"/>
      <c r="B27" s="1557"/>
      <c r="C27" s="2060">
        <f t="shared" si="1"/>
        <v>14</v>
      </c>
      <c r="D27" s="30" t="e">
        <f ca="1">RIGHT(CELL("filename",'Guideline Public Company Method'!$A$1),LEN(CELL("filename",'Guideline Public Company Method'!$A$1))-FIND("]",CELL("filename",'Guideline Public Company Method'!$A$1)))</f>
        <v>#VALUE!</v>
      </c>
      <c r="E27" s="667">
        <f ca="1">'Guideline Public Company Method'!$B$1</f>
        <v>0</v>
      </c>
      <c r="F27" s="576" t="str">
        <f t="shared" ca="1" si="0"/>
        <v>OK</v>
      </c>
      <c r="G27" s="2060"/>
      <c r="H27" s="2060"/>
      <c r="I27" s="2060"/>
      <c r="J27" s="2060"/>
      <c r="K27" s="585"/>
      <c r="L27" s="2060"/>
      <c r="M27" s="2060"/>
      <c r="N27" s="2060"/>
      <c r="O27" s="2060"/>
      <c r="P27" s="2060"/>
      <c r="Q27" s="2060"/>
      <c r="R27" s="2060"/>
      <c r="S27" s="2060"/>
      <c r="T27" s="586"/>
      <c r="U27" s="1557"/>
    </row>
    <row r="28" spans="1:21">
      <c r="A28" s="1557"/>
      <c r="B28" s="1557"/>
      <c r="C28" s="2060">
        <f t="shared" si="1"/>
        <v>15</v>
      </c>
      <c r="D28" s="30" t="e">
        <f ca="1">RIGHT(CELL("filename",'Guideline Transactions Input'!$A$1),LEN(CELL("filename",'Guideline Transactions Input'!$A$1))-FIND("]",CELL("filename",'Guideline Transactions Input'!$A$1)))</f>
        <v>#VALUE!</v>
      </c>
      <c r="E28" s="667">
        <f>'Guideline Transactions Input'!$B$1</f>
        <v>0</v>
      </c>
      <c r="F28" s="576" t="str">
        <f t="shared" si="0"/>
        <v>OK</v>
      </c>
      <c r="G28" s="2060"/>
      <c r="H28" s="2060"/>
      <c r="I28" s="2060"/>
      <c r="J28" s="2060"/>
      <c r="K28" s="585"/>
      <c r="L28" s="2060"/>
      <c r="M28" s="2060"/>
      <c r="N28" s="2060"/>
      <c r="O28" s="2060"/>
      <c r="P28" s="2060"/>
      <c r="Q28" s="2060"/>
      <c r="R28" s="2060"/>
      <c r="S28" s="2060"/>
      <c r="T28" s="586"/>
      <c r="U28" s="1557"/>
    </row>
    <row r="29" spans="1:21" s="646" customFormat="1">
      <c r="A29" s="1557"/>
      <c r="B29" s="1557"/>
      <c r="C29" s="2060">
        <f t="shared" si="1"/>
        <v>16</v>
      </c>
      <c r="D29" s="968" t="e">
        <f ca="1">RIGHT(CELL("filename",'Guideline Transactions Method'!$A$1),LEN(CELL("filename",'Guideline Transactions Method'!$A$1))-FIND("]",CELL("filename",'Guideline Transactions Method'!$A$1)))</f>
        <v>#VALUE!</v>
      </c>
      <c r="E29" s="667">
        <f ca="1">'Guideline Transactions Method'!$B$1</f>
        <v>0</v>
      </c>
      <c r="F29" s="576" t="str">
        <f t="shared" ca="1" si="0"/>
        <v>OK</v>
      </c>
      <c r="G29" s="2060"/>
      <c r="H29" s="2060"/>
      <c r="I29" s="2060"/>
      <c r="J29" s="2060"/>
      <c r="K29" s="585"/>
      <c r="L29" s="2060"/>
      <c r="M29" s="2060"/>
      <c r="N29" s="2060"/>
      <c r="O29" s="2060"/>
      <c r="P29" s="2060"/>
      <c r="Q29" s="2060"/>
      <c r="R29" s="2060"/>
      <c r="S29" s="2060"/>
      <c r="T29" s="586"/>
      <c r="U29" s="1557"/>
    </row>
    <row r="30" spans="1:21">
      <c r="A30" s="1557"/>
      <c r="B30" s="1557"/>
      <c r="C30" s="2060">
        <f t="shared" si="1"/>
        <v>17</v>
      </c>
      <c r="D30" s="30" t="e">
        <f ca="1">RIGHT(CELL("filename",'Hist Debt Mkt Equity'!$A$1),LEN(CELL("filename",'Hist Debt Mkt Equity'!$A$1))-FIND("]",CELL("filename",'Hist Debt Mkt Equity'!$A$1)))</f>
        <v>#VALUE!</v>
      </c>
      <c r="E30" s="574">
        <f ca="1">'Hist Debt Mkt Equity'!$B$1</f>
        <v>0</v>
      </c>
      <c r="F30" s="576" t="str">
        <f t="shared" ca="1" si="0"/>
        <v>OK</v>
      </c>
      <c r="G30" s="2060"/>
      <c r="H30" s="2060"/>
      <c r="I30" s="2060"/>
      <c r="J30" s="2060"/>
      <c r="K30" s="585"/>
      <c r="L30" s="2060"/>
      <c r="M30" s="2060"/>
      <c r="N30" s="2060"/>
      <c r="O30" s="2060"/>
      <c r="P30" s="2060"/>
      <c r="Q30" s="2060"/>
      <c r="R30" s="2060"/>
      <c r="S30" s="2060"/>
      <c r="T30" s="586"/>
      <c r="U30" s="1557"/>
    </row>
    <row r="31" spans="1:21">
      <c r="A31" s="1557"/>
      <c r="B31" s="1557"/>
      <c r="C31" s="2060">
        <f t="shared" si="1"/>
        <v>18</v>
      </c>
      <c r="D31" s="30" t="e">
        <f ca="1">RIGHT(CELL("filename",'BAL SHEET Hist Input'!$B$1),LEN(CELL("filename",'BAL SHEET Hist Input'!$B$1))-FIND("]",CELL("filename",'BAL SHEET Hist Input'!$B$1)))</f>
        <v>#VALUE!</v>
      </c>
      <c r="E31" s="667">
        <f ca="1">'BAL SHEET Hist Input'!$B$1</f>
        <v>0</v>
      </c>
      <c r="F31" s="576" t="str">
        <f t="shared" ca="1" si="0"/>
        <v>OK</v>
      </c>
      <c r="G31" s="2060"/>
      <c r="H31" s="2060"/>
      <c r="I31" s="2060"/>
      <c r="J31" s="2060"/>
      <c r="K31" s="585"/>
      <c r="L31" s="2060"/>
      <c r="M31" s="2060"/>
      <c r="N31" s="2060"/>
      <c r="O31" s="2060"/>
      <c r="P31" s="2060"/>
      <c r="Q31" s="2060"/>
      <c r="R31" s="2060"/>
      <c r="S31" s="2060"/>
      <c r="T31" s="586"/>
      <c r="U31" s="1557"/>
    </row>
    <row r="32" spans="1:21">
      <c r="A32" s="1557"/>
      <c r="B32" s="1557"/>
      <c r="C32" s="2060">
        <f t="shared" si="1"/>
        <v>19</v>
      </c>
      <c r="D32" s="30" t="e">
        <f ca="1">RIGHT(CELL("filename",'INC STAT Hist Input'!$B$1),LEN(CELL("filename",'INC STAT Hist Input'!$B$1))-FIND("]",CELL("filename",'INC STAT Hist Input'!$B$1)))</f>
        <v>#VALUE!</v>
      </c>
      <c r="E32" s="667">
        <f ca="1">'INC STAT Hist Input'!$B$1</f>
        <v>0</v>
      </c>
      <c r="F32" s="576" t="str">
        <f t="shared" ca="1" si="0"/>
        <v>OK</v>
      </c>
      <c r="G32" s="2060"/>
      <c r="H32" s="2060"/>
      <c r="I32" s="2060"/>
      <c r="J32" s="2060"/>
      <c r="K32" s="585"/>
      <c r="L32" s="2060"/>
      <c r="M32" s="2060"/>
      <c r="N32" s="2060"/>
      <c r="O32" s="2060"/>
      <c r="P32" s="2060"/>
      <c r="Q32" s="2060"/>
      <c r="R32" s="2060"/>
      <c r="S32" s="2060"/>
      <c r="T32" s="586"/>
      <c r="U32" s="1557"/>
    </row>
    <row r="33" spans="1:21">
      <c r="A33" s="1557"/>
      <c r="B33" s="1557"/>
      <c r="C33" s="2060">
        <f t="shared" si="1"/>
        <v>20</v>
      </c>
      <c r="D33" s="30" t="e">
        <f ca="1">RIGHT(CELL("filename",'Market Cap Reconciliation'!$A$1),LEN(CELL("filename",'Market Cap Reconciliation'!$A$1))-FIND("]",CELL("filename",'Market Cap Reconciliation'!$A$1)))</f>
        <v>#VALUE!</v>
      </c>
      <c r="E33" s="667">
        <f ca="1">'Market Cap Reconciliation'!$B$1</f>
        <v>0</v>
      </c>
      <c r="F33" s="576" t="str">
        <f t="shared" ca="1" si="0"/>
        <v>OK</v>
      </c>
      <c r="G33" s="2060"/>
      <c r="H33" s="2060"/>
      <c r="I33" s="2060"/>
      <c r="J33" s="2060"/>
      <c r="K33" s="585"/>
      <c r="L33" s="2060"/>
      <c r="M33" s="2060"/>
      <c r="N33" s="2060"/>
      <c r="O33" s="2060"/>
      <c r="P33" s="2060"/>
      <c r="Q33" s="2060"/>
      <c r="R33" s="2060"/>
      <c r="S33" s="2060"/>
      <c r="T33" s="586"/>
      <c r="U33" s="1557"/>
    </row>
    <row r="34" spans="1:21">
      <c r="A34" s="1557"/>
      <c r="B34" s="1557"/>
      <c r="C34" s="2060">
        <f t="shared" si="1"/>
        <v>21</v>
      </c>
      <c r="D34" s="30" t="e">
        <f ca="1">RIGHT(CELL("filename",'NOL Tax Benefit'!$A$1),LEN(CELL("filename",'NOL Tax Benefit'!$A$1))-FIND("]",CELL("filename",'NOL Tax Benefit'!$A$1)))</f>
        <v>#VALUE!</v>
      </c>
      <c r="E34" s="667">
        <f ca="1">'NOL Tax Benefit'!$B$1</f>
        <v>1</v>
      </c>
      <c r="F34" s="576" t="str">
        <f t="shared" ref="F34:F47" ca="1" si="2">IF(E34=0,Pass,Fail)</f>
        <v>ERROR</v>
      </c>
      <c r="G34" s="2060"/>
      <c r="H34" s="2060"/>
      <c r="I34" s="2060"/>
      <c r="J34" s="2060"/>
      <c r="K34" s="585"/>
      <c r="L34" s="2060"/>
      <c r="M34" s="2060"/>
      <c r="N34" s="2060"/>
      <c r="O34" s="2060"/>
      <c r="P34" s="2060"/>
      <c r="Q34" s="2060"/>
      <c r="R34" s="2060"/>
      <c r="S34" s="2060"/>
      <c r="T34" s="586"/>
      <c r="U34" s="1557"/>
    </row>
    <row r="35" spans="1:21" s="646" customFormat="1">
      <c r="A35" s="1557"/>
      <c r="B35" s="1557"/>
      <c r="C35" s="2060">
        <f t="shared" ref="C35:C47" si="3">C34+1</f>
        <v>22</v>
      </c>
      <c r="D35" s="30" t="e">
        <f ca="1">RIGHT(CELL("filename",'Working Capital'!$A$1),LEN(CELL("filename",'Working Capital'!$A$1))-FIND("]",CELL("filename",'Working Capital'!$A$1)))</f>
        <v>#VALUE!</v>
      </c>
      <c r="E35" s="574">
        <f>'Working Capital'!$B$1</f>
        <v>0</v>
      </c>
      <c r="F35" s="576" t="str">
        <f t="shared" si="2"/>
        <v>OK</v>
      </c>
      <c r="G35" s="2060"/>
      <c r="H35" s="2060"/>
      <c r="I35" s="2060"/>
      <c r="J35" s="2060"/>
      <c r="K35" s="585"/>
      <c r="L35" s="2060"/>
      <c r="M35" s="2060"/>
      <c r="N35" s="2060"/>
      <c r="O35" s="2060"/>
      <c r="P35" s="2060"/>
      <c r="Q35" s="2060"/>
      <c r="R35" s="2060"/>
      <c r="S35" s="2060"/>
      <c r="T35" s="586"/>
      <c r="U35" s="1557"/>
    </row>
    <row r="36" spans="1:21" s="646" customFormat="1">
      <c r="A36" s="1557"/>
      <c r="B36" s="1557"/>
      <c r="C36" s="2060">
        <f t="shared" si="3"/>
        <v>23</v>
      </c>
      <c r="D36" s="30" t="e">
        <f ca="1">RIGHT(CELL("filename",'PFI Inc Stat'!$A$1),LEN(CELL("filename",'PFI Inc Stat'!$A$1))-FIND("]",CELL("filename",'PFI Inc Stat'!$A$1)))</f>
        <v>#VALUE!</v>
      </c>
      <c r="E36" s="574">
        <f ca="1">'PFI Inc Stat'!$B$1</f>
        <v>0</v>
      </c>
      <c r="F36" s="576" t="str">
        <f ca="1">IF(E36=0,Pass,Fail)</f>
        <v>OK</v>
      </c>
      <c r="G36" s="2060"/>
      <c r="H36" s="2060"/>
      <c r="I36" s="2060"/>
      <c r="J36" s="2060"/>
      <c r="K36" s="585"/>
      <c r="L36" s="2060"/>
      <c r="M36" s="2060"/>
      <c r="N36" s="2060"/>
      <c r="O36" s="2060"/>
      <c r="P36" s="2060"/>
      <c r="Q36" s="2060"/>
      <c r="R36" s="2060"/>
      <c r="S36" s="2060"/>
      <c r="T36" s="586"/>
      <c r="U36" s="1557"/>
    </row>
    <row r="37" spans="1:21" s="646" customFormat="1">
      <c r="A37" s="1557"/>
      <c r="B37" s="1557"/>
      <c r="C37" s="2060">
        <f t="shared" si="3"/>
        <v>24</v>
      </c>
      <c r="D37" s="30" t="e">
        <f ca="1">RIGHT(CELL("filename",'PFI Inc Stat Common Size'!$A$1),LEN(CELL("filename",'PFI Inc Stat Common Size'!$A$1))-FIND("]",CELL("filename",'PFI Inc Stat Common Size'!$A$1)))</f>
        <v>#VALUE!</v>
      </c>
      <c r="E37" s="667">
        <f ca="1">'PFI Inc Stat Common Size'!$B$1</f>
        <v>0</v>
      </c>
      <c r="F37" s="576" t="str">
        <f t="shared" ca="1" si="2"/>
        <v>OK</v>
      </c>
      <c r="G37" s="2060"/>
      <c r="H37" s="2060"/>
      <c r="I37" s="2060"/>
      <c r="J37" s="2060"/>
      <c r="K37" s="585"/>
      <c r="L37" s="2060"/>
      <c r="M37" s="2060"/>
      <c r="N37" s="2060"/>
      <c r="O37" s="2060"/>
      <c r="P37" s="2060"/>
      <c r="Q37" s="2060"/>
      <c r="R37" s="2060"/>
      <c r="S37" s="2060"/>
      <c r="T37" s="586"/>
      <c r="U37" s="1557"/>
    </row>
    <row r="38" spans="1:21" s="646" customFormat="1">
      <c r="A38" s="1557"/>
      <c r="B38" s="1557"/>
      <c r="C38" s="2060">
        <f t="shared" si="3"/>
        <v>25</v>
      </c>
      <c r="D38" s="2060" t="e">
        <f ca="1">RIGHT(CELL("filename",'PFI Inputs'!$B$1),LEN(CELL("filename",'PFI Inputs'!$B$1))-FIND("]",CELL("filename",'PFI Inputs'!$B$1)))</f>
        <v>#VALUE!</v>
      </c>
      <c r="E38" s="667">
        <f ca="1">'PFI Inputs'!$B$1</f>
        <v>0</v>
      </c>
      <c r="F38" s="576" t="str">
        <f t="shared" ca="1" si="2"/>
        <v>OK</v>
      </c>
      <c r="G38" s="2060"/>
      <c r="H38" s="2060"/>
      <c r="I38" s="2060"/>
      <c r="J38" s="2060"/>
      <c r="K38" s="585"/>
      <c r="L38" s="2060"/>
      <c r="M38" s="2060"/>
      <c r="N38" s="2060"/>
      <c r="O38" s="2060"/>
      <c r="P38" s="2060"/>
      <c r="Q38" s="2060"/>
      <c r="R38" s="2060"/>
      <c r="S38" s="2060"/>
      <c r="T38" s="586"/>
      <c r="U38" s="1557"/>
    </row>
    <row r="39" spans="1:21" s="646" customFormat="1">
      <c r="A39" s="1557"/>
      <c r="B39" s="1557"/>
      <c r="C39" s="2060">
        <f t="shared" si="3"/>
        <v>26</v>
      </c>
      <c r="D39" s="30" t="e">
        <f ca="1">RIGHT(CELL("filename",Ranking!$A$1),LEN(CELL("filename",Ranking!$A$1))-FIND("]",CELL("filename",Ranking!$A$1)))</f>
        <v>#VALUE!</v>
      </c>
      <c r="E39" s="574">
        <f>Ranking!$B$1</f>
        <v>0</v>
      </c>
      <c r="F39" s="576" t="str">
        <f t="shared" si="2"/>
        <v>OK</v>
      </c>
      <c r="G39" s="2060"/>
      <c r="H39" s="2060"/>
      <c r="I39" s="2060"/>
      <c r="J39" s="2060"/>
      <c r="K39" s="585"/>
      <c r="L39" s="2060"/>
      <c r="M39" s="2060"/>
      <c r="N39" s="2060"/>
      <c r="O39" s="2060"/>
      <c r="P39" s="2060"/>
      <c r="Q39" s="2060"/>
      <c r="R39" s="2060"/>
      <c r="S39" s="2060"/>
      <c r="T39" s="586"/>
      <c r="U39" s="1557"/>
    </row>
    <row r="40" spans="1:21" s="646" customFormat="1">
      <c r="A40" s="1557"/>
      <c r="B40" s="1557"/>
      <c r="C40" s="2060">
        <f t="shared" si="3"/>
        <v>27</v>
      </c>
      <c r="D40" s="30" t="e">
        <f ca="1">RIGHT(CELL("filename",'Segment Information'!$A$1),LEN(CELL("filename",'Segment Information'!$A$1))-FIND("]",CELL("filename",'Segment Information'!$A$1)))</f>
        <v>#VALUE!</v>
      </c>
      <c r="E40" s="574">
        <f ca="1">'Segment Information'!$B$1</f>
        <v>2400</v>
      </c>
      <c r="F40" s="576" t="str">
        <f t="shared" ca="1" si="2"/>
        <v>ERROR</v>
      </c>
      <c r="G40" s="2060"/>
      <c r="H40" s="2060"/>
      <c r="I40" s="2060"/>
      <c r="J40" s="2060"/>
      <c r="K40" s="585"/>
      <c r="L40" s="2060"/>
      <c r="M40" s="2060"/>
      <c r="N40" s="2060"/>
      <c r="O40" s="2060"/>
      <c r="P40" s="2060"/>
      <c r="Q40" s="2060"/>
      <c r="R40" s="2060"/>
      <c r="S40" s="2060"/>
      <c r="T40" s="586"/>
      <c r="U40" s="1557"/>
    </row>
    <row r="41" spans="1:21" s="646" customFormat="1">
      <c r="A41" s="1557"/>
      <c r="B41" s="1557"/>
      <c r="C41" s="2060">
        <f t="shared" si="3"/>
        <v>28</v>
      </c>
      <c r="D41" s="30" t="e">
        <f ca="1">RIGHT(CELL("filename",START!$A$1),LEN(CELL("filename",START!$A$1))-FIND("]",CELL("filename",START!$A$1)))</f>
        <v>#VALUE!</v>
      </c>
      <c r="E41" s="667" t="e">
        <f ca="1">SUMPRODUCT(--ISERROR(INDIRECT("'"&amp;D41&amp;"'!$A$1:$V$500")))+COUNTIF(INDIRECT("'"&amp;D41&amp;"'!$A$1:$V$500"),Fail)</f>
        <v>#VALUE!</v>
      </c>
      <c r="F41" s="576" t="e">
        <f t="shared" ca="1" si="2"/>
        <v>#VALUE!</v>
      </c>
      <c r="G41" s="2060"/>
      <c r="H41" s="2060"/>
      <c r="I41" s="2060"/>
      <c r="J41" s="2060"/>
      <c r="K41" s="585"/>
      <c r="L41" s="2060"/>
      <c r="M41" s="2060"/>
      <c r="N41" s="2060"/>
      <c r="O41" s="2060"/>
      <c r="P41" s="2060"/>
      <c r="Q41" s="2060"/>
      <c r="R41" s="2060"/>
      <c r="S41" s="2060"/>
      <c r="T41" s="586"/>
      <c r="U41" s="1557"/>
    </row>
    <row r="42" spans="1:21" s="646" customFormat="1">
      <c r="A42" s="1557"/>
      <c r="B42" s="1557"/>
      <c r="C42" s="2060">
        <f t="shared" si="3"/>
        <v>29</v>
      </c>
      <c r="D42" s="30" t="e">
        <f ca="1">RIGHT(CELL("filename",'Tax Amortization Benefit'!$A$1),LEN(CELL("filename",'Tax Amortization Benefit'!$A$1))-FIND("]",CELL("filename",'Tax Amortization Benefit'!$A$1)))</f>
        <v>#VALUE!</v>
      </c>
      <c r="E42" s="667">
        <f ca="1">'Tax Amortization Benefit'!$B$1</f>
        <v>0</v>
      </c>
      <c r="F42" s="576" t="str">
        <f t="shared" ca="1" si="2"/>
        <v>OK</v>
      </c>
      <c r="G42" s="2060"/>
      <c r="H42" s="2060"/>
      <c r="I42" s="2060"/>
      <c r="J42" s="2060"/>
      <c r="K42" s="585"/>
      <c r="L42" s="2060"/>
      <c r="M42" s="2060"/>
      <c r="N42" s="2060"/>
      <c r="O42" s="2060"/>
      <c r="P42" s="2060"/>
      <c r="Q42" s="2060"/>
      <c r="R42" s="2060"/>
      <c r="S42" s="2060"/>
      <c r="T42" s="586"/>
      <c r="U42" s="1557"/>
    </row>
    <row r="43" spans="1:21" s="646" customFormat="1">
      <c r="A43" s="1557"/>
      <c r="B43" s="1557"/>
      <c r="C43" s="2060">
        <f t="shared" si="3"/>
        <v>30</v>
      </c>
      <c r="D43" s="30" t="e">
        <f ca="1">RIGHT(CELL("filename",TIC!$A$1),LEN(CELL("filename",TIC!$A$1))-FIND("]",CELL("filename",TIC!$A$1)))</f>
        <v>#VALUE!</v>
      </c>
      <c r="E43" s="574">
        <f ca="1">TIC!$B$1</f>
        <v>0</v>
      </c>
      <c r="F43" s="576" t="str">
        <f t="shared" ca="1" si="2"/>
        <v>OK</v>
      </c>
      <c r="G43" s="2060"/>
      <c r="H43" s="2060"/>
      <c r="I43" s="2060"/>
      <c r="J43" s="2060"/>
      <c r="K43" s="585"/>
      <c r="L43" s="2060"/>
      <c r="M43" s="2060"/>
      <c r="N43" s="2060"/>
      <c r="O43" s="2060"/>
      <c r="P43" s="2060"/>
      <c r="Q43" s="2060"/>
      <c r="R43" s="2060"/>
      <c r="S43" s="2060"/>
      <c r="T43" s="586"/>
      <c r="U43" s="1557"/>
    </row>
    <row r="44" spans="1:21" s="646" customFormat="1">
      <c r="A44" s="1557"/>
      <c r="B44" s="1557"/>
      <c r="C44" s="2060">
        <f t="shared" si="3"/>
        <v>31</v>
      </c>
      <c r="D44" s="30" t="e">
        <f ca="1">RIGHT(CELL("filename",'TIC Multiples'!$A$1),LEN(CELL("filename",'TIC Multiples'!$A$1))-FIND("]",CELL("filename",'TIC Multiples'!$A$1)))</f>
        <v>#VALUE!</v>
      </c>
      <c r="E44" s="574">
        <f ca="1">'TIC Multiples'!$B$1</f>
        <v>0</v>
      </c>
      <c r="F44" s="576" t="str">
        <f ca="1">IF(E44=0,Pass,Fail)</f>
        <v>OK</v>
      </c>
      <c r="G44" s="2060"/>
      <c r="H44" s="2060"/>
      <c r="I44" s="2060"/>
      <c r="J44" s="2060"/>
      <c r="K44" s="585"/>
      <c r="L44" s="2060"/>
      <c r="M44" s="2060"/>
      <c r="N44" s="2060"/>
      <c r="O44" s="2060"/>
      <c r="P44" s="2060"/>
      <c r="Q44" s="2060"/>
      <c r="R44" s="2060"/>
      <c r="S44" s="2060"/>
      <c r="T44" s="586"/>
      <c r="U44" s="1557"/>
    </row>
    <row r="45" spans="1:21" s="646" customFormat="1">
      <c r="A45" s="1557"/>
      <c r="B45" s="1557"/>
      <c r="C45" s="2060">
        <f t="shared" si="3"/>
        <v>32</v>
      </c>
      <c r="D45" s="30" t="e">
        <f ca="1">RIGHT(CELL("filename",ValueBridge!$A$1),LEN(CELL("filename",ValueBridge!$A$1))-FIND("]",CELL("filename",ValueBridge!$A$1)))</f>
        <v>#VALUE!</v>
      </c>
      <c r="E45" s="574">
        <f ca="1">ValueBridge!B1</f>
        <v>0</v>
      </c>
      <c r="F45" s="576" t="str">
        <f ca="1">IF(E45=0,Pass,Fail)</f>
        <v>OK</v>
      </c>
      <c r="G45" s="2060"/>
      <c r="H45" s="2060"/>
      <c r="I45" s="2060"/>
      <c r="J45" s="2060"/>
      <c r="K45" s="585"/>
      <c r="L45" s="2060"/>
      <c r="M45" s="2060"/>
      <c r="N45" s="2060"/>
      <c r="O45" s="2060"/>
      <c r="P45" s="2060"/>
      <c r="Q45" s="2060"/>
      <c r="R45" s="2060"/>
      <c r="S45" s="2060"/>
      <c r="T45" s="586"/>
      <c r="U45" s="1557"/>
    </row>
    <row r="46" spans="1:21" s="646" customFormat="1">
      <c r="A46" s="1557"/>
      <c r="B46" s="1557"/>
      <c r="C46" s="2060">
        <f t="shared" si="3"/>
        <v>33</v>
      </c>
      <c r="D46" s="30" t="e">
        <f ca="1">RIGHT(CELL("filename",WACC!$A$1),LEN(CELL("filename",WACC!$A$1))-FIND("]",CELL("filename",WACC!$A$1)))</f>
        <v>#VALUE!</v>
      </c>
      <c r="E46" s="574">
        <f ca="1">WACC!$B$1</f>
        <v>0</v>
      </c>
      <c r="F46" s="576" t="str">
        <f t="shared" ca="1" si="2"/>
        <v>OK</v>
      </c>
      <c r="G46" s="2060"/>
      <c r="H46" s="2060"/>
      <c r="I46" s="2060"/>
      <c r="J46" s="2060"/>
      <c r="K46" s="585"/>
      <c r="L46" s="2060"/>
      <c r="M46" s="2060"/>
      <c r="N46" s="2060"/>
      <c r="O46" s="2060"/>
      <c r="P46" s="2060"/>
      <c r="Q46" s="2060"/>
      <c r="R46" s="2060"/>
      <c r="S46" s="2060"/>
      <c r="T46" s="586"/>
      <c r="U46" s="1557"/>
    </row>
    <row r="47" spans="1:21" s="646" customFormat="1">
      <c r="A47" s="1557"/>
      <c r="B47" s="1557"/>
      <c r="C47" s="2060">
        <f t="shared" si="3"/>
        <v>34</v>
      </c>
      <c r="D47" s="30" t="e">
        <f ca="1">RIGHT(CELL("filename",'GPC WACC'!$A$1),LEN(CELL("filename",'GPC WACC'!$A$1))-FIND("]",CELL("filename",'GPC WACC'!$A$1)))</f>
        <v>#VALUE!</v>
      </c>
      <c r="E47" s="574">
        <f ca="1">'GPC WACC'!$B$1</f>
        <v>0</v>
      </c>
      <c r="F47" s="576" t="str">
        <f t="shared" ca="1" si="2"/>
        <v>OK</v>
      </c>
      <c r="G47" s="2060"/>
      <c r="H47" s="2060"/>
      <c r="I47" s="2060"/>
      <c r="J47" s="2060"/>
      <c r="K47" s="585"/>
      <c r="L47" s="2060"/>
      <c r="M47" s="2060"/>
      <c r="N47" s="2060"/>
      <c r="O47" s="2060"/>
      <c r="P47" s="2060"/>
      <c r="Q47" s="2060"/>
      <c r="R47" s="2060"/>
      <c r="S47" s="2060"/>
      <c r="T47" s="586"/>
      <c r="U47" s="1557"/>
    </row>
    <row r="48" spans="1:21" s="646" customFormat="1">
      <c r="A48" s="1557"/>
      <c r="B48" s="1557"/>
      <c r="C48" s="43"/>
      <c r="D48" s="965"/>
      <c r="E48" s="965"/>
      <c r="F48" s="43"/>
      <c r="G48" s="2060"/>
      <c r="H48" s="2060"/>
      <c r="I48" s="2060"/>
      <c r="J48" s="2060"/>
      <c r="K48" s="585"/>
      <c r="L48" s="2060"/>
      <c r="M48" s="2060"/>
      <c r="N48" s="2060"/>
      <c r="O48" s="2060"/>
      <c r="P48" s="2060"/>
      <c r="Q48" s="2060"/>
      <c r="R48" s="2060"/>
      <c r="S48" s="2060"/>
      <c r="T48" s="586"/>
      <c r="U48" s="1557"/>
    </row>
    <row r="49" spans="1:21" s="646" customFormat="1">
      <c r="A49" s="1557"/>
      <c r="B49" s="1557"/>
      <c r="C49" s="2060"/>
      <c r="D49" s="2060"/>
      <c r="E49" s="2060"/>
      <c r="F49" s="2060"/>
      <c r="G49" s="2060"/>
      <c r="H49" s="2060"/>
      <c r="I49" s="2060"/>
      <c r="J49" s="2060"/>
      <c r="K49" s="585"/>
      <c r="L49" s="2060"/>
      <c r="M49" s="2060"/>
      <c r="N49" s="2060"/>
      <c r="O49" s="2060"/>
      <c r="P49" s="2060"/>
      <c r="Q49" s="2060"/>
      <c r="R49" s="2060"/>
      <c r="S49" s="2060"/>
      <c r="T49" s="586"/>
      <c r="U49" s="1557"/>
    </row>
    <row r="50" spans="1:21">
      <c r="A50" s="1557"/>
      <c r="B50" s="1557"/>
      <c r="C50" s="2060"/>
      <c r="D50" s="2060"/>
      <c r="E50" s="2060"/>
      <c r="F50" s="2060"/>
      <c r="G50" s="2060"/>
      <c r="H50" s="2060"/>
      <c r="I50" s="2060"/>
      <c r="J50" s="2060"/>
      <c r="K50" s="2060"/>
      <c r="L50" s="2060"/>
      <c r="M50" s="2060"/>
      <c r="N50" s="2060"/>
      <c r="O50" s="2060"/>
      <c r="P50" s="2060"/>
      <c r="Q50" s="2060"/>
      <c r="R50" s="2060"/>
      <c r="S50" s="2060"/>
      <c r="T50" s="586"/>
      <c r="U50" s="1557"/>
    </row>
    <row r="51" spans="1:21">
      <c r="A51" s="1557" t="s">
        <v>17</v>
      </c>
      <c r="B51" s="1557"/>
      <c r="C51" s="1557"/>
      <c r="D51" s="1557"/>
      <c r="E51" s="1557"/>
      <c r="F51" s="1557"/>
      <c r="G51" s="1557"/>
      <c r="H51" s="1557"/>
      <c r="I51" s="1557"/>
      <c r="J51" s="1557"/>
      <c r="K51" s="1557"/>
      <c r="L51" s="1557"/>
      <c r="M51" s="1557"/>
      <c r="N51" s="1557"/>
      <c r="O51" s="1557"/>
      <c r="P51" s="1557"/>
      <c r="Q51" s="1557"/>
      <c r="R51" s="1546"/>
      <c r="S51" s="1546"/>
      <c r="T51" s="1546" t="s">
        <v>18</v>
      </c>
      <c r="U51" s="1557"/>
    </row>
    <row r="52" spans="1:21">
      <c r="A52" s="1557"/>
      <c r="B52" s="1557"/>
      <c r="C52" s="1557"/>
      <c r="D52" s="1557"/>
      <c r="E52" s="1557"/>
      <c r="F52" s="1557"/>
      <c r="G52" s="1557"/>
      <c r="H52" s="1557"/>
      <c r="I52" s="1557"/>
      <c r="J52" s="1557"/>
      <c r="K52" s="1557"/>
      <c r="L52" s="1557"/>
      <c r="M52" s="1557"/>
      <c r="N52" s="1557"/>
      <c r="O52" s="1557"/>
      <c r="P52" s="1557"/>
      <c r="Q52" s="1557"/>
      <c r="R52" s="1557"/>
      <c r="S52" s="1557"/>
      <c r="T52" s="1557"/>
      <c r="U52" s="1557"/>
    </row>
  </sheetData>
  <sortState ref="D16:F46">
    <sortCondition ref="D16"/>
  </sortState>
  <conditionalFormatting sqref="F46:F47 F37:F43 F14 F20:F22 F25:F35 K14:K49 F17:F18">
    <cfRule type="expression" dxfId="514" priority="357">
      <formula>F14=CheckReview</formula>
    </cfRule>
    <cfRule type="expression" dxfId="513" priority="394">
      <formula>F14=Pass</formula>
    </cfRule>
    <cfRule type="expression" dxfId="512" priority="395">
      <formula>F14=Fail</formula>
    </cfRule>
  </conditionalFormatting>
  <conditionalFormatting sqref="E14 E46:E47 E18 E37:E43 E20:E22 E25:E35">
    <cfRule type="expression" dxfId="511" priority="392">
      <formula>E14=Pass</formula>
    </cfRule>
    <cfRule type="expression" dxfId="510" priority="393">
      <formula>E14=Fail</formula>
    </cfRule>
  </conditionalFormatting>
  <conditionalFormatting sqref="E8">
    <cfRule type="expression" dxfId="509" priority="142">
      <formula>E8=Pass</formula>
    </cfRule>
    <cfRule type="expression" dxfId="508" priority="143">
      <formula>E8=Fail</formula>
    </cfRule>
  </conditionalFormatting>
  <conditionalFormatting sqref="F8">
    <cfRule type="expression" dxfId="507" priority="139">
      <formula>F8=CheckReview</formula>
    </cfRule>
    <cfRule type="expression" dxfId="506" priority="140">
      <formula>F8=Pass</formula>
    </cfRule>
    <cfRule type="expression" dxfId="505" priority="141">
      <formula>F8=Fail</formula>
    </cfRule>
  </conditionalFormatting>
  <conditionalFormatting sqref="I16:I17">
    <cfRule type="expression" dxfId="504" priority="63">
      <formula>I16=CheckReview</formula>
    </cfRule>
    <cfRule type="expression" dxfId="503" priority="64">
      <formula>I16=Pass</formula>
    </cfRule>
    <cfRule type="expression" dxfId="502" priority="65">
      <formula>I16=Fail</formula>
    </cfRule>
  </conditionalFormatting>
  <conditionalFormatting sqref="I20">
    <cfRule type="expression" dxfId="501" priority="57">
      <formula>I20=CheckReview</formula>
    </cfRule>
    <cfRule type="expression" dxfId="500" priority="58">
      <formula>I20=Pass</formula>
    </cfRule>
    <cfRule type="expression" dxfId="499" priority="59">
      <formula>I20=Fail</formula>
    </cfRule>
  </conditionalFormatting>
  <conditionalFormatting sqref="I21">
    <cfRule type="expression" dxfId="498" priority="54">
      <formula>I21=CheckReview</formula>
    </cfRule>
    <cfRule type="expression" dxfId="497" priority="55">
      <formula>I21=Pass</formula>
    </cfRule>
    <cfRule type="expression" dxfId="496" priority="56">
      <formula>I21=Fail</formula>
    </cfRule>
  </conditionalFormatting>
  <conditionalFormatting sqref="E17">
    <cfRule type="expression" dxfId="495" priority="50">
      <formula>E17=Pass</formula>
    </cfRule>
    <cfRule type="expression" dxfId="494" priority="51">
      <formula>E17=Fail</formula>
    </cfRule>
  </conditionalFormatting>
  <conditionalFormatting sqref="F36">
    <cfRule type="expression" dxfId="493" priority="38">
      <formula>F36=CheckReview</formula>
    </cfRule>
    <cfRule type="expression" dxfId="492" priority="41">
      <formula>F36=Pass</formula>
    </cfRule>
    <cfRule type="expression" dxfId="491" priority="42">
      <formula>F36=Fail</formula>
    </cfRule>
  </conditionalFormatting>
  <conditionalFormatting sqref="E36">
    <cfRule type="expression" dxfId="490" priority="39">
      <formula>E36=Pass</formula>
    </cfRule>
    <cfRule type="expression" dxfId="489" priority="40">
      <formula>E36=Fail</formula>
    </cfRule>
  </conditionalFormatting>
  <conditionalFormatting sqref="F44">
    <cfRule type="expression" dxfId="488" priority="33">
      <formula>F44=CheckReview</formula>
    </cfRule>
    <cfRule type="expression" dxfId="487" priority="36">
      <formula>F44=Pass</formula>
    </cfRule>
    <cfRule type="expression" dxfId="486" priority="37">
      <formula>F44=Fail</formula>
    </cfRule>
  </conditionalFormatting>
  <conditionalFormatting sqref="E44">
    <cfRule type="expression" dxfId="485" priority="34">
      <formula>E44=Pass</formula>
    </cfRule>
    <cfRule type="expression" dxfId="484" priority="35">
      <formula>E44=Fail</formula>
    </cfRule>
  </conditionalFormatting>
  <conditionalFormatting sqref="F15">
    <cfRule type="expression" dxfId="483" priority="28">
      <formula>F15=CheckReview</formula>
    </cfRule>
    <cfRule type="expression" dxfId="482" priority="31">
      <formula>F15=Pass</formula>
    </cfRule>
    <cfRule type="expression" dxfId="481" priority="32">
      <formula>F15=Fail</formula>
    </cfRule>
  </conditionalFormatting>
  <conditionalFormatting sqref="E15">
    <cfRule type="expression" dxfId="480" priority="29">
      <formula>E15=Pass</formula>
    </cfRule>
    <cfRule type="expression" dxfId="479" priority="30">
      <formula>E15=Fail</formula>
    </cfRule>
  </conditionalFormatting>
  <conditionalFormatting sqref="F19">
    <cfRule type="expression" dxfId="478" priority="23">
      <formula>F19=CheckReview</formula>
    </cfRule>
    <cfRule type="expression" dxfId="477" priority="26">
      <formula>F19=Pass</formula>
    </cfRule>
    <cfRule type="expression" dxfId="476" priority="27">
      <formula>F19=Fail</formula>
    </cfRule>
  </conditionalFormatting>
  <conditionalFormatting sqref="E19">
    <cfRule type="expression" dxfId="475" priority="24">
      <formula>E19=Pass</formula>
    </cfRule>
    <cfRule type="expression" dxfId="474" priority="25">
      <formula>E19=Fail</formula>
    </cfRule>
  </conditionalFormatting>
  <conditionalFormatting sqref="F23">
    <cfRule type="expression" dxfId="473" priority="18">
      <formula>F23=CheckReview</formula>
    </cfRule>
    <cfRule type="expression" dxfId="472" priority="21">
      <formula>F23=Pass</formula>
    </cfRule>
    <cfRule type="expression" dxfId="471" priority="22">
      <formula>F23=Fail</formula>
    </cfRule>
  </conditionalFormatting>
  <conditionalFormatting sqref="E23">
    <cfRule type="expression" dxfId="470" priority="19">
      <formula>E23=Pass</formula>
    </cfRule>
    <cfRule type="expression" dxfId="469" priority="20">
      <formula>E23=Fail</formula>
    </cfRule>
  </conditionalFormatting>
  <conditionalFormatting sqref="F24">
    <cfRule type="expression" dxfId="468" priority="13">
      <formula>F24=CheckReview</formula>
    </cfRule>
    <cfRule type="expression" dxfId="467" priority="16">
      <formula>F24=Pass</formula>
    </cfRule>
    <cfRule type="expression" dxfId="466" priority="17">
      <formula>F24=Fail</formula>
    </cfRule>
  </conditionalFormatting>
  <conditionalFormatting sqref="E24">
    <cfRule type="expression" dxfId="465" priority="14">
      <formula>E24=Pass</formula>
    </cfRule>
    <cfRule type="expression" dxfId="464" priority="15">
      <formula>E24=Fail</formula>
    </cfRule>
  </conditionalFormatting>
  <conditionalFormatting sqref="F16">
    <cfRule type="expression" dxfId="463" priority="8">
      <formula>F16=CheckReview</formula>
    </cfRule>
    <cfRule type="expression" dxfId="462" priority="11">
      <formula>F16=Pass</formula>
    </cfRule>
    <cfRule type="expression" dxfId="461" priority="12">
      <formula>F16=Fail</formula>
    </cfRule>
  </conditionalFormatting>
  <conditionalFormatting sqref="E16">
    <cfRule type="expression" dxfId="460" priority="9">
      <formula>E16=Pass</formula>
    </cfRule>
    <cfRule type="expression" dxfId="459" priority="10">
      <formula>E16=Fail</formula>
    </cfRule>
  </conditionalFormatting>
  <conditionalFormatting sqref="F45">
    <cfRule type="expression" dxfId="458" priority="3">
      <formula>F45=CheckReview</formula>
    </cfRule>
    <cfRule type="expression" dxfId="457" priority="6">
      <formula>F45=Pass</formula>
    </cfRule>
    <cfRule type="expression" dxfId="456" priority="7">
      <formula>F45=Fail</formula>
    </cfRule>
  </conditionalFormatting>
  <conditionalFormatting sqref="T14:T50">
    <cfRule type="aboveAverage" dxfId="455" priority="979"/>
  </conditionalFormatting>
  <conditionalFormatting sqref="E45">
    <cfRule type="expression" dxfId="454" priority="1">
      <formula>E45=Pass</formula>
    </cfRule>
    <cfRule type="expression" dxfId="453" priority="2">
      <formula>E45=Fail</formula>
    </cfRule>
  </conditionalFormatting>
  <hyperlinks>
    <hyperlink ref="H14" location="'EBIT Reconciliation'!A1" display="EBIT Reconciliation"/>
    <hyperlink ref="H16" location="'EBIT Reconciliation'!C21" display="Guideline Company's 1-10"/>
    <hyperlink ref="H17" location="'EBIT Reconciliation'!C59" display="Guideline Company's 11-15"/>
    <hyperlink ref="H20" location="'EBIT Reconciliation'!C32" display="Guideline Company's 1-10"/>
    <hyperlink ref="H21" location="'EBIT Reconciliation'!C70" display="Guideline Company's 11-15"/>
  </hyperlinks>
  <pageMargins left="0.6" right="0.4" top="0.5" bottom="0.5" header="0" footer="0.3"/>
  <pageSetup scale="70" orientation="landscape" blackAndWhite="1" r:id="rId1"/>
  <headerFooter>
    <oddFooter>&amp;LSome totals may not add due to rounding. See Statement of Limiting Conditions.&amp;CReliance restricted&amp;R© 2017 Ernst &amp; Young LLP. All Rights Reserved.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ver">
    <pageSetUpPr autoPageBreaks="0" fitToPage="1"/>
  </sheetPr>
  <dimension ref="A1:AI180"/>
  <sheetViews>
    <sheetView showGridLines="0" zoomScale="85" zoomScaleNormal="85" zoomScaleSheetLayoutView="70" workbookViewId="0"/>
  </sheetViews>
  <sheetFormatPr defaultColWidth="9.33203125" defaultRowHeight="12" customHeight="1"/>
  <cols>
    <col min="1" max="1" width="4.6640625" style="335" customWidth="1"/>
    <col min="2" max="2" width="3.83203125" style="335" customWidth="1"/>
    <col min="3" max="5" width="12" style="335" customWidth="1"/>
    <col min="6" max="6" width="14.83203125" style="335" customWidth="1"/>
    <col min="7" max="7" width="10.1640625" style="335" customWidth="1"/>
    <col min="8" max="15" width="12" style="335" customWidth="1"/>
    <col min="16" max="16" width="12" style="1530" customWidth="1"/>
    <col min="17" max="37" width="11.1640625" style="335" customWidth="1"/>
    <col min="38" max="82" width="12.83203125" style="335" customWidth="1"/>
    <col min="83" max="16384" width="9.33203125" style="335"/>
  </cols>
  <sheetData>
    <row r="1" spans="1:35" ht="12" customHeight="1">
      <c r="A1" s="2060"/>
      <c r="B1" s="847"/>
      <c r="C1" s="1530"/>
      <c r="D1" s="1530"/>
      <c r="E1" s="1530"/>
      <c r="F1" s="1530"/>
      <c r="G1" s="1530"/>
      <c r="H1" s="1530"/>
      <c r="I1" s="1530"/>
      <c r="J1" s="1530"/>
      <c r="K1" s="1530"/>
      <c r="L1" s="1530"/>
      <c r="M1" s="1530"/>
      <c r="N1" s="1530"/>
      <c r="O1" s="1530"/>
      <c r="Q1" s="1530"/>
      <c r="R1" s="847"/>
      <c r="S1" s="1530"/>
      <c r="T1" s="1530"/>
      <c r="U1" s="1530"/>
      <c r="V1" s="1715" t="s">
        <v>19</v>
      </c>
      <c r="W1" s="1530"/>
      <c r="X1" s="1530"/>
      <c r="Y1" s="1530"/>
      <c r="Z1" s="1530"/>
      <c r="AA1" s="1530"/>
      <c r="AB1" s="1530"/>
      <c r="AC1" s="1530"/>
      <c r="AD1" s="1530"/>
      <c r="AE1" s="1530"/>
      <c r="AF1" s="1530"/>
      <c r="AG1" s="1530"/>
      <c r="AH1" s="1530"/>
      <c r="AI1" s="1530"/>
    </row>
    <row r="2" spans="1:35" ht="12" customHeight="1">
      <c r="A2" s="847"/>
      <c r="B2" s="847"/>
      <c r="C2" s="1530"/>
      <c r="D2" s="1530"/>
      <c r="E2" s="1530"/>
      <c r="F2" s="1530"/>
      <c r="G2" s="1530"/>
      <c r="H2" s="1530"/>
      <c r="I2" s="1530"/>
      <c r="J2" s="1530"/>
      <c r="K2" s="1530"/>
      <c r="L2" s="1530"/>
      <c r="M2" s="1530"/>
      <c r="N2" s="1530"/>
      <c r="O2" s="1530"/>
      <c r="Q2" s="1530"/>
      <c r="R2" s="847"/>
      <c r="S2" s="1530"/>
      <c r="T2" s="1530"/>
      <c r="U2" s="1530"/>
      <c r="V2" s="1530"/>
      <c r="W2" s="1530"/>
      <c r="X2" s="1530"/>
      <c r="Y2" s="1530"/>
      <c r="Z2" s="1530"/>
      <c r="AA2" s="1530"/>
      <c r="AB2" s="1530"/>
      <c r="AC2" s="1530"/>
      <c r="AD2" s="1530"/>
      <c r="AE2" s="1530"/>
      <c r="AF2" s="1530"/>
      <c r="AG2" s="1530"/>
      <c r="AH2" s="1530"/>
      <c r="AI2" s="1530"/>
    </row>
    <row r="3" spans="1:35" ht="12" customHeight="1">
      <c r="A3" s="847"/>
      <c r="B3" s="847"/>
      <c r="C3" s="1530"/>
      <c r="D3" s="1530"/>
      <c r="E3" s="1530"/>
      <c r="F3" s="1530"/>
      <c r="G3" s="1530"/>
      <c r="H3" s="1530"/>
      <c r="I3" s="1530"/>
      <c r="J3" s="1530"/>
      <c r="K3" s="1530"/>
      <c r="L3" s="1530"/>
      <c r="M3" s="1530"/>
      <c r="N3" s="1530"/>
      <c r="O3" s="1530"/>
      <c r="Q3" s="1530"/>
      <c r="R3" s="847"/>
      <c r="S3" s="1530"/>
      <c r="T3" s="1530"/>
      <c r="U3" s="1530"/>
      <c r="V3" s="1530"/>
      <c r="W3" s="1530"/>
      <c r="X3" s="1530"/>
      <c r="Y3" s="1530"/>
      <c r="Z3" s="1530"/>
      <c r="AA3" s="1530"/>
      <c r="AB3" s="1530"/>
      <c r="AC3" s="1530"/>
      <c r="AD3" s="1530"/>
      <c r="AE3" s="1530"/>
      <c r="AF3" s="1530"/>
      <c r="AG3" s="1530"/>
      <c r="AH3" s="1530"/>
      <c r="AI3" s="1530"/>
    </row>
    <row r="4" spans="1:35" ht="12" customHeight="1">
      <c r="A4" s="847"/>
      <c r="B4" s="847"/>
      <c r="C4" s="1530"/>
      <c r="D4" s="1530"/>
      <c r="E4" s="1530"/>
      <c r="F4" s="1530"/>
      <c r="G4" s="1530"/>
      <c r="H4" s="1530"/>
      <c r="I4" s="1530"/>
      <c r="J4" s="1530"/>
      <c r="K4" s="1530"/>
      <c r="L4" s="1530"/>
      <c r="M4" s="1530"/>
      <c r="N4" s="1530"/>
      <c r="O4" s="1530"/>
      <c r="Q4" s="1530"/>
      <c r="R4" s="847"/>
      <c r="S4" s="1530"/>
      <c r="T4" s="1530"/>
      <c r="U4" s="1530"/>
      <c r="V4" s="1530"/>
      <c r="W4" s="1530"/>
      <c r="X4" s="1530"/>
      <c r="Y4" s="1530"/>
      <c r="Z4" s="1530"/>
      <c r="AA4" s="1530"/>
      <c r="AB4" s="1530"/>
      <c r="AC4" s="1530"/>
      <c r="AD4" s="1530"/>
      <c r="AE4" s="1530"/>
      <c r="AF4" s="1530"/>
      <c r="AG4" s="1530"/>
      <c r="AH4" s="1530"/>
      <c r="AI4" s="1530"/>
    </row>
    <row r="5" spans="1:35" ht="12" customHeight="1">
      <c r="A5" s="847"/>
      <c r="B5" s="847"/>
      <c r="C5" s="1530"/>
      <c r="D5" s="1530"/>
      <c r="E5" s="1530"/>
      <c r="F5" s="1530"/>
      <c r="G5" s="1530"/>
      <c r="H5" s="1530"/>
      <c r="I5" s="1530"/>
      <c r="J5" s="1530"/>
      <c r="K5" s="1530"/>
      <c r="L5" s="1530"/>
      <c r="M5" s="1530"/>
      <c r="N5" s="1530"/>
      <c r="O5" s="1530"/>
      <c r="Q5" s="1530"/>
      <c r="R5" s="847"/>
      <c r="S5" s="1530"/>
      <c r="T5" s="1530"/>
      <c r="U5" s="1530"/>
      <c r="V5" s="1530"/>
      <c r="W5" s="1530"/>
      <c r="X5" s="1530"/>
      <c r="Y5" s="1530"/>
      <c r="Z5" s="1530"/>
      <c r="AA5" s="1530"/>
      <c r="AB5" s="1530"/>
      <c r="AC5" s="1530"/>
      <c r="AD5" s="1530"/>
      <c r="AE5" s="1530"/>
      <c r="AF5" s="1530"/>
      <c r="AG5" s="1530"/>
      <c r="AH5" s="1530"/>
      <c r="AI5" s="1530"/>
    </row>
    <row r="6" spans="1:35" ht="12" customHeight="1">
      <c r="A6" s="847"/>
      <c r="B6" s="847"/>
      <c r="C6" s="1530"/>
      <c r="D6" s="1530"/>
      <c r="E6" s="1530"/>
      <c r="F6" s="1530"/>
      <c r="G6" s="1530"/>
      <c r="H6" s="1530"/>
      <c r="I6" s="1530"/>
      <c r="J6" s="1530"/>
      <c r="K6" s="1530"/>
      <c r="L6" s="1530"/>
      <c r="M6" s="1530"/>
      <c r="N6" s="1530"/>
      <c r="O6" s="1530"/>
      <c r="Q6" s="1530"/>
      <c r="R6" s="847"/>
      <c r="S6" s="1530"/>
      <c r="T6" s="1530"/>
      <c r="U6" s="1530"/>
      <c r="V6" s="1530"/>
      <c r="W6" s="1530"/>
      <c r="X6" s="1530"/>
      <c r="Y6" s="1530"/>
      <c r="Z6" s="1530"/>
      <c r="AA6" s="1530"/>
      <c r="AB6" s="1530"/>
      <c r="AC6" s="1530"/>
      <c r="AD6" s="1530"/>
      <c r="AE6" s="1530"/>
      <c r="AF6" s="1530"/>
      <c r="AG6" s="1530"/>
      <c r="AH6" s="1530"/>
      <c r="AI6" s="1530"/>
    </row>
    <row r="7" spans="1:35" ht="12" customHeight="1">
      <c r="A7" s="847"/>
      <c r="B7" s="847"/>
      <c r="C7" s="1530"/>
      <c r="D7" s="1530"/>
      <c r="E7" s="1530"/>
      <c r="F7" s="1530"/>
      <c r="G7" s="1530"/>
      <c r="H7" s="1530"/>
      <c r="I7" s="1530"/>
      <c r="J7" s="1530"/>
      <c r="K7" s="1530"/>
      <c r="L7" s="1530"/>
      <c r="M7" s="1530"/>
      <c r="N7" s="1530"/>
      <c r="O7" s="1530"/>
      <c r="Q7" s="1530"/>
      <c r="R7" s="847"/>
      <c r="S7" s="1530"/>
      <c r="T7" s="1530"/>
      <c r="U7" s="1530"/>
      <c r="V7" s="1530"/>
      <c r="W7" s="1530"/>
      <c r="X7" s="1530"/>
      <c r="Y7" s="1530"/>
      <c r="Z7" s="1530"/>
      <c r="AA7" s="1530"/>
      <c r="AB7" s="1530"/>
      <c r="AC7" s="1530"/>
      <c r="AD7" s="1530"/>
      <c r="AE7" s="1530"/>
      <c r="AF7" s="1530"/>
      <c r="AG7" s="1530"/>
      <c r="AH7" s="1530"/>
      <c r="AI7" s="1530"/>
    </row>
    <row r="8" spans="1:35" ht="12" customHeight="1">
      <c r="A8" s="847"/>
      <c r="B8" s="847"/>
      <c r="C8" s="1530"/>
      <c r="D8" s="1530"/>
      <c r="E8" s="1530"/>
      <c r="F8" s="1530"/>
      <c r="G8" s="1530"/>
      <c r="H8" s="1530"/>
      <c r="I8" s="1530"/>
      <c r="J8" s="1530"/>
      <c r="K8" s="1530"/>
      <c r="L8" s="1530"/>
      <c r="M8" s="1530"/>
      <c r="N8" s="1530"/>
      <c r="O8" s="1530"/>
      <c r="Q8" s="1530"/>
      <c r="R8" s="847"/>
      <c r="S8" s="1530"/>
      <c r="T8" s="1530"/>
      <c r="U8" s="1530"/>
      <c r="V8" s="1530"/>
      <c r="W8" s="1530"/>
      <c r="X8" s="1530"/>
      <c r="Y8" s="1530"/>
      <c r="Z8" s="1530"/>
      <c r="AA8" s="1530"/>
      <c r="AB8" s="1530"/>
      <c r="AC8" s="1530"/>
      <c r="AD8" s="1530"/>
      <c r="AE8" s="1530"/>
      <c r="AF8" s="1530"/>
      <c r="AG8" s="1530"/>
      <c r="AH8" s="1530"/>
      <c r="AI8" s="1530"/>
    </row>
    <row r="9" spans="1:35" ht="12" customHeight="1">
      <c r="A9" s="847"/>
      <c r="B9" s="847"/>
      <c r="C9" s="1530"/>
      <c r="D9" s="1530"/>
      <c r="E9" s="1530"/>
      <c r="F9" s="1530"/>
      <c r="G9" s="1530"/>
      <c r="H9" s="1530"/>
      <c r="I9" s="1530"/>
      <c r="J9" s="1530"/>
      <c r="K9" s="1530"/>
      <c r="L9" s="1530"/>
      <c r="M9" s="1530"/>
      <c r="N9" s="1530"/>
      <c r="O9" s="1530"/>
      <c r="Q9" s="1530"/>
      <c r="R9" s="847"/>
      <c r="S9" s="1530"/>
      <c r="T9" s="1530"/>
      <c r="U9" s="1530"/>
      <c r="V9" s="1530"/>
      <c r="W9" s="1530"/>
      <c r="X9" s="1530"/>
      <c r="Y9" s="1530"/>
      <c r="Z9" s="1530"/>
      <c r="AA9" s="1530"/>
      <c r="AB9" s="1530"/>
      <c r="AC9" s="1530"/>
      <c r="AD9" s="1530"/>
      <c r="AE9" s="1530"/>
      <c r="AF9" s="1530"/>
      <c r="AG9" s="1530"/>
      <c r="AH9" s="1530"/>
      <c r="AI9" s="1530"/>
    </row>
    <row r="10" spans="1:35" ht="12" customHeight="1">
      <c r="A10" s="847"/>
      <c r="B10" s="847"/>
      <c r="C10" s="1530"/>
      <c r="D10" s="1530"/>
      <c r="E10" s="1530"/>
      <c r="F10" s="1530"/>
      <c r="G10" s="1530"/>
      <c r="H10" s="1530"/>
      <c r="I10" s="1530"/>
      <c r="J10" s="1530"/>
      <c r="K10" s="1530"/>
      <c r="L10" s="1530"/>
      <c r="M10" s="1530"/>
      <c r="N10" s="1530"/>
      <c r="O10" s="1530"/>
      <c r="Q10" s="1530"/>
      <c r="R10" s="847"/>
      <c r="S10" s="1530"/>
      <c r="T10" s="1530"/>
      <c r="U10" s="1530"/>
      <c r="V10" s="1530"/>
      <c r="W10" s="1530"/>
      <c r="X10" s="1530"/>
      <c r="Y10" s="1530"/>
      <c r="Z10" s="1530"/>
      <c r="AA10" s="1530"/>
      <c r="AB10" s="1530"/>
      <c r="AC10" s="1530"/>
      <c r="AD10" s="1530"/>
      <c r="AE10" s="1530"/>
      <c r="AF10" s="1530"/>
      <c r="AG10" s="1530"/>
      <c r="AH10" s="1530"/>
      <c r="AI10" s="1530"/>
    </row>
    <row r="11" spans="1:35" ht="12" customHeight="1">
      <c r="A11" s="847"/>
      <c r="B11" s="847"/>
      <c r="C11" s="1530"/>
      <c r="D11" s="1530"/>
      <c r="E11" s="1530"/>
      <c r="F11" s="1530"/>
      <c r="G11" s="1530"/>
      <c r="H11" s="1530"/>
      <c r="I11" s="1530"/>
      <c r="J11" s="1530"/>
      <c r="K11" s="1530"/>
      <c r="L11" s="1530"/>
      <c r="M11" s="1530"/>
      <c r="N11" s="1530"/>
      <c r="O11" s="1530"/>
      <c r="Q11" s="1530"/>
      <c r="R11" s="847"/>
      <c r="S11" s="1530"/>
      <c r="T11" s="1530"/>
      <c r="U11" s="1530"/>
      <c r="V11" s="1530"/>
      <c r="W11" s="1530"/>
      <c r="X11" s="1530"/>
      <c r="Y11" s="1530"/>
      <c r="Z11" s="1530"/>
      <c r="AA11" s="1530"/>
      <c r="AB11" s="1530"/>
      <c r="AC11" s="1530"/>
      <c r="AD11" s="1530"/>
      <c r="AE11" s="1530"/>
      <c r="AF11" s="1530"/>
      <c r="AG11" s="1530"/>
      <c r="AH11" s="1530"/>
      <c r="AI11" s="1530"/>
    </row>
    <row r="12" spans="1:35" ht="12" customHeight="1">
      <c r="A12" s="847"/>
      <c r="B12" s="847"/>
      <c r="C12" s="1530"/>
      <c r="D12" s="1530"/>
      <c r="E12" s="1530"/>
      <c r="F12" s="1530"/>
      <c r="G12" s="1530"/>
      <c r="H12" s="1530"/>
      <c r="I12" s="1530"/>
      <c r="J12" s="1530"/>
      <c r="K12" s="1530"/>
      <c r="L12" s="1530"/>
      <c r="M12" s="1530"/>
      <c r="N12" s="1530"/>
      <c r="O12" s="1530"/>
      <c r="Q12" s="1530"/>
      <c r="R12" s="847"/>
      <c r="S12" s="1530"/>
      <c r="T12" s="1530"/>
      <c r="U12" s="1530"/>
      <c r="V12" s="1530"/>
      <c r="W12" s="1530"/>
      <c r="X12" s="1530"/>
      <c r="Y12" s="1530"/>
      <c r="Z12" s="1530"/>
      <c r="AA12" s="1530"/>
      <c r="AB12" s="1530"/>
      <c r="AC12" s="1530"/>
      <c r="AD12" s="1530"/>
      <c r="AE12" s="1530"/>
      <c r="AF12" s="1530"/>
      <c r="AG12" s="1530"/>
      <c r="AH12" s="1530"/>
      <c r="AI12" s="1530"/>
    </row>
    <row r="13" spans="1:35" ht="12" customHeight="1">
      <c r="A13" s="847"/>
      <c r="B13" s="847"/>
      <c r="C13" s="1530"/>
      <c r="D13" s="1530"/>
      <c r="E13" s="1530"/>
      <c r="F13" s="1530"/>
      <c r="G13" s="1530"/>
      <c r="H13" s="1530"/>
      <c r="I13" s="1530"/>
      <c r="J13" s="1530"/>
      <c r="K13" s="1530"/>
      <c r="L13" s="1530"/>
      <c r="M13" s="1530"/>
      <c r="N13" s="1530"/>
      <c r="O13" s="1530"/>
      <c r="Q13" s="1530"/>
      <c r="R13" s="847"/>
      <c r="S13" s="1530"/>
      <c r="T13" s="1530"/>
      <c r="U13" s="1530"/>
      <c r="V13" s="1530"/>
      <c r="W13" s="1530"/>
      <c r="X13" s="1530"/>
      <c r="Y13" s="1530"/>
      <c r="Z13" s="1530"/>
      <c r="AA13" s="1530"/>
      <c r="AB13" s="1530"/>
      <c r="AC13" s="1530"/>
      <c r="AD13" s="1530"/>
      <c r="AE13" s="1530"/>
      <c r="AF13" s="1530"/>
      <c r="AG13" s="1530"/>
      <c r="AH13" s="1530"/>
      <c r="AI13" s="1530"/>
    </row>
    <row r="14" spans="1:35" ht="12" customHeight="1">
      <c r="A14" s="1702"/>
      <c r="B14" s="1703"/>
      <c r="C14" s="853"/>
      <c r="D14" s="854"/>
      <c r="E14" s="854"/>
      <c r="F14" s="854"/>
      <c r="G14" s="854"/>
      <c r="H14" s="854"/>
      <c r="I14" s="854"/>
      <c r="J14" s="854"/>
      <c r="K14" s="854"/>
      <c r="L14" s="854"/>
      <c r="M14" s="854"/>
      <c r="N14" s="855"/>
      <c r="O14" s="851"/>
      <c r="P14" s="851"/>
      <c r="Q14" s="2060"/>
      <c r="R14" s="43"/>
      <c r="S14" s="2060"/>
      <c r="T14" s="2060"/>
      <c r="U14" s="2060"/>
      <c r="V14" s="2060"/>
      <c r="W14" s="2060"/>
      <c r="X14" s="2060"/>
      <c r="Y14" s="2060"/>
      <c r="Z14" s="2060"/>
      <c r="AA14" s="2060"/>
      <c r="AB14" s="2060"/>
      <c r="AC14" s="2060"/>
      <c r="AD14" s="2060"/>
      <c r="AE14" s="2060"/>
      <c r="AF14" s="2060"/>
      <c r="AG14" s="2060"/>
      <c r="AH14" s="2060"/>
      <c r="AI14" s="2060"/>
    </row>
    <row r="15" spans="1:35" ht="12" customHeight="1">
      <c r="A15" s="1702"/>
      <c r="B15" s="1703"/>
      <c r="C15" s="853"/>
      <c r="D15" s="854"/>
      <c r="E15" s="854"/>
      <c r="F15" s="854"/>
      <c r="G15" s="854"/>
      <c r="H15" s="854"/>
      <c r="I15" s="854"/>
      <c r="J15" s="854"/>
      <c r="K15" s="854"/>
      <c r="L15" s="854"/>
      <c r="M15" s="854"/>
      <c r="N15" s="855"/>
      <c r="O15" s="851"/>
      <c r="P15" s="851"/>
      <c r="Q15" s="2060"/>
      <c r="R15" s="43"/>
      <c r="S15" s="2060"/>
      <c r="T15" s="2060"/>
      <c r="U15" s="2060"/>
      <c r="V15" s="2060"/>
      <c r="W15" s="2060"/>
      <c r="X15" s="2060"/>
      <c r="Y15" s="2060"/>
      <c r="Z15" s="2060"/>
      <c r="AA15" s="2060"/>
      <c r="AB15" s="2060"/>
      <c r="AC15" s="2060"/>
      <c r="AD15" s="2060"/>
      <c r="AE15" s="2060"/>
      <c r="AF15" s="2060"/>
      <c r="AG15" s="2060"/>
      <c r="AH15" s="2060"/>
      <c r="AI15" s="2060"/>
    </row>
    <row r="16" spans="1:35" ht="12" customHeight="1">
      <c r="A16" s="1702"/>
      <c r="B16" s="1703"/>
      <c r="C16" s="853"/>
      <c r="D16" s="854"/>
      <c r="E16" s="854"/>
      <c r="F16" s="854"/>
      <c r="G16" s="854"/>
      <c r="H16" s="854"/>
      <c r="I16" s="854"/>
      <c r="J16" s="854"/>
      <c r="K16" s="854"/>
      <c r="L16" s="854"/>
      <c r="M16" s="854"/>
      <c r="N16" s="855"/>
      <c r="O16" s="851"/>
      <c r="P16" s="851"/>
      <c r="Q16" s="2060"/>
      <c r="R16" s="43"/>
      <c r="S16" s="2060"/>
      <c r="T16" s="2060"/>
      <c r="U16" s="2060"/>
      <c r="V16" s="2060"/>
      <c r="W16" s="2060"/>
      <c r="X16" s="2060"/>
      <c r="Y16" s="2060"/>
      <c r="Z16" s="2060"/>
      <c r="AA16" s="2060"/>
      <c r="AB16" s="2060"/>
      <c r="AC16" s="2060"/>
      <c r="AD16" s="2060"/>
      <c r="AE16" s="2060"/>
      <c r="AF16" s="2060"/>
      <c r="AG16" s="2060"/>
      <c r="AH16" s="2060"/>
      <c r="AI16" s="2060"/>
    </row>
    <row r="17" spans="1:35" ht="12" customHeight="1">
      <c r="A17" s="1702"/>
      <c r="B17" s="1703"/>
      <c r="C17" s="853"/>
      <c r="D17" s="854"/>
      <c r="E17" s="854"/>
      <c r="F17" s="854"/>
      <c r="G17" s="854"/>
      <c r="H17" s="854"/>
      <c r="I17" s="854"/>
      <c r="J17" s="854"/>
      <c r="K17" s="854"/>
      <c r="L17" s="854"/>
      <c r="M17" s="854"/>
      <c r="N17" s="855"/>
      <c r="O17" s="851"/>
      <c r="P17" s="851"/>
      <c r="Q17" s="2060"/>
      <c r="R17" s="43"/>
      <c r="S17" s="2060"/>
      <c r="T17" s="2060"/>
      <c r="U17" s="2060"/>
      <c r="V17" s="2060"/>
      <c r="W17" s="2060"/>
      <c r="X17" s="2060"/>
      <c r="Y17" s="2060"/>
      <c r="Z17" s="2060"/>
      <c r="AA17" s="2060"/>
      <c r="AB17" s="2060"/>
      <c r="AC17" s="2060"/>
      <c r="AD17" s="2060"/>
      <c r="AE17" s="2060"/>
      <c r="AF17" s="2060"/>
      <c r="AG17" s="2060"/>
      <c r="AH17" s="2060"/>
      <c r="AI17" s="2060"/>
    </row>
    <row r="18" spans="1:35" ht="12" customHeight="1">
      <c r="A18" s="1702"/>
      <c r="B18" s="1703"/>
      <c r="C18" s="853"/>
      <c r="D18" s="854"/>
      <c r="E18" s="854"/>
      <c r="F18" s="854"/>
      <c r="G18" s="854"/>
      <c r="H18" s="854"/>
      <c r="I18" s="854"/>
      <c r="J18" s="854"/>
      <c r="K18" s="854"/>
      <c r="L18" s="854"/>
      <c r="M18" s="854"/>
      <c r="N18" s="855"/>
      <c r="O18" s="851"/>
      <c r="P18" s="851"/>
      <c r="Q18" s="2060"/>
      <c r="R18" s="43"/>
      <c r="S18" s="2060"/>
      <c r="T18" s="2060"/>
      <c r="U18" s="2060"/>
      <c r="V18" s="2060"/>
      <c r="W18" s="2060"/>
      <c r="X18" s="2060"/>
      <c r="Y18" s="2060"/>
      <c r="Z18" s="2060"/>
      <c r="AA18" s="2060"/>
      <c r="AB18" s="2060"/>
      <c r="AC18" s="2060"/>
      <c r="AD18" s="2060"/>
      <c r="AE18" s="2060"/>
      <c r="AF18" s="2060"/>
      <c r="AG18" s="2060"/>
      <c r="AH18" s="2060"/>
      <c r="AI18" s="2060"/>
    </row>
    <row r="19" spans="1:35" ht="12" customHeight="1">
      <c r="A19" s="1704"/>
      <c r="B19" s="1704"/>
      <c r="C19" s="856"/>
      <c r="D19" s="857"/>
      <c r="E19" s="857"/>
      <c r="F19" s="857"/>
      <c r="G19" s="857"/>
      <c r="H19" s="857"/>
      <c r="I19" s="857"/>
      <c r="J19" s="857"/>
      <c r="K19" s="857"/>
      <c r="L19" s="857"/>
      <c r="M19" s="857"/>
      <c r="N19" s="858"/>
      <c r="O19" s="852"/>
      <c r="P19" s="852"/>
      <c r="Q19" s="2060"/>
      <c r="R19" s="43"/>
      <c r="S19" s="2060"/>
      <c r="T19" s="2060"/>
      <c r="U19" s="2060"/>
      <c r="V19" s="2060"/>
      <c r="W19" s="2060"/>
      <c r="X19" s="2060"/>
      <c r="Y19" s="2060"/>
      <c r="Z19" s="2060"/>
      <c r="AA19" s="2060"/>
      <c r="AB19" s="2060"/>
      <c r="AC19" s="2060"/>
      <c r="AD19" s="2060"/>
      <c r="AE19" s="2060"/>
      <c r="AF19" s="2060"/>
      <c r="AG19" s="2060"/>
      <c r="AH19" s="2060"/>
      <c r="AI19" s="2060"/>
    </row>
    <row r="20" spans="1:35" ht="12" customHeight="1">
      <c r="A20" s="1703"/>
      <c r="B20" s="1703"/>
      <c r="C20" s="859"/>
      <c r="D20" s="860"/>
      <c r="E20" s="860"/>
      <c r="F20" s="860"/>
      <c r="G20" s="860"/>
      <c r="H20" s="860"/>
      <c r="I20" s="860"/>
      <c r="J20" s="860"/>
      <c r="K20" s="860"/>
      <c r="L20" s="860"/>
      <c r="M20" s="860"/>
      <c r="N20" s="860"/>
      <c r="O20" s="851"/>
      <c r="P20" s="851"/>
      <c r="Q20" s="2060"/>
      <c r="R20" s="43"/>
      <c r="S20" s="2060"/>
      <c r="T20" s="2060"/>
      <c r="U20" s="2060"/>
      <c r="V20" s="2060"/>
      <c r="W20" s="2060"/>
      <c r="X20" s="2060"/>
      <c r="Y20" s="2060"/>
      <c r="Z20" s="2060"/>
      <c r="AA20" s="2060"/>
      <c r="AB20" s="2060"/>
      <c r="AC20" s="2060"/>
      <c r="AD20" s="2060"/>
      <c r="AE20" s="2060"/>
      <c r="AF20" s="2060"/>
      <c r="AG20" s="2060"/>
      <c r="AH20" s="2060"/>
      <c r="AI20" s="2060"/>
    </row>
    <row r="21" spans="1:35" ht="12" customHeight="1">
      <c r="A21" s="1703"/>
      <c r="B21" s="1703"/>
      <c r="C21" s="861"/>
      <c r="D21" s="861"/>
      <c r="E21" s="861"/>
      <c r="F21" s="861"/>
      <c r="G21" s="861"/>
      <c r="H21" s="861"/>
      <c r="I21" s="861"/>
      <c r="J21" s="861"/>
      <c r="K21" s="861"/>
      <c r="L21" s="861"/>
      <c r="M21" s="861"/>
      <c r="N21" s="861"/>
      <c r="O21" s="861"/>
      <c r="P21" s="861"/>
      <c r="Q21" s="2060"/>
      <c r="R21" s="43"/>
      <c r="S21" s="2060"/>
      <c r="T21" s="2060"/>
      <c r="U21" s="2060"/>
      <c r="V21" s="2060"/>
      <c r="W21" s="2060"/>
      <c r="X21" s="2060"/>
      <c r="Y21" s="2060"/>
      <c r="Z21" s="2060"/>
      <c r="AA21" s="2060"/>
      <c r="AB21" s="2060"/>
      <c r="AC21" s="2060"/>
      <c r="AD21" s="2060"/>
      <c r="AE21" s="2060"/>
      <c r="AF21" s="2060"/>
      <c r="AG21" s="2060"/>
      <c r="AH21" s="2060"/>
      <c r="AI21" s="2060"/>
    </row>
    <row r="22" spans="1:35" ht="12" customHeight="1">
      <c r="A22" s="43"/>
      <c r="B22" s="43"/>
      <c r="C22" s="861"/>
      <c r="D22" s="861"/>
      <c r="E22" s="861"/>
      <c r="F22" s="861"/>
      <c r="G22" s="861"/>
      <c r="H22" s="861"/>
      <c r="I22" s="861"/>
      <c r="J22" s="861"/>
      <c r="K22" s="861"/>
      <c r="L22" s="861"/>
      <c r="M22" s="861"/>
      <c r="N22" s="861"/>
      <c r="O22" s="861"/>
      <c r="P22" s="861"/>
      <c r="Q22" s="861"/>
      <c r="R22" s="1699"/>
      <c r="S22" s="2060"/>
      <c r="T22" s="2060"/>
      <c r="U22" s="2060"/>
      <c r="V22" s="2060"/>
      <c r="W22" s="2060"/>
      <c r="X22" s="2060"/>
      <c r="Y22" s="2060"/>
      <c r="Z22" s="2060"/>
      <c r="AA22" s="2060"/>
      <c r="AB22" s="2060"/>
      <c r="AC22" s="2060"/>
      <c r="AD22" s="2060"/>
      <c r="AE22" s="2060"/>
      <c r="AF22" s="2060"/>
      <c r="AG22" s="2060"/>
      <c r="AH22" s="2060"/>
      <c r="AI22" s="2060"/>
    </row>
    <row r="23" spans="1:35" ht="12" customHeight="1">
      <c r="A23" s="43"/>
      <c r="B23" s="43"/>
      <c r="C23" s="861"/>
      <c r="D23" s="861"/>
      <c r="E23" s="861"/>
      <c r="F23" s="861"/>
      <c r="G23" s="861"/>
      <c r="H23" s="861"/>
      <c r="I23" s="861"/>
      <c r="J23" s="861"/>
      <c r="K23" s="861"/>
      <c r="L23" s="861"/>
      <c r="M23" s="861"/>
      <c r="N23" s="861"/>
      <c r="O23" s="861"/>
      <c r="P23" s="861"/>
      <c r="Q23" s="861"/>
      <c r="R23" s="1699"/>
      <c r="S23" s="2060"/>
      <c r="T23" s="2060"/>
      <c r="U23" s="2060"/>
      <c r="V23" s="2060"/>
      <c r="W23" s="2060"/>
      <c r="X23" s="2060"/>
      <c r="Y23" s="2060"/>
      <c r="Z23" s="2060"/>
      <c r="AA23" s="2060"/>
      <c r="AB23" s="2060"/>
      <c r="AC23" s="2060"/>
      <c r="AD23" s="2060"/>
      <c r="AE23" s="2060"/>
      <c r="AF23" s="2060"/>
      <c r="AG23" s="2060"/>
      <c r="AH23" s="2060"/>
      <c r="AI23" s="2060"/>
    </row>
    <row r="24" spans="1:35" ht="12" customHeight="1">
      <c r="A24" s="1700"/>
      <c r="B24" s="1700"/>
      <c r="C24" s="861"/>
      <c r="D24" s="861"/>
      <c r="E24" s="861"/>
      <c r="F24" s="861"/>
      <c r="G24" s="861"/>
      <c r="H24" s="861"/>
      <c r="I24" s="861"/>
      <c r="J24" s="861"/>
      <c r="K24" s="861"/>
      <c r="L24" s="861"/>
      <c r="M24" s="861"/>
      <c r="N24" s="861"/>
      <c r="O24" s="861"/>
      <c r="P24" s="861"/>
      <c r="Q24" s="861"/>
      <c r="R24" s="1699"/>
      <c r="S24" s="2060"/>
      <c r="T24" s="2060"/>
      <c r="U24" s="2060"/>
      <c r="V24" s="2060"/>
      <c r="W24" s="2060"/>
      <c r="X24" s="2060"/>
      <c r="Y24" s="2060"/>
      <c r="Z24" s="2060"/>
      <c r="AA24" s="2060"/>
      <c r="AB24" s="2060"/>
      <c r="AC24" s="2060"/>
      <c r="AD24" s="2060"/>
      <c r="AE24" s="2060"/>
      <c r="AF24" s="2060"/>
      <c r="AG24" s="2060"/>
      <c r="AH24" s="2060"/>
      <c r="AI24" s="2060"/>
    </row>
    <row r="25" spans="1:35" ht="13.9">
      <c r="A25" s="1700"/>
      <c r="B25" s="1700"/>
      <c r="C25" s="861"/>
      <c r="D25" s="861"/>
      <c r="E25" s="861"/>
      <c r="F25" s="861"/>
      <c r="G25" s="861"/>
      <c r="H25" s="861"/>
      <c r="I25" s="861"/>
      <c r="J25" s="861"/>
      <c r="K25" s="861"/>
      <c r="L25" s="861"/>
      <c r="M25" s="861"/>
      <c r="N25" s="861"/>
      <c r="O25" s="861"/>
      <c r="P25" s="861"/>
      <c r="Q25" s="861"/>
      <c r="R25" s="1699"/>
      <c r="S25" s="2060"/>
      <c r="T25" s="2060"/>
      <c r="U25" s="2060"/>
      <c r="V25" s="2060"/>
      <c r="W25" s="2060"/>
      <c r="X25" s="2060"/>
      <c r="Y25" s="2060"/>
      <c r="Z25" s="2060"/>
      <c r="AA25" s="2060"/>
      <c r="AB25" s="2060"/>
      <c r="AC25" s="2060"/>
      <c r="AD25" s="2060"/>
      <c r="AE25" s="2060"/>
      <c r="AF25" s="2060"/>
      <c r="AG25" s="2060"/>
      <c r="AH25" s="2060"/>
      <c r="AI25" s="2060"/>
    </row>
    <row r="26" spans="1:35" ht="12" customHeight="1">
      <c r="A26" s="1700"/>
      <c r="B26" s="1700"/>
      <c r="C26" s="861"/>
      <c r="D26" s="861"/>
      <c r="E26" s="861"/>
      <c r="F26" s="861"/>
      <c r="G26" s="861"/>
      <c r="H26" s="861"/>
      <c r="I26" s="861"/>
      <c r="J26" s="861"/>
      <c r="K26" s="861"/>
      <c r="L26" s="861"/>
      <c r="M26" s="861"/>
      <c r="N26" s="861"/>
      <c r="O26" s="861"/>
      <c r="P26" s="861"/>
      <c r="Q26" s="861"/>
      <c r="R26" s="1699"/>
      <c r="S26" s="2060"/>
      <c r="T26" s="2060"/>
      <c r="U26" s="2060"/>
      <c r="V26" s="2060"/>
      <c r="W26" s="2060"/>
      <c r="X26" s="2060"/>
      <c r="Y26" s="2060"/>
      <c r="Z26" s="2060"/>
      <c r="AA26" s="2060"/>
      <c r="AB26" s="2060"/>
      <c r="AC26" s="2060"/>
      <c r="AD26" s="2060"/>
      <c r="AE26" s="2060"/>
      <c r="AF26" s="2060"/>
      <c r="AG26" s="2060"/>
      <c r="AH26" s="2060"/>
      <c r="AI26" s="2060"/>
    </row>
    <row r="27" spans="1:35" ht="13.9">
      <c r="A27" s="1700"/>
      <c r="B27" s="1700"/>
      <c r="C27" s="861"/>
      <c r="D27" s="861"/>
      <c r="E27" s="861"/>
      <c r="F27" s="861"/>
      <c r="G27" s="861"/>
      <c r="H27" s="861"/>
      <c r="I27" s="861"/>
      <c r="J27" s="861"/>
      <c r="K27" s="861"/>
      <c r="L27" s="861"/>
      <c r="M27" s="861"/>
      <c r="N27" s="861"/>
      <c r="O27" s="861"/>
      <c r="P27" s="861"/>
      <c r="Q27" s="861"/>
      <c r="R27" s="1699"/>
      <c r="S27" s="2060"/>
      <c r="T27" s="2060"/>
      <c r="U27" s="2060"/>
      <c r="V27" s="2060"/>
      <c r="W27" s="2060"/>
      <c r="X27" s="2060"/>
      <c r="Y27" s="2060"/>
      <c r="Z27" s="2060"/>
      <c r="AA27" s="2060"/>
      <c r="AB27" s="2060"/>
      <c r="AC27" s="2060"/>
      <c r="AD27" s="2060"/>
      <c r="AE27" s="2060"/>
      <c r="AF27" s="2060"/>
      <c r="AG27" s="2060"/>
      <c r="AH27" s="2060"/>
      <c r="AI27" s="2060"/>
    </row>
    <row r="28" spans="1:35" ht="15">
      <c r="A28" s="1700"/>
      <c r="B28" s="1700"/>
      <c r="C28" s="861"/>
      <c r="D28" s="861"/>
      <c r="E28" s="861"/>
      <c r="F28" s="861"/>
      <c r="G28" s="871"/>
      <c r="H28" s="861"/>
      <c r="I28" s="861"/>
      <c r="J28" s="861"/>
      <c r="K28" s="861"/>
      <c r="L28" s="861"/>
      <c r="M28" s="861"/>
      <c r="N28" s="861"/>
      <c r="O28" s="861"/>
      <c r="P28" s="861"/>
      <c r="Q28" s="861"/>
      <c r="R28" s="1699"/>
      <c r="S28" s="2060"/>
      <c r="T28" s="2060"/>
      <c r="U28" s="2060"/>
      <c r="V28" s="2060"/>
      <c r="W28" s="2060"/>
      <c r="X28" s="2060"/>
      <c r="Y28" s="2060"/>
      <c r="Z28" s="2060"/>
      <c r="AA28" s="2060"/>
      <c r="AB28" s="2060"/>
      <c r="AC28" s="2060"/>
      <c r="AD28" s="2060"/>
      <c r="AE28" s="2060"/>
      <c r="AF28" s="2060"/>
      <c r="AG28" s="2060"/>
      <c r="AH28" s="2060"/>
      <c r="AI28" s="2060"/>
    </row>
    <row r="29" spans="1:35" ht="45">
      <c r="A29" s="1700"/>
      <c r="B29" s="1700"/>
      <c r="C29" s="861"/>
      <c r="D29" s="861"/>
      <c r="E29" s="861"/>
      <c r="F29" s="861"/>
      <c r="G29" s="1706" t="str">
        <f>IF(PrintDRAFTYN="Y","DRAFT","")</f>
        <v>DRAFT</v>
      </c>
      <c r="H29" s="861"/>
      <c r="I29" s="861"/>
      <c r="J29" s="861"/>
      <c r="K29" s="861"/>
      <c r="L29" s="861"/>
      <c r="M29" s="861"/>
      <c r="N29" s="861"/>
      <c r="O29" s="861"/>
      <c r="P29" s="861"/>
      <c r="Q29" s="861"/>
      <c r="R29" s="1699"/>
      <c r="S29" s="2060"/>
      <c r="T29" s="2060"/>
      <c r="U29" s="2060"/>
      <c r="V29" s="2060"/>
      <c r="W29" s="2060"/>
      <c r="X29" s="2060"/>
      <c r="Y29" s="2060"/>
      <c r="Z29" s="2060"/>
      <c r="AA29" s="2060"/>
      <c r="AB29" s="2060"/>
      <c r="AC29" s="2060"/>
      <c r="AD29" s="2060"/>
      <c r="AE29" s="2060"/>
      <c r="AF29" s="2060"/>
      <c r="AG29" s="2060"/>
      <c r="AH29" s="2060"/>
      <c r="AI29" s="2060"/>
    </row>
    <row r="30" spans="1:35" ht="13.9">
      <c r="A30" s="1700"/>
      <c r="B30" s="1700"/>
      <c r="C30" s="861"/>
      <c r="D30" s="861"/>
      <c r="E30" s="861"/>
      <c r="F30" s="861"/>
      <c r="G30" s="861"/>
      <c r="H30" s="861"/>
      <c r="I30" s="861"/>
      <c r="J30" s="861"/>
      <c r="K30" s="861"/>
      <c r="L30" s="861"/>
      <c r="M30" s="861"/>
      <c r="N30" s="861"/>
      <c r="O30" s="861"/>
      <c r="P30" s="861"/>
      <c r="Q30" s="861"/>
      <c r="R30" s="1699"/>
      <c r="S30" s="2060"/>
      <c r="T30" s="2060"/>
      <c r="U30" s="2060"/>
      <c r="V30" s="2060"/>
      <c r="W30" s="2060"/>
      <c r="X30" s="2060"/>
      <c r="Y30" s="2060"/>
      <c r="Z30" s="2060"/>
      <c r="AA30" s="2060"/>
      <c r="AB30" s="2060"/>
      <c r="AC30" s="2060"/>
      <c r="AD30" s="2060"/>
      <c r="AE30" s="2060"/>
      <c r="AF30" s="2060"/>
      <c r="AG30" s="2060"/>
      <c r="AH30" s="2060"/>
      <c r="AI30" s="2060"/>
    </row>
    <row r="31" spans="1:35" ht="13.9">
      <c r="A31" s="1700"/>
      <c r="B31" s="1700"/>
      <c r="C31" s="861"/>
      <c r="D31" s="861"/>
      <c r="E31" s="861"/>
      <c r="F31" s="861"/>
      <c r="G31" s="861"/>
      <c r="H31" s="861"/>
      <c r="I31" s="861"/>
      <c r="J31" s="861"/>
      <c r="K31" s="861"/>
      <c r="L31" s="861"/>
      <c r="M31" s="861"/>
      <c r="N31" s="861"/>
      <c r="O31" s="861"/>
      <c r="P31" s="861"/>
      <c r="Q31" s="861"/>
      <c r="R31" s="1699"/>
      <c r="S31" s="2060"/>
      <c r="T31" s="2060"/>
      <c r="U31" s="2060"/>
      <c r="V31" s="2060"/>
      <c r="W31" s="2060"/>
      <c r="X31" s="2060"/>
      <c r="Y31" s="2060"/>
      <c r="Z31" s="2060"/>
      <c r="AA31" s="2060"/>
      <c r="AB31" s="2060"/>
      <c r="AC31" s="2060"/>
      <c r="AD31" s="2060"/>
      <c r="AE31" s="2060"/>
      <c r="AF31" s="2060"/>
      <c r="AG31" s="2060"/>
      <c r="AH31" s="2060"/>
      <c r="AI31" s="2060"/>
    </row>
    <row r="32" spans="1:35" ht="13.9">
      <c r="A32" s="1700"/>
      <c r="B32" s="1700"/>
      <c r="C32" s="861"/>
      <c r="D32" s="861"/>
      <c r="E32" s="861"/>
      <c r="F32" s="861"/>
      <c r="G32" s="861"/>
      <c r="H32" s="861"/>
      <c r="I32" s="861"/>
      <c r="J32" s="861"/>
      <c r="K32" s="861"/>
      <c r="L32" s="861"/>
      <c r="M32" s="861"/>
      <c r="N32" s="861"/>
      <c r="O32" s="861"/>
      <c r="P32" s="861"/>
      <c r="Q32" s="861"/>
      <c r="R32" s="1699"/>
      <c r="S32" s="2060"/>
      <c r="T32" s="2060"/>
      <c r="U32" s="2060"/>
      <c r="V32" s="2060"/>
      <c r="W32" s="2060"/>
      <c r="X32" s="2060"/>
      <c r="Y32" s="2060"/>
      <c r="Z32" s="2060"/>
      <c r="AA32" s="2060"/>
      <c r="AB32" s="2060"/>
      <c r="AC32" s="2060"/>
      <c r="AD32" s="2060"/>
      <c r="AE32" s="2060"/>
      <c r="AF32" s="2060"/>
      <c r="AG32" s="2060"/>
      <c r="AH32" s="2060"/>
      <c r="AI32" s="2060"/>
    </row>
    <row r="33" spans="1:35" s="1530" customFormat="1" ht="13.9">
      <c r="A33" s="1700"/>
      <c r="B33" s="1700"/>
      <c r="C33" s="861"/>
      <c r="D33" s="861"/>
      <c r="E33" s="861"/>
      <c r="F33" s="861"/>
      <c r="G33" s="861"/>
      <c r="H33" s="861"/>
      <c r="I33" s="861"/>
      <c r="J33" s="861"/>
      <c r="K33" s="861"/>
      <c r="L33" s="861"/>
      <c r="M33" s="861"/>
      <c r="N33" s="861"/>
      <c r="O33" s="861"/>
      <c r="P33" s="861"/>
      <c r="Q33" s="861"/>
      <c r="R33" s="1699"/>
      <c r="S33" s="2060"/>
      <c r="T33" s="2060"/>
      <c r="U33" s="2060"/>
      <c r="V33" s="2060"/>
      <c r="W33" s="2060"/>
      <c r="X33" s="2060"/>
      <c r="Y33" s="2060"/>
      <c r="Z33" s="2060"/>
      <c r="AA33" s="2060"/>
      <c r="AB33" s="2060"/>
      <c r="AC33" s="2060"/>
      <c r="AD33" s="2060"/>
      <c r="AE33" s="2060"/>
      <c r="AF33" s="2060"/>
      <c r="AG33" s="2060"/>
      <c r="AH33" s="2060"/>
      <c r="AI33" s="2060"/>
    </row>
    <row r="34" spans="1:35" s="1530" customFormat="1" ht="13.9">
      <c r="A34" s="1700"/>
      <c r="B34" s="1700"/>
      <c r="C34" s="861"/>
      <c r="D34" s="861"/>
      <c r="E34" s="861"/>
      <c r="F34" s="861"/>
      <c r="G34" s="861"/>
      <c r="H34" s="861"/>
      <c r="I34" s="861"/>
      <c r="J34" s="861"/>
      <c r="K34" s="861"/>
      <c r="L34" s="861"/>
      <c r="M34" s="861"/>
      <c r="N34" s="861"/>
      <c r="O34" s="861"/>
      <c r="P34" s="861"/>
      <c r="Q34" s="861"/>
      <c r="R34" s="1699"/>
      <c r="S34" s="2060"/>
      <c r="T34" s="2060"/>
      <c r="U34" s="2060"/>
      <c r="V34" s="2060"/>
      <c r="W34" s="2060"/>
      <c r="X34" s="2060"/>
      <c r="Y34" s="2060"/>
      <c r="Z34" s="2060"/>
      <c r="AA34" s="2060"/>
      <c r="AB34" s="2060"/>
      <c r="AC34" s="2060"/>
      <c r="AD34" s="2060"/>
      <c r="AE34" s="2060"/>
      <c r="AF34" s="2060"/>
      <c r="AG34" s="2060"/>
      <c r="AH34" s="2060"/>
      <c r="AI34" s="2060"/>
    </row>
    <row r="35" spans="1:35" ht="13.9">
      <c r="A35" s="1700"/>
      <c r="B35" s="1700"/>
      <c r="C35" s="861"/>
      <c r="D35" s="861"/>
      <c r="E35" s="861"/>
      <c r="F35" s="861"/>
      <c r="G35" s="861"/>
      <c r="H35" s="861"/>
      <c r="I35" s="861"/>
      <c r="J35" s="861"/>
      <c r="K35" s="861"/>
      <c r="L35" s="861"/>
      <c r="M35" s="861"/>
      <c r="N35" s="861"/>
      <c r="O35" s="861"/>
      <c r="P35" s="861"/>
      <c r="Q35" s="2060"/>
      <c r="R35" s="43"/>
      <c r="S35" s="2060"/>
      <c r="T35" s="2060"/>
      <c r="U35" s="2060"/>
      <c r="V35" s="2060"/>
      <c r="W35" s="2060"/>
      <c r="X35" s="2060"/>
      <c r="Y35" s="2060"/>
      <c r="Z35" s="2060"/>
      <c r="AA35" s="2060"/>
      <c r="AB35" s="2060"/>
      <c r="AC35" s="2060"/>
      <c r="AD35" s="2060"/>
      <c r="AE35" s="2060"/>
      <c r="AF35" s="2060"/>
      <c r="AG35" s="2060"/>
      <c r="AH35" s="2060"/>
      <c r="AI35" s="2060"/>
    </row>
    <row r="36" spans="1:35" s="1530" customFormat="1" ht="13.9">
      <c r="A36" s="1700"/>
      <c r="B36" s="1700"/>
      <c r="C36" s="861"/>
      <c r="D36" s="861"/>
      <c r="E36" s="861"/>
      <c r="F36" s="861"/>
      <c r="G36" s="861"/>
      <c r="H36" s="861"/>
      <c r="I36" s="861"/>
      <c r="J36" s="861"/>
      <c r="K36" s="861"/>
      <c r="L36" s="861"/>
      <c r="M36" s="861"/>
      <c r="N36" s="861"/>
      <c r="O36" s="861"/>
      <c r="P36" s="861"/>
      <c r="Q36" s="2060"/>
      <c r="R36" s="43"/>
      <c r="S36" s="2060"/>
      <c r="T36" s="2060"/>
      <c r="U36" s="2060"/>
      <c r="V36" s="2060"/>
      <c r="W36" s="2060"/>
      <c r="X36" s="2060"/>
      <c r="Y36" s="2060"/>
      <c r="Z36" s="2060"/>
      <c r="AA36" s="2060"/>
      <c r="AB36" s="2060"/>
      <c r="AC36" s="2060"/>
      <c r="AD36" s="2060"/>
      <c r="AE36" s="2060"/>
      <c r="AF36" s="2060"/>
      <c r="AG36" s="2060"/>
      <c r="AH36" s="2060"/>
      <c r="AI36" s="2060"/>
    </row>
    <row r="37" spans="1:35" s="1530" customFormat="1" ht="13.9">
      <c r="A37" s="1700"/>
      <c r="B37" s="1700"/>
      <c r="C37" s="861"/>
      <c r="D37" s="861"/>
      <c r="E37" s="861"/>
      <c r="F37" s="861"/>
      <c r="G37" s="861"/>
      <c r="H37" s="861"/>
      <c r="I37" s="861"/>
      <c r="J37" s="861"/>
      <c r="K37" s="861"/>
      <c r="L37" s="861"/>
      <c r="M37" s="861"/>
      <c r="N37" s="861"/>
      <c r="O37" s="861"/>
      <c r="P37" s="861"/>
      <c r="Q37" s="2060"/>
      <c r="R37" s="43"/>
      <c r="S37" s="2060"/>
      <c r="T37" s="2060"/>
      <c r="U37" s="2060"/>
      <c r="V37" s="2060"/>
      <c r="W37" s="2060"/>
      <c r="X37" s="2060"/>
      <c r="Y37" s="2060"/>
      <c r="Z37" s="2060"/>
      <c r="AA37" s="2060"/>
      <c r="AB37" s="2060"/>
      <c r="AC37" s="2060"/>
      <c r="AD37" s="2060"/>
      <c r="AE37" s="2060"/>
      <c r="AF37" s="2060"/>
      <c r="AG37" s="2060"/>
      <c r="AH37" s="2060"/>
      <c r="AI37" s="2060"/>
    </row>
    <row r="38" spans="1:35" s="1530" customFormat="1" ht="13.9">
      <c r="A38" s="1700"/>
      <c r="B38" s="1700"/>
      <c r="C38" s="861"/>
      <c r="D38" s="861"/>
      <c r="E38" s="861"/>
      <c r="F38" s="861"/>
      <c r="G38" s="861"/>
      <c r="H38" s="861"/>
      <c r="I38" s="861"/>
      <c r="J38" s="861"/>
      <c r="K38" s="861"/>
      <c r="L38" s="861"/>
      <c r="M38" s="861"/>
      <c r="N38" s="861"/>
      <c r="O38" s="861"/>
      <c r="P38" s="861"/>
      <c r="Q38" s="2060"/>
      <c r="R38" s="43"/>
      <c r="S38" s="2060"/>
      <c r="T38" s="2060"/>
      <c r="U38" s="2060"/>
      <c r="V38" s="2060"/>
      <c r="W38" s="2060"/>
      <c r="X38" s="2060"/>
      <c r="Y38" s="2060"/>
      <c r="Z38" s="2060"/>
      <c r="AA38" s="2060"/>
      <c r="AB38" s="2060"/>
      <c r="AC38" s="2060"/>
      <c r="AD38" s="2060"/>
      <c r="AE38" s="2060"/>
      <c r="AF38" s="2060"/>
      <c r="AG38" s="2060"/>
      <c r="AH38" s="2060"/>
      <c r="AI38" s="2060"/>
    </row>
    <row r="39" spans="1:35" s="1530" customFormat="1" ht="13.9">
      <c r="A39" s="1700"/>
      <c r="B39" s="1700"/>
      <c r="C39" s="861"/>
      <c r="D39" s="861"/>
      <c r="E39" s="861"/>
      <c r="F39" s="861"/>
      <c r="G39" s="861"/>
      <c r="H39" s="861"/>
      <c r="I39" s="861"/>
      <c r="J39" s="861"/>
      <c r="K39" s="861"/>
      <c r="L39" s="861"/>
      <c r="M39" s="861"/>
      <c r="N39" s="861"/>
      <c r="O39" s="861"/>
      <c r="P39" s="861"/>
      <c r="Q39" s="2060"/>
      <c r="R39" s="43"/>
      <c r="S39" s="2060"/>
      <c r="T39" s="2060"/>
      <c r="U39" s="2060"/>
      <c r="V39" s="2060"/>
      <c r="W39" s="2060"/>
      <c r="X39" s="2060"/>
      <c r="Y39" s="2060"/>
      <c r="Z39" s="2060"/>
      <c r="AA39" s="2060"/>
      <c r="AB39" s="2060"/>
      <c r="AC39" s="2060"/>
      <c r="AD39" s="2060"/>
      <c r="AE39" s="2060"/>
      <c r="AF39" s="2060"/>
      <c r="AG39" s="2060"/>
      <c r="AH39" s="2060"/>
      <c r="AI39" s="2060"/>
    </row>
    <row r="40" spans="1:35" ht="12" customHeight="1">
      <c r="A40" s="1705"/>
      <c r="B40" s="1705"/>
      <c r="C40" s="862"/>
      <c r="D40" s="865"/>
      <c r="E40" s="2060"/>
      <c r="F40" s="2060"/>
      <c r="G40" s="2060"/>
      <c r="H40" s="2060"/>
      <c r="I40" s="865"/>
      <c r="J40" s="865"/>
      <c r="K40" s="865"/>
      <c r="L40" s="865"/>
      <c r="M40" s="865"/>
      <c r="N40" s="865"/>
      <c r="O40" s="851"/>
      <c r="P40" s="851"/>
      <c r="Q40" s="2060"/>
      <c r="R40" s="43"/>
      <c r="S40" s="2060"/>
      <c r="T40" s="2060"/>
      <c r="U40" s="2060"/>
      <c r="V40" s="2060"/>
      <c r="W40" s="2060"/>
      <c r="X40" s="2060"/>
      <c r="Y40" s="2060"/>
      <c r="Z40" s="2060"/>
      <c r="AA40" s="2060"/>
      <c r="AB40" s="2060"/>
      <c r="AC40" s="2060"/>
      <c r="AD40" s="2060"/>
      <c r="AE40" s="2060"/>
      <c r="AF40" s="2060"/>
      <c r="AG40" s="2060"/>
      <c r="AH40" s="2060"/>
      <c r="AI40" s="2060"/>
    </row>
    <row r="41" spans="1:35" ht="12" customHeight="1">
      <c r="A41" s="1700"/>
      <c r="B41" s="43"/>
      <c r="C41" s="862"/>
      <c r="D41" s="863"/>
      <c r="E41" s="866"/>
      <c r="F41" s="867"/>
      <c r="G41" s="867"/>
      <c r="H41" s="868"/>
      <c r="I41" s="863"/>
      <c r="J41" s="863"/>
      <c r="K41" s="863"/>
      <c r="L41" s="863"/>
      <c r="M41" s="2060"/>
      <c r="N41" s="863"/>
      <c r="O41" s="851"/>
      <c r="P41" s="851"/>
      <c r="Q41" s="2060"/>
      <c r="R41" s="43"/>
      <c r="S41" s="2060"/>
      <c r="T41" s="2060"/>
      <c r="U41" s="2060"/>
      <c r="V41" s="2060"/>
      <c r="W41" s="2060"/>
      <c r="X41" s="2060"/>
      <c r="Y41" s="2060"/>
      <c r="Z41" s="2060"/>
      <c r="AA41" s="2060"/>
      <c r="AB41" s="2060"/>
      <c r="AC41" s="2060"/>
      <c r="AD41" s="2060"/>
      <c r="AE41" s="2060"/>
      <c r="AF41" s="2060"/>
      <c r="AG41" s="2060"/>
      <c r="AH41" s="2060"/>
      <c r="AI41" s="2060"/>
    </row>
    <row r="42" spans="1:35" ht="12" customHeight="1">
      <c r="A42" s="1700"/>
      <c r="B42" s="43"/>
      <c r="C42" s="2060"/>
      <c r="D42" s="862"/>
      <c r="E42" s="866"/>
      <c r="F42" s="867"/>
      <c r="G42" s="867"/>
      <c r="H42" s="868"/>
      <c r="I42" s="862"/>
      <c r="J42" s="862"/>
      <c r="K42" s="862"/>
      <c r="L42" s="862"/>
      <c r="M42" s="862"/>
      <c r="N42" s="862"/>
      <c r="O42" s="862"/>
      <c r="P42" s="862"/>
      <c r="Q42" s="2060"/>
      <c r="R42" s="43"/>
      <c r="S42" s="2060"/>
      <c r="T42" s="2060"/>
      <c r="U42" s="2060"/>
      <c r="V42" s="2060"/>
      <c r="W42" s="2060"/>
      <c r="X42" s="2060"/>
      <c r="Y42" s="2060"/>
      <c r="Z42" s="2060"/>
      <c r="AA42" s="2060"/>
      <c r="AB42" s="2060"/>
      <c r="AC42" s="2060"/>
      <c r="AD42" s="2060"/>
      <c r="AE42" s="2060"/>
      <c r="AF42" s="2060"/>
      <c r="AG42" s="2060"/>
      <c r="AH42" s="2060"/>
      <c r="AI42" s="2060"/>
    </row>
    <row r="43" spans="1:35" ht="12" customHeight="1">
      <c r="A43" s="1700"/>
      <c r="B43" s="43"/>
      <c r="C43" s="2060"/>
      <c r="D43" s="862"/>
      <c r="E43" s="869"/>
      <c r="F43" s="867"/>
      <c r="G43" s="867"/>
      <c r="H43" s="868"/>
      <c r="I43" s="862"/>
      <c r="J43" s="862"/>
      <c r="K43" s="862"/>
      <c r="L43" s="862"/>
      <c r="M43" s="862"/>
      <c r="N43" s="862"/>
      <c r="O43" s="862"/>
      <c r="P43" s="862"/>
      <c r="Q43" s="2060"/>
      <c r="R43" s="43"/>
      <c r="S43" s="2060"/>
      <c r="T43" s="2060"/>
      <c r="U43" s="2060"/>
      <c r="V43" s="2060"/>
      <c r="W43" s="2060"/>
      <c r="X43" s="2060"/>
      <c r="Y43" s="2060"/>
      <c r="Z43" s="2060"/>
      <c r="AA43" s="2060"/>
      <c r="AB43" s="2060"/>
      <c r="AC43" s="2060"/>
      <c r="AD43" s="2060"/>
      <c r="AE43" s="2060"/>
      <c r="AF43" s="2060"/>
      <c r="AG43" s="2060"/>
      <c r="AH43" s="2060"/>
      <c r="AI43" s="2060"/>
    </row>
    <row r="44" spans="1:35" ht="12" customHeight="1">
      <c r="A44" s="1700"/>
      <c r="B44" s="43"/>
      <c r="C44" s="2060"/>
      <c r="D44" s="862"/>
      <c r="E44" s="869"/>
      <c r="F44" s="867"/>
      <c r="G44" s="867"/>
      <c r="H44" s="868"/>
      <c r="I44" s="862"/>
      <c r="J44" s="862"/>
      <c r="K44" s="862"/>
      <c r="L44" s="862"/>
      <c r="M44" s="862"/>
      <c r="N44" s="862"/>
      <c r="O44" s="862"/>
      <c r="P44" s="862"/>
      <c r="Q44" s="2060"/>
      <c r="R44" s="43"/>
      <c r="S44" s="2060"/>
      <c r="T44" s="2060"/>
      <c r="U44" s="2060"/>
      <c r="V44" s="2060"/>
      <c r="W44" s="2060"/>
      <c r="X44" s="2060"/>
      <c r="Y44" s="2060"/>
      <c r="Z44" s="2060"/>
      <c r="AA44" s="2060"/>
      <c r="AB44" s="2060"/>
      <c r="AC44" s="2060"/>
      <c r="AD44" s="2060"/>
      <c r="AE44" s="2060"/>
      <c r="AF44" s="2060"/>
      <c r="AG44" s="2060"/>
      <c r="AH44" s="2060"/>
      <c r="AI44" s="2060"/>
    </row>
    <row r="45" spans="1:35" ht="12" customHeight="1">
      <c r="A45" s="1700"/>
      <c r="B45" s="43"/>
      <c r="C45" s="2060"/>
      <c r="D45" s="862"/>
      <c r="E45" s="1388"/>
      <c r="F45" s="870"/>
      <c r="G45" s="870"/>
      <c r="H45" s="870"/>
      <c r="I45" s="862"/>
      <c r="J45" s="862"/>
      <c r="K45" s="862"/>
      <c r="L45" s="862"/>
      <c r="M45" s="862"/>
      <c r="N45" s="862"/>
      <c r="O45" s="862"/>
      <c r="P45" s="862"/>
      <c r="Q45" s="2060"/>
      <c r="R45" s="43"/>
      <c r="S45" s="2060"/>
      <c r="T45" s="2060"/>
      <c r="U45" s="2060"/>
      <c r="V45" s="2060"/>
      <c r="W45" s="2060"/>
      <c r="X45" s="2060"/>
      <c r="Y45" s="2060"/>
      <c r="Z45" s="2060"/>
      <c r="AA45" s="2060"/>
      <c r="AB45" s="2060"/>
      <c r="AC45" s="2060"/>
      <c r="AD45" s="2060"/>
      <c r="AE45" s="2060"/>
      <c r="AF45" s="2060"/>
      <c r="AG45" s="2060"/>
      <c r="AH45" s="2060"/>
      <c r="AI45" s="2060"/>
    </row>
    <row r="46" spans="1:35" ht="12" customHeight="1">
      <c r="A46" s="1700"/>
      <c r="B46" s="1700"/>
      <c r="C46" s="1700"/>
      <c r="D46" s="1700"/>
      <c r="E46" s="2157"/>
      <c r="F46" s="2157"/>
      <c r="G46" s="2157"/>
      <c r="H46" s="2157"/>
      <c r="I46" s="1700"/>
      <c r="J46" s="1700"/>
      <c r="K46" s="1700"/>
      <c r="L46" s="1700"/>
      <c r="M46" s="1700"/>
      <c r="N46" s="1700"/>
      <c r="O46" s="1700"/>
      <c r="P46" s="1700"/>
      <c r="Q46" s="43"/>
      <c r="R46" s="43"/>
      <c r="S46" s="2060"/>
      <c r="T46" s="2060"/>
      <c r="U46" s="2060"/>
      <c r="V46" s="2060"/>
      <c r="W46" s="2060"/>
      <c r="X46" s="2060"/>
      <c r="Y46" s="2060"/>
      <c r="Z46" s="2060"/>
      <c r="AA46" s="2060"/>
      <c r="AB46" s="2060"/>
      <c r="AC46" s="2060"/>
      <c r="AD46" s="2060"/>
      <c r="AE46" s="2060"/>
      <c r="AF46" s="2060"/>
      <c r="AG46" s="2060"/>
      <c r="AH46" s="2060"/>
      <c r="AI46" s="2060"/>
    </row>
    <row r="47" spans="1:35" ht="12" customHeight="1">
      <c r="A47" s="1700"/>
      <c r="B47" s="1700"/>
      <c r="C47" s="1700"/>
      <c r="D47" s="1700"/>
      <c r="E47" s="1701"/>
      <c r="F47" s="1701"/>
      <c r="G47" s="1701"/>
      <c r="H47" s="1701"/>
      <c r="I47" s="1700"/>
      <c r="J47" s="1700"/>
      <c r="K47" s="1700"/>
      <c r="L47" s="1700"/>
      <c r="M47" s="1700"/>
      <c r="N47" s="1700"/>
      <c r="O47" s="1700"/>
      <c r="P47" s="1700"/>
      <c r="Q47" s="43"/>
      <c r="R47" s="43"/>
      <c r="S47" s="2060"/>
      <c r="T47" s="2060"/>
      <c r="U47" s="2060"/>
      <c r="V47" s="2060"/>
      <c r="W47" s="2060"/>
      <c r="X47" s="2060"/>
      <c r="Y47" s="2060"/>
      <c r="Z47" s="2060"/>
      <c r="AA47" s="2060"/>
      <c r="AB47" s="2060"/>
      <c r="AC47" s="2060"/>
      <c r="AD47" s="2060"/>
      <c r="AE47" s="2060"/>
      <c r="AF47" s="2060"/>
      <c r="AG47" s="2060"/>
      <c r="AH47" s="2060"/>
      <c r="AI47" s="2060"/>
    </row>
    <row r="48" spans="1:35" ht="12" customHeight="1">
      <c r="A48" s="862"/>
      <c r="B48" s="862"/>
      <c r="C48" s="1530"/>
      <c r="D48" s="862"/>
      <c r="E48" s="864"/>
      <c r="F48" s="2060"/>
      <c r="G48" s="2060"/>
      <c r="H48" s="2060"/>
      <c r="I48" s="862"/>
      <c r="J48" s="862"/>
      <c r="K48" s="862"/>
      <c r="L48" s="862"/>
      <c r="M48" s="862"/>
      <c r="N48" s="862"/>
      <c r="O48" s="862"/>
      <c r="P48" s="862"/>
      <c r="Q48" s="2060"/>
      <c r="R48" s="2060"/>
      <c r="S48" s="2060"/>
      <c r="T48" s="2060"/>
      <c r="U48" s="2060"/>
      <c r="V48" s="2060"/>
      <c r="W48" s="2060"/>
      <c r="X48" s="2060"/>
      <c r="Y48" s="2060"/>
      <c r="Z48" s="2060"/>
      <c r="AA48" s="2060"/>
      <c r="AB48" s="2060"/>
      <c r="AC48" s="2060"/>
      <c r="AD48" s="2060"/>
      <c r="AE48" s="2060"/>
      <c r="AF48" s="2060"/>
      <c r="AG48" s="2060"/>
      <c r="AH48" s="2060"/>
      <c r="AI48" s="2060"/>
    </row>
    <row r="49" spans="1:35" ht="12" customHeight="1">
      <c r="A49" s="862"/>
      <c r="B49" s="862"/>
      <c r="C49" s="862"/>
      <c r="D49" s="862"/>
      <c r="E49" s="862"/>
      <c r="F49" s="862"/>
      <c r="G49" s="862"/>
      <c r="H49" s="862"/>
      <c r="I49" s="862"/>
      <c r="J49" s="862"/>
      <c r="K49" s="862"/>
      <c r="L49" s="862"/>
      <c r="M49" s="862"/>
      <c r="N49" s="862"/>
      <c r="O49" s="862"/>
      <c r="P49" s="862"/>
      <c r="Q49" s="2060"/>
      <c r="R49" s="2060"/>
      <c r="S49" s="2060"/>
      <c r="T49" s="2060"/>
      <c r="U49" s="2060"/>
      <c r="V49" s="2060"/>
      <c r="W49" s="2060"/>
      <c r="X49" s="2060"/>
      <c r="Y49" s="2060"/>
      <c r="Z49" s="2060"/>
      <c r="AA49" s="2060"/>
      <c r="AB49" s="2060"/>
      <c r="AC49" s="2060"/>
      <c r="AD49" s="2060"/>
      <c r="AE49" s="2060"/>
      <c r="AF49" s="2060"/>
      <c r="AG49" s="2060"/>
      <c r="AH49" s="2060"/>
      <c r="AI49" s="2060"/>
    </row>
    <row r="50" spans="1:35" ht="12" customHeight="1">
      <c r="A50" s="862"/>
      <c r="B50" s="862"/>
      <c r="C50" s="862"/>
      <c r="D50" s="862"/>
      <c r="E50" s="862"/>
      <c r="F50" s="862"/>
      <c r="G50" s="862"/>
      <c r="H50" s="862"/>
      <c r="I50" s="862"/>
      <c r="J50" s="862"/>
      <c r="K50" s="862"/>
      <c r="L50" s="862"/>
      <c r="M50" s="862"/>
      <c r="N50" s="862"/>
      <c r="O50" s="862"/>
      <c r="P50" s="862"/>
      <c r="Q50" s="2060"/>
      <c r="R50" s="2060"/>
      <c r="S50" s="2060"/>
      <c r="T50" s="2060"/>
      <c r="U50" s="2060"/>
      <c r="V50" s="2060"/>
      <c r="W50" s="2060"/>
      <c r="X50" s="2060"/>
      <c r="Y50" s="2060"/>
      <c r="Z50" s="2060"/>
      <c r="AA50" s="2060"/>
      <c r="AB50" s="2060"/>
      <c r="AC50" s="2060"/>
      <c r="AD50" s="2060"/>
      <c r="AE50" s="2060"/>
      <c r="AF50" s="2060"/>
      <c r="AG50" s="2060"/>
      <c r="AH50" s="2060"/>
      <c r="AI50" s="2060"/>
    </row>
    <row r="51" spans="1:35" ht="12" customHeight="1">
      <c r="A51" s="862"/>
      <c r="B51" s="862"/>
      <c r="C51" s="862"/>
      <c r="D51" s="862"/>
      <c r="E51" s="862"/>
      <c r="F51" s="862"/>
      <c r="G51" s="862"/>
      <c r="H51" s="862"/>
      <c r="I51" s="862"/>
      <c r="J51" s="862"/>
      <c r="K51" s="862"/>
      <c r="L51" s="862"/>
      <c r="M51" s="862"/>
      <c r="N51" s="862"/>
      <c r="O51" s="862"/>
      <c r="P51" s="862"/>
      <c r="Q51" s="2060"/>
      <c r="R51" s="2060"/>
      <c r="S51" s="2060"/>
      <c r="T51" s="2060"/>
      <c r="U51" s="2060"/>
      <c r="V51" s="2060"/>
      <c r="W51" s="2060"/>
      <c r="X51" s="2060"/>
      <c r="Y51" s="2060"/>
      <c r="Z51" s="2060"/>
      <c r="AA51" s="2060"/>
      <c r="AB51" s="2060"/>
      <c r="AC51" s="2060"/>
      <c r="AD51" s="2060"/>
      <c r="AE51" s="2060"/>
      <c r="AF51" s="2060"/>
      <c r="AG51" s="2060"/>
      <c r="AH51" s="2060"/>
      <c r="AI51" s="2060"/>
    </row>
    <row r="52" spans="1:35" ht="12" customHeight="1">
      <c r="A52" s="862"/>
      <c r="B52" s="862"/>
      <c r="C52" s="862"/>
      <c r="D52" s="862"/>
      <c r="E52" s="862"/>
      <c r="F52" s="862"/>
      <c r="G52" s="862"/>
      <c r="H52" s="862"/>
      <c r="I52" s="862"/>
      <c r="J52" s="862"/>
      <c r="K52" s="862"/>
      <c r="L52" s="862"/>
      <c r="M52" s="862"/>
      <c r="N52" s="862"/>
      <c r="O52" s="862"/>
      <c r="P52" s="862"/>
      <c r="Q52" s="2060"/>
      <c r="R52" s="2060"/>
      <c r="S52" s="2060"/>
      <c r="T52" s="2060"/>
      <c r="U52" s="2060"/>
      <c r="V52" s="2060"/>
      <c r="W52" s="2060"/>
      <c r="X52" s="2060"/>
      <c r="Y52" s="2060"/>
      <c r="Z52" s="2060"/>
      <c r="AA52" s="2060"/>
      <c r="AB52" s="2060"/>
      <c r="AC52" s="2060"/>
      <c r="AD52" s="2060"/>
      <c r="AE52" s="2060"/>
      <c r="AF52" s="2060"/>
      <c r="AG52" s="2060"/>
      <c r="AH52" s="2060"/>
      <c r="AI52" s="2060"/>
    </row>
    <row r="53" spans="1:35" ht="12" customHeight="1">
      <c r="A53" s="862"/>
      <c r="B53" s="862"/>
      <c r="C53" s="862"/>
      <c r="D53" s="862"/>
      <c r="E53" s="862"/>
      <c r="F53" s="862"/>
      <c r="G53" s="862"/>
      <c r="H53" s="862"/>
      <c r="I53" s="862"/>
      <c r="J53" s="862"/>
      <c r="K53" s="862"/>
      <c r="L53" s="862"/>
      <c r="M53" s="862"/>
      <c r="N53" s="862"/>
      <c r="O53" s="862"/>
      <c r="P53" s="862"/>
      <c r="Q53" s="2060"/>
      <c r="R53" s="2060"/>
      <c r="S53" s="2060"/>
      <c r="T53" s="2060"/>
      <c r="U53" s="2060"/>
      <c r="V53" s="2060"/>
      <c r="W53" s="2060"/>
      <c r="X53" s="2060"/>
      <c r="Y53" s="2060"/>
      <c r="Z53" s="2060"/>
      <c r="AA53" s="2060"/>
      <c r="AB53" s="2060"/>
      <c r="AC53" s="2060"/>
      <c r="AD53" s="2060"/>
      <c r="AE53" s="2060"/>
      <c r="AF53" s="2060"/>
      <c r="AG53" s="2060"/>
      <c r="AH53" s="2060"/>
      <c r="AI53" s="2060"/>
    </row>
    <row r="54" spans="1:35" ht="12" customHeight="1">
      <c r="A54" s="862"/>
      <c r="B54" s="862"/>
      <c r="C54" s="862"/>
      <c r="D54" s="862"/>
      <c r="E54" s="862"/>
      <c r="F54" s="862"/>
      <c r="G54" s="862"/>
      <c r="H54" s="862"/>
      <c r="I54" s="862"/>
      <c r="J54" s="862"/>
      <c r="K54" s="862"/>
      <c r="L54" s="862"/>
      <c r="M54" s="862"/>
      <c r="N54" s="862"/>
      <c r="O54" s="862"/>
      <c r="P54" s="862"/>
      <c r="Q54" s="2060"/>
      <c r="R54" s="2060"/>
      <c r="S54" s="2060"/>
      <c r="T54" s="2060"/>
      <c r="U54" s="2060"/>
      <c r="V54" s="2060"/>
      <c r="W54" s="2060"/>
      <c r="X54" s="2060"/>
      <c r="Y54" s="2060"/>
      <c r="Z54" s="2060"/>
      <c r="AA54" s="2060"/>
      <c r="AB54" s="2060"/>
      <c r="AC54" s="2060"/>
      <c r="AD54" s="2060"/>
      <c r="AE54" s="2060"/>
      <c r="AF54" s="2060"/>
      <c r="AG54" s="2060"/>
      <c r="AH54" s="2060"/>
      <c r="AI54" s="2060"/>
    </row>
    <row r="55" spans="1:35" ht="12" customHeight="1">
      <c r="A55" s="862"/>
      <c r="B55" s="862"/>
      <c r="C55" s="862"/>
      <c r="D55" s="862"/>
      <c r="E55" s="862"/>
      <c r="F55" s="862"/>
      <c r="G55" s="862"/>
      <c r="H55" s="862"/>
      <c r="I55" s="862"/>
      <c r="J55" s="862"/>
      <c r="K55" s="862"/>
      <c r="L55" s="862"/>
      <c r="M55" s="862"/>
      <c r="N55" s="862"/>
      <c r="O55" s="862"/>
      <c r="P55" s="862"/>
      <c r="Q55" s="2060"/>
      <c r="R55" s="2060"/>
      <c r="S55" s="2060"/>
      <c r="T55" s="2060"/>
      <c r="U55" s="2060"/>
      <c r="V55" s="2060"/>
      <c r="W55" s="2060"/>
      <c r="X55" s="2060"/>
      <c r="Y55" s="2060"/>
      <c r="Z55" s="2060"/>
      <c r="AA55" s="2060"/>
      <c r="AB55" s="2060"/>
      <c r="AC55" s="2060"/>
      <c r="AD55" s="2060"/>
      <c r="AE55" s="2060"/>
      <c r="AF55" s="2060"/>
      <c r="AG55" s="2060"/>
      <c r="AH55" s="2060"/>
      <c r="AI55" s="2060"/>
    </row>
    <row r="56" spans="1:35" ht="12" customHeight="1">
      <c r="A56" s="2060"/>
      <c r="B56" s="2060"/>
      <c r="C56" s="2060"/>
      <c r="D56" s="2060"/>
      <c r="E56" s="2060"/>
      <c r="F56" s="2060"/>
      <c r="G56" s="2060"/>
      <c r="H56" s="2060"/>
      <c r="I56" s="2060"/>
      <c r="J56" s="2060"/>
      <c r="K56" s="2060"/>
      <c r="L56" s="2060"/>
      <c r="M56" s="2060"/>
      <c r="N56" s="2060"/>
      <c r="O56" s="2060"/>
      <c r="P56" s="2060"/>
      <c r="Q56" s="2060"/>
      <c r="R56" s="2060"/>
      <c r="S56" s="2060"/>
      <c r="T56" s="2060"/>
      <c r="U56" s="2060"/>
      <c r="V56" s="2060"/>
      <c r="W56" s="2060"/>
      <c r="X56" s="2060"/>
      <c r="Y56" s="2060"/>
      <c r="Z56" s="2060"/>
      <c r="AA56" s="2060"/>
      <c r="AB56" s="2060"/>
      <c r="AC56" s="2060"/>
      <c r="AD56" s="2060"/>
      <c r="AE56" s="2060"/>
      <c r="AF56" s="2060"/>
      <c r="AG56" s="2060"/>
      <c r="AH56" s="2060"/>
      <c r="AI56" s="2060"/>
    </row>
    <row r="57" spans="1:35" ht="12" customHeight="1">
      <c r="A57" s="2060"/>
      <c r="B57" s="2060"/>
      <c r="C57" s="2060"/>
      <c r="D57" s="2060"/>
      <c r="E57" s="2060"/>
      <c r="F57" s="2060"/>
      <c r="G57" s="2060"/>
      <c r="H57" s="2060"/>
      <c r="I57" s="2060"/>
      <c r="J57" s="2060"/>
      <c r="K57" s="2060"/>
      <c r="L57" s="2060"/>
      <c r="M57" s="2060"/>
      <c r="N57" s="2060"/>
      <c r="O57" s="2060"/>
      <c r="P57" s="2060"/>
      <c r="Q57" s="2060"/>
      <c r="R57" s="2060"/>
      <c r="S57" s="2060"/>
      <c r="T57" s="2060"/>
      <c r="U57" s="2060"/>
      <c r="V57" s="2060"/>
      <c r="W57" s="2060"/>
      <c r="X57" s="2060"/>
      <c r="Y57" s="2060"/>
      <c r="Z57" s="2060"/>
      <c r="AA57" s="2060"/>
      <c r="AB57" s="2060"/>
      <c r="AC57" s="2060"/>
      <c r="AD57" s="2060"/>
      <c r="AE57" s="2060"/>
      <c r="AF57" s="2060"/>
      <c r="AG57" s="2060"/>
      <c r="AH57" s="2060"/>
      <c r="AI57" s="2060"/>
    </row>
    <row r="58" spans="1:35" ht="12" customHeight="1">
      <c r="A58" s="2060"/>
      <c r="B58" s="2060"/>
      <c r="C58" s="2060"/>
      <c r="D58" s="2060"/>
      <c r="E58" s="2060"/>
      <c r="F58" s="2060"/>
      <c r="G58" s="2060"/>
      <c r="H58" s="2060"/>
      <c r="I58" s="2060"/>
      <c r="J58" s="2060"/>
      <c r="K58" s="2060"/>
      <c r="L58" s="2060"/>
      <c r="M58" s="2060"/>
      <c r="N58" s="2060"/>
      <c r="O58" s="2060"/>
      <c r="P58" s="2060"/>
      <c r="Q58" s="2060"/>
      <c r="R58" s="2060"/>
      <c r="S58" s="2060"/>
      <c r="T58" s="2060"/>
      <c r="U58" s="2060"/>
      <c r="V58" s="2060"/>
      <c r="W58" s="2060"/>
      <c r="X58" s="2060"/>
      <c r="Y58" s="2060"/>
      <c r="Z58" s="2060"/>
      <c r="AA58" s="2060"/>
      <c r="AB58" s="2060"/>
      <c r="AC58" s="2060"/>
      <c r="AD58" s="2060"/>
      <c r="AE58" s="2060"/>
      <c r="AF58" s="2060"/>
      <c r="AG58" s="2060"/>
      <c r="AH58" s="2060"/>
      <c r="AI58" s="2060"/>
    </row>
    <row r="59" spans="1:35" ht="12" customHeight="1">
      <c r="A59" s="2060"/>
      <c r="B59" s="2060"/>
      <c r="C59" s="2060"/>
      <c r="D59" s="2060"/>
      <c r="E59" s="2060"/>
      <c r="F59" s="2060"/>
      <c r="G59" s="2060"/>
      <c r="H59" s="2060"/>
      <c r="I59" s="2060"/>
      <c r="J59" s="2060"/>
      <c r="K59" s="2060"/>
      <c r="L59" s="2060"/>
      <c r="M59" s="2060"/>
      <c r="N59" s="2060"/>
      <c r="O59" s="2060"/>
      <c r="P59" s="2060"/>
      <c r="Q59" s="2060"/>
      <c r="R59" s="2060"/>
      <c r="S59" s="2060"/>
      <c r="T59" s="2060"/>
      <c r="U59" s="2060"/>
      <c r="V59" s="2060"/>
      <c r="W59" s="2060"/>
      <c r="X59" s="2060"/>
      <c r="Y59" s="2060"/>
      <c r="Z59" s="2060"/>
      <c r="AA59" s="2060"/>
      <c r="AB59" s="2060"/>
      <c r="AC59" s="2060"/>
      <c r="AD59" s="2060"/>
      <c r="AE59" s="2060"/>
      <c r="AF59" s="2060"/>
      <c r="AG59" s="2060"/>
      <c r="AH59" s="2060"/>
      <c r="AI59" s="2060"/>
    </row>
    <row r="60" spans="1:35" ht="12" customHeight="1">
      <c r="A60" s="2060"/>
      <c r="B60" s="2060"/>
      <c r="C60" s="2060"/>
      <c r="D60" s="2060"/>
      <c r="E60" s="2060"/>
      <c r="F60" s="2060"/>
      <c r="G60" s="2060"/>
      <c r="H60" s="1530"/>
      <c r="I60" s="2060"/>
      <c r="J60" s="2060"/>
      <c r="K60" s="2060"/>
      <c r="L60" s="2060"/>
      <c r="M60" s="2060"/>
      <c r="N60" s="2060"/>
      <c r="O60" s="2060"/>
      <c r="P60" s="2060"/>
      <c r="Q60" s="2060"/>
      <c r="R60" s="2060"/>
      <c r="S60" s="2060"/>
      <c r="T60" s="2060"/>
      <c r="U60" s="2060"/>
      <c r="V60" s="2060"/>
      <c r="W60" s="2060"/>
      <c r="X60" s="2060"/>
      <c r="Y60" s="2060"/>
      <c r="Z60" s="2060"/>
      <c r="AA60" s="2060"/>
      <c r="AB60" s="2060"/>
      <c r="AC60" s="2060"/>
      <c r="AD60" s="2060"/>
      <c r="AE60" s="2060"/>
      <c r="AF60" s="2060"/>
      <c r="AG60" s="2060"/>
      <c r="AH60" s="2060"/>
      <c r="AI60" s="2060"/>
    </row>
    <row r="61" spans="1:35" s="646" customFormat="1" ht="12" customHeight="1">
      <c r="A61" s="1383" t="s">
        <v>17</v>
      </c>
      <c r="B61" s="43"/>
      <c r="C61" s="43"/>
      <c r="D61" s="43"/>
      <c r="E61" s="43"/>
      <c r="F61" s="43"/>
      <c r="G61" s="43"/>
      <c r="H61" s="43"/>
      <c r="I61" s="43"/>
      <c r="J61" s="43"/>
      <c r="K61" s="43"/>
      <c r="L61" s="43"/>
      <c r="M61" s="43"/>
      <c r="N61" s="43"/>
      <c r="O61" s="43"/>
      <c r="P61" s="43"/>
      <c r="Q61" s="43"/>
      <c r="R61" s="43"/>
      <c r="S61" s="1383" t="s">
        <v>18</v>
      </c>
      <c r="T61" s="2060"/>
      <c r="U61" s="2060"/>
      <c r="V61" s="2060"/>
      <c r="W61" s="2060"/>
      <c r="X61" s="2060"/>
      <c r="Y61" s="2060"/>
      <c r="Z61" s="2060"/>
      <c r="AA61" s="2060"/>
      <c r="AB61" s="2060"/>
      <c r="AC61" s="2060"/>
      <c r="AD61" s="2060"/>
      <c r="AE61" s="2060"/>
      <c r="AF61" s="2060"/>
      <c r="AG61" s="2060"/>
      <c r="AH61" s="2060"/>
      <c r="AI61" s="2060"/>
    </row>
    <row r="62" spans="1:35" s="646" customFormat="1" ht="12" customHeight="1">
      <c r="A62" s="2060"/>
      <c r="B62" s="2060"/>
      <c r="C62" s="2060"/>
      <c r="D62" s="2060"/>
      <c r="E62" s="2060"/>
      <c r="F62" s="2060"/>
      <c r="G62" s="2060"/>
      <c r="H62" s="2060"/>
      <c r="I62" s="2060"/>
      <c r="J62" s="2060"/>
      <c r="K62" s="2060"/>
      <c r="L62" s="2060"/>
      <c r="M62" s="2060"/>
      <c r="N62" s="2060"/>
      <c r="O62" s="2060"/>
      <c r="P62" s="2060"/>
      <c r="Q62" s="2060"/>
      <c r="R62" s="2060"/>
      <c r="S62" s="2060"/>
      <c r="T62" s="2060"/>
      <c r="U62" s="2060"/>
      <c r="V62" s="2060"/>
      <c r="W62" s="2060"/>
      <c r="X62" s="2060"/>
      <c r="Y62" s="2060"/>
      <c r="Z62" s="2060"/>
      <c r="AA62" s="2060"/>
      <c r="AB62" s="2060"/>
      <c r="AC62" s="2060"/>
      <c r="AD62" s="2060"/>
      <c r="AE62" s="2060"/>
      <c r="AF62" s="2060"/>
      <c r="AG62" s="2060"/>
      <c r="AH62" s="2060"/>
      <c r="AI62" s="2060"/>
    </row>
    <row r="63" spans="1:35" s="646" customFormat="1" ht="12" customHeight="1">
      <c r="A63" s="2060"/>
      <c r="B63" s="2060"/>
      <c r="C63" s="2060"/>
      <c r="D63" s="2060"/>
      <c r="E63" s="2060"/>
      <c r="F63" s="2060"/>
      <c r="G63" s="2060"/>
      <c r="H63" s="2060"/>
      <c r="I63" s="2060"/>
      <c r="J63" s="2060"/>
      <c r="K63" s="2060"/>
      <c r="L63" s="2060"/>
      <c r="M63" s="2060"/>
      <c r="N63" s="2060"/>
      <c r="O63" s="2060"/>
      <c r="P63" s="2060"/>
      <c r="Q63" s="2060"/>
      <c r="R63" s="2060"/>
      <c r="S63" s="2060"/>
      <c r="T63" s="2060"/>
      <c r="U63" s="2060"/>
      <c r="V63" s="2060"/>
      <c r="W63" s="2060"/>
      <c r="X63" s="2060"/>
      <c r="Y63" s="2060"/>
      <c r="Z63" s="2060"/>
      <c r="AA63" s="2060"/>
      <c r="AB63" s="2060"/>
      <c r="AC63" s="2060"/>
      <c r="AD63" s="2060"/>
      <c r="AE63" s="2060"/>
      <c r="AF63" s="2060"/>
      <c r="AG63" s="2060"/>
      <c r="AH63" s="2060"/>
      <c r="AI63" s="2060"/>
    </row>
    <row r="64" spans="1:35" s="646" customFormat="1" ht="12" customHeight="1">
      <c r="A64" s="2060"/>
      <c r="B64" s="2060"/>
      <c r="C64" s="2060"/>
      <c r="D64" s="2060"/>
      <c r="E64" s="2060"/>
      <c r="F64" s="2060"/>
      <c r="G64" s="2060"/>
      <c r="H64" s="2060"/>
      <c r="I64" s="2060"/>
      <c r="J64" s="2060"/>
      <c r="K64" s="2060"/>
      <c r="L64" s="2060"/>
      <c r="M64" s="2060"/>
      <c r="N64" s="2060"/>
      <c r="O64" s="2060"/>
      <c r="P64" s="2060"/>
      <c r="Q64" s="2060"/>
      <c r="R64" s="2060"/>
      <c r="S64" s="2060"/>
      <c r="T64" s="2060"/>
      <c r="U64" s="2060"/>
      <c r="V64" s="2060"/>
      <c r="W64" s="2060"/>
      <c r="X64" s="2060"/>
      <c r="Y64" s="2060"/>
      <c r="Z64" s="2060"/>
      <c r="AA64" s="2060"/>
      <c r="AB64" s="2060"/>
      <c r="AC64" s="2060"/>
      <c r="AD64" s="2060"/>
      <c r="AE64" s="2060"/>
      <c r="AF64" s="2060"/>
      <c r="AG64" s="2060"/>
      <c r="AH64" s="2060"/>
      <c r="AI64" s="2060"/>
    </row>
    <row r="65" spans="16:16" s="646" customFormat="1" ht="12" customHeight="1">
      <c r="P65" s="2060"/>
    </row>
    <row r="66" spans="16:16" s="646" customFormat="1" ht="12" customHeight="1">
      <c r="P66" s="2060"/>
    </row>
    <row r="67" spans="16:16" s="646" customFormat="1" ht="12" customHeight="1">
      <c r="P67" s="2060"/>
    </row>
    <row r="68" spans="16:16" s="646" customFormat="1" ht="12" customHeight="1">
      <c r="P68" s="2060"/>
    </row>
    <row r="69" spans="16:16" s="646" customFormat="1" ht="12" customHeight="1">
      <c r="P69" s="2060"/>
    </row>
    <row r="70" spans="16:16" s="646" customFormat="1" ht="12" customHeight="1">
      <c r="P70" s="2060"/>
    </row>
    <row r="71" spans="16:16" s="646" customFormat="1" ht="12" customHeight="1">
      <c r="P71" s="2060"/>
    </row>
    <row r="72" spans="16:16" s="646" customFormat="1" ht="12" customHeight="1">
      <c r="P72" s="2060"/>
    </row>
    <row r="73" spans="16:16" s="646" customFormat="1" ht="12" customHeight="1">
      <c r="P73" s="2060"/>
    </row>
    <row r="74" spans="16:16" s="646" customFormat="1" ht="12" customHeight="1">
      <c r="P74" s="2060"/>
    </row>
    <row r="75" spans="16:16" s="646" customFormat="1" ht="12" customHeight="1">
      <c r="P75" s="2060"/>
    </row>
    <row r="76" spans="16:16" s="646" customFormat="1" ht="12" customHeight="1">
      <c r="P76" s="2060"/>
    </row>
    <row r="77" spans="16:16" s="646" customFormat="1" ht="12" customHeight="1">
      <c r="P77" s="2060"/>
    </row>
    <row r="78" spans="16:16" s="646" customFormat="1" ht="12" customHeight="1">
      <c r="P78" s="2060"/>
    </row>
    <row r="79" spans="16:16" s="646" customFormat="1" ht="12" customHeight="1">
      <c r="P79" s="2060"/>
    </row>
    <row r="80" spans="16:16" s="646" customFormat="1" ht="12" customHeight="1">
      <c r="P80" s="2060"/>
    </row>
    <row r="81" spans="16:16" s="646" customFormat="1" ht="12" customHeight="1">
      <c r="P81" s="2060"/>
    </row>
    <row r="82" spans="16:16" s="646" customFormat="1" ht="12" customHeight="1">
      <c r="P82" s="2060"/>
    </row>
    <row r="83" spans="16:16" s="646" customFormat="1" ht="12" customHeight="1">
      <c r="P83" s="2060"/>
    </row>
    <row r="84" spans="16:16" s="646" customFormat="1" ht="12" customHeight="1">
      <c r="P84" s="2060"/>
    </row>
    <row r="85" spans="16:16" s="646" customFormat="1" ht="12" customHeight="1">
      <c r="P85" s="2060"/>
    </row>
    <row r="86" spans="16:16" s="646" customFormat="1" ht="12" customHeight="1">
      <c r="P86" s="2060"/>
    </row>
    <row r="87" spans="16:16" s="646" customFormat="1" ht="12" customHeight="1">
      <c r="P87" s="2060"/>
    </row>
    <row r="88" spans="16:16" s="646" customFormat="1" ht="12" customHeight="1">
      <c r="P88" s="2060"/>
    </row>
    <row r="89" spans="16:16" s="646" customFormat="1" ht="12" customHeight="1">
      <c r="P89" s="2060"/>
    </row>
    <row r="90" spans="16:16" s="646" customFormat="1" ht="12" customHeight="1">
      <c r="P90" s="2060"/>
    </row>
    <row r="91" spans="16:16" s="646" customFormat="1" ht="12" customHeight="1">
      <c r="P91" s="2060"/>
    </row>
    <row r="92" spans="16:16" s="646" customFormat="1" ht="12" customHeight="1">
      <c r="P92" s="2060"/>
    </row>
    <row r="93" spans="16:16" s="646" customFormat="1" ht="12" customHeight="1">
      <c r="P93" s="2060"/>
    </row>
    <row r="94" spans="16:16" s="646" customFormat="1" ht="12" customHeight="1">
      <c r="P94" s="2060"/>
    </row>
    <row r="95" spans="16:16" s="646" customFormat="1" ht="12" customHeight="1">
      <c r="P95" s="2060"/>
    </row>
    <row r="96" spans="16:16" s="646" customFormat="1" ht="12" customHeight="1">
      <c r="P96" s="2060"/>
    </row>
    <row r="97" spans="16:16" s="646" customFormat="1" ht="12" customHeight="1">
      <c r="P97" s="2060"/>
    </row>
    <row r="98" spans="16:16" s="646" customFormat="1" ht="12" customHeight="1">
      <c r="P98" s="2060"/>
    </row>
    <row r="99" spans="16:16" s="646" customFormat="1" ht="12" customHeight="1">
      <c r="P99" s="2060"/>
    </row>
    <row r="100" spans="16:16" s="646" customFormat="1" ht="12" customHeight="1">
      <c r="P100" s="2060"/>
    </row>
    <row r="101" spans="16:16" s="646" customFormat="1" ht="12" customHeight="1">
      <c r="P101" s="2060"/>
    </row>
    <row r="102" spans="16:16" s="646" customFormat="1" ht="12" customHeight="1">
      <c r="P102" s="2060"/>
    </row>
    <row r="103" spans="16:16" s="646" customFormat="1" ht="12" customHeight="1">
      <c r="P103" s="2060"/>
    </row>
    <row r="104" spans="16:16" s="646" customFormat="1" ht="12" customHeight="1">
      <c r="P104" s="2060"/>
    </row>
    <row r="105" spans="16:16" s="646" customFormat="1" ht="12" customHeight="1">
      <c r="P105" s="2060"/>
    </row>
    <row r="106" spans="16:16" s="646" customFormat="1" ht="12" customHeight="1">
      <c r="P106" s="2060"/>
    </row>
    <row r="107" spans="16:16" s="646" customFormat="1" ht="12" customHeight="1">
      <c r="P107" s="2060"/>
    </row>
    <row r="108" spans="16:16" s="646" customFormat="1" ht="12" customHeight="1">
      <c r="P108" s="2060"/>
    </row>
    <row r="109" spans="16:16" s="646" customFormat="1" ht="12" customHeight="1">
      <c r="P109" s="2060"/>
    </row>
    <row r="110" spans="16:16" s="646" customFormat="1" ht="12" customHeight="1">
      <c r="P110" s="2060"/>
    </row>
    <row r="111" spans="16:16" s="646" customFormat="1" ht="12" customHeight="1">
      <c r="P111" s="2060"/>
    </row>
    <row r="112" spans="16:16" s="646" customFormat="1" ht="12" customHeight="1">
      <c r="P112" s="2060"/>
    </row>
    <row r="113" spans="16:16" s="646" customFormat="1" ht="12" customHeight="1">
      <c r="P113" s="2060"/>
    </row>
    <row r="114" spans="16:16" s="646" customFormat="1" ht="12" customHeight="1">
      <c r="P114" s="2060"/>
    </row>
    <row r="115" spans="16:16" s="646" customFormat="1" ht="12" customHeight="1">
      <c r="P115" s="2060"/>
    </row>
    <row r="116" spans="16:16" s="646" customFormat="1" ht="12" customHeight="1">
      <c r="P116" s="2060"/>
    </row>
    <row r="117" spans="16:16" s="646" customFormat="1" ht="12" customHeight="1">
      <c r="P117" s="2060"/>
    </row>
    <row r="118" spans="16:16" s="646" customFormat="1" ht="12" customHeight="1">
      <c r="P118" s="2060"/>
    </row>
    <row r="119" spans="16:16" s="646" customFormat="1" ht="12" customHeight="1">
      <c r="P119" s="2060"/>
    </row>
    <row r="120" spans="16:16" s="646" customFormat="1" ht="12" customHeight="1">
      <c r="P120" s="2060"/>
    </row>
    <row r="121" spans="16:16" s="646" customFormat="1" ht="12" customHeight="1">
      <c r="P121" s="2060"/>
    </row>
    <row r="122" spans="16:16" s="646" customFormat="1" ht="12" customHeight="1">
      <c r="P122" s="2060"/>
    </row>
    <row r="123" spans="16:16" s="646" customFormat="1" ht="12" customHeight="1">
      <c r="P123" s="2060"/>
    </row>
    <row r="124" spans="16:16" s="646" customFormat="1" ht="12" customHeight="1">
      <c r="P124" s="2060"/>
    </row>
    <row r="125" spans="16:16" s="646" customFormat="1" ht="12" customHeight="1">
      <c r="P125" s="2060"/>
    </row>
    <row r="126" spans="16:16" s="646" customFormat="1" ht="12" customHeight="1">
      <c r="P126" s="2060"/>
    </row>
    <row r="127" spans="16:16" s="646" customFormat="1" ht="12" customHeight="1">
      <c r="P127" s="2060"/>
    </row>
    <row r="128" spans="16:16" s="646" customFormat="1" ht="12" customHeight="1">
      <c r="P128" s="2060"/>
    </row>
    <row r="129" spans="16:16" s="646" customFormat="1" ht="12" customHeight="1">
      <c r="P129" s="2060"/>
    </row>
    <row r="130" spans="16:16" s="646" customFormat="1" ht="12" customHeight="1">
      <c r="P130" s="2060"/>
    </row>
    <row r="131" spans="16:16" s="646" customFormat="1" ht="12" customHeight="1">
      <c r="P131" s="2060"/>
    </row>
    <row r="132" spans="16:16" s="646" customFormat="1" ht="12" customHeight="1">
      <c r="P132" s="2060"/>
    </row>
    <row r="133" spans="16:16" s="646" customFormat="1" ht="12" customHeight="1">
      <c r="P133" s="2060"/>
    </row>
    <row r="134" spans="16:16" s="646" customFormat="1" ht="12" customHeight="1">
      <c r="P134" s="2060"/>
    </row>
    <row r="135" spans="16:16" s="646" customFormat="1" ht="12" customHeight="1">
      <c r="P135" s="2060"/>
    </row>
    <row r="136" spans="16:16" s="646" customFormat="1" ht="12" customHeight="1">
      <c r="P136" s="2060"/>
    </row>
    <row r="137" spans="16:16" s="646" customFormat="1" ht="12" customHeight="1">
      <c r="P137" s="2060"/>
    </row>
    <row r="138" spans="16:16" s="646" customFormat="1" ht="12" customHeight="1">
      <c r="P138" s="2060"/>
    </row>
    <row r="139" spans="16:16" s="646" customFormat="1" ht="12" customHeight="1">
      <c r="P139" s="2060"/>
    </row>
    <row r="140" spans="16:16" s="646" customFormat="1" ht="12" customHeight="1">
      <c r="P140" s="2060"/>
    </row>
    <row r="141" spans="16:16" s="646" customFormat="1" ht="12" customHeight="1">
      <c r="P141" s="2060"/>
    </row>
    <row r="142" spans="16:16" s="646" customFormat="1" ht="12" customHeight="1">
      <c r="P142" s="2060"/>
    </row>
    <row r="143" spans="16:16" s="646" customFormat="1" ht="12" customHeight="1">
      <c r="P143" s="2060"/>
    </row>
    <row r="144" spans="16:16" s="646" customFormat="1" ht="12" customHeight="1">
      <c r="P144" s="2060"/>
    </row>
    <row r="145" spans="16:16" s="646" customFormat="1" ht="12" customHeight="1">
      <c r="P145" s="2060"/>
    </row>
    <row r="146" spans="16:16" s="646" customFormat="1" ht="12" customHeight="1">
      <c r="P146" s="2060"/>
    </row>
    <row r="147" spans="16:16" s="646" customFormat="1" ht="12" customHeight="1">
      <c r="P147" s="2060"/>
    </row>
    <row r="148" spans="16:16" s="646" customFormat="1" ht="12" customHeight="1">
      <c r="P148" s="2060"/>
    </row>
    <row r="149" spans="16:16" s="646" customFormat="1" ht="12" customHeight="1">
      <c r="P149" s="2060"/>
    </row>
    <row r="150" spans="16:16" s="646" customFormat="1" ht="12" customHeight="1">
      <c r="P150" s="2060"/>
    </row>
    <row r="151" spans="16:16" s="646" customFormat="1" ht="12" customHeight="1">
      <c r="P151" s="2060"/>
    </row>
    <row r="152" spans="16:16" s="646" customFormat="1" ht="12" customHeight="1">
      <c r="P152" s="2060"/>
    </row>
    <row r="153" spans="16:16" s="646" customFormat="1" ht="12" customHeight="1">
      <c r="P153" s="2060"/>
    </row>
    <row r="154" spans="16:16" s="646" customFormat="1" ht="12" customHeight="1">
      <c r="P154" s="2060"/>
    </row>
    <row r="155" spans="16:16" s="646" customFormat="1" ht="12" customHeight="1">
      <c r="P155" s="2060"/>
    </row>
    <row r="156" spans="16:16" s="646" customFormat="1" ht="12" customHeight="1">
      <c r="P156" s="2060"/>
    </row>
    <row r="157" spans="16:16" s="646" customFormat="1" ht="12" customHeight="1">
      <c r="P157" s="2060"/>
    </row>
    <row r="158" spans="16:16" s="646" customFormat="1" ht="12" customHeight="1">
      <c r="P158" s="2060"/>
    </row>
    <row r="159" spans="16:16" s="646" customFormat="1" ht="12" customHeight="1">
      <c r="P159" s="2060"/>
    </row>
    <row r="160" spans="16:16" s="646" customFormat="1" ht="12" customHeight="1">
      <c r="P160" s="2060"/>
    </row>
    <row r="161" spans="16:16" s="646" customFormat="1" ht="12" customHeight="1">
      <c r="P161" s="2060"/>
    </row>
    <row r="162" spans="16:16" s="646" customFormat="1" ht="12" customHeight="1">
      <c r="P162" s="2060"/>
    </row>
    <row r="163" spans="16:16" s="646" customFormat="1" ht="12" customHeight="1">
      <c r="P163" s="2060"/>
    </row>
    <row r="164" spans="16:16" s="646" customFormat="1" ht="12" customHeight="1">
      <c r="P164" s="2060"/>
    </row>
    <row r="165" spans="16:16" s="646" customFormat="1" ht="12" customHeight="1">
      <c r="P165" s="2060"/>
    </row>
    <row r="166" spans="16:16" s="646" customFormat="1" ht="12" customHeight="1">
      <c r="P166" s="2060"/>
    </row>
    <row r="167" spans="16:16" s="646" customFormat="1" ht="12" customHeight="1">
      <c r="P167" s="2060"/>
    </row>
    <row r="168" spans="16:16" s="646" customFormat="1" ht="12" customHeight="1">
      <c r="P168" s="2060"/>
    </row>
    <row r="169" spans="16:16" s="646" customFormat="1" ht="12" customHeight="1">
      <c r="P169" s="2060"/>
    </row>
    <row r="170" spans="16:16" s="646" customFormat="1" ht="12" customHeight="1">
      <c r="P170" s="2060"/>
    </row>
    <row r="171" spans="16:16" s="646" customFormat="1" ht="12" customHeight="1">
      <c r="P171" s="2060"/>
    </row>
    <row r="172" spans="16:16" s="646" customFormat="1" ht="12" customHeight="1">
      <c r="P172" s="2060"/>
    </row>
    <row r="173" spans="16:16" s="646" customFormat="1" ht="12" customHeight="1">
      <c r="P173" s="2060"/>
    </row>
    <row r="174" spans="16:16" s="646" customFormat="1" ht="12" customHeight="1">
      <c r="P174" s="2060"/>
    </row>
    <row r="175" spans="16:16" s="646" customFormat="1" ht="12" customHeight="1">
      <c r="P175" s="2060"/>
    </row>
    <row r="176" spans="16:16" s="646" customFormat="1" ht="12" customHeight="1">
      <c r="P176" s="2060"/>
    </row>
    <row r="177" spans="16:16" s="646" customFormat="1" ht="12" customHeight="1">
      <c r="P177" s="2060"/>
    </row>
    <row r="178" spans="16:16" s="646" customFormat="1" ht="12" customHeight="1">
      <c r="P178" s="2060"/>
    </row>
    <row r="179" spans="16:16" s="646" customFormat="1" ht="12" customHeight="1">
      <c r="P179" s="2060"/>
    </row>
    <row r="180" spans="16:16" s="646" customFormat="1" ht="12" customHeight="1">
      <c r="P180" s="2060"/>
    </row>
  </sheetData>
  <mergeCells count="1">
    <mergeCell ref="E46:H46"/>
  </mergeCells>
  <pageMargins left="0" right="0" top="0.5" bottom="0.5" header="0" footer="0.3"/>
  <pageSetup orientation="landscape" cellComments="atEnd" r:id="rId1"/>
  <rowBreaks count="4" manualBreakCount="4">
    <brk id="79" max="16383" man="1"/>
    <brk id="133" max="16383" man="1"/>
    <brk id="187" max="16383" man="1"/>
    <brk id="241"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RT">
    <tabColor rgb="FFFFFF00"/>
    <pageSetUpPr autoPageBreaks="0"/>
  </sheetPr>
  <dimension ref="A1:Z94"/>
  <sheetViews>
    <sheetView showGridLines="0" zoomScale="85" zoomScaleNormal="85" zoomScaleSheetLayoutView="85" workbookViewId="0"/>
  </sheetViews>
  <sheetFormatPr defaultColWidth="16.5" defaultRowHeight="13.9"/>
  <cols>
    <col min="1" max="1" width="2.83203125" customWidth="1"/>
    <col min="2" max="2" width="3.83203125" style="119" customWidth="1"/>
    <col min="3" max="3" width="4.83203125" customWidth="1"/>
    <col min="4" max="4" width="8" customWidth="1"/>
    <col min="5" max="5" width="16.5" customWidth="1"/>
    <col min="7" max="18" width="16.5" customWidth="1"/>
    <col min="19" max="20" width="16.5" style="119" customWidth="1"/>
    <col min="21" max="26" width="16.5" customWidth="1"/>
  </cols>
  <sheetData>
    <row r="1" spans="1:26" s="119" customFormat="1" ht="18" customHeight="1">
      <c r="A1" s="2060"/>
      <c r="B1" s="588"/>
      <c r="C1" s="838" t="str">
        <f>IF(ClientName="","Client Name",ClientName)</f>
        <v>Client Name</v>
      </c>
      <c r="D1" s="2060"/>
      <c r="E1" s="972"/>
      <c r="F1" s="2060"/>
      <c r="G1" s="2060"/>
      <c r="H1" s="528"/>
      <c r="I1" s="2060"/>
      <c r="J1" s="2060"/>
      <c r="K1" s="2060"/>
      <c r="L1" s="2060"/>
      <c r="M1" s="2060"/>
      <c r="N1" s="2060"/>
      <c r="O1" s="2060"/>
      <c r="P1" s="399"/>
      <c r="Q1" s="90" t="s">
        <v>20</v>
      </c>
      <c r="R1" s="2060"/>
      <c r="S1" s="2060"/>
      <c r="T1" s="2060"/>
      <c r="U1" s="2060"/>
      <c r="V1" s="2060"/>
      <c r="W1" s="2060"/>
      <c r="X1" s="2060"/>
      <c r="Y1" s="2060"/>
      <c r="Z1" s="2060"/>
    </row>
    <row r="2" spans="1:26" s="1023" customFormat="1" ht="18" customHeight="1">
      <c r="A2" s="2060"/>
      <c r="B2" s="588"/>
      <c r="C2" s="838" t="str">
        <f>IF(RunDescription="","Please enter project description in START worksheet cell G13 ",RunDescription)</f>
        <v xml:space="preserve">Please enter project description in START worksheet cell G13 </v>
      </c>
      <c r="D2" s="2060"/>
      <c r="E2" s="972"/>
      <c r="F2" s="2060"/>
      <c r="G2" s="2060"/>
      <c r="H2" s="528"/>
      <c r="I2" s="2060"/>
      <c r="J2" s="2060"/>
      <c r="K2" s="2060"/>
      <c r="L2" s="2060"/>
      <c r="M2" s="2060"/>
      <c r="N2" s="2060"/>
      <c r="O2" s="2060"/>
      <c r="P2" s="399"/>
      <c r="Q2" s="2060"/>
      <c r="R2" s="2060"/>
      <c r="S2" s="2060"/>
      <c r="T2" s="2060"/>
      <c r="U2" s="2060"/>
      <c r="V2" s="2060"/>
      <c r="W2" s="2060"/>
      <c r="X2" s="2060"/>
      <c r="Y2" s="2060"/>
      <c r="Z2" s="2060"/>
    </row>
    <row r="3" spans="1:26" s="119" customFormat="1" ht="18" customHeight="1">
      <c r="A3" s="589"/>
      <c r="B3" s="589"/>
      <c r="C3" s="839" t="s">
        <v>21</v>
      </c>
      <c r="D3" s="2060"/>
      <c r="E3" s="972"/>
      <c r="F3" s="2060"/>
      <c r="G3" s="2060"/>
      <c r="H3" s="2060"/>
      <c r="I3" s="2060"/>
      <c r="J3" s="2060"/>
      <c r="K3" s="2060"/>
      <c r="L3" s="2060"/>
      <c r="M3" s="2060"/>
      <c r="N3" s="2060"/>
      <c r="O3" s="2060"/>
      <c r="P3" s="2060"/>
      <c r="Q3" s="2060"/>
      <c r="R3" s="2060"/>
      <c r="S3" s="2060"/>
      <c r="T3" s="2060"/>
      <c r="U3" s="2060"/>
      <c r="V3" s="2060"/>
      <c r="W3" s="2060"/>
      <c r="X3" s="2060"/>
      <c r="Y3" s="2060"/>
      <c r="Z3" s="2060"/>
    </row>
    <row r="4" spans="1:26" s="119" customFormat="1" ht="18" customHeight="1">
      <c r="A4" s="589"/>
      <c r="B4" s="589"/>
      <c r="C4" s="840" t="str">
        <f>TRIM(G15)&amp;" "&amp;TEXT(Valuation_date,"dd mmmm yyyy")</f>
        <v>Estimation of value as of 28 February 2017</v>
      </c>
      <c r="D4" s="2060"/>
      <c r="E4" s="972"/>
      <c r="F4" s="2060"/>
      <c r="G4" s="2060"/>
      <c r="H4" s="2060"/>
      <c r="I4" s="2060"/>
      <c r="J4" s="2060"/>
      <c r="K4" s="2060"/>
      <c r="L4" s="2060"/>
      <c r="M4" s="2060"/>
      <c r="N4" s="2060"/>
      <c r="O4" s="2060"/>
      <c r="P4" s="2060"/>
      <c r="Q4" s="2060"/>
      <c r="R4" s="2060"/>
      <c r="S4" s="2060"/>
      <c r="T4" s="2060"/>
      <c r="U4" s="2060"/>
      <c r="V4" s="2060"/>
      <c r="W4" s="2060"/>
      <c r="X4" s="2060"/>
      <c r="Y4" s="2060"/>
      <c r="Z4" s="2060"/>
    </row>
    <row r="5" spans="1:26" s="119" customFormat="1">
      <c r="A5" s="589"/>
      <c r="B5" s="589"/>
      <c r="C5" s="769" t="str">
        <f>SubjCurrencyHeading</f>
        <v>(USD in Millions)</v>
      </c>
      <c r="D5" s="2060"/>
      <c r="E5" s="972"/>
      <c r="F5" s="2060"/>
      <c r="G5" s="2060"/>
      <c r="H5" s="2060"/>
      <c r="I5" s="2060"/>
      <c r="J5" s="2060"/>
      <c r="K5" s="2060"/>
      <c r="L5" s="2060"/>
      <c r="M5" s="2060"/>
      <c r="N5" s="2060"/>
      <c r="O5" s="2060"/>
      <c r="P5" s="2060"/>
      <c r="Q5" s="2060"/>
      <c r="R5" s="2060"/>
      <c r="S5" s="2060"/>
      <c r="T5" s="2060"/>
      <c r="U5" s="2060"/>
      <c r="V5" s="2060"/>
      <c r="W5" s="2060"/>
      <c r="X5" s="2060"/>
      <c r="Y5" s="2060"/>
      <c r="Z5" s="2060"/>
    </row>
    <row r="6" spans="1:26" s="119" customFormat="1">
      <c r="A6" s="589"/>
      <c r="B6" s="589"/>
      <c r="C6" s="1511"/>
      <c r="D6" s="2060"/>
      <c r="E6" s="972"/>
      <c r="F6" s="2060"/>
      <c r="G6" s="2060"/>
      <c r="H6" s="2060"/>
      <c r="I6" s="2060"/>
      <c r="J6" s="2060"/>
      <c r="K6" s="2060"/>
      <c r="L6" s="2060"/>
      <c r="M6" s="2060"/>
      <c r="N6" s="2060"/>
      <c r="O6" s="2060"/>
      <c r="P6" s="2060"/>
      <c r="Q6" s="2060"/>
      <c r="R6" s="2060"/>
      <c r="S6" s="2060"/>
      <c r="T6" s="2060"/>
      <c r="U6" s="2060"/>
      <c r="V6" s="2060"/>
      <c r="W6" s="2060"/>
      <c r="X6" s="2060"/>
      <c r="Y6" s="2060"/>
      <c r="Z6" s="2060"/>
    </row>
    <row r="7" spans="1:26" s="95" customFormat="1" ht="14.45" thickBot="1">
      <c r="A7" s="589" t="s">
        <v>17</v>
      </c>
      <c r="B7" s="589"/>
      <c r="C7" s="24" t="str">
        <f>NameVersion</f>
        <v>VISTA Version 3.1  August 25 2017  32/64-bit</v>
      </c>
      <c r="D7" s="61"/>
      <c r="E7" s="61"/>
      <c r="F7" s="61"/>
      <c r="G7" s="61"/>
      <c r="H7" s="61"/>
      <c r="I7" s="61"/>
      <c r="J7" s="61"/>
      <c r="K7" s="61"/>
      <c r="L7" s="74"/>
      <c r="M7" s="61"/>
      <c r="N7" s="61"/>
      <c r="O7" s="61"/>
      <c r="P7" s="61"/>
      <c r="Q7" s="61"/>
      <c r="R7" s="2060"/>
      <c r="S7" s="2060"/>
      <c r="T7" s="2060"/>
      <c r="U7" s="2060"/>
      <c r="V7" s="2060"/>
      <c r="W7" s="2060"/>
      <c r="X7" s="2060"/>
      <c r="Y7" s="2060"/>
      <c r="Z7" s="2060"/>
    </row>
    <row r="8" spans="1:26" s="20" customFormat="1" ht="14.45" thickTop="1">
      <c r="A8" s="590"/>
      <c r="B8" s="590"/>
      <c r="C8" s="22"/>
      <c r="D8" s="22"/>
      <c r="E8" s="22"/>
      <c r="F8" s="22"/>
      <c r="G8" s="23"/>
      <c r="H8" s="22"/>
      <c r="I8" s="22"/>
      <c r="J8" s="22"/>
      <c r="K8" s="22"/>
      <c r="L8" s="22"/>
      <c r="M8" s="22"/>
      <c r="N8" s="22"/>
      <c r="O8" s="22"/>
      <c r="P8" s="22"/>
      <c r="Q8" s="22"/>
      <c r="R8" s="2060"/>
      <c r="S8" s="2060"/>
      <c r="T8" s="2060"/>
      <c r="U8" s="2060"/>
      <c r="V8" s="2060"/>
      <c r="W8" s="2060"/>
      <c r="X8" s="2060"/>
      <c r="Y8" s="2060"/>
      <c r="Z8" s="2060"/>
    </row>
    <row r="9" spans="1:26" s="119" customFormat="1" ht="18">
      <c r="A9" s="589"/>
      <c r="B9" s="589"/>
      <c r="C9" s="1430">
        <f ca="1">MAX(OFFSET(C9,-1,0,-ROW(C9)+1,1))+1-(A9="n")</f>
        <v>1</v>
      </c>
      <c r="D9" s="1429" t="s">
        <v>22</v>
      </c>
      <c r="E9" s="825"/>
      <c r="F9" s="826"/>
      <c r="G9" s="827"/>
      <c r="H9" s="1032"/>
      <c r="I9" s="1032"/>
      <c r="J9" s="1032"/>
      <c r="K9" s="1032"/>
      <c r="L9" s="1032"/>
      <c r="M9" s="1019"/>
      <c r="N9" s="1032"/>
      <c r="O9" s="1032"/>
      <c r="P9" s="1032"/>
      <c r="Q9" s="43"/>
      <c r="R9" s="2060"/>
      <c r="S9" s="2060"/>
      <c r="T9" s="2060"/>
      <c r="U9" s="2060"/>
      <c r="V9" s="2060"/>
      <c r="W9" s="2060"/>
      <c r="X9" s="2060"/>
      <c r="Y9" s="2060"/>
      <c r="Z9" s="2060"/>
    </row>
    <row r="10" spans="1:26" s="124" customFormat="1">
      <c r="A10" s="590"/>
      <c r="B10" s="590"/>
      <c r="C10" s="53"/>
      <c r="D10" s="60"/>
      <c r="E10" s="21"/>
      <c r="F10" s="21"/>
      <c r="G10" s="21"/>
      <c r="H10" s="54"/>
      <c r="I10" s="263"/>
      <c r="J10" s="53"/>
      <c r="K10" s="15"/>
      <c r="L10" s="59"/>
      <c r="M10" s="263"/>
      <c r="N10" s="53"/>
      <c r="O10" s="53"/>
      <c r="P10" s="53"/>
      <c r="Q10" s="2060"/>
      <c r="R10" s="2060"/>
      <c r="S10" s="2060"/>
      <c r="T10" s="2060"/>
      <c r="U10" s="53"/>
      <c r="V10" s="53"/>
      <c r="W10" s="53"/>
      <c r="X10" s="53"/>
      <c r="Y10" s="53"/>
      <c r="Z10" s="53"/>
    </row>
    <row r="11" spans="1:26" s="124" customFormat="1">
      <c r="A11" s="590"/>
      <c r="B11" s="590"/>
      <c r="C11" s="53"/>
      <c r="D11" s="125"/>
      <c r="E11" s="446" t="s">
        <v>23</v>
      </c>
      <c r="F11" s="263"/>
      <c r="G11" s="263"/>
      <c r="H11" s="263"/>
      <c r="I11" s="444"/>
      <c r="J11" s="1029"/>
      <c r="K11" s="2060"/>
      <c r="L11" s="2060"/>
      <c r="M11" s="1029"/>
      <c r="N11" s="1530" t="s">
        <v>24</v>
      </c>
      <c r="O11" s="2060"/>
      <c r="P11" s="2060"/>
      <c r="Q11" s="2060"/>
      <c r="R11" s="2060"/>
      <c r="S11" s="2060"/>
      <c r="T11" s="2060"/>
      <c r="U11" s="2060"/>
      <c r="V11" s="2060"/>
      <c r="W11" s="263"/>
      <c r="X11" s="263"/>
      <c r="Y11" s="53"/>
      <c r="Z11" s="53"/>
    </row>
    <row r="12" spans="1:26" s="124" customFormat="1">
      <c r="A12" s="590"/>
      <c r="B12" s="590"/>
      <c r="C12" s="53"/>
      <c r="D12" s="778">
        <f ca="1">MAX(OFFSET(D12,-1,0,-ROW(D12)+1,-2),1)+0.01</f>
        <v>1.01</v>
      </c>
      <c r="E12" s="21" t="s">
        <v>25</v>
      </c>
      <c r="F12" s="263"/>
      <c r="G12" s="2174" t="str">
        <f>$I$23</f>
        <v/>
      </c>
      <c r="H12" s="2153"/>
      <c r="I12" s="444"/>
      <c r="J12" s="1029"/>
      <c r="K12" s="263"/>
      <c r="L12" s="263"/>
      <c r="M12" s="263"/>
      <c r="N12" s="263"/>
      <c r="O12" s="263"/>
      <c r="P12" s="263"/>
      <c r="Q12" s="1030"/>
      <c r="R12" s="2060"/>
      <c r="S12" s="2060"/>
      <c r="T12" s="2060"/>
      <c r="U12" s="263"/>
      <c r="V12" s="263"/>
      <c r="W12" s="263"/>
      <c r="X12" s="263"/>
      <c r="Y12" s="53"/>
      <c r="Z12" s="53"/>
    </row>
    <row r="13" spans="1:26" s="20" customFormat="1">
      <c r="A13" s="590"/>
      <c r="B13" s="590"/>
      <c r="C13" s="53"/>
      <c r="D13" s="778">
        <f ca="1">MAX(OFFSET(D13,-1,0,-ROW(D13)+1,-2),1)+0.01</f>
        <v>1.02</v>
      </c>
      <c r="E13" s="2073" t="s">
        <v>26</v>
      </c>
      <c r="F13" s="1403"/>
      <c r="G13" s="2174"/>
      <c r="H13" s="2153"/>
      <c r="I13" s="256"/>
      <c r="J13" s="2073"/>
      <c r="K13" s="2060"/>
      <c r="L13" s="2073"/>
      <c r="M13" s="2073"/>
      <c r="N13" s="2073"/>
      <c r="O13" s="2073"/>
      <c r="P13" s="2073"/>
      <c r="Q13" s="2073"/>
      <c r="R13" s="2060"/>
      <c r="S13" s="2060"/>
      <c r="T13" s="2060"/>
      <c r="U13" s="2073"/>
      <c r="V13" s="2073"/>
      <c r="W13" s="2060"/>
      <c r="X13" s="2060"/>
      <c r="Y13" s="2060"/>
      <c r="Z13" s="2060"/>
    </row>
    <row r="14" spans="1:26" s="1024" customFormat="1" ht="15.6">
      <c r="A14" s="590"/>
      <c r="B14" s="590"/>
      <c r="C14" s="53"/>
      <c r="D14" s="778">
        <f ca="1">MAX(OFFSET(D14,-1,0,-ROW(D14)+1,-2),1)+0.01</f>
        <v>1.03</v>
      </c>
      <c r="E14" s="2073" t="s">
        <v>27</v>
      </c>
      <c r="F14" s="2073"/>
      <c r="G14" s="2073" t="s">
        <v>28</v>
      </c>
      <c r="H14" s="2073"/>
      <c r="I14" s="1642" t="s">
        <v>29</v>
      </c>
      <c r="J14" s="2073"/>
      <c r="K14" s="2060"/>
      <c r="L14" s="2073"/>
      <c r="M14" s="2073"/>
      <c r="N14" s="2073"/>
      <c r="O14" s="2073"/>
      <c r="P14" s="2073"/>
      <c r="Q14" s="2073"/>
      <c r="R14" s="2060"/>
      <c r="S14" s="2060"/>
      <c r="T14" s="2060"/>
      <c r="U14" s="2073"/>
      <c r="V14" s="2073"/>
      <c r="W14" s="2060"/>
      <c r="X14" s="2060"/>
      <c r="Y14" s="2060"/>
      <c r="Z14" s="2060"/>
    </row>
    <row r="15" spans="1:26" s="20" customFormat="1">
      <c r="A15" s="590"/>
      <c r="B15" s="590"/>
      <c r="C15" s="22"/>
      <c r="D15" s="779">
        <f ca="1">MAX(OFFSET(D15,-1,0,-ROW(D15)+1,-2),1)+0.01</f>
        <v>1.04</v>
      </c>
      <c r="E15" s="2073" t="s">
        <v>30</v>
      </c>
      <c r="F15" s="2073"/>
      <c r="G15" s="2175" t="s">
        <v>31</v>
      </c>
      <c r="H15" s="2160"/>
      <c r="I15" s="1741">
        <v>42794</v>
      </c>
      <c r="J15" s="1775" t="str">
        <f ca="1">IF(Valuation_date=""," &lt;== Please enter Valuation Date",IF(Valuation_date&gt;TODAY(),"The Valuation Date you entered should not be later than today",""))</f>
        <v/>
      </c>
      <c r="K15" s="22"/>
      <c r="L15" s="2073"/>
      <c r="M15" s="2073"/>
      <c r="N15" s="22"/>
      <c r="O15" s="22"/>
      <c r="P15" s="22"/>
      <c r="Q15" s="2060"/>
      <c r="R15" s="2060"/>
      <c r="S15" s="2060"/>
      <c r="T15" s="2060"/>
      <c r="U15" s="2060"/>
      <c r="V15" s="2060"/>
      <c r="W15" s="2060"/>
      <c r="X15" s="2060"/>
      <c r="Y15" s="2060"/>
      <c r="Z15" s="2060"/>
    </row>
    <row r="16" spans="1:26" s="1024" customFormat="1">
      <c r="A16" s="590"/>
      <c r="B16" s="590"/>
      <c r="C16" s="22"/>
      <c r="D16" s="779">
        <f ca="1">MAX(OFFSET(D16,-1,0,-ROW(D16)+1,-2),1)+0.01</f>
        <v>1.05</v>
      </c>
      <c r="E16" s="2073" t="s">
        <v>32</v>
      </c>
      <c r="F16" s="2073"/>
      <c r="G16" s="2073" t="str">
        <f>"(" &amp;SubjOutputCurrencyCode&amp;" in "&amp;ScaleInput&amp;")"</f>
        <v>(USD in Millions)</v>
      </c>
      <c r="H16" s="2060"/>
      <c r="I16" s="2060"/>
      <c r="J16" s="2073"/>
      <c r="K16" s="22"/>
      <c r="L16" s="2073"/>
      <c r="M16" s="2073"/>
      <c r="N16" s="22"/>
      <c r="O16" s="22"/>
      <c r="P16" s="22"/>
      <c r="Q16" s="2060"/>
      <c r="R16" s="2060"/>
      <c r="S16" s="2060"/>
      <c r="T16" s="2060"/>
      <c r="U16" s="2060"/>
      <c r="V16" s="2060"/>
      <c r="W16" s="2060"/>
      <c r="X16" s="2060"/>
      <c r="Y16" s="2060"/>
      <c r="Z16" s="2060"/>
    </row>
    <row r="17" spans="1:26" s="1024" customFormat="1">
      <c r="A17" s="590"/>
      <c r="B17" s="590"/>
      <c r="C17" s="22"/>
      <c r="D17" s="779"/>
      <c r="E17" s="2060"/>
      <c r="F17" s="2060"/>
      <c r="G17" s="2060"/>
      <c r="H17" s="2060"/>
      <c r="I17" s="2060"/>
      <c r="J17" s="2060"/>
      <c r="K17" s="22"/>
      <c r="L17" s="2073"/>
      <c r="M17" s="2073"/>
      <c r="N17" s="22"/>
      <c r="O17" s="22"/>
      <c r="P17" s="22"/>
      <c r="Q17" s="2060"/>
      <c r="R17" s="2060"/>
      <c r="S17" s="2060"/>
      <c r="T17" s="2060"/>
      <c r="U17" s="2060"/>
      <c r="V17" s="2060"/>
      <c r="W17" s="2060"/>
      <c r="X17" s="2060"/>
      <c r="Y17" s="2060"/>
      <c r="Z17" s="2060"/>
    </row>
    <row r="18" spans="1:26" s="1024" customFormat="1">
      <c r="A18" s="590"/>
      <c r="B18" s="590"/>
      <c r="C18" s="22"/>
      <c r="D18" s="779"/>
      <c r="E18" s="1029" t="s">
        <v>33</v>
      </c>
      <c r="F18" s="2060"/>
      <c r="G18" s="2060"/>
      <c r="H18" s="2060"/>
      <c r="I18" s="2060"/>
      <c r="J18" s="2060"/>
      <c r="K18" s="22"/>
      <c r="L18" s="2073"/>
      <c r="M18" s="2073"/>
      <c r="N18" s="22"/>
      <c r="O18" s="22"/>
      <c r="P18" s="22"/>
      <c r="Q18" s="2060"/>
      <c r="R18" s="2060"/>
      <c r="S18" s="2060"/>
      <c r="T18" s="2060"/>
      <c r="U18" s="2060"/>
      <c r="V18" s="2060"/>
      <c r="W18" s="2060"/>
      <c r="X18" s="2060"/>
      <c r="Y18" s="2060"/>
      <c r="Z18" s="2060"/>
    </row>
    <row r="19" spans="1:26" s="1024" customFormat="1">
      <c r="A19" s="590"/>
      <c r="B19" s="590"/>
      <c r="C19" s="22"/>
      <c r="D19" s="779">
        <f ca="1">MAX(OFFSET(D19,-1,0,-ROW(D19)+1,-2),1)+0.01</f>
        <v>1.06</v>
      </c>
      <c r="E19" s="624" t="s">
        <v>34</v>
      </c>
      <c r="F19" s="22"/>
      <c r="G19" s="2175" t="s">
        <v>35</v>
      </c>
      <c r="H19" s="2160"/>
      <c r="I19" s="22"/>
      <c r="J19" s="22"/>
      <c r="K19" s="22"/>
      <c r="L19" s="2073"/>
      <c r="M19" s="2073"/>
      <c r="N19" s="22"/>
      <c r="O19" s="22"/>
      <c r="P19" s="22"/>
      <c r="Q19" s="2060"/>
      <c r="R19" s="2060"/>
      <c r="S19" s="2060"/>
      <c r="T19" s="2060"/>
      <c r="U19" s="2060"/>
      <c r="V19" s="2060"/>
      <c r="W19" s="2060"/>
      <c r="X19" s="2060"/>
      <c r="Y19" s="2060"/>
      <c r="Z19" s="2060"/>
    </row>
    <row r="20" spans="1:26" s="20" customFormat="1">
      <c r="A20" s="2073"/>
      <c r="B20" s="2073"/>
      <c r="C20" s="2073"/>
      <c r="D20" s="2073"/>
      <c r="E20" s="2073"/>
      <c r="F20" s="2073"/>
      <c r="G20" s="1029"/>
      <c r="H20" s="2073"/>
      <c r="I20" s="2073"/>
      <c r="J20" s="2073"/>
      <c r="K20" s="2073"/>
      <c r="L20" s="2073"/>
      <c r="M20" s="2073"/>
      <c r="N20" s="2073"/>
      <c r="O20" s="2073"/>
      <c r="P20" s="2073"/>
      <c r="Q20" s="1025"/>
      <c r="R20" s="2060"/>
      <c r="S20" s="2060"/>
      <c r="T20" s="2060"/>
      <c r="U20" s="2073"/>
      <c r="V20" s="2073"/>
      <c r="W20" s="2073"/>
      <c r="X20" s="2073"/>
      <c r="Y20" s="2073"/>
      <c r="Z20" s="2073"/>
    </row>
    <row r="21" spans="1:26" s="1024" customFormat="1">
      <c r="A21" s="2073"/>
      <c r="B21" s="2073"/>
      <c r="C21" s="2073"/>
      <c r="D21" s="2073"/>
      <c r="E21" s="2073"/>
      <c r="F21" s="2073"/>
      <c r="G21" s="1029"/>
      <c r="H21" s="2073"/>
      <c r="I21" s="2073"/>
      <c r="J21" s="2073"/>
      <c r="K21" s="2073"/>
      <c r="L21" s="2073"/>
      <c r="M21" s="2073"/>
      <c r="N21" s="2073"/>
      <c r="O21" s="2073"/>
      <c r="P21" s="2073"/>
      <c r="Q21" s="1025"/>
      <c r="R21" s="2060"/>
      <c r="S21" s="2060"/>
      <c r="T21" s="2060"/>
      <c r="U21" s="2073"/>
      <c r="V21" s="2073"/>
      <c r="W21" s="2073"/>
      <c r="X21" s="2073"/>
      <c r="Y21" s="2073"/>
      <c r="Z21" s="2073"/>
    </row>
    <row r="22" spans="1:26" s="119" customFormat="1">
      <c r="A22" s="2073"/>
      <c r="B22" s="2073"/>
      <c r="C22" s="2073"/>
      <c r="D22" s="2073"/>
      <c r="E22" s="2073"/>
      <c r="F22" s="2073"/>
      <c r="G22" s="1029" t="s">
        <v>36</v>
      </c>
      <c r="H22" s="2073"/>
      <c r="I22" s="1029" t="str">
        <f>IF(SubjCoID="","","Company Name")</f>
        <v/>
      </c>
      <c r="J22" s="2060"/>
      <c r="K22" s="443" t="str">
        <f>IF(Public,"Trading currency","")</f>
        <v/>
      </c>
      <c r="L22" s="2060"/>
      <c r="M22" s="2060"/>
      <c r="N22" s="2060"/>
      <c r="O22" s="2073"/>
      <c r="P22" s="2073"/>
      <c r="Q22" s="1022"/>
      <c r="R22" s="2060"/>
      <c r="S22" s="2060"/>
      <c r="T22" s="2060"/>
      <c r="U22" s="2060"/>
      <c r="V22" s="2060"/>
      <c r="W22" s="2073"/>
      <c r="X22" s="2073"/>
      <c r="Y22" s="2073"/>
      <c r="Z22" s="2073"/>
    </row>
    <row r="23" spans="1:26" s="20" customFormat="1">
      <c r="A23" s="2073"/>
      <c r="B23" s="2073"/>
      <c r="C23" s="2073"/>
      <c r="D23" s="2073"/>
      <c r="E23" s="2073"/>
      <c r="F23" s="2073"/>
      <c r="G23" s="2176"/>
      <c r="H23" s="2176"/>
      <c r="I23" s="2073" t="str">
        <f>IF(SubjCoID="","",_xll.ciqfunctions.udf.CIQ(SubjCoID,"IQ_COMPANY_NAME"))</f>
        <v/>
      </c>
      <c r="J23" s="2073"/>
      <c r="K23" s="2060" t="str">
        <f>IF(Public,_xll.ciqfunctions.udf.CIQ(G23,"IQ_TRADING_CURRENCY",Valuation_date),"")</f>
        <v/>
      </c>
      <c r="L23" s="2073"/>
      <c r="M23" s="2073"/>
      <c r="N23" s="2073"/>
      <c r="O23" s="2073"/>
      <c r="P23" s="2073"/>
      <c r="Q23" s="2073"/>
      <c r="R23" s="2060"/>
      <c r="S23" s="2060"/>
      <c r="T23" s="2060"/>
      <c r="U23" s="2073"/>
      <c r="V23" s="2073"/>
      <c r="W23" s="2073"/>
      <c r="X23" s="2073"/>
      <c r="Y23" s="2073"/>
      <c r="Z23" s="2073"/>
    </row>
    <row r="24" spans="1:26" s="20" customFormat="1">
      <c r="A24" s="590"/>
      <c r="B24" s="590"/>
      <c r="C24" s="22"/>
      <c r="D24" s="22"/>
      <c r="E24" s="619"/>
      <c r="F24" s="22"/>
      <c r="G24" s="23"/>
      <c r="H24" s="22"/>
      <c r="I24" s="22"/>
      <c r="J24" s="22"/>
      <c r="K24" s="22"/>
      <c r="L24" s="22"/>
      <c r="M24" s="22"/>
      <c r="N24" s="22"/>
      <c r="O24" s="22"/>
      <c r="P24" s="22"/>
      <c r="Q24" s="2060"/>
      <c r="R24" s="2060"/>
      <c r="S24" s="2060"/>
      <c r="T24" s="2060"/>
      <c r="U24" s="2073"/>
      <c r="V24" s="2073"/>
      <c r="W24" s="2060"/>
      <c r="X24" s="2060"/>
      <c r="Y24" s="2060"/>
      <c r="Z24" s="2060"/>
    </row>
    <row r="25" spans="1:26" s="20" customFormat="1">
      <c r="A25" s="590"/>
      <c r="B25" s="590"/>
      <c r="C25" s="22"/>
      <c r="D25" s="22"/>
      <c r="E25" s="619"/>
      <c r="F25" s="22"/>
      <c r="G25" s="23"/>
      <c r="H25" s="22"/>
      <c r="I25" s="22"/>
      <c r="J25" s="22"/>
      <c r="K25" s="22"/>
      <c r="L25" s="22"/>
      <c r="M25" s="22"/>
      <c r="N25" s="22"/>
      <c r="O25" s="22"/>
      <c r="P25" s="22"/>
      <c r="Q25" s="2060"/>
      <c r="R25" s="2060"/>
      <c r="S25" s="2060"/>
      <c r="T25" s="2060"/>
      <c r="U25" s="2060"/>
      <c r="V25" s="2060"/>
      <c r="W25" s="2060"/>
      <c r="X25" s="2060"/>
      <c r="Y25" s="2060"/>
      <c r="Z25" s="2060"/>
    </row>
    <row r="26" spans="1:26" s="20" customFormat="1" ht="18">
      <c r="A26" s="589"/>
      <c r="B26" s="589"/>
      <c r="C26" s="1430">
        <f ca="1">MAX(OFFSET(C26,-1,0,-ROW(C26)+1,1))+1-(A26="n")</f>
        <v>2</v>
      </c>
      <c r="D26" s="1429" t="s">
        <v>37</v>
      </c>
      <c r="E26" s="825"/>
      <c r="F26" s="826"/>
      <c r="G26" s="827"/>
      <c r="H26" s="1032"/>
      <c r="I26" s="1032"/>
      <c r="J26" s="1032"/>
      <c r="K26" s="1032"/>
      <c r="L26" s="1032"/>
      <c r="M26" s="1032"/>
      <c r="N26" s="1032"/>
      <c r="O26" s="1032"/>
      <c r="P26" s="1032"/>
      <c r="Q26" s="43"/>
      <c r="R26" s="2060"/>
      <c r="S26" s="2060"/>
      <c r="T26" s="2060"/>
      <c r="U26" s="2060"/>
      <c r="V26" s="2060"/>
      <c r="W26" s="2060"/>
      <c r="X26" s="2060"/>
      <c r="Y26" s="2060"/>
      <c r="Z26" s="2060"/>
    </row>
    <row r="27" spans="1:26" s="20" customFormat="1">
      <c r="A27" s="590"/>
      <c r="B27" s="590"/>
      <c r="C27" s="22"/>
      <c r="D27" s="22"/>
      <c r="E27" s="619"/>
      <c r="F27" s="22"/>
      <c r="G27" s="23"/>
      <c r="H27" s="22"/>
      <c r="I27" s="22"/>
      <c r="J27" s="22"/>
      <c r="K27" s="22"/>
      <c r="L27" s="22"/>
      <c r="M27" s="22"/>
      <c r="N27" s="22"/>
      <c r="O27" s="22"/>
      <c r="P27" s="22"/>
      <c r="Q27" s="2060"/>
      <c r="R27" s="2060"/>
      <c r="S27" s="2060"/>
      <c r="T27" s="2060"/>
      <c r="U27" s="2060"/>
      <c r="V27" s="2060"/>
      <c r="W27" s="2060"/>
      <c r="X27" s="2060"/>
      <c r="Y27" s="2060"/>
      <c r="Z27" s="2060"/>
    </row>
    <row r="28" spans="1:26" s="646" customFormat="1">
      <c r="A28" s="2060"/>
      <c r="B28" s="2060"/>
      <c r="C28" s="2060"/>
      <c r="D28" s="779">
        <f ca="1">MAX(OFFSET(D28,-1,0,-ROW(D28)+1,-2),1)+0.01</f>
        <v>2.0099999999999998</v>
      </c>
      <c r="E28" s="2060" t="s">
        <v>38</v>
      </c>
      <c r="F28" s="2060"/>
      <c r="G28" s="648">
        <v>7</v>
      </c>
      <c r="H28" s="1813" t="s">
        <v>39</v>
      </c>
      <c r="I28" s="2060"/>
      <c r="J28" s="2060"/>
      <c r="K28" s="2060"/>
      <c r="L28" s="2060"/>
      <c r="M28" s="2060"/>
      <c r="N28" s="2060"/>
      <c r="O28" s="2060"/>
      <c r="P28" s="2060"/>
      <c r="Q28" s="2060"/>
      <c r="R28" s="2060"/>
      <c r="S28" s="2060"/>
      <c r="T28" s="2060"/>
      <c r="U28" s="2060"/>
      <c r="V28" s="2060"/>
      <c r="W28" s="2060"/>
      <c r="X28" s="2060"/>
      <c r="Y28" s="2060"/>
      <c r="Z28" s="2060"/>
    </row>
    <row r="29" spans="1:26" s="646" customFormat="1">
      <c r="A29" s="2060"/>
      <c r="B29" s="2060"/>
      <c r="C29" s="2060"/>
      <c r="D29" s="2060"/>
      <c r="E29" s="2060"/>
      <c r="F29" s="2060"/>
      <c r="G29" s="2060"/>
      <c r="H29" s="2060"/>
      <c r="I29" s="2060"/>
      <c r="J29" s="2060"/>
      <c r="K29" s="2060"/>
      <c r="L29" s="2060"/>
      <c r="M29" s="2060"/>
      <c r="N29" s="2060"/>
      <c r="O29" s="2060"/>
      <c r="P29" s="2060"/>
      <c r="Q29" s="2060"/>
      <c r="R29" s="2060"/>
      <c r="S29" s="2060"/>
      <c r="T29" s="2060"/>
      <c r="U29" s="2060"/>
      <c r="V29" s="2060"/>
      <c r="W29" s="2060"/>
      <c r="X29" s="2060"/>
      <c r="Y29" s="2060"/>
      <c r="Z29" s="2060"/>
    </row>
    <row r="30" spans="1:26" s="20" customFormat="1">
      <c r="A30" s="590"/>
      <c r="B30" s="590"/>
      <c r="C30" s="22"/>
      <c r="D30" s="779">
        <f ca="1">MAX(OFFSET(D30,-1,0,-ROW(D30)+1,-2),1)+0.01</f>
        <v>2.0199999999999996</v>
      </c>
      <c r="E30" s="771" t="s">
        <v>40</v>
      </c>
      <c r="F30" s="22"/>
      <c r="G30" s="1742">
        <v>42460</v>
      </c>
      <c r="H30" s="834" t="str">
        <f>IF(Public,_xll.ciqfunctions.udf.CIQ(SubjCoID,"IQ_PERIODDATE",1000,Valuation_date,,DataMode),"")</f>
        <v/>
      </c>
      <c r="I30" s="22"/>
      <c r="J30" s="22"/>
      <c r="K30" s="22"/>
      <c r="L30" s="2073"/>
      <c r="M30" s="2073"/>
      <c r="N30" s="22"/>
      <c r="O30" s="22"/>
      <c r="P30" s="22"/>
      <c r="Q30" s="2060"/>
      <c r="R30" s="2060"/>
      <c r="S30" s="2060"/>
      <c r="T30" s="2060"/>
      <c r="U30" s="2060"/>
      <c r="V30" s="2060"/>
      <c r="W30" s="2060"/>
      <c r="X30" s="2060"/>
      <c r="Y30" s="2060"/>
      <c r="Z30" s="2060"/>
    </row>
    <row r="31" spans="1:26" s="20" customFormat="1">
      <c r="A31" s="590"/>
      <c r="B31" s="590"/>
      <c r="C31" s="2073"/>
      <c r="D31" s="779">
        <f ca="1">MAX(OFFSET(D31,-1,0,-ROW(D31)+1,-2),1)+0.01</f>
        <v>2.0299999999999994</v>
      </c>
      <c r="E31" s="1568" t="s">
        <v>41</v>
      </c>
      <c r="F31" s="2073"/>
      <c r="G31" s="1742">
        <v>42825</v>
      </c>
      <c r="H31" s="834" t="str">
        <f>IF(Public,EOMONTH(H30,12),"")</f>
        <v/>
      </c>
      <c r="I31" s="2073"/>
      <c r="J31" s="2073"/>
      <c r="K31" s="2073"/>
      <c r="L31" s="2073"/>
      <c r="M31" s="2073"/>
      <c r="N31" s="2073"/>
      <c r="O31" s="2073"/>
      <c r="P31" s="2073"/>
      <c r="Q31" s="2060"/>
      <c r="R31" s="2060"/>
      <c r="S31" s="2060"/>
      <c r="T31" s="2060"/>
      <c r="U31" s="2060"/>
      <c r="V31" s="2060"/>
      <c r="W31" s="2060"/>
      <c r="X31" s="2060"/>
      <c r="Y31" s="2060"/>
      <c r="Z31" s="2060"/>
    </row>
    <row r="32" spans="1:26" s="119" customFormat="1">
      <c r="A32" s="590"/>
      <c r="B32" s="590"/>
      <c r="C32" s="2073"/>
      <c r="D32" s="777"/>
      <c r="E32" s="1568"/>
      <c r="F32" s="2073"/>
      <c r="G32" s="2073"/>
      <c r="H32" s="2073"/>
      <c r="I32" s="2073"/>
      <c r="J32" s="2073"/>
      <c r="K32" s="2073"/>
      <c r="L32" s="2073"/>
      <c r="M32" s="2073"/>
      <c r="N32" s="2073"/>
      <c r="O32" s="2073"/>
      <c r="P32" s="2073"/>
      <c r="Q32" s="2060"/>
      <c r="R32" s="2060"/>
      <c r="S32" s="2060"/>
      <c r="T32" s="2060"/>
      <c r="U32" s="2060"/>
      <c r="V32" s="2060"/>
      <c r="W32" s="2060"/>
      <c r="X32" s="2060"/>
      <c r="Y32" s="2060"/>
      <c r="Z32" s="2060"/>
    </row>
    <row r="33" spans="1:26">
      <c r="A33" s="590"/>
      <c r="B33" s="590"/>
      <c r="C33" s="2073"/>
      <c r="D33" s="779">
        <f ca="1">MAX(OFFSET(D33,-1,0,-ROW(D33)+1,-2),1)+0.01</f>
        <v>2.0399999999999991</v>
      </c>
      <c r="E33" s="665" t="s">
        <v>42</v>
      </c>
      <c r="F33" s="2073"/>
      <c r="G33" s="1742">
        <v>42643</v>
      </c>
      <c r="H33" s="2060"/>
      <c r="I33" s="2073"/>
      <c r="J33" s="2073"/>
      <c r="K33" s="2073"/>
      <c r="L33" s="2073"/>
      <c r="M33" s="2073"/>
      <c r="N33" s="2073"/>
      <c r="O33" s="2073"/>
      <c r="P33" s="2073"/>
      <c r="Q33" s="2060"/>
      <c r="R33" s="2060"/>
      <c r="S33" s="2060"/>
      <c r="T33" s="2060"/>
      <c r="U33" s="2060"/>
      <c r="V33" s="2060"/>
      <c r="W33" s="2073"/>
      <c r="X33" s="2073"/>
      <c r="Y33" s="2073"/>
      <c r="Z33" s="2073"/>
    </row>
    <row r="34" spans="1:26" s="1499" customFormat="1">
      <c r="A34" s="590"/>
      <c r="B34" s="590"/>
      <c r="C34" s="2073"/>
      <c r="D34" s="779">
        <f ca="1">MAX(OFFSET(D34,-1,0,-ROW(D34)+1,-2),1)+0.01</f>
        <v>2.0499999999999989</v>
      </c>
      <c r="E34" s="665" t="s">
        <v>43</v>
      </c>
      <c r="F34" s="2073"/>
      <c r="G34" s="1968">
        <f>IF(ROUND(LFY-LFQLTM,0)=0,0,1)</f>
        <v>1</v>
      </c>
      <c r="H34" s="2060"/>
      <c r="I34" s="2073"/>
      <c r="J34" s="2073"/>
      <c r="K34" s="2073"/>
      <c r="L34" s="2073"/>
      <c r="M34" s="2073"/>
      <c r="N34" s="2073"/>
      <c r="O34" s="2073"/>
      <c r="P34" s="2073"/>
      <c r="Q34" s="2060"/>
      <c r="R34" s="2060"/>
      <c r="S34" s="2060"/>
      <c r="T34" s="2060"/>
      <c r="U34" s="2060"/>
      <c r="V34" s="2060"/>
      <c r="W34" s="2073"/>
      <c r="X34" s="2073"/>
      <c r="Y34" s="2073"/>
      <c r="Z34" s="2073"/>
    </row>
    <row r="35" spans="1:26" s="1499" customFormat="1">
      <c r="A35" s="590"/>
      <c r="B35" s="590"/>
      <c r="C35" s="2073"/>
      <c r="D35" s="779">
        <f ca="1">MAX(OFFSET(D35,-1,0,-ROW(D35)+1,-2),1)+0.01</f>
        <v>2.0599999999999987</v>
      </c>
      <c r="E35" s="834" t="s">
        <v>44</v>
      </c>
      <c r="F35" s="2073"/>
      <c r="G35" s="1934">
        <f>12-ROUND(DAYS360(LFY,LFQLTM)/30,0)</f>
        <v>6</v>
      </c>
      <c r="H35" s="22"/>
      <c r="I35" s="2073"/>
      <c r="J35" s="2073"/>
      <c r="K35" s="2073"/>
      <c r="L35" s="2073"/>
      <c r="M35" s="2073"/>
      <c r="N35" s="2073"/>
      <c r="O35" s="2073"/>
      <c r="P35" s="2073"/>
      <c r="Q35" s="2060"/>
      <c r="R35" s="2060"/>
      <c r="S35" s="2060"/>
      <c r="T35" s="2060"/>
      <c r="U35" s="2060"/>
      <c r="V35" s="2060"/>
      <c r="W35" s="2073"/>
      <c r="X35" s="2073"/>
      <c r="Y35" s="2073"/>
      <c r="Z35" s="2073"/>
    </row>
    <row r="36" spans="1:26" ht="12.75" customHeight="1">
      <c r="A36" s="588"/>
      <c r="B36" s="588"/>
      <c r="C36" s="22"/>
      <c r="D36" s="779"/>
      <c r="E36" s="2060"/>
      <c r="F36" s="2060"/>
      <c r="G36" s="2060"/>
      <c r="H36" s="1823" t="s">
        <v>45</v>
      </c>
      <c r="I36" s="1823" t="s">
        <v>46</v>
      </c>
      <c r="J36" s="1823" t="s">
        <v>47</v>
      </c>
      <c r="K36" s="443"/>
      <c r="L36" s="2060"/>
      <c r="M36" s="2060"/>
      <c r="N36" s="2060"/>
      <c r="O36" s="263"/>
      <c r="P36" s="263"/>
      <c r="Q36" s="2060"/>
      <c r="R36" s="2060"/>
      <c r="S36" s="2060"/>
      <c r="T36" s="2060"/>
      <c r="U36" s="2060"/>
      <c r="V36" s="2060"/>
      <c r="W36" s="2060"/>
      <c r="X36" s="2060"/>
      <c r="Y36" s="2060"/>
      <c r="Z36" s="2060"/>
    </row>
    <row r="37" spans="1:26" s="1499" customFormat="1" ht="12.75" customHeight="1">
      <c r="A37" s="588"/>
      <c r="B37" s="588"/>
      <c r="C37" s="22"/>
      <c r="D37" s="779">
        <f ca="1">MAX(OFFSET(D37,-1,0,-ROW(D37)+1,-2),1)+0.01</f>
        <v>2.0699999999999985</v>
      </c>
      <c r="E37" s="1568" t="s">
        <v>48</v>
      </c>
      <c r="F37" s="2060"/>
      <c r="G37" s="1770" t="s">
        <v>49</v>
      </c>
      <c r="H37" s="44" t="str">
        <f>IF(SubjCoID="",IF(SubjOutputCurrency="","USD",SubjOutputCurrency),IF(SubjOutputCurrency="","USD",IF(SubjOutputCurrency="Filing",_xll.ciqfunctions.udf.CIQ(SubjCoID,"IQ_FILING_CURRENCY",500,Valuation_date,ReportType,DataMode),SubjOutputCurrency)))</f>
        <v>USD</v>
      </c>
      <c r="I37" s="1025" t="str">
        <f>IFERROR(INDEX(CountryCurrencyNameUnique,MATCH(SubjOutputCurrencyCode,CountryCurrencySymbolUnique,0)),"")</f>
        <v>US Dollar</v>
      </c>
      <c r="J37" s="452" t="str">
        <f>IFERROR(INDEX(CountryCurrencySymbol,MATCH(SubjOutputCurrencyCode,CountryCurrencyCode,0)),"n/a")</f>
        <v>$</v>
      </c>
      <c r="K37" s="443"/>
      <c r="L37" s="2060"/>
      <c r="M37" s="2060"/>
      <c r="N37" s="2060"/>
      <c r="O37" s="263"/>
      <c r="P37" s="263"/>
      <c r="Q37" s="2060"/>
      <c r="R37" s="2060"/>
      <c r="S37" s="2060"/>
      <c r="T37" s="2060"/>
      <c r="U37" s="2060"/>
      <c r="V37" s="2060"/>
      <c r="W37" s="2060"/>
      <c r="X37" s="2060"/>
      <c r="Y37" s="2060"/>
      <c r="Z37" s="2060"/>
    </row>
    <row r="38" spans="1:26">
      <c r="A38" s="588"/>
      <c r="B38" s="588"/>
      <c r="C38" s="22"/>
      <c r="D38" s="779">
        <f ca="1">MAX(OFFSET(D38,-1,0,-ROW(D38)+1,-2),1)+0.01</f>
        <v>2.0799999999999983</v>
      </c>
      <c r="E38" s="624" t="s">
        <v>50</v>
      </c>
      <c r="F38" s="21"/>
      <c r="G38" s="1770" t="s">
        <v>51</v>
      </c>
      <c r="H38" s="53"/>
      <c r="I38" s="2060"/>
      <c r="J38" s="263"/>
      <c r="K38" s="263"/>
      <c r="L38" s="2073"/>
      <c r="M38" s="2073"/>
      <c r="N38" s="255"/>
      <c r="O38" s="255"/>
      <c r="P38" s="263"/>
      <c r="Q38" s="2060"/>
      <c r="R38" s="2060"/>
      <c r="S38" s="2060"/>
      <c r="T38" s="2060"/>
      <c r="U38" s="2060"/>
      <c r="V38" s="2060"/>
      <c r="W38" s="2060"/>
      <c r="X38" s="2060"/>
      <c r="Y38" s="2060"/>
      <c r="Z38" s="2060"/>
    </row>
    <row r="39" spans="1:26" s="646" customFormat="1">
      <c r="A39" s="2060"/>
      <c r="B39" s="2060"/>
      <c r="C39" s="2060"/>
      <c r="D39" s="2060"/>
      <c r="E39" s="1578"/>
      <c r="F39" s="2060"/>
      <c r="G39" s="2060"/>
      <c r="H39" s="2060"/>
      <c r="I39" s="2060"/>
      <c r="J39" s="2060"/>
      <c r="K39" s="2060"/>
      <c r="L39" s="2060"/>
      <c r="M39" s="2060"/>
      <c r="N39" s="2060"/>
      <c r="O39" s="2060"/>
      <c r="P39" s="2060"/>
      <c r="Q39" s="2060"/>
      <c r="R39" s="2060"/>
      <c r="S39" s="2060"/>
      <c r="T39" s="2060"/>
      <c r="U39" s="2060"/>
      <c r="V39" s="2060"/>
      <c r="W39" s="2060"/>
      <c r="X39" s="2060"/>
      <c r="Y39" s="2060"/>
      <c r="Z39" s="2060"/>
    </row>
    <row r="40" spans="1:26" s="646" customFormat="1">
      <c r="A40" s="2060"/>
      <c r="B40" s="2060"/>
      <c r="C40" s="2060"/>
      <c r="D40" s="779">
        <f ca="1">MAX(OFFSET(D40,-1,0,-ROW(D40)+1,-2),1)+0.01</f>
        <v>2.0899999999999981</v>
      </c>
      <c r="E40" s="2060" t="s">
        <v>52</v>
      </c>
      <c r="F40" s="2060"/>
      <c r="G40" s="2177" t="s">
        <v>53</v>
      </c>
      <c r="H40" s="2159"/>
      <c r="I40" s="2060"/>
      <c r="J40" s="2060"/>
      <c r="K40" s="2060"/>
      <c r="L40" s="2060"/>
      <c r="M40" s="2060"/>
      <c r="N40" s="2060"/>
      <c r="O40" s="2060"/>
      <c r="P40" s="2060"/>
      <c r="Q40" s="2060"/>
      <c r="R40" s="2060"/>
      <c r="S40" s="2060"/>
      <c r="T40" s="2060"/>
      <c r="U40" s="2060"/>
      <c r="V40" s="2060"/>
      <c r="W40" s="2060"/>
      <c r="X40" s="2060"/>
      <c r="Y40" s="2060"/>
      <c r="Z40" s="2060"/>
    </row>
    <row r="41" spans="1:26" s="1499" customFormat="1">
      <c r="A41" s="2060"/>
      <c r="B41" s="2060"/>
      <c r="C41" s="2060"/>
      <c r="D41" s="2060"/>
      <c r="E41" s="2060"/>
      <c r="F41" s="2060"/>
      <c r="G41" s="2060"/>
      <c r="H41" s="2060"/>
      <c r="I41" s="2060"/>
      <c r="J41" s="2060"/>
      <c r="K41" s="2060"/>
      <c r="L41" s="2060"/>
      <c r="M41" s="2060"/>
      <c r="N41" s="2060"/>
      <c r="O41" s="2060"/>
      <c r="P41" s="2060"/>
      <c r="Q41" s="2060"/>
      <c r="R41" s="2060"/>
      <c r="S41" s="2060"/>
      <c r="T41" s="2060"/>
      <c r="U41" s="2060"/>
      <c r="V41" s="2060"/>
      <c r="W41" s="2060"/>
      <c r="X41" s="2060"/>
      <c r="Y41" s="2060"/>
      <c r="Z41" s="2060"/>
    </row>
    <row r="42" spans="1:26" s="646" customFormat="1">
      <c r="A42" s="2060"/>
      <c r="B42" s="2060"/>
      <c r="C42" s="2060"/>
      <c r="D42" s="779">
        <f ca="1">MAX(OFFSET(D42,-1,0,-ROW(D42)+1,-2),1)+0.01</f>
        <v>2.0999999999999979</v>
      </c>
      <c r="E42" s="2060" t="s">
        <v>54</v>
      </c>
      <c r="F42" s="2060"/>
      <c r="G42" s="1770" t="s">
        <v>55</v>
      </c>
      <c r="H42" s="2060"/>
      <c r="I42" s="2060"/>
      <c r="J42" s="2060"/>
      <c r="K42" s="2060"/>
      <c r="L42" s="2060"/>
      <c r="M42" s="2060"/>
      <c r="N42" s="2060"/>
      <c r="O42" s="2060"/>
      <c r="P42" s="2060"/>
      <c r="Q42" s="2060"/>
      <c r="R42" s="2060"/>
      <c r="S42" s="2060"/>
      <c r="T42" s="2060"/>
      <c r="U42" s="2060"/>
      <c r="V42" s="2060"/>
      <c r="W42" s="2060"/>
      <c r="X42" s="2060"/>
      <c r="Y42" s="2060"/>
      <c r="Z42" s="2060"/>
    </row>
    <row r="43" spans="1:26" s="646" customFormat="1">
      <c r="A43" s="2060"/>
      <c r="B43" s="2060"/>
      <c r="C43" s="2060"/>
      <c r="D43" s="779">
        <f ca="1">MAX(OFFSET(D43,-1,0,-ROW(D43)+1,-2),1)+0.01</f>
        <v>2.1099999999999977</v>
      </c>
      <c r="E43" s="2060" t="s">
        <v>56</v>
      </c>
      <c r="F43" s="2060"/>
      <c r="G43" s="2178" t="str">
        <f ca="1">"Run date: "&amp;TEXT(NOW(),"dd-mmmm-yyyy  hh:mm AM/PM")&amp;".   DRAFT document. All data subject to change upon completion of additional analysis."</f>
        <v>Run date: 05-August-2018  02:34 PM.   DRAFT document. All data subject to change upon completion of additional analysis.</v>
      </c>
      <c r="H43" s="1104"/>
      <c r="I43" s="1104"/>
      <c r="J43" s="1104"/>
      <c r="K43" s="1104"/>
      <c r="L43" s="1104"/>
      <c r="M43" s="1104"/>
      <c r="N43" s="1104"/>
      <c r="O43" s="1104"/>
      <c r="P43" s="1105"/>
      <c r="Q43" s="2060"/>
      <c r="R43" s="2060"/>
      <c r="S43" s="2060"/>
      <c r="T43" s="2060"/>
      <c r="U43" s="2060"/>
      <c r="V43" s="2060"/>
      <c r="W43" s="2060"/>
      <c r="X43" s="2060"/>
      <c r="Y43" s="2060"/>
      <c r="Z43" s="2060"/>
    </row>
    <row r="44" spans="1:26" s="646" customFormat="1">
      <c r="A44" s="2060"/>
      <c r="B44" s="2060"/>
      <c r="C44" s="2060"/>
      <c r="D44" s="779">
        <f ca="1">MAX(OFFSET(D44,-1,0,-ROW(D44)+1,-2),1)+0.01</f>
        <v>2.1199999999999974</v>
      </c>
      <c r="E44" s="2060" t="s">
        <v>57</v>
      </c>
      <c r="F44" s="2060"/>
      <c r="G44" s="2178"/>
      <c r="H44" s="1104"/>
      <c r="I44" s="1104"/>
      <c r="J44" s="1104"/>
      <c r="K44" s="1104"/>
      <c r="L44" s="1104"/>
      <c r="M44" s="1104"/>
      <c r="N44" s="1104"/>
      <c r="O44" s="1104"/>
      <c r="P44" s="1105"/>
      <c r="Q44" s="2060"/>
      <c r="R44" s="2060"/>
      <c r="S44" s="2060"/>
      <c r="T44" s="2060"/>
      <c r="U44" s="2060"/>
      <c r="V44" s="2060"/>
      <c r="W44" s="2060"/>
      <c r="X44" s="2060"/>
      <c r="Y44" s="2060"/>
      <c r="Z44" s="2060"/>
    </row>
    <row r="45" spans="1:26" s="646" customFormat="1">
      <c r="A45" s="2060"/>
      <c r="B45" s="2060"/>
      <c r="C45" s="2060"/>
      <c r="D45" s="2060"/>
      <c r="E45" s="2060"/>
      <c r="F45" s="2060"/>
      <c r="G45" s="2060"/>
      <c r="H45" s="2060"/>
      <c r="I45" s="2060"/>
      <c r="J45" s="2060"/>
      <c r="K45" s="2060"/>
      <c r="L45" s="2060"/>
      <c r="M45" s="2060"/>
      <c r="N45" s="2060"/>
      <c r="O45" s="2060"/>
      <c r="P45" s="2060"/>
      <c r="Q45" s="2060"/>
      <c r="R45" s="2060"/>
      <c r="S45" s="2060"/>
      <c r="T45" s="2060"/>
      <c r="U45" s="2060"/>
      <c r="V45" s="2060"/>
      <c r="W45" s="2060"/>
      <c r="X45" s="2060"/>
      <c r="Y45" s="2060"/>
      <c r="Z45" s="2060"/>
    </row>
    <row r="46" spans="1:26" s="646" customFormat="1" ht="18">
      <c r="A46" s="2060"/>
      <c r="B46" s="2060"/>
      <c r="C46" s="1431">
        <f ca="1">MAX(OFFSET(C46,-1,0,-ROW(C46)+1,1))+1</f>
        <v>3</v>
      </c>
      <c r="D46" s="1429" t="s">
        <v>58</v>
      </c>
      <c r="E46" s="1432"/>
      <c r="F46" s="826"/>
      <c r="G46" s="827"/>
      <c r="H46" s="1032"/>
      <c r="I46" s="1032"/>
      <c r="J46" s="1032"/>
      <c r="K46" s="1032"/>
      <c r="L46" s="1032"/>
      <c r="M46" s="1032"/>
      <c r="N46" s="1032"/>
      <c r="O46" s="1032"/>
      <c r="P46" s="1032"/>
      <c r="Q46" s="43"/>
      <c r="R46" s="2060"/>
      <c r="S46" s="2060"/>
      <c r="T46" s="2060"/>
      <c r="U46" s="2060"/>
      <c r="V46" s="2060"/>
      <c r="W46" s="2060"/>
      <c r="X46" s="2060"/>
      <c r="Y46" s="2060"/>
      <c r="Z46" s="2060"/>
    </row>
    <row r="47" spans="1:26" s="646" customFormat="1">
      <c r="A47" s="2060"/>
      <c r="B47" s="2060"/>
      <c r="C47" s="1502"/>
      <c r="D47" s="2060"/>
      <c r="E47" s="1578"/>
      <c r="F47" s="2060"/>
      <c r="G47" s="2060"/>
      <c r="H47" s="682" t="s">
        <v>59</v>
      </c>
      <c r="I47" s="562" t="s">
        <v>60</v>
      </c>
      <c r="J47" s="2060"/>
      <c r="K47" s="2060"/>
      <c r="L47" s="2060"/>
      <c r="M47" s="2060"/>
      <c r="N47" s="2060"/>
      <c r="O47" s="2060"/>
      <c r="P47" s="2060"/>
      <c r="Q47" s="2060"/>
      <c r="R47" s="2060"/>
      <c r="S47" s="2060"/>
      <c r="T47" s="2060"/>
      <c r="U47" s="2060"/>
      <c r="V47" s="2060"/>
      <c r="W47" s="2060"/>
      <c r="X47" s="2060"/>
      <c r="Y47" s="2060"/>
      <c r="Z47" s="2060"/>
    </row>
    <row r="48" spans="1:26" s="2060" customFormat="1">
      <c r="C48" s="1502"/>
      <c r="D48" s="779">
        <f ca="1">MAX(OFFSET(D48,-1,0,-ROW(D48)+1,-2),1)+0.01</f>
        <v>3.01</v>
      </c>
      <c r="E48" s="624" t="s">
        <v>61</v>
      </c>
      <c r="H48" s="2179">
        <v>10</v>
      </c>
      <c r="I48" s="2095" t="s">
        <v>62</v>
      </c>
    </row>
    <row r="49" spans="1:26" s="2060" customFormat="1">
      <c r="C49" s="1502"/>
      <c r="E49" s="1578"/>
      <c r="H49" s="888" t="str">
        <f>IF(I50="Straight-line","",IF(AND(LEFT($F$27,5)="MACRS",OR($E$27=3,$E$27=5,$E$27=7,$E$27=10,$E$27=15,$E$27=20)),"","For projected Capex: MACRS must use 3, 5, 7, 10, 15 or 20 year life"))</f>
        <v/>
      </c>
      <c r="I49" s="1561"/>
    </row>
    <row r="50" spans="1:26" s="2060" customFormat="1">
      <c r="C50" s="1502"/>
      <c r="D50" s="779">
        <f ca="1">MAX(OFFSET(D50,-1,0,-ROW(D50)+1,-2),1)+0.01</f>
        <v>3.0199999999999996</v>
      </c>
      <c r="E50" s="624" t="s">
        <v>63</v>
      </c>
      <c r="H50" s="2179">
        <v>10</v>
      </c>
      <c r="I50" s="2180" t="s">
        <v>62</v>
      </c>
    </row>
    <row r="51" spans="1:26" s="2060" customFormat="1">
      <c r="C51" s="1502"/>
      <c r="E51" s="1578"/>
    </row>
    <row r="52" spans="1:26" s="646" customFormat="1">
      <c r="A52" s="2060"/>
      <c r="B52" s="2060"/>
      <c r="C52" s="2060"/>
      <c r="D52" s="779">
        <f ca="1">MAX(OFFSET(D52,-1,0,-ROW(D52)+1,-2),1)+0.01</f>
        <v>3.0299999999999994</v>
      </c>
      <c r="E52" s="2060" t="s">
        <v>64</v>
      </c>
      <c r="F52" s="1578"/>
      <c r="G52" s="2060"/>
      <c r="H52" s="1766" t="s">
        <v>65</v>
      </c>
      <c r="I52" s="2060"/>
      <c r="J52" s="2060" t="str">
        <f>IF($H$52="N","DCF will use the amortization assumptions entered in the PFI Inputs sheet.",IF(EVorTIC="TIC","See separate Tax Amortization Benefit tab.","WARNING: Taxable Transaction amortization is suitable for US taxable transaction only"))</f>
        <v>DCF will use the amortization assumptions entered in the PFI Inputs sheet.</v>
      </c>
      <c r="K52" s="2060"/>
      <c r="L52" s="2060"/>
      <c r="M52" s="2060"/>
      <c r="N52" s="2060"/>
      <c r="O52" s="2060"/>
      <c r="P52" s="2060"/>
      <c r="Q52" s="2060"/>
      <c r="R52" s="2060"/>
      <c r="S52" s="2060"/>
      <c r="T52" s="2060"/>
      <c r="U52" s="2060"/>
      <c r="V52" s="2060"/>
      <c r="W52" s="2060"/>
      <c r="X52" s="2060"/>
      <c r="Y52" s="2060"/>
      <c r="Z52" s="2060"/>
    </row>
    <row r="53" spans="1:26" s="646" customFormat="1">
      <c r="A53" s="2060"/>
      <c r="B53" s="2060"/>
      <c r="C53" s="2060"/>
      <c r="D53" s="1502"/>
      <c r="E53" s="2060"/>
      <c r="F53" s="1578"/>
      <c r="G53" s="2060"/>
      <c r="H53" s="2060"/>
      <c r="I53" s="2060"/>
      <c r="J53" s="2060"/>
      <c r="K53" s="2060"/>
      <c r="L53" s="2060"/>
      <c r="M53" s="2060"/>
      <c r="N53" s="2060"/>
      <c r="O53" s="2060"/>
      <c r="P53" s="2060"/>
      <c r="Q53" s="2060"/>
      <c r="R53" s="2060"/>
      <c r="S53" s="2060"/>
      <c r="T53" s="2060"/>
      <c r="U53" s="2060"/>
      <c r="V53" s="2060"/>
      <c r="W53" s="2060"/>
      <c r="X53" s="2060"/>
      <c r="Y53" s="2060"/>
      <c r="Z53" s="2060"/>
    </row>
    <row r="54" spans="1:26" s="646" customFormat="1">
      <c r="A54" s="2060"/>
      <c r="B54" s="2060"/>
      <c r="C54" s="2060"/>
      <c r="D54" s="779">
        <f ca="1">MAX(OFFSET(D54,-1,0,-ROW(D54)+1,-2),1)+0.01</f>
        <v>3.0399999999999991</v>
      </c>
      <c r="E54" s="2060" t="s">
        <v>66</v>
      </c>
      <c r="F54" s="1578"/>
      <c r="G54" s="2060"/>
      <c r="H54" s="1766" t="s">
        <v>65</v>
      </c>
      <c r="I54" s="2060"/>
      <c r="J54" s="2060" t="s">
        <v>67</v>
      </c>
      <c r="K54" s="2060"/>
      <c r="L54" s="2060"/>
      <c r="M54" s="2060"/>
      <c r="N54" s="2060"/>
      <c r="O54" s="2060"/>
      <c r="P54" s="2060"/>
      <c r="Q54" s="2060"/>
      <c r="R54" s="2060"/>
      <c r="S54" s="2060"/>
      <c r="T54" s="2060"/>
      <c r="U54" s="2060"/>
      <c r="V54" s="2060"/>
      <c r="W54" s="2060"/>
      <c r="X54" s="2060"/>
      <c r="Y54" s="2060"/>
      <c r="Z54" s="2060"/>
    </row>
    <row r="55" spans="1:26" s="646" customFormat="1">
      <c r="A55" s="2060"/>
      <c r="B55" s="2060"/>
      <c r="C55" s="1502"/>
      <c r="D55" s="2060"/>
      <c r="E55" s="1578"/>
      <c r="F55" s="2060"/>
      <c r="G55" s="2060"/>
      <c r="H55" s="2060"/>
      <c r="I55" s="2060"/>
      <c r="J55" s="2060"/>
      <c r="K55" s="2060"/>
      <c r="L55" s="2060"/>
      <c r="M55" s="2060"/>
      <c r="N55" s="2060"/>
      <c r="O55" s="2060"/>
      <c r="P55" s="2060"/>
      <c r="Q55" s="2060"/>
      <c r="R55" s="2060"/>
      <c r="S55" s="2060"/>
      <c r="T55" s="2060"/>
      <c r="U55" s="2060"/>
      <c r="V55" s="2060"/>
      <c r="W55" s="2060"/>
      <c r="X55" s="2060"/>
      <c r="Y55" s="2060"/>
      <c r="Z55" s="2060"/>
    </row>
    <row r="56" spans="1:26" s="646" customFormat="1">
      <c r="A56" s="2060"/>
      <c r="B56" s="2060"/>
      <c r="C56" s="1502"/>
      <c r="D56" s="2060"/>
      <c r="E56" s="1578"/>
      <c r="F56" s="2060"/>
      <c r="G56" s="2060"/>
      <c r="H56" s="2060"/>
      <c r="I56" s="2060"/>
      <c r="J56" s="2060"/>
      <c r="K56" s="2060"/>
      <c r="L56" s="2060"/>
      <c r="M56" s="2060"/>
      <c r="N56" s="2060"/>
      <c r="O56" s="2060"/>
      <c r="P56" s="2060"/>
      <c r="Q56" s="2060"/>
      <c r="R56" s="2060"/>
      <c r="S56" s="2060"/>
      <c r="T56" s="2060"/>
      <c r="U56" s="2060"/>
      <c r="V56" s="2060"/>
      <c r="W56" s="2060"/>
      <c r="X56" s="2060"/>
      <c r="Y56" s="2060"/>
      <c r="Z56" s="2060"/>
    </row>
    <row r="57" spans="1:26" s="646" customFormat="1" ht="18">
      <c r="A57" s="2060"/>
      <c r="B57" s="2060"/>
      <c r="C57" s="1430">
        <f ca="1">MAX(OFFSET(C57,-1,0,-ROW(C57)+1,1))+1-(A57="n")</f>
        <v>4</v>
      </c>
      <c r="D57" s="1429" t="str">
        <f>"Control Premium for "&amp;EVorTICFull&amp;" calculation"</f>
        <v>Control Premium for Total invested capital calculation</v>
      </c>
      <c r="E57" s="1432"/>
      <c r="F57" s="826"/>
      <c r="G57" s="827"/>
      <c r="H57" s="1032"/>
      <c r="I57" s="1032"/>
      <c r="J57" s="1032"/>
      <c r="K57" s="1032"/>
      <c r="L57" s="1032"/>
      <c r="M57" s="1032"/>
      <c r="N57" s="1032"/>
      <c r="O57" s="1032"/>
      <c r="P57" s="1032"/>
      <c r="Q57" s="43"/>
      <c r="R57" s="2060"/>
      <c r="S57" s="2060"/>
      <c r="T57" s="2060"/>
      <c r="U57" s="2060"/>
      <c r="V57" s="2060"/>
      <c r="W57" s="2060"/>
      <c r="X57" s="2060"/>
      <c r="Y57" s="2060"/>
      <c r="Z57" s="2060"/>
    </row>
    <row r="58" spans="1:26" s="646" customFormat="1">
      <c r="A58" s="2060"/>
      <c r="B58" s="2060"/>
      <c r="C58" s="2060"/>
      <c r="D58" s="2060"/>
      <c r="E58" s="1505"/>
      <c r="F58" s="2060"/>
      <c r="G58" s="2060"/>
      <c r="H58" s="2060"/>
      <c r="I58" s="2060"/>
      <c r="J58" s="2060"/>
      <c r="K58" s="2060"/>
      <c r="L58" s="2060"/>
      <c r="M58" s="2060"/>
      <c r="N58" s="2060"/>
      <c r="O58" s="2060"/>
      <c r="P58" s="2060"/>
      <c r="Q58" s="2060"/>
      <c r="R58" s="2060"/>
      <c r="S58" s="2060"/>
      <c r="T58" s="2060"/>
      <c r="U58" s="2060"/>
      <c r="V58" s="2060"/>
      <c r="W58" s="2060"/>
      <c r="X58" s="2060"/>
      <c r="Y58" s="2060"/>
      <c r="Z58" s="2060"/>
    </row>
    <row r="59" spans="1:26" s="1499" customFormat="1">
      <c r="A59" s="2060"/>
      <c r="B59" s="2060"/>
      <c r="C59" s="2060"/>
      <c r="D59" s="779">
        <f ca="1">MAX(OFFSET(D59,-1,0,-ROW(D59)+1,-2),1)+0.01</f>
        <v>4.01</v>
      </c>
      <c r="E59" s="1505" t="s">
        <v>68</v>
      </c>
      <c r="F59" s="2060"/>
      <c r="G59" s="2161" t="s">
        <v>69</v>
      </c>
      <c r="H59" s="2162"/>
      <c r="I59" s="2060"/>
      <c r="J59" s="2060"/>
      <c r="K59" s="2060"/>
      <c r="L59" s="2060"/>
      <c r="M59" s="2060"/>
      <c r="N59" s="2060"/>
      <c r="O59" s="2060"/>
      <c r="P59" s="2060"/>
      <c r="Q59" s="2060"/>
      <c r="R59" s="2060"/>
      <c r="S59" s="2060"/>
      <c r="T59" s="2060"/>
      <c r="U59" s="2060"/>
      <c r="V59" s="2060"/>
      <c r="W59" s="2060"/>
      <c r="X59" s="2060"/>
      <c r="Y59" s="2060"/>
      <c r="Z59" s="2060"/>
    </row>
    <row r="60" spans="1:26" s="646" customFormat="1">
      <c r="A60" s="2060"/>
      <c r="B60" s="2060"/>
      <c r="C60" s="2060"/>
      <c r="D60" s="779">
        <f ca="1">MAX(OFFSET(D60,-1,0,-ROW(D60)+1,-2),1)+0.01</f>
        <v>4.0199999999999996</v>
      </c>
      <c r="E60" s="624" t="s">
        <v>69</v>
      </c>
      <c r="F60" s="15"/>
      <c r="G60" s="1907">
        <v>0</v>
      </c>
      <c r="H60" s="2060"/>
      <c r="I60" s="1926" t="s">
        <v>70</v>
      </c>
      <c r="J60" s="2060"/>
      <c r="K60" s="2060"/>
      <c r="L60" s="2060"/>
      <c r="M60" s="2060"/>
      <c r="N60" s="2060"/>
      <c r="O60" s="2060"/>
      <c r="P60" s="2060"/>
      <c r="Q60" s="2060"/>
      <c r="R60" s="2060"/>
      <c r="S60" s="2060"/>
      <c r="T60" s="2060"/>
      <c r="U60" s="2060"/>
      <c r="V60" s="2060"/>
      <c r="W60" s="2060"/>
      <c r="X60" s="2060"/>
      <c r="Y60" s="2060"/>
      <c r="Z60" s="2060"/>
    </row>
    <row r="61" spans="1:26" s="1499" customFormat="1">
      <c r="A61" s="2060"/>
      <c r="B61" s="2060"/>
      <c r="C61" s="2060"/>
      <c r="D61" s="779">
        <f ca="1">MAX(OFFSET(D61,-1,0,-ROW(D61)+1,-2),1)+0.01</f>
        <v>4.0299999999999994</v>
      </c>
      <c r="E61" s="624" t="str">
        <f>EVorTIC&amp;" control premium"</f>
        <v>TIC control premium</v>
      </c>
      <c r="F61" s="15"/>
      <c r="G61" s="6">
        <v>0</v>
      </c>
      <c r="H61" s="2060"/>
      <c r="I61" s="1926" t="str">
        <f>"Hyperlink to screening for "&amp;EVorTIClowercase&amp;" control"</f>
        <v>Hyperlink to screening for total invested capital control</v>
      </c>
      <c r="J61" s="2060"/>
      <c r="K61" s="2060"/>
      <c r="L61" s="2060"/>
      <c r="M61" s="2060"/>
      <c r="N61" s="2060"/>
      <c r="O61" s="2060"/>
      <c r="P61" s="2060"/>
      <c r="Q61" s="2060"/>
      <c r="R61" s="2060"/>
      <c r="S61" s="2060"/>
      <c r="T61" s="2060"/>
      <c r="U61" s="2060"/>
      <c r="V61" s="2060"/>
      <c r="W61" s="2060"/>
      <c r="X61" s="2060"/>
      <c r="Y61" s="2060"/>
      <c r="Z61" s="2060"/>
    </row>
    <row r="62" spans="1:26" s="646" customFormat="1">
      <c r="A62" s="2060"/>
      <c r="B62" s="2060"/>
      <c r="C62" s="2060"/>
      <c r="D62" s="2060"/>
      <c r="E62" s="1505"/>
      <c r="F62" s="2060"/>
      <c r="G62" s="2060"/>
      <c r="H62" s="2060"/>
      <c r="I62" s="2060"/>
      <c r="J62" s="2060"/>
      <c r="K62" s="2060"/>
      <c r="L62" s="2060"/>
      <c r="M62" s="2060"/>
      <c r="N62" s="2060"/>
      <c r="O62" s="2060"/>
      <c r="P62" s="2060"/>
      <c r="Q62" s="2060"/>
      <c r="R62" s="2060"/>
      <c r="S62" s="2060"/>
      <c r="T62" s="2060"/>
      <c r="U62" s="2060"/>
      <c r="V62" s="2060"/>
      <c r="W62" s="2060"/>
      <c r="X62" s="2060"/>
      <c r="Y62" s="2060"/>
      <c r="Z62" s="2060"/>
    </row>
    <row r="63" spans="1:26" s="646" customFormat="1">
      <c r="A63" s="2060"/>
      <c r="B63" s="2060"/>
      <c r="C63" s="2060"/>
      <c r="D63" s="2060"/>
      <c r="E63" s="1505"/>
      <c r="F63" s="2060"/>
      <c r="G63" s="2060"/>
      <c r="H63" s="2060"/>
      <c r="I63" s="2060"/>
      <c r="J63" s="2060"/>
      <c r="K63" s="2060"/>
      <c r="L63" s="2060"/>
      <c r="M63" s="2060"/>
      <c r="N63" s="2060"/>
      <c r="O63" s="2060"/>
      <c r="P63" s="2060"/>
      <c r="Q63" s="2060"/>
      <c r="R63" s="2060"/>
      <c r="S63" s="2060"/>
      <c r="T63" s="2060"/>
      <c r="U63" s="2060"/>
      <c r="V63" s="2060"/>
      <c r="W63" s="2060"/>
      <c r="X63" s="2060"/>
      <c r="Y63" s="2060"/>
      <c r="Z63" s="2060"/>
    </row>
    <row r="64" spans="1:26" s="249" customFormat="1" ht="18">
      <c r="A64" s="2060"/>
      <c r="B64" s="2060"/>
      <c r="C64" s="1430">
        <f ca="1">MAX(OFFSET(C64,-1,0,-ROW(C64)+1,1))+1</f>
        <v>5</v>
      </c>
      <c r="D64" s="1429" t="s">
        <v>71</v>
      </c>
      <c r="E64" s="825"/>
      <c r="F64" s="826"/>
      <c r="G64" s="827"/>
      <c r="H64" s="1032"/>
      <c r="I64" s="1032"/>
      <c r="J64" s="1032"/>
      <c r="K64" s="1032"/>
      <c r="L64" s="1032"/>
      <c r="M64" s="1032"/>
      <c r="N64" s="1032"/>
      <c r="O64" s="1032"/>
      <c r="P64" s="1032"/>
      <c r="Q64" s="43"/>
      <c r="R64" s="2060"/>
      <c r="S64" s="2060"/>
      <c r="T64" s="2060"/>
      <c r="U64" s="2060"/>
      <c r="V64" s="2060"/>
      <c r="W64" s="2060"/>
      <c r="X64" s="2060"/>
      <c r="Y64" s="1511"/>
      <c r="Z64" s="2060"/>
    </row>
    <row r="65" spans="1:26" s="1023" customFormat="1">
      <c r="A65" s="2060"/>
      <c r="B65" s="2060"/>
      <c r="C65" s="1502"/>
      <c r="D65" s="2060"/>
      <c r="E65" s="2060"/>
      <c r="F65" s="2060"/>
      <c r="G65" s="2060"/>
      <c r="H65" s="2060"/>
      <c r="I65" s="2060"/>
      <c r="J65" s="2060"/>
      <c r="K65" s="2060"/>
      <c r="L65" s="2060"/>
      <c r="M65" s="2060"/>
      <c r="N65" s="2060"/>
      <c r="O65" s="2060"/>
      <c r="P65" s="2060"/>
      <c r="Q65" s="2060"/>
      <c r="R65" s="2060"/>
      <c r="S65" s="2060"/>
      <c r="T65" s="2060"/>
      <c r="U65" s="2060"/>
      <c r="V65" s="2060"/>
      <c r="W65" s="2060"/>
      <c r="X65" s="2060"/>
      <c r="Y65" s="2060"/>
      <c r="Z65" s="2060"/>
    </row>
    <row r="66" spans="1:26" s="1023" customFormat="1">
      <c r="A66" s="2060"/>
      <c r="B66" s="2060"/>
      <c r="C66" s="1502"/>
      <c r="D66" s="2060" t="s">
        <v>72</v>
      </c>
      <c r="E66" s="2060"/>
      <c r="F66" s="2060"/>
      <c r="G66" s="1766" t="s">
        <v>73</v>
      </c>
      <c r="H66" s="1037" t="str">
        <f>"Based on the number days in the interval "&amp;CHOOSE(YearFracBasis+1,"assuming 30-day months in a 360-day year","in a year of 365 days in a non-leap year or 366 in a leap year","in a year of 360 days", "in year of 365 days (leap years are disregarded)", "assuming 30-day months in a 360-day year, per European standards")</f>
        <v>Based on the number days in the interval in a year of 365 days in a non-leap year or 366 in a leap year</v>
      </c>
      <c r="I66" s="2060"/>
      <c r="J66" s="2060"/>
      <c r="K66" s="2060"/>
      <c r="L66" s="2060"/>
      <c r="M66" s="2060"/>
      <c r="N66" s="2060"/>
      <c r="O66" s="2060"/>
      <c r="P66" s="2060"/>
      <c r="Q66" s="2060"/>
      <c r="R66" s="2060"/>
      <c r="S66" s="2060"/>
      <c r="T66" s="2060"/>
      <c r="U66" s="2060"/>
      <c r="V66" s="2060"/>
      <c r="W66" s="2060"/>
      <c r="X66" s="2060"/>
      <c r="Y66" s="2060"/>
      <c r="Z66" s="2060"/>
    </row>
    <row r="67" spans="1:26" s="1023" customFormat="1">
      <c r="A67" s="2060"/>
      <c r="B67" s="2060"/>
      <c r="C67" s="1502"/>
      <c r="D67" s="2060" t="s">
        <v>74</v>
      </c>
      <c r="E67" s="2060"/>
      <c r="F67" s="2060"/>
      <c r="G67" s="2060">
        <f t="shared" ref="G67:Q67" si="0">IF(YearFracSetting="Actual/Actual",G71-EOMONTH(G71,-12),360)</f>
        <v>365</v>
      </c>
      <c r="H67" s="2060">
        <f t="shared" si="0"/>
        <v>365</v>
      </c>
      <c r="I67" s="2060">
        <f t="shared" si="0"/>
        <v>365</v>
      </c>
      <c r="J67" s="2060">
        <f t="shared" si="0"/>
        <v>366</v>
      </c>
      <c r="K67" s="2060">
        <f t="shared" si="0"/>
        <v>365</v>
      </c>
      <c r="L67" s="2060">
        <f t="shared" si="0"/>
        <v>365</v>
      </c>
      <c r="M67" s="2060">
        <f t="shared" si="0"/>
        <v>365</v>
      </c>
      <c r="N67" s="2060">
        <f t="shared" si="0"/>
        <v>366</v>
      </c>
      <c r="O67" s="2060">
        <f t="shared" si="0"/>
        <v>365</v>
      </c>
      <c r="P67" s="2060">
        <f t="shared" si="0"/>
        <v>365</v>
      </c>
      <c r="Q67" s="2060">
        <f t="shared" si="0"/>
        <v>365</v>
      </c>
      <c r="R67" s="2060"/>
      <c r="S67" s="2060"/>
      <c r="T67" s="2060"/>
      <c r="U67" s="2060"/>
      <c r="V67" s="2060"/>
      <c r="W67" s="2060"/>
      <c r="X67" s="2060"/>
      <c r="Y67" s="2060"/>
      <c r="Z67" s="2060"/>
    </row>
    <row r="68" spans="1:26" s="249" customFormat="1">
      <c r="A68" s="2060"/>
      <c r="B68" s="2060"/>
      <c r="C68" s="1511"/>
      <c r="D68" s="1511"/>
      <c r="E68" s="1511"/>
      <c r="F68" s="1511"/>
      <c r="G68" s="535">
        <v>1</v>
      </c>
      <c r="H68" s="535">
        <v>2</v>
      </c>
      <c r="I68" s="535">
        <v>3</v>
      </c>
      <c r="J68" s="535">
        <v>4</v>
      </c>
      <c r="K68" s="535">
        <v>5</v>
      </c>
      <c r="L68" s="535">
        <v>6</v>
      </c>
      <c r="M68" s="535">
        <v>7</v>
      </c>
      <c r="N68" s="535">
        <v>8</v>
      </c>
      <c r="O68" s="535">
        <v>9</v>
      </c>
      <c r="P68" s="535">
        <v>10</v>
      </c>
      <c r="Q68" s="535">
        <v>11</v>
      </c>
      <c r="R68" s="2060"/>
      <c r="S68" s="2060"/>
      <c r="T68" s="2060"/>
      <c r="U68" s="2060"/>
      <c r="V68" s="2060"/>
      <c r="W68" s="2060"/>
      <c r="X68" s="1511"/>
      <c r="Y68" s="1511"/>
      <c r="Z68" s="1511"/>
    </row>
    <row r="69" spans="1:26" s="449" customFormat="1">
      <c r="A69" s="2060"/>
      <c r="B69" s="2060"/>
      <c r="C69" s="2060"/>
      <c r="D69" s="1502" t="s">
        <v>29</v>
      </c>
      <c r="E69" s="2060"/>
      <c r="F69" s="2060"/>
      <c r="G69" s="2060"/>
      <c r="H69" s="2060"/>
      <c r="I69" s="2060"/>
      <c r="J69" s="2060"/>
      <c r="K69" s="2060"/>
      <c r="L69" s="2060"/>
      <c r="M69" s="2060"/>
      <c r="N69" s="2060"/>
      <c r="O69" s="2060"/>
      <c r="P69" s="2060"/>
      <c r="Q69" s="2060"/>
      <c r="R69" s="2060"/>
      <c r="S69" s="2060"/>
      <c r="T69" s="2060"/>
      <c r="U69" s="2060"/>
      <c r="V69" s="2060"/>
      <c r="W69" s="2060"/>
      <c r="X69" s="2060"/>
      <c r="Y69" s="2060"/>
      <c r="Z69" s="2060"/>
    </row>
    <row r="70" spans="1:26" s="249" customFormat="1">
      <c r="A70" s="2060"/>
      <c r="B70" s="2060"/>
      <c r="C70" s="1511"/>
      <c r="D70" s="2158">
        <f>Valuation_date</f>
        <v>42794</v>
      </c>
      <c r="E70" s="2158"/>
      <c r="F70" s="374"/>
      <c r="G70" s="2152">
        <f>ROUND(StubWt*12,0)</f>
        <v>1</v>
      </c>
      <c r="H70" s="375"/>
      <c r="I70" s="375"/>
      <c r="J70" s="375"/>
      <c r="K70" s="375"/>
      <c r="L70" s="375"/>
      <c r="M70" s="375"/>
      <c r="N70" s="375"/>
      <c r="O70" s="1511"/>
      <c r="P70" s="1511"/>
      <c r="Q70" s="376"/>
      <c r="R70" s="1511"/>
      <c r="S70" s="376"/>
      <c r="T70" s="376"/>
      <c r="U70" s="376"/>
      <c r="V70" s="1511"/>
      <c r="W70" s="2060"/>
      <c r="X70" s="1511"/>
      <c r="Y70" s="1511"/>
      <c r="Z70" s="1511"/>
    </row>
    <row r="71" spans="1:26" s="249" customFormat="1">
      <c r="A71" s="2060"/>
      <c r="B71" s="2060"/>
      <c r="C71" s="1511"/>
      <c r="D71" s="573"/>
      <c r="E71" s="573"/>
      <c r="F71" s="573"/>
      <c r="G71" s="632">
        <f>FYEAfterValuation</f>
        <v>42825</v>
      </c>
      <c r="H71" s="632">
        <f t="shared" ref="H71:Q71" si="1">EOMONTH(G71,12)</f>
        <v>43190</v>
      </c>
      <c r="I71" s="632">
        <f t="shared" si="1"/>
        <v>43555</v>
      </c>
      <c r="J71" s="632">
        <f t="shared" si="1"/>
        <v>43921</v>
      </c>
      <c r="K71" s="632">
        <f t="shared" si="1"/>
        <v>44286</v>
      </c>
      <c r="L71" s="632">
        <f t="shared" si="1"/>
        <v>44651</v>
      </c>
      <c r="M71" s="632">
        <f t="shared" si="1"/>
        <v>45016</v>
      </c>
      <c r="N71" s="632">
        <f t="shared" si="1"/>
        <v>45382</v>
      </c>
      <c r="O71" s="632">
        <f t="shared" si="1"/>
        <v>45747</v>
      </c>
      <c r="P71" s="632">
        <f t="shared" si="1"/>
        <v>46112</v>
      </c>
      <c r="Q71" s="632">
        <f t="shared" si="1"/>
        <v>46477</v>
      </c>
      <c r="R71" s="1511"/>
      <c r="S71" s="396"/>
      <c r="T71" s="396"/>
      <c r="U71" s="396"/>
      <c r="V71" s="1511"/>
      <c r="W71" s="2060"/>
      <c r="X71" s="1511"/>
      <c r="Y71" s="1511"/>
      <c r="Z71" s="1511"/>
    </row>
    <row r="72" spans="1:26" s="249" customFormat="1">
      <c r="A72" s="2060"/>
      <c r="B72" s="2060"/>
      <c r="C72" s="1511"/>
      <c r="D72" s="641" t="s">
        <v>75</v>
      </c>
      <c r="E72" s="374"/>
      <c r="F72" s="374"/>
      <c r="G72" s="533">
        <f>YEARFRAC(Valuation_date,FYEAfterValuation,YearFracBasis)</f>
        <v>8.4931506849315067E-2</v>
      </c>
      <c r="H72" s="374"/>
      <c r="I72" s="374"/>
      <c r="J72" s="374"/>
      <c r="K72" s="374"/>
      <c r="L72" s="374"/>
      <c r="M72" s="374"/>
      <c r="N72" s="374"/>
      <c r="O72" s="1511"/>
      <c r="P72" s="374"/>
      <c r="Q72" s="374"/>
      <c r="R72" s="1511"/>
      <c r="S72" s="374"/>
      <c r="T72" s="374"/>
      <c r="U72" s="374"/>
      <c r="V72" s="1511"/>
      <c r="W72" s="2060"/>
      <c r="X72" s="1511"/>
      <c r="Y72" s="1511"/>
      <c r="Z72" s="1511"/>
    </row>
    <row r="73" spans="1:26" s="249" customFormat="1">
      <c r="A73" s="2060"/>
      <c r="B73" s="2060"/>
      <c r="C73" s="1511"/>
      <c r="D73" s="378" t="s">
        <v>76</v>
      </c>
      <c r="E73" s="378"/>
      <c r="F73" s="374"/>
      <c r="G73" s="434">
        <f>StubWt/2</f>
        <v>4.2465753424657533E-2</v>
      </c>
      <c r="H73" s="434">
        <f>StubWt+1/2</f>
        <v>0.58493150684931505</v>
      </c>
      <c r="I73" s="434">
        <f t="shared" ref="I73:Q73" si="2">H73+1</f>
        <v>1.5849315068493151</v>
      </c>
      <c r="J73" s="434">
        <f t="shared" si="2"/>
        <v>2.5849315068493151</v>
      </c>
      <c r="K73" s="434">
        <f t="shared" si="2"/>
        <v>3.5849315068493151</v>
      </c>
      <c r="L73" s="434">
        <f t="shared" si="2"/>
        <v>4.5849315068493155</v>
      </c>
      <c r="M73" s="434">
        <f t="shared" si="2"/>
        <v>5.5849315068493155</v>
      </c>
      <c r="N73" s="434">
        <f t="shared" si="2"/>
        <v>6.5849315068493155</v>
      </c>
      <c r="O73" s="434">
        <f t="shared" si="2"/>
        <v>7.5849315068493155</v>
      </c>
      <c r="P73" s="434">
        <f t="shared" si="2"/>
        <v>8.5849315068493155</v>
      </c>
      <c r="Q73" s="434">
        <f t="shared" si="2"/>
        <v>9.5849315068493155</v>
      </c>
      <c r="R73" s="1511"/>
      <c r="S73" s="374"/>
      <c r="T73" s="374"/>
      <c r="U73" s="374"/>
      <c r="V73" s="1511"/>
      <c r="W73" s="2060"/>
      <c r="X73" s="1511"/>
      <c r="Y73" s="1511"/>
      <c r="Z73" s="1511"/>
    </row>
    <row r="74" spans="1:26" s="249" customFormat="1">
      <c r="A74" s="2060"/>
      <c r="B74" s="2060"/>
      <c r="C74" s="1511"/>
      <c r="D74" s="378" t="s">
        <v>77</v>
      </c>
      <c r="E74" s="378"/>
      <c r="F74" s="374"/>
      <c r="G74" s="434">
        <f>StubWt</f>
        <v>8.4931506849315067E-2</v>
      </c>
      <c r="H74" s="434">
        <f>G74+1</f>
        <v>1.0849315068493151</v>
      </c>
      <c r="I74" s="434">
        <f t="shared" ref="I74:Q74" si="3">IF(I$71,(H74+1),0)</f>
        <v>2.0849315068493151</v>
      </c>
      <c r="J74" s="434">
        <f t="shared" si="3"/>
        <v>3.0849315068493151</v>
      </c>
      <c r="K74" s="434">
        <f t="shared" si="3"/>
        <v>4.0849315068493155</v>
      </c>
      <c r="L74" s="434">
        <f t="shared" si="3"/>
        <v>5.0849315068493155</v>
      </c>
      <c r="M74" s="434">
        <f t="shared" si="3"/>
        <v>6.0849315068493155</v>
      </c>
      <c r="N74" s="434">
        <f t="shared" si="3"/>
        <v>7.0849315068493155</v>
      </c>
      <c r="O74" s="434">
        <f t="shared" si="3"/>
        <v>8.0849315068493155</v>
      </c>
      <c r="P74" s="434">
        <f t="shared" si="3"/>
        <v>9.0849315068493155</v>
      </c>
      <c r="Q74" s="434">
        <f t="shared" si="3"/>
        <v>10.084931506849315</v>
      </c>
      <c r="R74" s="1511"/>
      <c r="S74" s="374"/>
      <c r="T74" s="374"/>
      <c r="U74" s="374"/>
      <c r="V74" s="1511"/>
      <c r="W74" s="2060"/>
      <c r="X74" s="1511"/>
      <c r="Y74" s="1511"/>
      <c r="Z74" s="1511"/>
    </row>
    <row r="75" spans="1:26" s="249" customFormat="1">
      <c r="A75" s="2060"/>
      <c r="B75" s="2060"/>
      <c r="C75" s="1511"/>
      <c r="D75" s="378"/>
      <c r="E75" s="378"/>
      <c r="F75" s="374"/>
      <c r="G75" s="374"/>
      <c r="H75" s="374"/>
      <c r="I75" s="374"/>
      <c r="J75" s="374"/>
      <c r="K75" s="374"/>
      <c r="L75" s="374"/>
      <c r="M75" s="374"/>
      <c r="N75" s="374"/>
      <c r="O75" s="374"/>
      <c r="P75" s="374"/>
      <c r="Q75" s="374"/>
      <c r="R75" s="1511"/>
      <c r="S75" s="374"/>
      <c r="T75" s="374"/>
      <c r="U75" s="374"/>
      <c r="V75" s="1511"/>
      <c r="W75" s="2060"/>
      <c r="X75" s="1511"/>
      <c r="Y75" s="1511"/>
      <c r="Z75" s="1511"/>
    </row>
    <row r="76" spans="1:26" s="249" customFormat="1">
      <c r="A76" s="2060"/>
      <c r="B76" s="2060"/>
      <c r="C76" s="1511"/>
      <c r="D76" s="378" t="s">
        <v>78</v>
      </c>
      <c r="E76" s="378"/>
      <c r="F76" s="374"/>
      <c r="G76" s="435">
        <f t="shared" ref="G76:Q76" si="4">IFERROR(IF(G$71,1/(1+WACC)^G$73,"-"),"n/a")</f>
        <v>1</v>
      </c>
      <c r="H76" s="435">
        <f t="shared" si="4"/>
        <v>1</v>
      </c>
      <c r="I76" s="435">
        <f t="shared" si="4"/>
        <v>1</v>
      </c>
      <c r="J76" s="435">
        <f t="shared" si="4"/>
        <v>1</v>
      </c>
      <c r="K76" s="435">
        <f t="shared" si="4"/>
        <v>1</v>
      </c>
      <c r="L76" s="435">
        <f t="shared" si="4"/>
        <v>1</v>
      </c>
      <c r="M76" s="435">
        <f t="shared" si="4"/>
        <v>1</v>
      </c>
      <c r="N76" s="435">
        <f t="shared" si="4"/>
        <v>1</v>
      </c>
      <c r="O76" s="435">
        <f t="shared" si="4"/>
        <v>1</v>
      </c>
      <c r="P76" s="435">
        <f t="shared" si="4"/>
        <v>1</v>
      </c>
      <c r="Q76" s="435">
        <f t="shared" si="4"/>
        <v>1</v>
      </c>
      <c r="R76" s="1511"/>
      <c r="S76" s="380"/>
      <c r="T76" s="380"/>
      <c r="U76" s="380"/>
      <c r="V76" s="1511"/>
      <c r="W76" s="2060"/>
      <c r="X76" s="1511"/>
      <c r="Y76" s="1511"/>
      <c r="Z76" s="1511"/>
    </row>
    <row r="77" spans="1:26" s="249" customFormat="1">
      <c r="A77" s="2060"/>
      <c r="B77" s="2060"/>
      <c r="C77" s="1511"/>
      <c r="D77" s="378" t="s">
        <v>79</v>
      </c>
      <c r="E77" s="378"/>
      <c r="F77" s="374"/>
      <c r="G77" s="435">
        <f t="shared" ref="G77:Q77" si="5">IFERROR(IF(G$71,1/(1+WACC)^G$74,"-"),"n/a")</f>
        <v>1</v>
      </c>
      <c r="H77" s="435">
        <f t="shared" si="5"/>
        <v>1</v>
      </c>
      <c r="I77" s="435">
        <f t="shared" si="5"/>
        <v>1</v>
      </c>
      <c r="J77" s="435">
        <f t="shared" si="5"/>
        <v>1</v>
      </c>
      <c r="K77" s="435">
        <f t="shared" si="5"/>
        <v>1</v>
      </c>
      <c r="L77" s="435">
        <f t="shared" si="5"/>
        <v>1</v>
      </c>
      <c r="M77" s="435">
        <f t="shared" si="5"/>
        <v>1</v>
      </c>
      <c r="N77" s="435">
        <f t="shared" si="5"/>
        <v>1</v>
      </c>
      <c r="O77" s="435">
        <f t="shared" si="5"/>
        <v>1</v>
      </c>
      <c r="P77" s="435">
        <f t="shared" si="5"/>
        <v>1</v>
      </c>
      <c r="Q77" s="435">
        <f t="shared" si="5"/>
        <v>1</v>
      </c>
      <c r="R77" s="2060"/>
      <c r="S77" s="2060"/>
      <c r="T77" s="2060"/>
      <c r="U77" s="380"/>
      <c r="V77" s="1511"/>
      <c r="W77" s="2060"/>
      <c r="X77" s="1511"/>
      <c r="Y77" s="1511"/>
      <c r="Z77" s="1511"/>
    </row>
    <row r="78" spans="1:26" s="249" customFormat="1">
      <c r="A78" s="2060"/>
      <c r="B78" s="2060"/>
      <c r="C78" s="374"/>
      <c r="D78" s="374"/>
      <c r="E78" s="374"/>
      <c r="F78" s="374"/>
      <c r="G78" s="374"/>
      <c r="H78" s="374"/>
      <c r="I78" s="374"/>
      <c r="J78" s="374"/>
      <c r="K78" s="374"/>
      <c r="L78" s="1511"/>
      <c r="M78" s="1511"/>
      <c r="N78" s="1511"/>
      <c r="O78" s="1511"/>
      <c r="P78" s="1511"/>
      <c r="Q78" s="254"/>
      <c r="R78" s="2060"/>
      <c r="S78" s="2060"/>
      <c r="T78" s="2060"/>
      <c r="U78" s="254"/>
      <c r="V78" s="254"/>
      <c r="W78" s="2060"/>
      <c r="X78" s="1511"/>
      <c r="Y78" s="1511"/>
      <c r="Z78" s="1511"/>
    </row>
    <row r="79" spans="1:26" s="646" customFormat="1" ht="17.45">
      <c r="A79" s="2060"/>
      <c r="B79" s="2060"/>
      <c r="C79" s="2060"/>
      <c r="D79" s="43" t="str">
        <f ca="1">IF(PrintDRAFTYN="Y",G43,G44&amp;"")</f>
        <v>Run date: 05-August-2018  02:34 PM.   DRAFT document. All data subject to change upon completion of additional analysis.</v>
      </c>
      <c r="E79" s="825"/>
      <c r="F79" s="826"/>
      <c r="G79" s="827"/>
      <c r="H79" s="1032"/>
      <c r="I79" s="1032"/>
      <c r="J79" s="1032"/>
      <c r="K79" s="1032"/>
      <c r="L79" s="1032"/>
      <c r="M79" s="1032"/>
      <c r="N79" s="1032"/>
      <c r="O79" s="1032"/>
      <c r="P79" s="1032"/>
      <c r="Q79" s="1406" t="s">
        <v>18</v>
      </c>
      <c r="R79" s="2060"/>
      <c r="S79" s="2060"/>
      <c r="T79" s="2060"/>
      <c r="U79" s="2060"/>
      <c r="V79" s="2060"/>
      <c r="W79" s="2060"/>
      <c r="X79" s="2060"/>
      <c r="Y79" s="2060"/>
      <c r="Z79" s="2060"/>
    </row>
    <row r="80" spans="1:26" s="646" customFormat="1">
      <c r="A80" s="2060"/>
      <c r="B80" s="2060"/>
      <c r="C80" s="2060"/>
      <c r="D80" s="2060"/>
      <c r="E80" s="2060"/>
      <c r="F80" s="2060"/>
      <c r="G80" s="2060"/>
      <c r="H80" s="2060"/>
      <c r="I80" s="2060"/>
      <c r="J80" s="2060"/>
      <c r="K80" s="2060"/>
      <c r="L80" s="2060"/>
      <c r="M80" s="2060"/>
      <c r="N80" s="2060"/>
      <c r="O80" s="2060"/>
      <c r="P80" s="2060"/>
      <c r="Q80" s="2060"/>
      <c r="R80" s="2060"/>
      <c r="S80" s="2060"/>
      <c r="T80" s="2060"/>
      <c r="U80" s="2060"/>
      <c r="V80" s="2060"/>
      <c r="W80" s="2060"/>
      <c r="X80" s="2060"/>
      <c r="Y80" s="2060"/>
      <c r="Z80" s="2060"/>
    </row>
    <row r="81" spans="1:26" s="646" customFormat="1">
      <c r="A81" s="2060"/>
      <c r="B81" s="2060"/>
      <c r="C81" s="2060"/>
      <c r="D81" s="2060"/>
      <c r="E81" s="43">
        <f>IFERROR(INDEX($D$82:$D$83,MATCH($G$66,YearFracBasisList,0)),1)</f>
        <v>1</v>
      </c>
      <c r="F81" s="2060"/>
      <c r="G81" s="2060"/>
      <c r="H81" s="2060"/>
      <c r="I81" s="2060"/>
      <c r="J81" s="2060"/>
      <c r="K81" s="2060"/>
      <c r="L81" s="2060"/>
      <c r="M81" s="2060"/>
      <c r="N81" s="2060"/>
      <c r="O81" s="2060"/>
      <c r="P81" s="2060"/>
      <c r="Q81" s="2060"/>
      <c r="R81" s="2060"/>
      <c r="S81" s="2060"/>
      <c r="T81" s="2060"/>
      <c r="U81" s="2060"/>
      <c r="V81" s="2060"/>
      <c r="W81" s="2060"/>
      <c r="X81" s="2060"/>
      <c r="Y81" s="2060"/>
      <c r="Z81" s="2060"/>
    </row>
    <row r="82" spans="1:26" s="646" customFormat="1">
      <c r="A82" s="2060"/>
      <c r="B82" s="2060"/>
      <c r="C82" s="2060"/>
      <c r="D82" s="2060">
        <v>1</v>
      </c>
      <c r="E82" s="2060" t="s">
        <v>73</v>
      </c>
      <c r="F82" s="2060"/>
      <c r="G82" s="1038"/>
      <c r="H82" s="2060"/>
      <c r="I82" s="2060"/>
      <c r="J82" s="2060"/>
      <c r="K82" s="2060"/>
      <c r="L82" s="2060"/>
      <c r="M82" s="2060"/>
      <c r="N82" s="2060"/>
      <c r="O82" s="2060"/>
      <c r="P82" s="2060"/>
      <c r="Q82" s="2060"/>
      <c r="R82" s="2060"/>
      <c r="S82" s="2060"/>
      <c r="T82" s="2060"/>
      <c r="U82" s="2060"/>
      <c r="V82" s="2060"/>
      <c r="W82" s="2060"/>
      <c r="X82" s="2060"/>
      <c r="Y82" s="2060"/>
      <c r="Z82" s="2060"/>
    </row>
    <row r="83" spans="1:26" s="646" customFormat="1">
      <c r="A83" s="2060"/>
      <c r="B83" s="2060"/>
      <c r="C83" s="2060"/>
      <c r="D83" s="2060">
        <v>0</v>
      </c>
      <c r="E83" s="1038" t="s">
        <v>80</v>
      </c>
      <c r="F83" s="2060"/>
      <c r="G83" s="2060"/>
      <c r="H83" s="2060"/>
      <c r="I83" s="2060"/>
      <c r="J83" s="2060"/>
      <c r="K83" s="2060"/>
      <c r="L83" s="2060"/>
      <c r="M83" s="2060"/>
      <c r="N83" s="2060"/>
      <c r="O83" s="2060"/>
      <c r="P83" s="2060"/>
      <c r="Q83" s="2060"/>
      <c r="R83" s="2060"/>
      <c r="S83" s="2060"/>
      <c r="T83" s="2060"/>
      <c r="U83" s="2060"/>
      <c r="V83" s="2060"/>
      <c r="W83" s="2060"/>
      <c r="X83" s="2060"/>
      <c r="Y83" s="2060"/>
      <c r="Z83" s="2060"/>
    </row>
    <row r="84" spans="1:26" s="646" customFormat="1" ht="15.6">
      <c r="A84" s="2060"/>
      <c r="B84" s="2060"/>
      <c r="C84" s="2060"/>
      <c r="D84" s="2060"/>
      <c r="E84" s="2060"/>
      <c r="F84" s="2060"/>
      <c r="G84" s="2060"/>
      <c r="H84" s="2060"/>
      <c r="I84" s="2060"/>
      <c r="J84" s="2060"/>
      <c r="K84" s="1764"/>
      <c r="L84" s="2060"/>
      <c r="M84" s="2060"/>
      <c r="N84" s="2060"/>
      <c r="O84" s="2060"/>
      <c r="P84" s="2060"/>
      <c r="Q84" s="2060"/>
      <c r="R84" s="2060"/>
      <c r="S84" s="2060"/>
      <c r="T84" s="2060"/>
      <c r="U84" s="2060"/>
      <c r="V84" s="2060"/>
      <c r="W84" s="2060"/>
      <c r="X84" s="2060"/>
      <c r="Y84" s="2060"/>
      <c r="Z84" s="2060"/>
    </row>
    <row r="85" spans="1:26" s="646" customFormat="1">
      <c r="A85" s="2060"/>
      <c r="B85" s="2060"/>
      <c r="C85" s="2060"/>
      <c r="D85" s="2060"/>
      <c r="E85" s="2060"/>
      <c r="F85" s="2060"/>
      <c r="G85" s="2060"/>
      <c r="H85" s="2060"/>
      <c r="I85" s="2060"/>
      <c r="J85" s="2060"/>
      <c r="K85" s="2060"/>
      <c r="L85" s="2060"/>
      <c r="M85" s="2060"/>
      <c r="N85" s="2060"/>
      <c r="O85" s="2060"/>
      <c r="P85" s="2060"/>
      <c r="Q85" s="2060"/>
      <c r="R85" s="2060"/>
      <c r="S85" s="2060"/>
      <c r="T85" s="2060"/>
      <c r="U85" s="2060"/>
      <c r="V85" s="2060"/>
      <c r="W85" s="2060"/>
      <c r="X85" s="2060"/>
      <c r="Y85" s="2060"/>
      <c r="Z85" s="2060"/>
    </row>
    <row r="86" spans="1:26" s="646" customFormat="1" ht="15.6">
      <c r="A86" s="2060"/>
      <c r="B86" s="2060"/>
      <c r="C86" s="2060"/>
      <c r="D86" s="2060"/>
      <c r="E86" s="2060"/>
      <c r="F86" s="2060"/>
      <c r="G86" s="2060"/>
      <c r="H86" s="2060"/>
      <c r="I86" s="2060"/>
      <c r="J86" s="2060"/>
      <c r="K86" s="1764"/>
      <c r="L86" s="2060"/>
      <c r="M86" s="2060"/>
      <c r="N86" s="2060"/>
      <c r="O86" s="2060"/>
      <c r="P86" s="2060"/>
      <c r="Q86" s="2060"/>
      <c r="R86" s="2060"/>
      <c r="S86" s="2060"/>
      <c r="T86" s="2060"/>
      <c r="U86" s="2060"/>
      <c r="V86" s="2060"/>
      <c r="W86" s="2060"/>
      <c r="X86" s="2060"/>
      <c r="Y86" s="2060"/>
      <c r="Z86" s="2060"/>
    </row>
    <row r="87" spans="1:26" s="646" customFormat="1">
      <c r="A87" s="2060"/>
      <c r="B87" s="2060"/>
      <c r="C87" s="2060"/>
      <c r="D87" s="2060"/>
      <c r="E87" s="2060"/>
      <c r="F87" s="2060"/>
      <c r="G87" s="2060"/>
      <c r="H87" s="2060"/>
      <c r="I87" s="2060"/>
      <c r="J87" s="2060"/>
      <c r="K87" s="2060"/>
      <c r="L87" s="2060"/>
      <c r="M87" s="2060"/>
      <c r="N87" s="2060"/>
      <c r="O87" s="2060"/>
      <c r="P87" s="2060"/>
      <c r="Q87" s="2060"/>
      <c r="R87" s="2060"/>
      <c r="S87" s="2060"/>
      <c r="T87" s="2060"/>
      <c r="U87" s="2060"/>
      <c r="V87" s="2060"/>
      <c r="W87" s="2060"/>
      <c r="X87" s="2060"/>
      <c r="Y87" s="2060"/>
      <c r="Z87" s="2060"/>
    </row>
    <row r="88" spans="1:26" ht="15.6">
      <c r="A88" s="2060"/>
      <c r="B88" s="2060"/>
      <c r="C88" s="2060"/>
      <c r="D88" s="2060"/>
      <c r="E88" s="2060"/>
      <c r="F88" s="2060"/>
      <c r="G88" s="2060"/>
      <c r="H88" s="2060"/>
      <c r="I88" s="2060"/>
      <c r="J88" s="2060"/>
      <c r="K88" s="1764"/>
      <c r="L88" s="2060"/>
      <c r="M88" s="2060"/>
      <c r="N88" s="2060"/>
      <c r="O88" s="2060"/>
      <c r="P88" s="2060"/>
      <c r="Q88" s="2060"/>
      <c r="R88" s="2060"/>
      <c r="S88" s="2060"/>
      <c r="T88" s="2060"/>
      <c r="U88" s="2060"/>
      <c r="V88" s="2060"/>
      <c r="W88" s="2060"/>
      <c r="X88" s="2060"/>
      <c r="Y88" s="2060"/>
      <c r="Z88" s="2060"/>
    </row>
    <row r="89" spans="1:26">
      <c r="A89" s="2060"/>
      <c r="B89" s="2060"/>
      <c r="C89" s="2060"/>
      <c r="D89" s="2060"/>
      <c r="E89" s="2060"/>
      <c r="F89" s="2060"/>
      <c r="G89" s="2060"/>
      <c r="H89" s="2060"/>
      <c r="I89" s="2060"/>
      <c r="J89" s="2060"/>
      <c r="K89" s="2060"/>
      <c r="L89" s="2060"/>
      <c r="M89" s="2060"/>
      <c r="N89" s="2060"/>
      <c r="O89" s="2060"/>
      <c r="P89" s="2060"/>
      <c r="Q89" s="2060"/>
      <c r="R89" s="2060"/>
      <c r="S89" s="2060"/>
      <c r="T89" s="2060"/>
      <c r="U89" s="2060"/>
      <c r="V89" s="2060"/>
      <c r="W89" s="2060"/>
      <c r="X89" s="2060"/>
      <c r="Y89" s="2060"/>
      <c r="Z89" s="2060"/>
    </row>
    <row r="93" spans="1:26">
      <c r="A93" s="2060"/>
      <c r="B93" s="2060"/>
      <c r="C93" s="2060"/>
      <c r="D93" s="2060"/>
      <c r="E93" s="2060" t="s">
        <v>81</v>
      </c>
      <c r="F93" s="2060"/>
      <c r="G93" s="2060"/>
      <c r="H93" s="2060"/>
      <c r="I93" s="2060"/>
      <c r="J93" s="2060"/>
      <c r="K93" s="2060"/>
      <c r="L93" s="2060"/>
      <c r="M93" s="2060"/>
      <c r="N93" s="2060"/>
      <c r="O93" s="2060"/>
      <c r="P93" s="2060"/>
      <c r="Q93" s="2060"/>
      <c r="R93" s="2060"/>
      <c r="S93" s="2060"/>
      <c r="T93" s="2060"/>
      <c r="U93" s="2060"/>
      <c r="V93" s="2060"/>
      <c r="W93" s="2060"/>
      <c r="X93" s="2060"/>
      <c r="Y93" s="2060"/>
      <c r="Z93" s="2060"/>
    </row>
    <row r="94" spans="1:26">
      <c r="A94" s="2060"/>
      <c r="B94" s="2060"/>
      <c r="C94" s="2060"/>
      <c r="D94" s="2060"/>
      <c r="E94" s="1004">
        <f>MATCH(DebtSetting,DebtList,0)</f>
        <v>1</v>
      </c>
      <c r="F94" s="2060"/>
      <c r="G94" s="2060"/>
      <c r="H94" s="2060"/>
      <c r="I94" s="2060"/>
      <c r="J94" s="2060"/>
      <c r="K94" s="2060"/>
      <c r="L94" s="2060"/>
      <c r="M94" s="2060"/>
      <c r="N94" s="2060"/>
      <c r="O94" s="2060"/>
      <c r="P94" s="2060"/>
      <c r="Q94" s="2060"/>
      <c r="R94" s="2060"/>
      <c r="S94" s="2060"/>
      <c r="T94" s="2060"/>
      <c r="U94" s="2060"/>
      <c r="V94" s="2060"/>
      <c r="W94" s="2060"/>
      <c r="X94" s="2060"/>
      <c r="Y94" s="2060"/>
      <c r="Z94" s="2060"/>
    </row>
  </sheetData>
  <mergeCells count="6">
    <mergeCell ref="D70:E70"/>
    <mergeCell ref="G40:H40"/>
    <mergeCell ref="G15:H15"/>
    <mergeCell ref="G19:H19"/>
    <mergeCell ref="G23:H23"/>
    <mergeCell ref="G59:H59"/>
  </mergeCells>
  <conditionalFormatting sqref="C7">
    <cfRule type="cellIs" dxfId="452" priority="412" operator="equal">
      <formula>ERR</formula>
    </cfRule>
  </conditionalFormatting>
  <conditionalFormatting sqref="I13:I14 F14 K13:K14">
    <cfRule type="expression" dxfId="451" priority="382">
      <formula>$C13="x"</formula>
    </cfRule>
  </conditionalFormatting>
  <conditionalFormatting sqref="K10">
    <cfRule type="dataBar" priority="292">
      <dataBar>
        <cfvo type="min"/>
        <cfvo type="max"/>
        <color rgb="FF64BEFF"/>
      </dataBar>
    </cfRule>
  </conditionalFormatting>
  <conditionalFormatting sqref="J52:Q52">
    <cfRule type="expression" dxfId="450" priority="217">
      <formula>AND(TABSetting="Y",EVorTIC="EV")</formula>
    </cfRule>
  </conditionalFormatting>
  <conditionalFormatting sqref="G60">
    <cfRule type="expression" dxfId="449" priority="3">
      <formula>$G$59=$E$61</formula>
    </cfRule>
  </conditionalFormatting>
  <conditionalFormatting sqref="G61">
    <cfRule type="expression" dxfId="448" priority="2">
      <formula>$G$59=$E$60</formula>
    </cfRule>
  </conditionalFormatting>
  <conditionalFormatting sqref="G30:G31 G33">
    <cfRule type="expression" dxfId="447" priority="1">
      <formula>SubjCoID&lt;&gt;""</formula>
    </cfRule>
  </conditionalFormatting>
  <hyperlinks>
    <hyperlink ref="I60" location="EquityPremium30Day" display="Hyperlink to screening for Equity control "/>
    <hyperlink ref="I61" location="TICPremium30day" display="TICPremium30day"/>
  </hyperlinks>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Sheet">
    <tabColor rgb="FF0000FF"/>
    <pageSetUpPr autoPageBreaks="0"/>
  </sheetPr>
  <dimension ref="A1:LH1847"/>
  <sheetViews>
    <sheetView showGridLines="0" tabSelected="1" zoomScale="85" zoomScaleNormal="85" zoomScaleSheetLayoutView="80" workbookViewId="0">
      <pane xSplit="6" ySplit="7" topLeftCell="G8" activePane="bottomRight" state="frozen"/>
      <selection pane="bottomLeft"/>
      <selection pane="topRight"/>
      <selection pane="bottomRight" activeCell="A20" sqref="A20"/>
    </sheetView>
  </sheetViews>
  <sheetFormatPr defaultColWidth="9.33203125" defaultRowHeight="12" customHeight="1"/>
  <cols>
    <col min="1" max="1" width="2.83203125" style="335" customWidth="1"/>
    <col min="2" max="2" width="1.83203125" style="335" customWidth="1"/>
    <col min="3" max="3" width="2" style="335" customWidth="1"/>
    <col min="4" max="4" width="11.83203125" style="335" customWidth="1"/>
    <col min="5" max="5" width="16.5" style="335" customWidth="1"/>
    <col min="6" max="6" width="33.5" style="335" customWidth="1"/>
    <col min="7" max="31" width="16.5" style="335" customWidth="1"/>
    <col min="32" max="33" width="29" style="335" customWidth="1"/>
    <col min="34" max="35" width="16.5" style="335" customWidth="1"/>
    <col min="36" max="40" width="12.83203125" style="335" customWidth="1"/>
    <col min="41" max="41" width="30.6640625" style="335" bestFit="1" customWidth="1"/>
    <col min="42" max="44" width="12.83203125" style="335" customWidth="1"/>
    <col min="45" max="54" width="29.1640625" style="335" customWidth="1"/>
    <col min="55" max="55" width="12.83203125" style="335" customWidth="1"/>
    <col min="56" max="65" width="21.6640625" style="335" customWidth="1"/>
    <col min="66" max="288" width="16.6640625" style="335" customWidth="1"/>
    <col min="289" max="16384" width="9.33203125" style="335"/>
  </cols>
  <sheetData>
    <row r="1" spans="1:320" ht="18" customHeight="1">
      <c r="A1" s="2060"/>
      <c r="B1" s="1530"/>
      <c r="C1" s="838" t="s">
        <v>82</v>
      </c>
      <c r="D1" s="852"/>
      <c r="E1" s="852"/>
      <c r="F1" s="852"/>
      <c r="G1" s="852"/>
      <c r="H1" s="852"/>
      <c r="I1" s="852"/>
      <c r="J1" s="852"/>
      <c r="K1" s="1525"/>
      <c r="L1" s="1525"/>
      <c r="M1" s="852"/>
      <c r="N1" s="852"/>
      <c r="O1" s="1525"/>
      <c r="P1" s="2060"/>
      <c r="Q1" s="2060"/>
      <c r="R1" s="2060"/>
      <c r="S1" s="1530"/>
      <c r="T1" s="1530"/>
      <c r="U1" s="1530"/>
      <c r="V1" s="1530"/>
      <c r="W1" s="1525" t="s">
        <v>50</v>
      </c>
      <c r="X1" s="1525">
        <f>IF(ScaleInput&lt;&gt;"Millions",1000,1)</f>
        <v>1</v>
      </c>
      <c r="Y1" s="1530"/>
      <c r="Z1" s="1530"/>
      <c r="AA1" s="1530"/>
      <c r="AB1" s="1530"/>
      <c r="AC1" s="1530"/>
      <c r="AD1" s="1530"/>
      <c r="AE1" s="1530"/>
      <c r="AF1" s="1530"/>
      <c r="AG1" s="1530"/>
      <c r="AH1" s="2060" t="s">
        <v>0</v>
      </c>
      <c r="AI1" s="2060">
        <f ca="1">SUMPRODUCT(--ISERROR(START!$C$1:$R$63))+COUNTIF(START!$C$1:$R$63,Fail)</f>
        <v>0</v>
      </c>
      <c r="AJ1" s="262" t="s">
        <v>83</v>
      </c>
      <c r="AK1" s="263"/>
      <c r="AL1" s="263"/>
      <c r="AM1" s="1530"/>
      <c r="AN1" s="1530"/>
      <c r="AO1" s="955">
        <v>42</v>
      </c>
      <c r="AP1" s="43">
        <f>MATCH(INDEX(RankingList,RankingListSet),F1:F2774,0)</f>
        <v>470</v>
      </c>
      <c r="AQ1" s="1530"/>
      <c r="AR1" s="1530"/>
      <c r="AS1" s="252" t="s">
        <v>84</v>
      </c>
      <c r="AT1" s="252"/>
      <c r="AU1" s="252"/>
      <c r="AV1" s="120"/>
      <c r="AW1" s="121"/>
      <c r="AX1" s="122"/>
      <c r="AY1" s="253"/>
      <c r="AZ1" s="253"/>
      <c r="BA1" s="253"/>
      <c r="BB1" s="253"/>
      <c r="BC1" s="1530"/>
      <c r="BD1" s="1530"/>
      <c r="BE1" s="1530"/>
      <c r="BF1" s="1530"/>
      <c r="BG1" s="1530"/>
      <c r="BH1" s="1530"/>
      <c r="BI1" s="1530"/>
      <c r="BJ1" s="1530"/>
      <c r="BK1" s="1530"/>
      <c r="BL1" s="1530"/>
      <c r="BM1" s="1530"/>
      <c r="BN1" s="1530"/>
      <c r="BO1" s="1530"/>
      <c r="BP1" s="1530"/>
      <c r="BQ1" s="1530"/>
      <c r="BR1" s="1530"/>
      <c r="BS1" s="1530"/>
      <c r="BT1" s="1530"/>
      <c r="BU1" s="1530"/>
      <c r="BV1" s="1530"/>
      <c r="BW1" s="1530"/>
      <c r="BX1" s="1530"/>
      <c r="BY1" s="1530"/>
      <c r="BZ1" s="1530"/>
      <c r="CA1" s="1530"/>
      <c r="CB1" s="1530"/>
      <c r="CC1" s="1530"/>
      <c r="CD1" s="1530"/>
      <c r="CE1" s="1530"/>
      <c r="CF1" s="1530"/>
      <c r="CG1" s="1530"/>
      <c r="CH1" s="1530"/>
      <c r="CI1" s="1530"/>
      <c r="CJ1" s="1530"/>
      <c r="CK1" s="1530"/>
      <c r="CL1" s="1530"/>
      <c r="CM1" s="1530"/>
      <c r="CN1" s="1530"/>
      <c r="CO1" s="1530"/>
      <c r="CP1" s="1530"/>
      <c r="CQ1" s="1530"/>
      <c r="CR1" s="1530"/>
      <c r="CS1" s="1530"/>
      <c r="CT1" s="1530"/>
      <c r="CU1" s="1530"/>
      <c r="CV1" s="1530"/>
      <c r="CW1" s="1530"/>
      <c r="CX1" s="1530"/>
      <c r="CY1" s="1530"/>
      <c r="CZ1" s="1530"/>
      <c r="DA1" s="1530"/>
      <c r="DB1" s="1530"/>
      <c r="DC1" s="1530"/>
      <c r="DD1" s="1530"/>
      <c r="DE1" s="1530"/>
      <c r="DF1" s="1530"/>
      <c r="DG1" s="1530"/>
      <c r="DH1" s="1530"/>
      <c r="DI1" s="1530"/>
      <c r="DJ1" s="1530"/>
      <c r="DK1" s="1530"/>
      <c r="DL1" s="1530"/>
      <c r="DM1" s="1530"/>
      <c r="DN1" s="1530"/>
      <c r="DO1" s="1530"/>
      <c r="DP1" s="1530"/>
      <c r="DQ1" s="1530"/>
      <c r="DR1" s="1530"/>
      <c r="DS1" s="1530"/>
      <c r="DT1" s="1530"/>
      <c r="DU1" s="1530"/>
      <c r="DV1" s="1530"/>
      <c r="DW1" s="1530"/>
      <c r="DX1" s="1530"/>
      <c r="DY1" s="1530"/>
      <c r="DZ1" s="1530"/>
      <c r="EA1" s="1530"/>
      <c r="EB1" s="1530"/>
      <c r="EC1" s="1530"/>
      <c r="ED1" s="1530"/>
      <c r="EE1" s="1530"/>
      <c r="EF1" s="1530"/>
      <c r="EG1" s="1530"/>
      <c r="EH1" s="1530"/>
      <c r="EI1" s="1530"/>
      <c r="EJ1" s="1530"/>
      <c r="EK1" s="1530"/>
      <c r="EL1" s="1530"/>
      <c r="EM1" s="1530"/>
      <c r="EN1" s="1530"/>
      <c r="EO1" s="1530"/>
      <c r="EP1" s="1530"/>
      <c r="EQ1" s="1530"/>
      <c r="ER1" s="1530"/>
      <c r="ES1" s="1530"/>
      <c r="ET1" s="1530"/>
      <c r="EU1" s="1530"/>
      <c r="EV1" s="1530"/>
      <c r="EW1" s="1530"/>
      <c r="EX1" s="1530"/>
      <c r="EY1" s="1530"/>
      <c r="EZ1" s="1530"/>
      <c r="FA1" s="1530"/>
      <c r="FB1" s="1530"/>
      <c r="FC1" s="1530"/>
      <c r="FD1" s="1530"/>
      <c r="FE1" s="1530"/>
      <c r="FF1" s="1530"/>
      <c r="FG1" s="1530"/>
      <c r="FH1" s="1530"/>
      <c r="FI1" s="1530"/>
      <c r="FJ1" s="1530"/>
      <c r="FK1" s="1530"/>
      <c r="FL1" s="1530"/>
      <c r="FM1" s="1530"/>
      <c r="FN1" s="1530"/>
      <c r="FO1" s="1530"/>
      <c r="FP1" s="1530"/>
      <c r="FQ1" s="1530"/>
      <c r="FR1" s="1530"/>
      <c r="FS1" s="1530"/>
      <c r="FT1" s="1530"/>
      <c r="FU1" s="1530"/>
      <c r="FV1" s="1530"/>
      <c r="FW1" s="1530"/>
      <c r="FX1" s="1530"/>
      <c r="FY1" s="1530"/>
      <c r="FZ1" s="1530"/>
      <c r="GA1" s="1530"/>
      <c r="GB1" s="1530"/>
      <c r="GC1" s="1530"/>
      <c r="GD1" s="1530"/>
      <c r="GE1" s="1530"/>
      <c r="GF1" s="1530"/>
      <c r="GG1" s="1530"/>
      <c r="GH1" s="1530"/>
      <c r="GI1" s="1530"/>
      <c r="GJ1" s="1530"/>
      <c r="GK1" s="1530"/>
      <c r="GL1" s="1530"/>
      <c r="GM1" s="1530"/>
      <c r="GN1" s="1530"/>
      <c r="GO1" s="1530"/>
      <c r="GP1" s="1530"/>
      <c r="GQ1" s="1530"/>
      <c r="GR1" s="1530"/>
      <c r="GS1" s="1530"/>
      <c r="GT1" s="1530"/>
      <c r="GU1" s="1530"/>
      <c r="GV1" s="1530"/>
      <c r="GW1" s="1530"/>
      <c r="GX1" s="1530"/>
      <c r="GY1" s="1530"/>
      <c r="GZ1" s="1530"/>
      <c r="HA1" s="1530"/>
      <c r="HB1" s="1530"/>
      <c r="HC1" s="1530"/>
      <c r="HD1" s="1530"/>
      <c r="HE1" s="1530"/>
      <c r="HF1" s="1530"/>
      <c r="HG1" s="1530"/>
      <c r="HH1" s="1530"/>
      <c r="HI1" s="1530"/>
      <c r="HJ1" s="1530"/>
      <c r="HK1" s="1530"/>
      <c r="HL1" s="1530"/>
      <c r="HM1" s="1530"/>
      <c r="HN1" s="1530"/>
      <c r="HO1" s="1530"/>
      <c r="HP1" s="1530"/>
      <c r="HQ1" s="1530"/>
      <c r="HR1" s="1530"/>
      <c r="HS1" s="1530"/>
      <c r="HT1" s="1530"/>
      <c r="HU1" s="1530"/>
      <c r="HV1" s="1530"/>
      <c r="HW1" s="1530"/>
      <c r="HX1" s="1530"/>
      <c r="HY1" s="1530"/>
      <c r="HZ1" s="1530"/>
      <c r="IA1" s="1530"/>
      <c r="IB1" s="1530"/>
      <c r="IC1" s="1530"/>
      <c r="ID1" s="1530"/>
      <c r="IE1" s="1530"/>
      <c r="IF1" s="1530"/>
      <c r="IG1" s="1530"/>
      <c r="IH1" s="1530"/>
      <c r="II1" s="1530"/>
      <c r="IJ1" s="1530"/>
      <c r="IK1" s="1530"/>
      <c r="IL1" s="1530"/>
      <c r="IM1" s="1530"/>
      <c r="IN1" s="1530"/>
      <c r="IO1" s="1530"/>
      <c r="IP1" s="1530"/>
      <c r="IQ1" s="1530"/>
      <c r="IR1" s="1530"/>
      <c r="IS1" s="1530"/>
      <c r="IT1" s="1530"/>
      <c r="IU1" s="1530"/>
      <c r="IV1" s="1530"/>
      <c r="IW1" s="1530"/>
      <c r="IX1" s="1530"/>
      <c r="IY1" s="1530"/>
      <c r="IZ1" s="1530"/>
      <c r="JA1" s="1530"/>
      <c r="JB1" s="1530"/>
      <c r="JC1" s="1530"/>
      <c r="JD1" s="1530"/>
      <c r="JE1" s="1530"/>
      <c r="JF1" s="1530"/>
      <c r="JG1" s="1530"/>
      <c r="JH1" s="1530"/>
      <c r="JI1" s="1530"/>
      <c r="JJ1" s="1530"/>
      <c r="JK1" s="1530"/>
      <c r="JL1" s="1530"/>
      <c r="JM1" s="1530"/>
      <c r="JN1" s="1530"/>
      <c r="JO1" s="1530"/>
      <c r="JP1" s="1530"/>
      <c r="JQ1" s="1530"/>
      <c r="JR1" s="1530"/>
      <c r="JS1" s="1530"/>
      <c r="JT1" s="1530"/>
      <c r="JU1" s="1530"/>
      <c r="JV1" s="1530"/>
      <c r="JW1" s="1530"/>
      <c r="JX1" s="1530"/>
      <c r="JY1" s="1530"/>
      <c r="JZ1" s="1530"/>
      <c r="KA1" s="1530"/>
      <c r="KB1" s="1530"/>
      <c r="KC1" s="1530"/>
      <c r="KD1" s="1530"/>
      <c r="KE1" s="1530"/>
      <c r="KF1" s="1530"/>
      <c r="KG1" s="1530"/>
      <c r="KH1" s="1530"/>
      <c r="KI1" s="1530"/>
      <c r="KJ1" s="1530"/>
      <c r="KK1" s="1530"/>
      <c r="KL1" s="1530"/>
      <c r="KM1" s="1530"/>
      <c r="KN1" s="1530"/>
      <c r="KO1" s="1530"/>
      <c r="KP1" s="1530"/>
      <c r="KQ1" s="1530"/>
      <c r="KR1" s="1530"/>
      <c r="KS1" s="1530"/>
      <c r="KT1" s="1530"/>
      <c r="KU1" s="1530"/>
      <c r="KV1" s="1530"/>
      <c r="KW1" s="1530"/>
      <c r="KX1" s="1530"/>
      <c r="KY1" s="1530"/>
      <c r="KZ1" s="1530"/>
      <c r="LA1" s="1530"/>
      <c r="LB1" s="1530"/>
      <c r="LC1" s="1530"/>
      <c r="LD1" s="1530"/>
      <c r="LE1" s="1530"/>
      <c r="LF1" s="1530"/>
      <c r="LG1" s="1530"/>
      <c r="LH1" s="1530"/>
    </row>
    <row r="2" spans="1:320" ht="18" customHeight="1">
      <c r="A2" s="589"/>
      <c r="B2" s="1530"/>
      <c r="C2" s="839" t="s">
        <v>85</v>
      </c>
      <c r="D2" s="1526"/>
      <c r="E2" s="1526"/>
      <c r="F2" s="1526"/>
      <c r="G2" s="1526"/>
      <c r="H2" s="852"/>
      <c r="I2" s="1526"/>
      <c r="J2" s="1526"/>
      <c r="K2" s="1507"/>
      <c r="L2" s="1525"/>
      <c r="M2" s="1526"/>
      <c r="N2" s="1526"/>
      <c r="O2" s="1526"/>
      <c r="P2" s="2060"/>
      <c r="Q2" s="2060"/>
      <c r="R2" s="2060"/>
      <c r="S2" s="1530"/>
      <c r="T2" s="1530"/>
      <c r="U2" s="1530"/>
      <c r="V2" s="1530"/>
      <c r="W2" s="46" t="s">
        <v>86</v>
      </c>
      <c r="X2" s="956"/>
      <c r="Y2" s="1530"/>
      <c r="Z2" s="1530"/>
      <c r="AA2" s="1530"/>
      <c r="AB2" s="1530"/>
      <c r="AC2" s="1530"/>
      <c r="AD2" s="1530"/>
      <c r="AE2" s="1530"/>
      <c r="AF2" s="1530"/>
      <c r="AG2" s="1530"/>
      <c r="AH2" s="2060"/>
      <c r="AI2" s="2060"/>
      <c r="AJ2" s="265" t="s">
        <v>87</v>
      </c>
      <c r="AK2" s="265"/>
      <c r="AL2" s="265"/>
      <c r="AM2" s="1530"/>
      <c r="AN2" s="1530"/>
      <c r="AO2" s="1530" t="s">
        <v>88</v>
      </c>
      <c r="AP2" s="89"/>
      <c r="AQ2" s="89"/>
      <c r="AR2" s="255"/>
      <c r="AS2" s="255" t="s">
        <v>89</v>
      </c>
      <c r="AT2" s="21" t="s">
        <v>90</v>
      </c>
      <c r="AU2" s="21" t="s">
        <v>91</v>
      </c>
      <c r="AV2" s="255" t="s">
        <v>92</v>
      </c>
      <c r="AW2" s="255" t="s">
        <v>93</v>
      </c>
      <c r="AX2" s="255" t="s">
        <v>94</v>
      </c>
      <c r="AY2" s="255" t="s">
        <v>95</v>
      </c>
      <c r="AZ2" s="255" t="s">
        <v>96</v>
      </c>
      <c r="BA2" s="255" t="s">
        <v>97</v>
      </c>
      <c r="BB2" s="255" t="s">
        <v>98</v>
      </c>
      <c r="BC2" s="1530"/>
      <c r="BD2" s="1530"/>
      <c r="BE2" s="1530"/>
      <c r="BF2" s="1530"/>
      <c r="BG2" s="1530"/>
      <c r="BH2" s="1530"/>
      <c r="BI2" s="1530"/>
      <c r="BJ2" s="1530"/>
      <c r="BK2" s="1530"/>
      <c r="BL2" s="1530"/>
      <c r="BM2" s="1530"/>
      <c r="BN2" s="1530"/>
      <c r="BO2" s="1530"/>
      <c r="BP2" s="1530"/>
      <c r="BQ2" s="1530"/>
      <c r="BR2" s="1530"/>
      <c r="BS2" s="1530"/>
      <c r="BT2" s="1530"/>
      <c r="BU2" s="1530"/>
      <c r="BV2" s="1530"/>
      <c r="BW2" s="1530"/>
      <c r="BX2" s="1530"/>
      <c r="BY2" s="1530"/>
      <c r="BZ2" s="1530"/>
      <c r="CA2" s="1530"/>
      <c r="CB2" s="1530"/>
      <c r="CC2" s="1530"/>
      <c r="CD2" s="1530"/>
      <c r="CE2" s="1530"/>
      <c r="CF2" s="1530"/>
      <c r="CG2" s="1530"/>
      <c r="CH2" s="1530"/>
      <c r="CI2" s="1530"/>
      <c r="CJ2" s="1530"/>
      <c r="CK2" s="1530"/>
      <c r="CL2" s="1530"/>
      <c r="CM2" s="1530"/>
      <c r="CN2" s="1530"/>
      <c r="CO2" s="1530"/>
      <c r="CP2" s="1530"/>
      <c r="CQ2" s="1530"/>
      <c r="CR2" s="1530"/>
      <c r="CS2" s="1530"/>
      <c r="CT2" s="1530"/>
      <c r="CU2" s="1530"/>
      <c r="CV2" s="1530"/>
      <c r="CW2" s="1530"/>
      <c r="CX2" s="1530"/>
      <c r="CY2" s="1530"/>
      <c r="CZ2" s="1530"/>
      <c r="DA2" s="1530"/>
      <c r="DB2" s="1530"/>
      <c r="DC2" s="1530"/>
      <c r="DD2" s="1530"/>
      <c r="DE2" s="1530"/>
      <c r="DF2" s="1530"/>
      <c r="DG2" s="1530"/>
      <c r="DH2" s="1530"/>
      <c r="DI2" s="1530"/>
      <c r="DJ2" s="1530"/>
      <c r="DK2" s="1530"/>
      <c r="DL2" s="1530"/>
      <c r="DM2" s="1530"/>
      <c r="DN2" s="1530"/>
      <c r="DO2" s="1530"/>
      <c r="DP2" s="1530"/>
      <c r="DQ2" s="1530"/>
      <c r="DR2" s="1530"/>
      <c r="DS2" s="1530"/>
      <c r="DT2" s="1530"/>
      <c r="DU2" s="1530"/>
      <c r="DV2" s="1530"/>
      <c r="DW2" s="1530"/>
      <c r="DX2" s="1530"/>
      <c r="DY2" s="1530"/>
      <c r="DZ2" s="1530"/>
      <c r="EA2" s="1530"/>
      <c r="EB2" s="1530"/>
      <c r="EC2" s="1530"/>
      <c r="ED2" s="1530"/>
      <c r="EE2" s="1530"/>
      <c r="EF2" s="1530"/>
      <c r="EG2" s="1530"/>
      <c r="EH2" s="1530"/>
      <c r="EI2" s="1530"/>
      <c r="EJ2" s="1530"/>
      <c r="EK2" s="1530"/>
      <c r="EL2" s="1530"/>
      <c r="EM2" s="1530"/>
      <c r="EN2" s="1530"/>
      <c r="EO2" s="1530"/>
      <c r="EP2" s="1530"/>
      <c r="EQ2" s="1530"/>
      <c r="ER2" s="1530"/>
      <c r="ES2" s="1530"/>
      <c r="ET2" s="1530"/>
      <c r="EU2" s="1530"/>
      <c r="EV2" s="1530"/>
      <c r="EW2" s="1530"/>
      <c r="EX2" s="1530"/>
      <c r="EY2" s="1530"/>
      <c r="EZ2" s="1530"/>
      <c r="FA2" s="1530"/>
      <c r="FB2" s="1530"/>
      <c r="FC2" s="1530"/>
      <c r="FD2" s="1530"/>
      <c r="FE2" s="1530"/>
      <c r="FF2" s="1530"/>
      <c r="FG2" s="1530"/>
      <c r="FH2" s="1530"/>
      <c r="FI2" s="1530"/>
      <c r="FJ2" s="1530"/>
      <c r="FK2" s="1530"/>
      <c r="FL2" s="1530"/>
      <c r="FM2" s="1530"/>
      <c r="FN2" s="1530"/>
      <c r="FO2" s="1530"/>
      <c r="FP2" s="1530"/>
      <c r="FQ2" s="1530"/>
      <c r="FR2" s="1530"/>
      <c r="FS2" s="1530"/>
      <c r="FT2" s="1530"/>
      <c r="FU2" s="1530"/>
      <c r="FV2" s="1530"/>
      <c r="FW2" s="1530"/>
      <c r="FX2" s="1530"/>
      <c r="FY2" s="1530"/>
      <c r="FZ2" s="1530"/>
      <c r="GA2" s="1530"/>
      <c r="GB2" s="1530"/>
      <c r="GC2" s="1530"/>
      <c r="GD2" s="1530"/>
      <c r="GE2" s="1530"/>
      <c r="GF2" s="1530"/>
      <c r="GG2" s="1530"/>
      <c r="GH2" s="1530"/>
      <c r="GI2" s="1530"/>
      <c r="GJ2" s="1530"/>
      <c r="GK2" s="1530"/>
      <c r="GL2" s="1530"/>
      <c r="GM2" s="1530"/>
      <c r="GN2" s="1530"/>
      <c r="GO2" s="1530"/>
      <c r="GP2" s="1530"/>
      <c r="GQ2" s="1530"/>
      <c r="GR2" s="1530"/>
      <c r="GS2" s="1530"/>
      <c r="GT2" s="1530"/>
      <c r="GU2" s="1530"/>
      <c r="GV2" s="1530"/>
      <c r="GW2" s="1530"/>
      <c r="GX2" s="1530"/>
      <c r="GY2" s="1530"/>
      <c r="GZ2" s="1530"/>
      <c r="HA2" s="1530"/>
      <c r="HB2" s="1530"/>
      <c r="HC2" s="1530"/>
      <c r="HD2" s="1530"/>
      <c r="HE2" s="1530"/>
      <c r="HF2" s="1530"/>
      <c r="HG2" s="1530"/>
      <c r="HH2" s="1530"/>
      <c r="HI2" s="1530"/>
      <c r="HJ2" s="1530"/>
      <c r="HK2" s="1530"/>
      <c r="HL2" s="1530"/>
      <c r="HM2" s="1530"/>
      <c r="HN2" s="1530"/>
      <c r="HO2" s="1530"/>
      <c r="HP2" s="1530"/>
      <c r="HQ2" s="1530"/>
      <c r="HR2" s="1530"/>
      <c r="HS2" s="1530"/>
      <c r="HT2" s="1530"/>
      <c r="HU2" s="1530"/>
      <c r="HV2" s="1530"/>
      <c r="HW2" s="1530"/>
      <c r="HX2" s="1530"/>
      <c r="HY2" s="1530"/>
      <c r="HZ2" s="1530"/>
      <c r="IA2" s="1530"/>
      <c r="IB2" s="1530"/>
      <c r="IC2" s="1530"/>
      <c r="ID2" s="1530"/>
      <c r="IE2" s="1530"/>
      <c r="IF2" s="1530"/>
      <c r="IG2" s="1530"/>
      <c r="IH2" s="1530"/>
      <c r="II2" s="1530"/>
      <c r="IJ2" s="1530"/>
      <c r="IK2" s="1530"/>
      <c r="IL2" s="1530"/>
      <c r="IM2" s="1530"/>
      <c r="IN2" s="1530"/>
      <c r="IO2" s="1530"/>
      <c r="IP2" s="1530"/>
      <c r="IQ2" s="1530"/>
      <c r="IR2" s="1530"/>
      <c r="IS2" s="1530"/>
      <c r="IT2" s="1530"/>
      <c r="IU2" s="1530"/>
      <c r="IV2" s="1530"/>
      <c r="IW2" s="1530"/>
      <c r="IX2" s="1530"/>
      <c r="IY2" s="1530"/>
      <c r="IZ2" s="1530"/>
      <c r="JA2" s="1530"/>
      <c r="JB2" s="1530"/>
      <c r="JC2" s="1530"/>
      <c r="JD2" s="1530"/>
      <c r="JE2" s="1530"/>
      <c r="JF2" s="1530"/>
      <c r="JG2" s="1530"/>
      <c r="JH2" s="1530"/>
      <c r="JI2" s="1530"/>
      <c r="JJ2" s="1530"/>
      <c r="JK2" s="1530"/>
      <c r="JL2" s="1530"/>
      <c r="JM2" s="1530"/>
      <c r="JN2" s="1530"/>
      <c r="JO2" s="1530"/>
      <c r="JP2" s="1530"/>
      <c r="JQ2" s="1530"/>
      <c r="JR2" s="1530"/>
      <c r="JS2" s="1530"/>
      <c r="JT2" s="1530"/>
      <c r="JU2" s="1530"/>
      <c r="JV2" s="1530"/>
      <c r="JW2" s="1530"/>
      <c r="JX2" s="1530"/>
      <c r="JY2" s="1530"/>
      <c r="JZ2" s="1530"/>
      <c r="KA2" s="1530"/>
      <c r="KB2" s="1530"/>
      <c r="KC2" s="1530"/>
      <c r="KD2" s="1530"/>
      <c r="KE2" s="1530"/>
      <c r="KF2" s="1530"/>
      <c r="KG2" s="1530"/>
      <c r="KH2" s="1530"/>
      <c r="KI2" s="1530"/>
      <c r="KJ2" s="1530"/>
      <c r="KK2" s="1530"/>
      <c r="KL2" s="1530"/>
      <c r="KM2" s="1530"/>
      <c r="KN2" s="1530"/>
      <c r="KO2" s="1530"/>
      <c r="KP2" s="1530"/>
      <c r="KQ2" s="1530"/>
      <c r="KR2" s="1530"/>
      <c r="KS2" s="1530"/>
      <c r="KT2" s="1530"/>
      <c r="KU2" s="1530"/>
      <c r="KV2" s="1530"/>
      <c r="KW2" s="1530"/>
      <c r="KX2" s="1530"/>
      <c r="KY2" s="1530"/>
      <c r="KZ2" s="1530"/>
      <c r="LA2" s="1530"/>
      <c r="LB2" s="1530"/>
      <c r="LC2" s="1530"/>
      <c r="LD2" s="1530"/>
      <c r="LE2" s="1530"/>
      <c r="LF2" s="1530"/>
      <c r="LG2" s="1530"/>
      <c r="LH2" s="1530"/>
    </row>
    <row r="3" spans="1:320" ht="18" customHeight="1" thickBot="1">
      <c r="A3" s="589"/>
      <c r="B3" s="1530"/>
      <c r="C3" s="840" t="str">
        <f>"Valuation as of "&amp;TEXT(Valuation_Date_GC,"d mmm yyyy")</f>
        <v>Valuation as of 28 Feb 2017</v>
      </c>
      <c r="D3" s="1526"/>
      <c r="E3" s="1526"/>
      <c r="F3" s="1526"/>
      <c r="G3" s="1526"/>
      <c r="H3" s="1526"/>
      <c r="I3" s="1526"/>
      <c r="J3" s="1526"/>
      <c r="K3" s="1526"/>
      <c r="L3" s="1526"/>
      <c r="M3" s="1526"/>
      <c r="N3" s="1526"/>
      <c r="O3" s="1526"/>
      <c r="P3" s="2060"/>
      <c r="Q3" s="2060"/>
      <c r="R3" s="2060"/>
      <c r="S3" s="1530"/>
      <c r="T3" s="1530"/>
      <c r="U3" s="1530"/>
      <c r="V3" s="1530"/>
      <c r="W3" s="46" t="s">
        <v>99</v>
      </c>
      <c r="X3" s="956" t="s">
        <v>100</v>
      </c>
      <c r="Y3" s="1530"/>
      <c r="Z3" s="1530"/>
      <c r="AA3" s="1530"/>
      <c r="AB3" s="1530"/>
      <c r="AC3" s="1530"/>
      <c r="AD3" s="1530"/>
      <c r="AE3" s="1530"/>
      <c r="AF3" s="1530"/>
      <c r="AG3" s="1530"/>
      <c r="AH3" s="2060"/>
      <c r="AI3" s="2060"/>
      <c r="AJ3" s="265"/>
      <c r="AK3" s="265"/>
      <c r="AL3" s="265"/>
      <c r="AM3" s="1530"/>
      <c r="AN3" s="1530"/>
      <c r="AO3" s="1530" t="s">
        <v>101</v>
      </c>
      <c r="AP3" s="89"/>
      <c r="AQ3" s="89"/>
      <c r="AR3" s="255"/>
      <c r="AS3" s="255"/>
      <c r="AT3" s="126"/>
      <c r="AU3" s="255"/>
      <c r="AV3" s="255"/>
      <c r="AW3" s="255"/>
      <c r="AX3" s="255"/>
      <c r="AY3" s="255"/>
      <c r="AZ3" s="255"/>
      <c r="BA3" s="255"/>
      <c r="BB3" s="99"/>
      <c r="BC3" s="1530"/>
      <c r="BD3" s="1530"/>
      <c r="BE3" s="1530"/>
      <c r="BF3" s="1530"/>
      <c r="BG3" s="1530"/>
      <c r="BH3" s="1530"/>
      <c r="BI3" s="1530"/>
      <c r="BJ3" s="1530"/>
      <c r="BK3" s="1530"/>
      <c r="BL3" s="1530"/>
      <c r="BM3" s="1530"/>
      <c r="BN3" s="1530"/>
      <c r="BO3" s="1530"/>
      <c r="BP3" s="1530"/>
      <c r="BQ3" s="1530"/>
      <c r="BR3" s="1530"/>
      <c r="BS3" s="1530"/>
      <c r="BT3" s="1530"/>
      <c r="BU3" s="1530"/>
      <c r="BV3" s="1530"/>
      <c r="BW3" s="1530"/>
      <c r="BX3" s="1530"/>
      <c r="BY3" s="1530"/>
      <c r="BZ3" s="1530"/>
      <c r="CA3" s="1530"/>
      <c r="CB3" s="1530"/>
      <c r="CC3" s="1530"/>
      <c r="CD3" s="1530"/>
      <c r="CE3" s="1530"/>
      <c r="CF3" s="1530"/>
      <c r="CG3" s="1530"/>
      <c r="CH3" s="1530"/>
      <c r="CI3" s="1530"/>
      <c r="CJ3" s="1530"/>
      <c r="CK3" s="1530"/>
      <c r="CL3" s="1530"/>
      <c r="CM3" s="1530"/>
      <c r="CN3" s="1530"/>
      <c r="CO3" s="1530"/>
      <c r="CP3" s="1530"/>
      <c r="CQ3" s="1530"/>
      <c r="CR3" s="1530"/>
      <c r="CS3" s="1530"/>
      <c r="CT3" s="1530"/>
      <c r="CU3" s="1530"/>
      <c r="CV3" s="1530"/>
      <c r="CW3" s="1530"/>
      <c r="CX3" s="1530"/>
      <c r="CY3" s="1530"/>
      <c r="CZ3" s="1530"/>
      <c r="DA3" s="1530"/>
      <c r="DB3" s="1530"/>
      <c r="DC3" s="1530"/>
      <c r="DD3" s="1530"/>
      <c r="DE3" s="1530"/>
      <c r="DF3" s="1530"/>
      <c r="DG3" s="1530"/>
      <c r="DH3" s="1530"/>
      <c r="DI3" s="1530"/>
      <c r="DJ3" s="1530"/>
      <c r="DK3" s="1530"/>
      <c r="DL3" s="1530"/>
      <c r="DM3" s="1530"/>
      <c r="DN3" s="1530"/>
      <c r="DO3" s="1530"/>
      <c r="DP3" s="1530"/>
      <c r="DQ3" s="1530"/>
      <c r="DR3" s="1530"/>
      <c r="DS3" s="1530"/>
      <c r="DT3" s="1530"/>
      <c r="DU3" s="1530"/>
      <c r="DV3" s="1530"/>
      <c r="DW3" s="1530"/>
      <c r="DX3" s="1530"/>
      <c r="DY3" s="1530"/>
      <c r="DZ3" s="1530"/>
      <c r="EA3" s="1530"/>
      <c r="EB3" s="1530"/>
      <c r="EC3" s="1530"/>
      <c r="ED3" s="1530"/>
      <c r="EE3" s="1530"/>
      <c r="EF3" s="1530"/>
      <c r="EG3" s="1530"/>
      <c r="EH3" s="1530"/>
      <c r="EI3" s="1530"/>
      <c r="EJ3" s="1530"/>
      <c r="EK3" s="1530"/>
      <c r="EL3" s="1530"/>
      <c r="EM3" s="1530"/>
      <c r="EN3" s="1530"/>
      <c r="EO3" s="1530"/>
      <c r="EP3" s="1530"/>
      <c r="EQ3" s="1530"/>
      <c r="ER3" s="1530"/>
      <c r="ES3" s="1530"/>
      <c r="ET3" s="1530"/>
      <c r="EU3" s="1530"/>
      <c r="EV3" s="1530"/>
      <c r="EW3" s="1530"/>
      <c r="EX3" s="1530"/>
      <c r="EY3" s="1530"/>
      <c r="EZ3" s="1530"/>
      <c r="FA3" s="1530"/>
      <c r="FB3" s="1530"/>
      <c r="FC3" s="1530"/>
      <c r="FD3" s="1530"/>
      <c r="FE3" s="1530"/>
      <c r="FF3" s="1530"/>
      <c r="FG3" s="1530"/>
      <c r="FH3" s="1530"/>
      <c r="FI3" s="1530"/>
      <c r="FJ3" s="1530"/>
      <c r="FK3" s="1530"/>
      <c r="FL3" s="1530"/>
      <c r="FM3" s="1530"/>
      <c r="FN3" s="1530"/>
      <c r="FO3" s="1530"/>
      <c r="FP3" s="1530"/>
      <c r="FQ3" s="1530"/>
      <c r="FR3" s="1530"/>
      <c r="FS3" s="1530"/>
      <c r="FT3" s="1530"/>
      <c r="FU3" s="1530"/>
      <c r="FV3" s="1530"/>
      <c r="FW3" s="1530"/>
      <c r="FX3" s="1530"/>
      <c r="FY3" s="1530"/>
      <c r="FZ3" s="1530"/>
      <c r="GA3" s="1530"/>
      <c r="GB3" s="1530"/>
      <c r="GC3" s="1530"/>
      <c r="GD3" s="1530"/>
      <c r="GE3" s="1530"/>
      <c r="GF3" s="1530"/>
      <c r="GG3" s="1530"/>
      <c r="GH3" s="1530"/>
      <c r="GI3" s="1530"/>
      <c r="GJ3" s="1530"/>
      <c r="GK3" s="1530"/>
      <c r="GL3" s="1530"/>
      <c r="GM3" s="1530"/>
      <c r="GN3" s="1530"/>
      <c r="GO3" s="1530"/>
      <c r="GP3" s="1530"/>
      <c r="GQ3" s="1530"/>
      <c r="GR3" s="1530"/>
      <c r="GS3" s="1530"/>
      <c r="GT3" s="1530"/>
      <c r="GU3" s="1530"/>
      <c r="GV3" s="1530"/>
      <c r="GW3" s="1530"/>
      <c r="GX3" s="1530"/>
      <c r="GY3" s="1530"/>
      <c r="GZ3" s="1530"/>
      <c r="HA3" s="1530"/>
      <c r="HB3" s="1530"/>
      <c r="HC3" s="1530"/>
      <c r="HD3" s="1530"/>
      <c r="HE3" s="1530"/>
      <c r="HF3" s="1530"/>
      <c r="HG3" s="1530"/>
      <c r="HH3" s="1530"/>
      <c r="HI3" s="1530"/>
      <c r="HJ3" s="1530"/>
      <c r="HK3" s="1530"/>
      <c r="HL3" s="1530"/>
      <c r="HM3" s="1530"/>
      <c r="HN3" s="1530"/>
      <c r="HO3" s="1530"/>
      <c r="HP3" s="1530"/>
      <c r="HQ3" s="1530"/>
      <c r="HR3" s="1530"/>
      <c r="HS3" s="1530"/>
      <c r="HT3" s="1530"/>
      <c r="HU3" s="1530"/>
      <c r="HV3" s="1530"/>
      <c r="HW3" s="1530"/>
      <c r="HX3" s="1530"/>
      <c r="HY3" s="1530"/>
      <c r="HZ3" s="1530"/>
      <c r="IA3" s="1530"/>
      <c r="IB3" s="1530"/>
      <c r="IC3" s="1530"/>
      <c r="ID3" s="1530"/>
      <c r="IE3" s="1530"/>
      <c r="IF3" s="1530"/>
      <c r="IG3" s="1530"/>
      <c r="IH3" s="1530"/>
      <c r="II3" s="1530"/>
      <c r="IJ3" s="1530"/>
      <c r="IK3" s="1530"/>
      <c r="IL3" s="1530"/>
      <c r="IM3" s="1530"/>
      <c r="IN3" s="1530"/>
      <c r="IO3" s="1530"/>
      <c r="IP3" s="1530"/>
      <c r="IQ3" s="1530"/>
      <c r="IR3" s="1530"/>
      <c r="IS3" s="1530"/>
      <c r="IT3" s="1530"/>
      <c r="IU3" s="1530"/>
      <c r="IV3" s="1530"/>
      <c r="IW3" s="1530"/>
      <c r="IX3" s="1530"/>
      <c r="IY3" s="1530"/>
      <c r="IZ3" s="1530"/>
      <c r="JA3" s="1530"/>
      <c r="JB3" s="1530"/>
      <c r="JC3" s="1530"/>
      <c r="JD3" s="1530"/>
      <c r="JE3" s="1530"/>
      <c r="JF3" s="1530"/>
      <c r="JG3" s="1530"/>
      <c r="JH3" s="1530"/>
      <c r="JI3" s="1530"/>
      <c r="JJ3" s="1530"/>
      <c r="JK3" s="1530"/>
      <c r="JL3" s="1530"/>
      <c r="JM3" s="1530"/>
      <c r="JN3" s="1530"/>
      <c r="JO3" s="1530"/>
      <c r="JP3" s="1530"/>
      <c r="JQ3" s="1530"/>
      <c r="JR3" s="1530"/>
      <c r="JS3" s="1530"/>
      <c r="JT3" s="1530"/>
      <c r="JU3" s="1530"/>
      <c r="JV3" s="1530"/>
      <c r="JW3" s="1530"/>
      <c r="JX3" s="1530"/>
      <c r="JY3" s="1530"/>
      <c r="JZ3" s="1530"/>
      <c r="KA3" s="1530"/>
      <c r="KB3" s="1530"/>
      <c r="KC3" s="1530"/>
      <c r="KD3" s="1530"/>
      <c r="KE3" s="1530"/>
      <c r="KF3" s="1530"/>
      <c r="KG3" s="1530"/>
      <c r="KH3" s="1530"/>
      <c r="KI3" s="1530"/>
      <c r="KJ3" s="1530"/>
      <c r="KK3" s="1530"/>
      <c r="KL3" s="1530"/>
      <c r="KM3" s="1530"/>
      <c r="KN3" s="1530"/>
      <c r="KO3" s="1530"/>
      <c r="KP3" s="1530"/>
      <c r="KQ3" s="1530"/>
      <c r="KR3" s="1530"/>
      <c r="KS3" s="1530"/>
      <c r="KT3" s="1530"/>
      <c r="KU3" s="1530"/>
      <c r="KV3" s="1530"/>
      <c r="KW3" s="1530"/>
      <c r="KX3" s="1530"/>
      <c r="KY3" s="1530"/>
      <c r="KZ3" s="1530"/>
      <c r="LA3" s="1530"/>
      <c r="LB3" s="1530"/>
      <c r="LC3" s="1530"/>
      <c r="LD3" s="1530"/>
      <c r="LE3" s="1530"/>
      <c r="LF3" s="1530"/>
      <c r="LG3" s="1530"/>
      <c r="LH3" s="1530"/>
    </row>
    <row r="4" spans="1:320" ht="12.75" customHeight="1" thickBot="1">
      <c r="A4" s="589"/>
      <c r="B4" s="1530"/>
      <c r="C4" s="2060"/>
      <c r="D4" s="1526"/>
      <c r="E4" s="1526"/>
      <c r="F4" s="1526"/>
      <c r="G4" s="1526"/>
      <c r="H4" s="1526"/>
      <c r="I4" s="1526"/>
      <c r="J4" s="1526"/>
      <c r="K4" s="1526"/>
      <c r="L4" s="1526"/>
      <c r="M4" s="1526"/>
      <c r="N4" s="1526"/>
      <c r="O4" s="1526"/>
      <c r="P4" s="2060"/>
      <c r="Q4" s="2060"/>
      <c r="R4" s="2060"/>
      <c r="S4" s="1530"/>
      <c r="T4" s="1530"/>
      <c r="U4" s="1530"/>
      <c r="V4" s="1530"/>
      <c r="W4" s="1525" t="s">
        <v>102</v>
      </c>
      <c r="X4" s="956" t="s">
        <v>103</v>
      </c>
      <c r="Y4" s="1530"/>
      <c r="Z4" s="1530"/>
      <c r="AA4" s="1530"/>
      <c r="AB4" s="1530"/>
      <c r="AC4" s="1530"/>
      <c r="AD4" s="1530"/>
      <c r="AE4" s="1530"/>
      <c r="AF4" s="1530"/>
      <c r="AG4" s="1530"/>
      <c r="AH4" s="1530"/>
      <c r="AI4" s="2060"/>
      <c r="AJ4" s="264"/>
      <c r="AK4" s="264"/>
      <c r="AL4" s="264"/>
      <c r="AM4" s="1530"/>
      <c r="AN4" s="1530"/>
      <c r="AO4" s="1530" t="s">
        <v>104</v>
      </c>
      <c r="AP4" s="89"/>
      <c r="AQ4" s="89"/>
      <c r="AR4" s="255"/>
      <c r="AS4" s="2181" t="s">
        <v>105</v>
      </c>
      <c r="AT4" s="2182" t="s">
        <v>106</v>
      </c>
      <c r="AU4" s="2182" t="s">
        <v>107</v>
      </c>
      <c r="AV4" s="2182" t="s">
        <v>108</v>
      </c>
      <c r="AW4" s="2183" t="s">
        <v>109</v>
      </c>
      <c r="AX4" s="2184" t="s">
        <v>110</v>
      </c>
      <c r="AY4" s="2184" t="s">
        <v>111</v>
      </c>
      <c r="AZ4" s="2184" t="s">
        <v>112</v>
      </c>
      <c r="BA4" s="2185" t="s">
        <v>113</v>
      </c>
      <c r="BB4" s="2184" t="s">
        <v>114</v>
      </c>
      <c r="BC4" s="1530"/>
      <c r="BD4" s="979" t="s">
        <v>115</v>
      </c>
      <c r="BE4" s="980" t="s">
        <v>116</v>
      </c>
      <c r="BF4" s="981" t="s">
        <v>117</v>
      </c>
      <c r="BG4" s="981" t="s">
        <v>118</v>
      </c>
      <c r="BH4" s="981" t="s">
        <v>119</v>
      </c>
      <c r="BI4" s="981" t="s">
        <v>120</v>
      </c>
      <c r="BJ4" s="982" t="s">
        <v>121</v>
      </c>
      <c r="BK4" s="981" t="s">
        <v>122</v>
      </c>
      <c r="BL4" s="981" t="s">
        <v>123</v>
      </c>
      <c r="BM4" s="983" t="s">
        <v>124</v>
      </c>
      <c r="BN4" s="1530"/>
      <c r="BO4" s="1530"/>
      <c r="BP4" s="1530"/>
      <c r="BQ4" s="1530"/>
      <c r="BR4" s="1530"/>
      <c r="BS4" s="1530"/>
      <c r="BT4" s="1530"/>
      <c r="BU4" s="1530"/>
      <c r="BV4" s="1530"/>
      <c r="BW4" s="1530"/>
      <c r="BX4" s="1530"/>
      <c r="BY4" s="1530"/>
      <c r="BZ4" s="1530"/>
      <c r="CA4" s="1530"/>
      <c r="CB4" s="1530"/>
      <c r="CC4" s="1530"/>
      <c r="CD4" s="1530"/>
      <c r="CE4" s="1530"/>
      <c r="CF4" s="1530"/>
      <c r="CG4" s="1530"/>
      <c r="CH4" s="1530"/>
      <c r="CI4" s="1530"/>
      <c r="CJ4" s="1530"/>
      <c r="CK4" s="1530"/>
      <c r="CL4" s="1530"/>
      <c r="CM4" s="1530"/>
      <c r="CN4" s="1530"/>
      <c r="CO4" s="1530"/>
      <c r="CP4" s="1530"/>
      <c r="CQ4" s="1530"/>
      <c r="CR4" s="1530"/>
      <c r="CS4" s="1530"/>
      <c r="CT4" s="1530"/>
      <c r="CU4" s="1530"/>
      <c r="CV4" s="1530"/>
      <c r="CW4" s="1530"/>
      <c r="CX4" s="1530"/>
      <c r="CY4" s="1530"/>
      <c r="CZ4" s="1530"/>
      <c r="DA4" s="1530"/>
      <c r="DB4" s="1530"/>
      <c r="DC4" s="1530"/>
      <c r="DD4" s="1530"/>
      <c r="DE4" s="1530"/>
      <c r="DF4" s="1530"/>
      <c r="DG4" s="1530"/>
      <c r="DH4" s="1530"/>
      <c r="DI4" s="1530"/>
      <c r="DJ4" s="1530"/>
      <c r="DK4" s="1530"/>
      <c r="DL4" s="1530"/>
      <c r="DM4" s="1530"/>
      <c r="DN4" s="1530"/>
      <c r="DO4" s="1530"/>
      <c r="DP4" s="1530"/>
      <c r="DQ4" s="1530"/>
      <c r="DR4" s="1530"/>
      <c r="DS4" s="1530"/>
      <c r="DT4" s="1530"/>
      <c r="DU4" s="1530"/>
      <c r="DV4" s="1530"/>
      <c r="DW4" s="1530"/>
      <c r="DX4" s="1530"/>
      <c r="DY4" s="1530"/>
      <c r="DZ4" s="1530"/>
      <c r="EA4" s="1530"/>
      <c r="EB4" s="1530"/>
      <c r="EC4" s="1530"/>
      <c r="ED4" s="1530"/>
      <c r="EE4" s="1530"/>
      <c r="EF4" s="1530"/>
      <c r="EG4" s="1530"/>
      <c r="EH4" s="1530"/>
      <c r="EI4" s="1530"/>
      <c r="EJ4" s="1530"/>
      <c r="EK4" s="1530"/>
      <c r="EL4" s="1530"/>
      <c r="EM4" s="1530"/>
      <c r="EN4" s="1530"/>
      <c r="EO4" s="1530"/>
      <c r="EP4" s="1530"/>
      <c r="EQ4" s="1530"/>
      <c r="ER4" s="1530"/>
      <c r="ES4" s="1530"/>
      <c r="ET4" s="1530"/>
      <c r="EU4" s="1530"/>
      <c r="EV4" s="1530"/>
      <c r="EW4" s="1530"/>
      <c r="EX4" s="1530"/>
      <c r="EY4" s="1530"/>
      <c r="EZ4" s="1530"/>
      <c r="FA4" s="1530"/>
      <c r="FB4" s="1530"/>
      <c r="FC4" s="1530"/>
      <c r="FD4" s="1530"/>
      <c r="FE4" s="1530"/>
      <c r="FF4" s="1530"/>
      <c r="FG4" s="1530"/>
      <c r="FH4" s="1530"/>
      <c r="FI4" s="1530"/>
      <c r="FJ4" s="1530"/>
      <c r="FK4" s="1530"/>
      <c r="FL4" s="1530"/>
      <c r="FM4" s="1530"/>
      <c r="FN4" s="1530"/>
      <c r="FO4" s="1530"/>
      <c r="FP4" s="1530"/>
      <c r="FQ4" s="1530"/>
      <c r="FR4" s="1530"/>
      <c r="FS4" s="1530"/>
      <c r="FT4" s="1530"/>
      <c r="FU4" s="1530"/>
      <c r="FV4" s="1530"/>
      <c r="FW4" s="1530"/>
      <c r="FX4" s="1530"/>
      <c r="FY4" s="1530"/>
      <c r="FZ4" s="1530"/>
      <c r="GA4" s="1530"/>
      <c r="GB4" s="1530"/>
      <c r="GC4" s="1530"/>
      <c r="GD4" s="1530"/>
      <c r="GE4" s="1530"/>
      <c r="GF4" s="1530"/>
      <c r="GG4" s="1530"/>
      <c r="GH4" s="1530"/>
      <c r="GI4" s="1530"/>
      <c r="GJ4" s="1530"/>
      <c r="GK4" s="1530"/>
      <c r="GL4" s="1530"/>
      <c r="GM4" s="1530"/>
      <c r="GN4" s="1530"/>
      <c r="GO4" s="1530"/>
      <c r="GP4" s="1530"/>
      <c r="GQ4" s="1530"/>
      <c r="GR4" s="1530"/>
      <c r="GS4" s="1530"/>
      <c r="GT4" s="1530"/>
      <c r="GU4" s="1530"/>
      <c r="GV4" s="1530"/>
      <c r="GW4" s="1530"/>
      <c r="GX4" s="1530"/>
      <c r="GY4" s="1530"/>
      <c r="GZ4" s="1530"/>
      <c r="HA4" s="1530"/>
      <c r="HB4" s="1530"/>
      <c r="HC4" s="1530"/>
      <c r="HD4" s="1530"/>
      <c r="HE4" s="1530"/>
      <c r="HF4" s="1530"/>
      <c r="HG4" s="1530"/>
      <c r="HH4" s="1530"/>
      <c r="HI4" s="1530"/>
      <c r="HJ4" s="1530"/>
      <c r="HK4" s="1530"/>
      <c r="HL4" s="1530"/>
      <c r="HM4" s="1530"/>
      <c r="HN4" s="1530"/>
      <c r="HO4" s="1530"/>
      <c r="HP4" s="1530"/>
      <c r="HQ4" s="1530"/>
      <c r="HR4" s="1530"/>
      <c r="HS4" s="1530"/>
      <c r="HT4" s="1530"/>
      <c r="HU4" s="1530"/>
      <c r="HV4" s="1530"/>
      <c r="HW4" s="1530"/>
      <c r="HX4" s="1530"/>
      <c r="HY4" s="1530"/>
      <c r="HZ4" s="1530"/>
      <c r="IA4" s="1530"/>
      <c r="IB4" s="1530"/>
      <c r="IC4" s="1530"/>
      <c r="ID4" s="1530"/>
      <c r="IE4" s="1530"/>
      <c r="IF4" s="1530"/>
      <c r="IG4" s="1530"/>
      <c r="IH4" s="1530"/>
      <c r="II4" s="1530"/>
      <c r="IJ4" s="1530"/>
      <c r="IK4" s="1530"/>
      <c r="IL4" s="1530"/>
      <c r="IM4" s="1530"/>
      <c r="IN4" s="1530"/>
      <c r="IO4" s="1530"/>
      <c r="IP4" s="1530"/>
      <c r="IQ4" s="1530"/>
      <c r="IR4" s="1530"/>
      <c r="IS4" s="1530"/>
      <c r="IT4" s="1530"/>
      <c r="IU4" s="1530"/>
      <c r="IV4" s="1530"/>
      <c r="IW4" s="1530"/>
      <c r="IX4" s="1530"/>
      <c r="IY4" s="1530"/>
      <c r="IZ4" s="1530"/>
      <c r="JA4" s="1530"/>
      <c r="JB4" s="1530"/>
      <c r="JC4" s="1530"/>
      <c r="JD4" s="1530"/>
      <c r="JE4" s="1530"/>
      <c r="JF4" s="1530"/>
      <c r="JG4" s="1530"/>
      <c r="JH4" s="1530"/>
      <c r="JI4" s="1530"/>
      <c r="JJ4" s="1530"/>
      <c r="JK4" s="1530"/>
      <c r="JL4" s="1530"/>
      <c r="JM4" s="1530"/>
      <c r="JN4" s="1530"/>
      <c r="JO4" s="1530"/>
      <c r="JP4" s="1530"/>
      <c r="JQ4" s="1530"/>
      <c r="JR4" s="1530"/>
      <c r="JS4" s="1530"/>
      <c r="JT4" s="1530"/>
      <c r="JU4" s="1530"/>
      <c r="JV4" s="1530"/>
      <c r="JW4" s="1530"/>
      <c r="JX4" s="1530"/>
      <c r="JY4" s="1530"/>
      <c r="JZ4" s="1530"/>
      <c r="KA4" s="1530"/>
      <c r="KB4" s="1530"/>
      <c r="KC4" s="1530"/>
      <c r="KD4" s="1530"/>
      <c r="KE4" s="1530"/>
      <c r="KF4" s="1530"/>
      <c r="KG4" s="1530"/>
      <c r="KH4" s="1530"/>
      <c r="KI4" s="1530"/>
      <c r="KJ4" s="1530"/>
      <c r="KK4" s="1530"/>
      <c r="KL4" s="1530"/>
      <c r="KM4" s="1530"/>
      <c r="KN4" s="1530"/>
      <c r="KO4" s="1530"/>
      <c r="KP4" s="1530"/>
      <c r="KQ4" s="1530"/>
      <c r="KR4" s="1530"/>
      <c r="KS4" s="1530"/>
      <c r="KT4" s="1530"/>
      <c r="KU4" s="1530"/>
      <c r="KV4" s="1530"/>
      <c r="KW4" s="1530"/>
      <c r="KX4" s="1530"/>
      <c r="KY4" s="1530"/>
      <c r="KZ4" s="1530"/>
      <c r="LA4" s="1530"/>
      <c r="LB4" s="1530"/>
      <c r="LC4" s="1530"/>
      <c r="LD4" s="1530"/>
      <c r="LE4" s="1530"/>
      <c r="LF4" s="1530"/>
      <c r="LG4" s="1530"/>
      <c r="LH4" s="1530"/>
    </row>
    <row r="5" spans="1:320" ht="14.45">
      <c r="A5" s="589"/>
      <c r="B5" s="1530"/>
      <c r="C5" s="2060"/>
      <c r="D5" s="1526"/>
      <c r="E5" s="1526"/>
      <c r="F5" s="1526"/>
      <c r="G5" s="1526"/>
      <c r="H5" s="1526"/>
      <c r="I5" s="1526"/>
      <c r="J5" s="1526"/>
      <c r="K5" s="341"/>
      <c r="L5" s="341"/>
      <c r="M5" s="1526"/>
      <c r="N5" s="1526"/>
      <c r="O5" s="1526"/>
      <c r="P5" s="2060"/>
      <c r="Q5" s="2060"/>
      <c r="R5" s="2060"/>
      <c r="S5" s="1530"/>
      <c r="T5" s="1530"/>
      <c r="U5" s="1530"/>
      <c r="V5" s="1530"/>
      <c r="W5" s="1525"/>
      <c r="X5" s="1525"/>
      <c r="Y5" s="1530"/>
      <c r="Z5" s="1530"/>
      <c r="AA5" s="1530"/>
      <c r="AB5" s="1530"/>
      <c r="AC5" s="1530"/>
      <c r="AD5" s="1530"/>
      <c r="AE5" s="1530"/>
      <c r="AF5" s="1530"/>
      <c r="AG5" s="1530"/>
      <c r="AH5" s="1530"/>
      <c r="AI5" s="2060"/>
      <c r="AJ5" s="264" t="str">
        <f>_xll.ciqfunctions.udf.CIQRANGE(LookupCell,"IQ_COMPANY_NAME_QUICK_MATCH",1,5,,,,,,,"NAME")</f>
        <v>NAME</v>
      </c>
      <c r="AK5" s="264" t="str">
        <f>_xll.ciqfunctions.udf.CIQRANGE(LookupCell,"IQ_COMPANY_ID_QUICK_MATCH",1,5,,,,,,,"ID")</f>
        <v>ID</v>
      </c>
      <c r="AL5" s="264" t="s">
        <v>125</v>
      </c>
      <c r="AM5" s="1530"/>
      <c r="AN5" s="1530"/>
      <c r="AO5" s="1530" t="s">
        <v>126</v>
      </c>
      <c r="AP5" s="89"/>
      <c r="AQ5" s="89"/>
      <c r="AR5" s="255"/>
      <c r="AS5" s="211" t="s">
        <v>127</v>
      </c>
      <c r="AT5" s="212" t="s">
        <v>128</v>
      </c>
      <c r="AU5" s="212" t="s">
        <v>128</v>
      </c>
      <c r="AV5" s="212" t="s">
        <v>129</v>
      </c>
      <c r="AW5" s="213" t="s">
        <v>130</v>
      </c>
      <c r="AX5" s="78" t="s">
        <v>49</v>
      </c>
      <c r="AY5" s="78" t="s">
        <v>131</v>
      </c>
      <c r="AZ5" s="78" t="s">
        <v>132</v>
      </c>
      <c r="BA5" s="1804" t="s">
        <v>133</v>
      </c>
      <c r="BB5" s="268" t="s">
        <v>133</v>
      </c>
      <c r="BC5" s="1530"/>
      <c r="BD5" s="984">
        <v>1</v>
      </c>
      <c r="BE5" s="985" t="s">
        <v>125</v>
      </c>
      <c r="BF5" s="986" t="s">
        <v>125</v>
      </c>
      <c r="BG5" s="986" t="s">
        <v>125</v>
      </c>
      <c r="BH5" s="986" t="s">
        <v>125</v>
      </c>
      <c r="BI5" s="986" t="s">
        <v>125</v>
      </c>
      <c r="BJ5" s="987" t="s">
        <v>134</v>
      </c>
      <c r="BK5" s="986" t="s">
        <v>125</v>
      </c>
      <c r="BL5" s="986" t="s">
        <v>134</v>
      </c>
      <c r="BM5" s="988" t="s">
        <v>125</v>
      </c>
      <c r="BN5" s="1530"/>
      <c r="BO5" s="1530"/>
      <c r="BP5" s="1530"/>
      <c r="BQ5" s="1530"/>
      <c r="BR5" s="1530"/>
      <c r="BS5" s="1530"/>
      <c r="BT5" s="1530"/>
      <c r="BU5" s="1530"/>
      <c r="BV5" s="1530"/>
      <c r="BW5" s="1530"/>
      <c r="BX5" s="1530"/>
      <c r="BY5" s="1530"/>
      <c r="BZ5" s="1530"/>
      <c r="CA5" s="1530"/>
      <c r="CB5" s="1530"/>
      <c r="CC5" s="1530"/>
      <c r="CD5" s="1530"/>
      <c r="CE5" s="1530"/>
      <c r="CF5" s="1530"/>
      <c r="CG5" s="1530"/>
      <c r="CH5" s="1530"/>
      <c r="CI5" s="1530"/>
      <c r="CJ5" s="1530"/>
      <c r="CK5" s="1530"/>
      <c r="CL5" s="1530"/>
      <c r="CM5" s="1530"/>
      <c r="CN5" s="1530"/>
      <c r="CO5" s="1530"/>
      <c r="CP5" s="1530"/>
      <c r="CQ5" s="1530"/>
      <c r="CR5" s="1530"/>
      <c r="CS5" s="1530"/>
      <c r="CT5" s="1530"/>
      <c r="CU5" s="1530"/>
      <c r="CV5" s="1530"/>
      <c r="CW5" s="1530"/>
      <c r="CX5" s="1530"/>
      <c r="CY5" s="1530"/>
      <c r="CZ5" s="1530"/>
      <c r="DA5" s="1530"/>
      <c r="DB5" s="1530"/>
      <c r="DC5" s="1530"/>
      <c r="DD5" s="1530"/>
      <c r="DE5" s="1530"/>
      <c r="DF5" s="1530"/>
      <c r="DG5" s="1530"/>
      <c r="DH5" s="1530"/>
      <c r="DI5" s="1530"/>
      <c r="DJ5" s="1530"/>
      <c r="DK5" s="1530"/>
      <c r="DL5" s="1530"/>
      <c r="DM5" s="1530"/>
      <c r="DN5" s="1530"/>
      <c r="DO5" s="1530"/>
      <c r="DP5" s="1530"/>
      <c r="DQ5" s="1530"/>
      <c r="DR5" s="1530"/>
      <c r="DS5" s="1530"/>
      <c r="DT5" s="1530"/>
      <c r="DU5" s="1530"/>
      <c r="DV5" s="1530"/>
      <c r="DW5" s="1530"/>
      <c r="DX5" s="1530"/>
      <c r="DY5" s="1530"/>
      <c r="DZ5" s="1530"/>
      <c r="EA5" s="1530"/>
      <c r="EB5" s="1530"/>
      <c r="EC5" s="1530"/>
      <c r="ED5" s="1530"/>
      <c r="EE5" s="1530"/>
      <c r="EF5" s="1530"/>
      <c r="EG5" s="1530"/>
      <c r="EH5" s="1530"/>
      <c r="EI5" s="1530"/>
      <c r="EJ5" s="1530"/>
      <c r="EK5" s="1530"/>
      <c r="EL5" s="1530"/>
      <c r="EM5" s="1530"/>
      <c r="EN5" s="1530"/>
      <c r="EO5" s="1530"/>
      <c r="EP5" s="1530"/>
      <c r="EQ5" s="1530"/>
      <c r="ER5" s="1530"/>
      <c r="ES5" s="1530"/>
      <c r="ET5" s="1530"/>
      <c r="EU5" s="1530"/>
      <c r="EV5" s="1530"/>
      <c r="EW5" s="1530"/>
      <c r="EX5" s="1530"/>
      <c r="EY5" s="1530"/>
      <c r="EZ5" s="1530"/>
      <c r="FA5" s="1530"/>
      <c r="FB5" s="1530"/>
      <c r="FC5" s="1530"/>
      <c r="FD5" s="1530"/>
      <c r="FE5" s="1530"/>
      <c r="FF5" s="1530"/>
      <c r="FG5" s="1530"/>
      <c r="FH5" s="1530"/>
      <c r="FI5" s="1530"/>
      <c r="FJ5" s="1530"/>
      <c r="FK5" s="1530"/>
      <c r="FL5" s="1530"/>
      <c r="FM5" s="1530"/>
      <c r="FN5" s="1530"/>
      <c r="FO5" s="1530"/>
      <c r="FP5" s="1530"/>
      <c r="FQ5" s="1530"/>
      <c r="FR5" s="1530"/>
      <c r="FS5" s="1530"/>
      <c r="FT5" s="1530"/>
      <c r="FU5" s="1530"/>
      <c r="FV5" s="1530"/>
      <c r="FW5" s="1530"/>
      <c r="FX5" s="1530"/>
      <c r="FY5" s="1530"/>
      <c r="FZ5" s="1530"/>
      <c r="GA5" s="1530"/>
      <c r="GB5" s="1530"/>
      <c r="GC5" s="1530"/>
      <c r="GD5" s="1530"/>
      <c r="GE5" s="1530"/>
      <c r="GF5" s="1530"/>
      <c r="GG5" s="1530"/>
      <c r="GH5" s="1530"/>
      <c r="GI5" s="1530"/>
      <c r="GJ5" s="1530"/>
      <c r="GK5" s="1530"/>
      <c r="GL5" s="1530"/>
      <c r="GM5" s="1530"/>
      <c r="GN5" s="1530"/>
      <c r="GO5" s="1530"/>
      <c r="GP5" s="1530"/>
      <c r="GQ5" s="1530"/>
      <c r="GR5" s="1530"/>
      <c r="GS5" s="1530"/>
      <c r="GT5" s="1530"/>
      <c r="GU5" s="1530"/>
      <c r="GV5" s="1530"/>
      <c r="GW5" s="1530"/>
      <c r="GX5" s="1530"/>
      <c r="GY5" s="1530"/>
      <c r="GZ5" s="1530"/>
      <c r="HA5" s="1530"/>
      <c r="HB5" s="1530"/>
      <c r="HC5" s="1530"/>
      <c r="HD5" s="1530"/>
      <c r="HE5" s="1530"/>
      <c r="HF5" s="1530"/>
      <c r="HG5" s="1530"/>
      <c r="HH5" s="1530"/>
      <c r="HI5" s="1530"/>
      <c r="HJ5" s="1530"/>
      <c r="HK5" s="1530"/>
      <c r="HL5" s="1530"/>
      <c r="HM5" s="1530"/>
      <c r="HN5" s="1530"/>
      <c r="HO5" s="1530"/>
      <c r="HP5" s="1530"/>
      <c r="HQ5" s="1530"/>
      <c r="HR5" s="1530"/>
      <c r="HS5" s="1530"/>
      <c r="HT5" s="1530"/>
      <c r="HU5" s="1530"/>
      <c r="HV5" s="1530"/>
      <c r="HW5" s="1530"/>
      <c r="HX5" s="1530"/>
      <c r="HY5" s="1530"/>
      <c r="HZ5" s="1530"/>
      <c r="IA5" s="1530"/>
      <c r="IB5" s="1530"/>
      <c r="IC5" s="1530"/>
      <c r="ID5" s="1530"/>
      <c r="IE5" s="1530"/>
      <c r="IF5" s="1530"/>
      <c r="IG5" s="1530"/>
      <c r="IH5" s="1530"/>
      <c r="II5" s="1530"/>
      <c r="IJ5" s="1530"/>
      <c r="IK5" s="1530"/>
      <c r="IL5" s="1530"/>
      <c r="IM5" s="1530"/>
      <c r="IN5" s="1530"/>
      <c r="IO5" s="1530"/>
      <c r="IP5" s="1530"/>
      <c r="IQ5" s="1530"/>
      <c r="IR5" s="1530"/>
      <c r="IS5" s="1530"/>
      <c r="IT5" s="1530"/>
      <c r="IU5" s="1530"/>
      <c r="IV5" s="1530"/>
      <c r="IW5" s="1530"/>
      <c r="IX5" s="1530"/>
      <c r="IY5" s="1530"/>
      <c r="IZ5" s="1530"/>
      <c r="JA5" s="1530"/>
      <c r="JB5" s="1530"/>
      <c r="JC5" s="1530"/>
      <c r="JD5" s="1530"/>
      <c r="JE5" s="1530"/>
      <c r="JF5" s="1530"/>
      <c r="JG5" s="1530"/>
      <c r="JH5" s="1530"/>
      <c r="JI5" s="1530"/>
      <c r="JJ5" s="1530"/>
      <c r="JK5" s="1530"/>
      <c r="JL5" s="1530"/>
      <c r="JM5" s="1530"/>
      <c r="JN5" s="1530"/>
      <c r="JO5" s="1530"/>
      <c r="JP5" s="1530"/>
      <c r="JQ5" s="1530"/>
      <c r="JR5" s="1530"/>
      <c r="JS5" s="1530"/>
      <c r="JT5" s="1530"/>
      <c r="JU5" s="1530"/>
      <c r="JV5" s="1530"/>
      <c r="JW5" s="1530"/>
      <c r="JX5" s="1530"/>
      <c r="JY5" s="1530"/>
      <c r="JZ5" s="1530"/>
      <c r="KA5" s="1530"/>
      <c r="KB5" s="1530"/>
      <c r="KC5" s="1530"/>
      <c r="KD5" s="1530"/>
      <c r="KE5" s="1530"/>
      <c r="KF5" s="1530"/>
      <c r="KG5" s="1530"/>
      <c r="KH5" s="1530"/>
      <c r="KI5" s="1530"/>
      <c r="KJ5" s="1530"/>
      <c r="KK5" s="1530"/>
      <c r="KL5" s="1530"/>
      <c r="KM5" s="1530"/>
      <c r="KN5" s="1530"/>
      <c r="KO5" s="1530"/>
      <c r="KP5" s="1530"/>
      <c r="KQ5" s="1530"/>
      <c r="KR5" s="1530"/>
      <c r="KS5" s="1530"/>
      <c r="KT5" s="1530"/>
      <c r="KU5" s="1530"/>
      <c r="KV5" s="1530"/>
      <c r="KW5" s="1530"/>
      <c r="KX5" s="1530"/>
      <c r="KY5" s="1530"/>
      <c r="KZ5" s="1530"/>
      <c r="LA5" s="1530"/>
      <c r="LB5" s="1530"/>
      <c r="LC5" s="1530"/>
      <c r="LD5" s="1530"/>
      <c r="LE5" s="1530"/>
      <c r="LF5" s="1530"/>
      <c r="LG5" s="1530"/>
      <c r="LH5" s="1530"/>
    </row>
    <row r="6" spans="1:320" ht="14.45">
      <c r="A6" s="589" t="s">
        <v>17</v>
      </c>
      <c r="B6" s="2060"/>
      <c r="C6" s="2060"/>
      <c r="D6" s="2060" t="s">
        <v>135</v>
      </c>
      <c r="E6" s="2060"/>
      <c r="F6" s="954">
        <v>43147.702048611114</v>
      </c>
      <c r="G6" s="2060"/>
      <c r="H6" s="2060"/>
      <c r="I6" s="2060"/>
      <c r="J6" s="2060"/>
      <c r="K6" s="2060"/>
      <c r="L6" s="2060"/>
      <c r="M6" s="2060"/>
      <c r="N6" s="2060"/>
      <c r="O6" s="2060"/>
      <c r="P6" s="2060"/>
      <c r="Q6" s="2060"/>
      <c r="R6" s="2060"/>
      <c r="S6" s="1525"/>
      <c r="T6" s="1525"/>
      <c r="U6" s="1525"/>
      <c r="V6" s="1525"/>
      <c r="W6" s="1525"/>
      <c r="X6" s="1525"/>
      <c r="Y6" s="1530"/>
      <c r="Z6" s="1530"/>
      <c r="AA6" s="1530"/>
      <c r="AB6" s="1530"/>
      <c r="AC6" s="1530"/>
      <c r="AD6" s="1530"/>
      <c r="AE6" s="1530"/>
      <c r="AF6" s="1530"/>
      <c r="AG6" s="1530"/>
      <c r="AH6" s="333"/>
      <c r="AI6" s="333"/>
      <c r="AJ6" s="264" t="s">
        <v>136</v>
      </c>
      <c r="AK6" s="264" t="s">
        <v>137</v>
      </c>
      <c r="AL6" s="264" t="str">
        <f>IF(OR(_xll.ciqfunctions.udf.CIQ(AK6,"IQ_COMPANY_TICKER")=0,_xll.ciqfunctions.udf.CIQ(AK6,"IQ_COMPANY_TICKER")="(Invalid Identifier)"),AK6,_xll.ciqfunctions.udf.CIQ(AK6,"IQ_COMPANY_TICKER"))</f>
        <v>NYSE:BABA</v>
      </c>
      <c r="AM6" s="1530"/>
      <c r="AN6" s="1530"/>
      <c r="AO6" s="1530" t="s">
        <v>138</v>
      </c>
      <c r="AP6" s="89"/>
      <c r="AQ6" s="89"/>
      <c r="AR6" s="255"/>
      <c r="AS6" s="98" t="s">
        <v>139</v>
      </c>
      <c r="AT6" s="80" t="s">
        <v>140</v>
      </c>
      <c r="AU6" s="80" t="s">
        <v>140</v>
      </c>
      <c r="AV6" s="80" t="s">
        <v>141</v>
      </c>
      <c r="AW6" s="81" t="s">
        <v>142</v>
      </c>
      <c r="AX6" s="78" t="s">
        <v>143</v>
      </c>
      <c r="AY6" s="78" t="s">
        <v>131</v>
      </c>
      <c r="AZ6" s="78" t="s">
        <v>144</v>
      </c>
      <c r="BA6" s="267" t="s">
        <v>145</v>
      </c>
      <c r="BB6" s="78"/>
      <c r="BC6" s="1530"/>
      <c r="BD6" s="984">
        <v>2</v>
      </c>
      <c r="BE6" s="989" t="s">
        <v>146</v>
      </c>
      <c r="BF6" s="990" t="s">
        <v>146</v>
      </c>
      <c r="BG6" s="990" t="s">
        <v>146</v>
      </c>
      <c r="BH6" s="990" t="s">
        <v>146</v>
      </c>
      <c r="BI6" s="990" t="s">
        <v>146</v>
      </c>
      <c r="BJ6" s="991" t="s">
        <v>146</v>
      </c>
      <c r="BK6" s="990" t="s">
        <v>146</v>
      </c>
      <c r="BL6" s="990" t="s">
        <v>146</v>
      </c>
      <c r="BM6" s="992" t="s">
        <v>146</v>
      </c>
      <c r="BN6" s="1530"/>
      <c r="BO6" s="1530"/>
      <c r="BP6" s="1530"/>
      <c r="BQ6" s="1530"/>
      <c r="BR6" s="1530"/>
      <c r="BS6" s="1530"/>
      <c r="BT6" s="1530"/>
      <c r="BU6" s="1530"/>
      <c r="BV6" s="1530"/>
      <c r="BW6" s="1530"/>
      <c r="BX6" s="1530"/>
      <c r="BY6" s="1530"/>
      <c r="BZ6" s="1530"/>
      <c r="CA6" s="1530"/>
      <c r="CB6" s="1530"/>
      <c r="CC6" s="1530"/>
      <c r="CD6" s="1530"/>
      <c r="CE6" s="1530"/>
      <c r="CF6" s="1530"/>
      <c r="CG6" s="1530"/>
      <c r="CH6" s="1530"/>
      <c r="CI6" s="1530"/>
      <c r="CJ6" s="1530"/>
      <c r="CK6" s="1530"/>
      <c r="CL6" s="1530"/>
      <c r="CM6" s="1530"/>
      <c r="CN6" s="1530"/>
      <c r="CO6" s="1530"/>
      <c r="CP6" s="1530"/>
      <c r="CQ6" s="1530"/>
      <c r="CR6" s="1530"/>
      <c r="CS6" s="1530"/>
      <c r="CT6" s="1530"/>
      <c r="CU6" s="1530"/>
      <c r="CV6" s="1530"/>
      <c r="CW6" s="1530"/>
      <c r="CX6" s="1530"/>
      <c r="CY6" s="1530"/>
      <c r="CZ6" s="1530"/>
      <c r="DA6" s="1530"/>
      <c r="DB6" s="1530"/>
      <c r="DC6" s="1530"/>
      <c r="DD6" s="1530"/>
      <c r="DE6" s="1530"/>
      <c r="DF6" s="1530"/>
      <c r="DG6" s="1530"/>
      <c r="DH6" s="1530"/>
      <c r="DI6" s="1530"/>
      <c r="DJ6" s="1530"/>
      <c r="DK6" s="1530"/>
      <c r="DL6" s="1530"/>
      <c r="DM6" s="1530"/>
      <c r="DN6" s="1530"/>
      <c r="DO6" s="1530"/>
      <c r="DP6" s="1530"/>
      <c r="DQ6" s="1530"/>
      <c r="DR6" s="1530"/>
      <c r="DS6" s="1530"/>
      <c r="DT6" s="1530"/>
      <c r="DU6" s="1530"/>
      <c r="DV6" s="1530"/>
      <c r="DW6" s="1530"/>
      <c r="DX6" s="1530"/>
      <c r="DY6" s="1530"/>
      <c r="DZ6" s="1530"/>
      <c r="EA6" s="1530"/>
      <c r="EB6" s="1530"/>
      <c r="EC6" s="1530"/>
      <c r="ED6" s="1530"/>
      <c r="EE6" s="1530"/>
      <c r="EF6" s="1530"/>
      <c r="EG6" s="1530"/>
      <c r="EH6" s="1530"/>
      <c r="EI6" s="1530"/>
      <c r="EJ6" s="1530"/>
      <c r="EK6" s="1530"/>
      <c r="EL6" s="1530"/>
      <c r="EM6" s="1530"/>
      <c r="EN6" s="1530"/>
      <c r="EO6" s="1530"/>
      <c r="EP6" s="1530"/>
      <c r="EQ6" s="1530"/>
      <c r="ER6" s="1530"/>
      <c r="ES6" s="1530"/>
      <c r="ET6" s="1530"/>
      <c r="EU6" s="1530"/>
      <c r="EV6" s="1530"/>
      <c r="EW6" s="1530"/>
      <c r="EX6" s="1530"/>
      <c r="EY6" s="1530"/>
      <c r="EZ6" s="1530"/>
      <c r="FA6" s="1530"/>
      <c r="FB6" s="1530"/>
      <c r="FC6" s="1530"/>
      <c r="FD6" s="1530"/>
      <c r="FE6" s="1530"/>
      <c r="FF6" s="1530"/>
      <c r="FG6" s="1530"/>
      <c r="FH6" s="1530"/>
      <c r="FI6" s="1530"/>
      <c r="FJ6" s="1530"/>
      <c r="FK6" s="1530"/>
      <c r="FL6" s="1530"/>
      <c r="FM6" s="1530"/>
      <c r="FN6" s="1530"/>
      <c r="FO6" s="1530"/>
      <c r="FP6" s="1530"/>
      <c r="FQ6" s="1530"/>
      <c r="FR6" s="1530"/>
      <c r="FS6" s="1530"/>
      <c r="FT6" s="1530"/>
      <c r="FU6" s="1530"/>
      <c r="FV6" s="1530"/>
      <c r="FW6" s="1530"/>
      <c r="FX6" s="1530"/>
      <c r="FY6" s="1530"/>
      <c r="FZ6" s="1530"/>
      <c r="GA6" s="1530"/>
      <c r="GB6" s="1530"/>
      <c r="GC6" s="1530"/>
      <c r="GD6" s="1530"/>
      <c r="GE6" s="1530"/>
      <c r="GF6" s="1530"/>
      <c r="GG6" s="1530"/>
      <c r="GH6" s="1530"/>
      <c r="GI6" s="1530"/>
      <c r="GJ6" s="1530"/>
      <c r="GK6" s="1530"/>
      <c r="GL6" s="1530"/>
      <c r="GM6" s="1530"/>
      <c r="GN6" s="1530"/>
      <c r="GO6" s="1530"/>
      <c r="GP6" s="1530"/>
      <c r="GQ6" s="1530"/>
      <c r="GR6" s="1530"/>
      <c r="GS6" s="1530"/>
      <c r="GT6" s="1530"/>
      <c r="GU6" s="1530"/>
      <c r="GV6" s="1530"/>
      <c r="GW6" s="1530"/>
      <c r="GX6" s="1530"/>
      <c r="GY6" s="1530"/>
      <c r="GZ6" s="1530"/>
      <c r="HA6" s="1530"/>
      <c r="HB6" s="1530"/>
      <c r="HC6" s="1530"/>
      <c r="HD6" s="1530"/>
      <c r="HE6" s="1530"/>
      <c r="HF6" s="1530"/>
      <c r="HG6" s="1530"/>
      <c r="HH6" s="1530"/>
      <c r="HI6" s="1530"/>
      <c r="HJ6" s="1530"/>
      <c r="HK6" s="1530"/>
      <c r="HL6" s="1530"/>
      <c r="HM6" s="1530"/>
      <c r="HN6" s="1530"/>
      <c r="HO6" s="1530"/>
      <c r="HP6" s="1530"/>
      <c r="HQ6" s="1530"/>
      <c r="HR6" s="1530"/>
      <c r="HS6" s="1530"/>
      <c r="HT6" s="1530"/>
      <c r="HU6" s="1530"/>
      <c r="HV6" s="1530"/>
      <c r="HW6" s="1530"/>
      <c r="HX6" s="1530"/>
      <c r="HY6" s="1530"/>
      <c r="HZ6" s="1530"/>
      <c r="IA6" s="1530"/>
      <c r="IB6" s="1530"/>
      <c r="IC6" s="1530"/>
      <c r="ID6" s="1530"/>
      <c r="IE6" s="1530"/>
      <c r="IF6" s="1530"/>
      <c r="IG6" s="1530"/>
      <c r="IH6" s="1530"/>
      <c r="II6" s="1530"/>
      <c r="IJ6" s="1530"/>
      <c r="IK6" s="1530"/>
      <c r="IL6" s="1530"/>
      <c r="IM6" s="1530"/>
      <c r="IN6" s="1530"/>
      <c r="IO6" s="1530"/>
      <c r="IP6" s="1530"/>
      <c r="IQ6" s="1530"/>
      <c r="IR6" s="1530"/>
      <c r="IS6" s="1530"/>
      <c r="IT6" s="1530"/>
      <c r="IU6" s="1530"/>
      <c r="IV6" s="1530"/>
      <c r="IW6" s="1530"/>
      <c r="IX6" s="1530"/>
      <c r="IY6" s="1530"/>
      <c r="IZ6" s="1530"/>
      <c r="JA6" s="1530"/>
      <c r="JB6" s="1530"/>
      <c r="JC6" s="1530"/>
      <c r="JD6" s="1530"/>
      <c r="JE6" s="1530"/>
      <c r="JF6" s="1530"/>
      <c r="JG6" s="1530"/>
      <c r="JH6" s="1530"/>
      <c r="JI6" s="1530"/>
      <c r="JJ6" s="1530"/>
      <c r="JK6" s="1530"/>
      <c r="JL6" s="1530"/>
      <c r="JM6" s="1530"/>
      <c r="JN6" s="1530"/>
      <c r="JO6" s="1530"/>
      <c r="JP6" s="1530"/>
      <c r="JQ6" s="1530"/>
      <c r="JR6" s="1530"/>
      <c r="JS6" s="1530"/>
      <c r="JT6" s="1530"/>
      <c r="JU6" s="1530"/>
      <c r="JV6" s="1530"/>
      <c r="JW6" s="1530"/>
      <c r="JX6" s="1530"/>
      <c r="JY6" s="1530"/>
      <c r="JZ6" s="1530"/>
      <c r="KA6" s="1530"/>
      <c r="KB6" s="1530"/>
      <c r="KC6" s="1530"/>
      <c r="KD6" s="1530"/>
      <c r="KE6" s="1530"/>
      <c r="KF6" s="1530"/>
      <c r="KG6" s="1530"/>
      <c r="KH6" s="1530"/>
      <c r="KI6" s="1530"/>
      <c r="KJ6" s="1530"/>
      <c r="KK6" s="1530"/>
      <c r="KL6" s="1530"/>
      <c r="KM6" s="1530"/>
      <c r="KN6" s="1530"/>
      <c r="KO6" s="1530"/>
      <c r="KP6" s="1530"/>
      <c r="KQ6" s="1530"/>
      <c r="KR6" s="1530"/>
      <c r="KS6" s="1530"/>
      <c r="KT6" s="1530"/>
      <c r="KU6" s="1530"/>
      <c r="KV6" s="1530"/>
      <c r="KW6" s="1530"/>
      <c r="KX6" s="1530"/>
      <c r="KY6" s="1530"/>
      <c r="KZ6" s="1530"/>
      <c r="LA6" s="1530"/>
      <c r="LB6" s="1530"/>
      <c r="LC6" s="1530"/>
      <c r="LD6" s="1530"/>
      <c r="LE6" s="1530"/>
      <c r="LF6" s="1530"/>
      <c r="LG6" s="1530"/>
      <c r="LH6" s="1530"/>
    </row>
    <row r="7" spans="1:320" ht="14.45">
      <c r="A7" s="589"/>
      <c r="B7" s="2060"/>
      <c r="C7" s="2060"/>
      <c r="D7" s="1530" t="s">
        <v>147</v>
      </c>
      <c r="E7" s="1530"/>
      <c r="F7" s="1530"/>
      <c r="G7" s="2060"/>
      <c r="H7" s="2060"/>
      <c r="I7" s="2060"/>
      <c r="J7" s="2060"/>
      <c r="K7" s="2060"/>
      <c r="L7" s="2060"/>
      <c r="M7" s="2060"/>
      <c r="N7" s="2060"/>
      <c r="O7" s="2060"/>
      <c r="P7" s="2060"/>
      <c r="Q7" s="2060"/>
      <c r="R7" s="2060"/>
      <c r="S7" s="1530"/>
      <c r="T7" s="1530"/>
      <c r="U7" s="1530"/>
      <c r="V7" s="1530"/>
      <c r="W7" s="1525"/>
      <c r="X7" s="1525"/>
      <c r="Y7" s="1530"/>
      <c r="Z7" s="1530"/>
      <c r="AA7" s="1530"/>
      <c r="AB7" s="1530"/>
      <c r="AC7" s="1530"/>
      <c r="AD7" s="1530"/>
      <c r="AE7" s="1530"/>
      <c r="AF7" s="1530"/>
      <c r="AG7" s="1530"/>
      <c r="AH7" s="2073"/>
      <c r="AI7" s="2073"/>
      <c r="AJ7" s="264" t="s">
        <v>148</v>
      </c>
      <c r="AK7" s="264" t="s">
        <v>149</v>
      </c>
      <c r="AL7" s="264" t="str">
        <f>IF(OR(_xll.ciqfunctions.udf.CIQ(AK7,"IQ_COMPANY_TICKER")=0,_xll.ciqfunctions.udf.CIQ(AK7,"IQ_COMPANY_TICKER")="(Invalid Identifier)"),AK7,_xll.ciqfunctions.udf.CIQ(AK7,"IQ_COMPANY_TICKER"))</f>
        <v>IQ428457</v>
      </c>
      <c r="AM7" s="1530"/>
      <c r="AN7" s="1530"/>
      <c r="AO7" s="1530" t="s">
        <v>150</v>
      </c>
      <c r="AP7" s="89"/>
      <c r="AQ7" s="89"/>
      <c r="AR7" s="255"/>
      <c r="AS7" s="98" t="s">
        <v>151</v>
      </c>
      <c r="AT7" s="148"/>
      <c r="AU7" s="80" t="s">
        <v>151</v>
      </c>
      <c r="AV7" s="148" t="s">
        <v>152</v>
      </c>
      <c r="AW7" s="148" t="s">
        <v>153</v>
      </c>
      <c r="AX7" s="78" t="s">
        <v>49</v>
      </c>
      <c r="AY7" s="78" t="s">
        <v>131</v>
      </c>
      <c r="AZ7" s="78" t="s">
        <v>132</v>
      </c>
      <c r="BA7" s="1804" t="s">
        <v>154</v>
      </c>
      <c r="BB7" s="78" t="s">
        <v>49</v>
      </c>
      <c r="BC7" s="1530"/>
      <c r="BD7" s="984">
        <v>3</v>
      </c>
      <c r="BE7" s="989" t="s">
        <v>155</v>
      </c>
      <c r="BF7" s="990" t="s">
        <v>156</v>
      </c>
      <c r="BG7" s="990" t="s">
        <v>155</v>
      </c>
      <c r="BH7" s="990" t="s">
        <v>156</v>
      </c>
      <c r="BI7" s="990" t="s">
        <v>156</v>
      </c>
      <c r="BJ7" s="991" t="s">
        <v>157</v>
      </c>
      <c r="BK7" s="990" t="s">
        <v>158</v>
      </c>
      <c r="BL7" s="990" t="s">
        <v>158</v>
      </c>
      <c r="BM7" s="992" t="s">
        <v>156</v>
      </c>
      <c r="BN7" s="1530"/>
      <c r="BO7" s="1530"/>
      <c r="BP7" s="1530"/>
      <c r="BQ7" s="1530"/>
      <c r="BR7" s="1530"/>
      <c r="BS7" s="1530"/>
      <c r="BT7" s="1530"/>
      <c r="BU7" s="1530"/>
      <c r="BV7" s="1530"/>
      <c r="BW7" s="1530"/>
      <c r="BX7" s="1530"/>
      <c r="BY7" s="1530"/>
      <c r="BZ7" s="1530"/>
      <c r="CA7" s="1530"/>
      <c r="CB7" s="1530"/>
      <c r="CC7" s="1530"/>
      <c r="CD7" s="1530"/>
      <c r="CE7" s="1530"/>
      <c r="CF7" s="1530"/>
      <c r="CG7" s="1530"/>
      <c r="CH7" s="1530"/>
      <c r="CI7" s="1530"/>
      <c r="CJ7" s="1530"/>
      <c r="CK7" s="1530"/>
      <c r="CL7" s="1530"/>
      <c r="CM7" s="1530"/>
      <c r="CN7" s="1530"/>
      <c r="CO7" s="1530"/>
      <c r="CP7" s="1530"/>
      <c r="CQ7" s="1530"/>
      <c r="CR7" s="1530"/>
      <c r="CS7" s="1530"/>
      <c r="CT7" s="1530"/>
      <c r="CU7" s="1530"/>
      <c r="CV7" s="1530"/>
      <c r="CW7" s="1530"/>
      <c r="CX7" s="1530"/>
      <c r="CY7" s="1530"/>
      <c r="CZ7" s="1530"/>
      <c r="DA7" s="1530"/>
      <c r="DB7" s="1530"/>
      <c r="DC7" s="1530"/>
      <c r="DD7" s="1530"/>
      <c r="DE7" s="1530"/>
      <c r="DF7" s="1530"/>
      <c r="DG7" s="1530"/>
      <c r="DH7" s="1530"/>
      <c r="DI7" s="1530"/>
      <c r="DJ7" s="1530"/>
      <c r="DK7" s="1530"/>
      <c r="DL7" s="1530"/>
      <c r="DM7" s="1530"/>
      <c r="DN7" s="1530"/>
      <c r="DO7" s="1530"/>
      <c r="DP7" s="1530"/>
      <c r="DQ7" s="1530"/>
      <c r="DR7" s="1530"/>
      <c r="DS7" s="1530"/>
      <c r="DT7" s="1530"/>
      <c r="DU7" s="1530"/>
      <c r="DV7" s="1530"/>
      <c r="DW7" s="1530"/>
      <c r="DX7" s="1530"/>
      <c r="DY7" s="1530"/>
      <c r="DZ7" s="1530"/>
      <c r="EA7" s="1530"/>
      <c r="EB7" s="1530"/>
      <c r="EC7" s="1530"/>
      <c r="ED7" s="1530"/>
      <c r="EE7" s="1530"/>
      <c r="EF7" s="1530"/>
      <c r="EG7" s="1530"/>
      <c r="EH7" s="1530"/>
      <c r="EI7" s="1530"/>
      <c r="EJ7" s="1530"/>
      <c r="EK7" s="1530"/>
      <c r="EL7" s="1530"/>
      <c r="EM7" s="1530"/>
      <c r="EN7" s="1530"/>
      <c r="EO7" s="1530"/>
      <c r="EP7" s="1530"/>
      <c r="EQ7" s="1530"/>
      <c r="ER7" s="1530"/>
      <c r="ES7" s="1530"/>
      <c r="ET7" s="1530"/>
      <c r="EU7" s="1530"/>
      <c r="EV7" s="1530"/>
      <c r="EW7" s="1530"/>
      <c r="EX7" s="1530"/>
      <c r="EY7" s="1530"/>
      <c r="EZ7" s="1530"/>
      <c r="FA7" s="1530"/>
      <c r="FB7" s="1530"/>
      <c r="FC7" s="1530"/>
      <c r="FD7" s="1530"/>
      <c r="FE7" s="1530"/>
      <c r="FF7" s="1530"/>
      <c r="FG7" s="1530"/>
      <c r="FH7" s="1530"/>
      <c r="FI7" s="1530"/>
      <c r="FJ7" s="1530"/>
      <c r="FK7" s="1530"/>
      <c r="FL7" s="1530"/>
      <c r="FM7" s="1530"/>
      <c r="FN7" s="1530"/>
      <c r="FO7" s="1530"/>
      <c r="FP7" s="1530"/>
      <c r="FQ7" s="1530"/>
      <c r="FR7" s="1530"/>
      <c r="FS7" s="1530"/>
      <c r="FT7" s="1530"/>
      <c r="FU7" s="1530"/>
      <c r="FV7" s="1530"/>
      <c r="FW7" s="1530"/>
      <c r="FX7" s="1530"/>
      <c r="FY7" s="1530"/>
      <c r="FZ7" s="1530"/>
      <c r="GA7" s="1530"/>
      <c r="GB7" s="1530"/>
      <c r="GC7" s="1530"/>
      <c r="GD7" s="1530"/>
      <c r="GE7" s="1530"/>
      <c r="GF7" s="1530"/>
      <c r="GG7" s="1530"/>
      <c r="GH7" s="1530"/>
      <c r="GI7" s="1530"/>
      <c r="GJ7" s="1530"/>
      <c r="GK7" s="1530"/>
      <c r="GL7" s="1530"/>
      <c r="GM7" s="1530"/>
      <c r="GN7" s="1530"/>
      <c r="GO7" s="1530"/>
      <c r="GP7" s="1530"/>
      <c r="GQ7" s="1530"/>
      <c r="GR7" s="1530"/>
      <c r="GS7" s="1530"/>
      <c r="GT7" s="1530"/>
      <c r="GU7" s="1530"/>
      <c r="GV7" s="1530"/>
      <c r="GW7" s="1530"/>
      <c r="GX7" s="1530"/>
      <c r="GY7" s="1530"/>
      <c r="GZ7" s="1530"/>
      <c r="HA7" s="1530"/>
      <c r="HB7" s="1530"/>
      <c r="HC7" s="1530"/>
      <c r="HD7" s="1530"/>
      <c r="HE7" s="1530"/>
      <c r="HF7" s="1530"/>
      <c r="HG7" s="1530"/>
      <c r="HH7" s="1530"/>
      <c r="HI7" s="1530"/>
      <c r="HJ7" s="1530"/>
      <c r="HK7" s="1530"/>
      <c r="HL7" s="1530"/>
      <c r="HM7" s="1530"/>
      <c r="HN7" s="1530"/>
      <c r="HO7" s="1530"/>
      <c r="HP7" s="1530"/>
      <c r="HQ7" s="1530"/>
      <c r="HR7" s="1530"/>
      <c r="HS7" s="1530"/>
      <c r="HT7" s="1530"/>
      <c r="HU7" s="1530"/>
      <c r="HV7" s="1530"/>
      <c r="HW7" s="1530"/>
      <c r="HX7" s="1530"/>
      <c r="HY7" s="1530"/>
      <c r="HZ7" s="1530"/>
      <c r="IA7" s="1530"/>
      <c r="IB7" s="1530"/>
      <c r="IC7" s="1530"/>
      <c r="ID7" s="1530"/>
      <c r="IE7" s="1530"/>
      <c r="IF7" s="1530"/>
      <c r="IG7" s="1530"/>
      <c r="IH7" s="1530"/>
      <c r="II7" s="1530"/>
      <c r="IJ7" s="1530"/>
      <c r="IK7" s="1530"/>
      <c r="IL7" s="1530"/>
      <c r="IM7" s="1530"/>
      <c r="IN7" s="1530"/>
      <c r="IO7" s="1530"/>
      <c r="IP7" s="1530"/>
      <c r="IQ7" s="1530"/>
      <c r="IR7" s="1530"/>
      <c r="IS7" s="1530"/>
      <c r="IT7" s="1530"/>
      <c r="IU7" s="1530"/>
      <c r="IV7" s="1530"/>
      <c r="IW7" s="1530"/>
      <c r="IX7" s="1530"/>
      <c r="IY7" s="1530"/>
      <c r="IZ7" s="1530"/>
      <c r="JA7" s="1530"/>
      <c r="JB7" s="1530"/>
      <c r="JC7" s="1530"/>
      <c r="JD7" s="1530"/>
      <c r="JE7" s="1530"/>
      <c r="JF7" s="1530"/>
      <c r="JG7" s="1530"/>
      <c r="JH7" s="1530"/>
      <c r="JI7" s="1530"/>
      <c r="JJ7" s="1530"/>
      <c r="JK7" s="1530"/>
      <c r="JL7" s="1530"/>
      <c r="JM7" s="1530"/>
      <c r="JN7" s="1530"/>
      <c r="JO7" s="1530"/>
      <c r="JP7" s="1530"/>
      <c r="JQ7" s="1530"/>
      <c r="JR7" s="1530"/>
      <c r="JS7" s="1530"/>
      <c r="JT7" s="1530"/>
      <c r="JU7" s="1530"/>
      <c r="JV7" s="1530"/>
      <c r="JW7" s="1530"/>
      <c r="JX7" s="1530"/>
      <c r="JY7" s="1530"/>
      <c r="JZ7" s="1530"/>
      <c r="KA7" s="1530"/>
      <c r="KB7" s="1530"/>
      <c r="KC7" s="1530"/>
      <c r="KD7" s="1530"/>
      <c r="KE7" s="1530"/>
      <c r="KF7" s="1530"/>
      <c r="KG7" s="1530"/>
      <c r="KH7" s="1530"/>
      <c r="KI7" s="1530"/>
      <c r="KJ7" s="1530"/>
      <c r="KK7" s="1530"/>
      <c r="KL7" s="1530"/>
      <c r="KM7" s="1530"/>
      <c r="KN7" s="1530"/>
      <c r="KO7" s="1530"/>
      <c r="KP7" s="1530"/>
      <c r="KQ7" s="1530"/>
      <c r="KR7" s="1530"/>
      <c r="KS7" s="1530"/>
      <c r="KT7" s="1530"/>
      <c r="KU7" s="1530"/>
      <c r="KV7" s="1530"/>
      <c r="KW7" s="1530"/>
      <c r="KX7" s="1530"/>
      <c r="KY7" s="1530"/>
      <c r="KZ7" s="1530"/>
      <c r="LA7" s="1530"/>
      <c r="LB7" s="1530"/>
      <c r="LC7" s="1530"/>
      <c r="LD7" s="1530"/>
      <c r="LE7" s="1530"/>
      <c r="LF7" s="1530"/>
      <c r="LG7" s="1530"/>
      <c r="LH7" s="1530"/>
    </row>
    <row r="8" spans="1:320" ht="14.45">
      <c r="A8" s="589"/>
      <c r="B8" s="2060"/>
      <c r="C8" s="2060"/>
      <c r="D8" s="2060"/>
      <c r="E8" s="2060"/>
      <c r="F8" s="954"/>
      <c r="G8" s="2060"/>
      <c r="H8" s="2060"/>
      <c r="I8" s="2060"/>
      <c r="J8" s="2060"/>
      <c r="K8" s="2060"/>
      <c r="L8" s="2060"/>
      <c r="M8" s="2060"/>
      <c r="N8" s="2060"/>
      <c r="O8" s="2060"/>
      <c r="P8" s="2060"/>
      <c r="Q8" s="2060"/>
      <c r="R8" s="2060"/>
      <c r="S8" s="1530"/>
      <c r="T8" s="1530"/>
      <c r="U8" s="1530"/>
      <c r="V8" s="1530"/>
      <c r="W8" s="1525"/>
      <c r="X8" s="1525"/>
      <c r="Y8" s="1530"/>
      <c r="Z8" s="1530"/>
      <c r="AA8" s="1530"/>
      <c r="AB8" s="1530"/>
      <c r="AC8" s="1530"/>
      <c r="AD8" s="1530"/>
      <c r="AE8" s="1530"/>
      <c r="AF8" s="1530"/>
      <c r="AG8" s="1530"/>
      <c r="AH8" s="2073"/>
      <c r="AI8" s="2073"/>
      <c r="AJ8" s="264" t="s">
        <v>159</v>
      </c>
      <c r="AK8" s="264" t="s">
        <v>160</v>
      </c>
      <c r="AL8" s="264" t="str">
        <f>IF(OR(_xll.ciqfunctions.udf.CIQ(AK8,"IQ_COMPANY_TICKER")=0,_xll.ciqfunctions.udf.CIQ(AK8,"IQ_COMPANY_TICKER")="(Invalid Identifier)"),AK8,_xll.ciqfunctions.udf.CIQ(AK8,"IQ_COMPANY_TICKER"))</f>
        <v>IQ38707079</v>
      </c>
      <c r="AM8" s="1530"/>
      <c r="AN8" s="1530"/>
      <c r="AO8" s="1530" t="s">
        <v>161</v>
      </c>
      <c r="AP8" s="49"/>
      <c r="AQ8" s="49"/>
      <c r="AR8" s="255"/>
      <c r="AS8" s="98" t="s">
        <v>162</v>
      </c>
      <c r="AT8" s="80"/>
      <c r="AU8" s="80" t="s">
        <v>162</v>
      </c>
      <c r="AV8" s="80" t="s">
        <v>163</v>
      </c>
      <c r="AW8" s="81" t="s">
        <v>164</v>
      </c>
      <c r="AX8" s="78" t="s">
        <v>49</v>
      </c>
      <c r="AY8" s="78" t="s">
        <v>131</v>
      </c>
      <c r="AZ8" s="78" t="s">
        <v>132</v>
      </c>
      <c r="BA8" s="78" t="s">
        <v>144</v>
      </c>
      <c r="BB8" s="78" t="s">
        <v>143</v>
      </c>
      <c r="BC8" s="1530"/>
      <c r="BD8" s="984">
        <v>4</v>
      </c>
      <c r="BE8" s="989" t="s">
        <v>165</v>
      </c>
      <c r="BF8" s="990" t="s">
        <v>166</v>
      </c>
      <c r="BG8" s="990" t="s">
        <v>156</v>
      </c>
      <c r="BH8" s="990" t="s">
        <v>166</v>
      </c>
      <c r="BI8" s="990" t="s">
        <v>166</v>
      </c>
      <c r="BJ8" s="991" t="s">
        <v>167</v>
      </c>
      <c r="BK8" s="990" t="s">
        <v>168</v>
      </c>
      <c r="BL8" s="990" t="s">
        <v>168</v>
      </c>
      <c r="BM8" s="992" t="s">
        <v>166</v>
      </c>
      <c r="BN8" s="1530"/>
      <c r="BO8" s="1530"/>
      <c r="BP8" s="1530"/>
      <c r="BQ8" s="1530"/>
      <c r="BR8" s="1530"/>
      <c r="BS8" s="1530"/>
      <c r="BT8" s="1530"/>
      <c r="BU8" s="1530"/>
      <c r="BV8" s="1530"/>
      <c r="BW8" s="1530"/>
      <c r="BX8" s="1530"/>
      <c r="BY8" s="1530"/>
      <c r="BZ8" s="1530"/>
      <c r="CA8" s="1530"/>
      <c r="CB8" s="1530"/>
      <c r="CC8" s="1530"/>
      <c r="CD8" s="1530"/>
      <c r="CE8" s="1530"/>
      <c r="CF8" s="1530"/>
      <c r="CG8" s="1530"/>
      <c r="CH8" s="1530"/>
      <c r="CI8" s="1530"/>
      <c r="CJ8" s="1530"/>
      <c r="CK8" s="1530"/>
      <c r="CL8" s="1530"/>
      <c r="CM8" s="1530"/>
      <c r="CN8" s="1530"/>
      <c r="CO8" s="1530"/>
      <c r="CP8" s="1530"/>
      <c r="CQ8" s="1530"/>
      <c r="CR8" s="1530"/>
      <c r="CS8" s="1530"/>
      <c r="CT8" s="1530"/>
      <c r="CU8" s="1530"/>
      <c r="CV8" s="1530"/>
      <c r="CW8" s="1530"/>
      <c r="CX8" s="1530"/>
      <c r="CY8" s="1530"/>
      <c r="CZ8" s="1530"/>
      <c r="DA8" s="1530"/>
      <c r="DB8" s="1530"/>
      <c r="DC8" s="1530"/>
      <c r="DD8" s="1530"/>
      <c r="DE8" s="1530"/>
      <c r="DF8" s="1530"/>
      <c r="DG8" s="1530"/>
      <c r="DH8" s="1530"/>
      <c r="DI8" s="1530"/>
      <c r="DJ8" s="1530"/>
      <c r="DK8" s="1530"/>
      <c r="DL8" s="1530"/>
      <c r="DM8" s="1530"/>
      <c r="DN8" s="1530"/>
      <c r="DO8" s="1530"/>
      <c r="DP8" s="1530"/>
      <c r="DQ8" s="1530"/>
      <c r="DR8" s="1530"/>
      <c r="DS8" s="1530"/>
      <c r="DT8" s="1530"/>
      <c r="DU8" s="1530"/>
      <c r="DV8" s="1530"/>
      <c r="DW8" s="1530"/>
      <c r="DX8" s="1530"/>
      <c r="DY8" s="1530"/>
      <c r="DZ8" s="1530"/>
      <c r="EA8" s="1530"/>
      <c r="EB8" s="1530"/>
      <c r="EC8" s="1530"/>
      <c r="ED8" s="1530"/>
      <c r="EE8" s="1530"/>
      <c r="EF8" s="1530"/>
      <c r="EG8" s="1530"/>
      <c r="EH8" s="1530"/>
      <c r="EI8" s="1530"/>
      <c r="EJ8" s="1530"/>
      <c r="EK8" s="1530"/>
      <c r="EL8" s="1530"/>
      <c r="EM8" s="1530"/>
      <c r="EN8" s="1530"/>
      <c r="EO8" s="1530"/>
      <c r="EP8" s="1530"/>
      <c r="EQ8" s="1530"/>
      <c r="ER8" s="1530"/>
      <c r="ES8" s="1530"/>
      <c r="ET8" s="1530"/>
      <c r="EU8" s="1530"/>
      <c r="EV8" s="1530"/>
      <c r="EW8" s="1530"/>
      <c r="EX8" s="1530"/>
      <c r="EY8" s="1530"/>
      <c r="EZ8" s="1530"/>
      <c r="FA8" s="1530"/>
      <c r="FB8" s="1530"/>
      <c r="FC8" s="1530"/>
      <c r="FD8" s="1530"/>
      <c r="FE8" s="1530"/>
      <c r="FF8" s="1530"/>
      <c r="FG8" s="1530"/>
      <c r="FH8" s="1530"/>
      <c r="FI8" s="1530"/>
      <c r="FJ8" s="1530"/>
      <c r="FK8" s="1530"/>
      <c r="FL8" s="1530"/>
      <c r="FM8" s="1530"/>
      <c r="FN8" s="1530"/>
      <c r="FO8" s="1530"/>
      <c r="FP8" s="1530"/>
      <c r="FQ8" s="1530"/>
      <c r="FR8" s="1530"/>
      <c r="FS8" s="1530"/>
      <c r="FT8" s="1530"/>
      <c r="FU8" s="1530"/>
      <c r="FV8" s="1530"/>
      <c r="FW8" s="1530"/>
      <c r="FX8" s="1530"/>
      <c r="FY8" s="1530"/>
      <c r="FZ8" s="1530"/>
      <c r="GA8" s="1530"/>
      <c r="GB8" s="1530"/>
      <c r="GC8" s="1530"/>
      <c r="GD8" s="1530"/>
      <c r="GE8" s="1530"/>
      <c r="GF8" s="1530"/>
      <c r="GG8" s="1530"/>
      <c r="GH8" s="1530"/>
      <c r="GI8" s="1530"/>
      <c r="GJ8" s="1530"/>
      <c r="GK8" s="1530"/>
      <c r="GL8" s="1530"/>
      <c r="GM8" s="1530"/>
      <c r="GN8" s="1530"/>
      <c r="GO8" s="1530"/>
      <c r="GP8" s="1530"/>
      <c r="GQ8" s="1530"/>
      <c r="GR8" s="1530"/>
      <c r="GS8" s="1530"/>
      <c r="GT8" s="1530"/>
      <c r="GU8" s="1530"/>
      <c r="GV8" s="1530"/>
      <c r="GW8" s="1530"/>
      <c r="GX8" s="1530"/>
      <c r="GY8" s="1530"/>
      <c r="GZ8" s="1530"/>
      <c r="HA8" s="1530"/>
      <c r="HB8" s="1530"/>
      <c r="HC8" s="1530"/>
      <c r="HD8" s="1530"/>
      <c r="HE8" s="1530"/>
      <c r="HF8" s="1530"/>
      <c r="HG8" s="1530"/>
      <c r="HH8" s="1530"/>
      <c r="HI8" s="1530"/>
      <c r="HJ8" s="1530"/>
      <c r="HK8" s="1530"/>
      <c r="HL8" s="1530"/>
      <c r="HM8" s="1530"/>
      <c r="HN8" s="1530"/>
      <c r="HO8" s="1530"/>
      <c r="HP8" s="1530"/>
      <c r="HQ8" s="1530"/>
      <c r="HR8" s="1530"/>
      <c r="HS8" s="1530"/>
      <c r="HT8" s="1530"/>
      <c r="HU8" s="1530"/>
      <c r="HV8" s="1530"/>
      <c r="HW8" s="1530"/>
      <c r="HX8" s="1530"/>
      <c r="HY8" s="1530"/>
      <c r="HZ8" s="1530"/>
      <c r="IA8" s="1530"/>
      <c r="IB8" s="1530"/>
      <c r="IC8" s="1530"/>
      <c r="ID8" s="1530"/>
      <c r="IE8" s="1530"/>
      <c r="IF8" s="1530"/>
      <c r="IG8" s="1530"/>
      <c r="IH8" s="1530"/>
      <c r="II8" s="1530"/>
      <c r="IJ8" s="1530"/>
      <c r="IK8" s="1530"/>
      <c r="IL8" s="1530"/>
      <c r="IM8" s="1530"/>
      <c r="IN8" s="1530"/>
      <c r="IO8" s="1530"/>
      <c r="IP8" s="1530"/>
      <c r="IQ8" s="1530"/>
      <c r="IR8" s="1530"/>
      <c r="IS8" s="1530"/>
      <c r="IT8" s="1530"/>
      <c r="IU8" s="1530"/>
      <c r="IV8" s="1530"/>
      <c r="IW8" s="1530"/>
      <c r="IX8" s="1530"/>
      <c r="IY8" s="1530"/>
      <c r="IZ8" s="1530"/>
      <c r="JA8" s="1530"/>
      <c r="JB8" s="1530"/>
      <c r="JC8" s="1530"/>
      <c r="JD8" s="1530"/>
      <c r="JE8" s="1530"/>
      <c r="JF8" s="1530"/>
      <c r="JG8" s="1530"/>
      <c r="JH8" s="1530"/>
      <c r="JI8" s="1530"/>
      <c r="JJ8" s="1530"/>
      <c r="JK8" s="1530"/>
      <c r="JL8" s="1530"/>
      <c r="JM8" s="1530"/>
      <c r="JN8" s="1530"/>
      <c r="JO8" s="1530"/>
      <c r="JP8" s="1530"/>
      <c r="JQ8" s="1530"/>
      <c r="JR8" s="1530"/>
      <c r="JS8" s="1530"/>
      <c r="JT8" s="1530"/>
      <c r="JU8" s="1530"/>
      <c r="JV8" s="1530"/>
      <c r="JW8" s="1530"/>
      <c r="JX8" s="1530"/>
      <c r="JY8" s="1530"/>
      <c r="JZ8" s="1530"/>
      <c r="KA8" s="1530"/>
      <c r="KB8" s="1530"/>
      <c r="KC8" s="1530"/>
      <c r="KD8" s="1530"/>
      <c r="KE8" s="1530"/>
      <c r="KF8" s="1530"/>
      <c r="KG8" s="1530"/>
      <c r="KH8" s="1530"/>
      <c r="KI8" s="1530"/>
      <c r="KJ8" s="1530"/>
      <c r="KK8" s="1530"/>
      <c r="KL8" s="1530"/>
      <c r="KM8" s="1530"/>
      <c r="KN8" s="1530"/>
      <c r="KO8" s="1530"/>
      <c r="KP8" s="1530"/>
      <c r="KQ8" s="1530"/>
      <c r="KR8" s="1530"/>
      <c r="KS8" s="1530"/>
      <c r="KT8" s="1530"/>
      <c r="KU8" s="1530"/>
      <c r="KV8" s="1530"/>
      <c r="KW8" s="1530"/>
      <c r="KX8" s="1530"/>
      <c r="KY8" s="1530"/>
      <c r="KZ8" s="1530"/>
      <c r="LA8" s="1530"/>
      <c r="LB8" s="1530"/>
      <c r="LC8" s="1530"/>
      <c r="LD8" s="1530"/>
      <c r="LE8" s="1530"/>
      <c r="LF8" s="1530"/>
      <c r="LG8" s="1530"/>
      <c r="LH8" s="1530"/>
    </row>
    <row r="9" spans="1:320" customFormat="1" ht="18">
      <c r="A9" s="269"/>
      <c r="B9" s="269"/>
      <c r="C9" s="1430">
        <f ca="1">MAX(OFFSET(C9,-1,0,-ROW(C9)+1,1))+1</f>
        <v>1</v>
      </c>
      <c r="D9" s="1429" t="s">
        <v>169</v>
      </c>
      <c r="E9" s="825"/>
      <c r="F9" s="826"/>
      <c r="G9" s="827"/>
      <c r="H9" s="1032"/>
      <c r="I9" s="1032"/>
      <c r="J9" s="1032"/>
      <c r="K9" s="1032"/>
      <c r="L9" s="1032"/>
      <c r="M9" s="1032"/>
      <c r="N9" s="1032"/>
      <c r="O9" s="1032"/>
      <c r="P9" s="1032"/>
      <c r="Q9" s="43"/>
      <c r="R9" s="43"/>
      <c r="S9" s="43"/>
      <c r="T9" s="2060"/>
      <c r="U9" s="2060"/>
      <c r="V9" s="2060"/>
      <c r="W9" s="2060"/>
      <c r="X9" s="2060"/>
      <c r="Y9" s="2060"/>
      <c r="Z9" s="2060"/>
      <c r="AA9" s="2060"/>
      <c r="AB9" s="2060"/>
      <c r="AC9" s="2060"/>
      <c r="AD9" s="2060"/>
      <c r="AE9" s="2060"/>
      <c r="AF9" s="2060"/>
      <c r="AG9" s="2060"/>
      <c r="AH9" s="2060"/>
      <c r="AI9" s="2060"/>
      <c r="AJ9" s="264" t="s">
        <v>170</v>
      </c>
      <c r="AK9" s="264" t="s">
        <v>171</v>
      </c>
      <c r="AL9" s="264" t="str">
        <f>IF(OR(_xll.ciqfunctions.udf.CIQ(AK9,"IQ_COMPANY_TICKER")=0,_xll.ciqfunctions.udf.CIQ(AK9,"IQ_COMPANY_TICKER")="(Invalid Identifier)"),AK9,_xll.ciqfunctions.udf.CIQ(AK9,"IQ_COMPANY_TICKER"))</f>
        <v>SEHK:1060</v>
      </c>
      <c r="AM9" s="2060"/>
      <c r="AN9" s="2060"/>
      <c r="AO9" s="2060" t="s">
        <v>172</v>
      </c>
      <c r="AP9" s="92"/>
      <c r="AQ9" s="92"/>
      <c r="AR9" s="255"/>
      <c r="AS9" s="98"/>
      <c r="AT9" s="80"/>
      <c r="AU9" s="80"/>
      <c r="AV9" s="80" t="s">
        <v>173</v>
      </c>
      <c r="AW9" s="81"/>
      <c r="AX9" s="78"/>
      <c r="AY9" s="78"/>
      <c r="AZ9" s="78"/>
      <c r="BA9" s="78" t="s">
        <v>174</v>
      </c>
      <c r="BB9" s="78" t="s">
        <v>175</v>
      </c>
      <c r="BC9" s="2060"/>
      <c r="BD9" s="984">
        <v>5</v>
      </c>
      <c r="BE9" s="989" t="s">
        <v>133</v>
      </c>
      <c r="BF9" s="990" t="s">
        <v>167</v>
      </c>
      <c r="BG9" s="990" t="s">
        <v>166</v>
      </c>
      <c r="BH9" s="990" t="s">
        <v>157</v>
      </c>
      <c r="BI9" s="990" t="s">
        <v>176</v>
      </c>
      <c r="BJ9" s="991" t="s">
        <v>177</v>
      </c>
      <c r="BK9" s="990" t="s">
        <v>157</v>
      </c>
      <c r="BL9" s="990" t="s">
        <v>178</v>
      </c>
      <c r="BM9" s="992" t="s">
        <v>167</v>
      </c>
      <c r="BN9" s="2060"/>
      <c r="BO9" s="2060"/>
      <c r="BP9" s="1530"/>
      <c r="BQ9" s="1530"/>
      <c r="BR9" s="1530"/>
      <c r="BS9" s="1530"/>
      <c r="BT9" s="1530"/>
      <c r="BU9" s="1530"/>
      <c r="BV9" s="1530"/>
      <c r="BW9" s="1530"/>
      <c r="BX9" s="1530"/>
      <c r="BY9" s="1530"/>
      <c r="BZ9" s="1530"/>
      <c r="CA9" s="1530"/>
      <c r="CB9" s="1530"/>
      <c r="CC9" s="1530"/>
      <c r="CD9" s="1530"/>
      <c r="CE9" s="1530"/>
      <c r="CF9" s="1530"/>
      <c r="CG9" s="1530"/>
      <c r="CH9" s="1530"/>
      <c r="CI9" s="1530"/>
      <c r="CJ9" s="1530"/>
      <c r="CK9" s="1530"/>
      <c r="CL9" s="1530"/>
      <c r="CM9" s="1530"/>
      <c r="CN9" s="1530"/>
      <c r="CO9" s="1530"/>
      <c r="CP9" s="1530"/>
      <c r="CQ9" s="1530"/>
      <c r="CR9" s="1530"/>
      <c r="CS9" s="1530"/>
      <c r="CT9" s="1530"/>
      <c r="CU9" s="1530"/>
      <c r="CV9" s="1530"/>
      <c r="CW9" s="1530"/>
      <c r="CX9" s="1530"/>
      <c r="CY9" s="1530"/>
      <c r="CZ9" s="1530"/>
      <c r="DA9" s="1530"/>
      <c r="DB9" s="1530"/>
      <c r="DC9" s="1530"/>
      <c r="DD9" s="1530"/>
      <c r="DE9" s="1530"/>
      <c r="DF9" s="1530"/>
      <c r="DG9" s="1530"/>
      <c r="DH9" s="1530"/>
      <c r="DI9" s="1530"/>
      <c r="DJ9" s="1530"/>
      <c r="DK9" s="1530"/>
      <c r="DL9" s="1530"/>
      <c r="DM9" s="1530"/>
      <c r="DN9" s="1530"/>
      <c r="DO9" s="1530"/>
      <c r="DP9" s="1530"/>
      <c r="DQ9" s="1530"/>
      <c r="DR9" s="1530"/>
      <c r="DS9" s="1530"/>
      <c r="DT9" s="1530"/>
      <c r="DU9" s="1530"/>
      <c r="DV9" s="1530"/>
      <c r="DW9" s="1530"/>
      <c r="DX9" s="1530"/>
      <c r="DY9" s="1530"/>
      <c r="DZ9" s="1530"/>
      <c r="EA9" s="1530"/>
      <c r="EB9" s="1530"/>
      <c r="EC9" s="1530"/>
      <c r="ED9" s="1530"/>
      <c r="EE9" s="1530"/>
      <c r="EF9" s="1530"/>
      <c r="EG9" s="1530"/>
      <c r="EH9" s="1530"/>
      <c r="EI9" s="1530"/>
      <c r="EJ9" s="1530"/>
      <c r="EK9" s="1530"/>
      <c r="EL9" s="1530"/>
      <c r="EM9" s="1530"/>
      <c r="EN9" s="1530"/>
      <c r="EO9" s="1530"/>
      <c r="EP9" s="1530"/>
      <c r="EQ9" s="1530"/>
      <c r="ER9" s="1530"/>
      <c r="ES9" s="1530"/>
      <c r="ET9" s="1530"/>
      <c r="EU9" s="1530"/>
      <c r="EV9" s="1530"/>
      <c r="EW9" s="1530"/>
      <c r="EX9" s="1530"/>
      <c r="EY9" s="1530"/>
      <c r="EZ9" s="1530"/>
      <c r="FA9" s="1530"/>
      <c r="FB9" s="1530"/>
      <c r="FC9" s="1530"/>
      <c r="FD9" s="1530"/>
      <c r="FE9" s="1530"/>
      <c r="FF9" s="1530"/>
      <c r="FG9" s="1530"/>
      <c r="FH9" s="1530"/>
      <c r="FI9" s="1530"/>
      <c r="FJ9" s="1530"/>
      <c r="FK9" s="1530"/>
      <c r="FL9" s="1530"/>
      <c r="FM9" s="1530"/>
      <c r="FN9" s="1530"/>
      <c r="FO9" s="1530"/>
      <c r="FP9" s="1530"/>
      <c r="FQ9" s="1530"/>
      <c r="FR9" s="1530"/>
      <c r="FS9" s="1530"/>
      <c r="FT9" s="1530"/>
      <c r="FU9" s="1530"/>
      <c r="FV9" s="1530"/>
      <c r="FW9" s="1530"/>
      <c r="FX9" s="1530"/>
      <c r="FY9" s="1530"/>
      <c r="FZ9" s="1530"/>
      <c r="GA9" s="1530"/>
      <c r="GB9" s="1530"/>
      <c r="GC9" s="1530"/>
      <c r="GD9" s="1530"/>
      <c r="GE9" s="1530"/>
      <c r="GF9" s="1530"/>
      <c r="GG9" s="1530"/>
      <c r="GH9" s="1530"/>
      <c r="GI9" s="1530"/>
      <c r="GJ9" s="1530"/>
      <c r="GK9" s="1530"/>
      <c r="GL9" s="1530"/>
      <c r="GM9" s="1530"/>
      <c r="GN9" s="1530"/>
      <c r="GO9" s="1530"/>
      <c r="GP9" s="1530"/>
      <c r="GQ9" s="1530"/>
      <c r="GR9" s="1530"/>
      <c r="GS9" s="1530"/>
      <c r="GT9" s="1530"/>
      <c r="GU9" s="1530"/>
      <c r="GV9" s="1530"/>
      <c r="GW9" s="1530"/>
      <c r="GX9" s="1530"/>
      <c r="GY9" s="1530"/>
      <c r="GZ9" s="1530"/>
      <c r="HA9" s="1530"/>
      <c r="HB9" s="1530"/>
      <c r="HC9" s="1530"/>
      <c r="HD9" s="1530"/>
      <c r="HE9" s="1530"/>
      <c r="HF9" s="1530"/>
      <c r="HG9" s="1530"/>
      <c r="HH9" s="1530"/>
      <c r="HI9" s="1530"/>
      <c r="HJ9" s="1530"/>
      <c r="HK9" s="1530"/>
      <c r="HL9" s="1530"/>
      <c r="HM9" s="1530"/>
      <c r="HN9" s="1530"/>
      <c r="HO9" s="1530"/>
      <c r="HP9" s="1530"/>
      <c r="HQ9" s="1530"/>
      <c r="HR9" s="1530"/>
      <c r="HS9" s="1530"/>
      <c r="HT9" s="1530"/>
      <c r="HU9" s="1530"/>
      <c r="HV9" s="1530"/>
      <c r="HW9" s="1530"/>
      <c r="HX9" s="1530"/>
      <c r="HY9" s="1530"/>
      <c r="HZ9" s="1530"/>
      <c r="IA9" s="1530"/>
      <c r="IB9" s="1530"/>
      <c r="IC9" s="1530"/>
      <c r="ID9" s="1530"/>
      <c r="IE9" s="1530"/>
      <c r="IF9" s="1530"/>
      <c r="IG9" s="1530"/>
      <c r="IH9" s="1530"/>
      <c r="II9" s="1530"/>
      <c r="IJ9" s="1530"/>
      <c r="IK9" s="1530"/>
      <c r="IL9" s="1530"/>
      <c r="IM9" s="1530"/>
      <c r="IN9" s="1530"/>
      <c r="IO9" s="1530"/>
      <c r="IP9" s="1530"/>
      <c r="IQ9" s="1530"/>
      <c r="IR9" s="1530"/>
      <c r="IS9" s="1530"/>
      <c r="IT9" s="1530"/>
      <c r="IU9" s="1530"/>
      <c r="IV9" s="1530"/>
      <c r="IW9" s="1530"/>
      <c r="IX9" s="1530"/>
      <c r="IY9" s="1530"/>
      <c r="IZ9" s="1530"/>
      <c r="JA9" s="1530"/>
      <c r="JB9" s="1530"/>
      <c r="JC9" s="1530"/>
      <c r="JD9" s="1530"/>
      <c r="JE9" s="1530"/>
      <c r="JF9" s="1530"/>
      <c r="JG9" s="1530"/>
      <c r="JH9" s="1530"/>
      <c r="JI9" s="1530"/>
      <c r="JJ9" s="1530"/>
      <c r="JK9" s="1530"/>
      <c r="JL9" s="1530"/>
      <c r="JM9" s="1530"/>
      <c r="JN9" s="1530"/>
      <c r="JO9" s="1530"/>
      <c r="JP9" s="1530"/>
      <c r="JQ9" s="1530"/>
      <c r="JR9" s="1530"/>
      <c r="JS9" s="1530"/>
      <c r="JT9" s="1530"/>
      <c r="JU9" s="1530"/>
      <c r="JV9" s="1530"/>
      <c r="JW9" s="1530"/>
      <c r="JX9" s="1530"/>
      <c r="JY9" s="1530"/>
      <c r="JZ9" s="1530"/>
      <c r="KA9" s="1530"/>
      <c r="KB9" s="1530"/>
      <c r="KC9" s="1530"/>
      <c r="KD9" s="1530"/>
      <c r="KE9" s="1530"/>
      <c r="KF9" s="1530"/>
      <c r="KG9" s="1530"/>
      <c r="KH9" s="1530"/>
      <c r="KI9" s="1530"/>
      <c r="KJ9" s="1530"/>
      <c r="KK9" s="1530"/>
      <c r="KL9" s="1530"/>
      <c r="KM9" s="1530"/>
      <c r="KN9" s="1530"/>
      <c r="KO9" s="1530"/>
      <c r="KP9" s="1530"/>
      <c r="KQ9" s="1530"/>
      <c r="KR9" s="1530"/>
      <c r="KS9" s="1530"/>
      <c r="KT9" s="1530"/>
      <c r="KU9" s="1530"/>
      <c r="KV9" s="1530"/>
      <c r="KW9" s="1530"/>
      <c r="KX9" s="1530"/>
      <c r="KY9" s="1530"/>
      <c r="KZ9" s="1530"/>
      <c r="LA9" s="1530"/>
      <c r="LB9" s="1530"/>
      <c r="LC9" s="1530"/>
      <c r="LD9" s="1530"/>
      <c r="LE9" s="1530"/>
      <c r="LF9" s="1530"/>
      <c r="LG9" s="1530"/>
      <c r="LH9" s="1530"/>
    </row>
    <row r="10" spans="1:320" customFormat="1" ht="14.45">
      <c r="A10" s="269"/>
      <c r="B10" s="269"/>
      <c r="C10" s="2060"/>
      <c r="D10" s="2060"/>
      <c r="E10" s="1505"/>
      <c r="F10" s="2060"/>
      <c r="G10" s="1530"/>
      <c r="H10" s="2060"/>
      <c r="I10" s="2060"/>
      <c r="J10" s="2060"/>
      <c r="K10" s="1530"/>
      <c r="L10" s="1530"/>
      <c r="M10" s="1530"/>
      <c r="N10" s="1530"/>
      <c r="O10" s="1530"/>
      <c r="P10" s="1530"/>
      <c r="Q10" s="1530"/>
      <c r="R10" s="1530"/>
      <c r="S10" s="1530"/>
      <c r="T10" s="1530"/>
      <c r="U10" s="2060"/>
      <c r="V10" s="2060"/>
      <c r="W10" s="2060"/>
      <c r="X10" s="2060"/>
      <c r="Y10" s="2060"/>
      <c r="Z10" s="2060"/>
      <c r="AA10" s="2060"/>
      <c r="AB10" s="2060"/>
      <c r="AC10" s="2060"/>
      <c r="AD10" s="2060"/>
      <c r="AE10" s="2060"/>
      <c r="AF10" s="2060"/>
      <c r="AG10" s="2060"/>
      <c r="AH10" s="263"/>
      <c r="AI10" s="263"/>
      <c r="AJ10" s="264" t="s">
        <v>179</v>
      </c>
      <c r="AK10" s="264" t="s">
        <v>180</v>
      </c>
      <c r="AL10" s="264" t="str">
        <f>IF(OR(_xll.ciqfunctions.udf.CIQ(AK10,"IQ_COMPANY_TICKER")=0,_xll.ciqfunctions.udf.CIQ(AK10,"IQ_COMPANY_TICKER")="(Invalid Identifier)"),AK10,_xll.ciqfunctions.udf.CIQ(AK10,"IQ_COMPANY_TICKER"))</f>
        <v>SEHK:241</v>
      </c>
      <c r="AM10" s="2060"/>
      <c r="AN10" s="2060"/>
      <c r="AO10" s="2060" t="s">
        <v>181</v>
      </c>
      <c r="AP10" s="89"/>
      <c r="AQ10" s="89"/>
      <c r="AR10" s="255"/>
      <c r="AS10" s="98" t="s">
        <v>127</v>
      </c>
      <c r="AT10" s="80" t="s">
        <v>128</v>
      </c>
      <c r="AU10" s="80" t="s">
        <v>128</v>
      </c>
      <c r="AV10" s="80" t="s">
        <v>182</v>
      </c>
      <c r="AW10" s="81" t="s">
        <v>183</v>
      </c>
      <c r="AX10" s="78" t="s">
        <v>49</v>
      </c>
      <c r="AY10" s="78" t="s">
        <v>131</v>
      </c>
      <c r="AZ10" s="78" t="s">
        <v>132</v>
      </c>
      <c r="BA10" s="78" t="s">
        <v>184</v>
      </c>
      <c r="BB10" s="78" t="s">
        <v>185</v>
      </c>
      <c r="BC10" s="2060"/>
      <c r="BD10" s="984">
        <v>6</v>
      </c>
      <c r="BE10" s="989" t="s">
        <v>186</v>
      </c>
      <c r="BF10" s="990" t="s">
        <v>177</v>
      </c>
      <c r="BG10" s="990" t="s">
        <v>157</v>
      </c>
      <c r="BH10" s="990" t="s">
        <v>157</v>
      </c>
      <c r="BI10" s="990" t="s">
        <v>157</v>
      </c>
      <c r="BJ10" s="991" t="s">
        <v>157</v>
      </c>
      <c r="BK10" s="990" t="s">
        <v>157</v>
      </c>
      <c r="BL10" s="990" t="s">
        <v>157</v>
      </c>
      <c r="BM10" s="992" t="s">
        <v>177</v>
      </c>
      <c r="BN10" s="2060"/>
      <c r="BO10" s="2060"/>
      <c r="BP10" s="1530"/>
      <c r="BQ10" s="1530"/>
      <c r="BR10" s="1530"/>
      <c r="BS10" s="1530"/>
      <c r="BT10" s="1530"/>
      <c r="BU10" s="1530"/>
      <c r="BV10" s="1530"/>
      <c r="BW10" s="1530"/>
      <c r="BX10" s="1530"/>
      <c r="BY10" s="1530"/>
      <c r="BZ10" s="1530"/>
      <c r="CA10" s="1530"/>
      <c r="CB10" s="1530"/>
      <c r="CC10" s="1530"/>
      <c r="CD10" s="1530"/>
      <c r="CE10" s="1530"/>
      <c r="CF10" s="1530"/>
      <c r="CG10" s="1530"/>
      <c r="CH10" s="1530"/>
      <c r="CI10" s="1530"/>
      <c r="CJ10" s="1530"/>
      <c r="CK10" s="1530"/>
      <c r="CL10" s="1530"/>
      <c r="CM10" s="1530"/>
      <c r="CN10" s="1530"/>
      <c r="CO10" s="1530"/>
      <c r="CP10" s="1530"/>
      <c r="CQ10" s="1530"/>
      <c r="CR10" s="1530"/>
      <c r="CS10" s="1530"/>
      <c r="CT10" s="1530"/>
      <c r="CU10" s="1530"/>
      <c r="CV10" s="1530"/>
      <c r="CW10" s="1530"/>
      <c r="CX10" s="1530"/>
      <c r="CY10" s="1530"/>
      <c r="CZ10" s="1530"/>
      <c r="DA10" s="1530"/>
      <c r="DB10" s="1530"/>
      <c r="DC10" s="1530"/>
      <c r="DD10" s="1530"/>
      <c r="DE10" s="1530"/>
      <c r="DF10" s="1530"/>
      <c r="DG10" s="1530"/>
      <c r="DH10" s="1530"/>
      <c r="DI10" s="1530"/>
      <c r="DJ10" s="1530"/>
      <c r="DK10" s="1530"/>
      <c r="DL10" s="1530"/>
      <c r="DM10" s="1530"/>
      <c r="DN10" s="1530"/>
      <c r="DO10" s="1530"/>
      <c r="DP10" s="1530"/>
      <c r="DQ10" s="1530"/>
      <c r="DR10" s="1530"/>
      <c r="DS10" s="1530"/>
      <c r="DT10" s="1530"/>
      <c r="DU10" s="1530"/>
      <c r="DV10" s="1530"/>
      <c r="DW10" s="1530"/>
      <c r="DX10" s="1530"/>
      <c r="DY10" s="1530"/>
      <c r="DZ10" s="1530"/>
      <c r="EA10" s="1530"/>
      <c r="EB10" s="1530"/>
      <c r="EC10" s="1530"/>
      <c r="ED10" s="1530"/>
      <c r="EE10" s="1530"/>
      <c r="EF10" s="1530"/>
      <c r="EG10" s="1530"/>
      <c r="EH10" s="1530"/>
      <c r="EI10" s="1530"/>
      <c r="EJ10" s="1530"/>
      <c r="EK10" s="1530"/>
      <c r="EL10" s="1530"/>
      <c r="EM10" s="1530"/>
      <c r="EN10" s="1530"/>
      <c r="EO10" s="1530"/>
      <c r="EP10" s="1530"/>
      <c r="EQ10" s="1530"/>
      <c r="ER10" s="1530"/>
      <c r="ES10" s="1530"/>
      <c r="ET10" s="1530"/>
      <c r="EU10" s="1530"/>
      <c r="EV10" s="1530"/>
      <c r="EW10" s="1530"/>
      <c r="EX10" s="1530"/>
      <c r="EY10" s="1530"/>
      <c r="EZ10" s="1530"/>
      <c r="FA10" s="1530"/>
      <c r="FB10" s="1530"/>
      <c r="FC10" s="1530"/>
      <c r="FD10" s="1530"/>
      <c r="FE10" s="1530"/>
      <c r="FF10" s="1530"/>
      <c r="FG10" s="1530"/>
      <c r="FH10" s="1530"/>
      <c r="FI10" s="1530"/>
      <c r="FJ10" s="1530"/>
      <c r="FK10" s="1530"/>
      <c r="FL10" s="1530"/>
      <c r="FM10" s="1530"/>
      <c r="FN10" s="1530"/>
      <c r="FO10" s="1530"/>
      <c r="FP10" s="1530"/>
      <c r="FQ10" s="1530"/>
      <c r="FR10" s="1530"/>
      <c r="FS10" s="1530"/>
      <c r="FT10" s="1530"/>
      <c r="FU10" s="1530"/>
      <c r="FV10" s="1530"/>
      <c r="FW10" s="1530"/>
      <c r="FX10" s="1530"/>
      <c r="FY10" s="1530"/>
      <c r="FZ10" s="1530"/>
      <c r="GA10" s="1530"/>
      <c r="GB10" s="1530"/>
      <c r="GC10" s="1530"/>
      <c r="GD10" s="1530"/>
      <c r="GE10" s="1530"/>
      <c r="GF10" s="1530"/>
      <c r="GG10" s="1530"/>
      <c r="GH10" s="1530"/>
      <c r="GI10" s="1530"/>
      <c r="GJ10" s="1530"/>
      <c r="GK10" s="1530"/>
      <c r="GL10" s="1530"/>
      <c r="GM10" s="1530"/>
      <c r="GN10" s="1530"/>
      <c r="GO10" s="1530"/>
      <c r="GP10" s="1530"/>
      <c r="GQ10" s="1530"/>
      <c r="GR10" s="1530"/>
      <c r="GS10" s="1530"/>
      <c r="GT10" s="1530"/>
      <c r="GU10" s="1530"/>
      <c r="GV10" s="1530"/>
      <c r="GW10" s="1530"/>
      <c r="GX10" s="1530"/>
      <c r="GY10" s="1530"/>
      <c r="GZ10" s="1530"/>
      <c r="HA10" s="1530"/>
      <c r="HB10" s="1530"/>
      <c r="HC10" s="1530"/>
      <c r="HD10" s="1530"/>
      <c r="HE10" s="1530"/>
      <c r="HF10" s="1530"/>
      <c r="HG10" s="1530"/>
      <c r="HH10" s="1530"/>
      <c r="HI10" s="1530"/>
      <c r="HJ10" s="1530"/>
      <c r="HK10" s="1530"/>
      <c r="HL10" s="1530"/>
      <c r="HM10" s="1530"/>
      <c r="HN10" s="1530"/>
      <c r="HO10" s="1530"/>
      <c r="HP10" s="1530"/>
      <c r="HQ10" s="1530"/>
      <c r="HR10" s="1530"/>
      <c r="HS10" s="1530"/>
      <c r="HT10" s="1530"/>
      <c r="HU10" s="1530"/>
      <c r="HV10" s="1530"/>
      <c r="HW10" s="1530"/>
      <c r="HX10" s="1530"/>
      <c r="HY10" s="1530"/>
      <c r="HZ10" s="1530"/>
      <c r="IA10" s="1530"/>
      <c r="IB10" s="1530"/>
      <c r="IC10" s="1530"/>
      <c r="ID10" s="1530"/>
      <c r="IE10" s="1530"/>
      <c r="IF10" s="1530"/>
      <c r="IG10" s="1530"/>
      <c r="IH10" s="1530"/>
      <c r="II10" s="1530"/>
      <c r="IJ10" s="1530"/>
      <c r="IK10" s="1530"/>
      <c r="IL10" s="1530"/>
      <c r="IM10" s="1530"/>
      <c r="IN10" s="1530"/>
      <c r="IO10" s="1530"/>
      <c r="IP10" s="1530"/>
      <c r="IQ10" s="1530"/>
      <c r="IR10" s="1530"/>
      <c r="IS10" s="1530"/>
      <c r="IT10" s="1530"/>
      <c r="IU10" s="1530"/>
      <c r="IV10" s="1530"/>
      <c r="IW10" s="1530"/>
      <c r="IX10" s="1530"/>
      <c r="IY10" s="1530"/>
      <c r="IZ10" s="1530"/>
      <c r="JA10" s="1530"/>
      <c r="JB10" s="1530"/>
      <c r="JC10" s="1530"/>
      <c r="JD10" s="1530"/>
      <c r="JE10" s="1530"/>
      <c r="JF10" s="1530"/>
      <c r="JG10" s="1530"/>
      <c r="JH10" s="1530"/>
      <c r="JI10" s="1530"/>
      <c r="JJ10" s="1530"/>
      <c r="JK10" s="1530"/>
      <c r="JL10" s="1530"/>
      <c r="JM10" s="1530"/>
      <c r="JN10" s="1530"/>
      <c r="JO10" s="1530"/>
      <c r="JP10" s="1530"/>
      <c r="JQ10" s="1530"/>
      <c r="JR10" s="1530"/>
      <c r="JS10" s="1530"/>
      <c r="JT10" s="1530"/>
      <c r="JU10" s="1530"/>
      <c r="JV10" s="1530"/>
      <c r="JW10" s="1530"/>
      <c r="JX10" s="1530"/>
      <c r="JY10" s="1530"/>
      <c r="JZ10" s="1530"/>
      <c r="KA10" s="1530"/>
      <c r="KB10" s="1530"/>
      <c r="KC10" s="1530"/>
      <c r="KD10" s="1530"/>
      <c r="KE10" s="1530"/>
      <c r="KF10" s="1530"/>
      <c r="KG10" s="1530"/>
      <c r="KH10" s="1530"/>
      <c r="KI10" s="1530"/>
      <c r="KJ10" s="1530"/>
      <c r="KK10" s="1530"/>
      <c r="KL10" s="1530"/>
      <c r="KM10" s="1530"/>
      <c r="KN10" s="1530"/>
      <c r="KO10" s="1530"/>
      <c r="KP10" s="1530"/>
      <c r="KQ10" s="1530"/>
      <c r="KR10" s="1530"/>
      <c r="KS10" s="1530"/>
      <c r="KT10" s="1530"/>
      <c r="KU10" s="1530"/>
      <c r="KV10" s="1530"/>
      <c r="KW10" s="1530"/>
      <c r="KX10" s="1530"/>
      <c r="KY10" s="1530"/>
      <c r="KZ10" s="1530"/>
      <c r="LA10" s="1530"/>
      <c r="LB10" s="1530"/>
      <c r="LC10" s="1530"/>
      <c r="LD10" s="1530"/>
      <c r="LE10" s="1530"/>
      <c r="LF10" s="1530"/>
      <c r="LG10" s="1530"/>
      <c r="LH10" s="1530"/>
    </row>
    <row r="11" spans="1:320" s="119" customFormat="1" ht="14.45">
      <c r="A11" s="269"/>
      <c r="B11" s="269"/>
      <c r="C11" s="2060"/>
      <c r="D11" s="2060"/>
      <c r="E11" s="1505"/>
      <c r="F11" s="2060"/>
      <c r="G11" s="255" t="s">
        <v>187</v>
      </c>
      <c r="H11" s="2073"/>
      <c r="I11" s="2060"/>
      <c r="J11" s="2060"/>
      <c r="K11" s="624" t="s">
        <v>188</v>
      </c>
      <c r="L11" s="2060"/>
      <c r="M11" s="1772" t="s">
        <v>189</v>
      </c>
      <c r="N11" s="1030" t="s">
        <v>190</v>
      </c>
      <c r="O11" s="2060"/>
      <c r="P11" s="1020" t="str">
        <f>IF(DataMode&lt;&gt;"P","Changed from VISTA default","")</f>
        <v>Changed from VISTA default</v>
      </c>
      <c r="Q11" s="2060"/>
      <c r="R11" s="2060"/>
      <c r="S11" s="2060"/>
      <c r="T11" s="2060"/>
      <c r="U11" s="2060"/>
      <c r="V11" s="2060"/>
      <c r="W11" s="2060"/>
      <c r="X11" s="2060"/>
      <c r="Y11" s="2060"/>
      <c r="Z11" s="2060"/>
      <c r="AA11" s="2060"/>
      <c r="AB11" s="2060"/>
      <c r="AC11" s="2060"/>
      <c r="AD11" s="2060"/>
      <c r="AE11" s="2060"/>
      <c r="AF11" s="2060"/>
      <c r="AG11" s="2060"/>
      <c r="AH11" s="263"/>
      <c r="AI11" s="263"/>
      <c r="AJ11" s="264" t="s">
        <v>191</v>
      </c>
      <c r="AK11" s="264" t="s">
        <v>192</v>
      </c>
      <c r="AL11" s="264" t="str">
        <f>IF(OR(_xll.ciqfunctions.udf.CIQ(AK11,"IQ_COMPANY_TICKER")=0,_xll.ciqfunctions.udf.CIQ(AK11,"IQ_COMPANY_TICKER")="(Invalid Identifier)"),AK11,_xll.ciqfunctions.udf.CIQ(AK11,"IQ_COMPANY_TICKER"))</f>
        <v>IQ46337811</v>
      </c>
      <c r="AM11" s="2060"/>
      <c r="AN11" s="2060"/>
      <c r="AO11" s="2060" t="s">
        <v>193</v>
      </c>
      <c r="AP11" s="89"/>
      <c r="AQ11" s="89"/>
      <c r="AR11" s="255"/>
      <c r="AS11" s="98" t="s">
        <v>127</v>
      </c>
      <c r="AT11" s="80" t="s">
        <v>128</v>
      </c>
      <c r="AU11" s="80" t="s">
        <v>128</v>
      </c>
      <c r="AV11" s="80" t="s">
        <v>194</v>
      </c>
      <c r="AW11" s="81" t="s">
        <v>195</v>
      </c>
      <c r="AX11" s="78" t="s">
        <v>49</v>
      </c>
      <c r="AY11" s="78" t="s">
        <v>131</v>
      </c>
      <c r="AZ11" s="78" t="s">
        <v>132</v>
      </c>
      <c r="BA11" s="78" t="s">
        <v>196</v>
      </c>
      <c r="BB11" s="78" t="s">
        <v>197</v>
      </c>
      <c r="BC11" s="2060"/>
      <c r="BD11" s="984">
        <v>7</v>
      </c>
      <c r="BE11" s="989" t="s">
        <v>167</v>
      </c>
      <c r="BF11" s="990" t="s">
        <v>198</v>
      </c>
      <c r="BG11" s="990" t="s">
        <v>198</v>
      </c>
      <c r="BH11" s="990" t="s">
        <v>157</v>
      </c>
      <c r="BI11" s="990" t="s">
        <v>157</v>
      </c>
      <c r="BJ11" s="991" t="s">
        <v>157</v>
      </c>
      <c r="BK11" s="990" t="s">
        <v>157</v>
      </c>
      <c r="BL11" s="990" t="s">
        <v>157</v>
      </c>
      <c r="BM11" s="992" t="s">
        <v>198</v>
      </c>
      <c r="BN11" s="2060"/>
      <c r="BO11" s="2060"/>
      <c r="BP11" s="89"/>
      <c r="BQ11" s="2060"/>
      <c r="BR11" s="2060"/>
      <c r="BS11" s="2060"/>
      <c r="BT11" s="2060"/>
      <c r="BU11" s="2060"/>
      <c r="BV11" s="2060"/>
      <c r="BW11" s="2060"/>
      <c r="BX11" s="2060"/>
      <c r="BY11" s="2060"/>
      <c r="BZ11" s="2060"/>
      <c r="CA11" s="2060"/>
      <c r="CB11" s="2060"/>
      <c r="CC11" s="2060"/>
      <c r="CD11" s="2060"/>
      <c r="CE11" s="2060"/>
      <c r="CF11" s="2060"/>
      <c r="CG11" s="2060"/>
      <c r="CH11" s="2060"/>
      <c r="CI11" s="2060"/>
      <c r="CJ11" s="2060"/>
      <c r="CK11" s="2060"/>
      <c r="CL11" s="2060"/>
      <c r="CM11" s="2060"/>
      <c r="CN11" s="2060"/>
      <c r="CO11" s="2060"/>
      <c r="CP11" s="2060"/>
      <c r="CQ11" s="2060"/>
      <c r="CR11" s="2060"/>
      <c r="CS11" s="2060"/>
      <c r="CT11" s="2060"/>
      <c r="CU11" s="2060"/>
      <c r="CV11" s="2060"/>
      <c r="CW11" s="2060"/>
      <c r="CX11" s="2060"/>
      <c r="CY11" s="2060"/>
      <c r="CZ11" s="2060"/>
      <c r="DA11" s="2060"/>
      <c r="DB11" s="2060"/>
      <c r="DC11" s="2060"/>
      <c r="DD11" s="2060"/>
      <c r="DE11" s="2060"/>
      <c r="DF11" s="2060"/>
      <c r="DG11" s="2060"/>
      <c r="DH11" s="2060"/>
      <c r="DI11" s="2060"/>
      <c r="DJ11" s="2060"/>
      <c r="DK11" s="2060"/>
      <c r="DL11" s="2060"/>
      <c r="DM11" s="2060"/>
      <c r="DN11" s="2060"/>
      <c r="DO11" s="2060"/>
      <c r="DP11" s="2060"/>
      <c r="DQ11" s="2060"/>
      <c r="DR11" s="2060"/>
      <c r="DS11" s="2060"/>
      <c r="DT11" s="2060"/>
      <c r="DU11" s="2060"/>
      <c r="DV11" s="2060"/>
      <c r="DW11" s="2060"/>
      <c r="DX11" s="2060"/>
      <c r="DY11" s="2060"/>
      <c r="DZ11" s="2060"/>
      <c r="EA11" s="2060"/>
      <c r="EB11" s="2060"/>
      <c r="EC11" s="2060"/>
      <c r="ED11" s="2060"/>
      <c r="EE11" s="2060"/>
      <c r="EF11" s="2060"/>
      <c r="EG11" s="2060"/>
      <c r="EH11" s="2060"/>
      <c r="EI11" s="2060"/>
      <c r="EJ11" s="2060"/>
      <c r="EK11" s="2060"/>
      <c r="EL11" s="2060"/>
      <c r="EM11" s="2060"/>
      <c r="EN11" s="2060"/>
      <c r="EO11" s="2060"/>
      <c r="EP11" s="2060"/>
      <c r="EQ11" s="2060"/>
      <c r="ER11" s="2060"/>
      <c r="ES11" s="2060"/>
      <c r="ET11" s="2060"/>
      <c r="EU11" s="2060"/>
      <c r="EV11" s="2060"/>
      <c r="EW11" s="2060"/>
      <c r="EX11" s="2060"/>
      <c r="EY11" s="2060"/>
      <c r="EZ11" s="2060"/>
      <c r="FA11" s="2060"/>
      <c r="FB11" s="2060"/>
      <c r="FC11" s="2060"/>
      <c r="FD11" s="2060"/>
      <c r="FE11" s="2060"/>
      <c r="FF11" s="2060"/>
      <c r="FG11" s="2060"/>
      <c r="FH11" s="2060"/>
      <c r="FI11" s="2060"/>
      <c r="FJ11" s="2060"/>
      <c r="FK11" s="2060"/>
      <c r="FL11" s="2060"/>
      <c r="FM11" s="2060"/>
      <c r="FN11" s="2060"/>
      <c r="FO11" s="2060"/>
      <c r="FP11" s="2060"/>
      <c r="FQ11" s="2060"/>
      <c r="FR11" s="2060"/>
      <c r="FS11" s="2060"/>
      <c r="FT11" s="2060"/>
      <c r="FU11" s="2060"/>
      <c r="FV11" s="2060"/>
      <c r="FW11" s="2060"/>
      <c r="FX11" s="2060"/>
      <c r="FY11" s="2060"/>
      <c r="FZ11" s="2060"/>
      <c r="GA11" s="2060"/>
      <c r="GB11" s="2060"/>
      <c r="GC11" s="2060"/>
      <c r="GD11" s="2060"/>
      <c r="GE11" s="2060"/>
      <c r="GF11" s="2060"/>
      <c r="GG11" s="2060"/>
      <c r="GH11" s="2060"/>
      <c r="GI11" s="2060"/>
      <c r="GJ11" s="2060"/>
      <c r="GK11" s="2060"/>
      <c r="GL11" s="2060"/>
      <c r="GM11" s="2060"/>
      <c r="GN11" s="2060"/>
      <c r="GO11" s="2060"/>
      <c r="GP11" s="2060"/>
      <c r="GQ11" s="2060"/>
      <c r="GR11" s="2060"/>
      <c r="GS11" s="2060"/>
      <c r="GT11" s="2060"/>
      <c r="GU11" s="2060"/>
      <c r="GV11" s="2060"/>
      <c r="GW11" s="2060"/>
      <c r="GX11" s="2060"/>
      <c r="GY11" s="2060"/>
      <c r="GZ11" s="2060"/>
      <c r="HA11" s="2060"/>
      <c r="HB11" s="2060"/>
      <c r="HC11" s="2060"/>
      <c r="HD11" s="2060"/>
      <c r="HE11" s="2060"/>
      <c r="HF11" s="2060"/>
      <c r="HG11" s="2060"/>
      <c r="HH11" s="2060"/>
      <c r="HI11" s="2060"/>
      <c r="HJ11" s="2060"/>
      <c r="HK11" s="2060"/>
      <c r="HL11" s="2060"/>
      <c r="HM11" s="2060"/>
      <c r="HN11" s="2060"/>
      <c r="HO11" s="2060"/>
      <c r="HP11" s="2060"/>
      <c r="HQ11" s="2060"/>
      <c r="HR11" s="2060"/>
      <c r="HS11" s="2060"/>
      <c r="HT11" s="2060"/>
      <c r="HU11" s="2060"/>
      <c r="HV11" s="2060"/>
      <c r="HW11" s="2060"/>
      <c r="HX11" s="2060"/>
      <c r="HY11" s="2060"/>
      <c r="HZ11" s="2060"/>
      <c r="IA11" s="2060"/>
      <c r="IB11" s="2060"/>
      <c r="IC11" s="2060"/>
      <c r="ID11" s="2060"/>
      <c r="IE11" s="2060"/>
      <c r="IF11" s="2060"/>
      <c r="IG11" s="2060"/>
      <c r="IH11" s="2060"/>
      <c r="II11" s="2060"/>
      <c r="IJ11" s="2060"/>
      <c r="IK11" s="2060"/>
      <c r="IL11" s="2060"/>
      <c r="IM11" s="2060"/>
      <c r="IN11" s="2060"/>
      <c r="IO11" s="2060"/>
      <c r="IP11" s="2060"/>
      <c r="IQ11" s="2060"/>
      <c r="IR11" s="2060"/>
      <c r="IS11" s="2060"/>
      <c r="IT11" s="2060"/>
      <c r="IU11" s="2060"/>
      <c r="IV11" s="2060"/>
      <c r="IW11" s="2060"/>
      <c r="IX11" s="2060"/>
      <c r="IY11" s="2060"/>
      <c r="IZ11" s="2060"/>
      <c r="JA11" s="2060"/>
      <c r="JB11" s="2060"/>
      <c r="JC11" s="2060"/>
      <c r="JD11" s="2060"/>
      <c r="JE11" s="2060"/>
      <c r="JF11" s="2060"/>
      <c r="JG11" s="2060"/>
      <c r="JH11" s="2060"/>
      <c r="JI11" s="2060"/>
      <c r="JJ11" s="2060"/>
      <c r="JK11" s="2060"/>
      <c r="JL11" s="2060"/>
      <c r="JM11" s="2060"/>
      <c r="JN11" s="2060"/>
      <c r="JO11" s="2060"/>
      <c r="JP11" s="2060"/>
      <c r="JQ11" s="2060"/>
      <c r="JR11" s="2060"/>
      <c r="JS11" s="2060"/>
      <c r="JT11" s="2060"/>
      <c r="JU11" s="2060"/>
      <c r="JV11" s="2060"/>
      <c r="JW11" s="2060"/>
      <c r="JX11" s="2060"/>
      <c r="JY11" s="2060"/>
      <c r="JZ11" s="2060"/>
      <c r="KA11" s="2060"/>
      <c r="KB11" s="2060"/>
      <c r="KC11" s="2060"/>
      <c r="KD11" s="2060"/>
      <c r="KE11" s="2060"/>
      <c r="KF11" s="2060"/>
      <c r="KG11" s="2060"/>
      <c r="KH11" s="2060"/>
      <c r="KI11" s="2060"/>
      <c r="KJ11" s="2060"/>
      <c r="KK11" s="2060"/>
      <c r="KL11" s="2060"/>
      <c r="KM11" s="2060"/>
      <c r="KN11" s="2060"/>
      <c r="KO11" s="2060"/>
      <c r="KP11" s="2060"/>
      <c r="KQ11" s="2060"/>
      <c r="KR11" s="2060"/>
      <c r="KS11" s="2060"/>
      <c r="KT11" s="2060"/>
      <c r="KU11" s="2060"/>
      <c r="KV11" s="2060"/>
      <c r="KW11" s="2060"/>
      <c r="KX11" s="2060"/>
      <c r="KY11" s="2060"/>
      <c r="KZ11" s="2060"/>
      <c r="LA11" s="2060"/>
      <c r="LB11" s="2060"/>
      <c r="LC11" s="2060"/>
      <c r="LD11" s="2060"/>
      <c r="LE11" s="2060"/>
      <c r="LF11" s="2060"/>
      <c r="LG11" s="2060"/>
      <c r="LH11" s="2060"/>
    </row>
    <row r="12" spans="1:320" s="119" customFormat="1" ht="14.45">
      <c r="A12" s="269"/>
      <c r="B12" s="269"/>
      <c r="C12" s="2060"/>
      <c r="D12" s="2060"/>
      <c r="E12" s="1505"/>
      <c r="F12" s="2060"/>
      <c r="G12" s="1029" t="str">
        <f>IF(SubjCoProxy="","",_xll.ciqfunctions.udf.CIQ(SubjCoProxy,"IQ_COMPANY_NAME"))</f>
        <v/>
      </c>
      <c r="H12" s="2060"/>
      <c r="I12" s="2060"/>
      <c r="J12" s="2060"/>
      <c r="K12" s="21" t="s">
        <v>199</v>
      </c>
      <c r="L12" s="2060"/>
      <c r="M12" s="1772" t="s">
        <v>200</v>
      </c>
      <c r="N12" s="1025" t="s">
        <v>201</v>
      </c>
      <c r="O12" s="263"/>
      <c r="P12" s="1020" t="str">
        <f>IF(ReportType&lt;&gt;"L","Changed from VISTA default","")</f>
        <v/>
      </c>
      <c r="Q12" s="2060"/>
      <c r="R12" s="2060"/>
      <c r="S12" s="2060"/>
      <c r="T12" s="2060"/>
      <c r="U12" s="2060"/>
      <c r="V12" s="2060"/>
      <c r="W12" s="2060"/>
      <c r="X12" s="2060"/>
      <c r="Y12" s="2060"/>
      <c r="Z12" s="2060"/>
      <c r="AA12" s="2060"/>
      <c r="AB12" s="2060"/>
      <c r="AC12" s="2060"/>
      <c r="AD12" s="2060"/>
      <c r="AE12" s="2060"/>
      <c r="AF12" s="2060"/>
      <c r="AG12" s="2060"/>
      <c r="AH12" s="263"/>
      <c r="AI12" s="263"/>
      <c r="AJ12" s="264"/>
      <c r="AK12" s="264"/>
      <c r="AL12" s="264"/>
      <c r="AM12" s="2060"/>
      <c r="AN12" s="2060"/>
      <c r="AO12" s="2060" t="s">
        <v>202</v>
      </c>
      <c r="AP12" s="89"/>
      <c r="AQ12" s="89"/>
      <c r="AR12" s="255"/>
      <c r="AS12" s="98" t="s">
        <v>127</v>
      </c>
      <c r="AT12" s="80" t="s">
        <v>128</v>
      </c>
      <c r="AU12" s="80" t="s">
        <v>128</v>
      </c>
      <c r="AV12" s="80" t="s">
        <v>203</v>
      </c>
      <c r="AW12" s="81" t="s">
        <v>204</v>
      </c>
      <c r="AX12" s="78" t="s">
        <v>49</v>
      </c>
      <c r="AY12" s="78" t="s">
        <v>131</v>
      </c>
      <c r="AZ12" s="78" t="s">
        <v>132</v>
      </c>
      <c r="BA12" s="78" t="s">
        <v>205</v>
      </c>
      <c r="BB12" s="78" t="s">
        <v>206</v>
      </c>
      <c r="BC12" s="2060"/>
      <c r="BD12" s="984">
        <v>8</v>
      </c>
      <c r="BE12" s="989" t="s">
        <v>177</v>
      </c>
      <c r="BF12" s="990" t="s">
        <v>207</v>
      </c>
      <c r="BG12" s="990" t="s">
        <v>207</v>
      </c>
      <c r="BH12" s="990" t="s">
        <v>157</v>
      </c>
      <c r="BI12" s="990" t="s">
        <v>157</v>
      </c>
      <c r="BJ12" s="991" t="s">
        <v>157</v>
      </c>
      <c r="BK12" s="990" t="s">
        <v>157</v>
      </c>
      <c r="BL12" s="990" t="s">
        <v>157</v>
      </c>
      <c r="BM12" s="992" t="s">
        <v>157</v>
      </c>
      <c r="BN12" s="2060"/>
      <c r="BO12" s="2060"/>
      <c r="BP12" s="2060"/>
      <c r="BQ12" s="2060"/>
      <c r="BR12" s="2060"/>
      <c r="BS12" s="2060"/>
      <c r="BT12" s="2060"/>
      <c r="BU12" s="2060"/>
      <c r="BV12" s="2060"/>
      <c r="BW12" s="2060"/>
      <c r="BX12" s="2060"/>
      <c r="BY12" s="2060"/>
      <c r="BZ12" s="2060"/>
      <c r="CA12" s="2060"/>
      <c r="CB12" s="2060"/>
      <c r="CC12" s="2060"/>
      <c r="CD12" s="2060"/>
      <c r="CE12" s="2060"/>
      <c r="CF12" s="2060"/>
      <c r="CG12" s="2060"/>
      <c r="CH12" s="2060"/>
      <c r="CI12" s="2060"/>
      <c r="CJ12" s="2060"/>
      <c r="CK12" s="2060"/>
      <c r="CL12" s="2060"/>
      <c r="CM12" s="2060"/>
      <c r="CN12" s="2060"/>
      <c r="CO12" s="2060"/>
      <c r="CP12" s="2060"/>
      <c r="CQ12" s="2060"/>
      <c r="CR12" s="2060"/>
      <c r="CS12" s="2060"/>
      <c r="CT12" s="2060"/>
      <c r="CU12" s="2060"/>
      <c r="CV12" s="2060"/>
      <c r="CW12" s="2060"/>
      <c r="CX12" s="2060"/>
      <c r="CY12" s="2060"/>
      <c r="CZ12" s="2060"/>
      <c r="DA12" s="2060"/>
      <c r="DB12" s="2060"/>
      <c r="DC12" s="2060"/>
      <c r="DD12" s="2060"/>
      <c r="DE12" s="2060"/>
      <c r="DF12" s="2060"/>
      <c r="DG12" s="2060"/>
      <c r="DH12" s="2060"/>
      <c r="DI12" s="2060"/>
      <c r="DJ12" s="2060"/>
      <c r="DK12" s="2060"/>
      <c r="DL12" s="2060"/>
      <c r="DM12" s="2060"/>
      <c r="DN12" s="2060"/>
      <c r="DO12" s="2060"/>
      <c r="DP12" s="2060"/>
      <c r="DQ12" s="2060"/>
      <c r="DR12" s="2060"/>
      <c r="DS12" s="2060"/>
      <c r="DT12" s="2060"/>
      <c r="DU12" s="2060"/>
      <c r="DV12" s="2060"/>
      <c r="DW12" s="2060"/>
      <c r="DX12" s="2060"/>
      <c r="DY12" s="2060"/>
      <c r="DZ12" s="2060"/>
      <c r="EA12" s="2060"/>
      <c r="EB12" s="2060"/>
      <c r="EC12" s="2060"/>
      <c r="ED12" s="2060"/>
      <c r="EE12" s="2060"/>
      <c r="EF12" s="2060"/>
      <c r="EG12" s="2060"/>
      <c r="EH12" s="2060"/>
      <c r="EI12" s="2060"/>
      <c r="EJ12" s="2060"/>
      <c r="EK12" s="2060"/>
      <c r="EL12" s="2060"/>
      <c r="EM12" s="2060"/>
      <c r="EN12" s="2060"/>
      <c r="EO12" s="2060"/>
      <c r="EP12" s="2060"/>
      <c r="EQ12" s="2060"/>
      <c r="ER12" s="2060"/>
      <c r="ES12" s="2060"/>
      <c r="ET12" s="2060"/>
      <c r="EU12" s="2060"/>
      <c r="EV12" s="2060"/>
      <c r="EW12" s="2060"/>
      <c r="EX12" s="2060"/>
      <c r="EY12" s="2060"/>
      <c r="EZ12" s="2060"/>
      <c r="FA12" s="2060"/>
      <c r="FB12" s="2060"/>
      <c r="FC12" s="2060"/>
      <c r="FD12" s="2060"/>
      <c r="FE12" s="2060"/>
      <c r="FF12" s="2060"/>
      <c r="FG12" s="2060"/>
      <c r="FH12" s="2060"/>
      <c r="FI12" s="2060"/>
      <c r="FJ12" s="2060"/>
      <c r="FK12" s="2060"/>
      <c r="FL12" s="2060"/>
      <c r="FM12" s="2060"/>
      <c r="FN12" s="2060"/>
      <c r="FO12" s="2060"/>
      <c r="FP12" s="2060"/>
      <c r="FQ12" s="2060"/>
      <c r="FR12" s="2060"/>
      <c r="FS12" s="2060"/>
      <c r="FT12" s="2060"/>
      <c r="FU12" s="2060"/>
      <c r="FV12" s="2060"/>
      <c r="FW12" s="2060"/>
      <c r="FX12" s="2060"/>
      <c r="FY12" s="2060"/>
      <c r="FZ12" s="2060"/>
      <c r="GA12" s="2060"/>
      <c r="GB12" s="2060"/>
      <c r="GC12" s="2060"/>
      <c r="GD12" s="2060"/>
      <c r="GE12" s="2060"/>
      <c r="GF12" s="2060"/>
      <c r="GG12" s="2060"/>
      <c r="GH12" s="2060"/>
      <c r="GI12" s="2060"/>
      <c r="GJ12" s="2060"/>
      <c r="GK12" s="2060"/>
      <c r="GL12" s="2060"/>
      <c r="GM12" s="2060"/>
      <c r="GN12" s="2060"/>
      <c r="GO12" s="2060"/>
      <c r="GP12" s="2060"/>
      <c r="GQ12" s="2060"/>
      <c r="GR12" s="2060"/>
      <c r="GS12" s="2060"/>
      <c r="GT12" s="2060"/>
      <c r="GU12" s="2060"/>
      <c r="GV12" s="2060"/>
      <c r="GW12" s="2060"/>
      <c r="GX12" s="2060"/>
      <c r="GY12" s="2060"/>
      <c r="GZ12" s="2060"/>
      <c r="HA12" s="2060"/>
      <c r="HB12" s="2060"/>
      <c r="HC12" s="2060"/>
      <c r="HD12" s="2060"/>
      <c r="HE12" s="2060"/>
      <c r="HF12" s="2060"/>
      <c r="HG12" s="2060"/>
      <c r="HH12" s="2060"/>
      <c r="HI12" s="2060"/>
      <c r="HJ12" s="2060"/>
      <c r="HK12" s="2060"/>
      <c r="HL12" s="2060"/>
      <c r="HM12" s="2060"/>
      <c r="HN12" s="2060"/>
      <c r="HO12" s="2060"/>
      <c r="HP12" s="2060"/>
      <c r="HQ12" s="2060"/>
      <c r="HR12" s="2060"/>
      <c r="HS12" s="2060"/>
      <c r="HT12" s="2060"/>
      <c r="HU12" s="2060"/>
      <c r="HV12" s="2060"/>
      <c r="HW12" s="2060"/>
      <c r="HX12" s="2060"/>
      <c r="HY12" s="2060"/>
      <c r="HZ12" s="2060"/>
      <c r="IA12" s="2060"/>
      <c r="IB12" s="2060"/>
      <c r="IC12" s="2060"/>
      <c r="ID12" s="2060"/>
      <c r="IE12" s="2060"/>
      <c r="IF12" s="2060"/>
      <c r="IG12" s="2060"/>
      <c r="IH12" s="2060"/>
      <c r="II12" s="2060"/>
      <c r="IJ12" s="2060"/>
      <c r="IK12" s="2060"/>
      <c r="IL12" s="2060"/>
      <c r="IM12" s="2060"/>
      <c r="IN12" s="2060"/>
      <c r="IO12" s="2060"/>
      <c r="IP12" s="2060"/>
      <c r="IQ12" s="2060"/>
      <c r="IR12" s="2060"/>
      <c r="IS12" s="2060"/>
      <c r="IT12" s="2060"/>
      <c r="IU12" s="2060"/>
      <c r="IV12" s="2060"/>
      <c r="IW12" s="2060"/>
      <c r="IX12" s="2060"/>
      <c r="IY12" s="2060"/>
      <c r="IZ12" s="2060"/>
      <c r="JA12" s="2060"/>
      <c r="JB12" s="2060"/>
      <c r="JC12" s="2060"/>
      <c r="JD12" s="2060"/>
      <c r="JE12" s="2060"/>
      <c r="JF12" s="2060"/>
      <c r="JG12" s="2060"/>
      <c r="JH12" s="2060"/>
      <c r="JI12" s="2060"/>
      <c r="JJ12" s="2060"/>
      <c r="JK12" s="2060"/>
      <c r="JL12" s="2060"/>
      <c r="JM12" s="2060"/>
      <c r="JN12" s="2060"/>
      <c r="JO12" s="2060"/>
      <c r="JP12" s="2060"/>
      <c r="JQ12" s="2060"/>
      <c r="JR12" s="2060"/>
      <c r="JS12" s="2060"/>
      <c r="JT12" s="2060"/>
      <c r="JU12" s="2060"/>
      <c r="JV12" s="2060"/>
      <c r="JW12" s="2060"/>
      <c r="JX12" s="2060"/>
      <c r="JY12" s="2060"/>
      <c r="JZ12" s="2060"/>
      <c r="KA12" s="2060"/>
      <c r="KB12" s="2060"/>
      <c r="KC12" s="2060"/>
      <c r="KD12" s="2060"/>
      <c r="KE12" s="2060"/>
      <c r="KF12" s="2060"/>
      <c r="KG12" s="2060"/>
      <c r="KH12" s="2060"/>
      <c r="KI12" s="2060"/>
      <c r="KJ12" s="2060"/>
      <c r="KK12" s="2060"/>
      <c r="KL12" s="2060"/>
      <c r="KM12" s="2060"/>
      <c r="KN12" s="2060"/>
      <c r="KO12" s="2060"/>
      <c r="KP12" s="2060"/>
      <c r="KQ12" s="2060"/>
      <c r="KR12" s="2060"/>
      <c r="KS12" s="2060"/>
      <c r="KT12" s="2060"/>
      <c r="KU12" s="2060"/>
      <c r="KV12" s="2060"/>
      <c r="KW12" s="2060"/>
      <c r="KX12" s="2060"/>
      <c r="KY12" s="2060"/>
      <c r="KZ12" s="2060"/>
      <c r="LA12" s="2060"/>
      <c r="LB12" s="2060"/>
      <c r="LC12" s="2060"/>
      <c r="LD12" s="2060"/>
      <c r="LE12" s="2060"/>
      <c r="LF12" s="2060"/>
      <c r="LG12" s="2060"/>
      <c r="LH12" s="2060"/>
    </row>
    <row r="13" spans="1:320" s="119" customFormat="1" ht="15" thickBot="1">
      <c r="A13" s="269"/>
      <c r="B13" s="269"/>
      <c r="C13" s="2060"/>
      <c r="D13" s="2060"/>
      <c r="E13" s="1505"/>
      <c r="F13" s="2060"/>
      <c r="G13" s="2186"/>
      <c r="H13" s="1103"/>
      <c r="I13" s="60"/>
      <c r="J13" s="2060"/>
      <c r="K13" s="46" t="s">
        <v>208</v>
      </c>
      <c r="L13" s="2060"/>
      <c r="M13" s="2187" t="s">
        <v>209</v>
      </c>
      <c r="N13" s="1022" t="s">
        <v>210</v>
      </c>
      <c r="O13" s="2073"/>
      <c r="P13" s="1020" t="str">
        <f>IF(FXMode&lt;&gt;"C","Changed from VISTA default","")</f>
        <v/>
      </c>
      <c r="Q13" s="2060"/>
      <c r="R13" s="2060"/>
      <c r="S13" s="2060"/>
      <c r="T13" s="2060"/>
      <c r="U13" s="2060"/>
      <c r="V13" s="2060"/>
      <c r="W13" s="2060"/>
      <c r="X13" s="2060"/>
      <c r="Y13" s="2060"/>
      <c r="Z13" s="2060"/>
      <c r="AA13" s="2060"/>
      <c r="AB13" s="2060"/>
      <c r="AC13" s="2060"/>
      <c r="AD13" s="2060"/>
      <c r="AE13" s="2060"/>
      <c r="AF13" s="2060"/>
      <c r="AG13" s="2060"/>
      <c r="AH13" s="2073"/>
      <c r="AI13" s="2073"/>
      <c r="AJ13" s="263"/>
      <c r="AK13" s="263"/>
      <c r="AL13" s="263"/>
      <c r="AM13" s="2060"/>
      <c r="AN13" s="2060"/>
      <c r="AO13" s="2060" t="s">
        <v>211</v>
      </c>
      <c r="AP13" s="89"/>
      <c r="AQ13" s="89"/>
      <c r="AR13" s="255"/>
      <c r="AS13" s="98" t="s">
        <v>127</v>
      </c>
      <c r="AT13" s="80" t="s">
        <v>128</v>
      </c>
      <c r="AU13" s="80" t="s">
        <v>128</v>
      </c>
      <c r="AV13" s="80" t="s">
        <v>212</v>
      </c>
      <c r="AW13" s="81" t="s">
        <v>213</v>
      </c>
      <c r="AX13" s="78" t="s">
        <v>49</v>
      </c>
      <c r="AY13" s="78" t="s">
        <v>131</v>
      </c>
      <c r="AZ13" s="78" t="s">
        <v>132</v>
      </c>
      <c r="BA13" s="78" t="s">
        <v>214</v>
      </c>
      <c r="BB13" s="78" t="s">
        <v>215</v>
      </c>
      <c r="BC13" s="2060"/>
      <c r="BD13" s="993">
        <v>9</v>
      </c>
      <c r="BE13" s="994" t="s">
        <v>216</v>
      </c>
      <c r="BF13" s="995" t="s">
        <v>216</v>
      </c>
      <c r="BG13" s="995" t="s">
        <v>216</v>
      </c>
      <c r="BH13" s="995" t="s">
        <v>216</v>
      </c>
      <c r="BI13" s="995" t="s">
        <v>216</v>
      </c>
      <c r="BJ13" s="996" t="s">
        <v>216</v>
      </c>
      <c r="BK13" s="995" t="s">
        <v>216</v>
      </c>
      <c r="BL13" s="995" t="s">
        <v>216</v>
      </c>
      <c r="BM13" s="997" t="s">
        <v>216</v>
      </c>
      <c r="BN13" s="2060"/>
      <c r="BO13" s="2060"/>
      <c r="BP13" s="2060"/>
      <c r="BQ13" s="2060"/>
      <c r="BR13" s="2060"/>
      <c r="BS13" s="2060"/>
      <c r="BT13" s="2060"/>
      <c r="BU13" s="2060"/>
      <c r="BV13" s="2060"/>
      <c r="BW13" s="2060"/>
      <c r="BX13" s="2060"/>
      <c r="BY13" s="2060"/>
      <c r="BZ13" s="2060"/>
      <c r="CA13" s="2060"/>
      <c r="CB13" s="2060"/>
      <c r="CC13" s="2060"/>
      <c r="CD13" s="2060"/>
      <c r="CE13" s="2060"/>
      <c r="CF13" s="2060"/>
      <c r="CG13" s="2060"/>
      <c r="CH13" s="2060"/>
      <c r="CI13" s="2060"/>
      <c r="CJ13" s="2060"/>
      <c r="CK13" s="2060"/>
      <c r="CL13" s="2060"/>
      <c r="CM13" s="2060"/>
      <c r="CN13" s="2060"/>
      <c r="CO13" s="2060"/>
      <c r="CP13" s="2060"/>
      <c r="CQ13" s="2060"/>
      <c r="CR13" s="2060"/>
      <c r="CS13" s="2060"/>
      <c r="CT13" s="2060"/>
      <c r="CU13" s="2060"/>
      <c r="CV13" s="2060"/>
      <c r="CW13" s="2060"/>
      <c r="CX13" s="2060"/>
      <c r="CY13" s="2060"/>
      <c r="CZ13" s="2060"/>
      <c r="DA13" s="2060"/>
      <c r="DB13" s="2060"/>
      <c r="DC13" s="2060"/>
      <c r="DD13" s="2060"/>
      <c r="DE13" s="2060"/>
      <c r="DF13" s="2060"/>
      <c r="DG13" s="2060"/>
      <c r="DH13" s="2060"/>
      <c r="DI13" s="2060"/>
      <c r="DJ13" s="2060"/>
      <c r="DK13" s="2060"/>
      <c r="DL13" s="2060"/>
      <c r="DM13" s="2060"/>
      <c r="DN13" s="2060"/>
      <c r="DO13" s="2060"/>
      <c r="DP13" s="2060"/>
      <c r="DQ13" s="2060"/>
      <c r="DR13" s="2060"/>
      <c r="DS13" s="2060"/>
      <c r="DT13" s="2060"/>
      <c r="DU13" s="2060"/>
      <c r="DV13" s="2060"/>
      <c r="DW13" s="2060"/>
      <c r="DX13" s="2060"/>
      <c r="DY13" s="2060"/>
      <c r="DZ13" s="2060"/>
      <c r="EA13" s="2060"/>
      <c r="EB13" s="2060"/>
      <c r="EC13" s="2060"/>
      <c r="ED13" s="2060"/>
      <c r="EE13" s="2060"/>
      <c r="EF13" s="2060"/>
      <c r="EG13" s="2060"/>
      <c r="EH13" s="2060"/>
      <c r="EI13" s="2060"/>
      <c r="EJ13" s="2060"/>
      <c r="EK13" s="2060"/>
      <c r="EL13" s="2060"/>
      <c r="EM13" s="2060"/>
      <c r="EN13" s="2060"/>
      <c r="EO13" s="2060"/>
      <c r="EP13" s="2060"/>
      <c r="EQ13" s="2060"/>
      <c r="ER13" s="2060"/>
      <c r="ES13" s="2060"/>
      <c r="ET13" s="2060"/>
      <c r="EU13" s="2060"/>
      <c r="EV13" s="2060"/>
      <c r="EW13" s="2060"/>
      <c r="EX13" s="2060"/>
      <c r="EY13" s="2060"/>
      <c r="EZ13" s="2060"/>
      <c r="FA13" s="2060"/>
      <c r="FB13" s="2060"/>
      <c r="FC13" s="2060"/>
      <c r="FD13" s="2060"/>
      <c r="FE13" s="2060"/>
      <c r="FF13" s="2060"/>
      <c r="FG13" s="2060"/>
      <c r="FH13" s="2060"/>
      <c r="FI13" s="2060"/>
      <c r="FJ13" s="2060"/>
      <c r="FK13" s="2060"/>
      <c r="FL13" s="2060"/>
      <c r="FM13" s="2060"/>
      <c r="FN13" s="2060"/>
      <c r="FO13" s="2060"/>
      <c r="FP13" s="2060"/>
      <c r="FQ13" s="2060"/>
      <c r="FR13" s="2060"/>
      <c r="FS13" s="2060"/>
      <c r="FT13" s="2060"/>
      <c r="FU13" s="2060"/>
      <c r="FV13" s="2060"/>
      <c r="FW13" s="2060"/>
      <c r="FX13" s="2060"/>
      <c r="FY13" s="2060"/>
      <c r="FZ13" s="2060"/>
      <c r="GA13" s="2060"/>
      <c r="GB13" s="2060"/>
      <c r="GC13" s="2060"/>
      <c r="GD13" s="2060"/>
      <c r="GE13" s="2060"/>
      <c r="GF13" s="2060"/>
      <c r="GG13" s="2060"/>
      <c r="GH13" s="2060"/>
      <c r="GI13" s="2060"/>
      <c r="GJ13" s="2060"/>
      <c r="GK13" s="2060"/>
      <c r="GL13" s="2060"/>
      <c r="GM13" s="2060"/>
      <c r="GN13" s="2060"/>
      <c r="GO13" s="2060"/>
      <c r="GP13" s="2060"/>
      <c r="GQ13" s="2060"/>
      <c r="GR13" s="2060"/>
      <c r="GS13" s="2060"/>
      <c r="GT13" s="2060"/>
      <c r="GU13" s="2060"/>
      <c r="GV13" s="2060"/>
      <c r="GW13" s="2060"/>
      <c r="GX13" s="2060"/>
      <c r="GY13" s="2060"/>
      <c r="GZ13" s="2060"/>
      <c r="HA13" s="2060"/>
      <c r="HB13" s="2060"/>
      <c r="HC13" s="2060"/>
      <c r="HD13" s="2060"/>
      <c r="HE13" s="2060"/>
      <c r="HF13" s="2060"/>
      <c r="HG13" s="2060"/>
      <c r="HH13" s="2060"/>
      <c r="HI13" s="2060"/>
      <c r="HJ13" s="2060"/>
      <c r="HK13" s="2060"/>
      <c r="HL13" s="2060"/>
      <c r="HM13" s="2060"/>
      <c r="HN13" s="2060"/>
      <c r="HO13" s="2060"/>
      <c r="HP13" s="2060"/>
      <c r="HQ13" s="2060"/>
      <c r="HR13" s="2060"/>
      <c r="HS13" s="2060"/>
      <c r="HT13" s="2060"/>
      <c r="HU13" s="2060"/>
      <c r="HV13" s="2060"/>
      <c r="HW13" s="2060"/>
      <c r="HX13" s="2060"/>
      <c r="HY13" s="2060"/>
      <c r="HZ13" s="2060"/>
      <c r="IA13" s="2060"/>
      <c r="IB13" s="2060"/>
      <c r="IC13" s="2060"/>
      <c r="ID13" s="2060"/>
      <c r="IE13" s="2060"/>
      <c r="IF13" s="2060"/>
      <c r="IG13" s="2060"/>
      <c r="IH13" s="2060"/>
      <c r="II13" s="2060"/>
      <c r="IJ13" s="2060"/>
      <c r="IK13" s="2060"/>
      <c r="IL13" s="2060"/>
      <c r="IM13" s="2060"/>
      <c r="IN13" s="2060"/>
      <c r="IO13" s="2060"/>
      <c r="IP13" s="2060"/>
      <c r="IQ13" s="2060"/>
      <c r="IR13" s="2060"/>
      <c r="IS13" s="2060"/>
      <c r="IT13" s="2060"/>
      <c r="IU13" s="2060"/>
      <c r="IV13" s="2060"/>
      <c r="IW13" s="2060"/>
      <c r="IX13" s="2060"/>
      <c r="IY13" s="2060"/>
      <c r="IZ13" s="2060"/>
      <c r="JA13" s="2060"/>
      <c r="JB13" s="2060"/>
      <c r="JC13" s="2060"/>
      <c r="JD13" s="2060"/>
      <c r="JE13" s="2060"/>
      <c r="JF13" s="2060"/>
      <c r="JG13" s="2060"/>
      <c r="JH13" s="2060"/>
      <c r="JI13" s="2060"/>
      <c r="JJ13" s="2060"/>
      <c r="JK13" s="2060"/>
      <c r="JL13" s="2060"/>
      <c r="JM13" s="2060"/>
      <c r="JN13" s="2060"/>
      <c r="JO13" s="2060"/>
      <c r="JP13" s="2060"/>
      <c r="JQ13" s="2060"/>
      <c r="JR13" s="2060"/>
      <c r="JS13" s="2060"/>
      <c r="JT13" s="2060"/>
      <c r="JU13" s="2060"/>
      <c r="JV13" s="2060"/>
      <c r="JW13" s="2060"/>
      <c r="JX13" s="2060"/>
      <c r="JY13" s="2060"/>
      <c r="JZ13" s="2060"/>
      <c r="KA13" s="2060"/>
      <c r="KB13" s="2060"/>
      <c r="KC13" s="2060"/>
      <c r="KD13" s="2060"/>
      <c r="KE13" s="2060"/>
      <c r="KF13" s="2060"/>
      <c r="KG13" s="2060"/>
      <c r="KH13" s="2060"/>
      <c r="KI13" s="2060"/>
      <c r="KJ13" s="2060"/>
      <c r="KK13" s="2060"/>
      <c r="KL13" s="2060"/>
      <c r="KM13" s="2060"/>
      <c r="KN13" s="2060"/>
      <c r="KO13" s="2060"/>
      <c r="KP13" s="2060"/>
      <c r="KQ13" s="2060"/>
      <c r="KR13" s="2060"/>
      <c r="KS13" s="2060"/>
      <c r="KT13" s="2060"/>
      <c r="KU13" s="2060"/>
      <c r="KV13" s="2060"/>
      <c r="KW13" s="2060"/>
      <c r="KX13" s="2060"/>
      <c r="KY13" s="2060"/>
      <c r="KZ13" s="2060"/>
      <c r="LA13" s="2060"/>
      <c r="LB13" s="2060"/>
      <c r="LC13" s="2060"/>
      <c r="LD13" s="2060"/>
      <c r="LE13" s="2060"/>
      <c r="LF13" s="2060"/>
      <c r="LG13" s="2060"/>
      <c r="LH13" s="2060"/>
    </row>
    <row r="14" spans="1:320" s="119" customFormat="1" ht="13.9">
      <c r="A14" s="269"/>
      <c r="B14" s="269"/>
      <c r="C14" s="2060"/>
      <c r="D14" s="2060"/>
      <c r="E14" s="1505"/>
      <c r="F14" s="2060"/>
      <c r="G14" s="2060"/>
      <c r="H14" s="443"/>
      <c r="I14" s="2060"/>
      <c r="J14" s="2060"/>
      <c r="K14" s="2060"/>
      <c r="L14" s="2060"/>
      <c r="M14" s="2060"/>
      <c r="N14" s="2060"/>
      <c r="O14" s="2060"/>
      <c r="P14" s="2073"/>
      <c r="Q14" s="2060"/>
      <c r="R14" s="2060"/>
      <c r="S14" s="2060"/>
      <c r="T14" s="2060"/>
      <c r="U14" s="2060"/>
      <c r="V14" s="2060"/>
      <c r="W14" s="2060"/>
      <c r="X14" s="2060"/>
      <c r="Y14" s="2060"/>
      <c r="Z14" s="184" t="s">
        <v>217</v>
      </c>
      <c r="AA14" s="2060"/>
      <c r="AB14" s="2060"/>
      <c r="AC14" s="2060"/>
      <c r="AD14" s="2060"/>
      <c r="AE14" s="2060"/>
      <c r="AF14" s="2060"/>
      <c r="AG14" s="2060"/>
      <c r="AH14" s="255"/>
      <c r="AI14" s="255"/>
      <c r="AJ14" s="263"/>
      <c r="AK14" s="263"/>
      <c r="AL14" s="263"/>
      <c r="AM14" s="2060"/>
      <c r="AN14" s="2060"/>
      <c r="AO14" s="2060" t="s">
        <v>218</v>
      </c>
      <c r="AP14" s="89"/>
      <c r="AQ14" s="89"/>
      <c r="AR14" s="255"/>
      <c r="AS14" s="98" t="s">
        <v>127</v>
      </c>
      <c r="AT14" s="80" t="s">
        <v>128</v>
      </c>
      <c r="AU14" s="80" t="s">
        <v>128</v>
      </c>
      <c r="AV14" s="80" t="s">
        <v>219</v>
      </c>
      <c r="AW14" s="81" t="s">
        <v>220</v>
      </c>
      <c r="AX14" s="78" t="s">
        <v>49</v>
      </c>
      <c r="AY14" s="78" t="s">
        <v>131</v>
      </c>
      <c r="AZ14" s="78" t="s">
        <v>132</v>
      </c>
      <c r="BA14" s="78" t="s">
        <v>221</v>
      </c>
      <c r="BB14" s="78" t="s">
        <v>222</v>
      </c>
      <c r="BC14" s="2060"/>
      <c r="BD14" s="2060"/>
      <c r="BE14" s="2060"/>
      <c r="BF14" s="2060"/>
      <c r="BG14" s="2060"/>
      <c r="BH14" s="2060"/>
      <c r="BI14" s="2060"/>
      <c r="BJ14" s="2060"/>
      <c r="BK14" s="2060"/>
      <c r="BL14" s="2060"/>
      <c r="BM14" s="2060"/>
      <c r="BN14" s="2060"/>
      <c r="BO14" s="2060"/>
      <c r="BP14" s="2060"/>
      <c r="BQ14" s="2060"/>
      <c r="BR14" s="2060"/>
      <c r="BS14" s="2060"/>
      <c r="BT14" s="2060"/>
      <c r="BU14" s="2060"/>
      <c r="BV14" s="2060"/>
      <c r="BW14" s="2060"/>
      <c r="BX14" s="2060"/>
      <c r="BY14" s="2060"/>
      <c r="BZ14" s="2060"/>
      <c r="CA14" s="2060"/>
      <c r="CB14" s="2060"/>
      <c r="CC14" s="2060"/>
      <c r="CD14" s="2060"/>
      <c r="CE14" s="2060"/>
      <c r="CF14" s="2060"/>
      <c r="CG14" s="2060"/>
      <c r="CH14" s="2060"/>
      <c r="CI14" s="2060"/>
      <c r="CJ14" s="2060"/>
      <c r="CK14" s="2060"/>
      <c r="CL14" s="2060"/>
      <c r="CM14" s="2060"/>
      <c r="CN14" s="2060"/>
      <c r="CO14" s="2060"/>
      <c r="CP14" s="2060"/>
      <c r="CQ14" s="2060"/>
      <c r="CR14" s="2060"/>
      <c r="CS14" s="2060"/>
      <c r="CT14" s="2060"/>
      <c r="CU14" s="2060"/>
      <c r="CV14" s="2060"/>
      <c r="CW14" s="2060"/>
      <c r="CX14" s="2060"/>
      <c r="CY14" s="2060"/>
      <c r="CZ14" s="2060"/>
      <c r="DA14" s="2060"/>
      <c r="DB14" s="2060"/>
      <c r="DC14" s="2060"/>
      <c r="DD14" s="2060"/>
      <c r="DE14" s="2060"/>
      <c r="DF14" s="2060"/>
      <c r="DG14" s="2060"/>
      <c r="DH14" s="2060"/>
      <c r="DI14" s="2060"/>
      <c r="DJ14" s="2060"/>
      <c r="DK14" s="2060"/>
      <c r="DL14" s="2060"/>
      <c r="DM14" s="2060"/>
      <c r="DN14" s="2060"/>
      <c r="DO14" s="2060"/>
      <c r="DP14" s="2060"/>
      <c r="DQ14" s="2060"/>
      <c r="DR14" s="2060"/>
      <c r="DS14" s="2060"/>
      <c r="DT14" s="2060"/>
      <c r="DU14" s="2060"/>
      <c r="DV14" s="2060"/>
      <c r="DW14" s="2060"/>
      <c r="DX14" s="2060"/>
      <c r="DY14" s="2060"/>
      <c r="DZ14" s="2060"/>
      <c r="EA14" s="2060"/>
      <c r="EB14" s="2060"/>
      <c r="EC14" s="2060"/>
      <c r="ED14" s="2060"/>
      <c r="EE14" s="2060"/>
      <c r="EF14" s="2060"/>
      <c r="EG14" s="2060"/>
      <c r="EH14" s="2060"/>
      <c r="EI14" s="2060"/>
      <c r="EJ14" s="2060"/>
      <c r="EK14" s="2060"/>
      <c r="EL14" s="2060"/>
      <c r="EM14" s="2060"/>
      <c r="EN14" s="2060"/>
      <c r="EO14" s="2060"/>
      <c r="EP14" s="2060"/>
      <c r="EQ14" s="2060"/>
      <c r="ER14" s="2060"/>
      <c r="ES14" s="2060"/>
      <c r="ET14" s="2060"/>
      <c r="EU14" s="2060"/>
      <c r="EV14" s="2060"/>
      <c r="EW14" s="2060"/>
      <c r="EX14" s="2060"/>
      <c r="EY14" s="2060"/>
      <c r="EZ14" s="2060"/>
      <c r="FA14" s="2060"/>
      <c r="FB14" s="2060"/>
      <c r="FC14" s="2060"/>
      <c r="FD14" s="2060"/>
      <c r="FE14" s="2060"/>
      <c r="FF14" s="2060"/>
      <c r="FG14" s="2060"/>
      <c r="FH14" s="2060"/>
      <c r="FI14" s="2060"/>
      <c r="FJ14" s="2060"/>
      <c r="FK14" s="2060"/>
      <c r="FL14" s="2060"/>
      <c r="FM14" s="2060"/>
      <c r="FN14" s="2060"/>
      <c r="FO14" s="2060"/>
      <c r="FP14" s="2060"/>
      <c r="FQ14" s="2060"/>
      <c r="FR14" s="2060"/>
      <c r="FS14" s="2060"/>
      <c r="FT14" s="2060"/>
      <c r="FU14" s="2060"/>
      <c r="FV14" s="2060"/>
      <c r="FW14" s="2060"/>
      <c r="FX14" s="2060"/>
      <c r="FY14" s="2060"/>
      <c r="FZ14" s="2060"/>
      <c r="GA14" s="2060"/>
      <c r="GB14" s="2060"/>
      <c r="GC14" s="2060"/>
      <c r="GD14" s="2060"/>
      <c r="GE14" s="2060"/>
      <c r="GF14" s="2060"/>
      <c r="GG14" s="2060"/>
      <c r="GH14" s="2060"/>
      <c r="GI14" s="2060"/>
      <c r="GJ14" s="2060"/>
      <c r="GK14" s="2060"/>
      <c r="GL14" s="2060"/>
      <c r="GM14" s="2060"/>
      <c r="GN14" s="2060"/>
      <c r="GO14" s="2060"/>
      <c r="GP14" s="2060"/>
      <c r="GQ14" s="2060"/>
      <c r="GR14" s="2060"/>
      <c r="GS14" s="2060"/>
      <c r="GT14" s="2060"/>
      <c r="GU14" s="2060"/>
      <c r="GV14" s="2060"/>
      <c r="GW14" s="2060"/>
      <c r="GX14" s="2060"/>
      <c r="GY14" s="2060"/>
      <c r="GZ14" s="2060"/>
      <c r="HA14" s="2060"/>
      <c r="HB14" s="2060"/>
      <c r="HC14" s="2060"/>
      <c r="HD14" s="2060"/>
      <c r="HE14" s="2060"/>
      <c r="HF14" s="2060"/>
      <c r="HG14" s="2060"/>
      <c r="HH14" s="2060"/>
      <c r="HI14" s="2060"/>
      <c r="HJ14" s="2060"/>
      <c r="HK14" s="2060"/>
      <c r="HL14" s="2060"/>
      <c r="HM14" s="2060"/>
      <c r="HN14" s="2060"/>
      <c r="HO14" s="2060"/>
      <c r="HP14" s="2060"/>
      <c r="HQ14" s="2060"/>
      <c r="HR14" s="2060"/>
      <c r="HS14" s="2060"/>
      <c r="HT14" s="2060"/>
      <c r="HU14" s="2060"/>
      <c r="HV14" s="2060"/>
      <c r="HW14" s="2060"/>
      <c r="HX14" s="2060"/>
      <c r="HY14" s="2060"/>
      <c r="HZ14" s="2060"/>
      <c r="IA14" s="2060"/>
      <c r="IB14" s="2060"/>
      <c r="IC14" s="2060"/>
      <c r="ID14" s="2060"/>
      <c r="IE14" s="2060"/>
      <c r="IF14" s="2060"/>
      <c r="IG14" s="2060"/>
      <c r="IH14" s="2060"/>
      <c r="II14" s="2060"/>
      <c r="IJ14" s="2060"/>
      <c r="IK14" s="2060"/>
      <c r="IL14" s="2060"/>
      <c r="IM14" s="2060"/>
      <c r="IN14" s="2060"/>
      <c r="IO14" s="2060"/>
      <c r="IP14" s="2060"/>
      <c r="IQ14" s="2060"/>
      <c r="IR14" s="2060"/>
      <c r="IS14" s="2060"/>
      <c r="IT14" s="2060"/>
      <c r="IU14" s="2060"/>
      <c r="IV14" s="2060"/>
      <c r="IW14" s="2060"/>
      <c r="IX14" s="2060"/>
      <c r="IY14" s="2060"/>
      <c r="IZ14" s="2060"/>
      <c r="JA14" s="2060"/>
      <c r="JB14" s="2060"/>
      <c r="JC14" s="2060"/>
      <c r="JD14" s="2060"/>
      <c r="JE14" s="2060"/>
      <c r="JF14" s="2060"/>
      <c r="JG14" s="2060"/>
      <c r="JH14" s="2060"/>
      <c r="JI14" s="2060"/>
      <c r="JJ14" s="2060"/>
      <c r="JK14" s="2060"/>
      <c r="JL14" s="2060"/>
      <c r="JM14" s="2060"/>
      <c r="JN14" s="2060"/>
      <c r="JO14" s="2060"/>
      <c r="JP14" s="2060"/>
      <c r="JQ14" s="2060"/>
      <c r="JR14" s="2060"/>
      <c r="JS14" s="2060"/>
      <c r="JT14" s="2060"/>
      <c r="JU14" s="2060"/>
      <c r="JV14" s="2060"/>
      <c r="JW14" s="2060"/>
      <c r="JX14" s="2060"/>
      <c r="JY14" s="2060"/>
      <c r="JZ14" s="2060"/>
      <c r="KA14" s="2060"/>
      <c r="KB14" s="2060"/>
      <c r="KC14" s="2060"/>
      <c r="KD14" s="2060"/>
      <c r="KE14" s="2060"/>
      <c r="KF14" s="2060"/>
      <c r="KG14" s="2060"/>
      <c r="KH14" s="2060"/>
      <c r="KI14" s="2060"/>
      <c r="KJ14" s="2060"/>
      <c r="KK14" s="2060"/>
      <c r="KL14" s="2060"/>
      <c r="KM14" s="2060"/>
      <c r="KN14" s="2060"/>
      <c r="KO14" s="2060"/>
      <c r="KP14" s="2060"/>
      <c r="KQ14" s="2060"/>
      <c r="KR14" s="2060"/>
      <c r="KS14" s="2060"/>
      <c r="KT14" s="2060"/>
      <c r="KU14" s="2060"/>
      <c r="KV14" s="2060"/>
      <c r="KW14" s="2060"/>
      <c r="KX14" s="2060"/>
      <c r="KY14" s="2060"/>
      <c r="KZ14" s="2060"/>
      <c r="LA14" s="2060"/>
      <c r="LB14" s="2060"/>
      <c r="LC14" s="2060"/>
      <c r="LD14" s="2060"/>
      <c r="LE14" s="2060"/>
      <c r="LF14" s="2060"/>
      <c r="LG14" s="2060"/>
      <c r="LH14" s="2060"/>
    </row>
    <row r="15" spans="1:320" s="119" customFormat="1" ht="12.75" customHeight="1">
      <c r="A15" s="2060"/>
      <c r="B15" s="2060"/>
      <c r="C15" s="2060"/>
      <c r="D15" s="2060"/>
      <c r="E15" s="1029" t="s">
        <v>223</v>
      </c>
      <c r="F15" s="2060"/>
      <c r="G15" s="1771" t="s">
        <v>49</v>
      </c>
      <c r="H15" s="1022" t="str">
        <f>OutputCurrency</f>
        <v>USD</v>
      </c>
      <c r="I15" s="21" t="str">
        <f>IFERROR(IF(OutputCurrency="Filing","",INDEX(CountryCurrencyNameUnique,MATCH($H$15,CountryCurrencySymbolUnique,0))),"United States Dollar")</f>
        <v>US Dollar</v>
      </c>
      <c r="J15" s="2060"/>
      <c r="K15" s="2060"/>
      <c r="L15" s="2060"/>
      <c r="M15" s="2060"/>
      <c r="N15" s="2073"/>
      <c r="O15" s="2073"/>
      <c r="P15" s="2073"/>
      <c r="Q15" s="2060"/>
      <c r="R15" s="2060"/>
      <c r="S15" s="2060"/>
      <c r="T15" s="2060"/>
      <c r="U15" s="2060"/>
      <c r="V15" s="2060"/>
      <c r="W15" s="2060"/>
      <c r="X15" s="2060"/>
      <c r="Y15" s="2060"/>
      <c r="Z15" s="2060" t="s">
        <v>224</v>
      </c>
      <c r="AA15" s="2060" t="s">
        <v>224</v>
      </c>
      <c r="AB15" s="2060" t="s">
        <v>225</v>
      </c>
      <c r="AC15" s="2060" t="s">
        <v>224</v>
      </c>
      <c r="AD15" s="2060" t="s">
        <v>225</v>
      </c>
      <c r="AE15" s="2060"/>
      <c r="AF15" s="2060"/>
      <c r="AG15" s="2060"/>
      <c r="AH15" s="2060"/>
      <c r="AI15" s="2060"/>
      <c r="AJ15" s="2060"/>
      <c r="AK15" s="2060"/>
      <c r="AL15" s="2060"/>
      <c r="AM15" s="2060"/>
      <c r="AN15" s="2060"/>
      <c r="AO15" s="2060" t="s">
        <v>226</v>
      </c>
      <c r="AP15" s="89"/>
      <c r="AQ15" s="255"/>
      <c r="AR15" s="255"/>
      <c r="AS15" s="98" t="s">
        <v>227</v>
      </c>
      <c r="AT15" s="80" t="s">
        <v>228</v>
      </c>
      <c r="AU15" s="80" t="s">
        <v>151</v>
      </c>
      <c r="AV15" s="80" t="s">
        <v>229</v>
      </c>
      <c r="AW15" s="81" t="s">
        <v>230</v>
      </c>
      <c r="AX15" s="78" t="s">
        <v>175</v>
      </c>
      <c r="AY15" s="78" t="s">
        <v>231</v>
      </c>
      <c r="AZ15" s="78" t="s">
        <v>174</v>
      </c>
      <c r="BA15" s="78" t="s">
        <v>232</v>
      </c>
      <c r="BB15" s="78" t="s">
        <v>233</v>
      </c>
      <c r="BC15" s="2060"/>
      <c r="BD15" s="2060"/>
      <c r="BE15" s="2060"/>
      <c r="BF15" s="2060"/>
      <c r="BG15" s="2060"/>
      <c r="BH15" s="2060"/>
      <c r="BI15" s="2060"/>
      <c r="BJ15" s="2060"/>
      <c r="BK15" s="2060"/>
      <c r="BL15" s="2060"/>
      <c r="BM15" s="2060"/>
      <c r="BN15" s="2060"/>
      <c r="BO15" s="2060"/>
      <c r="BP15" s="2060"/>
      <c r="BQ15" s="2060"/>
      <c r="BR15" s="2060"/>
      <c r="BS15" s="2060"/>
      <c r="BT15" s="2060"/>
      <c r="BU15" s="2060"/>
      <c r="BV15" s="2060"/>
      <c r="BW15" s="2060"/>
      <c r="BX15" s="2060"/>
      <c r="BY15" s="2060"/>
      <c r="BZ15" s="2060"/>
      <c r="CA15" s="2060"/>
      <c r="CB15" s="2060"/>
      <c r="CC15" s="2060"/>
      <c r="CD15" s="2060"/>
      <c r="CE15" s="2060"/>
      <c r="CF15" s="2060"/>
      <c r="CG15" s="2060"/>
      <c r="CH15" s="2060"/>
      <c r="CI15" s="2060"/>
      <c r="CJ15" s="2060"/>
      <c r="CK15" s="2060"/>
      <c r="CL15" s="2060"/>
      <c r="CM15" s="2060"/>
      <c r="CN15" s="2060"/>
      <c r="CO15" s="2060"/>
      <c r="CP15" s="2060"/>
      <c r="CQ15" s="2060"/>
      <c r="CR15" s="2060"/>
      <c r="CS15" s="2060"/>
      <c r="CT15" s="2060"/>
      <c r="CU15" s="2060"/>
      <c r="CV15" s="2060"/>
      <c r="CW15" s="2060"/>
      <c r="CX15" s="2060"/>
      <c r="CY15" s="2060"/>
      <c r="CZ15" s="2060"/>
      <c r="DA15" s="2060"/>
      <c r="DB15" s="2060"/>
      <c r="DC15" s="2060"/>
      <c r="DD15" s="2060"/>
      <c r="DE15" s="2060"/>
      <c r="DF15" s="2060"/>
      <c r="DG15" s="2060"/>
      <c r="DH15" s="2060"/>
      <c r="DI15" s="2060"/>
      <c r="DJ15" s="2060"/>
      <c r="DK15" s="2060"/>
      <c r="DL15" s="2060"/>
      <c r="DM15" s="2060"/>
      <c r="DN15" s="2060"/>
      <c r="DO15" s="2060"/>
      <c r="DP15" s="2060"/>
      <c r="DQ15" s="2060"/>
      <c r="DR15" s="2060"/>
      <c r="DS15" s="2060"/>
      <c r="DT15" s="2060"/>
      <c r="DU15" s="2060"/>
      <c r="DV15" s="2060"/>
      <c r="DW15" s="2060"/>
      <c r="DX15" s="2060"/>
      <c r="DY15" s="2060"/>
      <c r="DZ15" s="2060"/>
      <c r="EA15" s="2060"/>
      <c r="EB15" s="2060"/>
      <c r="EC15" s="2060"/>
      <c r="ED15" s="2060"/>
      <c r="EE15" s="2060"/>
      <c r="EF15" s="2060"/>
      <c r="EG15" s="2060"/>
      <c r="EH15" s="2060"/>
      <c r="EI15" s="2060"/>
      <c r="EJ15" s="2060"/>
      <c r="EK15" s="2060"/>
      <c r="EL15" s="2060"/>
      <c r="EM15" s="2060"/>
      <c r="EN15" s="2060"/>
      <c r="EO15" s="2060"/>
      <c r="EP15" s="2060"/>
      <c r="EQ15" s="2060"/>
      <c r="ER15" s="2060"/>
      <c r="ES15" s="2060"/>
      <c r="ET15" s="2060"/>
      <c r="EU15" s="2060"/>
      <c r="EV15" s="2060"/>
      <c r="EW15" s="2060"/>
      <c r="EX15" s="2060"/>
      <c r="EY15" s="2060"/>
      <c r="EZ15" s="2060"/>
      <c r="FA15" s="2060"/>
      <c r="FB15" s="2060"/>
      <c r="FC15" s="2060"/>
      <c r="FD15" s="2060"/>
      <c r="FE15" s="2060"/>
      <c r="FF15" s="2060"/>
      <c r="FG15" s="2060"/>
      <c r="FH15" s="2060"/>
      <c r="FI15" s="2060"/>
      <c r="FJ15" s="2060"/>
      <c r="FK15" s="2060"/>
      <c r="FL15" s="2060"/>
      <c r="FM15" s="2060"/>
      <c r="FN15" s="2060"/>
      <c r="FO15" s="2060"/>
      <c r="FP15" s="2060"/>
      <c r="FQ15" s="2060"/>
      <c r="FR15" s="2060"/>
      <c r="FS15" s="2060"/>
      <c r="FT15" s="2060"/>
      <c r="FU15" s="2060"/>
      <c r="FV15" s="2060"/>
      <c r="FW15" s="2060"/>
      <c r="FX15" s="2060"/>
      <c r="FY15" s="2060"/>
      <c r="FZ15" s="2060"/>
      <c r="GA15" s="2060"/>
      <c r="GB15" s="2060"/>
      <c r="GC15" s="2060"/>
      <c r="GD15" s="2060"/>
      <c r="GE15" s="2060"/>
      <c r="GF15" s="2060"/>
      <c r="GG15" s="2060"/>
      <c r="GH15" s="2060"/>
      <c r="GI15" s="2060"/>
      <c r="GJ15" s="2060"/>
      <c r="GK15" s="2060"/>
      <c r="GL15" s="2060"/>
      <c r="GM15" s="2060"/>
      <c r="GN15" s="2060"/>
      <c r="GO15" s="2060"/>
      <c r="GP15" s="2060"/>
      <c r="GQ15" s="2060"/>
      <c r="GR15" s="2060"/>
      <c r="GS15" s="2060"/>
      <c r="GT15" s="2060"/>
      <c r="GU15" s="2060"/>
      <c r="GV15" s="2060"/>
      <c r="GW15" s="2060"/>
      <c r="GX15" s="2060"/>
      <c r="GY15" s="2060"/>
      <c r="GZ15" s="2060"/>
      <c r="HA15" s="2060"/>
      <c r="HB15" s="2060"/>
      <c r="HC15" s="2060"/>
      <c r="HD15" s="2060"/>
      <c r="HE15" s="2060"/>
      <c r="HF15" s="2060"/>
      <c r="HG15" s="2060"/>
      <c r="HH15" s="2060"/>
      <c r="HI15" s="2060"/>
      <c r="HJ15" s="2060"/>
      <c r="HK15" s="2060"/>
      <c r="HL15" s="2060"/>
      <c r="HM15" s="2060"/>
      <c r="HN15" s="2060"/>
      <c r="HO15" s="2060"/>
      <c r="HP15" s="2060"/>
      <c r="HQ15" s="2060"/>
      <c r="HR15" s="2060"/>
      <c r="HS15" s="2060"/>
      <c r="HT15" s="2060"/>
      <c r="HU15" s="2060"/>
      <c r="HV15" s="2060"/>
      <c r="HW15" s="2060"/>
      <c r="HX15" s="2060"/>
      <c r="HY15" s="2060"/>
      <c r="HZ15" s="2060"/>
      <c r="IA15" s="2060"/>
      <c r="IB15" s="2060"/>
      <c r="IC15" s="2060"/>
      <c r="ID15" s="2060"/>
      <c r="IE15" s="2060"/>
      <c r="IF15" s="2060"/>
      <c r="IG15" s="2060"/>
      <c r="IH15" s="2060"/>
      <c r="II15" s="2060"/>
      <c r="IJ15" s="2060"/>
      <c r="IK15" s="2060"/>
      <c r="IL15" s="2060"/>
      <c r="IM15" s="2060"/>
      <c r="IN15" s="2060"/>
      <c r="IO15" s="2060"/>
      <c r="IP15" s="2060"/>
      <c r="IQ15" s="2060"/>
      <c r="IR15" s="2060"/>
      <c r="IS15" s="2060"/>
      <c r="IT15" s="2060"/>
      <c r="IU15" s="2060"/>
      <c r="IV15" s="2060"/>
      <c r="IW15" s="2060"/>
      <c r="IX15" s="2060"/>
      <c r="IY15" s="2060"/>
      <c r="IZ15" s="2060"/>
      <c r="JA15" s="2060"/>
      <c r="JB15" s="2060"/>
      <c r="JC15" s="2060"/>
      <c r="JD15" s="2060"/>
      <c r="JE15" s="2060"/>
      <c r="JF15" s="2060"/>
      <c r="JG15" s="2060"/>
      <c r="JH15" s="2060"/>
      <c r="JI15" s="2060"/>
      <c r="JJ15" s="2060"/>
      <c r="JK15" s="2060"/>
      <c r="JL15" s="2060"/>
      <c r="JM15" s="2060"/>
      <c r="JN15" s="2060"/>
      <c r="JO15" s="2060"/>
      <c r="JP15" s="2060"/>
      <c r="JQ15" s="2060"/>
      <c r="JR15" s="2060"/>
      <c r="JS15" s="2060"/>
      <c r="JT15" s="2060"/>
      <c r="JU15" s="2060"/>
      <c r="JV15" s="2060"/>
      <c r="JW15" s="2060"/>
      <c r="JX15" s="2060"/>
      <c r="JY15" s="2060"/>
      <c r="JZ15" s="2060"/>
      <c r="KA15" s="2060"/>
      <c r="KB15" s="2060"/>
      <c r="KC15" s="2060"/>
      <c r="KD15" s="2060"/>
      <c r="KE15" s="2060"/>
      <c r="KF15" s="2060"/>
      <c r="KG15" s="2060"/>
      <c r="KH15" s="2060"/>
      <c r="KI15" s="2060"/>
      <c r="KJ15" s="2060"/>
      <c r="KK15" s="2060"/>
      <c r="KL15" s="2060"/>
      <c r="KM15" s="2060"/>
      <c r="KN15" s="2060"/>
      <c r="KO15" s="2060"/>
      <c r="KP15" s="2060"/>
      <c r="KQ15" s="2060"/>
      <c r="KR15" s="2060"/>
      <c r="KS15" s="2060"/>
      <c r="KT15" s="2060"/>
      <c r="KU15" s="2060"/>
      <c r="KV15" s="2060"/>
      <c r="KW15" s="2060"/>
      <c r="KX15" s="2060"/>
      <c r="KY15" s="2060"/>
      <c r="KZ15" s="2060"/>
      <c r="LA15" s="2060"/>
      <c r="LB15" s="2060"/>
      <c r="LC15" s="2060"/>
      <c r="LD15" s="2060"/>
      <c r="LE15" s="2060"/>
      <c r="LF15" s="2060"/>
      <c r="LG15" s="2060"/>
      <c r="LH15" s="2060"/>
    </row>
    <row r="16" spans="1:320" s="119" customFormat="1" ht="13.9">
      <c r="A16" s="2060"/>
      <c r="B16" s="2060"/>
      <c r="C16" s="2060"/>
      <c r="D16" s="2060"/>
      <c r="E16" s="1029" t="s">
        <v>234</v>
      </c>
      <c r="F16" s="957" t="str">
        <f>IF(Valuation_Date_GC&lt;&gt;Valuation_date,Fail,"")</f>
        <v/>
      </c>
      <c r="G16" s="1594">
        <v>42794</v>
      </c>
      <c r="H16" s="958" t="str">
        <f>IF(Valuation_Date_GC&lt;&gt;Valuation_date,"Different from the "&amp;TEXT(Valuation_date,"d-mmm-yy")&amp;" date on START sheet. Please align.","")</f>
        <v/>
      </c>
      <c r="I16" s="2060"/>
      <c r="J16" s="2060"/>
      <c r="K16" s="2060"/>
      <c r="L16" s="2060"/>
      <c r="M16" s="2060"/>
      <c r="N16" s="2060"/>
      <c r="O16" s="2060"/>
      <c r="P16" s="2060"/>
      <c r="Q16" s="2060"/>
      <c r="R16" s="2060"/>
      <c r="S16" s="2060"/>
      <c r="T16" s="2060"/>
      <c r="U16" s="2060"/>
      <c r="V16" s="2060"/>
      <c r="W16" s="2060"/>
      <c r="X16" s="2060"/>
      <c r="Y16" s="2060"/>
      <c r="Z16" s="2119" t="s">
        <v>235</v>
      </c>
      <c r="AA16" s="2119" t="s">
        <v>236</v>
      </c>
      <c r="AB16" s="2120" t="s">
        <v>237</v>
      </c>
      <c r="AC16" s="2119" t="s">
        <v>238</v>
      </c>
      <c r="AD16" s="2119" t="s">
        <v>239</v>
      </c>
      <c r="AE16" s="2060"/>
      <c r="AF16" s="2060"/>
      <c r="AG16" s="2060"/>
      <c r="AH16" s="255"/>
      <c r="AI16" s="2073"/>
      <c r="AJ16" s="266">
        <v>1</v>
      </c>
      <c r="AK16" s="264"/>
      <c r="AL16" s="264"/>
      <c r="AM16" s="2060"/>
      <c r="AN16" s="2060"/>
      <c r="AO16" s="2060" t="s">
        <v>240</v>
      </c>
      <c r="AP16" s="255"/>
      <c r="AQ16" s="89"/>
      <c r="AR16" s="255"/>
      <c r="AS16" s="98" t="s">
        <v>227</v>
      </c>
      <c r="AT16" s="80" t="s">
        <v>228</v>
      </c>
      <c r="AU16" s="80" t="s">
        <v>151</v>
      </c>
      <c r="AV16" s="80" t="s">
        <v>241</v>
      </c>
      <c r="AW16" s="81" t="s">
        <v>242</v>
      </c>
      <c r="AX16" s="78" t="s">
        <v>175</v>
      </c>
      <c r="AY16" s="78" t="s">
        <v>231</v>
      </c>
      <c r="AZ16" s="78" t="s">
        <v>174</v>
      </c>
      <c r="BA16" s="78" t="s">
        <v>243</v>
      </c>
      <c r="BB16" s="78" t="s">
        <v>244</v>
      </c>
      <c r="BC16" s="2060"/>
      <c r="BD16" s="2060"/>
      <c r="BE16" s="2060"/>
      <c r="BF16" s="2060"/>
      <c r="BG16" s="2060"/>
      <c r="BH16" s="2060"/>
      <c r="BI16" s="2060"/>
      <c r="BJ16" s="2060"/>
      <c r="BK16" s="2060"/>
      <c r="BL16" s="2060"/>
      <c r="BM16" s="2060"/>
      <c r="BN16" s="2060"/>
      <c r="BO16" s="2060"/>
      <c r="BP16" s="2060"/>
      <c r="BQ16" s="2060"/>
      <c r="BR16" s="2060"/>
      <c r="BS16" s="2060"/>
      <c r="BT16" s="2060"/>
      <c r="BU16" s="2060"/>
      <c r="BV16" s="2060"/>
      <c r="BW16" s="2060"/>
      <c r="BX16" s="2060"/>
      <c r="BY16" s="2060"/>
      <c r="BZ16" s="2060"/>
      <c r="CA16" s="2060"/>
      <c r="CB16" s="2060"/>
      <c r="CC16" s="2060"/>
      <c r="CD16" s="2060"/>
      <c r="CE16" s="2060"/>
      <c r="CF16" s="2060"/>
      <c r="CG16" s="2060"/>
      <c r="CH16" s="2060"/>
      <c r="CI16" s="2060"/>
      <c r="CJ16" s="2060"/>
      <c r="CK16" s="2060"/>
      <c r="CL16" s="2060"/>
      <c r="CM16" s="2060"/>
      <c r="CN16" s="2060"/>
      <c r="CO16" s="2060"/>
      <c r="CP16" s="2060"/>
      <c r="CQ16" s="2060"/>
      <c r="CR16" s="2060"/>
      <c r="CS16" s="2060"/>
      <c r="CT16" s="2060"/>
      <c r="CU16" s="2060"/>
      <c r="CV16" s="2060"/>
      <c r="CW16" s="2060"/>
      <c r="CX16" s="2060"/>
      <c r="CY16" s="2060"/>
      <c r="CZ16" s="2060"/>
      <c r="DA16" s="2060"/>
      <c r="DB16" s="2060"/>
      <c r="DC16" s="2060"/>
      <c r="DD16" s="2060"/>
      <c r="DE16" s="2060"/>
      <c r="DF16" s="2060"/>
      <c r="DG16" s="2060"/>
      <c r="DH16" s="2060"/>
      <c r="DI16" s="2060"/>
      <c r="DJ16" s="2060"/>
      <c r="DK16" s="2060"/>
      <c r="DL16" s="2060"/>
      <c r="DM16" s="2060"/>
      <c r="DN16" s="2060"/>
      <c r="DO16" s="2060"/>
      <c r="DP16" s="2060"/>
      <c r="DQ16" s="2060"/>
      <c r="DR16" s="2060"/>
      <c r="DS16" s="2060"/>
      <c r="DT16" s="2060"/>
      <c r="DU16" s="2060"/>
      <c r="DV16" s="2060"/>
      <c r="DW16" s="2060"/>
      <c r="DX16" s="2060"/>
      <c r="DY16" s="2060"/>
      <c r="DZ16" s="2060"/>
      <c r="EA16" s="2060"/>
      <c r="EB16" s="2060"/>
      <c r="EC16" s="2060"/>
      <c r="ED16" s="2060"/>
      <c r="EE16" s="2060"/>
      <c r="EF16" s="2060"/>
      <c r="EG16" s="2060"/>
      <c r="EH16" s="2060"/>
      <c r="EI16" s="2060"/>
      <c r="EJ16" s="2060"/>
      <c r="EK16" s="2060"/>
      <c r="EL16" s="2060"/>
      <c r="EM16" s="2060"/>
      <c r="EN16" s="2060"/>
      <c r="EO16" s="2060"/>
      <c r="EP16" s="2060"/>
      <c r="EQ16" s="2060"/>
      <c r="ER16" s="2060"/>
      <c r="ES16" s="2060"/>
      <c r="ET16" s="2060"/>
      <c r="EU16" s="2060"/>
      <c r="EV16" s="2060"/>
      <c r="EW16" s="2060"/>
      <c r="EX16" s="2060"/>
      <c r="EY16" s="2060"/>
      <c r="EZ16" s="2060"/>
      <c r="FA16" s="2060"/>
      <c r="FB16" s="2060"/>
      <c r="FC16" s="2060"/>
      <c r="FD16" s="2060"/>
      <c r="FE16" s="2060"/>
      <c r="FF16" s="2060"/>
      <c r="FG16" s="2060"/>
      <c r="FH16" s="2060"/>
      <c r="FI16" s="2060"/>
      <c r="FJ16" s="2060"/>
      <c r="FK16" s="2060"/>
      <c r="FL16" s="2060"/>
      <c r="FM16" s="2060"/>
      <c r="FN16" s="2060"/>
      <c r="FO16" s="2060"/>
      <c r="FP16" s="2060"/>
      <c r="FQ16" s="2060"/>
      <c r="FR16" s="2060"/>
      <c r="FS16" s="2060"/>
      <c r="FT16" s="2060"/>
      <c r="FU16" s="2060"/>
      <c r="FV16" s="2060"/>
      <c r="FW16" s="2060"/>
      <c r="FX16" s="2060"/>
      <c r="FY16" s="2060"/>
      <c r="FZ16" s="2060"/>
      <c r="GA16" s="2060"/>
      <c r="GB16" s="2060"/>
      <c r="GC16" s="2060"/>
      <c r="GD16" s="2060"/>
      <c r="GE16" s="2060"/>
      <c r="GF16" s="2060"/>
      <c r="GG16" s="2060"/>
      <c r="GH16" s="2060"/>
      <c r="GI16" s="2060"/>
      <c r="GJ16" s="2060"/>
      <c r="GK16" s="2060"/>
      <c r="GL16" s="2060"/>
      <c r="GM16" s="2060"/>
      <c r="GN16" s="2060"/>
      <c r="GO16" s="2060"/>
      <c r="GP16" s="2060"/>
      <c r="GQ16" s="2060"/>
      <c r="GR16" s="2060"/>
      <c r="GS16" s="2060"/>
      <c r="GT16" s="2060"/>
      <c r="GU16" s="2060"/>
      <c r="GV16" s="2060"/>
      <c r="GW16" s="2060"/>
      <c r="GX16" s="2060"/>
      <c r="GY16" s="2060"/>
      <c r="GZ16" s="2060"/>
      <c r="HA16" s="2060"/>
      <c r="HB16" s="2060"/>
      <c r="HC16" s="2060"/>
      <c r="HD16" s="2060"/>
      <c r="HE16" s="2060"/>
      <c r="HF16" s="2060"/>
      <c r="HG16" s="2060"/>
      <c r="HH16" s="2060"/>
      <c r="HI16" s="2060"/>
      <c r="HJ16" s="2060"/>
      <c r="HK16" s="2060"/>
      <c r="HL16" s="2060"/>
      <c r="HM16" s="2060"/>
      <c r="HN16" s="2060"/>
      <c r="HO16" s="2060"/>
      <c r="HP16" s="2060"/>
      <c r="HQ16" s="2060"/>
      <c r="HR16" s="2060"/>
      <c r="HS16" s="2060"/>
      <c r="HT16" s="2060"/>
      <c r="HU16" s="2060"/>
      <c r="HV16" s="2060"/>
      <c r="HW16" s="2060"/>
      <c r="HX16" s="2060"/>
      <c r="HY16" s="2060"/>
      <c r="HZ16" s="2060"/>
      <c r="IA16" s="2060"/>
      <c r="IB16" s="2060"/>
      <c r="IC16" s="2060"/>
      <c r="ID16" s="2060"/>
      <c r="IE16" s="2060"/>
      <c r="IF16" s="2060"/>
      <c r="IG16" s="2060"/>
      <c r="IH16" s="2060"/>
      <c r="II16" s="2060"/>
      <c r="IJ16" s="2060"/>
      <c r="IK16" s="2060"/>
      <c r="IL16" s="2060"/>
      <c r="IM16" s="2060"/>
      <c r="IN16" s="2060"/>
      <c r="IO16" s="2060"/>
      <c r="IP16" s="2060"/>
      <c r="IQ16" s="2060"/>
      <c r="IR16" s="2060"/>
      <c r="IS16" s="2060"/>
      <c r="IT16" s="2060"/>
      <c r="IU16" s="2060"/>
      <c r="IV16" s="2060"/>
      <c r="IW16" s="2060"/>
      <c r="IX16" s="2060"/>
      <c r="IY16" s="2060"/>
      <c r="IZ16" s="2060"/>
      <c r="JA16" s="2060"/>
      <c r="JB16" s="2060"/>
      <c r="JC16" s="2060"/>
      <c r="JD16" s="2060"/>
      <c r="JE16" s="2060"/>
      <c r="JF16" s="2060"/>
      <c r="JG16" s="2060"/>
      <c r="JH16" s="2060"/>
      <c r="JI16" s="2060"/>
      <c r="JJ16" s="2060"/>
      <c r="JK16" s="2060"/>
      <c r="JL16" s="2060"/>
      <c r="JM16" s="2060"/>
      <c r="JN16" s="2060"/>
      <c r="JO16" s="2060"/>
      <c r="JP16" s="2060"/>
      <c r="JQ16" s="2060"/>
      <c r="JR16" s="2060"/>
      <c r="JS16" s="2060"/>
      <c r="JT16" s="2060"/>
      <c r="JU16" s="2060"/>
      <c r="JV16" s="2060"/>
      <c r="JW16" s="2060"/>
      <c r="JX16" s="2060"/>
      <c r="JY16" s="2060"/>
      <c r="JZ16" s="2060"/>
      <c r="KA16" s="2060"/>
      <c r="KB16" s="2060"/>
      <c r="KC16" s="2060"/>
      <c r="KD16" s="2060"/>
      <c r="KE16" s="2060"/>
      <c r="KF16" s="2060"/>
      <c r="KG16" s="2060"/>
      <c r="KH16" s="2060"/>
      <c r="KI16" s="2060"/>
      <c r="KJ16" s="2060"/>
      <c r="KK16" s="2060"/>
      <c r="KL16" s="2060"/>
      <c r="KM16" s="2060"/>
      <c r="KN16" s="2060"/>
      <c r="KO16" s="2060"/>
      <c r="KP16" s="2060"/>
      <c r="KQ16" s="2060"/>
      <c r="KR16" s="2060"/>
      <c r="KS16" s="2060"/>
      <c r="KT16" s="2060"/>
      <c r="KU16" s="2060"/>
      <c r="KV16" s="2060"/>
      <c r="KW16" s="2060"/>
      <c r="KX16" s="2060"/>
      <c r="KY16" s="2060"/>
      <c r="KZ16" s="2060"/>
      <c r="LA16" s="2060"/>
      <c r="LB16" s="2060"/>
      <c r="LC16" s="2060"/>
      <c r="LD16" s="2060"/>
      <c r="LE16" s="2060"/>
      <c r="LF16" s="2060"/>
      <c r="LG16" s="2060"/>
      <c r="LH16" s="2060"/>
    </row>
    <row r="17" spans="1:320" s="119" customFormat="1" ht="13.9">
      <c r="A17" s="2060"/>
      <c r="B17" s="2060"/>
      <c r="C17" s="2060"/>
      <c r="D17" s="2060"/>
      <c r="E17" s="2060"/>
      <c r="F17" s="2060"/>
      <c r="G17" s="2060"/>
      <c r="H17" s="2060"/>
      <c r="I17" s="2060"/>
      <c r="J17" s="2060"/>
      <c r="K17" s="2060"/>
      <c r="L17" s="2060"/>
      <c r="M17" s="2060"/>
      <c r="N17" s="2060"/>
      <c r="O17" s="2060"/>
      <c r="P17" s="2060"/>
      <c r="Q17" s="2060"/>
      <c r="R17" s="2060"/>
      <c r="S17" s="2060"/>
      <c r="T17" s="2060"/>
      <c r="U17" s="2060"/>
      <c r="V17" s="2060"/>
      <c r="W17" s="2060"/>
      <c r="X17" s="2060"/>
      <c r="Y17" s="2060"/>
      <c r="Z17" s="2060"/>
      <c r="AA17" s="2060"/>
      <c r="AB17" s="2060"/>
      <c r="AC17" s="2060" t="s">
        <v>245</v>
      </c>
      <c r="AD17" s="2060" t="s">
        <v>246</v>
      </c>
      <c r="AE17" s="2060"/>
      <c r="AF17" s="2060"/>
      <c r="AG17" s="2060"/>
      <c r="AH17" s="2060"/>
      <c r="AI17" s="2073"/>
      <c r="AJ17" s="266"/>
      <c r="AK17" s="264"/>
      <c r="AL17" s="264"/>
      <c r="AM17" s="2060"/>
      <c r="AN17" s="2060"/>
      <c r="AO17" s="2060" t="s">
        <v>247</v>
      </c>
      <c r="AP17" s="89"/>
      <c r="AQ17" s="89"/>
      <c r="AR17" s="255"/>
      <c r="AS17" s="98" t="s">
        <v>227</v>
      </c>
      <c r="AT17" s="80" t="s">
        <v>228</v>
      </c>
      <c r="AU17" s="80" t="s">
        <v>151</v>
      </c>
      <c r="AV17" s="80" t="s">
        <v>248</v>
      </c>
      <c r="AW17" s="81" t="s">
        <v>249</v>
      </c>
      <c r="AX17" s="78" t="s">
        <v>175</v>
      </c>
      <c r="AY17" s="78" t="s">
        <v>231</v>
      </c>
      <c r="AZ17" s="78" t="s">
        <v>174</v>
      </c>
      <c r="BA17" s="78" t="s">
        <v>250</v>
      </c>
      <c r="BB17" s="78" t="s">
        <v>251</v>
      </c>
      <c r="BC17" s="2060"/>
      <c r="BD17" s="2060"/>
      <c r="BE17" s="2060"/>
      <c r="BF17" s="2060"/>
      <c r="BG17" s="2060"/>
      <c r="BH17" s="2060"/>
      <c r="BI17" s="2060"/>
      <c r="BJ17" s="2060"/>
      <c r="BK17" s="2060"/>
      <c r="BL17" s="2060"/>
      <c r="BM17" s="2060"/>
      <c r="BN17" s="2060"/>
      <c r="BO17" s="2060"/>
      <c r="BP17" s="2060"/>
      <c r="BQ17" s="2060"/>
      <c r="BR17" s="2060"/>
      <c r="BS17" s="2060"/>
      <c r="BT17" s="2060"/>
      <c r="BU17" s="2060"/>
      <c r="BV17" s="2060"/>
      <c r="BW17" s="2060"/>
      <c r="BX17" s="2060"/>
      <c r="BY17" s="2060"/>
      <c r="BZ17" s="2060"/>
      <c r="CA17" s="2060"/>
      <c r="CB17" s="2060"/>
      <c r="CC17" s="2060"/>
      <c r="CD17" s="2060"/>
      <c r="CE17" s="2060"/>
      <c r="CF17" s="2060"/>
      <c r="CG17" s="2060"/>
      <c r="CH17" s="2060"/>
      <c r="CI17" s="2060"/>
      <c r="CJ17" s="2060"/>
      <c r="CK17" s="2060"/>
      <c r="CL17" s="2060"/>
      <c r="CM17" s="2060"/>
      <c r="CN17" s="2060"/>
      <c r="CO17" s="2060"/>
      <c r="CP17" s="2060"/>
      <c r="CQ17" s="2060"/>
      <c r="CR17" s="2060"/>
      <c r="CS17" s="2060"/>
      <c r="CT17" s="2060"/>
      <c r="CU17" s="2060"/>
      <c r="CV17" s="2060"/>
      <c r="CW17" s="2060"/>
      <c r="CX17" s="2060"/>
      <c r="CY17" s="2060"/>
      <c r="CZ17" s="2060"/>
      <c r="DA17" s="2060"/>
      <c r="DB17" s="2060"/>
      <c r="DC17" s="2060"/>
      <c r="DD17" s="2060"/>
      <c r="DE17" s="2060"/>
      <c r="DF17" s="2060"/>
      <c r="DG17" s="2060"/>
      <c r="DH17" s="2060"/>
      <c r="DI17" s="2060"/>
      <c r="DJ17" s="2060"/>
      <c r="DK17" s="2060"/>
      <c r="DL17" s="2060"/>
      <c r="DM17" s="2060"/>
      <c r="DN17" s="2060"/>
      <c r="DO17" s="2060"/>
      <c r="DP17" s="2060"/>
      <c r="DQ17" s="2060"/>
      <c r="DR17" s="2060"/>
      <c r="DS17" s="2060"/>
      <c r="DT17" s="2060"/>
      <c r="DU17" s="2060"/>
      <c r="DV17" s="2060"/>
      <c r="DW17" s="2060"/>
      <c r="DX17" s="2060"/>
      <c r="DY17" s="2060"/>
      <c r="DZ17" s="2060"/>
      <c r="EA17" s="2060"/>
      <c r="EB17" s="2060"/>
      <c r="EC17" s="2060"/>
      <c r="ED17" s="2060"/>
      <c r="EE17" s="2060"/>
      <c r="EF17" s="2060"/>
      <c r="EG17" s="2060"/>
      <c r="EH17" s="2060"/>
      <c r="EI17" s="2060"/>
      <c r="EJ17" s="2060"/>
      <c r="EK17" s="2060"/>
      <c r="EL17" s="2060"/>
      <c r="EM17" s="2060"/>
      <c r="EN17" s="2060"/>
      <c r="EO17" s="2060"/>
      <c r="EP17" s="2060"/>
      <c r="EQ17" s="2060"/>
      <c r="ER17" s="2060"/>
      <c r="ES17" s="2060"/>
      <c r="ET17" s="2060"/>
      <c r="EU17" s="2060"/>
      <c r="EV17" s="2060"/>
      <c r="EW17" s="2060"/>
      <c r="EX17" s="2060"/>
      <c r="EY17" s="2060"/>
      <c r="EZ17" s="2060"/>
      <c r="FA17" s="2060"/>
      <c r="FB17" s="2060"/>
      <c r="FC17" s="2060"/>
      <c r="FD17" s="2060"/>
      <c r="FE17" s="2060"/>
      <c r="FF17" s="2060"/>
      <c r="FG17" s="2060"/>
      <c r="FH17" s="2060"/>
      <c r="FI17" s="2060"/>
      <c r="FJ17" s="2060"/>
      <c r="FK17" s="2060"/>
      <c r="FL17" s="2060"/>
      <c r="FM17" s="2060"/>
      <c r="FN17" s="2060"/>
      <c r="FO17" s="2060"/>
      <c r="FP17" s="2060"/>
      <c r="FQ17" s="2060"/>
      <c r="FR17" s="2060"/>
      <c r="FS17" s="2060"/>
      <c r="FT17" s="2060"/>
      <c r="FU17" s="2060"/>
      <c r="FV17" s="2060"/>
      <c r="FW17" s="2060"/>
      <c r="FX17" s="2060"/>
      <c r="FY17" s="2060"/>
      <c r="FZ17" s="2060"/>
      <c r="GA17" s="2060"/>
      <c r="GB17" s="2060"/>
      <c r="GC17" s="2060"/>
      <c r="GD17" s="2060"/>
      <c r="GE17" s="2060"/>
      <c r="GF17" s="2060"/>
      <c r="GG17" s="2060"/>
      <c r="GH17" s="2060"/>
      <c r="GI17" s="2060"/>
      <c r="GJ17" s="2060"/>
      <c r="GK17" s="2060"/>
      <c r="GL17" s="2060"/>
      <c r="GM17" s="2060"/>
      <c r="GN17" s="2060"/>
      <c r="GO17" s="2060"/>
      <c r="GP17" s="2060"/>
      <c r="GQ17" s="2060"/>
      <c r="GR17" s="2060"/>
      <c r="GS17" s="2060"/>
      <c r="GT17" s="2060"/>
      <c r="GU17" s="2060"/>
      <c r="GV17" s="2060"/>
      <c r="GW17" s="2060"/>
      <c r="GX17" s="2060"/>
      <c r="GY17" s="2060"/>
      <c r="GZ17" s="2060"/>
      <c r="HA17" s="2060"/>
      <c r="HB17" s="2060"/>
      <c r="HC17" s="2060"/>
      <c r="HD17" s="2060"/>
      <c r="HE17" s="2060"/>
      <c r="HF17" s="2060"/>
      <c r="HG17" s="2060"/>
      <c r="HH17" s="2060"/>
      <c r="HI17" s="2060"/>
      <c r="HJ17" s="2060"/>
      <c r="HK17" s="2060"/>
      <c r="HL17" s="2060"/>
      <c r="HM17" s="2060"/>
      <c r="HN17" s="2060"/>
      <c r="HO17" s="2060"/>
      <c r="HP17" s="2060"/>
      <c r="HQ17" s="2060"/>
      <c r="HR17" s="2060"/>
      <c r="HS17" s="2060"/>
      <c r="HT17" s="2060"/>
      <c r="HU17" s="2060"/>
      <c r="HV17" s="2060"/>
      <c r="HW17" s="2060"/>
      <c r="HX17" s="2060"/>
      <c r="HY17" s="2060"/>
      <c r="HZ17" s="2060"/>
      <c r="IA17" s="2060"/>
      <c r="IB17" s="2060"/>
      <c r="IC17" s="2060"/>
      <c r="ID17" s="2060"/>
      <c r="IE17" s="2060"/>
      <c r="IF17" s="2060"/>
      <c r="IG17" s="2060"/>
      <c r="IH17" s="2060"/>
      <c r="II17" s="2060"/>
      <c r="IJ17" s="2060"/>
      <c r="IK17" s="2060"/>
      <c r="IL17" s="2060"/>
      <c r="IM17" s="2060"/>
      <c r="IN17" s="2060"/>
      <c r="IO17" s="2060"/>
      <c r="IP17" s="2060"/>
      <c r="IQ17" s="2060"/>
      <c r="IR17" s="2060"/>
      <c r="IS17" s="2060"/>
      <c r="IT17" s="2060"/>
      <c r="IU17" s="2060"/>
      <c r="IV17" s="2060"/>
      <c r="IW17" s="2060"/>
      <c r="IX17" s="2060"/>
      <c r="IY17" s="2060"/>
      <c r="IZ17" s="2060"/>
      <c r="JA17" s="2060"/>
      <c r="JB17" s="2060"/>
      <c r="JC17" s="2060"/>
      <c r="JD17" s="2060"/>
      <c r="JE17" s="2060"/>
      <c r="JF17" s="2060"/>
      <c r="JG17" s="2060"/>
      <c r="JH17" s="2060"/>
      <c r="JI17" s="2060"/>
      <c r="JJ17" s="2060"/>
      <c r="JK17" s="2060"/>
      <c r="JL17" s="2060"/>
      <c r="JM17" s="2060"/>
      <c r="JN17" s="2060"/>
      <c r="JO17" s="2060"/>
      <c r="JP17" s="2060"/>
      <c r="JQ17" s="2060"/>
      <c r="JR17" s="2060"/>
      <c r="JS17" s="2060"/>
      <c r="JT17" s="2060"/>
      <c r="JU17" s="2060"/>
      <c r="JV17" s="2060"/>
      <c r="JW17" s="2060"/>
      <c r="JX17" s="2060"/>
      <c r="JY17" s="2060"/>
      <c r="JZ17" s="2060"/>
      <c r="KA17" s="2060"/>
      <c r="KB17" s="2060"/>
      <c r="KC17" s="2060"/>
      <c r="KD17" s="2060"/>
      <c r="KE17" s="2060"/>
      <c r="KF17" s="2060"/>
      <c r="KG17" s="2060"/>
      <c r="KH17" s="2060"/>
      <c r="KI17" s="2060"/>
      <c r="KJ17" s="2060"/>
      <c r="KK17" s="2060"/>
      <c r="KL17" s="2060"/>
      <c r="KM17" s="2060"/>
      <c r="KN17" s="2060"/>
      <c r="KO17" s="2060"/>
      <c r="KP17" s="2060"/>
      <c r="KQ17" s="2060"/>
      <c r="KR17" s="2060"/>
      <c r="KS17" s="2060"/>
      <c r="KT17" s="2060"/>
      <c r="KU17" s="2060"/>
      <c r="KV17" s="2060"/>
      <c r="KW17" s="2060"/>
      <c r="KX17" s="2060"/>
      <c r="KY17" s="2060"/>
      <c r="KZ17" s="2060"/>
      <c r="LA17" s="2060"/>
      <c r="LB17" s="2060"/>
      <c r="LC17" s="2060"/>
      <c r="LD17" s="2060"/>
      <c r="LE17" s="2060"/>
      <c r="LF17" s="2060"/>
      <c r="LG17" s="2060"/>
      <c r="LH17" s="2060"/>
    </row>
    <row r="18" spans="1:320" s="119" customFormat="1" ht="13.9">
      <c r="A18" s="269"/>
      <c r="B18" s="269"/>
      <c r="C18" s="2060"/>
      <c r="D18" s="2060"/>
      <c r="E18" s="2060"/>
      <c r="F18" s="2060"/>
      <c r="G18" s="2060"/>
      <c r="H18" s="2060"/>
      <c r="I18" s="444"/>
      <c r="J18" s="1029" t="s">
        <v>167</v>
      </c>
      <c r="K18" s="2060"/>
      <c r="L18" s="2060"/>
      <c r="M18" s="2060"/>
      <c r="N18" s="1029" t="s">
        <v>252</v>
      </c>
      <c r="O18" s="2060"/>
      <c r="P18" s="1029" t="s">
        <v>253</v>
      </c>
      <c r="Q18" s="2060"/>
      <c r="R18" s="2060"/>
      <c r="S18" s="2060"/>
      <c r="T18" s="2060"/>
      <c r="U18" s="2060"/>
      <c r="V18" s="2060"/>
      <c r="W18" s="2060"/>
      <c r="X18" s="2060"/>
      <c r="Y18" s="2060"/>
      <c r="Z18" s="2060" t="s">
        <v>245</v>
      </c>
      <c r="AA18" s="2060" t="s">
        <v>245</v>
      </c>
      <c r="AB18" s="2060" t="s">
        <v>254</v>
      </c>
      <c r="AC18" s="2060" t="s">
        <v>255</v>
      </c>
      <c r="AD18" s="2060" t="s">
        <v>256</v>
      </c>
      <c r="AE18" s="2060"/>
      <c r="AF18" s="184" t="s">
        <v>217</v>
      </c>
      <c r="AG18" s="184" t="s">
        <v>217</v>
      </c>
      <c r="AH18" s="2060"/>
      <c r="AI18" s="2060"/>
      <c r="AJ18" s="264"/>
      <c r="AK18" s="264" t="s">
        <v>257</v>
      </c>
      <c r="AL18" s="264" t="s">
        <v>125</v>
      </c>
      <c r="AM18" s="2060"/>
      <c r="AN18" s="2060"/>
      <c r="AO18" s="2060" t="s">
        <v>258</v>
      </c>
      <c r="AP18" s="89"/>
      <c r="AQ18" s="89"/>
      <c r="AR18" s="255"/>
      <c r="AS18" s="98"/>
      <c r="AT18" s="80"/>
      <c r="AU18" s="80"/>
      <c r="AV18" s="80" t="s">
        <v>173</v>
      </c>
      <c r="AW18" s="81"/>
      <c r="AX18" s="78"/>
      <c r="AY18" s="78"/>
      <c r="AZ18" s="78"/>
      <c r="BA18" s="78" t="s">
        <v>259</v>
      </c>
      <c r="BB18" s="78" t="s">
        <v>260</v>
      </c>
      <c r="BC18" s="2060"/>
      <c r="BD18" s="2060"/>
      <c r="BE18" s="2060"/>
      <c r="BF18" s="2060"/>
      <c r="BG18" s="2060"/>
      <c r="BH18" s="2060"/>
      <c r="BI18" s="2060"/>
      <c r="BJ18" s="2060"/>
      <c r="BK18" s="2060"/>
      <c r="BL18" s="2060"/>
      <c r="BM18" s="2060"/>
      <c r="BN18" s="2060"/>
      <c r="BO18" s="2060"/>
      <c r="BP18" s="2060"/>
      <c r="BQ18" s="2060"/>
      <c r="BR18" s="2060"/>
      <c r="BS18" s="2060"/>
      <c r="BT18" s="2060"/>
      <c r="BU18" s="2060"/>
      <c r="BV18" s="2060"/>
      <c r="BW18" s="2060"/>
      <c r="BX18" s="2060"/>
      <c r="BY18" s="2060"/>
      <c r="BZ18" s="2060"/>
      <c r="CA18" s="2060"/>
      <c r="CB18" s="2060"/>
      <c r="CC18" s="2060"/>
      <c r="CD18" s="2060"/>
      <c r="CE18" s="2060"/>
      <c r="CF18" s="2060"/>
      <c r="CG18" s="2060"/>
      <c r="CH18" s="2060"/>
      <c r="CI18" s="2060"/>
      <c r="CJ18" s="2060"/>
      <c r="CK18" s="2060"/>
      <c r="CL18" s="2060"/>
      <c r="CM18" s="2060"/>
      <c r="CN18" s="2060"/>
      <c r="CO18" s="2060"/>
      <c r="CP18" s="2060"/>
      <c r="CQ18" s="2060"/>
      <c r="CR18" s="2060"/>
      <c r="CS18" s="2060"/>
      <c r="CT18" s="2060"/>
      <c r="CU18" s="2060"/>
      <c r="CV18" s="2060"/>
      <c r="CW18" s="2060"/>
      <c r="CX18" s="2060"/>
      <c r="CY18" s="2060"/>
      <c r="CZ18" s="2060"/>
      <c r="DA18" s="2060"/>
      <c r="DB18" s="2060"/>
      <c r="DC18" s="2060"/>
      <c r="DD18" s="2060"/>
      <c r="DE18" s="2060"/>
      <c r="DF18" s="2060"/>
      <c r="DG18" s="2060"/>
      <c r="DH18" s="2060"/>
      <c r="DI18" s="2060"/>
      <c r="DJ18" s="2060"/>
      <c r="DK18" s="2060"/>
      <c r="DL18" s="2060"/>
      <c r="DM18" s="2060"/>
      <c r="DN18" s="2060"/>
      <c r="DO18" s="2060"/>
      <c r="DP18" s="2060"/>
      <c r="DQ18" s="2060"/>
      <c r="DR18" s="2060"/>
      <c r="DS18" s="2060"/>
      <c r="DT18" s="2060"/>
      <c r="DU18" s="2060"/>
      <c r="DV18" s="2060"/>
      <c r="DW18" s="2060"/>
      <c r="DX18" s="2060"/>
      <c r="DY18" s="2060"/>
      <c r="DZ18" s="2060"/>
      <c r="EA18" s="2060"/>
      <c r="EB18" s="2060"/>
      <c r="EC18" s="2060"/>
      <c r="ED18" s="2060"/>
      <c r="EE18" s="2060"/>
      <c r="EF18" s="2060"/>
      <c r="EG18" s="2060"/>
      <c r="EH18" s="2060"/>
      <c r="EI18" s="2060"/>
      <c r="EJ18" s="2060"/>
      <c r="EK18" s="2060"/>
      <c r="EL18" s="2060"/>
      <c r="EM18" s="2060"/>
      <c r="EN18" s="2060"/>
      <c r="EO18" s="2060"/>
      <c r="EP18" s="2060"/>
      <c r="EQ18" s="2060"/>
      <c r="ER18" s="2060"/>
      <c r="ES18" s="2060"/>
      <c r="ET18" s="2060"/>
      <c r="EU18" s="2060"/>
      <c r="EV18" s="2060"/>
      <c r="EW18" s="2060"/>
      <c r="EX18" s="2060"/>
      <c r="EY18" s="2060"/>
      <c r="EZ18" s="2060"/>
      <c r="FA18" s="2060"/>
      <c r="FB18" s="2060"/>
      <c r="FC18" s="2060"/>
      <c r="FD18" s="2060"/>
      <c r="FE18" s="2060"/>
      <c r="FF18" s="2060"/>
      <c r="FG18" s="2060"/>
      <c r="FH18" s="2060"/>
      <c r="FI18" s="2060"/>
      <c r="FJ18" s="2060"/>
      <c r="FK18" s="2060"/>
      <c r="FL18" s="2060"/>
      <c r="FM18" s="2060"/>
      <c r="FN18" s="2060"/>
      <c r="FO18" s="2060"/>
      <c r="FP18" s="2060"/>
      <c r="FQ18" s="2060"/>
      <c r="FR18" s="2060"/>
      <c r="FS18" s="2060"/>
      <c r="FT18" s="2060"/>
      <c r="FU18" s="2060"/>
      <c r="FV18" s="2060"/>
      <c r="FW18" s="2060"/>
      <c r="FX18" s="2060"/>
      <c r="FY18" s="2060"/>
      <c r="FZ18" s="2060"/>
      <c r="GA18" s="2060"/>
      <c r="GB18" s="2060"/>
      <c r="GC18" s="2060"/>
      <c r="GD18" s="2060"/>
      <c r="GE18" s="2060"/>
      <c r="GF18" s="2060"/>
      <c r="GG18" s="2060"/>
      <c r="GH18" s="2060"/>
      <c r="GI18" s="2060"/>
      <c r="GJ18" s="2060"/>
      <c r="GK18" s="2060"/>
      <c r="GL18" s="2060"/>
      <c r="GM18" s="2060"/>
      <c r="GN18" s="2060"/>
      <c r="GO18" s="2060"/>
      <c r="GP18" s="2060"/>
      <c r="GQ18" s="2060"/>
      <c r="GR18" s="2060"/>
      <c r="GS18" s="2060"/>
      <c r="GT18" s="2060"/>
      <c r="GU18" s="2060"/>
      <c r="GV18" s="2060"/>
      <c r="GW18" s="2060"/>
      <c r="GX18" s="2060"/>
      <c r="GY18" s="2060"/>
      <c r="GZ18" s="2060"/>
      <c r="HA18" s="2060"/>
      <c r="HB18" s="2060"/>
      <c r="HC18" s="2060"/>
      <c r="HD18" s="2060"/>
      <c r="HE18" s="2060"/>
      <c r="HF18" s="2060"/>
      <c r="HG18" s="2060"/>
      <c r="HH18" s="2060"/>
      <c r="HI18" s="2060"/>
      <c r="HJ18" s="2060"/>
      <c r="HK18" s="2060"/>
      <c r="HL18" s="2060"/>
      <c r="HM18" s="2060"/>
      <c r="HN18" s="2060"/>
      <c r="HO18" s="2060"/>
      <c r="HP18" s="2060"/>
      <c r="HQ18" s="2060"/>
      <c r="HR18" s="2060"/>
      <c r="HS18" s="2060"/>
      <c r="HT18" s="2060"/>
      <c r="HU18" s="2060"/>
      <c r="HV18" s="2060"/>
      <c r="HW18" s="2060"/>
      <c r="HX18" s="2060"/>
      <c r="HY18" s="2060"/>
      <c r="HZ18" s="2060"/>
      <c r="IA18" s="2060"/>
      <c r="IB18" s="2060"/>
      <c r="IC18" s="2060"/>
      <c r="ID18" s="2060"/>
      <c r="IE18" s="2060"/>
      <c r="IF18" s="2060"/>
      <c r="IG18" s="2060"/>
      <c r="IH18" s="2060"/>
      <c r="II18" s="2060"/>
      <c r="IJ18" s="2060"/>
      <c r="IK18" s="2060"/>
      <c r="IL18" s="2060"/>
      <c r="IM18" s="2060"/>
      <c r="IN18" s="2060"/>
      <c r="IO18" s="2060"/>
      <c r="IP18" s="2060"/>
      <c r="IQ18" s="2060"/>
      <c r="IR18" s="2060"/>
      <c r="IS18" s="2060"/>
      <c r="IT18" s="2060"/>
      <c r="IU18" s="2060"/>
      <c r="IV18" s="2060"/>
      <c r="IW18" s="2060"/>
      <c r="IX18" s="2060"/>
      <c r="IY18" s="2060"/>
      <c r="IZ18" s="2060"/>
      <c r="JA18" s="2060"/>
      <c r="JB18" s="2060"/>
      <c r="JC18" s="2060"/>
      <c r="JD18" s="2060"/>
      <c r="JE18" s="2060"/>
      <c r="JF18" s="2060"/>
      <c r="JG18" s="2060"/>
      <c r="JH18" s="2060"/>
      <c r="JI18" s="2060"/>
      <c r="JJ18" s="2060"/>
      <c r="JK18" s="2060"/>
      <c r="JL18" s="2060"/>
      <c r="JM18" s="2060"/>
      <c r="JN18" s="2060"/>
      <c r="JO18" s="2060"/>
      <c r="JP18" s="2060"/>
      <c r="JQ18" s="2060"/>
      <c r="JR18" s="2060"/>
      <c r="JS18" s="2060"/>
      <c r="JT18" s="2060"/>
      <c r="JU18" s="2060"/>
      <c r="JV18" s="2060"/>
      <c r="JW18" s="2060"/>
      <c r="JX18" s="2060"/>
      <c r="JY18" s="2060"/>
      <c r="JZ18" s="2060"/>
      <c r="KA18" s="2060"/>
      <c r="KB18" s="2060"/>
      <c r="KC18" s="2060"/>
      <c r="KD18" s="2060"/>
      <c r="KE18" s="2060"/>
      <c r="KF18" s="2060"/>
      <c r="KG18" s="2060"/>
      <c r="KH18" s="2060"/>
      <c r="KI18" s="2060"/>
      <c r="KJ18" s="2060"/>
      <c r="KK18" s="2060"/>
      <c r="KL18" s="2060"/>
      <c r="KM18" s="2060"/>
      <c r="KN18" s="2060"/>
      <c r="KO18" s="2060"/>
      <c r="KP18" s="2060"/>
      <c r="KQ18" s="2060"/>
      <c r="KR18" s="2060"/>
      <c r="KS18" s="2060"/>
      <c r="KT18" s="2060"/>
      <c r="KU18" s="2060"/>
      <c r="KV18" s="2060"/>
      <c r="KW18" s="2060"/>
      <c r="KX18" s="2060"/>
      <c r="KY18" s="2060"/>
      <c r="KZ18" s="2060"/>
      <c r="LA18" s="2060"/>
      <c r="LB18" s="2060"/>
      <c r="LC18" s="2060"/>
      <c r="LD18" s="2060"/>
      <c r="LE18" s="2060"/>
      <c r="LF18" s="2060"/>
      <c r="LG18" s="2060"/>
      <c r="LH18" s="2060"/>
    </row>
    <row r="19" spans="1:320" s="119" customFormat="1" ht="12.75" customHeight="1">
      <c r="A19" s="269"/>
      <c r="B19" s="269"/>
      <c r="C19" s="2060"/>
      <c r="D19" s="55"/>
      <c r="E19" s="833" t="str">
        <f>"Guideline public companies"&amp;IF(AlphabetizeGPC=TRUE," (alphabetized)","")</f>
        <v>Guideline public companies (alphabetized)</v>
      </c>
      <c r="F19" s="1503"/>
      <c r="G19" s="446" t="s">
        <v>125</v>
      </c>
      <c r="H19" s="2060"/>
      <c r="I19" s="444" t="s">
        <v>261</v>
      </c>
      <c r="J19" s="1029" t="s">
        <v>262</v>
      </c>
      <c r="K19" s="233" t="s">
        <v>263</v>
      </c>
      <c r="L19" s="234"/>
      <c r="M19" s="234"/>
      <c r="N19" s="1029" t="s">
        <v>264</v>
      </c>
      <c r="O19" s="1029" t="s">
        <v>265</v>
      </c>
      <c r="P19" s="1029" t="s">
        <v>266</v>
      </c>
      <c r="Q19" s="1029" t="s">
        <v>267</v>
      </c>
      <c r="R19" s="2060"/>
      <c r="S19" s="444" t="s">
        <v>268</v>
      </c>
      <c r="T19" s="1029" t="s">
        <v>269</v>
      </c>
      <c r="U19" s="1029" t="s">
        <v>270</v>
      </c>
      <c r="V19" s="2060"/>
      <c r="W19" s="2060"/>
      <c r="X19" s="2060"/>
      <c r="Y19" s="2060"/>
      <c r="Z19" s="2060" t="s">
        <v>271</v>
      </c>
      <c r="AA19" s="2060" t="s">
        <v>272</v>
      </c>
      <c r="AB19" s="2060" t="s">
        <v>273</v>
      </c>
      <c r="AC19" s="1029" t="s">
        <v>274</v>
      </c>
      <c r="AD19" s="2060" t="s">
        <v>275</v>
      </c>
      <c r="AE19" s="2060"/>
      <c r="AF19" s="262" t="s">
        <v>276</v>
      </c>
      <c r="AG19" s="262" t="s">
        <v>277</v>
      </c>
      <c r="AH19" s="2073"/>
      <c r="AI19" s="2073"/>
      <c r="AJ19" s="265" t="str">
        <f>INDEX($AJ$6:$AJ$11,SelectedListNo)</f>
        <v>Alibaba Group Holding Limited</v>
      </c>
      <c r="AK19" s="265" t="str">
        <f>IFERROR(INDEX(AK6:AK11,SelectedListNo),"--")</f>
        <v>IQ42083601</v>
      </c>
      <c r="AL19" s="265" t="str">
        <f>IFERROR(INDEX(AL6:AL11,SelectedListNo),"--")</f>
        <v>NYSE:BABA</v>
      </c>
      <c r="AM19" s="2060"/>
      <c r="AN19" s="2060"/>
      <c r="AO19" s="2060" t="s">
        <v>278</v>
      </c>
      <c r="AP19" s="89"/>
      <c r="AQ19" s="89"/>
      <c r="AR19" s="2060"/>
      <c r="AS19" s="98" t="s">
        <v>279</v>
      </c>
      <c r="AT19" s="80" t="s">
        <v>280</v>
      </c>
      <c r="AU19" s="80" t="s">
        <v>162</v>
      </c>
      <c r="AV19" s="246" t="s">
        <v>281</v>
      </c>
      <c r="AW19" s="255" t="s">
        <v>282</v>
      </c>
      <c r="AX19" s="78" t="s">
        <v>185</v>
      </c>
      <c r="AY19" s="78" t="s">
        <v>185</v>
      </c>
      <c r="AZ19" s="255"/>
      <c r="BA19" s="78" t="s">
        <v>283</v>
      </c>
      <c r="BB19" s="78" t="s">
        <v>284</v>
      </c>
      <c r="BC19" s="2060"/>
      <c r="BD19" s="2060"/>
      <c r="BE19" s="2060"/>
      <c r="BF19" s="2060"/>
      <c r="BG19" s="2060"/>
      <c r="BH19" s="2060"/>
      <c r="BI19" s="2060"/>
      <c r="BJ19" s="2060"/>
      <c r="BK19" s="2060"/>
      <c r="BL19" s="2060"/>
      <c r="BM19" s="2060"/>
      <c r="BN19" s="2060"/>
      <c r="BO19" s="2060"/>
      <c r="BP19" s="2060"/>
      <c r="BQ19" s="2060"/>
      <c r="BR19" s="2060"/>
      <c r="BS19" s="2060"/>
      <c r="BT19" s="2060"/>
      <c r="BU19" s="2060"/>
      <c r="BV19" s="2060"/>
      <c r="BW19" s="2060"/>
      <c r="BX19" s="2060"/>
      <c r="BY19" s="2060"/>
      <c r="BZ19" s="2060"/>
      <c r="CA19" s="2060"/>
      <c r="CB19" s="2060"/>
      <c r="CC19" s="2060"/>
      <c r="CD19" s="2060"/>
      <c r="CE19" s="2060"/>
      <c r="CF19" s="2060"/>
      <c r="CG19" s="2060"/>
      <c r="CH19" s="2060"/>
      <c r="CI19" s="2060"/>
      <c r="CJ19" s="2060"/>
      <c r="CK19" s="2060"/>
      <c r="CL19" s="2060"/>
      <c r="CM19" s="2060"/>
      <c r="CN19" s="2060"/>
      <c r="CO19" s="2060"/>
      <c r="CP19" s="2060"/>
      <c r="CQ19" s="2060"/>
      <c r="CR19" s="2060"/>
      <c r="CS19" s="2060"/>
      <c r="CT19" s="2060"/>
      <c r="CU19" s="2060"/>
      <c r="CV19" s="2060"/>
      <c r="CW19" s="2060"/>
      <c r="CX19" s="2060"/>
      <c r="CY19" s="2060"/>
      <c r="CZ19" s="2060"/>
      <c r="DA19" s="2060"/>
      <c r="DB19" s="2060"/>
      <c r="DC19" s="2060"/>
      <c r="DD19" s="2060"/>
      <c r="DE19" s="2060"/>
      <c r="DF19" s="2060"/>
      <c r="DG19" s="2060"/>
      <c r="DH19" s="2060"/>
      <c r="DI19" s="2060"/>
      <c r="DJ19" s="2060"/>
      <c r="DK19" s="2060"/>
      <c r="DL19" s="2060"/>
      <c r="DM19" s="2060"/>
      <c r="DN19" s="2060"/>
      <c r="DO19" s="2060"/>
      <c r="DP19" s="2060"/>
      <c r="DQ19" s="2060"/>
      <c r="DR19" s="2060"/>
      <c r="DS19" s="2060"/>
      <c r="DT19" s="2060"/>
      <c r="DU19" s="2060"/>
      <c r="DV19" s="2060"/>
      <c r="DW19" s="2060"/>
      <c r="DX19" s="2060"/>
      <c r="DY19" s="2060"/>
      <c r="DZ19" s="2060"/>
      <c r="EA19" s="2060"/>
      <c r="EB19" s="2060"/>
      <c r="EC19" s="2060"/>
      <c r="ED19" s="2060"/>
      <c r="EE19" s="2060"/>
      <c r="EF19" s="2060"/>
      <c r="EG19" s="2060"/>
      <c r="EH19" s="2060"/>
      <c r="EI19" s="2060"/>
      <c r="EJ19" s="2060"/>
      <c r="EK19" s="2060"/>
      <c r="EL19" s="2060"/>
      <c r="EM19" s="2060"/>
      <c r="EN19" s="2060"/>
      <c r="EO19" s="2060"/>
      <c r="EP19" s="2060"/>
      <c r="EQ19" s="2060"/>
      <c r="ER19" s="2060"/>
      <c r="ES19" s="2060"/>
      <c r="ET19" s="2060"/>
      <c r="EU19" s="2060"/>
      <c r="EV19" s="2060"/>
      <c r="EW19" s="2060"/>
      <c r="EX19" s="2060"/>
      <c r="EY19" s="2060"/>
      <c r="EZ19" s="2060"/>
      <c r="FA19" s="2060"/>
      <c r="FB19" s="2060"/>
      <c r="FC19" s="2060"/>
      <c r="FD19" s="2060"/>
      <c r="FE19" s="2060"/>
      <c r="FF19" s="2060"/>
      <c r="FG19" s="2060"/>
      <c r="FH19" s="2060"/>
      <c r="FI19" s="2060"/>
      <c r="FJ19" s="2060"/>
      <c r="FK19" s="2060"/>
      <c r="FL19" s="2060"/>
      <c r="FM19" s="2060"/>
      <c r="FN19" s="2060"/>
      <c r="FO19" s="2060"/>
      <c r="FP19" s="2060"/>
      <c r="FQ19" s="2060"/>
      <c r="FR19" s="2060"/>
      <c r="FS19" s="2060"/>
      <c r="FT19" s="2060"/>
      <c r="FU19" s="2060"/>
      <c r="FV19" s="2060"/>
      <c r="FW19" s="2060"/>
      <c r="FX19" s="2060"/>
      <c r="FY19" s="2060"/>
      <c r="FZ19" s="2060"/>
      <c r="GA19" s="2060"/>
      <c r="GB19" s="2060"/>
      <c r="GC19" s="2060"/>
      <c r="GD19" s="2060"/>
      <c r="GE19" s="2060"/>
      <c r="GF19" s="2060"/>
      <c r="GG19" s="2060"/>
      <c r="GH19" s="2060"/>
      <c r="GI19" s="2060"/>
      <c r="GJ19" s="2060"/>
      <c r="GK19" s="2060"/>
      <c r="GL19" s="2060"/>
      <c r="GM19" s="2060"/>
      <c r="GN19" s="2060"/>
      <c r="GO19" s="2060"/>
      <c r="GP19" s="2060"/>
      <c r="GQ19" s="2060"/>
      <c r="GR19" s="2060"/>
      <c r="GS19" s="2060"/>
      <c r="GT19" s="2060"/>
      <c r="GU19" s="2060"/>
      <c r="GV19" s="2060"/>
      <c r="GW19" s="2060"/>
      <c r="GX19" s="2060"/>
      <c r="GY19" s="2060"/>
      <c r="GZ19" s="2060"/>
      <c r="HA19" s="2060"/>
      <c r="HB19" s="2060"/>
      <c r="HC19" s="2060"/>
      <c r="HD19" s="2060"/>
      <c r="HE19" s="2060"/>
      <c r="HF19" s="2060"/>
      <c r="HG19" s="2060"/>
      <c r="HH19" s="2060"/>
      <c r="HI19" s="2060"/>
      <c r="HJ19" s="2060"/>
      <c r="HK19" s="2060"/>
      <c r="HL19" s="2060"/>
      <c r="HM19" s="2060"/>
      <c r="HN19" s="2060"/>
      <c r="HO19" s="2060"/>
      <c r="HP19" s="2060"/>
      <c r="HQ19" s="2060"/>
      <c r="HR19" s="2060"/>
      <c r="HS19" s="2060"/>
      <c r="HT19" s="2060"/>
      <c r="HU19" s="2060"/>
      <c r="HV19" s="2060"/>
      <c r="HW19" s="2060"/>
      <c r="HX19" s="2060"/>
      <c r="HY19" s="2060"/>
      <c r="HZ19" s="2060"/>
      <c r="IA19" s="2060"/>
      <c r="IB19" s="2060"/>
      <c r="IC19" s="2060"/>
      <c r="ID19" s="2060"/>
      <c r="IE19" s="2060"/>
      <c r="IF19" s="2060"/>
      <c r="IG19" s="2060"/>
      <c r="IH19" s="2060"/>
      <c r="II19" s="2060"/>
      <c r="IJ19" s="2060"/>
      <c r="IK19" s="2060"/>
      <c r="IL19" s="2060"/>
      <c r="IM19" s="2060"/>
      <c r="IN19" s="2060"/>
      <c r="IO19" s="2060"/>
      <c r="IP19" s="2060"/>
      <c r="IQ19" s="2060"/>
      <c r="IR19" s="2060"/>
      <c r="IS19" s="2060"/>
      <c r="IT19" s="2060"/>
      <c r="IU19" s="2060"/>
      <c r="IV19" s="2060"/>
      <c r="IW19" s="2060"/>
      <c r="IX19" s="2060"/>
      <c r="IY19" s="2060"/>
      <c r="IZ19" s="2060"/>
      <c r="JA19" s="2060"/>
      <c r="JB19" s="2060"/>
      <c r="JC19" s="2060"/>
      <c r="JD19" s="2060"/>
      <c r="JE19" s="2060"/>
      <c r="JF19" s="2060"/>
      <c r="JG19" s="2060"/>
      <c r="JH19" s="2060"/>
      <c r="JI19" s="2060"/>
      <c r="JJ19" s="2060"/>
      <c r="JK19" s="2060"/>
      <c r="JL19" s="2060"/>
      <c r="JM19" s="2060"/>
      <c r="JN19" s="2060"/>
      <c r="JO19" s="2060"/>
      <c r="JP19" s="2060"/>
      <c r="JQ19" s="2060"/>
      <c r="JR19" s="2060"/>
      <c r="JS19" s="2060"/>
      <c r="JT19" s="2060"/>
      <c r="JU19" s="2060"/>
      <c r="JV19" s="2060"/>
      <c r="JW19" s="2060"/>
      <c r="JX19" s="2060"/>
      <c r="JY19" s="2060"/>
      <c r="JZ19" s="2060"/>
      <c r="KA19" s="2060"/>
      <c r="KB19" s="2060"/>
      <c r="KC19" s="2060"/>
      <c r="KD19" s="2060"/>
      <c r="KE19" s="2060"/>
      <c r="KF19" s="2060"/>
      <c r="KG19" s="2060"/>
      <c r="KH19" s="2060"/>
      <c r="KI19" s="2060"/>
      <c r="KJ19" s="2060"/>
      <c r="KK19" s="2060"/>
      <c r="KL19" s="2060"/>
      <c r="KM19" s="2060"/>
      <c r="KN19" s="2060"/>
      <c r="KO19" s="2060"/>
      <c r="KP19" s="2060"/>
      <c r="KQ19" s="2060"/>
      <c r="KR19" s="2060"/>
      <c r="KS19" s="2060"/>
      <c r="KT19" s="2060"/>
      <c r="KU19" s="2060"/>
      <c r="KV19" s="2060"/>
      <c r="KW19" s="2060"/>
      <c r="KX19" s="2060"/>
      <c r="KY19" s="2060"/>
      <c r="KZ19" s="2060"/>
      <c r="LA19" s="2060"/>
      <c r="LB19" s="2060"/>
      <c r="LC19" s="2060"/>
      <c r="LD19" s="2060"/>
      <c r="LE19" s="2060"/>
      <c r="LF19" s="2060"/>
      <c r="LG19" s="2060"/>
      <c r="LH19" s="2060"/>
    </row>
    <row r="20" spans="1:320" s="119" customFormat="1" ht="12.75" customHeight="1">
      <c r="A20" s="269" t="str">
        <f>IF(E20="--","n","")</f>
        <v>n</v>
      </c>
      <c r="B20" s="269"/>
      <c r="C20" s="2060"/>
      <c r="D20" s="779">
        <f t="shared" ref="D20:D44" ca="1" si="0">MAX(OFFSET(D20,-1,0,-ROW(D20)+1,-2),1)+0.01</f>
        <v>1.01</v>
      </c>
      <c r="E20" s="772" t="str">
        <f>IF(OR('WACC and TIC Inputs'!$D129="x",$G20=""),"--",_xll.ciqfunctions.udf.CIQ($G20,"IQ_COMPANY_NAME"))</f>
        <v>--</v>
      </c>
      <c r="F20" s="1503"/>
      <c r="G20" s="2154"/>
      <c r="H20" s="1065"/>
      <c r="I20" s="256" t="str">
        <f>IF($E20="--","--",IF(_xll.ciqfunctions.udf.CIQ($G20,"IQ_COUNTRY_NAME")=0,"n/a",_xll.ciqfunctions.udf.CIQ($G20,"IQ_COUNTRY_NAME")))</f>
        <v>--</v>
      </c>
      <c r="J20" s="2060" t="str">
        <f>IF($E20="--","--",IF(OutputCurrency="Filing",_xll.ciqfunctions.udf.CIQ($G20,"IQ_FILING_CURRENCY",2000,Valuation_Date_GC),OutputCurrency))</f>
        <v>--</v>
      </c>
      <c r="K20" s="2163" t="str">
        <f t="shared" ref="K20:K44" si="1">IF($E20="--","--",INDEX(CountryIndex,MATCH($T20,CountryName,0)))</f>
        <v>--</v>
      </c>
      <c r="L20" s="2164"/>
      <c r="M20" s="2165"/>
      <c r="N20" s="2060" t="str">
        <f>IF($E20="--","--",_xll.ciqfunctions.udf.CIQ($G20,"IQ_TRADING_CURRENCY",Valuation_Date_GC))</f>
        <v>--</v>
      </c>
      <c r="O20" s="2060" t="str">
        <f>IF($E20="--","--",INDEX(CountryCurrencyCode,MATCH(K20,CountryIndex,0)))</f>
        <v>--</v>
      </c>
      <c r="P20" s="2060" t="str">
        <f>IF(E20="--","--",IF(OR(LEFT(_xll.ciqfunctions.udf.CIQ(G20,"IQ_SP_LC_LT"),1)="(",_xll.ciqfunctions.udf.CIQ(G20,"IQ_SP_LC_LT")=0),"n/a",_xll.ciqfunctions.udf.CIQ(G20,"IQ_SP_LC_LT")))</f>
        <v>--</v>
      </c>
      <c r="Q20" s="2060" t="str">
        <f>IF($E20="--","--",_xll.ciqfunctions.udf.CIQ($G20,"IQ_PRIMARY_INDUSTRY"))</f>
        <v>--</v>
      </c>
      <c r="R20" s="2060"/>
      <c r="S20" s="44" t="str">
        <f t="shared" ref="S20:S30" si="2">IF($E20="--","--",IF(K20="Refreshing CIQ","",IF(K20="","Select INDEX!",INDEX(CountryIndexCode,MATCH($K20,CountryIndex,0)))))</f>
        <v>--</v>
      </c>
      <c r="T20" s="2060" t="str">
        <f t="shared" ref="T20:T44" si="3">IFERROR(IF($U20=$N20,$I20,INDEX($AS:$AS,MATCH($N20,$AX:$AX,0))),"")</f>
        <v>--</v>
      </c>
      <c r="U20" s="2060" t="str">
        <f>IFERROR(INDEX($AX$5:$AX$112,MATCH($I20,$AS$5:$AS$112,0)),"--")</f>
        <v>--</v>
      </c>
      <c r="V20" s="2060"/>
      <c r="W20" s="2060"/>
      <c r="X20" s="2060"/>
      <c r="Y20" s="2060"/>
      <c r="Z20" s="1937" t="s">
        <v>285</v>
      </c>
      <c r="AA20" s="1937" t="s">
        <v>286</v>
      </c>
      <c r="AB20" s="1937" t="str">
        <f>IF(AA20="--","zzzz",IF(LEFT(AA20,4)="The ",MID(AA20,5,99),MID(AA20,1,99)))</f>
        <v>BHP Billiton plc</v>
      </c>
      <c r="AC20" s="1937" t="s">
        <v>287</v>
      </c>
      <c r="AD20" s="2116" t="str">
        <f t="shared" ref="AD20:AD44" si="4">IF(AC20="ZZZZ","",INDEX(TickersValued,MATCH(AC20,$AB$20:$AB$44,0)))</f>
        <v>LSE:AAL</v>
      </c>
      <c r="AE20" s="2060"/>
      <c r="AF20" s="43" t="str">
        <f t="shared" ref="AF20:AF44" si="5">IF($E20="--","--",INDEX(CountryIndex,MATCH($T20,CountryName,0)))</f>
        <v>--</v>
      </c>
      <c r="AG20" s="43" t="str">
        <f t="shared" ref="AG20:AG44" si="6">IF($E20="--","--",INDEX(CountryIndex,MATCH(INDEX(CountryMarket,MATCH($I20,CountryName,0)),CapIQIndexType,0)))</f>
        <v>--</v>
      </c>
      <c r="AH20" s="2060"/>
      <c r="AI20" s="2060"/>
      <c r="AJ20" s="2060"/>
      <c r="AK20" s="263"/>
      <c r="AL20" s="263"/>
      <c r="AM20" s="2060"/>
      <c r="AN20" s="2060"/>
      <c r="AO20" s="2060" t="s">
        <v>288</v>
      </c>
      <c r="AP20" s="89"/>
      <c r="AQ20" s="89"/>
      <c r="AR20" s="2060"/>
      <c r="AS20" s="98" t="s">
        <v>279</v>
      </c>
      <c r="AT20" s="80" t="s">
        <v>280</v>
      </c>
      <c r="AU20" s="80" t="s">
        <v>162</v>
      </c>
      <c r="AV20" s="80" t="s">
        <v>289</v>
      </c>
      <c r="AW20" s="81" t="s">
        <v>290</v>
      </c>
      <c r="AX20" s="78" t="s">
        <v>185</v>
      </c>
      <c r="AY20" s="78" t="s">
        <v>185</v>
      </c>
      <c r="AZ20" s="78" t="s">
        <v>184</v>
      </c>
      <c r="BA20" s="78" t="s">
        <v>291</v>
      </c>
      <c r="BB20" s="78" t="s">
        <v>292</v>
      </c>
      <c r="BC20" s="2060"/>
      <c r="BD20" s="2060"/>
      <c r="BE20" s="2060"/>
      <c r="BF20" s="2060"/>
      <c r="BG20" s="2060"/>
      <c r="BH20" s="2060"/>
      <c r="BI20" s="2060"/>
      <c r="BJ20" s="2060"/>
      <c r="BK20" s="2060"/>
      <c r="BL20" s="2060"/>
      <c r="BM20" s="2060"/>
      <c r="BN20" s="2060"/>
      <c r="BO20" s="2060"/>
      <c r="BP20" s="2060"/>
      <c r="BQ20" s="2060"/>
      <c r="BR20" s="2060"/>
      <c r="BS20" s="2060"/>
      <c r="BT20" s="2060"/>
      <c r="BU20" s="2060"/>
      <c r="BV20" s="2060"/>
      <c r="BW20" s="2060"/>
      <c r="BX20" s="2060"/>
      <c r="BY20" s="2060"/>
      <c r="BZ20" s="2060"/>
      <c r="CA20" s="2060"/>
      <c r="CB20" s="2060"/>
      <c r="CC20" s="2060"/>
      <c r="CD20" s="2060"/>
      <c r="CE20" s="2060"/>
      <c r="CF20" s="2060"/>
      <c r="CG20" s="2060"/>
      <c r="CH20" s="2060"/>
      <c r="CI20" s="2060"/>
      <c r="CJ20" s="2060"/>
      <c r="CK20" s="2060"/>
      <c r="CL20" s="2060"/>
      <c r="CM20" s="2060"/>
      <c r="CN20" s="2060"/>
      <c r="CO20" s="2060"/>
      <c r="CP20" s="2060"/>
      <c r="CQ20" s="2060"/>
      <c r="CR20" s="2060"/>
      <c r="CS20" s="2060"/>
      <c r="CT20" s="2060"/>
      <c r="CU20" s="2060"/>
      <c r="CV20" s="2060"/>
      <c r="CW20" s="2060"/>
      <c r="CX20" s="2060"/>
      <c r="CY20" s="2060"/>
      <c r="CZ20" s="2060"/>
      <c r="DA20" s="2060"/>
      <c r="DB20" s="2060"/>
      <c r="DC20" s="2060"/>
      <c r="DD20" s="2060"/>
      <c r="DE20" s="2060"/>
      <c r="DF20" s="2060"/>
      <c r="DG20" s="2060"/>
      <c r="DH20" s="2060"/>
      <c r="DI20" s="2060"/>
      <c r="DJ20" s="2060"/>
      <c r="DK20" s="2060"/>
      <c r="DL20" s="2060"/>
      <c r="DM20" s="2060"/>
      <c r="DN20" s="2060"/>
      <c r="DO20" s="2060"/>
      <c r="DP20" s="2060"/>
      <c r="DQ20" s="2060"/>
      <c r="DR20" s="2060"/>
      <c r="DS20" s="2060"/>
      <c r="DT20" s="2060"/>
      <c r="DU20" s="2060"/>
      <c r="DV20" s="2060"/>
      <c r="DW20" s="2060"/>
      <c r="DX20" s="2060"/>
      <c r="DY20" s="2060"/>
      <c r="DZ20" s="2060"/>
      <c r="EA20" s="2060"/>
      <c r="EB20" s="2060"/>
      <c r="EC20" s="2060"/>
      <c r="ED20" s="2060"/>
      <c r="EE20" s="2060"/>
      <c r="EF20" s="2060"/>
      <c r="EG20" s="2060"/>
      <c r="EH20" s="2060"/>
      <c r="EI20" s="2060"/>
      <c r="EJ20" s="2060"/>
      <c r="EK20" s="2060"/>
      <c r="EL20" s="2060"/>
      <c r="EM20" s="2060"/>
      <c r="EN20" s="2060"/>
      <c r="EO20" s="2060"/>
      <c r="EP20" s="2060"/>
      <c r="EQ20" s="2060"/>
      <c r="ER20" s="2060"/>
      <c r="ES20" s="2060"/>
      <c r="ET20" s="2060"/>
      <c r="EU20" s="2060"/>
      <c r="EV20" s="2060"/>
      <c r="EW20" s="2060"/>
      <c r="EX20" s="2060"/>
      <c r="EY20" s="2060"/>
      <c r="EZ20" s="2060"/>
      <c r="FA20" s="2060"/>
      <c r="FB20" s="2060"/>
      <c r="FC20" s="2060"/>
      <c r="FD20" s="2060"/>
      <c r="FE20" s="2060"/>
      <c r="FF20" s="2060"/>
      <c r="FG20" s="2060"/>
      <c r="FH20" s="2060"/>
      <c r="FI20" s="2060"/>
      <c r="FJ20" s="2060"/>
      <c r="FK20" s="2060"/>
      <c r="FL20" s="2060"/>
      <c r="FM20" s="2060"/>
      <c r="FN20" s="2060"/>
      <c r="FO20" s="2060"/>
      <c r="FP20" s="2060"/>
      <c r="FQ20" s="2060"/>
      <c r="FR20" s="2060"/>
      <c r="FS20" s="2060"/>
      <c r="FT20" s="2060"/>
      <c r="FU20" s="2060"/>
      <c r="FV20" s="2060"/>
      <c r="FW20" s="2060"/>
      <c r="FX20" s="2060"/>
      <c r="FY20" s="2060"/>
      <c r="FZ20" s="2060"/>
      <c r="GA20" s="2060"/>
      <c r="GB20" s="2060"/>
      <c r="GC20" s="2060"/>
      <c r="GD20" s="2060"/>
      <c r="GE20" s="2060"/>
      <c r="GF20" s="2060"/>
      <c r="GG20" s="2060"/>
      <c r="GH20" s="2060"/>
      <c r="GI20" s="2060"/>
      <c r="GJ20" s="2060"/>
      <c r="GK20" s="2060"/>
      <c r="GL20" s="2060"/>
      <c r="GM20" s="2060"/>
      <c r="GN20" s="2060"/>
      <c r="GO20" s="2060"/>
      <c r="GP20" s="2060"/>
      <c r="GQ20" s="2060"/>
      <c r="GR20" s="2060"/>
      <c r="GS20" s="2060"/>
      <c r="GT20" s="2060"/>
      <c r="GU20" s="2060"/>
      <c r="GV20" s="2060"/>
      <c r="GW20" s="2060"/>
      <c r="GX20" s="2060"/>
      <c r="GY20" s="2060"/>
      <c r="GZ20" s="2060"/>
      <c r="HA20" s="2060"/>
      <c r="HB20" s="2060"/>
      <c r="HC20" s="2060"/>
      <c r="HD20" s="2060"/>
      <c r="HE20" s="2060"/>
      <c r="HF20" s="2060"/>
      <c r="HG20" s="2060"/>
      <c r="HH20" s="2060"/>
      <c r="HI20" s="2060"/>
      <c r="HJ20" s="2060"/>
      <c r="HK20" s="2060"/>
      <c r="HL20" s="2060"/>
      <c r="HM20" s="2060"/>
      <c r="HN20" s="2060"/>
      <c r="HO20" s="2060"/>
      <c r="HP20" s="2060"/>
      <c r="HQ20" s="2060"/>
      <c r="HR20" s="2060"/>
      <c r="HS20" s="2060"/>
      <c r="HT20" s="2060"/>
      <c r="HU20" s="2060"/>
      <c r="HV20" s="2060"/>
      <c r="HW20" s="2060"/>
      <c r="HX20" s="2060"/>
      <c r="HY20" s="2060"/>
      <c r="HZ20" s="2060"/>
      <c r="IA20" s="2060"/>
      <c r="IB20" s="2060"/>
      <c r="IC20" s="2060"/>
      <c r="ID20" s="2060"/>
      <c r="IE20" s="2060"/>
      <c r="IF20" s="2060"/>
      <c r="IG20" s="2060"/>
      <c r="IH20" s="2060"/>
      <c r="II20" s="2060"/>
      <c r="IJ20" s="2060"/>
      <c r="IK20" s="2060"/>
      <c r="IL20" s="2060"/>
      <c r="IM20" s="2060"/>
      <c r="IN20" s="2060"/>
      <c r="IO20" s="2060"/>
      <c r="IP20" s="2060"/>
      <c r="IQ20" s="2060"/>
      <c r="IR20" s="2060"/>
      <c r="IS20" s="2060"/>
      <c r="IT20" s="2060"/>
      <c r="IU20" s="2060"/>
      <c r="IV20" s="2060"/>
      <c r="IW20" s="2060"/>
      <c r="IX20" s="2060"/>
      <c r="IY20" s="2060"/>
      <c r="IZ20" s="2060"/>
      <c r="JA20" s="2060"/>
      <c r="JB20" s="2060"/>
      <c r="JC20" s="2060"/>
      <c r="JD20" s="2060"/>
      <c r="JE20" s="2060"/>
      <c r="JF20" s="2060"/>
      <c r="JG20" s="2060"/>
      <c r="JH20" s="2060"/>
      <c r="JI20" s="2060"/>
      <c r="JJ20" s="2060"/>
      <c r="JK20" s="2060"/>
      <c r="JL20" s="2060"/>
      <c r="JM20" s="2060"/>
      <c r="JN20" s="2060"/>
      <c r="JO20" s="2060"/>
      <c r="JP20" s="2060"/>
      <c r="JQ20" s="2060"/>
      <c r="JR20" s="2060"/>
      <c r="JS20" s="2060"/>
      <c r="JT20" s="2060"/>
      <c r="JU20" s="2060"/>
      <c r="JV20" s="2060"/>
      <c r="JW20" s="2060"/>
      <c r="JX20" s="2060"/>
      <c r="JY20" s="2060"/>
      <c r="JZ20" s="2060"/>
      <c r="KA20" s="2060"/>
      <c r="KB20" s="2060"/>
      <c r="KC20" s="2060"/>
      <c r="KD20" s="2060"/>
      <c r="KE20" s="2060"/>
      <c r="KF20" s="2060"/>
      <c r="KG20" s="2060"/>
      <c r="KH20" s="2060"/>
      <c r="KI20" s="2060"/>
      <c r="KJ20" s="2060"/>
      <c r="KK20" s="2060"/>
      <c r="KL20" s="2060"/>
      <c r="KM20" s="2060"/>
      <c r="KN20" s="2060"/>
      <c r="KO20" s="2060"/>
      <c r="KP20" s="2060"/>
      <c r="KQ20" s="2060"/>
      <c r="KR20" s="2060"/>
      <c r="KS20" s="2060"/>
      <c r="KT20" s="2060"/>
      <c r="KU20" s="2060"/>
      <c r="KV20" s="2060"/>
      <c r="KW20" s="2060"/>
      <c r="KX20" s="2060"/>
      <c r="KY20" s="2060"/>
      <c r="KZ20" s="2060"/>
      <c r="LA20" s="2060"/>
      <c r="LB20" s="2060"/>
      <c r="LC20" s="2060"/>
      <c r="LD20" s="2060"/>
      <c r="LE20" s="2060"/>
      <c r="LF20" s="2060"/>
      <c r="LG20" s="2060"/>
      <c r="LH20" s="2060"/>
    </row>
    <row r="21" spans="1:320" s="119" customFormat="1" ht="12.75" customHeight="1">
      <c r="A21" s="269" t="str">
        <f t="shared" ref="A21:A44" si="7">IF(E21="--","n","")</f>
        <v>n</v>
      </c>
      <c r="B21" s="269"/>
      <c r="C21" s="2060"/>
      <c r="D21" s="779">
        <f t="shared" ca="1" si="0"/>
        <v>1.02</v>
      </c>
      <c r="E21" s="772" t="str">
        <f>IF(OR('WACC and TIC Inputs'!$D130="x",$G21=""),"--",_xll.ciqfunctions.udf.CIQ($G21,"IQ_COMPANY_NAME"))</f>
        <v>--</v>
      </c>
      <c r="F21" s="1503"/>
      <c r="G21" s="2154"/>
      <c r="H21" s="1066"/>
      <c r="I21" s="256" t="str">
        <f>IF($E21="--","--",IF(_xll.ciqfunctions.udf.CIQ($G21,"IQ_COUNTRY_NAME")=0,"n/a",_xll.ciqfunctions.udf.CIQ($G21,"IQ_COUNTRY_NAME")))</f>
        <v>--</v>
      </c>
      <c r="J21" s="2060" t="str">
        <f>IF($E21="--","--",IF(OutputCurrency="Filing",_xll.ciqfunctions.udf.CIQ($G21,"IQ_FILING_CURRENCY",2000,Valuation_Date_GC),OutputCurrency))</f>
        <v>--</v>
      </c>
      <c r="K21" s="2163" t="str">
        <f t="shared" si="1"/>
        <v>--</v>
      </c>
      <c r="L21" s="2164"/>
      <c r="M21" s="2165"/>
      <c r="N21" s="2060" t="str">
        <f>IF($E21="--","--",_xll.ciqfunctions.udf.CIQ($G21,"IQ_TRADING_CURRENCY",Valuation_Date_GC))</f>
        <v>--</v>
      </c>
      <c r="O21" s="2060" t="str">
        <f>IF($E21="--","--",INDEX(CountryCurrencyCode,MATCH(K21,CountryIndex,0)))</f>
        <v>--</v>
      </c>
      <c r="P21" s="2060" t="str">
        <f>IF(E21="--","--",IF(OR(LEFT(_xll.ciqfunctions.udf.CIQ(G21,"IQ_SP_LC_LT"),1)="(",_xll.ciqfunctions.udf.CIQ(G21,"IQ_SP_LC_LT")=0),"n/a",_xll.ciqfunctions.udf.CIQ(G21,"IQ_SP_LC_LT")))</f>
        <v>--</v>
      </c>
      <c r="Q21" s="2060" t="str">
        <f>IF($E21="--","--",_xll.ciqfunctions.udf.CIQ($G21,"IQ_PRIMARY_INDUSTRY"))</f>
        <v>--</v>
      </c>
      <c r="R21" s="2060"/>
      <c r="S21" s="44" t="str">
        <f t="shared" si="2"/>
        <v>--</v>
      </c>
      <c r="T21" s="2060" t="str">
        <f t="shared" si="3"/>
        <v>--</v>
      </c>
      <c r="U21" s="2060" t="str">
        <f t="shared" ref="U21:U44" si="8">IFERROR(INDEX($AX$5:$AX$112,MATCH($I21,$AS$5:$AS$112,0)),"--")</f>
        <v>--</v>
      </c>
      <c r="V21" s="2060"/>
      <c r="W21" s="2060"/>
      <c r="X21" s="2060"/>
      <c r="Y21" s="2060"/>
      <c r="Z21" s="1938" t="s">
        <v>293</v>
      </c>
      <c r="AA21" s="1938" t="s">
        <v>294</v>
      </c>
      <c r="AB21" s="1938" t="str">
        <f t="shared" ref="AB21:AB44" si="9">IF(AA21="--","zzzz",IF(LEFT(AA21,4)="The ",MID(AA21,5,99),MID(AA21,1,99)))</f>
        <v>Rio Tinto plc</v>
      </c>
      <c r="AC21" s="1938" t="s">
        <v>286</v>
      </c>
      <c r="AD21" s="2117" t="str">
        <f t="shared" si="4"/>
        <v>LSE:BLT</v>
      </c>
      <c r="AE21" s="2060"/>
      <c r="AF21" s="43" t="str">
        <f t="shared" si="5"/>
        <v>--</v>
      </c>
      <c r="AG21" s="43" t="str">
        <f t="shared" si="6"/>
        <v>--</v>
      </c>
      <c r="AH21" s="2060"/>
      <c r="AI21" s="2060"/>
      <c r="AJ21" s="265" t="s">
        <v>295</v>
      </c>
      <c r="AK21" s="2073"/>
      <c r="AL21" s="2073"/>
      <c r="AM21" s="2060"/>
      <c r="AN21" s="2060"/>
      <c r="AO21" s="2060" t="s">
        <v>296</v>
      </c>
      <c r="AP21" s="89"/>
      <c r="AQ21" s="89"/>
      <c r="AR21" s="2060"/>
      <c r="AS21" s="98" t="s">
        <v>297</v>
      </c>
      <c r="AT21" s="80" t="s">
        <v>298</v>
      </c>
      <c r="AU21" s="80" t="s">
        <v>151</v>
      </c>
      <c r="AV21" s="80" t="s">
        <v>299</v>
      </c>
      <c r="AW21" s="81" t="s">
        <v>300</v>
      </c>
      <c r="AX21" s="78" t="s">
        <v>197</v>
      </c>
      <c r="AY21" s="78" t="s">
        <v>131</v>
      </c>
      <c r="AZ21" s="78" t="s">
        <v>196</v>
      </c>
      <c r="BA21" s="78" t="s">
        <v>301</v>
      </c>
      <c r="BB21" s="78" t="s">
        <v>302</v>
      </c>
      <c r="BC21" s="2060"/>
      <c r="BD21" s="2060"/>
      <c r="BE21" s="2060"/>
      <c r="BF21" s="2060"/>
      <c r="BG21" s="2060"/>
      <c r="BH21" s="2060"/>
      <c r="BI21" s="2060"/>
      <c r="BJ21" s="2060"/>
      <c r="BK21" s="2060"/>
      <c r="BL21" s="2060"/>
      <c r="BM21" s="2060"/>
      <c r="BN21" s="2060"/>
      <c r="BO21" s="2060"/>
      <c r="BP21" s="2060"/>
      <c r="BQ21" s="2060"/>
      <c r="BR21" s="2060"/>
      <c r="BS21" s="2060"/>
      <c r="BT21" s="2060"/>
      <c r="BU21" s="2060"/>
      <c r="BV21" s="2060"/>
      <c r="BW21" s="2060"/>
      <c r="BX21" s="2060"/>
      <c r="BY21" s="2060"/>
      <c r="BZ21" s="2060"/>
      <c r="CA21" s="2060"/>
      <c r="CB21" s="2060"/>
      <c r="CC21" s="2060"/>
      <c r="CD21" s="2060"/>
      <c r="CE21" s="2060"/>
      <c r="CF21" s="2060"/>
      <c r="CG21" s="2060"/>
      <c r="CH21" s="2060"/>
      <c r="CI21" s="2060"/>
      <c r="CJ21" s="2060"/>
      <c r="CK21" s="2060"/>
      <c r="CL21" s="2060"/>
      <c r="CM21" s="2060"/>
      <c r="CN21" s="2060"/>
      <c r="CO21" s="2060"/>
      <c r="CP21" s="2060"/>
      <c r="CQ21" s="2060"/>
      <c r="CR21" s="2060"/>
      <c r="CS21" s="2060"/>
      <c r="CT21" s="2060"/>
      <c r="CU21" s="2060"/>
      <c r="CV21" s="2060"/>
      <c r="CW21" s="2060"/>
      <c r="CX21" s="2060"/>
      <c r="CY21" s="2060"/>
      <c r="CZ21" s="2060"/>
      <c r="DA21" s="2060"/>
      <c r="DB21" s="2060"/>
      <c r="DC21" s="2060"/>
      <c r="DD21" s="2060"/>
      <c r="DE21" s="2060"/>
      <c r="DF21" s="2060"/>
      <c r="DG21" s="2060"/>
      <c r="DH21" s="2060"/>
      <c r="DI21" s="2060"/>
      <c r="DJ21" s="2060"/>
      <c r="DK21" s="2060"/>
      <c r="DL21" s="2060"/>
      <c r="DM21" s="2060"/>
      <c r="DN21" s="2060"/>
      <c r="DO21" s="2060"/>
      <c r="DP21" s="2060"/>
      <c r="DQ21" s="2060"/>
      <c r="DR21" s="2060"/>
      <c r="DS21" s="2060"/>
      <c r="DT21" s="2060"/>
      <c r="DU21" s="2060"/>
      <c r="DV21" s="2060"/>
      <c r="DW21" s="2060"/>
      <c r="DX21" s="2060"/>
      <c r="DY21" s="2060"/>
      <c r="DZ21" s="2060"/>
      <c r="EA21" s="2060"/>
      <c r="EB21" s="2060"/>
      <c r="EC21" s="2060"/>
      <c r="ED21" s="2060"/>
      <c r="EE21" s="2060"/>
      <c r="EF21" s="2060"/>
      <c r="EG21" s="2060"/>
      <c r="EH21" s="2060"/>
      <c r="EI21" s="2060"/>
      <c r="EJ21" s="2060"/>
      <c r="EK21" s="2060"/>
      <c r="EL21" s="2060"/>
      <c r="EM21" s="2060"/>
      <c r="EN21" s="2060"/>
      <c r="EO21" s="2060"/>
      <c r="EP21" s="2060"/>
      <c r="EQ21" s="2060"/>
      <c r="ER21" s="2060"/>
      <c r="ES21" s="2060"/>
      <c r="ET21" s="2060"/>
      <c r="EU21" s="2060"/>
      <c r="EV21" s="2060"/>
      <c r="EW21" s="2060"/>
      <c r="EX21" s="2060"/>
      <c r="EY21" s="2060"/>
      <c r="EZ21" s="2060"/>
      <c r="FA21" s="2060"/>
      <c r="FB21" s="2060"/>
      <c r="FC21" s="2060"/>
      <c r="FD21" s="2060"/>
      <c r="FE21" s="2060"/>
      <c r="FF21" s="2060"/>
      <c r="FG21" s="2060"/>
      <c r="FH21" s="2060"/>
      <c r="FI21" s="2060"/>
      <c r="FJ21" s="2060"/>
      <c r="FK21" s="2060"/>
      <c r="FL21" s="2060"/>
      <c r="FM21" s="2060"/>
      <c r="FN21" s="2060"/>
      <c r="FO21" s="2060"/>
      <c r="FP21" s="2060"/>
      <c r="FQ21" s="2060"/>
      <c r="FR21" s="2060"/>
      <c r="FS21" s="2060"/>
      <c r="FT21" s="2060"/>
      <c r="FU21" s="2060"/>
      <c r="FV21" s="2060"/>
      <c r="FW21" s="2060"/>
      <c r="FX21" s="2060"/>
      <c r="FY21" s="2060"/>
      <c r="FZ21" s="2060"/>
      <c r="GA21" s="2060"/>
      <c r="GB21" s="2060"/>
      <c r="GC21" s="2060"/>
      <c r="GD21" s="2060"/>
      <c r="GE21" s="2060"/>
      <c r="GF21" s="2060"/>
      <c r="GG21" s="2060"/>
      <c r="GH21" s="2060"/>
      <c r="GI21" s="2060"/>
      <c r="GJ21" s="2060"/>
      <c r="GK21" s="2060"/>
      <c r="GL21" s="2060"/>
      <c r="GM21" s="2060"/>
      <c r="GN21" s="2060"/>
      <c r="GO21" s="2060"/>
      <c r="GP21" s="2060"/>
      <c r="GQ21" s="2060"/>
      <c r="GR21" s="2060"/>
      <c r="GS21" s="2060"/>
      <c r="GT21" s="2060"/>
      <c r="GU21" s="2060"/>
      <c r="GV21" s="2060"/>
      <c r="GW21" s="2060"/>
      <c r="GX21" s="2060"/>
      <c r="GY21" s="2060"/>
      <c r="GZ21" s="2060"/>
      <c r="HA21" s="2060"/>
      <c r="HB21" s="2060"/>
      <c r="HC21" s="2060"/>
      <c r="HD21" s="2060"/>
      <c r="HE21" s="2060"/>
      <c r="HF21" s="2060"/>
      <c r="HG21" s="2060"/>
      <c r="HH21" s="2060"/>
      <c r="HI21" s="2060"/>
      <c r="HJ21" s="2060"/>
      <c r="HK21" s="2060"/>
      <c r="HL21" s="2060"/>
      <c r="HM21" s="2060"/>
      <c r="HN21" s="2060"/>
      <c r="HO21" s="2060"/>
      <c r="HP21" s="2060"/>
      <c r="HQ21" s="2060"/>
      <c r="HR21" s="2060"/>
      <c r="HS21" s="2060"/>
      <c r="HT21" s="2060"/>
      <c r="HU21" s="2060"/>
      <c r="HV21" s="2060"/>
      <c r="HW21" s="2060"/>
      <c r="HX21" s="2060"/>
      <c r="HY21" s="2060"/>
      <c r="HZ21" s="2060"/>
      <c r="IA21" s="2060"/>
      <c r="IB21" s="2060"/>
      <c r="IC21" s="2060"/>
      <c r="ID21" s="2060"/>
      <c r="IE21" s="2060"/>
      <c r="IF21" s="2060"/>
      <c r="IG21" s="2060"/>
      <c r="IH21" s="2060"/>
      <c r="II21" s="2060"/>
      <c r="IJ21" s="2060"/>
      <c r="IK21" s="2060"/>
      <c r="IL21" s="2060"/>
      <c r="IM21" s="2060"/>
      <c r="IN21" s="2060"/>
      <c r="IO21" s="2060"/>
      <c r="IP21" s="2060"/>
      <c r="IQ21" s="2060"/>
      <c r="IR21" s="2060"/>
      <c r="IS21" s="2060"/>
      <c r="IT21" s="2060"/>
      <c r="IU21" s="2060"/>
      <c r="IV21" s="2060"/>
      <c r="IW21" s="2060"/>
      <c r="IX21" s="2060"/>
      <c r="IY21" s="2060"/>
      <c r="IZ21" s="2060"/>
      <c r="JA21" s="2060"/>
      <c r="JB21" s="2060"/>
      <c r="JC21" s="2060"/>
      <c r="JD21" s="2060"/>
      <c r="JE21" s="2060"/>
      <c r="JF21" s="2060"/>
      <c r="JG21" s="2060"/>
      <c r="JH21" s="2060"/>
      <c r="JI21" s="2060"/>
      <c r="JJ21" s="2060"/>
      <c r="JK21" s="2060"/>
      <c r="JL21" s="2060"/>
      <c r="JM21" s="2060"/>
      <c r="JN21" s="2060"/>
      <c r="JO21" s="2060"/>
      <c r="JP21" s="2060"/>
      <c r="JQ21" s="2060"/>
      <c r="JR21" s="2060"/>
      <c r="JS21" s="2060"/>
      <c r="JT21" s="2060"/>
      <c r="JU21" s="2060"/>
      <c r="JV21" s="2060"/>
      <c r="JW21" s="2060"/>
      <c r="JX21" s="2060"/>
      <c r="JY21" s="2060"/>
      <c r="JZ21" s="2060"/>
      <c r="KA21" s="2060"/>
      <c r="KB21" s="2060"/>
      <c r="KC21" s="2060"/>
      <c r="KD21" s="2060"/>
      <c r="KE21" s="2060"/>
      <c r="KF21" s="2060"/>
      <c r="KG21" s="2060"/>
      <c r="KH21" s="2060"/>
      <c r="KI21" s="2060"/>
      <c r="KJ21" s="2060"/>
      <c r="KK21" s="2060"/>
      <c r="KL21" s="2060"/>
      <c r="KM21" s="2060"/>
      <c r="KN21" s="2060"/>
      <c r="KO21" s="2060"/>
      <c r="KP21" s="2060"/>
      <c r="KQ21" s="2060"/>
      <c r="KR21" s="2060"/>
      <c r="KS21" s="2060"/>
      <c r="KT21" s="2060"/>
      <c r="KU21" s="2060"/>
      <c r="KV21" s="2060"/>
      <c r="KW21" s="2060"/>
      <c r="KX21" s="2060"/>
      <c r="KY21" s="2060"/>
      <c r="KZ21" s="2060"/>
      <c r="LA21" s="2060"/>
      <c r="LB21" s="2060"/>
      <c r="LC21" s="2060"/>
      <c r="LD21" s="2060"/>
      <c r="LE21" s="2060"/>
      <c r="LF21" s="2060"/>
      <c r="LG21" s="2060"/>
      <c r="LH21" s="2060"/>
    </row>
    <row r="22" spans="1:320" s="119" customFormat="1" ht="12.75" customHeight="1">
      <c r="A22" s="269" t="str">
        <f t="shared" si="7"/>
        <v>n</v>
      </c>
      <c r="B22" s="269"/>
      <c r="C22" s="2060"/>
      <c r="D22" s="779">
        <f t="shared" ca="1" si="0"/>
        <v>1.03</v>
      </c>
      <c r="E22" s="772" t="str">
        <f>IF(OR('WACC and TIC Inputs'!$D131="x",$G22=""),"--",_xll.ciqfunctions.udf.CIQ($G22,"IQ_COMPANY_NAME"))</f>
        <v>--</v>
      </c>
      <c r="F22" s="1503"/>
      <c r="G22" s="2154"/>
      <c r="H22" s="1066"/>
      <c r="I22" s="256" t="str">
        <f>IF($E22="--","--",IF(_xll.ciqfunctions.udf.CIQ($G22,"IQ_COUNTRY_NAME")=0,"n/a",_xll.ciqfunctions.udf.CIQ($G22,"IQ_COUNTRY_NAME")))</f>
        <v>--</v>
      </c>
      <c r="J22" s="2060" t="str">
        <f>IF($E22="--","--",IF(OutputCurrency="Filing",_xll.ciqfunctions.udf.CIQ($G22,"IQ_FILING_CURRENCY",2000,Valuation_Date_GC),OutputCurrency))</f>
        <v>--</v>
      </c>
      <c r="K22" s="2163" t="str">
        <f t="shared" si="1"/>
        <v>--</v>
      </c>
      <c r="L22" s="2164"/>
      <c r="M22" s="2165"/>
      <c r="N22" s="2060" t="str">
        <f>IF($E22="--","--",_xll.ciqfunctions.udf.CIQ($G22,"IQ_TRADING_CURRENCY",Valuation_Date_GC))</f>
        <v>--</v>
      </c>
      <c r="O22" s="2060" t="str">
        <f>IF($E22="--","--",INDEX(CountryCurrencyCode,MATCH(K22,CountryIndex,0)))</f>
        <v>--</v>
      </c>
      <c r="P22" s="2060" t="str">
        <f>IF(E22="--","--",IF(OR(LEFT(_xll.ciqfunctions.udf.CIQ(G22,"IQ_SP_LC_LT"),1)="(",_xll.ciqfunctions.udf.CIQ(G22,"IQ_SP_LC_LT")=0),"n/a",_xll.ciqfunctions.udf.CIQ(G22,"IQ_SP_LC_LT")))</f>
        <v>--</v>
      </c>
      <c r="Q22" s="2060" t="str">
        <f>IF($E22="--","--",_xll.ciqfunctions.udf.CIQ($G22,"IQ_PRIMARY_INDUSTRY"))</f>
        <v>--</v>
      </c>
      <c r="R22" s="2060"/>
      <c r="S22" s="44" t="str">
        <f t="shared" si="2"/>
        <v>--</v>
      </c>
      <c r="T22" s="2060" t="str">
        <f t="shared" si="3"/>
        <v>--</v>
      </c>
      <c r="U22" s="2060" t="str">
        <f t="shared" si="8"/>
        <v>--</v>
      </c>
      <c r="V22" s="2060"/>
      <c r="W22" s="2060"/>
      <c r="X22" s="2060"/>
      <c r="Y22" s="2060"/>
      <c r="Z22" s="1938" t="s">
        <v>303</v>
      </c>
      <c r="AA22" s="1938" t="s">
        <v>304</v>
      </c>
      <c r="AB22" s="1938" t="str">
        <f t="shared" si="9"/>
        <v>Glencore Plc</v>
      </c>
      <c r="AC22" s="1938" t="s">
        <v>305</v>
      </c>
      <c r="AD22" s="2117" t="str">
        <f t="shared" si="4"/>
        <v>OM:BOL</v>
      </c>
      <c r="AE22" s="2060"/>
      <c r="AF22" s="43" t="str">
        <f t="shared" si="5"/>
        <v>--</v>
      </c>
      <c r="AG22" s="43" t="str">
        <f t="shared" si="6"/>
        <v>--</v>
      </c>
      <c r="AH22" s="2060"/>
      <c r="AI22" s="2060"/>
      <c r="AJ22" s="2073"/>
      <c r="AK22" s="2073"/>
      <c r="AL22" s="2073"/>
      <c r="AM22" s="2060"/>
      <c r="AN22" s="2060"/>
      <c r="AO22" s="2060" t="s">
        <v>306</v>
      </c>
      <c r="AP22" s="89"/>
      <c r="AQ22" s="89"/>
      <c r="AR22" s="2060"/>
      <c r="AS22" s="98" t="s">
        <v>297</v>
      </c>
      <c r="AT22" s="80" t="s">
        <v>298</v>
      </c>
      <c r="AU22" s="80" t="s">
        <v>151</v>
      </c>
      <c r="AV22" s="80" t="s">
        <v>307</v>
      </c>
      <c r="AW22" s="81" t="s">
        <v>308</v>
      </c>
      <c r="AX22" s="78" t="s">
        <v>197</v>
      </c>
      <c r="AY22" s="78" t="s">
        <v>131</v>
      </c>
      <c r="AZ22" s="78" t="s">
        <v>196</v>
      </c>
      <c r="BA22" s="78" t="s">
        <v>309</v>
      </c>
      <c r="BB22" s="78" t="s">
        <v>310</v>
      </c>
      <c r="BC22" s="2060"/>
      <c r="BD22" s="2060"/>
      <c r="BE22" s="2060"/>
      <c r="BF22" s="2060"/>
      <c r="BG22" s="2060"/>
      <c r="BH22" s="2060"/>
      <c r="BI22" s="2060"/>
      <c r="BJ22" s="2060"/>
      <c r="BK22" s="2060"/>
      <c r="BL22" s="2060"/>
      <c r="BM22" s="2060"/>
      <c r="BN22" s="2060"/>
      <c r="BO22" s="2060"/>
      <c r="BP22" s="2060"/>
      <c r="BQ22" s="2060"/>
      <c r="BR22" s="2060"/>
      <c r="BS22" s="2060"/>
      <c r="BT22" s="2060"/>
      <c r="BU22" s="2060"/>
      <c r="BV22" s="2060"/>
      <c r="BW22" s="2060"/>
      <c r="BX22" s="2060"/>
      <c r="BY22" s="2060"/>
      <c r="BZ22" s="2060"/>
      <c r="CA22" s="2060"/>
      <c r="CB22" s="2060"/>
      <c r="CC22" s="2060"/>
      <c r="CD22" s="2060"/>
      <c r="CE22" s="2060"/>
      <c r="CF22" s="2060"/>
      <c r="CG22" s="2060"/>
      <c r="CH22" s="2060"/>
      <c r="CI22" s="2060"/>
      <c r="CJ22" s="2060"/>
      <c r="CK22" s="2060"/>
      <c r="CL22" s="2060"/>
      <c r="CM22" s="2060"/>
      <c r="CN22" s="2060"/>
      <c r="CO22" s="2060"/>
      <c r="CP22" s="2060"/>
      <c r="CQ22" s="2060"/>
      <c r="CR22" s="2060"/>
      <c r="CS22" s="2060"/>
      <c r="CT22" s="2060"/>
      <c r="CU22" s="2060"/>
      <c r="CV22" s="2060"/>
      <c r="CW22" s="2060"/>
      <c r="CX22" s="2060"/>
      <c r="CY22" s="2060"/>
      <c r="CZ22" s="2060"/>
      <c r="DA22" s="2060"/>
      <c r="DB22" s="2060"/>
      <c r="DC22" s="2060"/>
      <c r="DD22" s="2060"/>
      <c r="DE22" s="2060"/>
      <c r="DF22" s="2060"/>
      <c r="DG22" s="2060"/>
      <c r="DH22" s="2060"/>
      <c r="DI22" s="2060"/>
      <c r="DJ22" s="2060"/>
      <c r="DK22" s="2060"/>
      <c r="DL22" s="2060"/>
      <c r="DM22" s="2060"/>
      <c r="DN22" s="2060"/>
      <c r="DO22" s="2060"/>
      <c r="DP22" s="2060"/>
      <c r="DQ22" s="2060"/>
      <c r="DR22" s="2060"/>
      <c r="DS22" s="2060"/>
      <c r="DT22" s="2060"/>
      <c r="DU22" s="2060"/>
      <c r="DV22" s="2060"/>
      <c r="DW22" s="2060"/>
      <c r="DX22" s="2060"/>
      <c r="DY22" s="2060"/>
      <c r="DZ22" s="2060"/>
      <c r="EA22" s="2060"/>
      <c r="EB22" s="2060"/>
      <c r="EC22" s="2060"/>
      <c r="ED22" s="2060"/>
      <c r="EE22" s="2060"/>
      <c r="EF22" s="2060"/>
      <c r="EG22" s="2060"/>
      <c r="EH22" s="2060"/>
      <c r="EI22" s="2060"/>
      <c r="EJ22" s="2060"/>
      <c r="EK22" s="2060"/>
      <c r="EL22" s="2060"/>
      <c r="EM22" s="2060"/>
      <c r="EN22" s="2060"/>
      <c r="EO22" s="2060"/>
      <c r="EP22" s="2060"/>
      <c r="EQ22" s="2060"/>
      <c r="ER22" s="2060"/>
      <c r="ES22" s="2060"/>
      <c r="ET22" s="2060"/>
      <c r="EU22" s="2060"/>
      <c r="EV22" s="2060"/>
      <c r="EW22" s="2060"/>
      <c r="EX22" s="2060"/>
      <c r="EY22" s="2060"/>
      <c r="EZ22" s="2060"/>
      <c r="FA22" s="2060"/>
      <c r="FB22" s="2060"/>
      <c r="FC22" s="2060"/>
      <c r="FD22" s="2060"/>
      <c r="FE22" s="2060"/>
      <c r="FF22" s="2060"/>
      <c r="FG22" s="2060"/>
      <c r="FH22" s="2060"/>
      <c r="FI22" s="2060"/>
      <c r="FJ22" s="2060"/>
      <c r="FK22" s="2060"/>
      <c r="FL22" s="2060"/>
      <c r="FM22" s="2060"/>
      <c r="FN22" s="2060"/>
      <c r="FO22" s="2060"/>
      <c r="FP22" s="2060"/>
      <c r="FQ22" s="2060"/>
      <c r="FR22" s="2060"/>
      <c r="FS22" s="2060"/>
      <c r="FT22" s="2060"/>
      <c r="FU22" s="2060"/>
      <c r="FV22" s="2060"/>
      <c r="FW22" s="2060"/>
      <c r="FX22" s="2060"/>
      <c r="FY22" s="2060"/>
      <c r="FZ22" s="2060"/>
      <c r="GA22" s="2060"/>
      <c r="GB22" s="2060"/>
      <c r="GC22" s="2060"/>
      <c r="GD22" s="2060"/>
      <c r="GE22" s="2060"/>
      <c r="GF22" s="2060"/>
      <c r="GG22" s="2060"/>
      <c r="GH22" s="2060"/>
      <c r="GI22" s="2060"/>
      <c r="GJ22" s="2060"/>
      <c r="GK22" s="2060"/>
      <c r="GL22" s="2060"/>
      <c r="GM22" s="2060"/>
      <c r="GN22" s="2060"/>
      <c r="GO22" s="2060"/>
      <c r="GP22" s="2060"/>
      <c r="GQ22" s="2060"/>
      <c r="GR22" s="2060"/>
      <c r="GS22" s="2060"/>
      <c r="GT22" s="2060"/>
      <c r="GU22" s="2060"/>
      <c r="GV22" s="2060"/>
      <c r="GW22" s="2060"/>
      <c r="GX22" s="2060"/>
      <c r="GY22" s="2060"/>
      <c r="GZ22" s="2060"/>
      <c r="HA22" s="2060"/>
      <c r="HB22" s="2060"/>
      <c r="HC22" s="2060"/>
      <c r="HD22" s="2060"/>
      <c r="HE22" s="2060"/>
      <c r="HF22" s="2060"/>
      <c r="HG22" s="2060"/>
      <c r="HH22" s="2060"/>
      <c r="HI22" s="2060"/>
      <c r="HJ22" s="2060"/>
      <c r="HK22" s="2060"/>
      <c r="HL22" s="2060"/>
      <c r="HM22" s="2060"/>
      <c r="HN22" s="2060"/>
      <c r="HO22" s="2060"/>
      <c r="HP22" s="2060"/>
      <c r="HQ22" s="2060"/>
      <c r="HR22" s="2060"/>
      <c r="HS22" s="2060"/>
      <c r="HT22" s="2060"/>
      <c r="HU22" s="2060"/>
      <c r="HV22" s="2060"/>
      <c r="HW22" s="2060"/>
      <c r="HX22" s="2060"/>
      <c r="HY22" s="2060"/>
      <c r="HZ22" s="2060"/>
      <c r="IA22" s="2060"/>
      <c r="IB22" s="2060"/>
      <c r="IC22" s="2060"/>
      <c r="ID22" s="2060"/>
      <c r="IE22" s="2060"/>
      <c r="IF22" s="2060"/>
      <c r="IG22" s="2060"/>
      <c r="IH22" s="2060"/>
      <c r="II22" s="2060"/>
      <c r="IJ22" s="2060"/>
      <c r="IK22" s="2060"/>
      <c r="IL22" s="2060"/>
      <c r="IM22" s="2060"/>
      <c r="IN22" s="2060"/>
      <c r="IO22" s="2060"/>
      <c r="IP22" s="2060"/>
      <c r="IQ22" s="2060"/>
      <c r="IR22" s="2060"/>
      <c r="IS22" s="2060"/>
      <c r="IT22" s="2060"/>
      <c r="IU22" s="2060"/>
      <c r="IV22" s="2060"/>
      <c r="IW22" s="2060"/>
      <c r="IX22" s="2060"/>
      <c r="IY22" s="2060"/>
      <c r="IZ22" s="2060"/>
      <c r="JA22" s="2060"/>
      <c r="JB22" s="2060"/>
      <c r="JC22" s="2060"/>
      <c r="JD22" s="2060"/>
      <c r="JE22" s="2060"/>
      <c r="JF22" s="2060"/>
      <c r="JG22" s="2060"/>
      <c r="JH22" s="2060"/>
      <c r="JI22" s="2060"/>
      <c r="JJ22" s="2060"/>
      <c r="JK22" s="2060"/>
      <c r="JL22" s="2060"/>
      <c r="JM22" s="2060"/>
      <c r="JN22" s="2060"/>
      <c r="JO22" s="2060"/>
      <c r="JP22" s="2060"/>
      <c r="JQ22" s="2060"/>
      <c r="JR22" s="2060"/>
      <c r="JS22" s="2060"/>
      <c r="JT22" s="2060"/>
      <c r="JU22" s="2060"/>
      <c r="JV22" s="2060"/>
      <c r="JW22" s="2060"/>
      <c r="JX22" s="2060"/>
      <c r="JY22" s="2060"/>
      <c r="JZ22" s="2060"/>
      <c r="KA22" s="2060"/>
      <c r="KB22" s="2060"/>
      <c r="KC22" s="2060"/>
      <c r="KD22" s="2060"/>
      <c r="KE22" s="2060"/>
      <c r="KF22" s="2060"/>
      <c r="KG22" s="2060"/>
      <c r="KH22" s="2060"/>
      <c r="KI22" s="2060"/>
      <c r="KJ22" s="2060"/>
      <c r="KK22" s="2060"/>
      <c r="KL22" s="2060"/>
      <c r="KM22" s="2060"/>
      <c r="KN22" s="2060"/>
      <c r="KO22" s="2060"/>
      <c r="KP22" s="2060"/>
      <c r="KQ22" s="2060"/>
      <c r="KR22" s="2060"/>
      <c r="KS22" s="2060"/>
      <c r="KT22" s="2060"/>
      <c r="KU22" s="2060"/>
      <c r="KV22" s="2060"/>
      <c r="KW22" s="2060"/>
      <c r="KX22" s="2060"/>
      <c r="KY22" s="2060"/>
      <c r="KZ22" s="2060"/>
      <c r="LA22" s="2060"/>
      <c r="LB22" s="2060"/>
      <c r="LC22" s="2060"/>
      <c r="LD22" s="2060"/>
      <c r="LE22" s="2060"/>
      <c r="LF22" s="2060"/>
      <c r="LG22" s="2060"/>
      <c r="LH22" s="2060"/>
    </row>
    <row r="23" spans="1:320" s="119" customFormat="1" ht="13.9">
      <c r="A23" s="269" t="str">
        <f t="shared" si="7"/>
        <v>n</v>
      </c>
      <c r="B23" s="269"/>
      <c r="C23" s="2060"/>
      <c r="D23" s="779">
        <f t="shared" ca="1" si="0"/>
        <v>1.04</v>
      </c>
      <c r="E23" s="772" t="str">
        <f>IF(OR('WACC and TIC Inputs'!$D132="x",$G23=""),"--",_xll.ciqfunctions.udf.CIQ($G23,"IQ_COMPANY_NAME"))</f>
        <v>--</v>
      </c>
      <c r="F23" s="1503"/>
      <c r="G23" s="2154"/>
      <c r="H23" s="1066"/>
      <c r="I23" s="256" t="str">
        <f>IF($E23="--","--",IF(_xll.ciqfunctions.udf.CIQ($G23,"IQ_COUNTRY_NAME")=0,"n/a",_xll.ciqfunctions.udf.CIQ($G23,"IQ_COUNTRY_NAME")))</f>
        <v>--</v>
      </c>
      <c r="J23" s="2060" t="str">
        <f>IF($E23="--","--",IF(OutputCurrency="Filing",_xll.ciqfunctions.udf.CIQ($G23,"IQ_FILING_CURRENCY",2000,Valuation_Date_GC),OutputCurrency))</f>
        <v>--</v>
      </c>
      <c r="K23" s="2163" t="str">
        <f t="shared" si="1"/>
        <v>--</v>
      </c>
      <c r="L23" s="2164"/>
      <c r="M23" s="2165"/>
      <c r="N23" s="2060" t="str">
        <f>IF($E23="--","--",_xll.ciqfunctions.udf.CIQ($G23,"IQ_TRADING_CURRENCY",Valuation_Date_GC))</f>
        <v>--</v>
      </c>
      <c r="O23" s="2060" t="str">
        <f t="shared" ref="O23" si="10">IF($E23="--","--",INDEX(CountryCurrencyCode,MATCH(K23,CountryIndex,0)))</f>
        <v>--</v>
      </c>
      <c r="P23" s="2060" t="str">
        <f>IF(E23="--","--",IF(OR(LEFT(_xll.ciqfunctions.udf.CIQ(G23,"IQ_SP_LC_LT"),1)="(",_xll.ciqfunctions.udf.CIQ(G23,"IQ_SP_LC_LT")=0),"n/a",_xll.ciqfunctions.udf.CIQ(G23,"IQ_SP_LC_LT")))</f>
        <v>--</v>
      </c>
      <c r="Q23" s="2060" t="str">
        <f>IF($E23="--","--",_xll.ciqfunctions.udf.CIQ($G23,"IQ_PRIMARY_INDUSTRY"))</f>
        <v>--</v>
      </c>
      <c r="R23" s="2060"/>
      <c r="S23" s="44" t="str">
        <f t="shared" si="2"/>
        <v>--</v>
      </c>
      <c r="T23" s="2060" t="str">
        <f t="shared" si="3"/>
        <v>--</v>
      </c>
      <c r="U23" s="2060" t="str">
        <f t="shared" si="8"/>
        <v>--</v>
      </c>
      <c r="V23" s="2060"/>
      <c r="W23" s="2060"/>
      <c r="X23" s="2060"/>
      <c r="Y23" s="2060"/>
      <c r="Z23" s="1938" t="s">
        <v>311</v>
      </c>
      <c r="AA23" s="1938" t="s">
        <v>312</v>
      </c>
      <c r="AB23" s="1938" t="str">
        <f t="shared" si="9"/>
        <v>KAZ Minerals plc</v>
      </c>
      <c r="AC23" s="1938" t="s">
        <v>304</v>
      </c>
      <c r="AD23" s="2117" t="str">
        <f t="shared" si="4"/>
        <v>LSE:GLEN</v>
      </c>
      <c r="AE23" s="2060"/>
      <c r="AF23" s="43" t="str">
        <f t="shared" si="5"/>
        <v>--</v>
      </c>
      <c r="AG23" s="43" t="str">
        <f t="shared" si="6"/>
        <v>--</v>
      </c>
      <c r="AH23" s="2060"/>
      <c r="AI23" s="2060"/>
      <c r="AJ23" s="2073"/>
      <c r="AK23" s="2073"/>
      <c r="AL23" s="2073"/>
      <c r="AM23" s="2060"/>
      <c r="AN23" s="2060"/>
      <c r="AO23" s="2060" t="s">
        <v>313</v>
      </c>
      <c r="AP23" s="89"/>
      <c r="AQ23" s="89"/>
      <c r="AR23" s="2060"/>
      <c r="AS23" s="98" t="s">
        <v>297</v>
      </c>
      <c r="AT23" s="80" t="s">
        <v>298</v>
      </c>
      <c r="AU23" s="80" t="s">
        <v>151</v>
      </c>
      <c r="AV23" s="80" t="s">
        <v>314</v>
      </c>
      <c r="AW23" s="81" t="s">
        <v>315</v>
      </c>
      <c r="AX23" s="78" t="s">
        <v>197</v>
      </c>
      <c r="AY23" s="78" t="s">
        <v>131</v>
      </c>
      <c r="AZ23" s="78" t="s">
        <v>196</v>
      </c>
      <c r="BA23" s="78" t="s">
        <v>316</v>
      </c>
      <c r="BB23" s="78" t="s">
        <v>317</v>
      </c>
      <c r="BC23" s="2060"/>
      <c r="BD23" s="2060"/>
      <c r="BE23" s="2060"/>
      <c r="BF23" s="2060"/>
      <c r="BG23" s="2060"/>
      <c r="BH23" s="2060"/>
      <c r="BI23" s="2060"/>
      <c r="BJ23" s="2060"/>
      <c r="BK23" s="2060"/>
      <c r="BL23" s="2060"/>
      <c r="BM23" s="2060"/>
      <c r="BN23" s="2060"/>
      <c r="BO23" s="2060"/>
      <c r="BP23" s="2060"/>
      <c r="BQ23" s="2060"/>
      <c r="BR23" s="2060"/>
      <c r="BS23" s="2060"/>
      <c r="BT23" s="2060"/>
      <c r="BU23" s="2060"/>
      <c r="BV23" s="2060"/>
      <c r="BW23" s="2060"/>
      <c r="BX23" s="2060"/>
      <c r="BY23" s="2060"/>
      <c r="BZ23" s="2060"/>
      <c r="CA23" s="2060"/>
      <c r="CB23" s="2060"/>
      <c r="CC23" s="2060"/>
      <c r="CD23" s="2060"/>
      <c r="CE23" s="2060"/>
      <c r="CF23" s="2060"/>
      <c r="CG23" s="2060"/>
      <c r="CH23" s="2060"/>
      <c r="CI23" s="2060"/>
      <c r="CJ23" s="2060"/>
      <c r="CK23" s="2060"/>
      <c r="CL23" s="2060"/>
      <c r="CM23" s="2060"/>
      <c r="CN23" s="2060"/>
      <c r="CO23" s="2060"/>
      <c r="CP23" s="2060"/>
      <c r="CQ23" s="2060"/>
      <c r="CR23" s="2060"/>
      <c r="CS23" s="2060"/>
      <c r="CT23" s="2060"/>
      <c r="CU23" s="2060"/>
      <c r="CV23" s="2060"/>
      <c r="CW23" s="2060"/>
      <c r="CX23" s="2060"/>
      <c r="CY23" s="2060"/>
      <c r="CZ23" s="2060"/>
      <c r="DA23" s="2060"/>
      <c r="DB23" s="2060"/>
      <c r="DC23" s="2060"/>
      <c r="DD23" s="2060"/>
      <c r="DE23" s="2060"/>
      <c r="DF23" s="2060"/>
      <c r="DG23" s="2060"/>
      <c r="DH23" s="2060"/>
      <c r="DI23" s="2060"/>
      <c r="DJ23" s="2060"/>
      <c r="DK23" s="2060"/>
      <c r="DL23" s="2060"/>
      <c r="DM23" s="2060"/>
      <c r="DN23" s="2060"/>
      <c r="DO23" s="2060"/>
      <c r="DP23" s="2060"/>
      <c r="DQ23" s="2060"/>
      <c r="DR23" s="2060"/>
      <c r="DS23" s="2060"/>
      <c r="DT23" s="2060"/>
      <c r="DU23" s="2060"/>
      <c r="DV23" s="2060"/>
      <c r="DW23" s="2060"/>
      <c r="DX23" s="2060"/>
      <c r="DY23" s="2060"/>
      <c r="DZ23" s="2060"/>
      <c r="EA23" s="2060"/>
      <c r="EB23" s="2060"/>
      <c r="EC23" s="2060"/>
      <c r="ED23" s="2060"/>
      <c r="EE23" s="2060"/>
      <c r="EF23" s="2060"/>
      <c r="EG23" s="2060"/>
      <c r="EH23" s="2060"/>
      <c r="EI23" s="2060"/>
      <c r="EJ23" s="2060"/>
      <c r="EK23" s="2060"/>
      <c r="EL23" s="2060"/>
      <c r="EM23" s="2060"/>
      <c r="EN23" s="2060"/>
      <c r="EO23" s="2060"/>
      <c r="EP23" s="2060"/>
      <c r="EQ23" s="2060"/>
      <c r="ER23" s="2060"/>
      <c r="ES23" s="2060"/>
      <c r="ET23" s="2060"/>
      <c r="EU23" s="2060"/>
      <c r="EV23" s="2060"/>
      <c r="EW23" s="2060"/>
      <c r="EX23" s="2060"/>
      <c r="EY23" s="2060"/>
      <c r="EZ23" s="2060"/>
      <c r="FA23" s="2060"/>
      <c r="FB23" s="2060"/>
      <c r="FC23" s="2060"/>
      <c r="FD23" s="2060"/>
      <c r="FE23" s="2060"/>
      <c r="FF23" s="2060"/>
      <c r="FG23" s="2060"/>
      <c r="FH23" s="2060"/>
      <c r="FI23" s="2060"/>
      <c r="FJ23" s="2060"/>
      <c r="FK23" s="2060"/>
      <c r="FL23" s="2060"/>
      <c r="FM23" s="2060"/>
      <c r="FN23" s="2060"/>
      <c r="FO23" s="2060"/>
      <c r="FP23" s="2060"/>
      <c r="FQ23" s="2060"/>
      <c r="FR23" s="2060"/>
      <c r="FS23" s="2060"/>
      <c r="FT23" s="2060"/>
      <c r="FU23" s="2060"/>
      <c r="FV23" s="2060"/>
      <c r="FW23" s="2060"/>
      <c r="FX23" s="2060"/>
      <c r="FY23" s="2060"/>
      <c r="FZ23" s="2060"/>
      <c r="GA23" s="2060"/>
      <c r="GB23" s="2060"/>
      <c r="GC23" s="2060"/>
      <c r="GD23" s="2060"/>
      <c r="GE23" s="2060"/>
      <c r="GF23" s="2060"/>
      <c r="GG23" s="2060"/>
      <c r="GH23" s="2060"/>
      <c r="GI23" s="2060"/>
      <c r="GJ23" s="2060"/>
      <c r="GK23" s="2060"/>
      <c r="GL23" s="2060"/>
      <c r="GM23" s="2060"/>
      <c r="GN23" s="2060"/>
      <c r="GO23" s="2060"/>
      <c r="GP23" s="2060"/>
      <c r="GQ23" s="2060"/>
      <c r="GR23" s="2060"/>
      <c r="GS23" s="2060"/>
      <c r="GT23" s="2060"/>
      <c r="GU23" s="2060"/>
      <c r="GV23" s="2060"/>
      <c r="GW23" s="2060"/>
      <c r="GX23" s="2060"/>
      <c r="GY23" s="2060"/>
      <c r="GZ23" s="2060"/>
      <c r="HA23" s="2060"/>
      <c r="HB23" s="2060"/>
      <c r="HC23" s="2060"/>
      <c r="HD23" s="2060"/>
      <c r="HE23" s="2060"/>
      <c r="HF23" s="2060"/>
      <c r="HG23" s="2060"/>
      <c r="HH23" s="2060"/>
      <c r="HI23" s="2060"/>
      <c r="HJ23" s="2060"/>
      <c r="HK23" s="2060"/>
      <c r="HL23" s="2060"/>
      <c r="HM23" s="2060"/>
      <c r="HN23" s="2060"/>
      <c r="HO23" s="2060"/>
      <c r="HP23" s="2060"/>
      <c r="HQ23" s="2060"/>
      <c r="HR23" s="2060"/>
      <c r="HS23" s="2060"/>
      <c r="HT23" s="2060"/>
      <c r="HU23" s="2060"/>
      <c r="HV23" s="2060"/>
      <c r="HW23" s="2060"/>
      <c r="HX23" s="2060"/>
      <c r="HY23" s="2060"/>
      <c r="HZ23" s="2060"/>
      <c r="IA23" s="2060"/>
      <c r="IB23" s="2060"/>
      <c r="IC23" s="2060"/>
      <c r="ID23" s="2060"/>
      <c r="IE23" s="2060"/>
      <c r="IF23" s="2060"/>
      <c r="IG23" s="2060"/>
      <c r="IH23" s="2060"/>
      <c r="II23" s="2060"/>
      <c r="IJ23" s="2060"/>
      <c r="IK23" s="2060"/>
      <c r="IL23" s="2060"/>
      <c r="IM23" s="2060"/>
      <c r="IN23" s="2060"/>
      <c r="IO23" s="2060"/>
      <c r="IP23" s="2060"/>
      <c r="IQ23" s="2060"/>
      <c r="IR23" s="2060"/>
      <c r="IS23" s="2060"/>
      <c r="IT23" s="2060"/>
      <c r="IU23" s="2060"/>
      <c r="IV23" s="2060"/>
      <c r="IW23" s="2060"/>
      <c r="IX23" s="2060"/>
      <c r="IY23" s="2060"/>
      <c r="IZ23" s="2060"/>
      <c r="JA23" s="2060"/>
      <c r="JB23" s="2060"/>
      <c r="JC23" s="2060"/>
      <c r="JD23" s="2060"/>
      <c r="JE23" s="2060"/>
      <c r="JF23" s="2060"/>
      <c r="JG23" s="2060"/>
      <c r="JH23" s="2060"/>
      <c r="JI23" s="2060"/>
      <c r="JJ23" s="2060"/>
      <c r="JK23" s="2060"/>
      <c r="JL23" s="2060"/>
      <c r="JM23" s="2060"/>
      <c r="JN23" s="2060"/>
      <c r="JO23" s="2060"/>
      <c r="JP23" s="2060"/>
      <c r="JQ23" s="2060"/>
      <c r="JR23" s="2060"/>
      <c r="JS23" s="2060"/>
      <c r="JT23" s="2060"/>
      <c r="JU23" s="2060"/>
      <c r="JV23" s="2060"/>
      <c r="JW23" s="2060"/>
      <c r="JX23" s="2060"/>
      <c r="JY23" s="2060"/>
      <c r="JZ23" s="2060"/>
      <c r="KA23" s="2060"/>
      <c r="KB23" s="2060"/>
      <c r="KC23" s="2060"/>
      <c r="KD23" s="2060"/>
      <c r="KE23" s="2060"/>
      <c r="KF23" s="2060"/>
      <c r="KG23" s="2060"/>
      <c r="KH23" s="2060"/>
      <c r="KI23" s="2060"/>
      <c r="KJ23" s="2060"/>
      <c r="KK23" s="2060"/>
      <c r="KL23" s="2060"/>
      <c r="KM23" s="2060"/>
      <c r="KN23" s="2060"/>
      <c r="KO23" s="2060"/>
      <c r="KP23" s="2060"/>
      <c r="KQ23" s="2060"/>
      <c r="KR23" s="2060"/>
      <c r="KS23" s="2060"/>
      <c r="KT23" s="2060"/>
      <c r="KU23" s="2060"/>
      <c r="KV23" s="2060"/>
      <c r="KW23" s="2060"/>
      <c r="KX23" s="2060"/>
      <c r="KY23" s="2060"/>
      <c r="KZ23" s="2060"/>
      <c r="LA23" s="2060"/>
      <c r="LB23" s="2060"/>
      <c r="LC23" s="2060"/>
      <c r="LD23" s="2060"/>
      <c r="LE23" s="2060"/>
      <c r="LF23" s="2060"/>
      <c r="LG23" s="2060"/>
      <c r="LH23" s="2060"/>
    </row>
    <row r="24" spans="1:320" s="119" customFormat="1" ht="13.9">
      <c r="A24" s="269" t="str">
        <f t="shared" si="7"/>
        <v>n</v>
      </c>
      <c r="B24" s="269"/>
      <c r="C24" s="2060"/>
      <c r="D24" s="779">
        <f t="shared" ca="1" si="0"/>
        <v>1.05</v>
      </c>
      <c r="E24" s="772" t="str">
        <f>IF(OR('WACC and TIC Inputs'!$D133="x",$G24=""),"--",_xll.ciqfunctions.udf.CIQ($G24,"IQ_COMPANY_NAME"))</f>
        <v>--</v>
      </c>
      <c r="F24" s="1503"/>
      <c r="G24" s="2154"/>
      <c r="H24" s="1066"/>
      <c r="I24" s="256" t="str">
        <f>IF($E24="--","--",IF(_xll.ciqfunctions.udf.CIQ($G24,"IQ_COUNTRY_NAME")=0,"n/a",_xll.ciqfunctions.udf.CIQ($G24,"IQ_COUNTRY_NAME")))</f>
        <v>--</v>
      </c>
      <c r="J24" s="2060" t="str">
        <f>IF($E24="--","--",IF(OutputCurrency="Filing",_xll.ciqfunctions.udf.CIQ($G24,"IQ_FILING_CURRENCY",2000,Valuation_Date_GC),OutputCurrency))</f>
        <v>--</v>
      </c>
      <c r="K24" s="2163" t="str">
        <f t="shared" si="1"/>
        <v>--</v>
      </c>
      <c r="L24" s="2164"/>
      <c r="M24" s="2165"/>
      <c r="N24" s="2060" t="str">
        <f>IF($E24="--","--",_xll.ciqfunctions.udf.CIQ($G24,"IQ_TRADING_CURRENCY",Valuation_Date_GC))</f>
        <v>--</v>
      </c>
      <c r="O24" s="2060" t="str">
        <f t="shared" ref="O24:O35" si="11">IF($E24="--","--",INDEX(CountryCurrencyCode,MATCH(K24,CountryIndex,0)))</f>
        <v>--</v>
      </c>
      <c r="P24" s="2060" t="str">
        <f>IF(E24="--","--",IF(OR(LEFT(_xll.ciqfunctions.udf.CIQ(G24,"IQ_SP_LC_LT"),1)="(",_xll.ciqfunctions.udf.CIQ(G24,"IQ_SP_LC_LT")=0),"n/a",_xll.ciqfunctions.udf.CIQ(G24,"IQ_SP_LC_LT")))</f>
        <v>--</v>
      </c>
      <c r="Q24" s="2060" t="str">
        <f>IF($E24="--","--",_xll.ciqfunctions.udf.CIQ($G24,"IQ_PRIMARY_INDUSTRY"))</f>
        <v>--</v>
      </c>
      <c r="R24" s="2060"/>
      <c r="S24" s="44" t="str">
        <f t="shared" si="2"/>
        <v>--</v>
      </c>
      <c r="T24" s="2060" t="str">
        <f t="shared" si="3"/>
        <v>--</v>
      </c>
      <c r="U24" s="2060" t="str">
        <f t="shared" si="8"/>
        <v>--</v>
      </c>
      <c r="V24" s="2060"/>
      <c r="W24" s="2060"/>
      <c r="X24" s="2060"/>
      <c r="Y24" s="2060"/>
      <c r="Z24" s="1938" t="s">
        <v>318</v>
      </c>
      <c r="AA24" s="1938" t="s">
        <v>319</v>
      </c>
      <c r="AB24" s="1938" t="str">
        <f t="shared" si="9"/>
        <v>Sumitomo Metal Mining Co., Ltd.</v>
      </c>
      <c r="AC24" s="1938" t="s">
        <v>312</v>
      </c>
      <c r="AD24" s="2117" t="str">
        <f t="shared" si="4"/>
        <v>LSE:KAZ</v>
      </c>
      <c r="AE24" s="2060"/>
      <c r="AF24" s="43" t="str">
        <f t="shared" si="5"/>
        <v>--</v>
      </c>
      <c r="AG24" s="43" t="str">
        <f t="shared" si="6"/>
        <v>--</v>
      </c>
      <c r="AH24" s="2060"/>
      <c r="AI24" s="2060"/>
      <c r="AJ24" s="2073"/>
      <c r="AK24" s="2073"/>
      <c r="AL24" s="2073"/>
      <c r="AM24" s="2060"/>
      <c r="AN24" s="2060"/>
      <c r="AO24" s="2060" t="s">
        <v>320</v>
      </c>
      <c r="AP24" s="89"/>
      <c r="AQ24" s="89"/>
      <c r="AR24" s="2060"/>
      <c r="AS24" s="98" t="s">
        <v>297</v>
      </c>
      <c r="AT24" s="80" t="s">
        <v>298</v>
      </c>
      <c r="AU24" s="80" t="s">
        <v>151</v>
      </c>
      <c r="AV24" s="80" t="s">
        <v>321</v>
      </c>
      <c r="AW24" s="81" t="s">
        <v>322</v>
      </c>
      <c r="AX24" s="78" t="s">
        <v>197</v>
      </c>
      <c r="AY24" s="78" t="s">
        <v>131</v>
      </c>
      <c r="AZ24" s="78" t="s">
        <v>196</v>
      </c>
      <c r="BA24" s="78" t="s">
        <v>323</v>
      </c>
      <c r="BB24" s="78" t="s">
        <v>324</v>
      </c>
      <c r="BC24" s="2060"/>
      <c r="BD24" s="2060"/>
      <c r="BE24" s="2060"/>
      <c r="BF24" s="2060"/>
      <c r="BG24" s="2060"/>
      <c r="BH24" s="2060"/>
      <c r="BI24" s="2060"/>
      <c r="BJ24" s="2060"/>
      <c r="BK24" s="2060"/>
      <c r="BL24" s="2060"/>
      <c r="BM24" s="2060"/>
      <c r="BN24" s="2060"/>
      <c r="BO24" s="2060"/>
      <c r="BP24" s="2060"/>
      <c r="BQ24" s="2060"/>
      <c r="BR24" s="2060"/>
      <c r="BS24" s="2060"/>
      <c r="BT24" s="2060"/>
      <c r="BU24" s="2060"/>
      <c r="BV24" s="2060"/>
      <c r="BW24" s="2060"/>
      <c r="BX24" s="2060"/>
      <c r="BY24" s="2060"/>
      <c r="BZ24" s="2060"/>
      <c r="CA24" s="2060"/>
      <c r="CB24" s="2060"/>
      <c r="CC24" s="2060"/>
      <c r="CD24" s="2060"/>
      <c r="CE24" s="2060"/>
      <c r="CF24" s="2060"/>
      <c r="CG24" s="2060"/>
      <c r="CH24" s="2060"/>
      <c r="CI24" s="2060"/>
      <c r="CJ24" s="2060"/>
      <c r="CK24" s="2060"/>
      <c r="CL24" s="2060"/>
      <c r="CM24" s="2060"/>
      <c r="CN24" s="2060"/>
      <c r="CO24" s="2060"/>
      <c r="CP24" s="2060"/>
      <c r="CQ24" s="2060"/>
      <c r="CR24" s="2060"/>
      <c r="CS24" s="2060"/>
      <c r="CT24" s="2060"/>
      <c r="CU24" s="2060"/>
      <c r="CV24" s="2060"/>
      <c r="CW24" s="2060"/>
      <c r="CX24" s="2060"/>
      <c r="CY24" s="2060"/>
      <c r="CZ24" s="2060"/>
      <c r="DA24" s="2060"/>
      <c r="DB24" s="2060"/>
      <c r="DC24" s="2060"/>
      <c r="DD24" s="2060"/>
      <c r="DE24" s="2060"/>
      <c r="DF24" s="2060"/>
      <c r="DG24" s="2060"/>
      <c r="DH24" s="2060"/>
      <c r="DI24" s="2060"/>
      <c r="DJ24" s="2060"/>
      <c r="DK24" s="2060"/>
      <c r="DL24" s="2060"/>
      <c r="DM24" s="2060"/>
      <c r="DN24" s="2060"/>
      <c r="DO24" s="2060"/>
      <c r="DP24" s="2060"/>
      <c r="DQ24" s="2060"/>
      <c r="DR24" s="2060"/>
      <c r="DS24" s="2060"/>
      <c r="DT24" s="2060"/>
      <c r="DU24" s="2060"/>
      <c r="DV24" s="2060"/>
      <c r="DW24" s="2060"/>
      <c r="DX24" s="2060"/>
      <c r="DY24" s="2060"/>
      <c r="DZ24" s="2060"/>
      <c r="EA24" s="2060"/>
      <c r="EB24" s="2060"/>
      <c r="EC24" s="2060"/>
      <c r="ED24" s="2060"/>
      <c r="EE24" s="2060"/>
      <c r="EF24" s="2060"/>
      <c r="EG24" s="2060"/>
      <c r="EH24" s="2060"/>
      <c r="EI24" s="2060"/>
      <c r="EJ24" s="2060"/>
      <c r="EK24" s="2060"/>
      <c r="EL24" s="2060"/>
      <c r="EM24" s="2060"/>
      <c r="EN24" s="2060"/>
      <c r="EO24" s="2060"/>
      <c r="EP24" s="2060"/>
      <c r="EQ24" s="2060"/>
      <c r="ER24" s="2060"/>
      <c r="ES24" s="2060"/>
      <c r="ET24" s="2060"/>
      <c r="EU24" s="2060"/>
      <c r="EV24" s="2060"/>
      <c r="EW24" s="2060"/>
      <c r="EX24" s="2060"/>
      <c r="EY24" s="2060"/>
      <c r="EZ24" s="2060"/>
      <c r="FA24" s="2060"/>
      <c r="FB24" s="2060"/>
      <c r="FC24" s="2060"/>
      <c r="FD24" s="2060"/>
      <c r="FE24" s="2060"/>
      <c r="FF24" s="2060"/>
      <c r="FG24" s="2060"/>
      <c r="FH24" s="2060"/>
      <c r="FI24" s="2060"/>
      <c r="FJ24" s="2060"/>
      <c r="FK24" s="2060"/>
      <c r="FL24" s="2060"/>
      <c r="FM24" s="2060"/>
      <c r="FN24" s="2060"/>
      <c r="FO24" s="2060"/>
      <c r="FP24" s="2060"/>
      <c r="FQ24" s="2060"/>
      <c r="FR24" s="2060"/>
      <c r="FS24" s="2060"/>
      <c r="FT24" s="2060"/>
      <c r="FU24" s="2060"/>
      <c r="FV24" s="2060"/>
      <c r="FW24" s="2060"/>
      <c r="FX24" s="2060"/>
      <c r="FY24" s="2060"/>
      <c r="FZ24" s="2060"/>
      <c r="GA24" s="2060"/>
      <c r="GB24" s="2060"/>
      <c r="GC24" s="2060"/>
      <c r="GD24" s="2060"/>
      <c r="GE24" s="2060"/>
      <c r="GF24" s="2060"/>
      <c r="GG24" s="2060"/>
      <c r="GH24" s="2060"/>
      <c r="GI24" s="2060"/>
      <c r="GJ24" s="2060"/>
      <c r="GK24" s="2060"/>
      <c r="GL24" s="2060"/>
      <c r="GM24" s="2060"/>
      <c r="GN24" s="2060"/>
      <c r="GO24" s="2060"/>
      <c r="GP24" s="2060"/>
      <c r="GQ24" s="2060"/>
      <c r="GR24" s="2060"/>
      <c r="GS24" s="2060"/>
      <c r="GT24" s="2060"/>
      <c r="GU24" s="2060"/>
      <c r="GV24" s="2060"/>
      <c r="GW24" s="2060"/>
      <c r="GX24" s="2060"/>
      <c r="GY24" s="2060"/>
      <c r="GZ24" s="2060"/>
      <c r="HA24" s="2060"/>
      <c r="HB24" s="2060"/>
      <c r="HC24" s="2060"/>
      <c r="HD24" s="2060"/>
      <c r="HE24" s="2060"/>
      <c r="HF24" s="2060"/>
      <c r="HG24" s="2060"/>
      <c r="HH24" s="2060"/>
      <c r="HI24" s="2060"/>
      <c r="HJ24" s="2060"/>
      <c r="HK24" s="2060"/>
      <c r="HL24" s="2060"/>
      <c r="HM24" s="2060"/>
      <c r="HN24" s="2060"/>
      <c r="HO24" s="2060"/>
      <c r="HP24" s="2060"/>
      <c r="HQ24" s="2060"/>
      <c r="HR24" s="2060"/>
      <c r="HS24" s="2060"/>
      <c r="HT24" s="2060"/>
      <c r="HU24" s="2060"/>
      <c r="HV24" s="2060"/>
      <c r="HW24" s="2060"/>
      <c r="HX24" s="2060"/>
      <c r="HY24" s="2060"/>
      <c r="HZ24" s="2060"/>
      <c r="IA24" s="2060"/>
      <c r="IB24" s="2060"/>
      <c r="IC24" s="2060"/>
      <c r="ID24" s="2060"/>
      <c r="IE24" s="2060"/>
      <c r="IF24" s="2060"/>
      <c r="IG24" s="2060"/>
      <c r="IH24" s="2060"/>
      <c r="II24" s="2060"/>
      <c r="IJ24" s="2060"/>
      <c r="IK24" s="2060"/>
      <c r="IL24" s="2060"/>
      <c r="IM24" s="2060"/>
      <c r="IN24" s="2060"/>
      <c r="IO24" s="2060"/>
      <c r="IP24" s="2060"/>
      <c r="IQ24" s="2060"/>
      <c r="IR24" s="2060"/>
      <c r="IS24" s="2060"/>
      <c r="IT24" s="2060"/>
      <c r="IU24" s="2060"/>
      <c r="IV24" s="2060"/>
      <c r="IW24" s="2060"/>
      <c r="IX24" s="2060"/>
      <c r="IY24" s="2060"/>
      <c r="IZ24" s="2060"/>
      <c r="JA24" s="2060"/>
      <c r="JB24" s="2060"/>
      <c r="JC24" s="2060"/>
      <c r="JD24" s="2060"/>
      <c r="JE24" s="2060"/>
      <c r="JF24" s="2060"/>
      <c r="JG24" s="2060"/>
      <c r="JH24" s="2060"/>
      <c r="JI24" s="2060"/>
      <c r="JJ24" s="2060"/>
      <c r="JK24" s="2060"/>
      <c r="JL24" s="2060"/>
      <c r="JM24" s="2060"/>
      <c r="JN24" s="2060"/>
      <c r="JO24" s="2060"/>
      <c r="JP24" s="2060"/>
      <c r="JQ24" s="2060"/>
      <c r="JR24" s="2060"/>
      <c r="JS24" s="2060"/>
      <c r="JT24" s="2060"/>
      <c r="JU24" s="2060"/>
      <c r="JV24" s="2060"/>
      <c r="JW24" s="2060"/>
      <c r="JX24" s="2060"/>
      <c r="JY24" s="2060"/>
      <c r="JZ24" s="2060"/>
      <c r="KA24" s="2060"/>
      <c r="KB24" s="2060"/>
      <c r="KC24" s="2060"/>
      <c r="KD24" s="2060"/>
      <c r="KE24" s="2060"/>
      <c r="KF24" s="2060"/>
      <c r="KG24" s="2060"/>
      <c r="KH24" s="2060"/>
      <c r="KI24" s="2060"/>
      <c r="KJ24" s="2060"/>
      <c r="KK24" s="2060"/>
      <c r="KL24" s="2060"/>
      <c r="KM24" s="2060"/>
      <c r="KN24" s="2060"/>
      <c r="KO24" s="2060"/>
      <c r="KP24" s="2060"/>
      <c r="KQ24" s="2060"/>
      <c r="KR24" s="2060"/>
      <c r="KS24" s="2060"/>
      <c r="KT24" s="2060"/>
      <c r="KU24" s="2060"/>
      <c r="KV24" s="2060"/>
      <c r="KW24" s="2060"/>
      <c r="KX24" s="2060"/>
      <c r="KY24" s="2060"/>
      <c r="KZ24" s="2060"/>
      <c r="LA24" s="2060"/>
      <c r="LB24" s="2060"/>
      <c r="LC24" s="2060"/>
      <c r="LD24" s="2060"/>
      <c r="LE24" s="2060"/>
      <c r="LF24" s="2060"/>
      <c r="LG24" s="2060"/>
      <c r="LH24" s="2060"/>
    </row>
    <row r="25" spans="1:320" s="119" customFormat="1" ht="13.9">
      <c r="A25" s="269" t="str">
        <f t="shared" si="7"/>
        <v>n</v>
      </c>
      <c r="B25" s="269"/>
      <c r="C25" s="2060"/>
      <c r="D25" s="779">
        <f t="shared" ca="1" si="0"/>
        <v>1.06</v>
      </c>
      <c r="E25" s="772" t="str">
        <f>IF(OR('WACC and TIC Inputs'!$D134="x",$G25=""),"--",_xll.ciqfunctions.udf.CIQ($G25,"IQ_COMPANY_NAME"))</f>
        <v>--</v>
      </c>
      <c r="F25" s="1503"/>
      <c r="G25" s="2154"/>
      <c r="H25" s="1066"/>
      <c r="I25" s="256" t="str">
        <f>IF($E25="--","--",IF(_xll.ciqfunctions.udf.CIQ($G25,"IQ_COUNTRY_NAME")=0,"n/a",_xll.ciqfunctions.udf.CIQ($G25,"IQ_COUNTRY_NAME")))</f>
        <v>--</v>
      </c>
      <c r="J25" s="2060" t="str">
        <f>IF($E25="--","--",IF(OutputCurrency="Filing",_xll.ciqfunctions.udf.CIQ($G25,"IQ_FILING_CURRENCY",2000,Valuation_Date_GC),OutputCurrency))</f>
        <v>--</v>
      </c>
      <c r="K25" s="2163" t="str">
        <f t="shared" si="1"/>
        <v>--</v>
      </c>
      <c r="L25" s="2164"/>
      <c r="M25" s="2165"/>
      <c r="N25" s="2060" t="str">
        <f>IF($E25="--","--",_xll.ciqfunctions.udf.CIQ($G25,"IQ_TRADING_CURRENCY",Valuation_Date_GC))</f>
        <v>--</v>
      </c>
      <c r="O25" s="2060" t="str">
        <f t="shared" si="11"/>
        <v>--</v>
      </c>
      <c r="P25" s="2060" t="str">
        <f>IF(E25="--","--",IF(OR(LEFT(_xll.ciqfunctions.udf.CIQ(G25,"IQ_SP_LC_LT"),1)="(",_xll.ciqfunctions.udf.CIQ(G25,"IQ_SP_LC_LT")=0),"n/a",_xll.ciqfunctions.udf.CIQ(G25,"IQ_SP_LC_LT")))</f>
        <v>--</v>
      </c>
      <c r="Q25" s="2060" t="str">
        <f>IF($E25="--","--",_xll.ciqfunctions.udf.CIQ($G25,"IQ_PRIMARY_INDUSTRY"))</f>
        <v>--</v>
      </c>
      <c r="R25" s="2060"/>
      <c r="S25" s="44" t="str">
        <f t="shared" si="2"/>
        <v>--</v>
      </c>
      <c r="T25" s="2060" t="str">
        <f t="shared" si="3"/>
        <v>--</v>
      </c>
      <c r="U25" s="2060" t="str">
        <f t="shared" si="8"/>
        <v>--</v>
      </c>
      <c r="V25" s="2060"/>
      <c r="W25" s="2060"/>
      <c r="X25" s="2060"/>
      <c r="Y25" s="2060"/>
      <c r="Z25" s="1938" t="s">
        <v>325</v>
      </c>
      <c r="AA25" s="1938" t="s">
        <v>326</v>
      </c>
      <c r="AB25" s="1938" t="str">
        <f t="shared" si="9"/>
        <v>South32 Limited</v>
      </c>
      <c r="AC25" s="1938" t="s">
        <v>327</v>
      </c>
      <c r="AD25" s="2117" t="str">
        <f t="shared" si="4"/>
        <v>ENXTBR:NYR</v>
      </c>
      <c r="AE25" s="2060"/>
      <c r="AF25" s="43" t="str">
        <f t="shared" si="5"/>
        <v>--</v>
      </c>
      <c r="AG25" s="43" t="str">
        <f t="shared" si="6"/>
        <v>--</v>
      </c>
      <c r="AH25" s="2060"/>
      <c r="AI25" s="2060"/>
      <c r="AJ25" s="2073"/>
      <c r="AK25" s="2073"/>
      <c r="AL25" s="2073"/>
      <c r="AM25" s="2060"/>
      <c r="AN25" s="2060"/>
      <c r="AO25" s="2060" t="s">
        <v>328</v>
      </c>
      <c r="AP25" s="89"/>
      <c r="AQ25" s="89"/>
      <c r="AR25" s="2060"/>
      <c r="AS25" s="98" t="s">
        <v>329</v>
      </c>
      <c r="AT25" s="80" t="s">
        <v>330</v>
      </c>
      <c r="AU25" s="80" t="s">
        <v>151</v>
      </c>
      <c r="AV25" s="80" t="s">
        <v>331</v>
      </c>
      <c r="AW25" s="81" t="s">
        <v>332</v>
      </c>
      <c r="AX25" s="78" t="s">
        <v>206</v>
      </c>
      <c r="AY25" s="78" t="s">
        <v>333</v>
      </c>
      <c r="AZ25" s="78" t="s">
        <v>205</v>
      </c>
      <c r="BA25" s="78" t="s">
        <v>334</v>
      </c>
      <c r="BB25" s="78" t="s">
        <v>335</v>
      </c>
      <c r="BC25" s="2060"/>
      <c r="BD25" s="2060"/>
      <c r="BE25" s="2060"/>
      <c r="BF25" s="2060"/>
      <c r="BG25" s="2060"/>
      <c r="BH25" s="2060"/>
      <c r="BI25" s="2060"/>
      <c r="BJ25" s="2060"/>
      <c r="BK25" s="2060"/>
      <c r="BL25" s="2060"/>
      <c r="BM25" s="2060"/>
      <c r="BN25" s="2060"/>
      <c r="BO25" s="2060"/>
      <c r="BP25" s="2060"/>
      <c r="BQ25" s="2060"/>
      <c r="BR25" s="2060"/>
      <c r="BS25" s="2060"/>
      <c r="BT25" s="2060"/>
      <c r="BU25" s="2060"/>
      <c r="BV25" s="2060"/>
      <c r="BW25" s="2060"/>
      <c r="BX25" s="2060"/>
      <c r="BY25" s="2060"/>
      <c r="BZ25" s="2060"/>
      <c r="CA25" s="2060"/>
      <c r="CB25" s="2060"/>
      <c r="CC25" s="2060"/>
      <c r="CD25" s="2060"/>
      <c r="CE25" s="2060"/>
      <c r="CF25" s="2060"/>
      <c r="CG25" s="2060"/>
      <c r="CH25" s="2060"/>
      <c r="CI25" s="2060"/>
      <c r="CJ25" s="2060"/>
      <c r="CK25" s="2060"/>
      <c r="CL25" s="2060"/>
      <c r="CM25" s="2060"/>
      <c r="CN25" s="2060"/>
      <c r="CO25" s="2060"/>
      <c r="CP25" s="2060"/>
      <c r="CQ25" s="2060"/>
      <c r="CR25" s="2060"/>
      <c r="CS25" s="2060"/>
      <c r="CT25" s="2060"/>
      <c r="CU25" s="2060"/>
      <c r="CV25" s="2060"/>
      <c r="CW25" s="2060"/>
      <c r="CX25" s="2060"/>
      <c r="CY25" s="2060"/>
      <c r="CZ25" s="2060"/>
      <c r="DA25" s="2060"/>
      <c r="DB25" s="2060"/>
      <c r="DC25" s="2060"/>
      <c r="DD25" s="2060"/>
      <c r="DE25" s="2060"/>
      <c r="DF25" s="2060"/>
      <c r="DG25" s="2060"/>
      <c r="DH25" s="2060"/>
      <c r="DI25" s="2060"/>
      <c r="DJ25" s="2060"/>
      <c r="DK25" s="2060"/>
      <c r="DL25" s="2060"/>
      <c r="DM25" s="2060"/>
      <c r="DN25" s="2060"/>
      <c r="DO25" s="2060"/>
      <c r="DP25" s="2060"/>
      <c r="DQ25" s="2060"/>
      <c r="DR25" s="2060"/>
      <c r="DS25" s="2060"/>
      <c r="DT25" s="2060"/>
      <c r="DU25" s="2060"/>
      <c r="DV25" s="2060"/>
      <c r="DW25" s="2060"/>
      <c r="DX25" s="2060"/>
      <c r="DY25" s="2060"/>
      <c r="DZ25" s="2060"/>
      <c r="EA25" s="2060"/>
      <c r="EB25" s="2060"/>
      <c r="EC25" s="2060"/>
      <c r="ED25" s="2060"/>
      <c r="EE25" s="2060"/>
      <c r="EF25" s="2060"/>
      <c r="EG25" s="2060"/>
      <c r="EH25" s="2060"/>
      <c r="EI25" s="2060"/>
      <c r="EJ25" s="2060"/>
      <c r="EK25" s="2060"/>
      <c r="EL25" s="2060"/>
      <c r="EM25" s="2060"/>
      <c r="EN25" s="2060"/>
      <c r="EO25" s="2060"/>
      <c r="EP25" s="2060"/>
      <c r="EQ25" s="2060"/>
      <c r="ER25" s="2060"/>
      <c r="ES25" s="2060"/>
      <c r="ET25" s="2060"/>
      <c r="EU25" s="2060"/>
      <c r="EV25" s="2060"/>
      <c r="EW25" s="2060"/>
      <c r="EX25" s="2060"/>
      <c r="EY25" s="2060"/>
      <c r="EZ25" s="2060"/>
      <c r="FA25" s="2060"/>
      <c r="FB25" s="2060"/>
      <c r="FC25" s="2060"/>
      <c r="FD25" s="2060"/>
      <c r="FE25" s="2060"/>
      <c r="FF25" s="2060"/>
      <c r="FG25" s="2060"/>
      <c r="FH25" s="2060"/>
      <c r="FI25" s="2060"/>
      <c r="FJ25" s="2060"/>
      <c r="FK25" s="2060"/>
      <c r="FL25" s="2060"/>
      <c r="FM25" s="2060"/>
      <c r="FN25" s="2060"/>
      <c r="FO25" s="2060"/>
      <c r="FP25" s="2060"/>
      <c r="FQ25" s="2060"/>
      <c r="FR25" s="2060"/>
      <c r="FS25" s="2060"/>
      <c r="FT25" s="2060"/>
      <c r="FU25" s="2060"/>
      <c r="FV25" s="2060"/>
      <c r="FW25" s="2060"/>
      <c r="FX25" s="2060"/>
      <c r="FY25" s="2060"/>
      <c r="FZ25" s="2060"/>
      <c r="GA25" s="2060"/>
      <c r="GB25" s="2060"/>
      <c r="GC25" s="2060"/>
      <c r="GD25" s="2060"/>
      <c r="GE25" s="2060"/>
      <c r="GF25" s="2060"/>
      <c r="GG25" s="2060"/>
      <c r="GH25" s="2060"/>
      <c r="GI25" s="2060"/>
      <c r="GJ25" s="2060"/>
      <c r="GK25" s="2060"/>
      <c r="GL25" s="2060"/>
      <c r="GM25" s="2060"/>
      <c r="GN25" s="2060"/>
      <c r="GO25" s="2060"/>
      <c r="GP25" s="2060"/>
      <c r="GQ25" s="2060"/>
      <c r="GR25" s="2060"/>
      <c r="GS25" s="2060"/>
      <c r="GT25" s="2060"/>
      <c r="GU25" s="2060"/>
      <c r="GV25" s="2060"/>
      <c r="GW25" s="2060"/>
      <c r="GX25" s="2060"/>
      <c r="GY25" s="2060"/>
      <c r="GZ25" s="2060"/>
      <c r="HA25" s="2060"/>
      <c r="HB25" s="2060"/>
      <c r="HC25" s="2060"/>
      <c r="HD25" s="2060"/>
      <c r="HE25" s="2060"/>
      <c r="HF25" s="2060"/>
      <c r="HG25" s="2060"/>
      <c r="HH25" s="2060"/>
      <c r="HI25" s="2060"/>
      <c r="HJ25" s="2060"/>
      <c r="HK25" s="2060"/>
      <c r="HL25" s="2060"/>
      <c r="HM25" s="2060"/>
      <c r="HN25" s="2060"/>
      <c r="HO25" s="2060"/>
      <c r="HP25" s="2060"/>
      <c r="HQ25" s="2060"/>
      <c r="HR25" s="2060"/>
      <c r="HS25" s="2060"/>
      <c r="HT25" s="2060"/>
      <c r="HU25" s="2060"/>
      <c r="HV25" s="2060"/>
      <c r="HW25" s="2060"/>
      <c r="HX25" s="2060"/>
      <c r="HY25" s="2060"/>
      <c r="HZ25" s="2060"/>
      <c r="IA25" s="2060"/>
      <c r="IB25" s="2060"/>
      <c r="IC25" s="2060"/>
      <c r="ID25" s="2060"/>
      <c r="IE25" s="2060"/>
      <c r="IF25" s="2060"/>
      <c r="IG25" s="2060"/>
      <c r="IH25" s="2060"/>
      <c r="II25" s="2060"/>
      <c r="IJ25" s="2060"/>
      <c r="IK25" s="2060"/>
      <c r="IL25" s="2060"/>
      <c r="IM25" s="2060"/>
      <c r="IN25" s="2060"/>
      <c r="IO25" s="2060"/>
      <c r="IP25" s="2060"/>
      <c r="IQ25" s="2060"/>
      <c r="IR25" s="2060"/>
      <c r="IS25" s="2060"/>
      <c r="IT25" s="2060"/>
      <c r="IU25" s="2060"/>
      <c r="IV25" s="2060"/>
      <c r="IW25" s="2060"/>
      <c r="IX25" s="2060"/>
      <c r="IY25" s="2060"/>
      <c r="IZ25" s="2060"/>
      <c r="JA25" s="2060"/>
      <c r="JB25" s="2060"/>
      <c r="JC25" s="2060"/>
      <c r="JD25" s="2060"/>
      <c r="JE25" s="2060"/>
      <c r="JF25" s="2060"/>
      <c r="JG25" s="2060"/>
      <c r="JH25" s="2060"/>
      <c r="JI25" s="2060"/>
      <c r="JJ25" s="2060"/>
      <c r="JK25" s="2060"/>
      <c r="JL25" s="2060"/>
      <c r="JM25" s="2060"/>
      <c r="JN25" s="2060"/>
      <c r="JO25" s="2060"/>
      <c r="JP25" s="2060"/>
      <c r="JQ25" s="2060"/>
      <c r="JR25" s="2060"/>
      <c r="JS25" s="2060"/>
      <c r="JT25" s="2060"/>
      <c r="JU25" s="2060"/>
      <c r="JV25" s="2060"/>
      <c r="JW25" s="2060"/>
      <c r="JX25" s="2060"/>
      <c r="JY25" s="2060"/>
      <c r="JZ25" s="2060"/>
      <c r="KA25" s="2060"/>
      <c r="KB25" s="2060"/>
      <c r="KC25" s="2060"/>
      <c r="KD25" s="2060"/>
      <c r="KE25" s="2060"/>
      <c r="KF25" s="2060"/>
      <c r="KG25" s="2060"/>
      <c r="KH25" s="2060"/>
      <c r="KI25" s="2060"/>
      <c r="KJ25" s="2060"/>
      <c r="KK25" s="2060"/>
      <c r="KL25" s="2060"/>
      <c r="KM25" s="2060"/>
      <c r="KN25" s="2060"/>
      <c r="KO25" s="2060"/>
      <c r="KP25" s="2060"/>
      <c r="KQ25" s="2060"/>
      <c r="KR25" s="2060"/>
      <c r="KS25" s="2060"/>
      <c r="KT25" s="2060"/>
      <c r="KU25" s="2060"/>
      <c r="KV25" s="2060"/>
      <c r="KW25" s="2060"/>
      <c r="KX25" s="2060"/>
      <c r="KY25" s="2060"/>
      <c r="KZ25" s="2060"/>
      <c r="LA25" s="2060"/>
      <c r="LB25" s="2060"/>
      <c r="LC25" s="2060"/>
      <c r="LD25" s="2060"/>
      <c r="LE25" s="2060"/>
      <c r="LF25" s="2060"/>
      <c r="LG25" s="2060"/>
      <c r="LH25" s="2060"/>
    </row>
    <row r="26" spans="1:320" s="119" customFormat="1" ht="13.9">
      <c r="A26" s="269" t="str">
        <f t="shared" si="7"/>
        <v>n</v>
      </c>
      <c r="B26" s="269"/>
      <c r="C26" s="2060"/>
      <c r="D26" s="779">
        <f t="shared" ca="1" si="0"/>
        <v>1.07</v>
      </c>
      <c r="E26" s="772" t="str">
        <f>IF(OR('WACC and TIC Inputs'!$D135="x",$G26=""),"--",_xll.ciqfunctions.udf.CIQ($G26,"IQ_COMPANY_NAME"))</f>
        <v>--</v>
      </c>
      <c r="F26" s="1503"/>
      <c r="G26" s="2154"/>
      <c r="H26" s="1066"/>
      <c r="I26" s="256" t="str">
        <f>IF($E26="--","--",IF(_xll.ciqfunctions.udf.CIQ($G26,"IQ_COUNTRY_NAME")=0,"n/a",_xll.ciqfunctions.udf.CIQ($G26,"IQ_COUNTRY_NAME")))</f>
        <v>--</v>
      </c>
      <c r="J26" s="2060" t="str">
        <f>IF($E26="--","--",IF(OutputCurrency="Filing",_xll.ciqfunctions.udf.CIQ($G26,"IQ_FILING_CURRENCY",2000,Valuation_Date_GC),OutputCurrency))</f>
        <v>--</v>
      </c>
      <c r="K26" s="2163" t="str">
        <f t="shared" si="1"/>
        <v>--</v>
      </c>
      <c r="L26" s="2164"/>
      <c r="M26" s="2165"/>
      <c r="N26" s="2060" t="str">
        <f>IF($E26="--","--",_xll.ciqfunctions.udf.CIQ($G26,"IQ_TRADING_CURRENCY",Valuation_Date_GC))</f>
        <v>--</v>
      </c>
      <c r="O26" s="2060" t="str">
        <f t="shared" si="11"/>
        <v>--</v>
      </c>
      <c r="P26" s="2060" t="str">
        <f>IF(E26="--","--",IF(OR(LEFT(_xll.ciqfunctions.udf.CIQ(G26,"IQ_SP_LC_LT"),1)="(",_xll.ciqfunctions.udf.CIQ(G26,"IQ_SP_LC_LT")=0),"n/a",_xll.ciqfunctions.udf.CIQ(G26,"IQ_SP_LC_LT")))</f>
        <v>--</v>
      </c>
      <c r="Q26" s="2060" t="str">
        <f>IF($E26="--","--",_xll.ciqfunctions.udf.CIQ($G26,"IQ_PRIMARY_INDUSTRY"))</f>
        <v>--</v>
      </c>
      <c r="R26" s="2060"/>
      <c r="S26" s="44" t="str">
        <f t="shared" si="2"/>
        <v>--</v>
      </c>
      <c r="T26" s="2060" t="str">
        <f t="shared" si="3"/>
        <v>--</v>
      </c>
      <c r="U26" s="2060" t="str">
        <f t="shared" si="8"/>
        <v>--</v>
      </c>
      <c r="V26" s="2060"/>
      <c r="W26" s="2060"/>
      <c r="X26" s="2060"/>
      <c r="Y26" s="2060"/>
      <c r="Z26" s="1938" t="s">
        <v>336</v>
      </c>
      <c r="AA26" s="1938" t="s">
        <v>305</v>
      </c>
      <c r="AB26" s="1938" t="str">
        <f t="shared" si="9"/>
        <v>Boliden AB</v>
      </c>
      <c r="AC26" s="1938" t="s">
        <v>294</v>
      </c>
      <c r="AD26" s="2117" t="str">
        <f t="shared" si="4"/>
        <v>LSE:RIO</v>
      </c>
      <c r="AE26" s="2060"/>
      <c r="AF26" s="43" t="str">
        <f t="shared" si="5"/>
        <v>--</v>
      </c>
      <c r="AG26" s="43" t="str">
        <f t="shared" si="6"/>
        <v>--</v>
      </c>
      <c r="AH26" s="2060"/>
      <c r="AI26" s="2060"/>
      <c r="AJ26" s="2073"/>
      <c r="AK26" s="2073"/>
      <c r="AL26" s="2073"/>
      <c r="AM26" s="2060"/>
      <c r="AN26" s="2060"/>
      <c r="AO26" s="2060" t="s">
        <v>337</v>
      </c>
      <c r="AP26" s="89"/>
      <c r="AQ26" s="89"/>
      <c r="AR26" s="2060"/>
      <c r="AS26" s="98" t="s">
        <v>338</v>
      </c>
      <c r="AT26" s="80" t="s">
        <v>339</v>
      </c>
      <c r="AU26" s="80" t="s">
        <v>162</v>
      </c>
      <c r="AV26" s="80" t="s">
        <v>340</v>
      </c>
      <c r="AW26" s="81" t="s">
        <v>341</v>
      </c>
      <c r="AX26" s="78" t="s">
        <v>215</v>
      </c>
      <c r="AY26" s="78" t="s">
        <v>215</v>
      </c>
      <c r="AZ26" s="78" t="s">
        <v>214</v>
      </c>
      <c r="BA26" s="78" t="s">
        <v>342</v>
      </c>
      <c r="BB26" s="78" t="s">
        <v>343</v>
      </c>
      <c r="BC26" s="2060"/>
      <c r="BD26" s="2060"/>
      <c r="BE26" s="2060"/>
      <c r="BF26" s="2060"/>
      <c r="BG26" s="2060"/>
      <c r="BH26" s="2060"/>
      <c r="BI26" s="2060"/>
      <c r="BJ26" s="2060"/>
      <c r="BK26" s="2060"/>
      <c r="BL26" s="2060"/>
      <c r="BM26" s="2060"/>
      <c r="BN26" s="2060"/>
      <c r="BO26" s="2060"/>
      <c r="BP26" s="2060"/>
      <c r="BQ26" s="2060"/>
      <c r="BR26" s="2060"/>
      <c r="BS26" s="2060"/>
      <c r="BT26" s="2060"/>
      <c r="BU26" s="2060"/>
      <c r="BV26" s="2060"/>
      <c r="BW26" s="2060"/>
      <c r="BX26" s="2060"/>
      <c r="BY26" s="2060"/>
      <c r="BZ26" s="2060"/>
      <c r="CA26" s="2060"/>
      <c r="CB26" s="2060"/>
      <c r="CC26" s="2060"/>
      <c r="CD26" s="2060"/>
      <c r="CE26" s="2060"/>
      <c r="CF26" s="2060"/>
      <c r="CG26" s="2060"/>
      <c r="CH26" s="2060"/>
      <c r="CI26" s="2060"/>
      <c r="CJ26" s="2060"/>
      <c r="CK26" s="2060"/>
      <c r="CL26" s="2060"/>
      <c r="CM26" s="2060"/>
      <c r="CN26" s="2060"/>
      <c r="CO26" s="2060"/>
      <c r="CP26" s="2060"/>
      <c r="CQ26" s="2060"/>
      <c r="CR26" s="2060"/>
      <c r="CS26" s="2060"/>
      <c r="CT26" s="2060"/>
      <c r="CU26" s="2060"/>
      <c r="CV26" s="2060"/>
      <c r="CW26" s="2060"/>
      <c r="CX26" s="2060"/>
      <c r="CY26" s="2060"/>
      <c r="CZ26" s="2060"/>
      <c r="DA26" s="2060"/>
      <c r="DB26" s="2060"/>
      <c r="DC26" s="2060"/>
      <c r="DD26" s="2060"/>
      <c r="DE26" s="2060"/>
      <c r="DF26" s="2060"/>
      <c r="DG26" s="2060"/>
      <c r="DH26" s="2060"/>
      <c r="DI26" s="2060"/>
      <c r="DJ26" s="2060"/>
      <c r="DK26" s="2060"/>
      <c r="DL26" s="2060"/>
      <c r="DM26" s="2060"/>
      <c r="DN26" s="2060"/>
      <c r="DO26" s="2060"/>
      <c r="DP26" s="2060"/>
      <c r="DQ26" s="2060"/>
      <c r="DR26" s="2060"/>
      <c r="DS26" s="2060"/>
      <c r="DT26" s="2060"/>
      <c r="DU26" s="2060"/>
      <c r="DV26" s="2060"/>
      <c r="DW26" s="2060"/>
      <c r="DX26" s="2060"/>
      <c r="DY26" s="2060"/>
      <c r="DZ26" s="2060"/>
      <c r="EA26" s="2060"/>
      <c r="EB26" s="2060"/>
      <c r="EC26" s="2060"/>
      <c r="ED26" s="2060"/>
      <c r="EE26" s="2060"/>
      <c r="EF26" s="2060"/>
      <c r="EG26" s="2060"/>
      <c r="EH26" s="2060"/>
      <c r="EI26" s="2060"/>
      <c r="EJ26" s="2060"/>
      <c r="EK26" s="2060"/>
      <c r="EL26" s="2060"/>
      <c r="EM26" s="2060"/>
      <c r="EN26" s="2060"/>
      <c r="EO26" s="2060"/>
      <c r="EP26" s="2060"/>
      <c r="EQ26" s="2060"/>
      <c r="ER26" s="2060"/>
      <c r="ES26" s="2060"/>
      <c r="ET26" s="2060"/>
      <c r="EU26" s="2060"/>
      <c r="EV26" s="2060"/>
      <c r="EW26" s="2060"/>
      <c r="EX26" s="2060"/>
      <c r="EY26" s="2060"/>
      <c r="EZ26" s="2060"/>
      <c r="FA26" s="2060"/>
      <c r="FB26" s="2060"/>
      <c r="FC26" s="2060"/>
      <c r="FD26" s="2060"/>
      <c r="FE26" s="2060"/>
      <c r="FF26" s="2060"/>
      <c r="FG26" s="2060"/>
      <c r="FH26" s="2060"/>
      <c r="FI26" s="2060"/>
      <c r="FJ26" s="2060"/>
      <c r="FK26" s="2060"/>
      <c r="FL26" s="2060"/>
      <c r="FM26" s="2060"/>
      <c r="FN26" s="2060"/>
      <c r="FO26" s="2060"/>
      <c r="FP26" s="2060"/>
      <c r="FQ26" s="2060"/>
      <c r="FR26" s="2060"/>
      <c r="FS26" s="2060"/>
      <c r="FT26" s="2060"/>
      <c r="FU26" s="2060"/>
      <c r="FV26" s="2060"/>
      <c r="FW26" s="2060"/>
      <c r="FX26" s="2060"/>
      <c r="FY26" s="2060"/>
      <c r="FZ26" s="2060"/>
      <c r="GA26" s="2060"/>
      <c r="GB26" s="2060"/>
      <c r="GC26" s="2060"/>
      <c r="GD26" s="2060"/>
      <c r="GE26" s="2060"/>
      <c r="GF26" s="2060"/>
      <c r="GG26" s="2060"/>
      <c r="GH26" s="2060"/>
      <c r="GI26" s="2060"/>
      <c r="GJ26" s="2060"/>
      <c r="GK26" s="2060"/>
      <c r="GL26" s="2060"/>
      <c r="GM26" s="2060"/>
      <c r="GN26" s="2060"/>
      <c r="GO26" s="2060"/>
      <c r="GP26" s="2060"/>
      <c r="GQ26" s="2060"/>
      <c r="GR26" s="2060"/>
      <c r="GS26" s="2060"/>
      <c r="GT26" s="2060"/>
      <c r="GU26" s="2060"/>
      <c r="GV26" s="2060"/>
      <c r="GW26" s="2060"/>
      <c r="GX26" s="2060"/>
      <c r="GY26" s="2060"/>
      <c r="GZ26" s="2060"/>
      <c r="HA26" s="2060"/>
      <c r="HB26" s="2060"/>
      <c r="HC26" s="2060"/>
      <c r="HD26" s="2060"/>
      <c r="HE26" s="2060"/>
      <c r="HF26" s="2060"/>
      <c r="HG26" s="2060"/>
      <c r="HH26" s="2060"/>
      <c r="HI26" s="2060"/>
      <c r="HJ26" s="2060"/>
      <c r="HK26" s="2060"/>
      <c r="HL26" s="2060"/>
      <c r="HM26" s="2060"/>
      <c r="HN26" s="2060"/>
      <c r="HO26" s="2060"/>
      <c r="HP26" s="2060"/>
      <c r="HQ26" s="2060"/>
      <c r="HR26" s="2060"/>
      <c r="HS26" s="2060"/>
      <c r="HT26" s="2060"/>
      <c r="HU26" s="2060"/>
      <c r="HV26" s="2060"/>
      <c r="HW26" s="2060"/>
      <c r="HX26" s="2060"/>
      <c r="HY26" s="2060"/>
      <c r="HZ26" s="2060"/>
      <c r="IA26" s="2060"/>
      <c r="IB26" s="2060"/>
      <c r="IC26" s="2060"/>
      <c r="ID26" s="2060"/>
      <c r="IE26" s="2060"/>
      <c r="IF26" s="2060"/>
      <c r="IG26" s="2060"/>
      <c r="IH26" s="2060"/>
      <c r="II26" s="2060"/>
      <c r="IJ26" s="2060"/>
      <c r="IK26" s="2060"/>
      <c r="IL26" s="2060"/>
      <c r="IM26" s="2060"/>
      <c r="IN26" s="2060"/>
      <c r="IO26" s="2060"/>
      <c r="IP26" s="2060"/>
      <c r="IQ26" s="2060"/>
      <c r="IR26" s="2060"/>
      <c r="IS26" s="2060"/>
      <c r="IT26" s="2060"/>
      <c r="IU26" s="2060"/>
      <c r="IV26" s="2060"/>
      <c r="IW26" s="2060"/>
      <c r="IX26" s="2060"/>
      <c r="IY26" s="2060"/>
      <c r="IZ26" s="2060"/>
      <c r="JA26" s="2060"/>
      <c r="JB26" s="2060"/>
      <c r="JC26" s="2060"/>
      <c r="JD26" s="2060"/>
      <c r="JE26" s="2060"/>
      <c r="JF26" s="2060"/>
      <c r="JG26" s="2060"/>
      <c r="JH26" s="2060"/>
      <c r="JI26" s="2060"/>
      <c r="JJ26" s="2060"/>
      <c r="JK26" s="2060"/>
      <c r="JL26" s="2060"/>
      <c r="JM26" s="2060"/>
      <c r="JN26" s="2060"/>
      <c r="JO26" s="2060"/>
      <c r="JP26" s="2060"/>
      <c r="JQ26" s="2060"/>
      <c r="JR26" s="2060"/>
      <c r="JS26" s="2060"/>
      <c r="JT26" s="2060"/>
      <c r="JU26" s="2060"/>
      <c r="JV26" s="2060"/>
      <c r="JW26" s="2060"/>
      <c r="JX26" s="2060"/>
      <c r="JY26" s="2060"/>
      <c r="JZ26" s="2060"/>
      <c r="KA26" s="2060"/>
      <c r="KB26" s="2060"/>
      <c r="KC26" s="2060"/>
      <c r="KD26" s="2060"/>
      <c r="KE26" s="2060"/>
      <c r="KF26" s="2060"/>
      <c r="KG26" s="2060"/>
      <c r="KH26" s="2060"/>
      <c r="KI26" s="2060"/>
      <c r="KJ26" s="2060"/>
      <c r="KK26" s="2060"/>
      <c r="KL26" s="2060"/>
      <c r="KM26" s="2060"/>
      <c r="KN26" s="2060"/>
      <c r="KO26" s="2060"/>
      <c r="KP26" s="2060"/>
      <c r="KQ26" s="2060"/>
      <c r="KR26" s="2060"/>
      <c r="KS26" s="2060"/>
      <c r="KT26" s="2060"/>
      <c r="KU26" s="2060"/>
      <c r="KV26" s="2060"/>
      <c r="KW26" s="2060"/>
      <c r="KX26" s="2060"/>
      <c r="KY26" s="2060"/>
      <c r="KZ26" s="2060"/>
      <c r="LA26" s="2060"/>
      <c r="LB26" s="2060"/>
      <c r="LC26" s="2060"/>
      <c r="LD26" s="2060"/>
      <c r="LE26" s="2060"/>
      <c r="LF26" s="2060"/>
      <c r="LG26" s="2060"/>
      <c r="LH26" s="2060"/>
    </row>
    <row r="27" spans="1:320" s="449" customFormat="1" ht="13.9">
      <c r="A27" s="269" t="str">
        <f t="shared" si="7"/>
        <v>n</v>
      </c>
      <c r="B27" s="269"/>
      <c r="C27" s="2060"/>
      <c r="D27" s="779">
        <f t="shared" ca="1" si="0"/>
        <v>1.08</v>
      </c>
      <c r="E27" s="772" t="str">
        <f>IF(OR('WACC and TIC Inputs'!$D136="x",$G27=""),"--",_xll.ciqfunctions.udf.CIQ($G27,"IQ_COMPANY_NAME"))</f>
        <v>--</v>
      </c>
      <c r="F27" s="1503"/>
      <c r="G27" s="2154"/>
      <c r="H27" s="1066"/>
      <c r="I27" s="256" t="str">
        <f>IF($E27="--","--",IF(_xll.ciqfunctions.udf.CIQ($G27,"IQ_COUNTRY_NAME")=0,"n/a",_xll.ciqfunctions.udf.CIQ($G27,"IQ_COUNTRY_NAME")))</f>
        <v>--</v>
      </c>
      <c r="J27" s="2060" t="str">
        <f>IF($E27="--","--",IF(OutputCurrency="Filing",_xll.ciqfunctions.udf.CIQ($G27,"IQ_FILING_CURRENCY",2000,Valuation_Date_GC),OutputCurrency))</f>
        <v>--</v>
      </c>
      <c r="K27" s="2163" t="str">
        <f t="shared" si="1"/>
        <v>--</v>
      </c>
      <c r="L27" s="2164"/>
      <c r="M27" s="2165"/>
      <c r="N27" s="2060" t="str">
        <f>IF($E27="--","--",_xll.ciqfunctions.udf.CIQ($G27,"IQ_TRADING_CURRENCY",Valuation_Date_GC))</f>
        <v>--</v>
      </c>
      <c r="O27" s="2060" t="str">
        <f t="shared" si="11"/>
        <v>--</v>
      </c>
      <c r="P27" s="2060" t="str">
        <f>IF(E27="--","--",IF(OR(LEFT(_xll.ciqfunctions.udf.CIQ(G27,"IQ_SP_LC_LT"),1)="(",_xll.ciqfunctions.udf.CIQ(G27,"IQ_SP_LC_LT")=0),"n/a",_xll.ciqfunctions.udf.CIQ(G27,"IQ_SP_LC_LT")))</f>
        <v>--</v>
      </c>
      <c r="Q27" s="2060" t="str">
        <f>IF($E27="--","--",_xll.ciqfunctions.udf.CIQ($G27,"IQ_PRIMARY_INDUSTRY"))</f>
        <v>--</v>
      </c>
      <c r="R27" s="2060"/>
      <c r="S27" s="44" t="str">
        <f t="shared" si="2"/>
        <v>--</v>
      </c>
      <c r="T27" s="2060" t="str">
        <f t="shared" si="3"/>
        <v>--</v>
      </c>
      <c r="U27" s="2060" t="str">
        <f t="shared" si="8"/>
        <v>--</v>
      </c>
      <c r="V27" s="2060"/>
      <c r="W27" s="2060"/>
      <c r="X27" s="2060"/>
      <c r="Y27" s="2060"/>
      <c r="Z27" s="1938" t="s">
        <v>344</v>
      </c>
      <c r="AA27" s="1938" t="s">
        <v>287</v>
      </c>
      <c r="AB27" s="1938" t="str">
        <f t="shared" si="9"/>
        <v>Anglo American plc</v>
      </c>
      <c r="AC27" s="1938" t="s">
        <v>326</v>
      </c>
      <c r="AD27" s="2117" t="str">
        <f t="shared" si="4"/>
        <v>ASX:S32</v>
      </c>
      <c r="AE27" s="2060"/>
      <c r="AF27" s="43" t="str">
        <f t="shared" si="5"/>
        <v>--</v>
      </c>
      <c r="AG27" s="43" t="str">
        <f t="shared" si="6"/>
        <v>--</v>
      </c>
      <c r="AH27" s="2060"/>
      <c r="AI27" s="2060"/>
      <c r="AJ27" s="2060"/>
      <c r="AK27" s="2060"/>
      <c r="AL27" s="2060"/>
      <c r="AM27" s="2060"/>
      <c r="AN27" s="2060"/>
      <c r="AO27" s="2060" t="s">
        <v>345</v>
      </c>
      <c r="AP27" s="89"/>
      <c r="AQ27" s="89"/>
      <c r="AR27" s="2060"/>
      <c r="AS27" s="98" t="s">
        <v>346</v>
      </c>
      <c r="AT27" s="80" t="s">
        <v>347</v>
      </c>
      <c r="AU27" s="80" t="s">
        <v>151</v>
      </c>
      <c r="AV27" s="80" t="s">
        <v>348</v>
      </c>
      <c r="AW27" s="81" t="s">
        <v>349</v>
      </c>
      <c r="AX27" s="78" t="s">
        <v>206</v>
      </c>
      <c r="AY27" s="78" t="s">
        <v>333</v>
      </c>
      <c r="AZ27" s="78" t="s">
        <v>205</v>
      </c>
      <c r="BA27" s="210" t="s">
        <v>350</v>
      </c>
      <c r="BB27" s="78" t="s">
        <v>351</v>
      </c>
      <c r="BC27" s="2060"/>
      <c r="BD27" s="2060"/>
      <c r="BE27" s="2060"/>
      <c r="BF27" s="2060"/>
      <c r="BG27" s="2060"/>
      <c r="BH27" s="2060"/>
      <c r="BI27" s="2060"/>
      <c r="BJ27" s="2060"/>
      <c r="BK27" s="2060"/>
      <c r="BL27" s="2060"/>
      <c r="BM27" s="2060"/>
      <c r="BN27" s="2060"/>
      <c r="BO27" s="2060"/>
      <c r="BP27" s="2060"/>
      <c r="BQ27" s="2060"/>
      <c r="BR27" s="2060"/>
      <c r="BS27" s="2060"/>
      <c r="BT27" s="2060"/>
      <c r="BU27" s="2060"/>
      <c r="BV27" s="2060"/>
      <c r="BW27" s="2060"/>
      <c r="BX27" s="2060"/>
      <c r="BY27" s="2060"/>
      <c r="BZ27" s="2060"/>
      <c r="CA27" s="2060"/>
      <c r="CB27" s="2060"/>
      <c r="CC27" s="2060"/>
      <c r="CD27" s="2060"/>
      <c r="CE27" s="2060"/>
      <c r="CF27" s="2060"/>
      <c r="CG27" s="2060"/>
      <c r="CH27" s="2060"/>
      <c r="CI27" s="2060"/>
      <c r="CJ27" s="2060"/>
      <c r="CK27" s="2060"/>
      <c r="CL27" s="2060"/>
      <c r="CM27" s="2060"/>
      <c r="CN27" s="2060"/>
      <c r="CO27" s="2060"/>
      <c r="CP27" s="2060"/>
      <c r="CQ27" s="2060"/>
      <c r="CR27" s="2060"/>
      <c r="CS27" s="2060"/>
      <c r="CT27" s="2060"/>
      <c r="CU27" s="2060"/>
      <c r="CV27" s="2060"/>
      <c r="CW27" s="2060"/>
      <c r="CX27" s="2060"/>
      <c r="CY27" s="2060"/>
      <c r="CZ27" s="2060"/>
      <c r="DA27" s="2060"/>
      <c r="DB27" s="2060"/>
      <c r="DC27" s="2060"/>
      <c r="DD27" s="2060"/>
      <c r="DE27" s="2060"/>
      <c r="DF27" s="2060"/>
      <c r="DG27" s="2060"/>
      <c r="DH27" s="2060"/>
      <c r="DI27" s="2060"/>
      <c r="DJ27" s="2060"/>
      <c r="DK27" s="2060"/>
      <c r="DL27" s="2060"/>
      <c r="DM27" s="2060"/>
      <c r="DN27" s="2060"/>
      <c r="DO27" s="2060"/>
      <c r="DP27" s="2060"/>
      <c r="DQ27" s="2060"/>
      <c r="DR27" s="2060"/>
      <c r="DS27" s="2060"/>
      <c r="DT27" s="2060"/>
      <c r="DU27" s="2060"/>
      <c r="DV27" s="2060"/>
      <c r="DW27" s="2060"/>
      <c r="DX27" s="2060"/>
      <c r="DY27" s="2060"/>
      <c r="DZ27" s="2060"/>
      <c r="EA27" s="2060"/>
      <c r="EB27" s="2060"/>
      <c r="EC27" s="2060"/>
      <c r="ED27" s="2060"/>
      <c r="EE27" s="2060"/>
      <c r="EF27" s="2060"/>
      <c r="EG27" s="2060"/>
      <c r="EH27" s="2060"/>
      <c r="EI27" s="2060"/>
      <c r="EJ27" s="2060"/>
      <c r="EK27" s="2060"/>
      <c r="EL27" s="2060"/>
      <c r="EM27" s="2060"/>
      <c r="EN27" s="2060"/>
      <c r="EO27" s="2060"/>
      <c r="EP27" s="2060"/>
      <c r="EQ27" s="2060"/>
      <c r="ER27" s="2060"/>
      <c r="ES27" s="2060"/>
      <c r="ET27" s="2060"/>
      <c r="EU27" s="2060"/>
      <c r="EV27" s="2060"/>
      <c r="EW27" s="2060"/>
      <c r="EX27" s="2060"/>
      <c r="EY27" s="2060"/>
      <c r="EZ27" s="2060"/>
      <c r="FA27" s="2060"/>
      <c r="FB27" s="2060"/>
      <c r="FC27" s="2060"/>
      <c r="FD27" s="2060"/>
      <c r="FE27" s="2060"/>
      <c r="FF27" s="2060"/>
      <c r="FG27" s="2060"/>
      <c r="FH27" s="2060"/>
      <c r="FI27" s="2060"/>
      <c r="FJ27" s="2060"/>
      <c r="FK27" s="2060"/>
      <c r="FL27" s="2060"/>
      <c r="FM27" s="2060"/>
      <c r="FN27" s="2060"/>
      <c r="FO27" s="2060"/>
      <c r="FP27" s="2060"/>
      <c r="FQ27" s="2060"/>
      <c r="FR27" s="2060"/>
      <c r="FS27" s="2060"/>
      <c r="FT27" s="2060"/>
      <c r="FU27" s="2060"/>
      <c r="FV27" s="2060"/>
      <c r="FW27" s="2060"/>
      <c r="FX27" s="2060"/>
      <c r="FY27" s="2060"/>
      <c r="FZ27" s="2060"/>
      <c r="GA27" s="2060"/>
      <c r="GB27" s="2060"/>
      <c r="GC27" s="2060"/>
      <c r="GD27" s="2060"/>
      <c r="GE27" s="2060"/>
      <c r="GF27" s="2060"/>
      <c r="GG27" s="2060"/>
      <c r="GH27" s="2060"/>
      <c r="GI27" s="2060"/>
      <c r="GJ27" s="2060"/>
      <c r="GK27" s="2060"/>
      <c r="GL27" s="2060"/>
      <c r="GM27" s="2060"/>
      <c r="GN27" s="2060"/>
      <c r="GO27" s="2060"/>
      <c r="GP27" s="2060"/>
      <c r="GQ27" s="2060"/>
      <c r="GR27" s="2060"/>
      <c r="GS27" s="2060"/>
      <c r="GT27" s="2060"/>
      <c r="GU27" s="2060"/>
      <c r="GV27" s="2060"/>
      <c r="GW27" s="2060"/>
      <c r="GX27" s="2060"/>
      <c r="GY27" s="2060"/>
      <c r="GZ27" s="2060"/>
      <c r="HA27" s="2060"/>
      <c r="HB27" s="2060"/>
      <c r="HC27" s="2060"/>
      <c r="HD27" s="2060"/>
      <c r="HE27" s="2060"/>
      <c r="HF27" s="2060"/>
      <c r="HG27" s="2060"/>
      <c r="HH27" s="2060"/>
      <c r="HI27" s="2060"/>
      <c r="HJ27" s="2060"/>
      <c r="HK27" s="2060"/>
      <c r="HL27" s="2060"/>
      <c r="HM27" s="2060"/>
      <c r="HN27" s="2060"/>
      <c r="HO27" s="2060"/>
      <c r="HP27" s="2060"/>
      <c r="HQ27" s="2060"/>
      <c r="HR27" s="2060"/>
      <c r="HS27" s="2060"/>
      <c r="HT27" s="2060"/>
      <c r="HU27" s="2060"/>
      <c r="HV27" s="2060"/>
      <c r="HW27" s="2060"/>
      <c r="HX27" s="2060"/>
      <c r="HY27" s="2060"/>
      <c r="HZ27" s="2060"/>
      <c r="IA27" s="2060"/>
      <c r="IB27" s="2060"/>
      <c r="IC27" s="2060"/>
      <c r="ID27" s="2060"/>
      <c r="IE27" s="2060"/>
      <c r="IF27" s="2060"/>
      <c r="IG27" s="2060"/>
      <c r="IH27" s="2060"/>
      <c r="II27" s="2060"/>
      <c r="IJ27" s="2060"/>
      <c r="IK27" s="2060"/>
      <c r="IL27" s="2060"/>
      <c r="IM27" s="2060"/>
      <c r="IN27" s="2060"/>
      <c r="IO27" s="2060"/>
      <c r="IP27" s="2060"/>
      <c r="IQ27" s="2060"/>
      <c r="IR27" s="2060"/>
      <c r="IS27" s="2060"/>
      <c r="IT27" s="2060"/>
      <c r="IU27" s="2060"/>
      <c r="IV27" s="2060"/>
      <c r="IW27" s="2060"/>
      <c r="IX27" s="2060"/>
      <c r="IY27" s="2060"/>
      <c r="IZ27" s="2060"/>
      <c r="JA27" s="2060"/>
      <c r="JB27" s="2060"/>
      <c r="JC27" s="2060"/>
      <c r="JD27" s="2060"/>
      <c r="JE27" s="2060"/>
      <c r="JF27" s="2060"/>
      <c r="JG27" s="2060"/>
      <c r="JH27" s="2060"/>
      <c r="JI27" s="2060"/>
      <c r="JJ27" s="2060"/>
      <c r="JK27" s="2060"/>
      <c r="JL27" s="2060"/>
      <c r="JM27" s="2060"/>
      <c r="JN27" s="2060"/>
      <c r="JO27" s="2060"/>
      <c r="JP27" s="2060"/>
      <c r="JQ27" s="2060"/>
      <c r="JR27" s="2060"/>
      <c r="JS27" s="2060"/>
      <c r="JT27" s="2060"/>
      <c r="JU27" s="2060"/>
      <c r="JV27" s="2060"/>
      <c r="JW27" s="2060"/>
      <c r="JX27" s="2060"/>
      <c r="JY27" s="2060"/>
      <c r="JZ27" s="2060"/>
      <c r="KA27" s="2060"/>
      <c r="KB27" s="2060"/>
      <c r="KC27" s="2060"/>
      <c r="KD27" s="2060"/>
      <c r="KE27" s="2060"/>
      <c r="KF27" s="2060"/>
      <c r="KG27" s="2060"/>
      <c r="KH27" s="2060"/>
      <c r="KI27" s="2060"/>
      <c r="KJ27" s="2060"/>
      <c r="KK27" s="2060"/>
      <c r="KL27" s="2060"/>
      <c r="KM27" s="2060"/>
      <c r="KN27" s="2060"/>
      <c r="KO27" s="2060"/>
      <c r="KP27" s="2060"/>
      <c r="KQ27" s="2060"/>
      <c r="KR27" s="2060"/>
      <c r="KS27" s="2060"/>
      <c r="KT27" s="2060"/>
      <c r="KU27" s="2060"/>
      <c r="KV27" s="2060"/>
      <c r="KW27" s="2060"/>
      <c r="KX27" s="2060"/>
      <c r="KY27" s="2060"/>
      <c r="KZ27" s="2060"/>
      <c r="LA27" s="2060"/>
      <c r="LB27" s="2060"/>
      <c r="LC27" s="2060"/>
      <c r="LD27" s="2060"/>
      <c r="LE27" s="2060"/>
      <c r="LF27" s="2060"/>
      <c r="LG27" s="2060"/>
      <c r="LH27" s="2060"/>
    </row>
    <row r="28" spans="1:320" s="449" customFormat="1" ht="13.9">
      <c r="A28" s="269" t="str">
        <f t="shared" si="7"/>
        <v>n</v>
      </c>
      <c r="B28" s="269"/>
      <c r="C28" s="2060"/>
      <c r="D28" s="779">
        <f t="shared" ca="1" si="0"/>
        <v>1.0900000000000001</v>
      </c>
      <c r="E28" s="772" t="str">
        <f>IF(OR('WACC and TIC Inputs'!$D137="x",$G28=""),"--",_xll.ciqfunctions.udf.CIQ($G28,"IQ_COMPANY_NAME"))</f>
        <v>--</v>
      </c>
      <c r="F28" s="1503"/>
      <c r="G28" s="2154"/>
      <c r="H28" s="1066"/>
      <c r="I28" s="256" t="str">
        <f>IF($E28="--","--",IF(_xll.ciqfunctions.udf.CIQ($G28,"IQ_COUNTRY_NAME")=0,"n/a",_xll.ciqfunctions.udf.CIQ($G28,"IQ_COUNTRY_NAME")))</f>
        <v>--</v>
      </c>
      <c r="J28" s="2060" t="str">
        <f>IF($E28="--","--",IF(OutputCurrency="Filing",_xll.ciqfunctions.udf.CIQ($G28,"IQ_FILING_CURRENCY",2000,Valuation_Date_GC),OutputCurrency))</f>
        <v>--</v>
      </c>
      <c r="K28" s="2163" t="str">
        <f t="shared" si="1"/>
        <v>--</v>
      </c>
      <c r="L28" s="2164"/>
      <c r="M28" s="2165"/>
      <c r="N28" s="2060" t="str">
        <f>IF($E28="--","--",_xll.ciqfunctions.udf.CIQ($G28,"IQ_TRADING_CURRENCY",Valuation_Date_GC))</f>
        <v>--</v>
      </c>
      <c r="O28" s="2060" t="str">
        <f t="shared" si="11"/>
        <v>--</v>
      </c>
      <c r="P28" s="2060" t="str">
        <f>IF(E28="--","--",IF(OR(LEFT(_xll.ciqfunctions.udf.CIQ(G28,"IQ_SP_LC_LT"),1)="(",_xll.ciqfunctions.udf.CIQ(G28,"IQ_SP_LC_LT")=0),"n/a",_xll.ciqfunctions.udf.CIQ(G28,"IQ_SP_LC_LT")))</f>
        <v>--</v>
      </c>
      <c r="Q28" s="2060" t="str">
        <f>IF($E28="--","--",_xll.ciqfunctions.udf.CIQ($G28,"IQ_PRIMARY_INDUSTRY"))</f>
        <v>--</v>
      </c>
      <c r="R28" s="2060"/>
      <c r="S28" s="44" t="str">
        <f t="shared" si="2"/>
        <v>--</v>
      </c>
      <c r="T28" s="2060" t="str">
        <f t="shared" si="3"/>
        <v>--</v>
      </c>
      <c r="U28" s="2060" t="str">
        <f t="shared" si="8"/>
        <v>--</v>
      </c>
      <c r="V28" s="2060"/>
      <c r="W28" s="2060"/>
      <c r="X28" s="2060"/>
      <c r="Y28" s="2060"/>
      <c r="Z28" s="1938" t="s">
        <v>352</v>
      </c>
      <c r="AA28" s="1938" t="s">
        <v>353</v>
      </c>
      <c r="AB28" s="1938" t="str">
        <f t="shared" si="9"/>
        <v>Zijin Mining Group Company Limited</v>
      </c>
      <c r="AC28" s="1938" t="s">
        <v>319</v>
      </c>
      <c r="AD28" s="2117" t="str">
        <f t="shared" si="4"/>
        <v>TSE:5713</v>
      </c>
      <c r="AE28" s="2060"/>
      <c r="AF28" s="43" t="str">
        <f t="shared" si="5"/>
        <v>--</v>
      </c>
      <c r="AG28" s="43" t="str">
        <f t="shared" si="6"/>
        <v>--</v>
      </c>
      <c r="AH28" s="2060"/>
      <c r="AI28" s="2060"/>
      <c r="AJ28" s="2060"/>
      <c r="AK28" s="2060"/>
      <c r="AL28" s="2060"/>
      <c r="AM28" s="2060"/>
      <c r="AN28" s="2060"/>
      <c r="AO28" s="2060" t="s">
        <v>354</v>
      </c>
      <c r="AP28" s="89"/>
      <c r="AQ28" s="89"/>
      <c r="AR28" s="2060"/>
      <c r="AS28" s="98" t="s">
        <v>355</v>
      </c>
      <c r="AT28" s="80" t="s">
        <v>356</v>
      </c>
      <c r="AU28" s="80" t="s">
        <v>162</v>
      </c>
      <c r="AV28" s="80" t="s">
        <v>357</v>
      </c>
      <c r="AW28" s="81" t="s">
        <v>358</v>
      </c>
      <c r="AX28" s="78" t="s">
        <v>222</v>
      </c>
      <c r="AY28" s="78" t="s">
        <v>222</v>
      </c>
      <c r="AZ28" s="78" t="s">
        <v>221</v>
      </c>
      <c r="BA28" s="210" t="s">
        <v>359</v>
      </c>
      <c r="BB28" s="78" t="s">
        <v>360</v>
      </c>
      <c r="BC28" s="2060"/>
      <c r="BD28" s="2060"/>
      <c r="BE28" s="2060"/>
      <c r="BF28" s="2060"/>
      <c r="BG28" s="2060"/>
      <c r="BH28" s="2060"/>
      <c r="BI28" s="2060"/>
      <c r="BJ28" s="2060"/>
      <c r="BK28" s="2060"/>
      <c r="BL28" s="2060"/>
      <c r="BM28" s="2060"/>
      <c r="BN28" s="2060"/>
      <c r="BO28" s="2060"/>
      <c r="BP28" s="2060"/>
      <c r="BQ28" s="2060"/>
      <c r="BR28" s="2060"/>
      <c r="BS28" s="2060"/>
      <c r="BT28" s="2060"/>
      <c r="BU28" s="2060"/>
      <c r="BV28" s="2060"/>
      <c r="BW28" s="2060"/>
      <c r="BX28" s="2060"/>
      <c r="BY28" s="2060"/>
      <c r="BZ28" s="2060"/>
      <c r="CA28" s="2060"/>
      <c r="CB28" s="2060"/>
      <c r="CC28" s="2060"/>
      <c r="CD28" s="2060"/>
      <c r="CE28" s="2060"/>
      <c r="CF28" s="2060"/>
      <c r="CG28" s="2060"/>
      <c r="CH28" s="2060"/>
      <c r="CI28" s="2060"/>
      <c r="CJ28" s="2060"/>
      <c r="CK28" s="2060"/>
      <c r="CL28" s="2060"/>
      <c r="CM28" s="2060"/>
      <c r="CN28" s="2060"/>
      <c r="CO28" s="2060"/>
      <c r="CP28" s="2060"/>
      <c r="CQ28" s="2060"/>
      <c r="CR28" s="2060"/>
      <c r="CS28" s="2060"/>
      <c r="CT28" s="2060"/>
      <c r="CU28" s="2060"/>
      <c r="CV28" s="2060"/>
      <c r="CW28" s="2060"/>
      <c r="CX28" s="2060"/>
      <c r="CY28" s="2060"/>
      <c r="CZ28" s="2060"/>
      <c r="DA28" s="2060"/>
      <c r="DB28" s="2060"/>
      <c r="DC28" s="2060"/>
      <c r="DD28" s="2060"/>
      <c r="DE28" s="2060"/>
      <c r="DF28" s="2060"/>
      <c r="DG28" s="2060"/>
      <c r="DH28" s="2060"/>
      <c r="DI28" s="2060"/>
      <c r="DJ28" s="2060"/>
      <c r="DK28" s="2060"/>
      <c r="DL28" s="2060"/>
      <c r="DM28" s="2060"/>
      <c r="DN28" s="2060"/>
      <c r="DO28" s="2060"/>
      <c r="DP28" s="2060"/>
      <c r="DQ28" s="2060"/>
      <c r="DR28" s="2060"/>
      <c r="DS28" s="2060"/>
      <c r="DT28" s="2060"/>
      <c r="DU28" s="2060"/>
      <c r="DV28" s="2060"/>
      <c r="DW28" s="2060"/>
      <c r="DX28" s="2060"/>
      <c r="DY28" s="2060"/>
      <c r="DZ28" s="2060"/>
      <c r="EA28" s="2060"/>
      <c r="EB28" s="2060"/>
      <c r="EC28" s="2060"/>
      <c r="ED28" s="2060"/>
      <c r="EE28" s="2060"/>
      <c r="EF28" s="2060"/>
      <c r="EG28" s="2060"/>
      <c r="EH28" s="2060"/>
      <c r="EI28" s="2060"/>
      <c r="EJ28" s="2060"/>
      <c r="EK28" s="2060"/>
      <c r="EL28" s="2060"/>
      <c r="EM28" s="2060"/>
      <c r="EN28" s="2060"/>
      <c r="EO28" s="2060"/>
      <c r="EP28" s="2060"/>
      <c r="EQ28" s="2060"/>
      <c r="ER28" s="2060"/>
      <c r="ES28" s="2060"/>
      <c r="ET28" s="2060"/>
      <c r="EU28" s="2060"/>
      <c r="EV28" s="2060"/>
      <c r="EW28" s="2060"/>
      <c r="EX28" s="2060"/>
      <c r="EY28" s="2060"/>
      <c r="EZ28" s="2060"/>
      <c r="FA28" s="2060"/>
      <c r="FB28" s="2060"/>
      <c r="FC28" s="2060"/>
      <c r="FD28" s="2060"/>
      <c r="FE28" s="2060"/>
      <c r="FF28" s="2060"/>
      <c r="FG28" s="2060"/>
      <c r="FH28" s="2060"/>
      <c r="FI28" s="2060"/>
      <c r="FJ28" s="2060"/>
      <c r="FK28" s="2060"/>
      <c r="FL28" s="2060"/>
      <c r="FM28" s="2060"/>
      <c r="FN28" s="2060"/>
      <c r="FO28" s="2060"/>
      <c r="FP28" s="2060"/>
      <c r="FQ28" s="2060"/>
      <c r="FR28" s="2060"/>
      <c r="FS28" s="2060"/>
      <c r="FT28" s="2060"/>
      <c r="FU28" s="2060"/>
      <c r="FV28" s="2060"/>
      <c r="FW28" s="2060"/>
      <c r="FX28" s="2060"/>
      <c r="FY28" s="2060"/>
      <c r="FZ28" s="2060"/>
      <c r="GA28" s="2060"/>
      <c r="GB28" s="2060"/>
      <c r="GC28" s="2060"/>
      <c r="GD28" s="2060"/>
      <c r="GE28" s="2060"/>
      <c r="GF28" s="2060"/>
      <c r="GG28" s="2060"/>
      <c r="GH28" s="2060"/>
      <c r="GI28" s="2060"/>
      <c r="GJ28" s="2060"/>
      <c r="GK28" s="2060"/>
      <c r="GL28" s="2060"/>
      <c r="GM28" s="2060"/>
      <c r="GN28" s="2060"/>
      <c r="GO28" s="2060"/>
      <c r="GP28" s="2060"/>
      <c r="GQ28" s="2060"/>
      <c r="GR28" s="2060"/>
      <c r="GS28" s="2060"/>
      <c r="GT28" s="2060"/>
      <c r="GU28" s="2060"/>
      <c r="GV28" s="2060"/>
      <c r="GW28" s="2060"/>
      <c r="GX28" s="2060"/>
      <c r="GY28" s="2060"/>
      <c r="GZ28" s="2060"/>
      <c r="HA28" s="2060"/>
      <c r="HB28" s="2060"/>
      <c r="HC28" s="2060"/>
      <c r="HD28" s="2060"/>
      <c r="HE28" s="2060"/>
      <c r="HF28" s="2060"/>
      <c r="HG28" s="2060"/>
      <c r="HH28" s="2060"/>
      <c r="HI28" s="2060"/>
      <c r="HJ28" s="2060"/>
      <c r="HK28" s="2060"/>
      <c r="HL28" s="2060"/>
      <c r="HM28" s="2060"/>
      <c r="HN28" s="2060"/>
      <c r="HO28" s="2060"/>
      <c r="HP28" s="2060"/>
      <c r="HQ28" s="2060"/>
      <c r="HR28" s="2060"/>
      <c r="HS28" s="2060"/>
      <c r="HT28" s="2060"/>
      <c r="HU28" s="2060"/>
      <c r="HV28" s="2060"/>
      <c r="HW28" s="2060"/>
      <c r="HX28" s="2060"/>
      <c r="HY28" s="2060"/>
      <c r="HZ28" s="2060"/>
      <c r="IA28" s="2060"/>
      <c r="IB28" s="2060"/>
      <c r="IC28" s="2060"/>
      <c r="ID28" s="2060"/>
      <c r="IE28" s="2060"/>
      <c r="IF28" s="2060"/>
      <c r="IG28" s="2060"/>
      <c r="IH28" s="2060"/>
      <c r="II28" s="2060"/>
      <c r="IJ28" s="2060"/>
      <c r="IK28" s="2060"/>
      <c r="IL28" s="2060"/>
      <c r="IM28" s="2060"/>
      <c r="IN28" s="2060"/>
      <c r="IO28" s="2060"/>
      <c r="IP28" s="2060"/>
      <c r="IQ28" s="2060"/>
      <c r="IR28" s="2060"/>
      <c r="IS28" s="2060"/>
      <c r="IT28" s="2060"/>
      <c r="IU28" s="2060"/>
      <c r="IV28" s="2060"/>
      <c r="IW28" s="2060"/>
      <c r="IX28" s="2060"/>
      <c r="IY28" s="2060"/>
      <c r="IZ28" s="2060"/>
      <c r="JA28" s="2060"/>
      <c r="JB28" s="2060"/>
      <c r="JC28" s="2060"/>
      <c r="JD28" s="2060"/>
      <c r="JE28" s="2060"/>
      <c r="JF28" s="2060"/>
      <c r="JG28" s="2060"/>
      <c r="JH28" s="2060"/>
      <c r="JI28" s="2060"/>
      <c r="JJ28" s="2060"/>
      <c r="JK28" s="2060"/>
      <c r="JL28" s="2060"/>
      <c r="JM28" s="2060"/>
      <c r="JN28" s="2060"/>
      <c r="JO28" s="2060"/>
      <c r="JP28" s="2060"/>
      <c r="JQ28" s="2060"/>
      <c r="JR28" s="2060"/>
      <c r="JS28" s="2060"/>
      <c r="JT28" s="2060"/>
      <c r="JU28" s="2060"/>
      <c r="JV28" s="2060"/>
      <c r="JW28" s="2060"/>
      <c r="JX28" s="2060"/>
      <c r="JY28" s="2060"/>
      <c r="JZ28" s="2060"/>
      <c r="KA28" s="2060"/>
      <c r="KB28" s="2060"/>
      <c r="KC28" s="2060"/>
      <c r="KD28" s="2060"/>
      <c r="KE28" s="2060"/>
      <c r="KF28" s="2060"/>
      <c r="KG28" s="2060"/>
      <c r="KH28" s="2060"/>
      <c r="KI28" s="2060"/>
      <c r="KJ28" s="2060"/>
      <c r="KK28" s="2060"/>
      <c r="KL28" s="2060"/>
      <c r="KM28" s="2060"/>
      <c r="KN28" s="2060"/>
      <c r="KO28" s="2060"/>
      <c r="KP28" s="2060"/>
      <c r="KQ28" s="2060"/>
      <c r="KR28" s="2060"/>
      <c r="KS28" s="2060"/>
      <c r="KT28" s="2060"/>
      <c r="KU28" s="2060"/>
      <c r="KV28" s="2060"/>
      <c r="KW28" s="2060"/>
      <c r="KX28" s="2060"/>
      <c r="KY28" s="2060"/>
      <c r="KZ28" s="2060"/>
      <c r="LA28" s="2060"/>
      <c r="LB28" s="2060"/>
      <c r="LC28" s="2060"/>
      <c r="LD28" s="2060"/>
      <c r="LE28" s="2060"/>
      <c r="LF28" s="2060"/>
      <c r="LG28" s="2060"/>
      <c r="LH28" s="2060"/>
    </row>
    <row r="29" spans="1:320" s="449" customFormat="1" ht="13.9">
      <c r="A29" s="269" t="str">
        <f t="shared" si="7"/>
        <v>n</v>
      </c>
      <c r="B29" s="269"/>
      <c r="C29" s="2060"/>
      <c r="D29" s="779">
        <f t="shared" ca="1" si="0"/>
        <v>1.1000000000000001</v>
      </c>
      <c r="E29" s="772" t="str">
        <f>IF(OR('WACC and TIC Inputs'!$D138="x",$G29=""),"--",_xll.ciqfunctions.udf.CIQ($G29,"IQ_COMPANY_NAME"))</f>
        <v>--</v>
      </c>
      <c r="F29" s="1503"/>
      <c r="G29" s="2154"/>
      <c r="H29" s="1066"/>
      <c r="I29" s="256" t="str">
        <f>IF($E29="--","--",IF(_xll.ciqfunctions.udf.CIQ($G29,"IQ_COUNTRY_NAME")=0,"n/a",_xll.ciqfunctions.udf.CIQ($G29,"IQ_COUNTRY_NAME")))</f>
        <v>--</v>
      </c>
      <c r="J29" s="2060" t="str">
        <f>IF($E29="--","--",IF(OutputCurrency="Filing",_xll.ciqfunctions.udf.CIQ($G29,"IQ_FILING_CURRENCY",2000,Valuation_Date_GC),OutputCurrency))</f>
        <v>--</v>
      </c>
      <c r="K29" s="2163" t="str">
        <f t="shared" si="1"/>
        <v>--</v>
      </c>
      <c r="L29" s="2164"/>
      <c r="M29" s="2165"/>
      <c r="N29" s="2060" t="str">
        <f>IF($E29="--","--",_xll.ciqfunctions.udf.CIQ($G29,"IQ_TRADING_CURRENCY",Valuation_Date_GC))</f>
        <v>--</v>
      </c>
      <c r="O29" s="2060" t="str">
        <f t="shared" si="11"/>
        <v>--</v>
      </c>
      <c r="P29" s="2060" t="str">
        <f>IF(E29="--","--",IF(OR(LEFT(_xll.ciqfunctions.udf.CIQ(G29,"IQ_SP_LC_LT"),1)="(",_xll.ciqfunctions.udf.CIQ(G29,"IQ_SP_LC_LT")=0),"n/a",_xll.ciqfunctions.udf.CIQ(G29,"IQ_SP_LC_LT")))</f>
        <v>--</v>
      </c>
      <c r="Q29" s="2060" t="str">
        <f>IF($E29="--","--",_xll.ciqfunctions.udf.CIQ($G29,"IQ_PRIMARY_INDUSTRY"))</f>
        <v>--</v>
      </c>
      <c r="R29" s="2060"/>
      <c r="S29" s="44" t="str">
        <f t="shared" si="2"/>
        <v>--</v>
      </c>
      <c r="T29" s="2060" t="str">
        <f t="shared" si="3"/>
        <v>--</v>
      </c>
      <c r="U29" s="2060" t="str">
        <f t="shared" si="8"/>
        <v>--</v>
      </c>
      <c r="V29" s="2060"/>
      <c r="W29" s="2060"/>
      <c r="X29" s="2060"/>
      <c r="Y29" s="2060"/>
      <c r="Z29" s="1938" t="s">
        <v>361</v>
      </c>
      <c r="AA29" s="1938" t="s">
        <v>327</v>
      </c>
      <c r="AB29" s="1938" t="str">
        <f t="shared" si="9"/>
        <v>Nyrstar NV</v>
      </c>
      <c r="AC29" s="1938" t="s">
        <v>353</v>
      </c>
      <c r="AD29" s="2117" t="str">
        <f t="shared" si="4"/>
        <v>SEHK:2899</v>
      </c>
      <c r="AE29" s="2060"/>
      <c r="AF29" s="43" t="str">
        <f t="shared" si="5"/>
        <v>--</v>
      </c>
      <c r="AG29" s="43" t="str">
        <f t="shared" si="6"/>
        <v>--</v>
      </c>
      <c r="AH29" s="2060"/>
      <c r="AI29" s="2060"/>
      <c r="AJ29" s="2060" t="s">
        <v>362</v>
      </c>
      <c r="AK29" s="2060"/>
      <c r="AL29" s="2060"/>
      <c r="AM29" s="2060"/>
      <c r="AN29" s="2060"/>
      <c r="AO29" s="2060" t="s">
        <v>363</v>
      </c>
      <c r="AP29" s="89"/>
      <c r="AQ29" s="89"/>
      <c r="AR29" s="2060"/>
      <c r="AS29" s="98" t="s">
        <v>355</v>
      </c>
      <c r="AT29" s="80" t="s">
        <v>222</v>
      </c>
      <c r="AU29" s="80" t="s">
        <v>162</v>
      </c>
      <c r="AV29" s="80" t="s">
        <v>364</v>
      </c>
      <c r="AW29" s="81" t="s">
        <v>365</v>
      </c>
      <c r="AX29" s="78" t="s">
        <v>222</v>
      </c>
      <c r="AY29" s="78" t="s">
        <v>222</v>
      </c>
      <c r="AZ29" s="78" t="s">
        <v>221</v>
      </c>
      <c r="BA29" s="210" t="s">
        <v>366</v>
      </c>
      <c r="BB29" s="78" t="s">
        <v>367</v>
      </c>
      <c r="BC29" s="2060"/>
      <c r="BD29" s="2060"/>
      <c r="BE29" s="2060"/>
      <c r="BF29" s="2060"/>
      <c r="BG29" s="2060"/>
      <c r="BH29" s="2060"/>
      <c r="BI29" s="2060"/>
      <c r="BJ29" s="2060"/>
      <c r="BK29" s="2060"/>
      <c r="BL29" s="2060"/>
      <c r="BM29" s="2060"/>
      <c r="BN29" s="2060"/>
      <c r="BO29" s="2060"/>
      <c r="BP29" s="2060"/>
      <c r="BQ29" s="2060"/>
      <c r="BR29" s="2060"/>
      <c r="BS29" s="2060"/>
      <c r="BT29" s="2060"/>
      <c r="BU29" s="2060"/>
      <c r="BV29" s="2060"/>
      <c r="BW29" s="2060"/>
      <c r="BX29" s="2060"/>
      <c r="BY29" s="2060"/>
      <c r="BZ29" s="2060"/>
      <c r="CA29" s="2060"/>
      <c r="CB29" s="2060"/>
      <c r="CC29" s="2060"/>
      <c r="CD29" s="2060"/>
      <c r="CE29" s="2060"/>
      <c r="CF29" s="2060"/>
      <c r="CG29" s="2060"/>
      <c r="CH29" s="2060"/>
      <c r="CI29" s="2060"/>
      <c r="CJ29" s="2060"/>
      <c r="CK29" s="2060"/>
      <c r="CL29" s="2060"/>
      <c r="CM29" s="2060"/>
      <c r="CN29" s="2060"/>
      <c r="CO29" s="2060"/>
      <c r="CP29" s="2060"/>
      <c r="CQ29" s="2060"/>
      <c r="CR29" s="2060"/>
      <c r="CS29" s="2060"/>
      <c r="CT29" s="2060"/>
      <c r="CU29" s="2060"/>
      <c r="CV29" s="2060"/>
      <c r="CW29" s="2060"/>
      <c r="CX29" s="2060"/>
      <c r="CY29" s="2060"/>
      <c r="CZ29" s="2060"/>
      <c r="DA29" s="2060"/>
      <c r="DB29" s="2060"/>
      <c r="DC29" s="2060"/>
      <c r="DD29" s="2060"/>
      <c r="DE29" s="2060"/>
      <c r="DF29" s="2060"/>
      <c r="DG29" s="2060"/>
      <c r="DH29" s="2060"/>
      <c r="DI29" s="2060"/>
      <c r="DJ29" s="2060"/>
      <c r="DK29" s="2060"/>
      <c r="DL29" s="2060"/>
      <c r="DM29" s="2060"/>
      <c r="DN29" s="2060"/>
      <c r="DO29" s="2060"/>
      <c r="DP29" s="2060"/>
      <c r="DQ29" s="2060"/>
      <c r="DR29" s="2060"/>
      <c r="DS29" s="2060"/>
      <c r="DT29" s="2060"/>
      <c r="DU29" s="2060"/>
      <c r="DV29" s="2060"/>
      <c r="DW29" s="2060"/>
      <c r="DX29" s="2060"/>
      <c r="DY29" s="2060"/>
      <c r="DZ29" s="2060"/>
      <c r="EA29" s="2060"/>
      <c r="EB29" s="2060"/>
      <c r="EC29" s="2060"/>
      <c r="ED29" s="2060"/>
      <c r="EE29" s="2060"/>
      <c r="EF29" s="2060"/>
      <c r="EG29" s="2060"/>
      <c r="EH29" s="2060"/>
      <c r="EI29" s="2060"/>
      <c r="EJ29" s="2060"/>
      <c r="EK29" s="2060"/>
      <c r="EL29" s="2060"/>
      <c r="EM29" s="2060"/>
      <c r="EN29" s="2060"/>
      <c r="EO29" s="2060"/>
      <c r="EP29" s="2060"/>
      <c r="EQ29" s="2060"/>
      <c r="ER29" s="2060"/>
      <c r="ES29" s="2060"/>
      <c r="ET29" s="2060"/>
      <c r="EU29" s="2060"/>
      <c r="EV29" s="2060"/>
      <c r="EW29" s="2060"/>
      <c r="EX29" s="2060"/>
      <c r="EY29" s="2060"/>
      <c r="EZ29" s="2060"/>
      <c r="FA29" s="2060"/>
      <c r="FB29" s="2060"/>
      <c r="FC29" s="2060"/>
      <c r="FD29" s="2060"/>
      <c r="FE29" s="2060"/>
      <c r="FF29" s="2060"/>
      <c r="FG29" s="2060"/>
      <c r="FH29" s="2060"/>
      <c r="FI29" s="2060"/>
      <c r="FJ29" s="2060"/>
      <c r="FK29" s="2060"/>
      <c r="FL29" s="2060"/>
      <c r="FM29" s="2060"/>
      <c r="FN29" s="2060"/>
      <c r="FO29" s="2060"/>
      <c r="FP29" s="2060"/>
      <c r="FQ29" s="2060"/>
      <c r="FR29" s="2060"/>
      <c r="FS29" s="2060"/>
      <c r="FT29" s="2060"/>
      <c r="FU29" s="2060"/>
      <c r="FV29" s="2060"/>
      <c r="FW29" s="2060"/>
      <c r="FX29" s="2060"/>
      <c r="FY29" s="2060"/>
      <c r="FZ29" s="2060"/>
      <c r="GA29" s="2060"/>
      <c r="GB29" s="2060"/>
      <c r="GC29" s="2060"/>
      <c r="GD29" s="2060"/>
      <c r="GE29" s="2060"/>
      <c r="GF29" s="2060"/>
      <c r="GG29" s="2060"/>
      <c r="GH29" s="2060"/>
      <c r="GI29" s="2060"/>
      <c r="GJ29" s="2060"/>
      <c r="GK29" s="2060"/>
      <c r="GL29" s="2060"/>
      <c r="GM29" s="2060"/>
      <c r="GN29" s="2060"/>
      <c r="GO29" s="2060"/>
      <c r="GP29" s="2060"/>
      <c r="GQ29" s="2060"/>
      <c r="GR29" s="2060"/>
      <c r="GS29" s="2060"/>
      <c r="GT29" s="2060"/>
      <c r="GU29" s="2060"/>
      <c r="GV29" s="2060"/>
      <c r="GW29" s="2060"/>
      <c r="GX29" s="2060"/>
      <c r="GY29" s="2060"/>
      <c r="GZ29" s="2060"/>
      <c r="HA29" s="2060"/>
      <c r="HB29" s="2060"/>
      <c r="HC29" s="2060"/>
      <c r="HD29" s="2060"/>
      <c r="HE29" s="2060"/>
      <c r="HF29" s="2060"/>
      <c r="HG29" s="2060"/>
      <c r="HH29" s="2060"/>
      <c r="HI29" s="2060"/>
      <c r="HJ29" s="2060"/>
      <c r="HK29" s="2060"/>
      <c r="HL29" s="2060"/>
      <c r="HM29" s="2060"/>
      <c r="HN29" s="2060"/>
      <c r="HO29" s="2060"/>
      <c r="HP29" s="2060"/>
      <c r="HQ29" s="2060"/>
      <c r="HR29" s="2060"/>
      <c r="HS29" s="2060"/>
      <c r="HT29" s="2060"/>
      <c r="HU29" s="2060"/>
      <c r="HV29" s="2060"/>
      <c r="HW29" s="2060"/>
      <c r="HX29" s="2060"/>
      <c r="HY29" s="2060"/>
      <c r="HZ29" s="2060"/>
      <c r="IA29" s="2060"/>
      <c r="IB29" s="2060"/>
      <c r="IC29" s="2060"/>
      <c r="ID29" s="2060"/>
      <c r="IE29" s="2060"/>
      <c r="IF29" s="2060"/>
      <c r="IG29" s="2060"/>
      <c r="IH29" s="2060"/>
      <c r="II29" s="2060"/>
      <c r="IJ29" s="2060"/>
      <c r="IK29" s="2060"/>
      <c r="IL29" s="2060"/>
      <c r="IM29" s="2060"/>
      <c r="IN29" s="2060"/>
      <c r="IO29" s="2060"/>
      <c r="IP29" s="2060"/>
      <c r="IQ29" s="2060"/>
      <c r="IR29" s="2060"/>
      <c r="IS29" s="2060"/>
      <c r="IT29" s="2060"/>
      <c r="IU29" s="2060"/>
      <c r="IV29" s="2060"/>
      <c r="IW29" s="2060"/>
      <c r="IX29" s="2060"/>
      <c r="IY29" s="2060"/>
      <c r="IZ29" s="2060"/>
      <c r="JA29" s="2060"/>
      <c r="JB29" s="2060"/>
      <c r="JC29" s="2060"/>
      <c r="JD29" s="2060"/>
      <c r="JE29" s="2060"/>
      <c r="JF29" s="2060"/>
      <c r="JG29" s="2060"/>
      <c r="JH29" s="2060"/>
      <c r="JI29" s="2060"/>
      <c r="JJ29" s="2060"/>
      <c r="JK29" s="2060"/>
      <c r="JL29" s="2060"/>
      <c r="JM29" s="2060"/>
      <c r="JN29" s="2060"/>
      <c r="JO29" s="2060"/>
      <c r="JP29" s="2060"/>
      <c r="JQ29" s="2060"/>
      <c r="JR29" s="2060"/>
      <c r="JS29" s="2060"/>
      <c r="JT29" s="2060"/>
      <c r="JU29" s="2060"/>
      <c r="JV29" s="2060"/>
      <c r="JW29" s="2060"/>
      <c r="JX29" s="2060"/>
      <c r="JY29" s="2060"/>
      <c r="JZ29" s="2060"/>
      <c r="KA29" s="2060"/>
      <c r="KB29" s="2060"/>
      <c r="KC29" s="2060"/>
      <c r="KD29" s="2060"/>
      <c r="KE29" s="2060"/>
      <c r="KF29" s="2060"/>
      <c r="KG29" s="2060"/>
      <c r="KH29" s="2060"/>
      <c r="KI29" s="2060"/>
      <c r="KJ29" s="2060"/>
      <c r="KK29" s="2060"/>
      <c r="KL29" s="2060"/>
      <c r="KM29" s="2060"/>
      <c r="KN29" s="2060"/>
      <c r="KO29" s="2060"/>
      <c r="KP29" s="2060"/>
      <c r="KQ29" s="2060"/>
      <c r="KR29" s="2060"/>
      <c r="KS29" s="2060"/>
      <c r="KT29" s="2060"/>
      <c r="KU29" s="2060"/>
      <c r="KV29" s="2060"/>
      <c r="KW29" s="2060"/>
      <c r="KX29" s="2060"/>
      <c r="KY29" s="2060"/>
      <c r="KZ29" s="2060"/>
      <c r="LA29" s="2060"/>
      <c r="LB29" s="2060"/>
      <c r="LC29" s="2060"/>
      <c r="LD29" s="2060"/>
      <c r="LE29" s="2060"/>
      <c r="LF29" s="2060"/>
      <c r="LG29" s="2060"/>
      <c r="LH29" s="2060"/>
    </row>
    <row r="30" spans="1:320" s="449" customFormat="1" ht="13.9">
      <c r="A30" s="269" t="str">
        <f t="shared" si="7"/>
        <v>n</v>
      </c>
      <c r="B30" s="588"/>
      <c r="C30" s="2060"/>
      <c r="D30" s="779">
        <f t="shared" ca="1" si="0"/>
        <v>1.1100000000000001</v>
      </c>
      <c r="E30" s="772" t="str">
        <f>IF(OR('WACC and TIC Inputs'!$D139="x",$G30=""),"--",_xll.ciqfunctions.udf.CIQ($G30,"IQ_COMPANY_NAME"))</f>
        <v>--</v>
      </c>
      <c r="F30" s="1503"/>
      <c r="G30" s="2154"/>
      <c r="H30" s="1066"/>
      <c r="I30" s="256" t="str">
        <f>IF($E30="--","--",IF(_xll.ciqfunctions.udf.CIQ($G30,"IQ_COUNTRY_NAME")=0,"n/a",_xll.ciqfunctions.udf.CIQ($G30,"IQ_COUNTRY_NAME")))</f>
        <v>--</v>
      </c>
      <c r="J30" s="2060" t="str">
        <f>IF($E30="--","--",IF(OutputCurrency="Filing",_xll.ciqfunctions.udf.CIQ($G30,"IQ_FILING_CURRENCY",2000,Valuation_Date_GC),OutputCurrency))</f>
        <v>--</v>
      </c>
      <c r="K30" s="2163" t="str">
        <f t="shared" si="1"/>
        <v>--</v>
      </c>
      <c r="L30" s="2164"/>
      <c r="M30" s="2165"/>
      <c r="N30" s="2060" t="str">
        <f>IF($E30="--","--",_xll.ciqfunctions.udf.CIQ($G30,"IQ_TRADING_CURRENCY",Valuation_Date_GC))</f>
        <v>--</v>
      </c>
      <c r="O30" s="2060" t="str">
        <f t="shared" si="11"/>
        <v>--</v>
      </c>
      <c r="P30" s="2060" t="str">
        <f>IF(E30="--","--",IF(OR(LEFT(_xll.ciqfunctions.udf.CIQ(G30,"IQ_SP_LC_LT"),1)="(",_xll.ciqfunctions.udf.CIQ(G30,"IQ_SP_LC_LT")=0),"n/a",_xll.ciqfunctions.udf.CIQ(G30,"IQ_SP_LC_LT")))</f>
        <v>--</v>
      </c>
      <c r="Q30" s="2060" t="str">
        <f>IF($E30="--","--",_xll.ciqfunctions.udf.CIQ($G30,"IQ_PRIMARY_INDUSTRY"))</f>
        <v>--</v>
      </c>
      <c r="R30" s="2060"/>
      <c r="S30" s="44" t="str">
        <f t="shared" si="2"/>
        <v>--</v>
      </c>
      <c r="T30" s="2060" t="str">
        <f t="shared" si="3"/>
        <v>--</v>
      </c>
      <c r="U30" s="2060" t="str">
        <f t="shared" si="8"/>
        <v>--</v>
      </c>
      <c r="V30" s="2060"/>
      <c r="W30" s="2060"/>
      <c r="X30" s="2060"/>
      <c r="Y30" s="2060"/>
      <c r="Z30" s="1938"/>
      <c r="AA30" s="1938" t="s">
        <v>368</v>
      </c>
      <c r="AB30" s="1938" t="str">
        <f t="shared" si="9"/>
        <v>zzzz</v>
      </c>
      <c r="AC30" s="1938" t="s">
        <v>369</v>
      </c>
      <c r="AD30" s="2117" t="str">
        <f t="shared" si="4"/>
        <v/>
      </c>
      <c r="AE30" s="2060"/>
      <c r="AF30" s="43" t="str">
        <f t="shared" si="5"/>
        <v>--</v>
      </c>
      <c r="AG30" s="43" t="str">
        <f t="shared" si="6"/>
        <v>--</v>
      </c>
      <c r="AH30" s="2060"/>
      <c r="AI30" s="2060"/>
      <c r="AJ30" s="2060" t="s">
        <v>370</v>
      </c>
      <c r="AK30" s="2060"/>
      <c r="AL30" s="2060"/>
      <c r="AM30" s="2060"/>
      <c r="AN30" s="2060"/>
      <c r="AO30" s="2060" t="s">
        <v>371</v>
      </c>
      <c r="AP30" s="89"/>
      <c r="AQ30" s="89"/>
      <c r="AR30" s="2060"/>
      <c r="AS30" s="98" t="s">
        <v>372</v>
      </c>
      <c r="AT30" s="80" t="s">
        <v>373</v>
      </c>
      <c r="AU30" s="80" t="s">
        <v>162</v>
      </c>
      <c r="AV30" s="246" t="s">
        <v>374</v>
      </c>
      <c r="AW30" s="255" t="s">
        <v>375</v>
      </c>
      <c r="AX30" s="78" t="s">
        <v>376</v>
      </c>
      <c r="AY30" s="78" t="s">
        <v>376</v>
      </c>
      <c r="AZ30" s="78" t="s">
        <v>377</v>
      </c>
      <c r="BA30" s="78" t="s">
        <v>378</v>
      </c>
      <c r="BB30" s="78" t="s">
        <v>379</v>
      </c>
      <c r="BC30" s="2060"/>
      <c r="BD30" s="2060"/>
      <c r="BE30" s="2060"/>
      <c r="BF30" s="2060"/>
      <c r="BG30" s="2060"/>
      <c r="BH30" s="2060"/>
      <c r="BI30" s="2060"/>
      <c r="BJ30" s="2060"/>
      <c r="BK30" s="2060"/>
      <c r="BL30" s="2060"/>
      <c r="BM30" s="2060"/>
      <c r="BN30" s="2060"/>
      <c r="BO30" s="2060"/>
      <c r="BP30" s="2060"/>
      <c r="BQ30" s="2060"/>
      <c r="BR30" s="2060"/>
      <c r="BS30" s="2060"/>
      <c r="BT30" s="2060"/>
      <c r="BU30" s="2060"/>
      <c r="BV30" s="2060"/>
      <c r="BW30" s="2060"/>
      <c r="BX30" s="2060"/>
      <c r="BY30" s="2060"/>
      <c r="BZ30" s="2060"/>
      <c r="CA30" s="2060"/>
      <c r="CB30" s="2060"/>
      <c r="CC30" s="2060"/>
      <c r="CD30" s="2060"/>
      <c r="CE30" s="2060"/>
      <c r="CF30" s="2060"/>
      <c r="CG30" s="2060"/>
      <c r="CH30" s="2060"/>
      <c r="CI30" s="2060"/>
      <c r="CJ30" s="2060"/>
      <c r="CK30" s="2060"/>
      <c r="CL30" s="2060"/>
      <c r="CM30" s="2060"/>
      <c r="CN30" s="2060"/>
      <c r="CO30" s="2060"/>
      <c r="CP30" s="2060"/>
      <c r="CQ30" s="2060"/>
      <c r="CR30" s="2060"/>
      <c r="CS30" s="2060"/>
      <c r="CT30" s="2060"/>
      <c r="CU30" s="2060"/>
      <c r="CV30" s="2060"/>
      <c r="CW30" s="2060"/>
      <c r="CX30" s="2060"/>
      <c r="CY30" s="2060"/>
      <c r="CZ30" s="2060"/>
      <c r="DA30" s="2060"/>
      <c r="DB30" s="2060"/>
      <c r="DC30" s="2060"/>
      <c r="DD30" s="2060"/>
      <c r="DE30" s="2060"/>
      <c r="DF30" s="2060"/>
      <c r="DG30" s="2060"/>
      <c r="DH30" s="2060"/>
      <c r="DI30" s="2060"/>
      <c r="DJ30" s="2060"/>
      <c r="DK30" s="2060"/>
      <c r="DL30" s="2060"/>
      <c r="DM30" s="2060"/>
      <c r="DN30" s="2060"/>
      <c r="DO30" s="2060"/>
      <c r="DP30" s="2060"/>
      <c r="DQ30" s="2060"/>
      <c r="DR30" s="2060"/>
      <c r="DS30" s="2060"/>
      <c r="DT30" s="2060"/>
      <c r="DU30" s="2060"/>
      <c r="DV30" s="2060"/>
      <c r="DW30" s="2060"/>
      <c r="DX30" s="2060"/>
      <c r="DY30" s="2060"/>
      <c r="DZ30" s="2060"/>
      <c r="EA30" s="2060"/>
      <c r="EB30" s="2060"/>
      <c r="EC30" s="2060"/>
      <c r="ED30" s="2060"/>
      <c r="EE30" s="2060"/>
      <c r="EF30" s="2060"/>
      <c r="EG30" s="2060"/>
      <c r="EH30" s="2060"/>
      <c r="EI30" s="2060"/>
      <c r="EJ30" s="2060"/>
      <c r="EK30" s="2060"/>
      <c r="EL30" s="2060"/>
      <c r="EM30" s="2060"/>
      <c r="EN30" s="2060"/>
      <c r="EO30" s="2060"/>
      <c r="EP30" s="2060"/>
      <c r="EQ30" s="2060"/>
      <c r="ER30" s="2060"/>
      <c r="ES30" s="2060"/>
      <c r="ET30" s="2060"/>
      <c r="EU30" s="2060"/>
      <c r="EV30" s="2060"/>
      <c r="EW30" s="2060"/>
      <c r="EX30" s="2060"/>
      <c r="EY30" s="2060"/>
      <c r="EZ30" s="2060"/>
      <c r="FA30" s="2060"/>
      <c r="FB30" s="2060"/>
      <c r="FC30" s="2060"/>
      <c r="FD30" s="2060"/>
      <c r="FE30" s="2060"/>
      <c r="FF30" s="2060"/>
      <c r="FG30" s="2060"/>
      <c r="FH30" s="2060"/>
      <c r="FI30" s="2060"/>
      <c r="FJ30" s="2060"/>
      <c r="FK30" s="2060"/>
      <c r="FL30" s="2060"/>
      <c r="FM30" s="2060"/>
      <c r="FN30" s="2060"/>
      <c r="FO30" s="2060"/>
      <c r="FP30" s="2060"/>
      <c r="FQ30" s="2060"/>
      <c r="FR30" s="2060"/>
      <c r="FS30" s="2060"/>
      <c r="FT30" s="2060"/>
      <c r="FU30" s="2060"/>
      <c r="FV30" s="2060"/>
      <c r="FW30" s="2060"/>
      <c r="FX30" s="2060"/>
      <c r="FY30" s="2060"/>
      <c r="FZ30" s="2060"/>
      <c r="GA30" s="2060"/>
      <c r="GB30" s="2060"/>
      <c r="GC30" s="2060"/>
      <c r="GD30" s="2060"/>
      <c r="GE30" s="2060"/>
      <c r="GF30" s="2060"/>
      <c r="GG30" s="2060"/>
      <c r="GH30" s="2060"/>
      <c r="GI30" s="2060"/>
      <c r="GJ30" s="2060"/>
      <c r="GK30" s="2060"/>
      <c r="GL30" s="2060"/>
      <c r="GM30" s="2060"/>
      <c r="GN30" s="2060"/>
      <c r="GO30" s="2060"/>
      <c r="GP30" s="2060"/>
      <c r="GQ30" s="2060"/>
      <c r="GR30" s="2060"/>
      <c r="GS30" s="2060"/>
      <c r="GT30" s="2060"/>
      <c r="GU30" s="2060"/>
      <c r="GV30" s="2060"/>
      <c r="GW30" s="2060"/>
      <c r="GX30" s="2060"/>
      <c r="GY30" s="2060"/>
      <c r="GZ30" s="2060"/>
      <c r="HA30" s="2060"/>
      <c r="HB30" s="2060"/>
      <c r="HC30" s="2060"/>
      <c r="HD30" s="2060"/>
      <c r="HE30" s="2060"/>
      <c r="HF30" s="2060"/>
      <c r="HG30" s="2060"/>
      <c r="HH30" s="2060"/>
      <c r="HI30" s="2060"/>
      <c r="HJ30" s="2060"/>
      <c r="HK30" s="2060"/>
      <c r="HL30" s="2060"/>
      <c r="HM30" s="2060"/>
      <c r="HN30" s="2060"/>
      <c r="HO30" s="2060"/>
      <c r="HP30" s="2060"/>
      <c r="HQ30" s="2060"/>
      <c r="HR30" s="2060"/>
      <c r="HS30" s="2060"/>
      <c r="HT30" s="2060"/>
      <c r="HU30" s="2060"/>
      <c r="HV30" s="2060"/>
      <c r="HW30" s="2060"/>
      <c r="HX30" s="2060"/>
      <c r="HY30" s="2060"/>
      <c r="HZ30" s="2060"/>
      <c r="IA30" s="2060"/>
      <c r="IB30" s="2060"/>
      <c r="IC30" s="2060"/>
      <c r="ID30" s="2060"/>
      <c r="IE30" s="2060"/>
      <c r="IF30" s="2060"/>
      <c r="IG30" s="2060"/>
      <c r="IH30" s="2060"/>
      <c r="II30" s="2060"/>
      <c r="IJ30" s="2060"/>
      <c r="IK30" s="2060"/>
      <c r="IL30" s="2060"/>
      <c r="IM30" s="2060"/>
      <c r="IN30" s="2060"/>
      <c r="IO30" s="2060"/>
      <c r="IP30" s="2060"/>
      <c r="IQ30" s="2060"/>
      <c r="IR30" s="2060"/>
      <c r="IS30" s="2060"/>
      <c r="IT30" s="2060"/>
      <c r="IU30" s="2060"/>
      <c r="IV30" s="2060"/>
      <c r="IW30" s="2060"/>
      <c r="IX30" s="2060"/>
      <c r="IY30" s="2060"/>
      <c r="IZ30" s="2060"/>
      <c r="JA30" s="2060"/>
      <c r="JB30" s="2060"/>
      <c r="JC30" s="2060"/>
      <c r="JD30" s="2060"/>
      <c r="JE30" s="2060"/>
      <c r="JF30" s="2060"/>
      <c r="JG30" s="2060"/>
      <c r="JH30" s="2060"/>
      <c r="JI30" s="2060"/>
      <c r="JJ30" s="2060"/>
      <c r="JK30" s="2060"/>
      <c r="JL30" s="2060"/>
      <c r="JM30" s="2060"/>
      <c r="JN30" s="2060"/>
      <c r="JO30" s="2060"/>
      <c r="JP30" s="2060"/>
      <c r="JQ30" s="2060"/>
      <c r="JR30" s="2060"/>
      <c r="JS30" s="2060"/>
      <c r="JT30" s="2060"/>
      <c r="JU30" s="2060"/>
      <c r="JV30" s="2060"/>
      <c r="JW30" s="2060"/>
      <c r="JX30" s="2060"/>
      <c r="JY30" s="2060"/>
      <c r="JZ30" s="2060"/>
      <c r="KA30" s="2060"/>
      <c r="KB30" s="2060"/>
      <c r="KC30" s="2060"/>
      <c r="KD30" s="2060"/>
      <c r="KE30" s="2060"/>
      <c r="KF30" s="2060"/>
      <c r="KG30" s="2060"/>
      <c r="KH30" s="2060"/>
      <c r="KI30" s="2060"/>
      <c r="KJ30" s="2060"/>
      <c r="KK30" s="2060"/>
      <c r="KL30" s="2060"/>
      <c r="KM30" s="2060"/>
      <c r="KN30" s="2060"/>
      <c r="KO30" s="2060"/>
      <c r="KP30" s="2060"/>
      <c r="KQ30" s="2060"/>
      <c r="KR30" s="2060"/>
      <c r="KS30" s="2060"/>
      <c r="KT30" s="2060"/>
      <c r="KU30" s="2060"/>
      <c r="KV30" s="2060"/>
      <c r="KW30" s="2060"/>
      <c r="KX30" s="2060"/>
      <c r="KY30" s="2060"/>
      <c r="KZ30" s="2060"/>
      <c r="LA30" s="2060"/>
      <c r="LB30" s="2060"/>
      <c r="LC30" s="2060"/>
      <c r="LD30" s="2060"/>
      <c r="LE30" s="2060"/>
      <c r="LF30" s="2060"/>
      <c r="LG30" s="2060"/>
      <c r="LH30" s="2060"/>
    </row>
    <row r="31" spans="1:320" s="449" customFormat="1" ht="13.9">
      <c r="A31" s="269" t="str">
        <f t="shared" si="7"/>
        <v>n</v>
      </c>
      <c r="B31" s="589"/>
      <c r="C31" s="2060"/>
      <c r="D31" s="779">
        <f t="shared" ca="1" si="0"/>
        <v>1.1200000000000001</v>
      </c>
      <c r="E31" s="772" t="str">
        <f>IF(OR('WACC and TIC Inputs'!$D140="x",$G31=""),"--",_xll.ciqfunctions.udf.CIQ($G31,"IQ_COMPANY_NAME"))</f>
        <v>--</v>
      </c>
      <c r="F31" s="1503"/>
      <c r="G31" s="2154"/>
      <c r="H31" s="1066"/>
      <c r="I31" s="256" t="str">
        <f>IF($E31="--","--",IF(_xll.ciqfunctions.udf.CIQ($G31,"IQ_COUNTRY_NAME")=0,"n/a",_xll.ciqfunctions.udf.CIQ($G31,"IQ_COUNTRY_NAME")))</f>
        <v>--</v>
      </c>
      <c r="J31" s="2060" t="str">
        <f>IF($E31="--","--",IF(OutputCurrency="Filing",_xll.ciqfunctions.udf.CIQ($G31,"IQ_FILING_CURRENCY",2000,Valuation_Date_GC),OutputCurrency))</f>
        <v>--</v>
      </c>
      <c r="K31" s="2163" t="str">
        <f t="shared" si="1"/>
        <v>--</v>
      </c>
      <c r="L31" s="2164"/>
      <c r="M31" s="2165"/>
      <c r="N31" s="2060" t="str">
        <f>IF($E31="--","--",_xll.ciqfunctions.udf.CIQ($G31,"IQ_TRADING_CURRENCY",Valuation_Date_GC))</f>
        <v>--</v>
      </c>
      <c r="O31" s="2060" t="str">
        <f t="shared" si="11"/>
        <v>--</v>
      </c>
      <c r="P31" s="2060" t="str">
        <f>IF(E31="--","--",IF(OR(LEFT(_xll.ciqfunctions.udf.CIQ(G31,"IQ_SP_LC_LT"),1)="(",_xll.ciqfunctions.udf.CIQ(G31,"IQ_SP_LC_LT")=0),"n/a",_xll.ciqfunctions.udf.CIQ(G31,"IQ_SP_LC_LT")))</f>
        <v>--</v>
      </c>
      <c r="Q31" s="2060" t="str">
        <f>IF($E31="--","--",_xll.ciqfunctions.udf.CIQ($G31,"IQ_PRIMARY_INDUSTRY"))</f>
        <v>--</v>
      </c>
      <c r="R31" s="2060"/>
      <c r="S31" s="44" t="str">
        <f t="shared" ref="S31:S44" si="12">IF($E31="--","--",IF(K31="Refreshing CIQ","",IF(K31="","Select INDEX!",INDEX(CountryIndexCode,MATCH($K31,CountryIndex,0)))))</f>
        <v>--</v>
      </c>
      <c r="T31" s="2060" t="str">
        <f t="shared" si="3"/>
        <v>--</v>
      </c>
      <c r="U31" s="2060" t="str">
        <f t="shared" si="8"/>
        <v>--</v>
      </c>
      <c r="V31" s="2060"/>
      <c r="W31" s="2060"/>
      <c r="X31" s="2060"/>
      <c r="Y31" s="2060"/>
      <c r="Z31" s="1938"/>
      <c r="AA31" s="1938" t="s">
        <v>368</v>
      </c>
      <c r="AB31" s="1938" t="str">
        <f t="shared" si="9"/>
        <v>zzzz</v>
      </c>
      <c r="AC31" s="1938" t="s">
        <v>369</v>
      </c>
      <c r="AD31" s="2117" t="str">
        <f t="shared" si="4"/>
        <v/>
      </c>
      <c r="AE31" s="2060"/>
      <c r="AF31" s="43" t="str">
        <f t="shared" si="5"/>
        <v>--</v>
      </c>
      <c r="AG31" s="43" t="str">
        <f t="shared" si="6"/>
        <v>--</v>
      </c>
      <c r="AH31" s="2060"/>
      <c r="AI31" s="2060"/>
      <c r="AJ31" s="133" t="s">
        <v>380</v>
      </c>
      <c r="AK31" s="2060"/>
      <c r="AL31" s="2060"/>
      <c r="AM31" s="2060"/>
      <c r="AN31" s="2060"/>
      <c r="AO31" s="2060" t="s">
        <v>381</v>
      </c>
      <c r="AP31" s="89"/>
      <c r="AQ31" s="89"/>
      <c r="AR31" s="2060"/>
      <c r="AS31" s="98" t="s">
        <v>139</v>
      </c>
      <c r="AT31" s="80" t="s">
        <v>140</v>
      </c>
      <c r="AU31" s="80" t="s">
        <v>140</v>
      </c>
      <c r="AV31" s="80" t="s">
        <v>382</v>
      </c>
      <c r="AW31" s="81" t="s">
        <v>383</v>
      </c>
      <c r="AX31" s="78" t="s">
        <v>143</v>
      </c>
      <c r="AY31" s="78" t="s">
        <v>131</v>
      </c>
      <c r="AZ31" s="78" t="s">
        <v>144</v>
      </c>
      <c r="BA31" s="78" t="s">
        <v>384</v>
      </c>
      <c r="BB31" s="78" t="s">
        <v>385</v>
      </c>
      <c r="BC31" s="2060"/>
      <c r="BD31" s="2060"/>
      <c r="BE31" s="2060"/>
      <c r="BF31" s="2060"/>
      <c r="BG31" s="2060"/>
      <c r="BH31" s="2060"/>
      <c r="BI31" s="2060"/>
      <c r="BJ31" s="2060"/>
      <c r="BK31" s="2060"/>
      <c r="BL31" s="2060"/>
      <c r="BM31" s="2060"/>
      <c r="BN31" s="2060"/>
      <c r="BO31" s="2060"/>
      <c r="BP31" s="2060"/>
      <c r="BQ31" s="2060"/>
      <c r="BR31" s="2060"/>
      <c r="BS31" s="2060"/>
      <c r="BT31" s="2060"/>
      <c r="BU31" s="2060"/>
      <c r="BV31" s="2060"/>
      <c r="BW31" s="2060"/>
      <c r="BX31" s="2060"/>
      <c r="BY31" s="2060"/>
      <c r="BZ31" s="2060"/>
      <c r="CA31" s="2060"/>
      <c r="CB31" s="2060"/>
      <c r="CC31" s="2060"/>
      <c r="CD31" s="2060"/>
      <c r="CE31" s="2060"/>
      <c r="CF31" s="2060"/>
      <c r="CG31" s="2060"/>
      <c r="CH31" s="2060"/>
      <c r="CI31" s="2060"/>
      <c r="CJ31" s="2060"/>
      <c r="CK31" s="2060"/>
      <c r="CL31" s="2060"/>
      <c r="CM31" s="2060"/>
      <c r="CN31" s="2060"/>
      <c r="CO31" s="2060"/>
      <c r="CP31" s="2060"/>
      <c r="CQ31" s="2060"/>
      <c r="CR31" s="2060"/>
      <c r="CS31" s="2060"/>
      <c r="CT31" s="2060"/>
      <c r="CU31" s="2060"/>
      <c r="CV31" s="2060"/>
      <c r="CW31" s="2060"/>
      <c r="CX31" s="2060"/>
      <c r="CY31" s="2060"/>
      <c r="CZ31" s="2060"/>
      <c r="DA31" s="2060"/>
      <c r="DB31" s="2060"/>
      <c r="DC31" s="2060"/>
      <c r="DD31" s="2060"/>
      <c r="DE31" s="2060"/>
      <c r="DF31" s="2060"/>
      <c r="DG31" s="2060"/>
      <c r="DH31" s="2060"/>
      <c r="DI31" s="2060"/>
      <c r="DJ31" s="2060"/>
      <c r="DK31" s="2060"/>
      <c r="DL31" s="2060"/>
      <c r="DM31" s="2060"/>
      <c r="DN31" s="2060"/>
      <c r="DO31" s="2060"/>
      <c r="DP31" s="2060"/>
      <c r="DQ31" s="2060"/>
      <c r="DR31" s="2060"/>
      <c r="DS31" s="2060"/>
      <c r="DT31" s="2060"/>
      <c r="DU31" s="2060"/>
      <c r="DV31" s="2060"/>
      <c r="DW31" s="2060"/>
      <c r="DX31" s="2060"/>
      <c r="DY31" s="2060"/>
      <c r="DZ31" s="2060"/>
      <c r="EA31" s="2060"/>
      <c r="EB31" s="2060"/>
      <c r="EC31" s="2060"/>
      <c r="ED31" s="2060"/>
      <c r="EE31" s="2060"/>
      <c r="EF31" s="2060"/>
      <c r="EG31" s="2060"/>
      <c r="EH31" s="2060"/>
      <c r="EI31" s="2060"/>
      <c r="EJ31" s="2060"/>
      <c r="EK31" s="2060"/>
      <c r="EL31" s="2060"/>
      <c r="EM31" s="2060"/>
      <c r="EN31" s="2060"/>
      <c r="EO31" s="2060"/>
      <c r="EP31" s="2060"/>
      <c r="EQ31" s="2060"/>
      <c r="ER31" s="2060"/>
      <c r="ES31" s="2060"/>
      <c r="ET31" s="2060"/>
      <c r="EU31" s="2060"/>
      <c r="EV31" s="2060"/>
      <c r="EW31" s="2060"/>
      <c r="EX31" s="2060"/>
      <c r="EY31" s="2060"/>
      <c r="EZ31" s="2060"/>
      <c r="FA31" s="2060"/>
      <c r="FB31" s="2060"/>
      <c r="FC31" s="2060"/>
      <c r="FD31" s="2060"/>
      <c r="FE31" s="2060"/>
      <c r="FF31" s="2060"/>
      <c r="FG31" s="2060"/>
      <c r="FH31" s="2060"/>
      <c r="FI31" s="2060"/>
      <c r="FJ31" s="2060"/>
      <c r="FK31" s="2060"/>
      <c r="FL31" s="2060"/>
      <c r="FM31" s="2060"/>
      <c r="FN31" s="2060"/>
      <c r="FO31" s="2060"/>
      <c r="FP31" s="2060"/>
      <c r="FQ31" s="2060"/>
      <c r="FR31" s="2060"/>
      <c r="FS31" s="2060"/>
      <c r="FT31" s="2060"/>
      <c r="FU31" s="2060"/>
      <c r="FV31" s="2060"/>
      <c r="FW31" s="2060"/>
      <c r="FX31" s="2060"/>
      <c r="FY31" s="2060"/>
      <c r="FZ31" s="2060"/>
      <c r="GA31" s="2060"/>
      <c r="GB31" s="2060"/>
      <c r="GC31" s="2060"/>
      <c r="GD31" s="2060"/>
      <c r="GE31" s="2060"/>
      <c r="GF31" s="2060"/>
      <c r="GG31" s="2060"/>
      <c r="GH31" s="2060"/>
      <c r="GI31" s="2060"/>
      <c r="GJ31" s="2060"/>
      <c r="GK31" s="2060"/>
      <c r="GL31" s="2060"/>
      <c r="GM31" s="2060"/>
      <c r="GN31" s="2060"/>
      <c r="GO31" s="2060"/>
      <c r="GP31" s="2060"/>
      <c r="GQ31" s="2060"/>
      <c r="GR31" s="2060"/>
      <c r="GS31" s="2060"/>
      <c r="GT31" s="2060"/>
      <c r="GU31" s="2060"/>
      <c r="GV31" s="2060"/>
      <c r="GW31" s="2060"/>
      <c r="GX31" s="2060"/>
      <c r="GY31" s="2060"/>
      <c r="GZ31" s="2060"/>
      <c r="HA31" s="2060"/>
      <c r="HB31" s="2060"/>
      <c r="HC31" s="2060"/>
      <c r="HD31" s="2060"/>
      <c r="HE31" s="2060"/>
      <c r="HF31" s="2060"/>
      <c r="HG31" s="2060"/>
      <c r="HH31" s="2060"/>
      <c r="HI31" s="2060"/>
      <c r="HJ31" s="2060"/>
      <c r="HK31" s="2060"/>
      <c r="HL31" s="2060"/>
      <c r="HM31" s="2060"/>
      <c r="HN31" s="2060"/>
      <c r="HO31" s="2060"/>
      <c r="HP31" s="2060"/>
      <c r="HQ31" s="2060"/>
      <c r="HR31" s="2060"/>
      <c r="HS31" s="2060"/>
      <c r="HT31" s="2060"/>
      <c r="HU31" s="2060"/>
      <c r="HV31" s="2060"/>
      <c r="HW31" s="2060"/>
      <c r="HX31" s="2060"/>
      <c r="HY31" s="2060"/>
      <c r="HZ31" s="2060"/>
      <c r="IA31" s="2060"/>
      <c r="IB31" s="2060"/>
      <c r="IC31" s="2060"/>
      <c r="ID31" s="2060"/>
      <c r="IE31" s="2060"/>
      <c r="IF31" s="2060"/>
      <c r="IG31" s="2060"/>
      <c r="IH31" s="2060"/>
      <c r="II31" s="2060"/>
      <c r="IJ31" s="2060"/>
      <c r="IK31" s="2060"/>
      <c r="IL31" s="2060"/>
      <c r="IM31" s="2060"/>
      <c r="IN31" s="2060"/>
      <c r="IO31" s="2060"/>
      <c r="IP31" s="2060"/>
      <c r="IQ31" s="2060"/>
      <c r="IR31" s="2060"/>
      <c r="IS31" s="2060"/>
      <c r="IT31" s="2060"/>
      <c r="IU31" s="2060"/>
      <c r="IV31" s="2060"/>
      <c r="IW31" s="2060"/>
      <c r="IX31" s="2060"/>
      <c r="IY31" s="2060"/>
      <c r="IZ31" s="2060"/>
      <c r="JA31" s="2060"/>
      <c r="JB31" s="2060"/>
      <c r="JC31" s="2060"/>
      <c r="JD31" s="2060"/>
      <c r="JE31" s="2060"/>
      <c r="JF31" s="2060"/>
      <c r="JG31" s="2060"/>
      <c r="JH31" s="2060"/>
      <c r="JI31" s="2060"/>
      <c r="JJ31" s="2060"/>
      <c r="JK31" s="2060"/>
      <c r="JL31" s="2060"/>
      <c r="JM31" s="2060"/>
      <c r="JN31" s="2060"/>
      <c r="JO31" s="2060"/>
      <c r="JP31" s="2060"/>
      <c r="JQ31" s="2060"/>
      <c r="JR31" s="2060"/>
      <c r="JS31" s="2060"/>
      <c r="JT31" s="2060"/>
      <c r="JU31" s="2060"/>
      <c r="JV31" s="2060"/>
      <c r="JW31" s="2060"/>
      <c r="JX31" s="2060"/>
      <c r="JY31" s="2060"/>
      <c r="JZ31" s="2060"/>
      <c r="KA31" s="2060"/>
      <c r="KB31" s="2060"/>
      <c r="KC31" s="2060"/>
      <c r="KD31" s="2060"/>
      <c r="KE31" s="2060"/>
      <c r="KF31" s="2060"/>
      <c r="KG31" s="2060"/>
      <c r="KH31" s="2060"/>
      <c r="KI31" s="2060"/>
      <c r="KJ31" s="2060"/>
      <c r="KK31" s="2060"/>
      <c r="KL31" s="2060"/>
      <c r="KM31" s="2060"/>
      <c r="KN31" s="2060"/>
      <c r="KO31" s="2060"/>
      <c r="KP31" s="2060"/>
      <c r="KQ31" s="2060"/>
      <c r="KR31" s="2060"/>
      <c r="KS31" s="2060"/>
      <c r="KT31" s="2060"/>
      <c r="KU31" s="2060"/>
      <c r="KV31" s="2060"/>
      <c r="KW31" s="2060"/>
      <c r="KX31" s="2060"/>
      <c r="KY31" s="2060"/>
      <c r="KZ31" s="2060"/>
      <c r="LA31" s="2060"/>
      <c r="LB31" s="2060"/>
      <c r="LC31" s="2060"/>
      <c r="LD31" s="2060"/>
      <c r="LE31" s="2060"/>
      <c r="LF31" s="2060"/>
      <c r="LG31" s="2060"/>
      <c r="LH31" s="2060"/>
    </row>
    <row r="32" spans="1:320" s="449" customFormat="1" ht="13.9">
      <c r="A32" s="269" t="str">
        <f t="shared" si="7"/>
        <v>n</v>
      </c>
      <c r="B32" s="589"/>
      <c r="C32" s="2060"/>
      <c r="D32" s="779">
        <f t="shared" ca="1" si="0"/>
        <v>1.1300000000000001</v>
      </c>
      <c r="E32" s="772" t="str">
        <f>IF(OR('WACC and TIC Inputs'!$D141="x",$G32=""),"--",_xll.ciqfunctions.udf.CIQ($G32,"IQ_COMPANY_NAME"))</f>
        <v>--</v>
      </c>
      <c r="F32" s="1503"/>
      <c r="G32" s="2154"/>
      <c r="H32" s="1066"/>
      <c r="I32" s="256" t="str">
        <f>IF($E32="--","--",IF(_xll.ciqfunctions.udf.CIQ($G32,"IQ_COUNTRY_NAME")=0,"n/a",_xll.ciqfunctions.udf.CIQ($G32,"IQ_COUNTRY_NAME")))</f>
        <v>--</v>
      </c>
      <c r="J32" s="2060" t="str">
        <f>IF($E32="--","--",IF(OutputCurrency="Filing",_xll.ciqfunctions.udf.CIQ($G32,"IQ_FILING_CURRENCY",2000,Valuation_Date_GC),OutputCurrency))</f>
        <v>--</v>
      </c>
      <c r="K32" s="2163" t="str">
        <f t="shared" si="1"/>
        <v>--</v>
      </c>
      <c r="L32" s="2164"/>
      <c r="M32" s="2165"/>
      <c r="N32" s="2060" t="str">
        <f>IF($E32="--","--",_xll.ciqfunctions.udf.CIQ($G32,"IQ_TRADING_CURRENCY",Valuation_Date_GC))</f>
        <v>--</v>
      </c>
      <c r="O32" s="2060" t="str">
        <f t="shared" si="11"/>
        <v>--</v>
      </c>
      <c r="P32" s="2060" t="str">
        <f>IF(E32="--","--",IF(OR(LEFT(_xll.ciqfunctions.udf.CIQ(G32,"IQ_SP_LC_LT"),1)="(",_xll.ciqfunctions.udf.CIQ(G32,"IQ_SP_LC_LT")=0),"n/a",_xll.ciqfunctions.udf.CIQ(G32,"IQ_SP_LC_LT")))</f>
        <v>--</v>
      </c>
      <c r="Q32" s="2060" t="str">
        <f>IF($E32="--","--",_xll.ciqfunctions.udf.CIQ($G32,"IQ_PRIMARY_INDUSTRY"))</f>
        <v>--</v>
      </c>
      <c r="R32" s="2060"/>
      <c r="S32" s="44" t="str">
        <f t="shared" si="12"/>
        <v>--</v>
      </c>
      <c r="T32" s="2060" t="str">
        <f t="shared" si="3"/>
        <v>--</v>
      </c>
      <c r="U32" s="2060" t="str">
        <f t="shared" si="8"/>
        <v>--</v>
      </c>
      <c r="V32" s="2060"/>
      <c r="W32" s="2060"/>
      <c r="X32" s="2060"/>
      <c r="Y32" s="2060"/>
      <c r="Z32" s="1938"/>
      <c r="AA32" s="1938" t="s">
        <v>368</v>
      </c>
      <c r="AB32" s="1938" t="str">
        <f t="shared" si="9"/>
        <v>zzzz</v>
      </c>
      <c r="AC32" s="1938" t="s">
        <v>369</v>
      </c>
      <c r="AD32" s="2117" t="str">
        <f t="shared" si="4"/>
        <v/>
      </c>
      <c r="AE32" s="2060"/>
      <c r="AF32" s="43" t="str">
        <f t="shared" si="5"/>
        <v>--</v>
      </c>
      <c r="AG32" s="43" t="str">
        <f t="shared" si="6"/>
        <v>--</v>
      </c>
      <c r="AH32" s="2060"/>
      <c r="AI32" s="2060"/>
      <c r="AJ32" s="160" t="s">
        <v>386</v>
      </c>
      <c r="AK32" s="2060"/>
      <c r="AL32" s="2060"/>
      <c r="AM32" s="2060"/>
      <c r="AN32" s="2060"/>
      <c r="AO32" s="2060" t="s">
        <v>387</v>
      </c>
      <c r="AP32" s="89"/>
      <c r="AQ32" s="89"/>
      <c r="AR32" s="2060"/>
      <c r="AS32" s="98" t="s">
        <v>139</v>
      </c>
      <c r="AT32" s="80" t="s">
        <v>140</v>
      </c>
      <c r="AU32" s="80" t="s">
        <v>140</v>
      </c>
      <c r="AV32" s="80" t="s">
        <v>141</v>
      </c>
      <c r="AW32" s="81" t="s">
        <v>142</v>
      </c>
      <c r="AX32" s="78" t="s">
        <v>143</v>
      </c>
      <c r="AY32" s="78" t="s">
        <v>131</v>
      </c>
      <c r="AZ32" s="78" t="s">
        <v>144</v>
      </c>
      <c r="BA32" s="210" t="s">
        <v>388</v>
      </c>
      <c r="BB32" s="78" t="s">
        <v>389</v>
      </c>
      <c r="BC32" s="2060"/>
      <c r="BD32" s="2060"/>
      <c r="BE32" s="2060"/>
      <c r="BF32" s="2060"/>
      <c r="BG32" s="2060"/>
      <c r="BH32" s="2060"/>
      <c r="BI32" s="2060"/>
      <c r="BJ32" s="2060"/>
      <c r="BK32" s="2060"/>
      <c r="BL32" s="2060"/>
      <c r="BM32" s="2060"/>
      <c r="BN32" s="2060"/>
      <c r="BO32" s="2060"/>
      <c r="BP32" s="2060"/>
      <c r="BQ32" s="2060"/>
      <c r="BR32" s="2060"/>
      <c r="BS32" s="2060"/>
      <c r="BT32" s="2060"/>
      <c r="BU32" s="2060"/>
      <c r="BV32" s="2060"/>
      <c r="BW32" s="2060"/>
      <c r="BX32" s="2060"/>
      <c r="BY32" s="2060"/>
      <c r="BZ32" s="2060"/>
      <c r="CA32" s="2060"/>
      <c r="CB32" s="2060"/>
      <c r="CC32" s="2060"/>
      <c r="CD32" s="2060"/>
      <c r="CE32" s="2060"/>
      <c r="CF32" s="2060"/>
      <c r="CG32" s="2060"/>
      <c r="CH32" s="2060"/>
      <c r="CI32" s="2060"/>
      <c r="CJ32" s="2060"/>
      <c r="CK32" s="2060"/>
      <c r="CL32" s="2060"/>
      <c r="CM32" s="2060"/>
      <c r="CN32" s="2060"/>
      <c r="CO32" s="2060"/>
      <c r="CP32" s="2060"/>
      <c r="CQ32" s="2060"/>
      <c r="CR32" s="2060"/>
      <c r="CS32" s="2060"/>
      <c r="CT32" s="2060"/>
      <c r="CU32" s="2060"/>
      <c r="CV32" s="2060"/>
      <c r="CW32" s="2060"/>
      <c r="CX32" s="2060"/>
      <c r="CY32" s="2060"/>
      <c r="CZ32" s="2060"/>
      <c r="DA32" s="2060"/>
      <c r="DB32" s="2060"/>
      <c r="DC32" s="2060"/>
      <c r="DD32" s="2060"/>
      <c r="DE32" s="2060"/>
      <c r="DF32" s="2060"/>
      <c r="DG32" s="2060"/>
      <c r="DH32" s="2060"/>
      <c r="DI32" s="2060"/>
      <c r="DJ32" s="2060"/>
      <c r="DK32" s="2060"/>
      <c r="DL32" s="2060"/>
      <c r="DM32" s="2060"/>
      <c r="DN32" s="2060"/>
      <c r="DO32" s="2060"/>
      <c r="DP32" s="2060"/>
      <c r="DQ32" s="2060"/>
      <c r="DR32" s="2060"/>
      <c r="DS32" s="2060"/>
      <c r="DT32" s="2060"/>
      <c r="DU32" s="2060"/>
      <c r="DV32" s="2060"/>
      <c r="DW32" s="2060"/>
      <c r="DX32" s="2060"/>
      <c r="DY32" s="2060"/>
      <c r="DZ32" s="2060"/>
      <c r="EA32" s="2060"/>
      <c r="EB32" s="2060"/>
      <c r="EC32" s="2060"/>
      <c r="ED32" s="2060"/>
      <c r="EE32" s="2060"/>
      <c r="EF32" s="2060"/>
      <c r="EG32" s="2060"/>
      <c r="EH32" s="2060"/>
      <c r="EI32" s="2060"/>
      <c r="EJ32" s="2060"/>
      <c r="EK32" s="2060"/>
      <c r="EL32" s="2060"/>
      <c r="EM32" s="2060"/>
      <c r="EN32" s="2060"/>
      <c r="EO32" s="2060"/>
      <c r="EP32" s="2060"/>
      <c r="EQ32" s="2060"/>
      <c r="ER32" s="2060"/>
      <c r="ES32" s="2060"/>
      <c r="ET32" s="2060"/>
      <c r="EU32" s="2060"/>
      <c r="EV32" s="2060"/>
      <c r="EW32" s="2060"/>
      <c r="EX32" s="2060"/>
      <c r="EY32" s="2060"/>
      <c r="EZ32" s="2060"/>
      <c r="FA32" s="2060"/>
      <c r="FB32" s="2060"/>
      <c r="FC32" s="2060"/>
      <c r="FD32" s="2060"/>
      <c r="FE32" s="2060"/>
      <c r="FF32" s="2060"/>
      <c r="FG32" s="2060"/>
      <c r="FH32" s="2060"/>
      <c r="FI32" s="2060"/>
      <c r="FJ32" s="2060"/>
      <c r="FK32" s="2060"/>
      <c r="FL32" s="2060"/>
      <c r="FM32" s="2060"/>
      <c r="FN32" s="2060"/>
      <c r="FO32" s="2060"/>
      <c r="FP32" s="2060"/>
      <c r="FQ32" s="2060"/>
      <c r="FR32" s="2060"/>
      <c r="FS32" s="2060"/>
      <c r="FT32" s="2060"/>
      <c r="FU32" s="2060"/>
      <c r="FV32" s="2060"/>
      <c r="FW32" s="2060"/>
      <c r="FX32" s="2060"/>
      <c r="FY32" s="2060"/>
      <c r="FZ32" s="2060"/>
      <c r="GA32" s="2060"/>
      <c r="GB32" s="2060"/>
      <c r="GC32" s="2060"/>
      <c r="GD32" s="2060"/>
      <c r="GE32" s="2060"/>
      <c r="GF32" s="2060"/>
      <c r="GG32" s="2060"/>
      <c r="GH32" s="2060"/>
      <c r="GI32" s="2060"/>
      <c r="GJ32" s="2060"/>
      <c r="GK32" s="2060"/>
      <c r="GL32" s="2060"/>
      <c r="GM32" s="2060"/>
      <c r="GN32" s="2060"/>
      <c r="GO32" s="2060"/>
      <c r="GP32" s="2060"/>
      <c r="GQ32" s="2060"/>
      <c r="GR32" s="2060"/>
      <c r="GS32" s="2060"/>
      <c r="GT32" s="2060"/>
      <c r="GU32" s="2060"/>
      <c r="GV32" s="2060"/>
      <c r="GW32" s="2060"/>
      <c r="GX32" s="2060"/>
      <c r="GY32" s="2060"/>
      <c r="GZ32" s="2060"/>
      <c r="HA32" s="2060"/>
      <c r="HB32" s="2060"/>
      <c r="HC32" s="2060"/>
      <c r="HD32" s="2060"/>
      <c r="HE32" s="2060"/>
      <c r="HF32" s="2060"/>
      <c r="HG32" s="2060"/>
      <c r="HH32" s="2060"/>
      <c r="HI32" s="2060"/>
      <c r="HJ32" s="2060"/>
      <c r="HK32" s="2060"/>
      <c r="HL32" s="2060"/>
      <c r="HM32" s="2060"/>
      <c r="HN32" s="2060"/>
      <c r="HO32" s="2060"/>
      <c r="HP32" s="2060"/>
      <c r="HQ32" s="2060"/>
      <c r="HR32" s="2060"/>
      <c r="HS32" s="2060"/>
      <c r="HT32" s="2060"/>
      <c r="HU32" s="2060"/>
      <c r="HV32" s="2060"/>
      <c r="HW32" s="2060"/>
      <c r="HX32" s="2060"/>
      <c r="HY32" s="2060"/>
      <c r="HZ32" s="2060"/>
      <c r="IA32" s="2060"/>
      <c r="IB32" s="2060"/>
      <c r="IC32" s="2060"/>
      <c r="ID32" s="2060"/>
      <c r="IE32" s="2060"/>
      <c r="IF32" s="2060"/>
      <c r="IG32" s="2060"/>
      <c r="IH32" s="2060"/>
      <c r="II32" s="2060"/>
      <c r="IJ32" s="2060"/>
      <c r="IK32" s="2060"/>
      <c r="IL32" s="2060"/>
      <c r="IM32" s="2060"/>
      <c r="IN32" s="2060"/>
      <c r="IO32" s="2060"/>
      <c r="IP32" s="2060"/>
      <c r="IQ32" s="2060"/>
      <c r="IR32" s="2060"/>
      <c r="IS32" s="2060"/>
      <c r="IT32" s="2060"/>
      <c r="IU32" s="2060"/>
      <c r="IV32" s="2060"/>
      <c r="IW32" s="2060"/>
      <c r="IX32" s="2060"/>
      <c r="IY32" s="2060"/>
      <c r="IZ32" s="2060"/>
      <c r="JA32" s="2060"/>
      <c r="JB32" s="2060"/>
      <c r="JC32" s="2060"/>
      <c r="JD32" s="2060"/>
      <c r="JE32" s="2060"/>
      <c r="JF32" s="2060"/>
      <c r="JG32" s="2060"/>
      <c r="JH32" s="2060"/>
      <c r="JI32" s="2060"/>
      <c r="JJ32" s="2060"/>
      <c r="JK32" s="2060"/>
      <c r="JL32" s="2060"/>
      <c r="JM32" s="2060"/>
      <c r="JN32" s="2060"/>
      <c r="JO32" s="2060"/>
      <c r="JP32" s="2060"/>
      <c r="JQ32" s="2060"/>
      <c r="JR32" s="2060"/>
      <c r="JS32" s="2060"/>
      <c r="JT32" s="2060"/>
      <c r="JU32" s="2060"/>
      <c r="JV32" s="2060"/>
      <c r="JW32" s="2060"/>
      <c r="JX32" s="2060"/>
      <c r="JY32" s="2060"/>
      <c r="JZ32" s="2060"/>
      <c r="KA32" s="2060"/>
      <c r="KB32" s="2060"/>
      <c r="KC32" s="2060"/>
      <c r="KD32" s="2060"/>
      <c r="KE32" s="2060"/>
      <c r="KF32" s="2060"/>
      <c r="KG32" s="2060"/>
      <c r="KH32" s="2060"/>
      <c r="KI32" s="2060"/>
      <c r="KJ32" s="2060"/>
      <c r="KK32" s="2060"/>
      <c r="KL32" s="2060"/>
      <c r="KM32" s="2060"/>
      <c r="KN32" s="2060"/>
      <c r="KO32" s="2060"/>
      <c r="KP32" s="2060"/>
      <c r="KQ32" s="2060"/>
      <c r="KR32" s="2060"/>
      <c r="KS32" s="2060"/>
      <c r="KT32" s="2060"/>
      <c r="KU32" s="2060"/>
      <c r="KV32" s="2060"/>
      <c r="KW32" s="2060"/>
      <c r="KX32" s="2060"/>
      <c r="KY32" s="2060"/>
      <c r="KZ32" s="2060"/>
      <c r="LA32" s="2060"/>
      <c r="LB32" s="2060"/>
      <c r="LC32" s="2060"/>
      <c r="LD32" s="2060"/>
      <c r="LE32" s="2060"/>
      <c r="LF32" s="2060"/>
      <c r="LG32" s="2060"/>
      <c r="LH32" s="2060"/>
    </row>
    <row r="33" spans="1:320" s="646" customFormat="1" ht="13.9">
      <c r="A33" s="269" t="str">
        <f t="shared" si="7"/>
        <v>n</v>
      </c>
      <c r="B33" s="588"/>
      <c r="C33" s="2060"/>
      <c r="D33" s="779">
        <f t="shared" ca="1" si="0"/>
        <v>1.1400000000000001</v>
      </c>
      <c r="E33" s="772" t="str">
        <f>IF(OR('WACC and TIC Inputs'!$D142="x",$G33=""),"--",_xll.ciqfunctions.udf.CIQ($G33,"IQ_COMPANY_NAME"))</f>
        <v>--</v>
      </c>
      <c r="F33" s="1503"/>
      <c r="G33" s="2154"/>
      <c r="H33" s="1066"/>
      <c r="I33" s="256" t="str">
        <f>IF($E33="--","--",IF(_xll.ciqfunctions.udf.CIQ($G33,"IQ_COUNTRY_NAME")=0,"n/a",_xll.ciqfunctions.udf.CIQ($G33,"IQ_COUNTRY_NAME")))</f>
        <v>--</v>
      </c>
      <c r="J33" s="2060" t="str">
        <f>IF($E33="--","--",IF(OutputCurrency="Filing",_xll.ciqfunctions.udf.CIQ($G33,"IQ_FILING_CURRENCY",2000,Valuation_Date_GC),OutputCurrency))</f>
        <v>--</v>
      </c>
      <c r="K33" s="2163" t="str">
        <f t="shared" si="1"/>
        <v>--</v>
      </c>
      <c r="L33" s="2164"/>
      <c r="M33" s="2165"/>
      <c r="N33" s="2060" t="str">
        <f>IF($E33="--","--",_xll.ciqfunctions.udf.CIQ($G33,"IQ_TRADING_CURRENCY",Valuation_Date_GC))</f>
        <v>--</v>
      </c>
      <c r="O33" s="2060" t="str">
        <f t="shared" si="11"/>
        <v>--</v>
      </c>
      <c r="P33" s="2060" t="str">
        <f>IF(E33="--","--",IF(OR(LEFT(_xll.ciqfunctions.udf.CIQ(G33,"IQ_SP_LC_LT"),1)="(",_xll.ciqfunctions.udf.CIQ(G33,"IQ_SP_LC_LT")=0),"n/a",_xll.ciqfunctions.udf.CIQ(G33,"IQ_SP_LC_LT")))</f>
        <v>--</v>
      </c>
      <c r="Q33" s="2060" t="str">
        <f>IF($E33="--","--",_xll.ciqfunctions.udf.CIQ($G33,"IQ_PRIMARY_INDUSTRY"))</f>
        <v>--</v>
      </c>
      <c r="R33" s="2060"/>
      <c r="S33" s="44" t="str">
        <f t="shared" si="12"/>
        <v>--</v>
      </c>
      <c r="T33" s="2060" t="str">
        <f t="shared" si="3"/>
        <v>--</v>
      </c>
      <c r="U33" s="2060" t="str">
        <f t="shared" si="8"/>
        <v>--</v>
      </c>
      <c r="V33" s="2060"/>
      <c r="W33" s="2060"/>
      <c r="X33" s="2060"/>
      <c r="Y33" s="2060"/>
      <c r="Z33" s="1938"/>
      <c r="AA33" s="1938" t="s">
        <v>368</v>
      </c>
      <c r="AB33" s="1938" t="str">
        <f t="shared" si="9"/>
        <v>zzzz</v>
      </c>
      <c r="AC33" s="1938" t="s">
        <v>369</v>
      </c>
      <c r="AD33" s="2117" t="str">
        <f t="shared" si="4"/>
        <v/>
      </c>
      <c r="AE33" s="2060"/>
      <c r="AF33" s="43" t="str">
        <f t="shared" si="5"/>
        <v>--</v>
      </c>
      <c r="AG33" s="43" t="str">
        <f t="shared" si="6"/>
        <v>--</v>
      </c>
      <c r="AH33" s="2060"/>
      <c r="AI33" s="2060"/>
      <c r="AJ33" s="2060"/>
      <c r="AK33" s="2060"/>
      <c r="AL33" s="2060"/>
      <c r="AM33" s="2060"/>
      <c r="AN33" s="2060"/>
      <c r="AO33" s="2060" t="s">
        <v>390</v>
      </c>
      <c r="AP33" s="89"/>
      <c r="AQ33" s="89"/>
      <c r="AR33" s="2060"/>
      <c r="AS33" s="98" t="s">
        <v>139</v>
      </c>
      <c r="AT33" s="80" t="s">
        <v>140</v>
      </c>
      <c r="AU33" s="80" t="s">
        <v>140</v>
      </c>
      <c r="AV33" s="80" t="s">
        <v>391</v>
      </c>
      <c r="AW33" s="81" t="s">
        <v>392</v>
      </c>
      <c r="AX33" s="78" t="s">
        <v>143</v>
      </c>
      <c r="AY33" s="78" t="s">
        <v>131</v>
      </c>
      <c r="AZ33" s="78" t="s">
        <v>144</v>
      </c>
      <c r="BA33" s="78" t="s">
        <v>393</v>
      </c>
      <c r="BB33" s="78" t="s">
        <v>394</v>
      </c>
      <c r="BC33" s="2060"/>
      <c r="BD33" s="2060"/>
      <c r="BE33" s="2060"/>
      <c r="BF33" s="2060"/>
      <c r="BG33" s="2060"/>
      <c r="BH33" s="2060"/>
      <c r="BI33" s="2060"/>
      <c r="BJ33" s="2060"/>
      <c r="BK33" s="2060"/>
      <c r="BL33" s="2060"/>
      <c r="BM33" s="2060"/>
      <c r="BN33" s="2060"/>
      <c r="BO33" s="2060"/>
      <c r="BP33" s="2060"/>
      <c r="BQ33" s="2060"/>
      <c r="BR33" s="2060"/>
      <c r="BS33" s="2060"/>
      <c r="BT33" s="2060"/>
      <c r="BU33" s="2060"/>
      <c r="BV33" s="2060"/>
      <c r="BW33" s="2060"/>
      <c r="BX33" s="2060"/>
      <c r="BY33" s="2060"/>
      <c r="BZ33" s="2060"/>
      <c r="CA33" s="2060"/>
      <c r="CB33" s="2060"/>
      <c r="CC33" s="2060"/>
      <c r="CD33" s="2060"/>
      <c r="CE33" s="2060"/>
      <c r="CF33" s="2060"/>
      <c r="CG33" s="2060"/>
      <c r="CH33" s="2060"/>
      <c r="CI33" s="2060"/>
      <c r="CJ33" s="2060"/>
      <c r="CK33" s="2060"/>
      <c r="CL33" s="2060"/>
      <c r="CM33" s="2060"/>
      <c r="CN33" s="2060"/>
      <c r="CO33" s="2060"/>
      <c r="CP33" s="2060"/>
      <c r="CQ33" s="2060"/>
      <c r="CR33" s="2060"/>
      <c r="CS33" s="2060"/>
      <c r="CT33" s="2060"/>
      <c r="CU33" s="2060"/>
      <c r="CV33" s="2060"/>
      <c r="CW33" s="2060"/>
      <c r="CX33" s="2060"/>
      <c r="CY33" s="2060"/>
      <c r="CZ33" s="2060"/>
      <c r="DA33" s="2060"/>
      <c r="DB33" s="2060"/>
      <c r="DC33" s="2060"/>
      <c r="DD33" s="2060"/>
      <c r="DE33" s="2060"/>
      <c r="DF33" s="2060"/>
      <c r="DG33" s="2060"/>
      <c r="DH33" s="2060"/>
      <c r="DI33" s="2060"/>
      <c r="DJ33" s="2060"/>
      <c r="DK33" s="2060"/>
      <c r="DL33" s="2060"/>
      <c r="DM33" s="2060"/>
      <c r="DN33" s="2060"/>
      <c r="DO33" s="2060"/>
      <c r="DP33" s="2060"/>
      <c r="DQ33" s="2060"/>
      <c r="DR33" s="2060"/>
      <c r="DS33" s="2060"/>
      <c r="DT33" s="2060"/>
      <c r="DU33" s="2060"/>
      <c r="DV33" s="2060"/>
      <c r="DW33" s="2060"/>
      <c r="DX33" s="2060"/>
      <c r="DY33" s="2060"/>
      <c r="DZ33" s="2060"/>
      <c r="EA33" s="2060"/>
      <c r="EB33" s="2060"/>
      <c r="EC33" s="2060"/>
      <c r="ED33" s="2060"/>
      <c r="EE33" s="2060"/>
      <c r="EF33" s="2060"/>
      <c r="EG33" s="2060"/>
      <c r="EH33" s="2060"/>
      <c r="EI33" s="2060"/>
      <c r="EJ33" s="2060"/>
      <c r="EK33" s="2060"/>
      <c r="EL33" s="2060"/>
      <c r="EM33" s="2060"/>
      <c r="EN33" s="2060"/>
      <c r="EO33" s="2060"/>
      <c r="EP33" s="2060"/>
      <c r="EQ33" s="2060"/>
      <c r="ER33" s="2060"/>
      <c r="ES33" s="2060"/>
      <c r="ET33" s="2060"/>
      <c r="EU33" s="2060"/>
      <c r="EV33" s="2060"/>
      <c r="EW33" s="2060"/>
      <c r="EX33" s="2060"/>
      <c r="EY33" s="2060"/>
      <c r="EZ33" s="2060"/>
      <c r="FA33" s="2060"/>
      <c r="FB33" s="2060"/>
      <c r="FC33" s="2060"/>
      <c r="FD33" s="2060"/>
      <c r="FE33" s="2060"/>
      <c r="FF33" s="2060"/>
      <c r="FG33" s="2060"/>
      <c r="FH33" s="2060"/>
      <c r="FI33" s="2060"/>
      <c r="FJ33" s="2060"/>
      <c r="FK33" s="2060"/>
      <c r="FL33" s="2060"/>
      <c r="FM33" s="2060"/>
      <c r="FN33" s="2060"/>
      <c r="FO33" s="2060"/>
      <c r="FP33" s="2060"/>
      <c r="FQ33" s="2060"/>
      <c r="FR33" s="2060"/>
      <c r="FS33" s="2060"/>
      <c r="FT33" s="2060"/>
      <c r="FU33" s="2060"/>
      <c r="FV33" s="2060"/>
      <c r="FW33" s="2060"/>
      <c r="FX33" s="2060"/>
      <c r="FY33" s="2060"/>
      <c r="FZ33" s="2060"/>
      <c r="GA33" s="2060"/>
      <c r="GB33" s="2060"/>
      <c r="GC33" s="2060"/>
      <c r="GD33" s="2060"/>
      <c r="GE33" s="2060"/>
      <c r="GF33" s="2060"/>
      <c r="GG33" s="2060"/>
      <c r="GH33" s="2060"/>
      <c r="GI33" s="2060"/>
      <c r="GJ33" s="2060"/>
      <c r="GK33" s="2060"/>
      <c r="GL33" s="2060"/>
      <c r="GM33" s="2060"/>
      <c r="GN33" s="2060"/>
      <c r="GO33" s="2060"/>
      <c r="GP33" s="2060"/>
      <c r="GQ33" s="2060"/>
      <c r="GR33" s="2060"/>
      <c r="GS33" s="2060"/>
      <c r="GT33" s="2060"/>
      <c r="GU33" s="2060"/>
      <c r="GV33" s="2060"/>
      <c r="GW33" s="2060"/>
      <c r="GX33" s="2060"/>
      <c r="GY33" s="2060"/>
      <c r="GZ33" s="2060"/>
      <c r="HA33" s="2060"/>
      <c r="HB33" s="2060"/>
      <c r="HC33" s="2060"/>
      <c r="HD33" s="2060"/>
      <c r="HE33" s="2060"/>
      <c r="HF33" s="2060"/>
      <c r="HG33" s="2060"/>
      <c r="HH33" s="2060"/>
      <c r="HI33" s="2060"/>
      <c r="HJ33" s="2060"/>
      <c r="HK33" s="2060"/>
      <c r="HL33" s="2060"/>
      <c r="HM33" s="2060"/>
      <c r="HN33" s="2060"/>
      <c r="HO33" s="2060"/>
      <c r="HP33" s="2060"/>
      <c r="HQ33" s="2060"/>
      <c r="HR33" s="2060"/>
      <c r="HS33" s="2060"/>
      <c r="HT33" s="2060"/>
      <c r="HU33" s="2060"/>
      <c r="HV33" s="2060"/>
      <c r="HW33" s="2060"/>
      <c r="HX33" s="2060"/>
      <c r="HY33" s="2060"/>
      <c r="HZ33" s="2060"/>
      <c r="IA33" s="2060"/>
      <c r="IB33" s="2060"/>
      <c r="IC33" s="2060"/>
      <c r="ID33" s="2060"/>
      <c r="IE33" s="2060"/>
      <c r="IF33" s="2060"/>
      <c r="IG33" s="2060"/>
      <c r="IH33" s="2060"/>
      <c r="II33" s="2060"/>
      <c r="IJ33" s="2060"/>
      <c r="IK33" s="2060"/>
      <c r="IL33" s="2060"/>
      <c r="IM33" s="2060"/>
      <c r="IN33" s="2060"/>
      <c r="IO33" s="2060"/>
      <c r="IP33" s="2060"/>
      <c r="IQ33" s="2060"/>
      <c r="IR33" s="2060"/>
      <c r="IS33" s="2060"/>
      <c r="IT33" s="2060"/>
      <c r="IU33" s="2060"/>
      <c r="IV33" s="2060"/>
      <c r="IW33" s="2060"/>
      <c r="IX33" s="2060"/>
      <c r="IY33" s="2060"/>
      <c r="IZ33" s="2060"/>
      <c r="JA33" s="2060"/>
      <c r="JB33" s="2060"/>
      <c r="JC33" s="2060"/>
      <c r="JD33" s="2060"/>
      <c r="JE33" s="2060"/>
      <c r="JF33" s="2060"/>
      <c r="JG33" s="2060"/>
      <c r="JH33" s="2060"/>
      <c r="JI33" s="2060"/>
      <c r="JJ33" s="2060"/>
      <c r="JK33" s="2060"/>
      <c r="JL33" s="2060"/>
      <c r="JM33" s="2060"/>
      <c r="JN33" s="2060"/>
      <c r="JO33" s="2060"/>
      <c r="JP33" s="2060"/>
      <c r="JQ33" s="2060"/>
      <c r="JR33" s="2060"/>
      <c r="JS33" s="2060"/>
      <c r="JT33" s="2060"/>
      <c r="JU33" s="2060"/>
      <c r="JV33" s="2060"/>
      <c r="JW33" s="2060"/>
      <c r="JX33" s="2060"/>
      <c r="JY33" s="2060"/>
      <c r="JZ33" s="2060"/>
      <c r="KA33" s="2060"/>
      <c r="KB33" s="2060"/>
      <c r="KC33" s="2060"/>
      <c r="KD33" s="2060"/>
      <c r="KE33" s="2060"/>
      <c r="KF33" s="2060"/>
      <c r="KG33" s="2060"/>
      <c r="KH33" s="2060"/>
      <c r="KI33" s="2060"/>
      <c r="KJ33" s="2060"/>
      <c r="KK33" s="2060"/>
      <c r="KL33" s="2060"/>
      <c r="KM33" s="2060"/>
      <c r="KN33" s="2060"/>
      <c r="KO33" s="2060"/>
      <c r="KP33" s="2060"/>
      <c r="KQ33" s="2060"/>
      <c r="KR33" s="2060"/>
      <c r="KS33" s="2060"/>
      <c r="KT33" s="2060"/>
      <c r="KU33" s="2060"/>
      <c r="KV33" s="2060"/>
      <c r="KW33" s="2060"/>
      <c r="KX33" s="2060"/>
      <c r="KY33" s="2060"/>
      <c r="KZ33" s="2060"/>
      <c r="LA33" s="2060"/>
      <c r="LB33" s="2060"/>
      <c r="LC33" s="2060"/>
      <c r="LD33" s="2060"/>
      <c r="LE33" s="2060"/>
      <c r="LF33" s="2060"/>
      <c r="LG33" s="2060"/>
      <c r="LH33" s="2060"/>
    </row>
    <row r="34" spans="1:320" s="1499" customFormat="1" ht="13.9">
      <c r="A34" s="269" t="str">
        <f t="shared" si="7"/>
        <v>n</v>
      </c>
      <c r="B34" s="588"/>
      <c r="C34" s="2060"/>
      <c r="D34" s="779">
        <f t="shared" ca="1" si="0"/>
        <v>1.1500000000000001</v>
      </c>
      <c r="E34" s="772" t="str">
        <f>IF(OR('WACC and TIC Inputs'!$D143="x",$G34=""),"--",_xll.ciqfunctions.udf.CIQ($G34,"IQ_COMPANY_NAME"))</f>
        <v>--</v>
      </c>
      <c r="F34" s="1503"/>
      <c r="G34" s="2154"/>
      <c r="H34" s="1066"/>
      <c r="I34" s="256" t="str">
        <f>IF($E34="--","--",IF(_xll.ciqfunctions.udf.CIQ($G34,"IQ_COUNTRY_NAME")=0,"n/a",_xll.ciqfunctions.udf.CIQ($G34,"IQ_COUNTRY_NAME")))</f>
        <v>--</v>
      </c>
      <c r="J34" s="2060" t="str">
        <f>IF($E34="--","--",IF(OutputCurrency="Filing",_xll.ciqfunctions.udf.CIQ($G34,"IQ_FILING_CURRENCY",2000,Valuation_Date_GC),OutputCurrency))</f>
        <v>--</v>
      </c>
      <c r="K34" s="2163" t="str">
        <f t="shared" si="1"/>
        <v>--</v>
      </c>
      <c r="L34" s="2164"/>
      <c r="M34" s="2165"/>
      <c r="N34" s="2060" t="str">
        <f>IF($E34="--","--",_xll.ciqfunctions.udf.CIQ($G34,"IQ_TRADING_CURRENCY",Valuation_Date_GC))</f>
        <v>--</v>
      </c>
      <c r="O34" s="2060" t="str">
        <f t="shared" si="11"/>
        <v>--</v>
      </c>
      <c r="P34" s="2060" t="str">
        <f>IF(E34="--","--",IF(OR(LEFT(_xll.ciqfunctions.udf.CIQ(G34,"IQ_SP_LC_LT"),1)="(",_xll.ciqfunctions.udf.CIQ(G34,"IQ_SP_LC_LT")=0),"n/a",_xll.ciqfunctions.udf.CIQ(G34,"IQ_SP_LC_LT")))</f>
        <v>--</v>
      </c>
      <c r="Q34" s="2060" t="str">
        <f>IF($E34="--","--",_xll.ciqfunctions.udf.CIQ($G34,"IQ_PRIMARY_INDUSTRY"))</f>
        <v>--</v>
      </c>
      <c r="R34" s="2060"/>
      <c r="S34" s="44" t="str">
        <f t="shared" si="12"/>
        <v>--</v>
      </c>
      <c r="T34" s="2060" t="str">
        <f t="shared" si="3"/>
        <v>--</v>
      </c>
      <c r="U34" s="2060" t="str">
        <f t="shared" si="8"/>
        <v>--</v>
      </c>
      <c r="V34" s="2060"/>
      <c r="W34" s="2060"/>
      <c r="X34" s="2060"/>
      <c r="Y34" s="2060"/>
      <c r="Z34" s="1938"/>
      <c r="AA34" s="1938" t="s">
        <v>368</v>
      </c>
      <c r="AB34" s="1938" t="str">
        <f t="shared" si="9"/>
        <v>zzzz</v>
      </c>
      <c r="AC34" s="1938" t="s">
        <v>369</v>
      </c>
      <c r="AD34" s="2117" t="str">
        <f t="shared" si="4"/>
        <v/>
      </c>
      <c r="AE34" s="2060"/>
      <c r="AF34" s="43" t="str">
        <f t="shared" si="5"/>
        <v>--</v>
      </c>
      <c r="AG34" s="43" t="str">
        <f t="shared" si="6"/>
        <v>--</v>
      </c>
      <c r="AH34" s="2060"/>
      <c r="AI34" s="2060"/>
      <c r="AJ34" s="2060"/>
      <c r="AK34" s="2060"/>
      <c r="AL34" s="2060"/>
      <c r="AM34" s="2060"/>
      <c r="AN34" s="2060"/>
      <c r="AO34" s="2060" t="s">
        <v>395</v>
      </c>
      <c r="AP34" s="89"/>
      <c r="AQ34" s="89"/>
      <c r="AR34" s="2060"/>
      <c r="AS34" s="98" t="s">
        <v>396</v>
      </c>
      <c r="AT34" s="80" t="s">
        <v>397</v>
      </c>
      <c r="AU34" s="80" t="s">
        <v>162</v>
      </c>
      <c r="AV34" s="80" t="s">
        <v>398</v>
      </c>
      <c r="AW34" s="81" t="str">
        <f>"IQ20246634"</f>
        <v>IQ20246634</v>
      </c>
      <c r="AX34" s="78" t="s">
        <v>233</v>
      </c>
      <c r="AY34" s="78" t="s">
        <v>233</v>
      </c>
      <c r="AZ34" s="78" t="s">
        <v>232</v>
      </c>
      <c r="BA34" s="210" t="s">
        <v>399</v>
      </c>
      <c r="BB34" s="78" t="s">
        <v>400</v>
      </c>
      <c r="BC34" s="2060"/>
      <c r="BD34" s="2060"/>
      <c r="BE34" s="2060"/>
      <c r="BF34" s="2060"/>
      <c r="BG34" s="2060"/>
      <c r="BH34" s="2060"/>
      <c r="BI34" s="2060"/>
      <c r="BJ34" s="2060"/>
      <c r="BK34" s="2060"/>
      <c r="BL34" s="2060"/>
      <c r="BM34" s="2060"/>
      <c r="BN34" s="2060"/>
      <c r="BO34" s="2060"/>
      <c r="BP34" s="2060"/>
      <c r="BQ34" s="2060"/>
      <c r="BR34" s="2060"/>
      <c r="BS34" s="2060"/>
      <c r="BT34" s="2060"/>
      <c r="BU34" s="2060"/>
      <c r="BV34" s="2060"/>
      <c r="BW34" s="2060"/>
      <c r="BX34" s="2060"/>
      <c r="BY34" s="2060"/>
      <c r="BZ34" s="2060"/>
      <c r="CA34" s="2060"/>
      <c r="CB34" s="2060"/>
      <c r="CC34" s="2060"/>
      <c r="CD34" s="2060"/>
      <c r="CE34" s="2060"/>
      <c r="CF34" s="2060"/>
      <c r="CG34" s="2060"/>
      <c r="CH34" s="2060"/>
      <c r="CI34" s="2060"/>
      <c r="CJ34" s="2060"/>
      <c r="CK34" s="2060"/>
      <c r="CL34" s="2060"/>
      <c r="CM34" s="2060"/>
      <c r="CN34" s="2060"/>
      <c r="CO34" s="2060"/>
      <c r="CP34" s="2060"/>
      <c r="CQ34" s="2060"/>
      <c r="CR34" s="2060"/>
      <c r="CS34" s="2060"/>
      <c r="CT34" s="2060"/>
      <c r="CU34" s="2060"/>
      <c r="CV34" s="2060"/>
      <c r="CW34" s="2060"/>
      <c r="CX34" s="2060"/>
      <c r="CY34" s="2060"/>
      <c r="CZ34" s="2060"/>
      <c r="DA34" s="2060"/>
      <c r="DB34" s="2060"/>
      <c r="DC34" s="2060"/>
      <c r="DD34" s="2060"/>
      <c r="DE34" s="2060"/>
      <c r="DF34" s="2060"/>
      <c r="DG34" s="2060"/>
      <c r="DH34" s="2060"/>
      <c r="DI34" s="2060"/>
      <c r="DJ34" s="2060"/>
      <c r="DK34" s="2060"/>
      <c r="DL34" s="2060"/>
      <c r="DM34" s="2060"/>
      <c r="DN34" s="2060"/>
      <c r="DO34" s="2060"/>
      <c r="DP34" s="2060"/>
      <c r="DQ34" s="2060"/>
      <c r="DR34" s="2060"/>
      <c r="DS34" s="2060"/>
      <c r="DT34" s="2060"/>
      <c r="DU34" s="2060"/>
      <c r="DV34" s="2060"/>
      <c r="DW34" s="2060"/>
      <c r="DX34" s="2060"/>
      <c r="DY34" s="2060"/>
      <c r="DZ34" s="2060"/>
      <c r="EA34" s="2060"/>
      <c r="EB34" s="2060"/>
      <c r="EC34" s="2060"/>
      <c r="ED34" s="2060"/>
      <c r="EE34" s="2060"/>
      <c r="EF34" s="2060"/>
      <c r="EG34" s="2060"/>
      <c r="EH34" s="2060"/>
      <c r="EI34" s="2060"/>
      <c r="EJ34" s="2060"/>
      <c r="EK34" s="2060"/>
      <c r="EL34" s="2060"/>
      <c r="EM34" s="2060"/>
      <c r="EN34" s="2060"/>
      <c r="EO34" s="2060"/>
      <c r="EP34" s="2060"/>
      <c r="EQ34" s="2060"/>
      <c r="ER34" s="2060"/>
      <c r="ES34" s="2060"/>
      <c r="ET34" s="2060"/>
      <c r="EU34" s="2060"/>
      <c r="EV34" s="2060"/>
      <c r="EW34" s="2060"/>
      <c r="EX34" s="2060"/>
      <c r="EY34" s="2060"/>
      <c r="EZ34" s="2060"/>
      <c r="FA34" s="2060"/>
      <c r="FB34" s="2060"/>
      <c r="FC34" s="2060"/>
      <c r="FD34" s="2060"/>
      <c r="FE34" s="2060"/>
      <c r="FF34" s="2060"/>
      <c r="FG34" s="2060"/>
      <c r="FH34" s="2060"/>
      <c r="FI34" s="2060"/>
      <c r="FJ34" s="2060"/>
      <c r="FK34" s="2060"/>
      <c r="FL34" s="2060"/>
      <c r="FM34" s="2060"/>
      <c r="FN34" s="2060"/>
      <c r="FO34" s="2060"/>
      <c r="FP34" s="2060"/>
      <c r="FQ34" s="2060"/>
      <c r="FR34" s="2060"/>
      <c r="FS34" s="2060"/>
      <c r="FT34" s="2060"/>
      <c r="FU34" s="2060"/>
      <c r="FV34" s="2060"/>
      <c r="FW34" s="2060"/>
      <c r="FX34" s="2060"/>
      <c r="FY34" s="2060"/>
      <c r="FZ34" s="2060"/>
      <c r="GA34" s="2060"/>
      <c r="GB34" s="2060"/>
      <c r="GC34" s="2060"/>
      <c r="GD34" s="2060"/>
      <c r="GE34" s="2060"/>
      <c r="GF34" s="2060"/>
      <c r="GG34" s="2060"/>
      <c r="GH34" s="2060"/>
      <c r="GI34" s="2060"/>
      <c r="GJ34" s="2060"/>
      <c r="GK34" s="2060"/>
      <c r="GL34" s="2060"/>
      <c r="GM34" s="2060"/>
      <c r="GN34" s="2060"/>
      <c r="GO34" s="2060"/>
      <c r="GP34" s="2060"/>
      <c r="GQ34" s="2060"/>
      <c r="GR34" s="2060"/>
      <c r="GS34" s="2060"/>
      <c r="GT34" s="2060"/>
      <c r="GU34" s="2060"/>
      <c r="GV34" s="2060"/>
      <c r="GW34" s="2060"/>
      <c r="GX34" s="2060"/>
      <c r="GY34" s="2060"/>
      <c r="GZ34" s="2060"/>
      <c r="HA34" s="2060"/>
      <c r="HB34" s="2060"/>
      <c r="HC34" s="2060"/>
      <c r="HD34" s="2060"/>
      <c r="HE34" s="2060"/>
      <c r="HF34" s="2060"/>
      <c r="HG34" s="2060"/>
      <c r="HH34" s="2060"/>
      <c r="HI34" s="2060"/>
      <c r="HJ34" s="2060"/>
      <c r="HK34" s="2060"/>
      <c r="HL34" s="2060"/>
      <c r="HM34" s="2060"/>
      <c r="HN34" s="2060"/>
      <c r="HO34" s="2060"/>
      <c r="HP34" s="2060"/>
      <c r="HQ34" s="2060"/>
      <c r="HR34" s="2060"/>
      <c r="HS34" s="2060"/>
      <c r="HT34" s="2060"/>
      <c r="HU34" s="2060"/>
      <c r="HV34" s="2060"/>
      <c r="HW34" s="2060"/>
      <c r="HX34" s="2060"/>
      <c r="HY34" s="2060"/>
      <c r="HZ34" s="2060"/>
      <c r="IA34" s="2060"/>
      <c r="IB34" s="2060"/>
      <c r="IC34" s="2060"/>
      <c r="ID34" s="2060"/>
      <c r="IE34" s="2060"/>
      <c r="IF34" s="2060"/>
      <c r="IG34" s="2060"/>
      <c r="IH34" s="2060"/>
      <c r="II34" s="2060"/>
      <c r="IJ34" s="2060"/>
      <c r="IK34" s="2060"/>
      <c r="IL34" s="2060"/>
      <c r="IM34" s="2060"/>
      <c r="IN34" s="2060"/>
      <c r="IO34" s="2060"/>
      <c r="IP34" s="2060"/>
      <c r="IQ34" s="2060"/>
      <c r="IR34" s="2060"/>
      <c r="IS34" s="2060"/>
      <c r="IT34" s="2060"/>
      <c r="IU34" s="2060"/>
      <c r="IV34" s="2060"/>
      <c r="IW34" s="2060"/>
      <c r="IX34" s="2060"/>
      <c r="IY34" s="2060"/>
      <c r="IZ34" s="2060"/>
      <c r="JA34" s="2060"/>
      <c r="JB34" s="2060"/>
      <c r="JC34" s="2060"/>
      <c r="JD34" s="2060"/>
      <c r="JE34" s="2060"/>
      <c r="JF34" s="2060"/>
      <c r="JG34" s="2060"/>
      <c r="JH34" s="2060"/>
      <c r="JI34" s="2060"/>
      <c r="JJ34" s="2060"/>
      <c r="JK34" s="2060"/>
      <c r="JL34" s="2060"/>
      <c r="JM34" s="2060"/>
      <c r="JN34" s="2060"/>
      <c r="JO34" s="2060"/>
      <c r="JP34" s="2060"/>
      <c r="JQ34" s="2060"/>
      <c r="JR34" s="2060"/>
      <c r="JS34" s="2060"/>
      <c r="JT34" s="2060"/>
      <c r="JU34" s="2060"/>
      <c r="JV34" s="2060"/>
      <c r="JW34" s="2060"/>
      <c r="JX34" s="2060"/>
      <c r="JY34" s="2060"/>
      <c r="JZ34" s="2060"/>
      <c r="KA34" s="2060"/>
      <c r="KB34" s="2060"/>
      <c r="KC34" s="2060"/>
      <c r="KD34" s="2060"/>
      <c r="KE34" s="2060"/>
      <c r="KF34" s="2060"/>
      <c r="KG34" s="2060"/>
      <c r="KH34" s="2060"/>
      <c r="KI34" s="2060"/>
      <c r="KJ34" s="2060"/>
      <c r="KK34" s="2060"/>
      <c r="KL34" s="2060"/>
      <c r="KM34" s="2060"/>
      <c r="KN34" s="2060"/>
      <c r="KO34" s="2060"/>
      <c r="KP34" s="2060"/>
      <c r="KQ34" s="2060"/>
      <c r="KR34" s="2060"/>
      <c r="KS34" s="2060"/>
      <c r="KT34" s="2060"/>
      <c r="KU34" s="2060"/>
      <c r="KV34" s="2060"/>
      <c r="KW34" s="2060"/>
      <c r="KX34" s="2060"/>
      <c r="KY34" s="2060"/>
      <c r="KZ34" s="2060"/>
      <c r="LA34" s="2060"/>
      <c r="LB34" s="2060"/>
      <c r="LC34" s="2060"/>
      <c r="LD34" s="2060"/>
      <c r="LE34" s="2060"/>
      <c r="LF34" s="2060"/>
      <c r="LG34" s="2060"/>
      <c r="LH34" s="2060"/>
    </row>
    <row r="35" spans="1:320" s="1499" customFormat="1" ht="13.9">
      <c r="A35" s="269" t="str">
        <f t="shared" si="7"/>
        <v>n</v>
      </c>
      <c r="B35" s="588"/>
      <c r="C35" s="2060"/>
      <c r="D35" s="779">
        <f t="shared" ca="1" si="0"/>
        <v>1.1600000000000001</v>
      </c>
      <c r="E35" s="772" t="str">
        <f>IF(OR('WACC and TIC Inputs'!$D144="x",$G35=""),"--",_xll.ciqfunctions.udf.CIQ($G35,"IQ_COMPANY_NAME"))</f>
        <v>--</v>
      </c>
      <c r="F35" s="1503"/>
      <c r="G35" s="2154"/>
      <c r="H35" s="1066"/>
      <c r="I35" s="256" t="str">
        <f>IF($E35="--","--",IF(_xll.ciqfunctions.udf.CIQ($G35,"IQ_COUNTRY_NAME")=0,"n/a",_xll.ciqfunctions.udf.CIQ($G35,"IQ_COUNTRY_NAME")))</f>
        <v>--</v>
      </c>
      <c r="J35" s="2060" t="str">
        <f>IF($E35="--","--",IF(OutputCurrency="Filing",_xll.ciqfunctions.udf.CIQ($G35,"IQ_FILING_CURRENCY",2000,Valuation_Date_GC),OutputCurrency))</f>
        <v>--</v>
      </c>
      <c r="K35" s="2163" t="str">
        <f t="shared" si="1"/>
        <v>--</v>
      </c>
      <c r="L35" s="2164"/>
      <c r="M35" s="2165"/>
      <c r="N35" s="2060" t="str">
        <f>IF($E35="--","--",_xll.ciqfunctions.udf.CIQ($G35,"IQ_TRADING_CURRENCY",Valuation_Date_GC))</f>
        <v>--</v>
      </c>
      <c r="O35" s="2060" t="str">
        <f t="shared" si="11"/>
        <v>--</v>
      </c>
      <c r="P35" s="2060" t="str">
        <f>IF(E35="--","--",IF(OR(LEFT(_xll.ciqfunctions.udf.CIQ(G35,"IQ_SP_LC_LT"),1)="(",_xll.ciqfunctions.udf.CIQ(G35,"IQ_SP_LC_LT")=0),"n/a",_xll.ciqfunctions.udf.CIQ(G35,"IQ_SP_LC_LT")))</f>
        <v>--</v>
      </c>
      <c r="Q35" s="2060" t="str">
        <f>IF($E35="--","--",_xll.ciqfunctions.udf.CIQ($G35,"IQ_PRIMARY_INDUSTRY"))</f>
        <v>--</v>
      </c>
      <c r="R35" s="2060"/>
      <c r="S35" s="44" t="str">
        <f t="shared" si="12"/>
        <v>--</v>
      </c>
      <c r="T35" s="2060" t="str">
        <f t="shared" si="3"/>
        <v>--</v>
      </c>
      <c r="U35" s="2060" t="str">
        <f t="shared" si="8"/>
        <v>--</v>
      </c>
      <c r="V35" s="2060"/>
      <c r="W35" s="2060"/>
      <c r="X35" s="2060"/>
      <c r="Y35" s="2060"/>
      <c r="Z35" s="1938"/>
      <c r="AA35" s="1938" t="s">
        <v>368</v>
      </c>
      <c r="AB35" s="1938" t="str">
        <f t="shared" si="9"/>
        <v>zzzz</v>
      </c>
      <c r="AC35" s="1938" t="s">
        <v>369</v>
      </c>
      <c r="AD35" s="2117" t="str">
        <f t="shared" si="4"/>
        <v/>
      </c>
      <c r="AE35" s="2060"/>
      <c r="AF35" s="43" t="str">
        <f t="shared" si="5"/>
        <v>--</v>
      </c>
      <c r="AG35" s="43" t="str">
        <f t="shared" si="6"/>
        <v>--</v>
      </c>
      <c r="AH35" s="2060"/>
      <c r="AI35" s="2060"/>
      <c r="AJ35" s="2060"/>
      <c r="AK35" s="2060"/>
      <c r="AL35" s="2060"/>
      <c r="AM35" s="2060"/>
      <c r="AN35" s="2060"/>
      <c r="AO35" s="2060" t="s">
        <v>401</v>
      </c>
      <c r="AP35" s="89"/>
      <c r="AQ35" s="89"/>
      <c r="AR35" s="2060"/>
      <c r="AS35" s="98" t="s">
        <v>402</v>
      </c>
      <c r="AT35" s="80" t="s">
        <v>403</v>
      </c>
      <c r="AU35" s="80" t="s">
        <v>162</v>
      </c>
      <c r="AV35" s="80" t="s">
        <v>404</v>
      </c>
      <c r="AW35" s="81" t="s">
        <v>405</v>
      </c>
      <c r="AX35" s="78" t="s">
        <v>251</v>
      </c>
      <c r="AY35" s="78" t="s">
        <v>406</v>
      </c>
      <c r="AZ35" s="78" t="s">
        <v>250</v>
      </c>
      <c r="BA35" s="78" t="s">
        <v>407</v>
      </c>
      <c r="BB35" s="78" t="s">
        <v>408</v>
      </c>
      <c r="BC35" s="2060"/>
      <c r="BD35" s="2060"/>
      <c r="BE35" s="2060"/>
      <c r="BF35" s="2060"/>
      <c r="BG35" s="2060"/>
      <c r="BH35" s="2060"/>
      <c r="BI35" s="2060"/>
      <c r="BJ35" s="2060"/>
      <c r="BK35" s="2060"/>
      <c r="BL35" s="2060"/>
      <c r="BM35" s="2060"/>
      <c r="BN35" s="2060"/>
      <c r="BO35" s="2060"/>
      <c r="BP35" s="2060"/>
      <c r="BQ35" s="2060"/>
      <c r="BR35" s="2060"/>
      <c r="BS35" s="2060"/>
      <c r="BT35" s="2060"/>
      <c r="BU35" s="2060"/>
      <c r="BV35" s="2060"/>
      <c r="BW35" s="2060"/>
      <c r="BX35" s="2060"/>
      <c r="BY35" s="2060"/>
      <c r="BZ35" s="2060"/>
      <c r="CA35" s="2060"/>
      <c r="CB35" s="2060"/>
      <c r="CC35" s="2060"/>
      <c r="CD35" s="2060"/>
      <c r="CE35" s="2060"/>
      <c r="CF35" s="2060"/>
      <c r="CG35" s="2060"/>
      <c r="CH35" s="2060"/>
      <c r="CI35" s="2060"/>
      <c r="CJ35" s="2060"/>
      <c r="CK35" s="2060"/>
      <c r="CL35" s="2060"/>
      <c r="CM35" s="2060"/>
      <c r="CN35" s="2060"/>
      <c r="CO35" s="2060"/>
      <c r="CP35" s="2060"/>
      <c r="CQ35" s="2060"/>
      <c r="CR35" s="2060"/>
      <c r="CS35" s="2060"/>
      <c r="CT35" s="2060"/>
      <c r="CU35" s="2060"/>
      <c r="CV35" s="2060"/>
      <c r="CW35" s="2060"/>
      <c r="CX35" s="2060"/>
      <c r="CY35" s="2060"/>
      <c r="CZ35" s="2060"/>
      <c r="DA35" s="2060"/>
      <c r="DB35" s="2060"/>
      <c r="DC35" s="2060"/>
      <c r="DD35" s="2060"/>
      <c r="DE35" s="2060"/>
      <c r="DF35" s="2060"/>
      <c r="DG35" s="2060"/>
      <c r="DH35" s="2060"/>
      <c r="DI35" s="2060"/>
      <c r="DJ35" s="2060"/>
      <c r="DK35" s="2060"/>
      <c r="DL35" s="2060"/>
      <c r="DM35" s="2060"/>
      <c r="DN35" s="2060"/>
      <c r="DO35" s="2060"/>
      <c r="DP35" s="2060"/>
      <c r="DQ35" s="2060"/>
      <c r="DR35" s="2060"/>
      <c r="DS35" s="2060"/>
      <c r="DT35" s="2060"/>
      <c r="DU35" s="2060"/>
      <c r="DV35" s="2060"/>
      <c r="DW35" s="2060"/>
      <c r="DX35" s="2060"/>
      <c r="DY35" s="2060"/>
      <c r="DZ35" s="2060"/>
      <c r="EA35" s="2060"/>
      <c r="EB35" s="2060"/>
      <c r="EC35" s="2060"/>
      <c r="ED35" s="2060"/>
      <c r="EE35" s="2060"/>
      <c r="EF35" s="2060"/>
      <c r="EG35" s="2060"/>
      <c r="EH35" s="2060"/>
      <c r="EI35" s="2060"/>
      <c r="EJ35" s="2060"/>
      <c r="EK35" s="2060"/>
      <c r="EL35" s="2060"/>
      <c r="EM35" s="2060"/>
      <c r="EN35" s="2060"/>
      <c r="EO35" s="2060"/>
      <c r="EP35" s="2060"/>
      <c r="EQ35" s="2060"/>
      <c r="ER35" s="2060"/>
      <c r="ES35" s="2060"/>
      <c r="ET35" s="2060"/>
      <c r="EU35" s="2060"/>
      <c r="EV35" s="2060"/>
      <c r="EW35" s="2060"/>
      <c r="EX35" s="2060"/>
      <c r="EY35" s="2060"/>
      <c r="EZ35" s="2060"/>
      <c r="FA35" s="2060"/>
      <c r="FB35" s="2060"/>
      <c r="FC35" s="2060"/>
      <c r="FD35" s="2060"/>
      <c r="FE35" s="2060"/>
      <c r="FF35" s="2060"/>
      <c r="FG35" s="2060"/>
      <c r="FH35" s="2060"/>
      <c r="FI35" s="2060"/>
      <c r="FJ35" s="2060"/>
      <c r="FK35" s="2060"/>
      <c r="FL35" s="2060"/>
      <c r="FM35" s="2060"/>
      <c r="FN35" s="2060"/>
      <c r="FO35" s="2060"/>
      <c r="FP35" s="2060"/>
      <c r="FQ35" s="2060"/>
      <c r="FR35" s="2060"/>
      <c r="FS35" s="2060"/>
      <c r="FT35" s="2060"/>
      <c r="FU35" s="2060"/>
      <c r="FV35" s="2060"/>
      <c r="FW35" s="2060"/>
      <c r="FX35" s="2060"/>
      <c r="FY35" s="2060"/>
      <c r="FZ35" s="2060"/>
      <c r="GA35" s="2060"/>
      <c r="GB35" s="2060"/>
      <c r="GC35" s="2060"/>
      <c r="GD35" s="2060"/>
      <c r="GE35" s="2060"/>
      <c r="GF35" s="2060"/>
      <c r="GG35" s="2060"/>
      <c r="GH35" s="2060"/>
      <c r="GI35" s="2060"/>
      <c r="GJ35" s="2060"/>
      <c r="GK35" s="2060"/>
      <c r="GL35" s="2060"/>
      <c r="GM35" s="2060"/>
      <c r="GN35" s="2060"/>
      <c r="GO35" s="2060"/>
      <c r="GP35" s="2060"/>
      <c r="GQ35" s="2060"/>
      <c r="GR35" s="2060"/>
      <c r="GS35" s="2060"/>
      <c r="GT35" s="2060"/>
      <c r="GU35" s="2060"/>
      <c r="GV35" s="2060"/>
      <c r="GW35" s="2060"/>
      <c r="GX35" s="2060"/>
      <c r="GY35" s="2060"/>
      <c r="GZ35" s="2060"/>
      <c r="HA35" s="2060"/>
      <c r="HB35" s="2060"/>
      <c r="HC35" s="2060"/>
      <c r="HD35" s="2060"/>
      <c r="HE35" s="2060"/>
      <c r="HF35" s="2060"/>
      <c r="HG35" s="2060"/>
      <c r="HH35" s="2060"/>
      <c r="HI35" s="2060"/>
      <c r="HJ35" s="2060"/>
      <c r="HK35" s="2060"/>
      <c r="HL35" s="2060"/>
      <c r="HM35" s="2060"/>
      <c r="HN35" s="2060"/>
      <c r="HO35" s="2060"/>
      <c r="HP35" s="2060"/>
      <c r="HQ35" s="2060"/>
      <c r="HR35" s="2060"/>
      <c r="HS35" s="2060"/>
      <c r="HT35" s="2060"/>
      <c r="HU35" s="2060"/>
      <c r="HV35" s="2060"/>
      <c r="HW35" s="2060"/>
      <c r="HX35" s="2060"/>
      <c r="HY35" s="2060"/>
      <c r="HZ35" s="2060"/>
      <c r="IA35" s="2060"/>
      <c r="IB35" s="2060"/>
      <c r="IC35" s="2060"/>
      <c r="ID35" s="2060"/>
      <c r="IE35" s="2060"/>
      <c r="IF35" s="2060"/>
      <c r="IG35" s="2060"/>
      <c r="IH35" s="2060"/>
      <c r="II35" s="2060"/>
      <c r="IJ35" s="2060"/>
      <c r="IK35" s="2060"/>
      <c r="IL35" s="2060"/>
      <c r="IM35" s="2060"/>
      <c r="IN35" s="2060"/>
      <c r="IO35" s="2060"/>
      <c r="IP35" s="2060"/>
      <c r="IQ35" s="2060"/>
      <c r="IR35" s="2060"/>
      <c r="IS35" s="2060"/>
      <c r="IT35" s="2060"/>
      <c r="IU35" s="2060"/>
      <c r="IV35" s="2060"/>
      <c r="IW35" s="2060"/>
      <c r="IX35" s="2060"/>
      <c r="IY35" s="2060"/>
      <c r="IZ35" s="2060"/>
      <c r="JA35" s="2060"/>
      <c r="JB35" s="2060"/>
      <c r="JC35" s="2060"/>
      <c r="JD35" s="2060"/>
      <c r="JE35" s="2060"/>
      <c r="JF35" s="2060"/>
      <c r="JG35" s="2060"/>
      <c r="JH35" s="2060"/>
      <c r="JI35" s="2060"/>
      <c r="JJ35" s="2060"/>
      <c r="JK35" s="2060"/>
      <c r="JL35" s="2060"/>
      <c r="JM35" s="2060"/>
      <c r="JN35" s="2060"/>
      <c r="JO35" s="2060"/>
      <c r="JP35" s="2060"/>
      <c r="JQ35" s="2060"/>
      <c r="JR35" s="2060"/>
      <c r="JS35" s="2060"/>
      <c r="JT35" s="2060"/>
      <c r="JU35" s="2060"/>
      <c r="JV35" s="2060"/>
      <c r="JW35" s="2060"/>
      <c r="JX35" s="2060"/>
      <c r="JY35" s="2060"/>
      <c r="JZ35" s="2060"/>
      <c r="KA35" s="2060"/>
      <c r="KB35" s="2060"/>
      <c r="KC35" s="2060"/>
      <c r="KD35" s="2060"/>
      <c r="KE35" s="2060"/>
      <c r="KF35" s="2060"/>
      <c r="KG35" s="2060"/>
      <c r="KH35" s="2060"/>
      <c r="KI35" s="2060"/>
      <c r="KJ35" s="2060"/>
      <c r="KK35" s="2060"/>
      <c r="KL35" s="2060"/>
      <c r="KM35" s="2060"/>
      <c r="KN35" s="2060"/>
      <c r="KO35" s="2060"/>
      <c r="KP35" s="2060"/>
      <c r="KQ35" s="2060"/>
      <c r="KR35" s="2060"/>
      <c r="KS35" s="2060"/>
      <c r="KT35" s="2060"/>
      <c r="KU35" s="2060"/>
      <c r="KV35" s="2060"/>
      <c r="KW35" s="2060"/>
      <c r="KX35" s="2060"/>
      <c r="KY35" s="2060"/>
      <c r="KZ35" s="2060"/>
      <c r="LA35" s="2060"/>
      <c r="LB35" s="2060"/>
      <c r="LC35" s="2060"/>
      <c r="LD35" s="2060"/>
      <c r="LE35" s="2060"/>
      <c r="LF35" s="2060"/>
      <c r="LG35" s="2060"/>
      <c r="LH35" s="2060"/>
    </row>
    <row r="36" spans="1:320" s="1499" customFormat="1" ht="13.9">
      <c r="A36" s="269" t="str">
        <f t="shared" si="7"/>
        <v>n</v>
      </c>
      <c r="B36" s="588"/>
      <c r="C36" s="2060"/>
      <c r="D36" s="779">
        <f t="shared" ca="1" si="0"/>
        <v>1.1700000000000002</v>
      </c>
      <c r="E36" s="772" t="str">
        <f>IF(OR('WACC and TIC Inputs'!$D145="x",$G36=""),"--",_xll.ciqfunctions.udf.CIQ($G36,"IQ_COMPANY_NAME"))</f>
        <v>--</v>
      </c>
      <c r="F36" s="1503"/>
      <c r="G36" s="2154"/>
      <c r="H36" s="1066"/>
      <c r="I36" s="256" t="str">
        <f>IF($E36="--","--",IF(_xll.ciqfunctions.udf.CIQ($G36,"IQ_COUNTRY_NAME")=0,"n/a",_xll.ciqfunctions.udf.CIQ($G36,"IQ_COUNTRY_NAME")))</f>
        <v>--</v>
      </c>
      <c r="J36" s="2060" t="str">
        <f>IF($E36="--","--",IF(OutputCurrency="Filing",_xll.ciqfunctions.udf.CIQ($G36,"IQ_FILING_CURRENCY",2000,Valuation_Date_GC),OutputCurrency))</f>
        <v>--</v>
      </c>
      <c r="K36" s="2163" t="str">
        <f t="shared" si="1"/>
        <v>--</v>
      </c>
      <c r="L36" s="2164"/>
      <c r="M36" s="2165"/>
      <c r="N36" s="2060" t="str">
        <f>IF($E36="--","--",_xll.ciqfunctions.udf.CIQ($G36,"IQ_TRADING_CURRENCY",Valuation_Date_GC))</f>
        <v>--</v>
      </c>
      <c r="O36" s="2060" t="str">
        <f t="shared" ref="O36:O44" si="13">IF($E36="--","--",INDEX(CountryCurrencyCode,MATCH(K36,CountryIndex,0)))</f>
        <v>--</v>
      </c>
      <c r="P36" s="2060" t="str">
        <f>IF(E36="--","--",IF(OR(LEFT(_xll.ciqfunctions.udf.CIQ(G36,"IQ_SP_LC_LT"),1)="(",_xll.ciqfunctions.udf.CIQ(G36,"IQ_SP_LC_LT")=0),"n/a",_xll.ciqfunctions.udf.CIQ(G36,"IQ_SP_LC_LT")))</f>
        <v>--</v>
      </c>
      <c r="Q36" s="2060" t="str">
        <f>IF($E36="--","--",_xll.ciqfunctions.udf.CIQ($G36,"IQ_PRIMARY_INDUSTRY"))</f>
        <v>--</v>
      </c>
      <c r="R36" s="2060"/>
      <c r="S36" s="44" t="str">
        <f t="shared" si="12"/>
        <v>--</v>
      </c>
      <c r="T36" s="2060" t="str">
        <f t="shared" si="3"/>
        <v>--</v>
      </c>
      <c r="U36" s="2060" t="str">
        <f t="shared" si="8"/>
        <v>--</v>
      </c>
      <c r="V36" s="2060"/>
      <c r="W36" s="2060"/>
      <c r="X36" s="2060"/>
      <c r="Y36" s="2060"/>
      <c r="Z36" s="1938"/>
      <c r="AA36" s="1938" t="s">
        <v>368</v>
      </c>
      <c r="AB36" s="1938" t="str">
        <f t="shared" si="9"/>
        <v>zzzz</v>
      </c>
      <c r="AC36" s="1938" t="s">
        <v>369</v>
      </c>
      <c r="AD36" s="2117" t="str">
        <f t="shared" si="4"/>
        <v/>
      </c>
      <c r="AE36" s="2060"/>
      <c r="AF36" s="43" t="str">
        <f t="shared" si="5"/>
        <v>--</v>
      </c>
      <c r="AG36" s="43" t="str">
        <f t="shared" si="6"/>
        <v>--</v>
      </c>
      <c r="AH36" s="2060"/>
      <c r="AI36" s="2060"/>
      <c r="AJ36" s="2060"/>
      <c r="AK36" s="2060"/>
      <c r="AL36" s="2060"/>
      <c r="AM36" s="2060"/>
      <c r="AN36" s="2060"/>
      <c r="AO36" s="2060" t="s">
        <v>409</v>
      </c>
      <c r="AP36" s="89"/>
      <c r="AQ36" s="89"/>
      <c r="AR36" s="2060"/>
      <c r="AS36" s="98" t="s">
        <v>402</v>
      </c>
      <c r="AT36" s="80" t="s">
        <v>403</v>
      </c>
      <c r="AU36" s="80" t="s">
        <v>162</v>
      </c>
      <c r="AV36" s="80" t="s">
        <v>410</v>
      </c>
      <c r="AW36" s="81" t="s">
        <v>411</v>
      </c>
      <c r="AX36" s="78" t="s">
        <v>251</v>
      </c>
      <c r="AY36" s="78" t="s">
        <v>406</v>
      </c>
      <c r="AZ36" s="78" t="s">
        <v>250</v>
      </c>
      <c r="BA36" s="78" t="s">
        <v>412</v>
      </c>
      <c r="BB36" s="78" t="s">
        <v>49</v>
      </c>
      <c r="BC36" s="2060"/>
      <c r="BD36" s="2060"/>
      <c r="BE36" s="2060"/>
      <c r="BF36" s="2060"/>
      <c r="BG36" s="2060"/>
      <c r="BH36" s="2060"/>
      <c r="BI36" s="2060"/>
      <c r="BJ36" s="2060"/>
      <c r="BK36" s="2060"/>
      <c r="BL36" s="2060"/>
      <c r="BM36" s="2060"/>
      <c r="BN36" s="2060"/>
      <c r="BO36" s="2060"/>
      <c r="BP36" s="2060"/>
      <c r="BQ36" s="2060"/>
      <c r="BR36" s="2060"/>
      <c r="BS36" s="2060"/>
      <c r="BT36" s="2060"/>
      <c r="BU36" s="2060"/>
      <c r="BV36" s="2060"/>
      <c r="BW36" s="2060"/>
      <c r="BX36" s="2060"/>
      <c r="BY36" s="2060"/>
      <c r="BZ36" s="2060"/>
      <c r="CA36" s="2060"/>
      <c r="CB36" s="2060"/>
      <c r="CC36" s="2060"/>
      <c r="CD36" s="2060"/>
      <c r="CE36" s="2060"/>
      <c r="CF36" s="2060"/>
      <c r="CG36" s="2060"/>
      <c r="CH36" s="2060"/>
      <c r="CI36" s="2060"/>
      <c r="CJ36" s="2060"/>
      <c r="CK36" s="2060"/>
      <c r="CL36" s="2060"/>
      <c r="CM36" s="2060"/>
      <c r="CN36" s="2060"/>
      <c r="CO36" s="2060"/>
      <c r="CP36" s="2060"/>
      <c r="CQ36" s="2060"/>
      <c r="CR36" s="2060"/>
      <c r="CS36" s="2060"/>
      <c r="CT36" s="2060"/>
      <c r="CU36" s="2060"/>
      <c r="CV36" s="2060"/>
      <c r="CW36" s="2060"/>
      <c r="CX36" s="2060"/>
      <c r="CY36" s="2060"/>
      <c r="CZ36" s="2060"/>
      <c r="DA36" s="2060"/>
      <c r="DB36" s="2060"/>
      <c r="DC36" s="2060"/>
      <c r="DD36" s="2060"/>
      <c r="DE36" s="2060"/>
      <c r="DF36" s="2060"/>
      <c r="DG36" s="2060"/>
      <c r="DH36" s="2060"/>
      <c r="DI36" s="2060"/>
      <c r="DJ36" s="2060"/>
      <c r="DK36" s="2060"/>
      <c r="DL36" s="2060"/>
      <c r="DM36" s="2060"/>
      <c r="DN36" s="2060"/>
      <c r="DO36" s="2060"/>
      <c r="DP36" s="2060"/>
      <c r="DQ36" s="2060"/>
      <c r="DR36" s="2060"/>
      <c r="DS36" s="2060"/>
      <c r="DT36" s="2060"/>
      <c r="DU36" s="2060"/>
      <c r="DV36" s="2060"/>
      <c r="DW36" s="2060"/>
      <c r="DX36" s="2060"/>
      <c r="DY36" s="2060"/>
      <c r="DZ36" s="2060"/>
      <c r="EA36" s="2060"/>
      <c r="EB36" s="2060"/>
      <c r="EC36" s="2060"/>
      <c r="ED36" s="2060"/>
      <c r="EE36" s="2060"/>
      <c r="EF36" s="2060"/>
      <c r="EG36" s="2060"/>
      <c r="EH36" s="2060"/>
      <c r="EI36" s="2060"/>
      <c r="EJ36" s="2060"/>
      <c r="EK36" s="2060"/>
      <c r="EL36" s="2060"/>
      <c r="EM36" s="2060"/>
      <c r="EN36" s="2060"/>
      <c r="EO36" s="2060"/>
      <c r="EP36" s="2060"/>
      <c r="EQ36" s="2060"/>
      <c r="ER36" s="2060"/>
      <c r="ES36" s="2060"/>
      <c r="ET36" s="2060"/>
      <c r="EU36" s="2060"/>
      <c r="EV36" s="2060"/>
      <c r="EW36" s="2060"/>
      <c r="EX36" s="2060"/>
      <c r="EY36" s="2060"/>
      <c r="EZ36" s="2060"/>
      <c r="FA36" s="2060"/>
      <c r="FB36" s="2060"/>
      <c r="FC36" s="2060"/>
      <c r="FD36" s="2060"/>
      <c r="FE36" s="2060"/>
      <c r="FF36" s="2060"/>
      <c r="FG36" s="2060"/>
      <c r="FH36" s="2060"/>
      <c r="FI36" s="2060"/>
      <c r="FJ36" s="2060"/>
      <c r="FK36" s="2060"/>
      <c r="FL36" s="2060"/>
      <c r="FM36" s="2060"/>
      <c r="FN36" s="2060"/>
      <c r="FO36" s="2060"/>
      <c r="FP36" s="2060"/>
      <c r="FQ36" s="2060"/>
      <c r="FR36" s="2060"/>
      <c r="FS36" s="2060"/>
      <c r="FT36" s="2060"/>
      <c r="FU36" s="2060"/>
      <c r="FV36" s="2060"/>
      <c r="FW36" s="2060"/>
      <c r="FX36" s="2060"/>
      <c r="FY36" s="2060"/>
      <c r="FZ36" s="2060"/>
      <c r="GA36" s="2060"/>
      <c r="GB36" s="2060"/>
      <c r="GC36" s="2060"/>
      <c r="GD36" s="2060"/>
      <c r="GE36" s="2060"/>
      <c r="GF36" s="2060"/>
      <c r="GG36" s="2060"/>
      <c r="GH36" s="2060"/>
      <c r="GI36" s="2060"/>
      <c r="GJ36" s="2060"/>
      <c r="GK36" s="2060"/>
      <c r="GL36" s="2060"/>
      <c r="GM36" s="2060"/>
      <c r="GN36" s="2060"/>
      <c r="GO36" s="2060"/>
      <c r="GP36" s="2060"/>
      <c r="GQ36" s="2060"/>
      <c r="GR36" s="2060"/>
      <c r="GS36" s="2060"/>
      <c r="GT36" s="2060"/>
      <c r="GU36" s="2060"/>
      <c r="GV36" s="2060"/>
      <c r="GW36" s="2060"/>
      <c r="GX36" s="2060"/>
      <c r="GY36" s="2060"/>
      <c r="GZ36" s="2060"/>
      <c r="HA36" s="2060"/>
      <c r="HB36" s="2060"/>
      <c r="HC36" s="2060"/>
      <c r="HD36" s="2060"/>
      <c r="HE36" s="2060"/>
      <c r="HF36" s="2060"/>
      <c r="HG36" s="2060"/>
      <c r="HH36" s="2060"/>
      <c r="HI36" s="2060"/>
      <c r="HJ36" s="2060"/>
      <c r="HK36" s="2060"/>
      <c r="HL36" s="2060"/>
      <c r="HM36" s="2060"/>
      <c r="HN36" s="2060"/>
      <c r="HO36" s="2060"/>
      <c r="HP36" s="2060"/>
      <c r="HQ36" s="2060"/>
      <c r="HR36" s="2060"/>
      <c r="HS36" s="2060"/>
      <c r="HT36" s="2060"/>
      <c r="HU36" s="2060"/>
      <c r="HV36" s="2060"/>
      <c r="HW36" s="2060"/>
      <c r="HX36" s="2060"/>
      <c r="HY36" s="2060"/>
      <c r="HZ36" s="2060"/>
      <c r="IA36" s="2060"/>
      <c r="IB36" s="2060"/>
      <c r="IC36" s="2060"/>
      <c r="ID36" s="2060"/>
      <c r="IE36" s="2060"/>
      <c r="IF36" s="2060"/>
      <c r="IG36" s="2060"/>
      <c r="IH36" s="2060"/>
      <c r="II36" s="2060"/>
      <c r="IJ36" s="2060"/>
      <c r="IK36" s="2060"/>
      <c r="IL36" s="2060"/>
      <c r="IM36" s="2060"/>
      <c r="IN36" s="2060"/>
      <c r="IO36" s="2060"/>
      <c r="IP36" s="2060"/>
      <c r="IQ36" s="2060"/>
      <c r="IR36" s="2060"/>
      <c r="IS36" s="2060"/>
      <c r="IT36" s="2060"/>
      <c r="IU36" s="2060"/>
      <c r="IV36" s="2060"/>
      <c r="IW36" s="2060"/>
      <c r="IX36" s="2060"/>
      <c r="IY36" s="2060"/>
      <c r="IZ36" s="2060"/>
      <c r="JA36" s="2060"/>
      <c r="JB36" s="2060"/>
      <c r="JC36" s="2060"/>
      <c r="JD36" s="2060"/>
      <c r="JE36" s="2060"/>
      <c r="JF36" s="2060"/>
      <c r="JG36" s="2060"/>
      <c r="JH36" s="2060"/>
      <c r="JI36" s="2060"/>
      <c r="JJ36" s="2060"/>
      <c r="JK36" s="2060"/>
      <c r="JL36" s="2060"/>
      <c r="JM36" s="2060"/>
      <c r="JN36" s="2060"/>
      <c r="JO36" s="2060"/>
      <c r="JP36" s="2060"/>
      <c r="JQ36" s="2060"/>
      <c r="JR36" s="2060"/>
      <c r="JS36" s="2060"/>
      <c r="JT36" s="2060"/>
      <c r="JU36" s="2060"/>
      <c r="JV36" s="2060"/>
      <c r="JW36" s="2060"/>
      <c r="JX36" s="2060"/>
      <c r="JY36" s="2060"/>
      <c r="JZ36" s="2060"/>
      <c r="KA36" s="2060"/>
      <c r="KB36" s="2060"/>
      <c r="KC36" s="2060"/>
      <c r="KD36" s="2060"/>
      <c r="KE36" s="2060"/>
      <c r="KF36" s="2060"/>
      <c r="KG36" s="2060"/>
      <c r="KH36" s="2060"/>
      <c r="KI36" s="2060"/>
      <c r="KJ36" s="2060"/>
      <c r="KK36" s="2060"/>
      <c r="KL36" s="2060"/>
      <c r="KM36" s="2060"/>
      <c r="KN36" s="2060"/>
      <c r="KO36" s="2060"/>
      <c r="KP36" s="2060"/>
      <c r="KQ36" s="2060"/>
      <c r="KR36" s="2060"/>
      <c r="KS36" s="2060"/>
      <c r="KT36" s="2060"/>
      <c r="KU36" s="2060"/>
      <c r="KV36" s="2060"/>
      <c r="KW36" s="2060"/>
      <c r="KX36" s="2060"/>
      <c r="KY36" s="2060"/>
      <c r="KZ36" s="2060"/>
      <c r="LA36" s="2060"/>
      <c r="LB36" s="2060"/>
      <c r="LC36" s="2060"/>
      <c r="LD36" s="2060"/>
      <c r="LE36" s="2060"/>
      <c r="LF36" s="2060"/>
      <c r="LG36" s="2060"/>
      <c r="LH36" s="2060"/>
    </row>
    <row r="37" spans="1:320" s="1499" customFormat="1" ht="13.9">
      <c r="A37" s="269" t="str">
        <f t="shared" si="7"/>
        <v>n</v>
      </c>
      <c r="B37" s="588"/>
      <c r="C37" s="2060"/>
      <c r="D37" s="779">
        <f t="shared" ca="1" si="0"/>
        <v>1.1800000000000002</v>
      </c>
      <c r="E37" s="772" t="str">
        <f>IF(OR('WACC and TIC Inputs'!$D146="x",$G37=""),"--",_xll.ciqfunctions.udf.CIQ($G37,"IQ_COMPANY_NAME"))</f>
        <v>--</v>
      </c>
      <c r="F37" s="2060"/>
      <c r="G37" s="2154"/>
      <c r="H37" s="1066"/>
      <c r="I37" s="256" t="str">
        <f>IF($E37="--","--",IF(_xll.ciqfunctions.udf.CIQ($G37,"IQ_COUNTRY_NAME")=0,"n/a",_xll.ciqfunctions.udf.CIQ($G37,"IQ_COUNTRY_NAME")))</f>
        <v>--</v>
      </c>
      <c r="J37" s="2060" t="str">
        <f>IF($E37="--","--",IF(OutputCurrency="Filing",_xll.ciqfunctions.udf.CIQ($G37,"IQ_FILING_CURRENCY",2000,Valuation_Date_GC),OutputCurrency))</f>
        <v>--</v>
      </c>
      <c r="K37" s="2163" t="str">
        <f t="shared" si="1"/>
        <v>--</v>
      </c>
      <c r="L37" s="2164"/>
      <c r="M37" s="2165"/>
      <c r="N37" s="2060" t="str">
        <f>IF($E37="--","--",_xll.ciqfunctions.udf.CIQ($G37,"IQ_TRADING_CURRENCY",Valuation_Date_GC))</f>
        <v>--</v>
      </c>
      <c r="O37" s="2060" t="str">
        <f t="shared" si="13"/>
        <v>--</v>
      </c>
      <c r="P37" s="2060" t="str">
        <f>IF(E37="--","--",IF(OR(LEFT(_xll.ciqfunctions.udf.CIQ(G37,"IQ_SP_LC_LT"),1)="(",_xll.ciqfunctions.udf.CIQ(G37,"IQ_SP_LC_LT")=0),"n/a",_xll.ciqfunctions.udf.CIQ(G37,"IQ_SP_LC_LT")))</f>
        <v>--</v>
      </c>
      <c r="Q37" s="2060" t="str">
        <f>IF($E37="--","--",_xll.ciqfunctions.udf.CIQ($G37,"IQ_PRIMARY_INDUSTRY"))</f>
        <v>--</v>
      </c>
      <c r="R37" s="2060"/>
      <c r="S37" s="44" t="str">
        <f t="shared" si="12"/>
        <v>--</v>
      </c>
      <c r="T37" s="2060" t="str">
        <f t="shared" si="3"/>
        <v>--</v>
      </c>
      <c r="U37" s="2060" t="str">
        <f t="shared" si="8"/>
        <v>--</v>
      </c>
      <c r="V37" s="2060"/>
      <c r="W37" s="2060"/>
      <c r="X37" s="2060"/>
      <c r="Y37" s="2060"/>
      <c r="Z37" s="1938"/>
      <c r="AA37" s="1938" t="s">
        <v>368</v>
      </c>
      <c r="AB37" s="1938" t="str">
        <f t="shared" si="9"/>
        <v>zzzz</v>
      </c>
      <c r="AC37" s="1938" t="s">
        <v>369</v>
      </c>
      <c r="AD37" s="2117" t="str">
        <f t="shared" si="4"/>
        <v/>
      </c>
      <c r="AE37" s="2060"/>
      <c r="AF37" s="43" t="str">
        <f t="shared" si="5"/>
        <v>--</v>
      </c>
      <c r="AG37" s="43" t="str">
        <f t="shared" si="6"/>
        <v>--</v>
      </c>
      <c r="AH37" s="2060"/>
      <c r="AI37" s="2060"/>
      <c r="AJ37" s="2060"/>
      <c r="AK37" s="2060"/>
      <c r="AL37" s="2060"/>
      <c r="AM37" s="2060"/>
      <c r="AN37" s="2060"/>
      <c r="AO37" s="2060" t="s">
        <v>413</v>
      </c>
      <c r="AP37" s="89"/>
      <c r="AQ37" s="89"/>
      <c r="AR37" s="2060"/>
      <c r="AS37" s="98" t="s">
        <v>402</v>
      </c>
      <c r="AT37" s="80" t="s">
        <v>403</v>
      </c>
      <c r="AU37" s="80" t="s">
        <v>162</v>
      </c>
      <c r="AV37" s="80" t="s">
        <v>414</v>
      </c>
      <c r="AW37" s="81" t="s">
        <v>415</v>
      </c>
      <c r="AX37" s="78" t="s">
        <v>251</v>
      </c>
      <c r="AY37" s="78" t="s">
        <v>406</v>
      </c>
      <c r="AZ37" s="78" t="s">
        <v>250</v>
      </c>
      <c r="BA37" s="78" t="s">
        <v>416</v>
      </c>
      <c r="BB37" s="78" t="s">
        <v>417</v>
      </c>
      <c r="BC37" s="2060"/>
      <c r="BD37" s="2060"/>
      <c r="BE37" s="2060"/>
      <c r="BF37" s="2060"/>
      <c r="BG37" s="2060"/>
      <c r="BH37" s="2060"/>
      <c r="BI37" s="2060"/>
      <c r="BJ37" s="2060"/>
      <c r="BK37" s="2060"/>
      <c r="BL37" s="2060"/>
      <c r="BM37" s="2060"/>
      <c r="BN37" s="2060"/>
      <c r="BO37" s="2060"/>
      <c r="BP37" s="2060"/>
      <c r="BQ37" s="2060"/>
      <c r="BR37" s="2060"/>
      <c r="BS37" s="2060"/>
      <c r="BT37" s="2060"/>
      <c r="BU37" s="2060"/>
      <c r="BV37" s="2060"/>
      <c r="BW37" s="2060"/>
      <c r="BX37" s="2060"/>
      <c r="BY37" s="2060"/>
      <c r="BZ37" s="2060"/>
      <c r="CA37" s="2060"/>
      <c r="CB37" s="2060"/>
      <c r="CC37" s="2060"/>
      <c r="CD37" s="2060"/>
      <c r="CE37" s="2060"/>
      <c r="CF37" s="2060"/>
      <c r="CG37" s="2060"/>
      <c r="CH37" s="2060"/>
      <c r="CI37" s="2060"/>
      <c r="CJ37" s="2060"/>
      <c r="CK37" s="2060"/>
      <c r="CL37" s="2060"/>
      <c r="CM37" s="2060"/>
      <c r="CN37" s="2060"/>
      <c r="CO37" s="2060"/>
      <c r="CP37" s="2060"/>
      <c r="CQ37" s="2060"/>
      <c r="CR37" s="2060"/>
      <c r="CS37" s="2060"/>
      <c r="CT37" s="2060"/>
      <c r="CU37" s="2060"/>
      <c r="CV37" s="2060"/>
      <c r="CW37" s="2060"/>
      <c r="CX37" s="2060"/>
      <c r="CY37" s="2060"/>
      <c r="CZ37" s="2060"/>
      <c r="DA37" s="2060"/>
      <c r="DB37" s="2060"/>
      <c r="DC37" s="2060"/>
      <c r="DD37" s="2060"/>
      <c r="DE37" s="2060"/>
      <c r="DF37" s="2060"/>
      <c r="DG37" s="2060"/>
      <c r="DH37" s="2060"/>
      <c r="DI37" s="2060"/>
      <c r="DJ37" s="2060"/>
      <c r="DK37" s="2060"/>
      <c r="DL37" s="2060"/>
      <c r="DM37" s="2060"/>
      <c r="DN37" s="2060"/>
      <c r="DO37" s="2060"/>
      <c r="DP37" s="2060"/>
      <c r="DQ37" s="2060"/>
      <c r="DR37" s="2060"/>
      <c r="DS37" s="2060"/>
      <c r="DT37" s="2060"/>
      <c r="DU37" s="2060"/>
      <c r="DV37" s="2060"/>
      <c r="DW37" s="2060"/>
      <c r="DX37" s="2060"/>
      <c r="DY37" s="2060"/>
      <c r="DZ37" s="2060"/>
      <c r="EA37" s="2060"/>
      <c r="EB37" s="2060"/>
      <c r="EC37" s="2060"/>
      <c r="ED37" s="2060"/>
      <c r="EE37" s="2060"/>
      <c r="EF37" s="2060"/>
      <c r="EG37" s="2060"/>
      <c r="EH37" s="2060"/>
      <c r="EI37" s="2060"/>
      <c r="EJ37" s="2060"/>
      <c r="EK37" s="2060"/>
      <c r="EL37" s="2060"/>
      <c r="EM37" s="2060"/>
      <c r="EN37" s="2060"/>
      <c r="EO37" s="2060"/>
      <c r="EP37" s="2060"/>
      <c r="EQ37" s="2060"/>
      <c r="ER37" s="2060"/>
      <c r="ES37" s="2060"/>
      <c r="ET37" s="2060"/>
      <c r="EU37" s="2060"/>
      <c r="EV37" s="2060"/>
      <c r="EW37" s="2060"/>
      <c r="EX37" s="2060"/>
      <c r="EY37" s="2060"/>
      <c r="EZ37" s="2060"/>
      <c r="FA37" s="2060"/>
      <c r="FB37" s="2060"/>
      <c r="FC37" s="2060"/>
      <c r="FD37" s="2060"/>
      <c r="FE37" s="2060"/>
      <c r="FF37" s="2060"/>
      <c r="FG37" s="2060"/>
      <c r="FH37" s="2060"/>
      <c r="FI37" s="2060"/>
      <c r="FJ37" s="2060"/>
      <c r="FK37" s="2060"/>
      <c r="FL37" s="2060"/>
      <c r="FM37" s="2060"/>
      <c r="FN37" s="2060"/>
      <c r="FO37" s="2060"/>
      <c r="FP37" s="2060"/>
      <c r="FQ37" s="2060"/>
      <c r="FR37" s="2060"/>
      <c r="FS37" s="2060"/>
      <c r="FT37" s="2060"/>
      <c r="FU37" s="2060"/>
      <c r="FV37" s="2060"/>
      <c r="FW37" s="2060"/>
      <c r="FX37" s="2060"/>
      <c r="FY37" s="2060"/>
      <c r="FZ37" s="2060"/>
      <c r="GA37" s="2060"/>
      <c r="GB37" s="2060"/>
      <c r="GC37" s="2060"/>
      <c r="GD37" s="2060"/>
      <c r="GE37" s="2060"/>
      <c r="GF37" s="2060"/>
      <c r="GG37" s="2060"/>
      <c r="GH37" s="2060"/>
      <c r="GI37" s="2060"/>
      <c r="GJ37" s="2060"/>
      <c r="GK37" s="2060"/>
      <c r="GL37" s="2060"/>
      <c r="GM37" s="2060"/>
      <c r="GN37" s="2060"/>
      <c r="GO37" s="2060"/>
      <c r="GP37" s="2060"/>
      <c r="GQ37" s="2060"/>
      <c r="GR37" s="2060"/>
      <c r="GS37" s="2060"/>
      <c r="GT37" s="2060"/>
      <c r="GU37" s="2060"/>
      <c r="GV37" s="2060"/>
      <c r="GW37" s="2060"/>
      <c r="GX37" s="2060"/>
      <c r="GY37" s="2060"/>
      <c r="GZ37" s="2060"/>
      <c r="HA37" s="2060"/>
      <c r="HB37" s="2060"/>
      <c r="HC37" s="2060"/>
      <c r="HD37" s="2060"/>
      <c r="HE37" s="2060"/>
      <c r="HF37" s="2060"/>
      <c r="HG37" s="2060"/>
      <c r="HH37" s="2060"/>
      <c r="HI37" s="2060"/>
      <c r="HJ37" s="2060"/>
      <c r="HK37" s="2060"/>
      <c r="HL37" s="2060"/>
      <c r="HM37" s="2060"/>
      <c r="HN37" s="2060"/>
      <c r="HO37" s="2060"/>
      <c r="HP37" s="2060"/>
      <c r="HQ37" s="2060"/>
      <c r="HR37" s="2060"/>
      <c r="HS37" s="2060"/>
      <c r="HT37" s="2060"/>
      <c r="HU37" s="2060"/>
      <c r="HV37" s="2060"/>
      <c r="HW37" s="2060"/>
      <c r="HX37" s="2060"/>
      <c r="HY37" s="2060"/>
      <c r="HZ37" s="2060"/>
      <c r="IA37" s="2060"/>
      <c r="IB37" s="2060"/>
      <c r="IC37" s="2060"/>
      <c r="ID37" s="2060"/>
      <c r="IE37" s="2060"/>
      <c r="IF37" s="2060"/>
      <c r="IG37" s="2060"/>
      <c r="IH37" s="2060"/>
      <c r="II37" s="2060"/>
      <c r="IJ37" s="2060"/>
      <c r="IK37" s="2060"/>
      <c r="IL37" s="2060"/>
      <c r="IM37" s="2060"/>
      <c r="IN37" s="2060"/>
      <c r="IO37" s="2060"/>
      <c r="IP37" s="2060"/>
      <c r="IQ37" s="2060"/>
      <c r="IR37" s="2060"/>
      <c r="IS37" s="2060"/>
      <c r="IT37" s="2060"/>
      <c r="IU37" s="2060"/>
      <c r="IV37" s="2060"/>
      <c r="IW37" s="2060"/>
      <c r="IX37" s="2060"/>
      <c r="IY37" s="2060"/>
      <c r="IZ37" s="2060"/>
      <c r="JA37" s="2060"/>
      <c r="JB37" s="2060"/>
      <c r="JC37" s="2060"/>
      <c r="JD37" s="2060"/>
      <c r="JE37" s="2060"/>
      <c r="JF37" s="2060"/>
      <c r="JG37" s="2060"/>
      <c r="JH37" s="2060"/>
      <c r="JI37" s="2060"/>
      <c r="JJ37" s="2060"/>
      <c r="JK37" s="2060"/>
      <c r="JL37" s="2060"/>
      <c r="JM37" s="2060"/>
      <c r="JN37" s="2060"/>
      <c r="JO37" s="2060"/>
      <c r="JP37" s="2060"/>
      <c r="JQ37" s="2060"/>
      <c r="JR37" s="2060"/>
      <c r="JS37" s="2060"/>
      <c r="JT37" s="2060"/>
      <c r="JU37" s="2060"/>
      <c r="JV37" s="2060"/>
      <c r="JW37" s="2060"/>
      <c r="JX37" s="2060"/>
      <c r="JY37" s="2060"/>
      <c r="JZ37" s="2060"/>
      <c r="KA37" s="2060"/>
      <c r="KB37" s="2060"/>
      <c r="KC37" s="2060"/>
      <c r="KD37" s="2060"/>
      <c r="KE37" s="2060"/>
      <c r="KF37" s="2060"/>
      <c r="KG37" s="2060"/>
      <c r="KH37" s="2060"/>
      <c r="KI37" s="2060"/>
      <c r="KJ37" s="2060"/>
      <c r="KK37" s="2060"/>
      <c r="KL37" s="2060"/>
      <c r="KM37" s="2060"/>
      <c r="KN37" s="2060"/>
      <c r="KO37" s="2060"/>
      <c r="KP37" s="2060"/>
      <c r="KQ37" s="2060"/>
      <c r="KR37" s="2060"/>
      <c r="KS37" s="2060"/>
      <c r="KT37" s="2060"/>
      <c r="KU37" s="2060"/>
      <c r="KV37" s="2060"/>
      <c r="KW37" s="2060"/>
      <c r="KX37" s="2060"/>
      <c r="KY37" s="2060"/>
      <c r="KZ37" s="2060"/>
      <c r="LA37" s="2060"/>
      <c r="LB37" s="2060"/>
      <c r="LC37" s="2060"/>
      <c r="LD37" s="2060"/>
      <c r="LE37" s="2060"/>
      <c r="LF37" s="2060"/>
      <c r="LG37" s="2060"/>
      <c r="LH37" s="2060"/>
    </row>
    <row r="38" spans="1:320" s="1499" customFormat="1" ht="13.9">
      <c r="A38" s="269" t="str">
        <f t="shared" si="7"/>
        <v>n</v>
      </c>
      <c r="B38" s="588"/>
      <c r="C38" s="2060"/>
      <c r="D38" s="779">
        <f t="shared" ca="1" si="0"/>
        <v>1.1900000000000002</v>
      </c>
      <c r="E38" s="772" t="str">
        <f>IF(OR('WACC and TIC Inputs'!$D147="x",$G38=""),"--",_xll.ciqfunctions.udf.CIQ($G38,"IQ_COMPANY_NAME"))</f>
        <v>--</v>
      </c>
      <c r="F38" s="2060"/>
      <c r="G38" s="2154"/>
      <c r="H38" s="1066"/>
      <c r="I38" s="256" t="str">
        <f>IF($E38="--","--",IF(_xll.ciqfunctions.udf.CIQ($G38,"IQ_COUNTRY_NAME")=0,"n/a",_xll.ciqfunctions.udf.CIQ($G38,"IQ_COUNTRY_NAME")))</f>
        <v>--</v>
      </c>
      <c r="J38" s="2060" t="str">
        <f>IF($E38="--","--",IF(OutputCurrency="Filing",_xll.ciqfunctions.udf.CIQ($G38,"IQ_FILING_CURRENCY",2000,Valuation_Date_GC),OutputCurrency))</f>
        <v>--</v>
      </c>
      <c r="K38" s="2163" t="str">
        <f t="shared" si="1"/>
        <v>--</v>
      </c>
      <c r="L38" s="2164"/>
      <c r="M38" s="2165"/>
      <c r="N38" s="2060" t="str">
        <f>IF($E38="--","--",_xll.ciqfunctions.udf.CIQ($G38,"IQ_TRADING_CURRENCY",Valuation_Date_GC))</f>
        <v>--</v>
      </c>
      <c r="O38" s="2060" t="str">
        <f t="shared" si="13"/>
        <v>--</v>
      </c>
      <c r="P38" s="2060" t="str">
        <f>IF(E38="--","--",IF(OR(LEFT(_xll.ciqfunctions.udf.CIQ(G38,"IQ_SP_LC_LT"),1)="(",_xll.ciqfunctions.udf.CIQ(G38,"IQ_SP_LC_LT")=0),"n/a",_xll.ciqfunctions.udf.CIQ(G38,"IQ_SP_LC_LT")))</f>
        <v>--</v>
      </c>
      <c r="Q38" s="2060" t="str">
        <f>IF($E38="--","--",_xll.ciqfunctions.udf.CIQ($G38,"IQ_PRIMARY_INDUSTRY"))</f>
        <v>--</v>
      </c>
      <c r="R38" s="2060"/>
      <c r="S38" s="44" t="str">
        <f t="shared" si="12"/>
        <v>--</v>
      </c>
      <c r="T38" s="2060" t="str">
        <f t="shared" si="3"/>
        <v>--</v>
      </c>
      <c r="U38" s="2060" t="str">
        <f t="shared" si="8"/>
        <v>--</v>
      </c>
      <c r="V38" s="2060"/>
      <c r="W38" s="2060"/>
      <c r="X38" s="2060"/>
      <c r="Y38" s="2060"/>
      <c r="Z38" s="1938"/>
      <c r="AA38" s="1938" t="s">
        <v>368</v>
      </c>
      <c r="AB38" s="1938" t="str">
        <f t="shared" si="9"/>
        <v>zzzz</v>
      </c>
      <c r="AC38" s="1938" t="s">
        <v>369</v>
      </c>
      <c r="AD38" s="2117" t="str">
        <f t="shared" si="4"/>
        <v/>
      </c>
      <c r="AE38" s="2060"/>
      <c r="AF38" s="43" t="str">
        <f t="shared" si="5"/>
        <v>--</v>
      </c>
      <c r="AG38" s="43" t="str">
        <f t="shared" si="6"/>
        <v>--</v>
      </c>
      <c r="AH38" s="2060"/>
      <c r="AI38" s="2060"/>
      <c r="AJ38" s="2060"/>
      <c r="AK38" s="2060"/>
      <c r="AL38" s="2060"/>
      <c r="AM38" s="2060"/>
      <c r="AN38" s="2060"/>
      <c r="AO38" s="2060" t="s">
        <v>418</v>
      </c>
      <c r="AP38" s="89"/>
      <c r="AQ38" s="89"/>
      <c r="AR38" s="2060"/>
      <c r="AS38" s="98" t="s">
        <v>402</v>
      </c>
      <c r="AT38" s="80" t="s">
        <v>403</v>
      </c>
      <c r="AU38" s="80" t="s">
        <v>162</v>
      </c>
      <c r="AV38" s="80" t="s">
        <v>419</v>
      </c>
      <c r="AW38" s="81" t="s">
        <v>420</v>
      </c>
      <c r="AX38" s="78" t="s">
        <v>244</v>
      </c>
      <c r="AY38" s="78" t="s">
        <v>131</v>
      </c>
      <c r="AZ38" s="78" t="s">
        <v>243</v>
      </c>
      <c r="BA38" s="78" t="s">
        <v>421</v>
      </c>
      <c r="BB38" s="78" t="s">
        <v>422</v>
      </c>
      <c r="BC38" s="2060"/>
      <c r="BD38" s="2060"/>
      <c r="BE38" s="2060"/>
      <c r="BF38" s="2060"/>
      <c r="BG38" s="2060"/>
      <c r="BH38" s="2060"/>
      <c r="BI38" s="2060"/>
      <c r="BJ38" s="2060"/>
      <c r="BK38" s="2060"/>
      <c r="BL38" s="2060"/>
      <c r="BM38" s="2060"/>
      <c r="BN38" s="2060"/>
      <c r="BO38" s="2060"/>
      <c r="BP38" s="2060"/>
      <c r="BQ38" s="2060"/>
      <c r="BR38" s="2060"/>
      <c r="BS38" s="2060"/>
      <c r="BT38" s="2060"/>
      <c r="BU38" s="2060"/>
      <c r="BV38" s="2060"/>
      <c r="BW38" s="2060"/>
      <c r="BX38" s="2060"/>
      <c r="BY38" s="2060"/>
      <c r="BZ38" s="2060"/>
      <c r="CA38" s="2060"/>
      <c r="CB38" s="2060"/>
      <c r="CC38" s="2060"/>
      <c r="CD38" s="2060"/>
      <c r="CE38" s="2060"/>
      <c r="CF38" s="2060"/>
      <c r="CG38" s="2060"/>
      <c r="CH38" s="2060"/>
      <c r="CI38" s="2060"/>
      <c r="CJ38" s="2060"/>
      <c r="CK38" s="2060"/>
      <c r="CL38" s="2060"/>
      <c r="CM38" s="2060"/>
      <c r="CN38" s="2060"/>
      <c r="CO38" s="2060"/>
      <c r="CP38" s="2060"/>
      <c r="CQ38" s="2060"/>
      <c r="CR38" s="2060"/>
      <c r="CS38" s="2060"/>
      <c r="CT38" s="2060"/>
      <c r="CU38" s="2060"/>
      <c r="CV38" s="2060"/>
      <c r="CW38" s="2060"/>
      <c r="CX38" s="2060"/>
      <c r="CY38" s="2060"/>
      <c r="CZ38" s="2060"/>
      <c r="DA38" s="2060"/>
      <c r="DB38" s="2060"/>
      <c r="DC38" s="2060"/>
      <c r="DD38" s="2060"/>
      <c r="DE38" s="2060"/>
      <c r="DF38" s="2060"/>
      <c r="DG38" s="2060"/>
      <c r="DH38" s="2060"/>
      <c r="DI38" s="2060"/>
      <c r="DJ38" s="2060"/>
      <c r="DK38" s="2060"/>
      <c r="DL38" s="2060"/>
      <c r="DM38" s="2060"/>
      <c r="DN38" s="2060"/>
      <c r="DO38" s="2060"/>
      <c r="DP38" s="2060"/>
      <c r="DQ38" s="2060"/>
      <c r="DR38" s="2060"/>
      <c r="DS38" s="2060"/>
      <c r="DT38" s="2060"/>
      <c r="DU38" s="2060"/>
      <c r="DV38" s="2060"/>
      <c r="DW38" s="2060"/>
      <c r="DX38" s="2060"/>
      <c r="DY38" s="2060"/>
      <c r="DZ38" s="2060"/>
      <c r="EA38" s="2060"/>
      <c r="EB38" s="2060"/>
      <c r="EC38" s="2060"/>
      <c r="ED38" s="2060"/>
      <c r="EE38" s="2060"/>
      <c r="EF38" s="2060"/>
      <c r="EG38" s="2060"/>
      <c r="EH38" s="2060"/>
      <c r="EI38" s="2060"/>
      <c r="EJ38" s="2060"/>
      <c r="EK38" s="2060"/>
      <c r="EL38" s="2060"/>
      <c r="EM38" s="2060"/>
      <c r="EN38" s="2060"/>
      <c r="EO38" s="2060"/>
      <c r="EP38" s="2060"/>
      <c r="EQ38" s="2060"/>
      <c r="ER38" s="2060"/>
      <c r="ES38" s="2060"/>
      <c r="ET38" s="2060"/>
      <c r="EU38" s="2060"/>
      <c r="EV38" s="2060"/>
      <c r="EW38" s="2060"/>
      <c r="EX38" s="2060"/>
      <c r="EY38" s="2060"/>
      <c r="EZ38" s="2060"/>
      <c r="FA38" s="2060"/>
      <c r="FB38" s="2060"/>
      <c r="FC38" s="2060"/>
      <c r="FD38" s="2060"/>
      <c r="FE38" s="2060"/>
      <c r="FF38" s="2060"/>
      <c r="FG38" s="2060"/>
      <c r="FH38" s="2060"/>
      <c r="FI38" s="2060"/>
      <c r="FJ38" s="2060"/>
      <c r="FK38" s="2060"/>
      <c r="FL38" s="2060"/>
      <c r="FM38" s="2060"/>
      <c r="FN38" s="2060"/>
      <c r="FO38" s="2060"/>
      <c r="FP38" s="2060"/>
      <c r="FQ38" s="2060"/>
      <c r="FR38" s="2060"/>
      <c r="FS38" s="2060"/>
      <c r="FT38" s="2060"/>
      <c r="FU38" s="2060"/>
      <c r="FV38" s="2060"/>
      <c r="FW38" s="2060"/>
      <c r="FX38" s="2060"/>
      <c r="FY38" s="2060"/>
      <c r="FZ38" s="2060"/>
      <c r="GA38" s="2060"/>
      <c r="GB38" s="2060"/>
      <c r="GC38" s="2060"/>
      <c r="GD38" s="2060"/>
      <c r="GE38" s="2060"/>
      <c r="GF38" s="2060"/>
      <c r="GG38" s="2060"/>
      <c r="GH38" s="2060"/>
      <c r="GI38" s="2060"/>
      <c r="GJ38" s="2060"/>
      <c r="GK38" s="2060"/>
      <c r="GL38" s="2060"/>
      <c r="GM38" s="2060"/>
      <c r="GN38" s="2060"/>
      <c r="GO38" s="2060"/>
      <c r="GP38" s="2060"/>
      <c r="GQ38" s="2060"/>
      <c r="GR38" s="2060"/>
      <c r="GS38" s="2060"/>
      <c r="GT38" s="2060"/>
      <c r="GU38" s="2060"/>
      <c r="GV38" s="2060"/>
      <c r="GW38" s="2060"/>
      <c r="GX38" s="2060"/>
      <c r="GY38" s="2060"/>
      <c r="GZ38" s="2060"/>
      <c r="HA38" s="2060"/>
      <c r="HB38" s="2060"/>
      <c r="HC38" s="2060"/>
      <c r="HD38" s="2060"/>
      <c r="HE38" s="2060"/>
      <c r="HF38" s="2060"/>
      <c r="HG38" s="2060"/>
      <c r="HH38" s="2060"/>
      <c r="HI38" s="2060"/>
      <c r="HJ38" s="2060"/>
      <c r="HK38" s="2060"/>
      <c r="HL38" s="2060"/>
      <c r="HM38" s="2060"/>
      <c r="HN38" s="2060"/>
      <c r="HO38" s="2060"/>
      <c r="HP38" s="2060"/>
      <c r="HQ38" s="2060"/>
      <c r="HR38" s="2060"/>
      <c r="HS38" s="2060"/>
      <c r="HT38" s="2060"/>
      <c r="HU38" s="2060"/>
      <c r="HV38" s="2060"/>
      <c r="HW38" s="2060"/>
      <c r="HX38" s="2060"/>
      <c r="HY38" s="2060"/>
      <c r="HZ38" s="2060"/>
      <c r="IA38" s="2060"/>
      <c r="IB38" s="2060"/>
      <c r="IC38" s="2060"/>
      <c r="ID38" s="2060"/>
      <c r="IE38" s="2060"/>
      <c r="IF38" s="2060"/>
      <c r="IG38" s="2060"/>
      <c r="IH38" s="2060"/>
      <c r="II38" s="2060"/>
      <c r="IJ38" s="2060"/>
      <c r="IK38" s="2060"/>
      <c r="IL38" s="2060"/>
      <c r="IM38" s="2060"/>
      <c r="IN38" s="2060"/>
      <c r="IO38" s="2060"/>
      <c r="IP38" s="2060"/>
      <c r="IQ38" s="2060"/>
      <c r="IR38" s="2060"/>
      <c r="IS38" s="2060"/>
      <c r="IT38" s="2060"/>
      <c r="IU38" s="2060"/>
      <c r="IV38" s="2060"/>
      <c r="IW38" s="2060"/>
      <c r="IX38" s="2060"/>
      <c r="IY38" s="2060"/>
      <c r="IZ38" s="2060"/>
      <c r="JA38" s="2060"/>
      <c r="JB38" s="2060"/>
      <c r="JC38" s="2060"/>
      <c r="JD38" s="2060"/>
      <c r="JE38" s="2060"/>
      <c r="JF38" s="2060"/>
      <c r="JG38" s="2060"/>
      <c r="JH38" s="2060"/>
      <c r="JI38" s="2060"/>
      <c r="JJ38" s="2060"/>
      <c r="JK38" s="2060"/>
      <c r="JL38" s="2060"/>
      <c r="JM38" s="2060"/>
      <c r="JN38" s="2060"/>
      <c r="JO38" s="2060"/>
      <c r="JP38" s="2060"/>
      <c r="JQ38" s="2060"/>
      <c r="JR38" s="2060"/>
      <c r="JS38" s="2060"/>
      <c r="JT38" s="2060"/>
      <c r="JU38" s="2060"/>
      <c r="JV38" s="2060"/>
      <c r="JW38" s="2060"/>
      <c r="JX38" s="2060"/>
      <c r="JY38" s="2060"/>
      <c r="JZ38" s="2060"/>
      <c r="KA38" s="2060"/>
      <c r="KB38" s="2060"/>
      <c r="KC38" s="2060"/>
      <c r="KD38" s="2060"/>
      <c r="KE38" s="2060"/>
      <c r="KF38" s="2060"/>
      <c r="KG38" s="2060"/>
      <c r="KH38" s="2060"/>
      <c r="KI38" s="2060"/>
      <c r="KJ38" s="2060"/>
      <c r="KK38" s="2060"/>
      <c r="KL38" s="2060"/>
      <c r="KM38" s="2060"/>
      <c r="KN38" s="2060"/>
      <c r="KO38" s="2060"/>
      <c r="KP38" s="2060"/>
      <c r="KQ38" s="2060"/>
      <c r="KR38" s="2060"/>
      <c r="KS38" s="2060"/>
      <c r="KT38" s="2060"/>
      <c r="KU38" s="2060"/>
      <c r="KV38" s="2060"/>
      <c r="KW38" s="2060"/>
      <c r="KX38" s="2060"/>
      <c r="KY38" s="2060"/>
      <c r="KZ38" s="2060"/>
      <c r="LA38" s="2060"/>
      <c r="LB38" s="2060"/>
      <c r="LC38" s="2060"/>
      <c r="LD38" s="2060"/>
      <c r="LE38" s="2060"/>
      <c r="LF38" s="2060"/>
      <c r="LG38" s="2060"/>
      <c r="LH38" s="2060"/>
    </row>
    <row r="39" spans="1:320" s="1499" customFormat="1" ht="13.9">
      <c r="A39" s="269" t="str">
        <f t="shared" si="7"/>
        <v>n</v>
      </c>
      <c r="B39" s="588"/>
      <c r="C39" s="2060"/>
      <c r="D39" s="779">
        <f t="shared" ca="1" si="0"/>
        <v>1.2000000000000002</v>
      </c>
      <c r="E39" s="772" t="str">
        <f>IF(OR('WACC and TIC Inputs'!$D148="x",$G39=""),"--",_xll.ciqfunctions.udf.CIQ($G39,"IQ_COMPANY_NAME"))</f>
        <v>--</v>
      </c>
      <c r="F39" s="2060"/>
      <c r="G39" s="2154"/>
      <c r="H39" s="1066"/>
      <c r="I39" s="256" t="str">
        <f>IF($E39="--","--",IF(_xll.ciqfunctions.udf.CIQ($G39,"IQ_COUNTRY_NAME")=0,"n/a",_xll.ciqfunctions.udf.CIQ($G39,"IQ_COUNTRY_NAME")))</f>
        <v>--</v>
      </c>
      <c r="J39" s="2060" t="str">
        <f>IF($E39="--","--",IF(OutputCurrency="Filing",_xll.ciqfunctions.udf.CIQ($G39,"IQ_FILING_CURRENCY",2000,Valuation_Date_GC),OutputCurrency))</f>
        <v>--</v>
      </c>
      <c r="K39" s="2163" t="str">
        <f t="shared" si="1"/>
        <v>--</v>
      </c>
      <c r="L39" s="2164"/>
      <c r="M39" s="2165"/>
      <c r="N39" s="2060" t="str">
        <f>IF($E39="--","--",_xll.ciqfunctions.udf.CIQ($G39,"IQ_TRADING_CURRENCY",Valuation_Date_GC))</f>
        <v>--</v>
      </c>
      <c r="O39" s="2060" t="str">
        <f t="shared" si="13"/>
        <v>--</v>
      </c>
      <c r="P39" s="2060" t="str">
        <f>IF(E39="--","--",IF(OR(LEFT(_xll.ciqfunctions.udf.CIQ(G39,"IQ_SP_LC_LT"),1)="(",_xll.ciqfunctions.udf.CIQ(G39,"IQ_SP_LC_LT")=0),"n/a",_xll.ciqfunctions.udf.CIQ(G39,"IQ_SP_LC_LT")))</f>
        <v>--</v>
      </c>
      <c r="Q39" s="2060" t="str">
        <f>IF($E39="--","--",_xll.ciqfunctions.udf.CIQ($G39,"IQ_PRIMARY_INDUSTRY"))</f>
        <v>--</v>
      </c>
      <c r="R39" s="2060"/>
      <c r="S39" s="44" t="str">
        <f t="shared" si="12"/>
        <v>--</v>
      </c>
      <c r="T39" s="2060" t="str">
        <f t="shared" si="3"/>
        <v>--</v>
      </c>
      <c r="U39" s="2060" t="str">
        <f t="shared" si="8"/>
        <v>--</v>
      </c>
      <c r="V39" s="2060"/>
      <c r="W39" s="2060"/>
      <c r="X39" s="2060"/>
      <c r="Y39" s="2060"/>
      <c r="Z39" s="1938"/>
      <c r="AA39" s="1938" t="s">
        <v>368</v>
      </c>
      <c r="AB39" s="1938" t="str">
        <f t="shared" si="9"/>
        <v>zzzz</v>
      </c>
      <c r="AC39" s="1938" t="s">
        <v>369</v>
      </c>
      <c r="AD39" s="2117" t="str">
        <f t="shared" si="4"/>
        <v/>
      </c>
      <c r="AE39" s="2060"/>
      <c r="AF39" s="43" t="str">
        <f t="shared" si="5"/>
        <v>--</v>
      </c>
      <c r="AG39" s="43" t="str">
        <f t="shared" si="6"/>
        <v>--</v>
      </c>
      <c r="AH39" s="2060"/>
      <c r="AI39" s="2060"/>
      <c r="AJ39" s="2060"/>
      <c r="AK39" s="2060"/>
      <c r="AL39" s="2060"/>
      <c r="AM39" s="2060"/>
      <c r="AN39" s="2060"/>
      <c r="AO39" s="2060" t="s">
        <v>423</v>
      </c>
      <c r="AP39" s="89"/>
      <c r="AQ39" s="89"/>
      <c r="AR39" s="2060"/>
      <c r="AS39" s="98" t="s">
        <v>402</v>
      </c>
      <c r="AT39" s="80" t="s">
        <v>403</v>
      </c>
      <c r="AU39" s="80" t="s">
        <v>162</v>
      </c>
      <c r="AV39" s="80" t="s">
        <v>424</v>
      </c>
      <c r="AW39" s="81" t="s">
        <v>425</v>
      </c>
      <c r="AX39" s="78" t="s">
        <v>251</v>
      </c>
      <c r="AY39" s="78" t="s">
        <v>406</v>
      </c>
      <c r="AZ39" s="78" t="s">
        <v>250</v>
      </c>
      <c r="BA39" s="78" t="s">
        <v>426</v>
      </c>
      <c r="BB39" s="78" t="s">
        <v>427</v>
      </c>
      <c r="BC39" s="2060"/>
      <c r="BD39" s="2060"/>
      <c r="BE39" s="2060"/>
      <c r="BF39" s="2060"/>
      <c r="BG39" s="2060"/>
      <c r="BH39" s="2060"/>
      <c r="BI39" s="2060"/>
      <c r="BJ39" s="2060"/>
      <c r="BK39" s="2060"/>
      <c r="BL39" s="2060"/>
      <c r="BM39" s="2060"/>
      <c r="BN39" s="2060"/>
      <c r="BO39" s="2060"/>
      <c r="BP39" s="2060"/>
      <c r="BQ39" s="2060"/>
      <c r="BR39" s="2060"/>
      <c r="BS39" s="2060"/>
      <c r="BT39" s="2060"/>
      <c r="BU39" s="2060"/>
      <c r="BV39" s="2060"/>
      <c r="BW39" s="2060"/>
      <c r="BX39" s="2060"/>
      <c r="BY39" s="2060"/>
      <c r="BZ39" s="2060"/>
      <c r="CA39" s="2060"/>
      <c r="CB39" s="2060"/>
      <c r="CC39" s="2060"/>
      <c r="CD39" s="2060"/>
      <c r="CE39" s="2060"/>
      <c r="CF39" s="2060"/>
      <c r="CG39" s="2060"/>
      <c r="CH39" s="2060"/>
      <c r="CI39" s="2060"/>
      <c r="CJ39" s="2060"/>
      <c r="CK39" s="2060"/>
      <c r="CL39" s="2060"/>
      <c r="CM39" s="2060"/>
      <c r="CN39" s="2060"/>
      <c r="CO39" s="2060"/>
      <c r="CP39" s="2060"/>
      <c r="CQ39" s="2060"/>
      <c r="CR39" s="2060"/>
      <c r="CS39" s="2060"/>
      <c r="CT39" s="2060"/>
      <c r="CU39" s="2060"/>
      <c r="CV39" s="2060"/>
      <c r="CW39" s="2060"/>
      <c r="CX39" s="2060"/>
      <c r="CY39" s="2060"/>
      <c r="CZ39" s="2060"/>
      <c r="DA39" s="2060"/>
      <c r="DB39" s="2060"/>
      <c r="DC39" s="2060"/>
      <c r="DD39" s="2060"/>
      <c r="DE39" s="2060"/>
      <c r="DF39" s="2060"/>
      <c r="DG39" s="2060"/>
      <c r="DH39" s="2060"/>
      <c r="DI39" s="2060"/>
      <c r="DJ39" s="2060"/>
      <c r="DK39" s="2060"/>
      <c r="DL39" s="2060"/>
      <c r="DM39" s="2060"/>
      <c r="DN39" s="2060"/>
      <c r="DO39" s="2060"/>
      <c r="DP39" s="2060"/>
      <c r="DQ39" s="2060"/>
      <c r="DR39" s="2060"/>
      <c r="DS39" s="2060"/>
      <c r="DT39" s="2060"/>
      <c r="DU39" s="2060"/>
      <c r="DV39" s="2060"/>
      <c r="DW39" s="2060"/>
      <c r="DX39" s="2060"/>
      <c r="DY39" s="2060"/>
      <c r="DZ39" s="2060"/>
      <c r="EA39" s="2060"/>
      <c r="EB39" s="2060"/>
      <c r="EC39" s="2060"/>
      <c r="ED39" s="2060"/>
      <c r="EE39" s="2060"/>
      <c r="EF39" s="2060"/>
      <c r="EG39" s="2060"/>
      <c r="EH39" s="2060"/>
      <c r="EI39" s="2060"/>
      <c r="EJ39" s="2060"/>
      <c r="EK39" s="2060"/>
      <c r="EL39" s="2060"/>
      <c r="EM39" s="2060"/>
      <c r="EN39" s="2060"/>
      <c r="EO39" s="2060"/>
      <c r="EP39" s="2060"/>
      <c r="EQ39" s="2060"/>
      <c r="ER39" s="2060"/>
      <c r="ES39" s="2060"/>
      <c r="ET39" s="2060"/>
      <c r="EU39" s="2060"/>
      <c r="EV39" s="2060"/>
      <c r="EW39" s="2060"/>
      <c r="EX39" s="2060"/>
      <c r="EY39" s="2060"/>
      <c r="EZ39" s="2060"/>
      <c r="FA39" s="2060"/>
      <c r="FB39" s="2060"/>
      <c r="FC39" s="2060"/>
      <c r="FD39" s="2060"/>
      <c r="FE39" s="2060"/>
      <c r="FF39" s="2060"/>
      <c r="FG39" s="2060"/>
      <c r="FH39" s="2060"/>
      <c r="FI39" s="2060"/>
      <c r="FJ39" s="2060"/>
      <c r="FK39" s="2060"/>
      <c r="FL39" s="2060"/>
      <c r="FM39" s="2060"/>
      <c r="FN39" s="2060"/>
      <c r="FO39" s="2060"/>
      <c r="FP39" s="2060"/>
      <c r="FQ39" s="2060"/>
      <c r="FR39" s="2060"/>
      <c r="FS39" s="2060"/>
      <c r="FT39" s="2060"/>
      <c r="FU39" s="2060"/>
      <c r="FV39" s="2060"/>
      <c r="FW39" s="2060"/>
      <c r="FX39" s="2060"/>
      <c r="FY39" s="2060"/>
      <c r="FZ39" s="2060"/>
      <c r="GA39" s="2060"/>
      <c r="GB39" s="2060"/>
      <c r="GC39" s="2060"/>
      <c r="GD39" s="2060"/>
      <c r="GE39" s="2060"/>
      <c r="GF39" s="2060"/>
      <c r="GG39" s="2060"/>
      <c r="GH39" s="2060"/>
      <c r="GI39" s="2060"/>
      <c r="GJ39" s="2060"/>
      <c r="GK39" s="2060"/>
      <c r="GL39" s="2060"/>
      <c r="GM39" s="2060"/>
      <c r="GN39" s="2060"/>
      <c r="GO39" s="2060"/>
      <c r="GP39" s="2060"/>
      <c r="GQ39" s="2060"/>
      <c r="GR39" s="2060"/>
      <c r="GS39" s="2060"/>
      <c r="GT39" s="2060"/>
      <c r="GU39" s="2060"/>
      <c r="GV39" s="2060"/>
      <c r="GW39" s="2060"/>
      <c r="GX39" s="2060"/>
      <c r="GY39" s="2060"/>
      <c r="GZ39" s="2060"/>
      <c r="HA39" s="2060"/>
      <c r="HB39" s="2060"/>
      <c r="HC39" s="2060"/>
      <c r="HD39" s="2060"/>
      <c r="HE39" s="2060"/>
      <c r="HF39" s="2060"/>
      <c r="HG39" s="2060"/>
      <c r="HH39" s="2060"/>
      <c r="HI39" s="2060"/>
      <c r="HJ39" s="2060"/>
      <c r="HK39" s="2060"/>
      <c r="HL39" s="2060"/>
      <c r="HM39" s="2060"/>
      <c r="HN39" s="2060"/>
      <c r="HO39" s="2060"/>
      <c r="HP39" s="2060"/>
      <c r="HQ39" s="2060"/>
      <c r="HR39" s="2060"/>
      <c r="HS39" s="2060"/>
      <c r="HT39" s="2060"/>
      <c r="HU39" s="2060"/>
      <c r="HV39" s="2060"/>
      <c r="HW39" s="2060"/>
      <c r="HX39" s="2060"/>
      <c r="HY39" s="2060"/>
      <c r="HZ39" s="2060"/>
      <c r="IA39" s="2060"/>
      <c r="IB39" s="2060"/>
      <c r="IC39" s="2060"/>
      <c r="ID39" s="2060"/>
      <c r="IE39" s="2060"/>
      <c r="IF39" s="2060"/>
      <c r="IG39" s="2060"/>
      <c r="IH39" s="2060"/>
      <c r="II39" s="2060"/>
      <c r="IJ39" s="2060"/>
      <c r="IK39" s="2060"/>
      <c r="IL39" s="2060"/>
      <c r="IM39" s="2060"/>
      <c r="IN39" s="2060"/>
      <c r="IO39" s="2060"/>
      <c r="IP39" s="2060"/>
      <c r="IQ39" s="2060"/>
      <c r="IR39" s="2060"/>
      <c r="IS39" s="2060"/>
      <c r="IT39" s="2060"/>
      <c r="IU39" s="2060"/>
      <c r="IV39" s="2060"/>
      <c r="IW39" s="2060"/>
      <c r="IX39" s="2060"/>
      <c r="IY39" s="2060"/>
      <c r="IZ39" s="2060"/>
      <c r="JA39" s="2060"/>
      <c r="JB39" s="2060"/>
      <c r="JC39" s="2060"/>
      <c r="JD39" s="2060"/>
      <c r="JE39" s="2060"/>
      <c r="JF39" s="2060"/>
      <c r="JG39" s="2060"/>
      <c r="JH39" s="2060"/>
      <c r="JI39" s="2060"/>
      <c r="JJ39" s="2060"/>
      <c r="JK39" s="2060"/>
      <c r="JL39" s="2060"/>
      <c r="JM39" s="2060"/>
      <c r="JN39" s="2060"/>
      <c r="JO39" s="2060"/>
      <c r="JP39" s="2060"/>
      <c r="JQ39" s="2060"/>
      <c r="JR39" s="2060"/>
      <c r="JS39" s="2060"/>
      <c r="JT39" s="2060"/>
      <c r="JU39" s="2060"/>
      <c r="JV39" s="2060"/>
      <c r="JW39" s="2060"/>
      <c r="JX39" s="2060"/>
      <c r="JY39" s="2060"/>
      <c r="JZ39" s="2060"/>
      <c r="KA39" s="2060"/>
      <c r="KB39" s="2060"/>
      <c r="KC39" s="2060"/>
      <c r="KD39" s="2060"/>
      <c r="KE39" s="2060"/>
      <c r="KF39" s="2060"/>
      <c r="KG39" s="2060"/>
      <c r="KH39" s="2060"/>
      <c r="KI39" s="2060"/>
      <c r="KJ39" s="2060"/>
      <c r="KK39" s="2060"/>
      <c r="KL39" s="2060"/>
      <c r="KM39" s="2060"/>
      <c r="KN39" s="2060"/>
      <c r="KO39" s="2060"/>
      <c r="KP39" s="2060"/>
      <c r="KQ39" s="2060"/>
      <c r="KR39" s="2060"/>
      <c r="KS39" s="2060"/>
      <c r="KT39" s="2060"/>
      <c r="KU39" s="2060"/>
      <c r="KV39" s="2060"/>
      <c r="KW39" s="2060"/>
      <c r="KX39" s="2060"/>
      <c r="KY39" s="2060"/>
      <c r="KZ39" s="2060"/>
      <c r="LA39" s="2060"/>
      <c r="LB39" s="2060"/>
      <c r="LC39" s="2060"/>
      <c r="LD39" s="2060"/>
      <c r="LE39" s="2060"/>
      <c r="LF39" s="2060"/>
      <c r="LG39" s="2060"/>
      <c r="LH39" s="2060"/>
    </row>
    <row r="40" spans="1:320" s="1499" customFormat="1" ht="13.9">
      <c r="A40" s="269" t="str">
        <f t="shared" si="7"/>
        <v>n</v>
      </c>
      <c r="B40" s="588"/>
      <c r="C40" s="2060"/>
      <c r="D40" s="779">
        <f t="shared" ca="1" si="0"/>
        <v>1.2100000000000002</v>
      </c>
      <c r="E40" s="772" t="str">
        <f>IF(OR('WACC and TIC Inputs'!$D149="x",$G40=""),"--",_xll.ciqfunctions.udf.CIQ($G40,"IQ_COMPANY_NAME"))</f>
        <v>--</v>
      </c>
      <c r="F40" s="2060"/>
      <c r="G40" s="2154"/>
      <c r="H40" s="1066"/>
      <c r="I40" s="256" t="str">
        <f>IF($E40="--","--",IF(_xll.ciqfunctions.udf.CIQ($G40,"IQ_COUNTRY_NAME")=0,"n/a",_xll.ciqfunctions.udf.CIQ($G40,"IQ_COUNTRY_NAME")))</f>
        <v>--</v>
      </c>
      <c r="J40" s="2060" t="str">
        <f>IF($E40="--","--",IF(OutputCurrency="Filing",_xll.ciqfunctions.udf.CIQ($G40,"IQ_FILING_CURRENCY",2000,Valuation_Date_GC),OutputCurrency))</f>
        <v>--</v>
      </c>
      <c r="K40" s="2163" t="str">
        <f t="shared" si="1"/>
        <v>--</v>
      </c>
      <c r="L40" s="2164"/>
      <c r="M40" s="2165"/>
      <c r="N40" s="2060" t="str">
        <f>IF($E40="--","--",_xll.ciqfunctions.udf.CIQ($G40,"IQ_TRADING_CURRENCY",Valuation_Date_GC))</f>
        <v>--</v>
      </c>
      <c r="O40" s="2060" t="str">
        <f t="shared" si="13"/>
        <v>--</v>
      </c>
      <c r="P40" s="2060" t="str">
        <f>IF(E40="--","--",IF(OR(LEFT(_xll.ciqfunctions.udf.CIQ(G40,"IQ_SP_LC_LT"),1)="(",_xll.ciqfunctions.udf.CIQ(G40,"IQ_SP_LC_LT")=0),"n/a",_xll.ciqfunctions.udf.CIQ(G40,"IQ_SP_LC_LT")))</f>
        <v>--</v>
      </c>
      <c r="Q40" s="2060" t="str">
        <f>IF($E40="--","--",_xll.ciqfunctions.udf.CIQ($G40,"IQ_PRIMARY_INDUSTRY"))</f>
        <v>--</v>
      </c>
      <c r="R40" s="2060"/>
      <c r="S40" s="44" t="str">
        <f t="shared" si="12"/>
        <v>--</v>
      </c>
      <c r="T40" s="2060" t="str">
        <f t="shared" si="3"/>
        <v>--</v>
      </c>
      <c r="U40" s="2060" t="str">
        <f t="shared" si="8"/>
        <v>--</v>
      </c>
      <c r="V40" s="2060"/>
      <c r="W40" s="2060"/>
      <c r="X40" s="2060"/>
      <c r="Y40" s="2060"/>
      <c r="Z40" s="1938"/>
      <c r="AA40" s="1938" t="s">
        <v>368</v>
      </c>
      <c r="AB40" s="1938" t="str">
        <f t="shared" si="9"/>
        <v>zzzz</v>
      </c>
      <c r="AC40" s="1938" t="s">
        <v>369</v>
      </c>
      <c r="AD40" s="2117" t="str">
        <f t="shared" si="4"/>
        <v/>
      </c>
      <c r="AE40" s="2060"/>
      <c r="AF40" s="43" t="str">
        <f t="shared" si="5"/>
        <v>--</v>
      </c>
      <c r="AG40" s="43" t="str">
        <f t="shared" si="6"/>
        <v>--</v>
      </c>
      <c r="AH40" s="2060"/>
      <c r="AI40" s="2060"/>
      <c r="AJ40" s="2060"/>
      <c r="AK40" s="2060"/>
      <c r="AL40" s="2060"/>
      <c r="AM40" s="2060"/>
      <c r="AN40" s="2060"/>
      <c r="AO40" s="2060" t="s">
        <v>428</v>
      </c>
      <c r="AP40" s="89"/>
      <c r="AQ40" s="89"/>
      <c r="AR40" s="2060"/>
      <c r="AS40" s="98" t="s">
        <v>429</v>
      </c>
      <c r="AT40" s="80" t="s">
        <v>430</v>
      </c>
      <c r="AU40" s="80" t="s">
        <v>162</v>
      </c>
      <c r="AV40" s="80" t="s">
        <v>431</v>
      </c>
      <c r="AW40" s="81" t="s">
        <v>432</v>
      </c>
      <c r="AX40" s="78" t="s">
        <v>260</v>
      </c>
      <c r="AY40" s="78" t="s">
        <v>433</v>
      </c>
      <c r="AZ40" s="78" t="s">
        <v>259</v>
      </c>
      <c r="BA40" s="210" t="s">
        <v>434</v>
      </c>
      <c r="BB40" s="78" t="s">
        <v>435</v>
      </c>
      <c r="BC40" s="2060"/>
      <c r="BD40" s="2060"/>
      <c r="BE40" s="2060"/>
      <c r="BF40" s="2060"/>
      <c r="BG40" s="2060"/>
      <c r="BH40" s="2060"/>
      <c r="BI40" s="2060"/>
      <c r="BJ40" s="2060"/>
      <c r="BK40" s="2060"/>
      <c r="BL40" s="2060"/>
      <c r="BM40" s="2060"/>
      <c r="BN40" s="2060"/>
      <c r="BO40" s="2060"/>
      <c r="BP40" s="2060"/>
      <c r="BQ40" s="2060"/>
      <c r="BR40" s="2060"/>
      <c r="BS40" s="2060"/>
      <c r="BT40" s="2060"/>
      <c r="BU40" s="2060"/>
      <c r="BV40" s="2060"/>
      <c r="BW40" s="2060"/>
      <c r="BX40" s="2060"/>
      <c r="BY40" s="2060"/>
      <c r="BZ40" s="2060"/>
      <c r="CA40" s="2060"/>
      <c r="CB40" s="2060"/>
      <c r="CC40" s="2060"/>
      <c r="CD40" s="2060"/>
      <c r="CE40" s="2060"/>
      <c r="CF40" s="2060"/>
      <c r="CG40" s="2060"/>
      <c r="CH40" s="2060"/>
      <c r="CI40" s="2060"/>
      <c r="CJ40" s="2060"/>
      <c r="CK40" s="2060"/>
      <c r="CL40" s="2060"/>
      <c r="CM40" s="2060"/>
      <c r="CN40" s="2060"/>
      <c r="CO40" s="2060"/>
      <c r="CP40" s="2060"/>
      <c r="CQ40" s="2060"/>
      <c r="CR40" s="2060"/>
      <c r="CS40" s="2060"/>
      <c r="CT40" s="2060"/>
      <c r="CU40" s="2060"/>
      <c r="CV40" s="2060"/>
      <c r="CW40" s="2060"/>
      <c r="CX40" s="2060"/>
      <c r="CY40" s="2060"/>
      <c r="CZ40" s="2060"/>
      <c r="DA40" s="2060"/>
      <c r="DB40" s="2060"/>
      <c r="DC40" s="2060"/>
      <c r="DD40" s="2060"/>
      <c r="DE40" s="2060"/>
      <c r="DF40" s="2060"/>
      <c r="DG40" s="2060"/>
      <c r="DH40" s="2060"/>
      <c r="DI40" s="2060"/>
      <c r="DJ40" s="2060"/>
      <c r="DK40" s="2060"/>
      <c r="DL40" s="2060"/>
      <c r="DM40" s="2060"/>
      <c r="DN40" s="2060"/>
      <c r="DO40" s="2060"/>
      <c r="DP40" s="2060"/>
      <c r="DQ40" s="2060"/>
      <c r="DR40" s="2060"/>
      <c r="DS40" s="2060"/>
      <c r="DT40" s="2060"/>
      <c r="DU40" s="2060"/>
      <c r="DV40" s="2060"/>
      <c r="DW40" s="2060"/>
      <c r="DX40" s="2060"/>
      <c r="DY40" s="2060"/>
      <c r="DZ40" s="2060"/>
      <c r="EA40" s="2060"/>
      <c r="EB40" s="2060"/>
      <c r="EC40" s="2060"/>
      <c r="ED40" s="2060"/>
      <c r="EE40" s="2060"/>
      <c r="EF40" s="2060"/>
      <c r="EG40" s="2060"/>
      <c r="EH40" s="2060"/>
      <c r="EI40" s="2060"/>
      <c r="EJ40" s="2060"/>
      <c r="EK40" s="2060"/>
      <c r="EL40" s="2060"/>
      <c r="EM40" s="2060"/>
      <c r="EN40" s="2060"/>
      <c r="EO40" s="2060"/>
      <c r="EP40" s="2060"/>
      <c r="EQ40" s="2060"/>
      <c r="ER40" s="2060"/>
      <c r="ES40" s="2060"/>
      <c r="ET40" s="2060"/>
      <c r="EU40" s="2060"/>
      <c r="EV40" s="2060"/>
      <c r="EW40" s="2060"/>
      <c r="EX40" s="2060"/>
      <c r="EY40" s="2060"/>
      <c r="EZ40" s="2060"/>
      <c r="FA40" s="2060"/>
      <c r="FB40" s="2060"/>
      <c r="FC40" s="2060"/>
      <c r="FD40" s="2060"/>
      <c r="FE40" s="2060"/>
      <c r="FF40" s="2060"/>
      <c r="FG40" s="2060"/>
      <c r="FH40" s="2060"/>
      <c r="FI40" s="2060"/>
      <c r="FJ40" s="2060"/>
      <c r="FK40" s="2060"/>
      <c r="FL40" s="2060"/>
      <c r="FM40" s="2060"/>
      <c r="FN40" s="2060"/>
      <c r="FO40" s="2060"/>
      <c r="FP40" s="2060"/>
      <c r="FQ40" s="2060"/>
      <c r="FR40" s="2060"/>
      <c r="FS40" s="2060"/>
      <c r="FT40" s="2060"/>
      <c r="FU40" s="2060"/>
      <c r="FV40" s="2060"/>
      <c r="FW40" s="2060"/>
      <c r="FX40" s="2060"/>
      <c r="FY40" s="2060"/>
      <c r="FZ40" s="2060"/>
      <c r="GA40" s="2060"/>
      <c r="GB40" s="2060"/>
      <c r="GC40" s="2060"/>
      <c r="GD40" s="2060"/>
      <c r="GE40" s="2060"/>
      <c r="GF40" s="2060"/>
      <c r="GG40" s="2060"/>
      <c r="GH40" s="2060"/>
      <c r="GI40" s="2060"/>
      <c r="GJ40" s="2060"/>
      <c r="GK40" s="2060"/>
      <c r="GL40" s="2060"/>
      <c r="GM40" s="2060"/>
      <c r="GN40" s="2060"/>
      <c r="GO40" s="2060"/>
      <c r="GP40" s="2060"/>
      <c r="GQ40" s="2060"/>
      <c r="GR40" s="2060"/>
      <c r="GS40" s="2060"/>
      <c r="GT40" s="2060"/>
      <c r="GU40" s="2060"/>
      <c r="GV40" s="2060"/>
      <c r="GW40" s="2060"/>
      <c r="GX40" s="2060"/>
      <c r="GY40" s="2060"/>
      <c r="GZ40" s="2060"/>
      <c r="HA40" s="2060"/>
      <c r="HB40" s="2060"/>
      <c r="HC40" s="2060"/>
      <c r="HD40" s="2060"/>
      <c r="HE40" s="2060"/>
      <c r="HF40" s="2060"/>
      <c r="HG40" s="2060"/>
      <c r="HH40" s="2060"/>
      <c r="HI40" s="2060"/>
      <c r="HJ40" s="2060"/>
      <c r="HK40" s="2060"/>
      <c r="HL40" s="2060"/>
      <c r="HM40" s="2060"/>
      <c r="HN40" s="2060"/>
      <c r="HO40" s="2060"/>
      <c r="HP40" s="2060"/>
      <c r="HQ40" s="2060"/>
      <c r="HR40" s="2060"/>
      <c r="HS40" s="2060"/>
      <c r="HT40" s="2060"/>
      <c r="HU40" s="2060"/>
      <c r="HV40" s="2060"/>
      <c r="HW40" s="2060"/>
      <c r="HX40" s="2060"/>
      <c r="HY40" s="2060"/>
      <c r="HZ40" s="2060"/>
      <c r="IA40" s="2060"/>
      <c r="IB40" s="2060"/>
      <c r="IC40" s="2060"/>
      <c r="ID40" s="2060"/>
      <c r="IE40" s="2060"/>
      <c r="IF40" s="2060"/>
      <c r="IG40" s="2060"/>
      <c r="IH40" s="2060"/>
      <c r="II40" s="2060"/>
      <c r="IJ40" s="2060"/>
      <c r="IK40" s="2060"/>
      <c r="IL40" s="2060"/>
      <c r="IM40" s="2060"/>
      <c r="IN40" s="2060"/>
      <c r="IO40" s="2060"/>
      <c r="IP40" s="2060"/>
      <c r="IQ40" s="2060"/>
      <c r="IR40" s="2060"/>
      <c r="IS40" s="2060"/>
      <c r="IT40" s="2060"/>
      <c r="IU40" s="2060"/>
      <c r="IV40" s="2060"/>
      <c r="IW40" s="2060"/>
      <c r="IX40" s="2060"/>
      <c r="IY40" s="2060"/>
      <c r="IZ40" s="2060"/>
      <c r="JA40" s="2060"/>
      <c r="JB40" s="2060"/>
      <c r="JC40" s="2060"/>
      <c r="JD40" s="2060"/>
      <c r="JE40" s="2060"/>
      <c r="JF40" s="2060"/>
      <c r="JG40" s="2060"/>
      <c r="JH40" s="2060"/>
      <c r="JI40" s="2060"/>
      <c r="JJ40" s="2060"/>
      <c r="JK40" s="2060"/>
      <c r="JL40" s="2060"/>
      <c r="JM40" s="2060"/>
      <c r="JN40" s="2060"/>
      <c r="JO40" s="2060"/>
      <c r="JP40" s="2060"/>
      <c r="JQ40" s="2060"/>
      <c r="JR40" s="2060"/>
      <c r="JS40" s="2060"/>
      <c r="JT40" s="2060"/>
      <c r="JU40" s="2060"/>
      <c r="JV40" s="2060"/>
      <c r="JW40" s="2060"/>
      <c r="JX40" s="2060"/>
      <c r="JY40" s="2060"/>
      <c r="JZ40" s="2060"/>
      <c r="KA40" s="2060"/>
      <c r="KB40" s="2060"/>
      <c r="KC40" s="2060"/>
      <c r="KD40" s="2060"/>
      <c r="KE40" s="2060"/>
      <c r="KF40" s="2060"/>
      <c r="KG40" s="2060"/>
      <c r="KH40" s="2060"/>
      <c r="KI40" s="2060"/>
      <c r="KJ40" s="2060"/>
      <c r="KK40" s="2060"/>
      <c r="KL40" s="2060"/>
      <c r="KM40" s="2060"/>
      <c r="KN40" s="2060"/>
      <c r="KO40" s="2060"/>
      <c r="KP40" s="2060"/>
      <c r="KQ40" s="2060"/>
      <c r="KR40" s="2060"/>
      <c r="KS40" s="2060"/>
      <c r="KT40" s="2060"/>
      <c r="KU40" s="2060"/>
      <c r="KV40" s="2060"/>
      <c r="KW40" s="2060"/>
      <c r="KX40" s="2060"/>
      <c r="KY40" s="2060"/>
      <c r="KZ40" s="2060"/>
      <c r="LA40" s="2060"/>
      <c r="LB40" s="2060"/>
      <c r="LC40" s="2060"/>
      <c r="LD40" s="2060"/>
      <c r="LE40" s="2060"/>
      <c r="LF40" s="2060"/>
      <c r="LG40" s="2060"/>
      <c r="LH40" s="2060"/>
    </row>
    <row r="41" spans="1:320" s="1499" customFormat="1" ht="13.9">
      <c r="A41" s="269" t="str">
        <f t="shared" si="7"/>
        <v>n</v>
      </c>
      <c r="B41" s="588"/>
      <c r="C41" s="2060"/>
      <c r="D41" s="779">
        <f t="shared" ca="1" si="0"/>
        <v>1.2200000000000002</v>
      </c>
      <c r="E41" s="772" t="str">
        <f>IF(OR('WACC and TIC Inputs'!$D150="x",$G41=""),"--",_xll.ciqfunctions.udf.CIQ($G41,"IQ_COMPANY_NAME"))</f>
        <v>--</v>
      </c>
      <c r="F41" s="2060"/>
      <c r="G41" s="2154"/>
      <c r="H41" s="1066"/>
      <c r="I41" s="256" t="str">
        <f>IF($E41="--","--",IF(_xll.ciqfunctions.udf.CIQ($G41,"IQ_COUNTRY_NAME")=0,"n/a",_xll.ciqfunctions.udf.CIQ($G41,"IQ_COUNTRY_NAME")))</f>
        <v>--</v>
      </c>
      <c r="J41" s="2060" t="str">
        <f>IF($E41="--","--",IF(OutputCurrency="Filing",_xll.ciqfunctions.udf.CIQ($G41,"IQ_FILING_CURRENCY",2000,Valuation_Date_GC),OutputCurrency))</f>
        <v>--</v>
      </c>
      <c r="K41" s="2163" t="str">
        <f t="shared" si="1"/>
        <v>--</v>
      </c>
      <c r="L41" s="2164"/>
      <c r="M41" s="2165"/>
      <c r="N41" s="2060" t="str">
        <f>IF($E41="--","--",_xll.ciqfunctions.udf.CIQ($G41,"IQ_TRADING_CURRENCY",Valuation_Date_GC))</f>
        <v>--</v>
      </c>
      <c r="O41" s="2060" t="str">
        <f t="shared" si="13"/>
        <v>--</v>
      </c>
      <c r="P41" s="2060" t="str">
        <f>IF(E41="--","--",IF(OR(LEFT(_xll.ciqfunctions.udf.CIQ(G41,"IQ_SP_LC_LT"),1)="(",_xll.ciqfunctions.udf.CIQ(G41,"IQ_SP_LC_LT")=0),"n/a",_xll.ciqfunctions.udf.CIQ(G41,"IQ_SP_LC_LT")))</f>
        <v>--</v>
      </c>
      <c r="Q41" s="2060" t="str">
        <f>IF($E41="--","--",_xll.ciqfunctions.udf.CIQ($G41,"IQ_PRIMARY_INDUSTRY"))</f>
        <v>--</v>
      </c>
      <c r="R41" s="2060"/>
      <c r="S41" s="44" t="str">
        <f t="shared" si="12"/>
        <v>--</v>
      </c>
      <c r="T41" s="2060" t="str">
        <f t="shared" si="3"/>
        <v>--</v>
      </c>
      <c r="U41" s="2060" t="str">
        <f t="shared" si="8"/>
        <v>--</v>
      </c>
      <c r="V41" s="2060"/>
      <c r="W41" s="2060"/>
      <c r="X41" s="2060"/>
      <c r="Y41" s="2060"/>
      <c r="Z41" s="1938"/>
      <c r="AA41" s="1938" t="s">
        <v>368</v>
      </c>
      <c r="AB41" s="1938" t="str">
        <f t="shared" si="9"/>
        <v>zzzz</v>
      </c>
      <c r="AC41" s="1938" t="s">
        <v>369</v>
      </c>
      <c r="AD41" s="2117" t="str">
        <f t="shared" si="4"/>
        <v/>
      </c>
      <c r="AE41" s="2060"/>
      <c r="AF41" s="43" t="str">
        <f t="shared" si="5"/>
        <v>--</v>
      </c>
      <c r="AG41" s="43" t="str">
        <f t="shared" si="6"/>
        <v>--</v>
      </c>
      <c r="AH41" s="2060"/>
      <c r="AI41" s="2060"/>
      <c r="AJ41" s="2060"/>
      <c r="AK41" s="2060"/>
      <c r="AL41" s="2060"/>
      <c r="AM41" s="2060"/>
      <c r="AN41" s="2060"/>
      <c r="AO41" s="2060" t="s">
        <v>436</v>
      </c>
      <c r="AP41" s="89"/>
      <c r="AQ41" s="89"/>
      <c r="AR41" s="2060"/>
      <c r="AS41" s="98" t="s">
        <v>437</v>
      </c>
      <c r="AT41" s="80" t="s">
        <v>438</v>
      </c>
      <c r="AU41" s="80" t="s">
        <v>162</v>
      </c>
      <c r="AV41" s="80" t="s">
        <v>439</v>
      </c>
      <c r="AW41" s="81" t="s">
        <v>440</v>
      </c>
      <c r="AX41" s="78" t="s">
        <v>284</v>
      </c>
      <c r="AY41" s="78" t="s">
        <v>284</v>
      </c>
      <c r="AZ41" s="78" t="s">
        <v>283</v>
      </c>
      <c r="BA41" s="78" t="s">
        <v>441</v>
      </c>
      <c r="BB41" s="78" t="s">
        <v>442</v>
      </c>
      <c r="BC41" s="2060"/>
      <c r="BD41" s="2060"/>
      <c r="BE41" s="2060"/>
      <c r="BF41" s="2060"/>
      <c r="BG41" s="2060"/>
      <c r="BH41" s="2060"/>
      <c r="BI41" s="2060"/>
      <c r="BJ41" s="2060"/>
      <c r="BK41" s="2060"/>
      <c r="BL41" s="2060"/>
      <c r="BM41" s="2060"/>
      <c r="BN41" s="2060"/>
      <c r="BO41" s="2060"/>
      <c r="BP41" s="2060"/>
      <c r="BQ41" s="2060"/>
      <c r="BR41" s="2060"/>
      <c r="BS41" s="2060"/>
      <c r="BT41" s="2060"/>
      <c r="BU41" s="2060"/>
      <c r="BV41" s="2060"/>
      <c r="BW41" s="2060"/>
      <c r="BX41" s="2060"/>
      <c r="BY41" s="2060"/>
      <c r="BZ41" s="2060"/>
      <c r="CA41" s="2060"/>
      <c r="CB41" s="2060"/>
      <c r="CC41" s="2060"/>
      <c r="CD41" s="2060"/>
      <c r="CE41" s="2060"/>
      <c r="CF41" s="2060"/>
      <c r="CG41" s="2060"/>
      <c r="CH41" s="2060"/>
      <c r="CI41" s="2060"/>
      <c r="CJ41" s="2060"/>
      <c r="CK41" s="2060"/>
      <c r="CL41" s="2060"/>
      <c r="CM41" s="2060"/>
      <c r="CN41" s="2060"/>
      <c r="CO41" s="2060"/>
      <c r="CP41" s="2060"/>
      <c r="CQ41" s="2060"/>
      <c r="CR41" s="2060"/>
      <c r="CS41" s="2060"/>
      <c r="CT41" s="2060"/>
      <c r="CU41" s="2060"/>
      <c r="CV41" s="2060"/>
      <c r="CW41" s="2060"/>
      <c r="CX41" s="2060"/>
      <c r="CY41" s="2060"/>
      <c r="CZ41" s="2060"/>
      <c r="DA41" s="2060"/>
      <c r="DB41" s="2060"/>
      <c r="DC41" s="2060"/>
      <c r="DD41" s="2060"/>
      <c r="DE41" s="2060"/>
      <c r="DF41" s="2060"/>
      <c r="DG41" s="2060"/>
      <c r="DH41" s="2060"/>
      <c r="DI41" s="2060"/>
      <c r="DJ41" s="2060"/>
      <c r="DK41" s="2060"/>
      <c r="DL41" s="2060"/>
      <c r="DM41" s="2060"/>
      <c r="DN41" s="2060"/>
      <c r="DO41" s="2060"/>
      <c r="DP41" s="2060"/>
      <c r="DQ41" s="2060"/>
      <c r="DR41" s="2060"/>
      <c r="DS41" s="2060"/>
      <c r="DT41" s="2060"/>
      <c r="DU41" s="2060"/>
      <c r="DV41" s="2060"/>
      <c r="DW41" s="2060"/>
      <c r="DX41" s="2060"/>
      <c r="DY41" s="2060"/>
      <c r="DZ41" s="2060"/>
      <c r="EA41" s="2060"/>
      <c r="EB41" s="2060"/>
      <c r="EC41" s="2060"/>
      <c r="ED41" s="2060"/>
      <c r="EE41" s="2060"/>
      <c r="EF41" s="2060"/>
      <c r="EG41" s="2060"/>
      <c r="EH41" s="2060"/>
      <c r="EI41" s="2060"/>
      <c r="EJ41" s="2060"/>
      <c r="EK41" s="2060"/>
      <c r="EL41" s="2060"/>
      <c r="EM41" s="2060"/>
      <c r="EN41" s="2060"/>
      <c r="EO41" s="2060"/>
      <c r="EP41" s="2060"/>
      <c r="EQ41" s="2060"/>
      <c r="ER41" s="2060"/>
      <c r="ES41" s="2060"/>
      <c r="ET41" s="2060"/>
      <c r="EU41" s="2060"/>
      <c r="EV41" s="2060"/>
      <c r="EW41" s="2060"/>
      <c r="EX41" s="2060"/>
      <c r="EY41" s="2060"/>
      <c r="EZ41" s="2060"/>
      <c r="FA41" s="2060"/>
      <c r="FB41" s="2060"/>
      <c r="FC41" s="2060"/>
      <c r="FD41" s="2060"/>
      <c r="FE41" s="2060"/>
      <c r="FF41" s="2060"/>
      <c r="FG41" s="2060"/>
      <c r="FH41" s="2060"/>
      <c r="FI41" s="2060"/>
      <c r="FJ41" s="2060"/>
      <c r="FK41" s="2060"/>
      <c r="FL41" s="2060"/>
      <c r="FM41" s="2060"/>
      <c r="FN41" s="2060"/>
      <c r="FO41" s="2060"/>
      <c r="FP41" s="2060"/>
      <c r="FQ41" s="2060"/>
      <c r="FR41" s="2060"/>
      <c r="FS41" s="2060"/>
      <c r="FT41" s="2060"/>
      <c r="FU41" s="2060"/>
      <c r="FV41" s="2060"/>
      <c r="FW41" s="2060"/>
      <c r="FX41" s="2060"/>
      <c r="FY41" s="2060"/>
      <c r="FZ41" s="2060"/>
      <c r="GA41" s="2060"/>
      <c r="GB41" s="2060"/>
      <c r="GC41" s="2060"/>
      <c r="GD41" s="2060"/>
      <c r="GE41" s="2060"/>
      <c r="GF41" s="2060"/>
      <c r="GG41" s="2060"/>
      <c r="GH41" s="2060"/>
      <c r="GI41" s="2060"/>
      <c r="GJ41" s="2060"/>
      <c r="GK41" s="2060"/>
      <c r="GL41" s="2060"/>
      <c r="GM41" s="2060"/>
      <c r="GN41" s="2060"/>
      <c r="GO41" s="2060"/>
      <c r="GP41" s="2060"/>
      <c r="GQ41" s="2060"/>
      <c r="GR41" s="2060"/>
      <c r="GS41" s="2060"/>
      <c r="GT41" s="2060"/>
      <c r="GU41" s="2060"/>
      <c r="GV41" s="2060"/>
      <c r="GW41" s="2060"/>
      <c r="GX41" s="2060"/>
      <c r="GY41" s="2060"/>
      <c r="GZ41" s="2060"/>
      <c r="HA41" s="2060"/>
      <c r="HB41" s="2060"/>
      <c r="HC41" s="2060"/>
      <c r="HD41" s="2060"/>
      <c r="HE41" s="2060"/>
      <c r="HF41" s="2060"/>
      <c r="HG41" s="2060"/>
      <c r="HH41" s="2060"/>
      <c r="HI41" s="2060"/>
      <c r="HJ41" s="2060"/>
      <c r="HK41" s="2060"/>
      <c r="HL41" s="2060"/>
      <c r="HM41" s="2060"/>
      <c r="HN41" s="2060"/>
      <c r="HO41" s="2060"/>
      <c r="HP41" s="2060"/>
      <c r="HQ41" s="2060"/>
      <c r="HR41" s="2060"/>
      <c r="HS41" s="2060"/>
      <c r="HT41" s="2060"/>
      <c r="HU41" s="2060"/>
      <c r="HV41" s="2060"/>
      <c r="HW41" s="2060"/>
      <c r="HX41" s="2060"/>
      <c r="HY41" s="2060"/>
      <c r="HZ41" s="2060"/>
      <c r="IA41" s="2060"/>
      <c r="IB41" s="2060"/>
      <c r="IC41" s="2060"/>
      <c r="ID41" s="2060"/>
      <c r="IE41" s="2060"/>
      <c r="IF41" s="2060"/>
      <c r="IG41" s="2060"/>
      <c r="IH41" s="2060"/>
      <c r="II41" s="2060"/>
      <c r="IJ41" s="2060"/>
      <c r="IK41" s="2060"/>
      <c r="IL41" s="2060"/>
      <c r="IM41" s="2060"/>
      <c r="IN41" s="2060"/>
      <c r="IO41" s="2060"/>
      <c r="IP41" s="2060"/>
      <c r="IQ41" s="2060"/>
      <c r="IR41" s="2060"/>
      <c r="IS41" s="2060"/>
      <c r="IT41" s="2060"/>
      <c r="IU41" s="2060"/>
      <c r="IV41" s="2060"/>
      <c r="IW41" s="2060"/>
      <c r="IX41" s="2060"/>
      <c r="IY41" s="2060"/>
      <c r="IZ41" s="2060"/>
      <c r="JA41" s="2060"/>
      <c r="JB41" s="2060"/>
      <c r="JC41" s="2060"/>
      <c r="JD41" s="2060"/>
      <c r="JE41" s="2060"/>
      <c r="JF41" s="2060"/>
      <c r="JG41" s="2060"/>
      <c r="JH41" s="2060"/>
      <c r="JI41" s="2060"/>
      <c r="JJ41" s="2060"/>
      <c r="JK41" s="2060"/>
      <c r="JL41" s="2060"/>
      <c r="JM41" s="2060"/>
      <c r="JN41" s="2060"/>
      <c r="JO41" s="2060"/>
      <c r="JP41" s="2060"/>
      <c r="JQ41" s="2060"/>
      <c r="JR41" s="2060"/>
      <c r="JS41" s="2060"/>
      <c r="JT41" s="2060"/>
      <c r="JU41" s="2060"/>
      <c r="JV41" s="2060"/>
      <c r="JW41" s="2060"/>
      <c r="JX41" s="2060"/>
      <c r="JY41" s="2060"/>
      <c r="JZ41" s="2060"/>
      <c r="KA41" s="2060"/>
      <c r="KB41" s="2060"/>
      <c r="KC41" s="2060"/>
      <c r="KD41" s="2060"/>
      <c r="KE41" s="2060"/>
      <c r="KF41" s="2060"/>
      <c r="KG41" s="2060"/>
      <c r="KH41" s="2060"/>
      <c r="KI41" s="2060"/>
      <c r="KJ41" s="2060"/>
      <c r="KK41" s="2060"/>
      <c r="KL41" s="2060"/>
      <c r="KM41" s="2060"/>
      <c r="KN41" s="2060"/>
      <c r="KO41" s="2060"/>
      <c r="KP41" s="2060"/>
      <c r="KQ41" s="2060"/>
      <c r="KR41" s="2060"/>
      <c r="KS41" s="2060"/>
      <c r="KT41" s="2060"/>
      <c r="KU41" s="2060"/>
      <c r="KV41" s="2060"/>
      <c r="KW41" s="2060"/>
      <c r="KX41" s="2060"/>
      <c r="KY41" s="2060"/>
      <c r="KZ41" s="2060"/>
      <c r="LA41" s="2060"/>
      <c r="LB41" s="2060"/>
      <c r="LC41" s="2060"/>
      <c r="LD41" s="2060"/>
      <c r="LE41" s="2060"/>
      <c r="LF41" s="2060"/>
      <c r="LG41" s="2060"/>
      <c r="LH41" s="2060"/>
    </row>
    <row r="42" spans="1:320" s="1499" customFormat="1" ht="13.9">
      <c r="A42" s="269" t="str">
        <f t="shared" si="7"/>
        <v>n</v>
      </c>
      <c r="B42" s="588"/>
      <c r="C42" s="2060"/>
      <c r="D42" s="779">
        <f t="shared" ca="1" si="0"/>
        <v>1.2300000000000002</v>
      </c>
      <c r="E42" s="772" t="str">
        <f>IF(OR('WACC and TIC Inputs'!$D151="x",$G42=""),"--",_xll.ciqfunctions.udf.CIQ($G42,"IQ_COMPANY_NAME"))</f>
        <v>--</v>
      </c>
      <c r="F42" s="2060"/>
      <c r="G42" s="2186"/>
      <c r="H42" s="1066"/>
      <c r="I42" s="256" t="str">
        <f>IF($E42="--","--",IF(_xll.ciqfunctions.udf.CIQ($G42,"IQ_COUNTRY_NAME")=0,"n/a",_xll.ciqfunctions.udf.CIQ($G42,"IQ_COUNTRY_NAME")))</f>
        <v>--</v>
      </c>
      <c r="J42" s="2060" t="str">
        <f>IF($E42="--","--",IF(OutputCurrency="Filing",_xll.ciqfunctions.udf.CIQ($G42,"IQ_FILING_CURRENCY",2000,Valuation_Date_GC),OutputCurrency))</f>
        <v>--</v>
      </c>
      <c r="K42" s="2163" t="str">
        <f t="shared" si="1"/>
        <v>--</v>
      </c>
      <c r="L42" s="2164"/>
      <c r="M42" s="2165"/>
      <c r="N42" s="2060" t="str">
        <f>IF($E42="--","--",_xll.ciqfunctions.udf.CIQ($G42,"IQ_TRADING_CURRENCY",Valuation_Date_GC))</f>
        <v>--</v>
      </c>
      <c r="O42" s="2060" t="str">
        <f t="shared" si="13"/>
        <v>--</v>
      </c>
      <c r="P42" s="2060" t="str">
        <f>IF(E42="--","--",IF(OR(LEFT(_xll.ciqfunctions.udf.CIQ(G42,"IQ_SP_LC_LT"),1)="(",_xll.ciqfunctions.udf.CIQ(G42,"IQ_SP_LC_LT")=0),"n/a",_xll.ciqfunctions.udf.CIQ(G42,"IQ_SP_LC_LT")))</f>
        <v>--</v>
      </c>
      <c r="Q42" s="2060" t="str">
        <f>IF($E42="--","--",_xll.ciqfunctions.udf.CIQ($G42,"IQ_PRIMARY_INDUSTRY"))</f>
        <v>--</v>
      </c>
      <c r="R42" s="2060"/>
      <c r="S42" s="44" t="str">
        <f t="shared" si="12"/>
        <v>--</v>
      </c>
      <c r="T42" s="2060" t="str">
        <f t="shared" si="3"/>
        <v>--</v>
      </c>
      <c r="U42" s="2060" t="str">
        <f t="shared" si="8"/>
        <v>--</v>
      </c>
      <c r="V42" s="2060"/>
      <c r="W42" s="2060"/>
      <c r="X42" s="2060"/>
      <c r="Y42" s="2060"/>
      <c r="Z42" s="1938"/>
      <c r="AA42" s="1938" t="s">
        <v>368</v>
      </c>
      <c r="AB42" s="1938" t="str">
        <f t="shared" si="9"/>
        <v>zzzz</v>
      </c>
      <c r="AC42" s="1938" t="s">
        <v>369</v>
      </c>
      <c r="AD42" s="2117" t="str">
        <f t="shared" si="4"/>
        <v/>
      </c>
      <c r="AE42" s="2060"/>
      <c r="AF42" s="43" t="str">
        <f t="shared" si="5"/>
        <v>--</v>
      </c>
      <c r="AG42" s="43" t="str">
        <f t="shared" si="6"/>
        <v>--</v>
      </c>
      <c r="AH42" s="2060"/>
      <c r="AI42" s="2060"/>
      <c r="AJ42" s="2060"/>
      <c r="AK42" s="2060"/>
      <c r="AL42" s="2060"/>
      <c r="AM42" s="2060"/>
      <c r="AN42" s="2060"/>
      <c r="AO42" s="2060" t="s">
        <v>443</v>
      </c>
      <c r="AP42" s="89"/>
      <c r="AQ42" s="89"/>
      <c r="AR42" s="2060"/>
      <c r="AS42" s="98" t="s">
        <v>444</v>
      </c>
      <c r="AT42" s="80" t="s">
        <v>445</v>
      </c>
      <c r="AU42" s="80" t="s">
        <v>162</v>
      </c>
      <c r="AV42" s="80" t="s">
        <v>446</v>
      </c>
      <c r="AW42" s="81" t="s">
        <v>447</v>
      </c>
      <c r="AX42" s="78" t="s">
        <v>206</v>
      </c>
      <c r="AY42" s="78" t="s">
        <v>333</v>
      </c>
      <c r="AZ42" s="78" t="s">
        <v>205</v>
      </c>
      <c r="BA42" s="78" t="s">
        <v>448</v>
      </c>
      <c r="BB42" s="78" t="s">
        <v>49</v>
      </c>
      <c r="BC42" s="2060"/>
      <c r="BD42" s="2060"/>
      <c r="BE42" s="2060"/>
      <c r="BF42" s="2060"/>
      <c r="BG42" s="2060"/>
      <c r="BH42" s="2060"/>
      <c r="BI42" s="2060"/>
      <c r="BJ42" s="2060"/>
      <c r="BK42" s="2060"/>
      <c r="BL42" s="2060"/>
      <c r="BM42" s="2060"/>
      <c r="BN42" s="2060"/>
      <c r="BO42" s="2060"/>
      <c r="BP42" s="2060"/>
      <c r="BQ42" s="2060"/>
      <c r="BR42" s="2060"/>
      <c r="BS42" s="2060"/>
      <c r="BT42" s="2060"/>
      <c r="BU42" s="2060"/>
      <c r="BV42" s="2060"/>
      <c r="BW42" s="2060"/>
      <c r="BX42" s="2060"/>
      <c r="BY42" s="2060"/>
      <c r="BZ42" s="2060"/>
      <c r="CA42" s="2060"/>
      <c r="CB42" s="2060"/>
      <c r="CC42" s="2060"/>
      <c r="CD42" s="2060"/>
      <c r="CE42" s="2060"/>
      <c r="CF42" s="2060"/>
      <c r="CG42" s="2060"/>
      <c r="CH42" s="2060"/>
      <c r="CI42" s="2060"/>
      <c r="CJ42" s="2060"/>
      <c r="CK42" s="2060"/>
      <c r="CL42" s="2060"/>
      <c r="CM42" s="2060"/>
      <c r="CN42" s="2060"/>
      <c r="CO42" s="2060"/>
      <c r="CP42" s="2060"/>
      <c r="CQ42" s="2060"/>
      <c r="CR42" s="2060"/>
      <c r="CS42" s="2060"/>
      <c r="CT42" s="2060"/>
      <c r="CU42" s="2060"/>
      <c r="CV42" s="2060"/>
      <c r="CW42" s="2060"/>
      <c r="CX42" s="2060"/>
      <c r="CY42" s="2060"/>
      <c r="CZ42" s="2060"/>
      <c r="DA42" s="2060"/>
      <c r="DB42" s="2060"/>
      <c r="DC42" s="2060"/>
      <c r="DD42" s="2060"/>
      <c r="DE42" s="2060"/>
      <c r="DF42" s="2060"/>
      <c r="DG42" s="2060"/>
      <c r="DH42" s="2060"/>
      <c r="DI42" s="2060"/>
      <c r="DJ42" s="2060"/>
      <c r="DK42" s="2060"/>
      <c r="DL42" s="2060"/>
      <c r="DM42" s="2060"/>
      <c r="DN42" s="2060"/>
      <c r="DO42" s="2060"/>
      <c r="DP42" s="2060"/>
      <c r="DQ42" s="2060"/>
      <c r="DR42" s="2060"/>
      <c r="DS42" s="2060"/>
      <c r="DT42" s="2060"/>
      <c r="DU42" s="2060"/>
      <c r="DV42" s="2060"/>
      <c r="DW42" s="2060"/>
      <c r="DX42" s="2060"/>
      <c r="DY42" s="2060"/>
      <c r="DZ42" s="2060"/>
      <c r="EA42" s="2060"/>
      <c r="EB42" s="2060"/>
      <c r="EC42" s="2060"/>
      <c r="ED42" s="2060"/>
      <c r="EE42" s="2060"/>
      <c r="EF42" s="2060"/>
      <c r="EG42" s="2060"/>
      <c r="EH42" s="2060"/>
      <c r="EI42" s="2060"/>
      <c r="EJ42" s="2060"/>
      <c r="EK42" s="2060"/>
      <c r="EL42" s="2060"/>
      <c r="EM42" s="2060"/>
      <c r="EN42" s="2060"/>
      <c r="EO42" s="2060"/>
      <c r="EP42" s="2060"/>
      <c r="EQ42" s="2060"/>
      <c r="ER42" s="2060"/>
      <c r="ES42" s="2060"/>
      <c r="ET42" s="2060"/>
      <c r="EU42" s="2060"/>
      <c r="EV42" s="2060"/>
      <c r="EW42" s="2060"/>
      <c r="EX42" s="2060"/>
      <c r="EY42" s="2060"/>
      <c r="EZ42" s="2060"/>
      <c r="FA42" s="2060"/>
      <c r="FB42" s="2060"/>
      <c r="FC42" s="2060"/>
      <c r="FD42" s="2060"/>
      <c r="FE42" s="2060"/>
      <c r="FF42" s="2060"/>
      <c r="FG42" s="2060"/>
      <c r="FH42" s="2060"/>
      <c r="FI42" s="2060"/>
      <c r="FJ42" s="2060"/>
      <c r="FK42" s="2060"/>
      <c r="FL42" s="2060"/>
      <c r="FM42" s="2060"/>
      <c r="FN42" s="2060"/>
      <c r="FO42" s="2060"/>
      <c r="FP42" s="2060"/>
      <c r="FQ42" s="2060"/>
      <c r="FR42" s="2060"/>
      <c r="FS42" s="2060"/>
      <c r="FT42" s="2060"/>
      <c r="FU42" s="2060"/>
      <c r="FV42" s="2060"/>
      <c r="FW42" s="2060"/>
      <c r="FX42" s="2060"/>
      <c r="FY42" s="2060"/>
      <c r="FZ42" s="2060"/>
      <c r="GA42" s="2060"/>
      <c r="GB42" s="2060"/>
      <c r="GC42" s="2060"/>
      <c r="GD42" s="2060"/>
      <c r="GE42" s="2060"/>
      <c r="GF42" s="2060"/>
      <c r="GG42" s="2060"/>
      <c r="GH42" s="2060"/>
      <c r="GI42" s="2060"/>
      <c r="GJ42" s="2060"/>
      <c r="GK42" s="2060"/>
      <c r="GL42" s="2060"/>
      <c r="GM42" s="2060"/>
      <c r="GN42" s="2060"/>
      <c r="GO42" s="2060"/>
      <c r="GP42" s="2060"/>
      <c r="GQ42" s="2060"/>
      <c r="GR42" s="2060"/>
      <c r="GS42" s="2060"/>
      <c r="GT42" s="2060"/>
      <c r="GU42" s="2060"/>
      <c r="GV42" s="2060"/>
      <c r="GW42" s="2060"/>
      <c r="GX42" s="2060"/>
      <c r="GY42" s="2060"/>
      <c r="GZ42" s="2060"/>
      <c r="HA42" s="2060"/>
      <c r="HB42" s="2060"/>
      <c r="HC42" s="2060"/>
      <c r="HD42" s="2060"/>
      <c r="HE42" s="2060"/>
      <c r="HF42" s="2060"/>
      <c r="HG42" s="2060"/>
      <c r="HH42" s="2060"/>
      <c r="HI42" s="2060"/>
      <c r="HJ42" s="2060"/>
      <c r="HK42" s="2060"/>
      <c r="HL42" s="2060"/>
      <c r="HM42" s="2060"/>
      <c r="HN42" s="2060"/>
      <c r="HO42" s="2060"/>
      <c r="HP42" s="2060"/>
      <c r="HQ42" s="2060"/>
      <c r="HR42" s="2060"/>
      <c r="HS42" s="2060"/>
      <c r="HT42" s="2060"/>
      <c r="HU42" s="2060"/>
      <c r="HV42" s="2060"/>
      <c r="HW42" s="2060"/>
      <c r="HX42" s="2060"/>
      <c r="HY42" s="2060"/>
      <c r="HZ42" s="2060"/>
      <c r="IA42" s="2060"/>
      <c r="IB42" s="2060"/>
      <c r="IC42" s="2060"/>
      <c r="ID42" s="2060"/>
      <c r="IE42" s="2060"/>
      <c r="IF42" s="2060"/>
      <c r="IG42" s="2060"/>
      <c r="IH42" s="2060"/>
      <c r="II42" s="2060"/>
      <c r="IJ42" s="2060"/>
      <c r="IK42" s="2060"/>
      <c r="IL42" s="2060"/>
      <c r="IM42" s="2060"/>
      <c r="IN42" s="2060"/>
      <c r="IO42" s="2060"/>
      <c r="IP42" s="2060"/>
      <c r="IQ42" s="2060"/>
      <c r="IR42" s="2060"/>
      <c r="IS42" s="2060"/>
      <c r="IT42" s="2060"/>
      <c r="IU42" s="2060"/>
      <c r="IV42" s="2060"/>
      <c r="IW42" s="2060"/>
      <c r="IX42" s="2060"/>
      <c r="IY42" s="2060"/>
      <c r="IZ42" s="2060"/>
      <c r="JA42" s="2060"/>
      <c r="JB42" s="2060"/>
      <c r="JC42" s="2060"/>
      <c r="JD42" s="2060"/>
      <c r="JE42" s="2060"/>
      <c r="JF42" s="2060"/>
      <c r="JG42" s="2060"/>
      <c r="JH42" s="2060"/>
      <c r="JI42" s="2060"/>
      <c r="JJ42" s="2060"/>
      <c r="JK42" s="2060"/>
      <c r="JL42" s="2060"/>
      <c r="JM42" s="2060"/>
      <c r="JN42" s="2060"/>
      <c r="JO42" s="2060"/>
      <c r="JP42" s="2060"/>
      <c r="JQ42" s="2060"/>
      <c r="JR42" s="2060"/>
      <c r="JS42" s="2060"/>
      <c r="JT42" s="2060"/>
      <c r="JU42" s="2060"/>
      <c r="JV42" s="2060"/>
      <c r="JW42" s="2060"/>
      <c r="JX42" s="2060"/>
      <c r="JY42" s="2060"/>
      <c r="JZ42" s="2060"/>
      <c r="KA42" s="2060"/>
      <c r="KB42" s="2060"/>
      <c r="KC42" s="2060"/>
      <c r="KD42" s="2060"/>
      <c r="KE42" s="2060"/>
      <c r="KF42" s="2060"/>
      <c r="KG42" s="2060"/>
      <c r="KH42" s="2060"/>
      <c r="KI42" s="2060"/>
      <c r="KJ42" s="2060"/>
      <c r="KK42" s="2060"/>
      <c r="KL42" s="2060"/>
      <c r="KM42" s="2060"/>
      <c r="KN42" s="2060"/>
      <c r="KO42" s="2060"/>
      <c r="KP42" s="2060"/>
      <c r="KQ42" s="2060"/>
      <c r="KR42" s="2060"/>
      <c r="KS42" s="2060"/>
      <c r="KT42" s="2060"/>
      <c r="KU42" s="2060"/>
      <c r="KV42" s="2060"/>
      <c r="KW42" s="2060"/>
      <c r="KX42" s="2060"/>
      <c r="KY42" s="2060"/>
      <c r="KZ42" s="2060"/>
      <c r="LA42" s="2060"/>
      <c r="LB42" s="2060"/>
      <c r="LC42" s="2060"/>
      <c r="LD42" s="2060"/>
      <c r="LE42" s="2060"/>
      <c r="LF42" s="2060"/>
      <c r="LG42" s="2060"/>
      <c r="LH42" s="2060"/>
    </row>
    <row r="43" spans="1:320" s="1499" customFormat="1" ht="13.9">
      <c r="A43" s="269" t="str">
        <f t="shared" si="7"/>
        <v>n</v>
      </c>
      <c r="B43" s="588"/>
      <c r="C43" s="2060"/>
      <c r="D43" s="779">
        <f t="shared" ca="1" si="0"/>
        <v>1.2400000000000002</v>
      </c>
      <c r="E43" s="772" t="str">
        <f>IF(OR('WACC and TIC Inputs'!$D152="x",$G43=""),"--",_xll.ciqfunctions.udf.CIQ($G43,"IQ_COMPANY_NAME"))</f>
        <v>--</v>
      </c>
      <c r="F43" s="2060"/>
      <c r="G43" s="2154"/>
      <c r="H43" s="1066"/>
      <c r="I43" s="256" t="str">
        <f>IF($E43="--","--",IF(_xll.ciqfunctions.udf.CIQ($G43,"IQ_COUNTRY_NAME")=0,"n/a",_xll.ciqfunctions.udf.CIQ($G43,"IQ_COUNTRY_NAME")))</f>
        <v>--</v>
      </c>
      <c r="J43" s="2060" t="str">
        <f>IF($E43="--","--",IF(OutputCurrency="Filing",_xll.ciqfunctions.udf.CIQ($G43,"IQ_FILING_CURRENCY",2000,Valuation_Date_GC),OutputCurrency))</f>
        <v>--</v>
      </c>
      <c r="K43" s="2163" t="str">
        <f t="shared" si="1"/>
        <v>--</v>
      </c>
      <c r="L43" s="2164"/>
      <c r="M43" s="2165"/>
      <c r="N43" s="2060" t="str">
        <f>IF($E43="--","--",_xll.ciqfunctions.udf.CIQ($G43,"IQ_TRADING_CURRENCY",Valuation_Date_GC))</f>
        <v>--</v>
      </c>
      <c r="O43" s="2060" t="str">
        <f t="shared" si="13"/>
        <v>--</v>
      </c>
      <c r="P43" s="2060" t="str">
        <f>IF(E43="--","--",IF(OR(LEFT(_xll.ciqfunctions.udf.CIQ(G43,"IQ_SP_LC_LT"),1)="(",_xll.ciqfunctions.udf.CIQ(G43,"IQ_SP_LC_LT")=0),"n/a",_xll.ciqfunctions.udf.CIQ(G43,"IQ_SP_LC_LT")))</f>
        <v>--</v>
      </c>
      <c r="Q43" s="2060" t="str">
        <f>IF($E43="--","--",_xll.ciqfunctions.udf.CIQ($G43,"IQ_PRIMARY_INDUSTRY"))</f>
        <v>--</v>
      </c>
      <c r="R43" s="2060"/>
      <c r="S43" s="44" t="str">
        <f t="shared" si="12"/>
        <v>--</v>
      </c>
      <c r="T43" s="2060" t="str">
        <f t="shared" si="3"/>
        <v>--</v>
      </c>
      <c r="U43" s="2060" t="str">
        <f t="shared" si="8"/>
        <v>--</v>
      </c>
      <c r="V43" s="2060"/>
      <c r="W43" s="2060"/>
      <c r="X43" s="2060"/>
      <c r="Y43" s="2060"/>
      <c r="Z43" s="1938"/>
      <c r="AA43" s="1938" t="s">
        <v>368</v>
      </c>
      <c r="AB43" s="1938" t="str">
        <f t="shared" si="9"/>
        <v>zzzz</v>
      </c>
      <c r="AC43" s="1938" t="s">
        <v>369</v>
      </c>
      <c r="AD43" s="2117" t="str">
        <f t="shared" si="4"/>
        <v/>
      </c>
      <c r="AE43" s="2060"/>
      <c r="AF43" s="43" t="str">
        <f t="shared" si="5"/>
        <v>--</v>
      </c>
      <c r="AG43" s="43" t="str">
        <f t="shared" si="6"/>
        <v>--</v>
      </c>
      <c r="AH43" s="2060"/>
      <c r="AI43" s="2060"/>
      <c r="AJ43" s="2060"/>
      <c r="AK43" s="2060"/>
      <c r="AL43" s="2060"/>
      <c r="AM43" s="2060"/>
      <c r="AN43" s="2060"/>
      <c r="AO43" s="2060" t="s">
        <v>449</v>
      </c>
      <c r="AP43" s="89"/>
      <c r="AQ43" s="89"/>
      <c r="AR43" s="2060"/>
      <c r="AS43" s="98" t="s">
        <v>450</v>
      </c>
      <c r="AT43" s="80" t="s">
        <v>451</v>
      </c>
      <c r="AU43" s="80" t="s">
        <v>162</v>
      </c>
      <c r="AV43" s="80" t="s">
        <v>452</v>
      </c>
      <c r="AW43" s="81" t="s">
        <v>453</v>
      </c>
      <c r="AX43" s="78" t="s">
        <v>292</v>
      </c>
      <c r="AY43" s="78" t="s">
        <v>292</v>
      </c>
      <c r="AZ43" s="78" t="s">
        <v>291</v>
      </c>
      <c r="BA43" s="210" t="s">
        <v>454</v>
      </c>
      <c r="BB43" s="78" t="s">
        <v>455</v>
      </c>
      <c r="BC43" s="2060"/>
      <c r="BD43" s="2060"/>
      <c r="BE43" s="2060"/>
      <c r="BF43" s="2060"/>
      <c r="BG43" s="2060"/>
      <c r="BH43" s="2060"/>
      <c r="BI43" s="2060"/>
      <c r="BJ43" s="2060"/>
      <c r="BK43" s="2060"/>
      <c r="BL43" s="2060"/>
      <c r="BM43" s="2060"/>
      <c r="BN43" s="2060"/>
      <c r="BO43" s="2060"/>
      <c r="BP43" s="2060"/>
      <c r="BQ43" s="2060"/>
      <c r="BR43" s="2060"/>
      <c r="BS43" s="2060"/>
      <c r="BT43" s="2060"/>
      <c r="BU43" s="2060"/>
      <c r="BV43" s="2060"/>
      <c r="BW43" s="2060"/>
      <c r="BX43" s="2060"/>
      <c r="BY43" s="2060"/>
      <c r="BZ43" s="2060"/>
      <c r="CA43" s="2060"/>
      <c r="CB43" s="2060"/>
      <c r="CC43" s="2060"/>
      <c r="CD43" s="2060"/>
      <c r="CE43" s="2060"/>
      <c r="CF43" s="2060"/>
      <c r="CG43" s="2060"/>
      <c r="CH43" s="2060"/>
      <c r="CI43" s="2060"/>
      <c r="CJ43" s="2060"/>
      <c r="CK43" s="2060"/>
      <c r="CL43" s="2060"/>
      <c r="CM43" s="2060"/>
      <c r="CN43" s="2060"/>
      <c r="CO43" s="2060"/>
      <c r="CP43" s="2060"/>
      <c r="CQ43" s="2060"/>
      <c r="CR43" s="2060"/>
      <c r="CS43" s="2060"/>
      <c r="CT43" s="2060"/>
      <c r="CU43" s="2060"/>
      <c r="CV43" s="2060"/>
      <c r="CW43" s="2060"/>
      <c r="CX43" s="2060"/>
      <c r="CY43" s="2060"/>
      <c r="CZ43" s="2060"/>
      <c r="DA43" s="2060"/>
      <c r="DB43" s="2060"/>
      <c r="DC43" s="2060"/>
      <c r="DD43" s="2060"/>
      <c r="DE43" s="2060"/>
      <c r="DF43" s="2060"/>
      <c r="DG43" s="2060"/>
      <c r="DH43" s="2060"/>
      <c r="DI43" s="2060"/>
      <c r="DJ43" s="2060"/>
      <c r="DK43" s="2060"/>
      <c r="DL43" s="2060"/>
      <c r="DM43" s="2060"/>
      <c r="DN43" s="2060"/>
      <c r="DO43" s="2060"/>
      <c r="DP43" s="2060"/>
      <c r="DQ43" s="2060"/>
      <c r="DR43" s="2060"/>
      <c r="DS43" s="2060"/>
      <c r="DT43" s="2060"/>
      <c r="DU43" s="2060"/>
      <c r="DV43" s="2060"/>
      <c r="DW43" s="2060"/>
      <c r="DX43" s="2060"/>
      <c r="DY43" s="2060"/>
      <c r="DZ43" s="2060"/>
      <c r="EA43" s="2060"/>
      <c r="EB43" s="2060"/>
      <c r="EC43" s="2060"/>
      <c r="ED43" s="2060"/>
      <c r="EE43" s="2060"/>
      <c r="EF43" s="2060"/>
      <c r="EG43" s="2060"/>
      <c r="EH43" s="2060"/>
      <c r="EI43" s="2060"/>
      <c r="EJ43" s="2060"/>
      <c r="EK43" s="2060"/>
      <c r="EL43" s="2060"/>
      <c r="EM43" s="2060"/>
      <c r="EN43" s="2060"/>
      <c r="EO43" s="2060"/>
      <c r="EP43" s="2060"/>
      <c r="EQ43" s="2060"/>
      <c r="ER43" s="2060"/>
      <c r="ES43" s="2060"/>
      <c r="ET43" s="2060"/>
      <c r="EU43" s="2060"/>
      <c r="EV43" s="2060"/>
      <c r="EW43" s="2060"/>
      <c r="EX43" s="2060"/>
      <c r="EY43" s="2060"/>
      <c r="EZ43" s="2060"/>
      <c r="FA43" s="2060"/>
      <c r="FB43" s="2060"/>
      <c r="FC43" s="2060"/>
      <c r="FD43" s="2060"/>
      <c r="FE43" s="2060"/>
      <c r="FF43" s="2060"/>
      <c r="FG43" s="2060"/>
      <c r="FH43" s="2060"/>
      <c r="FI43" s="2060"/>
      <c r="FJ43" s="2060"/>
      <c r="FK43" s="2060"/>
      <c r="FL43" s="2060"/>
      <c r="FM43" s="2060"/>
      <c r="FN43" s="2060"/>
      <c r="FO43" s="2060"/>
      <c r="FP43" s="2060"/>
      <c r="FQ43" s="2060"/>
      <c r="FR43" s="2060"/>
      <c r="FS43" s="2060"/>
      <c r="FT43" s="2060"/>
      <c r="FU43" s="2060"/>
      <c r="FV43" s="2060"/>
      <c r="FW43" s="2060"/>
      <c r="FX43" s="2060"/>
      <c r="FY43" s="2060"/>
      <c r="FZ43" s="2060"/>
      <c r="GA43" s="2060"/>
      <c r="GB43" s="2060"/>
      <c r="GC43" s="2060"/>
      <c r="GD43" s="2060"/>
      <c r="GE43" s="2060"/>
      <c r="GF43" s="2060"/>
      <c r="GG43" s="2060"/>
      <c r="GH43" s="2060"/>
      <c r="GI43" s="2060"/>
      <c r="GJ43" s="2060"/>
      <c r="GK43" s="2060"/>
      <c r="GL43" s="2060"/>
      <c r="GM43" s="2060"/>
      <c r="GN43" s="2060"/>
      <c r="GO43" s="2060"/>
      <c r="GP43" s="2060"/>
      <c r="GQ43" s="2060"/>
      <c r="GR43" s="2060"/>
      <c r="GS43" s="2060"/>
      <c r="GT43" s="2060"/>
      <c r="GU43" s="2060"/>
      <c r="GV43" s="2060"/>
      <c r="GW43" s="2060"/>
      <c r="GX43" s="2060"/>
      <c r="GY43" s="2060"/>
      <c r="GZ43" s="2060"/>
      <c r="HA43" s="2060"/>
      <c r="HB43" s="2060"/>
      <c r="HC43" s="2060"/>
      <c r="HD43" s="2060"/>
      <c r="HE43" s="2060"/>
      <c r="HF43" s="2060"/>
      <c r="HG43" s="2060"/>
      <c r="HH43" s="2060"/>
      <c r="HI43" s="2060"/>
      <c r="HJ43" s="2060"/>
      <c r="HK43" s="2060"/>
      <c r="HL43" s="2060"/>
      <c r="HM43" s="2060"/>
      <c r="HN43" s="2060"/>
      <c r="HO43" s="2060"/>
      <c r="HP43" s="2060"/>
      <c r="HQ43" s="2060"/>
      <c r="HR43" s="2060"/>
      <c r="HS43" s="2060"/>
      <c r="HT43" s="2060"/>
      <c r="HU43" s="2060"/>
      <c r="HV43" s="2060"/>
      <c r="HW43" s="2060"/>
      <c r="HX43" s="2060"/>
      <c r="HY43" s="2060"/>
      <c r="HZ43" s="2060"/>
      <c r="IA43" s="2060"/>
      <c r="IB43" s="2060"/>
      <c r="IC43" s="2060"/>
      <c r="ID43" s="2060"/>
      <c r="IE43" s="2060"/>
      <c r="IF43" s="2060"/>
      <c r="IG43" s="2060"/>
      <c r="IH43" s="2060"/>
      <c r="II43" s="2060"/>
      <c r="IJ43" s="2060"/>
      <c r="IK43" s="2060"/>
      <c r="IL43" s="2060"/>
      <c r="IM43" s="2060"/>
      <c r="IN43" s="2060"/>
      <c r="IO43" s="2060"/>
      <c r="IP43" s="2060"/>
      <c r="IQ43" s="2060"/>
      <c r="IR43" s="2060"/>
      <c r="IS43" s="2060"/>
      <c r="IT43" s="2060"/>
      <c r="IU43" s="2060"/>
      <c r="IV43" s="2060"/>
      <c r="IW43" s="2060"/>
      <c r="IX43" s="2060"/>
      <c r="IY43" s="2060"/>
      <c r="IZ43" s="2060"/>
      <c r="JA43" s="2060"/>
      <c r="JB43" s="2060"/>
      <c r="JC43" s="2060"/>
      <c r="JD43" s="2060"/>
      <c r="JE43" s="2060"/>
      <c r="JF43" s="2060"/>
      <c r="JG43" s="2060"/>
      <c r="JH43" s="2060"/>
      <c r="JI43" s="2060"/>
      <c r="JJ43" s="2060"/>
      <c r="JK43" s="2060"/>
      <c r="JL43" s="2060"/>
      <c r="JM43" s="2060"/>
      <c r="JN43" s="2060"/>
      <c r="JO43" s="2060"/>
      <c r="JP43" s="2060"/>
      <c r="JQ43" s="2060"/>
      <c r="JR43" s="2060"/>
      <c r="JS43" s="2060"/>
      <c r="JT43" s="2060"/>
      <c r="JU43" s="2060"/>
      <c r="JV43" s="2060"/>
      <c r="JW43" s="2060"/>
      <c r="JX43" s="2060"/>
      <c r="JY43" s="2060"/>
      <c r="JZ43" s="2060"/>
      <c r="KA43" s="2060"/>
      <c r="KB43" s="2060"/>
      <c r="KC43" s="2060"/>
      <c r="KD43" s="2060"/>
      <c r="KE43" s="2060"/>
      <c r="KF43" s="2060"/>
      <c r="KG43" s="2060"/>
      <c r="KH43" s="2060"/>
      <c r="KI43" s="2060"/>
      <c r="KJ43" s="2060"/>
      <c r="KK43" s="2060"/>
      <c r="KL43" s="2060"/>
      <c r="KM43" s="2060"/>
      <c r="KN43" s="2060"/>
      <c r="KO43" s="2060"/>
      <c r="KP43" s="2060"/>
      <c r="KQ43" s="2060"/>
      <c r="KR43" s="2060"/>
      <c r="KS43" s="2060"/>
      <c r="KT43" s="2060"/>
      <c r="KU43" s="2060"/>
      <c r="KV43" s="2060"/>
      <c r="KW43" s="2060"/>
      <c r="KX43" s="2060"/>
      <c r="KY43" s="2060"/>
      <c r="KZ43" s="2060"/>
      <c r="LA43" s="2060"/>
      <c r="LB43" s="2060"/>
      <c r="LC43" s="2060"/>
      <c r="LD43" s="2060"/>
      <c r="LE43" s="2060"/>
      <c r="LF43" s="2060"/>
      <c r="LG43" s="2060"/>
      <c r="LH43" s="2060"/>
    </row>
    <row r="44" spans="1:320" s="49" customFormat="1" ht="13.9">
      <c r="A44" s="269" t="str">
        <f t="shared" si="7"/>
        <v>n</v>
      </c>
      <c r="B44" s="588"/>
      <c r="D44" s="779">
        <f t="shared" ca="1" si="0"/>
        <v>1.2500000000000002</v>
      </c>
      <c r="E44" s="772" t="str">
        <f>IF(OR('WACC and TIC Inputs'!$D153="x",$G44=""),"--",_xll.ciqfunctions.udf.CIQ($G44,"IQ_COMPANY_NAME"))</f>
        <v>--</v>
      </c>
      <c r="F44" s="2060"/>
      <c r="G44" s="2154"/>
      <c r="H44" s="1066"/>
      <c r="I44" s="256" t="str">
        <f>IF($E44="--","--",IF(_xll.ciqfunctions.udf.CIQ($G44,"IQ_COUNTRY_NAME")=0,"n/a",_xll.ciqfunctions.udf.CIQ($G44,"IQ_COUNTRY_NAME")))</f>
        <v>--</v>
      </c>
      <c r="J44" s="2060" t="str">
        <f>IF($E44="--","--",IF(OutputCurrency="Filing",_xll.ciqfunctions.udf.CIQ($G44,"IQ_FILING_CURRENCY",2000,Valuation_Date_GC),OutputCurrency))</f>
        <v>--</v>
      </c>
      <c r="K44" s="2163" t="str">
        <f t="shared" si="1"/>
        <v>--</v>
      </c>
      <c r="L44" s="2164"/>
      <c r="M44" s="2165"/>
      <c r="N44" s="2060" t="str">
        <f>IF($E44="--","--",_xll.ciqfunctions.udf.CIQ($G44,"IQ_TRADING_CURRENCY",Valuation_Date_GC))</f>
        <v>--</v>
      </c>
      <c r="O44" s="2060" t="str">
        <f t="shared" si="13"/>
        <v>--</v>
      </c>
      <c r="P44" s="2060" t="str">
        <f>IF(E44="--","--",IF(OR(LEFT(_xll.ciqfunctions.udf.CIQ(G44,"IQ_SP_LC_LT"),1)="(",_xll.ciqfunctions.udf.CIQ(G44,"IQ_SP_LC_LT")=0),"n/a",_xll.ciqfunctions.udf.CIQ(G44,"IQ_SP_LC_LT")))</f>
        <v>--</v>
      </c>
      <c r="Q44" s="2060" t="str">
        <f>IF($E44="--","--",_xll.ciqfunctions.udf.CIQ($G44,"IQ_PRIMARY_INDUSTRY"))</f>
        <v>--</v>
      </c>
      <c r="R44" s="2060"/>
      <c r="S44" s="44" t="str">
        <f t="shared" si="12"/>
        <v>--</v>
      </c>
      <c r="T44" s="2060" t="str">
        <f t="shared" si="3"/>
        <v>--</v>
      </c>
      <c r="U44" s="49" t="str">
        <f t="shared" si="8"/>
        <v>--</v>
      </c>
      <c r="Z44" s="1939"/>
      <c r="AA44" s="1939" t="s">
        <v>368</v>
      </c>
      <c r="AB44" s="1940" t="str">
        <f t="shared" si="9"/>
        <v>zzzz</v>
      </c>
      <c r="AC44" s="1940" t="s">
        <v>369</v>
      </c>
      <c r="AD44" s="2118" t="str">
        <f t="shared" si="4"/>
        <v/>
      </c>
      <c r="AE44" s="2060"/>
      <c r="AF44" s="43" t="str">
        <f t="shared" si="5"/>
        <v>--</v>
      </c>
      <c r="AG44" s="43" t="str">
        <f t="shared" si="6"/>
        <v>--</v>
      </c>
      <c r="AJ44" s="2060"/>
      <c r="AK44" s="2060"/>
      <c r="AL44" s="2060"/>
      <c r="AM44" s="2060"/>
      <c r="AN44" s="2060"/>
      <c r="AO44" s="2060" t="s">
        <v>456</v>
      </c>
      <c r="AP44" s="89"/>
      <c r="AQ44" s="255"/>
      <c r="AR44" s="2060"/>
      <c r="AS44" s="98" t="s">
        <v>457</v>
      </c>
      <c r="AT44" s="80" t="s">
        <v>458</v>
      </c>
      <c r="AU44" s="80" t="s">
        <v>151</v>
      </c>
      <c r="AV44" s="80" t="s">
        <v>459</v>
      </c>
      <c r="AW44" s="81" t="s">
        <v>460</v>
      </c>
      <c r="AX44" s="78" t="s">
        <v>302</v>
      </c>
      <c r="AY44" s="78" t="s">
        <v>302</v>
      </c>
      <c r="AZ44" s="78" t="s">
        <v>301</v>
      </c>
      <c r="BA44" s="78" t="s">
        <v>461</v>
      </c>
      <c r="BB44" s="78" t="s">
        <v>462</v>
      </c>
      <c r="BC44" s="2060"/>
      <c r="BD44" s="2060"/>
      <c r="BE44" s="2060"/>
      <c r="BF44" s="2060"/>
      <c r="BG44" s="2060"/>
      <c r="BH44" s="2060"/>
      <c r="BI44" s="2060"/>
      <c r="BJ44" s="2060"/>
      <c r="BK44" s="2060"/>
      <c r="BL44" s="2060"/>
      <c r="BM44" s="2060"/>
      <c r="BN44" s="2060"/>
      <c r="BO44" s="2060"/>
      <c r="BP44" s="2060"/>
    </row>
    <row r="45" spans="1:320" s="255" customFormat="1" ht="13.9">
      <c r="A45" s="2060"/>
      <c r="B45" s="2060"/>
      <c r="C45" s="2060"/>
      <c r="D45" s="2060"/>
      <c r="E45" s="1578"/>
      <c r="F45" s="2060"/>
      <c r="G45" s="2060"/>
      <c r="H45" s="2060"/>
      <c r="I45" s="2060"/>
      <c r="J45" s="2060"/>
      <c r="K45" s="2060"/>
      <c r="L45" s="2060"/>
      <c r="M45" s="2060"/>
      <c r="N45" s="2060"/>
      <c r="O45" s="2060"/>
      <c r="P45" s="2060"/>
      <c r="Q45" s="2060"/>
      <c r="R45" s="2060"/>
      <c r="S45" s="2060"/>
      <c r="T45" s="2060"/>
      <c r="U45" s="2060" t="str">
        <f>IF(LEFT(T45,4)="The ",MID(T45,5,99),MID(T45,1,99))</f>
        <v/>
      </c>
      <c r="V45" s="2060"/>
      <c r="W45" s="2060"/>
      <c r="X45" s="2060"/>
      <c r="Y45" s="2060"/>
      <c r="Z45" s="2060"/>
      <c r="AA45" s="2060"/>
      <c r="AB45" s="2060"/>
      <c r="AC45" s="2060"/>
      <c r="AD45" s="2060"/>
      <c r="AE45" s="2060"/>
      <c r="AF45" s="2060"/>
      <c r="AG45" s="2060"/>
      <c r="AL45" s="49"/>
      <c r="AM45" s="49"/>
      <c r="AN45" s="49"/>
      <c r="AO45" s="49" t="s">
        <v>463</v>
      </c>
      <c r="AP45" s="89"/>
      <c r="AQ45" s="89"/>
      <c r="AR45" s="2060"/>
      <c r="AS45" s="98" t="s">
        <v>151</v>
      </c>
      <c r="AT45" s="80"/>
      <c r="AU45" s="80" t="s">
        <v>162</v>
      </c>
      <c r="AV45" s="80" t="s">
        <v>152</v>
      </c>
      <c r="AW45" s="81" t="s">
        <v>153</v>
      </c>
      <c r="AX45" s="78" t="s">
        <v>49</v>
      </c>
      <c r="AY45" s="78" t="s">
        <v>131</v>
      </c>
      <c r="AZ45" s="78" t="s">
        <v>132</v>
      </c>
      <c r="BA45" s="210" t="s">
        <v>464</v>
      </c>
      <c r="BB45" s="78" t="s">
        <v>465</v>
      </c>
      <c r="BC45" s="2060"/>
      <c r="BD45" s="2060"/>
      <c r="BE45" s="2060"/>
      <c r="BF45" s="2060"/>
      <c r="BG45" s="2060"/>
      <c r="BH45" s="2060"/>
      <c r="BI45" s="2060"/>
      <c r="BJ45" s="2060"/>
      <c r="BK45" s="2060"/>
      <c r="BL45" s="2060"/>
      <c r="BM45" s="2060"/>
      <c r="BN45" s="2060"/>
      <c r="BO45" s="2060"/>
      <c r="BP45" s="2060"/>
    </row>
    <row r="46" spans="1:320" s="89" customFormat="1" ht="13.9">
      <c r="A46" s="2060"/>
      <c r="B46" s="2060"/>
      <c r="C46" s="2060"/>
      <c r="D46" s="2060"/>
      <c r="E46" s="1578"/>
      <c r="F46" s="2060"/>
      <c r="G46" s="2060"/>
      <c r="H46" s="2060"/>
      <c r="I46" s="2060"/>
      <c r="J46" s="2060"/>
      <c r="K46" s="2060"/>
      <c r="L46" s="2060"/>
      <c r="M46" s="2060"/>
      <c r="N46" s="2060"/>
      <c r="O46" s="2060"/>
      <c r="P46" s="2060"/>
      <c r="Q46" s="2060"/>
      <c r="R46" s="2060"/>
      <c r="S46" s="2060"/>
      <c r="T46" s="2060"/>
      <c r="U46" s="2060"/>
      <c r="V46" s="2060"/>
      <c r="W46" s="2060"/>
      <c r="X46" s="2060"/>
      <c r="Y46" s="2060"/>
      <c r="Z46" s="2060"/>
      <c r="AA46" s="2060"/>
      <c r="AB46" s="2060"/>
      <c r="AC46" s="2060"/>
      <c r="AD46" s="2060"/>
      <c r="AE46" s="2060"/>
      <c r="AG46" s="255"/>
      <c r="AL46" s="255"/>
      <c r="AM46" s="255"/>
      <c r="AN46" s="255"/>
      <c r="AO46" s="255" t="s">
        <v>466</v>
      </c>
      <c r="AP46" s="255"/>
      <c r="AR46" s="2060"/>
      <c r="AS46" s="98" t="s">
        <v>467</v>
      </c>
      <c r="AT46" s="80" t="s">
        <v>468</v>
      </c>
      <c r="AU46" s="80" t="s">
        <v>162</v>
      </c>
      <c r="AV46" s="80" t="s">
        <v>469</v>
      </c>
      <c r="AW46" s="81" t="s">
        <v>470</v>
      </c>
      <c r="AX46" s="78" t="s">
        <v>310</v>
      </c>
      <c r="AY46" s="78" t="s">
        <v>310</v>
      </c>
      <c r="AZ46" s="78" t="s">
        <v>309</v>
      </c>
      <c r="BA46" s="78" t="s">
        <v>471</v>
      </c>
      <c r="BB46" s="78" t="s">
        <v>472</v>
      </c>
      <c r="BC46" s="49"/>
      <c r="BD46" s="49"/>
      <c r="BE46" s="49"/>
      <c r="BF46" s="49"/>
      <c r="BG46" s="49"/>
      <c r="BH46" s="49"/>
      <c r="BI46" s="49"/>
      <c r="BJ46" s="49"/>
      <c r="BK46" s="49"/>
      <c r="BL46" s="49"/>
      <c r="BM46" s="49"/>
      <c r="BN46" s="49"/>
      <c r="BO46" s="49"/>
      <c r="BP46" s="49"/>
    </row>
    <row r="47" spans="1:320" s="89" customFormat="1" ht="18">
      <c r="A47" s="2060"/>
      <c r="C47" s="1430">
        <f ca="1">MAX(OFFSET(C47,-1,0,-ROW(C47)+1,1))+1</f>
        <v>2</v>
      </c>
      <c r="D47" s="1429" t="str">
        <f>"Forecast fiscal years of Guideline Public Companies timing adjustment"</f>
        <v>Forecast fiscal years of Guideline Public Companies timing adjustment</v>
      </c>
      <c r="E47" s="825"/>
      <c r="F47" s="826"/>
      <c r="G47" s="827"/>
      <c r="H47" s="1032"/>
      <c r="I47" s="1032"/>
      <c r="J47" s="1032"/>
      <c r="K47" s="1032"/>
      <c r="L47" s="1032"/>
      <c r="M47" s="1032"/>
      <c r="N47" s="1032"/>
      <c r="O47" s="1032"/>
      <c r="P47" s="1032"/>
      <c r="Q47" s="43"/>
      <c r="R47" s="43"/>
      <c r="S47" s="43"/>
      <c r="T47" s="2060"/>
      <c r="U47" s="2060"/>
      <c r="V47" s="2060"/>
      <c r="W47" s="2060"/>
      <c r="X47" s="2060"/>
      <c r="Y47" s="2060"/>
      <c r="Z47" s="2060"/>
      <c r="AA47" s="2060"/>
      <c r="AB47" s="2060"/>
      <c r="AC47" s="2060"/>
      <c r="AD47" s="2060"/>
      <c r="AE47" s="2060"/>
      <c r="AO47" s="89" t="s">
        <v>473</v>
      </c>
      <c r="AR47" s="2060"/>
      <c r="AS47" s="98" t="s">
        <v>162</v>
      </c>
      <c r="AT47" s="80"/>
      <c r="AU47" s="80" t="s">
        <v>162</v>
      </c>
      <c r="AV47" s="80" t="s">
        <v>163</v>
      </c>
      <c r="AW47" s="81" t="s">
        <v>164</v>
      </c>
      <c r="AX47" s="78" t="s">
        <v>49</v>
      </c>
      <c r="AY47" s="78" t="s">
        <v>131</v>
      </c>
      <c r="AZ47" s="78" t="s">
        <v>132</v>
      </c>
      <c r="BA47" s="78" t="s">
        <v>474</v>
      </c>
      <c r="BB47" s="78" t="s">
        <v>475</v>
      </c>
      <c r="BC47" s="255"/>
      <c r="BD47" s="255"/>
      <c r="BE47" s="255"/>
      <c r="BF47" s="255"/>
      <c r="BG47" s="255"/>
      <c r="BH47" s="255"/>
      <c r="BI47" s="255"/>
      <c r="BJ47" s="255"/>
      <c r="BK47" s="255"/>
      <c r="BL47" s="255"/>
      <c r="BM47" s="255"/>
      <c r="BN47" s="255"/>
      <c r="BO47" s="255"/>
      <c r="BP47" s="255"/>
    </row>
    <row r="48" spans="1:320" s="89" customFormat="1" ht="13.9">
      <c r="AO48" s="89" t="s">
        <v>476</v>
      </c>
      <c r="AR48" s="2060"/>
      <c r="AS48" s="98" t="s">
        <v>477</v>
      </c>
      <c r="AT48" s="80"/>
      <c r="AU48" s="80" t="s">
        <v>151</v>
      </c>
      <c r="AV48" s="80" t="s">
        <v>478</v>
      </c>
      <c r="AW48" s="81" t="s">
        <v>479</v>
      </c>
      <c r="AX48" s="78" t="s">
        <v>206</v>
      </c>
      <c r="AY48" s="78" t="s">
        <v>333</v>
      </c>
      <c r="AZ48" s="78" t="s">
        <v>205</v>
      </c>
      <c r="BA48" s="78" t="s">
        <v>480</v>
      </c>
      <c r="BB48" s="78" t="s">
        <v>481</v>
      </c>
    </row>
    <row r="49" spans="1:68" s="89" customFormat="1" ht="13.9">
      <c r="A49" s="2060"/>
      <c r="B49" s="2060"/>
      <c r="C49" s="2060"/>
      <c r="D49" s="2060"/>
      <c r="E49" s="734"/>
      <c r="F49" s="734"/>
      <c r="G49" s="734"/>
      <c r="H49" s="2122"/>
      <c r="I49" s="726" t="s">
        <v>482</v>
      </c>
      <c r="J49" s="734"/>
      <c r="K49" s="734"/>
      <c r="L49" s="734"/>
      <c r="M49" s="726" t="s">
        <v>482</v>
      </c>
      <c r="N49" s="734"/>
      <c r="P49" s="2060"/>
      <c r="Q49" s="2060"/>
      <c r="R49" s="2060"/>
      <c r="S49" s="2060"/>
      <c r="T49" s="2060"/>
      <c r="U49" s="2060"/>
      <c r="V49" s="2060"/>
      <c r="W49" s="2060"/>
      <c r="X49" s="2060"/>
      <c r="Y49" s="2060"/>
      <c r="Z49" s="2060"/>
      <c r="AA49" s="2060"/>
      <c r="AB49" s="2060"/>
      <c r="AC49" s="2060"/>
      <c r="AD49" s="2060"/>
      <c r="AE49" s="2060"/>
      <c r="AO49" s="89" t="s">
        <v>483</v>
      </c>
      <c r="AR49" s="2060"/>
      <c r="AS49" s="98" t="s">
        <v>477</v>
      </c>
      <c r="AT49" s="80"/>
      <c r="AU49" s="80" t="s">
        <v>151</v>
      </c>
      <c r="AV49" s="80" t="s">
        <v>484</v>
      </c>
      <c r="AW49" s="81" t="s">
        <v>485</v>
      </c>
      <c r="AX49" s="78" t="s">
        <v>206</v>
      </c>
      <c r="AY49" s="78" t="s">
        <v>333</v>
      </c>
      <c r="AZ49" s="78" t="s">
        <v>205</v>
      </c>
      <c r="BA49" s="78" t="s">
        <v>486</v>
      </c>
      <c r="BB49" s="78" t="s">
        <v>487</v>
      </c>
    </row>
    <row r="50" spans="1:68" s="89" customFormat="1" ht="13.9">
      <c r="A50" s="2060"/>
      <c r="B50" s="2060"/>
      <c r="C50" s="2060"/>
      <c r="D50" s="2060"/>
      <c r="E50" s="734"/>
      <c r="F50" s="734"/>
      <c r="G50" s="734"/>
      <c r="H50" s="726" t="s">
        <v>488</v>
      </c>
      <c r="I50" s="726" t="s">
        <v>489</v>
      </c>
      <c r="J50" s="734"/>
      <c r="K50" s="734"/>
      <c r="L50" s="726" t="s">
        <v>488</v>
      </c>
      <c r="M50" s="726" t="s">
        <v>489</v>
      </c>
      <c r="N50" s="734"/>
      <c r="P50" s="2060"/>
      <c r="Q50" s="2060"/>
      <c r="R50" s="2060"/>
      <c r="S50" s="2060"/>
      <c r="T50" s="2060"/>
      <c r="U50" s="2060"/>
      <c r="V50" s="2060"/>
      <c r="W50" s="2060"/>
      <c r="X50" s="2060"/>
      <c r="Y50" s="2060"/>
      <c r="Z50" s="2060"/>
      <c r="AA50" s="2060"/>
      <c r="AB50" s="2060"/>
      <c r="AC50" s="2060"/>
      <c r="AD50" s="2060"/>
      <c r="AE50" s="2060"/>
      <c r="AO50" s="89" t="s">
        <v>490</v>
      </c>
      <c r="AR50" s="2060"/>
      <c r="AS50" s="98" t="s">
        <v>477</v>
      </c>
      <c r="AT50" s="80"/>
      <c r="AU50" s="80" t="s">
        <v>151</v>
      </c>
      <c r="AV50" s="80" t="s">
        <v>491</v>
      </c>
      <c r="AW50" s="81" t="s">
        <v>492</v>
      </c>
      <c r="AX50" s="78" t="s">
        <v>206</v>
      </c>
      <c r="AY50" s="78" t="s">
        <v>333</v>
      </c>
      <c r="AZ50" s="78" t="s">
        <v>205</v>
      </c>
      <c r="BA50" s="78" t="s">
        <v>493</v>
      </c>
      <c r="BB50" s="78" t="s">
        <v>494</v>
      </c>
    </row>
    <row r="51" spans="1:68" s="89" customFormat="1" ht="13.9">
      <c r="A51" s="2060"/>
      <c r="B51" s="2060"/>
      <c r="C51" s="2060"/>
      <c r="D51" s="2060"/>
      <c r="E51" s="734"/>
      <c r="F51" s="734"/>
      <c r="G51" s="734"/>
      <c r="H51" s="726" t="s">
        <v>495</v>
      </c>
      <c r="I51" s="726" t="s">
        <v>496</v>
      </c>
      <c r="J51" s="734"/>
      <c r="K51" s="734" t="s">
        <v>497</v>
      </c>
      <c r="L51" s="726" t="s">
        <v>495</v>
      </c>
      <c r="M51" s="726" t="s">
        <v>496</v>
      </c>
      <c r="N51" s="734"/>
      <c r="P51" s="2060"/>
      <c r="Q51" s="2060"/>
      <c r="R51" s="2060"/>
      <c r="S51" s="2060"/>
      <c r="T51" s="2060"/>
      <c r="U51" s="2060"/>
      <c r="V51" s="2060"/>
      <c r="W51" s="2060"/>
      <c r="X51" s="2060"/>
      <c r="Y51" s="2060"/>
      <c r="Z51" s="2060"/>
      <c r="AA51" s="2060"/>
      <c r="AB51" s="2060"/>
      <c r="AC51" s="2060"/>
      <c r="AD51" s="2060"/>
      <c r="AE51" s="2060"/>
      <c r="AO51" s="89" t="s">
        <v>498</v>
      </c>
      <c r="AR51" s="2060"/>
      <c r="AS51" s="98" t="s">
        <v>499</v>
      </c>
      <c r="AT51" s="80" t="s">
        <v>500</v>
      </c>
      <c r="AU51" s="80" t="s">
        <v>151</v>
      </c>
      <c r="AV51" s="80" t="s">
        <v>501</v>
      </c>
      <c r="AW51" s="81" t="s">
        <v>502</v>
      </c>
      <c r="AX51" s="78" t="s">
        <v>206</v>
      </c>
      <c r="AY51" s="78" t="s">
        <v>333</v>
      </c>
      <c r="AZ51" s="78" t="s">
        <v>205</v>
      </c>
      <c r="BA51" s="210" t="s">
        <v>503</v>
      </c>
      <c r="BB51" s="78" t="s">
        <v>504</v>
      </c>
    </row>
    <row r="52" spans="1:68" s="89" customFormat="1" ht="13.9">
      <c r="A52" s="2060"/>
      <c r="B52" s="2060"/>
      <c r="C52" s="2060"/>
      <c r="D52" s="2060"/>
      <c r="E52" s="734"/>
      <c r="F52" s="734"/>
      <c r="G52" s="734"/>
      <c r="H52" s="726" t="s">
        <v>505</v>
      </c>
      <c r="I52" s="735" t="s">
        <v>506</v>
      </c>
      <c r="J52" s="734"/>
      <c r="K52" s="734" t="s">
        <v>507</v>
      </c>
      <c r="L52" s="726" t="s">
        <v>508</v>
      </c>
      <c r="M52" s="735" t="s">
        <v>506</v>
      </c>
      <c r="N52" s="734"/>
      <c r="P52" s="2060"/>
      <c r="Q52" s="2060"/>
      <c r="R52" s="2060"/>
      <c r="S52" s="2060"/>
      <c r="T52" s="2060"/>
      <c r="U52" s="2060"/>
      <c r="V52" s="2060"/>
      <c r="W52" s="2060"/>
      <c r="X52" s="2060"/>
      <c r="Y52" s="2060"/>
      <c r="Z52" s="2060"/>
      <c r="AA52" s="2060"/>
      <c r="AB52" s="2060"/>
      <c r="AC52" s="2060"/>
      <c r="AD52" s="2060"/>
      <c r="AE52" s="2060"/>
      <c r="AO52" s="2060" t="str">
        <f>$F$1062</f>
        <v>Total equity</v>
      </c>
      <c r="AR52" s="2060"/>
      <c r="AS52" s="98" t="s">
        <v>509</v>
      </c>
      <c r="AT52" s="80" t="s">
        <v>510</v>
      </c>
      <c r="AU52" s="80" t="s">
        <v>151</v>
      </c>
      <c r="AV52" s="80" t="s">
        <v>511</v>
      </c>
      <c r="AW52" s="81" t="s">
        <v>512</v>
      </c>
      <c r="AX52" s="78" t="s">
        <v>206</v>
      </c>
      <c r="AY52" s="78" t="s">
        <v>333</v>
      </c>
      <c r="AZ52" s="78" t="s">
        <v>205</v>
      </c>
      <c r="BA52" s="210" t="s">
        <v>513</v>
      </c>
      <c r="BB52" s="78" t="s">
        <v>514</v>
      </c>
    </row>
    <row r="53" spans="1:68" s="89" customFormat="1" ht="13.9">
      <c r="A53" s="2060"/>
      <c r="B53" s="2060"/>
      <c r="C53" s="2060"/>
      <c r="D53" s="2060"/>
      <c r="E53" s="734"/>
      <c r="F53" s="734"/>
      <c r="G53" s="734"/>
      <c r="H53" s="726" t="s">
        <v>515</v>
      </c>
      <c r="I53" s="735" t="s">
        <v>516</v>
      </c>
      <c r="J53" s="734"/>
      <c r="K53" s="734" t="s">
        <v>517</v>
      </c>
      <c r="L53" s="726" t="s">
        <v>518</v>
      </c>
      <c r="M53" s="735" t="s">
        <v>519</v>
      </c>
      <c r="N53" s="734"/>
      <c r="P53" s="2060"/>
      <c r="Q53" s="2060"/>
      <c r="R53" s="2060"/>
      <c r="S53" s="2060"/>
      <c r="T53" s="2060"/>
      <c r="U53" s="2060"/>
      <c r="V53" s="2060"/>
      <c r="W53" s="2060"/>
      <c r="X53" s="2060"/>
      <c r="Y53" s="2060"/>
      <c r="Z53" s="2060"/>
      <c r="AA53" s="2060"/>
      <c r="AB53" s="2060"/>
      <c r="AC53" s="2060"/>
      <c r="AD53" s="2060"/>
      <c r="AE53" s="2060"/>
      <c r="AO53" s="43"/>
      <c r="AR53" s="2060"/>
      <c r="AS53" s="98" t="s">
        <v>509</v>
      </c>
      <c r="AT53" s="80" t="s">
        <v>510</v>
      </c>
      <c r="AU53" s="80" t="s">
        <v>151</v>
      </c>
      <c r="AV53" s="80" t="s">
        <v>520</v>
      </c>
      <c r="AW53" s="81" t="s">
        <v>521</v>
      </c>
      <c r="AX53" s="78" t="s">
        <v>206</v>
      </c>
      <c r="AY53" s="78" t="s">
        <v>333</v>
      </c>
      <c r="AZ53" s="78" t="s">
        <v>205</v>
      </c>
      <c r="BA53" s="210" t="s">
        <v>522</v>
      </c>
      <c r="BB53" s="78" t="s">
        <v>523</v>
      </c>
    </row>
    <row r="54" spans="1:68" s="89" customFormat="1" ht="13.9">
      <c r="A54" s="2060"/>
      <c r="B54" s="2060"/>
      <c r="C54" s="2060"/>
      <c r="D54" s="2060"/>
      <c r="E54" s="2188" t="str">
        <f>ClientName</f>
        <v/>
      </c>
      <c r="F54" s="2189"/>
      <c r="G54" s="2190">
        <f>SubjCoID</f>
        <v>0</v>
      </c>
      <c r="H54" s="2191">
        <f>IFERROR(FYEAfterValuation,0)</f>
        <v>42825</v>
      </c>
      <c r="I54" s="2192"/>
      <c r="J54" s="2190"/>
      <c r="K54" s="2190"/>
      <c r="L54" s="2191">
        <f>H54</f>
        <v>42825</v>
      </c>
      <c r="M54" s="2192"/>
      <c r="N54" s="2193"/>
      <c r="P54" s="2060"/>
      <c r="Q54" s="2060"/>
      <c r="R54" s="2060"/>
      <c r="S54" s="2060"/>
      <c r="T54" s="2060"/>
      <c r="U54" s="2060"/>
      <c r="V54" s="2060"/>
      <c r="W54" s="2060"/>
      <c r="X54" s="2060"/>
      <c r="Y54" s="2060"/>
      <c r="Z54" s="2060"/>
      <c r="AA54" s="2060"/>
      <c r="AB54" s="2060"/>
      <c r="AC54" s="2060"/>
      <c r="AD54" s="2060"/>
      <c r="AE54" s="2060"/>
      <c r="AR54" s="2060"/>
      <c r="AS54" s="98" t="s">
        <v>524</v>
      </c>
      <c r="AT54" s="80" t="s">
        <v>525</v>
      </c>
      <c r="AU54" s="80" t="s">
        <v>151</v>
      </c>
      <c r="AV54" s="80" t="s">
        <v>526</v>
      </c>
      <c r="AW54" s="81" t="s">
        <v>527</v>
      </c>
      <c r="AX54" s="78" t="s">
        <v>206</v>
      </c>
      <c r="AY54" s="78" t="s">
        <v>333</v>
      </c>
      <c r="AZ54" s="78" t="s">
        <v>205</v>
      </c>
      <c r="BA54" s="78" t="s">
        <v>528</v>
      </c>
      <c r="BB54" s="78" t="s">
        <v>529</v>
      </c>
    </row>
    <row r="55" spans="1:68" s="89" customFormat="1" ht="13.9">
      <c r="A55" s="269" t="str">
        <f t="shared" ref="A55:A79" si="14">IF(E55="--","n","")</f>
        <v>n</v>
      </c>
      <c r="B55" s="2060"/>
      <c r="C55" s="2060"/>
      <c r="D55" s="2060"/>
      <c r="E55" s="2194" t="str">
        <f>'DATA GPC'!E20</f>
        <v>--</v>
      </c>
      <c r="F55" s="2195"/>
      <c r="G55" s="1555" t="str">
        <f t="shared" ref="G55:G68" si="15">IF(E55="--","--",$G20)</f>
        <v>--</v>
      </c>
      <c r="H55" s="1033" t="str">
        <f>IF($E55="--","--",_xll.ciqfunctions.udf.CIQ($G55,"IQ_EST_DATE",1001,Valuation_date,ReportType,DataMode))</f>
        <v>--</v>
      </c>
      <c r="I55" s="1034">
        <f>IF(OR($E$54="",$E55="--"),0,DAYS360($H$54,H55)/30)</f>
        <v>0</v>
      </c>
      <c r="J55" s="2289" t="s">
        <v>482</v>
      </c>
      <c r="K55" s="1936"/>
      <c r="L55" s="1033" t="str">
        <f>IF('DATA GPC'!U129="n/a","--",'DATA GPC'!U129)</f>
        <v>--</v>
      </c>
      <c r="M55" s="1034">
        <f>IF(OR($E$54="",$E55="--"),0,IF(I55="n/a","n/a",DAYS360($L$54,L55)/30))</f>
        <v>0</v>
      </c>
      <c r="N55" s="461" t="s">
        <v>482</v>
      </c>
      <c r="P55" s="2060"/>
      <c r="Q55" s="2060"/>
      <c r="R55" s="2060"/>
      <c r="S55" s="2060"/>
      <c r="T55" s="2060"/>
      <c r="U55" s="2060"/>
      <c r="V55" s="2060"/>
      <c r="W55" s="2060"/>
      <c r="X55" s="2060"/>
      <c r="Y55" s="2060"/>
      <c r="Z55" s="2060"/>
      <c r="AA55" s="2060"/>
      <c r="AB55" s="2060"/>
      <c r="AC55" s="2060"/>
      <c r="AD55" s="2060"/>
      <c r="AE55" s="2060"/>
      <c r="AR55" s="2060"/>
      <c r="AS55" s="98" t="s">
        <v>524</v>
      </c>
      <c r="AT55" s="80" t="s">
        <v>525</v>
      </c>
      <c r="AU55" s="80" t="s">
        <v>151</v>
      </c>
      <c r="AV55" s="80" t="s">
        <v>530</v>
      </c>
      <c r="AW55" s="81" t="s">
        <v>531</v>
      </c>
      <c r="AX55" s="78" t="s">
        <v>206</v>
      </c>
      <c r="AY55" s="78" t="s">
        <v>333</v>
      </c>
      <c r="AZ55" s="78" t="s">
        <v>205</v>
      </c>
      <c r="BA55" s="78" t="s">
        <v>532</v>
      </c>
      <c r="BB55" s="78" t="s">
        <v>533</v>
      </c>
    </row>
    <row r="56" spans="1:68" s="89" customFormat="1" ht="13.9">
      <c r="A56" s="269" t="str">
        <f t="shared" si="14"/>
        <v>n</v>
      </c>
      <c r="B56" s="2060"/>
      <c r="C56" s="2060"/>
      <c r="D56" s="2060"/>
      <c r="E56" s="1035" t="str">
        <f>'DATA GPC'!E21</f>
        <v>--</v>
      </c>
      <c r="F56" s="1036"/>
      <c r="G56" s="1555" t="str">
        <f t="shared" si="15"/>
        <v>--</v>
      </c>
      <c r="H56" s="1033" t="str">
        <f>IF($E56="--","--",_xll.ciqfunctions.udf.CIQ($G56,"IQ_EST_DATE",1001,Valuation_date,ReportType,DataMode))</f>
        <v>--</v>
      </c>
      <c r="I56" s="1034">
        <f>IF(OR($E$54="",$E56="--"),0,DAYS360($H$54,H56)/30)</f>
        <v>0</v>
      </c>
      <c r="J56" s="461" t="s">
        <v>482</v>
      </c>
      <c r="K56" s="1936"/>
      <c r="L56" s="1033" t="str">
        <f>IF('DATA GPC'!U130="n/a","--",'DATA GPC'!U130)</f>
        <v>--</v>
      </c>
      <c r="M56" s="1034">
        <f t="shared" ref="M56:M79" si="16">IF(OR($E$54="",$E56="--"),0,IF(I56="n/a","n/a",DAYS360($L$54,L56)/30))</f>
        <v>0</v>
      </c>
      <c r="N56" s="461" t="s">
        <v>482</v>
      </c>
      <c r="P56" s="2060"/>
      <c r="Q56" s="2060"/>
      <c r="R56" s="2060"/>
      <c r="S56" s="2060"/>
      <c r="T56" s="2060"/>
      <c r="U56" s="2060"/>
      <c r="V56" s="2060"/>
      <c r="W56" s="2060"/>
      <c r="X56" s="2060"/>
      <c r="Y56" s="2060"/>
      <c r="Z56" s="2060"/>
      <c r="AA56" s="2060"/>
      <c r="AB56" s="2060"/>
      <c r="AC56" s="2060"/>
      <c r="AD56" s="2060"/>
      <c r="AE56" s="2060"/>
      <c r="AR56" s="2060"/>
      <c r="AS56" s="98" t="s">
        <v>534</v>
      </c>
      <c r="AT56" s="80" t="s">
        <v>535</v>
      </c>
      <c r="AU56" s="80" t="s">
        <v>151</v>
      </c>
      <c r="AV56" s="80" t="s">
        <v>536</v>
      </c>
      <c r="AW56" s="81" t="s">
        <v>537</v>
      </c>
      <c r="AX56" s="78" t="s">
        <v>206</v>
      </c>
      <c r="AY56" s="78" t="s">
        <v>333</v>
      </c>
      <c r="AZ56" s="78" t="s">
        <v>205</v>
      </c>
      <c r="BA56" s="78" t="s">
        <v>538</v>
      </c>
      <c r="BB56" s="78" t="s">
        <v>539</v>
      </c>
    </row>
    <row r="57" spans="1:68" s="89" customFormat="1" ht="13.9">
      <c r="A57" s="269" t="str">
        <f t="shared" si="14"/>
        <v>n</v>
      </c>
      <c r="B57" s="2060"/>
      <c r="C57" s="2060"/>
      <c r="D57" s="2060"/>
      <c r="E57" s="1035" t="str">
        <f>'DATA GPC'!E22</f>
        <v>--</v>
      </c>
      <c r="F57" s="1036"/>
      <c r="G57" s="1555" t="str">
        <f t="shared" si="15"/>
        <v>--</v>
      </c>
      <c r="H57" s="1033" t="str">
        <f>IF($E57="--","--",_xll.ciqfunctions.udf.CIQ($G57,"IQ_EST_DATE",1001,Valuation_date,ReportType,DataMode))</f>
        <v>--</v>
      </c>
      <c r="I57" s="1034">
        <f t="shared" ref="I57:I79" si="17">IF(OR($E$54="",$E57="--"),0,DAYS360($H$54,H57)/30)</f>
        <v>0</v>
      </c>
      <c r="J57" s="461" t="s">
        <v>482</v>
      </c>
      <c r="K57" s="1936"/>
      <c r="L57" s="1033" t="str">
        <f>IF('DATA GPC'!U131="n/a","--",'DATA GPC'!U131)</f>
        <v>--</v>
      </c>
      <c r="M57" s="1034">
        <f t="shared" si="16"/>
        <v>0</v>
      </c>
      <c r="N57" s="461" t="s">
        <v>482</v>
      </c>
      <c r="P57" s="2060"/>
      <c r="Q57" s="2060"/>
      <c r="R57" s="2060"/>
      <c r="S57" s="2060"/>
      <c r="T57" s="2060"/>
      <c r="U57" s="2060"/>
      <c r="V57" s="2060"/>
      <c r="W57" s="2060"/>
      <c r="X57" s="2060"/>
      <c r="Y57" s="2060"/>
      <c r="Z57" s="2060"/>
      <c r="AA57" s="2060"/>
      <c r="AB57" s="2060"/>
      <c r="AC57" s="2060"/>
      <c r="AD57" s="2060"/>
      <c r="AE57" s="2060"/>
      <c r="AR57" s="2060"/>
      <c r="AS57" s="98" t="s">
        <v>540</v>
      </c>
      <c r="AT57" s="80" t="s">
        <v>541</v>
      </c>
      <c r="AU57" s="80" t="s">
        <v>151</v>
      </c>
      <c r="AV57" s="80" t="s">
        <v>419</v>
      </c>
      <c r="AW57" s="81" t="s">
        <v>420</v>
      </c>
      <c r="AX57" s="78" t="s">
        <v>244</v>
      </c>
      <c r="AY57" s="78" t="s">
        <v>131</v>
      </c>
      <c r="AZ57" s="78" t="s">
        <v>243</v>
      </c>
      <c r="BA57" s="214"/>
      <c r="BB57" s="78"/>
    </row>
    <row r="58" spans="1:68" s="89" customFormat="1" ht="13.9">
      <c r="A58" s="269" t="str">
        <f t="shared" si="14"/>
        <v>n</v>
      </c>
      <c r="B58" s="2060"/>
      <c r="C58" s="2060"/>
      <c r="D58" s="2060"/>
      <c r="E58" s="1035" t="str">
        <f>'DATA GPC'!E23</f>
        <v>--</v>
      </c>
      <c r="F58" s="1036"/>
      <c r="G58" s="1555" t="str">
        <f t="shared" si="15"/>
        <v>--</v>
      </c>
      <c r="H58" s="1033" t="str">
        <f>IF($E58="--","--",_xll.ciqfunctions.udf.CIQ($G58,"IQ_EST_DATE",1001,Valuation_date,ReportType,DataMode))</f>
        <v>--</v>
      </c>
      <c r="I58" s="1034">
        <f t="shared" si="17"/>
        <v>0</v>
      </c>
      <c r="J58" s="461" t="s">
        <v>482</v>
      </c>
      <c r="K58" s="1936"/>
      <c r="L58" s="1033" t="str">
        <f>IF('DATA GPC'!U132="n/a","--",'DATA GPC'!U132)</f>
        <v>--</v>
      </c>
      <c r="M58" s="1034">
        <f t="shared" si="16"/>
        <v>0</v>
      </c>
      <c r="N58" s="461" t="s">
        <v>482</v>
      </c>
      <c r="P58" s="2060"/>
      <c r="Q58" s="2060"/>
      <c r="R58" s="2060"/>
      <c r="S58" s="2060"/>
      <c r="T58" s="2060"/>
      <c r="U58" s="2060"/>
      <c r="V58" s="2060"/>
      <c r="W58" s="2060"/>
      <c r="X58" s="2060"/>
      <c r="Y58" s="2060"/>
      <c r="Z58" s="2060"/>
      <c r="AA58" s="2060"/>
      <c r="AB58" s="2060"/>
      <c r="AC58" s="2060"/>
      <c r="AD58" s="2060"/>
      <c r="AE58" s="2060"/>
      <c r="AR58" s="2060"/>
      <c r="AS58" s="98" t="s">
        <v>542</v>
      </c>
      <c r="AT58" s="80" t="s">
        <v>543</v>
      </c>
      <c r="AU58" s="80" t="s">
        <v>151</v>
      </c>
      <c r="AV58" s="80" t="s">
        <v>544</v>
      </c>
      <c r="AW58" s="81" t="s">
        <v>545</v>
      </c>
      <c r="AX58" s="78" t="s">
        <v>317</v>
      </c>
      <c r="AY58" s="78" t="s">
        <v>317</v>
      </c>
      <c r="AZ58" s="78" t="s">
        <v>316</v>
      </c>
      <c r="BA58" s="214"/>
      <c r="BB58" s="78"/>
    </row>
    <row r="59" spans="1:68" s="89" customFormat="1" ht="13.9">
      <c r="A59" s="269" t="str">
        <f t="shared" si="14"/>
        <v>n</v>
      </c>
      <c r="B59" s="2060"/>
      <c r="C59" s="2060"/>
      <c r="D59" s="2060"/>
      <c r="E59" s="1035" t="str">
        <f>'DATA GPC'!E24</f>
        <v>--</v>
      </c>
      <c r="F59" s="1036"/>
      <c r="G59" s="1555" t="str">
        <f t="shared" si="15"/>
        <v>--</v>
      </c>
      <c r="H59" s="1033" t="str">
        <f>IF($E59="--","--",_xll.ciqfunctions.udf.CIQ($G59,"IQ_EST_DATE",1001,Valuation_date,ReportType,DataMode))</f>
        <v>--</v>
      </c>
      <c r="I59" s="1034">
        <f t="shared" si="17"/>
        <v>0</v>
      </c>
      <c r="J59" s="461" t="s">
        <v>482</v>
      </c>
      <c r="K59" s="1936"/>
      <c r="L59" s="1033" t="str">
        <f>IF('DATA GPC'!U133="n/a","--",'DATA GPC'!U133)</f>
        <v>--</v>
      </c>
      <c r="M59" s="1034">
        <f t="shared" si="16"/>
        <v>0</v>
      </c>
      <c r="N59" s="461" t="s">
        <v>482</v>
      </c>
      <c r="P59" s="2060"/>
      <c r="Q59" s="2060"/>
      <c r="R59" s="2060"/>
      <c r="S59" s="2060"/>
      <c r="T59" s="2060"/>
      <c r="U59" s="2060"/>
      <c r="V59" s="2060"/>
      <c r="W59" s="2060"/>
      <c r="X59" s="2060"/>
      <c r="Y59" s="2060"/>
      <c r="Z59" s="2060"/>
      <c r="AA59" s="2060"/>
      <c r="AB59" s="2060"/>
      <c r="AC59" s="2060"/>
      <c r="AD59" s="2060"/>
      <c r="AE59" s="2060"/>
      <c r="AR59" s="2060"/>
      <c r="AS59" s="98" t="s">
        <v>546</v>
      </c>
      <c r="AT59" s="80" t="s">
        <v>547</v>
      </c>
      <c r="AU59" s="80" t="s">
        <v>162</v>
      </c>
      <c r="AV59" s="80" t="s">
        <v>548</v>
      </c>
      <c r="AW59" s="81" t="s">
        <v>549</v>
      </c>
      <c r="AX59" s="78" t="s">
        <v>324</v>
      </c>
      <c r="AY59" s="78" t="s">
        <v>324</v>
      </c>
      <c r="AZ59" s="78" t="s">
        <v>323</v>
      </c>
      <c r="BA59" s="214"/>
      <c r="BB59" s="78"/>
    </row>
    <row r="60" spans="1:68" s="255" customFormat="1" ht="13.9">
      <c r="A60" s="269" t="str">
        <f t="shared" si="14"/>
        <v>n</v>
      </c>
      <c r="B60" s="2060"/>
      <c r="C60" s="2060"/>
      <c r="D60" s="2060"/>
      <c r="E60" s="1035" t="str">
        <f>'DATA GPC'!E25</f>
        <v>--</v>
      </c>
      <c r="F60" s="1036"/>
      <c r="G60" s="1555" t="str">
        <f t="shared" si="15"/>
        <v>--</v>
      </c>
      <c r="H60" s="1033" t="str">
        <f>IF($E60="--","--",_xll.ciqfunctions.udf.CIQ($G60,"IQ_EST_DATE",1001,Valuation_date,ReportType,DataMode))</f>
        <v>--</v>
      </c>
      <c r="I60" s="1034">
        <f t="shared" si="17"/>
        <v>0</v>
      </c>
      <c r="J60" s="461" t="s">
        <v>482</v>
      </c>
      <c r="K60" s="1936"/>
      <c r="L60" s="1033" t="str">
        <f>IF('DATA GPC'!U134="n/a","--",'DATA GPC'!U134)</f>
        <v>--</v>
      </c>
      <c r="M60" s="1034">
        <f t="shared" si="16"/>
        <v>0</v>
      </c>
      <c r="N60" s="461" t="s">
        <v>482</v>
      </c>
      <c r="P60" s="2060"/>
      <c r="Q60" s="2060"/>
      <c r="R60" s="2060"/>
      <c r="S60" s="2060"/>
      <c r="T60" s="2060"/>
      <c r="U60" s="2060"/>
      <c r="V60" s="2060"/>
      <c r="W60" s="2060"/>
      <c r="X60" s="2060"/>
      <c r="Y60" s="2060"/>
      <c r="Z60" s="2060"/>
      <c r="AA60" s="2060"/>
      <c r="AB60" s="2060"/>
      <c r="AC60" s="2060"/>
      <c r="AD60" s="2060"/>
      <c r="AE60" s="2060"/>
      <c r="AF60" s="89"/>
      <c r="AG60" s="89"/>
      <c r="AL60" s="89"/>
      <c r="AM60" s="89"/>
      <c r="AN60" s="89"/>
      <c r="AP60" s="89"/>
      <c r="AQ60" s="89"/>
      <c r="AR60" s="2060"/>
      <c r="AS60" s="98" t="s">
        <v>546</v>
      </c>
      <c r="AT60" s="80" t="s">
        <v>547</v>
      </c>
      <c r="AU60" s="80" t="s">
        <v>162</v>
      </c>
      <c r="AV60" s="80" t="s">
        <v>550</v>
      </c>
      <c r="AW60" s="81" t="s">
        <v>551</v>
      </c>
      <c r="AX60" s="78" t="s">
        <v>324</v>
      </c>
      <c r="AY60" s="78" t="s">
        <v>324</v>
      </c>
      <c r="AZ60" s="78" t="s">
        <v>323</v>
      </c>
      <c r="BA60" s="214"/>
      <c r="BB60" s="78"/>
      <c r="BC60" s="89"/>
      <c r="BD60" s="89"/>
      <c r="BE60" s="89"/>
      <c r="BF60" s="89"/>
      <c r="BG60" s="89"/>
      <c r="BH60" s="89"/>
      <c r="BI60" s="89"/>
      <c r="BJ60" s="89"/>
      <c r="BK60" s="89"/>
      <c r="BL60" s="89"/>
      <c r="BM60" s="89"/>
      <c r="BN60" s="89"/>
      <c r="BO60" s="89"/>
      <c r="BP60" s="89"/>
    </row>
    <row r="61" spans="1:68" s="89" customFormat="1" ht="13.9">
      <c r="A61" s="269" t="str">
        <f t="shared" si="14"/>
        <v>n</v>
      </c>
      <c r="B61" s="2060"/>
      <c r="C61" s="2060"/>
      <c r="D61" s="2060"/>
      <c r="E61" s="1035" t="str">
        <f>'DATA GPC'!E26</f>
        <v>--</v>
      </c>
      <c r="F61" s="1036"/>
      <c r="G61" s="1555" t="str">
        <f t="shared" si="15"/>
        <v>--</v>
      </c>
      <c r="H61" s="1033" t="str">
        <f>IF($E61="--","--",_xll.ciqfunctions.udf.CIQ($G61,"IQ_EST_DATE",1001,Valuation_date,ReportType,DataMode))</f>
        <v>--</v>
      </c>
      <c r="I61" s="1034">
        <f t="shared" si="17"/>
        <v>0</v>
      </c>
      <c r="J61" s="461" t="s">
        <v>482</v>
      </c>
      <c r="K61" s="1936"/>
      <c r="L61" s="1033" t="str">
        <f>IF('DATA GPC'!U135="n/a","--",'DATA GPC'!U135)</f>
        <v>--</v>
      </c>
      <c r="M61" s="1034">
        <f t="shared" si="16"/>
        <v>0</v>
      </c>
      <c r="N61" s="461" t="s">
        <v>482</v>
      </c>
      <c r="P61" s="2060"/>
      <c r="Q61" s="2060"/>
      <c r="R61" s="2060"/>
      <c r="S61" s="2060"/>
      <c r="T61" s="2060"/>
      <c r="U61" s="2060"/>
      <c r="V61" s="2060"/>
      <c r="W61" s="2060"/>
      <c r="X61" s="2060"/>
      <c r="Y61" s="2060"/>
      <c r="Z61" s="2060"/>
      <c r="AA61" s="2060"/>
      <c r="AB61" s="2060"/>
      <c r="AC61" s="2060"/>
      <c r="AD61" s="2060"/>
      <c r="AE61" s="2060"/>
      <c r="AG61" s="255"/>
      <c r="AL61" s="255"/>
      <c r="AM61" s="255"/>
      <c r="AN61" s="255"/>
      <c r="AP61" s="255"/>
      <c r="AQ61" s="255"/>
      <c r="AR61" s="2060"/>
      <c r="AS61" s="98" t="s">
        <v>552</v>
      </c>
      <c r="AT61" s="80" t="s">
        <v>257</v>
      </c>
      <c r="AU61" s="80" t="s">
        <v>162</v>
      </c>
      <c r="AV61" s="80" t="s">
        <v>553</v>
      </c>
      <c r="AW61" s="81" t="s">
        <v>554</v>
      </c>
      <c r="AX61" s="78" t="s">
        <v>335</v>
      </c>
      <c r="AY61" s="78" t="s">
        <v>555</v>
      </c>
      <c r="AZ61" s="78" t="s">
        <v>334</v>
      </c>
      <c r="BA61" s="214"/>
      <c r="BB61" s="78"/>
    </row>
    <row r="62" spans="1:68" s="89" customFormat="1" ht="13.9">
      <c r="A62" s="269" t="str">
        <f t="shared" si="14"/>
        <v>n</v>
      </c>
      <c r="B62" s="2060"/>
      <c r="C62" s="2060"/>
      <c r="D62" s="2060"/>
      <c r="E62" s="1035" t="str">
        <f>'DATA GPC'!E27</f>
        <v>--</v>
      </c>
      <c r="F62" s="1036"/>
      <c r="G62" s="1555" t="str">
        <f t="shared" si="15"/>
        <v>--</v>
      </c>
      <c r="H62" s="1033" t="str">
        <f>IF($E62="--","--",_xll.ciqfunctions.udf.CIQ($G62,"IQ_EST_DATE",1001,Valuation_date,ReportType,DataMode))</f>
        <v>--</v>
      </c>
      <c r="I62" s="1034">
        <f t="shared" si="17"/>
        <v>0</v>
      </c>
      <c r="J62" s="461" t="s">
        <v>482</v>
      </c>
      <c r="K62" s="1936"/>
      <c r="L62" s="1033" t="str">
        <f>IF('DATA GPC'!U136="n/a","--",'DATA GPC'!U136)</f>
        <v>--</v>
      </c>
      <c r="M62" s="1034">
        <f t="shared" si="16"/>
        <v>0</v>
      </c>
      <c r="N62" s="461" t="s">
        <v>482</v>
      </c>
      <c r="P62" s="2060"/>
      <c r="Q62" s="2060"/>
      <c r="R62" s="2060"/>
      <c r="S62" s="2060"/>
      <c r="T62" s="2060"/>
      <c r="U62" s="2060"/>
      <c r="V62" s="2060"/>
      <c r="W62" s="2060"/>
      <c r="X62" s="2060"/>
      <c r="Y62" s="2060"/>
      <c r="Z62" s="2060"/>
      <c r="AA62" s="2060"/>
      <c r="AB62" s="2060"/>
      <c r="AC62" s="2060"/>
      <c r="AD62" s="2060"/>
      <c r="AE62" s="2060"/>
      <c r="AR62" s="2060"/>
      <c r="AS62" s="98" t="s">
        <v>556</v>
      </c>
      <c r="AT62" s="80"/>
      <c r="AU62" s="80" t="s">
        <v>151</v>
      </c>
      <c r="AV62" s="80" t="s">
        <v>557</v>
      </c>
      <c r="AW62" s="81" t="s">
        <v>153</v>
      </c>
      <c r="AX62" s="78" t="s">
        <v>49</v>
      </c>
      <c r="AY62" s="78" t="s">
        <v>131</v>
      </c>
      <c r="AZ62" s="210" t="s">
        <v>132</v>
      </c>
      <c r="BA62" s="214"/>
      <c r="BB62" s="78"/>
      <c r="BC62" s="255"/>
      <c r="BD62" s="255"/>
      <c r="BE62" s="255"/>
      <c r="BF62" s="255"/>
      <c r="BG62" s="255"/>
      <c r="BH62" s="255"/>
      <c r="BI62" s="255"/>
      <c r="BJ62" s="255"/>
      <c r="BK62" s="255"/>
      <c r="BL62" s="255"/>
      <c r="BM62" s="255"/>
      <c r="BN62" s="255"/>
      <c r="BO62" s="255"/>
      <c r="BP62" s="255"/>
    </row>
    <row r="63" spans="1:68" s="89" customFormat="1" ht="13.9">
      <c r="A63" s="269" t="str">
        <f t="shared" si="14"/>
        <v>n</v>
      </c>
      <c r="B63" s="2060"/>
      <c r="C63" s="2060"/>
      <c r="D63" s="2060"/>
      <c r="E63" s="1035" t="str">
        <f>'DATA GPC'!E28</f>
        <v>--</v>
      </c>
      <c r="F63" s="1036"/>
      <c r="G63" s="1555" t="str">
        <f t="shared" si="15"/>
        <v>--</v>
      </c>
      <c r="H63" s="1033" t="str">
        <f>IF($E63="--","--",_xll.ciqfunctions.udf.CIQ($G63,"IQ_EST_DATE",1001,Valuation_date,ReportType,DataMode))</f>
        <v>--</v>
      </c>
      <c r="I63" s="1034">
        <f t="shared" si="17"/>
        <v>0</v>
      </c>
      <c r="J63" s="461" t="s">
        <v>482</v>
      </c>
      <c r="K63" s="1936"/>
      <c r="L63" s="1033" t="str">
        <f>IF('DATA GPC'!U137="n/a","--",'DATA GPC'!U137)</f>
        <v>--</v>
      </c>
      <c r="M63" s="1034">
        <f t="shared" si="16"/>
        <v>0</v>
      </c>
      <c r="N63" s="461" t="s">
        <v>482</v>
      </c>
      <c r="P63" s="2060"/>
      <c r="Q63" s="2060"/>
      <c r="R63" s="2060"/>
      <c r="S63" s="2060"/>
      <c r="T63" s="2060"/>
      <c r="U63" s="2060"/>
      <c r="V63" s="2060"/>
      <c r="W63" s="2060"/>
      <c r="X63" s="2060"/>
      <c r="Y63" s="2060"/>
      <c r="Z63" s="2060"/>
      <c r="AA63" s="2060"/>
      <c r="AB63" s="2060"/>
      <c r="AC63" s="2060"/>
      <c r="AD63" s="2060"/>
      <c r="AE63" s="2060"/>
      <c r="AR63" s="2060"/>
      <c r="AS63" s="98" t="s">
        <v>556</v>
      </c>
      <c r="AT63" s="80"/>
      <c r="AU63" s="80" t="s">
        <v>151</v>
      </c>
      <c r="AV63" s="80" t="s">
        <v>558</v>
      </c>
      <c r="AW63" s="81" t="s">
        <v>559</v>
      </c>
      <c r="AX63" s="78" t="s">
        <v>49</v>
      </c>
      <c r="AY63" s="78" t="s">
        <v>333</v>
      </c>
      <c r="AZ63" s="78" t="s">
        <v>205</v>
      </c>
      <c r="BA63" s="214"/>
      <c r="BB63" s="78"/>
    </row>
    <row r="64" spans="1:68" s="89" customFormat="1" ht="13.9">
      <c r="A64" s="269" t="str">
        <f t="shared" si="14"/>
        <v>n</v>
      </c>
      <c r="B64" s="2060"/>
      <c r="C64" s="2060"/>
      <c r="D64" s="2060"/>
      <c r="E64" s="1035" t="str">
        <f>'DATA GPC'!E29</f>
        <v>--</v>
      </c>
      <c r="F64" s="1036"/>
      <c r="G64" s="1555" t="str">
        <f t="shared" si="15"/>
        <v>--</v>
      </c>
      <c r="H64" s="1033" t="str">
        <f>IF($E64="--","--",_xll.ciqfunctions.udf.CIQ($G64,"IQ_EST_DATE",1001,Valuation_date,ReportType,DataMode))</f>
        <v>--</v>
      </c>
      <c r="I64" s="1034">
        <f t="shared" si="17"/>
        <v>0</v>
      </c>
      <c r="J64" s="461" t="s">
        <v>482</v>
      </c>
      <c r="K64" s="1936"/>
      <c r="L64" s="1033" t="str">
        <f>IF('DATA GPC'!U138="n/a","--",'DATA GPC'!U138)</f>
        <v>--</v>
      </c>
      <c r="M64" s="1034">
        <f t="shared" si="16"/>
        <v>0</v>
      </c>
      <c r="N64" s="461" t="s">
        <v>482</v>
      </c>
      <c r="P64" s="2060"/>
      <c r="Q64" s="2060"/>
      <c r="R64" s="2060"/>
      <c r="S64" s="2060"/>
      <c r="T64" s="2060"/>
      <c r="U64" s="2060"/>
      <c r="V64" s="2060"/>
      <c r="W64" s="2060"/>
      <c r="X64" s="2060"/>
      <c r="Y64" s="2060"/>
      <c r="Z64" s="2060"/>
      <c r="AA64" s="2060"/>
      <c r="AB64" s="2060"/>
      <c r="AC64" s="2060"/>
      <c r="AD64" s="2060"/>
      <c r="AE64" s="2060"/>
      <c r="AR64" s="2060"/>
      <c r="AS64" s="98" t="s">
        <v>560</v>
      </c>
      <c r="AT64" s="80" t="s">
        <v>561</v>
      </c>
      <c r="AU64" s="80" t="s">
        <v>151</v>
      </c>
      <c r="AV64" s="80" t="s">
        <v>562</v>
      </c>
      <c r="AW64" s="81" t="s">
        <v>563</v>
      </c>
      <c r="AX64" s="78" t="s">
        <v>206</v>
      </c>
      <c r="AY64" s="78" t="s">
        <v>333</v>
      </c>
      <c r="AZ64" s="78" t="s">
        <v>205</v>
      </c>
      <c r="BA64" s="214"/>
      <c r="BB64" s="78"/>
    </row>
    <row r="65" spans="1:54" s="89" customFormat="1" ht="13.9">
      <c r="A65" s="269" t="str">
        <f t="shared" si="14"/>
        <v>n</v>
      </c>
      <c r="B65" s="2060"/>
      <c r="C65" s="2060"/>
      <c r="D65" s="2060"/>
      <c r="E65" s="1035" t="str">
        <f>'DATA GPC'!E30</f>
        <v>--</v>
      </c>
      <c r="F65" s="1036"/>
      <c r="G65" s="1555" t="str">
        <f t="shared" si="15"/>
        <v>--</v>
      </c>
      <c r="H65" s="1033" t="str">
        <f>IF($E65="--","--",_xll.ciqfunctions.udf.CIQ($G65,"IQ_EST_DATE",1001,Valuation_date,ReportType,DataMode))</f>
        <v>--</v>
      </c>
      <c r="I65" s="1034">
        <f t="shared" si="17"/>
        <v>0</v>
      </c>
      <c r="J65" s="461" t="s">
        <v>482</v>
      </c>
      <c r="K65" s="1936"/>
      <c r="L65" s="1033" t="str">
        <f>IF('DATA GPC'!U139="n/a","--",'DATA GPC'!U139)</f>
        <v>--</v>
      </c>
      <c r="M65" s="1034">
        <f t="shared" si="16"/>
        <v>0</v>
      </c>
      <c r="N65" s="461" t="s">
        <v>482</v>
      </c>
      <c r="P65" s="2060"/>
      <c r="Q65" s="2060"/>
      <c r="R65" s="2060"/>
      <c r="S65" s="2060"/>
      <c r="T65" s="2060"/>
      <c r="U65" s="2060"/>
      <c r="V65" s="2060"/>
      <c r="W65" s="2060"/>
      <c r="X65" s="2060"/>
      <c r="Y65" s="2060"/>
      <c r="Z65" s="2060"/>
      <c r="AA65" s="2060"/>
      <c r="AB65" s="2060"/>
      <c r="AC65" s="2060"/>
      <c r="AD65" s="2060"/>
      <c r="AE65" s="2060"/>
      <c r="AR65" s="2060"/>
      <c r="AS65" s="98" t="s">
        <v>564</v>
      </c>
      <c r="AT65" s="80" t="s">
        <v>565</v>
      </c>
      <c r="AU65" s="80" t="s">
        <v>151</v>
      </c>
      <c r="AV65" s="80" t="s">
        <v>566</v>
      </c>
      <c r="AW65" s="81" t="s">
        <v>567</v>
      </c>
      <c r="AX65" s="78" t="s">
        <v>343</v>
      </c>
      <c r="AY65" s="78" t="s">
        <v>343</v>
      </c>
      <c r="AZ65" s="78" t="s">
        <v>342</v>
      </c>
      <c r="BA65" s="214"/>
      <c r="BB65" s="78"/>
    </row>
    <row r="66" spans="1:54" s="89" customFormat="1" ht="13.9">
      <c r="A66" s="269" t="str">
        <f t="shared" si="14"/>
        <v>n</v>
      </c>
      <c r="B66" s="2060"/>
      <c r="C66" s="2060"/>
      <c r="D66" s="2060"/>
      <c r="E66" s="1035" t="str">
        <f>'DATA GPC'!E31</f>
        <v>--</v>
      </c>
      <c r="F66" s="1036"/>
      <c r="G66" s="1555" t="str">
        <f t="shared" si="15"/>
        <v>--</v>
      </c>
      <c r="H66" s="1033" t="str">
        <f>IF($E66="--","--",_xll.ciqfunctions.udf.CIQ($G66,"IQ_EST_DATE",1001,Valuation_date,ReportType,DataMode))</f>
        <v>--</v>
      </c>
      <c r="I66" s="1034">
        <f t="shared" si="17"/>
        <v>0</v>
      </c>
      <c r="J66" s="461" t="s">
        <v>482</v>
      </c>
      <c r="K66" s="1936"/>
      <c r="L66" s="1033" t="str">
        <f>IF('DATA GPC'!U140="n/a","--",'DATA GPC'!U140)</f>
        <v>--</v>
      </c>
      <c r="M66" s="1034">
        <f t="shared" si="16"/>
        <v>0</v>
      </c>
      <c r="N66" s="461" t="s">
        <v>482</v>
      </c>
      <c r="P66" s="2060"/>
      <c r="Q66" s="2060"/>
      <c r="R66" s="2060"/>
      <c r="S66" s="2060"/>
      <c r="T66" s="2060"/>
      <c r="U66" s="2060"/>
      <c r="V66" s="2060"/>
      <c r="W66" s="2060"/>
      <c r="X66" s="2060"/>
      <c r="Y66" s="2060"/>
      <c r="Z66" s="2060"/>
      <c r="AA66" s="2060"/>
      <c r="AB66" s="2060"/>
      <c r="AC66" s="2060"/>
      <c r="AD66" s="2060"/>
      <c r="AE66" s="2060"/>
      <c r="AR66" s="2060"/>
      <c r="AS66" s="98" t="s">
        <v>568</v>
      </c>
      <c r="AT66" s="80" t="s">
        <v>569</v>
      </c>
      <c r="AU66" s="80" t="s">
        <v>151</v>
      </c>
      <c r="AV66" s="80" t="s">
        <v>570</v>
      </c>
      <c r="AW66" s="81" t="s">
        <v>571</v>
      </c>
      <c r="AX66" s="78" t="s">
        <v>49</v>
      </c>
      <c r="AY66" s="78" t="s">
        <v>131</v>
      </c>
      <c r="AZ66" s="78" t="s">
        <v>132</v>
      </c>
      <c r="BA66" s="214"/>
      <c r="BB66" s="78"/>
    </row>
    <row r="67" spans="1:54" s="89" customFormat="1" ht="13.9">
      <c r="A67" s="269" t="str">
        <f t="shared" si="14"/>
        <v>n</v>
      </c>
      <c r="B67" s="2060"/>
      <c r="C67" s="2060"/>
      <c r="D67" s="2060"/>
      <c r="E67" s="1035" t="str">
        <f>'DATA GPC'!E32</f>
        <v>--</v>
      </c>
      <c r="F67" s="1036"/>
      <c r="G67" s="1555" t="str">
        <f t="shared" si="15"/>
        <v>--</v>
      </c>
      <c r="H67" s="1033" t="str">
        <f>IF($E67="--","--",_xll.ciqfunctions.udf.CIQ($G67,"IQ_EST_DATE",1001,Valuation_date,ReportType,DataMode))</f>
        <v>--</v>
      </c>
      <c r="I67" s="1034">
        <f t="shared" si="17"/>
        <v>0</v>
      </c>
      <c r="J67" s="461" t="s">
        <v>482</v>
      </c>
      <c r="K67" s="1936"/>
      <c r="L67" s="1033" t="str">
        <f>IF('DATA GPC'!U141="n/a","--",'DATA GPC'!U141)</f>
        <v>--</v>
      </c>
      <c r="M67" s="1034">
        <f t="shared" si="16"/>
        <v>0</v>
      </c>
      <c r="N67" s="461" t="s">
        <v>482</v>
      </c>
      <c r="P67" s="2060"/>
      <c r="Q67" s="2060"/>
      <c r="R67" s="2060"/>
      <c r="S67" s="2060"/>
      <c r="T67" s="2060"/>
      <c r="U67" s="2060"/>
      <c r="V67" s="2060"/>
      <c r="W67" s="2060"/>
      <c r="X67" s="2060"/>
      <c r="Y67" s="2060"/>
      <c r="Z67" s="2060"/>
      <c r="AA67" s="2060"/>
      <c r="AB67" s="2060"/>
      <c r="AC67" s="2060"/>
      <c r="AD67" s="2060"/>
      <c r="AE67" s="2060"/>
      <c r="AR67" s="2060"/>
      <c r="AS67" s="98" t="s">
        <v>568</v>
      </c>
      <c r="AT67" s="80" t="s">
        <v>569</v>
      </c>
      <c r="AU67" s="80" t="s">
        <v>151</v>
      </c>
      <c r="AV67" s="80" t="s">
        <v>572</v>
      </c>
      <c r="AW67" s="81" t="s">
        <v>573</v>
      </c>
      <c r="AX67" s="78" t="s">
        <v>206</v>
      </c>
      <c r="AY67" s="78" t="s">
        <v>333</v>
      </c>
      <c r="AZ67" s="78" t="s">
        <v>205</v>
      </c>
      <c r="BA67" s="214"/>
      <c r="BB67" s="78"/>
    </row>
    <row r="68" spans="1:54" s="89" customFormat="1" ht="13.9">
      <c r="A68" s="269" t="str">
        <f t="shared" si="14"/>
        <v>n</v>
      </c>
      <c r="B68" s="2060"/>
      <c r="C68" s="2060"/>
      <c r="D68" s="2060"/>
      <c r="E68" s="1035" t="str">
        <f>'DATA GPC'!E33</f>
        <v>--</v>
      </c>
      <c r="F68" s="1036"/>
      <c r="G68" s="1555" t="str">
        <f t="shared" si="15"/>
        <v>--</v>
      </c>
      <c r="H68" s="1033" t="str">
        <f>IF($E68="--","--",_xll.ciqfunctions.udf.CIQ($G68,"IQ_EST_DATE",1001,Valuation_date,ReportType,DataMode))</f>
        <v>--</v>
      </c>
      <c r="I68" s="1034">
        <f t="shared" si="17"/>
        <v>0</v>
      </c>
      <c r="J68" s="461" t="s">
        <v>482</v>
      </c>
      <c r="K68" s="1936"/>
      <c r="L68" s="1033" t="str">
        <f>IF('DATA GPC'!U142="n/a","--",'DATA GPC'!U142)</f>
        <v>--</v>
      </c>
      <c r="M68" s="1034">
        <f t="shared" si="16"/>
        <v>0</v>
      </c>
      <c r="N68" s="461" t="s">
        <v>482</v>
      </c>
      <c r="P68" s="2060"/>
      <c r="Q68" s="2060"/>
      <c r="R68" s="2060"/>
      <c r="S68" s="2060"/>
      <c r="T68" s="2060"/>
      <c r="U68" s="2060"/>
      <c r="V68" s="2060"/>
      <c r="W68" s="2060"/>
      <c r="X68" s="2060"/>
      <c r="Y68" s="2060"/>
      <c r="Z68" s="2060"/>
      <c r="AA68" s="2060"/>
      <c r="AB68" s="2060"/>
      <c r="AC68" s="2060"/>
      <c r="AD68" s="2060"/>
      <c r="AE68" s="2060"/>
      <c r="AR68" s="2060"/>
      <c r="AS68" s="98" t="s">
        <v>574</v>
      </c>
      <c r="AT68" s="80" t="s">
        <v>351</v>
      </c>
      <c r="AU68" s="80" t="s">
        <v>162</v>
      </c>
      <c r="AV68" s="80" t="s">
        <v>163</v>
      </c>
      <c r="AW68" s="81" t="s">
        <v>164</v>
      </c>
      <c r="AX68" s="78" t="s">
        <v>351</v>
      </c>
      <c r="AY68" s="78" t="s">
        <v>351</v>
      </c>
      <c r="AZ68" s="78" t="s">
        <v>350</v>
      </c>
      <c r="BA68" s="214"/>
      <c r="BB68" s="78"/>
    </row>
    <row r="69" spans="1:54" s="89" customFormat="1" ht="13.9">
      <c r="A69" s="269" t="str">
        <f t="shared" si="14"/>
        <v>n</v>
      </c>
      <c r="B69" s="2060"/>
      <c r="C69" s="2060"/>
      <c r="D69" s="2060"/>
      <c r="E69" s="1035" t="str">
        <f>'DATA GPC'!E34</f>
        <v>--</v>
      </c>
      <c r="F69" s="1036"/>
      <c r="G69" s="1555" t="str">
        <f t="shared" ref="G69:G79" si="18">IF(E69="--","--",$G34)</f>
        <v>--</v>
      </c>
      <c r="H69" s="1033" t="str">
        <f>IF($E69="--","--",_xll.ciqfunctions.udf.CIQ($G69,"IQ_EST_DATE",1001,Valuation_date,ReportType,DataMode))</f>
        <v>--</v>
      </c>
      <c r="I69" s="1034">
        <f t="shared" si="17"/>
        <v>0</v>
      </c>
      <c r="J69" s="461" t="s">
        <v>482</v>
      </c>
      <c r="K69" s="1936"/>
      <c r="L69" s="1033" t="str">
        <f>IF('DATA GPC'!U143="n/a","--",'DATA GPC'!U143)</f>
        <v>--</v>
      </c>
      <c r="M69" s="1034">
        <f t="shared" si="16"/>
        <v>0</v>
      </c>
      <c r="N69" s="461" t="s">
        <v>482</v>
      </c>
      <c r="P69" s="2060"/>
      <c r="Q69" s="2060"/>
      <c r="R69" s="2060"/>
      <c r="S69" s="2060"/>
      <c r="T69" s="2060"/>
      <c r="U69" s="2060"/>
      <c r="V69" s="2060"/>
      <c r="W69" s="2060"/>
      <c r="X69" s="2060"/>
      <c r="Y69" s="2060"/>
      <c r="Z69" s="2060"/>
      <c r="AA69" s="2060"/>
      <c r="AB69" s="2060"/>
      <c r="AC69" s="2060"/>
      <c r="AD69" s="2060"/>
      <c r="AE69" s="2060"/>
      <c r="AR69" s="2060"/>
      <c r="AS69" s="98" t="s">
        <v>575</v>
      </c>
      <c r="AT69" s="80" t="s">
        <v>576</v>
      </c>
      <c r="AU69" s="80" t="s">
        <v>151</v>
      </c>
      <c r="AV69" s="80" t="s">
        <v>577</v>
      </c>
      <c r="AW69" s="81" t="s">
        <v>578</v>
      </c>
      <c r="AX69" s="78" t="s">
        <v>360</v>
      </c>
      <c r="AY69" s="78" t="s">
        <v>406</v>
      </c>
      <c r="AZ69" s="210" t="s">
        <v>359</v>
      </c>
      <c r="BA69" s="214"/>
      <c r="BB69" s="78"/>
    </row>
    <row r="70" spans="1:54" s="89" customFormat="1" ht="13.9">
      <c r="A70" s="269" t="str">
        <f t="shared" si="14"/>
        <v>n</v>
      </c>
      <c r="B70" s="2060"/>
      <c r="C70" s="2060"/>
      <c r="D70" s="2060"/>
      <c r="E70" s="1035" t="str">
        <f>'DATA GPC'!E35</f>
        <v>--</v>
      </c>
      <c r="F70" s="1036"/>
      <c r="G70" s="1555" t="str">
        <f t="shared" si="18"/>
        <v>--</v>
      </c>
      <c r="H70" s="1033" t="str">
        <f>IF($E70="--","--",_xll.ciqfunctions.udf.CIQ($G70,"IQ_EST_DATE",1001,Valuation_date,ReportType,DataMode))</f>
        <v>--</v>
      </c>
      <c r="I70" s="1034">
        <f t="shared" si="17"/>
        <v>0</v>
      </c>
      <c r="J70" s="461" t="s">
        <v>482</v>
      </c>
      <c r="K70" s="1936"/>
      <c r="L70" s="1033" t="str">
        <f>IF('DATA GPC'!U144="n/a","--",'DATA GPC'!U144)</f>
        <v>--</v>
      </c>
      <c r="M70" s="1034">
        <f t="shared" si="16"/>
        <v>0</v>
      </c>
      <c r="N70" s="461" t="s">
        <v>482</v>
      </c>
      <c r="P70" s="2060"/>
      <c r="Q70" s="2060"/>
      <c r="R70" s="2060"/>
      <c r="S70" s="2060"/>
      <c r="T70" s="2060"/>
      <c r="U70" s="2060"/>
      <c r="V70" s="2060"/>
      <c r="W70" s="2060"/>
      <c r="X70" s="2060"/>
      <c r="Y70" s="2060"/>
      <c r="Z70" s="2060"/>
      <c r="AA70" s="2060"/>
      <c r="AB70" s="2060"/>
      <c r="AC70" s="2060"/>
      <c r="AD70" s="2060"/>
      <c r="AE70" s="2060"/>
      <c r="AR70" s="2060"/>
      <c r="AS70" s="98" t="s">
        <v>575</v>
      </c>
      <c r="AT70" s="80" t="s">
        <v>576</v>
      </c>
      <c r="AU70" s="80" t="s">
        <v>151</v>
      </c>
      <c r="AV70" s="80" t="s">
        <v>579</v>
      </c>
      <c r="AW70" s="81" t="s">
        <v>580</v>
      </c>
      <c r="AX70" s="78" t="s">
        <v>360</v>
      </c>
      <c r="AY70" s="78" t="s">
        <v>406</v>
      </c>
      <c r="AZ70" s="210" t="s">
        <v>359</v>
      </c>
      <c r="BA70" s="214"/>
      <c r="BB70" s="78"/>
    </row>
    <row r="71" spans="1:54" s="89" customFormat="1" ht="13.9">
      <c r="A71" s="269" t="str">
        <f t="shared" si="14"/>
        <v>n</v>
      </c>
      <c r="B71" s="2060"/>
      <c r="C71" s="2060"/>
      <c r="D71" s="2060"/>
      <c r="E71" s="1035" t="str">
        <f>'DATA GPC'!E36</f>
        <v>--</v>
      </c>
      <c r="F71" s="1036"/>
      <c r="G71" s="1555" t="str">
        <f t="shared" si="18"/>
        <v>--</v>
      </c>
      <c r="H71" s="1033" t="str">
        <f>IF($E71="--","--",_xll.ciqfunctions.udf.CIQ($G71,"IQ_EST_DATE",1001,Valuation_date,ReportType,DataMode))</f>
        <v>--</v>
      </c>
      <c r="I71" s="1034">
        <f t="shared" si="17"/>
        <v>0</v>
      </c>
      <c r="J71" s="461" t="s">
        <v>482</v>
      </c>
      <c r="K71" s="1936"/>
      <c r="L71" s="1033" t="str">
        <f>IF('DATA GPC'!U145="n/a","--",'DATA GPC'!U145)</f>
        <v>--</v>
      </c>
      <c r="M71" s="1034">
        <f t="shared" si="16"/>
        <v>0</v>
      </c>
      <c r="N71" s="461" t="s">
        <v>482</v>
      </c>
      <c r="P71" s="2060"/>
      <c r="Q71" s="2060"/>
      <c r="R71" s="2060"/>
      <c r="S71" s="2060"/>
      <c r="T71" s="2060"/>
      <c r="U71" s="2060"/>
      <c r="V71" s="2060"/>
      <c r="W71" s="2060"/>
      <c r="X71" s="2060"/>
      <c r="Y71" s="2060"/>
      <c r="Z71" s="2060"/>
      <c r="AA71" s="2060"/>
      <c r="AB71" s="2060"/>
      <c r="AC71" s="2060"/>
      <c r="AD71" s="2060"/>
      <c r="AE71" s="2060"/>
      <c r="AR71" s="2060"/>
      <c r="AS71" s="98" t="s">
        <v>581</v>
      </c>
      <c r="AT71" s="80" t="s">
        <v>582</v>
      </c>
      <c r="AU71" s="80" t="s">
        <v>162</v>
      </c>
      <c r="AV71" s="80" t="s">
        <v>583</v>
      </c>
      <c r="AW71" s="81" t="s">
        <v>584</v>
      </c>
      <c r="AX71" s="78" t="s">
        <v>367</v>
      </c>
      <c r="AY71" s="78" t="s">
        <v>367</v>
      </c>
      <c r="AZ71" s="210" t="s">
        <v>366</v>
      </c>
      <c r="BA71" s="214"/>
      <c r="BB71" s="78"/>
    </row>
    <row r="72" spans="1:54" s="89" customFormat="1" ht="13.9">
      <c r="A72" s="269" t="str">
        <f t="shared" si="14"/>
        <v>n</v>
      </c>
      <c r="B72" s="2060"/>
      <c r="C72" s="2060"/>
      <c r="D72" s="2060"/>
      <c r="E72" s="1035" t="str">
        <f>'DATA GPC'!E37</f>
        <v>--</v>
      </c>
      <c r="F72" s="1036"/>
      <c r="G72" s="1555" t="str">
        <f t="shared" si="18"/>
        <v>--</v>
      </c>
      <c r="H72" s="1033" t="str">
        <f>IF($E72="--","--",_xll.ciqfunctions.udf.CIQ($G72,"IQ_EST_DATE",1001,Valuation_date,ReportType,DataMode))</f>
        <v>--</v>
      </c>
      <c r="I72" s="1034">
        <f t="shared" si="17"/>
        <v>0</v>
      </c>
      <c r="J72" s="461" t="s">
        <v>482</v>
      </c>
      <c r="K72" s="1936"/>
      <c r="L72" s="1033" t="str">
        <f>IF('DATA GPC'!U146="n/a","--",'DATA GPC'!U146)</f>
        <v>--</v>
      </c>
      <c r="M72" s="1034">
        <f t="shared" si="16"/>
        <v>0</v>
      </c>
      <c r="N72" s="461" t="s">
        <v>482</v>
      </c>
      <c r="P72" s="2060"/>
      <c r="Q72" s="2060"/>
      <c r="R72" s="2060"/>
      <c r="S72" s="2060"/>
      <c r="T72" s="2060"/>
      <c r="U72" s="2060"/>
      <c r="V72" s="2060"/>
      <c r="W72" s="2060"/>
      <c r="X72" s="2060"/>
      <c r="Y72" s="2060"/>
      <c r="Z72" s="2060"/>
      <c r="AA72" s="2060"/>
      <c r="AB72" s="2060"/>
      <c r="AC72" s="2060"/>
      <c r="AD72" s="2060"/>
      <c r="AE72" s="2060"/>
      <c r="AR72" s="2060"/>
      <c r="AS72" s="98" t="s">
        <v>585</v>
      </c>
      <c r="AT72" s="80" t="s">
        <v>586</v>
      </c>
      <c r="AU72" s="80" t="s">
        <v>151</v>
      </c>
      <c r="AV72" s="80" t="s">
        <v>587</v>
      </c>
      <c r="AW72" s="81" t="s">
        <v>588</v>
      </c>
      <c r="AX72" s="78" t="s">
        <v>206</v>
      </c>
      <c r="AY72" s="78" t="s">
        <v>333</v>
      </c>
      <c r="AZ72" s="78" t="s">
        <v>205</v>
      </c>
      <c r="BA72" s="214"/>
      <c r="BB72" s="78"/>
    </row>
    <row r="73" spans="1:54" s="89" customFormat="1" ht="13.9">
      <c r="A73" s="269" t="str">
        <f t="shared" si="14"/>
        <v>n</v>
      </c>
      <c r="B73" s="2060"/>
      <c r="C73" s="2060"/>
      <c r="D73" s="2060"/>
      <c r="E73" s="1035" t="str">
        <f>'DATA GPC'!E38</f>
        <v>--</v>
      </c>
      <c r="F73" s="1036"/>
      <c r="G73" s="1555" t="str">
        <f t="shared" si="18"/>
        <v>--</v>
      </c>
      <c r="H73" s="1033" t="str">
        <f>IF($E73="--","--",_xll.ciqfunctions.udf.CIQ($G73,"IQ_EST_DATE",1001,Valuation_date,ReportType,DataMode))</f>
        <v>--</v>
      </c>
      <c r="I73" s="1034">
        <f t="shared" si="17"/>
        <v>0</v>
      </c>
      <c r="J73" s="461" t="s">
        <v>482</v>
      </c>
      <c r="K73" s="1936"/>
      <c r="L73" s="1033" t="str">
        <f>IF('DATA GPC'!U147="n/a","--",'DATA GPC'!U147)</f>
        <v>--</v>
      </c>
      <c r="M73" s="1034">
        <f t="shared" si="16"/>
        <v>0</v>
      </c>
      <c r="N73" s="461" t="s">
        <v>482</v>
      </c>
      <c r="P73" s="2060"/>
      <c r="Q73" s="2060"/>
      <c r="R73" s="2060"/>
      <c r="S73" s="2060"/>
      <c r="T73" s="2060"/>
      <c r="U73" s="2060"/>
      <c r="V73" s="2060"/>
      <c r="W73" s="2060"/>
      <c r="X73" s="2060"/>
      <c r="Y73" s="2060"/>
      <c r="Z73" s="2060"/>
      <c r="AA73" s="2060"/>
      <c r="AB73" s="2060"/>
      <c r="AC73" s="2060"/>
      <c r="AD73" s="2060"/>
      <c r="AE73" s="2060"/>
      <c r="AR73" s="2060"/>
      <c r="AS73" s="98" t="s">
        <v>589</v>
      </c>
      <c r="AT73" s="80" t="s">
        <v>590</v>
      </c>
      <c r="AU73" s="80" t="s">
        <v>162</v>
      </c>
      <c r="AV73" s="80" t="s">
        <v>591</v>
      </c>
      <c r="AW73" s="81" t="s">
        <v>592</v>
      </c>
      <c r="AX73" s="78" t="s">
        <v>379</v>
      </c>
      <c r="AY73" s="78" t="s">
        <v>379</v>
      </c>
      <c r="AZ73" s="78" t="s">
        <v>378</v>
      </c>
      <c r="BA73" s="214"/>
      <c r="BB73" s="78"/>
    </row>
    <row r="74" spans="1:54" s="89" customFormat="1" ht="13.9">
      <c r="A74" s="269" t="str">
        <f t="shared" si="14"/>
        <v>n</v>
      </c>
      <c r="B74" s="2060"/>
      <c r="C74" s="2060"/>
      <c r="D74" s="2060"/>
      <c r="E74" s="1035" t="str">
        <f>'DATA GPC'!E39</f>
        <v>--</v>
      </c>
      <c r="F74" s="1036"/>
      <c r="G74" s="1555" t="str">
        <f t="shared" si="18"/>
        <v>--</v>
      </c>
      <c r="H74" s="1033" t="str">
        <f>IF($E74="--","--",_xll.ciqfunctions.udf.CIQ($G74,"IQ_EST_DATE",1001,Valuation_date,ReportType,DataMode))</f>
        <v>--</v>
      </c>
      <c r="I74" s="1034">
        <f t="shared" si="17"/>
        <v>0</v>
      </c>
      <c r="J74" s="461" t="s">
        <v>482</v>
      </c>
      <c r="K74" s="1936"/>
      <c r="L74" s="1033" t="str">
        <f>IF('DATA GPC'!U148="n/a","--",'DATA GPC'!U148)</f>
        <v>--</v>
      </c>
      <c r="M74" s="1034">
        <f t="shared" si="16"/>
        <v>0</v>
      </c>
      <c r="N74" s="461" t="s">
        <v>482</v>
      </c>
      <c r="P74" s="2060"/>
      <c r="Q74" s="2060"/>
      <c r="R74" s="2060"/>
      <c r="S74" s="2060"/>
      <c r="T74" s="2060"/>
      <c r="U74" s="2060"/>
      <c r="V74" s="2060"/>
      <c r="W74" s="2060"/>
      <c r="X74" s="2060"/>
      <c r="Y74" s="2060"/>
      <c r="Z74" s="2060"/>
      <c r="AA74" s="2060"/>
      <c r="AB74" s="2060"/>
      <c r="AC74" s="2060"/>
      <c r="AD74" s="2060"/>
      <c r="AE74" s="2060"/>
      <c r="AR74" s="2060"/>
      <c r="AS74" s="98" t="s">
        <v>593</v>
      </c>
      <c r="AT74" s="80" t="s">
        <v>594</v>
      </c>
      <c r="AU74" s="80" t="s">
        <v>595</v>
      </c>
      <c r="AV74" s="80" t="s">
        <v>596</v>
      </c>
      <c r="AW74" s="81" t="s">
        <v>597</v>
      </c>
      <c r="AX74" s="78" t="s">
        <v>598</v>
      </c>
      <c r="AY74" s="78" t="s">
        <v>333</v>
      </c>
      <c r="AZ74" s="78" t="s">
        <v>205</v>
      </c>
      <c r="BA74" s="214"/>
      <c r="BB74" s="78"/>
    </row>
    <row r="75" spans="1:54" s="89" customFormat="1" ht="13.9">
      <c r="A75" s="269" t="str">
        <f t="shared" si="14"/>
        <v>n</v>
      </c>
      <c r="B75" s="2060"/>
      <c r="C75" s="2060"/>
      <c r="D75" s="2060"/>
      <c r="E75" s="1035" t="str">
        <f>'DATA GPC'!E40</f>
        <v>--</v>
      </c>
      <c r="F75" s="1036"/>
      <c r="G75" s="1555" t="str">
        <f t="shared" si="18"/>
        <v>--</v>
      </c>
      <c r="H75" s="1033" t="str">
        <f>IF($E75="--","--",_xll.ciqfunctions.udf.CIQ($G75,"IQ_EST_DATE",1001,Valuation_date,ReportType,DataMode))</f>
        <v>--</v>
      </c>
      <c r="I75" s="1034">
        <f t="shared" si="17"/>
        <v>0</v>
      </c>
      <c r="J75" s="461" t="s">
        <v>482</v>
      </c>
      <c r="K75" s="1936"/>
      <c r="L75" s="1033" t="str">
        <f>IF('DATA GPC'!U149="n/a","--",'DATA GPC'!U149)</f>
        <v>--</v>
      </c>
      <c r="M75" s="1034">
        <f t="shared" si="16"/>
        <v>0</v>
      </c>
      <c r="N75" s="461" t="s">
        <v>482</v>
      </c>
      <c r="P75" s="2060"/>
      <c r="Q75" s="2060"/>
      <c r="R75" s="2060"/>
      <c r="S75" s="2060"/>
      <c r="T75" s="2060"/>
      <c r="U75" s="2060"/>
      <c r="V75" s="2060"/>
      <c r="W75" s="2060"/>
      <c r="X75" s="2060"/>
      <c r="Y75" s="2060"/>
      <c r="Z75" s="2060"/>
      <c r="AA75" s="2060"/>
      <c r="AB75" s="2060"/>
      <c r="AC75" s="2060"/>
      <c r="AD75" s="2060"/>
      <c r="AE75" s="2060"/>
      <c r="AR75" s="2060"/>
      <c r="AS75" s="98" t="s">
        <v>599</v>
      </c>
      <c r="AT75" s="80" t="s">
        <v>600</v>
      </c>
      <c r="AU75" s="80" t="s">
        <v>162</v>
      </c>
      <c r="AV75" s="80" t="s">
        <v>601</v>
      </c>
      <c r="AW75" s="81" t="s">
        <v>602</v>
      </c>
      <c r="AX75" s="78" t="s">
        <v>385</v>
      </c>
      <c r="AY75" s="78" t="s">
        <v>433</v>
      </c>
      <c r="AZ75" s="78" t="s">
        <v>384</v>
      </c>
      <c r="BA75" s="214"/>
      <c r="BB75" s="78"/>
    </row>
    <row r="76" spans="1:54" s="89" customFormat="1" ht="13.9">
      <c r="A76" s="269" t="str">
        <f t="shared" si="14"/>
        <v>n</v>
      </c>
      <c r="B76" s="2060"/>
      <c r="C76" s="2060"/>
      <c r="D76" s="2060"/>
      <c r="E76" s="1035" t="str">
        <f>'DATA GPC'!E41</f>
        <v>--</v>
      </c>
      <c r="F76" s="1036"/>
      <c r="G76" s="1555" t="str">
        <f t="shared" si="18"/>
        <v>--</v>
      </c>
      <c r="H76" s="1033" t="str">
        <f>IF($E76="--","--",_xll.ciqfunctions.udf.CIQ($G76,"IQ_EST_DATE",1001,Valuation_date,ReportType,DataMode))</f>
        <v>--</v>
      </c>
      <c r="I76" s="1034">
        <f t="shared" si="17"/>
        <v>0</v>
      </c>
      <c r="J76" s="461" t="s">
        <v>482</v>
      </c>
      <c r="K76" s="1936"/>
      <c r="L76" s="1033" t="str">
        <f>IF('DATA GPC'!U150="n/a","--",'DATA GPC'!U150)</f>
        <v>--</v>
      </c>
      <c r="M76" s="1034">
        <f t="shared" si="16"/>
        <v>0</v>
      </c>
      <c r="N76" s="461" t="s">
        <v>482</v>
      </c>
      <c r="P76" s="2060"/>
      <c r="Q76" s="2060"/>
      <c r="R76" s="2060"/>
      <c r="S76" s="2060"/>
      <c r="T76" s="2060"/>
      <c r="U76" s="2060"/>
      <c r="V76" s="2060"/>
      <c r="W76" s="2060"/>
      <c r="X76" s="2060"/>
      <c r="Y76" s="2060"/>
      <c r="Z76" s="2060"/>
      <c r="AA76" s="2060"/>
      <c r="AB76" s="2060"/>
      <c r="AC76" s="2060"/>
      <c r="AD76" s="2060"/>
      <c r="AE76" s="2060"/>
      <c r="AR76" s="2060"/>
      <c r="AS76" s="98" t="s">
        <v>603</v>
      </c>
      <c r="AT76" s="80" t="s">
        <v>604</v>
      </c>
      <c r="AU76" s="80" t="s">
        <v>162</v>
      </c>
      <c r="AV76" s="80" t="s">
        <v>605</v>
      </c>
      <c r="AW76" s="81" t="s">
        <v>606</v>
      </c>
      <c r="AX76" s="78" t="s">
        <v>389</v>
      </c>
      <c r="AY76" s="78" t="s">
        <v>389</v>
      </c>
      <c r="AZ76" s="210" t="s">
        <v>388</v>
      </c>
      <c r="BA76" s="214"/>
      <c r="BB76" s="214"/>
    </row>
    <row r="77" spans="1:54" s="89" customFormat="1" ht="13.9">
      <c r="A77" s="269" t="str">
        <f t="shared" si="14"/>
        <v>n</v>
      </c>
      <c r="B77" s="2060"/>
      <c r="C77" s="2060"/>
      <c r="D77" s="2060"/>
      <c r="E77" s="1035" t="str">
        <f>'DATA GPC'!E42</f>
        <v>--</v>
      </c>
      <c r="F77" s="1036"/>
      <c r="G77" s="1555" t="str">
        <f t="shared" si="18"/>
        <v>--</v>
      </c>
      <c r="H77" s="1033" t="str">
        <f>IF($E77="--","--",_xll.ciqfunctions.udf.CIQ($G77,"IQ_EST_DATE",1001,Valuation_date,ReportType,DataMode))</f>
        <v>--</v>
      </c>
      <c r="I77" s="1034">
        <f t="shared" si="17"/>
        <v>0</v>
      </c>
      <c r="J77" s="461" t="s">
        <v>482</v>
      </c>
      <c r="K77" s="1936"/>
      <c r="L77" s="1033" t="str">
        <f>IF('DATA GPC'!U151="n/a","--",'DATA GPC'!U151)</f>
        <v>--</v>
      </c>
      <c r="M77" s="1034">
        <f t="shared" si="16"/>
        <v>0</v>
      </c>
      <c r="N77" s="461" t="s">
        <v>482</v>
      </c>
      <c r="P77" s="2060"/>
      <c r="Q77" s="2060"/>
      <c r="R77" s="2060"/>
      <c r="S77" s="2060"/>
      <c r="T77" s="2060"/>
      <c r="U77" s="2060"/>
      <c r="V77" s="2060"/>
      <c r="W77" s="2060"/>
      <c r="X77" s="2060"/>
      <c r="Y77" s="2060"/>
      <c r="Z77" s="2060"/>
      <c r="AA77" s="2060"/>
      <c r="AB77" s="2060"/>
      <c r="AC77" s="2060"/>
      <c r="AD77" s="2060"/>
      <c r="AE77" s="2060"/>
      <c r="AR77" s="2060"/>
      <c r="AS77" s="98" t="s">
        <v>607</v>
      </c>
      <c r="AT77" s="80" t="s">
        <v>608</v>
      </c>
      <c r="AU77" s="80" t="s">
        <v>151</v>
      </c>
      <c r="AV77" s="80" t="s">
        <v>609</v>
      </c>
      <c r="AW77" s="81" t="s">
        <v>610</v>
      </c>
      <c r="AX77" s="78" t="s">
        <v>206</v>
      </c>
      <c r="AY77" s="78" t="s">
        <v>333</v>
      </c>
      <c r="AZ77" s="78" t="s">
        <v>205</v>
      </c>
      <c r="BA77" s="214"/>
      <c r="BB77" s="214"/>
    </row>
    <row r="78" spans="1:54" s="89" customFormat="1" ht="13.9">
      <c r="A78" s="269" t="str">
        <f t="shared" si="14"/>
        <v>n</v>
      </c>
      <c r="B78" s="2060"/>
      <c r="C78" s="2060"/>
      <c r="D78" s="2060"/>
      <c r="E78" s="1035" t="str">
        <f>'DATA GPC'!E43</f>
        <v>--</v>
      </c>
      <c r="F78" s="1036"/>
      <c r="G78" s="1555" t="str">
        <f t="shared" si="18"/>
        <v>--</v>
      </c>
      <c r="H78" s="1033" t="str">
        <f>IF($E78="--","--",_xll.ciqfunctions.udf.CIQ($G78,"IQ_EST_DATE",1001,Valuation_date,ReportType,DataMode))</f>
        <v>--</v>
      </c>
      <c r="I78" s="1034">
        <f t="shared" si="17"/>
        <v>0</v>
      </c>
      <c r="J78" s="461" t="s">
        <v>482</v>
      </c>
      <c r="K78" s="1936"/>
      <c r="L78" s="1033" t="str">
        <f>IF('DATA GPC'!U152="n/a","--",'DATA GPC'!U152)</f>
        <v>--</v>
      </c>
      <c r="M78" s="1034">
        <f t="shared" si="16"/>
        <v>0</v>
      </c>
      <c r="N78" s="461" t="s">
        <v>482</v>
      </c>
      <c r="P78" s="2060"/>
      <c r="Q78" s="2060"/>
      <c r="R78" s="2060"/>
      <c r="S78" s="2060"/>
      <c r="T78" s="2060"/>
      <c r="U78" s="2060"/>
      <c r="V78" s="2060"/>
      <c r="W78" s="2060"/>
      <c r="X78" s="2060"/>
      <c r="Y78" s="2060"/>
      <c r="Z78" s="2060"/>
      <c r="AA78" s="2060"/>
      <c r="AB78" s="2060"/>
      <c r="AC78" s="2060"/>
      <c r="AD78" s="2060"/>
      <c r="AE78" s="2060"/>
      <c r="AR78" s="2060"/>
      <c r="AS78" s="98" t="s">
        <v>611</v>
      </c>
      <c r="AT78" s="80" t="s">
        <v>612</v>
      </c>
      <c r="AU78" s="80" t="s">
        <v>151</v>
      </c>
      <c r="AV78" s="80" t="s">
        <v>613</v>
      </c>
      <c r="AW78" s="81" t="s">
        <v>614</v>
      </c>
      <c r="AX78" s="78" t="s">
        <v>394</v>
      </c>
      <c r="AY78" s="78" t="s">
        <v>131</v>
      </c>
      <c r="AZ78" s="78" t="s">
        <v>393</v>
      </c>
      <c r="BA78" s="214"/>
      <c r="BB78" s="214"/>
    </row>
    <row r="79" spans="1:54" s="89" customFormat="1" ht="13.9">
      <c r="A79" s="269" t="str">
        <f t="shared" si="14"/>
        <v>n</v>
      </c>
      <c r="B79" s="2060"/>
      <c r="C79" s="2060"/>
      <c r="D79" s="2060"/>
      <c r="E79" s="1035" t="str">
        <f>'DATA GPC'!E44</f>
        <v>--</v>
      </c>
      <c r="F79" s="1036"/>
      <c r="G79" s="1555" t="str">
        <f t="shared" si="18"/>
        <v>--</v>
      </c>
      <c r="H79" s="1033" t="str">
        <f>IF($E79="--","--",_xll.ciqfunctions.udf.CIQ($G79,"IQ_EST_DATE",1001,Valuation_date,ReportType,DataMode))</f>
        <v>--</v>
      </c>
      <c r="I79" s="1034">
        <f t="shared" si="17"/>
        <v>0</v>
      </c>
      <c r="J79" s="461" t="s">
        <v>482</v>
      </c>
      <c r="K79" s="1936"/>
      <c r="L79" s="1033" t="str">
        <f>IF('DATA GPC'!U153="n/a","--",'DATA GPC'!U153)</f>
        <v>--</v>
      </c>
      <c r="M79" s="1034">
        <f t="shared" si="16"/>
        <v>0</v>
      </c>
      <c r="N79" s="461" t="s">
        <v>482</v>
      </c>
      <c r="P79" s="2060"/>
      <c r="Q79" s="2060"/>
      <c r="R79" s="2060"/>
      <c r="S79" s="2060"/>
      <c r="T79" s="2060"/>
      <c r="U79" s="2060"/>
      <c r="V79" s="2060"/>
      <c r="W79" s="2060"/>
      <c r="X79" s="2060"/>
      <c r="Y79" s="2060"/>
      <c r="Z79" s="2060"/>
      <c r="AA79" s="2060"/>
      <c r="AB79" s="2060"/>
      <c r="AC79" s="2060"/>
      <c r="AD79" s="2060"/>
      <c r="AE79" s="2060"/>
      <c r="AR79" s="2060"/>
      <c r="AS79" s="98" t="s">
        <v>615</v>
      </c>
      <c r="AT79" s="80" t="s">
        <v>616</v>
      </c>
      <c r="AU79" s="80" t="s">
        <v>162</v>
      </c>
      <c r="AV79" s="80" t="s">
        <v>617</v>
      </c>
      <c r="AW79" s="81" t="s">
        <v>618</v>
      </c>
      <c r="AX79" s="78" t="s">
        <v>400</v>
      </c>
      <c r="AY79" s="78" t="s">
        <v>400</v>
      </c>
      <c r="AZ79" s="210" t="s">
        <v>399</v>
      </c>
      <c r="BA79" s="214"/>
      <c r="BB79" s="214"/>
    </row>
    <row r="80" spans="1:54" s="89" customFormat="1" ht="13.9">
      <c r="A80" s="2060"/>
      <c r="B80" s="2060"/>
      <c r="C80" s="2060"/>
      <c r="D80" s="2060"/>
      <c r="E80" s="1513"/>
      <c r="F80" s="1513"/>
      <c r="G80" s="672"/>
      <c r="H80" s="1513"/>
      <c r="I80" s="1513"/>
      <c r="J80" s="1513"/>
      <c r="K80" s="1513"/>
      <c r="L80" s="1513"/>
      <c r="M80" s="1513"/>
      <c r="N80" s="1513"/>
      <c r="O80" s="1513"/>
      <c r="P80" s="2060"/>
      <c r="Q80" s="2060"/>
      <c r="R80" s="2060"/>
      <c r="S80" s="2060"/>
      <c r="T80" s="2060"/>
      <c r="U80" s="2060"/>
      <c r="V80" s="2060"/>
      <c r="W80" s="2060"/>
      <c r="X80" s="2060"/>
      <c r="Y80" s="2060"/>
      <c r="Z80" s="2060"/>
      <c r="AA80" s="2060"/>
      <c r="AB80" s="2060"/>
      <c r="AC80" s="2060"/>
      <c r="AD80" s="2060"/>
      <c r="AE80" s="2060"/>
      <c r="AR80" s="2060"/>
      <c r="AS80" s="98" t="s">
        <v>619</v>
      </c>
      <c r="AT80" s="80"/>
      <c r="AU80" s="80" t="s">
        <v>151</v>
      </c>
      <c r="AV80" s="80" t="s">
        <v>620</v>
      </c>
      <c r="AW80" s="81" t="s">
        <v>621</v>
      </c>
      <c r="AX80" s="78" t="s">
        <v>206</v>
      </c>
      <c r="AY80" s="78" t="s">
        <v>333</v>
      </c>
      <c r="AZ80" s="210" t="s">
        <v>205</v>
      </c>
      <c r="BA80" s="214"/>
      <c r="BB80" s="214"/>
    </row>
    <row r="81" spans="1:68" s="89" customFormat="1" ht="13.9">
      <c r="A81" s="2060"/>
      <c r="B81" s="2060"/>
      <c r="C81" s="2060"/>
      <c r="D81" s="2060"/>
      <c r="E81" s="1506"/>
      <c r="F81" s="1506"/>
      <c r="G81" s="1567"/>
      <c r="H81" s="1506"/>
      <c r="I81" s="1506"/>
      <c r="J81" s="1506"/>
      <c r="K81" s="1506"/>
      <c r="L81" s="1506"/>
      <c r="M81" s="1506"/>
      <c r="N81" s="1506"/>
      <c r="O81" s="1506"/>
      <c r="P81" s="2060"/>
      <c r="Q81" s="2060"/>
      <c r="R81" s="2060"/>
      <c r="S81" s="2060"/>
      <c r="T81" s="2060"/>
      <c r="U81" s="2060"/>
      <c r="V81" s="2060"/>
      <c r="W81" s="2060"/>
      <c r="X81" s="2060"/>
      <c r="Y81" s="2060"/>
      <c r="Z81" s="2060"/>
      <c r="AA81" s="2060"/>
      <c r="AB81" s="2060"/>
      <c r="AC81" s="2060"/>
      <c r="AD81" s="2060"/>
      <c r="AE81" s="2060"/>
      <c r="AR81" s="2060"/>
      <c r="AS81" s="98" t="s">
        <v>622</v>
      </c>
      <c r="AT81" s="80" t="s">
        <v>623</v>
      </c>
      <c r="AU81" s="80" t="s">
        <v>151</v>
      </c>
      <c r="AV81" s="80" t="s">
        <v>624</v>
      </c>
      <c r="AW81" s="81" t="s">
        <v>625</v>
      </c>
      <c r="AX81" s="78" t="s">
        <v>408</v>
      </c>
      <c r="AY81" s="78" t="s">
        <v>408</v>
      </c>
      <c r="AZ81" s="78" t="s">
        <v>407</v>
      </c>
      <c r="BA81" s="214"/>
      <c r="BB81" s="214"/>
    </row>
    <row r="82" spans="1:68" s="89" customFormat="1" ht="13.9">
      <c r="A82" s="2060"/>
      <c r="B82" s="2060"/>
      <c r="C82" s="2060"/>
      <c r="D82" s="2060"/>
      <c r="E82" s="1513" t="s">
        <v>626</v>
      </c>
      <c r="F82" s="1506"/>
      <c r="G82" s="1567"/>
      <c r="H82" s="1506"/>
      <c r="I82" s="1506"/>
      <c r="J82" s="1506"/>
      <c r="K82" s="1506"/>
      <c r="L82" s="1506"/>
      <c r="M82" s="1506"/>
      <c r="N82" s="1506"/>
      <c r="O82" s="1506"/>
      <c r="P82" s="2060"/>
      <c r="Q82" s="2060"/>
      <c r="R82" s="2060"/>
      <c r="S82" s="2060"/>
      <c r="T82" s="2060"/>
      <c r="U82" s="2060"/>
      <c r="V82" s="2060"/>
      <c r="W82" s="2060"/>
      <c r="X82" s="2060"/>
      <c r="Y82" s="2060"/>
      <c r="Z82" s="2060"/>
      <c r="AA82" s="2060"/>
      <c r="AB82" s="2060"/>
      <c r="AC82" s="2060"/>
      <c r="AD82" s="2060"/>
      <c r="AE82" s="2060"/>
      <c r="AR82" s="2060"/>
      <c r="AS82" s="98" t="s">
        <v>627</v>
      </c>
      <c r="AT82" s="80" t="s">
        <v>628</v>
      </c>
      <c r="AU82" s="80" t="s">
        <v>162</v>
      </c>
      <c r="AV82" s="80" t="s">
        <v>629</v>
      </c>
      <c r="AW82" s="81" t="s">
        <v>630</v>
      </c>
      <c r="AX82" s="78" t="s">
        <v>49</v>
      </c>
      <c r="AY82" s="78" t="s">
        <v>49</v>
      </c>
      <c r="AZ82" s="78" t="s">
        <v>132</v>
      </c>
      <c r="BA82" s="214"/>
      <c r="BB82" s="214"/>
    </row>
    <row r="83" spans="1:68" s="89" customFormat="1" ht="13.9">
      <c r="A83" s="2060"/>
      <c r="B83" s="2060"/>
      <c r="C83" s="2060"/>
      <c r="D83" s="2060"/>
      <c r="E83" s="1513" t="s">
        <v>631</v>
      </c>
      <c r="F83" s="1506"/>
      <c r="G83" s="1567"/>
      <c r="H83" s="1506"/>
      <c r="I83" s="1506"/>
      <c r="J83" s="1506"/>
      <c r="K83" s="1506"/>
      <c r="L83" s="1506"/>
      <c r="M83" s="1506"/>
      <c r="N83" s="1506"/>
      <c r="O83" s="1506"/>
      <c r="P83" s="2060"/>
      <c r="Q83" s="2060"/>
      <c r="R83" s="2060"/>
      <c r="S83" s="2060"/>
      <c r="T83" s="2060"/>
      <c r="U83" s="2060"/>
      <c r="V83" s="2060"/>
      <c r="W83" s="2060"/>
      <c r="X83" s="2060"/>
      <c r="Y83" s="2060"/>
      <c r="Z83" s="2060"/>
      <c r="AA83" s="2060"/>
      <c r="AB83" s="2060"/>
      <c r="AC83" s="2060"/>
      <c r="AD83" s="2060"/>
      <c r="AE83" s="2060"/>
      <c r="AR83" s="2060"/>
      <c r="AS83" s="98" t="s">
        <v>627</v>
      </c>
      <c r="AT83" s="80" t="s">
        <v>628</v>
      </c>
      <c r="AU83" s="80" t="s">
        <v>162</v>
      </c>
      <c r="AV83" s="80" t="s">
        <v>629</v>
      </c>
      <c r="AW83" s="81" t="s">
        <v>630</v>
      </c>
      <c r="AX83" s="78" t="s">
        <v>632</v>
      </c>
      <c r="AY83" s="78" t="s">
        <v>632</v>
      </c>
      <c r="AZ83" s="78" t="s">
        <v>412</v>
      </c>
      <c r="BA83" s="214"/>
      <c r="BB83" s="214"/>
    </row>
    <row r="84" spans="1:68" s="89" customFormat="1" ht="13.9">
      <c r="A84" s="2060"/>
      <c r="B84" s="2060"/>
      <c r="C84" s="2060"/>
      <c r="D84" s="2060"/>
      <c r="E84" s="1513"/>
      <c r="F84" s="1506"/>
      <c r="G84" s="1567"/>
      <c r="H84" s="1506"/>
      <c r="I84" s="1506"/>
      <c r="J84" s="1506"/>
      <c r="K84" s="1506"/>
      <c r="L84" s="1506"/>
      <c r="M84" s="1506"/>
      <c r="N84" s="1506"/>
      <c r="O84" s="1506"/>
      <c r="P84" s="2060"/>
      <c r="Q84" s="2060"/>
      <c r="R84" s="2060"/>
      <c r="S84" s="2060"/>
      <c r="T84" s="2060"/>
      <c r="U84" s="2060"/>
      <c r="V84" s="2060"/>
      <c r="W84" s="2060"/>
      <c r="X84" s="2060"/>
      <c r="Y84" s="2060"/>
      <c r="Z84" s="2060"/>
      <c r="AA84" s="2060"/>
      <c r="AB84" s="2060"/>
      <c r="AC84" s="2060"/>
      <c r="AD84" s="2060"/>
      <c r="AE84" s="2060"/>
      <c r="AR84" s="2060"/>
      <c r="AS84" s="98" t="s">
        <v>633</v>
      </c>
      <c r="AT84" s="80" t="s">
        <v>634</v>
      </c>
      <c r="AU84" s="80" t="s">
        <v>162</v>
      </c>
      <c r="AV84" s="80" t="s">
        <v>635</v>
      </c>
      <c r="AW84" s="81" t="s">
        <v>636</v>
      </c>
      <c r="AX84" s="78" t="s">
        <v>417</v>
      </c>
      <c r="AY84" s="78" t="s">
        <v>417</v>
      </c>
      <c r="AZ84" s="78" t="s">
        <v>416</v>
      </c>
      <c r="BA84" s="214"/>
      <c r="BB84" s="214"/>
    </row>
    <row r="85" spans="1:68" s="89" customFormat="1" ht="13.9">
      <c r="A85" s="2060"/>
      <c r="B85" s="2060"/>
      <c r="C85" s="2060"/>
      <c r="D85" s="2060"/>
      <c r="E85" s="1513" t="s">
        <v>637</v>
      </c>
      <c r="F85" s="2060"/>
      <c r="G85" s="1505"/>
      <c r="H85" s="2060"/>
      <c r="I85" s="2060"/>
      <c r="J85" s="2060"/>
      <c r="K85" s="2060"/>
      <c r="L85" s="2060"/>
      <c r="M85" s="2060"/>
      <c r="N85" s="2060"/>
      <c r="O85" s="2060"/>
      <c r="P85" s="2060"/>
      <c r="Q85" s="2060"/>
      <c r="R85" s="2060"/>
      <c r="S85" s="2060"/>
      <c r="T85" s="2060"/>
      <c r="U85" s="2060"/>
      <c r="V85" s="2060"/>
      <c r="W85" s="2060"/>
      <c r="X85" s="2060"/>
      <c r="Y85" s="2060"/>
      <c r="Z85" s="2060"/>
      <c r="AA85" s="2060"/>
      <c r="AB85" s="2060"/>
      <c r="AC85" s="2060"/>
      <c r="AD85" s="2060"/>
      <c r="AE85" s="2060"/>
      <c r="AR85" s="2060"/>
      <c r="AS85" s="98" t="s">
        <v>638</v>
      </c>
      <c r="AT85" s="80" t="s">
        <v>639</v>
      </c>
      <c r="AU85" s="80" t="s">
        <v>162</v>
      </c>
      <c r="AV85" s="80" t="s">
        <v>640</v>
      </c>
      <c r="AW85" s="81" t="s">
        <v>641</v>
      </c>
      <c r="AX85" s="78" t="s">
        <v>422</v>
      </c>
      <c r="AY85" s="78" t="s">
        <v>433</v>
      </c>
      <c r="AZ85" s="78" t="s">
        <v>421</v>
      </c>
      <c r="BA85" s="214"/>
      <c r="BB85" s="214"/>
    </row>
    <row r="86" spans="1:68" s="89" customFormat="1" ht="13.9">
      <c r="A86" s="2060"/>
      <c r="B86" s="2060"/>
      <c r="C86" s="2060"/>
      <c r="D86" s="2060"/>
      <c r="E86" s="255" t="s">
        <v>642</v>
      </c>
      <c r="F86" s="2060"/>
      <c r="G86" s="1578"/>
      <c r="H86" s="2060"/>
      <c r="I86" s="2060"/>
      <c r="J86" s="2060"/>
      <c r="K86" s="2060"/>
      <c r="L86" s="2060"/>
      <c r="M86" s="2060"/>
      <c r="N86" s="2060"/>
      <c r="O86" s="2060"/>
      <c r="P86" s="2060"/>
      <c r="Q86" s="2060"/>
      <c r="R86" s="2060"/>
      <c r="S86" s="2060"/>
      <c r="T86" s="2060"/>
      <c r="U86" s="2060"/>
      <c r="V86" s="2060"/>
      <c r="W86" s="2060"/>
      <c r="X86" s="2060"/>
      <c r="Y86" s="2060"/>
      <c r="Z86" s="2060"/>
      <c r="AA86" s="2060"/>
      <c r="AB86" s="2060"/>
      <c r="AC86" s="2060"/>
      <c r="AD86" s="2060"/>
      <c r="AE86" s="2060"/>
      <c r="AR86" s="2060"/>
      <c r="AS86" s="98" t="s">
        <v>643</v>
      </c>
      <c r="AT86" s="80" t="s">
        <v>644</v>
      </c>
      <c r="AU86" s="80" t="s">
        <v>151</v>
      </c>
      <c r="AV86" s="80" t="s">
        <v>645</v>
      </c>
      <c r="AW86" s="81" t="s">
        <v>646</v>
      </c>
      <c r="AX86" s="78" t="s">
        <v>427</v>
      </c>
      <c r="AY86" s="78" t="s">
        <v>427</v>
      </c>
      <c r="AZ86" s="78" t="s">
        <v>426</v>
      </c>
      <c r="BA86" s="214"/>
      <c r="BB86" s="214"/>
    </row>
    <row r="87" spans="1:68" s="89" customFormat="1" ht="13.9">
      <c r="A87" s="2060"/>
      <c r="B87" s="2060"/>
      <c r="C87" s="2060"/>
      <c r="D87" s="2060"/>
      <c r="E87" s="255"/>
      <c r="F87" s="2060"/>
      <c r="G87" s="1505"/>
      <c r="H87" s="2060"/>
      <c r="I87" s="2060"/>
      <c r="J87" s="2060"/>
      <c r="K87" s="2060"/>
      <c r="L87" s="2060"/>
      <c r="M87" s="2060"/>
      <c r="N87" s="2060"/>
      <c r="O87" s="2060"/>
      <c r="P87" s="2060"/>
      <c r="Q87" s="2060"/>
      <c r="R87" s="2060"/>
      <c r="S87" s="2060"/>
      <c r="T87" s="2060"/>
      <c r="U87" s="2060"/>
      <c r="V87" s="2060"/>
      <c r="W87" s="2060"/>
      <c r="X87" s="2060"/>
      <c r="Y87" s="2060"/>
      <c r="Z87" s="2060"/>
      <c r="AA87" s="2060"/>
      <c r="AB87" s="2060"/>
      <c r="AC87" s="2060"/>
      <c r="AD87" s="2060"/>
      <c r="AE87" s="2060"/>
      <c r="AR87" s="2060"/>
      <c r="AS87" s="98" t="s">
        <v>647</v>
      </c>
      <c r="AT87" s="80" t="s">
        <v>648</v>
      </c>
      <c r="AU87" s="80" t="s">
        <v>151</v>
      </c>
      <c r="AV87" s="80" t="s">
        <v>649</v>
      </c>
      <c r="AW87" s="81" t="s">
        <v>650</v>
      </c>
      <c r="AX87" s="78" t="s">
        <v>206</v>
      </c>
      <c r="AY87" s="78" t="s">
        <v>333</v>
      </c>
      <c r="AZ87" s="78" t="s">
        <v>205</v>
      </c>
      <c r="BA87" s="214"/>
      <c r="BB87" s="214"/>
    </row>
    <row r="88" spans="1:68" s="89" customFormat="1" ht="13.9">
      <c r="A88" s="2060"/>
      <c r="B88" s="2060"/>
      <c r="C88" s="2060"/>
      <c r="D88" s="2060"/>
      <c r="E88" s="1513" t="s">
        <v>651</v>
      </c>
      <c r="F88" s="2060"/>
      <c r="G88" s="1505"/>
      <c r="H88" s="2060"/>
      <c r="I88" s="2060"/>
      <c r="J88" s="2060"/>
      <c r="K88" s="2060"/>
      <c r="L88" s="2060"/>
      <c r="M88" s="2060"/>
      <c r="N88" s="2060"/>
      <c r="O88" s="2060"/>
      <c r="P88" s="2060"/>
      <c r="Q88" s="2060"/>
      <c r="R88" s="2060"/>
      <c r="S88" s="2060"/>
      <c r="T88" s="2060"/>
      <c r="U88" s="2060"/>
      <c r="V88" s="2060"/>
      <c r="W88" s="2060"/>
      <c r="X88" s="2060"/>
      <c r="Y88" s="2060"/>
      <c r="Z88" s="2060"/>
      <c r="AA88" s="2060"/>
      <c r="AB88" s="2060"/>
      <c r="AC88" s="2060"/>
      <c r="AD88" s="2060"/>
      <c r="AE88" s="2060"/>
      <c r="AR88" s="2060"/>
      <c r="AS88" s="98" t="s">
        <v>652</v>
      </c>
      <c r="AT88" s="80" t="s">
        <v>653</v>
      </c>
      <c r="AU88" s="80" t="s">
        <v>162</v>
      </c>
      <c r="AV88" s="80" t="s">
        <v>654</v>
      </c>
      <c r="AW88" s="81" t="s">
        <v>655</v>
      </c>
      <c r="AX88" s="78" t="s">
        <v>435</v>
      </c>
      <c r="AY88" s="78" t="s">
        <v>656</v>
      </c>
      <c r="AZ88" s="210" t="s">
        <v>434</v>
      </c>
      <c r="BA88" s="214"/>
      <c r="BB88" s="214"/>
    </row>
    <row r="89" spans="1:68" s="89" customFormat="1" ht="13.9">
      <c r="A89" s="2060"/>
      <c r="B89" s="2060"/>
      <c r="C89" s="2060"/>
      <c r="D89" s="2060"/>
      <c r="E89" s="1513"/>
      <c r="F89" s="2060"/>
      <c r="G89" s="1505"/>
      <c r="H89" s="2060"/>
      <c r="I89" s="2060"/>
      <c r="J89" s="2060"/>
      <c r="K89" s="2060"/>
      <c r="L89" s="2060"/>
      <c r="M89" s="2060"/>
      <c r="N89" s="2060"/>
      <c r="O89" s="2060"/>
      <c r="P89" s="2060"/>
      <c r="Q89" s="2060"/>
      <c r="R89" s="2060"/>
      <c r="S89" s="2060"/>
      <c r="T89" s="2060"/>
      <c r="U89" s="2060"/>
      <c r="V89" s="2060"/>
      <c r="W89" s="2060"/>
      <c r="X89" s="2060"/>
      <c r="Y89" s="2060"/>
      <c r="Z89" s="2060"/>
      <c r="AA89" s="2060"/>
      <c r="AB89" s="2060"/>
      <c r="AC89" s="2060"/>
      <c r="AD89" s="2060"/>
      <c r="AE89" s="2060"/>
      <c r="AR89" s="2060"/>
      <c r="AS89" s="98" t="s">
        <v>657</v>
      </c>
      <c r="AT89" s="80" t="s">
        <v>658</v>
      </c>
      <c r="AU89" s="80" t="s">
        <v>151</v>
      </c>
      <c r="AV89" s="80" t="s">
        <v>659</v>
      </c>
      <c r="AW89" s="81" t="s">
        <v>660</v>
      </c>
      <c r="AX89" s="78" t="s">
        <v>442</v>
      </c>
      <c r="AY89" s="78" t="s">
        <v>656</v>
      </c>
      <c r="AZ89" s="78" t="s">
        <v>661</v>
      </c>
      <c r="BA89" s="214"/>
      <c r="BB89" s="214"/>
    </row>
    <row r="90" spans="1:68" s="255" customFormat="1" ht="13.9">
      <c r="A90" s="2060"/>
      <c r="B90" s="2060"/>
      <c r="C90" s="2060"/>
      <c r="D90" s="2060"/>
      <c r="E90" s="1513" t="s">
        <v>662</v>
      </c>
      <c r="F90" s="2060"/>
      <c r="G90" s="1505"/>
      <c r="H90" s="2060"/>
      <c r="I90" s="2060"/>
      <c r="J90" s="2060"/>
      <c r="K90" s="2060"/>
      <c r="L90" s="2060"/>
      <c r="M90" s="2060"/>
      <c r="N90" s="2060"/>
      <c r="O90" s="2060"/>
      <c r="P90" s="2060"/>
      <c r="Q90" s="2060"/>
      <c r="R90" s="2060"/>
      <c r="S90" s="2060"/>
      <c r="T90" s="2060"/>
      <c r="U90" s="2060"/>
      <c r="V90" s="2060"/>
      <c r="W90" s="2060"/>
      <c r="X90" s="2060"/>
      <c r="Y90" s="2060"/>
      <c r="Z90" s="2060"/>
      <c r="AA90" s="2060"/>
      <c r="AB90" s="2060"/>
      <c r="AC90" s="2060"/>
      <c r="AD90" s="2060"/>
      <c r="AE90" s="2060"/>
      <c r="AF90" s="89"/>
      <c r="AG90" s="89"/>
      <c r="AL90" s="89"/>
      <c r="AM90" s="89"/>
      <c r="AN90" s="89"/>
      <c r="AO90" s="89"/>
      <c r="AP90" s="89"/>
      <c r="AQ90" s="89"/>
      <c r="AR90" s="2060"/>
      <c r="AS90" s="98" t="s">
        <v>663</v>
      </c>
      <c r="AT90" s="80" t="s">
        <v>664</v>
      </c>
      <c r="AU90" s="80" t="s">
        <v>151</v>
      </c>
      <c r="AV90" s="80" t="s">
        <v>665</v>
      </c>
      <c r="AW90" s="81" t="s">
        <v>666</v>
      </c>
      <c r="AX90" s="78" t="s">
        <v>49</v>
      </c>
      <c r="AY90" s="78" t="s">
        <v>131</v>
      </c>
      <c r="AZ90" s="78" t="s">
        <v>448</v>
      </c>
      <c r="BA90" s="214"/>
      <c r="BB90" s="214"/>
      <c r="BC90" s="89"/>
      <c r="BD90" s="89"/>
      <c r="BE90" s="89"/>
      <c r="BF90" s="89"/>
      <c r="BG90" s="89"/>
      <c r="BH90" s="89"/>
      <c r="BI90" s="89"/>
      <c r="BJ90" s="89"/>
      <c r="BK90" s="89"/>
      <c r="BL90" s="89"/>
      <c r="BM90" s="89"/>
      <c r="BN90" s="89"/>
      <c r="BO90" s="89"/>
      <c r="BP90" s="89"/>
    </row>
    <row r="91" spans="1:68" s="89" customFormat="1" ht="13.9">
      <c r="A91" s="2060"/>
      <c r="B91" s="2060"/>
      <c r="C91" s="2060"/>
      <c r="D91" s="2060"/>
      <c r="E91" s="1513" t="s">
        <v>667</v>
      </c>
      <c r="F91" s="2060"/>
      <c r="G91" s="1505"/>
      <c r="H91" s="2060"/>
      <c r="I91" s="2060"/>
      <c r="J91" s="2060"/>
      <c r="K91" s="2060"/>
      <c r="L91" s="2060"/>
      <c r="M91" s="2060"/>
      <c r="N91" s="2060"/>
      <c r="O91" s="2060"/>
      <c r="P91" s="2060"/>
      <c r="Q91" s="2060"/>
      <c r="R91" s="2060"/>
      <c r="S91" s="2060"/>
      <c r="T91" s="2060"/>
      <c r="U91" s="2060"/>
      <c r="V91" s="2060"/>
      <c r="W91" s="2060"/>
      <c r="X91" s="2060"/>
      <c r="Y91" s="2060"/>
      <c r="Z91" s="2060"/>
      <c r="AA91" s="2060"/>
      <c r="AB91" s="2060"/>
      <c r="AC91" s="2060"/>
      <c r="AD91" s="2060"/>
      <c r="AE91" s="2060"/>
      <c r="AG91" s="255"/>
      <c r="AL91" s="255"/>
      <c r="AM91" s="255"/>
      <c r="AN91" s="255"/>
      <c r="AO91" s="255"/>
      <c r="AP91" s="255"/>
      <c r="AQ91" s="255"/>
      <c r="AR91" s="2060"/>
      <c r="AS91" s="98" t="s">
        <v>668</v>
      </c>
      <c r="AT91" s="80" t="s">
        <v>669</v>
      </c>
      <c r="AU91" s="80" t="s">
        <v>595</v>
      </c>
      <c r="AV91" s="80" t="s">
        <v>670</v>
      </c>
      <c r="AW91" s="81" t="s">
        <v>671</v>
      </c>
      <c r="AX91" s="78" t="s">
        <v>455</v>
      </c>
      <c r="AY91" s="78" t="s">
        <v>455</v>
      </c>
      <c r="AZ91" s="210" t="s">
        <v>454</v>
      </c>
      <c r="BA91" s="214"/>
      <c r="BB91" s="214"/>
    </row>
    <row r="92" spans="1:68" s="89" customFormat="1" ht="13.9">
      <c r="A92" s="2060"/>
      <c r="B92" s="2060"/>
      <c r="C92" s="2060"/>
      <c r="D92" s="2060"/>
      <c r="E92" s="1578"/>
      <c r="F92" s="2060"/>
      <c r="G92" s="2060"/>
      <c r="H92" s="2060"/>
      <c r="I92" s="2060"/>
      <c r="J92" s="2060"/>
      <c r="K92" s="2060"/>
      <c r="L92" s="2060"/>
      <c r="M92" s="2060"/>
      <c r="N92" s="2060"/>
      <c r="O92" s="2060"/>
      <c r="P92" s="2060"/>
      <c r="Q92" s="2060"/>
      <c r="R92" s="2060"/>
      <c r="S92" s="2060"/>
      <c r="T92" s="2060"/>
      <c r="U92" s="2060"/>
      <c r="V92" s="2060"/>
      <c r="W92" s="2060"/>
      <c r="X92" s="2060"/>
      <c r="Y92" s="2060"/>
      <c r="Z92" s="2060"/>
      <c r="AA92" s="2060"/>
      <c r="AB92" s="2060"/>
      <c r="AC92" s="2060"/>
      <c r="AD92" s="2060"/>
      <c r="AE92" s="2060"/>
      <c r="AR92" s="2060"/>
      <c r="AS92" s="98" t="s">
        <v>672</v>
      </c>
      <c r="AT92" s="80" t="s">
        <v>673</v>
      </c>
      <c r="AU92" s="80" t="s">
        <v>151</v>
      </c>
      <c r="AV92" s="80" t="s">
        <v>674</v>
      </c>
      <c r="AW92" s="81" t="s">
        <v>675</v>
      </c>
      <c r="AX92" s="78" t="s">
        <v>462</v>
      </c>
      <c r="AY92" s="78" t="s">
        <v>131</v>
      </c>
      <c r="AZ92" s="78" t="s">
        <v>461</v>
      </c>
      <c r="BA92" s="214"/>
      <c r="BB92" s="214"/>
      <c r="BD92" s="255"/>
      <c r="BE92" s="255"/>
      <c r="BF92" s="255"/>
      <c r="BG92" s="255"/>
      <c r="BH92" s="255"/>
      <c r="BI92" s="255"/>
      <c r="BJ92" s="255"/>
      <c r="BK92" s="255"/>
      <c r="BL92" s="255"/>
      <c r="BM92" s="255"/>
      <c r="BN92" s="255"/>
      <c r="BO92" s="255"/>
      <c r="BP92" s="255"/>
    </row>
    <row r="93" spans="1:68" s="89" customFormat="1" ht="13.9">
      <c r="AR93" s="2060"/>
      <c r="AS93" s="98" t="s">
        <v>672</v>
      </c>
      <c r="AT93" s="80" t="s">
        <v>673</v>
      </c>
      <c r="AU93" s="80" t="s">
        <v>151</v>
      </c>
      <c r="AV93" s="80" t="s">
        <v>676</v>
      </c>
      <c r="AW93" s="81" t="s">
        <v>677</v>
      </c>
      <c r="AX93" s="78" t="s">
        <v>49</v>
      </c>
      <c r="AY93" s="78" t="s">
        <v>131</v>
      </c>
      <c r="AZ93" s="210" t="s">
        <v>132</v>
      </c>
      <c r="BA93" s="214"/>
      <c r="BB93" s="214"/>
      <c r="BC93" s="255"/>
    </row>
    <row r="94" spans="1:68" s="89" customFormat="1" ht="18">
      <c r="A94" s="2060" t="s">
        <v>678</v>
      </c>
      <c r="B94" s="2060"/>
      <c r="C94" s="798"/>
      <c r="D94" s="1429" t="s">
        <v>679</v>
      </c>
      <c r="E94" s="825"/>
      <c r="F94" s="826"/>
      <c r="G94" s="827"/>
      <c r="H94" s="1032"/>
      <c r="I94" s="1032"/>
      <c r="J94" s="1032"/>
      <c r="K94" s="1032"/>
      <c r="L94" s="1032"/>
      <c r="M94" s="1032"/>
      <c r="N94" s="1032"/>
      <c r="O94" s="1032"/>
      <c r="P94" s="1032"/>
      <c r="Q94" s="43"/>
      <c r="R94" s="43"/>
      <c r="S94" s="43"/>
      <c r="T94" s="828"/>
      <c r="U94" s="825"/>
      <c r="V94" s="826"/>
      <c r="W94" s="827"/>
      <c r="X94" s="1032"/>
      <c r="Y94" s="1032"/>
      <c r="Z94" s="1032"/>
      <c r="AA94" s="1032"/>
      <c r="AB94" s="1032"/>
      <c r="AC94" s="1032"/>
      <c r="AD94" s="1032"/>
      <c r="AE94" s="1032"/>
      <c r="AF94" s="1032"/>
      <c r="AR94" s="2060"/>
      <c r="AS94" s="98" t="s">
        <v>680</v>
      </c>
      <c r="AT94" s="80" t="s">
        <v>681</v>
      </c>
      <c r="AU94" s="80" t="s">
        <v>162</v>
      </c>
      <c r="AV94" s="80" t="s">
        <v>682</v>
      </c>
      <c r="AW94" s="81" t="s">
        <v>683</v>
      </c>
      <c r="AX94" s="78" t="s">
        <v>206</v>
      </c>
      <c r="AY94" s="78" t="s">
        <v>333</v>
      </c>
      <c r="AZ94" s="210" t="s">
        <v>205</v>
      </c>
      <c r="BA94" s="214"/>
      <c r="BB94" s="214"/>
    </row>
    <row r="95" spans="1:68" s="89" customFormat="1" ht="13.9">
      <c r="A95" s="2060"/>
      <c r="B95" s="2060"/>
      <c r="C95" s="62"/>
      <c r="D95" s="60"/>
      <c r="E95" s="661"/>
      <c r="F95" s="104"/>
      <c r="G95" s="62"/>
      <c r="H95" s="62"/>
      <c r="I95" s="62"/>
      <c r="J95" s="62"/>
      <c r="K95" s="62"/>
      <c r="L95" s="105"/>
      <c r="M95" s="105"/>
      <c r="N95" s="105"/>
      <c r="O95" s="105"/>
      <c r="P95" s="62"/>
      <c r="Q95" s="62"/>
      <c r="R95" s="62"/>
      <c r="S95" s="62"/>
      <c r="T95" s="62"/>
      <c r="U95" s="62"/>
      <c r="V95" s="62"/>
      <c r="W95" s="62"/>
      <c r="X95" s="62"/>
      <c r="Y95" s="62"/>
      <c r="Z95" s="62"/>
      <c r="AA95" s="62"/>
      <c r="AB95" s="62"/>
      <c r="AC95" s="62"/>
      <c r="AD95" s="92"/>
      <c r="AE95" s="92"/>
      <c r="AR95" s="2060"/>
      <c r="AS95" s="98" t="s">
        <v>684</v>
      </c>
      <c r="AT95" s="80" t="s">
        <v>685</v>
      </c>
      <c r="AU95" s="80" t="s">
        <v>162</v>
      </c>
      <c r="AV95" s="80" t="s">
        <v>686</v>
      </c>
      <c r="AW95" s="81" t="s">
        <v>687</v>
      </c>
      <c r="AX95" s="78" t="s">
        <v>206</v>
      </c>
      <c r="AY95" s="78" t="s">
        <v>333</v>
      </c>
      <c r="AZ95" s="210" t="s">
        <v>205</v>
      </c>
      <c r="BA95" s="214"/>
      <c r="BB95" s="214"/>
    </row>
    <row r="96" spans="1:68" s="89" customFormat="1" ht="18">
      <c r="A96" s="2060"/>
      <c r="B96" s="2060"/>
      <c r="C96" s="1433">
        <f ca="1">MAX(OFFSET(C96,-1,0,-ROW(C96)+1,1))+1</f>
        <v>3</v>
      </c>
      <c r="D96" s="1434" t="s">
        <v>688</v>
      </c>
      <c r="E96" s="794"/>
      <c r="F96" s="793"/>
      <c r="G96" s="776"/>
      <c r="H96" s="776"/>
      <c r="I96" s="776"/>
      <c r="J96" s="776"/>
      <c r="K96" s="776"/>
      <c r="L96" s="776"/>
      <c r="M96" s="924"/>
      <c r="N96" s="924"/>
      <c r="O96" s="924"/>
      <c r="P96" s="795"/>
      <c r="Q96" s="795"/>
      <c r="R96" s="795"/>
      <c r="S96" s="795"/>
      <c r="T96" s="795"/>
      <c r="U96" s="795"/>
      <c r="V96" s="795"/>
      <c r="W96" s="795"/>
      <c r="X96" s="795"/>
      <c r="Y96" s="795"/>
      <c r="Z96" s="795"/>
      <c r="AA96" s="795"/>
      <c r="AB96" s="795"/>
      <c r="AC96" s="795"/>
      <c r="AR96" s="2060"/>
      <c r="AS96" s="98" t="s">
        <v>689</v>
      </c>
      <c r="AT96" s="80" t="s">
        <v>690</v>
      </c>
      <c r="AU96" s="80" t="s">
        <v>151</v>
      </c>
      <c r="AV96" s="80" t="s">
        <v>691</v>
      </c>
      <c r="AW96" s="81" t="s">
        <v>692</v>
      </c>
      <c r="AX96" s="78" t="s">
        <v>465</v>
      </c>
      <c r="AY96" s="78" t="s">
        <v>465</v>
      </c>
      <c r="AZ96" s="210" t="s">
        <v>464</v>
      </c>
      <c r="BA96" s="214"/>
      <c r="BB96" s="214"/>
    </row>
    <row r="97" spans="1:308" s="89" customFormat="1" ht="13.9">
      <c r="A97" s="2060"/>
      <c r="B97" s="2060"/>
      <c r="E97" s="1505"/>
      <c r="F97" s="724"/>
      <c r="G97" s="724"/>
      <c r="H97" s="724"/>
      <c r="I97" s="724"/>
      <c r="J97" s="753">
        <v>995</v>
      </c>
      <c r="K97" s="753">
        <v>996</v>
      </c>
      <c r="L97" s="753">
        <v>997</v>
      </c>
      <c r="M97" s="753">
        <v>998</v>
      </c>
      <c r="N97" s="753">
        <v>999</v>
      </c>
      <c r="O97" s="754">
        <v>1000</v>
      </c>
      <c r="P97" s="755">
        <v>2000</v>
      </c>
      <c r="Q97" s="724"/>
      <c r="R97" s="753">
        <v>1996</v>
      </c>
      <c r="S97" s="724"/>
      <c r="T97" s="724"/>
      <c r="U97" s="753">
        <v>1001</v>
      </c>
      <c r="V97" s="753">
        <v>1002</v>
      </c>
      <c r="W97" s="753">
        <v>1003</v>
      </c>
      <c r="X97" s="753">
        <v>1004</v>
      </c>
      <c r="Y97" s="753">
        <v>1005</v>
      </c>
      <c r="AR97" s="2060"/>
      <c r="AS97" s="98" t="s">
        <v>693</v>
      </c>
      <c r="AT97" s="80" t="s">
        <v>694</v>
      </c>
      <c r="AU97" s="80" t="s">
        <v>151</v>
      </c>
      <c r="AV97" s="80" t="s">
        <v>695</v>
      </c>
      <c r="AW97" s="81" t="s">
        <v>696</v>
      </c>
      <c r="AX97" s="78" t="s">
        <v>472</v>
      </c>
      <c r="AY97" s="78" t="s">
        <v>472</v>
      </c>
      <c r="AZ97" s="78" t="s">
        <v>471</v>
      </c>
      <c r="BA97" s="214"/>
      <c r="BB97" s="214"/>
    </row>
    <row r="98" spans="1:308" s="89" customFormat="1" ht="13.9">
      <c r="A98" s="2060"/>
      <c r="B98" s="2060"/>
      <c r="D98" s="778">
        <f ca="1">MAX(OFFSET(D98,-1,0,-ROW(D98)+1,-2),1)+0.01</f>
        <v>3.01</v>
      </c>
      <c r="E98" s="669"/>
      <c r="F98" s="952" t="s">
        <v>697</v>
      </c>
      <c r="G98" s="724"/>
      <c r="H98" s="724" t="s">
        <v>698</v>
      </c>
      <c r="I98" s="758"/>
      <c r="J98" s="758" t="s">
        <v>699</v>
      </c>
      <c r="K98" s="758" t="s">
        <v>700</v>
      </c>
      <c r="L98" s="758" t="s">
        <v>701</v>
      </c>
      <c r="M98" s="758" t="s">
        <v>702</v>
      </c>
      <c r="N98" s="758" t="s">
        <v>703</v>
      </c>
      <c r="O98" s="759" t="s">
        <v>704</v>
      </c>
      <c r="P98" s="760" t="s">
        <v>705</v>
      </c>
      <c r="Q98" s="724"/>
      <c r="R98" s="725" t="s">
        <v>706</v>
      </c>
      <c r="S98" s="724"/>
      <c r="T98" s="724"/>
      <c r="U98" s="758" t="s">
        <v>707</v>
      </c>
      <c r="V98" s="758" t="s">
        <v>708</v>
      </c>
      <c r="W98" s="758" t="s">
        <v>709</v>
      </c>
      <c r="X98" s="758" t="s">
        <v>710</v>
      </c>
      <c r="Y98" s="758" t="s">
        <v>711</v>
      </c>
      <c r="AR98" s="2060"/>
      <c r="AS98" s="98" t="s">
        <v>712</v>
      </c>
      <c r="AT98" s="80" t="s">
        <v>713</v>
      </c>
      <c r="AU98" s="80" t="s">
        <v>151</v>
      </c>
      <c r="AV98" s="80" t="s">
        <v>714</v>
      </c>
      <c r="AW98" s="81" t="s">
        <v>715</v>
      </c>
      <c r="AX98" s="78" t="s">
        <v>206</v>
      </c>
      <c r="AY98" s="78" t="s">
        <v>333</v>
      </c>
      <c r="AZ98" s="210" t="s">
        <v>205</v>
      </c>
      <c r="BA98" s="214"/>
      <c r="BB98" s="214"/>
      <c r="BD98" s="1779" t="str">
        <f>_xll.ciqfunctions.udf.CIQRANGEA($G$100,"IQ_TRADINGDAY","-1Y",Valuation_date,,,"DESC","D","Trading day")</f>
        <v>(Invalid Formula Name)</v>
      </c>
      <c r="BE98" s="1530"/>
      <c r="BF98" s="1530"/>
      <c r="BG98" s="1530"/>
      <c r="BH98" s="1530"/>
      <c r="BI98" s="1530"/>
      <c r="BJ98" s="1530"/>
      <c r="BK98" s="1530"/>
      <c r="BL98" s="1530"/>
      <c r="BM98" s="1530"/>
      <c r="BN98" s="1530"/>
      <c r="BO98" s="1530"/>
      <c r="BP98" s="1530"/>
      <c r="BQ98" s="1530"/>
      <c r="BR98" s="1530"/>
      <c r="BS98" s="1530"/>
      <c r="BT98" s="1530"/>
      <c r="BU98" s="1530"/>
      <c r="BV98" s="1530"/>
      <c r="BW98" s="1530"/>
      <c r="BX98" s="1530"/>
      <c r="BY98" s="1530"/>
      <c r="BZ98" s="1530"/>
      <c r="CA98" s="1530"/>
      <c r="CB98" s="1530"/>
      <c r="CC98" s="1530"/>
      <c r="CD98" s="1530"/>
      <c r="CE98" s="1530"/>
      <c r="CF98" s="1530"/>
      <c r="CG98" s="1530"/>
      <c r="CH98" s="1530"/>
      <c r="CI98" s="1530"/>
      <c r="CJ98" s="1530"/>
      <c r="CK98" s="1530"/>
      <c r="CL98" s="1530"/>
      <c r="CM98" s="1530"/>
      <c r="CN98" s="1530"/>
      <c r="CO98" s="1530"/>
      <c r="CP98" s="1530"/>
      <c r="CQ98" s="1530"/>
      <c r="CR98" s="1530"/>
      <c r="CS98" s="1530"/>
      <c r="CT98" s="1530"/>
      <c r="CU98" s="1530"/>
      <c r="CV98" s="1530"/>
      <c r="CW98" s="1530"/>
      <c r="CX98" s="1530"/>
      <c r="CY98" s="1530"/>
      <c r="CZ98" s="1530"/>
      <c r="DA98" s="1530"/>
      <c r="DB98" s="1530"/>
      <c r="DC98" s="1530"/>
      <c r="DD98" s="1530"/>
      <c r="DE98" s="1530"/>
      <c r="DF98" s="1530"/>
      <c r="DG98" s="1530"/>
      <c r="DH98" s="1530"/>
      <c r="DI98" s="1530"/>
      <c r="DJ98" s="1530"/>
      <c r="DK98" s="1530"/>
      <c r="DL98" s="1530"/>
      <c r="DM98" s="1530"/>
      <c r="DN98" s="1530"/>
      <c r="DO98" s="1530"/>
      <c r="DP98" s="1530"/>
      <c r="DQ98" s="1530"/>
      <c r="DR98" s="1530"/>
      <c r="DS98" s="1530"/>
      <c r="DT98" s="1530"/>
      <c r="DU98" s="1530"/>
      <c r="DV98" s="1530"/>
      <c r="DW98" s="1530"/>
      <c r="DX98" s="1530"/>
      <c r="DY98" s="1530"/>
      <c r="DZ98" s="1530"/>
      <c r="EA98" s="1530"/>
      <c r="EB98" s="1530"/>
      <c r="EC98" s="1530"/>
      <c r="ED98" s="1530"/>
      <c r="EE98" s="1530"/>
      <c r="EF98" s="1530"/>
      <c r="EG98" s="1530"/>
      <c r="EH98" s="1530"/>
      <c r="EI98" s="1530"/>
      <c r="EJ98" s="1530"/>
      <c r="EK98" s="1530"/>
      <c r="EL98" s="1530"/>
      <c r="EM98" s="1530"/>
      <c r="EN98" s="1530"/>
      <c r="EO98" s="1530"/>
      <c r="EP98" s="1530"/>
      <c r="EQ98" s="1530"/>
      <c r="ER98" s="1530"/>
      <c r="ES98" s="1530"/>
      <c r="ET98" s="1530"/>
      <c r="EU98" s="1530"/>
      <c r="EV98" s="1530"/>
      <c r="EW98" s="1530"/>
      <c r="EX98" s="1530"/>
      <c r="EY98" s="1530"/>
      <c r="EZ98" s="1530"/>
      <c r="FA98" s="1530"/>
      <c r="FB98" s="1530"/>
      <c r="FC98" s="1530"/>
      <c r="FD98" s="1530"/>
      <c r="FE98" s="1530"/>
      <c r="FF98" s="1530"/>
      <c r="FG98" s="1530"/>
      <c r="FH98" s="1530"/>
      <c r="FI98" s="1530"/>
      <c r="FJ98" s="1530"/>
      <c r="FK98" s="1530"/>
      <c r="FL98" s="1530"/>
      <c r="FM98" s="1530"/>
      <c r="FN98" s="1530"/>
      <c r="FO98" s="1530"/>
      <c r="FP98" s="1530"/>
      <c r="FQ98" s="1530"/>
      <c r="FR98" s="1530"/>
      <c r="FS98" s="1530"/>
      <c r="FT98" s="1530"/>
      <c r="FU98" s="1530"/>
      <c r="FV98" s="1530"/>
      <c r="FW98" s="1530"/>
      <c r="FX98" s="1530"/>
      <c r="FY98" s="1530"/>
      <c r="FZ98" s="1530"/>
      <c r="GA98" s="1530"/>
      <c r="GB98" s="1530"/>
      <c r="GC98" s="1530"/>
      <c r="GD98" s="1530"/>
      <c r="GE98" s="1530"/>
      <c r="GF98" s="1530"/>
      <c r="GG98" s="1530"/>
      <c r="GH98" s="1530"/>
      <c r="GI98" s="1530"/>
      <c r="GJ98" s="1530"/>
      <c r="GK98" s="1530"/>
      <c r="GL98" s="1530"/>
      <c r="GM98" s="1530"/>
      <c r="GN98" s="1530"/>
      <c r="GO98" s="1530"/>
      <c r="GP98" s="1530"/>
      <c r="GQ98" s="1530"/>
      <c r="GR98" s="1530"/>
      <c r="GS98" s="1530"/>
      <c r="GT98" s="1530"/>
      <c r="GU98" s="1530"/>
      <c r="GV98" s="1530"/>
      <c r="GW98" s="1530"/>
      <c r="GX98" s="1530"/>
      <c r="GY98" s="1530"/>
      <c r="GZ98" s="1530"/>
      <c r="HA98" s="1530"/>
      <c r="HB98" s="1530"/>
      <c r="HC98" s="1530"/>
      <c r="HD98" s="1530"/>
      <c r="HE98" s="1530"/>
      <c r="HF98" s="1530"/>
      <c r="HG98" s="1530"/>
      <c r="HH98" s="1530"/>
      <c r="HI98" s="1530"/>
      <c r="HJ98" s="1530"/>
      <c r="HK98" s="1530"/>
      <c r="HL98" s="1530"/>
      <c r="HM98" s="1530"/>
      <c r="HN98" s="1530"/>
      <c r="HO98" s="1530"/>
      <c r="HP98" s="1530"/>
      <c r="HQ98" s="1530"/>
      <c r="HR98" s="1530"/>
      <c r="HS98" s="1530"/>
      <c r="HT98" s="1530"/>
      <c r="HU98" s="1530"/>
      <c r="HV98" s="1530"/>
      <c r="HW98" s="1530"/>
      <c r="HX98" s="1530"/>
      <c r="HY98" s="1530"/>
      <c r="HZ98" s="1530"/>
      <c r="IA98" s="1530"/>
      <c r="IB98" s="1530"/>
      <c r="IC98" s="1530"/>
      <c r="ID98" s="1530"/>
      <c r="IE98" s="1530"/>
      <c r="IF98" s="1530"/>
      <c r="IG98" s="1530"/>
      <c r="IH98" s="1530"/>
      <c r="II98" s="1530"/>
      <c r="IJ98" s="1530"/>
      <c r="IK98" s="1530"/>
      <c r="IL98" s="1530"/>
      <c r="IM98" s="1530"/>
      <c r="IN98" s="1530"/>
      <c r="IO98" s="1530"/>
      <c r="IP98" s="1530"/>
      <c r="IQ98" s="1530"/>
      <c r="IR98" s="1530"/>
      <c r="IS98" s="1530"/>
      <c r="IT98" s="1530"/>
      <c r="IU98" s="1530"/>
      <c r="IV98" s="1530"/>
      <c r="IW98" s="1530"/>
      <c r="IX98" s="1530"/>
      <c r="IY98" s="1530"/>
      <c r="IZ98" s="1530"/>
      <c r="JA98" s="1530"/>
      <c r="JB98" s="1530"/>
      <c r="JC98" s="1530"/>
      <c r="JD98" s="1530"/>
      <c r="JE98" s="1530"/>
      <c r="JF98" s="1530"/>
      <c r="JG98" s="1530"/>
      <c r="JH98" s="1530"/>
      <c r="JI98" s="1530"/>
      <c r="JJ98" s="1530"/>
      <c r="JK98" s="1530"/>
      <c r="JL98" s="1530"/>
      <c r="JM98" s="1530"/>
      <c r="JN98" s="1530"/>
      <c r="JO98" s="1530"/>
      <c r="JP98" s="1530"/>
      <c r="JQ98" s="1530"/>
      <c r="JR98" s="1530"/>
      <c r="JS98" s="1530"/>
      <c r="JT98" s="1530"/>
      <c r="JU98" s="1530"/>
      <c r="JV98" s="1530"/>
      <c r="JW98" s="1530"/>
      <c r="JX98" s="1530"/>
      <c r="JY98" s="1530"/>
      <c r="JZ98" s="1530"/>
      <c r="KA98" s="1530"/>
      <c r="KB98" s="1530"/>
      <c r="KC98" s="1530"/>
      <c r="KD98" s="1530"/>
      <c r="KE98" s="1530"/>
      <c r="KF98" s="1530"/>
      <c r="KG98" s="1530"/>
      <c r="KH98" s="1530"/>
      <c r="KI98" s="1530"/>
      <c r="KJ98" s="1530"/>
      <c r="KK98" s="1530"/>
      <c r="KL98" s="1530"/>
      <c r="KM98" s="1530"/>
      <c r="KN98" s="1530"/>
      <c r="KO98" s="1530"/>
      <c r="KP98" s="1530"/>
      <c r="KQ98" s="1530"/>
      <c r="KR98" s="1530"/>
      <c r="KS98" s="1530"/>
      <c r="KT98" s="1530"/>
      <c r="KU98" s="1530"/>
      <c r="KV98" s="1530"/>
    </row>
    <row r="99" spans="1:308" s="89" customFormat="1" ht="13.9">
      <c r="A99" s="2060"/>
      <c r="B99" s="2060"/>
      <c r="D99" s="785"/>
      <c r="E99" s="1505">
        <v>0</v>
      </c>
      <c r="F99" s="1439" t="str">
        <f>IFERROR(ClientName,"")</f>
        <v/>
      </c>
      <c r="G99" s="1440">
        <f>IFERROR(SubjCoID,0)</f>
        <v>0</v>
      </c>
      <c r="H99" s="279"/>
      <c r="I99" s="2290">
        <f>I128</f>
        <v>40633</v>
      </c>
      <c r="J99" s="2290">
        <f t="shared" ref="J99:R99" si="19">J128</f>
        <v>40999</v>
      </c>
      <c r="K99" s="2290">
        <f t="shared" si="19"/>
        <v>41364</v>
      </c>
      <c r="L99" s="2290">
        <f t="shared" si="19"/>
        <v>41729</v>
      </c>
      <c r="M99" s="2290">
        <f t="shared" si="19"/>
        <v>42094</v>
      </c>
      <c r="N99" s="2290">
        <f t="shared" si="19"/>
        <v>42460</v>
      </c>
      <c r="O99" s="2290">
        <f t="shared" si="19"/>
        <v>42825</v>
      </c>
      <c r="P99" s="2290">
        <f t="shared" si="19"/>
        <v>42825</v>
      </c>
      <c r="Q99" s="2290"/>
      <c r="R99" s="2290">
        <f t="shared" si="19"/>
        <v>42460</v>
      </c>
      <c r="U99" s="2291">
        <f>U128</f>
        <v>43190</v>
      </c>
      <c r="V99" s="2291">
        <f t="shared" ref="V99:Y99" si="20">V128</f>
        <v>43555</v>
      </c>
      <c r="W99" s="2291">
        <f t="shared" si="20"/>
        <v>43921</v>
      </c>
      <c r="X99" s="2291">
        <f t="shared" si="20"/>
        <v>44286</v>
      </c>
      <c r="Y99" s="2291">
        <f t="shared" si="20"/>
        <v>44651</v>
      </c>
      <c r="AG99" s="2060"/>
      <c r="AR99" s="2060"/>
      <c r="AS99" s="98" t="s">
        <v>716</v>
      </c>
      <c r="AT99" s="80" t="s">
        <v>717</v>
      </c>
      <c r="AU99" s="80" t="s">
        <v>151</v>
      </c>
      <c r="AV99" s="80" t="s">
        <v>718</v>
      </c>
      <c r="AW99" s="81" t="s">
        <v>719</v>
      </c>
      <c r="AX99" s="78" t="s">
        <v>475</v>
      </c>
      <c r="AY99" s="78" t="s">
        <v>475</v>
      </c>
      <c r="AZ99" s="78" t="s">
        <v>474</v>
      </c>
      <c r="BA99" s="214"/>
      <c r="BB99" s="214"/>
      <c r="GK99" s="1956">
        <f>_xll.ciqfunctions.udf.CIQ("CAT", "IQ_VOLUME", "8/22/2016")</f>
        <v>2.8849999999999998</v>
      </c>
      <c r="GL99" s="1956">
        <f>_xll.ciqfunctions.udf.CIQ("CAT", "IQ_VOLUME", "8/19/2016")</f>
        <v>3.8239200000000002</v>
      </c>
      <c r="GM99" s="1956">
        <f>_xll.ciqfunctions.udf.CIQ("CAT", "IQ_VOLUME", "8/18/2016")</f>
        <v>5.00305</v>
      </c>
      <c r="GN99" s="1956">
        <f>_xll.ciqfunctions.udf.CIQ("CAT", "IQ_VOLUME", "8/17/2016")</f>
        <v>2.98339</v>
      </c>
      <c r="GO99" s="1956">
        <f>_xll.ciqfunctions.udf.CIQ("CAT", "IQ_VOLUME", "8/16/2016")</f>
        <v>3.1617500000000001</v>
      </c>
      <c r="GP99" s="1956">
        <f>_xll.ciqfunctions.udf.CIQ("CAT", "IQ_VOLUME", "8/15/2016")</f>
        <v>4.0560200000000002</v>
      </c>
      <c r="GQ99" s="1956">
        <f>_xll.ciqfunctions.udf.CIQ("CAT", "IQ_VOLUME", "8/12/2016")</f>
        <v>4.3428399999999998</v>
      </c>
      <c r="GR99" s="1956">
        <f>_xll.ciqfunctions.udf.CIQ("CAT", "IQ_VOLUME", "8/11/2016")</f>
        <v>2.22926</v>
      </c>
      <c r="GS99" s="1956">
        <f>_xll.ciqfunctions.udf.CIQ("CAT", "IQ_VOLUME", "8/10/2016")</f>
        <v>2.2903099999999998</v>
      </c>
      <c r="GT99" s="1956">
        <f>_xll.ciqfunctions.udf.CIQ("CAT", "IQ_VOLUME", "8/9/2016")</f>
        <v>2.31488</v>
      </c>
      <c r="GU99" s="1956">
        <f>_xll.ciqfunctions.udf.CIQ("CAT", "IQ_VOLUME", "8/8/2016")</f>
        <v>3.5448300000000001</v>
      </c>
      <c r="GV99" s="1956">
        <f>_xll.ciqfunctions.udf.CIQ("CAT", "IQ_VOLUME", "8/5/2016")</f>
        <v>3.2860900000000002</v>
      </c>
      <c r="GW99" s="1956">
        <f>_xll.ciqfunctions.udf.CIQ("CAT", "IQ_VOLUME", "8/4/2016")</f>
        <v>2.4075299999999999</v>
      </c>
      <c r="GX99" s="1956">
        <f>_xll.ciqfunctions.udf.CIQ("CAT", "IQ_VOLUME", "8/3/2016")</f>
        <v>3.1017100000000002</v>
      </c>
      <c r="GY99" s="1956">
        <f>_xll.ciqfunctions.udf.CIQ("CAT", "IQ_VOLUME", "8/2/2016")</f>
        <v>3.9094799999999998</v>
      </c>
      <c r="GZ99" s="1956">
        <f>_xll.ciqfunctions.udf.CIQ("CAT", "IQ_VOLUME", "8/1/2016")</f>
        <v>3.3771499999999999</v>
      </c>
      <c r="HA99" s="1956">
        <f>_xll.ciqfunctions.udf.CIQ("CAT", "IQ_VOLUME", "7/29/2016")</f>
        <v>4.2742399999999998</v>
      </c>
      <c r="HB99" s="1956">
        <f>_xll.ciqfunctions.udf.CIQ("CAT", "IQ_VOLUME", "7/28/2016")</f>
        <v>5.0656100000000004</v>
      </c>
      <c r="HC99" s="1956">
        <f>_xll.ciqfunctions.udf.CIQ("CAT", "IQ_VOLUME", "7/27/2016")</f>
        <v>8.4609299999999994</v>
      </c>
      <c r="HD99" s="1956">
        <f>_xll.ciqfunctions.udf.CIQ("CAT", "IQ_VOLUME", "7/26/2016")</f>
        <v>11.007580000000001</v>
      </c>
      <c r="HE99" s="1956">
        <f>_xll.ciqfunctions.udf.CIQ("CAT", "IQ_VOLUME", "7/25/2016")</f>
        <v>5.7980900000000002</v>
      </c>
      <c r="HF99" s="1956">
        <f>_xll.ciqfunctions.udf.CIQ("CAT", "IQ_VOLUME", "7/22/2016")</f>
        <v>4.1338299999999997</v>
      </c>
      <c r="HG99" s="1956">
        <f>_xll.ciqfunctions.udf.CIQ("CAT", "IQ_VOLUME", "7/21/2016")</f>
        <v>6.4922300000000002</v>
      </c>
      <c r="HH99" s="1956">
        <f>_xll.ciqfunctions.udf.CIQ("CAT", "IQ_VOLUME", "7/20/2016")</f>
        <v>4.1854800000000001</v>
      </c>
      <c r="HI99" s="1956">
        <f>_xll.ciqfunctions.udf.CIQ("CAT", "IQ_VOLUME", "7/19/2016")</f>
        <v>3.30836</v>
      </c>
      <c r="HJ99" s="1956">
        <f>_xll.ciqfunctions.udf.CIQ("CAT", "IQ_VOLUME", "7/18/2016")</f>
        <v>4.1367399999999996</v>
      </c>
      <c r="HK99" s="1956">
        <f>_xll.ciqfunctions.udf.CIQ("CAT", "IQ_VOLUME", "7/15/2016")</f>
        <v>4.64208</v>
      </c>
      <c r="HL99" s="1956">
        <f>_xll.ciqfunctions.udf.CIQ("CAT", "IQ_VOLUME", "7/14/2016")</f>
        <v>5.4417099999999996</v>
      </c>
      <c r="HM99" s="1956">
        <f>_xll.ciqfunctions.udf.CIQ("CAT", "IQ_VOLUME", "7/13/2016")</f>
        <v>5.1625399999999999</v>
      </c>
      <c r="HN99" s="1956">
        <f>_xll.ciqfunctions.udf.CIQ("CAT", "IQ_VOLUME", "7/12/2016")</f>
        <v>5.5457599999999996</v>
      </c>
      <c r="HO99" s="1956">
        <f>_xll.ciqfunctions.udf.CIQ("CAT", "IQ_VOLUME", "7/11/2016")</f>
        <v>4.5113200000000004</v>
      </c>
      <c r="HP99" s="1956">
        <f>_xll.ciqfunctions.udf.CIQ("CAT", "IQ_VOLUME", "7/8/2016")</f>
        <v>5.4914800000000001</v>
      </c>
      <c r="HQ99" s="1956">
        <f>_xll.ciqfunctions.udf.CIQ("CAT", "IQ_VOLUME", "7/7/2016")</f>
        <v>3.0808900000000001</v>
      </c>
      <c r="HR99" s="1956">
        <f>_xll.ciqfunctions.udf.CIQ("CAT", "IQ_VOLUME", "7/6/2016")</f>
        <v>3.7404999999999999</v>
      </c>
      <c r="HS99" s="1956">
        <f>_xll.ciqfunctions.udf.CIQ("CAT", "IQ_VOLUME", "7/5/2016")</f>
        <v>4.7763099999999996</v>
      </c>
      <c r="HT99" s="1956">
        <f>_xll.ciqfunctions.udf.CIQ("CAT", "IQ_VOLUME", "7/1/2016")</f>
        <v>4.6300600000000003</v>
      </c>
      <c r="HU99" s="1956">
        <f>_xll.ciqfunctions.udf.CIQ("CAT", "IQ_VOLUME", "6/30/2016")</f>
        <v>4.6955099999999996</v>
      </c>
      <c r="HV99" s="1956">
        <f>_xll.ciqfunctions.udf.CIQ("CAT", "IQ_VOLUME", "6/29/2016")</f>
        <v>4.0154199999999998</v>
      </c>
      <c r="HW99" s="1956">
        <f>_xll.ciqfunctions.udf.CIQ("CAT", "IQ_VOLUME", "6/28/2016")</f>
        <v>4.7437300000000002</v>
      </c>
      <c r="HX99" s="1956">
        <f>_xll.ciqfunctions.udf.CIQ("CAT", "IQ_VOLUME", "6/27/2016")</f>
        <v>7.3616400000000004</v>
      </c>
      <c r="HY99" s="1956">
        <f>_xll.ciqfunctions.udf.CIQ("CAT", "IQ_VOLUME", "6/24/2016")</f>
        <v>12.17952</v>
      </c>
      <c r="HZ99" s="1956">
        <f>_xll.ciqfunctions.udf.CIQ("CAT", "IQ_VOLUME", "6/23/2016")</f>
        <v>3.6008200000000001</v>
      </c>
      <c r="IA99" s="1956">
        <f>_xll.ciqfunctions.udf.CIQ("CAT", "IQ_VOLUME", "6/22/2016")</f>
        <v>3.0568300000000002</v>
      </c>
      <c r="IB99" s="1956">
        <f>_xll.ciqfunctions.udf.CIQ("CAT", "IQ_VOLUME", "6/21/2016")</f>
        <v>3.2920799999999999</v>
      </c>
      <c r="IC99" s="1956">
        <f>_xll.ciqfunctions.udf.CIQ("CAT", "IQ_VOLUME", "6/20/2016")</f>
        <v>4.09084</v>
      </c>
      <c r="ID99" s="1956">
        <f>_xll.ciqfunctions.udf.CIQ("CAT", "IQ_VOLUME", "6/17/2016")</f>
        <v>5.4420400000000004</v>
      </c>
      <c r="IE99" s="1956">
        <f>_xll.ciqfunctions.udf.CIQ("CAT", "IQ_VOLUME", "6/16/2016")</f>
        <v>4.0647700000000002</v>
      </c>
      <c r="IF99" s="1956">
        <f>_xll.ciqfunctions.udf.CIQ("CAT", "IQ_VOLUME", "6/15/2016")</f>
        <v>3.8020200000000002</v>
      </c>
      <c r="IG99" s="1956">
        <f>_xll.ciqfunctions.udf.CIQ("CAT", "IQ_VOLUME", "6/14/2016")</f>
        <v>4.05844</v>
      </c>
      <c r="IH99" s="1956">
        <f>_xll.ciqfunctions.udf.CIQ("CAT", "IQ_VOLUME", "6/13/2016")</f>
        <v>4.0867100000000001</v>
      </c>
      <c r="II99" s="1956">
        <f>_xll.ciqfunctions.udf.CIQ("CAT", "IQ_VOLUME", "6/10/2016")</f>
        <v>4.8794899999999997</v>
      </c>
      <c r="IJ99" s="1956">
        <f>_xll.ciqfunctions.udf.CIQ("CAT", "IQ_VOLUME", "6/9/2016")</f>
        <v>3.7846299999999999</v>
      </c>
      <c r="IK99" s="1956">
        <f>_xll.ciqfunctions.udf.CIQ("CAT", "IQ_VOLUME", "6/8/2016")</f>
        <v>5.9878400000000003</v>
      </c>
      <c r="IL99" s="1956">
        <f>_xll.ciqfunctions.udf.CIQ("CAT", "IQ_VOLUME", "6/7/2016")</f>
        <v>4.2351599999999996</v>
      </c>
      <c r="IM99" s="1956">
        <f>_xll.ciqfunctions.udf.CIQ("CAT", "IQ_VOLUME", "6/6/2016")</f>
        <v>4.7751099999999997</v>
      </c>
      <c r="IN99" s="1956">
        <f>_xll.ciqfunctions.udf.CIQ("CAT", "IQ_VOLUME", "6/3/2016")</f>
        <v>6.6193299999999997</v>
      </c>
      <c r="IO99" s="1956">
        <f>_xll.ciqfunctions.udf.CIQ("CAT", "IQ_VOLUME", "6/2/2016")</f>
        <v>4.6152699999999998</v>
      </c>
      <c r="IP99" s="1956">
        <f>_xll.ciqfunctions.udf.CIQ("CAT", "IQ_VOLUME", "6/1/2016")</f>
        <v>2.6999200000000001</v>
      </c>
      <c r="IQ99" s="1956">
        <f>_xll.ciqfunctions.udf.CIQ("CAT", "IQ_VOLUME", "5/31/2016")</f>
        <v>4.0726199999999997</v>
      </c>
      <c r="IR99" s="1956">
        <f>_xll.ciqfunctions.udf.CIQ("CAT", "IQ_VOLUME", "5/27/2016")</f>
        <v>3.0021300000000002</v>
      </c>
      <c r="IS99" s="1956">
        <f>_xll.ciqfunctions.udf.CIQ("CAT", "IQ_VOLUME", "5/26/2016")</f>
        <v>4.1464400000000001</v>
      </c>
      <c r="IT99" s="1956">
        <f>_xll.ciqfunctions.udf.CIQ("CAT", "IQ_VOLUME", "5/25/2016")</f>
        <v>5.0429000000000004</v>
      </c>
      <c r="IU99" s="1956">
        <f>_xll.ciqfunctions.udf.CIQ("CAT", "IQ_VOLUME", "5/24/2016")</f>
        <v>3.8723800000000002</v>
      </c>
      <c r="IV99" s="1956">
        <f>_xll.ciqfunctions.udf.CIQ("CAT", "IQ_VOLUME", "5/23/2016")</f>
        <v>4.0019600000000004</v>
      </c>
      <c r="IW99" s="1956">
        <f>_xll.ciqfunctions.udf.CIQ("CAT", "IQ_VOLUME", "5/20/2016")</f>
        <v>5.7316399999999996</v>
      </c>
      <c r="IX99" s="1956">
        <f>_xll.ciqfunctions.udf.CIQ("CAT", "IQ_VOLUME", "5/19/2016")</f>
        <v>6.1370699999999996</v>
      </c>
      <c r="IY99" s="1956">
        <f>_xll.ciqfunctions.udf.CIQ("CAT", "IQ_VOLUME", "5/18/2016")</f>
        <v>5.1659699999999997</v>
      </c>
      <c r="IZ99" s="1956">
        <f>_xll.ciqfunctions.udf.CIQ("CAT", "IQ_VOLUME", "5/17/2016")</f>
        <v>4.8418599999999996</v>
      </c>
      <c r="JA99" s="1956">
        <f>_xll.ciqfunctions.udf.CIQ("CAT", "IQ_VOLUME", "5/16/2016")</f>
        <v>4.5159200000000004</v>
      </c>
      <c r="JB99" s="1956">
        <f>_xll.ciqfunctions.udf.CIQ("CAT", "IQ_VOLUME", "5/13/2016")</f>
        <v>6.4172399999999996</v>
      </c>
      <c r="JC99" s="1956">
        <f>_xll.ciqfunctions.udf.CIQ("CAT", "IQ_VOLUME", "5/12/2016")</f>
        <v>4.5264699999999998</v>
      </c>
      <c r="JD99" s="1956">
        <f>_xll.ciqfunctions.udf.CIQ("CAT", "IQ_VOLUME", "5/11/2016")</f>
        <v>4.6918800000000003</v>
      </c>
      <c r="JE99" s="1956">
        <f>_xll.ciqfunctions.udf.CIQ("CAT", "IQ_VOLUME", "5/10/2016")</f>
        <v>6.5072799999999997</v>
      </c>
      <c r="JF99" s="1956">
        <f>_xll.ciqfunctions.udf.CIQ("CAT", "IQ_VOLUME", "5/9/2016")</f>
        <v>9.4049700000000005</v>
      </c>
      <c r="JG99" s="1956">
        <f>_xll.ciqfunctions.udf.CIQ("CAT", "IQ_VOLUME", "5/6/2016")</f>
        <v>6.9427500000000002</v>
      </c>
      <c r="JH99" s="1956">
        <f>_xll.ciqfunctions.udf.CIQ("CAT", "IQ_VOLUME", "5/5/2016")</f>
        <v>8.0711999999999993</v>
      </c>
      <c r="JI99" s="1956">
        <f>_xll.ciqfunctions.udf.CIQ("CAT", "IQ_VOLUME", "5/4/2016")</f>
        <v>6.9380800000000002</v>
      </c>
      <c r="JJ99" s="1956">
        <f>_xll.ciqfunctions.udf.CIQ("CAT", "IQ_VOLUME", "5/3/2016")</f>
        <v>4.7909100000000002</v>
      </c>
      <c r="JK99" s="1956">
        <f>_xll.ciqfunctions.udf.CIQ("CAT", "IQ_VOLUME", "5/2/2016")</f>
        <v>3.33013</v>
      </c>
      <c r="JL99" s="1956">
        <f>_xll.ciqfunctions.udf.CIQ("CAT", "IQ_VOLUME", "4/29/2016")</f>
        <v>7.7027000000000001</v>
      </c>
      <c r="JM99" s="1956">
        <f>_xll.ciqfunctions.udf.CIQ("CAT", "IQ_VOLUME", "4/28/2016")</f>
        <v>4.8445499999999999</v>
      </c>
      <c r="JN99" s="1956">
        <f>_xll.ciqfunctions.udf.CIQ("CAT", "IQ_VOLUME", "4/27/2016")</f>
        <v>4.4592900000000002</v>
      </c>
      <c r="JO99" s="1956">
        <f>_xll.ciqfunctions.udf.CIQ("CAT", "IQ_VOLUME", "4/26/2016")</f>
        <v>6.08589</v>
      </c>
      <c r="JP99" s="1956">
        <f>_xll.ciqfunctions.udf.CIQ("CAT", "IQ_VOLUME", "4/25/2016")</f>
        <v>8.0797600000000003</v>
      </c>
      <c r="JQ99" s="1956">
        <f>_xll.ciqfunctions.udf.CIQ("CAT", "IQ_VOLUME", "4/22/2016")</f>
        <v>10.09957</v>
      </c>
      <c r="JR99" s="1956">
        <f>_xll.ciqfunctions.udf.CIQ("CAT", "IQ_VOLUME", "4/21/2016")</f>
        <v>6.5091299999999999</v>
      </c>
      <c r="JS99" s="1956">
        <f>_xll.ciqfunctions.udf.CIQ("CAT", "IQ_VOLUME", "4/20/2016")</f>
        <v>5.3568300000000004</v>
      </c>
      <c r="JT99" s="1956">
        <f>_xll.ciqfunctions.udf.CIQ("CAT", "IQ_VOLUME", "4/19/2016")</f>
        <v>6.2835299999999998</v>
      </c>
      <c r="JU99" s="1956">
        <f>_xll.ciqfunctions.udf.CIQ("CAT", "IQ_VOLUME", "4/18/2016")</f>
        <v>4.8222300000000002</v>
      </c>
      <c r="JV99" s="1956">
        <f>_xll.ciqfunctions.udf.CIQ("CAT", "IQ_VOLUME", "4/15/2016")</f>
        <v>5.5085199999999999</v>
      </c>
      <c r="JW99" s="1956">
        <f>_xll.ciqfunctions.udf.CIQ("CAT", "IQ_VOLUME", "4/14/2016")</f>
        <v>5.3722700000000003</v>
      </c>
      <c r="JX99" s="1956">
        <f>_xll.ciqfunctions.udf.CIQ("CAT", "IQ_VOLUME", "4/13/2016")</f>
        <v>9.3656799999999993</v>
      </c>
      <c r="JY99" s="1956">
        <f>_xll.ciqfunctions.udf.CIQ("CAT", "IQ_VOLUME", "4/12/2016")</f>
        <v>5.1295700000000002</v>
      </c>
      <c r="JZ99" s="1956">
        <f>_xll.ciqfunctions.udf.CIQ("CAT", "IQ_VOLUME", "4/11/2016")</f>
        <v>3.9047900000000002</v>
      </c>
      <c r="KA99" s="1956">
        <f>_xll.ciqfunctions.udf.CIQ("CAT", "IQ_VOLUME", "4/8/2016")</f>
        <v>4.9112499999999999</v>
      </c>
      <c r="KB99" s="1956">
        <f>_xll.ciqfunctions.udf.CIQ("CAT", "IQ_VOLUME", "4/7/2016")</f>
        <v>4.8008300000000004</v>
      </c>
      <c r="KC99" s="1956">
        <f>_xll.ciqfunctions.udf.CIQ("CAT", "IQ_VOLUME", "4/6/2016")</f>
        <v>4.9298200000000003</v>
      </c>
      <c r="KD99" s="1956">
        <f>_xll.ciqfunctions.udf.CIQ("CAT", "IQ_VOLUME", "4/5/2016")</f>
        <v>4.3868099999999997</v>
      </c>
      <c r="KE99" s="1956">
        <f>_xll.ciqfunctions.udf.CIQ("CAT", "IQ_VOLUME", "4/4/2016")</f>
        <v>4.3496499999999996</v>
      </c>
      <c r="KF99" s="1956">
        <f>_xll.ciqfunctions.udf.CIQ("CAT", "IQ_VOLUME", "4/1/2016")</f>
        <v>4.8782699999999997</v>
      </c>
      <c r="KG99" s="1956">
        <f>_xll.ciqfunctions.udf.CIQ("CAT", "IQ_VOLUME", "3/31/2016")</f>
        <v>4.3487099999999996</v>
      </c>
      <c r="KH99" s="1956">
        <f>_xll.ciqfunctions.udf.CIQ("CAT", "IQ_VOLUME", "3/30/2016")</f>
        <v>4.8867500000000001</v>
      </c>
      <c r="KI99" s="1956">
        <f>_xll.ciqfunctions.udf.CIQ("CAT", "IQ_VOLUME", "3/29/2016")</f>
        <v>4.085</v>
      </c>
      <c r="KJ99" s="1956">
        <f>_xll.ciqfunctions.udf.CIQ("CAT", "IQ_VOLUME", "3/28/2016")</f>
        <v>3.42543</v>
      </c>
      <c r="KK99" s="1956">
        <f>_xll.ciqfunctions.udf.CIQ("CAT", "IQ_VOLUME", "3/24/2016")</f>
        <v>7.0361399999999996</v>
      </c>
      <c r="KL99" s="1956">
        <f>_xll.ciqfunctions.udf.CIQ("CAT", "IQ_VOLUME", "3/23/2016")</f>
        <v>5.3529099999999996</v>
      </c>
      <c r="KM99" s="1956">
        <f>_xll.ciqfunctions.udf.CIQ("CAT", "IQ_VOLUME", "3/22/2016")</f>
        <v>3.6255999999999999</v>
      </c>
      <c r="KN99" s="1956">
        <f>_xll.ciqfunctions.udf.CIQ("CAT", "IQ_VOLUME", "3/21/2016")</f>
        <v>4.3157199999999998</v>
      </c>
      <c r="KO99" s="1956">
        <f>_xll.ciqfunctions.udf.CIQ("CAT", "IQ_VOLUME", "3/18/2016")</f>
        <v>13.75019</v>
      </c>
      <c r="KP99" s="1956">
        <f>_xll.ciqfunctions.udf.CIQ("CAT", "IQ_VOLUME", "3/17/2016")</f>
        <v>13.316000000000001</v>
      </c>
      <c r="KQ99" s="1956">
        <f>_xll.ciqfunctions.udf.CIQ("CAT", "IQ_VOLUME", "3/16/2016")</f>
        <v>6.6411699999999998</v>
      </c>
      <c r="KR99" s="1956">
        <f>_xll.ciqfunctions.udf.CIQ("CAT", "IQ_VOLUME", "3/15/2016")</f>
        <v>4.6747500000000004</v>
      </c>
      <c r="KS99" s="1956">
        <f>_xll.ciqfunctions.udf.CIQ("CAT", "IQ_VOLUME", "3/14/2016")</f>
        <v>5.0599800000000004</v>
      </c>
      <c r="KT99" s="1956">
        <f>_xll.ciqfunctions.udf.CIQ("CAT", "IQ_VOLUME", "3/11/2016")</f>
        <v>4.7869700000000002</v>
      </c>
      <c r="KU99" s="1956">
        <f>_xll.ciqfunctions.udf.CIQ("CAT", "IQ_VOLUME", "3/10/2016")</f>
        <v>6.3524000000000003</v>
      </c>
      <c r="KV99" s="1956">
        <f>_xll.ciqfunctions.udf.CIQ("CAT", "IQ_VOLUME", "3/9/2016")</f>
        <v>4.9079199999999998</v>
      </c>
    </row>
    <row r="100" spans="1:308" s="89" customFormat="1" ht="13.9">
      <c r="A100" s="269" t="str">
        <f>IF(F100="--","n","")</f>
        <v>n</v>
      </c>
      <c r="B100" s="2060"/>
      <c r="C100" s="72"/>
      <c r="D100" s="801"/>
      <c r="E100" s="1505">
        <v>1</v>
      </c>
      <c r="F100" s="30" t="str">
        <f>'DATA GPC'!$E20</f>
        <v>--</v>
      </c>
      <c r="G100" s="2112">
        <f>IF('WACC and TIC Inputs'!$D129="X",0,IF('DATA GPC'!$G20="",0,'DATA GPC'!$G20))</f>
        <v>0</v>
      </c>
      <c r="H100" s="281">
        <f>--('DATA GPC'!K55="Y")</f>
        <v>0</v>
      </c>
      <c r="I100" s="2292"/>
      <c r="J100" s="2293">
        <v>995</v>
      </c>
      <c r="K100" s="2293">
        <v>996</v>
      </c>
      <c r="L100" s="2293">
        <v>997</v>
      </c>
      <c r="M100" s="2293">
        <v>998</v>
      </c>
      <c r="N100" s="2293">
        <v>999</v>
      </c>
      <c r="O100" s="2293">
        <v>1000</v>
      </c>
      <c r="P100" s="2293">
        <v>2000</v>
      </c>
      <c r="Q100" s="633"/>
      <c r="R100" s="2293">
        <f t="shared" ref="R100:R124" si="21">R$97</f>
        <v>1996</v>
      </c>
      <c r="T100" s="1598" t="str">
        <f>IF(H100=1,"**Advanced**","")</f>
        <v/>
      </c>
      <c r="U100" s="2293">
        <f t="shared" ref="U100:Y124" si="22">U$97+$H100</f>
        <v>1001</v>
      </c>
      <c r="V100" s="2293">
        <f t="shared" si="22"/>
        <v>1002</v>
      </c>
      <c r="W100" s="2293">
        <f t="shared" si="22"/>
        <v>1003</v>
      </c>
      <c r="X100" s="2293">
        <f t="shared" si="22"/>
        <v>1004</v>
      </c>
      <c r="Y100" s="2293">
        <f t="shared" si="22"/>
        <v>1005</v>
      </c>
      <c r="AR100" s="2060"/>
      <c r="AS100" s="98" t="s">
        <v>716</v>
      </c>
      <c r="AT100" s="80" t="s">
        <v>717</v>
      </c>
      <c r="AU100" s="80" t="s">
        <v>151</v>
      </c>
      <c r="AV100" s="80" t="s">
        <v>720</v>
      </c>
      <c r="AW100" s="81" t="s">
        <v>721</v>
      </c>
      <c r="AX100" s="78" t="s">
        <v>475</v>
      </c>
      <c r="AY100" s="78" t="s">
        <v>475</v>
      </c>
      <c r="AZ100" s="78" t="s">
        <v>474</v>
      </c>
      <c r="BA100" s="214"/>
      <c r="BB100" s="214"/>
      <c r="GK100" s="1956">
        <f>_xll.ciqfunctions.udf.CIQ("NYSE:CNHI", "IQ_VOLUME", "8/22/2016")</f>
        <v>1.0038199999999999</v>
      </c>
      <c r="GL100" s="1956">
        <f>_xll.ciqfunctions.udf.CIQ("NYSE:CNHI", "IQ_VOLUME", "8/19/2016")</f>
        <v>2.8053400000000002</v>
      </c>
      <c r="GM100" s="1956">
        <f>_xll.ciqfunctions.udf.CIQ("NYSE:CNHI", "IQ_VOLUME", "8/18/2016")</f>
        <v>1.5005500000000001</v>
      </c>
      <c r="GN100" s="1956">
        <f>_xll.ciqfunctions.udf.CIQ("NYSE:CNHI", "IQ_VOLUME", "8/17/2016")</f>
        <v>0.72396000000000005</v>
      </c>
      <c r="GO100" s="1956">
        <f>_xll.ciqfunctions.udf.CIQ("NYSE:CNHI", "IQ_VOLUME", "8/16/2016")</f>
        <v>1.0164</v>
      </c>
      <c r="GP100" s="1956">
        <f>_xll.ciqfunctions.udf.CIQ("NYSE:CNHI", "IQ_VOLUME", "8/15/2016")</f>
        <v>1.17184</v>
      </c>
      <c r="GQ100" s="1956">
        <f>_xll.ciqfunctions.udf.CIQ("NYSE:CNHI", "IQ_VOLUME", "8/12/2016")</f>
        <v>1.7581100000000001</v>
      </c>
      <c r="GR100" s="1956">
        <f>_xll.ciqfunctions.udf.CIQ("NYSE:CNHI", "IQ_VOLUME", "8/11/2016")</f>
        <v>1.1422300000000001</v>
      </c>
      <c r="GS100" s="1956">
        <f>_xll.ciqfunctions.udf.CIQ("NYSE:CNHI", "IQ_VOLUME", "8/10/2016")</f>
        <v>1.7144699999999999</v>
      </c>
      <c r="GT100" s="1956">
        <f>_xll.ciqfunctions.udf.CIQ("NYSE:CNHI", "IQ_VOLUME", "8/9/2016")</f>
        <v>1.6557599999999999</v>
      </c>
      <c r="GU100" s="1956">
        <f>_xll.ciqfunctions.udf.CIQ("NYSE:CNHI", "IQ_VOLUME", "8/8/2016")</f>
        <v>0.77300000000000002</v>
      </c>
      <c r="GV100" s="1956">
        <f>_xll.ciqfunctions.udf.CIQ("NYSE:CNHI", "IQ_VOLUME", "8/5/2016")</f>
        <v>0.67476999999999998</v>
      </c>
      <c r="GW100" s="1956">
        <f>_xll.ciqfunctions.udf.CIQ("NYSE:CNHI", "IQ_VOLUME", "8/4/2016")</f>
        <v>0.84662000000000004</v>
      </c>
      <c r="GX100" s="1956">
        <f>_xll.ciqfunctions.udf.CIQ("NYSE:CNHI", "IQ_VOLUME", "8/3/2016")</f>
        <v>0.74182000000000003</v>
      </c>
      <c r="GY100" s="1956">
        <f>_xll.ciqfunctions.udf.CIQ("NYSE:CNHI", "IQ_VOLUME", "8/2/2016")</f>
        <v>1.4517199999999999</v>
      </c>
      <c r="GZ100" s="1956">
        <f>_xll.ciqfunctions.udf.CIQ("NYSE:CNHI", "IQ_VOLUME", "8/1/2016")</f>
        <v>0.95426999999999995</v>
      </c>
      <c r="HA100" s="1956">
        <f>_xll.ciqfunctions.udf.CIQ("NYSE:CNHI", "IQ_VOLUME", "7/29/2016")</f>
        <v>1.1365799999999999</v>
      </c>
      <c r="HB100" s="1956">
        <f>_xll.ciqfunctions.udf.CIQ("NYSE:CNHI", "IQ_VOLUME", "7/28/2016")</f>
        <v>2.3096399999999999</v>
      </c>
      <c r="HC100" s="1956">
        <f>_xll.ciqfunctions.udf.CIQ("NYSE:CNHI", "IQ_VOLUME", "7/27/2016")</f>
        <v>1.8181099999999999</v>
      </c>
      <c r="HD100" s="1956">
        <f>_xll.ciqfunctions.udf.CIQ("NYSE:CNHI", "IQ_VOLUME", "7/26/2016")</f>
        <v>4.5641699999999998</v>
      </c>
      <c r="HE100" s="1956">
        <f>_xll.ciqfunctions.udf.CIQ("NYSE:CNHI", "IQ_VOLUME", "7/25/2016")</f>
        <v>3.4067099999999999</v>
      </c>
      <c r="HF100" s="1956">
        <f>_xll.ciqfunctions.udf.CIQ("NYSE:CNHI", "IQ_VOLUME", "7/22/2016")</f>
        <v>2.7382300000000002</v>
      </c>
      <c r="HG100" s="1956">
        <f>_xll.ciqfunctions.udf.CIQ("NYSE:CNHI", "IQ_VOLUME", "7/21/2016")</f>
        <v>1.15899</v>
      </c>
      <c r="HH100" s="1956">
        <f>_xll.ciqfunctions.udf.CIQ("NYSE:CNHI", "IQ_VOLUME", "7/20/2016")</f>
        <v>1.10226</v>
      </c>
      <c r="HI100" s="1956">
        <f>_xll.ciqfunctions.udf.CIQ("NYSE:CNHI", "IQ_VOLUME", "7/19/2016")</f>
        <v>0.87863999999999998</v>
      </c>
      <c r="HJ100" s="1956">
        <f>_xll.ciqfunctions.udf.CIQ("NYSE:CNHI", "IQ_VOLUME", "7/18/2016")</f>
        <v>0.84062000000000003</v>
      </c>
      <c r="HK100" s="1956">
        <f>_xll.ciqfunctions.udf.CIQ("NYSE:CNHI", "IQ_VOLUME", "7/15/2016")</f>
        <v>0.64468000000000003</v>
      </c>
      <c r="HL100" s="1956">
        <f>_xll.ciqfunctions.udf.CIQ("NYSE:CNHI", "IQ_VOLUME", "7/14/2016")</f>
        <v>2.17516</v>
      </c>
      <c r="HM100" s="1956">
        <f>_xll.ciqfunctions.udf.CIQ("NYSE:CNHI", "IQ_VOLUME", "7/13/2016")</f>
        <v>2.8631799999999998</v>
      </c>
      <c r="HN100" s="1956">
        <f>_xll.ciqfunctions.udf.CIQ("NYSE:CNHI", "IQ_VOLUME", "7/12/2016")</f>
        <v>3.9128400000000001</v>
      </c>
      <c r="HO100" s="1956">
        <f>_xll.ciqfunctions.udf.CIQ("NYSE:CNHI", "IQ_VOLUME", "7/11/2016")</f>
        <v>3.2566600000000001</v>
      </c>
      <c r="HP100" s="1956">
        <f>_xll.ciqfunctions.udf.CIQ("NYSE:CNHI", "IQ_VOLUME", "7/8/2016")</f>
        <v>3.3570199999999999</v>
      </c>
      <c r="HQ100" s="1956">
        <f>_xll.ciqfunctions.udf.CIQ("NYSE:CNHI", "IQ_VOLUME", "7/7/2016")</f>
        <v>6.4666300000000003</v>
      </c>
      <c r="HR100" s="1956">
        <f>_xll.ciqfunctions.udf.CIQ("NYSE:CNHI", "IQ_VOLUME", "7/6/2016")</f>
        <v>3.1966800000000002</v>
      </c>
      <c r="HS100" s="1956">
        <f>_xll.ciqfunctions.udf.CIQ("NYSE:CNHI", "IQ_VOLUME", "7/5/2016")</f>
        <v>2.1372900000000001</v>
      </c>
      <c r="HT100" s="1956">
        <f>_xll.ciqfunctions.udf.CIQ("NYSE:CNHI", "IQ_VOLUME", "7/1/2016")</f>
        <v>0.91729000000000005</v>
      </c>
      <c r="HU100" s="1956">
        <f>_xll.ciqfunctions.udf.CIQ("NYSE:CNHI", "IQ_VOLUME", "6/30/2016")</f>
        <v>3.1360199999999998</v>
      </c>
      <c r="HV100" s="1956">
        <f>_xll.ciqfunctions.udf.CIQ("NYSE:CNHI", "IQ_VOLUME", "6/29/2016")</f>
        <v>1.2904500000000001</v>
      </c>
      <c r="HW100" s="1956">
        <f>_xll.ciqfunctions.udf.CIQ("NYSE:CNHI", "IQ_VOLUME", "6/28/2016")</f>
        <v>2.24065</v>
      </c>
      <c r="HX100" s="1956">
        <f>_xll.ciqfunctions.udf.CIQ("NYSE:CNHI", "IQ_VOLUME", "6/27/2016")</f>
        <v>1.8036799999999999</v>
      </c>
      <c r="HY100" s="1956">
        <f>_xll.ciqfunctions.udf.CIQ("NYSE:CNHI", "IQ_VOLUME", "6/24/2016")</f>
        <v>2.8031899999999998</v>
      </c>
      <c r="HZ100" s="1956">
        <f>_xll.ciqfunctions.udf.CIQ("NYSE:CNHI", "IQ_VOLUME", "6/23/2016")</f>
        <v>2.12934</v>
      </c>
      <c r="IA100" s="1956">
        <f>_xll.ciqfunctions.udf.CIQ("NYSE:CNHI", "IQ_VOLUME", "6/22/2016")</f>
        <v>1.0276700000000001</v>
      </c>
      <c r="IB100" s="1956">
        <f>_xll.ciqfunctions.udf.CIQ("NYSE:CNHI", "IQ_VOLUME", "6/21/2016")</f>
        <v>1.8289200000000001</v>
      </c>
      <c r="IC100" s="1956">
        <f>_xll.ciqfunctions.udf.CIQ("NYSE:CNHI", "IQ_VOLUME", "6/20/2016")</f>
        <v>4.1494799999999996</v>
      </c>
      <c r="ID100" s="1956">
        <f>_xll.ciqfunctions.udf.CIQ("NYSE:CNHI", "IQ_VOLUME", "6/17/2016")</f>
        <v>2.3623400000000001</v>
      </c>
      <c r="IE100" s="1956">
        <f>_xll.ciqfunctions.udf.CIQ("NYSE:CNHI", "IQ_VOLUME", "6/16/2016")</f>
        <v>3.6400700000000001</v>
      </c>
      <c r="IF100" s="1956">
        <f>_xll.ciqfunctions.udf.CIQ("NYSE:CNHI", "IQ_VOLUME", "6/15/2016")</f>
        <v>1.5380199999999999</v>
      </c>
      <c r="IG100" s="1956">
        <f>_xll.ciqfunctions.udf.CIQ("NYSE:CNHI", "IQ_VOLUME", "6/14/2016")</f>
        <v>1.86832</v>
      </c>
      <c r="IH100" s="1956">
        <f>_xll.ciqfunctions.udf.CIQ("NYSE:CNHI", "IQ_VOLUME", "6/13/2016")</f>
        <v>1.2978499999999999</v>
      </c>
      <c r="II100" s="1956">
        <f>_xll.ciqfunctions.udf.CIQ("NYSE:CNHI", "IQ_VOLUME", "6/10/2016")</f>
        <v>1.8667800000000001</v>
      </c>
      <c r="IJ100" s="1956">
        <f>_xll.ciqfunctions.udf.CIQ("NYSE:CNHI", "IQ_VOLUME", "6/9/2016")</f>
        <v>1.8563099999999999</v>
      </c>
      <c r="IK100" s="1956">
        <f>_xll.ciqfunctions.udf.CIQ("NYSE:CNHI", "IQ_VOLUME", "6/8/2016")</f>
        <v>1.21356</v>
      </c>
      <c r="IL100" s="1956">
        <f>_xll.ciqfunctions.udf.CIQ("NYSE:CNHI", "IQ_VOLUME", "6/7/2016")</f>
        <v>1.86269</v>
      </c>
      <c r="IM100" s="1956">
        <f>_xll.ciqfunctions.udf.CIQ("NYSE:CNHI", "IQ_VOLUME", "6/6/2016")</f>
        <v>6.0041900000000004</v>
      </c>
      <c r="IN100" s="1956">
        <f>_xll.ciqfunctions.udf.CIQ("NYSE:CNHI", "IQ_VOLUME", "6/3/2016")</f>
        <v>3.0303399999999998</v>
      </c>
      <c r="IO100" s="1956">
        <f>_xll.ciqfunctions.udf.CIQ("NYSE:CNHI", "IQ_VOLUME", "6/2/2016")</f>
        <v>0.93159999999999998</v>
      </c>
      <c r="IP100" s="1956">
        <f>_xll.ciqfunctions.udf.CIQ("NYSE:CNHI", "IQ_VOLUME", "6/1/2016")</f>
        <v>0.88619000000000003</v>
      </c>
      <c r="IQ100" s="1956">
        <f>_xll.ciqfunctions.udf.CIQ("NYSE:CNHI", "IQ_VOLUME", "5/31/2016")</f>
        <v>1.2760499999999999</v>
      </c>
      <c r="IR100" s="1956">
        <f>_xll.ciqfunctions.udf.CIQ("NYSE:CNHI", "IQ_VOLUME", "5/27/2016")</f>
        <v>0.97568999999999995</v>
      </c>
      <c r="IS100" s="1956">
        <f>_xll.ciqfunctions.udf.CIQ("NYSE:CNHI", "IQ_VOLUME", "5/26/2016")</f>
        <v>2.37852</v>
      </c>
      <c r="IT100" s="1956">
        <f>_xll.ciqfunctions.udf.CIQ("NYSE:CNHI", "IQ_VOLUME", "5/25/2016")</f>
        <v>2.7793000000000001</v>
      </c>
      <c r="IU100" s="1956">
        <f>_xll.ciqfunctions.udf.CIQ("NYSE:CNHI", "IQ_VOLUME", "5/24/2016")</f>
        <v>1.18184</v>
      </c>
      <c r="IV100" s="1956">
        <f>_xll.ciqfunctions.udf.CIQ("NYSE:CNHI", "IQ_VOLUME", "5/23/2016")</f>
        <v>1.43238</v>
      </c>
      <c r="IW100" s="1956">
        <f>_xll.ciqfunctions.udf.CIQ("NYSE:CNHI", "IQ_VOLUME", "5/20/2016")</f>
        <v>2.0969799999999998</v>
      </c>
      <c r="IX100" s="1956">
        <f>_xll.ciqfunctions.udf.CIQ("NYSE:CNHI", "IQ_VOLUME", "5/19/2016")</f>
        <v>1.8152200000000001</v>
      </c>
      <c r="IY100" s="1956">
        <f>_xll.ciqfunctions.udf.CIQ("NYSE:CNHI", "IQ_VOLUME", "5/18/2016")</f>
        <v>1.9309400000000001</v>
      </c>
      <c r="IZ100" s="1956">
        <f>_xll.ciqfunctions.udf.CIQ("NYSE:CNHI", "IQ_VOLUME", "5/17/2016")</f>
        <v>2.03911</v>
      </c>
      <c r="JA100" s="1956">
        <f>_xll.ciqfunctions.udf.CIQ("NYSE:CNHI", "IQ_VOLUME", "5/16/2016")</f>
        <v>1.21241</v>
      </c>
      <c r="JB100" s="1956">
        <f>_xll.ciqfunctions.udf.CIQ("NYSE:CNHI", "IQ_VOLUME", "5/13/2016")</f>
        <v>2.3682599999999998</v>
      </c>
      <c r="JC100" s="1956">
        <f>_xll.ciqfunctions.udf.CIQ("NYSE:CNHI", "IQ_VOLUME", "5/12/2016")</f>
        <v>3.6244700000000001</v>
      </c>
      <c r="JD100" s="1956">
        <f>_xll.ciqfunctions.udf.CIQ("NYSE:CNHI", "IQ_VOLUME", "5/11/2016")</f>
        <v>3.9882399999999998</v>
      </c>
      <c r="JE100" s="1956">
        <f>_xll.ciqfunctions.udf.CIQ("NYSE:CNHI", "IQ_VOLUME", "5/10/2016")</f>
        <v>4.0108100000000002</v>
      </c>
      <c r="JF100" s="1956">
        <f>_xll.ciqfunctions.udf.CIQ("NYSE:CNHI", "IQ_VOLUME", "5/9/2016")</f>
        <v>1.71332</v>
      </c>
      <c r="JG100" s="1956">
        <f>_xll.ciqfunctions.udf.CIQ("NYSE:CNHI", "IQ_VOLUME", "5/6/2016")</f>
        <v>1.8910100000000001</v>
      </c>
      <c r="JH100" s="1956">
        <f>_xll.ciqfunctions.udf.CIQ("NYSE:CNHI", "IQ_VOLUME", "5/5/2016")</f>
        <v>1.53844</v>
      </c>
      <c r="JI100" s="1956">
        <f>_xll.ciqfunctions.udf.CIQ("NYSE:CNHI", "IQ_VOLUME", "5/4/2016")</f>
        <v>1.8225899999999999</v>
      </c>
      <c r="JJ100" s="1956">
        <f>_xll.ciqfunctions.udf.CIQ("NYSE:CNHI", "IQ_VOLUME", "5/3/2016")</f>
        <v>2.28464</v>
      </c>
      <c r="JK100" s="1956">
        <f>_xll.ciqfunctions.udf.CIQ("NYSE:CNHI", "IQ_VOLUME", "5/2/2016")</f>
        <v>3.0352700000000001</v>
      </c>
      <c r="JL100" s="1956">
        <f>_xll.ciqfunctions.udf.CIQ("NYSE:CNHI", "IQ_VOLUME", "4/29/2016")</f>
        <v>2.49824</v>
      </c>
      <c r="JM100" s="1956">
        <f>_xll.ciqfunctions.udf.CIQ("NYSE:CNHI", "IQ_VOLUME", "4/28/2016")</f>
        <v>2.08908</v>
      </c>
      <c r="JN100" s="1956">
        <f>_xll.ciqfunctions.udf.CIQ("NYSE:CNHI", "IQ_VOLUME", "4/27/2016")</f>
        <v>3.5214699999999999</v>
      </c>
      <c r="JO100" s="1956">
        <f>_xll.ciqfunctions.udf.CIQ("NYSE:CNHI", "IQ_VOLUME", "4/26/2016")</f>
        <v>2.3192499999999998</v>
      </c>
      <c r="JP100" s="1956">
        <f>_xll.ciqfunctions.udf.CIQ("NYSE:CNHI", "IQ_VOLUME", "4/25/2016")</f>
        <v>0.72289999999999999</v>
      </c>
      <c r="JQ100" s="1956">
        <f>_xll.ciqfunctions.udf.CIQ("NYSE:CNHI", "IQ_VOLUME", "4/22/2016")</f>
        <v>2.0848800000000001</v>
      </c>
      <c r="JR100" s="1956">
        <f>_xll.ciqfunctions.udf.CIQ("NYSE:CNHI", "IQ_VOLUME", "4/21/2016")</f>
        <v>0.95403000000000004</v>
      </c>
      <c r="JS100" s="1956">
        <f>_xll.ciqfunctions.udf.CIQ("NYSE:CNHI", "IQ_VOLUME", "4/20/2016")</f>
        <v>1.72194</v>
      </c>
      <c r="JT100" s="1956">
        <f>_xll.ciqfunctions.udf.CIQ("NYSE:CNHI", "IQ_VOLUME", "4/19/2016")</f>
        <v>3.4276200000000001</v>
      </c>
      <c r="JU100" s="1956">
        <f>_xll.ciqfunctions.udf.CIQ("NYSE:CNHI", "IQ_VOLUME", "4/18/2016")</f>
        <v>1.66201</v>
      </c>
      <c r="JV100" s="1956">
        <f>_xll.ciqfunctions.udf.CIQ("NYSE:CNHI", "IQ_VOLUME", "4/15/2016")</f>
        <v>1.5224</v>
      </c>
      <c r="JW100" s="1956">
        <f>_xll.ciqfunctions.udf.CIQ("NYSE:CNHI", "IQ_VOLUME", "4/14/2016")</f>
        <v>0.97328000000000003</v>
      </c>
      <c r="JX100" s="1956">
        <f>_xll.ciqfunctions.udf.CIQ("NYSE:CNHI", "IQ_VOLUME", "4/13/2016")</f>
        <v>2.02068</v>
      </c>
      <c r="JY100" s="1956">
        <f>_xll.ciqfunctions.udf.CIQ("NYSE:CNHI", "IQ_VOLUME", "4/12/2016")</f>
        <v>1.2408399999999999</v>
      </c>
      <c r="JZ100" s="1956">
        <f>_xll.ciqfunctions.udf.CIQ("NYSE:CNHI", "IQ_VOLUME", "4/11/2016")</f>
        <v>1.16892</v>
      </c>
      <c r="KA100" s="1956">
        <f>_xll.ciqfunctions.udf.CIQ("NYSE:CNHI", "IQ_VOLUME", "4/8/2016")</f>
        <v>1.16998</v>
      </c>
      <c r="KB100" s="1956">
        <f>_xll.ciqfunctions.udf.CIQ("NYSE:CNHI", "IQ_VOLUME", "4/7/2016")</f>
        <v>1.8379799999999999</v>
      </c>
      <c r="KC100" s="1956">
        <f>_xll.ciqfunctions.udf.CIQ("NYSE:CNHI", "IQ_VOLUME", "4/6/2016")</f>
        <v>2.54121</v>
      </c>
      <c r="KD100" s="1956">
        <f>_xll.ciqfunctions.udf.CIQ("NYSE:CNHI", "IQ_VOLUME", "4/5/2016")</f>
        <v>0.99624999999999997</v>
      </c>
      <c r="KE100" s="1956">
        <f>_xll.ciqfunctions.udf.CIQ("NYSE:CNHI", "IQ_VOLUME", "4/4/2016")</f>
        <v>0.55198000000000003</v>
      </c>
      <c r="KF100" s="1956">
        <f>_xll.ciqfunctions.udf.CIQ("NYSE:CNHI", "IQ_VOLUME", "4/1/2016")</f>
        <v>1.8527</v>
      </c>
      <c r="KG100" s="1956">
        <f>_xll.ciqfunctions.udf.CIQ("NYSE:CNHI", "IQ_VOLUME", "3/31/2016")</f>
        <v>1.8238399999999999</v>
      </c>
      <c r="KH100" s="1956">
        <f>_xll.ciqfunctions.udf.CIQ("NYSE:CNHI", "IQ_VOLUME", "3/30/2016")</f>
        <v>1.1144499999999999</v>
      </c>
      <c r="KI100" s="1956">
        <f>_xll.ciqfunctions.udf.CIQ("NYSE:CNHI", "IQ_VOLUME", "3/29/2016")</f>
        <v>0.93593999999999999</v>
      </c>
      <c r="KJ100" s="1956">
        <f>_xll.ciqfunctions.udf.CIQ("NYSE:CNHI", "IQ_VOLUME", "3/28/2016")</f>
        <v>0.51756999999999997</v>
      </c>
      <c r="KK100" s="1956">
        <f>_xll.ciqfunctions.udf.CIQ("NYSE:CNHI", "IQ_VOLUME", "3/24/2016")</f>
        <v>0.66320000000000001</v>
      </c>
      <c r="KL100" s="1956">
        <f>_xll.ciqfunctions.udf.CIQ("NYSE:CNHI", "IQ_VOLUME", "3/23/2016")</f>
        <v>2.0145300000000002</v>
      </c>
      <c r="KM100" s="1956">
        <f>_xll.ciqfunctions.udf.CIQ("NYSE:CNHI", "IQ_VOLUME", "3/22/2016")</f>
        <v>0.86050000000000004</v>
      </c>
      <c r="KN100" s="1956">
        <f>_xll.ciqfunctions.udf.CIQ("NYSE:CNHI", "IQ_VOLUME", "3/21/2016")</f>
        <v>0.71477999999999997</v>
      </c>
      <c r="KO100" s="1956">
        <f>_xll.ciqfunctions.udf.CIQ("NYSE:CNHI", "IQ_VOLUME", "3/18/2016")</f>
        <v>1.0648899999999999</v>
      </c>
      <c r="KP100" s="1956">
        <f>_xll.ciqfunctions.udf.CIQ("NYSE:CNHI", "IQ_VOLUME", "3/17/2016")</f>
        <v>2.3818000000000001</v>
      </c>
      <c r="KQ100" s="1956">
        <f>_xll.ciqfunctions.udf.CIQ("NYSE:CNHI", "IQ_VOLUME", "3/16/2016")</f>
        <v>1.3848400000000001</v>
      </c>
      <c r="KR100" s="1956">
        <f>_xll.ciqfunctions.udf.CIQ("NYSE:CNHI", "IQ_VOLUME", "3/15/2016")</f>
        <v>1.04451</v>
      </c>
      <c r="KS100" s="1956">
        <f>_xll.ciqfunctions.udf.CIQ("NYSE:CNHI", "IQ_VOLUME", "3/14/2016")</f>
        <v>1.11015</v>
      </c>
      <c r="KT100" s="1956">
        <f>_xll.ciqfunctions.udf.CIQ("NYSE:CNHI", "IQ_VOLUME", "3/11/2016")</f>
        <v>0.73775000000000002</v>
      </c>
      <c r="KU100" s="1956">
        <f>_xll.ciqfunctions.udf.CIQ("NYSE:CNHI", "IQ_VOLUME", "3/10/2016")</f>
        <v>1.0329600000000001</v>
      </c>
      <c r="KV100" s="1956">
        <f>_xll.ciqfunctions.udf.CIQ("NYSE:CNHI", "IQ_VOLUME", "3/9/2016")</f>
        <v>0.60782000000000003</v>
      </c>
    </row>
    <row r="101" spans="1:308" s="89" customFormat="1" ht="13.9">
      <c r="A101" s="269" t="str">
        <f t="shared" ref="A101:A124" si="23">IF(F101="--","n","")</f>
        <v>n</v>
      </c>
      <c r="B101" s="2060"/>
      <c r="D101" s="801"/>
      <c r="E101" s="1505">
        <v>2</v>
      </c>
      <c r="F101" s="30" t="str">
        <f>'DATA GPC'!$E21</f>
        <v>--</v>
      </c>
      <c r="G101" s="2112">
        <f>IF('WACC and TIC Inputs'!$D130="X",0,IF('DATA GPC'!$G21="",0,'DATA GPC'!$G21))</f>
        <v>0</v>
      </c>
      <c r="H101" s="281">
        <f>--('DATA GPC'!K56="Y")</f>
        <v>0</v>
      </c>
      <c r="I101" s="2294"/>
      <c r="J101" s="2293">
        <v>995</v>
      </c>
      <c r="K101" s="2293">
        <v>996</v>
      </c>
      <c r="L101" s="2293">
        <v>997</v>
      </c>
      <c r="M101" s="2293">
        <v>998</v>
      </c>
      <c r="N101" s="2293">
        <v>999</v>
      </c>
      <c r="O101" s="2293">
        <v>1000</v>
      </c>
      <c r="P101" s="2293">
        <v>2000</v>
      </c>
      <c r="Q101" s="633"/>
      <c r="R101" s="2293">
        <f t="shared" si="21"/>
        <v>1996</v>
      </c>
      <c r="T101" s="1598" t="str">
        <f t="shared" ref="T101:T124" si="24">IF(H101=1,"**Advanced**","")</f>
        <v/>
      </c>
      <c r="U101" s="2293">
        <f t="shared" si="22"/>
        <v>1001</v>
      </c>
      <c r="V101" s="2293">
        <f t="shared" si="22"/>
        <v>1002</v>
      </c>
      <c r="W101" s="2293">
        <f t="shared" si="22"/>
        <v>1003</v>
      </c>
      <c r="X101" s="2293">
        <f t="shared" si="22"/>
        <v>1004</v>
      </c>
      <c r="Y101" s="2293">
        <f t="shared" si="22"/>
        <v>1005</v>
      </c>
      <c r="AR101" s="2060"/>
      <c r="AS101" s="98" t="s">
        <v>722</v>
      </c>
      <c r="AT101" s="80" t="s">
        <v>723</v>
      </c>
      <c r="AU101" s="80" t="s">
        <v>151</v>
      </c>
      <c r="AV101" s="80" t="s">
        <v>724</v>
      </c>
      <c r="AW101" s="81" t="s">
        <v>725</v>
      </c>
      <c r="AX101" s="78" t="s">
        <v>481</v>
      </c>
      <c r="AY101" s="78" t="s">
        <v>481</v>
      </c>
      <c r="AZ101" s="78" t="s">
        <v>480</v>
      </c>
      <c r="BA101" s="214"/>
      <c r="BB101" s="214"/>
      <c r="GK101" s="1956">
        <f>_xll.ciqfunctions.udf.CIQ("NYSE:CMI", "IQ_VOLUME", "8/22/2016")</f>
        <v>0.91935</v>
      </c>
      <c r="GL101" s="1956">
        <f>_xll.ciqfunctions.udf.CIQ("NYSE:CMI", "IQ_VOLUME", "8/19/2016")</f>
        <v>1.0639099999999999</v>
      </c>
      <c r="GM101" s="1956">
        <f>_xll.ciqfunctions.udf.CIQ("NYSE:CMI", "IQ_VOLUME", "8/18/2016")</f>
        <v>1.09429</v>
      </c>
      <c r="GN101" s="1956">
        <f>_xll.ciqfunctions.udf.CIQ("NYSE:CMI", "IQ_VOLUME", "8/17/2016")</f>
        <v>1.46628</v>
      </c>
      <c r="GO101" s="1956">
        <f>_xll.ciqfunctions.udf.CIQ("NYSE:CMI", "IQ_VOLUME", "8/16/2016")</f>
        <v>1.04657</v>
      </c>
      <c r="GP101" s="1956">
        <f>_xll.ciqfunctions.udf.CIQ("NYSE:CMI", "IQ_VOLUME", "8/15/2016")</f>
        <v>1.1888700000000001</v>
      </c>
      <c r="GQ101" s="1956">
        <f>_xll.ciqfunctions.udf.CIQ("NYSE:CMI", "IQ_VOLUME", "8/12/2016")</f>
        <v>0.88475999999999999</v>
      </c>
      <c r="GR101" s="1956">
        <f>_xll.ciqfunctions.udf.CIQ("NYSE:CMI", "IQ_VOLUME", "8/11/2016")</f>
        <v>0.80337999999999998</v>
      </c>
      <c r="GS101" s="1956">
        <f>_xll.ciqfunctions.udf.CIQ("NYSE:CMI", "IQ_VOLUME", "8/10/2016")</f>
        <v>0.61989000000000005</v>
      </c>
      <c r="GT101" s="1956">
        <f>_xll.ciqfunctions.udf.CIQ("NYSE:CMI", "IQ_VOLUME", "8/9/2016")</f>
        <v>1.02308</v>
      </c>
      <c r="GU101" s="1956">
        <f>_xll.ciqfunctions.udf.CIQ("NYSE:CMI", "IQ_VOLUME", "8/8/2016")</f>
        <v>1.29437</v>
      </c>
      <c r="GV101" s="1956">
        <f>_xll.ciqfunctions.udf.CIQ("NYSE:CMI", "IQ_VOLUME", "8/5/2016")</f>
        <v>1.04416</v>
      </c>
      <c r="GW101" s="1956">
        <f>_xll.ciqfunctions.udf.CIQ("NYSE:CMI", "IQ_VOLUME", "8/4/2016")</f>
        <v>1.24068</v>
      </c>
      <c r="GX101" s="1956">
        <f>_xll.ciqfunctions.udf.CIQ("NYSE:CMI", "IQ_VOLUME", "8/3/2016")</f>
        <v>1.7608200000000001</v>
      </c>
      <c r="GY101" s="1956">
        <f>_xll.ciqfunctions.udf.CIQ("NYSE:CMI", "IQ_VOLUME", "8/2/2016")</f>
        <v>2.17753</v>
      </c>
      <c r="GZ101" s="1956">
        <f>_xll.ciqfunctions.udf.CIQ("NYSE:CMI", "IQ_VOLUME", "8/1/2016")</f>
        <v>2.6665700000000001</v>
      </c>
      <c r="HA101" s="1956">
        <f>_xll.ciqfunctions.udf.CIQ("NYSE:CMI", "IQ_VOLUME", "7/29/2016")</f>
        <v>1.68814</v>
      </c>
      <c r="HB101" s="1956">
        <f>_xll.ciqfunctions.udf.CIQ("NYSE:CMI", "IQ_VOLUME", "7/28/2016")</f>
        <v>1.6081099999999999</v>
      </c>
      <c r="HC101" s="1956">
        <f>_xll.ciqfunctions.udf.CIQ("NYSE:CMI", "IQ_VOLUME", "7/27/2016")</f>
        <v>3.5748000000000002</v>
      </c>
      <c r="HD101" s="1956">
        <f>_xll.ciqfunctions.udf.CIQ("NYSE:CMI", "IQ_VOLUME", "7/26/2016")</f>
        <v>2.6944599999999999</v>
      </c>
      <c r="HE101" s="1956">
        <f>_xll.ciqfunctions.udf.CIQ("NYSE:CMI", "IQ_VOLUME", "7/25/2016")</f>
        <v>1.1087400000000001</v>
      </c>
      <c r="HF101" s="1956">
        <f>_xll.ciqfunctions.udf.CIQ("NYSE:CMI", "IQ_VOLUME", "7/22/2016")</f>
        <v>1.0589299999999999</v>
      </c>
      <c r="HG101" s="1956">
        <f>_xll.ciqfunctions.udf.CIQ("NYSE:CMI", "IQ_VOLUME", "7/21/2016")</f>
        <v>1.75187</v>
      </c>
      <c r="HH101" s="1956">
        <f>_xll.ciqfunctions.udf.CIQ("NYSE:CMI", "IQ_VOLUME", "7/20/2016")</f>
        <v>2.0664799999999999</v>
      </c>
      <c r="HI101" s="1956">
        <f>_xll.ciqfunctions.udf.CIQ("NYSE:CMI", "IQ_VOLUME", "7/19/2016")</f>
        <v>1.54548</v>
      </c>
      <c r="HJ101" s="1956">
        <f>_xll.ciqfunctions.udf.CIQ("NYSE:CMI", "IQ_VOLUME", "7/18/2016")</f>
        <v>1.9598100000000001</v>
      </c>
      <c r="HK101" s="1956">
        <f>_xll.ciqfunctions.udf.CIQ("NYSE:CMI", "IQ_VOLUME", "7/15/2016")</f>
        <v>1.11025</v>
      </c>
      <c r="HL101" s="1956">
        <f>_xll.ciqfunctions.udf.CIQ("NYSE:CMI", "IQ_VOLUME", "7/14/2016")</f>
        <v>1.63652</v>
      </c>
      <c r="HM101" s="1956">
        <f>_xll.ciqfunctions.udf.CIQ("NYSE:CMI", "IQ_VOLUME", "7/13/2016")</f>
        <v>1.6365400000000001</v>
      </c>
      <c r="HN101" s="1956">
        <f>_xll.ciqfunctions.udf.CIQ("NYSE:CMI", "IQ_VOLUME", "7/12/2016")</f>
        <v>1.61547</v>
      </c>
      <c r="HO101" s="1956">
        <f>_xll.ciqfunctions.udf.CIQ("NYSE:CMI", "IQ_VOLUME", "7/11/2016")</f>
        <v>1.0778399999999999</v>
      </c>
      <c r="HP101" s="1956">
        <f>_xll.ciqfunctions.udf.CIQ("NYSE:CMI", "IQ_VOLUME", "7/8/2016")</f>
        <v>1.06959</v>
      </c>
      <c r="HQ101" s="1956">
        <f>_xll.ciqfunctions.udf.CIQ("NYSE:CMI", "IQ_VOLUME", "7/7/2016")</f>
        <v>0.93757000000000001</v>
      </c>
      <c r="HR101" s="1956">
        <f>_xll.ciqfunctions.udf.CIQ("NYSE:CMI", "IQ_VOLUME", "7/6/2016")</f>
        <v>1.70499</v>
      </c>
      <c r="HS101" s="1956">
        <f>_xll.ciqfunctions.udf.CIQ("NYSE:CMI", "IQ_VOLUME", "7/5/2016")</f>
        <v>1.2630999999999999</v>
      </c>
      <c r="HT101" s="1956">
        <f>_xll.ciqfunctions.udf.CIQ("NYSE:CMI", "IQ_VOLUME", "7/1/2016")</f>
        <v>1.4581900000000001</v>
      </c>
      <c r="HU101" s="1956">
        <f>_xll.ciqfunctions.udf.CIQ("NYSE:CMI", "IQ_VOLUME", "6/30/2016")</f>
        <v>1.3382700000000001</v>
      </c>
      <c r="HV101" s="1956">
        <f>_xll.ciqfunctions.udf.CIQ("NYSE:CMI", "IQ_VOLUME", "6/29/2016")</f>
        <v>1.7483599999999999</v>
      </c>
      <c r="HW101" s="1956">
        <f>_xll.ciqfunctions.udf.CIQ("NYSE:CMI", "IQ_VOLUME", "6/28/2016")</f>
        <v>2.9369999999999998</v>
      </c>
      <c r="HX101" s="1956">
        <f>_xll.ciqfunctions.udf.CIQ("NYSE:CMI", "IQ_VOLUME", "6/27/2016")</f>
        <v>3.9081899999999998</v>
      </c>
      <c r="HY101" s="1956">
        <f>_xll.ciqfunctions.udf.CIQ("NYSE:CMI", "IQ_VOLUME", "6/24/2016")</f>
        <v>5.4597199999999999</v>
      </c>
      <c r="HZ101" s="1956">
        <f>_xll.ciqfunctions.udf.CIQ("NYSE:CMI", "IQ_VOLUME", "6/23/2016")</f>
        <v>1.5737300000000001</v>
      </c>
      <c r="IA101" s="1956">
        <f>_xll.ciqfunctions.udf.CIQ("NYSE:CMI", "IQ_VOLUME", "6/22/2016")</f>
        <v>1.21112</v>
      </c>
      <c r="IB101" s="1956">
        <f>_xll.ciqfunctions.udf.CIQ("NYSE:CMI", "IQ_VOLUME", "6/21/2016")</f>
        <v>1.2166300000000001</v>
      </c>
      <c r="IC101" s="1956">
        <f>_xll.ciqfunctions.udf.CIQ("NYSE:CMI", "IQ_VOLUME", "6/20/2016")</f>
        <v>1.3563400000000001</v>
      </c>
      <c r="ID101" s="1956">
        <f>_xll.ciqfunctions.udf.CIQ("NYSE:CMI", "IQ_VOLUME", "6/17/2016")</f>
        <v>2.22906</v>
      </c>
      <c r="IE101" s="1956">
        <f>_xll.ciqfunctions.udf.CIQ("NYSE:CMI", "IQ_VOLUME", "6/16/2016")</f>
        <v>1.2502899999999999</v>
      </c>
      <c r="IF101" s="1956">
        <f>_xll.ciqfunctions.udf.CIQ("NYSE:CMI", "IQ_VOLUME", "6/15/2016")</f>
        <v>1.44404</v>
      </c>
      <c r="IG101" s="1956">
        <f>_xll.ciqfunctions.udf.CIQ("NYSE:CMI", "IQ_VOLUME", "6/14/2016")</f>
        <v>1.9824999999999999</v>
      </c>
      <c r="IH101" s="1956">
        <f>_xll.ciqfunctions.udf.CIQ("NYSE:CMI", "IQ_VOLUME", "6/13/2016")</f>
        <v>1.59473</v>
      </c>
      <c r="II101" s="1956">
        <f>_xll.ciqfunctions.udf.CIQ("NYSE:CMI", "IQ_VOLUME", "6/10/2016")</f>
        <v>1.26379</v>
      </c>
      <c r="IJ101" s="1956">
        <f>_xll.ciqfunctions.udf.CIQ("NYSE:CMI", "IQ_VOLUME", "6/9/2016")</f>
        <v>1.07212</v>
      </c>
      <c r="IK101" s="1956">
        <f>_xll.ciqfunctions.udf.CIQ("NYSE:CMI", "IQ_VOLUME", "6/8/2016")</f>
        <v>1.83785</v>
      </c>
      <c r="IL101" s="1956">
        <f>_xll.ciqfunctions.udf.CIQ("NYSE:CMI", "IQ_VOLUME", "6/7/2016")</f>
        <v>0.97428000000000003</v>
      </c>
      <c r="IM101" s="1956">
        <f>_xll.ciqfunctions.udf.CIQ("NYSE:CMI", "IQ_VOLUME", "6/6/2016")</f>
        <v>1.4593700000000001</v>
      </c>
      <c r="IN101" s="1956">
        <f>_xll.ciqfunctions.udf.CIQ("NYSE:CMI", "IQ_VOLUME", "6/3/2016")</f>
        <v>1.5864100000000001</v>
      </c>
      <c r="IO101" s="1956">
        <f>_xll.ciqfunctions.udf.CIQ("NYSE:CMI", "IQ_VOLUME", "6/2/2016")</f>
        <v>1.62001</v>
      </c>
      <c r="IP101" s="1956">
        <f>_xll.ciqfunctions.udf.CIQ("NYSE:CMI", "IQ_VOLUME", "6/1/2016")</f>
        <v>1.39829</v>
      </c>
      <c r="IQ101" s="1956">
        <f>_xll.ciqfunctions.udf.CIQ("NYSE:CMI", "IQ_VOLUME", "5/31/2016")</f>
        <v>1.93635</v>
      </c>
      <c r="IR101" s="1956">
        <f>_xll.ciqfunctions.udf.CIQ("NYSE:CMI", "IQ_VOLUME", "5/27/2016")</f>
        <v>1.41225</v>
      </c>
      <c r="IS101" s="1956">
        <f>_xll.ciqfunctions.udf.CIQ("NYSE:CMI", "IQ_VOLUME", "5/26/2016")</f>
        <v>1.7562599999999999</v>
      </c>
      <c r="IT101" s="1956">
        <f>_xll.ciqfunctions.udf.CIQ("NYSE:CMI", "IQ_VOLUME", "5/25/2016")</f>
        <v>2.0291199999999998</v>
      </c>
      <c r="IU101" s="1956">
        <f>_xll.ciqfunctions.udf.CIQ("NYSE:CMI", "IQ_VOLUME", "5/24/2016")</f>
        <v>1.19085</v>
      </c>
      <c r="IV101" s="1956">
        <f>_xll.ciqfunctions.udf.CIQ("NYSE:CMI", "IQ_VOLUME", "5/23/2016")</f>
        <v>0.86526999999999998</v>
      </c>
      <c r="IW101" s="1956">
        <f>_xll.ciqfunctions.udf.CIQ("NYSE:CMI", "IQ_VOLUME", "5/20/2016")</f>
        <v>1.31758</v>
      </c>
      <c r="IX101" s="1956">
        <f>_xll.ciqfunctions.udf.CIQ("NYSE:CMI", "IQ_VOLUME", "5/19/2016")</f>
        <v>2.9509699999999999</v>
      </c>
      <c r="IY101" s="1956">
        <f>_xll.ciqfunctions.udf.CIQ("NYSE:CMI", "IQ_VOLUME", "5/18/2016")</f>
        <v>2.0821900000000002</v>
      </c>
      <c r="IZ101" s="1956">
        <f>_xll.ciqfunctions.udf.CIQ("NYSE:CMI", "IQ_VOLUME", "5/17/2016")</f>
        <v>1.47126</v>
      </c>
      <c r="JA101" s="1956">
        <f>_xll.ciqfunctions.udf.CIQ("NYSE:CMI", "IQ_VOLUME", "5/16/2016")</f>
        <v>1.41415</v>
      </c>
      <c r="JB101" s="1956">
        <f>_xll.ciqfunctions.udf.CIQ("NYSE:CMI", "IQ_VOLUME", "5/13/2016")</f>
        <v>1.91612</v>
      </c>
      <c r="JC101" s="1956">
        <f>_xll.ciqfunctions.udf.CIQ("NYSE:CMI", "IQ_VOLUME", "5/12/2016")</f>
        <v>1.5523499999999999</v>
      </c>
      <c r="JD101" s="1956">
        <f>_xll.ciqfunctions.udf.CIQ("NYSE:CMI", "IQ_VOLUME", "5/11/2016")</f>
        <v>1.92774</v>
      </c>
      <c r="JE101" s="1956">
        <f>_xll.ciqfunctions.udf.CIQ("NYSE:CMI", "IQ_VOLUME", "5/10/2016")</f>
        <v>2.2233900000000002</v>
      </c>
      <c r="JF101" s="1956">
        <f>_xll.ciqfunctions.udf.CIQ("NYSE:CMI", "IQ_VOLUME", "5/9/2016")</f>
        <v>1.9438800000000001</v>
      </c>
      <c r="JG101" s="1956">
        <f>_xll.ciqfunctions.udf.CIQ("NYSE:CMI", "IQ_VOLUME", "5/6/2016")</f>
        <v>1.13784</v>
      </c>
      <c r="JH101" s="1956">
        <f>_xll.ciqfunctions.udf.CIQ("NYSE:CMI", "IQ_VOLUME", "5/5/2016")</f>
        <v>1.2534400000000001</v>
      </c>
      <c r="JI101" s="1956">
        <f>_xll.ciqfunctions.udf.CIQ("NYSE:CMI", "IQ_VOLUME", "5/4/2016")</f>
        <v>3.7513399999999999</v>
      </c>
      <c r="JJ101" s="1956">
        <f>_xll.ciqfunctions.udf.CIQ("NYSE:CMI", "IQ_VOLUME", "5/3/2016")</f>
        <v>3.67299</v>
      </c>
      <c r="JK101" s="1956">
        <f>_xll.ciqfunctions.udf.CIQ("NYSE:CMI", "IQ_VOLUME", "5/2/2016")</f>
        <v>2.5192399999999999</v>
      </c>
      <c r="JL101" s="1956">
        <f>_xll.ciqfunctions.udf.CIQ("NYSE:CMI", "IQ_VOLUME", "4/29/2016")</f>
        <v>1.7840400000000001</v>
      </c>
      <c r="JM101" s="1956">
        <f>_xll.ciqfunctions.udf.CIQ("NYSE:CMI", "IQ_VOLUME", "4/28/2016")</f>
        <v>1.8220099999999999</v>
      </c>
      <c r="JN101" s="1956">
        <f>_xll.ciqfunctions.udf.CIQ("NYSE:CMI", "IQ_VOLUME", "4/27/2016")</f>
        <v>3.1151800000000001</v>
      </c>
      <c r="JO101" s="1956">
        <f>_xll.ciqfunctions.udf.CIQ("NYSE:CMI", "IQ_VOLUME", "4/26/2016")</f>
        <v>2.2732299999999999</v>
      </c>
      <c r="JP101" s="1956">
        <f>_xll.ciqfunctions.udf.CIQ("NYSE:CMI", "IQ_VOLUME", "4/25/2016")</f>
        <v>1.5443</v>
      </c>
      <c r="JQ101" s="1956">
        <f>_xll.ciqfunctions.udf.CIQ("NYSE:CMI", "IQ_VOLUME", "4/22/2016")</f>
        <v>2.7734700000000001</v>
      </c>
      <c r="JR101" s="1956">
        <f>_xll.ciqfunctions.udf.CIQ("NYSE:CMI", "IQ_VOLUME", "4/21/2016")</f>
        <v>1.74482</v>
      </c>
      <c r="JS101" s="1956">
        <f>_xll.ciqfunctions.udf.CIQ("NYSE:CMI", "IQ_VOLUME", "4/20/2016")</f>
        <v>1.6889000000000001</v>
      </c>
      <c r="JT101" s="1956">
        <f>_xll.ciqfunctions.udf.CIQ("NYSE:CMI", "IQ_VOLUME", "4/19/2016")</f>
        <v>2.5159199999999999</v>
      </c>
      <c r="JU101" s="1956">
        <f>_xll.ciqfunctions.udf.CIQ("NYSE:CMI", "IQ_VOLUME", "4/18/2016")</f>
        <v>2.6563300000000001</v>
      </c>
      <c r="JV101" s="1956">
        <f>_xll.ciqfunctions.udf.CIQ("NYSE:CMI", "IQ_VOLUME", "4/15/2016")</f>
        <v>2.0561199999999999</v>
      </c>
      <c r="JW101" s="1956">
        <f>_xll.ciqfunctions.udf.CIQ("NYSE:CMI", "IQ_VOLUME", "4/14/2016")</f>
        <v>2.4631599999999998</v>
      </c>
      <c r="JX101" s="1956">
        <f>_xll.ciqfunctions.udf.CIQ("NYSE:CMI", "IQ_VOLUME", "4/13/2016")</f>
        <v>4.1327699999999998</v>
      </c>
      <c r="JY101" s="1956">
        <f>_xll.ciqfunctions.udf.CIQ("NYSE:CMI", "IQ_VOLUME", "4/12/2016")</f>
        <v>1.0784499999999999</v>
      </c>
      <c r="JZ101" s="1956">
        <f>_xll.ciqfunctions.udf.CIQ("NYSE:CMI", "IQ_VOLUME", "4/11/2016")</f>
        <v>1.3974599999999999</v>
      </c>
      <c r="KA101" s="1956">
        <f>_xll.ciqfunctions.udf.CIQ("NYSE:CMI", "IQ_VOLUME", "4/8/2016")</f>
        <v>1.3281799999999999</v>
      </c>
      <c r="KB101" s="1956">
        <f>_xll.ciqfunctions.udf.CIQ("NYSE:CMI", "IQ_VOLUME", "4/7/2016")</f>
        <v>2.27515</v>
      </c>
      <c r="KC101" s="1956">
        <f>_xll.ciqfunctions.udf.CIQ("NYSE:CMI", "IQ_VOLUME", "4/6/2016")</f>
        <v>3.3962599999999998</v>
      </c>
      <c r="KD101" s="1956">
        <f>_xll.ciqfunctions.udf.CIQ("NYSE:CMI", "IQ_VOLUME", "4/5/2016")</f>
        <v>1.9930600000000001</v>
      </c>
      <c r="KE101" s="1956">
        <f>_xll.ciqfunctions.udf.CIQ("NYSE:CMI", "IQ_VOLUME", "4/4/2016")</f>
        <v>1.34775</v>
      </c>
      <c r="KF101" s="1956">
        <f>_xll.ciqfunctions.udf.CIQ("NYSE:CMI", "IQ_VOLUME", "4/1/2016")</f>
        <v>1.6707700000000001</v>
      </c>
      <c r="KG101" s="1956">
        <f>_xll.ciqfunctions.udf.CIQ("NYSE:CMI", "IQ_VOLUME", "3/31/2016")</f>
        <v>1.7525200000000001</v>
      </c>
      <c r="KH101" s="1956">
        <f>_xll.ciqfunctions.udf.CIQ("NYSE:CMI", "IQ_VOLUME", "3/30/2016")</f>
        <v>1.50789</v>
      </c>
      <c r="KI101" s="1956">
        <f>_xll.ciqfunctions.udf.CIQ("NYSE:CMI", "IQ_VOLUME", "3/29/2016")</f>
        <v>1.46533</v>
      </c>
      <c r="KJ101" s="1956">
        <f>_xll.ciqfunctions.udf.CIQ("NYSE:CMI", "IQ_VOLUME", "3/28/2016")</f>
        <v>1.2775799999999999</v>
      </c>
      <c r="KK101" s="1956">
        <f>_xll.ciqfunctions.udf.CIQ("NYSE:CMI", "IQ_VOLUME", "3/24/2016")</f>
        <v>1.7291000000000001</v>
      </c>
      <c r="KL101" s="1956">
        <f>_xll.ciqfunctions.udf.CIQ("NYSE:CMI", "IQ_VOLUME", "3/23/2016")</f>
        <v>2.26145</v>
      </c>
      <c r="KM101" s="1956">
        <f>_xll.ciqfunctions.udf.CIQ("NYSE:CMI", "IQ_VOLUME", "3/22/2016")</f>
        <v>1.5424500000000001</v>
      </c>
      <c r="KN101" s="1956">
        <f>_xll.ciqfunctions.udf.CIQ("NYSE:CMI", "IQ_VOLUME", "3/21/2016")</f>
        <v>1.70827</v>
      </c>
      <c r="KO101" s="1956">
        <f>_xll.ciqfunctions.udf.CIQ("NYSE:CMI", "IQ_VOLUME", "3/18/2016")</f>
        <v>4.6586400000000001</v>
      </c>
      <c r="KP101" s="1956">
        <f>_xll.ciqfunctions.udf.CIQ("NYSE:CMI", "IQ_VOLUME", "3/17/2016")</f>
        <v>2.9649399999999999</v>
      </c>
      <c r="KQ101" s="1956">
        <f>_xll.ciqfunctions.udf.CIQ("NYSE:CMI", "IQ_VOLUME", "3/16/2016")</f>
        <v>1.99804</v>
      </c>
      <c r="KR101" s="1956">
        <f>_xll.ciqfunctions.udf.CIQ("NYSE:CMI", "IQ_VOLUME", "3/15/2016")</f>
        <v>1.6974800000000001</v>
      </c>
      <c r="KS101" s="1956">
        <f>_xll.ciqfunctions.udf.CIQ("NYSE:CMI", "IQ_VOLUME", "3/14/2016")</f>
        <v>2.3597800000000002</v>
      </c>
      <c r="KT101" s="1956">
        <f>_xll.ciqfunctions.udf.CIQ("NYSE:CMI", "IQ_VOLUME", "3/11/2016")</f>
        <v>2.1138599999999999</v>
      </c>
      <c r="KU101" s="1956">
        <f>_xll.ciqfunctions.udf.CIQ("NYSE:CMI", "IQ_VOLUME", "3/10/2016")</f>
        <v>2.4040699999999999</v>
      </c>
      <c r="KV101" s="1956">
        <f>_xll.ciqfunctions.udf.CIQ("NYSE:CMI", "IQ_VOLUME", "3/9/2016")</f>
        <v>1.6758500000000001</v>
      </c>
    </row>
    <row r="102" spans="1:308" s="89" customFormat="1" ht="13.9">
      <c r="A102" s="269" t="str">
        <f t="shared" si="23"/>
        <v>n</v>
      </c>
      <c r="B102" s="2060"/>
      <c r="C102" s="72"/>
      <c r="D102" s="801"/>
      <c r="E102" s="1505">
        <v>3</v>
      </c>
      <c r="F102" s="30" t="str">
        <f>'DATA GPC'!$E22</f>
        <v>--</v>
      </c>
      <c r="G102" s="2112">
        <f>IF('WACC and TIC Inputs'!$D131="X",0,IF('DATA GPC'!$G22="",0,'DATA GPC'!$G22))</f>
        <v>0</v>
      </c>
      <c r="H102" s="281">
        <f>--('DATA GPC'!K57="Y")</f>
        <v>0</v>
      </c>
      <c r="I102" s="2294"/>
      <c r="J102" s="2293">
        <v>995</v>
      </c>
      <c r="K102" s="2293">
        <v>996</v>
      </c>
      <c r="L102" s="2293">
        <v>997</v>
      </c>
      <c r="M102" s="2293">
        <v>998</v>
      </c>
      <c r="N102" s="2293">
        <v>999</v>
      </c>
      <c r="O102" s="2293">
        <v>1000</v>
      </c>
      <c r="P102" s="2293">
        <v>2000</v>
      </c>
      <c r="Q102" s="633"/>
      <c r="R102" s="2293">
        <f t="shared" si="21"/>
        <v>1996</v>
      </c>
      <c r="T102" s="1598" t="str">
        <f t="shared" si="24"/>
        <v/>
      </c>
      <c r="U102" s="2293">
        <f t="shared" si="22"/>
        <v>1001</v>
      </c>
      <c r="V102" s="2293">
        <f t="shared" si="22"/>
        <v>1002</v>
      </c>
      <c r="W102" s="2293">
        <f t="shared" si="22"/>
        <v>1003</v>
      </c>
      <c r="X102" s="2293">
        <f t="shared" si="22"/>
        <v>1004</v>
      </c>
      <c r="Y102" s="2293">
        <f t="shared" si="22"/>
        <v>1005</v>
      </c>
      <c r="AR102" s="2060"/>
      <c r="AS102" s="98" t="s">
        <v>726</v>
      </c>
      <c r="AT102" s="80" t="s">
        <v>727</v>
      </c>
      <c r="AU102" s="80" t="s">
        <v>151</v>
      </c>
      <c r="AV102" s="80" t="s">
        <v>728</v>
      </c>
      <c r="AW102" s="81" t="s">
        <v>729</v>
      </c>
      <c r="AX102" s="78" t="s">
        <v>487</v>
      </c>
      <c r="AY102" s="78" t="s">
        <v>487</v>
      </c>
      <c r="AZ102" s="78" t="s">
        <v>486</v>
      </c>
      <c r="BA102" s="214"/>
      <c r="BB102" s="214"/>
      <c r="GK102" s="1956">
        <f>_xll.ciqfunctions.udf.CIQ("NYSE:DE", "IQ_VOLUME", "8/22/2016")</f>
        <v>7.9981400000000002</v>
      </c>
      <c r="GL102" s="1956">
        <f>_xll.ciqfunctions.udf.CIQ("NYSE:DE", "IQ_VOLUME", "8/19/2016")</f>
        <v>23.735610000000001</v>
      </c>
      <c r="GM102" s="1956">
        <f>_xll.ciqfunctions.udf.CIQ("NYSE:DE", "IQ_VOLUME", "8/18/2016")</f>
        <v>4.0411900000000003</v>
      </c>
      <c r="GN102" s="1956">
        <f>_xll.ciqfunctions.udf.CIQ("NYSE:DE", "IQ_VOLUME", "8/17/2016")</f>
        <v>2.7646500000000001</v>
      </c>
      <c r="GO102" s="1956">
        <f>_xll.ciqfunctions.udf.CIQ("NYSE:DE", "IQ_VOLUME", "8/16/2016")</f>
        <v>1.94739</v>
      </c>
      <c r="GP102" s="1956">
        <f>_xll.ciqfunctions.udf.CIQ("NYSE:DE", "IQ_VOLUME", "8/15/2016")</f>
        <v>2.66744</v>
      </c>
      <c r="GQ102" s="1956">
        <f>_xll.ciqfunctions.udf.CIQ("NYSE:DE", "IQ_VOLUME", "8/12/2016")</f>
        <v>3.8122600000000002</v>
      </c>
      <c r="GR102" s="1956">
        <f>_xll.ciqfunctions.udf.CIQ("NYSE:DE", "IQ_VOLUME", "8/11/2016")</f>
        <v>2.7730199999999998</v>
      </c>
      <c r="GS102" s="1956">
        <f>_xll.ciqfunctions.udf.CIQ("NYSE:DE", "IQ_VOLUME", "8/10/2016")</f>
        <v>1.78054</v>
      </c>
      <c r="GT102" s="1956">
        <f>_xll.ciqfunctions.udf.CIQ("NYSE:DE", "IQ_VOLUME", "8/9/2016")</f>
        <v>3.0679099999999999</v>
      </c>
      <c r="GU102" s="1956">
        <f>_xll.ciqfunctions.udf.CIQ("NYSE:DE", "IQ_VOLUME", "8/8/2016")</f>
        <v>2.6985899999999998</v>
      </c>
      <c r="GV102" s="1956">
        <f>_xll.ciqfunctions.udf.CIQ("NYSE:DE", "IQ_VOLUME", "8/5/2016")</f>
        <v>2.4601000000000002</v>
      </c>
      <c r="GW102" s="1956">
        <f>_xll.ciqfunctions.udf.CIQ("NYSE:DE", "IQ_VOLUME", "8/4/2016")</f>
        <v>2.2354699999999998</v>
      </c>
      <c r="GX102" s="1956">
        <f>_xll.ciqfunctions.udf.CIQ("NYSE:DE", "IQ_VOLUME", "8/3/2016")</f>
        <v>1.8653</v>
      </c>
      <c r="GY102" s="1956">
        <f>_xll.ciqfunctions.udf.CIQ("NYSE:DE", "IQ_VOLUME", "8/2/2016")</f>
        <v>3.4833599999999998</v>
      </c>
      <c r="GZ102" s="1956">
        <f>_xll.ciqfunctions.udf.CIQ("NYSE:DE", "IQ_VOLUME", "8/1/2016")</f>
        <v>1.8986499999999999</v>
      </c>
      <c r="HA102" s="1956">
        <f>_xll.ciqfunctions.udf.CIQ("NYSE:DE", "IQ_VOLUME", "7/29/2016")</f>
        <v>3.7538900000000002</v>
      </c>
      <c r="HB102" s="1956">
        <f>_xll.ciqfunctions.udf.CIQ("NYSE:DE", "IQ_VOLUME", "7/28/2016")</f>
        <v>4.7124100000000002</v>
      </c>
      <c r="HC102" s="1956">
        <f>_xll.ciqfunctions.udf.CIQ("NYSE:DE", "IQ_VOLUME", "7/27/2016")</f>
        <v>2.49655</v>
      </c>
      <c r="HD102" s="1956">
        <f>_xll.ciqfunctions.udf.CIQ("NYSE:DE", "IQ_VOLUME", "7/26/2016")</f>
        <v>4.1397700000000004</v>
      </c>
      <c r="HE102" s="1956">
        <f>_xll.ciqfunctions.udf.CIQ("NYSE:DE", "IQ_VOLUME", "7/25/2016")</f>
        <v>7.4363000000000001</v>
      </c>
      <c r="HF102" s="1956">
        <f>_xll.ciqfunctions.udf.CIQ("NYSE:DE", "IQ_VOLUME", "7/22/2016")</f>
        <v>4.75352</v>
      </c>
      <c r="HG102" s="1956">
        <f>_xll.ciqfunctions.udf.CIQ("NYSE:DE", "IQ_VOLUME", "7/21/2016")</f>
        <v>3.12385</v>
      </c>
      <c r="HH102" s="1956">
        <f>_xll.ciqfunctions.udf.CIQ("NYSE:DE", "IQ_VOLUME", "7/20/2016")</f>
        <v>2.2975599999999998</v>
      </c>
      <c r="HI102" s="1956">
        <f>_xll.ciqfunctions.udf.CIQ("NYSE:DE", "IQ_VOLUME", "7/19/2016")</f>
        <v>2.4876499999999999</v>
      </c>
      <c r="HJ102" s="1956">
        <f>_xll.ciqfunctions.udf.CIQ("NYSE:DE", "IQ_VOLUME", "7/18/2016")</f>
        <v>2.4891299999999998</v>
      </c>
      <c r="HK102" s="1956">
        <f>_xll.ciqfunctions.udf.CIQ("NYSE:DE", "IQ_VOLUME", "7/15/2016")</f>
        <v>2.7745899999999999</v>
      </c>
      <c r="HL102" s="1956">
        <f>_xll.ciqfunctions.udf.CIQ("NYSE:DE", "IQ_VOLUME", "7/14/2016")</f>
        <v>3.5881500000000002</v>
      </c>
      <c r="HM102" s="1956">
        <f>_xll.ciqfunctions.udf.CIQ("NYSE:DE", "IQ_VOLUME", "7/13/2016")</f>
        <v>2.7726000000000002</v>
      </c>
      <c r="HN102" s="1956">
        <f>_xll.ciqfunctions.udf.CIQ("NYSE:DE", "IQ_VOLUME", "7/12/2016")</f>
        <v>3.8665799999999999</v>
      </c>
      <c r="HO102" s="1956">
        <f>_xll.ciqfunctions.udf.CIQ("NYSE:DE", "IQ_VOLUME", "7/11/2016")</f>
        <v>2.3147199999999999</v>
      </c>
      <c r="HP102" s="1956">
        <f>_xll.ciqfunctions.udf.CIQ("NYSE:DE", "IQ_VOLUME", "7/8/2016")</f>
        <v>1.9749000000000001</v>
      </c>
      <c r="HQ102" s="1956">
        <f>_xll.ciqfunctions.udf.CIQ("NYSE:DE", "IQ_VOLUME", "7/7/2016")</f>
        <v>2.16751</v>
      </c>
      <c r="HR102" s="1956">
        <f>_xll.ciqfunctions.udf.CIQ("NYSE:DE", "IQ_VOLUME", "7/6/2016")</f>
        <v>2.38727</v>
      </c>
      <c r="HS102" s="1956">
        <f>_xll.ciqfunctions.udf.CIQ("NYSE:DE", "IQ_VOLUME", "7/5/2016")</f>
        <v>2.9906600000000001</v>
      </c>
      <c r="HT102" s="1956">
        <f>_xll.ciqfunctions.udf.CIQ("NYSE:DE", "IQ_VOLUME", "7/1/2016")</f>
        <v>2.73434</v>
      </c>
      <c r="HU102" s="1956">
        <f>_xll.ciqfunctions.udf.CIQ("NYSE:DE", "IQ_VOLUME", "6/30/2016")</f>
        <v>4.9214200000000003</v>
      </c>
      <c r="HV102" s="1956">
        <f>_xll.ciqfunctions.udf.CIQ("NYSE:DE", "IQ_VOLUME", "6/29/2016")</f>
        <v>2.8214199999999998</v>
      </c>
      <c r="HW102" s="1956">
        <f>_xll.ciqfunctions.udf.CIQ("NYSE:DE", "IQ_VOLUME", "6/28/2016")</f>
        <v>2.5379499999999999</v>
      </c>
      <c r="HX102" s="1956">
        <f>_xll.ciqfunctions.udf.CIQ("NYSE:DE", "IQ_VOLUME", "6/27/2016")</f>
        <v>3.5732400000000002</v>
      </c>
      <c r="HY102" s="1956">
        <f>_xll.ciqfunctions.udf.CIQ("NYSE:DE", "IQ_VOLUME", "6/24/2016")</f>
        <v>4.8975999999999997</v>
      </c>
      <c r="HZ102" s="1956">
        <f>_xll.ciqfunctions.udf.CIQ("NYSE:DE", "IQ_VOLUME", "6/23/2016")</f>
        <v>2.2849599999999999</v>
      </c>
      <c r="IA102" s="1956">
        <f>_xll.ciqfunctions.udf.CIQ("NYSE:DE", "IQ_VOLUME", "6/22/2016")</f>
        <v>2.1776200000000001</v>
      </c>
      <c r="IB102" s="1956">
        <f>_xll.ciqfunctions.udf.CIQ("NYSE:DE", "IQ_VOLUME", "6/21/2016")</f>
        <v>3.5360499999999999</v>
      </c>
      <c r="IC102" s="1956">
        <f>_xll.ciqfunctions.udf.CIQ("NYSE:DE", "IQ_VOLUME", "6/20/2016")</f>
        <v>3.0696599999999998</v>
      </c>
      <c r="ID102" s="1956">
        <f>_xll.ciqfunctions.udf.CIQ("NYSE:DE", "IQ_VOLUME", "6/17/2016")</f>
        <v>3.5261499999999999</v>
      </c>
      <c r="IE102" s="1956">
        <f>_xll.ciqfunctions.udf.CIQ("NYSE:DE", "IQ_VOLUME", "6/16/2016")</f>
        <v>2.0755300000000001</v>
      </c>
      <c r="IF102" s="1956">
        <f>_xll.ciqfunctions.udf.CIQ("NYSE:DE", "IQ_VOLUME", "6/15/2016")</f>
        <v>1.4660500000000001</v>
      </c>
      <c r="IG102" s="1956">
        <f>_xll.ciqfunctions.udf.CIQ("NYSE:DE", "IQ_VOLUME", "6/14/2016")</f>
        <v>3.1680799999999998</v>
      </c>
      <c r="IH102" s="1956">
        <f>_xll.ciqfunctions.udf.CIQ("NYSE:DE", "IQ_VOLUME", "6/13/2016")</f>
        <v>2.7714799999999999</v>
      </c>
      <c r="II102" s="1956">
        <f>_xll.ciqfunctions.udf.CIQ("NYSE:DE", "IQ_VOLUME", "6/10/2016")</f>
        <v>3.5383499999999999</v>
      </c>
      <c r="IJ102" s="1956">
        <f>_xll.ciqfunctions.udf.CIQ("NYSE:DE", "IQ_VOLUME", "6/9/2016")</f>
        <v>1.80217</v>
      </c>
      <c r="IK102" s="1956">
        <f>_xll.ciqfunctions.udf.CIQ("NYSE:DE", "IQ_VOLUME", "6/8/2016")</f>
        <v>3.5112800000000002</v>
      </c>
      <c r="IL102" s="1956">
        <f>_xll.ciqfunctions.udf.CIQ("NYSE:DE", "IQ_VOLUME", "6/7/2016")</f>
        <v>2.4562499999999998</v>
      </c>
      <c r="IM102" s="1956">
        <f>_xll.ciqfunctions.udf.CIQ("NYSE:DE", "IQ_VOLUME", "6/6/2016")</f>
        <v>4.9676900000000002</v>
      </c>
      <c r="IN102" s="1956">
        <f>_xll.ciqfunctions.udf.CIQ("NYSE:DE", "IQ_VOLUME", "6/3/2016")</f>
        <v>4.2444199999999999</v>
      </c>
      <c r="IO102" s="1956">
        <f>_xll.ciqfunctions.udf.CIQ("NYSE:DE", "IQ_VOLUME", "6/2/2016")</f>
        <v>2.8308</v>
      </c>
      <c r="IP102" s="1956">
        <f>_xll.ciqfunctions.udf.CIQ("NYSE:DE", "IQ_VOLUME", "6/1/2016")</f>
        <v>2.4519600000000001</v>
      </c>
      <c r="IQ102" s="1956">
        <f>_xll.ciqfunctions.udf.CIQ("NYSE:DE", "IQ_VOLUME", "5/31/2016")</f>
        <v>6.38002</v>
      </c>
      <c r="IR102" s="1956">
        <f>_xll.ciqfunctions.udf.CIQ("NYSE:DE", "IQ_VOLUME", "5/27/2016")</f>
        <v>1.74444</v>
      </c>
      <c r="IS102" s="1956">
        <f>_xll.ciqfunctions.udf.CIQ("NYSE:DE", "IQ_VOLUME", "5/26/2016")</f>
        <v>2.50102</v>
      </c>
      <c r="IT102" s="1956">
        <f>_xll.ciqfunctions.udf.CIQ("NYSE:DE", "IQ_VOLUME", "5/25/2016")</f>
        <v>2.92361</v>
      </c>
      <c r="IU102" s="1956">
        <f>_xll.ciqfunctions.udf.CIQ("NYSE:DE", "IQ_VOLUME", "5/24/2016")</f>
        <v>3.3776000000000002</v>
      </c>
      <c r="IV102" s="1956">
        <f>_xll.ciqfunctions.udf.CIQ("NYSE:DE", "IQ_VOLUME", "5/23/2016")</f>
        <v>4.6040299999999998</v>
      </c>
      <c r="IW102" s="1956">
        <f>_xll.ciqfunctions.udf.CIQ("NYSE:DE", "IQ_VOLUME", "5/20/2016")</f>
        <v>12.35017</v>
      </c>
      <c r="IX102" s="1956">
        <f>_xll.ciqfunctions.udf.CIQ("NYSE:DE", "IQ_VOLUME", "5/19/2016")</f>
        <v>5.0620000000000003</v>
      </c>
      <c r="IY102" s="1956">
        <f>_xll.ciqfunctions.udf.CIQ("NYSE:DE", "IQ_VOLUME", "5/18/2016")</f>
        <v>2.6726000000000001</v>
      </c>
      <c r="IZ102" s="1956">
        <f>_xll.ciqfunctions.udf.CIQ("NYSE:DE", "IQ_VOLUME", "5/17/2016")</f>
        <v>2.5373600000000001</v>
      </c>
      <c r="JA102" s="1956">
        <f>_xll.ciqfunctions.udf.CIQ("NYSE:DE", "IQ_VOLUME", "5/16/2016")</f>
        <v>2.3029500000000001</v>
      </c>
      <c r="JB102" s="1956">
        <f>_xll.ciqfunctions.udf.CIQ("NYSE:DE", "IQ_VOLUME", "5/13/2016")</f>
        <v>2.4252199999999999</v>
      </c>
      <c r="JC102" s="1956">
        <f>_xll.ciqfunctions.udf.CIQ("NYSE:DE", "IQ_VOLUME", "5/12/2016")</f>
        <v>3.9363800000000002</v>
      </c>
      <c r="JD102" s="1956">
        <f>_xll.ciqfunctions.udf.CIQ("NYSE:DE", "IQ_VOLUME", "5/11/2016")</f>
        <v>3.3443499999999999</v>
      </c>
      <c r="JE102" s="1956">
        <f>_xll.ciqfunctions.udf.CIQ("NYSE:DE", "IQ_VOLUME", "5/10/2016")</f>
        <v>5.9480199999999996</v>
      </c>
      <c r="JF102" s="1956">
        <f>_xll.ciqfunctions.udf.CIQ("NYSE:DE", "IQ_VOLUME", "5/9/2016")</f>
        <v>1.6492100000000001</v>
      </c>
      <c r="JG102" s="1956">
        <f>_xll.ciqfunctions.udf.CIQ("NYSE:DE", "IQ_VOLUME", "5/6/2016")</f>
        <v>1.2588299999999999</v>
      </c>
      <c r="JH102" s="1956">
        <f>_xll.ciqfunctions.udf.CIQ("NYSE:DE", "IQ_VOLUME", "5/5/2016")</f>
        <v>2.8684699999999999</v>
      </c>
      <c r="JI102" s="1956">
        <f>_xll.ciqfunctions.udf.CIQ("NYSE:DE", "IQ_VOLUME", "5/4/2016")</f>
        <v>1.69733</v>
      </c>
      <c r="JJ102" s="1956">
        <f>_xll.ciqfunctions.udf.CIQ("NYSE:DE", "IQ_VOLUME", "5/3/2016")</f>
        <v>1.9574</v>
      </c>
      <c r="JK102" s="1956">
        <f>_xll.ciqfunctions.udf.CIQ("NYSE:DE", "IQ_VOLUME", "5/2/2016")</f>
        <v>1.82925</v>
      </c>
      <c r="JL102" s="1956">
        <f>_xll.ciqfunctions.udf.CIQ("NYSE:DE", "IQ_VOLUME", "4/29/2016")</f>
        <v>2.1119400000000002</v>
      </c>
      <c r="JM102" s="1956">
        <f>_xll.ciqfunctions.udf.CIQ("NYSE:DE", "IQ_VOLUME", "4/28/2016")</f>
        <v>2.1670400000000001</v>
      </c>
      <c r="JN102" s="1956">
        <f>_xll.ciqfunctions.udf.CIQ("NYSE:DE", "IQ_VOLUME", "4/27/2016")</f>
        <v>2.8766699999999998</v>
      </c>
      <c r="JO102" s="1956">
        <f>_xll.ciqfunctions.udf.CIQ("NYSE:DE", "IQ_VOLUME", "4/26/2016")</f>
        <v>2.0962399999999999</v>
      </c>
      <c r="JP102" s="1956">
        <f>_xll.ciqfunctions.udf.CIQ("NYSE:DE", "IQ_VOLUME", "4/25/2016")</f>
        <v>2.1534499999999999</v>
      </c>
      <c r="JQ102" s="1956">
        <f>_xll.ciqfunctions.udf.CIQ("NYSE:DE", "IQ_VOLUME", "4/22/2016")</f>
        <v>2.0873900000000001</v>
      </c>
      <c r="JR102" s="1956">
        <f>_xll.ciqfunctions.udf.CIQ("NYSE:DE", "IQ_VOLUME", "4/21/2016")</f>
        <v>4.0381999999999998</v>
      </c>
      <c r="JS102" s="1956">
        <f>_xll.ciqfunctions.udf.CIQ("NYSE:DE", "IQ_VOLUME", "4/20/2016")</f>
        <v>6.4744000000000002</v>
      </c>
      <c r="JT102" s="1956">
        <f>_xll.ciqfunctions.udf.CIQ("NYSE:DE", "IQ_VOLUME", "4/19/2016")</f>
        <v>7.0155399999999997</v>
      </c>
      <c r="JU102" s="1956">
        <f>_xll.ciqfunctions.udf.CIQ("NYSE:DE", "IQ_VOLUME", "4/18/2016")</f>
        <v>2.2431100000000002</v>
      </c>
      <c r="JV102" s="1956">
        <f>_xll.ciqfunctions.udf.CIQ("NYSE:DE", "IQ_VOLUME", "4/15/2016")</f>
        <v>2.5368900000000001</v>
      </c>
      <c r="JW102" s="1956">
        <f>_xll.ciqfunctions.udf.CIQ("NYSE:DE", "IQ_VOLUME", "4/14/2016")</f>
        <v>2.3559999999999999</v>
      </c>
      <c r="JX102" s="1956">
        <f>_xll.ciqfunctions.udf.CIQ("NYSE:DE", "IQ_VOLUME", "4/13/2016")</f>
        <v>3.1870699999999998</v>
      </c>
      <c r="JY102" s="1956">
        <f>_xll.ciqfunctions.udf.CIQ("NYSE:DE", "IQ_VOLUME", "4/12/2016")</f>
        <v>2.01146</v>
      </c>
      <c r="JZ102" s="1956">
        <f>_xll.ciqfunctions.udf.CIQ("NYSE:DE", "IQ_VOLUME", "4/11/2016")</f>
        <v>1.6688700000000001</v>
      </c>
      <c r="KA102" s="1956">
        <f>_xll.ciqfunctions.udf.CIQ("NYSE:DE", "IQ_VOLUME", "4/8/2016")</f>
        <v>2.07639</v>
      </c>
      <c r="KB102" s="1956">
        <f>_xll.ciqfunctions.udf.CIQ("NYSE:DE", "IQ_VOLUME", "4/7/2016")</f>
        <v>2.4446500000000002</v>
      </c>
      <c r="KC102" s="1956">
        <f>_xll.ciqfunctions.udf.CIQ("NYSE:DE", "IQ_VOLUME", "4/6/2016")</f>
        <v>2.5641500000000002</v>
      </c>
      <c r="KD102" s="1956">
        <f>_xll.ciqfunctions.udf.CIQ("NYSE:DE", "IQ_VOLUME", "4/5/2016")</f>
        <v>2.4942199999999999</v>
      </c>
      <c r="KE102" s="1956">
        <f>_xll.ciqfunctions.udf.CIQ("NYSE:DE", "IQ_VOLUME", "4/4/2016")</f>
        <v>2.9308299999999998</v>
      </c>
      <c r="KF102" s="1956">
        <f>_xll.ciqfunctions.udf.CIQ("NYSE:DE", "IQ_VOLUME", "4/1/2016")</f>
        <v>6.39663</v>
      </c>
      <c r="KG102" s="1956">
        <f>_xll.ciqfunctions.udf.CIQ("NYSE:DE", "IQ_VOLUME", "3/31/2016")</f>
        <v>6.59802</v>
      </c>
      <c r="KH102" s="1956">
        <f>_xll.ciqfunctions.udf.CIQ("NYSE:DE", "IQ_VOLUME", "3/30/2016")</f>
        <v>2.5663</v>
      </c>
      <c r="KI102" s="1956">
        <f>_xll.ciqfunctions.udf.CIQ("NYSE:DE", "IQ_VOLUME", "3/29/2016")</f>
        <v>2.3013499999999998</v>
      </c>
      <c r="KJ102" s="1956">
        <f>_xll.ciqfunctions.udf.CIQ("NYSE:DE", "IQ_VOLUME", "3/28/2016")</f>
        <v>3.1585700000000001</v>
      </c>
      <c r="KK102" s="1956">
        <f>_xll.ciqfunctions.udf.CIQ("NYSE:DE", "IQ_VOLUME", "3/24/2016")</f>
        <v>3.2637900000000002</v>
      </c>
      <c r="KL102" s="1956">
        <f>_xll.ciqfunctions.udf.CIQ("NYSE:DE", "IQ_VOLUME", "3/23/2016")</f>
        <v>1.91164</v>
      </c>
      <c r="KM102" s="1956">
        <f>_xll.ciqfunctions.udf.CIQ("NYSE:DE", "IQ_VOLUME", "3/22/2016")</f>
        <v>1.54833</v>
      </c>
      <c r="KN102" s="1956">
        <f>_xll.ciqfunctions.udf.CIQ("NYSE:DE", "IQ_VOLUME", "3/21/2016")</f>
        <v>2.37296</v>
      </c>
      <c r="KO102" s="1956">
        <f>_xll.ciqfunctions.udf.CIQ("NYSE:DE", "IQ_VOLUME", "3/18/2016")</f>
        <v>7.1848299999999998</v>
      </c>
      <c r="KP102" s="1956">
        <f>_xll.ciqfunctions.udf.CIQ("NYSE:DE", "IQ_VOLUME", "3/17/2016")</f>
        <v>3.5131100000000002</v>
      </c>
      <c r="KQ102" s="1956">
        <f>_xll.ciqfunctions.udf.CIQ("NYSE:DE", "IQ_VOLUME", "3/16/2016")</f>
        <v>2.59199</v>
      </c>
      <c r="KR102" s="1956">
        <f>_xll.ciqfunctions.udf.CIQ("NYSE:DE", "IQ_VOLUME", "3/15/2016")</f>
        <v>3.1497199999999999</v>
      </c>
      <c r="KS102" s="1956">
        <f>_xll.ciqfunctions.udf.CIQ("NYSE:DE", "IQ_VOLUME", "3/14/2016")</f>
        <v>2.82233</v>
      </c>
      <c r="KT102" s="1956">
        <f>_xll.ciqfunctions.udf.CIQ("NYSE:DE", "IQ_VOLUME", "3/11/2016")</f>
        <v>2.77955</v>
      </c>
      <c r="KU102" s="1956">
        <f>_xll.ciqfunctions.udf.CIQ("NYSE:DE", "IQ_VOLUME", "3/10/2016")</f>
        <v>2.7742100000000001</v>
      </c>
      <c r="KV102" s="1956">
        <f>_xll.ciqfunctions.udf.CIQ("NYSE:DE", "IQ_VOLUME", "3/9/2016")</f>
        <v>2.6771799999999999</v>
      </c>
    </row>
    <row r="103" spans="1:308" s="89" customFormat="1" ht="13.9">
      <c r="A103" s="269" t="str">
        <f t="shared" si="23"/>
        <v>n</v>
      </c>
      <c r="B103" s="2060"/>
      <c r="C103" s="72"/>
      <c r="D103" s="801"/>
      <c r="E103" s="1505">
        <v>4</v>
      </c>
      <c r="F103" s="30" t="str">
        <f>'DATA GPC'!$E23</f>
        <v>--</v>
      </c>
      <c r="G103" s="2112">
        <f>IF('WACC and TIC Inputs'!$D132="X",0,IF('DATA GPC'!$G23="",0,'DATA GPC'!$G23))</f>
        <v>0</v>
      </c>
      <c r="H103" s="281">
        <f>--('DATA GPC'!K58="Y")</f>
        <v>0</v>
      </c>
      <c r="I103" s="2294"/>
      <c r="J103" s="2293">
        <v>995</v>
      </c>
      <c r="K103" s="2293">
        <v>996</v>
      </c>
      <c r="L103" s="2293">
        <v>997</v>
      </c>
      <c r="M103" s="2293">
        <v>998</v>
      </c>
      <c r="N103" s="2293">
        <v>999</v>
      </c>
      <c r="O103" s="2293">
        <v>1000</v>
      </c>
      <c r="P103" s="2293">
        <v>2000</v>
      </c>
      <c r="Q103" s="633"/>
      <c r="R103" s="2293">
        <f t="shared" si="21"/>
        <v>1996</v>
      </c>
      <c r="T103" s="1598" t="str">
        <f t="shared" si="24"/>
        <v/>
      </c>
      <c r="U103" s="2293">
        <f t="shared" si="22"/>
        <v>1001</v>
      </c>
      <c r="V103" s="2293">
        <f t="shared" si="22"/>
        <v>1002</v>
      </c>
      <c r="W103" s="2293">
        <f t="shared" si="22"/>
        <v>1003</v>
      </c>
      <c r="X103" s="2293">
        <f t="shared" si="22"/>
        <v>1004</v>
      </c>
      <c r="Y103" s="2293">
        <f t="shared" si="22"/>
        <v>1005</v>
      </c>
      <c r="AR103" s="2060"/>
      <c r="AS103" s="98" t="s">
        <v>730</v>
      </c>
      <c r="AT103" s="80" t="s">
        <v>731</v>
      </c>
      <c r="AU103" s="80" t="s">
        <v>162</v>
      </c>
      <c r="AV103" s="80" t="s">
        <v>732</v>
      </c>
      <c r="AW103" s="81" t="s">
        <v>733</v>
      </c>
      <c r="AX103" s="78" t="s">
        <v>494</v>
      </c>
      <c r="AY103" s="78" t="s">
        <v>494</v>
      </c>
      <c r="AZ103" s="78" t="s">
        <v>493</v>
      </c>
      <c r="BA103" s="214"/>
      <c r="BB103" s="214"/>
      <c r="GK103" s="1956">
        <f>_xll.ciqfunctions.udf.CIQ("KOSE:A009540", "IQ_VOLUME", "8/19/2016")</f>
        <v>0.20072999999999999</v>
      </c>
      <c r="GL103" s="1956">
        <f>_xll.ciqfunctions.udf.CIQ("KOSE:A009540", "IQ_VOLUME", "8/18/2016")</f>
        <v>0.17552999999999999</v>
      </c>
      <c r="GM103" s="1956">
        <f>_xll.ciqfunctions.udf.CIQ("KOSE:A009540", "IQ_VOLUME", "8/17/2016")</f>
        <v>0.18506</v>
      </c>
      <c r="GN103" s="1956">
        <f>_xll.ciqfunctions.udf.CIQ("KOSE:A009540", "IQ_VOLUME", "8/16/2016")</f>
        <v>0.21748000000000001</v>
      </c>
      <c r="GO103" s="1956">
        <f>_xll.ciqfunctions.udf.CIQ("KOSE:A009540", "IQ_VOLUME", "8/12/2016")</f>
        <v>0.33566000000000001</v>
      </c>
      <c r="GP103" s="1956">
        <f>_xll.ciqfunctions.udf.CIQ("KOSE:A009540", "IQ_VOLUME", "8/11/2016")</f>
        <v>0.23807</v>
      </c>
      <c r="GQ103" s="1956">
        <f>_xll.ciqfunctions.udf.CIQ("KOSE:A009540", "IQ_VOLUME", "8/10/2016")</f>
        <v>0.45485999999999999</v>
      </c>
      <c r="GR103" s="1956">
        <f>_xll.ciqfunctions.udf.CIQ("KOSE:A009540", "IQ_VOLUME", "8/9/2016")</f>
        <v>0.39596999999999999</v>
      </c>
      <c r="GS103" s="1956">
        <f>_xll.ciqfunctions.udf.CIQ("KOSE:A009540", "IQ_VOLUME", "8/8/2016")</f>
        <v>0.53464</v>
      </c>
      <c r="GT103" s="1956">
        <f>_xll.ciqfunctions.udf.CIQ("KOSE:A009540", "IQ_VOLUME", "8/5/2016")</f>
        <v>0.54659999999999997</v>
      </c>
      <c r="GU103" s="1956">
        <f>_xll.ciqfunctions.udf.CIQ("KOSE:A009540", "IQ_VOLUME", "8/4/2016")</f>
        <v>0.25451000000000001</v>
      </c>
      <c r="GV103" s="1956">
        <f>_xll.ciqfunctions.udf.CIQ("KOSE:A009540", "IQ_VOLUME", "8/3/2016")</f>
        <v>0.26979999999999998</v>
      </c>
      <c r="GW103" s="1956">
        <f>_xll.ciqfunctions.udf.CIQ("KOSE:A009540", "IQ_VOLUME", "8/2/2016")</f>
        <v>0.23683000000000001</v>
      </c>
      <c r="GX103" s="1956">
        <f>_xll.ciqfunctions.udf.CIQ("KOSE:A009540", "IQ_VOLUME", "8/1/2016")</f>
        <v>0.34517999999999999</v>
      </c>
      <c r="GY103" s="1956">
        <f>_xll.ciqfunctions.udf.CIQ("KOSE:A009540", "IQ_VOLUME", "7/29/2016")</f>
        <v>0.48737999999999998</v>
      </c>
      <c r="GZ103" s="1956">
        <f>_xll.ciqfunctions.udf.CIQ("KOSE:A009540", "IQ_VOLUME", "7/28/2016")</f>
        <v>1.23533</v>
      </c>
      <c r="HA103" s="1956">
        <f>_xll.ciqfunctions.udf.CIQ("KOSE:A009540", "IQ_VOLUME", "7/27/2016")</f>
        <v>0.53288999999999997</v>
      </c>
      <c r="HB103" s="1956">
        <f>_xll.ciqfunctions.udf.CIQ("KOSE:A009540", "IQ_VOLUME", "7/26/2016")</f>
        <v>0.15531</v>
      </c>
      <c r="HC103" s="1956">
        <f>_xll.ciqfunctions.udf.CIQ("KOSE:A009540", "IQ_VOLUME", "7/25/2016")</f>
        <v>0.13181000000000001</v>
      </c>
      <c r="HD103" s="1956">
        <f>_xll.ciqfunctions.udf.CIQ("KOSE:A009540", "IQ_VOLUME", "7/22/2016")</f>
        <v>0.21432999999999999</v>
      </c>
      <c r="HE103" s="1956">
        <f>_xll.ciqfunctions.udf.CIQ("KOSE:A009540", "IQ_VOLUME", "7/21/2016")</f>
        <v>8.4849999999999995E-2</v>
      </c>
      <c r="HF103" s="1956">
        <f>_xll.ciqfunctions.udf.CIQ("KOSE:A009540", "IQ_VOLUME", "7/20/2016")</f>
        <v>0.12214</v>
      </c>
      <c r="HG103" s="1956">
        <f>_xll.ciqfunctions.udf.CIQ("KOSE:A009540", "IQ_VOLUME", "7/19/2016")</f>
        <v>0.13038</v>
      </c>
      <c r="HH103" s="1956">
        <f>_xll.ciqfunctions.udf.CIQ("KOSE:A009540", "IQ_VOLUME", "7/18/2016")</f>
        <v>0.14577999999999999</v>
      </c>
      <c r="HI103" s="1956">
        <f>_xll.ciqfunctions.udf.CIQ("KOSE:A009540", "IQ_VOLUME", "7/15/2016")</f>
        <v>0.29480000000000001</v>
      </c>
      <c r="HJ103" s="1956">
        <f>_xll.ciqfunctions.udf.CIQ("KOSE:A009540", "IQ_VOLUME", "7/14/2016")</f>
        <v>0.14308999999999999</v>
      </c>
      <c r="HK103" s="1956">
        <f>_xll.ciqfunctions.udf.CIQ("KOSE:A009540", "IQ_VOLUME", "7/13/2016")</f>
        <v>0.25003999999999998</v>
      </c>
      <c r="HL103" s="1956">
        <f>_xll.ciqfunctions.udf.CIQ("KOSE:A009540", "IQ_VOLUME", "7/12/2016")</f>
        <v>0.30769000000000002</v>
      </c>
      <c r="HM103" s="1956">
        <f>_xll.ciqfunctions.udf.CIQ("KOSE:A009540", "IQ_VOLUME", "7/11/2016")</f>
        <v>0.16075</v>
      </c>
      <c r="HN103" s="1956">
        <f>_xll.ciqfunctions.udf.CIQ("KOSE:A009540", "IQ_VOLUME", "7/8/2016")</f>
        <v>0.13872999999999999</v>
      </c>
      <c r="HO103" s="1956">
        <f>_xll.ciqfunctions.udf.CIQ("KOSE:A009540", "IQ_VOLUME", "7/7/2016")</f>
        <v>0.16486000000000001</v>
      </c>
      <c r="HP103" s="1956">
        <f>_xll.ciqfunctions.udf.CIQ("KOSE:A009540", "IQ_VOLUME", "7/6/2016")</f>
        <v>0.28772999999999999</v>
      </c>
      <c r="HQ103" s="1956">
        <f>_xll.ciqfunctions.udf.CIQ("KOSE:A009540", "IQ_VOLUME", "7/5/2016")</f>
        <v>0.18178</v>
      </c>
      <c r="HR103" s="1956">
        <f>_xll.ciqfunctions.udf.CIQ("KOSE:A009540", "IQ_VOLUME", "7/4/2016")</f>
        <v>0.15031</v>
      </c>
      <c r="HS103" s="1956">
        <f>_xll.ciqfunctions.udf.CIQ("KOSE:A009540", "IQ_VOLUME", "7/1/2016")</f>
        <v>0.12619</v>
      </c>
      <c r="HT103" s="1956">
        <f>_xll.ciqfunctions.udf.CIQ("KOSE:A009540", "IQ_VOLUME", "6/30/2016")</f>
        <v>0.17857000000000001</v>
      </c>
      <c r="HU103" s="1956">
        <f>_xll.ciqfunctions.udf.CIQ("KOSE:A009540", "IQ_VOLUME", "6/29/2016")</f>
        <v>0.16136</v>
      </c>
      <c r="HV103" s="1956">
        <f>_xll.ciqfunctions.udf.CIQ("KOSE:A009540", "IQ_VOLUME", "6/28/2016")</f>
        <v>0.20150000000000001</v>
      </c>
      <c r="HW103" s="1956">
        <f>_xll.ciqfunctions.udf.CIQ("KOSE:A009540", "IQ_VOLUME", "6/27/2016")</f>
        <v>0.32794000000000001</v>
      </c>
      <c r="HX103" s="1956">
        <f>_xll.ciqfunctions.udf.CIQ("KOSE:A009540", "IQ_VOLUME", "6/24/2016")</f>
        <v>0.68355999999999995</v>
      </c>
      <c r="HY103" s="1956">
        <f>_xll.ciqfunctions.udf.CIQ("KOSE:A009540", "IQ_VOLUME", "6/23/2016")</f>
        <v>0.16514000000000001</v>
      </c>
      <c r="HZ103" s="1956">
        <f>_xll.ciqfunctions.udf.CIQ("KOSE:A009540", "IQ_VOLUME", "6/22/2016")</f>
        <v>0.23793</v>
      </c>
      <c r="IA103" s="1956">
        <f>_xll.ciqfunctions.udf.CIQ("KOSE:A009540", "IQ_VOLUME", "6/21/2016")</f>
        <v>0.11468</v>
      </c>
      <c r="IB103" s="1956">
        <f>_xll.ciqfunctions.udf.CIQ("KOSE:A009540", "IQ_VOLUME", "6/20/2016")</f>
        <v>0.16259999999999999</v>
      </c>
      <c r="IC103" s="1956">
        <f>_xll.ciqfunctions.udf.CIQ("KOSE:A009540", "IQ_VOLUME", "6/17/2016")</f>
        <v>0.25512000000000001</v>
      </c>
      <c r="ID103" s="1956">
        <f>_xll.ciqfunctions.udf.CIQ("KOSE:A009540", "IQ_VOLUME", "6/16/2016")</f>
        <v>0.20412</v>
      </c>
      <c r="IE103" s="1956">
        <f>_xll.ciqfunctions.udf.CIQ("KOSE:A009540", "IQ_VOLUME", "6/15/2016")</f>
        <v>0.20377999999999999</v>
      </c>
      <c r="IF103" s="1956">
        <f>_xll.ciqfunctions.udf.CIQ("KOSE:A009540", "IQ_VOLUME", "6/14/2016")</f>
        <v>0.33632000000000001</v>
      </c>
      <c r="IG103" s="1956">
        <f>_xll.ciqfunctions.udf.CIQ("KOSE:A009540", "IQ_VOLUME", "6/13/2016")</f>
        <v>0.19449</v>
      </c>
      <c r="IH103" s="1956">
        <f>_xll.ciqfunctions.udf.CIQ("KOSE:A009540", "IQ_VOLUME", "6/10/2016")</f>
        <v>0.18276999999999999</v>
      </c>
      <c r="II103" s="1956">
        <f>_xll.ciqfunctions.udf.CIQ("KOSE:A009540", "IQ_VOLUME", "6/9/2016")</f>
        <v>0.30697000000000002</v>
      </c>
      <c r="IJ103" s="1956">
        <f>_xll.ciqfunctions.udf.CIQ("KOSE:A009540", "IQ_VOLUME", "6/8/2016")</f>
        <v>0.30002000000000001</v>
      </c>
      <c r="IK103" s="1956">
        <f>_xll.ciqfunctions.udf.CIQ("KOSE:A009540", "IQ_VOLUME", "6/7/2016")</f>
        <v>0.28140999999999999</v>
      </c>
      <c r="IL103" s="1956">
        <f>_xll.ciqfunctions.udf.CIQ("KOSE:A009540", "IQ_VOLUME", "6/3/2016")</f>
        <v>0.31807999999999997</v>
      </c>
      <c r="IM103" s="1956">
        <f>_xll.ciqfunctions.udf.CIQ("KOSE:A009540", "IQ_VOLUME", "6/2/2016")</f>
        <v>0.19872000000000001</v>
      </c>
      <c r="IN103" s="1956">
        <f>_xll.ciqfunctions.udf.CIQ("KOSE:A009540", "IQ_VOLUME", "6/1/2016")</f>
        <v>0.18973999999999999</v>
      </c>
      <c r="IO103" s="1956">
        <f>_xll.ciqfunctions.udf.CIQ("KOSE:A009540", "IQ_VOLUME", "5/31/2016")</f>
        <v>0.36325000000000002</v>
      </c>
      <c r="IP103" s="1956">
        <f>_xll.ciqfunctions.udf.CIQ("KOSE:A009540", "IQ_VOLUME", "5/30/2016")</f>
        <v>0.12467</v>
      </c>
      <c r="IQ103" s="1956">
        <f>_xll.ciqfunctions.udf.CIQ("KOSE:A009540", "IQ_VOLUME", "5/27/2016")</f>
        <v>0.24138000000000001</v>
      </c>
      <c r="IR103" s="1956">
        <f>_xll.ciqfunctions.udf.CIQ("KOSE:A009540", "IQ_VOLUME", "5/26/2016")</f>
        <v>0.28338000000000002</v>
      </c>
      <c r="IS103" s="1956">
        <f>_xll.ciqfunctions.udf.CIQ("KOSE:A009540", "IQ_VOLUME", "5/25/2016")</f>
        <v>0.21365999999999999</v>
      </c>
      <c r="IT103" s="1956">
        <f>_xll.ciqfunctions.udf.CIQ("KOSE:A009540", "IQ_VOLUME", "5/24/2016")</f>
        <v>0.12139</v>
      </c>
      <c r="IU103" s="1956">
        <f>_xll.ciqfunctions.udf.CIQ("KOSE:A009540", "IQ_VOLUME", "5/23/2016")</f>
        <v>0.13858000000000001</v>
      </c>
      <c r="IV103" s="1956">
        <f>_xll.ciqfunctions.udf.CIQ("KOSE:A009540", "IQ_VOLUME", "5/20/2016")</f>
        <v>0.14238000000000001</v>
      </c>
      <c r="IW103" s="1956">
        <f>_xll.ciqfunctions.udf.CIQ("KOSE:A009540", "IQ_VOLUME", "5/19/2016")</f>
        <v>0.12551999999999999</v>
      </c>
      <c r="IX103" s="1956">
        <f>_xll.ciqfunctions.udf.CIQ("KOSE:A009540", "IQ_VOLUME", "5/18/2016")</f>
        <v>0.15099000000000001</v>
      </c>
      <c r="IY103" s="1956">
        <f>_xll.ciqfunctions.udf.CIQ("KOSE:A009540", "IQ_VOLUME", "5/17/2016")</f>
        <v>0.21193000000000001</v>
      </c>
      <c r="IZ103" s="1956">
        <f>_xll.ciqfunctions.udf.CIQ("KOSE:A009540", "IQ_VOLUME", "5/16/2016")</f>
        <v>0.16209000000000001</v>
      </c>
      <c r="JA103" s="1956">
        <f>_xll.ciqfunctions.udf.CIQ("KOSE:A009540", "IQ_VOLUME", "5/13/2016")</f>
        <v>0.10653</v>
      </c>
      <c r="JB103" s="1956">
        <f>_xll.ciqfunctions.udf.CIQ("KOSE:A009540", "IQ_VOLUME", "5/12/2016")</f>
        <v>0.24590999999999999</v>
      </c>
      <c r="JC103" s="1956">
        <f>_xll.ciqfunctions.udf.CIQ("KOSE:A009540", "IQ_VOLUME", "5/11/2016")</f>
        <v>0.17533000000000001</v>
      </c>
      <c r="JD103" s="1956">
        <f>_xll.ciqfunctions.udf.CIQ("KOSE:A009540", "IQ_VOLUME", "5/10/2016")</f>
        <v>0.20094000000000001</v>
      </c>
      <c r="JE103" s="1956">
        <f>_xll.ciqfunctions.udf.CIQ("KOSE:A009540", "IQ_VOLUME", "5/9/2016")</f>
        <v>0.23325000000000001</v>
      </c>
      <c r="JF103" s="1956">
        <f>_xll.ciqfunctions.udf.CIQ("KOSE:A009540", "IQ_VOLUME", "5/4/2016")</f>
        <v>0.34388999999999997</v>
      </c>
      <c r="JG103" s="1956">
        <f>_xll.ciqfunctions.udf.CIQ("KOSE:A009540", "IQ_VOLUME", "5/3/2016")</f>
        <v>0.15432999999999999</v>
      </c>
      <c r="JH103" s="1956">
        <f>_xll.ciqfunctions.udf.CIQ("KOSE:A009540", "IQ_VOLUME", "5/2/2016")</f>
        <v>0.20548</v>
      </c>
      <c r="JI103" s="1956">
        <f>_xll.ciqfunctions.udf.CIQ("KOSE:A009540", "IQ_VOLUME", "4/29/2016")</f>
        <v>0.27507999999999999</v>
      </c>
      <c r="JJ103" s="1956">
        <f>_xll.ciqfunctions.udf.CIQ("KOSE:A009540", "IQ_VOLUME", "4/28/2016")</f>
        <v>0.23102</v>
      </c>
      <c r="JK103" s="1956">
        <f>_xll.ciqfunctions.udf.CIQ("KOSE:A009540", "IQ_VOLUME", "4/27/2016")</f>
        <v>0.2515</v>
      </c>
      <c r="JL103" s="1956">
        <f>_xll.ciqfunctions.udf.CIQ("KOSE:A009540", "IQ_VOLUME", "4/26/2016")</f>
        <v>0.60862000000000005</v>
      </c>
      <c r="JM103" s="1956">
        <f>_xll.ciqfunctions.udf.CIQ("KOSE:A009540", "IQ_VOLUME", "4/25/2016")</f>
        <v>0.37736999999999998</v>
      </c>
      <c r="JN103" s="1956">
        <f>_xll.ciqfunctions.udf.CIQ("KOSE:A009540", "IQ_VOLUME", "4/22/2016")</f>
        <v>0.14978</v>
      </c>
      <c r="JO103" s="1956">
        <f>_xll.ciqfunctions.udf.CIQ("KOSE:A009540", "IQ_VOLUME", "4/21/2016")</f>
        <v>0.2359</v>
      </c>
      <c r="JP103" s="1956">
        <f>_xll.ciqfunctions.udf.CIQ("KOSE:A009540", "IQ_VOLUME", "4/20/2016")</f>
        <v>0.17810000000000001</v>
      </c>
      <c r="JQ103" s="1956">
        <f>_xll.ciqfunctions.udf.CIQ("KOSE:A009540", "IQ_VOLUME", "4/19/2016")</f>
        <v>0.19020999999999999</v>
      </c>
      <c r="JR103" s="1956">
        <f>_xll.ciqfunctions.udf.CIQ("KOSE:A009540", "IQ_VOLUME", "4/18/2016")</f>
        <v>0.27717999999999998</v>
      </c>
      <c r="JS103" s="1956">
        <f>_xll.ciqfunctions.udf.CIQ("KOSE:A009540", "IQ_VOLUME", "4/15/2016")</f>
        <v>0.28350999999999998</v>
      </c>
      <c r="JT103" s="1956">
        <f>_xll.ciqfunctions.udf.CIQ("KOSE:A009540", "IQ_VOLUME", "4/14/2016")</f>
        <v>0.50824999999999998</v>
      </c>
      <c r="JU103" s="1956">
        <f>_xll.ciqfunctions.udf.CIQ("KOSE:A009540", "IQ_VOLUME", "4/12/2016")</f>
        <v>0.52902000000000005</v>
      </c>
      <c r="JV103" s="1956">
        <f>_xll.ciqfunctions.udf.CIQ("KOSE:A009540", "IQ_VOLUME", "4/11/2016")</f>
        <v>0.23987</v>
      </c>
      <c r="JW103" s="1956">
        <f>_xll.ciqfunctions.udf.CIQ("KOSE:A009540", "IQ_VOLUME", "4/8/2016")</f>
        <v>0.33082</v>
      </c>
      <c r="JX103" s="1956">
        <f>_xll.ciqfunctions.udf.CIQ("KOSE:A009540", "IQ_VOLUME", "4/7/2016")</f>
        <v>0.28175</v>
      </c>
      <c r="JY103" s="1956">
        <f>_xll.ciqfunctions.udf.CIQ("KOSE:A009540", "IQ_VOLUME", "4/6/2016")</f>
        <v>0.23995</v>
      </c>
      <c r="JZ103" s="1956">
        <f>_xll.ciqfunctions.udf.CIQ("KOSE:A009540", "IQ_VOLUME", "4/5/2016")</f>
        <v>0.19625000000000001</v>
      </c>
      <c r="KA103" s="1956">
        <f>_xll.ciqfunctions.udf.CIQ("KOSE:A009540", "IQ_VOLUME", "4/4/2016")</f>
        <v>0.20549999999999999</v>
      </c>
      <c r="KB103" s="1956">
        <f>_xll.ciqfunctions.udf.CIQ("KOSE:A009540", "IQ_VOLUME", "4/1/2016")</f>
        <v>0.16267000000000001</v>
      </c>
      <c r="KC103" s="1956">
        <f>_xll.ciqfunctions.udf.CIQ("KOSE:A009540", "IQ_VOLUME", "3/31/2016")</f>
        <v>0.17988000000000001</v>
      </c>
      <c r="KD103" s="1956">
        <f>_xll.ciqfunctions.udf.CIQ("KOSE:A009540", "IQ_VOLUME", "3/30/2016")</f>
        <v>0.15640999999999999</v>
      </c>
      <c r="KE103" s="1956">
        <f>_xll.ciqfunctions.udf.CIQ("KOSE:A009540", "IQ_VOLUME", "3/29/2016")</f>
        <v>0.17496999999999999</v>
      </c>
      <c r="KF103" s="1956">
        <f>_xll.ciqfunctions.udf.CIQ("KOSE:A009540", "IQ_VOLUME", "3/28/2016")</f>
        <v>0.10958</v>
      </c>
      <c r="KG103" s="1956">
        <f>_xll.ciqfunctions.udf.CIQ("KOSE:A009540", "IQ_VOLUME", "3/25/2016")</f>
        <v>0.23895</v>
      </c>
      <c r="KH103" s="1956">
        <f>_xll.ciqfunctions.udf.CIQ("KOSE:A009540", "IQ_VOLUME", "3/24/2016")</f>
        <v>0.23357</v>
      </c>
      <c r="KI103" s="1956">
        <f>_xll.ciqfunctions.udf.CIQ("KOSE:A009540", "IQ_VOLUME", "3/23/2016")</f>
        <v>0.19930999999999999</v>
      </c>
      <c r="KJ103" s="1956">
        <f>_xll.ciqfunctions.udf.CIQ("KOSE:A009540", "IQ_VOLUME", "3/22/2016")</f>
        <v>0.23394999999999999</v>
      </c>
      <c r="KK103" s="1956">
        <f>_xll.ciqfunctions.udf.CIQ("KOSE:A009540", "IQ_VOLUME", "3/21/2016")</f>
        <v>0.36835000000000001</v>
      </c>
      <c r="KL103" s="1956">
        <f>_xll.ciqfunctions.udf.CIQ("KOSE:A009540", "IQ_VOLUME", "3/18/2016")</f>
        <v>0.35410999999999998</v>
      </c>
      <c r="KM103" s="1956">
        <f>_xll.ciqfunctions.udf.CIQ("KOSE:A009540", "IQ_VOLUME", "3/17/2016")</f>
        <v>0.41000999999999999</v>
      </c>
      <c r="KN103" s="1956">
        <f>_xll.ciqfunctions.udf.CIQ("KOSE:A009540", "IQ_VOLUME", "3/16/2016")</f>
        <v>0.66203000000000001</v>
      </c>
      <c r="KO103" s="1956">
        <f>_xll.ciqfunctions.udf.CIQ("KOSE:A009540", "IQ_VOLUME", "3/15/2016")</f>
        <v>0.22597</v>
      </c>
      <c r="KP103" s="1956">
        <f>_xll.ciqfunctions.udf.CIQ("KOSE:A009540", "IQ_VOLUME", "3/14/2016")</f>
        <v>0.23582</v>
      </c>
      <c r="KQ103" s="1956">
        <f>_xll.ciqfunctions.udf.CIQ("KOSE:A009540", "IQ_VOLUME", "3/11/2016")</f>
        <v>0.27012999999999998</v>
      </c>
      <c r="KR103" s="1956">
        <f>_xll.ciqfunctions.udf.CIQ("KOSE:A009540", "IQ_VOLUME", "3/10/2016")</f>
        <v>0.31035000000000001</v>
      </c>
      <c r="KS103" s="1956">
        <f>_xll.ciqfunctions.udf.CIQ("KOSE:A009540", "IQ_VOLUME", "3/9/2016")</f>
        <v>0.44683</v>
      </c>
      <c r="KT103" s="1956"/>
      <c r="KU103" s="1956"/>
      <c r="KV103" s="1956"/>
    </row>
    <row r="104" spans="1:308" s="89" customFormat="1" ht="13.9">
      <c r="A104" s="269" t="str">
        <f t="shared" si="23"/>
        <v>n</v>
      </c>
      <c r="B104" s="2060"/>
      <c r="C104" s="72"/>
      <c r="D104" s="801"/>
      <c r="E104" s="1505">
        <v>5</v>
      </c>
      <c r="F104" s="30" t="str">
        <f>'DATA GPC'!$E24</f>
        <v>--</v>
      </c>
      <c r="G104" s="2112">
        <f>IF('WACC and TIC Inputs'!$D133="X",0,IF('DATA GPC'!$G24="",0,'DATA GPC'!$G24))</f>
        <v>0</v>
      </c>
      <c r="H104" s="281">
        <f>--('DATA GPC'!K59="Y")</f>
        <v>0</v>
      </c>
      <c r="I104" s="2294"/>
      <c r="J104" s="2293">
        <v>995</v>
      </c>
      <c r="K104" s="2293">
        <v>996</v>
      </c>
      <c r="L104" s="2293">
        <v>997</v>
      </c>
      <c r="M104" s="2293">
        <v>998</v>
      </c>
      <c r="N104" s="2293">
        <v>999</v>
      </c>
      <c r="O104" s="2293">
        <v>1000</v>
      </c>
      <c r="P104" s="2293">
        <v>2000</v>
      </c>
      <c r="Q104" s="633"/>
      <c r="R104" s="2293">
        <f t="shared" si="21"/>
        <v>1996</v>
      </c>
      <c r="T104" s="1598" t="str">
        <f t="shared" si="24"/>
        <v/>
      </c>
      <c r="U104" s="2293">
        <f t="shared" si="22"/>
        <v>1001</v>
      </c>
      <c r="V104" s="2293">
        <f t="shared" si="22"/>
        <v>1002</v>
      </c>
      <c r="W104" s="2293">
        <f t="shared" si="22"/>
        <v>1003</v>
      </c>
      <c r="X104" s="2293">
        <f t="shared" si="22"/>
        <v>1004</v>
      </c>
      <c r="Y104" s="2293">
        <f t="shared" si="22"/>
        <v>1005</v>
      </c>
      <c r="AJ104" s="255"/>
      <c r="AK104" s="255"/>
      <c r="AR104" s="2060"/>
      <c r="AS104" s="98" t="s">
        <v>730</v>
      </c>
      <c r="AT104" s="80" t="s">
        <v>731</v>
      </c>
      <c r="AU104" s="80" t="s">
        <v>162</v>
      </c>
      <c r="AV104" s="80" t="s">
        <v>734</v>
      </c>
      <c r="AW104" s="81" t="s">
        <v>735</v>
      </c>
      <c r="AX104" s="78" t="s">
        <v>49</v>
      </c>
      <c r="AY104" s="78" t="s">
        <v>49</v>
      </c>
      <c r="AZ104" s="78" t="s">
        <v>132</v>
      </c>
      <c r="BA104" s="214"/>
      <c r="BB104" s="214"/>
      <c r="GK104" s="1956" t="str">
        <f>_xll.ciqfunctions.udf.CIQ("NYSE:JOY", "IQ_VOLUME", "8/22/2016")</f>
        <v>(Invalid Identifier)</v>
      </c>
      <c r="GL104" s="1956" t="str">
        <f>_xll.ciqfunctions.udf.CIQ("NYSE:JOY", "IQ_VOLUME", "8/19/2016")</f>
        <v>(Invalid Identifier)</v>
      </c>
      <c r="GM104" s="1956" t="str">
        <f>_xll.ciqfunctions.udf.CIQ("NYSE:JOY", "IQ_VOLUME", "8/18/2016")</f>
        <v>(Invalid Identifier)</v>
      </c>
      <c r="GN104" s="1956" t="str">
        <f>_xll.ciqfunctions.udf.CIQ("NYSE:JOY", "IQ_VOLUME", "8/17/2016")</f>
        <v>(Invalid Identifier)</v>
      </c>
      <c r="GO104" s="1956" t="str">
        <f>_xll.ciqfunctions.udf.CIQ("NYSE:JOY", "IQ_VOLUME", "8/16/2016")</f>
        <v>(Invalid Identifier)</v>
      </c>
      <c r="GP104" s="1956" t="str">
        <f>_xll.ciqfunctions.udf.CIQ("NYSE:JOY", "IQ_VOLUME", "8/15/2016")</f>
        <v>(Invalid Identifier)</v>
      </c>
      <c r="GQ104" s="1956" t="str">
        <f>_xll.ciqfunctions.udf.CIQ("NYSE:JOY", "IQ_VOLUME", "8/12/2016")</f>
        <v>(Invalid Identifier)</v>
      </c>
      <c r="GR104" s="1956" t="str">
        <f>_xll.ciqfunctions.udf.CIQ("NYSE:JOY", "IQ_VOLUME", "8/11/2016")</f>
        <v>(Invalid Identifier)</v>
      </c>
      <c r="GS104" s="1956" t="str">
        <f>_xll.ciqfunctions.udf.CIQ("NYSE:JOY", "IQ_VOLUME", "8/10/2016")</f>
        <v>(Invalid Identifier)</v>
      </c>
      <c r="GT104" s="1956" t="str">
        <f>_xll.ciqfunctions.udf.CIQ("NYSE:JOY", "IQ_VOLUME", "8/9/2016")</f>
        <v>(Invalid Identifier)</v>
      </c>
      <c r="GU104" s="1956" t="str">
        <f>_xll.ciqfunctions.udf.CIQ("NYSE:JOY", "IQ_VOLUME", "8/8/2016")</f>
        <v>(Invalid Identifier)</v>
      </c>
      <c r="GV104" s="1956" t="str">
        <f>_xll.ciqfunctions.udf.CIQ("NYSE:JOY", "IQ_VOLUME", "8/5/2016")</f>
        <v>(Invalid Identifier)</v>
      </c>
      <c r="GW104" s="1956" t="str">
        <f>_xll.ciqfunctions.udf.CIQ("NYSE:JOY", "IQ_VOLUME", "8/4/2016")</f>
        <v>(Invalid Identifier)</v>
      </c>
      <c r="GX104" s="1956" t="str">
        <f>_xll.ciqfunctions.udf.CIQ("NYSE:JOY", "IQ_VOLUME", "8/3/2016")</f>
        <v>(Invalid Identifier)</v>
      </c>
      <c r="GY104" s="1956" t="str">
        <f>_xll.ciqfunctions.udf.CIQ("NYSE:JOY", "IQ_VOLUME", "8/2/2016")</f>
        <v>(Invalid Identifier)</v>
      </c>
      <c r="GZ104" s="1956" t="str">
        <f>_xll.ciqfunctions.udf.CIQ("NYSE:JOY", "IQ_VOLUME", "8/1/2016")</f>
        <v>(Invalid Identifier)</v>
      </c>
      <c r="HA104" s="1956" t="str">
        <f>_xll.ciqfunctions.udf.CIQ("NYSE:JOY", "IQ_VOLUME", "7/29/2016")</f>
        <v>(Invalid Identifier)</v>
      </c>
      <c r="HB104" s="1956" t="str">
        <f>_xll.ciqfunctions.udf.CIQ("NYSE:JOY", "IQ_VOLUME", "7/28/2016")</f>
        <v>(Invalid Identifier)</v>
      </c>
      <c r="HC104" s="1956" t="str">
        <f>_xll.ciqfunctions.udf.CIQ("NYSE:JOY", "IQ_VOLUME", "7/27/2016")</f>
        <v>(Invalid Identifier)</v>
      </c>
      <c r="HD104" s="1956" t="str">
        <f>_xll.ciqfunctions.udf.CIQ("NYSE:JOY", "IQ_VOLUME", "7/26/2016")</f>
        <v>(Invalid Identifier)</v>
      </c>
      <c r="HE104" s="1956" t="str">
        <f>_xll.ciqfunctions.udf.CIQ("NYSE:JOY", "IQ_VOLUME", "7/25/2016")</f>
        <v>(Invalid Identifier)</v>
      </c>
      <c r="HF104" s="1956" t="str">
        <f>_xll.ciqfunctions.udf.CIQ("NYSE:JOY", "IQ_VOLUME", "7/22/2016")</f>
        <v>(Invalid Identifier)</v>
      </c>
      <c r="HG104" s="1956" t="str">
        <f>_xll.ciqfunctions.udf.CIQ("NYSE:JOY", "IQ_VOLUME", "7/21/2016")</f>
        <v>(Invalid Identifier)</v>
      </c>
      <c r="HH104" s="1956" t="str">
        <f>_xll.ciqfunctions.udf.CIQ("NYSE:JOY", "IQ_VOLUME", "7/20/2016")</f>
        <v>(Invalid Identifier)</v>
      </c>
      <c r="HI104" s="1956" t="str">
        <f>_xll.ciqfunctions.udf.CIQ("NYSE:JOY", "IQ_VOLUME", "7/19/2016")</f>
        <v>(Invalid Identifier)</v>
      </c>
      <c r="HJ104" s="1956" t="str">
        <f>_xll.ciqfunctions.udf.CIQ("NYSE:JOY", "IQ_VOLUME", "7/18/2016")</f>
        <v>(Invalid Identifier)</v>
      </c>
      <c r="HK104" s="1956" t="str">
        <f>_xll.ciqfunctions.udf.CIQ("NYSE:JOY", "IQ_VOLUME", "7/15/2016")</f>
        <v>(Invalid Identifier)</v>
      </c>
      <c r="HL104" s="1956" t="str">
        <f>_xll.ciqfunctions.udf.CIQ("NYSE:JOY", "IQ_VOLUME", "7/14/2016")</f>
        <v>(Invalid Identifier)</v>
      </c>
      <c r="HM104" s="1956" t="str">
        <f>_xll.ciqfunctions.udf.CIQ("NYSE:JOY", "IQ_VOLUME", "7/13/2016")</f>
        <v>(Invalid Identifier)</v>
      </c>
      <c r="HN104" s="1956" t="str">
        <f>_xll.ciqfunctions.udf.CIQ("NYSE:JOY", "IQ_VOLUME", "7/12/2016")</f>
        <v>(Invalid Identifier)</v>
      </c>
      <c r="HO104" s="1956" t="str">
        <f>_xll.ciqfunctions.udf.CIQ("NYSE:JOY", "IQ_VOLUME", "7/11/2016")</f>
        <v>(Invalid Identifier)</v>
      </c>
      <c r="HP104" s="1956" t="str">
        <f>_xll.ciqfunctions.udf.CIQ("NYSE:JOY", "IQ_VOLUME", "7/8/2016")</f>
        <v>(Invalid Identifier)</v>
      </c>
      <c r="HQ104" s="1956" t="str">
        <f>_xll.ciqfunctions.udf.CIQ("NYSE:JOY", "IQ_VOLUME", "7/7/2016")</f>
        <v>(Invalid Identifier)</v>
      </c>
      <c r="HR104" s="1956" t="str">
        <f>_xll.ciqfunctions.udf.CIQ("NYSE:JOY", "IQ_VOLUME", "7/6/2016")</f>
        <v>(Invalid Identifier)</v>
      </c>
      <c r="HS104" s="1956" t="str">
        <f>_xll.ciqfunctions.udf.CIQ("NYSE:JOY", "IQ_VOLUME", "7/5/2016")</f>
        <v>(Invalid Identifier)</v>
      </c>
      <c r="HT104" s="1956" t="str">
        <f>_xll.ciqfunctions.udf.CIQ("NYSE:JOY", "IQ_VOLUME", "7/1/2016")</f>
        <v>(Invalid Identifier)</v>
      </c>
      <c r="HU104" s="1956" t="str">
        <f>_xll.ciqfunctions.udf.CIQ("NYSE:JOY", "IQ_VOLUME", "6/30/2016")</f>
        <v>(Invalid Identifier)</v>
      </c>
      <c r="HV104" s="1956" t="str">
        <f>_xll.ciqfunctions.udf.CIQ("NYSE:JOY", "IQ_VOLUME", "6/29/2016")</f>
        <v>(Invalid Identifier)</v>
      </c>
      <c r="HW104" s="1956" t="str">
        <f>_xll.ciqfunctions.udf.CIQ("NYSE:JOY", "IQ_VOLUME", "6/28/2016")</f>
        <v>(Invalid Identifier)</v>
      </c>
      <c r="HX104" s="1956" t="str">
        <f>_xll.ciqfunctions.udf.CIQ("NYSE:JOY", "IQ_VOLUME", "6/27/2016")</f>
        <v>(Invalid Identifier)</v>
      </c>
      <c r="HY104" s="1956" t="str">
        <f>_xll.ciqfunctions.udf.CIQ("NYSE:JOY", "IQ_VOLUME", "6/24/2016")</f>
        <v>(Invalid Identifier)</v>
      </c>
      <c r="HZ104" s="1956" t="str">
        <f>_xll.ciqfunctions.udf.CIQ("NYSE:JOY", "IQ_VOLUME", "6/23/2016")</f>
        <v>(Invalid Identifier)</v>
      </c>
      <c r="IA104" s="1956" t="str">
        <f>_xll.ciqfunctions.udf.CIQ("NYSE:JOY", "IQ_VOLUME", "6/22/2016")</f>
        <v>(Invalid Identifier)</v>
      </c>
      <c r="IB104" s="1956" t="str">
        <f>_xll.ciqfunctions.udf.CIQ("NYSE:JOY", "IQ_VOLUME", "6/21/2016")</f>
        <v>(Invalid Identifier)</v>
      </c>
      <c r="IC104" s="1956" t="str">
        <f>_xll.ciqfunctions.udf.CIQ("NYSE:JOY", "IQ_VOLUME", "6/20/2016")</f>
        <v>(Invalid Identifier)</v>
      </c>
      <c r="ID104" s="1956" t="str">
        <f>_xll.ciqfunctions.udf.CIQ("NYSE:JOY", "IQ_VOLUME", "6/17/2016")</f>
        <v>(Invalid Identifier)</v>
      </c>
      <c r="IE104" s="1956" t="str">
        <f>_xll.ciqfunctions.udf.CIQ("NYSE:JOY", "IQ_VOLUME", "6/16/2016")</f>
        <v>(Invalid Identifier)</v>
      </c>
      <c r="IF104" s="1956" t="str">
        <f>_xll.ciqfunctions.udf.CIQ("NYSE:JOY", "IQ_VOLUME", "6/15/2016")</f>
        <v>(Invalid Identifier)</v>
      </c>
      <c r="IG104" s="1956" t="str">
        <f>_xll.ciqfunctions.udf.CIQ("NYSE:JOY", "IQ_VOLUME", "6/14/2016")</f>
        <v>(Invalid Identifier)</v>
      </c>
      <c r="IH104" s="1956" t="str">
        <f>_xll.ciqfunctions.udf.CIQ("NYSE:JOY", "IQ_VOLUME", "6/13/2016")</f>
        <v>(Invalid Identifier)</v>
      </c>
      <c r="II104" s="1956" t="str">
        <f>_xll.ciqfunctions.udf.CIQ("NYSE:JOY", "IQ_VOLUME", "6/10/2016")</f>
        <v>(Invalid Identifier)</v>
      </c>
      <c r="IJ104" s="1956" t="str">
        <f>_xll.ciqfunctions.udf.CIQ("NYSE:JOY", "IQ_VOLUME", "6/9/2016")</f>
        <v>(Invalid Identifier)</v>
      </c>
      <c r="IK104" s="1956" t="str">
        <f>_xll.ciqfunctions.udf.CIQ("NYSE:JOY", "IQ_VOLUME", "6/8/2016")</f>
        <v>(Invalid Identifier)</v>
      </c>
      <c r="IL104" s="1956" t="str">
        <f>_xll.ciqfunctions.udf.CIQ("NYSE:JOY", "IQ_VOLUME", "6/7/2016")</f>
        <v>(Invalid Identifier)</v>
      </c>
      <c r="IM104" s="1956" t="str">
        <f>_xll.ciqfunctions.udf.CIQ("NYSE:JOY", "IQ_VOLUME", "6/6/2016")</f>
        <v>(Invalid Identifier)</v>
      </c>
      <c r="IN104" s="1956" t="str">
        <f>_xll.ciqfunctions.udf.CIQ("NYSE:JOY", "IQ_VOLUME", "6/3/2016")</f>
        <v>(Invalid Identifier)</v>
      </c>
      <c r="IO104" s="1956" t="str">
        <f>_xll.ciqfunctions.udf.CIQ("NYSE:JOY", "IQ_VOLUME", "6/2/2016")</f>
        <v>(Invalid Identifier)</v>
      </c>
      <c r="IP104" s="1956" t="str">
        <f>_xll.ciqfunctions.udf.CIQ("NYSE:JOY", "IQ_VOLUME", "6/1/2016")</f>
        <v>(Invalid Identifier)</v>
      </c>
      <c r="IQ104" s="1956" t="str">
        <f>_xll.ciqfunctions.udf.CIQ("NYSE:JOY", "IQ_VOLUME", "5/31/2016")</f>
        <v>(Invalid Identifier)</v>
      </c>
      <c r="IR104" s="1956" t="str">
        <f>_xll.ciqfunctions.udf.CIQ("NYSE:JOY", "IQ_VOLUME", "5/27/2016")</f>
        <v>(Invalid Identifier)</v>
      </c>
      <c r="IS104" s="1956" t="str">
        <f>_xll.ciqfunctions.udf.CIQ("NYSE:JOY", "IQ_VOLUME", "5/26/2016")</f>
        <v>(Invalid Identifier)</v>
      </c>
      <c r="IT104" s="1956" t="str">
        <f>_xll.ciqfunctions.udf.CIQ("NYSE:JOY", "IQ_VOLUME", "5/25/2016")</f>
        <v>(Invalid Identifier)</v>
      </c>
      <c r="IU104" s="1956" t="str">
        <f>_xll.ciqfunctions.udf.CIQ("NYSE:JOY", "IQ_VOLUME", "5/24/2016")</f>
        <v>(Invalid Identifier)</v>
      </c>
      <c r="IV104" s="1956" t="str">
        <f>_xll.ciqfunctions.udf.CIQ("NYSE:JOY", "IQ_VOLUME", "5/23/2016")</f>
        <v>(Invalid Identifier)</v>
      </c>
      <c r="IW104" s="1956" t="str">
        <f>_xll.ciqfunctions.udf.CIQ("NYSE:JOY", "IQ_VOLUME", "5/20/2016")</f>
        <v>(Invalid Identifier)</v>
      </c>
      <c r="IX104" s="1956" t="str">
        <f>_xll.ciqfunctions.udf.CIQ("NYSE:JOY", "IQ_VOLUME", "5/19/2016")</f>
        <v>(Invalid Identifier)</v>
      </c>
      <c r="IY104" s="1956" t="str">
        <f>_xll.ciqfunctions.udf.CIQ("NYSE:JOY", "IQ_VOLUME", "5/18/2016")</f>
        <v>(Invalid Identifier)</v>
      </c>
      <c r="IZ104" s="1956" t="str">
        <f>_xll.ciqfunctions.udf.CIQ("NYSE:JOY", "IQ_VOLUME", "5/17/2016")</f>
        <v>(Invalid Identifier)</v>
      </c>
      <c r="JA104" s="1956" t="str">
        <f>_xll.ciqfunctions.udf.CIQ("NYSE:JOY", "IQ_VOLUME", "5/16/2016")</f>
        <v>(Invalid Identifier)</v>
      </c>
      <c r="JB104" s="1956" t="str">
        <f>_xll.ciqfunctions.udf.CIQ("NYSE:JOY", "IQ_VOLUME", "5/13/2016")</f>
        <v>(Invalid Identifier)</v>
      </c>
      <c r="JC104" s="1956" t="str">
        <f>_xll.ciqfunctions.udf.CIQ("NYSE:JOY", "IQ_VOLUME", "5/12/2016")</f>
        <v>(Invalid Identifier)</v>
      </c>
      <c r="JD104" s="1956" t="str">
        <f>_xll.ciqfunctions.udf.CIQ("NYSE:JOY", "IQ_VOLUME", "5/11/2016")</f>
        <v>(Invalid Identifier)</v>
      </c>
      <c r="JE104" s="1956" t="str">
        <f>_xll.ciqfunctions.udf.CIQ("NYSE:JOY", "IQ_VOLUME", "5/10/2016")</f>
        <v>(Invalid Identifier)</v>
      </c>
      <c r="JF104" s="1956" t="str">
        <f>_xll.ciqfunctions.udf.CIQ("NYSE:JOY", "IQ_VOLUME", "5/9/2016")</f>
        <v>(Invalid Identifier)</v>
      </c>
      <c r="JG104" s="1956" t="str">
        <f>_xll.ciqfunctions.udf.CIQ("NYSE:JOY", "IQ_VOLUME", "5/6/2016")</f>
        <v>(Invalid Identifier)</v>
      </c>
      <c r="JH104" s="1956" t="str">
        <f>_xll.ciqfunctions.udf.CIQ("NYSE:JOY", "IQ_VOLUME", "5/5/2016")</f>
        <v>(Invalid Identifier)</v>
      </c>
      <c r="JI104" s="1956" t="str">
        <f>_xll.ciqfunctions.udf.CIQ("NYSE:JOY", "IQ_VOLUME", "5/4/2016")</f>
        <v>(Invalid Identifier)</v>
      </c>
      <c r="JJ104" s="1956" t="str">
        <f>_xll.ciqfunctions.udf.CIQ("NYSE:JOY", "IQ_VOLUME", "5/3/2016")</f>
        <v>(Invalid Identifier)</v>
      </c>
      <c r="JK104" s="1956" t="str">
        <f>_xll.ciqfunctions.udf.CIQ("NYSE:JOY", "IQ_VOLUME", "5/2/2016")</f>
        <v>(Invalid Identifier)</v>
      </c>
      <c r="JL104" s="1956" t="str">
        <f>_xll.ciqfunctions.udf.CIQ("NYSE:JOY", "IQ_VOLUME", "4/29/2016")</f>
        <v>(Invalid Identifier)</v>
      </c>
      <c r="JM104" s="1956" t="str">
        <f>_xll.ciqfunctions.udf.CIQ("NYSE:JOY", "IQ_VOLUME", "4/28/2016")</f>
        <v>(Invalid Identifier)</v>
      </c>
      <c r="JN104" s="1956" t="str">
        <f>_xll.ciqfunctions.udf.CIQ("NYSE:JOY", "IQ_VOLUME", "4/27/2016")</f>
        <v>(Invalid Identifier)</v>
      </c>
      <c r="JO104" s="1956" t="str">
        <f>_xll.ciqfunctions.udf.CIQ("NYSE:JOY", "IQ_VOLUME", "4/26/2016")</f>
        <v>(Invalid Identifier)</v>
      </c>
      <c r="JP104" s="1956" t="str">
        <f>_xll.ciqfunctions.udf.CIQ("NYSE:JOY", "IQ_VOLUME", "4/25/2016")</f>
        <v>(Invalid Identifier)</v>
      </c>
      <c r="JQ104" s="1956" t="str">
        <f>_xll.ciqfunctions.udf.CIQ("NYSE:JOY", "IQ_VOLUME", "4/22/2016")</f>
        <v>(Invalid Identifier)</v>
      </c>
      <c r="JR104" s="1956" t="str">
        <f>_xll.ciqfunctions.udf.CIQ("NYSE:JOY", "IQ_VOLUME", "4/21/2016")</f>
        <v>(Invalid Identifier)</v>
      </c>
      <c r="JS104" s="1956" t="str">
        <f>_xll.ciqfunctions.udf.CIQ("NYSE:JOY", "IQ_VOLUME", "4/20/2016")</f>
        <v>(Invalid Identifier)</v>
      </c>
      <c r="JT104" s="1956" t="str">
        <f>_xll.ciqfunctions.udf.CIQ("NYSE:JOY", "IQ_VOLUME", "4/19/2016")</f>
        <v>(Invalid Identifier)</v>
      </c>
      <c r="JU104" s="1956" t="str">
        <f>_xll.ciqfunctions.udf.CIQ("NYSE:JOY", "IQ_VOLUME", "4/18/2016")</f>
        <v>(Invalid Identifier)</v>
      </c>
      <c r="JV104" s="1956" t="str">
        <f>_xll.ciqfunctions.udf.CIQ("NYSE:JOY", "IQ_VOLUME", "4/15/2016")</f>
        <v>(Invalid Identifier)</v>
      </c>
      <c r="JW104" s="1956" t="str">
        <f>_xll.ciqfunctions.udf.CIQ("NYSE:JOY", "IQ_VOLUME", "4/14/2016")</f>
        <v>(Invalid Identifier)</v>
      </c>
      <c r="JX104" s="1956" t="str">
        <f>_xll.ciqfunctions.udf.CIQ("NYSE:JOY", "IQ_VOLUME", "4/13/2016")</f>
        <v>(Invalid Identifier)</v>
      </c>
      <c r="JY104" s="1956" t="str">
        <f>_xll.ciqfunctions.udf.CIQ("NYSE:JOY", "IQ_VOLUME", "4/12/2016")</f>
        <v>(Invalid Identifier)</v>
      </c>
      <c r="JZ104" s="1956" t="str">
        <f>_xll.ciqfunctions.udf.CIQ("NYSE:JOY", "IQ_VOLUME", "4/11/2016")</f>
        <v>(Invalid Identifier)</v>
      </c>
      <c r="KA104" s="1956" t="str">
        <f>_xll.ciqfunctions.udf.CIQ("NYSE:JOY", "IQ_VOLUME", "4/8/2016")</f>
        <v>(Invalid Identifier)</v>
      </c>
      <c r="KB104" s="1956" t="str">
        <f>_xll.ciqfunctions.udf.CIQ("NYSE:JOY", "IQ_VOLUME", "4/7/2016")</f>
        <v>(Invalid Identifier)</v>
      </c>
      <c r="KC104" s="1956" t="str">
        <f>_xll.ciqfunctions.udf.CIQ("NYSE:JOY", "IQ_VOLUME", "4/6/2016")</f>
        <v>(Invalid Identifier)</v>
      </c>
      <c r="KD104" s="1956" t="str">
        <f>_xll.ciqfunctions.udf.CIQ("NYSE:JOY", "IQ_VOLUME", "4/5/2016")</f>
        <v>(Invalid Identifier)</v>
      </c>
      <c r="KE104" s="1956" t="str">
        <f>_xll.ciqfunctions.udf.CIQ("NYSE:JOY", "IQ_VOLUME", "4/4/2016")</f>
        <v>(Invalid Identifier)</v>
      </c>
      <c r="KF104" s="1956" t="str">
        <f>_xll.ciqfunctions.udf.CIQ("NYSE:JOY", "IQ_VOLUME", "4/1/2016")</f>
        <v>(Invalid Identifier)</v>
      </c>
      <c r="KG104" s="1956" t="str">
        <f>_xll.ciqfunctions.udf.CIQ("NYSE:JOY", "IQ_VOLUME", "3/31/2016")</f>
        <v>(Invalid Identifier)</v>
      </c>
      <c r="KH104" s="1956" t="str">
        <f>_xll.ciqfunctions.udf.CIQ("NYSE:JOY", "IQ_VOLUME", "3/30/2016")</f>
        <v>(Invalid Identifier)</v>
      </c>
      <c r="KI104" s="1956" t="str">
        <f>_xll.ciqfunctions.udf.CIQ("NYSE:JOY", "IQ_VOLUME", "3/29/2016")</f>
        <v>(Invalid Identifier)</v>
      </c>
      <c r="KJ104" s="1956" t="str">
        <f>_xll.ciqfunctions.udf.CIQ("NYSE:JOY", "IQ_VOLUME", "3/28/2016")</f>
        <v>(Invalid Identifier)</v>
      </c>
      <c r="KK104" s="1956" t="str">
        <f>_xll.ciqfunctions.udf.CIQ("NYSE:JOY", "IQ_VOLUME", "3/24/2016")</f>
        <v>(Invalid Identifier)</v>
      </c>
      <c r="KL104" s="1956" t="str">
        <f>_xll.ciqfunctions.udf.CIQ("NYSE:JOY", "IQ_VOLUME", "3/23/2016")</f>
        <v>(Invalid Identifier)</v>
      </c>
      <c r="KM104" s="1956" t="str">
        <f>_xll.ciqfunctions.udf.CIQ("NYSE:JOY", "IQ_VOLUME", "3/22/2016")</f>
        <v>(Invalid Identifier)</v>
      </c>
      <c r="KN104" s="1956" t="str">
        <f>_xll.ciqfunctions.udf.CIQ("NYSE:JOY", "IQ_VOLUME", "3/21/2016")</f>
        <v>(Invalid Identifier)</v>
      </c>
      <c r="KO104" s="1956" t="str">
        <f>_xll.ciqfunctions.udf.CIQ("NYSE:JOY", "IQ_VOLUME", "3/18/2016")</f>
        <v>(Invalid Identifier)</v>
      </c>
      <c r="KP104" s="1956" t="str">
        <f>_xll.ciqfunctions.udf.CIQ("NYSE:JOY", "IQ_VOLUME", "3/17/2016")</f>
        <v>(Invalid Identifier)</v>
      </c>
      <c r="KQ104" s="1956" t="str">
        <f>_xll.ciqfunctions.udf.CIQ("NYSE:JOY", "IQ_VOLUME", "3/16/2016")</f>
        <v>(Invalid Identifier)</v>
      </c>
      <c r="KR104" s="1956" t="str">
        <f>_xll.ciqfunctions.udf.CIQ("NYSE:JOY", "IQ_VOLUME", "3/15/2016")</f>
        <v>(Invalid Identifier)</v>
      </c>
      <c r="KS104" s="1956" t="str">
        <f>_xll.ciqfunctions.udf.CIQ("NYSE:JOY", "IQ_VOLUME", "3/14/2016")</f>
        <v>(Invalid Identifier)</v>
      </c>
      <c r="KT104" s="1956" t="str">
        <f>_xll.ciqfunctions.udf.CIQ("NYSE:JOY", "IQ_VOLUME", "3/11/2016")</f>
        <v>(Invalid Identifier)</v>
      </c>
      <c r="KU104" s="1956" t="str">
        <f>_xll.ciqfunctions.udf.CIQ("NYSE:JOY", "IQ_VOLUME", "3/10/2016")</f>
        <v>(Invalid Identifier)</v>
      </c>
      <c r="KV104" s="1956" t="str">
        <f>_xll.ciqfunctions.udf.CIQ("NYSE:JOY", "IQ_VOLUME", "3/9/2016")</f>
        <v>(Invalid Identifier)</v>
      </c>
    </row>
    <row r="105" spans="1:308" s="89" customFormat="1" ht="13.9">
      <c r="A105" s="269" t="str">
        <f t="shared" si="23"/>
        <v>n</v>
      </c>
      <c r="B105" s="2060"/>
      <c r="C105" s="72"/>
      <c r="D105" s="801"/>
      <c r="E105" s="1505">
        <v>6</v>
      </c>
      <c r="F105" s="30" t="str">
        <f>'DATA GPC'!$E25</f>
        <v>--</v>
      </c>
      <c r="G105" s="2112">
        <f>IF('WACC and TIC Inputs'!$D134="X",0,IF('DATA GPC'!$G25="",0,'DATA GPC'!$G25))</f>
        <v>0</v>
      </c>
      <c r="H105" s="281">
        <f>--('DATA GPC'!K60="Y")</f>
        <v>0</v>
      </c>
      <c r="I105" s="2294"/>
      <c r="J105" s="2293">
        <v>995</v>
      </c>
      <c r="K105" s="2293">
        <v>996</v>
      </c>
      <c r="L105" s="2293">
        <v>997</v>
      </c>
      <c r="M105" s="2293">
        <v>998</v>
      </c>
      <c r="N105" s="2293">
        <v>999</v>
      </c>
      <c r="O105" s="2293">
        <v>1000</v>
      </c>
      <c r="P105" s="2293">
        <v>2000</v>
      </c>
      <c r="Q105" s="633"/>
      <c r="R105" s="2293">
        <f t="shared" si="21"/>
        <v>1996</v>
      </c>
      <c r="T105" s="1598" t="str">
        <f t="shared" si="24"/>
        <v/>
      </c>
      <c r="U105" s="2293">
        <f t="shared" si="22"/>
        <v>1001</v>
      </c>
      <c r="V105" s="2293">
        <f t="shared" si="22"/>
        <v>1002</v>
      </c>
      <c r="W105" s="2293">
        <f t="shared" si="22"/>
        <v>1003</v>
      </c>
      <c r="X105" s="2293">
        <f t="shared" si="22"/>
        <v>1004</v>
      </c>
      <c r="Y105" s="2293">
        <f t="shared" si="22"/>
        <v>1005</v>
      </c>
      <c r="AR105" s="2060"/>
      <c r="AS105" s="98" t="s">
        <v>736</v>
      </c>
      <c r="AT105" s="80" t="s">
        <v>737</v>
      </c>
      <c r="AU105" s="80" t="s">
        <v>162</v>
      </c>
      <c r="AV105" s="80" t="s">
        <v>738</v>
      </c>
      <c r="AW105" s="81" t="s">
        <v>739</v>
      </c>
      <c r="AX105" s="78" t="s">
        <v>504</v>
      </c>
      <c r="AY105" s="78" t="s">
        <v>504</v>
      </c>
      <c r="AZ105" s="210" t="s">
        <v>503</v>
      </c>
      <c r="BA105" s="214"/>
      <c r="BB105" s="214"/>
      <c r="GK105" s="1956">
        <f>_xll.ciqfunctions.udf.CIQ("NYSE:MTW", "IQ_VOLUME", "8/22/2016")</f>
        <v>0.51758999999999999</v>
      </c>
      <c r="GL105" s="1956">
        <f>_xll.ciqfunctions.udf.CIQ("NYSE:MTW", "IQ_VOLUME", "8/19/2016")</f>
        <v>0.93337999999999999</v>
      </c>
      <c r="GM105" s="1956">
        <f>_xll.ciqfunctions.udf.CIQ("NYSE:MTW", "IQ_VOLUME", "8/18/2016")</f>
        <v>0.83111999999999997</v>
      </c>
      <c r="GN105" s="1956">
        <f>_xll.ciqfunctions.udf.CIQ("NYSE:MTW", "IQ_VOLUME", "8/17/2016")</f>
        <v>0.7802</v>
      </c>
      <c r="GO105" s="1956">
        <f>_xll.ciqfunctions.udf.CIQ("NYSE:MTW", "IQ_VOLUME", "8/16/2016")</f>
        <v>0.85546999999999995</v>
      </c>
      <c r="GP105" s="1956">
        <f>_xll.ciqfunctions.udf.CIQ("NYSE:MTW", "IQ_VOLUME", "8/15/2016")</f>
        <v>0.46705000000000002</v>
      </c>
      <c r="GQ105" s="1956">
        <f>_xll.ciqfunctions.udf.CIQ("NYSE:MTW", "IQ_VOLUME", "8/12/2016")</f>
        <v>0.77056999999999998</v>
      </c>
      <c r="GR105" s="1956">
        <f>_xll.ciqfunctions.udf.CIQ("NYSE:MTW", "IQ_VOLUME", "8/11/2016")</f>
        <v>0.64207999999999998</v>
      </c>
      <c r="GS105" s="1956">
        <f>_xll.ciqfunctions.udf.CIQ("NYSE:MTW", "IQ_VOLUME", "8/10/2016")</f>
        <v>1.2904199999999999</v>
      </c>
      <c r="GT105" s="1956">
        <f>_xll.ciqfunctions.udf.CIQ("NYSE:MTW", "IQ_VOLUME", "8/9/2016")</f>
        <v>4.0883599999999998</v>
      </c>
      <c r="GU105" s="1956">
        <f>_xll.ciqfunctions.udf.CIQ("NYSE:MTW", "IQ_VOLUME", "8/8/2016")</f>
        <v>0.86695999999999995</v>
      </c>
      <c r="GV105" s="1956">
        <f>_xll.ciqfunctions.udf.CIQ("NYSE:MTW", "IQ_VOLUME", "8/5/2016")</f>
        <v>0.42271999999999998</v>
      </c>
      <c r="GW105" s="1956">
        <f>_xll.ciqfunctions.udf.CIQ("NYSE:MTW", "IQ_VOLUME", "8/4/2016")</f>
        <v>0.28355999999999998</v>
      </c>
      <c r="GX105" s="1956">
        <f>_xll.ciqfunctions.udf.CIQ("NYSE:MTW", "IQ_VOLUME", "8/3/2016")</f>
        <v>0.61697999999999997</v>
      </c>
      <c r="GY105" s="1956">
        <f>_xll.ciqfunctions.udf.CIQ("NYSE:MTW", "IQ_VOLUME", "8/2/2016")</f>
        <v>0.43393999999999999</v>
      </c>
      <c r="GZ105" s="1956">
        <f>_xll.ciqfunctions.udf.CIQ("NYSE:MTW", "IQ_VOLUME", "8/1/2016")</f>
        <v>0.32440000000000002</v>
      </c>
      <c r="HA105" s="1956">
        <f>_xll.ciqfunctions.udf.CIQ("NYSE:MTW", "IQ_VOLUME", "7/29/2016")</f>
        <v>0.94847000000000004</v>
      </c>
      <c r="HB105" s="1956">
        <f>_xll.ciqfunctions.udf.CIQ("NYSE:MTW", "IQ_VOLUME", "7/28/2016")</f>
        <v>0.78259999999999996</v>
      </c>
      <c r="HC105" s="1956">
        <f>_xll.ciqfunctions.udf.CIQ("NYSE:MTW", "IQ_VOLUME", "7/27/2016")</f>
        <v>0.62268000000000001</v>
      </c>
      <c r="HD105" s="1956">
        <f>_xll.ciqfunctions.udf.CIQ("NYSE:MTW", "IQ_VOLUME", "7/26/2016")</f>
        <v>0.41496</v>
      </c>
      <c r="HE105" s="1956">
        <f>_xll.ciqfunctions.udf.CIQ("NYSE:MTW", "IQ_VOLUME", "7/25/2016")</f>
        <v>0.52166999999999997</v>
      </c>
      <c r="HF105" s="1956">
        <f>_xll.ciqfunctions.udf.CIQ("NYSE:MTW", "IQ_VOLUME", "7/22/2016")</f>
        <v>0.60258</v>
      </c>
      <c r="HG105" s="1956">
        <f>_xll.ciqfunctions.udf.CIQ("NYSE:MTW", "IQ_VOLUME", "7/21/2016")</f>
        <v>0.59787999999999997</v>
      </c>
      <c r="HH105" s="1956">
        <f>_xll.ciqfunctions.udf.CIQ("NYSE:MTW", "IQ_VOLUME", "7/20/2016")</f>
        <v>0.54381999999999997</v>
      </c>
      <c r="HI105" s="1956">
        <f>_xll.ciqfunctions.udf.CIQ("NYSE:MTW", "IQ_VOLUME", "7/19/2016")</f>
        <v>0.52339000000000002</v>
      </c>
      <c r="HJ105" s="1956">
        <f>_xll.ciqfunctions.udf.CIQ("NYSE:MTW", "IQ_VOLUME", "7/18/2016")</f>
        <v>0.40167999999999998</v>
      </c>
      <c r="HK105" s="1956">
        <f>_xll.ciqfunctions.udf.CIQ("NYSE:MTW", "IQ_VOLUME", "7/15/2016")</f>
        <v>0.32129999999999997</v>
      </c>
      <c r="HL105" s="1956">
        <f>_xll.ciqfunctions.udf.CIQ("NYSE:MTW", "IQ_VOLUME", "7/14/2016")</f>
        <v>0.43536000000000002</v>
      </c>
      <c r="HM105" s="1956">
        <f>_xll.ciqfunctions.udf.CIQ("NYSE:MTW", "IQ_VOLUME", "7/13/2016")</f>
        <v>0.38063999999999998</v>
      </c>
      <c r="HN105" s="1956">
        <f>_xll.ciqfunctions.udf.CIQ("NYSE:MTW", "IQ_VOLUME", "7/12/2016")</f>
        <v>0.54373000000000005</v>
      </c>
      <c r="HO105" s="1956">
        <f>_xll.ciqfunctions.udf.CIQ("NYSE:MTW", "IQ_VOLUME", "7/11/2016")</f>
        <v>0.47005999999999998</v>
      </c>
      <c r="HP105" s="1956">
        <f>_xll.ciqfunctions.udf.CIQ("NYSE:MTW", "IQ_VOLUME", "7/8/2016")</f>
        <v>0.73882999999999999</v>
      </c>
      <c r="HQ105" s="1956">
        <f>_xll.ciqfunctions.udf.CIQ("NYSE:MTW", "IQ_VOLUME", "7/7/2016")</f>
        <v>0.74834999999999996</v>
      </c>
      <c r="HR105" s="1956">
        <f>_xll.ciqfunctions.udf.CIQ("NYSE:MTW", "IQ_VOLUME", "7/6/2016")</f>
        <v>1.24939</v>
      </c>
      <c r="HS105" s="1956">
        <f>_xll.ciqfunctions.udf.CIQ("NYSE:MTW", "IQ_VOLUME", "7/5/2016")</f>
        <v>1.3891</v>
      </c>
      <c r="HT105" s="1956">
        <f>_xll.ciqfunctions.udf.CIQ("NYSE:MTW", "IQ_VOLUME", "7/1/2016")</f>
        <v>1.3358699999999999</v>
      </c>
      <c r="HU105" s="1956">
        <f>_xll.ciqfunctions.udf.CIQ("NYSE:MTW", "IQ_VOLUME", "6/30/2016")</f>
        <v>1.3090599999999999</v>
      </c>
      <c r="HV105" s="1956">
        <f>_xll.ciqfunctions.udf.CIQ("NYSE:MTW", "IQ_VOLUME", "6/29/2016")</f>
        <v>0.93352999999999997</v>
      </c>
      <c r="HW105" s="1956">
        <f>_xll.ciqfunctions.udf.CIQ("NYSE:MTW", "IQ_VOLUME", "6/28/2016")</f>
        <v>0.82221</v>
      </c>
      <c r="HX105" s="1956">
        <f>_xll.ciqfunctions.udf.CIQ("NYSE:MTW", "IQ_VOLUME", "6/27/2016")</f>
        <v>0.90629000000000004</v>
      </c>
      <c r="HY105" s="1956">
        <f>_xll.ciqfunctions.udf.CIQ("NYSE:MTW", "IQ_VOLUME", "6/24/2016")</f>
        <v>3.4230499999999999</v>
      </c>
      <c r="HZ105" s="1956">
        <f>_xll.ciqfunctions.udf.CIQ("NYSE:MTW", "IQ_VOLUME", "6/23/2016")</f>
        <v>0.70274000000000003</v>
      </c>
      <c r="IA105" s="1956">
        <f>_xll.ciqfunctions.udf.CIQ("NYSE:MTW", "IQ_VOLUME", "6/22/2016")</f>
        <v>0.50292999999999999</v>
      </c>
      <c r="IB105" s="1956">
        <f>_xll.ciqfunctions.udf.CIQ("NYSE:MTW", "IQ_VOLUME", "6/21/2016")</f>
        <v>0.52625999999999995</v>
      </c>
      <c r="IC105" s="1956">
        <f>_xll.ciqfunctions.udf.CIQ("NYSE:MTW", "IQ_VOLUME", "6/20/2016")</f>
        <v>0.78205999999999998</v>
      </c>
      <c r="ID105" s="1956">
        <f>_xll.ciqfunctions.udf.CIQ("NYSE:MTW", "IQ_VOLUME", "6/17/2016")</f>
        <v>0.54259999999999997</v>
      </c>
      <c r="IE105" s="1956">
        <f>_xll.ciqfunctions.udf.CIQ("NYSE:MTW", "IQ_VOLUME", "6/16/2016")</f>
        <v>0.27263999999999999</v>
      </c>
      <c r="IF105" s="1956">
        <f>_xll.ciqfunctions.udf.CIQ("NYSE:MTW", "IQ_VOLUME", "6/15/2016")</f>
        <v>0.40736</v>
      </c>
      <c r="IG105" s="1956">
        <f>_xll.ciqfunctions.udf.CIQ("NYSE:MTW", "IQ_VOLUME", "6/14/2016")</f>
        <v>0.35160000000000002</v>
      </c>
      <c r="IH105" s="1956">
        <f>_xll.ciqfunctions.udf.CIQ("NYSE:MTW", "IQ_VOLUME", "6/13/2016")</f>
        <v>0.67339000000000004</v>
      </c>
      <c r="II105" s="1956">
        <f>_xll.ciqfunctions.udf.CIQ("NYSE:MTW", "IQ_VOLUME", "6/10/2016")</f>
        <v>0.52649000000000001</v>
      </c>
      <c r="IJ105" s="1956">
        <f>_xll.ciqfunctions.udf.CIQ("NYSE:MTW", "IQ_VOLUME", "6/9/2016")</f>
        <v>1.5270300000000001</v>
      </c>
      <c r="IK105" s="1956">
        <f>_xll.ciqfunctions.udf.CIQ("NYSE:MTW", "IQ_VOLUME", "6/8/2016")</f>
        <v>0.68762999999999996</v>
      </c>
      <c r="IL105" s="1956">
        <f>_xll.ciqfunctions.udf.CIQ("NYSE:MTW", "IQ_VOLUME", "6/7/2016")</f>
        <v>0.36745</v>
      </c>
      <c r="IM105" s="1956">
        <f>_xll.ciqfunctions.udf.CIQ("NYSE:MTW", "IQ_VOLUME", "6/6/2016")</f>
        <v>0.77693000000000001</v>
      </c>
      <c r="IN105" s="1956">
        <f>_xll.ciqfunctions.udf.CIQ("NYSE:MTW", "IQ_VOLUME", "6/3/2016")</f>
        <v>0.48964000000000002</v>
      </c>
      <c r="IO105" s="1956">
        <f>_xll.ciqfunctions.udf.CIQ("NYSE:MTW", "IQ_VOLUME", "6/2/2016")</f>
        <v>0.84662999999999999</v>
      </c>
      <c r="IP105" s="1956">
        <f>_xll.ciqfunctions.udf.CIQ("NYSE:MTW", "IQ_VOLUME", "6/1/2016")</f>
        <v>1.1185400000000001</v>
      </c>
      <c r="IQ105" s="1956">
        <f>_xll.ciqfunctions.udf.CIQ("NYSE:MTW", "IQ_VOLUME", "5/31/2016")</f>
        <v>0.82818999999999998</v>
      </c>
      <c r="IR105" s="1956">
        <f>_xll.ciqfunctions.udf.CIQ("NYSE:MTW", "IQ_VOLUME", "5/27/2016")</f>
        <v>0.58084000000000002</v>
      </c>
      <c r="IS105" s="1956">
        <f>_xll.ciqfunctions.udf.CIQ("NYSE:MTW", "IQ_VOLUME", "5/26/2016")</f>
        <v>0.44272</v>
      </c>
      <c r="IT105" s="1956">
        <f>_xll.ciqfunctions.udf.CIQ("NYSE:MTW", "IQ_VOLUME", "5/25/2016")</f>
        <v>0.51268999999999998</v>
      </c>
      <c r="IU105" s="1956">
        <f>_xll.ciqfunctions.udf.CIQ("NYSE:MTW", "IQ_VOLUME", "5/24/2016")</f>
        <v>0.77461000000000002</v>
      </c>
      <c r="IV105" s="1956">
        <f>_xll.ciqfunctions.udf.CIQ("NYSE:MTW", "IQ_VOLUME", "5/23/2016")</f>
        <v>1.28417</v>
      </c>
      <c r="IW105" s="1956">
        <f>_xll.ciqfunctions.udf.CIQ("NYSE:MTW", "IQ_VOLUME", "5/20/2016")</f>
        <v>1.1509199999999999</v>
      </c>
      <c r="IX105" s="1956">
        <f>_xll.ciqfunctions.udf.CIQ("NYSE:MTW", "IQ_VOLUME", "5/19/2016")</f>
        <v>0.91368000000000005</v>
      </c>
      <c r="IY105" s="1956">
        <f>_xll.ciqfunctions.udf.CIQ("NYSE:MTW", "IQ_VOLUME", "5/18/2016")</f>
        <v>0.58665</v>
      </c>
      <c r="IZ105" s="1956">
        <f>_xll.ciqfunctions.udf.CIQ("NYSE:MTW", "IQ_VOLUME", "5/17/2016")</f>
        <v>0.77320999999999995</v>
      </c>
      <c r="JA105" s="1956">
        <f>_xll.ciqfunctions.udf.CIQ("NYSE:MTW", "IQ_VOLUME", "5/16/2016")</f>
        <v>0.84694999999999998</v>
      </c>
      <c r="JB105" s="1956">
        <f>_xll.ciqfunctions.udf.CIQ("NYSE:MTW", "IQ_VOLUME", "5/13/2016")</f>
        <v>0.70620000000000005</v>
      </c>
      <c r="JC105" s="1956">
        <f>_xll.ciqfunctions.udf.CIQ("NYSE:MTW", "IQ_VOLUME", "5/12/2016")</f>
        <v>0.72450000000000003</v>
      </c>
      <c r="JD105" s="1956">
        <f>_xll.ciqfunctions.udf.CIQ("NYSE:MTW", "IQ_VOLUME", "5/11/2016")</f>
        <v>0.58643999999999996</v>
      </c>
      <c r="JE105" s="1956">
        <f>_xll.ciqfunctions.udf.CIQ("NYSE:MTW", "IQ_VOLUME", "5/10/2016")</f>
        <v>0.87407999999999997</v>
      </c>
      <c r="JF105" s="1956">
        <f>_xll.ciqfunctions.udf.CIQ("NYSE:MTW", "IQ_VOLUME", "5/9/2016")</f>
        <v>1.4340999999999999</v>
      </c>
      <c r="JG105" s="1956">
        <f>_xll.ciqfunctions.udf.CIQ("NYSE:MTW", "IQ_VOLUME", "5/6/2016")</f>
        <v>1.06009</v>
      </c>
      <c r="JH105" s="1956">
        <f>_xll.ciqfunctions.udf.CIQ("NYSE:MTW", "IQ_VOLUME", "5/5/2016")</f>
        <v>1.8379099999999999</v>
      </c>
      <c r="JI105" s="1956">
        <f>_xll.ciqfunctions.udf.CIQ("NYSE:MTW", "IQ_VOLUME", "5/4/2016")</f>
        <v>1.0384899999999999</v>
      </c>
      <c r="JJ105" s="1956">
        <f>_xll.ciqfunctions.udf.CIQ("NYSE:MTW", "IQ_VOLUME", "5/3/2016")</f>
        <v>0.66868000000000005</v>
      </c>
      <c r="JK105" s="1956">
        <f>_xll.ciqfunctions.udf.CIQ("NYSE:MTW", "IQ_VOLUME", "5/2/2016")</f>
        <v>0.77334999999999998</v>
      </c>
      <c r="JL105" s="1956">
        <f>_xll.ciqfunctions.udf.CIQ("NYSE:MTW", "IQ_VOLUME", "4/29/2016")</f>
        <v>1.4810000000000001</v>
      </c>
      <c r="JM105" s="1956">
        <f>_xll.ciqfunctions.udf.CIQ("NYSE:MTW", "IQ_VOLUME", "4/28/2016")</f>
        <v>1.1191899999999999</v>
      </c>
      <c r="JN105" s="1956">
        <f>_xll.ciqfunctions.udf.CIQ("NYSE:MTW", "IQ_VOLUME", "4/27/2016")</f>
        <v>1.3866700000000001</v>
      </c>
      <c r="JO105" s="1956">
        <f>_xll.ciqfunctions.udf.CIQ("NYSE:MTW", "IQ_VOLUME", "4/26/2016")</f>
        <v>2.2240099999999998</v>
      </c>
      <c r="JP105" s="1956">
        <f>_xll.ciqfunctions.udf.CIQ("NYSE:MTW", "IQ_VOLUME", "4/25/2016")</f>
        <v>0.43225000000000002</v>
      </c>
      <c r="JQ105" s="1956">
        <f>_xll.ciqfunctions.udf.CIQ("NYSE:MTW", "IQ_VOLUME", "4/22/2016")</f>
        <v>0.42529</v>
      </c>
      <c r="JR105" s="1956">
        <f>_xll.ciqfunctions.udf.CIQ("NYSE:MTW", "IQ_VOLUME", "4/21/2016")</f>
        <v>0.52912999999999999</v>
      </c>
      <c r="JS105" s="1956">
        <f>_xll.ciqfunctions.udf.CIQ("NYSE:MTW", "IQ_VOLUME", "4/20/2016")</f>
        <v>1.08771</v>
      </c>
      <c r="JT105" s="1956">
        <f>_xll.ciqfunctions.udf.CIQ("NYSE:MTW", "IQ_VOLUME", "4/19/2016")</f>
        <v>0.55772999999999995</v>
      </c>
      <c r="JU105" s="1956">
        <f>_xll.ciqfunctions.udf.CIQ("NYSE:MTW", "IQ_VOLUME", "4/18/2016")</f>
        <v>0.43961</v>
      </c>
      <c r="JV105" s="1956">
        <f>_xll.ciqfunctions.udf.CIQ("NYSE:MTW", "IQ_VOLUME", "4/15/2016")</f>
        <v>0.48669000000000001</v>
      </c>
      <c r="JW105" s="1956">
        <f>_xll.ciqfunctions.udf.CIQ("NYSE:MTW", "IQ_VOLUME", "4/14/2016")</f>
        <v>0.40262999999999999</v>
      </c>
      <c r="JX105" s="1956">
        <f>_xll.ciqfunctions.udf.CIQ("NYSE:MTW", "IQ_VOLUME", "4/13/2016")</f>
        <v>0.57333999999999996</v>
      </c>
      <c r="JY105" s="1956">
        <f>_xll.ciqfunctions.udf.CIQ("NYSE:MTW", "IQ_VOLUME", "4/12/2016")</f>
        <v>0.37295</v>
      </c>
      <c r="JZ105" s="1956">
        <f>_xll.ciqfunctions.udf.CIQ("NYSE:MTW", "IQ_VOLUME", "4/11/2016")</f>
        <v>0.40317999999999998</v>
      </c>
      <c r="KA105" s="1956">
        <f>_xll.ciqfunctions.udf.CIQ("NYSE:MTW", "IQ_VOLUME", "4/8/2016")</f>
        <v>0.3261</v>
      </c>
      <c r="KB105" s="1956">
        <f>_xll.ciqfunctions.udf.CIQ("NYSE:MTW", "IQ_VOLUME", "4/7/2016")</f>
        <v>1.1011599999999999</v>
      </c>
      <c r="KC105" s="1956">
        <f>_xll.ciqfunctions.udf.CIQ("NYSE:MTW", "IQ_VOLUME", "4/6/2016")</f>
        <v>0.56201000000000001</v>
      </c>
      <c r="KD105" s="1956">
        <f>_xll.ciqfunctions.udf.CIQ("NYSE:MTW", "IQ_VOLUME", "4/5/2016")</f>
        <v>0.87417</v>
      </c>
      <c r="KE105" s="1956">
        <f>_xll.ciqfunctions.udf.CIQ("NYSE:MTW", "IQ_VOLUME", "4/4/2016")</f>
        <v>0.73479000000000005</v>
      </c>
      <c r="KF105" s="1956">
        <f>_xll.ciqfunctions.udf.CIQ("NYSE:MTW", "IQ_VOLUME", "4/1/2016")</f>
        <v>0.69318999999999997</v>
      </c>
      <c r="KG105" s="1956">
        <f>_xll.ciqfunctions.udf.CIQ("NYSE:MTW", "IQ_VOLUME", "3/31/2016")</f>
        <v>0.71260000000000001</v>
      </c>
      <c r="KH105" s="1956">
        <f>_xll.ciqfunctions.udf.CIQ("NYSE:MTW", "IQ_VOLUME", "3/30/2016")</f>
        <v>0.59079999999999999</v>
      </c>
      <c r="KI105" s="1956">
        <f>_xll.ciqfunctions.udf.CIQ("NYSE:MTW", "IQ_VOLUME", "3/29/2016")</f>
        <v>0.66408999999999996</v>
      </c>
      <c r="KJ105" s="1956">
        <f>_xll.ciqfunctions.udf.CIQ("NYSE:MTW", "IQ_VOLUME", "3/28/2016")</f>
        <v>0.46545999999999998</v>
      </c>
      <c r="KK105" s="1956">
        <f>_xll.ciqfunctions.udf.CIQ("NYSE:MTW", "IQ_VOLUME", "3/24/2016")</f>
        <v>0.59875999999999996</v>
      </c>
      <c r="KL105" s="1956">
        <f>_xll.ciqfunctions.udf.CIQ("NYSE:MTW", "IQ_VOLUME", "3/23/2016")</f>
        <v>0.56606000000000001</v>
      </c>
      <c r="KM105" s="1956">
        <f>_xll.ciqfunctions.udf.CIQ("NYSE:MTW", "IQ_VOLUME", "3/22/2016")</f>
        <v>0.68042000000000002</v>
      </c>
      <c r="KN105" s="1956">
        <f>_xll.ciqfunctions.udf.CIQ("NYSE:MTW", "IQ_VOLUME", "3/21/2016")</f>
        <v>0.85592999999999997</v>
      </c>
      <c r="KO105" s="1956">
        <f>_xll.ciqfunctions.udf.CIQ("NYSE:MTW", "IQ_VOLUME", "3/18/2016")</f>
        <v>0.99322999999999995</v>
      </c>
      <c r="KP105" s="1956">
        <f>_xll.ciqfunctions.udf.CIQ("NYSE:MTW", "IQ_VOLUME", "3/17/2016")</f>
        <v>1.01589</v>
      </c>
      <c r="KQ105" s="1956">
        <f>_xll.ciqfunctions.udf.CIQ("NYSE:MTW", "IQ_VOLUME", "3/16/2016")</f>
        <v>1.7795700000000001</v>
      </c>
      <c r="KR105" s="1956">
        <f>_xll.ciqfunctions.udf.CIQ("NYSE:MTW", "IQ_VOLUME", "3/15/2016")</f>
        <v>1.5685199999999999</v>
      </c>
      <c r="KS105" s="1956">
        <f>_xll.ciqfunctions.udf.CIQ("NYSE:MTW", "IQ_VOLUME", "3/14/2016")</f>
        <v>0.78215000000000001</v>
      </c>
      <c r="KT105" s="1956">
        <f>_xll.ciqfunctions.udf.CIQ("NYSE:MTW", "IQ_VOLUME", "3/11/2016")</f>
        <v>1.1171199999999999</v>
      </c>
      <c r="KU105" s="1956">
        <f>_xll.ciqfunctions.udf.CIQ("NYSE:MTW", "IQ_VOLUME", "3/10/2016")</f>
        <v>1.1392899999999999</v>
      </c>
      <c r="KV105" s="1956">
        <f>_xll.ciqfunctions.udf.CIQ("NYSE:MTW", "IQ_VOLUME", "3/9/2016")</f>
        <v>1.2383500000000001</v>
      </c>
    </row>
    <row r="106" spans="1:308" s="89" customFormat="1" ht="13.9">
      <c r="A106" s="269" t="str">
        <f t="shared" si="23"/>
        <v>n</v>
      </c>
      <c r="B106" s="2060"/>
      <c r="D106" s="801"/>
      <c r="E106" s="1505">
        <v>7</v>
      </c>
      <c r="F106" s="30" t="str">
        <f>'DATA GPC'!$E26</f>
        <v>--</v>
      </c>
      <c r="G106" s="2112">
        <f>IF('WACC and TIC Inputs'!$D135="X",0,IF('DATA GPC'!$G26="",0,'DATA GPC'!$G26))</f>
        <v>0</v>
      </c>
      <c r="H106" s="281">
        <f>--('DATA GPC'!K61="Y")</f>
        <v>0</v>
      </c>
      <c r="I106" s="2294"/>
      <c r="J106" s="2293">
        <v>995</v>
      </c>
      <c r="K106" s="2293">
        <v>996</v>
      </c>
      <c r="L106" s="2293">
        <v>997</v>
      </c>
      <c r="M106" s="2293">
        <v>998</v>
      </c>
      <c r="N106" s="2293">
        <v>999</v>
      </c>
      <c r="O106" s="2293">
        <v>1000</v>
      </c>
      <c r="P106" s="2293">
        <v>2000</v>
      </c>
      <c r="Q106" s="633"/>
      <c r="R106" s="2293">
        <f t="shared" si="21"/>
        <v>1996</v>
      </c>
      <c r="T106" s="1598" t="str">
        <f t="shared" si="24"/>
        <v/>
      </c>
      <c r="U106" s="2293">
        <f t="shared" si="22"/>
        <v>1001</v>
      </c>
      <c r="V106" s="2293">
        <f t="shared" si="22"/>
        <v>1002</v>
      </c>
      <c r="W106" s="2293">
        <f t="shared" si="22"/>
        <v>1003</v>
      </c>
      <c r="X106" s="2293">
        <f t="shared" si="22"/>
        <v>1004</v>
      </c>
      <c r="Y106" s="2293">
        <f t="shared" si="22"/>
        <v>1005</v>
      </c>
      <c r="AH106" s="255"/>
      <c r="AR106" s="2060"/>
      <c r="AS106" s="98" t="s">
        <v>736</v>
      </c>
      <c r="AT106" s="80" t="s">
        <v>737</v>
      </c>
      <c r="AU106" s="80" t="s">
        <v>162</v>
      </c>
      <c r="AV106" s="80" t="s">
        <v>740</v>
      </c>
      <c r="AW106" s="81" t="s">
        <v>741</v>
      </c>
      <c r="AX106" s="78" t="s">
        <v>504</v>
      </c>
      <c r="AY106" s="78" t="s">
        <v>504</v>
      </c>
      <c r="AZ106" s="210" t="s">
        <v>503</v>
      </c>
      <c r="BA106" s="214"/>
      <c r="BB106" s="214"/>
      <c r="GK106" s="1956">
        <f>_xll.ciqfunctions.udf.CIQ("NYSE:NAV", "IQ_VOLUME", "8/22/2016")</f>
        <v>0.86019999999999996</v>
      </c>
      <c r="GL106" s="1956">
        <f>_xll.ciqfunctions.udf.CIQ("NYSE:NAV", "IQ_VOLUME", "8/19/2016")</f>
        <v>0.92942999999999998</v>
      </c>
      <c r="GM106" s="1956">
        <f>_xll.ciqfunctions.udf.CIQ("NYSE:NAV", "IQ_VOLUME", "8/18/2016")</f>
        <v>0.87877000000000005</v>
      </c>
      <c r="GN106" s="1956">
        <f>_xll.ciqfunctions.udf.CIQ("NYSE:NAV", "IQ_VOLUME", "8/17/2016")</f>
        <v>0.77166999999999997</v>
      </c>
      <c r="GO106" s="1956">
        <f>_xll.ciqfunctions.udf.CIQ("NYSE:NAV", "IQ_VOLUME", "8/16/2016")</f>
        <v>0.80732999999999999</v>
      </c>
      <c r="GP106" s="1956">
        <f>_xll.ciqfunctions.udf.CIQ("NYSE:NAV", "IQ_VOLUME", "8/15/2016")</f>
        <v>1.0277400000000001</v>
      </c>
      <c r="GQ106" s="1956">
        <f>_xll.ciqfunctions.udf.CIQ("NYSE:NAV", "IQ_VOLUME", "8/12/2016")</f>
        <v>0.93669000000000002</v>
      </c>
      <c r="GR106" s="1956">
        <f>_xll.ciqfunctions.udf.CIQ("NYSE:NAV", "IQ_VOLUME", "8/11/2016")</f>
        <v>1.2311000000000001</v>
      </c>
      <c r="GS106" s="1956">
        <f>_xll.ciqfunctions.udf.CIQ("NYSE:NAV", "IQ_VOLUME", "8/10/2016")</f>
        <v>0.68035000000000001</v>
      </c>
      <c r="GT106" s="1956">
        <f>_xll.ciqfunctions.udf.CIQ("NYSE:NAV", "IQ_VOLUME", "8/9/2016")</f>
        <v>0.45333000000000001</v>
      </c>
      <c r="GU106" s="1956">
        <f>_xll.ciqfunctions.udf.CIQ("NYSE:NAV", "IQ_VOLUME", "8/8/2016")</f>
        <v>0.49708000000000002</v>
      </c>
      <c r="GV106" s="1956">
        <f>_xll.ciqfunctions.udf.CIQ("NYSE:NAV", "IQ_VOLUME", "8/5/2016")</f>
        <v>0.99378</v>
      </c>
      <c r="GW106" s="1956">
        <f>_xll.ciqfunctions.udf.CIQ("NYSE:NAV", "IQ_VOLUME", "8/4/2016")</f>
        <v>0.57189000000000001</v>
      </c>
      <c r="GX106" s="1956">
        <f>_xll.ciqfunctions.udf.CIQ("NYSE:NAV", "IQ_VOLUME", "8/3/2016")</f>
        <v>1.4265300000000001</v>
      </c>
      <c r="GY106" s="1956">
        <f>_xll.ciqfunctions.udf.CIQ("NYSE:NAV", "IQ_VOLUME", "8/2/2016")</f>
        <v>1.6503000000000001</v>
      </c>
      <c r="GZ106" s="1956">
        <f>_xll.ciqfunctions.udf.CIQ("NYSE:NAV", "IQ_VOLUME", "8/1/2016")</f>
        <v>0.69404999999999994</v>
      </c>
      <c r="HA106" s="1956">
        <f>_xll.ciqfunctions.udf.CIQ("NYSE:NAV", "IQ_VOLUME", "7/29/2016")</f>
        <v>1.3640000000000001</v>
      </c>
      <c r="HB106" s="1956">
        <f>_xll.ciqfunctions.udf.CIQ("NYSE:NAV", "IQ_VOLUME", "7/28/2016")</f>
        <v>0.63192999999999999</v>
      </c>
      <c r="HC106" s="1956">
        <f>_xll.ciqfunctions.udf.CIQ("NYSE:NAV", "IQ_VOLUME", "7/27/2016")</f>
        <v>0.90873999999999999</v>
      </c>
      <c r="HD106" s="1956">
        <f>_xll.ciqfunctions.udf.CIQ("NYSE:NAV", "IQ_VOLUME", "7/26/2016")</f>
        <v>0.92852000000000001</v>
      </c>
      <c r="HE106" s="1956">
        <f>_xll.ciqfunctions.udf.CIQ("NYSE:NAV", "IQ_VOLUME", "7/25/2016")</f>
        <v>0.50780999999999998</v>
      </c>
      <c r="HF106" s="1956">
        <f>_xll.ciqfunctions.udf.CIQ("NYSE:NAV", "IQ_VOLUME", "7/22/2016")</f>
        <v>0.46650999999999998</v>
      </c>
      <c r="HG106" s="1956">
        <f>_xll.ciqfunctions.udf.CIQ("NYSE:NAV", "IQ_VOLUME", "7/21/2016")</f>
        <v>0.69330000000000003</v>
      </c>
      <c r="HH106" s="1956">
        <f>_xll.ciqfunctions.udf.CIQ("NYSE:NAV", "IQ_VOLUME", "7/20/2016")</f>
        <v>1.04298</v>
      </c>
      <c r="HI106" s="1956">
        <f>_xll.ciqfunctions.udf.CIQ("NYSE:NAV", "IQ_VOLUME", "7/19/2016")</f>
        <v>0.79542999999999997</v>
      </c>
      <c r="HJ106" s="1956">
        <f>_xll.ciqfunctions.udf.CIQ("NYSE:NAV", "IQ_VOLUME", "7/18/2016")</f>
        <v>0.59341999999999995</v>
      </c>
      <c r="HK106" s="1956">
        <f>_xll.ciqfunctions.udf.CIQ("NYSE:NAV", "IQ_VOLUME", "7/15/2016")</f>
        <v>1.32487</v>
      </c>
      <c r="HL106" s="1956">
        <f>_xll.ciqfunctions.udf.CIQ("NYSE:NAV", "IQ_VOLUME", "7/14/2016")</f>
        <v>0.86307</v>
      </c>
      <c r="HM106" s="1956">
        <f>_xll.ciqfunctions.udf.CIQ("NYSE:NAV", "IQ_VOLUME", "7/13/2016")</f>
        <v>0.91718</v>
      </c>
      <c r="HN106" s="1956">
        <f>_xll.ciqfunctions.udf.CIQ("NYSE:NAV", "IQ_VOLUME", "7/12/2016")</f>
        <v>1.6235200000000001</v>
      </c>
      <c r="HO106" s="1956">
        <f>_xll.ciqfunctions.udf.CIQ("NYSE:NAV", "IQ_VOLUME", "7/11/2016")</f>
        <v>1.16273</v>
      </c>
      <c r="HP106" s="1956">
        <f>_xll.ciqfunctions.udf.CIQ("NYSE:NAV", "IQ_VOLUME", "7/8/2016")</f>
        <v>1.48055</v>
      </c>
      <c r="HQ106" s="1956">
        <f>_xll.ciqfunctions.udf.CIQ("NYSE:NAV", "IQ_VOLUME", "7/7/2016")</f>
        <v>0.88392000000000004</v>
      </c>
      <c r="HR106" s="1956">
        <f>_xll.ciqfunctions.udf.CIQ("NYSE:NAV", "IQ_VOLUME", "7/6/2016")</f>
        <v>1.1373500000000001</v>
      </c>
      <c r="HS106" s="1956">
        <f>_xll.ciqfunctions.udf.CIQ("NYSE:NAV", "IQ_VOLUME", "7/5/2016")</f>
        <v>1.15615</v>
      </c>
      <c r="HT106" s="1956">
        <f>_xll.ciqfunctions.udf.CIQ("NYSE:NAV", "IQ_VOLUME", "7/1/2016")</f>
        <v>0.98363</v>
      </c>
      <c r="HU106" s="1956">
        <f>_xll.ciqfunctions.udf.CIQ("NYSE:NAV", "IQ_VOLUME", "6/30/2016")</f>
        <v>1.07192</v>
      </c>
      <c r="HV106" s="1956">
        <f>_xll.ciqfunctions.udf.CIQ("NYSE:NAV", "IQ_VOLUME", "6/29/2016")</f>
        <v>1.16896</v>
      </c>
      <c r="HW106" s="1956">
        <f>_xll.ciqfunctions.udf.CIQ("NYSE:NAV", "IQ_VOLUME", "6/28/2016")</f>
        <v>1.8041</v>
      </c>
      <c r="HX106" s="1956">
        <f>_xll.ciqfunctions.udf.CIQ("NYSE:NAV", "IQ_VOLUME", "6/27/2016")</f>
        <v>1.6502300000000001</v>
      </c>
      <c r="HY106" s="1956">
        <f>_xll.ciqfunctions.udf.CIQ("NYSE:NAV", "IQ_VOLUME", "6/24/2016")</f>
        <v>1.6919999999999999</v>
      </c>
      <c r="HZ106" s="1956">
        <f>_xll.ciqfunctions.udf.CIQ("NYSE:NAV", "IQ_VOLUME", "6/23/2016")</f>
        <v>0.94584999999999997</v>
      </c>
      <c r="IA106" s="1956">
        <f>_xll.ciqfunctions.udf.CIQ("NYSE:NAV", "IQ_VOLUME", "6/22/2016")</f>
        <v>0.56894</v>
      </c>
      <c r="IB106" s="1956">
        <f>_xll.ciqfunctions.udf.CIQ("NYSE:NAV", "IQ_VOLUME", "6/21/2016")</f>
        <v>0.84906000000000004</v>
      </c>
      <c r="IC106" s="1956">
        <f>_xll.ciqfunctions.udf.CIQ("NYSE:NAV", "IQ_VOLUME", "6/20/2016")</f>
        <v>1.2089399999999999</v>
      </c>
      <c r="ID106" s="1956">
        <f>_xll.ciqfunctions.udf.CIQ("NYSE:NAV", "IQ_VOLUME", "6/17/2016")</f>
        <v>1.55474</v>
      </c>
      <c r="IE106" s="1956">
        <f>_xll.ciqfunctions.udf.CIQ("NYSE:NAV", "IQ_VOLUME", "6/16/2016")</f>
        <v>1.77708</v>
      </c>
      <c r="IF106" s="1956">
        <f>_xll.ciqfunctions.udf.CIQ("NYSE:NAV", "IQ_VOLUME", "6/15/2016")</f>
        <v>1.9393</v>
      </c>
      <c r="IG106" s="1956">
        <f>_xll.ciqfunctions.udf.CIQ("NYSE:NAV", "IQ_VOLUME", "6/14/2016")</f>
        <v>4.1982100000000004</v>
      </c>
      <c r="IH106" s="1956">
        <f>_xll.ciqfunctions.udf.CIQ("NYSE:NAV", "IQ_VOLUME", "6/13/2016")</f>
        <v>0.85397999999999996</v>
      </c>
      <c r="II106" s="1956">
        <f>_xll.ciqfunctions.udf.CIQ("NYSE:NAV", "IQ_VOLUME", "6/10/2016")</f>
        <v>1.7474700000000001</v>
      </c>
      <c r="IJ106" s="1956">
        <f>_xll.ciqfunctions.udf.CIQ("NYSE:NAV", "IQ_VOLUME", "6/9/2016")</f>
        <v>2.1667000000000001</v>
      </c>
      <c r="IK106" s="1956">
        <f>_xll.ciqfunctions.udf.CIQ("NYSE:NAV", "IQ_VOLUME", "6/8/2016")</f>
        <v>2.7867500000000001</v>
      </c>
      <c r="IL106" s="1956">
        <f>_xll.ciqfunctions.udf.CIQ("NYSE:NAV", "IQ_VOLUME", "6/7/2016")</f>
        <v>5.0755800000000004</v>
      </c>
      <c r="IM106" s="1956">
        <f>_xll.ciqfunctions.udf.CIQ("NYSE:NAV", "IQ_VOLUME", "6/6/2016")</f>
        <v>1.9083699999999999</v>
      </c>
      <c r="IN106" s="1956">
        <f>_xll.ciqfunctions.udf.CIQ("NYSE:NAV", "IQ_VOLUME", "6/3/2016")</f>
        <v>1.4762299999999999</v>
      </c>
      <c r="IO106" s="1956">
        <f>_xll.ciqfunctions.udf.CIQ("NYSE:NAV", "IQ_VOLUME", "6/2/2016")</f>
        <v>1.5324</v>
      </c>
      <c r="IP106" s="1956">
        <f>_xll.ciqfunctions.udf.CIQ("NYSE:NAV", "IQ_VOLUME", "6/1/2016")</f>
        <v>0.95974000000000004</v>
      </c>
      <c r="IQ106" s="1956">
        <f>_xll.ciqfunctions.udf.CIQ("NYSE:NAV", "IQ_VOLUME", "5/31/2016")</f>
        <v>1.1993499999999999</v>
      </c>
      <c r="IR106" s="1956">
        <f>_xll.ciqfunctions.udf.CIQ("NYSE:NAV", "IQ_VOLUME", "5/27/2016")</f>
        <v>0.82696999999999998</v>
      </c>
      <c r="IS106" s="1956">
        <f>_xll.ciqfunctions.udf.CIQ("NYSE:NAV", "IQ_VOLUME", "5/26/2016")</f>
        <v>1.02518</v>
      </c>
      <c r="IT106" s="1956">
        <f>_xll.ciqfunctions.udf.CIQ("NYSE:NAV", "IQ_VOLUME", "5/25/2016")</f>
        <v>1.2527999999999999</v>
      </c>
      <c r="IU106" s="1956">
        <f>_xll.ciqfunctions.udf.CIQ("NYSE:NAV", "IQ_VOLUME", "5/24/2016")</f>
        <v>1.56</v>
      </c>
      <c r="IV106" s="1956">
        <f>_xll.ciqfunctions.udf.CIQ("NYSE:NAV", "IQ_VOLUME", "5/23/2016")</f>
        <v>0.82979000000000003</v>
      </c>
      <c r="IW106" s="1956">
        <f>_xll.ciqfunctions.udf.CIQ("NYSE:NAV", "IQ_VOLUME", "5/20/2016")</f>
        <v>1.28267</v>
      </c>
      <c r="IX106" s="1956">
        <f>_xll.ciqfunctions.udf.CIQ("NYSE:NAV", "IQ_VOLUME", "5/19/2016")</f>
        <v>2.34823</v>
      </c>
      <c r="IY106" s="1956">
        <f>_xll.ciqfunctions.udf.CIQ("NYSE:NAV", "IQ_VOLUME", "5/18/2016")</f>
        <v>1.2448999999999999</v>
      </c>
      <c r="IZ106" s="1956">
        <f>_xll.ciqfunctions.udf.CIQ("NYSE:NAV", "IQ_VOLUME", "5/17/2016")</f>
        <v>1.0790299999999999</v>
      </c>
      <c r="JA106" s="1956">
        <f>_xll.ciqfunctions.udf.CIQ("NYSE:NAV", "IQ_VOLUME", "5/16/2016")</f>
        <v>0.95950000000000002</v>
      </c>
      <c r="JB106" s="1956">
        <f>_xll.ciqfunctions.udf.CIQ("NYSE:NAV", "IQ_VOLUME", "5/13/2016")</f>
        <v>0.92674000000000001</v>
      </c>
      <c r="JC106" s="1956">
        <f>_xll.ciqfunctions.udf.CIQ("NYSE:NAV", "IQ_VOLUME", "5/12/2016")</f>
        <v>0.72080999999999995</v>
      </c>
      <c r="JD106" s="1956">
        <f>_xll.ciqfunctions.udf.CIQ("NYSE:NAV", "IQ_VOLUME", "5/11/2016")</f>
        <v>1.1530100000000001</v>
      </c>
      <c r="JE106" s="1956">
        <f>_xll.ciqfunctions.udf.CIQ("NYSE:NAV", "IQ_VOLUME", "5/10/2016")</f>
        <v>1.0813999999999999</v>
      </c>
      <c r="JF106" s="1956">
        <f>_xll.ciqfunctions.udf.CIQ("NYSE:NAV", "IQ_VOLUME", "5/9/2016")</f>
        <v>1.0526899999999999</v>
      </c>
      <c r="JG106" s="1956">
        <f>_xll.ciqfunctions.udf.CIQ("NYSE:NAV", "IQ_VOLUME", "5/6/2016")</f>
        <v>1.3259099999999999</v>
      </c>
      <c r="JH106" s="1956">
        <f>_xll.ciqfunctions.udf.CIQ("NYSE:NAV", "IQ_VOLUME", "5/5/2016")</f>
        <v>1.75125</v>
      </c>
      <c r="JI106" s="1956">
        <f>_xll.ciqfunctions.udf.CIQ("NYSE:NAV", "IQ_VOLUME", "5/4/2016")</f>
        <v>2.1539000000000001</v>
      </c>
      <c r="JJ106" s="1956">
        <f>_xll.ciqfunctions.udf.CIQ("NYSE:NAV", "IQ_VOLUME", "5/3/2016")</f>
        <v>0.80327999999999999</v>
      </c>
      <c r="JK106" s="1956">
        <f>_xll.ciqfunctions.udf.CIQ("NYSE:NAV", "IQ_VOLUME", "5/2/2016")</f>
        <v>0.83692</v>
      </c>
      <c r="JL106" s="1956">
        <f>_xll.ciqfunctions.udf.CIQ("NYSE:NAV", "IQ_VOLUME", "4/29/2016")</f>
        <v>1.48339</v>
      </c>
      <c r="JM106" s="1956">
        <f>_xll.ciqfunctions.udf.CIQ("NYSE:NAV", "IQ_VOLUME", "4/28/2016")</f>
        <v>2.0562</v>
      </c>
      <c r="JN106" s="1956">
        <f>_xll.ciqfunctions.udf.CIQ("NYSE:NAV", "IQ_VOLUME", "4/27/2016")</f>
        <v>1.0706100000000001</v>
      </c>
      <c r="JO106" s="1956">
        <f>_xll.ciqfunctions.udf.CIQ("NYSE:NAV", "IQ_VOLUME", "4/26/2016")</f>
        <v>0.90885000000000005</v>
      </c>
      <c r="JP106" s="1956">
        <f>_xll.ciqfunctions.udf.CIQ("NYSE:NAV", "IQ_VOLUME", "4/25/2016")</f>
        <v>0.87177000000000004</v>
      </c>
      <c r="JQ106" s="1956">
        <f>_xll.ciqfunctions.udf.CIQ("NYSE:NAV", "IQ_VOLUME", "4/22/2016")</f>
        <v>0.72172000000000003</v>
      </c>
      <c r="JR106" s="1956">
        <f>_xll.ciqfunctions.udf.CIQ("NYSE:NAV", "IQ_VOLUME", "4/21/2016")</f>
        <v>0.80051000000000005</v>
      </c>
      <c r="JS106" s="1956">
        <f>_xll.ciqfunctions.udf.CIQ("NYSE:NAV", "IQ_VOLUME", "4/20/2016")</f>
        <v>0.67981000000000003</v>
      </c>
      <c r="JT106" s="1956">
        <f>_xll.ciqfunctions.udf.CIQ("NYSE:NAV", "IQ_VOLUME", "4/19/2016")</f>
        <v>0.70926</v>
      </c>
      <c r="JU106" s="1956">
        <f>_xll.ciqfunctions.udf.CIQ("NYSE:NAV", "IQ_VOLUME", "4/18/2016")</f>
        <v>0.93120000000000003</v>
      </c>
      <c r="JV106" s="1956">
        <f>_xll.ciqfunctions.udf.CIQ("NYSE:NAV", "IQ_VOLUME", "4/15/2016")</f>
        <v>1.2335499999999999</v>
      </c>
      <c r="JW106" s="1956">
        <f>_xll.ciqfunctions.udf.CIQ("NYSE:NAV", "IQ_VOLUME", "4/14/2016")</f>
        <v>1.08023</v>
      </c>
      <c r="JX106" s="1956">
        <f>_xll.ciqfunctions.udf.CIQ("NYSE:NAV", "IQ_VOLUME", "4/13/2016")</f>
        <v>1.30765</v>
      </c>
      <c r="JY106" s="1956">
        <f>_xll.ciqfunctions.udf.CIQ("NYSE:NAV", "IQ_VOLUME", "4/12/2016")</f>
        <v>0.90959999999999996</v>
      </c>
      <c r="JZ106" s="1956">
        <f>_xll.ciqfunctions.udf.CIQ("NYSE:NAV", "IQ_VOLUME", "4/11/2016")</f>
        <v>0.67335</v>
      </c>
      <c r="KA106" s="1956">
        <f>_xll.ciqfunctions.udf.CIQ("NYSE:NAV", "IQ_VOLUME", "4/8/2016")</f>
        <v>0.69255</v>
      </c>
      <c r="KB106" s="1956">
        <f>_xll.ciqfunctions.udf.CIQ("NYSE:NAV", "IQ_VOLUME", "4/7/2016")</f>
        <v>0.70391000000000004</v>
      </c>
      <c r="KC106" s="1956">
        <f>_xll.ciqfunctions.udf.CIQ("NYSE:NAV", "IQ_VOLUME", "4/6/2016")</f>
        <v>1.18323</v>
      </c>
      <c r="KD106" s="1956">
        <f>_xll.ciqfunctions.udf.CIQ("NYSE:NAV", "IQ_VOLUME", "4/5/2016")</f>
        <v>0.99929000000000001</v>
      </c>
      <c r="KE106" s="1956">
        <f>_xll.ciqfunctions.udf.CIQ("NYSE:NAV", "IQ_VOLUME", "4/4/2016")</f>
        <v>0.84611000000000003</v>
      </c>
      <c r="KF106" s="1956">
        <f>_xll.ciqfunctions.udf.CIQ("NYSE:NAV", "IQ_VOLUME", "4/1/2016")</f>
        <v>0.96621000000000001</v>
      </c>
      <c r="KG106" s="1956">
        <f>_xll.ciqfunctions.udf.CIQ("NYSE:NAV", "IQ_VOLUME", "3/31/2016")</f>
        <v>1.1400600000000001</v>
      </c>
      <c r="KH106" s="1956">
        <f>_xll.ciqfunctions.udf.CIQ("NYSE:NAV", "IQ_VOLUME", "3/30/2016")</f>
        <v>0.83426999999999996</v>
      </c>
      <c r="KI106" s="1956">
        <f>_xll.ciqfunctions.udf.CIQ("NYSE:NAV", "IQ_VOLUME", "3/29/2016")</f>
        <v>0.73253999999999997</v>
      </c>
      <c r="KJ106" s="1956">
        <f>_xll.ciqfunctions.udf.CIQ("NYSE:NAV", "IQ_VOLUME", "3/28/2016")</f>
        <v>0.77366999999999997</v>
      </c>
      <c r="KK106" s="1956">
        <f>_xll.ciqfunctions.udf.CIQ("NYSE:NAV", "IQ_VOLUME", "3/24/2016")</f>
        <v>0.96503000000000005</v>
      </c>
      <c r="KL106" s="1956">
        <f>_xll.ciqfunctions.udf.CIQ("NYSE:NAV", "IQ_VOLUME", "3/23/2016")</f>
        <v>1.5201499999999999</v>
      </c>
      <c r="KM106" s="1956">
        <f>_xll.ciqfunctions.udf.CIQ("NYSE:NAV", "IQ_VOLUME", "3/22/2016")</f>
        <v>0.83357000000000003</v>
      </c>
      <c r="KN106" s="1956">
        <f>_xll.ciqfunctions.udf.CIQ("NYSE:NAV", "IQ_VOLUME", "3/21/2016")</f>
        <v>1.19371</v>
      </c>
      <c r="KO106" s="1956">
        <f>_xll.ciqfunctions.udf.CIQ("NYSE:NAV", "IQ_VOLUME", "3/18/2016")</f>
        <v>2.4185099999999999</v>
      </c>
      <c r="KP106" s="1956">
        <f>_xll.ciqfunctions.udf.CIQ("NYSE:NAV", "IQ_VOLUME", "3/17/2016")</f>
        <v>1.8391200000000001</v>
      </c>
      <c r="KQ106" s="1956">
        <f>_xll.ciqfunctions.udf.CIQ("NYSE:NAV", "IQ_VOLUME", "3/16/2016")</f>
        <v>1.41658</v>
      </c>
      <c r="KR106" s="1956">
        <f>_xll.ciqfunctions.udf.CIQ("NYSE:NAV", "IQ_VOLUME", "3/15/2016")</f>
        <v>1.61764</v>
      </c>
      <c r="KS106" s="1956">
        <f>_xll.ciqfunctions.udf.CIQ("NYSE:NAV", "IQ_VOLUME", "3/14/2016")</f>
        <v>2.87439</v>
      </c>
      <c r="KT106" s="1956">
        <f>_xll.ciqfunctions.udf.CIQ("NYSE:NAV", "IQ_VOLUME", "3/11/2016")</f>
        <v>0.91183000000000003</v>
      </c>
      <c r="KU106" s="1956">
        <f>_xll.ciqfunctions.udf.CIQ("NYSE:NAV", "IQ_VOLUME", "3/10/2016")</f>
        <v>1.3578300000000001</v>
      </c>
      <c r="KV106" s="1956">
        <f>_xll.ciqfunctions.udf.CIQ("NYSE:NAV", "IQ_VOLUME", "3/9/2016")</f>
        <v>1.28363</v>
      </c>
    </row>
    <row r="107" spans="1:308" s="89" customFormat="1" ht="13.9">
      <c r="A107" s="269" t="str">
        <f t="shared" si="23"/>
        <v>n</v>
      </c>
      <c r="B107" s="2060"/>
      <c r="D107" s="801"/>
      <c r="E107" s="1505">
        <v>8</v>
      </c>
      <c r="F107" s="30" t="str">
        <f>'DATA GPC'!$E27</f>
        <v>--</v>
      </c>
      <c r="G107" s="2112">
        <f>IF('WACC and TIC Inputs'!$D136="X",0,IF('DATA GPC'!$G27="",0,'DATA GPC'!$G27))</f>
        <v>0</v>
      </c>
      <c r="H107" s="281">
        <f>--('DATA GPC'!K62="Y")</f>
        <v>0</v>
      </c>
      <c r="I107" s="2294"/>
      <c r="J107" s="2293">
        <v>995</v>
      </c>
      <c r="K107" s="2293">
        <v>996</v>
      </c>
      <c r="L107" s="2293">
        <v>997</v>
      </c>
      <c r="M107" s="2293">
        <v>998</v>
      </c>
      <c r="N107" s="2293">
        <v>999</v>
      </c>
      <c r="O107" s="2293">
        <v>1000</v>
      </c>
      <c r="P107" s="2293">
        <v>2000</v>
      </c>
      <c r="Q107" s="633"/>
      <c r="R107" s="2293">
        <f t="shared" si="21"/>
        <v>1996</v>
      </c>
      <c r="T107" s="1598" t="str">
        <f t="shared" si="24"/>
        <v/>
      </c>
      <c r="U107" s="2293">
        <f t="shared" si="22"/>
        <v>1001</v>
      </c>
      <c r="V107" s="2293">
        <f t="shared" si="22"/>
        <v>1002</v>
      </c>
      <c r="W107" s="2293">
        <f t="shared" si="22"/>
        <v>1003</v>
      </c>
      <c r="X107" s="2293">
        <f t="shared" si="22"/>
        <v>1004</v>
      </c>
      <c r="Y107" s="2293">
        <f t="shared" si="22"/>
        <v>1005</v>
      </c>
      <c r="AG107" s="255"/>
      <c r="AI107" s="255"/>
      <c r="AR107" s="2060"/>
      <c r="AS107" s="98" t="s">
        <v>742</v>
      </c>
      <c r="AT107" s="80" t="s">
        <v>743</v>
      </c>
      <c r="AU107" s="80" t="s">
        <v>162</v>
      </c>
      <c r="AV107" s="80" t="s">
        <v>744</v>
      </c>
      <c r="AW107" s="81" t="s">
        <v>745</v>
      </c>
      <c r="AX107" s="78" t="s">
        <v>514</v>
      </c>
      <c r="AY107" s="78" t="s">
        <v>514</v>
      </c>
      <c r="AZ107" s="210" t="s">
        <v>513</v>
      </c>
      <c r="BA107" s="214"/>
      <c r="BB107" s="214"/>
      <c r="GK107" s="1956">
        <f>_xll.ciqfunctions.udf.CIQ("NYSE:OSK", "IQ_VOLUME", "8/22/2016")</f>
        <v>0.22552</v>
      </c>
      <c r="GL107" s="1956">
        <f>_xll.ciqfunctions.udf.CIQ("NYSE:OSK", "IQ_VOLUME", "8/19/2016")</f>
        <v>0.60994000000000004</v>
      </c>
      <c r="GM107" s="1956">
        <f>_xll.ciqfunctions.udf.CIQ("NYSE:OSK", "IQ_VOLUME", "8/18/2016")</f>
        <v>1.2035499999999999</v>
      </c>
      <c r="GN107" s="1956">
        <f>_xll.ciqfunctions.udf.CIQ("NYSE:OSK", "IQ_VOLUME", "8/17/2016")</f>
        <v>0.54008</v>
      </c>
      <c r="GO107" s="1956">
        <f>_xll.ciqfunctions.udf.CIQ("NYSE:OSK", "IQ_VOLUME", "8/16/2016")</f>
        <v>0.34355000000000002</v>
      </c>
      <c r="GP107" s="1956">
        <f>_xll.ciqfunctions.udf.CIQ("NYSE:OSK", "IQ_VOLUME", "8/15/2016")</f>
        <v>0.51831000000000005</v>
      </c>
      <c r="GQ107" s="1956">
        <f>_xll.ciqfunctions.udf.CIQ("NYSE:OSK", "IQ_VOLUME", "8/12/2016")</f>
        <v>0.27614</v>
      </c>
      <c r="GR107" s="1956">
        <f>_xll.ciqfunctions.udf.CIQ("NYSE:OSK", "IQ_VOLUME", "8/11/2016")</f>
        <v>0.52207999999999999</v>
      </c>
      <c r="GS107" s="1956">
        <f>_xll.ciqfunctions.udf.CIQ("NYSE:OSK", "IQ_VOLUME", "8/10/2016")</f>
        <v>0.65773999999999999</v>
      </c>
      <c r="GT107" s="1956">
        <f>_xll.ciqfunctions.udf.CIQ("NYSE:OSK", "IQ_VOLUME", "8/9/2016")</f>
        <v>0.41005999999999998</v>
      </c>
      <c r="GU107" s="1956">
        <f>_xll.ciqfunctions.udf.CIQ("NYSE:OSK", "IQ_VOLUME", "8/8/2016")</f>
        <v>0.51517000000000002</v>
      </c>
      <c r="GV107" s="1956">
        <f>_xll.ciqfunctions.udf.CIQ("NYSE:OSK", "IQ_VOLUME", "8/5/2016")</f>
        <v>0.70047999999999999</v>
      </c>
      <c r="GW107" s="1956">
        <f>_xll.ciqfunctions.udf.CIQ("NYSE:OSK", "IQ_VOLUME", "8/4/2016")</f>
        <v>0.59257000000000004</v>
      </c>
      <c r="GX107" s="1956">
        <f>_xll.ciqfunctions.udf.CIQ("NYSE:OSK", "IQ_VOLUME", "8/3/2016")</f>
        <v>0.52261999999999997</v>
      </c>
      <c r="GY107" s="1956">
        <f>_xll.ciqfunctions.udf.CIQ("NYSE:OSK", "IQ_VOLUME", "8/2/2016")</f>
        <v>0.81477999999999995</v>
      </c>
      <c r="GZ107" s="1956">
        <f>_xll.ciqfunctions.udf.CIQ("NYSE:OSK", "IQ_VOLUME", "8/1/2016")</f>
        <v>1.20546</v>
      </c>
      <c r="HA107" s="1956">
        <f>_xll.ciqfunctions.udf.CIQ("NYSE:OSK", "IQ_VOLUME", "7/29/2016")</f>
        <v>1.6591499999999999</v>
      </c>
      <c r="HB107" s="1956">
        <f>_xll.ciqfunctions.udf.CIQ("NYSE:OSK", "IQ_VOLUME", "7/28/2016")</f>
        <v>2.03043</v>
      </c>
      <c r="HC107" s="1956">
        <f>_xll.ciqfunctions.udf.CIQ("NYSE:OSK", "IQ_VOLUME", "7/27/2016")</f>
        <v>0.90566000000000002</v>
      </c>
      <c r="HD107" s="1956">
        <f>_xll.ciqfunctions.udf.CIQ("NYSE:OSK", "IQ_VOLUME", "7/26/2016")</f>
        <v>0.82077</v>
      </c>
      <c r="HE107" s="1956">
        <f>_xll.ciqfunctions.udf.CIQ("NYSE:OSK", "IQ_VOLUME", "7/25/2016")</f>
        <v>0.61511000000000005</v>
      </c>
      <c r="HF107" s="1956">
        <f>_xll.ciqfunctions.udf.CIQ("NYSE:OSK", "IQ_VOLUME", "7/22/2016")</f>
        <v>0.81220000000000003</v>
      </c>
      <c r="HG107" s="1956">
        <f>_xll.ciqfunctions.udf.CIQ("NYSE:OSK", "IQ_VOLUME", "7/21/2016")</f>
        <v>0.69428000000000001</v>
      </c>
      <c r="HH107" s="1956">
        <f>_xll.ciqfunctions.udf.CIQ("NYSE:OSK", "IQ_VOLUME", "7/20/2016")</f>
        <v>0.45090000000000002</v>
      </c>
      <c r="HI107" s="1956">
        <f>_xll.ciqfunctions.udf.CIQ("NYSE:OSK", "IQ_VOLUME", "7/19/2016")</f>
        <v>0.73414999999999997</v>
      </c>
      <c r="HJ107" s="1956">
        <f>_xll.ciqfunctions.udf.CIQ("NYSE:OSK", "IQ_VOLUME", "7/18/2016")</f>
        <v>0.40061999999999998</v>
      </c>
      <c r="HK107" s="1956">
        <f>_xll.ciqfunctions.udf.CIQ("NYSE:OSK", "IQ_VOLUME", "7/15/2016")</f>
        <v>0.37018000000000001</v>
      </c>
      <c r="HL107" s="1956">
        <f>_xll.ciqfunctions.udf.CIQ("NYSE:OSK", "IQ_VOLUME", "7/14/2016")</f>
        <v>0.79384999999999994</v>
      </c>
      <c r="HM107" s="1956">
        <f>_xll.ciqfunctions.udf.CIQ("NYSE:OSK", "IQ_VOLUME", "7/13/2016")</f>
        <v>0.59804000000000002</v>
      </c>
      <c r="HN107" s="1956">
        <f>_xll.ciqfunctions.udf.CIQ("NYSE:OSK", "IQ_VOLUME", "7/12/2016")</f>
        <v>0.62771999999999994</v>
      </c>
      <c r="HO107" s="1956">
        <f>_xll.ciqfunctions.udf.CIQ("NYSE:OSK", "IQ_VOLUME", "7/11/2016")</f>
        <v>0.51563999999999999</v>
      </c>
      <c r="HP107" s="1956">
        <f>_xll.ciqfunctions.udf.CIQ("NYSE:OSK", "IQ_VOLUME", "7/8/2016")</f>
        <v>0.68432999999999999</v>
      </c>
      <c r="HQ107" s="1956">
        <f>_xll.ciqfunctions.udf.CIQ("NYSE:OSK", "IQ_VOLUME", "7/7/2016")</f>
        <v>0.70025999999999999</v>
      </c>
      <c r="HR107" s="1956">
        <f>_xll.ciqfunctions.udf.CIQ("NYSE:OSK", "IQ_VOLUME", "7/6/2016")</f>
        <v>0.85675999999999997</v>
      </c>
      <c r="HS107" s="1956">
        <f>_xll.ciqfunctions.udf.CIQ("NYSE:OSK", "IQ_VOLUME", "7/5/2016")</f>
        <v>0.38102999999999998</v>
      </c>
      <c r="HT107" s="1956">
        <f>_xll.ciqfunctions.udf.CIQ("NYSE:OSK", "IQ_VOLUME", "7/1/2016")</f>
        <v>0.36873</v>
      </c>
      <c r="HU107" s="1956">
        <f>_xll.ciqfunctions.udf.CIQ("NYSE:OSK", "IQ_VOLUME", "6/30/2016")</f>
        <v>0.45312000000000002</v>
      </c>
      <c r="HV107" s="1956">
        <f>_xll.ciqfunctions.udf.CIQ("NYSE:OSK", "IQ_VOLUME", "6/29/2016")</f>
        <v>0.61939999999999995</v>
      </c>
      <c r="HW107" s="1956">
        <f>_xll.ciqfunctions.udf.CIQ("NYSE:OSK", "IQ_VOLUME", "6/28/2016")</f>
        <v>0.92469999999999997</v>
      </c>
      <c r="HX107" s="1956">
        <f>_xll.ciqfunctions.udf.CIQ("NYSE:OSK", "IQ_VOLUME", "6/27/2016")</f>
        <v>0.95211999999999997</v>
      </c>
      <c r="HY107" s="1956">
        <f>_xll.ciqfunctions.udf.CIQ("NYSE:OSK", "IQ_VOLUME", "6/24/2016")</f>
        <v>0.58787999999999996</v>
      </c>
      <c r="HZ107" s="1956">
        <f>_xll.ciqfunctions.udf.CIQ("NYSE:OSK", "IQ_VOLUME", "6/23/2016")</f>
        <v>0.62368000000000001</v>
      </c>
      <c r="IA107" s="1956">
        <f>_xll.ciqfunctions.udf.CIQ("NYSE:OSK", "IQ_VOLUME", "6/22/2016")</f>
        <v>0.50165999999999999</v>
      </c>
      <c r="IB107" s="1956">
        <f>_xll.ciqfunctions.udf.CIQ("NYSE:OSK", "IQ_VOLUME", "6/21/2016")</f>
        <v>0.62985999999999998</v>
      </c>
      <c r="IC107" s="1956">
        <f>_xll.ciqfunctions.udf.CIQ("NYSE:OSK", "IQ_VOLUME", "6/20/2016")</f>
        <v>0.88951000000000002</v>
      </c>
      <c r="ID107" s="1956">
        <f>_xll.ciqfunctions.udf.CIQ("NYSE:OSK", "IQ_VOLUME", "6/17/2016")</f>
        <v>1.5415399999999999</v>
      </c>
      <c r="IE107" s="1956">
        <f>_xll.ciqfunctions.udf.CIQ("NYSE:OSK", "IQ_VOLUME", "6/16/2016")</f>
        <v>0.35798999999999997</v>
      </c>
      <c r="IF107" s="1956">
        <f>_xll.ciqfunctions.udf.CIQ("NYSE:OSK", "IQ_VOLUME", "6/15/2016")</f>
        <v>0.31441999999999998</v>
      </c>
      <c r="IG107" s="1956">
        <f>_xll.ciqfunctions.udf.CIQ("NYSE:OSK", "IQ_VOLUME", "6/14/2016")</f>
        <v>0.42909999999999998</v>
      </c>
      <c r="IH107" s="1956">
        <f>_xll.ciqfunctions.udf.CIQ("NYSE:OSK", "IQ_VOLUME", "6/13/2016")</f>
        <v>0.35533999999999999</v>
      </c>
      <c r="II107" s="1956">
        <f>_xll.ciqfunctions.udf.CIQ("NYSE:OSK", "IQ_VOLUME", "6/10/2016")</f>
        <v>0.33406000000000002</v>
      </c>
      <c r="IJ107" s="1956">
        <f>_xll.ciqfunctions.udf.CIQ("NYSE:OSK", "IQ_VOLUME", "6/9/2016")</f>
        <v>0.34369</v>
      </c>
      <c r="IK107" s="1956">
        <f>_xll.ciqfunctions.udf.CIQ("NYSE:OSK", "IQ_VOLUME", "6/8/2016")</f>
        <v>0.41675000000000001</v>
      </c>
      <c r="IL107" s="1956">
        <f>_xll.ciqfunctions.udf.CIQ("NYSE:OSK", "IQ_VOLUME", "6/7/2016")</f>
        <v>0.76315999999999995</v>
      </c>
      <c r="IM107" s="1956">
        <f>_xll.ciqfunctions.udf.CIQ("NYSE:OSK", "IQ_VOLUME", "6/6/2016")</f>
        <v>1.04182</v>
      </c>
      <c r="IN107" s="1956">
        <f>_xll.ciqfunctions.udf.CIQ("NYSE:OSK", "IQ_VOLUME", "6/3/2016")</f>
        <v>0.50841000000000003</v>
      </c>
      <c r="IO107" s="1956">
        <f>_xll.ciqfunctions.udf.CIQ("NYSE:OSK", "IQ_VOLUME", "6/2/2016")</f>
        <v>0.73077999999999999</v>
      </c>
      <c r="IP107" s="1956">
        <f>_xll.ciqfunctions.udf.CIQ("NYSE:OSK", "IQ_VOLUME", "6/1/2016")</f>
        <v>0.52707000000000004</v>
      </c>
      <c r="IQ107" s="1956">
        <f>_xll.ciqfunctions.udf.CIQ("NYSE:OSK", "IQ_VOLUME", "5/31/2016")</f>
        <v>0.86029</v>
      </c>
      <c r="IR107" s="1956">
        <f>_xll.ciqfunctions.udf.CIQ("NYSE:OSK", "IQ_VOLUME", "5/27/2016")</f>
        <v>0.46789999999999998</v>
      </c>
      <c r="IS107" s="1956">
        <f>_xll.ciqfunctions.udf.CIQ("NYSE:OSK", "IQ_VOLUME", "5/26/2016")</f>
        <v>0.73012999999999995</v>
      </c>
      <c r="IT107" s="1956">
        <f>_xll.ciqfunctions.udf.CIQ("NYSE:OSK", "IQ_VOLUME", "5/25/2016")</f>
        <v>0.78937000000000002</v>
      </c>
      <c r="IU107" s="1956">
        <f>_xll.ciqfunctions.udf.CIQ("NYSE:OSK", "IQ_VOLUME", "5/24/2016")</f>
        <v>0.41456999999999999</v>
      </c>
      <c r="IV107" s="1956">
        <f>_xll.ciqfunctions.udf.CIQ("NYSE:OSK", "IQ_VOLUME", "5/23/2016")</f>
        <v>0.36342999999999998</v>
      </c>
      <c r="IW107" s="1956">
        <f>_xll.ciqfunctions.udf.CIQ("NYSE:OSK", "IQ_VOLUME", "5/20/2016")</f>
        <v>0.3291</v>
      </c>
      <c r="IX107" s="1956">
        <f>_xll.ciqfunctions.udf.CIQ("NYSE:OSK", "IQ_VOLUME", "5/19/2016")</f>
        <v>0.32174000000000003</v>
      </c>
      <c r="IY107" s="1956">
        <f>_xll.ciqfunctions.udf.CIQ("NYSE:OSK", "IQ_VOLUME", "5/18/2016")</f>
        <v>0.54600000000000004</v>
      </c>
      <c r="IZ107" s="1956">
        <f>_xll.ciqfunctions.udf.CIQ("NYSE:OSK", "IQ_VOLUME", "5/17/2016")</f>
        <v>0.52653000000000005</v>
      </c>
      <c r="JA107" s="1956">
        <f>_xll.ciqfunctions.udf.CIQ("NYSE:OSK", "IQ_VOLUME", "5/16/2016")</f>
        <v>0.45161000000000001</v>
      </c>
      <c r="JB107" s="1956">
        <f>_xll.ciqfunctions.udf.CIQ("NYSE:OSK", "IQ_VOLUME", "5/13/2016")</f>
        <v>0.33823999999999999</v>
      </c>
      <c r="JC107" s="1956">
        <f>_xll.ciqfunctions.udf.CIQ("NYSE:OSK", "IQ_VOLUME", "5/12/2016")</f>
        <v>0.42920000000000003</v>
      </c>
      <c r="JD107" s="1956">
        <f>_xll.ciqfunctions.udf.CIQ("NYSE:OSK", "IQ_VOLUME", "5/11/2016")</f>
        <v>0.56811999999999996</v>
      </c>
      <c r="JE107" s="1956">
        <f>_xll.ciqfunctions.udf.CIQ("NYSE:OSK", "IQ_VOLUME", "5/10/2016")</f>
        <v>0.89205999999999996</v>
      </c>
      <c r="JF107" s="1956">
        <f>_xll.ciqfunctions.udf.CIQ("NYSE:OSK", "IQ_VOLUME", "5/9/2016")</f>
        <v>0.41314000000000001</v>
      </c>
      <c r="JG107" s="1956">
        <f>_xll.ciqfunctions.udf.CIQ("NYSE:OSK", "IQ_VOLUME", "5/6/2016")</f>
        <v>0.42879</v>
      </c>
      <c r="JH107" s="1956">
        <f>_xll.ciqfunctions.udf.CIQ("NYSE:OSK", "IQ_VOLUME", "5/5/2016")</f>
        <v>0.58725000000000005</v>
      </c>
      <c r="JI107" s="1956">
        <f>_xll.ciqfunctions.udf.CIQ("NYSE:OSK", "IQ_VOLUME", "5/4/2016")</f>
        <v>1.0017</v>
      </c>
      <c r="JJ107" s="1956">
        <f>_xll.ciqfunctions.udf.CIQ("NYSE:OSK", "IQ_VOLUME", "5/3/2016")</f>
        <v>1.4499899999999999</v>
      </c>
      <c r="JK107" s="1956">
        <f>_xll.ciqfunctions.udf.CIQ("NYSE:OSK", "IQ_VOLUME", "5/2/2016")</f>
        <v>1.2378</v>
      </c>
      <c r="JL107" s="1956">
        <f>_xll.ciqfunctions.udf.CIQ("NYSE:OSK", "IQ_VOLUME", "4/29/2016")</f>
        <v>2.2797499999999999</v>
      </c>
      <c r="JM107" s="1956">
        <f>_xll.ciqfunctions.udf.CIQ("NYSE:OSK", "IQ_VOLUME", "4/28/2016")</f>
        <v>3.7212399999999999</v>
      </c>
      <c r="JN107" s="1956">
        <f>_xll.ciqfunctions.udf.CIQ("NYSE:OSK", "IQ_VOLUME", "4/27/2016")</f>
        <v>1.9966200000000001</v>
      </c>
      <c r="JO107" s="1956">
        <f>_xll.ciqfunctions.udf.CIQ("NYSE:OSK", "IQ_VOLUME", "4/26/2016")</f>
        <v>1.5428900000000001</v>
      </c>
      <c r="JP107" s="1956">
        <f>_xll.ciqfunctions.udf.CIQ("NYSE:OSK", "IQ_VOLUME", "4/25/2016")</f>
        <v>0.68928</v>
      </c>
      <c r="JQ107" s="1956">
        <f>_xll.ciqfunctions.udf.CIQ("NYSE:OSK", "IQ_VOLUME", "4/22/2016")</f>
        <v>0.78910999999999998</v>
      </c>
      <c r="JR107" s="1956">
        <f>_xll.ciqfunctions.udf.CIQ("NYSE:OSK", "IQ_VOLUME", "4/21/2016")</f>
        <v>0.86043999999999998</v>
      </c>
      <c r="JS107" s="1956">
        <f>_xll.ciqfunctions.udf.CIQ("NYSE:OSK", "IQ_VOLUME", "4/20/2016")</f>
        <v>0.65202000000000004</v>
      </c>
      <c r="JT107" s="1956">
        <f>_xll.ciqfunctions.udf.CIQ("NYSE:OSK", "IQ_VOLUME", "4/19/2016")</f>
        <v>0.79215999999999998</v>
      </c>
      <c r="JU107" s="1956">
        <f>_xll.ciqfunctions.udf.CIQ("NYSE:OSK", "IQ_VOLUME", "4/18/2016")</f>
        <v>0.41426000000000002</v>
      </c>
      <c r="JV107" s="1956">
        <f>_xll.ciqfunctions.udf.CIQ("NYSE:OSK", "IQ_VOLUME", "4/15/2016")</f>
        <v>0.76915999999999995</v>
      </c>
      <c r="JW107" s="1956">
        <f>_xll.ciqfunctions.udf.CIQ("NYSE:OSK", "IQ_VOLUME", "4/14/2016")</f>
        <v>1.1338299999999999</v>
      </c>
      <c r="JX107" s="1956">
        <f>_xll.ciqfunctions.udf.CIQ("NYSE:OSK", "IQ_VOLUME", "4/13/2016")</f>
        <v>1.1573</v>
      </c>
      <c r="JY107" s="1956">
        <f>_xll.ciqfunctions.udf.CIQ("NYSE:OSK", "IQ_VOLUME", "4/12/2016")</f>
        <v>0.68940999999999997</v>
      </c>
      <c r="JZ107" s="1956">
        <f>_xll.ciqfunctions.udf.CIQ("NYSE:OSK", "IQ_VOLUME", "4/11/2016")</f>
        <v>0.36437999999999998</v>
      </c>
      <c r="KA107" s="1956">
        <f>_xll.ciqfunctions.udf.CIQ("NYSE:OSK", "IQ_VOLUME", "4/8/2016")</f>
        <v>0.31319000000000002</v>
      </c>
      <c r="KB107" s="1956">
        <f>_xll.ciqfunctions.udf.CIQ("NYSE:OSK", "IQ_VOLUME", "4/7/2016")</f>
        <v>0.25385000000000002</v>
      </c>
      <c r="KC107" s="1956">
        <f>_xll.ciqfunctions.udf.CIQ("NYSE:OSK", "IQ_VOLUME", "4/6/2016")</f>
        <v>0.36649999999999999</v>
      </c>
      <c r="KD107" s="1956">
        <f>_xll.ciqfunctions.udf.CIQ("NYSE:OSK", "IQ_VOLUME", "4/5/2016")</f>
        <v>0.62111000000000005</v>
      </c>
      <c r="KE107" s="1956">
        <f>_xll.ciqfunctions.udf.CIQ("NYSE:OSK", "IQ_VOLUME", "4/4/2016")</f>
        <v>0.83614999999999995</v>
      </c>
      <c r="KF107" s="1956">
        <f>_xll.ciqfunctions.udf.CIQ("NYSE:OSK", "IQ_VOLUME", "4/1/2016")</f>
        <v>0.99246000000000001</v>
      </c>
      <c r="KG107" s="1956">
        <f>_xll.ciqfunctions.udf.CIQ("NYSE:OSK", "IQ_VOLUME", "3/31/2016")</f>
        <v>0.58162000000000003</v>
      </c>
      <c r="KH107" s="1956">
        <f>_xll.ciqfunctions.udf.CIQ("NYSE:OSK", "IQ_VOLUME", "3/30/2016")</f>
        <v>0.67401999999999995</v>
      </c>
      <c r="KI107" s="1956">
        <f>_xll.ciqfunctions.udf.CIQ("NYSE:OSK", "IQ_VOLUME", "3/29/2016")</f>
        <v>0.57164999999999999</v>
      </c>
      <c r="KJ107" s="1956">
        <f>_xll.ciqfunctions.udf.CIQ("NYSE:OSK", "IQ_VOLUME", "3/28/2016")</f>
        <v>0.55110000000000003</v>
      </c>
      <c r="KK107" s="1956">
        <f>_xll.ciqfunctions.udf.CIQ("NYSE:OSK", "IQ_VOLUME", "3/24/2016")</f>
        <v>0.73180999999999996</v>
      </c>
      <c r="KL107" s="1956">
        <f>_xll.ciqfunctions.udf.CIQ("NYSE:OSK", "IQ_VOLUME", "3/23/2016")</f>
        <v>0.40126000000000001</v>
      </c>
      <c r="KM107" s="1956">
        <f>_xll.ciqfunctions.udf.CIQ("NYSE:OSK", "IQ_VOLUME", "3/22/2016")</f>
        <v>0.45330999999999999</v>
      </c>
      <c r="KN107" s="1956">
        <f>_xll.ciqfunctions.udf.CIQ("NYSE:OSK", "IQ_VOLUME", "3/21/2016")</f>
        <v>0.49658000000000002</v>
      </c>
      <c r="KO107" s="1956">
        <f>_xll.ciqfunctions.udf.CIQ("NYSE:OSK", "IQ_VOLUME", "3/18/2016")</f>
        <v>1.2557700000000001</v>
      </c>
      <c r="KP107" s="1956">
        <f>_xll.ciqfunctions.udf.CIQ("NYSE:OSK", "IQ_VOLUME", "3/17/2016")</f>
        <v>0.76270000000000004</v>
      </c>
      <c r="KQ107" s="1956">
        <f>_xll.ciqfunctions.udf.CIQ("NYSE:OSK", "IQ_VOLUME", "3/16/2016")</f>
        <v>0.98287999999999998</v>
      </c>
      <c r="KR107" s="1956">
        <f>_xll.ciqfunctions.udf.CIQ("NYSE:OSK", "IQ_VOLUME", "3/15/2016")</f>
        <v>0.77952999999999995</v>
      </c>
      <c r="KS107" s="1956">
        <f>_xll.ciqfunctions.udf.CIQ("NYSE:OSK", "IQ_VOLUME", "3/14/2016")</f>
        <v>0.62885999999999997</v>
      </c>
      <c r="KT107" s="1956">
        <f>_xll.ciqfunctions.udf.CIQ("NYSE:OSK", "IQ_VOLUME", "3/11/2016")</f>
        <v>0.85812999999999995</v>
      </c>
      <c r="KU107" s="1956">
        <f>_xll.ciqfunctions.udf.CIQ("NYSE:OSK", "IQ_VOLUME", "3/10/2016")</f>
        <v>0.40179999999999999</v>
      </c>
      <c r="KV107" s="1956">
        <f>_xll.ciqfunctions.udf.CIQ("NYSE:OSK", "IQ_VOLUME", "3/9/2016")</f>
        <v>0.37941999999999998</v>
      </c>
    </row>
    <row r="108" spans="1:308" s="89" customFormat="1" ht="13.9">
      <c r="A108" s="269" t="str">
        <f t="shared" si="23"/>
        <v>n</v>
      </c>
      <c r="B108" s="2060"/>
      <c r="D108" s="801"/>
      <c r="E108" s="1505">
        <v>9</v>
      </c>
      <c r="F108" s="30" t="str">
        <f>'DATA GPC'!$E28</f>
        <v>--</v>
      </c>
      <c r="G108" s="2112">
        <f>IF('WACC and TIC Inputs'!$D137="X",0,IF('DATA GPC'!$G28="",0,'DATA GPC'!$G28))</f>
        <v>0</v>
      </c>
      <c r="H108" s="281">
        <f>--('DATA GPC'!K63="Y")</f>
        <v>0</v>
      </c>
      <c r="I108" s="2294"/>
      <c r="J108" s="2293">
        <v>995</v>
      </c>
      <c r="K108" s="2293">
        <v>996</v>
      </c>
      <c r="L108" s="2293">
        <v>997</v>
      </c>
      <c r="M108" s="2293">
        <v>998</v>
      </c>
      <c r="N108" s="2293">
        <v>999</v>
      </c>
      <c r="O108" s="2293">
        <v>1000</v>
      </c>
      <c r="P108" s="2293">
        <v>2000</v>
      </c>
      <c r="Q108" s="633"/>
      <c r="R108" s="2293">
        <f t="shared" si="21"/>
        <v>1996</v>
      </c>
      <c r="T108" s="1598" t="str">
        <f t="shared" si="24"/>
        <v/>
      </c>
      <c r="U108" s="2293">
        <f t="shared" si="22"/>
        <v>1001</v>
      </c>
      <c r="V108" s="2293">
        <f t="shared" si="22"/>
        <v>1002</v>
      </c>
      <c r="W108" s="2293">
        <f t="shared" si="22"/>
        <v>1003</v>
      </c>
      <c r="X108" s="2293">
        <f t="shared" si="22"/>
        <v>1004</v>
      </c>
      <c r="Y108" s="2293">
        <f t="shared" si="22"/>
        <v>1005</v>
      </c>
      <c r="AR108" s="2060"/>
      <c r="AS108" s="98" t="s">
        <v>746</v>
      </c>
      <c r="AT108" s="80" t="s">
        <v>747</v>
      </c>
      <c r="AU108" s="80" t="s">
        <v>151</v>
      </c>
      <c r="AV108" s="80" t="s">
        <v>748</v>
      </c>
      <c r="AW108" s="81" t="s">
        <v>749</v>
      </c>
      <c r="AX108" s="78" t="s">
        <v>523</v>
      </c>
      <c r="AY108" s="78" t="s">
        <v>523</v>
      </c>
      <c r="AZ108" s="210" t="s">
        <v>522</v>
      </c>
      <c r="BA108" s="214"/>
      <c r="BB108" s="214"/>
      <c r="GK108" s="1956">
        <f>_xll.ciqfunctions.udf.CIQ("NasdaqGS:PCAR", "IQ_VOLUME", "8/22/2016")</f>
        <v>1.6905600000000001</v>
      </c>
      <c r="GL108" s="1956">
        <f>_xll.ciqfunctions.udf.CIQ("NasdaqGS:PCAR", "IQ_VOLUME", "8/19/2016")</f>
        <v>2.44807</v>
      </c>
      <c r="GM108" s="1956">
        <f>_xll.ciqfunctions.udf.CIQ("NasdaqGS:PCAR", "IQ_VOLUME", "8/18/2016")</f>
        <v>1.5813200000000001</v>
      </c>
      <c r="GN108" s="1956">
        <f>_xll.ciqfunctions.udf.CIQ("NasdaqGS:PCAR", "IQ_VOLUME", "8/17/2016")</f>
        <v>1.5511999999999999</v>
      </c>
      <c r="GO108" s="1956">
        <f>_xll.ciqfunctions.udf.CIQ("NasdaqGS:PCAR", "IQ_VOLUME", "8/16/2016")</f>
        <v>2.6329799999999999</v>
      </c>
      <c r="GP108" s="1956">
        <f>_xll.ciqfunctions.udf.CIQ("NasdaqGS:PCAR", "IQ_VOLUME", "8/15/2016")</f>
        <v>2.2926700000000002</v>
      </c>
      <c r="GQ108" s="1956">
        <f>_xll.ciqfunctions.udf.CIQ("NasdaqGS:PCAR", "IQ_VOLUME", "8/12/2016")</f>
        <v>1.19272</v>
      </c>
      <c r="GR108" s="1956">
        <f>_xll.ciqfunctions.udf.CIQ("NasdaqGS:PCAR", "IQ_VOLUME", "8/11/2016")</f>
        <v>0.95992999999999995</v>
      </c>
      <c r="GS108" s="1956">
        <f>_xll.ciqfunctions.udf.CIQ("NasdaqGS:PCAR", "IQ_VOLUME", "8/10/2016")</f>
        <v>1.3685700000000001</v>
      </c>
      <c r="GT108" s="1956">
        <f>_xll.ciqfunctions.udf.CIQ("NasdaqGS:PCAR", "IQ_VOLUME", "8/9/2016")</f>
        <v>1.3413999999999999</v>
      </c>
      <c r="GU108" s="1956">
        <f>_xll.ciqfunctions.udf.CIQ("NasdaqGS:PCAR", "IQ_VOLUME", "8/8/2016")</f>
        <v>1.1227499999999999</v>
      </c>
      <c r="GV108" s="1956">
        <f>_xll.ciqfunctions.udf.CIQ("NasdaqGS:PCAR", "IQ_VOLUME", "8/5/2016")</f>
        <v>1.68927</v>
      </c>
      <c r="GW108" s="1956">
        <f>_xll.ciqfunctions.udf.CIQ("NasdaqGS:PCAR", "IQ_VOLUME", "8/4/2016")</f>
        <v>2.3832599999999999</v>
      </c>
      <c r="GX108" s="1956">
        <f>_xll.ciqfunctions.udf.CIQ("NasdaqGS:PCAR", "IQ_VOLUME", "8/3/2016")</f>
        <v>2.3265799999999999</v>
      </c>
      <c r="GY108" s="1956">
        <f>_xll.ciqfunctions.udf.CIQ("NasdaqGS:PCAR", "IQ_VOLUME", "8/2/2016")</f>
        <v>2.5954899999999999</v>
      </c>
      <c r="GZ108" s="1956">
        <f>_xll.ciqfunctions.udf.CIQ("NasdaqGS:PCAR", "IQ_VOLUME", "8/1/2016")</f>
        <v>1.9410799999999999</v>
      </c>
      <c r="HA108" s="1956">
        <f>_xll.ciqfunctions.udf.CIQ("NasdaqGS:PCAR", "IQ_VOLUME", "7/29/2016")</f>
        <v>2.5045899999999999</v>
      </c>
      <c r="HB108" s="1956">
        <f>_xll.ciqfunctions.udf.CIQ("NasdaqGS:PCAR", "IQ_VOLUME", "7/28/2016")</f>
        <v>2.69726</v>
      </c>
      <c r="HC108" s="1956">
        <f>_xll.ciqfunctions.udf.CIQ("NasdaqGS:PCAR", "IQ_VOLUME", "7/27/2016")</f>
        <v>3.6137899999999998</v>
      </c>
      <c r="HD108" s="1956">
        <f>_xll.ciqfunctions.udf.CIQ("NasdaqGS:PCAR", "IQ_VOLUME", "7/26/2016")</f>
        <v>5.0640200000000002</v>
      </c>
      <c r="HE108" s="1956">
        <f>_xll.ciqfunctions.udf.CIQ("NasdaqGS:PCAR", "IQ_VOLUME", "7/25/2016")</f>
        <v>3.9587599999999998</v>
      </c>
      <c r="HF108" s="1956">
        <f>_xll.ciqfunctions.udf.CIQ("NasdaqGS:PCAR", "IQ_VOLUME", "7/22/2016")</f>
        <v>1.65544</v>
      </c>
      <c r="HG108" s="1956">
        <f>_xll.ciqfunctions.udf.CIQ("NasdaqGS:PCAR", "IQ_VOLUME", "7/21/2016")</f>
        <v>2.3015500000000002</v>
      </c>
      <c r="HH108" s="1956">
        <f>_xll.ciqfunctions.udf.CIQ("NasdaqGS:PCAR", "IQ_VOLUME", "7/20/2016")</f>
        <v>2.8737699999999999</v>
      </c>
      <c r="HI108" s="1956">
        <f>_xll.ciqfunctions.udf.CIQ("NasdaqGS:PCAR", "IQ_VOLUME", "7/19/2016")</f>
        <v>2.3769499999999999</v>
      </c>
      <c r="HJ108" s="1956">
        <f>_xll.ciqfunctions.udf.CIQ("NasdaqGS:PCAR", "IQ_VOLUME", "7/18/2016")</f>
        <v>2.4222000000000001</v>
      </c>
      <c r="HK108" s="1956">
        <f>_xll.ciqfunctions.udf.CIQ("NasdaqGS:PCAR", "IQ_VOLUME", "7/15/2016")</f>
        <v>2.0330499999999998</v>
      </c>
      <c r="HL108" s="1956">
        <f>_xll.ciqfunctions.udf.CIQ("NasdaqGS:PCAR", "IQ_VOLUME", "7/14/2016")</f>
        <v>1.81568</v>
      </c>
      <c r="HM108" s="1956">
        <f>_xll.ciqfunctions.udf.CIQ("NasdaqGS:PCAR", "IQ_VOLUME", "7/13/2016")</f>
        <v>1.67327</v>
      </c>
      <c r="HN108" s="1956">
        <f>_xll.ciqfunctions.udf.CIQ("NasdaqGS:PCAR", "IQ_VOLUME", "7/12/2016")</f>
        <v>2.57219</v>
      </c>
      <c r="HO108" s="1956">
        <f>_xll.ciqfunctions.udf.CIQ("NasdaqGS:PCAR", "IQ_VOLUME", "7/11/2016")</f>
        <v>2.0397400000000001</v>
      </c>
      <c r="HP108" s="1956">
        <f>_xll.ciqfunctions.udf.CIQ("NasdaqGS:PCAR", "IQ_VOLUME", "7/8/2016")</f>
        <v>3.4479299999999999</v>
      </c>
      <c r="HQ108" s="1956">
        <f>_xll.ciqfunctions.udf.CIQ("NasdaqGS:PCAR", "IQ_VOLUME", "7/7/2016")</f>
        <v>2.2708900000000001</v>
      </c>
      <c r="HR108" s="1956">
        <f>_xll.ciqfunctions.udf.CIQ("NasdaqGS:PCAR", "IQ_VOLUME", "7/6/2016")</f>
        <v>2.3942899999999998</v>
      </c>
      <c r="HS108" s="1956">
        <f>_xll.ciqfunctions.udf.CIQ("NasdaqGS:PCAR", "IQ_VOLUME", "7/5/2016")</f>
        <v>1.64032</v>
      </c>
      <c r="HT108" s="1956">
        <f>_xll.ciqfunctions.udf.CIQ("NasdaqGS:PCAR", "IQ_VOLUME", "7/1/2016")</f>
        <v>1.7557700000000001</v>
      </c>
      <c r="HU108" s="1956">
        <f>_xll.ciqfunctions.udf.CIQ("NasdaqGS:PCAR", "IQ_VOLUME", "6/30/2016")</f>
        <v>3.0692200000000001</v>
      </c>
      <c r="HV108" s="1956">
        <f>_xll.ciqfunctions.udf.CIQ("NasdaqGS:PCAR", "IQ_VOLUME", "6/29/2016")</f>
        <v>2.3443200000000002</v>
      </c>
      <c r="HW108" s="1956">
        <f>_xll.ciqfunctions.udf.CIQ("NasdaqGS:PCAR", "IQ_VOLUME", "6/28/2016")</f>
        <v>3.4816600000000002</v>
      </c>
      <c r="HX108" s="1956">
        <f>_xll.ciqfunctions.udf.CIQ("NasdaqGS:PCAR", "IQ_VOLUME", "6/27/2016")</f>
        <v>6.4494499999999997</v>
      </c>
      <c r="HY108" s="1956">
        <f>_xll.ciqfunctions.udf.CIQ("NasdaqGS:PCAR", "IQ_VOLUME", "6/24/2016")</f>
        <v>9.6579200000000007</v>
      </c>
      <c r="HZ108" s="1956">
        <f>_xll.ciqfunctions.udf.CIQ("NasdaqGS:PCAR", "IQ_VOLUME", "6/23/2016")</f>
        <v>1.5794299999999999</v>
      </c>
      <c r="IA108" s="1956">
        <f>_xll.ciqfunctions.udf.CIQ("NasdaqGS:PCAR", "IQ_VOLUME", "6/22/2016")</f>
        <v>1.6543699999999999</v>
      </c>
      <c r="IB108" s="1956">
        <f>_xll.ciqfunctions.udf.CIQ("NasdaqGS:PCAR", "IQ_VOLUME", "6/21/2016")</f>
        <v>1.96831</v>
      </c>
      <c r="IC108" s="1956">
        <f>_xll.ciqfunctions.udf.CIQ("NasdaqGS:PCAR", "IQ_VOLUME", "6/20/2016")</f>
        <v>1.60843</v>
      </c>
      <c r="ID108" s="1956">
        <f>_xll.ciqfunctions.udf.CIQ("NasdaqGS:PCAR", "IQ_VOLUME", "6/17/2016")</f>
        <v>3.48237</v>
      </c>
      <c r="IE108" s="1956">
        <f>_xll.ciqfunctions.udf.CIQ("NasdaqGS:PCAR", "IQ_VOLUME", "6/16/2016")</f>
        <v>1.5869800000000001</v>
      </c>
      <c r="IF108" s="1956">
        <f>_xll.ciqfunctions.udf.CIQ("NasdaqGS:PCAR", "IQ_VOLUME", "6/15/2016")</f>
        <v>1.7994300000000001</v>
      </c>
      <c r="IG108" s="1956">
        <f>_xll.ciqfunctions.udf.CIQ("NasdaqGS:PCAR", "IQ_VOLUME", "6/14/2016")</f>
        <v>1.9253800000000001</v>
      </c>
      <c r="IH108" s="1956">
        <f>_xll.ciqfunctions.udf.CIQ("NasdaqGS:PCAR", "IQ_VOLUME", "6/13/2016")</f>
        <v>1.6297200000000001</v>
      </c>
      <c r="II108" s="1956">
        <f>_xll.ciqfunctions.udf.CIQ("NasdaqGS:PCAR", "IQ_VOLUME", "6/10/2016")</f>
        <v>1.74394</v>
      </c>
      <c r="IJ108" s="1956">
        <f>_xll.ciqfunctions.udf.CIQ("NasdaqGS:PCAR", "IQ_VOLUME", "6/9/2016")</f>
        <v>1.0014700000000001</v>
      </c>
      <c r="IK108" s="1956">
        <f>_xll.ciqfunctions.udf.CIQ("NasdaqGS:PCAR", "IQ_VOLUME", "6/8/2016")</f>
        <v>1.7052</v>
      </c>
      <c r="IL108" s="1956">
        <f>_xll.ciqfunctions.udf.CIQ("NasdaqGS:PCAR", "IQ_VOLUME", "6/7/2016")</f>
        <v>1.9897</v>
      </c>
      <c r="IM108" s="1956">
        <f>_xll.ciqfunctions.udf.CIQ("NasdaqGS:PCAR", "IQ_VOLUME", "6/6/2016")</f>
        <v>2.0018400000000001</v>
      </c>
      <c r="IN108" s="1956">
        <f>_xll.ciqfunctions.udf.CIQ("NasdaqGS:PCAR", "IQ_VOLUME", "6/3/2016")</f>
        <v>2.9991400000000001</v>
      </c>
      <c r="IO108" s="1956">
        <f>_xll.ciqfunctions.udf.CIQ("NasdaqGS:PCAR", "IQ_VOLUME", "6/2/2016")</f>
        <v>1.53796</v>
      </c>
      <c r="IP108" s="1956">
        <f>_xll.ciqfunctions.udf.CIQ("NasdaqGS:PCAR", "IQ_VOLUME", "6/1/2016")</f>
        <v>1.6366000000000001</v>
      </c>
      <c r="IQ108" s="1956">
        <f>_xll.ciqfunctions.udf.CIQ("NasdaqGS:PCAR", "IQ_VOLUME", "5/31/2016")</f>
        <v>1.8510200000000001</v>
      </c>
      <c r="IR108" s="1956">
        <f>_xll.ciqfunctions.udf.CIQ("NasdaqGS:PCAR", "IQ_VOLUME", "5/27/2016")</f>
        <v>1.0371900000000001</v>
      </c>
      <c r="IS108" s="1956">
        <f>_xll.ciqfunctions.udf.CIQ("NasdaqGS:PCAR", "IQ_VOLUME", "5/26/2016")</f>
        <v>1.7305200000000001</v>
      </c>
      <c r="IT108" s="1956">
        <f>_xll.ciqfunctions.udf.CIQ("NasdaqGS:PCAR", "IQ_VOLUME", "5/25/2016")</f>
        <v>2.0648599999999999</v>
      </c>
      <c r="IU108" s="1956">
        <f>_xll.ciqfunctions.udf.CIQ("NasdaqGS:PCAR", "IQ_VOLUME", "5/24/2016")</f>
        <v>1.76084</v>
      </c>
      <c r="IV108" s="1956">
        <f>_xll.ciqfunctions.udf.CIQ("NasdaqGS:PCAR", "IQ_VOLUME", "5/23/2016")</f>
        <v>1.3856900000000001</v>
      </c>
      <c r="IW108" s="1956">
        <f>_xll.ciqfunctions.udf.CIQ("NasdaqGS:PCAR", "IQ_VOLUME", "5/20/2016")</f>
        <v>2.29514</v>
      </c>
      <c r="IX108" s="1956">
        <f>_xll.ciqfunctions.udf.CIQ("NasdaqGS:PCAR", "IQ_VOLUME", "5/19/2016")</f>
        <v>4.5110000000000001</v>
      </c>
      <c r="IY108" s="1956">
        <f>_xll.ciqfunctions.udf.CIQ("NasdaqGS:PCAR", "IQ_VOLUME", "5/18/2016")</f>
        <v>2.1513300000000002</v>
      </c>
      <c r="IZ108" s="1956">
        <f>_xll.ciqfunctions.udf.CIQ("NasdaqGS:PCAR", "IQ_VOLUME", "5/17/2016")</f>
        <v>1.3052699999999999</v>
      </c>
      <c r="JA108" s="1956">
        <f>_xll.ciqfunctions.udf.CIQ("NasdaqGS:PCAR", "IQ_VOLUME", "5/16/2016")</f>
        <v>1.9655899999999999</v>
      </c>
      <c r="JB108" s="1956">
        <f>_xll.ciqfunctions.udf.CIQ("NasdaqGS:PCAR", "IQ_VOLUME", "5/13/2016")</f>
        <v>1.3211999999999999</v>
      </c>
      <c r="JC108" s="1956">
        <f>_xll.ciqfunctions.udf.CIQ("NasdaqGS:PCAR", "IQ_VOLUME", "5/12/2016")</f>
        <v>1.69512</v>
      </c>
      <c r="JD108" s="1956">
        <f>_xll.ciqfunctions.udf.CIQ("NasdaqGS:PCAR", "IQ_VOLUME", "5/11/2016")</f>
        <v>1.92161</v>
      </c>
      <c r="JE108" s="1956">
        <f>_xll.ciqfunctions.udf.CIQ("NasdaqGS:PCAR", "IQ_VOLUME", "5/10/2016")</f>
        <v>2.2013699999999998</v>
      </c>
      <c r="JF108" s="1956">
        <f>_xll.ciqfunctions.udf.CIQ("NasdaqGS:PCAR", "IQ_VOLUME", "5/9/2016")</f>
        <v>2.4365800000000002</v>
      </c>
      <c r="JG108" s="1956">
        <f>_xll.ciqfunctions.udf.CIQ("NasdaqGS:PCAR", "IQ_VOLUME", "5/6/2016")</f>
        <v>2.64432</v>
      </c>
      <c r="JH108" s="1956">
        <f>_xll.ciqfunctions.udf.CIQ("NasdaqGS:PCAR", "IQ_VOLUME", "5/5/2016")</f>
        <v>1.9286799999999999</v>
      </c>
      <c r="JI108" s="1956">
        <f>_xll.ciqfunctions.udf.CIQ("NasdaqGS:PCAR", "IQ_VOLUME", "5/4/2016")</f>
        <v>3.3890600000000002</v>
      </c>
      <c r="JJ108" s="1956">
        <f>_xll.ciqfunctions.udf.CIQ("NasdaqGS:PCAR", "IQ_VOLUME", "5/3/2016")</f>
        <v>2.0564</v>
      </c>
      <c r="JK108" s="1956">
        <f>_xll.ciqfunctions.udf.CIQ("NasdaqGS:PCAR", "IQ_VOLUME", "5/2/2016")</f>
        <v>2.32714</v>
      </c>
      <c r="JL108" s="1956">
        <f>_xll.ciqfunctions.udf.CIQ("NasdaqGS:PCAR", "IQ_VOLUME", "4/29/2016")</f>
        <v>2.33501</v>
      </c>
      <c r="JM108" s="1956">
        <f>_xll.ciqfunctions.udf.CIQ("NasdaqGS:PCAR", "IQ_VOLUME", "4/28/2016")</f>
        <v>2.2004800000000002</v>
      </c>
      <c r="JN108" s="1956">
        <f>_xll.ciqfunctions.udf.CIQ("NasdaqGS:PCAR", "IQ_VOLUME", "4/27/2016")</f>
        <v>4.4106100000000001</v>
      </c>
      <c r="JO108" s="1956">
        <f>_xll.ciqfunctions.udf.CIQ("NasdaqGS:PCAR", "IQ_VOLUME", "4/26/2016")</f>
        <v>4.8257099999999999</v>
      </c>
      <c r="JP108" s="1956">
        <f>_xll.ciqfunctions.udf.CIQ("NasdaqGS:PCAR", "IQ_VOLUME", "4/25/2016")</f>
        <v>2.4858899999999999</v>
      </c>
      <c r="JQ108" s="1956">
        <f>_xll.ciqfunctions.udf.CIQ("NasdaqGS:PCAR", "IQ_VOLUME", "4/22/2016")</f>
        <v>2.3158799999999999</v>
      </c>
      <c r="JR108" s="1956">
        <f>_xll.ciqfunctions.udf.CIQ("NasdaqGS:PCAR", "IQ_VOLUME", "4/21/2016")</f>
        <v>1.4361600000000001</v>
      </c>
      <c r="JS108" s="1956">
        <f>_xll.ciqfunctions.udf.CIQ("NasdaqGS:PCAR", "IQ_VOLUME", "4/20/2016")</f>
        <v>2.61734</v>
      </c>
      <c r="JT108" s="1956">
        <f>_xll.ciqfunctions.udf.CIQ("NasdaqGS:PCAR", "IQ_VOLUME", "4/19/2016")</f>
        <v>2.49831</v>
      </c>
      <c r="JU108" s="1956">
        <f>_xll.ciqfunctions.udf.CIQ("NasdaqGS:PCAR", "IQ_VOLUME", "4/18/2016")</f>
        <v>2.52176</v>
      </c>
      <c r="JV108" s="1956">
        <f>_xll.ciqfunctions.udf.CIQ("NasdaqGS:PCAR", "IQ_VOLUME", "4/15/2016")</f>
        <v>1.54867</v>
      </c>
      <c r="JW108" s="1956">
        <f>_xll.ciqfunctions.udf.CIQ("NasdaqGS:PCAR", "IQ_VOLUME", "4/14/2016")</f>
        <v>1.9031499999999999</v>
      </c>
      <c r="JX108" s="1956">
        <f>_xll.ciqfunctions.udf.CIQ("NasdaqGS:PCAR", "IQ_VOLUME", "4/13/2016")</f>
        <v>2.00116</v>
      </c>
      <c r="JY108" s="1956">
        <f>_xll.ciqfunctions.udf.CIQ("NasdaqGS:PCAR", "IQ_VOLUME", "4/12/2016")</f>
        <v>2.0709200000000001</v>
      </c>
      <c r="JZ108" s="1956">
        <f>_xll.ciqfunctions.udf.CIQ("NasdaqGS:PCAR", "IQ_VOLUME", "4/11/2016")</f>
        <v>2.1682600000000001</v>
      </c>
      <c r="KA108" s="1956">
        <f>_xll.ciqfunctions.udf.CIQ("NasdaqGS:PCAR", "IQ_VOLUME", "4/8/2016")</f>
        <v>1.56708</v>
      </c>
      <c r="KB108" s="1956">
        <f>_xll.ciqfunctions.udf.CIQ("NasdaqGS:PCAR", "IQ_VOLUME", "4/7/2016")</f>
        <v>1.6164700000000001</v>
      </c>
      <c r="KC108" s="1956">
        <f>_xll.ciqfunctions.udf.CIQ("NasdaqGS:PCAR", "IQ_VOLUME", "4/6/2016")</f>
        <v>2.1741600000000001</v>
      </c>
      <c r="KD108" s="1956">
        <f>_xll.ciqfunctions.udf.CIQ("NasdaqGS:PCAR", "IQ_VOLUME", "4/5/2016")</f>
        <v>2.3330500000000001</v>
      </c>
      <c r="KE108" s="1956">
        <f>_xll.ciqfunctions.udf.CIQ("NasdaqGS:PCAR", "IQ_VOLUME", "4/4/2016")</f>
        <v>1.6701999999999999</v>
      </c>
      <c r="KF108" s="1956">
        <f>_xll.ciqfunctions.udf.CIQ("NasdaqGS:PCAR", "IQ_VOLUME", "4/1/2016")</f>
        <v>2.07321</v>
      </c>
      <c r="KG108" s="1956">
        <f>_xll.ciqfunctions.udf.CIQ("NasdaqGS:PCAR", "IQ_VOLUME", "3/31/2016")</f>
        <v>2.05084</v>
      </c>
      <c r="KH108" s="1956">
        <f>_xll.ciqfunctions.udf.CIQ("NasdaqGS:PCAR", "IQ_VOLUME", "3/30/2016")</f>
        <v>1.43448</v>
      </c>
      <c r="KI108" s="1956">
        <f>_xll.ciqfunctions.udf.CIQ("NasdaqGS:PCAR", "IQ_VOLUME", "3/29/2016")</f>
        <v>1.8717999999999999</v>
      </c>
      <c r="KJ108" s="1956">
        <f>_xll.ciqfunctions.udf.CIQ("NasdaqGS:PCAR", "IQ_VOLUME", "3/28/2016")</f>
        <v>1.4638599999999999</v>
      </c>
      <c r="KK108" s="1956">
        <f>_xll.ciqfunctions.udf.CIQ("NasdaqGS:PCAR", "IQ_VOLUME", "3/24/2016")</f>
        <v>1.5032799999999999</v>
      </c>
      <c r="KL108" s="1956">
        <f>_xll.ciqfunctions.udf.CIQ("NasdaqGS:PCAR", "IQ_VOLUME", "3/23/2016")</f>
        <v>1.5603400000000001</v>
      </c>
      <c r="KM108" s="1956">
        <f>_xll.ciqfunctions.udf.CIQ("NasdaqGS:PCAR", "IQ_VOLUME", "3/22/2016")</f>
        <v>1.2927999999999999</v>
      </c>
      <c r="KN108" s="1956">
        <f>_xll.ciqfunctions.udf.CIQ("NasdaqGS:PCAR", "IQ_VOLUME", "3/21/2016")</f>
        <v>1.86765</v>
      </c>
      <c r="KO108" s="1956">
        <f>_xll.ciqfunctions.udf.CIQ("NasdaqGS:PCAR", "IQ_VOLUME", "3/18/2016")</f>
        <v>7.5652400000000002</v>
      </c>
      <c r="KP108" s="1956">
        <f>_xll.ciqfunctions.udf.CIQ("NasdaqGS:PCAR", "IQ_VOLUME", "3/17/2016")</f>
        <v>2.3026499999999999</v>
      </c>
      <c r="KQ108" s="1956">
        <f>_xll.ciqfunctions.udf.CIQ("NasdaqGS:PCAR", "IQ_VOLUME", "3/16/2016")</f>
        <v>1.9112199999999999</v>
      </c>
      <c r="KR108" s="1956">
        <f>_xll.ciqfunctions.udf.CIQ("NasdaqGS:PCAR", "IQ_VOLUME", "3/15/2016")</f>
        <v>1.6503699999999999</v>
      </c>
      <c r="KS108" s="1956">
        <f>_xll.ciqfunctions.udf.CIQ("NasdaqGS:PCAR", "IQ_VOLUME", "3/14/2016")</f>
        <v>2.9037600000000001</v>
      </c>
      <c r="KT108" s="1956">
        <f>_xll.ciqfunctions.udf.CIQ("NasdaqGS:PCAR", "IQ_VOLUME", "3/11/2016")</f>
        <v>1.9881200000000001</v>
      </c>
      <c r="KU108" s="1956">
        <f>_xll.ciqfunctions.udf.CIQ("NasdaqGS:PCAR", "IQ_VOLUME", "3/10/2016")</f>
        <v>2.0646800000000001</v>
      </c>
      <c r="KV108" s="1956">
        <f>_xll.ciqfunctions.udf.CIQ("NasdaqGS:PCAR", "IQ_VOLUME", "3/9/2016")</f>
        <v>2.2944499999999999</v>
      </c>
    </row>
    <row r="109" spans="1:308" s="89" customFormat="1" ht="13.9">
      <c r="A109" s="269" t="str">
        <f t="shared" si="23"/>
        <v>n</v>
      </c>
      <c r="B109" s="2060"/>
      <c r="D109" s="801"/>
      <c r="E109" s="1505">
        <v>10</v>
      </c>
      <c r="F109" s="30" t="str">
        <f>'DATA GPC'!$E29</f>
        <v>--</v>
      </c>
      <c r="G109" s="2112">
        <f>IF('WACC and TIC Inputs'!$D138="X",0,IF('DATA GPC'!$G29="",0,'DATA GPC'!$G29))</f>
        <v>0</v>
      </c>
      <c r="H109" s="281">
        <f>--('DATA GPC'!K64="Y")</f>
        <v>0</v>
      </c>
      <c r="I109" s="2294"/>
      <c r="J109" s="2293">
        <v>995</v>
      </c>
      <c r="K109" s="2293">
        <v>996</v>
      </c>
      <c r="L109" s="2293">
        <v>997</v>
      </c>
      <c r="M109" s="2293">
        <v>998</v>
      </c>
      <c r="N109" s="2293">
        <v>999</v>
      </c>
      <c r="O109" s="2293">
        <v>1000</v>
      </c>
      <c r="P109" s="2293">
        <v>2000</v>
      </c>
      <c r="Q109" s="633"/>
      <c r="R109" s="2293">
        <f t="shared" si="21"/>
        <v>1996</v>
      </c>
      <c r="T109" s="1598" t="str">
        <f t="shared" si="24"/>
        <v/>
      </c>
      <c r="U109" s="2293">
        <f t="shared" si="22"/>
        <v>1001</v>
      </c>
      <c r="V109" s="2293">
        <f t="shared" si="22"/>
        <v>1002</v>
      </c>
      <c r="W109" s="2293">
        <f t="shared" si="22"/>
        <v>1003</v>
      </c>
      <c r="X109" s="2293">
        <f t="shared" si="22"/>
        <v>1004</v>
      </c>
      <c r="Y109" s="2293">
        <f t="shared" si="22"/>
        <v>1005</v>
      </c>
      <c r="AR109" s="2060"/>
      <c r="AS109" s="98" t="s">
        <v>750</v>
      </c>
      <c r="AT109" s="80" t="s">
        <v>751</v>
      </c>
      <c r="AU109" s="80" t="s">
        <v>162</v>
      </c>
      <c r="AV109" s="80" t="s">
        <v>752</v>
      </c>
      <c r="AW109" s="81" t="s">
        <v>753</v>
      </c>
      <c r="AX109" s="78" t="s">
        <v>529</v>
      </c>
      <c r="AY109" s="78" t="s">
        <v>529</v>
      </c>
      <c r="AZ109" s="78" t="s">
        <v>528</v>
      </c>
      <c r="BA109" s="214"/>
      <c r="BB109" s="214"/>
      <c r="GK109" s="1956">
        <f>_xll.ciqfunctions.udf.CIQ("NYSE:TEX", "IQ_VOLUME", "8/22/2016")</f>
        <v>0.85653000000000001</v>
      </c>
      <c r="GL109" s="1956">
        <f>_xll.ciqfunctions.udf.CIQ("NYSE:TEX", "IQ_VOLUME", "8/19/2016")</f>
        <v>0.85153999999999996</v>
      </c>
      <c r="GM109" s="1956">
        <f>_xll.ciqfunctions.udf.CIQ("NYSE:TEX", "IQ_VOLUME", "8/18/2016")</f>
        <v>2.6632899999999999</v>
      </c>
      <c r="GN109" s="1956">
        <f>_xll.ciqfunctions.udf.CIQ("NYSE:TEX", "IQ_VOLUME", "8/17/2016")</f>
        <v>0.78627000000000002</v>
      </c>
      <c r="GO109" s="1956">
        <f>_xll.ciqfunctions.udf.CIQ("NYSE:TEX", "IQ_VOLUME", "8/16/2016")</f>
        <v>0.54627000000000003</v>
      </c>
      <c r="GP109" s="1956">
        <f>_xll.ciqfunctions.udf.CIQ("NYSE:TEX", "IQ_VOLUME", "8/15/2016")</f>
        <v>0.64124999999999999</v>
      </c>
      <c r="GQ109" s="1956">
        <f>_xll.ciqfunctions.udf.CIQ("NYSE:TEX", "IQ_VOLUME", "8/12/2016")</f>
        <v>0.59355999999999998</v>
      </c>
      <c r="GR109" s="1956">
        <f>_xll.ciqfunctions.udf.CIQ("NYSE:TEX", "IQ_VOLUME", "8/11/2016")</f>
        <v>0.71536</v>
      </c>
      <c r="GS109" s="1956">
        <f>_xll.ciqfunctions.udf.CIQ("NYSE:TEX", "IQ_VOLUME", "8/10/2016")</f>
        <v>0.95825000000000005</v>
      </c>
      <c r="GT109" s="1956">
        <f>_xll.ciqfunctions.udf.CIQ("NYSE:TEX", "IQ_VOLUME", "8/9/2016")</f>
        <v>1.25891</v>
      </c>
      <c r="GU109" s="1956">
        <f>_xll.ciqfunctions.udf.CIQ("NYSE:TEX", "IQ_VOLUME", "8/8/2016")</f>
        <v>1.5615600000000001</v>
      </c>
      <c r="GV109" s="1956">
        <f>_xll.ciqfunctions.udf.CIQ("NYSE:TEX", "IQ_VOLUME", "8/5/2016")</f>
        <v>1.5229900000000001</v>
      </c>
      <c r="GW109" s="1956">
        <f>_xll.ciqfunctions.udf.CIQ("NYSE:TEX", "IQ_VOLUME", "8/4/2016")</f>
        <v>1.41849</v>
      </c>
      <c r="GX109" s="1956">
        <f>_xll.ciqfunctions.udf.CIQ("NYSE:TEX", "IQ_VOLUME", "8/3/2016")</f>
        <v>1.3164</v>
      </c>
      <c r="GY109" s="1956">
        <f>_xll.ciqfunctions.udf.CIQ("NYSE:TEX", "IQ_VOLUME", "8/2/2016")</f>
        <v>2.8215699999999999</v>
      </c>
      <c r="GZ109" s="1956">
        <f>_xll.ciqfunctions.udf.CIQ("NYSE:TEX", "IQ_VOLUME", "8/1/2016")</f>
        <v>2.0680700000000001</v>
      </c>
      <c r="HA109" s="1956">
        <f>_xll.ciqfunctions.udf.CIQ("NYSE:TEX", "IQ_VOLUME", "7/29/2016")</f>
        <v>1.46671</v>
      </c>
      <c r="HB109" s="1956">
        <f>_xll.ciqfunctions.udf.CIQ("NYSE:TEX", "IQ_VOLUME", "7/28/2016")</f>
        <v>2.1545000000000001</v>
      </c>
      <c r="HC109" s="1956">
        <f>_xll.ciqfunctions.udf.CIQ("NYSE:TEX", "IQ_VOLUME", "7/27/2016")</f>
        <v>0.89190000000000003</v>
      </c>
      <c r="HD109" s="1956">
        <f>_xll.ciqfunctions.udf.CIQ("NYSE:TEX", "IQ_VOLUME", "7/26/2016")</f>
        <v>1.53298</v>
      </c>
      <c r="HE109" s="1956">
        <f>_xll.ciqfunctions.udf.CIQ("NYSE:TEX", "IQ_VOLUME", "7/25/2016")</f>
        <v>1.7527999999999999</v>
      </c>
      <c r="HF109" s="1956">
        <f>_xll.ciqfunctions.udf.CIQ("NYSE:TEX", "IQ_VOLUME", "7/22/2016")</f>
        <v>0.77161999999999997</v>
      </c>
      <c r="HG109" s="1956">
        <f>_xll.ciqfunctions.udf.CIQ("NYSE:TEX", "IQ_VOLUME", "7/21/2016")</f>
        <v>1.5377000000000001</v>
      </c>
      <c r="HH109" s="1956">
        <f>_xll.ciqfunctions.udf.CIQ("NYSE:TEX", "IQ_VOLUME", "7/20/2016")</f>
        <v>1.2211099999999999</v>
      </c>
      <c r="HI109" s="1956">
        <f>_xll.ciqfunctions.udf.CIQ("NYSE:TEX", "IQ_VOLUME", "7/19/2016")</f>
        <v>0.65752999999999995</v>
      </c>
      <c r="HJ109" s="1956">
        <f>_xll.ciqfunctions.udf.CIQ("NYSE:TEX", "IQ_VOLUME", "7/18/2016")</f>
        <v>0.76524999999999999</v>
      </c>
      <c r="HK109" s="1956">
        <f>_xll.ciqfunctions.udf.CIQ("NYSE:TEX", "IQ_VOLUME", "7/15/2016")</f>
        <v>1.0813600000000001</v>
      </c>
      <c r="HL109" s="1956">
        <f>_xll.ciqfunctions.udf.CIQ("NYSE:TEX", "IQ_VOLUME", "7/14/2016")</f>
        <v>0.94381000000000004</v>
      </c>
      <c r="HM109" s="1956">
        <f>_xll.ciqfunctions.udf.CIQ("NYSE:TEX", "IQ_VOLUME", "7/13/2016")</f>
        <v>0.73168999999999995</v>
      </c>
      <c r="HN109" s="1956">
        <f>_xll.ciqfunctions.udf.CIQ("NYSE:TEX", "IQ_VOLUME", "7/12/2016")</f>
        <v>0.65161999999999998</v>
      </c>
      <c r="HO109" s="1956">
        <f>_xll.ciqfunctions.udf.CIQ("NYSE:TEX", "IQ_VOLUME", "7/11/2016")</f>
        <v>1.1990000000000001</v>
      </c>
      <c r="HP109" s="1956">
        <f>_xll.ciqfunctions.udf.CIQ("NYSE:TEX", "IQ_VOLUME", "7/8/2016")</f>
        <v>1.1738</v>
      </c>
      <c r="HQ109" s="1956">
        <f>_xll.ciqfunctions.udf.CIQ("NYSE:TEX", "IQ_VOLUME", "7/7/2016")</f>
        <v>1.6731499999999999</v>
      </c>
      <c r="HR109" s="1956">
        <f>_xll.ciqfunctions.udf.CIQ("NYSE:TEX", "IQ_VOLUME", "7/6/2016")</f>
        <v>1.22116</v>
      </c>
      <c r="HS109" s="1956">
        <f>_xll.ciqfunctions.udf.CIQ("NYSE:TEX", "IQ_VOLUME", "7/5/2016")</f>
        <v>1.49533</v>
      </c>
      <c r="HT109" s="1956">
        <f>_xll.ciqfunctions.udf.CIQ("NYSE:TEX", "IQ_VOLUME", "7/1/2016")</f>
        <v>1.3532500000000001</v>
      </c>
      <c r="HU109" s="1956">
        <f>_xll.ciqfunctions.udf.CIQ("NYSE:TEX", "IQ_VOLUME", "6/30/2016")</f>
        <v>1.0437700000000001</v>
      </c>
      <c r="HV109" s="1956">
        <f>_xll.ciqfunctions.udf.CIQ("NYSE:TEX", "IQ_VOLUME", "6/29/2016")</f>
        <v>1.12477</v>
      </c>
      <c r="HW109" s="1956">
        <f>_xll.ciqfunctions.udf.CIQ("NYSE:TEX", "IQ_VOLUME", "6/28/2016")</f>
        <v>1.7095</v>
      </c>
      <c r="HX109" s="1956">
        <f>_xll.ciqfunctions.udf.CIQ("NYSE:TEX", "IQ_VOLUME", "6/27/2016")</f>
        <v>1.83527</v>
      </c>
      <c r="HY109" s="1956">
        <f>_xll.ciqfunctions.udf.CIQ("NYSE:TEX", "IQ_VOLUME", "6/24/2016")</f>
        <v>7.0960999999999999</v>
      </c>
      <c r="HZ109" s="1956">
        <f>_xll.ciqfunctions.udf.CIQ("NYSE:TEX", "IQ_VOLUME", "6/23/2016")</f>
        <v>1.5836699999999999</v>
      </c>
      <c r="IA109" s="1956">
        <f>_xll.ciqfunctions.udf.CIQ("NYSE:TEX", "IQ_VOLUME", "6/22/2016")</f>
        <v>1.3111900000000001</v>
      </c>
      <c r="IB109" s="1956">
        <f>_xll.ciqfunctions.udf.CIQ("NYSE:TEX", "IQ_VOLUME", "6/21/2016")</f>
        <v>2.05064</v>
      </c>
      <c r="IC109" s="1956">
        <f>_xll.ciqfunctions.udf.CIQ("NYSE:TEX", "IQ_VOLUME", "6/20/2016")</f>
        <v>1.32134</v>
      </c>
      <c r="ID109" s="1956">
        <f>_xll.ciqfunctions.udf.CIQ("NYSE:TEX", "IQ_VOLUME", "6/17/2016")</f>
        <v>1.51214</v>
      </c>
      <c r="IE109" s="1956">
        <f>_xll.ciqfunctions.udf.CIQ("NYSE:TEX", "IQ_VOLUME", "6/16/2016")</f>
        <v>1.0466899999999999</v>
      </c>
      <c r="IF109" s="1956">
        <f>_xll.ciqfunctions.udf.CIQ("NYSE:TEX", "IQ_VOLUME", "6/15/2016")</f>
        <v>1.3293999999999999</v>
      </c>
      <c r="IG109" s="1956">
        <f>_xll.ciqfunctions.udf.CIQ("NYSE:TEX", "IQ_VOLUME", "6/14/2016")</f>
        <v>1.5515699999999999</v>
      </c>
      <c r="IH109" s="1956">
        <f>_xll.ciqfunctions.udf.CIQ("NYSE:TEX", "IQ_VOLUME", "6/13/2016")</f>
        <v>2.0199500000000001</v>
      </c>
      <c r="II109" s="1956">
        <f>_xll.ciqfunctions.udf.CIQ("NYSE:TEX", "IQ_VOLUME", "6/10/2016")</f>
        <v>1.7495700000000001</v>
      </c>
      <c r="IJ109" s="1956">
        <f>_xll.ciqfunctions.udf.CIQ("NYSE:TEX", "IQ_VOLUME", "6/9/2016")</f>
        <v>1.8694299999999999</v>
      </c>
      <c r="IK109" s="1956">
        <f>_xll.ciqfunctions.udf.CIQ("NYSE:TEX", "IQ_VOLUME", "6/8/2016")</f>
        <v>1.6516500000000001</v>
      </c>
      <c r="IL109" s="1956">
        <f>_xll.ciqfunctions.udf.CIQ("NYSE:TEX", "IQ_VOLUME", "6/7/2016")</f>
        <v>0.98868</v>
      </c>
      <c r="IM109" s="1956">
        <f>_xll.ciqfunctions.udf.CIQ("NYSE:TEX", "IQ_VOLUME", "6/6/2016")</f>
        <v>2.1370399999999998</v>
      </c>
      <c r="IN109" s="1956">
        <f>_xll.ciqfunctions.udf.CIQ("NYSE:TEX", "IQ_VOLUME", "6/3/2016")</f>
        <v>1.7164999999999999</v>
      </c>
      <c r="IO109" s="1956">
        <f>_xll.ciqfunctions.udf.CIQ("NYSE:TEX", "IQ_VOLUME", "6/2/2016")</f>
        <v>1.9762999999999999</v>
      </c>
      <c r="IP109" s="1956">
        <f>_xll.ciqfunctions.udf.CIQ("NYSE:TEX", "IQ_VOLUME", "6/1/2016")</f>
        <v>3.0768599999999999</v>
      </c>
      <c r="IQ109" s="1956">
        <f>_xll.ciqfunctions.udf.CIQ("NYSE:TEX", "IQ_VOLUME", "5/31/2016")</f>
        <v>4.9391800000000003</v>
      </c>
      <c r="IR109" s="1956">
        <f>_xll.ciqfunctions.udf.CIQ("NYSE:TEX", "IQ_VOLUME", "5/27/2016")</f>
        <v>19.93263</v>
      </c>
      <c r="IS109" s="1956">
        <f>_xll.ciqfunctions.udf.CIQ("NYSE:TEX", "IQ_VOLUME", "5/26/2016")</f>
        <v>1.78867</v>
      </c>
      <c r="IT109" s="1956">
        <f>_xll.ciqfunctions.udf.CIQ("NYSE:TEX", "IQ_VOLUME", "5/25/2016")</f>
        <v>1.13408</v>
      </c>
      <c r="IU109" s="1956">
        <f>_xll.ciqfunctions.udf.CIQ("NYSE:TEX", "IQ_VOLUME", "5/24/2016")</f>
        <v>0.82762999999999998</v>
      </c>
      <c r="IV109" s="1956">
        <f>_xll.ciqfunctions.udf.CIQ("NYSE:TEX", "IQ_VOLUME", "5/23/2016")</f>
        <v>1.44279</v>
      </c>
      <c r="IW109" s="1956">
        <f>_xll.ciqfunctions.udf.CIQ("NYSE:TEX", "IQ_VOLUME", "5/20/2016")</f>
        <v>2.0473599999999998</v>
      </c>
      <c r="IX109" s="1956">
        <f>_xll.ciqfunctions.udf.CIQ("NYSE:TEX", "IQ_VOLUME", "5/19/2016")</f>
        <v>0.93769000000000002</v>
      </c>
      <c r="IY109" s="1956">
        <f>_xll.ciqfunctions.udf.CIQ("NYSE:TEX", "IQ_VOLUME", "5/18/2016")</f>
        <v>1.37632</v>
      </c>
      <c r="IZ109" s="1956">
        <f>_xll.ciqfunctions.udf.CIQ("NYSE:TEX", "IQ_VOLUME", "5/17/2016")</f>
        <v>2.5342500000000001</v>
      </c>
      <c r="JA109" s="1956">
        <f>_xll.ciqfunctions.udf.CIQ("NYSE:TEX", "IQ_VOLUME", "5/16/2016")</f>
        <v>6.6238700000000001</v>
      </c>
      <c r="JB109" s="1956">
        <f>_xll.ciqfunctions.udf.CIQ("NYSE:TEX", "IQ_VOLUME", "5/13/2016")</f>
        <v>1.9531099999999999</v>
      </c>
      <c r="JC109" s="1956">
        <f>_xll.ciqfunctions.udf.CIQ("NYSE:TEX", "IQ_VOLUME", "5/12/2016")</f>
        <v>2.7151999999999998</v>
      </c>
      <c r="JD109" s="1956">
        <f>_xll.ciqfunctions.udf.CIQ("NYSE:TEX", "IQ_VOLUME", "5/11/2016")</f>
        <v>1.70028</v>
      </c>
      <c r="JE109" s="1956">
        <f>_xll.ciqfunctions.udf.CIQ("NYSE:TEX", "IQ_VOLUME", "5/10/2016")</f>
        <v>1.0179499999999999</v>
      </c>
      <c r="JF109" s="1956">
        <f>_xll.ciqfunctions.udf.CIQ("NYSE:TEX", "IQ_VOLUME", "5/9/2016")</f>
        <v>1.27274</v>
      </c>
      <c r="JG109" s="1956">
        <f>_xll.ciqfunctions.udf.CIQ("NYSE:TEX", "IQ_VOLUME", "5/6/2016")</f>
        <v>0.96492999999999995</v>
      </c>
      <c r="JH109" s="1956">
        <f>_xll.ciqfunctions.udf.CIQ("NYSE:TEX", "IQ_VOLUME", "5/5/2016")</f>
        <v>0.79776000000000002</v>
      </c>
      <c r="JI109" s="1956">
        <f>_xll.ciqfunctions.udf.CIQ("NYSE:TEX", "IQ_VOLUME", "5/4/2016")</f>
        <v>0.88236000000000003</v>
      </c>
      <c r="JJ109" s="1956">
        <f>_xll.ciqfunctions.udf.CIQ("NYSE:TEX", "IQ_VOLUME", "5/3/2016")</f>
        <v>1.4345000000000001</v>
      </c>
      <c r="JK109" s="1956">
        <f>_xll.ciqfunctions.udf.CIQ("NYSE:TEX", "IQ_VOLUME", "5/2/2016")</f>
        <v>1.4226700000000001</v>
      </c>
      <c r="JL109" s="1956">
        <f>_xll.ciqfunctions.udf.CIQ("NYSE:TEX", "IQ_VOLUME", "4/29/2016")</f>
        <v>1.63723</v>
      </c>
      <c r="JM109" s="1956">
        <f>_xll.ciqfunctions.udf.CIQ("NYSE:TEX", "IQ_VOLUME", "4/28/2016")</f>
        <v>1.14164</v>
      </c>
      <c r="JN109" s="1956">
        <f>_xll.ciqfunctions.udf.CIQ("NYSE:TEX", "IQ_VOLUME", "4/27/2016")</f>
        <v>2.4377300000000002</v>
      </c>
      <c r="JO109" s="1956">
        <f>_xll.ciqfunctions.udf.CIQ("NYSE:TEX", "IQ_VOLUME", "4/26/2016")</f>
        <v>1.1041399999999999</v>
      </c>
      <c r="JP109" s="1956">
        <f>_xll.ciqfunctions.udf.CIQ("NYSE:TEX", "IQ_VOLUME", "4/25/2016")</f>
        <v>1.5580499999999999</v>
      </c>
      <c r="JQ109" s="1956">
        <f>_xll.ciqfunctions.udf.CIQ("NYSE:TEX", "IQ_VOLUME", "4/22/2016")</f>
        <v>0.99017999999999995</v>
      </c>
      <c r="JR109" s="1956">
        <f>_xll.ciqfunctions.udf.CIQ("NYSE:TEX", "IQ_VOLUME", "4/21/2016")</f>
        <v>0.96584000000000003</v>
      </c>
      <c r="JS109" s="1956">
        <f>_xll.ciqfunctions.udf.CIQ("NYSE:TEX", "IQ_VOLUME", "4/20/2016")</f>
        <v>1.2773699999999999</v>
      </c>
      <c r="JT109" s="1956">
        <f>_xll.ciqfunctions.udf.CIQ("NYSE:TEX", "IQ_VOLUME", "4/19/2016")</f>
        <v>1.0702</v>
      </c>
      <c r="JU109" s="1956">
        <f>_xll.ciqfunctions.udf.CIQ("NYSE:TEX", "IQ_VOLUME", "4/18/2016")</f>
        <v>1.7391300000000001</v>
      </c>
      <c r="JV109" s="1956">
        <f>_xll.ciqfunctions.udf.CIQ("NYSE:TEX", "IQ_VOLUME", "4/15/2016")</f>
        <v>1.7283900000000001</v>
      </c>
      <c r="JW109" s="1956">
        <f>_xll.ciqfunctions.udf.CIQ("NYSE:TEX", "IQ_VOLUME", "4/14/2016")</f>
        <v>0.98392000000000002</v>
      </c>
      <c r="JX109" s="1956">
        <f>_xll.ciqfunctions.udf.CIQ("NYSE:TEX", "IQ_VOLUME", "4/13/2016")</f>
        <v>0.73582999999999998</v>
      </c>
      <c r="JY109" s="1956">
        <f>_xll.ciqfunctions.udf.CIQ("NYSE:TEX", "IQ_VOLUME", "4/12/2016")</f>
        <v>0.89585999999999999</v>
      </c>
      <c r="JZ109" s="1956">
        <f>_xll.ciqfunctions.udf.CIQ("NYSE:TEX", "IQ_VOLUME", "4/11/2016")</f>
        <v>0.78985000000000005</v>
      </c>
      <c r="KA109" s="1956">
        <f>_xll.ciqfunctions.udf.CIQ("NYSE:TEX", "IQ_VOLUME", "4/8/2016")</f>
        <v>1.77399</v>
      </c>
      <c r="KB109" s="1956">
        <f>_xll.ciqfunctions.udf.CIQ("NYSE:TEX", "IQ_VOLUME", "4/7/2016")</f>
        <v>1.6708099999999999</v>
      </c>
      <c r="KC109" s="1956">
        <f>_xll.ciqfunctions.udf.CIQ("NYSE:TEX", "IQ_VOLUME", "4/6/2016")</f>
        <v>1.2392000000000001</v>
      </c>
      <c r="KD109" s="1956">
        <f>_xll.ciqfunctions.udf.CIQ("NYSE:TEX", "IQ_VOLUME", "4/5/2016")</f>
        <v>0.89629999999999999</v>
      </c>
      <c r="KE109" s="1956">
        <f>_xll.ciqfunctions.udf.CIQ("NYSE:TEX", "IQ_VOLUME", "4/4/2016")</f>
        <v>1.40724</v>
      </c>
      <c r="KF109" s="1956">
        <f>_xll.ciqfunctions.udf.CIQ("NYSE:TEX", "IQ_VOLUME", "4/1/2016")</f>
        <v>1.75881</v>
      </c>
      <c r="KG109" s="1956">
        <f>_xll.ciqfunctions.udf.CIQ("NYSE:TEX", "IQ_VOLUME", "3/31/2016")</f>
        <v>1.47156</v>
      </c>
      <c r="KH109" s="1956">
        <f>_xll.ciqfunctions.udf.CIQ("NYSE:TEX", "IQ_VOLUME", "3/30/2016")</f>
        <v>1.22899</v>
      </c>
      <c r="KI109" s="1956">
        <f>_xll.ciqfunctions.udf.CIQ("NYSE:TEX", "IQ_VOLUME", "3/29/2016")</f>
        <v>1.6615500000000001</v>
      </c>
      <c r="KJ109" s="1956">
        <f>_xll.ciqfunctions.udf.CIQ("NYSE:TEX", "IQ_VOLUME", "3/28/2016")</f>
        <v>1.66126</v>
      </c>
      <c r="KK109" s="1956">
        <f>_xll.ciqfunctions.udf.CIQ("NYSE:TEX", "IQ_VOLUME", "3/24/2016")</f>
        <v>3.0724300000000002</v>
      </c>
      <c r="KL109" s="1956">
        <f>_xll.ciqfunctions.udf.CIQ("NYSE:TEX", "IQ_VOLUME", "3/23/2016")</f>
        <v>0.88270000000000004</v>
      </c>
      <c r="KM109" s="1956">
        <f>_xll.ciqfunctions.udf.CIQ("NYSE:TEX", "IQ_VOLUME", "3/22/2016")</f>
        <v>0.76927000000000001</v>
      </c>
      <c r="KN109" s="1956">
        <f>_xll.ciqfunctions.udf.CIQ("NYSE:TEX", "IQ_VOLUME", "3/21/2016")</f>
        <v>0.94650000000000001</v>
      </c>
      <c r="KO109" s="1956">
        <f>_xll.ciqfunctions.udf.CIQ("NYSE:TEX", "IQ_VOLUME", "3/18/2016")</f>
        <v>2.0784500000000001</v>
      </c>
      <c r="KP109" s="1956">
        <f>_xll.ciqfunctions.udf.CIQ("NYSE:TEX", "IQ_VOLUME", "3/17/2016")</f>
        <v>1.5785499999999999</v>
      </c>
      <c r="KQ109" s="1956">
        <f>_xll.ciqfunctions.udf.CIQ("NYSE:TEX", "IQ_VOLUME", "3/16/2016")</f>
        <v>2.8864399999999999</v>
      </c>
      <c r="KR109" s="1956">
        <f>_xll.ciqfunctions.udf.CIQ("NYSE:TEX", "IQ_VOLUME", "3/15/2016")</f>
        <v>4.6498699999999999</v>
      </c>
      <c r="KS109" s="1956">
        <f>_xll.ciqfunctions.udf.CIQ("NYSE:TEX", "IQ_VOLUME", "3/14/2016")</f>
        <v>0.77385000000000004</v>
      </c>
      <c r="KT109" s="1956">
        <f>_xll.ciqfunctions.udf.CIQ("NYSE:TEX", "IQ_VOLUME", "3/11/2016")</f>
        <v>1.3021199999999999</v>
      </c>
      <c r="KU109" s="1956">
        <f>_xll.ciqfunctions.udf.CIQ("NYSE:TEX", "IQ_VOLUME", "3/10/2016")</f>
        <v>1.0835300000000001</v>
      </c>
      <c r="KV109" s="1956">
        <f>_xll.ciqfunctions.udf.CIQ("NYSE:TEX", "IQ_VOLUME", "3/9/2016")</f>
        <v>1.0521400000000001</v>
      </c>
    </row>
    <row r="110" spans="1:308" s="89" customFormat="1" ht="13.9">
      <c r="A110" s="269" t="str">
        <f t="shared" si="23"/>
        <v>n</v>
      </c>
      <c r="B110" s="2060"/>
      <c r="D110" s="801"/>
      <c r="E110" s="1505">
        <v>11</v>
      </c>
      <c r="F110" s="30" t="str">
        <f>'DATA GPC'!$E30</f>
        <v>--</v>
      </c>
      <c r="G110" s="2112">
        <f>IF('WACC and TIC Inputs'!$D139="X",0,IF('DATA GPC'!$G30="",0,'DATA GPC'!$G30))</f>
        <v>0</v>
      </c>
      <c r="H110" s="281">
        <f>--('DATA GPC'!K65="Y")</f>
        <v>0</v>
      </c>
      <c r="I110" s="2294"/>
      <c r="J110" s="2293">
        <v>995</v>
      </c>
      <c r="K110" s="2293">
        <v>996</v>
      </c>
      <c r="L110" s="2293">
        <v>997</v>
      </c>
      <c r="M110" s="2293">
        <v>998</v>
      </c>
      <c r="N110" s="2293">
        <v>999</v>
      </c>
      <c r="O110" s="2293">
        <v>1000</v>
      </c>
      <c r="P110" s="2293">
        <v>2000</v>
      </c>
      <c r="Q110" s="633"/>
      <c r="R110" s="2293">
        <f t="shared" si="21"/>
        <v>1996</v>
      </c>
      <c r="T110" s="1598" t="str">
        <f t="shared" si="24"/>
        <v/>
      </c>
      <c r="U110" s="2293">
        <f t="shared" si="22"/>
        <v>1001</v>
      </c>
      <c r="V110" s="2293">
        <f t="shared" si="22"/>
        <v>1002</v>
      </c>
      <c r="W110" s="2293">
        <f t="shared" si="22"/>
        <v>1003</v>
      </c>
      <c r="X110" s="2293">
        <f t="shared" si="22"/>
        <v>1004</v>
      </c>
      <c r="Y110" s="2293">
        <f t="shared" si="22"/>
        <v>1005</v>
      </c>
      <c r="AR110" s="2060"/>
      <c r="AS110" s="98" t="s">
        <v>754</v>
      </c>
      <c r="AT110" s="80" t="s">
        <v>755</v>
      </c>
      <c r="AU110" s="80" t="s">
        <v>162</v>
      </c>
      <c r="AV110" s="80" t="s">
        <v>756</v>
      </c>
      <c r="AW110" s="81" t="s">
        <v>757</v>
      </c>
      <c r="AX110" s="78" t="s">
        <v>533</v>
      </c>
      <c r="AY110" s="78" t="s">
        <v>533</v>
      </c>
      <c r="AZ110" s="78" t="s">
        <v>532</v>
      </c>
      <c r="BA110" s="214"/>
      <c r="BB110" s="214"/>
      <c r="GK110" s="1956"/>
      <c r="GL110" s="1956"/>
      <c r="GM110" s="1956"/>
      <c r="GN110" s="1956"/>
      <c r="GO110" s="1956"/>
      <c r="GP110" s="1956"/>
      <c r="GQ110" s="1956"/>
      <c r="GR110" s="1956"/>
      <c r="GS110" s="1956"/>
      <c r="GT110" s="1956"/>
      <c r="GU110" s="1956"/>
      <c r="GV110" s="1956"/>
      <c r="GW110" s="1956"/>
      <c r="GX110" s="1956"/>
      <c r="GY110" s="1956"/>
      <c r="GZ110" s="1956"/>
      <c r="HA110" s="1956"/>
      <c r="HB110" s="1956"/>
      <c r="HC110" s="1956"/>
      <c r="HD110" s="1956"/>
      <c r="HE110" s="1956"/>
      <c r="HF110" s="1956"/>
      <c r="HG110" s="1956"/>
      <c r="HH110" s="1956"/>
      <c r="HI110" s="1956"/>
      <c r="HJ110" s="1956"/>
      <c r="HK110" s="1956"/>
      <c r="HL110" s="1956"/>
      <c r="HM110" s="1956"/>
      <c r="HN110" s="1956"/>
      <c r="HO110" s="1956"/>
      <c r="HP110" s="1956"/>
      <c r="HQ110" s="1956"/>
      <c r="HR110" s="1956"/>
      <c r="HS110" s="1956"/>
      <c r="HT110" s="1956"/>
      <c r="HU110" s="1956"/>
      <c r="HV110" s="1956"/>
      <c r="HW110" s="1956"/>
      <c r="HX110" s="1956"/>
      <c r="HY110" s="1956"/>
      <c r="HZ110" s="1956"/>
      <c r="IA110" s="1956"/>
      <c r="IB110" s="1956"/>
      <c r="IC110" s="1956"/>
      <c r="ID110" s="1956"/>
      <c r="IE110" s="1956"/>
      <c r="IF110" s="1956"/>
      <c r="IG110" s="1956"/>
      <c r="IH110" s="1956"/>
      <c r="II110" s="1956"/>
      <c r="IJ110" s="1956"/>
      <c r="IK110" s="1956"/>
      <c r="IL110" s="1956"/>
      <c r="IM110" s="1956"/>
      <c r="IN110" s="1956"/>
      <c r="IO110" s="1956"/>
      <c r="IP110" s="1956"/>
      <c r="IQ110" s="1956"/>
      <c r="IR110" s="1956"/>
      <c r="IS110" s="1956"/>
      <c r="IT110" s="1956"/>
      <c r="IU110" s="1956"/>
      <c r="IV110" s="1956"/>
      <c r="IW110" s="1956"/>
      <c r="IX110" s="1956"/>
      <c r="IY110" s="1956"/>
      <c r="IZ110" s="1956"/>
      <c r="JA110" s="1956"/>
      <c r="JB110" s="1956"/>
      <c r="JC110" s="1956"/>
      <c r="JD110" s="1956"/>
      <c r="JE110" s="1956"/>
      <c r="JF110" s="1956"/>
      <c r="JG110" s="1956"/>
      <c r="JH110" s="1956"/>
      <c r="JI110" s="1956"/>
      <c r="JJ110" s="1956"/>
      <c r="JK110" s="1956"/>
      <c r="JL110" s="1956"/>
      <c r="JM110" s="1956"/>
      <c r="JN110" s="1956"/>
      <c r="JO110" s="1956"/>
      <c r="JP110" s="1956"/>
      <c r="JQ110" s="1956"/>
      <c r="JR110" s="1956"/>
      <c r="JS110" s="1956"/>
      <c r="JT110" s="1956"/>
      <c r="JU110" s="1956"/>
      <c r="JV110" s="1956"/>
      <c r="JW110" s="1956"/>
      <c r="JX110" s="1956"/>
      <c r="JY110" s="1956"/>
      <c r="JZ110" s="1956"/>
      <c r="KA110" s="1956"/>
      <c r="KB110" s="1956"/>
      <c r="KC110" s="1956"/>
      <c r="KD110" s="1956"/>
      <c r="KE110" s="1956"/>
      <c r="KF110" s="1956"/>
      <c r="KG110" s="1956"/>
      <c r="KH110" s="1956"/>
      <c r="KI110" s="1956"/>
      <c r="KJ110" s="1956"/>
      <c r="KK110" s="1956"/>
      <c r="KL110" s="1956"/>
      <c r="KM110" s="1956"/>
      <c r="KN110" s="1956"/>
      <c r="KO110" s="1956"/>
      <c r="KP110" s="1956"/>
      <c r="KQ110" s="1956"/>
      <c r="KR110" s="1956"/>
      <c r="KS110" s="1956"/>
      <c r="KT110" s="1956"/>
      <c r="KU110" s="1956"/>
      <c r="KV110" s="1956"/>
    </row>
    <row r="111" spans="1:308" s="89" customFormat="1" ht="13.9">
      <c r="A111" s="269" t="str">
        <f t="shared" si="23"/>
        <v>n</v>
      </c>
      <c r="B111" s="2060"/>
      <c r="D111" s="801"/>
      <c r="E111" s="1505">
        <v>12</v>
      </c>
      <c r="F111" s="30" t="str">
        <f>'DATA GPC'!$E31</f>
        <v>--</v>
      </c>
      <c r="G111" s="2112">
        <f>IF('WACC and TIC Inputs'!$D140="X",0,IF('DATA GPC'!$G31="",0,'DATA GPC'!$G31))</f>
        <v>0</v>
      </c>
      <c r="H111" s="281">
        <f>--('DATA GPC'!K66="Y")</f>
        <v>0</v>
      </c>
      <c r="I111" s="2294"/>
      <c r="J111" s="2293">
        <v>995</v>
      </c>
      <c r="K111" s="2293">
        <v>996</v>
      </c>
      <c r="L111" s="2293">
        <v>997</v>
      </c>
      <c r="M111" s="2293">
        <v>998</v>
      </c>
      <c r="N111" s="2293">
        <v>999</v>
      </c>
      <c r="O111" s="2293">
        <v>1000</v>
      </c>
      <c r="P111" s="2293">
        <v>2000</v>
      </c>
      <c r="Q111" s="633"/>
      <c r="R111" s="2293">
        <f t="shared" si="21"/>
        <v>1996</v>
      </c>
      <c r="T111" s="1598" t="str">
        <f t="shared" si="24"/>
        <v/>
      </c>
      <c r="U111" s="2293">
        <f t="shared" si="22"/>
        <v>1001</v>
      </c>
      <c r="V111" s="2293">
        <f t="shared" si="22"/>
        <v>1002</v>
      </c>
      <c r="W111" s="2293">
        <f t="shared" si="22"/>
        <v>1003</v>
      </c>
      <c r="X111" s="2293">
        <f t="shared" si="22"/>
        <v>1004</v>
      </c>
      <c r="Y111" s="2293">
        <f t="shared" si="22"/>
        <v>1005</v>
      </c>
      <c r="AR111" s="2060"/>
      <c r="AS111" s="98" t="s">
        <v>758</v>
      </c>
      <c r="AT111" s="80" t="s">
        <v>759</v>
      </c>
      <c r="AU111" s="80" t="s">
        <v>162</v>
      </c>
      <c r="AV111" s="80" t="s">
        <v>760</v>
      </c>
      <c r="AW111" s="81" t="s">
        <v>761</v>
      </c>
      <c r="AX111" s="78" t="s">
        <v>539</v>
      </c>
      <c r="AY111" s="78" t="s">
        <v>539</v>
      </c>
      <c r="AZ111" s="78" t="s">
        <v>538</v>
      </c>
      <c r="BA111" s="214"/>
      <c r="BB111" s="214"/>
      <c r="GK111" s="1956"/>
      <c r="GL111" s="1956"/>
      <c r="GM111" s="1956"/>
      <c r="GN111" s="1956"/>
      <c r="GO111" s="1956"/>
      <c r="GP111" s="1956"/>
      <c r="GQ111" s="1956"/>
      <c r="GR111" s="1956"/>
      <c r="GS111" s="1956"/>
      <c r="GT111" s="1956"/>
      <c r="GU111" s="1956"/>
      <c r="GV111" s="1956"/>
      <c r="GW111" s="1956"/>
      <c r="GX111" s="1956"/>
      <c r="GY111" s="1956"/>
      <c r="GZ111" s="1956"/>
      <c r="HA111" s="1956"/>
      <c r="HB111" s="1956"/>
      <c r="HC111" s="1956"/>
      <c r="HD111" s="1956"/>
      <c r="HE111" s="1956"/>
      <c r="HF111" s="1956"/>
      <c r="HG111" s="1956"/>
      <c r="HH111" s="1956"/>
      <c r="HI111" s="1956"/>
      <c r="HJ111" s="1956"/>
      <c r="HK111" s="1956"/>
      <c r="HL111" s="1956"/>
      <c r="HM111" s="1956"/>
      <c r="HN111" s="1956"/>
      <c r="HO111" s="1956"/>
      <c r="HP111" s="1956"/>
      <c r="HQ111" s="1956"/>
      <c r="HR111" s="1956"/>
      <c r="HS111" s="1956"/>
      <c r="HT111" s="1956"/>
      <c r="HU111" s="1956"/>
      <c r="HV111" s="1956"/>
      <c r="HW111" s="1956"/>
      <c r="HX111" s="1956"/>
      <c r="HY111" s="1956"/>
      <c r="HZ111" s="1956"/>
      <c r="IA111" s="1956"/>
      <c r="IB111" s="1956"/>
      <c r="IC111" s="1956"/>
      <c r="ID111" s="1956"/>
      <c r="IE111" s="1956"/>
      <c r="IF111" s="1956"/>
      <c r="IG111" s="1956"/>
      <c r="IH111" s="1956"/>
      <c r="II111" s="1956"/>
      <c r="IJ111" s="1956"/>
      <c r="IK111" s="1956"/>
      <c r="IL111" s="1956"/>
      <c r="IM111" s="1956"/>
      <c r="IN111" s="1956"/>
      <c r="IO111" s="1956"/>
      <c r="IP111" s="1956"/>
      <c r="IQ111" s="1956"/>
      <c r="IR111" s="1956"/>
      <c r="IS111" s="1956"/>
      <c r="IT111" s="1956"/>
      <c r="IU111" s="1956"/>
      <c r="IV111" s="1956"/>
      <c r="IW111" s="1956"/>
      <c r="IX111" s="1956"/>
      <c r="IY111" s="1956"/>
      <c r="IZ111" s="1956"/>
      <c r="JA111" s="1956"/>
      <c r="JB111" s="1956"/>
      <c r="JC111" s="1956"/>
      <c r="JD111" s="1956"/>
      <c r="JE111" s="1956"/>
      <c r="JF111" s="1956"/>
      <c r="JG111" s="1956"/>
      <c r="JH111" s="1956"/>
      <c r="JI111" s="1956"/>
      <c r="JJ111" s="1956"/>
      <c r="JK111" s="1956"/>
      <c r="JL111" s="1956"/>
      <c r="JM111" s="1956"/>
      <c r="JN111" s="1956"/>
      <c r="JO111" s="1956"/>
      <c r="JP111" s="1956"/>
      <c r="JQ111" s="1956"/>
      <c r="JR111" s="1956"/>
      <c r="JS111" s="1956"/>
      <c r="JT111" s="1956"/>
      <c r="JU111" s="1956"/>
      <c r="JV111" s="1956"/>
      <c r="JW111" s="1956"/>
      <c r="JX111" s="1956"/>
      <c r="JY111" s="1956"/>
      <c r="JZ111" s="1956"/>
      <c r="KA111" s="1956"/>
      <c r="KB111" s="1956"/>
      <c r="KC111" s="1956"/>
      <c r="KD111" s="1956"/>
      <c r="KE111" s="1956"/>
      <c r="KF111" s="1956"/>
      <c r="KG111" s="1956"/>
      <c r="KH111" s="1956"/>
      <c r="KI111" s="1956"/>
      <c r="KJ111" s="1956"/>
      <c r="KK111" s="1956"/>
      <c r="KL111" s="1956"/>
      <c r="KM111" s="1956"/>
      <c r="KN111" s="1956"/>
      <c r="KO111" s="1956"/>
      <c r="KP111" s="1956"/>
      <c r="KQ111" s="1956"/>
      <c r="KR111" s="1956"/>
      <c r="KS111" s="1956"/>
      <c r="KT111" s="1956"/>
      <c r="KU111" s="1956"/>
      <c r="KV111" s="1956"/>
    </row>
    <row r="112" spans="1:308" s="89" customFormat="1" ht="13.9">
      <c r="A112" s="269" t="str">
        <f t="shared" si="23"/>
        <v>n</v>
      </c>
      <c r="B112" s="2060"/>
      <c r="D112" s="801"/>
      <c r="E112" s="1505">
        <v>13</v>
      </c>
      <c r="F112" s="30" t="str">
        <f>'DATA GPC'!$E32</f>
        <v>--</v>
      </c>
      <c r="G112" s="2112">
        <f>IF('WACC and TIC Inputs'!$D141="X",0,IF('DATA GPC'!$G32="",0,'DATA GPC'!$G32))</f>
        <v>0</v>
      </c>
      <c r="H112" s="281">
        <f>--('DATA GPC'!K67="Y")</f>
        <v>0</v>
      </c>
      <c r="I112" s="2294"/>
      <c r="J112" s="2293">
        <v>995</v>
      </c>
      <c r="K112" s="2293">
        <v>996</v>
      </c>
      <c r="L112" s="2293">
        <v>997</v>
      </c>
      <c r="M112" s="2293">
        <v>998</v>
      </c>
      <c r="N112" s="2293">
        <v>999</v>
      </c>
      <c r="O112" s="2293">
        <v>1000</v>
      </c>
      <c r="P112" s="2293">
        <v>2000</v>
      </c>
      <c r="Q112" s="633"/>
      <c r="R112" s="2293">
        <f t="shared" si="21"/>
        <v>1996</v>
      </c>
      <c r="T112" s="1598" t="str">
        <f t="shared" si="24"/>
        <v/>
      </c>
      <c r="U112" s="2293">
        <f t="shared" si="22"/>
        <v>1001</v>
      </c>
      <c r="V112" s="2293">
        <f t="shared" si="22"/>
        <v>1002</v>
      </c>
      <c r="W112" s="2293">
        <f t="shared" si="22"/>
        <v>1003</v>
      </c>
      <c r="X112" s="2293">
        <f t="shared" si="22"/>
        <v>1004</v>
      </c>
      <c r="Y112" s="2293">
        <f t="shared" si="22"/>
        <v>1005</v>
      </c>
      <c r="AR112" s="2060"/>
      <c r="AS112" s="98" t="s">
        <v>758</v>
      </c>
      <c r="AT112" s="80" t="s">
        <v>759</v>
      </c>
      <c r="AU112" s="80" t="s">
        <v>162</v>
      </c>
      <c r="AV112" s="80" t="s">
        <v>762</v>
      </c>
      <c r="AW112" s="81" t="s">
        <v>763</v>
      </c>
      <c r="AX112" s="78" t="s">
        <v>49</v>
      </c>
      <c r="AY112" s="78" t="s">
        <v>131</v>
      </c>
      <c r="AZ112" s="78" t="s">
        <v>538</v>
      </c>
      <c r="BA112" s="214"/>
      <c r="BB112" s="214"/>
      <c r="GK112" s="1956"/>
      <c r="GL112" s="1956"/>
      <c r="GM112" s="1956"/>
      <c r="GN112" s="1956"/>
      <c r="GO112" s="1956"/>
      <c r="GP112" s="1956"/>
      <c r="GQ112" s="1956"/>
      <c r="GR112" s="1956"/>
      <c r="GS112" s="1956"/>
      <c r="GT112" s="1956"/>
      <c r="GU112" s="1956"/>
      <c r="GV112" s="1956"/>
      <c r="GW112" s="1956"/>
      <c r="GX112" s="1956"/>
      <c r="GY112" s="1956"/>
      <c r="GZ112" s="1956"/>
      <c r="HA112" s="1956"/>
      <c r="HB112" s="1956"/>
      <c r="HC112" s="1956"/>
      <c r="HD112" s="1956"/>
      <c r="HE112" s="1956"/>
      <c r="HF112" s="1956"/>
      <c r="HG112" s="1956"/>
      <c r="HH112" s="1956"/>
      <c r="HI112" s="1956"/>
      <c r="HJ112" s="1956"/>
      <c r="HK112" s="1956"/>
      <c r="HL112" s="1956"/>
      <c r="HM112" s="1956"/>
      <c r="HN112" s="1956"/>
      <c r="HO112" s="1956"/>
      <c r="HP112" s="1956"/>
      <c r="HQ112" s="1956"/>
      <c r="HR112" s="1956"/>
      <c r="HS112" s="1956"/>
      <c r="HT112" s="1956"/>
      <c r="HU112" s="1956"/>
      <c r="HV112" s="1956"/>
      <c r="HW112" s="1956"/>
      <c r="HX112" s="1956"/>
      <c r="HY112" s="1956"/>
      <c r="HZ112" s="1956"/>
      <c r="IA112" s="1956"/>
      <c r="IB112" s="1956"/>
      <c r="IC112" s="1956"/>
      <c r="ID112" s="1956"/>
      <c r="IE112" s="1956"/>
      <c r="IF112" s="1956"/>
      <c r="IG112" s="1956"/>
      <c r="IH112" s="1956"/>
      <c r="II112" s="1956"/>
      <c r="IJ112" s="1956"/>
      <c r="IK112" s="1956"/>
      <c r="IL112" s="1956"/>
      <c r="IM112" s="1956"/>
      <c r="IN112" s="1956"/>
      <c r="IO112" s="1956"/>
      <c r="IP112" s="1956"/>
      <c r="IQ112" s="1956"/>
      <c r="IR112" s="1956"/>
      <c r="IS112" s="1956"/>
      <c r="IT112" s="1956"/>
      <c r="IU112" s="1956"/>
      <c r="IV112" s="1956"/>
      <c r="IW112" s="1956"/>
      <c r="IX112" s="1956"/>
      <c r="IY112" s="1956"/>
      <c r="IZ112" s="1956"/>
      <c r="JA112" s="1956"/>
      <c r="JB112" s="1956"/>
      <c r="JC112" s="1956"/>
      <c r="JD112" s="1956"/>
      <c r="JE112" s="1956"/>
      <c r="JF112" s="1956"/>
      <c r="JG112" s="1956"/>
      <c r="JH112" s="1956"/>
      <c r="JI112" s="1956"/>
      <c r="JJ112" s="1956"/>
      <c r="JK112" s="1956"/>
      <c r="JL112" s="1956"/>
      <c r="JM112" s="1956"/>
      <c r="JN112" s="1956"/>
      <c r="JO112" s="1956"/>
      <c r="JP112" s="1956"/>
      <c r="JQ112" s="1956"/>
      <c r="JR112" s="1956"/>
      <c r="JS112" s="1956"/>
      <c r="JT112" s="1956"/>
      <c r="JU112" s="1956"/>
      <c r="JV112" s="1956"/>
      <c r="JW112" s="1956"/>
      <c r="JX112" s="1956"/>
      <c r="JY112" s="1956"/>
      <c r="JZ112" s="1956"/>
      <c r="KA112" s="1956"/>
      <c r="KB112" s="1956"/>
      <c r="KC112" s="1956"/>
      <c r="KD112" s="1956"/>
      <c r="KE112" s="1956"/>
      <c r="KF112" s="1956"/>
      <c r="KG112" s="1956"/>
      <c r="KH112" s="1956"/>
      <c r="KI112" s="1956"/>
      <c r="KJ112" s="1956"/>
      <c r="KK112" s="1956"/>
      <c r="KL112" s="1956"/>
      <c r="KM112" s="1956"/>
      <c r="KN112" s="1956"/>
      <c r="KO112" s="1956"/>
      <c r="KP112" s="1956"/>
      <c r="KQ112" s="1956"/>
      <c r="KR112" s="1956"/>
      <c r="KS112" s="1956"/>
      <c r="KT112" s="1956"/>
      <c r="KU112" s="1956"/>
      <c r="KV112" s="1956"/>
    </row>
    <row r="113" spans="1:308" s="89" customFormat="1" ht="13.9">
      <c r="A113" s="269" t="str">
        <f t="shared" si="23"/>
        <v>n</v>
      </c>
      <c r="B113" s="2060"/>
      <c r="D113" s="801"/>
      <c r="E113" s="1505">
        <v>14</v>
      </c>
      <c r="F113" s="30" t="str">
        <f>'DATA GPC'!$E33</f>
        <v>--</v>
      </c>
      <c r="G113" s="2112">
        <f>IF('WACC and TIC Inputs'!$D142="X",0,IF('DATA GPC'!$G33="",0,'DATA GPC'!$G33))</f>
        <v>0</v>
      </c>
      <c r="H113" s="281">
        <f>--('DATA GPC'!K68="Y")</f>
        <v>0</v>
      </c>
      <c r="I113" s="2294"/>
      <c r="J113" s="2293">
        <v>995</v>
      </c>
      <c r="K113" s="2293">
        <v>996</v>
      </c>
      <c r="L113" s="2293">
        <v>997</v>
      </c>
      <c r="M113" s="2293">
        <v>998</v>
      </c>
      <c r="N113" s="2293">
        <v>999</v>
      </c>
      <c r="O113" s="2293">
        <v>1000</v>
      </c>
      <c r="P113" s="2293">
        <v>2000</v>
      </c>
      <c r="Q113" s="633"/>
      <c r="R113" s="2293">
        <f t="shared" si="21"/>
        <v>1996</v>
      </c>
      <c r="T113" s="1598" t="str">
        <f t="shared" si="24"/>
        <v/>
      </c>
      <c r="U113" s="2293">
        <f t="shared" si="22"/>
        <v>1001</v>
      </c>
      <c r="V113" s="2293">
        <f t="shared" si="22"/>
        <v>1002</v>
      </c>
      <c r="W113" s="2293">
        <f t="shared" si="22"/>
        <v>1003</v>
      </c>
      <c r="X113" s="2293">
        <f t="shared" si="22"/>
        <v>1004</v>
      </c>
      <c r="Y113" s="2293">
        <f t="shared" si="22"/>
        <v>1005</v>
      </c>
      <c r="AR113" s="255"/>
      <c r="AS113" s="82"/>
      <c r="AT113" s="83"/>
      <c r="AU113" s="83"/>
      <c r="AV113" s="83"/>
      <c r="AW113" s="84"/>
      <c r="AX113" s="79"/>
      <c r="AY113" s="79"/>
      <c r="AZ113" s="79"/>
      <c r="BA113" s="215"/>
      <c r="BB113" s="215"/>
      <c r="GK113" s="1956"/>
      <c r="GL113" s="1956"/>
      <c r="GM113" s="1956"/>
      <c r="GN113" s="1956"/>
      <c r="GO113" s="1956"/>
      <c r="GP113" s="1956"/>
      <c r="GQ113" s="1956"/>
      <c r="GR113" s="1956"/>
      <c r="GS113" s="1956"/>
      <c r="GT113" s="1956"/>
      <c r="GU113" s="1956"/>
      <c r="GV113" s="1956"/>
      <c r="GW113" s="1956"/>
      <c r="GX113" s="1956"/>
      <c r="GY113" s="1956"/>
      <c r="GZ113" s="1956"/>
      <c r="HA113" s="1956"/>
      <c r="HB113" s="1956"/>
      <c r="HC113" s="1956"/>
      <c r="HD113" s="1956"/>
      <c r="HE113" s="1956"/>
      <c r="HF113" s="1956"/>
      <c r="HG113" s="1956"/>
      <c r="HH113" s="1956"/>
      <c r="HI113" s="1956"/>
      <c r="HJ113" s="1956"/>
      <c r="HK113" s="1956"/>
      <c r="HL113" s="1956"/>
      <c r="HM113" s="1956"/>
      <c r="HN113" s="1956"/>
      <c r="HO113" s="1956"/>
      <c r="HP113" s="1956"/>
      <c r="HQ113" s="1956"/>
      <c r="HR113" s="1956"/>
      <c r="HS113" s="1956"/>
      <c r="HT113" s="1956"/>
      <c r="HU113" s="1956"/>
      <c r="HV113" s="1956"/>
      <c r="HW113" s="1956"/>
      <c r="HX113" s="1956"/>
      <c r="HY113" s="1956"/>
      <c r="HZ113" s="1956"/>
      <c r="IA113" s="1956"/>
      <c r="IB113" s="1956"/>
      <c r="IC113" s="1956"/>
      <c r="ID113" s="1956"/>
      <c r="IE113" s="1956"/>
      <c r="IF113" s="1956"/>
      <c r="IG113" s="1956"/>
      <c r="IH113" s="1956"/>
      <c r="II113" s="1956"/>
      <c r="IJ113" s="1956"/>
      <c r="IK113" s="1956"/>
      <c r="IL113" s="1956"/>
      <c r="IM113" s="1956"/>
      <c r="IN113" s="1956"/>
      <c r="IO113" s="1956"/>
      <c r="IP113" s="1956"/>
      <c r="IQ113" s="1956"/>
      <c r="IR113" s="1956"/>
      <c r="IS113" s="1956"/>
      <c r="IT113" s="1956"/>
      <c r="IU113" s="1956"/>
      <c r="IV113" s="1956"/>
      <c r="IW113" s="1956"/>
      <c r="IX113" s="1956"/>
      <c r="IY113" s="1956"/>
      <c r="IZ113" s="1956"/>
      <c r="JA113" s="1956"/>
      <c r="JB113" s="1956"/>
      <c r="JC113" s="1956"/>
      <c r="JD113" s="1956"/>
      <c r="JE113" s="1956"/>
      <c r="JF113" s="1956"/>
      <c r="JG113" s="1956"/>
      <c r="JH113" s="1956"/>
      <c r="JI113" s="1956"/>
      <c r="JJ113" s="1956"/>
      <c r="JK113" s="1956"/>
      <c r="JL113" s="1956"/>
      <c r="JM113" s="1956"/>
      <c r="JN113" s="1956"/>
      <c r="JO113" s="1956"/>
      <c r="JP113" s="1956"/>
      <c r="JQ113" s="1956"/>
      <c r="JR113" s="1956"/>
      <c r="JS113" s="1956"/>
      <c r="JT113" s="1956"/>
      <c r="JU113" s="1956"/>
      <c r="JV113" s="1956"/>
      <c r="JW113" s="1956"/>
      <c r="JX113" s="1956"/>
      <c r="JY113" s="1956"/>
      <c r="JZ113" s="1956"/>
      <c r="KA113" s="1956"/>
      <c r="KB113" s="1956"/>
      <c r="KC113" s="1956"/>
      <c r="KD113" s="1956"/>
      <c r="KE113" s="1956"/>
      <c r="KF113" s="1956"/>
      <c r="KG113" s="1956"/>
      <c r="KH113" s="1956"/>
      <c r="KI113" s="1956"/>
      <c r="KJ113" s="1956"/>
      <c r="KK113" s="1956"/>
      <c r="KL113" s="1956"/>
      <c r="KM113" s="1956"/>
      <c r="KN113" s="1956"/>
      <c r="KO113" s="1956"/>
      <c r="KP113" s="1956"/>
      <c r="KQ113" s="1956"/>
      <c r="KR113" s="1956"/>
      <c r="KS113" s="1956"/>
      <c r="KT113" s="1956"/>
      <c r="KU113" s="1956"/>
      <c r="KV113" s="1956"/>
    </row>
    <row r="114" spans="1:308" s="89" customFormat="1" ht="13.9">
      <c r="A114" s="269" t="str">
        <f t="shared" si="23"/>
        <v>n</v>
      </c>
      <c r="B114" s="2060"/>
      <c r="D114" s="801"/>
      <c r="E114" s="1505">
        <v>15</v>
      </c>
      <c r="F114" s="30" t="str">
        <f>'DATA GPC'!$E34</f>
        <v>--</v>
      </c>
      <c r="G114" s="2112">
        <f>IF('WACC and TIC Inputs'!$D143="X",0,IF('DATA GPC'!$G34="",0,'DATA GPC'!$G34))</f>
        <v>0</v>
      </c>
      <c r="H114" s="281">
        <f>--('DATA GPC'!K69="Y")</f>
        <v>0</v>
      </c>
      <c r="I114" s="2294"/>
      <c r="J114" s="2293">
        <v>995</v>
      </c>
      <c r="K114" s="2293">
        <v>996</v>
      </c>
      <c r="L114" s="2293">
        <v>997</v>
      </c>
      <c r="M114" s="2293">
        <v>998</v>
      </c>
      <c r="N114" s="2293">
        <v>999</v>
      </c>
      <c r="O114" s="2293">
        <v>1000</v>
      </c>
      <c r="P114" s="2293">
        <v>2000</v>
      </c>
      <c r="Q114" s="633"/>
      <c r="R114" s="2293">
        <f t="shared" si="21"/>
        <v>1996</v>
      </c>
      <c r="T114" s="1598" t="str">
        <f t="shared" si="24"/>
        <v/>
      </c>
      <c r="U114" s="2293">
        <f t="shared" si="22"/>
        <v>1001</v>
      </c>
      <c r="V114" s="2293">
        <f t="shared" si="22"/>
        <v>1002</v>
      </c>
      <c r="W114" s="2293">
        <f t="shared" si="22"/>
        <v>1003</v>
      </c>
      <c r="X114" s="2293">
        <f t="shared" si="22"/>
        <v>1004</v>
      </c>
      <c r="Y114" s="2293">
        <f t="shared" si="22"/>
        <v>1005</v>
      </c>
      <c r="GK114" s="1956"/>
      <c r="GL114" s="1956"/>
      <c r="GM114" s="1956"/>
      <c r="GN114" s="1956"/>
      <c r="GO114" s="1956"/>
      <c r="GP114" s="1956"/>
      <c r="GQ114" s="1956"/>
      <c r="GR114" s="1956"/>
      <c r="GS114" s="1956"/>
      <c r="GT114" s="1956"/>
      <c r="GU114" s="1956"/>
      <c r="GV114" s="1956"/>
      <c r="GW114" s="1956"/>
      <c r="GX114" s="1956"/>
      <c r="GY114" s="1956"/>
      <c r="GZ114" s="1956"/>
      <c r="HA114" s="1956"/>
      <c r="HB114" s="1956"/>
      <c r="HC114" s="1956"/>
      <c r="HD114" s="1956"/>
      <c r="HE114" s="1956"/>
      <c r="HF114" s="1956"/>
      <c r="HG114" s="1956"/>
      <c r="HH114" s="1956"/>
      <c r="HI114" s="1956"/>
      <c r="HJ114" s="1956"/>
      <c r="HK114" s="1956"/>
      <c r="HL114" s="1956"/>
      <c r="HM114" s="1956"/>
      <c r="HN114" s="1956"/>
      <c r="HO114" s="1956"/>
      <c r="HP114" s="1956"/>
      <c r="HQ114" s="1956"/>
      <c r="HR114" s="1956"/>
      <c r="HS114" s="1956"/>
      <c r="HT114" s="1956"/>
      <c r="HU114" s="1956"/>
      <c r="HV114" s="1956"/>
      <c r="HW114" s="1956"/>
      <c r="HX114" s="1956"/>
      <c r="HY114" s="1956"/>
      <c r="HZ114" s="1956"/>
      <c r="IA114" s="1956"/>
      <c r="IB114" s="1956"/>
      <c r="IC114" s="1956"/>
      <c r="ID114" s="1956"/>
      <c r="IE114" s="1956"/>
      <c r="IF114" s="1956"/>
      <c r="IG114" s="1956"/>
      <c r="IH114" s="1956"/>
      <c r="II114" s="1956"/>
      <c r="IJ114" s="1956"/>
      <c r="IK114" s="1956"/>
      <c r="IL114" s="1956"/>
      <c r="IM114" s="1956"/>
      <c r="IN114" s="1956"/>
      <c r="IO114" s="1956"/>
      <c r="IP114" s="1956"/>
      <c r="IQ114" s="1956"/>
      <c r="IR114" s="1956"/>
      <c r="IS114" s="1956"/>
      <c r="IT114" s="1956"/>
      <c r="IU114" s="1956"/>
      <c r="IV114" s="1956"/>
      <c r="IW114" s="1956"/>
      <c r="IX114" s="1956"/>
      <c r="IY114" s="1956"/>
      <c r="IZ114" s="1956"/>
      <c r="JA114" s="1956"/>
      <c r="JB114" s="1956"/>
      <c r="JC114" s="1956"/>
      <c r="JD114" s="1956"/>
      <c r="JE114" s="1956"/>
      <c r="JF114" s="1956"/>
      <c r="JG114" s="1956"/>
      <c r="JH114" s="1956"/>
      <c r="JI114" s="1956"/>
      <c r="JJ114" s="1956"/>
      <c r="JK114" s="1956"/>
      <c r="JL114" s="1956"/>
      <c r="JM114" s="1956"/>
      <c r="JN114" s="1956"/>
      <c r="JO114" s="1956"/>
      <c r="JP114" s="1956"/>
      <c r="JQ114" s="1956"/>
      <c r="JR114" s="1956"/>
      <c r="JS114" s="1956"/>
      <c r="JT114" s="1956"/>
      <c r="JU114" s="1956"/>
      <c r="JV114" s="1956"/>
      <c r="JW114" s="1956"/>
      <c r="JX114" s="1956"/>
      <c r="JY114" s="1956"/>
      <c r="JZ114" s="1956"/>
      <c r="KA114" s="1956"/>
      <c r="KB114" s="1956"/>
      <c r="KC114" s="1956"/>
      <c r="KD114" s="1956"/>
      <c r="KE114" s="1956"/>
      <c r="KF114" s="1956"/>
      <c r="KG114" s="1956"/>
      <c r="KH114" s="1956"/>
      <c r="KI114" s="1956"/>
      <c r="KJ114" s="1956"/>
      <c r="KK114" s="1956"/>
      <c r="KL114" s="1956"/>
      <c r="KM114" s="1956"/>
      <c r="KN114" s="1956"/>
      <c r="KO114" s="1956"/>
      <c r="KP114" s="1956"/>
      <c r="KQ114" s="1956"/>
      <c r="KR114" s="1956"/>
      <c r="KS114" s="1956"/>
      <c r="KT114" s="1956"/>
      <c r="KU114" s="1956"/>
      <c r="KV114" s="1956"/>
    </row>
    <row r="115" spans="1:308" s="89" customFormat="1" ht="13.9">
      <c r="A115" s="269" t="str">
        <f t="shared" si="23"/>
        <v>n</v>
      </c>
      <c r="B115" s="2060"/>
      <c r="D115" s="801"/>
      <c r="E115" s="1505">
        <v>16</v>
      </c>
      <c r="F115" s="30" t="str">
        <f>'DATA GPC'!$E35</f>
        <v>--</v>
      </c>
      <c r="G115" s="2112">
        <f>IF('WACC and TIC Inputs'!$D144="X",0,IF('DATA GPC'!$G35="",0,'DATA GPC'!$G35))</f>
        <v>0</v>
      </c>
      <c r="H115" s="281">
        <f>--('DATA GPC'!K70="Y")</f>
        <v>0</v>
      </c>
      <c r="I115" s="2294"/>
      <c r="J115" s="2293">
        <v>995</v>
      </c>
      <c r="K115" s="2293">
        <v>996</v>
      </c>
      <c r="L115" s="2293">
        <v>997</v>
      </c>
      <c r="M115" s="2293">
        <v>998</v>
      </c>
      <c r="N115" s="2293">
        <v>999</v>
      </c>
      <c r="O115" s="2293">
        <v>1000</v>
      </c>
      <c r="P115" s="2293">
        <v>2000</v>
      </c>
      <c r="Q115" s="633"/>
      <c r="R115" s="2293">
        <f t="shared" si="21"/>
        <v>1996</v>
      </c>
      <c r="T115" s="1598" t="str">
        <f t="shared" si="24"/>
        <v/>
      </c>
      <c r="U115" s="2293">
        <f t="shared" si="22"/>
        <v>1001</v>
      </c>
      <c r="V115" s="2293">
        <f t="shared" si="22"/>
        <v>1002</v>
      </c>
      <c r="W115" s="2293">
        <f t="shared" si="22"/>
        <v>1003</v>
      </c>
      <c r="X115" s="2293">
        <f t="shared" si="22"/>
        <v>1004</v>
      </c>
      <c r="Y115" s="2293">
        <f t="shared" si="22"/>
        <v>1005</v>
      </c>
      <c r="AS115" s="208">
        <f>_xll.ciqfunctions.udf.CIQ($AW115,"IQ_COUNTRY_NAME")</f>
        <v>0</v>
      </c>
      <c r="AT115" s="208">
        <f>_xll.ciqfunctions.udf.CIQ($AW115,"IQ_COUNTRY_ISO_CODE")</f>
        <v>0</v>
      </c>
      <c r="AU115" s="255" t="s">
        <v>764</v>
      </c>
      <c r="AV115" s="208" t="str">
        <f>_xll.ciqfunctions.udf.CIQ(AW115,"IQ_COMPANY_NAME")</f>
        <v>Shenzhen Stock Exchange A Share Index</v>
      </c>
      <c r="AW115" s="255" t="s">
        <v>411</v>
      </c>
      <c r="AX115" s="209" t="str">
        <f>_xll.ciqfunctions.udf.CIQ(AW115,"IQ_Index_Currency")</f>
        <v>CNY</v>
      </c>
      <c r="AY115" s="255"/>
      <c r="AZ115" s="2060"/>
      <c r="GK115" s="1956"/>
      <c r="GL115" s="1956"/>
      <c r="GM115" s="1956"/>
      <c r="GN115" s="1956"/>
      <c r="GO115" s="1956"/>
      <c r="GP115" s="1956"/>
      <c r="GQ115" s="1956"/>
      <c r="GR115" s="1956"/>
      <c r="GS115" s="1956"/>
      <c r="GT115" s="1956"/>
      <c r="GU115" s="1956"/>
      <c r="GV115" s="1956"/>
      <c r="GW115" s="1956"/>
      <c r="GX115" s="1956"/>
      <c r="GY115" s="1956"/>
      <c r="GZ115" s="1956"/>
      <c r="HA115" s="1956"/>
      <c r="HB115" s="1956"/>
      <c r="HC115" s="1956"/>
      <c r="HD115" s="1956"/>
      <c r="HE115" s="1956"/>
      <c r="HF115" s="1956"/>
      <c r="HG115" s="1956"/>
      <c r="HH115" s="1956"/>
      <c r="HI115" s="1956"/>
      <c r="HJ115" s="1956"/>
      <c r="HK115" s="1956"/>
      <c r="HL115" s="1956"/>
      <c r="HM115" s="1956"/>
      <c r="HN115" s="1956"/>
      <c r="HO115" s="1956"/>
      <c r="HP115" s="1956"/>
      <c r="HQ115" s="1956"/>
      <c r="HR115" s="1956"/>
      <c r="HS115" s="1956"/>
      <c r="HT115" s="1956"/>
      <c r="HU115" s="1956"/>
      <c r="HV115" s="1956"/>
      <c r="HW115" s="1956"/>
      <c r="HX115" s="1956"/>
      <c r="HY115" s="1956"/>
      <c r="HZ115" s="1956"/>
      <c r="IA115" s="1956"/>
      <c r="IB115" s="1956"/>
      <c r="IC115" s="1956"/>
      <c r="ID115" s="1956"/>
      <c r="IE115" s="1956"/>
      <c r="IF115" s="1956"/>
      <c r="IG115" s="1956"/>
      <c r="IH115" s="1956"/>
      <c r="II115" s="1956"/>
      <c r="IJ115" s="1956"/>
      <c r="IK115" s="1956"/>
      <c r="IL115" s="1956"/>
      <c r="IM115" s="1956"/>
      <c r="IN115" s="1956"/>
      <c r="IO115" s="1956"/>
      <c r="IP115" s="1956"/>
      <c r="IQ115" s="1956"/>
      <c r="IR115" s="1956"/>
      <c r="IS115" s="1956"/>
      <c r="IT115" s="1956"/>
      <c r="IU115" s="1956"/>
      <c r="IV115" s="1956"/>
      <c r="IW115" s="1956"/>
      <c r="IX115" s="1956"/>
      <c r="IY115" s="1956"/>
      <c r="IZ115" s="1956"/>
      <c r="JA115" s="1956"/>
      <c r="JB115" s="1956"/>
      <c r="JC115" s="1956"/>
      <c r="JD115" s="1956"/>
      <c r="JE115" s="1956"/>
      <c r="JF115" s="1956"/>
      <c r="JG115" s="1956"/>
      <c r="JH115" s="1956"/>
      <c r="JI115" s="1956"/>
      <c r="JJ115" s="1956"/>
      <c r="JK115" s="1956"/>
      <c r="JL115" s="1956"/>
      <c r="JM115" s="1956"/>
      <c r="JN115" s="1956"/>
      <c r="JO115" s="1956"/>
      <c r="JP115" s="1956"/>
      <c r="JQ115" s="1956"/>
      <c r="JR115" s="1956"/>
      <c r="JS115" s="1956"/>
      <c r="JT115" s="1956"/>
      <c r="JU115" s="1956"/>
      <c r="JV115" s="1956"/>
      <c r="JW115" s="1956"/>
      <c r="JX115" s="1956"/>
      <c r="JY115" s="1956"/>
      <c r="JZ115" s="1956"/>
      <c r="KA115" s="1956"/>
      <c r="KB115" s="1956"/>
      <c r="KC115" s="1956"/>
      <c r="KD115" s="1956"/>
      <c r="KE115" s="1956"/>
      <c r="KF115" s="1956"/>
      <c r="KG115" s="1956"/>
      <c r="KH115" s="1956"/>
      <c r="KI115" s="1956"/>
      <c r="KJ115" s="1956"/>
      <c r="KK115" s="1956"/>
      <c r="KL115" s="1956"/>
      <c r="KM115" s="1956"/>
      <c r="KN115" s="1956"/>
      <c r="KO115" s="1956"/>
      <c r="KP115" s="1956"/>
      <c r="KQ115" s="1956"/>
      <c r="KR115" s="1956"/>
      <c r="KS115" s="1956"/>
      <c r="KT115" s="1956"/>
      <c r="KU115" s="1956"/>
      <c r="KV115" s="1956"/>
    </row>
    <row r="116" spans="1:308" s="89" customFormat="1" ht="13.9">
      <c r="A116" s="269" t="str">
        <f t="shared" si="23"/>
        <v>n</v>
      </c>
      <c r="B116" s="2060"/>
      <c r="D116" s="801"/>
      <c r="E116" s="1505">
        <v>17</v>
      </c>
      <c r="F116" s="30" t="str">
        <f>'DATA GPC'!$E36</f>
        <v>--</v>
      </c>
      <c r="G116" s="2112">
        <f>IF('WACC and TIC Inputs'!$D145="X",0,IF('DATA GPC'!$G36="",0,'DATA GPC'!$G36))</f>
        <v>0</v>
      </c>
      <c r="H116" s="281">
        <f>--('DATA GPC'!K71="Y")</f>
        <v>0</v>
      </c>
      <c r="I116" s="2294"/>
      <c r="J116" s="2293">
        <v>995</v>
      </c>
      <c r="K116" s="2293">
        <v>996</v>
      </c>
      <c r="L116" s="2293">
        <v>997</v>
      </c>
      <c r="M116" s="2293">
        <v>998</v>
      </c>
      <c r="N116" s="2293">
        <v>999</v>
      </c>
      <c r="O116" s="2293">
        <v>1000</v>
      </c>
      <c r="P116" s="2293">
        <v>2000</v>
      </c>
      <c r="Q116" s="633"/>
      <c r="R116" s="2293">
        <f t="shared" si="21"/>
        <v>1996</v>
      </c>
      <c r="T116" s="1598" t="str">
        <f t="shared" si="24"/>
        <v/>
      </c>
      <c r="U116" s="2293">
        <f t="shared" si="22"/>
        <v>1001</v>
      </c>
      <c r="V116" s="2293">
        <f t="shared" si="22"/>
        <v>1002</v>
      </c>
      <c r="W116" s="2293">
        <f t="shared" si="22"/>
        <v>1003</v>
      </c>
      <c r="X116" s="2293">
        <f t="shared" si="22"/>
        <v>1004</v>
      </c>
      <c r="Y116" s="2293">
        <f t="shared" si="22"/>
        <v>1005</v>
      </c>
      <c r="AS116" s="255"/>
      <c r="AT116" s="126"/>
      <c r="AU116" s="255"/>
      <c r="AV116" s="255" t="s">
        <v>765</v>
      </c>
      <c r="AW116" s="255"/>
      <c r="AX116" s="255"/>
      <c r="AY116" s="255"/>
      <c r="AZ116" s="2060"/>
      <c r="GK116" s="1956"/>
      <c r="GL116" s="1956"/>
      <c r="GM116" s="1956"/>
      <c r="GN116" s="1956"/>
      <c r="GO116" s="1956"/>
      <c r="GP116" s="1956"/>
      <c r="GQ116" s="1956"/>
      <c r="GR116" s="1956"/>
      <c r="GS116" s="1956"/>
      <c r="GT116" s="1956"/>
      <c r="GU116" s="1956"/>
      <c r="GV116" s="1956"/>
      <c r="GW116" s="1956"/>
      <c r="GX116" s="1956"/>
      <c r="GY116" s="1956"/>
      <c r="GZ116" s="1956"/>
      <c r="HA116" s="1956"/>
      <c r="HB116" s="1956"/>
      <c r="HC116" s="1956"/>
      <c r="HD116" s="1956"/>
      <c r="HE116" s="1956"/>
      <c r="HF116" s="1956"/>
      <c r="HG116" s="1956"/>
      <c r="HH116" s="1956"/>
      <c r="HI116" s="1956"/>
      <c r="HJ116" s="1956"/>
      <c r="HK116" s="1956"/>
      <c r="HL116" s="1956"/>
      <c r="HM116" s="1956"/>
      <c r="HN116" s="1956"/>
      <c r="HO116" s="1956"/>
      <c r="HP116" s="1956"/>
      <c r="HQ116" s="1956"/>
      <c r="HR116" s="1956"/>
      <c r="HS116" s="1956"/>
      <c r="HT116" s="1956"/>
      <c r="HU116" s="1956"/>
      <c r="HV116" s="1956"/>
      <c r="HW116" s="1956"/>
      <c r="HX116" s="1956"/>
      <c r="HY116" s="1956"/>
      <c r="HZ116" s="1956"/>
      <c r="IA116" s="1956"/>
      <c r="IB116" s="1956"/>
      <c r="IC116" s="1956"/>
      <c r="ID116" s="1956"/>
      <c r="IE116" s="1956"/>
      <c r="IF116" s="1956"/>
      <c r="IG116" s="1956"/>
      <c r="IH116" s="1956"/>
      <c r="II116" s="1956"/>
      <c r="IJ116" s="1956"/>
      <c r="IK116" s="1956"/>
      <c r="IL116" s="1956"/>
      <c r="IM116" s="1956"/>
      <c r="IN116" s="1956"/>
      <c r="IO116" s="1956"/>
      <c r="IP116" s="1956"/>
      <c r="IQ116" s="1956"/>
      <c r="IR116" s="1956"/>
      <c r="IS116" s="1956"/>
      <c r="IT116" s="1956"/>
      <c r="IU116" s="1956"/>
      <c r="IV116" s="1956"/>
      <c r="IW116" s="1956"/>
      <c r="IX116" s="1956"/>
      <c r="IY116" s="1956"/>
      <c r="IZ116" s="1956"/>
      <c r="JA116" s="1956"/>
      <c r="JB116" s="1956"/>
      <c r="JC116" s="1956"/>
      <c r="JD116" s="1956"/>
      <c r="JE116" s="1956"/>
      <c r="JF116" s="1956"/>
      <c r="JG116" s="1956"/>
      <c r="JH116" s="1956"/>
      <c r="JI116" s="1956"/>
      <c r="JJ116" s="1956"/>
      <c r="JK116" s="1956"/>
      <c r="JL116" s="1956"/>
      <c r="JM116" s="1956"/>
      <c r="JN116" s="1956"/>
      <c r="JO116" s="1956"/>
      <c r="JP116" s="1956"/>
      <c r="JQ116" s="1956"/>
      <c r="JR116" s="1956"/>
      <c r="JS116" s="1956"/>
      <c r="JT116" s="1956"/>
      <c r="JU116" s="1956"/>
      <c r="JV116" s="1956"/>
      <c r="JW116" s="1956"/>
      <c r="JX116" s="1956"/>
      <c r="JY116" s="1956"/>
      <c r="JZ116" s="1956"/>
      <c r="KA116" s="1956"/>
      <c r="KB116" s="1956"/>
      <c r="KC116" s="1956"/>
      <c r="KD116" s="1956"/>
      <c r="KE116" s="1956"/>
      <c r="KF116" s="1956"/>
      <c r="KG116" s="1956"/>
      <c r="KH116" s="1956"/>
      <c r="KI116" s="1956"/>
      <c r="KJ116" s="1956"/>
      <c r="KK116" s="1956"/>
      <c r="KL116" s="1956"/>
      <c r="KM116" s="1956"/>
      <c r="KN116" s="1956"/>
      <c r="KO116" s="1956"/>
      <c r="KP116" s="1956"/>
      <c r="KQ116" s="1956"/>
      <c r="KR116" s="1956"/>
      <c r="KS116" s="1956"/>
      <c r="KT116" s="1956"/>
      <c r="KU116" s="1956"/>
      <c r="KV116" s="1956"/>
    </row>
    <row r="117" spans="1:308" s="89" customFormat="1" ht="13.9">
      <c r="A117" s="269" t="str">
        <f t="shared" si="23"/>
        <v>n</v>
      </c>
      <c r="B117" s="2060"/>
      <c r="D117" s="801"/>
      <c r="E117" s="1505">
        <v>18</v>
      </c>
      <c r="F117" s="30" t="str">
        <f>'DATA GPC'!$E37</f>
        <v>--</v>
      </c>
      <c r="G117" s="2112">
        <f>IF('WACC and TIC Inputs'!$D146="X",0,IF('DATA GPC'!$G37="",0,'DATA GPC'!$G37))</f>
        <v>0</v>
      </c>
      <c r="H117" s="281">
        <f>--('DATA GPC'!K72="Y")</f>
        <v>0</v>
      </c>
      <c r="I117" s="2294"/>
      <c r="J117" s="2293">
        <v>995</v>
      </c>
      <c r="K117" s="2293">
        <v>996</v>
      </c>
      <c r="L117" s="2293">
        <v>997</v>
      </c>
      <c r="M117" s="2293">
        <v>998</v>
      </c>
      <c r="N117" s="2293">
        <v>999</v>
      </c>
      <c r="O117" s="2293">
        <v>1000</v>
      </c>
      <c r="P117" s="2293">
        <v>2000</v>
      </c>
      <c r="Q117" s="633"/>
      <c r="R117" s="2293">
        <f t="shared" si="21"/>
        <v>1996</v>
      </c>
      <c r="T117" s="1598" t="str">
        <f t="shared" si="24"/>
        <v/>
      </c>
      <c r="U117" s="2293">
        <f t="shared" si="22"/>
        <v>1001</v>
      </c>
      <c r="V117" s="2293">
        <f t="shared" si="22"/>
        <v>1002</v>
      </c>
      <c r="W117" s="2293">
        <f t="shared" si="22"/>
        <v>1003</v>
      </c>
      <c r="X117" s="2293">
        <f t="shared" si="22"/>
        <v>1004</v>
      </c>
      <c r="Y117" s="2293">
        <f t="shared" si="22"/>
        <v>1005</v>
      </c>
      <c r="AS117" s="255"/>
      <c r="AT117" s="126"/>
      <c r="AU117" s="255"/>
      <c r="AV117" s="255" t="s">
        <v>766</v>
      </c>
      <c r="AW117" s="255"/>
      <c r="AX117" s="255"/>
      <c r="AY117" s="255"/>
      <c r="AZ117" s="255"/>
      <c r="GK117" s="1956"/>
      <c r="GL117" s="1956"/>
      <c r="GM117" s="1956"/>
      <c r="GN117" s="1956"/>
      <c r="GO117" s="1956"/>
      <c r="GP117" s="1956"/>
      <c r="GQ117" s="1956"/>
      <c r="GR117" s="1956"/>
      <c r="GS117" s="1956"/>
      <c r="GT117" s="1956"/>
      <c r="GU117" s="1956"/>
      <c r="GV117" s="1956"/>
      <c r="GW117" s="1956"/>
      <c r="GX117" s="1956"/>
      <c r="GY117" s="1956"/>
      <c r="GZ117" s="1956"/>
      <c r="HA117" s="1956"/>
      <c r="HB117" s="1956"/>
      <c r="HC117" s="1956"/>
      <c r="HD117" s="1956"/>
      <c r="HE117" s="1956"/>
      <c r="HF117" s="1956"/>
      <c r="HG117" s="1956"/>
      <c r="HH117" s="1956"/>
      <c r="HI117" s="1956"/>
      <c r="HJ117" s="1956"/>
      <c r="HK117" s="1956"/>
      <c r="HL117" s="1956"/>
      <c r="HM117" s="1956"/>
      <c r="HN117" s="1956"/>
      <c r="HO117" s="1956"/>
      <c r="HP117" s="1956"/>
      <c r="HQ117" s="1956"/>
      <c r="HR117" s="1956"/>
      <c r="HS117" s="1956"/>
      <c r="HT117" s="1956"/>
      <c r="HU117" s="1956"/>
      <c r="HV117" s="1956"/>
      <c r="HW117" s="1956"/>
      <c r="HX117" s="1956"/>
      <c r="HY117" s="1956"/>
      <c r="HZ117" s="1956"/>
      <c r="IA117" s="1956"/>
      <c r="IB117" s="1956"/>
      <c r="IC117" s="1956"/>
      <c r="ID117" s="1956"/>
      <c r="IE117" s="1956"/>
      <c r="IF117" s="1956"/>
      <c r="IG117" s="1956"/>
      <c r="IH117" s="1956"/>
      <c r="II117" s="1956"/>
      <c r="IJ117" s="1956"/>
      <c r="IK117" s="1956"/>
      <c r="IL117" s="1956"/>
      <c r="IM117" s="1956"/>
      <c r="IN117" s="1956"/>
      <c r="IO117" s="1956"/>
      <c r="IP117" s="1956"/>
      <c r="IQ117" s="1956"/>
      <c r="IR117" s="1956"/>
      <c r="IS117" s="1956"/>
      <c r="IT117" s="1956"/>
      <c r="IU117" s="1956"/>
      <c r="IV117" s="1956"/>
      <c r="IW117" s="1956"/>
      <c r="IX117" s="1956"/>
      <c r="IY117" s="1956"/>
      <c r="IZ117" s="1956"/>
      <c r="JA117" s="1956"/>
      <c r="JB117" s="1956"/>
      <c r="JC117" s="1956"/>
      <c r="JD117" s="1956"/>
      <c r="JE117" s="1956"/>
      <c r="JF117" s="1956"/>
      <c r="JG117" s="1956"/>
      <c r="JH117" s="1956"/>
      <c r="JI117" s="1956"/>
      <c r="JJ117" s="1956"/>
      <c r="JK117" s="1956"/>
      <c r="JL117" s="1956"/>
      <c r="JM117" s="1956"/>
      <c r="JN117" s="1956"/>
      <c r="JO117" s="1956"/>
      <c r="JP117" s="1956"/>
      <c r="JQ117" s="1956"/>
      <c r="JR117" s="1956"/>
      <c r="JS117" s="1956"/>
      <c r="JT117" s="1956"/>
      <c r="JU117" s="1956"/>
      <c r="JV117" s="1956"/>
      <c r="JW117" s="1956"/>
      <c r="JX117" s="1956"/>
      <c r="JY117" s="1956"/>
      <c r="JZ117" s="1956"/>
      <c r="KA117" s="1956"/>
      <c r="KB117" s="1956"/>
      <c r="KC117" s="1956"/>
      <c r="KD117" s="1956"/>
      <c r="KE117" s="1956"/>
      <c r="KF117" s="1956"/>
      <c r="KG117" s="1956"/>
      <c r="KH117" s="1956"/>
      <c r="KI117" s="1956"/>
      <c r="KJ117" s="1956"/>
      <c r="KK117" s="1956"/>
      <c r="KL117" s="1956"/>
      <c r="KM117" s="1956"/>
      <c r="KN117" s="1956"/>
      <c r="KO117" s="1956"/>
      <c r="KP117" s="1956"/>
      <c r="KQ117" s="1956"/>
      <c r="KR117" s="1956"/>
      <c r="KS117" s="1956"/>
      <c r="KT117" s="1956"/>
      <c r="KU117" s="1956"/>
      <c r="KV117" s="1956"/>
    </row>
    <row r="118" spans="1:308" s="89" customFormat="1" ht="13.9">
      <c r="A118" s="269" t="str">
        <f t="shared" si="23"/>
        <v>n</v>
      </c>
      <c r="B118" s="2060"/>
      <c r="D118" s="801"/>
      <c r="E118" s="1505">
        <v>19</v>
      </c>
      <c r="F118" s="30" t="str">
        <f>'DATA GPC'!$E38</f>
        <v>--</v>
      </c>
      <c r="G118" s="2112">
        <f>IF('WACC and TIC Inputs'!$D147="X",0,IF('DATA GPC'!$G38="",0,'DATA GPC'!$G38))</f>
        <v>0</v>
      </c>
      <c r="H118" s="281">
        <f>--('DATA GPC'!K73="Y")</f>
        <v>0</v>
      </c>
      <c r="I118" s="2294"/>
      <c r="J118" s="2293">
        <v>995</v>
      </c>
      <c r="K118" s="2293">
        <v>996</v>
      </c>
      <c r="L118" s="2293">
        <v>997</v>
      </c>
      <c r="M118" s="2293">
        <v>998</v>
      </c>
      <c r="N118" s="2293">
        <v>999</v>
      </c>
      <c r="O118" s="2293">
        <v>1000</v>
      </c>
      <c r="P118" s="2293">
        <v>2000</v>
      </c>
      <c r="Q118" s="633"/>
      <c r="R118" s="2293">
        <f t="shared" si="21"/>
        <v>1996</v>
      </c>
      <c r="T118" s="1598" t="str">
        <f t="shared" si="24"/>
        <v/>
      </c>
      <c r="U118" s="2293">
        <f t="shared" si="22"/>
        <v>1001</v>
      </c>
      <c r="V118" s="2293">
        <f t="shared" si="22"/>
        <v>1002</v>
      </c>
      <c r="W118" s="2293">
        <f t="shared" si="22"/>
        <v>1003</v>
      </c>
      <c r="X118" s="2293">
        <f t="shared" si="22"/>
        <v>1004</v>
      </c>
      <c r="Y118" s="2293">
        <f t="shared" si="22"/>
        <v>1005</v>
      </c>
      <c r="GK118" s="1956"/>
      <c r="GL118" s="1956"/>
      <c r="GM118" s="1956"/>
      <c r="GN118" s="1956"/>
      <c r="GO118" s="1956"/>
      <c r="GP118" s="1956"/>
      <c r="GQ118" s="1956"/>
      <c r="GR118" s="1956"/>
      <c r="GS118" s="1956"/>
      <c r="GT118" s="1956"/>
      <c r="GU118" s="1956"/>
      <c r="GV118" s="1956"/>
      <c r="GW118" s="1956"/>
      <c r="GX118" s="1956"/>
      <c r="GY118" s="1956"/>
      <c r="GZ118" s="1956"/>
      <c r="HA118" s="1956"/>
      <c r="HB118" s="1956"/>
      <c r="HC118" s="1956"/>
      <c r="HD118" s="1956"/>
      <c r="HE118" s="1956"/>
      <c r="HF118" s="1956"/>
      <c r="HG118" s="1956"/>
      <c r="HH118" s="1956"/>
      <c r="HI118" s="1956"/>
      <c r="HJ118" s="1956"/>
      <c r="HK118" s="1956"/>
      <c r="HL118" s="1956"/>
      <c r="HM118" s="1956"/>
      <c r="HN118" s="1956"/>
      <c r="HO118" s="1956"/>
      <c r="HP118" s="1956"/>
      <c r="HQ118" s="1956"/>
      <c r="HR118" s="1956"/>
      <c r="HS118" s="1956"/>
      <c r="HT118" s="1956"/>
      <c r="HU118" s="1956"/>
      <c r="HV118" s="1956"/>
      <c r="HW118" s="1956"/>
      <c r="HX118" s="1956"/>
      <c r="HY118" s="1956"/>
      <c r="HZ118" s="1956"/>
      <c r="IA118" s="1956"/>
      <c r="IB118" s="1956"/>
      <c r="IC118" s="1956"/>
      <c r="ID118" s="1956"/>
      <c r="IE118" s="1956"/>
      <c r="IF118" s="1956"/>
      <c r="IG118" s="1956"/>
      <c r="IH118" s="1956"/>
      <c r="II118" s="1956"/>
      <c r="IJ118" s="1956"/>
      <c r="IK118" s="1956"/>
      <c r="IL118" s="1956"/>
      <c r="IM118" s="1956"/>
      <c r="IN118" s="1956"/>
      <c r="IO118" s="1956"/>
      <c r="IP118" s="1956"/>
      <c r="IQ118" s="1956"/>
      <c r="IR118" s="1956"/>
      <c r="IS118" s="1956"/>
      <c r="IT118" s="1956"/>
      <c r="IU118" s="1956"/>
      <c r="IV118" s="1956"/>
      <c r="IW118" s="1956"/>
      <c r="IX118" s="1956"/>
      <c r="IY118" s="1956"/>
      <c r="IZ118" s="1956"/>
      <c r="JA118" s="1956"/>
      <c r="JB118" s="1956"/>
      <c r="JC118" s="1956"/>
      <c r="JD118" s="1956"/>
      <c r="JE118" s="1956"/>
      <c r="JF118" s="1956"/>
      <c r="JG118" s="1956"/>
      <c r="JH118" s="1956"/>
      <c r="JI118" s="1956"/>
      <c r="JJ118" s="1956"/>
      <c r="JK118" s="1956"/>
      <c r="JL118" s="1956"/>
      <c r="JM118" s="1956"/>
      <c r="JN118" s="1956"/>
      <c r="JO118" s="1956"/>
      <c r="JP118" s="1956"/>
      <c r="JQ118" s="1956"/>
      <c r="JR118" s="1956"/>
      <c r="JS118" s="1956"/>
      <c r="JT118" s="1956"/>
      <c r="JU118" s="1956"/>
      <c r="JV118" s="1956"/>
      <c r="JW118" s="1956"/>
      <c r="JX118" s="1956"/>
      <c r="JY118" s="1956"/>
      <c r="JZ118" s="1956"/>
      <c r="KA118" s="1956"/>
      <c r="KB118" s="1956"/>
      <c r="KC118" s="1956"/>
      <c r="KD118" s="1956"/>
      <c r="KE118" s="1956"/>
      <c r="KF118" s="1956"/>
      <c r="KG118" s="1956"/>
      <c r="KH118" s="1956"/>
      <c r="KI118" s="1956"/>
      <c r="KJ118" s="1956"/>
      <c r="KK118" s="1956"/>
      <c r="KL118" s="1956"/>
      <c r="KM118" s="1956"/>
      <c r="KN118" s="1956"/>
      <c r="KO118" s="1956"/>
      <c r="KP118" s="1956"/>
      <c r="KQ118" s="1956"/>
      <c r="KR118" s="1956"/>
      <c r="KS118" s="1956"/>
      <c r="KT118" s="1956"/>
      <c r="KU118" s="1956"/>
      <c r="KV118" s="1956"/>
    </row>
    <row r="119" spans="1:308" s="89" customFormat="1" ht="13.9">
      <c r="A119" s="269" t="str">
        <f t="shared" si="23"/>
        <v>n</v>
      </c>
      <c r="B119" s="2060"/>
      <c r="D119" s="801"/>
      <c r="E119" s="1505">
        <v>20</v>
      </c>
      <c r="F119" s="30" t="str">
        <f>'DATA GPC'!$E39</f>
        <v>--</v>
      </c>
      <c r="G119" s="2112">
        <f>IF('WACC and TIC Inputs'!$D148="X",0,IF('DATA GPC'!$G39="",0,'DATA GPC'!$G39))</f>
        <v>0</v>
      </c>
      <c r="H119" s="281">
        <f>--('DATA GPC'!K74="Y")</f>
        <v>0</v>
      </c>
      <c r="I119" s="2294"/>
      <c r="J119" s="2293">
        <v>995</v>
      </c>
      <c r="K119" s="2293">
        <v>996</v>
      </c>
      <c r="L119" s="2293">
        <v>997</v>
      </c>
      <c r="M119" s="2293">
        <v>998</v>
      </c>
      <c r="N119" s="2293">
        <v>999</v>
      </c>
      <c r="O119" s="2293">
        <v>1000</v>
      </c>
      <c r="P119" s="2293">
        <v>2000</v>
      </c>
      <c r="Q119" s="633"/>
      <c r="R119" s="2293">
        <f t="shared" si="21"/>
        <v>1996</v>
      </c>
      <c r="T119" s="1598" t="str">
        <f t="shared" si="24"/>
        <v/>
      </c>
      <c r="U119" s="2293">
        <f t="shared" si="22"/>
        <v>1001</v>
      </c>
      <c r="V119" s="2293">
        <f t="shared" si="22"/>
        <v>1002</v>
      </c>
      <c r="W119" s="2293">
        <f t="shared" si="22"/>
        <v>1003</v>
      </c>
      <c r="X119" s="2293">
        <f t="shared" si="22"/>
        <v>1004</v>
      </c>
      <c r="Y119" s="2293">
        <f t="shared" si="22"/>
        <v>1005</v>
      </c>
      <c r="GK119" s="1956"/>
      <c r="GL119" s="1956"/>
      <c r="GM119" s="1956"/>
      <c r="GN119" s="1956"/>
      <c r="GO119" s="1956"/>
      <c r="GP119" s="1956"/>
      <c r="GQ119" s="1956"/>
      <c r="GR119" s="1956"/>
      <c r="GS119" s="1956"/>
      <c r="GT119" s="1956"/>
      <c r="GU119" s="1956"/>
      <c r="GV119" s="1956"/>
      <c r="GW119" s="1956"/>
      <c r="GX119" s="1956"/>
      <c r="GY119" s="1956"/>
      <c r="GZ119" s="1956"/>
      <c r="HA119" s="1956"/>
      <c r="HB119" s="1956"/>
      <c r="HC119" s="1956"/>
      <c r="HD119" s="1956"/>
      <c r="HE119" s="1956"/>
      <c r="HF119" s="1956"/>
      <c r="HG119" s="1956"/>
      <c r="HH119" s="1956"/>
      <c r="HI119" s="1956"/>
      <c r="HJ119" s="1956"/>
      <c r="HK119" s="1956"/>
      <c r="HL119" s="1956"/>
      <c r="HM119" s="1956"/>
      <c r="HN119" s="1956"/>
      <c r="HO119" s="1956"/>
      <c r="HP119" s="1956"/>
      <c r="HQ119" s="1956"/>
      <c r="HR119" s="1956"/>
      <c r="HS119" s="1956"/>
      <c r="HT119" s="1956"/>
      <c r="HU119" s="1956"/>
      <c r="HV119" s="1956"/>
      <c r="HW119" s="1956"/>
      <c r="HX119" s="1956"/>
      <c r="HY119" s="1956"/>
      <c r="HZ119" s="1956"/>
      <c r="IA119" s="1956"/>
      <c r="IB119" s="1956"/>
      <c r="IC119" s="1956"/>
      <c r="ID119" s="1956"/>
      <c r="IE119" s="1956"/>
      <c r="IF119" s="1956"/>
      <c r="IG119" s="1956"/>
      <c r="IH119" s="1956"/>
      <c r="II119" s="1956"/>
      <c r="IJ119" s="1956"/>
      <c r="IK119" s="1956"/>
      <c r="IL119" s="1956"/>
      <c r="IM119" s="1956"/>
      <c r="IN119" s="1956"/>
      <c r="IO119" s="1956"/>
      <c r="IP119" s="1956"/>
      <c r="IQ119" s="1956"/>
      <c r="IR119" s="1956"/>
      <c r="IS119" s="1956"/>
      <c r="IT119" s="1956"/>
      <c r="IU119" s="1956"/>
      <c r="IV119" s="1956"/>
      <c r="IW119" s="1956"/>
      <c r="IX119" s="1956"/>
      <c r="IY119" s="1956"/>
      <c r="IZ119" s="1956"/>
      <c r="JA119" s="1956"/>
      <c r="JB119" s="1956"/>
      <c r="JC119" s="1956"/>
      <c r="JD119" s="1956"/>
      <c r="JE119" s="1956"/>
      <c r="JF119" s="1956"/>
      <c r="JG119" s="1956"/>
      <c r="JH119" s="1956"/>
      <c r="JI119" s="1956"/>
      <c r="JJ119" s="1956"/>
      <c r="JK119" s="1956"/>
      <c r="JL119" s="1956"/>
      <c r="JM119" s="1956"/>
      <c r="JN119" s="1956"/>
      <c r="JO119" s="1956"/>
      <c r="JP119" s="1956"/>
      <c r="JQ119" s="1956"/>
      <c r="JR119" s="1956"/>
      <c r="JS119" s="1956"/>
      <c r="JT119" s="1956"/>
      <c r="JU119" s="1956"/>
      <c r="JV119" s="1956"/>
      <c r="JW119" s="1956"/>
      <c r="JX119" s="1956"/>
      <c r="JY119" s="1956"/>
      <c r="JZ119" s="1956"/>
      <c r="KA119" s="1956"/>
      <c r="KB119" s="1956"/>
      <c r="KC119" s="1956"/>
      <c r="KD119" s="1956"/>
      <c r="KE119" s="1956"/>
      <c r="KF119" s="1956"/>
      <c r="KG119" s="1956"/>
      <c r="KH119" s="1956"/>
      <c r="KI119" s="1956"/>
      <c r="KJ119" s="1956"/>
      <c r="KK119" s="1956"/>
      <c r="KL119" s="1956"/>
      <c r="KM119" s="1956"/>
      <c r="KN119" s="1956"/>
      <c r="KO119" s="1956"/>
      <c r="KP119" s="1956"/>
      <c r="KQ119" s="1956"/>
      <c r="KR119" s="1956"/>
      <c r="KS119" s="1956"/>
      <c r="KT119" s="1956"/>
      <c r="KU119" s="1956"/>
      <c r="KV119" s="1956"/>
    </row>
    <row r="120" spans="1:308" s="89" customFormat="1" ht="13.9">
      <c r="A120" s="269" t="str">
        <f t="shared" si="23"/>
        <v>n</v>
      </c>
      <c r="B120" s="2060"/>
      <c r="D120" s="801"/>
      <c r="E120" s="1505">
        <v>21</v>
      </c>
      <c r="F120" s="30" t="str">
        <f>'DATA GPC'!$E40</f>
        <v>--</v>
      </c>
      <c r="G120" s="2112">
        <f>IF('WACC and TIC Inputs'!$D149="X",0,IF('DATA GPC'!$G40="",0,'DATA GPC'!$G40))</f>
        <v>0</v>
      </c>
      <c r="H120" s="281">
        <f>--('DATA GPC'!K75="Y")</f>
        <v>0</v>
      </c>
      <c r="I120" s="2294"/>
      <c r="J120" s="2293">
        <v>995</v>
      </c>
      <c r="K120" s="2293">
        <v>996</v>
      </c>
      <c r="L120" s="2293">
        <v>997</v>
      </c>
      <c r="M120" s="2293">
        <v>998</v>
      </c>
      <c r="N120" s="2293">
        <v>999</v>
      </c>
      <c r="O120" s="2293">
        <v>1000</v>
      </c>
      <c r="P120" s="2293">
        <v>2000</v>
      </c>
      <c r="Q120" s="633"/>
      <c r="R120" s="2293">
        <f t="shared" si="21"/>
        <v>1996</v>
      </c>
      <c r="T120" s="1598" t="str">
        <f t="shared" si="24"/>
        <v/>
      </c>
      <c r="U120" s="2293">
        <f t="shared" si="22"/>
        <v>1001</v>
      </c>
      <c r="V120" s="2293">
        <f t="shared" si="22"/>
        <v>1002</v>
      </c>
      <c r="W120" s="2293">
        <f t="shared" si="22"/>
        <v>1003</v>
      </c>
      <c r="X120" s="2293">
        <f t="shared" si="22"/>
        <v>1004</v>
      </c>
      <c r="Y120" s="2293">
        <f t="shared" si="22"/>
        <v>1005</v>
      </c>
      <c r="GK120" s="1956"/>
      <c r="GL120" s="1956"/>
      <c r="GM120" s="1956"/>
      <c r="GN120" s="1956"/>
      <c r="GO120" s="1956"/>
      <c r="GP120" s="1956"/>
      <c r="GQ120" s="1956"/>
      <c r="GR120" s="1956"/>
      <c r="GS120" s="1956"/>
      <c r="GT120" s="1956"/>
      <c r="GU120" s="1956"/>
      <c r="GV120" s="1956"/>
      <c r="GW120" s="1956"/>
      <c r="GX120" s="1956"/>
      <c r="GY120" s="1956"/>
      <c r="GZ120" s="1956"/>
      <c r="HA120" s="1956"/>
      <c r="HB120" s="1956"/>
      <c r="HC120" s="1956"/>
      <c r="HD120" s="1956"/>
      <c r="HE120" s="1956"/>
      <c r="HF120" s="1956"/>
      <c r="HG120" s="1956"/>
      <c r="HH120" s="1956"/>
      <c r="HI120" s="1956"/>
      <c r="HJ120" s="1956"/>
      <c r="HK120" s="1956"/>
      <c r="HL120" s="1956"/>
      <c r="HM120" s="1956"/>
      <c r="HN120" s="1956"/>
      <c r="HO120" s="1956"/>
      <c r="HP120" s="1956"/>
      <c r="HQ120" s="1956"/>
      <c r="HR120" s="1956"/>
      <c r="HS120" s="1956"/>
      <c r="HT120" s="1956"/>
      <c r="HU120" s="1956"/>
      <c r="HV120" s="1956"/>
      <c r="HW120" s="1956"/>
      <c r="HX120" s="1956"/>
      <c r="HY120" s="1956"/>
      <c r="HZ120" s="1956"/>
      <c r="IA120" s="1956"/>
      <c r="IB120" s="1956"/>
      <c r="IC120" s="1956"/>
      <c r="ID120" s="1956"/>
      <c r="IE120" s="1956"/>
      <c r="IF120" s="1956"/>
      <c r="IG120" s="1956"/>
      <c r="IH120" s="1956"/>
      <c r="II120" s="1956"/>
      <c r="IJ120" s="1956"/>
      <c r="IK120" s="1956"/>
      <c r="IL120" s="1956"/>
      <c r="IM120" s="1956"/>
      <c r="IN120" s="1956"/>
      <c r="IO120" s="1956"/>
      <c r="IP120" s="1956"/>
      <c r="IQ120" s="1956"/>
      <c r="IR120" s="1956"/>
      <c r="IS120" s="1956"/>
      <c r="IT120" s="1956"/>
      <c r="IU120" s="1956"/>
      <c r="IV120" s="1956"/>
      <c r="IW120" s="1956"/>
      <c r="IX120" s="1956"/>
      <c r="IY120" s="1956"/>
      <c r="IZ120" s="1956"/>
      <c r="JA120" s="1956"/>
      <c r="JB120" s="1956"/>
      <c r="JC120" s="1956"/>
      <c r="JD120" s="1956"/>
      <c r="JE120" s="1956"/>
      <c r="JF120" s="1956"/>
      <c r="JG120" s="1956"/>
      <c r="JH120" s="1956"/>
      <c r="JI120" s="1956"/>
      <c r="JJ120" s="1956"/>
      <c r="JK120" s="1956"/>
      <c r="JL120" s="1956"/>
      <c r="JM120" s="1956"/>
      <c r="JN120" s="1956"/>
      <c r="JO120" s="1956"/>
      <c r="JP120" s="1956"/>
      <c r="JQ120" s="1956"/>
      <c r="JR120" s="1956"/>
      <c r="JS120" s="1956"/>
      <c r="JT120" s="1956"/>
      <c r="JU120" s="1956"/>
      <c r="JV120" s="1956"/>
      <c r="JW120" s="1956"/>
      <c r="JX120" s="1956"/>
      <c r="JY120" s="1956"/>
      <c r="JZ120" s="1956"/>
      <c r="KA120" s="1956"/>
      <c r="KB120" s="1956"/>
      <c r="KC120" s="1956"/>
      <c r="KD120" s="1956"/>
      <c r="KE120" s="1956"/>
      <c r="KF120" s="1956"/>
      <c r="KG120" s="1956"/>
      <c r="KH120" s="1956"/>
      <c r="KI120" s="1956"/>
      <c r="KJ120" s="1956"/>
      <c r="KK120" s="1956"/>
      <c r="KL120" s="1956"/>
      <c r="KM120" s="1956"/>
      <c r="KN120" s="1956"/>
      <c r="KO120" s="1956"/>
      <c r="KP120" s="1956"/>
      <c r="KQ120" s="1956"/>
      <c r="KR120" s="1956"/>
      <c r="KS120" s="1956"/>
      <c r="KT120" s="1956"/>
      <c r="KU120" s="1956"/>
      <c r="KV120" s="1956"/>
    </row>
    <row r="121" spans="1:308" s="89" customFormat="1" ht="13.9">
      <c r="A121" s="269" t="str">
        <f t="shared" si="23"/>
        <v>n</v>
      </c>
      <c r="B121" s="2060"/>
      <c r="D121" s="801"/>
      <c r="E121" s="1505">
        <v>22</v>
      </c>
      <c r="F121" s="30" t="str">
        <f>'DATA GPC'!$E41</f>
        <v>--</v>
      </c>
      <c r="G121" s="2112">
        <f>IF('WACC and TIC Inputs'!$D150="X",0,IF('DATA GPC'!$G41="",0,'DATA GPC'!$G41))</f>
        <v>0</v>
      </c>
      <c r="H121" s="281">
        <f>--('DATA GPC'!K76="Y")</f>
        <v>0</v>
      </c>
      <c r="I121" s="2294"/>
      <c r="J121" s="2293">
        <v>995</v>
      </c>
      <c r="K121" s="2293">
        <v>996</v>
      </c>
      <c r="L121" s="2293">
        <v>997</v>
      </c>
      <c r="M121" s="2293">
        <v>998</v>
      </c>
      <c r="N121" s="2293">
        <v>999</v>
      </c>
      <c r="O121" s="2293">
        <v>1000</v>
      </c>
      <c r="P121" s="2293">
        <v>2000</v>
      </c>
      <c r="Q121" s="633"/>
      <c r="R121" s="2293">
        <f t="shared" si="21"/>
        <v>1996</v>
      </c>
      <c r="T121" s="1598" t="str">
        <f t="shared" si="24"/>
        <v/>
      </c>
      <c r="U121" s="2293">
        <f t="shared" si="22"/>
        <v>1001</v>
      </c>
      <c r="V121" s="2293">
        <f t="shared" si="22"/>
        <v>1002</v>
      </c>
      <c r="W121" s="2293">
        <f t="shared" si="22"/>
        <v>1003</v>
      </c>
      <c r="X121" s="2293">
        <f t="shared" si="22"/>
        <v>1004</v>
      </c>
      <c r="Y121" s="2293">
        <f t="shared" si="22"/>
        <v>1005</v>
      </c>
      <c r="GK121" s="1956"/>
      <c r="GL121" s="1956"/>
      <c r="GM121" s="1956"/>
      <c r="GN121" s="1956"/>
      <c r="GO121" s="1956"/>
      <c r="GP121" s="1956"/>
      <c r="GQ121" s="1956"/>
      <c r="GR121" s="1956"/>
      <c r="GS121" s="1956"/>
      <c r="GT121" s="1956"/>
      <c r="GU121" s="1956"/>
      <c r="GV121" s="1956"/>
      <c r="GW121" s="1956"/>
      <c r="GX121" s="1956"/>
      <c r="GY121" s="1956"/>
      <c r="GZ121" s="1956"/>
      <c r="HA121" s="1956"/>
      <c r="HB121" s="1956"/>
      <c r="HC121" s="1956"/>
      <c r="HD121" s="1956"/>
      <c r="HE121" s="1956"/>
      <c r="HF121" s="1956"/>
      <c r="HG121" s="1956"/>
      <c r="HH121" s="1956"/>
      <c r="HI121" s="1956"/>
      <c r="HJ121" s="1956"/>
      <c r="HK121" s="1956"/>
      <c r="HL121" s="1956"/>
      <c r="HM121" s="1956"/>
      <c r="HN121" s="1956"/>
      <c r="HO121" s="1956"/>
      <c r="HP121" s="1956"/>
      <c r="HQ121" s="1956"/>
      <c r="HR121" s="1956"/>
      <c r="HS121" s="1956"/>
      <c r="HT121" s="1956"/>
      <c r="HU121" s="1956"/>
      <c r="HV121" s="1956"/>
      <c r="HW121" s="1956"/>
      <c r="HX121" s="1956"/>
      <c r="HY121" s="1956"/>
      <c r="HZ121" s="1956"/>
      <c r="IA121" s="1956"/>
      <c r="IB121" s="1956"/>
      <c r="IC121" s="1956"/>
      <c r="ID121" s="1956"/>
      <c r="IE121" s="1956"/>
      <c r="IF121" s="1956"/>
      <c r="IG121" s="1956"/>
      <c r="IH121" s="1956"/>
      <c r="II121" s="1956"/>
      <c r="IJ121" s="1956"/>
      <c r="IK121" s="1956"/>
      <c r="IL121" s="1956"/>
      <c r="IM121" s="1956"/>
      <c r="IN121" s="1956"/>
      <c r="IO121" s="1956"/>
      <c r="IP121" s="1956"/>
      <c r="IQ121" s="1956"/>
      <c r="IR121" s="1956"/>
      <c r="IS121" s="1956"/>
      <c r="IT121" s="1956"/>
      <c r="IU121" s="1956"/>
      <c r="IV121" s="1956"/>
      <c r="IW121" s="1956"/>
      <c r="IX121" s="1956"/>
      <c r="IY121" s="1956"/>
      <c r="IZ121" s="1956"/>
      <c r="JA121" s="1956"/>
      <c r="JB121" s="1956"/>
      <c r="JC121" s="1956"/>
      <c r="JD121" s="1956"/>
      <c r="JE121" s="1956"/>
      <c r="JF121" s="1956"/>
      <c r="JG121" s="1956"/>
      <c r="JH121" s="1956"/>
      <c r="JI121" s="1956"/>
      <c r="JJ121" s="1956"/>
      <c r="JK121" s="1956"/>
      <c r="JL121" s="1956"/>
      <c r="JM121" s="1956"/>
      <c r="JN121" s="1956"/>
      <c r="JO121" s="1956"/>
      <c r="JP121" s="1956"/>
      <c r="JQ121" s="1956"/>
      <c r="JR121" s="1956"/>
      <c r="JS121" s="1956"/>
      <c r="JT121" s="1956"/>
      <c r="JU121" s="1956"/>
      <c r="JV121" s="1956"/>
      <c r="JW121" s="1956"/>
      <c r="JX121" s="1956"/>
      <c r="JY121" s="1956"/>
      <c r="JZ121" s="1956"/>
      <c r="KA121" s="1956"/>
      <c r="KB121" s="1956"/>
      <c r="KC121" s="1956"/>
      <c r="KD121" s="1956"/>
      <c r="KE121" s="1956"/>
      <c r="KF121" s="1956"/>
      <c r="KG121" s="1956"/>
      <c r="KH121" s="1956"/>
      <c r="KI121" s="1956"/>
      <c r="KJ121" s="1956"/>
      <c r="KK121" s="1956"/>
      <c r="KL121" s="1956"/>
      <c r="KM121" s="1956"/>
      <c r="KN121" s="1956"/>
      <c r="KO121" s="1956"/>
      <c r="KP121" s="1956"/>
      <c r="KQ121" s="1956"/>
      <c r="KR121" s="1956"/>
      <c r="KS121" s="1956"/>
      <c r="KT121" s="1956"/>
      <c r="KU121" s="1956"/>
      <c r="KV121" s="1956"/>
    </row>
    <row r="122" spans="1:308" s="89" customFormat="1" ht="13.9">
      <c r="A122" s="269" t="str">
        <f t="shared" si="23"/>
        <v>n</v>
      </c>
      <c r="B122" s="2060"/>
      <c r="D122" s="801"/>
      <c r="E122" s="1505">
        <v>23</v>
      </c>
      <c r="F122" s="30" t="str">
        <f>'DATA GPC'!$E42</f>
        <v>--</v>
      </c>
      <c r="G122" s="2112">
        <f>IF('WACC and TIC Inputs'!$D151="X",0,IF('DATA GPC'!$G42="",0,'DATA GPC'!$G42))</f>
        <v>0</v>
      </c>
      <c r="H122" s="281">
        <f>--('DATA GPC'!K77="Y")</f>
        <v>0</v>
      </c>
      <c r="I122" s="2294"/>
      <c r="J122" s="2293">
        <v>995</v>
      </c>
      <c r="K122" s="2293">
        <v>996</v>
      </c>
      <c r="L122" s="2293">
        <v>997</v>
      </c>
      <c r="M122" s="2293">
        <v>998</v>
      </c>
      <c r="N122" s="2293">
        <v>999</v>
      </c>
      <c r="O122" s="2293">
        <v>1000</v>
      </c>
      <c r="P122" s="2293">
        <v>2000</v>
      </c>
      <c r="Q122" s="633"/>
      <c r="R122" s="2293">
        <f t="shared" si="21"/>
        <v>1996</v>
      </c>
      <c r="T122" s="1598" t="str">
        <f t="shared" si="24"/>
        <v/>
      </c>
      <c r="U122" s="2293">
        <f t="shared" si="22"/>
        <v>1001</v>
      </c>
      <c r="V122" s="2293">
        <f t="shared" si="22"/>
        <v>1002</v>
      </c>
      <c r="W122" s="2293">
        <f t="shared" si="22"/>
        <v>1003</v>
      </c>
      <c r="X122" s="2293">
        <f t="shared" si="22"/>
        <v>1004</v>
      </c>
      <c r="Y122" s="2293">
        <f t="shared" si="22"/>
        <v>1005</v>
      </c>
      <c r="GK122" s="1956"/>
      <c r="GL122" s="1956"/>
      <c r="GM122" s="1956"/>
      <c r="GN122" s="1956"/>
      <c r="GO122" s="1956"/>
      <c r="GP122" s="1956"/>
      <c r="GQ122" s="1956"/>
      <c r="GR122" s="1956"/>
      <c r="GS122" s="1956"/>
      <c r="GT122" s="1956"/>
      <c r="GU122" s="1956"/>
      <c r="GV122" s="1956"/>
      <c r="GW122" s="1956"/>
      <c r="GX122" s="1956"/>
      <c r="GY122" s="1956"/>
      <c r="GZ122" s="1956"/>
      <c r="HA122" s="1956"/>
      <c r="HB122" s="1956"/>
      <c r="HC122" s="1956"/>
      <c r="HD122" s="1956"/>
      <c r="HE122" s="1956"/>
      <c r="HF122" s="1956"/>
      <c r="HG122" s="1956"/>
      <c r="HH122" s="1956"/>
      <c r="HI122" s="1956"/>
      <c r="HJ122" s="1956"/>
      <c r="HK122" s="1956"/>
      <c r="HL122" s="1956"/>
      <c r="HM122" s="1956"/>
      <c r="HN122" s="1956"/>
      <c r="HO122" s="1956"/>
      <c r="HP122" s="1956"/>
      <c r="HQ122" s="1956"/>
      <c r="HR122" s="1956"/>
      <c r="HS122" s="1956"/>
      <c r="HT122" s="1956"/>
      <c r="HU122" s="1956"/>
      <c r="HV122" s="1956"/>
      <c r="HW122" s="1956"/>
      <c r="HX122" s="1956"/>
      <c r="HY122" s="1956"/>
      <c r="HZ122" s="1956"/>
      <c r="IA122" s="1956"/>
      <c r="IB122" s="1956"/>
      <c r="IC122" s="1956"/>
      <c r="ID122" s="1956"/>
      <c r="IE122" s="1956"/>
      <c r="IF122" s="1956"/>
      <c r="IG122" s="1956"/>
      <c r="IH122" s="1956"/>
      <c r="II122" s="1956"/>
      <c r="IJ122" s="1956"/>
      <c r="IK122" s="1956"/>
      <c r="IL122" s="1956"/>
      <c r="IM122" s="1956"/>
      <c r="IN122" s="1956"/>
      <c r="IO122" s="1956"/>
      <c r="IP122" s="1956"/>
      <c r="IQ122" s="1956"/>
      <c r="IR122" s="1956"/>
      <c r="IS122" s="1956"/>
      <c r="IT122" s="1956"/>
      <c r="IU122" s="1956"/>
      <c r="IV122" s="1956"/>
      <c r="IW122" s="1956"/>
      <c r="IX122" s="1956"/>
      <c r="IY122" s="1956"/>
      <c r="IZ122" s="1956"/>
      <c r="JA122" s="1956"/>
      <c r="JB122" s="1956"/>
      <c r="JC122" s="1956"/>
      <c r="JD122" s="1956"/>
      <c r="JE122" s="1956"/>
      <c r="JF122" s="1956"/>
      <c r="JG122" s="1956"/>
      <c r="JH122" s="1956"/>
      <c r="JI122" s="1956"/>
      <c r="JJ122" s="1956"/>
      <c r="JK122" s="1956"/>
      <c r="JL122" s="1956"/>
      <c r="JM122" s="1956"/>
      <c r="JN122" s="1956"/>
      <c r="JO122" s="1956"/>
      <c r="JP122" s="1956"/>
      <c r="JQ122" s="1956"/>
      <c r="JR122" s="1956"/>
      <c r="JS122" s="1956"/>
      <c r="JT122" s="1956"/>
      <c r="JU122" s="1956"/>
      <c r="JV122" s="1956"/>
      <c r="JW122" s="1956"/>
      <c r="JX122" s="1956"/>
      <c r="JY122" s="1956"/>
      <c r="JZ122" s="1956"/>
      <c r="KA122" s="1956"/>
      <c r="KB122" s="1956"/>
      <c r="KC122" s="1956"/>
      <c r="KD122" s="1956"/>
      <c r="KE122" s="1956"/>
      <c r="KF122" s="1956"/>
      <c r="KG122" s="1956"/>
      <c r="KH122" s="1956"/>
      <c r="KI122" s="1956"/>
      <c r="KJ122" s="1956"/>
      <c r="KK122" s="1956"/>
      <c r="KL122" s="1956"/>
      <c r="KM122" s="1956"/>
      <c r="KN122" s="1956"/>
      <c r="KO122" s="1956"/>
      <c r="KP122" s="1956"/>
      <c r="KQ122" s="1956"/>
      <c r="KR122" s="1956"/>
      <c r="KS122" s="1956"/>
      <c r="KT122" s="1956"/>
      <c r="KU122" s="1956"/>
      <c r="KV122" s="1956"/>
    </row>
    <row r="123" spans="1:308" s="89" customFormat="1" ht="13.9">
      <c r="A123" s="269" t="str">
        <f t="shared" si="23"/>
        <v>n</v>
      </c>
      <c r="B123" s="2060"/>
      <c r="D123" s="801"/>
      <c r="E123" s="1505">
        <v>24</v>
      </c>
      <c r="F123" s="30" t="str">
        <f>'DATA GPC'!$E43</f>
        <v>--</v>
      </c>
      <c r="G123" s="2112">
        <f>IF('WACC and TIC Inputs'!$D152="X",0,IF('DATA GPC'!$G43="",0,'DATA GPC'!$G43))</f>
        <v>0</v>
      </c>
      <c r="H123" s="281">
        <f>--('DATA GPC'!K78="Y")</f>
        <v>0</v>
      </c>
      <c r="I123" s="2294"/>
      <c r="J123" s="2293">
        <v>995</v>
      </c>
      <c r="K123" s="2293">
        <v>996</v>
      </c>
      <c r="L123" s="2293">
        <v>997</v>
      </c>
      <c r="M123" s="2293">
        <v>998</v>
      </c>
      <c r="N123" s="2293">
        <v>999</v>
      </c>
      <c r="O123" s="2293">
        <v>1000</v>
      </c>
      <c r="P123" s="2293">
        <v>2000</v>
      </c>
      <c r="Q123" s="633"/>
      <c r="R123" s="2293">
        <f t="shared" si="21"/>
        <v>1996</v>
      </c>
      <c r="T123" s="1598" t="str">
        <f t="shared" si="24"/>
        <v/>
      </c>
      <c r="U123" s="2293">
        <f t="shared" si="22"/>
        <v>1001</v>
      </c>
      <c r="V123" s="2293">
        <f t="shared" si="22"/>
        <v>1002</v>
      </c>
      <c r="W123" s="2293">
        <f t="shared" si="22"/>
        <v>1003</v>
      </c>
      <c r="X123" s="2293">
        <f t="shared" si="22"/>
        <v>1004</v>
      </c>
      <c r="Y123" s="2293">
        <f t="shared" si="22"/>
        <v>1005</v>
      </c>
      <c r="GK123" s="1956"/>
      <c r="GL123" s="1956"/>
      <c r="GM123" s="1956"/>
      <c r="GN123" s="1956"/>
      <c r="GO123" s="1956"/>
      <c r="GP123" s="1956"/>
      <c r="GQ123" s="1956"/>
      <c r="GR123" s="1956"/>
      <c r="GS123" s="1956"/>
      <c r="GT123" s="1956"/>
      <c r="GU123" s="1956"/>
      <c r="GV123" s="1956"/>
      <c r="GW123" s="1956"/>
      <c r="GX123" s="1956"/>
      <c r="GY123" s="1956"/>
      <c r="GZ123" s="1956"/>
      <c r="HA123" s="1956"/>
      <c r="HB123" s="1956"/>
      <c r="HC123" s="1956"/>
      <c r="HD123" s="1956"/>
      <c r="HE123" s="1956"/>
      <c r="HF123" s="1956"/>
      <c r="HG123" s="1956"/>
      <c r="HH123" s="1956"/>
      <c r="HI123" s="1956"/>
      <c r="HJ123" s="1956"/>
      <c r="HK123" s="1956"/>
      <c r="HL123" s="1956"/>
      <c r="HM123" s="1956"/>
      <c r="HN123" s="1956"/>
      <c r="HO123" s="1956"/>
      <c r="HP123" s="1956"/>
      <c r="HQ123" s="1956"/>
      <c r="HR123" s="1956"/>
      <c r="HS123" s="1956"/>
      <c r="HT123" s="1956"/>
      <c r="HU123" s="1956"/>
      <c r="HV123" s="1956"/>
      <c r="HW123" s="1956"/>
      <c r="HX123" s="1956"/>
      <c r="HY123" s="1956"/>
      <c r="HZ123" s="1956"/>
      <c r="IA123" s="1956"/>
      <c r="IB123" s="1956"/>
      <c r="IC123" s="1956"/>
      <c r="ID123" s="1956"/>
      <c r="IE123" s="1956"/>
      <c r="IF123" s="1956"/>
      <c r="IG123" s="1956"/>
      <c r="IH123" s="1956"/>
      <c r="II123" s="1956"/>
      <c r="IJ123" s="1956"/>
      <c r="IK123" s="1956"/>
      <c r="IL123" s="1956"/>
      <c r="IM123" s="1956"/>
      <c r="IN123" s="1956"/>
      <c r="IO123" s="1956"/>
      <c r="IP123" s="1956"/>
      <c r="IQ123" s="1956"/>
      <c r="IR123" s="1956"/>
      <c r="IS123" s="1956"/>
      <c r="IT123" s="1956"/>
      <c r="IU123" s="1956"/>
      <c r="IV123" s="1956"/>
      <c r="IW123" s="1956"/>
      <c r="IX123" s="1956"/>
      <c r="IY123" s="1956"/>
      <c r="IZ123" s="1956"/>
      <c r="JA123" s="1956"/>
      <c r="JB123" s="1956"/>
      <c r="JC123" s="1956"/>
      <c r="JD123" s="1956"/>
      <c r="JE123" s="1956"/>
      <c r="JF123" s="1956"/>
      <c r="JG123" s="1956"/>
      <c r="JH123" s="1956"/>
      <c r="JI123" s="1956"/>
      <c r="JJ123" s="1956"/>
      <c r="JK123" s="1956"/>
      <c r="JL123" s="1956"/>
      <c r="JM123" s="1956"/>
      <c r="JN123" s="1956"/>
      <c r="JO123" s="1956"/>
      <c r="JP123" s="1956"/>
      <c r="JQ123" s="1956"/>
      <c r="JR123" s="1956"/>
      <c r="JS123" s="1956"/>
      <c r="JT123" s="1956"/>
      <c r="JU123" s="1956"/>
      <c r="JV123" s="1956"/>
      <c r="JW123" s="1956"/>
      <c r="JX123" s="1956"/>
      <c r="JY123" s="1956"/>
      <c r="JZ123" s="1956"/>
      <c r="KA123" s="1956"/>
      <c r="KB123" s="1956"/>
      <c r="KC123" s="1956"/>
      <c r="KD123" s="1956"/>
      <c r="KE123" s="1956"/>
      <c r="KF123" s="1956"/>
      <c r="KG123" s="1956"/>
      <c r="KH123" s="1956"/>
      <c r="KI123" s="1956"/>
      <c r="KJ123" s="1956"/>
      <c r="KK123" s="1956"/>
      <c r="KL123" s="1956"/>
      <c r="KM123" s="1956"/>
      <c r="KN123" s="1956"/>
      <c r="KO123" s="1956"/>
      <c r="KP123" s="1956"/>
      <c r="KQ123" s="1956"/>
      <c r="KR123" s="1956"/>
      <c r="KS123" s="1956"/>
      <c r="KT123" s="1956"/>
      <c r="KU123" s="1956"/>
      <c r="KV123" s="1956"/>
    </row>
    <row r="124" spans="1:308" s="89" customFormat="1" ht="13.9">
      <c r="A124" s="269" t="str">
        <f t="shared" si="23"/>
        <v>n</v>
      </c>
      <c r="B124" s="2060"/>
      <c r="D124" s="801"/>
      <c r="E124" s="1505">
        <v>25</v>
      </c>
      <c r="F124" s="30" t="str">
        <f>'DATA GPC'!$E44</f>
        <v>--</v>
      </c>
      <c r="G124" s="2112">
        <f>IF('WACC and TIC Inputs'!$D153="X",0,IF('DATA GPC'!$G44="",0,'DATA GPC'!$G44))</f>
        <v>0</v>
      </c>
      <c r="H124" s="281">
        <f>--('DATA GPC'!K79="Y")</f>
        <v>0</v>
      </c>
      <c r="I124" s="2294"/>
      <c r="J124" s="2293">
        <v>995</v>
      </c>
      <c r="K124" s="2293">
        <v>996</v>
      </c>
      <c r="L124" s="2293">
        <v>997</v>
      </c>
      <c r="M124" s="2293">
        <v>998</v>
      </c>
      <c r="N124" s="2293">
        <v>999</v>
      </c>
      <c r="O124" s="2293">
        <v>1000</v>
      </c>
      <c r="P124" s="2293">
        <v>2000</v>
      </c>
      <c r="Q124" s="633"/>
      <c r="R124" s="2293">
        <f t="shared" si="21"/>
        <v>1996</v>
      </c>
      <c r="T124" s="1598" t="str">
        <f t="shared" si="24"/>
        <v/>
      </c>
      <c r="U124" s="2293">
        <f t="shared" si="22"/>
        <v>1001</v>
      </c>
      <c r="V124" s="2293">
        <f t="shared" si="22"/>
        <v>1002</v>
      </c>
      <c r="W124" s="2293">
        <f t="shared" si="22"/>
        <v>1003</v>
      </c>
      <c r="X124" s="2293">
        <f t="shared" si="22"/>
        <v>1004</v>
      </c>
      <c r="Y124" s="2293">
        <f t="shared" si="22"/>
        <v>1005</v>
      </c>
      <c r="GK124" s="1956"/>
      <c r="GL124" s="1956"/>
      <c r="GM124" s="1956"/>
      <c r="GN124" s="1956"/>
      <c r="GO124" s="1956"/>
      <c r="GP124" s="1956"/>
      <c r="GQ124" s="1956"/>
      <c r="GR124" s="1956"/>
      <c r="GS124" s="1956"/>
      <c r="GT124" s="1956"/>
      <c r="GU124" s="1956"/>
      <c r="GV124" s="1956"/>
      <c r="GW124" s="1956"/>
      <c r="GX124" s="1956"/>
      <c r="GY124" s="1956"/>
      <c r="GZ124" s="1956"/>
      <c r="HA124" s="1956"/>
      <c r="HB124" s="1956"/>
      <c r="HC124" s="1956"/>
      <c r="HD124" s="1956"/>
      <c r="HE124" s="1956"/>
      <c r="HF124" s="1956"/>
      <c r="HG124" s="1956"/>
      <c r="HH124" s="1956"/>
      <c r="HI124" s="1956"/>
      <c r="HJ124" s="1956"/>
      <c r="HK124" s="1956"/>
      <c r="HL124" s="1956"/>
      <c r="HM124" s="1956"/>
      <c r="HN124" s="1956"/>
      <c r="HO124" s="1956"/>
      <c r="HP124" s="1956"/>
      <c r="HQ124" s="1956"/>
      <c r="HR124" s="1956"/>
      <c r="HS124" s="1956"/>
      <c r="HT124" s="1956"/>
      <c r="HU124" s="1956"/>
      <c r="HV124" s="1956"/>
      <c r="HW124" s="1956"/>
      <c r="HX124" s="1956"/>
      <c r="HY124" s="1956"/>
      <c r="HZ124" s="1956"/>
      <c r="IA124" s="1956"/>
      <c r="IB124" s="1956"/>
      <c r="IC124" s="1956"/>
      <c r="ID124" s="1956"/>
      <c r="IE124" s="1956"/>
      <c r="IF124" s="1956"/>
      <c r="IG124" s="1956"/>
      <c r="IH124" s="1956"/>
      <c r="II124" s="1956"/>
      <c r="IJ124" s="1956"/>
      <c r="IK124" s="1956"/>
      <c r="IL124" s="1956"/>
      <c r="IM124" s="1956"/>
      <c r="IN124" s="1956"/>
      <c r="IO124" s="1956"/>
      <c r="IP124" s="1956"/>
      <c r="IQ124" s="1956"/>
      <c r="IR124" s="1956"/>
      <c r="IS124" s="1956"/>
      <c r="IT124" s="1956"/>
      <c r="IU124" s="1956"/>
      <c r="IV124" s="1956"/>
      <c r="IW124" s="1956"/>
      <c r="IX124" s="1956"/>
      <c r="IY124" s="1956"/>
      <c r="IZ124" s="1956"/>
      <c r="JA124" s="1956"/>
      <c r="JB124" s="1956"/>
      <c r="JC124" s="1956"/>
      <c r="JD124" s="1956"/>
      <c r="JE124" s="1956"/>
      <c r="JF124" s="1956"/>
      <c r="JG124" s="1956"/>
      <c r="JH124" s="1956"/>
      <c r="JI124" s="1956"/>
      <c r="JJ124" s="1956"/>
      <c r="JK124" s="1956"/>
      <c r="JL124" s="1956"/>
      <c r="JM124" s="1956"/>
      <c r="JN124" s="1956"/>
      <c r="JO124" s="1956"/>
      <c r="JP124" s="1956"/>
      <c r="JQ124" s="1956"/>
      <c r="JR124" s="1956"/>
      <c r="JS124" s="1956"/>
      <c r="JT124" s="1956"/>
      <c r="JU124" s="1956"/>
      <c r="JV124" s="1956"/>
      <c r="JW124" s="1956"/>
      <c r="JX124" s="1956"/>
      <c r="JY124" s="1956"/>
      <c r="JZ124" s="1956"/>
      <c r="KA124" s="1956"/>
      <c r="KB124" s="1956"/>
      <c r="KC124" s="1956"/>
      <c r="KD124" s="1956"/>
      <c r="KE124" s="1956"/>
      <c r="KF124" s="1956"/>
      <c r="KG124" s="1956"/>
      <c r="KH124" s="1956"/>
      <c r="KI124" s="1956"/>
      <c r="KJ124" s="1956"/>
      <c r="KK124" s="1956"/>
      <c r="KL124" s="1956"/>
      <c r="KM124" s="1956"/>
      <c r="KN124" s="1956"/>
      <c r="KO124" s="1956"/>
      <c r="KP124" s="1956"/>
      <c r="KQ124" s="1956"/>
      <c r="KR124" s="1956"/>
      <c r="KS124" s="1956"/>
      <c r="KT124" s="1956"/>
      <c r="KU124" s="1956"/>
      <c r="KV124" s="1956"/>
    </row>
    <row r="125" spans="1:308" s="89" customFormat="1" ht="13.9">
      <c r="A125" s="2060"/>
      <c r="B125" s="2060"/>
      <c r="D125" s="801"/>
      <c r="E125" s="1505"/>
      <c r="F125" s="57" t="s">
        <v>767</v>
      </c>
      <c r="G125" s="58"/>
      <c r="H125" s="58"/>
      <c r="I125" s="235"/>
      <c r="J125" s="1460"/>
      <c r="K125" s="1460"/>
      <c r="L125" s="1460"/>
      <c r="M125" s="1460"/>
      <c r="N125" s="1460"/>
      <c r="O125" s="1461"/>
      <c r="P125" s="1460"/>
      <c r="Q125" s="1460"/>
      <c r="R125" s="1460"/>
      <c r="U125" s="1460"/>
      <c r="V125" s="1460"/>
      <c r="W125" s="1460"/>
      <c r="X125" s="1460"/>
      <c r="Y125" s="1460"/>
      <c r="AF125" s="255"/>
    </row>
    <row r="126" spans="1:308" s="89" customFormat="1" ht="13.9">
      <c r="A126" s="2060"/>
      <c r="B126" s="2060"/>
      <c r="C126" s="255"/>
      <c r="D126" s="780"/>
      <c r="E126" s="1505"/>
      <c r="F126" s="724"/>
      <c r="G126" s="724"/>
      <c r="H126" s="724"/>
      <c r="I126" s="724"/>
      <c r="J126" s="724"/>
      <c r="K126" s="724"/>
      <c r="L126" s="724"/>
      <c r="M126" s="724"/>
      <c r="N126" s="724"/>
      <c r="O126" s="757" t="s">
        <v>768</v>
      </c>
      <c r="P126" s="724"/>
      <c r="Q126" s="724"/>
      <c r="R126" s="724"/>
      <c r="S126" s="724"/>
      <c r="T126" s="724"/>
      <c r="U126" s="724"/>
      <c r="V126" s="724"/>
      <c r="W126" s="724"/>
      <c r="X126" s="724"/>
      <c r="Y126" s="724"/>
      <c r="Z126" s="255"/>
      <c r="AA126" s="255"/>
      <c r="AB126" s="255"/>
      <c r="AC126" s="255"/>
      <c r="AD126" s="255"/>
      <c r="AE126" s="255"/>
    </row>
    <row r="127" spans="1:308" s="89" customFormat="1" ht="13.9">
      <c r="A127" s="2060"/>
      <c r="B127" s="2060"/>
      <c r="D127" s="778">
        <f ca="1">MAX(OFFSET(D127,-1,0,-ROW(D127)+1,-2),1)+0.01</f>
        <v>3.0199999999999996</v>
      </c>
      <c r="E127" s="668"/>
      <c r="F127" s="952" t="s">
        <v>697</v>
      </c>
      <c r="G127" s="724"/>
      <c r="H127" s="724"/>
      <c r="I127" s="758"/>
      <c r="J127" s="758" t="s">
        <v>699</v>
      </c>
      <c r="K127" s="758" t="s">
        <v>700</v>
      </c>
      <c r="L127" s="758" t="s">
        <v>701</v>
      </c>
      <c r="M127" s="758" t="s">
        <v>702</v>
      </c>
      <c r="N127" s="758" t="s">
        <v>703</v>
      </c>
      <c r="O127" s="759" t="s">
        <v>704</v>
      </c>
      <c r="P127" s="761" t="s">
        <v>705</v>
      </c>
      <c r="Q127" s="724"/>
      <c r="R127" s="725" t="s">
        <v>706</v>
      </c>
      <c r="S127" s="724"/>
      <c r="T127" s="89" t="s">
        <v>769</v>
      </c>
      <c r="U127" s="758" t="s">
        <v>707</v>
      </c>
      <c r="V127" s="758" t="s">
        <v>708</v>
      </c>
      <c r="W127" s="758" t="s">
        <v>709</v>
      </c>
      <c r="X127" s="758" t="s">
        <v>710</v>
      </c>
      <c r="Y127" s="758" t="s">
        <v>711</v>
      </c>
    </row>
    <row r="128" spans="1:308" s="89" customFormat="1" ht="13.9">
      <c r="A128" s="2060"/>
      <c r="B128" s="2060"/>
      <c r="D128" s="785"/>
      <c r="E128" s="1505">
        <v>0</v>
      </c>
      <c r="F128" s="2113" t="str">
        <f>F99</f>
        <v/>
      </c>
      <c r="G128" s="2114">
        <f>G99</f>
        <v>0</v>
      </c>
      <c r="H128" s="2114" t="str">
        <f>SubjOutputCurrencyCode</f>
        <v>USD</v>
      </c>
      <c r="I128" s="2290">
        <f t="shared" ref="I128:N128" si="25">EOMONTH(J128,-12)</f>
        <v>40633</v>
      </c>
      <c r="J128" s="2295">
        <f t="shared" si="25"/>
        <v>40999</v>
      </c>
      <c r="K128" s="2295">
        <f t="shared" si="25"/>
        <v>41364</v>
      </c>
      <c r="L128" s="2295">
        <f t="shared" si="25"/>
        <v>41729</v>
      </c>
      <c r="M128" s="2295">
        <f t="shared" si="25"/>
        <v>42094</v>
      </c>
      <c r="N128" s="2295">
        <f t="shared" si="25"/>
        <v>42460</v>
      </c>
      <c r="O128" s="2295">
        <f>IFERROR(FYEAfterValuation,0)</f>
        <v>42825</v>
      </c>
      <c r="P128" s="2296">
        <f>O128</f>
        <v>42825</v>
      </c>
      <c r="Q128" s="248"/>
      <c r="R128" s="2297">
        <f>EOMONTH(P128,-12)</f>
        <v>42460</v>
      </c>
      <c r="S128" s="89" t="str">
        <f t="shared" ref="S128:S153" si="26">IF($G128=0,"--",IF(SUM(O128:P128)=0,Fail,OK))</f>
        <v>--</v>
      </c>
      <c r="U128" s="2291">
        <f>EOMONTH(O128,12)</f>
        <v>43190</v>
      </c>
      <c r="V128" s="2291">
        <f>EOMONTH(U128,12)</f>
        <v>43555</v>
      </c>
      <c r="W128" s="2291">
        <f>EOMONTH(V128,12)</f>
        <v>43921</v>
      </c>
      <c r="X128" s="2291">
        <f>EOMONTH(W128,12)</f>
        <v>44286</v>
      </c>
      <c r="Y128" s="2291">
        <f>EOMONTH(X128,12)</f>
        <v>44651</v>
      </c>
    </row>
    <row r="129" spans="1:54" s="89" customFormat="1" ht="13.9">
      <c r="A129" s="269" t="str">
        <f>IF(F129="--","n","")</f>
        <v>n</v>
      </c>
      <c r="B129" s="2060"/>
      <c r="C129" s="72"/>
      <c r="D129" s="48"/>
      <c r="E129" s="1505">
        <v>1</v>
      </c>
      <c r="F129" s="30" t="str">
        <f>'DATA GPC'!$E20</f>
        <v>--</v>
      </c>
      <c r="G129" s="2112">
        <f>IF('WACC and TIC Inputs'!$D129="X",0,IF('DATA GPC'!$G20="",0,'DATA GPC'!$G20))</f>
        <v>0</v>
      </c>
      <c r="H129" s="2112" t="str">
        <f>IF($F129="--","--",IF(OutputCurrency="Filing",_xll.ciqfunctions.udf.CIQ(G129,"IQ_FILING_CURRENCY",2000,Valuation_Date_GC),OutputCurrency))</f>
        <v>--</v>
      </c>
      <c r="I129" s="2298"/>
      <c r="J129" s="2296" t="str">
        <f>IF($G129=0,"--",_xll.ciqfunctions.udf.CIQ($G129,"IQ_PERIODDATE",J100,Valuation_Date_GC,ReportType,DataMode))</f>
        <v>--</v>
      </c>
      <c r="K129" s="2296" t="str">
        <f>IF($G129=0,"--",_xll.ciqfunctions.udf.CIQ($G129,"IQ_PERIODDATE",K100,Valuation_Date_GC,ReportType,DataMode))</f>
        <v>--</v>
      </c>
      <c r="L129" s="2296" t="str">
        <f>IF($G129=0,"--",_xll.ciqfunctions.udf.CIQ($G129,"IQ_PERIODDATE",L100,Valuation_Date_GC,ReportType,DataMode))</f>
        <v>--</v>
      </c>
      <c r="M129" s="2296" t="str">
        <f>IF($G129=0,"--",_xll.ciqfunctions.udf.CIQ($G129,"IQ_PERIODDATE",M100,Valuation_Date_GC,ReportType,DataMode))</f>
        <v>--</v>
      </c>
      <c r="N129" s="2296" t="str">
        <f>IF($G129=0,"--",_xll.ciqfunctions.udf.CIQ($G129,"IQ_PERIODDATE",N100,Valuation_Date_GC,ReportType,DataMode))</f>
        <v>--</v>
      </c>
      <c r="O129" s="2296" t="str">
        <f>IF($G129=0,"--",_xll.ciqfunctions.udf.CIQ($G129,"IQ_PERIODDATE",O100,Valuation_Date_GC,ReportType,DataMode))</f>
        <v>--</v>
      </c>
      <c r="P129" s="2296" t="str">
        <f>IF($G129=0,"--",_xll.ciqfunctions.udf.CIQ($G129,"IQ_PERIODDATE",P100,Valuation_Date_GC,ReportType,DataMode))</f>
        <v>--</v>
      </c>
      <c r="R129" s="2296" t="str">
        <f>IF($G129=0,"--",_xll.ciqfunctions.udf.CIQ($G129,"IQ_PERIODDATE",R100,Valuation_Date_GC,ReportType,DataMode))</f>
        <v>--</v>
      </c>
      <c r="S129" s="89" t="str">
        <f t="shared" si="26"/>
        <v>--</v>
      </c>
      <c r="T129" s="1598" t="str">
        <f>T100</f>
        <v/>
      </c>
      <c r="U129" s="2296" t="str">
        <f>IF($G129=0,"--",_xll.ciqfunctions.udf.CIQ($G129,$T$127,U100,Valuation_Date_GC,ReportType,DataMode))</f>
        <v>--</v>
      </c>
      <c r="V129" s="2296" t="str">
        <f>IF($G129=0,"--",_xll.ciqfunctions.udf.CIQ($G129,$T$127,V100,Valuation_Date_GC,ReportType,DataMode))</f>
        <v>--</v>
      </c>
      <c r="W129" s="2296" t="str">
        <f>IF($G129=0,"--",_xll.ciqfunctions.udf.CIQ($G129,$T$127,W100,Valuation_Date_GC,ReportType,DataMode))</f>
        <v>--</v>
      </c>
      <c r="X129" s="2296" t="str">
        <f>IF($G129=0,"--",_xll.ciqfunctions.udf.CIQ($G129,$T$127,X100,Valuation_Date_GC,ReportType,DataMode))</f>
        <v>--</v>
      </c>
      <c r="Y129" s="2296" t="str">
        <f>IF($G129=0,"--",_xll.ciqfunctions.udf.CIQ($G129,$T$127,Y100,Valuation_Date_GC,ReportType,DataMode))</f>
        <v>--</v>
      </c>
    </row>
    <row r="130" spans="1:54" s="89" customFormat="1" ht="13.9">
      <c r="A130" s="269" t="str">
        <f t="shared" ref="A130:A153" si="27">IF(F130="--","n","")</f>
        <v>n</v>
      </c>
      <c r="B130" s="2060"/>
      <c r="D130" s="48"/>
      <c r="E130" s="1505">
        <v>2</v>
      </c>
      <c r="F130" s="30" t="str">
        <f>'DATA GPC'!$E21</f>
        <v>--</v>
      </c>
      <c r="G130" s="2112">
        <f>IF('WACC and TIC Inputs'!$D130="X",0,IF('DATA GPC'!$G21="",0,'DATA GPC'!$G21))</f>
        <v>0</v>
      </c>
      <c r="H130" s="2112" t="str">
        <f>IF($F130="--","--",IF(OutputCurrency="Filing",_xll.ciqfunctions.udf.CIQ(G130,"IQ_FILING_CURRENCY",2000,Valuation_Date_GC),OutputCurrency))</f>
        <v>--</v>
      </c>
      <c r="I130" s="2298"/>
      <c r="J130" s="2296" t="str">
        <f>IF($G130=0,"--",_xll.ciqfunctions.udf.CIQ($G130,"IQ_PERIODDATE",J101,Valuation_Date_GC,ReportType,DataMode))</f>
        <v>--</v>
      </c>
      <c r="K130" s="2296" t="str">
        <f>IF($G130=0,"--",_xll.ciqfunctions.udf.CIQ($G130,"IQ_PERIODDATE",K101,Valuation_Date_GC,ReportType,DataMode))</f>
        <v>--</v>
      </c>
      <c r="L130" s="2296" t="str">
        <f>IF($G130=0,"--",_xll.ciqfunctions.udf.CIQ($G130,"IQ_PERIODDATE",L101,Valuation_Date_GC,ReportType,DataMode))</f>
        <v>--</v>
      </c>
      <c r="M130" s="2296" t="str">
        <f>IF($G130=0,"--",_xll.ciqfunctions.udf.CIQ($G130,"IQ_PERIODDATE",M101,Valuation_Date_GC,ReportType,DataMode))</f>
        <v>--</v>
      </c>
      <c r="N130" s="2296" t="str">
        <f>IF($G130=0,"--",_xll.ciqfunctions.udf.CIQ($G130,"IQ_PERIODDATE",N101,Valuation_Date_GC,ReportType,DataMode))</f>
        <v>--</v>
      </c>
      <c r="O130" s="2296" t="str">
        <f>IF($G130=0,"--",_xll.ciqfunctions.udf.CIQ($G130,"IQ_PERIODDATE",O101,Valuation_Date_GC,ReportType,DataMode))</f>
        <v>--</v>
      </c>
      <c r="P130" s="2296" t="str">
        <f>IF($G130=0,"--",_xll.ciqfunctions.udf.CIQ($G130,"IQ_PERIODDATE",P101,Valuation_Date_GC,ReportType,DataMode))</f>
        <v>--</v>
      </c>
      <c r="R130" s="2296" t="str">
        <f>IF($G130=0,"--",_xll.ciqfunctions.udf.CIQ($G130,"IQ_PERIODDATE",R101,Valuation_Date_GC,ReportType,DataMode))</f>
        <v>--</v>
      </c>
      <c r="S130" s="89" t="str">
        <f t="shared" si="26"/>
        <v>--</v>
      </c>
      <c r="T130" s="1598" t="str">
        <f t="shared" ref="T130:T153" si="28">T101</f>
        <v/>
      </c>
      <c r="U130" s="2296" t="str">
        <f>IF($G130=0,"--",_xll.ciqfunctions.udf.CIQ($G130,$T$127,U101,Valuation_Date_GC,ReportType,DataMode))</f>
        <v>--</v>
      </c>
      <c r="V130" s="2296" t="str">
        <f>IF($G130=0,"--",_xll.ciqfunctions.udf.CIQ($G130,$T$127,V101,Valuation_Date_GC,ReportType,DataMode))</f>
        <v>--</v>
      </c>
      <c r="W130" s="2296" t="str">
        <f>IF($G130=0,"--",_xll.ciqfunctions.udf.CIQ($G130,$T$127,W101,Valuation_Date_GC,ReportType,DataMode))</f>
        <v>--</v>
      </c>
      <c r="X130" s="2296" t="str">
        <f>IF($G130=0,"--",_xll.ciqfunctions.udf.CIQ($G130,$T$127,X101,Valuation_Date_GC,ReportType,DataMode))</f>
        <v>--</v>
      </c>
      <c r="Y130" s="2296" t="str">
        <f>IF($G130=0,"--",_xll.ciqfunctions.udf.CIQ($G130,$T$127,Y101,Valuation_Date_GC,ReportType,DataMode))</f>
        <v>--</v>
      </c>
    </row>
    <row r="131" spans="1:54" s="89" customFormat="1" ht="13.9">
      <c r="A131" s="269" t="str">
        <f t="shared" si="27"/>
        <v>n</v>
      </c>
      <c r="B131" s="2060"/>
      <c r="C131" s="72"/>
      <c r="D131" s="48"/>
      <c r="E131" s="1505">
        <v>3</v>
      </c>
      <c r="F131" s="30" t="str">
        <f>'DATA GPC'!$E22</f>
        <v>--</v>
      </c>
      <c r="G131" s="2112">
        <f>IF('WACC and TIC Inputs'!$D131="X",0,IF('DATA GPC'!$G22="",0,'DATA GPC'!$G22))</f>
        <v>0</v>
      </c>
      <c r="H131" s="2112" t="str">
        <f>IF($F131="--","--",IF(OutputCurrency="Filing",_xll.ciqfunctions.udf.CIQ(G131,"IQ_FILING_CURRENCY",2000,Valuation_Date_GC),OutputCurrency))</f>
        <v>--</v>
      </c>
      <c r="I131" s="2298"/>
      <c r="J131" s="2296" t="str">
        <f>IF($G131=0,"--",_xll.ciqfunctions.udf.CIQ($G131,"IQ_PERIODDATE",J102,Valuation_Date_GC,ReportType,DataMode))</f>
        <v>--</v>
      </c>
      <c r="K131" s="2296" t="str">
        <f>IF($G131=0,"--",_xll.ciqfunctions.udf.CIQ($G131,"IQ_PERIODDATE",K102,Valuation_Date_GC,ReportType,DataMode))</f>
        <v>--</v>
      </c>
      <c r="L131" s="2296" t="str">
        <f>IF($G131=0,"--",_xll.ciqfunctions.udf.CIQ($G131,"IQ_PERIODDATE",L102,Valuation_Date_GC,ReportType,DataMode))</f>
        <v>--</v>
      </c>
      <c r="M131" s="2296" t="str">
        <f>IF($G131=0,"--",_xll.ciqfunctions.udf.CIQ($G131,"IQ_PERIODDATE",M102,Valuation_Date_GC,ReportType,DataMode))</f>
        <v>--</v>
      </c>
      <c r="N131" s="2296" t="str">
        <f>IF($G131=0,"--",_xll.ciqfunctions.udf.CIQ($G131,"IQ_PERIODDATE",N102,Valuation_Date_GC,ReportType,DataMode))</f>
        <v>--</v>
      </c>
      <c r="O131" s="2296" t="str">
        <f>IF($G131=0,"--",_xll.ciqfunctions.udf.CIQ($G131,"IQ_PERIODDATE",O102,Valuation_Date_GC,ReportType,DataMode))</f>
        <v>--</v>
      </c>
      <c r="P131" s="2296" t="str">
        <f>IF($G131=0,"--",_xll.ciqfunctions.udf.CIQ($G131,"IQ_PERIODDATE",P102,Valuation_Date_GC,ReportType,DataMode))</f>
        <v>--</v>
      </c>
      <c r="R131" s="2296" t="str">
        <f>IF($G131=0,"--",_xll.ciqfunctions.udf.CIQ($G131,"IQ_PERIODDATE",R102,Valuation_Date_GC,ReportType,DataMode))</f>
        <v>--</v>
      </c>
      <c r="S131" s="89" t="str">
        <f t="shared" si="26"/>
        <v>--</v>
      </c>
      <c r="T131" s="1598" t="str">
        <f t="shared" si="28"/>
        <v/>
      </c>
      <c r="U131" s="2296" t="str">
        <f>IF($G131=0,"--",_xll.ciqfunctions.udf.CIQ($G131,$T$127,U102,Valuation_Date_GC,ReportType,DataMode))</f>
        <v>--</v>
      </c>
      <c r="V131" s="2296" t="str">
        <f>IF($G131=0,"--",_xll.ciqfunctions.udf.CIQ($G131,$T$127,V102,Valuation_Date_GC,ReportType,DataMode))</f>
        <v>--</v>
      </c>
      <c r="W131" s="2296" t="str">
        <f>IF($G131=0,"--",_xll.ciqfunctions.udf.CIQ($G131,$T$127,W102,Valuation_Date_GC,ReportType,DataMode))</f>
        <v>--</v>
      </c>
      <c r="X131" s="2296" t="str">
        <f>IF($G131=0,"--",_xll.ciqfunctions.udf.CIQ($G131,$T$127,X102,Valuation_Date_GC,ReportType,DataMode))</f>
        <v>--</v>
      </c>
      <c r="Y131" s="2296" t="str">
        <f>IF($G131=0,"--",_xll.ciqfunctions.udf.CIQ($G131,$T$127,Y102,Valuation_Date_GC,ReportType,DataMode))</f>
        <v>--</v>
      </c>
    </row>
    <row r="132" spans="1:54" s="89" customFormat="1" ht="13.9">
      <c r="A132" s="269" t="str">
        <f t="shared" si="27"/>
        <v>n</v>
      </c>
      <c r="B132" s="2060"/>
      <c r="C132" s="72"/>
      <c r="D132" s="48"/>
      <c r="E132" s="1505">
        <v>4</v>
      </c>
      <c r="F132" s="30" t="str">
        <f>'DATA GPC'!$E23</f>
        <v>--</v>
      </c>
      <c r="G132" s="2112">
        <f>IF('WACC and TIC Inputs'!$D132="X",0,IF('DATA GPC'!$G23="",0,'DATA GPC'!$G23))</f>
        <v>0</v>
      </c>
      <c r="H132" s="2112" t="str">
        <f>IF($F132="--","--",IF(OutputCurrency="Filing",_xll.ciqfunctions.udf.CIQ(G132,"IQ_FILING_CURRENCY",2000,Valuation_Date_GC),OutputCurrency))</f>
        <v>--</v>
      </c>
      <c r="I132" s="2298"/>
      <c r="J132" s="2296" t="str">
        <f>IF($G132=0,"--",_xll.ciqfunctions.udf.CIQ($G132,"IQ_PERIODDATE",J103,Valuation_Date_GC,ReportType,DataMode))</f>
        <v>--</v>
      </c>
      <c r="K132" s="2296" t="str">
        <f>IF($G132=0,"--",_xll.ciqfunctions.udf.CIQ($G132,"IQ_PERIODDATE",K103,Valuation_Date_GC,ReportType,DataMode))</f>
        <v>--</v>
      </c>
      <c r="L132" s="2296" t="str">
        <f>IF($G132=0,"--",_xll.ciqfunctions.udf.CIQ($G132,"IQ_PERIODDATE",L103,Valuation_Date_GC,ReportType,DataMode))</f>
        <v>--</v>
      </c>
      <c r="M132" s="2296" t="str">
        <f>IF($G132=0,"--",_xll.ciqfunctions.udf.CIQ($G132,"IQ_PERIODDATE",M103,Valuation_Date_GC,ReportType,DataMode))</f>
        <v>--</v>
      </c>
      <c r="N132" s="2296" t="str">
        <f>IF($G132=0,"--",_xll.ciqfunctions.udf.CIQ($G132,"IQ_PERIODDATE",N103,Valuation_Date_GC,ReportType,DataMode))</f>
        <v>--</v>
      </c>
      <c r="O132" s="2296" t="str">
        <f>IF($G132=0,"--",_xll.ciqfunctions.udf.CIQ($G132,"IQ_PERIODDATE",O103,Valuation_Date_GC,ReportType,DataMode))</f>
        <v>--</v>
      </c>
      <c r="P132" s="2296" t="str">
        <f>IF($G132=0,"--",_xll.ciqfunctions.udf.CIQ($G132,"IQ_PERIODDATE",P103,Valuation_Date_GC,ReportType,DataMode))</f>
        <v>--</v>
      </c>
      <c r="R132" s="2296" t="str">
        <f>IF($G132=0,"--",_xll.ciqfunctions.udf.CIQ($G132,"IQ_PERIODDATE",R103,Valuation_Date_GC,ReportType,DataMode))</f>
        <v>--</v>
      </c>
      <c r="S132" s="89" t="str">
        <f t="shared" si="26"/>
        <v>--</v>
      </c>
      <c r="T132" s="1598" t="str">
        <f t="shared" si="28"/>
        <v/>
      </c>
      <c r="U132" s="2296" t="str">
        <f>IF($G132=0,"--",_xll.ciqfunctions.udf.CIQ($G132,$T$127,U103,Valuation_Date_GC,ReportType,DataMode))</f>
        <v>--</v>
      </c>
      <c r="V132" s="2296" t="str">
        <f>IF($G132=0,"--",_xll.ciqfunctions.udf.CIQ($G132,$T$127,V103,Valuation_Date_GC,ReportType,DataMode))</f>
        <v>--</v>
      </c>
      <c r="W132" s="2296" t="str">
        <f>IF($G132=0,"--",_xll.ciqfunctions.udf.CIQ($G132,$T$127,W103,Valuation_Date_GC,ReportType,DataMode))</f>
        <v>--</v>
      </c>
      <c r="X132" s="2296" t="str">
        <f>IF($G132=0,"--",_xll.ciqfunctions.udf.CIQ($G132,$T$127,X103,Valuation_Date_GC,ReportType,DataMode))</f>
        <v>--</v>
      </c>
      <c r="Y132" s="2296" t="str">
        <f>IF($G132=0,"--",_xll.ciqfunctions.udf.CIQ($G132,$T$127,Y103,Valuation_Date_GC,ReportType,DataMode))</f>
        <v>--</v>
      </c>
    </row>
    <row r="133" spans="1:54" s="89" customFormat="1" ht="13.9">
      <c r="A133" s="269" t="str">
        <f t="shared" si="27"/>
        <v>n</v>
      </c>
      <c r="B133" s="2060"/>
      <c r="C133" s="72"/>
      <c r="D133" s="48"/>
      <c r="E133" s="1505">
        <v>5</v>
      </c>
      <c r="F133" s="30" t="str">
        <f>'DATA GPC'!$E24</f>
        <v>--</v>
      </c>
      <c r="G133" s="2112">
        <f>IF('WACC and TIC Inputs'!$D133="X",0,IF('DATA GPC'!$G24="",0,'DATA GPC'!$G24))</f>
        <v>0</v>
      </c>
      <c r="H133" s="2112" t="str">
        <f>IF($F133="--","--",IF(OutputCurrency="Filing",_xll.ciqfunctions.udf.CIQ(G133,"IQ_FILING_CURRENCY",2000,Valuation_Date_GC),OutputCurrency))</f>
        <v>--</v>
      </c>
      <c r="I133" s="2298"/>
      <c r="J133" s="2296" t="str">
        <f>IF($G133=0,"--",_xll.ciqfunctions.udf.CIQ($G133,"IQ_PERIODDATE",J104,Valuation_Date_GC,ReportType,DataMode))</f>
        <v>--</v>
      </c>
      <c r="K133" s="2296" t="str">
        <f>IF($G133=0,"--",_xll.ciqfunctions.udf.CIQ($G133,"IQ_PERIODDATE",K104,Valuation_Date_GC,ReportType,DataMode))</f>
        <v>--</v>
      </c>
      <c r="L133" s="2296" t="str">
        <f>IF($G133=0,"--",_xll.ciqfunctions.udf.CIQ($G133,"IQ_PERIODDATE",L104,Valuation_Date_GC,ReportType,DataMode))</f>
        <v>--</v>
      </c>
      <c r="M133" s="2296" t="str">
        <f>IF($G133=0,"--",_xll.ciqfunctions.udf.CIQ($G133,"IQ_PERIODDATE",M104,Valuation_Date_GC,ReportType,DataMode))</f>
        <v>--</v>
      </c>
      <c r="N133" s="2296" t="str">
        <f>IF($G133=0,"--",_xll.ciqfunctions.udf.CIQ($G133,"IQ_PERIODDATE",N104,Valuation_Date_GC,ReportType,DataMode))</f>
        <v>--</v>
      </c>
      <c r="O133" s="2296" t="str">
        <f>IF($G133=0,"--",_xll.ciqfunctions.udf.CIQ($G133,"IQ_PERIODDATE",O104,Valuation_Date_GC,ReportType,DataMode))</f>
        <v>--</v>
      </c>
      <c r="P133" s="2296" t="str">
        <f>IF($G133=0,"--",_xll.ciqfunctions.udf.CIQ($G133,"IQ_PERIODDATE",P104,Valuation_Date_GC,ReportType,DataMode))</f>
        <v>--</v>
      </c>
      <c r="R133" s="2296" t="str">
        <f>IF($G133=0,"--",_xll.ciqfunctions.udf.CIQ($G133,"IQ_PERIODDATE",R104,Valuation_Date_GC,ReportType,DataMode))</f>
        <v>--</v>
      </c>
      <c r="S133" s="89" t="str">
        <f t="shared" si="26"/>
        <v>--</v>
      </c>
      <c r="T133" s="1598" t="str">
        <f t="shared" si="28"/>
        <v/>
      </c>
      <c r="U133" s="2296" t="str">
        <f>IF($G133=0,"--",_xll.ciqfunctions.udf.CIQ($G133,$T$127,U104,Valuation_Date_GC,ReportType,DataMode))</f>
        <v>--</v>
      </c>
      <c r="V133" s="2296" t="str">
        <f>IF($G133=0,"--",_xll.ciqfunctions.udf.CIQ($G133,$T$127,V104,Valuation_Date_GC,ReportType,DataMode))</f>
        <v>--</v>
      </c>
      <c r="W133" s="2296" t="str">
        <f>IF($G133=0,"--",_xll.ciqfunctions.udf.CIQ($G133,$T$127,W104,Valuation_Date_GC,ReportType,DataMode))</f>
        <v>--</v>
      </c>
      <c r="X133" s="2296" t="str">
        <f>IF($G133=0,"--",_xll.ciqfunctions.udf.CIQ($G133,$T$127,X104,Valuation_Date_GC,ReportType,DataMode))</f>
        <v>--</v>
      </c>
      <c r="Y133" s="2296" t="str">
        <f>IF($G133=0,"--",_xll.ciqfunctions.udf.CIQ($G133,$T$127,Y104,Valuation_Date_GC,ReportType,DataMode))</f>
        <v>--</v>
      </c>
      <c r="AR133" s="255"/>
      <c r="AS133" s="2060"/>
      <c r="AT133" s="2060"/>
      <c r="AU133" s="2060"/>
      <c r="AV133" s="2060"/>
      <c r="AW133" s="2060"/>
      <c r="AX133" s="1504"/>
      <c r="AY133" s="1504"/>
      <c r="AZ133" s="1504"/>
      <c r="BA133" s="1502"/>
      <c r="BB133" s="1502"/>
    </row>
    <row r="134" spans="1:54" s="89" customFormat="1" ht="13.9">
      <c r="A134" s="269" t="str">
        <f t="shared" si="27"/>
        <v>n</v>
      </c>
      <c r="B134" s="2060"/>
      <c r="C134" s="72"/>
      <c r="D134" s="48"/>
      <c r="E134" s="1505">
        <v>6</v>
      </c>
      <c r="F134" s="30" t="str">
        <f>'DATA GPC'!$E25</f>
        <v>--</v>
      </c>
      <c r="G134" s="2112">
        <f>IF('WACC and TIC Inputs'!$D134="X",0,IF('DATA GPC'!$G25="",0,'DATA GPC'!$G25))</f>
        <v>0</v>
      </c>
      <c r="H134" s="2112" t="str">
        <f>IF($F134="--","--",IF(OutputCurrency="Filing",_xll.ciqfunctions.udf.CIQ(G134,"IQ_FILING_CURRENCY",2000,Valuation_Date_GC),OutputCurrency))</f>
        <v>--</v>
      </c>
      <c r="I134" s="2298"/>
      <c r="J134" s="2296" t="str">
        <f>IF($G134=0,"--",_xll.ciqfunctions.udf.CIQ($G134,"IQ_PERIODDATE",J105,Valuation_Date_GC,ReportType,DataMode))</f>
        <v>--</v>
      </c>
      <c r="K134" s="2296" t="str">
        <f>IF($G134=0,"--",_xll.ciqfunctions.udf.CIQ($G134,"IQ_PERIODDATE",K105,Valuation_Date_GC,ReportType,DataMode))</f>
        <v>--</v>
      </c>
      <c r="L134" s="2296" t="str">
        <f>IF($G134=0,"--",_xll.ciqfunctions.udf.CIQ($G134,"IQ_PERIODDATE",L105,Valuation_Date_GC,ReportType,DataMode))</f>
        <v>--</v>
      </c>
      <c r="M134" s="2296" t="str">
        <f>IF($G134=0,"--",_xll.ciqfunctions.udf.CIQ($G134,"IQ_PERIODDATE",M105,Valuation_Date_GC,ReportType,DataMode))</f>
        <v>--</v>
      </c>
      <c r="N134" s="2296" t="str">
        <f>IF($G134=0,"--",_xll.ciqfunctions.udf.CIQ($G134,"IQ_PERIODDATE",N105,Valuation_Date_GC,ReportType,DataMode))</f>
        <v>--</v>
      </c>
      <c r="O134" s="2296" t="str">
        <f>IF($G134=0,"--",_xll.ciqfunctions.udf.CIQ($G134,"IQ_PERIODDATE",O105,Valuation_Date_GC,ReportType,DataMode))</f>
        <v>--</v>
      </c>
      <c r="P134" s="2296" t="str">
        <f>IF($G134=0,"--",_xll.ciqfunctions.udf.CIQ($G134,"IQ_PERIODDATE",P105,Valuation_Date_GC,ReportType,DataMode))</f>
        <v>--</v>
      </c>
      <c r="R134" s="2296" t="str">
        <f>IF($G134=0,"--",_xll.ciqfunctions.udf.CIQ($G134,"IQ_PERIODDATE",R105,Valuation_Date_GC,ReportType,DataMode))</f>
        <v>--</v>
      </c>
      <c r="S134" s="89" t="str">
        <f t="shared" si="26"/>
        <v>--</v>
      </c>
      <c r="T134" s="1598" t="str">
        <f t="shared" si="28"/>
        <v/>
      </c>
      <c r="U134" s="2296" t="str">
        <f>IF($G134=0,"--",_xll.ciqfunctions.udf.CIQ($G134,$T$127,U105,Valuation_Date_GC,ReportType,DataMode))</f>
        <v>--</v>
      </c>
      <c r="V134" s="2296" t="str">
        <f>IF($G134=0,"--",_xll.ciqfunctions.udf.CIQ($G134,$T$127,V105,Valuation_Date_GC,ReportType,DataMode))</f>
        <v>--</v>
      </c>
      <c r="W134" s="2296" t="str">
        <f>IF($G134=0,"--",_xll.ciqfunctions.udf.CIQ($G134,$T$127,W105,Valuation_Date_GC,ReportType,DataMode))</f>
        <v>--</v>
      </c>
      <c r="X134" s="2296" t="str">
        <f>IF($G134=0,"--",_xll.ciqfunctions.udf.CIQ($G134,$T$127,X105,Valuation_Date_GC,ReportType,DataMode))</f>
        <v>--</v>
      </c>
      <c r="Y134" s="2296" t="str">
        <f>IF($G134=0,"--",_xll.ciqfunctions.udf.CIQ($G134,$T$127,Y105,Valuation_Date_GC,ReportType,DataMode))</f>
        <v>--</v>
      </c>
      <c r="AS134" s="2060"/>
      <c r="AT134" s="2060"/>
      <c r="AU134" s="2060"/>
      <c r="AV134" s="2060"/>
      <c r="AW134" s="2060"/>
    </row>
    <row r="135" spans="1:54" s="89" customFormat="1" ht="13.9">
      <c r="A135" s="269" t="str">
        <f t="shared" si="27"/>
        <v>n</v>
      </c>
      <c r="B135" s="2060"/>
      <c r="D135" s="48"/>
      <c r="E135" s="1505">
        <v>7</v>
      </c>
      <c r="F135" s="30" t="str">
        <f>'DATA GPC'!$E26</f>
        <v>--</v>
      </c>
      <c r="G135" s="2112">
        <f>IF('WACC and TIC Inputs'!$D135="X",0,IF('DATA GPC'!$G26="",0,'DATA GPC'!$G26))</f>
        <v>0</v>
      </c>
      <c r="H135" s="2112" t="str">
        <f>IF($F135="--","--",IF(OutputCurrency="Filing",_xll.ciqfunctions.udf.CIQ(G135,"IQ_FILING_CURRENCY",2000,Valuation_Date_GC),OutputCurrency))</f>
        <v>--</v>
      </c>
      <c r="I135" s="2298"/>
      <c r="J135" s="2296" t="str">
        <f>IF($G135=0,"--",_xll.ciqfunctions.udf.CIQ($G135,"IQ_PERIODDATE",J106,Valuation_Date_GC,ReportType,DataMode))</f>
        <v>--</v>
      </c>
      <c r="K135" s="2296" t="str">
        <f>IF($G135=0,"--",_xll.ciqfunctions.udf.CIQ($G135,"IQ_PERIODDATE",K106,Valuation_Date_GC,ReportType,DataMode))</f>
        <v>--</v>
      </c>
      <c r="L135" s="2296" t="str">
        <f>IF($G135=0,"--",_xll.ciqfunctions.udf.CIQ($G135,"IQ_PERIODDATE",L106,Valuation_Date_GC,ReportType,DataMode))</f>
        <v>--</v>
      </c>
      <c r="M135" s="2296" t="str">
        <f>IF($G135=0,"--",_xll.ciqfunctions.udf.CIQ($G135,"IQ_PERIODDATE",M106,Valuation_Date_GC,ReportType,DataMode))</f>
        <v>--</v>
      </c>
      <c r="N135" s="2296" t="str">
        <f>IF($G135=0,"--",_xll.ciqfunctions.udf.CIQ($G135,"IQ_PERIODDATE",N106,Valuation_Date_GC,ReportType,DataMode))</f>
        <v>--</v>
      </c>
      <c r="O135" s="2296" t="str">
        <f>IF($G135=0,"--",_xll.ciqfunctions.udf.CIQ($G135,"IQ_PERIODDATE",O106,Valuation_Date_GC,ReportType,DataMode))</f>
        <v>--</v>
      </c>
      <c r="P135" s="2296" t="str">
        <f>IF($G135=0,"--",_xll.ciqfunctions.udf.CIQ($G135,"IQ_PERIODDATE",P106,Valuation_Date_GC,ReportType,DataMode))</f>
        <v>--</v>
      </c>
      <c r="R135" s="2296" t="str">
        <f>IF($G135=0,"--",_xll.ciqfunctions.udf.CIQ($G135,"IQ_PERIODDATE",R106,Valuation_Date_GC,ReportType,DataMode))</f>
        <v>--</v>
      </c>
      <c r="S135" s="89" t="str">
        <f t="shared" si="26"/>
        <v>--</v>
      </c>
      <c r="T135" s="1598" t="str">
        <f t="shared" si="28"/>
        <v/>
      </c>
      <c r="U135" s="2296" t="str">
        <f>IF($G135=0,"--",_xll.ciqfunctions.udf.CIQ($G135,$T$127,U106,Valuation_Date_GC,ReportType,DataMode))</f>
        <v>--</v>
      </c>
      <c r="V135" s="2296" t="str">
        <f>IF($G135=0,"--",_xll.ciqfunctions.udf.CIQ($G135,$T$127,V106,Valuation_Date_GC,ReportType,DataMode))</f>
        <v>--</v>
      </c>
      <c r="W135" s="2296" t="str">
        <f>IF($G135=0,"--",_xll.ciqfunctions.udf.CIQ($G135,$T$127,W106,Valuation_Date_GC,ReportType,DataMode))</f>
        <v>--</v>
      </c>
      <c r="X135" s="2296" t="str">
        <f>IF($G135=0,"--",_xll.ciqfunctions.udf.CIQ($G135,$T$127,X106,Valuation_Date_GC,ReportType,DataMode))</f>
        <v>--</v>
      </c>
      <c r="Y135" s="2296" t="str">
        <f>IF($G135=0,"--",_xll.ciqfunctions.udf.CIQ($G135,$T$127,Y106,Valuation_Date_GC,ReportType,DataMode))</f>
        <v>--</v>
      </c>
      <c r="AS135" s="2060"/>
      <c r="AT135" s="2060"/>
      <c r="AU135" s="2060"/>
      <c r="AV135" s="2060"/>
      <c r="AW135" s="2060"/>
    </row>
    <row r="136" spans="1:54" s="89" customFormat="1" ht="13.9">
      <c r="A136" s="269" t="str">
        <f t="shared" si="27"/>
        <v>n</v>
      </c>
      <c r="B136" s="2060"/>
      <c r="D136" s="48"/>
      <c r="E136" s="1505">
        <v>8</v>
      </c>
      <c r="F136" s="30" t="str">
        <f>'DATA GPC'!$E27</f>
        <v>--</v>
      </c>
      <c r="G136" s="2112">
        <f>IF('WACC and TIC Inputs'!$D136="X",0,IF('DATA GPC'!$G27="",0,'DATA GPC'!$G27))</f>
        <v>0</v>
      </c>
      <c r="H136" s="2112" t="str">
        <f>IF($F136="--","--",IF(OutputCurrency="Filing",_xll.ciqfunctions.udf.CIQ(G136,"IQ_FILING_CURRENCY",2000,Valuation_Date_GC),OutputCurrency))</f>
        <v>--</v>
      </c>
      <c r="I136" s="2298"/>
      <c r="J136" s="2296" t="str">
        <f>IF($G136=0,"--",_xll.ciqfunctions.udf.CIQ($G136,"IQ_PERIODDATE",J107,Valuation_Date_GC,ReportType,DataMode))</f>
        <v>--</v>
      </c>
      <c r="K136" s="2296" t="str">
        <f>IF($G136=0,"--",_xll.ciqfunctions.udf.CIQ($G136,"IQ_PERIODDATE",K107,Valuation_Date_GC,ReportType,DataMode))</f>
        <v>--</v>
      </c>
      <c r="L136" s="2296" t="str">
        <f>IF($G136=0,"--",_xll.ciqfunctions.udf.CIQ($G136,"IQ_PERIODDATE",L107,Valuation_Date_GC,ReportType,DataMode))</f>
        <v>--</v>
      </c>
      <c r="M136" s="2296" t="str">
        <f>IF($G136=0,"--",_xll.ciqfunctions.udf.CIQ($G136,"IQ_PERIODDATE",M107,Valuation_Date_GC,ReportType,DataMode))</f>
        <v>--</v>
      </c>
      <c r="N136" s="2296" t="str">
        <f>IF($G136=0,"--",_xll.ciqfunctions.udf.CIQ($G136,"IQ_PERIODDATE",N107,Valuation_Date_GC,ReportType,DataMode))</f>
        <v>--</v>
      </c>
      <c r="O136" s="2296" t="str">
        <f>IF($G136=0,"--",_xll.ciqfunctions.udf.CIQ($G136,"IQ_PERIODDATE",O107,Valuation_Date_GC,ReportType,DataMode))</f>
        <v>--</v>
      </c>
      <c r="P136" s="2296" t="str">
        <f>IF($G136=0,"--",_xll.ciqfunctions.udf.CIQ($G136,"IQ_PERIODDATE",P107,Valuation_Date_GC,ReportType,DataMode))</f>
        <v>--</v>
      </c>
      <c r="R136" s="2296" t="str">
        <f>IF($G136=0,"--",_xll.ciqfunctions.udf.CIQ($G136,"IQ_PERIODDATE",R107,Valuation_Date_GC,ReportType,DataMode))</f>
        <v>--</v>
      </c>
      <c r="S136" s="89" t="str">
        <f t="shared" si="26"/>
        <v>--</v>
      </c>
      <c r="T136" s="1598" t="str">
        <f t="shared" si="28"/>
        <v/>
      </c>
      <c r="U136" s="2296" t="str">
        <f>IF($G136=0,"--",_xll.ciqfunctions.udf.CIQ($G136,$T$127,U107,Valuation_Date_GC,ReportType,DataMode))</f>
        <v>--</v>
      </c>
      <c r="V136" s="2296" t="str">
        <f>IF($G136=0,"--",_xll.ciqfunctions.udf.CIQ($G136,$T$127,V107,Valuation_Date_GC,ReportType,DataMode))</f>
        <v>--</v>
      </c>
      <c r="W136" s="2296" t="str">
        <f>IF($G136=0,"--",_xll.ciqfunctions.udf.CIQ($G136,$T$127,W107,Valuation_Date_GC,ReportType,DataMode))</f>
        <v>--</v>
      </c>
      <c r="X136" s="2296" t="str">
        <f>IF($G136=0,"--",_xll.ciqfunctions.udf.CIQ($G136,$T$127,X107,Valuation_Date_GC,ReportType,DataMode))</f>
        <v>--</v>
      </c>
      <c r="Y136" s="2296" t="str">
        <f>IF($G136=0,"--",_xll.ciqfunctions.udf.CIQ($G136,$T$127,Y107,Valuation_Date_GC,ReportType,DataMode))</f>
        <v>--</v>
      </c>
      <c r="AS136" s="2060"/>
      <c r="AT136" s="2060"/>
      <c r="AU136" s="2060"/>
      <c r="AV136" s="2060"/>
      <c r="AW136" s="2060"/>
    </row>
    <row r="137" spans="1:54" s="89" customFormat="1" ht="13.9">
      <c r="A137" s="269" t="str">
        <f t="shared" si="27"/>
        <v>n</v>
      </c>
      <c r="B137" s="2060"/>
      <c r="D137" s="48"/>
      <c r="E137" s="1505">
        <v>9</v>
      </c>
      <c r="F137" s="30" t="str">
        <f>'DATA GPC'!$E28</f>
        <v>--</v>
      </c>
      <c r="G137" s="2112">
        <f>IF('WACC and TIC Inputs'!$D137="X",0,IF('DATA GPC'!$G28="",0,'DATA GPC'!$G28))</f>
        <v>0</v>
      </c>
      <c r="H137" s="2112" t="str">
        <f>IF($F137="--","--",IF(OutputCurrency="Filing",_xll.ciqfunctions.udf.CIQ(G137,"IQ_FILING_CURRENCY",2000,Valuation_Date_GC),OutputCurrency))</f>
        <v>--</v>
      </c>
      <c r="I137" s="2298"/>
      <c r="J137" s="2296" t="str">
        <f>IF($G137=0,"--",_xll.ciqfunctions.udf.CIQ($G137,"IQ_PERIODDATE",J108,Valuation_Date_GC,ReportType,DataMode))</f>
        <v>--</v>
      </c>
      <c r="K137" s="2296" t="str">
        <f>IF($G137=0,"--",_xll.ciqfunctions.udf.CIQ($G137,"IQ_PERIODDATE",K108,Valuation_Date_GC,ReportType,DataMode))</f>
        <v>--</v>
      </c>
      <c r="L137" s="2296" t="str">
        <f>IF($G137=0,"--",_xll.ciqfunctions.udf.CIQ($G137,"IQ_PERIODDATE",L108,Valuation_Date_GC,ReportType,DataMode))</f>
        <v>--</v>
      </c>
      <c r="M137" s="2296" t="str">
        <f>IF($G137=0,"--",_xll.ciqfunctions.udf.CIQ($G137,"IQ_PERIODDATE",M108,Valuation_Date_GC,ReportType,DataMode))</f>
        <v>--</v>
      </c>
      <c r="N137" s="2296" t="str">
        <f>IF($G137=0,"--",_xll.ciqfunctions.udf.CIQ($G137,"IQ_PERIODDATE",N108,Valuation_Date_GC,ReportType,DataMode))</f>
        <v>--</v>
      </c>
      <c r="O137" s="2296" t="str">
        <f>IF($G137=0,"--",_xll.ciqfunctions.udf.CIQ($G137,"IQ_PERIODDATE",O108,Valuation_Date_GC,ReportType,DataMode))</f>
        <v>--</v>
      </c>
      <c r="P137" s="2296" t="str">
        <f>IF($G137=0,"--",_xll.ciqfunctions.udf.CIQ($G137,"IQ_PERIODDATE",P108,Valuation_Date_GC,ReportType,DataMode))</f>
        <v>--</v>
      </c>
      <c r="R137" s="2296" t="str">
        <f>IF($G137=0,"--",_xll.ciqfunctions.udf.CIQ($G137,"IQ_PERIODDATE",R108,Valuation_Date_GC,ReportType,DataMode))</f>
        <v>--</v>
      </c>
      <c r="S137" s="89" t="str">
        <f t="shared" si="26"/>
        <v>--</v>
      </c>
      <c r="T137" s="1598" t="str">
        <f t="shared" si="28"/>
        <v/>
      </c>
      <c r="U137" s="2296" t="str">
        <f>IF($G137=0,"--",_xll.ciqfunctions.udf.CIQ($G137,$T$127,U108,Valuation_Date_GC,ReportType,DataMode))</f>
        <v>--</v>
      </c>
      <c r="V137" s="2296" t="str">
        <f>IF($G137=0,"--",_xll.ciqfunctions.udf.CIQ($G137,$T$127,V108,Valuation_Date_GC,ReportType,DataMode))</f>
        <v>--</v>
      </c>
      <c r="W137" s="2296" t="str">
        <f>IF($G137=0,"--",_xll.ciqfunctions.udf.CIQ($G137,$T$127,W108,Valuation_Date_GC,ReportType,DataMode))</f>
        <v>--</v>
      </c>
      <c r="X137" s="2296" t="str">
        <f>IF($G137=0,"--",_xll.ciqfunctions.udf.CIQ($G137,$T$127,X108,Valuation_Date_GC,ReportType,DataMode))</f>
        <v>--</v>
      </c>
      <c r="Y137" s="2296" t="str">
        <f>IF($G137=0,"--",_xll.ciqfunctions.udf.CIQ($G137,$T$127,Y108,Valuation_Date_GC,ReportType,DataMode))</f>
        <v>--</v>
      </c>
      <c r="AS137" s="2060"/>
      <c r="AT137" s="2060"/>
      <c r="AU137" s="2060"/>
      <c r="AV137" s="2060"/>
      <c r="AW137" s="2060"/>
    </row>
    <row r="138" spans="1:54" s="89" customFormat="1" ht="13.9">
      <c r="A138" s="269" t="str">
        <f t="shared" si="27"/>
        <v>n</v>
      </c>
      <c r="B138" s="2060"/>
      <c r="D138" s="48"/>
      <c r="E138" s="1505">
        <v>10</v>
      </c>
      <c r="F138" s="30" t="str">
        <f>'DATA GPC'!$E29</f>
        <v>--</v>
      </c>
      <c r="G138" s="2112">
        <f>IF('WACC and TIC Inputs'!$D138="X",0,IF('DATA GPC'!$G29="",0,'DATA GPC'!$G29))</f>
        <v>0</v>
      </c>
      <c r="H138" s="2112" t="str">
        <f>IF($F138="--","--",IF(OutputCurrency="Filing",_xll.ciqfunctions.udf.CIQ(G138,"IQ_FILING_CURRENCY",2000,Valuation_Date_GC),OutputCurrency))</f>
        <v>--</v>
      </c>
      <c r="I138" s="2298"/>
      <c r="J138" s="2296" t="str">
        <f>IF($G138=0,"--",_xll.ciqfunctions.udf.CIQ($G138,"IQ_PERIODDATE",J109,Valuation_Date_GC,ReportType,DataMode))</f>
        <v>--</v>
      </c>
      <c r="K138" s="2296" t="str">
        <f>IF($G138=0,"--",_xll.ciqfunctions.udf.CIQ($G138,"IQ_PERIODDATE",K109,Valuation_Date_GC,ReportType,DataMode))</f>
        <v>--</v>
      </c>
      <c r="L138" s="2296" t="str">
        <f>IF($G138=0,"--",_xll.ciqfunctions.udf.CIQ($G138,"IQ_PERIODDATE",L109,Valuation_Date_GC,ReportType,DataMode))</f>
        <v>--</v>
      </c>
      <c r="M138" s="2296" t="str">
        <f>IF($G138=0,"--",_xll.ciqfunctions.udf.CIQ($G138,"IQ_PERIODDATE",M109,Valuation_Date_GC,ReportType,DataMode))</f>
        <v>--</v>
      </c>
      <c r="N138" s="2296" t="str">
        <f>IF($G138=0,"--",_xll.ciqfunctions.udf.CIQ($G138,"IQ_PERIODDATE",N109,Valuation_Date_GC,ReportType,DataMode))</f>
        <v>--</v>
      </c>
      <c r="O138" s="2296" t="str">
        <f>IF($G138=0,"--",_xll.ciqfunctions.udf.CIQ($G138,"IQ_PERIODDATE",O109,Valuation_Date_GC,ReportType,DataMode))</f>
        <v>--</v>
      </c>
      <c r="P138" s="2296" t="str">
        <f>IF($G138=0,"--",_xll.ciqfunctions.udf.CIQ($G138,"IQ_PERIODDATE",P109,Valuation_Date_GC,ReportType,DataMode))</f>
        <v>--</v>
      </c>
      <c r="R138" s="2296" t="str">
        <f>IF($G138=0,"--",_xll.ciqfunctions.udf.CIQ($G138,"IQ_PERIODDATE",R109,Valuation_Date_GC,ReportType,DataMode))</f>
        <v>--</v>
      </c>
      <c r="S138" s="89" t="str">
        <f t="shared" si="26"/>
        <v>--</v>
      </c>
      <c r="T138" s="1598" t="str">
        <f t="shared" si="28"/>
        <v/>
      </c>
      <c r="U138" s="2296" t="str">
        <f>IF($G138=0,"--",_xll.ciqfunctions.udf.CIQ($G138,$T$127,U109,Valuation_Date_GC,ReportType,DataMode))</f>
        <v>--</v>
      </c>
      <c r="V138" s="2296" t="str">
        <f>IF($G138=0,"--",_xll.ciqfunctions.udf.CIQ($G138,$T$127,V109,Valuation_Date_GC,ReportType,DataMode))</f>
        <v>--</v>
      </c>
      <c r="W138" s="2296" t="str">
        <f>IF($G138=0,"--",_xll.ciqfunctions.udf.CIQ($G138,$T$127,W109,Valuation_Date_GC,ReportType,DataMode))</f>
        <v>--</v>
      </c>
      <c r="X138" s="2296" t="str">
        <f>IF($G138=0,"--",_xll.ciqfunctions.udf.CIQ($G138,$T$127,X109,Valuation_Date_GC,ReportType,DataMode))</f>
        <v>--</v>
      </c>
      <c r="Y138" s="2296" t="str">
        <f>IF($G138=0,"--",_xll.ciqfunctions.udf.CIQ($G138,$T$127,Y109,Valuation_Date_GC,ReportType,DataMode))</f>
        <v>--</v>
      </c>
      <c r="AS138" s="2060"/>
      <c r="AT138" s="2060"/>
      <c r="AU138" s="2060"/>
      <c r="AV138" s="2060"/>
      <c r="AW138" s="2060"/>
    </row>
    <row r="139" spans="1:54" s="89" customFormat="1" ht="13.9">
      <c r="A139" s="269" t="str">
        <f t="shared" si="27"/>
        <v>n</v>
      </c>
      <c r="B139" s="2060"/>
      <c r="D139" s="48"/>
      <c r="E139" s="1505">
        <v>11</v>
      </c>
      <c r="F139" s="30" t="str">
        <f>'DATA GPC'!$E30</f>
        <v>--</v>
      </c>
      <c r="G139" s="2112">
        <f>IF('WACC and TIC Inputs'!$D139="X",0,IF('DATA GPC'!$G30="",0,'DATA GPC'!$G30))</f>
        <v>0</v>
      </c>
      <c r="H139" s="2112" t="str">
        <f>IF($F139="--","--",IF(OutputCurrency="Filing",_xll.ciqfunctions.udf.CIQ(G139,"IQ_FILING_CURRENCY",2000,Valuation_Date_GC),OutputCurrency))</f>
        <v>--</v>
      </c>
      <c r="I139" s="2298"/>
      <c r="J139" s="2296" t="str">
        <f>IF($G139=0,"--",_xll.ciqfunctions.udf.CIQ($G139,"IQ_PERIODDATE",J110,Valuation_Date_GC,ReportType,DataMode))</f>
        <v>--</v>
      </c>
      <c r="K139" s="2296" t="str">
        <f>IF($G139=0,"--",_xll.ciqfunctions.udf.CIQ($G139,"IQ_PERIODDATE",K110,Valuation_Date_GC,ReportType,DataMode))</f>
        <v>--</v>
      </c>
      <c r="L139" s="2296" t="str">
        <f>IF($G139=0,"--",_xll.ciqfunctions.udf.CIQ($G139,"IQ_PERIODDATE",L110,Valuation_Date_GC,ReportType,DataMode))</f>
        <v>--</v>
      </c>
      <c r="M139" s="2296" t="str">
        <f>IF($G139=0,"--",_xll.ciqfunctions.udf.CIQ($G139,"IQ_PERIODDATE",M110,Valuation_Date_GC,ReportType,DataMode))</f>
        <v>--</v>
      </c>
      <c r="N139" s="2296" t="str">
        <f>IF($G139=0,"--",_xll.ciqfunctions.udf.CIQ($G139,"IQ_PERIODDATE",N110,Valuation_Date_GC,ReportType,DataMode))</f>
        <v>--</v>
      </c>
      <c r="O139" s="2296" t="str">
        <f>IF($G139=0,"--",_xll.ciqfunctions.udf.CIQ($G139,"IQ_PERIODDATE",O110,Valuation_Date_GC,ReportType,DataMode))</f>
        <v>--</v>
      </c>
      <c r="P139" s="2296" t="str">
        <f>IF($G139=0,"--",_xll.ciqfunctions.udf.CIQ($G139,"IQ_PERIODDATE",P110,Valuation_Date_GC,ReportType,DataMode))</f>
        <v>--</v>
      </c>
      <c r="R139" s="2296" t="str">
        <f>IF($G139=0,"--",_xll.ciqfunctions.udf.CIQ($G139,"IQ_PERIODDATE",R110,Valuation_Date_GC,ReportType,DataMode))</f>
        <v>--</v>
      </c>
      <c r="S139" s="89" t="str">
        <f t="shared" si="26"/>
        <v>--</v>
      </c>
      <c r="T139" s="1598" t="str">
        <f t="shared" si="28"/>
        <v/>
      </c>
      <c r="U139" s="2296" t="str">
        <f>IF($G139=0,"--",_xll.ciqfunctions.udf.CIQ($G139,$T$127,U110,Valuation_Date_GC,ReportType,DataMode))</f>
        <v>--</v>
      </c>
      <c r="V139" s="2296" t="str">
        <f>IF($G139=0,"--",_xll.ciqfunctions.udf.CIQ($G139,$T$127,V110,Valuation_Date_GC,ReportType,DataMode))</f>
        <v>--</v>
      </c>
      <c r="W139" s="2296" t="str">
        <f>IF($G139=0,"--",_xll.ciqfunctions.udf.CIQ($G139,$T$127,W110,Valuation_Date_GC,ReportType,DataMode))</f>
        <v>--</v>
      </c>
      <c r="X139" s="2296" t="str">
        <f>IF($G139=0,"--",_xll.ciqfunctions.udf.CIQ($G139,$T$127,X110,Valuation_Date_GC,ReportType,DataMode))</f>
        <v>--</v>
      </c>
      <c r="Y139" s="2296" t="str">
        <f>IF($G139=0,"--",_xll.ciqfunctions.udf.CIQ($G139,$T$127,Y110,Valuation_Date_GC,ReportType,DataMode))</f>
        <v>--</v>
      </c>
      <c r="AS139" s="2060"/>
      <c r="AT139" s="2060"/>
      <c r="AU139" s="2060"/>
      <c r="AV139" s="2060"/>
      <c r="AW139" s="2060"/>
    </row>
    <row r="140" spans="1:54" s="89" customFormat="1" ht="13.9">
      <c r="A140" s="269" t="str">
        <f t="shared" si="27"/>
        <v>n</v>
      </c>
      <c r="B140" s="2060"/>
      <c r="D140" s="48"/>
      <c r="E140" s="1505">
        <v>12</v>
      </c>
      <c r="F140" s="30" t="str">
        <f>'DATA GPC'!$E31</f>
        <v>--</v>
      </c>
      <c r="G140" s="2112">
        <f>IF('WACC and TIC Inputs'!$D140="X",0,IF('DATA GPC'!$G31="",0,'DATA GPC'!$G31))</f>
        <v>0</v>
      </c>
      <c r="H140" s="2112" t="str">
        <f>IF($F140="--","--",IF(OutputCurrency="Filing",_xll.ciqfunctions.udf.CIQ(G140,"IQ_FILING_CURRENCY",2000,Valuation_Date_GC),OutputCurrency))</f>
        <v>--</v>
      </c>
      <c r="I140" s="2298"/>
      <c r="J140" s="2296" t="str">
        <f>IF($G140=0,"--",_xll.ciqfunctions.udf.CIQ($G140,"IQ_PERIODDATE",J111,Valuation_Date_GC,ReportType,DataMode))</f>
        <v>--</v>
      </c>
      <c r="K140" s="2296" t="str">
        <f>IF($G140=0,"--",_xll.ciqfunctions.udf.CIQ($G140,"IQ_PERIODDATE",K111,Valuation_Date_GC,ReportType,DataMode))</f>
        <v>--</v>
      </c>
      <c r="L140" s="2296" t="str">
        <f>IF($G140=0,"--",_xll.ciqfunctions.udf.CIQ($G140,"IQ_PERIODDATE",L111,Valuation_Date_GC,ReportType,DataMode))</f>
        <v>--</v>
      </c>
      <c r="M140" s="2296" t="str">
        <f>IF($G140=0,"--",_xll.ciqfunctions.udf.CIQ($G140,"IQ_PERIODDATE",M111,Valuation_Date_GC,ReportType,DataMode))</f>
        <v>--</v>
      </c>
      <c r="N140" s="2296" t="str">
        <f>IF($G140=0,"--",_xll.ciqfunctions.udf.CIQ($G140,"IQ_PERIODDATE",N111,Valuation_Date_GC,ReportType,DataMode))</f>
        <v>--</v>
      </c>
      <c r="O140" s="2296" t="str">
        <f>IF($G140=0,"--",_xll.ciqfunctions.udf.CIQ($G140,"IQ_PERIODDATE",O111,Valuation_Date_GC,ReportType,DataMode))</f>
        <v>--</v>
      </c>
      <c r="P140" s="2296" t="str">
        <f>IF($G140=0,"--",_xll.ciqfunctions.udf.CIQ($G140,"IQ_PERIODDATE",P111,Valuation_Date_GC,ReportType,DataMode))</f>
        <v>--</v>
      </c>
      <c r="R140" s="2296" t="str">
        <f>IF($G140=0,"--",_xll.ciqfunctions.udf.CIQ($G140,"IQ_PERIODDATE",R111,Valuation_Date_GC,ReportType,DataMode))</f>
        <v>--</v>
      </c>
      <c r="S140" s="89" t="str">
        <f t="shared" si="26"/>
        <v>--</v>
      </c>
      <c r="T140" s="1598" t="str">
        <f t="shared" si="28"/>
        <v/>
      </c>
      <c r="U140" s="2296" t="str">
        <f>IF($G140=0,"--",_xll.ciqfunctions.udf.CIQ($G140,$T$127,U111,Valuation_Date_GC,ReportType,DataMode))</f>
        <v>--</v>
      </c>
      <c r="V140" s="2296" t="str">
        <f>IF($G140=0,"--",_xll.ciqfunctions.udf.CIQ($G140,$T$127,V111,Valuation_Date_GC,ReportType,DataMode))</f>
        <v>--</v>
      </c>
      <c r="W140" s="2296" t="str">
        <f>IF($G140=0,"--",_xll.ciqfunctions.udf.CIQ($G140,$T$127,W111,Valuation_Date_GC,ReportType,DataMode))</f>
        <v>--</v>
      </c>
      <c r="X140" s="2296" t="str">
        <f>IF($G140=0,"--",_xll.ciqfunctions.udf.CIQ($G140,$T$127,X111,Valuation_Date_GC,ReportType,DataMode))</f>
        <v>--</v>
      </c>
      <c r="Y140" s="2296" t="str">
        <f>IF($G140=0,"--",_xll.ciqfunctions.udf.CIQ($G140,$T$127,Y111,Valuation_Date_GC,ReportType,DataMode))</f>
        <v>--</v>
      </c>
      <c r="AS140" s="2060"/>
      <c r="AT140" s="2060"/>
      <c r="AU140" s="2060"/>
      <c r="AV140" s="2060"/>
      <c r="AW140" s="2060"/>
    </row>
    <row r="141" spans="1:54" s="89" customFormat="1" ht="13.9">
      <c r="A141" s="269" t="str">
        <f t="shared" si="27"/>
        <v>n</v>
      </c>
      <c r="B141" s="2060"/>
      <c r="D141" s="48"/>
      <c r="E141" s="1505">
        <v>13</v>
      </c>
      <c r="F141" s="30" t="str">
        <f>'DATA GPC'!$E32</f>
        <v>--</v>
      </c>
      <c r="G141" s="2112">
        <f>IF('WACC and TIC Inputs'!$D141="X",0,IF('DATA GPC'!$G32="",0,'DATA GPC'!$G32))</f>
        <v>0</v>
      </c>
      <c r="H141" s="2112" t="str">
        <f>IF($F141="--","--",IF(OutputCurrency="Filing",_xll.ciqfunctions.udf.CIQ(G141,"IQ_FILING_CURRENCY",2000,Valuation_Date_GC),OutputCurrency))</f>
        <v>--</v>
      </c>
      <c r="I141" s="2298"/>
      <c r="J141" s="2296" t="str">
        <f>IF($G141=0,"--",_xll.ciqfunctions.udf.CIQ($G141,"IQ_PERIODDATE",J112,Valuation_Date_GC,ReportType,DataMode))</f>
        <v>--</v>
      </c>
      <c r="K141" s="2296" t="str">
        <f>IF($G141=0,"--",_xll.ciqfunctions.udf.CIQ($G141,"IQ_PERIODDATE",K112,Valuation_Date_GC,ReportType,DataMode))</f>
        <v>--</v>
      </c>
      <c r="L141" s="2296" t="str">
        <f>IF($G141=0,"--",_xll.ciqfunctions.udf.CIQ($G141,"IQ_PERIODDATE",L112,Valuation_Date_GC,ReportType,DataMode))</f>
        <v>--</v>
      </c>
      <c r="M141" s="2296" t="str">
        <f>IF($G141=0,"--",_xll.ciqfunctions.udf.CIQ($G141,"IQ_PERIODDATE",M112,Valuation_Date_GC,ReportType,DataMode))</f>
        <v>--</v>
      </c>
      <c r="N141" s="2296" t="str">
        <f>IF($G141=0,"--",_xll.ciqfunctions.udf.CIQ($G141,"IQ_PERIODDATE",N112,Valuation_Date_GC,ReportType,DataMode))</f>
        <v>--</v>
      </c>
      <c r="O141" s="2296" t="str">
        <f>IF($G141=0,"--",_xll.ciqfunctions.udf.CIQ($G141,"IQ_PERIODDATE",O112,Valuation_Date_GC,ReportType,DataMode))</f>
        <v>--</v>
      </c>
      <c r="P141" s="2296" t="str">
        <f>IF($G141=0,"--",_xll.ciqfunctions.udf.CIQ($G141,"IQ_PERIODDATE",P112,Valuation_Date_GC,ReportType,DataMode))</f>
        <v>--</v>
      </c>
      <c r="R141" s="2296" t="str">
        <f>IF($G141=0,"--",_xll.ciqfunctions.udf.CIQ($G141,"IQ_PERIODDATE",R112,Valuation_Date_GC,ReportType,DataMode))</f>
        <v>--</v>
      </c>
      <c r="S141" s="89" t="str">
        <f t="shared" si="26"/>
        <v>--</v>
      </c>
      <c r="T141" s="1598" t="str">
        <f t="shared" si="28"/>
        <v/>
      </c>
      <c r="U141" s="2296" t="str">
        <f>IF($G141=0,"--",_xll.ciqfunctions.udf.CIQ($G141,$T$127,U112,Valuation_Date_GC,ReportType,DataMode))</f>
        <v>--</v>
      </c>
      <c r="V141" s="2296" t="str">
        <f>IF($G141=0,"--",_xll.ciqfunctions.udf.CIQ($G141,$T$127,V112,Valuation_Date_GC,ReportType,DataMode))</f>
        <v>--</v>
      </c>
      <c r="W141" s="2296" t="str">
        <f>IF($G141=0,"--",_xll.ciqfunctions.udf.CIQ($G141,$T$127,W112,Valuation_Date_GC,ReportType,DataMode))</f>
        <v>--</v>
      </c>
      <c r="X141" s="2296" t="str">
        <f>IF($G141=0,"--",_xll.ciqfunctions.udf.CIQ($G141,$T$127,X112,Valuation_Date_GC,ReportType,DataMode))</f>
        <v>--</v>
      </c>
      <c r="Y141" s="2296" t="str">
        <f>IF($G141=0,"--",_xll.ciqfunctions.udf.CIQ($G141,$T$127,Y112,Valuation_Date_GC,ReportType,DataMode))</f>
        <v>--</v>
      </c>
      <c r="AS141" s="2060"/>
      <c r="AT141" s="2060"/>
      <c r="AU141" s="2060"/>
      <c r="AV141" s="2060"/>
      <c r="AW141" s="2060"/>
    </row>
    <row r="142" spans="1:54" s="89" customFormat="1" ht="13.9">
      <c r="A142" s="269" t="str">
        <f t="shared" si="27"/>
        <v>n</v>
      </c>
      <c r="B142" s="2060"/>
      <c r="D142" s="48"/>
      <c r="E142" s="1505">
        <v>14</v>
      </c>
      <c r="F142" s="30" t="str">
        <f>'DATA GPC'!$E33</f>
        <v>--</v>
      </c>
      <c r="G142" s="2112">
        <f>IF('WACC and TIC Inputs'!$D142="X",0,IF('DATA GPC'!$G33="",0,'DATA GPC'!$G33))</f>
        <v>0</v>
      </c>
      <c r="H142" s="2112" t="str">
        <f>IF($F142="--","--",IF(OutputCurrency="Filing",_xll.ciqfunctions.udf.CIQ(G142,"IQ_FILING_CURRENCY",2000,Valuation_Date_GC),OutputCurrency))</f>
        <v>--</v>
      </c>
      <c r="I142" s="2298"/>
      <c r="J142" s="2296" t="str">
        <f>IF($G142=0,"--",_xll.ciqfunctions.udf.CIQ($G142,"IQ_PERIODDATE",J113,Valuation_Date_GC,ReportType,DataMode))</f>
        <v>--</v>
      </c>
      <c r="K142" s="2296" t="str">
        <f>IF($G142=0,"--",_xll.ciqfunctions.udf.CIQ($G142,"IQ_PERIODDATE",K113,Valuation_Date_GC,ReportType,DataMode))</f>
        <v>--</v>
      </c>
      <c r="L142" s="2296" t="str">
        <f>IF($G142=0,"--",_xll.ciqfunctions.udf.CIQ($G142,"IQ_PERIODDATE",L113,Valuation_Date_GC,ReportType,DataMode))</f>
        <v>--</v>
      </c>
      <c r="M142" s="2296" t="str">
        <f>IF($G142=0,"--",_xll.ciqfunctions.udf.CIQ($G142,"IQ_PERIODDATE",M113,Valuation_Date_GC,ReportType,DataMode))</f>
        <v>--</v>
      </c>
      <c r="N142" s="2296" t="str">
        <f>IF($G142=0,"--",_xll.ciqfunctions.udf.CIQ($G142,"IQ_PERIODDATE",N113,Valuation_Date_GC,ReportType,DataMode))</f>
        <v>--</v>
      </c>
      <c r="O142" s="2296" t="str">
        <f>IF($G142=0,"--",_xll.ciqfunctions.udf.CIQ($G142,"IQ_PERIODDATE",O113,Valuation_Date_GC,ReportType,DataMode))</f>
        <v>--</v>
      </c>
      <c r="P142" s="2296" t="str">
        <f>IF($G142=0,"--",_xll.ciqfunctions.udf.CIQ($G142,"IQ_PERIODDATE",P113,Valuation_Date_GC,ReportType,DataMode))</f>
        <v>--</v>
      </c>
      <c r="R142" s="2296" t="str">
        <f>IF($G142=0,"--",_xll.ciqfunctions.udf.CIQ($G142,"IQ_PERIODDATE",R113,Valuation_Date_GC,ReportType,DataMode))</f>
        <v>--</v>
      </c>
      <c r="S142" s="89" t="str">
        <f t="shared" si="26"/>
        <v>--</v>
      </c>
      <c r="T142" s="1598" t="str">
        <f t="shared" si="28"/>
        <v/>
      </c>
      <c r="U142" s="2296" t="str">
        <f>IF($G142=0,"--",_xll.ciqfunctions.udf.CIQ($G142,$T$127,U113,Valuation_Date_GC,ReportType,DataMode))</f>
        <v>--</v>
      </c>
      <c r="V142" s="2296" t="str">
        <f>IF($G142=0,"--",_xll.ciqfunctions.udf.CIQ($G142,$T$127,V113,Valuation_Date_GC,ReportType,DataMode))</f>
        <v>--</v>
      </c>
      <c r="W142" s="2296" t="str">
        <f>IF($G142=0,"--",_xll.ciqfunctions.udf.CIQ($G142,$T$127,W113,Valuation_Date_GC,ReportType,DataMode))</f>
        <v>--</v>
      </c>
      <c r="X142" s="2296" t="str">
        <f>IF($G142=0,"--",_xll.ciqfunctions.udf.CIQ($G142,$T$127,X113,Valuation_Date_GC,ReportType,DataMode))</f>
        <v>--</v>
      </c>
      <c r="Y142" s="2296" t="str">
        <f>IF($G142=0,"--",_xll.ciqfunctions.udf.CIQ($G142,$T$127,Y113,Valuation_Date_GC,ReportType,DataMode))</f>
        <v>--</v>
      </c>
      <c r="AS142" s="2060"/>
      <c r="AT142" s="2060"/>
      <c r="AU142" s="2060"/>
      <c r="AV142" s="2060"/>
      <c r="AW142" s="2060"/>
    </row>
    <row r="143" spans="1:54" s="89" customFormat="1" ht="13.9">
      <c r="A143" s="269" t="str">
        <f t="shared" si="27"/>
        <v>n</v>
      </c>
      <c r="B143" s="2060"/>
      <c r="D143" s="48"/>
      <c r="E143" s="1505">
        <v>15</v>
      </c>
      <c r="F143" s="30" t="str">
        <f>'DATA GPC'!$E34</f>
        <v>--</v>
      </c>
      <c r="G143" s="2112">
        <f>IF('WACC and TIC Inputs'!$D143="X",0,IF('DATA GPC'!$G34="",0,'DATA GPC'!$G34))</f>
        <v>0</v>
      </c>
      <c r="H143" s="2112" t="str">
        <f>IF($F143="--","--",IF(OutputCurrency="Filing",_xll.ciqfunctions.udf.CIQ(G143,"IQ_FILING_CURRENCY",2000,Valuation_Date_GC),OutputCurrency))</f>
        <v>--</v>
      </c>
      <c r="I143" s="2298"/>
      <c r="J143" s="2296" t="str">
        <f>IF($G143=0,"--",_xll.ciqfunctions.udf.CIQ($G143,"IQ_PERIODDATE",J114,Valuation_Date_GC,ReportType,DataMode))</f>
        <v>--</v>
      </c>
      <c r="K143" s="2296" t="str">
        <f>IF($G143=0,"--",_xll.ciqfunctions.udf.CIQ($G143,"IQ_PERIODDATE",K114,Valuation_Date_GC,ReportType,DataMode))</f>
        <v>--</v>
      </c>
      <c r="L143" s="2296" t="str">
        <f>IF($G143=0,"--",_xll.ciqfunctions.udf.CIQ($G143,"IQ_PERIODDATE",L114,Valuation_Date_GC,ReportType,DataMode))</f>
        <v>--</v>
      </c>
      <c r="M143" s="2296" t="str">
        <f>IF($G143=0,"--",_xll.ciqfunctions.udf.CIQ($G143,"IQ_PERIODDATE",M114,Valuation_Date_GC,ReportType,DataMode))</f>
        <v>--</v>
      </c>
      <c r="N143" s="2296" t="str">
        <f>IF($G143=0,"--",_xll.ciqfunctions.udf.CIQ($G143,"IQ_PERIODDATE",N114,Valuation_Date_GC,ReportType,DataMode))</f>
        <v>--</v>
      </c>
      <c r="O143" s="2296" t="str">
        <f>IF($G143=0,"--",_xll.ciqfunctions.udf.CIQ($G143,"IQ_PERIODDATE",O114,Valuation_Date_GC,ReportType,DataMode))</f>
        <v>--</v>
      </c>
      <c r="P143" s="2296" t="str">
        <f>IF($G143=0,"--",_xll.ciqfunctions.udf.CIQ($G143,"IQ_PERIODDATE",P114,Valuation_Date_GC,ReportType,DataMode))</f>
        <v>--</v>
      </c>
      <c r="R143" s="2296" t="str">
        <f>IF($G143=0,"--",_xll.ciqfunctions.udf.CIQ($G143,"IQ_PERIODDATE",R114,Valuation_Date_GC,ReportType,DataMode))</f>
        <v>--</v>
      </c>
      <c r="S143" s="89" t="str">
        <f t="shared" si="26"/>
        <v>--</v>
      </c>
      <c r="T143" s="1598" t="str">
        <f t="shared" si="28"/>
        <v/>
      </c>
      <c r="U143" s="2296" t="str">
        <f>IF($G143=0,"--",_xll.ciqfunctions.udf.CIQ($G143,$T$127,U114,Valuation_Date_GC,ReportType,DataMode))</f>
        <v>--</v>
      </c>
      <c r="V143" s="2296" t="str">
        <f>IF($G143=0,"--",_xll.ciqfunctions.udf.CIQ($G143,$T$127,V114,Valuation_Date_GC,ReportType,DataMode))</f>
        <v>--</v>
      </c>
      <c r="W143" s="2296" t="str">
        <f>IF($G143=0,"--",_xll.ciqfunctions.udf.CIQ($G143,$T$127,W114,Valuation_Date_GC,ReportType,DataMode))</f>
        <v>--</v>
      </c>
      <c r="X143" s="2296" t="str">
        <f>IF($G143=0,"--",_xll.ciqfunctions.udf.CIQ($G143,$T$127,X114,Valuation_Date_GC,ReportType,DataMode))</f>
        <v>--</v>
      </c>
      <c r="Y143" s="2296" t="str">
        <f>IF($G143=0,"--",_xll.ciqfunctions.udf.CIQ($G143,$T$127,Y114,Valuation_Date_GC,ReportType,DataMode))</f>
        <v>--</v>
      </c>
      <c r="AS143" s="2060"/>
      <c r="AT143" s="2060"/>
      <c r="AU143" s="2060"/>
      <c r="AV143" s="2060"/>
      <c r="AW143" s="2060"/>
    </row>
    <row r="144" spans="1:54" s="89" customFormat="1" ht="13.9">
      <c r="A144" s="269" t="str">
        <f t="shared" si="27"/>
        <v>n</v>
      </c>
      <c r="B144" s="2060"/>
      <c r="D144" s="48"/>
      <c r="E144" s="1505">
        <v>16</v>
      </c>
      <c r="F144" s="30" t="str">
        <f>'DATA GPC'!$E35</f>
        <v>--</v>
      </c>
      <c r="G144" s="2112">
        <f>IF('WACC and TIC Inputs'!$D144="X",0,IF('DATA GPC'!$G35="",0,'DATA GPC'!$G35))</f>
        <v>0</v>
      </c>
      <c r="H144" s="2112" t="str">
        <f>IF($F144="--","--",IF(OutputCurrency="Filing",_xll.ciqfunctions.udf.CIQ(G144,"IQ_FILING_CURRENCY",2000,Valuation_Date_GC),OutputCurrency))</f>
        <v>--</v>
      </c>
      <c r="I144" s="2298"/>
      <c r="J144" s="2296" t="str">
        <f>IF($G144=0,"--",_xll.ciqfunctions.udf.CIQ($G144,"IQ_PERIODDATE",J115,Valuation_Date_GC,ReportType,DataMode))</f>
        <v>--</v>
      </c>
      <c r="K144" s="2296" t="str">
        <f>IF($G144=0,"--",_xll.ciqfunctions.udf.CIQ($G144,"IQ_PERIODDATE",K115,Valuation_Date_GC,ReportType,DataMode))</f>
        <v>--</v>
      </c>
      <c r="L144" s="2296" t="str">
        <f>IF($G144=0,"--",_xll.ciqfunctions.udf.CIQ($G144,"IQ_PERIODDATE",L115,Valuation_Date_GC,ReportType,DataMode))</f>
        <v>--</v>
      </c>
      <c r="M144" s="2296" t="str">
        <f>IF($G144=0,"--",_xll.ciqfunctions.udf.CIQ($G144,"IQ_PERIODDATE",M115,Valuation_Date_GC,ReportType,DataMode))</f>
        <v>--</v>
      </c>
      <c r="N144" s="2296" t="str">
        <f>IF($G144=0,"--",_xll.ciqfunctions.udf.CIQ($G144,"IQ_PERIODDATE",N115,Valuation_Date_GC,ReportType,DataMode))</f>
        <v>--</v>
      </c>
      <c r="O144" s="2296" t="str">
        <f>IF($G144=0,"--",_xll.ciqfunctions.udf.CIQ($G144,"IQ_PERIODDATE",O115,Valuation_Date_GC,ReportType,DataMode))</f>
        <v>--</v>
      </c>
      <c r="P144" s="2296" t="str">
        <f>IF($G144=0,"--",_xll.ciqfunctions.udf.CIQ($G144,"IQ_PERIODDATE",P115,Valuation_Date_GC,ReportType,DataMode))</f>
        <v>--</v>
      </c>
      <c r="R144" s="2296" t="str">
        <f>IF($G144=0,"--",_xll.ciqfunctions.udf.CIQ($G144,"IQ_PERIODDATE",R115,Valuation_Date_GC,ReportType,DataMode))</f>
        <v>--</v>
      </c>
      <c r="S144" s="89" t="str">
        <f t="shared" si="26"/>
        <v>--</v>
      </c>
      <c r="T144" s="1598" t="str">
        <f t="shared" si="28"/>
        <v/>
      </c>
      <c r="U144" s="2296" t="str">
        <f>IF($G144=0,"--",_xll.ciqfunctions.udf.CIQ($G144,$T$127,U115,Valuation_Date_GC,ReportType,DataMode))</f>
        <v>--</v>
      </c>
      <c r="V144" s="2296" t="str">
        <f>IF($G144=0,"--",_xll.ciqfunctions.udf.CIQ($G144,$T$127,V115,Valuation_Date_GC,ReportType,DataMode))</f>
        <v>--</v>
      </c>
      <c r="W144" s="2296" t="str">
        <f>IF($G144=0,"--",_xll.ciqfunctions.udf.CIQ($G144,$T$127,W115,Valuation_Date_GC,ReportType,DataMode))</f>
        <v>--</v>
      </c>
      <c r="X144" s="2296" t="str">
        <f>IF($G144=0,"--",_xll.ciqfunctions.udf.CIQ($G144,$T$127,X115,Valuation_Date_GC,ReportType,DataMode))</f>
        <v>--</v>
      </c>
      <c r="Y144" s="2296" t="str">
        <f>IF($G144=0,"--",_xll.ciqfunctions.udf.CIQ($G144,$T$127,Y115,Valuation_Date_GC,ReportType,DataMode))</f>
        <v>--</v>
      </c>
      <c r="AR144" s="255"/>
      <c r="AS144" s="2060"/>
      <c r="AT144" s="2060"/>
      <c r="AU144" s="2060"/>
      <c r="AV144" s="2060"/>
      <c r="AW144" s="2060"/>
      <c r="AX144" s="1504"/>
      <c r="AY144" s="1504"/>
      <c r="AZ144" s="1504"/>
      <c r="BA144" s="1502"/>
      <c r="BB144" s="1502"/>
    </row>
    <row r="145" spans="1:54" s="89" customFormat="1" ht="13.9">
      <c r="A145" s="269" t="str">
        <f t="shared" si="27"/>
        <v>n</v>
      </c>
      <c r="B145" s="2060"/>
      <c r="D145" s="48"/>
      <c r="E145" s="1505">
        <v>17</v>
      </c>
      <c r="F145" s="30" t="str">
        <f>'DATA GPC'!$E36</f>
        <v>--</v>
      </c>
      <c r="G145" s="2112">
        <f>IF('WACC and TIC Inputs'!$D145="X",0,IF('DATA GPC'!$G36="",0,'DATA GPC'!$G36))</f>
        <v>0</v>
      </c>
      <c r="H145" s="2112" t="str">
        <f>IF($F145="--","--",IF(OutputCurrency="Filing",_xll.ciqfunctions.udf.CIQ(G145,"IQ_FILING_CURRENCY",2000,Valuation_Date_GC),OutputCurrency))</f>
        <v>--</v>
      </c>
      <c r="I145" s="2298"/>
      <c r="J145" s="2296" t="str">
        <f>IF($G145=0,"--",_xll.ciqfunctions.udf.CIQ($G145,"IQ_PERIODDATE",J116,Valuation_Date_GC,ReportType,DataMode))</f>
        <v>--</v>
      </c>
      <c r="K145" s="2296" t="str">
        <f>IF($G145=0,"--",_xll.ciqfunctions.udf.CIQ($G145,"IQ_PERIODDATE",K116,Valuation_Date_GC,ReportType,DataMode))</f>
        <v>--</v>
      </c>
      <c r="L145" s="2296" t="str">
        <f>IF($G145=0,"--",_xll.ciqfunctions.udf.CIQ($G145,"IQ_PERIODDATE",L116,Valuation_Date_GC,ReportType,DataMode))</f>
        <v>--</v>
      </c>
      <c r="M145" s="2296" t="str">
        <f>IF($G145=0,"--",_xll.ciqfunctions.udf.CIQ($G145,"IQ_PERIODDATE",M116,Valuation_Date_GC,ReportType,DataMode))</f>
        <v>--</v>
      </c>
      <c r="N145" s="2296" t="str">
        <f>IF($G145=0,"--",_xll.ciqfunctions.udf.CIQ($G145,"IQ_PERIODDATE",N116,Valuation_Date_GC,ReportType,DataMode))</f>
        <v>--</v>
      </c>
      <c r="O145" s="2296" t="str">
        <f>IF($G145=0,"--",_xll.ciqfunctions.udf.CIQ($G145,"IQ_PERIODDATE",O116,Valuation_Date_GC,ReportType,DataMode))</f>
        <v>--</v>
      </c>
      <c r="P145" s="2296" t="str">
        <f>IF($G145=0,"--",_xll.ciqfunctions.udf.CIQ($G145,"IQ_PERIODDATE",P116,Valuation_Date_GC,ReportType,DataMode))</f>
        <v>--</v>
      </c>
      <c r="R145" s="2296" t="str">
        <f>IF($G145=0,"--",_xll.ciqfunctions.udf.CIQ($G145,"IQ_PERIODDATE",R116,Valuation_Date_GC,ReportType,DataMode))</f>
        <v>--</v>
      </c>
      <c r="S145" s="89" t="str">
        <f t="shared" si="26"/>
        <v>--</v>
      </c>
      <c r="T145" s="1598" t="str">
        <f t="shared" si="28"/>
        <v/>
      </c>
      <c r="U145" s="2296" t="str">
        <f>IF($G145=0,"--",_xll.ciqfunctions.udf.CIQ($G145,$T$127,U116,Valuation_Date_GC,ReportType,DataMode))</f>
        <v>--</v>
      </c>
      <c r="V145" s="2296" t="str">
        <f>IF($G145=0,"--",_xll.ciqfunctions.udf.CIQ($G145,$T$127,V116,Valuation_Date_GC,ReportType,DataMode))</f>
        <v>--</v>
      </c>
      <c r="W145" s="2296" t="str">
        <f>IF($G145=0,"--",_xll.ciqfunctions.udf.CIQ($G145,$T$127,W116,Valuation_Date_GC,ReportType,DataMode))</f>
        <v>--</v>
      </c>
      <c r="X145" s="2296" t="str">
        <f>IF($G145=0,"--",_xll.ciqfunctions.udf.CIQ($G145,$T$127,X116,Valuation_Date_GC,ReportType,DataMode))</f>
        <v>--</v>
      </c>
      <c r="Y145" s="2296" t="str">
        <f>IF($G145=0,"--",_xll.ciqfunctions.udf.CIQ($G145,$T$127,Y116,Valuation_Date_GC,ReportType,DataMode))</f>
        <v>--</v>
      </c>
      <c r="AR145" s="255"/>
      <c r="AS145" s="2060"/>
      <c r="AT145" s="2060"/>
      <c r="AU145" s="2060"/>
      <c r="AV145" s="2060"/>
      <c r="AW145" s="2060"/>
      <c r="AX145" s="1504"/>
      <c r="AY145" s="1504"/>
      <c r="AZ145" s="1504"/>
      <c r="BA145" s="1502"/>
      <c r="BB145" s="1502"/>
    </row>
    <row r="146" spans="1:54" s="89" customFormat="1" ht="13.9">
      <c r="A146" s="269" t="str">
        <f t="shared" si="27"/>
        <v>n</v>
      </c>
      <c r="B146" s="2060"/>
      <c r="D146" s="48"/>
      <c r="E146" s="1505">
        <v>18</v>
      </c>
      <c r="F146" s="30" t="str">
        <f>'DATA GPC'!$E37</f>
        <v>--</v>
      </c>
      <c r="G146" s="2112">
        <f>IF('WACC and TIC Inputs'!$D146="X",0,IF('DATA GPC'!$G37="",0,'DATA GPC'!$G37))</f>
        <v>0</v>
      </c>
      <c r="H146" s="2112" t="str">
        <f>IF($F146="--","--",IF(OutputCurrency="Filing",_xll.ciqfunctions.udf.CIQ(G146,"IQ_FILING_CURRENCY",2000,Valuation_Date_GC),OutputCurrency))</f>
        <v>--</v>
      </c>
      <c r="I146" s="2298"/>
      <c r="J146" s="2296" t="str">
        <f>IF($G146=0,"--",_xll.ciqfunctions.udf.CIQ($G146,"IQ_PERIODDATE",J117,Valuation_Date_GC,ReportType,DataMode))</f>
        <v>--</v>
      </c>
      <c r="K146" s="2296" t="str">
        <f>IF($G146=0,"--",_xll.ciqfunctions.udf.CIQ($G146,"IQ_PERIODDATE",K117,Valuation_Date_GC,ReportType,DataMode))</f>
        <v>--</v>
      </c>
      <c r="L146" s="2296" t="str">
        <f>IF($G146=0,"--",_xll.ciqfunctions.udf.CIQ($G146,"IQ_PERIODDATE",L117,Valuation_Date_GC,ReportType,DataMode))</f>
        <v>--</v>
      </c>
      <c r="M146" s="2296" t="str">
        <f>IF($G146=0,"--",_xll.ciqfunctions.udf.CIQ($G146,"IQ_PERIODDATE",M117,Valuation_Date_GC,ReportType,DataMode))</f>
        <v>--</v>
      </c>
      <c r="N146" s="2296" t="str">
        <f>IF($G146=0,"--",_xll.ciqfunctions.udf.CIQ($G146,"IQ_PERIODDATE",N117,Valuation_Date_GC,ReportType,DataMode))</f>
        <v>--</v>
      </c>
      <c r="O146" s="2296" t="str">
        <f>IF($G146=0,"--",_xll.ciqfunctions.udf.CIQ($G146,"IQ_PERIODDATE",O117,Valuation_Date_GC,ReportType,DataMode))</f>
        <v>--</v>
      </c>
      <c r="P146" s="2296" t="str">
        <f>IF($G146=0,"--",_xll.ciqfunctions.udf.CIQ($G146,"IQ_PERIODDATE",P117,Valuation_Date_GC,ReportType,DataMode))</f>
        <v>--</v>
      </c>
      <c r="R146" s="2296" t="str">
        <f>IF($G146=0,"--",_xll.ciqfunctions.udf.CIQ($G146,"IQ_PERIODDATE",R117,Valuation_Date_GC,ReportType,DataMode))</f>
        <v>--</v>
      </c>
      <c r="S146" s="89" t="str">
        <f t="shared" si="26"/>
        <v>--</v>
      </c>
      <c r="T146" s="1598" t="str">
        <f t="shared" si="28"/>
        <v/>
      </c>
      <c r="U146" s="2296" t="str">
        <f>IF($G146=0,"--",_xll.ciqfunctions.udf.CIQ($G146,$T$127,U117,Valuation_Date_GC,ReportType,DataMode))</f>
        <v>--</v>
      </c>
      <c r="V146" s="2296" t="str">
        <f>IF($G146=0,"--",_xll.ciqfunctions.udf.CIQ($G146,$T$127,V117,Valuation_Date_GC,ReportType,DataMode))</f>
        <v>--</v>
      </c>
      <c r="W146" s="2296" t="str">
        <f>IF($G146=0,"--",_xll.ciqfunctions.udf.CIQ($G146,$T$127,W117,Valuation_Date_GC,ReportType,DataMode))</f>
        <v>--</v>
      </c>
      <c r="X146" s="2296" t="str">
        <f>IF($G146=0,"--",_xll.ciqfunctions.udf.CIQ($G146,$T$127,X117,Valuation_Date_GC,ReportType,DataMode))</f>
        <v>--</v>
      </c>
      <c r="Y146" s="2296" t="str">
        <f>IF($G146=0,"--",_xll.ciqfunctions.udf.CIQ($G146,$T$127,Y117,Valuation_Date_GC,ReportType,DataMode))</f>
        <v>--</v>
      </c>
      <c r="AR146" s="255"/>
      <c r="AS146" s="2060"/>
      <c r="AT146" s="2060"/>
      <c r="AU146" s="2060"/>
      <c r="AV146" s="2060"/>
      <c r="AW146" s="2060"/>
      <c r="AX146" s="1504"/>
      <c r="AY146" s="1504"/>
      <c r="AZ146" s="1504"/>
      <c r="BA146" s="1502"/>
      <c r="BB146" s="1502"/>
    </row>
    <row r="147" spans="1:54" s="89" customFormat="1" ht="13.9">
      <c r="A147" s="269" t="str">
        <f t="shared" si="27"/>
        <v>n</v>
      </c>
      <c r="B147" s="2060"/>
      <c r="D147" s="48"/>
      <c r="E147" s="1505">
        <v>19</v>
      </c>
      <c r="F147" s="30" t="str">
        <f>'DATA GPC'!$E38</f>
        <v>--</v>
      </c>
      <c r="G147" s="2112">
        <f>IF('WACC and TIC Inputs'!$D147="X",0,IF('DATA GPC'!$G38="",0,'DATA GPC'!$G38))</f>
        <v>0</v>
      </c>
      <c r="H147" s="2112" t="str">
        <f>IF($F147="--","--",IF(OutputCurrency="Filing",_xll.ciqfunctions.udf.CIQ(G147,"IQ_FILING_CURRENCY",2000,Valuation_Date_GC),OutputCurrency))</f>
        <v>--</v>
      </c>
      <c r="I147" s="2298"/>
      <c r="J147" s="2296" t="str">
        <f>IF($G147=0,"--",_xll.ciqfunctions.udf.CIQ($G147,"IQ_PERIODDATE",J118,Valuation_Date_GC,ReportType,DataMode))</f>
        <v>--</v>
      </c>
      <c r="K147" s="2296" t="str">
        <f>IF($G147=0,"--",_xll.ciqfunctions.udf.CIQ($G147,"IQ_PERIODDATE",K118,Valuation_Date_GC,ReportType,DataMode))</f>
        <v>--</v>
      </c>
      <c r="L147" s="2296" t="str">
        <f>IF($G147=0,"--",_xll.ciqfunctions.udf.CIQ($G147,"IQ_PERIODDATE",L118,Valuation_Date_GC,ReportType,DataMode))</f>
        <v>--</v>
      </c>
      <c r="M147" s="2296" t="str">
        <f>IF($G147=0,"--",_xll.ciqfunctions.udf.CIQ($G147,"IQ_PERIODDATE",M118,Valuation_Date_GC,ReportType,DataMode))</f>
        <v>--</v>
      </c>
      <c r="N147" s="2296" t="str">
        <f>IF($G147=0,"--",_xll.ciqfunctions.udf.CIQ($G147,"IQ_PERIODDATE",N118,Valuation_Date_GC,ReportType,DataMode))</f>
        <v>--</v>
      </c>
      <c r="O147" s="2296" t="str">
        <f>IF($G147=0,"--",_xll.ciqfunctions.udf.CIQ($G147,"IQ_PERIODDATE",O118,Valuation_Date_GC,ReportType,DataMode))</f>
        <v>--</v>
      </c>
      <c r="P147" s="2296" t="str">
        <f>IF($G147=0,"--",_xll.ciqfunctions.udf.CIQ($G147,"IQ_PERIODDATE",P118,Valuation_Date_GC,ReportType,DataMode))</f>
        <v>--</v>
      </c>
      <c r="R147" s="2296" t="str">
        <f>IF($G147=0,"--",_xll.ciqfunctions.udf.CIQ($G147,"IQ_PERIODDATE",R118,Valuation_Date_GC,ReportType,DataMode))</f>
        <v>--</v>
      </c>
      <c r="S147" s="89" t="str">
        <f t="shared" si="26"/>
        <v>--</v>
      </c>
      <c r="T147" s="1598" t="str">
        <f t="shared" si="28"/>
        <v/>
      </c>
      <c r="U147" s="2296" t="str">
        <f>IF($G147=0,"--",_xll.ciqfunctions.udf.CIQ($G147,$T$127,U118,Valuation_Date_GC,ReportType,DataMode))</f>
        <v>--</v>
      </c>
      <c r="V147" s="2296" t="str">
        <f>IF($G147=0,"--",_xll.ciqfunctions.udf.CIQ($G147,$T$127,V118,Valuation_Date_GC,ReportType,DataMode))</f>
        <v>--</v>
      </c>
      <c r="W147" s="2296" t="str">
        <f>IF($G147=0,"--",_xll.ciqfunctions.udf.CIQ($G147,$T$127,W118,Valuation_Date_GC,ReportType,DataMode))</f>
        <v>--</v>
      </c>
      <c r="X147" s="2296" t="str">
        <f>IF($G147=0,"--",_xll.ciqfunctions.udf.CIQ($G147,$T$127,X118,Valuation_Date_GC,ReportType,DataMode))</f>
        <v>--</v>
      </c>
      <c r="Y147" s="2296" t="str">
        <f>IF($G147=0,"--",_xll.ciqfunctions.udf.CIQ($G147,$T$127,Y118,Valuation_Date_GC,ReportType,DataMode))</f>
        <v>--</v>
      </c>
      <c r="AR147" s="255"/>
      <c r="AS147" s="2060"/>
      <c r="AT147" s="2060"/>
      <c r="AU147" s="2060"/>
      <c r="AV147" s="2060"/>
      <c r="AW147" s="2060"/>
      <c r="AX147" s="1504"/>
      <c r="AY147" s="1504"/>
      <c r="AZ147" s="1504"/>
      <c r="BA147" s="1502"/>
      <c r="BB147" s="1502"/>
    </row>
    <row r="148" spans="1:54" s="89" customFormat="1" ht="13.9">
      <c r="A148" s="269" t="str">
        <f t="shared" si="27"/>
        <v>n</v>
      </c>
      <c r="B148" s="2060"/>
      <c r="D148" s="48"/>
      <c r="E148" s="1505">
        <v>20</v>
      </c>
      <c r="F148" s="30" t="str">
        <f>'DATA GPC'!$E39</f>
        <v>--</v>
      </c>
      <c r="G148" s="2112">
        <f>IF('WACC and TIC Inputs'!$D148="X",0,IF('DATA GPC'!$G39="",0,'DATA GPC'!$G39))</f>
        <v>0</v>
      </c>
      <c r="H148" s="2112" t="str">
        <f>IF($F148="--","--",IF(OutputCurrency="Filing",_xll.ciqfunctions.udf.CIQ(G148,"IQ_FILING_CURRENCY",2000,Valuation_Date_GC),OutputCurrency))</f>
        <v>--</v>
      </c>
      <c r="I148" s="2298"/>
      <c r="J148" s="2296" t="str">
        <f>IF($G148=0,"--",_xll.ciqfunctions.udf.CIQ($G148,"IQ_PERIODDATE",J119,Valuation_Date_GC,ReportType,DataMode))</f>
        <v>--</v>
      </c>
      <c r="K148" s="2296" t="str">
        <f>IF($G148=0,"--",_xll.ciqfunctions.udf.CIQ($G148,"IQ_PERIODDATE",K119,Valuation_Date_GC,ReportType,DataMode))</f>
        <v>--</v>
      </c>
      <c r="L148" s="2296" t="str">
        <f>IF($G148=0,"--",_xll.ciqfunctions.udf.CIQ($G148,"IQ_PERIODDATE",L119,Valuation_Date_GC,ReportType,DataMode))</f>
        <v>--</v>
      </c>
      <c r="M148" s="2296" t="str">
        <f>IF($G148=0,"--",_xll.ciqfunctions.udf.CIQ($G148,"IQ_PERIODDATE",M119,Valuation_Date_GC,ReportType,DataMode))</f>
        <v>--</v>
      </c>
      <c r="N148" s="2296" t="str">
        <f>IF($G148=0,"--",_xll.ciqfunctions.udf.CIQ($G148,"IQ_PERIODDATE",N119,Valuation_Date_GC,ReportType,DataMode))</f>
        <v>--</v>
      </c>
      <c r="O148" s="2296" t="str">
        <f>IF($G148=0,"--",_xll.ciqfunctions.udf.CIQ($G148,"IQ_PERIODDATE",O119,Valuation_Date_GC,ReportType,DataMode))</f>
        <v>--</v>
      </c>
      <c r="P148" s="2296" t="str">
        <f>IF($G148=0,"--",_xll.ciqfunctions.udf.CIQ($G148,"IQ_PERIODDATE",P119,Valuation_Date_GC,ReportType,DataMode))</f>
        <v>--</v>
      </c>
      <c r="R148" s="2296" t="str">
        <f>IF($G148=0,"--",_xll.ciqfunctions.udf.CIQ($G148,"IQ_PERIODDATE",R119,Valuation_Date_GC,ReportType,DataMode))</f>
        <v>--</v>
      </c>
      <c r="S148" s="89" t="str">
        <f t="shared" si="26"/>
        <v>--</v>
      </c>
      <c r="T148" s="1598" t="str">
        <f t="shared" si="28"/>
        <v/>
      </c>
      <c r="U148" s="2296" t="str">
        <f>IF($G148=0,"--",_xll.ciqfunctions.udf.CIQ($G148,$T$127,U119,Valuation_Date_GC,ReportType,DataMode))</f>
        <v>--</v>
      </c>
      <c r="V148" s="2296" t="str">
        <f>IF($G148=0,"--",_xll.ciqfunctions.udf.CIQ($G148,$T$127,V119,Valuation_Date_GC,ReportType,DataMode))</f>
        <v>--</v>
      </c>
      <c r="W148" s="2296" t="str">
        <f>IF($G148=0,"--",_xll.ciqfunctions.udf.CIQ($G148,$T$127,W119,Valuation_Date_GC,ReportType,DataMode))</f>
        <v>--</v>
      </c>
      <c r="X148" s="2296" t="str">
        <f>IF($G148=0,"--",_xll.ciqfunctions.udf.CIQ($G148,$T$127,X119,Valuation_Date_GC,ReportType,DataMode))</f>
        <v>--</v>
      </c>
      <c r="Y148" s="2296" t="str">
        <f>IF($G148=0,"--",_xll.ciqfunctions.udf.CIQ($G148,$T$127,Y119,Valuation_Date_GC,ReportType,DataMode))</f>
        <v>--</v>
      </c>
      <c r="AR148" s="255"/>
      <c r="AS148" s="2060"/>
      <c r="AT148" s="2060"/>
      <c r="AU148" s="2060"/>
      <c r="AV148" s="2060"/>
      <c r="AW148" s="2060"/>
      <c r="AX148" s="1504"/>
      <c r="AY148" s="1504"/>
      <c r="AZ148" s="1504"/>
      <c r="BA148" s="1502"/>
      <c r="BB148" s="1502"/>
    </row>
    <row r="149" spans="1:54" s="89" customFormat="1" ht="13.9">
      <c r="A149" s="269" t="str">
        <f t="shared" si="27"/>
        <v>n</v>
      </c>
      <c r="B149" s="2060"/>
      <c r="D149" s="48"/>
      <c r="E149" s="1505">
        <v>21</v>
      </c>
      <c r="F149" s="30" t="str">
        <f>'DATA GPC'!$E40</f>
        <v>--</v>
      </c>
      <c r="G149" s="2112">
        <f>IF('WACC and TIC Inputs'!$D149="X",0,IF('DATA GPC'!$G40="",0,'DATA GPC'!$G40))</f>
        <v>0</v>
      </c>
      <c r="H149" s="2112" t="str">
        <f>IF($F149="--","--",IF(OutputCurrency="Filing",_xll.ciqfunctions.udf.CIQ(G149,"IQ_FILING_CURRENCY",2000,Valuation_Date_GC),OutputCurrency))</f>
        <v>--</v>
      </c>
      <c r="I149" s="2298"/>
      <c r="J149" s="2296" t="str">
        <f>IF($G149=0,"--",_xll.ciqfunctions.udf.CIQ($G149,"IQ_PERIODDATE",J120,Valuation_Date_GC,ReportType,DataMode))</f>
        <v>--</v>
      </c>
      <c r="K149" s="2296" t="str">
        <f>IF($G149=0,"--",_xll.ciqfunctions.udf.CIQ($G149,"IQ_PERIODDATE",K120,Valuation_Date_GC,ReportType,DataMode))</f>
        <v>--</v>
      </c>
      <c r="L149" s="2296" t="str">
        <f>IF($G149=0,"--",_xll.ciqfunctions.udf.CIQ($G149,"IQ_PERIODDATE",L120,Valuation_Date_GC,ReportType,DataMode))</f>
        <v>--</v>
      </c>
      <c r="M149" s="2296" t="str">
        <f>IF($G149=0,"--",_xll.ciqfunctions.udf.CIQ($G149,"IQ_PERIODDATE",M120,Valuation_Date_GC,ReportType,DataMode))</f>
        <v>--</v>
      </c>
      <c r="N149" s="2296" t="str">
        <f>IF($G149=0,"--",_xll.ciqfunctions.udf.CIQ($G149,"IQ_PERIODDATE",N120,Valuation_Date_GC,ReportType,DataMode))</f>
        <v>--</v>
      </c>
      <c r="O149" s="2296" t="str">
        <f>IF($G149=0,"--",_xll.ciqfunctions.udf.CIQ($G149,"IQ_PERIODDATE",O120,Valuation_Date_GC,ReportType,DataMode))</f>
        <v>--</v>
      </c>
      <c r="P149" s="2296" t="str">
        <f>IF($G149=0,"--",_xll.ciqfunctions.udf.CIQ($G149,"IQ_PERIODDATE",P120,Valuation_Date_GC,ReportType,DataMode))</f>
        <v>--</v>
      </c>
      <c r="R149" s="2296" t="str">
        <f>IF($G149=0,"--",_xll.ciqfunctions.udf.CIQ($G149,"IQ_PERIODDATE",R120,Valuation_Date_GC,ReportType,DataMode))</f>
        <v>--</v>
      </c>
      <c r="S149" s="89" t="str">
        <f t="shared" si="26"/>
        <v>--</v>
      </c>
      <c r="T149" s="1598" t="str">
        <f t="shared" si="28"/>
        <v/>
      </c>
      <c r="U149" s="2296" t="str">
        <f>IF($G149=0,"--",_xll.ciqfunctions.udf.CIQ($G149,$T$127,U120,Valuation_Date_GC,ReportType,DataMode))</f>
        <v>--</v>
      </c>
      <c r="V149" s="2296" t="str">
        <f>IF($G149=0,"--",_xll.ciqfunctions.udf.CIQ($G149,$T$127,V120,Valuation_Date_GC,ReportType,DataMode))</f>
        <v>--</v>
      </c>
      <c r="W149" s="2296" t="str">
        <f>IF($G149=0,"--",_xll.ciqfunctions.udf.CIQ($G149,$T$127,W120,Valuation_Date_GC,ReportType,DataMode))</f>
        <v>--</v>
      </c>
      <c r="X149" s="2296" t="str">
        <f>IF($G149=0,"--",_xll.ciqfunctions.udf.CIQ($G149,$T$127,X120,Valuation_Date_GC,ReportType,DataMode))</f>
        <v>--</v>
      </c>
      <c r="Y149" s="2296" t="str">
        <f>IF($G149=0,"--",_xll.ciqfunctions.udf.CIQ($G149,$T$127,Y120,Valuation_Date_GC,ReportType,DataMode))</f>
        <v>--</v>
      </c>
      <c r="AR149" s="255"/>
      <c r="AS149" s="2060"/>
      <c r="AT149" s="2060"/>
      <c r="AU149" s="2060"/>
      <c r="AV149" s="2060"/>
      <c r="AW149" s="2060"/>
      <c r="AX149" s="1504"/>
      <c r="AY149" s="1504"/>
      <c r="AZ149" s="1504"/>
      <c r="BA149" s="1502"/>
      <c r="BB149" s="1502"/>
    </row>
    <row r="150" spans="1:54" s="89" customFormat="1" ht="13.9">
      <c r="A150" s="269" t="str">
        <f t="shared" si="27"/>
        <v>n</v>
      </c>
      <c r="B150" s="2060"/>
      <c r="D150" s="48"/>
      <c r="E150" s="1505">
        <v>22</v>
      </c>
      <c r="F150" s="30" t="str">
        <f>'DATA GPC'!$E41</f>
        <v>--</v>
      </c>
      <c r="G150" s="2112">
        <f>IF('WACC and TIC Inputs'!$D150="X",0,IF('DATA GPC'!$G41="",0,'DATA GPC'!$G41))</f>
        <v>0</v>
      </c>
      <c r="H150" s="2112" t="str">
        <f>IF($F150="--","--",IF(OutputCurrency="Filing",_xll.ciqfunctions.udf.CIQ(G150,"IQ_FILING_CURRENCY",2000,Valuation_Date_GC),OutputCurrency))</f>
        <v>--</v>
      </c>
      <c r="I150" s="2298"/>
      <c r="J150" s="2296" t="str">
        <f>IF($G150=0,"--",_xll.ciqfunctions.udf.CIQ($G150,"IQ_PERIODDATE",J121,Valuation_Date_GC,ReportType,DataMode))</f>
        <v>--</v>
      </c>
      <c r="K150" s="2296" t="str">
        <f>IF($G150=0,"--",_xll.ciqfunctions.udf.CIQ($G150,"IQ_PERIODDATE",K121,Valuation_Date_GC,ReportType,DataMode))</f>
        <v>--</v>
      </c>
      <c r="L150" s="2296" t="str">
        <f>IF($G150=0,"--",_xll.ciqfunctions.udf.CIQ($G150,"IQ_PERIODDATE",L121,Valuation_Date_GC,ReportType,DataMode))</f>
        <v>--</v>
      </c>
      <c r="M150" s="2296" t="str">
        <f>IF($G150=0,"--",_xll.ciqfunctions.udf.CIQ($G150,"IQ_PERIODDATE",M121,Valuation_Date_GC,ReportType,DataMode))</f>
        <v>--</v>
      </c>
      <c r="N150" s="2296" t="str">
        <f>IF($G150=0,"--",_xll.ciqfunctions.udf.CIQ($G150,"IQ_PERIODDATE",N121,Valuation_Date_GC,ReportType,DataMode))</f>
        <v>--</v>
      </c>
      <c r="O150" s="2296" t="str">
        <f>IF($G150=0,"--",_xll.ciqfunctions.udf.CIQ($G150,"IQ_PERIODDATE",O121,Valuation_Date_GC,ReportType,DataMode))</f>
        <v>--</v>
      </c>
      <c r="P150" s="2296" t="str">
        <f>IF($G150=0,"--",_xll.ciqfunctions.udf.CIQ($G150,"IQ_PERIODDATE",P121,Valuation_Date_GC,ReportType,DataMode))</f>
        <v>--</v>
      </c>
      <c r="R150" s="2296" t="str">
        <f>IF($G150=0,"--",_xll.ciqfunctions.udf.CIQ($G150,"IQ_PERIODDATE",R121,Valuation_Date_GC,ReportType,DataMode))</f>
        <v>--</v>
      </c>
      <c r="S150" s="89" t="str">
        <f t="shared" si="26"/>
        <v>--</v>
      </c>
      <c r="T150" s="1598" t="str">
        <f t="shared" si="28"/>
        <v/>
      </c>
      <c r="U150" s="2296" t="str">
        <f>IF($G150=0,"--",_xll.ciqfunctions.udf.CIQ($G150,$T$127,U121,Valuation_Date_GC,ReportType,DataMode))</f>
        <v>--</v>
      </c>
      <c r="V150" s="2296" t="str">
        <f>IF($G150=0,"--",_xll.ciqfunctions.udf.CIQ($G150,$T$127,V121,Valuation_Date_GC,ReportType,DataMode))</f>
        <v>--</v>
      </c>
      <c r="W150" s="2296" t="str">
        <f>IF($G150=0,"--",_xll.ciqfunctions.udf.CIQ($G150,$T$127,W121,Valuation_Date_GC,ReportType,DataMode))</f>
        <v>--</v>
      </c>
      <c r="X150" s="2296" t="str">
        <f>IF($G150=0,"--",_xll.ciqfunctions.udf.CIQ($G150,$T$127,X121,Valuation_Date_GC,ReportType,DataMode))</f>
        <v>--</v>
      </c>
      <c r="Y150" s="2296" t="str">
        <f>IF($G150=0,"--",_xll.ciqfunctions.udf.CIQ($G150,$T$127,Y121,Valuation_Date_GC,ReportType,DataMode))</f>
        <v>--</v>
      </c>
      <c r="AR150" s="255"/>
      <c r="AS150" s="2060"/>
      <c r="AT150" s="2060"/>
      <c r="AU150" s="2060"/>
      <c r="AV150" s="2060"/>
      <c r="AW150" s="2060"/>
      <c r="AX150" s="1504"/>
      <c r="AY150" s="1504"/>
      <c r="AZ150" s="1504"/>
      <c r="BA150" s="1502"/>
      <c r="BB150" s="1502"/>
    </row>
    <row r="151" spans="1:54" s="89" customFormat="1" ht="13.9">
      <c r="A151" s="269" t="str">
        <f t="shared" si="27"/>
        <v>n</v>
      </c>
      <c r="B151" s="2060"/>
      <c r="D151" s="48"/>
      <c r="E151" s="1505">
        <v>23</v>
      </c>
      <c r="F151" s="30" t="str">
        <f>'DATA GPC'!$E42</f>
        <v>--</v>
      </c>
      <c r="G151" s="2112">
        <f>IF('WACC and TIC Inputs'!$D151="X",0,IF('DATA GPC'!$G42="",0,'DATA GPC'!$G42))</f>
        <v>0</v>
      </c>
      <c r="H151" s="2112" t="str">
        <f>IF($F151="--","--",IF(OutputCurrency="Filing",_xll.ciqfunctions.udf.CIQ(G151,"IQ_FILING_CURRENCY",2000,Valuation_Date_GC),OutputCurrency))</f>
        <v>--</v>
      </c>
      <c r="I151" s="2298"/>
      <c r="J151" s="2296" t="str">
        <f>IF($G151=0,"--",_xll.ciqfunctions.udf.CIQ($G151,"IQ_PERIODDATE",J122,Valuation_Date_GC,ReportType,DataMode))</f>
        <v>--</v>
      </c>
      <c r="K151" s="2296" t="str">
        <f>IF($G151=0,"--",_xll.ciqfunctions.udf.CIQ($G151,"IQ_PERIODDATE",K122,Valuation_Date_GC,ReportType,DataMode))</f>
        <v>--</v>
      </c>
      <c r="L151" s="2296" t="str">
        <f>IF($G151=0,"--",_xll.ciqfunctions.udf.CIQ($G151,"IQ_PERIODDATE",L122,Valuation_Date_GC,ReportType,DataMode))</f>
        <v>--</v>
      </c>
      <c r="M151" s="2296" t="str">
        <f>IF($G151=0,"--",_xll.ciqfunctions.udf.CIQ($G151,"IQ_PERIODDATE",M122,Valuation_Date_GC,ReportType,DataMode))</f>
        <v>--</v>
      </c>
      <c r="N151" s="2296" t="str">
        <f>IF($G151=0,"--",_xll.ciqfunctions.udf.CIQ($G151,"IQ_PERIODDATE",N122,Valuation_Date_GC,ReportType,DataMode))</f>
        <v>--</v>
      </c>
      <c r="O151" s="2296" t="str">
        <f>IF($G151=0,"--",_xll.ciqfunctions.udf.CIQ($G151,"IQ_PERIODDATE",O122,Valuation_Date_GC,ReportType,DataMode))</f>
        <v>--</v>
      </c>
      <c r="P151" s="2296" t="str">
        <f>IF($G151=0,"--",_xll.ciqfunctions.udf.CIQ($G151,"IQ_PERIODDATE",P122,Valuation_Date_GC,ReportType,DataMode))</f>
        <v>--</v>
      </c>
      <c r="R151" s="2296" t="str">
        <f>IF($G151=0,"--",_xll.ciqfunctions.udf.CIQ($G151,"IQ_PERIODDATE",R122,Valuation_Date_GC,ReportType,DataMode))</f>
        <v>--</v>
      </c>
      <c r="S151" s="89" t="str">
        <f t="shared" si="26"/>
        <v>--</v>
      </c>
      <c r="T151" s="1598" t="str">
        <f t="shared" si="28"/>
        <v/>
      </c>
      <c r="U151" s="2296" t="str">
        <f>IF($G151=0,"--",_xll.ciqfunctions.udf.CIQ($G151,$T$127,U122,Valuation_Date_GC,ReportType,DataMode))</f>
        <v>--</v>
      </c>
      <c r="V151" s="2296" t="str">
        <f>IF($G151=0,"--",_xll.ciqfunctions.udf.CIQ($G151,$T$127,V122,Valuation_Date_GC,ReportType,DataMode))</f>
        <v>--</v>
      </c>
      <c r="W151" s="2296" t="str">
        <f>IF($G151=0,"--",_xll.ciqfunctions.udf.CIQ($G151,$T$127,W122,Valuation_Date_GC,ReportType,DataMode))</f>
        <v>--</v>
      </c>
      <c r="X151" s="2296" t="str">
        <f>IF($G151=0,"--",_xll.ciqfunctions.udf.CIQ($G151,$T$127,X122,Valuation_Date_GC,ReportType,DataMode))</f>
        <v>--</v>
      </c>
      <c r="Y151" s="2296" t="str">
        <f>IF($G151=0,"--",_xll.ciqfunctions.udf.CIQ($G151,$T$127,Y122,Valuation_Date_GC,ReportType,DataMode))</f>
        <v>--</v>
      </c>
      <c r="AR151" s="255"/>
      <c r="AS151" s="2060"/>
      <c r="AT151" s="2060"/>
      <c r="AU151" s="2060"/>
      <c r="AV151" s="2060"/>
      <c r="AW151" s="2060"/>
      <c r="AX151" s="1504"/>
      <c r="AY151" s="1504"/>
      <c r="AZ151" s="1504"/>
      <c r="BA151" s="1502"/>
      <c r="BB151" s="1502"/>
    </row>
    <row r="152" spans="1:54" s="89" customFormat="1" ht="13.9">
      <c r="A152" s="269" t="str">
        <f t="shared" si="27"/>
        <v>n</v>
      </c>
      <c r="B152" s="2060"/>
      <c r="D152" s="48"/>
      <c r="E152" s="1505">
        <v>24</v>
      </c>
      <c r="F152" s="30" t="str">
        <f>'DATA GPC'!$E43</f>
        <v>--</v>
      </c>
      <c r="G152" s="2112">
        <f>IF('WACC and TIC Inputs'!$D152="X",0,IF('DATA GPC'!$G43="",0,'DATA GPC'!$G43))</f>
        <v>0</v>
      </c>
      <c r="H152" s="2112" t="str">
        <f>IF($F152="--","--",IF(OutputCurrency="Filing",_xll.ciqfunctions.udf.CIQ(G152,"IQ_FILING_CURRENCY",2000,Valuation_Date_GC),OutputCurrency))</f>
        <v>--</v>
      </c>
      <c r="I152" s="2298"/>
      <c r="J152" s="2296" t="str">
        <f>IF($G152=0,"--",_xll.ciqfunctions.udf.CIQ($G152,"IQ_PERIODDATE",J123,Valuation_Date_GC,ReportType,DataMode))</f>
        <v>--</v>
      </c>
      <c r="K152" s="2296" t="str">
        <f>IF($G152=0,"--",_xll.ciqfunctions.udf.CIQ($G152,"IQ_PERIODDATE",K123,Valuation_Date_GC,ReportType,DataMode))</f>
        <v>--</v>
      </c>
      <c r="L152" s="2296" t="str">
        <f>IF($G152=0,"--",_xll.ciqfunctions.udf.CIQ($G152,"IQ_PERIODDATE",L123,Valuation_Date_GC,ReportType,DataMode))</f>
        <v>--</v>
      </c>
      <c r="M152" s="2296" t="str">
        <f>IF($G152=0,"--",_xll.ciqfunctions.udf.CIQ($G152,"IQ_PERIODDATE",M123,Valuation_Date_GC,ReportType,DataMode))</f>
        <v>--</v>
      </c>
      <c r="N152" s="2296" t="str">
        <f>IF($G152=0,"--",_xll.ciqfunctions.udf.CIQ($G152,"IQ_PERIODDATE",N123,Valuation_Date_GC,ReportType,DataMode))</f>
        <v>--</v>
      </c>
      <c r="O152" s="2296" t="str">
        <f>IF($G152=0,"--",_xll.ciqfunctions.udf.CIQ($G152,"IQ_PERIODDATE",O123,Valuation_Date_GC,ReportType,DataMode))</f>
        <v>--</v>
      </c>
      <c r="P152" s="2296" t="str">
        <f>IF($G152=0,"--",_xll.ciqfunctions.udf.CIQ($G152,"IQ_PERIODDATE",P123,Valuation_Date_GC,ReportType,DataMode))</f>
        <v>--</v>
      </c>
      <c r="R152" s="2296" t="str">
        <f>IF($G152=0,"--",_xll.ciqfunctions.udf.CIQ($G152,"IQ_PERIODDATE",R123,Valuation_Date_GC,ReportType,DataMode))</f>
        <v>--</v>
      </c>
      <c r="S152" s="89" t="str">
        <f t="shared" si="26"/>
        <v>--</v>
      </c>
      <c r="T152" s="1598" t="str">
        <f t="shared" si="28"/>
        <v/>
      </c>
      <c r="U152" s="2296" t="str">
        <f>IF($G152=0,"--",_xll.ciqfunctions.udf.CIQ($G152,$T$127,U123,Valuation_Date_GC,ReportType,DataMode))</f>
        <v>--</v>
      </c>
      <c r="V152" s="2296" t="str">
        <f>IF($G152=0,"--",_xll.ciqfunctions.udf.CIQ($G152,$T$127,V123,Valuation_Date_GC,ReportType,DataMode))</f>
        <v>--</v>
      </c>
      <c r="W152" s="2296" t="str">
        <f>IF($G152=0,"--",_xll.ciqfunctions.udf.CIQ($G152,$T$127,W123,Valuation_Date_GC,ReportType,DataMode))</f>
        <v>--</v>
      </c>
      <c r="X152" s="2296" t="str">
        <f>IF($G152=0,"--",_xll.ciqfunctions.udf.CIQ($G152,$T$127,X123,Valuation_Date_GC,ReportType,DataMode))</f>
        <v>--</v>
      </c>
      <c r="Y152" s="2296" t="str">
        <f>IF($G152=0,"--",_xll.ciqfunctions.udf.CIQ($G152,$T$127,Y123,Valuation_Date_GC,ReportType,DataMode))</f>
        <v>--</v>
      </c>
      <c r="AR152" s="255"/>
      <c r="AS152" s="2060"/>
      <c r="AT152" s="2060"/>
      <c r="AU152" s="2060"/>
      <c r="AV152" s="2060"/>
      <c r="AW152" s="2060"/>
      <c r="AX152" s="1504"/>
      <c r="AY152" s="1504"/>
      <c r="AZ152" s="1504"/>
      <c r="BA152" s="1502"/>
      <c r="BB152" s="1502"/>
    </row>
    <row r="153" spans="1:54" s="89" customFormat="1" ht="13.9">
      <c r="A153" s="269" t="str">
        <f t="shared" si="27"/>
        <v>n</v>
      </c>
      <c r="B153" s="2060"/>
      <c r="D153" s="48"/>
      <c r="E153" s="1505">
        <v>25</v>
      </c>
      <c r="F153" s="30" t="str">
        <f>'DATA GPC'!$E44</f>
        <v>--</v>
      </c>
      <c r="G153" s="2112">
        <f>IF('WACC and TIC Inputs'!$D153="X",0,IF('DATA GPC'!$G44="",0,'DATA GPC'!$G44))</f>
        <v>0</v>
      </c>
      <c r="H153" s="2112" t="str">
        <f>IF($F153="--","--",IF(OutputCurrency="Filing",_xll.ciqfunctions.udf.CIQ(G153,"IQ_FILING_CURRENCY",2000,Valuation_Date_GC),OutputCurrency))</f>
        <v>--</v>
      </c>
      <c r="I153" s="2298"/>
      <c r="J153" s="2296" t="str">
        <f>IF($G153=0,"--",_xll.ciqfunctions.udf.CIQ($G153,"IQ_PERIODDATE",J124,Valuation_Date_GC,ReportType,DataMode))</f>
        <v>--</v>
      </c>
      <c r="K153" s="2296" t="str">
        <f>IF($G153=0,"--",_xll.ciqfunctions.udf.CIQ($G153,"IQ_PERIODDATE",K124,Valuation_Date_GC,ReportType,DataMode))</f>
        <v>--</v>
      </c>
      <c r="L153" s="2296" t="str">
        <f>IF($G153=0,"--",_xll.ciqfunctions.udf.CIQ($G153,"IQ_PERIODDATE",L124,Valuation_Date_GC,ReportType,DataMode))</f>
        <v>--</v>
      </c>
      <c r="M153" s="2296" t="str">
        <f>IF($G153=0,"--",_xll.ciqfunctions.udf.CIQ($G153,"IQ_PERIODDATE",M124,Valuation_Date_GC,ReportType,DataMode))</f>
        <v>--</v>
      </c>
      <c r="N153" s="2296" t="str">
        <f>IF($G153=0,"--",_xll.ciqfunctions.udf.CIQ($G153,"IQ_PERIODDATE",N124,Valuation_Date_GC,ReportType,DataMode))</f>
        <v>--</v>
      </c>
      <c r="O153" s="2296" t="str">
        <f>IF($G153=0,"--",_xll.ciqfunctions.udf.CIQ($G153,"IQ_PERIODDATE",O124,Valuation_Date_GC,ReportType,DataMode))</f>
        <v>--</v>
      </c>
      <c r="P153" s="2296" t="str">
        <f>IF($G153=0,"--",_xll.ciqfunctions.udf.CIQ($G153,"IQ_PERIODDATE",P124,Valuation_Date_GC,ReportType,DataMode))</f>
        <v>--</v>
      </c>
      <c r="R153" s="2296" t="str">
        <f>IF($G153=0,"--",_xll.ciqfunctions.udf.CIQ($G153,"IQ_PERIODDATE",R124,Valuation_Date_GC,ReportType,DataMode))</f>
        <v>--</v>
      </c>
      <c r="S153" s="89" t="str">
        <f t="shared" si="26"/>
        <v>--</v>
      </c>
      <c r="T153" s="1598" t="str">
        <f t="shared" si="28"/>
        <v/>
      </c>
      <c r="U153" s="2296" t="str">
        <f>IF($G153=0,"--",_xll.ciqfunctions.udf.CIQ($G153,$T$127,U124,Valuation_Date_GC,ReportType,DataMode))</f>
        <v>--</v>
      </c>
      <c r="V153" s="2296" t="str">
        <f>IF($G153=0,"--",_xll.ciqfunctions.udf.CIQ($G153,$T$127,V124,Valuation_Date_GC,ReportType,DataMode))</f>
        <v>--</v>
      </c>
      <c r="W153" s="2296" t="str">
        <f>IF($G153=0,"--",_xll.ciqfunctions.udf.CIQ($G153,$T$127,W124,Valuation_Date_GC,ReportType,DataMode))</f>
        <v>--</v>
      </c>
      <c r="X153" s="2296" t="str">
        <f>IF($G153=0,"--",_xll.ciqfunctions.udf.CIQ($G153,$T$127,X124,Valuation_Date_GC,ReportType,DataMode))</f>
        <v>--</v>
      </c>
      <c r="Y153" s="2296" t="str">
        <f>IF($G153=0,"--",_xll.ciqfunctions.udf.CIQ($G153,$T$127,Y124,Valuation_Date_GC,ReportType,DataMode))</f>
        <v>--</v>
      </c>
      <c r="AR153" s="255"/>
      <c r="AS153" s="2060"/>
      <c r="AT153" s="2060"/>
      <c r="AU153" s="2060"/>
      <c r="AV153" s="2060"/>
      <c r="AW153" s="2060"/>
      <c r="BA153" s="255"/>
      <c r="BB153" s="255"/>
    </row>
    <row r="154" spans="1:54" s="89" customFormat="1" ht="13.9">
      <c r="A154" s="2060"/>
      <c r="B154" s="2060"/>
      <c r="D154" s="801"/>
      <c r="E154" s="1578"/>
      <c r="F154" s="57" t="s">
        <v>767</v>
      </c>
      <c r="G154" s="58"/>
      <c r="H154" s="58"/>
      <c r="I154" s="58"/>
      <c r="J154" s="1442"/>
      <c r="K154" s="1442"/>
      <c r="L154" s="1460"/>
      <c r="M154" s="1460"/>
      <c r="N154" s="1460"/>
      <c r="O154" s="1461"/>
      <c r="P154" s="1460"/>
      <c r="Q154" s="1460"/>
      <c r="R154" s="1460"/>
      <c r="T154" s="1513"/>
      <c r="U154" s="1460"/>
      <c r="V154" s="1460"/>
      <c r="W154" s="1460"/>
      <c r="X154" s="1460"/>
      <c r="Y154" s="1460"/>
      <c r="AR154" s="255"/>
      <c r="BA154" s="2060"/>
      <c r="BB154" s="2060"/>
    </row>
    <row r="155" spans="1:54" s="89" customFormat="1" ht="13.9">
      <c r="A155" s="2060"/>
      <c r="B155" s="2060"/>
      <c r="D155" s="801"/>
      <c r="E155" s="1578"/>
      <c r="F155" s="255"/>
      <c r="G155" s="255"/>
      <c r="H155" s="255"/>
      <c r="I155" s="255"/>
      <c r="J155" s="255"/>
      <c r="K155" s="255"/>
      <c r="L155" s="255"/>
      <c r="M155" s="255"/>
      <c r="N155" s="255"/>
      <c r="O155" s="75"/>
      <c r="P155" s="76"/>
      <c r="R155" s="255"/>
      <c r="T155" s="1513"/>
      <c r="Y155" s="255"/>
      <c r="AF155" s="255"/>
      <c r="AR155" s="255"/>
      <c r="BA155" s="2060"/>
      <c r="BB155" s="2060"/>
    </row>
    <row r="156" spans="1:54" s="89" customFormat="1" ht="13.9">
      <c r="A156" s="2060"/>
      <c r="B156" s="2060"/>
      <c r="C156" s="255"/>
      <c r="D156" s="780"/>
      <c r="E156" s="1578"/>
      <c r="F156" s="255" t="s">
        <v>770</v>
      </c>
      <c r="G156" s="255"/>
      <c r="H156" s="255"/>
      <c r="I156" s="255">
        <f t="shared" ref="I156:P156" si="29">365+(MOD(YEAR(I128),4)=0)</f>
        <v>365</v>
      </c>
      <c r="J156" s="255">
        <f t="shared" si="29"/>
        <v>366</v>
      </c>
      <c r="K156" s="255">
        <f t="shared" si="29"/>
        <v>365</v>
      </c>
      <c r="L156" s="255">
        <f t="shared" si="29"/>
        <v>365</v>
      </c>
      <c r="M156" s="255">
        <f t="shared" si="29"/>
        <v>365</v>
      </c>
      <c r="N156" s="255">
        <f t="shared" si="29"/>
        <v>366</v>
      </c>
      <c r="O156" s="75">
        <f t="shared" si="29"/>
        <v>365</v>
      </c>
      <c r="P156" s="76">
        <f t="shared" si="29"/>
        <v>365</v>
      </c>
      <c r="Q156" s="255"/>
      <c r="R156" s="255">
        <f>365+(MOD(YEAR(R128),4)=0)</f>
        <v>366</v>
      </c>
      <c r="S156" s="255"/>
      <c r="T156" s="255"/>
      <c r="U156" s="255"/>
      <c r="V156" s="255"/>
      <c r="W156" s="255"/>
      <c r="X156" s="255"/>
      <c r="Y156" s="255"/>
      <c r="Z156" s="255"/>
      <c r="AA156" s="255"/>
      <c r="AB156" s="255"/>
      <c r="AC156" s="255"/>
      <c r="AD156" s="255"/>
      <c r="AE156" s="255"/>
      <c r="AR156" s="255"/>
      <c r="AS156" s="255"/>
      <c r="AT156" s="126"/>
      <c r="AU156" s="255"/>
      <c r="AV156" s="255"/>
      <c r="AW156" s="255"/>
      <c r="AX156" s="255"/>
      <c r="AY156" s="255"/>
      <c r="AZ156" s="255"/>
      <c r="BA156" s="255"/>
      <c r="BB156" s="255"/>
    </row>
    <row r="157" spans="1:54" s="89" customFormat="1" ht="13.9">
      <c r="A157" s="2060"/>
      <c r="B157" s="2060"/>
      <c r="D157" s="802"/>
      <c r="E157" s="1578"/>
      <c r="F157" s="21"/>
      <c r="O157" s="75"/>
      <c r="P157" s="76"/>
      <c r="R157" s="521"/>
      <c r="AR157" s="255"/>
      <c r="AS157" s="255"/>
      <c r="AT157" s="126"/>
      <c r="AU157" s="255"/>
      <c r="AV157" s="255"/>
      <c r="AW157" s="255"/>
      <c r="AX157" s="255"/>
      <c r="AY157" s="255"/>
      <c r="AZ157" s="255"/>
      <c r="BA157" s="255"/>
      <c r="BB157" s="255"/>
    </row>
    <row r="158" spans="1:54" s="89" customFormat="1" ht="18">
      <c r="A158" s="2060"/>
      <c r="B158" s="2060"/>
      <c r="C158" s="1435">
        <f ca="1">MAX(OFFSET(C158,-1,0,-ROW(C158)+1,1))+1</f>
        <v>4</v>
      </c>
      <c r="D158" s="788" t="s">
        <v>771</v>
      </c>
      <c r="E158" s="796"/>
      <c r="F158" s="793"/>
      <c r="G158" s="776"/>
      <c r="H158" s="776"/>
      <c r="I158" s="776"/>
      <c r="J158" s="776"/>
      <c r="K158" s="776"/>
      <c r="L158" s="1462"/>
      <c r="M158" s="1462"/>
      <c r="N158" s="1462"/>
      <c r="O158" s="1463"/>
      <c r="P158" s="1464"/>
      <c r="Q158" s="1462"/>
      <c r="R158" s="1462"/>
      <c r="S158" s="1462"/>
      <c r="T158" s="1462"/>
      <c r="U158" s="1462"/>
      <c r="V158" s="1462"/>
      <c r="W158" s="1462"/>
      <c r="X158" s="1462"/>
      <c r="Y158" s="1462"/>
      <c r="Z158" s="795"/>
      <c r="AA158" s="795"/>
      <c r="AB158" s="795"/>
      <c r="AC158" s="795"/>
      <c r="AR158" s="255"/>
      <c r="AS158" s="255"/>
      <c r="AT158" s="126"/>
      <c r="AU158" s="255"/>
      <c r="AV158" s="2060"/>
      <c r="AW158" s="2060"/>
      <c r="AX158" s="2060"/>
      <c r="AY158" s="2060"/>
      <c r="AZ158" s="2060"/>
      <c r="BA158" s="2060"/>
      <c r="BB158" s="255"/>
    </row>
    <row r="159" spans="1:54" s="89" customFormat="1" ht="13.9">
      <c r="A159" s="2060"/>
      <c r="B159" s="2060"/>
      <c r="D159" s="802"/>
      <c r="E159" s="624"/>
      <c r="F159" s="21"/>
      <c r="O159" s="75"/>
      <c r="P159" s="76"/>
      <c r="R159" s="521"/>
      <c r="T159" s="89" t="s">
        <v>772</v>
      </c>
      <c r="AR159" s="255"/>
      <c r="AS159" s="255"/>
      <c r="AT159" s="126"/>
      <c r="AU159" s="255"/>
      <c r="AV159" s="255"/>
      <c r="AW159" s="255"/>
      <c r="AX159" s="255"/>
      <c r="AY159" s="255"/>
      <c r="AZ159" s="255"/>
      <c r="BA159" s="255"/>
      <c r="BB159" s="255"/>
    </row>
    <row r="160" spans="1:54" s="89" customFormat="1" ht="13.9">
      <c r="A160" s="2060"/>
      <c r="B160" s="2060"/>
      <c r="D160" s="778">
        <f ca="1">MAX(OFFSET(D160,-1,0,-ROW(D160)+1,-2),1)+0.01</f>
        <v>4.01</v>
      </c>
      <c r="E160" s="668"/>
      <c r="F160" s="952" t="s">
        <v>313</v>
      </c>
      <c r="G160" s="724" t="s">
        <v>773</v>
      </c>
      <c r="H160" s="724"/>
      <c r="I160" s="724"/>
      <c r="J160" s="724"/>
      <c r="K160" s="725" t="s">
        <v>700</v>
      </c>
      <c r="L160" s="725" t="s">
        <v>701</v>
      </c>
      <c r="M160" s="725" t="s">
        <v>702</v>
      </c>
      <c r="N160" s="725" t="s">
        <v>703</v>
      </c>
      <c r="O160" s="759" t="s">
        <v>704</v>
      </c>
      <c r="P160" s="762">
        <f>Valuation_Date_GC</f>
        <v>42794</v>
      </c>
      <c r="Q160" s="255"/>
      <c r="R160" s="762">
        <f>EDATE(P160,-12)</f>
        <v>42428</v>
      </c>
      <c r="T160" s="92"/>
      <c r="W160" s="255"/>
      <c r="AA160" s="2060"/>
      <c r="AB160" s="2060"/>
      <c r="AC160" s="2060"/>
      <c r="AD160" s="2060"/>
      <c r="AE160" s="2060"/>
      <c r="AF160" s="2060"/>
    </row>
    <row r="161" spans="1:32" s="89" customFormat="1" ht="13.9">
      <c r="A161" s="2060"/>
      <c r="B161" s="2060"/>
      <c r="D161" s="778"/>
      <c r="E161" s="1505"/>
      <c r="F161" s="1439" t="str">
        <f>F$128</f>
        <v/>
      </c>
      <c r="G161" s="1440">
        <f>G$128</f>
        <v>0</v>
      </c>
      <c r="H161" s="1440" t="str">
        <f>H$128</f>
        <v>USD</v>
      </c>
      <c r="I161" s="1445" t="s">
        <v>774</v>
      </c>
      <c r="J161" s="1445"/>
      <c r="K161" s="2299" t="str">
        <f>IF($G161=0,"--",IFERROR(_xll.ciqfunctions.udf.CIQ($G161,$I161,K128,$H161,FXMode)*Scale,"n/a"))</f>
        <v>--</v>
      </c>
      <c r="L161" s="2299" t="str">
        <f>IF($G161=0,"--",IFERROR(_xll.ciqfunctions.udf.CIQ($G161,$I161,L128,$H161,FXMode)*Scale,"n/a"))</f>
        <v>--</v>
      </c>
      <c r="M161" s="2299" t="str">
        <f>IF($G161=0,"--",IFERROR(_xll.ciqfunctions.udf.CIQ($G161,$I161,M128,$H161,FXMode)*Scale,"n/a"))</f>
        <v>--</v>
      </c>
      <c r="N161" s="2299" t="str">
        <f>IF($G161=0,"--",IFERROR(_xll.ciqfunctions.udf.CIQ($G161,$I161,N128,$H161,FXMode)*Scale,"n/a"))</f>
        <v>--</v>
      </c>
      <c r="O161" s="2134" t="str">
        <f>IF($G161=0,"--",IFERROR(_xll.ciqfunctions.udf.CIQ($G161,$I161,O128,$H161,FXMode)*Scale,"n/a"))</f>
        <v>--</v>
      </c>
      <c r="P161" s="2300" t="str">
        <f>IF($G161=0,"--",IFERROR(_xll.ciqfunctions.udf.CIQ($G161,$I161,Valuation_Date_GC,$H161,FXMode)*Scale,"n/a"))</f>
        <v>--</v>
      </c>
      <c r="R161" s="2300" t="str">
        <f>IF($G161=0,"--",IFERROR(_xll.ciqfunctions.udf.CIQ($G161,$I161,R$160,$H161,FXMode)*Scale,"n/a"))</f>
        <v>--</v>
      </c>
      <c r="AA161" s="2060"/>
      <c r="AB161" s="2060"/>
      <c r="AC161" s="2060"/>
      <c r="AD161" s="2060"/>
      <c r="AE161" s="2060"/>
      <c r="AF161" s="2060"/>
    </row>
    <row r="162" spans="1:32" s="89" customFormat="1" ht="13.9">
      <c r="A162" s="269" t="str">
        <f>IF(F162="--","n","")</f>
        <v>n</v>
      </c>
      <c r="B162" s="2060"/>
      <c r="D162" s="801"/>
      <c r="E162" s="1505">
        <v>1</v>
      </c>
      <c r="F162" s="21" t="str">
        <f>F$129</f>
        <v>--</v>
      </c>
      <c r="G162" s="2112">
        <f>G$129</f>
        <v>0</v>
      </c>
      <c r="H162" s="1441" t="str">
        <f>H$129</f>
        <v>--</v>
      </c>
      <c r="I162" s="1513" t="s">
        <v>774</v>
      </c>
      <c r="J162" s="1513"/>
      <c r="K162" s="2301" t="str">
        <f>IF($G162=0,"--",IFERROR(_xll.ciqfunctions.udf.CIQ($G162,$I162,K129,$H162,FXMode)*Scale,"n/a"))</f>
        <v>--</v>
      </c>
      <c r="L162" s="2301" t="str">
        <f>IF($G162=0,"--",IFERROR(_xll.ciqfunctions.udf.CIQ($G162,$I162,L129,$H162,FXMode)*Scale,"n/a"))</f>
        <v>--</v>
      </c>
      <c r="M162" s="2301" t="str">
        <f>IF($G162=0,"--",IFERROR(_xll.ciqfunctions.udf.CIQ($G162,$I162,M129,$H162,FXMode)*Scale,"n/a"))</f>
        <v>--</v>
      </c>
      <c r="N162" s="2301" t="str">
        <f>IF($G162=0,"--",IFERROR(_xll.ciqfunctions.udf.CIQ($G162,$I162,N129,$H162,FXMode)*Scale,"n/a"))</f>
        <v>--</v>
      </c>
      <c r="O162" s="1471" t="str">
        <f>IF($G162=0,"--",IFERROR(_xll.ciqfunctions.udf.CIQ($G162,$I162,O129,$H162,FXMode)*Scale,"n/a"))</f>
        <v>--</v>
      </c>
      <c r="P162" s="2300" t="str">
        <f>IF($G162=0,"--",IFERROR(_xll.ciqfunctions.udf.CIQ($G162,$I162,Valuation_Date_GC,$H162,FXMode)*Scale,"n/a"))</f>
        <v>--</v>
      </c>
      <c r="R162" s="2300" t="str">
        <f>IF($G162=0,"--",IFERROR(_xll.ciqfunctions.udf.CIQ($G162,$I162,R$160,$H162,FXMode)*Scale,"n/a"))</f>
        <v>--</v>
      </c>
      <c r="AA162" s="2060"/>
      <c r="AB162" s="2060"/>
      <c r="AC162" s="2060"/>
      <c r="AD162" s="2060"/>
      <c r="AE162" s="2060"/>
      <c r="AF162" s="2060"/>
    </row>
    <row r="163" spans="1:32" s="89" customFormat="1" ht="13.9">
      <c r="A163" s="269" t="str">
        <f t="shared" ref="A163:A186" si="30">IF(F163="--","n","")</f>
        <v>n</v>
      </c>
      <c r="B163" s="2060"/>
      <c r="D163" s="801"/>
      <c r="E163" s="1505">
        <v>2</v>
      </c>
      <c r="F163" s="21" t="str">
        <f>F$130</f>
        <v>--</v>
      </c>
      <c r="G163" s="2112">
        <f>G$130</f>
        <v>0</v>
      </c>
      <c r="H163" s="1441" t="str">
        <f>H$130</f>
        <v>--</v>
      </c>
      <c r="I163" s="1513" t="s">
        <v>774</v>
      </c>
      <c r="J163" s="1513"/>
      <c r="K163" s="2301" t="str">
        <f>IF($G163=0,"--",IFERROR(_xll.ciqfunctions.udf.CIQ($G163,$I163,K130,$H163,FXMode)*Scale,"n/a"))</f>
        <v>--</v>
      </c>
      <c r="L163" s="2301" t="str">
        <f>IF($G163=0,"--",IFERROR(_xll.ciqfunctions.udf.CIQ($G163,$I163,L130,$H163,FXMode)*Scale,"n/a"))</f>
        <v>--</v>
      </c>
      <c r="M163" s="2301" t="str">
        <f>IF($G163=0,"--",IFERROR(_xll.ciqfunctions.udf.CIQ($G163,$I163,M130,$H163,FXMode)*Scale,"n/a"))</f>
        <v>--</v>
      </c>
      <c r="N163" s="2301" t="str">
        <f>IF($G163=0,"--",IFERROR(_xll.ciqfunctions.udf.CIQ($G163,$I163,N130,$H163,FXMode)*Scale,"n/a"))</f>
        <v>--</v>
      </c>
      <c r="O163" s="1471" t="str">
        <f>IF($G163=0,"--",IFERROR(_xll.ciqfunctions.udf.CIQ($G163,$I163,O130,$H163,FXMode)*Scale,"n/a"))</f>
        <v>--</v>
      </c>
      <c r="P163" s="2300" t="str">
        <f>IF($G163=0,"--",IFERROR(_xll.ciqfunctions.udf.CIQ($G163,$I163,Valuation_Date_GC,$H163,FXMode)*Scale,"n/a"))</f>
        <v>--</v>
      </c>
      <c r="R163" s="2300" t="str">
        <f>IF($G163=0,"--",IFERROR(_xll.ciqfunctions.udf.CIQ($G163,$I163,R$160,$H163,FXMode)*Scale,"n/a"))</f>
        <v>--</v>
      </c>
      <c r="AA163" s="2060"/>
      <c r="AB163" s="2060"/>
      <c r="AC163" s="2060"/>
      <c r="AD163" s="2060"/>
      <c r="AE163" s="2060"/>
      <c r="AF163" s="2060"/>
    </row>
    <row r="164" spans="1:32" s="89" customFormat="1" ht="13.9">
      <c r="A164" s="269" t="str">
        <f t="shared" si="30"/>
        <v>n</v>
      </c>
      <c r="B164" s="2060"/>
      <c r="D164" s="801"/>
      <c r="E164" s="1505">
        <v>3</v>
      </c>
      <c r="F164" s="21" t="str">
        <f>F$131</f>
        <v>--</v>
      </c>
      <c r="G164" s="2112">
        <f>G$131</f>
        <v>0</v>
      </c>
      <c r="H164" s="1441" t="str">
        <f>H$131</f>
        <v>--</v>
      </c>
      <c r="I164" s="1513" t="s">
        <v>774</v>
      </c>
      <c r="J164" s="1513"/>
      <c r="K164" s="2301" t="str">
        <f>IF($G164=0,"--",IFERROR(_xll.ciqfunctions.udf.CIQ($G164,$I164,K131,$H164,FXMode)*Scale,"n/a"))</f>
        <v>--</v>
      </c>
      <c r="L164" s="2301" t="str">
        <f>IF($G164=0,"--",IFERROR(_xll.ciqfunctions.udf.CIQ($G164,$I164,L131,$H164,FXMode)*Scale,"n/a"))</f>
        <v>--</v>
      </c>
      <c r="M164" s="2301" t="str">
        <f>IF($G164=0,"--",IFERROR(_xll.ciqfunctions.udf.CIQ($G164,$I164,M131,$H164,FXMode)*Scale,"n/a"))</f>
        <v>--</v>
      </c>
      <c r="N164" s="2301" t="str">
        <f>IF($G164=0,"--",IFERROR(_xll.ciqfunctions.udf.CIQ($G164,$I164,N131,$H164,FXMode)*Scale,"n/a"))</f>
        <v>--</v>
      </c>
      <c r="O164" s="1471" t="str">
        <f>IF($G164=0,"--",IFERROR(_xll.ciqfunctions.udf.CIQ($G164,$I164,O131,$H164,FXMode)*Scale,"n/a"))</f>
        <v>--</v>
      </c>
      <c r="P164" s="2300" t="str">
        <f>IF($G164=0,"--",IFERROR(_xll.ciqfunctions.udf.CIQ($G164,$I164,Valuation_Date_GC,$H164,FXMode)*Scale,"n/a"))</f>
        <v>--</v>
      </c>
      <c r="R164" s="2300" t="str">
        <f>IF($G164=0,"--",IFERROR(_xll.ciqfunctions.udf.CIQ($G164,$I164,R$160,$H164,FXMode)*Scale,"n/a"))</f>
        <v>--</v>
      </c>
      <c r="AA164" s="2060"/>
      <c r="AB164" s="2060"/>
      <c r="AC164" s="2060"/>
      <c r="AD164" s="2060"/>
      <c r="AE164" s="2060"/>
      <c r="AF164" s="2060"/>
    </row>
    <row r="165" spans="1:32" s="89" customFormat="1" ht="13.9">
      <c r="A165" s="269" t="str">
        <f t="shared" si="30"/>
        <v>n</v>
      </c>
      <c r="B165" s="2060"/>
      <c r="D165" s="801"/>
      <c r="E165" s="1505">
        <v>4</v>
      </c>
      <c r="F165" s="21" t="str">
        <f>F$132</f>
        <v>--</v>
      </c>
      <c r="G165" s="2112">
        <f>G$132</f>
        <v>0</v>
      </c>
      <c r="H165" s="1441" t="str">
        <f>H$132</f>
        <v>--</v>
      </c>
      <c r="I165" s="1513" t="s">
        <v>774</v>
      </c>
      <c r="J165" s="1513"/>
      <c r="K165" s="2301" t="str">
        <f>IF($G165=0,"--",IFERROR(_xll.ciqfunctions.udf.CIQ($G165,$I165,K132,$H165,FXMode)*Scale,"n/a"))</f>
        <v>--</v>
      </c>
      <c r="L165" s="2301" t="str">
        <f>IF($G165=0,"--",IFERROR(_xll.ciqfunctions.udf.CIQ($G165,$I165,L132,$H165,FXMode)*Scale,"n/a"))</f>
        <v>--</v>
      </c>
      <c r="M165" s="2301" t="str">
        <f>IF($G165=0,"--",IFERROR(_xll.ciqfunctions.udf.CIQ($G165,$I165,M132,$H165,FXMode)*Scale,"n/a"))</f>
        <v>--</v>
      </c>
      <c r="N165" s="2301" t="str">
        <f>IF($G165=0,"--",IFERROR(_xll.ciqfunctions.udf.CIQ($G165,$I165,N132,$H165,FXMode)*Scale,"n/a"))</f>
        <v>--</v>
      </c>
      <c r="O165" s="1471" t="str">
        <f>IF($G165=0,"--",IFERROR(_xll.ciqfunctions.udf.CIQ($G165,$I165,O132,$H165,FXMode)*Scale,"n/a"))</f>
        <v>--</v>
      </c>
      <c r="P165" s="2300" t="str">
        <f>IF($G165=0,"--",IFERROR(_xll.ciqfunctions.udf.CIQ($G165,$I165,Valuation_Date_GC,$H165,FXMode)*Scale,"n/a"))</f>
        <v>--</v>
      </c>
      <c r="R165" s="2300" t="str">
        <f>IF($G165=0,"--",IFERROR(_xll.ciqfunctions.udf.CIQ($G165,$I165,R$160,$H165,FXMode)*Scale,"n/a"))</f>
        <v>--</v>
      </c>
      <c r="AA165" s="2060"/>
      <c r="AB165" s="2060"/>
      <c r="AC165" s="2060"/>
      <c r="AD165" s="2060"/>
      <c r="AE165" s="2060"/>
      <c r="AF165" s="2060"/>
    </row>
    <row r="166" spans="1:32" s="89" customFormat="1" ht="13.9">
      <c r="A166" s="269" t="str">
        <f t="shared" si="30"/>
        <v>n</v>
      </c>
      <c r="B166" s="2060"/>
      <c r="D166" s="801"/>
      <c r="E166" s="1505">
        <v>5</v>
      </c>
      <c r="F166" s="21" t="str">
        <f>F$133</f>
        <v>--</v>
      </c>
      <c r="G166" s="2112">
        <f>G$133</f>
        <v>0</v>
      </c>
      <c r="H166" s="1441" t="str">
        <f>H$133</f>
        <v>--</v>
      </c>
      <c r="I166" s="1513" t="s">
        <v>774</v>
      </c>
      <c r="J166" s="1513"/>
      <c r="K166" s="2301" t="str">
        <f>IF($G166=0,"--",IFERROR(_xll.ciqfunctions.udf.CIQ($G166,$I166,K133,$H166,FXMode)*Scale,"n/a"))</f>
        <v>--</v>
      </c>
      <c r="L166" s="2301" t="str">
        <f>IF($G166=0,"--",IFERROR(_xll.ciqfunctions.udf.CIQ($G166,$I166,L133,$H166,FXMode)*Scale,"n/a"))</f>
        <v>--</v>
      </c>
      <c r="M166" s="2301" t="str">
        <f>IF($G166=0,"--",IFERROR(_xll.ciqfunctions.udf.CIQ($G166,$I166,M133,$H166,FXMode)*Scale,"n/a"))</f>
        <v>--</v>
      </c>
      <c r="N166" s="2301" t="str">
        <f>IF($G166=0,"--",IFERROR(_xll.ciqfunctions.udf.CIQ($G166,$I166,N133,$H166,FXMode)*Scale,"n/a"))</f>
        <v>--</v>
      </c>
      <c r="O166" s="1471" t="str">
        <f>IF($G166=0,"--",IFERROR(_xll.ciqfunctions.udf.CIQ($G166,$I166,O133,$H166,FXMode)*Scale,"n/a"))</f>
        <v>--</v>
      </c>
      <c r="P166" s="2300" t="str">
        <f>IF($G166=0,"--",IFERROR(_xll.ciqfunctions.udf.CIQ($G166,$I166,Valuation_Date_GC,$H166,FXMode)*Scale,"n/a"))</f>
        <v>--</v>
      </c>
      <c r="R166" s="2300" t="str">
        <f>IF($G166=0,"--",IFERROR(_xll.ciqfunctions.udf.CIQ($G166,$I166,R$160,$H166,FXMode)*Scale,"n/a"))</f>
        <v>--</v>
      </c>
      <c r="AA166" s="2060"/>
      <c r="AB166" s="2060"/>
      <c r="AC166" s="2060"/>
      <c r="AD166" s="2060"/>
      <c r="AE166" s="2060"/>
      <c r="AF166" s="2060"/>
    </row>
    <row r="167" spans="1:32" s="89" customFormat="1" ht="13.9">
      <c r="A167" s="269" t="str">
        <f t="shared" si="30"/>
        <v>n</v>
      </c>
      <c r="B167" s="2060"/>
      <c r="D167" s="801"/>
      <c r="E167" s="1505">
        <v>6</v>
      </c>
      <c r="F167" s="21" t="str">
        <f>F$134</f>
        <v>--</v>
      </c>
      <c r="G167" s="2112">
        <f>G$134</f>
        <v>0</v>
      </c>
      <c r="H167" s="1441" t="str">
        <f>H$134</f>
        <v>--</v>
      </c>
      <c r="I167" s="1513" t="s">
        <v>774</v>
      </c>
      <c r="J167" s="1513"/>
      <c r="K167" s="2301" t="str">
        <f>IF($G167=0,"--",IFERROR(_xll.ciqfunctions.udf.CIQ($G167,$I167,K134,$H167,FXMode)*Scale,"n/a"))</f>
        <v>--</v>
      </c>
      <c r="L167" s="2301" t="str">
        <f>IF($G167=0,"--",IFERROR(_xll.ciqfunctions.udf.CIQ($G167,$I167,L134,$H167,FXMode)*Scale,"n/a"))</f>
        <v>--</v>
      </c>
      <c r="M167" s="2301" t="str">
        <f>IF($G167=0,"--",IFERROR(_xll.ciqfunctions.udf.CIQ($G167,$I167,M134,$H167,FXMode)*Scale,"n/a"))</f>
        <v>--</v>
      </c>
      <c r="N167" s="2301" t="str">
        <f>IF($G167=0,"--",IFERROR(_xll.ciqfunctions.udf.CIQ($G167,$I167,N134,$H167,FXMode)*Scale,"n/a"))</f>
        <v>--</v>
      </c>
      <c r="O167" s="1471" t="str">
        <f>IF($G167=0,"--",IFERROR(_xll.ciqfunctions.udf.CIQ($G167,$I167,O134,$H167,FXMode)*Scale,"n/a"))</f>
        <v>--</v>
      </c>
      <c r="P167" s="2300" t="str">
        <f>IF($G167=0,"--",IFERROR(_xll.ciqfunctions.udf.CIQ($G167,$I167,Valuation_Date_GC,$H167,FXMode)*Scale,"n/a"))</f>
        <v>--</v>
      </c>
      <c r="R167" s="2300" t="str">
        <f>IF($G167=0,"--",IFERROR(_xll.ciqfunctions.udf.CIQ($G167,$I167,R$160,$H167,FXMode)*Scale,"n/a"))</f>
        <v>--</v>
      </c>
      <c r="AA167" s="2060"/>
      <c r="AB167" s="2060"/>
      <c r="AC167" s="2060"/>
      <c r="AD167" s="2060"/>
      <c r="AE167" s="2060"/>
      <c r="AF167" s="2060"/>
    </row>
    <row r="168" spans="1:32" s="89" customFormat="1" ht="13.9">
      <c r="A168" s="269" t="str">
        <f t="shared" si="30"/>
        <v>n</v>
      </c>
      <c r="B168" s="2060"/>
      <c r="D168" s="801"/>
      <c r="E168" s="1505">
        <v>7</v>
      </c>
      <c r="F168" s="21" t="str">
        <f>F$135</f>
        <v>--</v>
      </c>
      <c r="G168" s="2112">
        <f>G$135</f>
        <v>0</v>
      </c>
      <c r="H168" s="1441" t="str">
        <f>H$135</f>
        <v>--</v>
      </c>
      <c r="I168" s="1513" t="s">
        <v>774</v>
      </c>
      <c r="J168" s="1513"/>
      <c r="K168" s="2301" t="str">
        <f>IF($G168=0,"--",IFERROR(_xll.ciqfunctions.udf.CIQ($G168,$I168,K135,$H168,FXMode)*Scale,"n/a"))</f>
        <v>--</v>
      </c>
      <c r="L168" s="2301" t="str">
        <f>IF($G168=0,"--",IFERROR(_xll.ciqfunctions.udf.CIQ($G168,$I168,L135,$H168,FXMode)*Scale,"n/a"))</f>
        <v>--</v>
      </c>
      <c r="M168" s="2301" t="str">
        <f>IF($G168=0,"--",IFERROR(_xll.ciqfunctions.udf.CIQ($G168,$I168,M135,$H168,FXMode)*Scale,"n/a"))</f>
        <v>--</v>
      </c>
      <c r="N168" s="2301" t="str">
        <f>IF($G168=0,"--",IFERROR(_xll.ciqfunctions.udf.CIQ($G168,$I168,N135,$H168,FXMode)*Scale,"n/a"))</f>
        <v>--</v>
      </c>
      <c r="O168" s="1471" t="str">
        <f>IF($G168=0,"--",IFERROR(_xll.ciqfunctions.udf.CIQ($G168,$I168,O135,$H168,FXMode)*Scale,"n/a"))</f>
        <v>--</v>
      </c>
      <c r="P168" s="2300" t="str">
        <f>IF($G168=0,"--",IFERROR(_xll.ciqfunctions.udf.CIQ($G168,$I168,Valuation_Date_GC,$H168,FXMode)*Scale,"n/a"))</f>
        <v>--</v>
      </c>
      <c r="R168" s="2300" t="str">
        <f>IF($G168=0,"--",IFERROR(_xll.ciqfunctions.udf.CIQ($G168,$I168,R$160,$H168,FXMode)*Scale,"n/a"))</f>
        <v>--</v>
      </c>
      <c r="AA168" s="2060"/>
      <c r="AB168" s="2060"/>
      <c r="AC168" s="2060"/>
      <c r="AD168" s="2060"/>
      <c r="AE168" s="2060"/>
      <c r="AF168" s="2060"/>
    </row>
    <row r="169" spans="1:32" s="89" customFormat="1" ht="13.9">
      <c r="A169" s="269" t="str">
        <f t="shared" si="30"/>
        <v>n</v>
      </c>
      <c r="B169" s="2060"/>
      <c r="D169" s="801"/>
      <c r="E169" s="1505">
        <v>8</v>
      </c>
      <c r="F169" s="21" t="str">
        <f>F$136</f>
        <v>--</v>
      </c>
      <c r="G169" s="2112">
        <f>G$136</f>
        <v>0</v>
      </c>
      <c r="H169" s="1441" t="str">
        <f>H$136</f>
        <v>--</v>
      </c>
      <c r="I169" s="1513" t="s">
        <v>774</v>
      </c>
      <c r="J169" s="1513"/>
      <c r="K169" s="2301" t="str">
        <f>IF($G169=0,"--",IFERROR(_xll.ciqfunctions.udf.CIQ($G169,$I169,K136,$H169,FXMode)*Scale,"n/a"))</f>
        <v>--</v>
      </c>
      <c r="L169" s="2301" t="str">
        <f>IF($G169=0,"--",IFERROR(_xll.ciqfunctions.udf.CIQ($G169,$I169,L136,$H169,FXMode)*Scale,"n/a"))</f>
        <v>--</v>
      </c>
      <c r="M169" s="2301" t="str">
        <f>IF($G169=0,"--",IFERROR(_xll.ciqfunctions.udf.CIQ($G169,$I169,M136,$H169,FXMode)*Scale,"n/a"))</f>
        <v>--</v>
      </c>
      <c r="N169" s="2301" t="str">
        <f>IF($G169=0,"--",IFERROR(_xll.ciqfunctions.udf.CIQ($G169,$I169,N136,$H169,FXMode)*Scale,"n/a"))</f>
        <v>--</v>
      </c>
      <c r="O169" s="1471" t="str">
        <f>IF($G169=0,"--",IFERROR(_xll.ciqfunctions.udf.CIQ($G169,$I169,O136,$H169,FXMode)*Scale,"n/a"))</f>
        <v>--</v>
      </c>
      <c r="P169" s="2300" t="str">
        <f>IF($G169=0,"--",IFERROR(_xll.ciqfunctions.udf.CIQ($G169,$I169,Valuation_Date_GC,$H169,FXMode)*Scale,"n/a"))</f>
        <v>--</v>
      </c>
      <c r="R169" s="2300" t="str">
        <f>IF($G169=0,"--",IFERROR(_xll.ciqfunctions.udf.CIQ($G169,$I169,R$160,$H169,FXMode)*Scale,"n/a"))</f>
        <v>--</v>
      </c>
      <c r="AA169" s="2060"/>
      <c r="AB169" s="2060"/>
      <c r="AC169" s="2060"/>
      <c r="AD169" s="2060"/>
      <c r="AE169" s="2060"/>
      <c r="AF169" s="2060"/>
    </row>
    <row r="170" spans="1:32" s="89" customFormat="1" ht="13.9">
      <c r="A170" s="269" t="str">
        <f t="shared" si="30"/>
        <v>n</v>
      </c>
      <c r="B170" s="2060"/>
      <c r="D170" s="801"/>
      <c r="E170" s="1505">
        <v>9</v>
      </c>
      <c r="F170" s="21" t="str">
        <f>F$137</f>
        <v>--</v>
      </c>
      <c r="G170" s="2112">
        <f>G$137</f>
        <v>0</v>
      </c>
      <c r="H170" s="1441" t="str">
        <f>H$137</f>
        <v>--</v>
      </c>
      <c r="I170" s="1513" t="s">
        <v>774</v>
      </c>
      <c r="J170" s="1513"/>
      <c r="K170" s="2301" t="str">
        <f>IF($G170=0,"--",IFERROR(_xll.ciqfunctions.udf.CIQ($G170,$I170,K137,$H170,FXMode)*Scale,"n/a"))</f>
        <v>--</v>
      </c>
      <c r="L170" s="2301" t="str">
        <f>IF($G170=0,"--",IFERROR(_xll.ciqfunctions.udf.CIQ($G170,$I170,L137,$H170,FXMode)*Scale,"n/a"))</f>
        <v>--</v>
      </c>
      <c r="M170" s="2301" t="str">
        <f>IF($G170=0,"--",IFERROR(_xll.ciqfunctions.udf.CIQ($G170,$I170,M137,$H170,FXMode)*Scale,"n/a"))</f>
        <v>--</v>
      </c>
      <c r="N170" s="2301" t="str">
        <f>IF($G170=0,"--",IFERROR(_xll.ciqfunctions.udf.CIQ($G170,$I170,N137,$H170,FXMode)*Scale,"n/a"))</f>
        <v>--</v>
      </c>
      <c r="O170" s="1471" t="str">
        <f>IF($G170=0,"--",IFERROR(_xll.ciqfunctions.udf.CIQ($G170,$I170,O137,$H170,FXMode)*Scale,"n/a"))</f>
        <v>--</v>
      </c>
      <c r="P170" s="2300" t="str">
        <f>IF($G170=0,"--",IFERROR(_xll.ciqfunctions.udf.CIQ($G170,$I170,Valuation_Date_GC,$H170,FXMode)*Scale,"n/a"))</f>
        <v>--</v>
      </c>
      <c r="R170" s="2300" t="str">
        <f>IF($G170=0,"--",IFERROR(_xll.ciqfunctions.udf.CIQ($G170,$I170,R$160,$H170,FXMode)*Scale,"n/a"))</f>
        <v>--</v>
      </c>
      <c r="AA170" s="2060"/>
      <c r="AB170" s="2060"/>
      <c r="AC170" s="2060"/>
      <c r="AD170" s="2060"/>
      <c r="AE170" s="2060"/>
      <c r="AF170" s="2060"/>
    </row>
    <row r="171" spans="1:32" s="89" customFormat="1" ht="13.9">
      <c r="A171" s="269" t="str">
        <f t="shared" si="30"/>
        <v>n</v>
      </c>
      <c r="B171" s="2060"/>
      <c r="D171" s="801"/>
      <c r="E171" s="1505">
        <v>10</v>
      </c>
      <c r="F171" s="21" t="str">
        <f>F$138</f>
        <v>--</v>
      </c>
      <c r="G171" s="2112">
        <f>G$138</f>
        <v>0</v>
      </c>
      <c r="H171" s="1441" t="str">
        <f>H$138</f>
        <v>--</v>
      </c>
      <c r="I171" s="1513" t="s">
        <v>774</v>
      </c>
      <c r="J171" s="1513"/>
      <c r="K171" s="2301" t="str">
        <f>IF($G171=0,"--",IFERROR(_xll.ciqfunctions.udf.CIQ($G171,$I171,K138,$H171,FXMode)*Scale,"n/a"))</f>
        <v>--</v>
      </c>
      <c r="L171" s="2301" t="str">
        <f>IF($G171=0,"--",IFERROR(_xll.ciqfunctions.udf.CIQ($G171,$I171,L138,$H171,FXMode)*Scale,"n/a"))</f>
        <v>--</v>
      </c>
      <c r="M171" s="2301" t="str">
        <f>IF($G171=0,"--",IFERROR(_xll.ciqfunctions.udf.CIQ($G171,$I171,M138,$H171,FXMode)*Scale,"n/a"))</f>
        <v>--</v>
      </c>
      <c r="N171" s="2301" t="str">
        <f>IF($G171=0,"--",IFERROR(_xll.ciqfunctions.udf.CIQ($G171,$I171,N138,$H171,FXMode)*Scale,"n/a"))</f>
        <v>--</v>
      </c>
      <c r="O171" s="1471" t="str">
        <f>IF($G171=0,"--",IFERROR(_xll.ciqfunctions.udf.CIQ($G171,$I171,O138,$H171,FXMode)*Scale,"n/a"))</f>
        <v>--</v>
      </c>
      <c r="P171" s="2300" t="str">
        <f>IF($G171=0,"--",IFERROR(_xll.ciqfunctions.udf.CIQ($G171,$I171,Valuation_Date_GC,$H171,FXMode)*Scale,"n/a"))</f>
        <v>--</v>
      </c>
      <c r="R171" s="2300" t="str">
        <f>IF($G171=0,"--",IFERROR(_xll.ciqfunctions.udf.CIQ($G171,$I171,R$160,$H171,FXMode)*Scale,"n/a"))</f>
        <v>--</v>
      </c>
      <c r="AA171" s="2060"/>
      <c r="AB171" s="2060"/>
      <c r="AC171" s="2060"/>
      <c r="AD171" s="2060"/>
      <c r="AE171" s="2060"/>
      <c r="AF171" s="2060"/>
    </row>
    <row r="172" spans="1:32" s="89" customFormat="1" ht="13.9">
      <c r="A172" s="269" t="str">
        <f t="shared" si="30"/>
        <v>n</v>
      </c>
      <c r="B172" s="2060"/>
      <c r="D172" s="801"/>
      <c r="E172" s="1505">
        <v>11</v>
      </c>
      <c r="F172" s="21" t="str">
        <f>F$139</f>
        <v>--</v>
      </c>
      <c r="G172" s="2112">
        <f>G$139</f>
        <v>0</v>
      </c>
      <c r="H172" s="1441" t="str">
        <f>H$139</f>
        <v>--</v>
      </c>
      <c r="I172" s="1513" t="s">
        <v>774</v>
      </c>
      <c r="J172" s="1513"/>
      <c r="K172" s="2301" t="str">
        <f>IF($G172=0,"--",IFERROR(_xll.ciqfunctions.udf.CIQ($G172,$I172,K139,$H172,FXMode)*Scale,"n/a"))</f>
        <v>--</v>
      </c>
      <c r="L172" s="2301" t="str">
        <f>IF($G172=0,"--",IFERROR(_xll.ciqfunctions.udf.CIQ($G172,$I172,L139,$H172,FXMode)*Scale,"n/a"))</f>
        <v>--</v>
      </c>
      <c r="M172" s="2301" t="str">
        <f>IF($G172=0,"--",IFERROR(_xll.ciqfunctions.udf.CIQ($G172,$I172,M139,$H172,FXMode)*Scale,"n/a"))</f>
        <v>--</v>
      </c>
      <c r="N172" s="2301" t="str">
        <f>IF($G172=0,"--",IFERROR(_xll.ciqfunctions.udf.CIQ($G172,$I172,N139,$H172,FXMode)*Scale,"n/a"))</f>
        <v>--</v>
      </c>
      <c r="O172" s="1471" t="str">
        <f>IF($G172=0,"--",IFERROR(_xll.ciqfunctions.udf.CIQ($G172,$I172,O139,$H172,FXMode)*Scale,"n/a"))</f>
        <v>--</v>
      </c>
      <c r="P172" s="2300" t="str">
        <f>IF($G172=0,"--",IFERROR(_xll.ciqfunctions.udf.CIQ($G172,$I172,Valuation_Date_GC,$H172,FXMode)*Scale,"n/a"))</f>
        <v>--</v>
      </c>
      <c r="R172" s="2300" t="str">
        <f>IF($G172=0,"--",IFERROR(_xll.ciqfunctions.udf.CIQ($G172,$I172,R$160,$H172,FXMode)*Scale,"n/a"))</f>
        <v>--</v>
      </c>
      <c r="AA172" s="2060"/>
      <c r="AB172" s="2060"/>
      <c r="AC172" s="2060"/>
      <c r="AD172" s="2060"/>
      <c r="AE172" s="2060"/>
      <c r="AF172" s="2060"/>
    </row>
    <row r="173" spans="1:32" s="89" customFormat="1" ht="13.9">
      <c r="A173" s="269" t="str">
        <f t="shared" si="30"/>
        <v>n</v>
      </c>
      <c r="B173" s="2060"/>
      <c r="D173" s="801"/>
      <c r="E173" s="1505">
        <v>12</v>
      </c>
      <c r="F173" s="21" t="str">
        <f>F$140</f>
        <v>--</v>
      </c>
      <c r="G173" s="2112">
        <f>G$140</f>
        <v>0</v>
      </c>
      <c r="H173" s="1441" t="str">
        <f>H$140</f>
        <v>--</v>
      </c>
      <c r="I173" s="1513" t="s">
        <v>774</v>
      </c>
      <c r="J173" s="1513"/>
      <c r="K173" s="2301" t="str">
        <f>IF($G173=0,"--",IFERROR(_xll.ciqfunctions.udf.CIQ($G173,$I173,K140,$H173,FXMode)*Scale,"n/a"))</f>
        <v>--</v>
      </c>
      <c r="L173" s="2301" t="str">
        <f>IF($G173=0,"--",IFERROR(_xll.ciqfunctions.udf.CIQ($G173,$I173,L140,$H173,FXMode)*Scale,"n/a"))</f>
        <v>--</v>
      </c>
      <c r="M173" s="2301" t="str">
        <f>IF($G173=0,"--",IFERROR(_xll.ciqfunctions.udf.CIQ($G173,$I173,M140,$H173,FXMode)*Scale,"n/a"))</f>
        <v>--</v>
      </c>
      <c r="N173" s="2301" t="str">
        <f>IF($G173=0,"--",IFERROR(_xll.ciqfunctions.udf.CIQ($G173,$I173,N140,$H173,FXMode)*Scale,"n/a"))</f>
        <v>--</v>
      </c>
      <c r="O173" s="1471" t="str">
        <f>IF($G173=0,"--",IFERROR(_xll.ciqfunctions.udf.CIQ($G173,$I173,O140,$H173,FXMode)*Scale,"n/a"))</f>
        <v>--</v>
      </c>
      <c r="P173" s="2300" t="str">
        <f>IF($G173=0,"--",IFERROR(_xll.ciqfunctions.udf.CIQ($G173,$I173,Valuation_Date_GC,$H173,FXMode)*Scale,"n/a"))</f>
        <v>--</v>
      </c>
      <c r="R173" s="2300" t="str">
        <f>IF($G173=0,"--",IFERROR(_xll.ciqfunctions.udf.CIQ($G173,$I173,R$160,$H173,FXMode)*Scale,"n/a"))</f>
        <v>--</v>
      </c>
      <c r="AA173" s="2060"/>
      <c r="AB173" s="2060"/>
      <c r="AC173" s="2060"/>
      <c r="AD173" s="2060"/>
      <c r="AE173" s="2060"/>
      <c r="AF173" s="2060"/>
    </row>
    <row r="174" spans="1:32" s="89" customFormat="1" ht="13.9">
      <c r="A174" s="269" t="str">
        <f t="shared" si="30"/>
        <v>n</v>
      </c>
      <c r="B174" s="2060"/>
      <c r="D174" s="801"/>
      <c r="E174" s="1505">
        <v>13</v>
      </c>
      <c r="F174" s="21" t="str">
        <f>F$141</f>
        <v>--</v>
      </c>
      <c r="G174" s="2112">
        <f>G$141</f>
        <v>0</v>
      </c>
      <c r="H174" s="1441" t="str">
        <f>H$141</f>
        <v>--</v>
      </c>
      <c r="I174" s="1513" t="s">
        <v>774</v>
      </c>
      <c r="J174" s="1513"/>
      <c r="K174" s="2301" t="str">
        <f>IF($G174=0,"--",IFERROR(_xll.ciqfunctions.udf.CIQ($G174,$I174,K141,$H174,FXMode)*Scale,"n/a"))</f>
        <v>--</v>
      </c>
      <c r="L174" s="2301" t="str">
        <f>IF($G174=0,"--",IFERROR(_xll.ciqfunctions.udf.CIQ($G174,$I174,L141,$H174,FXMode)*Scale,"n/a"))</f>
        <v>--</v>
      </c>
      <c r="M174" s="2301" t="str">
        <f>IF($G174=0,"--",IFERROR(_xll.ciqfunctions.udf.CIQ($G174,$I174,M141,$H174,FXMode)*Scale,"n/a"))</f>
        <v>--</v>
      </c>
      <c r="N174" s="2301" t="str">
        <f>IF($G174=0,"--",IFERROR(_xll.ciqfunctions.udf.CIQ($G174,$I174,N141,$H174,FXMode)*Scale,"n/a"))</f>
        <v>--</v>
      </c>
      <c r="O174" s="1471" t="str">
        <f>IF($G174=0,"--",IFERROR(_xll.ciqfunctions.udf.CIQ($G174,$I174,O141,$H174,FXMode)*Scale,"n/a"))</f>
        <v>--</v>
      </c>
      <c r="P174" s="2300" t="str">
        <f>IF($G174=0,"--",IFERROR(_xll.ciqfunctions.udf.CIQ($G174,$I174,Valuation_Date_GC,$H174,FXMode)*Scale,"n/a"))</f>
        <v>--</v>
      </c>
      <c r="R174" s="2300" t="str">
        <f>IF($G174=0,"--",IFERROR(_xll.ciqfunctions.udf.CIQ($G174,$I174,R$160,$H174,FXMode)*Scale,"n/a"))</f>
        <v>--</v>
      </c>
      <c r="AA174" s="2060"/>
      <c r="AB174" s="2060"/>
      <c r="AC174" s="2060"/>
      <c r="AD174" s="2060"/>
      <c r="AE174" s="2060"/>
      <c r="AF174" s="2060"/>
    </row>
    <row r="175" spans="1:32" s="89" customFormat="1" ht="13.9">
      <c r="A175" s="269" t="str">
        <f t="shared" si="30"/>
        <v>n</v>
      </c>
      <c r="B175" s="2060"/>
      <c r="D175" s="801"/>
      <c r="E175" s="1505">
        <v>14</v>
      </c>
      <c r="F175" s="21" t="str">
        <f>F$142</f>
        <v>--</v>
      </c>
      <c r="G175" s="2112">
        <f>G$142</f>
        <v>0</v>
      </c>
      <c r="H175" s="1441" t="str">
        <f>H$142</f>
        <v>--</v>
      </c>
      <c r="I175" s="1513" t="s">
        <v>774</v>
      </c>
      <c r="J175" s="1513"/>
      <c r="K175" s="2301" t="str">
        <f>IF($G175=0,"--",IFERROR(_xll.ciqfunctions.udf.CIQ($G175,$I175,K142,$H175,FXMode)*Scale,"n/a"))</f>
        <v>--</v>
      </c>
      <c r="L175" s="2301" t="str">
        <f>IF($G175=0,"--",IFERROR(_xll.ciqfunctions.udf.CIQ($G175,$I175,L142,$H175,FXMode)*Scale,"n/a"))</f>
        <v>--</v>
      </c>
      <c r="M175" s="2301" t="str">
        <f>IF($G175=0,"--",IFERROR(_xll.ciqfunctions.udf.CIQ($G175,$I175,M142,$H175,FXMode)*Scale,"n/a"))</f>
        <v>--</v>
      </c>
      <c r="N175" s="2301" t="str">
        <f>IF($G175=0,"--",IFERROR(_xll.ciqfunctions.udf.CIQ($G175,$I175,N142,$H175,FXMode)*Scale,"n/a"))</f>
        <v>--</v>
      </c>
      <c r="O175" s="1471" t="str">
        <f>IF($G175=0,"--",IFERROR(_xll.ciqfunctions.udf.CIQ($G175,$I175,O142,$H175,FXMode)*Scale,"n/a"))</f>
        <v>--</v>
      </c>
      <c r="P175" s="2300" t="str">
        <f>IF($G175=0,"--",IFERROR(_xll.ciqfunctions.udf.CIQ($G175,$I175,Valuation_Date_GC,$H175,FXMode)*Scale,"n/a"))</f>
        <v>--</v>
      </c>
      <c r="R175" s="2300" t="str">
        <f>IF($G175=0,"--",IFERROR(_xll.ciqfunctions.udf.CIQ($G175,$I175,R$160,$H175,FXMode)*Scale,"n/a"))</f>
        <v>--</v>
      </c>
      <c r="AA175" s="2060"/>
      <c r="AB175" s="2060"/>
      <c r="AC175" s="2060"/>
      <c r="AD175" s="2060"/>
      <c r="AE175" s="2060"/>
      <c r="AF175" s="2060"/>
    </row>
    <row r="176" spans="1:32" s="89" customFormat="1" ht="13.9">
      <c r="A176" s="269" t="str">
        <f t="shared" si="30"/>
        <v>n</v>
      </c>
      <c r="B176" s="2060"/>
      <c r="D176" s="801"/>
      <c r="E176" s="1505">
        <v>15</v>
      </c>
      <c r="F176" s="21" t="str">
        <f>F$143</f>
        <v>--</v>
      </c>
      <c r="G176" s="2112">
        <f>G$143</f>
        <v>0</v>
      </c>
      <c r="H176" s="1441" t="str">
        <f>H$143</f>
        <v>--</v>
      </c>
      <c r="I176" s="1513" t="s">
        <v>774</v>
      </c>
      <c r="J176" s="1513"/>
      <c r="K176" s="2301" t="str">
        <f>IF($G176=0,"--",IFERROR(_xll.ciqfunctions.udf.CIQ($G176,$I176,K143,$H176,FXMode)*Scale,"n/a"))</f>
        <v>--</v>
      </c>
      <c r="L176" s="2301" t="str">
        <f>IF($G176=0,"--",IFERROR(_xll.ciqfunctions.udf.CIQ($G176,$I176,L143,$H176,FXMode)*Scale,"n/a"))</f>
        <v>--</v>
      </c>
      <c r="M176" s="2301" t="str">
        <f>IF($G176=0,"--",IFERROR(_xll.ciqfunctions.udf.CIQ($G176,$I176,M143,$H176,FXMode)*Scale,"n/a"))</f>
        <v>--</v>
      </c>
      <c r="N176" s="2301" t="str">
        <f>IF($G176=0,"--",IFERROR(_xll.ciqfunctions.udf.CIQ($G176,$I176,N143,$H176,FXMode)*Scale,"n/a"))</f>
        <v>--</v>
      </c>
      <c r="O176" s="1471" t="str">
        <f>IF($G176=0,"--",IFERROR(_xll.ciqfunctions.udf.CIQ($G176,$I176,O143,$H176,FXMode)*Scale,"n/a"))</f>
        <v>--</v>
      </c>
      <c r="P176" s="2300" t="str">
        <f>IF($G176=0,"--",IFERROR(_xll.ciqfunctions.udf.CIQ($G176,$I176,Valuation_Date_GC,$H176,FXMode)*Scale,"n/a"))</f>
        <v>--</v>
      </c>
      <c r="R176" s="2300" t="str">
        <f>IF($G176=0,"--",IFERROR(_xll.ciqfunctions.udf.CIQ($G176,$I176,R$160,$H176,FXMode)*Scale,"n/a"))</f>
        <v>--</v>
      </c>
      <c r="AA176" s="2060"/>
      <c r="AB176" s="2060"/>
      <c r="AC176" s="2060"/>
      <c r="AD176" s="2060"/>
      <c r="AE176" s="2060"/>
      <c r="AF176" s="2060"/>
    </row>
    <row r="177" spans="1:32" s="89" customFormat="1" ht="13.9">
      <c r="A177" s="269" t="str">
        <f t="shared" si="30"/>
        <v>n</v>
      </c>
      <c r="B177" s="2060"/>
      <c r="D177" s="801"/>
      <c r="E177" s="1505">
        <v>16</v>
      </c>
      <c r="F177" s="21" t="str">
        <f>F$144</f>
        <v>--</v>
      </c>
      <c r="G177" s="2112">
        <f>G$144</f>
        <v>0</v>
      </c>
      <c r="H177" s="1441" t="str">
        <f>H$144</f>
        <v>--</v>
      </c>
      <c r="I177" s="1513" t="s">
        <v>774</v>
      </c>
      <c r="J177" s="1513"/>
      <c r="K177" s="2301" t="str">
        <f>IF($G177=0,"--",IFERROR(_xll.ciqfunctions.udf.CIQ($G177,$I177,K144,$H177,FXMode)*Scale,"n/a"))</f>
        <v>--</v>
      </c>
      <c r="L177" s="2301" t="str">
        <f>IF($G177=0,"--",IFERROR(_xll.ciqfunctions.udf.CIQ($G177,$I177,L144,$H177,FXMode)*Scale,"n/a"))</f>
        <v>--</v>
      </c>
      <c r="M177" s="2301" t="str">
        <f>IF($G177=0,"--",IFERROR(_xll.ciqfunctions.udf.CIQ($G177,$I177,M144,$H177,FXMode)*Scale,"n/a"))</f>
        <v>--</v>
      </c>
      <c r="N177" s="2301" t="str">
        <f>IF($G177=0,"--",IFERROR(_xll.ciqfunctions.udf.CIQ($G177,$I177,N144,$H177,FXMode)*Scale,"n/a"))</f>
        <v>--</v>
      </c>
      <c r="O177" s="1471" t="str">
        <f>IF($G177=0,"--",IFERROR(_xll.ciqfunctions.udf.CIQ($G177,$I177,O144,$H177,FXMode)*Scale,"n/a"))</f>
        <v>--</v>
      </c>
      <c r="P177" s="2300" t="str">
        <f>IF($G177=0,"--",IFERROR(_xll.ciqfunctions.udf.CIQ($G177,$I177,Valuation_Date_GC,$H177,FXMode)*Scale,"n/a"))</f>
        <v>--</v>
      </c>
      <c r="R177" s="2300" t="str">
        <f>IF($G177=0,"--",IFERROR(_xll.ciqfunctions.udf.CIQ($G177,$I177,R$160,$H177,FXMode)*Scale,"n/a"))</f>
        <v>--</v>
      </c>
      <c r="AA177" s="2060"/>
      <c r="AB177" s="2060"/>
      <c r="AC177" s="2060"/>
      <c r="AD177" s="2060"/>
      <c r="AE177" s="2060"/>
      <c r="AF177" s="2060"/>
    </row>
    <row r="178" spans="1:32" s="89" customFormat="1" ht="13.9">
      <c r="A178" s="269" t="str">
        <f t="shared" si="30"/>
        <v>n</v>
      </c>
      <c r="B178" s="2060"/>
      <c r="D178" s="801"/>
      <c r="E178" s="1505">
        <v>17</v>
      </c>
      <c r="F178" s="21" t="str">
        <f>F$145</f>
        <v>--</v>
      </c>
      <c r="G178" s="2112">
        <f>G$145</f>
        <v>0</v>
      </c>
      <c r="H178" s="1441" t="str">
        <f>H$145</f>
        <v>--</v>
      </c>
      <c r="I178" s="1513" t="s">
        <v>774</v>
      </c>
      <c r="J178" s="1513"/>
      <c r="K178" s="2301" t="str">
        <f>IF($G178=0,"--",IFERROR(_xll.ciqfunctions.udf.CIQ($G178,$I178,K145,$H178,FXMode)*Scale,"n/a"))</f>
        <v>--</v>
      </c>
      <c r="L178" s="2301" t="str">
        <f>IF($G178=0,"--",IFERROR(_xll.ciqfunctions.udf.CIQ($G178,$I178,L145,$H178,FXMode)*Scale,"n/a"))</f>
        <v>--</v>
      </c>
      <c r="M178" s="2301" t="str">
        <f>IF($G178=0,"--",IFERROR(_xll.ciqfunctions.udf.CIQ($G178,$I178,M145,$H178,FXMode)*Scale,"n/a"))</f>
        <v>--</v>
      </c>
      <c r="N178" s="2301" t="str">
        <f>IF($G178=0,"--",IFERROR(_xll.ciqfunctions.udf.CIQ($G178,$I178,N145,$H178,FXMode)*Scale,"n/a"))</f>
        <v>--</v>
      </c>
      <c r="O178" s="1471" t="str">
        <f>IF($G178=0,"--",IFERROR(_xll.ciqfunctions.udf.CIQ($G178,$I178,O145,$H178,FXMode)*Scale,"n/a"))</f>
        <v>--</v>
      </c>
      <c r="P178" s="2300" t="str">
        <f>IF($G178=0,"--",IFERROR(_xll.ciqfunctions.udf.CIQ($G178,$I178,Valuation_Date_GC,$H178,FXMode)*Scale,"n/a"))</f>
        <v>--</v>
      </c>
      <c r="R178" s="2300" t="str">
        <f>IF($G178=0,"--",IFERROR(_xll.ciqfunctions.udf.CIQ($G178,$I178,R$160,$H178,FXMode)*Scale,"n/a"))</f>
        <v>--</v>
      </c>
      <c r="AA178" s="2060"/>
      <c r="AB178" s="2060"/>
      <c r="AC178" s="2060"/>
      <c r="AD178" s="2060"/>
      <c r="AE178" s="2060"/>
      <c r="AF178" s="2060"/>
    </row>
    <row r="179" spans="1:32" s="89" customFormat="1" ht="13.9">
      <c r="A179" s="269" t="str">
        <f t="shared" si="30"/>
        <v>n</v>
      </c>
      <c r="B179" s="2060"/>
      <c r="D179" s="801"/>
      <c r="E179" s="1505">
        <v>18</v>
      </c>
      <c r="F179" s="21" t="str">
        <f>F$146</f>
        <v>--</v>
      </c>
      <c r="G179" s="2112">
        <f>G$146</f>
        <v>0</v>
      </c>
      <c r="H179" s="1441" t="str">
        <f>H$146</f>
        <v>--</v>
      </c>
      <c r="I179" s="1513" t="s">
        <v>774</v>
      </c>
      <c r="J179" s="1513"/>
      <c r="K179" s="2301" t="str">
        <f>IF($G179=0,"--",IFERROR(_xll.ciqfunctions.udf.CIQ($G179,$I179,K146,$H179,FXMode)*Scale,"n/a"))</f>
        <v>--</v>
      </c>
      <c r="L179" s="2301" t="str">
        <f>IF($G179=0,"--",IFERROR(_xll.ciqfunctions.udf.CIQ($G179,$I179,L146,$H179,FXMode)*Scale,"n/a"))</f>
        <v>--</v>
      </c>
      <c r="M179" s="2301" t="str">
        <f>IF($G179=0,"--",IFERROR(_xll.ciqfunctions.udf.CIQ($G179,$I179,M146,$H179,FXMode)*Scale,"n/a"))</f>
        <v>--</v>
      </c>
      <c r="N179" s="2301" t="str">
        <f>IF($G179=0,"--",IFERROR(_xll.ciqfunctions.udf.CIQ($G179,$I179,N146,$H179,FXMode)*Scale,"n/a"))</f>
        <v>--</v>
      </c>
      <c r="O179" s="1471" t="str">
        <f>IF($G179=0,"--",IFERROR(_xll.ciqfunctions.udf.CIQ($G179,$I179,O146,$H179,FXMode)*Scale,"n/a"))</f>
        <v>--</v>
      </c>
      <c r="P179" s="2300" t="str">
        <f>IF($G179=0,"--",IFERROR(_xll.ciqfunctions.udf.CIQ($G179,$I179,Valuation_Date_GC,$H179,FXMode)*Scale,"n/a"))</f>
        <v>--</v>
      </c>
      <c r="R179" s="2300" t="str">
        <f>IF($G179=0,"--",IFERROR(_xll.ciqfunctions.udf.CIQ($G179,$I179,R$160,$H179,FXMode)*Scale,"n/a"))</f>
        <v>--</v>
      </c>
      <c r="AA179" s="2060"/>
      <c r="AB179" s="2060"/>
      <c r="AC179" s="2060"/>
      <c r="AD179" s="2060"/>
      <c r="AE179" s="2060"/>
      <c r="AF179" s="2060"/>
    </row>
    <row r="180" spans="1:32" s="89" customFormat="1" ht="13.9">
      <c r="A180" s="269" t="str">
        <f t="shared" si="30"/>
        <v>n</v>
      </c>
      <c r="B180" s="2060"/>
      <c r="D180" s="801"/>
      <c r="E180" s="1505">
        <v>19</v>
      </c>
      <c r="F180" s="21" t="str">
        <f>F$147</f>
        <v>--</v>
      </c>
      <c r="G180" s="2112">
        <f>G$147</f>
        <v>0</v>
      </c>
      <c r="H180" s="1441" t="str">
        <f>H$147</f>
        <v>--</v>
      </c>
      <c r="I180" s="1513" t="s">
        <v>774</v>
      </c>
      <c r="J180" s="1513"/>
      <c r="K180" s="2301" t="str">
        <f>IF($G180=0,"--",IFERROR(_xll.ciqfunctions.udf.CIQ($G180,$I180,K147,$H180,FXMode)*Scale,"n/a"))</f>
        <v>--</v>
      </c>
      <c r="L180" s="2301" t="str">
        <f>IF($G180=0,"--",IFERROR(_xll.ciqfunctions.udf.CIQ($G180,$I180,L147,$H180,FXMode)*Scale,"n/a"))</f>
        <v>--</v>
      </c>
      <c r="M180" s="2301" t="str">
        <f>IF($G180=0,"--",IFERROR(_xll.ciqfunctions.udf.CIQ($G180,$I180,M147,$H180,FXMode)*Scale,"n/a"))</f>
        <v>--</v>
      </c>
      <c r="N180" s="2301" t="str">
        <f>IF($G180=0,"--",IFERROR(_xll.ciqfunctions.udf.CIQ($G180,$I180,N147,$H180,FXMode)*Scale,"n/a"))</f>
        <v>--</v>
      </c>
      <c r="O180" s="1471" t="str">
        <f>IF($G180=0,"--",IFERROR(_xll.ciqfunctions.udf.CIQ($G180,$I180,O147,$H180,FXMode)*Scale,"n/a"))</f>
        <v>--</v>
      </c>
      <c r="P180" s="2300" t="str">
        <f>IF($G180=0,"--",IFERROR(_xll.ciqfunctions.udf.CIQ($G180,$I180,Valuation_Date_GC,$H180,FXMode)*Scale,"n/a"))</f>
        <v>--</v>
      </c>
      <c r="R180" s="2300" t="str">
        <f>IF($G180=0,"--",IFERROR(_xll.ciqfunctions.udf.CIQ($G180,$I180,R$160,$H180,FXMode)*Scale,"n/a"))</f>
        <v>--</v>
      </c>
      <c r="AA180" s="2060"/>
      <c r="AB180" s="2060"/>
      <c r="AC180" s="2060"/>
      <c r="AD180" s="2060"/>
      <c r="AE180" s="2060"/>
      <c r="AF180" s="2060"/>
    </row>
    <row r="181" spans="1:32" s="89" customFormat="1" ht="13.9">
      <c r="A181" s="269" t="str">
        <f t="shared" si="30"/>
        <v>n</v>
      </c>
      <c r="B181" s="2060"/>
      <c r="D181" s="801"/>
      <c r="E181" s="1505">
        <v>20</v>
      </c>
      <c r="F181" s="21" t="str">
        <f>F$148</f>
        <v>--</v>
      </c>
      <c r="G181" s="2112">
        <f>G$148</f>
        <v>0</v>
      </c>
      <c r="H181" s="1441" t="str">
        <f>H$148</f>
        <v>--</v>
      </c>
      <c r="I181" s="1513" t="s">
        <v>774</v>
      </c>
      <c r="J181" s="1513"/>
      <c r="K181" s="2301" t="str">
        <f>IF($G181=0,"--",IFERROR(_xll.ciqfunctions.udf.CIQ($G181,$I181,K148,$H181,FXMode)*Scale,"n/a"))</f>
        <v>--</v>
      </c>
      <c r="L181" s="2301" t="str">
        <f>IF($G181=0,"--",IFERROR(_xll.ciqfunctions.udf.CIQ($G181,$I181,L148,$H181,FXMode)*Scale,"n/a"))</f>
        <v>--</v>
      </c>
      <c r="M181" s="2301" t="str">
        <f>IF($G181=0,"--",IFERROR(_xll.ciqfunctions.udf.CIQ($G181,$I181,M148,$H181,FXMode)*Scale,"n/a"))</f>
        <v>--</v>
      </c>
      <c r="N181" s="2301" t="str">
        <f>IF($G181=0,"--",IFERROR(_xll.ciqfunctions.udf.CIQ($G181,$I181,N148,$H181,FXMode)*Scale,"n/a"))</f>
        <v>--</v>
      </c>
      <c r="O181" s="1471" t="str">
        <f>IF($G181=0,"--",IFERROR(_xll.ciqfunctions.udf.CIQ($G181,$I181,O148,$H181,FXMode)*Scale,"n/a"))</f>
        <v>--</v>
      </c>
      <c r="P181" s="2300" t="str">
        <f>IF($G181=0,"--",IFERROR(_xll.ciqfunctions.udf.CIQ($G181,$I181,Valuation_Date_GC,$H181,FXMode)*Scale,"n/a"))</f>
        <v>--</v>
      </c>
      <c r="R181" s="2300" t="str">
        <f>IF($G181=0,"--",IFERROR(_xll.ciqfunctions.udf.CIQ($G181,$I181,R$160,$H181,FXMode)*Scale,"n/a"))</f>
        <v>--</v>
      </c>
      <c r="AA181" s="2060"/>
      <c r="AB181" s="2060"/>
      <c r="AC181" s="2060"/>
      <c r="AD181" s="2060"/>
      <c r="AE181" s="2060"/>
      <c r="AF181" s="2060"/>
    </row>
    <row r="182" spans="1:32" s="89" customFormat="1" ht="13.9">
      <c r="A182" s="269" t="str">
        <f t="shared" si="30"/>
        <v>n</v>
      </c>
      <c r="B182" s="2060"/>
      <c r="D182" s="801"/>
      <c r="E182" s="1505">
        <v>21</v>
      </c>
      <c r="F182" s="21" t="str">
        <f>F$149</f>
        <v>--</v>
      </c>
      <c r="G182" s="2112">
        <f>G$149</f>
        <v>0</v>
      </c>
      <c r="H182" s="1441" t="str">
        <f>H$149</f>
        <v>--</v>
      </c>
      <c r="I182" s="1513" t="s">
        <v>774</v>
      </c>
      <c r="J182" s="1513"/>
      <c r="K182" s="2301" t="str">
        <f>IF($G182=0,"--",IFERROR(_xll.ciqfunctions.udf.CIQ($G182,$I182,K149,$H182,FXMode)*Scale,"n/a"))</f>
        <v>--</v>
      </c>
      <c r="L182" s="2301" t="str">
        <f>IF($G182=0,"--",IFERROR(_xll.ciqfunctions.udf.CIQ($G182,$I182,L149,$H182,FXMode)*Scale,"n/a"))</f>
        <v>--</v>
      </c>
      <c r="M182" s="2301" t="str">
        <f>IF($G182=0,"--",IFERROR(_xll.ciqfunctions.udf.CIQ($G182,$I182,M149,$H182,FXMode)*Scale,"n/a"))</f>
        <v>--</v>
      </c>
      <c r="N182" s="2301" t="str">
        <f>IF($G182=0,"--",IFERROR(_xll.ciqfunctions.udf.CIQ($G182,$I182,N149,$H182,FXMode)*Scale,"n/a"))</f>
        <v>--</v>
      </c>
      <c r="O182" s="1471" t="str">
        <f>IF($G182=0,"--",IFERROR(_xll.ciqfunctions.udf.CIQ($G182,$I182,O149,$H182,FXMode)*Scale,"n/a"))</f>
        <v>--</v>
      </c>
      <c r="P182" s="2300" t="str">
        <f>IF($G182=0,"--",IFERROR(_xll.ciqfunctions.udf.CIQ($G182,$I182,Valuation_Date_GC,$H182,FXMode)*Scale,"n/a"))</f>
        <v>--</v>
      </c>
      <c r="R182" s="2300" t="str">
        <f>IF($G182=0,"--",IFERROR(_xll.ciqfunctions.udf.CIQ($G182,$I182,R$160,$H182,FXMode)*Scale,"n/a"))</f>
        <v>--</v>
      </c>
      <c r="AA182" s="2060"/>
      <c r="AB182" s="2060"/>
      <c r="AC182" s="2060"/>
      <c r="AD182" s="2060"/>
      <c r="AE182" s="2060"/>
      <c r="AF182" s="2060"/>
    </row>
    <row r="183" spans="1:32" s="89" customFormat="1" ht="13.9">
      <c r="A183" s="269" t="str">
        <f t="shared" si="30"/>
        <v>n</v>
      </c>
      <c r="B183" s="2060"/>
      <c r="D183" s="801"/>
      <c r="E183" s="1505">
        <v>22</v>
      </c>
      <c r="F183" s="21" t="str">
        <f>F$150</f>
        <v>--</v>
      </c>
      <c r="G183" s="2112">
        <f>G$150</f>
        <v>0</v>
      </c>
      <c r="H183" s="1441" t="str">
        <f>H$150</f>
        <v>--</v>
      </c>
      <c r="I183" s="1513" t="s">
        <v>774</v>
      </c>
      <c r="J183" s="1513"/>
      <c r="K183" s="2301" t="str">
        <f>IF($G183=0,"--",IFERROR(_xll.ciqfunctions.udf.CIQ($G183,$I183,K150,$H183,FXMode)*Scale,"n/a"))</f>
        <v>--</v>
      </c>
      <c r="L183" s="2301" t="str">
        <f>IF($G183=0,"--",IFERROR(_xll.ciqfunctions.udf.CIQ($G183,$I183,L150,$H183,FXMode)*Scale,"n/a"))</f>
        <v>--</v>
      </c>
      <c r="M183" s="2301" t="str">
        <f>IF($G183=0,"--",IFERROR(_xll.ciqfunctions.udf.CIQ($G183,$I183,M150,$H183,FXMode)*Scale,"n/a"))</f>
        <v>--</v>
      </c>
      <c r="N183" s="2301" t="str">
        <f>IF($G183=0,"--",IFERROR(_xll.ciqfunctions.udf.CIQ($G183,$I183,N150,$H183,FXMode)*Scale,"n/a"))</f>
        <v>--</v>
      </c>
      <c r="O183" s="1471" t="str">
        <f>IF($G183=0,"--",IFERROR(_xll.ciqfunctions.udf.CIQ($G183,$I183,O150,$H183,FXMode)*Scale,"n/a"))</f>
        <v>--</v>
      </c>
      <c r="P183" s="2300" t="str">
        <f>IF($G183=0,"--",IFERROR(_xll.ciqfunctions.udf.CIQ($G183,$I183,Valuation_Date_GC,$H183,FXMode)*Scale,"n/a"))</f>
        <v>--</v>
      </c>
      <c r="R183" s="2300" t="str">
        <f>IF($G183=0,"--",IFERROR(_xll.ciqfunctions.udf.CIQ($G183,$I183,R$160,$H183,FXMode)*Scale,"n/a"))</f>
        <v>--</v>
      </c>
      <c r="AA183" s="2060"/>
      <c r="AB183" s="2060"/>
      <c r="AC183" s="2060"/>
      <c r="AD183" s="2060"/>
      <c r="AE183" s="2060"/>
      <c r="AF183" s="2060"/>
    </row>
    <row r="184" spans="1:32" s="89" customFormat="1" ht="13.9">
      <c r="A184" s="269" t="str">
        <f t="shared" si="30"/>
        <v>n</v>
      </c>
      <c r="B184" s="2060"/>
      <c r="D184" s="801"/>
      <c r="E184" s="1505">
        <v>23</v>
      </c>
      <c r="F184" s="21" t="str">
        <f>F$151</f>
        <v>--</v>
      </c>
      <c r="G184" s="2112">
        <f>G$151</f>
        <v>0</v>
      </c>
      <c r="H184" s="1441" t="str">
        <f>H$151</f>
        <v>--</v>
      </c>
      <c r="I184" s="1513" t="s">
        <v>774</v>
      </c>
      <c r="J184" s="1513"/>
      <c r="K184" s="2301" t="str">
        <f>IF($G184=0,"--",IFERROR(_xll.ciqfunctions.udf.CIQ($G184,$I184,K151,$H184,FXMode)*Scale,"n/a"))</f>
        <v>--</v>
      </c>
      <c r="L184" s="2301" t="str">
        <f>IF($G184=0,"--",IFERROR(_xll.ciqfunctions.udf.CIQ($G184,$I184,L151,$H184,FXMode)*Scale,"n/a"))</f>
        <v>--</v>
      </c>
      <c r="M184" s="2301" t="str">
        <f>IF($G184=0,"--",IFERROR(_xll.ciqfunctions.udf.CIQ($G184,$I184,M151,$H184,FXMode)*Scale,"n/a"))</f>
        <v>--</v>
      </c>
      <c r="N184" s="2301" t="str">
        <f>IF($G184=0,"--",IFERROR(_xll.ciqfunctions.udf.CIQ($G184,$I184,N151,$H184,FXMode)*Scale,"n/a"))</f>
        <v>--</v>
      </c>
      <c r="O184" s="1471" t="str">
        <f>IF($G184=0,"--",IFERROR(_xll.ciqfunctions.udf.CIQ($G184,$I184,O151,$H184,FXMode)*Scale,"n/a"))</f>
        <v>--</v>
      </c>
      <c r="P184" s="2300" t="str">
        <f>IF($G184=0,"--",IFERROR(_xll.ciqfunctions.udf.CIQ($G184,$I184,Valuation_Date_GC,$H184,FXMode)*Scale,"n/a"))</f>
        <v>--</v>
      </c>
      <c r="R184" s="2300" t="str">
        <f>IF($G184=0,"--",IFERROR(_xll.ciqfunctions.udf.CIQ($G184,$I184,R$160,$H184,FXMode)*Scale,"n/a"))</f>
        <v>--</v>
      </c>
      <c r="AA184" s="2060"/>
      <c r="AB184" s="2060"/>
      <c r="AC184" s="2060"/>
      <c r="AD184" s="2060"/>
      <c r="AE184" s="2060"/>
      <c r="AF184" s="2060"/>
    </row>
    <row r="185" spans="1:32" s="89" customFormat="1" ht="13.9">
      <c r="A185" s="269" t="str">
        <f t="shared" si="30"/>
        <v>n</v>
      </c>
      <c r="B185" s="2060"/>
      <c r="D185" s="801"/>
      <c r="E185" s="1505">
        <v>24</v>
      </c>
      <c r="F185" s="21" t="str">
        <f>F$152</f>
        <v>--</v>
      </c>
      <c r="G185" s="2112">
        <f>G$152</f>
        <v>0</v>
      </c>
      <c r="H185" s="1441" t="str">
        <f>H$152</f>
        <v>--</v>
      </c>
      <c r="I185" s="1513" t="s">
        <v>774</v>
      </c>
      <c r="J185" s="1513"/>
      <c r="K185" s="2301" t="str">
        <f>IF($G185=0,"--",IFERROR(_xll.ciqfunctions.udf.CIQ($G185,$I185,K152,$H185,FXMode)*Scale,"n/a"))</f>
        <v>--</v>
      </c>
      <c r="L185" s="2301" t="str">
        <f>IF($G185=0,"--",IFERROR(_xll.ciqfunctions.udf.CIQ($G185,$I185,L152,$H185,FXMode)*Scale,"n/a"))</f>
        <v>--</v>
      </c>
      <c r="M185" s="2301" t="str">
        <f>IF($G185=0,"--",IFERROR(_xll.ciqfunctions.udf.CIQ($G185,$I185,M152,$H185,FXMode)*Scale,"n/a"))</f>
        <v>--</v>
      </c>
      <c r="N185" s="2301" t="str">
        <f>IF($G185=0,"--",IFERROR(_xll.ciqfunctions.udf.CIQ($G185,$I185,N152,$H185,FXMode)*Scale,"n/a"))</f>
        <v>--</v>
      </c>
      <c r="O185" s="1471" t="str">
        <f>IF($G185=0,"--",IFERROR(_xll.ciqfunctions.udf.CIQ($G185,$I185,O152,$H185,FXMode)*Scale,"n/a"))</f>
        <v>--</v>
      </c>
      <c r="P185" s="2300" t="str">
        <f>IF($G185=0,"--",IFERROR(_xll.ciqfunctions.udf.CIQ($G185,$I185,Valuation_Date_GC,$H185,FXMode)*Scale,"n/a"))</f>
        <v>--</v>
      </c>
      <c r="R185" s="2300" t="str">
        <f>IF($G185=0,"--",IFERROR(_xll.ciqfunctions.udf.CIQ($G185,$I185,R$160,$H185,FXMode)*Scale,"n/a"))</f>
        <v>--</v>
      </c>
      <c r="AA185" s="2060"/>
      <c r="AB185" s="2060"/>
      <c r="AC185" s="2060"/>
      <c r="AD185" s="2060"/>
      <c r="AE185" s="2060"/>
      <c r="AF185" s="2060"/>
    </row>
    <row r="186" spans="1:32" s="89" customFormat="1" ht="13.9">
      <c r="A186" s="269" t="str">
        <f t="shared" si="30"/>
        <v>n</v>
      </c>
      <c r="B186" s="2060"/>
      <c r="D186" s="801"/>
      <c r="E186" s="1505">
        <v>25</v>
      </c>
      <c r="F186" s="21" t="str">
        <f>F$153</f>
        <v>--</v>
      </c>
      <c r="G186" s="2112">
        <f>G$153</f>
        <v>0</v>
      </c>
      <c r="H186" s="1441" t="str">
        <f>H$153</f>
        <v>--</v>
      </c>
      <c r="I186" s="1513" t="s">
        <v>774</v>
      </c>
      <c r="J186" s="1513"/>
      <c r="K186" s="2301" t="str">
        <f>IF($G186=0,"--",IFERROR(_xll.ciqfunctions.udf.CIQ($G186,$I186,K153,$H186,FXMode)*Scale,"n/a"))</f>
        <v>--</v>
      </c>
      <c r="L186" s="2301" t="str">
        <f>IF($G186=0,"--",IFERROR(_xll.ciqfunctions.udf.CIQ($G186,$I186,L153,$H186,FXMode)*Scale,"n/a"))</f>
        <v>--</v>
      </c>
      <c r="M186" s="2301" t="str">
        <f>IF($G186=0,"--",IFERROR(_xll.ciqfunctions.udf.CIQ($G186,$I186,M153,$H186,FXMode)*Scale,"n/a"))</f>
        <v>--</v>
      </c>
      <c r="N186" s="2301" t="str">
        <f>IF($G186=0,"--",IFERROR(_xll.ciqfunctions.udf.CIQ($G186,$I186,N153,$H186,FXMode)*Scale,"n/a"))</f>
        <v>--</v>
      </c>
      <c r="O186" s="1471" t="str">
        <f>IF($G186=0,"--",IFERROR(_xll.ciqfunctions.udf.CIQ($G186,$I186,O153,$H186,FXMode)*Scale,"n/a"))</f>
        <v>--</v>
      </c>
      <c r="P186" s="2300" t="str">
        <f>IF($G186=0,"--",IFERROR(_xll.ciqfunctions.udf.CIQ($G186,$I186,Valuation_Date_GC,$H186,FXMode)*Scale,"n/a"))</f>
        <v>--</v>
      </c>
      <c r="R186" s="2300" t="str">
        <f>IF($G186=0,"--",IFERROR(_xll.ciqfunctions.udf.CIQ($G186,$I186,R$160,$H186,FXMode)*Scale,"n/a"))</f>
        <v>--</v>
      </c>
      <c r="AA186" s="2060"/>
      <c r="AB186" s="2060"/>
      <c r="AC186" s="2060"/>
      <c r="AD186" s="2060"/>
      <c r="AE186" s="2060"/>
      <c r="AF186" s="2060"/>
    </row>
    <row r="187" spans="1:32" s="89" customFormat="1" ht="13.9">
      <c r="A187" s="2060"/>
      <c r="B187" s="2060"/>
      <c r="D187" s="801"/>
      <c r="F187" s="57" t="s">
        <v>767</v>
      </c>
      <c r="G187" s="58"/>
      <c r="H187" s="58"/>
      <c r="I187" s="58"/>
      <c r="J187" s="1442"/>
      <c r="K187" s="1443" t="str">
        <f t="shared" ref="K187:P187" si="31">IFERROR(MEDIAN(K162:K186),"--")</f>
        <v>--</v>
      </c>
      <c r="L187" s="1443" t="str">
        <f t="shared" si="31"/>
        <v>--</v>
      </c>
      <c r="M187" s="1443" t="str">
        <f t="shared" si="31"/>
        <v>--</v>
      </c>
      <c r="N187" s="1443" t="str">
        <f t="shared" si="31"/>
        <v>--</v>
      </c>
      <c r="O187" s="1444" t="str">
        <f t="shared" si="31"/>
        <v>--</v>
      </c>
      <c r="P187" s="1443" t="str">
        <f t="shared" si="31"/>
        <v>--</v>
      </c>
      <c r="R187" s="1443" t="str">
        <f>IFERROR(MEDIAN(R162:R186),"--")</f>
        <v>--</v>
      </c>
      <c r="T187" s="1513"/>
      <c r="AA187" s="2060"/>
      <c r="AB187" s="2060"/>
      <c r="AC187" s="2060"/>
      <c r="AD187" s="2060"/>
      <c r="AE187" s="2060"/>
      <c r="AF187" s="2060"/>
    </row>
    <row r="188" spans="1:32" s="89" customFormat="1" ht="13.9">
      <c r="A188" s="2060"/>
      <c r="B188" s="2060"/>
      <c r="D188" s="801"/>
      <c r="F188" s="250"/>
      <c r="G188" s="48"/>
      <c r="H188" s="48"/>
      <c r="I188" s="48"/>
      <c r="J188" s="1441"/>
      <c r="K188" s="1441"/>
      <c r="O188" s="75"/>
      <c r="P188" s="76"/>
      <c r="R188" s="255"/>
      <c r="T188" s="1513"/>
      <c r="AA188" s="2060"/>
      <c r="AB188" s="2060"/>
      <c r="AC188" s="2060"/>
      <c r="AD188" s="2060"/>
      <c r="AE188" s="2060"/>
      <c r="AF188" s="2060"/>
    </row>
    <row r="189" spans="1:32" s="89" customFormat="1" ht="13.9">
      <c r="A189" s="2060"/>
      <c r="B189" s="2060"/>
      <c r="D189" s="778"/>
      <c r="E189" s="21"/>
      <c r="F189" s="250"/>
      <c r="G189" s="48"/>
      <c r="H189" s="48"/>
      <c r="I189" s="48"/>
      <c r="J189" s="1441"/>
      <c r="K189" s="1441"/>
      <c r="O189" s="75"/>
      <c r="P189" s="76"/>
      <c r="R189" s="255"/>
      <c r="T189" s="314"/>
      <c r="W189" s="255"/>
      <c r="AA189" s="2060"/>
      <c r="AB189" s="2060"/>
      <c r="AC189" s="2060"/>
      <c r="AD189" s="2060"/>
      <c r="AE189" s="2060"/>
      <c r="AF189" s="2060"/>
    </row>
    <row r="190" spans="1:32" s="89" customFormat="1" ht="13.9">
      <c r="A190" s="2060"/>
      <c r="B190" s="2060"/>
      <c r="D190" s="778">
        <f ca="1">MAX(OFFSET(D190,-1,0,-ROW(D190)+1,-2),1)+0.01</f>
        <v>4.0199999999999996</v>
      </c>
      <c r="E190" s="668"/>
      <c r="F190" s="952" t="s">
        <v>775</v>
      </c>
      <c r="G190" s="724" t="s">
        <v>773</v>
      </c>
      <c r="H190" s="952" t="s">
        <v>776</v>
      </c>
      <c r="I190" s="724"/>
      <c r="J190" s="724"/>
      <c r="K190" s="725" t="s">
        <v>700</v>
      </c>
      <c r="L190" s="725" t="s">
        <v>701</v>
      </c>
      <c r="M190" s="725" t="s">
        <v>702</v>
      </c>
      <c r="N190" s="725" t="s">
        <v>703</v>
      </c>
      <c r="O190" s="759" t="s">
        <v>704</v>
      </c>
      <c r="P190" s="762">
        <f>Valuation_Date_GC</f>
        <v>42794</v>
      </c>
      <c r="Q190" s="255"/>
      <c r="R190" s="762">
        <f>EOMONTH(P190,-12)</f>
        <v>42429</v>
      </c>
      <c r="T190" s="92"/>
      <c r="W190" s="255"/>
      <c r="AA190" s="2060"/>
      <c r="AB190" s="2060"/>
      <c r="AC190" s="2060"/>
      <c r="AD190" s="2060"/>
      <c r="AE190" s="2060"/>
      <c r="AF190" s="2060"/>
    </row>
    <row r="191" spans="1:32" s="89" customFormat="1" ht="13.9">
      <c r="A191" s="2060"/>
      <c r="B191" s="2060"/>
      <c r="D191" s="778"/>
      <c r="E191" s="1505"/>
      <c r="F191" s="266" t="str">
        <f>F$128</f>
        <v/>
      </c>
      <c r="G191" s="2123">
        <f>G$128</f>
        <v>0</v>
      </c>
      <c r="H191" s="2123" t="str">
        <f>H$128</f>
        <v>USD</v>
      </c>
      <c r="I191" s="238"/>
      <c r="J191" s="238"/>
      <c r="K191" s="2302" t="str">
        <f t="shared" ref="K191:P191" si="32">IF($G191=0,"--",IF(N(K161)=0,0,1))</f>
        <v>--</v>
      </c>
      <c r="L191" s="2302" t="str">
        <f t="shared" si="32"/>
        <v>--</v>
      </c>
      <c r="M191" s="2302" t="str">
        <f t="shared" si="32"/>
        <v>--</v>
      </c>
      <c r="N191" s="2302" t="str">
        <f t="shared" si="32"/>
        <v>--</v>
      </c>
      <c r="O191" s="2124" t="str">
        <f t="shared" si="32"/>
        <v>--</v>
      </c>
      <c r="P191" s="2303" t="str">
        <f t="shared" si="32"/>
        <v>--</v>
      </c>
      <c r="R191" s="2303" t="str">
        <f t="shared" ref="R191:R216" si="33">IF($G191=0,"--",IF(N(R161)=0,0,1))</f>
        <v>--</v>
      </c>
      <c r="AA191" s="2060"/>
      <c r="AB191" s="2060"/>
      <c r="AC191" s="2060"/>
      <c r="AD191" s="2060"/>
      <c r="AE191" s="2060"/>
      <c r="AF191" s="2060"/>
    </row>
    <row r="192" spans="1:32" s="89" customFormat="1" ht="13.9">
      <c r="A192" s="269" t="str">
        <f>IF(F192="--","n","")</f>
        <v>n</v>
      </c>
      <c r="B192" s="2060"/>
      <c r="D192" s="801"/>
      <c r="E192" s="1505">
        <v>1</v>
      </c>
      <c r="F192" s="266" t="str">
        <f>F$129</f>
        <v>--</v>
      </c>
      <c r="G192" s="2125">
        <f>G$129</f>
        <v>0</v>
      </c>
      <c r="H192" s="2123" t="str">
        <f>H$129</f>
        <v>--</v>
      </c>
      <c r="I192" s="238"/>
      <c r="J192" s="238"/>
      <c r="K192" s="2302" t="str">
        <f t="shared" ref="K192:P207" si="34">IF($G192=0,"--",IF(N(K162)=0,0,1))</f>
        <v>--</v>
      </c>
      <c r="L192" s="2302" t="str">
        <f t="shared" si="34"/>
        <v>--</v>
      </c>
      <c r="M192" s="2302" t="str">
        <f t="shared" si="34"/>
        <v>--</v>
      </c>
      <c r="N192" s="2302" t="str">
        <f t="shared" si="34"/>
        <v>--</v>
      </c>
      <c r="O192" s="2124" t="str">
        <f t="shared" si="34"/>
        <v>--</v>
      </c>
      <c r="P192" s="2303" t="str">
        <f t="shared" si="34"/>
        <v>--</v>
      </c>
      <c r="R192" s="2303" t="str">
        <f t="shared" si="33"/>
        <v>--</v>
      </c>
      <c r="AA192" s="2060"/>
      <c r="AB192" s="2060"/>
      <c r="AC192" s="2060"/>
      <c r="AD192" s="2060"/>
      <c r="AE192" s="2060"/>
      <c r="AF192" s="2060"/>
    </row>
    <row r="193" spans="1:32" s="89" customFormat="1" ht="13.9">
      <c r="A193" s="269" t="str">
        <f t="shared" ref="A193:A216" si="35">IF(F193="--","n","")</f>
        <v>n</v>
      </c>
      <c r="B193" s="2060"/>
      <c r="D193" s="801"/>
      <c r="E193" s="1505">
        <v>2</v>
      </c>
      <c r="F193" s="266" t="str">
        <f>F$130</f>
        <v>--</v>
      </c>
      <c r="G193" s="2125">
        <f>G$130</f>
        <v>0</v>
      </c>
      <c r="H193" s="2123" t="str">
        <f>H$130</f>
        <v>--</v>
      </c>
      <c r="I193" s="238"/>
      <c r="J193" s="238"/>
      <c r="K193" s="2302" t="str">
        <f t="shared" si="34"/>
        <v>--</v>
      </c>
      <c r="L193" s="2302" t="str">
        <f t="shared" si="34"/>
        <v>--</v>
      </c>
      <c r="M193" s="2302" t="str">
        <f t="shared" si="34"/>
        <v>--</v>
      </c>
      <c r="N193" s="2302" t="str">
        <f t="shared" si="34"/>
        <v>--</v>
      </c>
      <c r="O193" s="2124" t="str">
        <f t="shared" si="34"/>
        <v>--</v>
      </c>
      <c r="P193" s="2303" t="str">
        <f t="shared" si="34"/>
        <v>--</v>
      </c>
      <c r="R193" s="2303" t="str">
        <f t="shared" si="33"/>
        <v>--</v>
      </c>
      <c r="AA193" s="2060"/>
      <c r="AB193" s="2060"/>
      <c r="AC193" s="2060"/>
      <c r="AD193" s="2060"/>
      <c r="AE193" s="2060"/>
      <c r="AF193" s="2060"/>
    </row>
    <row r="194" spans="1:32" s="89" customFormat="1" ht="13.9">
      <c r="A194" s="269" t="str">
        <f t="shared" si="35"/>
        <v>n</v>
      </c>
      <c r="B194" s="2060"/>
      <c r="D194" s="801"/>
      <c r="E194" s="1505">
        <v>3</v>
      </c>
      <c r="F194" s="266" t="str">
        <f>F$131</f>
        <v>--</v>
      </c>
      <c r="G194" s="2125">
        <f>G$131</f>
        <v>0</v>
      </c>
      <c r="H194" s="2123" t="str">
        <f>H$131</f>
        <v>--</v>
      </c>
      <c r="I194" s="238"/>
      <c r="J194" s="238"/>
      <c r="K194" s="2302" t="str">
        <f t="shared" si="34"/>
        <v>--</v>
      </c>
      <c r="L194" s="2302" t="str">
        <f t="shared" si="34"/>
        <v>--</v>
      </c>
      <c r="M194" s="2302" t="str">
        <f t="shared" si="34"/>
        <v>--</v>
      </c>
      <c r="N194" s="2302" t="str">
        <f t="shared" si="34"/>
        <v>--</v>
      </c>
      <c r="O194" s="2124" t="str">
        <f t="shared" si="34"/>
        <v>--</v>
      </c>
      <c r="P194" s="2303" t="str">
        <f t="shared" si="34"/>
        <v>--</v>
      </c>
      <c r="R194" s="2303" t="str">
        <f t="shared" si="33"/>
        <v>--</v>
      </c>
      <c r="AA194" s="2060"/>
      <c r="AB194" s="2060"/>
      <c r="AC194" s="2060"/>
      <c r="AD194" s="2060"/>
      <c r="AE194" s="2060"/>
      <c r="AF194" s="2060"/>
    </row>
    <row r="195" spans="1:32" s="89" customFormat="1" ht="13.9">
      <c r="A195" s="269" t="str">
        <f t="shared" si="35"/>
        <v>n</v>
      </c>
      <c r="B195" s="2060"/>
      <c r="D195" s="801"/>
      <c r="E195" s="1505">
        <v>4</v>
      </c>
      <c r="F195" s="266" t="str">
        <f>F$132</f>
        <v>--</v>
      </c>
      <c r="G195" s="2125">
        <f>G$132</f>
        <v>0</v>
      </c>
      <c r="H195" s="2123" t="str">
        <f>H$132</f>
        <v>--</v>
      </c>
      <c r="I195" s="238"/>
      <c r="J195" s="238"/>
      <c r="K195" s="2302" t="str">
        <f t="shared" si="34"/>
        <v>--</v>
      </c>
      <c r="L195" s="2302" t="str">
        <f t="shared" si="34"/>
        <v>--</v>
      </c>
      <c r="M195" s="2302" t="str">
        <f t="shared" si="34"/>
        <v>--</v>
      </c>
      <c r="N195" s="2302" t="str">
        <f t="shared" si="34"/>
        <v>--</v>
      </c>
      <c r="O195" s="2124" t="str">
        <f t="shared" si="34"/>
        <v>--</v>
      </c>
      <c r="P195" s="2303" t="str">
        <f t="shared" si="34"/>
        <v>--</v>
      </c>
      <c r="R195" s="2303" t="str">
        <f t="shared" si="33"/>
        <v>--</v>
      </c>
      <c r="AA195" s="2060"/>
      <c r="AB195" s="2060"/>
      <c r="AC195" s="2060"/>
      <c r="AD195" s="2060"/>
      <c r="AE195" s="2060"/>
      <c r="AF195" s="2060"/>
    </row>
    <row r="196" spans="1:32" s="89" customFormat="1" ht="13.9">
      <c r="A196" s="269" t="str">
        <f t="shared" si="35"/>
        <v>n</v>
      </c>
      <c r="B196" s="2060"/>
      <c r="D196" s="801"/>
      <c r="E196" s="1505">
        <v>5</v>
      </c>
      <c r="F196" s="266" t="str">
        <f>F$133</f>
        <v>--</v>
      </c>
      <c r="G196" s="2125">
        <f>G$133</f>
        <v>0</v>
      </c>
      <c r="H196" s="2123" t="str">
        <f>H$133</f>
        <v>--</v>
      </c>
      <c r="I196" s="238"/>
      <c r="J196" s="238"/>
      <c r="K196" s="2302" t="str">
        <f t="shared" si="34"/>
        <v>--</v>
      </c>
      <c r="L196" s="2302" t="str">
        <f t="shared" si="34"/>
        <v>--</v>
      </c>
      <c r="M196" s="2302" t="str">
        <f t="shared" si="34"/>
        <v>--</v>
      </c>
      <c r="N196" s="2302" t="str">
        <f t="shared" si="34"/>
        <v>--</v>
      </c>
      <c r="O196" s="2124" t="str">
        <f t="shared" si="34"/>
        <v>--</v>
      </c>
      <c r="P196" s="2303" t="str">
        <f t="shared" si="34"/>
        <v>--</v>
      </c>
      <c r="R196" s="2303" t="str">
        <f t="shared" si="33"/>
        <v>--</v>
      </c>
      <c r="AA196" s="2060"/>
      <c r="AB196" s="2060"/>
      <c r="AC196" s="2060"/>
      <c r="AD196" s="2060"/>
      <c r="AE196" s="2060"/>
      <c r="AF196" s="2060"/>
    </row>
    <row r="197" spans="1:32" s="89" customFormat="1" ht="13.9">
      <c r="A197" s="269" t="str">
        <f t="shared" si="35"/>
        <v>n</v>
      </c>
      <c r="B197" s="2060"/>
      <c r="D197" s="801"/>
      <c r="E197" s="1505">
        <v>6</v>
      </c>
      <c r="F197" s="266" t="str">
        <f>F$134</f>
        <v>--</v>
      </c>
      <c r="G197" s="2125">
        <f>G$134</f>
        <v>0</v>
      </c>
      <c r="H197" s="2123" t="str">
        <f>H$134</f>
        <v>--</v>
      </c>
      <c r="I197" s="238"/>
      <c r="J197" s="238"/>
      <c r="K197" s="2302" t="str">
        <f t="shared" si="34"/>
        <v>--</v>
      </c>
      <c r="L197" s="2302" t="str">
        <f t="shared" si="34"/>
        <v>--</v>
      </c>
      <c r="M197" s="2302" t="str">
        <f t="shared" si="34"/>
        <v>--</v>
      </c>
      <c r="N197" s="2302" t="str">
        <f t="shared" si="34"/>
        <v>--</v>
      </c>
      <c r="O197" s="2124" t="str">
        <f t="shared" si="34"/>
        <v>--</v>
      </c>
      <c r="P197" s="2303" t="str">
        <f t="shared" si="34"/>
        <v>--</v>
      </c>
      <c r="R197" s="2303" t="str">
        <f t="shared" si="33"/>
        <v>--</v>
      </c>
      <c r="AA197" s="2060"/>
      <c r="AB197" s="2060"/>
      <c r="AC197" s="2060"/>
      <c r="AD197" s="2060"/>
      <c r="AE197" s="2060"/>
      <c r="AF197" s="2060"/>
    </row>
    <row r="198" spans="1:32" s="89" customFormat="1" ht="13.9">
      <c r="A198" s="269" t="str">
        <f t="shared" si="35"/>
        <v>n</v>
      </c>
      <c r="B198" s="2060"/>
      <c r="D198" s="801"/>
      <c r="E198" s="1505">
        <v>7</v>
      </c>
      <c r="F198" s="266" t="str">
        <f>F$135</f>
        <v>--</v>
      </c>
      <c r="G198" s="2125">
        <f>G$135</f>
        <v>0</v>
      </c>
      <c r="H198" s="2123" t="str">
        <f>H$135</f>
        <v>--</v>
      </c>
      <c r="I198" s="238"/>
      <c r="J198" s="238"/>
      <c r="K198" s="2302" t="str">
        <f t="shared" si="34"/>
        <v>--</v>
      </c>
      <c r="L198" s="2302" t="str">
        <f t="shared" si="34"/>
        <v>--</v>
      </c>
      <c r="M198" s="2302" t="str">
        <f t="shared" si="34"/>
        <v>--</v>
      </c>
      <c r="N198" s="2302" t="str">
        <f t="shared" si="34"/>
        <v>--</v>
      </c>
      <c r="O198" s="2124" t="str">
        <f t="shared" si="34"/>
        <v>--</v>
      </c>
      <c r="P198" s="2303" t="str">
        <f t="shared" si="34"/>
        <v>--</v>
      </c>
      <c r="R198" s="2303" t="str">
        <f t="shared" si="33"/>
        <v>--</v>
      </c>
      <c r="AA198" s="2060"/>
      <c r="AB198" s="2060"/>
      <c r="AC198" s="2060"/>
      <c r="AD198" s="2060"/>
      <c r="AE198" s="2060"/>
      <c r="AF198" s="2060"/>
    </row>
    <row r="199" spans="1:32" s="89" customFormat="1" ht="13.9">
      <c r="A199" s="269" t="str">
        <f t="shared" si="35"/>
        <v>n</v>
      </c>
      <c r="B199" s="2060"/>
      <c r="D199" s="801"/>
      <c r="E199" s="1505">
        <v>8</v>
      </c>
      <c r="F199" s="266" t="str">
        <f>F$136</f>
        <v>--</v>
      </c>
      <c r="G199" s="2125">
        <f>G$136</f>
        <v>0</v>
      </c>
      <c r="H199" s="2123" t="str">
        <f>H$136</f>
        <v>--</v>
      </c>
      <c r="I199" s="238"/>
      <c r="J199" s="238"/>
      <c r="K199" s="2302" t="str">
        <f t="shared" si="34"/>
        <v>--</v>
      </c>
      <c r="L199" s="2302" t="str">
        <f t="shared" si="34"/>
        <v>--</v>
      </c>
      <c r="M199" s="2302" t="str">
        <f t="shared" si="34"/>
        <v>--</v>
      </c>
      <c r="N199" s="2302" t="str">
        <f t="shared" si="34"/>
        <v>--</v>
      </c>
      <c r="O199" s="2124" t="str">
        <f t="shared" si="34"/>
        <v>--</v>
      </c>
      <c r="P199" s="2303" t="str">
        <f t="shared" si="34"/>
        <v>--</v>
      </c>
      <c r="R199" s="2303" t="str">
        <f t="shared" si="33"/>
        <v>--</v>
      </c>
      <c r="AA199" s="2060"/>
      <c r="AB199" s="2060"/>
      <c r="AC199" s="2060"/>
      <c r="AD199" s="2060"/>
      <c r="AE199" s="2060"/>
      <c r="AF199" s="2060"/>
    </row>
    <row r="200" spans="1:32" s="89" customFormat="1" ht="13.9">
      <c r="A200" s="269" t="str">
        <f t="shared" si="35"/>
        <v>n</v>
      </c>
      <c r="B200" s="2060"/>
      <c r="D200" s="801"/>
      <c r="E200" s="1505">
        <v>9</v>
      </c>
      <c r="F200" s="266" t="str">
        <f>F$137</f>
        <v>--</v>
      </c>
      <c r="G200" s="2125">
        <f>G$137</f>
        <v>0</v>
      </c>
      <c r="H200" s="2123" t="str">
        <f>H$137</f>
        <v>--</v>
      </c>
      <c r="I200" s="238"/>
      <c r="J200" s="238"/>
      <c r="K200" s="2302" t="str">
        <f t="shared" si="34"/>
        <v>--</v>
      </c>
      <c r="L200" s="2302" t="str">
        <f t="shared" si="34"/>
        <v>--</v>
      </c>
      <c r="M200" s="2302" t="str">
        <f t="shared" si="34"/>
        <v>--</v>
      </c>
      <c r="N200" s="2302" t="str">
        <f t="shared" si="34"/>
        <v>--</v>
      </c>
      <c r="O200" s="2124" t="str">
        <f t="shared" si="34"/>
        <v>--</v>
      </c>
      <c r="P200" s="2303" t="str">
        <f t="shared" si="34"/>
        <v>--</v>
      </c>
      <c r="R200" s="2303" t="str">
        <f t="shared" si="33"/>
        <v>--</v>
      </c>
      <c r="AA200" s="2060"/>
      <c r="AB200" s="2060"/>
      <c r="AC200" s="2060"/>
      <c r="AD200" s="2060"/>
      <c r="AE200" s="2060"/>
      <c r="AF200" s="2060"/>
    </row>
    <row r="201" spans="1:32" s="89" customFormat="1" ht="13.9">
      <c r="A201" s="269" t="str">
        <f t="shared" si="35"/>
        <v>n</v>
      </c>
      <c r="B201" s="2060"/>
      <c r="D201" s="801"/>
      <c r="E201" s="1505">
        <v>10</v>
      </c>
      <c r="F201" s="266" t="str">
        <f>F$138</f>
        <v>--</v>
      </c>
      <c r="G201" s="2125">
        <f>G$138</f>
        <v>0</v>
      </c>
      <c r="H201" s="2123" t="str">
        <f>H$138</f>
        <v>--</v>
      </c>
      <c r="I201" s="238"/>
      <c r="J201" s="238"/>
      <c r="K201" s="2302" t="str">
        <f t="shared" si="34"/>
        <v>--</v>
      </c>
      <c r="L201" s="2302" t="str">
        <f t="shared" si="34"/>
        <v>--</v>
      </c>
      <c r="M201" s="2302" t="str">
        <f t="shared" si="34"/>
        <v>--</v>
      </c>
      <c r="N201" s="2302" t="str">
        <f t="shared" si="34"/>
        <v>--</v>
      </c>
      <c r="O201" s="2124" t="str">
        <f t="shared" si="34"/>
        <v>--</v>
      </c>
      <c r="P201" s="2303" t="str">
        <f t="shared" si="34"/>
        <v>--</v>
      </c>
      <c r="R201" s="2303" t="str">
        <f t="shared" si="33"/>
        <v>--</v>
      </c>
      <c r="AA201" s="2060"/>
      <c r="AB201" s="2060"/>
      <c r="AC201" s="2060"/>
      <c r="AD201" s="2060"/>
      <c r="AE201" s="2060"/>
      <c r="AF201" s="2060"/>
    </row>
    <row r="202" spans="1:32" s="89" customFormat="1" ht="13.9">
      <c r="A202" s="269" t="str">
        <f t="shared" si="35"/>
        <v>n</v>
      </c>
      <c r="B202" s="2060"/>
      <c r="D202" s="801"/>
      <c r="E202" s="1505">
        <v>11</v>
      </c>
      <c r="F202" s="266" t="str">
        <f>F$139</f>
        <v>--</v>
      </c>
      <c r="G202" s="2125">
        <f>G$139</f>
        <v>0</v>
      </c>
      <c r="H202" s="2123" t="str">
        <f>H$139</f>
        <v>--</v>
      </c>
      <c r="I202" s="238"/>
      <c r="J202" s="238"/>
      <c r="K202" s="2302" t="str">
        <f t="shared" si="34"/>
        <v>--</v>
      </c>
      <c r="L202" s="2302" t="str">
        <f t="shared" si="34"/>
        <v>--</v>
      </c>
      <c r="M202" s="2302" t="str">
        <f t="shared" si="34"/>
        <v>--</v>
      </c>
      <c r="N202" s="2302" t="str">
        <f t="shared" si="34"/>
        <v>--</v>
      </c>
      <c r="O202" s="2124" t="str">
        <f t="shared" si="34"/>
        <v>--</v>
      </c>
      <c r="P202" s="2303" t="str">
        <f t="shared" si="34"/>
        <v>--</v>
      </c>
      <c r="R202" s="2303" t="str">
        <f t="shared" si="33"/>
        <v>--</v>
      </c>
      <c r="AA202" s="2060"/>
      <c r="AB202" s="2060"/>
      <c r="AC202" s="2060"/>
      <c r="AD202" s="2060"/>
      <c r="AE202" s="2060"/>
      <c r="AF202" s="2060"/>
    </row>
    <row r="203" spans="1:32" s="89" customFormat="1" ht="13.9">
      <c r="A203" s="269" t="str">
        <f t="shared" si="35"/>
        <v>n</v>
      </c>
      <c r="B203" s="2060"/>
      <c r="D203" s="801"/>
      <c r="E203" s="1505">
        <v>12</v>
      </c>
      <c r="F203" s="266" t="str">
        <f>F$140</f>
        <v>--</v>
      </c>
      <c r="G203" s="2125">
        <f>G$140</f>
        <v>0</v>
      </c>
      <c r="H203" s="2123" t="str">
        <f>H$140</f>
        <v>--</v>
      </c>
      <c r="I203" s="238"/>
      <c r="J203" s="238"/>
      <c r="K203" s="2302" t="str">
        <f t="shared" si="34"/>
        <v>--</v>
      </c>
      <c r="L203" s="2302" t="str">
        <f t="shared" si="34"/>
        <v>--</v>
      </c>
      <c r="M203" s="2302" t="str">
        <f t="shared" si="34"/>
        <v>--</v>
      </c>
      <c r="N203" s="2302" t="str">
        <f t="shared" si="34"/>
        <v>--</v>
      </c>
      <c r="O203" s="2124" t="str">
        <f t="shared" si="34"/>
        <v>--</v>
      </c>
      <c r="P203" s="2303" t="str">
        <f t="shared" si="34"/>
        <v>--</v>
      </c>
      <c r="R203" s="2303" t="str">
        <f t="shared" si="33"/>
        <v>--</v>
      </c>
      <c r="AA203" s="2060"/>
      <c r="AB203" s="2060"/>
      <c r="AC203" s="2060"/>
      <c r="AD203" s="2060"/>
      <c r="AE203" s="2060"/>
      <c r="AF203" s="2060"/>
    </row>
    <row r="204" spans="1:32" s="89" customFormat="1" ht="13.9">
      <c r="A204" s="269" t="str">
        <f t="shared" si="35"/>
        <v>n</v>
      </c>
      <c r="B204" s="2060"/>
      <c r="D204" s="801"/>
      <c r="E204" s="1505">
        <v>13</v>
      </c>
      <c r="F204" s="266" t="str">
        <f>F$141</f>
        <v>--</v>
      </c>
      <c r="G204" s="2125">
        <f>G$141</f>
        <v>0</v>
      </c>
      <c r="H204" s="2123" t="str">
        <f>H$141</f>
        <v>--</v>
      </c>
      <c r="I204" s="238"/>
      <c r="J204" s="238"/>
      <c r="K204" s="2302" t="str">
        <f t="shared" si="34"/>
        <v>--</v>
      </c>
      <c r="L204" s="2302" t="str">
        <f t="shared" si="34"/>
        <v>--</v>
      </c>
      <c r="M204" s="2302" t="str">
        <f t="shared" si="34"/>
        <v>--</v>
      </c>
      <c r="N204" s="2302" t="str">
        <f t="shared" si="34"/>
        <v>--</v>
      </c>
      <c r="O204" s="2124" t="str">
        <f t="shared" si="34"/>
        <v>--</v>
      </c>
      <c r="P204" s="2303" t="str">
        <f t="shared" si="34"/>
        <v>--</v>
      </c>
      <c r="R204" s="2303" t="str">
        <f t="shared" si="33"/>
        <v>--</v>
      </c>
      <c r="AA204" s="2060"/>
      <c r="AB204" s="2060"/>
      <c r="AC204" s="2060"/>
      <c r="AD204" s="2060"/>
      <c r="AE204" s="2060"/>
      <c r="AF204" s="2060"/>
    </row>
    <row r="205" spans="1:32" s="89" customFormat="1" ht="13.9">
      <c r="A205" s="269" t="str">
        <f t="shared" si="35"/>
        <v>n</v>
      </c>
      <c r="B205" s="2060"/>
      <c r="D205" s="801"/>
      <c r="E205" s="1505">
        <v>14</v>
      </c>
      <c r="F205" s="266" t="str">
        <f>F$142</f>
        <v>--</v>
      </c>
      <c r="G205" s="2125">
        <f>G$142</f>
        <v>0</v>
      </c>
      <c r="H205" s="2123" t="str">
        <f>H$142</f>
        <v>--</v>
      </c>
      <c r="I205" s="238"/>
      <c r="J205" s="238"/>
      <c r="K205" s="2302" t="str">
        <f t="shared" si="34"/>
        <v>--</v>
      </c>
      <c r="L205" s="2302" t="str">
        <f t="shared" si="34"/>
        <v>--</v>
      </c>
      <c r="M205" s="2302" t="str">
        <f t="shared" si="34"/>
        <v>--</v>
      </c>
      <c r="N205" s="2302" t="str">
        <f t="shared" si="34"/>
        <v>--</v>
      </c>
      <c r="O205" s="2124" t="str">
        <f t="shared" si="34"/>
        <v>--</v>
      </c>
      <c r="P205" s="2303" t="str">
        <f t="shared" si="34"/>
        <v>--</v>
      </c>
      <c r="R205" s="2303" t="str">
        <f t="shared" si="33"/>
        <v>--</v>
      </c>
      <c r="AA205" s="2060"/>
      <c r="AB205" s="2060"/>
      <c r="AC205" s="2060"/>
      <c r="AD205" s="2060"/>
      <c r="AE205" s="2060"/>
      <c r="AF205" s="2060"/>
    </row>
    <row r="206" spans="1:32" s="89" customFormat="1" ht="13.9">
      <c r="A206" s="269" t="str">
        <f t="shared" si="35"/>
        <v>n</v>
      </c>
      <c r="B206" s="2060"/>
      <c r="D206" s="801"/>
      <c r="E206" s="1505">
        <v>15</v>
      </c>
      <c r="F206" s="266" t="str">
        <f>F$143</f>
        <v>--</v>
      </c>
      <c r="G206" s="2125">
        <f>G$143</f>
        <v>0</v>
      </c>
      <c r="H206" s="2123" t="str">
        <f>H$143</f>
        <v>--</v>
      </c>
      <c r="I206" s="238"/>
      <c r="J206" s="238"/>
      <c r="K206" s="2302" t="str">
        <f t="shared" si="34"/>
        <v>--</v>
      </c>
      <c r="L206" s="2302" t="str">
        <f t="shared" si="34"/>
        <v>--</v>
      </c>
      <c r="M206" s="2302" t="str">
        <f t="shared" si="34"/>
        <v>--</v>
      </c>
      <c r="N206" s="2302" t="str">
        <f t="shared" si="34"/>
        <v>--</v>
      </c>
      <c r="O206" s="2124" t="str">
        <f t="shared" si="34"/>
        <v>--</v>
      </c>
      <c r="P206" s="2303" t="str">
        <f t="shared" si="34"/>
        <v>--</v>
      </c>
      <c r="R206" s="2303" t="str">
        <f t="shared" si="33"/>
        <v>--</v>
      </c>
      <c r="AA206" s="2060"/>
      <c r="AB206" s="2060"/>
      <c r="AC206" s="2060"/>
      <c r="AD206" s="2060"/>
      <c r="AE206" s="2060"/>
      <c r="AF206" s="2060"/>
    </row>
    <row r="207" spans="1:32" s="89" customFormat="1" ht="13.9">
      <c r="A207" s="269" t="str">
        <f t="shared" si="35"/>
        <v>n</v>
      </c>
      <c r="B207" s="2060"/>
      <c r="D207" s="801"/>
      <c r="E207" s="1505">
        <v>16</v>
      </c>
      <c r="F207" s="266" t="str">
        <f>F$144</f>
        <v>--</v>
      </c>
      <c r="G207" s="2125">
        <f>G$144</f>
        <v>0</v>
      </c>
      <c r="H207" s="2123" t="str">
        <f>H$144</f>
        <v>--</v>
      </c>
      <c r="I207" s="238"/>
      <c r="J207" s="238"/>
      <c r="K207" s="2302" t="str">
        <f t="shared" si="34"/>
        <v>--</v>
      </c>
      <c r="L207" s="2302" t="str">
        <f t="shared" si="34"/>
        <v>--</v>
      </c>
      <c r="M207" s="2302" t="str">
        <f t="shared" si="34"/>
        <v>--</v>
      </c>
      <c r="N207" s="2302" t="str">
        <f t="shared" si="34"/>
        <v>--</v>
      </c>
      <c r="O207" s="2124" t="str">
        <f t="shared" si="34"/>
        <v>--</v>
      </c>
      <c r="P207" s="2303" t="str">
        <f t="shared" si="34"/>
        <v>--</v>
      </c>
      <c r="R207" s="2303" t="str">
        <f t="shared" si="33"/>
        <v>--</v>
      </c>
      <c r="AA207" s="2060"/>
      <c r="AB207" s="2060"/>
      <c r="AC207" s="2060"/>
      <c r="AD207" s="2060"/>
      <c r="AE207" s="2060"/>
      <c r="AF207" s="2060"/>
    </row>
    <row r="208" spans="1:32" s="89" customFormat="1" ht="13.9">
      <c r="A208" s="269" t="str">
        <f t="shared" si="35"/>
        <v>n</v>
      </c>
      <c r="B208" s="2060"/>
      <c r="D208" s="801"/>
      <c r="E208" s="1505">
        <v>17</v>
      </c>
      <c r="F208" s="266" t="str">
        <f>F$145</f>
        <v>--</v>
      </c>
      <c r="G208" s="2125">
        <f>G$145</f>
        <v>0</v>
      </c>
      <c r="H208" s="2123" t="str">
        <f>H$145</f>
        <v>--</v>
      </c>
      <c r="I208" s="238"/>
      <c r="J208" s="238"/>
      <c r="K208" s="2302" t="str">
        <f t="shared" ref="K208:P216" si="36">IF($G208=0,"--",IF(N(K178)=0,0,1))</f>
        <v>--</v>
      </c>
      <c r="L208" s="2302" t="str">
        <f t="shared" si="36"/>
        <v>--</v>
      </c>
      <c r="M208" s="2302" t="str">
        <f t="shared" si="36"/>
        <v>--</v>
      </c>
      <c r="N208" s="2302" t="str">
        <f t="shared" si="36"/>
        <v>--</v>
      </c>
      <c r="O208" s="2124" t="str">
        <f t="shared" si="36"/>
        <v>--</v>
      </c>
      <c r="P208" s="2303" t="str">
        <f t="shared" si="36"/>
        <v>--</v>
      </c>
      <c r="R208" s="2303" t="str">
        <f t="shared" si="33"/>
        <v>--</v>
      </c>
      <c r="AA208" s="2060"/>
      <c r="AB208" s="2060"/>
      <c r="AC208" s="2060"/>
      <c r="AD208" s="2060"/>
      <c r="AE208" s="2060"/>
      <c r="AF208" s="2060"/>
    </row>
    <row r="209" spans="1:288" s="89" customFormat="1" ht="13.9">
      <c r="A209" s="269" t="str">
        <f t="shared" si="35"/>
        <v>n</v>
      </c>
      <c r="B209" s="2060"/>
      <c r="D209" s="801"/>
      <c r="E209" s="1505">
        <v>18</v>
      </c>
      <c r="F209" s="266" t="str">
        <f>F$146</f>
        <v>--</v>
      </c>
      <c r="G209" s="2125">
        <f>G$146</f>
        <v>0</v>
      </c>
      <c r="H209" s="2123" t="str">
        <f>H$146</f>
        <v>--</v>
      </c>
      <c r="I209" s="238"/>
      <c r="J209" s="238"/>
      <c r="K209" s="2302" t="str">
        <f t="shared" si="36"/>
        <v>--</v>
      </c>
      <c r="L209" s="2302" t="str">
        <f t="shared" si="36"/>
        <v>--</v>
      </c>
      <c r="M209" s="2302" t="str">
        <f t="shared" si="36"/>
        <v>--</v>
      </c>
      <c r="N209" s="2302" t="str">
        <f t="shared" si="36"/>
        <v>--</v>
      </c>
      <c r="O209" s="2124" t="str">
        <f t="shared" si="36"/>
        <v>--</v>
      </c>
      <c r="P209" s="2303" t="str">
        <f t="shared" si="36"/>
        <v>--</v>
      </c>
      <c r="R209" s="2303" t="str">
        <f t="shared" si="33"/>
        <v>--</v>
      </c>
      <c r="AA209" s="2060"/>
      <c r="AB209" s="2060"/>
      <c r="AC209" s="2060"/>
      <c r="AD209" s="2060"/>
      <c r="AE209" s="2060"/>
      <c r="AF209" s="2060"/>
    </row>
    <row r="210" spans="1:288" s="89" customFormat="1" ht="13.9">
      <c r="A210" s="269" t="str">
        <f t="shared" si="35"/>
        <v>n</v>
      </c>
      <c r="B210" s="2060"/>
      <c r="D210" s="801"/>
      <c r="E210" s="1505">
        <v>19</v>
      </c>
      <c r="F210" s="266" t="str">
        <f>F$147</f>
        <v>--</v>
      </c>
      <c r="G210" s="2125">
        <f>G$147</f>
        <v>0</v>
      </c>
      <c r="H210" s="2123" t="str">
        <f>H$147</f>
        <v>--</v>
      </c>
      <c r="I210" s="238"/>
      <c r="J210" s="238"/>
      <c r="K210" s="2302" t="str">
        <f t="shared" si="36"/>
        <v>--</v>
      </c>
      <c r="L210" s="2302" t="str">
        <f t="shared" si="36"/>
        <v>--</v>
      </c>
      <c r="M210" s="2302" t="str">
        <f t="shared" si="36"/>
        <v>--</v>
      </c>
      <c r="N210" s="2302" t="str">
        <f t="shared" si="36"/>
        <v>--</v>
      </c>
      <c r="O210" s="2124" t="str">
        <f t="shared" si="36"/>
        <v>--</v>
      </c>
      <c r="P210" s="2303" t="str">
        <f t="shared" si="36"/>
        <v>--</v>
      </c>
      <c r="R210" s="2303" t="str">
        <f t="shared" si="33"/>
        <v>--</v>
      </c>
      <c r="AA210" s="2060"/>
      <c r="AB210" s="2060"/>
      <c r="AC210" s="2060"/>
      <c r="AD210" s="2060"/>
      <c r="AE210" s="2060"/>
      <c r="AF210" s="2060"/>
    </row>
    <row r="211" spans="1:288" s="89" customFormat="1" ht="13.9">
      <c r="A211" s="269" t="str">
        <f t="shared" si="35"/>
        <v>n</v>
      </c>
      <c r="B211" s="2060"/>
      <c r="D211" s="801"/>
      <c r="E211" s="1505">
        <v>20</v>
      </c>
      <c r="F211" s="266" t="str">
        <f>F$148</f>
        <v>--</v>
      </c>
      <c r="G211" s="2125">
        <f>G$148</f>
        <v>0</v>
      </c>
      <c r="H211" s="2123" t="str">
        <f>H$148</f>
        <v>--</v>
      </c>
      <c r="I211" s="238"/>
      <c r="J211" s="238"/>
      <c r="K211" s="2302" t="str">
        <f t="shared" si="36"/>
        <v>--</v>
      </c>
      <c r="L211" s="2302" t="str">
        <f t="shared" si="36"/>
        <v>--</v>
      </c>
      <c r="M211" s="2302" t="str">
        <f t="shared" si="36"/>
        <v>--</v>
      </c>
      <c r="N211" s="2302" t="str">
        <f t="shared" si="36"/>
        <v>--</v>
      </c>
      <c r="O211" s="2124" t="str">
        <f t="shared" si="36"/>
        <v>--</v>
      </c>
      <c r="P211" s="2303" t="str">
        <f t="shared" si="36"/>
        <v>--</v>
      </c>
      <c r="R211" s="2303" t="str">
        <f t="shared" si="33"/>
        <v>--</v>
      </c>
      <c r="AA211" s="2060"/>
      <c r="AB211" s="2060"/>
      <c r="AC211" s="2060"/>
      <c r="AD211" s="2060"/>
      <c r="AE211" s="2060"/>
      <c r="AF211" s="2060"/>
    </row>
    <row r="212" spans="1:288" s="89" customFormat="1" ht="13.9">
      <c r="A212" s="269" t="str">
        <f t="shared" si="35"/>
        <v>n</v>
      </c>
      <c r="B212" s="2060"/>
      <c r="D212" s="801"/>
      <c r="E212" s="1505">
        <v>21</v>
      </c>
      <c r="F212" s="266" t="str">
        <f>F$149</f>
        <v>--</v>
      </c>
      <c r="G212" s="2125">
        <f>G$149</f>
        <v>0</v>
      </c>
      <c r="H212" s="2123" t="str">
        <f>H$149</f>
        <v>--</v>
      </c>
      <c r="I212" s="238"/>
      <c r="J212" s="238"/>
      <c r="K212" s="2302" t="str">
        <f t="shared" si="36"/>
        <v>--</v>
      </c>
      <c r="L212" s="2302" t="str">
        <f t="shared" si="36"/>
        <v>--</v>
      </c>
      <c r="M212" s="2302" t="str">
        <f t="shared" si="36"/>
        <v>--</v>
      </c>
      <c r="N212" s="2302" t="str">
        <f t="shared" si="36"/>
        <v>--</v>
      </c>
      <c r="O212" s="2124" t="str">
        <f t="shared" si="36"/>
        <v>--</v>
      </c>
      <c r="P212" s="2303" t="str">
        <f t="shared" si="36"/>
        <v>--</v>
      </c>
      <c r="R212" s="2303" t="str">
        <f t="shared" si="33"/>
        <v>--</v>
      </c>
      <c r="AA212" s="2060"/>
      <c r="AB212" s="2060"/>
      <c r="AC212" s="2060"/>
      <c r="AD212" s="2060"/>
      <c r="AE212" s="2060"/>
      <c r="AF212" s="2060"/>
    </row>
    <row r="213" spans="1:288" s="89" customFormat="1" ht="13.9">
      <c r="A213" s="269" t="str">
        <f t="shared" si="35"/>
        <v>n</v>
      </c>
      <c r="B213" s="2060"/>
      <c r="D213" s="801"/>
      <c r="E213" s="1505">
        <v>22</v>
      </c>
      <c r="F213" s="266" t="str">
        <f>F$150</f>
        <v>--</v>
      </c>
      <c r="G213" s="2125">
        <f>G$150</f>
        <v>0</v>
      </c>
      <c r="H213" s="2123" t="str">
        <f>H$150</f>
        <v>--</v>
      </c>
      <c r="I213" s="238"/>
      <c r="J213" s="238"/>
      <c r="K213" s="2302" t="str">
        <f t="shared" si="36"/>
        <v>--</v>
      </c>
      <c r="L213" s="2302" t="str">
        <f t="shared" si="36"/>
        <v>--</v>
      </c>
      <c r="M213" s="2302" t="str">
        <f t="shared" si="36"/>
        <v>--</v>
      </c>
      <c r="N213" s="2302" t="str">
        <f t="shared" si="36"/>
        <v>--</v>
      </c>
      <c r="O213" s="2124" t="str">
        <f t="shared" si="36"/>
        <v>--</v>
      </c>
      <c r="P213" s="2303" t="str">
        <f t="shared" si="36"/>
        <v>--</v>
      </c>
      <c r="R213" s="2303" t="str">
        <f t="shared" si="33"/>
        <v>--</v>
      </c>
      <c r="AA213" s="2060"/>
      <c r="AB213" s="2060"/>
      <c r="AC213" s="2060"/>
      <c r="AD213" s="2060"/>
      <c r="AE213" s="2060"/>
      <c r="AF213" s="2060"/>
    </row>
    <row r="214" spans="1:288" s="89" customFormat="1" ht="13.9">
      <c r="A214" s="269" t="str">
        <f t="shared" si="35"/>
        <v>n</v>
      </c>
      <c r="B214" s="2060"/>
      <c r="D214" s="801"/>
      <c r="E214" s="1505">
        <v>23</v>
      </c>
      <c r="F214" s="266" t="str">
        <f>F$151</f>
        <v>--</v>
      </c>
      <c r="G214" s="2125">
        <f>G$151</f>
        <v>0</v>
      </c>
      <c r="H214" s="2123" t="str">
        <f>H$151</f>
        <v>--</v>
      </c>
      <c r="I214" s="238"/>
      <c r="J214" s="238"/>
      <c r="K214" s="2302" t="str">
        <f t="shared" si="36"/>
        <v>--</v>
      </c>
      <c r="L214" s="2302" t="str">
        <f t="shared" si="36"/>
        <v>--</v>
      </c>
      <c r="M214" s="2302" t="str">
        <f t="shared" si="36"/>
        <v>--</v>
      </c>
      <c r="N214" s="2302" t="str">
        <f t="shared" si="36"/>
        <v>--</v>
      </c>
      <c r="O214" s="2124" t="str">
        <f t="shared" si="36"/>
        <v>--</v>
      </c>
      <c r="P214" s="2303" t="str">
        <f t="shared" si="36"/>
        <v>--</v>
      </c>
      <c r="R214" s="2303" t="str">
        <f t="shared" si="33"/>
        <v>--</v>
      </c>
      <c r="AA214" s="2060"/>
      <c r="AB214" s="2060"/>
      <c r="AC214" s="2060"/>
      <c r="AD214" s="2060"/>
      <c r="AE214" s="2060"/>
      <c r="AF214" s="2060"/>
    </row>
    <row r="215" spans="1:288" s="89" customFormat="1" ht="13.9">
      <c r="A215" s="269" t="str">
        <f t="shared" si="35"/>
        <v>n</v>
      </c>
      <c r="B215" s="2060"/>
      <c r="D215" s="801"/>
      <c r="E215" s="1505">
        <v>24</v>
      </c>
      <c r="F215" s="266" t="str">
        <f>F$152</f>
        <v>--</v>
      </c>
      <c r="G215" s="2125">
        <f>G$152</f>
        <v>0</v>
      </c>
      <c r="H215" s="2123" t="str">
        <f>H$152</f>
        <v>--</v>
      </c>
      <c r="I215" s="238"/>
      <c r="J215" s="238"/>
      <c r="K215" s="2302" t="str">
        <f t="shared" si="36"/>
        <v>--</v>
      </c>
      <c r="L215" s="2302" t="str">
        <f t="shared" si="36"/>
        <v>--</v>
      </c>
      <c r="M215" s="2302" t="str">
        <f t="shared" si="36"/>
        <v>--</v>
      </c>
      <c r="N215" s="2302" t="str">
        <f t="shared" si="36"/>
        <v>--</v>
      </c>
      <c r="O215" s="2124" t="str">
        <f t="shared" si="36"/>
        <v>--</v>
      </c>
      <c r="P215" s="2303" t="str">
        <f t="shared" si="36"/>
        <v>--</v>
      </c>
      <c r="R215" s="2303" t="str">
        <f t="shared" si="33"/>
        <v>--</v>
      </c>
      <c r="AA215" s="2060"/>
      <c r="AB215" s="2060"/>
      <c r="AC215" s="2060"/>
      <c r="AD215" s="2060"/>
      <c r="AE215" s="2060"/>
      <c r="AF215" s="2060"/>
    </row>
    <row r="216" spans="1:288" s="89" customFormat="1" ht="13.9">
      <c r="A216" s="269" t="str">
        <f t="shared" si="35"/>
        <v>n</v>
      </c>
      <c r="B216" s="2060"/>
      <c r="D216" s="801"/>
      <c r="E216" s="1505">
        <v>25</v>
      </c>
      <c r="F216" s="266" t="str">
        <f>F$153</f>
        <v>--</v>
      </c>
      <c r="G216" s="2125">
        <f>G$153</f>
        <v>0</v>
      </c>
      <c r="H216" s="2123" t="str">
        <f>H$153</f>
        <v>--</v>
      </c>
      <c r="I216" s="238"/>
      <c r="J216" s="238"/>
      <c r="K216" s="2302" t="str">
        <f t="shared" si="36"/>
        <v>--</v>
      </c>
      <c r="L216" s="2302" t="str">
        <f t="shared" si="36"/>
        <v>--</v>
      </c>
      <c r="M216" s="2302" t="str">
        <f t="shared" si="36"/>
        <v>--</v>
      </c>
      <c r="N216" s="2302" t="str">
        <f t="shared" si="36"/>
        <v>--</v>
      </c>
      <c r="O216" s="2124" t="str">
        <f t="shared" si="36"/>
        <v>--</v>
      </c>
      <c r="P216" s="2303" t="str">
        <f t="shared" si="36"/>
        <v>--</v>
      </c>
      <c r="R216" s="2303" t="str">
        <f t="shared" si="33"/>
        <v>--</v>
      </c>
      <c r="AA216" s="2060"/>
      <c r="AB216" s="2060"/>
      <c r="AC216" s="2060"/>
      <c r="AD216" s="2060"/>
      <c r="AE216" s="2060"/>
      <c r="AF216" s="2060"/>
    </row>
    <row r="217" spans="1:288" s="89" customFormat="1" ht="13.9">
      <c r="A217" s="2060"/>
      <c r="B217" s="2060"/>
      <c r="D217" s="801"/>
      <c r="F217" s="57"/>
      <c r="G217" s="58"/>
      <c r="H217" s="58"/>
      <c r="I217" s="58"/>
      <c r="J217" s="1442"/>
      <c r="K217" s="1443"/>
      <c r="L217" s="1443"/>
      <c r="M217" s="1443"/>
      <c r="N217" s="1443"/>
      <c r="O217" s="1444"/>
      <c r="P217" s="1443"/>
      <c r="R217" s="1443"/>
      <c r="T217" s="1513"/>
      <c r="AA217" s="2060"/>
      <c r="AB217" s="2060"/>
      <c r="AC217" s="2060"/>
      <c r="AD217" s="2060"/>
      <c r="AE217" s="2060"/>
      <c r="AF217" s="2060"/>
    </row>
    <row r="218" spans="1:288" s="89" customFormat="1" ht="18">
      <c r="A218" s="2060"/>
      <c r="B218" s="2060"/>
      <c r="C218" s="1435"/>
      <c r="D218" s="788"/>
      <c r="E218" s="796"/>
      <c r="F218" s="793"/>
      <c r="G218" s="776"/>
      <c r="H218" s="776"/>
      <c r="I218" s="776"/>
      <c r="J218" s="776"/>
      <c r="K218" s="776"/>
      <c r="L218" s="1462"/>
      <c r="M218" s="1462"/>
      <c r="N218" s="1462"/>
      <c r="O218" s="1463"/>
      <c r="P218" s="1464"/>
      <c r="Q218" s="1462"/>
      <c r="R218" s="1462"/>
      <c r="S218" s="1462"/>
      <c r="T218" s="1462"/>
      <c r="U218" s="1462"/>
      <c r="V218" s="1462"/>
      <c r="W218" s="1462"/>
      <c r="X218" s="1462"/>
      <c r="Y218" s="1462"/>
      <c r="Z218" s="795"/>
      <c r="AA218" s="795"/>
      <c r="AB218" s="795"/>
      <c r="AC218" s="795"/>
      <c r="AR218" s="255"/>
      <c r="AS218" s="255"/>
      <c r="AT218" s="126"/>
      <c r="AU218" s="255"/>
      <c r="AV218" s="2060"/>
      <c r="AW218" s="2060"/>
      <c r="AX218" s="2060"/>
      <c r="AY218" s="2060"/>
      <c r="AZ218" s="2060"/>
      <c r="BA218" s="2060"/>
      <c r="BB218" s="255"/>
    </row>
    <row r="219" spans="1:288" s="89" customFormat="1" ht="13.9">
      <c r="A219" s="2060"/>
      <c r="B219" s="2060"/>
      <c r="D219" s="802"/>
      <c r="E219" s="624"/>
      <c r="F219" s="21"/>
      <c r="O219" s="75"/>
      <c r="P219" s="76"/>
      <c r="R219" s="521"/>
      <c r="AR219" s="255"/>
      <c r="AS219" s="255"/>
      <c r="AT219" s="126"/>
      <c r="AU219" s="255"/>
      <c r="AV219" s="255"/>
      <c r="AW219" s="255"/>
      <c r="AX219" s="255"/>
      <c r="AY219" s="255"/>
      <c r="AZ219" s="255"/>
      <c r="BA219" s="255"/>
      <c r="BB219" s="255"/>
      <c r="JX219" s="2126"/>
    </row>
    <row r="220" spans="1:288" s="89" customFormat="1" ht="13.9">
      <c r="A220" s="2060"/>
      <c r="B220" s="2060"/>
      <c r="D220" s="802"/>
      <c r="E220" s="624"/>
      <c r="F220" s="21"/>
      <c r="O220" s="75"/>
      <c r="P220" s="76"/>
      <c r="R220" s="521"/>
      <c r="V220" s="1542"/>
      <c r="W220" s="1542"/>
      <c r="X220" s="1542"/>
      <c r="Y220" s="1542"/>
      <c r="Z220" s="1542"/>
      <c r="AA220" s="1542"/>
      <c r="AB220" s="1542"/>
      <c r="AC220" s="1542"/>
      <c r="AD220" s="1542"/>
      <c r="AE220" s="1542"/>
      <c r="AF220" s="1542"/>
      <c r="AG220" s="1542"/>
      <c r="AH220" s="1542"/>
      <c r="AI220" s="1542"/>
      <c r="AJ220" s="1542"/>
      <c r="AK220" s="1542"/>
      <c r="AL220" s="1542"/>
      <c r="AM220" s="1542"/>
      <c r="AN220" s="1542"/>
      <c r="AO220" s="1542"/>
      <c r="AP220" s="1542"/>
      <c r="AQ220" s="1542"/>
      <c r="AR220" s="1542"/>
      <c r="AS220" s="1542"/>
      <c r="AT220" s="1542"/>
      <c r="AU220" s="1542"/>
      <c r="AV220" s="1542"/>
      <c r="AW220" s="1542"/>
      <c r="AX220" s="1542"/>
      <c r="AY220" s="1542"/>
      <c r="AZ220" s="1542"/>
      <c r="BA220" s="1542"/>
      <c r="BB220" s="1542"/>
      <c r="BC220" s="1542"/>
      <c r="BD220" s="1542"/>
      <c r="BE220" s="1542"/>
      <c r="BF220" s="1542"/>
      <c r="BG220" s="1542"/>
      <c r="BH220" s="1542"/>
      <c r="BI220" s="1542"/>
      <c r="BJ220" s="1542"/>
      <c r="BK220" s="1542"/>
      <c r="BL220" s="1542"/>
      <c r="BM220" s="1542"/>
      <c r="BN220" s="1542"/>
      <c r="BO220" s="1542"/>
      <c r="BP220" s="1542"/>
      <c r="BQ220" s="1542"/>
      <c r="BR220" s="1542"/>
      <c r="BS220" s="1542"/>
      <c r="BT220" s="1542"/>
      <c r="BU220" s="1542"/>
      <c r="BV220" s="1542"/>
      <c r="BW220" s="1542"/>
      <c r="BX220" s="1542"/>
      <c r="BY220" s="1542"/>
      <c r="BZ220" s="1542"/>
      <c r="CA220" s="1542"/>
      <c r="CB220" s="1542"/>
      <c r="CC220" s="1542"/>
      <c r="CD220" s="1542"/>
      <c r="CE220" s="1542"/>
      <c r="CF220" s="1542"/>
      <c r="CG220" s="1542"/>
      <c r="CH220" s="1542"/>
      <c r="CI220" s="1542"/>
      <c r="CJ220" s="1542"/>
      <c r="CK220" s="1542"/>
      <c r="CL220" s="1542"/>
      <c r="CM220" s="1542"/>
      <c r="CN220" s="1542"/>
      <c r="CO220" s="1542"/>
      <c r="CP220" s="1542"/>
      <c r="CQ220" s="1542"/>
      <c r="CR220" s="1542"/>
      <c r="CS220" s="1542"/>
      <c r="CT220" s="1542"/>
      <c r="CU220" s="1542"/>
      <c r="CV220" s="1542"/>
      <c r="CW220" s="1542"/>
      <c r="CX220" s="1542"/>
      <c r="CY220" s="1542"/>
      <c r="CZ220" s="1542"/>
      <c r="DA220" s="1542"/>
      <c r="DB220" s="1542"/>
      <c r="DC220" s="1542"/>
      <c r="DD220" s="1542"/>
      <c r="DE220" s="1542"/>
      <c r="DF220" s="1542"/>
      <c r="DG220" s="1542"/>
      <c r="DH220" s="1542"/>
      <c r="DI220" s="1542"/>
      <c r="DJ220" s="1542"/>
      <c r="DK220" s="1542"/>
      <c r="DL220" s="1542"/>
      <c r="DM220" s="1542"/>
      <c r="DN220" s="1542"/>
      <c r="DO220" s="1542"/>
      <c r="DP220" s="1542"/>
      <c r="DQ220" s="1542"/>
      <c r="DR220" s="1542"/>
      <c r="DS220" s="1542"/>
      <c r="DT220" s="1542"/>
      <c r="DU220" s="1542"/>
      <c r="DV220" s="1542"/>
      <c r="DW220" s="1542"/>
      <c r="DX220" s="1542"/>
      <c r="DY220" s="1542"/>
      <c r="DZ220" s="1542"/>
      <c r="EA220" s="1542"/>
      <c r="EB220" s="1542"/>
      <c r="EC220" s="1542"/>
      <c r="ED220" s="1542"/>
      <c r="EE220" s="1542"/>
      <c r="EF220" s="1542"/>
      <c r="EG220" s="1542"/>
      <c r="EH220" s="1542"/>
      <c r="EI220" s="1542"/>
      <c r="EJ220" s="1542"/>
      <c r="EK220" s="1542"/>
      <c r="EL220" s="1542"/>
      <c r="EM220" s="1542"/>
      <c r="EN220" s="1542"/>
      <c r="EO220" s="1542"/>
      <c r="EP220" s="1542"/>
      <c r="EQ220" s="1542"/>
      <c r="ER220" s="1542"/>
      <c r="ES220" s="1542"/>
      <c r="ET220" s="1542"/>
      <c r="EU220" s="1542"/>
      <c r="EV220" s="1542"/>
      <c r="EW220" s="1542"/>
      <c r="EX220" s="1542"/>
      <c r="EY220" s="1542"/>
      <c r="EZ220" s="1542"/>
      <c r="FA220" s="1542"/>
      <c r="FB220" s="1542"/>
      <c r="FC220" s="1542"/>
      <c r="FD220" s="1542"/>
      <c r="FE220" s="1542"/>
      <c r="FF220" s="1542"/>
      <c r="FG220" s="1542"/>
      <c r="FH220" s="1542"/>
      <c r="FI220" s="1542"/>
      <c r="FJ220" s="1542"/>
      <c r="FK220" s="1542"/>
      <c r="FL220" s="1542"/>
      <c r="FM220" s="1542"/>
      <c r="FN220" s="1542"/>
      <c r="FO220" s="1542"/>
      <c r="FP220" s="1542"/>
      <c r="FQ220" s="1542"/>
      <c r="FR220" s="1542"/>
      <c r="FS220" s="1542"/>
      <c r="FT220" s="1542"/>
      <c r="FU220" s="1542"/>
      <c r="FV220" s="1542"/>
      <c r="FW220" s="1542"/>
      <c r="FX220" s="1542"/>
      <c r="FY220" s="1542"/>
      <c r="FZ220" s="1542"/>
      <c r="GA220" s="1542"/>
      <c r="GB220" s="1542"/>
      <c r="GC220" s="1542"/>
      <c r="GD220" s="1542"/>
      <c r="GE220" s="1542"/>
      <c r="GF220" s="1542"/>
      <c r="GG220" s="1542"/>
      <c r="GH220" s="1542"/>
      <c r="GI220" s="1542"/>
      <c r="GJ220" s="1542"/>
      <c r="GK220" s="1542"/>
      <c r="GL220" s="1542"/>
      <c r="GM220" s="1542"/>
      <c r="GN220" s="1542"/>
      <c r="GO220" s="1542"/>
      <c r="GP220" s="1542"/>
      <c r="GQ220" s="1542"/>
      <c r="GR220" s="1542"/>
      <c r="GS220" s="1542"/>
      <c r="GT220" s="1542"/>
      <c r="GU220" s="1542"/>
      <c r="GV220" s="1542"/>
      <c r="GW220" s="1542"/>
      <c r="GX220" s="1542"/>
      <c r="GY220" s="1542"/>
      <c r="GZ220" s="1542"/>
      <c r="HA220" s="1542"/>
      <c r="HB220" s="1542"/>
      <c r="HC220" s="1542"/>
      <c r="HD220" s="1542"/>
      <c r="HE220" s="1542"/>
      <c r="HF220" s="1542"/>
      <c r="HG220" s="1542"/>
      <c r="HH220" s="1542"/>
      <c r="HI220" s="1542"/>
      <c r="HJ220" s="1542"/>
      <c r="HK220" s="1542"/>
      <c r="HL220" s="1542"/>
      <c r="HM220" s="1542"/>
      <c r="HN220" s="1542"/>
      <c r="HO220" s="1542"/>
      <c r="HP220" s="1542"/>
      <c r="HQ220" s="1542"/>
      <c r="HR220" s="1542"/>
      <c r="HS220" s="1542"/>
      <c r="HT220" s="1542"/>
      <c r="HU220" s="1542"/>
      <c r="HV220" s="1542"/>
      <c r="HW220" s="1542"/>
      <c r="HX220" s="1542"/>
      <c r="HY220" s="1542"/>
      <c r="HZ220" s="1542"/>
      <c r="IA220" s="1542"/>
      <c r="IB220" s="1542"/>
      <c r="IC220" s="1542"/>
      <c r="ID220" s="1542"/>
      <c r="IE220" s="1542"/>
      <c r="IF220" s="1542"/>
      <c r="IG220" s="1542"/>
      <c r="IH220" s="1542"/>
      <c r="II220" s="1542"/>
      <c r="IJ220" s="1542"/>
      <c r="IK220" s="1542"/>
      <c r="IL220" s="1542"/>
      <c r="IM220" s="1542"/>
      <c r="IN220" s="1542"/>
      <c r="IO220" s="1542"/>
      <c r="IP220" s="1542"/>
      <c r="IQ220" s="1542"/>
      <c r="IR220" s="1542"/>
      <c r="IS220" s="1542"/>
      <c r="IT220" s="1542"/>
      <c r="IU220" s="1542"/>
      <c r="IV220" s="1542"/>
      <c r="IW220" s="1542"/>
      <c r="IX220" s="1542"/>
      <c r="IY220" s="1542"/>
      <c r="IZ220" s="1542"/>
      <c r="JA220" s="1542"/>
      <c r="JB220" s="1542"/>
      <c r="JC220" s="1542"/>
      <c r="JD220" s="1542"/>
      <c r="JE220" s="1542"/>
      <c r="JF220" s="1542"/>
      <c r="JG220" s="1542"/>
      <c r="JH220" s="1542"/>
      <c r="JI220" s="1542"/>
      <c r="JJ220" s="1542"/>
      <c r="JK220" s="1542"/>
      <c r="JL220" s="1542"/>
      <c r="JM220" s="1542"/>
      <c r="JN220" s="1542"/>
      <c r="JO220" s="1542"/>
      <c r="JP220" s="1542"/>
      <c r="JQ220" s="1542"/>
      <c r="JR220" s="1542"/>
      <c r="JS220" s="1542"/>
      <c r="JT220" s="1542"/>
      <c r="JU220" s="1542"/>
      <c r="JV220" s="1542"/>
      <c r="JW220" s="1542"/>
      <c r="JX220" s="1542"/>
      <c r="JY220" s="1542"/>
      <c r="JZ220" s="1542"/>
      <c r="KA220" s="1542"/>
      <c r="KB220" s="1542"/>
    </row>
    <row r="221" spans="1:288" s="89" customFormat="1" ht="13.9">
      <c r="A221" s="2060"/>
      <c r="B221" s="2060"/>
      <c r="D221" s="801"/>
      <c r="F221" s="50"/>
      <c r="O221" s="75"/>
      <c r="P221" s="76"/>
      <c r="R221" s="255"/>
      <c r="T221" s="89" t="s">
        <v>772</v>
      </c>
      <c r="U221" s="89">
        <v>1</v>
      </c>
      <c r="V221" s="1542">
        <f t="shared" ref="V221:CG221" si="37">IF(U221=0,0,IF(V222&lt;EDATE(Valuation_Date_GC,-12),0,1))</f>
        <v>1</v>
      </c>
      <c r="W221" s="1542">
        <f t="shared" si="37"/>
        <v>1</v>
      </c>
      <c r="X221" s="1542">
        <f t="shared" si="37"/>
        <v>1</v>
      </c>
      <c r="Y221" s="1542">
        <f t="shared" si="37"/>
        <v>1</v>
      </c>
      <c r="Z221" s="1542">
        <f t="shared" si="37"/>
        <v>1</v>
      </c>
      <c r="AA221" s="1542">
        <f t="shared" si="37"/>
        <v>1</v>
      </c>
      <c r="AB221" s="1542">
        <f t="shared" si="37"/>
        <v>1</v>
      </c>
      <c r="AC221" s="1542">
        <f t="shared" si="37"/>
        <v>1</v>
      </c>
      <c r="AD221" s="1542">
        <f t="shared" si="37"/>
        <v>1</v>
      </c>
      <c r="AE221" s="1542">
        <f t="shared" si="37"/>
        <v>1</v>
      </c>
      <c r="AF221" s="1542">
        <f t="shared" si="37"/>
        <v>1</v>
      </c>
      <c r="AG221" s="1542">
        <f t="shared" si="37"/>
        <v>1</v>
      </c>
      <c r="AH221" s="1542">
        <f t="shared" si="37"/>
        <v>1</v>
      </c>
      <c r="AI221" s="1542">
        <f t="shared" si="37"/>
        <v>1</v>
      </c>
      <c r="AJ221" s="1542">
        <f t="shared" si="37"/>
        <v>1</v>
      </c>
      <c r="AK221" s="1542">
        <f t="shared" si="37"/>
        <v>1</v>
      </c>
      <c r="AL221" s="1542">
        <f t="shared" si="37"/>
        <v>1</v>
      </c>
      <c r="AM221" s="1542">
        <f t="shared" si="37"/>
        <v>1</v>
      </c>
      <c r="AN221" s="1542">
        <f t="shared" si="37"/>
        <v>1</v>
      </c>
      <c r="AO221" s="1542">
        <f t="shared" si="37"/>
        <v>1</v>
      </c>
      <c r="AP221" s="1542">
        <f t="shared" si="37"/>
        <v>1</v>
      </c>
      <c r="AQ221" s="1542">
        <f t="shared" si="37"/>
        <v>1</v>
      </c>
      <c r="AR221" s="1542">
        <f t="shared" si="37"/>
        <v>1</v>
      </c>
      <c r="AS221" s="1542">
        <f t="shared" si="37"/>
        <v>1</v>
      </c>
      <c r="AT221" s="1542">
        <f t="shared" si="37"/>
        <v>1</v>
      </c>
      <c r="AU221" s="1542">
        <f t="shared" si="37"/>
        <v>1</v>
      </c>
      <c r="AV221" s="1542">
        <f t="shared" si="37"/>
        <v>1</v>
      </c>
      <c r="AW221" s="1542">
        <f t="shared" si="37"/>
        <v>1</v>
      </c>
      <c r="AX221" s="1542">
        <f t="shared" si="37"/>
        <v>1</v>
      </c>
      <c r="AY221" s="1542">
        <f t="shared" si="37"/>
        <v>1</v>
      </c>
      <c r="AZ221" s="1542">
        <f t="shared" si="37"/>
        <v>1</v>
      </c>
      <c r="BA221" s="1542">
        <f t="shared" si="37"/>
        <v>1</v>
      </c>
      <c r="BB221" s="1542">
        <f t="shared" si="37"/>
        <v>1</v>
      </c>
      <c r="BC221" s="1542">
        <f t="shared" si="37"/>
        <v>1</v>
      </c>
      <c r="BD221" s="1542">
        <f t="shared" si="37"/>
        <v>1</v>
      </c>
      <c r="BE221" s="1542">
        <f t="shared" si="37"/>
        <v>1</v>
      </c>
      <c r="BF221" s="1542">
        <f t="shared" si="37"/>
        <v>1</v>
      </c>
      <c r="BG221" s="1542">
        <f t="shared" si="37"/>
        <v>1</v>
      </c>
      <c r="BH221" s="1542">
        <f t="shared" si="37"/>
        <v>1</v>
      </c>
      <c r="BI221" s="1542">
        <f t="shared" si="37"/>
        <v>1</v>
      </c>
      <c r="BJ221" s="1542">
        <f t="shared" si="37"/>
        <v>1</v>
      </c>
      <c r="BK221" s="1542">
        <f t="shared" si="37"/>
        <v>1</v>
      </c>
      <c r="BL221" s="1542">
        <f t="shared" si="37"/>
        <v>1</v>
      </c>
      <c r="BM221" s="1542">
        <f t="shared" si="37"/>
        <v>1</v>
      </c>
      <c r="BN221" s="1542">
        <f t="shared" si="37"/>
        <v>1</v>
      </c>
      <c r="BO221" s="1542">
        <f t="shared" si="37"/>
        <v>1</v>
      </c>
      <c r="BP221" s="1542">
        <f t="shared" si="37"/>
        <v>1</v>
      </c>
      <c r="BQ221" s="1542">
        <f t="shared" si="37"/>
        <v>1</v>
      </c>
      <c r="BR221" s="1542">
        <f t="shared" si="37"/>
        <v>1</v>
      </c>
      <c r="BS221" s="1542">
        <f t="shared" si="37"/>
        <v>1</v>
      </c>
      <c r="BT221" s="1542">
        <f t="shared" si="37"/>
        <v>1</v>
      </c>
      <c r="BU221" s="1542">
        <f t="shared" si="37"/>
        <v>1</v>
      </c>
      <c r="BV221" s="1542">
        <f t="shared" si="37"/>
        <v>1</v>
      </c>
      <c r="BW221" s="1542">
        <f t="shared" si="37"/>
        <v>1</v>
      </c>
      <c r="BX221" s="1542">
        <f t="shared" si="37"/>
        <v>1</v>
      </c>
      <c r="BY221" s="1542">
        <f t="shared" si="37"/>
        <v>1</v>
      </c>
      <c r="BZ221" s="1542">
        <f t="shared" si="37"/>
        <v>1</v>
      </c>
      <c r="CA221" s="1542">
        <f t="shared" si="37"/>
        <v>1</v>
      </c>
      <c r="CB221" s="1542">
        <f t="shared" si="37"/>
        <v>1</v>
      </c>
      <c r="CC221" s="1542">
        <f t="shared" si="37"/>
        <v>1</v>
      </c>
      <c r="CD221" s="1542">
        <f t="shared" si="37"/>
        <v>1</v>
      </c>
      <c r="CE221" s="1542">
        <f t="shared" si="37"/>
        <v>1</v>
      </c>
      <c r="CF221" s="1542">
        <f t="shared" si="37"/>
        <v>1</v>
      </c>
      <c r="CG221" s="1542">
        <f t="shared" si="37"/>
        <v>1</v>
      </c>
      <c r="CH221" s="1542">
        <f t="shared" ref="CH221:ES221" si="38">IF(CG221=0,0,IF(CH222&lt;EDATE(Valuation_Date_GC,-12),0,1))</f>
        <v>1</v>
      </c>
      <c r="CI221" s="1542">
        <f t="shared" si="38"/>
        <v>1</v>
      </c>
      <c r="CJ221" s="1542">
        <f t="shared" si="38"/>
        <v>1</v>
      </c>
      <c r="CK221" s="1542">
        <f t="shared" si="38"/>
        <v>1</v>
      </c>
      <c r="CL221" s="1542">
        <f t="shared" si="38"/>
        <v>1</v>
      </c>
      <c r="CM221" s="1542">
        <f t="shared" si="38"/>
        <v>1</v>
      </c>
      <c r="CN221" s="1542">
        <f t="shared" si="38"/>
        <v>1</v>
      </c>
      <c r="CO221" s="1542">
        <f t="shared" si="38"/>
        <v>1</v>
      </c>
      <c r="CP221" s="1542">
        <f t="shared" si="38"/>
        <v>1</v>
      </c>
      <c r="CQ221" s="1542">
        <f t="shared" si="38"/>
        <v>1</v>
      </c>
      <c r="CR221" s="1542">
        <f t="shared" si="38"/>
        <v>1</v>
      </c>
      <c r="CS221" s="1542">
        <f t="shared" si="38"/>
        <v>1</v>
      </c>
      <c r="CT221" s="1542">
        <f t="shared" si="38"/>
        <v>1</v>
      </c>
      <c r="CU221" s="1542">
        <f t="shared" si="38"/>
        <v>1</v>
      </c>
      <c r="CV221" s="1542">
        <f t="shared" si="38"/>
        <v>1</v>
      </c>
      <c r="CW221" s="1542">
        <f t="shared" si="38"/>
        <v>1</v>
      </c>
      <c r="CX221" s="1542">
        <f t="shared" si="38"/>
        <v>1</v>
      </c>
      <c r="CY221" s="1542">
        <f t="shared" si="38"/>
        <v>1</v>
      </c>
      <c r="CZ221" s="1542">
        <f t="shared" si="38"/>
        <v>1</v>
      </c>
      <c r="DA221" s="1542">
        <f t="shared" si="38"/>
        <v>1</v>
      </c>
      <c r="DB221" s="1542">
        <f t="shared" si="38"/>
        <v>1</v>
      </c>
      <c r="DC221" s="1542">
        <f t="shared" si="38"/>
        <v>1</v>
      </c>
      <c r="DD221" s="1542">
        <f t="shared" si="38"/>
        <v>1</v>
      </c>
      <c r="DE221" s="1542">
        <f t="shared" si="38"/>
        <v>1</v>
      </c>
      <c r="DF221" s="1542">
        <f t="shared" si="38"/>
        <v>1</v>
      </c>
      <c r="DG221" s="1542">
        <f t="shared" si="38"/>
        <v>1</v>
      </c>
      <c r="DH221" s="1542">
        <f t="shared" si="38"/>
        <v>1</v>
      </c>
      <c r="DI221" s="1542">
        <f t="shared" si="38"/>
        <v>1</v>
      </c>
      <c r="DJ221" s="1542">
        <f t="shared" si="38"/>
        <v>1</v>
      </c>
      <c r="DK221" s="1542">
        <f t="shared" si="38"/>
        <v>1</v>
      </c>
      <c r="DL221" s="1542">
        <f t="shared" si="38"/>
        <v>1</v>
      </c>
      <c r="DM221" s="1542">
        <f t="shared" si="38"/>
        <v>1</v>
      </c>
      <c r="DN221" s="1542">
        <f t="shared" si="38"/>
        <v>1</v>
      </c>
      <c r="DO221" s="1542">
        <f t="shared" si="38"/>
        <v>1</v>
      </c>
      <c r="DP221" s="1542">
        <f t="shared" si="38"/>
        <v>1</v>
      </c>
      <c r="DQ221" s="1542">
        <f t="shared" si="38"/>
        <v>1</v>
      </c>
      <c r="DR221" s="1542">
        <f t="shared" si="38"/>
        <v>1</v>
      </c>
      <c r="DS221" s="1542">
        <f t="shared" si="38"/>
        <v>1</v>
      </c>
      <c r="DT221" s="1542">
        <f t="shared" si="38"/>
        <v>1</v>
      </c>
      <c r="DU221" s="1542">
        <f t="shared" si="38"/>
        <v>1</v>
      </c>
      <c r="DV221" s="1542">
        <f t="shared" si="38"/>
        <v>1</v>
      </c>
      <c r="DW221" s="1542">
        <f t="shared" si="38"/>
        <v>1</v>
      </c>
      <c r="DX221" s="1542">
        <f t="shared" si="38"/>
        <v>1</v>
      </c>
      <c r="DY221" s="1542">
        <f t="shared" si="38"/>
        <v>1</v>
      </c>
      <c r="DZ221" s="1542">
        <f t="shared" si="38"/>
        <v>1</v>
      </c>
      <c r="EA221" s="1542">
        <f t="shared" si="38"/>
        <v>1</v>
      </c>
      <c r="EB221" s="1542">
        <f t="shared" si="38"/>
        <v>1</v>
      </c>
      <c r="EC221" s="1542">
        <f t="shared" si="38"/>
        <v>1</v>
      </c>
      <c r="ED221" s="1542">
        <f t="shared" si="38"/>
        <v>1</v>
      </c>
      <c r="EE221" s="1542">
        <f t="shared" si="38"/>
        <v>1</v>
      </c>
      <c r="EF221" s="1542">
        <f t="shared" si="38"/>
        <v>1</v>
      </c>
      <c r="EG221" s="1542">
        <f t="shared" si="38"/>
        <v>1</v>
      </c>
      <c r="EH221" s="1542">
        <f t="shared" si="38"/>
        <v>1</v>
      </c>
      <c r="EI221" s="1542">
        <f t="shared" si="38"/>
        <v>1</v>
      </c>
      <c r="EJ221" s="1542">
        <f t="shared" si="38"/>
        <v>1</v>
      </c>
      <c r="EK221" s="1542">
        <f t="shared" si="38"/>
        <v>1</v>
      </c>
      <c r="EL221" s="1542">
        <f t="shared" si="38"/>
        <v>1</v>
      </c>
      <c r="EM221" s="1542">
        <f t="shared" si="38"/>
        <v>1</v>
      </c>
      <c r="EN221" s="1542">
        <f t="shared" si="38"/>
        <v>1</v>
      </c>
      <c r="EO221" s="1542">
        <f t="shared" si="38"/>
        <v>1</v>
      </c>
      <c r="EP221" s="1542">
        <f t="shared" si="38"/>
        <v>1</v>
      </c>
      <c r="EQ221" s="1542">
        <f t="shared" si="38"/>
        <v>1</v>
      </c>
      <c r="ER221" s="1542">
        <f t="shared" si="38"/>
        <v>1</v>
      </c>
      <c r="ES221" s="1542">
        <f t="shared" si="38"/>
        <v>1</v>
      </c>
      <c r="ET221" s="1542">
        <f t="shared" ref="ET221:HE221" si="39">IF(ES221=0,0,IF(ET222&lt;EDATE(Valuation_Date_GC,-12),0,1))</f>
        <v>1</v>
      </c>
      <c r="EU221" s="1542">
        <f t="shared" si="39"/>
        <v>1</v>
      </c>
      <c r="EV221" s="1542">
        <f t="shared" si="39"/>
        <v>1</v>
      </c>
      <c r="EW221" s="1542">
        <f t="shared" si="39"/>
        <v>1</v>
      </c>
      <c r="EX221" s="1542">
        <f t="shared" si="39"/>
        <v>1</v>
      </c>
      <c r="EY221" s="1542">
        <f t="shared" si="39"/>
        <v>1</v>
      </c>
      <c r="EZ221" s="1542">
        <f t="shared" si="39"/>
        <v>1</v>
      </c>
      <c r="FA221" s="1542">
        <f t="shared" si="39"/>
        <v>1</v>
      </c>
      <c r="FB221" s="1542">
        <f t="shared" si="39"/>
        <v>1</v>
      </c>
      <c r="FC221" s="1542">
        <f t="shared" si="39"/>
        <v>1</v>
      </c>
      <c r="FD221" s="1542">
        <f t="shared" si="39"/>
        <v>1</v>
      </c>
      <c r="FE221" s="1542">
        <f t="shared" si="39"/>
        <v>1</v>
      </c>
      <c r="FF221" s="1542">
        <f t="shared" si="39"/>
        <v>1</v>
      </c>
      <c r="FG221" s="1542">
        <f t="shared" si="39"/>
        <v>1</v>
      </c>
      <c r="FH221" s="1542">
        <f t="shared" si="39"/>
        <v>1</v>
      </c>
      <c r="FI221" s="1542">
        <f t="shared" si="39"/>
        <v>1</v>
      </c>
      <c r="FJ221" s="1542">
        <f t="shared" si="39"/>
        <v>1</v>
      </c>
      <c r="FK221" s="1542">
        <f t="shared" si="39"/>
        <v>1</v>
      </c>
      <c r="FL221" s="1542">
        <f t="shared" si="39"/>
        <v>1</v>
      </c>
      <c r="FM221" s="1542">
        <f t="shared" si="39"/>
        <v>1</v>
      </c>
      <c r="FN221" s="1542">
        <f t="shared" si="39"/>
        <v>1</v>
      </c>
      <c r="FO221" s="1542">
        <f t="shared" si="39"/>
        <v>1</v>
      </c>
      <c r="FP221" s="1542">
        <f t="shared" si="39"/>
        <v>1</v>
      </c>
      <c r="FQ221" s="1542">
        <f t="shared" si="39"/>
        <v>1</v>
      </c>
      <c r="FR221" s="1542">
        <f t="shared" si="39"/>
        <v>1</v>
      </c>
      <c r="FS221" s="1542">
        <f t="shared" si="39"/>
        <v>1</v>
      </c>
      <c r="FT221" s="1542">
        <f t="shared" si="39"/>
        <v>1</v>
      </c>
      <c r="FU221" s="1542">
        <f t="shared" si="39"/>
        <v>1</v>
      </c>
      <c r="FV221" s="1542">
        <f t="shared" si="39"/>
        <v>1</v>
      </c>
      <c r="FW221" s="1542">
        <f t="shared" si="39"/>
        <v>1</v>
      </c>
      <c r="FX221" s="1542">
        <f t="shared" si="39"/>
        <v>1</v>
      </c>
      <c r="FY221" s="1542">
        <f t="shared" si="39"/>
        <v>1</v>
      </c>
      <c r="FZ221" s="1542">
        <f t="shared" si="39"/>
        <v>1</v>
      </c>
      <c r="GA221" s="1542">
        <f t="shared" si="39"/>
        <v>1</v>
      </c>
      <c r="GB221" s="1542">
        <f t="shared" si="39"/>
        <v>1</v>
      </c>
      <c r="GC221" s="1542">
        <f t="shared" si="39"/>
        <v>1</v>
      </c>
      <c r="GD221" s="1542">
        <f t="shared" si="39"/>
        <v>1</v>
      </c>
      <c r="GE221" s="1542">
        <f t="shared" si="39"/>
        <v>1</v>
      </c>
      <c r="GF221" s="1542">
        <f t="shared" si="39"/>
        <v>1</v>
      </c>
      <c r="GG221" s="1542">
        <f t="shared" si="39"/>
        <v>1</v>
      </c>
      <c r="GH221" s="1542">
        <f t="shared" si="39"/>
        <v>1</v>
      </c>
      <c r="GI221" s="1542">
        <f t="shared" si="39"/>
        <v>1</v>
      </c>
      <c r="GJ221" s="1542">
        <f t="shared" si="39"/>
        <v>1</v>
      </c>
      <c r="GK221" s="1542">
        <f t="shared" si="39"/>
        <v>1</v>
      </c>
      <c r="GL221" s="1542">
        <f t="shared" si="39"/>
        <v>1</v>
      </c>
      <c r="GM221" s="1542">
        <f t="shared" si="39"/>
        <v>1</v>
      </c>
      <c r="GN221" s="1542">
        <f t="shared" si="39"/>
        <v>1</v>
      </c>
      <c r="GO221" s="1542">
        <f t="shared" si="39"/>
        <v>1</v>
      </c>
      <c r="GP221" s="1542">
        <f t="shared" si="39"/>
        <v>1</v>
      </c>
      <c r="GQ221" s="1542">
        <f t="shared" si="39"/>
        <v>1</v>
      </c>
      <c r="GR221" s="1542">
        <f t="shared" si="39"/>
        <v>1</v>
      </c>
      <c r="GS221" s="1542">
        <f t="shared" si="39"/>
        <v>1</v>
      </c>
      <c r="GT221" s="1542">
        <f t="shared" si="39"/>
        <v>1</v>
      </c>
      <c r="GU221" s="1542">
        <f t="shared" si="39"/>
        <v>1</v>
      </c>
      <c r="GV221" s="1542">
        <f t="shared" si="39"/>
        <v>1</v>
      </c>
      <c r="GW221" s="1542">
        <f t="shared" si="39"/>
        <v>1</v>
      </c>
      <c r="GX221" s="1542">
        <f t="shared" si="39"/>
        <v>1</v>
      </c>
      <c r="GY221" s="1542">
        <f t="shared" si="39"/>
        <v>1</v>
      </c>
      <c r="GZ221" s="1542">
        <f t="shared" si="39"/>
        <v>1</v>
      </c>
      <c r="HA221" s="1542">
        <f t="shared" si="39"/>
        <v>1</v>
      </c>
      <c r="HB221" s="1542">
        <f t="shared" si="39"/>
        <v>1</v>
      </c>
      <c r="HC221" s="1542">
        <f t="shared" si="39"/>
        <v>1</v>
      </c>
      <c r="HD221" s="1542">
        <f t="shared" si="39"/>
        <v>1</v>
      </c>
      <c r="HE221" s="1542">
        <f t="shared" si="39"/>
        <v>1</v>
      </c>
      <c r="HF221" s="1542">
        <f t="shared" ref="HF221:JQ221" si="40">IF(HE221=0,0,IF(HF222&lt;EDATE(Valuation_Date_GC,-12),0,1))</f>
        <v>1</v>
      </c>
      <c r="HG221" s="1542">
        <f t="shared" si="40"/>
        <v>1</v>
      </c>
      <c r="HH221" s="1542">
        <f t="shared" si="40"/>
        <v>1</v>
      </c>
      <c r="HI221" s="1542">
        <f t="shared" si="40"/>
        <v>1</v>
      </c>
      <c r="HJ221" s="1542">
        <f t="shared" si="40"/>
        <v>1</v>
      </c>
      <c r="HK221" s="1542">
        <f t="shared" si="40"/>
        <v>1</v>
      </c>
      <c r="HL221" s="1542">
        <f t="shared" si="40"/>
        <v>1</v>
      </c>
      <c r="HM221" s="1542">
        <f t="shared" si="40"/>
        <v>1</v>
      </c>
      <c r="HN221" s="1542">
        <f t="shared" si="40"/>
        <v>1</v>
      </c>
      <c r="HO221" s="1542">
        <f t="shared" si="40"/>
        <v>1</v>
      </c>
      <c r="HP221" s="1542">
        <f t="shared" si="40"/>
        <v>1</v>
      </c>
      <c r="HQ221" s="1542">
        <f t="shared" si="40"/>
        <v>1</v>
      </c>
      <c r="HR221" s="1542">
        <f t="shared" si="40"/>
        <v>1</v>
      </c>
      <c r="HS221" s="1542">
        <f t="shared" si="40"/>
        <v>1</v>
      </c>
      <c r="HT221" s="1542">
        <f t="shared" si="40"/>
        <v>1</v>
      </c>
      <c r="HU221" s="1542">
        <f t="shared" si="40"/>
        <v>1</v>
      </c>
      <c r="HV221" s="1542">
        <f t="shared" si="40"/>
        <v>1</v>
      </c>
      <c r="HW221" s="1542">
        <f t="shared" si="40"/>
        <v>1</v>
      </c>
      <c r="HX221" s="1542">
        <f t="shared" si="40"/>
        <v>1</v>
      </c>
      <c r="HY221" s="1542">
        <f t="shared" si="40"/>
        <v>1</v>
      </c>
      <c r="HZ221" s="1542">
        <f t="shared" si="40"/>
        <v>1</v>
      </c>
      <c r="IA221" s="1542">
        <f t="shared" si="40"/>
        <v>1</v>
      </c>
      <c r="IB221" s="1542">
        <f t="shared" si="40"/>
        <v>1</v>
      </c>
      <c r="IC221" s="1542">
        <f t="shared" si="40"/>
        <v>1</v>
      </c>
      <c r="ID221" s="1542">
        <f t="shared" si="40"/>
        <v>1</v>
      </c>
      <c r="IE221" s="1542">
        <f t="shared" si="40"/>
        <v>1</v>
      </c>
      <c r="IF221" s="1542">
        <f t="shared" si="40"/>
        <v>1</v>
      </c>
      <c r="IG221" s="1542">
        <f t="shared" si="40"/>
        <v>1</v>
      </c>
      <c r="IH221" s="1542">
        <f t="shared" si="40"/>
        <v>1</v>
      </c>
      <c r="II221" s="1542">
        <f t="shared" si="40"/>
        <v>1</v>
      </c>
      <c r="IJ221" s="1542">
        <f t="shared" si="40"/>
        <v>1</v>
      </c>
      <c r="IK221" s="1542">
        <f t="shared" si="40"/>
        <v>1</v>
      </c>
      <c r="IL221" s="1542">
        <f t="shared" si="40"/>
        <v>1</v>
      </c>
      <c r="IM221" s="1542">
        <f t="shared" si="40"/>
        <v>1</v>
      </c>
      <c r="IN221" s="1542">
        <f t="shared" si="40"/>
        <v>1</v>
      </c>
      <c r="IO221" s="1542">
        <f t="shared" si="40"/>
        <v>1</v>
      </c>
      <c r="IP221" s="1542">
        <f t="shared" si="40"/>
        <v>1</v>
      </c>
      <c r="IQ221" s="1542">
        <f t="shared" si="40"/>
        <v>1</v>
      </c>
      <c r="IR221" s="1542">
        <f t="shared" si="40"/>
        <v>1</v>
      </c>
      <c r="IS221" s="1542">
        <f t="shared" si="40"/>
        <v>1</v>
      </c>
      <c r="IT221" s="1542">
        <f t="shared" si="40"/>
        <v>1</v>
      </c>
      <c r="IU221" s="1542">
        <f t="shared" si="40"/>
        <v>1</v>
      </c>
      <c r="IV221" s="1542">
        <f t="shared" si="40"/>
        <v>1</v>
      </c>
      <c r="IW221" s="1542">
        <f t="shared" si="40"/>
        <v>1</v>
      </c>
      <c r="IX221" s="1542">
        <f t="shared" si="40"/>
        <v>1</v>
      </c>
      <c r="IY221" s="1542">
        <f t="shared" si="40"/>
        <v>1</v>
      </c>
      <c r="IZ221" s="1542">
        <f t="shared" si="40"/>
        <v>1</v>
      </c>
      <c r="JA221" s="1542">
        <f t="shared" si="40"/>
        <v>1</v>
      </c>
      <c r="JB221" s="1542">
        <f t="shared" si="40"/>
        <v>1</v>
      </c>
      <c r="JC221" s="1542">
        <f t="shared" si="40"/>
        <v>1</v>
      </c>
      <c r="JD221" s="1542">
        <f t="shared" si="40"/>
        <v>1</v>
      </c>
      <c r="JE221" s="1542">
        <f t="shared" si="40"/>
        <v>1</v>
      </c>
      <c r="JF221" s="1542">
        <f t="shared" si="40"/>
        <v>1</v>
      </c>
      <c r="JG221" s="1542">
        <f t="shared" si="40"/>
        <v>1</v>
      </c>
      <c r="JH221" s="1542">
        <f t="shared" si="40"/>
        <v>1</v>
      </c>
      <c r="JI221" s="1542">
        <f t="shared" si="40"/>
        <v>1</v>
      </c>
      <c r="JJ221" s="1542">
        <f t="shared" si="40"/>
        <v>1</v>
      </c>
      <c r="JK221" s="1542">
        <f t="shared" si="40"/>
        <v>1</v>
      </c>
      <c r="JL221" s="1542">
        <f t="shared" si="40"/>
        <v>1</v>
      </c>
      <c r="JM221" s="1542">
        <f t="shared" si="40"/>
        <v>1</v>
      </c>
      <c r="JN221" s="1542">
        <f t="shared" si="40"/>
        <v>1</v>
      </c>
      <c r="JO221" s="1542">
        <f t="shared" si="40"/>
        <v>1</v>
      </c>
      <c r="JP221" s="1542">
        <f t="shared" si="40"/>
        <v>1</v>
      </c>
      <c r="JQ221" s="1542">
        <f t="shared" si="40"/>
        <v>1</v>
      </c>
      <c r="JR221" s="1542">
        <f t="shared" ref="JR221:KB221" si="41">IF(JQ221=0,0,IF(JR222&lt;EDATE(Valuation_Date_GC,-12),0,1))</f>
        <v>1</v>
      </c>
      <c r="JS221" s="1542">
        <f t="shared" si="41"/>
        <v>1</v>
      </c>
      <c r="JT221" s="1542">
        <f t="shared" si="41"/>
        <v>1</v>
      </c>
      <c r="JU221" s="1542">
        <f t="shared" si="41"/>
        <v>1</v>
      </c>
      <c r="JV221" s="1542">
        <f t="shared" si="41"/>
        <v>1</v>
      </c>
      <c r="JW221" s="1542">
        <f t="shared" si="41"/>
        <v>0</v>
      </c>
      <c r="JX221" s="1542">
        <f t="shared" si="41"/>
        <v>0</v>
      </c>
      <c r="JY221" s="1542">
        <f t="shared" si="41"/>
        <v>0</v>
      </c>
      <c r="JZ221" s="1542">
        <f t="shared" si="41"/>
        <v>0</v>
      </c>
      <c r="KA221" s="1542">
        <f t="shared" si="41"/>
        <v>0</v>
      </c>
      <c r="KB221" s="1542">
        <f t="shared" si="41"/>
        <v>0</v>
      </c>
    </row>
    <row r="222" spans="1:288" s="89" customFormat="1" ht="13.9">
      <c r="A222" s="2060"/>
      <c r="B222" s="2060"/>
      <c r="D222" s="778">
        <f ca="1">MAX(OFFSET(D222,-1,0,-ROW(D222)+1,-2),1)+0.01</f>
        <v>4.0299999999999994</v>
      </c>
      <c r="E222" s="668"/>
      <c r="F222" s="952" t="s">
        <v>423</v>
      </c>
      <c r="G222" s="724" t="s">
        <v>777</v>
      </c>
      <c r="H222" s="725" t="s">
        <v>778</v>
      </c>
      <c r="I222" s="261">
        <f>IFERROR(IF(PensionSetting="Included in Debt",1,0),0)</f>
        <v>0</v>
      </c>
      <c r="J222" s="89" t="s">
        <v>779</v>
      </c>
      <c r="K222" s="758" t="s">
        <v>700</v>
      </c>
      <c r="L222" s="758" t="s">
        <v>701</v>
      </c>
      <c r="M222" s="758" t="s">
        <v>702</v>
      </c>
      <c r="N222" s="758" t="s">
        <v>703</v>
      </c>
      <c r="O222" s="759" t="s">
        <v>704</v>
      </c>
      <c r="P222" s="725" t="s">
        <v>780</v>
      </c>
      <c r="R222" s="255"/>
      <c r="T222" s="129" t="s">
        <v>178</v>
      </c>
      <c r="U222" s="2129">
        <f>Valuation_Date_GC</f>
        <v>42794</v>
      </c>
      <c r="V222" s="2130">
        <f t="shared" ref="V222:CG222" si="42">IF(WEEKDAY(U222)=2,U222-3,U222-1)</f>
        <v>42793</v>
      </c>
      <c r="W222" s="2130">
        <f t="shared" si="42"/>
        <v>42790</v>
      </c>
      <c r="X222" s="2130">
        <f t="shared" si="42"/>
        <v>42789</v>
      </c>
      <c r="Y222" s="2130">
        <f t="shared" si="42"/>
        <v>42788</v>
      </c>
      <c r="Z222" s="2130">
        <f t="shared" si="42"/>
        <v>42787</v>
      </c>
      <c r="AA222" s="2130">
        <f t="shared" si="42"/>
        <v>42786</v>
      </c>
      <c r="AB222" s="2130">
        <f t="shared" si="42"/>
        <v>42783</v>
      </c>
      <c r="AC222" s="2130">
        <f t="shared" si="42"/>
        <v>42782</v>
      </c>
      <c r="AD222" s="2130">
        <f t="shared" si="42"/>
        <v>42781</v>
      </c>
      <c r="AE222" s="2130">
        <f t="shared" si="42"/>
        <v>42780</v>
      </c>
      <c r="AF222" s="2130">
        <f t="shared" si="42"/>
        <v>42779</v>
      </c>
      <c r="AG222" s="2130">
        <f t="shared" si="42"/>
        <v>42776</v>
      </c>
      <c r="AH222" s="2130">
        <f t="shared" si="42"/>
        <v>42775</v>
      </c>
      <c r="AI222" s="2130">
        <f t="shared" si="42"/>
        <v>42774</v>
      </c>
      <c r="AJ222" s="2130">
        <f t="shared" si="42"/>
        <v>42773</v>
      </c>
      <c r="AK222" s="2130">
        <f t="shared" si="42"/>
        <v>42772</v>
      </c>
      <c r="AL222" s="2130">
        <f t="shared" si="42"/>
        <v>42769</v>
      </c>
      <c r="AM222" s="2130">
        <f t="shared" si="42"/>
        <v>42768</v>
      </c>
      <c r="AN222" s="2130">
        <f t="shared" si="42"/>
        <v>42767</v>
      </c>
      <c r="AO222" s="2130">
        <f t="shared" si="42"/>
        <v>42766</v>
      </c>
      <c r="AP222" s="2130">
        <f t="shared" si="42"/>
        <v>42765</v>
      </c>
      <c r="AQ222" s="2130">
        <f t="shared" si="42"/>
        <v>42762</v>
      </c>
      <c r="AR222" s="2130">
        <f t="shared" si="42"/>
        <v>42761</v>
      </c>
      <c r="AS222" s="2130">
        <f t="shared" si="42"/>
        <v>42760</v>
      </c>
      <c r="AT222" s="2130">
        <f t="shared" si="42"/>
        <v>42759</v>
      </c>
      <c r="AU222" s="2130">
        <f t="shared" si="42"/>
        <v>42758</v>
      </c>
      <c r="AV222" s="2130">
        <f t="shared" si="42"/>
        <v>42755</v>
      </c>
      <c r="AW222" s="2130">
        <f t="shared" si="42"/>
        <v>42754</v>
      </c>
      <c r="AX222" s="2130">
        <f t="shared" si="42"/>
        <v>42753</v>
      </c>
      <c r="AY222" s="2130">
        <f t="shared" si="42"/>
        <v>42752</v>
      </c>
      <c r="AZ222" s="2130">
        <f t="shared" si="42"/>
        <v>42751</v>
      </c>
      <c r="BA222" s="2130">
        <f t="shared" si="42"/>
        <v>42748</v>
      </c>
      <c r="BB222" s="2130">
        <f t="shared" si="42"/>
        <v>42747</v>
      </c>
      <c r="BC222" s="2130">
        <f t="shared" si="42"/>
        <v>42746</v>
      </c>
      <c r="BD222" s="2130">
        <f t="shared" si="42"/>
        <v>42745</v>
      </c>
      <c r="BE222" s="2130">
        <f t="shared" si="42"/>
        <v>42744</v>
      </c>
      <c r="BF222" s="2130">
        <f t="shared" si="42"/>
        <v>42741</v>
      </c>
      <c r="BG222" s="2130">
        <f t="shared" si="42"/>
        <v>42740</v>
      </c>
      <c r="BH222" s="2130">
        <f t="shared" si="42"/>
        <v>42739</v>
      </c>
      <c r="BI222" s="2130">
        <f t="shared" si="42"/>
        <v>42738</v>
      </c>
      <c r="BJ222" s="2130">
        <f t="shared" si="42"/>
        <v>42737</v>
      </c>
      <c r="BK222" s="2130">
        <f t="shared" si="42"/>
        <v>42734</v>
      </c>
      <c r="BL222" s="2130">
        <f t="shared" si="42"/>
        <v>42733</v>
      </c>
      <c r="BM222" s="2130">
        <f t="shared" si="42"/>
        <v>42732</v>
      </c>
      <c r="BN222" s="2130">
        <f t="shared" si="42"/>
        <v>42731</v>
      </c>
      <c r="BO222" s="2130">
        <f t="shared" si="42"/>
        <v>42730</v>
      </c>
      <c r="BP222" s="2130">
        <f t="shared" si="42"/>
        <v>42727</v>
      </c>
      <c r="BQ222" s="2130">
        <f t="shared" si="42"/>
        <v>42726</v>
      </c>
      <c r="BR222" s="2130">
        <f t="shared" si="42"/>
        <v>42725</v>
      </c>
      <c r="BS222" s="2130">
        <f t="shared" si="42"/>
        <v>42724</v>
      </c>
      <c r="BT222" s="2130">
        <f t="shared" si="42"/>
        <v>42723</v>
      </c>
      <c r="BU222" s="2130">
        <f t="shared" si="42"/>
        <v>42720</v>
      </c>
      <c r="BV222" s="2130">
        <f t="shared" si="42"/>
        <v>42719</v>
      </c>
      <c r="BW222" s="2130">
        <f t="shared" si="42"/>
        <v>42718</v>
      </c>
      <c r="BX222" s="2130">
        <f t="shared" si="42"/>
        <v>42717</v>
      </c>
      <c r="BY222" s="2130">
        <f t="shared" si="42"/>
        <v>42716</v>
      </c>
      <c r="BZ222" s="2130">
        <f t="shared" si="42"/>
        <v>42713</v>
      </c>
      <c r="CA222" s="2130">
        <f t="shared" si="42"/>
        <v>42712</v>
      </c>
      <c r="CB222" s="2130">
        <f t="shared" si="42"/>
        <v>42711</v>
      </c>
      <c r="CC222" s="2130">
        <f t="shared" si="42"/>
        <v>42710</v>
      </c>
      <c r="CD222" s="2130">
        <f t="shared" si="42"/>
        <v>42709</v>
      </c>
      <c r="CE222" s="2130">
        <f t="shared" si="42"/>
        <v>42706</v>
      </c>
      <c r="CF222" s="2130">
        <f t="shared" si="42"/>
        <v>42705</v>
      </c>
      <c r="CG222" s="2130">
        <f t="shared" si="42"/>
        <v>42704</v>
      </c>
      <c r="CH222" s="2130">
        <f t="shared" ref="CH222:ES222" si="43">IF(WEEKDAY(CG222)=2,CG222-3,CG222-1)</f>
        <v>42703</v>
      </c>
      <c r="CI222" s="2130">
        <f t="shared" si="43"/>
        <v>42702</v>
      </c>
      <c r="CJ222" s="2130">
        <f t="shared" si="43"/>
        <v>42699</v>
      </c>
      <c r="CK222" s="2130">
        <f t="shared" si="43"/>
        <v>42698</v>
      </c>
      <c r="CL222" s="2130">
        <f t="shared" si="43"/>
        <v>42697</v>
      </c>
      <c r="CM222" s="2130">
        <f t="shared" si="43"/>
        <v>42696</v>
      </c>
      <c r="CN222" s="2130">
        <f t="shared" si="43"/>
        <v>42695</v>
      </c>
      <c r="CO222" s="2130">
        <f t="shared" si="43"/>
        <v>42692</v>
      </c>
      <c r="CP222" s="2130">
        <f t="shared" si="43"/>
        <v>42691</v>
      </c>
      <c r="CQ222" s="2130">
        <f t="shared" si="43"/>
        <v>42690</v>
      </c>
      <c r="CR222" s="2130">
        <f t="shared" si="43"/>
        <v>42689</v>
      </c>
      <c r="CS222" s="2130">
        <f t="shared" si="43"/>
        <v>42688</v>
      </c>
      <c r="CT222" s="2130">
        <f t="shared" si="43"/>
        <v>42685</v>
      </c>
      <c r="CU222" s="2130">
        <f t="shared" si="43"/>
        <v>42684</v>
      </c>
      <c r="CV222" s="2130">
        <f t="shared" si="43"/>
        <v>42683</v>
      </c>
      <c r="CW222" s="2130">
        <f t="shared" si="43"/>
        <v>42682</v>
      </c>
      <c r="CX222" s="2130">
        <f t="shared" si="43"/>
        <v>42681</v>
      </c>
      <c r="CY222" s="2130">
        <f t="shared" si="43"/>
        <v>42678</v>
      </c>
      <c r="CZ222" s="2130">
        <f t="shared" si="43"/>
        <v>42677</v>
      </c>
      <c r="DA222" s="2130">
        <f t="shared" si="43"/>
        <v>42676</v>
      </c>
      <c r="DB222" s="2130">
        <f t="shared" si="43"/>
        <v>42675</v>
      </c>
      <c r="DC222" s="2130">
        <f t="shared" si="43"/>
        <v>42674</v>
      </c>
      <c r="DD222" s="2130">
        <f t="shared" si="43"/>
        <v>42671</v>
      </c>
      <c r="DE222" s="2130">
        <f t="shared" si="43"/>
        <v>42670</v>
      </c>
      <c r="DF222" s="2130">
        <f t="shared" si="43"/>
        <v>42669</v>
      </c>
      <c r="DG222" s="2130">
        <f t="shared" si="43"/>
        <v>42668</v>
      </c>
      <c r="DH222" s="2130">
        <f t="shared" si="43"/>
        <v>42667</v>
      </c>
      <c r="DI222" s="2130">
        <f t="shared" si="43"/>
        <v>42664</v>
      </c>
      <c r="DJ222" s="2130">
        <f t="shared" si="43"/>
        <v>42663</v>
      </c>
      <c r="DK222" s="2130">
        <f t="shared" si="43"/>
        <v>42662</v>
      </c>
      <c r="DL222" s="2130">
        <f t="shared" si="43"/>
        <v>42661</v>
      </c>
      <c r="DM222" s="2130">
        <f t="shared" si="43"/>
        <v>42660</v>
      </c>
      <c r="DN222" s="2130">
        <f t="shared" si="43"/>
        <v>42657</v>
      </c>
      <c r="DO222" s="2130">
        <f t="shared" si="43"/>
        <v>42656</v>
      </c>
      <c r="DP222" s="2130">
        <f t="shared" si="43"/>
        <v>42655</v>
      </c>
      <c r="DQ222" s="2130">
        <f t="shared" si="43"/>
        <v>42654</v>
      </c>
      <c r="DR222" s="2130">
        <f t="shared" si="43"/>
        <v>42653</v>
      </c>
      <c r="DS222" s="2130">
        <f t="shared" si="43"/>
        <v>42650</v>
      </c>
      <c r="DT222" s="2130">
        <f t="shared" si="43"/>
        <v>42649</v>
      </c>
      <c r="DU222" s="2130">
        <f t="shared" si="43"/>
        <v>42648</v>
      </c>
      <c r="DV222" s="2130">
        <f t="shared" si="43"/>
        <v>42647</v>
      </c>
      <c r="DW222" s="2130">
        <f t="shared" si="43"/>
        <v>42646</v>
      </c>
      <c r="DX222" s="2130">
        <f t="shared" si="43"/>
        <v>42643</v>
      </c>
      <c r="DY222" s="2130">
        <f t="shared" si="43"/>
        <v>42642</v>
      </c>
      <c r="DZ222" s="2130">
        <f t="shared" si="43"/>
        <v>42641</v>
      </c>
      <c r="EA222" s="2130">
        <f t="shared" si="43"/>
        <v>42640</v>
      </c>
      <c r="EB222" s="2130">
        <f t="shared" si="43"/>
        <v>42639</v>
      </c>
      <c r="EC222" s="2130">
        <f t="shared" si="43"/>
        <v>42636</v>
      </c>
      <c r="ED222" s="2130">
        <f t="shared" si="43"/>
        <v>42635</v>
      </c>
      <c r="EE222" s="2130">
        <f t="shared" si="43"/>
        <v>42634</v>
      </c>
      <c r="EF222" s="2130">
        <f t="shared" si="43"/>
        <v>42633</v>
      </c>
      <c r="EG222" s="2130">
        <f t="shared" si="43"/>
        <v>42632</v>
      </c>
      <c r="EH222" s="2130">
        <f t="shared" si="43"/>
        <v>42629</v>
      </c>
      <c r="EI222" s="2130">
        <f t="shared" si="43"/>
        <v>42628</v>
      </c>
      <c r="EJ222" s="2130">
        <f t="shared" si="43"/>
        <v>42627</v>
      </c>
      <c r="EK222" s="2130">
        <f t="shared" si="43"/>
        <v>42626</v>
      </c>
      <c r="EL222" s="2130">
        <f t="shared" si="43"/>
        <v>42625</v>
      </c>
      <c r="EM222" s="2130">
        <f t="shared" si="43"/>
        <v>42622</v>
      </c>
      <c r="EN222" s="2130">
        <f t="shared" si="43"/>
        <v>42621</v>
      </c>
      <c r="EO222" s="2130">
        <f t="shared" si="43"/>
        <v>42620</v>
      </c>
      <c r="EP222" s="2130">
        <f t="shared" si="43"/>
        <v>42619</v>
      </c>
      <c r="EQ222" s="2130">
        <f t="shared" si="43"/>
        <v>42618</v>
      </c>
      <c r="ER222" s="2130">
        <f t="shared" si="43"/>
        <v>42615</v>
      </c>
      <c r="ES222" s="2130">
        <f t="shared" si="43"/>
        <v>42614</v>
      </c>
      <c r="ET222" s="2130">
        <f t="shared" ref="ET222:HE222" si="44">IF(WEEKDAY(ES222)=2,ES222-3,ES222-1)</f>
        <v>42613</v>
      </c>
      <c r="EU222" s="2130">
        <f t="shared" si="44"/>
        <v>42612</v>
      </c>
      <c r="EV222" s="2130">
        <f t="shared" si="44"/>
        <v>42611</v>
      </c>
      <c r="EW222" s="2130">
        <f t="shared" si="44"/>
        <v>42608</v>
      </c>
      <c r="EX222" s="2130">
        <f t="shared" si="44"/>
        <v>42607</v>
      </c>
      <c r="EY222" s="2130">
        <f t="shared" si="44"/>
        <v>42606</v>
      </c>
      <c r="EZ222" s="2130">
        <f t="shared" si="44"/>
        <v>42605</v>
      </c>
      <c r="FA222" s="2130">
        <f t="shared" si="44"/>
        <v>42604</v>
      </c>
      <c r="FB222" s="2130">
        <f t="shared" si="44"/>
        <v>42601</v>
      </c>
      <c r="FC222" s="2130">
        <f t="shared" si="44"/>
        <v>42600</v>
      </c>
      <c r="FD222" s="2130">
        <f t="shared" si="44"/>
        <v>42599</v>
      </c>
      <c r="FE222" s="2130">
        <f t="shared" si="44"/>
        <v>42598</v>
      </c>
      <c r="FF222" s="2130">
        <f t="shared" si="44"/>
        <v>42597</v>
      </c>
      <c r="FG222" s="2130">
        <f t="shared" si="44"/>
        <v>42594</v>
      </c>
      <c r="FH222" s="2130">
        <f t="shared" si="44"/>
        <v>42593</v>
      </c>
      <c r="FI222" s="2130">
        <f t="shared" si="44"/>
        <v>42592</v>
      </c>
      <c r="FJ222" s="2130">
        <f t="shared" si="44"/>
        <v>42591</v>
      </c>
      <c r="FK222" s="2130">
        <f t="shared" si="44"/>
        <v>42590</v>
      </c>
      <c r="FL222" s="2130">
        <f t="shared" si="44"/>
        <v>42587</v>
      </c>
      <c r="FM222" s="2130">
        <f t="shared" si="44"/>
        <v>42586</v>
      </c>
      <c r="FN222" s="2130">
        <f t="shared" si="44"/>
        <v>42585</v>
      </c>
      <c r="FO222" s="2130">
        <f t="shared" si="44"/>
        <v>42584</v>
      </c>
      <c r="FP222" s="2130">
        <f t="shared" si="44"/>
        <v>42583</v>
      </c>
      <c r="FQ222" s="2130">
        <f t="shared" si="44"/>
        <v>42580</v>
      </c>
      <c r="FR222" s="2130">
        <f t="shared" si="44"/>
        <v>42579</v>
      </c>
      <c r="FS222" s="2130">
        <f t="shared" si="44"/>
        <v>42578</v>
      </c>
      <c r="FT222" s="2130">
        <f t="shared" si="44"/>
        <v>42577</v>
      </c>
      <c r="FU222" s="2130">
        <f t="shared" si="44"/>
        <v>42576</v>
      </c>
      <c r="FV222" s="2130">
        <f t="shared" si="44"/>
        <v>42573</v>
      </c>
      <c r="FW222" s="2130">
        <f t="shared" si="44"/>
        <v>42572</v>
      </c>
      <c r="FX222" s="2130">
        <f t="shared" si="44"/>
        <v>42571</v>
      </c>
      <c r="FY222" s="2130">
        <f t="shared" si="44"/>
        <v>42570</v>
      </c>
      <c r="FZ222" s="2130">
        <f t="shared" si="44"/>
        <v>42569</v>
      </c>
      <c r="GA222" s="2130">
        <f t="shared" si="44"/>
        <v>42566</v>
      </c>
      <c r="GB222" s="2130">
        <f t="shared" si="44"/>
        <v>42565</v>
      </c>
      <c r="GC222" s="2130">
        <f t="shared" si="44"/>
        <v>42564</v>
      </c>
      <c r="GD222" s="2130">
        <f t="shared" si="44"/>
        <v>42563</v>
      </c>
      <c r="GE222" s="2130">
        <f t="shared" si="44"/>
        <v>42562</v>
      </c>
      <c r="GF222" s="2130">
        <f t="shared" si="44"/>
        <v>42559</v>
      </c>
      <c r="GG222" s="2130">
        <f t="shared" si="44"/>
        <v>42558</v>
      </c>
      <c r="GH222" s="2130">
        <f t="shared" si="44"/>
        <v>42557</v>
      </c>
      <c r="GI222" s="2130">
        <f t="shared" si="44"/>
        <v>42556</v>
      </c>
      <c r="GJ222" s="2130">
        <f t="shared" si="44"/>
        <v>42555</v>
      </c>
      <c r="GK222" s="2130">
        <f t="shared" si="44"/>
        <v>42552</v>
      </c>
      <c r="GL222" s="2130">
        <f t="shared" si="44"/>
        <v>42551</v>
      </c>
      <c r="GM222" s="2130">
        <f t="shared" si="44"/>
        <v>42550</v>
      </c>
      <c r="GN222" s="2130">
        <f t="shared" si="44"/>
        <v>42549</v>
      </c>
      <c r="GO222" s="2130">
        <f t="shared" si="44"/>
        <v>42548</v>
      </c>
      <c r="GP222" s="2130">
        <f t="shared" si="44"/>
        <v>42545</v>
      </c>
      <c r="GQ222" s="2130">
        <f t="shared" si="44"/>
        <v>42544</v>
      </c>
      <c r="GR222" s="2130">
        <f t="shared" si="44"/>
        <v>42543</v>
      </c>
      <c r="GS222" s="2130">
        <f t="shared" si="44"/>
        <v>42542</v>
      </c>
      <c r="GT222" s="2130">
        <f t="shared" si="44"/>
        <v>42541</v>
      </c>
      <c r="GU222" s="2130">
        <f t="shared" si="44"/>
        <v>42538</v>
      </c>
      <c r="GV222" s="2130">
        <f t="shared" si="44"/>
        <v>42537</v>
      </c>
      <c r="GW222" s="2130">
        <f t="shared" si="44"/>
        <v>42536</v>
      </c>
      <c r="GX222" s="2130">
        <f t="shared" si="44"/>
        <v>42535</v>
      </c>
      <c r="GY222" s="2130">
        <f t="shared" si="44"/>
        <v>42534</v>
      </c>
      <c r="GZ222" s="2130">
        <f t="shared" si="44"/>
        <v>42531</v>
      </c>
      <c r="HA222" s="2130">
        <f t="shared" si="44"/>
        <v>42530</v>
      </c>
      <c r="HB222" s="2130">
        <f t="shared" si="44"/>
        <v>42529</v>
      </c>
      <c r="HC222" s="2130">
        <f t="shared" si="44"/>
        <v>42528</v>
      </c>
      <c r="HD222" s="2130">
        <f t="shared" si="44"/>
        <v>42527</v>
      </c>
      <c r="HE222" s="2130">
        <f t="shared" si="44"/>
        <v>42524</v>
      </c>
      <c r="HF222" s="2130">
        <f t="shared" ref="HF222:JQ222" si="45">IF(WEEKDAY(HE222)=2,HE222-3,HE222-1)</f>
        <v>42523</v>
      </c>
      <c r="HG222" s="2130">
        <f t="shared" si="45"/>
        <v>42522</v>
      </c>
      <c r="HH222" s="2130">
        <f t="shared" si="45"/>
        <v>42521</v>
      </c>
      <c r="HI222" s="2130">
        <f t="shared" si="45"/>
        <v>42520</v>
      </c>
      <c r="HJ222" s="2130">
        <f t="shared" si="45"/>
        <v>42517</v>
      </c>
      <c r="HK222" s="2130">
        <f t="shared" si="45"/>
        <v>42516</v>
      </c>
      <c r="HL222" s="2130">
        <f t="shared" si="45"/>
        <v>42515</v>
      </c>
      <c r="HM222" s="2130">
        <f t="shared" si="45"/>
        <v>42514</v>
      </c>
      <c r="HN222" s="2130">
        <f t="shared" si="45"/>
        <v>42513</v>
      </c>
      <c r="HO222" s="2130">
        <f t="shared" si="45"/>
        <v>42510</v>
      </c>
      <c r="HP222" s="2130">
        <f t="shared" si="45"/>
        <v>42509</v>
      </c>
      <c r="HQ222" s="2130">
        <f t="shared" si="45"/>
        <v>42508</v>
      </c>
      <c r="HR222" s="2130">
        <f t="shared" si="45"/>
        <v>42507</v>
      </c>
      <c r="HS222" s="2130">
        <f t="shared" si="45"/>
        <v>42506</v>
      </c>
      <c r="HT222" s="2130">
        <f t="shared" si="45"/>
        <v>42503</v>
      </c>
      <c r="HU222" s="2130">
        <f t="shared" si="45"/>
        <v>42502</v>
      </c>
      <c r="HV222" s="2130">
        <f t="shared" si="45"/>
        <v>42501</v>
      </c>
      <c r="HW222" s="2130">
        <f t="shared" si="45"/>
        <v>42500</v>
      </c>
      <c r="HX222" s="2130">
        <f t="shared" si="45"/>
        <v>42499</v>
      </c>
      <c r="HY222" s="2130">
        <f t="shared" si="45"/>
        <v>42496</v>
      </c>
      <c r="HZ222" s="2130">
        <f t="shared" si="45"/>
        <v>42495</v>
      </c>
      <c r="IA222" s="2130">
        <f t="shared" si="45"/>
        <v>42494</v>
      </c>
      <c r="IB222" s="2130">
        <f t="shared" si="45"/>
        <v>42493</v>
      </c>
      <c r="IC222" s="2130">
        <f t="shared" si="45"/>
        <v>42492</v>
      </c>
      <c r="ID222" s="2130">
        <f t="shared" si="45"/>
        <v>42489</v>
      </c>
      <c r="IE222" s="2130">
        <f t="shared" si="45"/>
        <v>42488</v>
      </c>
      <c r="IF222" s="2130">
        <f t="shared" si="45"/>
        <v>42487</v>
      </c>
      <c r="IG222" s="2130">
        <f t="shared" si="45"/>
        <v>42486</v>
      </c>
      <c r="IH222" s="2130">
        <f t="shared" si="45"/>
        <v>42485</v>
      </c>
      <c r="II222" s="2130">
        <f t="shared" si="45"/>
        <v>42482</v>
      </c>
      <c r="IJ222" s="2130">
        <f t="shared" si="45"/>
        <v>42481</v>
      </c>
      <c r="IK222" s="2130">
        <f t="shared" si="45"/>
        <v>42480</v>
      </c>
      <c r="IL222" s="2130">
        <f t="shared" si="45"/>
        <v>42479</v>
      </c>
      <c r="IM222" s="2130">
        <f t="shared" si="45"/>
        <v>42478</v>
      </c>
      <c r="IN222" s="2130">
        <f t="shared" si="45"/>
        <v>42475</v>
      </c>
      <c r="IO222" s="2130">
        <f t="shared" si="45"/>
        <v>42474</v>
      </c>
      <c r="IP222" s="2130">
        <f t="shared" si="45"/>
        <v>42473</v>
      </c>
      <c r="IQ222" s="2130">
        <f t="shared" si="45"/>
        <v>42472</v>
      </c>
      <c r="IR222" s="2130">
        <f t="shared" si="45"/>
        <v>42471</v>
      </c>
      <c r="IS222" s="2130">
        <f t="shared" si="45"/>
        <v>42468</v>
      </c>
      <c r="IT222" s="2130">
        <f t="shared" si="45"/>
        <v>42467</v>
      </c>
      <c r="IU222" s="2130">
        <f t="shared" si="45"/>
        <v>42466</v>
      </c>
      <c r="IV222" s="2130">
        <f t="shared" si="45"/>
        <v>42465</v>
      </c>
      <c r="IW222" s="2130">
        <f t="shared" si="45"/>
        <v>42464</v>
      </c>
      <c r="IX222" s="2130">
        <f t="shared" si="45"/>
        <v>42461</v>
      </c>
      <c r="IY222" s="2130">
        <f t="shared" si="45"/>
        <v>42460</v>
      </c>
      <c r="IZ222" s="2130">
        <f t="shared" si="45"/>
        <v>42459</v>
      </c>
      <c r="JA222" s="2130">
        <f t="shared" si="45"/>
        <v>42458</v>
      </c>
      <c r="JB222" s="2130">
        <f t="shared" si="45"/>
        <v>42457</v>
      </c>
      <c r="JC222" s="2130">
        <f t="shared" si="45"/>
        <v>42454</v>
      </c>
      <c r="JD222" s="2130">
        <f t="shared" si="45"/>
        <v>42453</v>
      </c>
      <c r="JE222" s="2130">
        <f t="shared" si="45"/>
        <v>42452</v>
      </c>
      <c r="JF222" s="2130">
        <f t="shared" si="45"/>
        <v>42451</v>
      </c>
      <c r="JG222" s="2130">
        <f t="shared" si="45"/>
        <v>42450</v>
      </c>
      <c r="JH222" s="2130">
        <f t="shared" si="45"/>
        <v>42447</v>
      </c>
      <c r="JI222" s="2130">
        <f t="shared" si="45"/>
        <v>42446</v>
      </c>
      <c r="JJ222" s="2130">
        <f t="shared" si="45"/>
        <v>42445</v>
      </c>
      <c r="JK222" s="2130">
        <f t="shared" si="45"/>
        <v>42444</v>
      </c>
      <c r="JL222" s="2130">
        <f t="shared" si="45"/>
        <v>42443</v>
      </c>
      <c r="JM222" s="2130">
        <f t="shared" si="45"/>
        <v>42440</v>
      </c>
      <c r="JN222" s="2130">
        <f t="shared" si="45"/>
        <v>42439</v>
      </c>
      <c r="JO222" s="2130">
        <f t="shared" si="45"/>
        <v>42438</v>
      </c>
      <c r="JP222" s="2130">
        <f t="shared" si="45"/>
        <v>42437</v>
      </c>
      <c r="JQ222" s="2130">
        <f t="shared" si="45"/>
        <v>42436</v>
      </c>
      <c r="JR222" s="2130">
        <f t="shared" ref="JR222:KB222" si="46">IF(WEEKDAY(JQ222)=2,JQ222-3,JQ222-1)</f>
        <v>42433</v>
      </c>
      <c r="JS222" s="2130">
        <f t="shared" si="46"/>
        <v>42432</v>
      </c>
      <c r="JT222" s="2130">
        <f t="shared" si="46"/>
        <v>42431</v>
      </c>
      <c r="JU222" s="2130">
        <f t="shared" si="46"/>
        <v>42430</v>
      </c>
      <c r="JV222" s="2130">
        <f t="shared" si="46"/>
        <v>42429</v>
      </c>
      <c r="JW222" s="2130">
        <f t="shared" si="46"/>
        <v>42426</v>
      </c>
      <c r="JX222" s="2130">
        <f t="shared" si="46"/>
        <v>42425</v>
      </c>
      <c r="JY222" s="2130">
        <f t="shared" si="46"/>
        <v>42424</v>
      </c>
      <c r="JZ222" s="2130">
        <f t="shared" si="46"/>
        <v>42423</v>
      </c>
      <c r="KA222" s="2130">
        <f t="shared" si="46"/>
        <v>42422</v>
      </c>
      <c r="KB222" s="2130">
        <f t="shared" si="46"/>
        <v>42419</v>
      </c>
    </row>
    <row r="223" spans="1:288" s="89" customFormat="1" ht="13.9">
      <c r="A223" s="2060"/>
      <c r="B223" s="2060"/>
      <c r="D223" s="785"/>
      <c r="E223" s="1505">
        <v>0</v>
      </c>
      <c r="F223" s="1439" t="str">
        <f>F$128</f>
        <v/>
      </c>
      <c r="G223" s="2114">
        <f>G$128</f>
        <v>0</v>
      </c>
      <c r="H223" s="2114" t="str">
        <f>H$128</f>
        <v>USD</v>
      </c>
      <c r="I223" s="2115" t="s">
        <v>781</v>
      </c>
      <c r="J223" s="279"/>
      <c r="K223" s="2299" t="str">
        <f>IF(OR(K191=0,$G223=0),"--",IFERROR(_xll.ciqfunctions.udf.CIQ($G223,$I223,K99,Valuation_Date_GC,ReportType,DataMode,$H223,FXMode)*Scale,"--"))</f>
        <v>--</v>
      </c>
      <c r="L223" s="2299" t="str">
        <f>IF(OR(L191=0,$G223=0),"--",IFERROR(_xll.ciqfunctions.udf.CIQ($G223,$I223,L99,Valuation_Date_GC,ReportType,DataMode,$H223,FXMode)*Scale,"--"))</f>
        <v>--</v>
      </c>
      <c r="M223" s="2299" t="str">
        <f>IF(OR(M191=0,$G223=0),"--",IFERROR(_xll.ciqfunctions.udf.CIQ($G223,$I223,M99,Valuation_Date_GC,ReportType,DataMode,$H223,FXMode)*Scale,"--"))</f>
        <v>--</v>
      </c>
      <c r="N223" s="2299" t="str">
        <f>IF(OR(N191=0,$G223=0),"--",IFERROR(_xll.ciqfunctions.udf.CIQ($G223,$I223,N99,Valuation_Date_GC,ReportType,DataMode,$H223,FXMode)*Scale,"--"))</f>
        <v>--</v>
      </c>
      <c r="O223" s="2134" t="str">
        <f>IF(OR(O191=0,$G223=0),"--",IFERROR(_xll.ciqfunctions.udf.CIQ($G223,$I223,O99,Valuation_Date_GC,ReportType,DataMode,$H223,FXMode)*Scale,"--"))</f>
        <v>--</v>
      </c>
      <c r="P223" s="2299" t="str">
        <f>IF(OR(P191=0,$G223=0),"--",IFERROR(_xll.ciqfunctions.udf.CIQ($G223,$I223,P99,Valuation_Date_GC,ReportType,DataMode,$H223,FXMode)*Scale,"--"))</f>
        <v>--</v>
      </c>
      <c r="R223" s="255"/>
      <c r="T223" s="1779" t="s">
        <v>782</v>
      </c>
      <c r="U223" s="2131">
        <f>IF(U$221,_xll.ciqfunctions.udf.CIQ($G223, "IQ_VOLUME", U$222),"--")</f>
        <v>0</v>
      </c>
      <c r="V223" s="2131">
        <f>IF(V$221,_xll.ciqfunctions.udf.CIQ($G223, "IQ_VOLUME", V$222),"--")</f>
        <v>0</v>
      </c>
      <c r="W223" s="2131">
        <f>IF(W$221,_xll.ciqfunctions.udf.CIQ($G223, "IQ_VOLUME", W$222),"--")</f>
        <v>0</v>
      </c>
      <c r="X223" s="2131">
        <f>IF(X$221,_xll.ciqfunctions.udf.CIQ($G223, "IQ_VOLUME", X$222),"--")</f>
        <v>0</v>
      </c>
      <c r="Y223" s="2131">
        <f>IF(Y$221,_xll.ciqfunctions.udf.CIQ($G223, "IQ_VOLUME", Y$222),"--")</f>
        <v>0</v>
      </c>
      <c r="Z223" s="2131">
        <f>IF(Z$221,_xll.ciqfunctions.udf.CIQ($G223, "IQ_VOLUME", Z$222),"--")</f>
        <v>0</v>
      </c>
      <c r="AA223" s="2131">
        <f>IF(AA$221,_xll.ciqfunctions.udf.CIQ($G223, "IQ_VOLUME", AA$222),"--")</f>
        <v>0</v>
      </c>
      <c r="AB223" s="2131">
        <f>IF(AB$221,_xll.ciqfunctions.udf.CIQ($G223, "IQ_VOLUME", AB$222),"--")</f>
        <v>0</v>
      </c>
      <c r="AC223" s="2131">
        <f>IF(AC$221,_xll.ciqfunctions.udf.CIQ($G223, "IQ_VOLUME", AC$222),"--")</f>
        <v>0</v>
      </c>
      <c r="AD223" s="2131">
        <f>IF(AD$221,_xll.ciqfunctions.udf.CIQ($G223, "IQ_VOLUME", AD$222),"--")</f>
        <v>0</v>
      </c>
      <c r="AE223" s="2131">
        <f>IF(AE$221,_xll.ciqfunctions.udf.CIQ($G223, "IQ_VOLUME", AE$222),"--")</f>
        <v>0</v>
      </c>
      <c r="AF223" s="2131">
        <f>IF(AF$221,_xll.ciqfunctions.udf.CIQ($G223, "IQ_VOLUME", AF$222),"--")</f>
        <v>0</v>
      </c>
      <c r="AG223" s="2131">
        <f>IF(AG$221,_xll.ciqfunctions.udf.CIQ($G223, "IQ_VOLUME", AG$222),"--")</f>
        <v>0</v>
      </c>
      <c r="AH223" s="2131">
        <f>IF(AH$221,_xll.ciqfunctions.udf.CIQ($G223, "IQ_VOLUME", AH$222),"--")</f>
        <v>0</v>
      </c>
      <c r="AI223" s="2131">
        <f>IF(AI$221,_xll.ciqfunctions.udf.CIQ($G223, "IQ_VOLUME", AI$222),"--")</f>
        <v>0</v>
      </c>
      <c r="AJ223" s="2131">
        <f>IF(AJ$221,_xll.ciqfunctions.udf.CIQ($G223, "IQ_VOLUME", AJ$222),"--")</f>
        <v>0</v>
      </c>
      <c r="AK223" s="2131">
        <f>IF(AK$221,_xll.ciqfunctions.udf.CIQ($G223, "IQ_VOLUME", AK$222),"--")</f>
        <v>0</v>
      </c>
      <c r="AL223" s="2131">
        <f>IF(AL$221,_xll.ciqfunctions.udf.CIQ($G223, "IQ_VOLUME", AL$222),"--")</f>
        <v>0</v>
      </c>
      <c r="AM223" s="2131">
        <f>IF(AM$221,_xll.ciqfunctions.udf.CIQ($G223, "IQ_VOLUME", AM$222),"--")</f>
        <v>0</v>
      </c>
      <c r="AN223" s="2131">
        <f>IF(AN$221,_xll.ciqfunctions.udf.CIQ($G223, "IQ_VOLUME", AN$222),"--")</f>
        <v>0</v>
      </c>
      <c r="AO223" s="2131">
        <f>IF(AO$221,_xll.ciqfunctions.udf.CIQ($G223, "IQ_VOLUME", AO$222),"--")</f>
        <v>0</v>
      </c>
      <c r="AP223" s="2131">
        <f>IF(AP$221,_xll.ciqfunctions.udf.CIQ($G223, "IQ_VOLUME", AP$222),"--")</f>
        <v>0</v>
      </c>
      <c r="AQ223" s="2131">
        <f>IF(AQ$221,_xll.ciqfunctions.udf.CIQ($G223, "IQ_VOLUME", AQ$222),"--")</f>
        <v>0</v>
      </c>
      <c r="AR223" s="2131">
        <f>IF(AR$221,_xll.ciqfunctions.udf.CIQ($G223, "IQ_VOLUME", AR$222),"--")</f>
        <v>0</v>
      </c>
      <c r="AS223" s="2131">
        <f>IF(AS$221,_xll.ciqfunctions.udf.CIQ($G223, "IQ_VOLUME", AS$222),"--")</f>
        <v>0</v>
      </c>
      <c r="AT223" s="2131">
        <f>IF(AT$221,_xll.ciqfunctions.udf.CIQ($G223, "IQ_VOLUME", AT$222),"--")</f>
        <v>0</v>
      </c>
      <c r="AU223" s="2131">
        <f>IF(AU$221,_xll.ciqfunctions.udf.CIQ($G223, "IQ_VOLUME", AU$222),"--")</f>
        <v>0</v>
      </c>
      <c r="AV223" s="2131">
        <f>IF(AV$221,_xll.ciqfunctions.udf.CIQ($G223, "IQ_VOLUME", AV$222),"--")</f>
        <v>0</v>
      </c>
      <c r="AW223" s="2131">
        <f>IF(AW$221,_xll.ciqfunctions.udf.CIQ($G223, "IQ_VOLUME", AW$222),"--")</f>
        <v>0</v>
      </c>
      <c r="AX223" s="2131">
        <f>IF(AX$221,_xll.ciqfunctions.udf.CIQ($G223, "IQ_VOLUME", AX$222),"--")</f>
        <v>0</v>
      </c>
      <c r="AY223" s="2131">
        <f>IF(AY$221,_xll.ciqfunctions.udf.CIQ($G223, "IQ_VOLUME", AY$222),"--")</f>
        <v>0</v>
      </c>
      <c r="AZ223" s="2131">
        <f>IF(AZ$221,_xll.ciqfunctions.udf.CIQ($G223, "IQ_VOLUME", AZ$222),"--")</f>
        <v>0</v>
      </c>
      <c r="BA223" s="2131">
        <f>IF(BA$221,_xll.ciqfunctions.udf.CIQ($G223, "IQ_VOLUME", BA$222),"--")</f>
        <v>0</v>
      </c>
      <c r="BB223" s="2131">
        <f>IF(BB$221,_xll.ciqfunctions.udf.CIQ($G223, "IQ_VOLUME", BB$222),"--")</f>
        <v>0</v>
      </c>
      <c r="BC223" s="2131">
        <f>IF(BC$221,_xll.ciqfunctions.udf.CIQ($G223, "IQ_VOLUME", BC$222),"--")</f>
        <v>0</v>
      </c>
      <c r="BD223" s="2131">
        <f>IF(BD$221,_xll.ciqfunctions.udf.CIQ($G223, "IQ_VOLUME", BD$222),"--")</f>
        <v>0</v>
      </c>
      <c r="BE223" s="2131">
        <f>IF(BE$221,_xll.ciqfunctions.udf.CIQ($G223, "IQ_VOLUME", BE$222),"--")</f>
        <v>0</v>
      </c>
      <c r="BF223" s="2131">
        <f>IF(BF$221,_xll.ciqfunctions.udf.CIQ($G223, "IQ_VOLUME", BF$222),"--")</f>
        <v>0</v>
      </c>
      <c r="BG223" s="2131">
        <f>IF(BG$221,_xll.ciqfunctions.udf.CIQ($G223, "IQ_VOLUME", BG$222),"--")</f>
        <v>0</v>
      </c>
      <c r="BH223" s="2131">
        <f>IF(BH$221,_xll.ciqfunctions.udf.CIQ($G223, "IQ_VOLUME", BH$222),"--")</f>
        <v>0</v>
      </c>
      <c r="BI223" s="2131">
        <f>IF(BI$221,_xll.ciqfunctions.udf.CIQ($G223, "IQ_VOLUME", BI$222),"--")</f>
        <v>0</v>
      </c>
      <c r="BJ223" s="2131">
        <f>IF(BJ$221,_xll.ciqfunctions.udf.CIQ($G223, "IQ_VOLUME", BJ$222),"--")</f>
        <v>0</v>
      </c>
      <c r="BK223" s="2131">
        <f>IF(BK$221,_xll.ciqfunctions.udf.CIQ($G223, "IQ_VOLUME", BK$222),"--")</f>
        <v>0</v>
      </c>
      <c r="BL223" s="2131">
        <f>IF(BL$221,_xll.ciqfunctions.udf.CIQ($G223, "IQ_VOLUME", BL$222),"--")</f>
        <v>0</v>
      </c>
      <c r="BM223" s="2131">
        <f>IF(BM$221,_xll.ciqfunctions.udf.CIQ($G223, "IQ_VOLUME", BM$222),"--")</f>
        <v>0</v>
      </c>
      <c r="BN223" s="2131">
        <f>IF(BN$221,_xll.ciqfunctions.udf.CIQ($G223, "IQ_VOLUME", BN$222),"--")</f>
        <v>0</v>
      </c>
      <c r="BO223" s="2131">
        <f>IF(BO$221,_xll.ciqfunctions.udf.CIQ($G223, "IQ_VOLUME", BO$222),"--")</f>
        <v>0</v>
      </c>
      <c r="BP223" s="2131">
        <f>IF(BP$221,_xll.ciqfunctions.udf.CIQ($G223, "IQ_VOLUME", BP$222),"--")</f>
        <v>0</v>
      </c>
      <c r="BQ223" s="2131">
        <f>IF(BQ$221,_xll.ciqfunctions.udf.CIQ($G223, "IQ_VOLUME", BQ$222),"--")</f>
        <v>0</v>
      </c>
      <c r="BR223" s="2131">
        <f>IF(BR$221,_xll.ciqfunctions.udf.CIQ($G223, "IQ_VOLUME", BR$222),"--")</f>
        <v>0</v>
      </c>
      <c r="BS223" s="2131">
        <f>IF(BS$221,_xll.ciqfunctions.udf.CIQ($G223, "IQ_VOLUME", BS$222),"--")</f>
        <v>0</v>
      </c>
      <c r="BT223" s="2131">
        <f>IF(BT$221,_xll.ciqfunctions.udf.CIQ($G223, "IQ_VOLUME", BT$222),"--")</f>
        <v>0</v>
      </c>
      <c r="BU223" s="2131">
        <f>IF(BU$221,_xll.ciqfunctions.udf.CIQ($G223, "IQ_VOLUME", BU$222),"--")</f>
        <v>0</v>
      </c>
      <c r="BV223" s="2131">
        <f>IF(BV$221,_xll.ciqfunctions.udf.CIQ($G223, "IQ_VOLUME", BV$222),"--")</f>
        <v>0</v>
      </c>
      <c r="BW223" s="2131">
        <f>IF(BW$221,_xll.ciqfunctions.udf.CIQ($G223, "IQ_VOLUME", BW$222),"--")</f>
        <v>0</v>
      </c>
      <c r="BX223" s="2131">
        <f>IF(BX$221,_xll.ciqfunctions.udf.CIQ($G223, "IQ_VOLUME", BX$222),"--")</f>
        <v>0</v>
      </c>
      <c r="BY223" s="2131">
        <f>IF(BY$221,_xll.ciqfunctions.udf.CIQ($G223, "IQ_VOLUME", BY$222),"--")</f>
        <v>0</v>
      </c>
      <c r="BZ223" s="2131">
        <f>IF(BZ$221,_xll.ciqfunctions.udf.CIQ($G223, "IQ_VOLUME", BZ$222),"--")</f>
        <v>0</v>
      </c>
      <c r="CA223" s="2131">
        <f>IF(CA$221,_xll.ciqfunctions.udf.CIQ($G223, "IQ_VOLUME", CA$222),"--")</f>
        <v>0</v>
      </c>
      <c r="CB223" s="2131">
        <f>IF(CB$221,_xll.ciqfunctions.udf.CIQ($G223, "IQ_VOLUME", CB$222),"--")</f>
        <v>0</v>
      </c>
      <c r="CC223" s="2131">
        <f>IF(CC$221,_xll.ciqfunctions.udf.CIQ($G223, "IQ_VOLUME", CC$222),"--")</f>
        <v>0</v>
      </c>
      <c r="CD223" s="2131">
        <f>IF(CD$221,_xll.ciqfunctions.udf.CIQ($G223, "IQ_VOLUME", CD$222),"--")</f>
        <v>0</v>
      </c>
      <c r="CE223" s="2131">
        <f>IF(CE$221,_xll.ciqfunctions.udf.CIQ($G223, "IQ_VOLUME", CE$222),"--")</f>
        <v>0</v>
      </c>
      <c r="CF223" s="2131">
        <f>IF(CF$221,_xll.ciqfunctions.udf.CIQ($G223, "IQ_VOLUME", CF$222),"--")</f>
        <v>0</v>
      </c>
      <c r="CG223" s="2131">
        <f>IF(CG$221,_xll.ciqfunctions.udf.CIQ($G223, "IQ_VOLUME", CG$222),"--")</f>
        <v>0</v>
      </c>
      <c r="CH223" s="2131">
        <f>IF(CH$221,_xll.ciqfunctions.udf.CIQ($G223, "IQ_VOLUME", CH$222),"--")</f>
        <v>0</v>
      </c>
      <c r="CI223" s="2131">
        <f>IF(CI$221,_xll.ciqfunctions.udf.CIQ($G223, "IQ_VOLUME", CI$222),"--")</f>
        <v>0</v>
      </c>
      <c r="CJ223" s="2131">
        <f>IF(CJ$221,_xll.ciqfunctions.udf.CIQ($G223, "IQ_VOLUME", CJ$222),"--")</f>
        <v>0</v>
      </c>
      <c r="CK223" s="2131">
        <f>IF(CK$221,_xll.ciqfunctions.udf.CIQ($G223, "IQ_VOLUME", CK$222),"--")</f>
        <v>0</v>
      </c>
      <c r="CL223" s="2131">
        <f>IF(CL$221,_xll.ciqfunctions.udf.CIQ($G223, "IQ_VOLUME", CL$222),"--")</f>
        <v>0</v>
      </c>
      <c r="CM223" s="2131">
        <f>IF(CM$221,_xll.ciqfunctions.udf.CIQ($G223, "IQ_VOLUME", CM$222),"--")</f>
        <v>0</v>
      </c>
      <c r="CN223" s="2131">
        <f>IF(CN$221,_xll.ciqfunctions.udf.CIQ($G223, "IQ_VOLUME", CN$222),"--")</f>
        <v>0</v>
      </c>
      <c r="CO223" s="2131">
        <f>IF(CO$221,_xll.ciqfunctions.udf.CIQ($G223, "IQ_VOLUME", CO$222),"--")</f>
        <v>0</v>
      </c>
      <c r="CP223" s="2131">
        <f>IF(CP$221,_xll.ciqfunctions.udf.CIQ($G223, "IQ_VOLUME", CP$222),"--")</f>
        <v>0</v>
      </c>
      <c r="CQ223" s="2131">
        <f>IF(CQ$221,_xll.ciqfunctions.udf.CIQ($G223, "IQ_VOLUME", CQ$222),"--")</f>
        <v>0</v>
      </c>
      <c r="CR223" s="2131">
        <f>IF(CR$221,_xll.ciqfunctions.udf.CIQ($G223, "IQ_VOLUME", CR$222),"--")</f>
        <v>0</v>
      </c>
      <c r="CS223" s="2131">
        <f>IF(CS$221,_xll.ciqfunctions.udf.CIQ($G223, "IQ_VOLUME", CS$222),"--")</f>
        <v>0</v>
      </c>
      <c r="CT223" s="2131">
        <f>IF(CT$221,_xll.ciqfunctions.udf.CIQ($G223, "IQ_VOLUME", CT$222),"--")</f>
        <v>0</v>
      </c>
      <c r="CU223" s="2131">
        <f>IF(CU$221,_xll.ciqfunctions.udf.CIQ($G223, "IQ_VOLUME", CU$222),"--")</f>
        <v>0</v>
      </c>
      <c r="CV223" s="2131">
        <f>IF(CV$221,_xll.ciqfunctions.udf.CIQ($G223, "IQ_VOLUME", CV$222),"--")</f>
        <v>0</v>
      </c>
      <c r="CW223" s="2131">
        <f>IF(CW$221,_xll.ciqfunctions.udf.CIQ($G223, "IQ_VOLUME", CW$222),"--")</f>
        <v>0</v>
      </c>
      <c r="CX223" s="2131">
        <f>IF(CX$221,_xll.ciqfunctions.udf.CIQ($G223, "IQ_VOLUME", CX$222),"--")</f>
        <v>0</v>
      </c>
      <c r="CY223" s="2131">
        <f>IF(CY$221,_xll.ciqfunctions.udf.CIQ($G223, "IQ_VOLUME", CY$222),"--")</f>
        <v>0</v>
      </c>
      <c r="CZ223" s="2131">
        <f>IF(CZ$221,_xll.ciqfunctions.udf.CIQ($G223, "IQ_VOLUME", CZ$222),"--")</f>
        <v>0</v>
      </c>
      <c r="DA223" s="2131">
        <f>IF(DA$221,_xll.ciqfunctions.udf.CIQ($G223, "IQ_VOLUME", DA$222),"--")</f>
        <v>0</v>
      </c>
      <c r="DB223" s="2131">
        <f>IF(DB$221,_xll.ciqfunctions.udf.CIQ($G223, "IQ_VOLUME", DB$222),"--")</f>
        <v>0</v>
      </c>
      <c r="DC223" s="2131">
        <f>IF(DC$221,_xll.ciqfunctions.udf.CIQ($G223, "IQ_VOLUME", DC$222),"--")</f>
        <v>0</v>
      </c>
      <c r="DD223" s="2131">
        <f>IF(DD$221,_xll.ciqfunctions.udf.CIQ($G223, "IQ_VOLUME", DD$222),"--")</f>
        <v>0</v>
      </c>
      <c r="DE223" s="2131">
        <f>IF(DE$221,_xll.ciqfunctions.udf.CIQ($G223, "IQ_VOLUME", DE$222),"--")</f>
        <v>0</v>
      </c>
      <c r="DF223" s="2131">
        <f>IF(DF$221,_xll.ciqfunctions.udf.CIQ($G223, "IQ_VOLUME", DF$222),"--")</f>
        <v>0</v>
      </c>
      <c r="DG223" s="2131">
        <f>IF(DG$221,_xll.ciqfunctions.udf.CIQ($G223, "IQ_VOLUME", DG$222),"--")</f>
        <v>0</v>
      </c>
      <c r="DH223" s="2131">
        <f>IF(DH$221,_xll.ciqfunctions.udf.CIQ($G223, "IQ_VOLUME", DH$222),"--")</f>
        <v>0</v>
      </c>
      <c r="DI223" s="2131">
        <f>IF(DI$221,_xll.ciqfunctions.udf.CIQ($G223, "IQ_VOLUME", DI$222),"--")</f>
        <v>0</v>
      </c>
      <c r="DJ223" s="2131">
        <f>IF(DJ$221,_xll.ciqfunctions.udf.CIQ($G223, "IQ_VOLUME", DJ$222),"--")</f>
        <v>0</v>
      </c>
      <c r="DK223" s="2131">
        <f>IF(DK$221,_xll.ciqfunctions.udf.CIQ($G223, "IQ_VOLUME", DK$222),"--")</f>
        <v>0</v>
      </c>
      <c r="DL223" s="2131">
        <f>IF(DL$221,_xll.ciqfunctions.udf.CIQ($G223, "IQ_VOLUME", DL$222),"--")</f>
        <v>0</v>
      </c>
      <c r="DM223" s="2131">
        <f>IF(DM$221,_xll.ciqfunctions.udf.CIQ($G223, "IQ_VOLUME", DM$222),"--")</f>
        <v>0</v>
      </c>
      <c r="DN223" s="2131">
        <f>IF(DN$221,_xll.ciqfunctions.udf.CIQ($G223, "IQ_VOLUME", DN$222),"--")</f>
        <v>0</v>
      </c>
      <c r="DO223" s="2131">
        <f>IF(DO$221,_xll.ciqfunctions.udf.CIQ($G223, "IQ_VOLUME", DO$222),"--")</f>
        <v>0</v>
      </c>
      <c r="DP223" s="2131">
        <f>IF(DP$221,_xll.ciqfunctions.udf.CIQ($G223, "IQ_VOLUME", DP$222),"--")</f>
        <v>0</v>
      </c>
      <c r="DQ223" s="2131">
        <f>IF(DQ$221,_xll.ciqfunctions.udf.CIQ($G223, "IQ_VOLUME", DQ$222),"--")</f>
        <v>0</v>
      </c>
      <c r="DR223" s="2131">
        <f>IF(DR$221,_xll.ciqfunctions.udf.CIQ($G223, "IQ_VOLUME", DR$222),"--")</f>
        <v>0</v>
      </c>
      <c r="DS223" s="2131">
        <f>IF(DS$221,_xll.ciqfunctions.udf.CIQ($G223, "IQ_VOLUME", DS$222),"--")</f>
        <v>0</v>
      </c>
      <c r="DT223" s="2131">
        <f>IF(DT$221,_xll.ciqfunctions.udf.CIQ($G223, "IQ_VOLUME", DT$222),"--")</f>
        <v>0</v>
      </c>
      <c r="DU223" s="2131">
        <f>IF(DU$221,_xll.ciqfunctions.udf.CIQ($G223, "IQ_VOLUME", DU$222),"--")</f>
        <v>0</v>
      </c>
      <c r="DV223" s="2131">
        <f>IF(DV$221,_xll.ciqfunctions.udf.CIQ($G223, "IQ_VOLUME", DV$222),"--")</f>
        <v>0</v>
      </c>
      <c r="DW223" s="2131">
        <f>IF(DW$221,_xll.ciqfunctions.udf.CIQ($G223, "IQ_VOLUME", DW$222),"--")</f>
        <v>0</v>
      </c>
      <c r="DX223" s="2131">
        <f>IF(DX$221,_xll.ciqfunctions.udf.CIQ($G223, "IQ_VOLUME", DX$222),"--")</f>
        <v>0</v>
      </c>
      <c r="DY223" s="2131">
        <f>IF(DY$221,_xll.ciqfunctions.udf.CIQ($G223, "IQ_VOLUME", DY$222),"--")</f>
        <v>0</v>
      </c>
      <c r="DZ223" s="2131">
        <f>IF(DZ$221,_xll.ciqfunctions.udf.CIQ($G223, "IQ_VOLUME", DZ$222),"--")</f>
        <v>0</v>
      </c>
      <c r="EA223" s="2131">
        <f>IF(EA$221,_xll.ciqfunctions.udf.CIQ($G223, "IQ_VOLUME", EA$222),"--")</f>
        <v>0</v>
      </c>
      <c r="EB223" s="2131">
        <f>IF(EB$221,_xll.ciqfunctions.udf.CIQ($G223, "IQ_VOLUME", EB$222),"--")</f>
        <v>0</v>
      </c>
      <c r="EC223" s="2131">
        <f>IF(EC$221,_xll.ciqfunctions.udf.CIQ($G223, "IQ_VOLUME", EC$222),"--")</f>
        <v>0</v>
      </c>
      <c r="ED223" s="2131">
        <f>IF(ED$221,_xll.ciqfunctions.udf.CIQ($G223, "IQ_VOLUME", ED$222),"--")</f>
        <v>0</v>
      </c>
      <c r="EE223" s="2131">
        <f>IF(EE$221,_xll.ciqfunctions.udf.CIQ($G223, "IQ_VOLUME", EE$222),"--")</f>
        <v>0</v>
      </c>
      <c r="EF223" s="2131">
        <f>IF(EF$221,_xll.ciqfunctions.udf.CIQ($G223, "IQ_VOLUME", EF$222),"--")</f>
        <v>0</v>
      </c>
      <c r="EG223" s="2131">
        <f>IF(EG$221,_xll.ciqfunctions.udf.CIQ($G223, "IQ_VOLUME", EG$222),"--")</f>
        <v>0</v>
      </c>
      <c r="EH223" s="2131">
        <f>IF(EH$221,_xll.ciqfunctions.udf.CIQ($G223, "IQ_VOLUME", EH$222),"--")</f>
        <v>0</v>
      </c>
      <c r="EI223" s="2131">
        <f>IF(EI$221,_xll.ciqfunctions.udf.CIQ($G223, "IQ_VOLUME", EI$222),"--")</f>
        <v>0</v>
      </c>
      <c r="EJ223" s="2131">
        <f>IF(EJ$221,_xll.ciqfunctions.udf.CIQ($G223, "IQ_VOLUME", EJ$222),"--")</f>
        <v>0</v>
      </c>
      <c r="EK223" s="2131">
        <f>IF(EK$221,_xll.ciqfunctions.udf.CIQ($G223, "IQ_VOLUME", EK$222),"--")</f>
        <v>0</v>
      </c>
      <c r="EL223" s="2131">
        <f>IF(EL$221,_xll.ciqfunctions.udf.CIQ($G223, "IQ_VOLUME", EL$222),"--")</f>
        <v>0</v>
      </c>
      <c r="EM223" s="2131">
        <f>IF(EM$221,_xll.ciqfunctions.udf.CIQ($G223, "IQ_VOLUME", EM$222),"--")</f>
        <v>0</v>
      </c>
      <c r="EN223" s="2131">
        <f>IF(EN$221,_xll.ciqfunctions.udf.CIQ($G223, "IQ_VOLUME", EN$222),"--")</f>
        <v>0</v>
      </c>
      <c r="EO223" s="2131">
        <f>IF(EO$221,_xll.ciqfunctions.udf.CIQ($G223, "IQ_VOLUME", EO$222),"--")</f>
        <v>0</v>
      </c>
      <c r="EP223" s="2131">
        <f>IF(EP$221,_xll.ciqfunctions.udf.CIQ($G223, "IQ_VOLUME", EP$222),"--")</f>
        <v>0</v>
      </c>
      <c r="EQ223" s="2131">
        <f>IF(EQ$221,_xll.ciqfunctions.udf.CIQ($G223, "IQ_VOLUME", EQ$222),"--")</f>
        <v>0</v>
      </c>
      <c r="ER223" s="2131">
        <f>IF(ER$221,_xll.ciqfunctions.udf.CIQ($G223, "IQ_VOLUME", ER$222),"--")</f>
        <v>0</v>
      </c>
      <c r="ES223" s="2131">
        <f>IF(ES$221,_xll.ciqfunctions.udf.CIQ($G223, "IQ_VOLUME", ES$222),"--")</f>
        <v>0</v>
      </c>
      <c r="ET223" s="2131">
        <f>IF(ET$221,_xll.ciqfunctions.udf.CIQ($G223, "IQ_VOLUME", ET$222),"--")</f>
        <v>0</v>
      </c>
      <c r="EU223" s="2131">
        <f>IF(EU$221,_xll.ciqfunctions.udf.CIQ($G223, "IQ_VOLUME", EU$222),"--")</f>
        <v>0</v>
      </c>
      <c r="EV223" s="2131">
        <f>IF(EV$221,_xll.ciqfunctions.udf.CIQ($G223, "IQ_VOLUME", EV$222),"--")</f>
        <v>0</v>
      </c>
      <c r="EW223" s="2131">
        <f>IF(EW$221,_xll.ciqfunctions.udf.CIQ($G223, "IQ_VOLUME", EW$222),"--")</f>
        <v>0</v>
      </c>
      <c r="EX223" s="2131">
        <f>IF(EX$221,_xll.ciqfunctions.udf.CIQ($G223, "IQ_VOLUME", EX$222),"--")</f>
        <v>0</v>
      </c>
      <c r="EY223" s="2131">
        <f>IF(EY$221,_xll.ciqfunctions.udf.CIQ($G223, "IQ_VOLUME", EY$222),"--")</f>
        <v>0</v>
      </c>
      <c r="EZ223" s="2131">
        <f>IF(EZ$221,_xll.ciqfunctions.udf.CIQ($G223, "IQ_VOLUME", EZ$222),"--")</f>
        <v>0</v>
      </c>
      <c r="FA223" s="2131">
        <f>IF(FA$221,_xll.ciqfunctions.udf.CIQ($G223, "IQ_VOLUME", FA$222),"--")</f>
        <v>0</v>
      </c>
      <c r="FB223" s="2131">
        <f>IF(FB$221,_xll.ciqfunctions.udf.CIQ($G223, "IQ_VOLUME", FB$222),"--")</f>
        <v>0</v>
      </c>
      <c r="FC223" s="2131">
        <f>IF(FC$221,_xll.ciqfunctions.udf.CIQ($G223, "IQ_VOLUME", FC$222),"--")</f>
        <v>0</v>
      </c>
      <c r="FD223" s="2131">
        <f>IF(FD$221,_xll.ciqfunctions.udf.CIQ($G223, "IQ_VOLUME", FD$222),"--")</f>
        <v>0</v>
      </c>
      <c r="FE223" s="2131">
        <f>IF(FE$221,_xll.ciqfunctions.udf.CIQ($G223, "IQ_VOLUME", FE$222),"--")</f>
        <v>0</v>
      </c>
      <c r="FF223" s="2131">
        <f>IF(FF$221,_xll.ciqfunctions.udf.CIQ($G223, "IQ_VOLUME", FF$222),"--")</f>
        <v>0</v>
      </c>
      <c r="FG223" s="2131">
        <f>IF(FG$221,_xll.ciqfunctions.udf.CIQ($G223, "IQ_VOLUME", FG$222),"--")</f>
        <v>0</v>
      </c>
      <c r="FH223" s="2131">
        <f>IF(FH$221,_xll.ciqfunctions.udf.CIQ($G223, "IQ_VOLUME", FH$222),"--")</f>
        <v>0</v>
      </c>
      <c r="FI223" s="2131">
        <f>IF(FI$221,_xll.ciqfunctions.udf.CIQ($G223, "IQ_VOLUME", FI$222),"--")</f>
        <v>0</v>
      </c>
      <c r="FJ223" s="2131">
        <f>IF(FJ$221,_xll.ciqfunctions.udf.CIQ($G223, "IQ_VOLUME", FJ$222),"--")</f>
        <v>0</v>
      </c>
      <c r="FK223" s="2131">
        <f>IF(FK$221,_xll.ciqfunctions.udf.CIQ($G223, "IQ_VOLUME", FK$222),"--")</f>
        <v>0</v>
      </c>
      <c r="FL223" s="2131">
        <f>IF(FL$221,_xll.ciqfunctions.udf.CIQ($G223, "IQ_VOLUME", FL$222),"--")</f>
        <v>0</v>
      </c>
      <c r="FM223" s="2131">
        <f>IF(FM$221,_xll.ciqfunctions.udf.CIQ($G223, "IQ_VOLUME", FM$222),"--")</f>
        <v>0</v>
      </c>
      <c r="FN223" s="2131">
        <f>IF(FN$221,_xll.ciqfunctions.udf.CIQ($G223, "IQ_VOLUME", FN$222),"--")</f>
        <v>0</v>
      </c>
      <c r="FO223" s="2131">
        <f>IF(FO$221,_xll.ciqfunctions.udf.CIQ($G223, "IQ_VOLUME", FO$222),"--")</f>
        <v>0</v>
      </c>
      <c r="FP223" s="2131">
        <f>IF(FP$221,_xll.ciqfunctions.udf.CIQ($G223, "IQ_VOLUME", FP$222),"--")</f>
        <v>0</v>
      </c>
      <c r="FQ223" s="2131">
        <f>IF(FQ$221,_xll.ciqfunctions.udf.CIQ($G223, "IQ_VOLUME", FQ$222),"--")</f>
        <v>0</v>
      </c>
      <c r="FR223" s="2131">
        <f>IF(FR$221,_xll.ciqfunctions.udf.CIQ($G223, "IQ_VOLUME", FR$222),"--")</f>
        <v>0</v>
      </c>
      <c r="FS223" s="2131">
        <f>IF(FS$221,_xll.ciqfunctions.udf.CIQ($G223, "IQ_VOLUME", FS$222),"--")</f>
        <v>0</v>
      </c>
      <c r="FT223" s="2131">
        <f>IF(FT$221,_xll.ciqfunctions.udf.CIQ($G223, "IQ_VOLUME", FT$222),"--")</f>
        <v>0</v>
      </c>
      <c r="FU223" s="2131">
        <f>IF(FU$221,_xll.ciqfunctions.udf.CIQ($G223, "IQ_VOLUME", FU$222),"--")</f>
        <v>0</v>
      </c>
      <c r="FV223" s="2131">
        <f>IF(FV$221,_xll.ciqfunctions.udf.CIQ($G223, "IQ_VOLUME", FV$222),"--")</f>
        <v>0</v>
      </c>
      <c r="FW223" s="2131">
        <f>IF(FW$221,_xll.ciqfunctions.udf.CIQ($G223, "IQ_VOLUME", FW$222),"--")</f>
        <v>0</v>
      </c>
      <c r="FX223" s="2131">
        <f>IF(FX$221,_xll.ciqfunctions.udf.CIQ($G223, "IQ_VOLUME", FX$222),"--")</f>
        <v>0</v>
      </c>
      <c r="FY223" s="2131">
        <f>IF(FY$221,_xll.ciqfunctions.udf.CIQ($G223, "IQ_VOLUME", FY$222),"--")</f>
        <v>0</v>
      </c>
      <c r="FZ223" s="2131">
        <f>IF(FZ$221,_xll.ciqfunctions.udf.CIQ($G223, "IQ_VOLUME", FZ$222),"--")</f>
        <v>0</v>
      </c>
      <c r="GA223" s="2131">
        <f>IF(GA$221,_xll.ciqfunctions.udf.CIQ($G223, "IQ_VOLUME", GA$222),"--")</f>
        <v>0</v>
      </c>
      <c r="GB223" s="2131">
        <f>IF(GB$221,_xll.ciqfunctions.udf.CIQ($G223, "IQ_VOLUME", GB$222),"--")</f>
        <v>0</v>
      </c>
      <c r="GC223" s="2131">
        <f>IF(GC$221,_xll.ciqfunctions.udf.CIQ($G223, "IQ_VOLUME", GC$222),"--")</f>
        <v>0</v>
      </c>
      <c r="GD223" s="2131">
        <f>IF(GD$221,_xll.ciqfunctions.udf.CIQ($G223, "IQ_VOLUME", GD$222),"--")</f>
        <v>0</v>
      </c>
      <c r="GE223" s="2131">
        <f>IF(GE$221,_xll.ciqfunctions.udf.CIQ($G223, "IQ_VOLUME", GE$222),"--")</f>
        <v>0</v>
      </c>
      <c r="GF223" s="2131">
        <f>IF(GF$221,_xll.ciqfunctions.udf.CIQ($G223, "IQ_VOLUME", GF$222),"--")</f>
        <v>0</v>
      </c>
      <c r="GG223" s="2131">
        <f>IF(GG$221,_xll.ciqfunctions.udf.CIQ($G223, "IQ_VOLUME", GG$222),"--")</f>
        <v>0</v>
      </c>
      <c r="GH223" s="2131">
        <f>IF(GH$221,_xll.ciqfunctions.udf.CIQ($G223, "IQ_VOLUME", GH$222),"--")</f>
        <v>0</v>
      </c>
      <c r="GI223" s="2131">
        <f>IF(GI$221,_xll.ciqfunctions.udf.CIQ($G223, "IQ_VOLUME", GI$222),"--")</f>
        <v>0</v>
      </c>
      <c r="GJ223" s="2131">
        <f>IF(GJ$221,_xll.ciqfunctions.udf.CIQ($G223, "IQ_VOLUME", GJ$222),"--")</f>
        <v>0</v>
      </c>
      <c r="GK223" s="2131">
        <f>IF(GK$221,_xll.ciqfunctions.udf.CIQ($G223, "IQ_VOLUME", GK$222),"--")</f>
        <v>0</v>
      </c>
      <c r="GL223" s="2131">
        <f>IF(GL$221,_xll.ciqfunctions.udf.CIQ($G223, "IQ_VOLUME", GL$222),"--")</f>
        <v>0</v>
      </c>
      <c r="GM223" s="2131">
        <f>IF(GM$221,_xll.ciqfunctions.udf.CIQ($G223, "IQ_VOLUME", GM$222),"--")</f>
        <v>0</v>
      </c>
      <c r="GN223" s="2131">
        <f>IF(GN$221,_xll.ciqfunctions.udf.CIQ($G223, "IQ_VOLUME", GN$222),"--")</f>
        <v>0</v>
      </c>
      <c r="GO223" s="2131">
        <f>IF(GO$221,_xll.ciqfunctions.udf.CIQ($G223, "IQ_VOLUME", GO$222),"--")</f>
        <v>0</v>
      </c>
      <c r="GP223" s="2131">
        <f>IF(GP$221,_xll.ciqfunctions.udf.CIQ($G223, "IQ_VOLUME", GP$222),"--")</f>
        <v>0</v>
      </c>
      <c r="GQ223" s="2131">
        <f>IF(GQ$221,_xll.ciqfunctions.udf.CIQ($G223, "IQ_VOLUME", GQ$222),"--")</f>
        <v>0</v>
      </c>
      <c r="GR223" s="2131">
        <f>IF(GR$221,_xll.ciqfunctions.udf.CIQ($G223, "IQ_VOLUME", GR$222),"--")</f>
        <v>0</v>
      </c>
      <c r="GS223" s="2131">
        <f>IF(GS$221,_xll.ciqfunctions.udf.CIQ($G223, "IQ_VOLUME", GS$222),"--")</f>
        <v>0</v>
      </c>
      <c r="GT223" s="2131">
        <f>IF(GT$221,_xll.ciqfunctions.udf.CIQ($G223, "IQ_VOLUME", GT$222),"--")</f>
        <v>0</v>
      </c>
      <c r="GU223" s="2131">
        <f>IF(GU$221,_xll.ciqfunctions.udf.CIQ($G223, "IQ_VOLUME", GU$222),"--")</f>
        <v>0</v>
      </c>
      <c r="GV223" s="2131">
        <f>IF(GV$221,_xll.ciqfunctions.udf.CIQ($G223, "IQ_VOLUME", GV$222),"--")</f>
        <v>0</v>
      </c>
      <c r="GW223" s="2131">
        <f>IF(GW$221,_xll.ciqfunctions.udf.CIQ($G223, "IQ_VOLUME", GW$222),"--")</f>
        <v>0</v>
      </c>
      <c r="GX223" s="2131">
        <f>IF(GX$221,_xll.ciqfunctions.udf.CIQ($G223, "IQ_VOLUME", GX$222),"--")</f>
        <v>0</v>
      </c>
      <c r="GY223" s="2131">
        <f>IF(GY$221,_xll.ciqfunctions.udf.CIQ($G223, "IQ_VOLUME", GY$222),"--")</f>
        <v>0</v>
      </c>
      <c r="GZ223" s="2131">
        <f>IF(GZ$221,_xll.ciqfunctions.udf.CIQ($G223, "IQ_VOLUME", GZ$222),"--")</f>
        <v>0</v>
      </c>
      <c r="HA223" s="2131">
        <f>IF(HA$221,_xll.ciqfunctions.udf.CIQ($G223, "IQ_VOLUME", HA$222),"--")</f>
        <v>0</v>
      </c>
      <c r="HB223" s="2131">
        <f>IF(HB$221,_xll.ciqfunctions.udf.CIQ($G223, "IQ_VOLUME", HB$222),"--")</f>
        <v>0</v>
      </c>
      <c r="HC223" s="2131">
        <f>IF(HC$221,_xll.ciqfunctions.udf.CIQ($G223, "IQ_VOLUME", HC$222),"--")</f>
        <v>0</v>
      </c>
      <c r="HD223" s="2131">
        <f>IF(HD$221,_xll.ciqfunctions.udf.CIQ($G223, "IQ_VOLUME", HD$222),"--")</f>
        <v>0</v>
      </c>
      <c r="HE223" s="2131">
        <f>IF(HE$221,_xll.ciqfunctions.udf.CIQ($G223, "IQ_VOLUME", HE$222),"--")</f>
        <v>0</v>
      </c>
      <c r="HF223" s="2131">
        <f>IF(HF$221,_xll.ciqfunctions.udf.CIQ($G223, "IQ_VOLUME", HF$222),"--")</f>
        <v>0</v>
      </c>
      <c r="HG223" s="2131">
        <f>IF(HG$221,_xll.ciqfunctions.udf.CIQ($G223, "IQ_VOLUME", HG$222),"--")</f>
        <v>0</v>
      </c>
      <c r="HH223" s="2131">
        <f>IF(HH$221,_xll.ciqfunctions.udf.CIQ($G223, "IQ_VOLUME", HH$222),"--")</f>
        <v>0</v>
      </c>
      <c r="HI223" s="2131">
        <f>IF(HI$221,_xll.ciqfunctions.udf.CIQ($G223, "IQ_VOLUME", HI$222),"--")</f>
        <v>0</v>
      </c>
      <c r="HJ223" s="2131">
        <f>IF(HJ$221,_xll.ciqfunctions.udf.CIQ($G223, "IQ_VOLUME", HJ$222),"--")</f>
        <v>0</v>
      </c>
      <c r="HK223" s="2131">
        <f>IF(HK$221,_xll.ciqfunctions.udf.CIQ($G223, "IQ_VOLUME", HK$222),"--")</f>
        <v>0</v>
      </c>
      <c r="HL223" s="2131">
        <f>IF(HL$221,_xll.ciqfunctions.udf.CIQ($G223, "IQ_VOLUME", HL$222),"--")</f>
        <v>0</v>
      </c>
      <c r="HM223" s="2131">
        <f>IF(HM$221,_xll.ciqfunctions.udf.CIQ($G223, "IQ_VOLUME", HM$222),"--")</f>
        <v>0</v>
      </c>
      <c r="HN223" s="2131">
        <f>IF(HN$221,_xll.ciqfunctions.udf.CIQ($G223, "IQ_VOLUME", HN$222),"--")</f>
        <v>0</v>
      </c>
      <c r="HO223" s="2131">
        <f>IF(HO$221,_xll.ciqfunctions.udf.CIQ($G223, "IQ_VOLUME", HO$222),"--")</f>
        <v>0</v>
      </c>
      <c r="HP223" s="2131">
        <f>IF(HP$221,_xll.ciqfunctions.udf.CIQ($G223, "IQ_VOLUME", HP$222),"--")</f>
        <v>0</v>
      </c>
      <c r="HQ223" s="2131">
        <f>IF(HQ$221,_xll.ciqfunctions.udf.CIQ($G223, "IQ_VOLUME", HQ$222),"--")</f>
        <v>0</v>
      </c>
      <c r="HR223" s="2131">
        <f>IF(HR$221,_xll.ciqfunctions.udf.CIQ($G223, "IQ_VOLUME", HR$222),"--")</f>
        <v>0</v>
      </c>
      <c r="HS223" s="2131">
        <f>IF(HS$221,_xll.ciqfunctions.udf.CIQ($G223, "IQ_VOLUME", HS$222),"--")</f>
        <v>0</v>
      </c>
      <c r="HT223" s="2131">
        <f>IF(HT$221,_xll.ciqfunctions.udf.CIQ($G223, "IQ_VOLUME", HT$222),"--")</f>
        <v>0</v>
      </c>
      <c r="HU223" s="2131">
        <f>IF(HU$221,_xll.ciqfunctions.udf.CIQ($G223, "IQ_VOLUME", HU$222),"--")</f>
        <v>0</v>
      </c>
      <c r="HV223" s="2131">
        <f>IF(HV$221,_xll.ciqfunctions.udf.CIQ($G223, "IQ_VOLUME", HV$222),"--")</f>
        <v>0</v>
      </c>
      <c r="HW223" s="2131">
        <f>IF(HW$221,_xll.ciqfunctions.udf.CIQ($G223, "IQ_VOLUME", HW$222),"--")</f>
        <v>0</v>
      </c>
      <c r="HX223" s="2131">
        <f>IF(HX$221,_xll.ciqfunctions.udf.CIQ($G223, "IQ_VOLUME", HX$222),"--")</f>
        <v>0</v>
      </c>
      <c r="HY223" s="2131">
        <f>IF(HY$221,_xll.ciqfunctions.udf.CIQ($G223, "IQ_VOLUME", HY$222),"--")</f>
        <v>0</v>
      </c>
      <c r="HZ223" s="2131">
        <f>IF(HZ$221,_xll.ciqfunctions.udf.CIQ($G223, "IQ_VOLUME", HZ$222),"--")</f>
        <v>0</v>
      </c>
      <c r="IA223" s="2131">
        <f>IF(IA$221,_xll.ciqfunctions.udf.CIQ($G223, "IQ_VOLUME", IA$222),"--")</f>
        <v>0</v>
      </c>
      <c r="IB223" s="2131">
        <f>IF(IB$221,_xll.ciqfunctions.udf.CIQ($G223, "IQ_VOLUME", IB$222),"--")</f>
        <v>0</v>
      </c>
      <c r="IC223" s="2131">
        <f>IF(IC$221,_xll.ciqfunctions.udf.CIQ($G223, "IQ_VOLUME", IC$222),"--")</f>
        <v>0</v>
      </c>
      <c r="ID223" s="2131">
        <f>IF(ID$221,_xll.ciqfunctions.udf.CIQ($G223, "IQ_VOLUME", ID$222),"--")</f>
        <v>0</v>
      </c>
      <c r="IE223" s="2131">
        <f>IF(IE$221,_xll.ciqfunctions.udf.CIQ($G223, "IQ_VOLUME", IE$222),"--")</f>
        <v>0</v>
      </c>
      <c r="IF223" s="2131">
        <f>IF(IF$221,_xll.ciqfunctions.udf.CIQ($G223, "IQ_VOLUME", IF$222),"--")</f>
        <v>0</v>
      </c>
      <c r="IG223" s="2131">
        <f>IF(IG$221,_xll.ciqfunctions.udf.CIQ($G223, "IQ_VOLUME", IG$222),"--")</f>
        <v>0</v>
      </c>
      <c r="IH223" s="2131">
        <f>IF(IH$221,_xll.ciqfunctions.udf.CIQ($G223, "IQ_VOLUME", IH$222),"--")</f>
        <v>0</v>
      </c>
      <c r="II223" s="2131">
        <f>IF(II$221,_xll.ciqfunctions.udf.CIQ($G223, "IQ_VOLUME", II$222),"--")</f>
        <v>0</v>
      </c>
      <c r="IJ223" s="2131">
        <f>IF(IJ$221,_xll.ciqfunctions.udf.CIQ($G223, "IQ_VOLUME", IJ$222),"--")</f>
        <v>0</v>
      </c>
      <c r="IK223" s="2131">
        <f>IF(IK$221,_xll.ciqfunctions.udf.CIQ($G223, "IQ_VOLUME", IK$222),"--")</f>
        <v>0</v>
      </c>
      <c r="IL223" s="2131">
        <f>IF(IL$221,_xll.ciqfunctions.udf.CIQ($G223, "IQ_VOLUME", IL$222),"--")</f>
        <v>0</v>
      </c>
      <c r="IM223" s="2131">
        <f>IF(IM$221,_xll.ciqfunctions.udf.CIQ($G223, "IQ_VOLUME", IM$222),"--")</f>
        <v>0</v>
      </c>
      <c r="IN223" s="2131">
        <f>IF(IN$221,_xll.ciqfunctions.udf.CIQ($G223, "IQ_VOLUME", IN$222),"--")</f>
        <v>0</v>
      </c>
      <c r="IO223" s="2131">
        <f>IF(IO$221,_xll.ciqfunctions.udf.CIQ($G223, "IQ_VOLUME", IO$222),"--")</f>
        <v>0</v>
      </c>
      <c r="IP223" s="2131">
        <f>IF(IP$221,_xll.ciqfunctions.udf.CIQ($G223, "IQ_VOLUME", IP$222),"--")</f>
        <v>0</v>
      </c>
      <c r="IQ223" s="2131">
        <f>IF(IQ$221,_xll.ciqfunctions.udf.CIQ($G223, "IQ_VOLUME", IQ$222),"--")</f>
        <v>0</v>
      </c>
      <c r="IR223" s="2131">
        <f>IF(IR$221,_xll.ciqfunctions.udf.CIQ($G223, "IQ_VOLUME", IR$222),"--")</f>
        <v>0</v>
      </c>
      <c r="IS223" s="2131">
        <f>IF(IS$221,_xll.ciqfunctions.udf.CIQ($G223, "IQ_VOLUME", IS$222),"--")</f>
        <v>0</v>
      </c>
      <c r="IT223" s="2131">
        <f>IF(IT$221,_xll.ciqfunctions.udf.CIQ($G223, "IQ_VOLUME", IT$222),"--")</f>
        <v>0</v>
      </c>
      <c r="IU223" s="2131">
        <f>IF(IU$221,_xll.ciqfunctions.udf.CIQ($G223, "IQ_VOLUME", IU$222),"--")</f>
        <v>0</v>
      </c>
      <c r="IV223" s="2131">
        <f>IF(IV$221,_xll.ciqfunctions.udf.CIQ($G223, "IQ_VOLUME", IV$222),"--")</f>
        <v>0</v>
      </c>
      <c r="IW223" s="2131">
        <f>IF(IW$221,_xll.ciqfunctions.udf.CIQ($G223, "IQ_VOLUME", IW$222),"--")</f>
        <v>0</v>
      </c>
      <c r="IX223" s="2131">
        <f>IF(IX$221,_xll.ciqfunctions.udf.CIQ($G223, "IQ_VOLUME", IX$222),"--")</f>
        <v>0</v>
      </c>
      <c r="IY223" s="2131">
        <f>IF(IY$221,_xll.ciqfunctions.udf.CIQ($G223, "IQ_VOLUME", IY$222),"--")</f>
        <v>0</v>
      </c>
      <c r="IZ223" s="2131">
        <f>IF(IZ$221,_xll.ciqfunctions.udf.CIQ($G223, "IQ_VOLUME", IZ$222),"--")</f>
        <v>0</v>
      </c>
      <c r="JA223" s="2131">
        <f>IF(JA$221,_xll.ciqfunctions.udf.CIQ($G223, "IQ_VOLUME", JA$222),"--")</f>
        <v>0</v>
      </c>
      <c r="JB223" s="2131">
        <f>IF(JB$221,_xll.ciqfunctions.udf.CIQ($G223, "IQ_VOLUME", JB$222),"--")</f>
        <v>0</v>
      </c>
      <c r="JC223" s="2131">
        <f>IF(JC$221,_xll.ciqfunctions.udf.CIQ($G223, "IQ_VOLUME", JC$222),"--")</f>
        <v>0</v>
      </c>
      <c r="JD223" s="2131">
        <f>IF(JD$221,_xll.ciqfunctions.udf.CIQ($G223, "IQ_VOLUME", JD$222),"--")</f>
        <v>0</v>
      </c>
      <c r="JE223" s="2131">
        <f>IF(JE$221,_xll.ciqfunctions.udf.CIQ($G223, "IQ_VOLUME", JE$222),"--")</f>
        <v>0</v>
      </c>
      <c r="JF223" s="2131">
        <f>IF(JF$221,_xll.ciqfunctions.udf.CIQ($G223, "IQ_VOLUME", JF$222),"--")</f>
        <v>0</v>
      </c>
      <c r="JG223" s="2131">
        <f>IF(JG$221,_xll.ciqfunctions.udf.CIQ($G223, "IQ_VOLUME", JG$222),"--")</f>
        <v>0</v>
      </c>
      <c r="JH223" s="2131">
        <f>IF(JH$221,_xll.ciqfunctions.udf.CIQ($G223, "IQ_VOLUME", JH$222),"--")</f>
        <v>0</v>
      </c>
      <c r="JI223" s="2131">
        <f>IF(JI$221,_xll.ciqfunctions.udf.CIQ($G223, "IQ_VOLUME", JI$222),"--")</f>
        <v>0</v>
      </c>
      <c r="JJ223" s="2131">
        <f>IF(JJ$221,_xll.ciqfunctions.udf.CIQ($G223, "IQ_VOLUME", JJ$222),"--")</f>
        <v>0</v>
      </c>
      <c r="JK223" s="2131">
        <f>IF(JK$221,_xll.ciqfunctions.udf.CIQ($G223, "IQ_VOLUME", JK$222),"--")</f>
        <v>0</v>
      </c>
      <c r="JL223" s="2131">
        <f>IF(JL$221,_xll.ciqfunctions.udf.CIQ($G223, "IQ_VOLUME", JL$222),"--")</f>
        <v>0</v>
      </c>
      <c r="JM223" s="2131">
        <f>IF(JM$221,_xll.ciqfunctions.udf.CIQ($G223, "IQ_VOLUME", JM$222),"--")</f>
        <v>0</v>
      </c>
      <c r="JN223" s="2131">
        <f>IF(JN$221,_xll.ciqfunctions.udf.CIQ($G223, "IQ_VOLUME", JN$222),"--")</f>
        <v>0</v>
      </c>
      <c r="JO223" s="2131">
        <f>IF(JO$221,_xll.ciqfunctions.udf.CIQ($G223, "IQ_VOLUME", JO$222),"--")</f>
        <v>0</v>
      </c>
      <c r="JP223" s="2131">
        <f>IF(JP$221,_xll.ciqfunctions.udf.CIQ($G223, "IQ_VOLUME", JP$222),"--")</f>
        <v>0</v>
      </c>
      <c r="JQ223" s="2131">
        <f>IF(JQ$221,_xll.ciqfunctions.udf.CIQ($G223, "IQ_VOLUME", JQ$222),"--")</f>
        <v>0</v>
      </c>
      <c r="JR223" s="2131">
        <f>IF(JR$221,_xll.ciqfunctions.udf.CIQ($G223, "IQ_VOLUME", JR$222),"--")</f>
        <v>0</v>
      </c>
      <c r="JS223" s="2131">
        <f>IF(JS$221,_xll.ciqfunctions.udf.CIQ($G223, "IQ_VOLUME", JS$222),"--")</f>
        <v>0</v>
      </c>
      <c r="JT223" s="2131">
        <f>IF(JT$221,_xll.ciqfunctions.udf.CIQ($G223, "IQ_VOLUME", JT$222),"--")</f>
        <v>0</v>
      </c>
      <c r="JU223" s="2131">
        <f>IF(JU$221,_xll.ciqfunctions.udf.CIQ($G223, "IQ_VOLUME", JU$222),"--")</f>
        <v>0</v>
      </c>
      <c r="JV223" s="2131">
        <f>IF(JV$221,_xll.ciqfunctions.udf.CIQ($G223, "IQ_VOLUME", JV$222),"--")</f>
        <v>0</v>
      </c>
      <c r="JW223" s="2131" t="str">
        <f>IF(JW$221,_xll.ciqfunctions.udf.CIQ($G223, "IQ_VOLUME", JW$222),"--")</f>
        <v>--</v>
      </c>
      <c r="JX223" s="2131" t="str">
        <f>IF(JX$221,_xll.ciqfunctions.udf.CIQ($G223, "IQ_VOLUME", JX$222),"--")</f>
        <v>--</v>
      </c>
      <c r="JY223" s="2131" t="str">
        <f>IF(JY$221,_xll.ciqfunctions.udf.CIQ($G223, "IQ_VOLUME", JY$222),"--")</f>
        <v>--</v>
      </c>
      <c r="JZ223" s="2131" t="str">
        <f>IF(JZ$221,_xll.ciqfunctions.udf.CIQ($G223, "IQ_VOLUME", JZ$222),"--")</f>
        <v>--</v>
      </c>
      <c r="KA223" s="2131" t="str">
        <f>IF(KA$221,_xll.ciqfunctions.udf.CIQ($G223, "IQ_VOLUME", KA$222),"--")</f>
        <v>--</v>
      </c>
      <c r="KB223" s="2131" t="str">
        <f>IF(KB$221,_xll.ciqfunctions.udf.CIQ($G223, "IQ_VOLUME", KB$222),"--")</f>
        <v>--</v>
      </c>
    </row>
    <row r="224" spans="1:288" s="89" customFormat="1" ht="13.9">
      <c r="A224" s="269" t="str">
        <f>IF(F224="--","n","")</f>
        <v>n</v>
      </c>
      <c r="B224" s="2060"/>
      <c r="C224" s="72"/>
      <c r="D224" s="801"/>
      <c r="E224" s="1505">
        <v>1</v>
      </c>
      <c r="F224" s="21" t="str">
        <f>F$129</f>
        <v>--</v>
      </c>
      <c r="G224" s="2112">
        <f>G$129</f>
        <v>0</v>
      </c>
      <c r="H224" s="2112" t="str">
        <f>H$129</f>
        <v>--</v>
      </c>
      <c r="I224" s="22" t="s">
        <v>781</v>
      </c>
      <c r="J224" s="53"/>
      <c r="K224" s="2301" t="str">
        <f>IF(OR(K192=0,$G224=0),"--",IFERROR(_xll.ciqfunctions.udf.CIQ($G224,$I224,K100,Valuation_Date_GC,ReportType,DataMode,$H224,FXMode)*Scale,"--"))</f>
        <v>--</v>
      </c>
      <c r="L224" s="2301" t="str">
        <f>IF(OR(L192=0,$G224=0),"--",IFERROR(_xll.ciqfunctions.udf.CIQ($G224,$I224,L100,Valuation_Date_GC,ReportType,DataMode,$H224,FXMode)*Scale,"--"))</f>
        <v>--</v>
      </c>
      <c r="M224" s="2301" t="str">
        <f>IF(OR(M192=0,$G224=0),"--",IFERROR(_xll.ciqfunctions.udf.CIQ($G224,$I224,M100,Valuation_Date_GC,ReportType,DataMode,$H224,FXMode)*Scale,"--"))</f>
        <v>--</v>
      </c>
      <c r="N224" s="2301" t="str">
        <f>IF(OR(N192=0,$G224=0),"--",IFERROR(_xll.ciqfunctions.udf.CIQ($G224,$I224,N100,Valuation_Date_GC,ReportType,DataMode,$H224,FXMode)*Scale,"--"))</f>
        <v>--</v>
      </c>
      <c r="O224" s="1471" t="str">
        <f>IF(OR(O192=0,$G224=0),"--",IFERROR(_xll.ciqfunctions.udf.CIQ($G224,$I224,O100,Valuation_Date_GC,ReportType,DataMode,$H224,FXMode)*Scale,"--"))</f>
        <v>--</v>
      </c>
      <c r="P224" s="2301" t="str">
        <f>IF(OR(P192=0,$G224=0),"--",IFERROR(_xll.ciqfunctions.udf.CIQ($G224,$I224,P100,Valuation_Date_GC,ReportType,DataMode,$H224,FXMode)*Scale,"--"))</f>
        <v>--</v>
      </c>
      <c r="R224" s="255"/>
      <c r="T224" s="1779" t="s">
        <v>782</v>
      </c>
      <c r="U224" s="2131">
        <f>IF(U$221,_xll.ciqfunctions.udf.CIQ($G224, "IQ_VOLUME", U$222),"--")</f>
        <v>0</v>
      </c>
      <c r="V224" s="2131">
        <f>IF(V$221,_xll.ciqfunctions.udf.CIQ($G224, "IQ_VOLUME", V$222),"--")</f>
        <v>0</v>
      </c>
      <c r="W224" s="2131">
        <f>IF(W$221,_xll.ciqfunctions.udf.CIQ($G224, "IQ_VOLUME", W$222),"--")</f>
        <v>0</v>
      </c>
      <c r="X224" s="2131">
        <f>IF(X$221,_xll.ciqfunctions.udf.CIQ($G224, "IQ_VOLUME", X$222),"--")</f>
        <v>0</v>
      </c>
      <c r="Y224" s="2131">
        <f>IF(Y$221,_xll.ciqfunctions.udf.CIQ($G224, "IQ_VOLUME", Y$222),"--")</f>
        <v>0</v>
      </c>
      <c r="Z224" s="2131">
        <f>IF(Z$221,_xll.ciqfunctions.udf.CIQ($G224, "IQ_VOLUME", Z$222),"--")</f>
        <v>0</v>
      </c>
      <c r="AA224" s="2131">
        <f>IF(AA$221,_xll.ciqfunctions.udf.CIQ($G224, "IQ_VOLUME", AA$222),"--")</f>
        <v>0</v>
      </c>
      <c r="AB224" s="2131">
        <f>IF(AB$221,_xll.ciqfunctions.udf.CIQ($G224, "IQ_VOLUME", AB$222),"--")</f>
        <v>0</v>
      </c>
      <c r="AC224" s="2131">
        <f>IF(AC$221,_xll.ciqfunctions.udf.CIQ($G224, "IQ_VOLUME", AC$222),"--")</f>
        <v>0</v>
      </c>
      <c r="AD224" s="2131">
        <f>IF(AD$221,_xll.ciqfunctions.udf.CIQ($G224, "IQ_VOLUME", AD$222),"--")</f>
        <v>0</v>
      </c>
      <c r="AE224" s="2131">
        <f>IF(AE$221,_xll.ciqfunctions.udf.CIQ($G224, "IQ_VOLUME", AE$222),"--")</f>
        <v>0</v>
      </c>
      <c r="AF224" s="2131">
        <f>IF(AF$221,_xll.ciqfunctions.udf.CIQ($G224, "IQ_VOLUME", AF$222),"--")</f>
        <v>0</v>
      </c>
      <c r="AG224" s="2131">
        <f>IF(AG$221,_xll.ciqfunctions.udf.CIQ($G224, "IQ_VOLUME", AG$222),"--")</f>
        <v>0</v>
      </c>
      <c r="AH224" s="2131">
        <f>IF(AH$221,_xll.ciqfunctions.udf.CIQ($G224, "IQ_VOLUME", AH$222),"--")</f>
        <v>0</v>
      </c>
      <c r="AI224" s="2131">
        <f>IF(AI$221,_xll.ciqfunctions.udf.CIQ($G224, "IQ_VOLUME", AI$222),"--")</f>
        <v>0</v>
      </c>
      <c r="AJ224" s="2131">
        <f>IF(AJ$221,_xll.ciqfunctions.udf.CIQ($G224, "IQ_VOLUME", AJ$222),"--")</f>
        <v>0</v>
      </c>
      <c r="AK224" s="2131">
        <f>IF(AK$221,_xll.ciqfunctions.udf.CIQ($G224, "IQ_VOLUME", AK$222),"--")</f>
        <v>0</v>
      </c>
      <c r="AL224" s="2131">
        <f>IF(AL$221,_xll.ciqfunctions.udf.CIQ($G224, "IQ_VOLUME", AL$222),"--")</f>
        <v>0</v>
      </c>
      <c r="AM224" s="2131">
        <f>IF(AM$221,_xll.ciqfunctions.udf.CIQ($G224, "IQ_VOLUME", AM$222),"--")</f>
        <v>0</v>
      </c>
      <c r="AN224" s="2131">
        <f>IF(AN$221,_xll.ciqfunctions.udf.CIQ($G224, "IQ_VOLUME", AN$222),"--")</f>
        <v>0</v>
      </c>
      <c r="AO224" s="2131">
        <f>IF(AO$221,_xll.ciqfunctions.udf.CIQ($G224, "IQ_VOLUME", AO$222),"--")</f>
        <v>0</v>
      </c>
      <c r="AP224" s="2131">
        <f>IF(AP$221,_xll.ciqfunctions.udf.CIQ($G224, "IQ_VOLUME", AP$222),"--")</f>
        <v>0</v>
      </c>
      <c r="AQ224" s="2131">
        <f>IF(AQ$221,_xll.ciqfunctions.udf.CIQ($G224, "IQ_VOLUME", AQ$222),"--")</f>
        <v>0</v>
      </c>
      <c r="AR224" s="2131">
        <f>IF(AR$221,_xll.ciqfunctions.udf.CIQ($G224, "IQ_VOLUME", AR$222),"--")</f>
        <v>0</v>
      </c>
      <c r="AS224" s="2131">
        <f>IF(AS$221,_xll.ciqfunctions.udf.CIQ($G224, "IQ_VOLUME", AS$222),"--")</f>
        <v>0</v>
      </c>
      <c r="AT224" s="2131">
        <f>IF(AT$221,_xll.ciqfunctions.udf.CIQ($G224, "IQ_VOLUME", AT$222),"--")</f>
        <v>0</v>
      </c>
      <c r="AU224" s="2131">
        <f>IF(AU$221,_xll.ciqfunctions.udf.CIQ($G224, "IQ_VOLUME", AU$222),"--")</f>
        <v>0</v>
      </c>
      <c r="AV224" s="2131">
        <f>IF(AV$221,_xll.ciqfunctions.udf.CIQ($G224, "IQ_VOLUME", AV$222),"--")</f>
        <v>0</v>
      </c>
      <c r="AW224" s="2131">
        <f>IF(AW$221,_xll.ciqfunctions.udf.CIQ($G224, "IQ_VOLUME", AW$222),"--")</f>
        <v>0</v>
      </c>
      <c r="AX224" s="2131">
        <f>IF(AX$221,_xll.ciqfunctions.udf.CIQ($G224, "IQ_VOLUME", AX$222),"--")</f>
        <v>0</v>
      </c>
      <c r="AY224" s="2131">
        <f>IF(AY$221,_xll.ciqfunctions.udf.CIQ($G224, "IQ_VOLUME", AY$222),"--")</f>
        <v>0</v>
      </c>
      <c r="AZ224" s="2131">
        <f>IF(AZ$221,_xll.ciqfunctions.udf.CIQ($G224, "IQ_VOLUME", AZ$222),"--")</f>
        <v>0</v>
      </c>
      <c r="BA224" s="2131">
        <f>IF(BA$221,_xll.ciqfunctions.udf.CIQ($G224, "IQ_VOLUME", BA$222),"--")</f>
        <v>0</v>
      </c>
      <c r="BB224" s="2131">
        <f>IF(BB$221,_xll.ciqfunctions.udf.CIQ($G224, "IQ_VOLUME", BB$222),"--")</f>
        <v>0</v>
      </c>
      <c r="BC224" s="2131">
        <f>IF(BC$221,_xll.ciqfunctions.udf.CIQ($G224, "IQ_VOLUME", BC$222),"--")</f>
        <v>0</v>
      </c>
      <c r="BD224" s="2131">
        <f>IF(BD$221,_xll.ciqfunctions.udf.CIQ($G224, "IQ_VOLUME", BD$222),"--")</f>
        <v>0</v>
      </c>
      <c r="BE224" s="2131">
        <f>IF(BE$221,_xll.ciqfunctions.udf.CIQ($G224, "IQ_VOLUME", BE$222),"--")</f>
        <v>0</v>
      </c>
      <c r="BF224" s="2131">
        <f>IF(BF$221,_xll.ciqfunctions.udf.CIQ($G224, "IQ_VOLUME", BF$222),"--")</f>
        <v>0</v>
      </c>
      <c r="BG224" s="2131">
        <f>IF(BG$221,_xll.ciqfunctions.udf.CIQ($G224, "IQ_VOLUME", BG$222),"--")</f>
        <v>0</v>
      </c>
      <c r="BH224" s="2131">
        <f>IF(BH$221,_xll.ciqfunctions.udf.CIQ($G224, "IQ_VOLUME", BH$222),"--")</f>
        <v>0</v>
      </c>
      <c r="BI224" s="2131">
        <f>IF(BI$221,_xll.ciqfunctions.udf.CIQ($G224, "IQ_VOLUME", BI$222),"--")</f>
        <v>0</v>
      </c>
      <c r="BJ224" s="2131">
        <f>IF(BJ$221,_xll.ciqfunctions.udf.CIQ($G224, "IQ_VOLUME", BJ$222),"--")</f>
        <v>0</v>
      </c>
      <c r="BK224" s="2131">
        <f>IF(BK$221,_xll.ciqfunctions.udf.CIQ($G224, "IQ_VOLUME", BK$222),"--")</f>
        <v>0</v>
      </c>
      <c r="BL224" s="2131">
        <f>IF(BL$221,_xll.ciqfunctions.udf.CIQ($G224, "IQ_VOLUME", BL$222),"--")</f>
        <v>0</v>
      </c>
      <c r="BM224" s="2131">
        <f>IF(BM$221,_xll.ciqfunctions.udf.CIQ($G224, "IQ_VOLUME", BM$222),"--")</f>
        <v>0</v>
      </c>
      <c r="BN224" s="2131">
        <f>IF(BN$221,_xll.ciqfunctions.udf.CIQ($G224, "IQ_VOLUME", BN$222),"--")</f>
        <v>0</v>
      </c>
      <c r="BO224" s="2131">
        <f>IF(BO$221,_xll.ciqfunctions.udf.CIQ($G224, "IQ_VOLUME", BO$222),"--")</f>
        <v>0</v>
      </c>
      <c r="BP224" s="2131">
        <f>IF(BP$221,_xll.ciqfunctions.udf.CIQ($G224, "IQ_VOLUME", BP$222),"--")</f>
        <v>0</v>
      </c>
      <c r="BQ224" s="2131">
        <f>IF(BQ$221,_xll.ciqfunctions.udf.CIQ($G224, "IQ_VOLUME", BQ$222),"--")</f>
        <v>0</v>
      </c>
      <c r="BR224" s="2131">
        <f>IF(BR$221,_xll.ciqfunctions.udf.CIQ($G224, "IQ_VOLUME", BR$222),"--")</f>
        <v>0</v>
      </c>
      <c r="BS224" s="2131">
        <f>IF(BS$221,_xll.ciqfunctions.udf.CIQ($G224, "IQ_VOLUME", BS$222),"--")</f>
        <v>0</v>
      </c>
      <c r="BT224" s="2131">
        <f>IF(BT$221,_xll.ciqfunctions.udf.CIQ($G224, "IQ_VOLUME", BT$222),"--")</f>
        <v>0</v>
      </c>
      <c r="BU224" s="2131">
        <f>IF(BU$221,_xll.ciqfunctions.udf.CIQ($G224, "IQ_VOLUME", BU$222),"--")</f>
        <v>0</v>
      </c>
      <c r="BV224" s="2131">
        <f>IF(BV$221,_xll.ciqfunctions.udf.CIQ($G224, "IQ_VOLUME", BV$222),"--")</f>
        <v>0</v>
      </c>
      <c r="BW224" s="2131">
        <f>IF(BW$221,_xll.ciqfunctions.udf.CIQ($G224, "IQ_VOLUME", BW$222),"--")</f>
        <v>0</v>
      </c>
      <c r="BX224" s="2131">
        <f>IF(BX$221,_xll.ciqfunctions.udf.CIQ($G224, "IQ_VOLUME", BX$222),"--")</f>
        <v>0</v>
      </c>
      <c r="BY224" s="2131">
        <f>IF(BY$221,_xll.ciqfunctions.udf.CIQ($G224, "IQ_VOLUME", BY$222),"--")</f>
        <v>0</v>
      </c>
      <c r="BZ224" s="2131">
        <f>IF(BZ$221,_xll.ciqfunctions.udf.CIQ($G224, "IQ_VOLUME", BZ$222),"--")</f>
        <v>0</v>
      </c>
      <c r="CA224" s="2131">
        <f>IF(CA$221,_xll.ciqfunctions.udf.CIQ($G224, "IQ_VOLUME", CA$222),"--")</f>
        <v>0</v>
      </c>
      <c r="CB224" s="2131">
        <f>IF(CB$221,_xll.ciqfunctions.udf.CIQ($G224, "IQ_VOLUME", CB$222),"--")</f>
        <v>0</v>
      </c>
      <c r="CC224" s="2131">
        <f>IF(CC$221,_xll.ciqfunctions.udf.CIQ($G224, "IQ_VOLUME", CC$222),"--")</f>
        <v>0</v>
      </c>
      <c r="CD224" s="2131">
        <f>IF(CD$221,_xll.ciqfunctions.udf.CIQ($G224, "IQ_VOLUME", CD$222),"--")</f>
        <v>0</v>
      </c>
      <c r="CE224" s="2131">
        <f>IF(CE$221,_xll.ciqfunctions.udf.CIQ($G224, "IQ_VOLUME", CE$222),"--")</f>
        <v>0</v>
      </c>
      <c r="CF224" s="2131">
        <f>IF(CF$221,_xll.ciqfunctions.udf.CIQ($G224, "IQ_VOLUME", CF$222),"--")</f>
        <v>0</v>
      </c>
      <c r="CG224" s="2131">
        <f>IF(CG$221,_xll.ciqfunctions.udf.CIQ($G224, "IQ_VOLUME", CG$222),"--")</f>
        <v>0</v>
      </c>
      <c r="CH224" s="2131">
        <f>IF(CH$221,_xll.ciqfunctions.udf.CIQ($G224, "IQ_VOLUME", CH$222),"--")</f>
        <v>0</v>
      </c>
      <c r="CI224" s="2131">
        <f>IF(CI$221,_xll.ciqfunctions.udf.CIQ($G224, "IQ_VOLUME", CI$222),"--")</f>
        <v>0</v>
      </c>
      <c r="CJ224" s="2131">
        <f>IF(CJ$221,_xll.ciqfunctions.udf.CIQ($G224, "IQ_VOLUME", CJ$222),"--")</f>
        <v>0</v>
      </c>
      <c r="CK224" s="2131">
        <f>IF(CK$221,_xll.ciqfunctions.udf.CIQ($G224, "IQ_VOLUME", CK$222),"--")</f>
        <v>0</v>
      </c>
      <c r="CL224" s="2131">
        <f>IF(CL$221,_xll.ciqfunctions.udf.CIQ($G224, "IQ_VOLUME", CL$222),"--")</f>
        <v>0</v>
      </c>
      <c r="CM224" s="2131">
        <f>IF(CM$221,_xll.ciqfunctions.udf.CIQ($G224, "IQ_VOLUME", CM$222),"--")</f>
        <v>0</v>
      </c>
      <c r="CN224" s="2131">
        <f>IF(CN$221,_xll.ciqfunctions.udf.CIQ($G224, "IQ_VOLUME", CN$222),"--")</f>
        <v>0</v>
      </c>
      <c r="CO224" s="2131">
        <f>IF(CO$221,_xll.ciqfunctions.udf.CIQ($G224, "IQ_VOLUME", CO$222),"--")</f>
        <v>0</v>
      </c>
      <c r="CP224" s="2131">
        <f>IF(CP$221,_xll.ciqfunctions.udf.CIQ($G224, "IQ_VOLUME", CP$222),"--")</f>
        <v>0</v>
      </c>
      <c r="CQ224" s="2131">
        <f>IF(CQ$221,_xll.ciqfunctions.udf.CIQ($G224, "IQ_VOLUME", CQ$222),"--")</f>
        <v>0</v>
      </c>
      <c r="CR224" s="2131">
        <f>IF(CR$221,_xll.ciqfunctions.udf.CIQ($G224, "IQ_VOLUME", CR$222),"--")</f>
        <v>0</v>
      </c>
      <c r="CS224" s="2131">
        <f>IF(CS$221,_xll.ciqfunctions.udf.CIQ($G224, "IQ_VOLUME", CS$222),"--")</f>
        <v>0</v>
      </c>
      <c r="CT224" s="2131">
        <f>IF(CT$221,_xll.ciqfunctions.udf.CIQ($G224, "IQ_VOLUME", CT$222),"--")</f>
        <v>0</v>
      </c>
      <c r="CU224" s="2131">
        <f>IF(CU$221,_xll.ciqfunctions.udf.CIQ($G224, "IQ_VOLUME", CU$222),"--")</f>
        <v>0</v>
      </c>
      <c r="CV224" s="2131">
        <f>IF(CV$221,_xll.ciqfunctions.udf.CIQ($G224, "IQ_VOLUME", CV$222),"--")</f>
        <v>0</v>
      </c>
      <c r="CW224" s="2131">
        <f>IF(CW$221,_xll.ciqfunctions.udf.CIQ($G224, "IQ_VOLUME", CW$222),"--")</f>
        <v>0</v>
      </c>
      <c r="CX224" s="2131">
        <f>IF(CX$221,_xll.ciqfunctions.udf.CIQ($G224, "IQ_VOLUME", CX$222),"--")</f>
        <v>0</v>
      </c>
      <c r="CY224" s="2131">
        <f>IF(CY$221,_xll.ciqfunctions.udf.CIQ($G224, "IQ_VOLUME", CY$222),"--")</f>
        <v>0</v>
      </c>
      <c r="CZ224" s="2131">
        <f>IF(CZ$221,_xll.ciqfunctions.udf.CIQ($G224, "IQ_VOLUME", CZ$222),"--")</f>
        <v>0</v>
      </c>
      <c r="DA224" s="2131">
        <f>IF(DA$221,_xll.ciqfunctions.udf.CIQ($G224, "IQ_VOLUME", DA$222),"--")</f>
        <v>0</v>
      </c>
      <c r="DB224" s="2131">
        <f>IF(DB$221,_xll.ciqfunctions.udf.CIQ($G224, "IQ_VOLUME", DB$222),"--")</f>
        <v>0</v>
      </c>
      <c r="DC224" s="2131">
        <f>IF(DC$221,_xll.ciqfunctions.udf.CIQ($G224, "IQ_VOLUME", DC$222),"--")</f>
        <v>0</v>
      </c>
      <c r="DD224" s="2131">
        <f>IF(DD$221,_xll.ciqfunctions.udf.CIQ($G224, "IQ_VOLUME", DD$222),"--")</f>
        <v>0</v>
      </c>
      <c r="DE224" s="2131">
        <f>IF(DE$221,_xll.ciqfunctions.udf.CIQ($G224, "IQ_VOLUME", DE$222),"--")</f>
        <v>0</v>
      </c>
      <c r="DF224" s="2131">
        <f>IF(DF$221,_xll.ciqfunctions.udf.CIQ($G224, "IQ_VOLUME", DF$222),"--")</f>
        <v>0</v>
      </c>
      <c r="DG224" s="2131">
        <f>IF(DG$221,_xll.ciqfunctions.udf.CIQ($G224, "IQ_VOLUME", DG$222),"--")</f>
        <v>0</v>
      </c>
      <c r="DH224" s="2131">
        <f>IF(DH$221,_xll.ciqfunctions.udf.CIQ($G224, "IQ_VOLUME", DH$222),"--")</f>
        <v>0</v>
      </c>
      <c r="DI224" s="2131">
        <f>IF(DI$221,_xll.ciqfunctions.udf.CIQ($G224, "IQ_VOLUME", DI$222),"--")</f>
        <v>0</v>
      </c>
      <c r="DJ224" s="2131">
        <f>IF(DJ$221,_xll.ciqfunctions.udf.CIQ($G224, "IQ_VOLUME", DJ$222),"--")</f>
        <v>0</v>
      </c>
      <c r="DK224" s="2131">
        <f>IF(DK$221,_xll.ciqfunctions.udf.CIQ($G224, "IQ_VOLUME", DK$222),"--")</f>
        <v>0</v>
      </c>
      <c r="DL224" s="2131">
        <f>IF(DL$221,_xll.ciqfunctions.udf.CIQ($G224, "IQ_VOLUME", DL$222),"--")</f>
        <v>0</v>
      </c>
      <c r="DM224" s="2131">
        <f>IF(DM$221,_xll.ciqfunctions.udf.CIQ($G224, "IQ_VOLUME", DM$222),"--")</f>
        <v>0</v>
      </c>
      <c r="DN224" s="2131">
        <f>IF(DN$221,_xll.ciqfunctions.udf.CIQ($G224, "IQ_VOLUME", DN$222),"--")</f>
        <v>0</v>
      </c>
      <c r="DO224" s="2131">
        <f>IF(DO$221,_xll.ciqfunctions.udf.CIQ($G224, "IQ_VOLUME", DO$222),"--")</f>
        <v>0</v>
      </c>
      <c r="DP224" s="2131">
        <f>IF(DP$221,_xll.ciqfunctions.udf.CIQ($G224, "IQ_VOLUME", DP$222),"--")</f>
        <v>0</v>
      </c>
      <c r="DQ224" s="2131">
        <f>IF(DQ$221,_xll.ciqfunctions.udf.CIQ($G224, "IQ_VOLUME", DQ$222),"--")</f>
        <v>0</v>
      </c>
      <c r="DR224" s="2131">
        <f>IF(DR$221,_xll.ciqfunctions.udf.CIQ($G224, "IQ_VOLUME", DR$222),"--")</f>
        <v>0</v>
      </c>
      <c r="DS224" s="2131">
        <f>IF(DS$221,_xll.ciqfunctions.udf.CIQ($G224, "IQ_VOLUME", DS$222),"--")</f>
        <v>0</v>
      </c>
      <c r="DT224" s="2131">
        <f>IF(DT$221,_xll.ciqfunctions.udf.CIQ($G224, "IQ_VOLUME", DT$222),"--")</f>
        <v>0</v>
      </c>
      <c r="DU224" s="2131">
        <f>IF(DU$221,_xll.ciqfunctions.udf.CIQ($G224, "IQ_VOLUME", DU$222),"--")</f>
        <v>0</v>
      </c>
      <c r="DV224" s="2131">
        <f>IF(DV$221,_xll.ciqfunctions.udf.CIQ($G224, "IQ_VOLUME", DV$222),"--")</f>
        <v>0</v>
      </c>
      <c r="DW224" s="2131">
        <f>IF(DW$221,_xll.ciqfunctions.udf.CIQ($G224, "IQ_VOLUME", DW$222),"--")</f>
        <v>0</v>
      </c>
      <c r="DX224" s="2131">
        <f>IF(DX$221,_xll.ciqfunctions.udf.CIQ($G224, "IQ_VOLUME", DX$222),"--")</f>
        <v>0</v>
      </c>
      <c r="DY224" s="2131">
        <f>IF(DY$221,_xll.ciqfunctions.udf.CIQ($G224, "IQ_VOLUME", DY$222),"--")</f>
        <v>0</v>
      </c>
      <c r="DZ224" s="2131">
        <f>IF(DZ$221,_xll.ciqfunctions.udf.CIQ($G224, "IQ_VOLUME", DZ$222),"--")</f>
        <v>0</v>
      </c>
      <c r="EA224" s="2131">
        <f>IF(EA$221,_xll.ciqfunctions.udf.CIQ($G224, "IQ_VOLUME", EA$222),"--")</f>
        <v>0</v>
      </c>
      <c r="EB224" s="2131">
        <f>IF(EB$221,_xll.ciqfunctions.udf.CIQ($G224, "IQ_VOLUME", EB$222),"--")</f>
        <v>0</v>
      </c>
      <c r="EC224" s="2131">
        <f>IF(EC$221,_xll.ciqfunctions.udf.CIQ($G224, "IQ_VOLUME", EC$222),"--")</f>
        <v>0</v>
      </c>
      <c r="ED224" s="2131">
        <f>IF(ED$221,_xll.ciqfunctions.udf.CIQ($G224, "IQ_VOLUME", ED$222),"--")</f>
        <v>0</v>
      </c>
      <c r="EE224" s="2131">
        <f>IF(EE$221,_xll.ciqfunctions.udf.CIQ($G224, "IQ_VOLUME", EE$222),"--")</f>
        <v>0</v>
      </c>
      <c r="EF224" s="2131">
        <f>IF(EF$221,_xll.ciqfunctions.udf.CIQ($G224, "IQ_VOLUME", EF$222),"--")</f>
        <v>0</v>
      </c>
      <c r="EG224" s="2131">
        <f>IF(EG$221,_xll.ciqfunctions.udf.CIQ($G224, "IQ_VOLUME", EG$222),"--")</f>
        <v>0</v>
      </c>
      <c r="EH224" s="2131">
        <f>IF(EH$221,_xll.ciqfunctions.udf.CIQ($G224, "IQ_VOLUME", EH$222),"--")</f>
        <v>0</v>
      </c>
      <c r="EI224" s="2131">
        <f>IF(EI$221,_xll.ciqfunctions.udf.CIQ($G224, "IQ_VOLUME", EI$222),"--")</f>
        <v>0</v>
      </c>
      <c r="EJ224" s="2131">
        <f>IF(EJ$221,_xll.ciqfunctions.udf.CIQ($G224, "IQ_VOLUME", EJ$222),"--")</f>
        <v>0</v>
      </c>
      <c r="EK224" s="2131">
        <f>IF(EK$221,_xll.ciqfunctions.udf.CIQ($G224, "IQ_VOLUME", EK$222),"--")</f>
        <v>0</v>
      </c>
      <c r="EL224" s="2131">
        <f>IF(EL$221,_xll.ciqfunctions.udf.CIQ($G224, "IQ_VOLUME", EL$222),"--")</f>
        <v>0</v>
      </c>
      <c r="EM224" s="2131">
        <f>IF(EM$221,_xll.ciqfunctions.udf.CIQ($G224, "IQ_VOLUME", EM$222),"--")</f>
        <v>0</v>
      </c>
      <c r="EN224" s="2131">
        <f>IF(EN$221,_xll.ciqfunctions.udf.CIQ($G224, "IQ_VOLUME", EN$222),"--")</f>
        <v>0</v>
      </c>
      <c r="EO224" s="2131">
        <f>IF(EO$221,_xll.ciqfunctions.udf.CIQ($G224, "IQ_VOLUME", EO$222),"--")</f>
        <v>0</v>
      </c>
      <c r="EP224" s="2131">
        <f>IF(EP$221,_xll.ciqfunctions.udf.CIQ($G224, "IQ_VOLUME", EP$222),"--")</f>
        <v>0</v>
      </c>
      <c r="EQ224" s="2131">
        <f>IF(EQ$221,_xll.ciqfunctions.udf.CIQ($G224, "IQ_VOLUME", EQ$222),"--")</f>
        <v>0</v>
      </c>
      <c r="ER224" s="2131">
        <f>IF(ER$221,_xll.ciqfunctions.udf.CIQ($G224, "IQ_VOLUME", ER$222),"--")</f>
        <v>0</v>
      </c>
      <c r="ES224" s="2131">
        <f>IF(ES$221,_xll.ciqfunctions.udf.CIQ($G224, "IQ_VOLUME", ES$222),"--")</f>
        <v>0</v>
      </c>
      <c r="ET224" s="2131">
        <f>IF(ET$221,_xll.ciqfunctions.udf.CIQ($G224, "IQ_VOLUME", ET$222),"--")</f>
        <v>0</v>
      </c>
      <c r="EU224" s="2131">
        <f>IF(EU$221,_xll.ciqfunctions.udf.CIQ($G224, "IQ_VOLUME", EU$222),"--")</f>
        <v>0</v>
      </c>
      <c r="EV224" s="2131">
        <f>IF(EV$221,_xll.ciqfunctions.udf.CIQ($G224, "IQ_VOLUME", EV$222),"--")</f>
        <v>0</v>
      </c>
      <c r="EW224" s="2131">
        <f>IF(EW$221,_xll.ciqfunctions.udf.CIQ($G224, "IQ_VOLUME", EW$222),"--")</f>
        <v>0</v>
      </c>
      <c r="EX224" s="2131">
        <f>IF(EX$221,_xll.ciqfunctions.udf.CIQ($G224, "IQ_VOLUME", EX$222),"--")</f>
        <v>0</v>
      </c>
      <c r="EY224" s="2131">
        <f>IF(EY$221,_xll.ciqfunctions.udf.CIQ($G224, "IQ_VOLUME", EY$222),"--")</f>
        <v>0</v>
      </c>
      <c r="EZ224" s="2131">
        <f>IF(EZ$221,_xll.ciqfunctions.udf.CIQ($G224, "IQ_VOLUME", EZ$222),"--")</f>
        <v>0</v>
      </c>
      <c r="FA224" s="2131">
        <f>IF(FA$221,_xll.ciqfunctions.udf.CIQ($G224, "IQ_VOLUME", FA$222),"--")</f>
        <v>0</v>
      </c>
      <c r="FB224" s="2131">
        <f>IF(FB$221,_xll.ciqfunctions.udf.CIQ($G224, "IQ_VOLUME", FB$222),"--")</f>
        <v>0</v>
      </c>
      <c r="FC224" s="2131">
        <f>IF(FC$221,_xll.ciqfunctions.udf.CIQ($G224, "IQ_VOLUME", FC$222),"--")</f>
        <v>0</v>
      </c>
      <c r="FD224" s="2131">
        <f>IF(FD$221,_xll.ciqfunctions.udf.CIQ($G224, "IQ_VOLUME", FD$222),"--")</f>
        <v>0</v>
      </c>
      <c r="FE224" s="2131">
        <f>IF(FE$221,_xll.ciqfunctions.udf.CIQ($G224, "IQ_VOLUME", FE$222),"--")</f>
        <v>0</v>
      </c>
      <c r="FF224" s="2131">
        <f>IF(FF$221,_xll.ciqfunctions.udf.CIQ($G224, "IQ_VOLUME", FF$222),"--")</f>
        <v>0</v>
      </c>
      <c r="FG224" s="2131">
        <f>IF(FG$221,_xll.ciqfunctions.udf.CIQ($G224, "IQ_VOLUME", FG$222),"--")</f>
        <v>0</v>
      </c>
      <c r="FH224" s="2131">
        <f>IF(FH$221,_xll.ciqfunctions.udf.CIQ($G224, "IQ_VOLUME", FH$222),"--")</f>
        <v>0</v>
      </c>
      <c r="FI224" s="2131">
        <f>IF(FI$221,_xll.ciqfunctions.udf.CIQ($G224, "IQ_VOLUME", FI$222),"--")</f>
        <v>0</v>
      </c>
      <c r="FJ224" s="2131">
        <f>IF(FJ$221,_xll.ciqfunctions.udf.CIQ($G224, "IQ_VOLUME", FJ$222),"--")</f>
        <v>0</v>
      </c>
      <c r="FK224" s="2131">
        <f>IF(FK$221,_xll.ciqfunctions.udf.CIQ($G224, "IQ_VOLUME", FK$222),"--")</f>
        <v>0</v>
      </c>
      <c r="FL224" s="2131">
        <f>IF(FL$221,_xll.ciqfunctions.udf.CIQ($G224, "IQ_VOLUME", FL$222),"--")</f>
        <v>0</v>
      </c>
      <c r="FM224" s="2131">
        <f>IF(FM$221,_xll.ciqfunctions.udf.CIQ($G224, "IQ_VOLUME", FM$222),"--")</f>
        <v>0</v>
      </c>
      <c r="FN224" s="2131">
        <f>IF(FN$221,_xll.ciqfunctions.udf.CIQ($G224, "IQ_VOLUME", FN$222),"--")</f>
        <v>0</v>
      </c>
      <c r="FO224" s="2131">
        <f>IF(FO$221,_xll.ciqfunctions.udf.CIQ($G224, "IQ_VOLUME", FO$222),"--")</f>
        <v>0</v>
      </c>
      <c r="FP224" s="2131">
        <f>IF(FP$221,_xll.ciqfunctions.udf.CIQ($G224, "IQ_VOLUME", FP$222),"--")</f>
        <v>0</v>
      </c>
      <c r="FQ224" s="2131">
        <f>IF(FQ$221,_xll.ciqfunctions.udf.CIQ($G224, "IQ_VOLUME", FQ$222),"--")</f>
        <v>0</v>
      </c>
      <c r="FR224" s="2131">
        <f>IF(FR$221,_xll.ciqfunctions.udf.CIQ($G224, "IQ_VOLUME", FR$222),"--")</f>
        <v>0</v>
      </c>
      <c r="FS224" s="2131">
        <f>IF(FS$221,_xll.ciqfunctions.udf.CIQ($G224, "IQ_VOLUME", FS$222),"--")</f>
        <v>0</v>
      </c>
      <c r="FT224" s="2131">
        <f>IF(FT$221,_xll.ciqfunctions.udf.CIQ($G224, "IQ_VOLUME", FT$222),"--")</f>
        <v>0</v>
      </c>
      <c r="FU224" s="2131">
        <f>IF(FU$221,_xll.ciqfunctions.udf.CIQ($G224, "IQ_VOLUME", FU$222),"--")</f>
        <v>0</v>
      </c>
      <c r="FV224" s="2131">
        <f>IF(FV$221,_xll.ciqfunctions.udf.CIQ($G224, "IQ_VOLUME", FV$222),"--")</f>
        <v>0</v>
      </c>
      <c r="FW224" s="2131">
        <f>IF(FW$221,_xll.ciqfunctions.udf.CIQ($G224, "IQ_VOLUME", FW$222),"--")</f>
        <v>0</v>
      </c>
      <c r="FX224" s="2131">
        <f>IF(FX$221,_xll.ciqfunctions.udf.CIQ($G224, "IQ_VOLUME", FX$222),"--")</f>
        <v>0</v>
      </c>
      <c r="FY224" s="2131">
        <f>IF(FY$221,_xll.ciqfunctions.udf.CIQ($G224, "IQ_VOLUME", FY$222),"--")</f>
        <v>0</v>
      </c>
      <c r="FZ224" s="2131">
        <f>IF(FZ$221,_xll.ciqfunctions.udf.CIQ($G224, "IQ_VOLUME", FZ$222),"--")</f>
        <v>0</v>
      </c>
      <c r="GA224" s="2131">
        <f>IF(GA$221,_xll.ciqfunctions.udf.CIQ($G224, "IQ_VOLUME", GA$222),"--")</f>
        <v>0</v>
      </c>
      <c r="GB224" s="2131">
        <f>IF(GB$221,_xll.ciqfunctions.udf.CIQ($G224, "IQ_VOLUME", GB$222),"--")</f>
        <v>0</v>
      </c>
      <c r="GC224" s="2131">
        <f>IF(GC$221,_xll.ciqfunctions.udf.CIQ($G224, "IQ_VOLUME", GC$222),"--")</f>
        <v>0</v>
      </c>
      <c r="GD224" s="2131">
        <f>IF(GD$221,_xll.ciqfunctions.udf.CIQ($G224, "IQ_VOLUME", GD$222),"--")</f>
        <v>0</v>
      </c>
      <c r="GE224" s="2131">
        <f>IF(GE$221,_xll.ciqfunctions.udf.CIQ($G224, "IQ_VOLUME", GE$222),"--")</f>
        <v>0</v>
      </c>
      <c r="GF224" s="2131">
        <f>IF(GF$221,_xll.ciqfunctions.udf.CIQ($G224, "IQ_VOLUME", GF$222),"--")</f>
        <v>0</v>
      </c>
      <c r="GG224" s="2131">
        <f>IF(GG$221,_xll.ciqfunctions.udf.CIQ($G224, "IQ_VOLUME", GG$222),"--")</f>
        <v>0</v>
      </c>
      <c r="GH224" s="2131">
        <f>IF(GH$221,_xll.ciqfunctions.udf.CIQ($G224, "IQ_VOLUME", GH$222),"--")</f>
        <v>0</v>
      </c>
      <c r="GI224" s="2131">
        <f>IF(GI$221,_xll.ciqfunctions.udf.CIQ($G224, "IQ_VOLUME", GI$222),"--")</f>
        <v>0</v>
      </c>
      <c r="GJ224" s="2131">
        <f>IF(GJ$221,_xll.ciqfunctions.udf.CIQ($G224, "IQ_VOLUME", GJ$222),"--")</f>
        <v>0</v>
      </c>
      <c r="GK224" s="2131">
        <f>IF(GK$221,_xll.ciqfunctions.udf.CIQ($G224, "IQ_VOLUME", GK$222),"--")</f>
        <v>0</v>
      </c>
      <c r="GL224" s="2131">
        <f>IF(GL$221,_xll.ciqfunctions.udf.CIQ($G224, "IQ_VOLUME", GL$222),"--")</f>
        <v>0</v>
      </c>
      <c r="GM224" s="2131">
        <f>IF(GM$221,_xll.ciqfunctions.udf.CIQ($G224, "IQ_VOLUME", GM$222),"--")</f>
        <v>0</v>
      </c>
      <c r="GN224" s="2131">
        <f>IF(GN$221,_xll.ciqfunctions.udf.CIQ($G224, "IQ_VOLUME", GN$222),"--")</f>
        <v>0</v>
      </c>
      <c r="GO224" s="2131">
        <f>IF(GO$221,_xll.ciqfunctions.udf.CIQ($G224, "IQ_VOLUME", GO$222),"--")</f>
        <v>0</v>
      </c>
      <c r="GP224" s="2131">
        <f>IF(GP$221,_xll.ciqfunctions.udf.CIQ($G224, "IQ_VOLUME", GP$222),"--")</f>
        <v>0</v>
      </c>
      <c r="GQ224" s="2131">
        <f>IF(GQ$221,_xll.ciqfunctions.udf.CIQ($G224, "IQ_VOLUME", GQ$222),"--")</f>
        <v>0</v>
      </c>
      <c r="GR224" s="2131">
        <f>IF(GR$221,_xll.ciqfunctions.udf.CIQ($G224, "IQ_VOLUME", GR$222),"--")</f>
        <v>0</v>
      </c>
      <c r="GS224" s="2131">
        <f>IF(GS$221,_xll.ciqfunctions.udf.CIQ($G224, "IQ_VOLUME", GS$222),"--")</f>
        <v>0</v>
      </c>
      <c r="GT224" s="2131">
        <f>IF(GT$221,_xll.ciqfunctions.udf.CIQ($G224, "IQ_VOLUME", GT$222),"--")</f>
        <v>0</v>
      </c>
      <c r="GU224" s="2131">
        <f>IF(GU$221,_xll.ciqfunctions.udf.CIQ($G224, "IQ_VOLUME", GU$222),"--")</f>
        <v>0</v>
      </c>
      <c r="GV224" s="2131">
        <f>IF(GV$221,_xll.ciqfunctions.udf.CIQ($G224, "IQ_VOLUME", GV$222),"--")</f>
        <v>0</v>
      </c>
      <c r="GW224" s="2131">
        <f>IF(GW$221,_xll.ciqfunctions.udf.CIQ($G224, "IQ_VOLUME", GW$222),"--")</f>
        <v>0</v>
      </c>
      <c r="GX224" s="2131">
        <f>IF(GX$221,_xll.ciqfunctions.udf.CIQ($G224, "IQ_VOLUME", GX$222),"--")</f>
        <v>0</v>
      </c>
      <c r="GY224" s="2131">
        <f>IF(GY$221,_xll.ciqfunctions.udf.CIQ($G224, "IQ_VOLUME", GY$222),"--")</f>
        <v>0</v>
      </c>
      <c r="GZ224" s="2131">
        <f>IF(GZ$221,_xll.ciqfunctions.udf.CIQ($G224, "IQ_VOLUME", GZ$222),"--")</f>
        <v>0</v>
      </c>
      <c r="HA224" s="2131">
        <f>IF(HA$221,_xll.ciqfunctions.udf.CIQ($G224, "IQ_VOLUME", HA$222),"--")</f>
        <v>0</v>
      </c>
      <c r="HB224" s="2131">
        <f>IF(HB$221,_xll.ciqfunctions.udf.CIQ($G224, "IQ_VOLUME", HB$222),"--")</f>
        <v>0</v>
      </c>
      <c r="HC224" s="2131">
        <f>IF(HC$221,_xll.ciqfunctions.udf.CIQ($G224, "IQ_VOLUME", HC$222),"--")</f>
        <v>0</v>
      </c>
      <c r="HD224" s="2131">
        <f>IF(HD$221,_xll.ciqfunctions.udf.CIQ($G224, "IQ_VOLUME", HD$222),"--")</f>
        <v>0</v>
      </c>
      <c r="HE224" s="2131">
        <f>IF(HE$221,_xll.ciqfunctions.udf.CIQ($G224, "IQ_VOLUME", HE$222),"--")</f>
        <v>0</v>
      </c>
      <c r="HF224" s="2131">
        <f>IF(HF$221,_xll.ciqfunctions.udf.CIQ($G224, "IQ_VOLUME", HF$222),"--")</f>
        <v>0</v>
      </c>
      <c r="HG224" s="2131">
        <f>IF(HG$221,_xll.ciqfunctions.udf.CIQ($G224, "IQ_VOLUME", HG$222),"--")</f>
        <v>0</v>
      </c>
      <c r="HH224" s="2131">
        <f>IF(HH$221,_xll.ciqfunctions.udf.CIQ($G224, "IQ_VOLUME", HH$222),"--")</f>
        <v>0</v>
      </c>
      <c r="HI224" s="2131">
        <f>IF(HI$221,_xll.ciqfunctions.udf.CIQ($G224, "IQ_VOLUME", HI$222),"--")</f>
        <v>0</v>
      </c>
      <c r="HJ224" s="2131">
        <f>IF(HJ$221,_xll.ciqfunctions.udf.CIQ($G224, "IQ_VOLUME", HJ$222),"--")</f>
        <v>0</v>
      </c>
      <c r="HK224" s="2131">
        <f>IF(HK$221,_xll.ciqfunctions.udf.CIQ($G224, "IQ_VOLUME", HK$222),"--")</f>
        <v>0</v>
      </c>
      <c r="HL224" s="2131">
        <f>IF(HL$221,_xll.ciqfunctions.udf.CIQ($G224, "IQ_VOLUME", HL$222),"--")</f>
        <v>0</v>
      </c>
      <c r="HM224" s="2131">
        <f>IF(HM$221,_xll.ciqfunctions.udf.CIQ($G224, "IQ_VOLUME", HM$222),"--")</f>
        <v>0</v>
      </c>
      <c r="HN224" s="2131">
        <f>IF(HN$221,_xll.ciqfunctions.udf.CIQ($G224, "IQ_VOLUME", HN$222),"--")</f>
        <v>0</v>
      </c>
      <c r="HO224" s="2131">
        <f>IF(HO$221,_xll.ciqfunctions.udf.CIQ($G224, "IQ_VOLUME", HO$222),"--")</f>
        <v>0</v>
      </c>
      <c r="HP224" s="2131">
        <f>IF(HP$221,_xll.ciqfunctions.udf.CIQ($G224, "IQ_VOLUME", HP$222),"--")</f>
        <v>0</v>
      </c>
      <c r="HQ224" s="2131">
        <f>IF(HQ$221,_xll.ciqfunctions.udf.CIQ($G224, "IQ_VOLUME", HQ$222),"--")</f>
        <v>0</v>
      </c>
      <c r="HR224" s="2131">
        <f>IF(HR$221,_xll.ciqfunctions.udf.CIQ($G224, "IQ_VOLUME", HR$222),"--")</f>
        <v>0</v>
      </c>
      <c r="HS224" s="2131">
        <f>IF(HS$221,_xll.ciqfunctions.udf.CIQ($G224, "IQ_VOLUME", HS$222),"--")</f>
        <v>0</v>
      </c>
      <c r="HT224" s="2131">
        <f>IF(HT$221,_xll.ciqfunctions.udf.CIQ($G224, "IQ_VOLUME", HT$222),"--")</f>
        <v>0</v>
      </c>
      <c r="HU224" s="2131">
        <f>IF(HU$221,_xll.ciqfunctions.udf.CIQ($G224, "IQ_VOLUME", HU$222),"--")</f>
        <v>0</v>
      </c>
      <c r="HV224" s="2131">
        <f>IF(HV$221,_xll.ciqfunctions.udf.CIQ($G224, "IQ_VOLUME", HV$222),"--")</f>
        <v>0</v>
      </c>
      <c r="HW224" s="2131">
        <f>IF(HW$221,_xll.ciqfunctions.udf.CIQ($G224, "IQ_VOLUME", HW$222),"--")</f>
        <v>0</v>
      </c>
      <c r="HX224" s="2131">
        <f>IF(HX$221,_xll.ciqfunctions.udf.CIQ($G224, "IQ_VOLUME", HX$222),"--")</f>
        <v>0</v>
      </c>
      <c r="HY224" s="2131">
        <f>IF(HY$221,_xll.ciqfunctions.udf.CIQ($G224, "IQ_VOLUME", HY$222),"--")</f>
        <v>0</v>
      </c>
      <c r="HZ224" s="2131">
        <f>IF(HZ$221,_xll.ciqfunctions.udf.CIQ($G224, "IQ_VOLUME", HZ$222),"--")</f>
        <v>0</v>
      </c>
      <c r="IA224" s="2131">
        <f>IF(IA$221,_xll.ciqfunctions.udf.CIQ($G224, "IQ_VOLUME", IA$222),"--")</f>
        <v>0</v>
      </c>
      <c r="IB224" s="2131">
        <f>IF(IB$221,_xll.ciqfunctions.udf.CIQ($G224, "IQ_VOLUME", IB$222),"--")</f>
        <v>0</v>
      </c>
      <c r="IC224" s="2131">
        <f>IF(IC$221,_xll.ciqfunctions.udf.CIQ($G224, "IQ_VOLUME", IC$222),"--")</f>
        <v>0</v>
      </c>
      <c r="ID224" s="2131">
        <f>IF(ID$221,_xll.ciqfunctions.udf.CIQ($G224, "IQ_VOLUME", ID$222),"--")</f>
        <v>0</v>
      </c>
      <c r="IE224" s="2131">
        <f>IF(IE$221,_xll.ciqfunctions.udf.CIQ($G224, "IQ_VOLUME", IE$222),"--")</f>
        <v>0</v>
      </c>
      <c r="IF224" s="2131">
        <f>IF(IF$221,_xll.ciqfunctions.udf.CIQ($G224, "IQ_VOLUME", IF$222),"--")</f>
        <v>0</v>
      </c>
      <c r="IG224" s="2131">
        <f>IF(IG$221,_xll.ciqfunctions.udf.CIQ($G224, "IQ_VOLUME", IG$222),"--")</f>
        <v>0</v>
      </c>
      <c r="IH224" s="2131">
        <f>IF(IH$221,_xll.ciqfunctions.udf.CIQ($G224, "IQ_VOLUME", IH$222),"--")</f>
        <v>0</v>
      </c>
      <c r="II224" s="2131">
        <f>IF(II$221,_xll.ciqfunctions.udf.CIQ($G224, "IQ_VOLUME", II$222),"--")</f>
        <v>0</v>
      </c>
      <c r="IJ224" s="2131">
        <f>IF(IJ$221,_xll.ciqfunctions.udf.CIQ($G224, "IQ_VOLUME", IJ$222),"--")</f>
        <v>0</v>
      </c>
      <c r="IK224" s="2131">
        <f>IF(IK$221,_xll.ciqfunctions.udf.CIQ($G224, "IQ_VOLUME", IK$222),"--")</f>
        <v>0</v>
      </c>
      <c r="IL224" s="2131">
        <f>IF(IL$221,_xll.ciqfunctions.udf.CIQ($G224, "IQ_VOLUME", IL$222),"--")</f>
        <v>0</v>
      </c>
      <c r="IM224" s="2131">
        <f>IF(IM$221,_xll.ciqfunctions.udf.CIQ($G224, "IQ_VOLUME", IM$222),"--")</f>
        <v>0</v>
      </c>
      <c r="IN224" s="2131">
        <f>IF(IN$221,_xll.ciqfunctions.udf.CIQ($G224, "IQ_VOLUME", IN$222),"--")</f>
        <v>0</v>
      </c>
      <c r="IO224" s="2131">
        <f>IF(IO$221,_xll.ciqfunctions.udf.CIQ($G224, "IQ_VOLUME", IO$222),"--")</f>
        <v>0</v>
      </c>
      <c r="IP224" s="2131">
        <f>IF(IP$221,_xll.ciqfunctions.udf.CIQ($G224, "IQ_VOLUME", IP$222),"--")</f>
        <v>0</v>
      </c>
      <c r="IQ224" s="2131">
        <f>IF(IQ$221,_xll.ciqfunctions.udf.CIQ($G224, "IQ_VOLUME", IQ$222),"--")</f>
        <v>0</v>
      </c>
      <c r="IR224" s="2131">
        <f>IF(IR$221,_xll.ciqfunctions.udf.CIQ($G224, "IQ_VOLUME", IR$222),"--")</f>
        <v>0</v>
      </c>
      <c r="IS224" s="2131">
        <f>IF(IS$221,_xll.ciqfunctions.udf.CIQ($G224, "IQ_VOLUME", IS$222),"--")</f>
        <v>0</v>
      </c>
      <c r="IT224" s="2131">
        <f>IF(IT$221,_xll.ciqfunctions.udf.CIQ($G224, "IQ_VOLUME", IT$222),"--")</f>
        <v>0</v>
      </c>
      <c r="IU224" s="2131">
        <f>IF(IU$221,_xll.ciqfunctions.udf.CIQ($G224, "IQ_VOLUME", IU$222),"--")</f>
        <v>0</v>
      </c>
      <c r="IV224" s="2131">
        <f>IF(IV$221,_xll.ciqfunctions.udf.CIQ($G224, "IQ_VOLUME", IV$222),"--")</f>
        <v>0</v>
      </c>
      <c r="IW224" s="2131">
        <f>IF(IW$221,_xll.ciqfunctions.udf.CIQ($G224, "IQ_VOLUME", IW$222),"--")</f>
        <v>0</v>
      </c>
      <c r="IX224" s="2131">
        <f>IF(IX$221,_xll.ciqfunctions.udf.CIQ($G224, "IQ_VOLUME", IX$222),"--")</f>
        <v>0</v>
      </c>
      <c r="IY224" s="2131">
        <f>IF(IY$221,_xll.ciqfunctions.udf.CIQ($G224, "IQ_VOLUME", IY$222),"--")</f>
        <v>0</v>
      </c>
      <c r="IZ224" s="2131">
        <f>IF(IZ$221,_xll.ciqfunctions.udf.CIQ($G224, "IQ_VOLUME", IZ$222),"--")</f>
        <v>0</v>
      </c>
      <c r="JA224" s="2131">
        <f>IF(JA$221,_xll.ciqfunctions.udf.CIQ($G224, "IQ_VOLUME", JA$222),"--")</f>
        <v>0</v>
      </c>
      <c r="JB224" s="2131">
        <f>IF(JB$221,_xll.ciqfunctions.udf.CIQ($G224, "IQ_VOLUME", JB$222),"--")</f>
        <v>0</v>
      </c>
      <c r="JC224" s="2131">
        <f>IF(JC$221,_xll.ciqfunctions.udf.CIQ($G224, "IQ_VOLUME", JC$222),"--")</f>
        <v>0</v>
      </c>
      <c r="JD224" s="2131">
        <f>IF(JD$221,_xll.ciqfunctions.udf.CIQ($G224, "IQ_VOLUME", JD$222),"--")</f>
        <v>0</v>
      </c>
      <c r="JE224" s="2131">
        <f>IF(JE$221,_xll.ciqfunctions.udf.CIQ($G224, "IQ_VOLUME", JE$222),"--")</f>
        <v>0</v>
      </c>
      <c r="JF224" s="2131">
        <f>IF(JF$221,_xll.ciqfunctions.udf.CIQ($G224, "IQ_VOLUME", JF$222),"--")</f>
        <v>0</v>
      </c>
      <c r="JG224" s="2131">
        <f>IF(JG$221,_xll.ciqfunctions.udf.CIQ($G224, "IQ_VOLUME", JG$222),"--")</f>
        <v>0</v>
      </c>
      <c r="JH224" s="2131">
        <f>IF(JH$221,_xll.ciqfunctions.udf.CIQ($G224, "IQ_VOLUME", JH$222),"--")</f>
        <v>0</v>
      </c>
      <c r="JI224" s="2131">
        <f>IF(JI$221,_xll.ciqfunctions.udf.CIQ($G224, "IQ_VOLUME", JI$222),"--")</f>
        <v>0</v>
      </c>
      <c r="JJ224" s="2131">
        <f>IF(JJ$221,_xll.ciqfunctions.udf.CIQ($G224, "IQ_VOLUME", JJ$222),"--")</f>
        <v>0</v>
      </c>
      <c r="JK224" s="2131">
        <f>IF(JK$221,_xll.ciqfunctions.udf.CIQ($G224, "IQ_VOLUME", JK$222),"--")</f>
        <v>0</v>
      </c>
      <c r="JL224" s="2131">
        <f>IF(JL$221,_xll.ciqfunctions.udf.CIQ($G224, "IQ_VOLUME", JL$222),"--")</f>
        <v>0</v>
      </c>
      <c r="JM224" s="2131">
        <f>IF(JM$221,_xll.ciqfunctions.udf.CIQ($G224, "IQ_VOLUME", JM$222),"--")</f>
        <v>0</v>
      </c>
      <c r="JN224" s="2131">
        <f>IF(JN$221,_xll.ciqfunctions.udf.CIQ($G224, "IQ_VOLUME", JN$222),"--")</f>
        <v>0</v>
      </c>
      <c r="JO224" s="2131">
        <f>IF(JO$221,_xll.ciqfunctions.udf.CIQ($G224, "IQ_VOLUME", JO$222),"--")</f>
        <v>0</v>
      </c>
      <c r="JP224" s="2131">
        <f>IF(JP$221,_xll.ciqfunctions.udf.CIQ($G224, "IQ_VOLUME", JP$222),"--")</f>
        <v>0</v>
      </c>
      <c r="JQ224" s="2131">
        <f>IF(JQ$221,_xll.ciqfunctions.udf.CIQ($G224, "IQ_VOLUME", JQ$222),"--")</f>
        <v>0</v>
      </c>
      <c r="JR224" s="2131">
        <f>IF(JR$221,_xll.ciqfunctions.udf.CIQ($G224, "IQ_VOLUME", JR$222),"--")</f>
        <v>0</v>
      </c>
      <c r="JS224" s="2131">
        <f>IF(JS$221,_xll.ciqfunctions.udf.CIQ($G224, "IQ_VOLUME", JS$222),"--")</f>
        <v>0</v>
      </c>
      <c r="JT224" s="2131">
        <f>IF(JT$221,_xll.ciqfunctions.udf.CIQ($G224, "IQ_VOLUME", JT$222),"--")</f>
        <v>0</v>
      </c>
      <c r="JU224" s="2131">
        <f>IF(JU$221,_xll.ciqfunctions.udf.CIQ($G224, "IQ_VOLUME", JU$222),"--")</f>
        <v>0</v>
      </c>
      <c r="JV224" s="2131">
        <f>IF(JV$221,_xll.ciqfunctions.udf.CIQ($G224, "IQ_VOLUME", JV$222),"--")</f>
        <v>0</v>
      </c>
      <c r="JW224" s="2131" t="str">
        <f>IF(JW$221,_xll.ciqfunctions.udf.CIQ($G224, "IQ_VOLUME", JW$222),"--")</f>
        <v>--</v>
      </c>
      <c r="JX224" s="2131" t="str">
        <f>IF(JX$221,_xll.ciqfunctions.udf.CIQ($G224, "IQ_VOLUME", JX$222),"--")</f>
        <v>--</v>
      </c>
      <c r="JY224" s="2131" t="str">
        <f>IF(JY$221,_xll.ciqfunctions.udf.CIQ($G224, "IQ_VOLUME", JY$222),"--")</f>
        <v>--</v>
      </c>
      <c r="JZ224" s="2131" t="str">
        <f>IF(JZ$221,_xll.ciqfunctions.udf.CIQ($G224, "IQ_VOLUME", JZ$222),"--")</f>
        <v>--</v>
      </c>
      <c r="KA224" s="2131" t="str">
        <f>IF(KA$221,_xll.ciqfunctions.udf.CIQ($G224, "IQ_VOLUME", KA$222),"--")</f>
        <v>--</v>
      </c>
      <c r="KB224" s="2131" t="str">
        <f>IF(KB$221,_xll.ciqfunctions.udf.CIQ($G224, "IQ_VOLUME", KB$222),"--")</f>
        <v>--</v>
      </c>
    </row>
    <row r="225" spans="1:288" s="89" customFormat="1" ht="13.9">
      <c r="A225" s="269" t="str">
        <f t="shared" ref="A225:A248" si="47">IF(F225="--","n","")</f>
        <v>n</v>
      </c>
      <c r="B225" s="2060"/>
      <c r="D225" s="801"/>
      <c r="E225" s="1505">
        <v>2</v>
      </c>
      <c r="F225" s="21" t="str">
        <f>F$130</f>
        <v>--</v>
      </c>
      <c r="G225" s="2112">
        <f>G$130</f>
        <v>0</v>
      </c>
      <c r="H225" s="2112" t="str">
        <f>H$130</f>
        <v>--</v>
      </c>
      <c r="I225" s="22" t="s">
        <v>781</v>
      </c>
      <c r="J225" s="53"/>
      <c r="K225" s="2301" t="str">
        <f>IF(OR(K193=0,$G225=0),"--",IFERROR(_xll.ciqfunctions.udf.CIQ($G225,$I225,K101,Valuation_Date_GC,ReportType,DataMode,$H225,FXMode)*Scale,"--"))</f>
        <v>--</v>
      </c>
      <c r="L225" s="2301" t="str">
        <f>IF(OR(L193=0,$G225=0),"--",IFERROR(_xll.ciqfunctions.udf.CIQ($G225,$I225,L101,Valuation_Date_GC,ReportType,DataMode,$H225,FXMode)*Scale,"--"))</f>
        <v>--</v>
      </c>
      <c r="M225" s="2301" t="str">
        <f>IF(OR(M193=0,$G225=0),"--",IFERROR(_xll.ciqfunctions.udf.CIQ($G225,$I225,M101,Valuation_Date_GC,ReportType,DataMode,$H225,FXMode)*Scale,"--"))</f>
        <v>--</v>
      </c>
      <c r="N225" s="2301" t="str">
        <f>IF(OR(N193=0,$G225=0),"--",IFERROR(_xll.ciqfunctions.udf.CIQ($G225,$I225,N101,Valuation_Date_GC,ReportType,DataMode,$H225,FXMode)*Scale,"--"))</f>
        <v>--</v>
      </c>
      <c r="O225" s="1471" t="str">
        <f>IF(OR(O193=0,$G225=0),"--",IFERROR(_xll.ciqfunctions.udf.CIQ($G225,$I225,O101,Valuation_Date_GC,ReportType,DataMode,$H225,FXMode)*Scale,"--"))</f>
        <v>--</v>
      </c>
      <c r="P225" s="2301" t="str">
        <f>IF(OR(P193=0,$G225=0),"--",IFERROR(_xll.ciqfunctions.udf.CIQ($G225,$I225,P101,Valuation_Date_GC,ReportType,DataMode,$H225,FXMode)*Scale,"--"))</f>
        <v>--</v>
      </c>
      <c r="R225" s="255"/>
      <c r="T225" s="1779" t="s">
        <v>782</v>
      </c>
      <c r="U225" s="2131">
        <f>IF(U$221,_xll.ciqfunctions.udf.CIQ($G225, "IQ_VOLUME", U$222),"--")</f>
        <v>0</v>
      </c>
      <c r="V225" s="2131">
        <f>IF(V$221,_xll.ciqfunctions.udf.CIQ($G225, "IQ_VOLUME", V$222),"--")</f>
        <v>0</v>
      </c>
      <c r="W225" s="2131">
        <f>IF(W$221,_xll.ciqfunctions.udf.CIQ($G225, "IQ_VOLUME", W$222),"--")</f>
        <v>0</v>
      </c>
      <c r="X225" s="2131">
        <f>IF(X$221,_xll.ciqfunctions.udf.CIQ($G225, "IQ_VOLUME", X$222),"--")</f>
        <v>0</v>
      </c>
      <c r="Y225" s="2131">
        <f>IF(Y$221,_xll.ciqfunctions.udf.CIQ($G225, "IQ_VOLUME", Y$222),"--")</f>
        <v>0</v>
      </c>
      <c r="Z225" s="2131">
        <f>IF(Z$221,_xll.ciqfunctions.udf.CIQ($G225, "IQ_VOLUME", Z$222),"--")</f>
        <v>0</v>
      </c>
      <c r="AA225" s="2131">
        <f>IF(AA$221,_xll.ciqfunctions.udf.CIQ($G225, "IQ_VOLUME", AA$222),"--")</f>
        <v>0</v>
      </c>
      <c r="AB225" s="2131">
        <f>IF(AB$221,_xll.ciqfunctions.udf.CIQ($G225, "IQ_VOLUME", AB$222),"--")</f>
        <v>0</v>
      </c>
      <c r="AC225" s="2131">
        <f>IF(AC$221,_xll.ciqfunctions.udf.CIQ($G225, "IQ_VOLUME", AC$222),"--")</f>
        <v>0</v>
      </c>
      <c r="AD225" s="2131">
        <f>IF(AD$221,_xll.ciqfunctions.udf.CIQ($G225, "IQ_VOLUME", AD$222),"--")</f>
        <v>0</v>
      </c>
      <c r="AE225" s="2131">
        <f>IF(AE$221,_xll.ciqfunctions.udf.CIQ($G225, "IQ_VOLUME", AE$222),"--")</f>
        <v>0</v>
      </c>
      <c r="AF225" s="2131">
        <f>IF(AF$221,_xll.ciqfunctions.udf.CIQ($G225, "IQ_VOLUME", AF$222),"--")</f>
        <v>0</v>
      </c>
      <c r="AG225" s="2131">
        <f>IF(AG$221,_xll.ciqfunctions.udf.CIQ($G225, "IQ_VOLUME", AG$222),"--")</f>
        <v>0</v>
      </c>
      <c r="AH225" s="2131">
        <f>IF(AH$221,_xll.ciqfunctions.udf.CIQ($G225, "IQ_VOLUME", AH$222),"--")</f>
        <v>0</v>
      </c>
      <c r="AI225" s="2131">
        <f>IF(AI$221,_xll.ciqfunctions.udf.CIQ($G225, "IQ_VOLUME", AI$222),"--")</f>
        <v>0</v>
      </c>
      <c r="AJ225" s="2131">
        <f>IF(AJ$221,_xll.ciqfunctions.udf.CIQ($G225, "IQ_VOLUME", AJ$222),"--")</f>
        <v>0</v>
      </c>
      <c r="AK225" s="2131">
        <f>IF(AK$221,_xll.ciqfunctions.udf.CIQ($G225, "IQ_VOLUME", AK$222),"--")</f>
        <v>0</v>
      </c>
      <c r="AL225" s="2131">
        <f>IF(AL$221,_xll.ciqfunctions.udf.CIQ($G225, "IQ_VOLUME", AL$222),"--")</f>
        <v>0</v>
      </c>
      <c r="AM225" s="2131">
        <f>IF(AM$221,_xll.ciqfunctions.udf.CIQ($G225, "IQ_VOLUME", AM$222),"--")</f>
        <v>0</v>
      </c>
      <c r="AN225" s="2131">
        <f>IF(AN$221,_xll.ciqfunctions.udf.CIQ($G225, "IQ_VOLUME", AN$222),"--")</f>
        <v>0</v>
      </c>
      <c r="AO225" s="2131">
        <f>IF(AO$221,_xll.ciqfunctions.udf.CIQ($G225, "IQ_VOLUME", AO$222),"--")</f>
        <v>0</v>
      </c>
      <c r="AP225" s="2131">
        <f>IF(AP$221,_xll.ciqfunctions.udf.CIQ($G225, "IQ_VOLUME", AP$222),"--")</f>
        <v>0</v>
      </c>
      <c r="AQ225" s="2131">
        <f>IF(AQ$221,_xll.ciqfunctions.udf.CIQ($G225, "IQ_VOLUME", AQ$222),"--")</f>
        <v>0</v>
      </c>
      <c r="AR225" s="2131">
        <f>IF(AR$221,_xll.ciqfunctions.udf.CIQ($G225, "IQ_VOLUME", AR$222),"--")</f>
        <v>0</v>
      </c>
      <c r="AS225" s="2131">
        <f>IF(AS$221,_xll.ciqfunctions.udf.CIQ($G225, "IQ_VOLUME", AS$222),"--")</f>
        <v>0</v>
      </c>
      <c r="AT225" s="2131">
        <f>IF(AT$221,_xll.ciqfunctions.udf.CIQ($G225, "IQ_VOLUME", AT$222),"--")</f>
        <v>0</v>
      </c>
      <c r="AU225" s="2131">
        <f>IF(AU$221,_xll.ciqfunctions.udf.CIQ($G225, "IQ_VOLUME", AU$222),"--")</f>
        <v>0</v>
      </c>
      <c r="AV225" s="2131">
        <f>IF(AV$221,_xll.ciqfunctions.udf.CIQ($G225, "IQ_VOLUME", AV$222),"--")</f>
        <v>0</v>
      </c>
      <c r="AW225" s="2131">
        <f>IF(AW$221,_xll.ciqfunctions.udf.CIQ($G225, "IQ_VOLUME", AW$222),"--")</f>
        <v>0</v>
      </c>
      <c r="AX225" s="2131">
        <f>IF(AX$221,_xll.ciqfunctions.udf.CIQ($G225, "IQ_VOLUME", AX$222),"--")</f>
        <v>0</v>
      </c>
      <c r="AY225" s="2131">
        <f>IF(AY$221,_xll.ciqfunctions.udf.CIQ($G225, "IQ_VOLUME", AY$222),"--")</f>
        <v>0</v>
      </c>
      <c r="AZ225" s="2131">
        <f>IF(AZ$221,_xll.ciqfunctions.udf.CIQ($G225, "IQ_VOLUME", AZ$222),"--")</f>
        <v>0</v>
      </c>
      <c r="BA225" s="2131">
        <f>IF(BA$221,_xll.ciqfunctions.udf.CIQ($G225, "IQ_VOLUME", BA$222),"--")</f>
        <v>0</v>
      </c>
      <c r="BB225" s="2131">
        <f>IF(BB$221,_xll.ciqfunctions.udf.CIQ($G225, "IQ_VOLUME", BB$222),"--")</f>
        <v>0</v>
      </c>
      <c r="BC225" s="2131">
        <f>IF(BC$221,_xll.ciqfunctions.udf.CIQ($G225, "IQ_VOLUME", BC$222),"--")</f>
        <v>0</v>
      </c>
      <c r="BD225" s="2131">
        <f>IF(BD$221,_xll.ciqfunctions.udf.CIQ($G225, "IQ_VOLUME", BD$222),"--")</f>
        <v>0</v>
      </c>
      <c r="BE225" s="2131">
        <f>IF(BE$221,_xll.ciqfunctions.udf.CIQ($G225, "IQ_VOLUME", BE$222),"--")</f>
        <v>0</v>
      </c>
      <c r="BF225" s="2131">
        <f>IF(BF$221,_xll.ciqfunctions.udf.CIQ($G225, "IQ_VOLUME", BF$222),"--")</f>
        <v>0</v>
      </c>
      <c r="BG225" s="2131">
        <f>IF(BG$221,_xll.ciqfunctions.udf.CIQ($G225, "IQ_VOLUME", BG$222),"--")</f>
        <v>0</v>
      </c>
      <c r="BH225" s="2131">
        <f>IF(BH$221,_xll.ciqfunctions.udf.CIQ($G225, "IQ_VOLUME", BH$222),"--")</f>
        <v>0</v>
      </c>
      <c r="BI225" s="2131">
        <f>IF(BI$221,_xll.ciqfunctions.udf.CIQ($G225, "IQ_VOLUME", BI$222),"--")</f>
        <v>0</v>
      </c>
      <c r="BJ225" s="2131">
        <f>IF(BJ$221,_xll.ciqfunctions.udf.CIQ($G225, "IQ_VOLUME", BJ$222),"--")</f>
        <v>0</v>
      </c>
      <c r="BK225" s="2131">
        <f>IF(BK$221,_xll.ciqfunctions.udf.CIQ($G225, "IQ_VOLUME", BK$222),"--")</f>
        <v>0</v>
      </c>
      <c r="BL225" s="2131">
        <f>IF(BL$221,_xll.ciqfunctions.udf.CIQ($G225, "IQ_VOLUME", BL$222),"--")</f>
        <v>0</v>
      </c>
      <c r="BM225" s="2131">
        <f>IF(BM$221,_xll.ciqfunctions.udf.CIQ($G225, "IQ_VOLUME", BM$222),"--")</f>
        <v>0</v>
      </c>
      <c r="BN225" s="2131">
        <f>IF(BN$221,_xll.ciqfunctions.udf.CIQ($G225, "IQ_VOLUME", BN$222),"--")</f>
        <v>0</v>
      </c>
      <c r="BO225" s="2131">
        <f>IF(BO$221,_xll.ciqfunctions.udf.CIQ($G225, "IQ_VOLUME", BO$222),"--")</f>
        <v>0</v>
      </c>
      <c r="BP225" s="2131">
        <f>IF(BP$221,_xll.ciqfunctions.udf.CIQ($G225, "IQ_VOLUME", BP$222),"--")</f>
        <v>0</v>
      </c>
      <c r="BQ225" s="2131">
        <f>IF(BQ$221,_xll.ciqfunctions.udf.CIQ($G225, "IQ_VOLUME", BQ$222),"--")</f>
        <v>0</v>
      </c>
      <c r="BR225" s="2131">
        <f>IF(BR$221,_xll.ciqfunctions.udf.CIQ($G225, "IQ_VOLUME", BR$222),"--")</f>
        <v>0</v>
      </c>
      <c r="BS225" s="2131">
        <f>IF(BS$221,_xll.ciqfunctions.udf.CIQ($G225, "IQ_VOLUME", BS$222),"--")</f>
        <v>0</v>
      </c>
      <c r="BT225" s="2131">
        <f>IF(BT$221,_xll.ciqfunctions.udf.CIQ($G225, "IQ_VOLUME", BT$222),"--")</f>
        <v>0</v>
      </c>
      <c r="BU225" s="2131">
        <f>IF(BU$221,_xll.ciqfunctions.udf.CIQ($G225, "IQ_VOLUME", BU$222),"--")</f>
        <v>0</v>
      </c>
      <c r="BV225" s="2131">
        <f>IF(BV$221,_xll.ciqfunctions.udf.CIQ($G225, "IQ_VOLUME", BV$222),"--")</f>
        <v>0</v>
      </c>
      <c r="BW225" s="2131">
        <f>IF(BW$221,_xll.ciqfunctions.udf.CIQ($G225, "IQ_VOLUME", BW$222),"--")</f>
        <v>0</v>
      </c>
      <c r="BX225" s="2131">
        <f>IF(BX$221,_xll.ciqfunctions.udf.CIQ($G225, "IQ_VOLUME", BX$222),"--")</f>
        <v>0</v>
      </c>
      <c r="BY225" s="2131">
        <f>IF(BY$221,_xll.ciqfunctions.udf.CIQ($G225, "IQ_VOLUME", BY$222),"--")</f>
        <v>0</v>
      </c>
      <c r="BZ225" s="2131">
        <f>IF(BZ$221,_xll.ciqfunctions.udf.CIQ($G225, "IQ_VOLUME", BZ$222),"--")</f>
        <v>0</v>
      </c>
      <c r="CA225" s="2131">
        <f>IF(CA$221,_xll.ciqfunctions.udf.CIQ($G225, "IQ_VOLUME", CA$222),"--")</f>
        <v>0</v>
      </c>
      <c r="CB225" s="2131">
        <f>IF(CB$221,_xll.ciqfunctions.udf.CIQ($G225, "IQ_VOLUME", CB$222),"--")</f>
        <v>0</v>
      </c>
      <c r="CC225" s="2131">
        <f>IF(CC$221,_xll.ciqfunctions.udf.CIQ($G225, "IQ_VOLUME", CC$222),"--")</f>
        <v>0</v>
      </c>
      <c r="CD225" s="2131">
        <f>IF(CD$221,_xll.ciqfunctions.udf.CIQ($G225, "IQ_VOLUME", CD$222),"--")</f>
        <v>0</v>
      </c>
      <c r="CE225" s="2131">
        <f>IF(CE$221,_xll.ciqfunctions.udf.CIQ($G225, "IQ_VOLUME", CE$222),"--")</f>
        <v>0</v>
      </c>
      <c r="CF225" s="2131">
        <f>IF(CF$221,_xll.ciqfunctions.udf.CIQ($G225, "IQ_VOLUME", CF$222),"--")</f>
        <v>0</v>
      </c>
      <c r="CG225" s="2131">
        <f>IF(CG$221,_xll.ciqfunctions.udf.CIQ($G225, "IQ_VOLUME", CG$222),"--")</f>
        <v>0</v>
      </c>
      <c r="CH225" s="2131">
        <f>IF(CH$221,_xll.ciqfunctions.udf.CIQ($G225, "IQ_VOLUME", CH$222),"--")</f>
        <v>0</v>
      </c>
      <c r="CI225" s="2131">
        <f>IF(CI$221,_xll.ciqfunctions.udf.CIQ($G225, "IQ_VOLUME", CI$222),"--")</f>
        <v>0</v>
      </c>
      <c r="CJ225" s="2131">
        <f>IF(CJ$221,_xll.ciqfunctions.udf.CIQ($G225, "IQ_VOLUME", CJ$222),"--")</f>
        <v>0</v>
      </c>
      <c r="CK225" s="2131">
        <f>IF(CK$221,_xll.ciqfunctions.udf.CIQ($G225, "IQ_VOLUME", CK$222),"--")</f>
        <v>0</v>
      </c>
      <c r="CL225" s="2131">
        <f>IF(CL$221,_xll.ciqfunctions.udf.CIQ($G225, "IQ_VOLUME", CL$222),"--")</f>
        <v>0</v>
      </c>
      <c r="CM225" s="2131">
        <f>IF(CM$221,_xll.ciqfunctions.udf.CIQ($G225, "IQ_VOLUME", CM$222),"--")</f>
        <v>0</v>
      </c>
      <c r="CN225" s="2131">
        <f>IF(CN$221,_xll.ciqfunctions.udf.CIQ($G225, "IQ_VOLUME", CN$222),"--")</f>
        <v>0</v>
      </c>
      <c r="CO225" s="2131">
        <f>IF(CO$221,_xll.ciqfunctions.udf.CIQ($G225, "IQ_VOLUME", CO$222),"--")</f>
        <v>0</v>
      </c>
      <c r="CP225" s="2131">
        <f>IF(CP$221,_xll.ciqfunctions.udf.CIQ($G225, "IQ_VOLUME", CP$222),"--")</f>
        <v>0</v>
      </c>
      <c r="CQ225" s="2131">
        <f>IF(CQ$221,_xll.ciqfunctions.udf.CIQ($G225, "IQ_VOLUME", CQ$222),"--")</f>
        <v>0</v>
      </c>
      <c r="CR225" s="2131">
        <f>IF(CR$221,_xll.ciqfunctions.udf.CIQ($G225, "IQ_VOLUME", CR$222),"--")</f>
        <v>0</v>
      </c>
      <c r="CS225" s="2131">
        <f>IF(CS$221,_xll.ciqfunctions.udf.CIQ($G225, "IQ_VOLUME", CS$222),"--")</f>
        <v>0</v>
      </c>
      <c r="CT225" s="2131">
        <f>IF(CT$221,_xll.ciqfunctions.udf.CIQ($G225, "IQ_VOLUME", CT$222),"--")</f>
        <v>0</v>
      </c>
      <c r="CU225" s="2131">
        <f>IF(CU$221,_xll.ciqfunctions.udf.CIQ($G225, "IQ_VOLUME", CU$222),"--")</f>
        <v>0</v>
      </c>
      <c r="CV225" s="2131">
        <f>IF(CV$221,_xll.ciqfunctions.udf.CIQ($G225, "IQ_VOLUME", CV$222),"--")</f>
        <v>0</v>
      </c>
      <c r="CW225" s="2131">
        <f>IF(CW$221,_xll.ciqfunctions.udf.CIQ($G225, "IQ_VOLUME", CW$222),"--")</f>
        <v>0</v>
      </c>
      <c r="CX225" s="2131">
        <f>IF(CX$221,_xll.ciqfunctions.udf.CIQ($G225, "IQ_VOLUME", CX$222),"--")</f>
        <v>0</v>
      </c>
      <c r="CY225" s="2131">
        <f>IF(CY$221,_xll.ciqfunctions.udf.CIQ($G225, "IQ_VOLUME", CY$222),"--")</f>
        <v>0</v>
      </c>
      <c r="CZ225" s="2131">
        <f>IF(CZ$221,_xll.ciqfunctions.udf.CIQ($G225, "IQ_VOLUME", CZ$222),"--")</f>
        <v>0</v>
      </c>
      <c r="DA225" s="2131">
        <f>IF(DA$221,_xll.ciqfunctions.udf.CIQ($G225, "IQ_VOLUME", DA$222),"--")</f>
        <v>0</v>
      </c>
      <c r="DB225" s="2131">
        <f>IF(DB$221,_xll.ciqfunctions.udf.CIQ($G225, "IQ_VOLUME", DB$222),"--")</f>
        <v>0</v>
      </c>
      <c r="DC225" s="2131">
        <f>IF(DC$221,_xll.ciqfunctions.udf.CIQ($G225, "IQ_VOLUME", DC$222),"--")</f>
        <v>0</v>
      </c>
      <c r="DD225" s="2131">
        <f>IF(DD$221,_xll.ciqfunctions.udf.CIQ($G225, "IQ_VOLUME", DD$222),"--")</f>
        <v>0</v>
      </c>
      <c r="DE225" s="2131">
        <f>IF(DE$221,_xll.ciqfunctions.udf.CIQ($G225, "IQ_VOLUME", DE$222),"--")</f>
        <v>0</v>
      </c>
      <c r="DF225" s="2131">
        <f>IF(DF$221,_xll.ciqfunctions.udf.CIQ($G225, "IQ_VOLUME", DF$222),"--")</f>
        <v>0</v>
      </c>
      <c r="DG225" s="2131">
        <f>IF(DG$221,_xll.ciqfunctions.udf.CIQ($G225, "IQ_VOLUME", DG$222),"--")</f>
        <v>0</v>
      </c>
      <c r="DH225" s="2131">
        <f>IF(DH$221,_xll.ciqfunctions.udf.CIQ($G225, "IQ_VOLUME", DH$222),"--")</f>
        <v>0</v>
      </c>
      <c r="DI225" s="2131">
        <f>IF(DI$221,_xll.ciqfunctions.udf.CIQ($G225, "IQ_VOLUME", DI$222),"--")</f>
        <v>0</v>
      </c>
      <c r="DJ225" s="2131">
        <f>IF(DJ$221,_xll.ciqfunctions.udf.CIQ($G225, "IQ_VOLUME", DJ$222),"--")</f>
        <v>0</v>
      </c>
      <c r="DK225" s="2131">
        <f>IF(DK$221,_xll.ciqfunctions.udf.CIQ($G225, "IQ_VOLUME", DK$222),"--")</f>
        <v>0</v>
      </c>
      <c r="DL225" s="2131">
        <f>IF(DL$221,_xll.ciqfunctions.udf.CIQ($G225, "IQ_VOLUME", DL$222),"--")</f>
        <v>0</v>
      </c>
      <c r="DM225" s="2131">
        <f>IF(DM$221,_xll.ciqfunctions.udf.CIQ($G225, "IQ_VOLUME", DM$222),"--")</f>
        <v>0</v>
      </c>
      <c r="DN225" s="2131">
        <f>IF(DN$221,_xll.ciqfunctions.udf.CIQ($G225, "IQ_VOLUME", DN$222),"--")</f>
        <v>0</v>
      </c>
      <c r="DO225" s="2131">
        <f>IF(DO$221,_xll.ciqfunctions.udf.CIQ($G225, "IQ_VOLUME", DO$222),"--")</f>
        <v>0</v>
      </c>
      <c r="DP225" s="2131">
        <f>IF(DP$221,_xll.ciqfunctions.udf.CIQ($G225, "IQ_VOLUME", DP$222),"--")</f>
        <v>0</v>
      </c>
      <c r="DQ225" s="2131">
        <f>IF(DQ$221,_xll.ciqfunctions.udf.CIQ($G225, "IQ_VOLUME", DQ$222),"--")</f>
        <v>0</v>
      </c>
      <c r="DR225" s="2131">
        <f>IF(DR$221,_xll.ciqfunctions.udf.CIQ($G225, "IQ_VOLUME", DR$222),"--")</f>
        <v>0</v>
      </c>
      <c r="DS225" s="2131">
        <f>IF(DS$221,_xll.ciqfunctions.udf.CIQ($G225, "IQ_VOLUME", DS$222),"--")</f>
        <v>0</v>
      </c>
      <c r="DT225" s="2131">
        <f>IF(DT$221,_xll.ciqfunctions.udf.CIQ($G225, "IQ_VOLUME", DT$222),"--")</f>
        <v>0</v>
      </c>
      <c r="DU225" s="2131">
        <f>IF(DU$221,_xll.ciqfunctions.udf.CIQ($G225, "IQ_VOLUME", DU$222),"--")</f>
        <v>0</v>
      </c>
      <c r="DV225" s="2131">
        <f>IF(DV$221,_xll.ciqfunctions.udf.CIQ($G225, "IQ_VOLUME", DV$222),"--")</f>
        <v>0</v>
      </c>
      <c r="DW225" s="2131">
        <f>IF(DW$221,_xll.ciqfunctions.udf.CIQ($G225, "IQ_VOLUME", DW$222),"--")</f>
        <v>0</v>
      </c>
      <c r="DX225" s="2131">
        <f>IF(DX$221,_xll.ciqfunctions.udf.CIQ($G225, "IQ_VOLUME", DX$222),"--")</f>
        <v>0</v>
      </c>
      <c r="DY225" s="2131">
        <f>IF(DY$221,_xll.ciqfunctions.udf.CIQ($G225, "IQ_VOLUME", DY$222),"--")</f>
        <v>0</v>
      </c>
      <c r="DZ225" s="2131">
        <f>IF(DZ$221,_xll.ciqfunctions.udf.CIQ($G225, "IQ_VOLUME", DZ$222),"--")</f>
        <v>0</v>
      </c>
      <c r="EA225" s="2131">
        <f>IF(EA$221,_xll.ciqfunctions.udf.CIQ($G225, "IQ_VOLUME", EA$222),"--")</f>
        <v>0</v>
      </c>
      <c r="EB225" s="2131">
        <f>IF(EB$221,_xll.ciqfunctions.udf.CIQ($G225, "IQ_VOLUME", EB$222),"--")</f>
        <v>0</v>
      </c>
      <c r="EC225" s="2131">
        <f>IF(EC$221,_xll.ciqfunctions.udf.CIQ($G225, "IQ_VOLUME", EC$222),"--")</f>
        <v>0</v>
      </c>
      <c r="ED225" s="2131">
        <f>IF(ED$221,_xll.ciqfunctions.udf.CIQ($G225, "IQ_VOLUME", ED$222),"--")</f>
        <v>0</v>
      </c>
      <c r="EE225" s="2131">
        <f>IF(EE$221,_xll.ciqfunctions.udf.CIQ($G225, "IQ_VOLUME", EE$222),"--")</f>
        <v>0</v>
      </c>
      <c r="EF225" s="2131">
        <f>IF(EF$221,_xll.ciqfunctions.udf.CIQ($G225, "IQ_VOLUME", EF$222),"--")</f>
        <v>0</v>
      </c>
      <c r="EG225" s="2131">
        <f>IF(EG$221,_xll.ciqfunctions.udf.CIQ($G225, "IQ_VOLUME", EG$222),"--")</f>
        <v>0</v>
      </c>
      <c r="EH225" s="2131">
        <f>IF(EH$221,_xll.ciqfunctions.udf.CIQ($G225, "IQ_VOLUME", EH$222),"--")</f>
        <v>0</v>
      </c>
      <c r="EI225" s="2131">
        <f>IF(EI$221,_xll.ciqfunctions.udf.CIQ($G225, "IQ_VOLUME", EI$222),"--")</f>
        <v>0</v>
      </c>
      <c r="EJ225" s="2131">
        <f>IF(EJ$221,_xll.ciqfunctions.udf.CIQ($G225, "IQ_VOLUME", EJ$222),"--")</f>
        <v>0</v>
      </c>
      <c r="EK225" s="2131">
        <f>IF(EK$221,_xll.ciqfunctions.udf.CIQ($G225, "IQ_VOLUME", EK$222),"--")</f>
        <v>0</v>
      </c>
      <c r="EL225" s="2131">
        <f>IF(EL$221,_xll.ciqfunctions.udf.CIQ($G225, "IQ_VOLUME", EL$222),"--")</f>
        <v>0</v>
      </c>
      <c r="EM225" s="2131">
        <f>IF(EM$221,_xll.ciqfunctions.udf.CIQ($G225, "IQ_VOLUME", EM$222),"--")</f>
        <v>0</v>
      </c>
      <c r="EN225" s="2131">
        <f>IF(EN$221,_xll.ciqfunctions.udf.CIQ($G225, "IQ_VOLUME", EN$222),"--")</f>
        <v>0</v>
      </c>
      <c r="EO225" s="2131">
        <f>IF(EO$221,_xll.ciqfunctions.udf.CIQ($G225, "IQ_VOLUME", EO$222),"--")</f>
        <v>0</v>
      </c>
      <c r="EP225" s="2131">
        <f>IF(EP$221,_xll.ciqfunctions.udf.CIQ($G225, "IQ_VOLUME", EP$222),"--")</f>
        <v>0</v>
      </c>
      <c r="EQ225" s="2131">
        <f>IF(EQ$221,_xll.ciqfunctions.udf.CIQ($G225, "IQ_VOLUME", EQ$222),"--")</f>
        <v>0</v>
      </c>
      <c r="ER225" s="2131">
        <f>IF(ER$221,_xll.ciqfunctions.udf.CIQ($G225, "IQ_VOLUME", ER$222),"--")</f>
        <v>0</v>
      </c>
      <c r="ES225" s="2131">
        <f>IF(ES$221,_xll.ciqfunctions.udf.CIQ($G225, "IQ_VOLUME", ES$222),"--")</f>
        <v>0</v>
      </c>
      <c r="ET225" s="2131">
        <f>IF(ET$221,_xll.ciqfunctions.udf.CIQ($G225, "IQ_VOLUME", ET$222),"--")</f>
        <v>0</v>
      </c>
      <c r="EU225" s="2131">
        <f>IF(EU$221,_xll.ciqfunctions.udf.CIQ($G225, "IQ_VOLUME", EU$222),"--")</f>
        <v>0</v>
      </c>
      <c r="EV225" s="2131">
        <f>IF(EV$221,_xll.ciqfunctions.udf.CIQ($G225, "IQ_VOLUME", EV$222),"--")</f>
        <v>0</v>
      </c>
      <c r="EW225" s="2131">
        <f>IF(EW$221,_xll.ciqfunctions.udf.CIQ($G225, "IQ_VOLUME", EW$222),"--")</f>
        <v>0</v>
      </c>
      <c r="EX225" s="2131">
        <f>IF(EX$221,_xll.ciqfunctions.udf.CIQ($G225, "IQ_VOLUME", EX$222),"--")</f>
        <v>0</v>
      </c>
      <c r="EY225" s="2131">
        <f>IF(EY$221,_xll.ciqfunctions.udf.CIQ($G225, "IQ_VOLUME", EY$222),"--")</f>
        <v>0</v>
      </c>
      <c r="EZ225" s="2131">
        <f>IF(EZ$221,_xll.ciqfunctions.udf.CIQ($G225, "IQ_VOLUME", EZ$222),"--")</f>
        <v>0</v>
      </c>
      <c r="FA225" s="2131">
        <f>IF(FA$221,_xll.ciqfunctions.udf.CIQ($G225, "IQ_VOLUME", FA$222),"--")</f>
        <v>0</v>
      </c>
      <c r="FB225" s="2131">
        <f>IF(FB$221,_xll.ciqfunctions.udf.CIQ($G225, "IQ_VOLUME", FB$222),"--")</f>
        <v>0</v>
      </c>
      <c r="FC225" s="2131">
        <f>IF(FC$221,_xll.ciqfunctions.udf.CIQ($G225, "IQ_VOLUME", FC$222),"--")</f>
        <v>0</v>
      </c>
      <c r="FD225" s="2131">
        <f>IF(FD$221,_xll.ciqfunctions.udf.CIQ($G225, "IQ_VOLUME", FD$222),"--")</f>
        <v>0</v>
      </c>
      <c r="FE225" s="2131">
        <f>IF(FE$221,_xll.ciqfunctions.udf.CIQ($G225, "IQ_VOLUME", FE$222),"--")</f>
        <v>0</v>
      </c>
      <c r="FF225" s="2131">
        <f>IF(FF$221,_xll.ciqfunctions.udf.CIQ($G225, "IQ_VOLUME", FF$222),"--")</f>
        <v>0</v>
      </c>
      <c r="FG225" s="2131">
        <f>IF(FG$221,_xll.ciqfunctions.udf.CIQ($G225, "IQ_VOLUME", FG$222),"--")</f>
        <v>0</v>
      </c>
      <c r="FH225" s="2131">
        <f>IF(FH$221,_xll.ciqfunctions.udf.CIQ($G225, "IQ_VOLUME", FH$222),"--")</f>
        <v>0</v>
      </c>
      <c r="FI225" s="2131">
        <f>IF(FI$221,_xll.ciqfunctions.udf.CIQ($G225, "IQ_VOLUME", FI$222),"--")</f>
        <v>0</v>
      </c>
      <c r="FJ225" s="2131">
        <f>IF(FJ$221,_xll.ciqfunctions.udf.CIQ($G225, "IQ_VOLUME", FJ$222),"--")</f>
        <v>0</v>
      </c>
      <c r="FK225" s="2131">
        <f>IF(FK$221,_xll.ciqfunctions.udf.CIQ($G225, "IQ_VOLUME", FK$222),"--")</f>
        <v>0</v>
      </c>
      <c r="FL225" s="2131">
        <f>IF(FL$221,_xll.ciqfunctions.udf.CIQ($G225, "IQ_VOLUME", FL$222),"--")</f>
        <v>0</v>
      </c>
      <c r="FM225" s="2131">
        <f>IF(FM$221,_xll.ciqfunctions.udf.CIQ($G225, "IQ_VOLUME", FM$222),"--")</f>
        <v>0</v>
      </c>
      <c r="FN225" s="2131">
        <f>IF(FN$221,_xll.ciqfunctions.udf.CIQ($G225, "IQ_VOLUME", FN$222),"--")</f>
        <v>0</v>
      </c>
      <c r="FO225" s="2131">
        <f>IF(FO$221,_xll.ciqfunctions.udf.CIQ($G225, "IQ_VOLUME", FO$222),"--")</f>
        <v>0</v>
      </c>
      <c r="FP225" s="2131">
        <f>IF(FP$221,_xll.ciqfunctions.udf.CIQ($G225, "IQ_VOLUME", FP$222),"--")</f>
        <v>0</v>
      </c>
      <c r="FQ225" s="2131">
        <f>IF(FQ$221,_xll.ciqfunctions.udf.CIQ($G225, "IQ_VOLUME", FQ$222),"--")</f>
        <v>0</v>
      </c>
      <c r="FR225" s="2131">
        <f>IF(FR$221,_xll.ciqfunctions.udf.CIQ($G225, "IQ_VOLUME", FR$222),"--")</f>
        <v>0</v>
      </c>
      <c r="FS225" s="2131">
        <f>IF(FS$221,_xll.ciqfunctions.udf.CIQ($G225, "IQ_VOLUME", FS$222),"--")</f>
        <v>0</v>
      </c>
      <c r="FT225" s="2131">
        <f>IF(FT$221,_xll.ciqfunctions.udf.CIQ($G225, "IQ_VOLUME", FT$222),"--")</f>
        <v>0</v>
      </c>
      <c r="FU225" s="2131">
        <f>IF(FU$221,_xll.ciqfunctions.udf.CIQ($G225, "IQ_VOLUME", FU$222),"--")</f>
        <v>0</v>
      </c>
      <c r="FV225" s="2131">
        <f>IF(FV$221,_xll.ciqfunctions.udf.CIQ($G225, "IQ_VOLUME", FV$222),"--")</f>
        <v>0</v>
      </c>
      <c r="FW225" s="2131">
        <f>IF(FW$221,_xll.ciqfunctions.udf.CIQ($G225, "IQ_VOLUME", FW$222),"--")</f>
        <v>0</v>
      </c>
      <c r="FX225" s="2131">
        <f>IF(FX$221,_xll.ciqfunctions.udf.CIQ($G225, "IQ_VOLUME", FX$222),"--")</f>
        <v>0</v>
      </c>
      <c r="FY225" s="2131">
        <f>IF(FY$221,_xll.ciqfunctions.udf.CIQ($G225, "IQ_VOLUME", FY$222),"--")</f>
        <v>0</v>
      </c>
      <c r="FZ225" s="2131">
        <f>IF(FZ$221,_xll.ciqfunctions.udf.CIQ($G225, "IQ_VOLUME", FZ$222),"--")</f>
        <v>0</v>
      </c>
      <c r="GA225" s="2131">
        <f>IF(GA$221,_xll.ciqfunctions.udf.CIQ($G225, "IQ_VOLUME", GA$222),"--")</f>
        <v>0</v>
      </c>
      <c r="GB225" s="2131">
        <f>IF(GB$221,_xll.ciqfunctions.udf.CIQ($G225, "IQ_VOLUME", GB$222),"--")</f>
        <v>0</v>
      </c>
      <c r="GC225" s="2131">
        <f>IF(GC$221,_xll.ciqfunctions.udf.CIQ($G225, "IQ_VOLUME", GC$222),"--")</f>
        <v>0</v>
      </c>
      <c r="GD225" s="2131">
        <f>IF(GD$221,_xll.ciqfunctions.udf.CIQ($G225, "IQ_VOLUME", GD$222),"--")</f>
        <v>0</v>
      </c>
      <c r="GE225" s="2131">
        <f>IF(GE$221,_xll.ciqfunctions.udf.CIQ($G225, "IQ_VOLUME", GE$222),"--")</f>
        <v>0</v>
      </c>
      <c r="GF225" s="2131">
        <f>IF(GF$221,_xll.ciqfunctions.udf.CIQ($G225, "IQ_VOLUME", GF$222),"--")</f>
        <v>0</v>
      </c>
      <c r="GG225" s="2131">
        <f>IF(GG$221,_xll.ciqfunctions.udf.CIQ($G225, "IQ_VOLUME", GG$222),"--")</f>
        <v>0</v>
      </c>
      <c r="GH225" s="2131">
        <f>IF(GH$221,_xll.ciqfunctions.udf.CIQ($G225, "IQ_VOLUME", GH$222),"--")</f>
        <v>0</v>
      </c>
      <c r="GI225" s="2131">
        <f>IF(GI$221,_xll.ciqfunctions.udf.CIQ($G225, "IQ_VOLUME", GI$222),"--")</f>
        <v>0</v>
      </c>
      <c r="GJ225" s="2131">
        <f>IF(GJ$221,_xll.ciqfunctions.udf.CIQ($G225, "IQ_VOLUME", GJ$222),"--")</f>
        <v>0</v>
      </c>
      <c r="GK225" s="2131">
        <f>IF(GK$221,_xll.ciqfunctions.udf.CIQ($G225, "IQ_VOLUME", GK$222),"--")</f>
        <v>0</v>
      </c>
      <c r="GL225" s="2131">
        <f>IF(GL$221,_xll.ciqfunctions.udf.CIQ($G225, "IQ_VOLUME", GL$222),"--")</f>
        <v>0</v>
      </c>
      <c r="GM225" s="2131">
        <f>IF(GM$221,_xll.ciqfunctions.udf.CIQ($G225, "IQ_VOLUME", GM$222),"--")</f>
        <v>0</v>
      </c>
      <c r="GN225" s="2131">
        <f>IF(GN$221,_xll.ciqfunctions.udf.CIQ($G225, "IQ_VOLUME", GN$222),"--")</f>
        <v>0</v>
      </c>
      <c r="GO225" s="2131">
        <f>IF(GO$221,_xll.ciqfunctions.udf.CIQ($G225, "IQ_VOLUME", GO$222),"--")</f>
        <v>0</v>
      </c>
      <c r="GP225" s="2131">
        <f>IF(GP$221,_xll.ciqfunctions.udf.CIQ($G225, "IQ_VOLUME", GP$222),"--")</f>
        <v>0</v>
      </c>
      <c r="GQ225" s="2131">
        <f>IF(GQ$221,_xll.ciqfunctions.udf.CIQ($G225, "IQ_VOLUME", GQ$222),"--")</f>
        <v>0</v>
      </c>
      <c r="GR225" s="2131">
        <f>IF(GR$221,_xll.ciqfunctions.udf.CIQ($G225, "IQ_VOLUME", GR$222),"--")</f>
        <v>0</v>
      </c>
      <c r="GS225" s="2131">
        <f>IF(GS$221,_xll.ciqfunctions.udf.CIQ($G225, "IQ_VOLUME", GS$222),"--")</f>
        <v>0</v>
      </c>
      <c r="GT225" s="2131">
        <f>IF(GT$221,_xll.ciqfunctions.udf.CIQ($G225, "IQ_VOLUME", GT$222),"--")</f>
        <v>0</v>
      </c>
      <c r="GU225" s="2131">
        <f>IF(GU$221,_xll.ciqfunctions.udf.CIQ($G225, "IQ_VOLUME", GU$222),"--")</f>
        <v>0</v>
      </c>
      <c r="GV225" s="2131">
        <f>IF(GV$221,_xll.ciqfunctions.udf.CIQ($G225, "IQ_VOLUME", GV$222),"--")</f>
        <v>0</v>
      </c>
      <c r="GW225" s="2131">
        <f>IF(GW$221,_xll.ciqfunctions.udf.CIQ($G225, "IQ_VOLUME", GW$222),"--")</f>
        <v>0</v>
      </c>
      <c r="GX225" s="2131">
        <f>IF(GX$221,_xll.ciqfunctions.udf.CIQ($G225, "IQ_VOLUME", GX$222),"--")</f>
        <v>0</v>
      </c>
      <c r="GY225" s="2131">
        <f>IF(GY$221,_xll.ciqfunctions.udf.CIQ($G225, "IQ_VOLUME", GY$222),"--")</f>
        <v>0</v>
      </c>
      <c r="GZ225" s="2131">
        <f>IF(GZ$221,_xll.ciqfunctions.udf.CIQ($G225, "IQ_VOLUME", GZ$222),"--")</f>
        <v>0</v>
      </c>
      <c r="HA225" s="2131">
        <f>IF(HA$221,_xll.ciqfunctions.udf.CIQ($G225, "IQ_VOLUME", HA$222),"--")</f>
        <v>0</v>
      </c>
      <c r="HB225" s="2131">
        <f>IF(HB$221,_xll.ciqfunctions.udf.CIQ($G225, "IQ_VOLUME", HB$222),"--")</f>
        <v>0</v>
      </c>
      <c r="HC225" s="2131">
        <f>IF(HC$221,_xll.ciqfunctions.udf.CIQ($G225, "IQ_VOLUME", HC$222),"--")</f>
        <v>0</v>
      </c>
      <c r="HD225" s="2131">
        <f>IF(HD$221,_xll.ciqfunctions.udf.CIQ($G225, "IQ_VOLUME", HD$222),"--")</f>
        <v>0</v>
      </c>
      <c r="HE225" s="2131">
        <f>IF(HE$221,_xll.ciqfunctions.udf.CIQ($G225, "IQ_VOLUME", HE$222),"--")</f>
        <v>0</v>
      </c>
      <c r="HF225" s="2131">
        <f>IF(HF$221,_xll.ciqfunctions.udf.CIQ($G225, "IQ_VOLUME", HF$222),"--")</f>
        <v>0</v>
      </c>
      <c r="HG225" s="2131">
        <f>IF(HG$221,_xll.ciqfunctions.udf.CIQ($G225, "IQ_VOLUME", HG$222),"--")</f>
        <v>0</v>
      </c>
      <c r="HH225" s="2131">
        <f>IF(HH$221,_xll.ciqfunctions.udf.CIQ($G225, "IQ_VOLUME", HH$222),"--")</f>
        <v>0</v>
      </c>
      <c r="HI225" s="2131">
        <f>IF(HI$221,_xll.ciqfunctions.udf.CIQ($G225, "IQ_VOLUME", HI$222),"--")</f>
        <v>0</v>
      </c>
      <c r="HJ225" s="2131">
        <f>IF(HJ$221,_xll.ciqfunctions.udf.CIQ($G225, "IQ_VOLUME", HJ$222),"--")</f>
        <v>0</v>
      </c>
      <c r="HK225" s="2131">
        <f>IF(HK$221,_xll.ciqfunctions.udf.CIQ($G225, "IQ_VOLUME", HK$222),"--")</f>
        <v>0</v>
      </c>
      <c r="HL225" s="2131">
        <f>IF(HL$221,_xll.ciqfunctions.udf.CIQ($G225, "IQ_VOLUME", HL$222),"--")</f>
        <v>0</v>
      </c>
      <c r="HM225" s="2131">
        <f>IF(HM$221,_xll.ciqfunctions.udf.CIQ($G225, "IQ_VOLUME", HM$222),"--")</f>
        <v>0</v>
      </c>
      <c r="HN225" s="2131">
        <f>IF(HN$221,_xll.ciqfunctions.udf.CIQ($G225, "IQ_VOLUME", HN$222),"--")</f>
        <v>0</v>
      </c>
      <c r="HO225" s="2131">
        <f>IF(HO$221,_xll.ciqfunctions.udf.CIQ($G225, "IQ_VOLUME", HO$222),"--")</f>
        <v>0</v>
      </c>
      <c r="HP225" s="2131">
        <f>IF(HP$221,_xll.ciqfunctions.udf.CIQ($G225, "IQ_VOLUME", HP$222),"--")</f>
        <v>0</v>
      </c>
      <c r="HQ225" s="2131">
        <f>IF(HQ$221,_xll.ciqfunctions.udf.CIQ($G225, "IQ_VOLUME", HQ$222),"--")</f>
        <v>0</v>
      </c>
      <c r="HR225" s="2131">
        <f>IF(HR$221,_xll.ciqfunctions.udf.CIQ($G225, "IQ_VOLUME", HR$222),"--")</f>
        <v>0</v>
      </c>
      <c r="HS225" s="2131">
        <f>IF(HS$221,_xll.ciqfunctions.udf.CIQ($G225, "IQ_VOLUME", HS$222),"--")</f>
        <v>0</v>
      </c>
      <c r="HT225" s="2131">
        <f>IF(HT$221,_xll.ciqfunctions.udf.CIQ($G225, "IQ_VOLUME", HT$222),"--")</f>
        <v>0</v>
      </c>
      <c r="HU225" s="2131">
        <f>IF(HU$221,_xll.ciqfunctions.udf.CIQ($G225, "IQ_VOLUME", HU$222),"--")</f>
        <v>0</v>
      </c>
      <c r="HV225" s="2131">
        <f>IF(HV$221,_xll.ciqfunctions.udf.CIQ($G225, "IQ_VOLUME", HV$222),"--")</f>
        <v>0</v>
      </c>
      <c r="HW225" s="2131">
        <f>IF(HW$221,_xll.ciqfunctions.udf.CIQ($G225, "IQ_VOLUME", HW$222),"--")</f>
        <v>0</v>
      </c>
      <c r="HX225" s="2131">
        <f>IF(HX$221,_xll.ciqfunctions.udf.CIQ($G225, "IQ_VOLUME", HX$222),"--")</f>
        <v>0</v>
      </c>
      <c r="HY225" s="2131">
        <f>IF(HY$221,_xll.ciqfunctions.udf.CIQ($G225, "IQ_VOLUME", HY$222),"--")</f>
        <v>0</v>
      </c>
      <c r="HZ225" s="2131">
        <f>IF(HZ$221,_xll.ciqfunctions.udf.CIQ($G225, "IQ_VOLUME", HZ$222),"--")</f>
        <v>0</v>
      </c>
      <c r="IA225" s="2131">
        <f>IF(IA$221,_xll.ciqfunctions.udf.CIQ($G225, "IQ_VOLUME", IA$222),"--")</f>
        <v>0</v>
      </c>
      <c r="IB225" s="2131">
        <f>IF(IB$221,_xll.ciqfunctions.udf.CIQ($G225, "IQ_VOLUME", IB$222),"--")</f>
        <v>0</v>
      </c>
      <c r="IC225" s="2131">
        <f>IF(IC$221,_xll.ciqfunctions.udf.CIQ($G225, "IQ_VOLUME", IC$222),"--")</f>
        <v>0</v>
      </c>
      <c r="ID225" s="2131">
        <f>IF(ID$221,_xll.ciqfunctions.udf.CIQ($G225, "IQ_VOLUME", ID$222),"--")</f>
        <v>0</v>
      </c>
      <c r="IE225" s="2131">
        <f>IF(IE$221,_xll.ciqfunctions.udf.CIQ($G225, "IQ_VOLUME", IE$222),"--")</f>
        <v>0</v>
      </c>
      <c r="IF225" s="2131">
        <f>IF(IF$221,_xll.ciqfunctions.udf.CIQ($G225, "IQ_VOLUME", IF$222),"--")</f>
        <v>0</v>
      </c>
      <c r="IG225" s="2131">
        <f>IF(IG$221,_xll.ciqfunctions.udf.CIQ($G225, "IQ_VOLUME", IG$222),"--")</f>
        <v>0</v>
      </c>
      <c r="IH225" s="2131">
        <f>IF(IH$221,_xll.ciqfunctions.udf.CIQ($G225, "IQ_VOLUME", IH$222),"--")</f>
        <v>0</v>
      </c>
      <c r="II225" s="2131">
        <f>IF(II$221,_xll.ciqfunctions.udf.CIQ($G225, "IQ_VOLUME", II$222),"--")</f>
        <v>0</v>
      </c>
      <c r="IJ225" s="2131">
        <f>IF(IJ$221,_xll.ciqfunctions.udf.CIQ($G225, "IQ_VOLUME", IJ$222),"--")</f>
        <v>0</v>
      </c>
      <c r="IK225" s="2131">
        <f>IF(IK$221,_xll.ciqfunctions.udf.CIQ($G225, "IQ_VOLUME", IK$222),"--")</f>
        <v>0</v>
      </c>
      <c r="IL225" s="2131">
        <f>IF(IL$221,_xll.ciqfunctions.udf.CIQ($G225, "IQ_VOLUME", IL$222),"--")</f>
        <v>0</v>
      </c>
      <c r="IM225" s="2131">
        <f>IF(IM$221,_xll.ciqfunctions.udf.CIQ($G225, "IQ_VOLUME", IM$222),"--")</f>
        <v>0</v>
      </c>
      <c r="IN225" s="2131">
        <f>IF(IN$221,_xll.ciqfunctions.udf.CIQ($G225, "IQ_VOLUME", IN$222),"--")</f>
        <v>0</v>
      </c>
      <c r="IO225" s="2131">
        <f>IF(IO$221,_xll.ciqfunctions.udf.CIQ($G225, "IQ_VOLUME", IO$222),"--")</f>
        <v>0</v>
      </c>
      <c r="IP225" s="2131">
        <f>IF(IP$221,_xll.ciqfunctions.udf.CIQ($G225, "IQ_VOLUME", IP$222),"--")</f>
        <v>0</v>
      </c>
      <c r="IQ225" s="2131">
        <f>IF(IQ$221,_xll.ciqfunctions.udf.CIQ($G225, "IQ_VOLUME", IQ$222),"--")</f>
        <v>0</v>
      </c>
      <c r="IR225" s="2131">
        <f>IF(IR$221,_xll.ciqfunctions.udf.CIQ($G225, "IQ_VOLUME", IR$222),"--")</f>
        <v>0</v>
      </c>
      <c r="IS225" s="2131">
        <f>IF(IS$221,_xll.ciqfunctions.udf.CIQ($G225, "IQ_VOLUME", IS$222),"--")</f>
        <v>0</v>
      </c>
      <c r="IT225" s="2131">
        <f>IF(IT$221,_xll.ciqfunctions.udf.CIQ($G225, "IQ_VOLUME", IT$222),"--")</f>
        <v>0</v>
      </c>
      <c r="IU225" s="2131">
        <f>IF(IU$221,_xll.ciqfunctions.udf.CIQ($G225, "IQ_VOLUME", IU$222),"--")</f>
        <v>0</v>
      </c>
      <c r="IV225" s="2131">
        <f>IF(IV$221,_xll.ciqfunctions.udf.CIQ($G225, "IQ_VOLUME", IV$222),"--")</f>
        <v>0</v>
      </c>
      <c r="IW225" s="2131">
        <f>IF(IW$221,_xll.ciqfunctions.udf.CIQ($G225, "IQ_VOLUME", IW$222),"--")</f>
        <v>0</v>
      </c>
      <c r="IX225" s="2131">
        <f>IF(IX$221,_xll.ciqfunctions.udf.CIQ($G225, "IQ_VOLUME", IX$222),"--")</f>
        <v>0</v>
      </c>
      <c r="IY225" s="2131">
        <f>IF(IY$221,_xll.ciqfunctions.udf.CIQ($G225, "IQ_VOLUME", IY$222),"--")</f>
        <v>0</v>
      </c>
      <c r="IZ225" s="2131">
        <f>IF(IZ$221,_xll.ciqfunctions.udf.CIQ($G225, "IQ_VOLUME", IZ$222),"--")</f>
        <v>0</v>
      </c>
      <c r="JA225" s="2131">
        <f>IF(JA$221,_xll.ciqfunctions.udf.CIQ($G225, "IQ_VOLUME", JA$222),"--")</f>
        <v>0</v>
      </c>
      <c r="JB225" s="2131">
        <f>IF(JB$221,_xll.ciqfunctions.udf.CIQ($G225, "IQ_VOLUME", JB$222),"--")</f>
        <v>0</v>
      </c>
      <c r="JC225" s="2131">
        <f>IF(JC$221,_xll.ciqfunctions.udf.CIQ($G225, "IQ_VOLUME", JC$222),"--")</f>
        <v>0</v>
      </c>
      <c r="JD225" s="2131">
        <f>IF(JD$221,_xll.ciqfunctions.udf.CIQ($G225, "IQ_VOLUME", JD$222),"--")</f>
        <v>0</v>
      </c>
      <c r="JE225" s="2131">
        <f>IF(JE$221,_xll.ciqfunctions.udf.CIQ($G225, "IQ_VOLUME", JE$222),"--")</f>
        <v>0</v>
      </c>
      <c r="JF225" s="2131">
        <f>IF(JF$221,_xll.ciqfunctions.udf.CIQ($G225, "IQ_VOLUME", JF$222),"--")</f>
        <v>0</v>
      </c>
      <c r="JG225" s="2131">
        <f>IF(JG$221,_xll.ciqfunctions.udf.CIQ($G225, "IQ_VOLUME", JG$222),"--")</f>
        <v>0</v>
      </c>
      <c r="JH225" s="2131">
        <f>IF(JH$221,_xll.ciqfunctions.udf.CIQ($G225, "IQ_VOLUME", JH$222),"--")</f>
        <v>0</v>
      </c>
      <c r="JI225" s="2131">
        <f>IF(JI$221,_xll.ciqfunctions.udf.CIQ($G225, "IQ_VOLUME", JI$222),"--")</f>
        <v>0</v>
      </c>
      <c r="JJ225" s="2131">
        <f>IF(JJ$221,_xll.ciqfunctions.udf.CIQ($G225, "IQ_VOLUME", JJ$222),"--")</f>
        <v>0</v>
      </c>
      <c r="JK225" s="2131">
        <f>IF(JK$221,_xll.ciqfunctions.udf.CIQ($G225, "IQ_VOLUME", JK$222),"--")</f>
        <v>0</v>
      </c>
      <c r="JL225" s="2131">
        <f>IF(JL$221,_xll.ciqfunctions.udf.CIQ($G225, "IQ_VOLUME", JL$222),"--")</f>
        <v>0</v>
      </c>
      <c r="JM225" s="2131">
        <f>IF(JM$221,_xll.ciqfunctions.udf.CIQ($G225, "IQ_VOLUME", JM$222),"--")</f>
        <v>0</v>
      </c>
      <c r="JN225" s="2131">
        <f>IF(JN$221,_xll.ciqfunctions.udf.CIQ($G225, "IQ_VOLUME", JN$222),"--")</f>
        <v>0</v>
      </c>
      <c r="JO225" s="2131">
        <f>IF(JO$221,_xll.ciqfunctions.udf.CIQ($G225, "IQ_VOLUME", JO$222),"--")</f>
        <v>0</v>
      </c>
      <c r="JP225" s="2131">
        <f>IF(JP$221,_xll.ciqfunctions.udf.CIQ($G225, "IQ_VOLUME", JP$222),"--")</f>
        <v>0</v>
      </c>
      <c r="JQ225" s="2131">
        <f>IF(JQ$221,_xll.ciqfunctions.udf.CIQ($G225, "IQ_VOLUME", JQ$222),"--")</f>
        <v>0</v>
      </c>
      <c r="JR225" s="2131">
        <f>IF(JR$221,_xll.ciqfunctions.udf.CIQ($G225, "IQ_VOLUME", JR$222),"--")</f>
        <v>0</v>
      </c>
      <c r="JS225" s="2131">
        <f>IF(JS$221,_xll.ciqfunctions.udf.CIQ($G225, "IQ_VOLUME", JS$222),"--")</f>
        <v>0</v>
      </c>
      <c r="JT225" s="2131">
        <f>IF(JT$221,_xll.ciqfunctions.udf.CIQ($G225, "IQ_VOLUME", JT$222),"--")</f>
        <v>0</v>
      </c>
      <c r="JU225" s="2131">
        <f>IF(JU$221,_xll.ciqfunctions.udf.CIQ($G225, "IQ_VOLUME", JU$222),"--")</f>
        <v>0</v>
      </c>
      <c r="JV225" s="2131">
        <f>IF(JV$221,_xll.ciqfunctions.udf.CIQ($G225, "IQ_VOLUME", JV$222),"--")</f>
        <v>0</v>
      </c>
      <c r="JW225" s="2131" t="str">
        <f>IF(JW$221,_xll.ciqfunctions.udf.CIQ($G225, "IQ_VOLUME", JW$222),"--")</f>
        <v>--</v>
      </c>
      <c r="JX225" s="2131" t="str">
        <f>IF(JX$221,_xll.ciqfunctions.udf.CIQ($G225, "IQ_VOLUME", JX$222),"--")</f>
        <v>--</v>
      </c>
      <c r="JY225" s="2131" t="str">
        <f>IF(JY$221,_xll.ciqfunctions.udf.CIQ($G225, "IQ_VOLUME", JY$222),"--")</f>
        <v>--</v>
      </c>
      <c r="JZ225" s="2131" t="str">
        <f>IF(JZ$221,_xll.ciqfunctions.udf.CIQ($G225, "IQ_VOLUME", JZ$222),"--")</f>
        <v>--</v>
      </c>
      <c r="KA225" s="2131" t="str">
        <f>IF(KA$221,_xll.ciqfunctions.udf.CIQ($G225, "IQ_VOLUME", KA$222),"--")</f>
        <v>--</v>
      </c>
      <c r="KB225" s="2131" t="str">
        <f>IF(KB$221,_xll.ciqfunctions.udf.CIQ($G225, "IQ_VOLUME", KB$222),"--")</f>
        <v>--</v>
      </c>
    </row>
    <row r="226" spans="1:288" s="89" customFormat="1" ht="13.9">
      <c r="A226" s="269" t="str">
        <f t="shared" si="47"/>
        <v>n</v>
      </c>
      <c r="B226" s="2060"/>
      <c r="C226" s="72"/>
      <c r="D226" s="801"/>
      <c r="E226" s="1505">
        <v>3</v>
      </c>
      <c r="F226" s="21" t="str">
        <f>F$131</f>
        <v>--</v>
      </c>
      <c r="G226" s="2112">
        <f>G$131</f>
        <v>0</v>
      </c>
      <c r="H226" s="2112" t="str">
        <f>H$131</f>
        <v>--</v>
      </c>
      <c r="I226" s="22" t="s">
        <v>781</v>
      </c>
      <c r="J226" s="53"/>
      <c r="K226" s="2301" t="str">
        <f>IF(OR(K194=0,$G226=0),"--",IFERROR(_xll.ciqfunctions.udf.CIQ($G226,$I226,K102,Valuation_Date_GC,ReportType,DataMode,$H226,FXMode)*Scale,"--"))</f>
        <v>--</v>
      </c>
      <c r="L226" s="2301" t="str">
        <f>IF(OR(L194=0,$G226=0),"--",IFERROR(_xll.ciqfunctions.udf.CIQ($G226,$I226,L102,Valuation_Date_GC,ReportType,DataMode,$H226,FXMode)*Scale,"--"))</f>
        <v>--</v>
      </c>
      <c r="M226" s="2301" t="str">
        <f>IF(OR(M194=0,$G226=0),"--",IFERROR(_xll.ciqfunctions.udf.CIQ($G226,$I226,M102,Valuation_Date_GC,ReportType,DataMode,$H226,FXMode)*Scale,"--"))</f>
        <v>--</v>
      </c>
      <c r="N226" s="2301" t="str">
        <f>IF(OR(N194=0,$G226=0),"--",IFERROR(_xll.ciqfunctions.udf.CIQ($G226,$I226,N102,Valuation_Date_GC,ReportType,DataMode,$H226,FXMode)*Scale,"--"))</f>
        <v>--</v>
      </c>
      <c r="O226" s="1471" t="str">
        <f>IF(OR(O194=0,$G226=0),"--",IFERROR(_xll.ciqfunctions.udf.CIQ($G226,$I226,O102,Valuation_Date_GC,ReportType,DataMode,$H226,FXMode)*Scale,"--"))</f>
        <v>--</v>
      </c>
      <c r="P226" s="2301" t="str">
        <f>IF(OR(P194=0,$G226=0),"--",IFERROR(_xll.ciqfunctions.udf.CIQ($G226,$I226,P102,Valuation_Date_GC,ReportType,DataMode,$H226,FXMode)*Scale,"--"))</f>
        <v>--</v>
      </c>
      <c r="R226" s="255"/>
      <c r="T226" s="1779" t="s">
        <v>782</v>
      </c>
      <c r="U226" s="2131">
        <f>IF(U$221,_xll.ciqfunctions.udf.CIQ($G226, "IQ_VOLUME", U$222),"--")</f>
        <v>0</v>
      </c>
      <c r="V226" s="2131">
        <f>IF(V$221,_xll.ciqfunctions.udf.CIQ($G226, "IQ_VOLUME", V$222),"--")</f>
        <v>0</v>
      </c>
      <c r="W226" s="2131">
        <f>IF(W$221,_xll.ciqfunctions.udf.CIQ($G226, "IQ_VOLUME", W$222),"--")</f>
        <v>0</v>
      </c>
      <c r="X226" s="2131">
        <f>IF(X$221,_xll.ciqfunctions.udf.CIQ($G226, "IQ_VOLUME", X$222),"--")</f>
        <v>0</v>
      </c>
      <c r="Y226" s="2131">
        <f>IF(Y$221,_xll.ciqfunctions.udf.CIQ($G226, "IQ_VOLUME", Y$222),"--")</f>
        <v>0</v>
      </c>
      <c r="Z226" s="2131">
        <f>IF(Z$221,_xll.ciqfunctions.udf.CIQ($G226, "IQ_VOLUME", Z$222),"--")</f>
        <v>0</v>
      </c>
      <c r="AA226" s="2131">
        <f>IF(AA$221,_xll.ciqfunctions.udf.CIQ($G226, "IQ_VOLUME", AA$222),"--")</f>
        <v>0</v>
      </c>
      <c r="AB226" s="2131">
        <f>IF(AB$221,_xll.ciqfunctions.udf.CIQ($G226, "IQ_VOLUME", AB$222),"--")</f>
        <v>0</v>
      </c>
      <c r="AC226" s="2131">
        <f>IF(AC$221,_xll.ciqfunctions.udf.CIQ($G226, "IQ_VOLUME", AC$222),"--")</f>
        <v>0</v>
      </c>
      <c r="AD226" s="2131">
        <f>IF(AD$221,_xll.ciqfunctions.udf.CIQ($G226, "IQ_VOLUME", AD$222),"--")</f>
        <v>0</v>
      </c>
      <c r="AE226" s="2131">
        <f>IF(AE$221,_xll.ciqfunctions.udf.CIQ($G226, "IQ_VOLUME", AE$222),"--")</f>
        <v>0</v>
      </c>
      <c r="AF226" s="2131">
        <f>IF(AF$221,_xll.ciqfunctions.udf.CIQ($G226, "IQ_VOLUME", AF$222),"--")</f>
        <v>0</v>
      </c>
      <c r="AG226" s="2131">
        <f>IF(AG$221,_xll.ciqfunctions.udf.CIQ($G226, "IQ_VOLUME", AG$222),"--")</f>
        <v>0</v>
      </c>
      <c r="AH226" s="2131">
        <f>IF(AH$221,_xll.ciqfunctions.udf.CIQ($G226, "IQ_VOLUME", AH$222),"--")</f>
        <v>0</v>
      </c>
      <c r="AI226" s="2131">
        <f>IF(AI$221,_xll.ciqfunctions.udf.CIQ($G226, "IQ_VOLUME", AI$222),"--")</f>
        <v>0</v>
      </c>
      <c r="AJ226" s="2131">
        <f>IF(AJ$221,_xll.ciqfunctions.udf.CIQ($G226, "IQ_VOLUME", AJ$222),"--")</f>
        <v>0</v>
      </c>
      <c r="AK226" s="2131">
        <f>IF(AK$221,_xll.ciqfunctions.udf.CIQ($G226, "IQ_VOLUME", AK$222),"--")</f>
        <v>0</v>
      </c>
      <c r="AL226" s="2131">
        <f>IF(AL$221,_xll.ciqfunctions.udf.CIQ($G226, "IQ_VOLUME", AL$222),"--")</f>
        <v>0</v>
      </c>
      <c r="AM226" s="2131">
        <f>IF(AM$221,_xll.ciqfunctions.udf.CIQ($G226, "IQ_VOLUME", AM$222),"--")</f>
        <v>0</v>
      </c>
      <c r="AN226" s="2131">
        <f>IF(AN$221,_xll.ciqfunctions.udf.CIQ($G226, "IQ_VOLUME", AN$222),"--")</f>
        <v>0</v>
      </c>
      <c r="AO226" s="2131">
        <f>IF(AO$221,_xll.ciqfunctions.udf.CIQ($G226, "IQ_VOLUME", AO$222),"--")</f>
        <v>0</v>
      </c>
      <c r="AP226" s="2131">
        <f>IF(AP$221,_xll.ciqfunctions.udf.CIQ($G226, "IQ_VOLUME", AP$222),"--")</f>
        <v>0</v>
      </c>
      <c r="AQ226" s="2131">
        <f>IF(AQ$221,_xll.ciqfunctions.udf.CIQ($G226, "IQ_VOLUME", AQ$222),"--")</f>
        <v>0</v>
      </c>
      <c r="AR226" s="2131">
        <f>IF(AR$221,_xll.ciqfunctions.udf.CIQ($G226, "IQ_VOLUME", AR$222),"--")</f>
        <v>0</v>
      </c>
      <c r="AS226" s="2131">
        <f>IF(AS$221,_xll.ciqfunctions.udf.CIQ($G226, "IQ_VOLUME", AS$222),"--")</f>
        <v>0</v>
      </c>
      <c r="AT226" s="2131">
        <f>IF(AT$221,_xll.ciqfunctions.udf.CIQ($G226, "IQ_VOLUME", AT$222),"--")</f>
        <v>0</v>
      </c>
      <c r="AU226" s="2131">
        <f>IF(AU$221,_xll.ciqfunctions.udf.CIQ($G226, "IQ_VOLUME", AU$222),"--")</f>
        <v>0</v>
      </c>
      <c r="AV226" s="2131">
        <f>IF(AV$221,_xll.ciqfunctions.udf.CIQ($G226, "IQ_VOLUME", AV$222),"--")</f>
        <v>0</v>
      </c>
      <c r="AW226" s="2131">
        <f>IF(AW$221,_xll.ciqfunctions.udf.CIQ($G226, "IQ_VOLUME", AW$222),"--")</f>
        <v>0</v>
      </c>
      <c r="AX226" s="2131">
        <f>IF(AX$221,_xll.ciqfunctions.udf.CIQ($G226, "IQ_VOLUME", AX$222),"--")</f>
        <v>0</v>
      </c>
      <c r="AY226" s="2131">
        <f>IF(AY$221,_xll.ciqfunctions.udf.CIQ($G226, "IQ_VOLUME", AY$222),"--")</f>
        <v>0</v>
      </c>
      <c r="AZ226" s="2131">
        <f>IF(AZ$221,_xll.ciqfunctions.udf.CIQ($G226, "IQ_VOLUME", AZ$222),"--")</f>
        <v>0</v>
      </c>
      <c r="BA226" s="2131">
        <f>IF(BA$221,_xll.ciqfunctions.udf.CIQ($G226, "IQ_VOLUME", BA$222),"--")</f>
        <v>0</v>
      </c>
      <c r="BB226" s="2131">
        <f>IF(BB$221,_xll.ciqfunctions.udf.CIQ($G226, "IQ_VOLUME", BB$222),"--")</f>
        <v>0</v>
      </c>
      <c r="BC226" s="2131">
        <f>IF(BC$221,_xll.ciqfunctions.udf.CIQ($G226, "IQ_VOLUME", BC$222),"--")</f>
        <v>0</v>
      </c>
      <c r="BD226" s="2131">
        <f>IF(BD$221,_xll.ciqfunctions.udf.CIQ($G226, "IQ_VOLUME", BD$222),"--")</f>
        <v>0</v>
      </c>
      <c r="BE226" s="2131">
        <f>IF(BE$221,_xll.ciqfunctions.udf.CIQ($G226, "IQ_VOLUME", BE$222),"--")</f>
        <v>0</v>
      </c>
      <c r="BF226" s="2131">
        <f>IF(BF$221,_xll.ciqfunctions.udf.CIQ($G226, "IQ_VOLUME", BF$222),"--")</f>
        <v>0</v>
      </c>
      <c r="BG226" s="2131">
        <f>IF(BG$221,_xll.ciqfunctions.udf.CIQ($G226, "IQ_VOLUME", BG$222),"--")</f>
        <v>0</v>
      </c>
      <c r="BH226" s="2131">
        <f>IF(BH$221,_xll.ciqfunctions.udf.CIQ($G226, "IQ_VOLUME", BH$222),"--")</f>
        <v>0</v>
      </c>
      <c r="BI226" s="2131">
        <f>IF(BI$221,_xll.ciqfunctions.udf.CIQ($G226, "IQ_VOLUME", BI$222),"--")</f>
        <v>0</v>
      </c>
      <c r="BJ226" s="2131">
        <f>IF(BJ$221,_xll.ciqfunctions.udf.CIQ($G226, "IQ_VOLUME", BJ$222),"--")</f>
        <v>0</v>
      </c>
      <c r="BK226" s="2131">
        <f>IF(BK$221,_xll.ciqfunctions.udf.CIQ($G226, "IQ_VOLUME", BK$222),"--")</f>
        <v>0</v>
      </c>
      <c r="BL226" s="2131">
        <f>IF(BL$221,_xll.ciqfunctions.udf.CIQ($G226, "IQ_VOLUME", BL$222),"--")</f>
        <v>0</v>
      </c>
      <c r="BM226" s="2131">
        <f>IF(BM$221,_xll.ciqfunctions.udf.CIQ($G226, "IQ_VOLUME", BM$222),"--")</f>
        <v>0</v>
      </c>
      <c r="BN226" s="2131">
        <f>IF(BN$221,_xll.ciqfunctions.udf.CIQ($G226, "IQ_VOLUME", BN$222),"--")</f>
        <v>0</v>
      </c>
      <c r="BO226" s="2131">
        <f>IF(BO$221,_xll.ciqfunctions.udf.CIQ($G226, "IQ_VOLUME", BO$222),"--")</f>
        <v>0</v>
      </c>
      <c r="BP226" s="2131">
        <f>IF(BP$221,_xll.ciqfunctions.udf.CIQ($G226, "IQ_VOLUME", BP$222),"--")</f>
        <v>0</v>
      </c>
      <c r="BQ226" s="2131">
        <f>IF(BQ$221,_xll.ciqfunctions.udf.CIQ($G226, "IQ_VOLUME", BQ$222),"--")</f>
        <v>0</v>
      </c>
      <c r="BR226" s="2131">
        <f>IF(BR$221,_xll.ciqfunctions.udf.CIQ($G226, "IQ_VOLUME", BR$222),"--")</f>
        <v>0</v>
      </c>
      <c r="BS226" s="2131">
        <f>IF(BS$221,_xll.ciqfunctions.udf.CIQ($G226, "IQ_VOLUME", BS$222),"--")</f>
        <v>0</v>
      </c>
      <c r="BT226" s="2131">
        <f>IF(BT$221,_xll.ciqfunctions.udf.CIQ($G226, "IQ_VOLUME", BT$222),"--")</f>
        <v>0</v>
      </c>
      <c r="BU226" s="2131">
        <f>IF(BU$221,_xll.ciqfunctions.udf.CIQ($G226, "IQ_VOLUME", BU$222),"--")</f>
        <v>0</v>
      </c>
      <c r="BV226" s="2131">
        <f>IF(BV$221,_xll.ciqfunctions.udf.CIQ($G226, "IQ_VOLUME", BV$222),"--")</f>
        <v>0</v>
      </c>
      <c r="BW226" s="2131">
        <f>IF(BW$221,_xll.ciqfunctions.udf.CIQ($G226, "IQ_VOLUME", BW$222),"--")</f>
        <v>0</v>
      </c>
      <c r="BX226" s="2131">
        <f>IF(BX$221,_xll.ciqfunctions.udf.CIQ($G226, "IQ_VOLUME", BX$222),"--")</f>
        <v>0</v>
      </c>
      <c r="BY226" s="2131">
        <f>IF(BY$221,_xll.ciqfunctions.udf.CIQ($G226, "IQ_VOLUME", BY$222),"--")</f>
        <v>0</v>
      </c>
      <c r="BZ226" s="2131">
        <f>IF(BZ$221,_xll.ciqfunctions.udf.CIQ($G226, "IQ_VOLUME", BZ$222),"--")</f>
        <v>0</v>
      </c>
      <c r="CA226" s="2131">
        <f>IF(CA$221,_xll.ciqfunctions.udf.CIQ($G226, "IQ_VOLUME", CA$222),"--")</f>
        <v>0</v>
      </c>
      <c r="CB226" s="2131">
        <f>IF(CB$221,_xll.ciqfunctions.udf.CIQ($G226, "IQ_VOLUME", CB$222),"--")</f>
        <v>0</v>
      </c>
      <c r="CC226" s="2131">
        <f>IF(CC$221,_xll.ciqfunctions.udf.CIQ($G226, "IQ_VOLUME", CC$222),"--")</f>
        <v>0</v>
      </c>
      <c r="CD226" s="2131">
        <f>IF(CD$221,_xll.ciqfunctions.udf.CIQ($G226, "IQ_VOLUME", CD$222),"--")</f>
        <v>0</v>
      </c>
      <c r="CE226" s="2131">
        <f>IF(CE$221,_xll.ciqfunctions.udf.CIQ($G226, "IQ_VOLUME", CE$222),"--")</f>
        <v>0</v>
      </c>
      <c r="CF226" s="2131">
        <f>IF(CF$221,_xll.ciqfunctions.udf.CIQ($G226, "IQ_VOLUME", CF$222),"--")</f>
        <v>0</v>
      </c>
      <c r="CG226" s="2131">
        <f>IF(CG$221,_xll.ciqfunctions.udf.CIQ($G226, "IQ_VOLUME", CG$222),"--")</f>
        <v>0</v>
      </c>
      <c r="CH226" s="2131">
        <f>IF(CH$221,_xll.ciqfunctions.udf.CIQ($G226, "IQ_VOLUME", CH$222),"--")</f>
        <v>0</v>
      </c>
      <c r="CI226" s="2131">
        <f>IF(CI$221,_xll.ciqfunctions.udf.CIQ($G226, "IQ_VOLUME", CI$222),"--")</f>
        <v>0</v>
      </c>
      <c r="CJ226" s="2131">
        <f>IF(CJ$221,_xll.ciqfunctions.udf.CIQ($G226, "IQ_VOLUME", CJ$222),"--")</f>
        <v>0</v>
      </c>
      <c r="CK226" s="2131">
        <f>IF(CK$221,_xll.ciqfunctions.udf.CIQ($G226, "IQ_VOLUME", CK$222),"--")</f>
        <v>0</v>
      </c>
      <c r="CL226" s="2131">
        <f>IF(CL$221,_xll.ciqfunctions.udf.CIQ($G226, "IQ_VOLUME", CL$222),"--")</f>
        <v>0</v>
      </c>
      <c r="CM226" s="2131">
        <f>IF(CM$221,_xll.ciqfunctions.udf.CIQ($G226, "IQ_VOLUME", CM$222),"--")</f>
        <v>0</v>
      </c>
      <c r="CN226" s="2131">
        <f>IF(CN$221,_xll.ciqfunctions.udf.CIQ($G226, "IQ_VOLUME", CN$222),"--")</f>
        <v>0</v>
      </c>
      <c r="CO226" s="2131">
        <f>IF(CO$221,_xll.ciqfunctions.udf.CIQ($G226, "IQ_VOLUME", CO$222),"--")</f>
        <v>0</v>
      </c>
      <c r="CP226" s="2131">
        <f>IF(CP$221,_xll.ciqfunctions.udf.CIQ($G226, "IQ_VOLUME", CP$222),"--")</f>
        <v>0</v>
      </c>
      <c r="CQ226" s="2131">
        <f>IF(CQ$221,_xll.ciqfunctions.udf.CIQ($G226, "IQ_VOLUME", CQ$222),"--")</f>
        <v>0</v>
      </c>
      <c r="CR226" s="2131">
        <f>IF(CR$221,_xll.ciqfunctions.udf.CIQ($G226, "IQ_VOLUME", CR$222),"--")</f>
        <v>0</v>
      </c>
      <c r="CS226" s="2131">
        <f>IF(CS$221,_xll.ciqfunctions.udf.CIQ($G226, "IQ_VOLUME", CS$222),"--")</f>
        <v>0</v>
      </c>
      <c r="CT226" s="2131">
        <f>IF(CT$221,_xll.ciqfunctions.udf.CIQ($G226, "IQ_VOLUME", CT$222),"--")</f>
        <v>0</v>
      </c>
      <c r="CU226" s="2131">
        <f>IF(CU$221,_xll.ciqfunctions.udf.CIQ($G226, "IQ_VOLUME", CU$222),"--")</f>
        <v>0</v>
      </c>
      <c r="CV226" s="2131">
        <f>IF(CV$221,_xll.ciqfunctions.udf.CIQ($G226, "IQ_VOLUME", CV$222),"--")</f>
        <v>0</v>
      </c>
      <c r="CW226" s="2131">
        <f>IF(CW$221,_xll.ciqfunctions.udf.CIQ($G226, "IQ_VOLUME", CW$222),"--")</f>
        <v>0</v>
      </c>
      <c r="CX226" s="2131">
        <f>IF(CX$221,_xll.ciqfunctions.udf.CIQ($G226, "IQ_VOLUME", CX$222),"--")</f>
        <v>0</v>
      </c>
      <c r="CY226" s="2131">
        <f>IF(CY$221,_xll.ciqfunctions.udf.CIQ($G226, "IQ_VOLUME", CY$222),"--")</f>
        <v>0</v>
      </c>
      <c r="CZ226" s="2131">
        <f>IF(CZ$221,_xll.ciqfunctions.udf.CIQ($G226, "IQ_VOLUME", CZ$222),"--")</f>
        <v>0</v>
      </c>
      <c r="DA226" s="2131">
        <f>IF(DA$221,_xll.ciqfunctions.udf.CIQ($G226, "IQ_VOLUME", DA$222),"--")</f>
        <v>0</v>
      </c>
      <c r="DB226" s="2131">
        <f>IF(DB$221,_xll.ciqfunctions.udf.CIQ($G226, "IQ_VOLUME", DB$222),"--")</f>
        <v>0</v>
      </c>
      <c r="DC226" s="2131">
        <f>IF(DC$221,_xll.ciqfunctions.udf.CIQ($G226, "IQ_VOLUME", DC$222),"--")</f>
        <v>0</v>
      </c>
      <c r="DD226" s="2131">
        <f>IF(DD$221,_xll.ciqfunctions.udf.CIQ($G226, "IQ_VOLUME", DD$222),"--")</f>
        <v>0</v>
      </c>
      <c r="DE226" s="2131">
        <f>IF(DE$221,_xll.ciqfunctions.udf.CIQ($G226, "IQ_VOLUME", DE$222),"--")</f>
        <v>0</v>
      </c>
      <c r="DF226" s="2131">
        <f>IF(DF$221,_xll.ciqfunctions.udf.CIQ($G226, "IQ_VOLUME", DF$222),"--")</f>
        <v>0</v>
      </c>
      <c r="DG226" s="2131">
        <f>IF(DG$221,_xll.ciqfunctions.udf.CIQ($G226, "IQ_VOLUME", DG$222),"--")</f>
        <v>0</v>
      </c>
      <c r="DH226" s="2131">
        <f>IF(DH$221,_xll.ciqfunctions.udf.CIQ($G226, "IQ_VOLUME", DH$222),"--")</f>
        <v>0</v>
      </c>
      <c r="DI226" s="2131">
        <f>IF(DI$221,_xll.ciqfunctions.udf.CIQ($G226, "IQ_VOLUME", DI$222),"--")</f>
        <v>0</v>
      </c>
      <c r="DJ226" s="2131">
        <f>IF(DJ$221,_xll.ciqfunctions.udf.CIQ($G226, "IQ_VOLUME", DJ$222),"--")</f>
        <v>0</v>
      </c>
      <c r="DK226" s="2131">
        <f>IF(DK$221,_xll.ciqfunctions.udf.CIQ($G226, "IQ_VOLUME", DK$222),"--")</f>
        <v>0</v>
      </c>
      <c r="DL226" s="2131">
        <f>IF(DL$221,_xll.ciqfunctions.udf.CIQ($G226, "IQ_VOLUME", DL$222),"--")</f>
        <v>0</v>
      </c>
      <c r="DM226" s="2131">
        <f>IF(DM$221,_xll.ciqfunctions.udf.CIQ($G226, "IQ_VOLUME", DM$222),"--")</f>
        <v>0</v>
      </c>
      <c r="DN226" s="2131">
        <f>IF(DN$221,_xll.ciqfunctions.udf.CIQ($G226, "IQ_VOLUME", DN$222),"--")</f>
        <v>0</v>
      </c>
      <c r="DO226" s="2131">
        <f>IF(DO$221,_xll.ciqfunctions.udf.CIQ($G226, "IQ_VOLUME", DO$222),"--")</f>
        <v>0</v>
      </c>
      <c r="DP226" s="2131">
        <f>IF(DP$221,_xll.ciqfunctions.udf.CIQ($G226, "IQ_VOLUME", DP$222),"--")</f>
        <v>0</v>
      </c>
      <c r="DQ226" s="2131">
        <f>IF(DQ$221,_xll.ciqfunctions.udf.CIQ($G226, "IQ_VOLUME", DQ$222),"--")</f>
        <v>0</v>
      </c>
      <c r="DR226" s="2131">
        <f>IF(DR$221,_xll.ciqfunctions.udf.CIQ($G226, "IQ_VOLUME", DR$222),"--")</f>
        <v>0</v>
      </c>
      <c r="DS226" s="2131">
        <f>IF(DS$221,_xll.ciqfunctions.udf.CIQ($G226, "IQ_VOLUME", DS$222),"--")</f>
        <v>0</v>
      </c>
      <c r="DT226" s="2131">
        <f>IF(DT$221,_xll.ciqfunctions.udf.CIQ($G226, "IQ_VOLUME", DT$222),"--")</f>
        <v>0</v>
      </c>
      <c r="DU226" s="2131">
        <f>IF(DU$221,_xll.ciqfunctions.udf.CIQ($G226, "IQ_VOLUME", DU$222),"--")</f>
        <v>0</v>
      </c>
      <c r="DV226" s="2131">
        <f>IF(DV$221,_xll.ciqfunctions.udf.CIQ($G226, "IQ_VOLUME", DV$222),"--")</f>
        <v>0</v>
      </c>
      <c r="DW226" s="2131">
        <f>IF(DW$221,_xll.ciqfunctions.udf.CIQ($G226, "IQ_VOLUME", DW$222),"--")</f>
        <v>0</v>
      </c>
      <c r="DX226" s="2131">
        <f>IF(DX$221,_xll.ciqfunctions.udf.CIQ($G226, "IQ_VOLUME", DX$222),"--")</f>
        <v>0</v>
      </c>
      <c r="DY226" s="2131">
        <f>IF(DY$221,_xll.ciqfunctions.udf.CIQ($G226, "IQ_VOLUME", DY$222),"--")</f>
        <v>0</v>
      </c>
      <c r="DZ226" s="2131">
        <f>IF(DZ$221,_xll.ciqfunctions.udf.CIQ($G226, "IQ_VOLUME", DZ$222),"--")</f>
        <v>0</v>
      </c>
      <c r="EA226" s="2131">
        <f>IF(EA$221,_xll.ciqfunctions.udf.CIQ($G226, "IQ_VOLUME", EA$222),"--")</f>
        <v>0</v>
      </c>
      <c r="EB226" s="2131">
        <f>IF(EB$221,_xll.ciqfunctions.udf.CIQ($G226, "IQ_VOLUME", EB$222),"--")</f>
        <v>0</v>
      </c>
      <c r="EC226" s="2131">
        <f>IF(EC$221,_xll.ciqfunctions.udf.CIQ($G226, "IQ_VOLUME", EC$222),"--")</f>
        <v>0</v>
      </c>
      <c r="ED226" s="2131">
        <f>IF(ED$221,_xll.ciqfunctions.udf.CIQ($G226, "IQ_VOLUME", ED$222),"--")</f>
        <v>0</v>
      </c>
      <c r="EE226" s="2131">
        <f>IF(EE$221,_xll.ciqfunctions.udf.CIQ($G226, "IQ_VOLUME", EE$222),"--")</f>
        <v>0</v>
      </c>
      <c r="EF226" s="2131">
        <f>IF(EF$221,_xll.ciqfunctions.udf.CIQ($G226, "IQ_VOLUME", EF$222),"--")</f>
        <v>0</v>
      </c>
      <c r="EG226" s="2131">
        <f>IF(EG$221,_xll.ciqfunctions.udf.CIQ($G226, "IQ_VOLUME", EG$222),"--")</f>
        <v>0</v>
      </c>
      <c r="EH226" s="2131">
        <f>IF(EH$221,_xll.ciqfunctions.udf.CIQ($G226, "IQ_VOLUME", EH$222),"--")</f>
        <v>0</v>
      </c>
      <c r="EI226" s="2131">
        <f>IF(EI$221,_xll.ciqfunctions.udf.CIQ($G226, "IQ_VOLUME", EI$222),"--")</f>
        <v>0</v>
      </c>
      <c r="EJ226" s="2131">
        <f>IF(EJ$221,_xll.ciqfunctions.udf.CIQ($G226, "IQ_VOLUME", EJ$222),"--")</f>
        <v>0</v>
      </c>
      <c r="EK226" s="2131">
        <f>IF(EK$221,_xll.ciqfunctions.udf.CIQ($G226, "IQ_VOLUME", EK$222),"--")</f>
        <v>0</v>
      </c>
      <c r="EL226" s="2131">
        <f>IF(EL$221,_xll.ciqfunctions.udf.CIQ($G226, "IQ_VOLUME", EL$222),"--")</f>
        <v>0</v>
      </c>
      <c r="EM226" s="2131">
        <f>IF(EM$221,_xll.ciqfunctions.udf.CIQ($G226, "IQ_VOLUME", EM$222),"--")</f>
        <v>0</v>
      </c>
      <c r="EN226" s="2131">
        <f>IF(EN$221,_xll.ciqfunctions.udf.CIQ($G226, "IQ_VOLUME", EN$222),"--")</f>
        <v>0</v>
      </c>
      <c r="EO226" s="2131">
        <f>IF(EO$221,_xll.ciqfunctions.udf.CIQ($G226, "IQ_VOLUME", EO$222),"--")</f>
        <v>0</v>
      </c>
      <c r="EP226" s="2131">
        <f>IF(EP$221,_xll.ciqfunctions.udf.CIQ($G226, "IQ_VOLUME", EP$222),"--")</f>
        <v>0</v>
      </c>
      <c r="EQ226" s="2131">
        <f>IF(EQ$221,_xll.ciqfunctions.udf.CIQ($G226, "IQ_VOLUME", EQ$222),"--")</f>
        <v>0</v>
      </c>
      <c r="ER226" s="2131">
        <f>IF(ER$221,_xll.ciqfunctions.udf.CIQ($G226, "IQ_VOLUME", ER$222),"--")</f>
        <v>0</v>
      </c>
      <c r="ES226" s="2131">
        <f>IF(ES$221,_xll.ciqfunctions.udf.CIQ($G226, "IQ_VOLUME", ES$222),"--")</f>
        <v>0</v>
      </c>
      <c r="ET226" s="2131">
        <f>IF(ET$221,_xll.ciqfunctions.udf.CIQ($G226, "IQ_VOLUME", ET$222),"--")</f>
        <v>0</v>
      </c>
      <c r="EU226" s="2131">
        <f>IF(EU$221,_xll.ciqfunctions.udf.CIQ($G226, "IQ_VOLUME", EU$222),"--")</f>
        <v>0</v>
      </c>
      <c r="EV226" s="2131">
        <f>IF(EV$221,_xll.ciqfunctions.udf.CIQ($G226, "IQ_VOLUME", EV$222),"--")</f>
        <v>0</v>
      </c>
      <c r="EW226" s="2131">
        <f>IF(EW$221,_xll.ciqfunctions.udf.CIQ($G226, "IQ_VOLUME", EW$222),"--")</f>
        <v>0</v>
      </c>
      <c r="EX226" s="2131">
        <f>IF(EX$221,_xll.ciqfunctions.udf.CIQ($G226, "IQ_VOLUME", EX$222),"--")</f>
        <v>0</v>
      </c>
      <c r="EY226" s="2131">
        <f>IF(EY$221,_xll.ciqfunctions.udf.CIQ($G226, "IQ_VOLUME", EY$222),"--")</f>
        <v>0</v>
      </c>
      <c r="EZ226" s="2131">
        <f>IF(EZ$221,_xll.ciqfunctions.udf.CIQ($G226, "IQ_VOLUME", EZ$222),"--")</f>
        <v>0</v>
      </c>
      <c r="FA226" s="2131">
        <f>IF(FA$221,_xll.ciqfunctions.udf.CIQ($G226, "IQ_VOLUME", FA$222),"--")</f>
        <v>0</v>
      </c>
      <c r="FB226" s="2131">
        <f>IF(FB$221,_xll.ciqfunctions.udf.CIQ($G226, "IQ_VOLUME", FB$222),"--")</f>
        <v>0</v>
      </c>
      <c r="FC226" s="2131">
        <f>IF(FC$221,_xll.ciqfunctions.udf.CIQ($G226, "IQ_VOLUME", FC$222),"--")</f>
        <v>0</v>
      </c>
      <c r="FD226" s="2131">
        <f>IF(FD$221,_xll.ciqfunctions.udf.CIQ($G226, "IQ_VOLUME", FD$222),"--")</f>
        <v>0</v>
      </c>
      <c r="FE226" s="2131">
        <f>IF(FE$221,_xll.ciqfunctions.udf.CIQ($G226, "IQ_VOLUME", FE$222),"--")</f>
        <v>0</v>
      </c>
      <c r="FF226" s="2131">
        <f>IF(FF$221,_xll.ciqfunctions.udf.CIQ($G226, "IQ_VOLUME", FF$222),"--")</f>
        <v>0</v>
      </c>
      <c r="FG226" s="2131">
        <f>IF(FG$221,_xll.ciqfunctions.udf.CIQ($G226, "IQ_VOLUME", FG$222),"--")</f>
        <v>0</v>
      </c>
      <c r="FH226" s="2131">
        <f>IF(FH$221,_xll.ciqfunctions.udf.CIQ($G226, "IQ_VOLUME", FH$222),"--")</f>
        <v>0</v>
      </c>
      <c r="FI226" s="2131">
        <f>IF(FI$221,_xll.ciqfunctions.udf.CIQ($G226, "IQ_VOLUME", FI$222),"--")</f>
        <v>0</v>
      </c>
      <c r="FJ226" s="2131">
        <f>IF(FJ$221,_xll.ciqfunctions.udf.CIQ($G226, "IQ_VOLUME", FJ$222),"--")</f>
        <v>0</v>
      </c>
      <c r="FK226" s="2131">
        <f>IF(FK$221,_xll.ciqfunctions.udf.CIQ($G226, "IQ_VOLUME", FK$222),"--")</f>
        <v>0</v>
      </c>
      <c r="FL226" s="2131">
        <f>IF(FL$221,_xll.ciqfunctions.udf.CIQ($G226, "IQ_VOLUME", FL$222),"--")</f>
        <v>0</v>
      </c>
      <c r="FM226" s="2131">
        <f>IF(FM$221,_xll.ciqfunctions.udf.CIQ($G226, "IQ_VOLUME", FM$222),"--")</f>
        <v>0</v>
      </c>
      <c r="FN226" s="2131">
        <f>IF(FN$221,_xll.ciqfunctions.udf.CIQ($G226, "IQ_VOLUME", FN$222),"--")</f>
        <v>0</v>
      </c>
      <c r="FO226" s="2131">
        <f>IF(FO$221,_xll.ciqfunctions.udf.CIQ($G226, "IQ_VOLUME", FO$222),"--")</f>
        <v>0</v>
      </c>
      <c r="FP226" s="2131">
        <f>IF(FP$221,_xll.ciqfunctions.udf.CIQ($G226, "IQ_VOLUME", FP$222),"--")</f>
        <v>0</v>
      </c>
      <c r="FQ226" s="2131">
        <f>IF(FQ$221,_xll.ciqfunctions.udf.CIQ($G226, "IQ_VOLUME", FQ$222),"--")</f>
        <v>0</v>
      </c>
      <c r="FR226" s="2131">
        <f>IF(FR$221,_xll.ciqfunctions.udf.CIQ($G226, "IQ_VOLUME", FR$222),"--")</f>
        <v>0</v>
      </c>
      <c r="FS226" s="2131">
        <f>IF(FS$221,_xll.ciqfunctions.udf.CIQ($G226, "IQ_VOLUME", FS$222),"--")</f>
        <v>0</v>
      </c>
      <c r="FT226" s="2131">
        <f>IF(FT$221,_xll.ciqfunctions.udf.CIQ($G226, "IQ_VOLUME", FT$222),"--")</f>
        <v>0</v>
      </c>
      <c r="FU226" s="2131">
        <f>IF(FU$221,_xll.ciqfunctions.udf.CIQ($G226, "IQ_VOLUME", FU$222),"--")</f>
        <v>0</v>
      </c>
      <c r="FV226" s="2131">
        <f>IF(FV$221,_xll.ciqfunctions.udf.CIQ($G226, "IQ_VOLUME", FV$222),"--")</f>
        <v>0</v>
      </c>
      <c r="FW226" s="2131">
        <f>IF(FW$221,_xll.ciqfunctions.udf.CIQ($G226, "IQ_VOLUME", FW$222),"--")</f>
        <v>0</v>
      </c>
      <c r="FX226" s="2131">
        <f>IF(FX$221,_xll.ciqfunctions.udf.CIQ($G226, "IQ_VOLUME", FX$222),"--")</f>
        <v>0</v>
      </c>
      <c r="FY226" s="2131">
        <f>IF(FY$221,_xll.ciqfunctions.udf.CIQ($G226, "IQ_VOLUME", FY$222),"--")</f>
        <v>0</v>
      </c>
      <c r="FZ226" s="2131">
        <f>IF(FZ$221,_xll.ciqfunctions.udf.CIQ($G226, "IQ_VOLUME", FZ$222),"--")</f>
        <v>0</v>
      </c>
      <c r="GA226" s="2131">
        <f>IF(GA$221,_xll.ciqfunctions.udf.CIQ($G226, "IQ_VOLUME", GA$222),"--")</f>
        <v>0</v>
      </c>
      <c r="GB226" s="2131">
        <f>IF(GB$221,_xll.ciqfunctions.udf.CIQ($G226, "IQ_VOLUME", GB$222),"--")</f>
        <v>0</v>
      </c>
      <c r="GC226" s="2131">
        <f>IF(GC$221,_xll.ciqfunctions.udf.CIQ($G226, "IQ_VOLUME", GC$222),"--")</f>
        <v>0</v>
      </c>
      <c r="GD226" s="2131">
        <f>IF(GD$221,_xll.ciqfunctions.udf.CIQ($G226, "IQ_VOLUME", GD$222),"--")</f>
        <v>0</v>
      </c>
      <c r="GE226" s="2131">
        <f>IF(GE$221,_xll.ciqfunctions.udf.CIQ($G226, "IQ_VOLUME", GE$222),"--")</f>
        <v>0</v>
      </c>
      <c r="GF226" s="2131">
        <f>IF(GF$221,_xll.ciqfunctions.udf.CIQ($G226, "IQ_VOLUME", GF$222),"--")</f>
        <v>0</v>
      </c>
      <c r="GG226" s="2131">
        <f>IF(GG$221,_xll.ciqfunctions.udf.CIQ($G226, "IQ_VOLUME", GG$222),"--")</f>
        <v>0</v>
      </c>
      <c r="GH226" s="2131">
        <f>IF(GH$221,_xll.ciqfunctions.udf.CIQ($G226, "IQ_VOLUME", GH$222),"--")</f>
        <v>0</v>
      </c>
      <c r="GI226" s="2131">
        <f>IF(GI$221,_xll.ciqfunctions.udf.CIQ($G226, "IQ_VOLUME", GI$222),"--")</f>
        <v>0</v>
      </c>
      <c r="GJ226" s="2131">
        <f>IF(GJ$221,_xll.ciqfunctions.udf.CIQ($G226, "IQ_VOLUME", GJ$222),"--")</f>
        <v>0</v>
      </c>
      <c r="GK226" s="2131">
        <f>IF(GK$221,_xll.ciqfunctions.udf.CIQ($G226, "IQ_VOLUME", GK$222),"--")</f>
        <v>0</v>
      </c>
      <c r="GL226" s="2131">
        <f>IF(GL$221,_xll.ciqfunctions.udf.CIQ($G226, "IQ_VOLUME", GL$222),"--")</f>
        <v>0</v>
      </c>
      <c r="GM226" s="2131">
        <f>IF(GM$221,_xll.ciqfunctions.udf.CIQ($G226, "IQ_VOLUME", GM$222),"--")</f>
        <v>0</v>
      </c>
      <c r="GN226" s="2131">
        <f>IF(GN$221,_xll.ciqfunctions.udf.CIQ($G226, "IQ_VOLUME", GN$222),"--")</f>
        <v>0</v>
      </c>
      <c r="GO226" s="2131">
        <f>IF(GO$221,_xll.ciqfunctions.udf.CIQ($G226, "IQ_VOLUME", GO$222),"--")</f>
        <v>0</v>
      </c>
      <c r="GP226" s="2131">
        <f>IF(GP$221,_xll.ciqfunctions.udf.CIQ($G226, "IQ_VOLUME", GP$222),"--")</f>
        <v>0</v>
      </c>
      <c r="GQ226" s="2131">
        <f>IF(GQ$221,_xll.ciqfunctions.udf.CIQ($G226, "IQ_VOLUME", GQ$222),"--")</f>
        <v>0</v>
      </c>
      <c r="GR226" s="2131">
        <f>IF(GR$221,_xll.ciqfunctions.udf.CIQ($G226, "IQ_VOLUME", GR$222),"--")</f>
        <v>0</v>
      </c>
      <c r="GS226" s="2131">
        <f>IF(GS$221,_xll.ciqfunctions.udf.CIQ($G226, "IQ_VOLUME", GS$222),"--")</f>
        <v>0</v>
      </c>
      <c r="GT226" s="2131">
        <f>IF(GT$221,_xll.ciqfunctions.udf.CIQ($G226, "IQ_VOLUME", GT$222),"--")</f>
        <v>0</v>
      </c>
      <c r="GU226" s="2131">
        <f>IF(GU$221,_xll.ciqfunctions.udf.CIQ($G226, "IQ_VOLUME", GU$222),"--")</f>
        <v>0</v>
      </c>
      <c r="GV226" s="2131">
        <f>IF(GV$221,_xll.ciqfunctions.udf.CIQ($G226, "IQ_VOLUME", GV$222),"--")</f>
        <v>0</v>
      </c>
      <c r="GW226" s="2131">
        <f>IF(GW$221,_xll.ciqfunctions.udf.CIQ($G226, "IQ_VOLUME", GW$222),"--")</f>
        <v>0</v>
      </c>
      <c r="GX226" s="2131">
        <f>IF(GX$221,_xll.ciqfunctions.udf.CIQ($G226, "IQ_VOLUME", GX$222),"--")</f>
        <v>0</v>
      </c>
      <c r="GY226" s="2131">
        <f>IF(GY$221,_xll.ciqfunctions.udf.CIQ($G226, "IQ_VOLUME", GY$222),"--")</f>
        <v>0</v>
      </c>
      <c r="GZ226" s="2131">
        <f>IF(GZ$221,_xll.ciqfunctions.udf.CIQ($G226, "IQ_VOLUME", GZ$222),"--")</f>
        <v>0</v>
      </c>
      <c r="HA226" s="2131">
        <f>IF(HA$221,_xll.ciqfunctions.udf.CIQ($G226, "IQ_VOLUME", HA$222),"--")</f>
        <v>0</v>
      </c>
      <c r="HB226" s="2131">
        <f>IF(HB$221,_xll.ciqfunctions.udf.CIQ($G226, "IQ_VOLUME", HB$222),"--")</f>
        <v>0</v>
      </c>
      <c r="HC226" s="2131">
        <f>IF(HC$221,_xll.ciqfunctions.udf.CIQ($G226, "IQ_VOLUME", HC$222),"--")</f>
        <v>0</v>
      </c>
      <c r="HD226" s="2131">
        <f>IF(HD$221,_xll.ciqfunctions.udf.CIQ($G226, "IQ_VOLUME", HD$222),"--")</f>
        <v>0</v>
      </c>
      <c r="HE226" s="2131">
        <f>IF(HE$221,_xll.ciqfunctions.udf.CIQ($G226, "IQ_VOLUME", HE$222),"--")</f>
        <v>0</v>
      </c>
      <c r="HF226" s="2131">
        <f>IF(HF$221,_xll.ciqfunctions.udf.CIQ($G226, "IQ_VOLUME", HF$222),"--")</f>
        <v>0</v>
      </c>
      <c r="HG226" s="2131">
        <f>IF(HG$221,_xll.ciqfunctions.udf.CIQ($G226, "IQ_VOLUME", HG$222),"--")</f>
        <v>0</v>
      </c>
      <c r="HH226" s="2131">
        <f>IF(HH$221,_xll.ciqfunctions.udf.CIQ($G226, "IQ_VOLUME", HH$222),"--")</f>
        <v>0</v>
      </c>
      <c r="HI226" s="2131">
        <f>IF(HI$221,_xll.ciqfunctions.udf.CIQ($G226, "IQ_VOLUME", HI$222),"--")</f>
        <v>0</v>
      </c>
      <c r="HJ226" s="2131">
        <f>IF(HJ$221,_xll.ciqfunctions.udf.CIQ($G226, "IQ_VOLUME", HJ$222),"--")</f>
        <v>0</v>
      </c>
      <c r="HK226" s="2131">
        <f>IF(HK$221,_xll.ciqfunctions.udf.CIQ($G226, "IQ_VOLUME", HK$222),"--")</f>
        <v>0</v>
      </c>
      <c r="HL226" s="2131">
        <f>IF(HL$221,_xll.ciqfunctions.udf.CIQ($G226, "IQ_VOLUME", HL$222),"--")</f>
        <v>0</v>
      </c>
      <c r="HM226" s="2131">
        <f>IF(HM$221,_xll.ciqfunctions.udf.CIQ($G226, "IQ_VOLUME", HM$222),"--")</f>
        <v>0</v>
      </c>
      <c r="HN226" s="2131">
        <f>IF(HN$221,_xll.ciqfunctions.udf.CIQ($G226, "IQ_VOLUME", HN$222),"--")</f>
        <v>0</v>
      </c>
      <c r="HO226" s="2131">
        <f>IF(HO$221,_xll.ciqfunctions.udf.CIQ($G226, "IQ_VOLUME", HO$222),"--")</f>
        <v>0</v>
      </c>
      <c r="HP226" s="2131">
        <f>IF(HP$221,_xll.ciqfunctions.udf.CIQ($G226, "IQ_VOLUME", HP$222),"--")</f>
        <v>0</v>
      </c>
      <c r="HQ226" s="2131">
        <f>IF(HQ$221,_xll.ciqfunctions.udf.CIQ($G226, "IQ_VOLUME", HQ$222),"--")</f>
        <v>0</v>
      </c>
      <c r="HR226" s="2131">
        <f>IF(HR$221,_xll.ciqfunctions.udf.CIQ($G226, "IQ_VOLUME", HR$222),"--")</f>
        <v>0</v>
      </c>
      <c r="HS226" s="2131">
        <f>IF(HS$221,_xll.ciqfunctions.udf.CIQ($G226, "IQ_VOLUME", HS$222),"--")</f>
        <v>0</v>
      </c>
      <c r="HT226" s="2131">
        <f>IF(HT$221,_xll.ciqfunctions.udf.CIQ($G226, "IQ_VOLUME", HT$222),"--")</f>
        <v>0</v>
      </c>
      <c r="HU226" s="2131">
        <f>IF(HU$221,_xll.ciqfunctions.udf.CIQ($G226, "IQ_VOLUME", HU$222),"--")</f>
        <v>0</v>
      </c>
      <c r="HV226" s="2131">
        <f>IF(HV$221,_xll.ciqfunctions.udf.CIQ($G226, "IQ_VOLUME", HV$222),"--")</f>
        <v>0</v>
      </c>
      <c r="HW226" s="2131">
        <f>IF(HW$221,_xll.ciqfunctions.udf.CIQ($G226, "IQ_VOLUME", HW$222),"--")</f>
        <v>0</v>
      </c>
      <c r="HX226" s="2131">
        <f>IF(HX$221,_xll.ciqfunctions.udf.CIQ($G226, "IQ_VOLUME", HX$222),"--")</f>
        <v>0</v>
      </c>
      <c r="HY226" s="2131">
        <f>IF(HY$221,_xll.ciqfunctions.udf.CIQ($G226, "IQ_VOLUME", HY$222),"--")</f>
        <v>0</v>
      </c>
      <c r="HZ226" s="2131">
        <f>IF(HZ$221,_xll.ciqfunctions.udf.CIQ($G226, "IQ_VOLUME", HZ$222),"--")</f>
        <v>0</v>
      </c>
      <c r="IA226" s="2131">
        <f>IF(IA$221,_xll.ciqfunctions.udf.CIQ($G226, "IQ_VOLUME", IA$222),"--")</f>
        <v>0</v>
      </c>
      <c r="IB226" s="2131">
        <f>IF(IB$221,_xll.ciqfunctions.udf.CIQ($G226, "IQ_VOLUME", IB$222),"--")</f>
        <v>0</v>
      </c>
      <c r="IC226" s="2131">
        <f>IF(IC$221,_xll.ciqfunctions.udf.CIQ($G226, "IQ_VOLUME", IC$222),"--")</f>
        <v>0</v>
      </c>
      <c r="ID226" s="2131">
        <f>IF(ID$221,_xll.ciqfunctions.udf.CIQ($G226, "IQ_VOLUME", ID$222),"--")</f>
        <v>0</v>
      </c>
      <c r="IE226" s="2131">
        <f>IF(IE$221,_xll.ciqfunctions.udf.CIQ($G226, "IQ_VOLUME", IE$222),"--")</f>
        <v>0</v>
      </c>
      <c r="IF226" s="2131">
        <f>IF(IF$221,_xll.ciqfunctions.udf.CIQ($G226, "IQ_VOLUME", IF$222),"--")</f>
        <v>0</v>
      </c>
      <c r="IG226" s="2131">
        <f>IF(IG$221,_xll.ciqfunctions.udf.CIQ($G226, "IQ_VOLUME", IG$222),"--")</f>
        <v>0</v>
      </c>
      <c r="IH226" s="2131">
        <f>IF(IH$221,_xll.ciqfunctions.udf.CIQ($G226, "IQ_VOLUME", IH$222),"--")</f>
        <v>0</v>
      </c>
      <c r="II226" s="2131">
        <f>IF(II$221,_xll.ciqfunctions.udf.CIQ($G226, "IQ_VOLUME", II$222),"--")</f>
        <v>0</v>
      </c>
      <c r="IJ226" s="2131">
        <f>IF(IJ$221,_xll.ciqfunctions.udf.CIQ($G226, "IQ_VOLUME", IJ$222),"--")</f>
        <v>0</v>
      </c>
      <c r="IK226" s="2131">
        <f>IF(IK$221,_xll.ciqfunctions.udf.CIQ($G226, "IQ_VOLUME", IK$222),"--")</f>
        <v>0</v>
      </c>
      <c r="IL226" s="2131">
        <f>IF(IL$221,_xll.ciqfunctions.udf.CIQ($G226, "IQ_VOLUME", IL$222),"--")</f>
        <v>0</v>
      </c>
      <c r="IM226" s="2131">
        <f>IF(IM$221,_xll.ciqfunctions.udf.CIQ($G226, "IQ_VOLUME", IM$222),"--")</f>
        <v>0</v>
      </c>
      <c r="IN226" s="2131">
        <f>IF(IN$221,_xll.ciqfunctions.udf.CIQ($G226, "IQ_VOLUME", IN$222),"--")</f>
        <v>0</v>
      </c>
      <c r="IO226" s="2131">
        <f>IF(IO$221,_xll.ciqfunctions.udf.CIQ($G226, "IQ_VOLUME", IO$222),"--")</f>
        <v>0</v>
      </c>
      <c r="IP226" s="2131">
        <f>IF(IP$221,_xll.ciqfunctions.udf.CIQ($G226, "IQ_VOLUME", IP$222),"--")</f>
        <v>0</v>
      </c>
      <c r="IQ226" s="2131">
        <f>IF(IQ$221,_xll.ciqfunctions.udf.CIQ($G226, "IQ_VOLUME", IQ$222),"--")</f>
        <v>0</v>
      </c>
      <c r="IR226" s="2131">
        <f>IF(IR$221,_xll.ciqfunctions.udf.CIQ($G226, "IQ_VOLUME", IR$222),"--")</f>
        <v>0</v>
      </c>
      <c r="IS226" s="2131">
        <f>IF(IS$221,_xll.ciqfunctions.udf.CIQ($G226, "IQ_VOLUME", IS$222),"--")</f>
        <v>0</v>
      </c>
      <c r="IT226" s="2131">
        <f>IF(IT$221,_xll.ciqfunctions.udf.CIQ($G226, "IQ_VOLUME", IT$222),"--")</f>
        <v>0</v>
      </c>
      <c r="IU226" s="2131">
        <f>IF(IU$221,_xll.ciqfunctions.udf.CIQ($G226, "IQ_VOLUME", IU$222),"--")</f>
        <v>0</v>
      </c>
      <c r="IV226" s="2131">
        <f>IF(IV$221,_xll.ciqfunctions.udf.CIQ($G226, "IQ_VOLUME", IV$222),"--")</f>
        <v>0</v>
      </c>
      <c r="IW226" s="2131">
        <f>IF(IW$221,_xll.ciqfunctions.udf.CIQ($G226, "IQ_VOLUME", IW$222),"--")</f>
        <v>0</v>
      </c>
      <c r="IX226" s="2131">
        <f>IF(IX$221,_xll.ciqfunctions.udf.CIQ($G226, "IQ_VOLUME", IX$222),"--")</f>
        <v>0</v>
      </c>
      <c r="IY226" s="2131">
        <f>IF(IY$221,_xll.ciqfunctions.udf.CIQ($G226, "IQ_VOLUME", IY$222),"--")</f>
        <v>0</v>
      </c>
      <c r="IZ226" s="2131">
        <f>IF(IZ$221,_xll.ciqfunctions.udf.CIQ($G226, "IQ_VOLUME", IZ$222),"--")</f>
        <v>0</v>
      </c>
      <c r="JA226" s="2131">
        <f>IF(JA$221,_xll.ciqfunctions.udf.CIQ($G226, "IQ_VOLUME", JA$222),"--")</f>
        <v>0</v>
      </c>
      <c r="JB226" s="2131">
        <f>IF(JB$221,_xll.ciqfunctions.udf.CIQ($G226, "IQ_VOLUME", JB$222),"--")</f>
        <v>0</v>
      </c>
      <c r="JC226" s="2131">
        <f>IF(JC$221,_xll.ciqfunctions.udf.CIQ($G226, "IQ_VOLUME", JC$222),"--")</f>
        <v>0</v>
      </c>
      <c r="JD226" s="2131">
        <f>IF(JD$221,_xll.ciqfunctions.udf.CIQ($G226, "IQ_VOLUME", JD$222),"--")</f>
        <v>0</v>
      </c>
      <c r="JE226" s="2131">
        <f>IF(JE$221,_xll.ciqfunctions.udf.CIQ($G226, "IQ_VOLUME", JE$222),"--")</f>
        <v>0</v>
      </c>
      <c r="JF226" s="2131">
        <f>IF(JF$221,_xll.ciqfunctions.udf.CIQ($G226, "IQ_VOLUME", JF$222),"--")</f>
        <v>0</v>
      </c>
      <c r="JG226" s="2131">
        <f>IF(JG$221,_xll.ciqfunctions.udf.CIQ($G226, "IQ_VOLUME", JG$222),"--")</f>
        <v>0</v>
      </c>
      <c r="JH226" s="2131">
        <f>IF(JH$221,_xll.ciqfunctions.udf.CIQ($G226, "IQ_VOLUME", JH$222),"--")</f>
        <v>0</v>
      </c>
      <c r="JI226" s="2131">
        <f>IF(JI$221,_xll.ciqfunctions.udf.CIQ($G226, "IQ_VOLUME", JI$222),"--")</f>
        <v>0</v>
      </c>
      <c r="JJ226" s="2131">
        <f>IF(JJ$221,_xll.ciqfunctions.udf.CIQ($G226, "IQ_VOLUME", JJ$222),"--")</f>
        <v>0</v>
      </c>
      <c r="JK226" s="2131">
        <f>IF(JK$221,_xll.ciqfunctions.udf.CIQ($G226, "IQ_VOLUME", JK$222),"--")</f>
        <v>0</v>
      </c>
      <c r="JL226" s="2131">
        <f>IF(JL$221,_xll.ciqfunctions.udf.CIQ($G226, "IQ_VOLUME", JL$222),"--")</f>
        <v>0</v>
      </c>
      <c r="JM226" s="2131">
        <f>IF(JM$221,_xll.ciqfunctions.udf.CIQ($G226, "IQ_VOLUME", JM$222),"--")</f>
        <v>0</v>
      </c>
      <c r="JN226" s="2131">
        <f>IF(JN$221,_xll.ciqfunctions.udf.CIQ($G226, "IQ_VOLUME", JN$222),"--")</f>
        <v>0</v>
      </c>
      <c r="JO226" s="2131">
        <f>IF(JO$221,_xll.ciqfunctions.udf.CIQ($G226, "IQ_VOLUME", JO$222),"--")</f>
        <v>0</v>
      </c>
      <c r="JP226" s="2131">
        <f>IF(JP$221,_xll.ciqfunctions.udf.CIQ($G226, "IQ_VOLUME", JP$222),"--")</f>
        <v>0</v>
      </c>
      <c r="JQ226" s="2131">
        <f>IF(JQ$221,_xll.ciqfunctions.udf.CIQ($G226, "IQ_VOLUME", JQ$222),"--")</f>
        <v>0</v>
      </c>
      <c r="JR226" s="2131">
        <f>IF(JR$221,_xll.ciqfunctions.udf.CIQ($G226, "IQ_VOLUME", JR$222),"--")</f>
        <v>0</v>
      </c>
      <c r="JS226" s="2131">
        <f>IF(JS$221,_xll.ciqfunctions.udf.CIQ($G226, "IQ_VOLUME", JS$222),"--")</f>
        <v>0</v>
      </c>
      <c r="JT226" s="2131">
        <f>IF(JT$221,_xll.ciqfunctions.udf.CIQ($G226, "IQ_VOLUME", JT$222),"--")</f>
        <v>0</v>
      </c>
      <c r="JU226" s="2131">
        <f>IF(JU$221,_xll.ciqfunctions.udf.CIQ($G226, "IQ_VOLUME", JU$222),"--")</f>
        <v>0</v>
      </c>
      <c r="JV226" s="2131">
        <f>IF(JV$221,_xll.ciqfunctions.udf.CIQ($G226, "IQ_VOLUME", JV$222),"--")</f>
        <v>0</v>
      </c>
      <c r="JW226" s="2131" t="str">
        <f>IF(JW$221,_xll.ciqfunctions.udf.CIQ($G226, "IQ_VOLUME", JW$222),"--")</f>
        <v>--</v>
      </c>
      <c r="JX226" s="2131" t="str">
        <f>IF(JX$221,_xll.ciqfunctions.udf.CIQ($G226, "IQ_VOLUME", JX$222),"--")</f>
        <v>--</v>
      </c>
      <c r="JY226" s="2131" t="str">
        <f>IF(JY$221,_xll.ciqfunctions.udf.CIQ($G226, "IQ_VOLUME", JY$222),"--")</f>
        <v>--</v>
      </c>
      <c r="JZ226" s="2131" t="str">
        <f>IF(JZ$221,_xll.ciqfunctions.udf.CIQ($G226, "IQ_VOLUME", JZ$222),"--")</f>
        <v>--</v>
      </c>
      <c r="KA226" s="2131" t="str">
        <f>IF(KA$221,_xll.ciqfunctions.udf.CIQ($G226, "IQ_VOLUME", KA$222),"--")</f>
        <v>--</v>
      </c>
      <c r="KB226" s="2131" t="str">
        <f>IF(KB$221,_xll.ciqfunctions.udf.CIQ($G226, "IQ_VOLUME", KB$222),"--")</f>
        <v>--</v>
      </c>
    </row>
    <row r="227" spans="1:288" s="89" customFormat="1" ht="13.9">
      <c r="A227" s="269" t="str">
        <f t="shared" si="47"/>
        <v>n</v>
      </c>
      <c r="B227" s="2060"/>
      <c r="C227" s="72"/>
      <c r="D227" s="801"/>
      <c r="E227" s="1505">
        <v>4</v>
      </c>
      <c r="F227" s="21" t="str">
        <f>F$132</f>
        <v>--</v>
      </c>
      <c r="G227" s="2112">
        <f>G$132</f>
        <v>0</v>
      </c>
      <c r="H227" s="2112" t="str">
        <f>H$132</f>
        <v>--</v>
      </c>
      <c r="I227" s="22" t="s">
        <v>781</v>
      </c>
      <c r="J227" s="53"/>
      <c r="K227" s="2301" t="str">
        <f>IF(OR(K195=0,$G227=0),"--",IFERROR(_xll.ciqfunctions.udf.CIQ($G227,$I227,K103,Valuation_Date_GC,ReportType,DataMode,$H227,FXMode)*Scale,"--"))</f>
        <v>--</v>
      </c>
      <c r="L227" s="2301" t="str">
        <f>IF(OR(L195=0,$G227=0),"--",IFERROR(_xll.ciqfunctions.udf.CIQ($G227,$I227,L103,Valuation_Date_GC,ReportType,DataMode,$H227,FXMode)*Scale,"--"))</f>
        <v>--</v>
      </c>
      <c r="M227" s="2301" t="str">
        <f>IF(OR(M195=0,$G227=0),"--",IFERROR(_xll.ciqfunctions.udf.CIQ($G227,$I227,M103,Valuation_Date_GC,ReportType,DataMode,$H227,FXMode)*Scale,"--"))</f>
        <v>--</v>
      </c>
      <c r="N227" s="2301" t="str">
        <f>IF(OR(N195=0,$G227=0),"--",IFERROR(_xll.ciqfunctions.udf.CIQ($G227,$I227,N103,Valuation_Date_GC,ReportType,DataMode,$H227,FXMode)*Scale,"--"))</f>
        <v>--</v>
      </c>
      <c r="O227" s="1471" t="str">
        <f>IF(OR(O195=0,$G227=0),"--",IFERROR(_xll.ciqfunctions.udf.CIQ($G227,$I227,O103,Valuation_Date_GC,ReportType,DataMode,$H227,FXMode)*Scale,"--"))</f>
        <v>--</v>
      </c>
      <c r="P227" s="2301" t="str">
        <f>IF(OR(P195=0,$G227=0),"--",IFERROR(_xll.ciqfunctions.udf.CIQ($G227,$I227,P103,Valuation_Date_GC,ReportType,DataMode,$H227,FXMode)*Scale,"--"))</f>
        <v>--</v>
      </c>
      <c r="R227" s="255"/>
      <c r="T227" s="1779" t="s">
        <v>782</v>
      </c>
      <c r="U227" s="2131">
        <f>IF(U$221,_xll.ciqfunctions.udf.CIQ($G227, "IQ_VOLUME", U$222),"--")</f>
        <v>0</v>
      </c>
      <c r="V227" s="2131">
        <f>IF(V$221,_xll.ciqfunctions.udf.CIQ($G227, "IQ_VOLUME", V$222),"--")</f>
        <v>0</v>
      </c>
      <c r="W227" s="2131">
        <f>IF(W$221,_xll.ciqfunctions.udf.CIQ($G227, "IQ_VOLUME", W$222),"--")</f>
        <v>0</v>
      </c>
      <c r="X227" s="2131">
        <f>IF(X$221,_xll.ciqfunctions.udf.CIQ($G227, "IQ_VOLUME", X$222),"--")</f>
        <v>0</v>
      </c>
      <c r="Y227" s="2131">
        <f>IF(Y$221,_xll.ciqfunctions.udf.CIQ($G227, "IQ_VOLUME", Y$222),"--")</f>
        <v>0</v>
      </c>
      <c r="Z227" s="2131">
        <f>IF(Z$221,_xll.ciqfunctions.udf.CIQ($G227, "IQ_VOLUME", Z$222),"--")</f>
        <v>0</v>
      </c>
      <c r="AA227" s="2131">
        <f>IF(AA$221,_xll.ciqfunctions.udf.CIQ($G227, "IQ_VOLUME", AA$222),"--")</f>
        <v>0</v>
      </c>
      <c r="AB227" s="2131">
        <f>IF(AB$221,_xll.ciqfunctions.udf.CIQ($G227, "IQ_VOLUME", AB$222),"--")</f>
        <v>0</v>
      </c>
      <c r="AC227" s="2131">
        <f>IF(AC$221,_xll.ciqfunctions.udf.CIQ($G227, "IQ_VOLUME", AC$222),"--")</f>
        <v>0</v>
      </c>
      <c r="AD227" s="2131">
        <f>IF(AD$221,_xll.ciqfunctions.udf.CIQ($G227, "IQ_VOLUME", AD$222),"--")</f>
        <v>0</v>
      </c>
      <c r="AE227" s="2131">
        <f>IF(AE$221,_xll.ciqfunctions.udf.CIQ($G227, "IQ_VOLUME", AE$222),"--")</f>
        <v>0</v>
      </c>
      <c r="AF227" s="2131">
        <f>IF(AF$221,_xll.ciqfunctions.udf.CIQ($G227, "IQ_VOLUME", AF$222),"--")</f>
        <v>0</v>
      </c>
      <c r="AG227" s="2131">
        <f>IF(AG$221,_xll.ciqfunctions.udf.CIQ($G227, "IQ_VOLUME", AG$222),"--")</f>
        <v>0</v>
      </c>
      <c r="AH227" s="2131">
        <f>IF(AH$221,_xll.ciqfunctions.udf.CIQ($G227, "IQ_VOLUME", AH$222),"--")</f>
        <v>0</v>
      </c>
      <c r="AI227" s="2131">
        <f>IF(AI$221,_xll.ciqfunctions.udf.CIQ($G227, "IQ_VOLUME", AI$222),"--")</f>
        <v>0</v>
      </c>
      <c r="AJ227" s="2131">
        <f>IF(AJ$221,_xll.ciqfunctions.udf.CIQ($G227, "IQ_VOLUME", AJ$222),"--")</f>
        <v>0</v>
      </c>
      <c r="AK227" s="2131">
        <f>IF(AK$221,_xll.ciqfunctions.udf.CIQ($G227, "IQ_VOLUME", AK$222),"--")</f>
        <v>0</v>
      </c>
      <c r="AL227" s="2131">
        <f>IF(AL$221,_xll.ciqfunctions.udf.CIQ($G227, "IQ_VOLUME", AL$222),"--")</f>
        <v>0</v>
      </c>
      <c r="AM227" s="2131">
        <f>IF(AM$221,_xll.ciqfunctions.udf.CIQ($G227, "IQ_VOLUME", AM$222),"--")</f>
        <v>0</v>
      </c>
      <c r="AN227" s="2131">
        <f>IF(AN$221,_xll.ciqfunctions.udf.CIQ($G227, "IQ_VOLUME", AN$222),"--")</f>
        <v>0</v>
      </c>
      <c r="AO227" s="2131">
        <f>IF(AO$221,_xll.ciqfunctions.udf.CIQ($G227, "IQ_VOLUME", AO$222),"--")</f>
        <v>0</v>
      </c>
      <c r="AP227" s="2131">
        <f>IF(AP$221,_xll.ciqfunctions.udf.CIQ($G227, "IQ_VOLUME", AP$222),"--")</f>
        <v>0</v>
      </c>
      <c r="AQ227" s="2131">
        <f>IF(AQ$221,_xll.ciqfunctions.udf.CIQ($G227, "IQ_VOLUME", AQ$222),"--")</f>
        <v>0</v>
      </c>
      <c r="AR227" s="2131">
        <f>IF(AR$221,_xll.ciqfunctions.udf.CIQ($G227, "IQ_VOLUME", AR$222),"--")</f>
        <v>0</v>
      </c>
      <c r="AS227" s="2131">
        <f>IF(AS$221,_xll.ciqfunctions.udf.CIQ($G227, "IQ_VOLUME", AS$222),"--")</f>
        <v>0</v>
      </c>
      <c r="AT227" s="2131">
        <f>IF(AT$221,_xll.ciqfunctions.udf.CIQ($G227, "IQ_VOLUME", AT$222),"--")</f>
        <v>0</v>
      </c>
      <c r="AU227" s="2131">
        <f>IF(AU$221,_xll.ciqfunctions.udf.CIQ($G227, "IQ_VOLUME", AU$222),"--")</f>
        <v>0</v>
      </c>
      <c r="AV227" s="2131">
        <f>IF(AV$221,_xll.ciqfunctions.udf.CIQ($G227, "IQ_VOLUME", AV$222),"--")</f>
        <v>0</v>
      </c>
      <c r="AW227" s="2131">
        <f>IF(AW$221,_xll.ciqfunctions.udf.CIQ($G227, "IQ_VOLUME", AW$222),"--")</f>
        <v>0</v>
      </c>
      <c r="AX227" s="2131">
        <f>IF(AX$221,_xll.ciqfunctions.udf.CIQ($G227, "IQ_VOLUME", AX$222),"--")</f>
        <v>0</v>
      </c>
      <c r="AY227" s="2131">
        <f>IF(AY$221,_xll.ciqfunctions.udf.CIQ($G227, "IQ_VOLUME", AY$222),"--")</f>
        <v>0</v>
      </c>
      <c r="AZ227" s="2131">
        <f>IF(AZ$221,_xll.ciqfunctions.udf.CIQ($G227, "IQ_VOLUME", AZ$222),"--")</f>
        <v>0</v>
      </c>
      <c r="BA227" s="2131">
        <f>IF(BA$221,_xll.ciqfunctions.udf.CIQ($G227, "IQ_VOLUME", BA$222),"--")</f>
        <v>0</v>
      </c>
      <c r="BB227" s="2131">
        <f>IF(BB$221,_xll.ciqfunctions.udf.CIQ($G227, "IQ_VOLUME", BB$222),"--")</f>
        <v>0</v>
      </c>
      <c r="BC227" s="2131">
        <f>IF(BC$221,_xll.ciqfunctions.udf.CIQ($G227, "IQ_VOLUME", BC$222),"--")</f>
        <v>0</v>
      </c>
      <c r="BD227" s="2131">
        <f>IF(BD$221,_xll.ciqfunctions.udf.CIQ($G227, "IQ_VOLUME", BD$222),"--")</f>
        <v>0</v>
      </c>
      <c r="BE227" s="2131">
        <f>IF(BE$221,_xll.ciqfunctions.udf.CIQ($G227, "IQ_VOLUME", BE$222),"--")</f>
        <v>0</v>
      </c>
      <c r="BF227" s="2131">
        <f>IF(BF$221,_xll.ciqfunctions.udf.CIQ($G227, "IQ_VOLUME", BF$222),"--")</f>
        <v>0</v>
      </c>
      <c r="BG227" s="2131">
        <f>IF(BG$221,_xll.ciqfunctions.udf.CIQ($G227, "IQ_VOLUME", BG$222),"--")</f>
        <v>0</v>
      </c>
      <c r="BH227" s="2131">
        <f>IF(BH$221,_xll.ciqfunctions.udf.CIQ($G227, "IQ_VOLUME", BH$222),"--")</f>
        <v>0</v>
      </c>
      <c r="BI227" s="2131">
        <f>IF(BI$221,_xll.ciqfunctions.udf.CIQ($G227, "IQ_VOLUME", BI$222),"--")</f>
        <v>0</v>
      </c>
      <c r="BJ227" s="2131">
        <f>IF(BJ$221,_xll.ciqfunctions.udf.CIQ($G227, "IQ_VOLUME", BJ$222),"--")</f>
        <v>0</v>
      </c>
      <c r="BK227" s="2131">
        <f>IF(BK$221,_xll.ciqfunctions.udf.CIQ($G227, "IQ_VOLUME", BK$222),"--")</f>
        <v>0</v>
      </c>
      <c r="BL227" s="2131">
        <f>IF(BL$221,_xll.ciqfunctions.udf.CIQ($G227, "IQ_VOLUME", BL$222),"--")</f>
        <v>0</v>
      </c>
      <c r="BM227" s="2131">
        <f>IF(BM$221,_xll.ciqfunctions.udf.CIQ($G227, "IQ_VOLUME", BM$222),"--")</f>
        <v>0</v>
      </c>
      <c r="BN227" s="2131">
        <f>IF(BN$221,_xll.ciqfunctions.udf.CIQ($G227, "IQ_VOLUME", BN$222),"--")</f>
        <v>0</v>
      </c>
      <c r="BO227" s="2131">
        <f>IF(BO$221,_xll.ciqfunctions.udf.CIQ($G227, "IQ_VOLUME", BO$222),"--")</f>
        <v>0</v>
      </c>
      <c r="BP227" s="2131">
        <f>IF(BP$221,_xll.ciqfunctions.udf.CIQ($G227, "IQ_VOLUME", BP$222),"--")</f>
        <v>0</v>
      </c>
      <c r="BQ227" s="2131">
        <f>IF(BQ$221,_xll.ciqfunctions.udf.CIQ($G227, "IQ_VOLUME", BQ$222),"--")</f>
        <v>0</v>
      </c>
      <c r="BR227" s="2131">
        <f>IF(BR$221,_xll.ciqfunctions.udf.CIQ($G227, "IQ_VOLUME", BR$222),"--")</f>
        <v>0</v>
      </c>
      <c r="BS227" s="2131">
        <f>IF(BS$221,_xll.ciqfunctions.udf.CIQ($G227, "IQ_VOLUME", BS$222),"--")</f>
        <v>0</v>
      </c>
      <c r="BT227" s="2131">
        <f>IF(BT$221,_xll.ciqfunctions.udf.CIQ($G227, "IQ_VOLUME", BT$222),"--")</f>
        <v>0</v>
      </c>
      <c r="BU227" s="2131">
        <f>IF(BU$221,_xll.ciqfunctions.udf.CIQ($G227, "IQ_VOLUME", BU$222),"--")</f>
        <v>0</v>
      </c>
      <c r="BV227" s="2131">
        <f>IF(BV$221,_xll.ciqfunctions.udf.CIQ($G227, "IQ_VOLUME", BV$222),"--")</f>
        <v>0</v>
      </c>
      <c r="BW227" s="2131">
        <f>IF(BW$221,_xll.ciqfunctions.udf.CIQ($G227, "IQ_VOLUME", BW$222),"--")</f>
        <v>0</v>
      </c>
      <c r="BX227" s="2131">
        <f>IF(BX$221,_xll.ciqfunctions.udf.CIQ($G227, "IQ_VOLUME", BX$222),"--")</f>
        <v>0</v>
      </c>
      <c r="BY227" s="2131">
        <f>IF(BY$221,_xll.ciqfunctions.udf.CIQ($G227, "IQ_VOLUME", BY$222),"--")</f>
        <v>0</v>
      </c>
      <c r="BZ227" s="2131">
        <f>IF(BZ$221,_xll.ciqfunctions.udf.CIQ($G227, "IQ_VOLUME", BZ$222),"--")</f>
        <v>0</v>
      </c>
      <c r="CA227" s="2131">
        <f>IF(CA$221,_xll.ciqfunctions.udf.CIQ($G227, "IQ_VOLUME", CA$222),"--")</f>
        <v>0</v>
      </c>
      <c r="CB227" s="2131">
        <f>IF(CB$221,_xll.ciqfunctions.udf.CIQ($G227, "IQ_VOLUME", CB$222),"--")</f>
        <v>0</v>
      </c>
      <c r="CC227" s="2131">
        <f>IF(CC$221,_xll.ciqfunctions.udf.CIQ($G227, "IQ_VOLUME", CC$222),"--")</f>
        <v>0</v>
      </c>
      <c r="CD227" s="2131">
        <f>IF(CD$221,_xll.ciqfunctions.udf.CIQ($G227, "IQ_VOLUME", CD$222),"--")</f>
        <v>0</v>
      </c>
      <c r="CE227" s="2131">
        <f>IF(CE$221,_xll.ciqfunctions.udf.CIQ($G227, "IQ_VOLUME", CE$222),"--")</f>
        <v>0</v>
      </c>
      <c r="CF227" s="2131">
        <f>IF(CF$221,_xll.ciqfunctions.udf.CIQ($G227, "IQ_VOLUME", CF$222),"--")</f>
        <v>0</v>
      </c>
      <c r="CG227" s="2131">
        <f>IF(CG$221,_xll.ciqfunctions.udf.CIQ($G227, "IQ_VOLUME", CG$222),"--")</f>
        <v>0</v>
      </c>
      <c r="CH227" s="2131">
        <f>IF(CH$221,_xll.ciqfunctions.udf.CIQ($G227, "IQ_VOLUME", CH$222),"--")</f>
        <v>0</v>
      </c>
      <c r="CI227" s="2131">
        <f>IF(CI$221,_xll.ciqfunctions.udf.CIQ($G227, "IQ_VOLUME", CI$222),"--")</f>
        <v>0</v>
      </c>
      <c r="CJ227" s="2131">
        <f>IF(CJ$221,_xll.ciqfunctions.udf.CIQ($G227, "IQ_VOLUME", CJ$222),"--")</f>
        <v>0</v>
      </c>
      <c r="CK227" s="2131">
        <f>IF(CK$221,_xll.ciqfunctions.udf.CIQ($G227, "IQ_VOLUME", CK$222),"--")</f>
        <v>0</v>
      </c>
      <c r="CL227" s="2131">
        <f>IF(CL$221,_xll.ciqfunctions.udf.CIQ($G227, "IQ_VOLUME", CL$222),"--")</f>
        <v>0</v>
      </c>
      <c r="CM227" s="2131">
        <f>IF(CM$221,_xll.ciqfunctions.udf.CIQ($G227, "IQ_VOLUME", CM$222),"--")</f>
        <v>0</v>
      </c>
      <c r="CN227" s="2131">
        <f>IF(CN$221,_xll.ciqfunctions.udf.CIQ($G227, "IQ_VOLUME", CN$222),"--")</f>
        <v>0</v>
      </c>
      <c r="CO227" s="2131">
        <f>IF(CO$221,_xll.ciqfunctions.udf.CIQ($G227, "IQ_VOLUME", CO$222),"--")</f>
        <v>0</v>
      </c>
      <c r="CP227" s="2131">
        <f>IF(CP$221,_xll.ciqfunctions.udf.CIQ($G227, "IQ_VOLUME", CP$222),"--")</f>
        <v>0</v>
      </c>
      <c r="CQ227" s="2131">
        <f>IF(CQ$221,_xll.ciqfunctions.udf.CIQ($G227, "IQ_VOLUME", CQ$222),"--")</f>
        <v>0</v>
      </c>
      <c r="CR227" s="2131">
        <f>IF(CR$221,_xll.ciqfunctions.udf.CIQ($G227, "IQ_VOLUME", CR$222),"--")</f>
        <v>0</v>
      </c>
      <c r="CS227" s="2131">
        <f>IF(CS$221,_xll.ciqfunctions.udf.CIQ($G227, "IQ_VOLUME", CS$222),"--")</f>
        <v>0</v>
      </c>
      <c r="CT227" s="2131">
        <f>IF(CT$221,_xll.ciqfunctions.udf.CIQ($G227, "IQ_VOLUME", CT$222),"--")</f>
        <v>0</v>
      </c>
      <c r="CU227" s="2131">
        <f>IF(CU$221,_xll.ciqfunctions.udf.CIQ($G227, "IQ_VOLUME", CU$222),"--")</f>
        <v>0</v>
      </c>
      <c r="CV227" s="2131">
        <f>IF(CV$221,_xll.ciqfunctions.udf.CIQ($G227, "IQ_VOLUME", CV$222),"--")</f>
        <v>0</v>
      </c>
      <c r="CW227" s="2131">
        <f>IF(CW$221,_xll.ciqfunctions.udf.CIQ($G227, "IQ_VOLUME", CW$222),"--")</f>
        <v>0</v>
      </c>
      <c r="CX227" s="2131">
        <f>IF(CX$221,_xll.ciqfunctions.udf.CIQ($G227, "IQ_VOLUME", CX$222),"--")</f>
        <v>0</v>
      </c>
      <c r="CY227" s="2131">
        <f>IF(CY$221,_xll.ciqfunctions.udf.CIQ($G227, "IQ_VOLUME", CY$222),"--")</f>
        <v>0</v>
      </c>
      <c r="CZ227" s="2131">
        <f>IF(CZ$221,_xll.ciqfunctions.udf.CIQ($G227, "IQ_VOLUME", CZ$222),"--")</f>
        <v>0</v>
      </c>
      <c r="DA227" s="2131">
        <f>IF(DA$221,_xll.ciqfunctions.udf.CIQ($G227, "IQ_VOLUME", DA$222),"--")</f>
        <v>0</v>
      </c>
      <c r="DB227" s="2131">
        <f>IF(DB$221,_xll.ciqfunctions.udf.CIQ($G227, "IQ_VOLUME", DB$222),"--")</f>
        <v>0</v>
      </c>
      <c r="DC227" s="2131">
        <f>IF(DC$221,_xll.ciqfunctions.udf.CIQ($G227, "IQ_VOLUME", DC$222),"--")</f>
        <v>0</v>
      </c>
      <c r="DD227" s="2131">
        <f>IF(DD$221,_xll.ciqfunctions.udf.CIQ($G227, "IQ_VOLUME", DD$222),"--")</f>
        <v>0</v>
      </c>
      <c r="DE227" s="2131">
        <f>IF(DE$221,_xll.ciqfunctions.udf.CIQ($G227, "IQ_VOLUME", DE$222),"--")</f>
        <v>0</v>
      </c>
      <c r="DF227" s="2131">
        <f>IF(DF$221,_xll.ciqfunctions.udf.CIQ($G227, "IQ_VOLUME", DF$222),"--")</f>
        <v>0</v>
      </c>
      <c r="DG227" s="2131">
        <f>IF(DG$221,_xll.ciqfunctions.udf.CIQ($G227, "IQ_VOLUME", DG$222),"--")</f>
        <v>0</v>
      </c>
      <c r="DH227" s="2131">
        <f>IF(DH$221,_xll.ciqfunctions.udf.CIQ($G227, "IQ_VOLUME", DH$222),"--")</f>
        <v>0</v>
      </c>
      <c r="DI227" s="2131">
        <f>IF(DI$221,_xll.ciqfunctions.udf.CIQ($G227, "IQ_VOLUME", DI$222),"--")</f>
        <v>0</v>
      </c>
      <c r="DJ227" s="2131">
        <f>IF(DJ$221,_xll.ciqfunctions.udf.CIQ($G227, "IQ_VOLUME", DJ$222),"--")</f>
        <v>0</v>
      </c>
      <c r="DK227" s="2131">
        <f>IF(DK$221,_xll.ciqfunctions.udf.CIQ($G227, "IQ_VOLUME", DK$222),"--")</f>
        <v>0</v>
      </c>
      <c r="DL227" s="2131">
        <f>IF(DL$221,_xll.ciqfunctions.udf.CIQ($G227, "IQ_VOLUME", DL$222),"--")</f>
        <v>0</v>
      </c>
      <c r="DM227" s="2131">
        <f>IF(DM$221,_xll.ciqfunctions.udf.CIQ($G227, "IQ_VOLUME", DM$222),"--")</f>
        <v>0</v>
      </c>
      <c r="DN227" s="2131">
        <f>IF(DN$221,_xll.ciqfunctions.udf.CIQ($G227, "IQ_VOLUME", DN$222),"--")</f>
        <v>0</v>
      </c>
      <c r="DO227" s="2131">
        <f>IF(DO$221,_xll.ciqfunctions.udf.CIQ($G227, "IQ_VOLUME", DO$222),"--")</f>
        <v>0</v>
      </c>
      <c r="DP227" s="2131">
        <f>IF(DP$221,_xll.ciqfunctions.udf.CIQ($G227, "IQ_VOLUME", DP$222),"--")</f>
        <v>0</v>
      </c>
      <c r="DQ227" s="2131">
        <f>IF(DQ$221,_xll.ciqfunctions.udf.CIQ($G227, "IQ_VOLUME", DQ$222),"--")</f>
        <v>0</v>
      </c>
      <c r="DR227" s="2131">
        <f>IF(DR$221,_xll.ciqfunctions.udf.CIQ($G227, "IQ_VOLUME", DR$222),"--")</f>
        <v>0</v>
      </c>
      <c r="DS227" s="2131">
        <f>IF(DS$221,_xll.ciqfunctions.udf.CIQ($G227, "IQ_VOLUME", DS$222),"--")</f>
        <v>0</v>
      </c>
      <c r="DT227" s="2131">
        <f>IF(DT$221,_xll.ciqfunctions.udf.CIQ($G227, "IQ_VOLUME", DT$222),"--")</f>
        <v>0</v>
      </c>
      <c r="DU227" s="2131">
        <f>IF(DU$221,_xll.ciqfunctions.udf.CIQ($G227, "IQ_VOLUME", DU$222),"--")</f>
        <v>0</v>
      </c>
      <c r="DV227" s="2131">
        <f>IF(DV$221,_xll.ciqfunctions.udf.CIQ($G227, "IQ_VOLUME", DV$222),"--")</f>
        <v>0</v>
      </c>
      <c r="DW227" s="2131">
        <f>IF(DW$221,_xll.ciqfunctions.udf.CIQ($G227, "IQ_VOLUME", DW$222),"--")</f>
        <v>0</v>
      </c>
      <c r="DX227" s="2131">
        <f>IF(DX$221,_xll.ciqfunctions.udf.CIQ($G227, "IQ_VOLUME", DX$222),"--")</f>
        <v>0</v>
      </c>
      <c r="DY227" s="2131">
        <f>IF(DY$221,_xll.ciqfunctions.udf.CIQ($G227, "IQ_VOLUME", DY$222),"--")</f>
        <v>0</v>
      </c>
      <c r="DZ227" s="2131">
        <f>IF(DZ$221,_xll.ciqfunctions.udf.CIQ($G227, "IQ_VOLUME", DZ$222),"--")</f>
        <v>0</v>
      </c>
      <c r="EA227" s="2131">
        <f>IF(EA$221,_xll.ciqfunctions.udf.CIQ($G227, "IQ_VOLUME", EA$222),"--")</f>
        <v>0</v>
      </c>
      <c r="EB227" s="2131">
        <f>IF(EB$221,_xll.ciqfunctions.udf.CIQ($G227, "IQ_VOLUME", EB$222),"--")</f>
        <v>0</v>
      </c>
      <c r="EC227" s="2131">
        <f>IF(EC$221,_xll.ciqfunctions.udf.CIQ($G227, "IQ_VOLUME", EC$222),"--")</f>
        <v>0</v>
      </c>
      <c r="ED227" s="2131">
        <f>IF(ED$221,_xll.ciqfunctions.udf.CIQ($G227, "IQ_VOLUME", ED$222),"--")</f>
        <v>0</v>
      </c>
      <c r="EE227" s="2131">
        <f>IF(EE$221,_xll.ciqfunctions.udf.CIQ($G227, "IQ_VOLUME", EE$222),"--")</f>
        <v>0</v>
      </c>
      <c r="EF227" s="2131">
        <f>IF(EF$221,_xll.ciqfunctions.udf.CIQ($G227, "IQ_VOLUME", EF$222),"--")</f>
        <v>0</v>
      </c>
      <c r="EG227" s="2131">
        <f>IF(EG$221,_xll.ciqfunctions.udf.CIQ($G227, "IQ_VOLUME", EG$222),"--")</f>
        <v>0</v>
      </c>
      <c r="EH227" s="2131">
        <f>IF(EH$221,_xll.ciqfunctions.udf.CIQ($G227, "IQ_VOLUME", EH$222),"--")</f>
        <v>0</v>
      </c>
      <c r="EI227" s="2131">
        <f>IF(EI$221,_xll.ciqfunctions.udf.CIQ($G227, "IQ_VOLUME", EI$222),"--")</f>
        <v>0</v>
      </c>
      <c r="EJ227" s="2131">
        <f>IF(EJ$221,_xll.ciqfunctions.udf.CIQ($G227, "IQ_VOLUME", EJ$222),"--")</f>
        <v>0</v>
      </c>
      <c r="EK227" s="2131">
        <f>IF(EK$221,_xll.ciqfunctions.udf.CIQ($G227, "IQ_VOLUME", EK$222),"--")</f>
        <v>0</v>
      </c>
      <c r="EL227" s="2131">
        <f>IF(EL$221,_xll.ciqfunctions.udf.CIQ($G227, "IQ_VOLUME", EL$222),"--")</f>
        <v>0</v>
      </c>
      <c r="EM227" s="2131">
        <f>IF(EM$221,_xll.ciqfunctions.udf.CIQ($G227, "IQ_VOLUME", EM$222),"--")</f>
        <v>0</v>
      </c>
      <c r="EN227" s="2131">
        <f>IF(EN$221,_xll.ciqfunctions.udf.CIQ($G227, "IQ_VOLUME", EN$222),"--")</f>
        <v>0</v>
      </c>
      <c r="EO227" s="2131">
        <f>IF(EO$221,_xll.ciqfunctions.udf.CIQ($G227, "IQ_VOLUME", EO$222),"--")</f>
        <v>0</v>
      </c>
      <c r="EP227" s="2131">
        <f>IF(EP$221,_xll.ciqfunctions.udf.CIQ($G227, "IQ_VOLUME", EP$222),"--")</f>
        <v>0</v>
      </c>
      <c r="EQ227" s="2131">
        <f>IF(EQ$221,_xll.ciqfunctions.udf.CIQ($G227, "IQ_VOLUME", EQ$222),"--")</f>
        <v>0</v>
      </c>
      <c r="ER227" s="2131">
        <f>IF(ER$221,_xll.ciqfunctions.udf.CIQ($G227, "IQ_VOLUME", ER$222),"--")</f>
        <v>0</v>
      </c>
      <c r="ES227" s="2131">
        <f>IF(ES$221,_xll.ciqfunctions.udf.CIQ($G227, "IQ_VOLUME", ES$222),"--")</f>
        <v>0</v>
      </c>
      <c r="ET227" s="2131">
        <f>IF(ET$221,_xll.ciqfunctions.udf.CIQ($G227, "IQ_VOLUME", ET$222),"--")</f>
        <v>0</v>
      </c>
      <c r="EU227" s="2131">
        <f>IF(EU$221,_xll.ciqfunctions.udf.CIQ($G227, "IQ_VOLUME", EU$222),"--")</f>
        <v>0</v>
      </c>
      <c r="EV227" s="2131">
        <f>IF(EV$221,_xll.ciqfunctions.udf.CIQ($G227, "IQ_VOLUME", EV$222),"--")</f>
        <v>0</v>
      </c>
      <c r="EW227" s="2131">
        <f>IF(EW$221,_xll.ciqfunctions.udf.CIQ($G227, "IQ_VOLUME", EW$222),"--")</f>
        <v>0</v>
      </c>
      <c r="EX227" s="2131">
        <f>IF(EX$221,_xll.ciqfunctions.udf.CIQ($G227, "IQ_VOLUME", EX$222),"--")</f>
        <v>0</v>
      </c>
      <c r="EY227" s="2131">
        <f>IF(EY$221,_xll.ciqfunctions.udf.CIQ($G227, "IQ_VOLUME", EY$222),"--")</f>
        <v>0</v>
      </c>
      <c r="EZ227" s="2131">
        <f>IF(EZ$221,_xll.ciqfunctions.udf.CIQ($G227, "IQ_VOLUME", EZ$222),"--")</f>
        <v>0</v>
      </c>
      <c r="FA227" s="2131">
        <f>IF(FA$221,_xll.ciqfunctions.udf.CIQ($G227, "IQ_VOLUME", FA$222),"--")</f>
        <v>0</v>
      </c>
      <c r="FB227" s="2131">
        <f>IF(FB$221,_xll.ciqfunctions.udf.CIQ($G227, "IQ_VOLUME", FB$222),"--")</f>
        <v>0</v>
      </c>
      <c r="FC227" s="2131">
        <f>IF(FC$221,_xll.ciqfunctions.udf.CIQ($G227, "IQ_VOLUME", FC$222),"--")</f>
        <v>0</v>
      </c>
      <c r="FD227" s="2131">
        <f>IF(FD$221,_xll.ciqfunctions.udf.CIQ($G227, "IQ_VOLUME", FD$222),"--")</f>
        <v>0</v>
      </c>
      <c r="FE227" s="2131">
        <f>IF(FE$221,_xll.ciqfunctions.udf.CIQ($G227, "IQ_VOLUME", FE$222),"--")</f>
        <v>0</v>
      </c>
      <c r="FF227" s="2131">
        <f>IF(FF$221,_xll.ciqfunctions.udf.CIQ($G227, "IQ_VOLUME", FF$222),"--")</f>
        <v>0</v>
      </c>
      <c r="FG227" s="2131">
        <f>IF(FG$221,_xll.ciqfunctions.udf.CIQ($G227, "IQ_VOLUME", FG$222),"--")</f>
        <v>0</v>
      </c>
      <c r="FH227" s="2131">
        <f>IF(FH$221,_xll.ciqfunctions.udf.CIQ($G227, "IQ_VOLUME", FH$222),"--")</f>
        <v>0</v>
      </c>
      <c r="FI227" s="2131">
        <f>IF(FI$221,_xll.ciqfunctions.udf.CIQ($G227, "IQ_VOLUME", FI$222),"--")</f>
        <v>0</v>
      </c>
      <c r="FJ227" s="2131">
        <f>IF(FJ$221,_xll.ciqfunctions.udf.CIQ($G227, "IQ_VOLUME", FJ$222),"--")</f>
        <v>0</v>
      </c>
      <c r="FK227" s="2131">
        <f>IF(FK$221,_xll.ciqfunctions.udf.CIQ($G227, "IQ_VOLUME", FK$222),"--")</f>
        <v>0</v>
      </c>
      <c r="FL227" s="2131">
        <f>IF(FL$221,_xll.ciqfunctions.udf.CIQ($G227, "IQ_VOLUME", FL$222),"--")</f>
        <v>0</v>
      </c>
      <c r="FM227" s="2131">
        <f>IF(FM$221,_xll.ciqfunctions.udf.CIQ($G227, "IQ_VOLUME", FM$222),"--")</f>
        <v>0</v>
      </c>
      <c r="FN227" s="2131">
        <f>IF(FN$221,_xll.ciqfunctions.udf.CIQ($G227, "IQ_VOLUME", FN$222),"--")</f>
        <v>0</v>
      </c>
      <c r="FO227" s="2131">
        <f>IF(FO$221,_xll.ciqfunctions.udf.CIQ($G227, "IQ_VOLUME", FO$222),"--")</f>
        <v>0</v>
      </c>
      <c r="FP227" s="2131">
        <f>IF(FP$221,_xll.ciqfunctions.udf.CIQ($G227, "IQ_VOLUME", FP$222),"--")</f>
        <v>0</v>
      </c>
      <c r="FQ227" s="2131">
        <f>IF(FQ$221,_xll.ciqfunctions.udf.CIQ($G227, "IQ_VOLUME", FQ$222),"--")</f>
        <v>0</v>
      </c>
      <c r="FR227" s="2131">
        <f>IF(FR$221,_xll.ciqfunctions.udf.CIQ($G227, "IQ_VOLUME", FR$222),"--")</f>
        <v>0</v>
      </c>
      <c r="FS227" s="2131">
        <f>IF(FS$221,_xll.ciqfunctions.udf.CIQ($G227, "IQ_VOLUME", FS$222),"--")</f>
        <v>0</v>
      </c>
      <c r="FT227" s="2131">
        <f>IF(FT$221,_xll.ciqfunctions.udf.CIQ($G227, "IQ_VOLUME", FT$222),"--")</f>
        <v>0</v>
      </c>
      <c r="FU227" s="2131">
        <f>IF(FU$221,_xll.ciqfunctions.udf.CIQ($G227, "IQ_VOLUME", FU$222),"--")</f>
        <v>0</v>
      </c>
      <c r="FV227" s="2131">
        <f>IF(FV$221,_xll.ciqfunctions.udf.CIQ($G227, "IQ_VOLUME", FV$222),"--")</f>
        <v>0</v>
      </c>
      <c r="FW227" s="2131">
        <f>IF(FW$221,_xll.ciqfunctions.udf.CIQ($G227, "IQ_VOLUME", FW$222),"--")</f>
        <v>0</v>
      </c>
      <c r="FX227" s="2131">
        <f>IF(FX$221,_xll.ciqfunctions.udf.CIQ($G227, "IQ_VOLUME", FX$222),"--")</f>
        <v>0</v>
      </c>
      <c r="FY227" s="2131">
        <f>IF(FY$221,_xll.ciqfunctions.udf.CIQ($G227, "IQ_VOLUME", FY$222),"--")</f>
        <v>0</v>
      </c>
      <c r="FZ227" s="2131">
        <f>IF(FZ$221,_xll.ciqfunctions.udf.CIQ($G227, "IQ_VOLUME", FZ$222),"--")</f>
        <v>0</v>
      </c>
      <c r="GA227" s="2131">
        <f>IF(GA$221,_xll.ciqfunctions.udf.CIQ($G227, "IQ_VOLUME", GA$222),"--")</f>
        <v>0</v>
      </c>
      <c r="GB227" s="2131">
        <f>IF(GB$221,_xll.ciqfunctions.udf.CIQ($G227, "IQ_VOLUME", GB$222),"--")</f>
        <v>0</v>
      </c>
      <c r="GC227" s="2131">
        <f>IF(GC$221,_xll.ciqfunctions.udf.CIQ($G227, "IQ_VOLUME", GC$222),"--")</f>
        <v>0</v>
      </c>
      <c r="GD227" s="2131">
        <f>IF(GD$221,_xll.ciqfunctions.udf.CIQ($G227, "IQ_VOLUME", GD$222),"--")</f>
        <v>0</v>
      </c>
      <c r="GE227" s="2131">
        <f>IF(GE$221,_xll.ciqfunctions.udf.CIQ($G227, "IQ_VOLUME", GE$222),"--")</f>
        <v>0</v>
      </c>
      <c r="GF227" s="2131">
        <f>IF(GF$221,_xll.ciqfunctions.udf.CIQ($G227, "IQ_VOLUME", GF$222),"--")</f>
        <v>0</v>
      </c>
      <c r="GG227" s="2131">
        <f>IF(GG$221,_xll.ciqfunctions.udf.CIQ($G227, "IQ_VOLUME", GG$222),"--")</f>
        <v>0</v>
      </c>
      <c r="GH227" s="2131">
        <f>IF(GH$221,_xll.ciqfunctions.udf.CIQ($G227, "IQ_VOLUME", GH$222),"--")</f>
        <v>0</v>
      </c>
      <c r="GI227" s="2131">
        <f>IF(GI$221,_xll.ciqfunctions.udf.CIQ($G227, "IQ_VOLUME", GI$222),"--")</f>
        <v>0</v>
      </c>
      <c r="GJ227" s="2131">
        <f>IF(GJ$221,_xll.ciqfunctions.udf.CIQ($G227, "IQ_VOLUME", GJ$222),"--")</f>
        <v>0</v>
      </c>
      <c r="GK227" s="2131">
        <f>IF(GK$221,_xll.ciqfunctions.udf.CIQ($G227, "IQ_VOLUME", GK$222),"--")</f>
        <v>0</v>
      </c>
      <c r="GL227" s="2131">
        <f>IF(GL$221,_xll.ciqfunctions.udf.CIQ($G227, "IQ_VOLUME", GL$222),"--")</f>
        <v>0</v>
      </c>
      <c r="GM227" s="2131">
        <f>IF(GM$221,_xll.ciqfunctions.udf.CIQ($G227, "IQ_VOLUME", GM$222),"--")</f>
        <v>0</v>
      </c>
      <c r="GN227" s="2131">
        <f>IF(GN$221,_xll.ciqfunctions.udf.CIQ($G227, "IQ_VOLUME", GN$222),"--")</f>
        <v>0</v>
      </c>
      <c r="GO227" s="2131">
        <f>IF(GO$221,_xll.ciqfunctions.udf.CIQ($G227, "IQ_VOLUME", GO$222),"--")</f>
        <v>0</v>
      </c>
      <c r="GP227" s="2131">
        <f>IF(GP$221,_xll.ciqfunctions.udf.CIQ($G227, "IQ_VOLUME", GP$222),"--")</f>
        <v>0</v>
      </c>
      <c r="GQ227" s="2131">
        <f>IF(GQ$221,_xll.ciqfunctions.udf.CIQ($G227, "IQ_VOLUME", GQ$222),"--")</f>
        <v>0</v>
      </c>
      <c r="GR227" s="2131">
        <f>IF(GR$221,_xll.ciqfunctions.udf.CIQ($G227, "IQ_VOLUME", GR$222),"--")</f>
        <v>0</v>
      </c>
      <c r="GS227" s="2131">
        <f>IF(GS$221,_xll.ciqfunctions.udf.CIQ($G227, "IQ_VOLUME", GS$222),"--")</f>
        <v>0</v>
      </c>
      <c r="GT227" s="2131">
        <f>IF(GT$221,_xll.ciqfunctions.udf.CIQ($G227, "IQ_VOLUME", GT$222),"--")</f>
        <v>0</v>
      </c>
      <c r="GU227" s="2131">
        <f>IF(GU$221,_xll.ciqfunctions.udf.CIQ($G227, "IQ_VOLUME", GU$222),"--")</f>
        <v>0</v>
      </c>
      <c r="GV227" s="2131">
        <f>IF(GV$221,_xll.ciqfunctions.udf.CIQ($G227, "IQ_VOLUME", GV$222),"--")</f>
        <v>0</v>
      </c>
      <c r="GW227" s="2131">
        <f>IF(GW$221,_xll.ciqfunctions.udf.CIQ($G227, "IQ_VOLUME", GW$222),"--")</f>
        <v>0</v>
      </c>
      <c r="GX227" s="2131">
        <f>IF(GX$221,_xll.ciqfunctions.udf.CIQ($G227, "IQ_VOLUME", GX$222),"--")</f>
        <v>0</v>
      </c>
      <c r="GY227" s="2131">
        <f>IF(GY$221,_xll.ciqfunctions.udf.CIQ($G227, "IQ_VOLUME", GY$222),"--")</f>
        <v>0</v>
      </c>
      <c r="GZ227" s="2131">
        <f>IF(GZ$221,_xll.ciqfunctions.udf.CIQ($G227, "IQ_VOLUME", GZ$222),"--")</f>
        <v>0</v>
      </c>
      <c r="HA227" s="2131">
        <f>IF(HA$221,_xll.ciqfunctions.udf.CIQ($G227, "IQ_VOLUME", HA$222),"--")</f>
        <v>0</v>
      </c>
      <c r="HB227" s="2131">
        <f>IF(HB$221,_xll.ciqfunctions.udf.CIQ($G227, "IQ_VOLUME", HB$222),"--")</f>
        <v>0</v>
      </c>
      <c r="HC227" s="2131">
        <f>IF(HC$221,_xll.ciqfunctions.udf.CIQ($G227, "IQ_VOLUME", HC$222),"--")</f>
        <v>0</v>
      </c>
      <c r="HD227" s="2131">
        <f>IF(HD$221,_xll.ciqfunctions.udf.CIQ($G227, "IQ_VOLUME", HD$222),"--")</f>
        <v>0</v>
      </c>
      <c r="HE227" s="2131">
        <f>IF(HE$221,_xll.ciqfunctions.udf.CIQ($G227, "IQ_VOLUME", HE$222),"--")</f>
        <v>0</v>
      </c>
      <c r="HF227" s="2131">
        <f>IF(HF$221,_xll.ciqfunctions.udf.CIQ($G227, "IQ_VOLUME", HF$222),"--")</f>
        <v>0</v>
      </c>
      <c r="HG227" s="2131">
        <f>IF(HG$221,_xll.ciqfunctions.udf.CIQ($G227, "IQ_VOLUME", HG$222),"--")</f>
        <v>0</v>
      </c>
      <c r="HH227" s="2131">
        <f>IF(HH$221,_xll.ciqfunctions.udf.CIQ($G227, "IQ_VOLUME", HH$222),"--")</f>
        <v>0</v>
      </c>
      <c r="HI227" s="2131">
        <f>IF(HI$221,_xll.ciqfunctions.udf.CIQ($G227, "IQ_VOLUME", HI$222),"--")</f>
        <v>0</v>
      </c>
      <c r="HJ227" s="2131">
        <f>IF(HJ$221,_xll.ciqfunctions.udf.CIQ($G227, "IQ_VOLUME", HJ$222),"--")</f>
        <v>0</v>
      </c>
      <c r="HK227" s="2131">
        <f>IF(HK$221,_xll.ciqfunctions.udf.CIQ($G227, "IQ_VOLUME", HK$222),"--")</f>
        <v>0</v>
      </c>
      <c r="HL227" s="2131">
        <f>IF(HL$221,_xll.ciqfunctions.udf.CIQ($G227, "IQ_VOLUME", HL$222),"--")</f>
        <v>0</v>
      </c>
      <c r="HM227" s="2131">
        <f>IF(HM$221,_xll.ciqfunctions.udf.CIQ($G227, "IQ_VOLUME", HM$222),"--")</f>
        <v>0</v>
      </c>
      <c r="HN227" s="2131">
        <f>IF(HN$221,_xll.ciqfunctions.udf.CIQ($G227, "IQ_VOLUME", HN$222),"--")</f>
        <v>0</v>
      </c>
      <c r="HO227" s="2131">
        <f>IF(HO$221,_xll.ciqfunctions.udf.CIQ($G227, "IQ_VOLUME", HO$222),"--")</f>
        <v>0</v>
      </c>
      <c r="HP227" s="2131">
        <f>IF(HP$221,_xll.ciqfunctions.udf.CIQ($G227, "IQ_VOLUME", HP$222),"--")</f>
        <v>0</v>
      </c>
      <c r="HQ227" s="2131">
        <f>IF(HQ$221,_xll.ciqfunctions.udf.CIQ($G227, "IQ_VOLUME", HQ$222),"--")</f>
        <v>0</v>
      </c>
      <c r="HR227" s="2131">
        <f>IF(HR$221,_xll.ciqfunctions.udf.CIQ($G227, "IQ_VOLUME", HR$222),"--")</f>
        <v>0</v>
      </c>
      <c r="HS227" s="2131">
        <f>IF(HS$221,_xll.ciqfunctions.udf.CIQ($G227, "IQ_VOLUME", HS$222),"--")</f>
        <v>0</v>
      </c>
      <c r="HT227" s="2131">
        <f>IF(HT$221,_xll.ciqfunctions.udf.CIQ($G227, "IQ_VOLUME", HT$222),"--")</f>
        <v>0</v>
      </c>
      <c r="HU227" s="2131">
        <f>IF(HU$221,_xll.ciqfunctions.udf.CIQ($G227, "IQ_VOLUME", HU$222),"--")</f>
        <v>0</v>
      </c>
      <c r="HV227" s="2131">
        <f>IF(HV$221,_xll.ciqfunctions.udf.CIQ($G227, "IQ_VOLUME", HV$222),"--")</f>
        <v>0</v>
      </c>
      <c r="HW227" s="2131">
        <f>IF(HW$221,_xll.ciqfunctions.udf.CIQ($G227, "IQ_VOLUME", HW$222),"--")</f>
        <v>0</v>
      </c>
      <c r="HX227" s="2131">
        <f>IF(HX$221,_xll.ciqfunctions.udf.CIQ($G227, "IQ_VOLUME", HX$222),"--")</f>
        <v>0</v>
      </c>
      <c r="HY227" s="2131">
        <f>IF(HY$221,_xll.ciqfunctions.udf.CIQ($G227, "IQ_VOLUME", HY$222),"--")</f>
        <v>0</v>
      </c>
      <c r="HZ227" s="2131">
        <f>IF(HZ$221,_xll.ciqfunctions.udf.CIQ($G227, "IQ_VOLUME", HZ$222),"--")</f>
        <v>0</v>
      </c>
      <c r="IA227" s="2131">
        <f>IF(IA$221,_xll.ciqfunctions.udf.CIQ($G227, "IQ_VOLUME", IA$222),"--")</f>
        <v>0</v>
      </c>
      <c r="IB227" s="2131">
        <f>IF(IB$221,_xll.ciqfunctions.udf.CIQ($G227, "IQ_VOLUME", IB$222),"--")</f>
        <v>0</v>
      </c>
      <c r="IC227" s="2131">
        <f>IF(IC$221,_xll.ciqfunctions.udf.CIQ($G227, "IQ_VOLUME", IC$222),"--")</f>
        <v>0</v>
      </c>
      <c r="ID227" s="2131">
        <f>IF(ID$221,_xll.ciqfunctions.udf.CIQ($G227, "IQ_VOLUME", ID$222),"--")</f>
        <v>0</v>
      </c>
      <c r="IE227" s="2131">
        <f>IF(IE$221,_xll.ciqfunctions.udf.CIQ($G227, "IQ_VOLUME", IE$222),"--")</f>
        <v>0</v>
      </c>
      <c r="IF227" s="2131">
        <f>IF(IF$221,_xll.ciqfunctions.udf.CIQ($G227, "IQ_VOLUME", IF$222),"--")</f>
        <v>0</v>
      </c>
      <c r="IG227" s="2131">
        <f>IF(IG$221,_xll.ciqfunctions.udf.CIQ($G227, "IQ_VOLUME", IG$222),"--")</f>
        <v>0</v>
      </c>
      <c r="IH227" s="2131">
        <f>IF(IH$221,_xll.ciqfunctions.udf.CIQ($G227, "IQ_VOLUME", IH$222),"--")</f>
        <v>0</v>
      </c>
      <c r="II227" s="2131">
        <f>IF(II$221,_xll.ciqfunctions.udf.CIQ($G227, "IQ_VOLUME", II$222),"--")</f>
        <v>0</v>
      </c>
      <c r="IJ227" s="2131">
        <f>IF(IJ$221,_xll.ciqfunctions.udf.CIQ($G227, "IQ_VOLUME", IJ$222),"--")</f>
        <v>0</v>
      </c>
      <c r="IK227" s="2131">
        <f>IF(IK$221,_xll.ciqfunctions.udf.CIQ($G227, "IQ_VOLUME", IK$222),"--")</f>
        <v>0</v>
      </c>
      <c r="IL227" s="2131">
        <f>IF(IL$221,_xll.ciqfunctions.udf.CIQ($G227, "IQ_VOLUME", IL$222),"--")</f>
        <v>0</v>
      </c>
      <c r="IM227" s="2131">
        <f>IF(IM$221,_xll.ciqfunctions.udf.CIQ($G227, "IQ_VOLUME", IM$222),"--")</f>
        <v>0</v>
      </c>
      <c r="IN227" s="2131">
        <f>IF(IN$221,_xll.ciqfunctions.udf.CIQ($G227, "IQ_VOLUME", IN$222),"--")</f>
        <v>0</v>
      </c>
      <c r="IO227" s="2131">
        <f>IF(IO$221,_xll.ciqfunctions.udf.CIQ($G227, "IQ_VOLUME", IO$222),"--")</f>
        <v>0</v>
      </c>
      <c r="IP227" s="2131">
        <f>IF(IP$221,_xll.ciqfunctions.udf.CIQ($G227, "IQ_VOLUME", IP$222),"--")</f>
        <v>0</v>
      </c>
      <c r="IQ227" s="2131">
        <f>IF(IQ$221,_xll.ciqfunctions.udf.CIQ($G227, "IQ_VOLUME", IQ$222),"--")</f>
        <v>0</v>
      </c>
      <c r="IR227" s="2131">
        <f>IF(IR$221,_xll.ciqfunctions.udf.CIQ($G227, "IQ_VOLUME", IR$222),"--")</f>
        <v>0</v>
      </c>
      <c r="IS227" s="2131">
        <f>IF(IS$221,_xll.ciqfunctions.udf.CIQ($G227, "IQ_VOLUME", IS$222),"--")</f>
        <v>0</v>
      </c>
      <c r="IT227" s="2131">
        <f>IF(IT$221,_xll.ciqfunctions.udf.CIQ($G227, "IQ_VOLUME", IT$222),"--")</f>
        <v>0</v>
      </c>
      <c r="IU227" s="2131">
        <f>IF(IU$221,_xll.ciqfunctions.udf.CIQ($G227, "IQ_VOLUME", IU$222),"--")</f>
        <v>0</v>
      </c>
      <c r="IV227" s="2131">
        <f>IF(IV$221,_xll.ciqfunctions.udf.CIQ($G227, "IQ_VOLUME", IV$222),"--")</f>
        <v>0</v>
      </c>
      <c r="IW227" s="2131">
        <f>IF(IW$221,_xll.ciqfunctions.udf.CIQ($G227, "IQ_VOLUME", IW$222),"--")</f>
        <v>0</v>
      </c>
      <c r="IX227" s="2131">
        <f>IF(IX$221,_xll.ciqfunctions.udf.CIQ($G227, "IQ_VOLUME", IX$222),"--")</f>
        <v>0</v>
      </c>
      <c r="IY227" s="2131">
        <f>IF(IY$221,_xll.ciqfunctions.udf.CIQ($G227, "IQ_VOLUME", IY$222),"--")</f>
        <v>0</v>
      </c>
      <c r="IZ227" s="2131">
        <f>IF(IZ$221,_xll.ciqfunctions.udf.CIQ($G227, "IQ_VOLUME", IZ$222),"--")</f>
        <v>0</v>
      </c>
      <c r="JA227" s="2131">
        <f>IF(JA$221,_xll.ciqfunctions.udf.CIQ($G227, "IQ_VOLUME", JA$222),"--")</f>
        <v>0</v>
      </c>
      <c r="JB227" s="2131">
        <f>IF(JB$221,_xll.ciqfunctions.udf.CIQ($G227, "IQ_VOLUME", JB$222),"--")</f>
        <v>0</v>
      </c>
      <c r="JC227" s="2131">
        <f>IF(JC$221,_xll.ciqfunctions.udf.CIQ($G227, "IQ_VOLUME", JC$222),"--")</f>
        <v>0</v>
      </c>
      <c r="JD227" s="2131">
        <f>IF(JD$221,_xll.ciqfunctions.udf.CIQ($G227, "IQ_VOLUME", JD$222),"--")</f>
        <v>0</v>
      </c>
      <c r="JE227" s="2131">
        <f>IF(JE$221,_xll.ciqfunctions.udf.CIQ($G227, "IQ_VOLUME", JE$222),"--")</f>
        <v>0</v>
      </c>
      <c r="JF227" s="2131">
        <f>IF(JF$221,_xll.ciqfunctions.udf.CIQ($G227, "IQ_VOLUME", JF$222),"--")</f>
        <v>0</v>
      </c>
      <c r="JG227" s="2131">
        <f>IF(JG$221,_xll.ciqfunctions.udf.CIQ($G227, "IQ_VOLUME", JG$222),"--")</f>
        <v>0</v>
      </c>
      <c r="JH227" s="2131">
        <f>IF(JH$221,_xll.ciqfunctions.udf.CIQ($G227, "IQ_VOLUME", JH$222),"--")</f>
        <v>0</v>
      </c>
      <c r="JI227" s="2131">
        <f>IF(JI$221,_xll.ciqfunctions.udf.CIQ($G227, "IQ_VOLUME", JI$222),"--")</f>
        <v>0</v>
      </c>
      <c r="JJ227" s="2131">
        <f>IF(JJ$221,_xll.ciqfunctions.udf.CIQ($G227, "IQ_VOLUME", JJ$222),"--")</f>
        <v>0</v>
      </c>
      <c r="JK227" s="2131">
        <f>IF(JK$221,_xll.ciqfunctions.udf.CIQ($G227, "IQ_VOLUME", JK$222),"--")</f>
        <v>0</v>
      </c>
      <c r="JL227" s="2131">
        <f>IF(JL$221,_xll.ciqfunctions.udf.CIQ($G227, "IQ_VOLUME", JL$222),"--")</f>
        <v>0</v>
      </c>
      <c r="JM227" s="2131">
        <f>IF(JM$221,_xll.ciqfunctions.udf.CIQ($G227, "IQ_VOLUME", JM$222),"--")</f>
        <v>0</v>
      </c>
      <c r="JN227" s="2131">
        <f>IF(JN$221,_xll.ciqfunctions.udf.CIQ($G227, "IQ_VOLUME", JN$222),"--")</f>
        <v>0</v>
      </c>
      <c r="JO227" s="2131">
        <f>IF(JO$221,_xll.ciqfunctions.udf.CIQ($G227, "IQ_VOLUME", JO$222),"--")</f>
        <v>0</v>
      </c>
      <c r="JP227" s="2131">
        <f>IF(JP$221,_xll.ciqfunctions.udf.CIQ($G227, "IQ_VOLUME", JP$222),"--")</f>
        <v>0</v>
      </c>
      <c r="JQ227" s="2131">
        <f>IF(JQ$221,_xll.ciqfunctions.udf.CIQ($G227, "IQ_VOLUME", JQ$222),"--")</f>
        <v>0</v>
      </c>
      <c r="JR227" s="2131">
        <f>IF(JR$221,_xll.ciqfunctions.udf.CIQ($G227, "IQ_VOLUME", JR$222),"--")</f>
        <v>0</v>
      </c>
      <c r="JS227" s="2131">
        <f>IF(JS$221,_xll.ciqfunctions.udf.CIQ($G227, "IQ_VOLUME", JS$222),"--")</f>
        <v>0</v>
      </c>
      <c r="JT227" s="2131">
        <f>IF(JT$221,_xll.ciqfunctions.udf.CIQ($G227, "IQ_VOLUME", JT$222),"--")</f>
        <v>0</v>
      </c>
      <c r="JU227" s="2131">
        <f>IF(JU$221,_xll.ciqfunctions.udf.CIQ($G227, "IQ_VOLUME", JU$222),"--")</f>
        <v>0</v>
      </c>
      <c r="JV227" s="2131">
        <f>IF(JV$221,_xll.ciqfunctions.udf.CIQ($G227, "IQ_VOLUME", JV$222),"--")</f>
        <v>0</v>
      </c>
      <c r="JW227" s="2131" t="str">
        <f>IF(JW$221,_xll.ciqfunctions.udf.CIQ($G227, "IQ_VOLUME", JW$222),"--")</f>
        <v>--</v>
      </c>
      <c r="JX227" s="2131" t="str">
        <f>IF(JX$221,_xll.ciqfunctions.udf.CIQ($G227, "IQ_VOLUME", JX$222),"--")</f>
        <v>--</v>
      </c>
      <c r="JY227" s="2131" t="str">
        <f>IF(JY$221,_xll.ciqfunctions.udf.CIQ($G227, "IQ_VOLUME", JY$222),"--")</f>
        <v>--</v>
      </c>
      <c r="JZ227" s="2131" t="str">
        <f>IF(JZ$221,_xll.ciqfunctions.udf.CIQ($G227, "IQ_VOLUME", JZ$222),"--")</f>
        <v>--</v>
      </c>
      <c r="KA227" s="2131" t="str">
        <f>IF(KA$221,_xll.ciqfunctions.udf.CIQ($G227, "IQ_VOLUME", KA$222),"--")</f>
        <v>--</v>
      </c>
      <c r="KB227" s="2131" t="str">
        <f>IF(KB$221,_xll.ciqfunctions.udf.CIQ($G227, "IQ_VOLUME", KB$222),"--")</f>
        <v>--</v>
      </c>
    </row>
    <row r="228" spans="1:288" s="89" customFormat="1" ht="13.9">
      <c r="A228" s="269" t="str">
        <f t="shared" si="47"/>
        <v>n</v>
      </c>
      <c r="B228" s="2060"/>
      <c r="C228" s="72"/>
      <c r="D228" s="801"/>
      <c r="E228" s="1505">
        <v>5</v>
      </c>
      <c r="F228" s="21" t="str">
        <f>F$133</f>
        <v>--</v>
      </c>
      <c r="G228" s="2112">
        <f>G$133</f>
        <v>0</v>
      </c>
      <c r="H228" s="2112" t="str">
        <f>H$133</f>
        <v>--</v>
      </c>
      <c r="I228" s="22" t="s">
        <v>781</v>
      </c>
      <c r="J228" s="53"/>
      <c r="K228" s="2301" t="str">
        <f>IF(OR(K196=0,$G228=0),"--",IFERROR(_xll.ciqfunctions.udf.CIQ($G228,$I228,K104,Valuation_Date_GC,ReportType,DataMode,$H228,FXMode)*Scale,"--"))</f>
        <v>--</v>
      </c>
      <c r="L228" s="2301" t="str">
        <f>IF(OR(L196=0,$G228=0),"--",IFERROR(_xll.ciqfunctions.udf.CIQ($G228,$I228,L104,Valuation_Date_GC,ReportType,DataMode,$H228,FXMode)*Scale,"--"))</f>
        <v>--</v>
      </c>
      <c r="M228" s="2301" t="str">
        <f>IF(OR(M196=0,$G228=0),"--",IFERROR(_xll.ciqfunctions.udf.CIQ($G228,$I228,M104,Valuation_Date_GC,ReportType,DataMode,$H228,FXMode)*Scale,"--"))</f>
        <v>--</v>
      </c>
      <c r="N228" s="2301" t="str">
        <f>IF(OR(N196=0,$G228=0),"--",IFERROR(_xll.ciqfunctions.udf.CIQ($G228,$I228,N104,Valuation_Date_GC,ReportType,DataMode,$H228,FXMode)*Scale,"--"))</f>
        <v>--</v>
      </c>
      <c r="O228" s="1471" t="str">
        <f>IF(OR(O196=0,$G228=0),"--",IFERROR(_xll.ciqfunctions.udf.CIQ($G228,$I228,O104,Valuation_Date_GC,ReportType,DataMode,$H228,FXMode)*Scale,"--"))</f>
        <v>--</v>
      </c>
      <c r="P228" s="2301" t="str">
        <f>IF(OR(P196=0,$G228=0),"--",IFERROR(_xll.ciqfunctions.udf.CIQ($G228,$I228,P104,Valuation_Date_GC,ReportType,DataMode,$H228,FXMode)*Scale,"--"))</f>
        <v>--</v>
      </c>
      <c r="R228" s="255"/>
      <c r="T228" s="1779" t="s">
        <v>782</v>
      </c>
      <c r="U228" s="2131">
        <f>IF(U$221,_xll.ciqfunctions.udf.CIQ($G228, "IQ_VOLUME", U$222),"--")</f>
        <v>0</v>
      </c>
      <c r="V228" s="2131">
        <f>IF(V$221,_xll.ciqfunctions.udf.CIQ($G228, "IQ_VOLUME", V$222),"--")</f>
        <v>0</v>
      </c>
      <c r="W228" s="2131">
        <f>IF(W$221,_xll.ciqfunctions.udf.CIQ($G228, "IQ_VOLUME", W$222),"--")</f>
        <v>0</v>
      </c>
      <c r="X228" s="2131">
        <f>IF(X$221,_xll.ciqfunctions.udf.CIQ($G228, "IQ_VOLUME", X$222),"--")</f>
        <v>0</v>
      </c>
      <c r="Y228" s="2131">
        <f>IF(Y$221,_xll.ciqfunctions.udf.CIQ($G228, "IQ_VOLUME", Y$222),"--")</f>
        <v>0</v>
      </c>
      <c r="Z228" s="2131">
        <f>IF(Z$221,_xll.ciqfunctions.udf.CIQ($G228, "IQ_VOLUME", Z$222),"--")</f>
        <v>0</v>
      </c>
      <c r="AA228" s="2131">
        <f>IF(AA$221,_xll.ciqfunctions.udf.CIQ($G228, "IQ_VOLUME", AA$222),"--")</f>
        <v>0</v>
      </c>
      <c r="AB228" s="2131">
        <f>IF(AB$221,_xll.ciqfunctions.udf.CIQ($G228, "IQ_VOLUME", AB$222),"--")</f>
        <v>0</v>
      </c>
      <c r="AC228" s="2131">
        <f>IF(AC$221,_xll.ciqfunctions.udf.CIQ($G228, "IQ_VOLUME", AC$222),"--")</f>
        <v>0</v>
      </c>
      <c r="AD228" s="2131">
        <f>IF(AD$221,_xll.ciqfunctions.udf.CIQ($G228, "IQ_VOLUME", AD$222),"--")</f>
        <v>0</v>
      </c>
      <c r="AE228" s="2131">
        <f>IF(AE$221,_xll.ciqfunctions.udf.CIQ($G228, "IQ_VOLUME", AE$222),"--")</f>
        <v>0</v>
      </c>
      <c r="AF228" s="2131">
        <f>IF(AF$221,_xll.ciqfunctions.udf.CIQ($G228, "IQ_VOLUME", AF$222),"--")</f>
        <v>0</v>
      </c>
      <c r="AG228" s="2131">
        <f>IF(AG$221,_xll.ciqfunctions.udf.CIQ($G228, "IQ_VOLUME", AG$222),"--")</f>
        <v>0</v>
      </c>
      <c r="AH228" s="2131">
        <f>IF(AH$221,_xll.ciqfunctions.udf.CIQ($G228, "IQ_VOLUME", AH$222),"--")</f>
        <v>0</v>
      </c>
      <c r="AI228" s="2131">
        <f>IF(AI$221,_xll.ciqfunctions.udf.CIQ($G228, "IQ_VOLUME", AI$222),"--")</f>
        <v>0</v>
      </c>
      <c r="AJ228" s="2131">
        <f>IF(AJ$221,_xll.ciqfunctions.udf.CIQ($G228, "IQ_VOLUME", AJ$222),"--")</f>
        <v>0</v>
      </c>
      <c r="AK228" s="2131">
        <f>IF(AK$221,_xll.ciqfunctions.udf.CIQ($G228, "IQ_VOLUME", AK$222),"--")</f>
        <v>0</v>
      </c>
      <c r="AL228" s="2131">
        <f>IF(AL$221,_xll.ciqfunctions.udf.CIQ($G228, "IQ_VOLUME", AL$222),"--")</f>
        <v>0</v>
      </c>
      <c r="AM228" s="2131">
        <f>IF(AM$221,_xll.ciqfunctions.udf.CIQ($G228, "IQ_VOLUME", AM$222),"--")</f>
        <v>0</v>
      </c>
      <c r="AN228" s="2131">
        <f>IF(AN$221,_xll.ciqfunctions.udf.CIQ($G228, "IQ_VOLUME", AN$222),"--")</f>
        <v>0</v>
      </c>
      <c r="AO228" s="2131">
        <f>IF(AO$221,_xll.ciqfunctions.udf.CIQ($G228, "IQ_VOLUME", AO$222),"--")</f>
        <v>0</v>
      </c>
      <c r="AP228" s="2131">
        <f>IF(AP$221,_xll.ciqfunctions.udf.CIQ($G228, "IQ_VOLUME", AP$222),"--")</f>
        <v>0</v>
      </c>
      <c r="AQ228" s="2131">
        <f>IF(AQ$221,_xll.ciqfunctions.udf.CIQ($G228, "IQ_VOLUME", AQ$222),"--")</f>
        <v>0</v>
      </c>
      <c r="AR228" s="2131">
        <f>IF(AR$221,_xll.ciqfunctions.udf.CIQ($G228, "IQ_VOLUME", AR$222),"--")</f>
        <v>0</v>
      </c>
      <c r="AS228" s="2131">
        <f>IF(AS$221,_xll.ciqfunctions.udf.CIQ($G228, "IQ_VOLUME", AS$222),"--")</f>
        <v>0</v>
      </c>
      <c r="AT228" s="2131">
        <f>IF(AT$221,_xll.ciqfunctions.udf.CIQ($G228, "IQ_VOLUME", AT$222),"--")</f>
        <v>0</v>
      </c>
      <c r="AU228" s="2131">
        <f>IF(AU$221,_xll.ciqfunctions.udf.CIQ($G228, "IQ_VOLUME", AU$222),"--")</f>
        <v>0</v>
      </c>
      <c r="AV228" s="2131">
        <f>IF(AV$221,_xll.ciqfunctions.udf.CIQ($G228, "IQ_VOLUME", AV$222),"--")</f>
        <v>0</v>
      </c>
      <c r="AW228" s="2131">
        <f>IF(AW$221,_xll.ciqfunctions.udf.CIQ($G228, "IQ_VOLUME", AW$222),"--")</f>
        <v>0</v>
      </c>
      <c r="AX228" s="2131">
        <f>IF(AX$221,_xll.ciqfunctions.udf.CIQ($G228, "IQ_VOLUME", AX$222),"--")</f>
        <v>0</v>
      </c>
      <c r="AY228" s="2131">
        <f>IF(AY$221,_xll.ciqfunctions.udf.CIQ($G228, "IQ_VOLUME", AY$222),"--")</f>
        <v>0</v>
      </c>
      <c r="AZ228" s="2131">
        <f>IF(AZ$221,_xll.ciqfunctions.udf.CIQ($G228, "IQ_VOLUME", AZ$222),"--")</f>
        <v>0</v>
      </c>
      <c r="BA228" s="2131">
        <f>IF(BA$221,_xll.ciqfunctions.udf.CIQ($G228, "IQ_VOLUME", BA$222),"--")</f>
        <v>0</v>
      </c>
      <c r="BB228" s="2131">
        <f>IF(BB$221,_xll.ciqfunctions.udf.CIQ($G228, "IQ_VOLUME", BB$222),"--")</f>
        <v>0</v>
      </c>
      <c r="BC228" s="2131">
        <f>IF(BC$221,_xll.ciqfunctions.udf.CIQ($G228, "IQ_VOLUME", BC$222),"--")</f>
        <v>0</v>
      </c>
      <c r="BD228" s="2131">
        <f>IF(BD$221,_xll.ciqfunctions.udf.CIQ($G228, "IQ_VOLUME", BD$222),"--")</f>
        <v>0</v>
      </c>
      <c r="BE228" s="2131">
        <f>IF(BE$221,_xll.ciqfunctions.udf.CIQ($G228, "IQ_VOLUME", BE$222),"--")</f>
        <v>0</v>
      </c>
      <c r="BF228" s="2131">
        <f>IF(BF$221,_xll.ciqfunctions.udf.CIQ($G228, "IQ_VOLUME", BF$222),"--")</f>
        <v>0</v>
      </c>
      <c r="BG228" s="2131">
        <f>IF(BG$221,_xll.ciqfunctions.udf.CIQ($G228, "IQ_VOLUME", BG$222),"--")</f>
        <v>0</v>
      </c>
      <c r="BH228" s="2131">
        <f>IF(BH$221,_xll.ciqfunctions.udf.CIQ($G228, "IQ_VOLUME", BH$222),"--")</f>
        <v>0</v>
      </c>
      <c r="BI228" s="2131">
        <f>IF(BI$221,_xll.ciqfunctions.udf.CIQ($G228, "IQ_VOLUME", BI$222),"--")</f>
        <v>0</v>
      </c>
      <c r="BJ228" s="2131">
        <f>IF(BJ$221,_xll.ciqfunctions.udf.CIQ($G228, "IQ_VOLUME", BJ$222),"--")</f>
        <v>0</v>
      </c>
      <c r="BK228" s="2131">
        <f>IF(BK$221,_xll.ciqfunctions.udf.CIQ($G228, "IQ_VOLUME", BK$222),"--")</f>
        <v>0</v>
      </c>
      <c r="BL228" s="2131">
        <f>IF(BL$221,_xll.ciqfunctions.udf.CIQ($G228, "IQ_VOLUME", BL$222),"--")</f>
        <v>0</v>
      </c>
      <c r="BM228" s="2131">
        <f>IF(BM$221,_xll.ciqfunctions.udf.CIQ($G228, "IQ_VOLUME", BM$222),"--")</f>
        <v>0</v>
      </c>
      <c r="BN228" s="2131">
        <f>IF(BN$221,_xll.ciqfunctions.udf.CIQ($G228, "IQ_VOLUME", BN$222),"--")</f>
        <v>0</v>
      </c>
      <c r="BO228" s="2131">
        <f>IF(BO$221,_xll.ciqfunctions.udf.CIQ($G228, "IQ_VOLUME", BO$222),"--")</f>
        <v>0</v>
      </c>
      <c r="BP228" s="2131">
        <f>IF(BP$221,_xll.ciqfunctions.udf.CIQ($G228, "IQ_VOLUME", BP$222),"--")</f>
        <v>0</v>
      </c>
      <c r="BQ228" s="2131">
        <f>IF(BQ$221,_xll.ciqfunctions.udf.CIQ($G228, "IQ_VOLUME", BQ$222),"--")</f>
        <v>0</v>
      </c>
      <c r="BR228" s="2131">
        <f>IF(BR$221,_xll.ciqfunctions.udf.CIQ($G228, "IQ_VOLUME", BR$222),"--")</f>
        <v>0</v>
      </c>
      <c r="BS228" s="2131">
        <f>IF(BS$221,_xll.ciqfunctions.udf.CIQ($G228, "IQ_VOLUME", BS$222),"--")</f>
        <v>0</v>
      </c>
      <c r="BT228" s="2131">
        <f>IF(BT$221,_xll.ciqfunctions.udf.CIQ($G228, "IQ_VOLUME", BT$222),"--")</f>
        <v>0</v>
      </c>
      <c r="BU228" s="2131">
        <f>IF(BU$221,_xll.ciqfunctions.udf.CIQ($G228, "IQ_VOLUME", BU$222),"--")</f>
        <v>0</v>
      </c>
      <c r="BV228" s="2131">
        <f>IF(BV$221,_xll.ciqfunctions.udf.CIQ($G228, "IQ_VOLUME", BV$222),"--")</f>
        <v>0</v>
      </c>
      <c r="BW228" s="2131">
        <f>IF(BW$221,_xll.ciqfunctions.udf.CIQ($G228, "IQ_VOLUME", BW$222),"--")</f>
        <v>0</v>
      </c>
      <c r="BX228" s="2131">
        <f>IF(BX$221,_xll.ciqfunctions.udf.CIQ($G228, "IQ_VOLUME", BX$222),"--")</f>
        <v>0</v>
      </c>
      <c r="BY228" s="2131">
        <f>IF(BY$221,_xll.ciqfunctions.udf.CIQ($G228, "IQ_VOLUME", BY$222),"--")</f>
        <v>0</v>
      </c>
      <c r="BZ228" s="2131">
        <f>IF(BZ$221,_xll.ciqfunctions.udf.CIQ($G228, "IQ_VOLUME", BZ$222),"--")</f>
        <v>0</v>
      </c>
      <c r="CA228" s="2131">
        <f>IF(CA$221,_xll.ciqfunctions.udf.CIQ($G228, "IQ_VOLUME", CA$222),"--")</f>
        <v>0</v>
      </c>
      <c r="CB228" s="2131">
        <f>IF(CB$221,_xll.ciqfunctions.udf.CIQ($G228, "IQ_VOLUME", CB$222),"--")</f>
        <v>0</v>
      </c>
      <c r="CC228" s="2131">
        <f>IF(CC$221,_xll.ciqfunctions.udf.CIQ($G228, "IQ_VOLUME", CC$222),"--")</f>
        <v>0</v>
      </c>
      <c r="CD228" s="2131">
        <f>IF(CD$221,_xll.ciqfunctions.udf.CIQ($G228, "IQ_VOLUME", CD$222),"--")</f>
        <v>0</v>
      </c>
      <c r="CE228" s="2131">
        <f>IF(CE$221,_xll.ciqfunctions.udf.CIQ($G228, "IQ_VOLUME", CE$222),"--")</f>
        <v>0</v>
      </c>
      <c r="CF228" s="2131">
        <f>IF(CF$221,_xll.ciqfunctions.udf.CIQ($G228, "IQ_VOLUME", CF$222),"--")</f>
        <v>0</v>
      </c>
      <c r="CG228" s="2131">
        <f>IF(CG$221,_xll.ciqfunctions.udf.CIQ($G228, "IQ_VOLUME", CG$222),"--")</f>
        <v>0</v>
      </c>
      <c r="CH228" s="2131">
        <f>IF(CH$221,_xll.ciqfunctions.udf.CIQ($G228, "IQ_VOLUME", CH$222),"--")</f>
        <v>0</v>
      </c>
      <c r="CI228" s="2131">
        <f>IF(CI$221,_xll.ciqfunctions.udf.CIQ($G228, "IQ_VOLUME", CI$222),"--")</f>
        <v>0</v>
      </c>
      <c r="CJ228" s="2131">
        <f>IF(CJ$221,_xll.ciqfunctions.udf.CIQ($G228, "IQ_VOLUME", CJ$222),"--")</f>
        <v>0</v>
      </c>
      <c r="CK228" s="2131">
        <f>IF(CK$221,_xll.ciqfunctions.udf.CIQ($G228, "IQ_VOLUME", CK$222),"--")</f>
        <v>0</v>
      </c>
      <c r="CL228" s="2131">
        <f>IF(CL$221,_xll.ciqfunctions.udf.CIQ($G228, "IQ_VOLUME", CL$222),"--")</f>
        <v>0</v>
      </c>
      <c r="CM228" s="2131">
        <f>IF(CM$221,_xll.ciqfunctions.udf.CIQ($G228, "IQ_VOLUME", CM$222),"--")</f>
        <v>0</v>
      </c>
      <c r="CN228" s="2131">
        <f>IF(CN$221,_xll.ciqfunctions.udf.CIQ($G228, "IQ_VOLUME", CN$222),"--")</f>
        <v>0</v>
      </c>
      <c r="CO228" s="2131">
        <f>IF(CO$221,_xll.ciqfunctions.udf.CIQ($G228, "IQ_VOLUME", CO$222),"--")</f>
        <v>0</v>
      </c>
      <c r="CP228" s="2131">
        <f>IF(CP$221,_xll.ciqfunctions.udf.CIQ($G228, "IQ_VOLUME", CP$222),"--")</f>
        <v>0</v>
      </c>
      <c r="CQ228" s="2131">
        <f>IF(CQ$221,_xll.ciqfunctions.udf.CIQ($G228, "IQ_VOLUME", CQ$222),"--")</f>
        <v>0</v>
      </c>
      <c r="CR228" s="2131">
        <f>IF(CR$221,_xll.ciqfunctions.udf.CIQ($G228, "IQ_VOLUME", CR$222),"--")</f>
        <v>0</v>
      </c>
      <c r="CS228" s="2131">
        <f>IF(CS$221,_xll.ciqfunctions.udf.CIQ($G228, "IQ_VOLUME", CS$222),"--")</f>
        <v>0</v>
      </c>
      <c r="CT228" s="2131">
        <f>IF(CT$221,_xll.ciqfunctions.udf.CIQ($G228, "IQ_VOLUME", CT$222),"--")</f>
        <v>0</v>
      </c>
      <c r="CU228" s="2131">
        <f>IF(CU$221,_xll.ciqfunctions.udf.CIQ($G228, "IQ_VOLUME", CU$222),"--")</f>
        <v>0</v>
      </c>
      <c r="CV228" s="2131">
        <f>IF(CV$221,_xll.ciqfunctions.udf.CIQ($G228, "IQ_VOLUME", CV$222),"--")</f>
        <v>0</v>
      </c>
      <c r="CW228" s="2131">
        <f>IF(CW$221,_xll.ciqfunctions.udf.CIQ($G228, "IQ_VOLUME", CW$222),"--")</f>
        <v>0</v>
      </c>
      <c r="CX228" s="2131">
        <f>IF(CX$221,_xll.ciqfunctions.udf.CIQ($G228, "IQ_VOLUME", CX$222),"--")</f>
        <v>0</v>
      </c>
      <c r="CY228" s="2131">
        <f>IF(CY$221,_xll.ciqfunctions.udf.CIQ($G228, "IQ_VOLUME", CY$222),"--")</f>
        <v>0</v>
      </c>
      <c r="CZ228" s="2131">
        <f>IF(CZ$221,_xll.ciqfunctions.udf.CIQ($G228, "IQ_VOLUME", CZ$222),"--")</f>
        <v>0</v>
      </c>
      <c r="DA228" s="2131">
        <f>IF(DA$221,_xll.ciqfunctions.udf.CIQ($G228, "IQ_VOLUME", DA$222),"--")</f>
        <v>0</v>
      </c>
      <c r="DB228" s="2131">
        <f>IF(DB$221,_xll.ciqfunctions.udf.CIQ($G228, "IQ_VOLUME", DB$222),"--")</f>
        <v>0</v>
      </c>
      <c r="DC228" s="2131">
        <f>IF(DC$221,_xll.ciqfunctions.udf.CIQ($G228, "IQ_VOLUME", DC$222),"--")</f>
        <v>0</v>
      </c>
      <c r="DD228" s="2131">
        <f>IF(DD$221,_xll.ciqfunctions.udf.CIQ($G228, "IQ_VOLUME", DD$222),"--")</f>
        <v>0</v>
      </c>
      <c r="DE228" s="2131">
        <f>IF(DE$221,_xll.ciqfunctions.udf.CIQ($G228, "IQ_VOLUME", DE$222),"--")</f>
        <v>0</v>
      </c>
      <c r="DF228" s="2131">
        <f>IF(DF$221,_xll.ciqfunctions.udf.CIQ($G228, "IQ_VOLUME", DF$222),"--")</f>
        <v>0</v>
      </c>
      <c r="DG228" s="2131">
        <f>IF(DG$221,_xll.ciqfunctions.udf.CIQ($G228, "IQ_VOLUME", DG$222),"--")</f>
        <v>0</v>
      </c>
      <c r="DH228" s="2131">
        <f>IF(DH$221,_xll.ciqfunctions.udf.CIQ($G228, "IQ_VOLUME", DH$222),"--")</f>
        <v>0</v>
      </c>
      <c r="DI228" s="2131">
        <f>IF(DI$221,_xll.ciqfunctions.udf.CIQ($G228, "IQ_VOLUME", DI$222),"--")</f>
        <v>0</v>
      </c>
      <c r="DJ228" s="2131">
        <f>IF(DJ$221,_xll.ciqfunctions.udf.CIQ($G228, "IQ_VOLUME", DJ$222),"--")</f>
        <v>0</v>
      </c>
      <c r="DK228" s="2131">
        <f>IF(DK$221,_xll.ciqfunctions.udf.CIQ($G228, "IQ_VOLUME", DK$222),"--")</f>
        <v>0</v>
      </c>
      <c r="DL228" s="2131">
        <f>IF(DL$221,_xll.ciqfunctions.udf.CIQ($G228, "IQ_VOLUME", DL$222),"--")</f>
        <v>0</v>
      </c>
      <c r="DM228" s="2131">
        <f>IF(DM$221,_xll.ciqfunctions.udf.CIQ($G228, "IQ_VOLUME", DM$222),"--")</f>
        <v>0</v>
      </c>
      <c r="DN228" s="2131">
        <f>IF(DN$221,_xll.ciqfunctions.udf.CIQ($G228, "IQ_VOLUME", DN$222),"--")</f>
        <v>0</v>
      </c>
      <c r="DO228" s="2131">
        <f>IF(DO$221,_xll.ciqfunctions.udf.CIQ($G228, "IQ_VOLUME", DO$222),"--")</f>
        <v>0</v>
      </c>
      <c r="DP228" s="2131">
        <f>IF(DP$221,_xll.ciqfunctions.udf.CIQ($G228, "IQ_VOLUME", DP$222),"--")</f>
        <v>0</v>
      </c>
      <c r="DQ228" s="2131">
        <f>IF(DQ$221,_xll.ciqfunctions.udf.CIQ($G228, "IQ_VOLUME", DQ$222),"--")</f>
        <v>0</v>
      </c>
      <c r="DR228" s="2131">
        <f>IF(DR$221,_xll.ciqfunctions.udf.CIQ($G228, "IQ_VOLUME", DR$222),"--")</f>
        <v>0</v>
      </c>
      <c r="DS228" s="2131">
        <f>IF(DS$221,_xll.ciqfunctions.udf.CIQ($G228, "IQ_VOLUME", DS$222),"--")</f>
        <v>0</v>
      </c>
      <c r="DT228" s="2131">
        <f>IF(DT$221,_xll.ciqfunctions.udf.CIQ($G228, "IQ_VOLUME", DT$222),"--")</f>
        <v>0</v>
      </c>
      <c r="DU228" s="2131">
        <f>IF(DU$221,_xll.ciqfunctions.udf.CIQ($G228, "IQ_VOLUME", DU$222),"--")</f>
        <v>0</v>
      </c>
      <c r="DV228" s="2131">
        <f>IF(DV$221,_xll.ciqfunctions.udf.CIQ($G228, "IQ_VOLUME", DV$222),"--")</f>
        <v>0</v>
      </c>
      <c r="DW228" s="2131">
        <f>IF(DW$221,_xll.ciqfunctions.udf.CIQ($G228, "IQ_VOLUME", DW$222),"--")</f>
        <v>0</v>
      </c>
      <c r="DX228" s="2131">
        <f>IF(DX$221,_xll.ciqfunctions.udf.CIQ($G228, "IQ_VOLUME", DX$222),"--")</f>
        <v>0</v>
      </c>
      <c r="DY228" s="2131">
        <f>IF(DY$221,_xll.ciqfunctions.udf.CIQ($G228, "IQ_VOLUME", DY$222),"--")</f>
        <v>0</v>
      </c>
      <c r="DZ228" s="2131">
        <f>IF(DZ$221,_xll.ciqfunctions.udf.CIQ($G228, "IQ_VOLUME", DZ$222),"--")</f>
        <v>0</v>
      </c>
      <c r="EA228" s="2131">
        <f>IF(EA$221,_xll.ciqfunctions.udf.CIQ($G228, "IQ_VOLUME", EA$222),"--")</f>
        <v>0</v>
      </c>
      <c r="EB228" s="2131">
        <f>IF(EB$221,_xll.ciqfunctions.udf.CIQ($G228, "IQ_VOLUME", EB$222),"--")</f>
        <v>0</v>
      </c>
      <c r="EC228" s="2131">
        <f>IF(EC$221,_xll.ciqfunctions.udf.CIQ($G228, "IQ_VOLUME", EC$222),"--")</f>
        <v>0</v>
      </c>
      <c r="ED228" s="2131">
        <f>IF(ED$221,_xll.ciqfunctions.udf.CIQ($G228, "IQ_VOLUME", ED$222),"--")</f>
        <v>0</v>
      </c>
      <c r="EE228" s="2131">
        <f>IF(EE$221,_xll.ciqfunctions.udf.CIQ($G228, "IQ_VOLUME", EE$222),"--")</f>
        <v>0</v>
      </c>
      <c r="EF228" s="2131">
        <f>IF(EF$221,_xll.ciqfunctions.udf.CIQ($G228, "IQ_VOLUME", EF$222),"--")</f>
        <v>0</v>
      </c>
      <c r="EG228" s="2131">
        <f>IF(EG$221,_xll.ciqfunctions.udf.CIQ($G228, "IQ_VOLUME", EG$222),"--")</f>
        <v>0</v>
      </c>
      <c r="EH228" s="2131">
        <f>IF(EH$221,_xll.ciqfunctions.udf.CIQ($G228, "IQ_VOLUME", EH$222),"--")</f>
        <v>0</v>
      </c>
      <c r="EI228" s="2131">
        <f>IF(EI$221,_xll.ciqfunctions.udf.CIQ($G228, "IQ_VOLUME", EI$222),"--")</f>
        <v>0</v>
      </c>
      <c r="EJ228" s="2131">
        <f>IF(EJ$221,_xll.ciqfunctions.udf.CIQ($G228, "IQ_VOLUME", EJ$222),"--")</f>
        <v>0</v>
      </c>
      <c r="EK228" s="2131">
        <f>IF(EK$221,_xll.ciqfunctions.udf.CIQ($G228, "IQ_VOLUME", EK$222),"--")</f>
        <v>0</v>
      </c>
      <c r="EL228" s="2131">
        <f>IF(EL$221,_xll.ciqfunctions.udf.CIQ($G228, "IQ_VOLUME", EL$222),"--")</f>
        <v>0</v>
      </c>
      <c r="EM228" s="2131">
        <f>IF(EM$221,_xll.ciqfunctions.udf.CIQ($G228, "IQ_VOLUME", EM$222),"--")</f>
        <v>0</v>
      </c>
      <c r="EN228" s="2131">
        <f>IF(EN$221,_xll.ciqfunctions.udf.CIQ($G228, "IQ_VOLUME", EN$222),"--")</f>
        <v>0</v>
      </c>
      <c r="EO228" s="2131">
        <f>IF(EO$221,_xll.ciqfunctions.udf.CIQ($G228, "IQ_VOLUME", EO$222),"--")</f>
        <v>0</v>
      </c>
      <c r="EP228" s="2131">
        <f>IF(EP$221,_xll.ciqfunctions.udf.CIQ($G228, "IQ_VOLUME", EP$222),"--")</f>
        <v>0</v>
      </c>
      <c r="EQ228" s="2131">
        <f>IF(EQ$221,_xll.ciqfunctions.udf.CIQ($G228, "IQ_VOLUME", EQ$222),"--")</f>
        <v>0</v>
      </c>
      <c r="ER228" s="2131">
        <f>IF(ER$221,_xll.ciqfunctions.udf.CIQ($G228, "IQ_VOLUME", ER$222),"--")</f>
        <v>0</v>
      </c>
      <c r="ES228" s="2131">
        <f>IF(ES$221,_xll.ciqfunctions.udf.CIQ($G228, "IQ_VOLUME", ES$222),"--")</f>
        <v>0</v>
      </c>
      <c r="ET228" s="2131">
        <f>IF(ET$221,_xll.ciqfunctions.udf.CIQ($G228, "IQ_VOLUME", ET$222),"--")</f>
        <v>0</v>
      </c>
      <c r="EU228" s="2131">
        <f>IF(EU$221,_xll.ciqfunctions.udf.CIQ($G228, "IQ_VOLUME", EU$222),"--")</f>
        <v>0</v>
      </c>
      <c r="EV228" s="2131">
        <f>IF(EV$221,_xll.ciqfunctions.udf.CIQ($G228, "IQ_VOLUME", EV$222),"--")</f>
        <v>0</v>
      </c>
      <c r="EW228" s="2131">
        <f>IF(EW$221,_xll.ciqfunctions.udf.CIQ($G228, "IQ_VOLUME", EW$222),"--")</f>
        <v>0</v>
      </c>
      <c r="EX228" s="2131">
        <f>IF(EX$221,_xll.ciqfunctions.udf.CIQ($G228, "IQ_VOLUME", EX$222),"--")</f>
        <v>0</v>
      </c>
      <c r="EY228" s="2131">
        <f>IF(EY$221,_xll.ciqfunctions.udf.CIQ($G228, "IQ_VOLUME", EY$222),"--")</f>
        <v>0</v>
      </c>
      <c r="EZ228" s="2131">
        <f>IF(EZ$221,_xll.ciqfunctions.udf.CIQ($G228, "IQ_VOLUME", EZ$222),"--")</f>
        <v>0</v>
      </c>
      <c r="FA228" s="2131">
        <f>IF(FA$221,_xll.ciqfunctions.udf.CIQ($G228, "IQ_VOLUME", FA$222),"--")</f>
        <v>0</v>
      </c>
      <c r="FB228" s="2131">
        <f>IF(FB$221,_xll.ciqfunctions.udf.CIQ($G228, "IQ_VOLUME", FB$222),"--")</f>
        <v>0</v>
      </c>
      <c r="FC228" s="2131">
        <f>IF(FC$221,_xll.ciqfunctions.udf.CIQ($G228, "IQ_VOLUME", FC$222),"--")</f>
        <v>0</v>
      </c>
      <c r="FD228" s="2131">
        <f>IF(FD$221,_xll.ciqfunctions.udf.CIQ($G228, "IQ_VOLUME", FD$222),"--")</f>
        <v>0</v>
      </c>
      <c r="FE228" s="2131">
        <f>IF(FE$221,_xll.ciqfunctions.udf.CIQ($G228, "IQ_VOLUME", FE$222),"--")</f>
        <v>0</v>
      </c>
      <c r="FF228" s="2131">
        <f>IF(FF$221,_xll.ciqfunctions.udf.CIQ($G228, "IQ_VOLUME", FF$222),"--")</f>
        <v>0</v>
      </c>
      <c r="FG228" s="2131">
        <f>IF(FG$221,_xll.ciqfunctions.udf.CIQ($G228, "IQ_VOLUME", FG$222),"--")</f>
        <v>0</v>
      </c>
      <c r="FH228" s="2131">
        <f>IF(FH$221,_xll.ciqfunctions.udf.CIQ($G228, "IQ_VOLUME", FH$222),"--")</f>
        <v>0</v>
      </c>
      <c r="FI228" s="2131">
        <f>IF(FI$221,_xll.ciqfunctions.udf.CIQ($G228, "IQ_VOLUME", FI$222),"--")</f>
        <v>0</v>
      </c>
      <c r="FJ228" s="2131">
        <f>IF(FJ$221,_xll.ciqfunctions.udf.CIQ($G228, "IQ_VOLUME", FJ$222),"--")</f>
        <v>0</v>
      </c>
      <c r="FK228" s="2131">
        <f>IF(FK$221,_xll.ciqfunctions.udf.CIQ($G228, "IQ_VOLUME", FK$222),"--")</f>
        <v>0</v>
      </c>
      <c r="FL228" s="2131">
        <f>IF(FL$221,_xll.ciqfunctions.udf.CIQ($G228, "IQ_VOLUME", FL$222),"--")</f>
        <v>0</v>
      </c>
      <c r="FM228" s="2131">
        <f>IF(FM$221,_xll.ciqfunctions.udf.CIQ($G228, "IQ_VOLUME", FM$222),"--")</f>
        <v>0</v>
      </c>
      <c r="FN228" s="2131">
        <f>IF(FN$221,_xll.ciqfunctions.udf.CIQ($G228, "IQ_VOLUME", FN$222),"--")</f>
        <v>0</v>
      </c>
      <c r="FO228" s="2131">
        <f>IF(FO$221,_xll.ciqfunctions.udf.CIQ($G228, "IQ_VOLUME", FO$222),"--")</f>
        <v>0</v>
      </c>
      <c r="FP228" s="2131">
        <f>IF(FP$221,_xll.ciqfunctions.udf.CIQ($G228, "IQ_VOLUME", FP$222),"--")</f>
        <v>0</v>
      </c>
      <c r="FQ228" s="2131">
        <f>IF(FQ$221,_xll.ciqfunctions.udf.CIQ($G228, "IQ_VOLUME", FQ$222),"--")</f>
        <v>0</v>
      </c>
      <c r="FR228" s="2131">
        <f>IF(FR$221,_xll.ciqfunctions.udf.CIQ($G228, "IQ_VOLUME", FR$222),"--")</f>
        <v>0</v>
      </c>
      <c r="FS228" s="2131">
        <f>IF(FS$221,_xll.ciqfunctions.udf.CIQ($G228, "IQ_VOLUME", FS$222),"--")</f>
        <v>0</v>
      </c>
      <c r="FT228" s="2131">
        <f>IF(FT$221,_xll.ciqfunctions.udf.CIQ($G228, "IQ_VOLUME", FT$222),"--")</f>
        <v>0</v>
      </c>
      <c r="FU228" s="2131">
        <f>IF(FU$221,_xll.ciqfunctions.udf.CIQ($G228, "IQ_VOLUME", FU$222),"--")</f>
        <v>0</v>
      </c>
      <c r="FV228" s="2131">
        <f>IF(FV$221,_xll.ciqfunctions.udf.CIQ($G228, "IQ_VOLUME", FV$222),"--")</f>
        <v>0</v>
      </c>
      <c r="FW228" s="2131">
        <f>IF(FW$221,_xll.ciqfunctions.udf.CIQ($G228, "IQ_VOLUME", FW$222),"--")</f>
        <v>0</v>
      </c>
      <c r="FX228" s="2131">
        <f>IF(FX$221,_xll.ciqfunctions.udf.CIQ($G228, "IQ_VOLUME", FX$222),"--")</f>
        <v>0</v>
      </c>
      <c r="FY228" s="2131">
        <f>IF(FY$221,_xll.ciqfunctions.udf.CIQ($G228, "IQ_VOLUME", FY$222),"--")</f>
        <v>0</v>
      </c>
      <c r="FZ228" s="2131">
        <f>IF(FZ$221,_xll.ciqfunctions.udf.CIQ($G228, "IQ_VOLUME", FZ$222),"--")</f>
        <v>0</v>
      </c>
      <c r="GA228" s="2131">
        <f>IF(GA$221,_xll.ciqfunctions.udf.CIQ($G228, "IQ_VOLUME", GA$222),"--")</f>
        <v>0</v>
      </c>
      <c r="GB228" s="2131">
        <f>IF(GB$221,_xll.ciqfunctions.udf.CIQ($G228, "IQ_VOLUME", GB$222),"--")</f>
        <v>0</v>
      </c>
      <c r="GC228" s="2131">
        <f>IF(GC$221,_xll.ciqfunctions.udf.CIQ($G228, "IQ_VOLUME", GC$222),"--")</f>
        <v>0</v>
      </c>
      <c r="GD228" s="2131">
        <f>IF(GD$221,_xll.ciqfunctions.udf.CIQ($G228, "IQ_VOLUME", GD$222),"--")</f>
        <v>0</v>
      </c>
      <c r="GE228" s="2131">
        <f>IF(GE$221,_xll.ciqfunctions.udf.CIQ($G228, "IQ_VOLUME", GE$222),"--")</f>
        <v>0</v>
      </c>
      <c r="GF228" s="2131">
        <f>IF(GF$221,_xll.ciqfunctions.udf.CIQ($G228, "IQ_VOLUME", GF$222),"--")</f>
        <v>0</v>
      </c>
      <c r="GG228" s="2131">
        <f>IF(GG$221,_xll.ciqfunctions.udf.CIQ($G228, "IQ_VOLUME", GG$222),"--")</f>
        <v>0</v>
      </c>
      <c r="GH228" s="2131">
        <f>IF(GH$221,_xll.ciqfunctions.udf.CIQ($G228, "IQ_VOLUME", GH$222),"--")</f>
        <v>0</v>
      </c>
      <c r="GI228" s="2131">
        <f>IF(GI$221,_xll.ciqfunctions.udf.CIQ($G228, "IQ_VOLUME", GI$222),"--")</f>
        <v>0</v>
      </c>
      <c r="GJ228" s="2131">
        <f>IF(GJ$221,_xll.ciqfunctions.udf.CIQ($G228, "IQ_VOLUME", GJ$222),"--")</f>
        <v>0</v>
      </c>
      <c r="GK228" s="2131">
        <f>IF(GK$221,_xll.ciqfunctions.udf.CIQ($G228, "IQ_VOLUME", GK$222),"--")</f>
        <v>0</v>
      </c>
      <c r="GL228" s="2131">
        <f>IF(GL$221,_xll.ciqfunctions.udf.CIQ($G228, "IQ_VOLUME", GL$222),"--")</f>
        <v>0</v>
      </c>
      <c r="GM228" s="2131">
        <f>IF(GM$221,_xll.ciqfunctions.udf.CIQ($G228, "IQ_VOLUME", GM$222),"--")</f>
        <v>0</v>
      </c>
      <c r="GN228" s="2131">
        <f>IF(GN$221,_xll.ciqfunctions.udf.CIQ($G228, "IQ_VOLUME", GN$222),"--")</f>
        <v>0</v>
      </c>
      <c r="GO228" s="2131">
        <f>IF(GO$221,_xll.ciqfunctions.udf.CIQ($G228, "IQ_VOLUME", GO$222),"--")</f>
        <v>0</v>
      </c>
      <c r="GP228" s="2131">
        <f>IF(GP$221,_xll.ciqfunctions.udf.CIQ($G228, "IQ_VOLUME", GP$222),"--")</f>
        <v>0</v>
      </c>
      <c r="GQ228" s="2131">
        <f>IF(GQ$221,_xll.ciqfunctions.udf.CIQ($G228, "IQ_VOLUME", GQ$222),"--")</f>
        <v>0</v>
      </c>
      <c r="GR228" s="2131">
        <f>IF(GR$221,_xll.ciqfunctions.udf.CIQ($G228, "IQ_VOLUME", GR$222),"--")</f>
        <v>0</v>
      </c>
      <c r="GS228" s="2131">
        <f>IF(GS$221,_xll.ciqfunctions.udf.CIQ($G228, "IQ_VOLUME", GS$222),"--")</f>
        <v>0</v>
      </c>
      <c r="GT228" s="2131">
        <f>IF(GT$221,_xll.ciqfunctions.udf.CIQ($G228, "IQ_VOLUME", GT$222),"--")</f>
        <v>0</v>
      </c>
      <c r="GU228" s="2131">
        <f>IF(GU$221,_xll.ciqfunctions.udf.CIQ($G228, "IQ_VOLUME", GU$222),"--")</f>
        <v>0</v>
      </c>
      <c r="GV228" s="2131">
        <f>IF(GV$221,_xll.ciqfunctions.udf.CIQ($G228, "IQ_VOLUME", GV$222),"--")</f>
        <v>0</v>
      </c>
      <c r="GW228" s="2131">
        <f>IF(GW$221,_xll.ciqfunctions.udf.CIQ($G228, "IQ_VOLUME", GW$222),"--")</f>
        <v>0</v>
      </c>
      <c r="GX228" s="2131">
        <f>IF(GX$221,_xll.ciqfunctions.udf.CIQ($G228, "IQ_VOLUME", GX$222),"--")</f>
        <v>0</v>
      </c>
      <c r="GY228" s="2131">
        <f>IF(GY$221,_xll.ciqfunctions.udf.CIQ($G228, "IQ_VOLUME", GY$222),"--")</f>
        <v>0</v>
      </c>
      <c r="GZ228" s="2131">
        <f>IF(GZ$221,_xll.ciqfunctions.udf.CIQ($G228, "IQ_VOLUME", GZ$222),"--")</f>
        <v>0</v>
      </c>
      <c r="HA228" s="2131">
        <f>IF(HA$221,_xll.ciqfunctions.udf.CIQ($G228, "IQ_VOLUME", HA$222),"--")</f>
        <v>0</v>
      </c>
      <c r="HB228" s="2131">
        <f>IF(HB$221,_xll.ciqfunctions.udf.CIQ($G228, "IQ_VOLUME", HB$222),"--")</f>
        <v>0</v>
      </c>
      <c r="HC228" s="2131">
        <f>IF(HC$221,_xll.ciqfunctions.udf.CIQ($G228, "IQ_VOLUME", HC$222),"--")</f>
        <v>0</v>
      </c>
      <c r="HD228" s="2131">
        <f>IF(HD$221,_xll.ciqfunctions.udf.CIQ($G228, "IQ_VOLUME", HD$222),"--")</f>
        <v>0</v>
      </c>
      <c r="HE228" s="2131">
        <f>IF(HE$221,_xll.ciqfunctions.udf.CIQ($G228, "IQ_VOLUME", HE$222),"--")</f>
        <v>0</v>
      </c>
      <c r="HF228" s="2131">
        <f>IF(HF$221,_xll.ciqfunctions.udf.CIQ($G228, "IQ_VOLUME", HF$222),"--")</f>
        <v>0</v>
      </c>
      <c r="HG228" s="2131">
        <f>IF(HG$221,_xll.ciqfunctions.udf.CIQ($G228, "IQ_VOLUME", HG$222),"--")</f>
        <v>0</v>
      </c>
      <c r="HH228" s="2131">
        <f>IF(HH$221,_xll.ciqfunctions.udf.CIQ($G228, "IQ_VOLUME", HH$222),"--")</f>
        <v>0</v>
      </c>
      <c r="HI228" s="2131">
        <f>IF(HI$221,_xll.ciqfunctions.udf.CIQ($G228, "IQ_VOLUME", HI$222),"--")</f>
        <v>0</v>
      </c>
      <c r="HJ228" s="2131">
        <f>IF(HJ$221,_xll.ciqfunctions.udf.CIQ($G228, "IQ_VOLUME", HJ$222),"--")</f>
        <v>0</v>
      </c>
      <c r="HK228" s="2131">
        <f>IF(HK$221,_xll.ciqfunctions.udf.CIQ($G228, "IQ_VOLUME", HK$222),"--")</f>
        <v>0</v>
      </c>
      <c r="HL228" s="2131">
        <f>IF(HL$221,_xll.ciqfunctions.udf.CIQ($G228, "IQ_VOLUME", HL$222),"--")</f>
        <v>0</v>
      </c>
      <c r="HM228" s="2131">
        <f>IF(HM$221,_xll.ciqfunctions.udf.CIQ($G228, "IQ_VOLUME", HM$222),"--")</f>
        <v>0</v>
      </c>
      <c r="HN228" s="2131">
        <f>IF(HN$221,_xll.ciqfunctions.udf.CIQ($G228, "IQ_VOLUME", HN$222),"--")</f>
        <v>0</v>
      </c>
      <c r="HO228" s="2131">
        <f>IF(HO$221,_xll.ciqfunctions.udf.CIQ($G228, "IQ_VOLUME", HO$222),"--")</f>
        <v>0</v>
      </c>
      <c r="HP228" s="2131">
        <f>IF(HP$221,_xll.ciqfunctions.udf.CIQ($G228, "IQ_VOLUME", HP$222),"--")</f>
        <v>0</v>
      </c>
      <c r="HQ228" s="2131">
        <f>IF(HQ$221,_xll.ciqfunctions.udf.CIQ($G228, "IQ_VOLUME", HQ$222),"--")</f>
        <v>0</v>
      </c>
      <c r="HR228" s="2131">
        <f>IF(HR$221,_xll.ciqfunctions.udf.CIQ($G228, "IQ_VOLUME", HR$222),"--")</f>
        <v>0</v>
      </c>
      <c r="HS228" s="2131">
        <f>IF(HS$221,_xll.ciqfunctions.udf.CIQ($G228, "IQ_VOLUME", HS$222),"--")</f>
        <v>0</v>
      </c>
      <c r="HT228" s="2131">
        <f>IF(HT$221,_xll.ciqfunctions.udf.CIQ($G228, "IQ_VOLUME", HT$222),"--")</f>
        <v>0</v>
      </c>
      <c r="HU228" s="2131">
        <f>IF(HU$221,_xll.ciqfunctions.udf.CIQ($G228, "IQ_VOLUME", HU$222),"--")</f>
        <v>0</v>
      </c>
      <c r="HV228" s="2131">
        <f>IF(HV$221,_xll.ciqfunctions.udf.CIQ($G228, "IQ_VOLUME", HV$222),"--")</f>
        <v>0</v>
      </c>
      <c r="HW228" s="2131">
        <f>IF(HW$221,_xll.ciqfunctions.udf.CIQ($G228, "IQ_VOLUME", HW$222),"--")</f>
        <v>0</v>
      </c>
      <c r="HX228" s="2131">
        <f>IF(HX$221,_xll.ciqfunctions.udf.CIQ($G228, "IQ_VOLUME", HX$222),"--")</f>
        <v>0</v>
      </c>
      <c r="HY228" s="2131">
        <f>IF(HY$221,_xll.ciqfunctions.udf.CIQ($G228, "IQ_VOLUME", HY$222),"--")</f>
        <v>0</v>
      </c>
      <c r="HZ228" s="2131">
        <f>IF(HZ$221,_xll.ciqfunctions.udf.CIQ($G228, "IQ_VOLUME", HZ$222),"--")</f>
        <v>0</v>
      </c>
      <c r="IA228" s="2131">
        <f>IF(IA$221,_xll.ciqfunctions.udf.CIQ($G228, "IQ_VOLUME", IA$222),"--")</f>
        <v>0</v>
      </c>
      <c r="IB228" s="2131">
        <f>IF(IB$221,_xll.ciqfunctions.udf.CIQ($G228, "IQ_VOLUME", IB$222),"--")</f>
        <v>0</v>
      </c>
      <c r="IC228" s="2131">
        <f>IF(IC$221,_xll.ciqfunctions.udf.CIQ($G228, "IQ_VOLUME", IC$222),"--")</f>
        <v>0</v>
      </c>
      <c r="ID228" s="2131">
        <f>IF(ID$221,_xll.ciqfunctions.udf.CIQ($G228, "IQ_VOLUME", ID$222),"--")</f>
        <v>0</v>
      </c>
      <c r="IE228" s="2131">
        <f>IF(IE$221,_xll.ciqfunctions.udf.CIQ($G228, "IQ_VOLUME", IE$222),"--")</f>
        <v>0</v>
      </c>
      <c r="IF228" s="2131">
        <f>IF(IF$221,_xll.ciqfunctions.udf.CIQ($G228, "IQ_VOLUME", IF$222),"--")</f>
        <v>0</v>
      </c>
      <c r="IG228" s="2131">
        <f>IF(IG$221,_xll.ciqfunctions.udf.CIQ($G228, "IQ_VOLUME", IG$222),"--")</f>
        <v>0</v>
      </c>
      <c r="IH228" s="2131">
        <f>IF(IH$221,_xll.ciqfunctions.udf.CIQ($G228, "IQ_VOLUME", IH$222),"--")</f>
        <v>0</v>
      </c>
      <c r="II228" s="2131">
        <f>IF(II$221,_xll.ciqfunctions.udf.CIQ($G228, "IQ_VOLUME", II$222),"--")</f>
        <v>0</v>
      </c>
      <c r="IJ228" s="2131">
        <f>IF(IJ$221,_xll.ciqfunctions.udf.CIQ($G228, "IQ_VOLUME", IJ$222),"--")</f>
        <v>0</v>
      </c>
      <c r="IK228" s="2131">
        <f>IF(IK$221,_xll.ciqfunctions.udf.CIQ($G228, "IQ_VOLUME", IK$222),"--")</f>
        <v>0</v>
      </c>
      <c r="IL228" s="2131">
        <f>IF(IL$221,_xll.ciqfunctions.udf.CIQ($G228, "IQ_VOLUME", IL$222),"--")</f>
        <v>0</v>
      </c>
      <c r="IM228" s="2131">
        <f>IF(IM$221,_xll.ciqfunctions.udf.CIQ($G228, "IQ_VOLUME", IM$222),"--")</f>
        <v>0</v>
      </c>
      <c r="IN228" s="2131">
        <f>IF(IN$221,_xll.ciqfunctions.udf.CIQ($G228, "IQ_VOLUME", IN$222),"--")</f>
        <v>0</v>
      </c>
      <c r="IO228" s="2131">
        <f>IF(IO$221,_xll.ciqfunctions.udf.CIQ($G228, "IQ_VOLUME", IO$222),"--")</f>
        <v>0</v>
      </c>
      <c r="IP228" s="2131">
        <f>IF(IP$221,_xll.ciqfunctions.udf.CIQ($G228, "IQ_VOLUME", IP$222),"--")</f>
        <v>0</v>
      </c>
      <c r="IQ228" s="2131">
        <f>IF(IQ$221,_xll.ciqfunctions.udf.CIQ($G228, "IQ_VOLUME", IQ$222),"--")</f>
        <v>0</v>
      </c>
      <c r="IR228" s="2131">
        <f>IF(IR$221,_xll.ciqfunctions.udf.CIQ($G228, "IQ_VOLUME", IR$222),"--")</f>
        <v>0</v>
      </c>
      <c r="IS228" s="2131">
        <f>IF(IS$221,_xll.ciqfunctions.udf.CIQ($G228, "IQ_VOLUME", IS$222),"--")</f>
        <v>0</v>
      </c>
      <c r="IT228" s="2131">
        <f>IF(IT$221,_xll.ciqfunctions.udf.CIQ($G228, "IQ_VOLUME", IT$222),"--")</f>
        <v>0</v>
      </c>
      <c r="IU228" s="2131">
        <f>IF(IU$221,_xll.ciqfunctions.udf.CIQ($G228, "IQ_VOLUME", IU$222),"--")</f>
        <v>0</v>
      </c>
      <c r="IV228" s="2131">
        <f>IF(IV$221,_xll.ciqfunctions.udf.CIQ($G228, "IQ_VOLUME", IV$222),"--")</f>
        <v>0</v>
      </c>
      <c r="IW228" s="2131">
        <f>IF(IW$221,_xll.ciqfunctions.udf.CIQ($G228, "IQ_VOLUME", IW$222),"--")</f>
        <v>0</v>
      </c>
      <c r="IX228" s="2131">
        <f>IF(IX$221,_xll.ciqfunctions.udf.CIQ($G228, "IQ_VOLUME", IX$222),"--")</f>
        <v>0</v>
      </c>
      <c r="IY228" s="2131">
        <f>IF(IY$221,_xll.ciqfunctions.udf.CIQ($G228, "IQ_VOLUME", IY$222),"--")</f>
        <v>0</v>
      </c>
      <c r="IZ228" s="2131">
        <f>IF(IZ$221,_xll.ciqfunctions.udf.CIQ($G228, "IQ_VOLUME", IZ$222),"--")</f>
        <v>0</v>
      </c>
      <c r="JA228" s="2131">
        <f>IF(JA$221,_xll.ciqfunctions.udf.CIQ($G228, "IQ_VOLUME", JA$222),"--")</f>
        <v>0</v>
      </c>
      <c r="JB228" s="2131">
        <f>IF(JB$221,_xll.ciqfunctions.udf.CIQ($G228, "IQ_VOLUME", JB$222),"--")</f>
        <v>0</v>
      </c>
      <c r="JC228" s="2131">
        <f>IF(JC$221,_xll.ciqfunctions.udf.CIQ($G228, "IQ_VOLUME", JC$222),"--")</f>
        <v>0</v>
      </c>
      <c r="JD228" s="2131">
        <f>IF(JD$221,_xll.ciqfunctions.udf.CIQ($G228, "IQ_VOLUME", JD$222),"--")</f>
        <v>0</v>
      </c>
      <c r="JE228" s="2131">
        <f>IF(JE$221,_xll.ciqfunctions.udf.CIQ($G228, "IQ_VOLUME", JE$222),"--")</f>
        <v>0</v>
      </c>
      <c r="JF228" s="2131">
        <f>IF(JF$221,_xll.ciqfunctions.udf.CIQ($G228, "IQ_VOLUME", JF$222),"--")</f>
        <v>0</v>
      </c>
      <c r="JG228" s="2131">
        <f>IF(JG$221,_xll.ciqfunctions.udf.CIQ($G228, "IQ_VOLUME", JG$222),"--")</f>
        <v>0</v>
      </c>
      <c r="JH228" s="2131">
        <f>IF(JH$221,_xll.ciqfunctions.udf.CIQ($G228, "IQ_VOLUME", JH$222),"--")</f>
        <v>0</v>
      </c>
      <c r="JI228" s="2131">
        <f>IF(JI$221,_xll.ciqfunctions.udf.CIQ($G228, "IQ_VOLUME", JI$222),"--")</f>
        <v>0</v>
      </c>
      <c r="JJ228" s="2131">
        <f>IF(JJ$221,_xll.ciqfunctions.udf.CIQ($G228, "IQ_VOLUME", JJ$222),"--")</f>
        <v>0</v>
      </c>
      <c r="JK228" s="2131">
        <f>IF(JK$221,_xll.ciqfunctions.udf.CIQ($G228, "IQ_VOLUME", JK$222),"--")</f>
        <v>0</v>
      </c>
      <c r="JL228" s="2131">
        <f>IF(JL$221,_xll.ciqfunctions.udf.CIQ($G228, "IQ_VOLUME", JL$222),"--")</f>
        <v>0</v>
      </c>
      <c r="JM228" s="2131">
        <f>IF(JM$221,_xll.ciqfunctions.udf.CIQ($G228, "IQ_VOLUME", JM$222),"--")</f>
        <v>0</v>
      </c>
      <c r="JN228" s="2131">
        <f>IF(JN$221,_xll.ciqfunctions.udf.CIQ($G228, "IQ_VOLUME", JN$222),"--")</f>
        <v>0</v>
      </c>
      <c r="JO228" s="2131">
        <f>IF(JO$221,_xll.ciqfunctions.udf.CIQ($G228, "IQ_VOLUME", JO$222),"--")</f>
        <v>0</v>
      </c>
      <c r="JP228" s="2131">
        <f>IF(JP$221,_xll.ciqfunctions.udf.CIQ($G228, "IQ_VOLUME", JP$222),"--")</f>
        <v>0</v>
      </c>
      <c r="JQ228" s="2131">
        <f>IF(JQ$221,_xll.ciqfunctions.udf.CIQ($G228, "IQ_VOLUME", JQ$222),"--")</f>
        <v>0</v>
      </c>
      <c r="JR228" s="2131">
        <f>IF(JR$221,_xll.ciqfunctions.udf.CIQ($G228, "IQ_VOLUME", JR$222),"--")</f>
        <v>0</v>
      </c>
      <c r="JS228" s="2131">
        <f>IF(JS$221,_xll.ciqfunctions.udf.CIQ($G228, "IQ_VOLUME", JS$222),"--")</f>
        <v>0</v>
      </c>
      <c r="JT228" s="2131">
        <f>IF(JT$221,_xll.ciqfunctions.udf.CIQ($G228, "IQ_VOLUME", JT$222),"--")</f>
        <v>0</v>
      </c>
      <c r="JU228" s="2131">
        <f>IF(JU$221,_xll.ciqfunctions.udf.CIQ($G228, "IQ_VOLUME", JU$222),"--")</f>
        <v>0</v>
      </c>
      <c r="JV228" s="2131">
        <f>IF(JV$221,_xll.ciqfunctions.udf.CIQ($G228, "IQ_VOLUME", JV$222),"--")</f>
        <v>0</v>
      </c>
      <c r="JW228" s="2131" t="str">
        <f>IF(JW$221,_xll.ciqfunctions.udf.CIQ($G228, "IQ_VOLUME", JW$222),"--")</f>
        <v>--</v>
      </c>
      <c r="JX228" s="2131" t="str">
        <f>IF(JX$221,_xll.ciqfunctions.udf.CIQ($G228, "IQ_VOLUME", JX$222),"--")</f>
        <v>--</v>
      </c>
      <c r="JY228" s="2131" t="str">
        <f>IF(JY$221,_xll.ciqfunctions.udf.CIQ($G228, "IQ_VOLUME", JY$222),"--")</f>
        <v>--</v>
      </c>
      <c r="JZ228" s="2131" t="str">
        <f>IF(JZ$221,_xll.ciqfunctions.udf.CIQ($G228, "IQ_VOLUME", JZ$222),"--")</f>
        <v>--</v>
      </c>
      <c r="KA228" s="2131" t="str">
        <f>IF(KA$221,_xll.ciqfunctions.udf.CIQ($G228, "IQ_VOLUME", KA$222),"--")</f>
        <v>--</v>
      </c>
      <c r="KB228" s="2131" t="str">
        <f>IF(KB$221,_xll.ciqfunctions.udf.CIQ($G228, "IQ_VOLUME", KB$222),"--")</f>
        <v>--</v>
      </c>
    </row>
    <row r="229" spans="1:288" s="89" customFormat="1" ht="13.9">
      <c r="A229" s="269" t="str">
        <f t="shared" si="47"/>
        <v>n</v>
      </c>
      <c r="B229" s="2060"/>
      <c r="C229" s="72"/>
      <c r="D229" s="801"/>
      <c r="E229" s="1505">
        <v>6</v>
      </c>
      <c r="F229" s="21" t="str">
        <f>F$134</f>
        <v>--</v>
      </c>
      <c r="G229" s="2112">
        <f>G$134</f>
        <v>0</v>
      </c>
      <c r="H229" s="2112" t="str">
        <f>H$134</f>
        <v>--</v>
      </c>
      <c r="I229" s="22" t="s">
        <v>781</v>
      </c>
      <c r="J229" s="53"/>
      <c r="K229" s="2301" t="str">
        <f>IF(OR(K197=0,$G229=0),"--",IFERROR(_xll.ciqfunctions.udf.CIQ($G229,$I229,K105,Valuation_Date_GC,ReportType,DataMode,$H229,FXMode)*Scale,"--"))</f>
        <v>--</v>
      </c>
      <c r="L229" s="2301" t="str">
        <f>IF(OR(L197=0,$G229=0),"--",IFERROR(_xll.ciqfunctions.udf.CIQ($G229,$I229,L105,Valuation_Date_GC,ReportType,DataMode,$H229,FXMode)*Scale,"--"))</f>
        <v>--</v>
      </c>
      <c r="M229" s="2301" t="str">
        <f>IF(OR(M197=0,$G229=0),"--",IFERROR(_xll.ciqfunctions.udf.CIQ($G229,$I229,M105,Valuation_Date_GC,ReportType,DataMode,$H229,FXMode)*Scale,"--"))</f>
        <v>--</v>
      </c>
      <c r="N229" s="2301" t="str">
        <f>IF(OR(N197=0,$G229=0),"--",IFERROR(_xll.ciqfunctions.udf.CIQ($G229,$I229,N105,Valuation_Date_GC,ReportType,DataMode,$H229,FXMode)*Scale,"--"))</f>
        <v>--</v>
      </c>
      <c r="O229" s="1471" t="str">
        <f>IF(OR(O197=0,$G229=0),"--",IFERROR(_xll.ciqfunctions.udf.CIQ($G229,$I229,O105,Valuation_Date_GC,ReportType,DataMode,$H229,FXMode)*Scale,"--"))</f>
        <v>--</v>
      </c>
      <c r="P229" s="2301" t="str">
        <f>IF(OR(P197=0,$G229=0),"--",IFERROR(_xll.ciqfunctions.udf.CIQ($G229,$I229,P105,Valuation_Date_GC,ReportType,DataMode,$H229,FXMode)*Scale,"--"))</f>
        <v>--</v>
      </c>
      <c r="R229" s="255"/>
      <c r="T229" s="1779" t="s">
        <v>782</v>
      </c>
      <c r="U229" s="2131">
        <f>IF(U$221,_xll.ciqfunctions.udf.CIQ($G229, "IQ_VOLUME", U$222),"--")</f>
        <v>0</v>
      </c>
      <c r="V229" s="2131">
        <f>IF(V$221,_xll.ciqfunctions.udf.CIQ($G229, "IQ_VOLUME", V$222),"--")</f>
        <v>0</v>
      </c>
      <c r="W229" s="2131">
        <f>IF(W$221,_xll.ciqfunctions.udf.CIQ($G229, "IQ_VOLUME", W$222),"--")</f>
        <v>0</v>
      </c>
      <c r="X229" s="2131">
        <f>IF(X$221,_xll.ciqfunctions.udf.CIQ($G229, "IQ_VOLUME", X$222),"--")</f>
        <v>0</v>
      </c>
      <c r="Y229" s="2131">
        <f>IF(Y$221,_xll.ciqfunctions.udf.CIQ($G229, "IQ_VOLUME", Y$222),"--")</f>
        <v>0</v>
      </c>
      <c r="Z229" s="2131">
        <f>IF(Z$221,_xll.ciqfunctions.udf.CIQ($G229, "IQ_VOLUME", Z$222),"--")</f>
        <v>0</v>
      </c>
      <c r="AA229" s="2131">
        <f>IF(AA$221,_xll.ciqfunctions.udf.CIQ($G229, "IQ_VOLUME", AA$222),"--")</f>
        <v>0</v>
      </c>
      <c r="AB229" s="2131">
        <f>IF(AB$221,_xll.ciqfunctions.udf.CIQ($G229, "IQ_VOLUME", AB$222),"--")</f>
        <v>0</v>
      </c>
      <c r="AC229" s="2131">
        <f>IF(AC$221,_xll.ciqfunctions.udf.CIQ($G229, "IQ_VOLUME", AC$222),"--")</f>
        <v>0</v>
      </c>
      <c r="AD229" s="2131">
        <f>IF(AD$221,_xll.ciqfunctions.udf.CIQ($G229, "IQ_VOLUME", AD$222),"--")</f>
        <v>0</v>
      </c>
      <c r="AE229" s="2131">
        <f>IF(AE$221,_xll.ciqfunctions.udf.CIQ($G229, "IQ_VOLUME", AE$222),"--")</f>
        <v>0</v>
      </c>
      <c r="AF229" s="2131">
        <f>IF(AF$221,_xll.ciqfunctions.udf.CIQ($G229, "IQ_VOLUME", AF$222),"--")</f>
        <v>0</v>
      </c>
      <c r="AG229" s="2131">
        <f>IF(AG$221,_xll.ciqfunctions.udf.CIQ($G229, "IQ_VOLUME", AG$222),"--")</f>
        <v>0</v>
      </c>
      <c r="AH229" s="2131">
        <f>IF(AH$221,_xll.ciqfunctions.udf.CIQ($G229, "IQ_VOLUME", AH$222),"--")</f>
        <v>0</v>
      </c>
      <c r="AI229" s="2131">
        <f>IF(AI$221,_xll.ciqfunctions.udf.CIQ($G229, "IQ_VOLUME", AI$222),"--")</f>
        <v>0</v>
      </c>
      <c r="AJ229" s="2131">
        <f>IF(AJ$221,_xll.ciqfunctions.udf.CIQ($G229, "IQ_VOLUME", AJ$222),"--")</f>
        <v>0</v>
      </c>
      <c r="AK229" s="2131">
        <f>IF(AK$221,_xll.ciqfunctions.udf.CIQ($G229, "IQ_VOLUME", AK$222),"--")</f>
        <v>0</v>
      </c>
      <c r="AL229" s="2131">
        <f>IF(AL$221,_xll.ciqfunctions.udf.CIQ($G229, "IQ_VOLUME", AL$222),"--")</f>
        <v>0</v>
      </c>
      <c r="AM229" s="2131">
        <f>IF(AM$221,_xll.ciqfunctions.udf.CIQ($G229, "IQ_VOLUME", AM$222),"--")</f>
        <v>0</v>
      </c>
      <c r="AN229" s="2131">
        <f>IF(AN$221,_xll.ciqfunctions.udf.CIQ($G229, "IQ_VOLUME", AN$222),"--")</f>
        <v>0</v>
      </c>
      <c r="AO229" s="2131">
        <f>IF(AO$221,_xll.ciqfunctions.udf.CIQ($G229, "IQ_VOLUME", AO$222),"--")</f>
        <v>0</v>
      </c>
      <c r="AP229" s="2131">
        <f>IF(AP$221,_xll.ciqfunctions.udf.CIQ($G229, "IQ_VOLUME", AP$222),"--")</f>
        <v>0</v>
      </c>
      <c r="AQ229" s="2131">
        <f>IF(AQ$221,_xll.ciqfunctions.udf.CIQ($G229, "IQ_VOLUME", AQ$222),"--")</f>
        <v>0</v>
      </c>
      <c r="AR229" s="2131">
        <f>IF(AR$221,_xll.ciqfunctions.udf.CIQ($G229, "IQ_VOLUME", AR$222),"--")</f>
        <v>0</v>
      </c>
      <c r="AS229" s="2131">
        <f>IF(AS$221,_xll.ciqfunctions.udf.CIQ($G229, "IQ_VOLUME", AS$222),"--")</f>
        <v>0</v>
      </c>
      <c r="AT229" s="2131">
        <f>IF(AT$221,_xll.ciqfunctions.udf.CIQ($G229, "IQ_VOLUME", AT$222),"--")</f>
        <v>0</v>
      </c>
      <c r="AU229" s="2131">
        <f>IF(AU$221,_xll.ciqfunctions.udf.CIQ($G229, "IQ_VOLUME", AU$222),"--")</f>
        <v>0</v>
      </c>
      <c r="AV229" s="2131">
        <f>IF(AV$221,_xll.ciqfunctions.udf.CIQ($G229, "IQ_VOLUME", AV$222),"--")</f>
        <v>0</v>
      </c>
      <c r="AW229" s="2131">
        <f>IF(AW$221,_xll.ciqfunctions.udf.CIQ($G229, "IQ_VOLUME", AW$222),"--")</f>
        <v>0</v>
      </c>
      <c r="AX229" s="2131">
        <f>IF(AX$221,_xll.ciqfunctions.udf.CIQ($G229, "IQ_VOLUME", AX$222),"--")</f>
        <v>0</v>
      </c>
      <c r="AY229" s="2131">
        <f>IF(AY$221,_xll.ciqfunctions.udf.CIQ($G229, "IQ_VOLUME", AY$222),"--")</f>
        <v>0</v>
      </c>
      <c r="AZ229" s="2131">
        <f>IF(AZ$221,_xll.ciqfunctions.udf.CIQ($G229, "IQ_VOLUME", AZ$222),"--")</f>
        <v>0</v>
      </c>
      <c r="BA229" s="2131">
        <f>IF(BA$221,_xll.ciqfunctions.udf.CIQ($G229, "IQ_VOLUME", BA$222),"--")</f>
        <v>0</v>
      </c>
      <c r="BB229" s="2131">
        <f>IF(BB$221,_xll.ciqfunctions.udf.CIQ($G229, "IQ_VOLUME", BB$222),"--")</f>
        <v>0</v>
      </c>
      <c r="BC229" s="2131">
        <f>IF(BC$221,_xll.ciqfunctions.udf.CIQ($G229, "IQ_VOLUME", BC$222),"--")</f>
        <v>0</v>
      </c>
      <c r="BD229" s="2131">
        <f>IF(BD$221,_xll.ciqfunctions.udf.CIQ($G229, "IQ_VOLUME", BD$222),"--")</f>
        <v>0</v>
      </c>
      <c r="BE229" s="2131">
        <f>IF(BE$221,_xll.ciqfunctions.udf.CIQ($G229, "IQ_VOLUME", BE$222),"--")</f>
        <v>0</v>
      </c>
      <c r="BF229" s="2131">
        <f>IF(BF$221,_xll.ciqfunctions.udf.CIQ($G229, "IQ_VOLUME", BF$222),"--")</f>
        <v>0</v>
      </c>
      <c r="BG229" s="2131">
        <f>IF(BG$221,_xll.ciqfunctions.udf.CIQ($G229, "IQ_VOLUME", BG$222),"--")</f>
        <v>0</v>
      </c>
      <c r="BH229" s="2131">
        <f>IF(BH$221,_xll.ciqfunctions.udf.CIQ($G229, "IQ_VOLUME", BH$222),"--")</f>
        <v>0</v>
      </c>
      <c r="BI229" s="2131">
        <f>IF(BI$221,_xll.ciqfunctions.udf.CIQ($G229, "IQ_VOLUME", BI$222),"--")</f>
        <v>0</v>
      </c>
      <c r="BJ229" s="2131">
        <f>IF(BJ$221,_xll.ciqfunctions.udf.CIQ($G229, "IQ_VOLUME", BJ$222),"--")</f>
        <v>0</v>
      </c>
      <c r="BK229" s="2131">
        <f>IF(BK$221,_xll.ciqfunctions.udf.CIQ($G229, "IQ_VOLUME", BK$222),"--")</f>
        <v>0</v>
      </c>
      <c r="BL229" s="2131">
        <f>IF(BL$221,_xll.ciqfunctions.udf.CIQ($G229, "IQ_VOLUME", BL$222),"--")</f>
        <v>0</v>
      </c>
      <c r="BM229" s="2131">
        <f>IF(BM$221,_xll.ciqfunctions.udf.CIQ($G229, "IQ_VOLUME", BM$222),"--")</f>
        <v>0</v>
      </c>
      <c r="BN229" s="2131">
        <f>IF(BN$221,_xll.ciqfunctions.udf.CIQ($G229, "IQ_VOLUME", BN$222),"--")</f>
        <v>0</v>
      </c>
      <c r="BO229" s="2131">
        <f>IF(BO$221,_xll.ciqfunctions.udf.CIQ($G229, "IQ_VOLUME", BO$222),"--")</f>
        <v>0</v>
      </c>
      <c r="BP229" s="2131">
        <f>IF(BP$221,_xll.ciqfunctions.udf.CIQ($G229, "IQ_VOLUME", BP$222),"--")</f>
        <v>0</v>
      </c>
      <c r="BQ229" s="2131">
        <f>IF(BQ$221,_xll.ciqfunctions.udf.CIQ($G229, "IQ_VOLUME", BQ$222),"--")</f>
        <v>0</v>
      </c>
      <c r="BR229" s="2131">
        <f>IF(BR$221,_xll.ciqfunctions.udf.CIQ($G229, "IQ_VOLUME", BR$222),"--")</f>
        <v>0</v>
      </c>
      <c r="BS229" s="2131">
        <f>IF(BS$221,_xll.ciqfunctions.udf.CIQ($G229, "IQ_VOLUME", BS$222),"--")</f>
        <v>0</v>
      </c>
      <c r="BT229" s="2131">
        <f>IF(BT$221,_xll.ciqfunctions.udf.CIQ($G229, "IQ_VOLUME", BT$222),"--")</f>
        <v>0</v>
      </c>
      <c r="BU229" s="2131">
        <f>IF(BU$221,_xll.ciqfunctions.udf.CIQ($G229, "IQ_VOLUME", BU$222),"--")</f>
        <v>0</v>
      </c>
      <c r="BV229" s="2131">
        <f>IF(BV$221,_xll.ciqfunctions.udf.CIQ($G229, "IQ_VOLUME", BV$222),"--")</f>
        <v>0</v>
      </c>
      <c r="BW229" s="2131">
        <f>IF(BW$221,_xll.ciqfunctions.udf.CIQ($G229, "IQ_VOLUME", BW$222),"--")</f>
        <v>0</v>
      </c>
      <c r="BX229" s="2131">
        <f>IF(BX$221,_xll.ciqfunctions.udf.CIQ($G229, "IQ_VOLUME", BX$222),"--")</f>
        <v>0</v>
      </c>
      <c r="BY229" s="2131">
        <f>IF(BY$221,_xll.ciqfunctions.udf.CIQ($G229, "IQ_VOLUME", BY$222),"--")</f>
        <v>0</v>
      </c>
      <c r="BZ229" s="2131">
        <f>IF(BZ$221,_xll.ciqfunctions.udf.CIQ($G229, "IQ_VOLUME", BZ$222),"--")</f>
        <v>0</v>
      </c>
      <c r="CA229" s="2131">
        <f>IF(CA$221,_xll.ciqfunctions.udf.CIQ($G229, "IQ_VOLUME", CA$222),"--")</f>
        <v>0</v>
      </c>
      <c r="CB229" s="2131">
        <f>IF(CB$221,_xll.ciqfunctions.udf.CIQ($G229, "IQ_VOLUME", CB$222),"--")</f>
        <v>0</v>
      </c>
      <c r="CC229" s="2131">
        <f>IF(CC$221,_xll.ciqfunctions.udf.CIQ($G229, "IQ_VOLUME", CC$222),"--")</f>
        <v>0</v>
      </c>
      <c r="CD229" s="2131">
        <f>IF(CD$221,_xll.ciqfunctions.udf.CIQ($G229, "IQ_VOLUME", CD$222),"--")</f>
        <v>0</v>
      </c>
      <c r="CE229" s="2131">
        <f>IF(CE$221,_xll.ciqfunctions.udf.CIQ($G229, "IQ_VOLUME", CE$222),"--")</f>
        <v>0</v>
      </c>
      <c r="CF229" s="2131">
        <f>IF(CF$221,_xll.ciqfunctions.udf.CIQ($G229, "IQ_VOLUME", CF$222),"--")</f>
        <v>0</v>
      </c>
      <c r="CG229" s="2131">
        <f>IF(CG$221,_xll.ciqfunctions.udf.CIQ($G229, "IQ_VOLUME", CG$222),"--")</f>
        <v>0</v>
      </c>
      <c r="CH229" s="2131">
        <f>IF(CH$221,_xll.ciqfunctions.udf.CIQ($G229, "IQ_VOLUME", CH$222),"--")</f>
        <v>0</v>
      </c>
      <c r="CI229" s="2131">
        <f>IF(CI$221,_xll.ciqfunctions.udf.CIQ($G229, "IQ_VOLUME", CI$222),"--")</f>
        <v>0</v>
      </c>
      <c r="CJ229" s="2131">
        <f>IF(CJ$221,_xll.ciqfunctions.udf.CIQ($G229, "IQ_VOLUME", CJ$222),"--")</f>
        <v>0</v>
      </c>
      <c r="CK229" s="2131">
        <f>IF(CK$221,_xll.ciqfunctions.udf.CIQ($G229, "IQ_VOLUME", CK$222),"--")</f>
        <v>0</v>
      </c>
      <c r="CL229" s="2131">
        <f>IF(CL$221,_xll.ciqfunctions.udf.CIQ($G229, "IQ_VOLUME", CL$222),"--")</f>
        <v>0</v>
      </c>
      <c r="CM229" s="2131">
        <f>IF(CM$221,_xll.ciqfunctions.udf.CIQ($G229, "IQ_VOLUME", CM$222),"--")</f>
        <v>0</v>
      </c>
      <c r="CN229" s="2131">
        <f>IF(CN$221,_xll.ciqfunctions.udf.CIQ($G229, "IQ_VOLUME", CN$222),"--")</f>
        <v>0</v>
      </c>
      <c r="CO229" s="2131">
        <f>IF(CO$221,_xll.ciqfunctions.udf.CIQ($G229, "IQ_VOLUME", CO$222),"--")</f>
        <v>0</v>
      </c>
      <c r="CP229" s="2131">
        <f>IF(CP$221,_xll.ciqfunctions.udf.CIQ($G229, "IQ_VOLUME", CP$222),"--")</f>
        <v>0</v>
      </c>
      <c r="CQ229" s="2131">
        <f>IF(CQ$221,_xll.ciqfunctions.udf.CIQ($G229, "IQ_VOLUME", CQ$222),"--")</f>
        <v>0</v>
      </c>
      <c r="CR229" s="2131">
        <f>IF(CR$221,_xll.ciqfunctions.udf.CIQ($G229, "IQ_VOLUME", CR$222),"--")</f>
        <v>0</v>
      </c>
      <c r="CS229" s="2131">
        <f>IF(CS$221,_xll.ciqfunctions.udf.CIQ($G229, "IQ_VOLUME", CS$222),"--")</f>
        <v>0</v>
      </c>
      <c r="CT229" s="2131">
        <f>IF(CT$221,_xll.ciqfunctions.udf.CIQ($G229, "IQ_VOLUME", CT$222),"--")</f>
        <v>0</v>
      </c>
      <c r="CU229" s="2131">
        <f>IF(CU$221,_xll.ciqfunctions.udf.CIQ($G229, "IQ_VOLUME", CU$222),"--")</f>
        <v>0</v>
      </c>
      <c r="CV229" s="2131">
        <f>IF(CV$221,_xll.ciqfunctions.udf.CIQ($G229, "IQ_VOLUME", CV$222),"--")</f>
        <v>0</v>
      </c>
      <c r="CW229" s="2131">
        <f>IF(CW$221,_xll.ciqfunctions.udf.CIQ($G229, "IQ_VOLUME", CW$222),"--")</f>
        <v>0</v>
      </c>
      <c r="CX229" s="2131">
        <f>IF(CX$221,_xll.ciqfunctions.udf.CIQ($G229, "IQ_VOLUME", CX$222),"--")</f>
        <v>0</v>
      </c>
      <c r="CY229" s="2131">
        <f>IF(CY$221,_xll.ciqfunctions.udf.CIQ($G229, "IQ_VOLUME", CY$222),"--")</f>
        <v>0</v>
      </c>
      <c r="CZ229" s="2131">
        <f>IF(CZ$221,_xll.ciqfunctions.udf.CIQ($G229, "IQ_VOLUME", CZ$222),"--")</f>
        <v>0</v>
      </c>
      <c r="DA229" s="2131">
        <f>IF(DA$221,_xll.ciqfunctions.udf.CIQ($G229, "IQ_VOLUME", DA$222),"--")</f>
        <v>0</v>
      </c>
      <c r="DB229" s="2131">
        <f>IF(DB$221,_xll.ciqfunctions.udf.CIQ($G229, "IQ_VOLUME", DB$222),"--")</f>
        <v>0</v>
      </c>
      <c r="DC229" s="2131">
        <f>IF(DC$221,_xll.ciqfunctions.udf.CIQ($G229, "IQ_VOLUME", DC$222),"--")</f>
        <v>0</v>
      </c>
      <c r="DD229" s="2131">
        <f>IF(DD$221,_xll.ciqfunctions.udf.CIQ($G229, "IQ_VOLUME", DD$222),"--")</f>
        <v>0</v>
      </c>
      <c r="DE229" s="2131">
        <f>IF(DE$221,_xll.ciqfunctions.udf.CIQ($G229, "IQ_VOLUME", DE$222),"--")</f>
        <v>0</v>
      </c>
      <c r="DF229" s="2131">
        <f>IF(DF$221,_xll.ciqfunctions.udf.CIQ($G229, "IQ_VOLUME", DF$222),"--")</f>
        <v>0</v>
      </c>
      <c r="DG229" s="2131">
        <f>IF(DG$221,_xll.ciqfunctions.udf.CIQ($G229, "IQ_VOLUME", DG$222),"--")</f>
        <v>0</v>
      </c>
      <c r="DH229" s="2131">
        <f>IF(DH$221,_xll.ciqfunctions.udf.CIQ($G229, "IQ_VOLUME", DH$222),"--")</f>
        <v>0</v>
      </c>
      <c r="DI229" s="2131">
        <f>IF(DI$221,_xll.ciqfunctions.udf.CIQ($G229, "IQ_VOLUME", DI$222),"--")</f>
        <v>0</v>
      </c>
      <c r="DJ229" s="2131">
        <f>IF(DJ$221,_xll.ciqfunctions.udf.CIQ($G229, "IQ_VOLUME", DJ$222),"--")</f>
        <v>0</v>
      </c>
      <c r="DK229" s="2131">
        <f>IF(DK$221,_xll.ciqfunctions.udf.CIQ($G229, "IQ_VOLUME", DK$222),"--")</f>
        <v>0</v>
      </c>
      <c r="DL229" s="2131">
        <f>IF(DL$221,_xll.ciqfunctions.udf.CIQ($G229, "IQ_VOLUME", DL$222),"--")</f>
        <v>0</v>
      </c>
      <c r="DM229" s="2131">
        <f>IF(DM$221,_xll.ciqfunctions.udf.CIQ($G229, "IQ_VOLUME", DM$222),"--")</f>
        <v>0</v>
      </c>
      <c r="DN229" s="2131">
        <f>IF(DN$221,_xll.ciqfunctions.udf.CIQ($G229, "IQ_VOLUME", DN$222),"--")</f>
        <v>0</v>
      </c>
      <c r="DO229" s="2131">
        <f>IF(DO$221,_xll.ciqfunctions.udf.CIQ($G229, "IQ_VOLUME", DO$222),"--")</f>
        <v>0</v>
      </c>
      <c r="DP229" s="2131">
        <f>IF(DP$221,_xll.ciqfunctions.udf.CIQ($G229, "IQ_VOLUME", DP$222),"--")</f>
        <v>0</v>
      </c>
      <c r="DQ229" s="2131">
        <f>IF(DQ$221,_xll.ciqfunctions.udf.CIQ($G229, "IQ_VOLUME", DQ$222),"--")</f>
        <v>0</v>
      </c>
      <c r="DR229" s="2131">
        <f>IF(DR$221,_xll.ciqfunctions.udf.CIQ($G229, "IQ_VOLUME", DR$222),"--")</f>
        <v>0</v>
      </c>
      <c r="DS229" s="2131">
        <f>IF(DS$221,_xll.ciqfunctions.udf.CIQ($G229, "IQ_VOLUME", DS$222),"--")</f>
        <v>0</v>
      </c>
      <c r="DT229" s="2131">
        <f>IF(DT$221,_xll.ciqfunctions.udf.CIQ($G229, "IQ_VOLUME", DT$222),"--")</f>
        <v>0</v>
      </c>
      <c r="DU229" s="2131">
        <f>IF(DU$221,_xll.ciqfunctions.udf.CIQ($G229, "IQ_VOLUME", DU$222),"--")</f>
        <v>0</v>
      </c>
      <c r="DV229" s="2131">
        <f>IF(DV$221,_xll.ciqfunctions.udf.CIQ($G229, "IQ_VOLUME", DV$222),"--")</f>
        <v>0</v>
      </c>
      <c r="DW229" s="2131">
        <f>IF(DW$221,_xll.ciqfunctions.udf.CIQ($G229, "IQ_VOLUME", DW$222),"--")</f>
        <v>0</v>
      </c>
      <c r="DX229" s="2131">
        <f>IF(DX$221,_xll.ciqfunctions.udf.CIQ($G229, "IQ_VOLUME", DX$222),"--")</f>
        <v>0</v>
      </c>
      <c r="DY229" s="2131">
        <f>IF(DY$221,_xll.ciqfunctions.udf.CIQ($G229, "IQ_VOLUME", DY$222),"--")</f>
        <v>0</v>
      </c>
      <c r="DZ229" s="2131">
        <f>IF(DZ$221,_xll.ciqfunctions.udf.CIQ($G229, "IQ_VOLUME", DZ$222),"--")</f>
        <v>0</v>
      </c>
      <c r="EA229" s="2131">
        <f>IF(EA$221,_xll.ciqfunctions.udf.CIQ($G229, "IQ_VOLUME", EA$222),"--")</f>
        <v>0</v>
      </c>
      <c r="EB229" s="2131">
        <f>IF(EB$221,_xll.ciqfunctions.udf.CIQ($G229, "IQ_VOLUME", EB$222),"--")</f>
        <v>0</v>
      </c>
      <c r="EC229" s="2131">
        <f>IF(EC$221,_xll.ciqfunctions.udf.CIQ($G229, "IQ_VOLUME", EC$222),"--")</f>
        <v>0</v>
      </c>
      <c r="ED229" s="2131">
        <f>IF(ED$221,_xll.ciqfunctions.udf.CIQ($G229, "IQ_VOLUME", ED$222),"--")</f>
        <v>0</v>
      </c>
      <c r="EE229" s="2131">
        <f>IF(EE$221,_xll.ciqfunctions.udf.CIQ($G229, "IQ_VOLUME", EE$222),"--")</f>
        <v>0</v>
      </c>
      <c r="EF229" s="2131">
        <f>IF(EF$221,_xll.ciqfunctions.udf.CIQ($G229, "IQ_VOLUME", EF$222),"--")</f>
        <v>0</v>
      </c>
      <c r="EG229" s="2131">
        <f>IF(EG$221,_xll.ciqfunctions.udf.CIQ($G229, "IQ_VOLUME", EG$222),"--")</f>
        <v>0</v>
      </c>
      <c r="EH229" s="2131">
        <f>IF(EH$221,_xll.ciqfunctions.udf.CIQ($G229, "IQ_VOLUME", EH$222),"--")</f>
        <v>0</v>
      </c>
      <c r="EI229" s="2131">
        <f>IF(EI$221,_xll.ciqfunctions.udf.CIQ($G229, "IQ_VOLUME", EI$222),"--")</f>
        <v>0</v>
      </c>
      <c r="EJ229" s="2131">
        <f>IF(EJ$221,_xll.ciqfunctions.udf.CIQ($G229, "IQ_VOLUME", EJ$222),"--")</f>
        <v>0</v>
      </c>
      <c r="EK229" s="2131">
        <f>IF(EK$221,_xll.ciqfunctions.udf.CIQ($G229, "IQ_VOLUME", EK$222),"--")</f>
        <v>0</v>
      </c>
      <c r="EL229" s="2131">
        <f>IF(EL$221,_xll.ciqfunctions.udf.CIQ($G229, "IQ_VOLUME", EL$222),"--")</f>
        <v>0</v>
      </c>
      <c r="EM229" s="2131">
        <f>IF(EM$221,_xll.ciqfunctions.udf.CIQ($G229, "IQ_VOLUME", EM$222),"--")</f>
        <v>0</v>
      </c>
      <c r="EN229" s="2131">
        <f>IF(EN$221,_xll.ciqfunctions.udf.CIQ($G229, "IQ_VOLUME", EN$222),"--")</f>
        <v>0</v>
      </c>
      <c r="EO229" s="2131">
        <f>IF(EO$221,_xll.ciqfunctions.udf.CIQ($G229, "IQ_VOLUME", EO$222),"--")</f>
        <v>0</v>
      </c>
      <c r="EP229" s="2131">
        <f>IF(EP$221,_xll.ciqfunctions.udf.CIQ($G229, "IQ_VOLUME", EP$222),"--")</f>
        <v>0</v>
      </c>
      <c r="EQ229" s="2131">
        <f>IF(EQ$221,_xll.ciqfunctions.udf.CIQ($G229, "IQ_VOLUME", EQ$222),"--")</f>
        <v>0</v>
      </c>
      <c r="ER229" s="2131">
        <f>IF(ER$221,_xll.ciqfunctions.udf.CIQ($G229, "IQ_VOLUME", ER$222),"--")</f>
        <v>0</v>
      </c>
      <c r="ES229" s="2131">
        <f>IF(ES$221,_xll.ciqfunctions.udf.CIQ($G229, "IQ_VOLUME", ES$222),"--")</f>
        <v>0</v>
      </c>
      <c r="ET229" s="2131">
        <f>IF(ET$221,_xll.ciqfunctions.udf.CIQ($G229, "IQ_VOLUME", ET$222),"--")</f>
        <v>0</v>
      </c>
      <c r="EU229" s="2131">
        <f>IF(EU$221,_xll.ciqfunctions.udf.CIQ($G229, "IQ_VOLUME", EU$222),"--")</f>
        <v>0</v>
      </c>
      <c r="EV229" s="2131">
        <f>IF(EV$221,_xll.ciqfunctions.udf.CIQ($G229, "IQ_VOLUME", EV$222),"--")</f>
        <v>0</v>
      </c>
      <c r="EW229" s="2131">
        <f>IF(EW$221,_xll.ciqfunctions.udf.CIQ($G229, "IQ_VOLUME", EW$222),"--")</f>
        <v>0</v>
      </c>
      <c r="EX229" s="2131">
        <f>IF(EX$221,_xll.ciqfunctions.udf.CIQ($G229, "IQ_VOLUME", EX$222),"--")</f>
        <v>0</v>
      </c>
      <c r="EY229" s="2131">
        <f>IF(EY$221,_xll.ciqfunctions.udf.CIQ($G229, "IQ_VOLUME", EY$222),"--")</f>
        <v>0</v>
      </c>
      <c r="EZ229" s="2131">
        <f>IF(EZ$221,_xll.ciqfunctions.udf.CIQ($G229, "IQ_VOLUME", EZ$222),"--")</f>
        <v>0</v>
      </c>
      <c r="FA229" s="2131">
        <f>IF(FA$221,_xll.ciqfunctions.udf.CIQ($G229, "IQ_VOLUME", FA$222),"--")</f>
        <v>0</v>
      </c>
      <c r="FB229" s="2131">
        <f>IF(FB$221,_xll.ciqfunctions.udf.CIQ($G229, "IQ_VOLUME", FB$222),"--")</f>
        <v>0</v>
      </c>
      <c r="FC229" s="2131">
        <f>IF(FC$221,_xll.ciqfunctions.udf.CIQ($G229, "IQ_VOLUME", FC$222),"--")</f>
        <v>0</v>
      </c>
      <c r="FD229" s="2131">
        <f>IF(FD$221,_xll.ciqfunctions.udf.CIQ($G229, "IQ_VOLUME", FD$222),"--")</f>
        <v>0</v>
      </c>
      <c r="FE229" s="2131">
        <f>IF(FE$221,_xll.ciqfunctions.udf.CIQ($G229, "IQ_VOLUME", FE$222),"--")</f>
        <v>0</v>
      </c>
      <c r="FF229" s="2131">
        <f>IF(FF$221,_xll.ciqfunctions.udf.CIQ($G229, "IQ_VOLUME", FF$222),"--")</f>
        <v>0</v>
      </c>
      <c r="FG229" s="2131">
        <f>IF(FG$221,_xll.ciqfunctions.udf.CIQ($G229, "IQ_VOLUME", FG$222),"--")</f>
        <v>0</v>
      </c>
      <c r="FH229" s="2131">
        <f>IF(FH$221,_xll.ciqfunctions.udf.CIQ($G229, "IQ_VOLUME", FH$222),"--")</f>
        <v>0</v>
      </c>
      <c r="FI229" s="2131">
        <f>IF(FI$221,_xll.ciqfunctions.udf.CIQ($G229, "IQ_VOLUME", FI$222),"--")</f>
        <v>0</v>
      </c>
      <c r="FJ229" s="2131">
        <f>IF(FJ$221,_xll.ciqfunctions.udf.CIQ($G229, "IQ_VOLUME", FJ$222),"--")</f>
        <v>0</v>
      </c>
      <c r="FK229" s="2131">
        <f>IF(FK$221,_xll.ciqfunctions.udf.CIQ($G229, "IQ_VOLUME", FK$222),"--")</f>
        <v>0</v>
      </c>
      <c r="FL229" s="2131">
        <f>IF(FL$221,_xll.ciqfunctions.udf.CIQ($G229, "IQ_VOLUME", FL$222),"--")</f>
        <v>0</v>
      </c>
      <c r="FM229" s="2131">
        <f>IF(FM$221,_xll.ciqfunctions.udf.CIQ($G229, "IQ_VOLUME", FM$222),"--")</f>
        <v>0</v>
      </c>
      <c r="FN229" s="2131">
        <f>IF(FN$221,_xll.ciqfunctions.udf.CIQ($G229, "IQ_VOLUME", FN$222),"--")</f>
        <v>0</v>
      </c>
      <c r="FO229" s="2131">
        <f>IF(FO$221,_xll.ciqfunctions.udf.CIQ($G229, "IQ_VOLUME", FO$222),"--")</f>
        <v>0</v>
      </c>
      <c r="FP229" s="2131">
        <f>IF(FP$221,_xll.ciqfunctions.udf.CIQ($G229, "IQ_VOLUME", FP$222),"--")</f>
        <v>0</v>
      </c>
      <c r="FQ229" s="2131">
        <f>IF(FQ$221,_xll.ciqfunctions.udf.CIQ($G229, "IQ_VOLUME", FQ$222),"--")</f>
        <v>0</v>
      </c>
      <c r="FR229" s="2131">
        <f>IF(FR$221,_xll.ciqfunctions.udf.CIQ($G229, "IQ_VOLUME", FR$222),"--")</f>
        <v>0</v>
      </c>
      <c r="FS229" s="2131">
        <f>IF(FS$221,_xll.ciqfunctions.udf.CIQ($G229, "IQ_VOLUME", FS$222),"--")</f>
        <v>0</v>
      </c>
      <c r="FT229" s="2131">
        <f>IF(FT$221,_xll.ciqfunctions.udf.CIQ($G229, "IQ_VOLUME", FT$222),"--")</f>
        <v>0</v>
      </c>
      <c r="FU229" s="2131">
        <f>IF(FU$221,_xll.ciqfunctions.udf.CIQ($G229, "IQ_VOLUME", FU$222),"--")</f>
        <v>0</v>
      </c>
      <c r="FV229" s="2131">
        <f>IF(FV$221,_xll.ciqfunctions.udf.CIQ($G229, "IQ_VOLUME", FV$222),"--")</f>
        <v>0</v>
      </c>
      <c r="FW229" s="2131">
        <f>IF(FW$221,_xll.ciqfunctions.udf.CIQ($G229, "IQ_VOLUME", FW$222),"--")</f>
        <v>0</v>
      </c>
      <c r="FX229" s="2131">
        <f>IF(FX$221,_xll.ciqfunctions.udf.CIQ($G229, "IQ_VOLUME", FX$222),"--")</f>
        <v>0</v>
      </c>
      <c r="FY229" s="2131">
        <f>IF(FY$221,_xll.ciqfunctions.udf.CIQ($G229, "IQ_VOLUME", FY$222),"--")</f>
        <v>0</v>
      </c>
      <c r="FZ229" s="2131">
        <f>IF(FZ$221,_xll.ciqfunctions.udf.CIQ($G229, "IQ_VOLUME", FZ$222),"--")</f>
        <v>0</v>
      </c>
      <c r="GA229" s="2131">
        <f>IF(GA$221,_xll.ciqfunctions.udf.CIQ($G229, "IQ_VOLUME", GA$222),"--")</f>
        <v>0</v>
      </c>
      <c r="GB229" s="2131">
        <f>IF(GB$221,_xll.ciqfunctions.udf.CIQ($G229, "IQ_VOLUME", GB$222),"--")</f>
        <v>0</v>
      </c>
      <c r="GC229" s="2131">
        <f>IF(GC$221,_xll.ciqfunctions.udf.CIQ($G229, "IQ_VOLUME", GC$222),"--")</f>
        <v>0</v>
      </c>
      <c r="GD229" s="2131">
        <f>IF(GD$221,_xll.ciqfunctions.udf.CIQ($G229, "IQ_VOLUME", GD$222),"--")</f>
        <v>0</v>
      </c>
      <c r="GE229" s="2131">
        <f>IF(GE$221,_xll.ciqfunctions.udf.CIQ($G229, "IQ_VOLUME", GE$222),"--")</f>
        <v>0</v>
      </c>
      <c r="GF229" s="2131">
        <f>IF(GF$221,_xll.ciqfunctions.udf.CIQ($G229, "IQ_VOLUME", GF$222),"--")</f>
        <v>0</v>
      </c>
      <c r="GG229" s="2131">
        <f>IF(GG$221,_xll.ciqfunctions.udf.CIQ($G229, "IQ_VOLUME", GG$222),"--")</f>
        <v>0</v>
      </c>
      <c r="GH229" s="2131">
        <f>IF(GH$221,_xll.ciqfunctions.udf.CIQ($G229, "IQ_VOLUME", GH$222),"--")</f>
        <v>0</v>
      </c>
      <c r="GI229" s="2131">
        <f>IF(GI$221,_xll.ciqfunctions.udf.CIQ($G229, "IQ_VOLUME", GI$222),"--")</f>
        <v>0</v>
      </c>
      <c r="GJ229" s="2131">
        <f>IF(GJ$221,_xll.ciqfunctions.udf.CIQ($G229, "IQ_VOLUME", GJ$222),"--")</f>
        <v>0</v>
      </c>
      <c r="GK229" s="2131">
        <f>IF(GK$221,_xll.ciqfunctions.udf.CIQ($G229, "IQ_VOLUME", GK$222),"--")</f>
        <v>0</v>
      </c>
      <c r="GL229" s="2131">
        <f>IF(GL$221,_xll.ciqfunctions.udf.CIQ($G229, "IQ_VOLUME", GL$222),"--")</f>
        <v>0</v>
      </c>
      <c r="GM229" s="2131">
        <f>IF(GM$221,_xll.ciqfunctions.udf.CIQ($G229, "IQ_VOLUME", GM$222),"--")</f>
        <v>0</v>
      </c>
      <c r="GN229" s="2131">
        <f>IF(GN$221,_xll.ciqfunctions.udf.CIQ($G229, "IQ_VOLUME", GN$222),"--")</f>
        <v>0</v>
      </c>
      <c r="GO229" s="2131">
        <f>IF(GO$221,_xll.ciqfunctions.udf.CIQ($G229, "IQ_VOLUME", GO$222),"--")</f>
        <v>0</v>
      </c>
      <c r="GP229" s="2131">
        <f>IF(GP$221,_xll.ciqfunctions.udf.CIQ($G229, "IQ_VOLUME", GP$222),"--")</f>
        <v>0</v>
      </c>
      <c r="GQ229" s="2131">
        <f>IF(GQ$221,_xll.ciqfunctions.udf.CIQ($G229, "IQ_VOLUME", GQ$222),"--")</f>
        <v>0</v>
      </c>
      <c r="GR229" s="2131">
        <f>IF(GR$221,_xll.ciqfunctions.udf.CIQ($G229, "IQ_VOLUME", GR$222),"--")</f>
        <v>0</v>
      </c>
      <c r="GS229" s="2131">
        <f>IF(GS$221,_xll.ciqfunctions.udf.CIQ($G229, "IQ_VOLUME", GS$222),"--")</f>
        <v>0</v>
      </c>
      <c r="GT229" s="2131">
        <f>IF(GT$221,_xll.ciqfunctions.udf.CIQ($G229, "IQ_VOLUME", GT$222),"--")</f>
        <v>0</v>
      </c>
      <c r="GU229" s="2131">
        <f>IF(GU$221,_xll.ciqfunctions.udf.CIQ($G229, "IQ_VOLUME", GU$222),"--")</f>
        <v>0</v>
      </c>
      <c r="GV229" s="2131">
        <f>IF(GV$221,_xll.ciqfunctions.udf.CIQ($G229, "IQ_VOLUME", GV$222),"--")</f>
        <v>0</v>
      </c>
      <c r="GW229" s="2131">
        <f>IF(GW$221,_xll.ciqfunctions.udf.CIQ($G229, "IQ_VOLUME", GW$222),"--")</f>
        <v>0</v>
      </c>
      <c r="GX229" s="2131">
        <f>IF(GX$221,_xll.ciqfunctions.udf.CIQ($G229, "IQ_VOLUME", GX$222),"--")</f>
        <v>0</v>
      </c>
      <c r="GY229" s="2131">
        <f>IF(GY$221,_xll.ciqfunctions.udf.CIQ($G229, "IQ_VOLUME", GY$222),"--")</f>
        <v>0</v>
      </c>
      <c r="GZ229" s="2131">
        <f>IF(GZ$221,_xll.ciqfunctions.udf.CIQ($G229, "IQ_VOLUME", GZ$222),"--")</f>
        <v>0</v>
      </c>
      <c r="HA229" s="2131">
        <f>IF(HA$221,_xll.ciqfunctions.udf.CIQ($G229, "IQ_VOLUME", HA$222),"--")</f>
        <v>0</v>
      </c>
      <c r="HB229" s="2131">
        <f>IF(HB$221,_xll.ciqfunctions.udf.CIQ($G229, "IQ_VOLUME", HB$222),"--")</f>
        <v>0</v>
      </c>
      <c r="HC229" s="2131">
        <f>IF(HC$221,_xll.ciqfunctions.udf.CIQ($G229, "IQ_VOLUME", HC$222),"--")</f>
        <v>0</v>
      </c>
      <c r="HD229" s="2131">
        <f>IF(HD$221,_xll.ciqfunctions.udf.CIQ($G229, "IQ_VOLUME", HD$222),"--")</f>
        <v>0</v>
      </c>
      <c r="HE229" s="2131">
        <f>IF(HE$221,_xll.ciqfunctions.udf.CIQ($G229, "IQ_VOLUME", HE$222),"--")</f>
        <v>0</v>
      </c>
      <c r="HF229" s="2131">
        <f>IF(HF$221,_xll.ciqfunctions.udf.CIQ($G229, "IQ_VOLUME", HF$222),"--")</f>
        <v>0</v>
      </c>
      <c r="HG229" s="2131">
        <f>IF(HG$221,_xll.ciqfunctions.udf.CIQ($G229, "IQ_VOLUME", HG$222),"--")</f>
        <v>0</v>
      </c>
      <c r="HH229" s="2131">
        <f>IF(HH$221,_xll.ciqfunctions.udf.CIQ($G229, "IQ_VOLUME", HH$222),"--")</f>
        <v>0</v>
      </c>
      <c r="HI229" s="2131">
        <f>IF(HI$221,_xll.ciqfunctions.udf.CIQ($G229, "IQ_VOLUME", HI$222),"--")</f>
        <v>0</v>
      </c>
      <c r="HJ229" s="2131">
        <f>IF(HJ$221,_xll.ciqfunctions.udf.CIQ($G229, "IQ_VOLUME", HJ$222),"--")</f>
        <v>0</v>
      </c>
      <c r="HK229" s="2131">
        <f>IF(HK$221,_xll.ciqfunctions.udf.CIQ($G229, "IQ_VOLUME", HK$222),"--")</f>
        <v>0</v>
      </c>
      <c r="HL229" s="2131">
        <f>IF(HL$221,_xll.ciqfunctions.udf.CIQ($G229, "IQ_VOLUME", HL$222),"--")</f>
        <v>0</v>
      </c>
      <c r="HM229" s="2131">
        <f>IF(HM$221,_xll.ciqfunctions.udf.CIQ($G229, "IQ_VOLUME", HM$222),"--")</f>
        <v>0</v>
      </c>
      <c r="HN229" s="2131">
        <f>IF(HN$221,_xll.ciqfunctions.udf.CIQ($G229, "IQ_VOLUME", HN$222),"--")</f>
        <v>0</v>
      </c>
      <c r="HO229" s="2131">
        <f>IF(HO$221,_xll.ciqfunctions.udf.CIQ($G229, "IQ_VOLUME", HO$222),"--")</f>
        <v>0</v>
      </c>
      <c r="HP229" s="2131">
        <f>IF(HP$221,_xll.ciqfunctions.udf.CIQ($G229, "IQ_VOLUME", HP$222),"--")</f>
        <v>0</v>
      </c>
      <c r="HQ229" s="2131">
        <f>IF(HQ$221,_xll.ciqfunctions.udf.CIQ($G229, "IQ_VOLUME", HQ$222),"--")</f>
        <v>0</v>
      </c>
      <c r="HR229" s="2131">
        <f>IF(HR$221,_xll.ciqfunctions.udf.CIQ($G229, "IQ_VOLUME", HR$222),"--")</f>
        <v>0</v>
      </c>
      <c r="HS229" s="2131">
        <f>IF(HS$221,_xll.ciqfunctions.udf.CIQ($G229, "IQ_VOLUME", HS$222),"--")</f>
        <v>0</v>
      </c>
      <c r="HT229" s="2131">
        <f>IF(HT$221,_xll.ciqfunctions.udf.CIQ($G229, "IQ_VOLUME", HT$222),"--")</f>
        <v>0</v>
      </c>
      <c r="HU229" s="2131">
        <f>IF(HU$221,_xll.ciqfunctions.udf.CIQ($G229, "IQ_VOLUME", HU$222),"--")</f>
        <v>0</v>
      </c>
      <c r="HV229" s="2131">
        <f>IF(HV$221,_xll.ciqfunctions.udf.CIQ($G229, "IQ_VOLUME", HV$222),"--")</f>
        <v>0</v>
      </c>
      <c r="HW229" s="2131">
        <f>IF(HW$221,_xll.ciqfunctions.udf.CIQ($G229, "IQ_VOLUME", HW$222),"--")</f>
        <v>0</v>
      </c>
      <c r="HX229" s="2131">
        <f>IF(HX$221,_xll.ciqfunctions.udf.CIQ($G229, "IQ_VOLUME", HX$222),"--")</f>
        <v>0</v>
      </c>
      <c r="HY229" s="2131">
        <f>IF(HY$221,_xll.ciqfunctions.udf.CIQ($G229, "IQ_VOLUME", HY$222),"--")</f>
        <v>0</v>
      </c>
      <c r="HZ229" s="2131">
        <f>IF(HZ$221,_xll.ciqfunctions.udf.CIQ($G229, "IQ_VOLUME", HZ$222),"--")</f>
        <v>0</v>
      </c>
      <c r="IA229" s="2131">
        <f>IF(IA$221,_xll.ciqfunctions.udf.CIQ($G229, "IQ_VOLUME", IA$222),"--")</f>
        <v>0</v>
      </c>
      <c r="IB229" s="2131">
        <f>IF(IB$221,_xll.ciqfunctions.udf.CIQ($G229, "IQ_VOLUME", IB$222),"--")</f>
        <v>0</v>
      </c>
      <c r="IC229" s="2131">
        <f>IF(IC$221,_xll.ciqfunctions.udf.CIQ($G229, "IQ_VOLUME", IC$222),"--")</f>
        <v>0</v>
      </c>
      <c r="ID229" s="2131">
        <f>IF(ID$221,_xll.ciqfunctions.udf.CIQ($G229, "IQ_VOLUME", ID$222),"--")</f>
        <v>0</v>
      </c>
      <c r="IE229" s="2131">
        <f>IF(IE$221,_xll.ciqfunctions.udf.CIQ($G229, "IQ_VOLUME", IE$222),"--")</f>
        <v>0</v>
      </c>
      <c r="IF229" s="2131">
        <f>IF(IF$221,_xll.ciqfunctions.udf.CIQ($G229, "IQ_VOLUME", IF$222),"--")</f>
        <v>0</v>
      </c>
      <c r="IG229" s="2131">
        <f>IF(IG$221,_xll.ciqfunctions.udf.CIQ($G229, "IQ_VOLUME", IG$222),"--")</f>
        <v>0</v>
      </c>
      <c r="IH229" s="2131">
        <f>IF(IH$221,_xll.ciqfunctions.udf.CIQ($G229, "IQ_VOLUME", IH$222),"--")</f>
        <v>0</v>
      </c>
      <c r="II229" s="2131">
        <f>IF(II$221,_xll.ciqfunctions.udf.CIQ($G229, "IQ_VOLUME", II$222),"--")</f>
        <v>0</v>
      </c>
      <c r="IJ229" s="2131">
        <f>IF(IJ$221,_xll.ciqfunctions.udf.CIQ($G229, "IQ_VOLUME", IJ$222),"--")</f>
        <v>0</v>
      </c>
      <c r="IK229" s="2131">
        <f>IF(IK$221,_xll.ciqfunctions.udf.CIQ($G229, "IQ_VOLUME", IK$222),"--")</f>
        <v>0</v>
      </c>
      <c r="IL229" s="2131">
        <f>IF(IL$221,_xll.ciqfunctions.udf.CIQ($G229, "IQ_VOLUME", IL$222),"--")</f>
        <v>0</v>
      </c>
      <c r="IM229" s="2131">
        <f>IF(IM$221,_xll.ciqfunctions.udf.CIQ($G229, "IQ_VOLUME", IM$222),"--")</f>
        <v>0</v>
      </c>
      <c r="IN229" s="2131">
        <f>IF(IN$221,_xll.ciqfunctions.udf.CIQ($G229, "IQ_VOLUME", IN$222),"--")</f>
        <v>0</v>
      </c>
      <c r="IO229" s="2131">
        <f>IF(IO$221,_xll.ciqfunctions.udf.CIQ($G229, "IQ_VOLUME", IO$222),"--")</f>
        <v>0</v>
      </c>
      <c r="IP229" s="2131">
        <f>IF(IP$221,_xll.ciqfunctions.udf.CIQ($G229, "IQ_VOLUME", IP$222),"--")</f>
        <v>0</v>
      </c>
      <c r="IQ229" s="2131">
        <f>IF(IQ$221,_xll.ciqfunctions.udf.CIQ($G229, "IQ_VOLUME", IQ$222),"--")</f>
        <v>0</v>
      </c>
      <c r="IR229" s="2131">
        <f>IF(IR$221,_xll.ciqfunctions.udf.CIQ($G229, "IQ_VOLUME", IR$222),"--")</f>
        <v>0</v>
      </c>
      <c r="IS229" s="2131">
        <f>IF(IS$221,_xll.ciqfunctions.udf.CIQ($G229, "IQ_VOLUME", IS$222),"--")</f>
        <v>0</v>
      </c>
      <c r="IT229" s="2131">
        <f>IF(IT$221,_xll.ciqfunctions.udf.CIQ($G229, "IQ_VOLUME", IT$222),"--")</f>
        <v>0</v>
      </c>
      <c r="IU229" s="2131">
        <f>IF(IU$221,_xll.ciqfunctions.udf.CIQ($G229, "IQ_VOLUME", IU$222),"--")</f>
        <v>0</v>
      </c>
      <c r="IV229" s="2131">
        <f>IF(IV$221,_xll.ciqfunctions.udf.CIQ($G229, "IQ_VOLUME", IV$222),"--")</f>
        <v>0</v>
      </c>
      <c r="IW229" s="2131">
        <f>IF(IW$221,_xll.ciqfunctions.udf.CIQ($G229, "IQ_VOLUME", IW$222),"--")</f>
        <v>0</v>
      </c>
      <c r="IX229" s="2131">
        <f>IF(IX$221,_xll.ciqfunctions.udf.CIQ($G229, "IQ_VOLUME", IX$222),"--")</f>
        <v>0</v>
      </c>
      <c r="IY229" s="2131">
        <f>IF(IY$221,_xll.ciqfunctions.udf.CIQ($G229, "IQ_VOLUME", IY$222),"--")</f>
        <v>0</v>
      </c>
      <c r="IZ229" s="2131">
        <f>IF(IZ$221,_xll.ciqfunctions.udf.CIQ($G229, "IQ_VOLUME", IZ$222),"--")</f>
        <v>0</v>
      </c>
      <c r="JA229" s="2131">
        <f>IF(JA$221,_xll.ciqfunctions.udf.CIQ($G229, "IQ_VOLUME", JA$222),"--")</f>
        <v>0</v>
      </c>
      <c r="JB229" s="2131">
        <f>IF(JB$221,_xll.ciqfunctions.udf.CIQ($G229, "IQ_VOLUME", JB$222),"--")</f>
        <v>0</v>
      </c>
      <c r="JC229" s="2131">
        <f>IF(JC$221,_xll.ciqfunctions.udf.CIQ($G229, "IQ_VOLUME", JC$222),"--")</f>
        <v>0</v>
      </c>
      <c r="JD229" s="2131">
        <f>IF(JD$221,_xll.ciqfunctions.udf.CIQ($G229, "IQ_VOLUME", JD$222),"--")</f>
        <v>0</v>
      </c>
      <c r="JE229" s="2131">
        <f>IF(JE$221,_xll.ciqfunctions.udf.CIQ($G229, "IQ_VOLUME", JE$222),"--")</f>
        <v>0</v>
      </c>
      <c r="JF229" s="2131">
        <f>IF(JF$221,_xll.ciqfunctions.udf.CIQ($G229, "IQ_VOLUME", JF$222),"--")</f>
        <v>0</v>
      </c>
      <c r="JG229" s="2131">
        <f>IF(JG$221,_xll.ciqfunctions.udf.CIQ($G229, "IQ_VOLUME", JG$222),"--")</f>
        <v>0</v>
      </c>
      <c r="JH229" s="2131">
        <f>IF(JH$221,_xll.ciqfunctions.udf.CIQ($G229, "IQ_VOLUME", JH$222),"--")</f>
        <v>0</v>
      </c>
      <c r="JI229" s="2131">
        <f>IF(JI$221,_xll.ciqfunctions.udf.CIQ($G229, "IQ_VOLUME", JI$222),"--")</f>
        <v>0</v>
      </c>
      <c r="JJ229" s="2131">
        <f>IF(JJ$221,_xll.ciqfunctions.udf.CIQ($G229, "IQ_VOLUME", JJ$222),"--")</f>
        <v>0</v>
      </c>
      <c r="JK229" s="2131">
        <f>IF(JK$221,_xll.ciqfunctions.udf.CIQ($G229, "IQ_VOLUME", JK$222),"--")</f>
        <v>0</v>
      </c>
      <c r="JL229" s="2131">
        <f>IF(JL$221,_xll.ciqfunctions.udf.CIQ($G229, "IQ_VOLUME", JL$222),"--")</f>
        <v>0</v>
      </c>
      <c r="JM229" s="2131">
        <f>IF(JM$221,_xll.ciqfunctions.udf.CIQ($G229, "IQ_VOLUME", JM$222),"--")</f>
        <v>0</v>
      </c>
      <c r="JN229" s="2131">
        <f>IF(JN$221,_xll.ciqfunctions.udf.CIQ($G229, "IQ_VOLUME", JN$222),"--")</f>
        <v>0</v>
      </c>
      <c r="JO229" s="2131">
        <f>IF(JO$221,_xll.ciqfunctions.udf.CIQ($G229, "IQ_VOLUME", JO$222),"--")</f>
        <v>0</v>
      </c>
      <c r="JP229" s="2131">
        <f>IF(JP$221,_xll.ciqfunctions.udf.CIQ($G229, "IQ_VOLUME", JP$222),"--")</f>
        <v>0</v>
      </c>
      <c r="JQ229" s="2131">
        <f>IF(JQ$221,_xll.ciqfunctions.udf.CIQ($G229, "IQ_VOLUME", JQ$222),"--")</f>
        <v>0</v>
      </c>
      <c r="JR229" s="2131">
        <f>IF(JR$221,_xll.ciqfunctions.udf.CIQ($G229, "IQ_VOLUME", JR$222),"--")</f>
        <v>0</v>
      </c>
      <c r="JS229" s="2131">
        <f>IF(JS$221,_xll.ciqfunctions.udf.CIQ($G229, "IQ_VOLUME", JS$222),"--")</f>
        <v>0</v>
      </c>
      <c r="JT229" s="2131">
        <f>IF(JT$221,_xll.ciqfunctions.udf.CIQ($G229, "IQ_VOLUME", JT$222),"--")</f>
        <v>0</v>
      </c>
      <c r="JU229" s="2131">
        <f>IF(JU$221,_xll.ciqfunctions.udf.CIQ($G229, "IQ_VOLUME", JU$222),"--")</f>
        <v>0</v>
      </c>
      <c r="JV229" s="2131">
        <f>IF(JV$221,_xll.ciqfunctions.udf.CIQ($G229, "IQ_VOLUME", JV$222),"--")</f>
        <v>0</v>
      </c>
      <c r="JW229" s="2131" t="str">
        <f>IF(JW$221,_xll.ciqfunctions.udf.CIQ($G229, "IQ_VOLUME", JW$222),"--")</f>
        <v>--</v>
      </c>
      <c r="JX229" s="2131" t="str">
        <f>IF(JX$221,_xll.ciqfunctions.udf.CIQ($G229, "IQ_VOLUME", JX$222),"--")</f>
        <v>--</v>
      </c>
      <c r="JY229" s="2131" t="str">
        <f>IF(JY$221,_xll.ciqfunctions.udf.CIQ($G229, "IQ_VOLUME", JY$222),"--")</f>
        <v>--</v>
      </c>
      <c r="JZ229" s="2131" t="str">
        <f>IF(JZ$221,_xll.ciqfunctions.udf.CIQ($G229, "IQ_VOLUME", JZ$222),"--")</f>
        <v>--</v>
      </c>
      <c r="KA229" s="2131" t="str">
        <f>IF(KA$221,_xll.ciqfunctions.udf.CIQ($G229, "IQ_VOLUME", KA$222),"--")</f>
        <v>--</v>
      </c>
      <c r="KB229" s="2131" t="str">
        <f>IF(KB$221,_xll.ciqfunctions.udf.CIQ($G229, "IQ_VOLUME", KB$222),"--")</f>
        <v>--</v>
      </c>
    </row>
    <row r="230" spans="1:288" s="89" customFormat="1" ht="13.9">
      <c r="A230" s="269" t="str">
        <f t="shared" si="47"/>
        <v>n</v>
      </c>
      <c r="B230" s="2060"/>
      <c r="D230" s="801"/>
      <c r="E230" s="1505">
        <v>7</v>
      </c>
      <c r="F230" s="21" t="str">
        <f>F$135</f>
        <v>--</v>
      </c>
      <c r="G230" s="2112">
        <f>G$135</f>
        <v>0</v>
      </c>
      <c r="H230" s="2112" t="str">
        <f>H$135</f>
        <v>--</v>
      </c>
      <c r="I230" s="22" t="s">
        <v>781</v>
      </c>
      <c r="J230" s="53"/>
      <c r="K230" s="2301" t="str">
        <f>IF(OR(K198=0,$G230=0),"--",IFERROR(_xll.ciqfunctions.udf.CIQ($G230,$I230,K106,Valuation_Date_GC,ReportType,DataMode,$H230,FXMode)*Scale,"--"))</f>
        <v>--</v>
      </c>
      <c r="L230" s="2301" t="str">
        <f>IF(OR(L198=0,$G230=0),"--",IFERROR(_xll.ciqfunctions.udf.CIQ($G230,$I230,L106,Valuation_Date_GC,ReportType,DataMode,$H230,FXMode)*Scale,"--"))</f>
        <v>--</v>
      </c>
      <c r="M230" s="2301" t="str">
        <f>IF(OR(M198=0,$G230=0),"--",IFERROR(_xll.ciqfunctions.udf.CIQ($G230,$I230,M106,Valuation_Date_GC,ReportType,DataMode,$H230,FXMode)*Scale,"--"))</f>
        <v>--</v>
      </c>
      <c r="N230" s="2301" t="str">
        <f>IF(OR(N198=0,$G230=0),"--",IFERROR(_xll.ciqfunctions.udf.CIQ($G230,$I230,N106,Valuation_Date_GC,ReportType,DataMode,$H230,FXMode)*Scale,"--"))</f>
        <v>--</v>
      </c>
      <c r="O230" s="1471" t="str">
        <f>IF(OR(O198=0,$G230=0),"--",IFERROR(_xll.ciqfunctions.udf.CIQ($G230,$I230,O106,Valuation_Date_GC,ReportType,DataMode,$H230,FXMode)*Scale,"--"))</f>
        <v>--</v>
      </c>
      <c r="P230" s="2301" t="str">
        <f>IF(OR(P198=0,$G230=0),"--",IFERROR(_xll.ciqfunctions.udf.CIQ($G230,$I230,P106,Valuation_Date_GC,ReportType,DataMode,$H230,FXMode)*Scale,"--"))</f>
        <v>--</v>
      </c>
      <c r="R230" s="255"/>
      <c r="T230" s="1779" t="s">
        <v>782</v>
      </c>
      <c r="U230" s="2131">
        <f>IF(U$221,_xll.ciqfunctions.udf.CIQ($G230, "IQ_VOLUME", U$222),"--")</f>
        <v>0</v>
      </c>
      <c r="V230" s="2131">
        <f>IF(V$221,_xll.ciqfunctions.udf.CIQ($G230, "IQ_VOLUME", V$222),"--")</f>
        <v>0</v>
      </c>
      <c r="W230" s="2131">
        <f>IF(W$221,_xll.ciqfunctions.udf.CIQ($G230, "IQ_VOLUME", W$222),"--")</f>
        <v>0</v>
      </c>
      <c r="X230" s="2131">
        <f>IF(X$221,_xll.ciqfunctions.udf.CIQ($G230, "IQ_VOLUME", X$222),"--")</f>
        <v>0</v>
      </c>
      <c r="Y230" s="2131">
        <f>IF(Y$221,_xll.ciqfunctions.udf.CIQ($G230, "IQ_VOLUME", Y$222),"--")</f>
        <v>0</v>
      </c>
      <c r="Z230" s="2131">
        <f>IF(Z$221,_xll.ciqfunctions.udf.CIQ($G230, "IQ_VOLUME", Z$222),"--")</f>
        <v>0</v>
      </c>
      <c r="AA230" s="2131">
        <f>IF(AA$221,_xll.ciqfunctions.udf.CIQ($G230, "IQ_VOLUME", AA$222),"--")</f>
        <v>0</v>
      </c>
      <c r="AB230" s="2131">
        <f>IF(AB$221,_xll.ciqfunctions.udf.CIQ($G230, "IQ_VOLUME", AB$222),"--")</f>
        <v>0</v>
      </c>
      <c r="AC230" s="2131">
        <f>IF(AC$221,_xll.ciqfunctions.udf.CIQ($G230, "IQ_VOLUME", AC$222),"--")</f>
        <v>0</v>
      </c>
      <c r="AD230" s="2131">
        <f>IF(AD$221,_xll.ciqfunctions.udf.CIQ($G230, "IQ_VOLUME", AD$222),"--")</f>
        <v>0</v>
      </c>
      <c r="AE230" s="2131">
        <f>IF(AE$221,_xll.ciqfunctions.udf.CIQ($G230, "IQ_VOLUME", AE$222),"--")</f>
        <v>0</v>
      </c>
      <c r="AF230" s="2131">
        <f>IF(AF$221,_xll.ciqfunctions.udf.CIQ($G230, "IQ_VOLUME", AF$222),"--")</f>
        <v>0</v>
      </c>
      <c r="AG230" s="2131">
        <f>IF(AG$221,_xll.ciqfunctions.udf.CIQ($G230, "IQ_VOLUME", AG$222),"--")</f>
        <v>0</v>
      </c>
      <c r="AH230" s="2131">
        <f>IF(AH$221,_xll.ciqfunctions.udf.CIQ($G230, "IQ_VOLUME", AH$222),"--")</f>
        <v>0</v>
      </c>
      <c r="AI230" s="2131">
        <f>IF(AI$221,_xll.ciqfunctions.udf.CIQ($G230, "IQ_VOLUME", AI$222),"--")</f>
        <v>0</v>
      </c>
      <c r="AJ230" s="2131">
        <f>IF(AJ$221,_xll.ciqfunctions.udf.CIQ($G230, "IQ_VOLUME", AJ$222),"--")</f>
        <v>0</v>
      </c>
      <c r="AK230" s="2131">
        <f>IF(AK$221,_xll.ciqfunctions.udf.CIQ($G230, "IQ_VOLUME", AK$222),"--")</f>
        <v>0</v>
      </c>
      <c r="AL230" s="2131">
        <f>IF(AL$221,_xll.ciqfunctions.udf.CIQ($G230, "IQ_VOLUME", AL$222),"--")</f>
        <v>0</v>
      </c>
      <c r="AM230" s="2131">
        <f>IF(AM$221,_xll.ciqfunctions.udf.CIQ($G230, "IQ_VOLUME", AM$222),"--")</f>
        <v>0</v>
      </c>
      <c r="AN230" s="2131">
        <f>IF(AN$221,_xll.ciqfunctions.udf.CIQ($G230, "IQ_VOLUME", AN$222),"--")</f>
        <v>0</v>
      </c>
      <c r="AO230" s="2131">
        <f>IF(AO$221,_xll.ciqfunctions.udf.CIQ($G230, "IQ_VOLUME", AO$222),"--")</f>
        <v>0</v>
      </c>
      <c r="AP230" s="2131">
        <f>IF(AP$221,_xll.ciqfunctions.udf.CIQ($G230, "IQ_VOLUME", AP$222),"--")</f>
        <v>0</v>
      </c>
      <c r="AQ230" s="2131">
        <f>IF(AQ$221,_xll.ciqfunctions.udf.CIQ($G230, "IQ_VOLUME", AQ$222),"--")</f>
        <v>0</v>
      </c>
      <c r="AR230" s="2131">
        <f>IF(AR$221,_xll.ciqfunctions.udf.CIQ($G230, "IQ_VOLUME", AR$222),"--")</f>
        <v>0</v>
      </c>
      <c r="AS230" s="2131">
        <f>IF(AS$221,_xll.ciqfunctions.udf.CIQ($G230, "IQ_VOLUME", AS$222),"--")</f>
        <v>0</v>
      </c>
      <c r="AT230" s="2131">
        <f>IF(AT$221,_xll.ciqfunctions.udf.CIQ($G230, "IQ_VOLUME", AT$222),"--")</f>
        <v>0</v>
      </c>
      <c r="AU230" s="2131">
        <f>IF(AU$221,_xll.ciqfunctions.udf.CIQ($G230, "IQ_VOLUME", AU$222),"--")</f>
        <v>0</v>
      </c>
      <c r="AV230" s="2131">
        <f>IF(AV$221,_xll.ciqfunctions.udf.CIQ($G230, "IQ_VOLUME", AV$222),"--")</f>
        <v>0</v>
      </c>
      <c r="AW230" s="2131">
        <f>IF(AW$221,_xll.ciqfunctions.udf.CIQ($G230, "IQ_VOLUME", AW$222),"--")</f>
        <v>0</v>
      </c>
      <c r="AX230" s="2131">
        <f>IF(AX$221,_xll.ciqfunctions.udf.CIQ($G230, "IQ_VOLUME", AX$222),"--")</f>
        <v>0</v>
      </c>
      <c r="AY230" s="2131">
        <f>IF(AY$221,_xll.ciqfunctions.udf.CIQ($G230, "IQ_VOLUME", AY$222),"--")</f>
        <v>0</v>
      </c>
      <c r="AZ230" s="2131">
        <f>IF(AZ$221,_xll.ciqfunctions.udf.CIQ($G230, "IQ_VOLUME", AZ$222),"--")</f>
        <v>0</v>
      </c>
      <c r="BA230" s="2131">
        <f>IF(BA$221,_xll.ciqfunctions.udf.CIQ($G230, "IQ_VOLUME", BA$222),"--")</f>
        <v>0</v>
      </c>
      <c r="BB230" s="2131">
        <f>IF(BB$221,_xll.ciqfunctions.udf.CIQ($G230, "IQ_VOLUME", BB$222),"--")</f>
        <v>0</v>
      </c>
      <c r="BC230" s="2131">
        <f>IF(BC$221,_xll.ciqfunctions.udf.CIQ($G230, "IQ_VOLUME", BC$222),"--")</f>
        <v>0</v>
      </c>
      <c r="BD230" s="2131">
        <f>IF(BD$221,_xll.ciqfunctions.udf.CIQ($G230, "IQ_VOLUME", BD$222),"--")</f>
        <v>0</v>
      </c>
      <c r="BE230" s="2131">
        <f>IF(BE$221,_xll.ciqfunctions.udf.CIQ($G230, "IQ_VOLUME", BE$222),"--")</f>
        <v>0</v>
      </c>
      <c r="BF230" s="2131">
        <f>IF(BF$221,_xll.ciqfunctions.udf.CIQ($G230, "IQ_VOLUME", BF$222),"--")</f>
        <v>0</v>
      </c>
      <c r="BG230" s="2131">
        <f>IF(BG$221,_xll.ciqfunctions.udf.CIQ($G230, "IQ_VOLUME", BG$222),"--")</f>
        <v>0</v>
      </c>
      <c r="BH230" s="2131">
        <f>IF(BH$221,_xll.ciqfunctions.udf.CIQ($G230, "IQ_VOLUME", BH$222),"--")</f>
        <v>0</v>
      </c>
      <c r="BI230" s="2131">
        <f>IF(BI$221,_xll.ciqfunctions.udf.CIQ($G230, "IQ_VOLUME", BI$222),"--")</f>
        <v>0</v>
      </c>
      <c r="BJ230" s="2131">
        <f>IF(BJ$221,_xll.ciqfunctions.udf.CIQ($G230, "IQ_VOLUME", BJ$222),"--")</f>
        <v>0</v>
      </c>
      <c r="BK230" s="2131">
        <f>IF(BK$221,_xll.ciqfunctions.udf.CIQ($G230, "IQ_VOLUME", BK$222),"--")</f>
        <v>0</v>
      </c>
      <c r="BL230" s="2131">
        <f>IF(BL$221,_xll.ciqfunctions.udf.CIQ($G230, "IQ_VOLUME", BL$222),"--")</f>
        <v>0</v>
      </c>
      <c r="BM230" s="2131">
        <f>IF(BM$221,_xll.ciqfunctions.udf.CIQ($G230, "IQ_VOLUME", BM$222),"--")</f>
        <v>0</v>
      </c>
      <c r="BN230" s="2131">
        <f>IF(BN$221,_xll.ciqfunctions.udf.CIQ($G230, "IQ_VOLUME", BN$222),"--")</f>
        <v>0</v>
      </c>
      <c r="BO230" s="2131">
        <f>IF(BO$221,_xll.ciqfunctions.udf.CIQ($G230, "IQ_VOLUME", BO$222),"--")</f>
        <v>0</v>
      </c>
      <c r="BP230" s="2131">
        <f>IF(BP$221,_xll.ciqfunctions.udf.CIQ($G230, "IQ_VOLUME", BP$222),"--")</f>
        <v>0</v>
      </c>
      <c r="BQ230" s="2131">
        <f>IF(BQ$221,_xll.ciqfunctions.udf.CIQ($G230, "IQ_VOLUME", BQ$222),"--")</f>
        <v>0</v>
      </c>
      <c r="BR230" s="2131">
        <f>IF(BR$221,_xll.ciqfunctions.udf.CIQ($G230, "IQ_VOLUME", BR$222),"--")</f>
        <v>0</v>
      </c>
      <c r="BS230" s="2131">
        <f>IF(BS$221,_xll.ciqfunctions.udf.CIQ($G230, "IQ_VOLUME", BS$222),"--")</f>
        <v>0</v>
      </c>
      <c r="BT230" s="2131">
        <f>IF(BT$221,_xll.ciqfunctions.udf.CIQ($G230, "IQ_VOLUME", BT$222),"--")</f>
        <v>0</v>
      </c>
      <c r="BU230" s="2131">
        <f>IF(BU$221,_xll.ciqfunctions.udf.CIQ($G230, "IQ_VOLUME", BU$222),"--")</f>
        <v>0</v>
      </c>
      <c r="BV230" s="2131">
        <f>IF(BV$221,_xll.ciqfunctions.udf.CIQ($G230, "IQ_VOLUME", BV$222),"--")</f>
        <v>0</v>
      </c>
      <c r="BW230" s="2131">
        <f>IF(BW$221,_xll.ciqfunctions.udf.CIQ($G230, "IQ_VOLUME", BW$222),"--")</f>
        <v>0</v>
      </c>
      <c r="BX230" s="2131">
        <f>IF(BX$221,_xll.ciqfunctions.udf.CIQ($G230, "IQ_VOLUME", BX$222),"--")</f>
        <v>0</v>
      </c>
      <c r="BY230" s="2131">
        <f>IF(BY$221,_xll.ciqfunctions.udf.CIQ($G230, "IQ_VOLUME", BY$222),"--")</f>
        <v>0</v>
      </c>
      <c r="BZ230" s="2131">
        <f>IF(BZ$221,_xll.ciqfunctions.udf.CIQ($G230, "IQ_VOLUME", BZ$222),"--")</f>
        <v>0</v>
      </c>
      <c r="CA230" s="2131">
        <f>IF(CA$221,_xll.ciqfunctions.udf.CIQ($G230, "IQ_VOLUME", CA$222),"--")</f>
        <v>0</v>
      </c>
      <c r="CB230" s="2131">
        <f>IF(CB$221,_xll.ciqfunctions.udf.CIQ($G230, "IQ_VOLUME", CB$222),"--")</f>
        <v>0</v>
      </c>
      <c r="CC230" s="2131">
        <f>IF(CC$221,_xll.ciqfunctions.udf.CIQ($G230, "IQ_VOLUME", CC$222),"--")</f>
        <v>0</v>
      </c>
      <c r="CD230" s="2131">
        <f>IF(CD$221,_xll.ciqfunctions.udf.CIQ($G230, "IQ_VOLUME", CD$222),"--")</f>
        <v>0</v>
      </c>
      <c r="CE230" s="2131">
        <f>IF(CE$221,_xll.ciqfunctions.udf.CIQ($G230, "IQ_VOLUME", CE$222),"--")</f>
        <v>0</v>
      </c>
      <c r="CF230" s="2131">
        <f>IF(CF$221,_xll.ciqfunctions.udf.CIQ($G230, "IQ_VOLUME", CF$222),"--")</f>
        <v>0</v>
      </c>
      <c r="CG230" s="2131">
        <f>IF(CG$221,_xll.ciqfunctions.udf.CIQ($G230, "IQ_VOLUME", CG$222),"--")</f>
        <v>0</v>
      </c>
      <c r="CH230" s="2131">
        <f>IF(CH$221,_xll.ciqfunctions.udf.CIQ($G230, "IQ_VOLUME", CH$222),"--")</f>
        <v>0</v>
      </c>
      <c r="CI230" s="2131">
        <f>IF(CI$221,_xll.ciqfunctions.udf.CIQ($G230, "IQ_VOLUME", CI$222),"--")</f>
        <v>0</v>
      </c>
      <c r="CJ230" s="2131">
        <f>IF(CJ$221,_xll.ciqfunctions.udf.CIQ($G230, "IQ_VOLUME", CJ$222),"--")</f>
        <v>0</v>
      </c>
      <c r="CK230" s="2131">
        <f>IF(CK$221,_xll.ciqfunctions.udf.CIQ($G230, "IQ_VOLUME", CK$222),"--")</f>
        <v>0</v>
      </c>
      <c r="CL230" s="2131">
        <f>IF(CL$221,_xll.ciqfunctions.udf.CIQ($G230, "IQ_VOLUME", CL$222),"--")</f>
        <v>0</v>
      </c>
      <c r="CM230" s="2131">
        <f>IF(CM$221,_xll.ciqfunctions.udf.CIQ($G230, "IQ_VOLUME", CM$222),"--")</f>
        <v>0</v>
      </c>
      <c r="CN230" s="2131">
        <f>IF(CN$221,_xll.ciqfunctions.udf.CIQ($G230, "IQ_VOLUME", CN$222),"--")</f>
        <v>0</v>
      </c>
      <c r="CO230" s="2131">
        <f>IF(CO$221,_xll.ciqfunctions.udf.CIQ($G230, "IQ_VOLUME", CO$222),"--")</f>
        <v>0</v>
      </c>
      <c r="CP230" s="2131">
        <f>IF(CP$221,_xll.ciqfunctions.udf.CIQ($G230, "IQ_VOLUME", CP$222),"--")</f>
        <v>0</v>
      </c>
      <c r="CQ230" s="2131">
        <f>IF(CQ$221,_xll.ciqfunctions.udf.CIQ($G230, "IQ_VOLUME", CQ$222),"--")</f>
        <v>0</v>
      </c>
      <c r="CR230" s="2131">
        <f>IF(CR$221,_xll.ciqfunctions.udf.CIQ($G230, "IQ_VOLUME", CR$222),"--")</f>
        <v>0</v>
      </c>
      <c r="CS230" s="2131">
        <f>IF(CS$221,_xll.ciqfunctions.udf.CIQ($G230, "IQ_VOLUME", CS$222),"--")</f>
        <v>0</v>
      </c>
      <c r="CT230" s="2131">
        <f>IF(CT$221,_xll.ciqfunctions.udf.CIQ($G230, "IQ_VOLUME", CT$222),"--")</f>
        <v>0</v>
      </c>
      <c r="CU230" s="2131">
        <f>IF(CU$221,_xll.ciqfunctions.udf.CIQ($G230, "IQ_VOLUME", CU$222),"--")</f>
        <v>0</v>
      </c>
      <c r="CV230" s="2131">
        <f>IF(CV$221,_xll.ciqfunctions.udf.CIQ($G230, "IQ_VOLUME", CV$222),"--")</f>
        <v>0</v>
      </c>
      <c r="CW230" s="2131">
        <f>IF(CW$221,_xll.ciqfunctions.udf.CIQ($G230, "IQ_VOLUME", CW$222),"--")</f>
        <v>0</v>
      </c>
      <c r="CX230" s="2131">
        <f>IF(CX$221,_xll.ciqfunctions.udf.CIQ($G230, "IQ_VOLUME", CX$222),"--")</f>
        <v>0</v>
      </c>
      <c r="CY230" s="2131">
        <f>IF(CY$221,_xll.ciqfunctions.udf.CIQ($G230, "IQ_VOLUME", CY$222),"--")</f>
        <v>0</v>
      </c>
      <c r="CZ230" s="2131">
        <f>IF(CZ$221,_xll.ciqfunctions.udf.CIQ($G230, "IQ_VOLUME", CZ$222),"--")</f>
        <v>0</v>
      </c>
      <c r="DA230" s="2131">
        <f>IF(DA$221,_xll.ciqfunctions.udf.CIQ($G230, "IQ_VOLUME", DA$222),"--")</f>
        <v>0</v>
      </c>
      <c r="DB230" s="2131">
        <f>IF(DB$221,_xll.ciqfunctions.udf.CIQ($G230, "IQ_VOLUME", DB$222),"--")</f>
        <v>0</v>
      </c>
      <c r="DC230" s="2131">
        <f>IF(DC$221,_xll.ciqfunctions.udf.CIQ($G230, "IQ_VOLUME", DC$222),"--")</f>
        <v>0</v>
      </c>
      <c r="DD230" s="2131">
        <f>IF(DD$221,_xll.ciqfunctions.udf.CIQ($G230, "IQ_VOLUME", DD$222),"--")</f>
        <v>0</v>
      </c>
      <c r="DE230" s="2131">
        <f>IF(DE$221,_xll.ciqfunctions.udf.CIQ($G230, "IQ_VOLUME", DE$222),"--")</f>
        <v>0</v>
      </c>
      <c r="DF230" s="2131">
        <f>IF(DF$221,_xll.ciqfunctions.udf.CIQ($G230, "IQ_VOLUME", DF$222),"--")</f>
        <v>0</v>
      </c>
      <c r="DG230" s="2131">
        <f>IF(DG$221,_xll.ciqfunctions.udf.CIQ($G230, "IQ_VOLUME", DG$222),"--")</f>
        <v>0</v>
      </c>
      <c r="DH230" s="2131">
        <f>IF(DH$221,_xll.ciqfunctions.udf.CIQ($G230, "IQ_VOLUME", DH$222),"--")</f>
        <v>0</v>
      </c>
      <c r="DI230" s="2131">
        <f>IF(DI$221,_xll.ciqfunctions.udf.CIQ($G230, "IQ_VOLUME", DI$222),"--")</f>
        <v>0</v>
      </c>
      <c r="DJ230" s="2131">
        <f>IF(DJ$221,_xll.ciqfunctions.udf.CIQ($G230, "IQ_VOLUME", DJ$222),"--")</f>
        <v>0</v>
      </c>
      <c r="DK230" s="2131">
        <f>IF(DK$221,_xll.ciqfunctions.udf.CIQ($G230, "IQ_VOLUME", DK$222),"--")</f>
        <v>0</v>
      </c>
      <c r="DL230" s="2131">
        <f>IF(DL$221,_xll.ciqfunctions.udf.CIQ($G230, "IQ_VOLUME", DL$222),"--")</f>
        <v>0</v>
      </c>
      <c r="DM230" s="2131">
        <f>IF(DM$221,_xll.ciqfunctions.udf.CIQ($G230, "IQ_VOLUME", DM$222),"--")</f>
        <v>0</v>
      </c>
      <c r="DN230" s="2131">
        <f>IF(DN$221,_xll.ciqfunctions.udf.CIQ($G230, "IQ_VOLUME", DN$222),"--")</f>
        <v>0</v>
      </c>
      <c r="DO230" s="2131">
        <f>IF(DO$221,_xll.ciqfunctions.udf.CIQ($G230, "IQ_VOLUME", DO$222),"--")</f>
        <v>0</v>
      </c>
      <c r="DP230" s="2131">
        <f>IF(DP$221,_xll.ciqfunctions.udf.CIQ($G230, "IQ_VOLUME", DP$222),"--")</f>
        <v>0</v>
      </c>
      <c r="DQ230" s="2131">
        <f>IF(DQ$221,_xll.ciqfunctions.udf.CIQ($G230, "IQ_VOLUME", DQ$222),"--")</f>
        <v>0</v>
      </c>
      <c r="DR230" s="2131">
        <f>IF(DR$221,_xll.ciqfunctions.udf.CIQ($G230, "IQ_VOLUME", DR$222),"--")</f>
        <v>0</v>
      </c>
      <c r="DS230" s="2131">
        <f>IF(DS$221,_xll.ciqfunctions.udf.CIQ($G230, "IQ_VOLUME", DS$222),"--")</f>
        <v>0</v>
      </c>
      <c r="DT230" s="2131">
        <f>IF(DT$221,_xll.ciqfunctions.udf.CIQ($G230, "IQ_VOLUME", DT$222),"--")</f>
        <v>0</v>
      </c>
      <c r="DU230" s="2131">
        <f>IF(DU$221,_xll.ciqfunctions.udf.CIQ($G230, "IQ_VOLUME", DU$222),"--")</f>
        <v>0</v>
      </c>
      <c r="DV230" s="2131">
        <f>IF(DV$221,_xll.ciqfunctions.udf.CIQ($G230, "IQ_VOLUME", DV$222),"--")</f>
        <v>0</v>
      </c>
      <c r="DW230" s="2131">
        <f>IF(DW$221,_xll.ciqfunctions.udf.CIQ($G230, "IQ_VOLUME", DW$222),"--")</f>
        <v>0</v>
      </c>
      <c r="DX230" s="2131">
        <f>IF(DX$221,_xll.ciqfunctions.udf.CIQ($G230, "IQ_VOLUME", DX$222),"--")</f>
        <v>0</v>
      </c>
      <c r="DY230" s="2131">
        <f>IF(DY$221,_xll.ciqfunctions.udf.CIQ($G230, "IQ_VOLUME", DY$222),"--")</f>
        <v>0</v>
      </c>
      <c r="DZ230" s="2131">
        <f>IF(DZ$221,_xll.ciqfunctions.udf.CIQ($G230, "IQ_VOLUME", DZ$222),"--")</f>
        <v>0</v>
      </c>
      <c r="EA230" s="2131">
        <f>IF(EA$221,_xll.ciqfunctions.udf.CIQ($G230, "IQ_VOLUME", EA$222),"--")</f>
        <v>0</v>
      </c>
      <c r="EB230" s="2131">
        <f>IF(EB$221,_xll.ciqfunctions.udf.CIQ($G230, "IQ_VOLUME", EB$222),"--")</f>
        <v>0</v>
      </c>
      <c r="EC230" s="2131">
        <f>IF(EC$221,_xll.ciqfunctions.udf.CIQ($G230, "IQ_VOLUME", EC$222),"--")</f>
        <v>0</v>
      </c>
      <c r="ED230" s="2131">
        <f>IF(ED$221,_xll.ciqfunctions.udf.CIQ($G230, "IQ_VOLUME", ED$222),"--")</f>
        <v>0</v>
      </c>
      <c r="EE230" s="2131">
        <f>IF(EE$221,_xll.ciqfunctions.udf.CIQ($G230, "IQ_VOLUME", EE$222),"--")</f>
        <v>0</v>
      </c>
      <c r="EF230" s="2131">
        <f>IF(EF$221,_xll.ciqfunctions.udf.CIQ($G230, "IQ_VOLUME", EF$222),"--")</f>
        <v>0</v>
      </c>
      <c r="EG230" s="2131">
        <f>IF(EG$221,_xll.ciqfunctions.udf.CIQ($G230, "IQ_VOLUME", EG$222),"--")</f>
        <v>0</v>
      </c>
      <c r="EH230" s="2131">
        <f>IF(EH$221,_xll.ciqfunctions.udf.CIQ($G230, "IQ_VOLUME", EH$222),"--")</f>
        <v>0</v>
      </c>
      <c r="EI230" s="2131">
        <f>IF(EI$221,_xll.ciqfunctions.udf.CIQ($G230, "IQ_VOLUME", EI$222),"--")</f>
        <v>0</v>
      </c>
      <c r="EJ230" s="2131">
        <f>IF(EJ$221,_xll.ciqfunctions.udf.CIQ($G230, "IQ_VOLUME", EJ$222),"--")</f>
        <v>0</v>
      </c>
      <c r="EK230" s="2131">
        <f>IF(EK$221,_xll.ciqfunctions.udf.CIQ($G230, "IQ_VOLUME", EK$222),"--")</f>
        <v>0</v>
      </c>
      <c r="EL230" s="2131">
        <f>IF(EL$221,_xll.ciqfunctions.udf.CIQ($G230, "IQ_VOLUME", EL$222),"--")</f>
        <v>0</v>
      </c>
      <c r="EM230" s="2131">
        <f>IF(EM$221,_xll.ciqfunctions.udf.CIQ($G230, "IQ_VOLUME", EM$222),"--")</f>
        <v>0</v>
      </c>
      <c r="EN230" s="2131">
        <f>IF(EN$221,_xll.ciqfunctions.udf.CIQ($G230, "IQ_VOLUME", EN$222),"--")</f>
        <v>0</v>
      </c>
      <c r="EO230" s="2131">
        <f>IF(EO$221,_xll.ciqfunctions.udf.CIQ($G230, "IQ_VOLUME", EO$222),"--")</f>
        <v>0</v>
      </c>
      <c r="EP230" s="2131">
        <f>IF(EP$221,_xll.ciqfunctions.udf.CIQ($G230, "IQ_VOLUME", EP$222),"--")</f>
        <v>0</v>
      </c>
      <c r="EQ230" s="2131">
        <f>IF(EQ$221,_xll.ciqfunctions.udf.CIQ($G230, "IQ_VOLUME", EQ$222),"--")</f>
        <v>0</v>
      </c>
      <c r="ER230" s="2131">
        <f>IF(ER$221,_xll.ciqfunctions.udf.CIQ($G230, "IQ_VOLUME", ER$222),"--")</f>
        <v>0</v>
      </c>
      <c r="ES230" s="2131">
        <f>IF(ES$221,_xll.ciqfunctions.udf.CIQ($G230, "IQ_VOLUME", ES$222),"--")</f>
        <v>0</v>
      </c>
      <c r="ET230" s="2131">
        <f>IF(ET$221,_xll.ciqfunctions.udf.CIQ($G230, "IQ_VOLUME", ET$222),"--")</f>
        <v>0</v>
      </c>
      <c r="EU230" s="2131">
        <f>IF(EU$221,_xll.ciqfunctions.udf.CIQ($G230, "IQ_VOLUME", EU$222),"--")</f>
        <v>0</v>
      </c>
      <c r="EV230" s="2131">
        <f>IF(EV$221,_xll.ciqfunctions.udf.CIQ($G230, "IQ_VOLUME", EV$222),"--")</f>
        <v>0</v>
      </c>
      <c r="EW230" s="2131">
        <f>IF(EW$221,_xll.ciqfunctions.udf.CIQ($G230, "IQ_VOLUME", EW$222),"--")</f>
        <v>0</v>
      </c>
      <c r="EX230" s="2131">
        <f>IF(EX$221,_xll.ciqfunctions.udf.CIQ($G230, "IQ_VOLUME", EX$222),"--")</f>
        <v>0</v>
      </c>
      <c r="EY230" s="2131">
        <f>IF(EY$221,_xll.ciqfunctions.udf.CIQ($G230, "IQ_VOLUME", EY$222),"--")</f>
        <v>0</v>
      </c>
      <c r="EZ230" s="2131">
        <f>IF(EZ$221,_xll.ciqfunctions.udf.CIQ($G230, "IQ_VOLUME", EZ$222),"--")</f>
        <v>0</v>
      </c>
      <c r="FA230" s="2131">
        <f>IF(FA$221,_xll.ciqfunctions.udf.CIQ($G230, "IQ_VOLUME", FA$222),"--")</f>
        <v>0</v>
      </c>
      <c r="FB230" s="2131">
        <f>IF(FB$221,_xll.ciqfunctions.udf.CIQ($G230, "IQ_VOLUME", FB$222),"--")</f>
        <v>0</v>
      </c>
      <c r="FC230" s="2131">
        <f>IF(FC$221,_xll.ciqfunctions.udf.CIQ($G230, "IQ_VOLUME", FC$222),"--")</f>
        <v>0</v>
      </c>
      <c r="FD230" s="2131">
        <f>IF(FD$221,_xll.ciqfunctions.udf.CIQ($G230, "IQ_VOLUME", FD$222),"--")</f>
        <v>0</v>
      </c>
      <c r="FE230" s="2131">
        <f>IF(FE$221,_xll.ciqfunctions.udf.CIQ($G230, "IQ_VOLUME", FE$222),"--")</f>
        <v>0</v>
      </c>
      <c r="FF230" s="2131">
        <f>IF(FF$221,_xll.ciqfunctions.udf.CIQ($G230, "IQ_VOLUME", FF$222),"--")</f>
        <v>0</v>
      </c>
      <c r="FG230" s="2131">
        <f>IF(FG$221,_xll.ciqfunctions.udf.CIQ($G230, "IQ_VOLUME", FG$222),"--")</f>
        <v>0</v>
      </c>
      <c r="FH230" s="2131">
        <f>IF(FH$221,_xll.ciqfunctions.udf.CIQ($G230, "IQ_VOLUME", FH$222),"--")</f>
        <v>0</v>
      </c>
      <c r="FI230" s="2131">
        <f>IF(FI$221,_xll.ciqfunctions.udf.CIQ($G230, "IQ_VOLUME", FI$222),"--")</f>
        <v>0</v>
      </c>
      <c r="FJ230" s="2131">
        <f>IF(FJ$221,_xll.ciqfunctions.udf.CIQ($G230, "IQ_VOLUME", FJ$222),"--")</f>
        <v>0</v>
      </c>
      <c r="FK230" s="2131">
        <f>IF(FK$221,_xll.ciqfunctions.udf.CIQ($G230, "IQ_VOLUME", FK$222),"--")</f>
        <v>0</v>
      </c>
      <c r="FL230" s="2131">
        <f>IF(FL$221,_xll.ciqfunctions.udf.CIQ($G230, "IQ_VOLUME", FL$222),"--")</f>
        <v>0</v>
      </c>
      <c r="FM230" s="2131">
        <f>IF(FM$221,_xll.ciqfunctions.udf.CIQ($G230, "IQ_VOLUME", FM$222),"--")</f>
        <v>0</v>
      </c>
      <c r="FN230" s="2131">
        <f>IF(FN$221,_xll.ciqfunctions.udf.CIQ($G230, "IQ_VOLUME", FN$222),"--")</f>
        <v>0</v>
      </c>
      <c r="FO230" s="2131">
        <f>IF(FO$221,_xll.ciqfunctions.udf.CIQ($G230, "IQ_VOLUME", FO$222),"--")</f>
        <v>0</v>
      </c>
      <c r="FP230" s="2131">
        <f>IF(FP$221,_xll.ciqfunctions.udf.CIQ($G230, "IQ_VOLUME", FP$222),"--")</f>
        <v>0</v>
      </c>
      <c r="FQ230" s="2131">
        <f>IF(FQ$221,_xll.ciqfunctions.udf.CIQ($G230, "IQ_VOLUME", FQ$222),"--")</f>
        <v>0</v>
      </c>
      <c r="FR230" s="2131">
        <f>IF(FR$221,_xll.ciqfunctions.udf.CIQ($G230, "IQ_VOLUME", FR$222),"--")</f>
        <v>0</v>
      </c>
      <c r="FS230" s="2131">
        <f>IF(FS$221,_xll.ciqfunctions.udf.CIQ($G230, "IQ_VOLUME", FS$222),"--")</f>
        <v>0</v>
      </c>
      <c r="FT230" s="2131">
        <f>IF(FT$221,_xll.ciqfunctions.udf.CIQ($G230, "IQ_VOLUME", FT$222),"--")</f>
        <v>0</v>
      </c>
      <c r="FU230" s="2131">
        <f>IF(FU$221,_xll.ciqfunctions.udf.CIQ($G230, "IQ_VOLUME", FU$222),"--")</f>
        <v>0</v>
      </c>
      <c r="FV230" s="2131">
        <f>IF(FV$221,_xll.ciqfunctions.udf.CIQ($G230, "IQ_VOLUME", FV$222),"--")</f>
        <v>0</v>
      </c>
      <c r="FW230" s="2131">
        <f>IF(FW$221,_xll.ciqfunctions.udf.CIQ($G230, "IQ_VOLUME", FW$222),"--")</f>
        <v>0</v>
      </c>
      <c r="FX230" s="2131">
        <f>IF(FX$221,_xll.ciqfunctions.udf.CIQ($G230, "IQ_VOLUME", FX$222),"--")</f>
        <v>0</v>
      </c>
      <c r="FY230" s="2131">
        <f>IF(FY$221,_xll.ciqfunctions.udf.CIQ($G230, "IQ_VOLUME", FY$222),"--")</f>
        <v>0</v>
      </c>
      <c r="FZ230" s="2131">
        <f>IF(FZ$221,_xll.ciqfunctions.udf.CIQ($G230, "IQ_VOLUME", FZ$222),"--")</f>
        <v>0</v>
      </c>
      <c r="GA230" s="2131">
        <f>IF(GA$221,_xll.ciqfunctions.udf.CIQ($G230, "IQ_VOLUME", GA$222),"--")</f>
        <v>0</v>
      </c>
      <c r="GB230" s="2131">
        <f>IF(GB$221,_xll.ciqfunctions.udf.CIQ($G230, "IQ_VOLUME", GB$222),"--")</f>
        <v>0</v>
      </c>
      <c r="GC230" s="2131">
        <f>IF(GC$221,_xll.ciqfunctions.udf.CIQ($G230, "IQ_VOLUME", GC$222),"--")</f>
        <v>0</v>
      </c>
      <c r="GD230" s="2131">
        <f>IF(GD$221,_xll.ciqfunctions.udf.CIQ($G230, "IQ_VOLUME", GD$222),"--")</f>
        <v>0</v>
      </c>
      <c r="GE230" s="2131">
        <f>IF(GE$221,_xll.ciqfunctions.udf.CIQ($G230, "IQ_VOLUME", GE$222),"--")</f>
        <v>0</v>
      </c>
      <c r="GF230" s="2131">
        <f>IF(GF$221,_xll.ciqfunctions.udf.CIQ($G230, "IQ_VOLUME", GF$222),"--")</f>
        <v>0</v>
      </c>
      <c r="GG230" s="2131">
        <f>IF(GG$221,_xll.ciqfunctions.udf.CIQ($G230, "IQ_VOLUME", GG$222),"--")</f>
        <v>0</v>
      </c>
      <c r="GH230" s="2131">
        <f>IF(GH$221,_xll.ciqfunctions.udf.CIQ($G230, "IQ_VOLUME", GH$222),"--")</f>
        <v>0</v>
      </c>
      <c r="GI230" s="2131">
        <f>IF(GI$221,_xll.ciqfunctions.udf.CIQ($G230, "IQ_VOLUME", GI$222),"--")</f>
        <v>0</v>
      </c>
      <c r="GJ230" s="2131">
        <f>IF(GJ$221,_xll.ciqfunctions.udf.CIQ($G230, "IQ_VOLUME", GJ$222),"--")</f>
        <v>0</v>
      </c>
      <c r="GK230" s="2131">
        <f>IF(GK$221,_xll.ciqfunctions.udf.CIQ($G230, "IQ_VOLUME", GK$222),"--")</f>
        <v>0</v>
      </c>
      <c r="GL230" s="2131">
        <f>IF(GL$221,_xll.ciqfunctions.udf.CIQ($G230, "IQ_VOLUME", GL$222),"--")</f>
        <v>0</v>
      </c>
      <c r="GM230" s="2131">
        <f>IF(GM$221,_xll.ciqfunctions.udf.CIQ($G230, "IQ_VOLUME", GM$222),"--")</f>
        <v>0</v>
      </c>
      <c r="GN230" s="2131">
        <f>IF(GN$221,_xll.ciqfunctions.udf.CIQ($G230, "IQ_VOLUME", GN$222),"--")</f>
        <v>0</v>
      </c>
      <c r="GO230" s="2131">
        <f>IF(GO$221,_xll.ciqfunctions.udf.CIQ($G230, "IQ_VOLUME", GO$222),"--")</f>
        <v>0</v>
      </c>
      <c r="GP230" s="2131">
        <f>IF(GP$221,_xll.ciqfunctions.udf.CIQ($G230, "IQ_VOLUME", GP$222),"--")</f>
        <v>0</v>
      </c>
      <c r="GQ230" s="2131">
        <f>IF(GQ$221,_xll.ciqfunctions.udf.CIQ($G230, "IQ_VOLUME", GQ$222),"--")</f>
        <v>0</v>
      </c>
      <c r="GR230" s="2131">
        <f>IF(GR$221,_xll.ciqfunctions.udf.CIQ($G230, "IQ_VOLUME", GR$222),"--")</f>
        <v>0</v>
      </c>
      <c r="GS230" s="2131">
        <f>IF(GS$221,_xll.ciqfunctions.udf.CIQ($G230, "IQ_VOLUME", GS$222),"--")</f>
        <v>0</v>
      </c>
      <c r="GT230" s="2131">
        <f>IF(GT$221,_xll.ciqfunctions.udf.CIQ($G230, "IQ_VOLUME", GT$222),"--")</f>
        <v>0</v>
      </c>
      <c r="GU230" s="2131">
        <f>IF(GU$221,_xll.ciqfunctions.udf.CIQ($G230, "IQ_VOLUME", GU$222),"--")</f>
        <v>0</v>
      </c>
      <c r="GV230" s="2131">
        <f>IF(GV$221,_xll.ciqfunctions.udf.CIQ($G230, "IQ_VOLUME", GV$222),"--")</f>
        <v>0</v>
      </c>
      <c r="GW230" s="2131">
        <f>IF(GW$221,_xll.ciqfunctions.udf.CIQ($G230, "IQ_VOLUME", GW$222),"--")</f>
        <v>0</v>
      </c>
      <c r="GX230" s="2131">
        <f>IF(GX$221,_xll.ciqfunctions.udf.CIQ($G230, "IQ_VOLUME", GX$222),"--")</f>
        <v>0</v>
      </c>
      <c r="GY230" s="2131">
        <f>IF(GY$221,_xll.ciqfunctions.udf.CIQ($G230, "IQ_VOLUME", GY$222),"--")</f>
        <v>0</v>
      </c>
      <c r="GZ230" s="2131">
        <f>IF(GZ$221,_xll.ciqfunctions.udf.CIQ($G230, "IQ_VOLUME", GZ$222),"--")</f>
        <v>0</v>
      </c>
      <c r="HA230" s="2131">
        <f>IF(HA$221,_xll.ciqfunctions.udf.CIQ($G230, "IQ_VOLUME", HA$222),"--")</f>
        <v>0</v>
      </c>
      <c r="HB230" s="2131">
        <f>IF(HB$221,_xll.ciqfunctions.udf.CIQ($G230, "IQ_VOLUME", HB$222),"--")</f>
        <v>0</v>
      </c>
      <c r="HC230" s="2131">
        <f>IF(HC$221,_xll.ciqfunctions.udf.CIQ($G230, "IQ_VOLUME", HC$222),"--")</f>
        <v>0</v>
      </c>
      <c r="HD230" s="2131">
        <f>IF(HD$221,_xll.ciqfunctions.udf.CIQ($G230, "IQ_VOLUME", HD$222),"--")</f>
        <v>0</v>
      </c>
      <c r="HE230" s="2131">
        <f>IF(HE$221,_xll.ciqfunctions.udf.CIQ($G230, "IQ_VOLUME", HE$222),"--")</f>
        <v>0</v>
      </c>
      <c r="HF230" s="2131">
        <f>IF(HF$221,_xll.ciqfunctions.udf.CIQ($G230, "IQ_VOLUME", HF$222),"--")</f>
        <v>0</v>
      </c>
      <c r="HG230" s="2131">
        <f>IF(HG$221,_xll.ciqfunctions.udf.CIQ($G230, "IQ_VOLUME", HG$222),"--")</f>
        <v>0</v>
      </c>
      <c r="HH230" s="2131">
        <f>IF(HH$221,_xll.ciqfunctions.udf.CIQ($G230, "IQ_VOLUME", HH$222),"--")</f>
        <v>0</v>
      </c>
      <c r="HI230" s="2131">
        <f>IF(HI$221,_xll.ciqfunctions.udf.CIQ($G230, "IQ_VOLUME", HI$222),"--")</f>
        <v>0</v>
      </c>
      <c r="HJ230" s="2131">
        <f>IF(HJ$221,_xll.ciqfunctions.udf.CIQ($G230, "IQ_VOLUME", HJ$222),"--")</f>
        <v>0</v>
      </c>
      <c r="HK230" s="2131">
        <f>IF(HK$221,_xll.ciqfunctions.udf.CIQ($G230, "IQ_VOLUME", HK$222),"--")</f>
        <v>0</v>
      </c>
      <c r="HL230" s="2131">
        <f>IF(HL$221,_xll.ciqfunctions.udf.CIQ($G230, "IQ_VOLUME", HL$222),"--")</f>
        <v>0</v>
      </c>
      <c r="HM230" s="2131">
        <f>IF(HM$221,_xll.ciqfunctions.udf.CIQ($G230, "IQ_VOLUME", HM$222),"--")</f>
        <v>0</v>
      </c>
      <c r="HN230" s="2131">
        <f>IF(HN$221,_xll.ciqfunctions.udf.CIQ($G230, "IQ_VOLUME", HN$222),"--")</f>
        <v>0</v>
      </c>
      <c r="HO230" s="2131">
        <f>IF(HO$221,_xll.ciqfunctions.udf.CIQ($G230, "IQ_VOLUME", HO$222),"--")</f>
        <v>0</v>
      </c>
      <c r="HP230" s="2131">
        <f>IF(HP$221,_xll.ciqfunctions.udf.CIQ($G230, "IQ_VOLUME", HP$222),"--")</f>
        <v>0</v>
      </c>
      <c r="HQ230" s="2131">
        <f>IF(HQ$221,_xll.ciqfunctions.udf.CIQ($G230, "IQ_VOLUME", HQ$222),"--")</f>
        <v>0</v>
      </c>
      <c r="HR230" s="2131">
        <f>IF(HR$221,_xll.ciqfunctions.udf.CIQ($G230, "IQ_VOLUME", HR$222),"--")</f>
        <v>0</v>
      </c>
      <c r="HS230" s="2131">
        <f>IF(HS$221,_xll.ciqfunctions.udf.CIQ($G230, "IQ_VOLUME", HS$222),"--")</f>
        <v>0</v>
      </c>
      <c r="HT230" s="2131">
        <f>IF(HT$221,_xll.ciqfunctions.udf.CIQ($G230, "IQ_VOLUME", HT$222),"--")</f>
        <v>0</v>
      </c>
      <c r="HU230" s="2131">
        <f>IF(HU$221,_xll.ciqfunctions.udf.CIQ($G230, "IQ_VOLUME", HU$222),"--")</f>
        <v>0</v>
      </c>
      <c r="HV230" s="2131">
        <f>IF(HV$221,_xll.ciqfunctions.udf.CIQ($G230, "IQ_VOLUME", HV$222),"--")</f>
        <v>0</v>
      </c>
      <c r="HW230" s="2131">
        <f>IF(HW$221,_xll.ciqfunctions.udf.CIQ($G230, "IQ_VOLUME", HW$222),"--")</f>
        <v>0</v>
      </c>
      <c r="HX230" s="2131">
        <f>IF(HX$221,_xll.ciqfunctions.udf.CIQ($G230, "IQ_VOLUME", HX$222),"--")</f>
        <v>0</v>
      </c>
      <c r="HY230" s="2131">
        <f>IF(HY$221,_xll.ciqfunctions.udf.CIQ($G230, "IQ_VOLUME", HY$222),"--")</f>
        <v>0</v>
      </c>
      <c r="HZ230" s="2131">
        <f>IF(HZ$221,_xll.ciqfunctions.udf.CIQ($G230, "IQ_VOLUME", HZ$222),"--")</f>
        <v>0</v>
      </c>
      <c r="IA230" s="2131">
        <f>IF(IA$221,_xll.ciqfunctions.udf.CIQ($G230, "IQ_VOLUME", IA$222),"--")</f>
        <v>0</v>
      </c>
      <c r="IB230" s="2131">
        <f>IF(IB$221,_xll.ciqfunctions.udf.CIQ($G230, "IQ_VOLUME", IB$222),"--")</f>
        <v>0</v>
      </c>
      <c r="IC230" s="2131">
        <f>IF(IC$221,_xll.ciqfunctions.udf.CIQ($G230, "IQ_VOLUME", IC$222),"--")</f>
        <v>0</v>
      </c>
      <c r="ID230" s="2131">
        <f>IF(ID$221,_xll.ciqfunctions.udf.CIQ($G230, "IQ_VOLUME", ID$222),"--")</f>
        <v>0</v>
      </c>
      <c r="IE230" s="2131">
        <f>IF(IE$221,_xll.ciqfunctions.udf.CIQ($G230, "IQ_VOLUME", IE$222),"--")</f>
        <v>0</v>
      </c>
      <c r="IF230" s="2131">
        <f>IF(IF$221,_xll.ciqfunctions.udf.CIQ($G230, "IQ_VOLUME", IF$222),"--")</f>
        <v>0</v>
      </c>
      <c r="IG230" s="2131">
        <f>IF(IG$221,_xll.ciqfunctions.udf.CIQ($G230, "IQ_VOLUME", IG$222),"--")</f>
        <v>0</v>
      </c>
      <c r="IH230" s="2131">
        <f>IF(IH$221,_xll.ciqfunctions.udf.CIQ($G230, "IQ_VOLUME", IH$222),"--")</f>
        <v>0</v>
      </c>
      <c r="II230" s="2131">
        <f>IF(II$221,_xll.ciqfunctions.udf.CIQ($G230, "IQ_VOLUME", II$222),"--")</f>
        <v>0</v>
      </c>
      <c r="IJ230" s="2131">
        <f>IF(IJ$221,_xll.ciqfunctions.udf.CIQ($G230, "IQ_VOLUME", IJ$222),"--")</f>
        <v>0</v>
      </c>
      <c r="IK230" s="2131">
        <f>IF(IK$221,_xll.ciqfunctions.udf.CIQ($G230, "IQ_VOLUME", IK$222),"--")</f>
        <v>0</v>
      </c>
      <c r="IL230" s="2131">
        <f>IF(IL$221,_xll.ciqfunctions.udf.CIQ($G230, "IQ_VOLUME", IL$222),"--")</f>
        <v>0</v>
      </c>
      <c r="IM230" s="2131">
        <f>IF(IM$221,_xll.ciqfunctions.udf.CIQ($G230, "IQ_VOLUME", IM$222),"--")</f>
        <v>0</v>
      </c>
      <c r="IN230" s="2131">
        <f>IF(IN$221,_xll.ciqfunctions.udf.CIQ($G230, "IQ_VOLUME", IN$222),"--")</f>
        <v>0</v>
      </c>
      <c r="IO230" s="2131">
        <f>IF(IO$221,_xll.ciqfunctions.udf.CIQ($G230, "IQ_VOLUME", IO$222),"--")</f>
        <v>0</v>
      </c>
      <c r="IP230" s="2131">
        <f>IF(IP$221,_xll.ciqfunctions.udf.CIQ($G230, "IQ_VOLUME", IP$222),"--")</f>
        <v>0</v>
      </c>
      <c r="IQ230" s="2131">
        <f>IF(IQ$221,_xll.ciqfunctions.udf.CIQ($G230, "IQ_VOLUME", IQ$222),"--")</f>
        <v>0</v>
      </c>
      <c r="IR230" s="2131">
        <f>IF(IR$221,_xll.ciqfunctions.udf.CIQ($G230, "IQ_VOLUME", IR$222),"--")</f>
        <v>0</v>
      </c>
      <c r="IS230" s="2131">
        <f>IF(IS$221,_xll.ciqfunctions.udf.CIQ($G230, "IQ_VOLUME", IS$222),"--")</f>
        <v>0</v>
      </c>
      <c r="IT230" s="2131">
        <f>IF(IT$221,_xll.ciqfunctions.udf.CIQ($G230, "IQ_VOLUME", IT$222),"--")</f>
        <v>0</v>
      </c>
      <c r="IU230" s="2131">
        <f>IF(IU$221,_xll.ciqfunctions.udf.CIQ($G230, "IQ_VOLUME", IU$222),"--")</f>
        <v>0</v>
      </c>
      <c r="IV230" s="2131">
        <f>IF(IV$221,_xll.ciqfunctions.udf.CIQ($G230, "IQ_VOLUME", IV$222),"--")</f>
        <v>0</v>
      </c>
      <c r="IW230" s="2131">
        <f>IF(IW$221,_xll.ciqfunctions.udf.CIQ($G230, "IQ_VOLUME", IW$222),"--")</f>
        <v>0</v>
      </c>
      <c r="IX230" s="2131">
        <f>IF(IX$221,_xll.ciqfunctions.udf.CIQ($G230, "IQ_VOLUME", IX$222),"--")</f>
        <v>0</v>
      </c>
      <c r="IY230" s="2131">
        <f>IF(IY$221,_xll.ciqfunctions.udf.CIQ($G230, "IQ_VOLUME", IY$222),"--")</f>
        <v>0</v>
      </c>
      <c r="IZ230" s="2131">
        <f>IF(IZ$221,_xll.ciqfunctions.udf.CIQ($G230, "IQ_VOLUME", IZ$222),"--")</f>
        <v>0</v>
      </c>
      <c r="JA230" s="2131">
        <f>IF(JA$221,_xll.ciqfunctions.udf.CIQ($G230, "IQ_VOLUME", JA$222),"--")</f>
        <v>0</v>
      </c>
      <c r="JB230" s="2131">
        <f>IF(JB$221,_xll.ciqfunctions.udf.CIQ($G230, "IQ_VOLUME", JB$222),"--")</f>
        <v>0</v>
      </c>
      <c r="JC230" s="2131">
        <f>IF(JC$221,_xll.ciqfunctions.udf.CIQ($G230, "IQ_VOLUME", JC$222),"--")</f>
        <v>0</v>
      </c>
      <c r="JD230" s="2131">
        <f>IF(JD$221,_xll.ciqfunctions.udf.CIQ($G230, "IQ_VOLUME", JD$222),"--")</f>
        <v>0</v>
      </c>
      <c r="JE230" s="2131">
        <f>IF(JE$221,_xll.ciqfunctions.udf.CIQ($G230, "IQ_VOLUME", JE$222),"--")</f>
        <v>0</v>
      </c>
      <c r="JF230" s="2131">
        <f>IF(JF$221,_xll.ciqfunctions.udf.CIQ($G230, "IQ_VOLUME", JF$222),"--")</f>
        <v>0</v>
      </c>
      <c r="JG230" s="2131">
        <f>IF(JG$221,_xll.ciqfunctions.udf.CIQ($G230, "IQ_VOLUME", JG$222),"--")</f>
        <v>0</v>
      </c>
      <c r="JH230" s="2131">
        <f>IF(JH$221,_xll.ciqfunctions.udf.CIQ($G230, "IQ_VOLUME", JH$222),"--")</f>
        <v>0</v>
      </c>
      <c r="JI230" s="2131">
        <f>IF(JI$221,_xll.ciqfunctions.udf.CIQ($G230, "IQ_VOLUME", JI$222),"--")</f>
        <v>0</v>
      </c>
      <c r="JJ230" s="2131">
        <f>IF(JJ$221,_xll.ciqfunctions.udf.CIQ($G230, "IQ_VOLUME", JJ$222),"--")</f>
        <v>0</v>
      </c>
      <c r="JK230" s="2131">
        <f>IF(JK$221,_xll.ciqfunctions.udf.CIQ($G230, "IQ_VOLUME", JK$222),"--")</f>
        <v>0</v>
      </c>
      <c r="JL230" s="2131">
        <f>IF(JL$221,_xll.ciqfunctions.udf.CIQ($G230, "IQ_VOLUME", JL$222),"--")</f>
        <v>0</v>
      </c>
      <c r="JM230" s="2131">
        <f>IF(JM$221,_xll.ciqfunctions.udf.CIQ($G230, "IQ_VOLUME", JM$222),"--")</f>
        <v>0</v>
      </c>
      <c r="JN230" s="2131">
        <f>IF(JN$221,_xll.ciqfunctions.udf.CIQ($G230, "IQ_VOLUME", JN$222),"--")</f>
        <v>0</v>
      </c>
      <c r="JO230" s="2131">
        <f>IF(JO$221,_xll.ciqfunctions.udf.CIQ($G230, "IQ_VOLUME", JO$222),"--")</f>
        <v>0</v>
      </c>
      <c r="JP230" s="2131">
        <f>IF(JP$221,_xll.ciqfunctions.udf.CIQ($G230, "IQ_VOLUME", JP$222),"--")</f>
        <v>0</v>
      </c>
      <c r="JQ230" s="2131">
        <f>IF(JQ$221,_xll.ciqfunctions.udf.CIQ($G230, "IQ_VOLUME", JQ$222),"--")</f>
        <v>0</v>
      </c>
      <c r="JR230" s="2131">
        <f>IF(JR$221,_xll.ciqfunctions.udf.CIQ($G230, "IQ_VOLUME", JR$222),"--")</f>
        <v>0</v>
      </c>
      <c r="JS230" s="2131">
        <f>IF(JS$221,_xll.ciqfunctions.udf.CIQ($G230, "IQ_VOLUME", JS$222),"--")</f>
        <v>0</v>
      </c>
      <c r="JT230" s="2131">
        <f>IF(JT$221,_xll.ciqfunctions.udf.CIQ($G230, "IQ_VOLUME", JT$222),"--")</f>
        <v>0</v>
      </c>
      <c r="JU230" s="2131">
        <f>IF(JU$221,_xll.ciqfunctions.udf.CIQ($G230, "IQ_VOLUME", JU$222),"--")</f>
        <v>0</v>
      </c>
      <c r="JV230" s="2131">
        <f>IF(JV$221,_xll.ciqfunctions.udf.CIQ($G230, "IQ_VOLUME", JV$222),"--")</f>
        <v>0</v>
      </c>
      <c r="JW230" s="2131" t="str">
        <f>IF(JW$221,_xll.ciqfunctions.udf.CIQ($G230, "IQ_VOLUME", JW$222),"--")</f>
        <v>--</v>
      </c>
      <c r="JX230" s="2131" t="str">
        <f>IF(JX$221,_xll.ciqfunctions.udf.CIQ($G230, "IQ_VOLUME", JX$222),"--")</f>
        <v>--</v>
      </c>
      <c r="JY230" s="2131" t="str">
        <f>IF(JY$221,_xll.ciqfunctions.udf.CIQ($G230, "IQ_VOLUME", JY$222),"--")</f>
        <v>--</v>
      </c>
      <c r="JZ230" s="2131" t="str">
        <f>IF(JZ$221,_xll.ciqfunctions.udf.CIQ($G230, "IQ_VOLUME", JZ$222),"--")</f>
        <v>--</v>
      </c>
      <c r="KA230" s="2131" t="str">
        <f>IF(KA$221,_xll.ciqfunctions.udf.CIQ($G230, "IQ_VOLUME", KA$222),"--")</f>
        <v>--</v>
      </c>
      <c r="KB230" s="2131" t="str">
        <f>IF(KB$221,_xll.ciqfunctions.udf.CIQ($G230, "IQ_VOLUME", KB$222),"--")</f>
        <v>--</v>
      </c>
    </row>
    <row r="231" spans="1:288" s="89" customFormat="1" ht="13.9">
      <c r="A231" s="269" t="str">
        <f t="shared" si="47"/>
        <v>n</v>
      </c>
      <c r="B231" s="2060"/>
      <c r="D231" s="801"/>
      <c r="E231" s="1505">
        <v>8</v>
      </c>
      <c r="F231" s="21" t="str">
        <f>F$136</f>
        <v>--</v>
      </c>
      <c r="G231" s="2112">
        <f>G$136</f>
        <v>0</v>
      </c>
      <c r="H231" s="2112" t="str">
        <f>H$136</f>
        <v>--</v>
      </c>
      <c r="I231" s="22" t="s">
        <v>781</v>
      </c>
      <c r="J231" s="53"/>
      <c r="K231" s="2301" t="str">
        <f>IF(OR(K199=0,$G231=0),"--",IFERROR(_xll.ciqfunctions.udf.CIQ($G231,$I231,K107,Valuation_Date_GC,ReportType,DataMode,$H231,FXMode)*Scale,"--"))</f>
        <v>--</v>
      </c>
      <c r="L231" s="2301" t="str">
        <f>IF(OR(L199=0,$G231=0),"--",IFERROR(_xll.ciqfunctions.udf.CIQ($G231,$I231,L107,Valuation_Date_GC,ReportType,DataMode,$H231,FXMode)*Scale,"--"))</f>
        <v>--</v>
      </c>
      <c r="M231" s="2301" t="str">
        <f>IF(OR(M199=0,$G231=0),"--",IFERROR(_xll.ciqfunctions.udf.CIQ($G231,$I231,M107,Valuation_Date_GC,ReportType,DataMode,$H231,FXMode)*Scale,"--"))</f>
        <v>--</v>
      </c>
      <c r="N231" s="2301" t="str">
        <f>IF(OR(N199=0,$G231=0),"--",IFERROR(_xll.ciqfunctions.udf.CIQ($G231,$I231,N107,Valuation_Date_GC,ReportType,DataMode,$H231,FXMode)*Scale,"--"))</f>
        <v>--</v>
      </c>
      <c r="O231" s="1471" t="str">
        <f>IF(OR(O199=0,$G231=0),"--",IFERROR(_xll.ciqfunctions.udf.CIQ($G231,$I231,O107,Valuation_Date_GC,ReportType,DataMode,$H231,FXMode)*Scale,"--"))</f>
        <v>--</v>
      </c>
      <c r="P231" s="2301" t="str">
        <f>IF(OR(P199=0,$G231=0),"--",IFERROR(_xll.ciqfunctions.udf.CIQ($G231,$I231,P107,Valuation_Date_GC,ReportType,DataMode,$H231,FXMode)*Scale,"--"))</f>
        <v>--</v>
      </c>
      <c r="R231" s="255"/>
      <c r="T231" s="1779" t="s">
        <v>782</v>
      </c>
      <c r="U231" s="2131">
        <f>IF(U$221,_xll.ciqfunctions.udf.CIQ($G231, "IQ_VOLUME", U$222),"--")</f>
        <v>0</v>
      </c>
      <c r="V231" s="2131">
        <f>IF(V$221,_xll.ciqfunctions.udf.CIQ($G231, "IQ_VOLUME", V$222),"--")</f>
        <v>0</v>
      </c>
      <c r="W231" s="2131">
        <f>IF(W$221,_xll.ciqfunctions.udf.CIQ($G231, "IQ_VOLUME", W$222),"--")</f>
        <v>0</v>
      </c>
      <c r="X231" s="2131">
        <f>IF(X$221,_xll.ciqfunctions.udf.CIQ($G231, "IQ_VOLUME", X$222),"--")</f>
        <v>0</v>
      </c>
      <c r="Y231" s="2131">
        <f>IF(Y$221,_xll.ciqfunctions.udf.CIQ($G231, "IQ_VOLUME", Y$222),"--")</f>
        <v>0</v>
      </c>
      <c r="Z231" s="2131">
        <f>IF(Z$221,_xll.ciqfunctions.udf.CIQ($G231, "IQ_VOLUME", Z$222),"--")</f>
        <v>0</v>
      </c>
      <c r="AA231" s="2131">
        <f>IF(AA$221,_xll.ciqfunctions.udf.CIQ($G231, "IQ_VOLUME", AA$222),"--")</f>
        <v>0</v>
      </c>
      <c r="AB231" s="2131">
        <f>IF(AB$221,_xll.ciqfunctions.udf.CIQ($G231, "IQ_VOLUME", AB$222),"--")</f>
        <v>0</v>
      </c>
      <c r="AC231" s="2131">
        <f>IF(AC$221,_xll.ciqfunctions.udf.CIQ($G231, "IQ_VOLUME", AC$222),"--")</f>
        <v>0</v>
      </c>
      <c r="AD231" s="2131">
        <f>IF(AD$221,_xll.ciqfunctions.udf.CIQ($G231, "IQ_VOLUME", AD$222),"--")</f>
        <v>0</v>
      </c>
      <c r="AE231" s="2131">
        <f>IF(AE$221,_xll.ciqfunctions.udf.CIQ($G231, "IQ_VOLUME", AE$222),"--")</f>
        <v>0</v>
      </c>
      <c r="AF231" s="2131">
        <f>IF(AF$221,_xll.ciqfunctions.udf.CIQ($G231, "IQ_VOLUME", AF$222),"--")</f>
        <v>0</v>
      </c>
      <c r="AG231" s="2131">
        <f>IF(AG$221,_xll.ciqfunctions.udf.CIQ($G231, "IQ_VOLUME", AG$222),"--")</f>
        <v>0</v>
      </c>
      <c r="AH231" s="2131">
        <f>IF(AH$221,_xll.ciqfunctions.udf.CIQ($G231, "IQ_VOLUME", AH$222),"--")</f>
        <v>0</v>
      </c>
      <c r="AI231" s="2131">
        <f>IF(AI$221,_xll.ciqfunctions.udf.CIQ($G231, "IQ_VOLUME", AI$222),"--")</f>
        <v>0</v>
      </c>
      <c r="AJ231" s="2131">
        <f>IF(AJ$221,_xll.ciqfunctions.udf.CIQ($G231, "IQ_VOLUME", AJ$222),"--")</f>
        <v>0</v>
      </c>
      <c r="AK231" s="2131">
        <f>IF(AK$221,_xll.ciqfunctions.udf.CIQ($G231, "IQ_VOLUME", AK$222),"--")</f>
        <v>0</v>
      </c>
      <c r="AL231" s="2131">
        <f>IF(AL$221,_xll.ciqfunctions.udf.CIQ($G231, "IQ_VOLUME", AL$222),"--")</f>
        <v>0</v>
      </c>
      <c r="AM231" s="2131">
        <f>IF(AM$221,_xll.ciqfunctions.udf.CIQ($G231, "IQ_VOLUME", AM$222),"--")</f>
        <v>0</v>
      </c>
      <c r="AN231" s="2131">
        <f>IF(AN$221,_xll.ciqfunctions.udf.CIQ($G231, "IQ_VOLUME", AN$222),"--")</f>
        <v>0</v>
      </c>
      <c r="AO231" s="2131">
        <f>IF(AO$221,_xll.ciqfunctions.udf.CIQ($G231, "IQ_VOLUME", AO$222),"--")</f>
        <v>0</v>
      </c>
      <c r="AP231" s="2131">
        <f>IF(AP$221,_xll.ciqfunctions.udf.CIQ($G231, "IQ_VOLUME", AP$222),"--")</f>
        <v>0</v>
      </c>
      <c r="AQ231" s="2131">
        <f>IF(AQ$221,_xll.ciqfunctions.udf.CIQ($G231, "IQ_VOLUME", AQ$222),"--")</f>
        <v>0</v>
      </c>
      <c r="AR231" s="2131">
        <f>IF(AR$221,_xll.ciqfunctions.udf.CIQ($G231, "IQ_VOLUME", AR$222),"--")</f>
        <v>0</v>
      </c>
      <c r="AS231" s="2131">
        <f>IF(AS$221,_xll.ciqfunctions.udf.CIQ($G231, "IQ_VOLUME", AS$222),"--")</f>
        <v>0</v>
      </c>
      <c r="AT231" s="2131">
        <f>IF(AT$221,_xll.ciqfunctions.udf.CIQ($G231, "IQ_VOLUME", AT$222),"--")</f>
        <v>0</v>
      </c>
      <c r="AU231" s="2131">
        <f>IF(AU$221,_xll.ciqfunctions.udf.CIQ($G231, "IQ_VOLUME", AU$222),"--")</f>
        <v>0</v>
      </c>
      <c r="AV231" s="2131">
        <f>IF(AV$221,_xll.ciqfunctions.udf.CIQ($G231, "IQ_VOLUME", AV$222),"--")</f>
        <v>0</v>
      </c>
      <c r="AW231" s="2131">
        <f>IF(AW$221,_xll.ciqfunctions.udf.CIQ($G231, "IQ_VOLUME", AW$222),"--")</f>
        <v>0</v>
      </c>
      <c r="AX231" s="2131">
        <f>IF(AX$221,_xll.ciqfunctions.udf.CIQ($G231, "IQ_VOLUME", AX$222),"--")</f>
        <v>0</v>
      </c>
      <c r="AY231" s="2131">
        <f>IF(AY$221,_xll.ciqfunctions.udf.CIQ($G231, "IQ_VOLUME", AY$222),"--")</f>
        <v>0</v>
      </c>
      <c r="AZ231" s="2131">
        <f>IF(AZ$221,_xll.ciqfunctions.udf.CIQ($G231, "IQ_VOLUME", AZ$222),"--")</f>
        <v>0</v>
      </c>
      <c r="BA231" s="2131">
        <f>IF(BA$221,_xll.ciqfunctions.udf.CIQ($G231, "IQ_VOLUME", BA$222),"--")</f>
        <v>0</v>
      </c>
      <c r="BB231" s="2131">
        <f>IF(BB$221,_xll.ciqfunctions.udf.CIQ($G231, "IQ_VOLUME", BB$222),"--")</f>
        <v>0</v>
      </c>
      <c r="BC231" s="2131">
        <f>IF(BC$221,_xll.ciqfunctions.udf.CIQ($G231, "IQ_VOLUME", BC$222),"--")</f>
        <v>0</v>
      </c>
      <c r="BD231" s="2131">
        <f>IF(BD$221,_xll.ciqfunctions.udf.CIQ($G231, "IQ_VOLUME", BD$222),"--")</f>
        <v>0</v>
      </c>
      <c r="BE231" s="2131">
        <f>IF(BE$221,_xll.ciqfunctions.udf.CIQ($G231, "IQ_VOLUME", BE$222),"--")</f>
        <v>0</v>
      </c>
      <c r="BF231" s="2131">
        <f>IF(BF$221,_xll.ciqfunctions.udf.CIQ($G231, "IQ_VOLUME", BF$222),"--")</f>
        <v>0</v>
      </c>
      <c r="BG231" s="2131">
        <f>IF(BG$221,_xll.ciqfunctions.udf.CIQ($G231, "IQ_VOLUME", BG$222),"--")</f>
        <v>0</v>
      </c>
      <c r="BH231" s="2131">
        <f>IF(BH$221,_xll.ciqfunctions.udf.CIQ($G231, "IQ_VOLUME", BH$222),"--")</f>
        <v>0</v>
      </c>
      <c r="BI231" s="2131">
        <f>IF(BI$221,_xll.ciqfunctions.udf.CIQ($G231, "IQ_VOLUME", BI$222),"--")</f>
        <v>0</v>
      </c>
      <c r="BJ231" s="2131">
        <f>IF(BJ$221,_xll.ciqfunctions.udf.CIQ($G231, "IQ_VOLUME", BJ$222),"--")</f>
        <v>0</v>
      </c>
      <c r="BK231" s="2131">
        <f>IF(BK$221,_xll.ciqfunctions.udf.CIQ($G231, "IQ_VOLUME", BK$222),"--")</f>
        <v>0</v>
      </c>
      <c r="BL231" s="2131">
        <f>IF(BL$221,_xll.ciqfunctions.udf.CIQ($G231, "IQ_VOLUME", BL$222),"--")</f>
        <v>0</v>
      </c>
      <c r="BM231" s="2131">
        <f>IF(BM$221,_xll.ciqfunctions.udf.CIQ($G231, "IQ_VOLUME", BM$222),"--")</f>
        <v>0</v>
      </c>
      <c r="BN231" s="2131">
        <f>IF(BN$221,_xll.ciqfunctions.udf.CIQ($G231, "IQ_VOLUME", BN$222),"--")</f>
        <v>0</v>
      </c>
      <c r="BO231" s="2131">
        <f>IF(BO$221,_xll.ciqfunctions.udf.CIQ($G231, "IQ_VOLUME", BO$222),"--")</f>
        <v>0</v>
      </c>
      <c r="BP231" s="2131">
        <f>IF(BP$221,_xll.ciqfunctions.udf.CIQ($G231, "IQ_VOLUME", BP$222),"--")</f>
        <v>0</v>
      </c>
      <c r="BQ231" s="2131">
        <f>IF(BQ$221,_xll.ciqfunctions.udf.CIQ($G231, "IQ_VOLUME", BQ$222),"--")</f>
        <v>0</v>
      </c>
      <c r="BR231" s="2131">
        <f>IF(BR$221,_xll.ciqfunctions.udf.CIQ($G231, "IQ_VOLUME", BR$222),"--")</f>
        <v>0</v>
      </c>
      <c r="BS231" s="2131">
        <f>IF(BS$221,_xll.ciqfunctions.udf.CIQ($G231, "IQ_VOLUME", BS$222),"--")</f>
        <v>0</v>
      </c>
      <c r="BT231" s="2131">
        <f>IF(BT$221,_xll.ciqfunctions.udf.CIQ($G231, "IQ_VOLUME", BT$222),"--")</f>
        <v>0</v>
      </c>
      <c r="BU231" s="2131">
        <f>IF(BU$221,_xll.ciqfunctions.udf.CIQ($G231, "IQ_VOLUME", BU$222),"--")</f>
        <v>0</v>
      </c>
      <c r="BV231" s="2131">
        <f>IF(BV$221,_xll.ciqfunctions.udf.CIQ($G231, "IQ_VOLUME", BV$222),"--")</f>
        <v>0</v>
      </c>
      <c r="BW231" s="2131">
        <f>IF(BW$221,_xll.ciqfunctions.udf.CIQ($G231, "IQ_VOLUME", BW$222),"--")</f>
        <v>0</v>
      </c>
      <c r="BX231" s="2131">
        <f>IF(BX$221,_xll.ciqfunctions.udf.CIQ($G231, "IQ_VOLUME", BX$222),"--")</f>
        <v>0</v>
      </c>
      <c r="BY231" s="2131">
        <f>IF(BY$221,_xll.ciqfunctions.udf.CIQ($G231, "IQ_VOLUME", BY$222),"--")</f>
        <v>0</v>
      </c>
      <c r="BZ231" s="2131">
        <f>IF(BZ$221,_xll.ciqfunctions.udf.CIQ($G231, "IQ_VOLUME", BZ$222),"--")</f>
        <v>0</v>
      </c>
      <c r="CA231" s="2131">
        <f>IF(CA$221,_xll.ciqfunctions.udf.CIQ($G231, "IQ_VOLUME", CA$222),"--")</f>
        <v>0</v>
      </c>
      <c r="CB231" s="2131">
        <f>IF(CB$221,_xll.ciqfunctions.udf.CIQ($G231, "IQ_VOLUME", CB$222),"--")</f>
        <v>0</v>
      </c>
      <c r="CC231" s="2131">
        <f>IF(CC$221,_xll.ciqfunctions.udf.CIQ($G231, "IQ_VOLUME", CC$222),"--")</f>
        <v>0</v>
      </c>
      <c r="CD231" s="2131">
        <f>IF(CD$221,_xll.ciqfunctions.udf.CIQ($G231, "IQ_VOLUME", CD$222),"--")</f>
        <v>0</v>
      </c>
      <c r="CE231" s="2131">
        <f>IF(CE$221,_xll.ciqfunctions.udf.CIQ($G231, "IQ_VOLUME", CE$222),"--")</f>
        <v>0</v>
      </c>
      <c r="CF231" s="2131">
        <f>IF(CF$221,_xll.ciqfunctions.udf.CIQ($G231, "IQ_VOLUME", CF$222),"--")</f>
        <v>0</v>
      </c>
      <c r="CG231" s="2131">
        <f>IF(CG$221,_xll.ciqfunctions.udf.CIQ($G231, "IQ_VOLUME", CG$222),"--")</f>
        <v>0</v>
      </c>
      <c r="CH231" s="2131">
        <f>IF(CH$221,_xll.ciqfunctions.udf.CIQ($G231, "IQ_VOLUME", CH$222),"--")</f>
        <v>0</v>
      </c>
      <c r="CI231" s="2131">
        <f>IF(CI$221,_xll.ciqfunctions.udf.CIQ($G231, "IQ_VOLUME", CI$222),"--")</f>
        <v>0</v>
      </c>
      <c r="CJ231" s="2131">
        <f>IF(CJ$221,_xll.ciqfunctions.udf.CIQ($G231, "IQ_VOLUME", CJ$222),"--")</f>
        <v>0</v>
      </c>
      <c r="CK231" s="2131">
        <f>IF(CK$221,_xll.ciqfunctions.udf.CIQ($G231, "IQ_VOLUME", CK$222),"--")</f>
        <v>0</v>
      </c>
      <c r="CL231" s="2131">
        <f>IF(CL$221,_xll.ciqfunctions.udf.CIQ($G231, "IQ_VOLUME", CL$222),"--")</f>
        <v>0</v>
      </c>
      <c r="CM231" s="2131">
        <f>IF(CM$221,_xll.ciqfunctions.udf.CIQ($G231, "IQ_VOLUME", CM$222),"--")</f>
        <v>0</v>
      </c>
      <c r="CN231" s="2131">
        <f>IF(CN$221,_xll.ciqfunctions.udf.CIQ($G231, "IQ_VOLUME", CN$222),"--")</f>
        <v>0</v>
      </c>
      <c r="CO231" s="2131">
        <f>IF(CO$221,_xll.ciqfunctions.udf.CIQ($G231, "IQ_VOLUME", CO$222),"--")</f>
        <v>0</v>
      </c>
      <c r="CP231" s="2131">
        <f>IF(CP$221,_xll.ciqfunctions.udf.CIQ($G231, "IQ_VOLUME", CP$222),"--")</f>
        <v>0</v>
      </c>
      <c r="CQ231" s="2131">
        <f>IF(CQ$221,_xll.ciqfunctions.udf.CIQ($G231, "IQ_VOLUME", CQ$222),"--")</f>
        <v>0</v>
      </c>
      <c r="CR231" s="2131">
        <f>IF(CR$221,_xll.ciqfunctions.udf.CIQ($G231, "IQ_VOLUME", CR$222),"--")</f>
        <v>0</v>
      </c>
      <c r="CS231" s="2131">
        <f>IF(CS$221,_xll.ciqfunctions.udf.CIQ($G231, "IQ_VOLUME", CS$222),"--")</f>
        <v>0</v>
      </c>
      <c r="CT231" s="2131">
        <f>IF(CT$221,_xll.ciqfunctions.udf.CIQ($G231, "IQ_VOLUME", CT$222),"--")</f>
        <v>0</v>
      </c>
      <c r="CU231" s="2131">
        <f>IF(CU$221,_xll.ciqfunctions.udf.CIQ($G231, "IQ_VOLUME", CU$222),"--")</f>
        <v>0</v>
      </c>
      <c r="CV231" s="2131">
        <f>IF(CV$221,_xll.ciqfunctions.udf.CIQ($G231, "IQ_VOLUME", CV$222),"--")</f>
        <v>0</v>
      </c>
      <c r="CW231" s="2131">
        <f>IF(CW$221,_xll.ciqfunctions.udf.CIQ($G231, "IQ_VOLUME", CW$222),"--")</f>
        <v>0</v>
      </c>
      <c r="CX231" s="2131">
        <f>IF(CX$221,_xll.ciqfunctions.udf.CIQ($G231, "IQ_VOLUME", CX$222),"--")</f>
        <v>0</v>
      </c>
      <c r="CY231" s="2131">
        <f>IF(CY$221,_xll.ciqfunctions.udf.CIQ($G231, "IQ_VOLUME", CY$222),"--")</f>
        <v>0</v>
      </c>
      <c r="CZ231" s="2131">
        <f>IF(CZ$221,_xll.ciqfunctions.udf.CIQ($G231, "IQ_VOLUME", CZ$222),"--")</f>
        <v>0</v>
      </c>
      <c r="DA231" s="2131">
        <f>IF(DA$221,_xll.ciqfunctions.udf.CIQ($G231, "IQ_VOLUME", DA$222),"--")</f>
        <v>0</v>
      </c>
      <c r="DB231" s="2131">
        <f>IF(DB$221,_xll.ciqfunctions.udf.CIQ($G231, "IQ_VOLUME", DB$222),"--")</f>
        <v>0</v>
      </c>
      <c r="DC231" s="2131">
        <f>IF(DC$221,_xll.ciqfunctions.udf.CIQ($G231, "IQ_VOLUME", DC$222),"--")</f>
        <v>0</v>
      </c>
      <c r="DD231" s="2131">
        <f>IF(DD$221,_xll.ciqfunctions.udf.CIQ($G231, "IQ_VOLUME", DD$222),"--")</f>
        <v>0</v>
      </c>
      <c r="DE231" s="2131">
        <f>IF(DE$221,_xll.ciqfunctions.udf.CIQ($G231, "IQ_VOLUME", DE$222),"--")</f>
        <v>0</v>
      </c>
      <c r="DF231" s="2131">
        <f>IF(DF$221,_xll.ciqfunctions.udf.CIQ($G231, "IQ_VOLUME", DF$222),"--")</f>
        <v>0</v>
      </c>
      <c r="DG231" s="2131">
        <f>IF(DG$221,_xll.ciqfunctions.udf.CIQ($G231, "IQ_VOLUME", DG$222),"--")</f>
        <v>0</v>
      </c>
      <c r="DH231" s="2131">
        <f>IF(DH$221,_xll.ciqfunctions.udf.CIQ($G231, "IQ_VOLUME", DH$222),"--")</f>
        <v>0</v>
      </c>
      <c r="DI231" s="2131">
        <f>IF(DI$221,_xll.ciqfunctions.udf.CIQ($G231, "IQ_VOLUME", DI$222),"--")</f>
        <v>0</v>
      </c>
      <c r="DJ231" s="2131">
        <f>IF(DJ$221,_xll.ciqfunctions.udf.CIQ($G231, "IQ_VOLUME", DJ$222),"--")</f>
        <v>0</v>
      </c>
      <c r="DK231" s="2131">
        <f>IF(DK$221,_xll.ciqfunctions.udf.CIQ($G231, "IQ_VOLUME", DK$222),"--")</f>
        <v>0</v>
      </c>
      <c r="DL231" s="2131">
        <f>IF(DL$221,_xll.ciqfunctions.udf.CIQ($G231, "IQ_VOLUME", DL$222),"--")</f>
        <v>0</v>
      </c>
      <c r="DM231" s="2131">
        <f>IF(DM$221,_xll.ciqfunctions.udf.CIQ($G231, "IQ_VOLUME", DM$222),"--")</f>
        <v>0</v>
      </c>
      <c r="DN231" s="2131">
        <f>IF(DN$221,_xll.ciqfunctions.udf.CIQ($G231, "IQ_VOLUME", DN$222),"--")</f>
        <v>0</v>
      </c>
      <c r="DO231" s="2131">
        <f>IF(DO$221,_xll.ciqfunctions.udf.CIQ($G231, "IQ_VOLUME", DO$222),"--")</f>
        <v>0</v>
      </c>
      <c r="DP231" s="2131">
        <f>IF(DP$221,_xll.ciqfunctions.udf.CIQ($G231, "IQ_VOLUME", DP$222),"--")</f>
        <v>0</v>
      </c>
      <c r="DQ231" s="2131">
        <f>IF(DQ$221,_xll.ciqfunctions.udf.CIQ($G231, "IQ_VOLUME", DQ$222),"--")</f>
        <v>0</v>
      </c>
      <c r="DR231" s="2131">
        <f>IF(DR$221,_xll.ciqfunctions.udf.CIQ($G231, "IQ_VOLUME", DR$222),"--")</f>
        <v>0</v>
      </c>
      <c r="DS231" s="2131">
        <f>IF(DS$221,_xll.ciqfunctions.udf.CIQ($G231, "IQ_VOLUME", DS$222),"--")</f>
        <v>0</v>
      </c>
      <c r="DT231" s="2131">
        <f>IF(DT$221,_xll.ciqfunctions.udf.CIQ($G231, "IQ_VOLUME", DT$222),"--")</f>
        <v>0</v>
      </c>
      <c r="DU231" s="2131">
        <f>IF(DU$221,_xll.ciqfunctions.udf.CIQ($G231, "IQ_VOLUME", DU$222),"--")</f>
        <v>0</v>
      </c>
      <c r="DV231" s="2131">
        <f>IF(DV$221,_xll.ciqfunctions.udf.CIQ($G231, "IQ_VOLUME", DV$222),"--")</f>
        <v>0</v>
      </c>
      <c r="DW231" s="2131">
        <f>IF(DW$221,_xll.ciqfunctions.udf.CIQ($G231, "IQ_VOLUME", DW$222),"--")</f>
        <v>0</v>
      </c>
      <c r="DX231" s="2131">
        <f>IF(DX$221,_xll.ciqfunctions.udf.CIQ($G231, "IQ_VOLUME", DX$222),"--")</f>
        <v>0</v>
      </c>
      <c r="DY231" s="2131">
        <f>IF(DY$221,_xll.ciqfunctions.udf.CIQ($G231, "IQ_VOLUME", DY$222),"--")</f>
        <v>0</v>
      </c>
      <c r="DZ231" s="2131">
        <f>IF(DZ$221,_xll.ciqfunctions.udf.CIQ($G231, "IQ_VOLUME", DZ$222),"--")</f>
        <v>0</v>
      </c>
      <c r="EA231" s="2131">
        <f>IF(EA$221,_xll.ciqfunctions.udf.CIQ($G231, "IQ_VOLUME", EA$222),"--")</f>
        <v>0</v>
      </c>
      <c r="EB231" s="2131">
        <f>IF(EB$221,_xll.ciqfunctions.udf.CIQ($G231, "IQ_VOLUME", EB$222),"--")</f>
        <v>0</v>
      </c>
      <c r="EC231" s="2131">
        <f>IF(EC$221,_xll.ciqfunctions.udf.CIQ($G231, "IQ_VOLUME", EC$222),"--")</f>
        <v>0</v>
      </c>
      <c r="ED231" s="2131">
        <f>IF(ED$221,_xll.ciqfunctions.udf.CIQ($G231, "IQ_VOLUME", ED$222),"--")</f>
        <v>0</v>
      </c>
      <c r="EE231" s="2131">
        <f>IF(EE$221,_xll.ciqfunctions.udf.CIQ($G231, "IQ_VOLUME", EE$222),"--")</f>
        <v>0</v>
      </c>
      <c r="EF231" s="2131">
        <f>IF(EF$221,_xll.ciqfunctions.udf.CIQ($G231, "IQ_VOLUME", EF$222),"--")</f>
        <v>0</v>
      </c>
      <c r="EG231" s="2131">
        <f>IF(EG$221,_xll.ciqfunctions.udf.CIQ($G231, "IQ_VOLUME", EG$222),"--")</f>
        <v>0</v>
      </c>
      <c r="EH231" s="2131">
        <f>IF(EH$221,_xll.ciqfunctions.udf.CIQ($G231, "IQ_VOLUME", EH$222),"--")</f>
        <v>0</v>
      </c>
      <c r="EI231" s="2131">
        <f>IF(EI$221,_xll.ciqfunctions.udf.CIQ($G231, "IQ_VOLUME", EI$222),"--")</f>
        <v>0</v>
      </c>
      <c r="EJ231" s="2131">
        <f>IF(EJ$221,_xll.ciqfunctions.udf.CIQ($G231, "IQ_VOLUME", EJ$222),"--")</f>
        <v>0</v>
      </c>
      <c r="EK231" s="2131">
        <f>IF(EK$221,_xll.ciqfunctions.udf.CIQ($G231, "IQ_VOLUME", EK$222),"--")</f>
        <v>0</v>
      </c>
      <c r="EL231" s="2131">
        <f>IF(EL$221,_xll.ciqfunctions.udf.CIQ($G231, "IQ_VOLUME", EL$222),"--")</f>
        <v>0</v>
      </c>
      <c r="EM231" s="2131">
        <f>IF(EM$221,_xll.ciqfunctions.udf.CIQ($G231, "IQ_VOLUME", EM$222),"--")</f>
        <v>0</v>
      </c>
      <c r="EN231" s="2131">
        <f>IF(EN$221,_xll.ciqfunctions.udf.CIQ($G231, "IQ_VOLUME", EN$222),"--")</f>
        <v>0</v>
      </c>
      <c r="EO231" s="2131">
        <f>IF(EO$221,_xll.ciqfunctions.udf.CIQ($G231, "IQ_VOLUME", EO$222),"--")</f>
        <v>0</v>
      </c>
      <c r="EP231" s="2131">
        <f>IF(EP$221,_xll.ciqfunctions.udf.CIQ($G231, "IQ_VOLUME", EP$222),"--")</f>
        <v>0</v>
      </c>
      <c r="EQ231" s="2131">
        <f>IF(EQ$221,_xll.ciqfunctions.udf.CIQ($G231, "IQ_VOLUME", EQ$222),"--")</f>
        <v>0</v>
      </c>
      <c r="ER231" s="2131">
        <f>IF(ER$221,_xll.ciqfunctions.udf.CIQ($G231, "IQ_VOLUME", ER$222),"--")</f>
        <v>0</v>
      </c>
      <c r="ES231" s="2131">
        <f>IF(ES$221,_xll.ciqfunctions.udf.CIQ($G231, "IQ_VOLUME", ES$222),"--")</f>
        <v>0</v>
      </c>
      <c r="ET231" s="2131">
        <f>IF(ET$221,_xll.ciqfunctions.udf.CIQ($G231, "IQ_VOLUME", ET$222),"--")</f>
        <v>0</v>
      </c>
      <c r="EU231" s="2131">
        <f>IF(EU$221,_xll.ciqfunctions.udf.CIQ($G231, "IQ_VOLUME", EU$222),"--")</f>
        <v>0</v>
      </c>
      <c r="EV231" s="2131">
        <f>IF(EV$221,_xll.ciqfunctions.udf.CIQ($G231, "IQ_VOLUME", EV$222),"--")</f>
        <v>0</v>
      </c>
      <c r="EW231" s="2131">
        <f>IF(EW$221,_xll.ciqfunctions.udf.CIQ($G231, "IQ_VOLUME", EW$222),"--")</f>
        <v>0</v>
      </c>
      <c r="EX231" s="2131">
        <f>IF(EX$221,_xll.ciqfunctions.udf.CIQ($G231, "IQ_VOLUME", EX$222),"--")</f>
        <v>0</v>
      </c>
      <c r="EY231" s="2131">
        <f>IF(EY$221,_xll.ciqfunctions.udf.CIQ($G231, "IQ_VOLUME", EY$222),"--")</f>
        <v>0</v>
      </c>
      <c r="EZ231" s="2131">
        <f>IF(EZ$221,_xll.ciqfunctions.udf.CIQ($G231, "IQ_VOLUME", EZ$222),"--")</f>
        <v>0</v>
      </c>
      <c r="FA231" s="2131">
        <f>IF(FA$221,_xll.ciqfunctions.udf.CIQ($G231, "IQ_VOLUME", FA$222),"--")</f>
        <v>0</v>
      </c>
      <c r="FB231" s="2131">
        <f>IF(FB$221,_xll.ciqfunctions.udf.CIQ($G231, "IQ_VOLUME", FB$222),"--")</f>
        <v>0</v>
      </c>
      <c r="FC231" s="2131">
        <f>IF(FC$221,_xll.ciqfunctions.udf.CIQ($G231, "IQ_VOLUME", FC$222),"--")</f>
        <v>0</v>
      </c>
      <c r="FD231" s="2131">
        <f>IF(FD$221,_xll.ciqfunctions.udf.CIQ($G231, "IQ_VOLUME", FD$222),"--")</f>
        <v>0</v>
      </c>
      <c r="FE231" s="2131">
        <f>IF(FE$221,_xll.ciqfunctions.udf.CIQ($G231, "IQ_VOLUME", FE$222),"--")</f>
        <v>0</v>
      </c>
      <c r="FF231" s="2131">
        <f>IF(FF$221,_xll.ciqfunctions.udf.CIQ($G231, "IQ_VOLUME", FF$222),"--")</f>
        <v>0</v>
      </c>
      <c r="FG231" s="2131">
        <f>IF(FG$221,_xll.ciqfunctions.udf.CIQ($G231, "IQ_VOLUME", FG$222),"--")</f>
        <v>0</v>
      </c>
      <c r="FH231" s="2131">
        <f>IF(FH$221,_xll.ciqfunctions.udf.CIQ($G231, "IQ_VOLUME", FH$222),"--")</f>
        <v>0</v>
      </c>
      <c r="FI231" s="2131">
        <f>IF(FI$221,_xll.ciqfunctions.udf.CIQ($G231, "IQ_VOLUME", FI$222),"--")</f>
        <v>0</v>
      </c>
      <c r="FJ231" s="2131">
        <f>IF(FJ$221,_xll.ciqfunctions.udf.CIQ($G231, "IQ_VOLUME", FJ$222),"--")</f>
        <v>0</v>
      </c>
      <c r="FK231" s="2131">
        <f>IF(FK$221,_xll.ciqfunctions.udf.CIQ($G231, "IQ_VOLUME", FK$222),"--")</f>
        <v>0</v>
      </c>
      <c r="FL231" s="2131">
        <f>IF(FL$221,_xll.ciqfunctions.udf.CIQ($G231, "IQ_VOLUME", FL$222),"--")</f>
        <v>0</v>
      </c>
      <c r="FM231" s="2131">
        <f>IF(FM$221,_xll.ciqfunctions.udf.CIQ($G231, "IQ_VOLUME", FM$222),"--")</f>
        <v>0</v>
      </c>
      <c r="FN231" s="2131">
        <f>IF(FN$221,_xll.ciqfunctions.udf.CIQ($G231, "IQ_VOLUME", FN$222),"--")</f>
        <v>0</v>
      </c>
      <c r="FO231" s="2131">
        <f>IF(FO$221,_xll.ciqfunctions.udf.CIQ($G231, "IQ_VOLUME", FO$222),"--")</f>
        <v>0</v>
      </c>
      <c r="FP231" s="2131">
        <f>IF(FP$221,_xll.ciqfunctions.udf.CIQ($G231, "IQ_VOLUME", FP$222),"--")</f>
        <v>0</v>
      </c>
      <c r="FQ231" s="2131">
        <f>IF(FQ$221,_xll.ciqfunctions.udf.CIQ($G231, "IQ_VOLUME", FQ$222),"--")</f>
        <v>0</v>
      </c>
      <c r="FR231" s="2131">
        <f>IF(FR$221,_xll.ciqfunctions.udf.CIQ($G231, "IQ_VOLUME", FR$222),"--")</f>
        <v>0</v>
      </c>
      <c r="FS231" s="2131">
        <f>IF(FS$221,_xll.ciqfunctions.udf.CIQ($G231, "IQ_VOLUME", FS$222),"--")</f>
        <v>0</v>
      </c>
      <c r="FT231" s="2131">
        <f>IF(FT$221,_xll.ciqfunctions.udf.CIQ($G231, "IQ_VOLUME", FT$222),"--")</f>
        <v>0</v>
      </c>
      <c r="FU231" s="2131">
        <f>IF(FU$221,_xll.ciqfunctions.udf.CIQ($G231, "IQ_VOLUME", FU$222),"--")</f>
        <v>0</v>
      </c>
      <c r="FV231" s="2131">
        <f>IF(FV$221,_xll.ciqfunctions.udf.CIQ($G231, "IQ_VOLUME", FV$222),"--")</f>
        <v>0</v>
      </c>
      <c r="FW231" s="2131">
        <f>IF(FW$221,_xll.ciqfunctions.udf.CIQ($G231, "IQ_VOLUME", FW$222),"--")</f>
        <v>0</v>
      </c>
      <c r="FX231" s="2131">
        <f>IF(FX$221,_xll.ciqfunctions.udf.CIQ($G231, "IQ_VOLUME", FX$222),"--")</f>
        <v>0</v>
      </c>
      <c r="FY231" s="2131">
        <f>IF(FY$221,_xll.ciqfunctions.udf.CIQ($G231, "IQ_VOLUME", FY$222),"--")</f>
        <v>0</v>
      </c>
      <c r="FZ231" s="2131">
        <f>IF(FZ$221,_xll.ciqfunctions.udf.CIQ($G231, "IQ_VOLUME", FZ$222),"--")</f>
        <v>0</v>
      </c>
      <c r="GA231" s="2131">
        <f>IF(GA$221,_xll.ciqfunctions.udf.CIQ($G231, "IQ_VOLUME", GA$222),"--")</f>
        <v>0</v>
      </c>
      <c r="GB231" s="2131">
        <f>IF(GB$221,_xll.ciqfunctions.udf.CIQ($G231, "IQ_VOLUME", GB$222),"--")</f>
        <v>0</v>
      </c>
      <c r="GC231" s="2131">
        <f>IF(GC$221,_xll.ciqfunctions.udf.CIQ($G231, "IQ_VOLUME", GC$222),"--")</f>
        <v>0</v>
      </c>
      <c r="GD231" s="2131">
        <f>IF(GD$221,_xll.ciqfunctions.udf.CIQ($G231, "IQ_VOLUME", GD$222),"--")</f>
        <v>0</v>
      </c>
      <c r="GE231" s="2131">
        <f>IF(GE$221,_xll.ciqfunctions.udf.CIQ($G231, "IQ_VOLUME", GE$222),"--")</f>
        <v>0</v>
      </c>
      <c r="GF231" s="2131">
        <f>IF(GF$221,_xll.ciqfunctions.udf.CIQ($G231, "IQ_VOLUME", GF$222),"--")</f>
        <v>0</v>
      </c>
      <c r="GG231" s="2131">
        <f>IF(GG$221,_xll.ciqfunctions.udf.CIQ($G231, "IQ_VOLUME", GG$222),"--")</f>
        <v>0</v>
      </c>
      <c r="GH231" s="2131">
        <f>IF(GH$221,_xll.ciqfunctions.udf.CIQ($G231, "IQ_VOLUME", GH$222),"--")</f>
        <v>0</v>
      </c>
      <c r="GI231" s="2131">
        <f>IF(GI$221,_xll.ciqfunctions.udf.CIQ($G231, "IQ_VOLUME", GI$222),"--")</f>
        <v>0</v>
      </c>
      <c r="GJ231" s="2131">
        <f>IF(GJ$221,_xll.ciqfunctions.udf.CIQ($G231, "IQ_VOLUME", GJ$222),"--")</f>
        <v>0</v>
      </c>
      <c r="GK231" s="2131">
        <f>IF(GK$221,_xll.ciqfunctions.udf.CIQ($G231, "IQ_VOLUME", GK$222),"--")</f>
        <v>0</v>
      </c>
      <c r="GL231" s="2131">
        <f>IF(GL$221,_xll.ciqfunctions.udf.CIQ($G231, "IQ_VOLUME", GL$222),"--")</f>
        <v>0</v>
      </c>
      <c r="GM231" s="2131">
        <f>IF(GM$221,_xll.ciqfunctions.udf.CIQ($G231, "IQ_VOLUME", GM$222),"--")</f>
        <v>0</v>
      </c>
      <c r="GN231" s="2131">
        <f>IF(GN$221,_xll.ciqfunctions.udf.CIQ($G231, "IQ_VOLUME", GN$222),"--")</f>
        <v>0</v>
      </c>
      <c r="GO231" s="2131">
        <f>IF(GO$221,_xll.ciqfunctions.udf.CIQ($G231, "IQ_VOLUME", GO$222),"--")</f>
        <v>0</v>
      </c>
      <c r="GP231" s="2131">
        <f>IF(GP$221,_xll.ciqfunctions.udf.CIQ($G231, "IQ_VOLUME", GP$222),"--")</f>
        <v>0</v>
      </c>
      <c r="GQ231" s="2131">
        <f>IF(GQ$221,_xll.ciqfunctions.udf.CIQ($G231, "IQ_VOLUME", GQ$222),"--")</f>
        <v>0</v>
      </c>
      <c r="GR231" s="2131">
        <f>IF(GR$221,_xll.ciqfunctions.udf.CIQ($G231, "IQ_VOLUME", GR$222),"--")</f>
        <v>0</v>
      </c>
      <c r="GS231" s="2131">
        <f>IF(GS$221,_xll.ciqfunctions.udf.CIQ($G231, "IQ_VOLUME", GS$222),"--")</f>
        <v>0</v>
      </c>
      <c r="GT231" s="2131">
        <f>IF(GT$221,_xll.ciqfunctions.udf.CIQ($G231, "IQ_VOLUME", GT$222),"--")</f>
        <v>0</v>
      </c>
      <c r="GU231" s="2131">
        <f>IF(GU$221,_xll.ciqfunctions.udf.CIQ($G231, "IQ_VOLUME", GU$222),"--")</f>
        <v>0</v>
      </c>
      <c r="GV231" s="2131">
        <f>IF(GV$221,_xll.ciqfunctions.udf.CIQ($G231, "IQ_VOLUME", GV$222),"--")</f>
        <v>0</v>
      </c>
      <c r="GW231" s="2131">
        <f>IF(GW$221,_xll.ciqfunctions.udf.CIQ($G231, "IQ_VOLUME", GW$222),"--")</f>
        <v>0</v>
      </c>
      <c r="GX231" s="2131">
        <f>IF(GX$221,_xll.ciqfunctions.udf.CIQ($G231, "IQ_VOLUME", GX$222),"--")</f>
        <v>0</v>
      </c>
      <c r="GY231" s="2131">
        <f>IF(GY$221,_xll.ciqfunctions.udf.CIQ($G231, "IQ_VOLUME", GY$222),"--")</f>
        <v>0</v>
      </c>
      <c r="GZ231" s="2131">
        <f>IF(GZ$221,_xll.ciqfunctions.udf.CIQ($G231, "IQ_VOLUME", GZ$222),"--")</f>
        <v>0</v>
      </c>
      <c r="HA231" s="2131">
        <f>IF(HA$221,_xll.ciqfunctions.udf.CIQ($G231, "IQ_VOLUME", HA$222),"--")</f>
        <v>0</v>
      </c>
      <c r="HB231" s="2131">
        <f>IF(HB$221,_xll.ciqfunctions.udf.CIQ($G231, "IQ_VOLUME", HB$222),"--")</f>
        <v>0</v>
      </c>
      <c r="HC231" s="2131">
        <f>IF(HC$221,_xll.ciqfunctions.udf.CIQ($G231, "IQ_VOLUME", HC$222),"--")</f>
        <v>0</v>
      </c>
      <c r="HD231" s="2131">
        <f>IF(HD$221,_xll.ciqfunctions.udf.CIQ($G231, "IQ_VOLUME", HD$222),"--")</f>
        <v>0</v>
      </c>
      <c r="HE231" s="2131">
        <f>IF(HE$221,_xll.ciqfunctions.udf.CIQ($G231, "IQ_VOLUME", HE$222),"--")</f>
        <v>0</v>
      </c>
      <c r="HF231" s="2131">
        <f>IF(HF$221,_xll.ciqfunctions.udf.CIQ($G231, "IQ_VOLUME", HF$222),"--")</f>
        <v>0</v>
      </c>
      <c r="HG231" s="2131">
        <f>IF(HG$221,_xll.ciqfunctions.udf.CIQ($G231, "IQ_VOLUME", HG$222),"--")</f>
        <v>0</v>
      </c>
      <c r="HH231" s="2131">
        <f>IF(HH$221,_xll.ciqfunctions.udf.CIQ($G231, "IQ_VOLUME", HH$222),"--")</f>
        <v>0</v>
      </c>
      <c r="HI231" s="2131">
        <f>IF(HI$221,_xll.ciqfunctions.udf.CIQ($G231, "IQ_VOLUME", HI$222),"--")</f>
        <v>0</v>
      </c>
      <c r="HJ231" s="2131">
        <f>IF(HJ$221,_xll.ciqfunctions.udf.CIQ($G231, "IQ_VOLUME", HJ$222),"--")</f>
        <v>0</v>
      </c>
      <c r="HK231" s="2131">
        <f>IF(HK$221,_xll.ciqfunctions.udf.CIQ($G231, "IQ_VOLUME", HK$222),"--")</f>
        <v>0</v>
      </c>
      <c r="HL231" s="2131">
        <f>IF(HL$221,_xll.ciqfunctions.udf.CIQ($G231, "IQ_VOLUME", HL$222),"--")</f>
        <v>0</v>
      </c>
      <c r="HM231" s="2131">
        <f>IF(HM$221,_xll.ciqfunctions.udf.CIQ($G231, "IQ_VOLUME", HM$222),"--")</f>
        <v>0</v>
      </c>
      <c r="HN231" s="2131">
        <f>IF(HN$221,_xll.ciqfunctions.udf.CIQ($G231, "IQ_VOLUME", HN$222),"--")</f>
        <v>0</v>
      </c>
      <c r="HO231" s="2131">
        <f>IF(HO$221,_xll.ciqfunctions.udf.CIQ($G231, "IQ_VOLUME", HO$222),"--")</f>
        <v>0</v>
      </c>
      <c r="HP231" s="2131">
        <f>IF(HP$221,_xll.ciqfunctions.udf.CIQ($G231, "IQ_VOLUME", HP$222),"--")</f>
        <v>0</v>
      </c>
      <c r="HQ231" s="2131">
        <f>IF(HQ$221,_xll.ciqfunctions.udf.CIQ($G231, "IQ_VOLUME", HQ$222),"--")</f>
        <v>0</v>
      </c>
      <c r="HR231" s="2131">
        <f>IF(HR$221,_xll.ciqfunctions.udf.CIQ($G231, "IQ_VOLUME", HR$222),"--")</f>
        <v>0</v>
      </c>
      <c r="HS231" s="2131">
        <f>IF(HS$221,_xll.ciqfunctions.udf.CIQ($G231, "IQ_VOLUME", HS$222),"--")</f>
        <v>0</v>
      </c>
      <c r="HT231" s="2131">
        <f>IF(HT$221,_xll.ciqfunctions.udf.CIQ($G231, "IQ_VOLUME", HT$222),"--")</f>
        <v>0</v>
      </c>
      <c r="HU231" s="2131">
        <f>IF(HU$221,_xll.ciqfunctions.udf.CIQ($G231, "IQ_VOLUME", HU$222),"--")</f>
        <v>0</v>
      </c>
      <c r="HV231" s="2131">
        <f>IF(HV$221,_xll.ciqfunctions.udf.CIQ($G231, "IQ_VOLUME", HV$222),"--")</f>
        <v>0</v>
      </c>
      <c r="HW231" s="2131">
        <f>IF(HW$221,_xll.ciqfunctions.udf.CIQ($G231, "IQ_VOLUME", HW$222),"--")</f>
        <v>0</v>
      </c>
      <c r="HX231" s="2131">
        <f>IF(HX$221,_xll.ciqfunctions.udf.CIQ($G231, "IQ_VOLUME", HX$222),"--")</f>
        <v>0</v>
      </c>
      <c r="HY231" s="2131">
        <f>IF(HY$221,_xll.ciqfunctions.udf.CIQ($G231, "IQ_VOLUME", HY$222),"--")</f>
        <v>0</v>
      </c>
      <c r="HZ231" s="2131">
        <f>IF(HZ$221,_xll.ciqfunctions.udf.CIQ($G231, "IQ_VOLUME", HZ$222),"--")</f>
        <v>0</v>
      </c>
      <c r="IA231" s="2131">
        <f>IF(IA$221,_xll.ciqfunctions.udf.CIQ($G231, "IQ_VOLUME", IA$222),"--")</f>
        <v>0</v>
      </c>
      <c r="IB231" s="2131">
        <f>IF(IB$221,_xll.ciqfunctions.udf.CIQ($G231, "IQ_VOLUME", IB$222),"--")</f>
        <v>0</v>
      </c>
      <c r="IC231" s="2131">
        <f>IF(IC$221,_xll.ciqfunctions.udf.CIQ($G231, "IQ_VOLUME", IC$222),"--")</f>
        <v>0</v>
      </c>
      <c r="ID231" s="2131">
        <f>IF(ID$221,_xll.ciqfunctions.udf.CIQ($G231, "IQ_VOLUME", ID$222),"--")</f>
        <v>0</v>
      </c>
      <c r="IE231" s="2131">
        <f>IF(IE$221,_xll.ciqfunctions.udf.CIQ($G231, "IQ_VOLUME", IE$222),"--")</f>
        <v>0</v>
      </c>
      <c r="IF231" s="2131">
        <f>IF(IF$221,_xll.ciqfunctions.udf.CIQ($G231, "IQ_VOLUME", IF$222),"--")</f>
        <v>0</v>
      </c>
      <c r="IG231" s="2131">
        <f>IF(IG$221,_xll.ciqfunctions.udf.CIQ($G231, "IQ_VOLUME", IG$222),"--")</f>
        <v>0</v>
      </c>
      <c r="IH231" s="2131">
        <f>IF(IH$221,_xll.ciqfunctions.udf.CIQ($G231, "IQ_VOLUME", IH$222),"--")</f>
        <v>0</v>
      </c>
      <c r="II231" s="2131">
        <f>IF(II$221,_xll.ciqfunctions.udf.CIQ($G231, "IQ_VOLUME", II$222),"--")</f>
        <v>0</v>
      </c>
      <c r="IJ231" s="2131">
        <f>IF(IJ$221,_xll.ciqfunctions.udf.CIQ($G231, "IQ_VOLUME", IJ$222),"--")</f>
        <v>0</v>
      </c>
      <c r="IK231" s="2131">
        <f>IF(IK$221,_xll.ciqfunctions.udf.CIQ($G231, "IQ_VOLUME", IK$222),"--")</f>
        <v>0</v>
      </c>
      <c r="IL231" s="2131">
        <f>IF(IL$221,_xll.ciqfunctions.udf.CIQ($G231, "IQ_VOLUME", IL$222),"--")</f>
        <v>0</v>
      </c>
      <c r="IM231" s="2131">
        <f>IF(IM$221,_xll.ciqfunctions.udf.CIQ($G231, "IQ_VOLUME", IM$222),"--")</f>
        <v>0</v>
      </c>
      <c r="IN231" s="2131">
        <f>IF(IN$221,_xll.ciqfunctions.udf.CIQ($G231, "IQ_VOLUME", IN$222),"--")</f>
        <v>0</v>
      </c>
      <c r="IO231" s="2131">
        <f>IF(IO$221,_xll.ciqfunctions.udf.CIQ($G231, "IQ_VOLUME", IO$222),"--")</f>
        <v>0</v>
      </c>
      <c r="IP231" s="2131">
        <f>IF(IP$221,_xll.ciqfunctions.udf.CIQ($G231, "IQ_VOLUME", IP$222),"--")</f>
        <v>0</v>
      </c>
      <c r="IQ231" s="2131">
        <f>IF(IQ$221,_xll.ciqfunctions.udf.CIQ($G231, "IQ_VOLUME", IQ$222),"--")</f>
        <v>0</v>
      </c>
      <c r="IR231" s="2131">
        <f>IF(IR$221,_xll.ciqfunctions.udf.CIQ($G231, "IQ_VOLUME", IR$222),"--")</f>
        <v>0</v>
      </c>
      <c r="IS231" s="2131">
        <f>IF(IS$221,_xll.ciqfunctions.udf.CIQ($G231, "IQ_VOLUME", IS$222),"--")</f>
        <v>0</v>
      </c>
      <c r="IT231" s="2131">
        <f>IF(IT$221,_xll.ciqfunctions.udf.CIQ($G231, "IQ_VOLUME", IT$222),"--")</f>
        <v>0</v>
      </c>
      <c r="IU231" s="2131">
        <f>IF(IU$221,_xll.ciqfunctions.udf.CIQ($G231, "IQ_VOLUME", IU$222),"--")</f>
        <v>0</v>
      </c>
      <c r="IV231" s="2131">
        <f>IF(IV$221,_xll.ciqfunctions.udf.CIQ($G231, "IQ_VOLUME", IV$222),"--")</f>
        <v>0</v>
      </c>
      <c r="IW231" s="2131">
        <f>IF(IW$221,_xll.ciqfunctions.udf.CIQ($G231, "IQ_VOLUME", IW$222),"--")</f>
        <v>0</v>
      </c>
      <c r="IX231" s="2131">
        <f>IF(IX$221,_xll.ciqfunctions.udf.CIQ($G231, "IQ_VOLUME", IX$222),"--")</f>
        <v>0</v>
      </c>
      <c r="IY231" s="2131">
        <f>IF(IY$221,_xll.ciqfunctions.udf.CIQ($G231, "IQ_VOLUME", IY$222),"--")</f>
        <v>0</v>
      </c>
      <c r="IZ231" s="2131">
        <f>IF(IZ$221,_xll.ciqfunctions.udf.CIQ($G231, "IQ_VOLUME", IZ$222),"--")</f>
        <v>0</v>
      </c>
      <c r="JA231" s="2131">
        <f>IF(JA$221,_xll.ciqfunctions.udf.CIQ($G231, "IQ_VOLUME", JA$222),"--")</f>
        <v>0</v>
      </c>
      <c r="JB231" s="2131">
        <f>IF(JB$221,_xll.ciqfunctions.udf.CIQ($G231, "IQ_VOLUME", JB$222),"--")</f>
        <v>0</v>
      </c>
      <c r="JC231" s="2131">
        <f>IF(JC$221,_xll.ciqfunctions.udf.CIQ($G231, "IQ_VOLUME", JC$222),"--")</f>
        <v>0</v>
      </c>
      <c r="JD231" s="2131">
        <f>IF(JD$221,_xll.ciqfunctions.udf.CIQ($G231, "IQ_VOLUME", JD$222),"--")</f>
        <v>0</v>
      </c>
      <c r="JE231" s="2131">
        <f>IF(JE$221,_xll.ciqfunctions.udf.CIQ($G231, "IQ_VOLUME", JE$222),"--")</f>
        <v>0</v>
      </c>
      <c r="JF231" s="2131">
        <f>IF(JF$221,_xll.ciqfunctions.udf.CIQ($G231, "IQ_VOLUME", JF$222),"--")</f>
        <v>0</v>
      </c>
      <c r="JG231" s="2131">
        <f>IF(JG$221,_xll.ciqfunctions.udf.CIQ($G231, "IQ_VOLUME", JG$222),"--")</f>
        <v>0</v>
      </c>
      <c r="JH231" s="2131">
        <f>IF(JH$221,_xll.ciqfunctions.udf.CIQ($G231, "IQ_VOLUME", JH$222),"--")</f>
        <v>0</v>
      </c>
      <c r="JI231" s="2131">
        <f>IF(JI$221,_xll.ciqfunctions.udf.CIQ($G231, "IQ_VOLUME", JI$222),"--")</f>
        <v>0</v>
      </c>
      <c r="JJ231" s="2131">
        <f>IF(JJ$221,_xll.ciqfunctions.udf.CIQ($G231, "IQ_VOLUME", JJ$222),"--")</f>
        <v>0</v>
      </c>
      <c r="JK231" s="2131">
        <f>IF(JK$221,_xll.ciqfunctions.udf.CIQ($G231, "IQ_VOLUME", JK$222),"--")</f>
        <v>0</v>
      </c>
      <c r="JL231" s="2131">
        <f>IF(JL$221,_xll.ciqfunctions.udf.CIQ($G231, "IQ_VOLUME", JL$222),"--")</f>
        <v>0</v>
      </c>
      <c r="JM231" s="2131">
        <f>IF(JM$221,_xll.ciqfunctions.udf.CIQ($G231, "IQ_VOLUME", JM$222),"--")</f>
        <v>0</v>
      </c>
      <c r="JN231" s="2131">
        <f>IF(JN$221,_xll.ciqfunctions.udf.CIQ($G231, "IQ_VOLUME", JN$222),"--")</f>
        <v>0</v>
      </c>
      <c r="JO231" s="2131">
        <f>IF(JO$221,_xll.ciqfunctions.udf.CIQ($G231, "IQ_VOLUME", JO$222),"--")</f>
        <v>0</v>
      </c>
      <c r="JP231" s="2131">
        <f>IF(JP$221,_xll.ciqfunctions.udf.CIQ($G231, "IQ_VOLUME", JP$222),"--")</f>
        <v>0</v>
      </c>
      <c r="JQ231" s="2131">
        <f>IF(JQ$221,_xll.ciqfunctions.udf.CIQ($G231, "IQ_VOLUME", JQ$222),"--")</f>
        <v>0</v>
      </c>
      <c r="JR231" s="2131">
        <f>IF(JR$221,_xll.ciqfunctions.udf.CIQ($G231, "IQ_VOLUME", JR$222),"--")</f>
        <v>0</v>
      </c>
      <c r="JS231" s="2131">
        <f>IF(JS$221,_xll.ciqfunctions.udf.CIQ($G231, "IQ_VOLUME", JS$222),"--")</f>
        <v>0</v>
      </c>
      <c r="JT231" s="2131">
        <f>IF(JT$221,_xll.ciqfunctions.udf.CIQ($G231, "IQ_VOLUME", JT$222),"--")</f>
        <v>0</v>
      </c>
      <c r="JU231" s="2131">
        <f>IF(JU$221,_xll.ciqfunctions.udf.CIQ($G231, "IQ_VOLUME", JU$222),"--")</f>
        <v>0</v>
      </c>
      <c r="JV231" s="2131">
        <f>IF(JV$221,_xll.ciqfunctions.udf.CIQ($G231, "IQ_VOLUME", JV$222),"--")</f>
        <v>0</v>
      </c>
      <c r="JW231" s="2131" t="str">
        <f>IF(JW$221,_xll.ciqfunctions.udf.CIQ($G231, "IQ_VOLUME", JW$222),"--")</f>
        <v>--</v>
      </c>
      <c r="JX231" s="2131" t="str">
        <f>IF(JX$221,_xll.ciqfunctions.udf.CIQ($G231, "IQ_VOLUME", JX$222),"--")</f>
        <v>--</v>
      </c>
      <c r="JY231" s="2131" t="str">
        <f>IF(JY$221,_xll.ciqfunctions.udf.CIQ($G231, "IQ_VOLUME", JY$222),"--")</f>
        <v>--</v>
      </c>
      <c r="JZ231" s="2131" t="str">
        <f>IF(JZ$221,_xll.ciqfunctions.udf.CIQ($G231, "IQ_VOLUME", JZ$222),"--")</f>
        <v>--</v>
      </c>
      <c r="KA231" s="2131" t="str">
        <f>IF(KA$221,_xll.ciqfunctions.udf.CIQ($G231, "IQ_VOLUME", KA$222),"--")</f>
        <v>--</v>
      </c>
      <c r="KB231" s="2131" t="str">
        <f>IF(KB$221,_xll.ciqfunctions.udf.CIQ($G231, "IQ_VOLUME", KB$222),"--")</f>
        <v>--</v>
      </c>
    </row>
    <row r="232" spans="1:288" s="89" customFormat="1" ht="13.9">
      <c r="A232" s="269" t="str">
        <f t="shared" si="47"/>
        <v>n</v>
      </c>
      <c r="B232" s="2060"/>
      <c r="D232" s="801"/>
      <c r="E232" s="1505">
        <v>9</v>
      </c>
      <c r="F232" s="21" t="str">
        <f>F$137</f>
        <v>--</v>
      </c>
      <c r="G232" s="2112">
        <f>G$137</f>
        <v>0</v>
      </c>
      <c r="H232" s="2112" t="str">
        <f>H$137</f>
        <v>--</v>
      </c>
      <c r="I232" s="22" t="s">
        <v>781</v>
      </c>
      <c r="J232" s="53"/>
      <c r="K232" s="2301" t="str">
        <f>IF(OR(K200=0,$G232=0),"--",IFERROR(_xll.ciqfunctions.udf.CIQ($G232,$I232,K108,Valuation_Date_GC,ReportType,DataMode,$H232,FXMode)*Scale,"--"))</f>
        <v>--</v>
      </c>
      <c r="L232" s="2301" t="str">
        <f>IF(OR(L200=0,$G232=0),"--",IFERROR(_xll.ciqfunctions.udf.CIQ($G232,$I232,L108,Valuation_Date_GC,ReportType,DataMode,$H232,FXMode)*Scale,"--"))</f>
        <v>--</v>
      </c>
      <c r="M232" s="2301" t="str">
        <f>IF(OR(M200=0,$G232=0),"--",IFERROR(_xll.ciqfunctions.udf.CIQ($G232,$I232,M108,Valuation_Date_GC,ReportType,DataMode,$H232,FXMode)*Scale,"--"))</f>
        <v>--</v>
      </c>
      <c r="N232" s="2301" t="str">
        <f>IF(OR(N200=0,$G232=0),"--",IFERROR(_xll.ciqfunctions.udf.CIQ($G232,$I232,N108,Valuation_Date_GC,ReportType,DataMode,$H232,FXMode)*Scale,"--"))</f>
        <v>--</v>
      </c>
      <c r="O232" s="1471" t="str">
        <f>IF(OR(O200=0,$G232=0),"--",IFERROR(_xll.ciqfunctions.udf.CIQ($G232,$I232,O108,Valuation_Date_GC,ReportType,DataMode,$H232,FXMode)*Scale,"--"))</f>
        <v>--</v>
      </c>
      <c r="P232" s="2301" t="str">
        <f>IF(OR(P200=0,$G232=0),"--",IFERROR(_xll.ciqfunctions.udf.CIQ($G232,$I232,P108,Valuation_Date_GC,ReportType,DataMode,$H232,FXMode)*Scale,"--"))</f>
        <v>--</v>
      </c>
      <c r="R232" s="255"/>
      <c r="T232" s="1779" t="s">
        <v>782</v>
      </c>
      <c r="U232" s="2131">
        <f>IF(U$221,_xll.ciqfunctions.udf.CIQ($G232, "IQ_VOLUME", U$222),"--")</f>
        <v>0</v>
      </c>
      <c r="V232" s="2131">
        <f>IF(V$221,_xll.ciqfunctions.udf.CIQ($G232, "IQ_VOLUME", V$222),"--")</f>
        <v>0</v>
      </c>
      <c r="W232" s="2131">
        <f>IF(W$221,_xll.ciqfunctions.udf.CIQ($G232, "IQ_VOLUME", W$222),"--")</f>
        <v>0</v>
      </c>
      <c r="X232" s="2131">
        <f>IF(X$221,_xll.ciqfunctions.udf.CIQ($G232, "IQ_VOLUME", X$222),"--")</f>
        <v>0</v>
      </c>
      <c r="Y232" s="2131">
        <f>IF(Y$221,_xll.ciqfunctions.udf.CIQ($G232, "IQ_VOLUME", Y$222),"--")</f>
        <v>0</v>
      </c>
      <c r="Z232" s="2131">
        <f>IF(Z$221,_xll.ciqfunctions.udf.CIQ($G232, "IQ_VOLUME", Z$222),"--")</f>
        <v>0</v>
      </c>
      <c r="AA232" s="2131">
        <f>IF(AA$221,_xll.ciqfunctions.udf.CIQ($G232, "IQ_VOLUME", AA$222),"--")</f>
        <v>0</v>
      </c>
      <c r="AB232" s="2131">
        <f>IF(AB$221,_xll.ciqfunctions.udf.CIQ($G232, "IQ_VOLUME", AB$222),"--")</f>
        <v>0</v>
      </c>
      <c r="AC232" s="2131">
        <f>IF(AC$221,_xll.ciqfunctions.udf.CIQ($G232, "IQ_VOLUME", AC$222),"--")</f>
        <v>0</v>
      </c>
      <c r="AD232" s="2131">
        <f>IF(AD$221,_xll.ciqfunctions.udf.CIQ($G232, "IQ_VOLUME", AD$222),"--")</f>
        <v>0</v>
      </c>
      <c r="AE232" s="2131">
        <f>IF(AE$221,_xll.ciqfunctions.udf.CIQ($G232, "IQ_VOLUME", AE$222),"--")</f>
        <v>0</v>
      </c>
      <c r="AF232" s="2131">
        <f>IF(AF$221,_xll.ciqfunctions.udf.CIQ($G232, "IQ_VOLUME", AF$222),"--")</f>
        <v>0</v>
      </c>
      <c r="AG232" s="2131">
        <f>IF(AG$221,_xll.ciqfunctions.udf.CIQ($G232, "IQ_VOLUME", AG$222),"--")</f>
        <v>0</v>
      </c>
      <c r="AH232" s="2131">
        <f>IF(AH$221,_xll.ciqfunctions.udf.CIQ($G232, "IQ_VOLUME", AH$222),"--")</f>
        <v>0</v>
      </c>
      <c r="AI232" s="2131">
        <f>IF(AI$221,_xll.ciqfunctions.udf.CIQ($G232, "IQ_VOLUME", AI$222),"--")</f>
        <v>0</v>
      </c>
      <c r="AJ232" s="2131">
        <f>IF(AJ$221,_xll.ciqfunctions.udf.CIQ($G232, "IQ_VOLUME", AJ$222),"--")</f>
        <v>0</v>
      </c>
      <c r="AK232" s="2131">
        <f>IF(AK$221,_xll.ciqfunctions.udf.CIQ($G232, "IQ_VOLUME", AK$222),"--")</f>
        <v>0</v>
      </c>
      <c r="AL232" s="2131">
        <f>IF(AL$221,_xll.ciqfunctions.udf.CIQ($G232, "IQ_VOLUME", AL$222),"--")</f>
        <v>0</v>
      </c>
      <c r="AM232" s="2131">
        <f>IF(AM$221,_xll.ciqfunctions.udf.CIQ($G232, "IQ_VOLUME", AM$222),"--")</f>
        <v>0</v>
      </c>
      <c r="AN232" s="2131">
        <f>IF(AN$221,_xll.ciqfunctions.udf.CIQ($G232, "IQ_VOLUME", AN$222),"--")</f>
        <v>0</v>
      </c>
      <c r="AO232" s="2131">
        <f>IF(AO$221,_xll.ciqfunctions.udf.CIQ($G232, "IQ_VOLUME", AO$222),"--")</f>
        <v>0</v>
      </c>
      <c r="AP232" s="2131">
        <f>IF(AP$221,_xll.ciqfunctions.udf.CIQ($G232, "IQ_VOLUME", AP$222),"--")</f>
        <v>0</v>
      </c>
      <c r="AQ232" s="2131">
        <f>IF(AQ$221,_xll.ciqfunctions.udf.CIQ($G232, "IQ_VOLUME", AQ$222),"--")</f>
        <v>0</v>
      </c>
      <c r="AR232" s="2131">
        <f>IF(AR$221,_xll.ciqfunctions.udf.CIQ($G232, "IQ_VOLUME", AR$222),"--")</f>
        <v>0</v>
      </c>
      <c r="AS232" s="2131">
        <f>IF(AS$221,_xll.ciqfunctions.udf.CIQ($G232, "IQ_VOLUME", AS$222),"--")</f>
        <v>0</v>
      </c>
      <c r="AT232" s="2131">
        <f>IF(AT$221,_xll.ciqfunctions.udf.CIQ($G232, "IQ_VOLUME", AT$222),"--")</f>
        <v>0</v>
      </c>
      <c r="AU232" s="2131">
        <f>IF(AU$221,_xll.ciqfunctions.udf.CIQ($G232, "IQ_VOLUME", AU$222),"--")</f>
        <v>0</v>
      </c>
      <c r="AV232" s="2131">
        <f>IF(AV$221,_xll.ciqfunctions.udf.CIQ($G232, "IQ_VOLUME", AV$222),"--")</f>
        <v>0</v>
      </c>
      <c r="AW232" s="2131">
        <f>IF(AW$221,_xll.ciqfunctions.udf.CIQ($G232, "IQ_VOLUME", AW$222),"--")</f>
        <v>0</v>
      </c>
      <c r="AX232" s="2131">
        <f>IF(AX$221,_xll.ciqfunctions.udf.CIQ($G232, "IQ_VOLUME", AX$222),"--")</f>
        <v>0</v>
      </c>
      <c r="AY232" s="2131">
        <f>IF(AY$221,_xll.ciqfunctions.udf.CIQ($G232, "IQ_VOLUME", AY$222),"--")</f>
        <v>0</v>
      </c>
      <c r="AZ232" s="2131">
        <f>IF(AZ$221,_xll.ciqfunctions.udf.CIQ($G232, "IQ_VOLUME", AZ$222),"--")</f>
        <v>0</v>
      </c>
      <c r="BA232" s="2131">
        <f>IF(BA$221,_xll.ciqfunctions.udf.CIQ($G232, "IQ_VOLUME", BA$222),"--")</f>
        <v>0</v>
      </c>
      <c r="BB232" s="2131">
        <f>IF(BB$221,_xll.ciqfunctions.udf.CIQ($G232, "IQ_VOLUME", BB$222),"--")</f>
        <v>0</v>
      </c>
      <c r="BC232" s="2131">
        <f>IF(BC$221,_xll.ciqfunctions.udf.CIQ($G232, "IQ_VOLUME", BC$222),"--")</f>
        <v>0</v>
      </c>
      <c r="BD232" s="2131">
        <f>IF(BD$221,_xll.ciqfunctions.udf.CIQ($G232, "IQ_VOLUME", BD$222),"--")</f>
        <v>0</v>
      </c>
      <c r="BE232" s="2131">
        <f>IF(BE$221,_xll.ciqfunctions.udf.CIQ($G232, "IQ_VOLUME", BE$222),"--")</f>
        <v>0</v>
      </c>
      <c r="BF232" s="2131">
        <f>IF(BF$221,_xll.ciqfunctions.udf.CIQ($G232, "IQ_VOLUME", BF$222),"--")</f>
        <v>0</v>
      </c>
      <c r="BG232" s="2131">
        <f>IF(BG$221,_xll.ciqfunctions.udf.CIQ($G232, "IQ_VOLUME", BG$222),"--")</f>
        <v>0</v>
      </c>
      <c r="BH232" s="2131">
        <f>IF(BH$221,_xll.ciqfunctions.udf.CIQ($G232, "IQ_VOLUME", BH$222),"--")</f>
        <v>0</v>
      </c>
      <c r="BI232" s="2131">
        <f>IF(BI$221,_xll.ciqfunctions.udf.CIQ($G232, "IQ_VOLUME", BI$222),"--")</f>
        <v>0</v>
      </c>
      <c r="BJ232" s="2131">
        <f>IF(BJ$221,_xll.ciqfunctions.udf.CIQ($G232, "IQ_VOLUME", BJ$222),"--")</f>
        <v>0</v>
      </c>
      <c r="BK232" s="2131">
        <f>IF(BK$221,_xll.ciqfunctions.udf.CIQ($G232, "IQ_VOLUME", BK$222),"--")</f>
        <v>0</v>
      </c>
      <c r="BL232" s="2131">
        <f>IF(BL$221,_xll.ciqfunctions.udf.CIQ($G232, "IQ_VOLUME", BL$222),"--")</f>
        <v>0</v>
      </c>
      <c r="BM232" s="2131">
        <f>IF(BM$221,_xll.ciqfunctions.udf.CIQ($G232, "IQ_VOLUME", BM$222),"--")</f>
        <v>0</v>
      </c>
      <c r="BN232" s="2131">
        <f>IF(BN$221,_xll.ciqfunctions.udf.CIQ($G232, "IQ_VOLUME", BN$222),"--")</f>
        <v>0</v>
      </c>
      <c r="BO232" s="2131">
        <f>IF(BO$221,_xll.ciqfunctions.udf.CIQ($G232, "IQ_VOLUME", BO$222),"--")</f>
        <v>0</v>
      </c>
      <c r="BP232" s="2131">
        <f>IF(BP$221,_xll.ciqfunctions.udf.CIQ($G232, "IQ_VOLUME", BP$222),"--")</f>
        <v>0</v>
      </c>
      <c r="BQ232" s="2131">
        <f>IF(BQ$221,_xll.ciqfunctions.udf.CIQ($G232, "IQ_VOLUME", BQ$222),"--")</f>
        <v>0</v>
      </c>
      <c r="BR232" s="2131">
        <f>IF(BR$221,_xll.ciqfunctions.udf.CIQ($G232, "IQ_VOLUME", BR$222),"--")</f>
        <v>0</v>
      </c>
      <c r="BS232" s="2131">
        <f>IF(BS$221,_xll.ciqfunctions.udf.CIQ($G232, "IQ_VOLUME", BS$222),"--")</f>
        <v>0</v>
      </c>
      <c r="BT232" s="2131">
        <f>IF(BT$221,_xll.ciqfunctions.udf.CIQ($G232, "IQ_VOLUME", BT$222),"--")</f>
        <v>0</v>
      </c>
      <c r="BU232" s="2131">
        <f>IF(BU$221,_xll.ciqfunctions.udf.CIQ($G232, "IQ_VOLUME", BU$222),"--")</f>
        <v>0</v>
      </c>
      <c r="BV232" s="2131">
        <f>IF(BV$221,_xll.ciqfunctions.udf.CIQ($G232, "IQ_VOLUME", BV$222),"--")</f>
        <v>0</v>
      </c>
      <c r="BW232" s="2131">
        <f>IF(BW$221,_xll.ciqfunctions.udf.CIQ($G232, "IQ_VOLUME", BW$222),"--")</f>
        <v>0</v>
      </c>
      <c r="BX232" s="2131">
        <f>IF(BX$221,_xll.ciqfunctions.udf.CIQ($G232, "IQ_VOLUME", BX$222),"--")</f>
        <v>0</v>
      </c>
      <c r="BY232" s="2131">
        <f>IF(BY$221,_xll.ciqfunctions.udf.CIQ($G232, "IQ_VOLUME", BY$222),"--")</f>
        <v>0</v>
      </c>
      <c r="BZ232" s="2131">
        <f>IF(BZ$221,_xll.ciqfunctions.udf.CIQ($G232, "IQ_VOLUME", BZ$222),"--")</f>
        <v>0</v>
      </c>
      <c r="CA232" s="2131">
        <f>IF(CA$221,_xll.ciqfunctions.udf.CIQ($G232, "IQ_VOLUME", CA$222),"--")</f>
        <v>0</v>
      </c>
      <c r="CB232" s="2131">
        <f>IF(CB$221,_xll.ciqfunctions.udf.CIQ($G232, "IQ_VOLUME", CB$222),"--")</f>
        <v>0</v>
      </c>
      <c r="CC232" s="2131">
        <f>IF(CC$221,_xll.ciqfunctions.udf.CIQ($G232, "IQ_VOLUME", CC$222),"--")</f>
        <v>0</v>
      </c>
      <c r="CD232" s="2131">
        <f>IF(CD$221,_xll.ciqfunctions.udf.CIQ($G232, "IQ_VOLUME", CD$222),"--")</f>
        <v>0</v>
      </c>
      <c r="CE232" s="2131">
        <f>IF(CE$221,_xll.ciqfunctions.udf.CIQ($G232, "IQ_VOLUME", CE$222),"--")</f>
        <v>0</v>
      </c>
      <c r="CF232" s="2131">
        <f>IF(CF$221,_xll.ciqfunctions.udf.CIQ($G232, "IQ_VOLUME", CF$222),"--")</f>
        <v>0</v>
      </c>
      <c r="CG232" s="2131">
        <f>IF(CG$221,_xll.ciqfunctions.udf.CIQ($G232, "IQ_VOLUME", CG$222),"--")</f>
        <v>0</v>
      </c>
      <c r="CH232" s="2131">
        <f>IF(CH$221,_xll.ciqfunctions.udf.CIQ($G232, "IQ_VOLUME", CH$222),"--")</f>
        <v>0</v>
      </c>
      <c r="CI232" s="2131">
        <f>IF(CI$221,_xll.ciqfunctions.udf.CIQ($G232, "IQ_VOLUME", CI$222),"--")</f>
        <v>0</v>
      </c>
      <c r="CJ232" s="2131">
        <f>IF(CJ$221,_xll.ciqfunctions.udf.CIQ($G232, "IQ_VOLUME", CJ$222),"--")</f>
        <v>0</v>
      </c>
      <c r="CK232" s="2131">
        <f>IF(CK$221,_xll.ciqfunctions.udf.CIQ($G232, "IQ_VOLUME", CK$222),"--")</f>
        <v>0</v>
      </c>
      <c r="CL232" s="2131">
        <f>IF(CL$221,_xll.ciqfunctions.udf.CIQ($G232, "IQ_VOLUME", CL$222),"--")</f>
        <v>0</v>
      </c>
      <c r="CM232" s="2131">
        <f>IF(CM$221,_xll.ciqfunctions.udf.CIQ($G232, "IQ_VOLUME", CM$222),"--")</f>
        <v>0</v>
      </c>
      <c r="CN232" s="2131">
        <f>IF(CN$221,_xll.ciqfunctions.udf.CIQ($G232, "IQ_VOLUME", CN$222),"--")</f>
        <v>0</v>
      </c>
      <c r="CO232" s="2131">
        <f>IF(CO$221,_xll.ciqfunctions.udf.CIQ($G232, "IQ_VOLUME", CO$222),"--")</f>
        <v>0</v>
      </c>
      <c r="CP232" s="2131">
        <f>IF(CP$221,_xll.ciqfunctions.udf.CIQ($G232, "IQ_VOLUME", CP$222),"--")</f>
        <v>0</v>
      </c>
      <c r="CQ232" s="2131">
        <f>IF(CQ$221,_xll.ciqfunctions.udf.CIQ($G232, "IQ_VOLUME", CQ$222),"--")</f>
        <v>0</v>
      </c>
      <c r="CR232" s="2131">
        <f>IF(CR$221,_xll.ciqfunctions.udf.CIQ($G232, "IQ_VOLUME", CR$222),"--")</f>
        <v>0</v>
      </c>
      <c r="CS232" s="2131">
        <f>IF(CS$221,_xll.ciqfunctions.udf.CIQ($G232, "IQ_VOLUME", CS$222),"--")</f>
        <v>0</v>
      </c>
      <c r="CT232" s="2131">
        <f>IF(CT$221,_xll.ciqfunctions.udf.CIQ($G232, "IQ_VOLUME", CT$222),"--")</f>
        <v>0</v>
      </c>
      <c r="CU232" s="2131">
        <f>IF(CU$221,_xll.ciqfunctions.udf.CIQ($G232, "IQ_VOLUME", CU$222),"--")</f>
        <v>0</v>
      </c>
      <c r="CV232" s="2131">
        <f>IF(CV$221,_xll.ciqfunctions.udf.CIQ($G232, "IQ_VOLUME", CV$222),"--")</f>
        <v>0</v>
      </c>
      <c r="CW232" s="2131">
        <f>IF(CW$221,_xll.ciqfunctions.udf.CIQ($G232, "IQ_VOLUME", CW$222),"--")</f>
        <v>0</v>
      </c>
      <c r="CX232" s="2131">
        <f>IF(CX$221,_xll.ciqfunctions.udf.CIQ($G232, "IQ_VOLUME", CX$222),"--")</f>
        <v>0</v>
      </c>
      <c r="CY232" s="2131">
        <f>IF(CY$221,_xll.ciqfunctions.udf.CIQ($G232, "IQ_VOLUME", CY$222),"--")</f>
        <v>0</v>
      </c>
      <c r="CZ232" s="2131">
        <f>IF(CZ$221,_xll.ciqfunctions.udf.CIQ($G232, "IQ_VOLUME", CZ$222),"--")</f>
        <v>0</v>
      </c>
      <c r="DA232" s="2131">
        <f>IF(DA$221,_xll.ciqfunctions.udf.CIQ($G232, "IQ_VOLUME", DA$222),"--")</f>
        <v>0</v>
      </c>
      <c r="DB232" s="2131">
        <f>IF(DB$221,_xll.ciqfunctions.udf.CIQ($G232, "IQ_VOLUME", DB$222),"--")</f>
        <v>0</v>
      </c>
      <c r="DC232" s="2131">
        <f>IF(DC$221,_xll.ciqfunctions.udf.CIQ($G232, "IQ_VOLUME", DC$222),"--")</f>
        <v>0</v>
      </c>
      <c r="DD232" s="2131">
        <f>IF(DD$221,_xll.ciqfunctions.udf.CIQ($G232, "IQ_VOLUME", DD$222),"--")</f>
        <v>0</v>
      </c>
      <c r="DE232" s="2131">
        <f>IF(DE$221,_xll.ciqfunctions.udf.CIQ($G232, "IQ_VOLUME", DE$222),"--")</f>
        <v>0</v>
      </c>
      <c r="DF232" s="2131">
        <f>IF(DF$221,_xll.ciqfunctions.udf.CIQ($G232, "IQ_VOLUME", DF$222),"--")</f>
        <v>0</v>
      </c>
      <c r="DG232" s="2131">
        <f>IF(DG$221,_xll.ciqfunctions.udf.CIQ($G232, "IQ_VOLUME", DG$222),"--")</f>
        <v>0</v>
      </c>
      <c r="DH232" s="2131">
        <f>IF(DH$221,_xll.ciqfunctions.udf.CIQ($G232, "IQ_VOLUME", DH$222),"--")</f>
        <v>0</v>
      </c>
      <c r="DI232" s="2131">
        <f>IF(DI$221,_xll.ciqfunctions.udf.CIQ($G232, "IQ_VOLUME", DI$222),"--")</f>
        <v>0</v>
      </c>
      <c r="DJ232" s="2131">
        <f>IF(DJ$221,_xll.ciqfunctions.udf.CIQ($G232, "IQ_VOLUME", DJ$222),"--")</f>
        <v>0</v>
      </c>
      <c r="DK232" s="2131">
        <f>IF(DK$221,_xll.ciqfunctions.udf.CIQ($G232, "IQ_VOLUME", DK$222),"--")</f>
        <v>0</v>
      </c>
      <c r="DL232" s="2131">
        <f>IF(DL$221,_xll.ciqfunctions.udf.CIQ($G232, "IQ_VOLUME", DL$222),"--")</f>
        <v>0</v>
      </c>
      <c r="DM232" s="2131">
        <f>IF(DM$221,_xll.ciqfunctions.udf.CIQ($G232, "IQ_VOLUME", DM$222),"--")</f>
        <v>0</v>
      </c>
      <c r="DN232" s="2131">
        <f>IF(DN$221,_xll.ciqfunctions.udf.CIQ($G232, "IQ_VOLUME", DN$222),"--")</f>
        <v>0</v>
      </c>
      <c r="DO232" s="2131">
        <f>IF(DO$221,_xll.ciqfunctions.udf.CIQ($G232, "IQ_VOLUME", DO$222),"--")</f>
        <v>0</v>
      </c>
      <c r="DP232" s="2131">
        <f>IF(DP$221,_xll.ciqfunctions.udf.CIQ($G232, "IQ_VOLUME", DP$222),"--")</f>
        <v>0</v>
      </c>
      <c r="DQ232" s="2131">
        <f>IF(DQ$221,_xll.ciqfunctions.udf.CIQ($G232, "IQ_VOLUME", DQ$222),"--")</f>
        <v>0</v>
      </c>
      <c r="DR232" s="2131">
        <f>IF(DR$221,_xll.ciqfunctions.udf.CIQ($G232, "IQ_VOLUME", DR$222),"--")</f>
        <v>0</v>
      </c>
      <c r="DS232" s="2131">
        <f>IF(DS$221,_xll.ciqfunctions.udf.CIQ($G232, "IQ_VOLUME", DS$222),"--")</f>
        <v>0</v>
      </c>
      <c r="DT232" s="2131">
        <f>IF(DT$221,_xll.ciqfunctions.udf.CIQ($G232, "IQ_VOLUME", DT$222),"--")</f>
        <v>0</v>
      </c>
      <c r="DU232" s="2131">
        <f>IF(DU$221,_xll.ciqfunctions.udf.CIQ($G232, "IQ_VOLUME", DU$222),"--")</f>
        <v>0</v>
      </c>
      <c r="DV232" s="2131">
        <f>IF(DV$221,_xll.ciqfunctions.udf.CIQ($G232, "IQ_VOLUME", DV$222),"--")</f>
        <v>0</v>
      </c>
      <c r="DW232" s="2131">
        <f>IF(DW$221,_xll.ciqfunctions.udf.CIQ($G232, "IQ_VOLUME", DW$222),"--")</f>
        <v>0</v>
      </c>
      <c r="DX232" s="2131">
        <f>IF(DX$221,_xll.ciqfunctions.udf.CIQ($G232, "IQ_VOLUME", DX$222),"--")</f>
        <v>0</v>
      </c>
      <c r="DY232" s="2131">
        <f>IF(DY$221,_xll.ciqfunctions.udf.CIQ($G232, "IQ_VOLUME", DY$222),"--")</f>
        <v>0</v>
      </c>
      <c r="DZ232" s="2131">
        <f>IF(DZ$221,_xll.ciqfunctions.udf.CIQ($G232, "IQ_VOLUME", DZ$222),"--")</f>
        <v>0</v>
      </c>
      <c r="EA232" s="2131">
        <f>IF(EA$221,_xll.ciqfunctions.udf.CIQ($G232, "IQ_VOLUME", EA$222),"--")</f>
        <v>0</v>
      </c>
      <c r="EB232" s="2131">
        <f>IF(EB$221,_xll.ciqfunctions.udf.CIQ($G232, "IQ_VOLUME", EB$222),"--")</f>
        <v>0</v>
      </c>
      <c r="EC232" s="2131">
        <f>IF(EC$221,_xll.ciqfunctions.udf.CIQ($G232, "IQ_VOLUME", EC$222),"--")</f>
        <v>0</v>
      </c>
      <c r="ED232" s="2131">
        <f>IF(ED$221,_xll.ciqfunctions.udf.CIQ($G232, "IQ_VOLUME", ED$222),"--")</f>
        <v>0</v>
      </c>
      <c r="EE232" s="2131">
        <f>IF(EE$221,_xll.ciqfunctions.udf.CIQ($G232, "IQ_VOLUME", EE$222),"--")</f>
        <v>0</v>
      </c>
      <c r="EF232" s="2131">
        <f>IF(EF$221,_xll.ciqfunctions.udf.CIQ($G232, "IQ_VOLUME", EF$222),"--")</f>
        <v>0</v>
      </c>
      <c r="EG232" s="2131">
        <f>IF(EG$221,_xll.ciqfunctions.udf.CIQ($G232, "IQ_VOLUME", EG$222),"--")</f>
        <v>0</v>
      </c>
      <c r="EH232" s="2131">
        <f>IF(EH$221,_xll.ciqfunctions.udf.CIQ($G232, "IQ_VOLUME", EH$222),"--")</f>
        <v>0</v>
      </c>
      <c r="EI232" s="2131">
        <f>IF(EI$221,_xll.ciqfunctions.udf.CIQ($G232, "IQ_VOLUME", EI$222),"--")</f>
        <v>0</v>
      </c>
      <c r="EJ232" s="2131">
        <f>IF(EJ$221,_xll.ciqfunctions.udf.CIQ($G232, "IQ_VOLUME", EJ$222),"--")</f>
        <v>0</v>
      </c>
      <c r="EK232" s="2131">
        <f>IF(EK$221,_xll.ciqfunctions.udf.CIQ($G232, "IQ_VOLUME", EK$222),"--")</f>
        <v>0</v>
      </c>
      <c r="EL232" s="2131">
        <f>IF(EL$221,_xll.ciqfunctions.udf.CIQ($G232, "IQ_VOLUME", EL$222),"--")</f>
        <v>0</v>
      </c>
      <c r="EM232" s="2131">
        <f>IF(EM$221,_xll.ciqfunctions.udf.CIQ($G232, "IQ_VOLUME", EM$222),"--")</f>
        <v>0</v>
      </c>
      <c r="EN232" s="2131">
        <f>IF(EN$221,_xll.ciqfunctions.udf.CIQ($G232, "IQ_VOLUME", EN$222),"--")</f>
        <v>0</v>
      </c>
      <c r="EO232" s="2131">
        <f>IF(EO$221,_xll.ciqfunctions.udf.CIQ($G232, "IQ_VOLUME", EO$222),"--")</f>
        <v>0</v>
      </c>
      <c r="EP232" s="2131">
        <f>IF(EP$221,_xll.ciqfunctions.udf.CIQ($G232, "IQ_VOLUME", EP$222),"--")</f>
        <v>0</v>
      </c>
      <c r="EQ232" s="2131">
        <f>IF(EQ$221,_xll.ciqfunctions.udf.CIQ($G232, "IQ_VOLUME", EQ$222),"--")</f>
        <v>0</v>
      </c>
      <c r="ER232" s="2131">
        <f>IF(ER$221,_xll.ciqfunctions.udf.CIQ($G232, "IQ_VOLUME", ER$222),"--")</f>
        <v>0</v>
      </c>
      <c r="ES232" s="2131">
        <f>IF(ES$221,_xll.ciqfunctions.udf.CIQ($G232, "IQ_VOLUME", ES$222),"--")</f>
        <v>0</v>
      </c>
      <c r="ET232" s="2131">
        <f>IF(ET$221,_xll.ciqfunctions.udf.CIQ($G232, "IQ_VOLUME", ET$222),"--")</f>
        <v>0</v>
      </c>
      <c r="EU232" s="2131">
        <f>IF(EU$221,_xll.ciqfunctions.udf.CIQ($G232, "IQ_VOLUME", EU$222),"--")</f>
        <v>0</v>
      </c>
      <c r="EV232" s="2131">
        <f>IF(EV$221,_xll.ciqfunctions.udf.CIQ($G232, "IQ_VOLUME", EV$222),"--")</f>
        <v>0</v>
      </c>
      <c r="EW232" s="2131">
        <f>IF(EW$221,_xll.ciqfunctions.udf.CIQ($G232, "IQ_VOLUME", EW$222),"--")</f>
        <v>0</v>
      </c>
      <c r="EX232" s="2131">
        <f>IF(EX$221,_xll.ciqfunctions.udf.CIQ($G232, "IQ_VOLUME", EX$222),"--")</f>
        <v>0</v>
      </c>
      <c r="EY232" s="2131">
        <f>IF(EY$221,_xll.ciqfunctions.udf.CIQ($G232, "IQ_VOLUME", EY$222),"--")</f>
        <v>0</v>
      </c>
      <c r="EZ232" s="2131">
        <f>IF(EZ$221,_xll.ciqfunctions.udf.CIQ($G232, "IQ_VOLUME", EZ$222),"--")</f>
        <v>0</v>
      </c>
      <c r="FA232" s="2131">
        <f>IF(FA$221,_xll.ciqfunctions.udf.CIQ($G232, "IQ_VOLUME", FA$222),"--")</f>
        <v>0</v>
      </c>
      <c r="FB232" s="2131">
        <f>IF(FB$221,_xll.ciqfunctions.udf.CIQ($G232, "IQ_VOLUME", FB$222),"--")</f>
        <v>0</v>
      </c>
      <c r="FC232" s="2131">
        <f>IF(FC$221,_xll.ciqfunctions.udf.CIQ($G232, "IQ_VOLUME", FC$222),"--")</f>
        <v>0</v>
      </c>
      <c r="FD232" s="2131">
        <f>IF(FD$221,_xll.ciqfunctions.udf.CIQ($G232, "IQ_VOLUME", FD$222),"--")</f>
        <v>0</v>
      </c>
      <c r="FE232" s="2131">
        <f>IF(FE$221,_xll.ciqfunctions.udf.CIQ($G232, "IQ_VOLUME", FE$222),"--")</f>
        <v>0</v>
      </c>
      <c r="FF232" s="2131">
        <f>IF(FF$221,_xll.ciqfunctions.udf.CIQ($G232, "IQ_VOLUME", FF$222),"--")</f>
        <v>0</v>
      </c>
      <c r="FG232" s="2131">
        <f>IF(FG$221,_xll.ciqfunctions.udf.CIQ($G232, "IQ_VOLUME", FG$222),"--")</f>
        <v>0</v>
      </c>
      <c r="FH232" s="2131">
        <f>IF(FH$221,_xll.ciqfunctions.udf.CIQ($G232, "IQ_VOLUME", FH$222),"--")</f>
        <v>0</v>
      </c>
      <c r="FI232" s="2131">
        <f>IF(FI$221,_xll.ciqfunctions.udf.CIQ($G232, "IQ_VOLUME", FI$222),"--")</f>
        <v>0</v>
      </c>
      <c r="FJ232" s="2131">
        <f>IF(FJ$221,_xll.ciqfunctions.udf.CIQ($G232, "IQ_VOLUME", FJ$222),"--")</f>
        <v>0</v>
      </c>
      <c r="FK232" s="2131">
        <f>IF(FK$221,_xll.ciqfunctions.udf.CIQ($G232, "IQ_VOLUME", FK$222),"--")</f>
        <v>0</v>
      </c>
      <c r="FL232" s="2131">
        <f>IF(FL$221,_xll.ciqfunctions.udf.CIQ($G232, "IQ_VOLUME", FL$222),"--")</f>
        <v>0</v>
      </c>
      <c r="FM232" s="2131">
        <f>IF(FM$221,_xll.ciqfunctions.udf.CIQ($G232, "IQ_VOLUME", FM$222),"--")</f>
        <v>0</v>
      </c>
      <c r="FN232" s="2131">
        <f>IF(FN$221,_xll.ciqfunctions.udf.CIQ($G232, "IQ_VOLUME", FN$222),"--")</f>
        <v>0</v>
      </c>
      <c r="FO232" s="2131">
        <f>IF(FO$221,_xll.ciqfunctions.udf.CIQ($G232, "IQ_VOLUME", FO$222),"--")</f>
        <v>0</v>
      </c>
      <c r="FP232" s="2131">
        <f>IF(FP$221,_xll.ciqfunctions.udf.CIQ($G232, "IQ_VOLUME", FP$222),"--")</f>
        <v>0</v>
      </c>
      <c r="FQ232" s="2131">
        <f>IF(FQ$221,_xll.ciqfunctions.udf.CIQ($G232, "IQ_VOLUME", FQ$222),"--")</f>
        <v>0</v>
      </c>
      <c r="FR232" s="2131">
        <f>IF(FR$221,_xll.ciqfunctions.udf.CIQ($G232, "IQ_VOLUME", FR$222),"--")</f>
        <v>0</v>
      </c>
      <c r="FS232" s="2131">
        <f>IF(FS$221,_xll.ciqfunctions.udf.CIQ($G232, "IQ_VOLUME", FS$222),"--")</f>
        <v>0</v>
      </c>
      <c r="FT232" s="2131">
        <f>IF(FT$221,_xll.ciqfunctions.udf.CIQ($G232, "IQ_VOLUME", FT$222),"--")</f>
        <v>0</v>
      </c>
      <c r="FU232" s="2131">
        <f>IF(FU$221,_xll.ciqfunctions.udf.CIQ($G232, "IQ_VOLUME", FU$222),"--")</f>
        <v>0</v>
      </c>
      <c r="FV232" s="2131">
        <f>IF(FV$221,_xll.ciqfunctions.udf.CIQ($G232, "IQ_VOLUME", FV$222),"--")</f>
        <v>0</v>
      </c>
      <c r="FW232" s="2131">
        <f>IF(FW$221,_xll.ciqfunctions.udf.CIQ($G232, "IQ_VOLUME", FW$222),"--")</f>
        <v>0</v>
      </c>
      <c r="FX232" s="2131">
        <f>IF(FX$221,_xll.ciqfunctions.udf.CIQ($G232, "IQ_VOLUME", FX$222),"--")</f>
        <v>0</v>
      </c>
      <c r="FY232" s="2131">
        <f>IF(FY$221,_xll.ciqfunctions.udf.CIQ($G232, "IQ_VOLUME", FY$222),"--")</f>
        <v>0</v>
      </c>
      <c r="FZ232" s="2131">
        <f>IF(FZ$221,_xll.ciqfunctions.udf.CIQ($G232, "IQ_VOLUME", FZ$222),"--")</f>
        <v>0</v>
      </c>
      <c r="GA232" s="2131">
        <f>IF(GA$221,_xll.ciqfunctions.udf.CIQ($G232, "IQ_VOLUME", GA$222),"--")</f>
        <v>0</v>
      </c>
      <c r="GB232" s="2131">
        <f>IF(GB$221,_xll.ciqfunctions.udf.CIQ($G232, "IQ_VOLUME", GB$222),"--")</f>
        <v>0</v>
      </c>
      <c r="GC232" s="2131">
        <f>IF(GC$221,_xll.ciqfunctions.udf.CIQ($G232, "IQ_VOLUME", GC$222),"--")</f>
        <v>0</v>
      </c>
      <c r="GD232" s="2131">
        <f>IF(GD$221,_xll.ciqfunctions.udf.CIQ($G232, "IQ_VOLUME", GD$222),"--")</f>
        <v>0</v>
      </c>
      <c r="GE232" s="2131">
        <f>IF(GE$221,_xll.ciqfunctions.udf.CIQ($G232, "IQ_VOLUME", GE$222),"--")</f>
        <v>0</v>
      </c>
      <c r="GF232" s="2131">
        <f>IF(GF$221,_xll.ciqfunctions.udf.CIQ($G232, "IQ_VOLUME", GF$222),"--")</f>
        <v>0</v>
      </c>
      <c r="GG232" s="2131">
        <f>IF(GG$221,_xll.ciqfunctions.udf.CIQ($G232, "IQ_VOLUME", GG$222),"--")</f>
        <v>0</v>
      </c>
      <c r="GH232" s="2131">
        <f>IF(GH$221,_xll.ciqfunctions.udf.CIQ($G232, "IQ_VOLUME", GH$222),"--")</f>
        <v>0</v>
      </c>
      <c r="GI232" s="2131">
        <f>IF(GI$221,_xll.ciqfunctions.udf.CIQ($G232, "IQ_VOLUME", GI$222),"--")</f>
        <v>0</v>
      </c>
      <c r="GJ232" s="2131">
        <f>IF(GJ$221,_xll.ciqfunctions.udf.CIQ($G232, "IQ_VOLUME", GJ$222),"--")</f>
        <v>0</v>
      </c>
      <c r="GK232" s="2131">
        <f>IF(GK$221,_xll.ciqfunctions.udf.CIQ($G232, "IQ_VOLUME", GK$222),"--")</f>
        <v>0</v>
      </c>
      <c r="GL232" s="2131">
        <f>IF(GL$221,_xll.ciqfunctions.udf.CIQ($G232, "IQ_VOLUME", GL$222),"--")</f>
        <v>0</v>
      </c>
      <c r="GM232" s="2131">
        <f>IF(GM$221,_xll.ciqfunctions.udf.CIQ($G232, "IQ_VOLUME", GM$222),"--")</f>
        <v>0</v>
      </c>
      <c r="GN232" s="2131">
        <f>IF(GN$221,_xll.ciqfunctions.udf.CIQ($G232, "IQ_VOLUME", GN$222),"--")</f>
        <v>0</v>
      </c>
      <c r="GO232" s="2131">
        <f>IF(GO$221,_xll.ciqfunctions.udf.CIQ($G232, "IQ_VOLUME", GO$222),"--")</f>
        <v>0</v>
      </c>
      <c r="GP232" s="2131">
        <f>IF(GP$221,_xll.ciqfunctions.udf.CIQ($G232, "IQ_VOLUME", GP$222),"--")</f>
        <v>0</v>
      </c>
      <c r="GQ232" s="2131">
        <f>IF(GQ$221,_xll.ciqfunctions.udf.CIQ($G232, "IQ_VOLUME", GQ$222),"--")</f>
        <v>0</v>
      </c>
      <c r="GR232" s="2131">
        <f>IF(GR$221,_xll.ciqfunctions.udf.CIQ($G232, "IQ_VOLUME", GR$222),"--")</f>
        <v>0</v>
      </c>
      <c r="GS232" s="2131">
        <f>IF(GS$221,_xll.ciqfunctions.udf.CIQ($G232, "IQ_VOLUME", GS$222),"--")</f>
        <v>0</v>
      </c>
      <c r="GT232" s="2131">
        <f>IF(GT$221,_xll.ciqfunctions.udf.CIQ($G232, "IQ_VOLUME", GT$222),"--")</f>
        <v>0</v>
      </c>
      <c r="GU232" s="2131">
        <f>IF(GU$221,_xll.ciqfunctions.udf.CIQ($G232, "IQ_VOLUME", GU$222),"--")</f>
        <v>0</v>
      </c>
      <c r="GV232" s="2131">
        <f>IF(GV$221,_xll.ciqfunctions.udf.CIQ($G232, "IQ_VOLUME", GV$222),"--")</f>
        <v>0</v>
      </c>
      <c r="GW232" s="2131">
        <f>IF(GW$221,_xll.ciqfunctions.udf.CIQ($G232, "IQ_VOLUME", GW$222),"--")</f>
        <v>0</v>
      </c>
      <c r="GX232" s="2131">
        <f>IF(GX$221,_xll.ciqfunctions.udf.CIQ($G232, "IQ_VOLUME", GX$222),"--")</f>
        <v>0</v>
      </c>
      <c r="GY232" s="2131">
        <f>IF(GY$221,_xll.ciqfunctions.udf.CIQ($G232, "IQ_VOLUME", GY$222),"--")</f>
        <v>0</v>
      </c>
      <c r="GZ232" s="2131">
        <f>IF(GZ$221,_xll.ciqfunctions.udf.CIQ($G232, "IQ_VOLUME", GZ$222),"--")</f>
        <v>0</v>
      </c>
      <c r="HA232" s="2131">
        <f>IF(HA$221,_xll.ciqfunctions.udf.CIQ($G232, "IQ_VOLUME", HA$222),"--")</f>
        <v>0</v>
      </c>
      <c r="HB232" s="2131">
        <f>IF(HB$221,_xll.ciqfunctions.udf.CIQ($G232, "IQ_VOLUME", HB$222),"--")</f>
        <v>0</v>
      </c>
      <c r="HC232" s="2131">
        <f>IF(HC$221,_xll.ciqfunctions.udf.CIQ($G232, "IQ_VOLUME", HC$222),"--")</f>
        <v>0</v>
      </c>
      <c r="HD232" s="2131">
        <f>IF(HD$221,_xll.ciqfunctions.udf.CIQ($G232, "IQ_VOLUME", HD$222),"--")</f>
        <v>0</v>
      </c>
      <c r="HE232" s="2131">
        <f>IF(HE$221,_xll.ciqfunctions.udf.CIQ($G232, "IQ_VOLUME", HE$222),"--")</f>
        <v>0</v>
      </c>
      <c r="HF232" s="2131">
        <f>IF(HF$221,_xll.ciqfunctions.udf.CIQ($G232, "IQ_VOLUME", HF$222),"--")</f>
        <v>0</v>
      </c>
      <c r="HG232" s="2131">
        <f>IF(HG$221,_xll.ciqfunctions.udf.CIQ($G232, "IQ_VOLUME", HG$222),"--")</f>
        <v>0</v>
      </c>
      <c r="HH232" s="2131">
        <f>IF(HH$221,_xll.ciqfunctions.udf.CIQ($G232, "IQ_VOLUME", HH$222),"--")</f>
        <v>0</v>
      </c>
      <c r="HI232" s="2131">
        <f>IF(HI$221,_xll.ciqfunctions.udf.CIQ($G232, "IQ_VOLUME", HI$222),"--")</f>
        <v>0</v>
      </c>
      <c r="HJ232" s="2131">
        <f>IF(HJ$221,_xll.ciqfunctions.udf.CIQ($G232, "IQ_VOLUME", HJ$222),"--")</f>
        <v>0</v>
      </c>
      <c r="HK232" s="2131">
        <f>IF(HK$221,_xll.ciqfunctions.udf.CIQ($G232, "IQ_VOLUME", HK$222),"--")</f>
        <v>0</v>
      </c>
      <c r="HL232" s="2131">
        <f>IF(HL$221,_xll.ciqfunctions.udf.CIQ($G232, "IQ_VOLUME", HL$222),"--")</f>
        <v>0</v>
      </c>
      <c r="HM232" s="2131">
        <f>IF(HM$221,_xll.ciqfunctions.udf.CIQ($G232, "IQ_VOLUME", HM$222),"--")</f>
        <v>0</v>
      </c>
      <c r="HN232" s="2131">
        <f>IF(HN$221,_xll.ciqfunctions.udf.CIQ($G232, "IQ_VOLUME", HN$222),"--")</f>
        <v>0</v>
      </c>
      <c r="HO232" s="2131">
        <f>IF(HO$221,_xll.ciqfunctions.udf.CIQ($G232, "IQ_VOLUME", HO$222),"--")</f>
        <v>0</v>
      </c>
      <c r="HP232" s="2131">
        <f>IF(HP$221,_xll.ciqfunctions.udf.CIQ($G232, "IQ_VOLUME", HP$222),"--")</f>
        <v>0</v>
      </c>
      <c r="HQ232" s="2131">
        <f>IF(HQ$221,_xll.ciqfunctions.udf.CIQ($G232, "IQ_VOLUME", HQ$222),"--")</f>
        <v>0</v>
      </c>
      <c r="HR232" s="2131">
        <f>IF(HR$221,_xll.ciqfunctions.udf.CIQ($G232, "IQ_VOLUME", HR$222),"--")</f>
        <v>0</v>
      </c>
      <c r="HS232" s="2131">
        <f>IF(HS$221,_xll.ciqfunctions.udf.CIQ($G232, "IQ_VOLUME", HS$222),"--")</f>
        <v>0</v>
      </c>
      <c r="HT232" s="2131">
        <f>IF(HT$221,_xll.ciqfunctions.udf.CIQ($G232, "IQ_VOLUME", HT$222),"--")</f>
        <v>0</v>
      </c>
      <c r="HU232" s="2131">
        <f>IF(HU$221,_xll.ciqfunctions.udf.CIQ($G232, "IQ_VOLUME", HU$222),"--")</f>
        <v>0</v>
      </c>
      <c r="HV232" s="2131">
        <f>IF(HV$221,_xll.ciqfunctions.udf.CIQ($G232, "IQ_VOLUME", HV$222),"--")</f>
        <v>0</v>
      </c>
      <c r="HW232" s="2131">
        <f>IF(HW$221,_xll.ciqfunctions.udf.CIQ($G232, "IQ_VOLUME", HW$222),"--")</f>
        <v>0</v>
      </c>
      <c r="HX232" s="2131">
        <f>IF(HX$221,_xll.ciqfunctions.udf.CIQ($G232, "IQ_VOLUME", HX$222),"--")</f>
        <v>0</v>
      </c>
      <c r="HY232" s="2131">
        <f>IF(HY$221,_xll.ciqfunctions.udf.CIQ($G232, "IQ_VOLUME", HY$222),"--")</f>
        <v>0</v>
      </c>
      <c r="HZ232" s="2131">
        <f>IF(HZ$221,_xll.ciqfunctions.udf.CIQ($G232, "IQ_VOLUME", HZ$222),"--")</f>
        <v>0</v>
      </c>
      <c r="IA232" s="2131">
        <f>IF(IA$221,_xll.ciqfunctions.udf.CIQ($G232, "IQ_VOLUME", IA$222),"--")</f>
        <v>0</v>
      </c>
      <c r="IB232" s="2131">
        <f>IF(IB$221,_xll.ciqfunctions.udf.CIQ($G232, "IQ_VOLUME", IB$222),"--")</f>
        <v>0</v>
      </c>
      <c r="IC232" s="2131">
        <f>IF(IC$221,_xll.ciqfunctions.udf.CIQ($G232, "IQ_VOLUME", IC$222),"--")</f>
        <v>0</v>
      </c>
      <c r="ID232" s="2131">
        <f>IF(ID$221,_xll.ciqfunctions.udf.CIQ($G232, "IQ_VOLUME", ID$222),"--")</f>
        <v>0</v>
      </c>
      <c r="IE232" s="2131">
        <f>IF(IE$221,_xll.ciqfunctions.udf.CIQ($G232, "IQ_VOLUME", IE$222),"--")</f>
        <v>0</v>
      </c>
      <c r="IF232" s="2131">
        <f>IF(IF$221,_xll.ciqfunctions.udf.CIQ($G232, "IQ_VOLUME", IF$222),"--")</f>
        <v>0</v>
      </c>
      <c r="IG232" s="2131">
        <f>IF(IG$221,_xll.ciqfunctions.udf.CIQ($G232, "IQ_VOLUME", IG$222),"--")</f>
        <v>0</v>
      </c>
      <c r="IH232" s="2131">
        <f>IF(IH$221,_xll.ciqfunctions.udf.CIQ($G232, "IQ_VOLUME", IH$222),"--")</f>
        <v>0</v>
      </c>
      <c r="II232" s="2131">
        <f>IF(II$221,_xll.ciqfunctions.udf.CIQ($G232, "IQ_VOLUME", II$222),"--")</f>
        <v>0</v>
      </c>
      <c r="IJ232" s="2131">
        <f>IF(IJ$221,_xll.ciqfunctions.udf.CIQ($G232, "IQ_VOLUME", IJ$222),"--")</f>
        <v>0</v>
      </c>
      <c r="IK232" s="2131">
        <f>IF(IK$221,_xll.ciqfunctions.udf.CIQ($G232, "IQ_VOLUME", IK$222),"--")</f>
        <v>0</v>
      </c>
      <c r="IL232" s="2131">
        <f>IF(IL$221,_xll.ciqfunctions.udf.CIQ($G232, "IQ_VOLUME", IL$222),"--")</f>
        <v>0</v>
      </c>
      <c r="IM232" s="2131">
        <f>IF(IM$221,_xll.ciqfunctions.udf.CIQ($G232, "IQ_VOLUME", IM$222),"--")</f>
        <v>0</v>
      </c>
      <c r="IN232" s="2131">
        <f>IF(IN$221,_xll.ciqfunctions.udf.CIQ($G232, "IQ_VOLUME", IN$222),"--")</f>
        <v>0</v>
      </c>
      <c r="IO232" s="2131">
        <f>IF(IO$221,_xll.ciqfunctions.udf.CIQ($G232, "IQ_VOLUME", IO$222),"--")</f>
        <v>0</v>
      </c>
      <c r="IP232" s="2131">
        <f>IF(IP$221,_xll.ciqfunctions.udf.CIQ($G232, "IQ_VOLUME", IP$222),"--")</f>
        <v>0</v>
      </c>
      <c r="IQ232" s="2131">
        <f>IF(IQ$221,_xll.ciqfunctions.udf.CIQ($G232, "IQ_VOLUME", IQ$222),"--")</f>
        <v>0</v>
      </c>
      <c r="IR232" s="2131">
        <f>IF(IR$221,_xll.ciqfunctions.udf.CIQ($G232, "IQ_VOLUME", IR$222),"--")</f>
        <v>0</v>
      </c>
      <c r="IS232" s="2131">
        <f>IF(IS$221,_xll.ciqfunctions.udf.CIQ($G232, "IQ_VOLUME", IS$222),"--")</f>
        <v>0</v>
      </c>
      <c r="IT232" s="2131">
        <f>IF(IT$221,_xll.ciqfunctions.udf.CIQ($G232, "IQ_VOLUME", IT$222),"--")</f>
        <v>0</v>
      </c>
      <c r="IU232" s="2131">
        <f>IF(IU$221,_xll.ciqfunctions.udf.CIQ($G232, "IQ_VOLUME", IU$222),"--")</f>
        <v>0</v>
      </c>
      <c r="IV232" s="2131">
        <f>IF(IV$221,_xll.ciqfunctions.udf.CIQ($G232, "IQ_VOLUME", IV$222),"--")</f>
        <v>0</v>
      </c>
      <c r="IW232" s="2131">
        <f>IF(IW$221,_xll.ciqfunctions.udf.CIQ($G232, "IQ_VOLUME", IW$222),"--")</f>
        <v>0</v>
      </c>
      <c r="IX232" s="2131">
        <f>IF(IX$221,_xll.ciqfunctions.udf.CIQ($G232, "IQ_VOLUME", IX$222),"--")</f>
        <v>0</v>
      </c>
      <c r="IY232" s="2131">
        <f>IF(IY$221,_xll.ciqfunctions.udf.CIQ($G232, "IQ_VOLUME", IY$222),"--")</f>
        <v>0</v>
      </c>
      <c r="IZ232" s="2131">
        <f>IF(IZ$221,_xll.ciqfunctions.udf.CIQ($G232, "IQ_VOLUME", IZ$222),"--")</f>
        <v>0</v>
      </c>
      <c r="JA232" s="2131">
        <f>IF(JA$221,_xll.ciqfunctions.udf.CIQ($G232, "IQ_VOLUME", JA$222),"--")</f>
        <v>0</v>
      </c>
      <c r="JB232" s="2131">
        <f>IF(JB$221,_xll.ciqfunctions.udf.CIQ($G232, "IQ_VOLUME", JB$222),"--")</f>
        <v>0</v>
      </c>
      <c r="JC232" s="2131">
        <f>IF(JC$221,_xll.ciqfunctions.udf.CIQ($G232, "IQ_VOLUME", JC$222),"--")</f>
        <v>0</v>
      </c>
      <c r="JD232" s="2131">
        <f>IF(JD$221,_xll.ciqfunctions.udf.CIQ($G232, "IQ_VOLUME", JD$222),"--")</f>
        <v>0</v>
      </c>
      <c r="JE232" s="2131">
        <f>IF(JE$221,_xll.ciqfunctions.udf.CIQ($G232, "IQ_VOLUME", JE$222),"--")</f>
        <v>0</v>
      </c>
      <c r="JF232" s="2131">
        <f>IF(JF$221,_xll.ciqfunctions.udf.CIQ($G232, "IQ_VOLUME", JF$222),"--")</f>
        <v>0</v>
      </c>
      <c r="JG232" s="2131">
        <f>IF(JG$221,_xll.ciqfunctions.udf.CIQ($G232, "IQ_VOLUME", JG$222),"--")</f>
        <v>0</v>
      </c>
      <c r="JH232" s="2131">
        <f>IF(JH$221,_xll.ciqfunctions.udf.CIQ($G232, "IQ_VOLUME", JH$222),"--")</f>
        <v>0</v>
      </c>
      <c r="JI232" s="2131">
        <f>IF(JI$221,_xll.ciqfunctions.udf.CIQ($G232, "IQ_VOLUME", JI$222),"--")</f>
        <v>0</v>
      </c>
      <c r="JJ232" s="2131">
        <f>IF(JJ$221,_xll.ciqfunctions.udf.CIQ($G232, "IQ_VOLUME", JJ$222),"--")</f>
        <v>0</v>
      </c>
      <c r="JK232" s="2131">
        <f>IF(JK$221,_xll.ciqfunctions.udf.CIQ($G232, "IQ_VOLUME", JK$222),"--")</f>
        <v>0</v>
      </c>
      <c r="JL232" s="2131">
        <f>IF(JL$221,_xll.ciqfunctions.udf.CIQ($G232, "IQ_VOLUME", JL$222),"--")</f>
        <v>0</v>
      </c>
      <c r="JM232" s="2131">
        <f>IF(JM$221,_xll.ciqfunctions.udf.CIQ($G232, "IQ_VOLUME", JM$222),"--")</f>
        <v>0</v>
      </c>
      <c r="JN232" s="2131">
        <f>IF(JN$221,_xll.ciqfunctions.udf.CIQ($G232, "IQ_VOLUME", JN$222),"--")</f>
        <v>0</v>
      </c>
      <c r="JO232" s="2131">
        <f>IF(JO$221,_xll.ciqfunctions.udf.CIQ($G232, "IQ_VOLUME", JO$222),"--")</f>
        <v>0</v>
      </c>
      <c r="JP232" s="2131">
        <f>IF(JP$221,_xll.ciqfunctions.udf.CIQ($G232, "IQ_VOLUME", JP$222),"--")</f>
        <v>0</v>
      </c>
      <c r="JQ232" s="2131">
        <f>IF(JQ$221,_xll.ciqfunctions.udf.CIQ($G232, "IQ_VOLUME", JQ$222),"--")</f>
        <v>0</v>
      </c>
      <c r="JR232" s="2131">
        <f>IF(JR$221,_xll.ciqfunctions.udf.CIQ($G232, "IQ_VOLUME", JR$222),"--")</f>
        <v>0</v>
      </c>
      <c r="JS232" s="2131">
        <f>IF(JS$221,_xll.ciqfunctions.udf.CIQ($G232, "IQ_VOLUME", JS$222),"--")</f>
        <v>0</v>
      </c>
      <c r="JT232" s="2131">
        <f>IF(JT$221,_xll.ciqfunctions.udf.CIQ($G232, "IQ_VOLUME", JT$222),"--")</f>
        <v>0</v>
      </c>
      <c r="JU232" s="2131">
        <f>IF(JU$221,_xll.ciqfunctions.udf.CIQ($G232, "IQ_VOLUME", JU$222),"--")</f>
        <v>0</v>
      </c>
      <c r="JV232" s="2131">
        <f>IF(JV$221,_xll.ciqfunctions.udf.CIQ($G232, "IQ_VOLUME", JV$222),"--")</f>
        <v>0</v>
      </c>
      <c r="JW232" s="2131" t="str">
        <f>IF(JW$221,_xll.ciqfunctions.udf.CIQ($G232, "IQ_VOLUME", JW$222),"--")</f>
        <v>--</v>
      </c>
      <c r="JX232" s="2131" t="str">
        <f>IF(JX$221,_xll.ciqfunctions.udf.CIQ($G232, "IQ_VOLUME", JX$222),"--")</f>
        <v>--</v>
      </c>
      <c r="JY232" s="2131" t="str">
        <f>IF(JY$221,_xll.ciqfunctions.udf.CIQ($G232, "IQ_VOLUME", JY$222),"--")</f>
        <v>--</v>
      </c>
      <c r="JZ232" s="2131" t="str">
        <f>IF(JZ$221,_xll.ciqfunctions.udf.CIQ($G232, "IQ_VOLUME", JZ$222),"--")</f>
        <v>--</v>
      </c>
      <c r="KA232" s="2131" t="str">
        <f>IF(KA$221,_xll.ciqfunctions.udf.CIQ($G232, "IQ_VOLUME", KA$222),"--")</f>
        <v>--</v>
      </c>
      <c r="KB232" s="2131" t="str">
        <f>IF(KB$221,_xll.ciqfunctions.udf.CIQ($G232, "IQ_VOLUME", KB$222),"--")</f>
        <v>--</v>
      </c>
    </row>
    <row r="233" spans="1:288" s="89" customFormat="1" ht="13.9">
      <c r="A233" s="269" t="str">
        <f t="shared" si="47"/>
        <v>n</v>
      </c>
      <c r="B233" s="2060"/>
      <c r="D233" s="801"/>
      <c r="E233" s="1505">
        <v>10</v>
      </c>
      <c r="F233" s="21" t="str">
        <f>F$138</f>
        <v>--</v>
      </c>
      <c r="G233" s="2112">
        <f>G$138</f>
        <v>0</v>
      </c>
      <c r="H233" s="2112" t="str">
        <f>H$138</f>
        <v>--</v>
      </c>
      <c r="I233" s="22" t="s">
        <v>781</v>
      </c>
      <c r="J233" s="53"/>
      <c r="K233" s="2301" t="str">
        <f>IF(OR(K201=0,$G233=0),"--",IFERROR(_xll.ciqfunctions.udf.CIQ($G233,$I233,K109,Valuation_Date_GC,ReportType,DataMode,$H233,FXMode)*Scale,"--"))</f>
        <v>--</v>
      </c>
      <c r="L233" s="2301" t="str">
        <f>IF(OR(L201=0,$G233=0),"--",IFERROR(_xll.ciqfunctions.udf.CIQ($G233,$I233,L109,Valuation_Date_GC,ReportType,DataMode,$H233,FXMode)*Scale,"--"))</f>
        <v>--</v>
      </c>
      <c r="M233" s="2301" t="str">
        <f>IF(OR(M201=0,$G233=0),"--",IFERROR(_xll.ciqfunctions.udf.CIQ($G233,$I233,M109,Valuation_Date_GC,ReportType,DataMode,$H233,FXMode)*Scale,"--"))</f>
        <v>--</v>
      </c>
      <c r="N233" s="2301" t="str">
        <f>IF(OR(N201=0,$G233=0),"--",IFERROR(_xll.ciqfunctions.udf.CIQ($G233,$I233,N109,Valuation_Date_GC,ReportType,DataMode,$H233,FXMode)*Scale,"--"))</f>
        <v>--</v>
      </c>
      <c r="O233" s="1471" t="str">
        <f>IF(OR(O201=0,$G233=0),"--",IFERROR(_xll.ciqfunctions.udf.CIQ($G233,$I233,O109,Valuation_Date_GC,ReportType,DataMode,$H233,FXMode)*Scale,"--"))</f>
        <v>--</v>
      </c>
      <c r="P233" s="2301" t="str">
        <f>IF(OR(P201=0,$G233=0),"--",IFERROR(_xll.ciqfunctions.udf.CIQ($G233,$I233,P109,Valuation_Date_GC,ReportType,DataMode,$H233,FXMode)*Scale,"--"))</f>
        <v>--</v>
      </c>
      <c r="R233" s="255"/>
      <c r="T233" s="1779" t="s">
        <v>782</v>
      </c>
      <c r="U233" s="2131">
        <f>IF(U$221,_xll.ciqfunctions.udf.CIQ($G233, "IQ_VOLUME", U$222),"--")</f>
        <v>0</v>
      </c>
      <c r="V233" s="2131">
        <f>IF(V$221,_xll.ciqfunctions.udf.CIQ($G233, "IQ_VOLUME", V$222),"--")</f>
        <v>0</v>
      </c>
      <c r="W233" s="2131">
        <f>IF(W$221,_xll.ciqfunctions.udf.CIQ($G233, "IQ_VOLUME", W$222),"--")</f>
        <v>0</v>
      </c>
      <c r="X233" s="2131">
        <f>IF(X$221,_xll.ciqfunctions.udf.CIQ($G233, "IQ_VOLUME", X$222),"--")</f>
        <v>0</v>
      </c>
      <c r="Y233" s="2131">
        <f>IF(Y$221,_xll.ciqfunctions.udf.CIQ($G233, "IQ_VOLUME", Y$222),"--")</f>
        <v>0</v>
      </c>
      <c r="Z233" s="2131">
        <f>IF(Z$221,_xll.ciqfunctions.udf.CIQ($G233, "IQ_VOLUME", Z$222),"--")</f>
        <v>0</v>
      </c>
      <c r="AA233" s="2131">
        <f>IF(AA$221,_xll.ciqfunctions.udf.CIQ($G233, "IQ_VOLUME", AA$222),"--")</f>
        <v>0</v>
      </c>
      <c r="AB233" s="2131">
        <f>IF(AB$221,_xll.ciqfunctions.udf.CIQ($G233, "IQ_VOLUME", AB$222),"--")</f>
        <v>0</v>
      </c>
      <c r="AC233" s="2131">
        <f>IF(AC$221,_xll.ciqfunctions.udf.CIQ($G233, "IQ_VOLUME", AC$222),"--")</f>
        <v>0</v>
      </c>
      <c r="AD233" s="2131">
        <f>IF(AD$221,_xll.ciqfunctions.udf.CIQ($G233, "IQ_VOLUME", AD$222),"--")</f>
        <v>0</v>
      </c>
      <c r="AE233" s="2131">
        <f>IF(AE$221,_xll.ciqfunctions.udf.CIQ($G233, "IQ_VOLUME", AE$222),"--")</f>
        <v>0</v>
      </c>
      <c r="AF233" s="2131">
        <f>IF(AF$221,_xll.ciqfunctions.udf.CIQ($G233, "IQ_VOLUME", AF$222),"--")</f>
        <v>0</v>
      </c>
      <c r="AG233" s="2131">
        <f>IF(AG$221,_xll.ciqfunctions.udf.CIQ($G233, "IQ_VOLUME", AG$222),"--")</f>
        <v>0</v>
      </c>
      <c r="AH233" s="2131">
        <f>IF(AH$221,_xll.ciqfunctions.udf.CIQ($G233, "IQ_VOLUME", AH$222),"--")</f>
        <v>0</v>
      </c>
      <c r="AI233" s="2131">
        <f>IF(AI$221,_xll.ciqfunctions.udf.CIQ($G233, "IQ_VOLUME", AI$222),"--")</f>
        <v>0</v>
      </c>
      <c r="AJ233" s="2131">
        <f>IF(AJ$221,_xll.ciqfunctions.udf.CIQ($G233, "IQ_VOLUME", AJ$222),"--")</f>
        <v>0</v>
      </c>
      <c r="AK233" s="2131">
        <f>IF(AK$221,_xll.ciqfunctions.udf.CIQ($G233, "IQ_VOLUME", AK$222),"--")</f>
        <v>0</v>
      </c>
      <c r="AL233" s="2131">
        <f>IF(AL$221,_xll.ciqfunctions.udf.CIQ($G233, "IQ_VOLUME", AL$222),"--")</f>
        <v>0</v>
      </c>
      <c r="AM233" s="2131">
        <f>IF(AM$221,_xll.ciqfunctions.udf.CIQ($G233, "IQ_VOLUME", AM$222),"--")</f>
        <v>0</v>
      </c>
      <c r="AN233" s="2131">
        <f>IF(AN$221,_xll.ciqfunctions.udf.CIQ($G233, "IQ_VOLUME", AN$222),"--")</f>
        <v>0</v>
      </c>
      <c r="AO233" s="2131">
        <f>IF(AO$221,_xll.ciqfunctions.udf.CIQ($G233, "IQ_VOLUME", AO$222),"--")</f>
        <v>0</v>
      </c>
      <c r="AP233" s="2131">
        <f>IF(AP$221,_xll.ciqfunctions.udf.CIQ($G233, "IQ_VOLUME", AP$222),"--")</f>
        <v>0</v>
      </c>
      <c r="AQ233" s="2131">
        <f>IF(AQ$221,_xll.ciqfunctions.udf.CIQ($G233, "IQ_VOLUME", AQ$222),"--")</f>
        <v>0</v>
      </c>
      <c r="AR233" s="2131">
        <f>IF(AR$221,_xll.ciqfunctions.udf.CIQ($G233, "IQ_VOLUME", AR$222),"--")</f>
        <v>0</v>
      </c>
      <c r="AS233" s="2131">
        <f>IF(AS$221,_xll.ciqfunctions.udf.CIQ($G233, "IQ_VOLUME", AS$222),"--")</f>
        <v>0</v>
      </c>
      <c r="AT233" s="2131">
        <f>IF(AT$221,_xll.ciqfunctions.udf.CIQ($G233, "IQ_VOLUME", AT$222),"--")</f>
        <v>0</v>
      </c>
      <c r="AU233" s="2131">
        <f>IF(AU$221,_xll.ciqfunctions.udf.CIQ($G233, "IQ_VOLUME", AU$222),"--")</f>
        <v>0</v>
      </c>
      <c r="AV233" s="2131">
        <f>IF(AV$221,_xll.ciqfunctions.udf.CIQ($G233, "IQ_VOLUME", AV$222),"--")</f>
        <v>0</v>
      </c>
      <c r="AW233" s="2131">
        <f>IF(AW$221,_xll.ciqfunctions.udf.CIQ($G233, "IQ_VOLUME", AW$222),"--")</f>
        <v>0</v>
      </c>
      <c r="AX233" s="2131">
        <f>IF(AX$221,_xll.ciqfunctions.udf.CIQ($G233, "IQ_VOLUME", AX$222),"--")</f>
        <v>0</v>
      </c>
      <c r="AY233" s="2131">
        <f>IF(AY$221,_xll.ciqfunctions.udf.CIQ($G233, "IQ_VOLUME", AY$222),"--")</f>
        <v>0</v>
      </c>
      <c r="AZ233" s="2131">
        <f>IF(AZ$221,_xll.ciqfunctions.udf.CIQ($G233, "IQ_VOLUME", AZ$222),"--")</f>
        <v>0</v>
      </c>
      <c r="BA233" s="2131">
        <f>IF(BA$221,_xll.ciqfunctions.udf.CIQ($G233, "IQ_VOLUME", BA$222),"--")</f>
        <v>0</v>
      </c>
      <c r="BB233" s="2131">
        <f>IF(BB$221,_xll.ciqfunctions.udf.CIQ($G233, "IQ_VOLUME", BB$222),"--")</f>
        <v>0</v>
      </c>
      <c r="BC233" s="2131">
        <f>IF(BC$221,_xll.ciqfunctions.udf.CIQ($G233, "IQ_VOLUME", BC$222),"--")</f>
        <v>0</v>
      </c>
      <c r="BD233" s="2131">
        <f>IF(BD$221,_xll.ciqfunctions.udf.CIQ($G233, "IQ_VOLUME", BD$222),"--")</f>
        <v>0</v>
      </c>
      <c r="BE233" s="2131">
        <f>IF(BE$221,_xll.ciqfunctions.udf.CIQ($G233, "IQ_VOLUME", BE$222),"--")</f>
        <v>0</v>
      </c>
      <c r="BF233" s="2131">
        <f>IF(BF$221,_xll.ciqfunctions.udf.CIQ($G233, "IQ_VOLUME", BF$222),"--")</f>
        <v>0</v>
      </c>
      <c r="BG233" s="2131">
        <f>IF(BG$221,_xll.ciqfunctions.udf.CIQ($G233, "IQ_VOLUME", BG$222),"--")</f>
        <v>0</v>
      </c>
      <c r="BH233" s="2131">
        <f>IF(BH$221,_xll.ciqfunctions.udf.CIQ($G233, "IQ_VOLUME", BH$222),"--")</f>
        <v>0</v>
      </c>
      <c r="BI233" s="2131">
        <f>IF(BI$221,_xll.ciqfunctions.udf.CIQ($G233, "IQ_VOLUME", BI$222),"--")</f>
        <v>0</v>
      </c>
      <c r="BJ233" s="2131">
        <f>IF(BJ$221,_xll.ciqfunctions.udf.CIQ($G233, "IQ_VOLUME", BJ$222),"--")</f>
        <v>0</v>
      </c>
      <c r="BK233" s="2131">
        <f>IF(BK$221,_xll.ciqfunctions.udf.CIQ($G233, "IQ_VOLUME", BK$222),"--")</f>
        <v>0</v>
      </c>
      <c r="BL233" s="2131">
        <f>IF(BL$221,_xll.ciqfunctions.udf.CIQ($G233, "IQ_VOLUME", BL$222),"--")</f>
        <v>0</v>
      </c>
      <c r="BM233" s="2131">
        <f>IF(BM$221,_xll.ciqfunctions.udf.CIQ($G233, "IQ_VOLUME", BM$222),"--")</f>
        <v>0</v>
      </c>
      <c r="BN233" s="2131">
        <f>IF(BN$221,_xll.ciqfunctions.udf.CIQ($G233, "IQ_VOLUME", BN$222),"--")</f>
        <v>0</v>
      </c>
      <c r="BO233" s="2131">
        <f>IF(BO$221,_xll.ciqfunctions.udf.CIQ($G233, "IQ_VOLUME", BO$222),"--")</f>
        <v>0</v>
      </c>
      <c r="BP233" s="2131">
        <f>IF(BP$221,_xll.ciqfunctions.udf.CIQ($G233, "IQ_VOLUME", BP$222),"--")</f>
        <v>0</v>
      </c>
      <c r="BQ233" s="2131">
        <f>IF(BQ$221,_xll.ciqfunctions.udf.CIQ($G233, "IQ_VOLUME", BQ$222),"--")</f>
        <v>0</v>
      </c>
      <c r="BR233" s="2131">
        <f>IF(BR$221,_xll.ciqfunctions.udf.CIQ($G233, "IQ_VOLUME", BR$222),"--")</f>
        <v>0</v>
      </c>
      <c r="BS233" s="2131">
        <f>IF(BS$221,_xll.ciqfunctions.udf.CIQ($G233, "IQ_VOLUME", BS$222),"--")</f>
        <v>0</v>
      </c>
      <c r="BT233" s="2131">
        <f>IF(BT$221,_xll.ciqfunctions.udf.CIQ($G233, "IQ_VOLUME", BT$222),"--")</f>
        <v>0</v>
      </c>
      <c r="BU233" s="2131">
        <f>IF(BU$221,_xll.ciqfunctions.udf.CIQ($G233, "IQ_VOLUME", BU$222),"--")</f>
        <v>0</v>
      </c>
      <c r="BV233" s="2131">
        <f>IF(BV$221,_xll.ciqfunctions.udf.CIQ($G233, "IQ_VOLUME", BV$222),"--")</f>
        <v>0</v>
      </c>
      <c r="BW233" s="2131">
        <f>IF(BW$221,_xll.ciqfunctions.udf.CIQ($G233, "IQ_VOLUME", BW$222),"--")</f>
        <v>0</v>
      </c>
      <c r="BX233" s="2131">
        <f>IF(BX$221,_xll.ciqfunctions.udf.CIQ($G233, "IQ_VOLUME", BX$222),"--")</f>
        <v>0</v>
      </c>
      <c r="BY233" s="2131">
        <f>IF(BY$221,_xll.ciqfunctions.udf.CIQ($G233, "IQ_VOLUME", BY$222),"--")</f>
        <v>0</v>
      </c>
      <c r="BZ233" s="2131">
        <f>IF(BZ$221,_xll.ciqfunctions.udf.CIQ($G233, "IQ_VOLUME", BZ$222),"--")</f>
        <v>0</v>
      </c>
      <c r="CA233" s="2131">
        <f>IF(CA$221,_xll.ciqfunctions.udf.CIQ($G233, "IQ_VOLUME", CA$222),"--")</f>
        <v>0</v>
      </c>
      <c r="CB233" s="2131">
        <f>IF(CB$221,_xll.ciqfunctions.udf.CIQ($G233, "IQ_VOLUME", CB$222),"--")</f>
        <v>0</v>
      </c>
      <c r="CC233" s="2131">
        <f>IF(CC$221,_xll.ciqfunctions.udf.CIQ($G233, "IQ_VOLUME", CC$222),"--")</f>
        <v>0</v>
      </c>
      <c r="CD233" s="2131">
        <f>IF(CD$221,_xll.ciqfunctions.udf.CIQ($G233, "IQ_VOLUME", CD$222),"--")</f>
        <v>0</v>
      </c>
      <c r="CE233" s="2131">
        <f>IF(CE$221,_xll.ciqfunctions.udf.CIQ($G233, "IQ_VOLUME", CE$222),"--")</f>
        <v>0</v>
      </c>
      <c r="CF233" s="2131">
        <f>IF(CF$221,_xll.ciqfunctions.udf.CIQ($G233, "IQ_VOLUME", CF$222),"--")</f>
        <v>0</v>
      </c>
      <c r="CG233" s="2131">
        <f>IF(CG$221,_xll.ciqfunctions.udf.CIQ($G233, "IQ_VOLUME", CG$222),"--")</f>
        <v>0</v>
      </c>
      <c r="CH233" s="2131">
        <f>IF(CH$221,_xll.ciqfunctions.udf.CIQ($G233, "IQ_VOLUME", CH$222),"--")</f>
        <v>0</v>
      </c>
      <c r="CI233" s="2131">
        <f>IF(CI$221,_xll.ciqfunctions.udf.CIQ($G233, "IQ_VOLUME", CI$222),"--")</f>
        <v>0</v>
      </c>
      <c r="CJ233" s="2131">
        <f>IF(CJ$221,_xll.ciqfunctions.udf.CIQ($G233, "IQ_VOLUME", CJ$222),"--")</f>
        <v>0</v>
      </c>
      <c r="CK233" s="2131">
        <f>IF(CK$221,_xll.ciqfunctions.udf.CIQ($G233, "IQ_VOLUME", CK$222),"--")</f>
        <v>0</v>
      </c>
      <c r="CL233" s="2131">
        <f>IF(CL$221,_xll.ciqfunctions.udf.CIQ($G233, "IQ_VOLUME", CL$222),"--")</f>
        <v>0</v>
      </c>
      <c r="CM233" s="2131">
        <f>IF(CM$221,_xll.ciqfunctions.udf.CIQ($G233, "IQ_VOLUME", CM$222),"--")</f>
        <v>0</v>
      </c>
      <c r="CN233" s="2131">
        <f>IF(CN$221,_xll.ciqfunctions.udf.CIQ($G233, "IQ_VOLUME", CN$222),"--")</f>
        <v>0</v>
      </c>
      <c r="CO233" s="2131">
        <f>IF(CO$221,_xll.ciqfunctions.udf.CIQ($G233, "IQ_VOLUME", CO$222),"--")</f>
        <v>0</v>
      </c>
      <c r="CP233" s="2131">
        <f>IF(CP$221,_xll.ciqfunctions.udf.CIQ($G233, "IQ_VOLUME", CP$222),"--")</f>
        <v>0</v>
      </c>
      <c r="CQ233" s="2131">
        <f>IF(CQ$221,_xll.ciqfunctions.udf.CIQ($G233, "IQ_VOLUME", CQ$222),"--")</f>
        <v>0</v>
      </c>
      <c r="CR233" s="2131">
        <f>IF(CR$221,_xll.ciqfunctions.udf.CIQ($G233, "IQ_VOLUME", CR$222),"--")</f>
        <v>0</v>
      </c>
      <c r="CS233" s="2131">
        <f>IF(CS$221,_xll.ciqfunctions.udf.CIQ($G233, "IQ_VOLUME", CS$222),"--")</f>
        <v>0</v>
      </c>
      <c r="CT233" s="2131">
        <f>IF(CT$221,_xll.ciqfunctions.udf.CIQ($G233, "IQ_VOLUME", CT$222),"--")</f>
        <v>0</v>
      </c>
      <c r="CU233" s="2131">
        <f>IF(CU$221,_xll.ciqfunctions.udf.CIQ($G233, "IQ_VOLUME", CU$222),"--")</f>
        <v>0</v>
      </c>
      <c r="CV233" s="2131">
        <f>IF(CV$221,_xll.ciqfunctions.udf.CIQ($G233, "IQ_VOLUME", CV$222),"--")</f>
        <v>0</v>
      </c>
      <c r="CW233" s="2131">
        <f>IF(CW$221,_xll.ciqfunctions.udf.CIQ($G233, "IQ_VOLUME", CW$222),"--")</f>
        <v>0</v>
      </c>
      <c r="CX233" s="2131">
        <f>IF(CX$221,_xll.ciqfunctions.udf.CIQ($G233, "IQ_VOLUME", CX$222),"--")</f>
        <v>0</v>
      </c>
      <c r="CY233" s="2131">
        <f>IF(CY$221,_xll.ciqfunctions.udf.CIQ($G233, "IQ_VOLUME", CY$222),"--")</f>
        <v>0</v>
      </c>
      <c r="CZ233" s="2131">
        <f>IF(CZ$221,_xll.ciqfunctions.udf.CIQ($G233, "IQ_VOLUME", CZ$222),"--")</f>
        <v>0</v>
      </c>
      <c r="DA233" s="2131">
        <f>IF(DA$221,_xll.ciqfunctions.udf.CIQ($G233, "IQ_VOLUME", DA$222),"--")</f>
        <v>0</v>
      </c>
      <c r="DB233" s="2131">
        <f>IF(DB$221,_xll.ciqfunctions.udf.CIQ($G233, "IQ_VOLUME", DB$222),"--")</f>
        <v>0</v>
      </c>
      <c r="DC233" s="2131">
        <f>IF(DC$221,_xll.ciqfunctions.udf.CIQ($G233, "IQ_VOLUME", DC$222),"--")</f>
        <v>0</v>
      </c>
      <c r="DD233" s="2131">
        <f>IF(DD$221,_xll.ciqfunctions.udf.CIQ($G233, "IQ_VOLUME", DD$222),"--")</f>
        <v>0</v>
      </c>
      <c r="DE233" s="2131">
        <f>IF(DE$221,_xll.ciqfunctions.udf.CIQ($G233, "IQ_VOLUME", DE$222),"--")</f>
        <v>0</v>
      </c>
      <c r="DF233" s="2131">
        <f>IF(DF$221,_xll.ciqfunctions.udf.CIQ($G233, "IQ_VOLUME", DF$222),"--")</f>
        <v>0</v>
      </c>
      <c r="DG233" s="2131">
        <f>IF(DG$221,_xll.ciqfunctions.udf.CIQ($G233, "IQ_VOLUME", DG$222),"--")</f>
        <v>0</v>
      </c>
      <c r="DH233" s="2131">
        <f>IF(DH$221,_xll.ciqfunctions.udf.CIQ($G233, "IQ_VOLUME", DH$222),"--")</f>
        <v>0</v>
      </c>
      <c r="DI233" s="2131">
        <f>IF(DI$221,_xll.ciqfunctions.udf.CIQ($G233, "IQ_VOLUME", DI$222),"--")</f>
        <v>0</v>
      </c>
      <c r="DJ233" s="2131">
        <f>IF(DJ$221,_xll.ciqfunctions.udf.CIQ($G233, "IQ_VOLUME", DJ$222),"--")</f>
        <v>0</v>
      </c>
      <c r="DK233" s="2131">
        <f>IF(DK$221,_xll.ciqfunctions.udf.CIQ($G233, "IQ_VOLUME", DK$222),"--")</f>
        <v>0</v>
      </c>
      <c r="DL233" s="2131">
        <f>IF(DL$221,_xll.ciqfunctions.udf.CIQ($G233, "IQ_VOLUME", DL$222),"--")</f>
        <v>0</v>
      </c>
      <c r="DM233" s="2131">
        <f>IF(DM$221,_xll.ciqfunctions.udf.CIQ($G233, "IQ_VOLUME", DM$222),"--")</f>
        <v>0</v>
      </c>
      <c r="DN233" s="2131">
        <f>IF(DN$221,_xll.ciqfunctions.udf.CIQ($G233, "IQ_VOLUME", DN$222),"--")</f>
        <v>0</v>
      </c>
      <c r="DO233" s="2131">
        <f>IF(DO$221,_xll.ciqfunctions.udf.CIQ($G233, "IQ_VOLUME", DO$222),"--")</f>
        <v>0</v>
      </c>
      <c r="DP233" s="2131">
        <f>IF(DP$221,_xll.ciqfunctions.udf.CIQ($G233, "IQ_VOLUME", DP$222),"--")</f>
        <v>0</v>
      </c>
      <c r="DQ233" s="2131">
        <f>IF(DQ$221,_xll.ciqfunctions.udf.CIQ($G233, "IQ_VOLUME", DQ$222),"--")</f>
        <v>0</v>
      </c>
      <c r="DR233" s="2131">
        <f>IF(DR$221,_xll.ciqfunctions.udf.CIQ($G233, "IQ_VOLUME", DR$222),"--")</f>
        <v>0</v>
      </c>
      <c r="DS233" s="2131">
        <f>IF(DS$221,_xll.ciqfunctions.udf.CIQ($G233, "IQ_VOLUME", DS$222),"--")</f>
        <v>0</v>
      </c>
      <c r="DT233" s="2131">
        <f>IF(DT$221,_xll.ciqfunctions.udf.CIQ($G233, "IQ_VOLUME", DT$222),"--")</f>
        <v>0</v>
      </c>
      <c r="DU233" s="2131">
        <f>IF(DU$221,_xll.ciqfunctions.udf.CIQ($G233, "IQ_VOLUME", DU$222),"--")</f>
        <v>0</v>
      </c>
      <c r="DV233" s="2131">
        <f>IF(DV$221,_xll.ciqfunctions.udf.CIQ($G233, "IQ_VOLUME", DV$222),"--")</f>
        <v>0</v>
      </c>
      <c r="DW233" s="2131">
        <f>IF(DW$221,_xll.ciqfunctions.udf.CIQ($G233, "IQ_VOLUME", DW$222),"--")</f>
        <v>0</v>
      </c>
      <c r="DX233" s="2131">
        <f>IF(DX$221,_xll.ciqfunctions.udf.CIQ($G233, "IQ_VOLUME", DX$222),"--")</f>
        <v>0</v>
      </c>
      <c r="DY233" s="2131">
        <f>IF(DY$221,_xll.ciqfunctions.udf.CIQ($G233, "IQ_VOLUME", DY$222),"--")</f>
        <v>0</v>
      </c>
      <c r="DZ233" s="2131">
        <f>IF(DZ$221,_xll.ciqfunctions.udf.CIQ($G233, "IQ_VOLUME", DZ$222),"--")</f>
        <v>0</v>
      </c>
      <c r="EA233" s="2131">
        <f>IF(EA$221,_xll.ciqfunctions.udf.CIQ($G233, "IQ_VOLUME", EA$222),"--")</f>
        <v>0</v>
      </c>
      <c r="EB233" s="2131">
        <f>IF(EB$221,_xll.ciqfunctions.udf.CIQ($G233, "IQ_VOLUME", EB$222),"--")</f>
        <v>0</v>
      </c>
      <c r="EC233" s="2131">
        <f>IF(EC$221,_xll.ciqfunctions.udf.CIQ($G233, "IQ_VOLUME", EC$222),"--")</f>
        <v>0</v>
      </c>
      <c r="ED233" s="2131">
        <f>IF(ED$221,_xll.ciqfunctions.udf.CIQ($G233, "IQ_VOLUME", ED$222),"--")</f>
        <v>0</v>
      </c>
      <c r="EE233" s="2131">
        <f>IF(EE$221,_xll.ciqfunctions.udf.CIQ($G233, "IQ_VOLUME", EE$222),"--")</f>
        <v>0</v>
      </c>
      <c r="EF233" s="2131">
        <f>IF(EF$221,_xll.ciqfunctions.udf.CIQ($G233, "IQ_VOLUME", EF$222),"--")</f>
        <v>0</v>
      </c>
      <c r="EG233" s="2131">
        <f>IF(EG$221,_xll.ciqfunctions.udf.CIQ($G233, "IQ_VOLUME", EG$222),"--")</f>
        <v>0</v>
      </c>
      <c r="EH233" s="2131">
        <f>IF(EH$221,_xll.ciqfunctions.udf.CIQ($G233, "IQ_VOLUME", EH$222),"--")</f>
        <v>0</v>
      </c>
      <c r="EI233" s="2131">
        <f>IF(EI$221,_xll.ciqfunctions.udf.CIQ($G233, "IQ_VOLUME", EI$222),"--")</f>
        <v>0</v>
      </c>
      <c r="EJ233" s="2131">
        <f>IF(EJ$221,_xll.ciqfunctions.udf.CIQ($G233, "IQ_VOLUME", EJ$222),"--")</f>
        <v>0</v>
      </c>
      <c r="EK233" s="2131">
        <f>IF(EK$221,_xll.ciqfunctions.udf.CIQ($G233, "IQ_VOLUME", EK$222),"--")</f>
        <v>0</v>
      </c>
      <c r="EL233" s="2131">
        <f>IF(EL$221,_xll.ciqfunctions.udf.CIQ($G233, "IQ_VOLUME", EL$222),"--")</f>
        <v>0</v>
      </c>
      <c r="EM233" s="2131">
        <f>IF(EM$221,_xll.ciqfunctions.udf.CIQ($G233, "IQ_VOLUME", EM$222),"--")</f>
        <v>0</v>
      </c>
      <c r="EN233" s="2131">
        <f>IF(EN$221,_xll.ciqfunctions.udf.CIQ($G233, "IQ_VOLUME", EN$222),"--")</f>
        <v>0</v>
      </c>
      <c r="EO233" s="2131">
        <f>IF(EO$221,_xll.ciqfunctions.udf.CIQ($G233, "IQ_VOLUME", EO$222),"--")</f>
        <v>0</v>
      </c>
      <c r="EP233" s="2131">
        <f>IF(EP$221,_xll.ciqfunctions.udf.CIQ($G233, "IQ_VOLUME", EP$222),"--")</f>
        <v>0</v>
      </c>
      <c r="EQ233" s="2131">
        <f>IF(EQ$221,_xll.ciqfunctions.udf.CIQ($G233, "IQ_VOLUME", EQ$222),"--")</f>
        <v>0</v>
      </c>
      <c r="ER233" s="2131">
        <f>IF(ER$221,_xll.ciqfunctions.udf.CIQ($G233, "IQ_VOLUME", ER$222),"--")</f>
        <v>0</v>
      </c>
      <c r="ES233" s="2131">
        <f>IF(ES$221,_xll.ciqfunctions.udf.CIQ($G233, "IQ_VOLUME", ES$222),"--")</f>
        <v>0</v>
      </c>
      <c r="ET233" s="2131">
        <f>IF(ET$221,_xll.ciqfunctions.udf.CIQ($G233, "IQ_VOLUME", ET$222),"--")</f>
        <v>0</v>
      </c>
      <c r="EU233" s="2131">
        <f>IF(EU$221,_xll.ciqfunctions.udf.CIQ($G233, "IQ_VOLUME", EU$222),"--")</f>
        <v>0</v>
      </c>
      <c r="EV233" s="2131">
        <f>IF(EV$221,_xll.ciqfunctions.udf.CIQ($G233, "IQ_VOLUME", EV$222),"--")</f>
        <v>0</v>
      </c>
      <c r="EW233" s="2131">
        <f>IF(EW$221,_xll.ciqfunctions.udf.CIQ($G233, "IQ_VOLUME", EW$222),"--")</f>
        <v>0</v>
      </c>
      <c r="EX233" s="2131">
        <f>IF(EX$221,_xll.ciqfunctions.udf.CIQ($G233, "IQ_VOLUME", EX$222),"--")</f>
        <v>0</v>
      </c>
      <c r="EY233" s="2131">
        <f>IF(EY$221,_xll.ciqfunctions.udf.CIQ($G233, "IQ_VOLUME", EY$222),"--")</f>
        <v>0</v>
      </c>
      <c r="EZ233" s="2131">
        <f>IF(EZ$221,_xll.ciqfunctions.udf.CIQ($G233, "IQ_VOLUME", EZ$222),"--")</f>
        <v>0</v>
      </c>
      <c r="FA233" s="2131">
        <f>IF(FA$221,_xll.ciqfunctions.udf.CIQ($G233, "IQ_VOLUME", FA$222),"--")</f>
        <v>0</v>
      </c>
      <c r="FB233" s="2131">
        <f>IF(FB$221,_xll.ciqfunctions.udf.CIQ($G233, "IQ_VOLUME", FB$222),"--")</f>
        <v>0</v>
      </c>
      <c r="FC233" s="2131">
        <f>IF(FC$221,_xll.ciqfunctions.udf.CIQ($G233, "IQ_VOLUME", FC$222),"--")</f>
        <v>0</v>
      </c>
      <c r="FD233" s="2131">
        <f>IF(FD$221,_xll.ciqfunctions.udf.CIQ($G233, "IQ_VOLUME", FD$222),"--")</f>
        <v>0</v>
      </c>
      <c r="FE233" s="2131">
        <f>IF(FE$221,_xll.ciqfunctions.udf.CIQ($G233, "IQ_VOLUME", FE$222),"--")</f>
        <v>0</v>
      </c>
      <c r="FF233" s="2131">
        <f>IF(FF$221,_xll.ciqfunctions.udf.CIQ($G233, "IQ_VOLUME", FF$222),"--")</f>
        <v>0</v>
      </c>
      <c r="FG233" s="2131">
        <f>IF(FG$221,_xll.ciqfunctions.udf.CIQ($G233, "IQ_VOLUME", FG$222),"--")</f>
        <v>0</v>
      </c>
      <c r="FH233" s="2131">
        <f>IF(FH$221,_xll.ciqfunctions.udf.CIQ($G233, "IQ_VOLUME", FH$222),"--")</f>
        <v>0</v>
      </c>
      <c r="FI233" s="2131">
        <f>IF(FI$221,_xll.ciqfunctions.udf.CIQ($G233, "IQ_VOLUME", FI$222),"--")</f>
        <v>0</v>
      </c>
      <c r="FJ233" s="2131">
        <f>IF(FJ$221,_xll.ciqfunctions.udf.CIQ($G233, "IQ_VOLUME", FJ$222),"--")</f>
        <v>0</v>
      </c>
      <c r="FK233" s="2131">
        <f>IF(FK$221,_xll.ciqfunctions.udf.CIQ($G233, "IQ_VOLUME", FK$222),"--")</f>
        <v>0</v>
      </c>
      <c r="FL233" s="2131">
        <f>IF(FL$221,_xll.ciqfunctions.udf.CIQ($G233, "IQ_VOLUME", FL$222),"--")</f>
        <v>0</v>
      </c>
      <c r="FM233" s="2131">
        <f>IF(FM$221,_xll.ciqfunctions.udf.CIQ($G233, "IQ_VOLUME", FM$222),"--")</f>
        <v>0</v>
      </c>
      <c r="FN233" s="2131">
        <f>IF(FN$221,_xll.ciqfunctions.udf.CIQ($G233, "IQ_VOLUME", FN$222),"--")</f>
        <v>0</v>
      </c>
      <c r="FO233" s="2131">
        <f>IF(FO$221,_xll.ciqfunctions.udf.CIQ($G233, "IQ_VOLUME", FO$222),"--")</f>
        <v>0</v>
      </c>
      <c r="FP233" s="2131">
        <f>IF(FP$221,_xll.ciqfunctions.udf.CIQ($G233, "IQ_VOLUME", FP$222),"--")</f>
        <v>0</v>
      </c>
      <c r="FQ233" s="2131">
        <f>IF(FQ$221,_xll.ciqfunctions.udf.CIQ($G233, "IQ_VOLUME", FQ$222),"--")</f>
        <v>0</v>
      </c>
      <c r="FR233" s="2131">
        <f>IF(FR$221,_xll.ciqfunctions.udf.CIQ($G233, "IQ_VOLUME", FR$222),"--")</f>
        <v>0</v>
      </c>
      <c r="FS233" s="2131">
        <f>IF(FS$221,_xll.ciqfunctions.udf.CIQ($G233, "IQ_VOLUME", FS$222),"--")</f>
        <v>0</v>
      </c>
      <c r="FT233" s="2131">
        <f>IF(FT$221,_xll.ciqfunctions.udf.CIQ($G233, "IQ_VOLUME", FT$222),"--")</f>
        <v>0</v>
      </c>
      <c r="FU233" s="2131">
        <f>IF(FU$221,_xll.ciqfunctions.udf.CIQ($G233, "IQ_VOLUME", FU$222),"--")</f>
        <v>0</v>
      </c>
      <c r="FV233" s="2131">
        <f>IF(FV$221,_xll.ciqfunctions.udf.CIQ($G233, "IQ_VOLUME", FV$222),"--")</f>
        <v>0</v>
      </c>
      <c r="FW233" s="2131">
        <f>IF(FW$221,_xll.ciqfunctions.udf.CIQ($G233, "IQ_VOLUME", FW$222),"--")</f>
        <v>0</v>
      </c>
      <c r="FX233" s="2131">
        <f>IF(FX$221,_xll.ciqfunctions.udf.CIQ($G233, "IQ_VOLUME", FX$222),"--")</f>
        <v>0</v>
      </c>
      <c r="FY233" s="2131">
        <f>IF(FY$221,_xll.ciqfunctions.udf.CIQ($G233, "IQ_VOLUME", FY$222),"--")</f>
        <v>0</v>
      </c>
      <c r="FZ233" s="2131">
        <f>IF(FZ$221,_xll.ciqfunctions.udf.CIQ($G233, "IQ_VOLUME", FZ$222),"--")</f>
        <v>0</v>
      </c>
      <c r="GA233" s="2131">
        <f>IF(GA$221,_xll.ciqfunctions.udf.CIQ($G233, "IQ_VOLUME", GA$222),"--")</f>
        <v>0</v>
      </c>
      <c r="GB233" s="2131">
        <f>IF(GB$221,_xll.ciqfunctions.udf.CIQ($G233, "IQ_VOLUME", GB$222),"--")</f>
        <v>0</v>
      </c>
      <c r="GC233" s="2131">
        <f>IF(GC$221,_xll.ciqfunctions.udf.CIQ($G233, "IQ_VOLUME", GC$222),"--")</f>
        <v>0</v>
      </c>
      <c r="GD233" s="2131">
        <f>IF(GD$221,_xll.ciqfunctions.udf.CIQ($G233, "IQ_VOLUME", GD$222),"--")</f>
        <v>0</v>
      </c>
      <c r="GE233" s="2131">
        <f>IF(GE$221,_xll.ciqfunctions.udf.CIQ($G233, "IQ_VOLUME", GE$222),"--")</f>
        <v>0</v>
      </c>
      <c r="GF233" s="2131">
        <f>IF(GF$221,_xll.ciqfunctions.udf.CIQ($G233, "IQ_VOLUME", GF$222),"--")</f>
        <v>0</v>
      </c>
      <c r="GG233" s="2131">
        <f>IF(GG$221,_xll.ciqfunctions.udf.CIQ($G233, "IQ_VOLUME", GG$222),"--")</f>
        <v>0</v>
      </c>
      <c r="GH233" s="2131">
        <f>IF(GH$221,_xll.ciqfunctions.udf.CIQ($G233, "IQ_VOLUME", GH$222),"--")</f>
        <v>0</v>
      </c>
      <c r="GI233" s="2131">
        <f>IF(GI$221,_xll.ciqfunctions.udf.CIQ($G233, "IQ_VOLUME", GI$222),"--")</f>
        <v>0</v>
      </c>
      <c r="GJ233" s="2131">
        <f>IF(GJ$221,_xll.ciqfunctions.udf.CIQ($G233, "IQ_VOLUME", GJ$222),"--")</f>
        <v>0</v>
      </c>
      <c r="GK233" s="2131">
        <f>IF(GK$221,_xll.ciqfunctions.udf.CIQ($G233, "IQ_VOLUME", GK$222),"--")</f>
        <v>0</v>
      </c>
      <c r="GL233" s="2131">
        <f>IF(GL$221,_xll.ciqfunctions.udf.CIQ($G233, "IQ_VOLUME", GL$222),"--")</f>
        <v>0</v>
      </c>
      <c r="GM233" s="2131">
        <f>IF(GM$221,_xll.ciqfunctions.udf.CIQ($G233, "IQ_VOLUME", GM$222),"--")</f>
        <v>0</v>
      </c>
      <c r="GN233" s="2131">
        <f>IF(GN$221,_xll.ciqfunctions.udf.CIQ($G233, "IQ_VOLUME", GN$222),"--")</f>
        <v>0</v>
      </c>
      <c r="GO233" s="2131">
        <f>IF(GO$221,_xll.ciqfunctions.udf.CIQ($G233, "IQ_VOLUME", GO$222),"--")</f>
        <v>0</v>
      </c>
      <c r="GP233" s="2131">
        <f>IF(GP$221,_xll.ciqfunctions.udf.CIQ($G233, "IQ_VOLUME", GP$222),"--")</f>
        <v>0</v>
      </c>
      <c r="GQ233" s="2131">
        <f>IF(GQ$221,_xll.ciqfunctions.udf.CIQ($G233, "IQ_VOLUME", GQ$222),"--")</f>
        <v>0</v>
      </c>
      <c r="GR233" s="2131">
        <f>IF(GR$221,_xll.ciqfunctions.udf.CIQ($G233, "IQ_VOLUME", GR$222),"--")</f>
        <v>0</v>
      </c>
      <c r="GS233" s="2131">
        <f>IF(GS$221,_xll.ciqfunctions.udf.CIQ($G233, "IQ_VOLUME", GS$222),"--")</f>
        <v>0</v>
      </c>
      <c r="GT233" s="2131">
        <f>IF(GT$221,_xll.ciqfunctions.udf.CIQ($G233, "IQ_VOLUME", GT$222),"--")</f>
        <v>0</v>
      </c>
      <c r="GU233" s="2131">
        <f>IF(GU$221,_xll.ciqfunctions.udf.CIQ($G233, "IQ_VOLUME", GU$222),"--")</f>
        <v>0</v>
      </c>
      <c r="GV233" s="2131">
        <f>IF(GV$221,_xll.ciqfunctions.udf.CIQ($G233, "IQ_VOLUME", GV$222),"--")</f>
        <v>0</v>
      </c>
      <c r="GW233" s="2131">
        <f>IF(GW$221,_xll.ciqfunctions.udf.CIQ($G233, "IQ_VOLUME", GW$222),"--")</f>
        <v>0</v>
      </c>
      <c r="GX233" s="2131">
        <f>IF(GX$221,_xll.ciqfunctions.udf.CIQ($G233, "IQ_VOLUME", GX$222),"--")</f>
        <v>0</v>
      </c>
      <c r="GY233" s="2131">
        <f>IF(GY$221,_xll.ciqfunctions.udf.CIQ($G233, "IQ_VOLUME", GY$222),"--")</f>
        <v>0</v>
      </c>
      <c r="GZ233" s="2131">
        <f>IF(GZ$221,_xll.ciqfunctions.udf.CIQ($G233, "IQ_VOLUME", GZ$222),"--")</f>
        <v>0</v>
      </c>
      <c r="HA233" s="2131">
        <f>IF(HA$221,_xll.ciqfunctions.udf.CIQ($G233, "IQ_VOLUME", HA$222),"--")</f>
        <v>0</v>
      </c>
      <c r="HB233" s="2131">
        <f>IF(HB$221,_xll.ciqfunctions.udf.CIQ($G233, "IQ_VOLUME", HB$222),"--")</f>
        <v>0</v>
      </c>
      <c r="HC233" s="2131">
        <f>IF(HC$221,_xll.ciqfunctions.udf.CIQ($G233, "IQ_VOLUME", HC$222),"--")</f>
        <v>0</v>
      </c>
      <c r="HD233" s="2131">
        <f>IF(HD$221,_xll.ciqfunctions.udf.CIQ($G233, "IQ_VOLUME", HD$222),"--")</f>
        <v>0</v>
      </c>
      <c r="HE233" s="2131">
        <f>IF(HE$221,_xll.ciqfunctions.udf.CIQ($G233, "IQ_VOLUME", HE$222),"--")</f>
        <v>0</v>
      </c>
      <c r="HF233" s="2131">
        <f>IF(HF$221,_xll.ciqfunctions.udf.CIQ($G233, "IQ_VOLUME", HF$222),"--")</f>
        <v>0</v>
      </c>
      <c r="HG233" s="2131">
        <f>IF(HG$221,_xll.ciqfunctions.udf.CIQ($G233, "IQ_VOLUME", HG$222),"--")</f>
        <v>0</v>
      </c>
      <c r="HH233" s="2131">
        <f>IF(HH$221,_xll.ciqfunctions.udf.CIQ($G233, "IQ_VOLUME", HH$222),"--")</f>
        <v>0</v>
      </c>
      <c r="HI233" s="2131">
        <f>IF(HI$221,_xll.ciqfunctions.udf.CIQ($G233, "IQ_VOLUME", HI$222),"--")</f>
        <v>0</v>
      </c>
      <c r="HJ233" s="2131">
        <f>IF(HJ$221,_xll.ciqfunctions.udf.CIQ($G233, "IQ_VOLUME", HJ$222),"--")</f>
        <v>0</v>
      </c>
      <c r="HK233" s="2131">
        <f>IF(HK$221,_xll.ciqfunctions.udf.CIQ($G233, "IQ_VOLUME", HK$222),"--")</f>
        <v>0</v>
      </c>
      <c r="HL233" s="2131">
        <f>IF(HL$221,_xll.ciqfunctions.udf.CIQ($G233, "IQ_VOLUME", HL$222),"--")</f>
        <v>0</v>
      </c>
      <c r="HM233" s="2131">
        <f>IF(HM$221,_xll.ciqfunctions.udf.CIQ($G233, "IQ_VOLUME", HM$222),"--")</f>
        <v>0</v>
      </c>
      <c r="HN233" s="2131">
        <f>IF(HN$221,_xll.ciqfunctions.udf.CIQ($G233, "IQ_VOLUME", HN$222),"--")</f>
        <v>0</v>
      </c>
      <c r="HO233" s="2131">
        <f>IF(HO$221,_xll.ciqfunctions.udf.CIQ($G233, "IQ_VOLUME", HO$222),"--")</f>
        <v>0</v>
      </c>
      <c r="HP233" s="2131">
        <f>IF(HP$221,_xll.ciqfunctions.udf.CIQ($G233, "IQ_VOLUME", HP$222),"--")</f>
        <v>0</v>
      </c>
      <c r="HQ233" s="2131">
        <f>IF(HQ$221,_xll.ciqfunctions.udf.CIQ($G233, "IQ_VOLUME", HQ$222),"--")</f>
        <v>0</v>
      </c>
      <c r="HR233" s="2131">
        <f>IF(HR$221,_xll.ciqfunctions.udf.CIQ($G233, "IQ_VOLUME", HR$222),"--")</f>
        <v>0</v>
      </c>
      <c r="HS233" s="2131">
        <f>IF(HS$221,_xll.ciqfunctions.udf.CIQ($G233, "IQ_VOLUME", HS$222),"--")</f>
        <v>0</v>
      </c>
      <c r="HT233" s="2131">
        <f>IF(HT$221,_xll.ciqfunctions.udf.CIQ($G233, "IQ_VOLUME", HT$222),"--")</f>
        <v>0</v>
      </c>
      <c r="HU233" s="2131">
        <f>IF(HU$221,_xll.ciqfunctions.udf.CIQ($G233, "IQ_VOLUME", HU$222),"--")</f>
        <v>0</v>
      </c>
      <c r="HV233" s="2131">
        <f>IF(HV$221,_xll.ciqfunctions.udf.CIQ($G233, "IQ_VOLUME", HV$222),"--")</f>
        <v>0</v>
      </c>
      <c r="HW233" s="2131">
        <f>IF(HW$221,_xll.ciqfunctions.udf.CIQ($G233, "IQ_VOLUME", HW$222),"--")</f>
        <v>0</v>
      </c>
      <c r="HX233" s="2131">
        <f>IF(HX$221,_xll.ciqfunctions.udf.CIQ($G233, "IQ_VOLUME", HX$222),"--")</f>
        <v>0</v>
      </c>
      <c r="HY233" s="2131">
        <f>IF(HY$221,_xll.ciqfunctions.udf.CIQ($G233, "IQ_VOLUME", HY$222),"--")</f>
        <v>0</v>
      </c>
      <c r="HZ233" s="2131">
        <f>IF(HZ$221,_xll.ciqfunctions.udf.CIQ($G233, "IQ_VOLUME", HZ$222),"--")</f>
        <v>0</v>
      </c>
      <c r="IA233" s="2131">
        <f>IF(IA$221,_xll.ciqfunctions.udf.CIQ($G233, "IQ_VOLUME", IA$222),"--")</f>
        <v>0</v>
      </c>
      <c r="IB233" s="2131">
        <f>IF(IB$221,_xll.ciqfunctions.udf.CIQ($G233, "IQ_VOLUME", IB$222),"--")</f>
        <v>0</v>
      </c>
      <c r="IC233" s="2131">
        <f>IF(IC$221,_xll.ciqfunctions.udf.CIQ($G233, "IQ_VOLUME", IC$222),"--")</f>
        <v>0</v>
      </c>
      <c r="ID233" s="2131">
        <f>IF(ID$221,_xll.ciqfunctions.udf.CIQ($G233, "IQ_VOLUME", ID$222),"--")</f>
        <v>0</v>
      </c>
      <c r="IE233" s="2131">
        <f>IF(IE$221,_xll.ciqfunctions.udf.CIQ($G233, "IQ_VOLUME", IE$222),"--")</f>
        <v>0</v>
      </c>
      <c r="IF233" s="2131">
        <f>IF(IF$221,_xll.ciqfunctions.udf.CIQ($G233, "IQ_VOLUME", IF$222),"--")</f>
        <v>0</v>
      </c>
      <c r="IG233" s="2131">
        <f>IF(IG$221,_xll.ciqfunctions.udf.CIQ($G233, "IQ_VOLUME", IG$222),"--")</f>
        <v>0</v>
      </c>
      <c r="IH233" s="2131">
        <f>IF(IH$221,_xll.ciqfunctions.udf.CIQ($G233, "IQ_VOLUME", IH$222),"--")</f>
        <v>0</v>
      </c>
      <c r="II233" s="2131">
        <f>IF(II$221,_xll.ciqfunctions.udf.CIQ($G233, "IQ_VOLUME", II$222),"--")</f>
        <v>0</v>
      </c>
      <c r="IJ233" s="2131">
        <f>IF(IJ$221,_xll.ciqfunctions.udf.CIQ($G233, "IQ_VOLUME", IJ$222),"--")</f>
        <v>0</v>
      </c>
      <c r="IK233" s="2131">
        <f>IF(IK$221,_xll.ciqfunctions.udf.CIQ($G233, "IQ_VOLUME", IK$222),"--")</f>
        <v>0</v>
      </c>
      <c r="IL233" s="2131">
        <f>IF(IL$221,_xll.ciqfunctions.udf.CIQ($G233, "IQ_VOLUME", IL$222),"--")</f>
        <v>0</v>
      </c>
      <c r="IM233" s="2131">
        <f>IF(IM$221,_xll.ciqfunctions.udf.CIQ($G233, "IQ_VOLUME", IM$222),"--")</f>
        <v>0</v>
      </c>
      <c r="IN233" s="2131">
        <f>IF(IN$221,_xll.ciqfunctions.udf.CIQ($G233, "IQ_VOLUME", IN$222),"--")</f>
        <v>0</v>
      </c>
      <c r="IO233" s="2131">
        <f>IF(IO$221,_xll.ciqfunctions.udf.CIQ($G233, "IQ_VOLUME", IO$222),"--")</f>
        <v>0</v>
      </c>
      <c r="IP233" s="2131">
        <f>IF(IP$221,_xll.ciqfunctions.udf.CIQ($G233, "IQ_VOLUME", IP$222),"--")</f>
        <v>0</v>
      </c>
      <c r="IQ233" s="2131">
        <f>IF(IQ$221,_xll.ciqfunctions.udf.CIQ($G233, "IQ_VOLUME", IQ$222),"--")</f>
        <v>0</v>
      </c>
      <c r="IR233" s="2131">
        <f>IF(IR$221,_xll.ciqfunctions.udf.CIQ($G233, "IQ_VOLUME", IR$222),"--")</f>
        <v>0</v>
      </c>
      <c r="IS233" s="2131">
        <f>IF(IS$221,_xll.ciqfunctions.udf.CIQ($G233, "IQ_VOLUME", IS$222),"--")</f>
        <v>0</v>
      </c>
      <c r="IT233" s="2131">
        <f>IF(IT$221,_xll.ciqfunctions.udf.CIQ($G233, "IQ_VOLUME", IT$222),"--")</f>
        <v>0</v>
      </c>
      <c r="IU233" s="2131">
        <f>IF(IU$221,_xll.ciqfunctions.udf.CIQ($G233, "IQ_VOLUME", IU$222),"--")</f>
        <v>0</v>
      </c>
      <c r="IV233" s="2131">
        <f>IF(IV$221,_xll.ciqfunctions.udf.CIQ($G233, "IQ_VOLUME", IV$222),"--")</f>
        <v>0</v>
      </c>
      <c r="IW233" s="2131">
        <f>IF(IW$221,_xll.ciqfunctions.udf.CIQ($G233, "IQ_VOLUME", IW$222),"--")</f>
        <v>0</v>
      </c>
      <c r="IX233" s="2131">
        <f>IF(IX$221,_xll.ciqfunctions.udf.CIQ($G233, "IQ_VOLUME", IX$222),"--")</f>
        <v>0</v>
      </c>
      <c r="IY233" s="2131">
        <f>IF(IY$221,_xll.ciqfunctions.udf.CIQ($G233, "IQ_VOLUME", IY$222),"--")</f>
        <v>0</v>
      </c>
      <c r="IZ233" s="2131">
        <f>IF(IZ$221,_xll.ciqfunctions.udf.CIQ($G233, "IQ_VOLUME", IZ$222),"--")</f>
        <v>0</v>
      </c>
      <c r="JA233" s="2131">
        <f>IF(JA$221,_xll.ciqfunctions.udf.CIQ($G233, "IQ_VOLUME", JA$222),"--")</f>
        <v>0</v>
      </c>
      <c r="JB233" s="2131">
        <f>IF(JB$221,_xll.ciqfunctions.udf.CIQ($G233, "IQ_VOLUME", JB$222),"--")</f>
        <v>0</v>
      </c>
      <c r="JC233" s="2131">
        <f>IF(JC$221,_xll.ciqfunctions.udf.CIQ($G233, "IQ_VOLUME", JC$222),"--")</f>
        <v>0</v>
      </c>
      <c r="JD233" s="2131">
        <f>IF(JD$221,_xll.ciqfunctions.udf.CIQ($G233, "IQ_VOLUME", JD$222),"--")</f>
        <v>0</v>
      </c>
      <c r="JE233" s="2131">
        <f>IF(JE$221,_xll.ciqfunctions.udf.CIQ($G233, "IQ_VOLUME", JE$222),"--")</f>
        <v>0</v>
      </c>
      <c r="JF233" s="2131">
        <f>IF(JF$221,_xll.ciqfunctions.udf.CIQ($G233, "IQ_VOLUME", JF$222),"--")</f>
        <v>0</v>
      </c>
      <c r="JG233" s="2131">
        <f>IF(JG$221,_xll.ciqfunctions.udf.CIQ($G233, "IQ_VOLUME", JG$222),"--")</f>
        <v>0</v>
      </c>
      <c r="JH233" s="2131">
        <f>IF(JH$221,_xll.ciqfunctions.udf.CIQ($G233, "IQ_VOLUME", JH$222),"--")</f>
        <v>0</v>
      </c>
      <c r="JI233" s="2131">
        <f>IF(JI$221,_xll.ciqfunctions.udf.CIQ($G233, "IQ_VOLUME", JI$222),"--")</f>
        <v>0</v>
      </c>
      <c r="JJ233" s="2131">
        <f>IF(JJ$221,_xll.ciqfunctions.udf.CIQ($G233, "IQ_VOLUME", JJ$222),"--")</f>
        <v>0</v>
      </c>
      <c r="JK233" s="2131">
        <f>IF(JK$221,_xll.ciqfunctions.udf.CIQ($G233, "IQ_VOLUME", JK$222),"--")</f>
        <v>0</v>
      </c>
      <c r="JL233" s="2131">
        <f>IF(JL$221,_xll.ciqfunctions.udf.CIQ($G233, "IQ_VOLUME", JL$222),"--")</f>
        <v>0</v>
      </c>
      <c r="JM233" s="2131">
        <f>IF(JM$221,_xll.ciqfunctions.udf.CIQ($G233, "IQ_VOLUME", JM$222),"--")</f>
        <v>0</v>
      </c>
      <c r="JN233" s="2131">
        <f>IF(JN$221,_xll.ciqfunctions.udf.CIQ($G233, "IQ_VOLUME", JN$222),"--")</f>
        <v>0</v>
      </c>
      <c r="JO233" s="2131">
        <f>IF(JO$221,_xll.ciqfunctions.udf.CIQ($G233, "IQ_VOLUME", JO$222),"--")</f>
        <v>0</v>
      </c>
      <c r="JP233" s="2131">
        <f>IF(JP$221,_xll.ciqfunctions.udf.CIQ($G233, "IQ_VOLUME", JP$222),"--")</f>
        <v>0</v>
      </c>
      <c r="JQ233" s="2131">
        <f>IF(JQ$221,_xll.ciqfunctions.udf.CIQ($G233, "IQ_VOLUME", JQ$222),"--")</f>
        <v>0</v>
      </c>
      <c r="JR233" s="2131">
        <f>IF(JR$221,_xll.ciqfunctions.udf.CIQ($G233, "IQ_VOLUME", JR$222),"--")</f>
        <v>0</v>
      </c>
      <c r="JS233" s="2131">
        <f>IF(JS$221,_xll.ciqfunctions.udf.CIQ($G233, "IQ_VOLUME", JS$222),"--")</f>
        <v>0</v>
      </c>
      <c r="JT233" s="2131">
        <f>IF(JT$221,_xll.ciqfunctions.udf.CIQ($G233, "IQ_VOLUME", JT$222),"--")</f>
        <v>0</v>
      </c>
      <c r="JU233" s="2131">
        <f>IF(JU$221,_xll.ciqfunctions.udf.CIQ($G233, "IQ_VOLUME", JU$222),"--")</f>
        <v>0</v>
      </c>
      <c r="JV233" s="2131">
        <f>IF(JV$221,_xll.ciqfunctions.udf.CIQ($G233, "IQ_VOLUME", JV$222),"--")</f>
        <v>0</v>
      </c>
      <c r="JW233" s="2131" t="str">
        <f>IF(JW$221,_xll.ciqfunctions.udf.CIQ($G233, "IQ_VOLUME", JW$222),"--")</f>
        <v>--</v>
      </c>
      <c r="JX233" s="2131" t="str">
        <f>IF(JX$221,_xll.ciqfunctions.udf.CIQ($G233, "IQ_VOLUME", JX$222),"--")</f>
        <v>--</v>
      </c>
      <c r="JY233" s="2131" t="str">
        <f>IF(JY$221,_xll.ciqfunctions.udf.CIQ($G233, "IQ_VOLUME", JY$222),"--")</f>
        <v>--</v>
      </c>
      <c r="JZ233" s="2131" t="str">
        <f>IF(JZ$221,_xll.ciqfunctions.udf.CIQ($G233, "IQ_VOLUME", JZ$222),"--")</f>
        <v>--</v>
      </c>
      <c r="KA233" s="2131" t="str">
        <f>IF(KA$221,_xll.ciqfunctions.udf.CIQ($G233, "IQ_VOLUME", KA$222),"--")</f>
        <v>--</v>
      </c>
      <c r="KB233" s="2131" t="str">
        <f>IF(KB$221,_xll.ciqfunctions.udf.CIQ($G233, "IQ_VOLUME", KB$222),"--")</f>
        <v>--</v>
      </c>
    </row>
    <row r="234" spans="1:288" s="89" customFormat="1" ht="13.9">
      <c r="A234" s="269" t="str">
        <f t="shared" si="47"/>
        <v>n</v>
      </c>
      <c r="B234" s="2060"/>
      <c r="D234" s="801"/>
      <c r="E234" s="1505">
        <v>11</v>
      </c>
      <c r="F234" s="21" t="str">
        <f>F$139</f>
        <v>--</v>
      </c>
      <c r="G234" s="2112">
        <f>G$139</f>
        <v>0</v>
      </c>
      <c r="H234" s="2112" t="str">
        <f>H$139</f>
        <v>--</v>
      </c>
      <c r="I234" s="22" t="s">
        <v>781</v>
      </c>
      <c r="J234" s="53"/>
      <c r="K234" s="2301" t="str">
        <f>IF(OR(K202=0,$G234=0),"--",IFERROR(_xll.ciqfunctions.udf.CIQ($G234,$I234,K110,Valuation_Date_GC,ReportType,DataMode,$H234,FXMode)*Scale,"--"))</f>
        <v>--</v>
      </c>
      <c r="L234" s="2301" t="str">
        <f>IF(OR(L202=0,$G234=0),"--",IFERROR(_xll.ciqfunctions.udf.CIQ($G234,$I234,L110,Valuation_Date_GC,ReportType,DataMode,$H234,FXMode)*Scale,"--"))</f>
        <v>--</v>
      </c>
      <c r="M234" s="2301" t="str">
        <f>IF(OR(M202=0,$G234=0),"--",IFERROR(_xll.ciqfunctions.udf.CIQ($G234,$I234,M110,Valuation_Date_GC,ReportType,DataMode,$H234,FXMode)*Scale,"--"))</f>
        <v>--</v>
      </c>
      <c r="N234" s="2301" t="str">
        <f>IF(OR(N202=0,$G234=0),"--",IFERROR(_xll.ciqfunctions.udf.CIQ($G234,$I234,N110,Valuation_Date_GC,ReportType,DataMode,$H234,FXMode)*Scale,"--"))</f>
        <v>--</v>
      </c>
      <c r="O234" s="1471" t="str">
        <f>IF(OR(O202=0,$G234=0),"--",IFERROR(_xll.ciqfunctions.udf.CIQ($G234,$I234,O110,Valuation_Date_GC,ReportType,DataMode,$H234,FXMode)*Scale,"--"))</f>
        <v>--</v>
      </c>
      <c r="P234" s="2301" t="str">
        <f>IF(OR(P202=0,$G234=0),"--",IFERROR(_xll.ciqfunctions.udf.CIQ($G234,$I234,P110,Valuation_Date_GC,ReportType,DataMode,$H234,FXMode)*Scale,"--"))</f>
        <v>--</v>
      </c>
      <c r="R234" s="255"/>
      <c r="T234" s="1779" t="s">
        <v>782</v>
      </c>
      <c r="U234" s="2131">
        <f>IF(U$221,_xll.ciqfunctions.udf.CIQ($G234, "IQ_VOLUME", U$222),"--")</f>
        <v>0</v>
      </c>
      <c r="V234" s="2131">
        <f>IF(V$221,_xll.ciqfunctions.udf.CIQ($G234, "IQ_VOLUME", V$222),"--")</f>
        <v>0</v>
      </c>
      <c r="W234" s="2131">
        <f>IF(W$221,_xll.ciqfunctions.udf.CIQ($G234, "IQ_VOLUME", W$222),"--")</f>
        <v>0</v>
      </c>
      <c r="X234" s="2131">
        <f>IF(X$221,_xll.ciqfunctions.udf.CIQ($G234, "IQ_VOLUME", X$222),"--")</f>
        <v>0</v>
      </c>
      <c r="Y234" s="2131">
        <f>IF(Y$221,_xll.ciqfunctions.udf.CIQ($G234, "IQ_VOLUME", Y$222),"--")</f>
        <v>0</v>
      </c>
      <c r="Z234" s="2131">
        <f>IF(Z$221,_xll.ciqfunctions.udf.CIQ($G234, "IQ_VOLUME", Z$222),"--")</f>
        <v>0</v>
      </c>
      <c r="AA234" s="2131">
        <f>IF(AA$221,_xll.ciqfunctions.udf.CIQ($G234, "IQ_VOLUME", AA$222),"--")</f>
        <v>0</v>
      </c>
      <c r="AB234" s="2131">
        <f>IF(AB$221,_xll.ciqfunctions.udf.CIQ($G234, "IQ_VOLUME", AB$222),"--")</f>
        <v>0</v>
      </c>
      <c r="AC234" s="2131">
        <f>IF(AC$221,_xll.ciqfunctions.udf.CIQ($G234, "IQ_VOLUME", AC$222),"--")</f>
        <v>0</v>
      </c>
      <c r="AD234" s="2131">
        <f>IF(AD$221,_xll.ciqfunctions.udf.CIQ($G234, "IQ_VOLUME", AD$222),"--")</f>
        <v>0</v>
      </c>
      <c r="AE234" s="2131">
        <f>IF(AE$221,_xll.ciqfunctions.udf.CIQ($G234, "IQ_VOLUME", AE$222),"--")</f>
        <v>0</v>
      </c>
      <c r="AF234" s="2131">
        <f>IF(AF$221,_xll.ciqfunctions.udf.CIQ($G234, "IQ_VOLUME", AF$222),"--")</f>
        <v>0</v>
      </c>
      <c r="AG234" s="2131">
        <f>IF(AG$221,_xll.ciqfunctions.udf.CIQ($G234, "IQ_VOLUME", AG$222),"--")</f>
        <v>0</v>
      </c>
      <c r="AH234" s="2131">
        <f>IF(AH$221,_xll.ciqfunctions.udf.CIQ($G234, "IQ_VOLUME", AH$222),"--")</f>
        <v>0</v>
      </c>
      <c r="AI234" s="2131">
        <f>IF(AI$221,_xll.ciqfunctions.udf.CIQ($G234, "IQ_VOLUME", AI$222),"--")</f>
        <v>0</v>
      </c>
      <c r="AJ234" s="2131">
        <f>IF(AJ$221,_xll.ciqfunctions.udf.CIQ($G234, "IQ_VOLUME", AJ$222),"--")</f>
        <v>0</v>
      </c>
      <c r="AK234" s="2131">
        <f>IF(AK$221,_xll.ciqfunctions.udf.CIQ($G234, "IQ_VOLUME", AK$222),"--")</f>
        <v>0</v>
      </c>
      <c r="AL234" s="2131">
        <f>IF(AL$221,_xll.ciqfunctions.udf.CIQ($G234, "IQ_VOLUME", AL$222),"--")</f>
        <v>0</v>
      </c>
      <c r="AM234" s="2131">
        <f>IF(AM$221,_xll.ciqfunctions.udf.CIQ($G234, "IQ_VOLUME", AM$222),"--")</f>
        <v>0</v>
      </c>
      <c r="AN234" s="2131">
        <f>IF(AN$221,_xll.ciqfunctions.udf.CIQ($G234, "IQ_VOLUME", AN$222),"--")</f>
        <v>0</v>
      </c>
      <c r="AO234" s="2131">
        <f>IF(AO$221,_xll.ciqfunctions.udf.CIQ($G234, "IQ_VOLUME", AO$222),"--")</f>
        <v>0</v>
      </c>
      <c r="AP234" s="2131">
        <f>IF(AP$221,_xll.ciqfunctions.udf.CIQ($G234, "IQ_VOLUME", AP$222),"--")</f>
        <v>0</v>
      </c>
      <c r="AQ234" s="2131">
        <f>IF(AQ$221,_xll.ciqfunctions.udf.CIQ($G234, "IQ_VOLUME", AQ$222),"--")</f>
        <v>0</v>
      </c>
      <c r="AR234" s="2131">
        <f>IF(AR$221,_xll.ciqfunctions.udf.CIQ($G234, "IQ_VOLUME", AR$222),"--")</f>
        <v>0</v>
      </c>
      <c r="AS234" s="2131">
        <f>IF(AS$221,_xll.ciqfunctions.udf.CIQ($G234, "IQ_VOLUME", AS$222),"--")</f>
        <v>0</v>
      </c>
      <c r="AT234" s="2131">
        <f>IF(AT$221,_xll.ciqfunctions.udf.CIQ($G234, "IQ_VOLUME", AT$222),"--")</f>
        <v>0</v>
      </c>
      <c r="AU234" s="2131">
        <f>IF(AU$221,_xll.ciqfunctions.udf.CIQ($G234, "IQ_VOLUME", AU$222),"--")</f>
        <v>0</v>
      </c>
      <c r="AV234" s="2131">
        <f>IF(AV$221,_xll.ciqfunctions.udf.CIQ($G234, "IQ_VOLUME", AV$222),"--")</f>
        <v>0</v>
      </c>
      <c r="AW234" s="2131">
        <f>IF(AW$221,_xll.ciqfunctions.udf.CIQ($G234, "IQ_VOLUME", AW$222),"--")</f>
        <v>0</v>
      </c>
      <c r="AX234" s="2131">
        <f>IF(AX$221,_xll.ciqfunctions.udf.CIQ($G234, "IQ_VOLUME", AX$222),"--")</f>
        <v>0</v>
      </c>
      <c r="AY234" s="2131">
        <f>IF(AY$221,_xll.ciqfunctions.udf.CIQ($G234, "IQ_VOLUME", AY$222),"--")</f>
        <v>0</v>
      </c>
      <c r="AZ234" s="2131">
        <f>IF(AZ$221,_xll.ciqfunctions.udf.CIQ($G234, "IQ_VOLUME", AZ$222),"--")</f>
        <v>0</v>
      </c>
      <c r="BA234" s="2131">
        <f>IF(BA$221,_xll.ciqfunctions.udf.CIQ($G234, "IQ_VOLUME", BA$222),"--")</f>
        <v>0</v>
      </c>
      <c r="BB234" s="2131">
        <f>IF(BB$221,_xll.ciqfunctions.udf.CIQ($G234, "IQ_VOLUME", BB$222),"--")</f>
        <v>0</v>
      </c>
      <c r="BC234" s="2131">
        <f>IF(BC$221,_xll.ciqfunctions.udf.CIQ($G234, "IQ_VOLUME", BC$222),"--")</f>
        <v>0</v>
      </c>
      <c r="BD234" s="2131">
        <f>IF(BD$221,_xll.ciqfunctions.udf.CIQ($G234, "IQ_VOLUME", BD$222),"--")</f>
        <v>0</v>
      </c>
      <c r="BE234" s="2131">
        <f>IF(BE$221,_xll.ciqfunctions.udf.CIQ($G234, "IQ_VOLUME", BE$222),"--")</f>
        <v>0</v>
      </c>
      <c r="BF234" s="2131">
        <f>IF(BF$221,_xll.ciqfunctions.udf.CIQ($G234, "IQ_VOLUME", BF$222),"--")</f>
        <v>0</v>
      </c>
      <c r="BG234" s="2131">
        <f>IF(BG$221,_xll.ciqfunctions.udf.CIQ($G234, "IQ_VOLUME", BG$222),"--")</f>
        <v>0</v>
      </c>
      <c r="BH234" s="2131">
        <f>IF(BH$221,_xll.ciqfunctions.udf.CIQ($G234, "IQ_VOLUME", BH$222),"--")</f>
        <v>0</v>
      </c>
      <c r="BI234" s="2131">
        <f>IF(BI$221,_xll.ciqfunctions.udf.CIQ($G234, "IQ_VOLUME", BI$222),"--")</f>
        <v>0</v>
      </c>
      <c r="BJ234" s="2131">
        <f>IF(BJ$221,_xll.ciqfunctions.udf.CIQ($G234, "IQ_VOLUME", BJ$222),"--")</f>
        <v>0</v>
      </c>
      <c r="BK234" s="2131">
        <f>IF(BK$221,_xll.ciqfunctions.udf.CIQ($G234, "IQ_VOLUME", BK$222),"--")</f>
        <v>0</v>
      </c>
      <c r="BL234" s="2131">
        <f>IF(BL$221,_xll.ciqfunctions.udf.CIQ($G234, "IQ_VOLUME", BL$222),"--")</f>
        <v>0</v>
      </c>
      <c r="BM234" s="2131">
        <f>IF(BM$221,_xll.ciqfunctions.udf.CIQ($G234, "IQ_VOLUME", BM$222),"--")</f>
        <v>0</v>
      </c>
      <c r="BN234" s="2131">
        <f>IF(BN$221,_xll.ciqfunctions.udf.CIQ($G234, "IQ_VOLUME", BN$222),"--")</f>
        <v>0</v>
      </c>
      <c r="BO234" s="2131">
        <f>IF(BO$221,_xll.ciqfunctions.udf.CIQ($G234, "IQ_VOLUME", BO$222),"--")</f>
        <v>0</v>
      </c>
      <c r="BP234" s="2131">
        <f>IF(BP$221,_xll.ciqfunctions.udf.CIQ($G234, "IQ_VOLUME", BP$222),"--")</f>
        <v>0</v>
      </c>
      <c r="BQ234" s="2131">
        <f>IF(BQ$221,_xll.ciqfunctions.udf.CIQ($G234, "IQ_VOLUME", BQ$222),"--")</f>
        <v>0</v>
      </c>
      <c r="BR234" s="2131">
        <f>IF(BR$221,_xll.ciqfunctions.udf.CIQ($G234, "IQ_VOLUME", BR$222),"--")</f>
        <v>0</v>
      </c>
      <c r="BS234" s="2131">
        <f>IF(BS$221,_xll.ciqfunctions.udf.CIQ($G234, "IQ_VOLUME", BS$222),"--")</f>
        <v>0</v>
      </c>
      <c r="BT234" s="2131">
        <f>IF(BT$221,_xll.ciqfunctions.udf.CIQ($G234, "IQ_VOLUME", BT$222),"--")</f>
        <v>0</v>
      </c>
      <c r="BU234" s="2131">
        <f>IF(BU$221,_xll.ciqfunctions.udf.CIQ($G234, "IQ_VOLUME", BU$222),"--")</f>
        <v>0</v>
      </c>
      <c r="BV234" s="2131">
        <f>IF(BV$221,_xll.ciqfunctions.udf.CIQ($G234, "IQ_VOLUME", BV$222),"--")</f>
        <v>0</v>
      </c>
      <c r="BW234" s="2131">
        <f>IF(BW$221,_xll.ciqfunctions.udf.CIQ($G234, "IQ_VOLUME", BW$222),"--")</f>
        <v>0</v>
      </c>
      <c r="BX234" s="2131">
        <f>IF(BX$221,_xll.ciqfunctions.udf.CIQ($G234, "IQ_VOLUME", BX$222),"--")</f>
        <v>0</v>
      </c>
      <c r="BY234" s="2131">
        <f>IF(BY$221,_xll.ciqfunctions.udf.CIQ($G234, "IQ_VOLUME", BY$222),"--")</f>
        <v>0</v>
      </c>
      <c r="BZ234" s="2131">
        <f>IF(BZ$221,_xll.ciqfunctions.udf.CIQ($G234, "IQ_VOLUME", BZ$222),"--")</f>
        <v>0</v>
      </c>
      <c r="CA234" s="2131">
        <f>IF(CA$221,_xll.ciqfunctions.udf.CIQ($G234, "IQ_VOLUME", CA$222),"--")</f>
        <v>0</v>
      </c>
      <c r="CB234" s="2131">
        <f>IF(CB$221,_xll.ciqfunctions.udf.CIQ($G234, "IQ_VOLUME", CB$222),"--")</f>
        <v>0</v>
      </c>
      <c r="CC234" s="2131">
        <f>IF(CC$221,_xll.ciqfunctions.udf.CIQ($G234, "IQ_VOLUME", CC$222),"--")</f>
        <v>0</v>
      </c>
      <c r="CD234" s="2131">
        <f>IF(CD$221,_xll.ciqfunctions.udf.CIQ($G234, "IQ_VOLUME", CD$222),"--")</f>
        <v>0</v>
      </c>
      <c r="CE234" s="2131">
        <f>IF(CE$221,_xll.ciqfunctions.udf.CIQ($G234, "IQ_VOLUME", CE$222),"--")</f>
        <v>0</v>
      </c>
      <c r="CF234" s="2131">
        <f>IF(CF$221,_xll.ciqfunctions.udf.CIQ($G234, "IQ_VOLUME", CF$222),"--")</f>
        <v>0</v>
      </c>
      <c r="CG234" s="2131">
        <f>IF(CG$221,_xll.ciqfunctions.udf.CIQ($G234, "IQ_VOLUME", CG$222),"--")</f>
        <v>0</v>
      </c>
      <c r="CH234" s="2131">
        <f>IF(CH$221,_xll.ciqfunctions.udf.CIQ($G234, "IQ_VOLUME", CH$222),"--")</f>
        <v>0</v>
      </c>
      <c r="CI234" s="2131">
        <f>IF(CI$221,_xll.ciqfunctions.udf.CIQ($G234, "IQ_VOLUME", CI$222),"--")</f>
        <v>0</v>
      </c>
      <c r="CJ234" s="2131">
        <f>IF(CJ$221,_xll.ciqfunctions.udf.CIQ($G234, "IQ_VOLUME", CJ$222),"--")</f>
        <v>0</v>
      </c>
      <c r="CK234" s="2131">
        <f>IF(CK$221,_xll.ciqfunctions.udf.CIQ($G234, "IQ_VOLUME", CK$222),"--")</f>
        <v>0</v>
      </c>
      <c r="CL234" s="2131">
        <f>IF(CL$221,_xll.ciqfunctions.udf.CIQ($G234, "IQ_VOLUME", CL$222),"--")</f>
        <v>0</v>
      </c>
      <c r="CM234" s="2131">
        <f>IF(CM$221,_xll.ciqfunctions.udf.CIQ($G234, "IQ_VOLUME", CM$222),"--")</f>
        <v>0</v>
      </c>
      <c r="CN234" s="2131">
        <f>IF(CN$221,_xll.ciqfunctions.udf.CIQ($G234, "IQ_VOLUME", CN$222),"--")</f>
        <v>0</v>
      </c>
      <c r="CO234" s="2131">
        <f>IF(CO$221,_xll.ciqfunctions.udf.CIQ($G234, "IQ_VOLUME", CO$222),"--")</f>
        <v>0</v>
      </c>
      <c r="CP234" s="2131">
        <f>IF(CP$221,_xll.ciqfunctions.udf.CIQ($G234, "IQ_VOLUME", CP$222),"--")</f>
        <v>0</v>
      </c>
      <c r="CQ234" s="2131">
        <f>IF(CQ$221,_xll.ciqfunctions.udf.CIQ($G234, "IQ_VOLUME", CQ$222),"--")</f>
        <v>0</v>
      </c>
      <c r="CR234" s="2131">
        <f>IF(CR$221,_xll.ciqfunctions.udf.CIQ($G234, "IQ_VOLUME", CR$222),"--")</f>
        <v>0</v>
      </c>
      <c r="CS234" s="2131">
        <f>IF(CS$221,_xll.ciqfunctions.udf.CIQ($G234, "IQ_VOLUME", CS$222),"--")</f>
        <v>0</v>
      </c>
      <c r="CT234" s="2131">
        <f>IF(CT$221,_xll.ciqfunctions.udf.CIQ($G234, "IQ_VOLUME", CT$222),"--")</f>
        <v>0</v>
      </c>
      <c r="CU234" s="2131">
        <f>IF(CU$221,_xll.ciqfunctions.udf.CIQ($G234, "IQ_VOLUME", CU$222),"--")</f>
        <v>0</v>
      </c>
      <c r="CV234" s="2131">
        <f>IF(CV$221,_xll.ciqfunctions.udf.CIQ($G234, "IQ_VOLUME", CV$222),"--")</f>
        <v>0</v>
      </c>
      <c r="CW234" s="2131">
        <f>IF(CW$221,_xll.ciqfunctions.udf.CIQ($G234, "IQ_VOLUME", CW$222),"--")</f>
        <v>0</v>
      </c>
      <c r="CX234" s="2131">
        <f>IF(CX$221,_xll.ciqfunctions.udf.CIQ($G234, "IQ_VOLUME", CX$222),"--")</f>
        <v>0</v>
      </c>
      <c r="CY234" s="2131">
        <f>IF(CY$221,_xll.ciqfunctions.udf.CIQ($G234, "IQ_VOLUME", CY$222),"--")</f>
        <v>0</v>
      </c>
      <c r="CZ234" s="2131">
        <f>IF(CZ$221,_xll.ciqfunctions.udf.CIQ($G234, "IQ_VOLUME", CZ$222),"--")</f>
        <v>0</v>
      </c>
      <c r="DA234" s="2131">
        <f>IF(DA$221,_xll.ciqfunctions.udf.CIQ($G234, "IQ_VOLUME", DA$222),"--")</f>
        <v>0</v>
      </c>
      <c r="DB234" s="2131">
        <f>IF(DB$221,_xll.ciqfunctions.udf.CIQ($G234, "IQ_VOLUME", DB$222),"--")</f>
        <v>0</v>
      </c>
      <c r="DC234" s="2131">
        <f>IF(DC$221,_xll.ciqfunctions.udf.CIQ($G234, "IQ_VOLUME", DC$222),"--")</f>
        <v>0</v>
      </c>
      <c r="DD234" s="2131">
        <f>IF(DD$221,_xll.ciqfunctions.udf.CIQ($G234, "IQ_VOLUME", DD$222),"--")</f>
        <v>0</v>
      </c>
      <c r="DE234" s="2131">
        <f>IF(DE$221,_xll.ciqfunctions.udf.CIQ($G234, "IQ_VOLUME", DE$222),"--")</f>
        <v>0</v>
      </c>
      <c r="DF234" s="2131">
        <f>IF(DF$221,_xll.ciqfunctions.udf.CIQ($G234, "IQ_VOLUME", DF$222),"--")</f>
        <v>0</v>
      </c>
      <c r="DG234" s="2131">
        <f>IF(DG$221,_xll.ciqfunctions.udf.CIQ($G234, "IQ_VOLUME", DG$222),"--")</f>
        <v>0</v>
      </c>
      <c r="DH234" s="2131">
        <f>IF(DH$221,_xll.ciqfunctions.udf.CIQ($G234, "IQ_VOLUME", DH$222),"--")</f>
        <v>0</v>
      </c>
      <c r="DI234" s="2131">
        <f>IF(DI$221,_xll.ciqfunctions.udf.CIQ($G234, "IQ_VOLUME", DI$222),"--")</f>
        <v>0</v>
      </c>
      <c r="DJ234" s="2131">
        <f>IF(DJ$221,_xll.ciqfunctions.udf.CIQ($G234, "IQ_VOLUME", DJ$222),"--")</f>
        <v>0</v>
      </c>
      <c r="DK234" s="2131">
        <f>IF(DK$221,_xll.ciqfunctions.udf.CIQ($G234, "IQ_VOLUME", DK$222),"--")</f>
        <v>0</v>
      </c>
      <c r="DL234" s="2131">
        <f>IF(DL$221,_xll.ciqfunctions.udf.CIQ($G234, "IQ_VOLUME", DL$222),"--")</f>
        <v>0</v>
      </c>
      <c r="DM234" s="2131">
        <f>IF(DM$221,_xll.ciqfunctions.udf.CIQ($G234, "IQ_VOLUME", DM$222),"--")</f>
        <v>0</v>
      </c>
      <c r="DN234" s="2131">
        <f>IF(DN$221,_xll.ciqfunctions.udf.CIQ($G234, "IQ_VOLUME", DN$222),"--")</f>
        <v>0</v>
      </c>
      <c r="DO234" s="2131">
        <f>IF(DO$221,_xll.ciqfunctions.udf.CIQ($G234, "IQ_VOLUME", DO$222),"--")</f>
        <v>0</v>
      </c>
      <c r="DP234" s="2131">
        <f>IF(DP$221,_xll.ciqfunctions.udf.CIQ($G234, "IQ_VOLUME", DP$222),"--")</f>
        <v>0</v>
      </c>
      <c r="DQ234" s="2131">
        <f>IF(DQ$221,_xll.ciqfunctions.udf.CIQ($G234, "IQ_VOLUME", DQ$222),"--")</f>
        <v>0</v>
      </c>
      <c r="DR234" s="2131">
        <f>IF(DR$221,_xll.ciqfunctions.udf.CIQ($G234, "IQ_VOLUME", DR$222),"--")</f>
        <v>0</v>
      </c>
      <c r="DS234" s="2131">
        <f>IF(DS$221,_xll.ciqfunctions.udf.CIQ($G234, "IQ_VOLUME", DS$222),"--")</f>
        <v>0</v>
      </c>
      <c r="DT234" s="2131">
        <f>IF(DT$221,_xll.ciqfunctions.udf.CIQ($G234, "IQ_VOLUME", DT$222),"--")</f>
        <v>0</v>
      </c>
      <c r="DU234" s="2131">
        <f>IF(DU$221,_xll.ciqfunctions.udf.CIQ($G234, "IQ_VOLUME", DU$222),"--")</f>
        <v>0</v>
      </c>
      <c r="DV234" s="2131">
        <f>IF(DV$221,_xll.ciqfunctions.udf.CIQ($G234, "IQ_VOLUME", DV$222),"--")</f>
        <v>0</v>
      </c>
      <c r="DW234" s="2131">
        <f>IF(DW$221,_xll.ciqfunctions.udf.CIQ($G234, "IQ_VOLUME", DW$222),"--")</f>
        <v>0</v>
      </c>
      <c r="DX234" s="2131">
        <f>IF(DX$221,_xll.ciqfunctions.udf.CIQ($G234, "IQ_VOLUME", DX$222),"--")</f>
        <v>0</v>
      </c>
      <c r="DY234" s="2131">
        <f>IF(DY$221,_xll.ciqfunctions.udf.CIQ($G234, "IQ_VOLUME", DY$222),"--")</f>
        <v>0</v>
      </c>
      <c r="DZ234" s="2131">
        <f>IF(DZ$221,_xll.ciqfunctions.udf.CIQ($G234, "IQ_VOLUME", DZ$222),"--")</f>
        <v>0</v>
      </c>
      <c r="EA234" s="2131">
        <f>IF(EA$221,_xll.ciqfunctions.udf.CIQ($G234, "IQ_VOLUME", EA$222),"--")</f>
        <v>0</v>
      </c>
      <c r="EB234" s="2131">
        <f>IF(EB$221,_xll.ciqfunctions.udf.CIQ($G234, "IQ_VOLUME", EB$222),"--")</f>
        <v>0</v>
      </c>
      <c r="EC234" s="2131">
        <f>IF(EC$221,_xll.ciqfunctions.udf.CIQ($G234, "IQ_VOLUME", EC$222),"--")</f>
        <v>0</v>
      </c>
      <c r="ED234" s="2131">
        <f>IF(ED$221,_xll.ciqfunctions.udf.CIQ($G234, "IQ_VOLUME", ED$222),"--")</f>
        <v>0</v>
      </c>
      <c r="EE234" s="2131">
        <f>IF(EE$221,_xll.ciqfunctions.udf.CIQ($G234, "IQ_VOLUME", EE$222),"--")</f>
        <v>0</v>
      </c>
      <c r="EF234" s="2131">
        <f>IF(EF$221,_xll.ciqfunctions.udf.CIQ($G234, "IQ_VOLUME", EF$222),"--")</f>
        <v>0</v>
      </c>
      <c r="EG234" s="2131">
        <f>IF(EG$221,_xll.ciqfunctions.udf.CIQ($G234, "IQ_VOLUME", EG$222),"--")</f>
        <v>0</v>
      </c>
      <c r="EH234" s="2131">
        <f>IF(EH$221,_xll.ciqfunctions.udf.CIQ($G234, "IQ_VOLUME", EH$222),"--")</f>
        <v>0</v>
      </c>
      <c r="EI234" s="2131">
        <f>IF(EI$221,_xll.ciqfunctions.udf.CIQ($G234, "IQ_VOLUME", EI$222),"--")</f>
        <v>0</v>
      </c>
      <c r="EJ234" s="2131">
        <f>IF(EJ$221,_xll.ciqfunctions.udf.CIQ($G234, "IQ_VOLUME", EJ$222),"--")</f>
        <v>0</v>
      </c>
      <c r="EK234" s="2131">
        <f>IF(EK$221,_xll.ciqfunctions.udf.CIQ($G234, "IQ_VOLUME", EK$222),"--")</f>
        <v>0</v>
      </c>
      <c r="EL234" s="2131">
        <f>IF(EL$221,_xll.ciqfunctions.udf.CIQ($G234, "IQ_VOLUME", EL$222),"--")</f>
        <v>0</v>
      </c>
      <c r="EM234" s="2131">
        <f>IF(EM$221,_xll.ciqfunctions.udf.CIQ($G234, "IQ_VOLUME", EM$222),"--")</f>
        <v>0</v>
      </c>
      <c r="EN234" s="2131">
        <f>IF(EN$221,_xll.ciqfunctions.udf.CIQ($G234, "IQ_VOLUME", EN$222),"--")</f>
        <v>0</v>
      </c>
      <c r="EO234" s="2131">
        <f>IF(EO$221,_xll.ciqfunctions.udf.CIQ($G234, "IQ_VOLUME", EO$222),"--")</f>
        <v>0</v>
      </c>
      <c r="EP234" s="2131">
        <f>IF(EP$221,_xll.ciqfunctions.udf.CIQ($G234, "IQ_VOLUME", EP$222),"--")</f>
        <v>0</v>
      </c>
      <c r="EQ234" s="2131">
        <f>IF(EQ$221,_xll.ciqfunctions.udf.CIQ($G234, "IQ_VOLUME", EQ$222),"--")</f>
        <v>0</v>
      </c>
      <c r="ER234" s="2131">
        <f>IF(ER$221,_xll.ciqfunctions.udf.CIQ($G234, "IQ_VOLUME", ER$222),"--")</f>
        <v>0</v>
      </c>
      <c r="ES234" s="2131">
        <f>IF(ES$221,_xll.ciqfunctions.udf.CIQ($G234, "IQ_VOLUME", ES$222),"--")</f>
        <v>0</v>
      </c>
      <c r="ET234" s="2131">
        <f>IF(ET$221,_xll.ciqfunctions.udf.CIQ($G234, "IQ_VOLUME", ET$222),"--")</f>
        <v>0</v>
      </c>
      <c r="EU234" s="2131">
        <f>IF(EU$221,_xll.ciqfunctions.udf.CIQ($G234, "IQ_VOLUME", EU$222),"--")</f>
        <v>0</v>
      </c>
      <c r="EV234" s="2131">
        <f>IF(EV$221,_xll.ciqfunctions.udf.CIQ($G234, "IQ_VOLUME", EV$222),"--")</f>
        <v>0</v>
      </c>
      <c r="EW234" s="2131">
        <f>IF(EW$221,_xll.ciqfunctions.udf.CIQ($G234, "IQ_VOLUME", EW$222),"--")</f>
        <v>0</v>
      </c>
      <c r="EX234" s="2131">
        <f>IF(EX$221,_xll.ciqfunctions.udf.CIQ($G234, "IQ_VOLUME", EX$222),"--")</f>
        <v>0</v>
      </c>
      <c r="EY234" s="2131">
        <f>IF(EY$221,_xll.ciqfunctions.udf.CIQ($G234, "IQ_VOLUME", EY$222),"--")</f>
        <v>0</v>
      </c>
      <c r="EZ234" s="2131">
        <f>IF(EZ$221,_xll.ciqfunctions.udf.CIQ($G234, "IQ_VOLUME", EZ$222),"--")</f>
        <v>0</v>
      </c>
      <c r="FA234" s="2131">
        <f>IF(FA$221,_xll.ciqfunctions.udf.CIQ($G234, "IQ_VOLUME", FA$222),"--")</f>
        <v>0</v>
      </c>
      <c r="FB234" s="2131">
        <f>IF(FB$221,_xll.ciqfunctions.udf.CIQ($G234, "IQ_VOLUME", FB$222),"--")</f>
        <v>0</v>
      </c>
      <c r="FC234" s="2131">
        <f>IF(FC$221,_xll.ciqfunctions.udf.CIQ($G234, "IQ_VOLUME", FC$222),"--")</f>
        <v>0</v>
      </c>
      <c r="FD234" s="2131">
        <f>IF(FD$221,_xll.ciqfunctions.udf.CIQ($G234, "IQ_VOLUME", FD$222),"--")</f>
        <v>0</v>
      </c>
      <c r="FE234" s="2131">
        <f>IF(FE$221,_xll.ciqfunctions.udf.CIQ($G234, "IQ_VOLUME", FE$222),"--")</f>
        <v>0</v>
      </c>
      <c r="FF234" s="2131">
        <f>IF(FF$221,_xll.ciqfunctions.udf.CIQ($G234, "IQ_VOLUME", FF$222),"--")</f>
        <v>0</v>
      </c>
      <c r="FG234" s="2131">
        <f>IF(FG$221,_xll.ciqfunctions.udf.CIQ($G234, "IQ_VOLUME", FG$222),"--")</f>
        <v>0</v>
      </c>
      <c r="FH234" s="2131">
        <f>IF(FH$221,_xll.ciqfunctions.udf.CIQ($G234, "IQ_VOLUME", FH$222),"--")</f>
        <v>0</v>
      </c>
      <c r="FI234" s="2131">
        <f>IF(FI$221,_xll.ciqfunctions.udf.CIQ($G234, "IQ_VOLUME", FI$222),"--")</f>
        <v>0</v>
      </c>
      <c r="FJ234" s="2131">
        <f>IF(FJ$221,_xll.ciqfunctions.udf.CIQ($G234, "IQ_VOLUME", FJ$222),"--")</f>
        <v>0</v>
      </c>
      <c r="FK234" s="2131">
        <f>IF(FK$221,_xll.ciqfunctions.udf.CIQ($G234, "IQ_VOLUME", FK$222),"--")</f>
        <v>0</v>
      </c>
      <c r="FL234" s="2131">
        <f>IF(FL$221,_xll.ciqfunctions.udf.CIQ($G234, "IQ_VOLUME", FL$222),"--")</f>
        <v>0</v>
      </c>
      <c r="FM234" s="2131">
        <f>IF(FM$221,_xll.ciqfunctions.udf.CIQ($G234, "IQ_VOLUME", FM$222),"--")</f>
        <v>0</v>
      </c>
      <c r="FN234" s="2131">
        <f>IF(FN$221,_xll.ciqfunctions.udf.CIQ($G234, "IQ_VOLUME", FN$222),"--")</f>
        <v>0</v>
      </c>
      <c r="FO234" s="2131">
        <f>IF(FO$221,_xll.ciqfunctions.udf.CIQ($G234, "IQ_VOLUME", FO$222),"--")</f>
        <v>0</v>
      </c>
      <c r="FP234" s="2131">
        <f>IF(FP$221,_xll.ciqfunctions.udf.CIQ($G234, "IQ_VOLUME", FP$222),"--")</f>
        <v>0</v>
      </c>
      <c r="FQ234" s="2131">
        <f>IF(FQ$221,_xll.ciqfunctions.udf.CIQ($G234, "IQ_VOLUME", FQ$222),"--")</f>
        <v>0</v>
      </c>
      <c r="FR234" s="2131">
        <f>IF(FR$221,_xll.ciqfunctions.udf.CIQ($G234, "IQ_VOLUME", FR$222),"--")</f>
        <v>0</v>
      </c>
      <c r="FS234" s="2131">
        <f>IF(FS$221,_xll.ciqfunctions.udf.CIQ($G234, "IQ_VOLUME", FS$222),"--")</f>
        <v>0</v>
      </c>
      <c r="FT234" s="2131">
        <f>IF(FT$221,_xll.ciqfunctions.udf.CIQ($G234, "IQ_VOLUME", FT$222),"--")</f>
        <v>0</v>
      </c>
      <c r="FU234" s="2131">
        <f>IF(FU$221,_xll.ciqfunctions.udf.CIQ($G234, "IQ_VOLUME", FU$222),"--")</f>
        <v>0</v>
      </c>
      <c r="FV234" s="2131">
        <f>IF(FV$221,_xll.ciqfunctions.udf.CIQ($G234, "IQ_VOLUME", FV$222),"--")</f>
        <v>0</v>
      </c>
      <c r="FW234" s="2131">
        <f>IF(FW$221,_xll.ciqfunctions.udf.CIQ($G234, "IQ_VOLUME", FW$222),"--")</f>
        <v>0</v>
      </c>
      <c r="FX234" s="2131">
        <f>IF(FX$221,_xll.ciqfunctions.udf.CIQ($G234, "IQ_VOLUME", FX$222),"--")</f>
        <v>0</v>
      </c>
      <c r="FY234" s="2131">
        <f>IF(FY$221,_xll.ciqfunctions.udf.CIQ($G234, "IQ_VOLUME", FY$222),"--")</f>
        <v>0</v>
      </c>
      <c r="FZ234" s="2131">
        <f>IF(FZ$221,_xll.ciqfunctions.udf.CIQ($G234, "IQ_VOLUME", FZ$222),"--")</f>
        <v>0</v>
      </c>
      <c r="GA234" s="2131">
        <f>IF(GA$221,_xll.ciqfunctions.udf.CIQ($G234, "IQ_VOLUME", GA$222),"--")</f>
        <v>0</v>
      </c>
      <c r="GB234" s="2131">
        <f>IF(GB$221,_xll.ciqfunctions.udf.CIQ($G234, "IQ_VOLUME", GB$222),"--")</f>
        <v>0</v>
      </c>
      <c r="GC234" s="2131">
        <f>IF(GC$221,_xll.ciqfunctions.udf.CIQ($G234, "IQ_VOLUME", GC$222),"--")</f>
        <v>0</v>
      </c>
      <c r="GD234" s="2131">
        <f>IF(GD$221,_xll.ciqfunctions.udf.CIQ($G234, "IQ_VOLUME", GD$222),"--")</f>
        <v>0</v>
      </c>
      <c r="GE234" s="2131">
        <f>IF(GE$221,_xll.ciqfunctions.udf.CIQ($G234, "IQ_VOLUME", GE$222),"--")</f>
        <v>0</v>
      </c>
      <c r="GF234" s="2131">
        <f>IF(GF$221,_xll.ciqfunctions.udf.CIQ($G234, "IQ_VOLUME", GF$222),"--")</f>
        <v>0</v>
      </c>
      <c r="GG234" s="2131">
        <f>IF(GG$221,_xll.ciqfunctions.udf.CIQ($G234, "IQ_VOLUME", GG$222),"--")</f>
        <v>0</v>
      </c>
      <c r="GH234" s="2131">
        <f>IF(GH$221,_xll.ciqfunctions.udf.CIQ($G234, "IQ_VOLUME", GH$222),"--")</f>
        <v>0</v>
      </c>
      <c r="GI234" s="2131">
        <f>IF(GI$221,_xll.ciqfunctions.udf.CIQ($G234, "IQ_VOLUME", GI$222),"--")</f>
        <v>0</v>
      </c>
      <c r="GJ234" s="2131">
        <f>IF(GJ$221,_xll.ciqfunctions.udf.CIQ($G234, "IQ_VOLUME", GJ$222),"--")</f>
        <v>0</v>
      </c>
      <c r="GK234" s="2131">
        <f>IF(GK$221,_xll.ciqfunctions.udf.CIQ($G234, "IQ_VOLUME", GK$222),"--")</f>
        <v>0</v>
      </c>
      <c r="GL234" s="2131">
        <f>IF(GL$221,_xll.ciqfunctions.udf.CIQ($G234, "IQ_VOLUME", GL$222),"--")</f>
        <v>0</v>
      </c>
      <c r="GM234" s="2131">
        <f>IF(GM$221,_xll.ciqfunctions.udf.CIQ($G234, "IQ_VOLUME", GM$222),"--")</f>
        <v>0</v>
      </c>
      <c r="GN234" s="2131">
        <f>IF(GN$221,_xll.ciqfunctions.udf.CIQ($G234, "IQ_VOLUME", GN$222),"--")</f>
        <v>0</v>
      </c>
      <c r="GO234" s="2131">
        <f>IF(GO$221,_xll.ciqfunctions.udf.CIQ($G234, "IQ_VOLUME", GO$222),"--")</f>
        <v>0</v>
      </c>
      <c r="GP234" s="2131">
        <f>IF(GP$221,_xll.ciqfunctions.udf.CIQ($G234, "IQ_VOLUME", GP$222),"--")</f>
        <v>0</v>
      </c>
      <c r="GQ234" s="2131">
        <f>IF(GQ$221,_xll.ciqfunctions.udf.CIQ($G234, "IQ_VOLUME", GQ$222),"--")</f>
        <v>0</v>
      </c>
      <c r="GR234" s="2131">
        <f>IF(GR$221,_xll.ciqfunctions.udf.CIQ($G234, "IQ_VOLUME", GR$222),"--")</f>
        <v>0</v>
      </c>
      <c r="GS234" s="2131">
        <f>IF(GS$221,_xll.ciqfunctions.udf.CIQ($G234, "IQ_VOLUME", GS$222),"--")</f>
        <v>0</v>
      </c>
      <c r="GT234" s="2131">
        <f>IF(GT$221,_xll.ciqfunctions.udf.CIQ($G234, "IQ_VOLUME", GT$222),"--")</f>
        <v>0</v>
      </c>
      <c r="GU234" s="2131">
        <f>IF(GU$221,_xll.ciqfunctions.udf.CIQ($G234, "IQ_VOLUME", GU$222),"--")</f>
        <v>0</v>
      </c>
      <c r="GV234" s="2131">
        <f>IF(GV$221,_xll.ciqfunctions.udf.CIQ($G234, "IQ_VOLUME", GV$222),"--")</f>
        <v>0</v>
      </c>
      <c r="GW234" s="2131">
        <f>IF(GW$221,_xll.ciqfunctions.udf.CIQ($G234, "IQ_VOLUME", GW$222),"--")</f>
        <v>0</v>
      </c>
      <c r="GX234" s="2131">
        <f>IF(GX$221,_xll.ciqfunctions.udf.CIQ($G234, "IQ_VOLUME", GX$222),"--")</f>
        <v>0</v>
      </c>
      <c r="GY234" s="2131">
        <f>IF(GY$221,_xll.ciqfunctions.udf.CIQ($G234, "IQ_VOLUME", GY$222),"--")</f>
        <v>0</v>
      </c>
      <c r="GZ234" s="2131">
        <f>IF(GZ$221,_xll.ciqfunctions.udf.CIQ($G234, "IQ_VOLUME", GZ$222),"--")</f>
        <v>0</v>
      </c>
      <c r="HA234" s="2131">
        <f>IF(HA$221,_xll.ciqfunctions.udf.CIQ($G234, "IQ_VOLUME", HA$222),"--")</f>
        <v>0</v>
      </c>
      <c r="HB234" s="2131">
        <f>IF(HB$221,_xll.ciqfunctions.udf.CIQ($G234, "IQ_VOLUME", HB$222),"--")</f>
        <v>0</v>
      </c>
      <c r="HC234" s="2131">
        <f>IF(HC$221,_xll.ciqfunctions.udf.CIQ($G234, "IQ_VOLUME", HC$222),"--")</f>
        <v>0</v>
      </c>
      <c r="HD234" s="2131">
        <f>IF(HD$221,_xll.ciqfunctions.udf.CIQ($G234, "IQ_VOLUME", HD$222),"--")</f>
        <v>0</v>
      </c>
      <c r="HE234" s="2131">
        <f>IF(HE$221,_xll.ciqfunctions.udf.CIQ($G234, "IQ_VOLUME", HE$222),"--")</f>
        <v>0</v>
      </c>
      <c r="HF234" s="2131">
        <f>IF(HF$221,_xll.ciqfunctions.udf.CIQ($G234, "IQ_VOLUME", HF$222),"--")</f>
        <v>0</v>
      </c>
      <c r="HG234" s="2131">
        <f>IF(HG$221,_xll.ciqfunctions.udf.CIQ($G234, "IQ_VOLUME", HG$222),"--")</f>
        <v>0</v>
      </c>
      <c r="HH234" s="2131">
        <f>IF(HH$221,_xll.ciqfunctions.udf.CIQ($G234, "IQ_VOLUME", HH$222),"--")</f>
        <v>0</v>
      </c>
      <c r="HI234" s="2131">
        <f>IF(HI$221,_xll.ciqfunctions.udf.CIQ($G234, "IQ_VOLUME", HI$222),"--")</f>
        <v>0</v>
      </c>
      <c r="HJ234" s="2131">
        <f>IF(HJ$221,_xll.ciqfunctions.udf.CIQ($G234, "IQ_VOLUME", HJ$222),"--")</f>
        <v>0</v>
      </c>
      <c r="HK234" s="2131">
        <f>IF(HK$221,_xll.ciqfunctions.udf.CIQ($G234, "IQ_VOLUME", HK$222),"--")</f>
        <v>0</v>
      </c>
      <c r="HL234" s="2131">
        <f>IF(HL$221,_xll.ciqfunctions.udf.CIQ($G234, "IQ_VOLUME", HL$222),"--")</f>
        <v>0</v>
      </c>
      <c r="HM234" s="2131">
        <f>IF(HM$221,_xll.ciqfunctions.udf.CIQ($G234, "IQ_VOLUME", HM$222),"--")</f>
        <v>0</v>
      </c>
      <c r="HN234" s="2131">
        <f>IF(HN$221,_xll.ciqfunctions.udf.CIQ($G234, "IQ_VOLUME", HN$222),"--")</f>
        <v>0</v>
      </c>
      <c r="HO234" s="2131">
        <f>IF(HO$221,_xll.ciqfunctions.udf.CIQ($G234, "IQ_VOLUME", HO$222),"--")</f>
        <v>0</v>
      </c>
      <c r="HP234" s="2131">
        <f>IF(HP$221,_xll.ciqfunctions.udf.CIQ($G234, "IQ_VOLUME", HP$222),"--")</f>
        <v>0</v>
      </c>
      <c r="HQ234" s="2131">
        <f>IF(HQ$221,_xll.ciqfunctions.udf.CIQ($G234, "IQ_VOLUME", HQ$222),"--")</f>
        <v>0</v>
      </c>
      <c r="HR234" s="2131">
        <f>IF(HR$221,_xll.ciqfunctions.udf.CIQ($G234, "IQ_VOLUME", HR$222),"--")</f>
        <v>0</v>
      </c>
      <c r="HS234" s="2131">
        <f>IF(HS$221,_xll.ciqfunctions.udf.CIQ($G234, "IQ_VOLUME", HS$222),"--")</f>
        <v>0</v>
      </c>
      <c r="HT234" s="2131">
        <f>IF(HT$221,_xll.ciqfunctions.udf.CIQ($G234, "IQ_VOLUME", HT$222),"--")</f>
        <v>0</v>
      </c>
      <c r="HU234" s="2131">
        <f>IF(HU$221,_xll.ciqfunctions.udf.CIQ($G234, "IQ_VOLUME", HU$222),"--")</f>
        <v>0</v>
      </c>
      <c r="HV234" s="2131">
        <f>IF(HV$221,_xll.ciqfunctions.udf.CIQ($G234, "IQ_VOLUME", HV$222),"--")</f>
        <v>0</v>
      </c>
      <c r="HW234" s="2131">
        <f>IF(HW$221,_xll.ciqfunctions.udf.CIQ($G234, "IQ_VOLUME", HW$222),"--")</f>
        <v>0</v>
      </c>
      <c r="HX234" s="2131">
        <f>IF(HX$221,_xll.ciqfunctions.udf.CIQ($G234, "IQ_VOLUME", HX$222),"--")</f>
        <v>0</v>
      </c>
      <c r="HY234" s="2131">
        <f>IF(HY$221,_xll.ciqfunctions.udf.CIQ($G234, "IQ_VOLUME", HY$222),"--")</f>
        <v>0</v>
      </c>
      <c r="HZ234" s="2131">
        <f>IF(HZ$221,_xll.ciqfunctions.udf.CIQ($G234, "IQ_VOLUME", HZ$222),"--")</f>
        <v>0</v>
      </c>
      <c r="IA234" s="2131">
        <f>IF(IA$221,_xll.ciqfunctions.udf.CIQ($G234, "IQ_VOLUME", IA$222),"--")</f>
        <v>0</v>
      </c>
      <c r="IB234" s="2131">
        <f>IF(IB$221,_xll.ciqfunctions.udf.CIQ($G234, "IQ_VOLUME", IB$222),"--")</f>
        <v>0</v>
      </c>
      <c r="IC234" s="2131">
        <f>IF(IC$221,_xll.ciqfunctions.udf.CIQ($G234, "IQ_VOLUME", IC$222),"--")</f>
        <v>0</v>
      </c>
      <c r="ID234" s="2131">
        <f>IF(ID$221,_xll.ciqfunctions.udf.CIQ($G234, "IQ_VOLUME", ID$222),"--")</f>
        <v>0</v>
      </c>
      <c r="IE234" s="2131">
        <f>IF(IE$221,_xll.ciqfunctions.udf.CIQ($G234, "IQ_VOLUME", IE$222),"--")</f>
        <v>0</v>
      </c>
      <c r="IF234" s="2131">
        <f>IF(IF$221,_xll.ciqfunctions.udf.CIQ($G234, "IQ_VOLUME", IF$222),"--")</f>
        <v>0</v>
      </c>
      <c r="IG234" s="2131">
        <f>IF(IG$221,_xll.ciqfunctions.udf.CIQ($G234, "IQ_VOLUME", IG$222),"--")</f>
        <v>0</v>
      </c>
      <c r="IH234" s="2131">
        <f>IF(IH$221,_xll.ciqfunctions.udf.CIQ($G234, "IQ_VOLUME", IH$222),"--")</f>
        <v>0</v>
      </c>
      <c r="II234" s="2131">
        <f>IF(II$221,_xll.ciqfunctions.udf.CIQ($G234, "IQ_VOLUME", II$222),"--")</f>
        <v>0</v>
      </c>
      <c r="IJ234" s="2131">
        <f>IF(IJ$221,_xll.ciqfunctions.udf.CIQ($G234, "IQ_VOLUME", IJ$222),"--")</f>
        <v>0</v>
      </c>
      <c r="IK234" s="2131">
        <f>IF(IK$221,_xll.ciqfunctions.udf.CIQ($G234, "IQ_VOLUME", IK$222),"--")</f>
        <v>0</v>
      </c>
      <c r="IL234" s="2131">
        <f>IF(IL$221,_xll.ciqfunctions.udf.CIQ($G234, "IQ_VOLUME", IL$222),"--")</f>
        <v>0</v>
      </c>
      <c r="IM234" s="2131">
        <f>IF(IM$221,_xll.ciqfunctions.udf.CIQ($G234, "IQ_VOLUME", IM$222),"--")</f>
        <v>0</v>
      </c>
      <c r="IN234" s="2131">
        <f>IF(IN$221,_xll.ciqfunctions.udf.CIQ($G234, "IQ_VOLUME", IN$222),"--")</f>
        <v>0</v>
      </c>
      <c r="IO234" s="2131">
        <f>IF(IO$221,_xll.ciqfunctions.udf.CIQ($G234, "IQ_VOLUME", IO$222),"--")</f>
        <v>0</v>
      </c>
      <c r="IP234" s="2131">
        <f>IF(IP$221,_xll.ciqfunctions.udf.CIQ($G234, "IQ_VOLUME", IP$222),"--")</f>
        <v>0</v>
      </c>
      <c r="IQ234" s="2131">
        <f>IF(IQ$221,_xll.ciqfunctions.udf.CIQ($G234, "IQ_VOLUME", IQ$222),"--")</f>
        <v>0</v>
      </c>
      <c r="IR234" s="2131">
        <f>IF(IR$221,_xll.ciqfunctions.udf.CIQ($G234, "IQ_VOLUME", IR$222),"--")</f>
        <v>0</v>
      </c>
      <c r="IS234" s="2131">
        <f>IF(IS$221,_xll.ciqfunctions.udf.CIQ($G234, "IQ_VOLUME", IS$222),"--")</f>
        <v>0</v>
      </c>
      <c r="IT234" s="2131">
        <f>IF(IT$221,_xll.ciqfunctions.udf.CIQ($G234, "IQ_VOLUME", IT$222),"--")</f>
        <v>0</v>
      </c>
      <c r="IU234" s="2131">
        <f>IF(IU$221,_xll.ciqfunctions.udf.CIQ($G234, "IQ_VOLUME", IU$222),"--")</f>
        <v>0</v>
      </c>
      <c r="IV234" s="2131">
        <f>IF(IV$221,_xll.ciqfunctions.udf.CIQ($G234, "IQ_VOLUME", IV$222),"--")</f>
        <v>0</v>
      </c>
      <c r="IW234" s="2131">
        <f>IF(IW$221,_xll.ciqfunctions.udf.CIQ($G234, "IQ_VOLUME", IW$222),"--")</f>
        <v>0</v>
      </c>
      <c r="IX234" s="2131">
        <f>IF(IX$221,_xll.ciqfunctions.udf.CIQ($G234, "IQ_VOLUME", IX$222),"--")</f>
        <v>0</v>
      </c>
      <c r="IY234" s="2131">
        <f>IF(IY$221,_xll.ciqfunctions.udf.CIQ($G234, "IQ_VOLUME", IY$222),"--")</f>
        <v>0</v>
      </c>
      <c r="IZ234" s="2131">
        <f>IF(IZ$221,_xll.ciqfunctions.udf.CIQ($G234, "IQ_VOLUME", IZ$222),"--")</f>
        <v>0</v>
      </c>
      <c r="JA234" s="2131">
        <f>IF(JA$221,_xll.ciqfunctions.udf.CIQ($G234, "IQ_VOLUME", JA$222),"--")</f>
        <v>0</v>
      </c>
      <c r="JB234" s="2131">
        <f>IF(JB$221,_xll.ciqfunctions.udf.CIQ($G234, "IQ_VOLUME", JB$222),"--")</f>
        <v>0</v>
      </c>
      <c r="JC234" s="2131">
        <f>IF(JC$221,_xll.ciqfunctions.udf.CIQ($G234, "IQ_VOLUME", JC$222),"--")</f>
        <v>0</v>
      </c>
      <c r="JD234" s="2131">
        <f>IF(JD$221,_xll.ciqfunctions.udf.CIQ($G234, "IQ_VOLUME", JD$222),"--")</f>
        <v>0</v>
      </c>
      <c r="JE234" s="2131">
        <f>IF(JE$221,_xll.ciqfunctions.udf.CIQ($G234, "IQ_VOLUME", JE$222),"--")</f>
        <v>0</v>
      </c>
      <c r="JF234" s="2131">
        <f>IF(JF$221,_xll.ciqfunctions.udf.CIQ($G234, "IQ_VOLUME", JF$222),"--")</f>
        <v>0</v>
      </c>
      <c r="JG234" s="2131">
        <f>IF(JG$221,_xll.ciqfunctions.udf.CIQ($G234, "IQ_VOLUME", JG$222),"--")</f>
        <v>0</v>
      </c>
      <c r="JH234" s="2131">
        <f>IF(JH$221,_xll.ciqfunctions.udf.CIQ($G234, "IQ_VOLUME", JH$222),"--")</f>
        <v>0</v>
      </c>
      <c r="JI234" s="2131">
        <f>IF(JI$221,_xll.ciqfunctions.udf.CIQ($G234, "IQ_VOLUME", JI$222),"--")</f>
        <v>0</v>
      </c>
      <c r="JJ234" s="2131">
        <f>IF(JJ$221,_xll.ciqfunctions.udf.CIQ($G234, "IQ_VOLUME", JJ$222),"--")</f>
        <v>0</v>
      </c>
      <c r="JK234" s="2131">
        <f>IF(JK$221,_xll.ciqfunctions.udf.CIQ($G234, "IQ_VOLUME", JK$222),"--")</f>
        <v>0</v>
      </c>
      <c r="JL234" s="2131">
        <f>IF(JL$221,_xll.ciqfunctions.udf.CIQ($G234, "IQ_VOLUME", JL$222),"--")</f>
        <v>0</v>
      </c>
      <c r="JM234" s="2131">
        <f>IF(JM$221,_xll.ciqfunctions.udf.CIQ($G234, "IQ_VOLUME", JM$222),"--")</f>
        <v>0</v>
      </c>
      <c r="JN234" s="2131">
        <f>IF(JN$221,_xll.ciqfunctions.udf.CIQ($G234, "IQ_VOLUME", JN$222),"--")</f>
        <v>0</v>
      </c>
      <c r="JO234" s="2131">
        <f>IF(JO$221,_xll.ciqfunctions.udf.CIQ($G234, "IQ_VOLUME", JO$222),"--")</f>
        <v>0</v>
      </c>
      <c r="JP234" s="2131">
        <f>IF(JP$221,_xll.ciqfunctions.udf.CIQ($G234, "IQ_VOLUME", JP$222),"--")</f>
        <v>0</v>
      </c>
      <c r="JQ234" s="2131">
        <f>IF(JQ$221,_xll.ciqfunctions.udf.CIQ($G234, "IQ_VOLUME", JQ$222),"--")</f>
        <v>0</v>
      </c>
      <c r="JR234" s="2131">
        <f>IF(JR$221,_xll.ciqfunctions.udf.CIQ($G234, "IQ_VOLUME", JR$222),"--")</f>
        <v>0</v>
      </c>
      <c r="JS234" s="2131">
        <f>IF(JS$221,_xll.ciqfunctions.udf.CIQ($G234, "IQ_VOLUME", JS$222),"--")</f>
        <v>0</v>
      </c>
      <c r="JT234" s="2131">
        <f>IF(JT$221,_xll.ciqfunctions.udf.CIQ($G234, "IQ_VOLUME", JT$222),"--")</f>
        <v>0</v>
      </c>
      <c r="JU234" s="2131">
        <f>IF(JU$221,_xll.ciqfunctions.udf.CIQ($G234, "IQ_VOLUME", JU$222),"--")</f>
        <v>0</v>
      </c>
      <c r="JV234" s="2131">
        <f>IF(JV$221,_xll.ciqfunctions.udf.CIQ($G234, "IQ_VOLUME", JV$222),"--")</f>
        <v>0</v>
      </c>
      <c r="JW234" s="2131" t="str">
        <f>IF(JW$221,_xll.ciqfunctions.udf.CIQ($G234, "IQ_VOLUME", JW$222),"--")</f>
        <v>--</v>
      </c>
      <c r="JX234" s="2131" t="str">
        <f>IF(JX$221,_xll.ciqfunctions.udf.CIQ($G234, "IQ_VOLUME", JX$222),"--")</f>
        <v>--</v>
      </c>
      <c r="JY234" s="2131" t="str">
        <f>IF(JY$221,_xll.ciqfunctions.udf.CIQ($G234, "IQ_VOLUME", JY$222),"--")</f>
        <v>--</v>
      </c>
      <c r="JZ234" s="2131" t="str">
        <f>IF(JZ$221,_xll.ciqfunctions.udf.CIQ($G234, "IQ_VOLUME", JZ$222),"--")</f>
        <v>--</v>
      </c>
      <c r="KA234" s="2131" t="str">
        <f>IF(KA$221,_xll.ciqfunctions.udf.CIQ($G234, "IQ_VOLUME", KA$222),"--")</f>
        <v>--</v>
      </c>
      <c r="KB234" s="2131" t="str">
        <f>IF(KB$221,_xll.ciqfunctions.udf.CIQ($G234, "IQ_VOLUME", KB$222),"--")</f>
        <v>--</v>
      </c>
    </row>
    <row r="235" spans="1:288" s="89" customFormat="1" ht="13.9">
      <c r="A235" s="269" t="str">
        <f t="shared" si="47"/>
        <v>n</v>
      </c>
      <c r="B235" s="2060"/>
      <c r="D235" s="801"/>
      <c r="E235" s="1505">
        <v>12</v>
      </c>
      <c r="F235" s="21" t="str">
        <f>F$140</f>
        <v>--</v>
      </c>
      <c r="G235" s="2112">
        <f>G$140</f>
        <v>0</v>
      </c>
      <c r="H235" s="2112" t="str">
        <f>H$140</f>
        <v>--</v>
      </c>
      <c r="I235" s="22" t="s">
        <v>781</v>
      </c>
      <c r="J235" s="53"/>
      <c r="K235" s="2301" t="str">
        <f>IF(OR(K203=0,$G235=0),"--",IFERROR(_xll.ciqfunctions.udf.CIQ($G235,$I235,K111,Valuation_Date_GC,ReportType,DataMode,$H235,FXMode)*Scale,"--"))</f>
        <v>--</v>
      </c>
      <c r="L235" s="2301" t="str">
        <f>IF(OR(L203=0,$G235=0),"--",IFERROR(_xll.ciqfunctions.udf.CIQ($G235,$I235,L111,Valuation_Date_GC,ReportType,DataMode,$H235,FXMode)*Scale,"--"))</f>
        <v>--</v>
      </c>
      <c r="M235" s="2301" t="str">
        <f>IF(OR(M203=0,$G235=0),"--",IFERROR(_xll.ciqfunctions.udf.CIQ($G235,$I235,M111,Valuation_Date_GC,ReportType,DataMode,$H235,FXMode)*Scale,"--"))</f>
        <v>--</v>
      </c>
      <c r="N235" s="2301" t="str">
        <f>IF(OR(N203=0,$G235=0),"--",IFERROR(_xll.ciqfunctions.udf.CIQ($G235,$I235,N111,Valuation_Date_GC,ReportType,DataMode,$H235,FXMode)*Scale,"--"))</f>
        <v>--</v>
      </c>
      <c r="O235" s="1471" t="str">
        <f>IF(OR(O203=0,$G235=0),"--",IFERROR(_xll.ciqfunctions.udf.CIQ($G235,$I235,O111,Valuation_Date_GC,ReportType,DataMode,$H235,FXMode)*Scale,"--"))</f>
        <v>--</v>
      </c>
      <c r="P235" s="2301" t="str">
        <f>IF(OR(P203=0,$G235=0),"--",IFERROR(_xll.ciqfunctions.udf.CIQ($G235,$I235,P111,Valuation_Date_GC,ReportType,DataMode,$H235,FXMode)*Scale,"--"))</f>
        <v>--</v>
      </c>
      <c r="R235" s="255"/>
      <c r="T235" s="1779" t="s">
        <v>782</v>
      </c>
      <c r="U235" s="2131">
        <f>IF(U$221,_xll.ciqfunctions.udf.CIQ($G235, "IQ_VOLUME", U$222),"--")</f>
        <v>0</v>
      </c>
      <c r="V235" s="2131">
        <f>IF(V$221,_xll.ciqfunctions.udf.CIQ($G235, "IQ_VOLUME", V$222),"--")</f>
        <v>0</v>
      </c>
      <c r="W235" s="2131">
        <f>IF(W$221,_xll.ciqfunctions.udf.CIQ($G235, "IQ_VOLUME", W$222),"--")</f>
        <v>0</v>
      </c>
      <c r="X235" s="2131">
        <f>IF(X$221,_xll.ciqfunctions.udf.CIQ($G235, "IQ_VOLUME", X$222),"--")</f>
        <v>0</v>
      </c>
      <c r="Y235" s="2131">
        <f>IF(Y$221,_xll.ciqfunctions.udf.CIQ($G235, "IQ_VOLUME", Y$222),"--")</f>
        <v>0</v>
      </c>
      <c r="Z235" s="2131">
        <f>IF(Z$221,_xll.ciqfunctions.udf.CIQ($G235, "IQ_VOLUME", Z$222),"--")</f>
        <v>0</v>
      </c>
      <c r="AA235" s="2131">
        <f>IF(AA$221,_xll.ciqfunctions.udf.CIQ($G235, "IQ_VOLUME", AA$222),"--")</f>
        <v>0</v>
      </c>
      <c r="AB235" s="2131">
        <f>IF(AB$221,_xll.ciqfunctions.udf.CIQ($G235, "IQ_VOLUME", AB$222),"--")</f>
        <v>0</v>
      </c>
      <c r="AC235" s="2131">
        <f>IF(AC$221,_xll.ciqfunctions.udf.CIQ($G235, "IQ_VOLUME", AC$222),"--")</f>
        <v>0</v>
      </c>
      <c r="AD235" s="2131">
        <f>IF(AD$221,_xll.ciqfunctions.udf.CIQ($G235, "IQ_VOLUME", AD$222),"--")</f>
        <v>0</v>
      </c>
      <c r="AE235" s="2131">
        <f>IF(AE$221,_xll.ciqfunctions.udf.CIQ($G235, "IQ_VOLUME", AE$222),"--")</f>
        <v>0</v>
      </c>
      <c r="AF235" s="2131">
        <f>IF(AF$221,_xll.ciqfunctions.udf.CIQ($G235, "IQ_VOLUME", AF$222),"--")</f>
        <v>0</v>
      </c>
      <c r="AG235" s="2131">
        <f>IF(AG$221,_xll.ciqfunctions.udf.CIQ($G235, "IQ_VOLUME", AG$222),"--")</f>
        <v>0</v>
      </c>
      <c r="AH235" s="2131">
        <f>IF(AH$221,_xll.ciqfunctions.udf.CIQ($G235, "IQ_VOLUME", AH$222),"--")</f>
        <v>0</v>
      </c>
      <c r="AI235" s="2131">
        <f>IF(AI$221,_xll.ciqfunctions.udf.CIQ($G235, "IQ_VOLUME", AI$222),"--")</f>
        <v>0</v>
      </c>
      <c r="AJ235" s="2131">
        <f>IF(AJ$221,_xll.ciqfunctions.udf.CIQ($G235, "IQ_VOLUME", AJ$222),"--")</f>
        <v>0</v>
      </c>
      <c r="AK235" s="2131">
        <f>IF(AK$221,_xll.ciqfunctions.udf.CIQ($G235, "IQ_VOLUME", AK$222),"--")</f>
        <v>0</v>
      </c>
      <c r="AL235" s="2131">
        <f>IF(AL$221,_xll.ciqfunctions.udf.CIQ($G235, "IQ_VOLUME", AL$222),"--")</f>
        <v>0</v>
      </c>
      <c r="AM235" s="2131">
        <f>IF(AM$221,_xll.ciqfunctions.udf.CIQ($G235, "IQ_VOLUME", AM$222),"--")</f>
        <v>0</v>
      </c>
      <c r="AN235" s="2131">
        <f>IF(AN$221,_xll.ciqfunctions.udf.CIQ($G235, "IQ_VOLUME", AN$222),"--")</f>
        <v>0</v>
      </c>
      <c r="AO235" s="2131">
        <f>IF(AO$221,_xll.ciqfunctions.udf.CIQ($G235, "IQ_VOLUME", AO$222),"--")</f>
        <v>0</v>
      </c>
      <c r="AP235" s="2131">
        <f>IF(AP$221,_xll.ciqfunctions.udf.CIQ($G235, "IQ_VOLUME", AP$222),"--")</f>
        <v>0</v>
      </c>
      <c r="AQ235" s="2131">
        <f>IF(AQ$221,_xll.ciqfunctions.udf.CIQ($G235, "IQ_VOLUME", AQ$222),"--")</f>
        <v>0</v>
      </c>
      <c r="AR235" s="2131">
        <f>IF(AR$221,_xll.ciqfunctions.udf.CIQ($G235, "IQ_VOLUME", AR$222),"--")</f>
        <v>0</v>
      </c>
      <c r="AS235" s="2131">
        <f>IF(AS$221,_xll.ciqfunctions.udf.CIQ($G235, "IQ_VOLUME", AS$222),"--")</f>
        <v>0</v>
      </c>
      <c r="AT235" s="2131">
        <f>IF(AT$221,_xll.ciqfunctions.udf.CIQ($G235, "IQ_VOLUME", AT$222),"--")</f>
        <v>0</v>
      </c>
      <c r="AU235" s="2131">
        <f>IF(AU$221,_xll.ciqfunctions.udf.CIQ($G235, "IQ_VOLUME", AU$222),"--")</f>
        <v>0</v>
      </c>
      <c r="AV235" s="2131">
        <f>IF(AV$221,_xll.ciqfunctions.udf.CIQ($G235, "IQ_VOLUME", AV$222),"--")</f>
        <v>0</v>
      </c>
      <c r="AW235" s="2131">
        <f>IF(AW$221,_xll.ciqfunctions.udf.CIQ($G235, "IQ_VOLUME", AW$222),"--")</f>
        <v>0</v>
      </c>
      <c r="AX235" s="2131">
        <f>IF(AX$221,_xll.ciqfunctions.udf.CIQ($G235, "IQ_VOLUME", AX$222),"--")</f>
        <v>0</v>
      </c>
      <c r="AY235" s="2131">
        <f>IF(AY$221,_xll.ciqfunctions.udf.CIQ($G235, "IQ_VOLUME", AY$222),"--")</f>
        <v>0</v>
      </c>
      <c r="AZ235" s="2131">
        <f>IF(AZ$221,_xll.ciqfunctions.udf.CIQ($G235, "IQ_VOLUME", AZ$222),"--")</f>
        <v>0</v>
      </c>
      <c r="BA235" s="2131">
        <f>IF(BA$221,_xll.ciqfunctions.udf.CIQ($G235, "IQ_VOLUME", BA$222),"--")</f>
        <v>0</v>
      </c>
      <c r="BB235" s="2131">
        <f>IF(BB$221,_xll.ciqfunctions.udf.CIQ($G235, "IQ_VOLUME", BB$222),"--")</f>
        <v>0</v>
      </c>
      <c r="BC235" s="2131">
        <f>IF(BC$221,_xll.ciqfunctions.udf.CIQ($G235, "IQ_VOLUME", BC$222),"--")</f>
        <v>0</v>
      </c>
      <c r="BD235" s="2131">
        <f>IF(BD$221,_xll.ciqfunctions.udf.CIQ($G235, "IQ_VOLUME", BD$222),"--")</f>
        <v>0</v>
      </c>
      <c r="BE235" s="2131">
        <f>IF(BE$221,_xll.ciqfunctions.udf.CIQ($G235, "IQ_VOLUME", BE$222),"--")</f>
        <v>0</v>
      </c>
      <c r="BF235" s="2131">
        <f>IF(BF$221,_xll.ciqfunctions.udf.CIQ($G235, "IQ_VOLUME", BF$222),"--")</f>
        <v>0</v>
      </c>
      <c r="BG235" s="2131">
        <f>IF(BG$221,_xll.ciqfunctions.udf.CIQ($G235, "IQ_VOLUME", BG$222),"--")</f>
        <v>0</v>
      </c>
      <c r="BH235" s="2131">
        <f>IF(BH$221,_xll.ciqfunctions.udf.CIQ($G235, "IQ_VOLUME", BH$222),"--")</f>
        <v>0</v>
      </c>
      <c r="BI235" s="2131">
        <f>IF(BI$221,_xll.ciqfunctions.udf.CIQ($G235, "IQ_VOLUME", BI$222),"--")</f>
        <v>0</v>
      </c>
      <c r="BJ235" s="2131">
        <f>IF(BJ$221,_xll.ciqfunctions.udf.CIQ($G235, "IQ_VOLUME", BJ$222),"--")</f>
        <v>0</v>
      </c>
      <c r="BK235" s="2131">
        <f>IF(BK$221,_xll.ciqfunctions.udf.CIQ($G235, "IQ_VOLUME", BK$222),"--")</f>
        <v>0</v>
      </c>
      <c r="BL235" s="2131">
        <f>IF(BL$221,_xll.ciqfunctions.udf.CIQ($G235, "IQ_VOLUME", BL$222),"--")</f>
        <v>0</v>
      </c>
      <c r="BM235" s="2131">
        <f>IF(BM$221,_xll.ciqfunctions.udf.CIQ($G235, "IQ_VOLUME", BM$222),"--")</f>
        <v>0</v>
      </c>
      <c r="BN235" s="2131">
        <f>IF(BN$221,_xll.ciqfunctions.udf.CIQ($G235, "IQ_VOLUME", BN$222),"--")</f>
        <v>0</v>
      </c>
      <c r="BO235" s="2131">
        <f>IF(BO$221,_xll.ciqfunctions.udf.CIQ($G235, "IQ_VOLUME", BO$222),"--")</f>
        <v>0</v>
      </c>
      <c r="BP235" s="2131">
        <f>IF(BP$221,_xll.ciqfunctions.udf.CIQ($G235, "IQ_VOLUME", BP$222),"--")</f>
        <v>0</v>
      </c>
      <c r="BQ235" s="2131">
        <f>IF(BQ$221,_xll.ciqfunctions.udf.CIQ($G235, "IQ_VOLUME", BQ$222),"--")</f>
        <v>0</v>
      </c>
      <c r="BR235" s="2131">
        <f>IF(BR$221,_xll.ciqfunctions.udf.CIQ($G235, "IQ_VOLUME", BR$222),"--")</f>
        <v>0</v>
      </c>
      <c r="BS235" s="2131">
        <f>IF(BS$221,_xll.ciqfunctions.udf.CIQ($G235, "IQ_VOLUME", BS$222),"--")</f>
        <v>0</v>
      </c>
      <c r="BT235" s="2131">
        <f>IF(BT$221,_xll.ciqfunctions.udf.CIQ($G235, "IQ_VOLUME", BT$222),"--")</f>
        <v>0</v>
      </c>
      <c r="BU235" s="2131">
        <f>IF(BU$221,_xll.ciqfunctions.udf.CIQ($G235, "IQ_VOLUME", BU$222),"--")</f>
        <v>0</v>
      </c>
      <c r="BV235" s="2131">
        <f>IF(BV$221,_xll.ciqfunctions.udf.CIQ($G235, "IQ_VOLUME", BV$222),"--")</f>
        <v>0</v>
      </c>
      <c r="BW235" s="2131">
        <f>IF(BW$221,_xll.ciqfunctions.udf.CIQ($G235, "IQ_VOLUME", BW$222),"--")</f>
        <v>0</v>
      </c>
      <c r="BX235" s="2131">
        <f>IF(BX$221,_xll.ciqfunctions.udf.CIQ($G235, "IQ_VOLUME", BX$222),"--")</f>
        <v>0</v>
      </c>
      <c r="BY235" s="2131">
        <f>IF(BY$221,_xll.ciqfunctions.udf.CIQ($G235, "IQ_VOLUME", BY$222),"--")</f>
        <v>0</v>
      </c>
      <c r="BZ235" s="2131">
        <f>IF(BZ$221,_xll.ciqfunctions.udf.CIQ($G235, "IQ_VOLUME", BZ$222),"--")</f>
        <v>0</v>
      </c>
      <c r="CA235" s="2131">
        <f>IF(CA$221,_xll.ciqfunctions.udf.CIQ($G235, "IQ_VOLUME", CA$222),"--")</f>
        <v>0</v>
      </c>
      <c r="CB235" s="2131">
        <f>IF(CB$221,_xll.ciqfunctions.udf.CIQ($G235, "IQ_VOLUME", CB$222),"--")</f>
        <v>0</v>
      </c>
      <c r="CC235" s="2131">
        <f>IF(CC$221,_xll.ciqfunctions.udf.CIQ($G235, "IQ_VOLUME", CC$222),"--")</f>
        <v>0</v>
      </c>
      <c r="CD235" s="2131">
        <f>IF(CD$221,_xll.ciqfunctions.udf.CIQ($G235, "IQ_VOLUME", CD$222),"--")</f>
        <v>0</v>
      </c>
      <c r="CE235" s="2131">
        <f>IF(CE$221,_xll.ciqfunctions.udf.CIQ($G235, "IQ_VOLUME", CE$222),"--")</f>
        <v>0</v>
      </c>
      <c r="CF235" s="2131">
        <f>IF(CF$221,_xll.ciqfunctions.udf.CIQ($G235, "IQ_VOLUME", CF$222),"--")</f>
        <v>0</v>
      </c>
      <c r="CG235" s="2131">
        <f>IF(CG$221,_xll.ciqfunctions.udf.CIQ($G235, "IQ_VOLUME", CG$222),"--")</f>
        <v>0</v>
      </c>
      <c r="CH235" s="2131">
        <f>IF(CH$221,_xll.ciqfunctions.udf.CIQ($G235, "IQ_VOLUME", CH$222),"--")</f>
        <v>0</v>
      </c>
      <c r="CI235" s="2131">
        <f>IF(CI$221,_xll.ciqfunctions.udf.CIQ($G235, "IQ_VOLUME", CI$222),"--")</f>
        <v>0</v>
      </c>
      <c r="CJ235" s="2131">
        <f>IF(CJ$221,_xll.ciqfunctions.udf.CIQ($G235, "IQ_VOLUME", CJ$222),"--")</f>
        <v>0</v>
      </c>
      <c r="CK235" s="2131">
        <f>IF(CK$221,_xll.ciqfunctions.udf.CIQ($G235, "IQ_VOLUME", CK$222),"--")</f>
        <v>0</v>
      </c>
      <c r="CL235" s="2131">
        <f>IF(CL$221,_xll.ciqfunctions.udf.CIQ($G235, "IQ_VOLUME", CL$222),"--")</f>
        <v>0</v>
      </c>
      <c r="CM235" s="2131">
        <f>IF(CM$221,_xll.ciqfunctions.udf.CIQ($G235, "IQ_VOLUME", CM$222),"--")</f>
        <v>0</v>
      </c>
      <c r="CN235" s="2131">
        <f>IF(CN$221,_xll.ciqfunctions.udf.CIQ($G235, "IQ_VOLUME", CN$222),"--")</f>
        <v>0</v>
      </c>
      <c r="CO235" s="2131">
        <f>IF(CO$221,_xll.ciqfunctions.udf.CIQ($G235, "IQ_VOLUME", CO$222),"--")</f>
        <v>0</v>
      </c>
      <c r="CP235" s="2131">
        <f>IF(CP$221,_xll.ciqfunctions.udf.CIQ($G235, "IQ_VOLUME", CP$222),"--")</f>
        <v>0</v>
      </c>
      <c r="CQ235" s="2131">
        <f>IF(CQ$221,_xll.ciqfunctions.udf.CIQ($G235, "IQ_VOLUME", CQ$222),"--")</f>
        <v>0</v>
      </c>
      <c r="CR235" s="2131">
        <f>IF(CR$221,_xll.ciqfunctions.udf.CIQ($G235, "IQ_VOLUME", CR$222),"--")</f>
        <v>0</v>
      </c>
      <c r="CS235" s="2131">
        <f>IF(CS$221,_xll.ciqfunctions.udf.CIQ($G235, "IQ_VOLUME", CS$222),"--")</f>
        <v>0</v>
      </c>
      <c r="CT235" s="2131">
        <f>IF(CT$221,_xll.ciqfunctions.udf.CIQ($G235, "IQ_VOLUME", CT$222),"--")</f>
        <v>0</v>
      </c>
      <c r="CU235" s="2131">
        <f>IF(CU$221,_xll.ciqfunctions.udf.CIQ($G235, "IQ_VOLUME", CU$222),"--")</f>
        <v>0</v>
      </c>
      <c r="CV235" s="2131">
        <f>IF(CV$221,_xll.ciqfunctions.udf.CIQ($G235, "IQ_VOLUME", CV$222),"--")</f>
        <v>0</v>
      </c>
      <c r="CW235" s="2131">
        <f>IF(CW$221,_xll.ciqfunctions.udf.CIQ($G235, "IQ_VOLUME", CW$222),"--")</f>
        <v>0</v>
      </c>
      <c r="CX235" s="2131">
        <f>IF(CX$221,_xll.ciqfunctions.udf.CIQ($G235, "IQ_VOLUME", CX$222),"--")</f>
        <v>0</v>
      </c>
      <c r="CY235" s="2131">
        <f>IF(CY$221,_xll.ciqfunctions.udf.CIQ($G235, "IQ_VOLUME", CY$222),"--")</f>
        <v>0</v>
      </c>
      <c r="CZ235" s="2131">
        <f>IF(CZ$221,_xll.ciqfunctions.udf.CIQ($G235, "IQ_VOLUME", CZ$222),"--")</f>
        <v>0</v>
      </c>
      <c r="DA235" s="2131">
        <f>IF(DA$221,_xll.ciqfunctions.udf.CIQ($G235, "IQ_VOLUME", DA$222),"--")</f>
        <v>0</v>
      </c>
      <c r="DB235" s="2131">
        <f>IF(DB$221,_xll.ciqfunctions.udf.CIQ($G235, "IQ_VOLUME", DB$222),"--")</f>
        <v>0</v>
      </c>
      <c r="DC235" s="2131">
        <f>IF(DC$221,_xll.ciqfunctions.udf.CIQ($G235, "IQ_VOLUME", DC$222),"--")</f>
        <v>0</v>
      </c>
      <c r="DD235" s="2131">
        <f>IF(DD$221,_xll.ciqfunctions.udf.CIQ($G235, "IQ_VOLUME", DD$222),"--")</f>
        <v>0</v>
      </c>
      <c r="DE235" s="2131">
        <f>IF(DE$221,_xll.ciqfunctions.udf.CIQ($G235, "IQ_VOLUME", DE$222),"--")</f>
        <v>0</v>
      </c>
      <c r="DF235" s="2131">
        <f>IF(DF$221,_xll.ciqfunctions.udf.CIQ($G235, "IQ_VOLUME", DF$222),"--")</f>
        <v>0</v>
      </c>
      <c r="DG235" s="2131">
        <f>IF(DG$221,_xll.ciqfunctions.udf.CIQ($G235, "IQ_VOLUME", DG$222),"--")</f>
        <v>0</v>
      </c>
      <c r="DH235" s="2131">
        <f>IF(DH$221,_xll.ciqfunctions.udf.CIQ($G235, "IQ_VOLUME", DH$222),"--")</f>
        <v>0</v>
      </c>
      <c r="DI235" s="2131">
        <f>IF(DI$221,_xll.ciqfunctions.udf.CIQ($G235, "IQ_VOLUME", DI$222),"--")</f>
        <v>0</v>
      </c>
      <c r="DJ235" s="2131">
        <f>IF(DJ$221,_xll.ciqfunctions.udf.CIQ($G235, "IQ_VOLUME", DJ$222),"--")</f>
        <v>0</v>
      </c>
      <c r="DK235" s="2131">
        <f>IF(DK$221,_xll.ciqfunctions.udf.CIQ($G235, "IQ_VOLUME", DK$222),"--")</f>
        <v>0</v>
      </c>
      <c r="DL235" s="2131">
        <f>IF(DL$221,_xll.ciqfunctions.udf.CIQ($G235, "IQ_VOLUME", DL$222),"--")</f>
        <v>0</v>
      </c>
      <c r="DM235" s="2131">
        <f>IF(DM$221,_xll.ciqfunctions.udf.CIQ($G235, "IQ_VOLUME", DM$222),"--")</f>
        <v>0</v>
      </c>
      <c r="DN235" s="2131">
        <f>IF(DN$221,_xll.ciqfunctions.udf.CIQ($G235, "IQ_VOLUME", DN$222),"--")</f>
        <v>0</v>
      </c>
      <c r="DO235" s="2131">
        <f>IF(DO$221,_xll.ciqfunctions.udf.CIQ($G235, "IQ_VOLUME", DO$222),"--")</f>
        <v>0</v>
      </c>
      <c r="DP235" s="2131">
        <f>IF(DP$221,_xll.ciqfunctions.udf.CIQ($G235, "IQ_VOLUME", DP$222),"--")</f>
        <v>0</v>
      </c>
      <c r="DQ235" s="2131">
        <f>IF(DQ$221,_xll.ciqfunctions.udf.CIQ($G235, "IQ_VOLUME", DQ$222),"--")</f>
        <v>0</v>
      </c>
      <c r="DR235" s="2131">
        <f>IF(DR$221,_xll.ciqfunctions.udf.CIQ($G235, "IQ_VOLUME", DR$222),"--")</f>
        <v>0</v>
      </c>
      <c r="DS235" s="2131">
        <f>IF(DS$221,_xll.ciqfunctions.udf.CIQ($G235, "IQ_VOLUME", DS$222),"--")</f>
        <v>0</v>
      </c>
      <c r="DT235" s="2131">
        <f>IF(DT$221,_xll.ciqfunctions.udf.CIQ($G235, "IQ_VOLUME", DT$222),"--")</f>
        <v>0</v>
      </c>
      <c r="DU235" s="2131">
        <f>IF(DU$221,_xll.ciqfunctions.udf.CIQ($G235, "IQ_VOLUME", DU$222),"--")</f>
        <v>0</v>
      </c>
      <c r="DV235" s="2131">
        <f>IF(DV$221,_xll.ciqfunctions.udf.CIQ($G235, "IQ_VOLUME", DV$222),"--")</f>
        <v>0</v>
      </c>
      <c r="DW235" s="2131">
        <f>IF(DW$221,_xll.ciqfunctions.udf.CIQ($G235, "IQ_VOLUME", DW$222),"--")</f>
        <v>0</v>
      </c>
      <c r="DX235" s="2131">
        <f>IF(DX$221,_xll.ciqfunctions.udf.CIQ($G235, "IQ_VOLUME", DX$222),"--")</f>
        <v>0</v>
      </c>
      <c r="DY235" s="2131">
        <f>IF(DY$221,_xll.ciqfunctions.udf.CIQ($G235, "IQ_VOLUME", DY$222),"--")</f>
        <v>0</v>
      </c>
      <c r="DZ235" s="2131">
        <f>IF(DZ$221,_xll.ciqfunctions.udf.CIQ($G235, "IQ_VOLUME", DZ$222),"--")</f>
        <v>0</v>
      </c>
      <c r="EA235" s="2131">
        <f>IF(EA$221,_xll.ciqfunctions.udf.CIQ($G235, "IQ_VOLUME", EA$222),"--")</f>
        <v>0</v>
      </c>
      <c r="EB235" s="2131">
        <f>IF(EB$221,_xll.ciqfunctions.udf.CIQ($G235, "IQ_VOLUME", EB$222),"--")</f>
        <v>0</v>
      </c>
      <c r="EC235" s="2131">
        <f>IF(EC$221,_xll.ciqfunctions.udf.CIQ($G235, "IQ_VOLUME", EC$222),"--")</f>
        <v>0</v>
      </c>
      <c r="ED235" s="2131">
        <f>IF(ED$221,_xll.ciqfunctions.udf.CIQ($G235, "IQ_VOLUME", ED$222),"--")</f>
        <v>0</v>
      </c>
      <c r="EE235" s="2131">
        <f>IF(EE$221,_xll.ciqfunctions.udf.CIQ($G235, "IQ_VOLUME", EE$222),"--")</f>
        <v>0</v>
      </c>
      <c r="EF235" s="2131">
        <f>IF(EF$221,_xll.ciqfunctions.udf.CIQ($G235, "IQ_VOLUME", EF$222),"--")</f>
        <v>0</v>
      </c>
      <c r="EG235" s="2131">
        <f>IF(EG$221,_xll.ciqfunctions.udf.CIQ($G235, "IQ_VOLUME", EG$222),"--")</f>
        <v>0</v>
      </c>
      <c r="EH235" s="2131">
        <f>IF(EH$221,_xll.ciqfunctions.udf.CIQ($G235, "IQ_VOLUME", EH$222),"--")</f>
        <v>0</v>
      </c>
      <c r="EI235" s="2131">
        <f>IF(EI$221,_xll.ciqfunctions.udf.CIQ($G235, "IQ_VOLUME", EI$222),"--")</f>
        <v>0</v>
      </c>
      <c r="EJ235" s="2131">
        <f>IF(EJ$221,_xll.ciqfunctions.udf.CIQ($G235, "IQ_VOLUME", EJ$222),"--")</f>
        <v>0</v>
      </c>
      <c r="EK235" s="2131">
        <f>IF(EK$221,_xll.ciqfunctions.udf.CIQ($G235, "IQ_VOLUME", EK$222),"--")</f>
        <v>0</v>
      </c>
      <c r="EL235" s="2131">
        <f>IF(EL$221,_xll.ciqfunctions.udf.CIQ($G235, "IQ_VOLUME", EL$222),"--")</f>
        <v>0</v>
      </c>
      <c r="EM235" s="2131">
        <f>IF(EM$221,_xll.ciqfunctions.udf.CIQ($G235, "IQ_VOLUME", EM$222),"--")</f>
        <v>0</v>
      </c>
      <c r="EN235" s="2131">
        <f>IF(EN$221,_xll.ciqfunctions.udf.CIQ($G235, "IQ_VOLUME", EN$222),"--")</f>
        <v>0</v>
      </c>
      <c r="EO235" s="2131">
        <f>IF(EO$221,_xll.ciqfunctions.udf.CIQ($G235, "IQ_VOLUME", EO$222),"--")</f>
        <v>0</v>
      </c>
      <c r="EP235" s="2131">
        <f>IF(EP$221,_xll.ciqfunctions.udf.CIQ($G235, "IQ_VOLUME", EP$222),"--")</f>
        <v>0</v>
      </c>
      <c r="EQ235" s="2131">
        <f>IF(EQ$221,_xll.ciqfunctions.udf.CIQ($G235, "IQ_VOLUME", EQ$222),"--")</f>
        <v>0</v>
      </c>
      <c r="ER235" s="2131">
        <f>IF(ER$221,_xll.ciqfunctions.udf.CIQ($G235, "IQ_VOLUME", ER$222),"--")</f>
        <v>0</v>
      </c>
      <c r="ES235" s="2131">
        <f>IF(ES$221,_xll.ciqfunctions.udf.CIQ($G235, "IQ_VOLUME", ES$222),"--")</f>
        <v>0</v>
      </c>
      <c r="ET235" s="2131">
        <f>IF(ET$221,_xll.ciqfunctions.udf.CIQ($G235, "IQ_VOLUME", ET$222),"--")</f>
        <v>0</v>
      </c>
      <c r="EU235" s="2131">
        <f>IF(EU$221,_xll.ciqfunctions.udf.CIQ($G235, "IQ_VOLUME", EU$222),"--")</f>
        <v>0</v>
      </c>
      <c r="EV235" s="2131">
        <f>IF(EV$221,_xll.ciqfunctions.udf.CIQ($G235, "IQ_VOLUME", EV$222),"--")</f>
        <v>0</v>
      </c>
      <c r="EW235" s="2131">
        <f>IF(EW$221,_xll.ciqfunctions.udf.CIQ($G235, "IQ_VOLUME", EW$222),"--")</f>
        <v>0</v>
      </c>
      <c r="EX235" s="2131">
        <f>IF(EX$221,_xll.ciqfunctions.udf.CIQ($G235, "IQ_VOLUME", EX$222),"--")</f>
        <v>0</v>
      </c>
      <c r="EY235" s="2131">
        <f>IF(EY$221,_xll.ciqfunctions.udf.CIQ($G235, "IQ_VOLUME", EY$222),"--")</f>
        <v>0</v>
      </c>
      <c r="EZ235" s="2131">
        <f>IF(EZ$221,_xll.ciqfunctions.udf.CIQ($G235, "IQ_VOLUME", EZ$222),"--")</f>
        <v>0</v>
      </c>
      <c r="FA235" s="2131">
        <f>IF(FA$221,_xll.ciqfunctions.udf.CIQ($G235, "IQ_VOLUME", FA$222),"--")</f>
        <v>0</v>
      </c>
      <c r="FB235" s="2131">
        <f>IF(FB$221,_xll.ciqfunctions.udf.CIQ($G235, "IQ_VOLUME", FB$222),"--")</f>
        <v>0</v>
      </c>
      <c r="FC235" s="2131">
        <f>IF(FC$221,_xll.ciqfunctions.udf.CIQ($G235, "IQ_VOLUME", FC$222),"--")</f>
        <v>0</v>
      </c>
      <c r="FD235" s="2131">
        <f>IF(FD$221,_xll.ciqfunctions.udf.CIQ($G235, "IQ_VOLUME", FD$222),"--")</f>
        <v>0</v>
      </c>
      <c r="FE235" s="2131">
        <f>IF(FE$221,_xll.ciqfunctions.udf.CIQ($G235, "IQ_VOLUME", FE$222),"--")</f>
        <v>0</v>
      </c>
      <c r="FF235" s="2131">
        <f>IF(FF$221,_xll.ciqfunctions.udf.CIQ($G235, "IQ_VOLUME", FF$222),"--")</f>
        <v>0</v>
      </c>
      <c r="FG235" s="2131">
        <f>IF(FG$221,_xll.ciqfunctions.udf.CIQ($G235, "IQ_VOLUME", FG$222),"--")</f>
        <v>0</v>
      </c>
      <c r="FH235" s="2131">
        <f>IF(FH$221,_xll.ciqfunctions.udf.CIQ($G235, "IQ_VOLUME", FH$222),"--")</f>
        <v>0</v>
      </c>
      <c r="FI235" s="2131">
        <f>IF(FI$221,_xll.ciqfunctions.udf.CIQ($G235, "IQ_VOLUME", FI$222),"--")</f>
        <v>0</v>
      </c>
      <c r="FJ235" s="2131">
        <f>IF(FJ$221,_xll.ciqfunctions.udf.CIQ($G235, "IQ_VOLUME", FJ$222),"--")</f>
        <v>0</v>
      </c>
      <c r="FK235" s="2131">
        <f>IF(FK$221,_xll.ciqfunctions.udf.CIQ($G235, "IQ_VOLUME", FK$222),"--")</f>
        <v>0</v>
      </c>
      <c r="FL235" s="2131">
        <f>IF(FL$221,_xll.ciqfunctions.udf.CIQ($G235, "IQ_VOLUME", FL$222),"--")</f>
        <v>0</v>
      </c>
      <c r="FM235" s="2131">
        <f>IF(FM$221,_xll.ciqfunctions.udf.CIQ($G235, "IQ_VOLUME", FM$222),"--")</f>
        <v>0</v>
      </c>
      <c r="FN235" s="2131">
        <f>IF(FN$221,_xll.ciqfunctions.udf.CIQ($G235, "IQ_VOLUME", FN$222),"--")</f>
        <v>0</v>
      </c>
      <c r="FO235" s="2131">
        <f>IF(FO$221,_xll.ciqfunctions.udf.CIQ($G235, "IQ_VOLUME", FO$222),"--")</f>
        <v>0</v>
      </c>
      <c r="FP235" s="2131">
        <f>IF(FP$221,_xll.ciqfunctions.udf.CIQ($G235, "IQ_VOLUME", FP$222),"--")</f>
        <v>0</v>
      </c>
      <c r="FQ235" s="2131">
        <f>IF(FQ$221,_xll.ciqfunctions.udf.CIQ($G235, "IQ_VOLUME", FQ$222),"--")</f>
        <v>0</v>
      </c>
      <c r="FR235" s="2131">
        <f>IF(FR$221,_xll.ciqfunctions.udf.CIQ($G235, "IQ_VOLUME", FR$222),"--")</f>
        <v>0</v>
      </c>
      <c r="FS235" s="2131">
        <f>IF(FS$221,_xll.ciqfunctions.udf.CIQ($G235, "IQ_VOLUME", FS$222),"--")</f>
        <v>0</v>
      </c>
      <c r="FT235" s="2131">
        <f>IF(FT$221,_xll.ciqfunctions.udf.CIQ($G235, "IQ_VOLUME", FT$222),"--")</f>
        <v>0</v>
      </c>
      <c r="FU235" s="2131">
        <f>IF(FU$221,_xll.ciqfunctions.udf.CIQ($G235, "IQ_VOLUME", FU$222),"--")</f>
        <v>0</v>
      </c>
      <c r="FV235" s="2131">
        <f>IF(FV$221,_xll.ciqfunctions.udf.CIQ($G235, "IQ_VOLUME", FV$222),"--")</f>
        <v>0</v>
      </c>
      <c r="FW235" s="2131">
        <f>IF(FW$221,_xll.ciqfunctions.udf.CIQ($G235, "IQ_VOLUME", FW$222),"--")</f>
        <v>0</v>
      </c>
      <c r="FX235" s="2131">
        <f>IF(FX$221,_xll.ciqfunctions.udf.CIQ($G235, "IQ_VOLUME", FX$222),"--")</f>
        <v>0</v>
      </c>
      <c r="FY235" s="2131">
        <f>IF(FY$221,_xll.ciqfunctions.udf.CIQ($G235, "IQ_VOLUME", FY$222),"--")</f>
        <v>0</v>
      </c>
      <c r="FZ235" s="2131">
        <f>IF(FZ$221,_xll.ciqfunctions.udf.CIQ($G235, "IQ_VOLUME", FZ$222),"--")</f>
        <v>0</v>
      </c>
      <c r="GA235" s="2131">
        <f>IF(GA$221,_xll.ciqfunctions.udf.CIQ($G235, "IQ_VOLUME", GA$222),"--")</f>
        <v>0</v>
      </c>
      <c r="GB235" s="2131">
        <f>IF(GB$221,_xll.ciqfunctions.udf.CIQ($G235, "IQ_VOLUME", GB$222),"--")</f>
        <v>0</v>
      </c>
      <c r="GC235" s="2131">
        <f>IF(GC$221,_xll.ciqfunctions.udf.CIQ($G235, "IQ_VOLUME", GC$222),"--")</f>
        <v>0</v>
      </c>
      <c r="GD235" s="2131">
        <f>IF(GD$221,_xll.ciqfunctions.udf.CIQ($G235, "IQ_VOLUME", GD$222),"--")</f>
        <v>0</v>
      </c>
      <c r="GE235" s="2131">
        <f>IF(GE$221,_xll.ciqfunctions.udf.CIQ($G235, "IQ_VOLUME", GE$222),"--")</f>
        <v>0</v>
      </c>
      <c r="GF235" s="2131">
        <f>IF(GF$221,_xll.ciqfunctions.udf.CIQ($G235, "IQ_VOLUME", GF$222),"--")</f>
        <v>0</v>
      </c>
      <c r="GG235" s="2131">
        <f>IF(GG$221,_xll.ciqfunctions.udf.CIQ($G235, "IQ_VOLUME", GG$222),"--")</f>
        <v>0</v>
      </c>
      <c r="GH235" s="2131">
        <f>IF(GH$221,_xll.ciqfunctions.udf.CIQ($G235, "IQ_VOLUME", GH$222),"--")</f>
        <v>0</v>
      </c>
      <c r="GI235" s="2131">
        <f>IF(GI$221,_xll.ciqfunctions.udf.CIQ($G235, "IQ_VOLUME", GI$222),"--")</f>
        <v>0</v>
      </c>
      <c r="GJ235" s="2131">
        <f>IF(GJ$221,_xll.ciqfunctions.udf.CIQ($G235, "IQ_VOLUME", GJ$222),"--")</f>
        <v>0</v>
      </c>
      <c r="GK235" s="2131">
        <f>IF(GK$221,_xll.ciqfunctions.udf.CIQ($G235, "IQ_VOLUME", GK$222),"--")</f>
        <v>0</v>
      </c>
      <c r="GL235" s="2131">
        <f>IF(GL$221,_xll.ciqfunctions.udf.CIQ($G235, "IQ_VOLUME", GL$222),"--")</f>
        <v>0</v>
      </c>
      <c r="GM235" s="2131">
        <f>IF(GM$221,_xll.ciqfunctions.udf.CIQ($G235, "IQ_VOLUME", GM$222),"--")</f>
        <v>0</v>
      </c>
      <c r="GN235" s="2131">
        <f>IF(GN$221,_xll.ciqfunctions.udf.CIQ($G235, "IQ_VOLUME", GN$222),"--")</f>
        <v>0</v>
      </c>
      <c r="GO235" s="2131">
        <f>IF(GO$221,_xll.ciqfunctions.udf.CIQ($G235, "IQ_VOLUME", GO$222),"--")</f>
        <v>0</v>
      </c>
      <c r="GP235" s="2131">
        <f>IF(GP$221,_xll.ciqfunctions.udf.CIQ($G235, "IQ_VOLUME", GP$222),"--")</f>
        <v>0</v>
      </c>
      <c r="GQ235" s="2131">
        <f>IF(GQ$221,_xll.ciqfunctions.udf.CIQ($G235, "IQ_VOLUME", GQ$222),"--")</f>
        <v>0</v>
      </c>
      <c r="GR235" s="2131">
        <f>IF(GR$221,_xll.ciqfunctions.udf.CIQ($G235, "IQ_VOLUME", GR$222),"--")</f>
        <v>0</v>
      </c>
      <c r="GS235" s="2131">
        <f>IF(GS$221,_xll.ciqfunctions.udf.CIQ($G235, "IQ_VOLUME", GS$222),"--")</f>
        <v>0</v>
      </c>
      <c r="GT235" s="2131">
        <f>IF(GT$221,_xll.ciqfunctions.udf.CIQ($G235, "IQ_VOLUME", GT$222),"--")</f>
        <v>0</v>
      </c>
      <c r="GU235" s="2131">
        <f>IF(GU$221,_xll.ciqfunctions.udf.CIQ($G235, "IQ_VOLUME", GU$222),"--")</f>
        <v>0</v>
      </c>
      <c r="GV235" s="2131">
        <f>IF(GV$221,_xll.ciqfunctions.udf.CIQ($G235, "IQ_VOLUME", GV$222),"--")</f>
        <v>0</v>
      </c>
      <c r="GW235" s="2131">
        <f>IF(GW$221,_xll.ciqfunctions.udf.CIQ($G235, "IQ_VOLUME", GW$222),"--")</f>
        <v>0</v>
      </c>
      <c r="GX235" s="2131">
        <f>IF(GX$221,_xll.ciqfunctions.udf.CIQ($G235, "IQ_VOLUME", GX$222),"--")</f>
        <v>0</v>
      </c>
      <c r="GY235" s="2131">
        <f>IF(GY$221,_xll.ciqfunctions.udf.CIQ($G235, "IQ_VOLUME", GY$222),"--")</f>
        <v>0</v>
      </c>
      <c r="GZ235" s="2131">
        <f>IF(GZ$221,_xll.ciqfunctions.udf.CIQ($G235, "IQ_VOLUME", GZ$222),"--")</f>
        <v>0</v>
      </c>
      <c r="HA235" s="2131">
        <f>IF(HA$221,_xll.ciqfunctions.udf.CIQ($G235, "IQ_VOLUME", HA$222),"--")</f>
        <v>0</v>
      </c>
      <c r="HB235" s="2131">
        <f>IF(HB$221,_xll.ciqfunctions.udf.CIQ($G235, "IQ_VOLUME", HB$222),"--")</f>
        <v>0</v>
      </c>
      <c r="HC235" s="2131">
        <f>IF(HC$221,_xll.ciqfunctions.udf.CIQ($G235, "IQ_VOLUME", HC$222),"--")</f>
        <v>0</v>
      </c>
      <c r="HD235" s="2131">
        <f>IF(HD$221,_xll.ciqfunctions.udf.CIQ($G235, "IQ_VOLUME", HD$222),"--")</f>
        <v>0</v>
      </c>
      <c r="HE235" s="2131">
        <f>IF(HE$221,_xll.ciqfunctions.udf.CIQ($G235, "IQ_VOLUME", HE$222),"--")</f>
        <v>0</v>
      </c>
      <c r="HF235" s="2131">
        <f>IF(HF$221,_xll.ciqfunctions.udf.CIQ($G235, "IQ_VOLUME", HF$222),"--")</f>
        <v>0</v>
      </c>
      <c r="HG235" s="2131">
        <f>IF(HG$221,_xll.ciqfunctions.udf.CIQ($G235, "IQ_VOLUME", HG$222),"--")</f>
        <v>0</v>
      </c>
      <c r="HH235" s="2131">
        <f>IF(HH$221,_xll.ciqfunctions.udf.CIQ($G235, "IQ_VOLUME", HH$222),"--")</f>
        <v>0</v>
      </c>
      <c r="HI235" s="2131">
        <f>IF(HI$221,_xll.ciqfunctions.udf.CIQ($G235, "IQ_VOLUME", HI$222),"--")</f>
        <v>0</v>
      </c>
      <c r="HJ235" s="2131">
        <f>IF(HJ$221,_xll.ciqfunctions.udf.CIQ($G235, "IQ_VOLUME", HJ$222),"--")</f>
        <v>0</v>
      </c>
      <c r="HK235" s="2131">
        <f>IF(HK$221,_xll.ciqfunctions.udf.CIQ($G235, "IQ_VOLUME", HK$222),"--")</f>
        <v>0</v>
      </c>
      <c r="HL235" s="2131">
        <f>IF(HL$221,_xll.ciqfunctions.udf.CIQ($G235, "IQ_VOLUME", HL$222),"--")</f>
        <v>0</v>
      </c>
      <c r="HM235" s="2131">
        <f>IF(HM$221,_xll.ciqfunctions.udf.CIQ($G235, "IQ_VOLUME", HM$222),"--")</f>
        <v>0</v>
      </c>
      <c r="HN235" s="2131">
        <f>IF(HN$221,_xll.ciqfunctions.udf.CIQ($G235, "IQ_VOLUME", HN$222),"--")</f>
        <v>0</v>
      </c>
      <c r="HO235" s="2131">
        <f>IF(HO$221,_xll.ciqfunctions.udf.CIQ($G235, "IQ_VOLUME", HO$222),"--")</f>
        <v>0</v>
      </c>
      <c r="HP235" s="2131">
        <f>IF(HP$221,_xll.ciqfunctions.udf.CIQ($G235, "IQ_VOLUME", HP$222),"--")</f>
        <v>0</v>
      </c>
      <c r="HQ235" s="2131">
        <f>IF(HQ$221,_xll.ciqfunctions.udf.CIQ($G235, "IQ_VOLUME", HQ$222),"--")</f>
        <v>0</v>
      </c>
      <c r="HR235" s="2131">
        <f>IF(HR$221,_xll.ciqfunctions.udf.CIQ($G235, "IQ_VOLUME", HR$222),"--")</f>
        <v>0</v>
      </c>
      <c r="HS235" s="2131">
        <f>IF(HS$221,_xll.ciqfunctions.udf.CIQ($G235, "IQ_VOLUME", HS$222),"--")</f>
        <v>0</v>
      </c>
      <c r="HT235" s="2131">
        <f>IF(HT$221,_xll.ciqfunctions.udf.CIQ($G235, "IQ_VOLUME", HT$222),"--")</f>
        <v>0</v>
      </c>
      <c r="HU235" s="2131">
        <f>IF(HU$221,_xll.ciqfunctions.udf.CIQ($G235, "IQ_VOLUME", HU$222),"--")</f>
        <v>0</v>
      </c>
      <c r="HV235" s="2131">
        <f>IF(HV$221,_xll.ciqfunctions.udf.CIQ($G235, "IQ_VOLUME", HV$222),"--")</f>
        <v>0</v>
      </c>
      <c r="HW235" s="2131">
        <f>IF(HW$221,_xll.ciqfunctions.udf.CIQ($G235, "IQ_VOLUME", HW$222),"--")</f>
        <v>0</v>
      </c>
      <c r="HX235" s="2131">
        <f>IF(HX$221,_xll.ciqfunctions.udf.CIQ($G235, "IQ_VOLUME", HX$222),"--")</f>
        <v>0</v>
      </c>
      <c r="HY235" s="2131">
        <f>IF(HY$221,_xll.ciqfunctions.udf.CIQ($G235, "IQ_VOLUME", HY$222),"--")</f>
        <v>0</v>
      </c>
      <c r="HZ235" s="2131">
        <f>IF(HZ$221,_xll.ciqfunctions.udf.CIQ($G235, "IQ_VOLUME", HZ$222),"--")</f>
        <v>0</v>
      </c>
      <c r="IA235" s="2131">
        <f>IF(IA$221,_xll.ciqfunctions.udf.CIQ($G235, "IQ_VOLUME", IA$222),"--")</f>
        <v>0</v>
      </c>
      <c r="IB235" s="2131">
        <f>IF(IB$221,_xll.ciqfunctions.udf.CIQ($G235, "IQ_VOLUME", IB$222),"--")</f>
        <v>0</v>
      </c>
      <c r="IC235" s="2131">
        <f>IF(IC$221,_xll.ciqfunctions.udf.CIQ($G235, "IQ_VOLUME", IC$222),"--")</f>
        <v>0</v>
      </c>
      <c r="ID235" s="2131">
        <f>IF(ID$221,_xll.ciqfunctions.udf.CIQ($G235, "IQ_VOLUME", ID$222),"--")</f>
        <v>0</v>
      </c>
      <c r="IE235" s="2131">
        <f>IF(IE$221,_xll.ciqfunctions.udf.CIQ($G235, "IQ_VOLUME", IE$222),"--")</f>
        <v>0</v>
      </c>
      <c r="IF235" s="2131">
        <f>IF(IF$221,_xll.ciqfunctions.udf.CIQ($G235, "IQ_VOLUME", IF$222),"--")</f>
        <v>0</v>
      </c>
      <c r="IG235" s="2131">
        <f>IF(IG$221,_xll.ciqfunctions.udf.CIQ($G235, "IQ_VOLUME", IG$222),"--")</f>
        <v>0</v>
      </c>
      <c r="IH235" s="2131">
        <f>IF(IH$221,_xll.ciqfunctions.udf.CIQ($G235, "IQ_VOLUME", IH$222),"--")</f>
        <v>0</v>
      </c>
      <c r="II235" s="2131">
        <f>IF(II$221,_xll.ciqfunctions.udf.CIQ($G235, "IQ_VOLUME", II$222),"--")</f>
        <v>0</v>
      </c>
      <c r="IJ235" s="2131">
        <f>IF(IJ$221,_xll.ciqfunctions.udf.CIQ($G235, "IQ_VOLUME", IJ$222),"--")</f>
        <v>0</v>
      </c>
      <c r="IK235" s="2131">
        <f>IF(IK$221,_xll.ciqfunctions.udf.CIQ($G235, "IQ_VOLUME", IK$222),"--")</f>
        <v>0</v>
      </c>
      <c r="IL235" s="2131">
        <f>IF(IL$221,_xll.ciqfunctions.udf.CIQ($G235, "IQ_VOLUME", IL$222),"--")</f>
        <v>0</v>
      </c>
      <c r="IM235" s="2131">
        <f>IF(IM$221,_xll.ciqfunctions.udf.CIQ($G235, "IQ_VOLUME", IM$222),"--")</f>
        <v>0</v>
      </c>
      <c r="IN235" s="2131">
        <f>IF(IN$221,_xll.ciqfunctions.udf.CIQ($G235, "IQ_VOLUME", IN$222),"--")</f>
        <v>0</v>
      </c>
      <c r="IO235" s="2131">
        <f>IF(IO$221,_xll.ciqfunctions.udf.CIQ($G235, "IQ_VOLUME", IO$222),"--")</f>
        <v>0</v>
      </c>
      <c r="IP235" s="2131">
        <f>IF(IP$221,_xll.ciqfunctions.udf.CIQ($G235, "IQ_VOLUME", IP$222),"--")</f>
        <v>0</v>
      </c>
      <c r="IQ235" s="2131">
        <f>IF(IQ$221,_xll.ciqfunctions.udf.CIQ($G235, "IQ_VOLUME", IQ$222),"--")</f>
        <v>0</v>
      </c>
      <c r="IR235" s="2131">
        <f>IF(IR$221,_xll.ciqfunctions.udf.CIQ($G235, "IQ_VOLUME", IR$222),"--")</f>
        <v>0</v>
      </c>
      <c r="IS235" s="2131">
        <f>IF(IS$221,_xll.ciqfunctions.udf.CIQ($G235, "IQ_VOLUME", IS$222),"--")</f>
        <v>0</v>
      </c>
      <c r="IT235" s="2131">
        <f>IF(IT$221,_xll.ciqfunctions.udf.CIQ($G235, "IQ_VOLUME", IT$222),"--")</f>
        <v>0</v>
      </c>
      <c r="IU235" s="2131">
        <f>IF(IU$221,_xll.ciqfunctions.udf.CIQ($G235, "IQ_VOLUME", IU$222),"--")</f>
        <v>0</v>
      </c>
      <c r="IV235" s="2131">
        <f>IF(IV$221,_xll.ciqfunctions.udf.CIQ($G235, "IQ_VOLUME", IV$222),"--")</f>
        <v>0</v>
      </c>
      <c r="IW235" s="2131">
        <f>IF(IW$221,_xll.ciqfunctions.udf.CIQ($G235, "IQ_VOLUME", IW$222),"--")</f>
        <v>0</v>
      </c>
      <c r="IX235" s="2131">
        <f>IF(IX$221,_xll.ciqfunctions.udf.CIQ($G235, "IQ_VOLUME", IX$222),"--")</f>
        <v>0</v>
      </c>
      <c r="IY235" s="2131">
        <f>IF(IY$221,_xll.ciqfunctions.udf.CIQ($G235, "IQ_VOLUME", IY$222),"--")</f>
        <v>0</v>
      </c>
      <c r="IZ235" s="2131">
        <f>IF(IZ$221,_xll.ciqfunctions.udf.CIQ($G235, "IQ_VOLUME", IZ$222),"--")</f>
        <v>0</v>
      </c>
      <c r="JA235" s="2131">
        <f>IF(JA$221,_xll.ciqfunctions.udf.CIQ($G235, "IQ_VOLUME", JA$222),"--")</f>
        <v>0</v>
      </c>
      <c r="JB235" s="2131">
        <f>IF(JB$221,_xll.ciqfunctions.udf.CIQ($G235, "IQ_VOLUME", JB$222),"--")</f>
        <v>0</v>
      </c>
      <c r="JC235" s="2131">
        <f>IF(JC$221,_xll.ciqfunctions.udf.CIQ($G235, "IQ_VOLUME", JC$222),"--")</f>
        <v>0</v>
      </c>
      <c r="JD235" s="2131">
        <f>IF(JD$221,_xll.ciqfunctions.udf.CIQ($G235, "IQ_VOLUME", JD$222),"--")</f>
        <v>0</v>
      </c>
      <c r="JE235" s="2131">
        <f>IF(JE$221,_xll.ciqfunctions.udf.CIQ($G235, "IQ_VOLUME", JE$222),"--")</f>
        <v>0</v>
      </c>
      <c r="JF235" s="2131">
        <f>IF(JF$221,_xll.ciqfunctions.udf.CIQ($G235, "IQ_VOLUME", JF$222),"--")</f>
        <v>0</v>
      </c>
      <c r="JG235" s="2131">
        <f>IF(JG$221,_xll.ciqfunctions.udf.CIQ($G235, "IQ_VOLUME", JG$222),"--")</f>
        <v>0</v>
      </c>
      <c r="JH235" s="2131">
        <f>IF(JH$221,_xll.ciqfunctions.udf.CIQ($G235, "IQ_VOLUME", JH$222),"--")</f>
        <v>0</v>
      </c>
      <c r="JI235" s="2131">
        <f>IF(JI$221,_xll.ciqfunctions.udf.CIQ($G235, "IQ_VOLUME", JI$222),"--")</f>
        <v>0</v>
      </c>
      <c r="JJ235" s="2131">
        <f>IF(JJ$221,_xll.ciqfunctions.udf.CIQ($G235, "IQ_VOLUME", JJ$222),"--")</f>
        <v>0</v>
      </c>
      <c r="JK235" s="2131">
        <f>IF(JK$221,_xll.ciqfunctions.udf.CIQ($G235, "IQ_VOLUME", JK$222),"--")</f>
        <v>0</v>
      </c>
      <c r="JL235" s="2131">
        <f>IF(JL$221,_xll.ciqfunctions.udf.CIQ($G235, "IQ_VOLUME", JL$222),"--")</f>
        <v>0</v>
      </c>
      <c r="JM235" s="2131">
        <f>IF(JM$221,_xll.ciqfunctions.udf.CIQ($G235, "IQ_VOLUME", JM$222),"--")</f>
        <v>0</v>
      </c>
      <c r="JN235" s="2131">
        <f>IF(JN$221,_xll.ciqfunctions.udf.CIQ($G235, "IQ_VOLUME", JN$222),"--")</f>
        <v>0</v>
      </c>
      <c r="JO235" s="2131">
        <f>IF(JO$221,_xll.ciqfunctions.udf.CIQ($G235, "IQ_VOLUME", JO$222),"--")</f>
        <v>0</v>
      </c>
      <c r="JP235" s="2131">
        <f>IF(JP$221,_xll.ciqfunctions.udf.CIQ($G235, "IQ_VOLUME", JP$222),"--")</f>
        <v>0</v>
      </c>
      <c r="JQ235" s="2131">
        <f>IF(JQ$221,_xll.ciqfunctions.udf.CIQ($G235, "IQ_VOLUME", JQ$222),"--")</f>
        <v>0</v>
      </c>
      <c r="JR235" s="2131">
        <f>IF(JR$221,_xll.ciqfunctions.udf.CIQ($G235, "IQ_VOLUME", JR$222),"--")</f>
        <v>0</v>
      </c>
      <c r="JS235" s="2131">
        <f>IF(JS$221,_xll.ciqfunctions.udf.CIQ($G235, "IQ_VOLUME", JS$222),"--")</f>
        <v>0</v>
      </c>
      <c r="JT235" s="2131">
        <f>IF(JT$221,_xll.ciqfunctions.udf.CIQ($G235, "IQ_VOLUME", JT$222),"--")</f>
        <v>0</v>
      </c>
      <c r="JU235" s="2131">
        <f>IF(JU$221,_xll.ciqfunctions.udf.CIQ($G235, "IQ_VOLUME", JU$222),"--")</f>
        <v>0</v>
      </c>
      <c r="JV235" s="2131">
        <f>IF(JV$221,_xll.ciqfunctions.udf.CIQ($G235, "IQ_VOLUME", JV$222),"--")</f>
        <v>0</v>
      </c>
      <c r="JW235" s="2131" t="str">
        <f>IF(JW$221,_xll.ciqfunctions.udf.CIQ($G235, "IQ_VOLUME", JW$222),"--")</f>
        <v>--</v>
      </c>
      <c r="JX235" s="2131" t="str">
        <f>IF(JX$221,_xll.ciqfunctions.udf.CIQ($G235, "IQ_VOLUME", JX$222),"--")</f>
        <v>--</v>
      </c>
      <c r="JY235" s="2131" t="str">
        <f>IF(JY$221,_xll.ciqfunctions.udf.CIQ($G235, "IQ_VOLUME", JY$222),"--")</f>
        <v>--</v>
      </c>
      <c r="JZ235" s="2131" t="str">
        <f>IF(JZ$221,_xll.ciqfunctions.udf.CIQ($G235, "IQ_VOLUME", JZ$222),"--")</f>
        <v>--</v>
      </c>
      <c r="KA235" s="2131" t="str">
        <f>IF(KA$221,_xll.ciqfunctions.udf.CIQ($G235, "IQ_VOLUME", KA$222),"--")</f>
        <v>--</v>
      </c>
      <c r="KB235" s="2131" t="str">
        <f>IF(KB$221,_xll.ciqfunctions.udf.CIQ($G235, "IQ_VOLUME", KB$222),"--")</f>
        <v>--</v>
      </c>
    </row>
    <row r="236" spans="1:288" s="89" customFormat="1" ht="13.9">
      <c r="A236" s="269" t="str">
        <f t="shared" si="47"/>
        <v>n</v>
      </c>
      <c r="B236" s="2060"/>
      <c r="D236" s="801"/>
      <c r="E236" s="1505">
        <v>13</v>
      </c>
      <c r="F236" s="21" t="str">
        <f>F$141</f>
        <v>--</v>
      </c>
      <c r="G236" s="2112">
        <f>G$141</f>
        <v>0</v>
      </c>
      <c r="H236" s="2112" t="str">
        <f>H$141</f>
        <v>--</v>
      </c>
      <c r="I236" s="22" t="s">
        <v>781</v>
      </c>
      <c r="J236" s="53"/>
      <c r="K236" s="2301" t="str">
        <f>IF(OR(K204=0,$G236=0),"--",IFERROR(_xll.ciqfunctions.udf.CIQ($G236,$I236,K112,Valuation_Date_GC,ReportType,DataMode,$H236,FXMode)*Scale,"--"))</f>
        <v>--</v>
      </c>
      <c r="L236" s="2301" t="str">
        <f>IF(OR(L204=0,$G236=0),"--",IFERROR(_xll.ciqfunctions.udf.CIQ($G236,$I236,L112,Valuation_Date_GC,ReportType,DataMode,$H236,FXMode)*Scale,"--"))</f>
        <v>--</v>
      </c>
      <c r="M236" s="2301" t="str">
        <f>IF(OR(M204=0,$G236=0),"--",IFERROR(_xll.ciqfunctions.udf.CIQ($G236,$I236,M112,Valuation_Date_GC,ReportType,DataMode,$H236,FXMode)*Scale,"--"))</f>
        <v>--</v>
      </c>
      <c r="N236" s="2301" t="str">
        <f>IF(OR(N204=0,$G236=0),"--",IFERROR(_xll.ciqfunctions.udf.CIQ($G236,$I236,N112,Valuation_Date_GC,ReportType,DataMode,$H236,FXMode)*Scale,"--"))</f>
        <v>--</v>
      </c>
      <c r="O236" s="1471" t="str">
        <f>IF(OR(O204=0,$G236=0),"--",IFERROR(_xll.ciqfunctions.udf.CIQ($G236,$I236,O112,Valuation_Date_GC,ReportType,DataMode,$H236,FXMode)*Scale,"--"))</f>
        <v>--</v>
      </c>
      <c r="P236" s="2301" t="str">
        <f>IF(OR(P204=0,$G236=0),"--",IFERROR(_xll.ciqfunctions.udf.CIQ($G236,$I236,P112,Valuation_Date_GC,ReportType,DataMode,$H236,FXMode)*Scale,"--"))</f>
        <v>--</v>
      </c>
      <c r="R236" s="255"/>
      <c r="T236" s="1779" t="s">
        <v>782</v>
      </c>
      <c r="U236" s="2131">
        <f>IF(U$221,_xll.ciqfunctions.udf.CIQ($G236, "IQ_VOLUME", U$222),"--")</f>
        <v>0</v>
      </c>
      <c r="V236" s="2131">
        <f>IF(V$221,_xll.ciqfunctions.udf.CIQ($G236, "IQ_VOLUME", V$222),"--")</f>
        <v>0</v>
      </c>
      <c r="W236" s="2131">
        <f>IF(W$221,_xll.ciqfunctions.udf.CIQ($G236, "IQ_VOLUME", W$222),"--")</f>
        <v>0</v>
      </c>
      <c r="X236" s="2131">
        <f>IF(X$221,_xll.ciqfunctions.udf.CIQ($G236, "IQ_VOLUME", X$222),"--")</f>
        <v>0</v>
      </c>
      <c r="Y236" s="2131">
        <f>IF(Y$221,_xll.ciqfunctions.udf.CIQ($G236, "IQ_VOLUME", Y$222),"--")</f>
        <v>0</v>
      </c>
      <c r="Z236" s="2131">
        <f>IF(Z$221,_xll.ciqfunctions.udf.CIQ($G236, "IQ_VOLUME", Z$222),"--")</f>
        <v>0</v>
      </c>
      <c r="AA236" s="2131">
        <f>IF(AA$221,_xll.ciqfunctions.udf.CIQ($G236, "IQ_VOLUME", AA$222),"--")</f>
        <v>0</v>
      </c>
      <c r="AB236" s="2131">
        <f>IF(AB$221,_xll.ciqfunctions.udf.CIQ($G236, "IQ_VOLUME", AB$222),"--")</f>
        <v>0</v>
      </c>
      <c r="AC236" s="2131">
        <f>IF(AC$221,_xll.ciqfunctions.udf.CIQ($G236, "IQ_VOLUME", AC$222),"--")</f>
        <v>0</v>
      </c>
      <c r="AD236" s="2131">
        <f>IF(AD$221,_xll.ciqfunctions.udf.CIQ($G236, "IQ_VOLUME", AD$222),"--")</f>
        <v>0</v>
      </c>
      <c r="AE236" s="2131">
        <f>IF(AE$221,_xll.ciqfunctions.udf.CIQ($G236, "IQ_VOLUME", AE$222),"--")</f>
        <v>0</v>
      </c>
      <c r="AF236" s="2131">
        <f>IF(AF$221,_xll.ciqfunctions.udf.CIQ($G236, "IQ_VOLUME", AF$222),"--")</f>
        <v>0</v>
      </c>
      <c r="AG236" s="2131">
        <f>IF(AG$221,_xll.ciqfunctions.udf.CIQ($G236, "IQ_VOLUME", AG$222),"--")</f>
        <v>0</v>
      </c>
      <c r="AH236" s="2131">
        <f>IF(AH$221,_xll.ciqfunctions.udf.CIQ($G236, "IQ_VOLUME", AH$222),"--")</f>
        <v>0</v>
      </c>
      <c r="AI236" s="2131">
        <f>IF(AI$221,_xll.ciqfunctions.udf.CIQ($G236, "IQ_VOLUME", AI$222),"--")</f>
        <v>0</v>
      </c>
      <c r="AJ236" s="2131">
        <f>IF(AJ$221,_xll.ciqfunctions.udf.CIQ($G236, "IQ_VOLUME", AJ$222),"--")</f>
        <v>0</v>
      </c>
      <c r="AK236" s="2131">
        <f>IF(AK$221,_xll.ciqfunctions.udf.CIQ($G236, "IQ_VOLUME", AK$222),"--")</f>
        <v>0</v>
      </c>
      <c r="AL236" s="2131">
        <f>IF(AL$221,_xll.ciqfunctions.udf.CIQ($G236, "IQ_VOLUME", AL$222),"--")</f>
        <v>0</v>
      </c>
      <c r="AM236" s="2131">
        <f>IF(AM$221,_xll.ciqfunctions.udf.CIQ($G236, "IQ_VOLUME", AM$222),"--")</f>
        <v>0</v>
      </c>
      <c r="AN236" s="2131">
        <f>IF(AN$221,_xll.ciqfunctions.udf.CIQ($G236, "IQ_VOLUME", AN$222),"--")</f>
        <v>0</v>
      </c>
      <c r="AO236" s="2131">
        <f>IF(AO$221,_xll.ciqfunctions.udf.CIQ($G236, "IQ_VOLUME", AO$222),"--")</f>
        <v>0</v>
      </c>
      <c r="AP236" s="2131">
        <f>IF(AP$221,_xll.ciqfunctions.udf.CIQ($G236, "IQ_VOLUME", AP$222),"--")</f>
        <v>0</v>
      </c>
      <c r="AQ236" s="2131">
        <f>IF(AQ$221,_xll.ciqfunctions.udf.CIQ($G236, "IQ_VOLUME", AQ$222),"--")</f>
        <v>0</v>
      </c>
      <c r="AR236" s="2131">
        <f>IF(AR$221,_xll.ciqfunctions.udf.CIQ($G236, "IQ_VOLUME", AR$222),"--")</f>
        <v>0</v>
      </c>
      <c r="AS236" s="2131">
        <f>IF(AS$221,_xll.ciqfunctions.udf.CIQ($G236, "IQ_VOLUME", AS$222),"--")</f>
        <v>0</v>
      </c>
      <c r="AT236" s="2131">
        <f>IF(AT$221,_xll.ciqfunctions.udf.CIQ($G236, "IQ_VOLUME", AT$222),"--")</f>
        <v>0</v>
      </c>
      <c r="AU236" s="2131">
        <f>IF(AU$221,_xll.ciqfunctions.udf.CIQ($G236, "IQ_VOLUME", AU$222),"--")</f>
        <v>0</v>
      </c>
      <c r="AV236" s="2131">
        <f>IF(AV$221,_xll.ciqfunctions.udf.CIQ($G236, "IQ_VOLUME", AV$222),"--")</f>
        <v>0</v>
      </c>
      <c r="AW236" s="2131">
        <f>IF(AW$221,_xll.ciqfunctions.udf.CIQ($G236, "IQ_VOLUME", AW$222),"--")</f>
        <v>0</v>
      </c>
      <c r="AX236" s="2131">
        <f>IF(AX$221,_xll.ciqfunctions.udf.CIQ($G236, "IQ_VOLUME", AX$222),"--")</f>
        <v>0</v>
      </c>
      <c r="AY236" s="2131">
        <f>IF(AY$221,_xll.ciqfunctions.udf.CIQ($G236, "IQ_VOLUME", AY$222),"--")</f>
        <v>0</v>
      </c>
      <c r="AZ236" s="2131">
        <f>IF(AZ$221,_xll.ciqfunctions.udf.CIQ($G236, "IQ_VOLUME", AZ$222),"--")</f>
        <v>0</v>
      </c>
      <c r="BA236" s="2131">
        <f>IF(BA$221,_xll.ciqfunctions.udf.CIQ($G236, "IQ_VOLUME", BA$222),"--")</f>
        <v>0</v>
      </c>
      <c r="BB236" s="2131">
        <f>IF(BB$221,_xll.ciqfunctions.udf.CIQ($G236, "IQ_VOLUME", BB$222),"--")</f>
        <v>0</v>
      </c>
      <c r="BC236" s="2131">
        <f>IF(BC$221,_xll.ciqfunctions.udf.CIQ($G236, "IQ_VOLUME", BC$222),"--")</f>
        <v>0</v>
      </c>
      <c r="BD236" s="2131">
        <f>IF(BD$221,_xll.ciqfunctions.udf.CIQ($G236, "IQ_VOLUME", BD$222),"--")</f>
        <v>0</v>
      </c>
      <c r="BE236" s="2131">
        <f>IF(BE$221,_xll.ciqfunctions.udf.CIQ($G236, "IQ_VOLUME", BE$222),"--")</f>
        <v>0</v>
      </c>
      <c r="BF236" s="2131">
        <f>IF(BF$221,_xll.ciqfunctions.udf.CIQ($G236, "IQ_VOLUME", BF$222),"--")</f>
        <v>0</v>
      </c>
      <c r="BG236" s="2131">
        <f>IF(BG$221,_xll.ciqfunctions.udf.CIQ($G236, "IQ_VOLUME", BG$222),"--")</f>
        <v>0</v>
      </c>
      <c r="BH236" s="2131">
        <f>IF(BH$221,_xll.ciqfunctions.udf.CIQ($G236, "IQ_VOLUME", BH$222),"--")</f>
        <v>0</v>
      </c>
      <c r="BI236" s="2131">
        <f>IF(BI$221,_xll.ciqfunctions.udf.CIQ($G236, "IQ_VOLUME", BI$222),"--")</f>
        <v>0</v>
      </c>
      <c r="BJ236" s="2131">
        <f>IF(BJ$221,_xll.ciqfunctions.udf.CIQ($G236, "IQ_VOLUME", BJ$222),"--")</f>
        <v>0</v>
      </c>
      <c r="BK236" s="2131">
        <f>IF(BK$221,_xll.ciqfunctions.udf.CIQ($G236, "IQ_VOLUME", BK$222),"--")</f>
        <v>0</v>
      </c>
      <c r="BL236" s="2131">
        <f>IF(BL$221,_xll.ciqfunctions.udf.CIQ($G236, "IQ_VOLUME", BL$222),"--")</f>
        <v>0</v>
      </c>
      <c r="BM236" s="2131">
        <f>IF(BM$221,_xll.ciqfunctions.udf.CIQ($G236, "IQ_VOLUME", BM$222),"--")</f>
        <v>0</v>
      </c>
      <c r="BN236" s="2131">
        <f>IF(BN$221,_xll.ciqfunctions.udf.CIQ($G236, "IQ_VOLUME", BN$222),"--")</f>
        <v>0</v>
      </c>
      <c r="BO236" s="2131">
        <f>IF(BO$221,_xll.ciqfunctions.udf.CIQ($G236, "IQ_VOLUME", BO$222),"--")</f>
        <v>0</v>
      </c>
      <c r="BP236" s="2131">
        <f>IF(BP$221,_xll.ciqfunctions.udf.CIQ($G236, "IQ_VOLUME", BP$222),"--")</f>
        <v>0</v>
      </c>
      <c r="BQ236" s="2131">
        <f>IF(BQ$221,_xll.ciqfunctions.udf.CIQ($G236, "IQ_VOLUME", BQ$222),"--")</f>
        <v>0</v>
      </c>
      <c r="BR236" s="2131">
        <f>IF(BR$221,_xll.ciqfunctions.udf.CIQ($G236, "IQ_VOLUME", BR$222),"--")</f>
        <v>0</v>
      </c>
      <c r="BS236" s="2131">
        <f>IF(BS$221,_xll.ciqfunctions.udf.CIQ($G236, "IQ_VOLUME", BS$222),"--")</f>
        <v>0</v>
      </c>
      <c r="BT236" s="2131">
        <f>IF(BT$221,_xll.ciqfunctions.udf.CIQ($G236, "IQ_VOLUME", BT$222),"--")</f>
        <v>0</v>
      </c>
      <c r="BU236" s="2131">
        <f>IF(BU$221,_xll.ciqfunctions.udf.CIQ($G236, "IQ_VOLUME", BU$222),"--")</f>
        <v>0</v>
      </c>
      <c r="BV236" s="2131">
        <f>IF(BV$221,_xll.ciqfunctions.udf.CIQ($G236, "IQ_VOLUME", BV$222),"--")</f>
        <v>0</v>
      </c>
      <c r="BW236" s="2131">
        <f>IF(BW$221,_xll.ciqfunctions.udf.CIQ($G236, "IQ_VOLUME", BW$222),"--")</f>
        <v>0</v>
      </c>
      <c r="BX236" s="2131">
        <f>IF(BX$221,_xll.ciqfunctions.udf.CIQ($G236, "IQ_VOLUME", BX$222),"--")</f>
        <v>0</v>
      </c>
      <c r="BY236" s="2131">
        <f>IF(BY$221,_xll.ciqfunctions.udf.CIQ($G236, "IQ_VOLUME", BY$222),"--")</f>
        <v>0</v>
      </c>
      <c r="BZ236" s="2131">
        <f>IF(BZ$221,_xll.ciqfunctions.udf.CIQ($G236, "IQ_VOLUME", BZ$222),"--")</f>
        <v>0</v>
      </c>
      <c r="CA236" s="2131">
        <f>IF(CA$221,_xll.ciqfunctions.udf.CIQ($G236, "IQ_VOLUME", CA$222),"--")</f>
        <v>0</v>
      </c>
      <c r="CB236" s="2131">
        <f>IF(CB$221,_xll.ciqfunctions.udf.CIQ($G236, "IQ_VOLUME", CB$222),"--")</f>
        <v>0</v>
      </c>
      <c r="CC236" s="2131">
        <f>IF(CC$221,_xll.ciqfunctions.udf.CIQ($G236, "IQ_VOLUME", CC$222),"--")</f>
        <v>0</v>
      </c>
      <c r="CD236" s="2131">
        <f>IF(CD$221,_xll.ciqfunctions.udf.CIQ($G236, "IQ_VOLUME", CD$222),"--")</f>
        <v>0</v>
      </c>
      <c r="CE236" s="2131">
        <f>IF(CE$221,_xll.ciqfunctions.udf.CIQ($G236, "IQ_VOLUME", CE$222),"--")</f>
        <v>0</v>
      </c>
      <c r="CF236" s="2131">
        <f>IF(CF$221,_xll.ciqfunctions.udf.CIQ($G236, "IQ_VOLUME", CF$222),"--")</f>
        <v>0</v>
      </c>
      <c r="CG236" s="2131">
        <f>IF(CG$221,_xll.ciqfunctions.udf.CIQ($G236, "IQ_VOLUME", CG$222),"--")</f>
        <v>0</v>
      </c>
      <c r="CH236" s="2131">
        <f>IF(CH$221,_xll.ciqfunctions.udf.CIQ($G236, "IQ_VOLUME", CH$222),"--")</f>
        <v>0</v>
      </c>
      <c r="CI236" s="2131">
        <f>IF(CI$221,_xll.ciqfunctions.udf.CIQ($G236, "IQ_VOLUME", CI$222),"--")</f>
        <v>0</v>
      </c>
      <c r="CJ236" s="2131">
        <f>IF(CJ$221,_xll.ciqfunctions.udf.CIQ($G236, "IQ_VOLUME", CJ$222),"--")</f>
        <v>0</v>
      </c>
      <c r="CK236" s="2131">
        <f>IF(CK$221,_xll.ciqfunctions.udf.CIQ($G236, "IQ_VOLUME", CK$222),"--")</f>
        <v>0</v>
      </c>
      <c r="CL236" s="2131">
        <f>IF(CL$221,_xll.ciqfunctions.udf.CIQ($G236, "IQ_VOLUME", CL$222),"--")</f>
        <v>0</v>
      </c>
      <c r="CM236" s="2131">
        <f>IF(CM$221,_xll.ciqfunctions.udf.CIQ($G236, "IQ_VOLUME", CM$222),"--")</f>
        <v>0</v>
      </c>
      <c r="CN236" s="2131">
        <f>IF(CN$221,_xll.ciqfunctions.udf.CIQ($G236, "IQ_VOLUME", CN$222),"--")</f>
        <v>0</v>
      </c>
      <c r="CO236" s="2131">
        <f>IF(CO$221,_xll.ciqfunctions.udf.CIQ($G236, "IQ_VOLUME", CO$222),"--")</f>
        <v>0</v>
      </c>
      <c r="CP236" s="2131">
        <f>IF(CP$221,_xll.ciqfunctions.udf.CIQ($G236, "IQ_VOLUME", CP$222),"--")</f>
        <v>0</v>
      </c>
      <c r="CQ236" s="2131">
        <f>IF(CQ$221,_xll.ciqfunctions.udf.CIQ($G236, "IQ_VOLUME", CQ$222),"--")</f>
        <v>0</v>
      </c>
      <c r="CR236" s="2131">
        <f>IF(CR$221,_xll.ciqfunctions.udf.CIQ($G236, "IQ_VOLUME", CR$222),"--")</f>
        <v>0</v>
      </c>
      <c r="CS236" s="2131">
        <f>IF(CS$221,_xll.ciqfunctions.udf.CIQ($G236, "IQ_VOLUME", CS$222),"--")</f>
        <v>0</v>
      </c>
      <c r="CT236" s="2131">
        <f>IF(CT$221,_xll.ciqfunctions.udf.CIQ($G236, "IQ_VOLUME", CT$222),"--")</f>
        <v>0</v>
      </c>
      <c r="CU236" s="2131">
        <f>IF(CU$221,_xll.ciqfunctions.udf.CIQ($G236, "IQ_VOLUME", CU$222),"--")</f>
        <v>0</v>
      </c>
      <c r="CV236" s="2131">
        <f>IF(CV$221,_xll.ciqfunctions.udf.CIQ($G236, "IQ_VOLUME", CV$222),"--")</f>
        <v>0</v>
      </c>
      <c r="CW236" s="2131">
        <f>IF(CW$221,_xll.ciqfunctions.udf.CIQ($G236, "IQ_VOLUME", CW$222),"--")</f>
        <v>0</v>
      </c>
      <c r="CX236" s="2131">
        <f>IF(CX$221,_xll.ciqfunctions.udf.CIQ($G236, "IQ_VOLUME", CX$222),"--")</f>
        <v>0</v>
      </c>
      <c r="CY236" s="2131">
        <f>IF(CY$221,_xll.ciqfunctions.udf.CIQ($G236, "IQ_VOLUME", CY$222),"--")</f>
        <v>0</v>
      </c>
      <c r="CZ236" s="2131">
        <f>IF(CZ$221,_xll.ciqfunctions.udf.CIQ($G236, "IQ_VOLUME", CZ$222),"--")</f>
        <v>0</v>
      </c>
      <c r="DA236" s="2131">
        <f>IF(DA$221,_xll.ciqfunctions.udf.CIQ($G236, "IQ_VOLUME", DA$222),"--")</f>
        <v>0</v>
      </c>
      <c r="DB236" s="2131">
        <f>IF(DB$221,_xll.ciqfunctions.udf.CIQ($G236, "IQ_VOLUME", DB$222),"--")</f>
        <v>0</v>
      </c>
      <c r="DC236" s="2131">
        <f>IF(DC$221,_xll.ciqfunctions.udf.CIQ($G236, "IQ_VOLUME", DC$222),"--")</f>
        <v>0</v>
      </c>
      <c r="DD236" s="2131">
        <f>IF(DD$221,_xll.ciqfunctions.udf.CIQ($G236, "IQ_VOLUME", DD$222),"--")</f>
        <v>0</v>
      </c>
      <c r="DE236" s="2131">
        <f>IF(DE$221,_xll.ciqfunctions.udf.CIQ($G236, "IQ_VOLUME", DE$222),"--")</f>
        <v>0</v>
      </c>
      <c r="DF236" s="2131">
        <f>IF(DF$221,_xll.ciqfunctions.udf.CIQ($G236, "IQ_VOLUME", DF$222),"--")</f>
        <v>0</v>
      </c>
      <c r="DG236" s="2131">
        <f>IF(DG$221,_xll.ciqfunctions.udf.CIQ($G236, "IQ_VOLUME", DG$222),"--")</f>
        <v>0</v>
      </c>
      <c r="DH236" s="2131">
        <f>IF(DH$221,_xll.ciqfunctions.udf.CIQ($G236, "IQ_VOLUME", DH$222),"--")</f>
        <v>0</v>
      </c>
      <c r="DI236" s="2131">
        <f>IF(DI$221,_xll.ciqfunctions.udf.CIQ($G236, "IQ_VOLUME", DI$222),"--")</f>
        <v>0</v>
      </c>
      <c r="DJ236" s="2131">
        <f>IF(DJ$221,_xll.ciqfunctions.udf.CIQ($G236, "IQ_VOLUME", DJ$222),"--")</f>
        <v>0</v>
      </c>
      <c r="DK236" s="2131">
        <f>IF(DK$221,_xll.ciqfunctions.udf.CIQ($G236, "IQ_VOLUME", DK$222),"--")</f>
        <v>0</v>
      </c>
      <c r="DL236" s="2131">
        <f>IF(DL$221,_xll.ciqfunctions.udf.CIQ($G236, "IQ_VOLUME", DL$222),"--")</f>
        <v>0</v>
      </c>
      <c r="DM236" s="2131">
        <f>IF(DM$221,_xll.ciqfunctions.udf.CIQ($G236, "IQ_VOLUME", DM$222),"--")</f>
        <v>0</v>
      </c>
      <c r="DN236" s="2131">
        <f>IF(DN$221,_xll.ciqfunctions.udf.CIQ($G236, "IQ_VOLUME", DN$222),"--")</f>
        <v>0</v>
      </c>
      <c r="DO236" s="2131">
        <f>IF(DO$221,_xll.ciqfunctions.udf.CIQ($G236, "IQ_VOLUME", DO$222),"--")</f>
        <v>0</v>
      </c>
      <c r="DP236" s="2131">
        <f>IF(DP$221,_xll.ciqfunctions.udf.CIQ($G236, "IQ_VOLUME", DP$222),"--")</f>
        <v>0</v>
      </c>
      <c r="DQ236" s="2131">
        <f>IF(DQ$221,_xll.ciqfunctions.udf.CIQ($G236, "IQ_VOLUME", DQ$222),"--")</f>
        <v>0</v>
      </c>
      <c r="DR236" s="2131">
        <f>IF(DR$221,_xll.ciqfunctions.udf.CIQ($G236, "IQ_VOLUME", DR$222),"--")</f>
        <v>0</v>
      </c>
      <c r="DS236" s="2131">
        <f>IF(DS$221,_xll.ciqfunctions.udf.CIQ($G236, "IQ_VOLUME", DS$222),"--")</f>
        <v>0</v>
      </c>
      <c r="DT236" s="2131">
        <f>IF(DT$221,_xll.ciqfunctions.udf.CIQ($G236, "IQ_VOLUME", DT$222),"--")</f>
        <v>0</v>
      </c>
      <c r="DU236" s="2131">
        <f>IF(DU$221,_xll.ciqfunctions.udf.CIQ($G236, "IQ_VOLUME", DU$222),"--")</f>
        <v>0</v>
      </c>
      <c r="DV236" s="2131">
        <f>IF(DV$221,_xll.ciqfunctions.udf.CIQ($G236, "IQ_VOLUME", DV$222),"--")</f>
        <v>0</v>
      </c>
      <c r="DW236" s="2131">
        <f>IF(DW$221,_xll.ciqfunctions.udf.CIQ($G236, "IQ_VOLUME", DW$222),"--")</f>
        <v>0</v>
      </c>
      <c r="DX236" s="2131">
        <f>IF(DX$221,_xll.ciqfunctions.udf.CIQ($G236, "IQ_VOLUME", DX$222),"--")</f>
        <v>0</v>
      </c>
      <c r="DY236" s="2131">
        <f>IF(DY$221,_xll.ciqfunctions.udf.CIQ($G236, "IQ_VOLUME", DY$222),"--")</f>
        <v>0</v>
      </c>
      <c r="DZ236" s="2131">
        <f>IF(DZ$221,_xll.ciqfunctions.udf.CIQ($G236, "IQ_VOLUME", DZ$222),"--")</f>
        <v>0</v>
      </c>
      <c r="EA236" s="2131">
        <f>IF(EA$221,_xll.ciqfunctions.udf.CIQ($G236, "IQ_VOLUME", EA$222),"--")</f>
        <v>0</v>
      </c>
      <c r="EB236" s="2131">
        <f>IF(EB$221,_xll.ciqfunctions.udf.CIQ($G236, "IQ_VOLUME", EB$222),"--")</f>
        <v>0</v>
      </c>
      <c r="EC236" s="2131">
        <f>IF(EC$221,_xll.ciqfunctions.udf.CIQ($G236, "IQ_VOLUME", EC$222),"--")</f>
        <v>0</v>
      </c>
      <c r="ED236" s="2131">
        <f>IF(ED$221,_xll.ciqfunctions.udf.CIQ($G236, "IQ_VOLUME", ED$222),"--")</f>
        <v>0</v>
      </c>
      <c r="EE236" s="2131">
        <f>IF(EE$221,_xll.ciqfunctions.udf.CIQ($G236, "IQ_VOLUME", EE$222),"--")</f>
        <v>0</v>
      </c>
      <c r="EF236" s="2131">
        <f>IF(EF$221,_xll.ciqfunctions.udf.CIQ($G236, "IQ_VOLUME", EF$222),"--")</f>
        <v>0</v>
      </c>
      <c r="EG236" s="2131">
        <f>IF(EG$221,_xll.ciqfunctions.udf.CIQ($G236, "IQ_VOLUME", EG$222),"--")</f>
        <v>0</v>
      </c>
      <c r="EH236" s="2131">
        <f>IF(EH$221,_xll.ciqfunctions.udf.CIQ($G236, "IQ_VOLUME", EH$222),"--")</f>
        <v>0</v>
      </c>
      <c r="EI236" s="2131">
        <f>IF(EI$221,_xll.ciqfunctions.udf.CIQ($G236, "IQ_VOLUME", EI$222),"--")</f>
        <v>0</v>
      </c>
      <c r="EJ236" s="2131">
        <f>IF(EJ$221,_xll.ciqfunctions.udf.CIQ($G236, "IQ_VOLUME", EJ$222),"--")</f>
        <v>0</v>
      </c>
      <c r="EK236" s="2131">
        <f>IF(EK$221,_xll.ciqfunctions.udf.CIQ($G236, "IQ_VOLUME", EK$222),"--")</f>
        <v>0</v>
      </c>
      <c r="EL236" s="2131">
        <f>IF(EL$221,_xll.ciqfunctions.udf.CIQ($G236, "IQ_VOLUME", EL$222),"--")</f>
        <v>0</v>
      </c>
      <c r="EM236" s="2131">
        <f>IF(EM$221,_xll.ciqfunctions.udf.CIQ($G236, "IQ_VOLUME", EM$222),"--")</f>
        <v>0</v>
      </c>
      <c r="EN236" s="2131">
        <f>IF(EN$221,_xll.ciqfunctions.udf.CIQ($G236, "IQ_VOLUME", EN$222),"--")</f>
        <v>0</v>
      </c>
      <c r="EO236" s="2131">
        <f>IF(EO$221,_xll.ciqfunctions.udf.CIQ($G236, "IQ_VOLUME", EO$222),"--")</f>
        <v>0</v>
      </c>
      <c r="EP236" s="2131">
        <f>IF(EP$221,_xll.ciqfunctions.udf.CIQ($G236, "IQ_VOLUME", EP$222),"--")</f>
        <v>0</v>
      </c>
      <c r="EQ236" s="2131">
        <f>IF(EQ$221,_xll.ciqfunctions.udf.CIQ($G236, "IQ_VOLUME", EQ$222),"--")</f>
        <v>0</v>
      </c>
      <c r="ER236" s="2131">
        <f>IF(ER$221,_xll.ciqfunctions.udf.CIQ($G236, "IQ_VOLUME", ER$222),"--")</f>
        <v>0</v>
      </c>
      <c r="ES236" s="2131">
        <f>IF(ES$221,_xll.ciqfunctions.udf.CIQ($G236, "IQ_VOLUME", ES$222),"--")</f>
        <v>0</v>
      </c>
      <c r="ET236" s="2131">
        <f>IF(ET$221,_xll.ciqfunctions.udf.CIQ($G236, "IQ_VOLUME", ET$222),"--")</f>
        <v>0</v>
      </c>
      <c r="EU236" s="2131">
        <f>IF(EU$221,_xll.ciqfunctions.udf.CIQ($G236, "IQ_VOLUME", EU$222),"--")</f>
        <v>0</v>
      </c>
      <c r="EV236" s="2131">
        <f>IF(EV$221,_xll.ciqfunctions.udf.CIQ($G236, "IQ_VOLUME", EV$222),"--")</f>
        <v>0</v>
      </c>
      <c r="EW236" s="2131">
        <f>IF(EW$221,_xll.ciqfunctions.udf.CIQ($G236, "IQ_VOLUME", EW$222),"--")</f>
        <v>0</v>
      </c>
      <c r="EX236" s="2131">
        <f>IF(EX$221,_xll.ciqfunctions.udf.CIQ($G236, "IQ_VOLUME", EX$222),"--")</f>
        <v>0</v>
      </c>
      <c r="EY236" s="2131">
        <f>IF(EY$221,_xll.ciqfunctions.udf.CIQ($G236, "IQ_VOLUME", EY$222),"--")</f>
        <v>0</v>
      </c>
      <c r="EZ236" s="2131">
        <f>IF(EZ$221,_xll.ciqfunctions.udf.CIQ($G236, "IQ_VOLUME", EZ$222),"--")</f>
        <v>0</v>
      </c>
      <c r="FA236" s="2131">
        <f>IF(FA$221,_xll.ciqfunctions.udf.CIQ($G236, "IQ_VOLUME", FA$222),"--")</f>
        <v>0</v>
      </c>
      <c r="FB236" s="2131">
        <f>IF(FB$221,_xll.ciqfunctions.udf.CIQ($G236, "IQ_VOLUME", FB$222),"--")</f>
        <v>0</v>
      </c>
      <c r="FC236" s="2131">
        <f>IF(FC$221,_xll.ciqfunctions.udf.CIQ($G236, "IQ_VOLUME", FC$222),"--")</f>
        <v>0</v>
      </c>
      <c r="FD236" s="2131">
        <f>IF(FD$221,_xll.ciqfunctions.udf.CIQ($G236, "IQ_VOLUME", FD$222),"--")</f>
        <v>0</v>
      </c>
      <c r="FE236" s="2131">
        <f>IF(FE$221,_xll.ciqfunctions.udf.CIQ($G236, "IQ_VOLUME", FE$222),"--")</f>
        <v>0</v>
      </c>
      <c r="FF236" s="2131">
        <f>IF(FF$221,_xll.ciqfunctions.udf.CIQ($G236, "IQ_VOLUME", FF$222),"--")</f>
        <v>0</v>
      </c>
      <c r="FG236" s="2131">
        <f>IF(FG$221,_xll.ciqfunctions.udf.CIQ($G236, "IQ_VOLUME", FG$222),"--")</f>
        <v>0</v>
      </c>
      <c r="FH236" s="2131">
        <f>IF(FH$221,_xll.ciqfunctions.udf.CIQ($G236, "IQ_VOLUME", FH$222),"--")</f>
        <v>0</v>
      </c>
      <c r="FI236" s="2131">
        <f>IF(FI$221,_xll.ciqfunctions.udf.CIQ($G236, "IQ_VOLUME", FI$222),"--")</f>
        <v>0</v>
      </c>
      <c r="FJ236" s="2131">
        <f>IF(FJ$221,_xll.ciqfunctions.udf.CIQ($G236, "IQ_VOLUME", FJ$222),"--")</f>
        <v>0</v>
      </c>
      <c r="FK236" s="2131">
        <f>IF(FK$221,_xll.ciqfunctions.udf.CIQ($G236, "IQ_VOLUME", FK$222),"--")</f>
        <v>0</v>
      </c>
      <c r="FL236" s="2131">
        <f>IF(FL$221,_xll.ciqfunctions.udf.CIQ($G236, "IQ_VOLUME", FL$222),"--")</f>
        <v>0</v>
      </c>
      <c r="FM236" s="2131">
        <f>IF(FM$221,_xll.ciqfunctions.udf.CIQ($G236, "IQ_VOLUME", FM$222),"--")</f>
        <v>0</v>
      </c>
      <c r="FN236" s="2131">
        <f>IF(FN$221,_xll.ciqfunctions.udf.CIQ($G236, "IQ_VOLUME", FN$222),"--")</f>
        <v>0</v>
      </c>
      <c r="FO236" s="2131">
        <f>IF(FO$221,_xll.ciqfunctions.udf.CIQ($G236, "IQ_VOLUME", FO$222),"--")</f>
        <v>0</v>
      </c>
      <c r="FP236" s="2131">
        <f>IF(FP$221,_xll.ciqfunctions.udf.CIQ($G236, "IQ_VOLUME", FP$222),"--")</f>
        <v>0</v>
      </c>
      <c r="FQ236" s="2131">
        <f>IF(FQ$221,_xll.ciqfunctions.udf.CIQ($G236, "IQ_VOLUME", FQ$222),"--")</f>
        <v>0</v>
      </c>
      <c r="FR236" s="2131">
        <f>IF(FR$221,_xll.ciqfunctions.udf.CIQ($G236, "IQ_VOLUME", FR$222),"--")</f>
        <v>0</v>
      </c>
      <c r="FS236" s="2131">
        <f>IF(FS$221,_xll.ciqfunctions.udf.CIQ($G236, "IQ_VOLUME", FS$222),"--")</f>
        <v>0</v>
      </c>
      <c r="FT236" s="2131">
        <f>IF(FT$221,_xll.ciqfunctions.udf.CIQ($G236, "IQ_VOLUME", FT$222),"--")</f>
        <v>0</v>
      </c>
      <c r="FU236" s="2131">
        <f>IF(FU$221,_xll.ciqfunctions.udf.CIQ($G236, "IQ_VOLUME", FU$222),"--")</f>
        <v>0</v>
      </c>
      <c r="FV236" s="2131">
        <f>IF(FV$221,_xll.ciqfunctions.udf.CIQ($G236, "IQ_VOLUME", FV$222),"--")</f>
        <v>0</v>
      </c>
      <c r="FW236" s="2131">
        <f>IF(FW$221,_xll.ciqfunctions.udf.CIQ($G236, "IQ_VOLUME", FW$222),"--")</f>
        <v>0</v>
      </c>
      <c r="FX236" s="2131">
        <f>IF(FX$221,_xll.ciqfunctions.udf.CIQ($G236, "IQ_VOLUME", FX$222),"--")</f>
        <v>0</v>
      </c>
      <c r="FY236" s="2131">
        <f>IF(FY$221,_xll.ciqfunctions.udf.CIQ($G236, "IQ_VOLUME", FY$222),"--")</f>
        <v>0</v>
      </c>
      <c r="FZ236" s="2131">
        <f>IF(FZ$221,_xll.ciqfunctions.udf.CIQ($G236, "IQ_VOLUME", FZ$222),"--")</f>
        <v>0</v>
      </c>
      <c r="GA236" s="2131">
        <f>IF(GA$221,_xll.ciqfunctions.udf.CIQ($G236, "IQ_VOLUME", GA$222),"--")</f>
        <v>0</v>
      </c>
      <c r="GB236" s="2131">
        <f>IF(GB$221,_xll.ciqfunctions.udf.CIQ($G236, "IQ_VOLUME", GB$222),"--")</f>
        <v>0</v>
      </c>
      <c r="GC236" s="2131">
        <f>IF(GC$221,_xll.ciqfunctions.udf.CIQ($G236, "IQ_VOLUME", GC$222),"--")</f>
        <v>0</v>
      </c>
      <c r="GD236" s="2131">
        <f>IF(GD$221,_xll.ciqfunctions.udf.CIQ($G236, "IQ_VOLUME", GD$222),"--")</f>
        <v>0</v>
      </c>
      <c r="GE236" s="2131">
        <f>IF(GE$221,_xll.ciqfunctions.udf.CIQ($G236, "IQ_VOLUME", GE$222),"--")</f>
        <v>0</v>
      </c>
      <c r="GF236" s="2131">
        <f>IF(GF$221,_xll.ciqfunctions.udf.CIQ($G236, "IQ_VOLUME", GF$222),"--")</f>
        <v>0</v>
      </c>
      <c r="GG236" s="2131">
        <f>IF(GG$221,_xll.ciqfunctions.udf.CIQ($G236, "IQ_VOLUME", GG$222),"--")</f>
        <v>0</v>
      </c>
      <c r="GH236" s="2131">
        <f>IF(GH$221,_xll.ciqfunctions.udf.CIQ($G236, "IQ_VOLUME", GH$222),"--")</f>
        <v>0</v>
      </c>
      <c r="GI236" s="2131">
        <f>IF(GI$221,_xll.ciqfunctions.udf.CIQ($G236, "IQ_VOLUME", GI$222),"--")</f>
        <v>0</v>
      </c>
      <c r="GJ236" s="2131">
        <f>IF(GJ$221,_xll.ciqfunctions.udf.CIQ($G236, "IQ_VOLUME", GJ$222),"--")</f>
        <v>0</v>
      </c>
      <c r="GK236" s="2131">
        <f>IF(GK$221,_xll.ciqfunctions.udf.CIQ($G236, "IQ_VOLUME", GK$222),"--")</f>
        <v>0</v>
      </c>
      <c r="GL236" s="2131">
        <f>IF(GL$221,_xll.ciqfunctions.udf.CIQ($G236, "IQ_VOLUME", GL$222),"--")</f>
        <v>0</v>
      </c>
      <c r="GM236" s="2131">
        <f>IF(GM$221,_xll.ciqfunctions.udf.CIQ($G236, "IQ_VOLUME", GM$222),"--")</f>
        <v>0</v>
      </c>
      <c r="GN236" s="2131">
        <f>IF(GN$221,_xll.ciqfunctions.udf.CIQ($G236, "IQ_VOLUME", GN$222),"--")</f>
        <v>0</v>
      </c>
      <c r="GO236" s="2131">
        <f>IF(GO$221,_xll.ciqfunctions.udf.CIQ($G236, "IQ_VOLUME", GO$222),"--")</f>
        <v>0</v>
      </c>
      <c r="GP236" s="2131">
        <f>IF(GP$221,_xll.ciqfunctions.udf.CIQ($G236, "IQ_VOLUME", GP$222),"--")</f>
        <v>0</v>
      </c>
      <c r="GQ236" s="2131">
        <f>IF(GQ$221,_xll.ciqfunctions.udf.CIQ($G236, "IQ_VOLUME", GQ$222),"--")</f>
        <v>0</v>
      </c>
      <c r="GR236" s="2131">
        <f>IF(GR$221,_xll.ciqfunctions.udf.CIQ($G236, "IQ_VOLUME", GR$222),"--")</f>
        <v>0</v>
      </c>
      <c r="GS236" s="2131">
        <f>IF(GS$221,_xll.ciqfunctions.udf.CIQ($G236, "IQ_VOLUME", GS$222),"--")</f>
        <v>0</v>
      </c>
      <c r="GT236" s="2131">
        <f>IF(GT$221,_xll.ciqfunctions.udf.CIQ($G236, "IQ_VOLUME", GT$222),"--")</f>
        <v>0</v>
      </c>
      <c r="GU236" s="2131">
        <f>IF(GU$221,_xll.ciqfunctions.udf.CIQ($G236, "IQ_VOLUME", GU$222),"--")</f>
        <v>0</v>
      </c>
      <c r="GV236" s="2131">
        <f>IF(GV$221,_xll.ciqfunctions.udf.CIQ($G236, "IQ_VOLUME", GV$222),"--")</f>
        <v>0</v>
      </c>
      <c r="GW236" s="2131">
        <f>IF(GW$221,_xll.ciqfunctions.udf.CIQ($G236, "IQ_VOLUME", GW$222),"--")</f>
        <v>0</v>
      </c>
      <c r="GX236" s="2131">
        <f>IF(GX$221,_xll.ciqfunctions.udf.CIQ($G236, "IQ_VOLUME", GX$222),"--")</f>
        <v>0</v>
      </c>
      <c r="GY236" s="2131">
        <f>IF(GY$221,_xll.ciqfunctions.udf.CIQ($G236, "IQ_VOLUME", GY$222),"--")</f>
        <v>0</v>
      </c>
      <c r="GZ236" s="2131">
        <f>IF(GZ$221,_xll.ciqfunctions.udf.CIQ($G236, "IQ_VOLUME", GZ$222),"--")</f>
        <v>0</v>
      </c>
      <c r="HA236" s="2131">
        <f>IF(HA$221,_xll.ciqfunctions.udf.CIQ($G236, "IQ_VOLUME", HA$222),"--")</f>
        <v>0</v>
      </c>
      <c r="HB236" s="2131">
        <f>IF(HB$221,_xll.ciqfunctions.udf.CIQ($G236, "IQ_VOLUME", HB$222),"--")</f>
        <v>0</v>
      </c>
      <c r="HC236" s="2131">
        <f>IF(HC$221,_xll.ciqfunctions.udf.CIQ($G236, "IQ_VOLUME", HC$222),"--")</f>
        <v>0</v>
      </c>
      <c r="HD236" s="2131">
        <f>IF(HD$221,_xll.ciqfunctions.udf.CIQ($G236, "IQ_VOLUME", HD$222),"--")</f>
        <v>0</v>
      </c>
      <c r="HE236" s="2131">
        <f>IF(HE$221,_xll.ciqfunctions.udf.CIQ($G236, "IQ_VOLUME", HE$222),"--")</f>
        <v>0</v>
      </c>
      <c r="HF236" s="2131">
        <f>IF(HF$221,_xll.ciqfunctions.udf.CIQ($G236, "IQ_VOLUME", HF$222),"--")</f>
        <v>0</v>
      </c>
      <c r="HG236" s="2131">
        <f>IF(HG$221,_xll.ciqfunctions.udf.CIQ($G236, "IQ_VOLUME", HG$222),"--")</f>
        <v>0</v>
      </c>
      <c r="HH236" s="2131">
        <f>IF(HH$221,_xll.ciqfunctions.udf.CIQ($G236, "IQ_VOLUME", HH$222),"--")</f>
        <v>0</v>
      </c>
      <c r="HI236" s="2131">
        <f>IF(HI$221,_xll.ciqfunctions.udf.CIQ($G236, "IQ_VOLUME", HI$222),"--")</f>
        <v>0</v>
      </c>
      <c r="HJ236" s="2131">
        <f>IF(HJ$221,_xll.ciqfunctions.udf.CIQ($G236, "IQ_VOLUME", HJ$222),"--")</f>
        <v>0</v>
      </c>
      <c r="HK236" s="2131">
        <f>IF(HK$221,_xll.ciqfunctions.udf.CIQ($G236, "IQ_VOLUME", HK$222),"--")</f>
        <v>0</v>
      </c>
      <c r="HL236" s="2131">
        <f>IF(HL$221,_xll.ciqfunctions.udf.CIQ($G236, "IQ_VOLUME", HL$222),"--")</f>
        <v>0</v>
      </c>
      <c r="HM236" s="2131">
        <f>IF(HM$221,_xll.ciqfunctions.udf.CIQ($G236, "IQ_VOLUME", HM$222),"--")</f>
        <v>0</v>
      </c>
      <c r="HN236" s="2131">
        <f>IF(HN$221,_xll.ciqfunctions.udf.CIQ($G236, "IQ_VOLUME", HN$222),"--")</f>
        <v>0</v>
      </c>
      <c r="HO236" s="2131">
        <f>IF(HO$221,_xll.ciqfunctions.udf.CIQ($G236, "IQ_VOLUME", HO$222),"--")</f>
        <v>0</v>
      </c>
      <c r="HP236" s="2131">
        <f>IF(HP$221,_xll.ciqfunctions.udf.CIQ($G236, "IQ_VOLUME", HP$222),"--")</f>
        <v>0</v>
      </c>
      <c r="HQ236" s="2131">
        <f>IF(HQ$221,_xll.ciqfunctions.udf.CIQ($G236, "IQ_VOLUME", HQ$222),"--")</f>
        <v>0</v>
      </c>
      <c r="HR236" s="2131">
        <f>IF(HR$221,_xll.ciqfunctions.udf.CIQ($G236, "IQ_VOLUME", HR$222),"--")</f>
        <v>0</v>
      </c>
      <c r="HS236" s="2131">
        <f>IF(HS$221,_xll.ciqfunctions.udf.CIQ($G236, "IQ_VOLUME", HS$222),"--")</f>
        <v>0</v>
      </c>
      <c r="HT236" s="2131">
        <f>IF(HT$221,_xll.ciqfunctions.udf.CIQ($G236, "IQ_VOLUME", HT$222),"--")</f>
        <v>0</v>
      </c>
      <c r="HU236" s="2131">
        <f>IF(HU$221,_xll.ciqfunctions.udf.CIQ($G236, "IQ_VOLUME", HU$222),"--")</f>
        <v>0</v>
      </c>
      <c r="HV236" s="2131">
        <f>IF(HV$221,_xll.ciqfunctions.udf.CIQ($G236, "IQ_VOLUME", HV$222),"--")</f>
        <v>0</v>
      </c>
      <c r="HW236" s="2131">
        <f>IF(HW$221,_xll.ciqfunctions.udf.CIQ($G236, "IQ_VOLUME", HW$222),"--")</f>
        <v>0</v>
      </c>
      <c r="HX236" s="2131">
        <f>IF(HX$221,_xll.ciqfunctions.udf.CIQ($G236, "IQ_VOLUME", HX$222),"--")</f>
        <v>0</v>
      </c>
      <c r="HY236" s="2131">
        <f>IF(HY$221,_xll.ciqfunctions.udf.CIQ($G236, "IQ_VOLUME", HY$222),"--")</f>
        <v>0</v>
      </c>
      <c r="HZ236" s="2131">
        <f>IF(HZ$221,_xll.ciqfunctions.udf.CIQ($G236, "IQ_VOLUME", HZ$222),"--")</f>
        <v>0</v>
      </c>
      <c r="IA236" s="2131">
        <f>IF(IA$221,_xll.ciqfunctions.udf.CIQ($G236, "IQ_VOLUME", IA$222),"--")</f>
        <v>0</v>
      </c>
      <c r="IB236" s="2131">
        <f>IF(IB$221,_xll.ciqfunctions.udf.CIQ($G236, "IQ_VOLUME", IB$222),"--")</f>
        <v>0</v>
      </c>
      <c r="IC236" s="2131">
        <f>IF(IC$221,_xll.ciqfunctions.udf.CIQ($G236, "IQ_VOLUME", IC$222),"--")</f>
        <v>0</v>
      </c>
      <c r="ID236" s="2131">
        <f>IF(ID$221,_xll.ciqfunctions.udf.CIQ($G236, "IQ_VOLUME", ID$222),"--")</f>
        <v>0</v>
      </c>
      <c r="IE236" s="2131">
        <f>IF(IE$221,_xll.ciqfunctions.udf.CIQ($G236, "IQ_VOLUME", IE$222),"--")</f>
        <v>0</v>
      </c>
      <c r="IF236" s="2131">
        <f>IF(IF$221,_xll.ciqfunctions.udf.CIQ($G236, "IQ_VOLUME", IF$222),"--")</f>
        <v>0</v>
      </c>
      <c r="IG236" s="2131">
        <f>IF(IG$221,_xll.ciqfunctions.udf.CIQ($G236, "IQ_VOLUME", IG$222),"--")</f>
        <v>0</v>
      </c>
      <c r="IH236" s="2131">
        <f>IF(IH$221,_xll.ciqfunctions.udf.CIQ($G236, "IQ_VOLUME", IH$222),"--")</f>
        <v>0</v>
      </c>
      <c r="II236" s="2131">
        <f>IF(II$221,_xll.ciqfunctions.udf.CIQ($G236, "IQ_VOLUME", II$222),"--")</f>
        <v>0</v>
      </c>
      <c r="IJ236" s="2131">
        <f>IF(IJ$221,_xll.ciqfunctions.udf.CIQ($G236, "IQ_VOLUME", IJ$222),"--")</f>
        <v>0</v>
      </c>
      <c r="IK236" s="2131">
        <f>IF(IK$221,_xll.ciqfunctions.udf.CIQ($G236, "IQ_VOLUME", IK$222),"--")</f>
        <v>0</v>
      </c>
      <c r="IL236" s="2131">
        <f>IF(IL$221,_xll.ciqfunctions.udf.CIQ($G236, "IQ_VOLUME", IL$222),"--")</f>
        <v>0</v>
      </c>
      <c r="IM236" s="2131">
        <f>IF(IM$221,_xll.ciqfunctions.udf.CIQ($G236, "IQ_VOLUME", IM$222),"--")</f>
        <v>0</v>
      </c>
      <c r="IN236" s="2131">
        <f>IF(IN$221,_xll.ciqfunctions.udf.CIQ($G236, "IQ_VOLUME", IN$222),"--")</f>
        <v>0</v>
      </c>
      <c r="IO236" s="2131">
        <f>IF(IO$221,_xll.ciqfunctions.udf.CIQ($G236, "IQ_VOLUME", IO$222),"--")</f>
        <v>0</v>
      </c>
      <c r="IP236" s="2131">
        <f>IF(IP$221,_xll.ciqfunctions.udf.CIQ($G236, "IQ_VOLUME", IP$222),"--")</f>
        <v>0</v>
      </c>
      <c r="IQ236" s="2131">
        <f>IF(IQ$221,_xll.ciqfunctions.udf.CIQ($G236, "IQ_VOLUME", IQ$222),"--")</f>
        <v>0</v>
      </c>
      <c r="IR236" s="2131">
        <f>IF(IR$221,_xll.ciqfunctions.udf.CIQ($G236, "IQ_VOLUME", IR$222),"--")</f>
        <v>0</v>
      </c>
      <c r="IS236" s="2131">
        <f>IF(IS$221,_xll.ciqfunctions.udf.CIQ($G236, "IQ_VOLUME", IS$222),"--")</f>
        <v>0</v>
      </c>
      <c r="IT236" s="2131">
        <f>IF(IT$221,_xll.ciqfunctions.udf.CIQ($G236, "IQ_VOLUME", IT$222),"--")</f>
        <v>0</v>
      </c>
      <c r="IU236" s="2131">
        <f>IF(IU$221,_xll.ciqfunctions.udf.CIQ($G236, "IQ_VOLUME", IU$222),"--")</f>
        <v>0</v>
      </c>
      <c r="IV236" s="2131">
        <f>IF(IV$221,_xll.ciqfunctions.udf.CIQ($G236, "IQ_VOLUME", IV$222),"--")</f>
        <v>0</v>
      </c>
      <c r="IW236" s="2131">
        <f>IF(IW$221,_xll.ciqfunctions.udf.CIQ($G236, "IQ_VOLUME", IW$222),"--")</f>
        <v>0</v>
      </c>
      <c r="IX236" s="2131">
        <f>IF(IX$221,_xll.ciqfunctions.udf.CIQ($G236, "IQ_VOLUME", IX$222),"--")</f>
        <v>0</v>
      </c>
      <c r="IY236" s="2131">
        <f>IF(IY$221,_xll.ciqfunctions.udf.CIQ($G236, "IQ_VOLUME", IY$222),"--")</f>
        <v>0</v>
      </c>
      <c r="IZ236" s="2131">
        <f>IF(IZ$221,_xll.ciqfunctions.udf.CIQ($G236, "IQ_VOLUME", IZ$222),"--")</f>
        <v>0</v>
      </c>
      <c r="JA236" s="2131">
        <f>IF(JA$221,_xll.ciqfunctions.udf.CIQ($G236, "IQ_VOLUME", JA$222),"--")</f>
        <v>0</v>
      </c>
      <c r="JB236" s="2131">
        <f>IF(JB$221,_xll.ciqfunctions.udf.CIQ($G236, "IQ_VOLUME", JB$222),"--")</f>
        <v>0</v>
      </c>
      <c r="JC236" s="2131">
        <f>IF(JC$221,_xll.ciqfunctions.udf.CIQ($G236, "IQ_VOLUME", JC$222),"--")</f>
        <v>0</v>
      </c>
      <c r="JD236" s="2131">
        <f>IF(JD$221,_xll.ciqfunctions.udf.CIQ($G236, "IQ_VOLUME", JD$222),"--")</f>
        <v>0</v>
      </c>
      <c r="JE236" s="2131">
        <f>IF(JE$221,_xll.ciqfunctions.udf.CIQ($G236, "IQ_VOLUME", JE$222),"--")</f>
        <v>0</v>
      </c>
      <c r="JF236" s="2131">
        <f>IF(JF$221,_xll.ciqfunctions.udf.CIQ($G236, "IQ_VOLUME", JF$222),"--")</f>
        <v>0</v>
      </c>
      <c r="JG236" s="2131">
        <f>IF(JG$221,_xll.ciqfunctions.udf.CIQ($G236, "IQ_VOLUME", JG$222),"--")</f>
        <v>0</v>
      </c>
      <c r="JH236" s="2131">
        <f>IF(JH$221,_xll.ciqfunctions.udf.CIQ($G236, "IQ_VOLUME", JH$222),"--")</f>
        <v>0</v>
      </c>
      <c r="JI236" s="2131">
        <f>IF(JI$221,_xll.ciqfunctions.udf.CIQ($G236, "IQ_VOLUME", JI$222),"--")</f>
        <v>0</v>
      </c>
      <c r="JJ236" s="2131">
        <f>IF(JJ$221,_xll.ciqfunctions.udf.CIQ($G236, "IQ_VOLUME", JJ$222),"--")</f>
        <v>0</v>
      </c>
      <c r="JK236" s="2131">
        <f>IF(JK$221,_xll.ciqfunctions.udf.CIQ($G236, "IQ_VOLUME", JK$222),"--")</f>
        <v>0</v>
      </c>
      <c r="JL236" s="2131">
        <f>IF(JL$221,_xll.ciqfunctions.udf.CIQ($G236, "IQ_VOLUME", JL$222),"--")</f>
        <v>0</v>
      </c>
      <c r="JM236" s="2131">
        <f>IF(JM$221,_xll.ciqfunctions.udf.CIQ($G236, "IQ_VOLUME", JM$222),"--")</f>
        <v>0</v>
      </c>
      <c r="JN236" s="2131">
        <f>IF(JN$221,_xll.ciqfunctions.udf.CIQ($G236, "IQ_VOLUME", JN$222),"--")</f>
        <v>0</v>
      </c>
      <c r="JO236" s="2131">
        <f>IF(JO$221,_xll.ciqfunctions.udf.CIQ($G236, "IQ_VOLUME", JO$222),"--")</f>
        <v>0</v>
      </c>
      <c r="JP236" s="2131">
        <f>IF(JP$221,_xll.ciqfunctions.udf.CIQ($G236, "IQ_VOLUME", JP$222),"--")</f>
        <v>0</v>
      </c>
      <c r="JQ236" s="2131">
        <f>IF(JQ$221,_xll.ciqfunctions.udf.CIQ($G236, "IQ_VOLUME", JQ$222),"--")</f>
        <v>0</v>
      </c>
      <c r="JR236" s="2131">
        <f>IF(JR$221,_xll.ciqfunctions.udf.CIQ($G236, "IQ_VOLUME", JR$222),"--")</f>
        <v>0</v>
      </c>
      <c r="JS236" s="2131">
        <f>IF(JS$221,_xll.ciqfunctions.udf.CIQ($G236, "IQ_VOLUME", JS$222),"--")</f>
        <v>0</v>
      </c>
      <c r="JT236" s="2131">
        <f>IF(JT$221,_xll.ciqfunctions.udf.CIQ($G236, "IQ_VOLUME", JT$222),"--")</f>
        <v>0</v>
      </c>
      <c r="JU236" s="2131">
        <f>IF(JU$221,_xll.ciqfunctions.udf.CIQ($G236, "IQ_VOLUME", JU$222),"--")</f>
        <v>0</v>
      </c>
      <c r="JV236" s="2131">
        <f>IF(JV$221,_xll.ciqfunctions.udf.CIQ($G236, "IQ_VOLUME", JV$222),"--")</f>
        <v>0</v>
      </c>
      <c r="JW236" s="2131" t="str">
        <f>IF(JW$221,_xll.ciqfunctions.udf.CIQ($G236, "IQ_VOLUME", JW$222),"--")</f>
        <v>--</v>
      </c>
      <c r="JX236" s="2131" t="str">
        <f>IF(JX$221,_xll.ciqfunctions.udf.CIQ($G236, "IQ_VOLUME", JX$222),"--")</f>
        <v>--</v>
      </c>
      <c r="JY236" s="2131" t="str">
        <f>IF(JY$221,_xll.ciqfunctions.udf.CIQ($G236, "IQ_VOLUME", JY$222),"--")</f>
        <v>--</v>
      </c>
      <c r="JZ236" s="2131" t="str">
        <f>IF(JZ$221,_xll.ciqfunctions.udf.CIQ($G236, "IQ_VOLUME", JZ$222),"--")</f>
        <v>--</v>
      </c>
      <c r="KA236" s="2131" t="str">
        <f>IF(KA$221,_xll.ciqfunctions.udf.CIQ($G236, "IQ_VOLUME", KA$222),"--")</f>
        <v>--</v>
      </c>
      <c r="KB236" s="2131" t="str">
        <f>IF(KB$221,_xll.ciqfunctions.udf.CIQ($G236, "IQ_VOLUME", KB$222),"--")</f>
        <v>--</v>
      </c>
    </row>
    <row r="237" spans="1:288" s="89" customFormat="1" ht="13.9">
      <c r="A237" s="269" t="str">
        <f t="shared" si="47"/>
        <v>n</v>
      </c>
      <c r="B237" s="2060"/>
      <c r="D237" s="801"/>
      <c r="E237" s="1505">
        <v>14</v>
      </c>
      <c r="F237" s="21" t="str">
        <f>F$142</f>
        <v>--</v>
      </c>
      <c r="G237" s="2112">
        <f>G$142</f>
        <v>0</v>
      </c>
      <c r="H237" s="2112" t="str">
        <f>H$142</f>
        <v>--</v>
      </c>
      <c r="I237" s="22" t="s">
        <v>781</v>
      </c>
      <c r="J237" s="53"/>
      <c r="K237" s="2301" t="str">
        <f>IF(OR(K205=0,$G237=0),"--",IFERROR(_xll.ciqfunctions.udf.CIQ($G237,$I237,K113,Valuation_Date_GC,ReportType,DataMode,$H237,FXMode)*Scale,"--"))</f>
        <v>--</v>
      </c>
      <c r="L237" s="2301" t="str">
        <f>IF(OR(L205=0,$G237=0),"--",IFERROR(_xll.ciqfunctions.udf.CIQ($G237,$I237,L113,Valuation_Date_GC,ReportType,DataMode,$H237,FXMode)*Scale,"--"))</f>
        <v>--</v>
      </c>
      <c r="M237" s="2301" t="str">
        <f>IF(OR(M205=0,$G237=0),"--",IFERROR(_xll.ciqfunctions.udf.CIQ($G237,$I237,M113,Valuation_Date_GC,ReportType,DataMode,$H237,FXMode)*Scale,"--"))</f>
        <v>--</v>
      </c>
      <c r="N237" s="2301" t="str">
        <f>IF(OR(N205=0,$G237=0),"--",IFERROR(_xll.ciqfunctions.udf.CIQ($G237,$I237,N113,Valuation_Date_GC,ReportType,DataMode,$H237,FXMode)*Scale,"--"))</f>
        <v>--</v>
      </c>
      <c r="O237" s="1471" t="str">
        <f>IF(OR(O205=0,$G237=0),"--",IFERROR(_xll.ciqfunctions.udf.CIQ($G237,$I237,O113,Valuation_Date_GC,ReportType,DataMode,$H237,FXMode)*Scale,"--"))</f>
        <v>--</v>
      </c>
      <c r="P237" s="2301" t="str">
        <f>IF(OR(P205=0,$G237=0),"--",IFERROR(_xll.ciqfunctions.udf.CIQ($G237,$I237,P113,Valuation_Date_GC,ReportType,DataMode,$H237,FXMode)*Scale,"--"))</f>
        <v>--</v>
      </c>
      <c r="R237" s="255"/>
      <c r="T237" s="1779" t="s">
        <v>782</v>
      </c>
      <c r="U237" s="2131">
        <f>IF(U$221,_xll.ciqfunctions.udf.CIQ($G237, "IQ_VOLUME", U$222),"--")</f>
        <v>0</v>
      </c>
      <c r="V237" s="2131">
        <f>IF(V$221,_xll.ciqfunctions.udf.CIQ($G237, "IQ_VOLUME", V$222),"--")</f>
        <v>0</v>
      </c>
      <c r="W237" s="2131">
        <f>IF(W$221,_xll.ciqfunctions.udf.CIQ($G237, "IQ_VOLUME", W$222),"--")</f>
        <v>0</v>
      </c>
      <c r="X237" s="2131">
        <f>IF(X$221,_xll.ciqfunctions.udf.CIQ($G237, "IQ_VOLUME", X$222),"--")</f>
        <v>0</v>
      </c>
      <c r="Y237" s="2131">
        <f>IF(Y$221,_xll.ciqfunctions.udf.CIQ($G237, "IQ_VOLUME", Y$222),"--")</f>
        <v>0</v>
      </c>
      <c r="Z237" s="2131">
        <f>IF(Z$221,_xll.ciqfunctions.udf.CIQ($G237, "IQ_VOLUME", Z$222),"--")</f>
        <v>0</v>
      </c>
      <c r="AA237" s="2131">
        <f>IF(AA$221,_xll.ciqfunctions.udf.CIQ($G237, "IQ_VOLUME", AA$222),"--")</f>
        <v>0</v>
      </c>
      <c r="AB237" s="2131">
        <f>IF(AB$221,_xll.ciqfunctions.udf.CIQ($G237, "IQ_VOLUME", AB$222),"--")</f>
        <v>0</v>
      </c>
      <c r="AC237" s="2131">
        <f>IF(AC$221,_xll.ciqfunctions.udf.CIQ($G237, "IQ_VOLUME", AC$222),"--")</f>
        <v>0</v>
      </c>
      <c r="AD237" s="2131">
        <f>IF(AD$221,_xll.ciqfunctions.udf.CIQ($G237, "IQ_VOLUME", AD$222),"--")</f>
        <v>0</v>
      </c>
      <c r="AE237" s="2131">
        <f>IF(AE$221,_xll.ciqfunctions.udf.CIQ($G237, "IQ_VOLUME", AE$222),"--")</f>
        <v>0</v>
      </c>
      <c r="AF237" s="2131">
        <f>IF(AF$221,_xll.ciqfunctions.udf.CIQ($G237, "IQ_VOLUME", AF$222),"--")</f>
        <v>0</v>
      </c>
      <c r="AG237" s="2131">
        <f>IF(AG$221,_xll.ciqfunctions.udf.CIQ($G237, "IQ_VOLUME", AG$222),"--")</f>
        <v>0</v>
      </c>
      <c r="AH237" s="2131">
        <f>IF(AH$221,_xll.ciqfunctions.udf.CIQ($G237, "IQ_VOLUME", AH$222),"--")</f>
        <v>0</v>
      </c>
      <c r="AI237" s="2131">
        <f>IF(AI$221,_xll.ciqfunctions.udf.CIQ($G237, "IQ_VOLUME", AI$222),"--")</f>
        <v>0</v>
      </c>
      <c r="AJ237" s="2131">
        <f>IF(AJ$221,_xll.ciqfunctions.udf.CIQ($G237, "IQ_VOLUME", AJ$222),"--")</f>
        <v>0</v>
      </c>
      <c r="AK237" s="2131">
        <f>IF(AK$221,_xll.ciqfunctions.udf.CIQ($G237, "IQ_VOLUME", AK$222),"--")</f>
        <v>0</v>
      </c>
      <c r="AL237" s="2131">
        <f>IF(AL$221,_xll.ciqfunctions.udf.CIQ($G237, "IQ_VOLUME", AL$222),"--")</f>
        <v>0</v>
      </c>
      <c r="AM237" s="2131">
        <f>IF(AM$221,_xll.ciqfunctions.udf.CIQ($G237, "IQ_VOLUME", AM$222),"--")</f>
        <v>0</v>
      </c>
      <c r="AN237" s="2131">
        <f>IF(AN$221,_xll.ciqfunctions.udf.CIQ($G237, "IQ_VOLUME", AN$222),"--")</f>
        <v>0</v>
      </c>
      <c r="AO237" s="2131">
        <f>IF(AO$221,_xll.ciqfunctions.udf.CIQ($G237, "IQ_VOLUME", AO$222),"--")</f>
        <v>0</v>
      </c>
      <c r="AP237" s="2131">
        <f>IF(AP$221,_xll.ciqfunctions.udf.CIQ($G237, "IQ_VOLUME", AP$222),"--")</f>
        <v>0</v>
      </c>
      <c r="AQ237" s="2131">
        <f>IF(AQ$221,_xll.ciqfunctions.udf.CIQ($G237, "IQ_VOLUME", AQ$222),"--")</f>
        <v>0</v>
      </c>
      <c r="AR237" s="2131">
        <f>IF(AR$221,_xll.ciqfunctions.udf.CIQ($G237, "IQ_VOLUME", AR$222),"--")</f>
        <v>0</v>
      </c>
      <c r="AS237" s="2131">
        <f>IF(AS$221,_xll.ciqfunctions.udf.CIQ($G237, "IQ_VOLUME", AS$222),"--")</f>
        <v>0</v>
      </c>
      <c r="AT237" s="2131">
        <f>IF(AT$221,_xll.ciqfunctions.udf.CIQ($G237, "IQ_VOLUME", AT$222),"--")</f>
        <v>0</v>
      </c>
      <c r="AU237" s="2131">
        <f>IF(AU$221,_xll.ciqfunctions.udf.CIQ($G237, "IQ_VOLUME", AU$222),"--")</f>
        <v>0</v>
      </c>
      <c r="AV237" s="2131">
        <f>IF(AV$221,_xll.ciqfunctions.udf.CIQ($G237, "IQ_VOLUME", AV$222),"--")</f>
        <v>0</v>
      </c>
      <c r="AW237" s="2131">
        <f>IF(AW$221,_xll.ciqfunctions.udf.CIQ($G237, "IQ_VOLUME", AW$222),"--")</f>
        <v>0</v>
      </c>
      <c r="AX237" s="2131">
        <f>IF(AX$221,_xll.ciqfunctions.udf.CIQ($G237, "IQ_VOLUME", AX$222),"--")</f>
        <v>0</v>
      </c>
      <c r="AY237" s="2131">
        <f>IF(AY$221,_xll.ciqfunctions.udf.CIQ($G237, "IQ_VOLUME", AY$222),"--")</f>
        <v>0</v>
      </c>
      <c r="AZ237" s="2131">
        <f>IF(AZ$221,_xll.ciqfunctions.udf.CIQ($G237, "IQ_VOLUME", AZ$222),"--")</f>
        <v>0</v>
      </c>
      <c r="BA237" s="2131">
        <f>IF(BA$221,_xll.ciqfunctions.udf.CIQ($G237, "IQ_VOLUME", BA$222),"--")</f>
        <v>0</v>
      </c>
      <c r="BB237" s="2131">
        <f>IF(BB$221,_xll.ciqfunctions.udf.CIQ($G237, "IQ_VOLUME", BB$222),"--")</f>
        <v>0</v>
      </c>
      <c r="BC237" s="2131">
        <f>IF(BC$221,_xll.ciqfunctions.udf.CIQ($G237, "IQ_VOLUME", BC$222),"--")</f>
        <v>0</v>
      </c>
      <c r="BD237" s="2131">
        <f>IF(BD$221,_xll.ciqfunctions.udf.CIQ($G237, "IQ_VOLUME", BD$222),"--")</f>
        <v>0</v>
      </c>
      <c r="BE237" s="2131">
        <f>IF(BE$221,_xll.ciqfunctions.udf.CIQ($G237, "IQ_VOLUME", BE$222),"--")</f>
        <v>0</v>
      </c>
      <c r="BF237" s="2131">
        <f>IF(BF$221,_xll.ciqfunctions.udf.CIQ($G237, "IQ_VOLUME", BF$222),"--")</f>
        <v>0</v>
      </c>
      <c r="BG237" s="2131">
        <f>IF(BG$221,_xll.ciqfunctions.udf.CIQ($G237, "IQ_VOLUME", BG$222),"--")</f>
        <v>0</v>
      </c>
      <c r="BH237" s="2131">
        <f>IF(BH$221,_xll.ciqfunctions.udf.CIQ($G237, "IQ_VOLUME", BH$222),"--")</f>
        <v>0</v>
      </c>
      <c r="BI237" s="2131">
        <f>IF(BI$221,_xll.ciqfunctions.udf.CIQ($G237, "IQ_VOLUME", BI$222),"--")</f>
        <v>0</v>
      </c>
      <c r="BJ237" s="2131">
        <f>IF(BJ$221,_xll.ciqfunctions.udf.CIQ($G237, "IQ_VOLUME", BJ$222),"--")</f>
        <v>0</v>
      </c>
      <c r="BK237" s="2131">
        <f>IF(BK$221,_xll.ciqfunctions.udf.CIQ($G237, "IQ_VOLUME", BK$222),"--")</f>
        <v>0</v>
      </c>
      <c r="BL237" s="2131">
        <f>IF(BL$221,_xll.ciqfunctions.udf.CIQ($G237, "IQ_VOLUME", BL$222),"--")</f>
        <v>0</v>
      </c>
      <c r="BM237" s="2131">
        <f>IF(BM$221,_xll.ciqfunctions.udf.CIQ($G237, "IQ_VOLUME", BM$222),"--")</f>
        <v>0</v>
      </c>
      <c r="BN237" s="2131">
        <f>IF(BN$221,_xll.ciqfunctions.udf.CIQ($G237, "IQ_VOLUME", BN$222),"--")</f>
        <v>0</v>
      </c>
      <c r="BO237" s="2131">
        <f>IF(BO$221,_xll.ciqfunctions.udf.CIQ($G237, "IQ_VOLUME", BO$222),"--")</f>
        <v>0</v>
      </c>
      <c r="BP237" s="2131">
        <f>IF(BP$221,_xll.ciqfunctions.udf.CIQ($G237, "IQ_VOLUME", BP$222),"--")</f>
        <v>0</v>
      </c>
      <c r="BQ237" s="2131">
        <f>IF(BQ$221,_xll.ciqfunctions.udf.CIQ($G237, "IQ_VOLUME", BQ$222),"--")</f>
        <v>0</v>
      </c>
      <c r="BR237" s="2131">
        <f>IF(BR$221,_xll.ciqfunctions.udf.CIQ($G237, "IQ_VOLUME", BR$222),"--")</f>
        <v>0</v>
      </c>
      <c r="BS237" s="2131">
        <f>IF(BS$221,_xll.ciqfunctions.udf.CIQ($G237, "IQ_VOLUME", BS$222),"--")</f>
        <v>0</v>
      </c>
      <c r="BT237" s="2131">
        <f>IF(BT$221,_xll.ciqfunctions.udf.CIQ($G237, "IQ_VOLUME", BT$222),"--")</f>
        <v>0</v>
      </c>
      <c r="BU237" s="2131">
        <f>IF(BU$221,_xll.ciqfunctions.udf.CIQ($G237, "IQ_VOLUME", BU$222),"--")</f>
        <v>0</v>
      </c>
      <c r="BV237" s="2131">
        <f>IF(BV$221,_xll.ciqfunctions.udf.CIQ($G237, "IQ_VOLUME", BV$222),"--")</f>
        <v>0</v>
      </c>
      <c r="BW237" s="2131">
        <f>IF(BW$221,_xll.ciqfunctions.udf.CIQ($G237, "IQ_VOLUME", BW$222),"--")</f>
        <v>0</v>
      </c>
      <c r="BX237" s="2131">
        <f>IF(BX$221,_xll.ciqfunctions.udf.CIQ($G237, "IQ_VOLUME", BX$222),"--")</f>
        <v>0</v>
      </c>
      <c r="BY237" s="2131">
        <f>IF(BY$221,_xll.ciqfunctions.udf.CIQ($G237, "IQ_VOLUME", BY$222),"--")</f>
        <v>0</v>
      </c>
      <c r="BZ237" s="2131">
        <f>IF(BZ$221,_xll.ciqfunctions.udf.CIQ($G237, "IQ_VOLUME", BZ$222),"--")</f>
        <v>0</v>
      </c>
      <c r="CA237" s="2131">
        <f>IF(CA$221,_xll.ciqfunctions.udf.CIQ($G237, "IQ_VOLUME", CA$222),"--")</f>
        <v>0</v>
      </c>
      <c r="CB237" s="2131">
        <f>IF(CB$221,_xll.ciqfunctions.udf.CIQ($G237, "IQ_VOLUME", CB$222),"--")</f>
        <v>0</v>
      </c>
      <c r="CC237" s="2131">
        <f>IF(CC$221,_xll.ciqfunctions.udf.CIQ($G237, "IQ_VOLUME", CC$222),"--")</f>
        <v>0</v>
      </c>
      <c r="CD237" s="2131">
        <f>IF(CD$221,_xll.ciqfunctions.udf.CIQ($G237, "IQ_VOLUME", CD$222),"--")</f>
        <v>0</v>
      </c>
      <c r="CE237" s="2131">
        <f>IF(CE$221,_xll.ciqfunctions.udf.CIQ($G237, "IQ_VOLUME", CE$222),"--")</f>
        <v>0</v>
      </c>
      <c r="CF237" s="2131">
        <f>IF(CF$221,_xll.ciqfunctions.udf.CIQ($G237, "IQ_VOLUME", CF$222),"--")</f>
        <v>0</v>
      </c>
      <c r="CG237" s="2131">
        <f>IF(CG$221,_xll.ciqfunctions.udf.CIQ($G237, "IQ_VOLUME", CG$222),"--")</f>
        <v>0</v>
      </c>
      <c r="CH237" s="2131">
        <f>IF(CH$221,_xll.ciqfunctions.udf.CIQ($G237, "IQ_VOLUME", CH$222),"--")</f>
        <v>0</v>
      </c>
      <c r="CI237" s="2131">
        <f>IF(CI$221,_xll.ciqfunctions.udf.CIQ($G237, "IQ_VOLUME", CI$222),"--")</f>
        <v>0</v>
      </c>
      <c r="CJ237" s="2131">
        <f>IF(CJ$221,_xll.ciqfunctions.udf.CIQ($G237, "IQ_VOLUME", CJ$222),"--")</f>
        <v>0</v>
      </c>
      <c r="CK237" s="2131">
        <f>IF(CK$221,_xll.ciqfunctions.udf.CIQ($G237, "IQ_VOLUME", CK$222),"--")</f>
        <v>0</v>
      </c>
      <c r="CL237" s="2131">
        <f>IF(CL$221,_xll.ciqfunctions.udf.CIQ($G237, "IQ_VOLUME", CL$222),"--")</f>
        <v>0</v>
      </c>
      <c r="CM237" s="2131">
        <f>IF(CM$221,_xll.ciqfunctions.udf.CIQ($G237, "IQ_VOLUME", CM$222),"--")</f>
        <v>0</v>
      </c>
      <c r="CN237" s="2131">
        <f>IF(CN$221,_xll.ciqfunctions.udf.CIQ($G237, "IQ_VOLUME", CN$222),"--")</f>
        <v>0</v>
      </c>
      <c r="CO237" s="2131">
        <f>IF(CO$221,_xll.ciqfunctions.udf.CIQ($G237, "IQ_VOLUME", CO$222),"--")</f>
        <v>0</v>
      </c>
      <c r="CP237" s="2131">
        <f>IF(CP$221,_xll.ciqfunctions.udf.CIQ($G237, "IQ_VOLUME", CP$222),"--")</f>
        <v>0</v>
      </c>
      <c r="CQ237" s="2131">
        <f>IF(CQ$221,_xll.ciqfunctions.udf.CIQ($G237, "IQ_VOLUME", CQ$222),"--")</f>
        <v>0</v>
      </c>
      <c r="CR237" s="2131">
        <f>IF(CR$221,_xll.ciqfunctions.udf.CIQ($G237, "IQ_VOLUME", CR$222),"--")</f>
        <v>0</v>
      </c>
      <c r="CS237" s="2131">
        <f>IF(CS$221,_xll.ciqfunctions.udf.CIQ($G237, "IQ_VOLUME", CS$222),"--")</f>
        <v>0</v>
      </c>
      <c r="CT237" s="2131">
        <f>IF(CT$221,_xll.ciqfunctions.udf.CIQ($G237, "IQ_VOLUME", CT$222),"--")</f>
        <v>0</v>
      </c>
      <c r="CU237" s="2131">
        <f>IF(CU$221,_xll.ciqfunctions.udf.CIQ($G237, "IQ_VOLUME", CU$222),"--")</f>
        <v>0</v>
      </c>
      <c r="CV237" s="2131">
        <f>IF(CV$221,_xll.ciqfunctions.udf.CIQ($G237, "IQ_VOLUME", CV$222),"--")</f>
        <v>0</v>
      </c>
      <c r="CW237" s="2131">
        <f>IF(CW$221,_xll.ciqfunctions.udf.CIQ($G237, "IQ_VOLUME", CW$222),"--")</f>
        <v>0</v>
      </c>
      <c r="CX237" s="2131">
        <f>IF(CX$221,_xll.ciqfunctions.udf.CIQ($G237, "IQ_VOLUME", CX$222),"--")</f>
        <v>0</v>
      </c>
      <c r="CY237" s="2131">
        <f>IF(CY$221,_xll.ciqfunctions.udf.CIQ($G237, "IQ_VOLUME", CY$222),"--")</f>
        <v>0</v>
      </c>
      <c r="CZ237" s="2131">
        <f>IF(CZ$221,_xll.ciqfunctions.udf.CIQ($G237, "IQ_VOLUME", CZ$222),"--")</f>
        <v>0</v>
      </c>
      <c r="DA237" s="2131">
        <f>IF(DA$221,_xll.ciqfunctions.udf.CIQ($G237, "IQ_VOLUME", DA$222),"--")</f>
        <v>0</v>
      </c>
      <c r="DB237" s="2131">
        <f>IF(DB$221,_xll.ciqfunctions.udf.CIQ($G237, "IQ_VOLUME", DB$222),"--")</f>
        <v>0</v>
      </c>
      <c r="DC237" s="2131">
        <f>IF(DC$221,_xll.ciqfunctions.udf.CIQ($G237, "IQ_VOLUME", DC$222),"--")</f>
        <v>0</v>
      </c>
      <c r="DD237" s="2131">
        <f>IF(DD$221,_xll.ciqfunctions.udf.CIQ($G237, "IQ_VOLUME", DD$222),"--")</f>
        <v>0</v>
      </c>
      <c r="DE237" s="2131">
        <f>IF(DE$221,_xll.ciqfunctions.udf.CIQ($G237, "IQ_VOLUME", DE$222),"--")</f>
        <v>0</v>
      </c>
      <c r="DF237" s="2131">
        <f>IF(DF$221,_xll.ciqfunctions.udf.CIQ($G237, "IQ_VOLUME", DF$222),"--")</f>
        <v>0</v>
      </c>
      <c r="DG237" s="2131">
        <f>IF(DG$221,_xll.ciqfunctions.udf.CIQ($G237, "IQ_VOLUME", DG$222),"--")</f>
        <v>0</v>
      </c>
      <c r="DH237" s="2131">
        <f>IF(DH$221,_xll.ciqfunctions.udf.CIQ($G237, "IQ_VOLUME", DH$222),"--")</f>
        <v>0</v>
      </c>
      <c r="DI237" s="2131">
        <f>IF(DI$221,_xll.ciqfunctions.udf.CIQ($G237, "IQ_VOLUME", DI$222),"--")</f>
        <v>0</v>
      </c>
      <c r="DJ237" s="2131">
        <f>IF(DJ$221,_xll.ciqfunctions.udf.CIQ($G237, "IQ_VOLUME", DJ$222),"--")</f>
        <v>0</v>
      </c>
      <c r="DK237" s="2131">
        <f>IF(DK$221,_xll.ciqfunctions.udf.CIQ($G237, "IQ_VOLUME", DK$222),"--")</f>
        <v>0</v>
      </c>
      <c r="DL237" s="2131">
        <f>IF(DL$221,_xll.ciqfunctions.udf.CIQ($G237, "IQ_VOLUME", DL$222),"--")</f>
        <v>0</v>
      </c>
      <c r="DM237" s="2131">
        <f>IF(DM$221,_xll.ciqfunctions.udf.CIQ($G237, "IQ_VOLUME", DM$222),"--")</f>
        <v>0</v>
      </c>
      <c r="DN237" s="2131">
        <f>IF(DN$221,_xll.ciqfunctions.udf.CIQ($G237, "IQ_VOLUME", DN$222),"--")</f>
        <v>0</v>
      </c>
      <c r="DO237" s="2131">
        <f>IF(DO$221,_xll.ciqfunctions.udf.CIQ($G237, "IQ_VOLUME", DO$222),"--")</f>
        <v>0</v>
      </c>
      <c r="DP237" s="2131">
        <f>IF(DP$221,_xll.ciqfunctions.udf.CIQ($G237, "IQ_VOLUME", DP$222),"--")</f>
        <v>0</v>
      </c>
      <c r="DQ237" s="2131">
        <f>IF(DQ$221,_xll.ciqfunctions.udf.CIQ($G237, "IQ_VOLUME", DQ$222),"--")</f>
        <v>0</v>
      </c>
      <c r="DR237" s="2131">
        <f>IF(DR$221,_xll.ciqfunctions.udf.CIQ($G237, "IQ_VOLUME", DR$222),"--")</f>
        <v>0</v>
      </c>
      <c r="DS237" s="2131">
        <f>IF(DS$221,_xll.ciqfunctions.udf.CIQ($G237, "IQ_VOLUME", DS$222),"--")</f>
        <v>0</v>
      </c>
      <c r="DT237" s="2131">
        <f>IF(DT$221,_xll.ciqfunctions.udf.CIQ($G237, "IQ_VOLUME", DT$222),"--")</f>
        <v>0</v>
      </c>
      <c r="DU237" s="2131">
        <f>IF(DU$221,_xll.ciqfunctions.udf.CIQ($G237, "IQ_VOLUME", DU$222),"--")</f>
        <v>0</v>
      </c>
      <c r="DV237" s="2131">
        <f>IF(DV$221,_xll.ciqfunctions.udf.CIQ($G237, "IQ_VOLUME", DV$222),"--")</f>
        <v>0</v>
      </c>
      <c r="DW237" s="2131">
        <f>IF(DW$221,_xll.ciqfunctions.udf.CIQ($G237, "IQ_VOLUME", DW$222),"--")</f>
        <v>0</v>
      </c>
      <c r="DX237" s="2131">
        <f>IF(DX$221,_xll.ciqfunctions.udf.CIQ($G237, "IQ_VOLUME", DX$222),"--")</f>
        <v>0</v>
      </c>
      <c r="DY237" s="2131">
        <f>IF(DY$221,_xll.ciqfunctions.udf.CIQ($G237, "IQ_VOLUME", DY$222),"--")</f>
        <v>0</v>
      </c>
      <c r="DZ237" s="2131">
        <f>IF(DZ$221,_xll.ciqfunctions.udf.CIQ($G237, "IQ_VOLUME", DZ$222),"--")</f>
        <v>0</v>
      </c>
      <c r="EA237" s="2131">
        <f>IF(EA$221,_xll.ciqfunctions.udf.CIQ($G237, "IQ_VOLUME", EA$222),"--")</f>
        <v>0</v>
      </c>
      <c r="EB237" s="2131">
        <f>IF(EB$221,_xll.ciqfunctions.udf.CIQ($G237, "IQ_VOLUME", EB$222),"--")</f>
        <v>0</v>
      </c>
      <c r="EC237" s="2131">
        <f>IF(EC$221,_xll.ciqfunctions.udf.CIQ($G237, "IQ_VOLUME", EC$222),"--")</f>
        <v>0</v>
      </c>
      <c r="ED237" s="2131">
        <f>IF(ED$221,_xll.ciqfunctions.udf.CIQ($G237, "IQ_VOLUME", ED$222),"--")</f>
        <v>0</v>
      </c>
      <c r="EE237" s="2131">
        <f>IF(EE$221,_xll.ciqfunctions.udf.CIQ($G237, "IQ_VOLUME", EE$222),"--")</f>
        <v>0</v>
      </c>
      <c r="EF237" s="2131">
        <f>IF(EF$221,_xll.ciqfunctions.udf.CIQ($G237, "IQ_VOLUME", EF$222),"--")</f>
        <v>0</v>
      </c>
      <c r="EG237" s="2131">
        <f>IF(EG$221,_xll.ciqfunctions.udf.CIQ($G237, "IQ_VOLUME", EG$222),"--")</f>
        <v>0</v>
      </c>
      <c r="EH237" s="2131">
        <f>IF(EH$221,_xll.ciqfunctions.udf.CIQ($G237, "IQ_VOLUME", EH$222),"--")</f>
        <v>0</v>
      </c>
      <c r="EI237" s="2131">
        <f>IF(EI$221,_xll.ciqfunctions.udf.CIQ($G237, "IQ_VOLUME", EI$222),"--")</f>
        <v>0</v>
      </c>
      <c r="EJ237" s="2131">
        <f>IF(EJ$221,_xll.ciqfunctions.udf.CIQ($G237, "IQ_VOLUME", EJ$222),"--")</f>
        <v>0</v>
      </c>
      <c r="EK237" s="2131">
        <f>IF(EK$221,_xll.ciqfunctions.udf.CIQ($G237, "IQ_VOLUME", EK$222),"--")</f>
        <v>0</v>
      </c>
      <c r="EL237" s="2131">
        <f>IF(EL$221,_xll.ciqfunctions.udf.CIQ($G237, "IQ_VOLUME", EL$222),"--")</f>
        <v>0</v>
      </c>
      <c r="EM237" s="2131">
        <f>IF(EM$221,_xll.ciqfunctions.udf.CIQ($G237, "IQ_VOLUME", EM$222),"--")</f>
        <v>0</v>
      </c>
      <c r="EN237" s="2131">
        <f>IF(EN$221,_xll.ciqfunctions.udf.CIQ($G237, "IQ_VOLUME", EN$222),"--")</f>
        <v>0</v>
      </c>
      <c r="EO237" s="2131">
        <f>IF(EO$221,_xll.ciqfunctions.udf.CIQ($G237, "IQ_VOLUME", EO$222),"--")</f>
        <v>0</v>
      </c>
      <c r="EP237" s="2131">
        <f>IF(EP$221,_xll.ciqfunctions.udf.CIQ($G237, "IQ_VOLUME", EP$222),"--")</f>
        <v>0</v>
      </c>
      <c r="EQ237" s="2131">
        <f>IF(EQ$221,_xll.ciqfunctions.udf.CIQ($G237, "IQ_VOLUME", EQ$222),"--")</f>
        <v>0</v>
      </c>
      <c r="ER237" s="2131">
        <f>IF(ER$221,_xll.ciqfunctions.udf.CIQ($G237, "IQ_VOLUME", ER$222),"--")</f>
        <v>0</v>
      </c>
      <c r="ES237" s="2131">
        <f>IF(ES$221,_xll.ciqfunctions.udf.CIQ($G237, "IQ_VOLUME", ES$222),"--")</f>
        <v>0</v>
      </c>
      <c r="ET237" s="2131">
        <f>IF(ET$221,_xll.ciqfunctions.udf.CIQ($G237, "IQ_VOLUME", ET$222),"--")</f>
        <v>0</v>
      </c>
      <c r="EU237" s="2131">
        <f>IF(EU$221,_xll.ciqfunctions.udf.CIQ($G237, "IQ_VOLUME", EU$222),"--")</f>
        <v>0</v>
      </c>
      <c r="EV237" s="2131">
        <f>IF(EV$221,_xll.ciqfunctions.udf.CIQ($G237, "IQ_VOLUME", EV$222),"--")</f>
        <v>0</v>
      </c>
      <c r="EW237" s="2131">
        <f>IF(EW$221,_xll.ciqfunctions.udf.CIQ($G237, "IQ_VOLUME", EW$222),"--")</f>
        <v>0</v>
      </c>
      <c r="EX237" s="2131">
        <f>IF(EX$221,_xll.ciqfunctions.udf.CIQ($G237, "IQ_VOLUME", EX$222),"--")</f>
        <v>0</v>
      </c>
      <c r="EY237" s="2131">
        <f>IF(EY$221,_xll.ciqfunctions.udf.CIQ($G237, "IQ_VOLUME", EY$222),"--")</f>
        <v>0</v>
      </c>
      <c r="EZ237" s="2131">
        <f>IF(EZ$221,_xll.ciqfunctions.udf.CIQ($G237, "IQ_VOLUME", EZ$222),"--")</f>
        <v>0</v>
      </c>
      <c r="FA237" s="2131">
        <f>IF(FA$221,_xll.ciqfunctions.udf.CIQ($G237, "IQ_VOLUME", FA$222),"--")</f>
        <v>0</v>
      </c>
      <c r="FB237" s="2131">
        <f>IF(FB$221,_xll.ciqfunctions.udf.CIQ($G237, "IQ_VOLUME", FB$222),"--")</f>
        <v>0</v>
      </c>
      <c r="FC237" s="2131">
        <f>IF(FC$221,_xll.ciqfunctions.udf.CIQ($G237, "IQ_VOLUME", FC$222),"--")</f>
        <v>0</v>
      </c>
      <c r="FD237" s="2131">
        <f>IF(FD$221,_xll.ciqfunctions.udf.CIQ($G237, "IQ_VOLUME", FD$222),"--")</f>
        <v>0</v>
      </c>
      <c r="FE237" s="2131">
        <f>IF(FE$221,_xll.ciqfunctions.udf.CIQ($G237, "IQ_VOLUME", FE$222),"--")</f>
        <v>0</v>
      </c>
      <c r="FF237" s="2131">
        <f>IF(FF$221,_xll.ciqfunctions.udf.CIQ($G237, "IQ_VOLUME", FF$222),"--")</f>
        <v>0</v>
      </c>
      <c r="FG237" s="2131">
        <f>IF(FG$221,_xll.ciqfunctions.udf.CIQ($G237, "IQ_VOLUME", FG$222),"--")</f>
        <v>0</v>
      </c>
      <c r="FH237" s="2131">
        <f>IF(FH$221,_xll.ciqfunctions.udf.CIQ($G237, "IQ_VOLUME", FH$222),"--")</f>
        <v>0</v>
      </c>
      <c r="FI237" s="2131">
        <f>IF(FI$221,_xll.ciqfunctions.udf.CIQ($G237, "IQ_VOLUME", FI$222),"--")</f>
        <v>0</v>
      </c>
      <c r="FJ237" s="2131">
        <f>IF(FJ$221,_xll.ciqfunctions.udf.CIQ($G237, "IQ_VOLUME", FJ$222),"--")</f>
        <v>0</v>
      </c>
      <c r="FK237" s="2131">
        <f>IF(FK$221,_xll.ciqfunctions.udf.CIQ($G237, "IQ_VOLUME", FK$222),"--")</f>
        <v>0</v>
      </c>
      <c r="FL237" s="2131">
        <f>IF(FL$221,_xll.ciqfunctions.udf.CIQ($G237, "IQ_VOLUME", FL$222),"--")</f>
        <v>0</v>
      </c>
      <c r="FM237" s="2131">
        <f>IF(FM$221,_xll.ciqfunctions.udf.CIQ($G237, "IQ_VOLUME", FM$222),"--")</f>
        <v>0</v>
      </c>
      <c r="FN237" s="2131">
        <f>IF(FN$221,_xll.ciqfunctions.udf.CIQ($G237, "IQ_VOLUME", FN$222),"--")</f>
        <v>0</v>
      </c>
      <c r="FO237" s="2131">
        <f>IF(FO$221,_xll.ciqfunctions.udf.CIQ($G237, "IQ_VOLUME", FO$222),"--")</f>
        <v>0</v>
      </c>
      <c r="FP237" s="2131">
        <f>IF(FP$221,_xll.ciqfunctions.udf.CIQ($G237, "IQ_VOLUME", FP$222),"--")</f>
        <v>0</v>
      </c>
      <c r="FQ237" s="2131">
        <f>IF(FQ$221,_xll.ciqfunctions.udf.CIQ($G237, "IQ_VOLUME", FQ$222),"--")</f>
        <v>0</v>
      </c>
      <c r="FR237" s="2131">
        <f>IF(FR$221,_xll.ciqfunctions.udf.CIQ($G237, "IQ_VOLUME", FR$222),"--")</f>
        <v>0</v>
      </c>
      <c r="FS237" s="2131">
        <f>IF(FS$221,_xll.ciqfunctions.udf.CIQ($G237, "IQ_VOLUME", FS$222),"--")</f>
        <v>0</v>
      </c>
      <c r="FT237" s="2131">
        <f>IF(FT$221,_xll.ciqfunctions.udf.CIQ($G237, "IQ_VOLUME", FT$222),"--")</f>
        <v>0</v>
      </c>
      <c r="FU237" s="2131">
        <f>IF(FU$221,_xll.ciqfunctions.udf.CIQ($G237, "IQ_VOLUME", FU$222),"--")</f>
        <v>0</v>
      </c>
      <c r="FV237" s="2131">
        <f>IF(FV$221,_xll.ciqfunctions.udf.CIQ($G237, "IQ_VOLUME", FV$222),"--")</f>
        <v>0</v>
      </c>
      <c r="FW237" s="2131">
        <f>IF(FW$221,_xll.ciqfunctions.udf.CIQ($G237, "IQ_VOLUME", FW$222),"--")</f>
        <v>0</v>
      </c>
      <c r="FX237" s="2131">
        <f>IF(FX$221,_xll.ciqfunctions.udf.CIQ($G237, "IQ_VOLUME", FX$222),"--")</f>
        <v>0</v>
      </c>
      <c r="FY237" s="2131">
        <f>IF(FY$221,_xll.ciqfunctions.udf.CIQ($G237, "IQ_VOLUME", FY$222),"--")</f>
        <v>0</v>
      </c>
      <c r="FZ237" s="2131">
        <f>IF(FZ$221,_xll.ciqfunctions.udf.CIQ($G237, "IQ_VOLUME", FZ$222),"--")</f>
        <v>0</v>
      </c>
      <c r="GA237" s="2131">
        <f>IF(GA$221,_xll.ciqfunctions.udf.CIQ($G237, "IQ_VOLUME", GA$222),"--")</f>
        <v>0</v>
      </c>
      <c r="GB237" s="2131">
        <f>IF(GB$221,_xll.ciqfunctions.udf.CIQ($G237, "IQ_VOLUME", GB$222),"--")</f>
        <v>0</v>
      </c>
      <c r="GC237" s="2131">
        <f>IF(GC$221,_xll.ciqfunctions.udf.CIQ($G237, "IQ_VOLUME", GC$222),"--")</f>
        <v>0</v>
      </c>
      <c r="GD237" s="2131">
        <f>IF(GD$221,_xll.ciqfunctions.udf.CIQ($G237, "IQ_VOLUME", GD$222),"--")</f>
        <v>0</v>
      </c>
      <c r="GE237" s="2131">
        <f>IF(GE$221,_xll.ciqfunctions.udf.CIQ($G237, "IQ_VOLUME", GE$222),"--")</f>
        <v>0</v>
      </c>
      <c r="GF237" s="2131">
        <f>IF(GF$221,_xll.ciqfunctions.udf.CIQ($G237, "IQ_VOLUME", GF$222),"--")</f>
        <v>0</v>
      </c>
      <c r="GG237" s="2131">
        <f>IF(GG$221,_xll.ciqfunctions.udf.CIQ($G237, "IQ_VOLUME", GG$222),"--")</f>
        <v>0</v>
      </c>
      <c r="GH237" s="2131">
        <f>IF(GH$221,_xll.ciqfunctions.udf.CIQ($G237, "IQ_VOLUME", GH$222),"--")</f>
        <v>0</v>
      </c>
      <c r="GI237" s="2131">
        <f>IF(GI$221,_xll.ciqfunctions.udf.CIQ($G237, "IQ_VOLUME", GI$222),"--")</f>
        <v>0</v>
      </c>
      <c r="GJ237" s="2131">
        <f>IF(GJ$221,_xll.ciqfunctions.udf.CIQ($G237, "IQ_VOLUME", GJ$222),"--")</f>
        <v>0</v>
      </c>
      <c r="GK237" s="2131">
        <f>IF(GK$221,_xll.ciqfunctions.udf.CIQ($G237, "IQ_VOLUME", GK$222),"--")</f>
        <v>0</v>
      </c>
      <c r="GL237" s="2131">
        <f>IF(GL$221,_xll.ciqfunctions.udf.CIQ($G237, "IQ_VOLUME", GL$222),"--")</f>
        <v>0</v>
      </c>
      <c r="GM237" s="2131">
        <f>IF(GM$221,_xll.ciqfunctions.udf.CIQ($G237, "IQ_VOLUME", GM$222),"--")</f>
        <v>0</v>
      </c>
      <c r="GN237" s="2131">
        <f>IF(GN$221,_xll.ciqfunctions.udf.CIQ($G237, "IQ_VOLUME", GN$222),"--")</f>
        <v>0</v>
      </c>
      <c r="GO237" s="2131">
        <f>IF(GO$221,_xll.ciqfunctions.udf.CIQ($G237, "IQ_VOLUME", GO$222),"--")</f>
        <v>0</v>
      </c>
      <c r="GP237" s="2131">
        <f>IF(GP$221,_xll.ciqfunctions.udf.CIQ($G237, "IQ_VOLUME", GP$222),"--")</f>
        <v>0</v>
      </c>
      <c r="GQ237" s="2131">
        <f>IF(GQ$221,_xll.ciqfunctions.udf.CIQ($G237, "IQ_VOLUME", GQ$222),"--")</f>
        <v>0</v>
      </c>
      <c r="GR237" s="2131">
        <f>IF(GR$221,_xll.ciqfunctions.udf.CIQ($G237, "IQ_VOLUME", GR$222),"--")</f>
        <v>0</v>
      </c>
      <c r="GS237" s="2131">
        <f>IF(GS$221,_xll.ciqfunctions.udf.CIQ($G237, "IQ_VOLUME", GS$222),"--")</f>
        <v>0</v>
      </c>
      <c r="GT237" s="2131">
        <f>IF(GT$221,_xll.ciqfunctions.udf.CIQ($G237, "IQ_VOLUME", GT$222),"--")</f>
        <v>0</v>
      </c>
      <c r="GU237" s="2131">
        <f>IF(GU$221,_xll.ciqfunctions.udf.CIQ($G237, "IQ_VOLUME", GU$222),"--")</f>
        <v>0</v>
      </c>
      <c r="GV237" s="2131">
        <f>IF(GV$221,_xll.ciqfunctions.udf.CIQ($G237, "IQ_VOLUME", GV$222),"--")</f>
        <v>0</v>
      </c>
      <c r="GW237" s="2131">
        <f>IF(GW$221,_xll.ciqfunctions.udf.CIQ($G237, "IQ_VOLUME", GW$222),"--")</f>
        <v>0</v>
      </c>
      <c r="GX237" s="2131">
        <f>IF(GX$221,_xll.ciqfunctions.udf.CIQ($G237, "IQ_VOLUME", GX$222),"--")</f>
        <v>0</v>
      </c>
      <c r="GY237" s="2131">
        <f>IF(GY$221,_xll.ciqfunctions.udf.CIQ($G237, "IQ_VOLUME", GY$222),"--")</f>
        <v>0</v>
      </c>
      <c r="GZ237" s="2131">
        <f>IF(GZ$221,_xll.ciqfunctions.udf.CIQ($G237, "IQ_VOLUME", GZ$222),"--")</f>
        <v>0</v>
      </c>
      <c r="HA237" s="2131">
        <f>IF(HA$221,_xll.ciqfunctions.udf.CIQ($G237, "IQ_VOLUME", HA$222),"--")</f>
        <v>0</v>
      </c>
      <c r="HB237" s="2131">
        <f>IF(HB$221,_xll.ciqfunctions.udf.CIQ($G237, "IQ_VOLUME", HB$222),"--")</f>
        <v>0</v>
      </c>
      <c r="HC237" s="2131">
        <f>IF(HC$221,_xll.ciqfunctions.udf.CIQ($G237, "IQ_VOLUME", HC$222),"--")</f>
        <v>0</v>
      </c>
      <c r="HD237" s="2131">
        <f>IF(HD$221,_xll.ciqfunctions.udf.CIQ($G237, "IQ_VOLUME", HD$222),"--")</f>
        <v>0</v>
      </c>
      <c r="HE237" s="2131">
        <f>IF(HE$221,_xll.ciqfunctions.udf.CIQ($G237, "IQ_VOLUME", HE$222),"--")</f>
        <v>0</v>
      </c>
      <c r="HF237" s="2131">
        <f>IF(HF$221,_xll.ciqfunctions.udf.CIQ($G237, "IQ_VOLUME", HF$222),"--")</f>
        <v>0</v>
      </c>
      <c r="HG237" s="2131">
        <f>IF(HG$221,_xll.ciqfunctions.udf.CIQ($G237, "IQ_VOLUME", HG$222),"--")</f>
        <v>0</v>
      </c>
      <c r="HH237" s="2131">
        <f>IF(HH$221,_xll.ciqfunctions.udf.CIQ($G237, "IQ_VOLUME", HH$222),"--")</f>
        <v>0</v>
      </c>
      <c r="HI237" s="2131">
        <f>IF(HI$221,_xll.ciqfunctions.udf.CIQ($G237, "IQ_VOLUME", HI$222),"--")</f>
        <v>0</v>
      </c>
      <c r="HJ237" s="2131">
        <f>IF(HJ$221,_xll.ciqfunctions.udf.CIQ($G237, "IQ_VOLUME", HJ$222),"--")</f>
        <v>0</v>
      </c>
      <c r="HK237" s="2131">
        <f>IF(HK$221,_xll.ciqfunctions.udf.CIQ($G237, "IQ_VOLUME", HK$222),"--")</f>
        <v>0</v>
      </c>
      <c r="HL237" s="2131">
        <f>IF(HL$221,_xll.ciqfunctions.udf.CIQ($G237, "IQ_VOLUME", HL$222),"--")</f>
        <v>0</v>
      </c>
      <c r="HM237" s="2131">
        <f>IF(HM$221,_xll.ciqfunctions.udf.CIQ($G237, "IQ_VOLUME", HM$222),"--")</f>
        <v>0</v>
      </c>
      <c r="HN237" s="2131">
        <f>IF(HN$221,_xll.ciqfunctions.udf.CIQ($G237, "IQ_VOLUME", HN$222),"--")</f>
        <v>0</v>
      </c>
      <c r="HO237" s="2131">
        <f>IF(HO$221,_xll.ciqfunctions.udf.CIQ($G237, "IQ_VOLUME", HO$222),"--")</f>
        <v>0</v>
      </c>
      <c r="HP237" s="2131">
        <f>IF(HP$221,_xll.ciqfunctions.udf.CIQ($G237, "IQ_VOLUME", HP$222),"--")</f>
        <v>0</v>
      </c>
      <c r="HQ237" s="2131">
        <f>IF(HQ$221,_xll.ciqfunctions.udf.CIQ($G237, "IQ_VOLUME", HQ$222),"--")</f>
        <v>0</v>
      </c>
      <c r="HR237" s="2131">
        <f>IF(HR$221,_xll.ciqfunctions.udf.CIQ($G237, "IQ_VOLUME", HR$222),"--")</f>
        <v>0</v>
      </c>
      <c r="HS237" s="2131">
        <f>IF(HS$221,_xll.ciqfunctions.udf.CIQ($G237, "IQ_VOLUME", HS$222),"--")</f>
        <v>0</v>
      </c>
      <c r="HT237" s="2131">
        <f>IF(HT$221,_xll.ciqfunctions.udf.CIQ($G237, "IQ_VOLUME", HT$222),"--")</f>
        <v>0</v>
      </c>
      <c r="HU237" s="2131">
        <f>IF(HU$221,_xll.ciqfunctions.udf.CIQ($G237, "IQ_VOLUME", HU$222),"--")</f>
        <v>0</v>
      </c>
      <c r="HV237" s="2131">
        <f>IF(HV$221,_xll.ciqfunctions.udf.CIQ($G237, "IQ_VOLUME", HV$222),"--")</f>
        <v>0</v>
      </c>
      <c r="HW237" s="2131">
        <f>IF(HW$221,_xll.ciqfunctions.udf.CIQ($G237, "IQ_VOLUME", HW$222),"--")</f>
        <v>0</v>
      </c>
      <c r="HX237" s="2131">
        <f>IF(HX$221,_xll.ciqfunctions.udf.CIQ($G237, "IQ_VOLUME", HX$222),"--")</f>
        <v>0</v>
      </c>
      <c r="HY237" s="2131">
        <f>IF(HY$221,_xll.ciqfunctions.udf.CIQ($G237, "IQ_VOLUME", HY$222),"--")</f>
        <v>0</v>
      </c>
      <c r="HZ237" s="2131">
        <f>IF(HZ$221,_xll.ciqfunctions.udf.CIQ($G237, "IQ_VOLUME", HZ$222),"--")</f>
        <v>0</v>
      </c>
      <c r="IA237" s="2131">
        <f>IF(IA$221,_xll.ciqfunctions.udf.CIQ($G237, "IQ_VOLUME", IA$222),"--")</f>
        <v>0</v>
      </c>
      <c r="IB237" s="2131">
        <f>IF(IB$221,_xll.ciqfunctions.udf.CIQ($G237, "IQ_VOLUME", IB$222),"--")</f>
        <v>0</v>
      </c>
      <c r="IC237" s="2131">
        <f>IF(IC$221,_xll.ciqfunctions.udf.CIQ($G237, "IQ_VOLUME", IC$222),"--")</f>
        <v>0</v>
      </c>
      <c r="ID237" s="2131">
        <f>IF(ID$221,_xll.ciqfunctions.udf.CIQ($G237, "IQ_VOLUME", ID$222),"--")</f>
        <v>0</v>
      </c>
      <c r="IE237" s="2131">
        <f>IF(IE$221,_xll.ciqfunctions.udf.CIQ($G237, "IQ_VOLUME", IE$222),"--")</f>
        <v>0</v>
      </c>
      <c r="IF237" s="2131">
        <f>IF(IF$221,_xll.ciqfunctions.udf.CIQ($G237, "IQ_VOLUME", IF$222),"--")</f>
        <v>0</v>
      </c>
      <c r="IG237" s="2131">
        <f>IF(IG$221,_xll.ciqfunctions.udf.CIQ($G237, "IQ_VOLUME", IG$222),"--")</f>
        <v>0</v>
      </c>
      <c r="IH237" s="2131">
        <f>IF(IH$221,_xll.ciqfunctions.udf.CIQ($G237, "IQ_VOLUME", IH$222),"--")</f>
        <v>0</v>
      </c>
      <c r="II237" s="2131">
        <f>IF(II$221,_xll.ciqfunctions.udf.CIQ($G237, "IQ_VOLUME", II$222),"--")</f>
        <v>0</v>
      </c>
      <c r="IJ237" s="2131">
        <f>IF(IJ$221,_xll.ciqfunctions.udf.CIQ($G237, "IQ_VOLUME", IJ$222),"--")</f>
        <v>0</v>
      </c>
      <c r="IK237" s="2131">
        <f>IF(IK$221,_xll.ciqfunctions.udf.CIQ($G237, "IQ_VOLUME", IK$222),"--")</f>
        <v>0</v>
      </c>
      <c r="IL237" s="2131">
        <f>IF(IL$221,_xll.ciqfunctions.udf.CIQ($G237, "IQ_VOLUME", IL$222),"--")</f>
        <v>0</v>
      </c>
      <c r="IM237" s="2131">
        <f>IF(IM$221,_xll.ciqfunctions.udf.CIQ($G237, "IQ_VOLUME", IM$222),"--")</f>
        <v>0</v>
      </c>
      <c r="IN237" s="2131">
        <f>IF(IN$221,_xll.ciqfunctions.udf.CIQ($G237, "IQ_VOLUME", IN$222),"--")</f>
        <v>0</v>
      </c>
      <c r="IO237" s="2131">
        <f>IF(IO$221,_xll.ciqfunctions.udf.CIQ($G237, "IQ_VOLUME", IO$222),"--")</f>
        <v>0</v>
      </c>
      <c r="IP237" s="2131">
        <f>IF(IP$221,_xll.ciqfunctions.udf.CIQ($G237, "IQ_VOLUME", IP$222),"--")</f>
        <v>0</v>
      </c>
      <c r="IQ237" s="2131">
        <f>IF(IQ$221,_xll.ciqfunctions.udf.CIQ($G237, "IQ_VOLUME", IQ$222),"--")</f>
        <v>0</v>
      </c>
      <c r="IR237" s="2131">
        <f>IF(IR$221,_xll.ciqfunctions.udf.CIQ($G237, "IQ_VOLUME", IR$222),"--")</f>
        <v>0</v>
      </c>
      <c r="IS237" s="2131">
        <f>IF(IS$221,_xll.ciqfunctions.udf.CIQ($G237, "IQ_VOLUME", IS$222),"--")</f>
        <v>0</v>
      </c>
      <c r="IT237" s="2131">
        <f>IF(IT$221,_xll.ciqfunctions.udf.CIQ($G237, "IQ_VOLUME", IT$222),"--")</f>
        <v>0</v>
      </c>
      <c r="IU237" s="2131">
        <f>IF(IU$221,_xll.ciqfunctions.udf.CIQ($G237, "IQ_VOLUME", IU$222),"--")</f>
        <v>0</v>
      </c>
      <c r="IV237" s="2131">
        <f>IF(IV$221,_xll.ciqfunctions.udf.CIQ($G237, "IQ_VOLUME", IV$222),"--")</f>
        <v>0</v>
      </c>
      <c r="IW237" s="2131">
        <f>IF(IW$221,_xll.ciqfunctions.udf.CIQ($G237, "IQ_VOLUME", IW$222),"--")</f>
        <v>0</v>
      </c>
      <c r="IX237" s="2131">
        <f>IF(IX$221,_xll.ciqfunctions.udf.CIQ($G237, "IQ_VOLUME", IX$222),"--")</f>
        <v>0</v>
      </c>
      <c r="IY237" s="2131">
        <f>IF(IY$221,_xll.ciqfunctions.udf.CIQ($G237, "IQ_VOLUME", IY$222),"--")</f>
        <v>0</v>
      </c>
      <c r="IZ237" s="2131">
        <f>IF(IZ$221,_xll.ciqfunctions.udf.CIQ($G237, "IQ_VOLUME", IZ$222),"--")</f>
        <v>0</v>
      </c>
      <c r="JA237" s="2131">
        <f>IF(JA$221,_xll.ciqfunctions.udf.CIQ($G237, "IQ_VOLUME", JA$222),"--")</f>
        <v>0</v>
      </c>
      <c r="JB237" s="2131">
        <f>IF(JB$221,_xll.ciqfunctions.udf.CIQ($G237, "IQ_VOLUME", JB$222),"--")</f>
        <v>0</v>
      </c>
      <c r="JC237" s="2131">
        <f>IF(JC$221,_xll.ciqfunctions.udf.CIQ($G237, "IQ_VOLUME", JC$222),"--")</f>
        <v>0</v>
      </c>
      <c r="JD237" s="2131">
        <f>IF(JD$221,_xll.ciqfunctions.udf.CIQ($G237, "IQ_VOLUME", JD$222),"--")</f>
        <v>0</v>
      </c>
      <c r="JE237" s="2131">
        <f>IF(JE$221,_xll.ciqfunctions.udf.CIQ($G237, "IQ_VOLUME", JE$222),"--")</f>
        <v>0</v>
      </c>
      <c r="JF237" s="2131">
        <f>IF(JF$221,_xll.ciqfunctions.udf.CIQ($G237, "IQ_VOLUME", JF$222),"--")</f>
        <v>0</v>
      </c>
      <c r="JG237" s="2131">
        <f>IF(JG$221,_xll.ciqfunctions.udf.CIQ($G237, "IQ_VOLUME", JG$222),"--")</f>
        <v>0</v>
      </c>
      <c r="JH237" s="2131">
        <f>IF(JH$221,_xll.ciqfunctions.udf.CIQ($G237, "IQ_VOLUME", JH$222),"--")</f>
        <v>0</v>
      </c>
      <c r="JI237" s="2131">
        <f>IF(JI$221,_xll.ciqfunctions.udf.CIQ($G237, "IQ_VOLUME", JI$222),"--")</f>
        <v>0</v>
      </c>
      <c r="JJ237" s="2131">
        <f>IF(JJ$221,_xll.ciqfunctions.udf.CIQ($G237, "IQ_VOLUME", JJ$222),"--")</f>
        <v>0</v>
      </c>
      <c r="JK237" s="2131">
        <f>IF(JK$221,_xll.ciqfunctions.udf.CIQ($G237, "IQ_VOLUME", JK$222),"--")</f>
        <v>0</v>
      </c>
      <c r="JL237" s="2131">
        <f>IF(JL$221,_xll.ciqfunctions.udf.CIQ($G237, "IQ_VOLUME", JL$222),"--")</f>
        <v>0</v>
      </c>
      <c r="JM237" s="2131">
        <f>IF(JM$221,_xll.ciqfunctions.udf.CIQ($G237, "IQ_VOLUME", JM$222),"--")</f>
        <v>0</v>
      </c>
      <c r="JN237" s="2131">
        <f>IF(JN$221,_xll.ciqfunctions.udf.CIQ($G237, "IQ_VOLUME", JN$222),"--")</f>
        <v>0</v>
      </c>
      <c r="JO237" s="2131">
        <f>IF(JO$221,_xll.ciqfunctions.udf.CIQ($G237, "IQ_VOLUME", JO$222),"--")</f>
        <v>0</v>
      </c>
      <c r="JP237" s="2131">
        <f>IF(JP$221,_xll.ciqfunctions.udf.CIQ($G237, "IQ_VOLUME", JP$222),"--")</f>
        <v>0</v>
      </c>
      <c r="JQ237" s="2131">
        <f>IF(JQ$221,_xll.ciqfunctions.udf.CIQ($G237, "IQ_VOLUME", JQ$222),"--")</f>
        <v>0</v>
      </c>
      <c r="JR237" s="2131">
        <f>IF(JR$221,_xll.ciqfunctions.udf.CIQ($G237, "IQ_VOLUME", JR$222),"--")</f>
        <v>0</v>
      </c>
      <c r="JS237" s="2131">
        <f>IF(JS$221,_xll.ciqfunctions.udf.CIQ($G237, "IQ_VOLUME", JS$222),"--")</f>
        <v>0</v>
      </c>
      <c r="JT237" s="2131">
        <f>IF(JT$221,_xll.ciqfunctions.udf.CIQ($G237, "IQ_VOLUME", JT$222),"--")</f>
        <v>0</v>
      </c>
      <c r="JU237" s="2131">
        <f>IF(JU$221,_xll.ciqfunctions.udf.CIQ($G237, "IQ_VOLUME", JU$222),"--")</f>
        <v>0</v>
      </c>
      <c r="JV237" s="2131">
        <f>IF(JV$221,_xll.ciqfunctions.udf.CIQ($G237, "IQ_VOLUME", JV$222),"--")</f>
        <v>0</v>
      </c>
      <c r="JW237" s="2131" t="str">
        <f>IF(JW$221,_xll.ciqfunctions.udf.CIQ($G237, "IQ_VOLUME", JW$222),"--")</f>
        <v>--</v>
      </c>
      <c r="JX237" s="2131" t="str">
        <f>IF(JX$221,_xll.ciqfunctions.udf.CIQ($G237, "IQ_VOLUME", JX$222),"--")</f>
        <v>--</v>
      </c>
      <c r="JY237" s="2131" t="str">
        <f>IF(JY$221,_xll.ciqfunctions.udf.CIQ($G237, "IQ_VOLUME", JY$222),"--")</f>
        <v>--</v>
      </c>
      <c r="JZ237" s="2131" t="str">
        <f>IF(JZ$221,_xll.ciqfunctions.udf.CIQ($G237, "IQ_VOLUME", JZ$222),"--")</f>
        <v>--</v>
      </c>
      <c r="KA237" s="2131" t="str">
        <f>IF(KA$221,_xll.ciqfunctions.udf.CIQ($G237, "IQ_VOLUME", KA$222),"--")</f>
        <v>--</v>
      </c>
      <c r="KB237" s="2131" t="str">
        <f>IF(KB$221,_xll.ciqfunctions.udf.CIQ($G237, "IQ_VOLUME", KB$222),"--")</f>
        <v>--</v>
      </c>
    </row>
    <row r="238" spans="1:288" s="89" customFormat="1" ht="13.9">
      <c r="A238" s="269" t="str">
        <f t="shared" si="47"/>
        <v>n</v>
      </c>
      <c r="B238" s="2060"/>
      <c r="D238" s="801"/>
      <c r="E238" s="1505">
        <v>15</v>
      </c>
      <c r="F238" s="21" t="str">
        <f>F$143</f>
        <v>--</v>
      </c>
      <c r="G238" s="2112">
        <f>G$143</f>
        <v>0</v>
      </c>
      <c r="H238" s="2112" t="str">
        <f>H$143</f>
        <v>--</v>
      </c>
      <c r="I238" s="22" t="s">
        <v>781</v>
      </c>
      <c r="J238" s="53"/>
      <c r="K238" s="2301" t="str">
        <f>IF(OR(K206=0,$G238=0),"--",IFERROR(_xll.ciqfunctions.udf.CIQ($G238,$I238,K114,Valuation_Date_GC,ReportType,DataMode,$H238,FXMode)*Scale,"--"))</f>
        <v>--</v>
      </c>
      <c r="L238" s="2301" t="str">
        <f>IF(OR(L206=0,$G238=0),"--",IFERROR(_xll.ciqfunctions.udf.CIQ($G238,$I238,L114,Valuation_Date_GC,ReportType,DataMode,$H238,FXMode)*Scale,"--"))</f>
        <v>--</v>
      </c>
      <c r="M238" s="2301" t="str">
        <f>IF(OR(M206=0,$G238=0),"--",IFERROR(_xll.ciqfunctions.udf.CIQ($G238,$I238,M114,Valuation_Date_GC,ReportType,DataMode,$H238,FXMode)*Scale,"--"))</f>
        <v>--</v>
      </c>
      <c r="N238" s="2301" t="str">
        <f>IF(OR(N206=0,$G238=0),"--",IFERROR(_xll.ciqfunctions.udf.CIQ($G238,$I238,N114,Valuation_Date_GC,ReportType,DataMode,$H238,FXMode)*Scale,"--"))</f>
        <v>--</v>
      </c>
      <c r="O238" s="1471" t="str">
        <f>IF(OR(O206=0,$G238=0),"--",IFERROR(_xll.ciqfunctions.udf.CIQ($G238,$I238,O114,Valuation_Date_GC,ReportType,DataMode,$H238,FXMode)*Scale,"--"))</f>
        <v>--</v>
      </c>
      <c r="P238" s="2301" t="str">
        <f>IF(OR(P206=0,$G238=0),"--",IFERROR(_xll.ciqfunctions.udf.CIQ($G238,$I238,P114,Valuation_Date_GC,ReportType,DataMode,$H238,FXMode)*Scale,"--"))</f>
        <v>--</v>
      </c>
      <c r="R238" s="255"/>
      <c r="T238" s="1779" t="s">
        <v>782</v>
      </c>
      <c r="U238" s="2131">
        <f>IF(U$221,_xll.ciqfunctions.udf.CIQ($G238, "IQ_VOLUME", U$222),"--")</f>
        <v>0</v>
      </c>
      <c r="V238" s="2131">
        <f>IF(V$221,_xll.ciqfunctions.udf.CIQ($G238, "IQ_VOLUME", V$222),"--")</f>
        <v>0</v>
      </c>
      <c r="W238" s="2131">
        <f>IF(W$221,_xll.ciqfunctions.udf.CIQ($G238, "IQ_VOLUME", W$222),"--")</f>
        <v>0</v>
      </c>
      <c r="X238" s="2131">
        <f>IF(X$221,_xll.ciqfunctions.udf.CIQ($G238, "IQ_VOLUME", X$222),"--")</f>
        <v>0</v>
      </c>
      <c r="Y238" s="2131">
        <f>IF(Y$221,_xll.ciqfunctions.udf.CIQ($G238, "IQ_VOLUME", Y$222),"--")</f>
        <v>0</v>
      </c>
      <c r="Z238" s="2131">
        <f>IF(Z$221,_xll.ciqfunctions.udf.CIQ($G238, "IQ_VOLUME", Z$222),"--")</f>
        <v>0</v>
      </c>
      <c r="AA238" s="2131">
        <f>IF(AA$221,_xll.ciqfunctions.udf.CIQ($G238, "IQ_VOLUME", AA$222),"--")</f>
        <v>0</v>
      </c>
      <c r="AB238" s="2131">
        <f>IF(AB$221,_xll.ciqfunctions.udf.CIQ($G238, "IQ_VOLUME", AB$222),"--")</f>
        <v>0</v>
      </c>
      <c r="AC238" s="2131">
        <f>IF(AC$221,_xll.ciqfunctions.udf.CIQ($G238, "IQ_VOLUME", AC$222),"--")</f>
        <v>0</v>
      </c>
      <c r="AD238" s="2131">
        <f>IF(AD$221,_xll.ciqfunctions.udf.CIQ($G238, "IQ_VOLUME", AD$222),"--")</f>
        <v>0</v>
      </c>
      <c r="AE238" s="2131">
        <f>IF(AE$221,_xll.ciqfunctions.udf.CIQ($G238, "IQ_VOLUME", AE$222),"--")</f>
        <v>0</v>
      </c>
      <c r="AF238" s="2131">
        <f>IF(AF$221,_xll.ciqfunctions.udf.CIQ($G238, "IQ_VOLUME", AF$222),"--")</f>
        <v>0</v>
      </c>
      <c r="AG238" s="2131">
        <f>IF(AG$221,_xll.ciqfunctions.udf.CIQ($G238, "IQ_VOLUME", AG$222),"--")</f>
        <v>0</v>
      </c>
      <c r="AH238" s="2131">
        <f>IF(AH$221,_xll.ciqfunctions.udf.CIQ($G238, "IQ_VOLUME", AH$222),"--")</f>
        <v>0</v>
      </c>
      <c r="AI238" s="2131">
        <f>IF(AI$221,_xll.ciqfunctions.udf.CIQ($G238, "IQ_VOLUME", AI$222),"--")</f>
        <v>0</v>
      </c>
      <c r="AJ238" s="2131">
        <f>IF(AJ$221,_xll.ciqfunctions.udf.CIQ($G238, "IQ_VOLUME", AJ$222),"--")</f>
        <v>0</v>
      </c>
      <c r="AK238" s="2131">
        <f>IF(AK$221,_xll.ciqfunctions.udf.CIQ($G238, "IQ_VOLUME", AK$222),"--")</f>
        <v>0</v>
      </c>
      <c r="AL238" s="2131">
        <f>IF(AL$221,_xll.ciqfunctions.udf.CIQ($G238, "IQ_VOLUME", AL$222),"--")</f>
        <v>0</v>
      </c>
      <c r="AM238" s="2131">
        <f>IF(AM$221,_xll.ciqfunctions.udf.CIQ($G238, "IQ_VOLUME", AM$222),"--")</f>
        <v>0</v>
      </c>
      <c r="AN238" s="2131">
        <f>IF(AN$221,_xll.ciqfunctions.udf.CIQ($G238, "IQ_VOLUME", AN$222),"--")</f>
        <v>0</v>
      </c>
      <c r="AO238" s="2131">
        <f>IF(AO$221,_xll.ciqfunctions.udf.CIQ($G238, "IQ_VOLUME", AO$222),"--")</f>
        <v>0</v>
      </c>
      <c r="AP238" s="2131">
        <f>IF(AP$221,_xll.ciqfunctions.udf.CIQ($G238, "IQ_VOLUME", AP$222),"--")</f>
        <v>0</v>
      </c>
      <c r="AQ238" s="2131">
        <f>IF(AQ$221,_xll.ciqfunctions.udf.CIQ($G238, "IQ_VOLUME", AQ$222),"--")</f>
        <v>0</v>
      </c>
      <c r="AR238" s="2131">
        <f>IF(AR$221,_xll.ciqfunctions.udf.CIQ($G238, "IQ_VOLUME", AR$222),"--")</f>
        <v>0</v>
      </c>
      <c r="AS238" s="2131">
        <f>IF(AS$221,_xll.ciqfunctions.udf.CIQ($G238, "IQ_VOLUME", AS$222),"--")</f>
        <v>0</v>
      </c>
      <c r="AT238" s="2131">
        <f>IF(AT$221,_xll.ciqfunctions.udf.CIQ($G238, "IQ_VOLUME", AT$222),"--")</f>
        <v>0</v>
      </c>
      <c r="AU238" s="2131">
        <f>IF(AU$221,_xll.ciqfunctions.udf.CIQ($G238, "IQ_VOLUME", AU$222),"--")</f>
        <v>0</v>
      </c>
      <c r="AV238" s="2131">
        <f>IF(AV$221,_xll.ciqfunctions.udf.CIQ($G238, "IQ_VOLUME", AV$222),"--")</f>
        <v>0</v>
      </c>
      <c r="AW238" s="2131">
        <f>IF(AW$221,_xll.ciqfunctions.udf.CIQ($G238, "IQ_VOLUME", AW$222),"--")</f>
        <v>0</v>
      </c>
      <c r="AX238" s="2131">
        <f>IF(AX$221,_xll.ciqfunctions.udf.CIQ($G238, "IQ_VOLUME", AX$222),"--")</f>
        <v>0</v>
      </c>
      <c r="AY238" s="2131">
        <f>IF(AY$221,_xll.ciqfunctions.udf.CIQ($G238, "IQ_VOLUME", AY$222),"--")</f>
        <v>0</v>
      </c>
      <c r="AZ238" s="2131">
        <f>IF(AZ$221,_xll.ciqfunctions.udf.CIQ($G238, "IQ_VOLUME", AZ$222),"--")</f>
        <v>0</v>
      </c>
      <c r="BA238" s="2131">
        <f>IF(BA$221,_xll.ciqfunctions.udf.CIQ($G238, "IQ_VOLUME", BA$222),"--")</f>
        <v>0</v>
      </c>
      <c r="BB238" s="2131">
        <f>IF(BB$221,_xll.ciqfunctions.udf.CIQ($G238, "IQ_VOLUME", BB$222),"--")</f>
        <v>0</v>
      </c>
      <c r="BC238" s="2131">
        <f>IF(BC$221,_xll.ciqfunctions.udf.CIQ($G238, "IQ_VOLUME", BC$222),"--")</f>
        <v>0</v>
      </c>
      <c r="BD238" s="2131">
        <f>IF(BD$221,_xll.ciqfunctions.udf.CIQ($G238, "IQ_VOLUME", BD$222),"--")</f>
        <v>0</v>
      </c>
      <c r="BE238" s="2131">
        <f>IF(BE$221,_xll.ciqfunctions.udf.CIQ($G238, "IQ_VOLUME", BE$222),"--")</f>
        <v>0</v>
      </c>
      <c r="BF238" s="2131">
        <f>IF(BF$221,_xll.ciqfunctions.udf.CIQ($G238, "IQ_VOLUME", BF$222),"--")</f>
        <v>0</v>
      </c>
      <c r="BG238" s="2131">
        <f>IF(BG$221,_xll.ciqfunctions.udf.CIQ($G238, "IQ_VOLUME", BG$222),"--")</f>
        <v>0</v>
      </c>
      <c r="BH238" s="2131">
        <f>IF(BH$221,_xll.ciqfunctions.udf.CIQ($G238, "IQ_VOLUME", BH$222),"--")</f>
        <v>0</v>
      </c>
      <c r="BI238" s="2131">
        <f>IF(BI$221,_xll.ciqfunctions.udf.CIQ($G238, "IQ_VOLUME", BI$222),"--")</f>
        <v>0</v>
      </c>
      <c r="BJ238" s="2131">
        <f>IF(BJ$221,_xll.ciqfunctions.udf.CIQ($G238, "IQ_VOLUME", BJ$222),"--")</f>
        <v>0</v>
      </c>
      <c r="BK238" s="2131">
        <f>IF(BK$221,_xll.ciqfunctions.udf.CIQ($G238, "IQ_VOLUME", BK$222),"--")</f>
        <v>0</v>
      </c>
      <c r="BL238" s="2131">
        <f>IF(BL$221,_xll.ciqfunctions.udf.CIQ($G238, "IQ_VOLUME", BL$222),"--")</f>
        <v>0</v>
      </c>
      <c r="BM238" s="2131">
        <f>IF(BM$221,_xll.ciqfunctions.udf.CIQ($G238, "IQ_VOLUME", BM$222),"--")</f>
        <v>0</v>
      </c>
      <c r="BN238" s="2131">
        <f>IF(BN$221,_xll.ciqfunctions.udf.CIQ($G238, "IQ_VOLUME", BN$222),"--")</f>
        <v>0</v>
      </c>
      <c r="BO238" s="2131">
        <f>IF(BO$221,_xll.ciqfunctions.udf.CIQ($G238, "IQ_VOLUME", BO$222),"--")</f>
        <v>0</v>
      </c>
      <c r="BP238" s="2131">
        <f>IF(BP$221,_xll.ciqfunctions.udf.CIQ($G238, "IQ_VOLUME", BP$222),"--")</f>
        <v>0</v>
      </c>
      <c r="BQ238" s="2131">
        <f>IF(BQ$221,_xll.ciqfunctions.udf.CIQ($G238, "IQ_VOLUME", BQ$222),"--")</f>
        <v>0</v>
      </c>
      <c r="BR238" s="2131">
        <f>IF(BR$221,_xll.ciqfunctions.udf.CIQ($G238, "IQ_VOLUME", BR$222),"--")</f>
        <v>0</v>
      </c>
      <c r="BS238" s="2131">
        <f>IF(BS$221,_xll.ciqfunctions.udf.CIQ($G238, "IQ_VOLUME", BS$222),"--")</f>
        <v>0</v>
      </c>
      <c r="BT238" s="2131">
        <f>IF(BT$221,_xll.ciqfunctions.udf.CIQ($G238, "IQ_VOLUME", BT$222),"--")</f>
        <v>0</v>
      </c>
      <c r="BU238" s="2131">
        <f>IF(BU$221,_xll.ciqfunctions.udf.CIQ($G238, "IQ_VOLUME", BU$222),"--")</f>
        <v>0</v>
      </c>
      <c r="BV238" s="2131">
        <f>IF(BV$221,_xll.ciqfunctions.udf.CIQ($G238, "IQ_VOLUME", BV$222),"--")</f>
        <v>0</v>
      </c>
      <c r="BW238" s="2131">
        <f>IF(BW$221,_xll.ciqfunctions.udf.CIQ($G238, "IQ_VOLUME", BW$222),"--")</f>
        <v>0</v>
      </c>
      <c r="BX238" s="2131">
        <f>IF(BX$221,_xll.ciqfunctions.udf.CIQ($G238, "IQ_VOLUME", BX$222),"--")</f>
        <v>0</v>
      </c>
      <c r="BY238" s="2131">
        <f>IF(BY$221,_xll.ciqfunctions.udf.CIQ($G238, "IQ_VOLUME", BY$222),"--")</f>
        <v>0</v>
      </c>
      <c r="BZ238" s="2131">
        <f>IF(BZ$221,_xll.ciqfunctions.udf.CIQ($G238, "IQ_VOLUME", BZ$222),"--")</f>
        <v>0</v>
      </c>
      <c r="CA238" s="2131">
        <f>IF(CA$221,_xll.ciqfunctions.udf.CIQ($G238, "IQ_VOLUME", CA$222),"--")</f>
        <v>0</v>
      </c>
      <c r="CB238" s="2131">
        <f>IF(CB$221,_xll.ciqfunctions.udf.CIQ($G238, "IQ_VOLUME", CB$222),"--")</f>
        <v>0</v>
      </c>
      <c r="CC238" s="2131">
        <f>IF(CC$221,_xll.ciqfunctions.udf.CIQ($G238, "IQ_VOLUME", CC$222),"--")</f>
        <v>0</v>
      </c>
      <c r="CD238" s="2131">
        <f>IF(CD$221,_xll.ciqfunctions.udf.CIQ($G238, "IQ_VOLUME", CD$222),"--")</f>
        <v>0</v>
      </c>
      <c r="CE238" s="2131">
        <f>IF(CE$221,_xll.ciqfunctions.udf.CIQ($G238, "IQ_VOLUME", CE$222),"--")</f>
        <v>0</v>
      </c>
      <c r="CF238" s="2131">
        <f>IF(CF$221,_xll.ciqfunctions.udf.CIQ($G238, "IQ_VOLUME", CF$222),"--")</f>
        <v>0</v>
      </c>
      <c r="CG238" s="2131">
        <f>IF(CG$221,_xll.ciqfunctions.udf.CIQ($G238, "IQ_VOLUME", CG$222),"--")</f>
        <v>0</v>
      </c>
      <c r="CH238" s="2131">
        <f>IF(CH$221,_xll.ciqfunctions.udf.CIQ($G238, "IQ_VOLUME", CH$222),"--")</f>
        <v>0</v>
      </c>
      <c r="CI238" s="2131">
        <f>IF(CI$221,_xll.ciqfunctions.udf.CIQ($G238, "IQ_VOLUME", CI$222),"--")</f>
        <v>0</v>
      </c>
      <c r="CJ238" s="2131">
        <f>IF(CJ$221,_xll.ciqfunctions.udf.CIQ($G238, "IQ_VOLUME", CJ$222),"--")</f>
        <v>0</v>
      </c>
      <c r="CK238" s="2131">
        <f>IF(CK$221,_xll.ciqfunctions.udf.CIQ($G238, "IQ_VOLUME", CK$222),"--")</f>
        <v>0</v>
      </c>
      <c r="CL238" s="2131">
        <f>IF(CL$221,_xll.ciqfunctions.udf.CIQ($G238, "IQ_VOLUME", CL$222),"--")</f>
        <v>0</v>
      </c>
      <c r="CM238" s="2131">
        <f>IF(CM$221,_xll.ciqfunctions.udf.CIQ($G238, "IQ_VOLUME", CM$222),"--")</f>
        <v>0</v>
      </c>
      <c r="CN238" s="2131">
        <f>IF(CN$221,_xll.ciqfunctions.udf.CIQ($G238, "IQ_VOLUME", CN$222),"--")</f>
        <v>0</v>
      </c>
      <c r="CO238" s="2131">
        <f>IF(CO$221,_xll.ciqfunctions.udf.CIQ($G238, "IQ_VOLUME", CO$222),"--")</f>
        <v>0</v>
      </c>
      <c r="CP238" s="2131">
        <f>IF(CP$221,_xll.ciqfunctions.udf.CIQ($G238, "IQ_VOLUME", CP$222),"--")</f>
        <v>0</v>
      </c>
      <c r="CQ238" s="2131">
        <f>IF(CQ$221,_xll.ciqfunctions.udf.CIQ($G238, "IQ_VOLUME", CQ$222),"--")</f>
        <v>0</v>
      </c>
      <c r="CR238" s="2131">
        <f>IF(CR$221,_xll.ciqfunctions.udf.CIQ($G238, "IQ_VOLUME", CR$222),"--")</f>
        <v>0</v>
      </c>
      <c r="CS238" s="2131">
        <f>IF(CS$221,_xll.ciqfunctions.udf.CIQ($G238, "IQ_VOLUME", CS$222),"--")</f>
        <v>0</v>
      </c>
      <c r="CT238" s="2131">
        <f>IF(CT$221,_xll.ciqfunctions.udf.CIQ($G238, "IQ_VOLUME", CT$222),"--")</f>
        <v>0</v>
      </c>
      <c r="CU238" s="2131">
        <f>IF(CU$221,_xll.ciqfunctions.udf.CIQ($G238, "IQ_VOLUME", CU$222),"--")</f>
        <v>0</v>
      </c>
      <c r="CV238" s="2131">
        <f>IF(CV$221,_xll.ciqfunctions.udf.CIQ($G238, "IQ_VOLUME", CV$222),"--")</f>
        <v>0</v>
      </c>
      <c r="CW238" s="2131">
        <f>IF(CW$221,_xll.ciqfunctions.udf.CIQ($G238, "IQ_VOLUME", CW$222),"--")</f>
        <v>0</v>
      </c>
      <c r="CX238" s="2131">
        <f>IF(CX$221,_xll.ciqfunctions.udf.CIQ($G238, "IQ_VOLUME", CX$222),"--")</f>
        <v>0</v>
      </c>
      <c r="CY238" s="2131">
        <f>IF(CY$221,_xll.ciqfunctions.udf.CIQ($G238, "IQ_VOLUME", CY$222),"--")</f>
        <v>0</v>
      </c>
      <c r="CZ238" s="2131">
        <f>IF(CZ$221,_xll.ciqfunctions.udf.CIQ($G238, "IQ_VOLUME", CZ$222),"--")</f>
        <v>0</v>
      </c>
      <c r="DA238" s="2131">
        <f>IF(DA$221,_xll.ciqfunctions.udf.CIQ($G238, "IQ_VOLUME", DA$222),"--")</f>
        <v>0</v>
      </c>
      <c r="DB238" s="2131">
        <f>IF(DB$221,_xll.ciqfunctions.udf.CIQ($G238, "IQ_VOLUME", DB$222),"--")</f>
        <v>0</v>
      </c>
      <c r="DC238" s="2131">
        <f>IF(DC$221,_xll.ciqfunctions.udf.CIQ($G238, "IQ_VOLUME", DC$222),"--")</f>
        <v>0</v>
      </c>
      <c r="DD238" s="2131">
        <f>IF(DD$221,_xll.ciqfunctions.udf.CIQ($G238, "IQ_VOLUME", DD$222),"--")</f>
        <v>0</v>
      </c>
      <c r="DE238" s="2131">
        <f>IF(DE$221,_xll.ciqfunctions.udf.CIQ($G238, "IQ_VOLUME", DE$222),"--")</f>
        <v>0</v>
      </c>
      <c r="DF238" s="2131">
        <f>IF(DF$221,_xll.ciqfunctions.udf.CIQ($G238, "IQ_VOLUME", DF$222),"--")</f>
        <v>0</v>
      </c>
      <c r="DG238" s="2131">
        <f>IF(DG$221,_xll.ciqfunctions.udf.CIQ($G238, "IQ_VOLUME", DG$222),"--")</f>
        <v>0</v>
      </c>
      <c r="DH238" s="2131">
        <f>IF(DH$221,_xll.ciqfunctions.udf.CIQ($G238, "IQ_VOLUME", DH$222),"--")</f>
        <v>0</v>
      </c>
      <c r="DI238" s="2131">
        <f>IF(DI$221,_xll.ciqfunctions.udf.CIQ($G238, "IQ_VOLUME", DI$222),"--")</f>
        <v>0</v>
      </c>
      <c r="DJ238" s="2131">
        <f>IF(DJ$221,_xll.ciqfunctions.udf.CIQ($G238, "IQ_VOLUME", DJ$222),"--")</f>
        <v>0</v>
      </c>
      <c r="DK238" s="2131">
        <f>IF(DK$221,_xll.ciqfunctions.udf.CIQ($G238, "IQ_VOLUME", DK$222),"--")</f>
        <v>0</v>
      </c>
      <c r="DL238" s="2131">
        <f>IF(DL$221,_xll.ciqfunctions.udf.CIQ($G238, "IQ_VOLUME", DL$222),"--")</f>
        <v>0</v>
      </c>
      <c r="DM238" s="2131">
        <f>IF(DM$221,_xll.ciqfunctions.udf.CIQ($G238, "IQ_VOLUME", DM$222),"--")</f>
        <v>0</v>
      </c>
      <c r="DN238" s="2131">
        <f>IF(DN$221,_xll.ciqfunctions.udf.CIQ($G238, "IQ_VOLUME", DN$222),"--")</f>
        <v>0</v>
      </c>
      <c r="DO238" s="2131">
        <f>IF(DO$221,_xll.ciqfunctions.udf.CIQ($G238, "IQ_VOLUME", DO$222),"--")</f>
        <v>0</v>
      </c>
      <c r="DP238" s="2131">
        <f>IF(DP$221,_xll.ciqfunctions.udf.CIQ($G238, "IQ_VOLUME", DP$222),"--")</f>
        <v>0</v>
      </c>
      <c r="DQ238" s="2131">
        <f>IF(DQ$221,_xll.ciqfunctions.udf.CIQ($G238, "IQ_VOLUME", DQ$222),"--")</f>
        <v>0</v>
      </c>
      <c r="DR238" s="2131">
        <f>IF(DR$221,_xll.ciqfunctions.udf.CIQ($G238, "IQ_VOLUME", DR$222),"--")</f>
        <v>0</v>
      </c>
      <c r="DS238" s="2131">
        <f>IF(DS$221,_xll.ciqfunctions.udf.CIQ($G238, "IQ_VOLUME", DS$222),"--")</f>
        <v>0</v>
      </c>
      <c r="DT238" s="2131">
        <f>IF(DT$221,_xll.ciqfunctions.udf.CIQ($G238, "IQ_VOLUME", DT$222),"--")</f>
        <v>0</v>
      </c>
      <c r="DU238" s="2131">
        <f>IF(DU$221,_xll.ciqfunctions.udf.CIQ($G238, "IQ_VOLUME", DU$222),"--")</f>
        <v>0</v>
      </c>
      <c r="DV238" s="2131">
        <f>IF(DV$221,_xll.ciqfunctions.udf.CIQ($G238, "IQ_VOLUME", DV$222),"--")</f>
        <v>0</v>
      </c>
      <c r="DW238" s="2131">
        <f>IF(DW$221,_xll.ciqfunctions.udf.CIQ($G238, "IQ_VOLUME", DW$222),"--")</f>
        <v>0</v>
      </c>
      <c r="DX238" s="2131">
        <f>IF(DX$221,_xll.ciqfunctions.udf.CIQ($G238, "IQ_VOLUME", DX$222),"--")</f>
        <v>0</v>
      </c>
      <c r="DY238" s="2131">
        <f>IF(DY$221,_xll.ciqfunctions.udf.CIQ($G238, "IQ_VOLUME", DY$222),"--")</f>
        <v>0</v>
      </c>
      <c r="DZ238" s="2131">
        <f>IF(DZ$221,_xll.ciqfunctions.udf.CIQ($G238, "IQ_VOLUME", DZ$222),"--")</f>
        <v>0</v>
      </c>
      <c r="EA238" s="2131">
        <f>IF(EA$221,_xll.ciqfunctions.udf.CIQ($G238, "IQ_VOLUME", EA$222),"--")</f>
        <v>0</v>
      </c>
      <c r="EB238" s="2131">
        <f>IF(EB$221,_xll.ciqfunctions.udf.CIQ($G238, "IQ_VOLUME", EB$222),"--")</f>
        <v>0</v>
      </c>
      <c r="EC238" s="2131">
        <f>IF(EC$221,_xll.ciqfunctions.udf.CIQ($G238, "IQ_VOLUME", EC$222),"--")</f>
        <v>0</v>
      </c>
      <c r="ED238" s="2131">
        <f>IF(ED$221,_xll.ciqfunctions.udf.CIQ($G238, "IQ_VOLUME", ED$222),"--")</f>
        <v>0</v>
      </c>
      <c r="EE238" s="2131">
        <f>IF(EE$221,_xll.ciqfunctions.udf.CIQ($G238, "IQ_VOLUME", EE$222),"--")</f>
        <v>0</v>
      </c>
      <c r="EF238" s="2131">
        <f>IF(EF$221,_xll.ciqfunctions.udf.CIQ($G238, "IQ_VOLUME", EF$222),"--")</f>
        <v>0</v>
      </c>
      <c r="EG238" s="2131">
        <f>IF(EG$221,_xll.ciqfunctions.udf.CIQ($G238, "IQ_VOLUME", EG$222),"--")</f>
        <v>0</v>
      </c>
      <c r="EH238" s="2131">
        <f>IF(EH$221,_xll.ciqfunctions.udf.CIQ($G238, "IQ_VOLUME", EH$222),"--")</f>
        <v>0</v>
      </c>
      <c r="EI238" s="2131">
        <f>IF(EI$221,_xll.ciqfunctions.udf.CIQ($G238, "IQ_VOLUME", EI$222),"--")</f>
        <v>0</v>
      </c>
      <c r="EJ238" s="2131">
        <f>IF(EJ$221,_xll.ciqfunctions.udf.CIQ($G238, "IQ_VOLUME", EJ$222),"--")</f>
        <v>0</v>
      </c>
      <c r="EK238" s="2131">
        <f>IF(EK$221,_xll.ciqfunctions.udf.CIQ($G238, "IQ_VOLUME", EK$222),"--")</f>
        <v>0</v>
      </c>
      <c r="EL238" s="2131">
        <f>IF(EL$221,_xll.ciqfunctions.udf.CIQ($G238, "IQ_VOLUME", EL$222),"--")</f>
        <v>0</v>
      </c>
      <c r="EM238" s="2131">
        <f>IF(EM$221,_xll.ciqfunctions.udf.CIQ($G238, "IQ_VOLUME", EM$222),"--")</f>
        <v>0</v>
      </c>
      <c r="EN238" s="2131">
        <f>IF(EN$221,_xll.ciqfunctions.udf.CIQ($G238, "IQ_VOLUME", EN$222),"--")</f>
        <v>0</v>
      </c>
      <c r="EO238" s="2131">
        <f>IF(EO$221,_xll.ciqfunctions.udf.CIQ($G238, "IQ_VOLUME", EO$222),"--")</f>
        <v>0</v>
      </c>
      <c r="EP238" s="2131">
        <f>IF(EP$221,_xll.ciqfunctions.udf.CIQ($G238, "IQ_VOLUME", EP$222),"--")</f>
        <v>0</v>
      </c>
      <c r="EQ238" s="2131">
        <f>IF(EQ$221,_xll.ciqfunctions.udf.CIQ($G238, "IQ_VOLUME", EQ$222),"--")</f>
        <v>0</v>
      </c>
      <c r="ER238" s="2131">
        <f>IF(ER$221,_xll.ciqfunctions.udf.CIQ($G238, "IQ_VOLUME", ER$222),"--")</f>
        <v>0</v>
      </c>
      <c r="ES238" s="2131">
        <f>IF(ES$221,_xll.ciqfunctions.udf.CIQ($G238, "IQ_VOLUME", ES$222),"--")</f>
        <v>0</v>
      </c>
      <c r="ET238" s="2131">
        <f>IF(ET$221,_xll.ciqfunctions.udf.CIQ($G238, "IQ_VOLUME", ET$222),"--")</f>
        <v>0</v>
      </c>
      <c r="EU238" s="2131">
        <f>IF(EU$221,_xll.ciqfunctions.udf.CIQ($G238, "IQ_VOLUME", EU$222),"--")</f>
        <v>0</v>
      </c>
      <c r="EV238" s="2131">
        <f>IF(EV$221,_xll.ciqfunctions.udf.CIQ($G238, "IQ_VOLUME", EV$222),"--")</f>
        <v>0</v>
      </c>
      <c r="EW238" s="2131">
        <f>IF(EW$221,_xll.ciqfunctions.udf.CIQ($G238, "IQ_VOLUME", EW$222),"--")</f>
        <v>0</v>
      </c>
      <c r="EX238" s="2131">
        <f>IF(EX$221,_xll.ciqfunctions.udf.CIQ($G238, "IQ_VOLUME", EX$222),"--")</f>
        <v>0</v>
      </c>
      <c r="EY238" s="2131">
        <f>IF(EY$221,_xll.ciqfunctions.udf.CIQ($G238, "IQ_VOLUME", EY$222),"--")</f>
        <v>0</v>
      </c>
      <c r="EZ238" s="2131">
        <f>IF(EZ$221,_xll.ciqfunctions.udf.CIQ($G238, "IQ_VOLUME", EZ$222),"--")</f>
        <v>0</v>
      </c>
      <c r="FA238" s="2131">
        <f>IF(FA$221,_xll.ciqfunctions.udf.CIQ($G238, "IQ_VOLUME", FA$222),"--")</f>
        <v>0</v>
      </c>
      <c r="FB238" s="2131">
        <f>IF(FB$221,_xll.ciqfunctions.udf.CIQ($G238, "IQ_VOLUME", FB$222),"--")</f>
        <v>0</v>
      </c>
      <c r="FC238" s="2131">
        <f>IF(FC$221,_xll.ciqfunctions.udf.CIQ($G238, "IQ_VOLUME", FC$222),"--")</f>
        <v>0</v>
      </c>
      <c r="FD238" s="2131">
        <f>IF(FD$221,_xll.ciqfunctions.udf.CIQ($G238, "IQ_VOLUME", FD$222),"--")</f>
        <v>0</v>
      </c>
      <c r="FE238" s="2131">
        <f>IF(FE$221,_xll.ciqfunctions.udf.CIQ($G238, "IQ_VOLUME", FE$222),"--")</f>
        <v>0</v>
      </c>
      <c r="FF238" s="2131">
        <f>IF(FF$221,_xll.ciqfunctions.udf.CIQ($G238, "IQ_VOLUME", FF$222),"--")</f>
        <v>0</v>
      </c>
      <c r="FG238" s="2131">
        <f>IF(FG$221,_xll.ciqfunctions.udf.CIQ($G238, "IQ_VOLUME", FG$222),"--")</f>
        <v>0</v>
      </c>
      <c r="FH238" s="2131">
        <f>IF(FH$221,_xll.ciqfunctions.udf.CIQ($G238, "IQ_VOLUME", FH$222),"--")</f>
        <v>0</v>
      </c>
      <c r="FI238" s="2131">
        <f>IF(FI$221,_xll.ciqfunctions.udf.CIQ($G238, "IQ_VOLUME", FI$222),"--")</f>
        <v>0</v>
      </c>
      <c r="FJ238" s="2131">
        <f>IF(FJ$221,_xll.ciqfunctions.udf.CIQ($G238, "IQ_VOLUME", FJ$222),"--")</f>
        <v>0</v>
      </c>
      <c r="FK238" s="2131">
        <f>IF(FK$221,_xll.ciqfunctions.udf.CIQ($G238, "IQ_VOLUME", FK$222),"--")</f>
        <v>0</v>
      </c>
      <c r="FL238" s="2131">
        <f>IF(FL$221,_xll.ciqfunctions.udf.CIQ($G238, "IQ_VOLUME", FL$222),"--")</f>
        <v>0</v>
      </c>
      <c r="FM238" s="2131">
        <f>IF(FM$221,_xll.ciqfunctions.udf.CIQ($G238, "IQ_VOLUME", FM$222),"--")</f>
        <v>0</v>
      </c>
      <c r="FN238" s="2131">
        <f>IF(FN$221,_xll.ciqfunctions.udf.CIQ($G238, "IQ_VOLUME", FN$222),"--")</f>
        <v>0</v>
      </c>
      <c r="FO238" s="2131">
        <f>IF(FO$221,_xll.ciqfunctions.udf.CIQ($G238, "IQ_VOLUME", FO$222),"--")</f>
        <v>0</v>
      </c>
      <c r="FP238" s="2131">
        <f>IF(FP$221,_xll.ciqfunctions.udf.CIQ($G238, "IQ_VOLUME", FP$222),"--")</f>
        <v>0</v>
      </c>
      <c r="FQ238" s="2131">
        <f>IF(FQ$221,_xll.ciqfunctions.udf.CIQ($G238, "IQ_VOLUME", FQ$222),"--")</f>
        <v>0</v>
      </c>
      <c r="FR238" s="2131">
        <f>IF(FR$221,_xll.ciqfunctions.udf.CIQ($G238, "IQ_VOLUME", FR$222),"--")</f>
        <v>0</v>
      </c>
      <c r="FS238" s="2131">
        <f>IF(FS$221,_xll.ciqfunctions.udf.CIQ($G238, "IQ_VOLUME", FS$222),"--")</f>
        <v>0</v>
      </c>
      <c r="FT238" s="2131">
        <f>IF(FT$221,_xll.ciqfunctions.udf.CIQ($G238, "IQ_VOLUME", FT$222),"--")</f>
        <v>0</v>
      </c>
      <c r="FU238" s="2131">
        <f>IF(FU$221,_xll.ciqfunctions.udf.CIQ($G238, "IQ_VOLUME", FU$222),"--")</f>
        <v>0</v>
      </c>
      <c r="FV238" s="2131">
        <f>IF(FV$221,_xll.ciqfunctions.udf.CIQ($G238, "IQ_VOLUME", FV$222),"--")</f>
        <v>0</v>
      </c>
      <c r="FW238" s="2131">
        <f>IF(FW$221,_xll.ciqfunctions.udf.CIQ($G238, "IQ_VOLUME", FW$222),"--")</f>
        <v>0</v>
      </c>
      <c r="FX238" s="2131">
        <f>IF(FX$221,_xll.ciqfunctions.udf.CIQ($G238, "IQ_VOLUME", FX$222),"--")</f>
        <v>0</v>
      </c>
      <c r="FY238" s="2131">
        <f>IF(FY$221,_xll.ciqfunctions.udf.CIQ($G238, "IQ_VOLUME", FY$222),"--")</f>
        <v>0</v>
      </c>
      <c r="FZ238" s="2131">
        <f>IF(FZ$221,_xll.ciqfunctions.udf.CIQ($G238, "IQ_VOLUME", FZ$222),"--")</f>
        <v>0</v>
      </c>
      <c r="GA238" s="2131">
        <f>IF(GA$221,_xll.ciqfunctions.udf.CIQ($G238, "IQ_VOLUME", GA$222),"--")</f>
        <v>0</v>
      </c>
      <c r="GB238" s="2131">
        <f>IF(GB$221,_xll.ciqfunctions.udf.CIQ($G238, "IQ_VOLUME", GB$222),"--")</f>
        <v>0</v>
      </c>
      <c r="GC238" s="2131">
        <f>IF(GC$221,_xll.ciqfunctions.udf.CIQ($G238, "IQ_VOLUME", GC$222),"--")</f>
        <v>0</v>
      </c>
      <c r="GD238" s="2131">
        <f>IF(GD$221,_xll.ciqfunctions.udf.CIQ($G238, "IQ_VOLUME", GD$222),"--")</f>
        <v>0</v>
      </c>
      <c r="GE238" s="2131">
        <f>IF(GE$221,_xll.ciqfunctions.udf.CIQ($G238, "IQ_VOLUME", GE$222),"--")</f>
        <v>0</v>
      </c>
      <c r="GF238" s="2131">
        <f>IF(GF$221,_xll.ciqfunctions.udf.CIQ($G238, "IQ_VOLUME", GF$222),"--")</f>
        <v>0</v>
      </c>
      <c r="GG238" s="2131">
        <f>IF(GG$221,_xll.ciqfunctions.udf.CIQ($G238, "IQ_VOLUME", GG$222),"--")</f>
        <v>0</v>
      </c>
      <c r="GH238" s="2131">
        <f>IF(GH$221,_xll.ciqfunctions.udf.CIQ($G238, "IQ_VOLUME", GH$222),"--")</f>
        <v>0</v>
      </c>
      <c r="GI238" s="2131">
        <f>IF(GI$221,_xll.ciqfunctions.udf.CIQ($G238, "IQ_VOLUME", GI$222),"--")</f>
        <v>0</v>
      </c>
      <c r="GJ238" s="2131">
        <f>IF(GJ$221,_xll.ciqfunctions.udf.CIQ($G238, "IQ_VOLUME", GJ$222),"--")</f>
        <v>0</v>
      </c>
      <c r="GK238" s="2131">
        <f>IF(GK$221,_xll.ciqfunctions.udf.CIQ($G238, "IQ_VOLUME", GK$222),"--")</f>
        <v>0</v>
      </c>
      <c r="GL238" s="2131">
        <f>IF(GL$221,_xll.ciqfunctions.udf.CIQ($G238, "IQ_VOLUME", GL$222),"--")</f>
        <v>0</v>
      </c>
      <c r="GM238" s="2131">
        <f>IF(GM$221,_xll.ciqfunctions.udf.CIQ($G238, "IQ_VOLUME", GM$222),"--")</f>
        <v>0</v>
      </c>
      <c r="GN238" s="2131">
        <f>IF(GN$221,_xll.ciqfunctions.udf.CIQ($G238, "IQ_VOLUME", GN$222),"--")</f>
        <v>0</v>
      </c>
      <c r="GO238" s="2131">
        <f>IF(GO$221,_xll.ciqfunctions.udf.CIQ($G238, "IQ_VOLUME", GO$222),"--")</f>
        <v>0</v>
      </c>
      <c r="GP238" s="2131">
        <f>IF(GP$221,_xll.ciqfunctions.udf.CIQ($G238, "IQ_VOLUME", GP$222),"--")</f>
        <v>0</v>
      </c>
      <c r="GQ238" s="2131">
        <f>IF(GQ$221,_xll.ciqfunctions.udf.CIQ($G238, "IQ_VOLUME", GQ$222),"--")</f>
        <v>0</v>
      </c>
      <c r="GR238" s="2131">
        <f>IF(GR$221,_xll.ciqfunctions.udf.CIQ($G238, "IQ_VOLUME", GR$222),"--")</f>
        <v>0</v>
      </c>
      <c r="GS238" s="2131">
        <f>IF(GS$221,_xll.ciqfunctions.udf.CIQ($G238, "IQ_VOLUME", GS$222),"--")</f>
        <v>0</v>
      </c>
      <c r="GT238" s="2131">
        <f>IF(GT$221,_xll.ciqfunctions.udf.CIQ($G238, "IQ_VOLUME", GT$222),"--")</f>
        <v>0</v>
      </c>
      <c r="GU238" s="2131">
        <f>IF(GU$221,_xll.ciqfunctions.udf.CIQ($G238, "IQ_VOLUME", GU$222),"--")</f>
        <v>0</v>
      </c>
      <c r="GV238" s="2131">
        <f>IF(GV$221,_xll.ciqfunctions.udf.CIQ($G238, "IQ_VOLUME", GV$222),"--")</f>
        <v>0</v>
      </c>
      <c r="GW238" s="2131">
        <f>IF(GW$221,_xll.ciqfunctions.udf.CIQ($G238, "IQ_VOLUME", GW$222),"--")</f>
        <v>0</v>
      </c>
      <c r="GX238" s="2131">
        <f>IF(GX$221,_xll.ciqfunctions.udf.CIQ($G238, "IQ_VOLUME", GX$222),"--")</f>
        <v>0</v>
      </c>
      <c r="GY238" s="2131">
        <f>IF(GY$221,_xll.ciqfunctions.udf.CIQ($G238, "IQ_VOLUME", GY$222),"--")</f>
        <v>0</v>
      </c>
      <c r="GZ238" s="2131">
        <f>IF(GZ$221,_xll.ciqfunctions.udf.CIQ($G238, "IQ_VOLUME", GZ$222),"--")</f>
        <v>0</v>
      </c>
      <c r="HA238" s="2131">
        <f>IF(HA$221,_xll.ciqfunctions.udf.CIQ($G238, "IQ_VOLUME", HA$222),"--")</f>
        <v>0</v>
      </c>
      <c r="HB238" s="2131">
        <f>IF(HB$221,_xll.ciqfunctions.udf.CIQ($G238, "IQ_VOLUME", HB$222),"--")</f>
        <v>0</v>
      </c>
      <c r="HC238" s="2131">
        <f>IF(HC$221,_xll.ciqfunctions.udf.CIQ($G238, "IQ_VOLUME", HC$222),"--")</f>
        <v>0</v>
      </c>
      <c r="HD238" s="2131">
        <f>IF(HD$221,_xll.ciqfunctions.udf.CIQ($G238, "IQ_VOLUME", HD$222),"--")</f>
        <v>0</v>
      </c>
      <c r="HE238" s="2131">
        <f>IF(HE$221,_xll.ciqfunctions.udf.CIQ($G238, "IQ_VOLUME", HE$222),"--")</f>
        <v>0</v>
      </c>
      <c r="HF238" s="2131">
        <f>IF(HF$221,_xll.ciqfunctions.udf.CIQ($G238, "IQ_VOLUME", HF$222),"--")</f>
        <v>0</v>
      </c>
      <c r="HG238" s="2131">
        <f>IF(HG$221,_xll.ciqfunctions.udf.CIQ($G238, "IQ_VOLUME", HG$222),"--")</f>
        <v>0</v>
      </c>
      <c r="HH238" s="2131">
        <f>IF(HH$221,_xll.ciqfunctions.udf.CIQ($G238, "IQ_VOLUME", HH$222),"--")</f>
        <v>0</v>
      </c>
      <c r="HI238" s="2131">
        <f>IF(HI$221,_xll.ciqfunctions.udf.CIQ($G238, "IQ_VOLUME", HI$222),"--")</f>
        <v>0</v>
      </c>
      <c r="HJ238" s="2131">
        <f>IF(HJ$221,_xll.ciqfunctions.udf.CIQ($G238, "IQ_VOLUME", HJ$222),"--")</f>
        <v>0</v>
      </c>
      <c r="HK238" s="2131">
        <f>IF(HK$221,_xll.ciqfunctions.udf.CIQ($G238, "IQ_VOLUME", HK$222),"--")</f>
        <v>0</v>
      </c>
      <c r="HL238" s="2131">
        <f>IF(HL$221,_xll.ciqfunctions.udf.CIQ($G238, "IQ_VOLUME", HL$222),"--")</f>
        <v>0</v>
      </c>
      <c r="HM238" s="2131">
        <f>IF(HM$221,_xll.ciqfunctions.udf.CIQ($G238, "IQ_VOLUME", HM$222),"--")</f>
        <v>0</v>
      </c>
      <c r="HN238" s="2131">
        <f>IF(HN$221,_xll.ciqfunctions.udf.CIQ($G238, "IQ_VOLUME", HN$222),"--")</f>
        <v>0</v>
      </c>
      <c r="HO238" s="2131">
        <f>IF(HO$221,_xll.ciqfunctions.udf.CIQ($G238, "IQ_VOLUME", HO$222),"--")</f>
        <v>0</v>
      </c>
      <c r="HP238" s="2131">
        <f>IF(HP$221,_xll.ciqfunctions.udf.CIQ($G238, "IQ_VOLUME", HP$222),"--")</f>
        <v>0</v>
      </c>
      <c r="HQ238" s="2131">
        <f>IF(HQ$221,_xll.ciqfunctions.udf.CIQ($G238, "IQ_VOLUME", HQ$222),"--")</f>
        <v>0</v>
      </c>
      <c r="HR238" s="2131">
        <f>IF(HR$221,_xll.ciqfunctions.udf.CIQ($G238, "IQ_VOLUME", HR$222),"--")</f>
        <v>0</v>
      </c>
      <c r="HS238" s="2131">
        <f>IF(HS$221,_xll.ciqfunctions.udf.CIQ($G238, "IQ_VOLUME", HS$222),"--")</f>
        <v>0</v>
      </c>
      <c r="HT238" s="2131">
        <f>IF(HT$221,_xll.ciqfunctions.udf.CIQ($G238, "IQ_VOLUME", HT$222),"--")</f>
        <v>0</v>
      </c>
      <c r="HU238" s="2131">
        <f>IF(HU$221,_xll.ciqfunctions.udf.CIQ($G238, "IQ_VOLUME", HU$222),"--")</f>
        <v>0</v>
      </c>
      <c r="HV238" s="2131">
        <f>IF(HV$221,_xll.ciqfunctions.udf.CIQ($G238, "IQ_VOLUME", HV$222),"--")</f>
        <v>0</v>
      </c>
      <c r="HW238" s="2131">
        <f>IF(HW$221,_xll.ciqfunctions.udf.CIQ($G238, "IQ_VOLUME", HW$222),"--")</f>
        <v>0</v>
      </c>
      <c r="HX238" s="2131">
        <f>IF(HX$221,_xll.ciqfunctions.udf.CIQ($G238, "IQ_VOLUME", HX$222),"--")</f>
        <v>0</v>
      </c>
      <c r="HY238" s="2131">
        <f>IF(HY$221,_xll.ciqfunctions.udf.CIQ($G238, "IQ_VOLUME", HY$222),"--")</f>
        <v>0</v>
      </c>
      <c r="HZ238" s="2131">
        <f>IF(HZ$221,_xll.ciqfunctions.udf.CIQ($G238, "IQ_VOLUME", HZ$222),"--")</f>
        <v>0</v>
      </c>
      <c r="IA238" s="2131">
        <f>IF(IA$221,_xll.ciqfunctions.udf.CIQ($G238, "IQ_VOLUME", IA$222),"--")</f>
        <v>0</v>
      </c>
      <c r="IB238" s="2131">
        <f>IF(IB$221,_xll.ciqfunctions.udf.CIQ($G238, "IQ_VOLUME", IB$222),"--")</f>
        <v>0</v>
      </c>
      <c r="IC238" s="2131">
        <f>IF(IC$221,_xll.ciqfunctions.udf.CIQ($G238, "IQ_VOLUME", IC$222),"--")</f>
        <v>0</v>
      </c>
      <c r="ID238" s="2131">
        <f>IF(ID$221,_xll.ciqfunctions.udf.CIQ($G238, "IQ_VOLUME", ID$222),"--")</f>
        <v>0</v>
      </c>
      <c r="IE238" s="2131">
        <f>IF(IE$221,_xll.ciqfunctions.udf.CIQ($G238, "IQ_VOLUME", IE$222),"--")</f>
        <v>0</v>
      </c>
      <c r="IF238" s="2131">
        <f>IF(IF$221,_xll.ciqfunctions.udf.CIQ($G238, "IQ_VOLUME", IF$222),"--")</f>
        <v>0</v>
      </c>
      <c r="IG238" s="2131">
        <f>IF(IG$221,_xll.ciqfunctions.udf.CIQ($G238, "IQ_VOLUME", IG$222),"--")</f>
        <v>0</v>
      </c>
      <c r="IH238" s="2131">
        <f>IF(IH$221,_xll.ciqfunctions.udf.CIQ($G238, "IQ_VOLUME", IH$222),"--")</f>
        <v>0</v>
      </c>
      <c r="II238" s="2131">
        <f>IF(II$221,_xll.ciqfunctions.udf.CIQ($G238, "IQ_VOLUME", II$222),"--")</f>
        <v>0</v>
      </c>
      <c r="IJ238" s="2131">
        <f>IF(IJ$221,_xll.ciqfunctions.udf.CIQ($G238, "IQ_VOLUME", IJ$222),"--")</f>
        <v>0</v>
      </c>
      <c r="IK238" s="2131">
        <f>IF(IK$221,_xll.ciqfunctions.udf.CIQ($G238, "IQ_VOLUME", IK$222),"--")</f>
        <v>0</v>
      </c>
      <c r="IL238" s="2131">
        <f>IF(IL$221,_xll.ciqfunctions.udf.CIQ($G238, "IQ_VOLUME", IL$222),"--")</f>
        <v>0</v>
      </c>
      <c r="IM238" s="2131">
        <f>IF(IM$221,_xll.ciqfunctions.udf.CIQ($G238, "IQ_VOLUME", IM$222),"--")</f>
        <v>0</v>
      </c>
      <c r="IN238" s="2131">
        <f>IF(IN$221,_xll.ciqfunctions.udf.CIQ($G238, "IQ_VOLUME", IN$222),"--")</f>
        <v>0</v>
      </c>
      <c r="IO238" s="2131">
        <f>IF(IO$221,_xll.ciqfunctions.udf.CIQ($G238, "IQ_VOLUME", IO$222),"--")</f>
        <v>0</v>
      </c>
      <c r="IP238" s="2131">
        <f>IF(IP$221,_xll.ciqfunctions.udf.CIQ($G238, "IQ_VOLUME", IP$222),"--")</f>
        <v>0</v>
      </c>
      <c r="IQ238" s="2131">
        <f>IF(IQ$221,_xll.ciqfunctions.udf.CIQ($G238, "IQ_VOLUME", IQ$222),"--")</f>
        <v>0</v>
      </c>
      <c r="IR238" s="2131">
        <f>IF(IR$221,_xll.ciqfunctions.udf.CIQ($G238, "IQ_VOLUME", IR$222),"--")</f>
        <v>0</v>
      </c>
      <c r="IS238" s="2131">
        <f>IF(IS$221,_xll.ciqfunctions.udf.CIQ($G238, "IQ_VOLUME", IS$222),"--")</f>
        <v>0</v>
      </c>
      <c r="IT238" s="2131">
        <f>IF(IT$221,_xll.ciqfunctions.udf.CIQ($G238, "IQ_VOLUME", IT$222),"--")</f>
        <v>0</v>
      </c>
      <c r="IU238" s="2131">
        <f>IF(IU$221,_xll.ciqfunctions.udf.CIQ($G238, "IQ_VOLUME", IU$222),"--")</f>
        <v>0</v>
      </c>
      <c r="IV238" s="2131">
        <f>IF(IV$221,_xll.ciqfunctions.udf.CIQ($G238, "IQ_VOLUME", IV$222),"--")</f>
        <v>0</v>
      </c>
      <c r="IW238" s="2131">
        <f>IF(IW$221,_xll.ciqfunctions.udf.CIQ($G238, "IQ_VOLUME", IW$222),"--")</f>
        <v>0</v>
      </c>
      <c r="IX238" s="2131">
        <f>IF(IX$221,_xll.ciqfunctions.udf.CIQ($G238, "IQ_VOLUME", IX$222),"--")</f>
        <v>0</v>
      </c>
      <c r="IY238" s="2131">
        <f>IF(IY$221,_xll.ciqfunctions.udf.CIQ($G238, "IQ_VOLUME", IY$222),"--")</f>
        <v>0</v>
      </c>
      <c r="IZ238" s="2131">
        <f>IF(IZ$221,_xll.ciqfunctions.udf.CIQ($G238, "IQ_VOLUME", IZ$222),"--")</f>
        <v>0</v>
      </c>
      <c r="JA238" s="2131">
        <f>IF(JA$221,_xll.ciqfunctions.udf.CIQ($G238, "IQ_VOLUME", JA$222),"--")</f>
        <v>0</v>
      </c>
      <c r="JB238" s="2131">
        <f>IF(JB$221,_xll.ciqfunctions.udf.CIQ($G238, "IQ_VOLUME", JB$222),"--")</f>
        <v>0</v>
      </c>
      <c r="JC238" s="2131">
        <f>IF(JC$221,_xll.ciqfunctions.udf.CIQ($G238, "IQ_VOLUME", JC$222),"--")</f>
        <v>0</v>
      </c>
      <c r="JD238" s="2131">
        <f>IF(JD$221,_xll.ciqfunctions.udf.CIQ($G238, "IQ_VOLUME", JD$222),"--")</f>
        <v>0</v>
      </c>
      <c r="JE238" s="2131">
        <f>IF(JE$221,_xll.ciqfunctions.udf.CIQ($G238, "IQ_VOLUME", JE$222),"--")</f>
        <v>0</v>
      </c>
      <c r="JF238" s="2131">
        <f>IF(JF$221,_xll.ciqfunctions.udf.CIQ($G238, "IQ_VOLUME", JF$222),"--")</f>
        <v>0</v>
      </c>
      <c r="JG238" s="2131">
        <f>IF(JG$221,_xll.ciqfunctions.udf.CIQ($G238, "IQ_VOLUME", JG$222),"--")</f>
        <v>0</v>
      </c>
      <c r="JH238" s="2131">
        <f>IF(JH$221,_xll.ciqfunctions.udf.CIQ($G238, "IQ_VOLUME", JH$222),"--")</f>
        <v>0</v>
      </c>
      <c r="JI238" s="2131">
        <f>IF(JI$221,_xll.ciqfunctions.udf.CIQ($G238, "IQ_VOLUME", JI$222),"--")</f>
        <v>0</v>
      </c>
      <c r="JJ238" s="2131">
        <f>IF(JJ$221,_xll.ciqfunctions.udf.CIQ($G238, "IQ_VOLUME", JJ$222),"--")</f>
        <v>0</v>
      </c>
      <c r="JK238" s="2131">
        <f>IF(JK$221,_xll.ciqfunctions.udf.CIQ($G238, "IQ_VOLUME", JK$222),"--")</f>
        <v>0</v>
      </c>
      <c r="JL238" s="2131">
        <f>IF(JL$221,_xll.ciqfunctions.udf.CIQ($G238, "IQ_VOLUME", JL$222),"--")</f>
        <v>0</v>
      </c>
      <c r="JM238" s="2131">
        <f>IF(JM$221,_xll.ciqfunctions.udf.CIQ($G238, "IQ_VOLUME", JM$222),"--")</f>
        <v>0</v>
      </c>
      <c r="JN238" s="2131">
        <f>IF(JN$221,_xll.ciqfunctions.udf.CIQ($G238, "IQ_VOLUME", JN$222),"--")</f>
        <v>0</v>
      </c>
      <c r="JO238" s="2131">
        <f>IF(JO$221,_xll.ciqfunctions.udf.CIQ($G238, "IQ_VOLUME", JO$222),"--")</f>
        <v>0</v>
      </c>
      <c r="JP238" s="2131">
        <f>IF(JP$221,_xll.ciqfunctions.udf.CIQ($G238, "IQ_VOLUME", JP$222),"--")</f>
        <v>0</v>
      </c>
      <c r="JQ238" s="2131">
        <f>IF(JQ$221,_xll.ciqfunctions.udf.CIQ($G238, "IQ_VOLUME", JQ$222),"--")</f>
        <v>0</v>
      </c>
      <c r="JR238" s="2131">
        <f>IF(JR$221,_xll.ciqfunctions.udf.CIQ($G238, "IQ_VOLUME", JR$222),"--")</f>
        <v>0</v>
      </c>
      <c r="JS238" s="2131">
        <f>IF(JS$221,_xll.ciqfunctions.udf.CIQ($G238, "IQ_VOLUME", JS$222),"--")</f>
        <v>0</v>
      </c>
      <c r="JT238" s="2131">
        <f>IF(JT$221,_xll.ciqfunctions.udf.CIQ($G238, "IQ_VOLUME", JT$222),"--")</f>
        <v>0</v>
      </c>
      <c r="JU238" s="2131">
        <f>IF(JU$221,_xll.ciqfunctions.udf.CIQ($G238, "IQ_VOLUME", JU$222),"--")</f>
        <v>0</v>
      </c>
      <c r="JV238" s="2131">
        <f>IF(JV$221,_xll.ciqfunctions.udf.CIQ($G238, "IQ_VOLUME", JV$222),"--")</f>
        <v>0</v>
      </c>
      <c r="JW238" s="2131" t="str">
        <f>IF(JW$221,_xll.ciqfunctions.udf.CIQ($G238, "IQ_VOLUME", JW$222),"--")</f>
        <v>--</v>
      </c>
      <c r="JX238" s="2131" t="str">
        <f>IF(JX$221,_xll.ciqfunctions.udf.CIQ($G238, "IQ_VOLUME", JX$222),"--")</f>
        <v>--</v>
      </c>
      <c r="JY238" s="2131" t="str">
        <f>IF(JY$221,_xll.ciqfunctions.udf.CIQ($G238, "IQ_VOLUME", JY$222),"--")</f>
        <v>--</v>
      </c>
      <c r="JZ238" s="2131" t="str">
        <f>IF(JZ$221,_xll.ciqfunctions.udf.CIQ($G238, "IQ_VOLUME", JZ$222),"--")</f>
        <v>--</v>
      </c>
      <c r="KA238" s="2131" t="str">
        <f>IF(KA$221,_xll.ciqfunctions.udf.CIQ($G238, "IQ_VOLUME", KA$222),"--")</f>
        <v>--</v>
      </c>
      <c r="KB238" s="2131" t="str">
        <f>IF(KB$221,_xll.ciqfunctions.udf.CIQ($G238, "IQ_VOLUME", KB$222),"--")</f>
        <v>--</v>
      </c>
    </row>
    <row r="239" spans="1:288" s="89" customFormat="1" ht="13.9">
      <c r="A239" s="269" t="str">
        <f t="shared" si="47"/>
        <v>n</v>
      </c>
      <c r="B239" s="2060"/>
      <c r="D239" s="801"/>
      <c r="E239" s="1505">
        <v>16</v>
      </c>
      <c r="F239" s="21" t="str">
        <f>F$144</f>
        <v>--</v>
      </c>
      <c r="G239" s="2112">
        <f>G$144</f>
        <v>0</v>
      </c>
      <c r="H239" s="2112" t="str">
        <f>H$144</f>
        <v>--</v>
      </c>
      <c r="I239" s="22" t="s">
        <v>781</v>
      </c>
      <c r="J239" s="53"/>
      <c r="K239" s="2301" t="str">
        <f>IF(OR(K207=0,$G239=0),"--",IFERROR(_xll.ciqfunctions.udf.CIQ($G239,$I239,K115,Valuation_Date_GC,ReportType,DataMode,$H239,FXMode)*Scale,"--"))</f>
        <v>--</v>
      </c>
      <c r="L239" s="2301" t="str">
        <f>IF(OR(L207=0,$G239=0),"--",IFERROR(_xll.ciqfunctions.udf.CIQ($G239,$I239,L115,Valuation_Date_GC,ReportType,DataMode,$H239,FXMode)*Scale,"--"))</f>
        <v>--</v>
      </c>
      <c r="M239" s="2301" t="str">
        <f>IF(OR(M207=0,$G239=0),"--",IFERROR(_xll.ciqfunctions.udf.CIQ($G239,$I239,M115,Valuation_Date_GC,ReportType,DataMode,$H239,FXMode)*Scale,"--"))</f>
        <v>--</v>
      </c>
      <c r="N239" s="2301" t="str">
        <f>IF(OR(N207=0,$G239=0),"--",IFERROR(_xll.ciqfunctions.udf.CIQ($G239,$I239,N115,Valuation_Date_GC,ReportType,DataMode,$H239,FXMode)*Scale,"--"))</f>
        <v>--</v>
      </c>
      <c r="O239" s="1471" t="str">
        <f>IF(OR(O207=0,$G239=0),"--",IFERROR(_xll.ciqfunctions.udf.CIQ($G239,$I239,O115,Valuation_Date_GC,ReportType,DataMode,$H239,FXMode)*Scale,"--"))</f>
        <v>--</v>
      </c>
      <c r="P239" s="2301" t="str">
        <f>IF(OR(P207=0,$G239=0),"--",IFERROR(_xll.ciqfunctions.udf.CIQ($G239,$I239,P115,Valuation_Date_GC,ReportType,DataMode,$H239,FXMode)*Scale,"--"))</f>
        <v>--</v>
      </c>
      <c r="R239" s="255"/>
      <c r="T239" s="1779" t="s">
        <v>782</v>
      </c>
      <c r="U239" s="2131">
        <f>IF(U$221,_xll.ciqfunctions.udf.CIQ($G239, "IQ_VOLUME", U$222),"--")</f>
        <v>0</v>
      </c>
      <c r="V239" s="2131">
        <f>IF(V$221,_xll.ciqfunctions.udf.CIQ($G239, "IQ_VOLUME", V$222),"--")</f>
        <v>0</v>
      </c>
      <c r="W239" s="2131">
        <f>IF(W$221,_xll.ciqfunctions.udf.CIQ($G239, "IQ_VOLUME", W$222),"--")</f>
        <v>0</v>
      </c>
      <c r="X239" s="2131">
        <f>IF(X$221,_xll.ciqfunctions.udf.CIQ($G239, "IQ_VOLUME", X$222),"--")</f>
        <v>0</v>
      </c>
      <c r="Y239" s="2131">
        <f>IF(Y$221,_xll.ciqfunctions.udf.CIQ($G239, "IQ_VOLUME", Y$222),"--")</f>
        <v>0</v>
      </c>
      <c r="Z239" s="2131">
        <f>IF(Z$221,_xll.ciqfunctions.udf.CIQ($G239, "IQ_VOLUME", Z$222),"--")</f>
        <v>0</v>
      </c>
      <c r="AA239" s="2131">
        <f>IF(AA$221,_xll.ciqfunctions.udf.CIQ($G239, "IQ_VOLUME", AA$222),"--")</f>
        <v>0</v>
      </c>
      <c r="AB239" s="2131">
        <f>IF(AB$221,_xll.ciqfunctions.udf.CIQ($G239, "IQ_VOLUME", AB$222),"--")</f>
        <v>0</v>
      </c>
      <c r="AC239" s="2131">
        <f>IF(AC$221,_xll.ciqfunctions.udf.CIQ($G239, "IQ_VOLUME", AC$222),"--")</f>
        <v>0</v>
      </c>
      <c r="AD239" s="2131">
        <f>IF(AD$221,_xll.ciqfunctions.udf.CIQ($G239, "IQ_VOLUME", AD$222),"--")</f>
        <v>0</v>
      </c>
      <c r="AE239" s="2131">
        <f>IF(AE$221,_xll.ciqfunctions.udf.CIQ($G239, "IQ_VOLUME", AE$222),"--")</f>
        <v>0</v>
      </c>
      <c r="AF239" s="2131">
        <f>IF(AF$221,_xll.ciqfunctions.udf.CIQ($G239, "IQ_VOLUME", AF$222),"--")</f>
        <v>0</v>
      </c>
      <c r="AG239" s="2131">
        <f>IF(AG$221,_xll.ciqfunctions.udf.CIQ($G239, "IQ_VOLUME", AG$222),"--")</f>
        <v>0</v>
      </c>
      <c r="AH239" s="2131">
        <f>IF(AH$221,_xll.ciqfunctions.udf.CIQ($G239, "IQ_VOLUME", AH$222),"--")</f>
        <v>0</v>
      </c>
      <c r="AI239" s="2131">
        <f>IF(AI$221,_xll.ciqfunctions.udf.CIQ($G239, "IQ_VOLUME", AI$222),"--")</f>
        <v>0</v>
      </c>
      <c r="AJ239" s="2131">
        <f>IF(AJ$221,_xll.ciqfunctions.udf.CIQ($G239, "IQ_VOLUME", AJ$222),"--")</f>
        <v>0</v>
      </c>
      <c r="AK239" s="2131">
        <f>IF(AK$221,_xll.ciqfunctions.udf.CIQ($G239, "IQ_VOLUME", AK$222),"--")</f>
        <v>0</v>
      </c>
      <c r="AL239" s="2131">
        <f>IF(AL$221,_xll.ciqfunctions.udf.CIQ($G239, "IQ_VOLUME", AL$222),"--")</f>
        <v>0</v>
      </c>
      <c r="AM239" s="2131">
        <f>IF(AM$221,_xll.ciqfunctions.udf.CIQ($G239, "IQ_VOLUME", AM$222),"--")</f>
        <v>0</v>
      </c>
      <c r="AN239" s="2131">
        <f>IF(AN$221,_xll.ciqfunctions.udf.CIQ($G239, "IQ_VOLUME", AN$222),"--")</f>
        <v>0</v>
      </c>
      <c r="AO239" s="2131">
        <f>IF(AO$221,_xll.ciqfunctions.udf.CIQ($G239, "IQ_VOLUME", AO$222),"--")</f>
        <v>0</v>
      </c>
      <c r="AP239" s="2131">
        <f>IF(AP$221,_xll.ciqfunctions.udf.CIQ($G239, "IQ_VOLUME", AP$222),"--")</f>
        <v>0</v>
      </c>
      <c r="AQ239" s="2131">
        <f>IF(AQ$221,_xll.ciqfunctions.udf.CIQ($G239, "IQ_VOLUME", AQ$222),"--")</f>
        <v>0</v>
      </c>
      <c r="AR239" s="2131">
        <f>IF(AR$221,_xll.ciqfunctions.udf.CIQ($G239, "IQ_VOLUME", AR$222),"--")</f>
        <v>0</v>
      </c>
      <c r="AS239" s="2131">
        <f>IF(AS$221,_xll.ciqfunctions.udf.CIQ($G239, "IQ_VOLUME", AS$222),"--")</f>
        <v>0</v>
      </c>
      <c r="AT239" s="2131">
        <f>IF(AT$221,_xll.ciqfunctions.udf.CIQ($G239, "IQ_VOLUME", AT$222),"--")</f>
        <v>0</v>
      </c>
      <c r="AU239" s="2131">
        <f>IF(AU$221,_xll.ciqfunctions.udf.CIQ($G239, "IQ_VOLUME", AU$222),"--")</f>
        <v>0</v>
      </c>
      <c r="AV239" s="2131">
        <f>IF(AV$221,_xll.ciqfunctions.udf.CIQ($G239, "IQ_VOLUME", AV$222),"--")</f>
        <v>0</v>
      </c>
      <c r="AW239" s="2131">
        <f>IF(AW$221,_xll.ciqfunctions.udf.CIQ($G239, "IQ_VOLUME", AW$222),"--")</f>
        <v>0</v>
      </c>
      <c r="AX239" s="2131">
        <f>IF(AX$221,_xll.ciqfunctions.udf.CIQ($G239, "IQ_VOLUME", AX$222),"--")</f>
        <v>0</v>
      </c>
      <c r="AY239" s="2131">
        <f>IF(AY$221,_xll.ciqfunctions.udf.CIQ($G239, "IQ_VOLUME", AY$222),"--")</f>
        <v>0</v>
      </c>
      <c r="AZ239" s="2131">
        <f>IF(AZ$221,_xll.ciqfunctions.udf.CIQ($G239, "IQ_VOLUME", AZ$222),"--")</f>
        <v>0</v>
      </c>
      <c r="BA239" s="2131">
        <f>IF(BA$221,_xll.ciqfunctions.udf.CIQ($G239, "IQ_VOLUME", BA$222),"--")</f>
        <v>0</v>
      </c>
      <c r="BB239" s="2131">
        <f>IF(BB$221,_xll.ciqfunctions.udf.CIQ($G239, "IQ_VOLUME", BB$222),"--")</f>
        <v>0</v>
      </c>
      <c r="BC239" s="2131">
        <f>IF(BC$221,_xll.ciqfunctions.udf.CIQ($G239, "IQ_VOLUME", BC$222),"--")</f>
        <v>0</v>
      </c>
      <c r="BD239" s="2131">
        <f>IF(BD$221,_xll.ciqfunctions.udf.CIQ($G239, "IQ_VOLUME", BD$222),"--")</f>
        <v>0</v>
      </c>
      <c r="BE239" s="2131">
        <f>IF(BE$221,_xll.ciqfunctions.udf.CIQ($G239, "IQ_VOLUME", BE$222),"--")</f>
        <v>0</v>
      </c>
      <c r="BF239" s="2131">
        <f>IF(BF$221,_xll.ciqfunctions.udf.CIQ($G239, "IQ_VOLUME", BF$222),"--")</f>
        <v>0</v>
      </c>
      <c r="BG239" s="2131">
        <f>IF(BG$221,_xll.ciqfunctions.udf.CIQ($G239, "IQ_VOLUME", BG$222),"--")</f>
        <v>0</v>
      </c>
      <c r="BH239" s="2131">
        <f>IF(BH$221,_xll.ciqfunctions.udf.CIQ($G239, "IQ_VOLUME", BH$222),"--")</f>
        <v>0</v>
      </c>
      <c r="BI239" s="2131">
        <f>IF(BI$221,_xll.ciqfunctions.udf.CIQ($G239, "IQ_VOLUME", BI$222),"--")</f>
        <v>0</v>
      </c>
      <c r="BJ239" s="2131">
        <f>IF(BJ$221,_xll.ciqfunctions.udf.CIQ($G239, "IQ_VOLUME", BJ$222),"--")</f>
        <v>0</v>
      </c>
      <c r="BK239" s="2131">
        <f>IF(BK$221,_xll.ciqfunctions.udf.CIQ($G239, "IQ_VOLUME", BK$222),"--")</f>
        <v>0</v>
      </c>
      <c r="BL239" s="2131">
        <f>IF(BL$221,_xll.ciqfunctions.udf.CIQ($G239, "IQ_VOLUME", BL$222),"--")</f>
        <v>0</v>
      </c>
      <c r="BM239" s="2131">
        <f>IF(BM$221,_xll.ciqfunctions.udf.CIQ($G239, "IQ_VOLUME", BM$222),"--")</f>
        <v>0</v>
      </c>
      <c r="BN239" s="2131">
        <f>IF(BN$221,_xll.ciqfunctions.udf.CIQ($G239, "IQ_VOLUME", BN$222),"--")</f>
        <v>0</v>
      </c>
      <c r="BO239" s="2131">
        <f>IF(BO$221,_xll.ciqfunctions.udf.CIQ($G239, "IQ_VOLUME", BO$222),"--")</f>
        <v>0</v>
      </c>
      <c r="BP239" s="2131">
        <f>IF(BP$221,_xll.ciqfunctions.udf.CIQ($G239, "IQ_VOLUME", BP$222),"--")</f>
        <v>0</v>
      </c>
      <c r="BQ239" s="2131">
        <f>IF(BQ$221,_xll.ciqfunctions.udf.CIQ($G239, "IQ_VOLUME", BQ$222),"--")</f>
        <v>0</v>
      </c>
      <c r="BR239" s="2131">
        <f>IF(BR$221,_xll.ciqfunctions.udf.CIQ($G239, "IQ_VOLUME", BR$222),"--")</f>
        <v>0</v>
      </c>
      <c r="BS239" s="2131">
        <f>IF(BS$221,_xll.ciqfunctions.udf.CIQ($G239, "IQ_VOLUME", BS$222),"--")</f>
        <v>0</v>
      </c>
      <c r="BT239" s="2131">
        <f>IF(BT$221,_xll.ciqfunctions.udf.CIQ($G239, "IQ_VOLUME", BT$222),"--")</f>
        <v>0</v>
      </c>
      <c r="BU239" s="2131">
        <f>IF(BU$221,_xll.ciqfunctions.udf.CIQ($G239, "IQ_VOLUME", BU$222),"--")</f>
        <v>0</v>
      </c>
      <c r="BV239" s="2131">
        <f>IF(BV$221,_xll.ciqfunctions.udf.CIQ($G239, "IQ_VOLUME", BV$222),"--")</f>
        <v>0</v>
      </c>
      <c r="BW239" s="2131">
        <f>IF(BW$221,_xll.ciqfunctions.udf.CIQ($G239, "IQ_VOLUME", BW$222),"--")</f>
        <v>0</v>
      </c>
      <c r="BX239" s="2131">
        <f>IF(BX$221,_xll.ciqfunctions.udf.CIQ($G239, "IQ_VOLUME", BX$222),"--")</f>
        <v>0</v>
      </c>
      <c r="BY239" s="2131">
        <f>IF(BY$221,_xll.ciqfunctions.udf.CIQ($G239, "IQ_VOLUME", BY$222),"--")</f>
        <v>0</v>
      </c>
      <c r="BZ239" s="2131">
        <f>IF(BZ$221,_xll.ciqfunctions.udf.CIQ($G239, "IQ_VOLUME", BZ$222),"--")</f>
        <v>0</v>
      </c>
      <c r="CA239" s="2131">
        <f>IF(CA$221,_xll.ciqfunctions.udf.CIQ($G239, "IQ_VOLUME", CA$222),"--")</f>
        <v>0</v>
      </c>
      <c r="CB239" s="2131">
        <f>IF(CB$221,_xll.ciqfunctions.udf.CIQ($G239, "IQ_VOLUME", CB$222),"--")</f>
        <v>0</v>
      </c>
      <c r="CC239" s="2131">
        <f>IF(CC$221,_xll.ciqfunctions.udf.CIQ($G239, "IQ_VOLUME", CC$222),"--")</f>
        <v>0</v>
      </c>
      <c r="CD239" s="2131">
        <f>IF(CD$221,_xll.ciqfunctions.udf.CIQ($G239, "IQ_VOLUME", CD$222),"--")</f>
        <v>0</v>
      </c>
      <c r="CE239" s="2131">
        <f>IF(CE$221,_xll.ciqfunctions.udf.CIQ($G239, "IQ_VOLUME", CE$222),"--")</f>
        <v>0</v>
      </c>
      <c r="CF239" s="2131">
        <f>IF(CF$221,_xll.ciqfunctions.udf.CIQ($G239, "IQ_VOLUME", CF$222),"--")</f>
        <v>0</v>
      </c>
      <c r="CG239" s="2131">
        <f>IF(CG$221,_xll.ciqfunctions.udf.CIQ($G239, "IQ_VOLUME", CG$222),"--")</f>
        <v>0</v>
      </c>
      <c r="CH239" s="2131">
        <f>IF(CH$221,_xll.ciqfunctions.udf.CIQ($G239, "IQ_VOLUME", CH$222),"--")</f>
        <v>0</v>
      </c>
      <c r="CI239" s="2131">
        <f>IF(CI$221,_xll.ciqfunctions.udf.CIQ($G239, "IQ_VOLUME", CI$222),"--")</f>
        <v>0</v>
      </c>
      <c r="CJ239" s="2131">
        <f>IF(CJ$221,_xll.ciqfunctions.udf.CIQ($G239, "IQ_VOLUME", CJ$222),"--")</f>
        <v>0</v>
      </c>
      <c r="CK239" s="2131">
        <f>IF(CK$221,_xll.ciqfunctions.udf.CIQ($G239, "IQ_VOLUME", CK$222),"--")</f>
        <v>0</v>
      </c>
      <c r="CL239" s="2131">
        <f>IF(CL$221,_xll.ciqfunctions.udf.CIQ($G239, "IQ_VOLUME", CL$222),"--")</f>
        <v>0</v>
      </c>
      <c r="CM239" s="2131">
        <f>IF(CM$221,_xll.ciqfunctions.udf.CIQ($G239, "IQ_VOLUME", CM$222),"--")</f>
        <v>0</v>
      </c>
      <c r="CN239" s="2131">
        <f>IF(CN$221,_xll.ciqfunctions.udf.CIQ($G239, "IQ_VOLUME", CN$222),"--")</f>
        <v>0</v>
      </c>
      <c r="CO239" s="2131">
        <f>IF(CO$221,_xll.ciqfunctions.udf.CIQ($G239, "IQ_VOLUME", CO$222),"--")</f>
        <v>0</v>
      </c>
      <c r="CP239" s="2131">
        <f>IF(CP$221,_xll.ciqfunctions.udf.CIQ($G239, "IQ_VOLUME", CP$222),"--")</f>
        <v>0</v>
      </c>
      <c r="CQ239" s="2131">
        <f>IF(CQ$221,_xll.ciqfunctions.udf.CIQ($G239, "IQ_VOLUME", CQ$222),"--")</f>
        <v>0</v>
      </c>
      <c r="CR239" s="2131">
        <f>IF(CR$221,_xll.ciqfunctions.udf.CIQ($G239, "IQ_VOLUME", CR$222),"--")</f>
        <v>0</v>
      </c>
      <c r="CS239" s="2131">
        <f>IF(CS$221,_xll.ciqfunctions.udf.CIQ($G239, "IQ_VOLUME", CS$222),"--")</f>
        <v>0</v>
      </c>
      <c r="CT239" s="2131">
        <f>IF(CT$221,_xll.ciqfunctions.udf.CIQ($G239, "IQ_VOLUME", CT$222),"--")</f>
        <v>0</v>
      </c>
      <c r="CU239" s="2131">
        <f>IF(CU$221,_xll.ciqfunctions.udf.CIQ($G239, "IQ_VOLUME", CU$222),"--")</f>
        <v>0</v>
      </c>
      <c r="CV239" s="2131">
        <f>IF(CV$221,_xll.ciqfunctions.udf.CIQ($G239, "IQ_VOLUME", CV$222),"--")</f>
        <v>0</v>
      </c>
      <c r="CW239" s="2131">
        <f>IF(CW$221,_xll.ciqfunctions.udf.CIQ($G239, "IQ_VOLUME", CW$222),"--")</f>
        <v>0</v>
      </c>
      <c r="CX239" s="2131">
        <f>IF(CX$221,_xll.ciqfunctions.udf.CIQ($G239, "IQ_VOLUME", CX$222),"--")</f>
        <v>0</v>
      </c>
      <c r="CY239" s="2131">
        <f>IF(CY$221,_xll.ciqfunctions.udf.CIQ($G239, "IQ_VOLUME", CY$222),"--")</f>
        <v>0</v>
      </c>
      <c r="CZ239" s="2131">
        <f>IF(CZ$221,_xll.ciqfunctions.udf.CIQ($G239, "IQ_VOLUME", CZ$222),"--")</f>
        <v>0</v>
      </c>
      <c r="DA239" s="2131">
        <f>IF(DA$221,_xll.ciqfunctions.udf.CIQ($G239, "IQ_VOLUME", DA$222),"--")</f>
        <v>0</v>
      </c>
      <c r="DB239" s="2131">
        <f>IF(DB$221,_xll.ciqfunctions.udf.CIQ($G239, "IQ_VOLUME", DB$222),"--")</f>
        <v>0</v>
      </c>
      <c r="DC239" s="2131">
        <f>IF(DC$221,_xll.ciqfunctions.udf.CIQ($G239, "IQ_VOLUME", DC$222),"--")</f>
        <v>0</v>
      </c>
      <c r="DD239" s="2131">
        <f>IF(DD$221,_xll.ciqfunctions.udf.CIQ($G239, "IQ_VOLUME", DD$222),"--")</f>
        <v>0</v>
      </c>
      <c r="DE239" s="2131">
        <f>IF(DE$221,_xll.ciqfunctions.udf.CIQ($G239, "IQ_VOLUME", DE$222),"--")</f>
        <v>0</v>
      </c>
      <c r="DF239" s="2131">
        <f>IF(DF$221,_xll.ciqfunctions.udf.CIQ($G239, "IQ_VOLUME", DF$222),"--")</f>
        <v>0</v>
      </c>
      <c r="DG239" s="2131">
        <f>IF(DG$221,_xll.ciqfunctions.udf.CIQ($G239, "IQ_VOLUME", DG$222),"--")</f>
        <v>0</v>
      </c>
      <c r="DH239" s="2131">
        <f>IF(DH$221,_xll.ciqfunctions.udf.CIQ($G239, "IQ_VOLUME", DH$222),"--")</f>
        <v>0</v>
      </c>
      <c r="DI239" s="2131">
        <f>IF(DI$221,_xll.ciqfunctions.udf.CIQ($G239, "IQ_VOLUME", DI$222),"--")</f>
        <v>0</v>
      </c>
      <c r="DJ239" s="2131">
        <f>IF(DJ$221,_xll.ciqfunctions.udf.CIQ($G239, "IQ_VOLUME", DJ$222),"--")</f>
        <v>0</v>
      </c>
      <c r="DK239" s="2131">
        <f>IF(DK$221,_xll.ciqfunctions.udf.CIQ($G239, "IQ_VOLUME", DK$222),"--")</f>
        <v>0</v>
      </c>
      <c r="DL239" s="2131">
        <f>IF(DL$221,_xll.ciqfunctions.udf.CIQ($G239, "IQ_VOLUME", DL$222),"--")</f>
        <v>0</v>
      </c>
      <c r="DM239" s="2131">
        <f>IF(DM$221,_xll.ciqfunctions.udf.CIQ($G239, "IQ_VOLUME", DM$222),"--")</f>
        <v>0</v>
      </c>
      <c r="DN239" s="2131">
        <f>IF(DN$221,_xll.ciqfunctions.udf.CIQ($G239, "IQ_VOLUME", DN$222),"--")</f>
        <v>0</v>
      </c>
      <c r="DO239" s="2131">
        <f>IF(DO$221,_xll.ciqfunctions.udf.CIQ($G239, "IQ_VOLUME", DO$222),"--")</f>
        <v>0</v>
      </c>
      <c r="DP239" s="2131">
        <f>IF(DP$221,_xll.ciqfunctions.udf.CIQ($G239, "IQ_VOLUME", DP$222),"--")</f>
        <v>0</v>
      </c>
      <c r="DQ239" s="2131">
        <f>IF(DQ$221,_xll.ciqfunctions.udf.CIQ($G239, "IQ_VOLUME", DQ$222),"--")</f>
        <v>0</v>
      </c>
      <c r="DR239" s="2131">
        <f>IF(DR$221,_xll.ciqfunctions.udf.CIQ($G239, "IQ_VOLUME", DR$222),"--")</f>
        <v>0</v>
      </c>
      <c r="DS239" s="2131">
        <f>IF(DS$221,_xll.ciqfunctions.udf.CIQ($G239, "IQ_VOLUME", DS$222),"--")</f>
        <v>0</v>
      </c>
      <c r="DT239" s="2131">
        <f>IF(DT$221,_xll.ciqfunctions.udf.CIQ($G239, "IQ_VOLUME", DT$222),"--")</f>
        <v>0</v>
      </c>
      <c r="DU239" s="2131">
        <f>IF(DU$221,_xll.ciqfunctions.udf.CIQ($G239, "IQ_VOLUME", DU$222),"--")</f>
        <v>0</v>
      </c>
      <c r="DV239" s="2131">
        <f>IF(DV$221,_xll.ciqfunctions.udf.CIQ($G239, "IQ_VOLUME", DV$222),"--")</f>
        <v>0</v>
      </c>
      <c r="DW239" s="2131">
        <f>IF(DW$221,_xll.ciqfunctions.udf.CIQ($G239, "IQ_VOLUME", DW$222),"--")</f>
        <v>0</v>
      </c>
      <c r="DX239" s="2131">
        <f>IF(DX$221,_xll.ciqfunctions.udf.CIQ($G239, "IQ_VOLUME", DX$222),"--")</f>
        <v>0</v>
      </c>
      <c r="DY239" s="2131">
        <f>IF(DY$221,_xll.ciqfunctions.udf.CIQ($G239, "IQ_VOLUME", DY$222),"--")</f>
        <v>0</v>
      </c>
      <c r="DZ239" s="2131">
        <f>IF(DZ$221,_xll.ciqfunctions.udf.CIQ($G239, "IQ_VOLUME", DZ$222),"--")</f>
        <v>0</v>
      </c>
      <c r="EA239" s="2131">
        <f>IF(EA$221,_xll.ciqfunctions.udf.CIQ($G239, "IQ_VOLUME", EA$222),"--")</f>
        <v>0</v>
      </c>
      <c r="EB239" s="2131">
        <f>IF(EB$221,_xll.ciqfunctions.udf.CIQ($G239, "IQ_VOLUME", EB$222),"--")</f>
        <v>0</v>
      </c>
      <c r="EC239" s="2131">
        <f>IF(EC$221,_xll.ciqfunctions.udf.CIQ($G239, "IQ_VOLUME", EC$222),"--")</f>
        <v>0</v>
      </c>
      <c r="ED239" s="2131">
        <f>IF(ED$221,_xll.ciqfunctions.udf.CIQ($G239, "IQ_VOLUME", ED$222),"--")</f>
        <v>0</v>
      </c>
      <c r="EE239" s="2131">
        <f>IF(EE$221,_xll.ciqfunctions.udf.CIQ($G239, "IQ_VOLUME", EE$222),"--")</f>
        <v>0</v>
      </c>
      <c r="EF239" s="2131">
        <f>IF(EF$221,_xll.ciqfunctions.udf.CIQ($G239, "IQ_VOLUME", EF$222),"--")</f>
        <v>0</v>
      </c>
      <c r="EG239" s="2131">
        <f>IF(EG$221,_xll.ciqfunctions.udf.CIQ($G239, "IQ_VOLUME", EG$222),"--")</f>
        <v>0</v>
      </c>
      <c r="EH239" s="2131">
        <f>IF(EH$221,_xll.ciqfunctions.udf.CIQ($G239, "IQ_VOLUME", EH$222),"--")</f>
        <v>0</v>
      </c>
      <c r="EI239" s="2131">
        <f>IF(EI$221,_xll.ciqfunctions.udf.CIQ($G239, "IQ_VOLUME", EI$222),"--")</f>
        <v>0</v>
      </c>
      <c r="EJ239" s="2131">
        <f>IF(EJ$221,_xll.ciqfunctions.udf.CIQ($G239, "IQ_VOLUME", EJ$222),"--")</f>
        <v>0</v>
      </c>
      <c r="EK239" s="2131">
        <f>IF(EK$221,_xll.ciqfunctions.udf.CIQ($G239, "IQ_VOLUME", EK$222),"--")</f>
        <v>0</v>
      </c>
      <c r="EL239" s="2131">
        <f>IF(EL$221,_xll.ciqfunctions.udf.CIQ($G239, "IQ_VOLUME", EL$222),"--")</f>
        <v>0</v>
      </c>
      <c r="EM239" s="2131">
        <f>IF(EM$221,_xll.ciqfunctions.udf.CIQ($G239, "IQ_VOLUME", EM$222),"--")</f>
        <v>0</v>
      </c>
      <c r="EN239" s="2131">
        <f>IF(EN$221,_xll.ciqfunctions.udf.CIQ($G239, "IQ_VOLUME", EN$222),"--")</f>
        <v>0</v>
      </c>
      <c r="EO239" s="2131">
        <f>IF(EO$221,_xll.ciqfunctions.udf.CIQ($G239, "IQ_VOLUME", EO$222),"--")</f>
        <v>0</v>
      </c>
      <c r="EP239" s="2131">
        <f>IF(EP$221,_xll.ciqfunctions.udf.CIQ($G239, "IQ_VOLUME", EP$222),"--")</f>
        <v>0</v>
      </c>
      <c r="EQ239" s="2131">
        <f>IF(EQ$221,_xll.ciqfunctions.udf.CIQ($G239, "IQ_VOLUME", EQ$222),"--")</f>
        <v>0</v>
      </c>
      <c r="ER239" s="2131">
        <f>IF(ER$221,_xll.ciqfunctions.udf.CIQ($G239, "IQ_VOLUME", ER$222),"--")</f>
        <v>0</v>
      </c>
      <c r="ES239" s="2131">
        <f>IF(ES$221,_xll.ciqfunctions.udf.CIQ($G239, "IQ_VOLUME", ES$222),"--")</f>
        <v>0</v>
      </c>
      <c r="ET239" s="2131">
        <f>IF(ET$221,_xll.ciqfunctions.udf.CIQ($G239, "IQ_VOLUME", ET$222),"--")</f>
        <v>0</v>
      </c>
      <c r="EU239" s="2131">
        <f>IF(EU$221,_xll.ciqfunctions.udf.CIQ($G239, "IQ_VOLUME", EU$222),"--")</f>
        <v>0</v>
      </c>
      <c r="EV239" s="2131">
        <f>IF(EV$221,_xll.ciqfunctions.udf.CIQ($G239, "IQ_VOLUME", EV$222),"--")</f>
        <v>0</v>
      </c>
      <c r="EW239" s="2131">
        <f>IF(EW$221,_xll.ciqfunctions.udf.CIQ($G239, "IQ_VOLUME", EW$222),"--")</f>
        <v>0</v>
      </c>
      <c r="EX239" s="2131">
        <f>IF(EX$221,_xll.ciqfunctions.udf.CIQ($G239, "IQ_VOLUME", EX$222),"--")</f>
        <v>0</v>
      </c>
      <c r="EY239" s="2131">
        <f>IF(EY$221,_xll.ciqfunctions.udf.CIQ($G239, "IQ_VOLUME", EY$222),"--")</f>
        <v>0</v>
      </c>
      <c r="EZ239" s="2131">
        <f>IF(EZ$221,_xll.ciqfunctions.udf.CIQ($G239, "IQ_VOLUME", EZ$222),"--")</f>
        <v>0</v>
      </c>
      <c r="FA239" s="2131">
        <f>IF(FA$221,_xll.ciqfunctions.udf.CIQ($G239, "IQ_VOLUME", FA$222),"--")</f>
        <v>0</v>
      </c>
      <c r="FB239" s="2131">
        <f>IF(FB$221,_xll.ciqfunctions.udf.CIQ($G239, "IQ_VOLUME", FB$222),"--")</f>
        <v>0</v>
      </c>
      <c r="FC239" s="2131">
        <f>IF(FC$221,_xll.ciqfunctions.udf.CIQ($G239, "IQ_VOLUME", FC$222),"--")</f>
        <v>0</v>
      </c>
      <c r="FD239" s="2131">
        <f>IF(FD$221,_xll.ciqfunctions.udf.CIQ($G239, "IQ_VOLUME", FD$222),"--")</f>
        <v>0</v>
      </c>
      <c r="FE239" s="2131">
        <f>IF(FE$221,_xll.ciqfunctions.udf.CIQ($G239, "IQ_VOLUME", FE$222),"--")</f>
        <v>0</v>
      </c>
      <c r="FF239" s="2131">
        <f>IF(FF$221,_xll.ciqfunctions.udf.CIQ($G239, "IQ_VOLUME", FF$222),"--")</f>
        <v>0</v>
      </c>
      <c r="FG239" s="2131">
        <f>IF(FG$221,_xll.ciqfunctions.udf.CIQ($G239, "IQ_VOLUME", FG$222),"--")</f>
        <v>0</v>
      </c>
      <c r="FH239" s="2131">
        <f>IF(FH$221,_xll.ciqfunctions.udf.CIQ($G239, "IQ_VOLUME", FH$222),"--")</f>
        <v>0</v>
      </c>
      <c r="FI239" s="2131">
        <f>IF(FI$221,_xll.ciqfunctions.udf.CIQ($G239, "IQ_VOLUME", FI$222),"--")</f>
        <v>0</v>
      </c>
      <c r="FJ239" s="2131">
        <f>IF(FJ$221,_xll.ciqfunctions.udf.CIQ($G239, "IQ_VOLUME", FJ$222),"--")</f>
        <v>0</v>
      </c>
      <c r="FK239" s="2131">
        <f>IF(FK$221,_xll.ciqfunctions.udf.CIQ($G239, "IQ_VOLUME", FK$222),"--")</f>
        <v>0</v>
      </c>
      <c r="FL239" s="2131">
        <f>IF(FL$221,_xll.ciqfunctions.udf.CIQ($G239, "IQ_VOLUME", FL$222),"--")</f>
        <v>0</v>
      </c>
      <c r="FM239" s="2131">
        <f>IF(FM$221,_xll.ciqfunctions.udf.CIQ($G239, "IQ_VOLUME", FM$222),"--")</f>
        <v>0</v>
      </c>
      <c r="FN239" s="2131">
        <f>IF(FN$221,_xll.ciqfunctions.udf.CIQ($G239, "IQ_VOLUME", FN$222),"--")</f>
        <v>0</v>
      </c>
      <c r="FO239" s="2131">
        <f>IF(FO$221,_xll.ciqfunctions.udf.CIQ($G239, "IQ_VOLUME", FO$222),"--")</f>
        <v>0</v>
      </c>
      <c r="FP239" s="2131">
        <f>IF(FP$221,_xll.ciqfunctions.udf.CIQ($G239, "IQ_VOLUME", FP$222),"--")</f>
        <v>0</v>
      </c>
      <c r="FQ239" s="2131">
        <f>IF(FQ$221,_xll.ciqfunctions.udf.CIQ($G239, "IQ_VOLUME", FQ$222),"--")</f>
        <v>0</v>
      </c>
      <c r="FR239" s="2131">
        <f>IF(FR$221,_xll.ciqfunctions.udf.CIQ($G239, "IQ_VOLUME", FR$222),"--")</f>
        <v>0</v>
      </c>
      <c r="FS239" s="2131">
        <f>IF(FS$221,_xll.ciqfunctions.udf.CIQ($G239, "IQ_VOLUME", FS$222),"--")</f>
        <v>0</v>
      </c>
      <c r="FT239" s="2131">
        <f>IF(FT$221,_xll.ciqfunctions.udf.CIQ($G239, "IQ_VOLUME", FT$222),"--")</f>
        <v>0</v>
      </c>
      <c r="FU239" s="2131">
        <f>IF(FU$221,_xll.ciqfunctions.udf.CIQ($G239, "IQ_VOLUME", FU$222),"--")</f>
        <v>0</v>
      </c>
      <c r="FV239" s="2131">
        <f>IF(FV$221,_xll.ciqfunctions.udf.CIQ($G239, "IQ_VOLUME", FV$222),"--")</f>
        <v>0</v>
      </c>
      <c r="FW239" s="2131">
        <f>IF(FW$221,_xll.ciqfunctions.udf.CIQ($G239, "IQ_VOLUME", FW$222),"--")</f>
        <v>0</v>
      </c>
      <c r="FX239" s="2131">
        <f>IF(FX$221,_xll.ciqfunctions.udf.CIQ($G239, "IQ_VOLUME", FX$222),"--")</f>
        <v>0</v>
      </c>
      <c r="FY239" s="2131">
        <f>IF(FY$221,_xll.ciqfunctions.udf.CIQ($G239, "IQ_VOLUME", FY$222),"--")</f>
        <v>0</v>
      </c>
      <c r="FZ239" s="2131">
        <f>IF(FZ$221,_xll.ciqfunctions.udf.CIQ($G239, "IQ_VOLUME", FZ$222),"--")</f>
        <v>0</v>
      </c>
      <c r="GA239" s="2131">
        <f>IF(GA$221,_xll.ciqfunctions.udf.CIQ($G239, "IQ_VOLUME", GA$222),"--")</f>
        <v>0</v>
      </c>
      <c r="GB239" s="2131">
        <f>IF(GB$221,_xll.ciqfunctions.udf.CIQ($G239, "IQ_VOLUME", GB$222),"--")</f>
        <v>0</v>
      </c>
      <c r="GC239" s="2131">
        <f>IF(GC$221,_xll.ciqfunctions.udf.CIQ($G239, "IQ_VOLUME", GC$222),"--")</f>
        <v>0</v>
      </c>
      <c r="GD239" s="2131">
        <f>IF(GD$221,_xll.ciqfunctions.udf.CIQ($G239, "IQ_VOLUME", GD$222),"--")</f>
        <v>0</v>
      </c>
      <c r="GE239" s="2131">
        <f>IF(GE$221,_xll.ciqfunctions.udf.CIQ($G239, "IQ_VOLUME", GE$222),"--")</f>
        <v>0</v>
      </c>
      <c r="GF239" s="2131">
        <f>IF(GF$221,_xll.ciqfunctions.udf.CIQ($G239, "IQ_VOLUME", GF$222),"--")</f>
        <v>0</v>
      </c>
      <c r="GG239" s="2131">
        <f>IF(GG$221,_xll.ciqfunctions.udf.CIQ($G239, "IQ_VOLUME", GG$222),"--")</f>
        <v>0</v>
      </c>
      <c r="GH239" s="2131">
        <f>IF(GH$221,_xll.ciqfunctions.udf.CIQ($G239, "IQ_VOLUME", GH$222),"--")</f>
        <v>0</v>
      </c>
      <c r="GI239" s="2131">
        <f>IF(GI$221,_xll.ciqfunctions.udf.CIQ($G239, "IQ_VOLUME", GI$222),"--")</f>
        <v>0</v>
      </c>
      <c r="GJ239" s="2131">
        <f>IF(GJ$221,_xll.ciqfunctions.udf.CIQ($G239, "IQ_VOLUME", GJ$222),"--")</f>
        <v>0</v>
      </c>
      <c r="GK239" s="2131">
        <f>IF(GK$221,_xll.ciqfunctions.udf.CIQ($G239, "IQ_VOLUME", GK$222),"--")</f>
        <v>0</v>
      </c>
      <c r="GL239" s="2131">
        <f>IF(GL$221,_xll.ciqfunctions.udf.CIQ($G239, "IQ_VOLUME", GL$222),"--")</f>
        <v>0</v>
      </c>
      <c r="GM239" s="2131">
        <f>IF(GM$221,_xll.ciqfunctions.udf.CIQ($G239, "IQ_VOLUME", GM$222),"--")</f>
        <v>0</v>
      </c>
      <c r="GN239" s="2131">
        <f>IF(GN$221,_xll.ciqfunctions.udf.CIQ($G239, "IQ_VOLUME", GN$222),"--")</f>
        <v>0</v>
      </c>
      <c r="GO239" s="2131">
        <f>IF(GO$221,_xll.ciqfunctions.udf.CIQ($G239, "IQ_VOLUME", GO$222),"--")</f>
        <v>0</v>
      </c>
      <c r="GP239" s="2131">
        <f>IF(GP$221,_xll.ciqfunctions.udf.CIQ($G239, "IQ_VOLUME", GP$222),"--")</f>
        <v>0</v>
      </c>
      <c r="GQ239" s="2131">
        <f>IF(GQ$221,_xll.ciqfunctions.udf.CIQ($G239, "IQ_VOLUME", GQ$222),"--")</f>
        <v>0</v>
      </c>
      <c r="GR239" s="2131">
        <f>IF(GR$221,_xll.ciqfunctions.udf.CIQ($G239, "IQ_VOLUME", GR$222),"--")</f>
        <v>0</v>
      </c>
      <c r="GS239" s="2131">
        <f>IF(GS$221,_xll.ciqfunctions.udf.CIQ($G239, "IQ_VOLUME", GS$222),"--")</f>
        <v>0</v>
      </c>
      <c r="GT239" s="2131">
        <f>IF(GT$221,_xll.ciqfunctions.udf.CIQ($G239, "IQ_VOLUME", GT$222),"--")</f>
        <v>0</v>
      </c>
      <c r="GU239" s="2131">
        <f>IF(GU$221,_xll.ciqfunctions.udf.CIQ($G239, "IQ_VOLUME", GU$222),"--")</f>
        <v>0</v>
      </c>
      <c r="GV239" s="2131">
        <f>IF(GV$221,_xll.ciqfunctions.udf.CIQ($G239, "IQ_VOLUME", GV$222),"--")</f>
        <v>0</v>
      </c>
      <c r="GW239" s="2131">
        <f>IF(GW$221,_xll.ciqfunctions.udf.CIQ($G239, "IQ_VOLUME", GW$222),"--")</f>
        <v>0</v>
      </c>
      <c r="GX239" s="2131">
        <f>IF(GX$221,_xll.ciqfunctions.udf.CIQ($G239, "IQ_VOLUME", GX$222),"--")</f>
        <v>0</v>
      </c>
      <c r="GY239" s="2131">
        <f>IF(GY$221,_xll.ciqfunctions.udf.CIQ($G239, "IQ_VOLUME", GY$222),"--")</f>
        <v>0</v>
      </c>
      <c r="GZ239" s="2131">
        <f>IF(GZ$221,_xll.ciqfunctions.udf.CIQ($G239, "IQ_VOLUME", GZ$222),"--")</f>
        <v>0</v>
      </c>
      <c r="HA239" s="2131">
        <f>IF(HA$221,_xll.ciqfunctions.udf.CIQ($G239, "IQ_VOLUME", HA$222),"--")</f>
        <v>0</v>
      </c>
      <c r="HB239" s="2131">
        <f>IF(HB$221,_xll.ciqfunctions.udf.CIQ($G239, "IQ_VOLUME", HB$222),"--")</f>
        <v>0</v>
      </c>
      <c r="HC239" s="2131">
        <f>IF(HC$221,_xll.ciqfunctions.udf.CIQ($G239, "IQ_VOLUME", HC$222),"--")</f>
        <v>0</v>
      </c>
      <c r="HD239" s="2131">
        <f>IF(HD$221,_xll.ciqfunctions.udf.CIQ($G239, "IQ_VOLUME", HD$222),"--")</f>
        <v>0</v>
      </c>
      <c r="HE239" s="2131">
        <f>IF(HE$221,_xll.ciqfunctions.udf.CIQ($G239, "IQ_VOLUME", HE$222),"--")</f>
        <v>0</v>
      </c>
      <c r="HF239" s="2131">
        <f>IF(HF$221,_xll.ciqfunctions.udf.CIQ($G239, "IQ_VOLUME", HF$222),"--")</f>
        <v>0</v>
      </c>
      <c r="HG239" s="2131">
        <f>IF(HG$221,_xll.ciqfunctions.udf.CIQ($G239, "IQ_VOLUME", HG$222),"--")</f>
        <v>0</v>
      </c>
      <c r="HH239" s="2131">
        <f>IF(HH$221,_xll.ciqfunctions.udf.CIQ($G239, "IQ_VOLUME", HH$222),"--")</f>
        <v>0</v>
      </c>
      <c r="HI239" s="2131">
        <f>IF(HI$221,_xll.ciqfunctions.udf.CIQ($G239, "IQ_VOLUME", HI$222),"--")</f>
        <v>0</v>
      </c>
      <c r="HJ239" s="2131">
        <f>IF(HJ$221,_xll.ciqfunctions.udf.CIQ($G239, "IQ_VOLUME", HJ$222),"--")</f>
        <v>0</v>
      </c>
      <c r="HK239" s="2131">
        <f>IF(HK$221,_xll.ciqfunctions.udf.CIQ($G239, "IQ_VOLUME", HK$222),"--")</f>
        <v>0</v>
      </c>
      <c r="HL239" s="2131">
        <f>IF(HL$221,_xll.ciqfunctions.udf.CIQ($G239, "IQ_VOLUME", HL$222),"--")</f>
        <v>0</v>
      </c>
      <c r="HM239" s="2131">
        <f>IF(HM$221,_xll.ciqfunctions.udf.CIQ($G239, "IQ_VOLUME", HM$222),"--")</f>
        <v>0</v>
      </c>
      <c r="HN239" s="2131">
        <f>IF(HN$221,_xll.ciqfunctions.udf.CIQ($G239, "IQ_VOLUME", HN$222),"--")</f>
        <v>0</v>
      </c>
      <c r="HO239" s="2131">
        <f>IF(HO$221,_xll.ciqfunctions.udf.CIQ($G239, "IQ_VOLUME", HO$222),"--")</f>
        <v>0</v>
      </c>
      <c r="HP239" s="2131">
        <f>IF(HP$221,_xll.ciqfunctions.udf.CIQ($G239, "IQ_VOLUME", HP$222),"--")</f>
        <v>0</v>
      </c>
      <c r="HQ239" s="2131">
        <f>IF(HQ$221,_xll.ciqfunctions.udf.CIQ($G239, "IQ_VOLUME", HQ$222),"--")</f>
        <v>0</v>
      </c>
      <c r="HR239" s="2131">
        <f>IF(HR$221,_xll.ciqfunctions.udf.CIQ($G239, "IQ_VOLUME", HR$222),"--")</f>
        <v>0</v>
      </c>
      <c r="HS239" s="2131">
        <f>IF(HS$221,_xll.ciqfunctions.udf.CIQ($G239, "IQ_VOLUME", HS$222),"--")</f>
        <v>0</v>
      </c>
      <c r="HT239" s="2131">
        <f>IF(HT$221,_xll.ciqfunctions.udf.CIQ($G239, "IQ_VOLUME", HT$222),"--")</f>
        <v>0</v>
      </c>
      <c r="HU239" s="2131">
        <f>IF(HU$221,_xll.ciqfunctions.udf.CIQ($G239, "IQ_VOLUME", HU$222),"--")</f>
        <v>0</v>
      </c>
      <c r="HV239" s="2131">
        <f>IF(HV$221,_xll.ciqfunctions.udf.CIQ($G239, "IQ_VOLUME", HV$222),"--")</f>
        <v>0</v>
      </c>
      <c r="HW239" s="2131">
        <f>IF(HW$221,_xll.ciqfunctions.udf.CIQ($G239, "IQ_VOLUME", HW$222),"--")</f>
        <v>0</v>
      </c>
      <c r="HX239" s="2131">
        <f>IF(HX$221,_xll.ciqfunctions.udf.CIQ($G239, "IQ_VOLUME", HX$222),"--")</f>
        <v>0</v>
      </c>
      <c r="HY239" s="2131">
        <f>IF(HY$221,_xll.ciqfunctions.udf.CIQ($G239, "IQ_VOLUME", HY$222),"--")</f>
        <v>0</v>
      </c>
      <c r="HZ239" s="2131">
        <f>IF(HZ$221,_xll.ciqfunctions.udf.CIQ($G239, "IQ_VOLUME", HZ$222),"--")</f>
        <v>0</v>
      </c>
      <c r="IA239" s="2131">
        <f>IF(IA$221,_xll.ciqfunctions.udf.CIQ($G239, "IQ_VOLUME", IA$222),"--")</f>
        <v>0</v>
      </c>
      <c r="IB239" s="2131">
        <f>IF(IB$221,_xll.ciqfunctions.udf.CIQ($G239, "IQ_VOLUME", IB$222),"--")</f>
        <v>0</v>
      </c>
      <c r="IC239" s="2131">
        <f>IF(IC$221,_xll.ciqfunctions.udf.CIQ($G239, "IQ_VOLUME", IC$222),"--")</f>
        <v>0</v>
      </c>
      <c r="ID239" s="2131">
        <f>IF(ID$221,_xll.ciqfunctions.udf.CIQ($G239, "IQ_VOLUME", ID$222),"--")</f>
        <v>0</v>
      </c>
      <c r="IE239" s="2131">
        <f>IF(IE$221,_xll.ciqfunctions.udf.CIQ($G239, "IQ_VOLUME", IE$222),"--")</f>
        <v>0</v>
      </c>
      <c r="IF239" s="2131">
        <f>IF(IF$221,_xll.ciqfunctions.udf.CIQ($G239, "IQ_VOLUME", IF$222),"--")</f>
        <v>0</v>
      </c>
      <c r="IG239" s="2131">
        <f>IF(IG$221,_xll.ciqfunctions.udf.CIQ($G239, "IQ_VOLUME", IG$222),"--")</f>
        <v>0</v>
      </c>
      <c r="IH239" s="2131">
        <f>IF(IH$221,_xll.ciqfunctions.udf.CIQ($G239, "IQ_VOLUME", IH$222),"--")</f>
        <v>0</v>
      </c>
      <c r="II239" s="2131">
        <f>IF(II$221,_xll.ciqfunctions.udf.CIQ($G239, "IQ_VOLUME", II$222),"--")</f>
        <v>0</v>
      </c>
      <c r="IJ239" s="2131">
        <f>IF(IJ$221,_xll.ciqfunctions.udf.CIQ($G239, "IQ_VOLUME", IJ$222),"--")</f>
        <v>0</v>
      </c>
      <c r="IK239" s="2131">
        <f>IF(IK$221,_xll.ciqfunctions.udf.CIQ($G239, "IQ_VOLUME", IK$222),"--")</f>
        <v>0</v>
      </c>
      <c r="IL239" s="2131">
        <f>IF(IL$221,_xll.ciqfunctions.udf.CIQ($G239, "IQ_VOLUME", IL$222),"--")</f>
        <v>0</v>
      </c>
      <c r="IM239" s="2131">
        <f>IF(IM$221,_xll.ciqfunctions.udf.CIQ($G239, "IQ_VOLUME", IM$222),"--")</f>
        <v>0</v>
      </c>
      <c r="IN239" s="2131">
        <f>IF(IN$221,_xll.ciqfunctions.udf.CIQ($G239, "IQ_VOLUME", IN$222),"--")</f>
        <v>0</v>
      </c>
      <c r="IO239" s="2131">
        <f>IF(IO$221,_xll.ciqfunctions.udf.CIQ($G239, "IQ_VOLUME", IO$222),"--")</f>
        <v>0</v>
      </c>
      <c r="IP239" s="2131">
        <f>IF(IP$221,_xll.ciqfunctions.udf.CIQ($G239, "IQ_VOLUME", IP$222),"--")</f>
        <v>0</v>
      </c>
      <c r="IQ239" s="2131">
        <f>IF(IQ$221,_xll.ciqfunctions.udf.CIQ($G239, "IQ_VOLUME", IQ$222),"--")</f>
        <v>0</v>
      </c>
      <c r="IR239" s="2131">
        <f>IF(IR$221,_xll.ciqfunctions.udf.CIQ($G239, "IQ_VOLUME", IR$222),"--")</f>
        <v>0</v>
      </c>
      <c r="IS239" s="2131">
        <f>IF(IS$221,_xll.ciqfunctions.udf.CIQ($G239, "IQ_VOLUME", IS$222),"--")</f>
        <v>0</v>
      </c>
      <c r="IT239" s="2131">
        <f>IF(IT$221,_xll.ciqfunctions.udf.CIQ($G239, "IQ_VOLUME", IT$222),"--")</f>
        <v>0</v>
      </c>
      <c r="IU239" s="2131">
        <f>IF(IU$221,_xll.ciqfunctions.udf.CIQ($G239, "IQ_VOLUME", IU$222),"--")</f>
        <v>0</v>
      </c>
      <c r="IV239" s="2131">
        <f>IF(IV$221,_xll.ciqfunctions.udf.CIQ($G239, "IQ_VOLUME", IV$222),"--")</f>
        <v>0</v>
      </c>
      <c r="IW239" s="2131">
        <f>IF(IW$221,_xll.ciqfunctions.udf.CIQ($G239, "IQ_VOLUME", IW$222),"--")</f>
        <v>0</v>
      </c>
      <c r="IX239" s="2131">
        <f>IF(IX$221,_xll.ciqfunctions.udf.CIQ($G239, "IQ_VOLUME", IX$222),"--")</f>
        <v>0</v>
      </c>
      <c r="IY239" s="2131">
        <f>IF(IY$221,_xll.ciqfunctions.udf.CIQ($G239, "IQ_VOLUME", IY$222),"--")</f>
        <v>0</v>
      </c>
      <c r="IZ239" s="2131">
        <f>IF(IZ$221,_xll.ciqfunctions.udf.CIQ($G239, "IQ_VOLUME", IZ$222),"--")</f>
        <v>0</v>
      </c>
      <c r="JA239" s="2131">
        <f>IF(JA$221,_xll.ciqfunctions.udf.CIQ($G239, "IQ_VOLUME", JA$222),"--")</f>
        <v>0</v>
      </c>
      <c r="JB239" s="2131">
        <f>IF(JB$221,_xll.ciqfunctions.udf.CIQ($G239, "IQ_VOLUME", JB$222),"--")</f>
        <v>0</v>
      </c>
      <c r="JC239" s="2131">
        <f>IF(JC$221,_xll.ciqfunctions.udf.CIQ($G239, "IQ_VOLUME", JC$222),"--")</f>
        <v>0</v>
      </c>
      <c r="JD239" s="2131">
        <f>IF(JD$221,_xll.ciqfunctions.udf.CIQ($G239, "IQ_VOLUME", JD$222),"--")</f>
        <v>0</v>
      </c>
      <c r="JE239" s="2131">
        <f>IF(JE$221,_xll.ciqfunctions.udf.CIQ($G239, "IQ_VOLUME", JE$222),"--")</f>
        <v>0</v>
      </c>
      <c r="JF239" s="2131">
        <f>IF(JF$221,_xll.ciqfunctions.udf.CIQ($G239, "IQ_VOLUME", JF$222),"--")</f>
        <v>0</v>
      </c>
      <c r="JG239" s="2131">
        <f>IF(JG$221,_xll.ciqfunctions.udf.CIQ($G239, "IQ_VOLUME", JG$222),"--")</f>
        <v>0</v>
      </c>
      <c r="JH239" s="2131">
        <f>IF(JH$221,_xll.ciqfunctions.udf.CIQ($G239, "IQ_VOLUME", JH$222),"--")</f>
        <v>0</v>
      </c>
      <c r="JI239" s="2131">
        <f>IF(JI$221,_xll.ciqfunctions.udf.CIQ($G239, "IQ_VOLUME", JI$222),"--")</f>
        <v>0</v>
      </c>
      <c r="JJ239" s="2131">
        <f>IF(JJ$221,_xll.ciqfunctions.udf.CIQ($G239, "IQ_VOLUME", JJ$222),"--")</f>
        <v>0</v>
      </c>
      <c r="JK239" s="2131">
        <f>IF(JK$221,_xll.ciqfunctions.udf.CIQ($G239, "IQ_VOLUME", JK$222),"--")</f>
        <v>0</v>
      </c>
      <c r="JL239" s="2131">
        <f>IF(JL$221,_xll.ciqfunctions.udf.CIQ($G239, "IQ_VOLUME", JL$222),"--")</f>
        <v>0</v>
      </c>
      <c r="JM239" s="2131">
        <f>IF(JM$221,_xll.ciqfunctions.udf.CIQ($G239, "IQ_VOLUME", JM$222),"--")</f>
        <v>0</v>
      </c>
      <c r="JN239" s="2131">
        <f>IF(JN$221,_xll.ciqfunctions.udf.CIQ($G239, "IQ_VOLUME", JN$222),"--")</f>
        <v>0</v>
      </c>
      <c r="JO239" s="2131">
        <f>IF(JO$221,_xll.ciqfunctions.udf.CIQ($G239, "IQ_VOLUME", JO$222),"--")</f>
        <v>0</v>
      </c>
      <c r="JP239" s="2131">
        <f>IF(JP$221,_xll.ciqfunctions.udf.CIQ($G239, "IQ_VOLUME", JP$222),"--")</f>
        <v>0</v>
      </c>
      <c r="JQ239" s="2131">
        <f>IF(JQ$221,_xll.ciqfunctions.udf.CIQ($G239, "IQ_VOLUME", JQ$222),"--")</f>
        <v>0</v>
      </c>
      <c r="JR239" s="2131">
        <f>IF(JR$221,_xll.ciqfunctions.udf.CIQ($G239, "IQ_VOLUME", JR$222),"--")</f>
        <v>0</v>
      </c>
      <c r="JS239" s="2131">
        <f>IF(JS$221,_xll.ciqfunctions.udf.CIQ($G239, "IQ_VOLUME", JS$222),"--")</f>
        <v>0</v>
      </c>
      <c r="JT239" s="2131">
        <f>IF(JT$221,_xll.ciqfunctions.udf.CIQ($G239, "IQ_VOLUME", JT$222),"--")</f>
        <v>0</v>
      </c>
      <c r="JU239" s="2131">
        <f>IF(JU$221,_xll.ciqfunctions.udf.CIQ($G239, "IQ_VOLUME", JU$222),"--")</f>
        <v>0</v>
      </c>
      <c r="JV239" s="2131">
        <f>IF(JV$221,_xll.ciqfunctions.udf.CIQ($G239, "IQ_VOLUME", JV$222),"--")</f>
        <v>0</v>
      </c>
      <c r="JW239" s="2131" t="str">
        <f>IF(JW$221,_xll.ciqfunctions.udf.CIQ($G239, "IQ_VOLUME", JW$222),"--")</f>
        <v>--</v>
      </c>
      <c r="JX239" s="2131" t="str">
        <f>IF(JX$221,_xll.ciqfunctions.udf.CIQ($G239, "IQ_VOLUME", JX$222),"--")</f>
        <v>--</v>
      </c>
      <c r="JY239" s="2131" t="str">
        <f>IF(JY$221,_xll.ciqfunctions.udf.CIQ($G239, "IQ_VOLUME", JY$222),"--")</f>
        <v>--</v>
      </c>
      <c r="JZ239" s="2131" t="str">
        <f>IF(JZ$221,_xll.ciqfunctions.udf.CIQ($G239, "IQ_VOLUME", JZ$222),"--")</f>
        <v>--</v>
      </c>
      <c r="KA239" s="2131" t="str">
        <f>IF(KA$221,_xll.ciqfunctions.udf.CIQ($G239, "IQ_VOLUME", KA$222),"--")</f>
        <v>--</v>
      </c>
      <c r="KB239" s="2131" t="str">
        <f>IF(KB$221,_xll.ciqfunctions.udf.CIQ($G239, "IQ_VOLUME", KB$222),"--")</f>
        <v>--</v>
      </c>
    </row>
    <row r="240" spans="1:288" s="89" customFormat="1" ht="13.9">
      <c r="A240" s="269" t="str">
        <f t="shared" si="47"/>
        <v>n</v>
      </c>
      <c r="B240" s="2060"/>
      <c r="D240" s="801"/>
      <c r="E240" s="1505">
        <v>17</v>
      </c>
      <c r="F240" s="21" t="str">
        <f>F$145</f>
        <v>--</v>
      </c>
      <c r="G240" s="2112">
        <f>G$145</f>
        <v>0</v>
      </c>
      <c r="H240" s="2112" t="str">
        <f>H$145</f>
        <v>--</v>
      </c>
      <c r="I240" s="22" t="s">
        <v>781</v>
      </c>
      <c r="J240" s="53"/>
      <c r="K240" s="2301" t="str">
        <f>IF(OR(K208=0,$G240=0),"--",IFERROR(_xll.ciqfunctions.udf.CIQ($G240,$I240,K116,Valuation_Date_GC,ReportType,DataMode,$H240,FXMode)*Scale,"--"))</f>
        <v>--</v>
      </c>
      <c r="L240" s="2301" t="str">
        <f>IF(OR(L208=0,$G240=0),"--",IFERROR(_xll.ciqfunctions.udf.CIQ($G240,$I240,L116,Valuation_Date_GC,ReportType,DataMode,$H240,FXMode)*Scale,"--"))</f>
        <v>--</v>
      </c>
      <c r="M240" s="2301" t="str">
        <f>IF(OR(M208=0,$G240=0),"--",IFERROR(_xll.ciqfunctions.udf.CIQ($G240,$I240,M116,Valuation_Date_GC,ReportType,DataMode,$H240,FXMode)*Scale,"--"))</f>
        <v>--</v>
      </c>
      <c r="N240" s="2301" t="str">
        <f>IF(OR(N208=0,$G240=0),"--",IFERROR(_xll.ciqfunctions.udf.CIQ($G240,$I240,N116,Valuation_Date_GC,ReportType,DataMode,$H240,FXMode)*Scale,"--"))</f>
        <v>--</v>
      </c>
      <c r="O240" s="1471" t="str">
        <f>IF(OR(O208=0,$G240=0),"--",IFERROR(_xll.ciqfunctions.udf.CIQ($G240,$I240,O116,Valuation_Date_GC,ReportType,DataMode,$H240,FXMode)*Scale,"--"))</f>
        <v>--</v>
      </c>
      <c r="P240" s="2301" t="str">
        <f>IF(OR(P208=0,$G240=0),"--",IFERROR(_xll.ciqfunctions.udf.CIQ($G240,$I240,P116,Valuation_Date_GC,ReportType,DataMode,$H240,FXMode)*Scale,"--"))</f>
        <v>--</v>
      </c>
      <c r="R240" s="255"/>
      <c r="T240" s="1779" t="s">
        <v>782</v>
      </c>
      <c r="U240" s="2131">
        <f>IF(U$221,_xll.ciqfunctions.udf.CIQ($G240, "IQ_VOLUME", U$222),"--")</f>
        <v>0</v>
      </c>
      <c r="V240" s="2131">
        <f>IF(V$221,_xll.ciqfunctions.udf.CIQ($G240, "IQ_VOLUME", V$222),"--")</f>
        <v>0</v>
      </c>
      <c r="W240" s="2131">
        <f>IF(W$221,_xll.ciqfunctions.udf.CIQ($G240, "IQ_VOLUME", W$222),"--")</f>
        <v>0</v>
      </c>
      <c r="X240" s="2131">
        <f>IF(X$221,_xll.ciqfunctions.udf.CIQ($G240, "IQ_VOLUME", X$222),"--")</f>
        <v>0</v>
      </c>
      <c r="Y240" s="2131">
        <f>IF(Y$221,_xll.ciqfunctions.udf.CIQ($G240, "IQ_VOLUME", Y$222),"--")</f>
        <v>0</v>
      </c>
      <c r="Z240" s="2131">
        <f>IF(Z$221,_xll.ciqfunctions.udf.CIQ($G240, "IQ_VOLUME", Z$222),"--")</f>
        <v>0</v>
      </c>
      <c r="AA240" s="2131">
        <f>IF(AA$221,_xll.ciqfunctions.udf.CIQ($G240, "IQ_VOLUME", AA$222),"--")</f>
        <v>0</v>
      </c>
      <c r="AB240" s="2131">
        <f>IF(AB$221,_xll.ciqfunctions.udf.CIQ($G240, "IQ_VOLUME", AB$222),"--")</f>
        <v>0</v>
      </c>
      <c r="AC240" s="2131">
        <f>IF(AC$221,_xll.ciqfunctions.udf.CIQ($G240, "IQ_VOLUME", AC$222),"--")</f>
        <v>0</v>
      </c>
      <c r="AD240" s="2131">
        <f>IF(AD$221,_xll.ciqfunctions.udf.CIQ($G240, "IQ_VOLUME", AD$222),"--")</f>
        <v>0</v>
      </c>
      <c r="AE240" s="2131">
        <f>IF(AE$221,_xll.ciqfunctions.udf.CIQ($G240, "IQ_VOLUME", AE$222),"--")</f>
        <v>0</v>
      </c>
      <c r="AF240" s="2131">
        <f>IF(AF$221,_xll.ciqfunctions.udf.CIQ($G240, "IQ_VOLUME", AF$222),"--")</f>
        <v>0</v>
      </c>
      <c r="AG240" s="2131">
        <f>IF(AG$221,_xll.ciqfunctions.udf.CIQ($G240, "IQ_VOLUME", AG$222),"--")</f>
        <v>0</v>
      </c>
      <c r="AH240" s="2131">
        <f>IF(AH$221,_xll.ciqfunctions.udf.CIQ($G240, "IQ_VOLUME", AH$222),"--")</f>
        <v>0</v>
      </c>
      <c r="AI240" s="2131">
        <f>IF(AI$221,_xll.ciqfunctions.udf.CIQ($G240, "IQ_VOLUME", AI$222),"--")</f>
        <v>0</v>
      </c>
      <c r="AJ240" s="2131">
        <f>IF(AJ$221,_xll.ciqfunctions.udf.CIQ($G240, "IQ_VOLUME", AJ$222),"--")</f>
        <v>0</v>
      </c>
      <c r="AK240" s="2131">
        <f>IF(AK$221,_xll.ciqfunctions.udf.CIQ($G240, "IQ_VOLUME", AK$222),"--")</f>
        <v>0</v>
      </c>
      <c r="AL240" s="2131">
        <f>IF(AL$221,_xll.ciqfunctions.udf.CIQ($G240, "IQ_VOLUME", AL$222),"--")</f>
        <v>0</v>
      </c>
      <c r="AM240" s="2131">
        <f>IF(AM$221,_xll.ciqfunctions.udf.CIQ($G240, "IQ_VOLUME", AM$222),"--")</f>
        <v>0</v>
      </c>
      <c r="AN240" s="2131">
        <f>IF(AN$221,_xll.ciqfunctions.udf.CIQ($G240, "IQ_VOLUME", AN$222),"--")</f>
        <v>0</v>
      </c>
      <c r="AO240" s="2131">
        <f>IF(AO$221,_xll.ciqfunctions.udf.CIQ($G240, "IQ_VOLUME", AO$222),"--")</f>
        <v>0</v>
      </c>
      <c r="AP240" s="2131">
        <f>IF(AP$221,_xll.ciqfunctions.udf.CIQ($G240, "IQ_VOLUME", AP$222),"--")</f>
        <v>0</v>
      </c>
      <c r="AQ240" s="2131">
        <f>IF(AQ$221,_xll.ciqfunctions.udf.CIQ($G240, "IQ_VOLUME", AQ$222),"--")</f>
        <v>0</v>
      </c>
      <c r="AR240" s="2131">
        <f>IF(AR$221,_xll.ciqfunctions.udf.CIQ($G240, "IQ_VOLUME", AR$222),"--")</f>
        <v>0</v>
      </c>
      <c r="AS240" s="2131">
        <f>IF(AS$221,_xll.ciqfunctions.udf.CIQ($G240, "IQ_VOLUME", AS$222),"--")</f>
        <v>0</v>
      </c>
      <c r="AT240" s="2131">
        <f>IF(AT$221,_xll.ciqfunctions.udf.CIQ($G240, "IQ_VOLUME", AT$222),"--")</f>
        <v>0</v>
      </c>
      <c r="AU240" s="2131">
        <f>IF(AU$221,_xll.ciqfunctions.udf.CIQ($G240, "IQ_VOLUME", AU$222),"--")</f>
        <v>0</v>
      </c>
      <c r="AV240" s="2131">
        <f>IF(AV$221,_xll.ciqfunctions.udf.CIQ($G240, "IQ_VOLUME", AV$222),"--")</f>
        <v>0</v>
      </c>
      <c r="AW240" s="2131">
        <f>IF(AW$221,_xll.ciqfunctions.udf.CIQ($G240, "IQ_VOLUME", AW$222),"--")</f>
        <v>0</v>
      </c>
      <c r="AX240" s="2131">
        <f>IF(AX$221,_xll.ciqfunctions.udf.CIQ($G240, "IQ_VOLUME", AX$222),"--")</f>
        <v>0</v>
      </c>
      <c r="AY240" s="2131">
        <f>IF(AY$221,_xll.ciqfunctions.udf.CIQ($G240, "IQ_VOLUME", AY$222),"--")</f>
        <v>0</v>
      </c>
      <c r="AZ240" s="2131">
        <f>IF(AZ$221,_xll.ciqfunctions.udf.CIQ($G240, "IQ_VOLUME", AZ$222),"--")</f>
        <v>0</v>
      </c>
      <c r="BA240" s="2131">
        <f>IF(BA$221,_xll.ciqfunctions.udf.CIQ($G240, "IQ_VOLUME", BA$222),"--")</f>
        <v>0</v>
      </c>
      <c r="BB240" s="2131">
        <f>IF(BB$221,_xll.ciqfunctions.udf.CIQ($G240, "IQ_VOLUME", BB$222),"--")</f>
        <v>0</v>
      </c>
      <c r="BC240" s="2131">
        <f>IF(BC$221,_xll.ciqfunctions.udf.CIQ($G240, "IQ_VOLUME", BC$222),"--")</f>
        <v>0</v>
      </c>
      <c r="BD240" s="2131">
        <f>IF(BD$221,_xll.ciqfunctions.udf.CIQ($G240, "IQ_VOLUME", BD$222),"--")</f>
        <v>0</v>
      </c>
      <c r="BE240" s="2131">
        <f>IF(BE$221,_xll.ciqfunctions.udf.CIQ($G240, "IQ_VOLUME", BE$222),"--")</f>
        <v>0</v>
      </c>
      <c r="BF240" s="2131">
        <f>IF(BF$221,_xll.ciqfunctions.udf.CIQ($G240, "IQ_VOLUME", BF$222),"--")</f>
        <v>0</v>
      </c>
      <c r="BG240" s="2131">
        <f>IF(BG$221,_xll.ciqfunctions.udf.CIQ($G240, "IQ_VOLUME", BG$222),"--")</f>
        <v>0</v>
      </c>
      <c r="BH240" s="2131">
        <f>IF(BH$221,_xll.ciqfunctions.udf.CIQ($G240, "IQ_VOLUME", BH$222),"--")</f>
        <v>0</v>
      </c>
      <c r="BI240" s="2131">
        <f>IF(BI$221,_xll.ciqfunctions.udf.CIQ($G240, "IQ_VOLUME", BI$222),"--")</f>
        <v>0</v>
      </c>
      <c r="BJ240" s="2131">
        <f>IF(BJ$221,_xll.ciqfunctions.udf.CIQ($G240, "IQ_VOLUME", BJ$222),"--")</f>
        <v>0</v>
      </c>
      <c r="BK240" s="2131">
        <f>IF(BK$221,_xll.ciqfunctions.udf.CIQ($G240, "IQ_VOLUME", BK$222),"--")</f>
        <v>0</v>
      </c>
      <c r="BL240" s="2131">
        <f>IF(BL$221,_xll.ciqfunctions.udf.CIQ($G240, "IQ_VOLUME", BL$222),"--")</f>
        <v>0</v>
      </c>
      <c r="BM240" s="2131">
        <f>IF(BM$221,_xll.ciqfunctions.udf.CIQ($G240, "IQ_VOLUME", BM$222),"--")</f>
        <v>0</v>
      </c>
      <c r="BN240" s="2131">
        <f>IF(BN$221,_xll.ciqfunctions.udf.CIQ($G240, "IQ_VOLUME", BN$222),"--")</f>
        <v>0</v>
      </c>
      <c r="BO240" s="2131">
        <f>IF(BO$221,_xll.ciqfunctions.udf.CIQ($G240, "IQ_VOLUME", BO$222),"--")</f>
        <v>0</v>
      </c>
      <c r="BP240" s="2131">
        <f>IF(BP$221,_xll.ciqfunctions.udf.CIQ($G240, "IQ_VOLUME", BP$222),"--")</f>
        <v>0</v>
      </c>
      <c r="BQ240" s="2131">
        <f>IF(BQ$221,_xll.ciqfunctions.udf.CIQ($G240, "IQ_VOLUME", BQ$222),"--")</f>
        <v>0</v>
      </c>
      <c r="BR240" s="2131">
        <f>IF(BR$221,_xll.ciqfunctions.udf.CIQ($G240, "IQ_VOLUME", BR$222),"--")</f>
        <v>0</v>
      </c>
      <c r="BS240" s="2131">
        <f>IF(BS$221,_xll.ciqfunctions.udf.CIQ($G240, "IQ_VOLUME", BS$222),"--")</f>
        <v>0</v>
      </c>
      <c r="BT240" s="2131">
        <f>IF(BT$221,_xll.ciqfunctions.udf.CIQ($G240, "IQ_VOLUME", BT$222),"--")</f>
        <v>0</v>
      </c>
      <c r="BU240" s="2131">
        <f>IF(BU$221,_xll.ciqfunctions.udf.CIQ($G240, "IQ_VOLUME", BU$222),"--")</f>
        <v>0</v>
      </c>
      <c r="BV240" s="2131">
        <f>IF(BV$221,_xll.ciqfunctions.udf.CIQ($G240, "IQ_VOLUME", BV$222),"--")</f>
        <v>0</v>
      </c>
      <c r="BW240" s="2131">
        <f>IF(BW$221,_xll.ciqfunctions.udf.CIQ($G240, "IQ_VOLUME", BW$222),"--")</f>
        <v>0</v>
      </c>
      <c r="BX240" s="2131">
        <f>IF(BX$221,_xll.ciqfunctions.udf.CIQ($G240, "IQ_VOLUME", BX$222),"--")</f>
        <v>0</v>
      </c>
      <c r="BY240" s="2131">
        <f>IF(BY$221,_xll.ciqfunctions.udf.CIQ($G240, "IQ_VOLUME", BY$222),"--")</f>
        <v>0</v>
      </c>
      <c r="BZ240" s="2131">
        <f>IF(BZ$221,_xll.ciqfunctions.udf.CIQ($G240, "IQ_VOLUME", BZ$222),"--")</f>
        <v>0</v>
      </c>
      <c r="CA240" s="2131">
        <f>IF(CA$221,_xll.ciqfunctions.udf.CIQ($G240, "IQ_VOLUME", CA$222),"--")</f>
        <v>0</v>
      </c>
      <c r="CB240" s="2131">
        <f>IF(CB$221,_xll.ciqfunctions.udf.CIQ($G240, "IQ_VOLUME", CB$222),"--")</f>
        <v>0</v>
      </c>
      <c r="CC240" s="2131">
        <f>IF(CC$221,_xll.ciqfunctions.udf.CIQ($G240, "IQ_VOLUME", CC$222),"--")</f>
        <v>0</v>
      </c>
      <c r="CD240" s="2131">
        <f>IF(CD$221,_xll.ciqfunctions.udf.CIQ($G240, "IQ_VOLUME", CD$222),"--")</f>
        <v>0</v>
      </c>
      <c r="CE240" s="2131">
        <f>IF(CE$221,_xll.ciqfunctions.udf.CIQ($G240, "IQ_VOLUME", CE$222),"--")</f>
        <v>0</v>
      </c>
      <c r="CF240" s="2131">
        <f>IF(CF$221,_xll.ciqfunctions.udf.CIQ($G240, "IQ_VOLUME", CF$222),"--")</f>
        <v>0</v>
      </c>
      <c r="CG240" s="2131">
        <f>IF(CG$221,_xll.ciqfunctions.udf.CIQ($G240, "IQ_VOLUME", CG$222),"--")</f>
        <v>0</v>
      </c>
      <c r="CH240" s="2131">
        <f>IF(CH$221,_xll.ciqfunctions.udf.CIQ($G240, "IQ_VOLUME", CH$222),"--")</f>
        <v>0</v>
      </c>
      <c r="CI240" s="2131">
        <f>IF(CI$221,_xll.ciqfunctions.udf.CIQ($G240, "IQ_VOLUME", CI$222),"--")</f>
        <v>0</v>
      </c>
      <c r="CJ240" s="2131">
        <f>IF(CJ$221,_xll.ciqfunctions.udf.CIQ($G240, "IQ_VOLUME", CJ$222),"--")</f>
        <v>0</v>
      </c>
      <c r="CK240" s="2131">
        <f>IF(CK$221,_xll.ciqfunctions.udf.CIQ($G240, "IQ_VOLUME", CK$222),"--")</f>
        <v>0</v>
      </c>
      <c r="CL240" s="2131">
        <f>IF(CL$221,_xll.ciqfunctions.udf.CIQ($G240, "IQ_VOLUME", CL$222),"--")</f>
        <v>0</v>
      </c>
      <c r="CM240" s="2131">
        <f>IF(CM$221,_xll.ciqfunctions.udf.CIQ($G240, "IQ_VOLUME", CM$222),"--")</f>
        <v>0</v>
      </c>
      <c r="CN240" s="2131">
        <f>IF(CN$221,_xll.ciqfunctions.udf.CIQ($G240, "IQ_VOLUME", CN$222),"--")</f>
        <v>0</v>
      </c>
      <c r="CO240" s="2131">
        <f>IF(CO$221,_xll.ciqfunctions.udf.CIQ($G240, "IQ_VOLUME", CO$222),"--")</f>
        <v>0</v>
      </c>
      <c r="CP240" s="2131">
        <f>IF(CP$221,_xll.ciqfunctions.udf.CIQ($G240, "IQ_VOLUME", CP$222),"--")</f>
        <v>0</v>
      </c>
      <c r="CQ240" s="2131">
        <f>IF(CQ$221,_xll.ciqfunctions.udf.CIQ($G240, "IQ_VOLUME", CQ$222),"--")</f>
        <v>0</v>
      </c>
      <c r="CR240" s="2131">
        <f>IF(CR$221,_xll.ciqfunctions.udf.CIQ($G240, "IQ_VOLUME", CR$222),"--")</f>
        <v>0</v>
      </c>
      <c r="CS240" s="2131">
        <f>IF(CS$221,_xll.ciqfunctions.udf.CIQ($G240, "IQ_VOLUME", CS$222),"--")</f>
        <v>0</v>
      </c>
      <c r="CT240" s="2131">
        <f>IF(CT$221,_xll.ciqfunctions.udf.CIQ($G240, "IQ_VOLUME", CT$222),"--")</f>
        <v>0</v>
      </c>
      <c r="CU240" s="2131">
        <f>IF(CU$221,_xll.ciqfunctions.udf.CIQ($G240, "IQ_VOLUME", CU$222),"--")</f>
        <v>0</v>
      </c>
      <c r="CV240" s="2131">
        <f>IF(CV$221,_xll.ciqfunctions.udf.CIQ($G240, "IQ_VOLUME", CV$222),"--")</f>
        <v>0</v>
      </c>
      <c r="CW240" s="2131">
        <f>IF(CW$221,_xll.ciqfunctions.udf.CIQ($G240, "IQ_VOLUME", CW$222),"--")</f>
        <v>0</v>
      </c>
      <c r="CX240" s="2131">
        <f>IF(CX$221,_xll.ciqfunctions.udf.CIQ($G240, "IQ_VOLUME", CX$222),"--")</f>
        <v>0</v>
      </c>
      <c r="CY240" s="2131">
        <f>IF(CY$221,_xll.ciqfunctions.udf.CIQ($G240, "IQ_VOLUME", CY$222),"--")</f>
        <v>0</v>
      </c>
      <c r="CZ240" s="2131">
        <f>IF(CZ$221,_xll.ciqfunctions.udf.CIQ($G240, "IQ_VOLUME", CZ$222),"--")</f>
        <v>0</v>
      </c>
      <c r="DA240" s="2131">
        <f>IF(DA$221,_xll.ciqfunctions.udf.CIQ($G240, "IQ_VOLUME", DA$222),"--")</f>
        <v>0</v>
      </c>
      <c r="DB240" s="2131">
        <f>IF(DB$221,_xll.ciqfunctions.udf.CIQ($G240, "IQ_VOLUME", DB$222),"--")</f>
        <v>0</v>
      </c>
      <c r="DC240" s="2131">
        <f>IF(DC$221,_xll.ciqfunctions.udf.CIQ($G240, "IQ_VOLUME", DC$222),"--")</f>
        <v>0</v>
      </c>
      <c r="DD240" s="2131">
        <f>IF(DD$221,_xll.ciqfunctions.udf.CIQ($G240, "IQ_VOLUME", DD$222),"--")</f>
        <v>0</v>
      </c>
      <c r="DE240" s="2131">
        <f>IF(DE$221,_xll.ciqfunctions.udf.CIQ($G240, "IQ_VOLUME", DE$222),"--")</f>
        <v>0</v>
      </c>
      <c r="DF240" s="2131">
        <f>IF(DF$221,_xll.ciqfunctions.udf.CIQ($G240, "IQ_VOLUME", DF$222),"--")</f>
        <v>0</v>
      </c>
      <c r="DG240" s="2131">
        <f>IF(DG$221,_xll.ciqfunctions.udf.CIQ($G240, "IQ_VOLUME", DG$222),"--")</f>
        <v>0</v>
      </c>
      <c r="DH240" s="2131">
        <f>IF(DH$221,_xll.ciqfunctions.udf.CIQ($G240, "IQ_VOLUME", DH$222),"--")</f>
        <v>0</v>
      </c>
      <c r="DI240" s="2131">
        <f>IF(DI$221,_xll.ciqfunctions.udf.CIQ($G240, "IQ_VOLUME", DI$222),"--")</f>
        <v>0</v>
      </c>
      <c r="DJ240" s="2131">
        <f>IF(DJ$221,_xll.ciqfunctions.udf.CIQ($G240, "IQ_VOLUME", DJ$222),"--")</f>
        <v>0</v>
      </c>
      <c r="DK240" s="2131">
        <f>IF(DK$221,_xll.ciqfunctions.udf.CIQ($G240, "IQ_VOLUME", DK$222),"--")</f>
        <v>0</v>
      </c>
      <c r="DL240" s="2131">
        <f>IF(DL$221,_xll.ciqfunctions.udf.CIQ($G240, "IQ_VOLUME", DL$222),"--")</f>
        <v>0</v>
      </c>
      <c r="DM240" s="2131">
        <f>IF(DM$221,_xll.ciqfunctions.udf.CIQ($G240, "IQ_VOLUME", DM$222),"--")</f>
        <v>0</v>
      </c>
      <c r="DN240" s="2131">
        <f>IF(DN$221,_xll.ciqfunctions.udf.CIQ($G240, "IQ_VOLUME", DN$222),"--")</f>
        <v>0</v>
      </c>
      <c r="DO240" s="2131">
        <f>IF(DO$221,_xll.ciqfunctions.udf.CIQ($G240, "IQ_VOLUME", DO$222),"--")</f>
        <v>0</v>
      </c>
      <c r="DP240" s="2131">
        <f>IF(DP$221,_xll.ciqfunctions.udf.CIQ($G240, "IQ_VOLUME", DP$222),"--")</f>
        <v>0</v>
      </c>
      <c r="DQ240" s="2131">
        <f>IF(DQ$221,_xll.ciqfunctions.udf.CIQ($G240, "IQ_VOLUME", DQ$222),"--")</f>
        <v>0</v>
      </c>
      <c r="DR240" s="2131">
        <f>IF(DR$221,_xll.ciqfunctions.udf.CIQ($G240, "IQ_VOLUME", DR$222),"--")</f>
        <v>0</v>
      </c>
      <c r="DS240" s="2131">
        <f>IF(DS$221,_xll.ciqfunctions.udf.CIQ($G240, "IQ_VOLUME", DS$222),"--")</f>
        <v>0</v>
      </c>
      <c r="DT240" s="2131">
        <f>IF(DT$221,_xll.ciqfunctions.udf.CIQ($G240, "IQ_VOLUME", DT$222),"--")</f>
        <v>0</v>
      </c>
      <c r="DU240" s="2131">
        <f>IF(DU$221,_xll.ciqfunctions.udf.CIQ($G240, "IQ_VOLUME", DU$222),"--")</f>
        <v>0</v>
      </c>
      <c r="DV240" s="2131">
        <f>IF(DV$221,_xll.ciqfunctions.udf.CIQ($G240, "IQ_VOLUME", DV$222),"--")</f>
        <v>0</v>
      </c>
      <c r="DW240" s="2131">
        <f>IF(DW$221,_xll.ciqfunctions.udf.CIQ($G240, "IQ_VOLUME", DW$222),"--")</f>
        <v>0</v>
      </c>
      <c r="DX240" s="2131">
        <f>IF(DX$221,_xll.ciqfunctions.udf.CIQ($G240, "IQ_VOLUME", DX$222),"--")</f>
        <v>0</v>
      </c>
      <c r="DY240" s="2131">
        <f>IF(DY$221,_xll.ciqfunctions.udf.CIQ($G240, "IQ_VOLUME", DY$222),"--")</f>
        <v>0</v>
      </c>
      <c r="DZ240" s="2131">
        <f>IF(DZ$221,_xll.ciqfunctions.udf.CIQ($G240, "IQ_VOLUME", DZ$222),"--")</f>
        <v>0</v>
      </c>
      <c r="EA240" s="2131">
        <f>IF(EA$221,_xll.ciqfunctions.udf.CIQ($G240, "IQ_VOLUME", EA$222),"--")</f>
        <v>0</v>
      </c>
      <c r="EB240" s="2131">
        <f>IF(EB$221,_xll.ciqfunctions.udf.CIQ($G240, "IQ_VOLUME", EB$222),"--")</f>
        <v>0</v>
      </c>
      <c r="EC240" s="2131">
        <f>IF(EC$221,_xll.ciqfunctions.udf.CIQ($G240, "IQ_VOLUME", EC$222),"--")</f>
        <v>0</v>
      </c>
      <c r="ED240" s="2131">
        <f>IF(ED$221,_xll.ciqfunctions.udf.CIQ($G240, "IQ_VOLUME", ED$222),"--")</f>
        <v>0</v>
      </c>
      <c r="EE240" s="2131">
        <f>IF(EE$221,_xll.ciqfunctions.udf.CIQ($G240, "IQ_VOLUME", EE$222),"--")</f>
        <v>0</v>
      </c>
      <c r="EF240" s="2131">
        <f>IF(EF$221,_xll.ciqfunctions.udf.CIQ($G240, "IQ_VOLUME", EF$222),"--")</f>
        <v>0</v>
      </c>
      <c r="EG240" s="2131">
        <f>IF(EG$221,_xll.ciqfunctions.udf.CIQ($G240, "IQ_VOLUME", EG$222),"--")</f>
        <v>0</v>
      </c>
      <c r="EH240" s="2131">
        <f>IF(EH$221,_xll.ciqfunctions.udf.CIQ($G240, "IQ_VOLUME", EH$222),"--")</f>
        <v>0</v>
      </c>
      <c r="EI240" s="2131">
        <f>IF(EI$221,_xll.ciqfunctions.udf.CIQ($G240, "IQ_VOLUME", EI$222),"--")</f>
        <v>0</v>
      </c>
      <c r="EJ240" s="2131">
        <f>IF(EJ$221,_xll.ciqfunctions.udf.CIQ($G240, "IQ_VOLUME", EJ$222),"--")</f>
        <v>0</v>
      </c>
      <c r="EK240" s="2131">
        <f>IF(EK$221,_xll.ciqfunctions.udf.CIQ($G240, "IQ_VOLUME", EK$222),"--")</f>
        <v>0</v>
      </c>
      <c r="EL240" s="2131">
        <f>IF(EL$221,_xll.ciqfunctions.udf.CIQ($G240, "IQ_VOLUME", EL$222),"--")</f>
        <v>0</v>
      </c>
      <c r="EM240" s="2131">
        <f>IF(EM$221,_xll.ciqfunctions.udf.CIQ($G240, "IQ_VOLUME", EM$222),"--")</f>
        <v>0</v>
      </c>
      <c r="EN240" s="2131">
        <f>IF(EN$221,_xll.ciqfunctions.udf.CIQ($G240, "IQ_VOLUME", EN$222),"--")</f>
        <v>0</v>
      </c>
      <c r="EO240" s="2131">
        <f>IF(EO$221,_xll.ciqfunctions.udf.CIQ($G240, "IQ_VOLUME", EO$222),"--")</f>
        <v>0</v>
      </c>
      <c r="EP240" s="2131">
        <f>IF(EP$221,_xll.ciqfunctions.udf.CIQ($G240, "IQ_VOLUME", EP$222),"--")</f>
        <v>0</v>
      </c>
      <c r="EQ240" s="2131">
        <f>IF(EQ$221,_xll.ciqfunctions.udf.CIQ($G240, "IQ_VOLUME", EQ$222),"--")</f>
        <v>0</v>
      </c>
      <c r="ER240" s="2131">
        <f>IF(ER$221,_xll.ciqfunctions.udf.CIQ($G240, "IQ_VOLUME", ER$222),"--")</f>
        <v>0</v>
      </c>
      <c r="ES240" s="2131">
        <f>IF(ES$221,_xll.ciqfunctions.udf.CIQ($G240, "IQ_VOLUME", ES$222),"--")</f>
        <v>0</v>
      </c>
      <c r="ET240" s="2131">
        <f>IF(ET$221,_xll.ciqfunctions.udf.CIQ($G240, "IQ_VOLUME", ET$222),"--")</f>
        <v>0</v>
      </c>
      <c r="EU240" s="2131">
        <f>IF(EU$221,_xll.ciqfunctions.udf.CIQ($G240, "IQ_VOLUME", EU$222),"--")</f>
        <v>0</v>
      </c>
      <c r="EV240" s="2131">
        <f>IF(EV$221,_xll.ciqfunctions.udf.CIQ($G240, "IQ_VOLUME", EV$222),"--")</f>
        <v>0</v>
      </c>
      <c r="EW240" s="2131">
        <f>IF(EW$221,_xll.ciqfunctions.udf.CIQ($G240, "IQ_VOLUME", EW$222),"--")</f>
        <v>0</v>
      </c>
      <c r="EX240" s="2131">
        <f>IF(EX$221,_xll.ciqfunctions.udf.CIQ($G240, "IQ_VOLUME", EX$222),"--")</f>
        <v>0</v>
      </c>
      <c r="EY240" s="2131">
        <f>IF(EY$221,_xll.ciqfunctions.udf.CIQ($G240, "IQ_VOLUME", EY$222),"--")</f>
        <v>0</v>
      </c>
      <c r="EZ240" s="2131">
        <f>IF(EZ$221,_xll.ciqfunctions.udf.CIQ($G240, "IQ_VOLUME", EZ$222),"--")</f>
        <v>0</v>
      </c>
      <c r="FA240" s="2131">
        <f>IF(FA$221,_xll.ciqfunctions.udf.CIQ($G240, "IQ_VOLUME", FA$222),"--")</f>
        <v>0</v>
      </c>
      <c r="FB240" s="2131">
        <f>IF(FB$221,_xll.ciqfunctions.udf.CIQ($G240, "IQ_VOLUME", FB$222),"--")</f>
        <v>0</v>
      </c>
      <c r="FC240" s="2131">
        <f>IF(FC$221,_xll.ciqfunctions.udf.CIQ($G240, "IQ_VOLUME", FC$222),"--")</f>
        <v>0</v>
      </c>
      <c r="FD240" s="2131">
        <f>IF(FD$221,_xll.ciqfunctions.udf.CIQ($G240, "IQ_VOLUME", FD$222),"--")</f>
        <v>0</v>
      </c>
      <c r="FE240" s="2131">
        <f>IF(FE$221,_xll.ciqfunctions.udf.CIQ($G240, "IQ_VOLUME", FE$222),"--")</f>
        <v>0</v>
      </c>
      <c r="FF240" s="2131">
        <f>IF(FF$221,_xll.ciqfunctions.udf.CIQ($G240, "IQ_VOLUME", FF$222),"--")</f>
        <v>0</v>
      </c>
      <c r="FG240" s="2131">
        <f>IF(FG$221,_xll.ciqfunctions.udf.CIQ($G240, "IQ_VOLUME", FG$222),"--")</f>
        <v>0</v>
      </c>
      <c r="FH240" s="2131">
        <f>IF(FH$221,_xll.ciqfunctions.udf.CIQ($G240, "IQ_VOLUME", FH$222),"--")</f>
        <v>0</v>
      </c>
      <c r="FI240" s="2131">
        <f>IF(FI$221,_xll.ciqfunctions.udf.CIQ($G240, "IQ_VOLUME", FI$222),"--")</f>
        <v>0</v>
      </c>
      <c r="FJ240" s="2131">
        <f>IF(FJ$221,_xll.ciqfunctions.udf.CIQ($G240, "IQ_VOLUME", FJ$222),"--")</f>
        <v>0</v>
      </c>
      <c r="FK240" s="2131">
        <f>IF(FK$221,_xll.ciqfunctions.udf.CIQ($G240, "IQ_VOLUME", FK$222),"--")</f>
        <v>0</v>
      </c>
      <c r="FL240" s="2131">
        <f>IF(FL$221,_xll.ciqfunctions.udf.CIQ($G240, "IQ_VOLUME", FL$222),"--")</f>
        <v>0</v>
      </c>
      <c r="FM240" s="2131">
        <f>IF(FM$221,_xll.ciqfunctions.udf.CIQ($G240, "IQ_VOLUME", FM$222),"--")</f>
        <v>0</v>
      </c>
      <c r="FN240" s="2131">
        <f>IF(FN$221,_xll.ciqfunctions.udf.CIQ($G240, "IQ_VOLUME", FN$222),"--")</f>
        <v>0</v>
      </c>
      <c r="FO240" s="2131">
        <f>IF(FO$221,_xll.ciqfunctions.udf.CIQ($G240, "IQ_VOLUME", FO$222),"--")</f>
        <v>0</v>
      </c>
      <c r="FP240" s="2131">
        <f>IF(FP$221,_xll.ciqfunctions.udf.CIQ($G240, "IQ_VOLUME", FP$222),"--")</f>
        <v>0</v>
      </c>
      <c r="FQ240" s="2131">
        <f>IF(FQ$221,_xll.ciqfunctions.udf.CIQ($G240, "IQ_VOLUME", FQ$222),"--")</f>
        <v>0</v>
      </c>
      <c r="FR240" s="2131">
        <f>IF(FR$221,_xll.ciqfunctions.udf.CIQ($G240, "IQ_VOLUME", FR$222),"--")</f>
        <v>0</v>
      </c>
      <c r="FS240" s="2131">
        <f>IF(FS$221,_xll.ciqfunctions.udf.CIQ($G240, "IQ_VOLUME", FS$222),"--")</f>
        <v>0</v>
      </c>
      <c r="FT240" s="2131">
        <f>IF(FT$221,_xll.ciqfunctions.udf.CIQ($G240, "IQ_VOLUME", FT$222),"--")</f>
        <v>0</v>
      </c>
      <c r="FU240" s="2131">
        <f>IF(FU$221,_xll.ciqfunctions.udf.CIQ($G240, "IQ_VOLUME", FU$222),"--")</f>
        <v>0</v>
      </c>
      <c r="FV240" s="2131">
        <f>IF(FV$221,_xll.ciqfunctions.udf.CIQ($G240, "IQ_VOLUME", FV$222),"--")</f>
        <v>0</v>
      </c>
      <c r="FW240" s="2131">
        <f>IF(FW$221,_xll.ciqfunctions.udf.CIQ($G240, "IQ_VOLUME", FW$222),"--")</f>
        <v>0</v>
      </c>
      <c r="FX240" s="2131">
        <f>IF(FX$221,_xll.ciqfunctions.udf.CIQ($G240, "IQ_VOLUME", FX$222),"--")</f>
        <v>0</v>
      </c>
      <c r="FY240" s="2131">
        <f>IF(FY$221,_xll.ciqfunctions.udf.CIQ($G240, "IQ_VOLUME", FY$222),"--")</f>
        <v>0</v>
      </c>
      <c r="FZ240" s="2131">
        <f>IF(FZ$221,_xll.ciqfunctions.udf.CIQ($G240, "IQ_VOLUME", FZ$222),"--")</f>
        <v>0</v>
      </c>
      <c r="GA240" s="2131">
        <f>IF(GA$221,_xll.ciqfunctions.udf.CIQ($G240, "IQ_VOLUME", GA$222),"--")</f>
        <v>0</v>
      </c>
      <c r="GB240" s="2131">
        <f>IF(GB$221,_xll.ciqfunctions.udf.CIQ($G240, "IQ_VOLUME", GB$222),"--")</f>
        <v>0</v>
      </c>
      <c r="GC240" s="2131">
        <f>IF(GC$221,_xll.ciqfunctions.udf.CIQ($G240, "IQ_VOLUME", GC$222),"--")</f>
        <v>0</v>
      </c>
      <c r="GD240" s="2131">
        <f>IF(GD$221,_xll.ciqfunctions.udf.CIQ($G240, "IQ_VOLUME", GD$222),"--")</f>
        <v>0</v>
      </c>
      <c r="GE240" s="2131">
        <f>IF(GE$221,_xll.ciqfunctions.udf.CIQ($G240, "IQ_VOLUME", GE$222),"--")</f>
        <v>0</v>
      </c>
      <c r="GF240" s="2131">
        <f>IF(GF$221,_xll.ciqfunctions.udf.CIQ($G240, "IQ_VOLUME", GF$222),"--")</f>
        <v>0</v>
      </c>
      <c r="GG240" s="2131">
        <f>IF(GG$221,_xll.ciqfunctions.udf.CIQ($G240, "IQ_VOLUME", GG$222),"--")</f>
        <v>0</v>
      </c>
      <c r="GH240" s="2131">
        <f>IF(GH$221,_xll.ciqfunctions.udf.CIQ($G240, "IQ_VOLUME", GH$222),"--")</f>
        <v>0</v>
      </c>
      <c r="GI240" s="2131">
        <f>IF(GI$221,_xll.ciqfunctions.udf.CIQ($G240, "IQ_VOLUME", GI$222),"--")</f>
        <v>0</v>
      </c>
      <c r="GJ240" s="2131">
        <f>IF(GJ$221,_xll.ciqfunctions.udf.CIQ($G240, "IQ_VOLUME", GJ$222),"--")</f>
        <v>0</v>
      </c>
      <c r="GK240" s="2131">
        <f>IF(GK$221,_xll.ciqfunctions.udf.CIQ($G240, "IQ_VOLUME", GK$222),"--")</f>
        <v>0</v>
      </c>
      <c r="GL240" s="2131">
        <f>IF(GL$221,_xll.ciqfunctions.udf.CIQ($G240, "IQ_VOLUME", GL$222),"--")</f>
        <v>0</v>
      </c>
      <c r="GM240" s="2131">
        <f>IF(GM$221,_xll.ciqfunctions.udf.CIQ($G240, "IQ_VOLUME", GM$222),"--")</f>
        <v>0</v>
      </c>
      <c r="GN240" s="2131">
        <f>IF(GN$221,_xll.ciqfunctions.udf.CIQ($G240, "IQ_VOLUME", GN$222),"--")</f>
        <v>0</v>
      </c>
      <c r="GO240" s="2131">
        <f>IF(GO$221,_xll.ciqfunctions.udf.CIQ($G240, "IQ_VOLUME", GO$222),"--")</f>
        <v>0</v>
      </c>
      <c r="GP240" s="2131">
        <f>IF(GP$221,_xll.ciqfunctions.udf.CIQ($G240, "IQ_VOLUME", GP$222),"--")</f>
        <v>0</v>
      </c>
      <c r="GQ240" s="2131">
        <f>IF(GQ$221,_xll.ciqfunctions.udf.CIQ($G240, "IQ_VOLUME", GQ$222),"--")</f>
        <v>0</v>
      </c>
      <c r="GR240" s="2131">
        <f>IF(GR$221,_xll.ciqfunctions.udf.CIQ($G240, "IQ_VOLUME", GR$222),"--")</f>
        <v>0</v>
      </c>
      <c r="GS240" s="2131">
        <f>IF(GS$221,_xll.ciqfunctions.udf.CIQ($G240, "IQ_VOLUME", GS$222),"--")</f>
        <v>0</v>
      </c>
      <c r="GT240" s="2131">
        <f>IF(GT$221,_xll.ciqfunctions.udf.CIQ($G240, "IQ_VOLUME", GT$222),"--")</f>
        <v>0</v>
      </c>
      <c r="GU240" s="2131">
        <f>IF(GU$221,_xll.ciqfunctions.udf.CIQ($G240, "IQ_VOLUME", GU$222),"--")</f>
        <v>0</v>
      </c>
      <c r="GV240" s="2131">
        <f>IF(GV$221,_xll.ciqfunctions.udf.CIQ($G240, "IQ_VOLUME", GV$222),"--")</f>
        <v>0</v>
      </c>
      <c r="GW240" s="2131">
        <f>IF(GW$221,_xll.ciqfunctions.udf.CIQ($G240, "IQ_VOLUME", GW$222),"--")</f>
        <v>0</v>
      </c>
      <c r="GX240" s="2131">
        <f>IF(GX$221,_xll.ciqfunctions.udf.CIQ($G240, "IQ_VOLUME", GX$222),"--")</f>
        <v>0</v>
      </c>
      <c r="GY240" s="2131">
        <f>IF(GY$221,_xll.ciqfunctions.udf.CIQ($G240, "IQ_VOLUME", GY$222),"--")</f>
        <v>0</v>
      </c>
      <c r="GZ240" s="2131">
        <f>IF(GZ$221,_xll.ciqfunctions.udf.CIQ($G240, "IQ_VOLUME", GZ$222),"--")</f>
        <v>0</v>
      </c>
      <c r="HA240" s="2131">
        <f>IF(HA$221,_xll.ciqfunctions.udf.CIQ($G240, "IQ_VOLUME", HA$222),"--")</f>
        <v>0</v>
      </c>
      <c r="HB240" s="2131">
        <f>IF(HB$221,_xll.ciqfunctions.udf.CIQ($G240, "IQ_VOLUME", HB$222),"--")</f>
        <v>0</v>
      </c>
      <c r="HC240" s="2131">
        <f>IF(HC$221,_xll.ciqfunctions.udf.CIQ($G240, "IQ_VOLUME", HC$222),"--")</f>
        <v>0</v>
      </c>
      <c r="HD240" s="2131">
        <f>IF(HD$221,_xll.ciqfunctions.udf.CIQ($G240, "IQ_VOLUME", HD$222),"--")</f>
        <v>0</v>
      </c>
      <c r="HE240" s="2131">
        <f>IF(HE$221,_xll.ciqfunctions.udf.CIQ($G240, "IQ_VOLUME", HE$222),"--")</f>
        <v>0</v>
      </c>
      <c r="HF240" s="2131">
        <f>IF(HF$221,_xll.ciqfunctions.udf.CIQ($G240, "IQ_VOLUME", HF$222),"--")</f>
        <v>0</v>
      </c>
      <c r="HG240" s="2131">
        <f>IF(HG$221,_xll.ciqfunctions.udf.CIQ($G240, "IQ_VOLUME", HG$222),"--")</f>
        <v>0</v>
      </c>
      <c r="HH240" s="2131">
        <f>IF(HH$221,_xll.ciqfunctions.udf.CIQ($G240, "IQ_VOLUME", HH$222),"--")</f>
        <v>0</v>
      </c>
      <c r="HI240" s="2131">
        <f>IF(HI$221,_xll.ciqfunctions.udf.CIQ($G240, "IQ_VOLUME", HI$222),"--")</f>
        <v>0</v>
      </c>
      <c r="HJ240" s="2131">
        <f>IF(HJ$221,_xll.ciqfunctions.udf.CIQ($G240, "IQ_VOLUME", HJ$222),"--")</f>
        <v>0</v>
      </c>
      <c r="HK240" s="2131">
        <f>IF(HK$221,_xll.ciqfunctions.udf.CIQ($G240, "IQ_VOLUME", HK$222),"--")</f>
        <v>0</v>
      </c>
      <c r="HL240" s="2131">
        <f>IF(HL$221,_xll.ciqfunctions.udf.CIQ($G240, "IQ_VOLUME", HL$222),"--")</f>
        <v>0</v>
      </c>
      <c r="HM240" s="2131">
        <f>IF(HM$221,_xll.ciqfunctions.udf.CIQ($G240, "IQ_VOLUME", HM$222),"--")</f>
        <v>0</v>
      </c>
      <c r="HN240" s="2131">
        <f>IF(HN$221,_xll.ciqfunctions.udf.CIQ($G240, "IQ_VOLUME", HN$222),"--")</f>
        <v>0</v>
      </c>
      <c r="HO240" s="2131">
        <f>IF(HO$221,_xll.ciqfunctions.udf.CIQ($G240, "IQ_VOLUME", HO$222),"--")</f>
        <v>0</v>
      </c>
      <c r="HP240" s="2131">
        <f>IF(HP$221,_xll.ciqfunctions.udf.CIQ($G240, "IQ_VOLUME", HP$222),"--")</f>
        <v>0</v>
      </c>
      <c r="HQ240" s="2131">
        <f>IF(HQ$221,_xll.ciqfunctions.udf.CIQ($G240, "IQ_VOLUME", HQ$222),"--")</f>
        <v>0</v>
      </c>
      <c r="HR240" s="2131">
        <f>IF(HR$221,_xll.ciqfunctions.udf.CIQ($G240, "IQ_VOLUME", HR$222),"--")</f>
        <v>0</v>
      </c>
      <c r="HS240" s="2131">
        <f>IF(HS$221,_xll.ciqfunctions.udf.CIQ($G240, "IQ_VOLUME", HS$222),"--")</f>
        <v>0</v>
      </c>
      <c r="HT240" s="2131">
        <f>IF(HT$221,_xll.ciqfunctions.udf.CIQ($G240, "IQ_VOLUME", HT$222),"--")</f>
        <v>0</v>
      </c>
      <c r="HU240" s="2131">
        <f>IF(HU$221,_xll.ciqfunctions.udf.CIQ($G240, "IQ_VOLUME", HU$222),"--")</f>
        <v>0</v>
      </c>
      <c r="HV240" s="2131">
        <f>IF(HV$221,_xll.ciqfunctions.udf.CIQ($G240, "IQ_VOLUME", HV$222),"--")</f>
        <v>0</v>
      </c>
      <c r="HW240" s="2131">
        <f>IF(HW$221,_xll.ciqfunctions.udf.CIQ($G240, "IQ_VOLUME", HW$222),"--")</f>
        <v>0</v>
      </c>
      <c r="HX240" s="2131">
        <f>IF(HX$221,_xll.ciqfunctions.udf.CIQ($G240, "IQ_VOLUME", HX$222),"--")</f>
        <v>0</v>
      </c>
      <c r="HY240" s="2131">
        <f>IF(HY$221,_xll.ciqfunctions.udf.CIQ($G240, "IQ_VOLUME", HY$222),"--")</f>
        <v>0</v>
      </c>
      <c r="HZ240" s="2131">
        <f>IF(HZ$221,_xll.ciqfunctions.udf.CIQ($G240, "IQ_VOLUME", HZ$222),"--")</f>
        <v>0</v>
      </c>
      <c r="IA240" s="2131">
        <f>IF(IA$221,_xll.ciqfunctions.udf.CIQ($G240, "IQ_VOLUME", IA$222),"--")</f>
        <v>0</v>
      </c>
      <c r="IB240" s="2131">
        <f>IF(IB$221,_xll.ciqfunctions.udf.CIQ($G240, "IQ_VOLUME", IB$222),"--")</f>
        <v>0</v>
      </c>
      <c r="IC240" s="2131">
        <f>IF(IC$221,_xll.ciqfunctions.udf.CIQ($G240, "IQ_VOLUME", IC$222),"--")</f>
        <v>0</v>
      </c>
      <c r="ID240" s="2131">
        <f>IF(ID$221,_xll.ciqfunctions.udf.CIQ($G240, "IQ_VOLUME", ID$222),"--")</f>
        <v>0</v>
      </c>
      <c r="IE240" s="2131">
        <f>IF(IE$221,_xll.ciqfunctions.udf.CIQ($G240, "IQ_VOLUME", IE$222),"--")</f>
        <v>0</v>
      </c>
      <c r="IF240" s="2131">
        <f>IF(IF$221,_xll.ciqfunctions.udf.CIQ($G240, "IQ_VOLUME", IF$222),"--")</f>
        <v>0</v>
      </c>
      <c r="IG240" s="2131">
        <f>IF(IG$221,_xll.ciqfunctions.udf.CIQ($G240, "IQ_VOLUME", IG$222),"--")</f>
        <v>0</v>
      </c>
      <c r="IH240" s="2131">
        <f>IF(IH$221,_xll.ciqfunctions.udf.CIQ($G240, "IQ_VOLUME", IH$222),"--")</f>
        <v>0</v>
      </c>
      <c r="II240" s="2131">
        <f>IF(II$221,_xll.ciqfunctions.udf.CIQ($G240, "IQ_VOLUME", II$222),"--")</f>
        <v>0</v>
      </c>
      <c r="IJ240" s="2131">
        <f>IF(IJ$221,_xll.ciqfunctions.udf.CIQ($G240, "IQ_VOLUME", IJ$222),"--")</f>
        <v>0</v>
      </c>
      <c r="IK240" s="2131">
        <f>IF(IK$221,_xll.ciqfunctions.udf.CIQ($G240, "IQ_VOLUME", IK$222),"--")</f>
        <v>0</v>
      </c>
      <c r="IL240" s="2131">
        <f>IF(IL$221,_xll.ciqfunctions.udf.CIQ($G240, "IQ_VOLUME", IL$222),"--")</f>
        <v>0</v>
      </c>
      <c r="IM240" s="2131">
        <f>IF(IM$221,_xll.ciqfunctions.udf.CIQ($G240, "IQ_VOLUME", IM$222),"--")</f>
        <v>0</v>
      </c>
      <c r="IN240" s="2131">
        <f>IF(IN$221,_xll.ciqfunctions.udf.CIQ($G240, "IQ_VOLUME", IN$222),"--")</f>
        <v>0</v>
      </c>
      <c r="IO240" s="2131">
        <f>IF(IO$221,_xll.ciqfunctions.udf.CIQ($G240, "IQ_VOLUME", IO$222),"--")</f>
        <v>0</v>
      </c>
      <c r="IP240" s="2131">
        <f>IF(IP$221,_xll.ciqfunctions.udf.CIQ($G240, "IQ_VOLUME", IP$222),"--")</f>
        <v>0</v>
      </c>
      <c r="IQ240" s="2131">
        <f>IF(IQ$221,_xll.ciqfunctions.udf.CIQ($G240, "IQ_VOLUME", IQ$222),"--")</f>
        <v>0</v>
      </c>
      <c r="IR240" s="2131">
        <f>IF(IR$221,_xll.ciqfunctions.udf.CIQ($G240, "IQ_VOLUME", IR$222),"--")</f>
        <v>0</v>
      </c>
      <c r="IS240" s="2131">
        <f>IF(IS$221,_xll.ciqfunctions.udf.CIQ($G240, "IQ_VOLUME", IS$222),"--")</f>
        <v>0</v>
      </c>
      <c r="IT240" s="2131">
        <f>IF(IT$221,_xll.ciqfunctions.udf.CIQ($G240, "IQ_VOLUME", IT$222),"--")</f>
        <v>0</v>
      </c>
      <c r="IU240" s="2131">
        <f>IF(IU$221,_xll.ciqfunctions.udf.CIQ($G240, "IQ_VOLUME", IU$222),"--")</f>
        <v>0</v>
      </c>
      <c r="IV240" s="2131">
        <f>IF(IV$221,_xll.ciqfunctions.udf.CIQ($G240, "IQ_VOLUME", IV$222),"--")</f>
        <v>0</v>
      </c>
      <c r="IW240" s="2131">
        <f>IF(IW$221,_xll.ciqfunctions.udf.CIQ($G240, "IQ_VOLUME", IW$222),"--")</f>
        <v>0</v>
      </c>
      <c r="IX240" s="2131">
        <f>IF(IX$221,_xll.ciqfunctions.udf.CIQ($G240, "IQ_VOLUME", IX$222),"--")</f>
        <v>0</v>
      </c>
      <c r="IY240" s="2131">
        <f>IF(IY$221,_xll.ciqfunctions.udf.CIQ($G240, "IQ_VOLUME", IY$222),"--")</f>
        <v>0</v>
      </c>
      <c r="IZ240" s="2131">
        <f>IF(IZ$221,_xll.ciqfunctions.udf.CIQ($G240, "IQ_VOLUME", IZ$222),"--")</f>
        <v>0</v>
      </c>
      <c r="JA240" s="2131">
        <f>IF(JA$221,_xll.ciqfunctions.udf.CIQ($G240, "IQ_VOLUME", JA$222),"--")</f>
        <v>0</v>
      </c>
      <c r="JB240" s="2131">
        <f>IF(JB$221,_xll.ciqfunctions.udf.CIQ($G240, "IQ_VOLUME", JB$222),"--")</f>
        <v>0</v>
      </c>
      <c r="JC240" s="2131">
        <f>IF(JC$221,_xll.ciqfunctions.udf.CIQ($G240, "IQ_VOLUME", JC$222),"--")</f>
        <v>0</v>
      </c>
      <c r="JD240" s="2131">
        <f>IF(JD$221,_xll.ciqfunctions.udf.CIQ($G240, "IQ_VOLUME", JD$222),"--")</f>
        <v>0</v>
      </c>
      <c r="JE240" s="2131">
        <f>IF(JE$221,_xll.ciqfunctions.udf.CIQ($G240, "IQ_VOLUME", JE$222),"--")</f>
        <v>0</v>
      </c>
      <c r="JF240" s="2131">
        <f>IF(JF$221,_xll.ciqfunctions.udf.CIQ($G240, "IQ_VOLUME", JF$222),"--")</f>
        <v>0</v>
      </c>
      <c r="JG240" s="2131">
        <f>IF(JG$221,_xll.ciqfunctions.udf.CIQ($G240, "IQ_VOLUME", JG$222),"--")</f>
        <v>0</v>
      </c>
      <c r="JH240" s="2131">
        <f>IF(JH$221,_xll.ciqfunctions.udf.CIQ($G240, "IQ_VOLUME", JH$222),"--")</f>
        <v>0</v>
      </c>
      <c r="JI240" s="2131">
        <f>IF(JI$221,_xll.ciqfunctions.udf.CIQ($G240, "IQ_VOLUME", JI$222),"--")</f>
        <v>0</v>
      </c>
      <c r="JJ240" s="2131">
        <f>IF(JJ$221,_xll.ciqfunctions.udf.CIQ($G240, "IQ_VOLUME", JJ$222),"--")</f>
        <v>0</v>
      </c>
      <c r="JK240" s="2131">
        <f>IF(JK$221,_xll.ciqfunctions.udf.CIQ($G240, "IQ_VOLUME", JK$222),"--")</f>
        <v>0</v>
      </c>
      <c r="JL240" s="2131">
        <f>IF(JL$221,_xll.ciqfunctions.udf.CIQ($G240, "IQ_VOLUME", JL$222),"--")</f>
        <v>0</v>
      </c>
      <c r="JM240" s="2131">
        <f>IF(JM$221,_xll.ciqfunctions.udf.CIQ($G240, "IQ_VOLUME", JM$222),"--")</f>
        <v>0</v>
      </c>
      <c r="JN240" s="2131">
        <f>IF(JN$221,_xll.ciqfunctions.udf.CIQ($G240, "IQ_VOLUME", JN$222),"--")</f>
        <v>0</v>
      </c>
      <c r="JO240" s="2131">
        <f>IF(JO$221,_xll.ciqfunctions.udf.CIQ($G240, "IQ_VOLUME", JO$222),"--")</f>
        <v>0</v>
      </c>
      <c r="JP240" s="2131">
        <f>IF(JP$221,_xll.ciqfunctions.udf.CIQ($G240, "IQ_VOLUME", JP$222),"--")</f>
        <v>0</v>
      </c>
      <c r="JQ240" s="2131">
        <f>IF(JQ$221,_xll.ciqfunctions.udf.CIQ($G240, "IQ_VOLUME", JQ$222),"--")</f>
        <v>0</v>
      </c>
      <c r="JR240" s="2131">
        <f>IF(JR$221,_xll.ciqfunctions.udf.CIQ($G240, "IQ_VOLUME", JR$222),"--")</f>
        <v>0</v>
      </c>
      <c r="JS240" s="2131">
        <f>IF(JS$221,_xll.ciqfunctions.udf.CIQ($G240, "IQ_VOLUME", JS$222),"--")</f>
        <v>0</v>
      </c>
      <c r="JT240" s="2131">
        <f>IF(JT$221,_xll.ciqfunctions.udf.CIQ($G240, "IQ_VOLUME", JT$222),"--")</f>
        <v>0</v>
      </c>
      <c r="JU240" s="2131">
        <f>IF(JU$221,_xll.ciqfunctions.udf.CIQ($G240, "IQ_VOLUME", JU$222),"--")</f>
        <v>0</v>
      </c>
      <c r="JV240" s="2131">
        <f>IF(JV$221,_xll.ciqfunctions.udf.CIQ($G240, "IQ_VOLUME", JV$222),"--")</f>
        <v>0</v>
      </c>
      <c r="JW240" s="2131" t="str">
        <f>IF(JW$221,_xll.ciqfunctions.udf.CIQ($G240, "IQ_VOLUME", JW$222),"--")</f>
        <v>--</v>
      </c>
      <c r="JX240" s="2131" t="str">
        <f>IF(JX$221,_xll.ciqfunctions.udf.CIQ($G240, "IQ_VOLUME", JX$222),"--")</f>
        <v>--</v>
      </c>
      <c r="JY240" s="2131" t="str">
        <f>IF(JY$221,_xll.ciqfunctions.udf.CIQ($G240, "IQ_VOLUME", JY$222),"--")</f>
        <v>--</v>
      </c>
      <c r="JZ240" s="2131" t="str">
        <f>IF(JZ$221,_xll.ciqfunctions.udf.CIQ($G240, "IQ_VOLUME", JZ$222),"--")</f>
        <v>--</v>
      </c>
      <c r="KA240" s="2131" t="str">
        <f>IF(KA$221,_xll.ciqfunctions.udf.CIQ($G240, "IQ_VOLUME", KA$222),"--")</f>
        <v>--</v>
      </c>
      <c r="KB240" s="2131" t="str">
        <f>IF(KB$221,_xll.ciqfunctions.udf.CIQ($G240, "IQ_VOLUME", KB$222),"--")</f>
        <v>--</v>
      </c>
    </row>
    <row r="241" spans="1:288" s="89" customFormat="1" ht="13.9">
      <c r="A241" s="269" t="str">
        <f t="shared" si="47"/>
        <v>n</v>
      </c>
      <c r="B241" s="2060"/>
      <c r="D241" s="801"/>
      <c r="E241" s="1505">
        <v>18</v>
      </c>
      <c r="F241" s="21" t="str">
        <f>F$146</f>
        <v>--</v>
      </c>
      <c r="G241" s="2112">
        <f>G$146</f>
        <v>0</v>
      </c>
      <c r="H241" s="2112" t="str">
        <f>H$146</f>
        <v>--</v>
      </c>
      <c r="I241" s="22" t="s">
        <v>781</v>
      </c>
      <c r="J241" s="53"/>
      <c r="K241" s="2301" t="str">
        <f>IF(OR(K209=0,$G241=0),"--",IFERROR(_xll.ciqfunctions.udf.CIQ($G241,$I241,K117,Valuation_Date_GC,ReportType,DataMode,$H241,FXMode)*Scale,"--"))</f>
        <v>--</v>
      </c>
      <c r="L241" s="2301" t="str">
        <f>IF(OR(L209=0,$G241=0),"--",IFERROR(_xll.ciqfunctions.udf.CIQ($G241,$I241,L117,Valuation_Date_GC,ReportType,DataMode,$H241,FXMode)*Scale,"--"))</f>
        <v>--</v>
      </c>
      <c r="M241" s="2301" t="str">
        <f>IF(OR(M209=0,$G241=0),"--",IFERROR(_xll.ciqfunctions.udf.CIQ($G241,$I241,M117,Valuation_Date_GC,ReportType,DataMode,$H241,FXMode)*Scale,"--"))</f>
        <v>--</v>
      </c>
      <c r="N241" s="2301" t="str">
        <f>IF(OR(N209=0,$G241=0),"--",IFERROR(_xll.ciqfunctions.udf.CIQ($G241,$I241,N117,Valuation_Date_GC,ReportType,DataMode,$H241,FXMode)*Scale,"--"))</f>
        <v>--</v>
      </c>
      <c r="O241" s="1471" t="str">
        <f>IF(OR(O209=0,$G241=0),"--",IFERROR(_xll.ciqfunctions.udf.CIQ($G241,$I241,O117,Valuation_Date_GC,ReportType,DataMode,$H241,FXMode)*Scale,"--"))</f>
        <v>--</v>
      </c>
      <c r="P241" s="2301" t="str">
        <f>IF(OR(P209=0,$G241=0),"--",IFERROR(_xll.ciqfunctions.udf.CIQ($G241,$I241,P117,Valuation_Date_GC,ReportType,DataMode,$H241,FXMode)*Scale,"--"))</f>
        <v>--</v>
      </c>
      <c r="R241" s="255"/>
      <c r="T241" s="1779" t="s">
        <v>782</v>
      </c>
      <c r="U241" s="2131">
        <f>IF(U$221,_xll.ciqfunctions.udf.CIQ($G241, "IQ_VOLUME", U$222),"--")</f>
        <v>0</v>
      </c>
      <c r="V241" s="2131">
        <f>IF(V$221,_xll.ciqfunctions.udf.CIQ($G241, "IQ_VOLUME", V$222),"--")</f>
        <v>0</v>
      </c>
      <c r="W241" s="2131">
        <f>IF(W$221,_xll.ciqfunctions.udf.CIQ($G241, "IQ_VOLUME", W$222),"--")</f>
        <v>0</v>
      </c>
      <c r="X241" s="2131">
        <f>IF(X$221,_xll.ciqfunctions.udf.CIQ($G241, "IQ_VOLUME", X$222),"--")</f>
        <v>0</v>
      </c>
      <c r="Y241" s="2131">
        <f>IF(Y$221,_xll.ciqfunctions.udf.CIQ($G241, "IQ_VOLUME", Y$222),"--")</f>
        <v>0</v>
      </c>
      <c r="Z241" s="2131">
        <f>IF(Z$221,_xll.ciqfunctions.udf.CIQ($G241, "IQ_VOLUME", Z$222),"--")</f>
        <v>0</v>
      </c>
      <c r="AA241" s="2131">
        <f>IF(AA$221,_xll.ciqfunctions.udf.CIQ($G241, "IQ_VOLUME", AA$222),"--")</f>
        <v>0</v>
      </c>
      <c r="AB241" s="2131">
        <f>IF(AB$221,_xll.ciqfunctions.udf.CIQ($G241, "IQ_VOLUME", AB$222),"--")</f>
        <v>0</v>
      </c>
      <c r="AC241" s="2131">
        <f>IF(AC$221,_xll.ciqfunctions.udf.CIQ($G241, "IQ_VOLUME", AC$222),"--")</f>
        <v>0</v>
      </c>
      <c r="AD241" s="2131">
        <f>IF(AD$221,_xll.ciqfunctions.udf.CIQ($G241, "IQ_VOLUME", AD$222),"--")</f>
        <v>0</v>
      </c>
      <c r="AE241" s="2131">
        <f>IF(AE$221,_xll.ciqfunctions.udf.CIQ($G241, "IQ_VOLUME", AE$222),"--")</f>
        <v>0</v>
      </c>
      <c r="AF241" s="2131">
        <f>IF(AF$221,_xll.ciqfunctions.udf.CIQ($G241, "IQ_VOLUME", AF$222),"--")</f>
        <v>0</v>
      </c>
      <c r="AG241" s="2131">
        <f>IF(AG$221,_xll.ciqfunctions.udf.CIQ($G241, "IQ_VOLUME", AG$222),"--")</f>
        <v>0</v>
      </c>
      <c r="AH241" s="2131">
        <f>IF(AH$221,_xll.ciqfunctions.udf.CIQ($G241, "IQ_VOLUME", AH$222),"--")</f>
        <v>0</v>
      </c>
      <c r="AI241" s="2131">
        <f>IF(AI$221,_xll.ciqfunctions.udf.CIQ($G241, "IQ_VOLUME", AI$222),"--")</f>
        <v>0</v>
      </c>
      <c r="AJ241" s="2131">
        <f>IF(AJ$221,_xll.ciqfunctions.udf.CIQ($G241, "IQ_VOLUME", AJ$222),"--")</f>
        <v>0</v>
      </c>
      <c r="AK241" s="2131">
        <f>IF(AK$221,_xll.ciqfunctions.udf.CIQ($G241, "IQ_VOLUME", AK$222),"--")</f>
        <v>0</v>
      </c>
      <c r="AL241" s="2131">
        <f>IF(AL$221,_xll.ciqfunctions.udf.CIQ($G241, "IQ_VOLUME", AL$222),"--")</f>
        <v>0</v>
      </c>
      <c r="AM241" s="2131">
        <f>IF(AM$221,_xll.ciqfunctions.udf.CIQ($G241, "IQ_VOLUME", AM$222),"--")</f>
        <v>0</v>
      </c>
      <c r="AN241" s="2131">
        <f>IF(AN$221,_xll.ciqfunctions.udf.CIQ($G241, "IQ_VOLUME", AN$222),"--")</f>
        <v>0</v>
      </c>
      <c r="AO241" s="2131">
        <f>IF(AO$221,_xll.ciqfunctions.udf.CIQ($G241, "IQ_VOLUME", AO$222),"--")</f>
        <v>0</v>
      </c>
      <c r="AP241" s="2131">
        <f>IF(AP$221,_xll.ciqfunctions.udf.CIQ($G241, "IQ_VOLUME", AP$222),"--")</f>
        <v>0</v>
      </c>
      <c r="AQ241" s="2131">
        <f>IF(AQ$221,_xll.ciqfunctions.udf.CIQ($G241, "IQ_VOLUME", AQ$222),"--")</f>
        <v>0</v>
      </c>
      <c r="AR241" s="2131">
        <f>IF(AR$221,_xll.ciqfunctions.udf.CIQ($G241, "IQ_VOLUME", AR$222),"--")</f>
        <v>0</v>
      </c>
      <c r="AS241" s="2131">
        <f>IF(AS$221,_xll.ciqfunctions.udf.CIQ($G241, "IQ_VOLUME", AS$222),"--")</f>
        <v>0</v>
      </c>
      <c r="AT241" s="2131">
        <f>IF(AT$221,_xll.ciqfunctions.udf.CIQ($G241, "IQ_VOLUME", AT$222),"--")</f>
        <v>0</v>
      </c>
      <c r="AU241" s="2131">
        <f>IF(AU$221,_xll.ciqfunctions.udf.CIQ($G241, "IQ_VOLUME", AU$222),"--")</f>
        <v>0</v>
      </c>
      <c r="AV241" s="2131">
        <f>IF(AV$221,_xll.ciqfunctions.udf.CIQ($G241, "IQ_VOLUME", AV$222),"--")</f>
        <v>0</v>
      </c>
      <c r="AW241" s="2131">
        <f>IF(AW$221,_xll.ciqfunctions.udf.CIQ($G241, "IQ_VOLUME", AW$222),"--")</f>
        <v>0</v>
      </c>
      <c r="AX241" s="2131">
        <f>IF(AX$221,_xll.ciqfunctions.udf.CIQ($G241, "IQ_VOLUME", AX$222),"--")</f>
        <v>0</v>
      </c>
      <c r="AY241" s="2131">
        <f>IF(AY$221,_xll.ciqfunctions.udf.CIQ($G241, "IQ_VOLUME", AY$222),"--")</f>
        <v>0</v>
      </c>
      <c r="AZ241" s="2131">
        <f>IF(AZ$221,_xll.ciqfunctions.udf.CIQ($G241, "IQ_VOLUME", AZ$222),"--")</f>
        <v>0</v>
      </c>
      <c r="BA241" s="2131">
        <f>IF(BA$221,_xll.ciqfunctions.udf.CIQ($G241, "IQ_VOLUME", BA$222),"--")</f>
        <v>0</v>
      </c>
      <c r="BB241" s="2131">
        <f>IF(BB$221,_xll.ciqfunctions.udf.CIQ($G241, "IQ_VOLUME", BB$222),"--")</f>
        <v>0</v>
      </c>
      <c r="BC241" s="2131">
        <f>IF(BC$221,_xll.ciqfunctions.udf.CIQ($G241, "IQ_VOLUME", BC$222),"--")</f>
        <v>0</v>
      </c>
      <c r="BD241" s="2131">
        <f>IF(BD$221,_xll.ciqfunctions.udf.CIQ($G241, "IQ_VOLUME", BD$222),"--")</f>
        <v>0</v>
      </c>
      <c r="BE241" s="2131">
        <f>IF(BE$221,_xll.ciqfunctions.udf.CIQ($G241, "IQ_VOLUME", BE$222),"--")</f>
        <v>0</v>
      </c>
      <c r="BF241" s="2131">
        <f>IF(BF$221,_xll.ciqfunctions.udf.CIQ($G241, "IQ_VOLUME", BF$222),"--")</f>
        <v>0</v>
      </c>
      <c r="BG241" s="2131">
        <f>IF(BG$221,_xll.ciqfunctions.udf.CIQ($G241, "IQ_VOLUME", BG$222),"--")</f>
        <v>0</v>
      </c>
      <c r="BH241" s="2131">
        <f>IF(BH$221,_xll.ciqfunctions.udf.CIQ($G241, "IQ_VOLUME", BH$222),"--")</f>
        <v>0</v>
      </c>
      <c r="BI241" s="2131">
        <f>IF(BI$221,_xll.ciqfunctions.udf.CIQ($G241, "IQ_VOLUME", BI$222),"--")</f>
        <v>0</v>
      </c>
      <c r="BJ241" s="2131">
        <f>IF(BJ$221,_xll.ciqfunctions.udf.CIQ($G241, "IQ_VOLUME", BJ$222),"--")</f>
        <v>0</v>
      </c>
      <c r="BK241" s="2131">
        <f>IF(BK$221,_xll.ciqfunctions.udf.CIQ($G241, "IQ_VOLUME", BK$222),"--")</f>
        <v>0</v>
      </c>
      <c r="BL241" s="2131">
        <f>IF(BL$221,_xll.ciqfunctions.udf.CIQ($G241, "IQ_VOLUME", BL$222),"--")</f>
        <v>0</v>
      </c>
      <c r="BM241" s="2131">
        <f>IF(BM$221,_xll.ciqfunctions.udf.CIQ($G241, "IQ_VOLUME", BM$222),"--")</f>
        <v>0</v>
      </c>
      <c r="BN241" s="2131">
        <f>IF(BN$221,_xll.ciqfunctions.udf.CIQ($G241, "IQ_VOLUME", BN$222),"--")</f>
        <v>0</v>
      </c>
      <c r="BO241" s="2131">
        <f>IF(BO$221,_xll.ciqfunctions.udf.CIQ($G241, "IQ_VOLUME", BO$222),"--")</f>
        <v>0</v>
      </c>
      <c r="BP241" s="2131">
        <f>IF(BP$221,_xll.ciqfunctions.udf.CIQ($G241, "IQ_VOLUME", BP$222),"--")</f>
        <v>0</v>
      </c>
      <c r="BQ241" s="2131">
        <f>IF(BQ$221,_xll.ciqfunctions.udf.CIQ($G241, "IQ_VOLUME", BQ$222),"--")</f>
        <v>0</v>
      </c>
      <c r="BR241" s="2131">
        <f>IF(BR$221,_xll.ciqfunctions.udf.CIQ($G241, "IQ_VOLUME", BR$222),"--")</f>
        <v>0</v>
      </c>
      <c r="BS241" s="2131">
        <f>IF(BS$221,_xll.ciqfunctions.udf.CIQ($G241, "IQ_VOLUME", BS$222),"--")</f>
        <v>0</v>
      </c>
      <c r="BT241" s="2131">
        <f>IF(BT$221,_xll.ciqfunctions.udf.CIQ($G241, "IQ_VOLUME", BT$222),"--")</f>
        <v>0</v>
      </c>
      <c r="BU241" s="2131">
        <f>IF(BU$221,_xll.ciqfunctions.udf.CIQ($G241, "IQ_VOLUME", BU$222),"--")</f>
        <v>0</v>
      </c>
      <c r="BV241" s="2131">
        <f>IF(BV$221,_xll.ciqfunctions.udf.CIQ($G241, "IQ_VOLUME", BV$222),"--")</f>
        <v>0</v>
      </c>
      <c r="BW241" s="2131">
        <f>IF(BW$221,_xll.ciqfunctions.udf.CIQ($G241, "IQ_VOLUME", BW$222),"--")</f>
        <v>0</v>
      </c>
      <c r="BX241" s="2131">
        <f>IF(BX$221,_xll.ciqfunctions.udf.CIQ($G241, "IQ_VOLUME", BX$222),"--")</f>
        <v>0</v>
      </c>
      <c r="BY241" s="2131">
        <f>IF(BY$221,_xll.ciqfunctions.udf.CIQ($G241, "IQ_VOLUME", BY$222),"--")</f>
        <v>0</v>
      </c>
      <c r="BZ241" s="2131">
        <f>IF(BZ$221,_xll.ciqfunctions.udf.CIQ($G241, "IQ_VOLUME", BZ$222),"--")</f>
        <v>0</v>
      </c>
      <c r="CA241" s="2131">
        <f>IF(CA$221,_xll.ciqfunctions.udf.CIQ($G241, "IQ_VOLUME", CA$222),"--")</f>
        <v>0</v>
      </c>
      <c r="CB241" s="2131">
        <f>IF(CB$221,_xll.ciqfunctions.udf.CIQ($G241, "IQ_VOLUME", CB$222),"--")</f>
        <v>0</v>
      </c>
      <c r="CC241" s="2131">
        <f>IF(CC$221,_xll.ciqfunctions.udf.CIQ($G241, "IQ_VOLUME", CC$222),"--")</f>
        <v>0</v>
      </c>
      <c r="CD241" s="2131">
        <f>IF(CD$221,_xll.ciqfunctions.udf.CIQ($G241, "IQ_VOLUME", CD$222),"--")</f>
        <v>0</v>
      </c>
      <c r="CE241" s="2131">
        <f>IF(CE$221,_xll.ciqfunctions.udf.CIQ($G241, "IQ_VOLUME", CE$222),"--")</f>
        <v>0</v>
      </c>
      <c r="CF241" s="2131">
        <f>IF(CF$221,_xll.ciqfunctions.udf.CIQ($G241, "IQ_VOLUME", CF$222),"--")</f>
        <v>0</v>
      </c>
      <c r="CG241" s="2131">
        <f>IF(CG$221,_xll.ciqfunctions.udf.CIQ($G241, "IQ_VOLUME", CG$222),"--")</f>
        <v>0</v>
      </c>
      <c r="CH241" s="2131">
        <f>IF(CH$221,_xll.ciqfunctions.udf.CIQ($G241, "IQ_VOLUME", CH$222),"--")</f>
        <v>0</v>
      </c>
      <c r="CI241" s="2131">
        <f>IF(CI$221,_xll.ciqfunctions.udf.CIQ($G241, "IQ_VOLUME", CI$222),"--")</f>
        <v>0</v>
      </c>
      <c r="CJ241" s="2131">
        <f>IF(CJ$221,_xll.ciqfunctions.udf.CIQ($G241, "IQ_VOLUME", CJ$222),"--")</f>
        <v>0</v>
      </c>
      <c r="CK241" s="2131">
        <f>IF(CK$221,_xll.ciqfunctions.udf.CIQ($G241, "IQ_VOLUME", CK$222),"--")</f>
        <v>0</v>
      </c>
      <c r="CL241" s="2131">
        <f>IF(CL$221,_xll.ciqfunctions.udf.CIQ($G241, "IQ_VOLUME", CL$222),"--")</f>
        <v>0</v>
      </c>
      <c r="CM241" s="2131">
        <f>IF(CM$221,_xll.ciqfunctions.udf.CIQ($G241, "IQ_VOLUME", CM$222),"--")</f>
        <v>0</v>
      </c>
      <c r="CN241" s="2131">
        <f>IF(CN$221,_xll.ciqfunctions.udf.CIQ($G241, "IQ_VOLUME", CN$222),"--")</f>
        <v>0</v>
      </c>
      <c r="CO241" s="2131">
        <f>IF(CO$221,_xll.ciqfunctions.udf.CIQ($G241, "IQ_VOLUME", CO$222),"--")</f>
        <v>0</v>
      </c>
      <c r="CP241" s="2131">
        <f>IF(CP$221,_xll.ciqfunctions.udf.CIQ($G241, "IQ_VOLUME", CP$222),"--")</f>
        <v>0</v>
      </c>
      <c r="CQ241" s="2131">
        <f>IF(CQ$221,_xll.ciqfunctions.udf.CIQ($G241, "IQ_VOLUME", CQ$222),"--")</f>
        <v>0</v>
      </c>
      <c r="CR241" s="2131">
        <f>IF(CR$221,_xll.ciqfunctions.udf.CIQ($G241, "IQ_VOLUME", CR$222),"--")</f>
        <v>0</v>
      </c>
      <c r="CS241" s="2131">
        <f>IF(CS$221,_xll.ciqfunctions.udf.CIQ($G241, "IQ_VOLUME", CS$222),"--")</f>
        <v>0</v>
      </c>
      <c r="CT241" s="2131">
        <f>IF(CT$221,_xll.ciqfunctions.udf.CIQ($G241, "IQ_VOLUME", CT$222),"--")</f>
        <v>0</v>
      </c>
      <c r="CU241" s="2131">
        <f>IF(CU$221,_xll.ciqfunctions.udf.CIQ($G241, "IQ_VOLUME", CU$222),"--")</f>
        <v>0</v>
      </c>
      <c r="CV241" s="2131">
        <f>IF(CV$221,_xll.ciqfunctions.udf.CIQ($G241, "IQ_VOLUME", CV$222),"--")</f>
        <v>0</v>
      </c>
      <c r="CW241" s="2131">
        <f>IF(CW$221,_xll.ciqfunctions.udf.CIQ($G241, "IQ_VOLUME", CW$222),"--")</f>
        <v>0</v>
      </c>
      <c r="CX241" s="2131">
        <f>IF(CX$221,_xll.ciqfunctions.udf.CIQ($G241, "IQ_VOLUME", CX$222),"--")</f>
        <v>0</v>
      </c>
      <c r="CY241" s="2131">
        <f>IF(CY$221,_xll.ciqfunctions.udf.CIQ($G241, "IQ_VOLUME", CY$222),"--")</f>
        <v>0</v>
      </c>
      <c r="CZ241" s="2131">
        <f>IF(CZ$221,_xll.ciqfunctions.udf.CIQ($G241, "IQ_VOLUME", CZ$222),"--")</f>
        <v>0</v>
      </c>
      <c r="DA241" s="2131">
        <f>IF(DA$221,_xll.ciqfunctions.udf.CIQ($G241, "IQ_VOLUME", DA$222),"--")</f>
        <v>0</v>
      </c>
      <c r="DB241" s="2131">
        <f>IF(DB$221,_xll.ciqfunctions.udf.CIQ($G241, "IQ_VOLUME", DB$222),"--")</f>
        <v>0</v>
      </c>
      <c r="DC241" s="2131">
        <f>IF(DC$221,_xll.ciqfunctions.udf.CIQ($G241, "IQ_VOLUME", DC$222),"--")</f>
        <v>0</v>
      </c>
      <c r="DD241" s="2131">
        <f>IF(DD$221,_xll.ciqfunctions.udf.CIQ($G241, "IQ_VOLUME", DD$222),"--")</f>
        <v>0</v>
      </c>
      <c r="DE241" s="2131">
        <f>IF(DE$221,_xll.ciqfunctions.udf.CIQ($G241, "IQ_VOLUME", DE$222),"--")</f>
        <v>0</v>
      </c>
      <c r="DF241" s="2131">
        <f>IF(DF$221,_xll.ciqfunctions.udf.CIQ($G241, "IQ_VOLUME", DF$222),"--")</f>
        <v>0</v>
      </c>
      <c r="DG241" s="2131">
        <f>IF(DG$221,_xll.ciqfunctions.udf.CIQ($G241, "IQ_VOLUME", DG$222),"--")</f>
        <v>0</v>
      </c>
      <c r="DH241" s="2131">
        <f>IF(DH$221,_xll.ciqfunctions.udf.CIQ($G241, "IQ_VOLUME", DH$222),"--")</f>
        <v>0</v>
      </c>
      <c r="DI241" s="2131">
        <f>IF(DI$221,_xll.ciqfunctions.udf.CIQ($G241, "IQ_VOLUME", DI$222),"--")</f>
        <v>0</v>
      </c>
      <c r="DJ241" s="2131">
        <f>IF(DJ$221,_xll.ciqfunctions.udf.CIQ($G241, "IQ_VOLUME", DJ$222),"--")</f>
        <v>0</v>
      </c>
      <c r="DK241" s="2131">
        <f>IF(DK$221,_xll.ciqfunctions.udf.CIQ($G241, "IQ_VOLUME", DK$222),"--")</f>
        <v>0</v>
      </c>
      <c r="DL241" s="2131">
        <f>IF(DL$221,_xll.ciqfunctions.udf.CIQ($G241, "IQ_VOLUME", DL$222),"--")</f>
        <v>0</v>
      </c>
      <c r="DM241" s="2131">
        <f>IF(DM$221,_xll.ciqfunctions.udf.CIQ($G241, "IQ_VOLUME", DM$222),"--")</f>
        <v>0</v>
      </c>
      <c r="DN241" s="2131">
        <f>IF(DN$221,_xll.ciqfunctions.udf.CIQ($G241, "IQ_VOLUME", DN$222),"--")</f>
        <v>0</v>
      </c>
      <c r="DO241" s="2131">
        <f>IF(DO$221,_xll.ciqfunctions.udf.CIQ($G241, "IQ_VOLUME", DO$222),"--")</f>
        <v>0</v>
      </c>
      <c r="DP241" s="2131">
        <f>IF(DP$221,_xll.ciqfunctions.udf.CIQ($G241, "IQ_VOLUME", DP$222),"--")</f>
        <v>0</v>
      </c>
      <c r="DQ241" s="2131">
        <f>IF(DQ$221,_xll.ciqfunctions.udf.CIQ($G241, "IQ_VOLUME", DQ$222),"--")</f>
        <v>0</v>
      </c>
      <c r="DR241" s="2131">
        <f>IF(DR$221,_xll.ciqfunctions.udf.CIQ($G241, "IQ_VOLUME", DR$222),"--")</f>
        <v>0</v>
      </c>
      <c r="DS241" s="2131">
        <f>IF(DS$221,_xll.ciqfunctions.udf.CIQ($G241, "IQ_VOLUME", DS$222),"--")</f>
        <v>0</v>
      </c>
      <c r="DT241" s="2131">
        <f>IF(DT$221,_xll.ciqfunctions.udf.CIQ($G241, "IQ_VOLUME", DT$222),"--")</f>
        <v>0</v>
      </c>
      <c r="DU241" s="2131">
        <f>IF(DU$221,_xll.ciqfunctions.udf.CIQ($G241, "IQ_VOLUME", DU$222),"--")</f>
        <v>0</v>
      </c>
      <c r="DV241" s="2131">
        <f>IF(DV$221,_xll.ciqfunctions.udf.CIQ($G241, "IQ_VOLUME", DV$222),"--")</f>
        <v>0</v>
      </c>
      <c r="DW241" s="2131">
        <f>IF(DW$221,_xll.ciqfunctions.udf.CIQ($G241, "IQ_VOLUME", DW$222),"--")</f>
        <v>0</v>
      </c>
      <c r="DX241" s="2131">
        <f>IF(DX$221,_xll.ciqfunctions.udf.CIQ($G241, "IQ_VOLUME", DX$222),"--")</f>
        <v>0</v>
      </c>
      <c r="DY241" s="2131">
        <f>IF(DY$221,_xll.ciqfunctions.udf.CIQ($G241, "IQ_VOLUME", DY$222),"--")</f>
        <v>0</v>
      </c>
      <c r="DZ241" s="2131">
        <f>IF(DZ$221,_xll.ciqfunctions.udf.CIQ($G241, "IQ_VOLUME", DZ$222),"--")</f>
        <v>0</v>
      </c>
      <c r="EA241" s="2131">
        <f>IF(EA$221,_xll.ciqfunctions.udf.CIQ($G241, "IQ_VOLUME", EA$222),"--")</f>
        <v>0</v>
      </c>
      <c r="EB241" s="2131">
        <f>IF(EB$221,_xll.ciqfunctions.udf.CIQ($G241, "IQ_VOLUME", EB$222),"--")</f>
        <v>0</v>
      </c>
      <c r="EC241" s="2131">
        <f>IF(EC$221,_xll.ciqfunctions.udf.CIQ($G241, "IQ_VOLUME", EC$222),"--")</f>
        <v>0</v>
      </c>
      <c r="ED241" s="2131">
        <f>IF(ED$221,_xll.ciqfunctions.udf.CIQ($G241, "IQ_VOLUME", ED$222),"--")</f>
        <v>0</v>
      </c>
      <c r="EE241" s="2131">
        <f>IF(EE$221,_xll.ciqfunctions.udf.CIQ($G241, "IQ_VOLUME", EE$222),"--")</f>
        <v>0</v>
      </c>
      <c r="EF241" s="2131">
        <f>IF(EF$221,_xll.ciqfunctions.udf.CIQ($G241, "IQ_VOLUME", EF$222),"--")</f>
        <v>0</v>
      </c>
      <c r="EG241" s="2131">
        <f>IF(EG$221,_xll.ciqfunctions.udf.CIQ($G241, "IQ_VOLUME", EG$222),"--")</f>
        <v>0</v>
      </c>
      <c r="EH241" s="2131">
        <f>IF(EH$221,_xll.ciqfunctions.udf.CIQ($G241, "IQ_VOLUME", EH$222),"--")</f>
        <v>0</v>
      </c>
      <c r="EI241" s="2131">
        <f>IF(EI$221,_xll.ciqfunctions.udf.CIQ($G241, "IQ_VOLUME", EI$222),"--")</f>
        <v>0</v>
      </c>
      <c r="EJ241" s="2131">
        <f>IF(EJ$221,_xll.ciqfunctions.udf.CIQ($G241, "IQ_VOLUME", EJ$222),"--")</f>
        <v>0</v>
      </c>
      <c r="EK241" s="2131">
        <f>IF(EK$221,_xll.ciqfunctions.udf.CIQ($G241, "IQ_VOLUME", EK$222),"--")</f>
        <v>0</v>
      </c>
      <c r="EL241" s="2131">
        <f>IF(EL$221,_xll.ciqfunctions.udf.CIQ($G241, "IQ_VOLUME", EL$222),"--")</f>
        <v>0</v>
      </c>
      <c r="EM241" s="2131">
        <f>IF(EM$221,_xll.ciqfunctions.udf.CIQ($G241, "IQ_VOLUME", EM$222),"--")</f>
        <v>0</v>
      </c>
      <c r="EN241" s="2131">
        <f>IF(EN$221,_xll.ciqfunctions.udf.CIQ($G241, "IQ_VOLUME", EN$222),"--")</f>
        <v>0</v>
      </c>
      <c r="EO241" s="2131">
        <f>IF(EO$221,_xll.ciqfunctions.udf.CIQ($G241, "IQ_VOLUME", EO$222),"--")</f>
        <v>0</v>
      </c>
      <c r="EP241" s="2131">
        <f>IF(EP$221,_xll.ciqfunctions.udf.CIQ($G241, "IQ_VOLUME", EP$222),"--")</f>
        <v>0</v>
      </c>
      <c r="EQ241" s="2131">
        <f>IF(EQ$221,_xll.ciqfunctions.udf.CIQ($G241, "IQ_VOLUME", EQ$222),"--")</f>
        <v>0</v>
      </c>
      <c r="ER241" s="2131">
        <f>IF(ER$221,_xll.ciqfunctions.udf.CIQ($G241, "IQ_VOLUME", ER$222),"--")</f>
        <v>0</v>
      </c>
      <c r="ES241" s="2131">
        <f>IF(ES$221,_xll.ciqfunctions.udf.CIQ($G241, "IQ_VOLUME", ES$222),"--")</f>
        <v>0</v>
      </c>
      <c r="ET241" s="2131">
        <f>IF(ET$221,_xll.ciqfunctions.udf.CIQ($G241, "IQ_VOLUME", ET$222),"--")</f>
        <v>0</v>
      </c>
      <c r="EU241" s="2131">
        <f>IF(EU$221,_xll.ciqfunctions.udf.CIQ($G241, "IQ_VOLUME", EU$222),"--")</f>
        <v>0</v>
      </c>
      <c r="EV241" s="2131">
        <f>IF(EV$221,_xll.ciqfunctions.udf.CIQ($G241, "IQ_VOLUME", EV$222),"--")</f>
        <v>0</v>
      </c>
      <c r="EW241" s="2131">
        <f>IF(EW$221,_xll.ciqfunctions.udf.CIQ($G241, "IQ_VOLUME", EW$222),"--")</f>
        <v>0</v>
      </c>
      <c r="EX241" s="2131">
        <f>IF(EX$221,_xll.ciqfunctions.udf.CIQ($G241, "IQ_VOLUME", EX$222),"--")</f>
        <v>0</v>
      </c>
      <c r="EY241" s="2131">
        <f>IF(EY$221,_xll.ciqfunctions.udf.CIQ($G241, "IQ_VOLUME", EY$222),"--")</f>
        <v>0</v>
      </c>
      <c r="EZ241" s="2131">
        <f>IF(EZ$221,_xll.ciqfunctions.udf.CIQ($G241, "IQ_VOLUME", EZ$222),"--")</f>
        <v>0</v>
      </c>
      <c r="FA241" s="2131">
        <f>IF(FA$221,_xll.ciqfunctions.udf.CIQ($G241, "IQ_VOLUME", FA$222),"--")</f>
        <v>0</v>
      </c>
      <c r="FB241" s="2131">
        <f>IF(FB$221,_xll.ciqfunctions.udf.CIQ($G241, "IQ_VOLUME", FB$222),"--")</f>
        <v>0</v>
      </c>
      <c r="FC241" s="2131">
        <f>IF(FC$221,_xll.ciqfunctions.udf.CIQ($G241, "IQ_VOLUME", FC$222),"--")</f>
        <v>0</v>
      </c>
      <c r="FD241" s="2131">
        <f>IF(FD$221,_xll.ciqfunctions.udf.CIQ($G241, "IQ_VOLUME", FD$222),"--")</f>
        <v>0</v>
      </c>
      <c r="FE241" s="2131">
        <f>IF(FE$221,_xll.ciqfunctions.udf.CIQ($G241, "IQ_VOLUME", FE$222),"--")</f>
        <v>0</v>
      </c>
      <c r="FF241" s="2131">
        <f>IF(FF$221,_xll.ciqfunctions.udf.CIQ($G241, "IQ_VOLUME", FF$222),"--")</f>
        <v>0</v>
      </c>
      <c r="FG241" s="2131">
        <f>IF(FG$221,_xll.ciqfunctions.udf.CIQ($G241, "IQ_VOLUME", FG$222),"--")</f>
        <v>0</v>
      </c>
      <c r="FH241" s="2131">
        <f>IF(FH$221,_xll.ciqfunctions.udf.CIQ($G241, "IQ_VOLUME", FH$222),"--")</f>
        <v>0</v>
      </c>
      <c r="FI241" s="2131">
        <f>IF(FI$221,_xll.ciqfunctions.udf.CIQ($G241, "IQ_VOLUME", FI$222),"--")</f>
        <v>0</v>
      </c>
      <c r="FJ241" s="2131">
        <f>IF(FJ$221,_xll.ciqfunctions.udf.CIQ($G241, "IQ_VOLUME", FJ$222),"--")</f>
        <v>0</v>
      </c>
      <c r="FK241" s="2131">
        <f>IF(FK$221,_xll.ciqfunctions.udf.CIQ($G241, "IQ_VOLUME", FK$222),"--")</f>
        <v>0</v>
      </c>
      <c r="FL241" s="2131">
        <f>IF(FL$221,_xll.ciqfunctions.udf.CIQ($G241, "IQ_VOLUME", FL$222),"--")</f>
        <v>0</v>
      </c>
      <c r="FM241" s="2131">
        <f>IF(FM$221,_xll.ciqfunctions.udf.CIQ($G241, "IQ_VOLUME", FM$222),"--")</f>
        <v>0</v>
      </c>
      <c r="FN241" s="2131">
        <f>IF(FN$221,_xll.ciqfunctions.udf.CIQ($G241, "IQ_VOLUME", FN$222),"--")</f>
        <v>0</v>
      </c>
      <c r="FO241" s="2131">
        <f>IF(FO$221,_xll.ciqfunctions.udf.CIQ($G241, "IQ_VOLUME", FO$222),"--")</f>
        <v>0</v>
      </c>
      <c r="FP241" s="2131">
        <f>IF(FP$221,_xll.ciqfunctions.udf.CIQ($G241, "IQ_VOLUME", FP$222),"--")</f>
        <v>0</v>
      </c>
      <c r="FQ241" s="2131">
        <f>IF(FQ$221,_xll.ciqfunctions.udf.CIQ($G241, "IQ_VOLUME", FQ$222),"--")</f>
        <v>0</v>
      </c>
      <c r="FR241" s="2131">
        <f>IF(FR$221,_xll.ciqfunctions.udf.CIQ($G241, "IQ_VOLUME", FR$222),"--")</f>
        <v>0</v>
      </c>
      <c r="FS241" s="2131">
        <f>IF(FS$221,_xll.ciqfunctions.udf.CIQ($G241, "IQ_VOLUME", FS$222),"--")</f>
        <v>0</v>
      </c>
      <c r="FT241" s="2131">
        <f>IF(FT$221,_xll.ciqfunctions.udf.CIQ($G241, "IQ_VOLUME", FT$222),"--")</f>
        <v>0</v>
      </c>
      <c r="FU241" s="2131">
        <f>IF(FU$221,_xll.ciqfunctions.udf.CIQ($G241, "IQ_VOLUME", FU$222),"--")</f>
        <v>0</v>
      </c>
      <c r="FV241" s="2131">
        <f>IF(FV$221,_xll.ciqfunctions.udf.CIQ($G241, "IQ_VOLUME", FV$222),"--")</f>
        <v>0</v>
      </c>
      <c r="FW241" s="2131">
        <f>IF(FW$221,_xll.ciqfunctions.udf.CIQ($G241, "IQ_VOLUME", FW$222),"--")</f>
        <v>0</v>
      </c>
      <c r="FX241" s="2131">
        <f>IF(FX$221,_xll.ciqfunctions.udf.CIQ($G241, "IQ_VOLUME", FX$222),"--")</f>
        <v>0</v>
      </c>
      <c r="FY241" s="2131">
        <f>IF(FY$221,_xll.ciqfunctions.udf.CIQ($G241, "IQ_VOLUME", FY$222),"--")</f>
        <v>0</v>
      </c>
      <c r="FZ241" s="2131">
        <f>IF(FZ$221,_xll.ciqfunctions.udf.CIQ($G241, "IQ_VOLUME", FZ$222),"--")</f>
        <v>0</v>
      </c>
      <c r="GA241" s="2131">
        <f>IF(GA$221,_xll.ciqfunctions.udf.CIQ($G241, "IQ_VOLUME", GA$222),"--")</f>
        <v>0</v>
      </c>
      <c r="GB241" s="2131">
        <f>IF(GB$221,_xll.ciqfunctions.udf.CIQ($G241, "IQ_VOLUME", GB$222),"--")</f>
        <v>0</v>
      </c>
      <c r="GC241" s="2131">
        <f>IF(GC$221,_xll.ciqfunctions.udf.CIQ($G241, "IQ_VOLUME", GC$222),"--")</f>
        <v>0</v>
      </c>
      <c r="GD241" s="2131">
        <f>IF(GD$221,_xll.ciqfunctions.udf.CIQ($G241, "IQ_VOLUME", GD$222),"--")</f>
        <v>0</v>
      </c>
      <c r="GE241" s="2131">
        <f>IF(GE$221,_xll.ciqfunctions.udf.CIQ($G241, "IQ_VOLUME", GE$222),"--")</f>
        <v>0</v>
      </c>
      <c r="GF241" s="2131">
        <f>IF(GF$221,_xll.ciqfunctions.udf.CIQ($G241, "IQ_VOLUME", GF$222),"--")</f>
        <v>0</v>
      </c>
      <c r="GG241" s="2131">
        <f>IF(GG$221,_xll.ciqfunctions.udf.CIQ($G241, "IQ_VOLUME", GG$222),"--")</f>
        <v>0</v>
      </c>
      <c r="GH241" s="2131">
        <f>IF(GH$221,_xll.ciqfunctions.udf.CIQ($G241, "IQ_VOLUME", GH$222),"--")</f>
        <v>0</v>
      </c>
      <c r="GI241" s="2131">
        <f>IF(GI$221,_xll.ciqfunctions.udf.CIQ($G241, "IQ_VOLUME", GI$222),"--")</f>
        <v>0</v>
      </c>
      <c r="GJ241" s="2131">
        <f>IF(GJ$221,_xll.ciqfunctions.udf.CIQ($G241, "IQ_VOLUME", GJ$222),"--")</f>
        <v>0</v>
      </c>
      <c r="GK241" s="2131">
        <f>IF(GK$221,_xll.ciqfunctions.udf.CIQ($G241, "IQ_VOLUME", GK$222),"--")</f>
        <v>0</v>
      </c>
      <c r="GL241" s="2131">
        <f>IF(GL$221,_xll.ciqfunctions.udf.CIQ($G241, "IQ_VOLUME", GL$222),"--")</f>
        <v>0</v>
      </c>
      <c r="GM241" s="2131">
        <f>IF(GM$221,_xll.ciqfunctions.udf.CIQ($G241, "IQ_VOLUME", GM$222),"--")</f>
        <v>0</v>
      </c>
      <c r="GN241" s="2131">
        <f>IF(GN$221,_xll.ciqfunctions.udf.CIQ($G241, "IQ_VOLUME", GN$222),"--")</f>
        <v>0</v>
      </c>
      <c r="GO241" s="2131">
        <f>IF(GO$221,_xll.ciqfunctions.udf.CIQ($G241, "IQ_VOLUME", GO$222),"--")</f>
        <v>0</v>
      </c>
      <c r="GP241" s="2131">
        <f>IF(GP$221,_xll.ciqfunctions.udf.CIQ($G241, "IQ_VOLUME", GP$222),"--")</f>
        <v>0</v>
      </c>
      <c r="GQ241" s="2131">
        <f>IF(GQ$221,_xll.ciqfunctions.udf.CIQ($G241, "IQ_VOLUME", GQ$222),"--")</f>
        <v>0</v>
      </c>
      <c r="GR241" s="2131">
        <f>IF(GR$221,_xll.ciqfunctions.udf.CIQ($G241, "IQ_VOLUME", GR$222),"--")</f>
        <v>0</v>
      </c>
      <c r="GS241" s="2131">
        <f>IF(GS$221,_xll.ciqfunctions.udf.CIQ($G241, "IQ_VOLUME", GS$222),"--")</f>
        <v>0</v>
      </c>
      <c r="GT241" s="2131">
        <f>IF(GT$221,_xll.ciqfunctions.udf.CIQ($G241, "IQ_VOLUME", GT$222),"--")</f>
        <v>0</v>
      </c>
      <c r="GU241" s="2131">
        <f>IF(GU$221,_xll.ciqfunctions.udf.CIQ($G241, "IQ_VOLUME", GU$222),"--")</f>
        <v>0</v>
      </c>
      <c r="GV241" s="2131">
        <f>IF(GV$221,_xll.ciqfunctions.udf.CIQ($G241, "IQ_VOLUME", GV$222),"--")</f>
        <v>0</v>
      </c>
      <c r="GW241" s="2131">
        <f>IF(GW$221,_xll.ciqfunctions.udf.CIQ($G241, "IQ_VOLUME", GW$222),"--")</f>
        <v>0</v>
      </c>
      <c r="GX241" s="2131">
        <f>IF(GX$221,_xll.ciqfunctions.udf.CIQ($G241, "IQ_VOLUME", GX$222),"--")</f>
        <v>0</v>
      </c>
      <c r="GY241" s="2131">
        <f>IF(GY$221,_xll.ciqfunctions.udf.CIQ($G241, "IQ_VOLUME", GY$222),"--")</f>
        <v>0</v>
      </c>
      <c r="GZ241" s="2131">
        <f>IF(GZ$221,_xll.ciqfunctions.udf.CIQ($G241, "IQ_VOLUME", GZ$222),"--")</f>
        <v>0</v>
      </c>
      <c r="HA241" s="2131">
        <f>IF(HA$221,_xll.ciqfunctions.udf.CIQ($G241, "IQ_VOLUME", HA$222),"--")</f>
        <v>0</v>
      </c>
      <c r="HB241" s="2131">
        <f>IF(HB$221,_xll.ciqfunctions.udf.CIQ($G241, "IQ_VOLUME", HB$222),"--")</f>
        <v>0</v>
      </c>
      <c r="HC241" s="2131">
        <f>IF(HC$221,_xll.ciqfunctions.udf.CIQ($G241, "IQ_VOLUME", HC$222),"--")</f>
        <v>0</v>
      </c>
      <c r="HD241" s="2131">
        <f>IF(HD$221,_xll.ciqfunctions.udf.CIQ($G241, "IQ_VOLUME", HD$222),"--")</f>
        <v>0</v>
      </c>
      <c r="HE241" s="2131">
        <f>IF(HE$221,_xll.ciqfunctions.udf.CIQ($G241, "IQ_VOLUME", HE$222),"--")</f>
        <v>0</v>
      </c>
      <c r="HF241" s="2131">
        <f>IF(HF$221,_xll.ciqfunctions.udf.CIQ($G241, "IQ_VOLUME", HF$222),"--")</f>
        <v>0</v>
      </c>
      <c r="HG241" s="2131">
        <f>IF(HG$221,_xll.ciqfunctions.udf.CIQ($G241, "IQ_VOLUME", HG$222),"--")</f>
        <v>0</v>
      </c>
      <c r="HH241" s="2131">
        <f>IF(HH$221,_xll.ciqfunctions.udf.CIQ($G241, "IQ_VOLUME", HH$222),"--")</f>
        <v>0</v>
      </c>
      <c r="HI241" s="2131">
        <f>IF(HI$221,_xll.ciqfunctions.udf.CIQ($G241, "IQ_VOLUME", HI$222),"--")</f>
        <v>0</v>
      </c>
      <c r="HJ241" s="2131">
        <f>IF(HJ$221,_xll.ciqfunctions.udf.CIQ($G241, "IQ_VOLUME", HJ$222),"--")</f>
        <v>0</v>
      </c>
      <c r="HK241" s="2131">
        <f>IF(HK$221,_xll.ciqfunctions.udf.CIQ($G241, "IQ_VOLUME", HK$222),"--")</f>
        <v>0</v>
      </c>
      <c r="HL241" s="2131">
        <f>IF(HL$221,_xll.ciqfunctions.udf.CIQ($G241, "IQ_VOLUME", HL$222),"--")</f>
        <v>0</v>
      </c>
      <c r="HM241" s="2131">
        <f>IF(HM$221,_xll.ciqfunctions.udf.CIQ($G241, "IQ_VOLUME", HM$222),"--")</f>
        <v>0</v>
      </c>
      <c r="HN241" s="2131">
        <f>IF(HN$221,_xll.ciqfunctions.udf.CIQ($G241, "IQ_VOLUME", HN$222),"--")</f>
        <v>0</v>
      </c>
      <c r="HO241" s="2131">
        <f>IF(HO$221,_xll.ciqfunctions.udf.CIQ($G241, "IQ_VOLUME", HO$222),"--")</f>
        <v>0</v>
      </c>
      <c r="HP241" s="2131">
        <f>IF(HP$221,_xll.ciqfunctions.udf.CIQ($G241, "IQ_VOLUME", HP$222),"--")</f>
        <v>0</v>
      </c>
      <c r="HQ241" s="2131">
        <f>IF(HQ$221,_xll.ciqfunctions.udf.CIQ($G241, "IQ_VOLUME", HQ$222),"--")</f>
        <v>0</v>
      </c>
      <c r="HR241" s="2131">
        <f>IF(HR$221,_xll.ciqfunctions.udf.CIQ($G241, "IQ_VOLUME", HR$222),"--")</f>
        <v>0</v>
      </c>
      <c r="HS241" s="2131">
        <f>IF(HS$221,_xll.ciqfunctions.udf.CIQ($G241, "IQ_VOLUME", HS$222),"--")</f>
        <v>0</v>
      </c>
      <c r="HT241" s="2131">
        <f>IF(HT$221,_xll.ciqfunctions.udf.CIQ($G241, "IQ_VOLUME", HT$222),"--")</f>
        <v>0</v>
      </c>
      <c r="HU241" s="2131">
        <f>IF(HU$221,_xll.ciqfunctions.udf.CIQ($G241, "IQ_VOLUME", HU$222),"--")</f>
        <v>0</v>
      </c>
      <c r="HV241" s="2131">
        <f>IF(HV$221,_xll.ciqfunctions.udf.CIQ($G241, "IQ_VOLUME", HV$222),"--")</f>
        <v>0</v>
      </c>
      <c r="HW241" s="2131">
        <f>IF(HW$221,_xll.ciqfunctions.udf.CIQ($G241, "IQ_VOLUME", HW$222),"--")</f>
        <v>0</v>
      </c>
      <c r="HX241" s="2131">
        <f>IF(HX$221,_xll.ciqfunctions.udf.CIQ($G241, "IQ_VOLUME", HX$222),"--")</f>
        <v>0</v>
      </c>
      <c r="HY241" s="2131">
        <f>IF(HY$221,_xll.ciqfunctions.udf.CIQ($G241, "IQ_VOLUME", HY$222),"--")</f>
        <v>0</v>
      </c>
      <c r="HZ241" s="2131">
        <f>IF(HZ$221,_xll.ciqfunctions.udf.CIQ($G241, "IQ_VOLUME", HZ$222),"--")</f>
        <v>0</v>
      </c>
      <c r="IA241" s="2131">
        <f>IF(IA$221,_xll.ciqfunctions.udf.CIQ($G241, "IQ_VOLUME", IA$222),"--")</f>
        <v>0</v>
      </c>
      <c r="IB241" s="2131">
        <f>IF(IB$221,_xll.ciqfunctions.udf.CIQ($G241, "IQ_VOLUME", IB$222),"--")</f>
        <v>0</v>
      </c>
      <c r="IC241" s="2131">
        <f>IF(IC$221,_xll.ciqfunctions.udf.CIQ($G241, "IQ_VOLUME", IC$222),"--")</f>
        <v>0</v>
      </c>
      <c r="ID241" s="2131">
        <f>IF(ID$221,_xll.ciqfunctions.udf.CIQ($G241, "IQ_VOLUME", ID$222),"--")</f>
        <v>0</v>
      </c>
      <c r="IE241" s="2131">
        <f>IF(IE$221,_xll.ciqfunctions.udf.CIQ($G241, "IQ_VOLUME", IE$222),"--")</f>
        <v>0</v>
      </c>
      <c r="IF241" s="2131">
        <f>IF(IF$221,_xll.ciqfunctions.udf.CIQ($G241, "IQ_VOLUME", IF$222),"--")</f>
        <v>0</v>
      </c>
      <c r="IG241" s="2131">
        <f>IF(IG$221,_xll.ciqfunctions.udf.CIQ($G241, "IQ_VOLUME", IG$222),"--")</f>
        <v>0</v>
      </c>
      <c r="IH241" s="2131">
        <f>IF(IH$221,_xll.ciqfunctions.udf.CIQ($G241, "IQ_VOLUME", IH$222),"--")</f>
        <v>0</v>
      </c>
      <c r="II241" s="2131">
        <f>IF(II$221,_xll.ciqfunctions.udf.CIQ($G241, "IQ_VOLUME", II$222),"--")</f>
        <v>0</v>
      </c>
      <c r="IJ241" s="2131">
        <f>IF(IJ$221,_xll.ciqfunctions.udf.CIQ($G241, "IQ_VOLUME", IJ$222),"--")</f>
        <v>0</v>
      </c>
      <c r="IK241" s="2131">
        <f>IF(IK$221,_xll.ciqfunctions.udf.CIQ($G241, "IQ_VOLUME", IK$222),"--")</f>
        <v>0</v>
      </c>
      <c r="IL241" s="2131">
        <f>IF(IL$221,_xll.ciqfunctions.udf.CIQ($G241, "IQ_VOLUME", IL$222),"--")</f>
        <v>0</v>
      </c>
      <c r="IM241" s="2131">
        <f>IF(IM$221,_xll.ciqfunctions.udf.CIQ($G241, "IQ_VOLUME", IM$222),"--")</f>
        <v>0</v>
      </c>
      <c r="IN241" s="2131">
        <f>IF(IN$221,_xll.ciqfunctions.udf.CIQ($G241, "IQ_VOLUME", IN$222),"--")</f>
        <v>0</v>
      </c>
      <c r="IO241" s="2131">
        <f>IF(IO$221,_xll.ciqfunctions.udf.CIQ($G241, "IQ_VOLUME", IO$222),"--")</f>
        <v>0</v>
      </c>
      <c r="IP241" s="2131">
        <f>IF(IP$221,_xll.ciqfunctions.udf.CIQ($G241, "IQ_VOLUME", IP$222),"--")</f>
        <v>0</v>
      </c>
      <c r="IQ241" s="2131">
        <f>IF(IQ$221,_xll.ciqfunctions.udf.CIQ($G241, "IQ_VOLUME", IQ$222),"--")</f>
        <v>0</v>
      </c>
      <c r="IR241" s="2131">
        <f>IF(IR$221,_xll.ciqfunctions.udf.CIQ($G241, "IQ_VOLUME", IR$222),"--")</f>
        <v>0</v>
      </c>
      <c r="IS241" s="2131">
        <f>IF(IS$221,_xll.ciqfunctions.udf.CIQ($G241, "IQ_VOLUME", IS$222),"--")</f>
        <v>0</v>
      </c>
      <c r="IT241" s="2131">
        <f>IF(IT$221,_xll.ciqfunctions.udf.CIQ($G241, "IQ_VOLUME", IT$222),"--")</f>
        <v>0</v>
      </c>
      <c r="IU241" s="2131">
        <f>IF(IU$221,_xll.ciqfunctions.udf.CIQ($G241, "IQ_VOLUME", IU$222),"--")</f>
        <v>0</v>
      </c>
      <c r="IV241" s="2131">
        <f>IF(IV$221,_xll.ciqfunctions.udf.CIQ($G241, "IQ_VOLUME", IV$222),"--")</f>
        <v>0</v>
      </c>
      <c r="IW241" s="2131">
        <f>IF(IW$221,_xll.ciqfunctions.udf.CIQ($G241, "IQ_VOLUME", IW$222),"--")</f>
        <v>0</v>
      </c>
      <c r="IX241" s="2131">
        <f>IF(IX$221,_xll.ciqfunctions.udf.CIQ($G241, "IQ_VOLUME", IX$222),"--")</f>
        <v>0</v>
      </c>
      <c r="IY241" s="2131">
        <f>IF(IY$221,_xll.ciqfunctions.udf.CIQ($G241, "IQ_VOLUME", IY$222),"--")</f>
        <v>0</v>
      </c>
      <c r="IZ241" s="2131">
        <f>IF(IZ$221,_xll.ciqfunctions.udf.CIQ($G241, "IQ_VOLUME", IZ$222),"--")</f>
        <v>0</v>
      </c>
      <c r="JA241" s="2131">
        <f>IF(JA$221,_xll.ciqfunctions.udf.CIQ($G241, "IQ_VOLUME", JA$222),"--")</f>
        <v>0</v>
      </c>
      <c r="JB241" s="2131">
        <f>IF(JB$221,_xll.ciqfunctions.udf.CIQ($G241, "IQ_VOLUME", JB$222),"--")</f>
        <v>0</v>
      </c>
      <c r="JC241" s="2131">
        <f>IF(JC$221,_xll.ciqfunctions.udf.CIQ($G241, "IQ_VOLUME", JC$222),"--")</f>
        <v>0</v>
      </c>
      <c r="JD241" s="2131">
        <f>IF(JD$221,_xll.ciqfunctions.udf.CIQ($G241, "IQ_VOLUME", JD$222),"--")</f>
        <v>0</v>
      </c>
      <c r="JE241" s="2131">
        <f>IF(JE$221,_xll.ciqfunctions.udf.CIQ($G241, "IQ_VOLUME", JE$222),"--")</f>
        <v>0</v>
      </c>
      <c r="JF241" s="2131">
        <f>IF(JF$221,_xll.ciqfunctions.udf.CIQ($G241, "IQ_VOLUME", JF$222),"--")</f>
        <v>0</v>
      </c>
      <c r="JG241" s="2131">
        <f>IF(JG$221,_xll.ciqfunctions.udf.CIQ($G241, "IQ_VOLUME", JG$222),"--")</f>
        <v>0</v>
      </c>
      <c r="JH241" s="2131">
        <f>IF(JH$221,_xll.ciqfunctions.udf.CIQ($G241, "IQ_VOLUME", JH$222),"--")</f>
        <v>0</v>
      </c>
      <c r="JI241" s="2131">
        <f>IF(JI$221,_xll.ciqfunctions.udf.CIQ($G241, "IQ_VOLUME", JI$222),"--")</f>
        <v>0</v>
      </c>
      <c r="JJ241" s="2131">
        <f>IF(JJ$221,_xll.ciqfunctions.udf.CIQ($G241, "IQ_VOLUME", JJ$222),"--")</f>
        <v>0</v>
      </c>
      <c r="JK241" s="2131">
        <f>IF(JK$221,_xll.ciqfunctions.udf.CIQ($G241, "IQ_VOLUME", JK$222),"--")</f>
        <v>0</v>
      </c>
      <c r="JL241" s="2131">
        <f>IF(JL$221,_xll.ciqfunctions.udf.CIQ($G241, "IQ_VOLUME", JL$222),"--")</f>
        <v>0</v>
      </c>
      <c r="JM241" s="2131">
        <f>IF(JM$221,_xll.ciqfunctions.udf.CIQ($G241, "IQ_VOLUME", JM$222),"--")</f>
        <v>0</v>
      </c>
      <c r="JN241" s="2131">
        <f>IF(JN$221,_xll.ciqfunctions.udf.CIQ($G241, "IQ_VOLUME", JN$222),"--")</f>
        <v>0</v>
      </c>
      <c r="JO241" s="2131">
        <f>IF(JO$221,_xll.ciqfunctions.udf.CIQ($G241, "IQ_VOLUME", JO$222),"--")</f>
        <v>0</v>
      </c>
      <c r="JP241" s="2131">
        <f>IF(JP$221,_xll.ciqfunctions.udf.CIQ($G241, "IQ_VOLUME", JP$222),"--")</f>
        <v>0</v>
      </c>
      <c r="JQ241" s="2131">
        <f>IF(JQ$221,_xll.ciqfunctions.udf.CIQ($G241, "IQ_VOLUME", JQ$222),"--")</f>
        <v>0</v>
      </c>
      <c r="JR241" s="2131">
        <f>IF(JR$221,_xll.ciqfunctions.udf.CIQ($G241, "IQ_VOLUME", JR$222),"--")</f>
        <v>0</v>
      </c>
      <c r="JS241" s="2131">
        <f>IF(JS$221,_xll.ciqfunctions.udf.CIQ($G241, "IQ_VOLUME", JS$222),"--")</f>
        <v>0</v>
      </c>
      <c r="JT241" s="2131">
        <f>IF(JT$221,_xll.ciqfunctions.udf.CIQ($G241, "IQ_VOLUME", JT$222),"--")</f>
        <v>0</v>
      </c>
      <c r="JU241" s="2131">
        <f>IF(JU$221,_xll.ciqfunctions.udf.CIQ($G241, "IQ_VOLUME", JU$222),"--")</f>
        <v>0</v>
      </c>
      <c r="JV241" s="2131">
        <f>IF(JV$221,_xll.ciqfunctions.udf.CIQ($G241, "IQ_VOLUME", JV$222),"--")</f>
        <v>0</v>
      </c>
      <c r="JW241" s="2131" t="str">
        <f>IF(JW$221,_xll.ciqfunctions.udf.CIQ($G241, "IQ_VOLUME", JW$222),"--")</f>
        <v>--</v>
      </c>
      <c r="JX241" s="2131" t="str">
        <f>IF(JX$221,_xll.ciqfunctions.udf.CIQ($G241, "IQ_VOLUME", JX$222),"--")</f>
        <v>--</v>
      </c>
      <c r="JY241" s="2131" t="str">
        <f>IF(JY$221,_xll.ciqfunctions.udf.CIQ($G241, "IQ_VOLUME", JY$222),"--")</f>
        <v>--</v>
      </c>
      <c r="JZ241" s="2131" t="str">
        <f>IF(JZ$221,_xll.ciqfunctions.udf.CIQ($G241, "IQ_VOLUME", JZ$222),"--")</f>
        <v>--</v>
      </c>
      <c r="KA241" s="2131" t="str">
        <f>IF(KA$221,_xll.ciqfunctions.udf.CIQ($G241, "IQ_VOLUME", KA$222),"--")</f>
        <v>--</v>
      </c>
      <c r="KB241" s="2131" t="str">
        <f>IF(KB$221,_xll.ciqfunctions.udf.CIQ($G241, "IQ_VOLUME", KB$222),"--")</f>
        <v>--</v>
      </c>
    </row>
    <row r="242" spans="1:288" s="89" customFormat="1" ht="13.9">
      <c r="A242" s="269" t="str">
        <f t="shared" si="47"/>
        <v>n</v>
      </c>
      <c r="B242" s="2060"/>
      <c r="D242" s="801"/>
      <c r="E242" s="1505">
        <v>19</v>
      </c>
      <c r="F242" s="21" t="str">
        <f>F$147</f>
        <v>--</v>
      </c>
      <c r="G242" s="2112">
        <f>G$147</f>
        <v>0</v>
      </c>
      <c r="H242" s="2112" t="str">
        <f>H$147</f>
        <v>--</v>
      </c>
      <c r="I242" s="22" t="s">
        <v>781</v>
      </c>
      <c r="J242" s="53"/>
      <c r="K242" s="2301" t="str">
        <f>IF(OR(K210=0,$G242=0),"--",IFERROR(_xll.ciqfunctions.udf.CIQ($G242,$I242,K118,Valuation_Date_GC,ReportType,DataMode,$H242,FXMode)*Scale,"--"))</f>
        <v>--</v>
      </c>
      <c r="L242" s="2301" t="str">
        <f>IF(OR(L210=0,$G242=0),"--",IFERROR(_xll.ciqfunctions.udf.CIQ($G242,$I242,L118,Valuation_Date_GC,ReportType,DataMode,$H242,FXMode)*Scale,"--"))</f>
        <v>--</v>
      </c>
      <c r="M242" s="2301" t="str">
        <f>IF(OR(M210=0,$G242=0),"--",IFERROR(_xll.ciqfunctions.udf.CIQ($G242,$I242,M118,Valuation_Date_GC,ReportType,DataMode,$H242,FXMode)*Scale,"--"))</f>
        <v>--</v>
      </c>
      <c r="N242" s="2301" t="str">
        <f>IF(OR(N210=0,$G242=0),"--",IFERROR(_xll.ciqfunctions.udf.CIQ($G242,$I242,N118,Valuation_Date_GC,ReportType,DataMode,$H242,FXMode)*Scale,"--"))</f>
        <v>--</v>
      </c>
      <c r="O242" s="1471" t="str">
        <f>IF(OR(O210=0,$G242=0),"--",IFERROR(_xll.ciqfunctions.udf.CIQ($G242,$I242,O118,Valuation_Date_GC,ReportType,DataMode,$H242,FXMode)*Scale,"--"))</f>
        <v>--</v>
      </c>
      <c r="P242" s="2301" t="str">
        <f>IF(OR(P210=0,$G242=0),"--",IFERROR(_xll.ciqfunctions.udf.CIQ($G242,$I242,P118,Valuation_Date_GC,ReportType,DataMode,$H242,FXMode)*Scale,"--"))</f>
        <v>--</v>
      </c>
      <c r="R242" s="255"/>
      <c r="T242" s="1779" t="s">
        <v>782</v>
      </c>
      <c r="U242" s="2131">
        <f>IF(U$221,_xll.ciqfunctions.udf.CIQ($G242, "IQ_VOLUME", U$222),"--")</f>
        <v>0</v>
      </c>
      <c r="V242" s="2131">
        <f>IF(V$221,_xll.ciqfunctions.udf.CIQ($G242, "IQ_VOLUME", V$222),"--")</f>
        <v>0</v>
      </c>
      <c r="W242" s="2131">
        <f>IF(W$221,_xll.ciqfunctions.udf.CIQ($G242, "IQ_VOLUME", W$222),"--")</f>
        <v>0</v>
      </c>
      <c r="X242" s="2131">
        <f>IF(X$221,_xll.ciqfunctions.udf.CIQ($G242, "IQ_VOLUME", X$222),"--")</f>
        <v>0</v>
      </c>
      <c r="Y242" s="2131">
        <f>IF(Y$221,_xll.ciqfunctions.udf.CIQ($G242, "IQ_VOLUME", Y$222),"--")</f>
        <v>0</v>
      </c>
      <c r="Z242" s="2131">
        <f>IF(Z$221,_xll.ciqfunctions.udf.CIQ($G242, "IQ_VOLUME", Z$222),"--")</f>
        <v>0</v>
      </c>
      <c r="AA242" s="2131">
        <f>IF(AA$221,_xll.ciqfunctions.udf.CIQ($G242, "IQ_VOLUME", AA$222),"--")</f>
        <v>0</v>
      </c>
      <c r="AB242" s="2131">
        <f>IF(AB$221,_xll.ciqfunctions.udf.CIQ($G242, "IQ_VOLUME", AB$222),"--")</f>
        <v>0</v>
      </c>
      <c r="AC242" s="2131">
        <f>IF(AC$221,_xll.ciqfunctions.udf.CIQ($G242, "IQ_VOLUME", AC$222),"--")</f>
        <v>0</v>
      </c>
      <c r="AD242" s="2131">
        <f>IF(AD$221,_xll.ciqfunctions.udf.CIQ($G242, "IQ_VOLUME", AD$222),"--")</f>
        <v>0</v>
      </c>
      <c r="AE242" s="2131">
        <f>IF(AE$221,_xll.ciqfunctions.udf.CIQ($G242, "IQ_VOLUME", AE$222),"--")</f>
        <v>0</v>
      </c>
      <c r="AF242" s="2131">
        <f>IF(AF$221,_xll.ciqfunctions.udf.CIQ($G242, "IQ_VOLUME", AF$222),"--")</f>
        <v>0</v>
      </c>
      <c r="AG242" s="2131">
        <f>IF(AG$221,_xll.ciqfunctions.udf.CIQ($G242, "IQ_VOLUME", AG$222),"--")</f>
        <v>0</v>
      </c>
      <c r="AH242" s="2131">
        <f>IF(AH$221,_xll.ciqfunctions.udf.CIQ($G242, "IQ_VOLUME", AH$222),"--")</f>
        <v>0</v>
      </c>
      <c r="AI242" s="2131">
        <f>IF(AI$221,_xll.ciqfunctions.udf.CIQ($G242, "IQ_VOLUME", AI$222),"--")</f>
        <v>0</v>
      </c>
      <c r="AJ242" s="2131">
        <f>IF(AJ$221,_xll.ciqfunctions.udf.CIQ($G242, "IQ_VOLUME", AJ$222),"--")</f>
        <v>0</v>
      </c>
      <c r="AK242" s="2131">
        <f>IF(AK$221,_xll.ciqfunctions.udf.CIQ($G242, "IQ_VOLUME", AK$222),"--")</f>
        <v>0</v>
      </c>
      <c r="AL242" s="2131">
        <f>IF(AL$221,_xll.ciqfunctions.udf.CIQ($G242, "IQ_VOLUME", AL$222),"--")</f>
        <v>0</v>
      </c>
      <c r="AM242" s="2131">
        <f>IF(AM$221,_xll.ciqfunctions.udf.CIQ($G242, "IQ_VOLUME", AM$222),"--")</f>
        <v>0</v>
      </c>
      <c r="AN242" s="2131">
        <f>IF(AN$221,_xll.ciqfunctions.udf.CIQ($G242, "IQ_VOLUME", AN$222),"--")</f>
        <v>0</v>
      </c>
      <c r="AO242" s="2131">
        <f>IF(AO$221,_xll.ciqfunctions.udf.CIQ($G242, "IQ_VOLUME", AO$222),"--")</f>
        <v>0</v>
      </c>
      <c r="AP242" s="2131">
        <f>IF(AP$221,_xll.ciqfunctions.udf.CIQ($G242, "IQ_VOLUME", AP$222),"--")</f>
        <v>0</v>
      </c>
      <c r="AQ242" s="2131">
        <f>IF(AQ$221,_xll.ciqfunctions.udf.CIQ($G242, "IQ_VOLUME", AQ$222),"--")</f>
        <v>0</v>
      </c>
      <c r="AR242" s="2131">
        <f>IF(AR$221,_xll.ciqfunctions.udf.CIQ($G242, "IQ_VOLUME", AR$222),"--")</f>
        <v>0</v>
      </c>
      <c r="AS242" s="2131">
        <f>IF(AS$221,_xll.ciqfunctions.udf.CIQ($G242, "IQ_VOLUME", AS$222),"--")</f>
        <v>0</v>
      </c>
      <c r="AT242" s="2131">
        <f>IF(AT$221,_xll.ciqfunctions.udf.CIQ($G242, "IQ_VOLUME", AT$222),"--")</f>
        <v>0</v>
      </c>
      <c r="AU242" s="2131">
        <f>IF(AU$221,_xll.ciqfunctions.udf.CIQ($G242, "IQ_VOLUME", AU$222),"--")</f>
        <v>0</v>
      </c>
      <c r="AV242" s="2131">
        <f>IF(AV$221,_xll.ciqfunctions.udf.CIQ($G242, "IQ_VOLUME", AV$222),"--")</f>
        <v>0</v>
      </c>
      <c r="AW242" s="2131">
        <f>IF(AW$221,_xll.ciqfunctions.udf.CIQ($G242, "IQ_VOLUME", AW$222),"--")</f>
        <v>0</v>
      </c>
      <c r="AX242" s="2131">
        <f>IF(AX$221,_xll.ciqfunctions.udf.CIQ($G242, "IQ_VOLUME", AX$222),"--")</f>
        <v>0</v>
      </c>
      <c r="AY242" s="2131">
        <f>IF(AY$221,_xll.ciqfunctions.udf.CIQ($G242, "IQ_VOLUME", AY$222),"--")</f>
        <v>0</v>
      </c>
      <c r="AZ242" s="2131">
        <f>IF(AZ$221,_xll.ciqfunctions.udf.CIQ($G242, "IQ_VOLUME", AZ$222),"--")</f>
        <v>0</v>
      </c>
      <c r="BA242" s="2131">
        <f>IF(BA$221,_xll.ciqfunctions.udf.CIQ($G242, "IQ_VOLUME", BA$222),"--")</f>
        <v>0</v>
      </c>
      <c r="BB242" s="2131">
        <f>IF(BB$221,_xll.ciqfunctions.udf.CIQ($G242, "IQ_VOLUME", BB$222),"--")</f>
        <v>0</v>
      </c>
      <c r="BC242" s="2131">
        <f>IF(BC$221,_xll.ciqfunctions.udf.CIQ($G242, "IQ_VOLUME", BC$222),"--")</f>
        <v>0</v>
      </c>
      <c r="BD242" s="2131">
        <f>IF(BD$221,_xll.ciqfunctions.udf.CIQ($G242, "IQ_VOLUME", BD$222),"--")</f>
        <v>0</v>
      </c>
      <c r="BE242" s="2131">
        <f>IF(BE$221,_xll.ciqfunctions.udf.CIQ($G242, "IQ_VOLUME", BE$222),"--")</f>
        <v>0</v>
      </c>
      <c r="BF242" s="2131">
        <f>IF(BF$221,_xll.ciqfunctions.udf.CIQ($G242, "IQ_VOLUME", BF$222),"--")</f>
        <v>0</v>
      </c>
      <c r="BG242" s="2131">
        <f>IF(BG$221,_xll.ciqfunctions.udf.CIQ($G242, "IQ_VOLUME", BG$222),"--")</f>
        <v>0</v>
      </c>
      <c r="BH242" s="2131">
        <f>IF(BH$221,_xll.ciqfunctions.udf.CIQ($G242, "IQ_VOLUME", BH$222),"--")</f>
        <v>0</v>
      </c>
      <c r="BI242" s="2131">
        <f>IF(BI$221,_xll.ciqfunctions.udf.CIQ($G242, "IQ_VOLUME", BI$222),"--")</f>
        <v>0</v>
      </c>
      <c r="BJ242" s="2131">
        <f>IF(BJ$221,_xll.ciqfunctions.udf.CIQ($G242, "IQ_VOLUME", BJ$222),"--")</f>
        <v>0</v>
      </c>
      <c r="BK242" s="2131">
        <f>IF(BK$221,_xll.ciqfunctions.udf.CIQ($G242, "IQ_VOLUME", BK$222),"--")</f>
        <v>0</v>
      </c>
      <c r="BL242" s="2131">
        <f>IF(BL$221,_xll.ciqfunctions.udf.CIQ($G242, "IQ_VOLUME", BL$222),"--")</f>
        <v>0</v>
      </c>
      <c r="BM242" s="2131">
        <f>IF(BM$221,_xll.ciqfunctions.udf.CIQ($G242, "IQ_VOLUME", BM$222),"--")</f>
        <v>0</v>
      </c>
      <c r="BN242" s="2131">
        <f>IF(BN$221,_xll.ciqfunctions.udf.CIQ($G242, "IQ_VOLUME", BN$222),"--")</f>
        <v>0</v>
      </c>
      <c r="BO242" s="2131">
        <f>IF(BO$221,_xll.ciqfunctions.udf.CIQ($G242, "IQ_VOLUME", BO$222),"--")</f>
        <v>0</v>
      </c>
      <c r="BP242" s="2131">
        <f>IF(BP$221,_xll.ciqfunctions.udf.CIQ($G242, "IQ_VOLUME", BP$222),"--")</f>
        <v>0</v>
      </c>
      <c r="BQ242" s="2131">
        <f>IF(BQ$221,_xll.ciqfunctions.udf.CIQ($G242, "IQ_VOLUME", BQ$222),"--")</f>
        <v>0</v>
      </c>
      <c r="BR242" s="2131">
        <f>IF(BR$221,_xll.ciqfunctions.udf.CIQ($G242, "IQ_VOLUME", BR$222),"--")</f>
        <v>0</v>
      </c>
      <c r="BS242" s="2131">
        <f>IF(BS$221,_xll.ciqfunctions.udf.CIQ($G242, "IQ_VOLUME", BS$222),"--")</f>
        <v>0</v>
      </c>
      <c r="BT242" s="2131">
        <f>IF(BT$221,_xll.ciqfunctions.udf.CIQ($G242, "IQ_VOLUME", BT$222),"--")</f>
        <v>0</v>
      </c>
      <c r="BU242" s="2131">
        <f>IF(BU$221,_xll.ciqfunctions.udf.CIQ($G242, "IQ_VOLUME", BU$222),"--")</f>
        <v>0</v>
      </c>
      <c r="BV242" s="2131">
        <f>IF(BV$221,_xll.ciqfunctions.udf.CIQ($G242, "IQ_VOLUME", BV$222),"--")</f>
        <v>0</v>
      </c>
      <c r="BW242" s="2131">
        <f>IF(BW$221,_xll.ciqfunctions.udf.CIQ($G242, "IQ_VOLUME", BW$222),"--")</f>
        <v>0</v>
      </c>
      <c r="BX242" s="2131">
        <f>IF(BX$221,_xll.ciqfunctions.udf.CIQ($G242, "IQ_VOLUME", BX$222),"--")</f>
        <v>0</v>
      </c>
      <c r="BY242" s="2131">
        <f>IF(BY$221,_xll.ciqfunctions.udf.CIQ($G242, "IQ_VOLUME", BY$222),"--")</f>
        <v>0</v>
      </c>
      <c r="BZ242" s="2131">
        <f>IF(BZ$221,_xll.ciqfunctions.udf.CIQ($G242, "IQ_VOLUME", BZ$222),"--")</f>
        <v>0</v>
      </c>
      <c r="CA242" s="2131">
        <f>IF(CA$221,_xll.ciqfunctions.udf.CIQ($G242, "IQ_VOLUME", CA$222),"--")</f>
        <v>0</v>
      </c>
      <c r="CB242" s="2131">
        <f>IF(CB$221,_xll.ciqfunctions.udf.CIQ($G242, "IQ_VOLUME", CB$222),"--")</f>
        <v>0</v>
      </c>
      <c r="CC242" s="2131">
        <f>IF(CC$221,_xll.ciqfunctions.udf.CIQ($G242, "IQ_VOLUME", CC$222),"--")</f>
        <v>0</v>
      </c>
      <c r="CD242" s="2131">
        <f>IF(CD$221,_xll.ciqfunctions.udf.CIQ($G242, "IQ_VOLUME", CD$222),"--")</f>
        <v>0</v>
      </c>
      <c r="CE242" s="2131">
        <f>IF(CE$221,_xll.ciqfunctions.udf.CIQ($G242, "IQ_VOLUME", CE$222),"--")</f>
        <v>0</v>
      </c>
      <c r="CF242" s="2131">
        <f>IF(CF$221,_xll.ciqfunctions.udf.CIQ($G242, "IQ_VOLUME", CF$222),"--")</f>
        <v>0</v>
      </c>
      <c r="CG242" s="2131">
        <f>IF(CG$221,_xll.ciqfunctions.udf.CIQ($G242, "IQ_VOLUME", CG$222),"--")</f>
        <v>0</v>
      </c>
      <c r="CH242" s="2131">
        <f>IF(CH$221,_xll.ciqfunctions.udf.CIQ($G242, "IQ_VOLUME", CH$222),"--")</f>
        <v>0</v>
      </c>
      <c r="CI242" s="2131">
        <f>IF(CI$221,_xll.ciqfunctions.udf.CIQ($G242, "IQ_VOLUME", CI$222),"--")</f>
        <v>0</v>
      </c>
      <c r="CJ242" s="2131">
        <f>IF(CJ$221,_xll.ciqfunctions.udf.CIQ($G242, "IQ_VOLUME", CJ$222),"--")</f>
        <v>0</v>
      </c>
      <c r="CK242" s="2131">
        <f>IF(CK$221,_xll.ciqfunctions.udf.CIQ($G242, "IQ_VOLUME", CK$222),"--")</f>
        <v>0</v>
      </c>
      <c r="CL242" s="2131">
        <f>IF(CL$221,_xll.ciqfunctions.udf.CIQ($G242, "IQ_VOLUME", CL$222),"--")</f>
        <v>0</v>
      </c>
      <c r="CM242" s="2131">
        <f>IF(CM$221,_xll.ciqfunctions.udf.CIQ($G242, "IQ_VOLUME", CM$222),"--")</f>
        <v>0</v>
      </c>
      <c r="CN242" s="2131">
        <f>IF(CN$221,_xll.ciqfunctions.udf.CIQ($G242, "IQ_VOLUME", CN$222),"--")</f>
        <v>0</v>
      </c>
      <c r="CO242" s="2131">
        <f>IF(CO$221,_xll.ciqfunctions.udf.CIQ($G242, "IQ_VOLUME", CO$222),"--")</f>
        <v>0</v>
      </c>
      <c r="CP242" s="2131">
        <f>IF(CP$221,_xll.ciqfunctions.udf.CIQ($G242, "IQ_VOLUME", CP$222),"--")</f>
        <v>0</v>
      </c>
      <c r="CQ242" s="2131">
        <f>IF(CQ$221,_xll.ciqfunctions.udf.CIQ($G242, "IQ_VOLUME", CQ$222),"--")</f>
        <v>0</v>
      </c>
      <c r="CR242" s="2131">
        <f>IF(CR$221,_xll.ciqfunctions.udf.CIQ($G242, "IQ_VOLUME", CR$222),"--")</f>
        <v>0</v>
      </c>
      <c r="CS242" s="2131">
        <f>IF(CS$221,_xll.ciqfunctions.udf.CIQ($G242, "IQ_VOLUME", CS$222),"--")</f>
        <v>0</v>
      </c>
      <c r="CT242" s="2131">
        <f>IF(CT$221,_xll.ciqfunctions.udf.CIQ($G242, "IQ_VOLUME", CT$222),"--")</f>
        <v>0</v>
      </c>
      <c r="CU242" s="2131">
        <f>IF(CU$221,_xll.ciqfunctions.udf.CIQ($G242, "IQ_VOLUME", CU$222),"--")</f>
        <v>0</v>
      </c>
      <c r="CV242" s="2131">
        <f>IF(CV$221,_xll.ciqfunctions.udf.CIQ($G242, "IQ_VOLUME", CV$222),"--")</f>
        <v>0</v>
      </c>
      <c r="CW242" s="2131">
        <f>IF(CW$221,_xll.ciqfunctions.udf.CIQ($G242, "IQ_VOLUME", CW$222),"--")</f>
        <v>0</v>
      </c>
      <c r="CX242" s="2131">
        <f>IF(CX$221,_xll.ciqfunctions.udf.CIQ($G242, "IQ_VOLUME", CX$222),"--")</f>
        <v>0</v>
      </c>
      <c r="CY242" s="2131">
        <f>IF(CY$221,_xll.ciqfunctions.udf.CIQ($G242, "IQ_VOLUME", CY$222),"--")</f>
        <v>0</v>
      </c>
      <c r="CZ242" s="2131">
        <f>IF(CZ$221,_xll.ciqfunctions.udf.CIQ($G242, "IQ_VOLUME", CZ$222),"--")</f>
        <v>0</v>
      </c>
      <c r="DA242" s="2131">
        <f>IF(DA$221,_xll.ciqfunctions.udf.CIQ($G242, "IQ_VOLUME", DA$222),"--")</f>
        <v>0</v>
      </c>
      <c r="DB242" s="2131">
        <f>IF(DB$221,_xll.ciqfunctions.udf.CIQ($G242, "IQ_VOLUME", DB$222),"--")</f>
        <v>0</v>
      </c>
      <c r="DC242" s="2131">
        <f>IF(DC$221,_xll.ciqfunctions.udf.CIQ($G242, "IQ_VOLUME", DC$222),"--")</f>
        <v>0</v>
      </c>
      <c r="DD242" s="2131">
        <f>IF(DD$221,_xll.ciqfunctions.udf.CIQ($G242, "IQ_VOLUME", DD$222),"--")</f>
        <v>0</v>
      </c>
      <c r="DE242" s="2131">
        <f>IF(DE$221,_xll.ciqfunctions.udf.CIQ($G242, "IQ_VOLUME", DE$222),"--")</f>
        <v>0</v>
      </c>
      <c r="DF242" s="2131">
        <f>IF(DF$221,_xll.ciqfunctions.udf.CIQ($G242, "IQ_VOLUME", DF$222),"--")</f>
        <v>0</v>
      </c>
      <c r="DG242" s="2131">
        <f>IF(DG$221,_xll.ciqfunctions.udf.CIQ($G242, "IQ_VOLUME", DG$222),"--")</f>
        <v>0</v>
      </c>
      <c r="DH242" s="2131">
        <f>IF(DH$221,_xll.ciqfunctions.udf.CIQ($G242, "IQ_VOLUME", DH$222),"--")</f>
        <v>0</v>
      </c>
      <c r="DI242" s="2131">
        <f>IF(DI$221,_xll.ciqfunctions.udf.CIQ($G242, "IQ_VOLUME", DI$222),"--")</f>
        <v>0</v>
      </c>
      <c r="DJ242" s="2131">
        <f>IF(DJ$221,_xll.ciqfunctions.udf.CIQ($G242, "IQ_VOLUME", DJ$222),"--")</f>
        <v>0</v>
      </c>
      <c r="DK242" s="2131">
        <f>IF(DK$221,_xll.ciqfunctions.udf.CIQ($G242, "IQ_VOLUME", DK$222),"--")</f>
        <v>0</v>
      </c>
      <c r="DL242" s="2131">
        <f>IF(DL$221,_xll.ciqfunctions.udf.CIQ($G242, "IQ_VOLUME", DL$222),"--")</f>
        <v>0</v>
      </c>
      <c r="DM242" s="2131">
        <f>IF(DM$221,_xll.ciqfunctions.udf.CIQ($G242, "IQ_VOLUME", DM$222),"--")</f>
        <v>0</v>
      </c>
      <c r="DN242" s="2131">
        <f>IF(DN$221,_xll.ciqfunctions.udf.CIQ($G242, "IQ_VOLUME", DN$222),"--")</f>
        <v>0</v>
      </c>
      <c r="DO242" s="2131">
        <f>IF(DO$221,_xll.ciqfunctions.udf.CIQ($G242, "IQ_VOLUME", DO$222),"--")</f>
        <v>0</v>
      </c>
      <c r="DP242" s="2131">
        <f>IF(DP$221,_xll.ciqfunctions.udf.CIQ($G242, "IQ_VOLUME", DP$222),"--")</f>
        <v>0</v>
      </c>
      <c r="DQ242" s="2131">
        <f>IF(DQ$221,_xll.ciqfunctions.udf.CIQ($G242, "IQ_VOLUME", DQ$222),"--")</f>
        <v>0</v>
      </c>
      <c r="DR242" s="2131">
        <f>IF(DR$221,_xll.ciqfunctions.udf.CIQ($G242, "IQ_VOLUME", DR$222),"--")</f>
        <v>0</v>
      </c>
      <c r="DS242" s="2131">
        <f>IF(DS$221,_xll.ciqfunctions.udf.CIQ($G242, "IQ_VOLUME", DS$222),"--")</f>
        <v>0</v>
      </c>
      <c r="DT242" s="2131">
        <f>IF(DT$221,_xll.ciqfunctions.udf.CIQ($G242, "IQ_VOLUME", DT$222),"--")</f>
        <v>0</v>
      </c>
      <c r="DU242" s="2131">
        <f>IF(DU$221,_xll.ciqfunctions.udf.CIQ($G242, "IQ_VOLUME", DU$222),"--")</f>
        <v>0</v>
      </c>
      <c r="DV242" s="2131">
        <f>IF(DV$221,_xll.ciqfunctions.udf.CIQ($G242, "IQ_VOLUME", DV$222),"--")</f>
        <v>0</v>
      </c>
      <c r="DW242" s="2131">
        <f>IF(DW$221,_xll.ciqfunctions.udf.CIQ($G242, "IQ_VOLUME", DW$222),"--")</f>
        <v>0</v>
      </c>
      <c r="DX242" s="2131">
        <f>IF(DX$221,_xll.ciqfunctions.udf.CIQ($G242, "IQ_VOLUME", DX$222),"--")</f>
        <v>0</v>
      </c>
      <c r="DY242" s="2131">
        <f>IF(DY$221,_xll.ciqfunctions.udf.CIQ($G242, "IQ_VOLUME", DY$222),"--")</f>
        <v>0</v>
      </c>
      <c r="DZ242" s="2131">
        <f>IF(DZ$221,_xll.ciqfunctions.udf.CIQ($G242, "IQ_VOLUME", DZ$222),"--")</f>
        <v>0</v>
      </c>
      <c r="EA242" s="2131">
        <f>IF(EA$221,_xll.ciqfunctions.udf.CIQ($G242, "IQ_VOLUME", EA$222),"--")</f>
        <v>0</v>
      </c>
      <c r="EB242" s="2131">
        <f>IF(EB$221,_xll.ciqfunctions.udf.CIQ($G242, "IQ_VOLUME", EB$222),"--")</f>
        <v>0</v>
      </c>
      <c r="EC242" s="2131">
        <f>IF(EC$221,_xll.ciqfunctions.udf.CIQ($G242, "IQ_VOLUME", EC$222),"--")</f>
        <v>0</v>
      </c>
      <c r="ED242" s="2131">
        <f>IF(ED$221,_xll.ciqfunctions.udf.CIQ($G242, "IQ_VOLUME", ED$222),"--")</f>
        <v>0</v>
      </c>
      <c r="EE242" s="2131">
        <f>IF(EE$221,_xll.ciqfunctions.udf.CIQ($G242, "IQ_VOLUME", EE$222),"--")</f>
        <v>0</v>
      </c>
      <c r="EF242" s="2131">
        <f>IF(EF$221,_xll.ciqfunctions.udf.CIQ($G242, "IQ_VOLUME", EF$222),"--")</f>
        <v>0</v>
      </c>
      <c r="EG242" s="2131">
        <f>IF(EG$221,_xll.ciqfunctions.udf.CIQ($G242, "IQ_VOLUME", EG$222),"--")</f>
        <v>0</v>
      </c>
      <c r="EH242" s="2131">
        <f>IF(EH$221,_xll.ciqfunctions.udf.CIQ($G242, "IQ_VOLUME", EH$222),"--")</f>
        <v>0</v>
      </c>
      <c r="EI242" s="2131">
        <f>IF(EI$221,_xll.ciqfunctions.udf.CIQ($G242, "IQ_VOLUME", EI$222),"--")</f>
        <v>0</v>
      </c>
      <c r="EJ242" s="2131">
        <f>IF(EJ$221,_xll.ciqfunctions.udf.CIQ($G242, "IQ_VOLUME", EJ$222),"--")</f>
        <v>0</v>
      </c>
      <c r="EK242" s="2131">
        <f>IF(EK$221,_xll.ciqfunctions.udf.CIQ($G242, "IQ_VOLUME", EK$222),"--")</f>
        <v>0</v>
      </c>
      <c r="EL242" s="2131">
        <f>IF(EL$221,_xll.ciqfunctions.udf.CIQ($G242, "IQ_VOLUME", EL$222),"--")</f>
        <v>0</v>
      </c>
      <c r="EM242" s="2131">
        <f>IF(EM$221,_xll.ciqfunctions.udf.CIQ($G242, "IQ_VOLUME", EM$222),"--")</f>
        <v>0</v>
      </c>
      <c r="EN242" s="2131">
        <f>IF(EN$221,_xll.ciqfunctions.udf.CIQ($G242, "IQ_VOLUME", EN$222),"--")</f>
        <v>0</v>
      </c>
      <c r="EO242" s="2131">
        <f>IF(EO$221,_xll.ciqfunctions.udf.CIQ($G242, "IQ_VOLUME", EO$222),"--")</f>
        <v>0</v>
      </c>
      <c r="EP242" s="2131">
        <f>IF(EP$221,_xll.ciqfunctions.udf.CIQ($G242, "IQ_VOLUME", EP$222),"--")</f>
        <v>0</v>
      </c>
      <c r="EQ242" s="2131">
        <f>IF(EQ$221,_xll.ciqfunctions.udf.CIQ($G242, "IQ_VOLUME", EQ$222),"--")</f>
        <v>0</v>
      </c>
      <c r="ER242" s="2131">
        <f>IF(ER$221,_xll.ciqfunctions.udf.CIQ($G242, "IQ_VOLUME", ER$222),"--")</f>
        <v>0</v>
      </c>
      <c r="ES242" s="2131">
        <f>IF(ES$221,_xll.ciqfunctions.udf.CIQ($G242, "IQ_VOLUME", ES$222),"--")</f>
        <v>0</v>
      </c>
      <c r="ET242" s="2131">
        <f>IF(ET$221,_xll.ciqfunctions.udf.CIQ($G242, "IQ_VOLUME", ET$222),"--")</f>
        <v>0</v>
      </c>
      <c r="EU242" s="2131">
        <f>IF(EU$221,_xll.ciqfunctions.udf.CIQ($G242, "IQ_VOLUME", EU$222),"--")</f>
        <v>0</v>
      </c>
      <c r="EV242" s="2131">
        <f>IF(EV$221,_xll.ciqfunctions.udf.CIQ($G242, "IQ_VOLUME", EV$222),"--")</f>
        <v>0</v>
      </c>
      <c r="EW242" s="2131">
        <f>IF(EW$221,_xll.ciqfunctions.udf.CIQ($G242, "IQ_VOLUME", EW$222),"--")</f>
        <v>0</v>
      </c>
      <c r="EX242" s="2131">
        <f>IF(EX$221,_xll.ciqfunctions.udf.CIQ($G242, "IQ_VOLUME", EX$222),"--")</f>
        <v>0</v>
      </c>
      <c r="EY242" s="2131">
        <f>IF(EY$221,_xll.ciqfunctions.udf.CIQ($G242, "IQ_VOLUME", EY$222),"--")</f>
        <v>0</v>
      </c>
      <c r="EZ242" s="2131">
        <f>IF(EZ$221,_xll.ciqfunctions.udf.CIQ($G242, "IQ_VOLUME", EZ$222),"--")</f>
        <v>0</v>
      </c>
      <c r="FA242" s="2131">
        <f>IF(FA$221,_xll.ciqfunctions.udf.CIQ($G242, "IQ_VOLUME", FA$222),"--")</f>
        <v>0</v>
      </c>
      <c r="FB242" s="2131">
        <f>IF(FB$221,_xll.ciqfunctions.udf.CIQ($G242, "IQ_VOLUME", FB$222),"--")</f>
        <v>0</v>
      </c>
      <c r="FC242" s="2131">
        <f>IF(FC$221,_xll.ciqfunctions.udf.CIQ($G242, "IQ_VOLUME", FC$222),"--")</f>
        <v>0</v>
      </c>
      <c r="FD242" s="2131">
        <f>IF(FD$221,_xll.ciqfunctions.udf.CIQ($G242, "IQ_VOLUME", FD$222),"--")</f>
        <v>0</v>
      </c>
      <c r="FE242" s="2131">
        <f>IF(FE$221,_xll.ciqfunctions.udf.CIQ($G242, "IQ_VOLUME", FE$222),"--")</f>
        <v>0</v>
      </c>
      <c r="FF242" s="2131">
        <f>IF(FF$221,_xll.ciqfunctions.udf.CIQ($G242, "IQ_VOLUME", FF$222),"--")</f>
        <v>0</v>
      </c>
      <c r="FG242" s="2131">
        <f>IF(FG$221,_xll.ciqfunctions.udf.CIQ($G242, "IQ_VOLUME", FG$222),"--")</f>
        <v>0</v>
      </c>
      <c r="FH242" s="2131">
        <f>IF(FH$221,_xll.ciqfunctions.udf.CIQ($G242, "IQ_VOLUME", FH$222),"--")</f>
        <v>0</v>
      </c>
      <c r="FI242" s="2131">
        <f>IF(FI$221,_xll.ciqfunctions.udf.CIQ($G242, "IQ_VOLUME", FI$222),"--")</f>
        <v>0</v>
      </c>
      <c r="FJ242" s="2131">
        <f>IF(FJ$221,_xll.ciqfunctions.udf.CIQ($G242, "IQ_VOLUME", FJ$222),"--")</f>
        <v>0</v>
      </c>
      <c r="FK242" s="2131">
        <f>IF(FK$221,_xll.ciqfunctions.udf.CIQ($G242, "IQ_VOLUME", FK$222),"--")</f>
        <v>0</v>
      </c>
      <c r="FL242" s="2131">
        <f>IF(FL$221,_xll.ciqfunctions.udf.CIQ($G242, "IQ_VOLUME", FL$222),"--")</f>
        <v>0</v>
      </c>
      <c r="FM242" s="2131">
        <f>IF(FM$221,_xll.ciqfunctions.udf.CIQ($G242, "IQ_VOLUME", FM$222),"--")</f>
        <v>0</v>
      </c>
      <c r="FN242" s="2131">
        <f>IF(FN$221,_xll.ciqfunctions.udf.CIQ($G242, "IQ_VOLUME", FN$222),"--")</f>
        <v>0</v>
      </c>
      <c r="FO242" s="2131">
        <f>IF(FO$221,_xll.ciqfunctions.udf.CIQ($G242, "IQ_VOLUME", FO$222),"--")</f>
        <v>0</v>
      </c>
      <c r="FP242" s="2131">
        <f>IF(FP$221,_xll.ciqfunctions.udf.CIQ($G242, "IQ_VOLUME", FP$222),"--")</f>
        <v>0</v>
      </c>
      <c r="FQ242" s="2131">
        <f>IF(FQ$221,_xll.ciqfunctions.udf.CIQ($G242, "IQ_VOLUME", FQ$222),"--")</f>
        <v>0</v>
      </c>
      <c r="FR242" s="2131">
        <f>IF(FR$221,_xll.ciqfunctions.udf.CIQ($G242, "IQ_VOLUME", FR$222),"--")</f>
        <v>0</v>
      </c>
      <c r="FS242" s="2131">
        <f>IF(FS$221,_xll.ciqfunctions.udf.CIQ($G242, "IQ_VOLUME", FS$222),"--")</f>
        <v>0</v>
      </c>
      <c r="FT242" s="2131">
        <f>IF(FT$221,_xll.ciqfunctions.udf.CIQ($G242, "IQ_VOLUME", FT$222),"--")</f>
        <v>0</v>
      </c>
      <c r="FU242" s="2131">
        <f>IF(FU$221,_xll.ciqfunctions.udf.CIQ($G242, "IQ_VOLUME", FU$222),"--")</f>
        <v>0</v>
      </c>
      <c r="FV242" s="2131">
        <f>IF(FV$221,_xll.ciqfunctions.udf.CIQ($G242, "IQ_VOLUME", FV$222),"--")</f>
        <v>0</v>
      </c>
      <c r="FW242" s="2131">
        <f>IF(FW$221,_xll.ciqfunctions.udf.CIQ($G242, "IQ_VOLUME", FW$222),"--")</f>
        <v>0</v>
      </c>
      <c r="FX242" s="2131">
        <f>IF(FX$221,_xll.ciqfunctions.udf.CIQ($G242, "IQ_VOLUME", FX$222),"--")</f>
        <v>0</v>
      </c>
      <c r="FY242" s="2131">
        <f>IF(FY$221,_xll.ciqfunctions.udf.CIQ($G242, "IQ_VOLUME", FY$222),"--")</f>
        <v>0</v>
      </c>
      <c r="FZ242" s="2131">
        <f>IF(FZ$221,_xll.ciqfunctions.udf.CIQ($G242, "IQ_VOLUME", FZ$222),"--")</f>
        <v>0</v>
      </c>
      <c r="GA242" s="2131">
        <f>IF(GA$221,_xll.ciqfunctions.udf.CIQ($G242, "IQ_VOLUME", GA$222),"--")</f>
        <v>0</v>
      </c>
      <c r="GB242" s="2131">
        <f>IF(GB$221,_xll.ciqfunctions.udf.CIQ($G242, "IQ_VOLUME", GB$222),"--")</f>
        <v>0</v>
      </c>
      <c r="GC242" s="2131">
        <f>IF(GC$221,_xll.ciqfunctions.udf.CIQ($G242, "IQ_VOLUME", GC$222),"--")</f>
        <v>0</v>
      </c>
      <c r="GD242" s="2131">
        <f>IF(GD$221,_xll.ciqfunctions.udf.CIQ($G242, "IQ_VOLUME", GD$222),"--")</f>
        <v>0</v>
      </c>
      <c r="GE242" s="2131">
        <f>IF(GE$221,_xll.ciqfunctions.udf.CIQ($G242, "IQ_VOLUME", GE$222),"--")</f>
        <v>0</v>
      </c>
      <c r="GF242" s="2131">
        <f>IF(GF$221,_xll.ciqfunctions.udf.CIQ($G242, "IQ_VOLUME", GF$222),"--")</f>
        <v>0</v>
      </c>
      <c r="GG242" s="2131">
        <f>IF(GG$221,_xll.ciqfunctions.udf.CIQ($G242, "IQ_VOLUME", GG$222),"--")</f>
        <v>0</v>
      </c>
      <c r="GH242" s="2131">
        <f>IF(GH$221,_xll.ciqfunctions.udf.CIQ($G242, "IQ_VOLUME", GH$222),"--")</f>
        <v>0</v>
      </c>
      <c r="GI242" s="2131">
        <f>IF(GI$221,_xll.ciqfunctions.udf.CIQ($G242, "IQ_VOLUME", GI$222),"--")</f>
        <v>0</v>
      </c>
      <c r="GJ242" s="2131">
        <f>IF(GJ$221,_xll.ciqfunctions.udf.CIQ($G242, "IQ_VOLUME", GJ$222),"--")</f>
        <v>0</v>
      </c>
      <c r="GK242" s="2131">
        <f>IF(GK$221,_xll.ciqfunctions.udf.CIQ($G242, "IQ_VOLUME", GK$222),"--")</f>
        <v>0</v>
      </c>
      <c r="GL242" s="2131">
        <f>IF(GL$221,_xll.ciqfunctions.udf.CIQ($G242, "IQ_VOLUME", GL$222),"--")</f>
        <v>0</v>
      </c>
      <c r="GM242" s="2131">
        <f>IF(GM$221,_xll.ciqfunctions.udf.CIQ($G242, "IQ_VOLUME", GM$222),"--")</f>
        <v>0</v>
      </c>
      <c r="GN242" s="2131">
        <f>IF(GN$221,_xll.ciqfunctions.udf.CIQ($G242, "IQ_VOLUME", GN$222),"--")</f>
        <v>0</v>
      </c>
      <c r="GO242" s="2131">
        <f>IF(GO$221,_xll.ciqfunctions.udf.CIQ($G242, "IQ_VOLUME", GO$222),"--")</f>
        <v>0</v>
      </c>
      <c r="GP242" s="2131">
        <f>IF(GP$221,_xll.ciqfunctions.udf.CIQ($G242, "IQ_VOLUME", GP$222),"--")</f>
        <v>0</v>
      </c>
      <c r="GQ242" s="2131">
        <f>IF(GQ$221,_xll.ciqfunctions.udf.CIQ($G242, "IQ_VOLUME", GQ$222),"--")</f>
        <v>0</v>
      </c>
      <c r="GR242" s="2131">
        <f>IF(GR$221,_xll.ciqfunctions.udf.CIQ($G242, "IQ_VOLUME", GR$222),"--")</f>
        <v>0</v>
      </c>
      <c r="GS242" s="2131">
        <f>IF(GS$221,_xll.ciqfunctions.udf.CIQ($G242, "IQ_VOLUME", GS$222),"--")</f>
        <v>0</v>
      </c>
      <c r="GT242" s="2131">
        <f>IF(GT$221,_xll.ciqfunctions.udf.CIQ($G242, "IQ_VOLUME", GT$222),"--")</f>
        <v>0</v>
      </c>
      <c r="GU242" s="2131">
        <f>IF(GU$221,_xll.ciqfunctions.udf.CIQ($G242, "IQ_VOLUME", GU$222),"--")</f>
        <v>0</v>
      </c>
      <c r="GV242" s="2131">
        <f>IF(GV$221,_xll.ciqfunctions.udf.CIQ($G242, "IQ_VOLUME", GV$222),"--")</f>
        <v>0</v>
      </c>
      <c r="GW242" s="2131">
        <f>IF(GW$221,_xll.ciqfunctions.udf.CIQ($G242, "IQ_VOLUME", GW$222),"--")</f>
        <v>0</v>
      </c>
      <c r="GX242" s="2131">
        <f>IF(GX$221,_xll.ciqfunctions.udf.CIQ($G242, "IQ_VOLUME", GX$222),"--")</f>
        <v>0</v>
      </c>
      <c r="GY242" s="2131">
        <f>IF(GY$221,_xll.ciqfunctions.udf.CIQ($G242, "IQ_VOLUME", GY$222),"--")</f>
        <v>0</v>
      </c>
      <c r="GZ242" s="2131">
        <f>IF(GZ$221,_xll.ciqfunctions.udf.CIQ($G242, "IQ_VOLUME", GZ$222),"--")</f>
        <v>0</v>
      </c>
      <c r="HA242" s="2131">
        <f>IF(HA$221,_xll.ciqfunctions.udf.CIQ($G242, "IQ_VOLUME", HA$222),"--")</f>
        <v>0</v>
      </c>
      <c r="HB242" s="2131">
        <f>IF(HB$221,_xll.ciqfunctions.udf.CIQ($G242, "IQ_VOLUME", HB$222),"--")</f>
        <v>0</v>
      </c>
      <c r="HC242" s="2131">
        <f>IF(HC$221,_xll.ciqfunctions.udf.CIQ($G242, "IQ_VOLUME", HC$222),"--")</f>
        <v>0</v>
      </c>
      <c r="HD242" s="2131">
        <f>IF(HD$221,_xll.ciqfunctions.udf.CIQ($G242, "IQ_VOLUME", HD$222),"--")</f>
        <v>0</v>
      </c>
      <c r="HE242" s="2131">
        <f>IF(HE$221,_xll.ciqfunctions.udf.CIQ($G242, "IQ_VOLUME", HE$222),"--")</f>
        <v>0</v>
      </c>
      <c r="HF242" s="2131">
        <f>IF(HF$221,_xll.ciqfunctions.udf.CIQ($G242, "IQ_VOLUME", HF$222),"--")</f>
        <v>0</v>
      </c>
      <c r="HG242" s="2131">
        <f>IF(HG$221,_xll.ciqfunctions.udf.CIQ($G242, "IQ_VOLUME", HG$222),"--")</f>
        <v>0</v>
      </c>
      <c r="HH242" s="2131">
        <f>IF(HH$221,_xll.ciqfunctions.udf.CIQ($G242, "IQ_VOLUME", HH$222),"--")</f>
        <v>0</v>
      </c>
      <c r="HI242" s="2131">
        <f>IF(HI$221,_xll.ciqfunctions.udf.CIQ($G242, "IQ_VOLUME", HI$222),"--")</f>
        <v>0</v>
      </c>
      <c r="HJ242" s="2131">
        <f>IF(HJ$221,_xll.ciqfunctions.udf.CIQ($G242, "IQ_VOLUME", HJ$222),"--")</f>
        <v>0</v>
      </c>
      <c r="HK242" s="2131">
        <f>IF(HK$221,_xll.ciqfunctions.udf.CIQ($G242, "IQ_VOLUME", HK$222),"--")</f>
        <v>0</v>
      </c>
      <c r="HL242" s="2131">
        <f>IF(HL$221,_xll.ciqfunctions.udf.CIQ($G242, "IQ_VOLUME", HL$222),"--")</f>
        <v>0</v>
      </c>
      <c r="HM242" s="2131">
        <f>IF(HM$221,_xll.ciqfunctions.udf.CIQ($G242, "IQ_VOLUME", HM$222),"--")</f>
        <v>0</v>
      </c>
      <c r="HN242" s="2131">
        <f>IF(HN$221,_xll.ciqfunctions.udf.CIQ($G242, "IQ_VOLUME", HN$222),"--")</f>
        <v>0</v>
      </c>
      <c r="HO242" s="2131">
        <f>IF(HO$221,_xll.ciqfunctions.udf.CIQ($G242, "IQ_VOLUME", HO$222),"--")</f>
        <v>0</v>
      </c>
      <c r="HP242" s="2131">
        <f>IF(HP$221,_xll.ciqfunctions.udf.CIQ($G242, "IQ_VOLUME", HP$222),"--")</f>
        <v>0</v>
      </c>
      <c r="HQ242" s="2131">
        <f>IF(HQ$221,_xll.ciqfunctions.udf.CIQ($G242, "IQ_VOLUME", HQ$222),"--")</f>
        <v>0</v>
      </c>
      <c r="HR242" s="2131">
        <f>IF(HR$221,_xll.ciqfunctions.udf.CIQ($G242, "IQ_VOLUME", HR$222),"--")</f>
        <v>0</v>
      </c>
      <c r="HS242" s="2131">
        <f>IF(HS$221,_xll.ciqfunctions.udf.CIQ($G242, "IQ_VOLUME", HS$222),"--")</f>
        <v>0</v>
      </c>
      <c r="HT242" s="2131">
        <f>IF(HT$221,_xll.ciqfunctions.udf.CIQ($G242, "IQ_VOLUME", HT$222),"--")</f>
        <v>0</v>
      </c>
      <c r="HU242" s="2131">
        <f>IF(HU$221,_xll.ciqfunctions.udf.CIQ($G242, "IQ_VOLUME", HU$222),"--")</f>
        <v>0</v>
      </c>
      <c r="HV242" s="2131">
        <f>IF(HV$221,_xll.ciqfunctions.udf.CIQ($G242, "IQ_VOLUME", HV$222),"--")</f>
        <v>0</v>
      </c>
      <c r="HW242" s="2131">
        <f>IF(HW$221,_xll.ciqfunctions.udf.CIQ($G242, "IQ_VOLUME", HW$222),"--")</f>
        <v>0</v>
      </c>
      <c r="HX242" s="2131">
        <f>IF(HX$221,_xll.ciqfunctions.udf.CIQ($G242, "IQ_VOLUME", HX$222),"--")</f>
        <v>0</v>
      </c>
      <c r="HY242" s="2131">
        <f>IF(HY$221,_xll.ciqfunctions.udf.CIQ($G242, "IQ_VOLUME", HY$222),"--")</f>
        <v>0</v>
      </c>
      <c r="HZ242" s="2131">
        <f>IF(HZ$221,_xll.ciqfunctions.udf.CIQ($G242, "IQ_VOLUME", HZ$222),"--")</f>
        <v>0</v>
      </c>
      <c r="IA242" s="2131">
        <f>IF(IA$221,_xll.ciqfunctions.udf.CIQ($G242, "IQ_VOLUME", IA$222),"--")</f>
        <v>0</v>
      </c>
      <c r="IB242" s="2131">
        <f>IF(IB$221,_xll.ciqfunctions.udf.CIQ($G242, "IQ_VOLUME", IB$222),"--")</f>
        <v>0</v>
      </c>
      <c r="IC242" s="2131">
        <f>IF(IC$221,_xll.ciqfunctions.udf.CIQ($G242, "IQ_VOLUME", IC$222),"--")</f>
        <v>0</v>
      </c>
      <c r="ID242" s="2131">
        <f>IF(ID$221,_xll.ciqfunctions.udf.CIQ($G242, "IQ_VOLUME", ID$222),"--")</f>
        <v>0</v>
      </c>
      <c r="IE242" s="2131">
        <f>IF(IE$221,_xll.ciqfunctions.udf.CIQ($G242, "IQ_VOLUME", IE$222),"--")</f>
        <v>0</v>
      </c>
      <c r="IF242" s="2131">
        <f>IF(IF$221,_xll.ciqfunctions.udf.CIQ($G242, "IQ_VOLUME", IF$222),"--")</f>
        <v>0</v>
      </c>
      <c r="IG242" s="2131">
        <f>IF(IG$221,_xll.ciqfunctions.udf.CIQ($G242, "IQ_VOLUME", IG$222),"--")</f>
        <v>0</v>
      </c>
      <c r="IH242" s="2131">
        <f>IF(IH$221,_xll.ciqfunctions.udf.CIQ($G242, "IQ_VOLUME", IH$222),"--")</f>
        <v>0</v>
      </c>
      <c r="II242" s="2131">
        <f>IF(II$221,_xll.ciqfunctions.udf.CIQ($G242, "IQ_VOLUME", II$222),"--")</f>
        <v>0</v>
      </c>
      <c r="IJ242" s="2131">
        <f>IF(IJ$221,_xll.ciqfunctions.udf.CIQ($G242, "IQ_VOLUME", IJ$222),"--")</f>
        <v>0</v>
      </c>
      <c r="IK242" s="2131">
        <f>IF(IK$221,_xll.ciqfunctions.udf.CIQ($G242, "IQ_VOLUME", IK$222),"--")</f>
        <v>0</v>
      </c>
      <c r="IL242" s="2131">
        <f>IF(IL$221,_xll.ciqfunctions.udf.CIQ($G242, "IQ_VOLUME", IL$222),"--")</f>
        <v>0</v>
      </c>
      <c r="IM242" s="2131">
        <f>IF(IM$221,_xll.ciqfunctions.udf.CIQ($G242, "IQ_VOLUME", IM$222),"--")</f>
        <v>0</v>
      </c>
      <c r="IN242" s="2131">
        <f>IF(IN$221,_xll.ciqfunctions.udf.CIQ($G242, "IQ_VOLUME", IN$222),"--")</f>
        <v>0</v>
      </c>
      <c r="IO242" s="2131">
        <f>IF(IO$221,_xll.ciqfunctions.udf.CIQ($G242, "IQ_VOLUME", IO$222),"--")</f>
        <v>0</v>
      </c>
      <c r="IP242" s="2131">
        <f>IF(IP$221,_xll.ciqfunctions.udf.CIQ($G242, "IQ_VOLUME", IP$222),"--")</f>
        <v>0</v>
      </c>
      <c r="IQ242" s="2131">
        <f>IF(IQ$221,_xll.ciqfunctions.udf.CIQ($G242, "IQ_VOLUME", IQ$222),"--")</f>
        <v>0</v>
      </c>
      <c r="IR242" s="2131">
        <f>IF(IR$221,_xll.ciqfunctions.udf.CIQ($G242, "IQ_VOLUME", IR$222),"--")</f>
        <v>0</v>
      </c>
      <c r="IS242" s="2131">
        <f>IF(IS$221,_xll.ciqfunctions.udf.CIQ($G242, "IQ_VOLUME", IS$222),"--")</f>
        <v>0</v>
      </c>
      <c r="IT242" s="2131">
        <f>IF(IT$221,_xll.ciqfunctions.udf.CIQ($G242, "IQ_VOLUME", IT$222),"--")</f>
        <v>0</v>
      </c>
      <c r="IU242" s="2131">
        <f>IF(IU$221,_xll.ciqfunctions.udf.CIQ($G242, "IQ_VOLUME", IU$222),"--")</f>
        <v>0</v>
      </c>
      <c r="IV242" s="2131">
        <f>IF(IV$221,_xll.ciqfunctions.udf.CIQ($G242, "IQ_VOLUME", IV$222),"--")</f>
        <v>0</v>
      </c>
      <c r="IW242" s="2131">
        <f>IF(IW$221,_xll.ciqfunctions.udf.CIQ($G242, "IQ_VOLUME", IW$222),"--")</f>
        <v>0</v>
      </c>
      <c r="IX242" s="2131">
        <f>IF(IX$221,_xll.ciqfunctions.udf.CIQ($G242, "IQ_VOLUME", IX$222),"--")</f>
        <v>0</v>
      </c>
      <c r="IY242" s="2131">
        <f>IF(IY$221,_xll.ciqfunctions.udf.CIQ($G242, "IQ_VOLUME", IY$222),"--")</f>
        <v>0</v>
      </c>
      <c r="IZ242" s="2131">
        <f>IF(IZ$221,_xll.ciqfunctions.udf.CIQ($G242, "IQ_VOLUME", IZ$222),"--")</f>
        <v>0</v>
      </c>
      <c r="JA242" s="2131">
        <f>IF(JA$221,_xll.ciqfunctions.udf.CIQ($G242, "IQ_VOLUME", JA$222),"--")</f>
        <v>0</v>
      </c>
      <c r="JB242" s="2131">
        <f>IF(JB$221,_xll.ciqfunctions.udf.CIQ($G242, "IQ_VOLUME", JB$222),"--")</f>
        <v>0</v>
      </c>
      <c r="JC242" s="2131">
        <f>IF(JC$221,_xll.ciqfunctions.udf.CIQ($G242, "IQ_VOLUME", JC$222),"--")</f>
        <v>0</v>
      </c>
      <c r="JD242" s="2131">
        <f>IF(JD$221,_xll.ciqfunctions.udf.CIQ($G242, "IQ_VOLUME", JD$222),"--")</f>
        <v>0</v>
      </c>
      <c r="JE242" s="2131">
        <f>IF(JE$221,_xll.ciqfunctions.udf.CIQ($G242, "IQ_VOLUME", JE$222),"--")</f>
        <v>0</v>
      </c>
      <c r="JF242" s="2131">
        <f>IF(JF$221,_xll.ciqfunctions.udf.CIQ($G242, "IQ_VOLUME", JF$222),"--")</f>
        <v>0</v>
      </c>
      <c r="JG242" s="2131">
        <f>IF(JG$221,_xll.ciqfunctions.udf.CIQ($G242, "IQ_VOLUME", JG$222),"--")</f>
        <v>0</v>
      </c>
      <c r="JH242" s="2131">
        <f>IF(JH$221,_xll.ciqfunctions.udf.CIQ($G242, "IQ_VOLUME", JH$222),"--")</f>
        <v>0</v>
      </c>
      <c r="JI242" s="2131">
        <f>IF(JI$221,_xll.ciqfunctions.udf.CIQ($G242, "IQ_VOLUME", JI$222),"--")</f>
        <v>0</v>
      </c>
      <c r="JJ242" s="2131">
        <f>IF(JJ$221,_xll.ciqfunctions.udf.CIQ($G242, "IQ_VOLUME", JJ$222),"--")</f>
        <v>0</v>
      </c>
      <c r="JK242" s="2131">
        <f>IF(JK$221,_xll.ciqfunctions.udf.CIQ($G242, "IQ_VOLUME", JK$222),"--")</f>
        <v>0</v>
      </c>
      <c r="JL242" s="2131">
        <f>IF(JL$221,_xll.ciqfunctions.udf.CIQ($G242, "IQ_VOLUME", JL$222),"--")</f>
        <v>0</v>
      </c>
      <c r="JM242" s="2131">
        <f>IF(JM$221,_xll.ciqfunctions.udf.CIQ($G242, "IQ_VOLUME", JM$222),"--")</f>
        <v>0</v>
      </c>
      <c r="JN242" s="2131">
        <f>IF(JN$221,_xll.ciqfunctions.udf.CIQ($G242, "IQ_VOLUME", JN$222),"--")</f>
        <v>0</v>
      </c>
      <c r="JO242" s="2131">
        <f>IF(JO$221,_xll.ciqfunctions.udf.CIQ($G242, "IQ_VOLUME", JO$222),"--")</f>
        <v>0</v>
      </c>
      <c r="JP242" s="2131">
        <f>IF(JP$221,_xll.ciqfunctions.udf.CIQ($G242, "IQ_VOLUME", JP$222),"--")</f>
        <v>0</v>
      </c>
      <c r="JQ242" s="2131">
        <f>IF(JQ$221,_xll.ciqfunctions.udf.CIQ($G242, "IQ_VOLUME", JQ$222),"--")</f>
        <v>0</v>
      </c>
      <c r="JR242" s="2131">
        <f>IF(JR$221,_xll.ciqfunctions.udf.CIQ($G242, "IQ_VOLUME", JR$222),"--")</f>
        <v>0</v>
      </c>
      <c r="JS242" s="2131">
        <f>IF(JS$221,_xll.ciqfunctions.udf.CIQ($G242, "IQ_VOLUME", JS$222),"--")</f>
        <v>0</v>
      </c>
      <c r="JT242" s="2131">
        <f>IF(JT$221,_xll.ciqfunctions.udf.CIQ($G242, "IQ_VOLUME", JT$222),"--")</f>
        <v>0</v>
      </c>
      <c r="JU242" s="2131">
        <f>IF(JU$221,_xll.ciqfunctions.udf.CIQ($G242, "IQ_VOLUME", JU$222),"--")</f>
        <v>0</v>
      </c>
      <c r="JV242" s="2131">
        <f>IF(JV$221,_xll.ciqfunctions.udf.CIQ($G242, "IQ_VOLUME", JV$222),"--")</f>
        <v>0</v>
      </c>
      <c r="JW242" s="2131" t="str">
        <f>IF(JW$221,_xll.ciqfunctions.udf.CIQ($G242, "IQ_VOLUME", JW$222),"--")</f>
        <v>--</v>
      </c>
      <c r="JX242" s="2131" t="str">
        <f>IF(JX$221,_xll.ciqfunctions.udf.CIQ($G242, "IQ_VOLUME", JX$222),"--")</f>
        <v>--</v>
      </c>
      <c r="JY242" s="2131" t="str">
        <f>IF(JY$221,_xll.ciqfunctions.udf.CIQ($G242, "IQ_VOLUME", JY$222),"--")</f>
        <v>--</v>
      </c>
      <c r="JZ242" s="2131" t="str">
        <f>IF(JZ$221,_xll.ciqfunctions.udf.CIQ($G242, "IQ_VOLUME", JZ$222),"--")</f>
        <v>--</v>
      </c>
      <c r="KA242" s="2131" t="str">
        <f>IF(KA$221,_xll.ciqfunctions.udf.CIQ($G242, "IQ_VOLUME", KA$222),"--")</f>
        <v>--</v>
      </c>
      <c r="KB242" s="2131" t="str">
        <f>IF(KB$221,_xll.ciqfunctions.udf.CIQ($G242, "IQ_VOLUME", KB$222),"--")</f>
        <v>--</v>
      </c>
    </row>
    <row r="243" spans="1:288" s="89" customFormat="1" ht="13.9">
      <c r="A243" s="269" t="str">
        <f t="shared" si="47"/>
        <v>n</v>
      </c>
      <c r="B243" s="2060"/>
      <c r="D243" s="801"/>
      <c r="E243" s="1505">
        <v>20</v>
      </c>
      <c r="F243" s="21" t="str">
        <f>F$148</f>
        <v>--</v>
      </c>
      <c r="G243" s="2112">
        <f>G$148</f>
        <v>0</v>
      </c>
      <c r="H243" s="2112" t="str">
        <f>H$148</f>
        <v>--</v>
      </c>
      <c r="I243" s="22" t="s">
        <v>781</v>
      </c>
      <c r="J243" s="53"/>
      <c r="K243" s="2301" t="str">
        <f>IF(OR(K211=0,$G243=0),"--",IFERROR(_xll.ciqfunctions.udf.CIQ($G243,$I243,K119,Valuation_Date_GC,ReportType,DataMode,$H243,FXMode)*Scale,"--"))</f>
        <v>--</v>
      </c>
      <c r="L243" s="2301" t="str">
        <f>IF(OR(L211=0,$G243=0),"--",IFERROR(_xll.ciqfunctions.udf.CIQ($G243,$I243,L119,Valuation_Date_GC,ReportType,DataMode,$H243,FXMode)*Scale,"--"))</f>
        <v>--</v>
      </c>
      <c r="M243" s="2301" t="str">
        <f>IF(OR(M211=0,$G243=0),"--",IFERROR(_xll.ciqfunctions.udf.CIQ($G243,$I243,M119,Valuation_Date_GC,ReportType,DataMode,$H243,FXMode)*Scale,"--"))</f>
        <v>--</v>
      </c>
      <c r="N243" s="2301" t="str">
        <f>IF(OR(N211=0,$G243=0),"--",IFERROR(_xll.ciqfunctions.udf.CIQ($G243,$I243,N119,Valuation_Date_GC,ReportType,DataMode,$H243,FXMode)*Scale,"--"))</f>
        <v>--</v>
      </c>
      <c r="O243" s="1471" t="str">
        <f>IF(OR(O211=0,$G243=0),"--",IFERROR(_xll.ciqfunctions.udf.CIQ($G243,$I243,O119,Valuation_Date_GC,ReportType,DataMode,$H243,FXMode)*Scale,"--"))</f>
        <v>--</v>
      </c>
      <c r="P243" s="2301" t="str">
        <f>IF(OR(P211=0,$G243=0),"--",IFERROR(_xll.ciqfunctions.udf.CIQ($G243,$I243,P119,Valuation_Date_GC,ReportType,DataMode,$H243,FXMode)*Scale,"--"))</f>
        <v>--</v>
      </c>
      <c r="R243" s="255"/>
      <c r="T243" s="1779" t="s">
        <v>782</v>
      </c>
      <c r="U243" s="2131">
        <f>IF(U$221,_xll.ciqfunctions.udf.CIQ($G243, "IQ_VOLUME", U$222),"--")</f>
        <v>0</v>
      </c>
      <c r="V243" s="2131">
        <f>IF(V$221,_xll.ciqfunctions.udf.CIQ($G243, "IQ_VOLUME", V$222),"--")</f>
        <v>0</v>
      </c>
      <c r="W243" s="2131">
        <f>IF(W$221,_xll.ciqfunctions.udf.CIQ($G243, "IQ_VOLUME", W$222),"--")</f>
        <v>0</v>
      </c>
      <c r="X243" s="2131">
        <f>IF(X$221,_xll.ciqfunctions.udf.CIQ($G243, "IQ_VOLUME", X$222),"--")</f>
        <v>0</v>
      </c>
      <c r="Y243" s="2131">
        <f>IF(Y$221,_xll.ciqfunctions.udf.CIQ($G243, "IQ_VOLUME", Y$222),"--")</f>
        <v>0</v>
      </c>
      <c r="Z243" s="2131">
        <f>IF(Z$221,_xll.ciqfunctions.udf.CIQ($G243, "IQ_VOLUME", Z$222),"--")</f>
        <v>0</v>
      </c>
      <c r="AA243" s="2131">
        <f>IF(AA$221,_xll.ciqfunctions.udf.CIQ($G243, "IQ_VOLUME", AA$222),"--")</f>
        <v>0</v>
      </c>
      <c r="AB243" s="2131">
        <f>IF(AB$221,_xll.ciqfunctions.udf.CIQ($G243, "IQ_VOLUME", AB$222),"--")</f>
        <v>0</v>
      </c>
      <c r="AC243" s="2131">
        <f>IF(AC$221,_xll.ciqfunctions.udf.CIQ($G243, "IQ_VOLUME", AC$222),"--")</f>
        <v>0</v>
      </c>
      <c r="AD243" s="2131">
        <f>IF(AD$221,_xll.ciqfunctions.udf.CIQ($G243, "IQ_VOLUME", AD$222),"--")</f>
        <v>0</v>
      </c>
      <c r="AE243" s="2131">
        <f>IF(AE$221,_xll.ciqfunctions.udf.CIQ($G243, "IQ_VOLUME", AE$222),"--")</f>
        <v>0</v>
      </c>
      <c r="AF243" s="2131">
        <f>IF(AF$221,_xll.ciqfunctions.udf.CIQ($G243, "IQ_VOLUME", AF$222),"--")</f>
        <v>0</v>
      </c>
      <c r="AG243" s="2131">
        <f>IF(AG$221,_xll.ciqfunctions.udf.CIQ($G243, "IQ_VOLUME", AG$222),"--")</f>
        <v>0</v>
      </c>
      <c r="AH243" s="2131">
        <f>IF(AH$221,_xll.ciqfunctions.udf.CIQ($G243, "IQ_VOLUME", AH$222),"--")</f>
        <v>0</v>
      </c>
      <c r="AI243" s="2131">
        <f>IF(AI$221,_xll.ciqfunctions.udf.CIQ($G243, "IQ_VOLUME", AI$222),"--")</f>
        <v>0</v>
      </c>
      <c r="AJ243" s="2131">
        <f>IF(AJ$221,_xll.ciqfunctions.udf.CIQ($G243, "IQ_VOLUME", AJ$222),"--")</f>
        <v>0</v>
      </c>
      <c r="AK243" s="2131">
        <f>IF(AK$221,_xll.ciqfunctions.udf.CIQ($G243, "IQ_VOLUME", AK$222),"--")</f>
        <v>0</v>
      </c>
      <c r="AL243" s="2131">
        <f>IF(AL$221,_xll.ciqfunctions.udf.CIQ($G243, "IQ_VOLUME", AL$222),"--")</f>
        <v>0</v>
      </c>
      <c r="AM243" s="2131">
        <f>IF(AM$221,_xll.ciqfunctions.udf.CIQ($G243, "IQ_VOLUME", AM$222),"--")</f>
        <v>0</v>
      </c>
      <c r="AN243" s="2131">
        <f>IF(AN$221,_xll.ciqfunctions.udf.CIQ($G243, "IQ_VOLUME", AN$222),"--")</f>
        <v>0</v>
      </c>
      <c r="AO243" s="2131">
        <f>IF(AO$221,_xll.ciqfunctions.udf.CIQ($G243, "IQ_VOLUME", AO$222),"--")</f>
        <v>0</v>
      </c>
      <c r="AP243" s="2131">
        <f>IF(AP$221,_xll.ciqfunctions.udf.CIQ($G243, "IQ_VOLUME", AP$222),"--")</f>
        <v>0</v>
      </c>
      <c r="AQ243" s="2131">
        <f>IF(AQ$221,_xll.ciqfunctions.udf.CIQ($G243, "IQ_VOLUME", AQ$222),"--")</f>
        <v>0</v>
      </c>
      <c r="AR243" s="2131">
        <f>IF(AR$221,_xll.ciqfunctions.udf.CIQ($G243, "IQ_VOLUME", AR$222),"--")</f>
        <v>0</v>
      </c>
      <c r="AS243" s="2131">
        <f>IF(AS$221,_xll.ciqfunctions.udf.CIQ($G243, "IQ_VOLUME", AS$222),"--")</f>
        <v>0</v>
      </c>
      <c r="AT243" s="2131">
        <f>IF(AT$221,_xll.ciqfunctions.udf.CIQ($G243, "IQ_VOLUME", AT$222),"--")</f>
        <v>0</v>
      </c>
      <c r="AU243" s="2131">
        <f>IF(AU$221,_xll.ciqfunctions.udf.CIQ($G243, "IQ_VOLUME", AU$222),"--")</f>
        <v>0</v>
      </c>
      <c r="AV243" s="2131">
        <f>IF(AV$221,_xll.ciqfunctions.udf.CIQ($G243, "IQ_VOLUME", AV$222),"--")</f>
        <v>0</v>
      </c>
      <c r="AW243" s="2131">
        <f>IF(AW$221,_xll.ciqfunctions.udf.CIQ($G243, "IQ_VOLUME", AW$222),"--")</f>
        <v>0</v>
      </c>
      <c r="AX243" s="2131">
        <f>IF(AX$221,_xll.ciqfunctions.udf.CIQ($G243, "IQ_VOLUME", AX$222),"--")</f>
        <v>0</v>
      </c>
      <c r="AY243" s="2131">
        <f>IF(AY$221,_xll.ciqfunctions.udf.CIQ($G243, "IQ_VOLUME", AY$222),"--")</f>
        <v>0</v>
      </c>
      <c r="AZ243" s="2131">
        <f>IF(AZ$221,_xll.ciqfunctions.udf.CIQ($G243, "IQ_VOLUME", AZ$222),"--")</f>
        <v>0</v>
      </c>
      <c r="BA243" s="2131">
        <f>IF(BA$221,_xll.ciqfunctions.udf.CIQ($G243, "IQ_VOLUME", BA$222),"--")</f>
        <v>0</v>
      </c>
      <c r="BB243" s="2131">
        <f>IF(BB$221,_xll.ciqfunctions.udf.CIQ($G243, "IQ_VOLUME", BB$222),"--")</f>
        <v>0</v>
      </c>
      <c r="BC243" s="2131">
        <f>IF(BC$221,_xll.ciqfunctions.udf.CIQ($G243, "IQ_VOLUME", BC$222),"--")</f>
        <v>0</v>
      </c>
      <c r="BD243" s="2131">
        <f>IF(BD$221,_xll.ciqfunctions.udf.CIQ($G243, "IQ_VOLUME", BD$222),"--")</f>
        <v>0</v>
      </c>
      <c r="BE243" s="2131">
        <f>IF(BE$221,_xll.ciqfunctions.udf.CIQ($G243, "IQ_VOLUME", BE$222),"--")</f>
        <v>0</v>
      </c>
      <c r="BF243" s="2131">
        <f>IF(BF$221,_xll.ciqfunctions.udf.CIQ($G243, "IQ_VOLUME", BF$222),"--")</f>
        <v>0</v>
      </c>
      <c r="BG243" s="2131">
        <f>IF(BG$221,_xll.ciqfunctions.udf.CIQ($G243, "IQ_VOLUME", BG$222),"--")</f>
        <v>0</v>
      </c>
      <c r="BH243" s="2131">
        <f>IF(BH$221,_xll.ciqfunctions.udf.CIQ($G243, "IQ_VOLUME", BH$222),"--")</f>
        <v>0</v>
      </c>
      <c r="BI243" s="2131">
        <f>IF(BI$221,_xll.ciqfunctions.udf.CIQ($G243, "IQ_VOLUME", BI$222),"--")</f>
        <v>0</v>
      </c>
      <c r="BJ243" s="2131">
        <f>IF(BJ$221,_xll.ciqfunctions.udf.CIQ($G243, "IQ_VOLUME", BJ$222),"--")</f>
        <v>0</v>
      </c>
      <c r="BK243" s="2131">
        <f>IF(BK$221,_xll.ciqfunctions.udf.CIQ($G243, "IQ_VOLUME", BK$222),"--")</f>
        <v>0</v>
      </c>
      <c r="BL243" s="2131">
        <f>IF(BL$221,_xll.ciqfunctions.udf.CIQ($G243, "IQ_VOLUME", BL$222),"--")</f>
        <v>0</v>
      </c>
      <c r="BM243" s="2131">
        <f>IF(BM$221,_xll.ciqfunctions.udf.CIQ($G243, "IQ_VOLUME", BM$222),"--")</f>
        <v>0</v>
      </c>
      <c r="BN243" s="2131">
        <f>IF(BN$221,_xll.ciqfunctions.udf.CIQ($G243, "IQ_VOLUME", BN$222),"--")</f>
        <v>0</v>
      </c>
      <c r="BO243" s="2131">
        <f>IF(BO$221,_xll.ciqfunctions.udf.CIQ($G243, "IQ_VOLUME", BO$222),"--")</f>
        <v>0</v>
      </c>
      <c r="BP243" s="2131">
        <f>IF(BP$221,_xll.ciqfunctions.udf.CIQ($G243, "IQ_VOLUME", BP$222),"--")</f>
        <v>0</v>
      </c>
      <c r="BQ243" s="2131">
        <f>IF(BQ$221,_xll.ciqfunctions.udf.CIQ($G243, "IQ_VOLUME", BQ$222),"--")</f>
        <v>0</v>
      </c>
      <c r="BR243" s="2131">
        <f>IF(BR$221,_xll.ciqfunctions.udf.CIQ($G243, "IQ_VOLUME", BR$222),"--")</f>
        <v>0</v>
      </c>
      <c r="BS243" s="2131">
        <f>IF(BS$221,_xll.ciqfunctions.udf.CIQ($G243, "IQ_VOLUME", BS$222),"--")</f>
        <v>0</v>
      </c>
      <c r="BT243" s="2131">
        <f>IF(BT$221,_xll.ciqfunctions.udf.CIQ($G243, "IQ_VOLUME", BT$222),"--")</f>
        <v>0</v>
      </c>
      <c r="BU243" s="2131">
        <f>IF(BU$221,_xll.ciqfunctions.udf.CIQ($G243, "IQ_VOLUME", BU$222),"--")</f>
        <v>0</v>
      </c>
      <c r="BV243" s="2131">
        <f>IF(BV$221,_xll.ciqfunctions.udf.CIQ($G243, "IQ_VOLUME", BV$222),"--")</f>
        <v>0</v>
      </c>
      <c r="BW243" s="2131">
        <f>IF(BW$221,_xll.ciqfunctions.udf.CIQ($G243, "IQ_VOLUME", BW$222),"--")</f>
        <v>0</v>
      </c>
      <c r="BX243" s="2131">
        <f>IF(BX$221,_xll.ciqfunctions.udf.CIQ($G243, "IQ_VOLUME", BX$222),"--")</f>
        <v>0</v>
      </c>
      <c r="BY243" s="2131">
        <f>IF(BY$221,_xll.ciqfunctions.udf.CIQ($G243, "IQ_VOLUME", BY$222),"--")</f>
        <v>0</v>
      </c>
      <c r="BZ243" s="2131">
        <f>IF(BZ$221,_xll.ciqfunctions.udf.CIQ($G243, "IQ_VOLUME", BZ$222),"--")</f>
        <v>0</v>
      </c>
      <c r="CA243" s="2131">
        <f>IF(CA$221,_xll.ciqfunctions.udf.CIQ($G243, "IQ_VOLUME", CA$222),"--")</f>
        <v>0</v>
      </c>
      <c r="CB243" s="2131">
        <f>IF(CB$221,_xll.ciqfunctions.udf.CIQ($G243, "IQ_VOLUME", CB$222),"--")</f>
        <v>0</v>
      </c>
      <c r="CC243" s="2131">
        <f>IF(CC$221,_xll.ciqfunctions.udf.CIQ($G243, "IQ_VOLUME", CC$222),"--")</f>
        <v>0</v>
      </c>
      <c r="CD243" s="2131">
        <f>IF(CD$221,_xll.ciqfunctions.udf.CIQ($G243, "IQ_VOLUME", CD$222),"--")</f>
        <v>0</v>
      </c>
      <c r="CE243" s="2131">
        <f>IF(CE$221,_xll.ciqfunctions.udf.CIQ($G243, "IQ_VOLUME", CE$222),"--")</f>
        <v>0</v>
      </c>
      <c r="CF243" s="2131">
        <f>IF(CF$221,_xll.ciqfunctions.udf.CIQ($G243, "IQ_VOLUME", CF$222),"--")</f>
        <v>0</v>
      </c>
      <c r="CG243" s="2131">
        <f>IF(CG$221,_xll.ciqfunctions.udf.CIQ($G243, "IQ_VOLUME", CG$222),"--")</f>
        <v>0</v>
      </c>
      <c r="CH243" s="2131">
        <f>IF(CH$221,_xll.ciqfunctions.udf.CIQ($G243, "IQ_VOLUME", CH$222),"--")</f>
        <v>0</v>
      </c>
      <c r="CI243" s="2131">
        <f>IF(CI$221,_xll.ciqfunctions.udf.CIQ($G243, "IQ_VOLUME", CI$222),"--")</f>
        <v>0</v>
      </c>
      <c r="CJ243" s="2131">
        <f>IF(CJ$221,_xll.ciqfunctions.udf.CIQ($G243, "IQ_VOLUME", CJ$222),"--")</f>
        <v>0</v>
      </c>
      <c r="CK243" s="2131">
        <f>IF(CK$221,_xll.ciqfunctions.udf.CIQ($G243, "IQ_VOLUME", CK$222),"--")</f>
        <v>0</v>
      </c>
      <c r="CL243" s="2131">
        <f>IF(CL$221,_xll.ciqfunctions.udf.CIQ($G243, "IQ_VOLUME", CL$222),"--")</f>
        <v>0</v>
      </c>
      <c r="CM243" s="2131">
        <f>IF(CM$221,_xll.ciqfunctions.udf.CIQ($G243, "IQ_VOLUME", CM$222),"--")</f>
        <v>0</v>
      </c>
      <c r="CN243" s="2131">
        <f>IF(CN$221,_xll.ciqfunctions.udf.CIQ($G243, "IQ_VOLUME", CN$222),"--")</f>
        <v>0</v>
      </c>
      <c r="CO243" s="2131">
        <f>IF(CO$221,_xll.ciqfunctions.udf.CIQ($G243, "IQ_VOLUME", CO$222),"--")</f>
        <v>0</v>
      </c>
      <c r="CP243" s="2131">
        <f>IF(CP$221,_xll.ciqfunctions.udf.CIQ($G243, "IQ_VOLUME", CP$222),"--")</f>
        <v>0</v>
      </c>
      <c r="CQ243" s="2131">
        <f>IF(CQ$221,_xll.ciqfunctions.udf.CIQ($G243, "IQ_VOLUME", CQ$222),"--")</f>
        <v>0</v>
      </c>
      <c r="CR243" s="2131">
        <f>IF(CR$221,_xll.ciqfunctions.udf.CIQ($G243, "IQ_VOLUME", CR$222),"--")</f>
        <v>0</v>
      </c>
      <c r="CS243" s="2131">
        <f>IF(CS$221,_xll.ciqfunctions.udf.CIQ($G243, "IQ_VOLUME", CS$222),"--")</f>
        <v>0</v>
      </c>
      <c r="CT243" s="2131">
        <f>IF(CT$221,_xll.ciqfunctions.udf.CIQ($G243, "IQ_VOLUME", CT$222),"--")</f>
        <v>0</v>
      </c>
      <c r="CU243" s="2131">
        <f>IF(CU$221,_xll.ciqfunctions.udf.CIQ($G243, "IQ_VOLUME", CU$222),"--")</f>
        <v>0</v>
      </c>
      <c r="CV243" s="2131">
        <f>IF(CV$221,_xll.ciqfunctions.udf.CIQ($G243, "IQ_VOLUME", CV$222),"--")</f>
        <v>0</v>
      </c>
      <c r="CW243" s="2131">
        <f>IF(CW$221,_xll.ciqfunctions.udf.CIQ($G243, "IQ_VOLUME", CW$222),"--")</f>
        <v>0</v>
      </c>
      <c r="CX243" s="2131">
        <f>IF(CX$221,_xll.ciqfunctions.udf.CIQ($G243, "IQ_VOLUME", CX$222),"--")</f>
        <v>0</v>
      </c>
      <c r="CY243" s="2131">
        <f>IF(CY$221,_xll.ciqfunctions.udf.CIQ($G243, "IQ_VOLUME", CY$222),"--")</f>
        <v>0</v>
      </c>
      <c r="CZ243" s="2131">
        <f>IF(CZ$221,_xll.ciqfunctions.udf.CIQ($G243, "IQ_VOLUME", CZ$222),"--")</f>
        <v>0</v>
      </c>
      <c r="DA243" s="2131">
        <f>IF(DA$221,_xll.ciqfunctions.udf.CIQ($G243, "IQ_VOLUME", DA$222),"--")</f>
        <v>0</v>
      </c>
      <c r="DB243" s="2131">
        <f>IF(DB$221,_xll.ciqfunctions.udf.CIQ($G243, "IQ_VOLUME", DB$222),"--")</f>
        <v>0</v>
      </c>
      <c r="DC243" s="2131">
        <f>IF(DC$221,_xll.ciqfunctions.udf.CIQ($G243, "IQ_VOLUME", DC$222),"--")</f>
        <v>0</v>
      </c>
      <c r="DD243" s="2131">
        <f>IF(DD$221,_xll.ciqfunctions.udf.CIQ($G243, "IQ_VOLUME", DD$222),"--")</f>
        <v>0</v>
      </c>
      <c r="DE243" s="2131">
        <f>IF(DE$221,_xll.ciqfunctions.udf.CIQ($G243, "IQ_VOLUME", DE$222),"--")</f>
        <v>0</v>
      </c>
      <c r="DF243" s="2131">
        <f>IF(DF$221,_xll.ciqfunctions.udf.CIQ($G243, "IQ_VOLUME", DF$222),"--")</f>
        <v>0</v>
      </c>
      <c r="DG243" s="2131">
        <f>IF(DG$221,_xll.ciqfunctions.udf.CIQ($G243, "IQ_VOLUME", DG$222),"--")</f>
        <v>0</v>
      </c>
      <c r="DH243" s="2131">
        <f>IF(DH$221,_xll.ciqfunctions.udf.CIQ($G243, "IQ_VOLUME", DH$222),"--")</f>
        <v>0</v>
      </c>
      <c r="DI243" s="2131">
        <f>IF(DI$221,_xll.ciqfunctions.udf.CIQ($G243, "IQ_VOLUME", DI$222),"--")</f>
        <v>0</v>
      </c>
      <c r="DJ243" s="2131">
        <f>IF(DJ$221,_xll.ciqfunctions.udf.CIQ($G243, "IQ_VOLUME", DJ$222),"--")</f>
        <v>0</v>
      </c>
      <c r="DK243" s="2131">
        <f>IF(DK$221,_xll.ciqfunctions.udf.CIQ($G243, "IQ_VOLUME", DK$222),"--")</f>
        <v>0</v>
      </c>
      <c r="DL243" s="2131">
        <f>IF(DL$221,_xll.ciqfunctions.udf.CIQ($G243, "IQ_VOLUME", DL$222),"--")</f>
        <v>0</v>
      </c>
      <c r="DM243" s="2131">
        <f>IF(DM$221,_xll.ciqfunctions.udf.CIQ($G243, "IQ_VOLUME", DM$222),"--")</f>
        <v>0</v>
      </c>
      <c r="DN243" s="2131">
        <f>IF(DN$221,_xll.ciqfunctions.udf.CIQ($G243, "IQ_VOLUME", DN$222),"--")</f>
        <v>0</v>
      </c>
      <c r="DO243" s="2131">
        <f>IF(DO$221,_xll.ciqfunctions.udf.CIQ($G243, "IQ_VOLUME", DO$222),"--")</f>
        <v>0</v>
      </c>
      <c r="DP243" s="2131">
        <f>IF(DP$221,_xll.ciqfunctions.udf.CIQ($G243, "IQ_VOLUME", DP$222),"--")</f>
        <v>0</v>
      </c>
      <c r="DQ243" s="2131">
        <f>IF(DQ$221,_xll.ciqfunctions.udf.CIQ($G243, "IQ_VOLUME", DQ$222),"--")</f>
        <v>0</v>
      </c>
      <c r="DR243" s="2131">
        <f>IF(DR$221,_xll.ciqfunctions.udf.CIQ($G243, "IQ_VOLUME", DR$222),"--")</f>
        <v>0</v>
      </c>
      <c r="DS243" s="2131">
        <f>IF(DS$221,_xll.ciqfunctions.udf.CIQ($G243, "IQ_VOLUME", DS$222),"--")</f>
        <v>0</v>
      </c>
      <c r="DT243" s="2131">
        <f>IF(DT$221,_xll.ciqfunctions.udf.CIQ($G243, "IQ_VOLUME", DT$222),"--")</f>
        <v>0</v>
      </c>
      <c r="DU243" s="2131">
        <f>IF(DU$221,_xll.ciqfunctions.udf.CIQ($G243, "IQ_VOLUME", DU$222),"--")</f>
        <v>0</v>
      </c>
      <c r="DV243" s="2131">
        <f>IF(DV$221,_xll.ciqfunctions.udf.CIQ($G243, "IQ_VOLUME", DV$222),"--")</f>
        <v>0</v>
      </c>
      <c r="DW243" s="2131">
        <f>IF(DW$221,_xll.ciqfunctions.udf.CIQ($G243, "IQ_VOLUME", DW$222),"--")</f>
        <v>0</v>
      </c>
      <c r="DX243" s="2131">
        <f>IF(DX$221,_xll.ciqfunctions.udf.CIQ($G243, "IQ_VOLUME", DX$222),"--")</f>
        <v>0</v>
      </c>
      <c r="DY243" s="2131">
        <f>IF(DY$221,_xll.ciqfunctions.udf.CIQ($G243, "IQ_VOLUME", DY$222),"--")</f>
        <v>0</v>
      </c>
      <c r="DZ243" s="2131">
        <f>IF(DZ$221,_xll.ciqfunctions.udf.CIQ($G243, "IQ_VOLUME", DZ$222),"--")</f>
        <v>0</v>
      </c>
      <c r="EA243" s="2131">
        <f>IF(EA$221,_xll.ciqfunctions.udf.CIQ($G243, "IQ_VOLUME", EA$222),"--")</f>
        <v>0</v>
      </c>
      <c r="EB243" s="2131">
        <f>IF(EB$221,_xll.ciqfunctions.udf.CIQ($G243, "IQ_VOLUME", EB$222),"--")</f>
        <v>0</v>
      </c>
      <c r="EC243" s="2131">
        <f>IF(EC$221,_xll.ciqfunctions.udf.CIQ($G243, "IQ_VOLUME", EC$222),"--")</f>
        <v>0</v>
      </c>
      <c r="ED243" s="2131">
        <f>IF(ED$221,_xll.ciqfunctions.udf.CIQ($G243, "IQ_VOLUME", ED$222),"--")</f>
        <v>0</v>
      </c>
      <c r="EE243" s="2131">
        <f>IF(EE$221,_xll.ciqfunctions.udf.CIQ($G243, "IQ_VOLUME", EE$222),"--")</f>
        <v>0</v>
      </c>
      <c r="EF243" s="2131">
        <f>IF(EF$221,_xll.ciqfunctions.udf.CIQ($G243, "IQ_VOLUME", EF$222),"--")</f>
        <v>0</v>
      </c>
      <c r="EG243" s="2131">
        <f>IF(EG$221,_xll.ciqfunctions.udf.CIQ($G243, "IQ_VOLUME", EG$222),"--")</f>
        <v>0</v>
      </c>
      <c r="EH243" s="2131">
        <f>IF(EH$221,_xll.ciqfunctions.udf.CIQ($G243, "IQ_VOLUME", EH$222),"--")</f>
        <v>0</v>
      </c>
      <c r="EI243" s="2131">
        <f>IF(EI$221,_xll.ciqfunctions.udf.CIQ($G243, "IQ_VOLUME", EI$222),"--")</f>
        <v>0</v>
      </c>
      <c r="EJ243" s="2131">
        <f>IF(EJ$221,_xll.ciqfunctions.udf.CIQ($G243, "IQ_VOLUME", EJ$222),"--")</f>
        <v>0</v>
      </c>
      <c r="EK243" s="2131">
        <f>IF(EK$221,_xll.ciqfunctions.udf.CIQ($G243, "IQ_VOLUME", EK$222),"--")</f>
        <v>0</v>
      </c>
      <c r="EL243" s="2131">
        <f>IF(EL$221,_xll.ciqfunctions.udf.CIQ($G243, "IQ_VOLUME", EL$222),"--")</f>
        <v>0</v>
      </c>
      <c r="EM243" s="2131">
        <f>IF(EM$221,_xll.ciqfunctions.udf.CIQ($G243, "IQ_VOLUME", EM$222),"--")</f>
        <v>0</v>
      </c>
      <c r="EN243" s="2131">
        <f>IF(EN$221,_xll.ciqfunctions.udf.CIQ($G243, "IQ_VOLUME", EN$222),"--")</f>
        <v>0</v>
      </c>
      <c r="EO243" s="2131">
        <f>IF(EO$221,_xll.ciqfunctions.udf.CIQ($G243, "IQ_VOLUME", EO$222),"--")</f>
        <v>0</v>
      </c>
      <c r="EP243" s="2131">
        <f>IF(EP$221,_xll.ciqfunctions.udf.CIQ($G243, "IQ_VOLUME", EP$222),"--")</f>
        <v>0</v>
      </c>
      <c r="EQ243" s="2131">
        <f>IF(EQ$221,_xll.ciqfunctions.udf.CIQ($G243, "IQ_VOLUME", EQ$222),"--")</f>
        <v>0</v>
      </c>
      <c r="ER243" s="2131">
        <f>IF(ER$221,_xll.ciqfunctions.udf.CIQ($G243, "IQ_VOLUME", ER$222),"--")</f>
        <v>0</v>
      </c>
      <c r="ES243" s="2131">
        <f>IF(ES$221,_xll.ciqfunctions.udf.CIQ($G243, "IQ_VOLUME", ES$222),"--")</f>
        <v>0</v>
      </c>
      <c r="ET243" s="2131">
        <f>IF(ET$221,_xll.ciqfunctions.udf.CIQ($G243, "IQ_VOLUME", ET$222),"--")</f>
        <v>0</v>
      </c>
      <c r="EU243" s="2131">
        <f>IF(EU$221,_xll.ciqfunctions.udf.CIQ($G243, "IQ_VOLUME", EU$222),"--")</f>
        <v>0</v>
      </c>
      <c r="EV243" s="2131">
        <f>IF(EV$221,_xll.ciqfunctions.udf.CIQ($G243, "IQ_VOLUME", EV$222),"--")</f>
        <v>0</v>
      </c>
      <c r="EW243" s="2131">
        <f>IF(EW$221,_xll.ciqfunctions.udf.CIQ($G243, "IQ_VOLUME", EW$222),"--")</f>
        <v>0</v>
      </c>
      <c r="EX243" s="2131">
        <f>IF(EX$221,_xll.ciqfunctions.udf.CIQ($G243, "IQ_VOLUME", EX$222),"--")</f>
        <v>0</v>
      </c>
      <c r="EY243" s="2131">
        <f>IF(EY$221,_xll.ciqfunctions.udf.CIQ($G243, "IQ_VOLUME", EY$222),"--")</f>
        <v>0</v>
      </c>
      <c r="EZ243" s="2131">
        <f>IF(EZ$221,_xll.ciqfunctions.udf.CIQ($G243, "IQ_VOLUME", EZ$222),"--")</f>
        <v>0</v>
      </c>
      <c r="FA243" s="2131">
        <f>IF(FA$221,_xll.ciqfunctions.udf.CIQ($G243, "IQ_VOLUME", FA$222),"--")</f>
        <v>0</v>
      </c>
      <c r="FB243" s="2131">
        <f>IF(FB$221,_xll.ciqfunctions.udf.CIQ($G243, "IQ_VOLUME", FB$222),"--")</f>
        <v>0</v>
      </c>
      <c r="FC243" s="2131">
        <f>IF(FC$221,_xll.ciqfunctions.udf.CIQ($G243, "IQ_VOLUME", FC$222),"--")</f>
        <v>0</v>
      </c>
      <c r="FD243" s="2131">
        <f>IF(FD$221,_xll.ciqfunctions.udf.CIQ($G243, "IQ_VOLUME", FD$222),"--")</f>
        <v>0</v>
      </c>
      <c r="FE243" s="2131">
        <f>IF(FE$221,_xll.ciqfunctions.udf.CIQ($G243, "IQ_VOLUME", FE$222),"--")</f>
        <v>0</v>
      </c>
      <c r="FF243" s="2131">
        <f>IF(FF$221,_xll.ciqfunctions.udf.CIQ($G243, "IQ_VOLUME", FF$222),"--")</f>
        <v>0</v>
      </c>
      <c r="FG243" s="2131">
        <f>IF(FG$221,_xll.ciqfunctions.udf.CIQ($G243, "IQ_VOLUME", FG$222),"--")</f>
        <v>0</v>
      </c>
      <c r="FH243" s="2131">
        <f>IF(FH$221,_xll.ciqfunctions.udf.CIQ($G243, "IQ_VOLUME", FH$222),"--")</f>
        <v>0</v>
      </c>
      <c r="FI243" s="2131">
        <f>IF(FI$221,_xll.ciqfunctions.udf.CIQ($G243, "IQ_VOLUME", FI$222),"--")</f>
        <v>0</v>
      </c>
      <c r="FJ243" s="2131">
        <f>IF(FJ$221,_xll.ciqfunctions.udf.CIQ($G243, "IQ_VOLUME", FJ$222),"--")</f>
        <v>0</v>
      </c>
      <c r="FK243" s="2131">
        <f>IF(FK$221,_xll.ciqfunctions.udf.CIQ($G243, "IQ_VOLUME", FK$222),"--")</f>
        <v>0</v>
      </c>
      <c r="FL243" s="2131">
        <f>IF(FL$221,_xll.ciqfunctions.udf.CIQ($G243, "IQ_VOLUME", FL$222),"--")</f>
        <v>0</v>
      </c>
      <c r="FM243" s="2131">
        <f>IF(FM$221,_xll.ciqfunctions.udf.CIQ($G243, "IQ_VOLUME", FM$222),"--")</f>
        <v>0</v>
      </c>
      <c r="FN243" s="2131">
        <f>IF(FN$221,_xll.ciqfunctions.udf.CIQ($G243, "IQ_VOLUME", FN$222),"--")</f>
        <v>0</v>
      </c>
      <c r="FO243" s="2131">
        <f>IF(FO$221,_xll.ciqfunctions.udf.CIQ($G243, "IQ_VOLUME", FO$222),"--")</f>
        <v>0</v>
      </c>
      <c r="FP243" s="2131">
        <f>IF(FP$221,_xll.ciqfunctions.udf.CIQ($G243, "IQ_VOLUME", FP$222),"--")</f>
        <v>0</v>
      </c>
      <c r="FQ243" s="2131">
        <f>IF(FQ$221,_xll.ciqfunctions.udf.CIQ($G243, "IQ_VOLUME", FQ$222),"--")</f>
        <v>0</v>
      </c>
      <c r="FR243" s="2131">
        <f>IF(FR$221,_xll.ciqfunctions.udf.CIQ($G243, "IQ_VOLUME", FR$222),"--")</f>
        <v>0</v>
      </c>
      <c r="FS243" s="2131">
        <f>IF(FS$221,_xll.ciqfunctions.udf.CIQ($G243, "IQ_VOLUME", FS$222),"--")</f>
        <v>0</v>
      </c>
      <c r="FT243" s="2131">
        <f>IF(FT$221,_xll.ciqfunctions.udf.CIQ($G243, "IQ_VOLUME", FT$222),"--")</f>
        <v>0</v>
      </c>
      <c r="FU243" s="2131">
        <f>IF(FU$221,_xll.ciqfunctions.udf.CIQ($G243, "IQ_VOLUME", FU$222),"--")</f>
        <v>0</v>
      </c>
      <c r="FV243" s="2131">
        <f>IF(FV$221,_xll.ciqfunctions.udf.CIQ($G243, "IQ_VOLUME", FV$222),"--")</f>
        <v>0</v>
      </c>
      <c r="FW243" s="2131">
        <f>IF(FW$221,_xll.ciqfunctions.udf.CIQ($G243, "IQ_VOLUME", FW$222),"--")</f>
        <v>0</v>
      </c>
      <c r="FX243" s="2131">
        <f>IF(FX$221,_xll.ciqfunctions.udf.CIQ($G243, "IQ_VOLUME", FX$222),"--")</f>
        <v>0</v>
      </c>
      <c r="FY243" s="2131">
        <f>IF(FY$221,_xll.ciqfunctions.udf.CIQ($G243, "IQ_VOLUME", FY$222),"--")</f>
        <v>0</v>
      </c>
      <c r="FZ243" s="2131">
        <f>IF(FZ$221,_xll.ciqfunctions.udf.CIQ($G243, "IQ_VOLUME", FZ$222),"--")</f>
        <v>0</v>
      </c>
      <c r="GA243" s="2131">
        <f>IF(GA$221,_xll.ciqfunctions.udf.CIQ($G243, "IQ_VOLUME", GA$222),"--")</f>
        <v>0</v>
      </c>
      <c r="GB243" s="2131">
        <f>IF(GB$221,_xll.ciqfunctions.udf.CIQ($G243, "IQ_VOLUME", GB$222),"--")</f>
        <v>0</v>
      </c>
      <c r="GC243" s="2131">
        <f>IF(GC$221,_xll.ciqfunctions.udf.CIQ($G243, "IQ_VOLUME", GC$222),"--")</f>
        <v>0</v>
      </c>
      <c r="GD243" s="2131">
        <f>IF(GD$221,_xll.ciqfunctions.udf.CIQ($G243, "IQ_VOLUME", GD$222),"--")</f>
        <v>0</v>
      </c>
      <c r="GE243" s="2131">
        <f>IF(GE$221,_xll.ciqfunctions.udf.CIQ($G243, "IQ_VOLUME", GE$222),"--")</f>
        <v>0</v>
      </c>
      <c r="GF243" s="2131">
        <f>IF(GF$221,_xll.ciqfunctions.udf.CIQ($G243, "IQ_VOLUME", GF$222),"--")</f>
        <v>0</v>
      </c>
      <c r="GG243" s="2131">
        <f>IF(GG$221,_xll.ciqfunctions.udf.CIQ($G243, "IQ_VOLUME", GG$222),"--")</f>
        <v>0</v>
      </c>
      <c r="GH243" s="2131">
        <f>IF(GH$221,_xll.ciqfunctions.udf.CIQ($G243, "IQ_VOLUME", GH$222),"--")</f>
        <v>0</v>
      </c>
      <c r="GI243" s="2131">
        <f>IF(GI$221,_xll.ciqfunctions.udf.CIQ($G243, "IQ_VOLUME", GI$222),"--")</f>
        <v>0</v>
      </c>
      <c r="GJ243" s="2131">
        <f>IF(GJ$221,_xll.ciqfunctions.udf.CIQ($G243, "IQ_VOLUME", GJ$222),"--")</f>
        <v>0</v>
      </c>
      <c r="GK243" s="2131">
        <f>IF(GK$221,_xll.ciqfunctions.udf.CIQ($G243, "IQ_VOLUME", GK$222),"--")</f>
        <v>0</v>
      </c>
      <c r="GL243" s="2131">
        <f>IF(GL$221,_xll.ciqfunctions.udf.CIQ($G243, "IQ_VOLUME", GL$222),"--")</f>
        <v>0</v>
      </c>
      <c r="GM243" s="2131">
        <f>IF(GM$221,_xll.ciqfunctions.udf.CIQ($G243, "IQ_VOLUME", GM$222),"--")</f>
        <v>0</v>
      </c>
      <c r="GN243" s="2131">
        <f>IF(GN$221,_xll.ciqfunctions.udf.CIQ($G243, "IQ_VOLUME", GN$222),"--")</f>
        <v>0</v>
      </c>
      <c r="GO243" s="2131">
        <f>IF(GO$221,_xll.ciqfunctions.udf.CIQ($G243, "IQ_VOLUME", GO$222),"--")</f>
        <v>0</v>
      </c>
      <c r="GP243" s="2131">
        <f>IF(GP$221,_xll.ciqfunctions.udf.CIQ($G243, "IQ_VOLUME", GP$222),"--")</f>
        <v>0</v>
      </c>
      <c r="GQ243" s="2131">
        <f>IF(GQ$221,_xll.ciqfunctions.udf.CIQ($G243, "IQ_VOLUME", GQ$222),"--")</f>
        <v>0</v>
      </c>
      <c r="GR243" s="2131">
        <f>IF(GR$221,_xll.ciqfunctions.udf.CIQ($G243, "IQ_VOLUME", GR$222),"--")</f>
        <v>0</v>
      </c>
      <c r="GS243" s="2131">
        <f>IF(GS$221,_xll.ciqfunctions.udf.CIQ($G243, "IQ_VOLUME", GS$222),"--")</f>
        <v>0</v>
      </c>
      <c r="GT243" s="2131">
        <f>IF(GT$221,_xll.ciqfunctions.udf.CIQ($G243, "IQ_VOLUME", GT$222),"--")</f>
        <v>0</v>
      </c>
      <c r="GU243" s="2131">
        <f>IF(GU$221,_xll.ciqfunctions.udf.CIQ($G243, "IQ_VOLUME", GU$222),"--")</f>
        <v>0</v>
      </c>
      <c r="GV243" s="2131">
        <f>IF(GV$221,_xll.ciqfunctions.udf.CIQ($G243, "IQ_VOLUME", GV$222),"--")</f>
        <v>0</v>
      </c>
      <c r="GW243" s="2131">
        <f>IF(GW$221,_xll.ciqfunctions.udf.CIQ($G243, "IQ_VOLUME", GW$222),"--")</f>
        <v>0</v>
      </c>
      <c r="GX243" s="2131">
        <f>IF(GX$221,_xll.ciqfunctions.udf.CIQ($G243, "IQ_VOLUME", GX$222),"--")</f>
        <v>0</v>
      </c>
      <c r="GY243" s="2131">
        <f>IF(GY$221,_xll.ciqfunctions.udf.CIQ($G243, "IQ_VOLUME", GY$222),"--")</f>
        <v>0</v>
      </c>
      <c r="GZ243" s="2131">
        <f>IF(GZ$221,_xll.ciqfunctions.udf.CIQ($G243, "IQ_VOLUME", GZ$222),"--")</f>
        <v>0</v>
      </c>
      <c r="HA243" s="2131">
        <f>IF(HA$221,_xll.ciqfunctions.udf.CIQ($G243, "IQ_VOLUME", HA$222),"--")</f>
        <v>0</v>
      </c>
      <c r="HB243" s="2131">
        <f>IF(HB$221,_xll.ciqfunctions.udf.CIQ($G243, "IQ_VOLUME", HB$222),"--")</f>
        <v>0</v>
      </c>
      <c r="HC243" s="2131">
        <f>IF(HC$221,_xll.ciqfunctions.udf.CIQ($G243, "IQ_VOLUME", HC$222),"--")</f>
        <v>0</v>
      </c>
      <c r="HD243" s="2131">
        <f>IF(HD$221,_xll.ciqfunctions.udf.CIQ($G243, "IQ_VOLUME", HD$222),"--")</f>
        <v>0</v>
      </c>
      <c r="HE243" s="2131">
        <f>IF(HE$221,_xll.ciqfunctions.udf.CIQ($G243, "IQ_VOLUME", HE$222),"--")</f>
        <v>0</v>
      </c>
      <c r="HF243" s="2131">
        <f>IF(HF$221,_xll.ciqfunctions.udf.CIQ($G243, "IQ_VOLUME", HF$222),"--")</f>
        <v>0</v>
      </c>
      <c r="HG243" s="2131">
        <f>IF(HG$221,_xll.ciqfunctions.udf.CIQ($G243, "IQ_VOLUME", HG$222),"--")</f>
        <v>0</v>
      </c>
      <c r="HH243" s="2131">
        <f>IF(HH$221,_xll.ciqfunctions.udf.CIQ($G243, "IQ_VOLUME", HH$222),"--")</f>
        <v>0</v>
      </c>
      <c r="HI243" s="2131">
        <f>IF(HI$221,_xll.ciqfunctions.udf.CIQ($G243, "IQ_VOLUME", HI$222),"--")</f>
        <v>0</v>
      </c>
      <c r="HJ243" s="2131">
        <f>IF(HJ$221,_xll.ciqfunctions.udf.CIQ($G243, "IQ_VOLUME", HJ$222),"--")</f>
        <v>0</v>
      </c>
      <c r="HK243" s="2131">
        <f>IF(HK$221,_xll.ciqfunctions.udf.CIQ($G243, "IQ_VOLUME", HK$222),"--")</f>
        <v>0</v>
      </c>
      <c r="HL243" s="2131">
        <f>IF(HL$221,_xll.ciqfunctions.udf.CIQ($G243, "IQ_VOLUME", HL$222),"--")</f>
        <v>0</v>
      </c>
      <c r="HM243" s="2131">
        <f>IF(HM$221,_xll.ciqfunctions.udf.CIQ($G243, "IQ_VOLUME", HM$222),"--")</f>
        <v>0</v>
      </c>
      <c r="HN243" s="2131">
        <f>IF(HN$221,_xll.ciqfunctions.udf.CIQ($G243, "IQ_VOLUME", HN$222),"--")</f>
        <v>0</v>
      </c>
      <c r="HO243" s="2131">
        <f>IF(HO$221,_xll.ciqfunctions.udf.CIQ($G243, "IQ_VOLUME", HO$222),"--")</f>
        <v>0</v>
      </c>
      <c r="HP243" s="2131">
        <f>IF(HP$221,_xll.ciqfunctions.udf.CIQ($G243, "IQ_VOLUME", HP$222),"--")</f>
        <v>0</v>
      </c>
      <c r="HQ243" s="2131">
        <f>IF(HQ$221,_xll.ciqfunctions.udf.CIQ($G243, "IQ_VOLUME", HQ$222),"--")</f>
        <v>0</v>
      </c>
      <c r="HR243" s="2131">
        <f>IF(HR$221,_xll.ciqfunctions.udf.CIQ($G243, "IQ_VOLUME", HR$222),"--")</f>
        <v>0</v>
      </c>
      <c r="HS243" s="2131">
        <f>IF(HS$221,_xll.ciqfunctions.udf.CIQ($G243, "IQ_VOLUME", HS$222),"--")</f>
        <v>0</v>
      </c>
      <c r="HT243" s="2131">
        <f>IF(HT$221,_xll.ciqfunctions.udf.CIQ($G243, "IQ_VOLUME", HT$222),"--")</f>
        <v>0</v>
      </c>
      <c r="HU243" s="2131">
        <f>IF(HU$221,_xll.ciqfunctions.udf.CIQ($G243, "IQ_VOLUME", HU$222),"--")</f>
        <v>0</v>
      </c>
      <c r="HV243" s="2131">
        <f>IF(HV$221,_xll.ciqfunctions.udf.CIQ($G243, "IQ_VOLUME", HV$222),"--")</f>
        <v>0</v>
      </c>
      <c r="HW243" s="2131">
        <f>IF(HW$221,_xll.ciqfunctions.udf.CIQ($G243, "IQ_VOLUME", HW$222),"--")</f>
        <v>0</v>
      </c>
      <c r="HX243" s="2131">
        <f>IF(HX$221,_xll.ciqfunctions.udf.CIQ($G243, "IQ_VOLUME", HX$222),"--")</f>
        <v>0</v>
      </c>
      <c r="HY243" s="2131">
        <f>IF(HY$221,_xll.ciqfunctions.udf.CIQ($G243, "IQ_VOLUME", HY$222),"--")</f>
        <v>0</v>
      </c>
      <c r="HZ243" s="2131">
        <f>IF(HZ$221,_xll.ciqfunctions.udf.CIQ($G243, "IQ_VOLUME", HZ$222),"--")</f>
        <v>0</v>
      </c>
      <c r="IA243" s="2131">
        <f>IF(IA$221,_xll.ciqfunctions.udf.CIQ($G243, "IQ_VOLUME", IA$222),"--")</f>
        <v>0</v>
      </c>
      <c r="IB243" s="2131">
        <f>IF(IB$221,_xll.ciqfunctions.udf.CIQ($G243, "IQ_VOLUME", IB$222),"--")</f>
        <v>0</v>
      </c>
      <c r="IC243" s="2131">
        <f>IF(IC$221,_xll.ciqfunctions.udf.CIQ($G243, "IQ_VOLUME", IC$222),"--")</f>
        <v>0</v>
      </c>
      <c r="ID243" s="2131">
        <f>IF(ID$221,_xll.ciqfunctions.udf.CIQ($G243, "IQ_VOLUME", ID$222),"--")</f>
        <v>0</v>
      </c>
      <c r="IE243" s="2131">
        <f>IF(IE$221,_xll.ciqfunctions.udf.CIQ($G243, "IQ_VOLUME", IE$222),"--")</f>
        <v>0</v>
      </c>
      <c r="IF243" s="2131">
        <f>IF(IF$221,_xll.ciqfunctions.udf.CIQ($G243, "IQ_VOLUME", IF$222),"--")</f>
        <v>0</v>
      </c>
      <c r="IG243" s="2131">
        <f>IF(IG$221,_xll.ciqfunctions.udf.CIQ($G243, "IQ_VOLUME", IG$222),"--")</f>
        <v>0</v>
      </c>
      <c r="IH243" s="2131">
        <f>IF(IH$221,_xll.ciqfunctions.udf.CIQ($G243, "IQ_VOLUME", IH$222),"--")</f>
        <v>0</v>
      </c>
      <c r="II243" s="2131">
        <f>IF(II$221,_xll.ciqfunctions.udf.CIQ($G243, "IQ_VOLUME", II$222),"--")</f>
        <v>0</v>
      </c>
      <c r="IJ243" s="2131">
        <f>IF(IJ$221,_xll.ciqfunctions.udf.CIQ($G243, "IQ_VOLUME", IJ$222),"--")</f>
        <v>0</v>
      </c>
      <c r="IK243" s="2131">
        <f>IF(IK$221,_xll.ciqfunctions.udf.CIQ($G243, "IQ_VOLUME", IK$222),"--")</f>
        <v>0</v>
      </c>
      <c r="IL243" s="2131">
        <f>IF(IL$221,_xll.ciqfunctions.udf.CIQ($G243, "IQ_VOLUME", IL$222),"--")</f>
        <v>0</v>
      </c>
      <c r="IM243" s="2131">
        <f>IF(IM$221,_xll.ciqfunctions.udf.CIQ($G243, "IQ_VOLUME", IM$222),"--")</f>
        <v>0</v>
      </c>
      <c r="IN243" s="2131">
        <f>IF(IN$221,_xll.ciqfunctions.udf.CIQ($G243, "IQ_VOLUME", IN$222),"--")</f>
        <v>0</v>
      </c>
      <c r="IO243" s="2131">
        <f>IF(IO$221,_xll.ciqfunctions.udf.CIQ($G243, "IQ_VOLUME", IO$222),"--")</f>
        <v>0</v>
      </c>
      <c r="IP243" s="2131">
        <f>IF(IP$221,_xll.ciqfunctions.udf.CIQ($G243, "IQ_VOLUME", IP$222),"--")</f>
        <v>0</v>
      </c>
      <c r="IQ243" s="2131">
        <f>IF(IQ$221,_xll.ciqfunctions.udf.CIQ($G243, "IQ_VOLUME", IQ$222),"--")</f>
        <v>0</v>
      </c>
      <c r="IR243" s="2131">
        <f>IF(IR$221,_xll.ciqfunctions.udf.CIQ($G243, "IQ_VOLUME", IR$222),"--")</f>
        <v>0</v>
      </c>
      <c r="IS243" s="2131">
        <f>IF(IS$221,_xll.ciqfunctions.udf.CIQ($G243, "IQ_VOLUME", IS$222),"--")</f>
        <v>0</v>
      </c>
      <c r="IT243" s="2131">
        <f>IF(IT$221,_xll.ciqfunctions.udf.CIQ($G243, "IQ_VOLUME", IT$222),"--")</f>
        <v>0</v>
      </c>
      <c r="IU243" s="2131">
        <f>IF(IU$221,_xll.ciqfunctions.udf.CIQ($G243, "IQ_VOLUME", IU$222),"--")</f>
        <v>0</v>
      </c>
      <c r="IV243" s="2131">
        <f>IF(IV$221,_xll.ciqfunctions.udf.CIQ($G243, "IQ_VOLUME", IV$222),"--")</f>
        <v>0</v>
      </c>
      <c r="IW243" s="2131">
        <f>IF(IW$221,_xll.ciqfunctions.udf.CIQ($G243, "IQ_VOLUME", IW$222),"--")</f>
        <v>0</v>
      </c>
      <c r="IX243" s="2131">
        <f>IF(IX$221,_xll.ciqfunctions.udf.CIQ($G243, "IQ_VOLUME", IX$222),"--")</f>
        <v>0</v>
      </c>
      <c r="IY243" s="2131">
        <f>IF(IY$221,_xll.ciqfunctions.udf.CIQ($G243, "IQ_VOLUME", IY$222),"--")</f>
        <v>0</v>
      </c>
      <c r="IZ243" s="2131">
        <f>IF(IZ$221,_xll.ciqfunctions.udf.CIQ($G243, "IQ_VOLUME", IZ$222),"--")</f>
        <v>0</v>
      </c>
      <c r="JA243" s="2131">
        <f>IF(JA$221,_xll.ciqfunctions.udf.CIQ($G243, "IQ_VOLUME", JA$222),"--")</f>
        <v>0</v>
      </c>
      <c r="JB243" s="2131">
        <f>IF(JB$221,_xll.ciqfunctions.udf.CIQ($G243, "IQ_VOLUME", JB$222),"--")</f>
        <v>0</v>
      </c>
      <c r="JC243" s="2131">
        <f>IF(JC$221,_xll.ciqfunctions.udf.CIQ($G243, "IQ_VOLUME", JC$222),"--")</f>
        <v>0</v>
      </c>
      <c r="JD243" s="2131">
        <f>IF(JD$221,_xll.ciqfunctions.udf.CIQ($G243, "IQ_VOLUME", JD$222),"--")</f>
        <v>0</v>
      </c>
      <c r="JE243" s="2131">
        <f>IF(JE$221,_xll.ciqfunctions.udf.CIQ($G243, "IQ_VOLUME", JE$222),"--")</f>
        <v>0</v>
      </c>
      <c r="JF243" s="2131">
        <f>IF(JF$221,_xll.ciqfunctions.udf.CIQ($G243, "IQ_VOLUME", JF$222),"--")</f>
        <v>0</v>
      </c>
      <c r="JG243" s="2131">
        <f>IF(JG$221,_xll.ciqfunctions.udf.CIQ($G243, "IQ_VOLUME", JG$222),"--")</f>
        <v>0</v>
      </c>
      <c r="JH243" s="2131">
        <f>IF(JH$221,_xll.ciqfunctions.udf.CIQ($G243, "IQ_VOLUME", JH$222),"--")</f>
        <v>0</v>
      </c>
      <c r="JI243" s="2131">
        <f>IF(JI$221,_xll.ciqfunctions.udf.CIQ($G243, "IQ_VOLUME", JI$222),"--")</f>
        <v>0</v>
      </c>
      <c r="JJ243" s="2131">
        <f>IF(JJ$221,_xll.ciqfunctions.udf.CIQ($G243, "IQ_VOLUME", JJ$222),"--")</f>
        <v>0</v>
      </c>
      <c r="JK243" s="2131">
        <f>IF(JK$221,_xll.ciqfunctions.udf.CIQ($G243, "IQ_VOLUME", JK$222),"--")</f>
        <v>0</v>
      </c>
      <c r="JL243" s="2131">
        <f>IF(JL$221,_xll.ciqfunctions.udf.CIQ($G243, "IQ_VOLUME", JL$222),"--")</f>
        <v>0</v>
      </c>
      <c r="JM243" s="2131">
        <f>IF(JM$221,_xll.ciqfunctions.udf.CIQ($G243, "IQ_VOLUME", JM$222),"--")</f>
        <v>0</v>
      </c>
      <c r="JN243" s="2131">
        <f>IF(JN$221,_xll.ciqfunctions.udf.CIQ($G243, "IQ_VOLUME", JN$222),"--")</f>
        <v>0</v>
      </c>
      <c r="JO243" s="2131">
        <f>IF(JO$221,_xll.ciqfunctions.udf.CIQ($G243, "IQ_VOLUME", JO$222),"--")</f>
        <v>0</v>
      </c>
      <c r="JP243" s="2131">
        <f>IF(JP$221,_xll.ciqfunctions.udf.CIQ($G243, "IQ_VOLUME", JP$222),"--")</f>
        <v>0</v>
      </c>
      <c r="JQ243" s="2131">
        <f>IF(JQ$221,_xll.ciqfunctions.udf.CIQ($G243, "IQ_VOLUME", JQ$222),"--")</f>
        <v>0</v>
      </c>
      <c r="JR243" s="2131">
        <f>IF(JR$221,_xll.ciqfunctions.udf.CIQ($G243, "IQ_VOLUME", JR$222),"--")</f>
        <v>0</v>
      </c>
      <c r="JS243" s="2131">
        <f>IF(JS$221,_xll.ciqfunctions.udf.CIQ($G243, "IQ_VOLUME", JS$222),"--")</f>
        <v>0</v>
      </c>
      <c r="JT243" s="2131">
        <f>IF(JT$221,_xll.ciqfunctions.udf.CIQ($G243, "IQ_VOLUME", JT$222),"--")</f>
        <v>0</v>
      </c>
      <c r="JU243" s="2131">
        <f>IF(JU$221,_xll.ciqfunctions.udf.CIQ($G243, "IQ_VOLUME", JU$222),"--")</f>
        <v>0</v>
      </c>
      <c r="JV243" s="2131">
        <f>IF(JV$221,_xll.ciqfunctions.udf.CIQ($G243, "IQ_VOLUME", JV$222),"--")</f>
        <v>0</v>
      </c>
      <c r="JW243" s="2131" t="str">
        <f>IF(JW$221,_xll.ciqfunctions.udf.CIQ($G243, "IQ_VOLUME", JW$222),"--")</f>
        <v>--</v>
      </c>
      <c r="JX243" s="2131" t="str">
        <f>IF(JX$221,_xll.ciqfunctions.udf.CIQ($G243, "IQ_VOLUME", JX$222),"--")</f>
        <v>--</v>
      </c>
      <c r="JY243" s="2131" t="str">
        <f>IF(JY$221,_xll.ciqfunctions.udf.CIQ($G243, "IQ_VOLUME", JY$222),"--")</f>
        <v>--</v>
      </c>
      <c r="JZ243" s="2131" t="str">
        <f>IF(JZ$221,_xll.ciqfunctions.udf.CIQ($G243, "IQ_VOLUME", JZ$222),"--")</f>
        <v>--</v>
      </c>
      <c r="KA243" s="2131" t="str">
        <f>IF(KA$221,_xll.ciqfunctions.udf.CIQ($G243, "IQ_VOLUME", KA$222),"--")</f>
        <v>--</v>
      </c>
      <c r="KB243" s="2131" t="str">
        <f>IF(KB$221,_xll.ciqfunctions.udf.CIQ($G243, "IQ_VOLUME", KB$222),"--")</f>
        <v>--</v>
      </c>
    </row>
    <row r="244" spans="1:288" s="89" customFormat="1" ht="13.9">
      <c r="A244" s="269" t="str">
        <f t="shared" si="47"/>
        <v>n</v>
      </c>
      <c r="B244" s="2060"/>
      <c r="D244" s="801"/>
      <c r="E244" s="1505">
        <v>21</v>
      </c>
      <c r="F244" s="21" t="str">
        <f>F$149</f>
        <v>--</v>
      </c>
      <c r="G244" s="2112">
        <f>G$149</f>
        <v>0</v>
      </c>
      <c r="H244" s="2112" t="str">
        <f>H$149</f>
        <v>--</v>
      </c>
      <c r="I244" s="22" t="s">
        <v>781</v>
      </c>
      <c r="J244" s="53"/>
      <c r="K244" s="2301" t="str">
        <f>IF(OR(K212=0,$G244=0),"--",IFERROR(_xll.ciqfunctions.udf.CIQ($G244,$I244,K120,Valuation_Date_GC,ReportType,DataMode,$H244,FXMode)*Scale,"--"))</f>
        <v>--</v>
      </c>
      <c r="L244" s="2301" t="str">
        <f>IF(OR(L212=0,$G244=0),"--",IFERROR(_xll.ciqfunctions.udf.CIQ($G244,$I244,L120,Valuation_Date_GC,ReportType,DataMode,$H244,FXMode)*Scale,"--"))</f>
        <v>--</v>
      </c>
      <c r="M244" s="2301" t="str">
        <f>IF(OR(M212=0,$G244=0),"--",IFERROR(_xll.ciqfunctions.udf.CIQ($G244,$I244,M120,Valuation_Date_GC,ReportType,DataMode,$H244,FXMode)*Scale,"--"))</f>
        <v>--</v>
      </c>
      <c r="N244" s="2301" t="str">
        <f>IF(OR(N212=0,$G244=0),"--",IFERROR(_xll.ciqfunctions.udf.CIQ($G244,$I244,N120,Valuation_Date_GC,ReportType,DataMode,$H244,FXMode)*Scale,"--"))</f>
        <v>--</v>
      </c>
      <c r="O244" s="1471" t="str">
        <f>IF(OR(O212=0,$G244=0),"--",IFERROR(_xll.ciqfunctions.udf.CIQ($G244,$I244,O120,Valuation_Date_GC,ReportType,DataMode,$H244,FXMode)*Scale,"--"))</f>
        <v>--</v>
      </c>
      <c r="P244" s="2301" t="str">
        <f>IF(OR(P212=0,$G244=0),"--",IFERROR(_xll.ciqfunctions.udf.CIQ($G244,$I244,P120,Valuation_Date_GC,ReportType,DataMode,$H244,FXMode)*Scale,"--"))</f>
        <v>--</v>
      </c>
      <c r="R244" s="255"/>
      <c r="T244" s="1779" t="s">
        <v>782</v>
      </c>
      <c r="U244" s="2131">
        <f>IF(U$221,_xll.ciqfunctions.udf.CIQ($G244, "IQ_VOLUME", U$222),"--")</f>
        <v>0</v>
      </c>
      <c r="V244" s="2131">
        <f>IF(V$221,_xll.ciqfunctions.udf.CIQ($G244, "IQ_VOLUME", V$222),"--")</f>
        <v>0</v>
      </c>
      <c r="W244" s="2131">
        <f>IF(W$221,_xll.ciqfunctions.udf.CIQ($G244, "IQ_VOLUME", W$222),"--")</f>
        <v>0</v>
      </c>
      <c r="X244" s="2131">
        <f>IF(X$221,_xll.ciqfunctions.udf.CIQ($G244, "IQ_VOLUME", X$222),"--")</f>
        <v>0</v>
      </c>
      <c r="Y244" s="2131">
        <f>IF(Y$221,_xll.ciqfunctions.udf.CIQ($G244, "IQ_VOLUME", Y$222),"--")</f>
        <v>0</v>
      </c>
      <c r="Z244" s="2131">
        <f>IF(Z$221,_xll.ciqfunctions.udf.CIQ($G244, "IQ_VOLUME", Z$222),"--")</f>
        <v>0</v>
      </c>
      <c r="AA244" s="2131">
        <f>IF(AA$221,_xll.ciqfunctions.udf.CIQ($G244, "IQ_VOLUME", AA$222),"--")</f>
        <v>0</v>
      </c>
      <c r="AB244" s="2131">
        <f>IF(AB$221,_xll.ciqfunctions.udf.CIQ($G244, "IQ_VOLUME", AB$222),"--")</f>
        <v>0</v>
      </c>
      <c r="AC244" s="2131">
        <f>IF(AC$221,_xll.ciqfunctions.udf.CIQ($G244, "IQ_VOLUME", AC$222),"--")</f>
        <v>0</v>
      </c>
      <c r="AD244" s="2131">
        <f>IF(AD$221,_xll.ciqfunctions.udf.CIQ($G244, "IQ_VOLUME", AD$222),"--")</f>
        <v>0</v>
      </c>
      <c r="AE244" s="2131">
        <f>IF(AE$221,_xll.ciqfunctions.udf.CIQ($G244, "IQ_VOLUME", AE$222),"--")</f>
        <v>0</v>
      </c>
      <c r="AF244" s="2131">
        <f>IF(AF$221,_xll.ciqfunctions.udf.CIQ($G244, "IQ_VOLUME", AF$222),"--")</f>
        <v>0</v>
      </c>
      <c r="AG244" s="2131">
        <f>IF(AG$221,_xll.ciqfunctions.udf.CIQ($G244, "IQ_VOLUME", AG$222),"--")</f>
        <v>0</v>
      </c>
      <c r="AH244" s="2131">
        <f>IF(AH$221,_xll.ciqfunctions.udf.CIQ($G244, "IQ_VOLUME", AH$222),"--")</f>
        <v>0</v>
      </c>
      <c r="AI244" s="2131">
        <f>IF(AI$221,_xll.ciqfunctions.udf.CIQ($G244, "IQ_VOLUME", AI$222),"--")</f>
        <v>0</v>
      </c>
      <c r="AJ244" s="2131">
        <f>IF(AJ$221,_xll.ciqfunctions.udf.CIQ($G244, "IQ_VOLUME", AJ$222),"--")</f>
        <v>0</v>
      </c>
      <c r="AK244" s="2131">
        <f>IF(AK$221,_xll.ciqfunctions.udf.CIQ($G244, "IQ_VOLUME", AK$222),"--")</f>
        <v>0</v>
      </c>
      <c r="AL244" s="2131">
        <f>IF(AL$221,_xll.ciqfunctions.udf.CIQ($G244, "IQ_VOLUME", AL$222),"--")</f>
        <v>0</v>
      </c>
      <c r="AM244" s="2131">
        <f>IF(AM$221,_xll.ciqfunctions.udf.CIQ($G244, "IQ_VOLUME", AM$222),"--")</f>
        <v>0</v>
      </c>
      <c r="AN244" s="2131">
        <f>IF(AN$221,_xll.ciqfunctions.udf.CIQ($G244, "IQ_VOLUME", AN$222),"--")</f>
        <v>0</v>
      </c>
      <c r="AO244" s="2131">
        <f>IF(AO$221,_xll.ciqfunctions.udf.CIQ($G244, "IQ_VOLUME", AO$222),"--")</f>
        <v>0</v>
      </c>
      <c r="AP244" s="2131">
        <f>IF(AP$221,_xll.ciqfunctions.udf.CIQ($G244, "IQ_VOLUME", AP$222),"--")</f>
        <v>0</v>
      </c>
      <c r="AQ244" s="2131">
        <f>IF(AQ$221,_xll.ciqfunctions.udf.CIQ($G244, "IQ_VOLUME", AQ$222),"--")</f>
        <v>0</v>
      </c>
      <c r="AR244" s="2131">
        <f>IF(AR$221,_xll.ciqfunctions.udf.CIQ($G244, "IQ_VOLUME", AR$222),"--")</f>
        <v>0</v>
      </c>
      <c r="AS244" s="2131">
        <f>IF(AS$221,_xll.ciqfunctions.udf.CIQ($G244, "IQ_VOLUME", AS$222),"--")</f>
        <v>0</v>
      </c>
      <c r="AT244" s="2131">
        <f>IF(AT$221,_xll.ciqfunctions.udf.CIQ($G244, "IQ_VOLUME", AT$222),"--")</f>
        <v>0</v>
      </c>
      <c r="AU244" s="2131">
        <f>IF(AU$221,_xll.ciqfunctions.udf.CIQ($G244, "IQ_VOLUME", AU$222),"--")</f>
        <v>0</v>
      </c>
      <c r="AV244" s="2131">
        <f>IF(AV$221,_xll.ciqfunctions.udf.CIQ($G244, "IQ_VOLUME", AV$222),"--")</f>
        <v>0</v>
      </c>
      <c r="AW244" s="2131">
        <f>IF(AW$221,_xll.ciqfunctions.udf.CIQ($G244, "IQ_VOLUME", AW$222),"--")</f>
        <v>0</v>
      </c>
      <c r="AX244" s="2131">
        <f>IF(AX$221,_xll.ciqfunctions.udf.CIQ($G244, "IQ_VOLUME", AX$222),"--")</f>
        <v>0</v>
      </c>
      <c r="AY244" s="2131">
        <f>IF(AY$221,_xll.ciqfunctions.udf.CIQ($G244, "IQ_VOLUME", AY$222),"--")</f>
        <v>0</v>
      </c>
      <c r="AZ244" s="2131">
        <f>IF(AZ$221,_xll.ciqfunctions.udf.CIQ($G244, "IQ_VOLUME", AZ$222),"--")</f>
        <v>0</v>
      </c>
      <c r="BA244" s="2131">
        <f>IF(BA$221,_xll.ciqfunctions.udf.CIQ($G244, "IQ_VOLUME", BA$222),"--")</f>
        <v>0</v>
      </c>
      <c r="BB244" s="2131">
        <f>IF(BB$221,_xll.ciqfunctions.udf.CIQ($G244, "IQ_VOLUME", BB$222),"--")</f>
        <v>0</v>
      </c>
      <c r="BC244" s="2131">
        <f>IF(BC$221,_xll.ciqfunctions.udf.CIQ($G244, "IQ_VOLUME", BC$222),"--")</f>
        <v>0</v>
      </c>
      <c r="BD244" s="2131">
        <f>IF(BD$221,_xll.ciqfunctions.udf.CIQ($G244, "IQ_VOLUME", BD$222),"--")</f>
        <v>0</v>
      </c>
      <c r="BE244" s="2131">
        <f>IF(BE$221,_xll.ciqfunctions.udf.CIQ($G244, "IQ_VOLUME", BE$222),"--")</f>
        <v>0</v>
      </c>
      <c r="BF244" s="2131">
        <f>IF(BF$221,_xll.ciqfunctions.udf.CIQ($G244, "IQ_VOLUME", BF$222),"--")</f>
        <v>0</v>
      </c>
      <c r="BG244" s="2131">
        <f>IF(BG$221,_xll.ciqfunctions.udf.CIQ($G244, "IQ_VOLUME", BG$222),"--")</f>
        <v>0</v>
      </c>
      <c r="BH244" s="2131">
        <f>IF(BH$221,_xll.ciqfunctions.udf.CIQ($G244, "IQ_VOLUME", BH$222),"--")</f>
        <v>0</v>
      </c>
      <c r="BI244" s="2131">
        <f>IF(BI$221,_xll.ciqfunctions.udf.CIQ($G244, "IQ_VOLUME", BI$222),"--")</f>
        <v>0</v>
      </c>
      <c r="BJ244" s="2131">
        <f>IF(BJ$221,_xll.ciqfunctions.udf.CIQ($G244, "IQ_VOLUME", BJ$222),"--")</f>
        <v>0</v>
      </c>
      <c r="BK244" s="2131">
        <f>IF(BK$221,_xll.ciqfunctions.udf.CIQ($G244, "IQ_VOLUME", BK$222),"--")</f>
        <v>0</v>
      </c>
      <c r="BL244" s="2131">
        <f>IF(BL$221,_xll.ciqfunctions.udf.CIQ($G244, "IQ_VOLUME", BL$222),"--")</f>
        <v>0</v>
      </c>
      <c r="BM244" s="2131">
        <f>IF(BM$221,_xll.ciqfunctions.udf.CIQ($G244, "IQ_VOLUME", BM$222),"--")</f>
        <v>0</v>
      </c>
      <c r="BN244" s="2131">
        <f>IF(BN$221,_xll.ciqfunctions.udf.CIQ($G244, "IQ_VOLUME", BN$222),"--")</f>
        <v>0</v>
      </c>
      <c r="BO244" s="2131">
        <f>IF(BO$221,_xll.ciqfunctions.udf.CIQ($G244, "IQ_VOLUME", BO$222),"--")</f>
        <v>0</v>
      </c>
      <c r="BP244" s="2131">
        <f>IF(BP$221,_xll.ciqfunctions.udf.CIQ($G244, "IQ_VOLUME", BP$222),"--")</f>
        <v>0</v>
      </c>
      <c r="BQ244" s="2131">
        <f>IF(BQ$221,_xll.ciqfunctions.udf.CIQ($G244, "IQ_VOLUME", BQ$222),"--")</f>
        <v>0</v>
      </c>
      <c r="BR244" s="2131">
        <f>IF(BR$221,_xll.ciqfunctions.udf.CIQ($G244, "IQ_VOLUME", BR$222),"--")</f>
        <v>0</v>
      </c>
      <c r="BS244" s="2131">
        <f>IF(BS$221,_xll.ciqfunctions.udf.CIQ($G244, "IQ_VOLUME", BS$222),"--")</f>
        <v>0</v>
      </c>
      <c r="BT244" s="2131">
        <f>IF(BT$221,_xll.ciqfunctions.udf.CIQ($G244, "IQ_VOLUME", BT$222),"--")</f>
        <v>0</v>
      </c>
      <c r="BU244" s="2131">
        <f>IF(BU$221,_xll.ciqfunctions.udf.CIQ($G244, "IQ_VOLUME", BU$222),"--")</f>
        <v>0</v>
      </c>
      <c r="BV244" s="2131">
        <f>IF(BV$221,_xll.ciqfunctions.udf.CIQ($G244, "IQ_VOLUME", BV$222),"--")</f>
        <v>0</v>
      </c>
      <c r="BW244" s="2131">
        <f>IF(BW$221,_xll.ciqfunctions.udf.CIQ($G244, "IQ_VOLUME", BW$222),"--")</f>
        <v>0</v>
      </c>
      <c r="BX244" s="2131">
        <f>IF(BX$221,_xll.ciqfunctions.udf.CIQ($G244, "IQ_VOLUME", BX$222),"--")</f>
        <v>0</v>
      </c>
      <c r="BY244" s="2131">
        <f>IF(BY$221,_xll.ciqfunctions.udf.CIQ($G244, "IQ_VOLUME", BY$222),"--")</f>
        <v>0</v>
      </c>
      <c r="BZ244" s="2131">
        <f>IF(BZ$221,_xll.ciqfunctions.udf.CIQ($G244, "IQ_VOLUME", BZ$222),"--")</f>
        <v>0</v>
      </c>
      <c r="CA244" s="2131">
        <f>IF(CA$221,_xll.ciqfunctions.udf.CIQ($G244, "IQ_VOLUME", CA$222),"--")</f>
        <v>0</v>
      </c>
      <c r="CB244" s="2131">
        <f>IF(CB$221,_xll.ciqfunctions.udf.CIQ($G244, "IQ_VOLUME", CB$222),"--")</f>
        <v>0</v>
      </c>
      <c r="CC244" s="2131">
        <f>IF(CC$221,_xll.ciqfunctions.udf.CIQ($G244, "IQ_VOLUME", CC$222),"--")</f>
        <v>0</v>
      </c>
      <c r="CD244" s="2131">
        <f>IF(CD$221,_xll.ciqfunctions.udf.CIQ($G244, "IQ_VOLUME", CD$222),"--")</f>
        <v>0</v>
      </c>
      <c r="CE244" s="2131">
        <f>IF(CE$221,_xll.ciqfunctions.udf.CIQ($G244, "IQ_VOLUME", CE$222),"--")</f>
        <v>0</v>
      </c>
      <c r="CF244" s="2131">
        <f>IF(CF$221,_xll.ciqfunctions.udf.CIQ($G244, "IQ_VOLUME", CF$222),"--")</f>
        <v>0</v>
      </c>
      <c r="CG244" s="2131">
        <f>IF(CG$221,_xll.ciqfunctions.udf.CIQ($G244, "IQ_VOLUME", CG$222),"--")</f>
        <v>0</v>
      </c>
      <c r="CH244" s="2131">
        <f>IF(CH$221,_xll.ciqfunctions.udf.CIQ($G244, "IQ_VOLUME", CH$222),"--")</f>
        <v>0</v>
      </c>
      <c r="CI244" s="2131">
        <f>IF(CI$221,_xll.ciqfunctions.udf.CIQ($G244, "IQ_VOLUME", CI$222),"--")</f>
        <v>0</v>
      </c>
      <c r="CJ244" s="2131">
        <f>IF(CJ$221,_xll.ciqfunctions.udf.CIQ($G244, "IQ_VOLUME", CJ$222),"--")</f>
        <v>0</v>
      </c>
      <c r="CK244" s="2131">
        <f>IF(CK$221,_xll.ciqfunctions.udf.CIQ($G244, "IQ_VOLUME", CK$222),"--")</f>
        <v>0</v>
      </c>
      <c r="CL244" s="2131">
        <f>IF(CL$221,_xll.ciqfunctions.udf.CIQ($G244, "IQ_VOLUME", CL$222),"--")</f>
        <v>0</v>
      </c>
      <c r="CM244" s="2131">
        <f>IF(CM$221,_xll.ciqfunctions.udf.CIQ($G244, "IQ_VOLUME", CM$222),"--")</f>
        <v>0</v>
      </c>
      <c r="CN244" s="2131">
        <f>IF(CN$221,_xll.ciqfunctions.udf.CIQ($G244, "IQ_VOLUME", CN$222),"--")</f>
        <v>0</v>
      </c>
      <c r="CO244" s="2131">
        <f>IF(CO$221,_xll.ciqfunctions.udf.CIQ($G244, "IQ_VOLUME", CO$222),"--")</f>
        <v>0</v>
      </c>
      <c r="CP244" s="2131">
        <f>IF(CP$221,_xll.ciqfunctions.udf.CIQ($G244, "IQ_VOLUME", CP$222),"--")</f>
        <v>0</v>
      </c>
      <c r="CQ244" s="2131">
        <f>IF(CQ$221,_xll.ciqfunctions.udf.CIQ($G244, "IQ_VOLUME", CQ$222),"--")</f>
        <v>0</v>
      </c>
      <c r="CR244" s="2131">
        <f>IF(CR$221,_xll.ciqfunctions.udf.CIQ($G244, "IQ_VOLUME", CR$222),"--")</f>
        <v>0</v>
      </c>
      <c r="CS244" s="2131">
        <f>IF(CS$221,_xll.ciqfunctions.udf.CIQ($G244, "IQ_VOLUME", CS$222),"--")</f>
        <v>0</v>
      </c>
      <c r="CT244" s="2131">
        <f>IF(CT$221,_xll.ciqfunctions.udf.CIQ($G244, "IQ_VOLUME", CT$222),"--")</f>
        <v>0</v>
      </c>
      <c r="CU244" s="2131">
        <f>IF(CU$221,_xll.ciqfunctions.udf.CIQ($G244, "IQ_VOLUME", CU$222),"--")</f>
        <v>0</v>
      </c>
      <c r="CV244" s="2131">
        <f>IF(CV$221,_xll.ciqfunctions.udf.CIQ($G244, "IQ_VOLUME", CV$222),"--")</f>
        <v>0</v>
      </c>
      <c r="CW244" s="2131">
        <f>IF(CW$221,_xll.ciqfunctions.udf.CIQ($G244, "IQ_VOLUME", CW$222),"--")</f>
        <v>0</v>
      </c>
      <c r="CX244" s="2131">
        <f>IF(CX$221,_xll.ciqfunctions.udf.CIQ($G244, "IQ_VOLUME", CX$222),"--")</f>
        <v>0</v>
      </c>
      <c r="CY244" s="2131">
        <f>IF(CY$221,_xll.ciqfunctions.udf.CIQ($G244, "IQ_VOLUME", CY$222),"--")</f>
        <v>0</v>
      </c>
      <c r="CZ244" s="2131">
        <f>IF(CZ$221,_xll.ciqfunctions.udf.CIQ($G244, "IQ_VOLUME", CZ$222),"--")</f>
        <v>0</v>
      </c>
      <c r="DA244" s="2131">
        <f>IF(DA$221,_xll.ciqfunctions.udf.CIQ($G244, "IQ_VOLUME", DA$222),"--")</f>
        <v>0</v>
      </c>
      <c r="DB244" s="2131">
        <f>IF(DB$221,_xll.ciqfunctions.udf.CIQ($G244, "IQ_VOLUME", DB$222),"--")</f>
        <v>0</v>
      </c>
      <c r="DC244" s="2131">
        <f>IF(DC$221,_xll.ciqfunctions.udf.CIQ($G244, "IQ_VOLUME", DC$222),"--")</f>
        <v>0</v>
      </c>
      <c r="DD244" s="2131">
        <f>IF(DD$221,_xll.ciqfunctions.udf.CIQ($G244, "IQ_VOLUME", DD$222),"--")</f>
        <v>0</v>
      </c>
      <c r="DE244" s="2131">
        <f>IF(DE$221,_xll.ciqfunctions.udf.CIQ($G244, "IQ_VOLUME", DE$222),"--")</f>
        <v>0</v>
      </c>
      <c r="DF244" s="2131">
        <f>IF(DF$221,_xll.ciqfunctions.udf.CIQ($G244, "IQ_VOLUME", DF$222),"--")</f>
        <v>0</v>
      </c>
      <c r="DG244" s="2131">
        <f>IF(DG$221,_xll.ciqfunctions.udf.CIQ($G244, "IQ_VOLUME", DG$222),"--")</f>
        <v>0</v>
      </c>
      <c r="DH244" s="2131">
        <f>IF(DH$221,_xll.ciqfunctions.udf.CIQ($G244, "IQ_VOLUME", DH$222),"--")</f>
        <v>0</v>
      </c>
      <c r="DI244" s="2131">
        <f>IF(DI$221,_xll.ciqfunctions.udf.CIQ($G244, "IQ_VOLUME", DI$222),"--")</f>
        <v>0</v>
      </c>
      <c r="DJ244" s="2131">
        <f>IF(DJ$221,_xll.ciqfunctions.udf.CIQ($G244, "IQ_VOLUME", DJ$222),"--")</f>
        <v>0</v>
      </c>
      <c r="DK244" s="2131">
        <f>IF(DK$221,_xll.ciqfunctions.udf.CIQ($G244, "IQ_VOLUME", DK$222),"--")</f>
        <v>0</v>
      </c>
      <c r="DL244" s="2131">
        <f>IF(DL$221,_xll.ciqfunctions.udf.CIQ($G244, "IQ_VOLUME", DL$222),"--")</f>
        <v>0</v>
      </c>
      <c r="DM244" s="2131">
        <f>IF(DM$221,_xll.ciqfunctions.udf.CIQ($G244, "IQ_VOLUME", DM$222),"--")</f>
        <v>0</v>
      </c>
      <c r="DN244" s="2131">
        <f>IF(DN$221,_xll.ciqfunctions.udf.CIQ($G244, "IQ_VOLUME", DN$222),"--")</f>
        <v>0</v>
      </c>
      <c r="DO244" s="2131">
        <f>IF(DO$221,_xll.ciqfunctions.udf.CIQ($G244, "IQ_VOLUME", DO$222),"--")</f>
        <v>0</v>
      </c>
      <c r="DP244" s="2131">
        <f>IF(DP$221,_xll.ciqfunctions.udf.CIQ($G244, "IQ_VOLUME", DP$222),"--")</f>
        <v>0</v>
      </c>
      <c r="DQ244" s="2131">
        <f>IF(DQ$221,_xll.ciqfunctions.udf.CIQ($G244, "IQ_VOLUME", DQ$222),"--")</f>
        <v>0</v>
      </c>
      <c r="DR244" s="2131">
        <f>IF(DR$221,_xll.ciqfunctions.udf.CIQ($G244, "IQ_VOLUME", DR$222),"--")</f>
        <v>0</v>
      </c>
      <c r="DS244" s="2131">
        <f>IF(DS$221,_xll.ciqfunctions.udf.CIQ($G244, "IQ_VOLUME", DS$222),"--")</f>
        <v>0</v>
      </c>
      <c r="DT244" s="2131">
        <f>IF(DT$221,_xll.ciqfunctions.udf.CIQ($G244, "IQ_VOLUME", DT$222),"--")</f>
        <v>0</v>
      </c>
      <c r="DU244" s="2131">
        <f>IF(DU$221,_xll.ciqfunctions.udf.CIQ($G244, "IQ_VOLUME", DU$222),"--")</f>
        <v>0</v>
      </c>
      <c r="DV244" s="2131">
        <f>IF(DV$221,_xll.ciqfunctions.udf.CIQ($G244, "IQ_VOLUME", DV$222),"--")</f>
        <v>0</v>
      </c>
      <c r="DW244" s="2131">
        <f>IF(DW$221,_xll.ciqfunctions.udf.CIQ($G244, "IQ_VOLUME", DW$222),"--")</f>
        <v>0</v>
      </c>
      <c r="DX244" s="2131">
        <f>IF(DX$221,_xll.ciqfunctions.udf.CIQ($G244, "IQ_VOLUME", DX$222),"--")</f>
        <v>0</v>
      </c>
      <c r="DY244" s="2131">
        <f>IF(DY$221,_xll.ciqfunctions.udf.CIQ($G244, "IQ_VOLUME", DY$222),"--")</f>
        <v>0</v>
      </c>
      <c r="DZ244" s="2131">
        <f>IF(DZ$221,_xll.ciqfunctions.udf.CIQ($G244, "IQ_VOLUME", DZ$222),"--")</f>
        <v>0</v>
      </c>
      <c r="EA244" s="2131">
        <f>IF(EA$221,_xll.ciqfunctions.udf.CIQ($G244, "IQ_VOLUME", EA$222),"--")</f>
        <v>0</v>
      </c>
      <c r="EB244" s="2131">
        <f>IF(EB$221,_xll.ciqfunctions.udf.CIQ($G244, "IQ_VOLUME", EB$222),"--")</f>
        <v>0</v>
      </c>
      <c r="EC244" s="2131">
        <f>IF(EC$221,_xll.ciqfunctions.udf.CIQ($G244, "IQ_VOLUME", EC$222),"--")</f>
        <v>0</v>
      </c>
      <c r="ED244" s="2131">
        <f>IF(ED$221,_xll.ciqfunctions.udf.CIQ($G244, "IQ_VOLUME", ED$222),"--")</f>
        <v>0</v>
      </c>
      <c r="EE244" s="2131">
        <f>IF(EE$221,_xll.ciqfunctions.udf.CIQ($G244, "IQ_VOLUME", EE$222),"--")</f>
        <v>0</v>
      </c>
      <c r="EF244" s="2131">
        <f>IF(EF$221,_xll.ciqfunctions.udf.CIQ($G244, "IQ_VOLUME", EF$222),"--")</f>
        <v>0</v>
      </c>
      <c r="EG244" s="2131">
        <f>IF(EG$221,_xll.ciqfunctions.udf.CIQ($G244, "IQ_VOLUME", EG$222),"--")</f>
        <v>0</v>
      </c>
      <c r="EH244" s="2131">
        <f>IF(EH$221,_xll.ciqfunctions.udf.CIQ($G244, "IQ_VOLUME", EH$222),"--")</f>
        <v>0</v>
      </c>
      <c r="EI244" s="2131">
        <f>IF(EI$221,_xll.ciqfunctions.udf.CIQ($G244, "IQ_VOLUME", EI$222),"--")</f>
        <v>0</v>
      </c>
      <c r="EJ244" s="2131">
        <f>IF(EJ$221,_xll.ciqfunctions.udf.CIQ($G244, "IQ_VOLUME", EJ$222),"--")</f>
        <v>0</v>
      </c>
      <c r="EK244" s="2131">
        <f>IF(EK$221,_xll.ciqfunctions.udf.CIQ($G244, "IQ_VOLUME", EK$222),"--")</f>
        <v>0</v>
      </c>
      <c r="EL244" s="2131">
        <f>IF(EL$221,_xll.ciqfunctions.udf.CIQ($G244, "IQ_VOLUME", EL$222),"--")</f>
        <v>0</v>
      </c>
      <c r="EM244" s="2131">
        <f>IF(EM$221,_xll.ciqfunctions.udf.CIQ($G244, "IQ_VOLUME", EM$222),"--")</f>
        <v>0</v>
      </c>
      <c r="EN244" s="2131">
        <f>IF(EN$221,_xll.ciqfunctions.udf.CIQ($G244, "IQ_VOLUME", EN$222),"--")</f>
        <v>0</v>
      </c>
      <c r="EO244" s="2131">
        <f>IF(EO$221,_xll.ciqfunctions.udf.CIQ($G244, "IQ_VOLUME", EO$222),"--")</f>
        <v>0</v>
      </c>
      <c r="EP244" s="2131">
        <f>IF(EP$221,_xll.ciqfunctions.udf.CIQ($G244, "IQ_VOLUME", EP$222),"--")</f>
        <v>0</v>
      </c>
      <c r="EQ244" s="2131">
        <f>IF(EQ$221,_xll.ciqfunctions.udf.CIQ($G244, "IQ_VOLUME", EQ$222),"--")</f>
        <v>0</v>
      </c>
      <c r="ER244" s="2131">
        <f>IF(ER$221,_xll.ciqfunctions.udf.CIQ($G244, "IQ_VOLUME", ER$222),"--")</f>
        <v>0</v>
      </c>
      <c r="ES244" s="2131">
        <f>IF(ES$221,_xll.ciqfunctions.udf.CIQ($G244, "IQ_VOLUME", ES$222),"--")</f>
        <v>0</v>
      </c>
      <c r="ET244" s="2131">
        <f>IF(ET$221,_xll.ciqfunctions.udf.CIQ($G244, "IQ_VOLUME", ET$222),"--")</f>
        <v>0</v>
      </c>
      <c r="EU244" s="2131">
        <f>IF(EU$221,_xll.ciqfunctions.udf.CIQ($G244, "IQ_VOLUME", EU$222),"--")</f>
        <v>0</v>
      </c>
      <c r="EV244" s="2131">
        <f>IF(EV$221,_xll.ciqfunctions.udf.CIQ($G244, "IQ_VOLUME", EV$222),"--")</f>
        <v>0</v>
      </c>
      <c r="EW244" s="2131">
        <f>IF(EW$221,_xll.ciqfunctions.udf.CIQ($G244, "IQ_VOLUME", EW$222),"--")</f>
        <v>0</v>
      </c>
      <c r="EX244" s="2131">
        <f>IF(EX$221,_xll.ciqfunctions.udf.CIQ($G244, "IQ_VOLUME", EX$222),"--")</f>
        <v>0</v>
      </c>
      <c r="EY244" s="2131">
        <f>IF(EY$221,_xll.ciqfunctions.udf.CIQ($G244, "IQ_VOLUME", EY$222),"--")</f>
        <v>0</v>
      </c>
      <c r="EZ244" s="2131">
        <f>IF(EZ$221,_xll.ciqfunctions.udf.CIQ($G244, "IQ_VOLUME", EZ$222),"--")</f>
        <v>0</v>
      </c>
      <c r="FA244" s="2131">
        <f>IF(FA$221,_xll.ciqfunctions.udf.CIQ($G244, "IQ_VOLUME", FA$222),"--")</f>
        <v>0</v>
      </c>
      <c r="FB244" s="2131">
        <f>IF(FB$221,_xll.ciqfunctions.udf.CIQ($G244, "IQ_VOLUME", FB$222),"--")</f>
        <v>0</v>
      </c>
      <c r="FC244" s="2131">
        <f>IF(FC$221,_xll.ciqfunctions.udf.CIQ($G244, "IQ_VOLUME", FC$222),"--")</f>
        <v>0</v>
      </c>
      <c r="FD244" s="2131">
        <f>IF(FD$221,_xll.ciqfunctions.udf.CIQ($G244, "IQ_VOLUME", FD$222),"--")</f>
        <v>0</v>
      </c>
      <c r="FE244" s="2131">
        <f>IF(FE$221,_xll.ciqfunctions.udf.CIQ($G244, "IQ_VOLUME", FE$222),"--")</f>
        <v>0</v>
      </c>
      <c r="FF244" s="2131">
        <f>IF(FF$221,_xll.ciqfunctions.udf.CIQ($G244, "IQ_VOLUME", FF$222),"--")</f>
        <v>0</v>
      </c>
      <c r="FG244" s="2131">
        <f>IF(FG$221,_xll.ciqfunctions.udf.CIQ($G244, "IQ_VOLUME", FG$222),"--")</f>
        <v>0</v>
      </c>
      <c r="FH244" s="2131">
        <f>IF(FH$221,_xll.ciqfunctions.udf.CIQ($G244, "IQ_VOLUME", FH$222),"--")</f>
        <v>0</v>
      </c>
      <c r="FI244" s="2131">
        <f>IF(FI$221,_xll.ciqfunctions.udf.CIQ($G244, "IQ_VOLUME", FI$222),"--")</f>
        <v>0</v>
      </c>
      <c r="FJ244" s="2131">
        <f>IF(FJ$221,_xll.ciqfunctions.udf.CIQ($G244, "IQ_VOLUME", FJ$222),"--")</f>
        <v>0</v>
      </c>
      <c r="FK244" s="2131">
        <f>IF(FK$221,_xll.ciqfunctions.udf.CIQ($G244, "IQ_VOLUME", FK$222),"--")</f>
        <v>0</v>
      </c>
      <c r="FL244" s="2131">
        <f>IF(FL$221,_xll.ciqfunctions.udf.CIQ($G244, "IQ_VOLUME", FL$222),"--")</f>
        <v>0</v>
      </c>
      <c r="FM244" s="2131">
        <f>IF(FM$221,_xll.ciqfunctions.udf.CIQ($G244, "IQ_VOLUME", FM$222),"--")</f>
        <v>0</v>
      </c>
      <c r="FN244" s="2131">
        <f>IF(FN$221,_xll.ciqfunctions.udf.CIQ($G244, "IQ_VOLUME", FN$222),"--")</f>
        <v>0</v>
      </c>
      <c r="FO244" s="2131">
        <f>IF(FO$221,_xll.ciqfunctions.udf.CIQ($G244, "IQ_VOLUME", FO$222),"--")</f>
        <v>0</v>
      </c>
      <c r="FP244" s="2131">
        <f>IF(FP$221,_xll.ciqfunctions.udf.CIQ($G244, "IQ_VOLUME", FP$222),"--")</f>
        <v>0</v>
      </c>
      <c r="FQ244" s="2131">
        <f>IF(FQ$221,_xll.ciqfunctions.udf.CIQ($G244, "IQ_VOLUME", FQ$222),"--")</f>
        <v>0</v>
      </c>
      <c r="FR244" s="2131">
        <f>IF(FR$221,_xll.ciqfunctions.udf.CIQ($G244, "IQ_VOLUME", FR$222),"--")</f>
        <v>0</v>
      </c>
      <c r="FS244" s="2131">
        <f>IF(FS$221,_xll.ciqfunctions.udf.CIQ($G244, "IQ_VOLUME", FS$222),"--")</f>
        <v>0</v>
      </c>
      <c r="FT244" s="2131">
        <f>IF(FT$221,_xll.ciqfunctions.udf.CIQ($G244, "IQ_VOLUME", FT$222),"--")</f>
        <v>0</v>
      </c>
      <c r="FU244" s="2131">
        <f>IF(FU$221,_xll.ciqfunctions.udf.CIQ($G244, "IQ_VOLUME", FU$222),"--")</f>
        <v>0</v>
      </c>
      <c r="FV244" s="2131">
        <f>IF(FV$221,_xll.ciqfunctions.udf.CIQ($G244, "IQ_VOLUME", FV$222),"--")</f>
        <v>0</v>
      </c>
      <c r="FW244" s="2131">
        <f>IF(FW$221,_xll.ciqfunctions.udf.CIQ($G244, "IQ_VOLUME", FW$222),"--")</f>
        <v>0</v>
      </c>
      <c r="FX244" s="2131">
        <f>IF(FX$221,_xll.ciqfunctions.udf.CIQ($G244, "IQ_VOLUME", FX$222),"--")</f>
        <v>0</v>
      </c>
      <c r="FY244" s="2131">
        <f>IF(FY$221,_xll.ciqfunctions.udf.CIQ($G244, "IQ_VOLUME", FY$222),"--")</f>
        <v>0</v>
      </c>
      <c r="FZ244" s="2131">
        <f>IF(FZ$221,_xll.ciqfunctions.udf.CIQ($G244, "IQ_VOLUME", FZ$222),"--")</f>
        <v>0</v>
      </c>
      <c r="GA244" s="2131">
        <f>IF(GA$221,_xll.ciqfunctions.udf.CIQ($G244, "IQ_VOLUME", GA$222),"--")</f>
        <v>0</v>
      </c>
      <c r="GB244" s="2131">
        <f>IF(GB$221,_xll.ciqfunctions.udf.CIQ($G244, "IQ_VOLUME", GB$222),"--")</f>
        <v>0</v>
      </c>
      <c r="GC244" s="2131">
        <f>IF(GC$221,_xll.ciqfunctions.udf.CIQ($G244, "IQ_VOLUME", GC$222),"--")</f>
        <v>0</v>
      </c>
      <c r="GD244" s="2131">
        <f>IF(GD$221,_xll.ciqfunctions.udf.CIQ($G244, "IQ_VOLUME", GD$222),"--")</f>
        <v>0</v>
      </c>
      <c r="GE244" s="2131">
        <f>IF(GE$221,_xll.ciqfunctions.udf.CIQ($G244, "IQ_VOLUME", GE$222),"--")</f>
        <v>0</v>
      </c>
      <c r="GF244" s="2131">
        <f>IF(GF$221,_xll.ciqfunctions.udf.CIQ($G244, "IQ_VOLUME", GF$222),"--")</f>
        <v>0</v>
      </c>
      <c r="GG244" s="2131">
        <f>IF(GG$221,_xll.ciqfunctions.udf.CIQ($G244, "IQ_VOLUME", GG$222),"--")</f>
        <v>0</v>
      </c>
      <c r="GH244" s="2131">
        <f>IF(GH$221,_xll.ciqfunctions.udf.CIQ($G244, "IQ_VOLUME", GH$222),"--")</f>
        <v>0</v>
      </c>
      <c r="GI244" s="2131">
        <f>IF(GI$221,_xll.ciqfunctions.udf.CIQ($G244, "IQ_VOLUME", GI$222),"--")</f>
        <v>0</v>
      </c>
      <c r="GJ244" s="2131">
        <f>IF(GJ$221,_xll.ciqfunctions.udf.CIQ($G244, "IQ_VOLUME", GJ$222),"--")</f>
        <v>0</v>
      </c>
      <c r="GK244" s="2131">
        <f>IF(GK$221,_xll.ciqfunctions.udf.CIQ($G244, "IQ_VOLUME", GK$222),"--")</f>
        <v>0</v>
      </c>
      <c r="GL244" s="2131">
        <f>IF(GL$221,_xll.ciqfunctions.udf.CIQ($G244, "IQ_VOLUME", GL$222),"--")</f>
        <v>0</v>
      </c>
      <c r="GM244" s="2131">
        <f>IF(GM$221,_xll.ciqfunctions.udf.CIQ($G244, "IQ_VOLUME", GM$222),"--")</f>
        <v>0</v>
      </c>
      <c r="GN244" s="2131">
        <f>IF(GN$221,_xll.ciqfunctions.udf.CIQ($G244, "IQ_VOLUME", GN$222),"--")</f>
        <v>0</v>
      </c>
      <c r="GO244" s="2131">
        <f>IF(GO$221,_xll.ciqfunctions.udf.CIQ($G244, "IQ_VOLUME", GO$222),"--")</f>
        <v>0</v>
      </c>
      <c r="GP244" s="2131">
        <f>IF(GP$221,_xll.ciqfunctions.udf.CIQ($G244, "IQ_VOLUME", GP$222),"--")</f>
        <v>0</v>
      </c>
      <c r="GQ244" s="2131">
        <f>IF(GQ$221,_xll.ciqfunctions.udf.CIQ($G244, "IQ_VOLUME", GQ$222),"--")</f>
        <v>0</v>
      </c>
      <c r="GR244" s="2131">
        <f>IF(GR$221,_xll.ciqfunctions.udf.CIQ($G244, "IQ_VOLUME", GR$222),"--")</f>
        <v>0</v>
      </c>
      <c r="GS244" s="2131">
        <f>IF(GS$221,_xll.ciqfunctions.udf.CIQ($G244, "IQ_VOLUME", GS$222),"--")</f>
        <v>0</v>
      </c>
      <c r="GT244" s="2131">
        <f>IF(GT$221,_xll.ciqfunctions.udf.CIQ($G244, "IQ_VOLUME", GT$222),"--")</f>
        <v>0</v>
      </c>
      <c r="GU244" s="2131">
        <f>IF(GU$221,_xll.ciqfunctions.udf.CIQ($G244, "IQ_VOLUME", GU$222),"--")</f>
        <v>0</v>
      </c>
      <c r="GV244" s="2131">
        <f>IF(GV$221,_xll.ciqfunctions.udf.CIQ($G244, "IQ_VOLUME", GV$222),"--")</f>
        <v>0</v>
      </c>
      <c r="GW244" s="2131">
        <f>IF(GW$221,_xll.ciqfunctions.udf.CIQ($G244, "IQ_VOLUME", GW$222),"--")</f>
        <v>0</v>
      </c>
      <c r="GX244" s="2131">
        <f>IF(GX$221,_xll.ciqfunctions.udf.CIQ($G244, "IQ_VOLUME", GX$222),"--")</f>
        <v>0</v>
      </c>
      <c r="GY244" s="2131">
        <f>IF(GY$221,_xll.ciqfunctions.udf.CIQ($G244, "IQ_VOLUME", GY$222),"--")</f>
        <v>0</v>
      </c>
      <c r="GZ244" s="2131">
        <f>IF(GZ$221,_xll.ciqfunctions.udf.CIQ($G244, "IQ_VOLUME", GZ$222),"--")</f>
        <v>0</v>
      </c>
      <c r="HA244" s="2131">
        <f>IF(HA$221,_xll.ciqfunctions.udf.CIQ($G244, "IQ_VOLUME", HA$222),"--")</f>
        <v>0</v>
      </c>
      <c r="HB244" s="2131">
        <f>IF(HB$221,_xll.ciqfunctions.udf.CIQ($G244, "IQ_VOLUME", HB$222),"--")</f>
        <v>0</v>
      </c>
      <c r="HC244" s="2131">
        <f>IF(HC$221,_xll.ciqfunctions.udf.CIQ($G244, "IQ_VOLUME", HC$222),"--")</f>
        <v>0</v>
      </c>
      <c r="HD244" s="2131">
        <f>IF(HD$221,_xll.ciqfunctions.udf.CIQ($G244, "IQ_VOLUME", HD$222),"--")</f>
        <v>0</v>
      </c>
      <c r="HE244" s="2131">
        <f>IF(HE$221,_xll.ciqfunctions.udf.CIQ($G244, "IQ_VOLUME", HE$222),"--")</f>
        <v>0</v>
      </c>
      <c r="HF244" s="2131">
        <f>IF(HF$221,_xll.ciqfunctions.udf.CIQ($G244, "IQ_VOLUME", HF$222),"--")</f>
        <v>0</v>
      </c>
      <c r="HG244" s="2131">
        <f>IF(HG$221,_xll.ciqfunctions.udf.CIQ($G244, "IQ_VOLUME", HG$222),"--")</f>
        <v>0</v>
      </c>
      <c r="HH244" s="2131">
        <f>IF(HH$221,_xll.ciqfunctions.udf.CIQ($G244, "IQ_VOLUME", HH$222),"--")</f>
        <v>0</v>
      </c>
      <c r="HI244" s="2131">
        <f>IF(HI$221,_xll.ciqfunctions.udf.CIQ($G244, "IQ_VOLUME", HI$222),"--")</f>
        <v>0</v>
      </c>
      <c r="HJ244" s="2131">
        <f>IF(HJ$221,_xll.ciqfunctions.udf.CIQ($G244, "IQ_VOLUME", HJ$222),"--")</f>
        <v>0</v>
      </c>
      <c r="HK244" s="2131">
        <f>IF(HK$221,_xll.ciqfunctions.udf.CIQ($G244, "IQ_VOLUME", HK$222),"--")</f>
        <v>0</v>
      </c>
      <c r="HL244" s="2131">
        <f>IF(HL$221,_xll.ciqfunctions.udf.CIQ($G244, "IQ_VOLUME", HL$222),"--")</f>
        <v>0</v>
      </c>
      <c r="HM244" s="2131">
        <f>IF(HM$221,_xll.ciqfunctions.udf.CIQ($G244, "IQ_VOLUME", HM$222),"--")</f>
        <v>0</v>
      </c>
      <c r="HN244" s="2131">
        <f>IF(HN$221,_xll.ciqfunctions.udf.CIQ($G244, "IQ_VOLUME", HN$222),"--")</f>
        <v>0</v>
      </c>
      <c r="HO244" s="2131">
        <f>IF(HO$221,_xll.ciqfunctions.udf.CIQ($G244, "IQ_VOLUME", HO$222),"--")</f>
        <v>0</v>
      </c>
      <c r="HP244" s="2131">
        <f>IF(HP$221,_xll.ciqfunctions.udf.CIQ($G244, "IQ_VOLUME", HP$222),"--")</f>
        <v>0</v>
      </c>
      <c r="HQ244" s="2131">
        <f>IF(HQ$221,_xll.ciqfunctions.udf.CIQ($G244, "IQ_VOLUME", HQ$222),"--")</f>
        <v>0</v>
      </c>
      <c r="HR244" s="2131">
        <f>IF(HR$221,_xll.ciqfunctions.udf.CIQ($G244, "IQ_VOLUME", HR$222),"--")</f>
        <v>0</v>
      </c>
      <c r="HS244" s="2131">
        <f>IF(HS$221,_xll.ciqfunctions.udf.CIQ($G244, "IQ_VOLUME", HS$222),"--")</f>
        <v>0</v>
      </c>
      <c r="HT244" s="2131">
        <f>IF(HT$221,_xll.ciqfunctions.udf.CIQ($G244, "IQ_VOLUME", HT$222),"--")</f>
        <v>0</v>
      </c>
      <c r="HU244" s="2131">
        <f>IF(HU$221,_xll.ciqfunctions.udf.CIQ($G244, "IQ_VOLUME", HU$222),"--")</f>
        <v>0</v>
      </c>
      <c r="HV244" s="2131">
        <f>IF(HV$221,_xll.ciqfunctions.udf.CIQ($G244, "IQ_VOLUME", HV$222),"--")</f>
        <v>0</v>
      </c>
      <c r="HW244" s="2131">
        <f>IF(HW$221,_xll.ciqfunctions.udf.CIQ($G244, "IQ_VOLUME", HW$222),"--")</f>
        <v>0</v>
      </c>
      <c r="HX244" s="2131">
        <f>IF(HX$221,_xll.ciqfunctions.udf.CIQ($G244, "IQ_VOLUME", HX$222),"--")</f>
        <v>0</v>
      </c>
      <c r="HY244" s="2131">
        <f>IF(HY$221,_xll.ciqfunctions.udf.CIQ($G244, "IQ_VOLUME", HY$222),"--")</f>
        <v>0</v>
      </c>
      <c r="HZ244" s="2131">
        <f>IF(HZ$221,_xll.ciqfunctions.udf.CIQ($G244, "IQ_VOLUME", HZ$222),"--")</f>
        <v>0</v>
      </c>
      <c r="IA244" s="2131">
        <f>IF(IA$221,_xll.ciqfunctions.udf.CIQ($G244, "IQ_VOLUME", IA$222),"--")</f>
        <v>0</v>
      </c>
      <c r="IB244" s="2131">
        <f>IF(IB$221,_xll.ciqfunctions.udf.CIQ($G244, "IQ_VOLUME", IB$222),"--")</f>
        <v>0</v>
      </c>
      <c r="IC244" s="2131">
        <f>IF(IC$221,_xll.ciqfunctions.udf.CIQ($G244, "IQ_VOLUME", IC$222),"--")</f>
        <v>0</v>
      </c>
      <c r="ID244" s="2131">
        <f>IF(ID$221,_xll.ciqfunctions.udf.CIQ($G244, "IQ_VOLUME", ID$222),"--")</f>
        <v>0</v>
      </c>
      <c r="IE244" s="2131">
        <f>IF(IE$221,_xll.ciqfunctions.udf.CIQ($G244, "IQ_VOLUME", IE$222),"--")</f>
        <v>0</v>
      </c>
      <c r="IF244" s="2131">
        <f>IF(IF$221,_xll.ciqfunctions.udf.CIQ($G244, "IQ_VOLUME", IF$222),"--")</f>
        <v>0</v>
      </c>
      <c r="IG244" s="2131">
        <f>IF(IG$221,_xll.ciqfunctions.udf.CIQ($G244, "IQ_VOLUME", IG$222),"--")</f>
        <v>0</v>
      </c>
      <c r="IH244" s="2131">
        <f>IF(IH$221,_xll.ciqfunctions.udf.CIQ($G244, "IQ_VOLUME", IH$222),"--")</f>
        <v>0</v>
      </c>
      <c r="II244" s="2131">
        <f>IF(II$221,_xll.ciqfunctions.udf.CIQ($G244, "IQ_VOLUME", II$222),"--")</f>
        <v>0</v>
      </c>
      <c r="IJ244" s="2131">
        <f>IF(IJ$221,_xll.ciqfunctions.udf.CIQ($G244, "IQ_VOLUME", IJ$222),"--")</f>
        <v>0</v>
      </c>
      <c r="IK244" s="2131">
        <f>IF(IK$221,_xll.ciqfunctions.udf.CIQ($G244, "IQ_VOLUME", IK$222),"--")</f>
        <v>0</v>
      </c>
      <c r="IL244" s="2131">
        <f>IF(IL$221,_xll.ciqfunctions.udf.CIQ($G244, "IQ_VOLUME", IL$222),"--")</f>
        <v>0</v>
      </c>
      <c r="IM244" s="2131">
        <f>IF(IM$221,_xll.ciqfunctions.udf.CIQ($G244, "IQ_VOLUME", IM$222),"--")</f>
        <v>0</v>
      </c>
      <c r="IN244" s="2131">
        <f>IF(IN$221,_xll.ciqfunctions.udf.CIQ($G244, "IQ_VOLUME", IN$222),"--")</f>
        <v>0</v>
      </c>
      <c r="IO244" s="2131">
        <f>IF(IO$221,_xll.ciqfunctions.udf.CIQ($G244, "IQ_VOLUME", IO$222),"--")</f>
        <v>0</v>
      </c>
      <c r="IP244" s="2131">
        <f>IF(IP$221,_xll.ciqfunctions.udf.CIQ($G244, "IQ_VOLUME", IP$222),"--")</f>
        <v>0</v>
      </c>
      <c r="IQ244" s="2131">
        <f>IF(IQ$221,_xll.ciqfunctions.udf.CIQ($G244, "IQ_VOLUME", IQ$222),"--")</f>
        <v>0</v>
      </c>
      <c r="IR244" s="2131">
        <f>IF(IR$221,_xll.ciqfunctions.udf.CIQ($G244, "IQ_VOLUME", IR$222),"--")</f>
        <v>0</v>
      </c>
      <c r="IS244" s="2131">
        <f>IF(IS$221,_xll.ciqfunctions.udf.CIQ($G244, "IQ_VOLUME", IS$222),"--")</f>
        <v>0</v>
      </c>
      <c r="IT244" s="2131">
        <f>IF(IT$221,_xll.ciqfunctions.udf.CIQ($G244, "IQ_VOLUME", IT$222),"--")</f>
        <v>0</v>
      </c>
      <c r="IU244" s="2131">
        <f>IF(IU$221,_xll.ciqfunctions.udf.CIQ($G244, "IQ_VOLUME", IU$222),"--")</f>
        <v>0</v>
      </c>
      <c r="IV244" s="2131">
        <f>IF(IV$221,_xll.ciqfunctions.udf.CIQ($G244, "IQ_VOLUME", IV$222),"--")</f>
        <v>0</v>
      </c>
      <c r="IW244" s="2131">
        <f>IF(IW$221,_xll.ciqfunctions.udf.CIQ($G244, "IQ_VOLUME", IW$222),"--")</f>
        <v>0</v>
      </c>
      <c r="IX244" s="2131">
        <f>IF(IX$221,_xll.ciqfunctions.udf.CIQ($G244, "IQ_VOLUME", IX$222),"--")</f>
        <v>0</v>
      </c>
      <c r="IY244" s="2131">
        <f>IF(IY$221,_xll.ciqfunctions.udf.CIQ($G244, "IQ_VOLUME", IY$222),"--")</f>
        <v>0</v>
      </c>
      <c r="IZ244" s="2131">
        <f>IF(IZ$221,_xll.ciqfunctions.udf.CIQ($G244, "IQ_VOLUME", IZ$222),"--")</f>
        <v>0</v>
      </c>
      <c r="JA244" s="2131">
        <f>IF(JA$221,_xll.ciqfunctions.udf.CIQ($G244, "IQ_VOLUME", JA$222),"--")</f>
        <v>0</v>
      </c>
      <c r="JB244" s="2131">
        <f>IF(JB$221,_xll.ciqfunctions.udf.CIQ($G244, "IQ_VOLUME", JB$222),"--")</f>
        <v>0</v>
      </c>
      <c r="JC244" s="2131">
        <f>IF(JC$221,_xll.ciqfunctions.udf.CIQ($G244, "IQ_VOLUME", JC$222),"--")</f>
        <v>0</v>
      </c>
      <c r="JD244" s="2131">
        <f>IF(JD$221,_xll.ciqfunctions.udf.CIQ($G244, "IQ_VOLUME", JD$222),"--")</f>
        <v>0</v>
      </c>
      <c r="JE244" s="2131">
        <f>IF(JE$221,_xll.ciqfunctions.udf.CIQ($G244, "IQ_VOLUME", JE$222),"--")</f>
        <v>0</v>
      </c>
      <c r="JF244" s="2131">
        <f>IF(JF$221,_xll.ciqfunctions.udf.CIQ($G244, "IQ_VOLUME", JF$222),"--")</f>
        <v>0</v>
      </c>
      <c r="JG244" s="2131">
        <f>IF(JG$221,_xll.ciqfunctions.udf.CIQ($G244, "IQ_VOLUME", JG$222),"--")</f>
        <v>0</v>
      </c>
      <c r="JH244" s="2131">
        <f>IF(JH$221,_xll.ciqfunctions.udf.CIQ($G244, "IQ_VOLUME", JH$222),"--")</f>
        <v>0</v>
      </c>
      <c r="JI244" s="2131">
        <f>IF(JI$221,_xll.ciqfunctions.udf.CIQ($G244, "IQ_VOLUME", JI$222),"--")</f>
        <v>0</v>
      </c>
      <c r="JJ244" s="2131">
        <f>IF(JJ$221,_xll.ciqfunctions.udf.CIQ($G244, "IQ_VOLUME", JJ$222),"--")</f>
        <v>0</v>
      </c>
      <c r="JK244" s="2131">
        <f>IF(JK$221,_xll.ciqfunctions.udf.CIQ($G244, "IQ_VOLUME", JK$222),"--")</f>
        <v>0</v>
      </c>
      <c r="JL244" s="2131">
        <f>IF(JL$221,_xll.ciqfunctions.udf.CIQ($G244, "IQ_VOLUME", JL$222),"--")</f>
        <v>0</v>
      </c>
      <c r="JM244" s="2131">
        <f>IF(JM$221,_xll.ciqfunctions.udf.CIQ($G244, "IQ_VOLUME", JM$222),"--")</f>
        <v>0</v>
      </c>
      <c r="JN244" s="2131">
        <f>IF(JN$221,_xll.ciqfunctions.udf.CIQ($G244, "IQ_VOLUME", JN$222),"--")</f>
        <v>0</v>
      </c>
      <c r="JO244" s="2131">
        <f>IF(JO$221,_xll.ciqfunctions.udf.CIQ($G244, "IQ_VOLUME", JO$222),"--")</f>
        <v>0</v>
      </c>
      <c r="JP244" s="2131">
        <f>IF(JP$221,_xll.ciqfunctions.udf.CIQ($G244, "IQ_VOLUME", JP$222),"--")</f>
        <v>0</v>
      </c>
      <c r="JQ244" s="2131">
        <f>IF(JQ$221,_xll.ciqfunctions.udf.CIQ($G244, "IQ_VOLUME", JQ$222),"--")</f>
        <v>0</v>
      </c>
      <c r="JR244" s="2131">
        <f>IF(JR$221,_xll.ciqfunctions.udf.CIQ($G244, "IQ_VOLUME", JR$222),"--")</f>
        <v>0</v>
      </c>
      <c r="JS244" s="2131">
        <f>IF(JS$221,_xll.ciqfunctions.udf.CIQ($G244, "IQ_VOLUME", JS$222),"--")</f>
        <v>0</v>
      </c>
      <c r="JT244" s="2131">
        <f>IF(JT$221,_xll.ciqfunctions.udf.CIQ($G244, "IQ_VOLUME", JT$222),"--")</f>
        <v>0</v>
      </c>
      <c r="JU244" s="2131">
        <f>IF(JU$221,_xll.ciqfunctions.udf.CIQ($G244, "IQ_VOLUME", JU$222),"--")</f>
        <v>0</v>
      </c>
      <c r="JV244" s="2131">
        <f>IF(JV$221,_xll.ciqfunctions.udf.CIQ($G244, "IQ_VOLUME", JV$222),"--")</f>
        <v>0</v>
      </c>
      <c r="JW244" s="2131" t="str">
        <f>IF(JW$221,_xll.ciqfunctions.udf.CIQ($G244, "IQ_VOLUME", JW$222),"--")</f>
        <v>--</v>
      </c>
      <c r="JX244" s="2131" t="str">
        <f>IF(JX$221,_xll.ciqfunctions.udf.CIQ($G244, "IQ_VOLUME", JX$222),"--")</f>
        <v>--</v>
      </c>
      <c r="JY244" s="2131" t="str">
        <f>IF(JY$221,_xll.ciqfunctions.udf.CIQ($G244, "IQ_VOLUME", JY$222),"--")</f>
        <v>--</v>
      </c>
      <c r="JZ244" s="2131" t="str">
        <f>IF(JZ$221,_xll.ciqfunctions.udf.CIQ($G244, "IQ_VOLUME", JZ$222),"--")</f>
        <v>--</v>
      </c>
      <c r="KA244" s="2131" t="str">
        <f>IF(KA$221,_xll.ciqfunctions.udf.CIQ($G244, "IQ_VOLUME", KA$222),"--")</f>
        <v>--</v>
      </c>
      <c r="KB244" s="2131" t="str">
        <f>IF(KB$221,_xll.ciqfunctions.udf.CIQ($G244, "IQ_VOLUME", KB$222),"--")</f>
        <v>--</v>
      </c>
    </row>
    <row r="245" spans="1:288" s="89" customFormat="1" ht="13.9">
      <c r="A245" s="269" t="str">
        <f t="shared" si="47"/>
        <v>n</v>
      </c>
      <c r="B245" s="2060"/>
      <c r="D245" s="801"/>
      <c r="E245" s="1505">
        <v>22</v>
      </c>
      <c r="F245" s="21" t="str">
        <f>F$150</f>
        <v>--</v>
      </c>
      <c r="G245" s="2112">
        <f>G$150</f>
        <v>0</v>
      </c>
      <c r="H245" s="2112" t="str">
        <f>H$150</f>
        <v>--</v>
      </c>
      <c r="I245" s="22" t="s">
        <v>781</v>
      </c>
      <c r="J245" s="53"/>
      <c r="K245" s="2301" t="str">
        <f>IF(OR(K213=0,$G245=0),"--",IFERROR(_xll.ciqfunctions.udf.CIQ($G245,$I245,K121,Valuation_Date_GC,ReportType,DataMode,$H245,FXMode)*Scale,"--"))</f>
        <v>--</v>
      </c>
      <c r="L245" s="2301" t="str">
        <f>IF(OR(L213=0,$G245=0),"--",IFERROR(_xll.ciqfunctions.udf.CIQ($G245,$I245,L121,Valuation_Date_GC,ReportType,DataMode,$H245,FXMode)*Scale,"--"))</f>
        <v>--</v>
      </c>
      <c r="M245" s="2301" t="str">
        <f>IF(OR(M213=0,$G245=0),"--",IFERROR(_xll.ciqfunctions.udf.CIQ($G245,$I245,M121,Valuation_Date_GC,ReportType,DataMode,$H245,FXMode)*Scale,"--"))</f>
        <v>--</v>
      </c>
      <c r="N245" s="2301" t="str">
        <f>IF(OR(N213=0,$G245=0),"--",IFERROR(_xll.ciqfunctions.udf.CIQ($G245,$I245,N121,Valuation_Date_GC,ReportType,DataMode,$H245,FXMode)*Scale,"--"))</f>
        <v>--</v>
      </c>
      <c r="O245" s="1471" t="str">
        <f>IF(OR(O213=0,$G245=0),"--",IFERROR(_xll.ciqfunctions.udf.CIQ($G245,$I245,O121,Valuation_Date_GC,ReportType,DataMode,$H245,FXMode)*Scale,"--"))</f>
        <v>--</v>
      </c>
      <c r="P245" s="2301" t="str">
        <f>IF(OR(P213=0,$G245=0),"--",IFERROR(_xll.ciqfunctions.udf.CIQ($G245,$I245,P121,Valuation_Date_GC,ReportType,DataMode,$H245,FXMode)*Scale,"--"))</f>
        <v>--</v>
      </c>
      <c r="R245" s="255"/>
      <c r="T245" s="1779" t="s">
        <v>782</v>
      </c>
      <c r="U245" s="2131">
        <f>IF(U$221,_xll.ciqfunctions.udf.CIQ($G245, "IQ_VOLUME", U$222),"--")</f>
        <v>0</v>
      </c>
      <c r="V245" s="2131">
        <f>IF(V$221,_xll.ciqfunctions.udf.CIQ($G245, "IQ_VOLUME", V$222),"--")</f>
        <v>0</v>
      </c>
      <c r="W245" s="2131">
        <f>IF(W$221,_xll.ciqfunctions.udf.CIQ($G245, "IQ_VOLUME", W$222),"--")</f>
        <v>0</v>
      </c>
      <c r="X245" s="2131">
        <f>IF(X$221,_xll.ciqfunctions.udf.CIQ($G245, "IQ_VOLUME", X$222),"--")</f>
        <v>0</v>
      </c>
      <c r="Y245" s="2131">
        <f>IF(Y$221,_xll.ciqfunctions.udf.CIQ($G245, "IQ_VOLUME", Y$222),"--")</f>
        <v>0</v>
      </c>
      <c r="Z245" s="2131">
        <f>IF(Z$221,_xll.ciqfunctions.udf.CIQ($G245, "IQ_VOLUME", Z$222),"--")</f>
        <v>0</v>
      </c>
      <c r="AA245" s="2131">
        <f>IF(AA$221,_xll.ciqfunctions.udf.CIQ($G245, "IQ_VOLUME", AA$222),"--")</f>
        <v>0</v>
      </c>
      <c r="AB245" s="2131">
        <f>IF(AB$221,_xll.ciqfunctions.udf.CIQ($G245, "IQ_VOLUME", AB$222),"--")</f>
        <v>0</v>
      </c>
      <c r="AC245" s="2131">
        <f>IF(AC$221,_xll.ciqfunctions.udf.CIQ($G245, "IQ_VOLUME", AC$222),"--")</f>
        <v>0</v>
      </c>
      <c r="AD245" s="2131">
        <f>IF(AD$221,_xll.ciqfunctions.udf.CIQ($G245, "IQ_VOLUME", AD$222),"--")</f>
        <v>0</v>
      </c>
      <c r="AE245" s="2131">
        <f>IF(AE$221,_xll.ciqfunctions.udf.CIQ($G245, "IQ_VOLUME", AE$222),"--")</f>
        <v>0</v>
      </c>
      <c r="AF245" s="2131">
        <f>IF(AF$221,_xll.ciqfunctions.udf.CIQ($G245, "IQ_VOLUME", AF$222),"--")</f>
        <v>0</v>
      </c>
      <c r="AG245" s="2131">
        <f>IF(AG$221,_xll.ciqfunctions.udf.CIQ($G245, "IQ_VOLUME", AG$222),"--")</f>
        <v>0</v>
      </c>
      <c r="AH245" s="2131">
        <f>IF(AH$221,_xll.ciqfunctions.udf.CIQ($G245, "IQ_VOLUME", AH$222),"--")</f>
        <v>0</v>
      </c>
      <c r="AI245" s="2131">
        <f>IF(AI$221,_xll.ciqfunctions.udf.CIQ($G245, "IQ_VOLUME", AI$222),"--")</f>
        <v>0</v>
      </c>
      <c r="AJ245" s="2131">
        <f>IF(AJ$221,_xll.ciqfunctions.udf.CIQ($G245, "IQ_VOLUME", AJ$222),"--")</f>
        <v>0</v>
      </c>
      <c r="AK245" s="2131">
        <f>IF(AK$221,_xll.ciqfunctions.udf.CIQ($G245, "IQ_VOLUME", AK$222),"--")</f>
        <v>0</v>
      </c>
      <c r="AL245" s="2131">
        <f>IF(AL$221,_xll.ciqfunctions.udf.CIQ($G245, "IQ_VOLUME", AL$222),"--")</f>
        <v>0</v>
      </c>
      <c r="AM245" s="2131">
        <f>IF(AM$221,_xll.ciqfunctions.udf.CIQ($G245, "IQ_VOLUME", AM$222),"--")</f>
        <v>0</v>
      </c>
      <c r="AN245" s="2131">
        <f>IF(AN$221,_xll.ciqfunctions.udf.CIQ($G245, "IQ_VOLUME", AN$222),"--")</f>
        <v>0</v>
      </c>
      <c r="AO245" s="2131">
        <f>IF(AO$221,_xll.ciqfunctions.udf.CIQ($G245, "IQ_VOLUME", AO$222),"--")</f>
        <v>0</v>
      </c>
      <c r="AP245" s="2131">
        <f>IF(AP$221,_xll.ciqfunctions.udf.CIQ($G245, "IQ_VOLUME", AP$222),"--")</f>
        <v>0</v>
      </c>
      <c r="AQ245" s="2131">
        <f>IF(AQ$221,_xll.ciqfunctions.udf.CIQ($G245, "IQ_VOLUME", AQ$222),"--")</f>
        <v>0</v>
      </c>
      <c r="AR245" s="2131">
        <f>IF(AR$221,_xll.ciqfunctions.udf.CIQ($G245, "IQ_VOLUME", AR$222),"--")</f>
        <v>0</v>
      </c>
      <c r="AS245" s="2131">
        <f>IF(AS$221,_xll.ciqfunctions.udf.CIQ($G245, "IQ_VOLUME", AS$222),"--")</f>
        <v>0</v>
      </c>
      <c r="AT245" s="2131">
        <f>IF(AT$221,_xll.ciqfunctions.udf.CIQ($G245, "IQ_VOLUME", AT$222),"--")</f>
        <v>0</v>
      </c>
      <c r="AU245" s="2131">
        <f>IF(AU$221,_xll.ciqfunctions.udf.CIQ($G245, "IQ_VOLUME", AU$222),"--")</f>
        <v>0</v>
      </c>
      <c r="AV245" s="2131">
        <f>IF(AV$221,_xll.ciqfunctions.udf.CIQ($G245, "IQ_VOLUME", AV$222),"--")</f>
        <v>0</v>
      </c>
      <c r="AW245" s="2131">
        <f>IF(AW$221,_xll.ciqfunctions.udf.CIQ($G245, "IQ_VOLUME", AW$222),"--")</f>
        <v>0</v>
      </c>
      <c r="AX245" s="2131">
        <f>IF(AX$221,_xll.ciqfunctions.udf.CIQ($G245, "IQ_VOLUME", AX$222),"--")</f>
        <v>0</v>
      </c>
      <c r="AY245" s="2131">
        <f>IF(AY$221,_xll.ciqfunctions.udf.CIQ($G245, "IQ_VOLUME", AY$222),"--")</f>
        <v>0</v>
      </c>
      <c r="AZ245" s="2131">
        <f>IF(AZ$221,_xll.ciqfunctions.udf.CIQ($G245, "IQ_VOLUME", AZ$222),"--")</f>
        <v>0</v>
      </c>
      <c r="BA245" s="2131">
        <f>IF(BA$221,_xll.ciqfunctions.udf.CIQ($G245, "IQ_VOLUME", BA$222),"--")</f>
        <v>0</v>
      </c>
      <c r="BB245" s="2131">
        <f>IF(BB$221,_xll.ciqfunctions.udf.CIQ($G245, "IQ_VOLUME", BB$222),"--")</f>
        <v>0</v>
      </c>
      <c r="BC245" s="2131">
        <f>IF(BC$221,_xll.ciqfunctions.udf.CIQ($G245, "IQ_VOLUME", BC$222),"--")</f>
        <v>0</v>
      </c>
      <c r="BD245" s="2131">
        <f>IF(BD$221,_xll.ciqfunctions.udf.CIQ($G245, "IQ_VOLUME", BD$222),"--")</f>
        <v>0</v>
      </c>
      <c r="BE245" s="2131">
        <f>IF(BE$221,_xll.ciqfunctions.udf.CIQ($G245, "IQ_VOLUME", BE$222),"--")</f>
        <v>0</v>
      </c>
      <c r="BF245" s="2131">
        <f>IF(BF$221,_xll.ciqfunctions.udf.CIQ($G245, "IQ_VOLUME", BF$222),"--")</f>
        <v>0</v>
      </c>
      <c r="BG245" s="2131">
        <f>IF(BG$221,_xll.ciqfunctions.udf.CIQ($G245, "IQ_VOLUME", BG$222),"--")</f>
        <v>0</v>
      </c>
      <c r="BH245" s="2131">
        <f>IF(BH$221,_xll.ciqfunctions.udf.CIQ($G245, "IQ_VOLUME", BH$222),"--")</f>
        <v>0</v>
      </c>
      <c r="BI245" s="2131">
        <f>IF(BI$221,_xll.ciqfunctions.udf.CIQ($G245, "IQ_VOLUME", BI$222),"--")</f>
        <v>0</v>
      </c>
      <c r="BJ245" s="2131">
        <f>IF(BJ$221,_xll.ciqfunctions.udf.CIQ($G245, "IQ_VOLUME", BJ$222),"--")</f>
        <v>0</v>
      </c>
      <c r="BK245" s="2131">
        <f>IF(BK$221,_xll.ciqfunctions.udf.CIQ($G245, "IQ_VOLUME", BK$222),"--")</f>
        <v>0</v>
      </c>
      <c r="BL245" s="2131">
        <f>IF(BL$221,_xll.ciqfunctions.udf.CIQ($G245, "IQ_VOLUME", BL$222),"--")</f>
        <v>0</v>
      </c>
      <c r="BM245" s="2131">
        <f>IF(BM$221,_xll.ciqfunctions.udf.CIQ($G245, "IQ_VOLUME", BM$222),"--")</f>
        <v>0</v>
      </c>
      <c r="BN245" s="2131">
        <f>IF(BN$221,_xll.ciqfunctions.udf.CIQ($G245, "IQ_VOLUME", BN$222),"--")</f>
        <v>0</v>
      </c>
      <c r="BO245" s="2131">
        <f>IF(BO$221,_xll.ciqfunctions.udf.CIQ($G245, "IQ_VOLUME", BO$222),"--")</f>
        <v>0</v>
      </c>
      <c r="BP245" s="2131">
        <f>IF(BP$221,_xll.ciqfunctions.udf.CIQ($G245, "IQ_VOLUME", BP$222),"--")</f>
        <v>0</v>
      </c>
      <c r="BQ245" s="2131">
        <f>IF(BQ$221,_xll.ciqfunctions.udf.CIQ($G245, "IQ_VOLUME", BQ$222),"--")</f>
        <v>0</v>
      </c>
      <c r="BR245" s="2131">
        <f>IF(BR$221,_xll.ciqfunctions.udf.CIQ($G245, "IQ_VOLUME", BR$222),"--")</f>
        <v>0</v>
      </c>
      <c r="BS245" s="2131">
        <f>IF(BS$221,_xll.ciqfunctions.udf.CIQ($G245, "IQ_VOLUME", BS$222),"--")</f>
        <v>0</v>
      </c>
      <c r="BT245" s="2131">
        <f>IF(BT$221,_xll.ciqfunctions.udf.CIQ($G245, "IQ_VOLUME", BT$222),"--")</f>
        <v>0</v>
      </c>
      <c r="BU245" s="2131">
        <f>IF(BU$221,_xll.ciqfunctions.udf.CIQ($G245, "IQ_VOLUME", BU$222),"--")</f>
        <v>0</v>
      </c>
      <c r="BV245" s="2131">
        <f>IF(BV$221,_xll.ciqfunctions.udf.CIQ($G245, "IQ_VOLUME", BV$222),"--")</f>
        <v>0</v>
      </c>
      <c r="BW245" s="2131">
        <f>IF(BW$221,_xll.ciqfunctions.udf.CIQ($G245, "IQ_VOLUME", BW$222),"--")</f>
        <v>0</v>
      </c>
      <c r="BX245" s="2131">
        <f>IF(BX$221,_xll.ciqfunctions.udf.CIQ($G245, "IQ_VOLUME", BX$222),"--")</f>
        <v>0</v>
      </c>
      <c r="BY245" s="2131">
        <f>IF(BY$221,_xll.ciqfunctions.udf.CIQ($G245, "IQ_VOLUME", BY$222),"--")</f>
        <v>0</v>
      </c>
      <c r="BZ245" s="2131">
        <f>IF(BZ$221,_xll.ciqfunctions.udf.CIQ($G245, "IQ_VOLUME", BZ$222),"--")</f>
        <v>0</v>
      </c>
      <c r="CA245" s="2131">
        <f>IF(CA$221,_xll.ciqfunctions.udf.CIQ($G245, "IQ_VOLUME", CA$222),"--")</f>
        <v>0</v>
      </c>
      <c r="CB245" s="2131">
        <f>IF(CB$221,_xll.ciqfunctions.udf.CIQ($G245, "IQ_VOLUME", CB$222),"--")</f>
        <v>0</v>
      </c>
      <c r="CC245" s="2131">
        <f>IF(CC$221,_xll.ciqfunctions.udf.CIQ($G245, "IQ_VOLUME", CC$222),"--")</f>
        <v>0</v>
      </c>
      <c r="CD245" s="2131">
        <f>IF(CD$221,_xll.ciqfunctions.udf.CIQ($G245, "IQ_VOLUME", CD$222),"--")</f>
        <v>0</v>
      </c>
      <c r="CE245" s="2131">
        <f>IF(CE$221,_xll.ciqfunctions.udf.CIQ($G245, "IQ_VOLUME", CE$222),"--")</f>
        <v>0</v>
      </c>
      <c r="CF245" s="2131">
        <f>IF(CF$221,_xll.ciqfunctions.udf.CIQ($G245, "IQ_VOLUME", CF$222),"--")</f>
        <v>0</v>
      </c>
      <c r="CG245" s="2131">
        <f>IF(CG$221,_xll.ciqfunctions.udf.CIQ($G245, "IQ_VOLUME", CG$222),"--")</f>
        <v>0</v>
      </c>
      <c r="CH245" s="2131">
        <f>IF(CH$221,_xll.ciqfunctions.udf.CIQ($G245, "IQ_VOLUME", CH$222),"--")</f>
        <v>0</v>
      </c>
      <c r="CI245" s="2131">
        <f>IF(CI$221,_xll.ciqfunctions.udf.CIQ($G245, "IQ_VOLUME", CI$222),"--")</f>
        <v>0</v>
      </c>
      <c r="CJ245" s="2131">
        <f>IF(CJ$221,_xll.ciqfunctions.udf.CIQ($G245, "IQ_VOLUME", CJ$222),"--")</f>
        <v>0</v>
      </c>
      <c r="CK245" s="2131">
        <f>IF(CK$221,_xll.ciqfunctions.udf.CIQ($G245, "IQ_VOLUME", CK$222),"--")</f>
        <v>0</v>
      </c>
      <c r="CL245" s="2131">
        <f>IF(CL$221,_xll.ciqfunctions.udf.CIQ($G245, "IQ_VOLUME", CL$222),"--")</f>
        <v>0</v>
      </c>
      <c r="CM245" s="2131">
        <f>IF(CM$221,_xll.ciqfunctions.udf.CIQ($G245, "IQ_VOLUME", CM$222),"--")</f>
        <v>0</v>
      </c>
      <c r="CN245" s="2131">
        <f>IF(CN$221,_xll.ciqfunctions.udf.CIQ($G245, "IQ_VOLUME", CN$222),"--")</f>
        <v>0</v>
      </c>
      <c r="CO245" s="2131">
        <f>IF(CO$221,_xll.ciqfunctions.udf.CIQ($G245, "IQ_VOLUME", CO$222),"--")</f>
        <v>0</v>
      </c>
      <c r="CP245" s="2131">
        <f>IF(CP$221,_xll.ciqfunctions.udf.CIQ($G245, "IQ_VOLUME", CP$222),"--")</f>
        <v>0</v>
      </c>
      <c r="CQ245" s="2131">
        <f>IF(CQ$221,_xll.ciqfunctions.udf.CIQ($G245, "IQ_VOLUME", CQ$222),"--")</f>
        <v>0</v>
      </c>
      <c r="CR245" s="2131">
        <f>IF(CR$221,_xll.ciqfunctions.udf.CIQ($G245, "IQ_VOLUME", CR$222),"--")</f>
        <v>0</v>
      </c>
      <c r="CS245" s="2131">
        <f>IF(CS$221,_xll.ciqfunctions.udf.CIQ($G245, "IQ_VOLUME", CS$222),"--")</f>
        <v>0</v>
      </c>
      <c r="CT245" s="2131">
        <f>IF(CT$221,_xll.ciqfunctions.udf.CIQ($G245, "IQ_VOLUME", CT$222),"--")</f>
        <v>0</v>
      </c>
      <c r="CU245" s="2131">
        <f>IF(CU$221,_xll.ciqfunctions.udf.CIQ($G245, "IQ_VOLUME", CU$222),"--")</f>
        <v>0</v>
      </c>
      <c r="CV245" s="2131">
        <f>IF(CV$221,_xll.ciqfunctions.udf.CIQ($G245, "IQ_VOLUME", CV$222),"--")</f>
        <v>0</v>
      </c>
      <c r="CW245" s="2131">
        <f>IF(CW$221,_xll.ciqfunctions.udf.CIQ($G245, "IQ_VOLUME", CW$222),"--")</f>
        <v>0</v>
      </c>
      <c r="CX245" s="2131">
        <f>IF(CX$221,_xll.ciqfunctions.udf.CIQ($G245, "IQ_VOLUME", CX$222),"--")</f>
        <v>0</v>
      </c>
      <c r="CY245" s="2131">
        <f>IF(CY$221,_xll.ciqfunctions.udf.CIQ($G245, "IQ_VOLUME", CY$222),"--")</f>
        <v>0</v>
      </c>
      <c r="CZ245" s="2131">
        <f>IF(CZ$221,_xll.ciqfunctions.udf.CIQ($G245, "IQ_VOLUME", CZ$222),"--")</f>
        <v>0</v>
      </c>
      <c r="DA245" s="2131">
        <f>IF(DA$221,_xll.ciqfunctions.udf.CIQ($G245, "IQ_VOLUME", DA$222),"--")</f>
        <v>0</v>
      </c>
      <c r="DB245" s="2131">
        <f>IF(DB$221,_xll.ciqfunctions.udf.CIQ($G245, "IQ_VOLUME", DB$222),"--")</f>
        <v>0</v>
      </c>
      <c r="DC245" s="2131">
        <f>IF(DC$221,_xll.ciqfunctions.udf.CIQ($G245, "IQ_VOLUME", DC$222),"--")</f>
        <v>0</v>
      </c>
      <c r="DD245" s="2131">
        <f>IF(DD$221,_xll.ciqfunctions.udf.CIQ($G245, "IQ_VOLUME", DD$222),"--")</f>
        <v>0</v>
      </c>
      <c r="DE245" s="2131">
        <f>IF(DE$221,_xll.ciqfunctions.udf.CIQ($G245, "IQ_VOLUME", DE$222),"--")</f>
        <v>0</v>
      </c>
      <c r="DF245" s="2131">
        <f>IF(DF$221,_xll.ciqfunctions.udf.CIQ($G245, "IQ_VOLUME", DF$222),"--")</f>
        <v>0</v>
      </c>
      <c r="DG245" s="2131">
        <f>IF(DG$221,_xll.ciqfunctions.udf.CIQ($G245, "IQ_VOLUME", DG$222),"--")</f>
        <v>0</v>
      </c>
      <c r="DH245" s="2131">
        <f>IF(DH$221,_xll.ciqfunctions.udf.CIQ($G245, "IQ_VOLUME", DH$222),"--")</f>
        <v>0</v>
      </c>
      <c r="DI245" s="2131">
        <f>IF(DI$221,_xll.ciqfunctions.udf.CIQ($G245, "IQ_VOLUME", DI$222),"--")</f>
        <v>0</v>
      </c>
      <c r="DJ245" s="2131">
        <f>IF(DJ$221,_xll.ciqfunctions.udf.CIQ($G245, "IQ_VOLUME", DJ$222),"--")</f>
        <v>0</v>
      </c>
      <c r="DK245" s="2131">
        <f>IF(DK$221,_xll.ciqfunctions.udf.CIQ($G245, "IQ_VOLUME", DK$222),"--")</f>
        <v>0</v>
      </c>
      <c r="DL245" s="2131">
        <f>IF(DL$221,_xll.ciqfunctions.udf.CIQ($G245, "IQ_VOLUME", DL$222),"--")</f>
        <v>0</v>
      </c>
      <c r="DM245" s="2131">
        <f>IF(DM$221,_xll.ciqfunctions.udf.CIQ($G245, "IQ_VOLUME", DM$222),"--")</f>
        <v>0</v>
      </c>
      <c r="DN245" s="2131">
        <f>IF(DN$221,_xll.ciqfunctions.udf.CIQ($G245, "IQ_VOLUME", DN$222),"--")</f>
        <v>0</v>
      </c>
      <c r="DO245" s="2131">
        <f>IF(DO$221,_xll.ciqfunctions.udf.CIQ($G245, "IQ_VOLUME", DO$222),"--")</f>
        <v>0</v>
      </c>
      <c r="DP245" s="2131">
        <f>IF(DP$221,_xll.ciqfunctions.udf.CIQ($G245, "IQ_VOLUME", DP$222),"--")</f>
        <v>0</v>
      </c>
      <c r="DQ245" s="2131">
        <f>IF(DQ$221,_xll.ciqfunctions.udf.CIQ($G245, "IQ_VOLUME", DQ$222),"--")</f>
        <v>0</v>
      </c>
      <c r="DR245" s="2131">
        <f>IF(DR$221,_xll.ciqfunctions.udf.CIQ($G245, "IQ_VOLUME", DR$222),"--")</f>
        <v>0</v>
      </c>
      <c r="DS245" s="2131">
        <f>IF(DS$221,_xll.ciqfunctions.udf.CIQ($G245, "IQ_VOLUME", DS$222),"--")</f>
        <v>0</v>
      </c>
      <c r="DT245" s="2131">
        <f>IF(DT$221,_xll.ciqfunctions.udf.CIQ($G245, "IQ_VOLUME", DT$222),"--")</f>
        <v>0</v>
      </c>
      <c r="DU245" s="2131">
        <f>IF(DU$221,_xll.ciqfunctions.udf.CIQ($G245, "IQ_VOLUME", DU$222),"--")</f>
        <v>0</v>
      </c>
      <c r="DV245" s="2131">
        <f>IF(DV$221,_xll.ciqfunctions.udf.CIQ($G245, "IQ_VOLUME", DV$222),"--")</f>
        <v>0</v>
      </c>
      <c r="DW245" s="2131">
        <f>IF(DW$221,_xll.ciqfunctions.udf.CIQ($G245, "IQ_VOLUME", DW$222),"--")</f>
        <v>0</v>
      </c>
      <c r="DX245" s="2131">
        <f>IF(DX$221,_xll.ciqfunctions.udf.CIQ($G245, "IQ_VOLUME", DX$222),"--")</f>
        <v>0</v>
      </c>
      <c r="DY245" s="2131">
        <f>IF(DY$221,_xll.ciqfunctions.udf.CIQ($G245, "IQ_VOLUME", DY$222),"--")</f>
        <v>0</v>
      </c>
      <c r="DZ245" s="2131">
        <f>IF(DZ$221,_xll.ciqfunctions.udf.CIQ($G245, "IQ_VOLUME", DZ$222),"--")</f>
        <v>0</v>
      </c>
      <c r="EA245" s="2131">
        <f>IF(EA$221,_xll.ciqfunctions.udf.CIQ($G245, "IQ_VOLUME", EA$222),"--")</f>
        <v>0</v>
      </c>
      <c r="EB245" s="2131">
        <f>IF(EB$221,_xll.ciqfunctions.udf.CIQ($G245, "IQ_VOLUME", EB$222),"--")</f>
        <v>0</v>
      </c>
      <c r="EC245" s="2131">
        <f>IF(EC$221,_xll.ciqfunctions.udf.CIQ($G245, "IQ_VOLUME", EC$222),"--")</f>
        <v>0</v>
      </c>
      <c r="ED245" s="2131">
        <f>IF(ED$221,_xll.ciqfunctions.udf.CIQ($G245, "IQ_VOLUME", ED$222),"--")</f>
        <v>0</v>
      </c>
      <c r="EE245" s="2131">
        <f>IF(EE$221,_xll.ciqfunctions.udf.CIQ($G245, "IQ_VOLUME", EE$222),"--")</f>
        <v>0</v>
      </c>
      <c r="EF245" s="2131">
        <f>IF(EF$221,_xll.ciqfunctions.udf.CIQ($G245, "IQ_VOLUME", EF$222),"--")</f>
        <v>0</v>
      </c>
      <c r="EG245" s="2131">
        <f>IF(EG$221,_xll.ciqfunctions.udf.CIQ($G245, "IQ_VOLUME", EG$222),"--")</f>
        <v>0</v>
      </c>
      <c r="EH245" s="2131">
        <f>IF(EH$221,_xll.ciqfunctions.udf.CIQ($G245, "IQ_VOLUME", EH$222),"--")</f>
        <v>0</v>
      </c>
      <c r="EI245" s="2131">
        <f>IF(EI$221,_xll.ciqfunctions.udf.CIQ($G245, "IQ_VOLUME", EI$222),"--")</f>
        <v>0</v>
      </c>
      <c r="EJ245" s="2131">
        <f>IF(EJ$221,_xll.ciqfunctions.udf.CIQ($G245, "IQ_VOLUME", EJ$222),"--")</f>
        <v>0</v>
      </c>
      <c r="EK245" s="2131">
        <f>IF(EK$221,_xll.ciqfunctions.udf.CIQ($G245, "IQ_VOLUME", EK$222),"--")</f>
        <v>0</v>
      </c>
      <c r="EL245" s="2131">
        <f>IF(EL$221,_xll.ciqfunctions.udf.CIQ($G245, "IQ_VOLUME", EL$222),"--")</f>
        <v>0</v>
      </c>
      <c r="EM245" s="2131">
        <f>IF(EM$221,_xll.ciqfunctions.udf.CIQ($G245, "IQ_VOLUME", EM$222),"--")</f>
        <v>0</v>
      </c>
      <c r="EN245" s="2131">
        <f>IF(EN$221,_xll.ciqfunctions.udf.CIQ($G245, "IQ_VOLUME", EN$222),"--")</f>
        <v>0</v>
      </c>
      <c r="EO245" s="2131">
        <f>IF(EO$221,_xll.ciqfunctions.udf.CIQ($G245, "IQ_VOLUME", EO$222),"--")</f>
        <v>0</v>
      </c>
      <c r="EP245" s="2131">
        <f>IF(EP$221,_xll.ciqfunctions.udf.CIQ($G245, "IQ_VOLUME", EP$222),"--")</f>
        <v>0</v>
      </c>
      <c r="EQ245" s="2131">
        <f>IF(EQ$221,_xll.ciqfunctions.udf.CIQ($G245, "IQ_VOLUME", EQ$222),"--")</f>
        <v>0</v>
      </c>
      <c r="ER245" s="2131">
        <f>IF(ER$221,_xll.ciqfunctions.udf.CIQ($G245, "IQ_VOLUME", ER$222),"--")</f>
        <v>0</v>
      </c>
      <c r="ES245" s="2131">
        <f>IF(ES$221,_xll.ciqfunctions.udf.CIQ($G245, "IQ_VOLUME", ES$222),"--")</f>
        <v>0</v>
      </c>
      <c r="ET245" s="2131">
        <f>IF(ET$221,_xll.ciqfunctions.udf.CIQ($G245, "IQ_VOLUME", ET$222),"--")</f>
        <v>0</v>
      </c>
      <c r="EU245" s="2131">
        <f>IF(EU$221,_xll.ciqfunctions.udf.CIQ($G245, "IQ_VOLUME", EU$222),"--")</f>
        <v>0</v>
      </c>
      <c r="EV245" s="2131">
        <f>IF(EV$221,_xll.ciqfunctions.udf.CIQ($G245, "IQ_VOLUME", EV$222),"--")</f>
        <v>0</v>
      </c>
      <c r="EW245" s="2131">
        <f>IF(EW$221,_xll.ciqfunctions.udf.CIQ($G245, "IQ_VOLUME", EW$222),"--")</f>
        <v>0</v>
      </c>
      <c r="EX245" s="2131">
        <f>IF(EX$221,_xll.ciqfunctions.udf.CIQ($G245, "IQ_VOLUME", EX$222),"--")</f>
        <v>0</v>
      </c>
      <c r="EY245" s="2131">
        <f>IF(EY$221,_xll.ciqfunctions.udf.CIQ($G245, "IQ_VOLUME", EY$222),"--")</f>
        <v>0</v>
      </c>
      <c r="EZ245" s="2131">
        <f>IF(EZ$221,_xll.ciqfunctions.udf.CIQ($G245, "IQ_VOLUME", EZ$222),"--")</f>
        <v>0</v>
      </c>
      <c r="FA245" s="2131">
        <f>IF(FA$221,_xll.ciqfunctions.udf.CIQ($G245, "IQ_VOLUME", FA$222),"--")</f>
        <v>0</v>
      </c>
      <c r="FB245" s="2131">
        <f>IF(FB$221,_xll.ciqfunctions.udf.CIQ($G245, "IQ_VOLUME", FB$222),"--")</f>
        <v>0</v>
      </c>
      <c r="FC245" s="2131">
        <f>IF(FC$221,_xll.ciqfunctions.udf.CIQ($G245, "IQ_VOLUME", FC$222),"--")</f>
        <v>0</v>
      </c>
      <c r="FD245" s="2131">
        <f>IF(FD$221,_xll.ciqfunctions.udf.CIQ($G245, "IQ_VOLUME", FD$222),"--")</f>
        <v>0</v>
      </c>
      <c r="FE245" s="2131">
        <f>IF(FE$221,_xll.ciqfunctions.udf.CIQ($G245, "IQ_VOLUME", FE$222),"--")</f>
        <v>0</v>
      </c>
      <c r="FF245" s="2131">
        <f>IF(FF$221,_xll.ciqfunctions.udf.CIQ($G245, "IQ_VOLUME", FF$222),"--")</f>
        <v>0</v>
      </c>
      <c r="FG245" s="2131">
        <f>IF(FG$221,_xll.ciqfunctions.udf.CIQ($G245, "IQ_VOLUME", FG$222),"--")</f>
        <v>0</v>
      </c>
      <c r="FH245" s="2131">
        <f>IF(FH$221,_xll.ciqfunctions.udf.CIQ($G245, "IQ_VOLUME", FH$222),"--")</f>
        <v>0</v>
      </c>
      <c r="FI245" s="2131">
        <f>IF(FI$221,_xll.ciqfunctions.udf.CIQ($G245, "IQ_VOLUME", FI$222),"--")</f>
        <v>0</v>
      </c>
      <c r="FJ245" s="2131">
        <f>IF(FJ$221,_xll.ciqfunctions.udf.CIQ($G245, "IQ_VOLUME", FJ$222),"--")</f>
        <v>0</v>
      </c>
      <c r="FK245" s="2131">
        <f>IF(FK$221,_xll.ciqfunctions.udf.CIQ($G245, "IQ_VOLUME", FK$222),"--")</f>
        <v>0</v>
      </c>
      <c r="FL245" s="2131">
        <f>IF(FL$221,_xll.ciqfunctions.udf.CIQ($G245, "IQ_VOLUME", FL$222),"--")</f>
        <v>0</v>
      </c>
      <c r="FM245" s="2131">
        <f>IF(FM$221,_xll.ciqfunctions.udf.CIQ($G245, "IQ_VOLUME", FM$222),"--")</f>
        <v>0</v>
      </c>
      <c r="FN245" s="2131">
        <f>IF(FN$221,_xll.ciqfunctions.udf.CIQ($G245, "IQ_VOLUME", FN$222),"--")</f>
        <v>0</v>
      </c>
      <c r="FO245" s="2131">
        <f>IF(FO$221,_xll.ciqfunctions.udf.CIQ($G245, "IQ_VOLUME", FO$222),"--")</f>
        <v>0</v>
      </c>
      <c r="FP245" s="2131">
        <f>IF(FP$221,_xll.ciqfunctions.udf.CIQ($G245, "IQ_VOLUME", FP$222),"--")</f>
        <v>0</v>
      </c>
      <c r="FQ245" s="2131">
        <f>IF(FQ$221,_xll.ciqfunctions.udf.CIQ($G245, "IQ_VOLUME", FQ$222),"--")</f>
        <v>0</v>
      </c>
      <c r="FR245" s="2131">
        <f>IF(FR$221,_xll.ciqfunctions.udf.CIQ($G245, "IQ_VOLUME", FR$222),"--")</f>
        <v>0</v>
      </c>
      <c r="FS245" s="2131">
        <f>IF(FS$221,_xll.ciqfunctions.udf.CIQ($G245, "IQ_VOLUME", FS$222),"--")</f>
        <v>0</v>
      </c>
      <c r="FT245" s="2131">
        <f>IF(FT$221,_xll.ciqfunctions.udf.CIQ($G245, "IQ_VOLUME", FT$222),"--")</f>
        <v>0</v>
      </c>
      <c r="FU245" s="2131">
        <f>IF(FU$221,_xll.ciqfunctions.udf.CIQ($G245, "IQ_VOLUME", FU$222),"--")</f>
        <v>0</v>
      </c>
      <c r="FV245" s="2131">
        <f>IF(FV$221,_xll.ciqfunctions.udf.CIQ($G245, "IQ_VOLUME", FV$222),"--")</f>
        <v>0</v>
      </c>
      <c r="FW245" s="2131">
        <f>IF(FW$221,_xll.ciqfunctions.udf.CIQ($G245, "IQ_VOLUME", FW$222),"--")</f>
        <v>0</v>
      </c>
      <c r="FX245" s="2131">
        <f>IF(FX$221,_xll.ciqfunctions.udf.CIQ($G245, "IQ_VOLUME", FX$222),"--")</f>
        <v>0</v>
      </c>
      <c r="FY245" s="2131">
        <f>IF(FY$221,_xll.ciqfunctions.udf.CIQ($G245, "IQ_VOLUME", FY$222),"--")</f>
        <v>0</v>
      </c>
      <c r="FZ245" s="2131">
        <f>IF(FZ$221,_xll.ciqfunctions.udf.CIQ($G245, "IQ_VOLUME", FZ$222),"--")</f>
        <v>0</v>
      </c>
      <c r="GA245" s="2131">
        <f>IF(GA$221,_xll.ciqfunctions.udf.CIQ($G245, "IQ_VOLUME", GA$222),"--")</f>
        <v>0</v>
      </c>
      <c r="GB245" s="2131">
        <f>IF(GB$221,_xll.ciqfunctions.udf.CIQ($G245, "IQ_VOLUME", GB$222),"--")</f>
        <v>0</v>
      </c>
      <c r="GC245" s="2131">
        <f>IF(GC$221,_xll.ciqfunctions.udf.CIQ($G245, "IQ_VOLUME", GC$222),"--")</f>
        <v>0</v>
      </c>
      <c r="GD245" s="2131">
        <f>IF(GD$221,_xll.ciqfunctions.udf.CIQ($G245, "IQ_VOLUME", GD$222),"--")</f>
        <v>0</v>
      </c>
      <c r="GE245" s="2131">
        <f>IF(GE$221,_xll.ciqfunctions.udf.CIQ($G245, "IQ_VOLUME", GE$222),"--")</f>
        <v>0</v>
      </c>
      <c r="GF245" s="2131">
        <f>IF(GF$221,_xll.ciqfunctions.udf.CIQ($G245, "IQ_VOLUME", GF$222),"--")</f>
        <v>0</v>
      </c>
      <c r="GG245" s="2131">
        <f>IF(GG$221,_xll.ciqfunctions.udf.CIQ($G245, "IQ_VOLUME", GG$222),"--")</f>
        <v>0</v>
      </c>
      <c r="GH245" s="2131">
        <f>IF(GH$221,_xll.ciqfunctions.udf.CIQ($G245, "IQ_VOLUME", GH$222),"--")</f>
        <v>0</v>
      </c>
      <c r="GI245" s="2131">
        <f>IF(GI$221,_xll.ciqfunctions.udf.CIQ($G245, "IQ_VOLUME", GI$222),"--")</f>
        <v>0</v>
      </c>
      <c r="GJ245" s="2131">
        <f>IF(GJ$221,_xll.ciqfunctions.udf.CIQ($G245, "IQ_VOLUME", GJ$222),"--")</f>
        <v>0</v>
      </c>
      <c r="GK245" s="2131">
        <f>IF(GK$221,_xll.ciqfunctions.udf.CIQ($G245, "IQ_VOLUME", GK$222),"--")</f>
        <v>0</v>
      </c>
      <c r="GL245" s="2131">
        <f>IF(GL$221,_xll.ciqfunctions.udf.CIQ($G245, "IQ_VOLUME", GL$222),"--")</f>
        <v>0</v>
      </c>
      <c r="GM245" s="2131">
        <f>IF(GM$221,_xll.ciqfunctions.udf.CIQ($G245, "IQ_VOLUME", GM$222),"--")</f>
        <v>0</v>
      </c>
      <c r="GN245" s="2131">
        <f>IF(GN$221,_xll.ciqfunctions.udf.CIQ($G245, "IQ_VOLUME", GN$222),"--")</f>
        <v>0</v>
      </c>
      <c r="GO245" s="2131">
        <f>IF(GO$221,_xll.ciqfunctions.udf.CIQ($G245, "IQ_VOLUME", GO$222),"--")</f>
        <v>0</v>
      </c>
      <c r="GP245" s="2131">
        <f>IF(GP$221,_xll.ciqfunctions.udf.CIQ($G245, "IQ_VOLUME", GP$222),"--")</f>
        <v>0</v>
      </c>
      <c r="GQ245" s="2131">
        <f>IF(GQ$221,_xll.ciqfunctions.udf.CIQ($G245, "IQ_VOLUME", GQ$222),"--")</f>
        <v>0</v>
      </c>
      <c r="GR245" s="2131">
        <f>IF(GR$221,_xll.ciqfunctions.udf.CIQ($G245, "IQ_VOLUME", GR$222),"--")</f>
        <v>0</v>
      </c>
      <c r="GS245" s="2131">
        <f>IF(GS$221,_xll.ciqfunctions.udf.CIQ($G245, "IQ_VOLUME", GS$222),"--")</f>
        <v>0</v>
      </c>
      <c r="GT245" s="2131">
        <f>IF(GT$221,_xll.ciqfunctions.udf.CIQ($G245, "IQ_VOLUME", GT$222),"--")</f>
        <v>0</v>
      </c>
      <c r="GU245" s="2131">
        <f>IF(GU$221,_xll.ciqfunctions.udf.CIQ($G245, "IQ_VOLUME", GU$222),"--")</f>
        <v>0</v>
      </c>
      <c r="GV245" s="2131">
        <f>IF(GV$221,_xll.ciqfunctions.udf.CIQ($G245, "IQ_VOLUME", GV$222),"--")</f>
        <v>0</v>
      </c>
      <c r="GW245" s="2131">
        <f>IF(GW$221,_xll.ciqfunctions.udf.CIQ($G245, "IQ_VOLUME", GW$222),"--")</f>
        <v>0</v>
      </c>
      <c r="GX245" s="2131">
        <f>IF(GX$221,_xll.ciqfunctions.udf.CIQ($G245, "IQ_VOLUME", GX$222),"--")</f>
        <v>0</v>
      </c>
      <c r="GY245" s="2131">
        <f>IF(GY$221,_xll.ciqfunctions.udf.CIQ($G245, "IQ_VOLUME", GY$222),"--")</f>
        <v>0</v>
      </c>
      <c r="GZ245" s="2131">
        <f>IF(GZ$221,_xll.ciqfunctions.udf.CIQ($G245, "IQ_VOLUME", GZ$222),"--")</f>
        <v>0</v>
      </c>
      <c r="HA245" s="2131">
        <f>IF(HA$221,_xll.ciqfunctions.udf.CIQ($G245, "IQ_VOLUME", HA$222),"--")</f>
        <v>0</v>
      </c>
      <c r="HB245" s="2131">
        <f>IF(HB$221,_xll.ciqfunctions.udf.CIQ($G245, "IQ_VOLUME", HB$222),"--")</f>
        <v>0</v>
      </c>
      <c r="HC245" s="2131">
        <f>IF(HC$221,_xll.ciqfunctions.udf.CIQ($G245, "IQ_VOLUME", HC$222),"--")</f>
        <v>0</v>
      </c>
      <c r="HD245" s="2131">
        <f>IF(HD$221,_xll.ciqfunctions.udf.CIQ($G245, "IQ_VOLUME", HD$222),"--")</f>
        <v>0</v>
      </c>
      <c r="HE245" s="2131">
        <f>IF(HE$221,_xll.ciqfunctions.udf.CIQ($G245, "IQ_VOLUME", HE$222),"--")</f>
        <v>0</v>
      </c>
      <c r="HF245" s="2131">
        <f>IF(HF$221,_xll.ciqfunctions.udf.CIQ($G245, "IQ_VOLUME", HF$222),"--")</f>
        <v>0</v>
      </c>
      <c r="HG245" s="2131">
        <f>IF(HG$221,_xll.ciqfunctions.udf.CIQ($G245, "IQ_VOLUME", HG$222),"--")</f>
        <v>0</v>
      </c>
      <c r="HH245" s="2131">
        <f>IF(HH$221,_xll.ciqfunctions.udf.CIQ($G245, "IQ_VOLUME", HH$222),"--")</f>
        <v>0</v>
      </c>
      <c r="HI245" s="2131">
        <f>IF(HI$221,_xll.ciqfunctions.udf.CIQ($G245, "IQ_VOLUME", HI$222),"--")</f>
        <v>0</v>
      </c>
      <c r="HJ245" s="2131">
        <f>IF(HJ$221,_xll.ciqfunctions.udf.CIQ($G245, "IQ_VOLUME", HJ$222),"--")</f>
        <v>0</v>
      </c>
      <c r="HK245" s="2131">
        <f>IF(HK$221,_xll.ciqfunctions.udf.CIQ($G245, "IQ_VOLUME", HK$222),"--")</f>
        <v>0</v>
      </c>
      <c r="HL245" s="2131">
        <f>IF(HL$221,_xll.ciqfunctions.udf.CIQ($G245, "IQ_VOLUME", HL$222),"--")</f>
        <v>0</v>
      </c>
      <c r="HM245" s="2131">
        <f>IF(HM$221,_xll.ciqfunctions.udf.CIQ($G245, "IQ_VOLUME", HM$222),"--")</f>
        <v>0</v>
      </c>
      <c r="HN245" s="2131">
        <f>IF(HN$221,_xll.ciqfunctions.udf.CIQ($G245, "IQ_VOLUME", HN$222),"--")</f>
        <v>0</v>
      </c>
      <c r="HO245" s="2131">
        <f>IF(HO$221,_xll.ciqfunctions.udf.CIQ($G245, "IQ_VOLUME", HO$222),"--")</f>
        <v>0</v>
      </c>
      <c r="HP245" s="2131">
        <f>IF(HP$221,_xll.ciqfunctions.udf.CIQ($G245, "IQ_VOLUME", HP$222),"--")</f>
        <v>0</v>
      </c>
      <c r="HQ245" s="2131">
        <f>IF(HQ$221,_xll.ciqfunctions.udf.CIQ($G245, "IQ_VOLUME", HQ$222),"--")</f>
        <v>0</v>
      </c>
      <c r="HR245" s="2131">
        <f>IF(HR$221,_xll.ciqfunctions.udf.CIQ($G245, "IQ_VOLUME", HR$222),"--")</f>
        <v>0</v>
      </c>
      <c r="HS245" s="2131">
        <f>IF(HS$221,_xll.ciqfunctions.udf.CIQ($G245, "IQ_VOLUME", HS$222),"--")</f>
        <v>0</v>
      </c>
      <c r="HT245" s="2131">
        <f>IF(HT$221,_xll.ciqfunctions.udf.CIQ($G245, "IQ_VOLUME", HT$222),"--")</f>
        <v>0</v>
      </c>
      <c r="HU245" s="2131">
        <f>IF(HU$221,_xll.ciqfunctions.udf.CIQ($G245, "IQ_VOLUME", HU$222),"--")</f>
        <v>0</v>
      </c>
      <c r="HV245" s="2131">
        <f>IF(HV$221,_xll.ciqfunctions.udf.CIQ($G245, "IQ_VOLUME", HV$222),"--")</f>
        <v>0</v>
      </c>
      <c r="HW245" s="2131">
        <f>IF(HW$221,_xll.ciqfunctions.udf.CIQ($G245, "IQ_VOLUME", HW$222),"--")</f>
        <v>0</v>
      </c>
      <c r="HX245" s="2131">
        <f>IF(HX$221,_xll.ciqfunctions.udf.CIQ($G245, "IQ_VOLUME", HX$222),"--")</f>
        <v>0</v>
      </c>
      <c r="HY245" s="2131">
        <f>IF(HY$221,_xll.ciqfunctions.udf.CIQ($G245, "IQ_VOLUME", HY$222),"--")</f>
        <v>0</v>
      </c>
      <c r="HZ245" s="2131">
        <f>IF(HZ$221,_xll.ciqfunctions.udf.CIQ($G245, "IQ_VOLUME", HZ$222),"--")</f>
        <v>0</v>
      </c>
      <c r="IA245" s="2131">
        <f>IF(IA$221,_xll.ciqfunctions.udf.CIQ($G245, "IQ_VOLUME", IA$222),"--")</f>
        <v>0</v>
      </c>
      <c r="IB245" s="2131">
        <f>IF(IB$221,_xll.ciqfunctions.udf.CIQ($G245, "IQ_VOLUME", IB$222),"--")</f>
        <v>0</v>
      </c>
      <c r="IC245" s="2131">
        <f>IF(IC$221,_xll.ciqfunctions.udf.CIQ($G245, "IQ_VOLUME", IC$222),"--")</f>
        <v>0</v>
      </c>
      <c r="ID245" s="2131">
        <f>IF(ID$221,_xll.ciqfunctions.udf.CIQ($G245, "IQ_VOLUME", ID$222),"--")</f>
        <v>0</v>
      </c>
      <c r="IE245" s="2131">
        <f>IF(IE$221,_xll.ciqfunctions.udf.CIQ($G245, "IQ_VOLUME", IE$222),"--")</f>
        <v>0</v>
      </c>
      <c r="IF245" s="2131">
        <f>IF(IF$221,_xll.ciqfunctions.udf.CIQ($G245, "IQ_VOLUME", IF$222),"--")</f>
        <v>0</v>
      </c>
      <c r="IG245" s="2131">
        <f>IF(IG$221,_xll.ciqfunctions.udf.CIQ($G245, "IQ_VOLUME", IG$222),"--")</f>
        <v>0</v>
      </c>
      <c r="IH245" s="2131">
        <f>IF(IH$221,_xll.ciqfunctions.udf.CIQ($G245, "IQ_VOLUME", IH$222),"--")</f>
        <v>0</v>
      </c>
      <c r="II245" s="2131">
        <f>IF(II$221,_xll.ciqfunctions.udf.CIQ($G245, "IQ_VOLUME", II$222),"--")</f>
        <v>0</v>
      </c>
      <c r="IJ245" s="2131">
        <f>IF(IJ$221,_xll.ciqfunctions.udf.CIQ($G245, "IQ_VOLUME", IJ$222),"--")</f>
        <v>0</v>
      </c>
      <c r="IK245" s="2131">
        <f>IF(IK$221,_xll.ciqfunctions.udf.CIQ($G245, "IQ_VOLUME", IK$222),"--")</f>
        <v>0</v>
      </c>
      <c r="IL245" s="2131">
        <f>IF(IL$221,_xll.ciqfunctions.udf.CIQ($G245, "IQ_VOLUME", IL$222),"--")</f>
        <v>0</v>
      </c>
      <c r="IM245" s="2131">
        <f>IF(IM$221,_xll.ciqfunctions.udf.CIQ($G245, "IQ_VOLUME", IM$222),"--")</f>
        <v>0</v>
      </c>
      <c r="IN245" s="2131">
        <f>IF(IN$221,_xll.ciqfunctions.udf.CIQ($G245, "IQ_VOLUME", IN$222),"--")</f>
        <v>0</v>
      </c>
      <c r="IO245" s="2131">
        <f>IF(IO$221,_xll.ciqfunctions.udf.CIQ($G245, "IQ_VOLUME", IO$222),"--")</f>
        <v>0</v>
      </c>
      <c r="IP245" s="2131">
        <f>IF(IP$221,_xll.ciqfunctions.udf.CIQ($G245, "IQ_VOLUME", IP$222),"--")</f>
        <v>0</v>
      </c>
      <c r="IQ245" s="2131">
        <f>IF(IQ$221,_xll.ciqfunctions.udf.CIQ($G245, "IQ_VOLUME", IQ$222),"--")</f>
        <v>0</v>
      </c>
      <c r="IR245" s="2131">
        <f>IF(IR$221,_xll.ciqfunctions.udf.CIQ($G245, "IQ_VOLUME", IR$222),"--")</f>
        <v>0</v>
      </c>
      <c r="IS245" s="2131">
        <f>IF(IS$221,_xll.ciqfunctions.udf.CIQ($G245, "IQ_VOLUME", IS$222),"--")</f>
        <v>0</v>
      </c>
      <c r="IT245" s="2131">
        <f>IF(IT$221,_xll.ciqfunctions.udf.CIQ($G245, "IQ_VOLUME", IT$222),"--")</f>
        <v>0</v>
      </c>
      <c r="IU245" s="2131">
        <f>IF(IU$221,_xll.ciqfunctions.udf.CIQ($G245, "IQ_VOLUME", IU$222),"--")</f>
        <v>0</v>
      </c>
      <c r="IV245" s="2131">
        <f>IF(IV$221,_xll.ciqfunctions.udf.CIQ($G245, "IQ_VOLUME", IV$222),"--")</f>
        <v>0</v>
      </c>
      <c r="IW245" s="2131">
        <f>IF(IW$221,_xll.ciqfunctions.udf.CIQ($G245, "IQ_VOLUME", IW$222),"--")</f>
        <v>0</v>
      </c>
      <c r="IX245" s="2131">
        <f>IF(IX$221,_xll.ciqfunctions.udf.CIQ($G245, "IQ_VOLUME", IX$222),"--")</f>
        <v>0</v>
      </c>
      <c r="IY245" s="2131">
        <f>IF(IY$221,_xll.ciqfunctions.udf.CIQ($G245, "IQ_VOLUME", IY$222),"--")</f>
        <v>0</v>
      </c>
      <c r="IZ245" s="2131">
        <f>IF(IZ$221,_xll.ciqfunctions.udf.CIQ($G245, "IQ_VOLUME", IZ$222),"--")</f>
        <v>0</v>
      </c>
      <c r="JA245" s="2131">
        <f>IF(JA$221,_xll.ciqfunctions.udf.CIQ($G245, "IQ_VOLUME", JA$222),"--")</f>
        <v>0</v>
      </c>
      <c r="JB245" s="2131">
        <f>IF(JB$221,_xll.ciqfunctions.udf.CIQ($G245, "IQ_VOLUME", JB$222),"--")</f>
        <v>0</v>
      </c>
      <c r="JC245" s="2131">
        <f>IF(JC$221,_xll.ciqfunctions.udf.CIQ($G245, "IQ_VOLUME", JC$222),"--")</f>
        <v>0</v>
      </c>
      <c r="JD245" s="2131">
        <f>IF(JD$221,_xll.ciqfunctions.udf.CIQ($G245, "IQ_VOLUME", JD$222),"--")</f>
        <v>0</v>
      </c>
      <c r="JE245" s="2131">
        <f>IF(JE$221,_xll.ciqfunctions.udf.CIQ($G245, "IQ_VOLUME", JE$222),"--")</f>
        <v>0</v>
      </c>
      <c r="JF245" s="2131">
        <f>IF(JF$221,_xll.ciqfunctions.udf.CIQ($G245, "IQ_VOLUME", JF$222),"--")</f>
        <v>0</v>
      </c>
      <c r="JG245" s="2131">
        <f>IF(JG$221,_xll.ciqfunctions.udf.CIQ($G245, "IQ_VOLUME", JG$222),"--")</f>
        <v>0</v>
      </c>
      <c r="JH245" s="2131">
        <f>IF(JH$221,_xll.ciqfunctions.udf.CIQ($G245, "IQ_VOLUME", JH$222),"--")</f>
        <v>0</v>
      </c>
      <c r="JI245" s="2131">
        <f>IF(JI$221,_xll.ciqfunctions.udf.CIQ($G245, "IQ_VOLUME", JI$222),"--")</f>
        <v>0</v>
      </c>
      <c r="JJ245" s="2131">
        <f>IF(JJ$221,_xll.ciqfunctions.udf.CIQ($G245, "IQ_VOLUME", JJ$222),"--")</f>
        <v>0</v>
      </c>
      <c r="JK245" s="2131">
        <f>IF(JK$221,_xll.ciqfunctions.udf.CIQ($G245, "IQ_VOLUME", JK$222),"--")</f>
        <v>0</v>
      </c>
      <c r="JL245" s="2131">
        <f>IF(JL$221,_xll.ciqfunctions.udf.CIQ($G245, "IQ_VOLUME", JL$222),"--")</f>
        <v>0</v>
      </c>
      <c r="JM245" s="2131">
        <f>IF(JM$221,_xll.ciqfunctions.udf.CIQ($G245, "IQ_VOLUME", JM$222),"--")</f>
        <v>0</v>
      </c>
      <c r="JN245" s="2131">
        <f>IF(JN$221,_xll.ciqfunctions.udf.CIQ($G245, "IQ_VOLUME", JN$222),"--")</f>
        <v>0</v>
      </c>
      <c r="JO245" s="2131">
        <f>IF(JO$221,_xll.ciqfunctions.udf.CIQ($G245, "IQ_VOLUME", JO$222),"--")</f>
        <v>0</v>
      </c>
      <c r="JP245" s="2131">
        <f>IF(JP$221,_xll.ciqfunctions.udf.CIQ($G245, "IQ_VOLUME", JP$222),"--")</f>
        <v>0</v>
      </c>
      <c r="JQ245" s="2131">
        <f>IF(JQ$221,_xll.ciqfunctions.udf.CIQ($G245, "IQ_VOLUME", JQ$222),"--")</f>
        <v>0</v>
      </c>
      <c r="JR245" s="2131">
        <f>IF(JR$221,_xll.ciqfunctions.udf.CIQ($G245, "IQ_VOLUME", JR$222),"--")</f>
        <v>0</v>
      </c>
      <c r="JS245" s="2131">
        <f>IF(JS$221,_xll.ciqfunctions.udf.CIQ($G245, "IQ_VOLUME", JS$222),"--")</f>
        <v>0</v>
      </c>
      <c r="JT245" s="2131">
        <f>IF(JT$221,_xll.ciqfunctions.udf.CIQ($G245, "IQ_VOLUME", JT$222),"--")</f>
        <v>0</v>
      </c>
      <c r="JU245" s="2131">
        <f>IF(JU$221,_xll.ciqfunctions.udf.CIQ($G245, "IQ_VOLUME", JU$222),"--")</f>
        <v>0</v>
      </c>
      <c r="JV245" s="2131">
        <f>IF(JV$221,_xll.ciqfunctions.udf.CIQ($G245, "IQ_VOLUME", JV$222),"--")</f>
        <v>0</v>
      </c>
      <c r="JW245" s="2131" t="str">
        <f>IF(JW$221,_xll.ciqfunctions.udf.CIQ($G245, "IQ_VOLUME", JW$222),"--")</f>
        <v>--</v>
      </c>
      <c r="JX245" s="2131" t="str">
        <f>IF(JX$221,_xll.ciqfunctions.udf.CIQ($G245, "IQ_VOLUME", JX$222),"--")</f>
        <v>--</v>
      </c>
      <c r="JY245" s="2131" t="str">
        <f>IF(JY$221,_xll.ciqfunctions.udf.CIQ($G245, "IQ_VOLUME", JY$222),"--")</f>
        <v>--</v>
      </c>
      <c r="JZ245" s="2131" t="str">
        <f>IF(JZ$221,_xll.ciqfunctions.udf.CIQ($G245, "IQ_VOLUME", JZ$222),"--")</f>
        <v>--</v>
      </c>
      <c r="KA245" s="2131" t="str">
        <f>IF(KA$221,_xll.ciqfunctions.udf.CIQ($G245, "IQ_VOLUME", KA$222),"--")</f>
        <v>--</v>
      </c>
      <c r="KB245" s="2131" t="str">
        <f>IF(KB$221,_xll.ciqfunctions.udf.CIQ($G245, "IQ_VOLUME", KB$222),"--")</f>
        <v>--</v>
      </c>
    </row>
    <row r="246" spans="1:288" s="89" customFormat="1" ht="13.9">
      <c r="A246" s="269" t="str">
        <f t="shared" si="47"/>
        <v>n</v>
      </c>
      <c r="B246" s="2060"/>
      <c r="D246" s="801"/>
      <c r="E246" s="1505">
        <v>23</v>
      </c>
      <c r="F246" s="21" t="str">
        <f>F$151</f>
        <v>--</v>
      </c>
      <c r="G246" s="2112">
        <f>G$151</f>
        <v>0</v>
      </c>
      <c r="H246" s="2112" t="str">
        <f>H$151</f>
        <v>--</v>
      </c>
      <c r="I246" s="22" t="s">
        <v>781</v>
      </c>
      <c r="J246" s="53"/>
      <c r="K246" s="2301" t="str">
        <f>IF(OR(K214=0,$G246=0),"--",IFERROR(_xll.ciqfunctions.udf.CIQ($G246,$I246,K122,Valuation_Date_GC,ReportType,DataMode,$H246,FXMode)*Scale,"--"))</f>
        <v>--</v>
      </c>
      <c r="L246" s="2301" t="str">
        <f>IF(OR(L214=0,$G246=0),"--",IFERROR(_xll.ciqfunctions.udf.CIQ($G246,$I246,L122,Valuation_Date_GC,ReportType,DataMode,$H246,FXMode)*Scale,"--"))</f>
        <v>--</v>
      </c>
      <c r="M246" s="2301" t="str">
        <f>IF(OR(M214=0,$G246=0),"--",IFERROR(_xll.ciqfunctions.udf.CIQ($G246,$I246,M122,Valuation_Date_GC,ReportType,DataMode,$H246,FXMode)*Scale,"--"))</f>
        <v>--</v>
      </c>
      <c r="N246" s="2301" t="str">
        <f>IF(OR(N214=0,$G246=0),"--",IFERROR(_xll.ciqfunctions.udf.CIQ($G246,$I246,N122,Valuation_Date_GC,ReportType,DataMode,$H246,FXMode)*Scale,"--"))</f>
        <v>--</v>
      </c>
      <c r="O246" s="1471" t="str">
        <f>IF(OR(O214=0,$G246=0),"--",IFERROR(_xll.ciqfunctions.udf.CIQ($G246,$I246,O122,Valuation_Date_GC,ReportType,DataMode,$H246,FXMode)*Scale,"--"))</f>
        <v>--</v>
      </c>
      <c r="P246" s="2301" t="str">
        <f>IF(OR(P214=0,$G246=0),"--",IFERROR(_xll.ciqfunctions.udf.CIQ($G246,$I246,P122,Valuation_Date_GC,ReportType,DataMode,$H246,FXMode)*Scale,"--"))</f>
        <v>--</v>
      </c>
      <c r="R246" s="255"/>
      <c r="T246" s="1779" t="s">
        <v>782</v>
      </c>
      <c r="U246" s="2131">
        <f>IF(U$221,_xll.ciqfunctions.udf.CIQ($G246, "IQ_VOLUME", U$222),"--")</f>
        <v>0</v>
      </c>
      <c r="V246" s="2131">
        <f>IF(V$221,_xll.ciqfunctions.udf.CIQ($G246, "IQ_VOLUME", V$222),"--")</f>
        <v>0</v>
      </c>
      <c r="W246" s="2131">
        <f>IF(W$221,_xll.ciqfunctions.udf.CIQ($G246, "IQ_VOLUME", W$222),"--")</f>
        <v>0</v>
      </c>
      <c r="X246" s="2131">
        <f>IF(X$221,_xll.ciqfunctions.udf.CIQ($G246, "IQ_VOLUME", X$222),"--")</f>
        <v>0</v>
      </c>
      <c r="Y246" s="2131">
        <f>IF(Y$221,_xll.ciqfunctions.udf.CIQ($G246, "IQ_VOLUME", Y$222),"--")</f>
        <v>0</v>
      </c>
      <c r="Z246" s="2131">
        <f>IF(Z$221,_xll.ciqfunctions.udf.CIQ($G246, "IQ_VOLUME", Z$222),"--")</f>
        <v>0</v>
      </c>
      <c r="AA246" s="2131">
        <f>IF(AA$221,_xll.ciqfunctions.udf.CIQ($G246, "IQ_VOLUME", AA$222),"--")</f>
        <v>0</v>
      </c>
      <c r="AB246" s="2131">
        <f>IF(AB$221,_xll.ciqfunctions.udf.CIQ($G246, "IQ_VOLUME", AB$222),"--")</f>
        <v>0</v>
      </c>
      <c r="AC246" s="2131">
        <f>IF(AC$221,_xll.ciqfunctions.udf.CIQ($G246, "IQ_VOLUME", AC$222),"--")</f>
        <v>0</v>
      </c>
      <c r="AD246" s="2131">
        <f>IF(AD$221,_xll.ciqfunctions.udf.CIQ($G246, "IQ_VOLUME", AD$222),"--")</f>
        <v>0</v>
      </c>
      <c r="AE246" s="2131">
        <f>IF(AE$221,_xll.ciqfunctions.udf.CIQ($G246, "IQ_VOLUME", AE$222),"--")</f>
        <v>0</v>
      </c>
      <c r="AF246" s="2131">
        <f>IF(AF$221,_xll.ciqfunctions.udf.CIQ($G246, "IQ_VOLUME", AF$222),"--")</f>
        <v>0</v>
      </c>
      <c r="AG246" s="2131">
        <f>IF(AG$221,_xll.ciqfunctions.udf.CIQ($G246, "IQ_VOLUME", AG$222),"--")</f>
        <v>0</v>
      </c>
      <c r="AH246" s="2131">
        <f>IF(AH$221,_xll.ciqfunctions.udf.CIQ($G246, "IQ_VOLUME", AH$222),"--")</f>
        <v>0</v>
      </c>
      <c r="AI246" s="2131">
        <f>IF(AI$221,_xll.ciqfunctions.udf.CIQ($G246, "IQ_VOLUME", AI$222),"--")</f>
        <v>0</v>
      </c>
      <c r="AJ246" s="2131">
        <f>IF(AJ$221,_xll.ciqfunctions.udf.CIQ($G246, "IQ_VOLUME", AJ$222),"--")</f>
        <v>0</v>
      </c>
      <c r="AK246" s="2131">
        <f>IF(AK$221,_xll.ciqfunctions.udf.CIQ($G246, "IQ_VOLUME", AK$222),"--")</f>
        <v>0</v>
      </c>
      <c r="AL246" s="2131">
        <f>IF(AL$221,_xll.ciqfunctions.udf.CIQ($G246, "IQ_VOLUME", AL$222),"--")</f>
        <v>0</v>
      </c>
      <c r="AM246" s="2131">
        <f>IF(AM$221,_xll.ciqfunctions.udf.CIQ($G246, "IQ_VOLUME", AM$222),"--")</f>
        <v>0</v>
      </c>
      <c r="AN246" s="2131">
        <f>IF(AN$221,_xll.ciqfunctions.udf.CIQ($G246, "IQ_VOLUME", AN$222),"--")</f>
        <v>0</v>
      </c>
      <c r="AO246" s="2131">
        <f>IF(AO$221,_xll.ciqfunctions.udf.CIQ($G246, "IQ_VOLUME", AO$222),"--")</f>
        <v>0</v>
      </c>
      <c r="AP246" s="2131">
        <f>IF(AP$221,_xll.ciqfunctions.udf.CIQ($G246, "IQ_VOLUME", AP$222),"--")</f>
        <v>0</v>
      </c>
      <c r="AQ246" s="2131">
        <f>IF(AQ$221,_xll.ciqfunctions.udf.CIQ($G246, "IQ_VOLUME", AQ$222),"--")</f>
        <v>0</v>
      </c>
      <c r="AR246" s="2131">
        <f>IF(AR$221,_xll.ciqfunctions.udf.CIQ($G246, "IQ_VOLUME", AR$222),"--")</f>
        <v>0</v>
      </c>
      <c r="AS246" s="2131">
        <f>IF(AS$221,_xll.ciqfunctions.udf.CIQ($G246, "IQ_VOLUME", AS$222),"--")</f>
        <v>0</v>
      </c>
      <c r="AT246" s="2131">
        <f>IF(AT$221,_xll.ciqfunctions.udf.CIQ($G246, "IQ_VOLUME", AT$222),"--")</f>
        <v>0</v>
      </c>
      <c r="AU246" s="2131">
        <f>IF(AU$221,_xll.ciqfunctions.udf.CIQ($G246, "IQ_VOLUME", AU$222),"--")</f>
        <v>0</v>
      </c>
      <c r="AV246" s="2131">
        <f>IF(AV$221,_xll.ciqfunctions.udf.CIQ($G246, "IQ_VOLUME", AV$222),"--")</f>
        <v>0</v>
      </c>
      <c r="AW246" s="2131">
        <f>IF(AW$221,_xll.ciqfunctions.udf.CIQ($G246, "IQ_VOLUME", AW$222),"--")</f>
        <v>0</v>
      </c>
      <c r="AX246" s="2131">
        <f>IF(AX$221,_xll.ciqfunctions.udf.CIQ($G246, "IQ_VOLUME", AX$222),"--")</f>
        <v>0</v>
      </c>
      <c r="AY246" s="2131">
        <f>IF(AY$221,_xll.ciqfunctions.udf.CIQ($G246, "IQ_VOLUME", AY$222),"--")</f>
        <v>0</v>
      </c>
      <c r="AZ246" s="2131">
        <f>IF(AZ$221,_xll.ciqfunctions.udf.CIQ($G246, "IQ_VOLUME", AZ$222),"--")</f>
        <v>0</v>
      </c>
      <c r="BA246" s="2131">
        <f>IF(BA$221,_xll.ciqfunctions.udf.CIQ($G246, "IQ_VOLUME", BA$222),"--")</f>
        <v>0</v>
      </c>
      <c r="BB246" s="2131">
        <f>IF(BB$221,_xll.ciqfunctions.udf.CIQ($G246, "IQ_VOLUME", BB$222),"--")</f>
        <v>0</v>
      </c>
      <c r="BC246" s="2131">
        <f>IF(BC$221,_xll.ciqfunctions.udf.CIQ($G246, "IQ_VOLUME", BC$222),"--")</f>
        <v>0</v>
      </c>
      <c r="BD246" s="2131">
        <f>IF(BD$221,_xll.ciqfunctions.udf.CIQ($G246, "IQ_VOLUME", BD$222),"--")</f>
        <v>0</v>
      </c>
      <c r="BE246" s="2131">
        <f>IF(BE$221,_xll.ciqfunctions.udf.CIQ($G246, "IQ_VOLUME", BE$222),"--")</f>
        <v>0</v>
      </c>
      <c r="BF246" s="2131">
        <f>IF(BF$221,_xll.ciqfunctions.udf.CIQ($G246, "IQ_VOLUME", BF$222),"--")</f>
        <v>0</v>
      </c>
      <c r="BG246" s="2131">
        <f>IF(BG$221,_xll.ciqfunctions.udf.CIQ($G246, "IQ_VOLUME", BG$222),"--")</f>
        <v>0</v>
      </c>
      <c r="BH246" s="2131">
        <f>IF(BH$221,_xll.ciqfunctions.udf.CIQ($G246, "IQ_VOLUME", BH$222),"--")</f>
        <v>0</v>
      </c>
      <c r="BI246" s="2131">
        <f>IF(BI$221,_xll.ciqfunctions.udf.CIQ($G246, "IQ_VOLUME", BI$222),"--")</f>
        <v>0</v>
      </c>
      <c r="BJ246" s="2131">
        <f>IF(BJ$221,_xll.ciqfunctions.udf.CIQ($G246, "IQ_VOLUME", BJ$222),"--")</f>
        <v>0</v>
      </c>
      <c r="BK246" s="2131">
        <f>IF(BK$221,_xll.ciqfunctions.udf.CIQ($G246, "IQ_VOLUME", BK$222),"--")</f>
        <v>0</v>
      </c>
      <c r="BL246" s="2131">
        <f>IF(BL$221,_xll.ciqfunctions.udf.CIQ($G246, "IQ_VOLUME", BL$222),"--")</f>
        <v>0</v>
      </c>
      <c r="BM246" s="2131">
        <f>IF(BM$221,_xll.ciqfunctions.udf.CIQ($G246, "IQ_VOLUME", BM$222),"--")</f>
        <v>0</v>
      </c>
      <c r="BN246" s="2131">
        <f>IF(BN$221,_xll.ciqfunctions.udf.CIQ($G246, "IQ_VOLUME", BN$222),"--")</f>
        <v>0</v>
      </c>
      <c r="BO246" s="2131">
        <f>IF(BO$221,_xll.ciqfunctions.udf.CIQ($G246, "IQ_VOLUME", BO$222),"--")</f>
        <v>0</v>
      </c>
      <c r="BP246" s="2131">
        <f>IF(BP$221,_xll.ciqfunctions.udf.CIQ($G246, "IQ_VOLUME", BP$222),"--")</f>
        <v>0</v>
      </c>
      <c r="BQ246" s="2131">
        <f>IF(BQ$221,_xll.ciqfunctions.udf.CIQ($G246, "IQ_VOLUME", BQ$222),"--")</f>
        <v>0</v>
      </c>
      <c r="BR246" s="2131">
        <f>IF(BR$221,_xll.ciqfunctions.udf.CIQ($G246, "IQ_VOLUME", BR$222),"--")</f>
        <v>0</v>
      </c>
      <c r="BS246" s="2131">
        <f>IF(BS$221,_xll.ciqfunctions.udf.CIQ($G246, "IQ_VOLUME", BS$222),"--")</f>
        <v>0</v>
      </c>
      <c r="BT246" s="2131">
        <f>IF(BT$221,_xll.ciqfunctions.udf.CIQ($G246, "IQ_VOLUME", BT$222),"--")</f>
        <v>0</v>
      </c>
      <c r="BU246" s="2131">
        <f>IF(BU$221,_xll.ciqfunctions.udf.CIQ($G246, "IQ_VOLUME", BU$222),"--")</f>
        <v>0</v>
      </c>
      <c r="BV246" s="2131">
        <f>IF(BV$221,_xll.ciqfunctions.udf.CIQ($G246, "IQ_VOLUME", BV$222),"--")</f>
        <v>0</v>
      </c>
      <c r="BW246" s="2131">
        <f>IF(BW$221,_xll.ciqfunctions.udf.CIQ($G246, "IQ_VOLUME", BW$222),"--")</f>
        <v>0</v>
      </c>
      <c r="BX246" s="2131">
        <f>IF(BX$221,_xll.ciqfunctions.udf.CIQ($G246, "IQ_VOLUME", BX$222),"--")</f>
        <v>0</v>
      </c>
      <c r="BY246" s="2131">
        <f>IF(BY$221,_xll.ciqfunctions.udf.CIQ($G246, "IQ_VOLUME", BY$222),"--")</f>
        <v>0</v>
      </c>
      <c r="BZ246" s="2131">
        <f>IF(BZ$221,_xll.ciqfunctions.udf.CIQ($G246, "IQ_VOLUME", BZ$222),"--")</f>
        <v>0</v>
      </c>
      <c r="CA246" s="2131">
        <f>IF(CA$221,_xll.ciqfunctions.udf.CIQ($G246, "IQ_VOLUME", CA$222),"--")</f>
        <v>0</v>
      </c>
      <c r="CB246" s="2131">
        <f>IF(CB$221,_xll.ciqfunctions.udf.CIQ($G246, "IQ_VOLUME", CB$222),"--")</f>
        <v>0</v>
      </c>
      <c r="CC246" s="2131">
        <f>IF(CC$221,_xll.ciqfunctions.udf.CIQ($G246, "IQ_VOLUME", CC$222),"--")</f>
        <v>0</v>
      </c>
      <c r="CD246" s="2131">
        <f>IF(CD$221,_xll.ciqfunctions.udf.CIQ($G246, "IQ_VOLUME", CD$222),"--")</f>
        <v>0</v>
      </c>
      <c r="CE246" s="2131">
        <f>IF(CE$221,_xll.ciqfunctions.udf.CIQ($G246, "IQ_VOLUME", CE$222),"--")</f>
        <v>0</v>
      </c>
      <c r="CF246" s="2131">
        <f>IF(CF$221,_xll.ciqfunctions.udf.CIQ($G246, "IQ_VOLUME", CF$222),"--")</f>
        <v>0</v>
      </c>
      <c r="CG246" s="2131">
        <f>IF(CG$221,_xll.ciqfunctions.udf.CIQ($G246, "IQ_VOLUME", CG$222),"--")</f>
        <v>0</v>
      </c>
      <c r="CH246" s="2131">
        <f>IF(CH$221,_xll.ciqfunctions.udf.CIQ($G246, "IQ_VOLUME", CH$222),"--")</f>
        <v>0</v>
      </c>
      <c r="CI246" s="2131">
        <f>IF(CI$221,_xll.ciqfunctions.udf.CIQ($G246, "IQ_VOLUME", CI$222),"--")</f>
        <v>0</v>
      </c>
      <c r="CJ246" s="2131">
        <f>IF(CJ$221,_xll.ciqfunctions.udf.CIQ($G246, "IQ_VOLUME", CJ$222),"--")</f>
        <v>0</v>
      </c>
      <c r="CK246" s="2131">
        <f>IF(CK$221,_xll.ciqfunctions.udf.CIQ($G246, "IQ_VOLUME", CK$222),"--")</f>
        <v>0</v>
      </c>
      <c r="CL246" s="2131">
        <f>IF(CL$221,_xll.ciqfunctions.udf.CIQ($G246, "IQ_VOLUME", CL$222),"--")</f>
        <v>0</v>
      </c>
      <c r="CM246" s="2131">
        <f>IF(CM$221,_xll.ciqfunctions.udf.CIQ($G246, "IQ_VOLUME", CM$222),"--")</f>
        <v>0</v>
      </c>
      <c r="CN246" s="2131">
        <f>IF(CN$221,_xll.ciqfunctions.udf.CIQ($G246, "IQ_VOLUME", CN$222),"--")</f>
        <v>0</v>
      </c>
      <c r="CO246" s="2131">
        <f>IF(CO$221,_xll.ciqfunctions.udf.CIQ($G246, "IQ_VOLUME", CO$222),"--")</f>
        <v>0</v>
      </c>
      <c r="CP246" s="2131">
        <f>IF(CP$221,_xll.ciqfunctions.udf.CIQ($G246, "IQ_VOLUME", CP$222),"--")</f>
        <v>0</v>
      </c>
      <c r="CQ246" s="2131">
        <f>IF(CQ$221,_xll.ciqfunctions.udf.CIQ($G246, "IQ_VOLUME", CQ$222),"--")</f>
        <v>0</v>
      </c>
      <c r="CR246" s="2131">
        <f>IF(CR$221,_xll.ciqfunctions.udf.CIQ($G246, "IQ_VOLUME", CR$222),"--")</f>
        <v>0</v>
      </c>
      <c r="CS246" s="2131">
        <f>IF(CS$221,_xll.ciqfunctions.udf.CIQ($G246, "IQ_VOLUME", CS$222),"--")</f>
        <v>0</v>
      </c>
      <c r="CT246" s="2131">
        <f>IF(CT$221,_xll.ciqfunctions.udf.CIQ($G246, "IQ_VOLUME", CT$222),"--")</f>
        <v>0</v>
      </c>
      <c r="CU246" s="2131">
        <f>IF(CU$221,_xll.ciqfunctions.udf.CIQ($G246, "IQ_VOLUME", CU$222),"--")</f>
        <v>0</v>
      </c>
      <c r="CV246" s="2131">
        <f>IF(CV$221,_xll.ciqfunctions.udf.CIQ($G246, "IQ_VOLUME", CV$222),"--")</f>
        <v>0</v>
      </c>
      <c r="CW246" s="2131">
        <f>IF(CW$221,_xll.ciqfunctions.udf.CIQ($G246, "IQ_VOLUME", CW$222),"--")</f>
        <v>0</v>
      </c>
      <c r="CX246" s="2131">
        <f>IF(CX$221,_xll.ciqfunctions.udf.CIQ($G246, "IQ_VOLUME", CX$222),"--")</f>
        <v>0</v>
      </c>
      <c r="CY246" s="2131">
        <f>IF(CY$221,_xll.ciqfunctions.udf.CIQ($G246, "IQ_VOLUME", CY$222),"--")</f>
        <v>0</v>
      </c>
      <c r="CZ246" s="2131">
        <f>IF(CZ$221,_xll.ciqfunctions.udf.CIQ($G246, "IQ_VOLUME", CZ$222),"--")</f>
        <v>0</v>
      </c>
      <c r="DA246" s="2131">
        <f>IF(DA$221,_xll.ciqfunctions.udf.CIQ($G246, "IQ_VOLUME", DA$222),"--")</f>
        <v>0</v>
      </c>
      <c r="DB246" s="2131">
        <f>IF(DB$221,_xll.ciqfunctions.udf.CIQ($G246, "IQ_VOLUME", DB$222),"--")</f>
        <v>0</v>
      </c>
      <c r="DC246" s="2131">
        <f>IF(DC$221,_xll.ciqfunctions.udf.CIQ($G246, "IQ_VOLUME", DC$222),"--")</f>
        <v>0</v>
      </c>
      <c r="DD246" s="2131">
        <f>IF(DD$221,_xll.ciqfunctions.udf.CIQ($G246, "IQ_VOLUME", DD$222),"--")</f>
        <v>0</v>
      </c>
      <c r="DE246" s="2131">
        <f>IF(DE$221,_xll.ciqfunctions.udf.CIQ($G246, "IQ_VOLUME", DE$222),"--")</f>
        <v>0</v>
      </c>
      <c r="DF246" s="2131">
        <f>IF(DF$221,_xll.ciqfunctions.udf.CIQ($G246, "IQ_VOLUME", DF$222),"--")</f>
        <v>0</v>
      </c>
      <c r="DG246" s="2131">
        <f>IF(DG$221,_xll.ciqfunctions.udf.CIQ($G246, "IQ_VOLUME", DG$222),"--")</f>
        <v>0</v>
      </c>
      <c r="DH246" s="2131">
        <f>IF(DH$221,_xll.ciqfunctions.udf.CIQ($G246, "IQ_VOLUME", DH$222),"--")</f>
        <v>0</v>
      </c>
      <c r="DI246" s="2131">
        <f>IF(DI$221,_xll.ciqfunctions.udf.CIQ($G246, "IQ_VOLUME", DI$222),"--")</f>
        <v>0</v>
      </c>
      <c r="DJ246" s="2131">
        <f>IF(DJ$221,_xll.ciqfunctions.udf.CIQ($G246, "IQ_VOLUME", DJ$222),"--")</f>
        <v>0</v>
      </c>
      <c r="DK246" s="2131">
        <f>IF(DK$221,_xll.ciqfunctions.udf.CIQ($G246, "IQ_VOLUME", DK$222),"--")</f>
        <v>0</v>
      </c>
      <c r="DL246" s="2131">
        <f>IF(DL$221,_xll.ciqfunctions.udf.CIQ($G246, "IQ_VOLUME", DL$222),"--")</f>
        <v>0</v>
      </c>
      <c r="DM246" s="2131">
        <f>IF(DM$221,_xll.ciqfunctions.udf.CIQ($G246, "IQ_VOLUME", DM$222),"--")</f>
        <v>0</v>
      </c>
      <c r="DN246" s="2131">
        <f>IF(DN$221,_xll.ciqfunctions.udf.CIQ($G246, "IQ_VOLUME", DN$222),"--")</f>
        <v>0</v>
      </c>
      <c r="DO246" s="2131">
        <f>IF(DO$221,_xll.ciqfunctions.udf.CIQ($G246, "IQ_VOLUME", DO$222),"--")</f>
        <v>0</v>
      </c>
      <c r="DP246" s="2131">
        <f>IF(DP$221,_xll.ciqfunctions.udf.CIQ($G246, "IQ_VOLUME", DP$222),"--")</f>
        <v>0</v>
      </c>
      <c r="DQ246" s="2131">
        <f>IF(DQ$221,_xll.ciqfunctions.udf.CIQ($G246, "IQ_VOLUME", DQ$222),"--")</f>
        <v>0</v>
      </c>
      <c r="DR246" s="2131">
        <f>IF(DR$221,_xll.ciqfunctions.udf.CIQ($G246, "IQ_VOLUME", DR$222),"--")</f>
        <v>0</v>
      </c>
      <c r="DS246" s="2131">
        <f>IF(DS$221,_xll.ciqfunctions.udf.CIQ($G246, "IQ_VOLUME", DS$222),"--")</f>
        <v>0</v>
      </c>
      <c r="DT246" s="2131">
        <f>IF(DT$221,_xll.ciqfunctions.udf.CIQ($G246, "IQ_VOLUME", DT$222),"--")</f>
        <v>0</v>
      </c>
      <c r="DU246" s="2131">
        <f>IF(DU$221,_xll.ciqfunctions.udf.CIQ($G246, "IQ_VOLUME", DU$222),"--")</f>
        <v>0</v>
      </c>
      <c r="DV246" s="2131">
        <f>IF(DV$221,_xll.ciqfunctions.udf.CIQ($G246, "IQ_VOLUME", DV$222),"--")</f>
        <v>0</v>
      </c>
      <c r="DW246" s="2131">
        <f>IF(DW$221,_xll.ciqfunctions.udf.CIQ($G246, "IQ_VOLUME", DW$222),"--")</f>
        <v>0</v>
      </c>
      <c r="DX246" s="2131">
        <f>IF(DX$221,_xll.ciqfunctions.udf.CIQ($G246, "IQ_VOLUME", DX$222),"--")</f>
        <v>0</v>
      </c>
      <c r="DY246" s="2131">
        <f>IF(DY$221,_xll.ciqfunctions.udf.CIQ($G246, "IQ_VOLUME", DY$222),"--")</f>
        <v>0</v>
      </c>
      <c r="DZ246" s="2131">
        <f>IF(DZ$221,_xll.ciqfunctions.udf.CIQ($G246, "IQ_VOLUME", DZ$222),"--")</f>
        <v>0</v>
      </c>
      <c r="EA246" s="2131">
        <f>IF(EA$221,_xll.ciqfunctions.udf.CIQ($G246, "IQ_VOLUME", EA$222),"--")</f>
        <v>0</v>
      </c>
      <c r="EB246" s="2131">
        <f>IF(EB$221,_xll.ciqfunctions.udf.CIQ($G246, "IQ_VOLUME", EB$222),"--")</f>
        <v>0</v>
      </c>
      <c r="EC246" s="2131">
        <f>IF(EC$221,_xll.ciqfunctions.udf.CIQ($G246, "IQ_VOLUME", EC$222),"--")</f>
        <v>0</v>
      </c>
      <c r="ED246" s="2131">
        <f>IF(ED$221,_xll.ciqfunctions.udf.CIQ($G246, "IQ_VOLUME", ED$222),"--")</f>
        <v>0</v>
      </c>
      <c r="EE246" s="2131">
        <f>IF(EE$221,_xll.ciqfunctions.udf.CIQ($G246, "IQ_VOLUME", EE$222),"--")</f>
        <v>0</v>
      </c>
      <c r="EF246" s="2131">
        <f>IF(EF$221,_xll.ciqfunctions.udf.CIQ($G246, "IQ_VOLUME", EF$222),"--")</f>
        <v>0</v>
      </c>
      <c r="EG246" s="2131">
        <f>IF(EG$221,_xll.ciqfunctions.udf.CIQ($G246, "IQ_VOLUME", EG$222),"--")</f>
        <v>0</v>
      </c>
      <c r="EH246" s="2131">
        <f>IF(EH$221,_xll.ciqfunctions.udf.CIQ($G246, "IQ_VOLUME", EH$222),"--")</f>
        <v>0</v>
      </c>
      <c r="EI246" s="2131">
        <f>IF(EI$221,_xll.ciqfunctions.udf.CIQ($G246, "IQ_VOLUME", EI$222),"--")</f>
        <v>0</v>
      </c>
      <c r="EJ246" s="2131">
        <f>IF(EJ$221,_xll.ciqfunctions.udf.CIQ($G246, "IQ_VOLUME", EJ$222),"--")</f>
        <v>0</v>
      </c>
      <c r="EK246" s="2131">
        <f>IF(EK$221,_xll.ciqfunctions.udf.CIQ($G246, "IQ_VOLUME", EK$222),"--")</f>
        <v>0</v>
      </c>
      <c r="EL246" s="2131">
        <f>IF(EL$221,_xll.ciqfunctions.udf.CIQ($G246, "IQ_VOLUME", EL$222),"--")</f>
        <v>0</v>
      </c>
      <c r="EM246" s="2131">
        <f>IF(EM$221,_xll.ciqfunctions.udf.CIQ($G246, "IQ_VOLUME", EM$222),"--")</f>
        <v>0</v>
      </c>
      <c r="EN246" s="2131">
        <f>IF(EN$221,_xll.ciqfunctions.udf.CIQ($G246, "IQ_VOLUME", EN$222),"--")</f>
        <v>0</v>
      </c>
      <c r="EO246" s="2131">
        <f>IF(EO$221,_xll.ciqfunctions.udf.CIQ($G246, "IQ_VOLUME", EO$222),"--")</f>
        <v>0</v>
      </c>
      <c r="EP246" s="2131">
        <f>IF(EP$221,_xll.ciqfunctions.udf.CIQ($G246, "IQ_VOLUME", EP$222),"--")</f>
        <v>0</v>
      </c>
      <c r="EQ246" s="2131">
        <f>IF(EQ$221,_xll.ciqfunctions.udf.CIQ($G246, "IQ_VOLUME", EQ$222),"--")</f>
        <v>0</v>
      </c>
      <c r="ER246" s="2131">
        <f>IF(ER$221,_xll.ciqfunctions.udf.CIQ($G246, "IQ_VOLUME", ER$222),"--")</f>
        <v>0</v>
      </c>
      <c r="ES246" s="2131">
        <f>IF(ES$221,_xll.ciqfunctions.udf.CIQ($G246, "IQ_VOLUME", ES$222),"--")</f>
        <v>0</v>
      </c>
      <c r="ET246" s="2131">
        <f>IF(ET$221,_xll.ciqfunctions.udf.CIQ($G246, "IQ_VOLUME", ET$222),"--")</f>
        <v>0</v>
      </c>
      <c r="EU246" s="2131">
        <f>IF(EU$221,_xll.ciqfunctions.udf.CIQ($G246, "IQ_VOLUME", EU$222),"--")</f>
        <v>0</v>
      </c>
      <c r="EV246" s="2131">
        <f>IF(EV$221,_xll.ciqfunctions.udf.CIQ($G246, "IQ_VOLUME", EV$222),"--")</f>
        <v>0</v>
      </c>
      <c r="EW246" s="2131">
        <f>IF(EW$221,_xll.ciqfunctions.udf.CIQ($G246, "IQ_VOLUME", EW$222),"--")</f>
        <v>0</v>
      </c>
      <c r="EX246" s="2131">
        <f>IF(EX$221,_xll.ciqfunctions.udf.CIQ($G246, "IQ_VOLUME", EX$222),"--")</f>
        <v>0</v>
      </c>
      <c r="EY246" s="2131">
        <f>IF(EY$221,_xll.ciqfunctions.udf.CIQ($G246, "IQ_VOLUME", EY$222),"--")</f>
        <v>0</v>
      </c>
      <c r="EZ246" s="2131">
        <f>IF(EZ$221,_xll.ciqfunctions.udf.CIQ($G246, "IQ_VOLUME", EZ$222),"--")</f>
        <v>0</v>
      </c>
      <c r="FA246" s="2131">
        <f>IF(FA$221,_xll.ciqfunctions.udf.CIQ($G246, "IQ_VOLUME", FA$222),"--")</f>
        <v>0</v>
      </c>
      <c r="FB246" s="2131">
        <f>IF(FB$221,_xll.ciqfunctions.udf.CIQ($G246, "IQ_VOLUME", FB$222),"--")</f>
        <v>0</v>
      </c>
      <c r="FC246" s="2131">
        <f>IF(FC$221,_xll.ciqfunctions.udf.CIQ($G246, "IQ_VOLUME", FC$222),"--")</f>
        <v>0</v>
      </c>
      <c r="FD246" s="2131">
        <f>IF(FD$221,_xll.ciqfunctions.udf.CIQ($G246, "IQ_VOLUME", FD$222),"--")</f>
        <v>0</v>
      </c>
      <c r="FE246" s="2131">
        <f>IF(FE$221,_xll.ciqfunctions.udf.CIQ($G246, "IQ_VOLUME", FE$222),"--")</f>
        <v>0</v>
      </c>
      <c r="FF246" s="2131">
        <f>IF(FF$221,_xll.ciqfunctions.udf.CIQ($G246, "IQ_VOLUME", FF$222),"--")</f>
        <v>0</v>
      </c>
      <c r="FG246" s="2131">
        <f>IF(FG$221,_xll.ciqfunctions.udf.CIQ($G246, "IQ_VOLUME", FG$222),"--")</f>
        <v>0</v>
      </c>
      <c r="FH246" s="2131">
        <f>IF(FH$221,_xll.ciqfunctions.udf.CIQ($G246, "IQ_VOLUME", FH$222),"--")</f>
        <v>0</v>
      </c>
      <c r="FI246" s="2131">
        <f>IF(FI$221,_xll.ciqfunctions.udf.CIQ($G246, "IQ_VOLUME", FI$222),"--")</f>
        <v>0</v>
      </c>
      <c r="FJ246" s="2131">
        <f>IF(FJ$221,_xll.ciqfunctions.udf.CIQ($G246, "IQ_VOLUME", FJ$222),"--")</f>
        <v>0</v>
      </c>
      <c r="FK246" s="2131">
        <f>IF(FK$221,_xll.ciqfunctions.udf.CIQ($G246, "IQ_VOLUME", FK$222),"--")</f>
        <v>0</v>
      </c>
      <c r="FL246" s="2131">
        <f>IF(FL$221,_xll.ciqfunctions.udf.CIQ($G246, "IQ_VOLUME", FL$222),"--")</f>
        <v>0</v>
      </c>
      <c r="FM246" s="2131">
        <f>IF(FM$221,_xll.ciqfunctions.udf.CIQ($G246, "IQ_VOLUME", FM$222),"--")</f>
        <v>0</v>
      </c>
      <c r="FN246" s="2131">
        <f>IF(FN$221,_xll.ciqfunctions.udf.CIQ($G246, "IQ_VOLUME", FN$222),"--")</f>
        <v>0</v>
      </c>
      <c r="FO246" s="2131">
        <f>IF(FO$221,_xll.ciqfunctions.udf.CIQ($G246, "IQ_VOLUME", FO$222),"--")</f>
        <v>0</v>
      </c>
      <c r="FP246" s="2131">
        <f>IF(FP$221,_xll.ciqfunctions.udf.CIQ($G246, "IQ_VOLUME", FP$222),"--")</f>
        <v>0</v>
      </c>
      <c r="FQ246" s="2131">
        <f>IF(FQ$221,_xll.ciqfunctions.udf.CIQ($G246, "IQ_VOLUME", FQ$222),"--")</f>
        <v>0</v>
      </c>
      <c r="FR246" s="2131">
        <f>IF(FR$221,_xll.ciqfunctions.udf.CIQ($G246, "IQ_VOLUME", FR$222),"--")</f>
        <v>0</v>
      </c>
      <c r="FS246" s="2131">
        <f>IF(FS$221,_xll.ciqfunctions.udf.CIQ($G246, "IQ_VOLUME", FS$222),"--")</f>
        <v>0</v>
      </c>
      <c r="FT246" s="2131">
        <f>IF(FT$221,_xll.ciqfunctions.udf.CIQ($G246, "IQ_VOLUME", FT$222),"--")</f>
        <v>0</v>
      </c>
      <c r="FU246" s="2131">
        <f>IF(FU$221,_xll.ciqfunctions.udf.CIQ($G246, "IQ_VOLUME", FU$222),"--")</f>
        <v>0</v>
      </c>
      <c r="FV246" s="2131">
        <f>IF(FV$221,_xll.ciqfunctions.udf.CIQ($G246, "IQ_VOLUME", FV$222),"--")</f>
        <v>0</v>
      </c>
      <c r="FW246" s="2131">
        <f>IF(FW$221,_xll.ciqfunctions.udf.CIQ($G246, "IQ_VOLUME", FW$222),"--")</f>
        <v>0</v>
      </c>
      <c r="FX246" s="2131">
        <f>IF(FX$221,_xll.ciqfunctions.udf.CIQ($G246, "IQ_VOLUME", FX$222),"--")</f>
        <v>0</v>
      </c>
      <c r="FY246" s="2131">
        <f>IF(FY$221,_xll.ciqfunctions.udf.CIQ($G246, "IQ_VOLUME", FY$222),"--")</f>
        <v>0</v>
      </c>
      <c r="FZ246" s="2131">
        <f>IF(FZ$221,_xll.ciqfunctions.udf.CIQ($G246, "IQ_VOLUME", FZ$222),"--")</f>
        <v>0</v>
      </c>
      <c r="GA246" s="2131">
        <f>IF(GA$221,_xll.ciqfunctions.udf.CIQ($G246, "IQ_VOLUME", GA$222),"--")</f>
        <v>0</v>
      </c>
      <c r="GB246" s="2131">
        <f>IF(GB$221,_xll.ciqfunctions.udf.CIQ($G246, "IQ_VOLUME", GB$222),"--")</f>
        <v>0</v>
      </c>
      <c r="GC246" s="2131">
        <f>IF(GC$221,_xll.ciqfunctions.udf.CIQ($G246, "IQ_VOLUME", GC$222),"--")</f>
        <v>0</v>
      </c>
      <c r="GD246" s="2131">
        <f>IF(GD$221,_xll.ciqfunctions.udf.CIQ($G246, "IQ_VOLUME", GD$222),"--")</f>
        <v>0</v>
      </c>
      <c r="GE246" s="2131">
        <f>IF(GE$221,_xll.ciqfunctions.udf.CIQ($G246, "IQ_VOLUME", GE$222),"--")</f>
        <v>0</v>
      </c>
      <c r="GF246" s="2131">
        <f>IF(GF$221,_xll.ciqfunctions.udf.CIQ($G246, "IQ_VOLUME", GF$222),"--")</f>
        <v>0</v>
      </c>
      <c r="GG246" s="2131">
        <f>IF(GG$221,_xll.ciqfunctions.udf.CIQ($G246, "IQ_VOLUME", GG$222),"--")</f>
        <v>0</v>
      </c>
      <c r="GH246" s="2131">
        <f>IF(GH$221,_xll.ciqfunctions.udf.CIQ($G246, "IQ_VOLUME", GH$222),"--")</f>
        <v>0</v>
      </c>
      <c r="GI246" s="2131">
        <f>IF(GI$221,_xll.ciqfunctions.udf.CIQ($G246, "IQ_VOLUME", GI$222),"--")</f>
        <v>0</v>
      </c>
      <c r="GJ246" s="2131">
        <f>IF(GJ$221,_xll.ciqfunctions.udf.CIQ($G246, "IQ_VOLUME", GJ$222),"--")</f>
        <v>0</v>
      </c>
      <c r="GK246" s="2131">
        <f>IF(GK$221,_xll.ciqfunctions.udf.CIQ($G246, "IQ_VOLUME", GK$222),"--")</f>
        <v>0</v>
      </c>
      <c r="GL246" s="2131">
        <f>IF(GL$221,_xll.ciqfunctions.udf.CIQ($G246, "IQ_VOLUME", GL$222),"--")</f>
        <v>0</v>
      </c>
      <c r="GM246" s="2131">
        <f>IF(GM$221,_xll.ciqfunctions.udf.CIQ($G246, "IQ_VOLUME", GM$222),"--")</f>
        <v>0</v>
      </c>
      <c r="GN246" s="2131">
        <f>IF(GN$221,_xll.ciqfunctions.udf.CIQ($G246, "IQ_VOLUME", GN$222),"--")</f>
        <v>0</v>
      </c>
      <c r="GO246" s="2131">
        <f>IF(GO$221,_xll.ciqfunctions.udf.CIQ($G246, "IQ_VOLUME", GO$222),"--")</f>
        <v>0</v>
      </c>
      <c r="GP246" s="2131">
        <f>IF(GP$221,_xll.ciqfunctions.udf.CIQ($G246, "IQ_VOLUME", GP$222),"--")</f>
        <v>0</v>
      </c>
      <c r="GQ246" s="2131">
        <f>IF(GQ$221,_xll.ciqfunctions.udf.CIQ($G246, "IQ_VOLUME", GQ$222),"--")</f>
        <v>0</v>
      </c>
      <c r="GR246" s="2131">
        <f>IF(GR$221,_xll.ciqfunctions.udf.CIQ($G246, "IQ_VOLUME", GR$222),"--")</f>
        <v>0</v>
      </c>
      <c r="GS246" s="2131">
        <f>IF(GS$221,_xll.ciqfunctions.udf.CIQ($G246, "IQ_VOLUME", GS$222),"--")</f>
        <v>0</v>
      </c>
      <c r="GT246" s="2131">
        <f>IF(GT$221,_xll.ciqfunctions.udf.CIQ($G246, "IQ_VOLUME", GT$222),"--")</f>
        <v>0</v>
      </c>
      <c r="GU246" s="2131">
        <f>IF(GU$221,_xll.ciqfunctions.udf.CIQ($G246, "IQ_VOLUME", GU$222),"--")</f>
        <v>0</v>
      </c>
      <c r="GV246" s="2131">
        <f>IF(GV$221,_xll.ciqfunctions.udf.CIQ($G246, "IQ_VOLUME", GV$222),"--")</f>
        <v>0</v>
      </c>
      <c r="GW246" s="2131">
        <f>IF(GW$221,_xll.ciqfunctions.udf.CIQ($G246, "IQ_VOLUME", GW$222),"--")</f>
        <v>0</v>
      </c>
      <c r="GX246" s="2131">
        <f>IF(GX$221,_xll.ciqfunctions.udf.CIQ($G246, "IQ_VOLUME", GX$222),"--")</f>
        <v>0</v>
      </c>
      <c r="GY246" s="2131">
        <f>IF(GY$221,_xll.ciqfunctions.udf.CIQ($G246, "IQ_VOLUME", GY$222),"--")</f>
        <v>0</v>
      </c>
      <c r="GZ246" s="2131">
        <f>IF(GZ$221,_xll.ciqfunctions.udf.CIQ($G246, "IQ_VOLUME", GZ$222),"--")</f>
        <v>0</v>
      </c>
      <c r="HA246" s="2131">
        <f>IF(HA$221,_xll.ciqfunctions.udf.CIQ($G246, "IQ_VOLUME", HA$222),"--")</f>
        <v>0</v>
      </c>
      <c r="HB246" s="2131">
        <f>IF(HB$221,_xll.ciqfunctions.udf.CIQ($G246, "IQ_VOLUME", HB$222),"--")</f>
        <v>0</v>
      </c>
      <c r="HC246" s="2131">
        <f>IF(HC$221,_xll.ciqfunctions.udf.CIQ($G246, "IQ_VOLUME", HC$222),"--")</f>
        <v>0</v>
      </c>
      <c r="HD246" s="2131">
        <f>IF(HD$221,_xll.ciqfunctions.udf.CIQ($G246, "IQ_VOLUME", HD$222),"--")</f>
        <v>0</v>
      </c>
      <c r="HE246" s="2131">
        <f>IF(HE$221,_xll.ciqfunctions.udf.CIQ($G246, "IQ_VOLUME", HE$222),"--")</f>
        <v>0</v>
      </c>
      <c r="HF246" s="2131">
        <f>IF(HF$221,_xll.ciqfunctions.udf.CIQ($G246, "IQ_VOLUME", HF$222),"--")</f>
        <v>0</v>
      </c>
      <c r="HG246" s="2131">
        <f>IF(HG$221,_xll.ciqfunctions.udf.CIQ($G246, "IQ_VOLUME", HG$222),"--")</f>
        <v>0</v>
      </c>
      <c r="HH246" s="2131">
        <f>IF(HH$221,_xll.ciqfunctions.udf.CIQ($G246, "IQ_VOLUME", HH$222),"--")</f>
        <v>0</v>
      </c>
      <c r="HI246" s="2131">
        <f>IF(HI$221,_xll.ciqfunctions.udf.CIQ($G246, "IQ_VOLUME", HI$222),"--")</f>
        <v>0</v>
      </c>
      <c r="HJ246" s="2131">
        <f>IF(HJ$221,_xll.ciqfunctions.udf.CIQ($G246, "IQ_VOLUME", HJ$222),"--")</f>
        <v>0</v>
      </c>
      <c r="HK246" s="2131">
        <f>IF(HK$221,_xll.ciqfunctions.udf.CIQ($G246, "IQ_VOLUME", HK$222),"--")</f>
        <v>0</v>
      </c>
      <c r="HL246" s="2131">
        <f>IF(HL$221,_xll.ciqfunctions.udf.CIQ($G246, "IQ_VOLUME", HL$222),"--")</f>
        <v>0</v>
      </c>
      <c r="HM246" s="2131">
        <f>IF(HM$221,_xll.ciqfunctions.udf.CIQ($G246, "IQ_VOLUME", HM$222),"--")</f>
        <v>0</v>
      </c>
      <c r="HN246" s="2131">
        <f>IF(HN$221,_xll.ciqfunctions.udf.CIQ($G246, "IQ_VOLUME", HN$222),"--")</f>
        <v>0</v>
      </c>
      <c r="HO246" s="2131">
        <f>IF(HO$221,_xll.ciqfunctions.udf.CIQ($G246, "IQ_VOLUME", HO$222),"--")</f>
        <v>0</v>
      </c>
      <c r="HP246" s="2131">
        <f>IF(HP$221,_xll.ciqfunctions.udf.CIQ($G246, "IQ_VOLUME", HP$222),"--")</f>
        <v>0</v>
      </c>
      <c r="HQ246" s="2131">
        <f>IF(HQ$221,_xll.ciqfunctions.udf.CIQ($G246, "IQ_VOLUME", HQ$222),"--")</f>
        <v>0</v>
      </c>
      <c r="HR246" s="2131">
        <f>IF(HR$221,_xll.ciqfunctions.udf.CIQ($G246, "IQ_VOLUME", HR$222),"--")</f>
        <v>0</v>
      </c>
      <c r="HS246" s="2131">
        <f>IF(HS$221,_xll.ciqfunctions.udf.CIQ($G246, "IQ_VOLUME", HS$222),"--")</f>
        <v>0</v>
      </c>
      <c r="HT246" s="2131">
        <f>IF(HT$221,_xll.ciqfunctions.udf.CIQ($G246, "IQ_VOLUME", HT$222),"--")</f>
        <v>0</v>
      </c>
      <c r="HU246" s="2131">
        <f>IF(HU$221,_xll.ciqfunctions.udf.CIQ($G246, "IQ_VOLUME", HU$222),"--")</f>
        <v>0</v>
      </c>
      <c r="HV246" s="2131">
        <f>IF(HV$221,_xll.ciqfunctions.udf.CIQ($G246, "IQ_VOLUME", HV$222),"--")</f>
        <v>0</v>
      </c>
      <c r="HW246" s="2131">
        <f>IF(HW$221,_xll.ciqfunctions.udf.CIQ($G246, "IQ_VOLUME", HW$222),"--")</f>
        <v>0</v>
      </c>
      <c r="HX246" s="2131">
        <f>IF(HX$221,_xll.ciqfunctions.udf.CIQ($G246, "IQ_VOLUME", HX$222),"--")</f>
        <v>0</v>
      </c>
      <c r="HY246" s="2131">
        <f>IF(HY$221,_xll.ciqfunctions.udf.CIQ($G246, "IQ_VOLUME", HY$222),"--")</f>
        <v>0</v>
      </c>
      <c r="HZ246" s="2131">
        <f>IF(HZ$221,_xll.ciqfunctions.udf.CIQ($G246, "IQ_VOLUME", HZ$222),"--")</f>
        <v>0</v>
      </c>
      <c r="IA246" s="2131">
        <f>IF(IA$221,_xll.ciqfunctions.udf.CIQ($G246, "IQ_VOLUME", IA$222),"--")</f>
        <v>0</v>
      </c>
      <c r="IB246" s="2131">
        <f>IF(IB$221,_xll.ciqfunctions.udf.CIQ($G246, "IQ_VOLUME", IB$222),"--")</f>
        <v>0</v>
      </c>
      <c r="IC246" s="2131">
        <f>IF(IC$221,_xll.ciqfunctions.udf.CIQ($G246, "IQ_VOLUME", IC$222),"--")</f>
        <v>0</v>
      </c>
      <c r="ID246" s="2131">
        <f>IF(ID$221,_xll.ciqfunctions.udf.CIQ($G246, "IQ_VOLUME", ID$222),"--")</f>
        <v>0</v>
      </c>
      <c r="IE246" s="2131">
        <f>IF(IE$221,_xll.ciqfunctions.udf.CIQ($G246, "IQ_VOLUME", IE$222),"--")</f>
        <v>0</v>
      </c>
      <c r="IF246" s="2131">
        <f>IF(IF$221,_xll.ciqfunctions.udf.CIQ($G246, "IQ_VOLUME", IF$222),"--")</f>
        <v>0</v>
      </c>
      <c r="IG246" s="2131">
        <f>IF(IG$221,_xll.ciqfunctions.udf.CIQ($G246, "IQ_VOLUME", IG$222),"--")</f>
        <v>0</v>
      </c>
      <c r="IH246" s="2131">
        <f>IF(IH$221,_xll.ciqfunctions.udf.CIQ($G246, "IQ_VOLUME", IH$222),"--")</f>
        <v>0</v>
      </c>
      <c r="II246" s="2131">
        <f>IF(II$221,_xll.ciqfunctions.udf.CIQ($G246, "IQ_VOLUME", II$222),"--")</f>
        <v>0</v>
      </c>
      <c r="IJ246" s="2131">
        <f>IF(IJ$221,_xll.ciqfunctions.udf.CIQ($G246, "IQ_VOLUME", IJ$222),"--")</f>
        <v>0</v>
      </c>
      <c r="IK246" s="2131">
        <f>IF(IK$221,_xll.ciqfunctions.udf.CIQ($G246, "IQ_VOLUME", IK$222),"--")</f>
        <v>0</v>
      </c>
      <c r="IL246" s="2131">
        <f>IF(IL$221,_xll.ciqfunctions.udf.CIQ($G246, "IQ_VOLUME", IL$222),"--")</f>
        <v>0</v>
      </c>
      <c r="IM246" s="2131">
        <f>IF(IM$221,_xll.ciqfunctions.udf.CIQ($G246, "IQ_VOLUME", IM$222),"--")</f>
        <v>0</v>
      </c>
      <c r="IN246" s="2131">
        <f>IF(IN$221,_xll.ciqfunctions.udf.CIQ($G246, "IQ_VOLUME", IN$222),"--")</f>
        <v>0</v>
      </c>
      <c r="IO246" s="2131">
        <f>IF(IO$221,_xll.ciqfunctions.udf.CIQ($G246, "IQ_VOLUME", IO$222),"--")</f>
        <v>0</v>
      </c>
      <c r="IP246" s="2131">
        <f>IF(IP$221,_xll.ciqfunctions.udf.CIQ($G246, "IQ_VOLUME", IP$222),"--")</f>
        <v>0</v>
      </c>
      <c r="IQ246" s="2131">
        <f>IF(IQ$221,_xll.ciqfunctions.udf.CIQ($G246, "IQ_VOLUME", IQ$222),"--")</f>
        <v>0</v>
      </c>
      <c r="IR246" s="2131">
        <f>IF(IR$221,_xll.ciqfunctions.udf.CIQ($G246, "IQ_VOLUME", IR$222),"--")</f>
        <v>0</v>
      </c>
      <c r="IS246" s="2131">
        <f>IF(IS$221,_xll.ciqfunctions.udf.CIQ($G246, "IQ_VOLUME", IS$222),"--")</f>
        <v>0</v>
      </c>
      <c r="IT246" s="2131">
        <f>IF(IT$221,_xll.ciqfunctions.udf.CIQ($G246, "IQ_VOLUME", IT$222),"--")</f>
        <v>0</v>
      </c>
      <c r="IU246" s="2131">
        <f>IF(IU$221,_xll.ciqfunctions.udf.CIQ($G246, "IQ_VOLUME", IU$222),"--")</f>
        <v>0</v>
      </c>
      <c r="IV246" s="2131">
        <f>IF(IV$221,_xll.ciqfunctions.udf.CIQ($G246, "IQ_VOLUME", IV$222),"--")</f>
        <v>0</v>
      </c>
      <c r="IW246" s="2131">
        <f>IF(IW$221,_xll.ciqfunctions.udf.CIQ($G246, "IQ_VOLUME", IW$222),"--")</f>
        <v>0</v>
      </c>
      <c r="IX246" s="2131">
        <f>IF(IX$221,_xll.ciqfunctions.udf.CIQ($G246, "IQ_VOLUME", IX$222),"--")</f>
        <v>0</v>
      </c>
      <c r="IY246" s="2131">
        <f>IF(IY$221,_xll.ciqfunctions.udf.CIQ($G246, "IQ_VOLUME", IY$222),"--")</f>
        <v>0</v>
      </c>
      <c r="IZ246" s="2131">
        <f>IF(IZ$221,_xll.ciqfunctions.udf.CIQ($G246, "IQ_VOLUME", IZ$222),"--")</f>
        <v>0</v>
      </c>
      <c r="JA246" s="2131">
        <f>IF(JA$221,_xll.ciqfunctions.udf.CIQ($G246, "IQ_VOLUME", JA$222),"--")</f>
        <v>0</v>
      </c>
      <c r="JB246" s="2131">
        <f>IF(JB$221,_xll.ciqfunctions.udf.CIQ($G246, "IQ_VOLUME", JB$222),"--")</f>
        <v>0</v>
      </c>
      <c r="JC246" s="2131">
        <f>IF(JC$221,_xll.ciqfunctions.udf.CIQ($G246, "IQ_VOLUME", JC$222),"--")</f>
        <v>0</v>
      </c>
      <c r="JD246" s="2131">
        <f>IF(JD$221,_xll.ciqfunctions.udf.CIQ($G246, "IQ_VOLUME", JD$222),"--")</f>
        <v>0</v>
      </c>
      <c r="JE246" s="2131">
        <f>IF(JE$221,_xll.ciqfunctions.udf.CIQ($G246, "IQ_VOLUME", JE$222),"--")</f>
        <v>0</v>
      </c>
      <c r="JF246" s="2131">
        <f>IF(JF$221,_xll.ciqfunctions.udf.CIQ($G246, "IQ_VOLUME", JF$222),"--")</f>
        <v>0</v>
      </c>
      <c r="JG246" s="2131">
        <f>IF(JG$221,_xll.ciqfunctions.udf.CIQ($G246, "IQ_VOLUME", JG$222),"--")</f>
        <v>0</v>
      </c>
      <c r="JH246" s="2131">
        <f>IF(JH$221,_xll.ciqfunctions.udf.CIQ($G246, "IQ_VOLUME", JH$222),"--")</f>
        <v>0</v>
      </c>
      <c r="JI246" s="2131">
        <f>IF(JI$221,_xll.ciqfunctions.udf.CIQ($G246, "IQ_VOLUME", JI$222),"--")</f>
        <v>0</v>
      </c>
      <c r="JJ246" s="2131">
        <f>IF(JJ$221,_xll.ciqfunctions.udf.CIQ($G246, "IQ_VOLUME", JJ$222),"--")</f>
        <v>0</v>
      </c>
      <c r="JK246" s="2131">
        <f>IF(JK$221,_xll.ciqfunctions.udf.CIQ($G246, "IQ_VOLUME", JK$222),"--")</f>
        <v>0</v>
      </c>
      <c r="JL246" s="2131">
        <f>IF(JL$221,_xll.ciqfunctions.udf.CIQ($G246, "IQ_VOLUME", JL$222),"--")</f>
        <v>0</v>
      </c>
      <c r="JM246" s="2131">
        <f>IF(JM$221,_xll.ciqfunctions.udf.CIQ($G246, "IQ_VOLUME", JM$222),"--")</f>
        <v>0</v>
      </c>
      <c r="JN246" s="2131">
        <f>IF(JN$221,_xll.ciqfunctions.udf.CIQ($G246, "IQ_VOLUME", JN$222),"--")</f>
        <v>0</v>
      </c>
      <c r="JO246" s="2131">
        <f>IF(JO$221,_xll.ciqfunctions.udf.CIQ($G246, "IQ_VOLUME", JO$222),"--")</f>
        <v>0</v>
      </c>
      <c r="JP246" s="2131">
        <f>IF(JP$221,_xll.ciqfunctions.udf.CIQ($G246, "IQ_VOLUME", JP$222),"--")</f>
        <v>0</v>
      </c>
      <c r="JQ246" s="2131">
        <f>IF(JQ$221,_xll.ciqfunctions.udf.CIQ($G246, "IQ_VOLUME", JQ$222),"--")</f>
        <v>0</v>
      </c>
      <c r="JR246" s="2131">
        <f>IF(JR$221,_xll.ciqfunctions.udf.CIQ($G246, "IQ_VOLUME", JR$222),"--")</f>
        <v>0</v>
      </c>
      <c r="JS246" s="2131">
        <f>IF(JS$221,_xll.ciqfunctions.udf.CIQ($G246, "IQ_VOLUME", JS$222),"--")</f>
        <v>0</v>
      </c>
      <c r="JT246" s="2131">
        <f>IF(JT$221,_xll.ciqfunctions.udf.CIQ($G246, "IQ_VOLUME", JT$222),"--")</f>
        <v>0</v>
      </c>
      <c r="JU246" s="2131">
        <f>IF(JU$221,_xll.ciqfunctions.udf.CIQ($G246, "IQ_VOLUME", JU$222),"--")</f>
        <v>0</v>
      </c>
      <c r="JV246" s="2131">
        <f>IF(JV$221,_xll.ciqfunctions.udf.CIQ($G246, "IQ_VOLUME", JV$222),"--")</f>
        <v>0</v>
      </c>
      <c r="JW246" s="2131" t="str">
        <f>IF(JW$221,_xll.ciqfunctions.udf.CIQ($G246, "IQ_VOLUME", JW$222),"--")</f>
        <v>--</v>
      </c>
      <c r="JX246" s="2131" t="str">
        <f>IF(JX$221,_xll.ciqfunctions.udf.CIQ($G246, "IQ_VOLUME", JX$222),"--")</f>
        <v>--</v>
      </c>
      <c r="JY246" s="2131" t="str">
        <f>IF(JY$221,_xll.ciqfunctions.udf.CIQ($G246, "IQ_VOLUME", JY$222),"--")</f>
        <v>--</v>
      </c>
      <c r="JZ246" s="2131" t="str">
        <f>IF(JZ$221,_xll.ciqfunctions.udf.CIQ($G246, "IQ_VOLUME", JZ$222),"--")</f>
        <v>--</v>
      </c>
      <c r="KA246" s="2131" t="str">
        <f>IF(KA$221,_xll.ciqfunctions.udf.CIQ($G246, "IQ_VOLUME", KA$222),"--")</f>
        <v>--</v>
      </c>
      <c r="KB246" s="2131" t="str">
        <f>IF(KB$221,_xll.ciqfunctions.udf.CIQ($G246, "IQ_VOLUME", KB$222),"--")</f>
        <v>--</v>
      </c>
    </row>
    <row r="247" spans="1:288" s="89" customFormat="1" ht="13.9">
      <c r="A247" s="269" t="str">
        <f t="shared" si="47"/>
        <v>n</v>
      </c>
      <c r="B247" s="2060"/>
      <c r="D247" s="801"/>
      <c r="E247" s="1505">
        <v>24</v>
      </c>
      <c r="F247" s="21" t="str">
        <f>F$152</f>
        <v>--</v>
      </c>
      <c r="G247" s="2112">
        <f>G$152</f>
        <v>0</v>
      </c>
      <c r="H247" s="2112" t="str">
        <f>H$152</f>
        <v>--</v>
      </c>
      <c r="I247" s="22" t="s">
        <v>781</v>
      </c>
      <c r="J247" s="53"/>
      <c r="K247" s="2301" t="str">
        <f>IF(OR(K215=0,$G247=0),"--",IFERROR(_xll.ciqfunctions.udf.CIQ($G247,$I247,K123,Valuation_Date_GC,ReportType,DataMode,$H247,FXMode)*Scale,"--"))</f>
        <v>--</v>
      </c>
      <c r="L247" s="2301" t="str">
        <f>IF(OR(L215=0,$G247=0),"--",IFERROR(_xll.ciqfunctions.udf.CIQ($G247,$I247,L123,Valuation_Date_GC,ReportType,DataMode,$H247,FXMode)*Scale,"--"))</f>
        <v>--</v>
      </c>
      <c r="M247" s="2301" t="str">
        <f>IF(OR(M215=0,$G247=0),"--",IFERROR(_xll.ciqfunctions.udf.CIQ($G247,$I247,M123,Valuation_Date_GC,ReportType,DataMode,$H247,FXMode)*Scale,"--"))</f>
        <v>--</v>
      </c>
      <c r="N247" s="2301" t="str">
        <f>IF(OR(N215=0,$G247=0),"--",IFERROR(_xll.ciqfunctions.udf.CIQ($G247,$I247,N123,Valuation_Date_GC,ReportType,DataMode,$H247,FXMode)*Scale,"--"))</f>
        <v>--</v>
      </c>
      <c r="O247" s="1471" t="str">
        <f>IF(OR(O215=0,$G247=0),"--",IFERROR(_xll.ciqfunctions.udf.CIQ($G247,$I247,O123,Valuation_Date_GC,ReportType,DataMode,$H247,FXMode)*Scale,"--"))</f>
        <v>--</v>
      </c>
      <c r="P247" s="2301" t="str">
        <f>IF(OR(P215=0,$G247=0),"--",IFERROR(_xll.ciqfunctions.udf.CIQ($G247,$I247,P123,Valuation_Date_GC,ReportType,DataMode,$H247,FXMode)*Scale,"--"))</f>
        <v>--</v>
      </c>
      <c r="R247" s="255"/>
      <c r="T247" s="1779" t="s">
        <v>782</v>
      </c>
      <c r="U247" s="2131">
        <f>IF(U$221,_xll.ciqfunctions.udf.CIQ($G247, "IQ_VOLUME", U$222),"--")</f>
        <v>0</v>
      </c>
      <c r="V247" s="2131">
        <f>IF(V$221,_xll.ciqfunctions.udf.CIQ($G247, "IQ_VOLUME", V$222),"--")</f>
        <v>0</v>
      </c>
      <c r="W247" s="2131">
        <f>IF(W$221,_xll.ciqfunctions.udf.CIQ($G247, "IQ_VOLUME", W$222),"--")</f>
        <v>0</v>
      </c>
      <c r="X247" s="2131">
        <f>IF(X$221,_xll.ciqfunctions.udf.CIQ($G247, "IQ_VOLUME", X$222),"--")</f>
        <v>0</v>
      </c>
      <c r="Y247" s="2131">
        <f>IF(Y$221,_xll.ciqfunctions.udf.CIQ($G247, "IQ_VOLUME", Y$222),"--")</f>
        <v>0</v>
      </c>
      <c r="Z247" s="2131">
        <f>IF(Z$221,_xll.ciqfunctions.udf.CIQ($G247, "IQ_VOLUME", Z$222),"--")</f>
        <v>0</v>
      </c>
      <c r="AA247" s="2131">
        <f>IF(AA$221,_xll.ciqfunctions.udf.CIQ($G247, "IQ_VOLUME", AA$222),"--")</f>
        <v>0</v>
      </c>
      <c r="AB247" s="2131">
        <f>IF(AB$221,_xll.ciqfunctions.udf.CIQ($G247, "IQ_VOLUME", AB$222),"--")</f>
        <v>0</v>
      </c>
      <c r="AC247" s="2131">
        <f>IF(AC$221,_xll.ciqfunctions.udf.CIQ($G247, "IQ_VOLUME", AC$222),"--")</f>
        <v>0</v>
      </c>
      <c r="AD247" s="2131">
        <f>IF(AD$221,_xll.ciqfunctions.udf.CIQ($G247, "IQ_VOLUME", AD$222),"--")</f>
        <v>0</v>
      </c>
      <c r="AE247" s="2131">
        <f>IF(AE$221,_xll.ciqfunctions.udf.CIQ($G247, "IQ_VOLUME", AE$222),"--")</f>
        <v>0</v>
      </c>
      <c r="AF247" s="2131">
        <f>IF(AF$221,_xll.ciqfunctions.udf.CIQ($G247, "IQ_VOLUME", AF$222),"--")</f>
        <v>0</v>
      </c>
      <c r="AG247" s="2131">
        <f>IF(AG$221,_xll.ciqfunctions.udf.CIQ($G247, "IQ_VOLUME", AG$222),"--")</f>
        <v>0</v>
      </c>
      <c r="AH247" s="2131">
        <f>IF(AH$221,_xll.ciqfunctions.udf.CIQ($G247, "IQ_VOLUME", AH$222),"--")</f>
        <v>0</v>
      </c>
      <c r="AI247" s="2131">
        <f>IF(AI$221,_xll.ciqfunctions.udf.CIQ($G247, "IQ_VOLUME", AI$222),"--")</f>
        <v>0</v>
      </c>
      <c r="AJ247" s="2131">
        <f>IF(AJ$221,_xll.ciqfunctions.udf.CIQ($G247, "IQ_VOLUME", AJ$222),"--")</f>
        <v>0</v>
      </c>
      <c r="AK247" s="2131">
        <f>IF(AK$221,_xll.ciqfunctions.udf.CIQ($G247, "IQ_VOLUME", AK$222),"--")</f>
        <v>0</v>
      </c>
      <c r="AL247" s="2131">
        <f>IF(AL$221,_xll.ciqfunctions.udf.CIQ($G247, "IQ_VOLUME", AL$222),"--")</f>
        <v>0</v>
      </c>
      <c r="AM247" s="2131">
        <f>IF(AM$221,_xll.ciqfunctions.udf.CIQ($G247, "IQ_VOLUME", AM$222),"--")</f>
        <v>0</v>
      </c>
      <c r="AN247" s="2131">
        <f>IF(AN$221,_xll.ciqfunctions.udf.CIQ($G247, "IQ_VOLUME", AN$222),"--")</f>
        <v>0</v>
      </c>
      <c r="AO247" s="2131">
        <f>IF(AO$221,_xll.ciqfunctions.udf.CIQ($G247, "IQ_VOLUME", AO$222),"--")</f>
        <v>0</v>
      </c>
      <c r="AP247" s="2131">
        <f>IF(AP$221,_xll.ciqfunctions.udf.CIQ($G247, "IQ_VOLUME", AP$222),"--")</f>
        <v>0</v>
      </c>
      <c r="AQ247" s="2131">
        <f>IF(AQ$221,_xll.ciqfunctions.udf.CIQ($G247, "IQ_VOLUME", AQ$222),"--")</f>
        <v>0</v>
      </c>
      <c r="AR247" s="2131">
        <f>IF(AR$221,_xll.ciqfunctions.udf.CIQ($G247, "IQ_VOLUME", AR$222),"--")</f>
        <v>0</v>
      </c>
      <c r="AS247" s="2131">
        <f>IF(AS$221,_xll.ciqfunctions.udf.CIQ($G247, "IQ_VOLUME", AS$222),"--")</f>
        <v>0</v>
      </c>
      <c r="AT247" s="2131">
        <f>IF(AT$221,_xll.ciqfunctions.udf.CIQ($G247, "IQ_VOLUME", AT$222),"--")</f>
        <v>0</v>
      </c>
      <c r="AU247" s="2131">
        <f>IF(AU$221,_xll.ciqfunctions.udf.CIQ($G247, "IQ_VOLUME", AU$222),"--")</f>
        <v>0</v>
      </c>
      <c r="AV247" s="2131">
        <f>IF(AV$221,_xll.ciqfunctions.udf.CIQ($G247, "IQ_VOLUME", AV$222),"--")</f>
        <v>0</v>
      </c>
      <c r="AW247" s="2131">
        <f>IF(AW$221,_xll.ciqfunctions.udf.CIQ($G247, "IQ_VOLUME", AW$222),"--")</f>
        <v>0</v>
      </c>
      <c r="AX247" s="2131">
        <f>IF(AX$221,_xll.ciqfunctions.udf.CIQ($G247, "IQ_VOLUME", AX$222),"--")</f>
        <v>0</v>
      </c>
      <c r="AY247" s="2131">
        <f>IF(AY$221,_xll.ciqfunctions.udf.CIQ($G247, "IQ_VOLUME", AY$222),"--")</f>
        <v>0</v>
      </c>
      <c r="AZ247" s="2131">
        <f>IF(AZ$221,_xll.ciqfunctions.udf.CIQ($G247, "IQ_VOLUME", AZ$222),"--")</f>
        <v>0</v>
      </c>
      <c r="BA247" s="2131">
        <f>IF(BA$221,_xll.ciqfunctions.udf.CIQ($G247, "IQ_VOLUME", BA$222),"--")</f>
        <v>0</v>
      </c>
      <c r="BB247" s="2131">
        <f>IF(BB$221,_xll.ciqfunctions.udf.CIQ($G247, "IQ_VOLUME", BB$222),"--")</f>
        <v>0</v>
      </c>
      <c r="BC247" s="2131">
        <f>IF(BC$221,_xll.ciqfunctions.udf.CIQ($G247, "IQ_VOLUME", BC$222),"--")</f>
        <v>0</v>
      </c>
      <c r="BD247" s="2131">
        <f>IF(BD$221,_xll.ciqfunctions.udf.CIQ($G247, "IQ_VOLUME", BD$222),"--")</f>
        <v>0</v>
      </c>
      <c r="BE247" s="2131">
        <f>IF(BE$221,_xll.ciqfunctions.udf.CIQ($G247, "IQ_VOLUME", BE$222),"--")</f>
        <v>0</v>
      </c>
      <c r="BF247" s="2131">
        <f>IF(BF$221,_xll.ciqfunctions.udf.CIQ($G247, "IQ_VOLUME", BF$222),"--")</f>
        <v>0</v>
      </c>
      <c r="BG247" s="2131">
        <f>IF(BG$221,_xll.ciqfunctions.udf.CIQ($G247, "IQ_VOLUME", BG$222),"--")</f>
        <v>0</v>
      </c>
      <c r="BH247" s="2131">
        <f>IF(BH$221,_xll.ciqfunctions.udf.CIQ($G247, "IQ_VOLUME", BH$222),"--")</f>
        <v>0</v>
      </c>
      <c r="BI247" s="2131">
        <f>IF(BI$221,_xll.ciqfunctions.udf.CIQ($G247, "IQ_VOLUME", BI$222),"--")</f>
        <v>0</v>
      </c>
      <c r="BJ247" s="2131">
        <f>IF(BJ$221,_xll.ciqfunctions.udf.CIQ($G247, "IQ_VOLUME", BJ$222),"--")</f>
        <v>0</v>
      </c>
      <c r="BK247" s="2131">
        <f>IF(BK$221,_xll.ciqfunctions.udf.CIQ($G247, "IQ_VOLUME", BK$222),"--")</f>
        <v>0</v>
      </c>
      <c r="BL247" s="2131">
        <f>IF(BL$221,_xll.ciqfunctions.udf.CIQ($G247, "IQ_VOLUME", BL$222),"--")</f>
        <v>0</v>
      </c>
      <c r="BM247" s="2131">
        <f>IF(BM$221,_xll.ciqfunctions.udf.CIQ($G247, "IQ_VOLUME", BM$222),"--")</f>
        <v>0</v>
      </c>
      <c r="BN247" s="2131">
        <f>IF(BN$221,_xll.ciqfunctions.udf.CIQ($G247, "IQ_VOLUME", BN$222),"--")</f>
        <v>0</v>
      </c>
      <c r="BO247" s="2131">
        <f>IF(BO$221,_xll.ciqfunctions.udf.CIQ($G247, "IQ_VOLUME", BO$222),"--")</f>
        <v>0</v>
      </c>
      <c r="BP247" s="2131">
        <f>IF(BP$221,_xll.ciqfunctions.udf.CIQ($G247, "IQ_VOLUME", BP$222),"--")</f>
        <v>0</v>
      </c>
      <c r="BQ247" s="2131">
        <f>IF(BQ$221,_xll.ciqfunctions.udf.CIQ($G247, "IQ_VOLUME", BQ$222),"--")</f>
        <v>0</v>
      </c>
      <c r="BR247" s="2131">
        <f>IF(BR$221,_xll.ciqfunctions.udf.CIQ($G247, "IQ_VOLUME", BR$222),"--")</f>
        <v>0</v>
      </c>
      <c r="BS247" s="2131">
        <f>IF(BS$221,_xll.ciqfunctions.udf.CIQ($G247, "IQ_VOLUME", BS$222),"--")</f>
        <v>0</v>
      </c>
      <c r="BT247" s="2131">
        <f>IF(BT$221,_xll.ciqfunctions.udf.CIQ($G247, "IQ_VOLUME", BT$222),"--")</f>
        <v>0</v>
      </c>
      <c r="BU247" s="2131">
        <f>IF(BU$221,_xll.ciqfunctions.udf.CIQ($G247, "IQ_VOLUME", BU$222),"--")</f>
        <v>0</v>
      </c>
      <c r="BV247" s="2131">
        <f>IF(BV$221,_xll.ciqfunctions.udf.CIQ($G247, "IQ_VOLUME", BV$222),"--")</f>
        <v>0</v>
      </c>
      <c r="BW247" s="2131">
        <f>IF(BW$221,_xll.ciqfunctions.udf.CIQ($G247, "IQ_VOLUME", BW$222),"--")</f>
        <v>0</v>
      </c>
      <c r="BX247" s="2131">
        <f>IF(BX$221,_xll.ciqfunctions.udf.CIQ($G247, "IQ_VOLUME", BX$222),"--")</f>
        <v>0</v>
      </c>
      <c r="BY247" s="2131">
        <f>IF(BY$221,_xll.ciqfunctions.udf.CIQ($G247, "IQ_VOLUME", BY$222),"--")</f>
        <v>0</v>
      </c>
      <c r="BZ247" s="2131">
        <f>IF(BZ$221,_xll.ciqfunctions.udf.CIQ($G247, "IQ_VOLUME", BZ$222),"--")</f>
        <v>0</v>
      </c>
      <c r="CA247" s="2131">
        <f>IF(CA$221,_xll.ciqfunctions.udf.CIQ($G247, "IQ_VOLUME", CA$222),"--")</f>
        <v>0</v>
      </c>
      <c r="CB247" s="2131">
        <f>IF(CB$221,_xll.ciqfunctions.udf.CIQ($G247, "IQ_VOLUME", CB$222),"--")</f>
        <v>0</v>
      </c>
      <c r="CC247" s="2131">
        <f>IF(CC$221,_xll.ciqfunctions.udf.CIQ($G247, "IQ_VOLUME", CC$222),"--")</f>
        <v>0</v>
      </c>
      <c r="CD247" s="2131">
        <f>IF(CD$221,_xll.ciqfunctions.udf.CIQ($G247, "IQ_VOLUME", CD$222),"--")</f>
        <v>0</v>
      </c>
      <c r="CE247" s="2131">
        <f>IF(CE$221,_xll.ciqfunctions.udf.CIQ($G247, "IQ_VOLUME", CE$222),"--")</f>
        <v>0</v>
      </c>
      <c r="CF247" s="2131">
        <f>IF(CF$221,_xll.ciqfunctions.udf.CIQ($G247, "IQ_VOLUME", CF$222),"--")</f>
        <v>0</v>
      </c>
      <c r="CG247" s="2131">
        <f>IF(CG$221,_xll.ciqfunctions.udf.CIQ($G247, "IQ_VOLUME", CG$222),"--")</f>
        <v>0</v>
      </c>
      <c r="CH247" s="2131">
        <f>IF(CH$221,_xll.ciqfunctions.udf.CIQ($G247, "IQ_VOLUME", CH$222),"--")</f>
        <v>0</v>
      </c>
      <c r="CI247" s="2131">
        <f>IF(CI$221,_xll.ciqfunctions.udf.CIQ($G247, "IQ_VOLUME", CI$222),"--")</f>
        <v>0</v>
      </c>
      <c r="CJ247" s="2131">
        <f>IF(CJ$221,_xll.ciqfunctions.udf.CIQ($G247, "IQ_VOLUME", CJ$222),"--")</f>
        <v>0</v>
      </c>
      <c r="CK247" s="2131">
        <f>IF(CK$221,_xll.ciqfunctions.udf.CIQ($G247, "IQ_VOLUME", CK$222),"--")</f>
        <v>0</v>
      </c>
      <c r="CL247" s="2131">
        <f>IF(CL$221,_xll.ciqfunctions.udf.CIQ($G247, "IQ_VOLUME", CL$222),"--")</f>
        <v>0</v>
      </c>
      <c r="CM247" s="2131">
        <f>IF(CM$221,_xll.ciqfunctions.udf.CIQ($G247, "IQ_VOLUME", CM$222),"--")</f>
        <v>0</v>
      </c>
      <c r="CN247" s="2131">
        <f>IF(CN$221,_xll.ciqfunctions.udf.CIQ($G247, "IQ_VOLUME", CN$222),"--")</f>
        <v>0</v>
      </c>
      <c r="CO247" s="2131">
        <f>IF(CO$221,_xll.ciqfunctions.udf.CIQ($G247, "IQ_VOLUME", CO$222),"--")</f>
        <v>0</v>
      </c>
      <c r="CP247" s="2131">
        <f>IF(CP$221,_xll.ciqfunctions.udf.CIQ($G247, "IQ_VOLUME", CP$222),"--")</f>
        <v>0</v>
      </c>
      <c r="CQ247" s="2131">
        <f>IF(CQ$221,_xll.ciqfunctions.udf.CIQ($G247, "IQ_VOLUME", CQ$222),"--")</f>
        <v>0</v>
      </c>
      <c r="CR247" s="2131">
        <f>IF(CR$221,_xll.ciqfunctions.udf.CIQ($G247, "IQ_VOLUME", CR$222),"--")</f>
        <v>0</v>
      </c>
      <c r="CS247" s="2131">
        <f>IF(CS$221,_xll.ciqfunctions.udf.CIQ($G247, "IQ_VOLUME", CS$222),"--")</f>
        <v>0</v>
      </c>
      <c r="CT247" s="2131">
        <f>IF(CT$221,_xll.ciqfunctions.udf.CIQ($G247, "IQ_VOLUME", CT$222),"--")</f>
        <v>0</v>
      </c>
      <c r="CU247" s="2131">
        <f>IF(CU$221,_xll.ciqfunctions.udf.CIQ($G247, "IQ_VOLUME", CU$222),"--")</f>
        <v>0</v>
      </c>
      <c r="CV247" s="2131">
        <f>IF(CV$221,_xll.ciqfunctions.udf.CIQ($G247, "IQ_VOLUME", CV$222),"--")</f>
        <v>0</v>
      </c>
      <c r="CW247" s="2131">
        <f>IF(CW$221,_xll.ciqfunctions.udf.CIQ($G247, "IQ_VOLUME", CW$222),"--")</f>
        <v>0</v>
      </c>
      <c r="CX247" s="2131">
        <f>IF(CX$221,_xll.ciqfunctions.udf.CIQ($G247, "IQ_VOLUME", CX$222),"--")</f>
        <v>0</v>
      </c>
      <c r="CY247" s="2131">
        <f>IF(CY$221,_xll.ciqfunctions.udf.CIQ($G247, "IQ_VOLUME", CY$222),"--")</f>
        <v>0</v>
      </c>
      <c r="CZ247" s="2131">
        <f>IF(CZ$221,_xll.ciqfunctions.udf.CIQ($G247, "IQ_VOLUME", CZ$222),"--")</f>
        <v>0</v>
      </c>
      <c r="DA247" s="2131">
        <f>IF(DA$221,_xll.ciqfunctions.udf.CIQ($G247, "IQ_VOLUME", DA$222),"--")</f>
        <v>0</v>
      </c>
      <c r="DB247" s="2131">
        <f>IF(DB$221,_xll.ciqfunctions.udf.CIQ($G247, "IQ_VOLUME", DB$222),"--")</f>
        <v>0</v>
      </c>
      <c r="DC247" s="2131">
        <f>IF(DC$221,_xll.ciqfunctions.udf.CIQ($G247, "IQ_VOLUME", DC$222),"--")</f>
        <v>0</v>
      </c>
      <c r="DD247" s="2131">
        <f>IF(DD$221,_xll.ciqfunctions.udf.CIQ($G247, "IQ_VOLUME", DD$222),"--")</f>
        <v>0</v>
      </c>
      <c r="DE247" s="2131">
        <f>IF(DE$221,_xll.ciqfunctions.udf.CIQ($G247, "IQ_VOLUME", DE$222),"--")</f>
        <v>0</v>
      </c>
      <c r="DF247" s="2131">
        <f>IF(DF$221,_xll.ciqfunctions.udf.CIQ($G247, "IQ_VOLUME", DF$222),"--")</f>
        <v>0</v>
      </c>
      <c r="DG247" s="2131">
        <f>IF(DG$221,_xll.ciqfunctions.udf.CIQ($G247, "IQ_VOLUME", DG$222),"--")</f>
        <v>0</v>
      </c>
      <c r="DH247" s="2131">
        <f>IF(DH$221,_xll.ciqfunctions.udf.CIQ($G247, "IQ_VOLUME", DH$222),"--")</f>
        <v>0</v>
      </c>
      <c r="DI247" s="2131">
        <f>IF(DI$221,_xll.ciqfunctions.udf.CIQ($G247, "IQ_VOLUME", DI$222),"--")</f>
        <v>0</v>
      </c>
      <c r="DJ247" s="2131">
        <f>IF(DJ$221,_xll.ciqfunctions.udf.CIQ($G247, "IQ_VOLUME", DJ$222),"--")</f>
        <v>0</v>
      </c>
      <c r="DK247" s="2131">
        <f>IF(DK$221,_xll.ciqfunctions.udf.CIQ($G247, "IQ_VOLUME", DK$222),"--")</f>
        <v>0</v>
      </c>
      <c r="DL247" s="2131">
        <f>IF(DL$221,_xll.ciqfunctions.udf.CIQ($G247, "IQ_VOLUME", DL$222),"--")</f>
        <v>0</v>
      </c>
      <c r="DM247" s="2131">
        <f>IF(DM$221,_xll.ciqfunctions.udf.CIQ($G247, "IQ_VOLUME", DM$222),"--")</f>
        <v>0</v>
      </c>
      <c r="DN247" s="2131">
        <f>IF(DN$221,_xll.ciqfunctions.udf.CIQ($G247, "IQ_VOLUME", DN$222),"--")</f>
        <v>0</v>
      </c>
      <c r="DO247" s="2131">
        <f>IF(DO$221,_xll.ciqfunctions.udf.CIQ($G247, "IQ_VOLUME", DO$222),"--")</f>
        <v>0</v>
      </c>
      <c r="DP247" s="2131">
        <f>IF(DP$221,_xll.ciqfunctions.udf.CIQ($G247, "IQ_VOLUME", DP$222),"--")</f>
        <v>0</v>
      </c>
      <c r="DQ247" s="2131">
        <f>IF(DQ$221,_xll.ciqfunctions.udf.CIQ($G247, "IQ_VOLUME", DQ$222),"--")</f>
        <v>0</v>
      </c>
      <c r="DR247" s="2131">
        <f>IF(DR$221,_xll.ciqfunctions.udf.CIQ($G247, "IQ_VOLUME", DR$222),"--")</f>
        <v>0</v>
      </c>
      <c r="DS247" s="2131">
        <f>IF(DS$221,_xll.ciqfunctions.udf.CIQ($G247, "IQ_VOLUME", DS$222),"--")</f>
        <v>0</v>
      </c>
      <c r="DT247" s="2131">
        <f>IF(DT$221,_xll.ciqfunctions.udf.CIQ($G247, "IQ_VOLUME", DT$222),"--")</f>
        <v>0</v>
      </c>
      <c r="DU247" s="2131">
        <f>IF(DU$221,_xll.ciqfunctions.udf.CIQ($G247, "IQ_VOLUME", DU$222),"--")</f>
        <v>0</v>
      </c>
      <c r="DV247" s="2131">
        <f>IF(DV$221,_xll.ciqfunctions.udf.CIQ($G247, "IQ_VOLUME", DV$222),"--")</f>
        <v>0</v>
      </c>
      <c r="DW247" s="2131">
        <f>IF(DW$221,_xll.ciqfunctions.udf.CIQ($G247, "IQ_VOLUME", DW$222),"--")</f>
        <v>0</v>
      </c>
      <c r="DX247" s="2131">
        <f>IF(DX$221,_xll.ciqfunctions.udf.CIQ($G247, "IQ_VOLUME", DX$222),"--")</f>
        <v>0</v>
      </c>
      <c r="DY247" s="2131">
        <f>IF(DY$221,_xll.ciqfunctions.udf.CIQ($G247, "IQ_VOLUME", DY$222),"--")</f>
        <v>0</v>
      </c>
      <c r="DZ247" s="2131">
        <f>IF(DZ$221,_xll.ciqfunctions.udf.CIQ($G247, "IQ_VOLUME", DZ$222),"--")</f>
        <v>0</v>
      </c>
      <c r="EA247" s="2131">
        <f>IF(EA$221,_xll.ciqfunctions.udf.CIQ($G247, "IQ_VOLUME", EA$222),"--")</f>
        <v>0</v>
      </c>
      <c r="EB247" s="2131">
        <f>IF(EB$221,_xll.ciqfunctions.udf.CIQ($G247, "IQ_VOLUME", EB$222),"--")</f>
        <v>0</v>
      </c>
      <c r="EC247" s="2131">
        <f>IF(EC$221,_xll.ciqfunctions.udf.CIQ($G247, "IQ_VOLUME", EC$222),"--")</f>
        <v>0</v>
      </c>
      <c r="ED247" s="2131">
        <f>IF(ED$221,_xll.ciqfunctions.udf.CIQ($G247, "IQ_VOLUME", ED$222),"--")</f>
        <v>0</v>
      </c>
      <c r="EE247" s="2131">
        <f>IF(EE$221,_xll.ciqfunctions.udf.CIQ($G247, "IQ_VOLUME", EE$222),"--")</f>
        <v>0</v>
      </c>
      <c r="EF247" s="2131">
        <f>IF(EF$221,_xll.ciqfunctions.udf.CIQ($G247, "IQ_VOLUME", EF$222),"--")</f>
        <v>0</v>
      </c>
      <c r="EG247" s="2131">
        <f>IF(EG$221,_xll.ciqfunctions.udf.CIQ($G247, "IQ_VOLUME", EG$222),"--")</f>
        <v>0</v>
      </c>
      <c r="EH247" s="2131">
        <f>IF(EH$221,_xll.ciqfunctions.udf.CIQ($G247, "IQ_VOLUME", EH$222),"--")</f>
        <v>0</v>
      </c>
      <c r="EI247" s="2131">
        <f>IF(EI$221,_xll.ciqfunctions.udf.CIQ($G247, "IQ_VOLUME", EI$222),"--")</f>
        <v>0</v>
      </c>
      <c r="EJ247" s="2131">
        <f>IF(EJ$221,_xll.ciqfunctions.udf.CIQ($G247, "IQ_VOLUME", EJ$222),"--")</f>
        <v>0</v>
      </c>
      <c r="EK247" s="2131">
        <f>IF(EK$221,_xll.ciqfunctions.udf.CIQ($G247, "IQ_VOLUME", EK$222),"--")</f>
        <v>0</v>
      </c>
      <c r="EL247" s="2131">
        <f>IF(EL$221,_xll.ciqfunctions.udf.CIQ($G247, "IQ_VOLUME", EL$222),"--")</f>
        <v>0</v>
      </c>
      <c r="EM247" s="2131">
        <f>IF(EM$221,_xll.ciqfunctions.udf.CIQ($G247, "IQ_VOLUME", EM$222),"--")</f>
        <v>0</v>
      </c>
      <c r="EN247" s="2131">
        <f>IF(EN$221,_xll.ciqfunctions.udf.CIQ($G247, "IQ_VOLUME", EN$222),"--")</f>
        <v>0</v>
      </c>
      <c r="EO247" s="2131">
        <f>IF(EO$221,_xll.ciqfunctions.udf.CIQ($G247, "IQ_VOLUME", EO$222),"--")</f>
        <v>0</v>
      </c>
      <c r="EP247" s="2131">
        <f>IF(EP$221,_xll.ciqfunctions.udf.CIQ($G247, "IQ_VOLUME", EP$222),"--")</f>
        <v>0</v>
      </c>
      <c r="EQ247" s="2131">
        <f>IF(EQ$221,_xll.ciqfunctions.udf.CIQ($G247, "IQ_VOLUME", EQ$222),"--")</f>
        <v>0</v>
      </c>
      <c r="ER247" s="2131">
        <f>IF(ER$221,_xll.ciqfunctions.udf.CIQ($G247, "IQ_VOLUME", ER$222),"--")</f>
        <v>0</v>
      </c>
      <c r="ES247" s="2131">
        <f>IF(ES$221,_xll.ciqfunctions.udf.CIQ($G247, "IQ_VOLUME", ES$222),"--")</f>
        <v>0</v>
      </c>
      <c r="ET247" s="2131">
        <f>IF(ET$221,_xll.ciqfunctions.udf.CIQ($G247, "IQ_VOLUME", ET$222),"--")</f>
        <v>0</v>
      </c>
      <c r="EU247" s="2131">
        <f>IF(EU$221,_xll.ciqfunctions.udf.CIQ($G247, "IQ_VOLUME", EU$222),"--")</f>
        <v>0</v>
      </c>
      <c r="EV247" s="2131">
        <f>IF(EV$221,_xll.ciqfunctions.udf.CIQ($G247, "IQ_VOLUME", EV$222),"--")</f>
        <v>0</v>
      </c>
      <c r="EW247" s="2131">
        <f>IF(EW$221,_xll.ciqfunctions.udf.CIQ($G247, "IQ_VOLUME", EW$222),"--")</f>
        <v>0</v>
      </c>
      <c r="EX247" s="2131">
        <f>IF(EX$221,_xll.ciqfunctions.udf.CIQ($G247, "IQ_VOLUME", EX$222),"--")</f>
        <v>0</v>
      </c>
      <c r="EY247" s="2131">
        <f>IF(EY$221,_xll.ciqfunctions.udf.CIQ($G247, "IQ_VOLUME", EY$222),"--")</f>
        <v>0</v>
      </c>
      <c r="EZ247" s="2131">
        <f>IF(EZ$221,_xll.ciqfunctions.udf.CIQ($G247, "IQ_VOLUME", EZ$222),"--")</f>
        <v>0</v>
      </c>
      <c r="FA247" s="2131">
        <f>IF(FA$221,_xll.ciqfunctions.udf.CIQ($G247, "IQ_VOLUME", FA$222),"--")</f>
        <v>0</v>
      </c>
      <c r="FB247" s="2131">
        <f>IF(FB$221,_xll.ciqfunctions.udf.CIQ($G247, "IQ_VOLUME", FB$222),"--")</f>
        <v>0</v>
      </c>
      <c r="FC247" s="2131">
        <f>IF(FC$221,_xll.ciqfunctions.udf.CIQ($G247, "IQ_VOLUME", FC$222),"--")</f>
        <v>0</v>
      </c>
      <c r="FD247" s="2131">
        <f>IF(FD$221,_xll.ciqfunctions.udf.CIQ($G247, "IQ_VOLUME", FD$222),"--")</f>
        <v>0</v>
      </c>
      <c r="FE247" s="2131">
        <f>IF(FE$221,_xll.ciqfunctions.udf.CIQ($G247, "IQ_VOLUME", FE$222),"--")</f>
        <v>0</v>
      </c>
      <c r="FF247" s="2131">
        <f>IF(FF$221,_xll.ciqfunctions.udf.CIQ($G247, "IQ_VOLUME", FF$222),"--")</f>
        <v>0</v>
      </c>
      <c r="FG247" s="2131">
        <f>IF(FG$221,_xll.ciqfunctions.udf.CIQ($G247, "IQ_VOLUME", FG$222),"--")</f>
        <v>0</v>
      </c>
      <c r="FH247" s="2131">
        <f>IF(FH$221,_xll.ciqfunctions.udf.CIQ($G247, "IQ_VOLUME", FH$222),"--")</f>
        <v>0</v>
      </c>
      <c r="FI247" s="2131">
        <f>IF(FI$221,_xll.ciqfunctions.udf.CIQ($G247, "IQ_VOLUME", FI$222),"--")</f>
        <v>0</v>
      </c>
      <c r="FJ247" s="2131">
        <f>IF(FJ$221,_xll.ciqfunctions.udf.CIQ($G247, "IQ_VOLUME", FJ$222),"--")</f>
        <v>0</v>
      </c>
      <c r="FK247" s="2131">
        <f>IF(FK$221,_xll.ciqfunctions.udf.CIQ($G247, "IQ_VOLUME", FK$222),"--")</f>
        <v>0</v>
      </c>
      <c r="FL247" s="2131">
        <f>IF(FL$221,_xll.ciqfunctions.udf.CIQ($G247, "IQ_VOLUME", FL$222),"--")</f>
        <v>0</v>
      </c>
      <c r="FM247" s="2131">
        <f>IF(FM$221,_xll.ciqfunctions.udf.CIQ($G247, "IQ_VOLUME", FM$222),"--")</f>
        <v>0</v>
      </c>
      <c r="FN247" s="2131">
        <f>IF(FN$221,_xll.ciqfunctions.udf.CIQ($G247, "IQ_VOLUME", FN$222),"--")</f>
        <v>0</v>
      </c>
      <c r="FO247" s="2131">
        <f>IF(FO$221,_xll.ciqfunctions.udf.CIQ($G247, "IQ_VOLUME", FO$222),"--")</f>
        <v>0</v>
      </c>
      <c r="FP247" s="2131">
        <f>IF(FP$221,_xll.ciqfunctions.udf.CIQ($G247, "IQ_VOLUME", FP$222),"--")</f>
        <v>0</v>
      </c>
      <c r="FQ247" s="2131">
        <f>IF(FQ$221,_xll.ciqfunctions.udf.CIQ($G247, "IQ_VOLUME", FQ$222),"--")</f>
        <v>0</v>
      </c>
      <c r="FR247" s="2131">
        <f>IF(FR$221,_xll.ciqfunctions.udf.CIQ($G247, "IQ_VOLUME", FR$222),"--")</f>
        <v>0</v>
      </c>
      <c r="FS247" s="2131">
        <f>IF(FS$221,_xll.ciqfunctions.udf.CIQ($G247, "IQ_VOLUME", FS$222),"--")</f>
        <v>0</v>
      </c>
      <c r="FT247" s="2131">
        <f>IF(FT$221,_xll.ciqfunctions.udf.CIQ($G247, "IQ_VOLUME", FT$222),"--")</f>
        <v>0</v>
      </c>
      <c r="FU247" s="2131">
        <f>IF(FU$221,_xll.ciqfunctions.udf.CIQ($G247, "IQ_VOLUME", FU$222),"--")</f>
        <v>0</v>
      </c>
      <c r="FV247" s="2131">
        <f>IF(FV$221,_xll.ciqfunctions.udf.CIQ($G247, "IQ_VOLUME", FV$222),"--")</f>
        <v>0</v>
      </c>
      <c r="FW247" s="2131">
        <f>IF(FW$221,_xll.ciqfunctions.udf.CIQ($G247, "IQ_VOLUME", FW$222),"--")</f>
        <v>0</v>
      </c>
      <c r="FX247" s="2131">
        <f>IF(FX$221,_xll.ciqfunctions.udf.CIQ($G247, "IQ_VOLUME", FX$222),"--")</f>
        <v>0</v>
      </c>
      <c r="FY247" s="2131">
        <f>IF(FY$221,_xll.ciqfunctions.udf.CIQ($G247, "IQ_VOLUME", FY$222),"--")</f>
        <v>0</v>
      </c>
      <c r="FZ247" s="2131">
        <f>IF(FZ$221,_xll.ciqfunctions.udf.CIQ($G247, "IQ_VOLUME", FZ$222),"--")</f>
        <v>0</v>
      </c>
      <c r="GA247" s="2131">
        <f>IF(GA$221,_xll.ciqfunctions.udf.CIQ($G247, "IQ_VOLUME", GA$222),"--")</f>
        <v>0</v>
      </c>
      <c r="GB247" s="2131">
        <f>IF(GB$221,_xll.ciqfunctions.udf.CIQ($G247, "IQ_VOLUME", GB$222),"--")</f>
        <v>0</v>
      </c>
      <c r="GC247" s="2131">
        <f>IF(GC$221,_xll.ciqfunctions.udf.CIQ($G247, "IQ_VOLUME", GC$222),"--")</f>
        <v>0</v>
      </c>
      <c r="GD247" s="2131">
        <f>IF(GD$221,_xll.ciqfunctions.udf.CIQ($G247, "IQ_VOLUME", GD$222),"--")</f>
        <v>0</v>
      </c>
      <c r="GE247" s="2131">
        <f>IF(GE$221,_xll.ciqfunctions.udf.CIQ($G247, "IQ_VOLUME", GE$222),"--")</f>
        <v>0</v>
      </c>
      <c r="GF247" s="2131">
        <f>IF(GF$221,_xll.ciqfunctions.udf.CIQ($G247, "IQ_VOLUME", GF$222),"--")</f>
        <v>0</v>
      </c>
      <c r="GG247" s="2131">
        <f>IF(GG$221,_xll.ciqfunctions.udf.CIQ($G247, "IQ_VOLUME", GG$222),"--")</f>
        <v>0</v>
      </c>
      <c r="GH247" s="2131">
        <f>IF(GH$221,_xll.ciqfunctions.udf.CIQ($G247, "IQ_VOLUME", GH$222),"--")</f>
        <v>0</v>
      </c>
      <c r="GI247" s="2131">
        <f>IF(GI$221,_xll.ciqfunctions.udf.CIQ($G247, "IQ_VOLUME", GI$222),"--")</f>
        <v>0</v>
      </c>
      <c r="GJ247" s="2131">
        <f>IF(GJ$221,_xll.ciqfunctions.udf.CIQ($G247, "IQ_VOLUME", GJ$222),"--")</f>
        <v>0</v>
      </c>
      <c r="GK247" s="2131">
        <f>IF(GK$221,_xll.ciqfunctions.udf.CIQ($G247, "IQ_VOLUME", GK$222),"--")</f>
        <v>0</v>
      </c>
      <c r="GL247" s="2131">
        <f>IF(GL$221,_xll.ciqfunctions.udf.CIQ($G247, "IQ_VOLUME", GL$222),"--")</f>
        <v>0</v>
      </c>
      <c r="GM247" s="2131">
        <f>IF(GM$221,_xll.ciqfunctions.udf.CIQ($G247, "IQ_VOLUME", GM$222),"--")</f>
        <v>0</v>
      </c>
      <c r="GN247" s="2131">
        <f>IF(GN$221,_xll.ciqfunctions.udf.CIQ($G247, "IQ_VOLUME", GN$222),"--")</f>
        <v>0</v>
      </c>
      <c r="GO247" s="2131">
        <f>IF(GO$221,_xll.ciqfunctions.udf.CIQ($G247, "IQ_VOLUME", GO$222),"--")</f>
        <v>0</v>
      </c>
      <c r="GP247" s="2131">
        <f>IF(GP$221,_xll.ciqfunctions.udf.CIQ($G247, "IQ_VOLUME", GP$222),"--")</f>
        <v>0</v>
      </c>
      <c r="GQ247" s="2131">
        <f>IF(GQ$221,_xll.ciqfunctions.udf.CIQ($G247, "IQ_VOLUME", GQ$222),"--")</f>
        <v>0</v>
      </c>
      <c r="GR247" s="2131">
        <f>IF(GR$221,_xll.ciqfunctions.udf.CIQ($G247, "IQ_VOLUME", GR$222),"--")</f>
        <v>0</v>
      </c>
      <c r="GS247" s="2131">
        <f>IF(GS$221,_xll.ciqfunctions.udf.CIQ($G247, "IQ_VOLUME", GS$222),"--")</f>
        <v>0</v>
      </c>
      <c r="GT247" s="2131">
        <f>IF(GT$221,_xll.ciqfunctions.udf.CIQ($G247, "IQ_VOLUME", GT$222),"--")</f>
        <v>0</v>
      </c>
      <c r="GU247" s="2131">
        <f>IF(GU$221,_xll.ciqfunctions.udf.CIQ($G247, "IQ_VOLUME", GU$222),"--")</f>
        <v>0</v>
      </c>
      <c r="GV247" s="2131">
        <f>IF(GV$221,_xll.ciqfunctions.udf.CIQ($G247, "IQ_VOLUME", GV$222),"--")</f>
        <v>0</v>
      </c>
      <c r="GW247" s="2131">
        <f>IF(GW$221,_xll.ciqfunctions.udf.CIQ($G247, "IQ_VOLUME", GW$222),"--")</f>
        <v>0</v>
      </c>
      <c r="GX247" s="2131">
        <f>IF(GX$221,_xll.ciqfunctions.udf.CIQ($G247, "IQ_VOLUME", GX$222),"--")</f>
        <v>0</v>
      </c>
      <c r="GY247" s="2131">
        <f>IF(GY$221,_xll.ciqfunctions.udf.CIQ($G247, "IQ_VOLUME", GY$222),"--")</f>
        <v>0</v>
      </c>
      <c r="GZ247" s="2131">
        <f>IF(GZ$221,_xll.ciqfunctions.udf.CIQ($G247, "IQ_VOLUME", GZ$222),"--")</f>
        <v>0</v>
      </c>
      <c r="HA247" s="2131">
        <f>IF(HA$221,_xll.ciqfunctions.udf.CIQ($G247, "IQ_VOLUME", HA$222),"--")</f>
        <v>0</v>
      </c>
      <c r="HB247" s="2131">
        <f>IF(HB$221,_xll.ciqfunctions.udf.CIQ($G247, "IQ_VOLUME", HB$222),"--")</f>
        <v>0</v>
      </c>
      <c r="HC247" s="2131">
        <f>IF(HC$221,_xll.ciqfunctions.udf.CIQ($G247, "IQ_VOLUME", HC$222),"--")</f>
        <v>0</v>
      </c>
      <c r="HD247" s="2131">
        <f>IF(HD$221,_xll.ciqfunctions.udf.CIQ($G247, "IQ_VOLUME", HD$222),"--")</f>
        <v>0</v>
      </c>
      <c r="HE247" s="2131">
        <f>IF(HE$221,_xll.ciqfunctions.udf.CIQ($G247, "IQ_VOLUME", HE$222),"--")</f>
        <v>0</v>
      </c>
      <c r="HF247" s="2131">
        <f>IF(HF$221,_xll.ciqfunctions.udf.CIQ($G247, "IQ_VOLUME", HF$222),"--")</f>
        <v>0</v>
      </c>
      <c r="HG247" s="2131">
        <f>IF(HG$221,_xll.ciqfunctions.udf.CIQ($G247, "IQ_VOLUME", HG$222),"--")</f>
        <v>0</v>
      </c>
      <c r="HH247" s="2131">
        <f>IF(HH$221,_xll.ciqfunctions.udf.CIQ($G247, "IQ_VOLUME", HH$222),"--")</f>
        <v>0</v>
      </c>
      <c r="HI247" s="2131">
        <f>IF(HI$221,_xll.ciqfunctions.udf.CIQ($G247, "IQ_VOLUME", HI$222),"--")</f>
        <v>0</v>
      </c>
      <c r="HJ247" s="2131">
        <f>IF(HJ$221,_xll.ciqfunctions.udf.CIQ($G247, "IQ_VOLUME", HJ$222),"--")</f>
        <v>0</v>
      </c>
      <c r="HK247" s="2131">
        <f>IF(HK$221,_xll.ciqfunctions.udf.CIQ($G247, "IQ_VOLUME", HK$222),"--")</f>
        <v>0</v>
      </c>
      <c r="HL247" s="2131">
        <f>IF(HL$221,_xll.ciqfunctions.udf.CIQ($G247, "IQ_VOLUME", HL$222),"--")</f>
        <v>0</v>
      </c>
      <c r="HM247" s="2131">
        <f>IF(HM$221,_xll.ciqfunctions.udf.CIQ($G247, "IQ_VOLUME", HM$222),"--")</f>
        <v>0</v>
      </c>
      <c r="HN247" s="2131">
        <f>IF(HN$221,_xll.ciqfunctions.udf.CIQ($G247, "IQ_VOLUME", HN$222),"--")</f>
        <v>0</v>
      </c>
      <c r="HO247" s="2131">
        <f>IF(HO$221,_xll.ciqfunctions.udf.CIQ($G247, "IQ_VOLUME", HO$222),"--")</f>
        <v>0</v>
      </c>
      <c r="HP247" s="2131">
        <f>IF(HP$221,_xll.ciqfunctions.udf.CIQ($G247, "IQ_VOLUME", HP$222),"--")</f>
        <v>0</v>
      </c>
      <c r="HQ247" s="2131">
        <f>IF(HQ$221,_xll.ciqfunctions.udf.CIQ($G247, "IQ_VOLUME", HQ$222),"--")</f>
        <v>0</v>
      </c>
      <c r="HR247" s="2131">
        <f>IF(HR$221,_xll.ciqfunctions.udf.CIQ($G247, "IQ_VOLUME", HR$222),"--")</f>
        <v>0</v>
      </c>
      <c r="HS247" s="2131">
        <f>IF(HS$221,_xll.ciqfunctions.udf.CIQ($G247, "IQ_VOLUME", HS$222),"--")</f>
        <v>0</v>
      </c>
      <c r="HT247" s="2131">
        <f>IF(HT$221,_xll.ciqfunctions.udf.CIQ($G247, "IQ_VOLUME", HT$222),"--")</f>
        <v>0</v>
      </c>
      <c r="HU247" s="2131">
        <f>IF(HU$221,_xll.ciqfunctions.udf.CIQ($G247, "IQ_VOLUME", HU$222),"--")</f>
        <v>0</v>
      </c>
      <c r="HV247" s="2131">
        <f>IF(HV$221,_xll.ciqfunctions.udf.CIQ($G247, "IQ_VOLUME", HV$222),"--")</f>
        <v>0</v>
      </c>
      <c r="HW247" s="2131">
        <f>IF(HW$221,_xll.ciqfunctions.udf.CIQ($G247, "IQ_VOLUME", HW$222),"--")</f>
        <v>0</v>
      </c>
      <c r="HX247" s="2131">
        <f>IF(HX$221,_xll.ciqfunctions.udf.CIQ($G247, "IQ_VOLUME", HX$222),"--")</f>
        <v>0</v>
      </c>
      <c r="HY247" s="2131">
        <f>IF(HY$221,_xll.ciqfunctions.udf.CIQ($G247, "IQ_VOLUME", HY$222),"--")</f>
        <v>0</v>
      </c>
      <c r="HZ247" s="2131">
        <f>IF(HZ$221,_xll.ciqfunctions.udf.CIQ($G247, "IQ_VOLUME", HZ$222),"--")</f>
        <v>0</v>
      </c>
      <c r="IA247" s="2131">
        <f>IF(IA$221,_xll.ciqfunctions.udf.CIQ($G247, "IQ_VOLUME", IA$222),"--")</f>
        <v>0</v>
      </c>
      <c r="IB247" s="2131">
        <f>IF(IB$221,_xll.ciqfunctions.udf.CIQ($G247, "IQ_VOLUME", IB$222),"--")</f>
        <v>0</v>
      </c>
      <c r="IC247" s="2131">
        <f>IF(IC$221,_xll.ciqfunctions.udf.CIQ($G247, "IQ_VOLUME", IC$222),"--")</f>
        <v>0</v>
      </c>
      <c r="ID247" s="2131">
        <f>IF(ID$221,_xll.ciqfunctions.udf.CIQ($G247, "IQ_VOLUME", ID$222),"--")</f>
        <v>0</v>
      </c>
      <c r="IE247" s="2131">
        <f>IF(IE$221,_xll.ciqfunctions.udf.CIQ($G247, "IQ_VOLUME", IE$222),"--")</f>
        <v>0</v>
      </c>
      <c r="IF247" s="2131">
        <f>IF(IF$221,_xll.ciqfunctions.udf.CIQ($G247, "IQ_VOLUME", IF$222),"--")</f>
        <v>0</v>
      </c>
      <c r="IG247" s="2131">
        <f>IF(IG$221,_xll.ciqfunctions.udf.CIQ($G247, "IQ_VOLUME", IG$222),"--")</f>
        <v>0</v>
      </c>
      <c r="IH247" s="2131">
        <f>IF(IH$221,_xll.ciqfunctions.udf.CIQ($G247, "IQ_VOLUME", IH$222),"--")</f>
        <v>0</v>
      </c>
      <c r="II247" s="2131">
        <f>IF(II$221,_xll.ciqfunctions.udf.CIQ($G247, "IQ_VOLUME", II$222),"--")</f>
        <v>0</v>
      </c>
      <c r="IJ247" s="2131">
        <f>IF(IJ$221,_xll.ciqfunctions.udf.CIQ($G247, "IQ_VOLUME", IJ$222),"--")</f>
        <v>0</v>
      </c>
      <c r="IK247" s="2131">
        <f>IF(IK$221,_xll.ciqfunctions.udf.CIQ($G247, "IQ_VOLUME", IK$222),"--")</f>
        <v>0</v>
      </c>
      <c r="IL247" s="2131">
        <f>IF(IL$221,_xll.ciqfunctions.udf.CIQ($G247, "IQ_VOLUME", IL$222),"--")</f>
        <v>0</v>
      </c>
      <c r="IM247" s="2131">
        <f>IF(IM$221,_xll.ciqfunctions.udf.CIQ($G247, "IQ_VOLUME", IM$222),"--")</f>
        <v>0</v>
      </c>
      <c r="IN247" s="2131">
        <f>IF(IN$221,_xll.ciqfunctions.udf.CIQ($G247, "IQ_VOLUME", IN$222),"--")</f>
        <v>0</v>
      </c>
      <c r="IO247" s="2131">
        <f>IF(IO$221,_xll.ciqfunctions.udf.CIQ($G247, "IQ_VOLUME", IO$222),"--")</f>
        <v>0</v>
      </c>
      <c r="IP247" s="2131">
        <f>IF(IP$221,_xll.ciqfunctions.udf.CIQ($G247, "IQ_VOLUME", IP$222),"--")</f>
        <v>0</v>
      </c>
      <c r="IQ247" s="2131">
        <f>IF(IQ$221,_xll.ciqfunctions.udf.CIQ($G247, "IQ_VOLUME", IQ$222),"--")</f>
        <v>0</v>
      </c>
      <c r="IR247" s="2131">
        <f>IF(IR$221,_xll.ciqfunctions.udf.CIQ($G247, "IQ_VOLUME", IR$222),"--")</f>
        <v>0</v>
      </c>
      <c r="IS247" s="2131">
        <f>IF(IS$221,_xll.ciqfunctions.udf.CIQ($G247, "IQ_VOLUME", IS$222),"--")</f>
        <v>0</v>
      </c>
      <c r="IT247" s="2131">
        <f>IF(IT$221,_xll.ciqfunctions.udf.CIQ($G247, "IQ_VOLUME", IT$222),"--")</f>
        <v>0</v>
      </c>
      <c r="IU247" s="2131">
        <f>IF(IU$221,_xll.ciqfunctions.udf.CIQ($G247, "IQ_VOLUME", IU$222),"--")</f>
        <v>0</v>
      </c>
      <c r="IV247" s="2131">
        <f>IF(IV$221,_xll.ciqfunctions.udf.CIQ($G247, "IQ_VOLUME", IV$222),"--")</f>
        <v>0</v>
      </c>
      <c r="IW247" s="2131">
        <f>IF(IW$221,_xll.ciqfunctions.udf.CIQ($G247, "IQ_VOLUME", IW$222),"--")</f>
        <v>0</v>
      </c>
      <c r="IX247" s="2131">
        <f>IF(IX$221,_xll.ciqfunctions.udf.CIQ($G247, "IQ_VOLUME", IX$222),"--")</f>
        <v>0</v>
      </c>
      <c r="IY247" s="2131">
        <f>IF(IY$221,_xll.ciqfunctions.udf.CIQ($G247, "IQ_VOLUME", IY$222),"--")</f>
        <v>0</v>
      </c>
      <c r="IZ247" s="2131">
        <f>IF(IZ$221,_xll.ciqfunctions.udf.CIQ($G247, "IQ_VOLUME", IZ$222),"--")</f>
        <v>0</v>
      </c>
      <c r="JA247" s="2131">
        <f>IF(JA$221,_xll.ciqfunctions.udf.CIQ($G247, "IQ_VOLUME", JA$222),"--")</f>
        <v>0</v>
      </c>
      <c r="JB247" s="2131">
        <f>IF(JB$221,_xll.ciqfunctions.udf.CIQ($G247, "IQ_VOLUME", JB$222),"--")</f>
        <v>0</v>
      </c>
      <c r="JC247" s="2131">
        <f>IF(JC$221,_xll.ciqfunctions.udf.CIQ($G247, "IQ_VOLUME", JC$222),"--")</f>
        <v>0</v>
      </c>
      <c r="JD247" s="2131">
        <f>IF(JD$221,_xll.ciqfunctions.udf.CIQ($G247, "IQ_VOLUME", JD$222),"--")</f>
        <v>0</v>
      </c>
      <c r="JE247" s="2131">
        <f>IF(JE$221,_xll.ciqfunctions.udf.CIQ($G247, "IQ_VOLUME", JE$222),"--")</f>
        <v>0</v>
      </c>
      <c r="JF247" s="2131">
        <f>IF(JF$221,_xll.ciqfunctions.udf.CIQ($G247, "IQ_VOLUME", JF$222),"--")</f>
        <v>0</v>
      </c>
      <c r="JG247" s="2131">
        <f>IF(JG$221,_xll.ciqfunctions.udf.CIQ($G247, "IQ_VOLUME", JG$222),"--")</f>
        <v>0</v>
      </c>
      <c r="JH247" s="2131">
        <f>IF(JH$221,_xll.ciqfunctions.udf.CIQ($G247, "IQ_VOLUME", JH$222),"--")</f>
        <v>0</v>
      </c>
      <c r="JI247" s="2131">
        <f>IF(JI$221,_xll.ciqfunctions.udf.CIQ($G247, "IQ_VOLUME", JI$222),"--")</f>
        <v>0</v>
      </c>
      <c r="JJ247" s="2131">
        <f>IF(JJ$221,_xll.ciqfunctions.udf.CIQ($G247, "IQ_VOLUME", JJ$222),"--")</f>
        <v>0</v>
      </c>
      <c r="JK247" s="2131">
        <f>IF(JK$221,_xll.ciqfunctions.udf.CIQ($G247, "IQ_VOLUME", JK$222),"--")</f>
        <v>0</v>
      </c>
      <c r="JL247" s="2131">
        <f>IF(JL$221,_xll.ciqfunctions.udf.CIQ($G247, "IQ_VOLUME", JL$222),"--")</f>
        <v>0</v>
      </c>
      <c r="JM247" s="2131">
        <f>IF(JM$221,_xll.ciqfunctions.udf.CIQ($G247, "IQ_VOLUME", JM$222),"--")</f>
        <v>0</v>
      </c>
      <c r="JN247" s="2131">
        <f>IF(JN$221,_xll.ciqfunctions.udf.CIQ($G247, "IQ_VOLUME", JN$222),"--")</f>
        <v>0</v>
      </c>
      <c r="JO247" s="2131">
        <f>IF(JO$221,_xll.ciqfunctions.udf.CIQ($G247, "IQ_VOLUME", JO$222),"--")</f>
        <v>0</v>
      </c>
      <c r="JP247" s="2131">
        <f>IF(JP$221,_xll.ciqfunctions.udf.CIQ($G247, "IQ_VOLUME", JP$222),"--")</f>
        <v>0</v>
      </c>
      <c r="JQ247" s="2131">
        <f>IF(JQ$221,_xll.ciqfunctions.udf.CIQ($G247, "IQ_VOLUME", JQ$222),"--")</f>
        <v>0</v>
      </c>
      <c r="JR247" s="2131">
        <f>IF(JR$221,_xll.ciqfunctions.udf.CIQ($G247, "IQ_VOLUME", JR$222),"--")</f>
        <v>0</v>
      </c>
      <c r="JS247" s="2131">
        <f>IF(JS$221,_xll.ciqfunctions.udf.CIQ($G247, "IQ_VOLUME", JS$222),"--")</f>
        <v>0</v>
      </c>
      <c r="JT247" s="2131">
        <f>IF(JT$221,_xll.ciqfunctions.udf.CIQ($G247, "IQ_VOLUME", JT$222),"--")</f>
        <v>0</v>
      </c>
      <c r="JU247" s="2131">
        <f>IF(JU$221,_xll.ciqfunctions.udf.CIQ($G247, "IQ_VOLUME", JU$222),"--")</f>
        <v>0</v>
      </c>
      <c r="JV247" s="2131">
        <f>IF(JV$221,_xll.ciqfunctions.udf.CIQ($G247, "IQ_VOLUME", JV$222),"--")</f>
        <v>0</v>
      </c>
      <c r="JW247" s="2131" t="str">
        <f>IF(JW$221,_xll.ciqfunctions.udf.CIQ($G247, "IQ_VOLUME", JW$222),"--")</f>
        <v>--</v>
      </c>
      <c r="JX247" s="2131" t="str">
        <f>IF(JX$221,_xll.ciqfunctions.udf.CIQ($G247, "IQ_VOLUME", JX$222),"--")</f>
        <v>--</v>
      </c>
      <c r="JY247" s="2131" t="str">
        <f>IF(JY$221,_xll.ciqfunctions.udf.CIQ($G247, "IQ_VOLUME", JY$222),"--")</f>
        <v>--</v>
      </c>
      <c r="JZ247" s="2131" t="str">
        <f>IF(JZ$221,_xll.ciqfunctions.udf.CIQ($G247, "IQ_VOLUME", JZ$222),"--")</f>
        <v>--</v>
      </c>
      <c r="KA247" s="2131" t="str">
        <f>IF(KA$221,_xll.ciqfunctions.udf.CIQ($G247, "IQ_VOLUME", KA$222),"--")</f>
        <v>--</v>
      </c>
      <c r="KB247" s="2131" t="str">
        <f>IF(KB$221,_xll.ciqfunctions.udf.CIQ($G247, "IQ_VOLUME", KB$222),"--")</f>
        <v>--</v>
      </c>
    </row>
    <row r="248" spans="1:288" s="89" customFormat="1" ht="13.9">
      <c r="A248" s="269" t="str">
        <f t="shared" si="47"/>
        <v>n</v>
      </c>
      <c r="B248" s="2060"/>
      <c r="D248" s="801"/>
      <c r="E248" s="1505">
        <v>25</v>
      </c>
      <c r="F248" s="21" t="str">
        <f>F$153</f>
        <v>--</v>
      </c>
      <c r="G248" s="2112">
        <f>G$153</f>
        <v>0</v>
      </c>
      <c r="H248" s="2112" t="str">
        <f>H$153</f>
        <v>--</v>
      </c>
      <c r="I248" s="22" t="s">
        <v>781</v>
      </c>
      <c r="J248" s="53"/>
      <c r="K248" s="2301" t="str">
        <f>IF(OR(K216=0,$G248=0),"--",IFERROR(_xll.ciqfunctions.udf.CIQ($G248,$I248,K124,Valuation_Date_GC,ReportType,DataMode,$H248,FXMode)*Scale,"--"))</f>
        <v>--</v>
      </c>
      <c r="L248" s="2301" t="str">
        <f>IF(OR(L216=0,$G248=0),"--",IFERROR(_xll.ciqfunctions.udf.CIQ($G248,$I248,L124,Valuation_Date_GC,ReportType,DataMode,$H248,FXMode)*Scale,"--"))</f>
        <v>--</v>
      </c>
      <c r="M248" s="2301" t="str">
        <f>IF(OR(M216=0,$G248=0),"--",IFERROR(_xll.ciqfunctions.udf.CIQ($G248,$I248,M124,Valuation_Date_GC,ReportType,DataMode,$H248,FXMode)*Scale,"--"))</f>
        <v>--</v>
      </c>
      <c r="N248" s="2301" t="str">
        <f>IF(OR(N216=0,$G248=0),"--",IFERROR(_xll.ciqfunctions.udf.CIQ($G248,$I248,N124,Valuation_Date_GC,ReportType,DataMode,$H248,FXMode)*Scale,"--"))</f>
        <v>--</v>
      </c>
      <c r="O248" s="1471" t="str">
        <f>IF(OR(O216=0,$G248=0),"--",IFERROR(_xll.ciqfunctions.udf.CIQ($G248,$I248,O124,Valuation_Date_GC,ReportType,DataMode,$H248,FXMode)*Scale,"--"))</f>
        <v>--</v>
      </c>
      <c r="P248" s="2301" t="str">
        <f>IF(OR(P216=0,$G248=0),"--",IFERROR(_xll.ciqfunctions.udf.CIQ($G248,$I248,P124,Valuation_Date_GC,ReportType,DataMode,$H248,FXMode)*Scale,"--"))</f>
        <v>--</v>
      </c>
      <c r="R248" s="255"/>
      <c r="T248" s="1779" t="s">
        <v>782</v>
      </c>
      <c r="U248" s="2131">
        <f>IF(U$221,_xll.ciqfunctions.udf.CIQ($G248, "IQ_VOLUME", U$222),"--")</f>
        <v>0</v>
      </c>
      <c r="V248" s="2131">
        <f>IF(V$221,_xll.ciqfunctions.udf.CIQ($G248, "IQ_VOLUME", V$222),"--")</f>
        <v>0</v>
      </c>
      <c r="W248" s="2131">
        <f>IF(W$221,_xll.ciqfunctions.udf.CIQ($G248, "IQ_VOLUME", W$222),"--")</f>
        <v>0</v>
      </c>
      <c r="X248" s="2131">
        <f>IF(X$221,_xll.ciqfunctions.udf.CIQ($G248, "IQ_VOLUME", X$222),"--")</f>
        <v>0</v>
      </c>
      <c r="Y248" s="2131">
        <f>IF(Y$221,_xll.ciqfunctions.udf.CIQ($G248, "IQ_VOLUME", Y$222),"--")</f>
        <v>0</v>
      </c>
      <c r="Z248" s="2131">
        <f>IF(Z$221,_xll.ciqfunctions.udf.CIQ($G248, "IQ_VOLUME", Z$222),"--")</f>
        <v>0</v>
      </c>
      <c r="AA248" s="2131">
        <f>IF(AA$221,_xll.ciqfunctions.udf.CIQ($G248, "IQ_VOLUME", AA$222),"--")</f>
        <v>0</v>
      </c>
      <c r="AB248" s="2131">
        <f>IF(AB$221,_xll.ciqfunctions.udf.CIQ($G248, "IQ_VOLUME", AB$222),"--")</f>
        <v>0</v>
      </c>
      <c r="AC248" s="2131">
        <f>IF(AC$221,_xll.ciqfunctions.udf.CIQ($G248, "IQ_VOLUME", AC$222),"--")</f>
        <v>0</v>
      </c>
      <c r="AD248" s="2131">
        <f>IF(AD$221,_xll.ciqfunctions.udf.CIQ($G248, "IQ_VOLUME", AD$222),"--")</f>
        <v>0</v>
      </c>
      <c r="AE248" s="2131">
        <f>IF(AE$221,_xll.ciqfunctions.udf.CIQ($G248, "IQ_VOLUME", AE$222),"--")</f>
        <v>0</v>
      </c>
      <c r="AF248" s="2131">
        <f>IF(AF$221,_xll.ciqfunctions.udf.CIQ($G248, "IQ_VOLUME", AF$222),"--")</f>
        <v>0</v>
      </c>
      <c r="AG248" s="2131">
        <f>IF(AG$221,_xll.ciqfunctions.udf.CIQ($G248, "IQ_VOLUME", AG$222),"--")</f>
        <v>0</v>
      </c>
      <c r="AH248" s="2131">
        <f>IF(AH$221,_xll.ciqfunctions.udf.CIQ($G248, "IQ_VOLUME", AH$222),"--")</f>
        <v>0</v>
      </c>
      <c r="AI248" s="2131">
        <f>IF(AI$221,_xll.ciqfunctions.udf.CIQ($G248, "IQ_VOLUME", AI$222),"--")</f>
        <v>0</v>
      </c>
      <c r="AJ248" s="2131">
        <f>IF(AJ$221,_xll.ciqfunctions.udf.CIQ($G248, "IQ_VOLUME", AJ$222),"--")</f>
        <v>0</v>
      </c>
      <c r="AK248" s="2131">
        <f>IF(AK$221,_xll.ciqfunctions.udf.CIQ($G248, "IQ_VOLUME", AK$222),"--")</f>
        <v>0</v>
      </c>
      <c r="AL248" s="2131">
        <f>IF(AL$221,_xll.ciqfunctions.udf.CIQ($G248, "IQ_VOLUME", AL$222),"--")</f>
        <v>0</v>
      </c>
      <c r="AM248" s="2131">
        <f>IF(AM$221,_xll.ciqfunctions.udf.CIQ($G248, "IQ_VOLUME", AM$222),"--")</f>
        <v>0</v>
      </c>
      <c r="AN248" s="2131">
        <f>IF(AN$221,_xll.ciqfunctions.udf.CIQ($G248, "IQ_VOLUME", AN$222),"--")</f>
        <v>0</v>
      </c>
      <c r="AO248" s="2131">
        <f>IF(AO$221,_xll.ciqfunctions.udf.CIQ($G248, "IQ_VOLUME", AO$222),"--")</f>
        <v>0</v>
      </c>
      <c r="AP248" s="2131">
        <f>IF(AP$221,_xll.ciqfunctions.udf.CIQ($G248, "IQ_VOLUME", AP$222),"--")</f>
        <v>0</v>
      </c>
      <c r="AQ248" s="2131">
        <f>IF(AQ$221,_xll.ciqfunctions.udf.CIQ($G248, "IQ_VOLUME", AQ$222),"--")</f>
        <v>0</v>
      </c>
      <c r="AR248" s="2131">
        <f>IF(AR$221,_xll.ciqfunctions.udf.CIQ($G248, "IQ_VOLUME", AR$222),"--")</f>
        <v>0</v>
      </c>
      <c r="AS248" s="2131">
        <f>IF(AS$221,_xll.ciqfunctions.udf.CIQ($G248, "IQ_VOLUME", AS$222),"--")</f>
        <v>0</v>
      </c>
      <c r="AT248" s="2131">
        <f>IF(AT$221,_xll.ciqfunctions.udf.CIQ($G248, "IQ_VOLUME", AT$222),"--")</f>
        <v>0</v>
      </c>
      <c r="AU248" s="2131">
        <f>IF(AU$221,_xll.ciqfunctions.udf.CIQ($G248, "IQ_VOLUME", AU$222),"--")</f>
        <v>0</v>
      </c>
      <c r="AV248" s="2131">
        <f>IF(AV$221,_xll.ciqfunctions.udf.CIQ($G248, "IQ_VOLUME", AV$222),"--")</f>
        <v>0</v>
      </c>
      <c r="AW248" s="2131">
        <f>IF(AW$221,_xll.ciqfunctions.udf.CIQ($G248, "IQ_VOLUME", AW$222),"--")</f>
        <v>0</v>
      </c>
      <c r="AX248" s="2131">
        <f>IF(AX$221,_xll.ciqfunctions.udf.CIQ($G248, "IQ_VOLUME", AX$222),"--")</f>
        <v>0</v>
      </c>
      <c r="AY248" s="2131">
        <f>IF(AY$221,_xll.ciqfunctions.udf.CIQ($G248, "IQ_VOLUME", AY$222),"--")</f>
        <v>0</v>
      </c>
      <c r="AZ248" s="2131">
        <f>IF(AZ$221,_xll.ciqfunctions.udf.CIQ($G248, "IQ_VOLUME", AZ$222),"--")</f>
        <v>0</v>
      </c>
      <c r="BA248" s="2131">
        <f>IF(BA$221,_xll.ciqfunctions.udf.CIQ($G248, "IQ_VOLUME", BA$222),"--")</f>
        <v>0</v>
      </c>
      <c r="BB248" s="2131">
        <f>IF(BB$221,_xll.ciqfunctions.udf.CIQ($G248, "IQ_VOLUME", BB$222),"--")</f>
        <v>0</v>
      </c>
      <c r="BC248" s="2131">
        <f>IF(BC$221,_xll.ciqfunctions.udf.CIQ($G248, "IQ_VOLUME", BC$222),"--")</f>
        <v>0</v>
      </c>
      <c r="BD248" s="2131">
        <f>IF(BD$221,_xll.ciqfunctions.udf.CIQ($G248, "IQ_VOLUME", BD$222),"--")</f>
        <v>0</v>
      </c>
      <c r="BE248" s="2131">
        <f>IF(BE$221,_xll.ciqfunctions.udf.CIQ($G248, "IQ_VOLUME", BE$222),"--")</f>
        <v>0</v>
      </c>
      <c r="BF248" s="2131">
        <f>IF(BF$221,_xll.ciqfunctions.udf.CIQ($G248, "IQ_VOLUME", BF$222),"--")</f>
        <v>0</v>
      </c>
      <c r="BG248" s="2131">
        <f>IF(BG$221,_xll.ciqfunctions.udf.CIQ($G248, "IQ_VOLUME", BG$222),"--")</f>
        <v>0</v>
      </c>
      <c r="BH248" s="2131">
        <f>IF(BH$221,_xll.ciqfunctions.udf.CIQ($G248, "IQ_VOLUME", BH$222),"--")</f>
        <v>0</v>
      </c>
      <c r="BI248" s="2131">
        <f>IF(BI$221,_xll.ciqfunctions.udf.CIQ($G248, "IQ_VOLUME", BI$222),"--")</f>
        <v>0</v>
      </c>
      <c r="BJ248" s="2131">
        <f>IF(BJ$221,_xll.ciqfunctions.udf.CIQ($G248, "IQ_VOLUME", BJ$222),"--")</f>
        <v>0</v>
      </c>
      <c r="BK248" s="2131">
        <f>IF(BK$221,_xll.ciqfunctions.udf.CIQ($G248, "IQ_VOLUME", BK$222),"--")</f>
        <v>0</v>
      </c>
      <c r="BL248" s="2131">
        <f>IF(BL$221,_xll.ciqfunctions.udf.CIQ($G248, "IQ_VOLUME", BL$222),"--")</f>
        <v>0</v>
      </c>
      <c r="BM248" s="2131">
        <f>IF(BM$221,_xll.ciqfunctions.udf.CIQ($G248, "IQ_VOLUME", BM$222),"--")</f>
        <v>0</v>
      </c>
      <c r="BN248" s="2131">
        <f>IF(BN$221,_xll.ciqfunctions.udf.CIQ($G248, "IQ_VOLUME", BN$222),"--")</f>
        <v>0</v>
      </c>
      <c r="BO248" s="2131">
        <f>IF(BO$221,_xll.ciqfunctions.udf.CIQ($G248, "IQ_VOLUME", BO$222),"--")</f>
        <v>0</v>
      </c>
      <c r="BP248" s="2131">
        <f>IF(BP$221,_xll.ciqfunctions.udf.CIQ($G248, "IQ_VOLUME", BP$222),"--")</f>
        <v>0</v>
      </c>
      <c r="BQ248" s="2131">
        <f>IF(BQ$221,_xll.ciqfunctions.udf.CIQ($G248, "IQ_VOLUME", BQ$222),"--")</f>
        <v>0</v>
      </c>
      <c r="BR248" s="2131">
        <f>IF(BR$221,_xll.ciqfunctions.udf.CIQ($G248, "IQ_VOLUME", BR$222),"--")</f>
        <v>0</v>
      </c>
      <c r="BS248" s="2131">
        <f>IF(BS$221,_xll.ciqfunctions.udf.CIQ($G248, "IQ_VOLUME", BS$222),"--")</f>
        <v>0</v>
      </c>
      <c r="BT248" s="2131">
        <f>IF(BT$221,_xll.ciqfunctions.udf.CIQ($G248, "IQ_VOLUME", BT$222),"--")</f>
        <v>0</v>
      </c>
      <c r="BU248" s="2131">
        <f>IF(BU$221,_xll.ciqfunctions.udf.CIQ($G248, "IQ_VOLUME", BU$222),"--")</f>
        <v>0</v>
      </c>
      <c r="BV248" s="2131">
        <f>IF(BV$221,_xll.ciqfunctions.udf.CIQ($G248, "IQ_VOLUME", BV$222),"--")</f>
        <v>0</v>
      </c>
      <c r="BW248" s="2131">
        <f>IF(BW$221,_xll.ciqfunctions.udf.CIQ($G248, "IQ_VOLUME", BW$222),"--")</f>
        <v>0</v>
      </c>
      <c r="BX248" s="2131">
        <f>IF(BX$221,_xll.ciqfunctions.udf.CIQ($G248, "IQ_VOLUME", BX$222),"--")</f>
        <v>0</v>
      </c>
      <c r="BY248" s="2131">
        <f>IF(BY$221,_xll.ciqfunctions.udf.CIQ($G248, "IQ_VOLUME", BY$222),"--")</f>
        <v>0</v>
      </c>
      <c r="BZ248" s="2131">
        <f>IF(BZ$221,_xll.ciqfunctions.udf.CIQ($G248, "IQ_VOLUME", BZ$222),"--")</f>
        <v>0</v>
      </c>
      <c r="CA248" s="2131">
        <f>IF(CA$221,_xll.ciqfunctions.udf.CIQ($G248, "IQ_VOLUME", CA$222),"--")</f>
        <v>0</v>
      </c>
      <c r="CB248" s="2131">
        <f>IF(CB$221,_xll.ciqfunctions.udf.CIQ($G248, "IQ_VOLUME", CB$222),"--")</f>
        <v>0</v>
      </c>
      <c r="CC248" s="2131">
        <f>IF(CC$221,_xll.ciqfunctions.udf.CIQ($G248, "IQ_VOLUME", CC$222),"--")</f>
        <v>0</v>
      </c>
      <c r="CD248" s="2131">
        <f>IF(CD$221,_xll.ciqfunctions.udf.CIQ($G248, "IQ_VOLUME", CD$222),"--")</f>
        <v>0</v>
      </c>
      <c r="CE248" s="2131">
        <f>IF(CE$221,_xll.ciqfunctions.udf.CIQ($G248, "IQ_VOLUME", CE$222),"--")</f>
        <v>0</v>
      </c>
      <c r="CF248" s="2131">
        <f>IF(CF$221,_xll.ciqfunctions.udf.CIQ($G248, "IQ_VOLUME", CF$222),"--")</f>
        <v>0</v>
      </c>
      <c r="CG248" s="2131">
        <f>IF(CG$221,_xll.ciqfunctions.udf.CIQ($G248, "IQ_VOLUME", CG$222),"--")</f>
        <v>0</v>
      </c>
      <c r="CH248" s="2131">
        <f>IF(CH$221,_xll.ciqfunctions.udf.CIQ($G248, "IQ_VOLUME", CH$222),"--")</f>
        <v>0</v>
      </c>
      <c r="CI248" s="2131">
        <f>IF(CI$221,_xll.ciqfunctions.udf.CIQ($G248, "IQ_VOLUME", CI$222),"--")</f>
        <v>0</v>
      </c>
      <c r="CJ248" s="2131">
        <f>IF(CJ$221,_xll.ciqfunctions.udf.CIQ($G248, "IQ_VOLUME", CJ$222),"--")</f>
        <v>0</v>
      </c>
      <c r="CK248" s="2131">
        <f>IF(CK$221,_xll.ciqfunctions.udf.CIQ($G248, "IQ_VOLUME", CK$222),"--")</f>
        <v>0</v>
      </c>
      <c r="CL248" s="2131">
        <f>IF(CL$221,_xll.ciqfunctions.udf.CIQ($G248, "IQ_VOLUME", CL$222),"--")</f>
        <v>0</v>
      </c>
      <c r="CM248" s="2131">
        <f>IF(CM$221,_xll.ciqfunctions.udf.CIQ($G248, "IQ_VOLUME", CM$222),"--")</f>
        <v>0</v>
      </c>
      <c r="CN248" s="2131">
        <f>IF(CN$221,_xll.ciqfunctions.udf.CIQ($G248, "IQ_VOLUME", CN$222),"--")</f>
        <v>0</v>
      </c>
      <c r="CO248" s="2131">
        <f>IF(CO$221,_xll.ciqfunctions.udf.CIQ($G248, "IQ_VOLUME", CO$222),"--")</f>
        <v>0</v>
      </c>
      <c r="CP248" s="2131">
        <f>IF(CP$221,_xll.ciqfunctions.udf.CIQ($G248, "IQ_VOLUME", CP$222),"--")</f>
        <v>0</v>
      </c>
      <c r="CQ248" s="2131">
        <f>IF(CQ$221,_xll.ciqfunctions.udf.CIQ($G248, "IQ_VOLUME", CQ$222),"--")</f>
        <v>0</v>
      </c>
      <c r="CR248" s="2131">
        <f>IF(CR$221,_xll.ciqfunctions.udf.CIQ($G248, "IQ_VOLUME", CR$222),"--")</f>
        <v>0</v>
      </c>
      <c r="CS248" s="2131">
        <f>IF(CS$221,_xll.ciqfunctions.udf.CIQ($G248, "IQ_VOLUME", CS$222),"--")</f>
        <v>0</v>
      </c>
      <c r="CT248" s="2131">
        <f>IF(CT$221,_xll.ciqfunctions.udf.CIQ($G248, "IQ_VOLUME", CT$222),"--")</f>
        <v>0</v>
      </c>
      <c r="CU248" s="2131">
        <f>IF(CU$221,_xll.ciqfunctions.udf.CIQ($G248, "IQ_VOLUME", CU$222),"--")</f>
        <v>0</v>
      </c>
      <c r="CV248" s="2131">
        <f>IF(CV$221,_xll.ciqfunctions.udf.CIQ($G248, "IQ_VOLUME", CV$222),"--")</f>
        <v>0</v>
      </c>
      <c r="CW248" s="2131">
        <f>IF(CW$221,_xll.ciqfunctions.udf.CIQ($G248, "IQ_VOLUME", CW$222),"--")</f>
        <v>0</v>
      </c>
      <c r="CX248" s="2131">
        <f>IF(CX$221,_xll.ciqfunctions.udf.CIQ($G248, "IQ_VOLUME", CX$222),"--")</f>
        <v>0</v>
      </c>
      <c r="CY248" s="2131">
        <f>IF(CY$221,_xll.ciqfunctions.udf.CIQ($G248, "IQ_VOLUME", CY$222),"--")</f>
        <v>0</v>
      </c>
      <c r="CZ248" s="2131">
        <f>IF(CZ$221,_xll.ciqfunctions.udf.CIQ($G248, "IQ_VOLUME", CZ$222),"--")</f>
        <v>0</v>
      </c>
      <c r="DA248" s="2131">
        <f>IF(DA$221,_xll.ciqfunctions.udf.CIQ($G248, "IQ_VOLUME", DA$222),"--")</f>
        <v>0</v>
      </c>
      <c r="DB248" s="2131">
        <f>IF(DB$221,_xll.ciqfunctions.udf.CIQ($G248, "IQ_VOLUME", DB$222),"--")</f>
        <v>0</v>
      </c>
      <c r="DC248" s="2131">
        <f>IF(DC$221,_xll.ciqfunctions.udf.CIQ($G248, "IQ_VOLUME", DC$222),"--")</f>
        <v>0</v>
      </c>
      <c r="DD248" s="2131">
        <f>IF(DD$221,_xll.ciqfunctions.udf.CIQ($G248, "IQ_VOLUME", DD$222),"--")</f>
        <v>0</v>
      </c>
      <c r="DE248" s="2131">
        <f>IF(DE$221,_xll.ciqfunctions.udf.CIQ($G248, "IQ_VOLUME", DE$222),"--")</f>
        <v>0</v>
      </c>
      <c r="DF248" s="2131">
        <f>IF(DF$221,_xll.ciqfunctions.udf.CIQ($G248, "IQ_VOLUME", DF$222),"--")</f>
        <v>0</v>
      </c>
      <c r="DG248" s="2131">
        <f>IF(DG$221,_xll.ciqfunctions.udf.CIQ($G248, "IQ_VOLUME", DG$222),"--")</f>
        <v>0</v>
      </c>
      <c r="DH248" s="2131">
        <f>IF(DH$221,_xll.ciqfunctions.udf.CIQ($G248, "IQ_VOLUME", DH$222),"--")</f>
        <v>0</v>
      </c>
      <c r="DI248" s="2131">
        <f>IF(DI$221,_xll.ciqfunctions.udf.CIQ($G248, "IQ_VOLUME", DI$222),"--")</f>
        <v>0</v>
      </c>
      <c r="DJ248" s="2131">
        <f>IF(DJ$221,_xll.ciqfunctions.udf.CIQ($G248, "IQ_VOLUME", DJ$222),"--")</f>
        <v>0</v>
      </c>
      <c r="DK248" s="2131">
        <f>IF(DK$221,_xll.ciqfunctions.udf.CIQ($G248, "IQ_VOLUME", DK$222),"--")</f>
        <v>0</v>
      </c>
      <c r="DL248" s="2131">
        <f>IF(DL$221,_xll.ciqfunctions.udf.CIQ($G248, "IQ_VOLUME", DL$222),"--")</f>
        <v>0</v>
      </c>
      <c r="DM248" s="2131">
        <f>IF(DM$221,_xll.ciqfunctions.udf.CIQ($G248, "IQ_VOLUME", DM$222),"--")</f>
        <v>0</v>
      </c>
      <c r="DN248" s="2131">
        <f>IF(DN$221,_xll.ciqfunctions.udf.CIQ($G248, "IQ_VOLUME", DN$222),"--")</f>
        <v>0</v>
      </c>
      <c r="DO248" s="2131">
        <f>IF(DO$221,_xll.ciqfunctions.udf.CIQ($G248, "IQ_VOLUME", DO$222),"--")</f>
        <v>0</v>
      </c>
      <c r="DP248" s="2131">
        <f>IF(DP$221,_xll.ciqfunctions.udf.CIQ($G248, "IQ_VOLUME", DP$222),"--")</f>
        <v>0</v>
      </c>
      <c r="DQ248" s="2131">
        <f>IF(DQ$221,_xll.ciqfunctions.udf.CIQ($G248, "IQ_VOLUME", DQ$222),"--")</f>
        <v>0</v>
      </c>
      <c r="DR248" s="2131">
        <f>IF(DR$221,_xll.ciqfunctions.udf.CIQ($G248, "IQ_VOLUME", DR$222),"--")</f>
        <v>0</v>
      </c>
      <c r="DS248" s="2131">
        <f>IF(DS$221,_xll.ciqfunctions.udf.CIQ($G248, "IQ_VOLUME", DS$222),"--")</f>
        <v>0</v>
      </c>
      <c r="DT248" s="2131">
        <f>IF(DT$221,_xll.ciqfunctions.udf.CIQ($G248, "IQ_VOLUME", DT$222),"--")</f>
        <v>0</v>
      </c>
      <c r="DU248" s="2131">
        <f>IF(DU$221,_xll.ciqfunctions.udf.CIQ($G248, "IQ_VOLUME", DU$222),"--")</f>
        <v>0</v>
      </c>
      <c r="DV248" s="2131">
        <f>IF(DV$221,_xll.ciqfunctions.udf.CIQ($G248, "IQ_VOLUME", DV$222),"--")</f>
        <v>0</v>
      </c>
      <c r="DW248" s="2131">
        <f>IF(DW$221,_xll.ciqfunctions.udf.CIQ($G248, "IQ_VOLUME", DW$222),"--")</f>
        <v>0</v>
      </c>
      <c r="DX248" s="2131">
        <f>IF(DX$221,_xll.ciqfunctions.udf.CIQ($G248, "IQ_VOLUME", DX$222),"--")</f>
        <v>0</v>
      </c>
      <c r="DY248" s="2131">
        <f>IF(DY$221,_xll.ciqfunctions.udf.CIQ($G248, "IQ_VOLUME", DY$222),"--")</f>
        <v>0</v>
      </c>
      <c r="DZ248" s="2131">
        <f>IF(DZ$221,_xll.ciqfunctions.udf.CIQ($G248, "IQ_VOLUME", DZ$222),"--")</f>
        <v>0</v>
      </c>
      <c r="EA248" s="2131">
        <f>IF(EA$221,_xll.ciqfunctions.udf.CIQ($G248, "IQ_VOLUME", EA$222),"--")</f>
        <v>0</v>
      </c>
      <c r="EB248" s="2131">
        <f>IF(EB$221,_xll.ciqfunctions.udf.CIQ($G248, "IQ_VOLUME", EB$222),"--")</f>
        <v>0</v>
      </c>
      <c r="EC248" s="2131">
        <f>IF(EC$221,_xll.ciqfunctions.udf.CIQ($G248, "IQ_VOLUME", EC$222),"--")</f>
        <v>0</v>
      </c>
      <c r="ED248" s="2131">
        <f>IF(ED$221,_xll.ciqfunctions.udf.CIQ($G248, "IQ_VOLUME", ED$222),"--")</f>
        <v>0</v>
      </c>
      <c r="EE248" s="2131">
        <f>IF(EE$221,_xll.ciqfunctions.udf.CIQ($G248, "IQ_VOLUME", EE$222),"--")</f>
        <v>0</v>
      </c>
      <c r="EF248" s="2131">
        <f>IF(EF$221,_xll.ciqfunctions.udf.CIQ($G248, "IQ_VOLUME", EF$222),"--")</f>
        <v>0</v>
      </c>
      <c r="EG248" s="2131">
        <f>IF(EG$221,_xll.ciqfunctions.udf.CIQ($G248, "IQ_VOLUME", EG$222),"--")</f>
        <v>0</v>
      </c>
      <c r="EH248" s="2131">
        <f>IF(EH$221,_xll.ciqfunctions.udf.CIQ($G248, "IQ_VOLUME", EH$222),"--")</f>
        <v>0</v>
      </c>
      <c r="EI248" s="2131">
        <f>IF(EI$221,_xll.ciqfunctions.udf.CIQ($G248, "IQ_VOLUME", EI$222),"--")</f>
        <v>0</v>
      </c>
      <c r="EJ248" s="2131">
        <f>IF(EJ$221,_xll.ciqfunctions.udf.CIQ($G248, "IQ_VOLUME", EJ$222),"--")</f>
        <v>0</v>
      </c>
      <c r="EK248" s="2131">
        <f>IF(EK$221,_xll.ciqfunctions.udf.CIQ($G248, "IQ_VOLUME", EK$222),"--")</f>
        <v>0</v>
      </c>
      <c r="EL248" s="2131">
        <f>IF(EL$221,_xll.ciqfunctions.udf.CIQ($G248, "IQ_VOLUME", EL$222),"--")</f>
        <v>0</v>
      </c>
      <c r="EM248" s="2131">
        <f>IF(EM$221,_xll.ciqfunctions.udf.CIQ($G248, "IQ_VOLUME", EM$222),"--")</f>
        <v>0</v>
      </c>
      <c r="EN248" s="2131">
        <f>IF(EN$221,_xll.ciqfunctions.udf.CIQ($G248, "IQ_VOLUME", EN$222),"--")</f>
        <v>0</v>
      </c>
      <c r="EO248" s="2131">
        <f>IF(EO$221,_xll.ciqfunctions.udf.CIQ($G248, "IQ_VOLUME", EO$222),"--")</f>
        <v>0</v>
      </c>
      <c r="EP248" s="2131">
        <f>IF(EP$221,_xll.ciqfunctions.udf.CIQ($G248, "IQ_VOLUME", EP$222),"--")</f>
        <v>0</v>
      </c>
      <c r="EQ248" s="2131">
        <f>IF(EQ$221,_xll.ciqfunctions.udf.CIQ($G248, "IQ_VOLUME", EQ$222),"--")</f>
        <v>0</v>
      </c>
      <c r="ER248" s="2131">
        <f>IF(ER$221,_xll.ciqfunctions.udf.CIQ($G248, "IQ_VOLUME", ER$222),"--")</f>
        <v>0</v>
      </c>
      <c r="ES248" s="2131">
        <f>IF(ES$221,_xll.ciqfunctions.udf.CIQ($G248, "IQ_VOLUME", ES$222),"--")</f>
        <v>0</v>
      </c>
      <c r="ET248" s="2131">
        <f>IF(ET$221,_xll.ciqfunctions.udf.CIQ($G248, "IQ_VOLUME", ET$222),"--")</f>
        <v>0</v>
      </c>
      <c r="EU248" s="2131">
        <f>IF(EU$221,_xll.ciqfunctions.udf.CIQ($G248, "IQ_VOLUME", EU$222),"--")</f>
        <v>0</v>
      </c>
      <c r="EV248" s="2131">
        <f>IF(EV$221,_xll.ciqfunctions.udf.CIQ($G248, "IQ_VOLUME", EV$222),"--")</f>
        <v>0</v>
      </c>
      <c r="EW248" s="2131">
        <f>IF(EW$221,_xll.ciqfunctions.udf.CIQ($G248, "IQ_VOLUME", EW$222),"--")</f>
        <v>0</v>
      </c>
      <c r="EX248" s="2131">
        <f>IF(EX$221,_xll.ciqfunctions.udf.CIQ($G248, "IQ_VOLUME", EX$222),"--")</f>
        <v>0</v>
      </c>
      <c r="EY248" s="2131">
        <f>IF(EY$221,_xll.ciqfunctions.udf.CIQ($G248, "IQ_VOLUME", EY$222),"--")</f>
        <v>0</v>
      </c>
      <c r="EZ248" s="2131">
        <f>IF(EZ$221,_xll.ciqfunctions.udf.CIQ($G248, "IQ_VOLUME", EZ$222),"--")</f>
        <v>0</v>
      </c>
      <c r="FA248" s="2131">
        <f>IF(FA$221,_xll.ciqfunctions.udf.CIQ($G248, "IQ_VOLUME", FA$222),"--")</f>
        <v>0</v>
      </c>
      <c r="FB248" s="2131">
        <f>IF(FB$221,_xll.ciqfunctions.udf.CIQ($G248, "IQ_VOLUME", FB$222),"--")</f>
        <v>0</v>
      </c>
      <c r="FC248" s="2131">
        <f>IF(FC$221,_xll.ciqfunctions.udf.CIQ($G248, "IQ_VOLUME", FC$222),"--")</f>
        <v>0</v>
      </c>
      <c r="FD248" s="2131">
        <f>IF(FD$221,_xll.ciqfunctions.udf.CIQ($G248, "IQ_VOLUME", FD$222),"--")</f>
        <v>0</v>
      </c>
      <c r="FE248" s="2131">
        <f>IF(FE$221,_xll.ciqfunctions.udf.CIQ($G248, "IQ_VOLUME", FE$222),"--")</f>
        <v>0</v>
      </c>
      <c r="FF248" s="2131">
        <f>IF(FF$221,_xll.ciqfunctions.udf.CIQ($G248, "IQ_VOLUME", FF$222),"--")</f>
        <v>0</v>
      </c>
      <c r="FG248" s="2131">
        <f>IF(FG$221,_xll.ciqfunctions.udf.CIQ($G248, "IQ_VOLUME", FG$222),"--")</f>
        <v>0</v>
      </c>
      <c r="FH248" s="2131">
        <f>IF(FH$221,_xll.ciqfunctions.udf.CIQ($G248, "IQ_VOLUME", FH$222),"--")</f>
        <v>0</v>
      </c>
      <c r="FI248" s="2131">
        <f>IF(FI$221,_xll.ciqfunctions.udf.CIQ($G248, "IQ_VOLUME", FI$222),"--")</f>
        <v>0</v>
      </c>
      <c r="FJ248" s="2131">
        <f>IF(FJ$221,_xll.ciqfunctions.udf.CIQ($G248, "IQ_VOLUME", FJ$222),"--")</f>
        <v>0</v>
      </c>
      <c r="FK248" s="2131">
        <f>IF(FK$221,_xll.ciqfunctions.udf.CIQ($G248, "IQ_VOLUME", FK$222),"--")</f>
        <v>0</v>
      </c>
      <c r="FL248" s="2131">
        <f>IF(FL$221,_xll.ciqfunctions.udf.CIQ($G248, "IQ_VOLUME", FL$222),"--")</f>
        <v>0</v>
      </c>
      <c r="FM248" s="2131">
        <f>IF(FM$221,_xll.ciqfunctions.udf.CIQ($G248, "IQ_VOLUME", FM$222),"--")</f>
        <v>0</v>
      </c>
      <c r="FN248" s="2131">
        <f>IF(FN$221,_xll.ciqfunctions.udf.CIQ($G248, "IQ_VOLUME", FN$222),"--")</f>
        <v>0</v>
      </c>
      <c r="FO248" s="2131">
        <f>IF(FO$221,_xll.ciqfunctions.udf.CIQ($G248, "IQ_VOLUME", FO$222),"--")</f>
        <v>0</v>
      </c>
      <c r="FP248" s="2131">
        <f>IF(FP$221,_xll.ciqfunctions.udf.CIQ($G248, "IQ_VOLUME", FP$222),"--")</f>
        <v>0</v>
      </c>
      <c r="FQ248" s="2131">
        <f>IF(FQ$221,_xll.ciqfunctions.udf.CIQ($G248, "IQ_VOLUME", FQ$222),"--")</f>
        <v>0</v>
      </c>
      <c r="FR248" s="2131">
        <f>IF(FR$221,_xll.ciqfunctions.udf.CIQ($G248, "IQ_VOLUME", FR$222),"--")</f>
        <v>0</v>
      </c>
      <c r="FS248" s="2131">
        <f>IF(FS$221,_xll.ciqfunctions.udf.CIQ($G248, "IQ_VOLUME", FS$222),"--")</f>
        <v>0</v>
      </c>
      <c r="FT248" s="2131">
        <f>IF(FT$221,_xll.ciqfunctions.udf.CIQ($G248, "IQ_VOLUME", FT$222),"--")</f>
        <v>0</v>
      </c>
      <c r="FU248" s="2131">
        <f>IF(FU$221,_xll.ciqfunctions.udf.CIQ($G248, "IQ_VOLUME", FU$222),"--")</f>
        <v>0</v>
      </c>
      <c r="FV248" s="2131">
        <f>IF(FV$221,_xll.ciqfunctions.udf.CIQ($G248, "IQ_VOLUME", FV$222),"--")</f>
        <v>0</v>
      </c>
      <c r="FW248" s="2131">
        <f>IF(FW$221,_xll.ciqfunctions.udf.CIQ($G248, "IQ_VOLUME", FW$222),"--")</f>
        <v>0</v>
      </c>
      <c r="FX248" s="2131">
        <f>IF(FX$221,_xll.ciqfunctions.udf.CIQ($G248, "IQ_VOLUME", FX$222),"--")</f>
        <v>0</v>
      </c>
      <c r="FY248" s="2131">
        <f>IF(FY$221,_xll.ciqfunctions.udf.CIQ($G248, "IQ_VOLUME", FY$222),"--")</f>
        <v>0</v>
      </c>
      <c r="FZ248" s="2131">
        <f>IF(FZ$221,_xll.ciqfunctions.udf.CIQ($G248, "IQ_VOLUME", FZ$222),"--")</f>
        <v>0</v>
      </c>
      <c r="GA248" s="2131">
        <f>IF(GA$221,_xll.ciqfunctions.udf.CIQ($G248, "IQ_VOLUME", GA$222),"--")</f>
        <v>0</v>
      </c>
      <c r="GB248" s="2131">
        <f>IF(GB$221,_xll.ciqfunctions.udf.CIQ($G248, "IQ_VOLUME", GB$222),"--")</f>
        <v>0</v>
      </c>
      <c r="GC248" s="2131">
        <f>IF(GC$221,_xll.ciqfunctions.udf.CIQ($G248, "IQ_VOLUME", GC$222),"--")</f>
        <v>0</v>
      </c>
      <c r="GD248" s="2131">
        <f>IF(GD$221,_xll.ciqfunctions.udf.CIQ($G248, "IQ_VOLUME", GD$222),"--")</f>
        <v>0</v>
      </c>
      <c r="GE248" s="2131">
        <f>IF(GE$221,_xll.ciqfunctions.udf.CIQ($G248, "IQ_VOLUME", GE$222),"--")</f>
        <v>0</v>
      </c>
      <c r="GF248" s="2131">
        <f>IF(GF$221,_xll.ciqfunctions.udf.CIQ($G248, "IQ_VOLUME", GF$222),"--")</f>
        <v>0</v>
      </c>
      <c r="GG248" s="2131">
        <f>IF(GG$221,_xll.ciqfunctions.udf.CIQ($G248, "IQ_VOLUME", GG$222),"--")</f>
        <v>0</v>
      </c>
      <c r="GH248" s="2131">
        <f>IF(GH$221,_xll.ciqfunctions.udf.CIQ($G248, "IQ_VOLUME", GH$222),"--")</f>
        <v>0</v>
      </c>
      <c r="GI248" s="2131">
        <f>IF(GI$221,_xll.ciqfunctions.udf.CIQ($G248, "IQ_VOLUME", GI$222),"--")</f>
        <v>0</v>
      </c>
      <c r="GJ248" s="2131">
        <f>IF(GJ$221,_xll.ciqfunctions.udf.CIQ($G248, "IQ_VOLUME", GJ$222),"--")</f>
        <v>0</v>
      </c>
      <c r="GK248" s="2131">
        <f>IF(GK$221,_xll.ciqfunctions.udf.CIQ($G248, "IQ_VOLUME", GK$222),"--")</f>
        <v>0</v>
      </c>
      <c r="GL248" s="2131">
        <f>IF(GL$221,_xll.ciqfunctions.udf.CIQ($G248, "IQ_VOLUME", GL$222),"--")</f>
        <v>0</v>
      </c>
      <c r="GM248" s="2131">
        <f>IF(GM$221,_xll.ciqfunctions.udf.CIQ($G248, "IQ_VOLUME", GM$222),"--")</f>
        <v>0</v>
      </c>
      <c r="GN248" s="2131">
        <f>IF(GN$221,_xll.ciqfunctions.udf.CIQ($G248, "IQ_VOLUME", GN$222),"--")</f>
        <v>0</v>
      </c>
      <c r="GO248" s="2131">
        <f>IF(GO$221,_xll.ciqfunctions.udf.CIQ($G248, "IQ_VOLUME", GO$222),"--")</f>
        <v>0</v>
      </c>
      <c r="GP248" s="2131">
        <f>IF(GP$221,_xll.ciqfunctions.udf.CIQ($G248, "IQ_VOLUME", GP$222),"--")</f>
        <v>0</v>
      </c>
      <c r="GQ248" s="2131">
        <f>IF(GQ$221,_xll.ciqfunctions.udf.CIQ($G248, "IQ_VOLUME", GQ$222),"--")</f>
        <v>0</v>
      </c>
      <c r="GR248" s="2131">
        <f>IF(GR$221,_xll.ciqfunctions.udf.CIQ($G248, "IQ_VOLUME", GR$222),"--")</f>
        <v>0</v>
      </c>
      <c r="GS248" s="2131">
        <f>IF(GS$221,_xll.ciqfunctions.udf.CIQ($G248, "IQ_VOLUME", GS$222),"--")</f>
        <v>0</v>
      </c>
      <c r="GT248" s="2131">
        <f>IF(GT$221,_xll.ciqfunctions.udf.CIQ($G248, "IQ_VOLUME", GT$222),"--")</f>
        <v>0</v>
      </c>
      <c r="GU248" s="2131">
        <f>IF(GU$221,_xll.ciqfunctions.udf.CIQ($G248, "IQ_VOLUME", GU$222),"--")</f>
        <v>0</v>
      </c>
      <c r="GV248" s="2131">
        <f>IF(GV$221,_xll.ciqfunctions.udf.CIQ($G248, "IQ_VOLUME", GV$222),"--")</f>
        <v>0</v>
      </c>
      <c r="GW248" s="2131">
        <f>IF(GW$221,_xll.ciqfunctions.udf.CIQ($G248, "IQ_VOLUME", GW$222),"--")</f>
        <v>0</v>
      </c>
      <c r="GX248" s="2131">
        <f>IF(GX$221,_xll.ciqfunctions.udf.CIQ($G248, "IQ_VOLUME", GX$222),"--")</f>
        <v>0</v>
      </c>
      <c r="GY248" s="2131">
        <f>IF(GY$221,_xll.ciqfunctions.udf.CIQ($G248, "IQ_VOLUME", GY$222),"--")</f>
        <v>0</v>
      </c>
      <c r="GZ248" s="2131">
        <f>IF(GZ$221,_xll.ciqfunctions.udf.CIQ($G248, "IQ_VOLUME", GZ$222),"--")</f>
        <v>0</v>
      </c>
      <c r="HA248" s="2131">
        <f>IF(HA$221,_xll.ciqfunctions.udf.CIQ($G248, "IQ_VOLUME", HA$222),"--")</f>
        <v>0</v>
      </c>
      <c r="HB248" s="2131">
        <f>IF(HB$221,_xll.ciqfunctions.udf.CIQ($G248, "IQ_VOLUME", HB$222),"--")</f>
        <v>0</v>
      </c>
      <c r="HC248" s="2131">
        <f>IF(HC$221,_xll.ciqfunctions.udf.CIQ($G248, "IQ_VOLUME", HC$222),"--")</f>
        <v>0</v>
      </c>
      <c r="HD248" s="2131">
        <f>IF(HD$221,_xll.ciqfunctions.udf.CIQ($G248, "IQ_VOLUME", HD$222),"--")</f>
        <v>0</v>
      </c>
      <c r="HE248" s="2131">
        <f>IF(HE$221,_xll.ciqfunctions.udf.CIQ($G248, "IQ_VOLUME", HE$222),"--")</f>
        <v>0</v>
      </c>
      <c r="HF248" s="2131">
        <f>IF(HF$221,_xll.ciqfunctions.udf.CIQ($G248, "IQ_VOLUME", HF$222),"--")</f>
        <v>0</v>
      </c>
      <c r="HG248" s="2131">
        <f>IF(HG$221,_xll.ciqfunctions.udf.CIQ($G248, "IQ_VOLUME", HG$222),"--")</f>
        <v>0</v>
      </c>
      <c r="HH248" s="2131">
        <f>IF(HH$221,_xll.ciqfunctions.udf.CIQ($G248, "IQ_VOLUME", HH$222),"--")</f>
        <v>0</v>
      </c>
      <c r="HI248" s="2131">
        <f>IF(HI$221,_xll.ciqfunctions.udf.CIQ($G248, "IQ_VOLUME", HI$222),"--")</f>
        <v>0</v>
      </c>
      <c r="HJ248" s="2131">
        <f>IF(HJ$221,_xll.ciqfunctions.udf.CIQ($G248, "IQ_VOLUME", HJ$222),"--")</f>
        <v>0</v>
      </c>
      <c r="HK248" s="2131">
        <f>IF(HK$221,_xll.ciqfunctions.udf.CIQ($G248, "IQ_VOLUME", HK$222),"--")</f>
        <v>0</v>
      </c>
      <c r="HL248" s="2131">
        <f>IF(HL$221,_xll.ciqfunctions.udf.CIQ($G248, "IQ_VOLUME", HL$222),"--")</f>
        <v>0</v>
      </c>
      <c r="HM248" s="2131">
        <f>IF(HM$221,_xll.ciqfunctions.udf.CIQ($G248, "IQ_VOLUME", HM$222),"--")</f>
        <v>0</v>
      </c>
      <c r="HN248" s="2131">
        <f>IF(HN$221,_xll.ciqfunctions.udf.CIQ($G248, "IQ_VOLUME", HN$222),"--")</f>
        <v>0</v>
      </c>
      <c r="HO248" s="2131">
        <f>IF(HO$221,_xll.ciqfunctions.udf.CIQ($G248, "IQ_VOLUME", HO$222),"--")</f>
        <v>0</v>
      </c>
      <c r="HP248" s="2131">
        <f>IF(HP$221,_xll.ciqfunctions.udf.CIQ($G248, "IQ_VOLUME", HP$222),"--")</f>
        <v>0</v>
      </c>
      <c r="HQ248" s="2131">
        <f>IF(HQ$221,_xll.ciqfunctions.udf.CIQ($G248, "IQ_VOLUME", HQ$222),"--")</f>
        <v>0</v>
      </c>
      <c r="HR248" s="2131">
        <f>IF(HR$221,_xll.ciqfunctions.udf.CIQ($G248, "IQ_VOLUME", HR$222),"--")</f>
        <v>0</v>
      </c>
      <c r="HS248" s="2131">
        <f>IF(HS$221,_xll.ciqfunctions.udf.CIQ($G248, "IQ_VOLUME", HS$222),"--")</f>
        <v>0</v>
      </c>
      <c r="HT248" s="2131">
        <f>IF(HT$221,_xll.ciqfunctions.udf.CIQ($G248, "IQ_VOLUME", HT$222),"--")</f>
        <v>0</v>
      </c>
      <c r="HU248" s="2131">
        <f>IF(HU$221,_xll.ciqfunctions.udf.CIQ($G248, "IQ_VOLUME", HU$222),"--")</f>
        <v>0</v>
      </c>
      <c r="HV248" s="2131">
        <f>IF(HV$221,_xll.ciqfunctions.udf.CIQ($G248, "IQ_VOLUME", HV$222),"--")</f>
        <v>0</v>
      </c>
      <c r="HW248" s="2131">
        <f>IF(HW$221,_xll.ciqfunctions.udf.CIQ($G248, "IQ_VOLUME", HW$222),"--")</f>
        <v>0</v>
      </c>
      <c r="HX248" s="2131">
        <f>IF(HX$221,_xll.ciqfunctions.udf.CIQ($G248, "IQ_VOLUME", HX$222),"--")</f>
        <v>0</v>
      </c>
      <c r="HY248" s="2131">
        <f>IF(HY$221,_xll.ciqfunctions.udf.CIQ($G248, "IQ_VOLUME", HY$222),"--")</f>
        <v>0</v>
      </c>
      <c r="HZ248" s="2131">
        <f>IF(HZ$221,_xll.ciqfunctions.udf.CIQ($G248, "IQ_VOLUME", HZ$222),"--")</f>
        <v>0</v>
      </c>
      <c r="IA248" s="2131">
        <f>IF(IA$221,_xll.ciqfunctions.udf.CIQ($G248, "IQ_VOLUME", IA$222),"--")</f>
        <v>0</v>
      </c>
      <c r="IB248" s="2131">
        <f>IF(IB$221,_xll.ciqfunctions.udf.CIQ($G248, "IQ_VOLUME", IB$222),"--")</f>
        <v>0</v>
      </c>
      <c r="IC248" s="2131">
        <f>IF(IC$221,_xll.ciqfunctions.udf.CIQ($G248, "IQ_VOLUME", IC$222),"--")</f>
        <v>0</v>
      </c>
      <c r="ID248" s="2131">
        <f>IF(ID$221,_xll.ciqfunctions.udf.CIQ($G248, "IQ_VOLUME", ID$222),"--")</f>
        <v>0</v>
      </c>
      <c r="IE248" s="2131">
        <f>IF(IE$221,_xll.ciqfunctions.udf.CIQ($G248, "IQ_VOLUME", IE$222),"--")</f>
        <v>0</v>
      </c>
      <c r="IF248" s="2131">
        <f>IF(IF$221,_xll.ciqfunctions.udf.CIQ($G248, "IQ_VOLUME", IF$222),"--")</f>
        <v>0</v>
      </c>
      <c r="IG248" s="2131">
        <f>IF(IG$221,_xll.ciqfunctions.udf.CIQ($G248, "IQ_VOLUME", IG$222),"--")</f>
        <v>0</v>
      </c>
      <c r="IH248" s="2131">
        <f>IF(IH$221,_xll.ciqfunctions.udf.CIQ($G248, "IQ_VOLUME", IH$222),"--")</f>
        <v>0</v>
      </c>
      <c r="II248" s="2131">
        <f>IF(II$221,_xll.ciqfunctions.udf.CIQ($G248, "IQ_VOLUME", II$222),"--")</f>
        <v>0</v>
      </c>
      <c r="IJ248" s="2131">
        <f>IF(IJ$221,_xll.ciqfunctions.udf.CIQ($G248, "IQ_VOLUME", IJ$222),"--")</f>
        <v>0</v>
      </c>
      <c r="IK248" s="2131">
        <f>IF(IK$221,_xll.ciqfunctions.udf.CIQ($G248, "IQ_VOLUME", IK$222),"--")</f>
        <v>0</v>
      </c>
      <c r="IL248" s="2131">
        <f>IF(IL$221,_xll.ciqfunctions.udf.CIQ($G248, "IQ_VOLUME", IL$222),"--")</f>
        <v>0</v>
      </c>
      <c r="IM248" s="2131">
        <f>IF(IM$221,_xll.ciqfunctions.udf.CIQ($G248, "IQ_VOLUME", IM$222),"--")</f>
        <v>0</v>
      </c>
      <c r="IN248" s="2131">
        <f>IF(IN$221,_xll.ciqfunctions.udf.CIQ($G248, "IQ_VOLUME", IN$222),"--")</f>
        <v>0</v>
      </c>
      <c r="IO248" s="2131">
        <f>IF(IO$221,_xll.ciqfunctions.udf.CIQ($G248, "IQ_VOLUME", IO$222),"--")</f>
        <v>0</v>
      </c>
      <c r="IP248" s="2131">
        <f>IF(IP$221,_xll.ciqfunctions.udf.CIQ($G248, "IQ_VOLUME", IP$222),"--")</f>
        <v>0</v>
      </c>
      <c r="IQ248" s="2131">
        <f>IF(IQ$221,_xll.ciqfunctions.udf.CIQ($G248, "IQ_VOLUME", IQ$222),"--")</f>
        <v>0</v>
      </c>
      <c r="IR248" s="2131">
        <f>IF(IR$221,_xll.ciqfunctions.udf.CIQ($G248, "IQ_VOLUME", IR$222),"--")</f>
        <v>0</v>
      </c>
      <c r="IS248" s="2131">
        <f>IF(IS$221,_xll.ciqfunctions.udf.CIQ($G248, "IQ_VOLUME", IS$222),"--")</f>
        <v>0</v>
      </c>
      <c r="IT248" s="2131">
        <f>IF(IT$221,_xll.ciqfunctions.udf.CIQ($G248, "IQ_VOLUME", IT$222),"--")</f>
        <v>0</v>
      </c>
      <c r="IU248" s="2131">
        <f>IF(IU$221,_xll.ciqfunctions.udf.CIQ($G248, "IQ_VOLUME", IU$222),"--")</f>
        <v>0</v>
      </c>
      <c r="IV248" s="2131">
        <f>IF(IV$221,_xll.ciqfunctions.udf.CIQ($G248, "IQ_VOLUME", IV$222),"--")</f>
        <v>0</v>
      </c>
      <c r="IW248" s="2131">
        <f>IF(IW$221,_xll.ciqfunctions.udf.CIQ($G248, "IQ_VOLUME", IW$222),"--")</f>
        <v>0</v>
      </c>
      <c r="IX248" s="2131">
        <f>IF(IX$221,_xll.ciqfunctions.udf.CIQ($G248, "IQ_VOLUME", IX$222),"--")</f>
        <v>0</v>
      </c>
      <c r="IY248" s="2131">
        <f>IF(IY$221,_xll.ciqfunctions.udf.CIQ($G248, "IQ_VOLUME", IY$222),"--")</f>
        <v>0</v>
      </c>
      <c r="IZ248" s="2131">
        <f>IF(IZ$221,_xll.ciqfunctions.udf.CIQ($G248, "IQ_VOLUME", IZ$222),"--")</f>
        <v>0</v>
      </c>
      <c r="JA248" s="2131">
        <f>IF(JA$221,_xll.ciqfunctions.udf.CIQ($G248, "IQ_VOLUME", JA$222),"--")</f>
        <v>0</v>
      </c>
      <c r="JB248" s="2131">
        <f>IF(JB$221,_xll.ciqfunctions.udf.CIQ($G248, "IQ_VOLUME", JB$222),"--")</f>
        <v>0</v>
      </c>
      <c r="JC248" s="2131">
        <f>IF(JC$221,_xll.ciqfunctions.udf.CIQ($G248, "IQ_VOLUME", JC$222),"--")</f>
        <v>0</v>
      </c>
      <c r="JD248" s="2131">
        <f>IF(JD$221,_xll.ciqfunctions.udf.CIQ($G248, "IQ_VOLUME", JD$222),"--")</f>
        <v>0</v>
      </c>
      <c r="JE248" s="2131">
        <f>IF(JE$221,_xll.ciqfunctions.udf.CIQ($G248, "IQ_VOLUME", JE$222),"--")</f>
        <v>0</v>
      </c>
      <c r="JF248" s="2131">
        <f>IF(JF$221,_xll.ciqfunctions.udf.CIQ($G248, "IQ_VOLUME", JF$222),"--")</f>
        <v>0</v>
      </c>
      <c r="JG248" s="2131">
        <f>IF(JG$221,_xll.ciqfunctions.udf.CIQ($G248, "IQ_VOLUME", JG$222),"--")</f>
        <v>0</v>
      </c>
      <c r="JH248" s="2131">
        <f>IF(JH$221,_xll.ciqfunctions.udf.CIQ($G248, "IQ_VOLUME", JH$222),"--")</f>
        <v>0</v>
      </c>
      <c r="JI248" s="2131">
        <f>IF(JI$221,_xll.ciqfunctions.udf.CIQ($G248, "IQ_VOLUME", JI$222),"--")</f>
        <v>0</v>
      </c>
      <c r="JJ248" s="2131">
        <f>IF(JJ$221,_xll.ciqfunctions.udf.CIQ($G248, "IQ_VOLUME", JJ$222),"--")</f>
        <v>0</v>
      </c>
      <c r="JK248" s="2131">
        <f>IF(JK$221,_xll.ciqfunctions.udf.CIQ($G248, "IQ_VOLUME", JK$222),"--")</f>
        <v>0</v>
      </c>
      <c r="JL248" s="2131">
        <f>IF(JL$221,_xll.ciqfunctions.udf.CIQ($G248, "IQ_VOLUME", JL$222),"--")</f>
        <v>0</v>
      </c>
      <c r="JM248" s="2131">
        <f>IF(JM$221,_xll.ciqfunctions.udf.CIQ($G248, "IQ_VOLUME", JM$222),"--")</f>
        <v>0</v>
      </c>
      <c r="JN248" s="2131">
        <f>IF(JN$221,_xll.ciqfunctions.udf.CIQ($G248, "IQ_VOLUME", JN$222),"--")</f>
        <v>0</v>
      </c>
      <c r="JO248" s="2131">
        <f>IF(JO$221,_xll.ciqfunctions.udf.CIQ($G248, "IQ_VOLUME", JO$222),"--")</f>
        <v>0</v>
      </c>
      <c r="JP248" s="2131">
        <f>IF(JP$221,_xll.ciqfunctions.udf.CIQ($G248, "IQ_VOLUME", JP$222),"--")</f>
        <v>0</v>
      </c>
      <c r="JQ248" s="2131">
        <f>IF(JQ$221,_xll.ciqfunctions.udf.CIQ($G248, "IQ_VOLUME", JQ$222),"--")</f>
        <v>0</v>
      </c>
      <c r="JR248" s="2131">
        <f>IF(JR$221,_xll.ciqfunctions.udf.CIQ($G248, "IQ_VOLUME", JR$222),"--")</f>
        <v>0</v>
      </c>
      <c r="JS248" s="2131">
        <f>IF(JS$221,_xll.ciqfunctions.udf.CIQ($G248, "IQ_VOLUME", JS$222),"--")</f>
        <v>0</v>
      </c>
      <c r="JT248" s="2131">
        <f>IF(JT$221,_xll.ciqfunctions.udf.CIQ($G248, "IQ_VOLUME", JT$222),"--")</f>
        <v>0</v>
      </c>
      <c r="JU248" s="2131">
        <f>IF(JU$221,_xll.ciqfunctions.udf.CIQ($G248, "IQ_VOLUME", JU$222),"--")</f>
        <v>0</v>
      </c>
      <c r="JV248" s="2131">
        <f>IF(JV$221,_xll.ciqfunctions.udf.CIQ($G248, "IQ_VOLUME", JV$222),"--")</f>
        <v>0</v>
      </c>
      <c r="JW248" s="2131" t="str">
        <f>IF(JW$221,_xll.ciqfunctions.udf.CIQ($G248, "IQ_VOLUME", JW$222),"--")</f>
        <v>--</v>
      </c>
      <c r="JX248" s="2131" t="str">
        <f>IF(JX$221,_xll.ciqfunctions.udf.CIQ($G248, "IQ_VOLUME", JX$222),"--")</f>
        <v>--</v>
      </c>
      <c r="JY248" s="2131" t="str">
        <f>IF(JY$221,_xll.ciqfunctions.udf.CIQ($G248, "IQ_VOLUME", JY$222),"--")</f>
        <v>--</v>
      </c>
      <c r="JZ248" s="2131" t="str">
        <f>IF(JZ$221,_xll.ciqfunctions.udf.CIQ($G248, "IQ_VOLUME", JZ$222),"--")</f>
        <v>--</v>
      </c>
      <c r="KA248" s="2131" t="str">
        <f>IF(KA$221,_xll.ciqfunctions.udf.CIQ($G248, "IQ_VOLUME", KA$222),"--")</f>
        <v>--</v>
      </c>
      <c r="KB248" s="2131" t="str">
        <f>IF(KB$221,_xll.ciqfunctions.udf.CIQ($G248, "IQ_VOLUME", KB$222),"--")</f>
        <v>--</v>
      </c>
    </row>
    <row r="249" spans="1:288" s="89" customFormat="1" ht="13.9">
      <c r="A249" s="2060"/>
      <c r="B249" s="2060"/>
      <c r="D249" s="801"/>
      <c r="F249" s="57" t="s">
        <v>767</v>
      </c>
      <c r="G249" s="1442"/>
      <c r="H249" s="1442"/>
      <c r="I249" s="1442"/>
      <c r="J249" s="1442"/>
      <c r="K249" s="1443" t="str">
        <f t="shared" ref="K249:P249" si="48">IFERROR(MEDIAN(K224:K248),"--")</f>
        <v>--</v>
      </c>
      <c r="L249" s="1443" t="str">
        <f t="shared" si="48"/>
        <v>--</v>
      </c>
      <c r="M249" s="1443" t="str">
        <f t="shared" si="48"/>
        <v>--</v>
      </c>
      <c r="N249" s="1443" t="str">
        <f t="shared" si="48"/>
        <v>--</v>
      </c>
      <c r="O249" s="1444" t="str">
        <f t="shared" si="48"/>
        <v>--</v>
      </c>
      <c r="P249" s="1443" t="str">
        <f t="shared" si="48"/>
        <v>--</v>
      </c>
      <c r="R249" s="255"/>
    </row>
    <row r="250" spans="1:288" s="89" customFormat="1" ht="13.9">
      <c r="A250" s="2060"/>
      <c r="B250" s="2060"/>
      <c r="D250" s="785"/>
      <c r="E250" s="21"/>
      <c r="F250" s="250"/>
      <c r="G250" s="48"/>
      <c r="H250" s="48"/>
      <c r="I250" s="48"/>
      <c r="J250" s="1441"/>
      <c r="K250" s="1441"/>
      <c r="O250" s="75"/>
      <c r="P250" s="76"/>
      <c r="R250" s="255"/>
    </row>
    <row r="251" spans="1:288" s="89" customFormat="1" ht="13.9">
      <c r="A251" s="2060"/>
      <c r="B251" s="2060"/>
      <c r="D251" s="785"/>
      <c r="E251" s="21"/>
      <c r="F251" s="250"/>
      <c r="G251" s="48"/>
      <c r="H251" s="48"/>
      <c r="I251" s="48"/>
      <c r="J251" s="1441"/>
      <c r="K251" s="1465"/>
      <c r="O251" s="75"/>
      <c r="P251" s="76"/>
      <c r="R251" s="255"/>
    </row>
    <row r="252" spans="1:288" s="89" customFormat="1" ht="13.9">
      <c r="A252" s="2060"/>
      <c r="B252" s="2060"/>
      <c r="D252" s="801"/>
      <c r="F252" s="50"/>
      <c r="O252" s="75"/>
      <c r="P252" s="76"/>
      <c r="R252" s="255"/>
    </row>
    <row r="253" spans="1:288" s="89" customFormat="1" ht="13.9">
      <c r="A253" s="2060"/>
      <c r="B253" s="2060"/>
      <c r="D253" s="778">
        <f ca="1">MAX(OFFSET(D253,-1,0,-ROW(D253)+1,-2),1)+0.01</f>
        <v>4.0399999999999991</v>
      </c>
      <c r="E253" s="668"/>
      <c r="F253" s="952" t="str">
        <f>"Debt "&amp;IF(I222=1,"(includes pensions)", "(does not include pensions)")</f>
        <v>Debt (does not include pensions)</v>
      </c>
      <c r="G253" s="724" t="s">
        <v>777</v>
      </c>
      <c r="H253" s="724"/>
      <c r="I253" s="724"/>
      <c r="J253" s="724"/>
      <c r="K253" s="725" t="s">
        <v>700</v>
      </c>
      <c r="L253" s="725" t="s">
        <v>701</v>
      </c>
      <c r="M253" s="725" t="s">
        <v>702</v>
      </c>
      <c r="N253" s="725" t="s">
        <v>703</v>
      </c>
      <c r="O253" s="759" t="s">
        <v>704</v>
      </c>
      <c r="P253" s="725" t="s">
        <v>780</v>
      </c>
      <c r="R253" s="255"/>
      <c r="T253" s="1446" t="s">
        <v>772</v>
      </c>
    </row>
    <row r="254" spans="1:288" s="89" customFormat="1" ht="13.9">
      <c r="A254" s="2060"/>
      <c r="B254" s="2060"/>
      <c r="D254" s="778"/>
      <c r="E254" s="1505"/>
      <c r="F254" s="1439" t="str">
        <f>F$128</f>
        <v/>
      </c>
      <c r="G254" s="1440">
        <f>G$128</f>
        <v>0</v>
      </c>
      <c r="H254" s="1440" t="str">
        <f>H$128</f>
        <v>USD</v>
      </c>
      <c r="I254" s="1445" t="s">
        <v>783</v>
      </c>
      <c r="J254" s="1445"/>
      <c r="K254" s="2304">
        <f>'BAL SHEET Hist Input'!F64</f>
        <v>0</v>
      </c>
      <c r="L254" s="2304">
        <f>'BAL SHEET Hist Input'!G64</f>
        <v>0</v>
      </c>
      <c r="M254" s="2304">
        <f>'BAL SHEET Hist Input'!H64</f>
        <v>0</v>
      </c>
      <c r="N254" s="2304">
        <f>'BAL SHEET Hist Input'!I64</f>
        <v>0</v>
      </c>
      <c r="O254" s="1469">
        <f>'BAL SHEET Hist Input'!J64</f>
        <v>0</v>
      </c>
      <c r="P254" s="2304">
        <f>'BAL SHEET Hist Input'!K64</f>
        <v>0</v>
      </c>
      <c r="R254" s="255"/>
      <c r="T254" s="1779" t="s">
        <v>784</v>
      </c>
      <c r="U254" s="2132">
        <f>IF(U$221,_xll.ciqfunctions.udf.CIQ($G254, "IQ_SHARESOUTSTANDING", U$222),"--")</f>
        <v>0</v>
      </c>
      <c r="V254" s="2132">
        <f>IF(V$221,_xll.ciqfunctions.udf.CIQ($G254, "IQ_SHARESOUTSTANDING", V$222),"--")</f>
        <v>0</v>
      </c>
      <c r="W254" s="2132">
        <f>IF(W$221,_xll.ciqfunctions.udf.CIQ($G254, "IQ_SHARESOUTSTANDING", W$222),"--")</f>
        <v>0</v>
      </c>
      <c r="X254" s="2132">
        <f>IF(X$221,_xll.ciqfunctions.udf.CIQ($G254, "IQ_SHARESOUTSTANDING", X$222),"--")</f>
        <v>0</v>
      </c>
      <c r="Y254" s="2132">
        <f>IF(Y$221,_xll.ciqfunctions.udf.CIQ($G254, "IQ_SHARESOUTSTANDING", Y$222),"--")</f>
        <v>0</v>
      </c>
      <c r="Z254" s="2132">
        <f>IF(Z$221,_xll.ciqfunctions.udf.CIQ($G254, "IQ_SHARESOUTSTANDING", Z$222),"--")</f>
        <v>0</v>
      </c>
      <c r="AA254" s="2132">
        <f>IF(AA$221,_xll.ciqfunctions.udf.CIQ($G254, "IQ_SHARESOUTSTANDING", AA$222),"--")</f>
        <v>0</v>
      </c>
      <c r="AB254" s="2132">
        <f>IF(AB$221,_xll.ciqfunctions.udf.CIQ($G254, "IQ_SHARESOUTSTANDING", AB$222),"--")</f>
        <v>0</v>
      </c>
      <c r="AC254" s="2132">
        <f>IF(AC$221,_xll.ciqfunctions.udf.CIQ($G254, "IQ_SHARESOUTSTANDING", AC$222),"--")</f>
        <v>0</v>
      </c>
      <c r="AD254" s="2132">
        <f>IF(AD$221,_xll.ciqfunctions.udf.CIQ($G254, "IQ_SHARESOUTSTANDING", AD$222),"--")</f>
        <v>0</v>
      </c>
      <c r="AE254" s="2132">
        <f>IF(AE$221,_xll.ciqfunctions.udf.CIQ($G254, "IQ_SHARESOUTSTANDING", AE$222),"--")</f>
        <v>0</v>
      </c>
      <c r="AF254" s="2132">
        <f>IF(AF$221,_xll.ciqfunctions.udf.CIQ($G254, "IQ_SHARESOUTSTANDING", AF$222),"--")</f>
        <v>0</v>
      </c>
      <c r="AG254" s="2132">
        <f>IF(AG$221,_xll.ciqfunctions.udf.CIQ($G254, "IQ_SHARESOUTSTANDING", AG$222),"--")</f>
        <v>0</v>
      </c>
      <c r="AH254" s="2132">
        <f>IF(AH$221,_xll.ciqfunctions.udf.CIQ($G254, "IQ_SHARESOUTSTANDING", AH$222),"--")</f>
        <v>0</v>
      </c>
      <c r="AI254" s="2132">
        <f>IF(AI$221,_xll.ciqfunctions.udf.CIQ($G254, "IQ_SHARESOUTSTANDING", AI$222),"--")</f>
        <v>0</v>
      </c>
      <c r="AJ254" s="2132">
        <f>IF(AJ$221,_xll.ciqfunctions.udf.CIQ($G254, "IQ_SHARESOUTSTANDING", AJ$222),"--")</f>
        <v>0</v>
      </c>
      <c r="AK254" s="2132">
        <f>IF(AK$221,_xll.ciqfunctions.udf.CIQ($G254, "IQ_SHARESOUTSTANDING", AK$222),"--")</f>
        <v>0</v>
      </c>
      <c r="AL254" s="2132">
        <f>IF(AL$221,_xll.ciqfunctions.udf.CIQ($G254, "IQ_SHARESOUTSTANDING", AL$222),"--")</f>
        <v>0</v>
      </c>
      <c r="AM254" s="2132">
        <f>IF(AM$221,_xll.ciqfunctions.udf.CIQ($G254, "IQ_SHARESOUTSTANDING", AM$222),"--")</f>
        <v>0</v>
      </c>
      <c r="AN254" s="2132">
        <f>IF(AN$221,_xll.ciqfunctions.udf.CIQ($G254, "IQ_SHARESOUTSTANDING", AN$222),"--")</f>
        <v>0</v>
      </c>
      <c r="AO254" s="2132">
        <f>IF(AO$221,_xll.ciqfunctions.udf.CIQ($G254, "IQ_SHARESOUTSTANDING", AO$222),"--")</f>
        <v>0</v>
      </c>
      <c r="AP254" s="2132">
        <f>IF(AP$221,_xll.ciqfunctions.udf.CIQ($G254, "IQ_SHARESOUTSTANDING", AP$222),"--")</f>
        <v>0</v>
      </c>
      <c r="AQ254" s="2132">
        <f>IF(AQ$221,_xll.ciqfunctions.udf.CIQ($G254, "IQ_SHARESOUTSTANDING", AQ$222),"--")</f>
        <v>0</v>
      </c>
      <c r="AR254" s="2132">
        <f>IF(AR$221,_xll.ciqfunctions.udf.CIQ($G254, "IQ_SHARESOUTSTANDING", AR$222),"--")</f>
        <v>0</v>
      </c>
      <c r="AS254" s="2132">
        <f>IF(AS$221,_xll.ciqfunctions.udf.CIQ($G254, "IQ_SHARESOUTSTANDING", AS$222),"--")</f>
        <v>0</v>
      </c>
      <c r="AT254" s="2132">
        <f>IF(AT$221,_xll.ciqfunctions.udf.CIQ($G254, "IQ_SHARESOUTSTANDING", AT$222),"--")</f>
        <v>0</v>
      </c>
      <c r="AU254" s="2132">
        <f>IF(AU$221,_xll.ciqfunctions.udf.CIQ($G254, "IQ_SHARESOUTSTANDING", AU$222),"--")</f>
        <v>0</v>
      </c>
      <c r="AV254" s="2132">
        <f>IF(AV$221,_xll.ciqfunctions.udf.CIQ($G254, "IQ_SHARESOUTSTANDING", AV$222),"--")</f>
        <v>0</v>
      </c>
      <c r="AW254" s="2132">
        <f>IF(AW$221,_xll.ciqfunctions.udf.CIQ($G254, "IQ_SHARESOUTSTANDING", AW$222),"--")</f>
        <v>0</v>
      </c>
      <c r="AX254" s="2132">
        <f>IF(AX$221,_xll.ciqfunctions.udf.CIQ($G254, "IQ_SHARESOUTSTANDING", AX$222),"--")</f>
        <v>0</v>
      </c>
      <c r="AY254" s="2132">
        <f>IF(AY$221,_xll.ciqfunctions.udf.CIQ($G254, "IQ_SHARESOUTSTANDING", AY$222),"--")</f>
        <v>0</v>
      </c>
      <c r="AZ254" s="2132">
        <f>IF(AZ$221,_xll.ciqfunctions.udf.CIQ($G254, "IQ_SHARESOUTSTANDING", AZ$222),"--")</f>
        <v>0</v>
      </c>
      <c r="BA254" s="2132">
        <f>IF(BA$221,_xll.ciqfunctions.udf.CIQ($G254, "IQ_SHARESOUTSTANDING", BA$222),"--")</f>
        <v>0</v>
      </c>
      <c r="BB254" s="2132">
        <f>IF(BB$221,_xll.ciqfunctions.udf.CIQ($G254, "IQ_SHARESOUTSTANDING", BB$222),"--")</f>
        <v>0</v>
      </c>
      <c r="BC254" s="2132">
        <f>IF(BC$221,_xll.ciqfunctions.udf.CIQ($G254, "IQ_SHARESOUTSTANDING", BC$222),"--")</f>
        <v>0</v>
      </c>
      <c r="BD254" s="2132">
        <f>IF(BD$221,_xll.ciqfunctions.udf.CIQ($G254, "IQ_SHARESOUTSTANDING", BD$222),"--")</f>
        <v>0</v>
      </c>
      <c r="BE254" s="2132">
        <f>IF(BE$221,_xll.ciqfunctions.udf.CIQ($G254, "IQ_SHARESOUTSTANDING", BE$222),"--")</f>
        <v>0</v>
      </c>
      <c r="BF254" s="2132">
        <f>IF(BF$221,_xll.ciqfunctions.udf.CIQ($G254, "IQ_SHARESOUTSTANDING", BF$222),"--")</f>
        <v>0</v>
      </c>
      <c r="BG254" s="2132">
        <f>IF(BG$221,_xll.ciqfunctions.udf.CIQ($G254, "IQ_SHARESOUTSTANDING", BG$222),"--")</f>
        <v>0</v>
      </c>
      <c r="BH254" s="2132">
        <f>IF(BH$221,_xll.ciqfunctions.udf.CIQ($G254, "IQ_SHARESOUTSTANDING", BH$222),"--")</f>
        <v>0</v>
      </c>
      <c r="BI254" s="2132">
        <f>IF(BI$221,_xll.ciqfunctions.udf.CIQ($G254, "IQ_SHARESOUTSTANDING", BI$222),"--")</f>
        <v>0</v>
      </c>
      <c r="BJ254" s="2132">
        <f>IF(BJ$221,_xll.ciqfunctions.udf.CIQ($G254, "IQ_SHARESOUTSTANDING", BJ$222),"--")</f>
        <v>0</v>
      </c>
      <c r="BK254" s="2132">
        <f>IF(BK$221,_xll.ciqfunctions.udf.CIQ($G254, "IQ_SHARESOUTSTANDING", BK$222),"--")</f>
        <v>0</v>
      </c>
      <c r="BL254" s="2132">
        <f>IF(BL$221,_xll.ciqfunctions.udf.CIQ($G254, "IQ_SHARESOUTSTANDING", BL$222),"--")</f>
        <v>0</v>
      </c>
      <c r="BM254" s="2132">
        <f>IF(BM$221,_xll.ciqfunctions.udf.CIQ($G254, "IQ_SHARESOUTSTANDING", BM$222),"--")</f>
        <v>0</v>
      </c>
      <c r="BN254" s="2132">
        <f>IF(BN$221,_xll.ciqfunctions.udf.CIQ($G254, "IQ_SHARESOUTSTANDING", BN$222),"--")</f>
        <v>0</v>
      </c>
      <c r="BO254" s="2132">
        <f>IF(BO$221,_xll.ciqfunctions.udf.CIQ($G254, "IQ_SHARESOUTSTANDING", BO$222),"--")</f>
        <v>0</v>
      </c>
      <c r="BP254" s="2132">
        <f>IF(BP$221,_xll.ciqfunctions.udf.CIQ($G254, "IQ_SHARESOUTSTANDING", BP$222),"--")</f>
        <v>0</v>
      </c>
      <c r="BQ254" s="2132">
        <f>IF(BQ$221,_xll.ciqfunctions.udf.CIQ($G254, "IQ_SHARESOUTSTANDING", BQ$222),"--")</f>
        <v>0</v>
      </c>
      <c r="BR254" s="2132">
        <f>IF(BR$221,_xll.ciqfunctions.udf.CIQ($G254, "IQ_SHARESOUTSTANDING", BR$222),"--")</f>
        <v>0</v>
      </c>
      <c r="BS254" s="2132">
        <f>IF(BS$221,_xll.ciqfunctions.udf.CIQ($G254, "IQ_SHARESOUTSTANDING", BS$222),"--")</f>
        <v>0</v>
      </c>
      <c r="BT254" s="2132">
        <f>IF(BT$221,_xll.ciqfunctions.udf.CIQ($G254, "IQ_SHARESOUTSTANDING", BT$222),"--")</f>
        <v>0</v>
      </c>
      <c r="BU254" s="2132">
        <f>IF(BU$221,_xll.ciqfunctions.udf.CIQ($G254, "IQ_SHARESOUTSTANDING", BU$222),"--")</f>
        <v>0</v>
      </c>
      <c r="BV254" s="2132">
        <f>IF(BV$221,_xll.ciqfunctions.udf.CIQ($G254, "IQ_SHARESOUTSTANDING", BV$222),"--")</f>
        <v>0</v>
      </c>
      <c r="BW254" s="2132">
        <f>IF(BW$221,_xll.ciqfunctions.udf.CIQ($G254, "IQ_SHARESOUTSTANDING", BW$222),"--")</f>
        <v>0</v>
      </c>
      <c r="BX254" s="2132">
        <f>IF(BX$221,_xll.ciqfunctions.udf.CIQ($G254, "IQ_SHARESOUTSTANDING", BX$222),"--")</f>
        <v>0</v>
      </c>
      <c r="BY254" s="2132">
        <f>IF(BY$221,_xll.ciqfunctions.udf.CIQ($G254, "IQ_SHARESOUTSTANDING", BY$222),"--")</f>
        <v>0</v>
      </c>
      <c r="BZ254" s="2132">
        <f>IF(BZ$221,_xll.ciqfunctions.udf.CIQ($G254, "IQ_SHARESOUTSTANDING", BZ$222),"--")</f>
        <v>0</v>
      </c>
      <c r="CA254" s="2132">
        <f>IF(CA$221,_xll.ciqfunctions.udf.CIQ($G254, "IQ_SHARESOUTSTANDING", CA$222),"--")</f>
        <v>0</v>
      </c>
      <c r="CB254" s="2132">
        <f>IF(CB$221,_xll.ciqfunctions.udf.CIQ($G254, "IQ_SHARESOUTSTANDING", CB$222),"--")</f>
        <v>0</v>
      </c>
      <c r="CC254" s="2132">
        <f>IF(CC$221,_xll.ciqfunctions.udf.CIQ($G254, "IQ_SHARESOUTSTANDING", CC$222),"--")</f>
        <v>0</v>
      </c>
      <c r="CD254" s="2132">
        <f>IF(CD$221,_xll.ciqfunctions.udf.CIQ($G254, "IQ_SHARESOUTSTANDING", CD$222),"--")</f>
        <v>0</v>
      </c>
      <c r="CE254" s="2132">
        <f>IF(CE$221,_xll.ciqfunctions.udf.CIQ($G254, "IQ_SHARESOUTSTANDING", CE$222),"--")</f>
        <v>0</v>
      </c>
      <c r="CF254" s="2132">
        <f>IF(CF$221,_xll.ciqfunctions.udf.CIQ($G254, "IQ_SHARESOUTSTANDING", CF$222),"--")</f>
        <v>0</v>
      </c>
      <c r="CG254" s="2132">
        <f>IF(CG$221,_xll.ciqfunctions.udf.CIQ($G254, "IQ_SHARESOUTSTANDING", CG$222),"--")</f>
        <v>0</v>
      </c>
      <c r="CH254" s="2132">
        <f>IF(CH$221,_xll.ciqfunctions.udf.CIQ($G254, "IQ_SHARESOUTSTANDING", CH$222),"--")</f>
        <v>0</v>
      </c>
      <c r="CI254" s="2132">
        <f>IF(CI$221,_xll.ciqfunctions.udf.CIQ($G254, "IQ_SHARESOUTSTANDING", CI$222),"--")</f>
        <v>0</v>
      </c>
      <c r="CJ254" s="2132">
        <f>IF(CJ$221,_xll.ciqfunctions.udf.CIQ($G254, "IQ_SHARESOUTSTANDING", CJ$222),"--")</f>
        <v>0</v>
      </c>
      <c r="CK254" s="2132">
        <f>IF(CK$221,_xll.ciqfunctions.udf.CIQ($G254, "IQ_SHARESOUTSTANDING", CK$222),"--")</f>
        <v>0</v>
      </c>
      <c r="CL254" s="2132">
        <f>IF(CL$221,_xll.ciqfunctions.udf.CIQ($G254, "IQ_SHARESOUTSTANDING", CL$222),"--")</f>
        <v>0</v>
      </c>
      <c r="CM254" s="2132">
        <f>IF(CM$221,_xll.ciqfunctions.udf.CIQ($G254, "IQ_SHARESOUTSTANDING", CM$222),"--")</f>
        <v>0</v>
      </c>
      <c r="CN254" s="2132">
        <f>IF(CN$221,_xll.ciqfunctions.udf.CIQ($G254, "IQ_SHARESOUTSTANDING", CN$222),"--")</f>
        <v>0</v>
      </c>
      <c r="CO254" s="2132">
        <f>IF(CO$221,_xll.ciqfunctions.udf.CIQ($G254, "IQ_SHARESOUTSTANDING", CO$222),"--")</f>
        <v>0</v>
      </c>
      <c r="CP254" s="2132">
        <f>IF(CP$221,_xll.ciqfunctions.udf.CIQ($G254, "IQ_SHARESOUTSTANDING", CP$222),"--")</f>
        <v>0</v>
      </c>
      <c r="CQ254" s="2132">
        <f>IF(CQ$221,_xll.ciqfunctions.udf.CIQ($G254, "IQ_SHARESOUTSTANDING", CQ$222),"--")</f>
        <v>0</v>
      </c>
      <c r="CR254" s="2132">
        <f>IF(CR$221,_xll.ciqfunctions.udf.CIQ($G254, "IQ_SHARESOUTSTANDING", CR$222),"--")</f>
        <v>0</v>
      </c>
      <c r="CS254" s="2132">
        <f>IF(CS$221,_xll.ciqfunctions.udf.CIQ($G254, "IQ_SHARESOUTSTANDING", CS$222),"--")</f>
        <v>0</v>
      </c>
      <c r="CT254" s="2132">
        <f>IF(CT$221,_xll.ciqfunctions.udf.CIQ($G254, "IQ_SHARESOUTSTANDING", CT$222),"--")</f>
        <v>0</v>
      </c>
      <c r="CU254" s="2132">
        <f>IF(CU$221,_xll.ciqfunctions.udf.CIQ($G254, "IQ_SHARESOUTSTANDING", CU$222),"--")</f>
        <v>0</v>
      </c>
      <c r="CV254" s="2132">
        <f>IF(CV$221,_xll.ciqfunctions.udf.CIQ($G254, "IQ_SHARESOUTSTANDING", CV$222),"--")</f>
        <v>0</v>
      </c>
      <c r="CW254" s="2132">
        <f>IF(CW$221,_xll.ciqfunctions.udf.CIQ($G254, "IQ_SHARESOUTSTANDING", CW$222),"--")</f>
        <v>0</v>
      </c>
      <c r="CX254" s="2132">
        <f>IF(CX$221,_xll.ciqfunctions.udf.CIQ($G254, "IQ_SHARESOUTSTANDING", CX$222),"--")</f>
        <v>0</v>
      </c>
      <c r="CY254" s="2132">
        <f>IF(CY$221,_xll.ciqfunctions.udf.CIQ($G254, "IQ_SHARESOUTSTANDING", CY$222),"--")</f>
        <v>0</v>
      </c>
      <c r="CZ254" s="2132">
        <f>IF(CZ$221,_xll.ciqfunctions.udf.CIQ($G254, "IQ_SHARESOUTSTANDING", CZ$222),"--")</f>
        <v>0</v>
      </c>
      <c r="DA254" s="2132">
        <f>IF(DA$221,_xll.ciqfunctions.udf.CIQ($G254, "IQ_SHARESOUTSTANDING", DA$222),"--")</f>
        <v>0</v>
      </c>
      <c r="DB254" s="2132">
        <f>IF(DB$221,_xll.ciqfunctions.udf.CIQ($G254, "IQ_SHARESOUTSTANDING", DB$222),"--")</f>
        <v>0</v>
      </c>
      <c r="DC254" s="2132">
        <f>IF(DC$221,_xll.ciqfunctions.udf.CIQ($G254, "IQ_SHARESOUTSTANDING", DC$222),"--")</f>
        <v>0</v>
      </c>
      <c r="DD254" s="2132">
        <f>IF(DD$221,_xll.ciqfunctions.udf.CIQ($G254, "IQ_SHARESOUTSTANDING", DD$222),"--")</f>
        <v>0</v>
      </c>
      <c r="DE254" s="2132">
        <f>IF(DE$221,_xll.ciqfunctions.udf.CIQ($G254, "IQ_SHARESOUTSTANDING", DE$222),"--")</f>
        <v>0</v>
      </c>
      <c r="DF254" s="2132">
        <f>IF(DF$221,_xll.ciqfunctions.udf.CIQ($G254, "IQ_SHARESOUTSTANDING", DF$222),"--")</f>
        <v>0</v>
      </c>
      <c r="DG254" s="2132">
        <f>IF(DG$221,_xll.ciqfunctions.udf.CIQ($G254, "IQ_SHARESOUTSTANDING", DG$222),"--")</f>
        <v>0</v>
      </c>
      <c r="DH254" s="2132">
        <f>IF(DH$221,_xll.ciqfunctions.udf.CIQ($G254, "IQ_SHARESOUTSTANDING", DH$222),"--")</f>
        <v>0</v>
      </c>
      <c r="DI254" s="2132">
        <f>IF(DI$221,_xll.ciqfunctions.udf.CIQ($G254, "IQ_SHARESOUTSTANDING", DI$222),"--")</f>
        <v>0</v>
      </c>
      <c r="DJ254" s="2132">
        <f>IF(DJ$221,_xll.ciqfunctions.udf.CIQ($G254, "IQ_SHARESOUTSTANDING", DJ$222),"--")</f>
        <v>0</v>
      </c>
      <c r="DK254" s="2132">
        <f>IF(DK$221,_xll.ciqfunctions.udf.CIQ($G254, "IQ_SHARESOUTSTANDING", DK$222),"--")</f>
        <v>0</v>
      </c>
      <c r="DL254" s="2132">
        <f>IF(DL$221,_xll.ciqfunctions.udf.CIQ($G254, "IQ_SHARESOUTSTANDING", DL$222),"--")</f>
        <v>0</v>
      </c>
      <c r="DM254" s="2132">
        <f>IF(DM$221,_xll.ciqfunctions.udf.CIQ($G254, "IQ_SHARESOUTSTANDING", DM$222),"--")</f>
        <v>0</v>
      </c>
      <c r="DN254" s="2132">
        <f>IF(DN$221,_xll.ciqfunctions.udf.CIQ($G254, "IQ_SHARESOUTSTANDING", DN$222),"--")</f>
        <v>0</v>
      </c>
      <c r="DO254" s="2132">
        <f>IF(DO$221,_xll.ciqfunctions.udf.CIQ($G254, "IQ_SHARESOUTSTANDING", DO$222),"--")</f>
        <v>0</v>
      </c>
      <c r="DP254" s="2132">
        <f>IF(DP$221,_xll.ciqfunctions.udf.CIQ($G254, "IQ_SHARESOUTSTANDING", DP$222),"--")</f>
        <v>0</v>
      </c>
      <c r="DQ254" s="2132">
        <f>IF(DQ$221,_xll.ciqfunctions.udf.CIQ($G254, "IQ_SHARESOUTSTANDING", DQ$222),"--")</f>
        <v>0</v>
      </c>
      <c r="DR254" s="2132">
        <f>IF(DR$221,_xll.ciqfunctions.udf.CIQ($G254, "IQ_SHARESOUTSTANDING", DR$222),"--")</f>
        <v>0</v>
      </c>
      <c r="DS254" s="2132">
        <f>IF(DS$221,_xll.ciqfunctions.udf.CIQ($G254, "IQ_SHARESOUTSTANDING", DS$222),"--")</f>
        <v>0</v>
      </c>
      <c r="DT254" s="2132">
        <f>IF(DT$221,_xll.ciqfunctions.udf.CIQ($G254, "IQ_SHARESOUTSTANDING", DT$222),"--")</f>
        <v>0</v>
      </c>
      <c r="DU254" s="2132">
        <f>IF(DU$221,_xll.ciqfunctions.udf.CIQ($G254, "IQ_SHARESOUTSTANDING", DU$222),"--")</f>
        <v>0</v>
      </c>
      <c r="DV254" s="2132">
        <f>IF(DV$221,_xll.ciqfunctions.udf.CIQ($G254, "IQ_SHARESOUTSTANDING", DV$222),"--")</f>
        <v>0</v>
      </c>
      <c r="DW254" s="2132">
        <f>IF(DW$221,_xll.ciqfunctions.udf.CIQ($G254, "IQ_SHARESOUTSTANDING", DW$222),"--")</f>
        <v>0</v>
      </c>
      <c r="DX254" s="2132">
        <f>IF(DX$221,_xll.ciqfunctions.udf.CIQ($G254, "IQ_SHARESOUTSTANDING", DX$222),"--")</f>
        <v>0</v>
      </c>
      <c r="DY254" s="2132">
        <f>IF(DY$221,_xll.ciqfunctions.udf.CIQ($G254, "IQ_SHARESOUTSTANDING", DY$222),"--")</f>
        <v>0</v>
      </c>
      <c r="DZ254" s="2132">
        <f>IF(DZ$221,_xll.ciqfunctions.udf.CIQ($G254, "IQ_SHARESOUTSTANDING", DZ$222),"--")</f>
        <v>0</v>
      </c>
      <c r="EA254" s="2132">
        <f>IF(EA$221,_xll.ciqfunctions.udf.CIQ($G254, "IQ_SHARESOUTSTANDING", EA$222),"--")</f>
        <v>0</v>
      </c>
      <c r="EB254" s="2132">
        <f>IF(EB$221,_xll.ciqfunctions.udf.CIQ($G254, "IQ_SHARESOUTSTANDING", EB$222),"--")</f>
        <v>0</v>
      </c>
      <c r="EC254" s="2132">
        <f>IF(EC$221,_xll.ciqfunctions.udf.CIQ($G254, "IQ_SHARESOUTSTANDING", EC$222),"--")</f>
        <v>0</v>
      </c>
      <c r="ED254" s="2132">
        <f>IF(ED$221,_xll.ciqfunctions.udf.CIQ($G254, "IQ_SHARESOUTSTANDING", ED$222),"--")</f>
        <v>0</v>
      </c>
      <c r="EE254" s="2132">
        <f>IF(EE$221,_xll.ciqfunctions.udf.CIQ($G254, "IQ_SHARESOUTSTANDING", EE$222),"--")</f>
        <v>0</v>
      </c>
      <c r="EF254" s="2132">
        <f>IF(EF$221,_xll.ciqfunctions.udf.CIQ($G254, "IQ_SHARESOUTSTANDING", EF$222),"--")</f>
        <v>0</v>
      </c>
      <c r="EG254" s="2132">
        <f>IF(EG$221,_xll.ciqfunctions.udf.CIQ($G254, "IQ_SHARESOUTSTANDING", EG$222),"--")</f>
        <v>0</v>
      </c>
      <c r="EH254" s="2132">
        <f>IF(EH$221,_xll.ciqfunctions.udf.CIQ($G254, "IQ_SHARESOUTSTANDING", EH$222),"--")</f>
        <v>0</v>
      </c>
      <c r="EI254" s="2132">
        <f>IF(EI$221,_xll.ciqfunctions.udf.CIQ($G254, "IQ_SHARESOUTSTANDING", EI$222),"--")</f>
        <v>0</v>
      </c>
      <c r="EJ254" s="2132">
        <f>IF(EJ$221,_xll.ciqfunctions.udf.CIQ($G254, "IQ_SHARESOUTSTANDING", EJ$222),"--")</f>
        <v>0</v>
      </c>
      <c r="EK254" s="2132">
        <f>IF(EK$221,_xll.ciqfunctions.udf.CIQ($G254, "IQ_SHARESOUTSTANDING", EK$222),"--")</f>
        <v>0</v>
      </c>
      <c r="EL254" s="2132">
        <f>IF(EL$221,_xll.ciqfunctions.udf.CIQ($G254, "IQ_SHARESOUTSTANDING", EL$222),"--")</f>
        <v>0</v>
      </c>
      <c r="EM254" s="2132">
        <f>IF(EM$221,_xll.ciqfunctions.udf.CIQ($G254, "IQ_SHARESOUTSTANDING", EM$222),"--")</f>
        <v>0</v>
      </c>
      <c r="EN254" s="2132">
        <f>IF(EN$221,_xll.ciqfunctions.udf.CIQ($G254, "IQ_SHARESOUTSTANDING", EN$222),"--")</f>
        <v>0</v>
      </c>
      <c r="EO254" s="2132">
        <f>IF(EO$221,_xll.ciqfunctions.udf.CIQ($G254, "IQ_SHARESOUTSTANDING", EO$222),"--")</f>
        <v>0</v>
      </c>
      <c r="EP254" s="2132">
        <f>IF(EP$221,_xll.ciqfunctions.udf.CIQ($G254, "IQ_SHARESOUTSTANDING", EP$222),"--")</f>
        <v>0</v>
      </c>
      <c r="EQ254" s="2132">
        <f>IF(EQ$221,_xll.ciqfunctions.udf.CIQ($G254, "IQ_SHARESOUTSTANDING", EQ$222),"--")</f>
        <v>0</v>
      </c>
      <c r="ER254" s="2132">
        <f>IF(ER$221,_xll.ciqfunctions.udf.CIQ($G254, "IQ_SHARESOUTSTANDING", ER$222),"--")</f>
        <v>0</v>
      </c>
      <c r="ES254" s="2132">
        <f>IF(ES$221,_xll.ciqfunctions.udf.CIQ($G254, "IQ_SHARESOUTSTANDING", ES$222),"--")</f>
        <v>0</v>
      </c>
      <c r="ET254" s="2132">
        <f>IF(ET$221,_xll.ciqfunctions.udf.CIQ($G254, "IQ_SHARESOUTSTANDING", ET$222),"--")</f>
        <v>0</v>
      </c>
      <c r="EU254" s="2132">
        <f>IF(EU$221,_xll.ciqfunctions.udf.CIQ($G254, "IQ_SHARESOUTSTANDING", EU$222),"--")</f>
        <v>0</v>
      </c>
      <c r="EV254" s="2132">
        <f>IF(EV$221,_xll.ciqfunctions.udf.CIQ($G254, "IQ_SHARESOUTSTANDING", EV$222),"--")</f>
        <v>0</v>
      </c>
      <c r="EW254" s="2132">
        <f>IF(EW$221,_xll.ciqfunctions.udf.CIQ($G254, "IQ_SHARESOUTSTANDING", EW$222),"--")</f>
        <v>0</v>
      </c>
      <c r="EX254" s="2132">
        <f>IF(EX$221,_xll.ciqfunctions.udf.CIQ($G254, "IQ_SHARESOUTSTANDING", EX$222),"--")</f>
        <v>0</v>
      </c>
      <c r="EY254" s="2132">
        <f>IF(EY$221,_xll.ciqfunctions.udf.CIQ($G254, "IQ_SHARESOUTSTANDING", EY$222),"--")</f>
        <v>0</v>
      </c>
      <c r="EZ254" s="2132">
        <f>IF(EZ$221,_xll.ciqfunctions.udf.CIQ($G254, "IQ_SHARESOUTSTANDING", EZ$222),"--")</f>
        <v>0</v>
      </c>
      <c r="FA254" s="2132">
        <f>IF(FA$221,_xll.ciqfunctions.udf.CIQ($G254, "IQ_SHARESOUTSTANDING", FA$222),"--")</f>
        <v>0</v>
      </c>
      <c r="FB254" s="2132">
        <f>IF(FB$221,_xll.ciqfunctions.udf.CIQ($G254, "IQ_SHARESOUTSTANDING", FB$222),"--")</f>
        <v>0</v>
      </c>
      <c r="FC254" s="2132">
        <f>IF(FC$221,_xll.ciqfunctions.udf.CIQ($G254, "IQ_SHARESOUTSTANDING", FC$222),"--")</f>
        <v>0</v>
      </c>
      <c r="FD254" s="2132">
        <f>IF(FD$221,_xll.ciqfunctions.udf.CIQ($G254, "IQ_SHARESOUTSTANDING", FD$222),"--")</f>
        <v>0</v>
      </c>
      <c r="FE254" s="2132">
        <f>IF(FE$221,_xll.ciqfunctions.udf.CIQ($G254, "IQ_SHARESOUTSTANDING", FE$222),"--")</f>
        <v>0</v>
      </c>
      <c r="FF254" s="2132">
        <f>IF(FF$221,_xll.ciqfunctions.udf.CIQ($G254, "IQ_SHARESOUTSTANDING", FF$222),"--")</f>
        <v>0</v>
      </c>
      <c r="FG254" s="2132">
        <f>IF(FG$221,_xll.ciqfunctions.udf.CIQ($G254, "IQ_SHARESOUTSTANDING", FG$222),"--")</f>
        <v>0</v>
      </c>
      <c r="FH254" s="2132">
        <f>IF(FH$221,_xll.ciqfunctions.udf.CIQ($G254, "IQ_SHARESOUTSTANDING", FH$222),"--")</f>
        <v>0</v>
      </c>
      <c r="FI254" s="2132">
        <f>IF(FI$221,_xll.ciqfunctions.udf.CIQ($G254, "IQ_SHARESOUTSTANDING", FI$222),"--")</f>
        <v>0</v>
      </c>
      <c r="FJ254" s="2132">
        <f>IF(FJ$221,_xll.ciqfunctions.udf.CIQ($G254, "IQ_SHARESOUTSTANDING", FJ$222),"--")</f>
        <v>0</v>
      </c>
      <c r="FK254" s="2132">
        <f>IF(FK$221,_xll.ciqfunctions.udf.CIQ($G254, "IQ_SHARESOUTSTANDING", FK$222),"--")</f>
        <v>0</v>
      </c>
      <c r="FL254" s="2132">
        <f>IF(FL$221,_xll.ciqfunctions.udf.CIQ($G254, "IQ_SHARESOUTSTANDING", FL$222),"--")</f>
        <v>0</v>
      </c>
      <c r="FM254" s="2132">
        <f>IF(FM$221,_xll.ciqfunctions.udf.CIQ($G254, "IQ_SHARESOUTSTANDING", FM$222),"--")</f>
        <v>0</v>
      </c>
      <c r="FN254" s="2132">
        <f>IF(FN$221,_xll.ciqfunctions.udf.CIQ($G254, "IQ_SHARESOUTSTANDING", FN$222),"--")</f>
        <v>0</v>
      </c>
      <c r="FO254" s="2132">
        <f>IF(FO$221,_xll.ciqfunctions.udf.CIQ($G254, "IQ_SHARESOUTSTANDING", FO$222),"--")</f>
        <v>0</v>
      </c>
      <c r="FP254" s="2132">
        <f>IF(FP$221,_xll.ciqfunctions.udf.CIQ($G254, "IQ_SHARESOUTSTANDING", FP$222),"--")</f>
        <v>0</v>
      </c>
      <c r="FQ254" s="2132">
        <f>IF(FQ$221,_xll.ciqfunctions.udf.CIQ($G254, "IQ_SHARESOUTSTANDING", FQ$222),"--")</f>
        <v>0</v>
      </c>
      <c r="FR254" s="2132">
        <f>IF(FR$221,_xll.ciqfunctions.udf.CIQ($G254, "IQ_SHARESOUTSTANDING", FR$222),"--")</f>
        <v>0</v>
      </c>
      <c r="FS254" s="2132">
        <f>IF(FS$221,_xll.ciqfunctions.udf.CIQ($G254, "IQ_SHARESOUTSTANDING", FS$222),"--")</f>
        <v>0</v>
      </c>
      <c r="FT254" s="2132">
        <f>IF(FT$221,_xll.ciqfunctions.udf.CIQ($G254, "IQ_SHARESOUTSTANDING", FT$222),"--")</f>
        <v>0</v>
      </c>
      <c r="FU254" s="2132">
        <f>IF(FU$221,_xll.ciqfunctions.udf.CIQ($G254, "IQ_SHARESOUTSTANDING", FU$222),"--")</f>
        <v>0</v>
      </c>
      <c r="FV254" s="2132">
        <f>IF(FV$221,_xll.ciqfunctions.udf.CIQ($G254, "IQ_SHARESOUTSTANDING", FV$222),"--")</f>
        <v>0</v>
      </c>
      <c r="FW254" s="2132">
        <f>IF(FW$221,_xll.ciqfunctions.udf.CIQ($G254, "IQ_SHARESOUTSTANDING", FW$222),"--")</f>
        <v>0</v>
      </c>
      <c r="FX254" s="2132">
        <f>IF(FX$221,_xll.ciqfunctions.udf.CIQ($G254, "IQ_SHARESOUTSTANDING", FX$222),"--")</f>
        <v>0</v>
      </c>
      <c r="FY254" s="2132">
        <f>IF(FY$221,_xll.ciqfunctions.udf.CIQ($G254, "IQ_SHARESOUTSTANDING", FY$222),"--")</f>
        <v>0</v>
      </c>
      <c r="FZ254" s="2132">
        <f>IF(FZ$221,_xll.ciqfunctions.udf.CIQ($G254, "IQ_SHARESOUTSTANDING", FZ$222),"--")</f>
        <v>0</v>
      </c>
      <c r="GA254" s="2132">
        <f>IF(GA$221,_xll.ciqfunctions.udf.CIQ($G254, "IQ_SHARESOUTSTANDING", GA$222),"--")</f>
        <v>0</v>
      </c>
      <c r="GB254" s="2132">
        <f>IF(GB$221,_xll.ciqfunctions.udf.CIQ($G254, "IQ_SHARESOUTSTANDING", GB$222),"--")</f>
        <v>0</v>
      </c>
      <c r="GC254" s="2132">
        <f>IF(GC$221,_xll.ciqfunctions.udf.CIQ($G254, "IQ_SHARESOUTSTANDING", GC$222),"--")</f>
        <v>0</v>
      </c>
      <c r="GD254" s="2132">
        <f>IF(GD$221,_xll.ciqfunctions.udf.CIQ($G254, "IQ_SHARESOUTSTANDING", GD$222),"--")</f>
        <v>0</v>
      </c>
      <c r="GE254" s="2132">
        <f>IF(GE$221,_xll.ciqfunctions.udf.CIQ($G254, "IQ_SHARESOUTSTANDING", GE$222),"--")</f>
        <v>0</v>
      </c>
      <c r="GF254" s="2132">
        <f>IF(GF$221,_xll.ciqfunctions.udf.CIQ($G254, "IQ_SHARESOUTSTANDING", GF$222),"--")</f>
        <v>0</v>
      </c>
      <c r="GG254" s="2132">
        <f>IF(GG$221,_xll.ciqfunctions.udf.CIQ($G254, "IQ_SHARESOUTSTANDING", GG$222),"--")</f>
        <v>0</v>
      </c>
      <c r="GH254" s="2132">
        <f>IF(GH$221,_xll.ciqfunctions.udf.CIQ($G254, "IQ_SHARESOUTSTANDING", GH$222),"--")</f>
        <v>0</v>
      </c>
      <c r="GI254" s="2132">
        <f>IF(GI$221,_xll.ciqfunctions.udf.CIQ($G254, "IQ_SHARESOUTSTANDING", GI$222),"--")</f>
        <v>0</v>
      </c>
      <c r="GJ254" s="2132">
        <f>IF(GJ$221,_xll.ciqfunctions.udf.CIQ($G254, "IQ_SHARESOUTSTANDING", GJ$222),"--")</f>
        <v>0</v>
      </c>
      <c r="GK254" s="2132">
        <f>IF(GK$221,_xll.ciqfunctions.udf.CIQ($G254, "IQ_SHARESOUTSTANDING", GK$222),"--")</f>
        <v>0</v>
      </c>
      <c r="GL254" s="2132">
        <f>IF(GL$221,_xll.ciqfunctions.udf.CIQ($G254, "IQ_SHARESOUTSTANDING", GL$222),"--")</f>
        <v>0</v>
      </c>
      <c r="GM254" s="2132">
        <f>IF(GM$221,_xll.ciqfunctions.udf.CIQ($G254, "IQ_SHARESOUTSTANDING", GM$222),"--")</f>
        <v>0</v>
      </c>
      <c r="GN254" s="2132">
        <f>IF(GN$221,_xll.ciqfunctions.udf.CIQ($G254, "IQ_SHARESOUTSTANDING", GN$222),"--")</f>
        <v>0</v>
      </c>
      <c r="GO254" s="2132">
        <f>IF(GO$221,_xll.ciqfunctions.udf.CIQ($G254, "IQ_SHARESOUTSTANDING", GO$222),"--")</f>
        <v>0</v>
      </c>
      <c r="GP254" s="2132">
        <f>IF(GP$221,_xll.ciqfunctions.udf.CIQ($G254, "IQ_SHARESOUTSTANDING", GP$222),"--")</f>
        <v>0</v>
      </c>
      <c r="GQ254" s="2132">
        <f>IF(GQ$221,_xll.ciqfunctions.udf.CIQ($G254, "IQ_SHARESOUTSTANDING", GQ$222),"--")</f>
        <v>0</v>
      </c>
      <c r="GR254" s="2132">
        <f>IF(GR$221,_xll.ciqfunctions.udf.CIQ($G254, "IQ_SHARESOUTSTANDING", GR$222),"--")</f>
        <v>0</v>
      </c>
      <c r="GS254" s="2132">
        <f>IF(GS$221,_xll.ciqfunctions.udf.CIQ($G254, "IQ_SHARESOUTSTANDING", GS$222),"--")</f>
        <v>0</v>
      </c>
      <c r="GT254" s="2132">
        <f>IF(GT$221,_xll.ciqfunctions.udf.CIQ($G254, "IQ_SHARESOUTSTANDING", GT$222),"--")</f>
        <v>0</v>
      </c>
      <c r="GU254" s="2132">
        <f>IF(GU$221,_xll.ciqfunctions.udf.CIQ($G254, "IQ_SHARESOUTSTANDING", GU$222),"--")</f>
        <v>0</v>
      </c>
      <c r="GV254" s="2132">
        <f>IF(GV$221,_xll.ciqfunctions.udf.CIQ($G254, "IQ_SHARESOUTSTANDING", GV$222),"--")</f>
        <v>0</v>
      </c>
      <c r="GW254" s="2132">
        <f>IF(GW$221,_xll.ciqfunctions.udf.CIQ($G254, "IQ_SHARESOUTSTANDING", GW$222),"--")</f>
        <v>0</v>
      </c>
      <c r="GX254" s="2132">
        <f>IF(GX$221,_xll.ciqfunctions.udf.CIQ($G254, "IQ_SHARESOUTSTANDING", GX$222),"--")</f>
        <v>0</v>
      </c>
      <c r="GY254" s="2132">
        <f>IF(GY$221,_xll.ciqfunctions.udf.CIQ($G254, "IQ_SHARESOUTSTANDING", GY$222),"--")</f>
        <v>0</v>
      </c>
      <c r="GZ254" s="2132">
        <f>IF(GZ$221,_xll.ciqfunctions.udf.CIQ($G254, "IQ_SHARESOUTSTANDING", GZ$222),"--")</f>
        <v>0</v>
      </c>
      <c r="HA254" s="2132">
        <f>IF(HA$221,_xll.ciqfunctions.udf.CIQ($G254, "IQ_SHARESOUTSTANDING", HA$222),"--")</f>
        <v>0</v>
      </c>
      <c r="HB254" s="2132">
        <f>IF(HB$221,_xll.ciqfunctions.udf.CIQ($G254, "IQ_SHARESOUTSTANDING", HB$222),"--")</f>
        <v>0</v>
      </c>
      <c r="HC254" s="2132">
        <f>IF(HC$221,_xll.ciqfunctions.udf.CIQ($G254, "IQ_SHARESOUTSTANDING", HC$222),"--")</f>
        <v>0</v>
      </c>
      <c r="HD254" s="2132">
        <f>IF(HD$221,_xll.ciqfunctions.udf.CIQ($G254, "IQ_SHARESOUTSTANDING", HD$222),"--")</f>
        <v>0</v>
      </c>
      <c r="HE254" s="2132">
        <f>IF(HE$221,_xll.ciqfunctions.udf.CIQ($G254, "IQ_SHARESOUTSTANDING", HE$222),"--")</f>
        <v>0</v>
      </c>
      <c r="HF254" s="2132">
        <f>IF(HF$221,_xll.ciqfunctions.udf.CIQ($G254, "IQ_SHARESOUTSTANDING", HF$222),"--")</f>
        <v>0</v>
      </c>
      <c r="HG254" s="2132">
        <f>IF(HG$221,_xll.ciqfunctions.udf.CIQ($G254, "IQ_SHARESOUTSTANDING", HG$222),"--")</f>
        <v>0</v>
      </c>
      <c r="HH254" s="2132">
        <f>IF(HH$221,_xll.ciqfunctions.udf.CIQ($G254, "IQ_SHARESOUTSTANDING", HH$222),"--")</f>
        <v>0</v>
      </c>
      <c r="HI254" s="2132">
        <f>IF(HI$221,_xll.ciqfunctions.udf.CIQ($G254, "IQ_SHARESOUTSTANDING", HI$222),"--")</f>
        <v>0</v>
      </c>
      <c r="HJ254" s="2132">
        <f>IF(HJ$221,_xll.ciqfunctions.udf.CIQ($G254, "IQ_SHARESOUTSTANDING", HJ$222),"--")</f>
        <v>0</v>
      </c>
      <c r="HK254" s="2132">
        <f>IF(HK$221,_xll.ciqfunctions.udf.CIQ($G254, "IQ_SHARESOUTSTANDING", HK$222),"--")</f>
        <v>0</v>
      </c>
      <c r="HL254" s="2132">
        <f>IF(HL$221,_xll.ciqfunctions.udf.CIQ($G254, "IQ_SHARESOUTSTANDING", HL$222),"--")</f>
        <v>0</v>
      </c>
      <c r="HM254" s="2132">
        <f>IF(HM$221,_xll.ciqfunctions.udf.CIQ($G254, "IQ_SHARESOUTSTANDING", HM$222),"--")</f>
        <v>0</v>
      </c>
      <c r="HN254" s="2132">
        <f>IF(HN$221,_xll.ciqfunctions.udf.CIQ($G254, "IQ_SHARESOUTSTANDING", HN$222),"--")</f>
        <v>0</v>
      </c>
      <c r="HO254" s="2132">
        <f>IF(HO$221,_xll.ciqfunctions.udf.CIQ($G254, "IQ_SHARESOUTSTANDING", HO$222),"--")</f>
        <v>0</v>
      </c>
      <c r="HP254" s="2132">
        <f>IF(HP$221,_xll.ciqfunctions.udf.CIQ($G254, "IQ_SHARESOUTSTANDING", HP$222),"--")</f>
        <v>0</v>
      </c>
      <c r="HQ254" s="2132">
        <f>IF(HQ$221,_xll.ciqfunctions.udf.CIQ($G254, "IQ_SHARESOUTSTANDING", HQ$222),"--")</f>
        <v>0</v>
      </c>
      <c r="HR254" s="2132">
        <f>IF(HR$221,_xll.ciqfunctions.udf.CIQ($G254, "IQ_SHARESOUTSTANDING", HR$222),"--")</f>
        <v>0</v>
      </c>
      <c r="HS254" s="2132">
        <f>IF(HS$221,_xll.ciqfunctions.udf.CIQ($G254, "IQ_SHARESOUTSTANDING", HS$222),"--")</f>
        <v>0</v>
      </c>
      <c r="HT254" s="2132">
        <f>IF(HT$221,_xll.ciqfunctions.udf.CIQ($G254, "IQ_SHARESOUTSTANDING", HT$222),"--")</f>
        <v>0</v>
      </c>
      <c r="HU254" s="2132">
        <f>IF(HU$221,_xll.ciqfunctions.udf.CIQ($G254, "IQ_SHARESOUTSTANDING", HU$222),"--")</f>
        <v>0</v>
      </c>
      <c r="HV254" s="2132">
        <f>IF(HV$221,_xll.ciqfunctions.udf.CIQ($G254, "IQ_SHARESOUTSTANDING", HV$222),"--")</f>
        <v>0</v>
      </c>
      <c r="HW254" s="2132">
        <f>IF(HW$221,_xll.ciqfunctions.udf.CIQ($G254, "IQ_SHARESOUTSTANDING", HW$222),"--")</f>
        <v>0</v>
      </c>
      <c r="HX254" s="2132">
        <f>IF(HX$221,_xll.ciqfunctions.udf.CIQ($G254, "IQ_SHARESOUTSTANDING", HX$222),"--")</f>
        <v>0</v>
      </c>
      <c r="HY254" s="2132">
        <f>IF(HY$221,_xll.ciqfunctions.udf.CIQ($G254, "IQ_SHARESOUTSTANDING", HY$222),"--")</f>
        <v>0</v>
      </c>
      <c r="HZ254" s="2132">
        <f>IF(HZ$221,_xll.ciqfunctions.udf.CIQ($G254, "IQ_SHARESOUTSTANDING", HZ$222),"--")</f>
        <v>0</v>
      </c>
      <c r="IA254" s="2132">
        <f>IF(IA$221,_xll.ciqfunctions.udf.CIQ($G254, "IQ_SHARESOUTSTANDING", IA$222),"--")</f>
        <v>0</v>
      </c>
      <c r="IB254" s="2132">
        <f>IF(IB$221,_xll.ciqfunctions.udf.CIQ($G254, "IQ_SHARESOUTSTANDING", IB$222),"--")</f>
        <v>0</v>
      </c>
      <c r="IC254" s="2132">
        <f>IF(IC$221,_xll.ciqfunctions.udf.CIQ($G254, "IQ_SHARESOUTSTANDING", IC$222),"--")</f>
        <v>0</v>
      </c>
      <c r="ID254" s="2132">
        <f>IF(ID$221,_xll.ciqfunctions.udf.CIQ($G254, "IQ_SHARESOUTSTANDING", ID$222),"--")</f>
        <v>0</v>
      </c>
      <c r="IE254" s="2132">
        <f>IF(IE$221,_xll.ciqfunctions.udf.CIQ($G254, "IQ_SHARESOUTSTANDING", IE$222),"--")</f>
        <v>0</v>
      </c>
      <c r="IF254" s="2132">
        <f>IF(IF$221,_xll.ciqfunctions.udf.CIQ($G254, "IQ_SHARESOUTSTANDING", IF$222),"--")</f>
        <v>0</v>
      </c>
      <c r="IG254" s="2132">
        <f>IF(IG$221,_xll.ciqfunctions.udf.CIQ($G254, "IQ_SHARESOUTSTANDING", IG$222),"--")</f>
        <v>0</v>
      </c>
      <c r="IH254" s="2132">
        <f>IF(IH$221,_xll.ciqfunctions.udf.CIQ($G254, "IQ_SHARESOUTSTANDING", IH$222),"--")</f>
        <v>0</v>
      </c>
      <c r="II254" s="2132">
        <f>IF(II$221,_xll.ciqfunctions.udf.CIQ($G254, "IQ_SHARESOUTSTANDING", II$222),"--")</f>
        <v>0</v>
      </c>
      <c r="IJ254" s="2132">
        <f>IF(IJ$221,_xll.ciqfunctions.udf.CIQ($G254, "IQ_SHARESOUTSTANDING", IJ$222),"--")</f>
        <v>0</v>
      </c>
      <c r="IK254" s="2132">
        <f>IF(IK$221,_xll.ciqfunctions.udf.CIQ($G254, "IQ_SHARESOUTSTANDING", IK$222),"--")</f>
        <v>0</v>
      </c>
      <c r="IL254" s="2132">
        <f>IF(IL$221,_xll.ciqfunctions.udf.CIQ($G254, "IQ_SHARESOUTSTANDING", IL$222),"--")</f>
        <v>0</v>
      </c>
      <c r="IM254" s="2132">
        <f>IF(IM$221,_xll.ciqfunctions.udf.CIQ($G254, "IQ_SHARESOUTSTANDING", IM$222),"--")</f>
        <v>0</v>
      </c>
      <c r="IN254" s="2132">
        <f>IF(IN$221,_xll.ciqfunctions.udf.CIQ($G254, "IQ_SHARESOUTSTANDING", IN$222),"--")</f>
        <v>0</v>
      </c>
      <c r="IO254" s="2132">
        <f>IF(IO$221,_xll.ciqfunctions.udf.CIQ($G254, "IQ_SHARESOUTSTANDING", IO$222),"--")</f>
        <v>0</v>
      </c>
      <c r="IP254" s="2132">
        <f>IF(IP$221,_xll.ciqfunctions.udf.CIQ($G254, "IQ_SHARESOUTSTANDING", IP$222),"--")</f>
        <v>0</v>
      </c>
      <c r="IQ254" s="2132">
        <f>IF(IQ$221,_xll.ciqfunctions.udf.CIQ($G254, "IQ_SHARESOUTSTANDING", IQ$222),"--")</f>
        <v>0</v>
      </c>
      <c r="IR254" s="2132">
        <f>IF(IR$221,_xll.ciqfunctions.udf.CIQ($G254, "IQ_SHARESOUTSTANDING", IR$222),"--")</f>
        <v>0</v>
      </c>
      <c r="IS254" s="2132">
        <f>IF(IS$221,_xll.ciqfunctions.udf.CIQ($G254, "IQ_SHARESOUTSTANDING", IS$222),"--")</f>
        <v>0</v>
      </c>
      <c r="IT254" s="2132">
        <f>IF(IT$221,_xll.ciqfunctions.udf.CIQ($G254, "IQ_SHARESOUTSTANDING", IT$222),"--")</f>
        <v>0</v>
      </c>
      <c r="IU254" s="2132">
        <f>IF(IU$221,_xll.ciqfunctions.udf.CIQ($G254, "IQ_SHARESOUTSTANDING", IU$222),"--")</f>
        <v>0</v>
      </c>
      <c r="IV254" s="2132">
        <f>IF(IV$221,_xll.ciqfunctions.udf.CIQ($G254, "IQ_SHARESOUTSTANDING", IV$222),"--")</f>
        <v>0</v>
      </c>
      <c r="IW254" s="2132">
        <f>IF(IW$221,_xll.ciqfunctions.udf.CIQ($G254, "IQ_SHARESOUTSTANDING", IW$222),"--")</f>
        <v>0</v>
      </c>
      <c r="IX254" s="2132">
        <f>IF(IX$221,_xll.ciqfunctions.udf.CIQ($G254, "IQ_SHARESOUTSTANDING", IX$222),"--")</f>
        <v>0</v>
      </c>
      <c r="IY254" s="2132">
        <f>IF(IY$221,_xll.ciqfunctions.udf.CIQ($G254, "IQ_SHARESOUTSTANDING", IY$222),"--")</f>
        <v>0</v>
      </c>
      <c r="IZ254" s="2132">
        <f>IF(IZ$221,_xll.ciqfunctions.udf.CIQ($G254, "IQ_SHARESOUTSTANDING", IZ$222),"--")</f>
        <v>0</v>
      </c>
      <c r="JA254" s="2132">
        <f>IF(JA$221,_xll.ciqfunctions.udf.CIQ($G254, "IQ_SHARESOUTSTANDING", JA$222),"--")</f>
        <v>0</v>
      </c>
      <c r="JB254" s="2132">
        <f>IF(JB$221,_xll.ciqfunctions.udf.CIQ($G254, "IQ_SHARESOUTSTANDING", JB$222),"--")</f>
        <v>0</v>
      </c>
      <c r="JC254" s="2132">
        <f>IF(JC$221,_xll.ciqfunctions.udf.CIQ($G254, "IQ_SHARESOUTSTANDING", JC$222),"--")</f>
        <v>0</v>
      </c>
      <c r="JD254" s="2132">
        <f>IF(JD$221,_xll.ciqfunctions.udf.CIQ($G254, "IQ_SHARESOUTSTANDING", JD$222),"--")</f>
        <v>0</v>
      </c>
      <c r="JE254" s="2132">
        <f>IF(JE$221,_xll.ciqfunctions.udf.CIQ($G254, "IQ_SHARESOUTSTANDING", JE$222),"--")</f>
        <v>0</v>
      </c>
      <c r="JF254" s="2132">
        <f>IF(JF$221,_xll.ciqfunctions.udf.CIQ($G254, "IQ_SHARESOUTSTANDING", JF$222),"--")</f>
        <v>0</v>
      </c>
      <c r="JG254" s="2132">
        <f>IF(JG$221,_xll.ciqfunctions.udf.CIQ($G254, "IQ_SHARESOUTSTANDING", JG$222),"--")</f>
        <v>0</v>
      </c>
      <c r="JH254" s="2132">
        <f>IF(JH$221,_xll.ciqfunctions.udf.CIQ($G254, "IQ_SHARESOUTSTANDING", JH$222),"--")</f>
        <v>0</v>
      </c>
      <c r="JI254" s="2132">
        <f>IF(JI$221,_xll.ciqfunctions.udf.CIQ($G254, "IQ_SHARESOUTSTANDING", JI$222),"--")</f>
        <v>0</v>
      </c>
      <c r="JJ254" s="2132">
        <f>IF(JJ$221,_xll.ciqfunctions.udf.CIQ($G254, "IQ_SHARESOUTSTANDING", JJ$222),"--")</f>
        <v>0</v>
      </c>
      <c r="JK254" s="2132">
        <f>IF(JK$221,_xll.ciqfunctions.udf.CIQ($G254, "IQ_SHARESOUTSTANDING", JK$222),"--")</f>
        <v>0</v>
      </c>
      <c r="JL254" s="2132">
        <f>IF(JL$221,_xll.ciqfunctions.udf.CIQ($G254, "IQ_SHARESOUTSTANDING", JL$222),"--")</f>
        <v>0</v>
      </c>
      <c r="JM254" s="2132">
        <f>IF(JM$221,_xll.ciqfunctions.udf.CIQ($G254, "IQ_SHARESOUTSTANDING", JM$222),"--")</f>
        <v>0</v>
      </c>
      <c r="JN254" s="2132">
        <f>IF(JN$221,_xll.ciqfunctions.udf.CIQ($G254, "IQ_SHARESOUTSTANDING", JN$222),"--")</f>
        <v>0</v>
      </c>
      <c r="JO254" s="2132">
        <f>IF(JO$221,_xll.ciqfunctions.udf.CIQ($G254, "IQ_SHARESOUTSTANDING", JO$222),"--")</f>
        <v>0</v>
      </c>
      <c r="JP254" s="2132">
        <f>IF(JP$221,_xll.ciqfunctions.udf.CIQ($G254, "IQ_SHARESOUTSTANDING", JP$222),"--")</f>
        <v>0</v>
      </c>
      <c r="JQ254" s="2132">
        <f>IF(JQ$221,_xll.ciqfunctions.udf.CIQ($G254, "IQ_SHARESOUTSTANDING", JQ$222),"--")</f>
        <v>0</v>
      </c>
      <c r="JR254" s="2132">
        <f>IF(JR$221,_xll.ciqfunctions.udf.CIQ($G254, "IQ_SHARESOUTSTANDING", JR$222),"--")</f>
        <v>0</v>
      </c>
      <c r="JS254" s="2132">
        <f>IF(JS$221,_xll.ciqfunctions.udf.CIQ($G254, "IQ_SHARESOUTSTANDING", JS$222),"--")</f>
        <v>0</v>
      </c>
      <c r="JT254" s="2132">
        <f>IF(JT$221,_xll.ciqfunctions.udf.CIQ($G254, "IQ_SHARESOUTSTANDING", JT$222),"--")</f>
        <v>0</v>
      </c>
      <c r="JU254" s="2132">
        <f>IF(JU$221,_xll.ciqfunctions.udf.CIQ($G254, "IQ_SHARESOUTSTANDING", JU$222),"--")</f>
        <v>0</v>
      </c>
      <c r="JV254" s="2132">
        <f>IF(JV$221,_xll.ciqfunctions.udf.CIQ($G254, "IQ_SHARESOUTSTANDING", JV$222),"--")</f>
        <v>0</v>
      </c>
      <c r="JW254" s="2132" t="str">
        <f>IF(JW$221,_xll.ciqfunctions.udf.CIQ($G254, "IQ_SHARESOUTSTANDING", JW$222),"--")</f>
        <v>--</v>
      </c>
      <c r="JX254" s="2132" t="str">
        <f>IF(JX$221,_xll.ciqfunctions.udf.CIQ($G254, "IQ_SHARESOUTSTANDING", JX$222),"--")</f>
        <v>--</v>
      </c>
      <c r="JY254" s="2132" t="str">
        <f>IF(JY$221,_xll.ciqfunctions.udf.CIQ($G254, "IQ_SHARESOUTSTANDING", JY$222),"--")</f>
        <v>--</v>
      </c>
      <c r="JZ254" s="2132" t="str">
        <f>IF(JZ$221,_xll.ciqfunctions.udf.CIQ($G254, "IQ_SHARESOUTSTANDING", JZ$222),"--")</f>
        <v>--</v>
      </c>
      <c r="KA254" s="2132" t="str">
        <f>IF(KA$221,_xll.ciqfunctions.udf.CIQ($G254, "IQ_SHARESOUTSTANDING", KA$222),"--")</f>
        <v>--</v>
      </c>
      <c r="KB254" s="2132" t="str">
        <f>IF(KB$221,_xll.ciqfunctions.udf.CIQ($G254, "IQ_SHARESOUTSTANDING", KB$222),"--")</f>
        <v>--</v>
      </c>
    </row>
    <row r="255" spans="1:288" s="89" customFormat="1" ht="13.9">
      <c r="A255" s="269" t="str">
        <f>IF(F255="--","n","")</f>
        <v>n</v>
      </c>
      <c r="B255" s="2060"/>
      <c r="D255" s="801"/>
      <c r="E255" s="1505">
        <v>1</v>
      </c>
      <c r="F255" s="21" t="str">
        <f>F$129</f>
        <v>--</v>
      </c>
      <c r="G255" s="1441">
        <f>G$129</f>
        <v>0</v>
      </c>
      <c r="H255" s="1441" t="str">
        <f>H$129</f>
        <v>--</v>
      </c>
      <c r="I255" s="314" t="s">
        <v>783</v>
      </c>
      <c r="J255" s="314"/>
      <c r="K255" s="2301" t="str">
        <f>IF(OR(K192=0,$G255=0),"--",IFERROR(_xll.ciqfunctions.udf.CIQ($G255,$I255,K100,Valuation_Date_GC,ReportType,DataMode,$H255,FXMode)*Scale+K224*Pension10,"--"))</f>
        <v>--</v>
      </c>
      <c r="L255" s="2301" t="str">
        <f>IF(OR(L192=0,$G255=0),"--",IFERROR(_xll.ciqfunctions.udf.CIQ($G255,$I255,L100,Valuation_Date_GC,ReportType,DataMode,$H255,FXMode)*Scale+L224*Pension10,"--"))</f>
        <v>--</v>
      </c>
      <c r="M255" s="2301" t="str">
        <f>IF(OR(M192=0,$G255=0),"--",IFERROR(_xll.ciqfunctions.udf.CIQ($G255,$I255,M100,Valuation_Date_GC,ReportType,DataMode,$H255,FXMode)*Scale+M224*Pension10,"--"))</f>
        <v>--</v>
      </c>
      <c r="N255" s="2301" t="str">
        <f>IF(OR(N192=0,$G255=0),"--",IFERROR(_xll.ciqfunctions.udf.CIQ($G255,$I255,N100,Valuation_Date_GC,ReportType,DataMode,$H255,FXMode)*Scale+N224*Pension10,"--"))</f>
        <v>--</v>
      </c>
      <c r="O255" s="1471" t="str">
        <f>IF(OR(O192=0,$G255=0),"--",IFERROR(_xll.ciqfunctions.udf.CIQ($G255,$I255,O100,Valuation_Date_GC,ReportType,DataMode,$H255,FXMode)*Scale+O224*Pension10,"--"))</f>
        <v>--</v>
      </c>
      <c r="P255" s="2301" t="str">
        <f>IF(OR(P192=0,$G255=0),"--",IFERROR(_xll.ciqfunctions.udf.CIQ($G255,$I255,P100,Valuation_Date_GC,ReportType,DataMode,$H255,FXMode)*Scale+P224*Pension10,"--"))</f>
        <v>--</v>
      </c>
      <c r="R255" s="255"/>
      <c r="T255" s="1779" t="s">
        <v>784</v>
      </c>
      <c r="U255" s="2132">
        <f>IF(U$221,_xll.ciqfunctions.udf.CIQ($G255, "IQ_SHARESOUTSTANDING", U$222),"--")</f>
        <v>0</v>
      </c>
      <c r="V255" s="2132">
        <f>IF(V$221,_xll.ciqfunctions.udf.CIQ($G255, "IQ_SHARESOUTSTANDING", V$222),"--")</f>
        <v>0</v>
      </c>
      <c r="W255" s="2132">
        <f>IF(W$221,_xll.ciqfunctions.udf.CIQ($G255, "IQ_SHARESOUTSTANDING", W$222),"--")</f>
        <v>0</v>
      </c>
      <c r="X255" s="2132">
        <f>IF(X$221,_xll.ciqfunctions.udf.CIQ($G255, "IQ_SHARESOUTSTANDING", X$222),"--")</f>
        <v>0</v>
      </c>
      <c r="Y255" s="2132">
        <f>IF(Y$221,_xll.ciqfunctions.udf.CIQ($G255, "IQ_SHARESOUTSTANDING", Y$222),"--")</f>
        <v>0</v>
      </c>
      <c r="Z255" s="2132">
        <f>IF(Z$221,_xll.ciqfunctions.udf.CIQ($G255, "IQ_SHARESOUTSTANDING", Z$222),"--")</f>
        <v>0</v>
      </c>
      <c r="AA255" s="2132">
        <f>IF(AA$221,_xll.ciqfunctions.udf.CIQ($G255, "IQ_SHARESOUTSTANDING", AA$222),"--")</f>
        <v>0</v>
      </c>
      <c r="AB255" s="2132">
        <f>IF(AB$221,_xll.ciqfunctions.udf.CIQ($G255, "IQ_SHARESOUTSTANDING", AB$222),"--")</f>
        <v>0</v>
      </c>
      <c r="AC255" s="2132">
        <f>IF(AC$221,_xll.ciqfunctions.udf.CIQ($G255, "IQ_SHARESOUTSTANDING", AC$222),"--")</f>
        <v>0</v>
      </c>
      <c r="AD255" s="2132">
        <f>IF(AD$221,_xll.ciqfunctions.udf.CIQ($G255, "IQ_SHARESOUTSTANDING", AD$222),"--")</f>
        <v>0</v>
      </c>
      <c r="AE255" s="2132">
        <f>IF(AE$221,_xll.ciqfunctions.udf.CIQ($G255, "IQ_SHARESOUTSTANDING", AE$222),"--")</f>
        <v>0</v>
      </c>
      <c r="AF255" s="2132">
        <f>IF(AF$221,_xll.ciqfunctions.udf.CIQ($G255, "IQ_SHARESOUTSTANDING", AF$222),"--")</f>
        <v>0</v>
      </c>
      <c r="AG255" s="2132">
        <f>IF(AG$221,_xll.ciqfunctions.udf.CIQ($G255, "IQ_SHARESOUTSTANDING", AG$222),"--")</f>
        <v>0</v>
      </c>
      <c r="AH255" s="2132">
        <f>IF(AH$221,_xll.ciqfunctions.udf.CIQ($G255, "IQ_SHARESOUTSTANDING", AH$222),"--")</f>
        <v>0</v>
      </c>
      <c r="AI255" s="2132">
        <f>IF(AI$221,_xll.ciqfunctions.udf.CIQ($G255, "IQ_SHARESOUTSTANDING", AI$222),"--")</f>
        <v>0</v>
      </c>
      <c r="AJ255" s="2132">
        <f>IF(AJ$221,_xll.ciqfunctions.udf.CIQ($G255, "IQ_SHARESOUTSTANDING", AJ$222),"--")</f>
        <v>0</v>
      </c>
      <c r="AK255" s="2132">
        <f>IF(AK$221,_xll.ciqfunctions.udf.CIQ($G255, "IQ_SHARESOUTSTANDING", AK$222),"--")</f>
        <v>0</v>
      </c>
      <c r="AL255" s="2132">
        <f>IF(AL$221,_xll.ciqfunctions.udf.CIQ($G255, "IQ_SHARESOUTSTANDING", AL$222),"--")</f>
        <v>0</v>
      </c>
      <c r="AM255" s="2132">
        <f>IF(AM$221,_xll.ciqfunctions.udf.CIQ($G255, "IQ_SHARESOUTSTANDING", AM$222),"--")</f>
        <v>0</v>
      </c>
      <c r="AN255" s="2132">
        <f>IF(AN$221,_xll.ciqfunctions.udf.CIQ($G255, "IQ_SHARESOUTSTANDING", AN$222),"--")</f>
        <v>0</v>
      </c>
      <c r="AO255" s="2132">
        <f>IF(AO$221,_xll.ciqfunctions.udf.CIQ($G255, "IQ_SHARESOUTSTANDING", AO$222),"--")</f>
        <v>0</v>
      </c>
      <c r="AP255" s="2132">
        <f>IF(AP$221,_xll.ciqfunctions.udf.CIQ($G255, "IQ_SHARESOUTSTANDING", AP$222),"--")</f>
        <v>0</v>
      </c>
      <c r="AQ255" s="2132">
        <f>IF(AQ$221,_xll.ciqfunctions.udf.CIQ($G255, "IQ_SHARESOUTSTANDING", AQ$222),"--")</f>
        <v>0</v>
      </c>
      <c r="AR255" s="2132">
        <f>IF(AR$221,_xll.ciqfunctions.udf.CIQ($G255, "IQ_SHARESOUTSTANDING", AR$222),"--")</f>
        <v>0</v>
      </c>
      <c r="AS255" s="2132">
        <f>IF(AS$221,_xll.ciqfunctions.udf.CIQ($G255, "IQ_SHARESOUTSTANDING", AS$222),"--")</f>
        <v>0</v>
      </c>
      <c r="AT255" s="2132">
        <f>IF(AT$221,_xll.ciqfunctions.udf.CIQ($G255, "IQ_SHARESOUTSTANDING", AT$222),"--")</f>
        <v>0</v>
      </c>
      <c r="AU255" s="2132">
        <f>IF(AU$221,_xll.ciqfunctions.udf.CIQ($G255, "IQ_SHARESOUTSTANDING", AU$222),"--")</f>
        <v>0</v>
      </c>
      <c r="AV255" s="2132">
        <f>IF(AV$221,_xll.ciqfunctions.udf.CIQ($G255, "IQ_SHARESOUTSTANDING", AV$222),"--")</f>
        <v>0</v>
      </c>
      <c r="AW255" s="2132">
        <f>IF(AW$221,_xll.ciqfunctions.udf.CIQ($G255, "IQ_SHARESOUTSTANDING", AW$222),"--")</f>
        <v>0</v>
      </c>
      <c r="AX255" s="2132">
        <f>IF(AX$221,_xll.ciqfunctions.udf.CIQ($G255, "IQ_SHARESOUTSTANDING", AX$222),"--")</f>
        <v>0</v>
      </c>
      <c r="AY255" s="2132">
        <f>IF(AY$221,_xll.ciqfunctions.udf.CIQ($G255, "IQ_SHARESOUTSTANDING", AY$222),"--")</f>
        <v>0</v>
      </c>
      <c r="AZ255" s="2132">
        <f>IF(AZ$221,_xll.ciqfunctions.udf.CIQ($G255, "IQ_SHARESOUTSTANDING", AZ$222),"--")</f>
        <v>0</v>
      </c>
      <c r="BA255" s="2132">
        <f>IF(BA$221,_xll.ciqfunctions.udf.CIQ($G255, "IQ_SHARESOUTSTANDING", BA$222),"--")</f>
        <v>0</v>
      </c>
      <c r="BB255" s="2132">
        <f>IF(BB$221,_xll.ciqfunctions.udf.CIQ($G255, "IQ_SHARESOUTSTANDING", BB$222),"--")</f>
        <v>0</v>
      </c>
      <c r="BC255" s="2132">
        <f>IF(BC$221,_xll.ciqfunctions.udf.CIQ($G255, "IQ_SHARESOUTSTANDING", BC$222),"--")</f>
        <v>0</v>
      </c>
      <c r="BD255" s="2132">
        <f>IF(BD$221,_xll.ciqfunctions.udf.CIQ($G255, "IQ_SHARESOUTSTANDING", BD$222),"--")</f>
        <v>0</v>
      </c>
      <c r="BE255" s="2132">
        <f>IF(BE$221,_xll.ciqfunctions.udf.CIQ($G255, "IQ_SHARESOUTSTANDING", BE$222),"--")</f>
        <v>0</v>
      </c>
      <c r="BF255" s="2132">
        <f>IF(BF$221,_xll.ciqfunctions.udf.CIQ($G255, "IQ_SHARESOUTSTANDING", BF$222),"--")</f>
        <v>0</v>
      </c>
      <c r="BG255" s="2132">
        <f>IF(BG$221,_xll.ciqfunctions.udf.CIQ($G255, "IQ_SHARESOUTSTANDING", BG$222),"--")</f>
        <v>0</v>
      </c>
      <c r="BH255" s="2132">
        <f>IF(BH$221,_xll.ciqfunctions.udf.CIQ($G255, "IQ_SHARESOUTSTANDING", BH$222),"--")</f>
        <v>0</v>
      </c>
      <c r="BI255" s="2132">
        <f>IF(BI$221,_xll.ciqfunctions.udf.CIQ($G255, "IQ_SHARESOUTSTANDING", BI$222),"--")</f>
        <v>0</v>
      </c>
      <c r="BJ255" s="2132">
        <f>IF(BJ$221,_xll.ciqfunctions.udf.CIQ($G255, "IQ_SHARESOUTSTANDING", BJ$222),"--")</f>
        <v>0</v>
      </c>
      <c r="BK255" s="2132">
        <f>IF(BK$221,_xll.ciqfunctions.udf.CIQ($G255, "IQ_SHARESOUTSTANDING", BK$222),"--")</f>
        <v>0</v>
      </c>
      <c r="BL255" s="2132">
        <f>IF(BL$221,_xll.ciqfunctions.udf.CIQ($G255, "IQ_SHARESOUTSTANDING", BL$222),"--")</f>
        <v>0</v>
      </c>
      <c r="BM255" s="2132">
        <f>IF(BM$221,_xll.ciqfunctions.udf.CIQ($G255, "IQ_SHARESOUTSTANDING", BM$222),"--")</f>
        <v>0</v>
      </c>
      <c r="BN255" s="2132">
        <f>IF(BN$221,_xll.ciqfunctions.udf.CIQ($G255, "IQ_SHARESOUTSTANDING", BN$222),"--")</f>
        <v>0</v>
      </c>
      <c r="BO255" s="2132">
        <f>IF(BO$221,_xll.ciqfunctions.udf.CIQ($G255, "IQ_SHARESOUTSTANDING", BO$222),"--")</f>
        <v>0</v>
      </c>
      <c r="BP255" s="2132">
        <f>IF(BP$221,_xll.ciqfunctions.udf.CIQ($G255, "IQ_SHARESOUTSTANDING", BP$222),"--")</f>
        <v>0</v>
      </c>
      <c r="BQ255" s="2132">
        <f>IF(BQ$221,_xll.ciqfunctions.udf.CIQ($G255, "IQ_SHARESOUTSTANDING", BQ$222),"--")</f>
        <v>0</v>
      </c>
      <c r="BR255" s="2132">
        <f>IF(BR$221,_xll.ciqfunctions.udf.CIQ($G255, "IQ_SHARESOUTSTANDING", BR$222),"--")</f>
        <v>0</v>
      </c>
      <c r="BS255" s="2132">
        <f>IF(BS$221,_xll.ciqfunctions.udf.CIQ($G255, "IQ_SHARESOUTSTANDING", BS$222),"--")</f>
        <v>0</v>
      </c>
      <c r="BT255" s="2132">
        <f>IF(BT$221,_xll.ciqfunctions.udf.CIQ($G255, "IQ_SHARESOUTSTANDING", BT$222),"--")</f>
        <v>0</v>
      </c>
      <c r="BU255" s="2132">
        <f>IF(BU$221,_xll.ciqfunctions.udf.CIQ($G255, "IQ_SHARESOUTSTANDING", BU$222),"--")</f>
        <v>0</v>
      </c>
      <c r="BV255" s="2132">
        <f>IF(BV$221,_xll.ciqfunctions.udf.CIQ($G255, "IQ_SHARESOUTSTANDING", BV$222),"--")</f>
        <v>0</v>
      </c>
      <c r="BW255" s="2132">
        <f>IF(BW$221,_xll.ciqfunctions.udf.CIQ($G255, "IQ_SHARESOUTSTANDING", BW$222),"--")</f>
        <v>0</v>
      </c>
      <c r="BX255" s="2132">
        <f>IF(BX$221,_xll.ciqfunctions.udf.CIQ($G255, "IQ_SHARESOUTSTANDING", BX$222),"--")</f>
        <v>0</v>
      </c>
      <c r="BY255" s="2132">
        <f>IF(BY$221,_xll.ciqfunctions.udf.CIQ($G255, "IQ_SHARESOUTSTANDING", BY$222),"--")</f>
        <v>0</v>
      </c>
      <c r="BZ255" s="2132">
        <f>IF(BZ$221,_xll.ciqfunctions.udf.CIQ($G255, "IQ_SHARESOUTSTANDING", BZ$222),"--")</f>
        <v>0</v>
      </c>
      <c r="CA255" s="2132">
        <f>IF(CA$221,_xll.ciqfunctions.udf.CIQ($G255, "IQ_SHARESOUTSTANDING", CA$222),"--")</f>
        <v>0</v>
      </c>
      <c r="CB255" s="2132">
        <f>IF(CB$221,_xll.ciqfunctions.udf.CIQ($G255, "IQ_SHARESOUTSTANDING", CB$222),"--")</f>
        <v>0</v>
      </c>
      <c r="CC255" s="2132">
        <f>IF(CC$221,_xll.ciqfunctions.udf.CIQ($G255, "IQ_SHARESOUTSTANDING", CC$222),"--")</f>
        <v>0</v>
      </c>
      <c r="CD255" s="2132">
        <f>IF(CD$221,_xll.ciqfunctions.udf.CIQ($G255, "IQ_SHARESOUTSTANDING", CD$222),"--")</f>
        <v>0</v>
      </c>
      <c r="CE255" s="2132">
        <f>IF(CE$221,_xll.ciqfunctions.udf.CIQ($G255, "IQ_SHARESOUTSTANDING", CE$222),"--")</f>
        <v>0</v>
      </c>
      <c r="CF255" s="2132">
        <f>IF(CF$221,_xll.ciqfunctions.udf.CIQ($G255, "IQ_SHARESOUTSTANDING", CF$222),"--")</f>
        <v>0</v>
      </c>
      <c r="CG255" s="2132">
        <f>IF(CG$221,_xll.ciqfunctions.udf.CIQ($G255, "IQ_SHARESOUTSTANDING", CG$222),"--")</f>
        <v>0</v>
      </c>
      <c r="CH255" s="2132">
        <f>IF(CH$221,_xll.ciqfunctions.udf.CIQ($G255, "IQ_SHARESOUTSTANDING", CH$222),"--")</f>
        <v>0</v>
      </c>
      <c r="CI255" s="2132">
        <f>IF(CI$221,_xll.ciqfunctions.udf.CIQ($G255, "IQ_SHARESOUTSTANDING", CI$222),"--")</f>
        <v>0</v>
      </c>
      <c r="CJ255" s="2132">
        <f>IF(CJ$221,_xll.ciqfunctions.udf.CIQ($G255, "IQ_SHARESOUTSTANDING", CJ$222),"--")</f>
        <v>0</v>
      </c>
      <c r="CK255" s="2132">
        <f>IF(CK$221,_xll.ciqfunctions.udf.CIQ($G255, "IQ_SHARESOUTSTANDING", CK$222),"--")</f>
        <v>0</v>
      </c>
      <c r="CL255" s="2132">
        <f>IF(CL$221,_xll.ciqfunctions.udf.CIQ($G255, "IQ_SHARESOUTSTANDING", CL$222),"--")</f>
        <v>0</v>
      </c>
      <c r="CM255" s="2132">
        <f>IF(CM$221,_xll.ciqfunctions.udf.CIQ($G255, "IQ_SHARESOUTSTANDING", CM$222),"--")</f>
        <v>0</v>
      </c>
      <c r="CN255" s="2132">
        <f>IF(CN$221,_xll.ciqfunctions.udf.CIQ($G255, "IQ_SHARESOUTSTANDING", CN$222),"--")</f>
        <v>0</v>
      </c>
      <c r="CO255" s="2132">
        <f>IF(CO$221,_xll.ciqfunctions.udf.CIQ($G255, "IQ_SHARESOUTSTANDING", CO$222),"--")</f>
        <v>0</v>
      </c>
      <c r="CP255" s="2132">
        <f>IF(CP$221,_xll.ciqfunctions.udf.CIQ($G255, "IQ_SHARESOUTSTANDING", CP$222),"--")</f>
        <v>0</v>
      </c>
      <c r="CQ255" s="2132">
        <f>IF(CQ$221,_xll.ciqfunctions.udf.CIQ($G255, "IQ_SHARESOUTSTANDING", CQ$222),"--")</f>
        <v>0</v>
      </c>
      <c r="CR255" s="2132">
        <f>IF(CR$221,_xll.ciqfunctions.udf.CIQ($G255, "IQ_SHARESOUTSTANDING", CR$222),"--")</f>
        <v>0</v>
      </c>
      <c r="CS255" s="2132">
        <f>IF(CS$221,_xll.ciqfunctions.udf.CIQ($G255, "IQ_SHARESOUTSTANDING", CS$222),"--")</f>
        <v>0</v>
      </c>
      <c r="CT255" s="2132">
        <f>IF(CT$221,_xll.ciqfunctions.udf.CIQ($G255, "IQ_SHARESOUTSTANDING", CT$222),"--")</f>
        <v>0</v>
      </c>
      <c r="CU255" s="2132">
        <f>IF(CU$221,_xll.ciqfunctions.udf.CIQ($G255, "IQ_SHARESOUTSTANDING", CU$222),"--")</f>
        <v>0</v>
      </c>
      <c r="CV255" s="2132">
        <f>IF(CV$221,_xll.ciqfunctions.udf.CIQ($G255, "IQ_SHARESOUTSTANDING", CV$222),"--")</f>
        <v>0</v>
      </c>
      <c r="CW255" s="2132">
        <f>IF(CW$221,_xll.ciqfunctions.udf.CIQ($G255, "IQ_SHARESOUTSTANDING", CW$222),"--")</f>
        <v>0</v>
      </c>
      <c r="CX255" s="2132">
        <f>IF(CX$221,_xll.ciqfunctions.udf.CIQ($G255, "IQ_SHARESOUTSTANDING", CX$222),"--")</f>
        <v>0</v>
      </c>
      <c r="CY255" s="2132">
        <f>IF(CY$221,_xll.ciqfunctions.udf.CIQ($G255, "IQ_SHARESOUTSTANDING", CY$222),"--")</f>
        <v>0</v>
      </c>
      <c r="CZ255" s="2132">
        <f>IF(CZ$221,_xll.ciqfunctions.udf.CIQ($G255, "IQ_SHARESOUTSTANDING", CZ$222),"--")</f>
        <v>0</v>
      </c>
      <c r="DA255" s="2132">
        <f>IF(DA$221,_xll.ciqfunctions.udf.CIQ($G255, "IQ_SHARESOUTSTANDING", DA$222),"--")</f>
        <v>0</v>
      </c>
      <c r="DB255" s="2132">
        <f>IF(DB$221,_xll.ciqfunctions.udf.CIQ($G255, "IQ_SHARESOUTSTANDING", DB$222),"--")</f>
        <v>0</v>
      </c>
      <c r="DC255" s="2132">
        <f>IF(DC$221,_xll.ciqfunctions.udf.CIQ($G255, "IQ_SHARESOUTSTANDING", DC$222),"--")</f>
        <v>0</v>
      </c>
      <c r="DD255" s="2132">
        <f>IF(DD$221,_xll.ciqfunctions.udf.CIQ($G255, "IQ_SHARESOUTSTANDING", DD$222),"--")</f>
        <v>0</v>
      </c>
      <c r="DE255" s="2132">
        <f>IF(DE$221,_xll.ciqfunctions.udf.CIQ($G255, "IQ_SHARESOUTSTANDING", DE$222),"--")</f>
        <v>0</v>
      </c>
      <c r="DF255" s="2132">
        <f>IF(DF$221,_xll.ciqfunctions.udf.CIQ($G255, "IQ_SHARESOUTSTANDING", DF$222),"--")</f>
        <v>0</v>
      </c>
      <c r="DG255" s="2132">
        <f>IF(DG$221,_xll.ciqfunctions.udf.CIQ($G255, "IQ_SHARESOUTSTANDING", DG$222),"--")</f>
        <v>0</v>
      </c>
      <c r="DH255" s="2132">
        <f>IF(DH$221,_xll.ciqfunctions.udf.CIQ($G255, "IQ_SHARESOUTSTANDING", DH$222),"--")</f>
        <v>0</v>
      </c>
      <c r="DI255" s="2132">
        <f>IF(DI$221,_xll.ciqfunctions.udf.CIQ($G255, "IQ_SHARESOUTSTANDING", DI$222),"--")</f>
        <v>0</v>
      </c>
      <c r="DJ255" s="2132">
        <f>IF(DJ$221,_xll.ciqfunctions.udf.CIQ($G255, "IQ_SHARESOUTSTANDING", DJ$222),"--")</f>
        <v>0</v>
      </c>
      <c r="DK255" s="2132">
        <f>IF(DK$221,_xll.ciqfunctions.udf.CIQ($G255, "IQ_SHARESOUTSTANDING", DK$222),"--")</f>
        <v>0</v>
      </c>
      <c r="DL255" s="2132">
        <f>IF(DL$221,_xll.ciqfunctions.udf.CIQ($G255, "IQ_SHARESOUTSTANDING", DL$222),"--")</f>
        <v>0</v>
      </c>
      <c r="DM255" s="2132">
        <f>IF(DM$221,_xll.ciqfunctions.udf.CIQ($G255, "IQ_SHARESOUTSTANDING", DM$222),"--")</f>
        <v>0</v>
      </c>
      <c r="DN255" s="2132">
        <f>IF(DN$221,_xll.ciqfunctions.udf.CIQ($G255, "IQ_SHARESOUTSTANDING", DN$222),"--")</f>
        <v>0</v>
      </c>
      <c r="DO255" s="2132">
        <f>IF(DO$221,_xll.ciqfunctions.udf.CIQ($G255, "IQ_SHARESOUTSTANDING", DO$222),"--")</f>
        <v>0</v>
      </c>
      <c r="DP255" s="2132">
        <f>IF(DP$221,_xll.ciqfunctions.udf.CIQ($G255, "IQ_SHARESOUTSTANDING", DP$222),"--")</f>
        <v>0</v>
      </c>
      <c r="DQ255" s="2132">
        <f>IF(DQ$221,_xll.ciqfunctions.udf.CIQ($G255, "IQ_SHARESOUTSTANDING", DQ$222),"--")</f>
        <v>0</v>
      </c>
      <c r="DR255" s="2132">
        <f>IF(DR$221,_xll.ciqfunctions.udf.CIQ($G255, "IQ_SHARESOUTSTANDING", DR$222),"--")</f>
        <v>0</v>
      </c>
      <c r="DS255" s="2132">
        <f>IF(DS$221,_xll.ciqfunctions.udf.CIQ($G255, "IQ_SHARESOUTSTANDING", DS$222),"--")</f>
        <v>0</v>
      </c>
      <c r="DT255" s="2132">
        <f>IF(DT$221,_xll.ciqfunctions.udf.CIQ($G255, "IQ_SHARESOUTSTANDING", DT$222),"--")</f>
        <v>0</v>
      </c>
      <c r="DU255" s="2132">
        <f>IF(DU$221,_xll.ciqfunctions.udf.CIQ($G255, "IQ_SHARESOUTSTANDING", DU$222),"--")</f>
        <v>0</v>
      </c>
      <c r="DV255" s="2132">
        <f>IF(DV$221,_xll.ciqfunctions.udf.CIQ($G255, "IQ_SHARESOUTSTANDING", DV$222),"--")</f>
        <v>0</v>
      </c>
      <c r="DW255" s="2132">
        <f>IF(DW$221,_xll.ciqfunctions.udf.CIQ($G255, "IQ_SHARESOUTSTANDING", DW$222),"--")</f>
        <v>0</v>
      </c>
      <c r="DX255" s="2132">
        <f>IF(DX$221,_xll.ciqfunctions.udf.CIQ($G255, "IQ_SHARESOUTSTANDING", DX$222),"--")</f>
        <v>0</v>
      </c>
      <c r="DY255" s="2132">
        <f>IF(DY$221,_xll.ciqfunctions.udf.CIQ($G255, "IQ_SHARESOUTSTANDING", DY$222),"--")</f>
        <v>0</v>
      </c>
      <c r="DZ255" s="2132">
        <f>IF(DZ$221,_xll.ciqfunctions.udf.CIQ($G255, "IQ_SHARESOUTSTANDING", DZ$222),"--")</f>
        <v>0</v>
      </c>
      <c r="EA255" s="2132">
        <f>IF(EA$221,_xll.ciqfunctions.udf.CIQ($G255, "IQ_SHARESOUTSTANDING", EA$222),"--")</f>
        <v>0</v>
      </c>
      <c r="EB255" s="2132">
        <f>IF(EB$221,_xll.ciqfunctions.udf.CIQ($G255, "IQ_SHARESOUTSTANDING", EB$222),"--")</f>
        <v>0</v>
      </c>
      <c r="EC255" s="2132">
        <f>IF(EC$221,_xll.ciqfunctions.udf.CIQ($G255, "IQ_SHARESOUTSTANDING", EC$222),"--")</f>
        <v>0</v>
      </c>
      <c r="ED255" s="2132">
        <f>IF(ED$221,_xll.ciqfunctions.udf.CIQ($G255, "IQ_SHARESOUTSTANDING", ED$222),"--")</f>
        <v>0</v>
      </c>
      <c r="EE255" s="2132">
        <f>IF(EE$221,_xll.ciqfunctions.udf.CIQ($G255, "IQ_SHARESOUTSTANDING", EE$222),"--")</f>
        <v>0</v>
      </c>
      <c r="EF255" s="2132">
        <f>IF(EF$221,_xll.ciqfunctions.udf.CIQ($G255, "IQ_SHARESOUTSTANDING", EF$222),"--")</f>
        <v>0</v>
      </c>
      <c r="EG255" s="2132">
        <f>IF(EG$221,_xll.ciqfunctions.udf.CIQ($G255, "IQ_SHARESOUTSTANDING", EG$222),"--")</f>
        <v>0</v>
      </c>
      <c r="EH255" s="2132">
        <f>IF(EH$221,_xll.ciqfunctions.udf.CIQ($G255, "IQ_SHARESOUTSTANDING", EH$222),"--")</f>
        <v>0</v>
      </c>
      <c r="EI255" s="2132">
        <f>IF(EI$221,_xll.ciqfunctions.udf.CIQ($G255, "IQ_SHARESOUTSTANDING", EI$222),"--")</f>
        <v>0</v>
      </c>
      <c r="EJ255" s="2132">
        <f>IF(EJ$221,_xll.ciqfunctions.udf.CIQ($G255, "IQ_SHARESOUTSTANDING", EJ$222),"--")</f>
        <v>0</v>
      </c>
      <c r="EK255" s="2132">
        <f>IF(EK$221,_xll.ciqfunctions.udf.CIQ($G255, "IQ_SHARESOUTSTANDING", EK$222),"--")</f>
        <v>0</v>
      </c>
      <c r="EL255" s="2132">
        <f>IF(EL$221,_xll.ciqfunctions.udf.CIQ($G255, "IQ_SHARESOUTSTANDING", EL$222),"--")</f>
        <v>0</v>
      </c>
      <c r="EM255" s="2132">
        <f>IF(EM$221,_xll.ciqfunctions.udf.CIQ($G255, "IQ_SHARESOUTSTANDING", EM$222),"--")</f>
        <v>0</v>
      </c>
      <c r="EN255" s="2132">
        <f>IF(EN$221,_xll.ciqfunctions.udf.CIQ($G255, "IQ_SHARESOUTSTANDING", EN$222),"--")</f>
        <v>0</v>
      </c>
      <c r="EO255" s="2132">
        <f>IF(EO$221,_xll.ciqfunctions.udf.CIQ($G255, "IQ_SHARESOUTSTANDING", EO$222),"--")</f>
        <v>0</v>
      </c>
      <c r="EP255" s="2132">
        <f>IF(EP$221,_xll.ciqfunctions.udf.CIQ($G255, "IQ_SHARESOUTSTANDING", EP$222),"--")</f>
        <v>0</v>
      </c>
      <c r="EQ255" s="2132">
        <f>IF(EQ$221,_xll.ciqfunctions.udf.CIQ($G255, "IQ_SHARESOUTSTANDING", EQ$222),"--")</f>
        <v>0</v>
      </c>
      <c r="ER255" s="2132">
        <f>IF(ER$221,_xll.ciqfunctions.udf.CIQ($G255, "IQ_SHARESOUTSTANDING", ER$222),"--")</f>
        <v>0</v>
      </c>
      <c r="ES255" s="2132">
        <f>IF(ES$221,_xll.ciqfunctions.udf.CIQ($G255, "IQ_SHARESOUTSTANDING", ES$222),"--")</f>
        <v>0</v>
      </c>
      <c r="ET255" s="2132">
        <f>IF(ET$221,_xll.ciqfunctions.udf.CIQ($G255, "IQ_SHARESOUTSTANDING", ET$222),"--")</f>
        <v>0</v>
      </c>
      <c r="EU255" s="2132">
        <f>IF(EU$221,_xll.ciqfunctions.udf.CIQ($G255, "IQ_SHARESOUTSTANDING", EU$222),"--")</f>
        <v>0</v>
      </c>
      <c r="EV255" s="2132">
        <f>IF(EV$221,_xll.ciqfunctions.udf.CIQ($G255, "IQ_SHARESOUTSTANDING", EV$222),"--")</f>
        <v>0</v>
      </c>
      <c r="EW255" s="2132">
        <f>IF(EW$221,_xll.ciqfunctions.udf.CIQ($G255, "IQ_SHARESOUTSTANDING", EW$222),"--")</f>
        <v>0</v>
      </c>
      <c r="EX255" s="2132">
        <f>IF(EX$221,_xll.ciqfunctions.udf.CIQ($G255, "IQ_SHARESOUTSTANDING", EX$222),"--")</f>
        <v>0</v>
      </c>
      <c r="EY255" s="2132">
        <f>IF(EY$221,_xll.ciqfunctions.udf.CIQ($G255, "IQ_SHARESOUTSTANDING", EY$222),"--")</f>
        <v>0</v>
      </c>
      <c r="EZ255" s="2132">
        <f>IF(EZ$221,_xll.ciqfunctions.udf.CIQ($G255, "IQ_SHARESOUTSTANDING", EZ$222),"--")</f>
        <v>0</v>
      </c>
      <c r="FA255" s="2132">
        <f>IF(FA$221,_xll.ciqfunctions.udf.CIQ($G255, "IQ_SHARESOUTSTANDING", FA$222),"--")</f>
        <v>0</v>
      </c>
      <c r="FB255" s="2132">
        <f>IF(FB$221,_xll.ciqfunctions.udf.CIQ($G255, "IQ_SHARESOUTSTANDING", FB$222),"--")</f>
        <v>0</v>
      </c>
      <c r="FC255" s="2132">
        <f>IF(FC$221,_xll.ciqfunctions.udf.CIQ($G255, "IQ_SHARESOUTSTANDING", FC$222),"--")</f>
        <v>0</v>
      </c>
      <c r="FD255" s="2132">
        <f>IF(FD$221,_xll.ciqfunctions.udf.CIQ($G255, "IQ_SHARESOUTSTANDING", FD$222),"--")</f>
        <v>0</v>
      </c>
      <c r="FE255" s="2132">
        <f>IF(FE$221,_xll.ciqfunctions.udf.CIQ($G255, "IQ_SHARESOUTSTANDING", FE$222),"--")</f>
        <v>0</v>
      </c>
      <c r="FF255" s="2132">
        <f>IF(FF$221,_xll.ciqfunctions.udf.CIQ($G255, "IQ_SHARESOUTSTANDING", FF$222),"--")</f>
        <v>0</v>
      </c>
      <c r="FG255" s="2132">
        <f>IF(FG$221,_xll.ciqfunctions.udf.CIQ($G255, "IQ_SHARESOUTSTANDING", FG$222),"--")</f>
        <v>0</v>
      </c>
      <c r="FH255" s="2132">
        <f>IF(FH$221,_xll.ciqfunctions.udf.CIQ($G255, "IQ_SHARESOUTSTANDING", FH$222),"--")</f>
        <v>0</v>
      </c>
      <c r="FI255" s="2132">
        <f>IF(FI$221,_xll.ciqfunctions.udf.CIQ($G255, "IQ_SHARESOUTSTANDING", FI$222),"--")</f>
        <v>0</v>
      </c>
      <c r="FJ255" s="2132">
        <f>IF(FJ$221,_xll.ciqfunctions.udf.CIQ($G255, "IQ_SHARESOUTSTANDING", FJ$222),"--")</f>
        <v>0</v>
      </c>
      <c r="FK255" s="2132">
        <f>IF(FK$221,_xll.ciqfunctions.udf.CIQ($G255, "IQ_SHARESOUTSTANDING", FK$222),"--")</f>
        <v>0</v>
      </c>
      <c r="FL255" s="2132">
        <f>IF(FL$221,_xll.ciqfunctions.udf.CIQ($G255, "IQ_SHARESOUTSTANDING", FL$222),"--")</f>
        <v>0</v>
      </c>
      <c r="FM255" s="2132">
        <f>IF(FM$221,_xll.ciqfunctions.udf.CIQ($G255, "IQ_SHARESOUTSTANDING", FM$222),"--")</f>
        <v>0</v>
      </c>
      <c r="FN255" s="2132">
        <f>IF(FN$221,_xll.ciqfunctions.udf.CIQ($G255, "IQ_SHARESOUTSTANDING", FN$222),"--")</f>
        <v>0</v>
      </c>
      <c r="FO255" s="2132">
        <f>IF(FO$221,_xll.ciqfunctions.udf.CIQ($G255, "IQ_SHARESOUTSTANDING", FO$222),"--")</f>
        <v>0</v>
      </c>
      <c r="FP255" s="2132">
        <f>IF(FP$221,_xll.ciqfunctions.udf.CIQ($G255, "IQ_SHARESOUTSTANDING", FP$222),"--")</f>
        <v>0</v>
      </c>
      <c r="FQ255" s="2132">
        <f>IF(FQ$221,_xll.ciqfunctions.udf.CIQ($G255, "IQ_SHARESOUTSTANDING", FQ$222),"--")</f>
        <v>0</v>
      </c>
      <c r="FR255" s="2132">
        <f>IF(FR$221,_xll.ciqfunctions.udf.CIQ($G255, "IQ_SHARESOUTSTANDING", FR$222),"--")</f>
        <v>0</v>
      </c>
      <c r="FS255" s="2132">
        <f>IF(FS$221,_xll.ciqfunctions.udf.CIQ($G255, "IQ_SHARESOUTSTANDING", FS$222),"--")</f>
        <v>0</v>
      </c>
      <c r="FT255" s="2132">
        <f>IF(FT$221,_xll.ciqfunctions.udf.CIQ($G255, "IQ_SHARESOUTSTANDING", FT$222),"--")</f>
        <v>0</v>
      </c>
      <c r="FU255" s="2132">
        <f>IF(FU$221,_xll.ciqfunctions.udf.CIQ($G255, "IQ_SHARESOUTSTANDING", FU$222),"--")</f>
        <v>0</v>
      </c>
      <c r="FV255" s="2132">
        <f>IF(FV$221,_xll.ciqfunctions.udf.CIQ($G255, "IQ_SHARESOUTSTANDING", FV$222),"--")</f>
        <v>0</v>
      </c>
      <c r="FW255" s="2132">
        <f>IF(FW$221,_xll.ciqfunctions.udf.CIQ($G255, "IQ_SHARESOUTSTANDING", FW$222),"--")</f>
        <v>0</v>
      </c>
      <c r="FX255" s="2132">
        <f>IF(FX$221,_xll.ciqfunctions.udf.CIQ($G255, "IQ_SHARESOUTSTANDING", FX$222),"--")</f>
        <v>0</v>
      </c>
      <c r="FY255" s="2132">
        <f>IF(FY$221,_xll.ciqfunctions.udf.CIQ($G255, "IQ_SHARESOUTSTANDING", FY$222),"--")</f>
        <v>0</v>
      </c>
      <c r="FZ255" s="2132">
        <f>IF(FZ$221,_xll.ciqfunctions.udf.CIQ($G255, "IQ_SHARESOUTSTANDING", FZ$222),"--")</f>
        <v>0</v>
      </c>
      <c r="GA255" s="2132">
        <f>IF(GA$221,_xll.ciqfunctions.udf.CIQ($G255, "IQ_SHARESOUTSTANDING", GA$222),"--")</f>
        <v>0</v>
      </c>
      <c r="GB255" s="2132">
        <f>IF(GB$221,_xll.ciqfunctions.udf.CIQ($G255, "IQ_SHARESOUTSTANDING", GB$222),"--")</f>
        <v>0</v>
      </c>
      <c r="GC255" s="2132">
        <f>IF(GC$221,_xll.ciqfunctions.udf.CIQ($G255, "IQ_SHARESOUTSTANDING", GC$222),"--")</f>
        <v>0</v>
      </c>
      <c r="GD255" s="2132">
        <f>IF(GD$221,_xll.ciqfunctions.udf.CIQ($G255, "IQ_SHARESOUTSTANDING", GD$222),"--")</f>
        <v>0</v>
      </c>
      <c r="GE255" s="2132">
        <f>IF(GE$221,_xll.ciqfunctions.udf.CIQ($G255, "IQ_SHARESOUTSTANDING", GE$222),"--")</f>
        <v>0</v>
      </c>
      <c r="GF255" s="2132">
        <f>IF(GF$221,_xll.ciqfunctions.udf.CIQ($G255, "IQ_SHARESOUTSTANDING", GF$222),"--")</f>
        <v>0</v>
      </c>
      <c r="GG255" s="2132">
        <f>IF(GG$221,_xll.ciqfunctions.udf.CIQ($G255, "IQ_SHARESOUTSTANDING", GG$222),"--")</f>
        <v>0</v>
      </c>
      <c r="GH255" s="2132">
        <f>IF(GH$221,_xll.ciqfunctions.udf.CIQ($G255, "IQ_SHARESOUTSTANDING", GH$222),"--")</f>
        <v>0</v>
      </c>
      <c r="GI255" s="2132">
        <f>IF(GI$221,_xll.ciqfunctions.udf.CIQ($G255, "IQ_SHARESOUTSTANDING", GI$222),"--")</f>
        <v>0</v>
      </c>
      <c r="GJ255" s="2132">
        <f>IF(GJ$221,_xll.ciqfunctions.udf.CIQ($G255, "IQ_SHARESOUTSTANDING", GJ$222),"--")</f>
        <v>0</v>
      </c>
      <c r="GK255" s="2132">
        <f>IF(GK$221,_xll.ciqfunctions.udf.CIQ($G255, "IQ_SHARESOUTSTANDING", GK$222),"--")</f>
        <v>0</v>
      </c>
      <c r="GL255" s="2132">
        <f>IF(GL$221,_xll.ciqfunctions.udf.CIQ($G255, "IQ_SHARESOUTSTANDING", GL$222),"--")</f>
        <v>0</v>
      </c>
      <c r="GM255" s="2132">
        <f>IF(GM$221,_xll.ciqfunctions.udf.CIQ($G255, "IQ_SHARESOUTSTANDING", GM$222),"--")</f>
        <v>0</v>
      </c>
      <c r="GN255" s="2132">
        <f>IF(GN$221,_xll.ciqfunctions.udf.CIQ($G255, "IQ_SHARESOUTSTANDING", GN$222),"--")</f>
        <v>0</v>
      </c>
      <c r="GO255" s="2132">
        <f>IF(GO$221,_xll.ciqfunctions.udf.CIQ($G255, "IQ_SHARESOUTSTANDING", GO$222),"--")</f>
        <v>0</v>
      </c>
      <c r="GP255" s="2132">
        <f>IF(GP$221,_xll.ciqfunctions.udf.CIQ($G255, "IQ_SHARESOUTSTANDING", GP$222),"--")</f>
        <v>0</v>
      </c>
      <c r="GQ255" s="2132">
        <f>IF(GQ$221,_xll.ciqfunctions.udf.CIQ($G255, "IQ_SHARESOUTSTANDING", GQ$222),"--")</f>
        <v>0</v>
      </c>
      <c r="GR255" s="2132">
        <f>IF(GR$221,_xll.ciqfunctions.udf.CIQ($G255, "IQ_SHARESOUTSTANDING", GR$222),"--")</f>
        <v>0</v>
      </c>
      <c r="GS255" s="2132">
        <f>IF(GS$221,_xll.ciqfunctions.udf.CIQ($G255, "IQ_SHARESOUTSTANDING", GS$222),"--")</f>
        <v>0</v>
      </c>
      <c r="GT255" s="2132">
        <f>IF(GT$221,_xll.ciqfunctions.udf.CIQ($G255, "IQ_SHARESOUTSTANDING", GT$222),"--")</f>
        <v>0</v>
      </c>
      <c r="GU255" s="2132">
        <f>IF(GU$221,_xll.ciqfunctions.udf.CIQ($G255, "IQ_SHARESOUTSTANDING", GU$222),"--")</f>
        <v>0</v>
      </c>
      <c r="GV255" s="2132">
        <f>IF(GV$221,_xll.ciqfunctions.udf.CIQ($G255, "IQ_SHARESOUTSTANDING", GV$222),"--")</f>
        <v>0</v>
      </c>
      <c r="GW255" s="2132">
        <f>IF(GW$221,_xll.ciqfunctions.udf.CIQ($G255, "IQ_SHARESOUTSTANDING", GW$222),"--")</f>
        <v>0</v>
      </c>
      <c r="GX255" s="2132">
        <f>IF(GX$221,_xll.ciqfunctions.udf.CIQ($G255, "IQ_SHARESOUTSTANDING", GX$222),"--")</f>
        <v>0</v>
      </c>
      <c r="GY255" s="2132">
        <f>IF(GY$221,_xll.ciqfunctions.udf.CIQ($G255, "IQ_SHARESOUTSTANDING", GY$222),"--")</f>
        <v>0</v>
      </c>
      <c r="GZ255" s="2132">
        <f>IF(GZ$221,_xll.ciqfunctions.udf.CIQ($G255, "IQ_SHARESOUTSTANDING", GZ$222),"--")</f>
        <v>0</v>
      </c>
      <c r="HA255" s="2132">
        <f>IF(HA$221,_xll.ciqfunctions.udf.CIQ($G255, "IQ_SHARESOUTSTANDING", HA$222),"--")</f>
        <v>0</v>
      </c>
      <c r="HB255" s="2132">
        <f>IF(HB$221,_xll.ciqfunctions.udf.CIQ($G255, "IQ_SHARESOUTSTANDING", HB$222),"--")</f>
        <v>0</v>
      </c>
      <c r="HC255" s="2132">
        <f>IF(HC$221,_xll.ciqfunctions.udf.CIQ($G255, "IQ_SHARESOUTSTANDING", HC$222),"--")</f>
        <v>0</v>
      </c>
      <c r="HD255" s="2132">
        <f>IF(HD$221,_xll.ciqfunctions.udf.CIQ($G255, "IQ_SHARESOUTSTANDING", HD$222),"--")</f>
        <v>0</v>
      </c>
      <c r="HE255" s="2132">
        <f>IF(HE$221,_xll.ciqfunctions.udf.CIQ($G255, "IQ_SHARESOUTSTANDING", HE$222),"--")</f>
        <v>0</v>
      </c>
      <c r="HF255" s="2132">
        <f>IF(HF$221,_xll.ciqfunctions.udf.CIQ($G255, "IQ_SHARESOUTSTANDING", HF$222),"--")</f>
        <v>0</v>
      </c>
      <c r="HG255" s="2132">
        <f>IF(HG$221,_xll.ciqfunctions.udf.CIQ($G255, "IQ_SHARESOUTSTANDING", HG$222),"--")</f>
        <v>0</v>
      </c>
      <c r="HH255" s="2132">
        <f>IF(HH$221,_xll.ciqfunctions.udf.CIQ($G255, "IQ_SHARESOUTSTANDING", HH$222),"--")</f>
        <v>0</v>
      </c>
      <c r="HI255" s="2132">
        <f>IF(HI$221,_xll.ciqfunctions.udf.CIQ($G255, "IQ_SHARESOUTSTANDING", HI$222),"--")</f>
        <v>0</v>
      </c>
      <c r="HJ255" s="2132">
        <f>IF(HJ$221,_xll.ciqfunctions.udf.CIQ($G255, "IQ_SHARESOUTSTANDING", HJ$222),"--")</f>
        <v>0</v>
      </c>
      <c r="HK255" s="2132">
        <f>IF(HK$221,_xll.ciqfunctions.udf.CIQ($G255, "IQ_SHARESOUTSTANDING", HK$222),"--")</f>
        <v>0</v>
      </c>
      <c r="HL255" s="2132">
        <f>IF(HL$221,_xll.ciqfunctions.udf.CIQ($G255, "IQ_SHARESOUTSTANDING", HL$222),"--")</f>
        <v>0</v>
      </c>
      <c r="HM255" s="2132">
        <f>IF(HM$221,_xll.ciqfunctions.udf.CIQ($G255, "IQ_SHARESOUTSTANDING", HM$222),"--")</f>
        <v>0</v>
      </c>
      <c r="HN255" s="2132">
        <f>IF(HN$221,_xll.ciqfunctions.udf.CIQ($G255, "IQ_SHARESOUTSTANDING", HN$222),"--")</f>
        <v>0</v>
      </c>
      <c r="HO255" s="2132">
        <f>IF(HO$221,_xll.ciqfunctions.udf.CIQ($G255, "IQ_SHARESOUTSTANDING", HO$222),"--")</f>
        <v>0</v>
      </c>
      <c r="HP255" s="2132">
        <f>IF(HP$221,_xll.ciqfunctions.udf.CIQ($G255, "IQ_SHARESOUTSTANDING", HP$222),"--")</f>
        <v>0</v>
      </c>
      <c r="HQ255" s="2132">
        <f>IF(HQ$221,_xll.ciqfunctions.udf.CIQ($G255, "IQ_SHARESOUTSTANDING", HQ$222),"--")</f>
        <v>0</v>
      </c>
      <c r="HR255" s="2132">
        <f>IF(HR$221,_xll.ciqfunctions.udf.CIQ($G255, "IQ_SHARESOUTSTANDING", HR$222),"--")</f>
        <v>0</v>
      </c>
      <c r="HS255" s="2132">
        <f>IF(HS$221,_xll.ciqfunctions.udf.CIQ($G255, "IQ_SHARESOUTSTANDING", HS$222),"--")</f>
        <v>0</v>
      </c>
      <c r="HT255" s="2132">
        <f>IF(HT$221,_xll.ciqfunctions.udf.CIQ($G255, "IQ_SHARESOUTSTANDING", HT$222),"--")</f>
        <v>0</v>
      </c>
      <c r="HU255" s="2132">
        <f>IF(HU$221,_xll.ciqfunctions.udf.CIQ($G255, "IQ_SHARESOUTSTANDING", HU$222),"--")</f>
        <v>0</v>
      </c>
      <c r="HV255" s="2132">
        <f>IF(HV$221,_xll.ciqfunctions.udf.CIQ($G255, "IQ_SHARESOUTSTANDING", HV$222),"--")</f>
        <v>0</v>
      </c>
      <c r="HW255" s="2132">
        <f>IF(HW$221,_xll.ciqfunctions.udf.CIQ($G255, "IQ_SHARESOUTSTANDING", HW$222),"--")</f>
        <v>0</v>
      </c>
      <c r="HX255" s="2132">
        <f>IF(HX$221,_xll.ciqfunctions.udf.CIQ($G255, "IQ_SHARESOUTSTANDING", HX$222),"--")</f>
        <v>0</v>
      </c>
      <c r="HY255" s="2132">
        <f>IF(HY$221,_xll.ciqfunctions.udf.CIQ($G255, "IQ_SHARESOUTSTANDING", HY$222),"--")</f>
        <v>0</v>
      </c>
      <c r="HZ255" s="2132">
        <f>IF(HZ$221,_xll.ciqfunctions.udf.CIQ($G255, "IQ_SHARESOUTSTANDING", HZ$222),"--")</f>
        <v>0</v>
      </c>
      <c r="IA255" s="2132">
        <f>IF(IA$221,_xll.ciqfunctions.udf.CIQ($G255, "IQ_SHARESOUTSTANDING", IA$222),"--")</f>
        <v>0</v>
      </c>
      <c r="IB255" s="2132">
        <f>IF(IB$221,_xll.ciqfunctions.udf.CIQ($G255, "IQ_SHARESOUTSTANDING", IB$222),"--")</f>
        <v>0</v>
      </c>
      <c r="IC255" s="2132">
        <f>IF(IC$221,_xll.ciqfunctions.udf.CIQ($G255, "IQ_SHARESOUTSTANDING", IC$222),"--")</f>
        <v>0</v>
      </c>
      <c r="ID255" s="2132">
        <f>IF(ID$221,_xll.ciqfunctions.udf.CIQ($G255, "IQ_SHARESOUTSTANDING", ID$222),"--")</f>
        <v>0</v>
      </c>
      <c r="IE255" s="2132">
        <f>IF(IE$221,_xll.ciqfunctions.udf.CIQ($G255, "IQ_SHARESOUTSTANDING", IE$222),"--")</f>
        <v>0</v>
      </c>
      <c r="IF255" s="2132">
        <f>IF(IF$221,_xll.ciqfunctions.udf.CIQ($G255, "IQ_SHARESOUTSTANDING", IF$222),"--")</f>
        <v>0</v>
      </c>
      <c r="IG255" s="2132">
        <f>IF(IG$221,_xll.ciqfunctions.udf.CIQ($G255, "IQ_SHARESOUTSTANDING", IG$222),"--")</f>
        <v>0</v>
      </c>
      <c r="IH255" s="2132">
        <f>IF(IH$221,_xll.ciqfunctions.udf.CIQ($G255, "IQ_SHARESOUTSTANDING", IH$222),"--")</f>
        <v>0</v>
      </c>
      <c r="II255" s="2132">
        <f>IF(II$221,_xll.ciqfunctions.udf.CIQ($G255, "IQ_SHARESOUTSTANDING", II$222),"--")</f>
        <v>0</v>
      </c>
      <c r="IJ255" s="2132">
        <f>IF(IJ$221,_xll.ciqfunctions.udf.CIQ($G255, "IQ_SHARESOUTSTANDING", IJ$222),"--")</f>
        <v>0</v>
      </c>
      <c r="IK255" s="2132">
        <f>IF(IK$221,_xll.ciqfunctions.udf.CIQ($G255, "IQ_SHARESOUTSTANDING", IK$222),"--")</f>
        <v>0</v>
      </c>
      <c r="IL255" s="2132">
        <f>IF(IL$221,_xll.ciqfunctions.udf.CIQ($G255, "IQ_SHARESOUTSTANDING", IL$222),"--")</f>
        <v>0</v>
      </c>
      <c r="IM255" s="2132">
        <f>IF(IM$221,_xll.ciqfunctions.udf.CIQ($G255, "IQ_SHARESOUTSTANDING", IM$222),"--")</f>
        <v>0</v>
      </c>
      <c r="IN255" s="2132">
        <f>IF(IN$221,_xll.ciqfunctions.udf.CIQ($G255, "IQ_SHARESOUTSTANDING", IN$222),"--")</f>
        <v>0</v>
      </c>
      <c r="IO255" s="2132">
        <f>IF(IO$221,_xll.ciqfunctions.udf.CIQ($G255, "IQ_SHARESOUTSTANDING", IO$222),"--")</f>
        <v>0</v>
      </c>
      <c r="IP255" s="2132">
        <f>IF(IP$221,_xll.ciqfunctions.udf.CIQ($G255, "IQ_SHARESOUTSTANDING", IP$222),"--")</f>
        <v>0</v>
      </c>
      <c r="IQ255" s="2132">
        <f>IF(IQ$221,_xll.ciqfunctions.udf.CIQ($G255, "IQ_SHARESOUTSTANDING", IQ$222),"--")</f>
        <v>0</v>
      </c>
      <c r="IR255" s="2132">
        <f>IF(IR$221,_xll.ciqfunctions.udf.CIQ($G255, "IQ_SHARESOUTSTANDING", IR$222),"--")</f>
        <v>0</v>
      </c>
      <c r="IS255" s="2132">
        <f>IF(IS$221,_xll.ciqfunctions.udf.CIQ($G255, "IQ_SHARESOUTSTANDING", IS$222),"--")</f>
        <v>0</v>
      </c>
      <c r="IT255" s="2132">
        <f>IF(IT$221,_xll.ciqfunctions.udf.CIQ($G255, "IQ_SHARESOUTSTANDING", IT$222),"--")</f>
        <v>0</v>
      </c>
      <c r="IU255" s="2132">
        <f>IF(IU$221,_xll.ciqfunctions.udf.CIQ($G255, "IQ_SHARESOUTSTANDING", IU$222),"--")</f>
        <v>0</v>
      </c>
      <c r="IV255" s="2132">
        <f>IF(IV$221,_xll.ciqfunctions.udf.CIQ($G255, "IQ_SHARESOUTSTANDING", IV$222),"--")</f>
        <v>0</v>
      </c>
      <c r="IW255" s="2132">
        <f>IF(IW$221,_xll.ciqfunctions.udf.CIQ($G255, "IQ_SHARESOUTSTANDING", IW$222),"--")</f>
        <v>0</v>
      </c>
      <c r="IX255" s="2132">
        <f>IF(IX$221,_xll.ciqfunctions.udf.CIQ($G255, "IQ_SHARESOUTSTANDING", IX$222),"--")</f>
        <v>0</v>
      </c>
      <c r="IY255" s="2132">
        <f>IF(IY$221,_xll.ciqfunctions.udf.CIQ($G255, "IQ_SHARESOUTSTANDING", IY$222),"--")</f>
        <v>0</v>
      </c>
      <c r="IZ255" s="2132">
        <f>IF(IZ$221,_xll.ciqfunctions.udf.CIQ($G255, "IQ_SHARESOUTSTANDING", IZ$222),"--")</f>
        <v>0</v>
      </c>
      <c r="JA255" s="2132">
        <f>IF(JA$221,_xll.ciqfunctions.udf.CIQ($G255, "IQ_SHARESOUTSTANDING", JA$222),"--")</f>
        <v>0</v>
      </c>
      <c r="JB255" s="2132">
        <f>IF(JB$221,_xll.ciqfunctions.udf.CIQ($G255, "IQ_SHARESOUTSTANDING", JB$222),"--")</f>
        <v>0</v>
      </c>
      <c r="JC255" s="2132">
        <f>IF(JC$221,_xll.ciqfunctions.udf.CIQ($G255, "IQ_SHARESOUTSTANDING", JC$222),"--")</f>
        <v>0</v>
      </c>
      <c r="JD255" s="2132">
        <f>IF(JD$221,_xll.ciqfunctions.udf.CIQ($G255, "IQ_SHARESOUTSTANDING", JD$222),"--")</f>
        <v>0</v>
      </c>
      <c r="JE255" s="2132">
        <f>IF(JE$221,_xll.ciqfunctions.udf.CIQ($G255, "IQ_SHARESOUTSTANDING", JE$222),"--")</f>
        <v>0</v>
      </c>
      <c r="JF255" s="2132">
        <f>IF(JF$221,_xll.ciqfunctions.udf.CIQ($G255, "IQ_SHARESOUTSTANDING", JF$222),"--")</f>
        <v>0</v>
      </c>
      <c r="JG255" s="2132">
        <f>IF(JG$221,_xll.ciqfunctions.udf.CIQ($G255, "IQ_SHARESOUTSTANDING", JG$222),"--")</f>
        <v>0</v>
      </c>
      <c r="JH255" s="2132">
        <f>IF(JH$221,_xll.ciqfunctions.udf.CIQ($G255, "IQ_SHARESOUTSTANDING", JH$222),"--")</f>
        <v>0</v>
      </c>
      <c r="JI255" s="2132">
        <f>IF(JI$221,_xll.ciqfunctions.udf.CIQ($G255, "IQ_SHARESOUTSTANDING", JI$222),"--")</f>
        <v>0</v>
      </c>
      <c r="JJ255" s="2132">
        <f>IF(JJ$221,_xll.ciqfunctions.udf.CIQ($G255, "IQ_SHARESOUTSTANDING", JJ$222),"--")</f>
        <v>0</v>
      </c>
      <c r="JK255" s="2132">
        <f>IF(JK$221,_xll.ciqfunctions.udf.CIQ($G255, "IQ_SHARESOUTSTANDING", JK$222),"--")</f>
        <v>0</v>
      </c>
      <c r="JL255" s="2132">
        <f>IF(JL$221,_xll.ciqfunctions.udf.CIQ($G255, "IQ_SHARESOUTSTANDING", JL$222),"--")</f>
        <v>0</v>
      </c>
      <c r="JM255" s="2132">
        <f>IF(JM$221,_xll.ciqfunctions.udf.CIQ($G255, "IQ_SHARESOUTSTANDING", JM$222),"--")</f>
        <v>0</v>
      </c>
      <c r="JN255" s="2132">
        <f>IF(JN$221,_xll.ciqfunctions.udf.CIQ($G255, "IQ_SHARESOUTSTANDING", JN$222),"--")</f>
        <v>0</v>
      </c>
      <c r="JO255" s="2132">
        <f>IF(JO$221,_xll.ciqfunctions.udf.CIQ($G255, "IQ_SHARESOUTSTANDING", JO$222),"--")</f>
        <v>0</v>
      </c>
      <c r="JP255" s="2132">
        <f>IF(JP$221,_xll.ciqfunctions.udf.CIQ($G255, "IQ_SHARESOUTSTANDING", JP$222),"--")</f>
        <v>0</v>
      </c>
      <c r="JQ255" s="2132">
        <f>IF(JQ$221,_xll.ciqfunctions.udf.CIQ($G255, "IQ_SHARESOUTSTANDING", JQ$222),"--")</f>
        <v>0</v>
      </c>
      <c r="JR255" s="2132">
        <f>IF(JR$221,_xll.ciqfunctions.udf.CIQ($G255, "IQ_SHARESOUTSTANDING", JR$222),"--")</f>
        <v>0</v>
      </c>
      <c r="JS255" s="2132">
        <f>IF(JS$221,_xll.ciqfunctions.udf.CIQ($G255, "IQ_SHARESOUTSTANDING", JS$222),"--")</f>
        <v>0</v>
      </c>
      <c r="JT255" s="2132">
        <f>IF(JT$221,_xll.ciqfunctions.udf.CIQ($G255, "IQ_SHARESOUTSTANDING", JT$222),"--")</f>
        <v>0</v>
      </c>
      <c r="JU255" s="2132">
        <f>IF(JU$221,_xll.ciqfunctions.udf.CIQ($G255, "IQ_SHARESOUTSTANDING", JU$222),"--")</f>
        <v>0</v>
      </c>
      <c r="JV255" s="2132">
        <f>IF(JV$221,_xll.ciqfunctions.udf.CIQ($G255, "IQ_SHARESOUTSTANDING", JV$222),"--")</f>
        <v>0</v>
      </c>
      <c r="JW255" s="2132" t="str">
        <f>IF(JW$221,_xll.ciqfunctions.udf.CIQ($G255, "IQ_SHARESOUTSTANDING", JW$222),"--")</f>
        <v>--</v>
      </c>
      <c r="JX255" s="2132" t="str">
        <f>IF(JX$221,_xll.ciqfunctions.udf.CIQ($G255, "IQ_SHARESOUTSTANDING", JX$222),"--")</f>
        <v>--</v>
      </c>
      <c r="JY255" s="2132" t="str">
        <f>IF(JY$221,_xll.ciqfunctions.udf.CIQ($G255, "IQ_SHARESOUTSTANDING", JY$222),"--")</f>
        <v>--</v>
      </c>
      <c r="JZ255" s="2132" t="str">
        <f>IF(JZ$221,_xll.ciqfunctions.udf.CIQ($G255, "IQ_SHARESOUTSTANDING", JZ$222),"--")</f>
        <v>--</v>
      </c>
      <c r="KA255" s="2132" t="str">
        <f>IF(KA$221,_xll.ciqfunctions.udf.CIQ($G255, "IQ_SHARESOUTSTANDING", KA$222),"--")</f>
        <v>--</v>
      </c>
      <c r="KB255" s="2132" t="str">
        <f>IF(KB$221,_xll.ciqfunctions.udf.CIQ($G255, "IQ_SHARESOUTSTANDING", KB$222),"--")</f>
        <v>--</v>
      </c>
    </row>
    <row r="256" spans="1:288" s="89" customFormat="1" ht="13.9">
      <c r="A256" s="269" t="str">
        <f t="shared" ref="A256:A279" si="49">IF(F256="--","n","")</f>
        <v>n</v>
      </c>
      <c r="B256" s="2060"/>
      <c r="D256" s="801"/>
      <c r="E256" s="1505">
        <v>2</v>
      </c>
      <c r="F256" s="21" t="str">
        <f>F$130</f>
        <v>--</v>
      </c>
      <c r="G256" s="1441">
        <f>G$130</f>
        <v>0</v>
      </c>
      <c r="H256" s="1441" t="str">
        <f>H$130</f>
        <v>--</v>
      </c>
      <c r="I256" s="314" t="s">
        <v>783</v>
      </c>
      <c r="J256" s="314"/>
      <c r="K256" s="2301" t="str">
        <f>IF(OR(K193=0,$G256=0),"--",IFERROR(_xll.ciqfunctions.udf.CIQ($G256,$I256,K101,Valuation_Date_GC,ReportType,DataMode,$H256,FXMode)*Scale+K225*Pension10,"--"))</f>
        <v>--</v>
      </c>
      <c r="L256" s="2301" t="str">
        <f>IF(OR(L193=0,$G256=0),"--",IFERROR(_xll.ciqfunctions.udf.CIQ($G256,$I256,L101,Valuation_Date_GC,ReportType,DataMode,$H256,FXMode)*Scale+L225*Pension10,"--"))</f>
        <v>--</v>
      </c>
      <c r="M256" s="2301" t="str">
        <f>IF(OR(M193=0,$G256=0),"--",IFERROR(_xll.ciqfunctions.udf.CIQ($G256,$I256,M101,Valuation_Date_GC,ReportType,DataMode,$H256,FXMode)*Scale+M225*Pension10,"--"))</f>
        <v>--</v>
      </c>
      <c r="N256" s="2301" t="str">
        <f>IF(OR(N193=0,$G256=0),"--",IFERROR(_xll.ciqfunctions.udf.CIQ($G256,$I256,N101,Valuation_Date_GC,ReportType,DataMode,$H256,FXMode)*Scale+N225*Pension10,"--"))</f>
        <v>--</v>
      </c>
      <c r="O256" s="1471" t="str">
        <f>IF(OR(O193=0,$G256=0),"--",IFERROR(_xll.ciqfunctions.udf.CIQ($G256,$I256,O101,Valuation_Date_GC,ReportType,DataMode,$H256,FXMode)*Scale+O225*Pension10,"--"))</f>
        <v>--</v>
      </c>
      <c r="P256" s="2301" t="str">
        <f>IF(OR(P193=0,$G256=0),"--",IFERROR(_xll.ciqfunctions.udf.CIQ($G256,$I256,P101,Valuation_Date_GC,ReportType,DataMode,$H256,FXMode)*Scale+P225*Pension10,"--"))</f>
        <v>--</v>
      </c>
      <c r="R256" s="255"/>
      <c r="T256" s="1779" t="s">
        <v>784</v>
      </c>
      <c r="U256" s="2132">
        <f>IF(U$221,_xll.ciqfunctions.udf.CIQ($G256, "IQ_SHARESOUTSTANDING", U$222),"--")</f>
        <v>0</v>
      </c>
      <c r="V256" s="2132">
        <f>IF(V$221,_xll.ciqfunctions.udf.CIQ($G256, "IQ_SHARESOUTSTANDING", V$222),"--")</f>
        <v>0</v>
      </c>
      <c r="W256" s="2132">
        <f>IF(W$221,_xll.ciqfunctions.udf.CIQ($G256, "IQ_SHARESOUTSTANDING", W$222),"--")</f>
        <v>0</v>
      </c>
      <c r="X256" s="2132">
        <f>IF(X$221,_xll.ciqfunctions.udf.CIQ($G256, "IQ_SHARESOUTSTANDING", X$222),"--")</f>
        <v>0</v>
      </c>
      <c r="Y256" s="2132">
        <f>IF(Y$221,_xll.ciqfunctions.udf.CIQ($G256, "IQ_SHARESOUTSTANDING", Y$222),"--")</f>
        <v>0</v>
      </c>
      <c r="Z256" s="2132">
        <f>IF(Z$221,_xll.ciqfunctions.udf.CIQ($G256, "IQ_SHARESOUTSTANDING", Z$222),"--")</f>
        <v>0</v>
      </c>
      <c r="AA256" s="2132">
        <f>IF(AA$221,_xll.ciqfunctions.udf.CIQ($G256, "IQ_SHARESOUTSTANDING", AA$222),"--")</f>
        <v>0</v>
      </c>
      <c r="AB256" s="2132">
        <f>IF(AB$221,_xll.ciqfunctions.udf.CIQ($G256, "IQ_SHARESOUTSTANDING", AB$222),"--")</f>
        <v>0</v>
      </c>
      <c r="AC256" s="2132">
        <f>IF(AC$221,_xll.ciqfunctions.udf.CIQ($G256, "IQ_SHARESOUTSTANDING", AC$222),"--")</f>
        <v>0</v>
      </c>
      <c r="AD256" s="2132">
        <f>IF(AD$221,_xll.ciqfunctions.udf.CIQ($G256, "IQ_SHARESOUTSTANDING", AD$222),"--")</f>
        <v>0</v>
      </c>
      <c r="AE256" s="2132">
        <f>IF(AE$221,_xll.ciqfunctions.udf.CIQ($G256, "IQ_SHARESOUTSTANDING", AE$222),"--")</f>
        <v>0</v>
      </c>
      <c r="AF256" s="2132">
        <f>IF(AF$221,_xll.ciqfunctions.udf.CIQ($G256, "IQ_SHARESOUTSTANDING", AF$222),"--")</f>
        <v>0</v>
      </c>
      <c r="AG256" s="2132">
        <f>IF(AG$221,_xll.ciqfunctions.udf.CIQ($G256, "IQ_SHARESOUTSTANDING", AG$222),"--")</f>
        <v>0</v>
      </c>
      <c r="AH256" s="2132">
        <f>IF(AH$221,_xll.ciqfunctions.udf.CIQ($G256, "IQ_SHARESOUTSTANDING", AH$222),"--")</f>
        <v>0</v>
      </c>
      <c r="AI256" s="2132">
        <f>IF(AI$221,_xll.ciqfunctions.udf.CIQ($G256, "IQ_SHARESOUTSTANDING", AI$222),"--")</f>
        <v>0</v>
      </c>
      <c r="AJ256" s="2132">
        <f>IF(AJ$221,_xll.ciqfunctions.udf.CIQ($G256, "IQ_SHARESOUTSTANDING", AJ$222),"--")</f>
        <v>0</v>
      </c>
      <c r="AK256" s="2132">
        <f>IF(AK$221,_xll.ciqfunctions.udf.CIQ($G256, "IQ_SHARESOUTSTANDING", AK$222),"--")</f>
        <v>0</v>
      </c>
      <c r="AL256" s="2132">
        <f>IF(AL$221,_xll.ciqfunctions.udf.CIQ($G256, "IQ_SHARESOUTSTANDING", AL$222),"--")</f>
        <v>0</v>
      </c>
      <c r="AM256" s="2132">
        <f>IF(AM$221,_xll.ciqfunctions.udf.CIQ($G256, "IQ_SHARESOUTSTANDING", AM$222),"--")</f>
        <v>0</v>
      </c>
      <c r="AN256" s="2132">
        <f>IF(AN$221,_xll.ciqfunctions.udf.CIQ($G256, "IQ_SHARESOUTSTANDING", AN$222),"--")</f>
        <v>0</v>
      </c>
      <c r="AO256" s="2132">
        <f>IF(AO$221,_xll.ciqfunctions.udf.CIQ($G256, "IQ_SHARESOUTSTANDING", AO$222),"--")</f>
        <v>0</v>
      </c>
      <c r="AP256" s="2132">
        <f>IF(AP$221,_xll.ciqfunctions.udf.CIQ($G256, "IQ_SHARESOUTSTANDING", AP$222),"--")</f>
        <v>0</v>
      </c>
      <c r="AQ256" s="2132">
        <f>IF(AQ$221,_xll.ciqfunctions.udf.CIQ($G256, "IQ_SHARESOUTSTANDING", AQ$222),"--")</f>
        <v>0</v>
      </c>
      <c r="AR256" s="2132">
        <f>IF(AR$221,_xll.ciqfunctions.udf.CIQ($G256, "IQ_SHARESOUTSTANDING", AR$222),"--")</f>
        <v>0</v>
      </c>
      <c r="AS256" s="2132">
        <f>IF(AS$221,_xll.ciqfunctions.udf.CIQ($G256, "IQ_SHARESOUTSTANDING", AS$222),"--")</f>
        <v>0</v>
      </c>
      <c r="AT256" s="2132">
        <f>IF(AT$221,_xll.ciqfunctions.udf.CIQ($G256, "IQ_SHARESOUTSTANDING", AT$222),"--")</f>
        <v>0</v>
      </c>
      <c r="AU256" s="2132">
        <f>IF(AU$221,_xll.ciqfunctions.udf.CIQ($G256, "IQ_SHARESOUTSTANDING", AU$222),"--")</f>
        <v>0</v>
      </c>
      <c r="AV256" s="2132">
        <f>IF(AV$221,_xll.ciqfunctions.udf.CIQ($G256, "IQ_SHARESOUTSTANDING", AV$222),"--")</f>
        <v>0</v>
      </c>
      <c r="AW256" s="2132">
        <f>IF(AW$221,_xll.ciqfunctions.udf.CIQ($G256, "IQ_SHARESOUTSTANDING", AW$222),"--")</f>
        <v>0</v>
      </c>
      <c r="AX256" s="2132">
        <f>IF(AX$221,_xll.ciqfunctions.udf.CIQ($G256, "IQ_SHARESOUTSTANDING", AX$222),"--")</f>
        <v>0</v>
      </c>
      <c r="AY256" s="2132">
        <f>IF(AY$221,_xll.ciqfunctions.udf.CIQ($G256, "IQ_SHARESOUTSTANDING", AY$222),"--")</f>
        <v>0</v>
      </c>
      <c r="AZ256" s="2132">
        <f>IF(AZ$221,_xll.ciqfunctions.udf.CIQ($G256, "IQ_SHARESOUTSTANDING", AZ$222),"--")</f>
        <v>0</v>
      </c>
      <c r="BA256" s="2132">
        <f>IF(BA$221,_xll.ciqfunctions.udf.CIQ($G256, "IQ_SHARESOUTSTANDING", BA$222),"--")</f>
        <v>0</v>
      </c>
      <c r="BB256" s="2132">
        <f>IF(BB$221,_xll.ciqfunctions.udf.CIQ($G256, "IQ_SHARESOUTSTANDING", BB$222),"--")</f>
        <v>0</v>
      </c>
      <c r="BC256" s="2132">
        <f>IF(BC$221,_xll.ciqfunctions.udf.CIQ($G256, "IQ_SHARESOUTSTANDING", BC$222),"--")</f>
        <v>0</v>
      </c>
      <c r="BD256" s="2132">
        <f>IF(BD$221,_xll.ciqfunctions.udf.CIQ($G256, "IQ_SHARESOUTSTANDING", BD$222),"--")</f>
        <v>0</v>
      </c>
      <c r="BE256" s="2132">
        <f>IF(BE$221,_xll.ciqfunctions.udf.CIQ($G256, "IQ_SHARESOUTSTANDING", BE$222),"--")</f>
        <v>0</v>
      </c>
      <c r="BF256" s="2132">
        <f>IF(BF$221,_xll.ciqfunctions.udf.CIQ($G256, "IQ_SHARESOUTSTANDING", BF$222),"--")</f>
        <v>0</v>
      </c>
      <c r="BG256" s="2132">
        <f>IF(BG$221,_xll.ciqfunctions.udf.CIQ($G256, "IQ_SHARESOUTSTANDING", BG$222),"--")</f>
        <v>0</v>
      </c>
      <c r="BH256" s="2132">
        <f>IF(BH$221,_xll.ciqfunctions.udf.CIQ($G256, "IQ_SHARESOUTSTANDING", BH$222),"--")</f>
        <v>0</v>
      </c>
      <c r="BI256" s="2132">
        <f>IF(BI$221,_xll.ciqfunctions.udf.CIQ($G256, "IQ_SHARESOUTSTANDING", BI$222),"--")</f>
        <v>0</v>
      </c>
      <c r="BJ256" s="2132">
        <f>IF(BJ$221,_xll.ciqfunctions.udf.CIQ($G256, "IQ_SHARESOUTSTANDING", BJ$222),"--")</f>
        <v>0</v>
      </c>
      <c r="BK256" s="2132">
        <f>IF(BK$221,_xll.ciqfunctions.udf.CIQ($G256, "IQ_SHARESOUTSTANDING", BK$222),"--")</f>
        <v>0</v>
      </c>
      <c r="BL256" s="2132">
        <f>IF(BL$221,_xll.ciqfunctions.udf.CIQ($G256, "IQ_SHARESOUTSTANDING", BL$222),"--")</f>
        <v>0</v>
      </c>
      <c r="BM256" s="2132">
        <f>IF(BM$221,_xll.ciqfunctions.udf.CIQ($G256, "IQ_SHARESOUTSTANDING", BM$222),"--")</f>
        <v>0</v>
      </c>
      <c r="BN256" s="2132">
        <f>IF(BN$221,_xll.ciqfunctions.udf.CIQ($G256, "IQ_SHARESOUTSTANDING", BN$222),"--")</f>
        <v>0</v>
      </c>
      <c r="BO256" s="2132">
        <f>IF(BO$221,_xll.ciqfunctions.udf.CIQ($G256, "IQ_SHARESOUTSTANDING", BO$222),"--")</f>
        <v>0</v>
      </c>
      <c r="BP256" s="2132">
        <f>IF(BP$221,_xll.ciqfunctions.udf.CIQ($G256, "IQ_SHARESOUTSTANDING", BP$222),"--")</f>
        <v>0</v>
      </c>
      <c r="BQ256" s="2132">
        <f>IF(BQ$221,_xll.ciqfunctions.udf.CIQ($G256, "IQ_SHARESOUTSTANDING", BQ$222),"--")</f>
        <v>0</v>
      </c>
      <c r="BR256" s="2132">
        <f>IF(BR$221,_xll.ciqfunctions.udf.CIQ($G256, "IQ_SHARESOUTSTANDING", BR$222),"--")</f>
        <v>0</v>
      </c>
      <c r="BS256" s="2132">
        <f>IF(BS$221,_xll.ciqfunctions.udf.CIQ($G256, "IQ_SHARESOUTSTANDING", BS$222),"--")</f>
        <v>0</v>
      </c>
      <c r="BT256" s="2132">
        <f>IF(BT$221,_xll.ciqfunctions.udf.CIQ($G256, "IQ_SHARESOUTSTANDING", BT$222),"--")</f>
        <v>0</v>
      </c>
      <c r="BU256" s="2132">
        <f>IF(BU$221,_xll.ciqfunctions.udf.CIQ($G256, "IQ_SHARESOUTSTANDING", BU$222),"--")</f>
        <v>0</v>
      </c>
      <c r="BV256" s="2132">
        <f>IF(BV$221,_xll.ciqfunctions.udf.CIQ($G256, "IQ_SHARESOUTSTANDING", BV$222),"--")</f>
        <v>0</v>
      </c>
      <c r="BW256" s="2132">
        <f>IF(BW$221,_xll.ciqfunctions.udf.CIQ($G256, "IQ_SHARESOUTSTANDING", BW$222),"--")</f>
        <v>0</v>
      </c>
      <c r="BX256" s="2132">
        <f>IF(BX$221,_xll.ciqfunctions.udf.CIQ($G256, "IQ_SHARESOUTSTANDING", BX$222),"--")</f>
        <v>0</v>
      </c>
      <c r="BY256" s="2132">
        <f>IF(BY$221,_xll.ciqfunctions.udf.CIQ($G256, "IQ_SHARESOUTSTANDING", BY$222),"--")</f>
        <v>0</v>
      </c>
      <c r="BZ256" s="2132">
        <f>IF(BZ$221,_xll.ciqfunctions.udf.CIQ($G256, "IQ_SHARESOUTSTANDING", BZ$222),"--")</f>
        <v>0</v>
      </c>
      <c r="CA256" s="2132">
        <f>IF(CA$221,_xll.ciqfunctions.udf.CIQ($G256, "IQ_SHARESOUTSTANDING", CA$222),"--")</f>
        <v>0</v>
      </c>
      <c r="CB256" s="2132">
        <f>IF(CB$221,_xll.ciqfunctions.udf.CIQ($G256, "IQ_SHARESOUTSTANDING", CB$222),"--")</f>
        <v>0</v>
      </c>
      <c r="CC256" s="2132">
        <f>IF(CC$221,_xll.ciqfunctions.udf.CIQ($G256, "IQ_SHARESOUTSTANDING", CC$222),"--")</f>
        <v>0</v>
      </c>
      <c r="CD256" s="2132">
        <f>IF(CD$221,_xll.ciqfunctions.udf.CIQ($G256, "IQ_SHARESOUTSTANDING", CD$222),"--")</f>
        <v>0</v>
      </c>
      <c r="CE256" s="2132">
        <f>IF(CE$221,_xll.ciqfunctions.udf.CIQ($G256, "IQ_SHARESOUTSTANDING", CE$222),"--")</f>
        <v>0</v>
      </c>
      <c r="CF256" s="2132">
        <f>IF(CF$221,_xll.ciqfunctions.udf.CIQ($G256, "IQ_SHARESOUTSTANDING", CF$222),"--")</f>
        <v>0</v>
      </c>
      <c r="CG256" s="2132">
        <f>IF(CG$221,_xll.ciqfunctions.udf.CIQ($G256, "IQ_SHARESOUTSTANDING", CG$222),"--")</f>
        <v>0</v>
      </c>
      <c r="CH256" s="2132">
        <f>IF(CH$221,_xll.ciqfunctions.udf.CIQ($G256, "IQ_SHARESOUTSTANDING", CH$222),"--")</f>
        <v>0</v>
      </c>
      <c r="CI256" s="2132">
        <f>IF(CI$221,_xll.ciqfunctions.udf.CIQ($G256, "IQ_SHARESOUTSTANDING", CI$222),"--")</f>
        <v>0</v>
      </c>
      <c r="CJ256" s="2132">
        <f>IF(CJ$221,_xll.ciqfunctions.udf.CIQ($G256, "IQ_SHARESOUTSTANDING", CJ$222),"--")</f>
        <v>0</v>
      </c>
      <c r="CK256" s="2132">
        <f>IF(CK$221,_xll.ciqfunctions.udf.CIQ($G256, "IQ_SHARESOUTSTANDING", CK$222),"--")</f>
        <v>0</v>
      </c>
      <c r="CL256" s="2132">
        <f>IF(CL$221,_xll.ciqfunctions.udf.CIQ($G256, "IQ_SHARESOUTSTANDING", CL$222),"--")</f>
        <v>0</v>
      </c>
      <c r="CM256" s="2132">
        <f>IF(CM$221,_xll.ciqfunctions.udf.CIQ($G256, "IQ_SHARESOUTSTANDING", CM$222),"--")</f>
        <v>0</v>
      </c>
      <c r="CN256" s="2132">
        <f>IF(CN$221,_xll.ciqfunctions.udf.CIQ($G256, "IQ_SHARESOUTSTANDING", CN$222),"--")</f>
        <v>0</v>
      </c>
      <c r="CO256" s="2132">
        <f>IF(CO$221,_xll.ciqfunctions.udf.CIQ($G256, "IQ_SHARESOUTSTANDING", CO$222),"--")</f>
        <v>0</v>
      </c>
      <c r="CP256" s="2132">
        <f>IF(CP$221,_xll.ciqfunctions.udf.CIQ($G256, "IQ_SHARESOUTSTANDING", CP$222),"--")</f>
        <v>0</v>
      </c>
      <c r="CQ256" s="2132">
        <f>IF(CQ$221,_xll.ciqfunctions.udf.CIQ($G256, "IQ_SHARESOUTSTANDING", CQ$222),"--")</f>
        <v>0</v>
      </c>
      <c r="CR256" s="2132">
        <f>IF(CR$221,_xll.ciqfunctions.udf.CIQ($G256, "IQ_SHARESOUTSTANDING", CR$222),"--")</f>
        <v>0</v>
      </c>
      <c r="CS256" s="2132">
        <f>IF(CS$221,_xll.ciqfunctions.udf.CIQ($G256, "IQ_SHARESOUTSTANDING", CS$222),"--")</f>
        <v>0</v>
      </c>
      <c r="CT256" s="2132">
        <f>IF(CT$221,_xll.ciqfunctions.udf.CIQ($G256, "IQ_SHARESOUTSTANDING", CT$222),"--")</f>
        <v>0</v>
      </c>
      <c r="CU256" s="2132">
        <f>IF(CU$221,_xll.ciqfunctions.udf.CIQ($G256, "IQ_SHARESOUTSTANDING", CU$222),"--")</f>
        <v>0</v>
      </c>
      <c r="CV256" s="2132">
        <f>IF(CV$221,_xll.ciqfunctions.udf.CIQ($G256, "IQ_SHARESOUTSTANDING", CV$222),"--")</f>
        <v>0</v>
      </c>
      <c r="CW256" s="2132">
        <f>IF(CW$221,_xll.ciqfunctions.udf.CIQ($G256, "IQ_SHARESOUTSTANDING", CW$222),"--")</f>
        <v>0</v>
      </c>
      <c r="CX256" s="2132">
        <f>IF(CX$221,_xll.ciqfunctions.udf.CIQ($G256, "IQ_SHARESOUTSTANDING", CX$222),"--")</f>
        <v>0</v>
      </c>
      <c r="CY256" s="2132">
        <f>IF(CY$221,_xll.ciqfunctions.udf.CIQ($G256, "IQ_SHARESOUTSTANDING", CY$222),"--")</f>
        <v>0</v>
      </c>
      <c r="CZ256" s="2132">
        <f>IF(CZ$221,_xll.ciqfunctions.udf.CIQ($G256, "IQ_SHARESOUTSTANDING", CZ$222),"--")</f>
        <v>0</v>
      </c>
      <c r="DA256" s="2132">
        <f>IF(DA$221,_xll.ciqfunctions.udf.CIQ($G256, "IQ_SHARESOUTSTANDING", DA$222),"--")</f>
        <v>0</v>
      </c>
      <c r="DB256" s="2132">
        <f>IF(DB$221,_xll.ciqfunctions.udf.CIQ($G256, "IQ_SHARESOUTSTANDING", DB$222),"--")</f>
        <v>0</v>
      </c>
      <c r="DC256" s="2132">
        <f>IF(DC$221,_xll.ciqfunctions.udf.CIQ($G256, "IQ_SHARESOUTSTANDING", DC$222),"--")</f>
        <v>0</v>
      </c>
      <c r="DD256" s="2132">
        <f>IF(DD$221,_xll.ciqfunctions.udf.CIQ($G256, "IQ_SHARESOUTSTANDING", DD$222),"--")</f>
        <v>0</v>
      </c>
      <c r="DE256" s="2132">
        <f>IF(DE$221,_xll.ciqfunctions.udf.CIQ($G256, "IQ_SHARESOUTSTANDING", DE$222),"--")</f>
        <v>0</v>
      </c>
      <c r="DF256" s="2132">
        <f>IF(DF$221,_xll.ciqfunctions.udf.CIQ($G256, "IQ_SHARESOUTSTANDING", DF$222),"--")</f>
        <v>0</v>
      </c>
      <c r="DG256" s="2132">
        <f>IF(DG$221,_xll.ciqfunctions.udf.CIQ($G256, "IQ_SHARESOUTSTANDING", DG$222),"--")</f>
        <v>0</v>
      </c>
      <c r="DH256" s="2132">
        <f>IF(DH$221,_xll.ciqfunctions.udf.CIQ($G256, "IQ_SHARESOUTSTANDING", DH$222),"--")</f>
        <v>0</v>
      </c>
      <c r="DI256" s="2132">
        <f>IF(DI$221,_xll.ciqfunctions.udf.CIQ($G256, "IQ_SHARESOUTSTANDING", DI$222),"--")</f>
        <v>0</v>
      </c>
      <c r="DJ256" s="2132">
        <f>IF(DJ$221,_xll.ciqfunctions.udf.CIQ($G256, "IQ_SHARESOUTSTANDING", DJ$222),"--")</f>
        <v>0</v>
      </c>
      <c r="DK256" s="2132">
        <f>IF(DK$221,_xll.ciqfunctions.udf.CIQ($G256, "IQ_SHARESOUTSTANDING", DK$222),"--")</f>
        <v>0</v>
      </c>
      <c r="DL256" s="2132">
        <f>IF(DL$221,_xll.ciqfunctions.udf.CIQ($G256, "IQ_SHARESOUTSTANDING", DL$222),"--")</f>
        <v>0</v>
      </c>
      <c r="DM256" s="2132">
        <f>IF(DM$221,_xll.ciqfunctions.udf.CIQ($G256, "IQ_SHARESOUTSTANDING", DM$222),"--")</f>
        <v>0</v>
      </c>
      <c r="DN256" s="2132">
        <f>IF(DN$221,_xll.ciqfunctions.udf.CIQ($G256, "IQ_SHARESOUTSTANDING", DN$222),"--")</f>
        <v>0</v>
      </c>
      <c r="DO256" s="2132">
        <f>IF(DO$221,_xll.ciqfunctions.udf.CIQ($G256, "IQ_SHARESOUTSTANDING", DO$222),"--")</f>
        <v>0</v>
      </c>
      <c r="DP256" s="2132">
        <f>IF(DP$221,_xll.ciqfunctions.udf.CIQ($G256, "IQ_SHARESOUTSTANDING", DP$222),"--")</f>
        <v>0</v>
      </c>
      <c r="DQ256" s="2132">
        <f>IF(DQ$221,_xll.ciqfunctions.udf.CIQ($G256, "IQ_SHARESOUTSTANDING", DQ$222),"--")</f>
        <v>0</v>
      </c>
      <c r="DR256" s="2132">
        <f>IF(DR$221,_xll.ciqfunctions.udf.CIQ($G256, "IQ_SHARESOUTSTANDING", DR$222),"--")</f>
        <v>0</v>
      </c>
      <c r="DS256" s="2132">
        <f>IF(DS$221,_xll.ciqfunctions.udf.CIQ($G256, "IQ_SHARESOUTSTANDING", DS$222),"--")</f>
        <v>0</v>
      </c>
      <c r="DT256" s="2132">
        <f>IF(DT$221,_xll.ciqfunctions.udf.CIQ($G256, "IQ_SHARESOUTSTANDING", DT$222),"--")</f>
        <v>0</v>
      </c>
      <c r="DU256" s="2132">
        <f>IF(DU$221,_xll.ciqfunctions.udf.CIQ($G256, "IQ_SHARESOUTSTANDING", DU$222),"--")</f>
        <v>0</v>
      </c>
      <c r="DV256" s="2132">
        <f>IF(DV$221,_xll.ciqfunctions.udf.CIQ($G256, "IQ_SHARESOUTSTANDING", DV$222),"--")</f>
        <v>0</v>
      </c>
      <c r="DW256" s="2132">
        <f>IF(DW$221,_xll.ciqfunctions.udf.CIQ($G256, "IQ_SHARESOUTSTANDING", DW$222),"--")</f>
        <v>0</v>
      </c>
      <c r="DX256" s="2132">
        <f>IF(DX$221,_xll.ciqfunctions.udf.CIQ($G256, "IQ_SHARESOUTSTANDING", DX$222),"--")</f>
        <v>0</v>
      </c>
      <c r="DY256" s="2132">
        <f>IF(DY$221,_xll.ciqfunctions.udf.CIQ($G256, "IQ_SHARESOUTSTANDING", DY$222),"--")</f>
        <v>0</v>
      </c>
      <c r="DZ256" s="2132">
        <f>IF(DZ$221,_xll.ciqfunctions.udf.CIQ($G256, "IQ_SHARESOUTSTANDING", DZ$222),"--")</f>
        <v>0</v>
      </c>
      <c r="EA256" s="2132">
        <f>IF(EA$221,_xll.ciqfunctions.udf.CIQ($G256, "IQ_SHARESOUTSTANDING", EA$222),"--")</f>
        <v>0</v>
      </c>
      <c r="EB256" s="2132">
        <f>IF(EB$221,_xll.ciqfunctions.udf.CIQ($G256, "IQ_SHARESOUTSTANDING", EB$222),"--")</f>
        <v>0</v>
      </c>
      <c r="EC256" s="2132">
        <f>IF(EC$221,_xll.ciqfunctions.udf.CIQ($G256, "IQ_SHARESOUTSTANDING", EC$222),"--")</f>
        <v>0</v>
      </c>
      <c r="ED256" s="2132">
        <f>IF(ED$221,_xll.ciqfunctions.udf.CIQ($G256, "IQ_SHARESOUTSTANDING", ED$222),"--")</f>
        <v>0</v>
      </c>
      <c r="EE256" s="2132">
        <f>IF(EE$221,_xll.ciqfunctions.udf.CIQ($G256, "IQ_SHARESOUTSTANDING", EE$222),"--")</f>
        <v>0</v>
      </c>
      <c r="EF256" s="2132">
        <f>IF(EF$221,_xll.ciqfunctions.udf.CIQ($G256, "IQ_SHARESOUTSTANDING", EF$222),"--")</f>
        <v>0</v>
      </c>
      <c r="EG256" s="2132">
        <f>IF(EG$221,_xll.ciqfunctions.udf.CIQ($G256, "IQ_SHARESOUTSTANDING", EG$222),"--")</f>
        <v>0</v>
      </c>
      <c r="EH256" s="2132">
        <f>IF(EH$221,_xll.ciqfunctions.udf.CIQ($G256, "IQ_SHARESOUTSTANDING", EH$222),"--")</f>
        <v>0</v>
      </c>
      <c r="EI256" s="2132">
        <f>IF(EI$221,_xll.ciqfunctions.udf.CIQ($G256, "IQ_SHARESOUTSTANDING", EI$222),"--")</f>
        <v>0</v>
      </c>
      <c r="EJ256" s="2132">
        <f>IF(EJ$221,_xll.ciqfunctions.udf.CIQ($G256, "IQ_SHARESOUTSTANDING", EJ$222),"--")</f>
        <v>0</v>
      </c>
      <c r="EK256" s="2132">
        <f>IF(EK$221,_xll.ciqfunctions.udf.CIQ($G256, "IQ_SHARESOUTSTANDING", EK$222),"--")</f>
        <v>0</v>
      </c>
      <c r="EL256" s="2132">
        <f>IF(EL$221,_xll.ciqfunctions.udf.CIQ($G256, "IQ_SHARESOUTSTANDING", EL$222),"--")</f>
        <v>0</v>
      </c>
      <c r="EM256" s="2132">
        <f>IF(EM$221,_xll.ciqfunctions.udf.CIQ($G256, "IQ_SHARESOUTSTANDING", EM$222),"--")</f>
        <v>0</v>
      </c>
      <c r="EN256" s="2132">
        <f>IF(EN$221,_xll.ciqfunctions.udf.CIQ($G256, "IQ_SHARESOUTSTANDING", EN$222),"--")</f>
        <v>0</v>
      </c>
      <c r="EO256" s="2132">
        <f>IF(EO$221,_xll.ciqfunctions.udf.CIQ($G256, "IQ_SHARESOUTSTANDING", EO$222),"--")</f>
        <v>0</v>
      </c>
      <c r="EP256" s="2132">
        <f>IF(EP$221,_xll.ciqfunctions.udf.CIQ($G256, "IQ_SHARESOUTSTANDING", EP$222),"--")</f>
        <v>0</v>
      </c>
      <c r="EQ256" s="2132">
        <f>IF(EQ$221,_xll.ciqfunctions.udf.CIQ($G256, "IQ_SHARESOUTSTANDING", EQ$222),"--")</f>
        <v>0</v>
      </c>
      <c r="ER256" s="2132">
        <f>IF(ER$221,_xll.ciqfunctions.udf.CIQ($G256, "IQ_SHARESOUTSTANDING", ER$222),"--")</f>
        <v>0</v>
      </c>
      <c r="ES256" s="2132">
        <f>IF(ES$221,_xll.ciqfunctions.udf.CIQ($G256, "IQ_SHARESOUTSTANDING", ES$222),"--")</f>
        <v>0</v>
      </c>
      <c r="ET256" s="2132">
        <f>IF(ET$221,_xll.ciqfunctions.udf.CIQ($G256, "IQ_SHARESOUTSTANDING", ET$222),"--")</f>
        <v>0</v>
      </c>
      <c r="EU256" s="2132">
        <f>IF(EU$221,_xll.ciqfunctions.udf.CIQ($G256, "IQ_SHARESOUTSTANDING", EU$222),"--")</f>
        <v>0</v>
      </c>
      <c r="EV256" s="2132">
        <f>IF(EV$221,_xll.ciqfunctions.udf.CIQ($G256, "IQ_SHARESOUTSTANDING", EV$222),"--")</f>
        <v>0</v>
      </c>
      <c r="EW256" s="2132">
        <f>IF(EW$221,_xll.ciqfunctions.udf.CIQ($G256, "IQ_SHARESOUTSTANDING", EW$222),"--")</f>
        <v>0</v>
      </c>
      <c r="EX256" s="2132">
        <f>IF(EX$221,_xll.ciqfunctions.udf.CIQ($G256, "IQ_SHARESOUTSTANDING", EX$222),"--")</f>
        <v>0</v>
      </c>
      <c r="EY256" s="2132">
        <f>IF(EY$221,_xll.ciqfunctions.udf.CIQ($G256, "IQ_SHARESOUTSTANDING", EY$222),"--")</f>
        <v>0</v>
      </c>
      <c r="EZ256" s="2132">
        <f>IF(EZ$221,_xll.ciqfunctions.udf.CIQ($G256, "IQ_SHARESOUTSTANDING", EZ$222),"--")</f>
        <v>0</v>
      </c>
      <c r="FA256" s="2132">
        <f>IF(FA$221,_xll.ciqfunctions.udf.CIQ($G256, "IQ_SHARESOUTSTANDING", FA$222),"--")</f>
        <v>0</v>
      </c>
      <c r="FB256" s="2132">
        <f>IF(FB$221,_xll.ciqfunctions.udf.CIQ($G256, "IQ_SHARESOUTSTANDING", FB$222),"--")</f>
        <v>0</v>
      </c>
      <c r="FC256" s="2132">
        <f>IF(FC$221,_xll.ciqfunctions.udf.CIQ($G256, "IQ_SHARESOUTSTANDING", FC$222),"--")</f>
        <v>0</v>
      </c>
      <c r="FD256" s="2132">
        <f>IF(FD$221,_xll.ciqfunctions.udf.CIQ($G256, "IQ_SHARESOUTSTANDING", FD$222),"--")</f>
        <v>0</v>
      </c>
      <c r="FE256" s="2132">
        <f>IF(FE$221,_xll.ciqfunctions.udf.CIQ($G256, "IQ_SHARESOUTSTANDING", FE$222),"--")</f>
        <v>0</v>
      </c>
      <c r="FF256" s="2132">
        <f>IF(FF$221,_xll.ciqfunctions.udf.CIQ($G256, "IQ_SHARESOUTSTANDING", FF$222),"--")</f>
        <v>0</v>
      </c>
      <c r="FG256" s="2132">
        <f>IF(FG$221,_xll.ciqfunctions.udf.CIQ($G256, "IQ_SHARESOUTSTANDING", FG$222),"--")</f>
        <v>0</v>
      </c>
      <c r="FH256" s="2132">
        <f>IF(FH$221,_xll.ciqfunctions.udf.CIQ($G256, "IQ_SHARESOUTSTANDING", FH$222),"--")</f>
        <v>0</v>
      </c>
      <c r="FI256" s="2132">
        <f>IF(FI$221,_xll.ciqfunctions.udf.CIQ($G256, "IQ_SHARESOUTSTANDING", FI$222),"--")</f>
        <v>0</v>
      </c>
      <c r="FJ256" s="2132">
        <f>IF(FJ$221,_xll.ciqfunctions.udf.CIQ($G256, "IQ_SHARESOUTSTANDING", FJ$222),"--")</f>
        <v>0</v>
      </c>
      <c r="FK256" s="2132">
        <f>IF(FK$221,_xll.ciqfunctions.udf.CIQ($G256, "IQ_SHARESOUTSTANDING", FK$222),"--")</f>
        <v>0</v>
      </c>
      <c r="FL256" s="2132">
        <f>IF(FL$221,_xll.ciqfunctions.udf.CIQ($G256, "IQ_SHARESOUTSTANDING", FL$222),"--")</f>
        <v>0</v>
      </c>
      <c r="FM256" s="2132">
        <f>IF(FM$221,_xll.ciqfunctions.udf.CIQ($G256, "IQ_SHARESOUTSTANDING", FM$222),"--")</f>
        <v>0</v>
      </c>
      <c r="FN256" s="2132">
        <f>IF(FN$221,_xll.ciqfunctions.udf.CIQ($G256, "IQ_SHARESOUTSTANDING", FN$222),"--")</f>
        <v>0</v>
      </c>
      <c r="FO256" s="2132">
        <f>IF(FO$221,_xll.ciqfunctions.udf.CIQ($G256, "IQ_SHARESOUTSTANDING", FO$222),"--")</f>
        <v>0</v>
      </c>
      <c r="FP256" s="2132">
        <f>IF(FP$221,_xll.ciqfunctions.udf.CIQ($G256, "IQ_SHARESOUTSTANDING", FP$222),"--")</f>
        <v>0</v>
      </c>
      <c r="FQ256" s="2132">
        <f>IF(FQ$221,_xll.ciqfunctions.udf.CIQ($G256, "IQ_SHARESOUTSTANDING", FQ$222),"--")</f>
        <v>0</v>
      </c>
      <c r="FR256" s="2132">
        <f>IF(FR$221,_xll.ciqfunctions.udf.CIQ($G256, "IQ_SHARESOUTSTANDING", FR$222),"--")</f>
        <v>0</v>
      </c>
      <c r="FS256" s="2132">
        <f>IF(FS$221,_xll.ciqfunctions.udf.CIQ($G256, "IQ_SHARESOUTSTANDING", FS$222),"--")</f>
        <v>0</v>
      </c>
      <c r="FT256" s="2132">
        <f>IF(FT$221,_xll.ciqfunctions.udf.CIQ($G256, "IQ_SHARESOUTSTANDING", FT$222),"--")</f>
        <v>0</v>
      </c>
      <c r="FU256" s="2132">
        <f>IF(FU$221,_xll.ciqfunctions.udf.CIQ($G256, "IQ_SHARESOUTSTANDING", FU$222),"--")</f>
        <v>0</v>
      </c>
      <c r="FV256" s="2132">
        <f>IF(FV$221,_xll.ciqfunctions.udf.CIQ($G256, "IQ_SHARESOUTSTANDING", FV$222),"--")</f>
        <v>0</v>
      </c>
      <c r="FW256" s="2132">
        <f>IF(FW$221,_xll.ciqfunctions.udf.CIQ($G256, "IQ_SHARESOUTSTANDING", FW$222),"--")</f>
        <v>0</v>
      </c>
      <c r="FX256" s="2132">
        <f>IF(FX$221,_xll.ciqfunctions.udf.CIQ($G256, "IQ_SHARESOUTSTANDING", FX$222),"--")</f>
        <v>0</v>
      </c>
      <c r="FY256" s="2132">
        <f>IF(FY$221,_xll.ciqfunctions.udf.CIQ($G256, "IQ_SHARESOUTSTANDING", FY$222),"--")</f>
        <v>0</v>
      </c>
      <c r="FZ256" s="2132">
        <f>IF(FZ$221,_xll.ciqfunctions.udf.CIQ($G256, "IQ_SHARESOUTSTANDING", FZ$222),"--")</f>
        <v>0</v>
      </c>
      <c r="GA256" s="2132">
        <f>IF(GA$221,_xll.ciqfunctions.udf.CIQ($G256, "IQ_SHARESOUTSTANDING", GA$222),"--")</f>
        <v>0</v>
      </c>
      <c r="GB256" s="2132">
        <f>IF(GB$221,_xll.ciqfunctions.udf.CIQ($G256, "IQ_SHARESOUTSTANDING", GB$222),"--")</f>
        <v>0</v>
      </c>
      <c r="GC256" s="2132">
        <f>IF(GC$221,_xll.ciqfunctions.udf.CIQ($G256, "IQ_SHARESOUTSTANDING", GC$222),"--")</f>
        <v>0</v>
      </c>
      <c r="GD256" s="2132">
        <f>IF(GD$221,_xll.ciqfunctions.udf.CIQ($G256, "IQ_SHARESOUTSTANDING", GD$222),"--")</f>
        <v>0</v>
      </c>
      <c r="GE256" s="2132">
        <f>IF(GE$221,_xll.ciqfunctions.udf.CIQ($G256, "IQ_SHARESOUTSTANDING", GE$222),"--")</f>
        <v>0</v>
      </c>
      <c r="GF256" s="2132">
        <f>IF(GF$221,_xll.ciqfunctions.udf.CIQ($G256, "IQ_SHARESOUTSTANDING", GF$222),"--")</f>
        <v>0</v>
      </c>
      <c r="GG256" s="2132">
        <f>IF(GG$221,_xll.ciqfunctions.udf.CIQ($G256, "IQ_SHARESOUTSTANDING", GG$222),"--")</f>
        <v>0</v>
      </c>
      <c r="GH256" s="2132">
        <f>IF(GH$221,_xll.ciqfunctions.udf.CIQ($G256, "IQ_SHARESOUTSTANDING", GH$222),"--")</f>
        <v>0</v>
      </c>
      <c r="GI256" s="2132">
        <f>IF(GI$221,_xll.ciqfunctions.udf.CIQ($G256, "IQ_SHARESOUTSTANDING", GI$222),"--")</f>
        <v>0</v>
      </c>
      <c r="GJ256" s="2132">
        <f>IF(GJ$221,_xll.ciqfunctions.udf.CIQ($G256, "IQ_SHARESOUTSTANDING", GJ$222),"--")</f>
        <v>0</v>
      </c>
      <c r="GK256" s="2132">
        <f>IF(GK$221,_xll.ciqfunctions.udf.CIQ($G256, "IQ_SHARESOUTSTANDING", GK$222),"--")</f>
        <v>0</v>
      </c>
      <c r="GL256" s="2132">
        <f>IF(GL$221,_xll.ciqfunctions.udf.CIQ($G256, "IQ_SHARESOUTSTANDING", GL$222),"--")</f>
        <v>0</v>
      </c>
      <c r="GM256" s="2132">
        <f>IF(GM$221,_xll.ciqfunctions.udf.CIQ($G256, "IQ_SHARESOUTSTANDING", GM$222),"--")</f>
        <v>0</v>
      </c>
      <c r="GN256" s="2132">
        <f>IF(GN$221,_xll.ciqfunctions.udf.CIQ($G256, "IQ_SHARESOUTSTANDING", GN$222),"--")</f>
        <v>0</v>
      </c>
      <c r="GO256" s="2132">
        <f>IF(GO$221,_xll.ciqfunctions.udf.CIQ($G256, "IQ_SHARESOUTSTANDING", GO$222),"--")</f>
        <v>0</v>
      </c>
      <c r="GP256" s="2132">
        <f>IF(GP$221,_xll.ciqfunctions.udf.CIQ($G256, "IQ_SHARESOUTSTANDING", GP$222),"--")</f>
        <v>0</v>
      </c>
      <c r="GQ256" s="2132">
        <f>IF(GQ$221,_xll.ciqfunctions.udf.CIQ($G256, "IQ_SHARESOUTSTANDING", GQ$222),"--")</f>
        <v>0</v>
      </c>
      <c r="GR256" s="2132">
        <f>IF(GR$221,_xll.ciqfunctions.udf.CIQ($G256, "IQ_SHARESOUTSTANDING", GR$222),"--")</f>
        <v>0</v>
      </c>
      <c r="GS256" s="2132">
        <f>IF(GS$221,_xll.ciqfunctions.udf.CIQ($G256, "IQ_SHARESOUTSTANDING", GS$222),"--")</f>
        <v>0</v>
      </c>
      <c r="GT256" s="2132">
        <f>IF(GT$221,_xll.ciqfunctions.udf.CIQ($G256, "IQ_SHARESOUTSTANDING", GT$222),"--")</f>
        <v>0</v>
      </c>
      <c r="GU256" s="2132">
        <f>IF(GU$221,_xll.ciqfunctions.udf.CIQ($G256, "IQ_SHARESOUTSTANDING", GU$222),"--")</f>
        <v>0</v>
      </c>
      <c r="GV256" s="2132">
        <f>IF(GV$221,_xll.ciqfunctions.udf.CIQ($G256, "IQ_SHARESOUTSTANDING", GV$222),"--")</f>
        <v>0</v>
      </c>
      <c r="GW256" s="2132">
        <f>IF(GW$221,_xll.ciqfunctions.udf.CIQ($G256, "IQ_SHARESOUTSTANDING", GW$222),"--")</f>
        <v>0</v>
      </c>
      <c r="GX256" s="2132">
        <f>IF(GX$221,_xll.ciqfunctions.udf.CIQ($G256, "IQ_SHARESOUTSTANDING", GX$222),"--")</f>
        <v>0</v>
      </c>
      <c r="GY256" s="2132">
        <f>IF(GY$221,_xll.ciqfunctions.udf.CIQ($G256, "IQ_SHARESOUTSTANDING", GY$222),"--")</f>
        <v>0</v>
      </c>
      <c r="GZ256" s="2132">
        <f>IF(GZ$221,_xll.ciqfunctions.udf.CIQ($G256, "IQ_SHARESOUTSTANDING", GZ$222),"--")</f>
        <v>0</v>
      </c>
      <c r="HA256" s="2132">
        <f>IF(HA$221,_xll.ciqfunctions.udf.CIQ($G256, "IQ_SHARESOUTSTANDING", HA$222),"--")</f>
        <v>0</v>
      </c>
      <c r="HB256" s="2132">
        <f>IF(HB$221,_xll.ciqfunctions.udf.CIQ($G256, "IQ_SHARESOUTSTANDING", HB$222),"--")</f>
        <v>0</v>
      </c>
      <c r="HC256" s="2132">
        <f>IF(HC$221,_xll.ciqfunctions.udf.CIQ($G256, "IQ_SHARESOUTSTANDING", HC$222),"--")</f>
        <v>0</v>
      </c>
      <c r="HD256" s="2132">
        <f>IF(HD$221,_xll.ciqfunctions.udf.CIQ($G256, "IQ_SHARESOUTSTANDING", HD$222),"--")</f>
        <v>0</v>
      </c>
      <c r="HE256" s="2132">
        <f>IF(HE$221,_xll.ciqfunctions.udf.CIQ($G256, "IQ_SHARESOUTSTANDING", HE$222),"--")</f>
        <v>0</v>
      </c>
      <c r="HF256" s="2132">
        <f>IF(HF$221,_xll.ciqfunctions.udf.CIQ($G256, "IQ_SHARESOUTSTANDING", HF$222),"--")</f>
        <v>0</v>
      </c>
      <c r="HG256" s="2132">
        <f>IF(HG$221,_xll.ciqfunctions.udf.CIQ($G256, "IQ_SHARESOUTSTANDING", HG$222),"--")</f>
        <v>0</v>
      </c>
      <c r="HH256" s="2132">
        <f>IF(HH$221,_xll.ciqfunctions.udf.CIQ($G256, "IQ_SHARESOUTSTANDING", HH$222),"--")</f>
        <v>0</v>
      </c>
      <c r="HI256" s="2132">
        <f>IF(HI$221,_xll.ciqfunctions.udf.CIQ($G256, "IQ_SHARESOUTSTANDING", HI$222),"--")</f>
        <v>0</v>
      </c>
      <c r="HJ256" s="2132">
        <f>IF(HJ$221,_xll.ciqfunctions.udf.CIQ($G256, "IQ_SHARESOUTSTANDING", HJ$222),"--")</f>
        <v>0</v>
      </c>
      <c r="HK256" s="2132">
        <f>IF(HK$221,_xll.ciqfunctions.udf.CIQ($G256, "IQ_SHARESOUTSTANDING", HK$222),"--")</f>
        <v>0</v>
      </c>
      <c r="HL256" s="2132">
        <f>IF(HL$221,_xll.ciqfunctions.udf.CIQ($G256, "IQ_SHARESOUTSTANDING", HL$222),"--")</f>
        <v>0</v>
      </c>
      <c r="HM256" s="2132">
        <f>IF(HM$221,_xll.ciqfunctions.udf.CIQ($G256, "IQ_SHARESOUTSTANDING", HM$222),"--")</f>
        <v>0</v>
      </c>
      <c r="HN256" s="2132">
        <f>IF(HN$221,_xll.ciqfunctions.udf.CIQ($G256, "IQ_SHARESOUTSTANDING", HN$222),"--")</f>
        <v>0</v>
      </c>
      <c r="HO256" s="2132">
        <f>IF(HO$221,_xll.ciqfunctions.udf.CIQ($G256, "IQ_SHARESOUTSTANDING", HO$222),"--")</f>
        <v>0</v>
      </c>
      <c r="HP256" s="2132">
        <f>IF(HP$221,_xll.ciqfunctions.udf.CIQ($G256, "IQ_SHARESOUTSTANDING", HP$222),"--")</f>
        <v>0</v>
      </c>
      <c r="HQ256" s="2132">
        <f>IF(HQ$221,_xll.ciqfunctions.udf.CIQ($G256, "IQ_SHARESOUTSTANDING", HQ$222),"--")</f>
        <v>0</v>
      </c>
      <c r="HR256" s="2132">
        <f>IF(HR$221,_xll.ciqfunctions.udf.CIQ($G256, "IQ_SHARESOUTSTANDING", HR$222),"--")</f>
        <v>0</v>
      </c>
      <c r="HS256" s="2132">
        <f>IF(HS$221,_xll.ciqfunctions.udf.CIQ($G256, "IQ_SHARESOUTSTANDING", HS$222),"--")</f>
        <v>0</v>
      </c>
      <c r="HT256" s="2132">
        <f>IF(HT$221,_xll.ciqfunctions.udf.CIQ($G256, "IQ_SHARESOUTSTANDING", HT$222),"--")</f>
        <v>0</v>
      </c>
      <c r="HU256" s="2132">
        <f>IF(HU$221,_xll.ciqfunctions.udf.CIQ($G256, "IQ_SHARESOUTSTANDING", HU$222),"--")</f>
        <v>0</v>
      </c>
      <c r="HV256" s="2132">
        <f>IF(HV$221,_xll.ciqfunctions.udf.CIQ($G256, "IQ_SHARESOUTSTANDING", HV$222),"--")</f>
        <v>0</v>
      </c>
      <c r="HW256" s="2132">
        <f>IF(HW$221,_xll.ciqfunctions.udf.CIQ($G256, "IQ_SHARESOUTSTANDING", HW$222),"--")</f>
        <v>0</v>
      </c>
      <c r="HX256" s="2132">
        <f>IF(HX$221,_xll.ciqfunctions.udf.CIQ($G256, "IQ_SHARESOUTSTANDING", HX$222),"--")</f>
        <v>0</v>
      </c>
      <c r="HY256" s="2132">
        <f>IF(HY$221,_xll.ciqfunctions.udf.CIQ($G256, "IQ_SHARESOUTSTANDING", HY$222),"--")</f>
        <v>0</v>
      </c>
      <c r="HZ256" s="2132">
        <f>IF(HZ$221,_xll.ciqfunctions.udf.CIQ($G256, "IQ_SHARESOUTSTANDING", HZ$222),"--")</f>
        <v>0</v>
      </c>
      <c r="IA256" s="2132">
        <f>IF(IA$221,_xll.ciqfunctions.udf.CIQ($G256, "IQ_SHARESOUTSTANDING", IA$222),"--")</f>
        <v>0</v>
      </c>
      <c r="IB256" s="2132">
        <f>IF(IB$221,_xll.ciqfunctions.udf.CIQ($G256, "IQ_SHARESOUTSTANDING", IB$222),"--")</f>
        <v>0</v>
      </c>
      <c r="IC256" s="2132">
        <f>IF(IC$221,_xll.ciqfunctions.udf.CIQ($G256, "IQ_SHARESOUTSTANDING", IC$222),"--")</f>
        <v>0</v>
      </c>
      <c r="ID256" s="2132">
        <f>IF(ID$221,_xll.ciqfunctions.udf.CIQ($G256, "IQ_SHARESOUTSTANDING", ID$222),"--")</f>
        <v>0</v>
      </c>
      <c r="IE256" s="2132">
        <f>IF(IE$221,_xll.ciqfunctions.udf.CIQ($G256, "IQ_SHARESOUTSTANDING", IE$222),"--")</f>
        <v>0</v>
      </c>
      <c r="IF256" s="2132">
        <f>IF(IF$221,_xll.ciqfunctions.udf.CIQ($G256, "IQ_SHARESOUTSTANDING", IF$222),"--")</f>
        <v>0</v>
      </c>
      <c r="IG256" s="2132">
        <f>IF(IG$221,_xll.ciqfunctions.udf.CIQ($G256, "IQ_SHARESOUTSTANDING", IG$222),"--")</f>
        <v>0</v>
      </c>
      <c r="IH256" s="2132">
        <f>IF(IH$221,_xll.ciqfunctions.udf.CIQ($G256, "IQ_SHARESOUTSTANDING", IH$222),"--")</f>
        <v>0</v>
      </c>
      <c r="II256" s="2132">
        <f>IF(II$221,_xll.ciqfunctions.udf.CIQ($G256, "IQ_SHARESOUTSTANDING", II$222),"--")</f>
        <v>0</v>
      </c>
      <c r="IJ256" s="2132">
        <f>IF(IJ$221,_xll.ciqfunctions.udf.CIQ($G256, "IQ_SHARESOUTSTANDING", IJ$222),"--")</f>
        <v>0</v>
      </c>
      <c r="IK256" s="2132">
        <f>IF(IK$221,_xll.ciqfunctions.udf.CIQ($G256, "IQ_SHARESOUTSTANDING", IK$222),"--")</f>
        <v>0</v>
      </c>
      <c r="IL256" s="2132">
        <f>IF(IL$221,_xll.ciqfunctions.udf.CIQ($G256, "IQ_SHARESOUTSTANDING", IL$222),"--")</f>
        <v>0</v>
      </c>
      <c r="IM256" s="2132">
        <f>IF(IM$221,_xll.ciqfunctions.udf.CIQ($G256, "IQ_SHARESOUTSTANDING", IM$222),"--")</f>
        <v>0</v>
      </c>
      <c r="IN256" s="2132">
        <f>IF(IN$221,_xll.ciqfunctions.udf.CIQ($G256, "IQ_SHARESOUTSTANDING", IN$222),"--")</f>
        <v>0</v>
      </c>
      <c r="IO256" s="2132">
        <f>IF(IO$221,_xll.ciqfunctions.udf.CIQ($G256, "IQ_SHARESOUTSTANDING", IO$222),"--")</f>
        <v>0</v>
      </c>
      <c r="IP256" s="2132">
        <f>IF(IP$221,_xll.ciqfunctions.udf.CIQ($G256, "IQ_SHARESOUTSTANDING", IP$222),"--")</f>
        <v>0</v>
      </c>
      <c r="IQ256" s="2132">
        <f>IF(IQ$221,_xll.ciqfunctions.udf.CIQ($G256, "IQ_SHARESOUTSTANDING", IQ$222),"--")</f>
        <v>0</v>
      </c>
      <c r="IR256" s="2132">
        <f>IF(IR$221,_xll.ciqfunctions.udf.CIQ($G256, "IQ_SHARESOUTSTANDING", IR$222),"--")</f>
        <v>0</v>
      </c>
      <c r="IS256" s="2132">
        <f>IF(IS$221,_xll.ciqfunctions.udf.CIQ($G256, "IQ_SHARESOUTSTANDING", IS$222),"--")</f>
        <v>0</v>
      </c>
      <c r="IT256" s="2132">
        <f>IF(IT$221,_xll.ciqfunctions.udf.CIQ($G256, "IQ_SHARESOUTSTANDING", IT$222),"--")</f>
        <v>0</v>
      </c>
      <c r="IU256" s="2132">
        <f>IF(IU$221,_xll.ciqfunctions.udf.CIQ($G256, "IQ_SHARESOUTSTANDING", IU$222),"--")</f>
        <v>0</v>
      </c>
      <c r="IV256" s="2132">
        <f>IF(IV$221,_xll.ciqfunctions.udf.CIQ($G256, "IQ_SHARESOUTSTANDING", IV$222),"--")</f>
        <v>0</v>
      </c>
      <c r="IW256" s="2132">
        <f>IF(IW$221,_xll.ciqfunctions.udf.CIQ($G256, "IQ_SHARESOUTSTANDING", IW$222),"--")</f>
        <v>0</v>
      </c>
      <c r="IX256" s="2132">
        <f>IF(IX$221,_xll.ciqfunctions.udf.CIQ($G256, "IQ_SHARESOUTSTANDING", IX$222),"--")</f>
        <v>0</v>
      </c>
      <c r="IY256" s="2132">
        <f>IF(IY$221,_xll.ciqfunctions.udf.CIQ($G256, "IQ_SHARESOUTSTANDING", IY$222),"--")</f>
        <v>0</v>
      </c>
      <c r="IZ256" s="2132">
        <f>IF(IZ$221,_xll.ciqfunctions.udf.CIQ($G256, "IQ_SHARESOUTSTANDING", IZ$222),"--")</f>
        <v>0</v>
      </c>
      <c r="JA256" s="2132">
        <f>IF(JA$221,_xll.ciqfunctions.udf.CIQ($G256, "IQ_SHARESOUTSTANDING", JA$222),"--")</f>
        <v>0</v>
      </c>
      <c r="JB256" s="2132">
        <f>IF(JB$221,_xll.ciqfunctions.udf.CIQ($G256, "IQ_SHARESOUTSTANDING", JB$222),"--")</f>
        <v>0</v>
      </c>
      <c r="JC256" s="2132">
        <f>IF(JC$221,_xll.ciqfunctions.udf.CIQ($G256, "IQ_SHARESOUTSTANDING", JC$222),"--")</f>
        <v>0</v>
      </c>
      <c r="JD256" s="2132">
        <f>IF(JD$221,_xll.ciqfunctions.udf.CIQ($G256, "IQ_SHARESOUTSTANDING", JD$222),"--")</f>
        <v>0</v>
      </c>
      <c r="JE256" s="2132">
        <f>IF(JE$221,_xll.ciqfunctions.udf.CIQ($G256, "IQ_SHARESOUTSTANDING", JE$222),"--")</f>
        <v>0</v>
      </c>
      <c r="JF256" s="2132">
        <f>IF(JF$221,_xll.ciqfunctions.udf.CIQ($G256, "IQ_SHARESOUTSTANDING", JF$222),"--")</f>
        <v>0</v>
      </c>
      <c r="JG256" s="2132">
        <f>IF(JG$221,_xll.ciqfunctions.udf.CIQ($G256, "IQ_SHARESOUTSTANDING", JG$222),"--")</f>
        <v>0</v>
      </c>
      <c r="JH256" s="2132">
        <f>IF(JH$221,_xll.ciqfunctions.udf.CIQ($G256, "IQ_SHARESOUTSTANDING", JH$222),"--")</f>
        <v>0</v>
      </c>
      <c r="JI256" s="2132">
        <f>IF(JI$221,_xll.ciqfunctions.udf.CIQ($G256, "IQ_SHARESOUTSTANDING", JI$222),"--")</f>
        <v>0</v>
      </c>
      <c r="JJ256" s="2132">
        <f>IF(JJ$221,_xll.ciqfunctions.udf.CIQ($G256, "IQ_SHARESOUTSTANDING", JJ$222),"--")</f>
        <v>0</v>
      </c>
      <c r="JK256" s="2132">
        <f>IF(JK$221,_xll.ciqfunctions.udf.CIQ($G256, "IQ_SHARESOUTSTANDING", JK$222),"--")</f>
        <v>0</v>
      </c>
      <c r="JL256" s="2132">
        <f>IF(JL$221,_xll.ciqfunctions.udf.CIQ($G256, "IQ_SHARESOUTSTANDING", JL$222),"--")</f>
        <v>0</v>
      </c>
      <c r="JM256" s="2132">
        <f>IF(JM$221,_xll.ciqfunctions.udf.CIQ($G256, "IQ_SHARESOUTSTANDING", JM$222),"--")</f>
        <v>0</v>
      </c>
      <c r="JN256" s="2132">
        <f>IF(JN$221,_xll.ciqfunctions.udf.CIQ($G256, "IQ_SHARESOUTSTANDING", JN$222),"--")</f>
        <v>0</v>
      </c>
      <c r="JO256" s="2132">
        <f>IF(JO$221,_xll.ciqfunctions.udf.CIQ($G256, "IQ_SHARESOUTSTANDING", JO$222),"--")</f>
        <v>0</v>
      </c>
      <c r="JP256" s="2132">
        <f>IF(JP$221,_xll.ciqfunctions.udf.CIQ($G256, "IQ_SHARESOUTSTANDING", JP$222),"--")</f>
        <v>0</v>
      </c>
      <c r="JQ256" s="2132">
        <f>IF(JQ$221,_xll.ciqfunctions.udf.CIQ($G256, "IQ_SHARESOUTSTANDING", JQ$222),"--")</f>
        <v>0</v>
      </c>
      <c r="JR256" s="2132">
        <f>IF(JR$221,_xll.ciqfunctions.udf.CIQ($G256, "IQ_SHARESOUTSTANDING", JR$222),"--")</f>
        <v>0</v>
      </c>
      <c r="JS256" s="2132">
        <f>IF(JS$221,_xll.ciqfunctions.udf.CIQ($G256, "IQ_SHARESOUTSTANDING", JS$222),"--")</f>
        <v>0</v>
      </c>
      <c r="JT256" s="2132">
        <f>IF(JT$221,_xll.ciqfunctions.udf.CIQ($G256, "IQ_SHARESOUTSTANDING", JT$222),"--")</f>
        <v>0</v>
      </c>
      <c r="JU256" s="2132">
        <f>IF(JU$221,_xll.ciqfunctions.udf.CIQ($G256, "IQ_SHARESOUTSTANDING", JU$222),"--")</f>
        <v>0</v>
      </c>
      <c r="JV256" s="2132">
        <f>IF(JV$221,_xll.ciqfunctions.udf.CIQ($G256, "IQ_SHARESOUTSTANDING", JV$222),"--")</f>
        <v>0</v>
      </c>
      <c r="JW256" s="2132" t="str">
        <f>IF(JW$221,_xll.ciqfunctions.udf.CIQ($G256, "IQ_SHARESOUTSTANDING", JW$222),"--")</f>
        <v>--</v>
      </c>
      <c r="JX256" s="2132" t="str">
        <f>IF(JX$221,_xll.ciqfunctions.udf.CIQ($G256, "IQ_SHARESOUTSTANDING", JX$222),"--")</f>
        <v>--</v>
      </c>
      <c r="JY256" s="2132" t="str">
        <f>IF(JY$221,_xll.ciqfunctions.udf.CIQ($G256, "IQ_SHARESOUTSTANDING", JY$222),"--")</f>
        <v>--</v>
      </c>
      <c r="JZ256" s="2132" t="str">
        <f>IF(JZ$221,_xll.ciqfunctions.udf.CIQ($G256, "IQ_SHARESOUTSTANDING", JZ$222),"--")</f>
        <v>--</v>
      </c>
      <c r="KA256" s="2132" t="str">
        <f>IF(KA$221,_xll.ciqfunctions.udf.CIQ($G256, "IQ_SHARESOUTSTANDING", KA$222),"--")</f>
        <v>--</v>
      </c>
      <c r="KB256" s="2132" t="str">
        <f>IF(KB$221,_xll.ciqfunctions.udf.CIQ($G256, "IQ_SHARESOUTSTANDING", KB$222),"--")</f>
        <v>--</v>
      </c>
    </row>
    <row r="257" spans="1:288" s="89" customFormat="1" ht="13.9">
      <c r="A257" s="269" t="str">
        <f t="shared" si="49"/>
        <v>n</v>
      </c>
      <c r="B257" s="2060"/>
      <c r="D257" s="801"/>
      <c r="E257" s="1505">
        <v>3</v>
      </c>
      <c r="F257" s="21" t="str">
        <f>F$131</f>
        <v>--</v>
      </c>
      <c r="G257" s="1441">
        <f>G$131</f>
        <v>0</v>
      </c>
      <c r="H257" s="1441" t="str">
        <f>H$131</f>
        <v>--</v>
      </c>
      <c r="I257" s="314" t="s">
        <v>783</v>
      </c>
      <c r="J257" s="314"/>
      <c r="K257" s="2301" t="str">
        <f>IF(OR(K194=0,$G257=0),"--",IFERROR(_xll.ciqfunctions.udf.CIQ($G257,$I257,K102,Valuation_Date_GC,ReportType,DataMode,$H257,FXMode)*Scale+K226*Pension10,"--"))</f>
        <v>--</v>
      </c>
      <c r="L257" s="2301" t="str">
        <f>IF(OR(L194=0,$G257=0),"--",IFERROR(_xll.ciqfunctions.udf.CIQ($G257,$I257,L102,Valuation_Date_GC,ReportType,DataMode,$H257,FXMode)*Scale+L226*Pension10,"--"))</f>
        <v>--</v>
      </c>
      <c r="M257" s="2301" t="str">
        <f>IF(OR(M194=0,$G257=0),"--",IFERROR(_xll.ciqfunctions.udf.CIQ($G257,$I257,M102,Valuation_Date_GC,ReportType,DataMode,$H257,FXMode)*Scale+M226*Pension10,"--"))</f>
        <v>--</v>
      </c>
      <c r="N257" s="2301" t="str">
        <f>IF(OR(N194=0,$G257=0),"--",IFERROR(_xll.ciqfunctions.udf.CIQ($G257,$I257,N102,Valuation_Date_GC,ReportType,DataMode,$H257,FXMode)*Scale+N226*Pension10,"--"))</f>
        <v>--</v>
      </c>
      <c r="O257" s="1471" t="str">
        <f>IF(OR(O194=0,$G257=0),"--",IFERROR(_xll.ciqfunctions.udf.CIQ($G257,$I257,O102,Valuation_Date_GC,ReportType,DataMode,$H257,FXMode)*Scale+O226*Pension10,"--"))</f>
        <v>--</v>
      </c>
      <c r="P257" s="2301" t="str">
        <f>IF(OR(P194=0,$G257=0),"--",IFERROR(_xll.ciqfunctions.udf.CIQ($G257,$I257,P102,Valuation_Date_GC,ReportType,DataMode,$H257,FXMode)*Scale+P226*Pension10,"--"))</f>
        <v>--</v>
      </c>
      <c r="R257" s="255"/>
      <c r="T257" s="1779" t="s">
        <v>784</v>
      </c>
      <c r="U257" s="2132">
        <f>IF(U$221,_xll.ciqfunctions.udf.CIQ($G257, "IQ_SHARESOUTSTANDING", U$222),"--")</f>
        <v>0</v>
      </c>
      <c r="V257" s="2132">
        <f>IF(V$221,_xll.ciqfunctions.udf.CIQ($G257, "IQ_SHARESOUTSTANDING", V$222),"--")</f>
        <v>0</v>
      </c>
      <c r="W257" s="2132">
        <f>IF(W$221,_xll.ciqfunctions.udf.CIQ($G257, "IQ_SHARESOUTSTANDING", W$222),"--")</f>
        <v>0</v>
      </c>
      <c r="X257" s="2132">
        <f>IF(X$221,_xll.ciqfunctions.udf.CIQ($G257, "IQ_SHARESOUTSTANDING", X$222),"--")</f>
        <v>0</v>
      </c>
      <c r="Y257" s="2132">
        <f>IF(Y$221,_xll.ciqfunctions.udf.CIQ($G257, "IQ_SHARESOUTSTANDING", Y$222),"--")</f>
        <v>0</v>
      </c>
      <c r="Z257" s="2132">
        <f>IF(Z$221,_xll.ciqfunctions.udf.CIQ($G257, "IQ_SHARESOUTSTANDING", Z$222),"--")</f>
        <v>0</v>
      </c>
      <c r="AA257" s="2132">
        <f>IF(AA$221,_xll.ciqfunctions.udf.CIQ($G257, "IQ_SHARESOUTSTANDING", AA$222),"--")</f>
        <v>0</v>
      </c>
      <c r="AB257" s="2132">
        <f>IF(AB$221,_xll.ciqfunctions.udf.CIQ($G257, "IQ_SHARESOUTSTANDING", AB$222),"--")</f>
        <v>0</v>
      </c>
      <c r="AC257" s="2132">
        <f>IF(AC$221,_xll.ciqfunctions.udf.CIQ($G257, "IQ_SHARESOUTSTANDING", AC$222),"--")</f>
        <v>0</v>
      </c>
      <c r="AD257" s="2132">
        <f>IF(AD$221,_xll.ciqfunctions.udf.CIQ($G257, "IQ_SHARESOUTSTANDING", AD$222),"--")</f>
        <v>0</v>
      </c>
      <c r="AE257" s="2132">
        <f>IF(AE$221,_xll.ciqfunctions.udf.CIQ($G257, "IQ_SHARESOUTSTANDING", AE$222),"--")</f>
        <v>0</v>
      </c>
      <c r="AF257" s="2132">
        <f>IF(AF$221,_xll.ciqfunctions.udf.CIQ($G257, "IQ_SHARESOUTSTANDING", AF$222),"--")</f>
        <v>0</v>
      </c>
      <c r="AG257" s="2132">
        <f>IF(AG$221,_xll.ciqfunctions.udf.CIQ($G257, "IQ_SHARESOUTSTANDING", AG$222),"--")</f>
        <v>0</v>
      </c>
      <c r="AH257" s="2132">
        <f>IF(AH$221,_xll.ciqfunctions.udf.CIQ($G257, "IQ_SHARESOUTSTANDING", AH$222),"--")</f>
        <v>0</v>
      </c>
      <c r="AI257" s="2132">
        <f>IF(AI$221,_xll.ciqfunctions.udf.CIQ($G257, "IQ_SHARESOUTSTANDING", AI$222),"--")</f>
        <v>0</v>
      </c>
      <c r="AJ257" s="2132">
        <f>IF(AJ$221,_xll.ciqfunctions.udf.CIQ($G257, "IQ_SHARESOUTSTANDING", AJ$222),"--")</f>
        <v>0</v>
      </c>
      <c r="AK257" s="2132">
        <f>IF(AK$221,_xll.ciqfunctions.udf.CIQ($G257, "IQ_SHARESOUTSTANDING", AK$222),"--")</f>
        <v>0</v>
      </c>
      <c r="AL257" s="2132">
        <f>IF(AL$221,_xll.ciqfunctions.udf.CIQ($G257, "IQ_SHARESOUTSTANDING", AL$222),"--")</f>
        <v>0</v>
      </c>
      <c r="AM257" s="2132">
        <f>IF(AM$221,_xll.ciqfunctions.udf.CIQ($G257, "IQ_SHARESOUTSTANDING", AM$222),"--")</f>
        <v>0</v>
      </c>
      <c r="AN257" s="2132">
        <f>IF(AN$221,_xll.ciqfunctions.udf.CIQ($G257, "IQ_SHARESOUTSTANDING", AN$222),"--")</f>
        <v>0</v>
      </c>
      <c r="AO257" s="2132">
        <f>IF(AO$221,_xll.ciqfunctions.udf.CIQ($G257, "IQ_SHARESOUTSTANDING", AO$222),"--")</f>
        <v>0</v>
      </c>
      <c r="AP257" s="2132">
        <f>IF(AP$221,_xll.ciqfunctions.udf.CIQ($G257, "IQ_SHARESOUTSTANDING", AP$222),"--")</f>
        <v>0</v>
      </c>
      <c r="AQ257" s="2132">
        <f>IF(AQ$221,_xll.ciqfunctions.udf.CIQ($G257, "IQ_SHARESOUTSTANDING", AQ$222),"--")</f>
        <v>0</v>
      </c>
      <c r="AR257" s="2132">
        <f>IF(AR$221,_xll.ciqfunctions.udf.CIQ($G257, "IQ_SHARESOUTSTANDING", AR$222),"--")</f>
        <v>0</v>
      </c>
      <c r="AS257" s="2132">
        <f>IF(AS$221,_xll.ciqfunctions.udf.CIQ($G257, "IQ_SHARESOUTSTANDING", AS$222),"--")</f>
        <v>0</v>
      </c>
      <c r="AT257" s="2132">
        <f>IF(AT$221,_xll.ciqfunctions.udf.CIQ($G257, "IQ_SHARESOUTSTANDING", AT$222),"--")</f>
        <v>0</v>
      </c>
      <c r="AU257" s="2132">
        <f>IF(AU$221,_xll.ciqfunctions.udf.CIQ($G257, "IQ_SHARESOUTSTANDING", AU$222),"--")</f>
        <v>0</v>
      </c>
      <c r="AV257" s="2132">
        <f>IF(AV$221,_xll.ciqfunctions.udf.CIQ($G257, "IQ_SHARESOUTSTANDING", AV$222),"--")</f>
        <v>0</v>
      </c>
      <c r="AW257" s="2132">
        <f>IF(AW$221,_xll.ciqfunctions.udf.CIQ($G257, "IQ_SHARESOUTSTANDING", AW$222),"--")</f>
        <v>0</v>
      </c>
      <c r="AX257" s="2132">
        <f>IF(AX$221,_xll.ciqfunctions.udf.CIQ($G257, "IQ_SHARESOUTSTANDING", AX$222),"--")</f>
        <v>0</v>
      </c>
      <c r="AY257" s="2132">
        <f>IF(AY$221,_xll.ciqfunctions.udf.CIQ($G257, "IQ_SHARESOUTSTANDING", AY$222),"--")</f>
        <v>0</v>
      </c>
      <c r="AZ257" s="2132">
        <f>IF(AZ$221,_xll.ciqfunctions.udf.CIQ($G257, "IQ_SHARESOUTSTANDING", AZ$222),"--")</f>
        <v>0</v>
      </c>
      <c r="BA257" s="2132">
        <f>IF(BA$221,_xll.ciqfunctions.udf.CIQ($G257, "IQ_SHARESOUTSTANDING", BA$222),"--")</f>
        <v>0</v>
      </c>
      <c r="BB257" s="2132">
        <f>IF(BB$221,_xll.ciqfunctions.udf.CIQ($G257, "IQ_SHARESOUTSTANDING", BB$222),"--")</f>
        <v>0</v>
      </c>
      <c r="BC257" s="2132">
        <f>IF(BC$221,_xll.ciqfunctions.udf.CIQ($G257, "IQ_SHARESOUTSTANDING", BC$222),"--")</f>
        <v>0</v>
      </c>
      <c r="BD257" s="2132">
        <f>IF(BD$221,_xll.ciqfunctions.udf.CIQ($G257, "IQ_SHARESOUTSTANDING", BD$222),"--")</f>
        <v>0</v>
      </c>
      <c r="BE257" s="2132">
        <f>IF(BE$221,_xll.ciqfunctions.udf.CIQ($G257, "IQ_SHARESOUTSTANDING", BE$222),"--")</f>
        <v>0</v>
      </c>
      <c r="BF257" s="2132">
        <f>IF(BF$221,_xll.ciqfunctions.udf.CIQ($G257, "IQ_SHARESOUTSTANDING", BF$222),"--")</f>
        <v>0</v>
      </c>
      <c r="BG257" s="2132">
        <f>IF(BG$221,_xll.ciqfunctions.udf.CIQ($G257, "IQ_SHARESOUTSTANDING", BG$222),"--")</f>
        <v>0</v>
      </c>
      <c r="BH257" s="2132">
        <f>IF(BH$221,_xll.ciqfunctions.udf.CIQ($G257, "IQ_SHARESOUTSTANDING", BH$222),"--")</f>
        <v>0</v>
      </c>
      <c r="BI257" s="2132">
        <f>IF(BI$221,_xll.ciqfunctions.udf.CIQ($G257, "IQ_SHARESOUTSTANDING", BI$222),"--")</f>
        <v>0</v>
      </c>
      <c r="BJ257" s="2132">
        <f>IF(BJ$221,_xll.ciqfunctions.udf.CIQ($G257, "IQ_SHARESOUTSTANDING", BJ$222),"--")</f>
        <v>0</v>
      </c>
      <c r="BK257" s="2132">
        <f>IF(BK$221,_xll.ciqfunctions.udf.CIQ($G257, "IQ_SHARESOUTSTANDING", BK$222),"--")</f>
        <v>0</v>
      </c>
      <c r="BL257" s="2132">
        <f>IF(BL$221,_xll.ciqfunctions.udf.CIQ($G257, "IQ_SHARESOUTSTANDING", BL$222),"--")</f>
        <v>0</v>
      </c>
      <c r="BM257" s="2132">
        <f>IF(BM$221,_xll.ciqfunctions.udf.CIQ($G257, "IQ_SHARESOUTSTANDING", BM$222),"--")</f>
        <v>0</v>
      </c>
      <c r="BN257" s="2132">
        <f>IF(BN$221,_xll.ciqfunctions.udf.CIQ($G257, "IQ_SHARESOUTSTANDING", BN$222),"--")</f>
        <v>0</v>
      </c>
      <c r="BO257" s="2132">
        <f>IF(BO$221,_xll.ciqfunctions.udf.CIQ($G257, "IQ_SHARESOUTSTANDING", BO$222),"--")</f>
        <v>0</v>
      </c>
      <c r="BP257" s="2132">
        <f>IF(BP$221,_xll.ciqfunctions.udf.CIQ($G257, "IQ_SHARESOUTSTANDING", BP$222),"--")</f>
        <v>0</v>
      </c>
      <c r="BQ257" s="2132">
        <f>IF(BQ$221,_xll.ciqfunctions.udf.CIQ($G257, "IQ_SHARESOUTSTANDING", BQ$222),"--")</f>
        <v>0</v>
      </c>
      <c r="BR257" s="2132">
        <f>IF(BR$221,_xll.ciqfunctions.udf.CIQ($G257, "IQ_SHARESOUTSTANDING", BR$222),"--")</f>
        <v>0</v>
      </c>
      <c r="BS257" s="2132">
        <f>IF(BS$221,_xll.ciqfunctions.udf.CIQ($G257, "IQ_SHARESOUTSTANDING", BS$222),"--")</f>
        <v>0</v>
      </c>
      <c r="BT257" s="2132">
        <f>IF(BT$221,_xll.ciqfunctions.udf.CIQ($G257, "IQ_SHARESOUTSTANDING", BT$222),"--")</f>
        <v>0</v>
      </c>
      <c r="BU257" s="2132">
        <f>IF(BU$221,_xll.ciqfunctions.udf.CIQ($G257, "IQ_SHARESOUTSTANDING", BU$222),"--")</f>
        <v>0</v>
      </c>
      <c r="BV257" s="2132">
        <f>IF(BV$221,_xll.ciqfunctions.udf.CIQ($G257, "IQ_SHARESOUTSTANDING", BV$222),"--")</f>
        <v>0</v>
      </c>
      <c r="BW257" s="2132">
        <f>IF(BW$221,_xll.ciqfunctions.udf.CIQ($G257, "IQ_SHARESOUTSTANDING", BW$222),"--")</f>
        <v>0</v>
      </c>
      <c r="BX257" s="2132">
        <f>IF(BX$221,_xll.ciqfunctions.udf.CIQ($G257, "IQ_SHARESOUTSTANDING", BX$222),"--")</f>
        <v>0</v>
      </c>
      <c r="BY257" s="2132">
        <f>IF(BY$221,_xll.ciqfunctions.udf.CIQ($G257, "IQ_SHARESOUTSTANDING", BY$222),"--")</f>
        <v>0</v>
      </c>
      <c r="BZ257" s="2132">
        <f>IF(BZ$221,_xll.ciqfunctions.udf.CIQ($G257, "IQ_SHARESOUTSTANDING", BZ$222),"--")</f>
        <v>0</v>
      </c>
      <c r="CA257" s="2132">
        <f>IF(CA$221,_xll.ciqfunctions.udf.CIQ($G257, "IQ_SHARESOUTSTANDING", CA$222),"--")</f>
        <v>0</v>
      </c>
      <c r="CB257" s="2132">
        <f>IF(CB$221,_xll.ciqfunctions.udf.CIQ($G257, "IQ_SHARESOUTSTANDING", CB$222),"--")</f>
        <v>0</v>
      </c>
      <c r="CC257" s="2132">
        <f>IF(CC$221,_xll.ciqfunctions.udf.CIQ($G257, "IQ_SHARESOUTSTANDING", CC$222),"--")</f>
        <v>0</v>
      </c>
      <c r="CD257" s="2132">
        <f>IF(CD$221,_xll.ciqfunctions.udf.CIQ($G257, "IQ_SHARESOUTSTANDING", CD$222),"--")</f>
        <v>0</v>
      </c>
      <c r="CE257" s="2132">
        <f>IF(CE$221,_xll.ciqfunctions.udf.CIQ($G257, "IQ_SHARESOUTSTANDING", CE$222),"--")</f>
        <v>0</v>
      </c>
      <c r="CF257" s="2132">
        <f>IF(CF$221,_xll.ciqfunctions.udf.CIQ($G257, "IQ_SHARESOUTSTANDING", CF$222),"--")</f>
        <v>0</v>
      </c>
      <c r="CG257" s="2132">
        <f>IF(CG$221,_xll.ciqfunctions.udf.CIQ($G257, "IQ_SHARESOUTSTANDING", CG$222),"--")</f>
        <v>0</v>
      </c>
      <c r="CH257" s="2132">
        <f>IF(CH$221,_xll.ciqfunctions.udf.CIQ($G257, "IQ_SHARESOUTSTANDING", CH$222),"--")</f>
        <v>0</v>
      </c>
      <c r="CI257" s="2132">
        <f>IF(CI$221,_xll.ciqfunctions.udf.CIQ($G257, "IQ_SHARESOUTSTANDING", CI$222),"--")</f>
        <v>0</v>
      </c>
      <c r="CJ257" s="2132">
        <f>IF(CJ$221,_xll.ciqfunctions.udf.CIQ($G257, "IQ_SHARESOUTSTANDING", CJ$222),"--")</f>
        <v>0</v>
      </c>
      <c r="CK257" s="2132">
        <f>IF(CK$221,_xll.ciqfunctions.udf.CIQ($G257, "IQ_SHARESOUTSTANDING", CK$222),"--")</f>
        <v>0</v>
      </c>
      <c r="CL257" s="2132">
        <f>IF(CL$221,_xll.ciqfunctions.udf.CIQ($G257, "IQ_SHARESOUTSTANDING", CL$222),"--")</f>
        <v>0</v>
      </c>
      <c r="CM257" s="2132">
        <f>IF(CM$221,_xll.ciqfunctions.udf.CIQ($G257, "IQ_SHARESOUTSTANDING", CM$222),"--")</f>
        <v>0</v>
      </c>
      <c r="CN257" s="2132">
        <f>IF(CN$221,_xll.ciqfunctions.udf.CIQ($G257, "IQ_SHARESOUTSTANDING", CN$222),"--")</f>
        <v>0</v>
      </c>
      <c r="CO257" s="2132">
        <f>IF(CO$221,_xll.ciqfunctions.udf.CIQ($G257, "IQ_SHARESOUTSTANDING", CO$222),"--")</f>
        <v>0</v>
      </c>
      <c r="CP257" s="2132">
        <f>IF(CP$221,_xll.ciqfunctions.udf.CIQ($G257, "IQ_SHARESOUTSTANDING", CP$222),"--")</f>
        <v>0</v>
      </c>
      <c r="CQ257" s="2132">
        <f>IF(CQ$221,_xll.ciqfunctions.udf.CIQ($G257, "IQ_SHARESOUTSTANDING", CQ$222),"--")</f>
        <v>0</v>
      </c>
      <c r="CR257" s="2132">
        <f>IF(CR$221,_xll.ciqfunctions.udf.CIQ($G257, "IQ_SHARESOUTSTANDING", CR$222),"--")</f>
        <v>0</v>
      </c>
      <c r="CS257" s="2132">
        <f>IF(CS$221,_xll.ciqfunctions.udf.CIQ($G257, "IQ_SHARESOUTSTANDING", CS$222),"--")</f>
        <v>0</v>
      </c>
      <c r="CT257" s="2132">
        <f>IF(CT$221,_xll.ciqfunctions.udf.CIQ($G257, "IQ_SHARESOUTSTANDING", CT$222),"--")</f>
        <v>0</v>
      </c>
      <c r="CU257" s="2132">
        <f>IF(CU$221,_xll.ciqfunctions.udf.CIQ($G257, "IQ_SHARESOUTSTANDING", CU$222),"--")</f>
        <v>0</v>
      </c>
      <c r="CV257" s="2132">
        <f>IF(CV$221,_xll.ciqfunctions.udf.CIQ($G257, "IQ_SHARESOUTSTANDING", CV$222),"--")</f>
        <v>0</v>
      </c>
      <c r="CW257" s="2132">
        <f>IF(CW$221,_xll.ciqfunctions.udf.CIQ($G257, "IQ_SHARESOUTSTANDING", CW$222),"--")</f>
        <v>0</v>
      </c>
      <c r="CX257" s="2132">
        <f>IF(CX$221,_xll.ciqfunctions.udf.CIQ($G257, "IQ_SHARESOUTSTANDING", CX$222),"--")</f>
        <v>0</v>
      </c>
      <c r="CY257" s="2132">
        <f>IF(CY$221,_xll.ciqfunctions.udf.CIQ($G257, "IQ_SHARESOUTSTANDING", CY$222),"--")</f>
        <v>0</v>
      </c>
      <c r="CZ257" s="2132">
        <f>IF(CZ$221,_xll.ciqfunctions.udf.CIQ($G257, "IQ_SHARESOUTSTANDING", CZ$222),"--")</f>
        <v>0</v>
      </c>
      <c r="DA257" s="2132">
        <f>IF(DA$221,_xll.ciqfunctions.udf.CIQ($G257, "IQ_SHARESOUTSTANDING", DA$222),"--")</f>
        <v>0</v>
      </c>
      <c r="DB257" s="2132">
        <f>IF(DB$221,_xll.ciqfunctions.udf.CIQ($G257, "IQ_SHARESOUTSTANDING", DB$222),"--")</f>
        <v>0</v>
      </c>
      <c r="DC257" s="2132">
        <f>IF(DC$221,_xll.ciqfunctions.udf.CIQ($G257, "IQ_SHARESOUTSTANDING", DC$222),"--")</f>
        <v>0</v>
      </c>
      <c r="DD257" s="2132">
        <f>IF(DD$221,_xll.ciqfunctions.udf.CIQ($G257, "IQ_SHARESOUTSTANDING", DD$222),"--")</f>
        <v>0</v>
      </c>
      <c r="DE257" s="2132">
        <f>IF(DE$221,_xll.ciqfunctions.udf.CIQ($G257, "IQ_SHARESOUTSTANDING", DE$222),"--")</f>
        <v>0</v>
      </c>
      <c r="DF257" s="2132">
        <f>IF(DF$221,_xll.ciqfunctions.udf.CIQ($G257, "IQ_SHARESOUTSTANDING", DF$222),"--")</f>
        <v>0</v>
      </c>
      <c r="DG257" s="2132">
        <f>IF(DG$221,_xll.ciqfunctions.udf.CIQ($G257, "IQ_SHARESOUTSTANDING", DG$222),"--")</f>
        <v>0</v>
      </c>
      <c r="DH257" s="2132">
        <f>IF(DH$221,_xll.ciqfunctions.udf.CIQ($G257, "IQ_SHARESOUTSTANDING", DH$222),"--")</f>
        <v>0</v>
      </c>
      <c r="DI257" s="2132">
        <f>IF(DI$221,_xll.ciqfunctions.udf.CIQ($G257, "IQ_SHARESOUTSTANDING", DI$222),"--")</f>
        <v>0</v>
      </c>
      <c r="DJ257" s="2132">
        <f>IF(DJ$221,_xll.ciqfunctions.udf.CIQ($G257, "IQ_SHARESOUTSTANDING", DJ$222),"--")</f>
        <v>0</v>
      </c>
      <c r="DK257" s="2132">
        <f>IF(DK$221,_xll.ciqfunctions.udf.CIQ($G257, "IQ_SHARESOUTSTANDING", DK$222),"--")</f>
        <v>0</v>
      </c>
      <c r="DL257" s="2132">
        <f>IF(DL$221,_xll.ciqfunctions.udf.CIQ($G257, "IQ_SHARESOUTSTANDING", DL$222),"--")</f>
        <v>0</v>
      </c>
      <c r="DM257" s="2132">
        <f>IF(DM$221,_xll.ciqfunctions.udf.CIQ($G257, "IQ_SHARESOUTSTANDING", DM$222),"--")</f>
        <v>0</v>
      </c>
      <c r="DN257" s="2132">
        <f>IF(DN$221,_xll.ciqfunctions.udf.CIQ($G257, "IQ_SHARESOUTSTANDING", DN$222),"--")</f>
        <v>0</v>
      </c>
      <c r="DO257" s="2132">
        <f>IF(DO$221,_xll.ciqfunctions.udf.CIQ($G257, "IQ_SHARESOUTSTANDING", DO$222),"--")</f>
        <v>0</v>
      </c>
      <c r="DP257" s="2132">
        <f>IF(DP$221,_xll.ciqfunctions.udf.CIQ($G257, "IQ_SHARESOUTSTANDING", DP$222),"--")</f>
        <v>0</v>
      </c>
      <c r="DQ257" s="2132">
        <f>IF(DQ$221,_xll.ciqfunctions.udf.CIQ($G257, "IQ_SHARESOUTSTANDING", DQ$222),"--")</f>
        <v>0</v>
      </c>
      <c r="DR257" s="2132">
        <f>IF(DR$221,_xll.ciqfunctions.udf.CIQ($G257, "IQ_SHARESOUTSTANDING", DR$222),"--")</f>
        <v>0</v>
      </c>
      <c r="DS257" s="2132">
        <f>IF(DS$221,_xll.ciqfunctions.udf.CIQ($G257, "IQ_SHARESOUTSTANDING", DS$222),"--")</f>
        <v>0</v>
      </c>
      <c r="DT257" s="2132">
        <f>IF(DT$221,_xll.ciqfunctions.udf.CIQ($G257, "IQ_SHARESOUTSTANDING", DT$222),"--")</f>
        <v>0</v>
      </c>
      <c r="DU257" s="2132">
        <f>IF(DU$221,_xll.ciqfunctions.udf.CIQ($G257, "IQ_SHARESOUTSTANDING", DU$222),"--")</f>
        <v>0</v>
      </c>
      <c r="DV257" s="2132">
        <f>IF(DV$221,_xll.ciqfunctions.udf.CIQ($G257, "IQ_SHARESOUTSTANDING", DV$222),"--")</f>
        <v>0</v>
      </c>
      <c r="DW257" s="2132">
        <f>IF(DW$221,_xll.ciqfunctions.udf.CIQ($G257, "IQ_SHARESOUTSTANDING", DW$222),"--")</f>
        <v>0</v>
      </c>
      <c r="DX257" s="2132">
        <f>IF(DX$221,_xll.ciqfunctions.udf.CIQ($G257, "IQ_SHARESOUTSTANDING", DX$222),"--")</f>
        <v>0</v>
      </c>
      <c r="DY257" s="2132">
        <f>IF(DY$221,_xll.ciqfunctions.udf.CIQ($G257, "IQ_SHARESOUTSTANDING", DY$222),"--")</f>
        <v>0</v>
      </c>
      <c r="DZ257" s="2132">
        <f>IF(DZ$221,_xll.ciqfunctions.udf.CIQ($G257, "IQ_SHARESOUTSTANDING", DZ$222),"--")</f>
        <v>0</v>
      </c>
      <c r="EA257" s="2132">
        <f>IF(EA$221,_xll.ciqfunctions.udf.CIQ($G257, "IQ_SHARESOUTSTANDING", EA$222),"--")</f>
        <v>0</v>
      </c>
      <c r="EB257" s="2132">
        <f>IF(EB$221,_xll.ciqfunctions.udf.CIQ($G257, "IQ_SHARESOUTSTANDING", EB$222),"--")</f>
        <v>0</v>
      </c>
      <c r="EC257" s="2132">
        <f>IF(EC$221,_xll.ciqfunctions.udf.CIQ($G257, "IQ_SHARESOUTSTANDING", EC$222),"--")</f>
        <v>0</v>
      </c>
      <c r="ED257" s="2132">
        <f>IF(ED$221,_xll.ciqfunctions.udf.CIQ($G257, "IQ_SHARESOUTSTANDING", ED$222),"--")</f>
        <v>0</v>
      </c>
      <c r="EE257" s="2132">
        <f>IF(EE$221,_xll.ciqfunctions.udf.CIQ($G257, "IQ_SHARESOUTSTANDING", EE$222),"--")</f>
        <v>0</v>
      </c>
      <c r="EF257" s="2132">
        <f>IF(EF$221,_xll.ciqfunctions.udf.CIQ($G257, "IQ_SHARESOUTSTANDING", EF$222),"--")</f>
        <v>0</v>
      </c>
      <c r="EG257" s="2132">
        <f>IF(EG$221,_xll.ciqfunctions.udf.CIQ($G257, "IQ_SHARESOUTSTANDING", EG$222),"--")</f>
        <v>0</v>
      </c>
      <c r="EH257" s="2132">
        <f>IF(EH$221,_xll.ciqfunctions.udf.CIQ($G257, "IQ_SHARESOUTSTANDING", EH$222),"--")</f>
        <v>0</v>
      </c>
      <c r="EI257" s="2132">
        <f>IF(EI$221,_xll.ciqfunctions.udf.CIQ($G257, "IQ_SHARESOUTSTANDING", EI$222),"--")</f>
        <v>0</v>
      </c>
      <c r="EJ257" s="2132">
        <f>IF(EJ$221,_xll.ciqfunctions.udf.CIQ($G257, "IQ_SHARESOUTSTANDING", EJ$222),"--")</f>
        <v>0</v>
      </c>
      <c r="EK257" s="2132">
        <f>IF(EK$221,_xll.ciqfunctions.udf.CIQ($G257, "IQ_SHARESOUTSTANDING", EK$222),"--")</f>
        <v>0</v>
      </c>
      <c r="EL257" s="2132">
        <f>IF(EL$221,_xll.ciqfunctions.udf.CIQ($G257, "IQ_SHARESOUTSTANDING", EL$222),"--")</f>
        <v>0</v>
      </c>
      <c r="EM257" s="2132">
        <f>IF(EM$221,_xll.ciqfunctions.udf.CIQ($G257, "IQ_SHARESOUTSTANDING", EM$222),"--")</f>
        <v>0</v>
      </c>
      <c r="EN257" s="2132">
        <f>IF(EN$221,_xll.ciqfunctions.udf.CIQ($G257, "IQ_SHARESOUTSTANDING", EN$222),"--")</f>
        <v>0</v>
      </c>
      <c r="EO257" s="2132">
        <f>IF(EO$221,_xll.ciqfunctions.udf.CIQ($G257, "IQ_SHARESOUTSTANDING", EO$222),"--")</f>
        <v>0</v>
      </c>
      <c r="EP257" s="2132">
        <f>IF(EP$221,_xll.ciqfunctions.udf.CIQ($G257, "IQ_SHARESOUTSTANDING", EP$222),"--")</f>
        <v>0</v>
      </c>
      <c r="EQ257" s="2132">
        <f>IF(EQ$221,_xll.ciqfunctions.udf.CIQ($G257, "IQ_SHARESOUTSTANDING", EQ$222),"--")</f>
        <v>0</v>
      </c>
      <c r="ER257" s="2132">
        <f>IF(ER$221,_xll.ciqfunctions.udf.CIQ($G257, "IQ_SHARESOUTSTANDING", ER$222),"--")</f>
        <v>0</v>
      </c>
      <c r="ES257" s="2132">
        <f>IF(ES$221,_xll.ciqfunctions.udf.CIQ($G257, "IQ_SHARESOUTSTANDING", ES$222),"--")</f>
        <v>0</v>
      </c>
      <c r="ET257" s="2132">
        <f>IF(ET$221,_xll.ciqfunctions.udf.CIQ($G257, "IQ_SHARESOUTSTANDING", ET$222),"--")</f>
        <v>0</v>
      </c>
      <c r="EU257" s="2132">
        <f>IF(EU$221,_xll.ciqfunctions.udf.CIQ($G257, "IQ_SHARESOUTSTANDING", EU$222),"--")</f>
        <v>0</v>
      </c>
      <c r="EV257" s="2132">
        <f>IF(EV$221,_xll.ciqfunctions.udf.CIQ($G257, "IQ_SHARESOUTSTANDING", EV$222),"--")</f>
        <v>0</v>
      </c>
      <c r="EW257" s="2132">
        <f>IF(EW$221,_xll.ciqfunctions.udf.CIQ($G257, "IQ_SHARESOUTSTANDING", EW$222),"--")</f>
        <v>0</v>
      </c>
      <c r="EX257" s="2132">
        <f>IF(EX$221,_xll.ciqfunctions.udf.CIQ($G257, "IQ_SHARESOUTSTANDING", EX$222),"--")</f>
        <v>0</v>
      </c>
      <c r="EY257" s="2132">
        <f>IF(EY$221,_xll.ciqfunctions.udf.CIQ($G257, "IQ_SHARESOUTSTANDING", EY$222),"--")</f>
        <v>0</v>
      </c>
      <c r="EZ257" s="2132">
        <f>IF(EZ$221,_xll.ciqfunctions.udf.CIQ($G257, "IQ_SHARESOUTSTANDING", EZ$222),"--")</f>
        <v>0</v>
      </c>
      <c r="FA257" s="2132">
        <f>IF(FA$221,_xll.ciqfunctions.udf.CIQ($G257, "IQ_SHARESOUTSTANDING", FA$222),"--")</f>
        <v>0</v>
      </c>
      <c r="FB257" s="2132">
        <f>IF(FB$221,_xll.ciqfunctions.udf.CIQ($G257, "IQ_SHARESOUTSTANDING", FB$222),"--")</f>
        <v>0</v>
      </c>
      <c r="FC257" s="2132">
        <f>IF(FC$221,_xll.ciqfunctions.udf.CIQ($G257, "IQ_SHARESOUTSTANDING", FC$222),"--")</f>
        <v>0</v>
      </c>
      <c r="FD257" s="2132">
        <f>IF(FD$221,_xll.ciqfunctions.udf.CIQ($G257, "IQ_SHARESOUTSTANDING", FD$222),"--")</f>
        <v>0</v>
      </c>
      <c r="FE257" s="2132">
        <f>IF(FE$221,_xll.ciqfunctions.udf.CIQ($G257, "IQ_SHARESOUTSTANDING", FE$222),"--")</f>
        <v>0</v>
      </c>
      <c r="FF257" s="2132">
        <f>IF(FF$221,_xll.ciqfunctions.udf.CIQ($G257, "IQ_SHARESOUTSTANDING", FF$222),"--")</f>
        <v>0</v>
      </c>
      <c r="FG257" s="2132">
        <f>IF(FG$221,_xll.ciqfunctions.udf.CIQ($G257, "IQ_SHARESOUTSTANDING", FG$222),"--")</f>
        <v>0</v>
      </c>
      <c r="FH257" s="2132">
        <f>IF(FH$221,_xll.ciqfunctions.udf.CIQ($G257, "IQ_SHARESOUTSTANDING", FH$222),"--")</f>
        <v>0</v>
      </c>
      <c r="FI257" s="2132">
        <f>IF(FI$221,_xll.ciqfunctions.udf.CIQ($G257, "IQ_SHARESOUTSTANDING", FI$222),"--")</f>
        <v>0</v>
      </c>
      <c r="FJ257" s="2132">
        <f>IF(FJ$221,_xll.ciqfunctions.udf.CIQ($G257, "IQ_SHARESOUTSTANDING", FJ$222),"--")</f>
        <v>0</v>
      </c>
      <c r="FK257" s="2132">
        <f>IF(FK$221,_xll.ciqfunctions.udf.CIQ($G257, "IQ_SHARESOUTSTANDING", FK$222),"--")</f>
        <v>0</v>
      </c>
      <c r="FL257" s="2132">
        <f>IF(FL$221,_xll.ciqfunctions.udf.CIQ($G257, "IQ_SHARESOUTSTANDING", FL$222),"--")</f>
        <v>0</v>
      </c>
      <c r="FM257" s="2132">
        <f>IF(FM$221,_xll.ciqfunctions.udf.CIQ($G257, "IQ_SHARESOUTSTANDING", FM$222),"--")</f>
        <v>0</v>
      </c>
      <c r="FN257" s="2132">
        <f>IF(FN$221,_xll.ciqfunctions.udf.CIQ($G257, "IQ_SHARESOUTSTANDING", FN$222),"--")</f>
        <v>0</v>
      </c>
      <c r="FO257" s="2132">
        <f>IF(FO$221,_xll.ciqfunctions.udf.CIQ($G257, "IQ_SHARESOUTSTANDING", FO$222),"--")</f>
        <v>0</v>
      </c>
      <c r="FP257" s="2132">
        <f>IF(FP$221,_xll.ciqfunctions.udf.CIQ($G257, "IQ_SHARESOUTSTANDING", FP$222),"--")</f>
        <v>0</v>
      </c>
      <c r="FQ257" s="2132">
        <f>IF(FQ$221,_xll.ciqfunctions.udf.CIQ($G257, "IQ_SHARESOUTSTANDING", FQ$222),"--")</f>
        <v>0</v>
      </c>
      <c r="FR257" s="2132">
        <f>IF(FR$221,_xll.ciqfunctions.udf.CIQ($G257, "IQ_SHARESOUTSTANDING", FR$222),"--")</f>
        <v>0</v>
      </c>
      <c r="FS257" s="2132">
        <f>IF(FS$221,_xll.ciqfunctions.udf.CIQ($G257, "IQ_SHARESOUTSTANDING", FS$222),"--")</f>
        <v>0</v>
      </c>
      <c r="FT257" s="2132">
        <f>IF(FT$221,_xll.ciqfunctions.udf.CIQ($G257, "IQ_SHARESOUTSTANDING", FT$222),"--")</f>
        <v>0</v>
      </c>
      <c r="FU257" s="2132">
        <f>IF(FU$221,_xll.ciqfunctions.udf.CIQ($G257, "IQ_SHARESOUTSTANDING", FU$222),"--")</f>
        <v>0</v>
      </c>
      <c r="FV257" s="2132">
        <f>IF(FV$221,_xll.ciqfunctions.udf.CIQ($G257, "IQ_SHARESOUTSTANDING", FV$222),"--")</f>
        <v>0</v>
      </c>
      <c r="FW257" s="2132">
        <f>IF(FW$221,_xll.ciqfunctions.udf.CIQ($G257, "IQ_SHARESOUTSTANDING", FW$222),"--")</f>
        <v>0</v>
      </c>
      <c r="FX257" s="2132">
        <f>IF(FX$221,_xll.ciqfunctions.udf.CIQ($G257, "IQ_SHARESOUTSTANDING", FX$222),"--")</f>
        <v>0</v>
      </c>
      <c r="FY257" s="2132">
        <f>IF(FY$221,_xll.ciqfunctions.udf.CIQ($G257, "IQ_SHARESOUTSTANDING", FY$222),"--")</f>
        <v>0</v>
      </c>
      <c r="FZ257" s="2132">
        <f>IF(FZ$221,_xll.ciqfunctions.udf.CIQ($G257, "IQ_SHARESOUTSTANDING", FZ$222),"--")</f>
        <v>0</v>
      </c>
      <c r="GA257" s="2132">
        <f>IF(GA$221,_xll.ciqfunctions.udf.CIQ($G257, "IQ_SHARESOUTSTANDING", GA$222),"--")</f>
        <v>0</v>
      </c>
      <c r="GB257" s="2132">
        <f>IF(GB$221,_xll.ciqfunctions.udf.CIQ($G257, "IQ_SHARESOUTSTANDING", GB$222),"--")</f>
        <v>0</v>
      </c>
      <c r="GC257" s="2132">
        <f>IF(GC$221,_xll.ciqfunctions.udf.CIQ($G257, "IQ_SHARESOUTSTANDING", GC$222),"--")</f>
        <v>0</v>
      </c>
      <c r="GD257" s="2132">
        <f>IF(GD$221,_xll.ciqfunctions.udf.CIQ($G257, "IQ_SHARESOUTSTANDING", GD$222),"--")</f>
        <v>0</v>
      </c>
      <c r="GE257" s="2132">
        <f>IF(GE$221,_xll.ciqfunctions.udf.CIQ($G257, "IQ_SHARESOUTSTANDING", GE$222),"--")</f>
        <v>0</v>
      </c>
      <c r="GF257" s="2132">
        <f>IF(GF$221,_xll.ciqfunctions.udf.CIQ($G257, "IQ_SHARESOUTSTANDING", GF$222),"--")</f>
        <v>0</v>
      </c>
      <c r="GG257" s="2132">
        <f>IF(GG$221,_xll.ciqfunctions.udf.CIQ($G257, "IQ_SHARESOUTSTANDING", GG$222),"--")</f>
        <v>0</v>
      </c>
      <c r="GH257" s="2132">
        <f>IF(GH$221,_xll.ciqfunctions.udf.CIQ($G257, "IQ_SHARESOUTSTANDING", GH$222),"--")</f>
        <v>0</v>
      </c>
      <c r="GI257" s="2132">
        <f>IF(GI$221,_xll.ciqfunctions.udf.CIQ($G257, "IQ_SHARESOUTSTANDING", GI$222),"--")</f>
        <v>0</v>
      </c>
      <c r="GJ257" s="2132">
        <f>IF(GJ$221,_xll.ciqfunctions.udf.CIQ($G257, "IQ_SHARESOUTSTANDING", GJ$222),"--")</f>
        <v>0</v>
      </c>
      <c r="GK257" s="2132">
        <f>IF(GK$221,_xll.ciqfunctions.udf.CIQ($G257, "IQ_SHARESOUTSTANDING", GK$222),"--")</f>
        <v>0</v>
      </c>
      <c r="GL257" s="2132">
        <f>IF(GL$221,_xll.ciqfunctions.udf.CIQ($G257, "IQ_SHARESOUTSTANDING", GL$222),"--")</f>
        <v>0</v>
      </c>
      <c r="GM257" s="2132">
        <f>IF(GM$221,_xll.ciqfunctions.udf.CIQ($G257, "IQ_SHARESOUTSTANDING", GM$222),"--")</f>
        <v>0</v>
      </c>
      <c r="GN257" s="2132">
        <f>IF(GN$221,_xll.ciqfunctions.udf.CIQ($G257, "IQ_SHARESOUTSTANDING", GN$222),"--")</f>
        <v>0</v>
      </c>
      <c r="GO257" s="2132">
        <f>IF(GO$221,_xll.ciqfunctions.udf.CIQ($G257, "IQ_SHARESOUTSTANDING", GO$222),"--")</f>
        <v>0</v>
      </c>
      <c r="GP257" s="2132">
        <f>IF(GP$221,_xll.ciqfunctions.udf.CIQ($G257, "IQ_SHARESOUTSTANDING", GP$222),"--")</f>
        <v>0</v>
      </c>
      <c r="GQ257" s="2132">
        <f>IF(GQ$221,_xll.ciqfunctions.udf.CIQ($G257, "IQ_SHARESOUTSTANDING", GQ$222),"--")</f>
        <v>0</v>
      </c>
      <c r="GR257" s="2132">
        <f>IF(GR$221,_xll.ciqfunctions.udf.CIQ($G257, "IQ_SHARESOUTSTANDING", GR$222),"--")</f>
        <v>0</v>
      </c>
      <c r="GS257" s="2132">
        <f>IF(GS$221,_xll.ciqfunctions.udf.CIQ($G257, "IQ_SHARESOUTSTANDING", GS$222),"--")</f>
        <v>0</v>
      </c>
      <c r="GT257" s="2132">
        <f>IF(GT$221,_xll.ciqfunctions.udf.CIQ($G257, "IQ_SHARESOUTSTANDING", GT$222),"--")</f>
        <v>0</v>
      </c>
      <c r="GU257" s="2132">
        <f>IF(GU$221,_xll.ciqfunctions.udf.CIQ($G257, "IQ_SHARESOUTSTANDING", GU$222),"--")</f>
        <v>0</v>
      </c>
      <c r="GV257" s="2132">
        <f>IF(GV$221,_xll.ciqfunctions.udf.CIQ($G257, "IQ_SHARESOUTSTANDING", GV$222),"--")</f>
        <v>0</v>
      </c>
      <c r="GW257" s="2132">
        <f>IF(GW$221,_xll.ciqfunctions.udf.CIQ($G257, "IQ_SHARESOUTSTANDING", GW$222),"--")</f>
        <v>0</v>
      </c>
      <c r="GX257" s="2132">
        <f>IF(GX$221,_xll.ciqfunctions.udf.CIQ($G257, "IQ_SHARESOUTSTANDING", GX$222),"--")</f>
        <v>0</v>
      </c>
      <c r="GY257" s="2132">
        <f>IF(GY$221,_xll.ciqfunctions.udf.CIQ($G257, "IQ_SHARESOUTSTANDING", GY$222),"--")</f>
        <v>0</v>
      </c>
      <c r="GZ257" s="2132">
        <f>IF(GZ$221,_xll.ciqfunctions.udf.CIQ($G257, "IQ_SHARESOUTSTANDING", GZ$222),"--")</f>
        <v>0</v>
      </c>
      <c r="HA257" s="2132">
        <f>IF(HA$221,_xll.ciqfunctions.udf.CIQ($G257, "IQ_SHARESOUTSTANDING", HA$222),"--")</f>
        <v>0</v>
      </c>
      <c r="HB257" s="2132">
        <f>IF(HB$221,_xll.ciqfunctions.udf.CIQ($G257, "IQ_SHARESOUTSTANDING", HB$222),"--")</f>
        <v>0</v>
      </c>
      <c r="HC257" s="2132">
        <f>IF(HC$221,_xll.ciqfunctions.udf.CIQ($G257, "IQ_SHARESOUTSTANDING", HC$222),"--")</f>
        <v>0</v>
      </c>
      <c r="HD257" s="2132">
        <f>IF(HD$221,_xll.ciqfunctions.udf.CIQ($G257, "IQ_SHARESOUTSTANDING", HD$222),"--")</f>
        <v>0</v>
      </c>
      <c r="HE257" s="2132">
        <f>IF(HE$221,_xll.ciqfunctions.udf.CIQ($G257, "IQ_SHARESOUTSTANDING", HE$222),"--")</f>
        <v>0</v>
      </c>
      <c r="HF257" s="2132">
        <f>IF(HF$221,_xll.ciqfunctions.udf.CIQ($G257, "IQ_SHARESOUTSTANDING", HF$222),"--")</f>
        <v>0</v>
      </c>
      <c r="HG257" s="2132">
        <f>IF(HG$221,_xll.ciqfunctions.udf.CIQ($G257, "IQ_SHARESOUTSTANDING", HG$222),"--")</f>
        <v>0</v>
      </c>
      <c r="HH257" s="2132">
        <f>IF(HH$221,_xll.ciqfunctions.udf.CIQ($G257, "IQ_SHARESOUTSTANDING", HH$222),"--")</f>
        <v>0</v>
      </c>
      <c r="HI257" s="2132">
        <f>IF(HI$221,_xll.ciqfunctions.udf.CIQ($G257, "IQ_SHARESOUTSTANDING", HI$222),"--")</f>
        <v>0</v>
      </c>
      <c r="HJ257" s="2132">
        <f>IF(HJ$221,_xll.ciqfunctions.udf.CIQ($G257, "IQ_SHARESOUTSTANDING", HJ$222),"--")</f>
        <v>0</v>
      </c>
      <c r="HK257" s="2132">
        <f>IF(HK$221,_xll.ciqfunctions.udf.CIQ($G257, "IQ_SHARESOUTSTANDING", HK$222),"--")</f>
        <v>0</v>
      </c>
      <c r="HL257" s="2132">
        <f>IF(HL$221,_xll.ciqfunctions.udf.CIQ($G257, "IQ_SHARESOUTSTANDING", HL$222),"--")</f>
        <v>0</v>
      </c>
      <c r="HM257" s="2132">
        <f>IF(HM$221,_xll.ciqfunctions.udf.CIQ($G257, "IQ_SHARESOUTSTANDING", HM$222),"--")</f>
        <v>0</v>
      </c>
      <c r="HN257" s="2132">
        <f>IF(HN$221,_xll.ciqfunctions.udf.CIQ($G257, "IQ_SHARESOUTSTANDING", HN$222),"--")</f>
        <v>0</v>
      </c>
      <c r="HO257" s="2132">
        <f>IF(HO$221,_xll.ciqfunctions.udf.CIQ($G257, "IQ_SHARESOUTSTANDING", HO$222),"--")</f>
        <v>0</v>
      </c>
      <c r="HP257" s="2132">
        <f>IF(HP$221,_xll.ciqfunctions.udf.CIQ($G257, "IQ_SHARESOUTSTANDING", HP$222),"--")</f>
        <v>0</v>
      </c>
      <c r="HQ257" s="2132">
        <f>IF(HQ$221,_xll.ciqfunctions.udf.CIQ($G257, "IQ_SHARESOUTSTANDING", HQ$222),"--")</f>
        <v>0</v>
      </c>
      <c r="HR257" s="2132">
        <f>IF(HR$221,_xll.ciqfunctions.udf.CIQ($G257, "IQ_SHARESOUTSTANDING", HR$222),"--")</f>
        <v>0</v>
      </c>
      <c r="HS257" s="2132">
        <f>IF(HS$221,_xll.ciqfunctions.udf.CIQ($G257, "IQ_SHARESOUTSTANDING", HS$222),"--")</f>
        <v>0</v>
      </c>
      <c r="HT257" s="2132">
        <f>IF(HT$221,_xll.ciqfunctions.udf.CIQ($G257, "IQ_SHARESOUTSTANDING", HT$222),"--")</f>
        <v>0</v>
      </c>
      <c r="HU257" s="2132">
        <f>IF(HU$221,_xll.ciqfunctions.udf.CIQ($G257, "IQ_SHARESOUTSTANDING", HU$222),"--")</f>
        <v>0</v>
      </c>
      <c r="HV257" s="2132">
        <f>IF(HV$221,_xll.ciqfunctions.udf.CIQ($G257, "IQ_SHARESOUTSTANDING", HV$222),"--")</f>
        <v>0</v>
      </c>
      <c r="HW257" s="2132">
        <f>IF(HW$221,_xll.ciqfunctions.udf.CIQ($G257, "IQ_SHARESOUTSTANDING", HW$222),"--")</f>
        <v>0</v>
      </c>
      <c r="HX257" s="2132">
        <f>IF(HX$221,_xll.ciqfunctions.udf.CIQ($G257, "IQ_SHARESOUTSTANDING", HX$222),"--")</f>
        <v>0</v>
      </c>
      <c r="HY257" s="2132">
        <f>IF(HY$221,_xll.ciqfunctions.udf.CIQ($G257, "IQ_SHARESOUTSTANDING", HY$222),"--")</f>
        <v>0</v>
      </c>
      <c r="HZ257" s="2132">
        <f>IF(HZ$221,_xll.ciqfunctions.udf.CIQ($G257, "IQ_SHARESOUTSTANDING", HZ$222),"--")</f>
        <v>0</v>
      </c>
      <c r="IA257" s="2132">
        <f>IF(IA$221,_xll.ciqfunctions.udf.CIQ($G257, "IQ_SHARESOUTSTANDING", IA$222),"--")</f>
        <v>0</v>
      </c>
      <c r="IB257" s="2132">
        <f>IF(IB$221,_xll.ciqfunctions.udf.CIQ($G257, "IQ_SHARESOUTSTANDING", IB$222),"--")</f>
        <v>0</v>
      </c>
      <c r="IC257" s="2132">
        <f>IF(IC$221,_xll.ciqfunctions.udf.CIQ($G257, "IQ_SHARESOUTSTANDING", IC$222),"--")</f>
        <v>0</v>
      </c>
      <c r="ID257" s="2132">
        <f>IF(ID$221,_xll.ciqfunctions.udf.CIQ($G257, "IQ_SHARESOUTSTANDING", ID$222),"--")</f>
        <v>0</v>
      </c>
      <c r="IE257" s="2132">
        <f>IF(IE$221,_xll.ciqfunctions.udf.CIQ($G257, "IQ_SHARESOUTSTANDING", IE$222),"--")</f>
        <v>0</v>
      </c>
      <c r="IF257" s="2132">
        <f>IF(IF$221,_xll.ciqfunctions.udf.CIQ($G257, "IQ_SHARESOUTSTANDING", IF$222),"--")</f>
        <v>0</v>
      </c>
      <c r="IG257" s="2132">
        <f>IF(IG$221,_xll.ciqfunctions.udf.CIQ($G257, "IQ_SHARESOUTSTANDING", IG$222),"--")</f>
        <v>0</v>
      </c>
      <c r="IH257" s="2132">
        <f>IF(IH$221,_xll.ciqfunctions.udf.CIQ($G257, "IQ_SHARESOUTSTANDING", IH$222),"--")</f>
        <v>0</v>
      </c>
      <c r="II257" s="2132">
        <f>IF(II$221,_xll.ciqfunctions.udf.CIQ($G257, "IQ_SHARESOUTSTANDING", II$222),"--")</f>
        <v>0</v>
      </c>
      <c r="IJ257" s="2132">
        <f>IF(IJ$221,_xll.ciqfunctions.udf.CIQ($G257, "IQ_SHARESOUTSTANDING", IJ$222),"--")</f>
        <v>0</v>
      </c>
      <c r="IK257" s="2132">
        <f>IF(IK$221,_xll.ciqfunctions.udf.CIQ($G257, "IQ_SHARESOUTSTANDING", IK$222),"--")</f>
        <v>0</v>
      </c>
      <c r="IL257" s="2132">
        <f>IF(IL$221,_xll.ciqfunctions.udf.CIQ($G257, "IQ_SHARESOUTSTANDING", IL$222),"--")</f>
        <v>0</v>
      </c>
      <c r="IM257" s="2132">
        <f>IF(IM$221,_xll.ciqfunctions.udf.CIQ($G257, "IQ_SHARESOUTSTANDING", IM$222),"--")</f>
        <v>0</v>
      </c>
      <c r="IN257" s="2132">
        <f>IF(IN$221,_xll.ciqfunctions.udf.CIQ($G257, "IQ_SHARESOUTSTANDING", IN$222),"--")</f>
        <v>0</v>
      </c>
      <c r="IO257" s="2132">
        <f>IF(IO$221,_xll.ciqfunctions.udf.CIQ($G257, "IQ_SHARESOUTSTANDING", IO$222),"--")</f>
        <v>0</v>
      </c>
      <c r="IP257" s="2132">
        <f>IF(IP$221,_xll.ciqfunctions.udf.CIQ($G257, "IQ_SHARESOUTSTANDING", IP$222),"--")</f>
        <v>0</v>
      </c>
      <c r="IQ257" s="2132">
        <f>IF(IQ$221,_xll.ciqfunctions.udf.CIQ($G257, "IQ_SHARESOUTSTANDING", IQ$222),"--")</f>
        <v>0</v>
      </c>
      <c r="IR257" s="2132">
        <f>IF(IR$221,_xll.ciqfunctions.udf.CIQ($G257, "IQ_SHARESOUTSTANDING", IR$222),"--")</f>
        <v>0</v>
      </c>
      <c r="IS257" s="2132">
        <f>IF(IS$221,_xll.ciqfunctions.udf.CIQ($G257, "IQ_SHARESOUTSTANDING", IS$222),"--")</f>
        <v>0</v>
      </c>
      <c r="IT257" s="2132">
        <f>IF(IT$221,_xll.ciqfunctions.udf.CIQ($G257, "IQ_SHARESOUTSTANDING", IT$222),"--")</f>
        <v>0</v>
      </c>
      <c r="IU257" s="2132">
        <f>IF(IU$221,_xll.ciqfunctions.udf.CIQ($G257, "IQ_SHARESOUTSTANDING", IU$222),"--")</f>
        <v>0</v>
      </c>
      <c r="IV257" s="2132">
        <f>IF(IV$221,_xll.ciqfunctions.udf.CIQ($G257, "IQ_SHARESOUTSTANDING", IV$222),"--")</f>
        <v>0</v>
      </c>
      <c r="IW257" s="2132">
        <f>IF(IW$221,_xll.ciqfunctions.udf.CIQ($G257, "IQ_SHARESOUTSTANDING", IW$222),"--")</f>
        <v>0</v>
      </c>
      <c r="IX257" s="2132">
        <f>IF(IX$221,_xll.ciqfunctions.udf.CIQ($G257, "IQ_SHARESOUTSTANDING", IX$222),"--")</f>
        <v>0</v>
      </c>
      <c r="IY257" s="2132">
        <f>IF(IY$221,_xll.ciqfunctions.udf.CIQ($G257, "IQ_SHARESOUTSTANDING", IY$222),"--")</f>
        <v>0</v>
      </c>
      <c r="IZ257" s="2132">
        <f>IF(IZ$221,_xll.ciqfunctions.udf.CIQ($G257, "IQ_SHARESOUTSTANDING", IZ$222),"--")</f>
        <v>0</v>
      </c>
      <c r="JA257" s="2132">
        <f>IF(JA$221,_xll.ciqfunctions.udf.CIQ($G257, "IQ_SHARESOUTSTANDING", JA$222),"--")</f>
        <v>0</v>
      </c>
      <c r="JB257" s="2132">
        <f>IF(JB$221,_xll.ciqfunctions.udf.CIQ($G257, "IQ_SHARESOUTSTANDING", JB$222),"--")</f>
        <v>0</v>
      </c>
      <c r="JC257" s="2132">
        <f>IF(JC$221,_xll.ciqfunctions.udf.CIQ($G257, "IQ_SHARESOUTSTANDING", JC$222),"--")</f>
        <v>0</v>
      </c>
      <c r="JD257" s="2132">
        <f>IF(JD$221,_xll.ciqfunctions.udf.CIQ($G257, "IQ_SHARESOUTSTANDING", JD$222),"--")</f>
        <v>0</v>
      </c>
      <c r="JE257" s="2132">
        <f>IF(JE$221,_xll.ciqfunctions.udf.CIQ($G257, "IQ_SHARESOUTSTANDING", JE$222),"--")</f>
        <v>0</v>
      </c>
      <c r="JF257" s="2132">
        <f>IF(JF$221,_xll.ciqfunctions.udf.CIQ($G257, "IQ_SHARESOUTSTANDING", JF$222),"--")</f>
        <v>0</v>
      </c>
      <c r="JG257" s="2132">
        <f>IF(JG$221,_xll.ciqfunctions.udf.CIQ($G257, "IQ_SHARESOUTSTANDING", JG$222),"--")</f>
        <v>0</v>
      </c>
      <c r="JH257" s="2132">
        <f>IF(JH$221,_xll.ciqfunctions.udf.CIQ($G257, "IQ_SHARESOUTSTANDING", JH$222),"--")</f>
        <v>0</v>
      </c>
      <c r="JI257" s="2132">
        <f>IF(JI$221,_xll.ciqfunctions.udf.CIQ($G257, "IQ_SHARESOUTSTANDING", JI$222),"--")</f>
        <v>0</v>
      </c>
      <c r="JJ257" s="2132">
        <f>IF(JJ$221,_xll.ciqfunctions.udf.CIQ($G257, "IQ_SHARESOUTSTANDING", JJ$222),"--")</f>
        <v>0</v>
      </c>
      <c r="JK257" s="2132">
        <f>IF(JK$221,_xll.ciqfunctions.udf.CIQ($G257, "IQ_SHARESOUTSTANDING", JK$222),"--")</f>
        <v>0</v>
      </c>
      <c r="JL257" s="2132">
        <f>IF(JL$221,_xll.ciqfunctions.udf.CIQ($G257, "IQ_SHARESOUTSTANDING", JL$222),"--")</f>
        <v>0</v>
      </c>
      <c r="JM257" s="2132">
        <f>IF(JM$221,_xll.ciqfunctions.udf.CIQ($G257, "IQ_SHARESOUTSTANDING", JM$222),"--")</f>
        <v>0</v>
      </c>
      <c r="JN257" s="2132">
        <f>IF(JN$221,_xll.ciqfunctions.udf.CIQ($G257, "IQ_SHARESOUTSTANDING", JN$222),"--")</f>
        <v>0</v>
      </c>
      <c r="JO257" s="2132">
        <f>IF(JO$221,_xll.ciqfunctions.udf.CIQ($G257, "IQ_SHARESOUTSTANDING", JO$222),"--")</f>
        <v>0</v>
      </c>
      <c r="JP257" s="2132">
        <f>IF(JP$221,_xll.ciqfunctions.udf.CIQ($G257, "IQ_SHARESOUTSTANDING", JP$222),"--")</f>
        <v>0</v>
      </c>
      <c r="JQ257" s="2132">
        <f>IF(JQ$221,_xll.ciqfunctions.udf.CIQ($G257, "IQ_SHARESOUTSTANDING", JQ$222),"--")</f>
        <v>0</v>
      </c>
      <c r="JR257" s="2132">
        <f>IF(JR$221,_xll.ciqfunctions.udf.CIQ($G257, "IQ_SHARESOUTSTANDING", JR$222),"--")</f>
        <v>0</v>
      </c>
      <c r="JS257" s="2132">
        <f>IF(JS$221,_xll.ciqfunctions.udf.CIQ($G257, "IQ_SHARESOUTSTANDING", JS$222),"--")</f>
        <v>0</v>
      </c>
      <c r="JT257" s="2132">
        <f>IF(JT$221,_xll.ciqfunctions.udf.CIQ($G257, "IQ_SHARESOUTSTANDING", JT$222),"--")</f>
        <v>0</v>
      </c>
      <c r="JU257" s="2132">
        <f>IF(JU$221,_xll.ciqfunctions.udf.CIQ($G257, "IQ_SHARESOUTSTANDING", JU$222),"--")</f>
        <v>0</v>
      </c>
      <c r="JV257" s="2132">
        <f>IF(JV$221,_xll.ciqfunctions.udf.CIQ($G257, "IQ_SHARESOUTSTANDING", JV$222),"--")</f>
        <v>0</v>
      </c>
      <c r="JW257" s="2132" t="str">
        <f>IF(JW$221,_xll.ciqfunctions.udf.CIQ($G257, "IQ_SHARESOUTSTANDING", JW$222),"--")</f>
        <v>--</v>
      </c>
      <c r="JX257" s="2132" t="str">
        <f>IF(JX$221,_xll.ciqfunctions.udf.CIQ($G257, "IQ_SHARESOUTSTANDING", JX$222),"--")</f>
        <v>--</v>
      </c>
      <c r="JY257" s="2132" t="str">
        <f>IF(JY$221,_xll.ciqfunctions.udf.CIQ($G257, "IQ_SHARESOUTSTANDING", JY$222),"--")</f>
        <v>--</v>
      </c>
      <c r="JZ257" s="2132" t="str">
        <f>IF(JZ$221,_xll.ciqfunctions.udf.CIQ($G257, "IQ_SHARESOUTSTANDING", JZ$222),"--")</f>
        <v>--</v>
      </c>
      <c r="KA257" s="2132" t="str">
        <f>IF(KA$221,_xll.ciqfunctions.udf.CIQ($G257, "IQ_SHARESOUTSTANDING", KA$222),"--")</f>
        <v>--</v>
      </c>
      <c r="KB257" s="2132" t="str">
        <f>IF(KB$221,_xll.ciqfunctions.udf.CIQ($G257, "IQ_SHARESOUTSTANDING", KB$222),"--")</f>
        <v>--</v>
      </c>
    </row>
    <row r="258" spans="1:288" s="89" customFormat="1" ht="13.9">
      <c r="A258" s="269" t="str">
        <f t="shared" si="49"/>
        <v>n</v>
      </c>
      <c r="B258" s="2060"/>
      <c r="D258" s="801"/>
      <c r="E258" s="1505">
        <v>4</v>
      </c>
      <c r="F258" s="21" t="str">
        <f>F$132</f>
        <v>--</v>
      </c>
      <c r="G258" s="1441">
        <f>G$132</f>
        <v>0</v>
      </c>
      <c r="H258" s="1441" t="str">
        <f>H$132</f>
        <v>--</v>
      </c>
      <c r="I258" s="314" t="s">
        <v>783</v>
      </c>
      <c r="J258" s="314"/>
      <c r="K258" s="2301" t="str">
        <f>IF(OR(K195=0,$G258=0),"--",IFERROR(_xll.ciqfunctions.udf.CIQ($G258,$I258,K103,Valuation_Date_GC,ReportType,DataMode,$H258,FXMode)*Scale+K227*Pension10,"--"))</f>
        <v>--</v>
      </c>
      <c r="L258" s="2301" t="str">
        <f>IF(OR(L195=0,$G258=0),"--",IFERROR(_xll.ciqfunctions.udf.CIQ($G258,$I258,L103,Valuation_Date_GC,ReportType,DataMode,$H258,FXMode)*Scale+L227*Pension10,"--"))</f>
        <v>--</v>
      </c>
      <c r="M258" s="2301" t="str">
        <f>IF(OR(M195=0,$G258=0),"--",IFERROR(_xll.ciqfunctions.udf.CIQ($G258,$I258,M103,Valuation_Date_GC,ReportType,DataMode,$H258,FXMode)*Scale+M227*Pension10,"--"))</f>
        <v>--</v>
      </c>
      <c r="N258" s="2301" t="str">
        <f>IF(OR(N195=0,$G258=0),"--",IFERROR(_xll.ciqfunctions.udf.CIQ($G258,$I258,N103,Valuation_Date_GC,ReportType,DataMode,$H258,FXMode)*Scale+N227*Pension10,"--"))</f>
        <v>--</v>
      </c>
      <c r="O258" s="1471" t="str">
        <f>IF(OR(O195=0,$G258=0),"--",IFERROR(_xll.ciqfunctions.udf.CIQ($G258,$I258,O103,Valuation_Date_GC,ReportType,DataMode,$H258,FXMode)*Scale+O227*Pension10,"--"))</f>
        <v>--</v>
      </c>
      <c r="P258" s="2301" t="str">
        <f>IF(OR(P195=0,$G258=0),"--",IFERROR(_xll.ciqfunctions.udf.CIQ($G258,$I258,P103,Valuation_Date_GC,ReportType,DataMode,$H258,FXMode)*Scale+P227*Pension10,"--"))</f>
        <v>--</v>
      </c>
      <c r="R258" s="255"/>
      <c r="T258" s="1779" t="s">
        <v>784</v>
      </c>
      <c r="U258" s="2132">
        <f>IF(U$221,_xll.ciqfunctions.udf.CIQ($G258, "IQ_SHARESOUTSTANDING", U$222),"--")</f>
        <v>0</v>
      </c>
      <c r="V258" s="2132">
        <f>IF(V$221,_xll.ciqfunctions.udf.CIQ($G258, "IQ_SHARESOUTSTANDING", V$222),"--")</f>
        <v>0</v>
      </c>
      <c r="W258" s="2132">
        <f>IF(W$221,_xll.ciqfunctions.udf.CIQ($G258, "IQ_SHARESOUTSTANDING", W$222),"--")</f>
        <v>0</v>
      </c>
      <c r="X258" s="2132">
        <f>IF(X$221,_xll.ciqfunctions.udf.CIQ($G258, "IQ_SHARESOUTSTANDING", X$222),"--")</f>
        <v>0</v>
      </c>
      <c r="Y258" s="2132">
        <f>IF(Y$221,_xll.ciqfunctions.udf.CIQ($G258, "IQ_SHARESOUTSTANDING", Y$222),"--")</f>
        <v>0</v>
      </c>
      <c r="Z258" s="2132">
        <f>IF(Z$221,_xll.ciqfunctions.udf.CIQ($G258, "IQ_SHARESOUTSTANDING", Z$222),"--")</f>
        <v>0</v>
      </c>
      <c r="AA258" s="2132">
        <f>IF(AA$221,_xll.ciqfunctions.udf.CIQ($G258, "IQ_SHARESOUTSTANDING", AA$222),"--")</f>
        <v>0</v>
      </c>
      <c r="AB258" s="2132">
        <f>IF(AB$221,_xll.ciqfunctions.udf.CIQ($G258, "IQ_SHARESOUTSTANDING", AB$222),"--")</f>
        <v>0</v>
      </c>
      <c r="AC258" s="2132">
        <f>IF(AC$221,_xll.ciqfunctions.udf.CIQ($G258, "IQ_SHARESOUTSTANDING", AC$222),"--")</f>
        <v>0</v>
      </c>
      <c r="AD258" s="2132">
        <f>IF(AD$221,_xll.ciqfunctions.udf.CIQ($G258, "IQ_SHARESOUTSTANDING", AD$222),"--")</f>
        <v>0</v>
      </c>
      <c r="AE258" s="2132">
        <f>IF(AE$221,_xll.ciqfunctions.udf.CIQ($G258, "IQ_SHARESOUTSTANDING", AE$222),"--")</f>
        <v>0</v>
      </c>
      <c r="AF258" s="2132">
        <f>IF(AF$221,_xll.ciqfunctions.udf.CIQ($G258, "IQ_SHARESOUTSTANDING", AF$222),"--")</f>
        <v>0</v>
      </c>
      <c r="AG258" s="2132">
        <f>IF(AG$221,_xll.ciqfunctions.udf.CIQ($G258, "IQ_SHARESOUTSTANDING", AG$222),"--")</f>
        <v>0</v>
      </c>
      <c r="AH258" s="2132">
        <f>IF(AH$221,_xll.ciqfunctions.udf.CIQ($G258, "IQ_SHARESOUTSTANDING", AH$222),"--")</f>
        <v>0</v>
      </c>
      <c r="AI258" s="2132">
        <f>IF(AI$221,_xll.ciqfunctions.udf.CIQ($G258, "IQ_SHARESOUTSTANDING", AI$222),"--")</f>
        <v>0</v>
      </c>
      <c r="AJ258" s="2132">
        <f>IF(AJ$221,_xll.ciqfunctions.udf.CIQ($G258, "IQ_SHARESOUTSTANDING", AJ$222),"--")</f>
        <v>0</v>
      </c>
      <c r="AK258" s="2132">
        <f>IF(AK$221,_xll.ciqfunctions.udf.CIQ($G258, "IQ_SHARESOUTSTANDING", AK$222),"--")</f>
        <v>0</v>
      </c>
      <c r="AL258" s="2132">
        <f>IF(AL$221,_xll.ciqfunctions.udf.CIQ($G258, "IQ_SHARESOUTSTANDING", AL$222),"--")</f>
        <v>0</v>
      </c>
      <c r="AM258" s="2132">
        <f>IF(AM$221,_xll.ciqfunctions.udf.CIQ($G258, "IQ_SHARESOUTSTANDING", AM$222),"--")</f>
        <v>0</v>
      </c>
      <c r="AN258" s="2132">
        <f>IF(AN$221,_xll.ciqfunctions.udf.CIQ($G258, "IQ_SHARESOUTSTANDING", AN$222),"--")</f>
        <v>0</v>
      </c>
      <c r="AO258" s="2132">
        <f>IF(AO$221,_xll.ciqfunctions.udf.CIQ($G258, "IQ_SHARESOUTSTANDING", AO$222),"--")</f>
        <v>0</v>
      </c>
      <c r="AP258" s="2132">
        <f>IF(AP$221,_xll.ciqfunctions.udf.CIQ($G258, "IQ_SHARESOUTSTANDING", AP$222),"--")</f>
        <v>0</v>
      </c>
      <c r="AQ258" s="2132">
        <f>IF(AQ$221,_xll.ciqfunctions.udf.CIQ($G258, "IQ_SHARESOUTSTANDING", AQ$222),"--")</f>
        <v>0</v>
      </c>
      <c r="AR258" s="2132">
        <f>IF(AR$221,_xll.ciqfunctions.udf.CIQ($G258, "IQ_SHARESOUTSTANDING", AR$222),"--")</f>
        <v>0</v>
      </c>
      <c r="AS258" s="2132">
        <f>IF(AS$221,_xll.ciqfunctions.udf.CIQ($G258, "IQ_SHARESOUTSTANDING", AS$222),"--")</f>
        <v>0</v>
      </c>
      <c r="AT258" s="2132">
        <f>IF(AT$221,_xll.ciqfunctions.udf.CIQ($G258, "IQ_SHARESOUTSTANDING", AT$222),"--")</f>
        <v>0</v>
      </c>
      <c r="AU258" s="2132">
        <f>IF(AU$221,_xll.ciqfunctions.udf.CIQ($G258, "IQ_SHARESOUTSTANDING", AU$222),"--")</f>
        <v>0</v>
      </c>
      <c r="AV258" s="2132">
        <f>IF(AV$221,_xll.ciqfunctions.udf.CIQ($G258, "IQ_SHARESOUTSTANDING", AV$222),"--")</f>
        <v>0</v>
      </c>
      <c r="AW258" s="2132">
        <f>IF(AW$221,_xll.ciqfunctions.udf.CIQ($G258, "IQ_SHARESOUTSTANDING", AW$222),"--")</f>
        <v>0</v>
      </c>
      <c r="AX258" s="2132">
        <f>IF(AX$221,_xll.ciqfunctions.udf.CIQ($G258, "IQ_SHARESOUTSTANDING", AX$222),"--")</f>
        <v>0</v>
      </c>
      <c r="AY258" s="2132">
        <f>IF(AY$221,_xll.ciqfunctions.udf.CIQ($G258, "IQ_SHARESOUTSTANDING", AY$222),"--")</f>
        <v>0</v>
      </c>
      <c r="AZ258" s="2132">
        <f>IF(AZ$221,_xll.ciqfunctions.udf.CIQ($G258, "IQ_SHARESOUTSTANDING", AZ$222),"--")</f>
        <v>0</v>
      </c>
      <c r="BA258" s="2132">
        <f>IF(BA$221,_xll.ciqfunctions.udf.CIQ($G258, "IQ_SHARESOUTSTANDING", BA$222),"--")</f>
        <v>0</v>
      </c>
      <c r="BB258" s="2132">
        <f>IF(BB$221,_xll.ciqfunctions.udf.CIQ($G258, "IQ_SHARESOUTSTANDING", BB$222),"--")</f>
        <v>0</v>
      </c>
      <c r="BC258" s="2132">
        <f>IF(BC$221,_xll.ciqfunctions.udf.CIQ($G258, "IQ_SHARESOUTSTANDING", BC$222),"--")</f>
        <v>0</v>
      </c>
      <c r="BD258" s="2132">
        <f>IF(BD$221,_xll.ciqfunctions.udf.CIQ($G258, "IQ_SHARESOUTSTANDING", BD$222),"--")</f>
        <v>0</v>
      </c>
      <c r="BE258" s="2132">
        <f>IF(BE$221,_xll.ciqfunctions.udf.CIQ($G258, "IQ_SHARESOUTSTANDING", BE$222),"--")</f>
        <v>0</v>
      </c>
      <c r="BF258" s="2132">
        <f>IF(BF$221,_xll.ciqfunctions.udf.CIQ($G258, "IQ_SHARESOUTSTANDING", BF$222),"--")</f>
        <v>0</v>
      </c>
      <c r="BG258" s="2132">
        <f>IF(BG$221,_xll.ciqfunctions.udf.CIQ($G258, "IQ_SHARESOUTSTANDING", BG$222),"--")</f>
        <v>0</v>
      </c>
      <c r="BH258" s="2132">
        <f>IF(BH$221,_xll.ciqfunctions.udf.CIQ($G258, "IQ_SHARESOUTSTANDING", BH$222),"--")</f>
        <v>0</v>
      </c>
      <c r="BI258" s="2132">
        <f>IF(BI$221,_xll.ciqfunctions.udf.CIQ($G258, "IQ_SHARESOUTSTANDING", BI$222),"--")</f>
        <v>0</v>
      </c>
      <c r="BJ258" s="2132">
        <f>IF(BJ$221,_xll.ciqfunctions.udf.CIQ($G258, "IQ_SHARESOUTSTANDING", BJ$222),"--")</f>
        <v>0</v>
      </c>
      <c r="BK258" s="2132">
        <f>IF(BK$221,_xll.ciqfunctions.udf.CIQ($G258, "IQ_SHARESOUTSTANDING", BK$222),"--")</f>
        <v>0</v>
      </c>
      <c r="BL258" s="2132">
        <f>IF(BL$221,_xll.ciqfunctions.udf.CIQ($G258, "IQ_SHARESOUTSTANDING", BL$222),"--")</f>
        <v>0</v>
      </c>
      <c r="BM258" s="2132">
        <f>IF(BM$221,_xll.ciqfunctions.udf.CIQ($G258, "IQ_SHARESOUTSTANDING", BM$222),"--")</f>
        <v>0</v>
      </c>
      <c r="BN258" s="2132">
        <f>IF(BN$221,_xll.ciqfunctions.udf.CIQ($G258, "IQ_SHARESOUTSTANDING", BN$222),"--")</f>
        <v>0</v>
      </c>
      <c r="BO258" s="2132">
        <f>IF(BO$221,_xll.ciqfunctions.udf.CIQ($G258, "IQ_SHARESOUTSTANDING", BO$222),"--")</f>
        <v>0</v>
      </c>
      <c r="BP258" s="2132">
        <f>IF(BP$221,_xll.ciqfunctions.udf.CIQ($G258, "IQ_SHARESOUTSTANDING", BP$222),"--")</f>
        <v>0</v>
      </c>
      <c r="BQ258" s="2132">
        <f>IF(BQ$221,_xll.ciqfunctions.udf.CIQ($G258, "IQ_SHARESOUTSTANDING", BQ$222),"--")</f>
        <v>0</v>
      </c>
      <c r="BR258" s="2132">
        <f>IF(BR$221,_xll.ciqfunctions.udf.CIQ($G258, "IQ_SHARESOUTSTANDING", BR$222),"--")</f>
        <v>0</v>
      </c>
      <c r="BS258" s="2132">
        <f>IF(BS$221,_xll.ciqfunctions.udf.CIQ($G258, "IQ_SHARESOUTSTANDING", BS$222),"--")</f>
        <v>0</v>
      </c>
      <c r="BT258" s="2132">
        <f>IF(BT$221,_xll.ciqfunctions.udf.CIQ($G258, "IQ_SHARESOUTSTANDING", BT$222),"--")</f>
        <v>0</v>
      </c>
      <c r="BU258" s="2132">
        <f>IF(BU$221,_xll.ciqfunctions.udf.CIQ($G258, "IQ_SHARESOUTSTANDING", BU$222),"--")</f>
        <v>0</v>
      </c>
      <c r="BV258" s="2132">
        <f>IF(BV$221,_xll.ciqfunctions.udf.CIQ($G258, "IQ_SHARESOUTSTANDING", BV$222),"--")</f>
        <v>0</v>
      </c>
      <c r="BW258" s="2132">
        <f>IF(BW$221,_xll.ciqfunctions.udf.CIQ($G258, "IQ_SHARESOUTSTANDING", BW$222),"--")</f>
        <v>0</v>
      </c>
      <c r="BX258" s="2132">
        <f>IF(BX$221,_xll.ciqfunctions.udf.CIQ($G258, "IQ_SHARESOUTSTANDING", BX$222),"--")</f>
        <v>0</v>
      </c>
      <c r="BY258" s="2132">
        <f>IF(BY$221,_xll.ciqfunctions.udf.CIQ($G258, "IQ_SHARESOUTSTANDING", BY$222),"--")</f>
        <v>0</v>
      </c>
      <c r="BZ258" s="2132">
        <f>IF(BZ$221,_xll.ciqfunctions.udf.CIQ($G258, "IQ_SHARESOUTSTANDING", BZ$222),"--")</f>
        <v>0</v>
      </c>
      <c r="CA258" s="2132">
        <f>IF(CA$221,_xll.ciqfunctions.udf.CIQ($G258, "IQ_SHARESOUTSTANDING", CA$222),"--")</f>
        <v>0</v>
      </c>
      <c r="CB258" s="2132">
        <f>IF(CB$221,_xll.ciqfunctions.udf.CIQ($G258, "IQ_SHARESOUTSTANDING", CB$222),"--")</f>
        <v>0</v>
      </c>
      <c r="CC258" s="2132">
        <f>IF(CC$221,_xll.ciqfunctions.udf.CIQ($G258, "IQ_SHARESOUTSTANDING", CC$222),"--")</f>
        <v>0</v>
      </c>
      <c r="CD258" s="2132">
        <f>IF(CD$221,_xll.ciqfunctions.udf.CIQ($G258, "IQ_SHARESOUTSTANDING", CD$222),"--")</f>
        <v>0</v>
      </c>
      <c r="CE258" s="2132">
        <f>IF(CE$221,_xll.ciqfunctions.udf.CIQ($G258, "IQ_SHARESOUTSTANDING", CE$222),"--")</f>
        <v>0</v>
      </c>
      <c r="CF258" s="2132">
        <f>IF(CF$221,_xll.ciqfunctions.udf.CIQ($G258, "IQ_SHARESOUTSTANDING", CF$222),"--")</f>
        <v>0</v>
      </c>
      <c r="CG258" s="2132">
        <f>IF(CG$221,_xll.ciqfunctions.udf.CIQ($G258, "IQ_SHARESOUTSTANDING", CG$222),"--")</f>
        <v>0</v>
      </c>
      <c r="CH258" s="2132">
        <f>IF(CH$221,_xll.ciqfunctions.udf.CIQ($G258, "IQ_SHARESOUTSTANDING", CH$222),"--")</f>
        <v>0</v>
      </c>
      <c r="CI258" s="2132">
        <f>IF(CI$221,_xll.ciqfunctions.udf.CIQ($G258, "IQ_SHARESOUTSTANDING", CI$222),"--")</f>
        <v>0</v>
      </c>
      <c r="CJ258" s="2132">
        <f>IF(CJ$221,_xll.ciqfunctions.udf.CIQ($G258, "IQ_SHARESOUTSTANDING", CJ$222),"--")</f>
        <v>0</v>
      </c>
      <c r="CK258" s="2132">
        <f>IF(CK$221,_xll.ciqfunctions.udf.CIQ($G258, "IQ_SHARESOUTSTANDING", CK$222),"--")</f>
        <v>0</v>
      </c>
      <c r="CL258" s="2132">
        <f>IF(CL$221,_xll.ciqfunctions.udf.CIQ($G258, "IQ_SHARESOUTSTANDING", CL$222),"--")</f>
        <v>0</v>
      </c>
      <c r="CM258" s="2132">
        <f>IF(CM$221,_xll.ciqfunctions.udf.CIQ($G258, "IQ_SHARESOUTSTANDING", CM$222),"--")</f>
        <v>0</v>
      </c>
      <c r="CN258" s="2132">
        <f>IF(CN$221,_xll.ciqfunctions.udf.CIQ($G258, "IQ_SHARESOUTSTANDING", CN$222),"--")</f>
        <v>0</v>
      </c>
      <c r="CO258" s="2132">
        <f>IF(CO$221,_xll.ciqfunctions.udf.CIQ($G258, "IQ_SHARESOUTSTANDING", CO$222),"--")</f>
        <v>0</v>
      </c>
      <c r="CP258" s="2132">
        <f>IF(CP$221,_xll.ciqfunctions.udf.CIQ($G258, "IQ_SHARESOUTSTANDING", CP$222),"--")</f>
        <v>0</v>
      </c>
      <c r="CQ258" s="2132">
        <f>IF(CQ$221,_xll.ciqfunctions.udf.CIQ($G258, "IQ_SHARESOUTSTANDING", CQ$222),"--")</f>
        <v>0</v>
      </c>
      <c r="CR258" s="2132">
        <f>IF(CR$221,_xll.ciqfunctions.udf.CIQ($G258, "IQ_SHARESOUTSTANDING", CR$222),"--")</f>
        <v>0</v>
      </c>
      <c r="CS258" s="2132">
        <f>IF(CS$221,_xll.ciqfunctions.udf.CIQ($G258, "IQ_SHARESOUTSTANDING", CS$222),"--")</f>
        <v>0</v>
      </c>
      <c r="CT258" s="2132">
        <f>IF(CT$221,_xll.ciqfunctions.udf.CIQ($G258, "IQ_SHARESOUTSTANDING", CT$222),"--")</f>
        <v>0</v>
      </c>
      <c r="CU258" s="2132">
        <f>IF(CU$221,_xll.ciqfunctions.udf.CIQ($G258, "IQ_SHARESOUTSTANDING", CU$222),"--")</f>
        <v>0</v>
      </c>
      <c r="CV258" s="2132">
        <f>IF(CV$221,_xll.ciqfunctions.udf.CIQ($G258, "IQ_SHARESOUTSTANDING", CV$222),"--")</f>
        <v>0</v>
      </c>
      <c r="CW258" s="2132">
        <f>IF(CW$221,_xll.ciqfunctions.udf.CIQ($G258, "IQ_SHARESOUTSTANDING", CW$222),"--")</f>
        <v>0</v>
      </c>
      <c r="CX258" s="2132">
        <f>IF(CX$221,_xll.ciqfunctions.udf.CIQ($G258, "IQ_SHARESOUTSTANDING", CX$222),"--")</f>
        <v>0</v>
      </c>
      <c r="CY258" s="2132">
        <f>IF(CY$221,_xll.ciqfunctions.udf.CIQ($G258, "IQ_SHARESOUTSTANDING", CY$222),"--")</f>
        <v>0</v>
      </c>
      <c r="CZ258" s="2132">
        <f>IF(CZ$221,_xll.ciqfunctions.udf.CIQ($G258, "IQ_SHARESOUTSTANDING", CZ$222),"--")</f>
        <v>0</v>
      </c>
      <c r="DA258" s="2132">
        <f>IF(DA$221,_xll.ciqfunctions.udf.CIQ($G258, "IQ_SHARESOUTSTANDING", DA$222),"--")</f>
        <v>0</v>
      </c>
      <c r="DB258" s="2132">
        <f>IF(DB$221,_xll.ciqfunctions.udf.CIQ($G258, "IQ_SHARESOUTSTANDING", DB$222),"--")</f>
        <v>0</v>
      </c>
      <c r="DC258" s="2132">
        <f>IF(DC$221,_xll.ciqfunctions.udf.CIQ($G258, "IQ_SHARESOUTSTANDING", DC$222),"--")</f>
        <v>0</v>
      </c>
      <c r="DD258" s="2132">
        <f>IF(DD$221,_xll.ciqfunctions.udf.CIQ($G258, "IQ_SHARESOUTSTANDING", DD$222),"--")</f>
        <v>0</v>
      </c>
      <c r="DE258" s="2132">
        <f>IF(DE$221,_xll.ciqfunctions.udf.CIQ($G258, "IQ_SHARESOUTSTANDING", DE$222),"--")</f>
        <v>0</v>
      </c>
      <c r="DF258" s="2132">
        <f>IF(DF$221,_xll.ciqfunctions.udf.CIQ($G258, "IQ_SHARESOUTSTANDING", DF$222),"--")</f>
        <v>0</v>
      </c>
      <c r="DG258" s="2132">
        <f>IF(DG$221,_xll.ciqfunctions.udf.CIQ($G258, "IQ_SHARESOUTSTANDING", DG$222),"--")</f>
        <v>0</v>
      </c>
      <c r="DH258" s="2132">
        <f>IF(DH$221,_xll.ciqfunctions.udf.CIQ($G258, "IQ_SHARESOUTSTANDING", DH$222),"--")</f>
        <v>0</v>
      </c>
      <c r="DI258" s="2132">
        <f>IF(DI$221,_xll.ciqfunctions.udf.CIQ($G258, "IQ_SHARESOUTSTANDING", DI$222),"--")</f>
        <v>0</v>
      </c>
      <c r="DJ258" s="2132">
        <f>IF(DJ$221,_xll.ciqfunctions.udf.CIQ($G258, "IQ_SHARESOUTSTANDING", DJ$222),"--")</f>
        <v>0</v>
      </c>
      <c r="DK258" s="2132">
        <f>IF(DK$221,_xll.ciqfunctions.udf.CIQ($G258, "IQ_SHARESOUTSTANDING", DK$222),"--")</f>
        <v>0</v>
      </c>
      <c r="DL258" s="2132">
        <f>IF(DL$221,_xll.ciqfunctions.udf.CIQ($G258, "IQ_SHARESOUTSTANDING", DL$222),"--")</f>
        <v>0</v>
      </c>
      <c r="DM258" s="2132">
        <f>IF(DM$221,_xll.ciqfunctions.udf.CIQ($G258, "IQ_SHARESOUTSTANDING", DM$222),"--")</f>
        <v>0</v>
      </c>
      <c r="DN258" s="2132">
        <f>IF(DN$221,_xll.ciqfunctions.udf.CIQ($G258, "IQ_SHARESOUTSTANDING", DN$222),"--")</f>
        <v>0</v>
      </c>
      <c r="DO258" s="2132">
        <f>IF(DO$221,_xll.ciqfunctions.udf.CIQ($G258, "IQ_SHARESOUTSTANDING", DO$222),"--")</f>
        <v>0</v>
      </c>
      <c r="DP258" s="2132">
        <f>IF(DP$221,_xll.ciqfunctions.udf.CIQ($G258, "IQ_SHARESOUTSTANDING", DP$222),"--")</f>
        <v>0</v>
      </c>
      <c r="DQ258" s="2132">
        <f>IF(DQ$221,_xll.ciqfunctions.udf.CIQ($G258, "IQ_SHARESOUTSTANDING", DQ$222),"--")</f>
        <v>0</v>
      </c>
      <c r="DR258" s="2132">
        <f>IF(DR$221,_xll.ciqfunctions.udf.CIQ($G258, "IQ_SHARESOUTSTANDING", DR$222),"--")</f>
        <v>0</v>
      </c>
      <c r="DS258" s="2132">
        <f>IF(DS$221,_xll.ciqfunctions.udf.CIQ($G258, "IQ_SHARESOUTSTANDING", DS$222),"--")</f>
        <v>0</v>
      </c>
      <c r="DT258" s="2132">
        <f>IF(DT$221,_xll.ciqfunctions.udf.CIQ($G258, "IQ_SHARESOUTSTANDING", DT$222),"--")</f>
        <v>0</v>
      </c>
      <c r="DU258" s="2132">
        <f>IF(DU$221,_xll.ciqfunctions.udf.CIQ($G258, "IQ_SHARESOUTSTANDING", DU$222),"--")</f>
        <v>0</v>
      </c>
      <c r="DV258" s="2132">
        <f>IF(DV$221,_xll.ciqfunctions.udf.CIQ($G258, "IQ_SHARESOUTSTANDING", DV$222),"--")</f>
        <v>0</v>
      </c>
      <c r="DW258" s="2132">
        <f>IF(DW$221,_xll.ciqfunctions.udf.CIQ($G258, "IQ_SHARESOUTSTANDING", DW$222),"--")</f>
        <v>0</v>
      </c>
      <c r="DX258" s="2132">
        <f>IF(DX$221,_xll.ciqfunctions.udf.CIQ($G258, "IQ_SHARESOUTSTANDING", DX$222),"--")</f>
        <v>0</v>
      </c>
      <c r="DY258" s="2132">
        <f>IF(DY$221,_xll.ciqfunctions.udf.CIQ($G258, "IQ_SHARESOUTSTANDING", DY$222),"--")</f>
        <v>0</v>
      </c>
      <c r="DZ258" s="2132">
        <f>IF(DZ$221,_xll.ciqfunctions.udf.CIQ($G258, "IQ_SHARESOUTSTANDING", DZ$222),"--")</f>
        <v>0</v>
      </c>
      <c r="EA258" s="2132">
        <f>IF(EA$221,_xll.ciqfunctions.udf.CIQ($G258, "IQ_SHARESOUTSTANDING", EA$222),"--")</f>
        <v>0</v>
      </c>
      <c r="EB258" s="2132">
        <f>IF(EB$221,_xll.ciqfunctions.udf.CIQ($G258, "IQ_SHARESOUTSTANDING", EB$222),"--")</f>
        <v>0</v>
      </c>
      <c r="EC258" s="2132">
        <f>IF(EC$221,_xll.ciqfunctions.udf.CIQ($G258, "IQ_SHARESOUTSTANDING", EC$222),"--")</f>
        <v>0</v>
      </c>
      <c r="ED258" s="2132">
        <f>IF(ED$221,_xll.ciqfunctions.udf.CIQ($G258, "IQ_SHARESOUTSTANDING", ED$222),"--")</f>
        <v>0</v>
      </c>
      <c r="EE258" s="2132">
        <f>IF(EE$221,_xll.ciqfunctions.udf.CIQ($G258, "IQ_SHARESOUTSTANDING", EE$222),"--")</f>
        <v>0</v>
      </c>
      <c r="EF258" s="2132">
        <f>IF(EF$221,_xll.ciqfunctions.udf.CIQ($G258, "IQ_SHARESOUTSTANDING", EF$222),"--")</f>
        <v>0</v>
      </c>
      <c r="EG258" s="2132">
        <f>IF(EG$221,_xll.ciqfunctions.udf.CIQ($G258, "IQ_SHARESOUTSTANDING", EG$222),"--")</f>
        <v>0</v>
      </c>
      <c r="EH258" s="2132">
        <f>IF(EH$221,_xll.ciqfunctions.udf.CIQ($G258, "IQ_SHARESOUTSTANDING", EH$222),"--")</f>
        <v>0</v>
      </c>
      <c r="EI258" s="2132">
        <f>IF(EI$221,_xll.ciqfunctions.udf.CIQ($G258, "IQ_SHARESOUTSTANDING", EI$222),"--")</f>
        <v>0</v>
      </c>
      <c r="EJ258" s="2132">
        <f>IF(EJ$221,_xll.ciqfunctions.udf.CIQ($G258, "IQ_SHARESOUTSTANDING", EJ$222),"--")</f>
        <v>0</v>
      </c>
      <c r="EK258" s="2132">
        <f>IF(EK$221,_xll.ciqfunctions.udf.CIQ($G258, "IQ_SHARESOUTSTANDING", EK$222),"--")</f>
        <v>0</v>
      </c>
      <c r="EL258" s="2132">
        <f>IF(EL$221,_xll.ciqfunctions.udf.CIQ($G258, "IQ_SHARESOUTSTANDING", EL$222),"--")</f>
        <v>0</v>
      </c>
      <c r="EM258" s="2132">
        <f>IF(EM$221,_xll.ciqfunctions.udf.CIQ($G258, "IQ_SHARESOUTSTANDING", EM$222),"--")</f>
        <v>0</v>
      </c>
      <c r="EN258" s="2132">
        <f>IF(EN$221,_xll.ciqfunctions.udf.CIQ($G258, "IQ_SHARESOUTSTANDING", EN$222),"--")</f>
        <v>0</v>
      </c>
      <c r="EO258" s="2132">
        <f>IF(EO$221,_xll.ciqfunctions.udf.CIQ($G258, "IQ_SHARESOUTSTANDING", EO$222),"--")</f>
        <v>0</v>
      </c>
      <c r="EP258" s="2132">
        <f>IF(EP$221,_xll.ciqfunctions.udf.CIQ($G258, "IQ_SHARESOUTSTANDING", EP$222),"--")</f>
        <v>0</v>
      </c>
      <c r="EQ258" s="2132">
        <f>IF(EQ$221,_xll.ciqfunctions.udf.CIQ($G258, "IQ_SHARESOUTSTANDING", EQ$222),"--")</f>
        <v>0</v>
      </c>
      <c r="ER258" s="2132">
        <f>IF(ER$221,_xll.ciqfunctions.udf.CIQ($G258, "IQ_SHARESOUTSTANDING", ER$222),"--")</f>
        <v>0</v>
      </c>
      <c r="ES258" s="2132">
        <f>IF(ES$221,_xll.ciqfunctions.udf.CIQ($G258, "IQ_SHARESOUTSTANDING", ES$222),"--")</f>
        <v>0</v>
      </c>
      <c r="ET258" s="2132">
        <f>IF(ET$221,_xll.ciqfunctions.udf.CIQ($G258, "IQ_SHARESOUTSTANDING", ET$222),"--")</f>
        <v>0</v>
      </c>
      <c r="EU258" s="2132">
        <f>IF(EU$221,_xll.ciqfunctions.udf.CIQ($G258, "IQ_SHARESOUTSTANDING", EU$222),"--")</f>
        <v>0</v>
      </c>
      <c r="EV258" s="2132">
        <f>IF(EV$221,_xll.ciqfunctions.udf.CIQ($G258, "IQ_SHARESOUTSTANDING", EV$222),"--")</f>
        <v>0</v>
      </c>
      <c r="EW258" s="2132">
        <f>IF(EW$221,_xll.ciqfunctions.udf.CIQ($G258, "IQ_SHARESOUTSTANDING", EW$222),"--")</f>
        <v>0</v>
      </c>
      <c r="EX258" s="2132">
        <f>IF(EX$221,_xll.ciqfunctions.udf.CIQ($G258, "IQ_SHARESOUTSTANDING", EX$222),"--")</f>
        <v>0</v>
      </c>
      <c r="EY258" s="2132">
        <f>IF(EY$221,_xll.ciqfunctions.udf.CIQ($G258, "IQ_SHARESOUTSTANDING", EY$222),"--")</f>
        <v>0</v>
      </c>
      <c r="EZ258" s="2132">
        <f>IF(EZ$221,_xll.ciqfunctions.udf.CIQ($G258, "IQ_SHARESOUTSTANDING", EZ$222),"--")</f>
        <v>0</v>
      </c>
      <c r="FA258" s="2132">
        <f>IF(FA$221,_xll.ciqfunctions.udf.CIQ($G258, "IQ_SHARESOUTSTANDING", FA$222),"--")</f>
        <v>0</v>
      </c>
      <c r="FB258" s="2132">
        <f>IF(FB$221,_xll.ciqfunctions.udf.CIQ($G258, "IQ_SHARESOUTSTANDING", FB$222),"--")</f>
        <v>0</v>
      </c>
      <c r="FC258" s="2132">
        <f>IF(FC$221,_xll.ciqfunctions.udf.CIQ($G258, "IQ_SHARESOUTSTANDING", FC$222),"--")</f>
        <v>0</v>
      </c>
      <c r="FD258" s="2132">
        <f>IF(FD$221,_xll.ciqfunctions.udf.CIQ($G258, "IQ_SHARESOUTSTANDING", FD$222),"--")</f>
        <v>0</v>
      </c>
      <c r="FE258" s="2132">
        <f>IF(FE$221,_xll.ciqfunctions.udf.CIQ($G258, "IQ_SHARESOUTSTANDING", FE$222),"--")</f>
        <v>0</v>
      </c>
      <c r="FF258" s="2132">
        <f>IF(FF$221,_xll.ciqfunctions.udf.CIQ($G258, "IQ_SHARESOUTSTANDING", FF$222),"--")</f>
        <v>0</v>
      </c>
      <c r="FG258" s="2132">
        <f>IF(FG$221,_xll.ciqfunctions.udf.CIQ($G258, "IQ_SHARESOUTSTANDING", FG$222),"--")</f>
        <v>0</v>
      </c>
      <c r="FH258" s="2132">
        <f>IF(FH$221,_xll.ciqfunctions.udf.CIQ($G258, "IQ_SHARESOUTSTANDING", FH$222),"--")</f>
        <v>0</v>
      </c>
      <c r="FI258" s="2132">
        <f>IF(FI$221,_xll.ciqfunctions.udf.CIQ($G258, "IQ_SHARESOUTSTANDING", FI$222),"--")</f>
        <v>0</v>
      </c>
      <c r="FJ258" s="2132">
        <f>IF(FJ$221,_xll.ciqfunctions.udf.CIQ($G258, "IQ_SHARESOUTSTANDING", FJ$222),"--")</f>
        <v>0</v>
      </c>
      <c r="FK258" s="2132">
        <f>IF(FK$221,_xll.ciqfunctions.udf.CIQ($G258, "IQ_SHARESOUTSTANDING", FK$222),"--")</f>
        <v>0</v>
      </c>
      <c r="FL258" s="2132">
        <f>IF(FL$221,_xll.ciqfunctions.udf.CIQ($G258, "IQ_SHARESOUTSTANDING", FL$222),"--")</f>
        <v>0</v>
      </c>
      <c r="FM258" s="2132">
        <f>IF(FM$221,_xll.ciqfunctions.udf.CIQ($G258, "IQ_SHARESOUTSTANDING", FM$222),"--")</f>
        <v>0</v>
      </c>
      <c r="FN258" s="2132">
        <f>IF(FN$221,_xll.ciqfunctions.udf.CIQ($G258, "IQ_SHARESOUTSTANDING", FN$222),"--")</f>
        <v>0</v>
      </c>
      <c r="FO258" s="2132">
        <f>IF(FO$221,_xll.ciqfunctions.udf.CIQ($G258, "IQ_SHARESOUTSTANDING", FO$222),"--")</f>
        <v>0</v>
      </c>
      <c r="FP258" s="2132">
        <f>IF(FP$221,_xll.ciqfunctions.udf.CIQ($G258, "IQ_SHARESOUTSTANDING", FP$222),"--")</f>
        <v>0</v>
      </c>
      <c r="FQ258" s="2132">
        <f>IF(FQ$221,_xll.ciqfunctions.udf.CIQ($G258, "IQ_SHARESOUTSTANDING", FQ$222),"--")</f>
        <v>0</v>
      </c>
      <c r="FR258" s="2132">
        <f>IF(FR$221,_xll.ciqfunctions.udf.CIQ($G258, "IQ_SHARESOUTSTANDING", FR$222),"--")</f>
        <v>0</v>
      </c>
      <c r="FS258" s="2132">
        <f>IF(FS$221,_xll.ciqfunctions.udf.CIQ($G258, "IQ_SHARESOUTSTANDING", FS$222),"--")</f>
        <v>0</v>
      </c>
      <c r="FT258" s="2132">
        <f>IF(FT$221,_xll.ciqfunctions.udf.CIQ($G258, "IQ_SHARESOUTSTANDING", FT$222),"--")</f>
        <v>0</v>
      </c>
      <c r="FU258" s="2132">
        <f>IF(FU$221,_xll.ciqfunctions.udf.CIQ($G258, "IQ_SHARESOUTSTANDING", FU$222),"--")</f>
        <v>0</v>
      </c>
      <c r="FV258" s="2132">
        <f>IF(FV$221,_xll.ciqfunctions.udf.CIQ($G258, "IQ_SHARESOUTSTANDING", FV$222),"--")</f>
        <v>0</v>
      </c>
      <c r="FW258" s="2132">
        <f>IF(FW$221,_xll.ciqfunctions.udf.CIQ($G258, "IQ_SHARESOUTSTANDING", FW$222),"--")</f>
        <v>0</v>
      </c>
      <c r="FX258" s="2132">
        <f>IF(FX$221,_xll.ciqfunctions.udf.CIQ($G258, "IQ_SHARESOUTSTANDING", FX$222),"--")</f>
        <v>0</v>
      </c>
      <c r="FY258" s="2132">
        <f>IF(FY$221,_xll.ciqfunctions.udf.CIQ($G258, "IQ_SHARESOUTSTANDING", FY$222),"--")</f>
        <v>0</v>
      </c>
      <c r="FZ258" s="2132">
        <f>IF(FZ$221,_xll.ciqfunctions.udf.CIQ($G258, "IQ_SHARESOUTSTANDING", FZ$222),"--")</f>
        <v>0</v>
      </c>
      <c r="GA258" s="2132">
        <f>IF(GA$221,_xll.ciqfunctions.udf.CIQ($G258, "IQ_SHARESOUTSTANDING", GA$222),"--")</f>
        <v>0</v>
      </c>
      <c r="GB258" s="2132">
        <f>IF(GB$221,_xll.ciqfunctions.udf.CIQ($G258, "IQ_SHARESOUTSTANDING", GB$222),"--")</f>
        <v>0</v>
      </c>
      <c r="GC258" s="2132">
        <f>IF(GC$221,_xll.ciqfunctions.udf.CIQ($G258, "IQ_SHARESOUTSTANDING", GC$222),"--")</f>
        <v>0</v>
      </c>
      <c r="GD258" s="2132">
        <f>IF(GD$221,_xll.ciqfunctions.udf.CIQ($G258, "IQ_SHARESOUTSTANDING", GD$222),"--")</f>
        <v>0</v>
      </c>
      <c r="GE258" s="2132">
        <f>IF(GE$221,_xll.ciqfunctions.udf.CIQ($G258, "IQ_SHARESOUTSTANDING", GE$222),"--")</f>
        <v>0</v>
      </c>
      <c r="GF258" s="2132">
        <f>IF(GF$221,_xll.ciqfunctions.udf.CIQ($G258, "IQ_SHARESOUTSTANDING", GF$222),"--")</f>
        <v>0</v>
      </c>
      <c r="GG258" s="2132">
        <f>IF(GG$221,_xll.ciqfunctions.udf.CIQ($G258, "IQ_SHARESOUTSTANDING", GG$222),"--")</f>
        <v>0</v>
      </c>
      <c r="GH258" s="2132">
        <f>IF(GH$221,_xll.ciqfunctions.udf.CIQ($G258, "IQ_SHARESOUTSTANDING", GH$222),"--")</f>
        <v>0</v>
      </c>
      <c r="GI258" s="2132">
        <f>IF(GI$221,_xll.ciqfunctions.udf.CIQ($G258, "IQ_SHARESOUTSTANDING", GI$222),"--")</f>
        <v>0</v>
      </c>
      <c r="GJ258" s="2132">
        <f>IF(GJ$221,_xll.ciqfunctions.udf.CIQ($G258, "IQ_SHARESOUTSTANDING", GJ$222),"--")</f>
        <v>0</v>
      </c>
      <c r="GK258" s="2132">
        <f>IF(GK$221,_xll.ciqfunctions.udf.CIQ($G258, "IQ_SHARESOUTSTANDING", GK$222),"--")</f>
        <v>0</v>
      </c>
      <c r="GL258" s="2132">
        <f>IF(GL$221,_xll.ciqfunctions.udf.CIQ($G258, "IQ_SHARESOUTSTANDING", GL$222),"--")</f>
        <v>0</v>
      </c>
      <c r="GM258" s="2132">
        <f>IF(GM$221,_xll.ciqfunctions.udf.CIQ($G258, "IQ_SHARESOUTSTANDING", GM$222),"--")</f>
        <v>0</v>
      </c>
      <c r="GN258" s="2132">
        <f>IF(GN$221,_xll.ciqfunctions.udf.CIQ($G258, "IQ_SHARESOUTSTANDING", GN$222),"--")</f>
        <v>0</v>
      </c>
      <c r="GO258" s="2132">
        <f>IF(GO$221,_xll.ciqfunctions.udf.CIQ($G258, "IQ_SHARESOUTSTANDING", GO$222),"--")</f>
        <v>0</v>
      </c>
      <c r="GP258" s="2132">
        <f>IF(GP$221,_xll.ciqfunctions.udf.CIQ($G258, "IQ_SHARESOUTSTANDING", GP$222),"--")</f>
        <v>0</v>
      </c>
      <c r="GQ258" s="2132">
        <f>IF(GQ$221,_xll.ciqfunctions.udf.CIQ($G258, "IQ_SHARESOUTSTANDING", GQ$222),"--")</f>
        <v>0</v>
      </c>
      <c r="GR258" s="2132">
        <f>IF(GR$221,_xll.ciqfunctions.udf.CIQ($G258, "IQ_SHARESOUTSTANDING", GR$222),"--")</f>
        <v>0</v>
      </c>
      <c r="GS258" s="2132">
        <f>IF(GS$221,_xll.ciqfunctions.udf.CIQ($G258, "IQ_SHARESOUTSTANDING", GS$222),"--")</f>
        <v>0</v>
      </c>
      <c r="GT258" s="2132">
        <f>IF(GT$221,_xll.ciqfunctions.udf.CIQ($G258, "IQ_SHARESOUTSTANDING", GT$222),"--")</f>
        <v>0</v>
      </c>
      <c r="GU258" s="2132">
        <f>IF(GU$221,_xll.ciqfunctions.udf.CIQ($G258, "IQ_SHARESOUTSTANDING", GU$222),"--")</f>
        <v>0</v>
      </c>
      <c r="GV258" s="2132">
        <f>IF(GV$221,_xll.ciqfunctions.udf.CIQ($G258, "IQ_SHARESOUTSTANDING", GV$222),"--")</f>
        <v>0</v>
      </c>
      <c r="GW258" s="2132">
        <f>IF(GW$221,_xll.ciqfunctions.udf.CIQ($G258, "IQ_SHARESOUTSTANDING", GW$222),"--")</f>
        <v>0</v>
      </c>
      <c r="GX258" s="2132">
        <f>IF(GX$221,_xll.ciqfunctions.udf.CIQ($G258, "IQ_SHARESOUTSTANDING", GX$222),"--")</f>
        <v>0</v>
      </c>
      <c r="GY258" s="2132">
        <f>IF(GY$221,_xll.ciqfunctions.udf.CIQ($G258, "IQ_SHARESOUTSTANDING", GY$222),"--")</f>
        <v>0</v>
      </c>
      <c r="GZ258" s="2132">
        <f>IF(GZ$221,_xll.ciqfunctions.udf.CIQ($G258, "IQ_SHARESOUTSTANDING", GZ$222),"--")</f>
        <v>0</v>
      </c>
      <c r="HA258" s="2132">
        <f>IF(HA$221,_xll.ciqfunctions.udf.CIQ($G258, "IQ_SHARESOUTSTANDING", HA$222),"--")</f>
        <v>0</v>
      </c>
      <c r="HB258" s="2132">
        <f>IF(HB$221,_xll.ciqfunctions.udf.CIQ($G258, "IQ_SHARESOUTSTANDING", HB$222),"--")</f>
        <v>0</v>
      </c>
      <c r="HC258" s="2132">
        <f>IF(HC$221,_xll.ciqfunctions.udf.CIQ($G258, "IQ_SHARESOUTSTANDING", HC$222),"--")</f>
        <v>0</v>
      </c>
      <c r="HD258" s="2132">
        <f>IF(HD$221,_xll.ciqfunctions.udf.CIQ($G258, "IQ_SHARESOUTSTANDING", HD$222),"--")</f>
        <v>0</v>
      </c>
      <c r="HE258" s="2132">
        <f>IF(HE$221,_xll.ciqfunctions.udf.CIQ($G258, "IQ_SHARESOUTSTANDING", HE$222),"--")</f>
        <v>0</v>
      </c>
      <c r="HF258" s="2132">
        <f>IF(HF$221,_xll.ciqfunctions.udf.CIQ($G258, "IQ_SHARESOUTSTANDING", HF$222),"--")</f>
        <v>0</v>
      </c>
      <c r="HG258" s="2132">
        <f>IF(HG$221,_xll.ciqfunctions.udf.CIQ($G258, "IQ_SHARESOUTSTANDING", HG$222),"--")</f>
        <v>0</v>
      </c>
      <c r="HH258" s="2132">
        <f>IF(HH$221,_xll.ciqfunctions.udf.CIQ($G258, "IQ_SHARESOUTSTANDING", HH$222),"--")</f>
        <v>0</v>
      </c>
      <c r="HI258" s="2132">
        <f>IF(HI$221,_xll.ciqfunctions.udf.CIQ($G258, "IQ_SHARESOUTSTANDING", HI$222),"--")</f>
        <v>0</v>
      </c>
      <c r="HJ258" s="2132">
        <f>IF(HJ$221,_xll.ciqfunctions.udf.CIQ($G258, "IQ_SHARESOUTSTANDING", HJ$222),"--")</f>
        <v>0</v>
      </c>
      <c r="HK258" s="2132">
        <f>IF(HK$221,_xll.ciqfunctions.udf.CIQ($G258, "IQ_SHARESOUTSTANDING", HK$222),"--")</f>
        <v>0</v>
      </c>
      <c r="HL258" s="2132">
        <f>IF(HL$221,_xll.ciqfunctions.udf.CIQ($G258, "IQ_SHARESOUTSTANDING", HL$222),"--")</f>
        <v>0</v>
      </c>
      <c r="HM258" s="2132">
        <f>IF(HM$221,_xll.ciqfunctions.udf.CIQ($G258, "IQ_SHARESOUTSTANDING", HM$222),"--")</f>
        <v>0</v>
      </c>
      <c r="HN258" s="2132">
        <f>IF(HN$221,_xll.ciqfunctions.udf.CIQ($G258, "IQ_SHARESOUTSTANDING", HN$222),"--")</f>
        <v>0</v>
      </c>
      <c r="HO258" s="2132">
        <f>IF(HO$221,_xll.ciqfunctions.udf.CIQ($G258, "IQ_SHARESOUTSTANDING", HO$222),"--")</f>
        <v>0</v>
      </c>
      <c r="HP258" s="2132">
        <f>IF(HP$221,_xll.ciqfunctions.udf.CIQ($G258, "IQ_SHARESOUTSTANDING", HP$222),"--")</f>
        <v>0</v>
      </c>
      <c r="HQ258" s="2132">
        <f>IF(HQ$221,_xll.ciqfunctions.udf.CIQ($G258, "IQ_SHARESOUTSTANDING", HQ$222),"--")</f>
        <v>0</v>
      </c>
      <c r="HR258" s="2132">
        <f>IF(HR$221,_xll.ciqfunctions.udf.CIQ($G258, "IQ_SHARESOUTSTANDING", HR$222),"--")</f>
        <v>0</v>
      </c>
      <c r="HS258" s="2132">
        <f>IF(HS$221,_xll.ciqfunctions.udf.CIQ($G258, "IQ_SHARESOUTSTANDING", HS$222),"--")</f>
        <v>0</v>
      </c>
      <c r="HT258" s="2132">
        <f>IF(HT$221,_xll.ciqfunctions.udf.CIQ($G258, "IQ_SHARESOUTSTANDING", HT$222),"--")</f>
        <v>0</v>
      </c>
      <c r="HU258" s="2132">
        <f>IF(HU$221,_xll.ciqfunctions.udf.CIQ($G258, "IQ_SHARESOUTSTANDING", HU$222),"--")</f>
        <v>0</v>
      </c>
      <c r="HV258" s="2132">
        <f>IF(HV$221,_xll.ciqfunctions.udf.CIQ($G258, "IQ_SHARESOUTSTANDING", HV$222),"--")</f>
        <v>0</v>
      </c>
      <c r="HW258" s="2132">
        <f>IF(HW$221,_xll.ciqfunctions.udf.CIQ($G258, "IQ_SHARESOUTSTANDING", HW$222),"--")</f>
        <v>0</v>
      </c>
      <c r="HX258" s="2132">
        <f>IF(HX$221,_xll.ciqfunctions.udf.CIQ($G258, "IQ_SHARESOUTSTANDING", HX$222),"--")</f>
        <v>0</v>
      </c>
      <c r="HY258" s="2132">
        <f>IF(HY$221,_xll.ciqfunctions.udf.CIQ($G258, "IQ_SHARESOUTSTANDING", HY$222),"--")</f>
        <v>0</v>
      </c>
      <c r="HZ258" s="2132">
        <f>IF(HZ$221,_xll.ciqfunctions.udf.CIQ($G258, "IQ_SHARESOUTSTANDING", HZ$222),"--")</f>
        <v>0</v>
      </c>
      <c r="IA258" s="2132">
        <f>IF(IA$221,_xll.ciqfunctions.udf.CIQ($G258, "IQ_SHARESOUTSTANDING", IA$222),"--")</f>
        <v>0</v>
      </c>
      <c r="IB258" s="2132">
        <f>IF(IB$221,_xll.ciqfunctions.udf.CIQ($G258, "IQ_SHARESOUTSTANDING", IB$222),"--")</f>
        <v>0</v>
      </c>
      <c r="IC258" s="2132">
        <f>IF(IC$221,_xll.ciqfunctions.udf.CIQ($G258, "IQ_SHARESOUTSTANDING", IC$222),"--")</f>
        <v>0</v>
      </c>
      <c r="ID258" s="2132">
        <f>IF(ID$221,_xll.ciqfunctions.udf.CIQ($G258, "IQ_SHARESOUTSTANDING", ID$222),"--")</f>
        <v>0</v>
      </c>
      <c r="IE258" s="2132">
        <f>IF(IE$221,_xll.ciqfunctions.udf.CIQ($G258, "IQ_SHARESOUTSTANDING", IE$222),"--")</f>
        <v>0</v>
      </c>
      <c r="IF258" s="2132">
        <f>IF(IF$221,_xll.ciqfunctions.udf.CIQ($G258, "IQ_SHARESOUTSTANDING", IF$222),"--")</f>
        <v>0</v>
      </c>
      <c r="IG258" s="2132">
        <f>IF(IG$221,_xll.ciqfunctions.udf.CIQ($G258, "IQ_SHARESOUTSTANDING", IG$222),"--")</f>
        <v>0</v>
      </c>
      <c r="IH258" s="2132">
        <f>IF(IH$221,_xll.ciqfunctions.udf.CIQ($G258, "IQ_SHARESOUTSTANDING", IH$222),"--")</f>
        <v>0</v>
      </c>
      <c r="II258" s="2132">
        <f>IF(II$221,_xll.ciqfunctions.udf.CIQ($G258, "IQ_SHARESOUTSTANDING", II$222),"--")</f>
        <v>0</v>
      </c>
      <c r="IJ258" s="2132">
        <f>IF(IJ$221,_xll.ciqfunctions.udf.CIQ($G258, "IQ_SHARESOUTSTANDING", IJ$222),"--")</f>
        <v>0</v>
      </c>
      <c r="IK258" s="2132">
        <f>IF(IK$221,_xll.ciqfunctions.udf.CIQ($G258, "IQ_SHARESOUTSTANDING", IK$222),"--")</f>
        <v>0</v>
      </c>
      <c r="IL258" s="2132">
        <f>IF(IL$221,_xll.ciqfunctions.udf.CIQ($G258, "IQ_SHARESOUTSTANDING", IL$222),"--")</f>
        <v>0</v>
      </c>
      <c r="IM258" s="2132">
        <f>IF(IM$221,_xll.ciqfunctions.udf.CIQ($G258, "IQ_SHARESOUTSTANDING", IM$222),"--")</f>
        <v>0</v>
      </c>
      <c r="IN258" s="2132">
        <f>IF(IN$221,_xll.ciqfunctions.udf.CIQ($G258, "IQ_SHARESOUTSTANDING", IN$222),"--")</f>
        <v>0</v>
      </c>
      <c r="IO258" s="2132">
        <f>IF(IO$221,_xll.ciqfunctions.udf.CIQ($G258, "IQ_SHARESOUTSTANDING", IO$222),"--")</f>
        <v>0</v>
      </c>
      <c r="IP258" s="2132">
        <f>IF(IP$221,_xll.ciqfunctions.udf.CIQ($G258, "IQ_SHARESOUTSTANDING", IP$222),"--")</f>
        <v>0</v>
      </c>
      <c r="IQ258" s="2132">
        <f>IF(IQ$221,_xll.ciqfunctions.udf.CIQ($G258, "IQ_SHARESOUTSTANDING", IQ$222),"--")</f>
        <v>0</v>
      </c>
      <c r="IR258" s="2132">
        <f>IF(IR$221,_xll.ciqfunctions.udf.CIQ($G258, "IQ_SHARESOUTSTANDING", IR$222),"--")</f>
        <v>0</v>
      </c>
      <c r="IS258" s="2132">
        <f>IF(IS$221,_xll.ciqfunctions.udf.CIQ($G258, "IQ_SHARESOUTSTANDING", IS$222),"--")</f>
        <v>0</v>
      </c>
      <c r="IT258" s="2132">
        <f>IF(IT$221,_xll.ciqfunctions.udf.CIQ($G258, "IQ_SHARESOUTSTANDING", IT$222),"--")</f>
        <v>0</v>
      </c>
      <c r="IU258" s="2132">
        <f>IF(IU$221,_xll.ciqfunctions.udf.CIQ($G258, "IQ_SHARESOUTSTANDING", IU$222),"--")</f>
        <v>0</v>
      </c>
      <c r="IV258" s="2132">
        <f>IF(IV$221,_xll.ciqfunctions.udf.CIQ($G258, "IQ_SHARESOUTSTANDING", IV$222),"--")</f>
        <v>0</v>
      </c>
      <c r="IW258" s="2132">
        <f>IF(IW$221,_xll.ciqfunctions.udf.CIQ($G258, "IQ_SHARESOUTSTANDING", IW$222),"--")</f>
        <v>0</v>
      </c>
      <c r="IX258" s="2132">
        <f>IF(IX$221,_xll.ciqfunctions.udf.CIQ($G258, "IQ_SHARESOUTSTANDING", IX$222),"--")</f>
        <v>0</v>
      </c>
      <c r="IY258" s="2132">
        <f>IF(IY$221,_xll.ciqfunctions.udf.CIQ($G258, "IQ_SHARESOUTSTANDING", IY$222),"--")</f>
        <v>0</v>
      </c>
      <c r="IZ258" s="2132">
        <f>IF(IZ$221,_xll.ciqfunctions.udf.CIQ($G258, "IQ_SHARESOUTSTANDING", IZ$222),"--")</f>
        <v>0</v>
      </c>
      <c r="JA258" s="2132">
        <f>IF(JA$221,_xll.ciqfunctions.udf.CIQ($G258, "IQ_SHARESOUTSTANDING", JA$222),"--")</f>
        <v>0</v>
      </c>
      <c r="JB258" s="2132">
        <f>IF(JB$221,_xll.ciqfunctions.udf.CIQ($G258, "IQ_SHARESOUTSTANDING", JB$222),"--")</f>
        <v>0</v>
      </c>
      <c r="JC258" s="2132">
        <f>IF(JC$221,_xll.ciqfunctions.udf.CIQ($G258, "IQ_SHARESOUTSTANDING", JC$222),"--")</f>
        <v>0</v>
      </c>
      <c r="JD258" s="2132">
        <f>IF(JD$221,_xll.ciqfunctions.udf.CIQ($G258, "IQ_SHARESOUTSTANDING", JD$222),"--")</f>
        <v>0</v>
      </c>
      <c r="JE258" s="2132">
        <f>IF(JE$221,_xll.ciqfunctions.udf.CIQ($G258, "IQ_SHARESOUTSTANDING", JE$222),"--")</f>
        <v>0</v>
      </c>
      <c r="JF258" s="2132">
        <f>IF(JF$221,_xll.ciqfunctions.udf.CIQ($G258, "IQ_SHARESOUTSTANDING", JF$222),"--")</f>
        <v>0</v>
      </c>
      <c r="JG258" s="2132">
        <f>IF(JG$221,_xll.ciqfunctions.udf.CIQ($G258, "IQ_SHARESOUTSTANDING", JG$222),"--")</f>
        <v>0</v>
      </c>
      <c r="JH258" s="2132">
        <f>IF(JH$221,_xll.ciqfunctions.udf.CIQ($G258, "IQ_SHARESOUTSTANDING", JH$222),"--")</f>
        <v>0</v>
      </c>
      <c r="JI258" s="2132">
        <f>IF(JI$221,_xll.ciqfunctions.udf.CIQ($G258, "IQ_SHARESOUTSTANDING", JI$222),"--")</f>
        <v>0</v>
      </c>
      <c r="JJ258" s="2132">
        <f>IF(JJ$221,_xll.ciqfunctions.udf.CIQ($G258, "IQ_SHARESOUTSTANDING", JJ$222),"--")</f>
        <v>0</v>
      </c>
      <c r="JK258" s="2132">
        <f>IF(JK$221,_xll.ciqfunctions.udf.CIQ($G258, "IQ_SHARESOUTSTANDING", JK$222),"--")</f>
        <v>0</v>
      </c>
      <c r="JL258" s="2132">
        <f>IF(JL$221,_xll.ciqfunctions.udf.CIQ($G258, "IQ_SHARESOUTSTANDING", JL$222),"--")</f>
        <v>0</v>
      </c>
      <c r="JM258" s="2132">
        <f>IF(JM$221,_xll.ciqfunctions.udf.CIQ($G258, "IQ_SHARESOUTSTANDING", JM$222),"--")</f>
        <v>0</v>
      </c>
      <c r="JN258" s="2132">
        <f>IF(JN$221,_xll.ciqfunctions.udf.CIQ($G258, "IQ_SHARESOUTSTANDING", JN$222),"--")</f>
        <v>0</v>
      </c>
      <c r="JO258" s="2132">
        <f>IF(JO$221,_xll.ciqfunctions.udf.CIQ($G258, "IQ_SHARESOUTSTANDING", JO$222),"--")</f>
        <v>0</v>
      </c>
      <c r="JP258" s="2132">
        <f>IF(JP$221,_xll.ciqfunctions.udf.CIQ($G258, "IQ_SHARESOUTSTANDING", JP$222),"--")</f>
        <v>0</v>
      </c>
      <c r="JQ258" s="2132">
        <f>IF(JQ$221,_xll.ciqfunctions.udf.CIQ($G258, "IQ_SHARESOUTSTANDING", JQ$222),"--")</f>
        <v>0</v>
      </c>
      <c r="JR258" s="2132">
        <f>IF(JR$221,_xll.ciqfunctions.udf.CIQ($G258, "IQ_SHARESOUTSTANDING", JR$222),"--")</f>
        <v>0</v>
      </c>
      <c r="JS258" s="2132">
        <f>IF(JS$221,_xll.ciqfunctions.udf.CIQ($G258, "IQ_SHARESOUTSTANDING", JS$222),"--")</f>
        <v>0</v>
      </c>
      <c r="JT258" s="2132">
        <f>IF(JT$221,_xll.ciqfunctions.udf.CIQ($G258, "IQ_SHARESOUTSTANDING", JT$222),"--")</f>
        <v>0</v>
      </c>
      <c r="JU258" s="2132">
        <f>IF(JU$221,_xll.ciqfunctions.udf.CIQ($G258, "IQ_SHARESOUTSTANDING", JU$222),"--")</f>
        <v>0</v>
      </c>
      <c r="JV258" s="2132">
        <f>IF(JV$221,_xll.ciqfunctions.udf.CIQ($G258, "IQ_SHARESOUTSTANDING", JV$222),"--")</f>
        <v>0</v>
      </c>
      <c r="JW258" s="2132" t="str">
        <f>IF(JW$221,_xll.ciqfunctions.udf.CIQ($G258, "IQ_SHARESOUTSTANDING", JW$222),"--")</f>
        <v>--</v>
      </c>
      <c r="JX258" s="2132" t="str">
        <f>IF(JX$221,_xll.ciqfunctions.udf.CIQ($G258, "IQ_SHARESOUTSTANDING", JX$222),"--")</f>
        <v>--</v>
      </c>
      <c r="JY258" s="2132" t="str">
        <f>IF(JY$221,_xll.ciqfunctions.udf.CIQ($G258, "IQ_SHARESOUTSTANDING", JY$222),"--")</f>
        <v>--</v>
      </c>
      <c r="JZ258" s="2132" t="str">
        <f>IF(JZ$221,_xll.ciqfunctions.udf.CIQ($G258, "IQ_SHARESOUTSTANDING", JZ$222),"--")</f>
        <v>--</v>
      </c>
      <c r="KA258" s="2132" t="str">
        <f>IF(KA$221,_xll.ciqfunctions.udf.CIQ($G258, "IQ_SHARESOUTSTANDING", KA$222),"--")</f>
        <v>--</v>
      </c>
      <c r="KB258" s="2132" t="str">
        <f>IF(KB$221,_xll.ciqfunctions.udf.CIQ($G258, "IQ_SHARESOUTSTANDING", KB$222),"--")</f>
        <v>--</v>
      </c>
    </row>
    <row r="259" spans="1:288" s="89" customFormat="1" ht="13.9">
      <c r="A259" s="269" t="str">
        <f t="shared" si="49"/>
        <v>n</v>
      </c>
      <c r="B259" s="2060"/>
      <c r="D259" s="801"/>
      <c r="E259" s="1505">
        <v>5</v>
      </c>
      <c r="F259" s="21" t="str">
        <f>F$133</f>
        <v>--</v>
      </c>
      <c r="G259" s="1441">
        <f>G$133</f>
        <v>0</v>
      </c>
      <c r="H259" s="1441" t="str">
        <f>H$133</f>
        <v>--</v>
      </c>
      <c r="I259" s="314" t="s">
        <v>783</v>
      </c>
      <c r="J259" s="314"/>
      <c r="K259" s="2301" t="str">
        <f>IF(OR(K196=0,$G259=0),"--",IFERROR(_xll.ciqfunctions.udf.CIQ($G259,$I259,K104,Valuation_Date_GC,ReportType,DataMode,$H259,FXMode)*Scale+K228*Pension10,"--"))</f>
        <v>--</v>
      </c>
      <c r="L259" s="2301" t="str">
        <f>IF(OR(L196=0,$G259=0),"--",IFERROR(_xll.ciqfunctions.udf.CIQ($G259,$I259,L104,Valuation_Date_GC,ReportType,DataMode,$H259,FXMode)*Scale+L228*Pension10,"--"))</f>
        <v>--</v>
      </c>
      <c r="M259" s="2301" t="str">
        <f>IF(OR(M196=0,$G259=0),"--",IFERROR(_xll.ciqfunctions.udf.CIQ($G259,$I259,M104,Valuation_Date_GC,ReportType,DataMode,$H259,FXMode)*Scale+M228*Pension10,"--"))</f>
        <v>--</v>
      </c>
      <c r="N259" s="2301" t="str">
        <f>IF(OR(N196=0,$G259=0),"--",IFERROR(_xll.ciqfunctions.udf.CIQ($G259,$I259,N104,Valuation_Date_GC,ReportType,DataMode,$H259,FXMode)*Scale+N228*Pension10,"--"))</f>
        <v>--</v>
      </c>
      <c r="O259" s="1471" t="str">
        <f>IF(OR(O196=0,$G259=0),"--",IFERROR(_xll.ciqfunctions.udf.CIQ($G259,$I259,O104,Valuation_Date_GC,ReportType,DataMode,$H259,FXMode)*Scale+O228*Pension10,"--"))</f>
        <v>--</v>
      </c>
      <c r="P259" s="2301" t="str">
        <f>IF(OR(P196=0,$G259=0),"--",IFERROR(_xll.ciqfunctions.udf.CIQ($G259,$I259,P104,Valuation_Date_GC,ReportType,DataMode,$H259,FXMode)*Scale+P228*Pension10,"--"))</f>
        <v>--</v>
      </c>
      <c r="R259" s="255"/>
      <c r="T259" s="1779" t="s">
        <v>784</v>
      </c>
      <c r="U259" s="2132">
        <f>IF(U$221,_xll.ciqfunctions.udf.CIQ($G259, "IQ_SHARESOUTSTANDING", U$222),"--")</f>
        <v>0</v>
      </c>
      <c r="V259" s="2132">
        <f>IF(V$221,_xll.ciqfunctions.udf.CIQ($G259, "IQ_SHARESOUTSTANDING", V$222),"--")</f>
        <v>0</v>
      </c>
      <c r="W259" s="2132">
        <f>IF(W$221,_xll.ciqfunctions.udf.CIQ($G259, "IQ_SHARESOUTSTANDING", W$222),"--")</f>
        <v>0</v>
      </c>
      <c r="X259" s="2132">
        <f>IF(X$221,_xll.ciqfunctions.udf.CIQ($G259, "IQ_SHARESOUTSTANDING", X$222),"--")</f>
        <v>0</v>
      </c>
      <c r="Y259" s="2132">
        <f>IF(Y$221,_xll.ciqfunctions.udf.CIQ($G259, "IQ_SHARESOUTSTANDING", Y$222),"--")</f>
        <v>0</v>
      </c>
      <c r="Z259" s="2132">
        <f>IF(Z$221,_xll.ciqfunctions.udf.CIQ($G259, "IQ_SHARESOUTSTANDING", Z$222),"--")</f>
        <v>0</v>
      </c>
      <c r="AA259" s="2132">
        <f>IF(AA$221,_xll.ciqfunctions.udf.CIQ($G259, "IQ_SHARESOUTSTANDING", AA$222),"--")</f>
        <v>0</v>
      </c>
      <c r="AB259" s="2132">
        <f>IF(AB$221,_xll.ciqfunctions.udf.CIQ($G259, "IQ_SHARESOUTSTANDING", AB$222),"--")</f>
        <v>0</v>
      </c>
      <c r="AC259" s="2132">
        <f>IF(AC$221,_xll.ciqfunctions.udf.CIQ($G259, "IQ_SHARESOUTSTANDING", AC$222),"--")</f>
        <v>0</v>
      </c>
      <c r="AD259" s="2132">
        <f>IF(AD$221,_xll.ciqfunctions.udf.CIQ($G259, "IQ_SHARESOUTSTANDING", AD$222),"--")</f>
        <v>0</v>
      </c>
      <c r="AE259" s="2132">
        <f>IF(AE$221,_xll.ciqfunctions.udf.CIQ($G259, "IQ_SHARESOUTSTANDING", AE$222),"--")</f>
        <v>0</v>
      </c>
      <c r="AF259" s="2132">
        <f>IF(AF$221,_xll.ciqfunctions.udf.CIQ($G259, "IQ_SHARESOUTSTANDING", AF$222),"--")</f>
        <v>0</v>
      </c>
      <c r="AG259" s="2132">
        <f>IF(AG$221,_xll.ciqfunctions.udf.CIQ($G259, "IQ_SHARESOUTSTANDING", AG$222),"--")</f>
        <v>0</v>
      </c>
      <c r="AH259" s="2132">
        <f>IF(AH$221,_xll.ciqfunctions.udf.CIQ($G259, "IQ_SHARESOUTSTANDING", AH$222),"--")</f>
        <v>0</v>
      </c>
      <c r="AI259" s="2132">
        <f>IF(AI$221,_xll.ciqfunctions.udf.CIQ($G259, "IQ_SHARESOUTSTANDING", AI$222),"--")</f>
        <v>0</v>
      </c>
      <c r="AJ259" s="2132">
        <f>IF(AJ$221,_xll.ciqfunctions.udf.CIQ($G259, "IQ_SHARESOUTSTANDING", AJ$222),"--")</f>
        <v>0</v>
      </c>
      <c r="AK259" s="2132">
        <f>IF(AK$221,_xll.ciqfunctions.udf.CIQ($G259, "IQ_SHARESOUTSTANDING", AK$222),"--")</f>
        <v>0</v>
      </c>
      <c r="AL259" s="2132">
        <f>IF(AL$221,_xll.ciqfunctions.udf.CIQ($G259, "IQ_SHARESOUTSTANDING", AL$222),"--")</f>
        <v>0</v>
      </c>
      <c r="AM259" s="2132">
        <f>IF(AM$221,_xll.ciqfunctions.udf.CIQ($G259, "IQ_SHARESOUTSTANDING", AM$222),"--")</f>
        <v>0</v>
      </c>
      <c r="AN259" s="2132">
        <f>IF(AN$221,_xll.ciqfunctions.udf.CIQ($G259, "IQ_SHARESOUTSTANDING", AN$222),"--")</f>
        <v>0</v>
      </c>
      <c r="AO259" s="2132">
        <f>IF(AO$221,_xll.ciqfunctions.udf.CIQ($G259, "IQ_SHARESOUTSTANDING", AO$222),"--")</f>
        <v>0</v>
      </c>
      <c r="AP259" s="2132">
        <f>IF(AP$221,_xll.ciqfunctions.udf.CIQ($G259, "IQ_SHARESOUTSTANDING", AP$222),"--")</f>
        <v>0</v>
      </c>
      <c r="AQ259" s="2132">
        <f>IF(AQ$221,_xll.ciqfunctions.udf.CIQ($G259, "IQ_SHARESOUTSTANDING", AQ$222),"--")</f>
        <v>0</v>
      </c>
      <c r="AR259" s="2132">
        <f>IF(AR$221,_xll.ciqfunctions.udf.CIQ($G259, "IQ_SHARESOUTSTANDING", AR$222),"--")</f>
        <v>0</v>
      </c>
      <c r="AS259" s="2132">
        <f>IF(AS$221,_xll.ciqfunctions.udf.CIQ($G259, "IQ_SHARESOUTSTANDING", AS$222),"--")</f>
        <v>0</v>
      </c>
      <c r="AT259" s="2132">
        <f>IF(AT$221,_xll.ciqfunctions.udf.CIQ($G259, "IQ_SHARESOUTSTANDING", AT$222),"--")</f>
        <v>0</v>
      </c>
      <c r="AU259" s="2132">
        <f>IF(AU$221,_xll.ciqfunctions.udf.CIQ($G259, "IQ_SHARESOUTSTANDING", AU$222),"--")</f>
        <v>0</v>
      </c>
      <c r="AV259" s="2132">
        <f>IF(AV$221,_xll.ciqfunctions.udf.CIQ($G259, "IQ_SHARESOUTSTANDING", AV$222),"--")</f>
        <v>0</v>
      </c>
      <c r="AW259" s="2132">
        <f>IF(AW$221,_xll.ciqfunctions.udf.CIQ($G259, "IQ_SHARESOUTSTANDING", AW$222),"--")</f>
        <v>0</v>
      </c>
      <c r="AX259" s="2132">
        <f>IF(AX$221,_xll.ciqfunctions.udf.CIQ($G259, "IQ_SHARESOUTSTANDING", AX$222),"--")</f>
        <v>0</v>
      </c>
      <c r="AY259" s="2132">
        <f>IF(AY$221,_xll.ciqfunctions.udf.CIQ($G259, "IQ_SHARESOUTSTANDING", AY$222),"--")</f>
        <v>0</v>
      </c>
      <c r="AZ259" s="2132">
        <f>IF(AZ$221,_xll.ciqfunctions.udf.CIQ($G259, "IQ_SHARESOUTSTANDING", AZ$222),"--")</f>
        <v>0</v>
      </c>
      <c r="BA259" s="2132">
        <f>IF(BA$221,_xll.ciqfunctions.udf.CIQ($G259, "IQ_SHARESOUTSTANDING", BA$222),"--")</f>
        <v>0</v>
      </c>
      <c r="BB259" s="2132">
        <f>IF(BB$221,_xll.ciqfunctions.udf.CIQ($G259, "IQ_SHARESOUTSTANDING", BB$222),"--")</f>
        <v>0</v>
      </c>
      <c r="BC259" s="2132">
        <f>IF(BC$221,_xll.ciqfunctions.udf.CIQ($G259, "IQ_SHARESOUTSTANDING", BC$222),"--")</f>
        <v>0</v>
      </c>
      <c r="BD259" s="2132">
        <f>IF(BD$221,_xll.ciqfunctions.udf.CIQ($G259, "IQ_SHARESOUTSTANDING", BD$222),"--")</f>
        <v>0</v>
      </c>
      <c r="BE259" s="2132">
        <f>IF(BE$221,_xll.ciqfunctions.udf.CIQ($G259, "IQ_SHARESOUTSTANDING", BE$222),"--")</f>
        <v>0</v>
      </c>
      <c r="BF259" s="2132">
        <f>IF(BF$221,_xll.ciqfunctions.udf.CIQ($G259, "IQ_SHARESOUTSTANDING", BF$222),"--")</f>
        <v>0</v>
      </c>
      <c r="BG259" s="2132">
        <f>IF(BG$221,_xll.ciqfunctions.udf.CIQ($G259, "IQ_SHARESOUTSTANDING", BG$222),"--")</f>
        <v>0</v>
      </c>
      <c r="BH259" s="2132">
        <f>IF(BH$221,_xll.ciqfunctions.udf.CIQ($G259, "IQ_SHARESOUTSTANDING", BH$222),"--")</f>
        <v>0</v>
      </c>
      <c r="BI259" s="2132">
        <f>IF(BI$221,_xll.ciqfunctions.udf.CIQ($G259, "IQ_SHARESOUTSTANDING", BI$222),"--")</f>
        <v>0</v>
      </c>
      <c r="BJ259" s="2132">
        <f>IF(BJ$221,_xll.ciqfunctions.udf.CIQ($G259, "IQ_SHARESOUTSTANDING", BJ$222),"--")</f>
        <v>0</v>
      </c>
      <c r="BK259" s="2132">
        <f>IF(BK$221,_xll.ciqfunctions.udf.CIQ($G259, "IQ_SHARESOUTSTANDING", BK$222),"--")</f>
        <v>0</v>
      </c>
      <c r="BL259" s="2132">
        <f>IF(BL$221,_xll.ciqfunctions.udf.CIQ($G259, "IQ_SHARESOUTSTANDING", BL$222),"--")</f>
        <v>0</v>
      </c>
      <c r="BM259" s="2132">
        <f>IF(BM$221,_xll.ciqfunctions.udf.CIQ($G259, "IQ_SHARESOUTSTANDING", BM$222),"--")</f>
        <v>0</v>
      </c>
      <c r="BN259" s="2132">
        <f>IF(BN$221,_xll.ciqfunctions.udf.CIQ($G259, "IQ_SHARESOUTSTANDING", BN$222),"--")</f>
        <v>0</v>
      </c>
      <c r="BO259" s="2132">
        <f>IF(BO$221,_xll.ciqfunctions.udf.CIQ($G259, "IQ_SHARESOUTSTANDING", BO$222),"--")</f>
        <v>0</v>
      </c>
      <c r="BP259" s="2132">
        <f>IF(BP$221,_xll.ciqfunctions.udf.CIQ($G259, "IQ_SHARESOUTSTANDING", BP$222),"--")</f>
        <v>0</v>
      </c>
      <c r="BQ259" s="2132">
        <f>IF(BQ$221,_xll.ciqfunctions.udf.CIQ($G259, "IQ_SHARESOUTSTANDING", BQ$222),"--")</f>
        <v>0</v>
      </c>
      <c r="BR259" s="2132">
        <f>IF(BR$221,_xll.ciqfunctions.udf.CIQ($G259, "IQ_SHARESOUTSTANDING", BR$222),"--")</f>
        <v>0</v>
      </c>
      <c r="BS259" s="2132">
        <f>IF(BS$221,_xll.ciqfunctions.udf.CIQ($G259, "IQ_SHARESOUTSTANDING", BS$222),"--")</f>
        <v>0</v>
      </c>
      <c r="BT259" s="2132">
        <f>IF(BT$221,_xll.ciqfunctions.udf.CIQ($G259, "IQ_SHARESOUTSTANDING", BT$222),"--")</f>
        <v>0</v>
      </c>
      <c r="BU259" s="2132">
        <f>IF(BU$221,_xll.ciqfunctions.udf.CIQ($G259, "IQ_SHARESOUTSTANDING", BU$222),"--")</f>
        <v>0</v>
      </c>
      <c r="BV259" s="2132">
        <f>IF(BV$221,_xll.ciqfunctions.udf.CIQ($G259, "IQ_SHARESOUTSTANDING", BV$222),"--")</f>
        <v>0</v>
      </c>
      <c r="BW259" s="2132">
        <f>IF(BW$221,_xll.ciqfunctions.udf.CIQ($G259, "IQ_SHARESOUTSTANDING", BW$222),"--")</f>
        <v>0</v>
      </c>
      <c r="BX259" s="2132">
        <f>IF(BX$221,_xll.ciqfunctions.udf.CIQ($G259, "IQ_SHARESOUTSTANDING", BX$222),"--")</f>
        <v>0</v>
      </c>
      <c r="BY259" s="2132">
        <f>IF(BY$221,_xll.ciqfunctions.udf.CIQ($G259, "IQ_SHARESOUTSTANDING", BY$222),"--")</f>
        <v>0</v>
      </c>
      <c r="BZ259" s="2132">
        <f>IF(BZ$221,_xll.ciqfunctions.udf.CIQ($G259, "IQ_SHARESOUTSTANDING", BZ$222),"--")</f>
        <v>0</v>
      </c>
      <c r="CA259" s="2132">
        <f>IF(CA$221,_xll.ciqfunctions.udf.CIQ($G259, "IQ_SHARESOUTSTANDING", CA$222),"--")</f>
        <v>0</v>
      </c>
      <c r="CB259" s="2132">
        <f>IF(CB$221,_xll.ciqfunctions.udf.CIQ($G259, "IQ_SHARESOUTSTANDING", CB$222),"--")</f>
        <v>0</v>
      </c>
      <c r="CC259" s="2132">
        <f>IF(CC$221,_xll.ciqfunctions.udf.CIQ($G259, "IQ_SHARESOUTSTANDING", CC$222),"--")</f>
        <v>0</v>
      </c>
      <c r="CD259" s="2132">
        <f>IF(CD$221,_xll.ciqfunctions.udf.CIQ($G259, "IQ_SHARESOUTSTANDING", CD$222),"--")</f>
        <v>0</v>
      </c>
      <c r="CE259" s="2132">
        <f>IF(CE$221,_xll.ciqfunctions.udf.CIQ($G259, "IQ_SHARESOUTSTANDING", CE$222),"--")</f>
        <v>0</v>
      </c>
      <c r="CF259" s="2132">
        <f>IF(CF$221,_xll.ciqfunctions.udf.CIQ($G259, "IQ_SHARESOUTSTANDING", CF$222),"--")</f>
        <v>0</v>
      </c>
      <c r="CG259" s="2132">
        <f>IF(CG$221,_xll.ciqfunctions.udf.CIQ($G259, "IQ_SHARESOUTSTANDING", CG$222),"--")</f>
        <v>0</v>
      </c>
      <c r="CH259" s="2132">
        <f>IF(CH$221,_xll.ciqfunctions.udf.CIQ($G259, "IQ_SHARESOUTSTANDING", CH$222),"--")</f>
        <v>0</v>
      </c>
      <c r="CI259" s="2132">
        <f>IF(CI$221,_xll.ciqfunctions.udf.CIQ($G259, "IQ_SHARESOUTSTANDING", CI$222),"--")</f>
        <v>0</v>
      </c>
      <c r="CJ259" s="2132">
        <f>IF(CJ$221,_xll.ciqfunctions.udf.CIQ($G259, "IQ_SHARESOUTSTANDING", CJ$222),"--")</f>
        <v>0</v>
      </c>
      <c r="CK259" s="2132">
        <f>IF(CK$221,_xll.ciqfunctions.udf.CIQ($G259, "IQ_SHARESOUTSTANDING", CK$222),"--")</f>
        <v>0</v>
      </c>
      <c r="CL259" s="2132">
        <f>IF(CL$221,_xll.ciqfunctions.udf.CIQ($G259, "IQ_SHARESOUTSTANDING", CL$222),"--")</f>
        <v>0</v>
      </c>
      <c r="CM259" s="2132">
        <f>IF(CM$221,_xll.ciqfunctions.udf.CIQ($G259, "IQ_SHARESOUTSTANDING", CM$222),"--")</f>
        <v>0</v>
      </c>
      <c r="CN259" s="2132">
        <f>IF(CN$221,_xll.ciqfunctions.udf.CIQ($G259, "IQ_SHARESOUTSTANDING", CN$222),"--")</f>
        <v>0</v>
      </c>
      <c r="CO259" s="2132">
        <f>IF(CO$221,_xll.ciqfunctions.udf.CIQ($G259, "IQ_SHARESOUTSTANDING", CO$222),"--")</f>
        <v>0</v>
      </c>
      <c r="CP259" s="2132">
        <f>IF(CP$221,_xll.ciqfunctions.udf.CIQ($G259, "IQ_SHARESOUTSTANDING", CP$222),"--")</f>
        <v>0</v>
      </c>
      <c r="CQ259" s="2132">
        <f>IF(CQ$221,_xll.ciqfunctions.udf.CIQ($G259, "IQ_SHARESOUTSTANDING", CQ$222),"--")</f>
        <v>0</v>
      </c>
      <c r="CR259" s="2132">
        <f>IF(CR$221,_xll.ciqfunctions.udf.CIQ($G259, "IQ_SHARESOUTSTANDING", CR$222),"--")</f>
        <v>0</v>
      </c>
      <c r="CS259" s="2132">
        <f>IF(CS$221,_xll.ciqfunctions.udf.CIQ($G259, "IQ_SHARESOUTSTANDING", CS$222),"--")</f>
        <v>0</v>
      </c>
      <c r="CT259" s="2132">
        <f>IF(CT$221,_xll.ciqfunctions.udf.CIQ($G259, "IQ_SHARESOUTSTANDING", CT$222),"--")</f>
        <v>0</v>
      </c>
      <c r="CU259" s="2132">
        <f>IF(CU$221,_xll.ciqfunctions.udf.CIQ($G259, "IQ_SHARESOUTSTANDING", CU$222),"--")</f>
        <v>0</v>
      </c>
      <c r="CV259" s="2132">
        <f>IF(CV$221,_xll.ciqfunctions.udf.CIQ($G259, "IQ_SHARESOUTSTANDING", CV$222),"--")</f>
        <v>0</v>
      </c>
      <c r="CW259" s="2132">
        <f>IF(CW$221,_xll.ciqfunctions.udf.CIQ($G259, "IQ_SHARESOUTSTANDING", CW$222),"--")</f>
        <v>0</v>
      </c>
      <c r="CX259" s="2132">
        <f>IF(CX$221,_xll.ciqfunctions.udf.CIQ($G259, "IQ_SHARESOUTSTANDING", CX$222),"--")</f>
        <v>0</v>
      </c>
      <c r="CY259" s="2132">
        <f>IF(CY$221,_xll.ciqfunctions.udf.CIQ($G259, "IQ_SHARESOUTSTANDING", CY$222),"--")</f>
        <v>0</v>
      </c>
      <c r="CZ259" s="2132">
        <f>IF(CZ$221,_xll.ciqfunctions.udf.CIQ($G259, "IQ_SHARESOUTSTANDING", CZ$222),"--")</f>
        <v>0</v>
      </c>
      <c r="DA259" s="2132">
        <f>IF(DA$221,_xll.ciqfunctions.udf.CIQ($G259, "IQ_SHARESOUTSTANDING", DA$222),"--")</f>
        <v>0</v>
      </c>
      <c r="DB259" s="2132">
        <f>IF(DB$221,_xll.ciqfunctions.udf.CIQ($G259, "IQ_SHARESOUTSTANDING", DB$222),"--")</f>
        <v>0</v>
      </c>
      <c r="DC259" s="2132">
        <f>IF(DC$221,_xll.ciqfunctions.udf.CIQ($G259, "IQ_SHARESOUTSTANDING", DC$222),"--")</f>
        <v>0</v>
      </c>
      <c r="DD259" s="2132">
        <f>IF(DD$221,_xll.ciqfunctions.udf.CIQ($G259, "IQ_SHARESOUTSTANDING", DD$222),"--")</f>
        <v>0</v>
      </c>
      <c r="DE259" s="2132">
        <f>IF(DE$221,_xll.ciqfunctions.udf.CIQ($G259, "IQ_SHARESOUTSTANDING", DE$222),"--")</f>
        <v>0</v>
      </c>
      <c r="DF259" s="2132">
        <f>IF(DF$221,_xll.ciqfunctions.udf.CIQ($G259, "IQ_SHARESOUTSTANDING", DF$222),"--")</f>
        <v>0</v>
      </c>
      <c r="DG259" s="2132">
        <f>IF(DG$221,_xll.ciqfunctions.udf.CIQ($G259, "IQ_SHARESOUTSTANDING", DG$222),"--")</f>
        <v>0</v>
      </c>
      <c r="DH259" s="2132">
        <f>IF(DH$221,_xll.ciqfunctions.udf.CIQ($G259, "IQ_SHARESOUTSTANDING", DH$222),"--")</f>
        <v>0</v>
      </c>
      <c r="DI259" s="2132">
        <f>IF(DI$221,_xll.ciqfunctions.udf.CIQ($G259, "IQ_SHARESOUTSTANDING", DI$222),"--")</f>
        <v>0</v>
      </c>
      <c r="DJ259" s="2132">
        <f>IF(DJ$221,_xll.ciqfunctions.udf.CIQ($G259, "IQ_SHARESOUTSTANDING", DJ$222),"--")</f>
        <v>0</v>
      </c>
      <c r="DK259" s="2132">
        <f>IF(DK$221,_xll.ciqfunctions.udf.CIQ($G259, "IQ_SHARESOUTSTANDING", DK$222),"--")</f>
        <v>0</v>
      </c>
      <c r="DL259" s="2132">
        <f>IF(DL$221,_xll.ciqfunctions.udf.CIQ($G259, "IQ_SHARESOUTSTANDING", DL$222),"--")</f>
        <v>0</v>
      </c>
      <c r="DM259" s="2132">
        <f>IF(DM$221,_xll.ciqfunctions.udf.CIQ($G259, "IQ_SHARESOUTSTANDING", DM$222),"--")</f>
        <v>0</v>
      </c>
      <c r="DN259" s="2132">
        <f>IF(DN$221,_xll.ciqfunctions.udf.CIQ($G259, "IQ_SHARESOUTSTANDING", DN$222),"--")</f>
        <v>0</v>
      </c>
      <c r="DO259" s="2132">
        <f>IF(DO$221,_xll.ciqfunctions.udf.CIQ($G259, "IQ_SHARESOUTSTANDING", DO$222),"--")</f>
        <v>0</v>
      </c>
      <c r="DP259" s="2132">
        <f>IF(DP$221,_xll.ciqfunctions.udf.CIQ($G259, "IQ_SHARESOUTSTANDING", DP$222),"--")</f>
        <v>0</v>
      </c>
      <c r="DQ259" s="2132">
        <f>IF(DQ$221,_xll.ciqfunctions.udf.CIQ($G259, "IQ_SHARESOUTSTANDING", DQ$222),"--")</f>
        <v>0</v>
      </c>
      <c r="DR259" s="2132">
        <f>IF(DR$221,_xll.ciqfunctions.udf.CIQ($G259, "IQ_SHARESOUTSTANDING", DR$222),"--")</f>
        <v>0</v>
      </c>
      <c r="DS259" s="2132">
        <f>IF(DS$221,_xll.ciqfunctions.udf.CIQ($G259, "IQ_SHARESOUTSTANDING", DS$222),"--")</f>
        <v>0</v>
      </c>
      <c r="DT259" s="2132">
        <f>IF(DT$221,_xll.ciqfunctions.udf.CIQ($G259, "IQ_SHARESOUTSTANDING", DT$222),"--")</f>
        <v>0</v>
      </c>
      <c r="DU259" s="2132">
        <f>IF(DU$221,_xll.ciqfunctions.udf.CIQ($G259, "IQ_SHARESOUTSTANDING", DU$222),"--")</f>
        <v>0</v>
      </c>
      <c r="DV259" s="2132">
        <f>IF(DV$221,_xll.ciqfunctions.udf.CIQ($G259, "IQ_SHARESOUTSTANDING", DV$222),"--")</f>
        <v>0</v>
      </c>
      <c r="DW259" s="2132">
        <f>IF(DW$221,_xll.ciqfunctions.udf.CIQ($G259, "IQ_SHARESOUTSTANDING", DW$222),"--")</f>
        <v>0</v>
      </c>
      <c r="DX259" s="2132">
        <f>IF(DX$221,_xll.ciqfunctions.udf.CIQ($G259, "IQ_SHARESOUTSTANDING", DX$222),"--")</f>
        <v>0</v>
      </c>
      <c r="DY259" s="2132">
        <f>IF(DY$221,_xll.ciqfunctions.udf.CIQ($G259, "IQ_SHARESOUTSTANDING", DY$222),"--")</f>
        <v>0</v>
      </c>
      <c r="DZ259" s="2132">
        <f>IF(DZ$221,_xll.ciqfunctions.udf.CIQ($G259, "IQ_SHARESOUTSTANDING", DZ$222),"--")</f>
        <v>0</v>
      </c>
      <c r="EA259" s="2132">
        <f>IF(EA$221,_xll.ciqfunctions.udf.CIQ($G259, "IQ_SHARESOUTSTANDING", EA$222),"--")</f>
        <v>0</v>
      </c>
      <c r="EB259" s="2132">
        <f>IF(EB$221,_xll.ciqfunctions.udf.CIQ($G259, "IQ_SHARESOUTSTANDING", EB$222),"--")</f>
        <v>0</v>
      </c>
      <c r="EC259" s="2132">
        <f>IF(EC$221,_xll.ciqfunctions.udf.CIQ($G259, "IQ_SHARESOUTSTANDING", EC$222),"--")</f>
        <v>0</v>
      </c>
      <c r="ED259" s="2132">
        <f>IF(ED$221,_xll.ciqfunctions.udf.CIQ($G259, "IQ_SHARESOUTSTANDING", ED$222),"--")</f>
        <v>0</v>
      </c>
      <c r="EE259" s="2132">
        <f>IF(EE$221,_xll.ciqfunctions.udf.CIQ($G259, "IQ_SHARESOUTSTANDING", EE$222),"--")</f>
        <v>0</v>
      </c>
      <c r="EF259" s="2132">
        <f>IF(EF$221,_xll.ciqfunctions.udf.CIQ($G259, "IQ_SHARESOUTSTANDING", EF$222),"--")</f>
        <v>0</v>
      </c>
      <c r="EG259" s="2132">
        <f>IF(EG$221,_xll.ciqfunctions.udf.CIQ($G259, "IQ_SHARESOUTSTANDING", EG$222),"--")</f>
        <v>0</v>
      </c>
      <c r="EH259" s="2132">
        <f>IF(EH$221,_xll.ciqfunctions.udf.CIQ($G259, "IQ_SHARESOUTSTANDING", EH$222),"--")</f>
        <v>0</v>
      </c>
      <c r="EI259" s="2132">
        <f>IF(EI$221,_xll.ciqfunctions.udf.CIQ($G259, "IQ_SHARESOUTSTANDING", EI$222),"--")</f>
        <v>0</v>
      </c>
      <c r="EJ259" s="2132">
        <f>IF(EJ$221,_xll.ciqfunctions.udf.CIQ($G259, "IQ_SHARESOUTSTANDING", EJ$222),"--")</f>
        <v>0</v>
      </c>
      <c r="EK259" s="2132">
        <f>IF(EK$221,_xll.ciqfunctions.udf.CIQ($G259, "IQ_SHARESOUTSTANDING", EK$222),"--")</f>
        <v>0</v>
      </c>
      <c r="EL259" s="2132">
        <f>IF(EL$221,_xll.ciqfunctions.udf.CIQ($G259, "IQ_SHARESOUTSTANDING", EL$222),"--")</f>
        <v>0</v>
      </c>
      <c r="EM259" s="2132">
        <f>IF(EM$221,_xll.ciqfunctions.udf.CIQ($G259, "IQ_SHARESOUTSTANDING", EM$222),"--")</f>
        <v>0</v>
      </c>
      <c r="EN259" s="2132">
        <f>IF(EN$221,_xll.ciqfunctions.udf.CIQ($G259, "IQ_SHARESOUTSTANDING", EN$222),"--")</f>
        <v>0</v>
      </c>
      <c r="EO259" s="2132">
        <f>IF(EO$221,_xll.ciqfunctions.udf.CIQ($G259, "IQ_SHARESOUTSTANDING", EO$222),"--")</f>
        <v>0</v>
      </c>
      <c r="EP259" s="2132">
        <f>IF(EP$221,_xll.ciqfunctions.udf.CIQ($G259, "IQ_SHARESOUTSTANDING", EP$222),"--")</f>
        <v>0</v>
      </c>
      <c r="EQ259" s="2132">
        <f>IF(EQ$221,_xll.ciqfunctions.udf.CIQ($G259, "IQ_SHARESOUTSTANDING", EQ$222),"--")</f>
        <v>0</v>
      </c>
      <c r="ER259" s="2132">
        <f>IF(ER$221,_xll.ciqfunctions.udf.CIQ($G259, "IQ_SHARESOUTSTANDING", ER$222),"--")</f>
        <v>0</v>
      </c>
      <c r="ES259" s="2132">
        <f>IF(ES$221,_xll.ciqfunctions.udf.CIQ($G259, "IQ_SHARESOUTSTANDING", ES$222),"--")</f>
        <v>0</v>
      </c>
      <c r="ET259" s="2132">
        <f>IF(ET$221,_xll.ciqfunctions.udf.CIQ($G259, "IQ_SHARESOUTSTANDING", ET$222),"--")</f>
        <v>0</v>
      </c>
      <c r="EU259" s="2132">
        <f>IF(EU$221,_xll.ciqfunctions.udf.CIQ($G259, "IQ_SHARESOUTSTANDING", EU$222),"--")</f>
        <v>0</v>
      </c>
      <c r="EV259" s="2132">
        <f>IF(EV$221,_xll.ciqfunctions.udf.CIQ($G259, "IQ_SHARESOUTSTANDING", EV$222),"--")</f>
        <v>0</v>
      </c>
      <c r="EW259" s="2132">
        <f>IF(EW$221,_xll.ciqfunctions.udf.CIQ($G259, "IQ_SHARESOUTSTANDING", EW$222),"--")</f>
        <v>0</v>
      </c>
      <c r="EX259" s="2132">
        <f>IF(EX$221,_xll.ciqfunctions.udf.CIQ($G259, "IQ_SHARESOUTSTANDING", EX$222),"--")</f>
        <v>0</v>
      </c>
      <c r="EY259" s="2132">
        <f>IF(EY$221,_xll.ciqfunctions.udf.CIQ($G259, "IQ_SHARESOUTSTANDING", EY$222),"--")</f>
        <v>0</v>
      </c>
      <c r="EZ259" s="2132">
        <f>IF(EZ$221,_xll.ciqfunctions.udf.CIQ($G259, "IQ_SHARESOUTSTANDING", EZ$222),"--")</f>
        <v>0</v>
      </c>
      <c r="FA259" s="2132">
        <f>IF(FA$221,_xll.ciqfunctions.udf.CIQ($G259, "IQ_SHARESOUTSTANDING", FA$222),"--")</f>
        <v>0</v>
      </c>
      <c r="FB259" s="2132">
        <f>IF(FB$221,_xll.ciqfunctions.udf.CIQ($G259, "IQ_SHARESOUTSTANDING", FB$222),"--")</f>
        <v>0</v>
      </c>
      <c r="FC259" s="2132">
        <f>IF(FC$221,_xll.ciqfunctions.udf.CIQ($G259, "IQ_SHARESOUTSTANDING", FC$222),"--")</f>
        <v>0</v>
      </c>
      <c r="FD259" s="2132">
        <f>IF(FD$221,_xll.ciqfunctions.udf.CIQ($G259, "IQ_SHARESOUTSTANDING", FD$222),"--")</f>
        <v>0</v>
      </c>
      <c r="FE259" s="2132">
        <f>IF(FE$221,_xll.ciqfunctions.udf.CIQ($G259, "IQ_SHARESOUTSTANDING", FE$222),"--")</f>
        <v>0</v>
      </c>
      <c r="FF259" s="2132">
        <f>IF(FF$221,_xll.ciqfunctions.udf.CIQ($G259, "IQ_SHARESOUTSTANDING", FF$222),"--")</f>
        <v>0</v>
      </c>
      <c r="FG259" s="2132">
        <f>IF(FG$221,_xll.ciqfunctions.udf.CIQ($G259, "IQ_SHARESOUTSTANDING", FG$222),"--")</f>
        <v>0</v>
      </c>
      <c r="FH259" s="2132">
        <f>IF(FH$221,_xll.ciqfunctions.udf.CIQ($G259, "IQ_SHARESOUTSTANDING", FH$222),"--")</f>
        <v>0</v>
      </c>
      <c r="FI259" s="2132">
        <f>IF(FI$221,_xll.ciqfunctions.udf.CIQ($G259, "IQ_SHARESOUTSTANDING", FI$222),"--")</f>
        <v>0</v>
      </c>
      <c r="FJ259" s="2132">
        <f>IF(FJ$221,_xll.ciqfunctions.udf.CIQ($G259, "IQ_SHARESOUTSTANDING", FJ$222),"--")</f>
        <v>0</v>
      </c>
      <c r="FK259" s="2132">
        <f>IF(FK$221,_xll.ciqfunctions.udf.CIQ($G259, "IQ_SHARESOUTSTANDING", FK$222),"--")</f>
        <v>0</v>
      </c>
      <c r="FL259" s="2132">
        <f>IF(FL$221,_xll.ciqfunctions.udf.CIQ($G259, "IQ_SHARESOUTSTANDING", FL$222),"--")</f>
        <v>0</v>
      </c>
      <c r="FM259" s="2132">
        <f>IF(FM$221,_xll.ciqfunctions.udf.CIQ($G259, "IQ_SHARESOUTSTANDING", FM$222),"--")</f>
        <v>0</v>
      </c>
      <c r="FN259" s="2132">
        <f>IF(FN$221,_xll.ciqfunctions.udf.CIQ($G259, "IQ_SHARESOUTSTANDING", FN$222),"--")</f>
        <v>0</v>
      </c>
      <c r="FO259" s="2132">
        <f>IF(FO$221,_xll.ciqfunctions.udf.CIQ($G259, "IQ_SHARESOUTSTANDING", FO$222),"--")</f>
        <v>0</v>
      </c>
      <c r="FP259" s="2132">
        <f>IF(FP$221,_xll.ciqfunctions.udf.CIQ($G259, "IQ_SHARESOUTSTANDING", FP$222),"--")</f>
        <v>0</v>
      </c>
      <c r="FQ259" s="2132">
        <f>IF(FQ$221,_xll.ciqfunctions.udf.CIQ($G259, "IQ_SHARESOUTSTANDING", FQ$222),"--")</f>
        <v>0</v>
      </c>
      <c r="FR259" s="2132">
        <f>IF(FR$221,_xll.ciqfunctions.udf.CIQ($G259, "IQ_SHARESOUTSTANDING", FR$222),"--")</f>
        <v>0</v>
      </c>
      <c r="FS259" s="2132">
        <f>IF(FS$221,_xll.ciqfunctions.udf.CIQ($G259, "IQ_SHARESOUTSTANDING", FS$222),"--")</f>
        <v>0</v>
      </c>
      <c r="FT259" s="2132">
        <f>IF(FT$221,_xll.ciqfunctions.udf.CIQ($G259, "IQ_SHARESOUTSTANDING", FT$222),"--")</f>
        <v>0</v>
      </c>
      <c r="FU259" s="2132">
        <f>IF(FU$221,_xll.ciqfunctions.udf.CIQ($G259, "IQ_SHARESOUTSTANDING", FU$222),"--")</f>
        <v>0</v>
      </c>
      <c r="FV259" s="2132">
        <f>IF(FV$221,_xll.ciqfunctions.udf.CIQ($G259, "IQ_SHARESOUTSTANDING", FV$222),"--")</f>
        <v>0</v>
      </c>
      <c r="FW259" s="2132">
        <f>IF(FW$221,_xll.ciqfunctions.udf.CIQ($G259, "IQ_SHARESOUTSTANDING", FW$222),"--")</f>
        <v>0</v>
      </c>
      <c r="FX259" s="2132">
        <f>IF(FX$221,_xll.ciqfunctions.udf.CIQ($G259, "IQ_SHARESOUTSTANDING", FX$222),"--")</f>
        <v>0</v>
      </c>
      <c r="FY259" s="2132">
        <f>IF(FY$221,_xll.ciqfunctions.udf.CIQ($G259, "IQ_SHARESOUTSTANDING", FY$222),"--")</f>
        <v>0</v>
      </c>
      <c r="FZ259" s="2132">
        <f>IF(FZ$221,_xll.ciqfunctions.udf.CIQ($G259, "IQ_SHARESOUTSTANDING", FZ$222),"--")</f>
        <v>0</v>
      </c>
      <c r="GA259" s="2132">
        <f>IF(GA$221,_xll.ciqfunctions.udf.CIQ($G259, "IQ_SHARESOUTSTANDING", GA$222),"--")</f>
        <v>0</v>
      </c>
      <c r="GB259" s="2132">
        <f>IF(GB$221,_xll.ciqfunctions.udf.CIQ($G259, "IQ_SHARESOUTSTANDING", GB$222),"--")</f>
        <v>0</v>
      </c>
      <c r="GC259" s="2132">
        <f>IF(GC$221,_xll.ciqfunctions.udf.CIQ($G259, "IQ_SHARESOUTSTANDING", GC$222),"--")</f>
        <v>0</v>
      </c>
      <c r="GD259" s="2132">
        <f>IF(GD$221,_xll.ciqfunctions.udf.CIQ($G259, "IQ_SHARESOUTSTANDING", GD$222),"--")</f>
        <v>0</v>
      </c>
      <c r="GE259" s="2132">
        <f>IF(GE$221,_xll.ciqfunctions.udf.CIQ($G259, "IQ_SHARESOUTSTANDING", GE$222),"--")</f>
        <v>0</v>
      </c>
      <c r="GF259" s="2132">
        <f>IF(GF$221,_xll.ciqfunctions.udf.CIQ($G259, "IQ_SHARESOUTSTANDING", GF$222),"--")</f>
        <v>0</v>
      </c>
      <c r="GG259" s="2132">
        <f>IF(GG$221,_xll.ciqfunctions.udf.CIQ($G259, "IQ_SHARESOUTSTANDING", GG$222),"--")</f>
        <v>0</v>
      </c>
      <c r="GH259" s="2132">
        <f>IF(GH$221,_xll.ciqfunctions.udf.CIQ($G259, "IQ_SHARESOUTSTANDING", GH$222),"--")</f>
        <v>0</v>
      </c>
      <c r="GI259" s="2132">
        <f>IF(GI$221,_xll.ciqfunctions.udf.CIQ($G259, "IQ_SHARESOUTSTANDING", GI$222),"--")</f>
        <v>0</v>
      </c>
      <c r="GJ259" s="2132">
        <f>IF(GJ$221,_xll.ciqfunctions.udf.CIQ($G259, "IQ_SHARESOUTSTANDING", GJ$222),"--")</f>
        <v>0</v>
      </c>
      <c r="GK259" s="2132">
        <f>IF(GK$221,_xll.ciqfunctions.udf.CIQ($G259, "IQ_SHARESOUTSTANDING", GK$222),"--")</f>
        <v>0</v>
      </c>
      <c r="GL259" s="2132">
        <f>IF(GL$221,_xll.ciqfunctions.udf.CIQ($G259, "IQ_SHARESOUTSTANDING", GL$222),"--")</f>
        <v>0</v>
      </c>
      <c r="GM259" s="2132">
        <f>IF(GM$221,_xll.ciqfunctions.udf.CIQ($G259, "IQ_SHARESOUTSTANDING", GM$222),"--")</f>
        <v>0</v>
      </c>
      <c r="GN259" s="2132">
        <f>IF(GN$221,_xll.ciqfunctions.udf.CIQ($G259, "IQ_SHARESOUTSTANDING", GN$222),"--")</f>
        <v>0</v>
      </c>
      <c r="GO259" s="2132">
        <f>IF(GO$221,_xll.ciqfunctions.udf.CIQ($G259, "IQ_SHARESOUTSTANDING", GO$222),"--")</f>
        <v>0</v>
      </c>
      <c r="GP259" s="2132">
        <f>IF(GP$221,_xll.ciqfunctions.udf.CIQ($G259, "IQ_SHARESOUTSTANDING", GP$222),"--")</f>
        <v>0</v>
      </c>
      <c r="GQ259" s="2132">
        <f>IF(GQ$221,_xll.ciqfunctions.udf.CIQ($G259, "IQ_SHARESOUTSTANDING", GQ$222),"--")</f>
        <v>0</v>
      </c>
      <c r="GR259" s="2132">
        <f>IF(GR$221,_xll.ciqfunctions.udf.CIQ($G259, "IQ_SHARESOUTSTANDING", GR$222),"--")</f>
        <v>0</v>
      </c>
      <c r="GS259" s="2132">
        <f>IF(GS$221,_xll.ciqfunctions.udf.CIQ($G259, "IQ_SHARESOUTSTANDING", GS$222),"--")</f>
        <v>0</v>
      </c>
      <c r="GT259" s="2132">
        <f>IF(GT$221,_xll.ciqfunctions.udf.CIQ($G259, "IQ_SHARESOUTSTANDING", GT$222),"--")</f>
        <v>0</v>
      </c>
      <c r="GU259" s="2132">
        <f>IF(GU$221,_xll.ciqfunctions.udf.CIQ($G259, "IQ_SHARESOUTSTANDING", GU$222),"--")</f>
        <v>0</v>
      </c>
      <c r="GV259" s="2132">
        <f>IF(GV$221,_xll.ciqfunctions.udf.CIQ($G259, "IQ_SHARESOUTSTANDING", GV$222),"--")</f>
        <v>0</v>
      </c>
      <c r="GW259" s="2132">
        <f>IF(GW$221,_xll.ciqfunctions.udf.CIQ($G259, "IQ_SHARESOUTSTANDING", GW$222),"--")</f>
        <v>0</v>
      </c>
      <c r="GX259" s="2132">
        <f>IF(GX$221,_xll.ciqfunctions.udf.CIQ($G259, "IQ_SHARESOUTSTANDING", GX$222),"--")</f>
        <v>0</v>
      </c>
      <c r="GY259" s="2132">
        <f>IF(GY$221,_xll.ciqfunctions.udf.CIQ($G259, "IQ_SHARESOUTSTANDING", GY$222),"--")</f>
        <v>0</v>
      </c>
      <c r="GZ259" s="2132">
        <f>IF(GZ$221,_xll.ciqfunctions.udf.CIQ($G259, "IQ_SHARESOUTSTANDING", GZ$222),"--")</f>
        <v>0</v>
      </c>
      <c r="HA259" s="2132">
        <f>IF(HA$221,_xll.ciqfunctions.udf.CIQ($G259, "IQ_SHARESOUTSTANDING", HA$222),"--")</f>
        <v>0</v>
      </c>
      <c r="HB259" s="2132">
        <f>IF(HB$221,_xll.ciqfunctions.udf.CIQ($G259, "IQ_SHARESOUTSTANDING", HB$222),"--")</f>
        <v>0</v>
      </c>
      <c r="HC259" s="2132">
        <f>IF(HC$221,_xll.ciqfunctions.udf.CIQ($G259, "IQ_SHARESOUTSTANDING", HC$222),"--")</f>
        <v>0</v>
      </c>
      <c r="HD259" s="2132">
        <f>IF(HD$221,_xll.ciqfunctions.udf.CIQ($G259, "IQ_SHARESOUTSTANDING", HD$222),"--")</f>
        <v>0</v>
      </c>
      <c r="HE259" s="2132">
        <f>IF(HE$221,_xll.ciqfunctions.udf.CIQ($G259, "IQ_SHARESOUTSTANDING", HE$222),"--")</f>
        <v>0</v>
      </c>
      <c r="HF259" s="2132">
        <f>IF(HF$221,_xll.ciqfunctions.udf.CIQ($G259, "IQ_SHARESOUTSTANDING", HF$222),"--")</f>
        <v>0</v>
      </c>
      <c r="HG259" s="2132">
        <f>IF(HG$221,_xll.ciqfunctions.udf.CIQ($G259, "IQ_SHARESOUTSTANDING", HG$222),"--")</f>
        <v>0</v>
      </c>
      <c r="HH259" s="2132">
        <f>IF(HH$221,_xll.ciqfunctions.udf.CIQ($G259, "IQ_SHARESOUTSTANDING", HH$222),"--")</f>
        <v>0</v>
      </c>
      <c r="HI259" s="2132">
        <f>IF(HI$221,_xll.ciqfunctions.udf.CIQ($G259, "IQ_SHARESOUTSTANDING", HI$222),"--")</f>
        <v>0</v>
      </c>
      <c r="HJ259" s="2132">
        <f>IF(HJ$221,_xll.ciqfunctions.udf.CIQ($G259, "IQ_SHARESOUTSTANDING", HJ$222),"--")</f>
        <v>0</v>
      </c>
      <c r="HK259" s="2132">
        <f>IF(HK$221,_xll.ciqfunctions.udf.CIQ($G259, "IQ_SHARESOUTSTANDING", HK$222),"--")</f>
        <v>0</v>
      </c>
      <c r="HL259" s="2132">
        <f>IF(HL$221,_xll.ciqfunctions.udf.CIQ($G259, "IQ_SHARESOUTSTANDING", HL$222),"--")</f>
        <v>0</v>
      </c>
      <c r="HM259" s="2132">
        <f>IF(HM$221,_xll.ciqfunctions.udf.CIQ($G259, "IQ_SHARESOUTSTANDING", HM$222),"--")</f>
        <v>0</v>
      </c>
      <c r="HN259" s="2132">
        <f>IF(HN$221,_xll.ciqfunctions.udf.CIQ($G259, "IQ_SHARESOUTSTANDING", HN$222),"--")</f>
        <v>0</v>
      </c>
      <c r="HO259" s="2132">
        <f>IF(HO$221,_xll.ciqfunctions.udf.CIQ($G259, "IQ_SHARESOUTSTANDING", HO$222),"--")</f>
        <v>0</v>
      </c>
      <c r="HP259" s="2132">
        <f>IF(HP$221,_xll.ciqfunctions.udf.CIQ($G259, "IQ_SHARESOUTSTANDING", HP$222),"--")</f>
        <v>0</v>
      </c>
      <c r="HQ259" s="2132">
        <f>IF(HQ$221,_xll.ciqfunctions.udf.CIQ($G259, "IQ_SHARESOUTSTANDING", HQ$222),"--")</f>
        <v>0</v>
      </c>
      <c r="HR259" s="2132">
        <f>IF(HR$221,_xll.ciqfunctions.udf.CIQ($G259, "IQ_SHARESOUTSTANDING", HR$222),"--")</f>
        <v>0</v>
      </c>
      <c r="HS259" s="2132">
        <f>IF(HS$221,_xll.ciqfunctions.udf.CIQ($G259, "IQ_SHARESOUTSTANDING", HS$222),"--")</f>
        <v>0</v>
      </c>
      <c r="HT259" s="2132">
        <f>IF(HT$221,_xll.ciqfunctions.udf.CIQ($G259, "IQ_SHARESOUTSTANDING", HT$222),"--")</f>
        <v>0</v>
      </c>
      <c r="HU259" s="2132">
        <f>IF(HU$221,_xll.ciqfunctions.udf.CIQ($G259, "IQ_SHARESOUTSTANDING", HU$222),"--")</f>
        <v>0</v>
      </c>
      <c r="HV259" s="2132">
        <f>IF(HV$221,_xll.ciqfunctions.udf.CIQ($G259, "IQ_SHARESOUTSTANDING", HV$222),"--")</f>
        <v>0</v>
      </c>
      <c r="HW259" s="2132">
        <f>IF(HW$221,_xll.ciqfunctions.udf.CIQ($G259, "IQ_SHARESOUTSTANDING", HW$222),"--")</f>
        <v>0</v>
      </c>
      <c r="HX259" s="2132">
        <f>IF(HX$221,_xll.ciqfunctions.udf.CIQ($G259, "IQ_SHARESOUTSTANDING", HX$222),"--")</f>
        <v>0</v>
      </c>
      <c r="HY259" s="2132">
        <f>IF(HY$221,_xll.ciqfunctions.udf.CIQ($G259, "IQ_SHARESOUTSTANDING", HY$222),"--")</f>
        <v>0</v>
      </c>
      <c r="HZ259" s="2132">
        <f>IF(HZ$221,_xll.ciqfunctions.udf.CIQ($G259, "IQ_SHARESOUTSTANDING", HZ$222),"--")</f>
        <v>0</v>
      </c>
      <c r="IA259" s="2132">
        <f>IF(IA$221,_xll.ciqfunctions.udf.CIQ($G259, "IQ_SHARESOUTSTANDING", IA$222),"--")</f>
        <v>0</v>
      </c>
      <c r="IB259" s="2132">
        <f>IF(IB$221,_xll.ciqfunctions.udf.CIQ($G259, "IQ_SHARESOUTSTANDING", IB$222),"--")</f>
        <v>0</v>
      </c>
      <c r="IC259" s="2132">
        <f>IF(IC$221,_xll.ciqfunctions.udf.CIQ($G259, "IQ_SHARESOUTSTANDING", IC$222),"--")</f>
        <v>0</v>
      </c>
      <c r="ID259" s="2132">
        <f>IF(ID$221,_xll.ciqfunctions.udf.CIQ($G259, "IQ_SHARESOUTSTANDING", ID$222),"--")</f>
        <v>0</v>
      </c>
      <c r="IE259" s="2132">
        <f>IF(IE$221,_xll.ciqfunctions.udf.CIQ($G259, "IQ_SHARESOUTSTANDING", IE$222),"--")</f>
        <v>0</v>
      </c>
      <c r="IF259" s="2132">
        <f>IF(IF$221,_xll.ciqfunctions.udf.CIQ($G259, "IQ_SHARESOUTSTANDING", IF$222),"--")</f>
        <v>0</v>
      </c>
      <c r="IG259" s="2132">
        <f>IF(IG$221,_xll.ciqfunctions.udf.CIQ($G259, "IQ_SHARESOUTSTANDING", IG$222),"--")</f>
        <v>0</v>
      </c>
      <c r="IH259" s="2132">
        <f>IF(IH$221,_xll.ciqfunctions.udf.CIQ($G259, "IQ_SHARESOUTSTANDING", IH$222),"--")</f>
        <v>0</v>
      </c>
      <c r="II259" s="2132">
        <f>IF(II$221,_xll.ciqfunctions.udf.CIQ($G259, "IQ_SHARESOUTSTANDING", II$222),"--")</f>
        <v>0</v>
      </c>
      <c r="IJ259" s="2132">
        <f>IF(IJ$221,_xll.ciqfunctions.udf.CIQ($G259, "IQ_SHARESOUTSTANDING", IJ$222),"--")</f>
        <v>0</v>
      </c>
      <c r="IK259" s="2132">
        <f>IF(IK$221,_xll.ciqfunctions.udf.CIQ($G259, "IQ_SHARESOUTSTANDING", IK$222),"--")</f>
        <v>0</v>
      </c>
      <c r="IL259" s="2132">
        <f>IF(IL$221,_xll.ciqfunctions.udf.CIQ($G259, "IQ_SHARESOUTSTANDING", IL$222),"--")</f>
        <v>0</v>
      </c>
      <c r="IM259" s="2132">
        <f>IF(IM$221,_xll.ciqfunctions.udf.CIQ($G259, "IQ_SHARESOUTSTANDING", IM$222),"--")</f>
        <v>0</v>
      </c>
      <c r="IN259" s="2132">
        <f>IF(IN$221,_xll.ciqfunctions.udf.CIQ($G259, "IQ_SHARESOUTSTANDING", IN$222),"--")</f>
        <v>0</v>
      </c>
      <c r="IO259" s="2132">
        <f>IF(IO$221,_xll.ciqfunctions.udf.CIQ($G259, "IQ_SHARESOUTSTANDING", IO$222),"--")</f>
        <v>0</v>
      </c>
      <c r="IP259" s="2132">
        <f>IF(IP$221,_xll.ciqfunctions.udf.CIQ($G259, "IQ_SHARESOUTSTANDING", IP$222),"--")</f>
        <v>0</v>
      </c>
      <c r="IQ259" s="2132">
        <f>IF(IQ$221,_xll.ciqfunctions.udf.CIQ($G259, "IQ_SHARESOUTSTANDING", IQ$222),"--")</f>
        <v>0</v>
      </c>
      <c r="IR259" s="2132">
        <f>IF(IR$221,_xll.ciqfunctions.udf.CIQ($G259, "IQ_SHARESOUTSTANDING", IR$222),"--")</f>
        <v>0</v>
      </c>
      <c r="IS259" s="2132">
        <f>IF(IS$221,_xll.ciqfunctions.udf.CIQ($G259, "IQ_SHARESOUTSTANDING", IS$222),"--")</f>
        <v>0</v>
      </c>
      <c r="IT259" s="2132">
        <f>IF(IT$221,_xll.ciqfunctions.udf.CIQ($G259, "IQ_SHARESOUTSTANDING", IT$222),"--")</f>
        <v>0</v>
      </c>
      <c r="IU259" s="2132">
        <f>IF(IU$221,_xll.ciqfunctions.udf.CIQ($G259, "IQ_SHARESOUTSTANDING", IU$222),"--")</f>
        <v>0</v>
      </c>
      <c r="IV259" s="2132">
        <f>IF(IV$221,_xll.ciqfunctions.udf.CIQ($G259, "IQ_SHARESOUTSTANDING", IV$222),"--")</f>
        <v>0</v>
      </c>
      <c r="IW259" s="2132">
        <f>IF(IW$221,_xll.ciqfunctions.udf.CIQ($G259, "IQ_SHARESOUTSTANDING", IW$222),"--")</f>
        <v>0</v>
      </c>
      <c r="IX259" s="2132">
        <f>IF(IX$221,_xll.ciqfunctions.udf.CIQ($G259, "IQ_SHARESOUTSTANDING", IX$222),"--")</f>
        <v>0</v>
      </c>
      <c r="IY259" s="2132">
        <f>IF(IY$221,_xll.ciqfunctions.udf.CIQ($G259, "IQ_SHARESOUTSTANDING", IY$222),"--")</f>
        <v>0</v>
      </c>
      <c r="IZ259" s="2132">
        <f>IF(IZ$221,_xll.ciqfunctions.udf.CIQ($G259, "IQ_SHARESOUTSTANDING", IZ$222),"--")</f>
        <v>0</v>
      </c>
      <c r="JA259" s="2132">
        <f>IF(JA$221,_xll.ciqfunctions.udf.CIQ($G259, "IQ_SHARESOUTSTANDING", JA$222),"--")</f>
        <v>0</v>
      </c>
      <c r="JB259" s="2132">
        <f>IF(JB$221,_xll.ciqfunctions.udf.CIQ($G259, "IQ_SHARESOUTSTANDING", JB$222),"--")</f>
        <v>0</v>
      </c>
      <c r="JC259" s="2132">
        <f>IF(JC$221,_xll.ciqfunctions.udf.CIQ($G259, "IQ_SHARESOUTSTANDING", JC$222),"--")</f>
        <v>0</v>
      </c>
      <c r="JD259" s="2132">
        <f>IF(JD$221,_xll.ciqfunctions.udf.CIQ($G259, "IQ_SHARESOUTSTANDING", JD$222),"--")</f>
        <v>0</v>
      </c>
      <c r="JE259" s="2132">
        <f>IF(JE$221,_xll.ciqfunctions.udf.CIQ($G259, "IQ_SHARESOUTSTANDING", JE$222),"--")</f>
        <v>0</v>
      </c>
      <c r="JF259" s="2132">
        <f>IF(JF$221,_xll.ciqfunctions.udf.CIQ($G259, "IQ_SHARESOUTSTANDING", JF$222),"--")</f>
        <v>0</v>
      </c>
      <c r="JG259" s="2132">
        <f>IF(JG$221,_xll.ciqfunctions.udf.CIQ($G259, "IQ_SHARESOUTSTANDING", JG$222),"--")</f>
        <v>0</v>
      </c>
      <c r="JH259" s="2132">
        <f>IF(JH$221,_xll.ciqfunctions.udf.CIQ($G259, "IQ_SHARESOUTSTANDING", JH$222),"--")</f>
        <v>0</v>
      </c>
      <c r="JI259" s="2132">
        <f>IF(JI$221,_xll.ciqfunctions.udf.CIQ($G259, "IQ_SHARESOUTSTANDING", JI$222),"--")</f>
        <v>0</v>
      </c>
      <c r="JJ259" s="2132">
        <f>IF(JJ$221,_xll.ciqfunctions.udf.CIQ($G259, "IQ_SHARESOUTSTANDING", JJ$222),"--")</f>
        <v>0</v>
      </c>
      <c r="JK259" s="2132">
        <f>IF(JK$221,_xll.ciqfunctions.udf.CIQ($G259, "IQ_SHARESOUTSTANDING", JK$222),"--")</f>
        <v>0</v>
      </c>
      <c r="JL259" s="2132">
        <f>IF(JL$221,_xll.ciqfunctions.udf.CIQ($G259, "IQ_SHARESOUTSTANDING", JL$222),"--")</f>
        <v>0</v>
      </c>
      <c r="JM259" s="2132">
        <f>IF(JM$221,_xll.ciqfunctions.udf.CIQ($G259, "IQ_SHARESOUTSTANDING", JM$222),"--")</f>
        <v>0</v>
      </c>
      <c r="JN259" s="2132">
        <f>IF(JN$221,_xll.ciqfunctions.udf.CIQ($G259, "IQ_SHARESOUTSTANDING", JN$222),"--")</f>
        <v>0</v>
      </c>
      <c r="JO259" s="2132">
        <f>IF(JO$221,_xll.ciqfunctions.udf.CIQ($G259, "IQ_SHARESOUTSTANDING", JO$222),"--")</f>
        <v>0</v>
      </c>
      <c r="JP259" s="2132">
        <f>IF(JP$221,_xll.ciqfunctions.udf.CIQ($G259, "IQ_SHARESOUTSTANDING", JP$222),"--")</f>
        <v>0</v>
      </c>
      <c r="JQ259" s="2132">
        <f>IF(JQ$221,_xll.ciqfunctions.udf.CIQ($G259, "IQ_SHARESOUTSTANDING", JQ$222),"--")</f>
        <v>0</v>
      </c>
      <c r="JR259" s="2132">
        <f>IF(JR$221,_xll.ciqfunctions.udf.CIQ($G259, "IQ_SHARESOUTSTANDING", JR$222),"--")</f>
        <v>0</v>
      </c>
      <c r="JS259" s="2132">
        <f>IF(JS$221,_xll.ciqfunctions.udf.CIQ($G259, "IQ_SHARESOUTSTANDING", JS$222),"--")</f>
        <v>0</v>
      </c>
      <c r="JT259" s="2132">
        <f>IF(JT$221,_xll.ciqfunctions.udf.CIQ($G259, "IQ_SHARESOUTSTANDING", JT$222),"--")</f>
        <v>0</v>
      </c>
      <c r="JU259" s="2132">
        <f>IF(JU$221,_xll.ciqfunctions.udf.CIQ($G259, "IQ_SHARESOUTSTANDING", JU$222),"--")</f>
        <v>0</v>
      </c>
      <c r="JV259" s="2132">
        <f>IF(JV$221,_xll.ciqfunctions.udf.CIQ($G259, "IQ_SHARESOUTSTANDING", JV$222),"--")</f>
        <v>0</v>
      </c>
      <c r="JW259" s="2132" t="str">
        <f>IF(JW$221,_xll.ciqfunctions.udf.CIQ($G259, "IQ_SHARESOUTSTANDING", JW$222),"--")</f>
        <v>--</v>
      </c>
      <c r="JX259" s="2132" t="str">
        <f>IF(JX$221,_xll.ciqfunctions.udf.CIQ($G259, "IQ_SHARESOUTSTANDING", JX$222),"--")</f>
        <v>--</v>
      </c>
      <c r="JY259" s="2132" t="str">
        <f>IF(JY$221,_xll.ciqfunctions.udf.CIQ($G259, "IQ_SHARESOUTSTANDING", JY$222),"--")</f>
        <v>--</v>
      </c>
      <c r="JZ259" s="2132" t="str">
        <f>IF(JZ$221,_xll.ciqfunctions.udf.CIQ($G259, "IQ_SHARESOUTSTANDING", JZ$222),"--")</f>
        <v>--</v>
      </c>
      <c r="KA259" s="2132" t="str">
        <f>IF(KA$221,_xll.ciqfunctions.udf.CIQ($G259, "IQ_SHARESOUTSTANDING", KA$222),"--")</f>
        <v>--</v>
      </c>
      <c r="KB259" s="2132" t="str">
        <f>IF(KB$221,_xll.ciqfunctions.udf.CIQ($G259, "IQ_SHARESOUTSTANDING", KB$222),"--")</f>
        <v>--</v>
      </c>
    </row>
    <row r="260" spans="1:288" s="89" customFormat="1" ht="13.9">
      <c r="A260" s="269" t="str">
        <f t="shared" si="49"/>
        <v>n</v>
      </c>
      <c r="B260" s="2060"/>
      <c r="D260" s="801"/>
      <c r="E260" s="1505">
        <v>6</v>
      </c>
      <c r="F260" s="21" t="str">
        <f>F$134</f>
        <v>--</v>
      </c>
      <c r="G260" s="1441">
        <f>G$134</f>
        <v>0</v>
      </c>
      <c r="H260" s="1441" t="str">
        <f>H$134</f>
        <v>--</v>
      </c>
      <c r="I260" s="314" t="s">
        <v>783</v>
      </c>
      <c r="J260" s="314"/>
      <c r="K260" s="2301" t="str">
        <f>IF(OR(K197=0,$G260=0),"--",IFERROR(_xll.ciqfunctions.udf.CIQ($G260,$I260,K105,Valuation_Date_GC,ReportType,DataMode,$H260,FXMode)*Scale+K229*Pension10,"--"))</f>
        <v>--</v>
      </c>
      <c r="L260" s="2301" t="str">
        <f>IF(OR(L197=0,$G260=0),"--",IFERROR(_xll.ciqfunctions.udf.CIQ($G260,$I260,L105,Valuation_Date_GC,ReportType,DataMode,$H260,FXMode)*Scale+L229*Pension10,"--"))</f>
        <v>--</v>
      </c>
      <c r="M260" s="2301" t="str">
        <f>IF(OR(M197=0,$G260=0),"--",IFERROR(_xll.ciqfunctions.udf.CIQ($G260,$I260,M105,Valuation_Date_GC,ReportType,DataMode,$H260,FXMode)*Scale+M229*Pension10,"--"))</f>
        <v>--</v>
      </c>
      <c r="N260" s="2301" t="str">
        <f>IF(OR(N197=0,$G260=0),"--",IFERROR(_xll.ciqfunctions.udf.CIQ($G260,$I260,N105,Valuation_Date_GC,ReportType,DataMode,$H260,FXMode)*Scale+N229*Pension10,"--"))</f>
        <v>--</v>
      </c>
      <c r="O260" s="1471" t="str">
        <f>IF(OR(O197=0,$G260=0),"--",IFERROR(_xll.ciqfunctions.udf.CIQ($G260,$I260,O105,Valuation_Date_GC,ReportType,DataMode,$H260,FXMode)*Scale+O229*Pension10,"--"))</f>
        <v>--</v>
      </c>
      <c r="P260" s="2301" t="str">
        <f>IF(OR(P197=0,$G260=0),"--",IFERROR(_xll.ciqfunctions.udf.CIQ($G260,$I260,P105,Valuation_Date_GC,ReportType,DataMode,$H260,FXMode)*Scale+P229*Pension10,"--"))</f>
        <v>--</v>
      </c>
      <c r="R260" s="255"/>
      <c r="T260" s="1779" t="s">
        <v>784</v>
      </c>
      <c r="U260" s="2132">
        <f>IF(U$221,_xll.ciqfunctions.udf.CIQ($G260, "IQ_SHARESOUTSTANDING", U$222),"--")</f>
        <v>0</v>
      </c>
      <c r="V260" s="2132">
        <f>IF(V$221,_xll.ciqfunctions.udf.CIQ($G260, "IQ_SHARESOUTSTANDING", V$222),"--")</f>
        <v>0</v>
      </c>
      <c r="W260" s="2132">
        <f>IF(W$221,_xll.ciqfunctions.udf.CIQ($G260, "IQ_SHARESOUTSTANDING", W$222),"--")</f>
        <v>0</v>
      </c>
      <c r="X260" s="2132">
        <f>IF(X$221,_xll.ciqfunctions.udf.CIQ($G260, "IQ_SHARESOUTSTANDING", X$222),"--")</f>
        <v>0</v>
      </c>
      <c r="Y260" s="2132">
        <f>IF(Y$221,_xll.ciqfunctions.udf.CIQ($G260, "IQ_SHARESOUTSTANDING", Y$222),"--")</f>
        <v>0</v>
      </c>
      <c r="Z260" s="2132">
        <f>IF(Z$221,_xll.ciqfunctions.udf.CIQ($G260, "IQ_SHARESOUTSTANDING", Z$222),"--")</f>
        <v>0</v>
      </c>
      <c r="AA260" s="2132">
        <f>IF(AA$221,_xll.ciqfunctions.udf.CIQ($G260, "IQ_SHARESOUTSTANDING", AA$222),"--")</f>
        <v>0</v>
      </c>
      <c r="AB260" s="2132">
        <f>IF(AB$221,_xll.ciqfunctions.udf.CIQ($G260, "IQ_SHARESOUTSTANDING", AB$222),"--")</f>
        <v>0</v>
      </c>
      <c r="AC260" s="2132">
        <f>IF(AC$221,_xll.ciqfunctions.udf.CIQ($G260, "IQ_SHARESOUTSTANDING", AC$222),"--")</f>
        <v>0</v>
      </c>
      <c r="AD260" s="2132">
        <f>IF(AD$221,_xll.ciqfunctions.udf.CIQ($G260, "IQ_SHARESOUTSTANDING", AD$222),"--")</f>
        <v>0</v>
      </c>
      <c r="AE260" s="2132">
        <f>IF(AE$221,_xll.ciqfunctions.udf.CIQ($G260, "IQ_SHARESOUTSTANDING", AE$222),"--")</f>
        <v>0</v>
      </c>
      <c r="AF260" s="2132">
        <f>IF(AF$221,_xll.ciqfunctions.udf.CIQ($G260, "IQ_SHARESOUTSTANDING", AF$222),"--")</f>
        <v>0</v>
      </c>
      <c r="AG260" s="2132">
        <f>IF(AG$221,_xll.ciqfunctions.udf.CIQ($G260, "IQ_SHARESOUTSTANDING", AG$222),"--")</f>
        <v>0</v>
      </c>
      <c r="AH260" s="2132">
        <f>IF(AH$221,_xll.ciqfunctions.udf.CIQ($G260, "IQ_SHARESOUTSTANDING", AH$222),"--")</f>
        <v>0</v>
      </c>
      <c r="AI260" s="2132">
        <f>IF(AI$221,_xll.ciqfunctions.udf.CIQ($G260, "IQ_SHARESOUTSTANDING", AI$222),"--")</f>
        <v>0</v>
      </c>
      <c r="AJ260" s="2132">
        <f>IF(AJ$221,_xll.ciqfunctions.udf.CIQ($G260, "IQ_SHARESOUTSTANDING", AJ$222),"--")</f>
        <v>0</v>
      </c>
      <c r="AK260" s="2132">
        <f>IF(AK$221,_xll.ciqfunctions.udf.CIQ($G260, "IQ_SHARESOUTSTANDING", AK$222),"--")</f>
        <v>0</v>
      </c>
      <c r="AL260" s="2132">
        <f>IF(AL$221,_xll.ciqfunctions.udf.CIQ($G260, "IQ_SHARESOUTSTANDING", AL$222),"--")</f>
        <v>0</v>
      </c>
      <c r="AM260" s="2132">
        <f>IF(AM$221,_xll.ciqfunctions.udf.CIQ($G260, "IQ_SHARESOUTSTANDING", AM$222),"--")</f>
        <v>0</v>
      </c>
      <c r="AN260" s="2132">
        <f>IF(AN$221,_xll.ciqfunctions.udf.CIQ($G260, "IQ_SHARESOUTSTANDING", AN$222),"--")</f>
        <v>0</v>
      </c>
      <c r="AO260" s="2132">
        <f>IF(AO$221,_xll.ciqfunctions.udf.CIQ($G260, "IQ_SHARESOUTSTANDING", AO$222),"--")</f>
        <v>0</v>
      </c>
      <c r="AP260" s="2132">
        <f>IF(AP$221,_xll.ciqfunctions.udf.CIQ($G260, "IQ_SHARESOUTSTANDING", AP$222),"--")</f>
        <v>0</v>
      </c>
      <c r="AQ260" s="2132">
        <f>IF(AQ$221,_xll.ciqfunctions.udf.CIQ($G260, "IQ_SHARESOUTSTANDING", AQ$222),"--")</f>
        <v>0</v>
      </c>
      <c r="AR260" s="2132">
        <f>IF(AR$221,_xll.ciqfunctions.udf.CIQ($G260, "IQ_SHARESOUTSTANDING", AR$222),"--")</f>
        <v>0</v>
      </c>
      <c r="AS260" s="2132">
        <f>IF(AS$221,_xll.ciqfunctions.udf.CIQ($G260, "IQ_SHARESOUTSTANDING", AS$222),"--")</f>
        <v>0</v>
      </c>
      <c r="AT260" s="2132">
        <f>IF(AT$221,_xll.ciqfunctions.udf.CIQ($G260, "IQ_SHARESOUTSTANDING", AT$222),"--")</f>
        <v>0</v>
      </c>
      <c r="AU260" s="2132">
        <f>IF(AU$221,_xll.ciqfunctions.udf.CIQ($G260, "IQ_SHARESOUTSTANDING", AU$222),"--")</f>
        <v>0</v>
      </c>
      <c r="AV260" s="2132">
        <f>IF(AV$221,_xll.ciqfunctions.udf.CIQ($G260, "IQ_SHARESOUTSTANDING", AV$222),"--")</f>
        <v>0</v>
      </c>
      <c r="AW260" s="2132">
        <f>IF(AW$221,_xll.ciqfunctions.udf.CIQ($G260, "IQ_SHARESOUTSTANDING", AW$222),"--")</f>
        <v>0</v>
      </c>
      <c r="AX260" s="2132">
        <f>IF(AX$221,_xll.ciqfunctions.udf.CIQ($G260, "IQ_SHARESOUTSTANDING", AX$222),"--")</f>
        <v>0</v>
      </c>
      <c r="AY260" s="2132">
        <f>IF(AY$221,_xll.ciqfunctions.udf.CIQ($G260, "IQ_SHARESOUTSTANDING", AY$222),"--")</f>
        <v>0</v>
      </c>
      <c r="AZ260" s="2132">
        <f>IF(AZ$221,_xll.ciqfunctions.udf.CIQ($G260, "IQ_SHARESOUTSTANDING", AZ$222),"--")</f>
        <v>0</v>
      </c>
      <c r="BA260" s="2132">
        <f>IF(BA$221,_xll.ciqfunctions.udf.CIQ($G260, "IQ_SHARESOUTSTANDING", BA$222),"--")</f>
        <v>0</v>
      </c>
      <c r="BB260" s="2132">
        <f>IF(BB$221,_xll.ciqfunctions.udf.CIQ($G260, "IQ_SHARESOUTSTANDING", BB$222),"--")</f>
        <v>0</v>
      </c>
      <c r="BC260" s="2132">
        <f>IF(BC$221,_xll.ciqfunctions.udf.CIQ($G260, "IQ_SHARESOUTSTANDING", BC$222),"--")</f>
        <v>0</v>
      </c>
      <c r="BD260" s="2132">
        <f>IF(BD$221,_xll.ciqfunctions.udf.CIQ($G260, "IQ_SHARESOUTSTANDING", BD$222),"--")</f>
        <v>0</v>
      </c>
      <c r="BE260" s="2132">
        <f>IF(BE$221,_xll.ciqfunctions.udf.CIQ($G260, "IQ_SHARESOUTSTANDING", BE$222),"--")</f>
        <v>0</v>
      </c>
      <c r="BF260" s="2132">
        <f>IF(BF$221,_xll.ciqfunctions.udf.CIQ($G260, "IQ_SHARESOUTSTANDING", BF$222),"--")</f>
        <v>0</v>
      </c>
      <c r="BG260" s="2132">
        <f>IF(BG$221,_xll.ciqfunctions.udf.CIQ($G260, "IQ_SHARESOUTSTANDING", BG$222),"--")</f>
        <v>0</v>
      </c>
      <c r="BH260" s="2132">
        <f>IF(BH$221,_xll.ciqfunctions.udf.CIQ($G260, "IQ_SHARESOUTSTANDING", BH$222),"--")</f>
        <v>0</v>
      </c>
      <c r="BI260" s="2132">
        <f>IF(BI$221,_xll.ciqfunctions.udf.CIQ($G260, "IQ_SHARESOUTSTANDING", BI$222),"--")</f>
        <v>0</v>
      </c>
      <c r="BJ260" s="2132">
        <f>IF(BJ$221,_xll.ciqfunctions.udf.CIQ($G260, "IQ_SHARESOUTSTANDING", BJ$222),"--")</f>
        <v>0</v>
      </c>
      <c r="BK260" s="2132">
        <f>IF(BK$221,_xll.ciqfunctions.udf.CIQ($G260, "IQ_SHARESOUTSTANDING", BK$222),"--")</f>
        <v>0</v>
      </c>
      <c r="BL260" s="2132">
        <f>IF(BL$221,_xll.ciqfunctions.udf.CIQ($G260, "IQ_SHARESOUTSTANDING", BL$222),"--")</f>
        <v>0</v>
      </c>
      <c r="BM260" s="2132">
        <f>IF(BM$221,_xll.ciqfunctions.udf.CIQ($G260, "IQ_SHARESOUTSTANDING", BM$222),"--")</f>
        <v>0</v>
      </c>
      <c r="BN260" s="2132">
        <f>IF(BN$221,_xll.ciqfunctions.udf.CIQ($G260, "IQ_SHARESOUTSTANDING", BN$222),"--")</f>
        <v>0</v>
      </c>
      <c r="BO260" s="2132">
        <f>IF(BO$221,_xll.ciqfunctions.udf.CIQ($G260, "IQ_SHARESOUTSTANDING", BO$222),"--")</f>
        <v>0</v>
      </c>
      <c r="BP260" s="2132">
        <f>IF(BP$221,_xll.ciqfunctions.udf.CIQ($G260, "IQ_SHARESOUTSTANDING", BP$222),"--")</f>
        <v>0</v>
      </c>
      <c r="BQ260" s="2132">
        <f>IF(BQ$221,_xll.ciqfunctions.udf.CIQ($G260, "IQ_SHARESOUTSTANDING", BQ$222),"--")</f>
        <v>0</v>
      </c>
      <c r="BR260" s="2132">
        <f>IF(BR$221,_xll.ciqfunctions.udf.CIQ($G260, "IQ_SHARESOUTSTANDING", BR$222),"--")</f>
        <v>0</v>
      </c>
      <c r="BS260" s="2132">
        <f>IF(BS$221,_xll.ciqfunctions.udf.CIQ($G260, "IQ_SHARESOUTSTANDING", BS$222),"--")</f>
        <v>0</v>
      </c>
      <c r="BT260" s="2132">
        <f>IF(BT$221,_xll.ciqfunctions.udf.CIQ($G260, "IQ_SHARESOUTSTANDING", BT$222),"--")</f>
        <v>0</v>
      </c>
      <c r="BU260" s="2132">
        <f>IF(BU$221,_xll.ciqfunctions.udf.CIQ($G260, "IQ_SHARESOUTSTANDING", BU$222),"--")</f>
        <v>0</v>
      </c>
      <c r="BV260" s="2132">
        <f>IF(BV$221,_xll.ciqfunctions.udf.CIQ($G260, "IQ_SHARESOUTSTANDING", BV$222),"--")</f>
        <v>0</v>
      </c>
      <c r="BW260" s="2132">
        <f>IF(BW$221,_xll.ciqfunctions.udf.CIQ($G260, "IQ_SHARESOUTSTANDING", BW$222),"--")</f>
        <v>0</v>
      </c>
      <c r="BX260" s="2132">
        <f>IF(BX$221,_xll.ciqfunctions.udf.CIQ($G260, "IQ_SHARESOUTSTANDING", BX$222),"--")</f>
        <v>0</v>
      </c>
      <c r="BY260" s="2132">
        <f>IF(BY$221,_xll.ciqfunctions.udf.CIQ($G260, "IQ_SHARESOUTSTANDING", BY$222),"--")</f>
        <v>0</v>
      </c>
      <c r="BZ260" s="2132">
        <f>IF(BZ$221,_xll.ciqfunctions.udf.CIQ($G260, "IQ_SHARESOUTSTANDING", BZ$222),"--")</f>
        <v>0</v>
      </c>
      <c r="CA260" s="2132">
        <f>IF(CA$221,_xll.ciqfunctions.udf.CIQ($G260, "IQ_SHARESOUTSTANDING", CA$222),"--")</f>
        <v>0</v>
      </c>
      <c r="CB260" s="2132">
        <f>IF(CB$221,_xll.ciqfunctions.udf.CIQ($G260, "IQ_SHARESOUTSTANDING", CB$222),"--")</f>
        <v>0</v>
      </c>
      <c r="CC260" s="2132">
        <f>IF(CC$221,_xll.ciqfunctions.udf.CIQ($G260, "IQ_SHARESOUTSTANDING", CC$222),"--")</f>
        <v>0</v>
      </c>
      <c r="CD260" s="2132">
        <f>IF(CD$221,_xll.ciqfunctions.udf.CIQ($G260, "IQ_SHARESOUTSTANDING", CD$222),"--")</f>
        <v>0</v>
      </c>
      <c r="CE260" s="2132">
        <f>IF(CE$221,_xll.ciqfunctions.udf.CIQ($G260, "IQ_SHARESOUTSTANDING", CE$222),"--")</f>
        <v>0</v>
      </c>
      <c r="CF260" s="2132">
        <f>IF(CF$221,_xll.ciqfunctions.udf.CIQ($G260, "IQ_SHARESOUTSTANDING", CF$222),"--")</f>
        <v>0</v>
      </c>
      <c r="CG260" s="2132">
        <f>IF(CG$221,_xll.ciqfunctions.udf.CIQ($G260, "IQ_SHARESOUTSTANDING", CG$222),"--")</f>
        <v>0</v>
      </c>
      <c r="CH260" s="2132">
        <f>IF(CH$221,_xll.ciqfunctions.udf.CIQ($G260, "IQ_SHARESOUTSTANDING", CH$222),"--")</f>
        <v>0</v>
      </c>
      <c r="CI260" s="2132">
        <f>IF(CI$221,_xll.ciqfunctions.udf.CIQ($G260, "IQ_SHARESOUTSTANDING", CI$222),"--")</f>
        <v>0</v>
      </c>
      <c r="CJ260" s="2132">
        <f>IF(CJ$221,_xll.ciqfunctions.udf.CIQ($G260, "IQ_SHARESOUTSTANDING", CJ$222),"--")</f>
        <v>0</v>
      </c>
      <c r="CK260" s="2132">
        <f>IF(CK$221,_xll.ciqfunctions.udf.CIQ($G260, "IQ_SHARESOUTSTANDING", CK$222),"--")</f>
        <v>0</v>
      </c>
      <c r="CL260" s="2132">
        <f>IF(CL$221,_xll.ciqfunctions.udf.CIQ($G260, "IQ_SHARESOUTSTANDING", CL$222),"--")</f>
        <v>0</v>
      </c>
      <c r="CM260" s="2132">
        <f>IF(CM$221,_xll.ciqfunctions.udf.CIQ($G260, "IQ_SHARESOUTSTANDING", CM$222),"--")</f>
        <v>0</v>
      </c>
      <c r="CN260" s="2132">
        <f>IF(CN$221,_xll.ciqfunctions.udf.CIQ($G260, "IQ_SHARESOUTSTANDING", CN$222),"--")</f>
        <v>0</v>
      </c>
      <c r="CO260" s="2132">
        <f>IF(CO$221,_xll.ciqfunctions.udf.CIQ($G260, "IQ_SHARESOUTSTANDING", CO$222),"--")</f>
        <v>0</v>
      </c>
      <c r="CP260" s="2132">
        <f>IF(CP$221,_xll.ciqfunctions.udf.CIQ($G260, "IQ_SHARESOUTSTANDING", CP$222),"--")</f>
        <v>0</v>
      </c>
      <c r="CQ260" s="2132">
        <f>IF(CQ$221,_xll.ciqfunctions.udf.CIQ($G260, "IQ_SHARESOUTSTANDING", CQ$222),"--")</f>
        <v>0</v>
      </c>
      <c r="CR260" s="2132">
        <f>IF(CR$221,_xll.ciqfunctions.udf.CIQ($G260, "IQ_SHARESOUTSTANDING", CR$222),"--")</f>
        <v>0</v>
      </c>
      <c r="CS260" s="2132">
        <f>IF(CS$221,_xll.ciqfunctions.udf.CIQ($G260, "IQ_SHARESOUTSTANDING", CS$222),"--")</f>
        <v>0</v>
      </c>
      <c r="CT260" s="2132">
        <f>IF(CT$221,_xll.ciqfunctions.udf.CIQ($G260, "IQ_SHARESOUTSTANDING", CT$222),"--")</f>
        <v>0</v>
      </c>
      <c r="CU260" s="2132">
        <f>IF(CU$221,_xll.ciqfunctions.udf.CIQ($G260, "IQ_SHARESOUTSTANDING", CU$222),"--")</f>
        <v>0</v>
      </c>
      <c r="CV260" s="2132">
        <f>IF(CV$221,_xll.ciqfunctions.udf.CIQ($G260, "IQ_SHARESOUTSTANDING", CV$222),"--")</f>
        <v>0</v>
      </c>
      <c r="CW260" s="2132">
        <f>IF(CW$221,_xll.ciqfunctions.udf.CIQ($G260, "IQ_SHARESOUTSTANDING", CW$222),"--")</f>
        <v>0</v>
      </c>
      <c r="CX260" s="2132">
        <f>IF(CX$221,_xll.ciqfunctions.udf.CIQ($G260, "IQ_SHARESOUTSTANDING", CX$222),"--")</f>
        <v>0</v>
      </c>
      <c r="CY260" s="2132">
        <f>IF(CY$221,_xll.ciqfunctions.udf.CIQ($G260, "IQ_SHARESOUTSTANDING", CY$222),"--")</f>
        <v>0</v>
      </c>
      <c r="CZ260" s="2132">
        <f>IF(CZ$221,_xll.ciqfunctions.udf.CIQ($G260, "IQ_SHARESOUTSTANDING", CZ$222),"--")</f>
        <v>0</v>
      </c>
      <c r="DA260" s="2132">
        <f>IF(DA$221,_xll.ciqfunctions.udf.CIQ($G260, "IQ_SHARESOUTSTANDING", DA$222),"--")</f>
        <v>0</v>
      </c>
      <c r="DB260" s="2132">
        <f>IF(DB$221,_xll.ciqfunctions.udf.CIQ($G260, "IQ_SHARESOUTSTANDING", DB$222),"--")</f>
        <v>0</v>
      </c>
      <c r="DC260" s="2132">
        <f>IF(DC$221,_xll.ciqfunctions.udf.CIQ($G260, "IQ_SHARESOUTSTANDING", DC$222),"--")</f>
        <v>0</v>
      </c>
      <c r="DD260" s="2132">
        <f>IF(DD$221,_xll.ciqfunctions.udf.CIQ($G260, "IQ_SHARESOUTSTANDING", DD$222),"--")</f>
        <v>0</v>
      </c>
      <c r="DE260" s="2132">
        <f>IF(DE$221,_xll.ciqfunctions.udf.CIQ($G260, "IQ_SHARESOUTSTANDING", DE$222),"--")</f>
        <v>0</v>
      </c>
      <c r="DF260" s="2132">
        <f>IF(DF$221,_xll.ciqfunctions.udf.CIQ($G260, "IQ_SHARESOUTSTANDING", DF$222),"--")</f>
        <v>0</v>
      </c>
      <c r="DG260" s="2132">
        <f>IF(DG$221,_xll.ciqfunctions.udf.CIQ($G260, "IQ_SHARESOUTSTANDING", DG$222),"--")</f>
        <v>0</v>
      </c>
      <c r="DH260" s="2132">
        <f>IF(DH$221,_xll.ciqfunctions.udf.CIQ($G260, "IQ_SHARESOUTSTANDING", DH$222),"--")</f>
        <v>0</v>
      </c>
      <c r="DI260" s="2132">
        <f>IF(DI$221,_xll.ciqfunctions.udf.CIQ($G260, "IQ_SHARESOUTSTANDING", DI$222),"--")</f>
        <v>0</v>
      </c>
      <c r="DJ260" s="2132">
        <f>IF(DJ$221,_xll.ciqfunctions.udf.CIQ($G260, "IQ_SHARESOUTSTANDING", DJ$222),"--")</f>
        <v>0</v>
      </c>
      <c r="DK260" s="2132">
        <f>IF(DK$221,_xll.ciqfunctions.udf.CIQ($G260, "IQ_SHARESOUTSTANDING", DK$222),"--")</f>
        <v>0</v>
      </c>
      <c r="DL260" s="2132">
        <f>IF(DL$221,_xll.ciqfunctions.udf.CIQ($G260, "IQ_SHARESOUTSTANDING", DL$222),"--")</f>
        <v>0</v>
      </c>
      <c r="DM260" s="2132">
        <f>IF(DM$221,_xll.ciqfunctions.udf.CIQ($G260, "IQ_SHARESOUTSTANDING", DM$222),"--")</f>
        <v>0</v>
      </c>
      <c r="DN260" s="2132">
        <f>IF(DN$221,_xll.ciqfunctions.udf.CIQ($G260, "IQ_SHARESOUTSTANDING", DN$222),"--")</f>
        <v>0</v>
      </c>
      <c r="DO260" s="2132">
        <f>IF(DO$221,_xll.ciqfunctions.udf.CIQ($G260, "IQ_SHARESOUTSTANDING", DO$222),"--")</f>
        <v>0</v>
      </c>
      <c r="DP260" s="2132">
        <f>IF(DP$221,_xll.ciqfunctions.udf.CIQ($G260, "IQ_SHARESOUTSTANDING", DP$222),"--")</f>
        <v>0</v>
      </c>
      <c r="DQ260" s="2132">
        <f>IF(DQ$221,_xll.ciqfunctions.udf.CIQ($G260, "IQ_SHARESOUTSTANDING", DQ$222),"--")</f>
        <v>0</v>
      </c>
      <c r="DR260" s="2132">
        <f>IF(DR$221,_xll.ciqfunctions.udf.CIQ($G260, "IQ_SHARESOUTSTANDING", DR$222),"--")</f>
        <v>0</v>
      </c>
      <c r="DS260" s="2132">
        <f>IF(DS$221,_xll.ciqfunctions.udf.CIQ($G260, "IQ_SHARESOUTSTANDING", DS$222),"--")</f>
        <v>0</v>
      </c>
      <c r="DT260" s="2132">
        <f>IF(DT$221,_xll.ciqfunctions.udf.CIQ($G260, "IQ_SHARESOUTSTANDING", DT$222),"--")</f>
        <v>0</v>
      </c>
      <c r="DU260" s="2132">
        <f>IF(DU$221,_xll.ciqfunctions.udf.CIQ($G260, "IQ_SHARESOUTSTANDING", DU$222),"--")</f>
        <v>0</v>
      </c>
      <c r="DV260" s="2132">
        <f>IF(DV$221,_xll.ciqfunctions.udf.CIQ($G260, "IQ_SHARESOUTSTANDING", DV$222),"--")</f>
        <v>0</v>
      </c>
      <c r="DW260" s="2132">
        <f>IF(DW$221,_xll.ciqfunctions.udf.CIQ($G260, "IQ_SHARESOUTSTANDING", DW$222),"--")</f>
        <v>0</v>
      </c>
      <c r="DX260" s="2132">
        <f>IF(DX$221,_xll.ciqfunctions.udf.CIQ($G260, "IQ_SHARESOUTSTANDING", DX$222),"--")</f>
        <v>0</v>
      </c>
      <c r="DY260" s="2132">
        <f>IF(DY$221,_xll.ciqfunctions.udf.CIQ($G260, "IQ_SHARESOUTSTANDING", DY$222),"--")</f>
        <v>0</v>
      </c>
      <c r="DZ260" s="2132">
        <f>IF(DZ$221,_xll.ciqfunctions.udf.CIQ($G260, "IQ_SHARESOUTSTANDING", DZ$222),"--")</f>
        <v>0</v>
      </c>
      <c r="EA260" s="2132">
        <f>IF(EA$221,_xll.ciqfunctions.udf.CIQ($G260, "IQ_SHARESOUTSTANDING", EA$222),"--")</f>
        <v>0</v>
      </c>
      <c r="EB260" s="2132">
        <f>IF(EB$221,_xll.ciqfunctions.udf.CIQ($G260, "IQ_SHARESOUTSTANDING", EB$222),"--")</f>
        <v>0</v>
      </c>
      <c r="EC260" s="2132">
        <f>IF(EC$221,_xll.ciqfunctions.udf.CIQ($G260, "IQ_SHARESOUTSTANDING", EC$222),"--")</f>
        <v>0</v>
      </c>
      <c r="ED260" s="2132">
        <f>IF(ED$221,_xll.ciqfunctions.udf.CIQ($G260, "IQ_SHARESOUTSTANDING", ED$222),"--")</f>
        <v>0</v>
      </c>
      <c r="EE260" s="2132">
        <f>IF(EE$221,_xll.ciqfunctions.udf.CIQ($G260, "IQ_SHARESOUTSTANDING", EE$222),"--")</f>
        <v>0</v>
      </c>
      <c r="EF260" s="2132">
        <f>IF(EF$221,_xll.ciqfunctions.udf.CIQ($G260, "IQ_SHARESOUTSTANDING", EF$222),"--")</f>
        <v>0</v>
      </c>
      <c r="EG260" s="2132">
        <f>IF(EG$221,_xll.ciqfunctions.udf.CIQ($G260, "IQ_SHARESOUTSTANDING", EG$222),"--")</f>
        <v>0</v>
      </c>
      <c r="EH260" s="2132">
        <f>IF(EH$221,_xll.ciqfunctions.udf.CIQ($G260, "IQ_SHARESOUTSTANDING", EH$222),"--")</f>
        <v>0</v>
      </c>
      <c r="EI260" s="2132">
        <f>IF(EI$221,_xll.ciqfunctions.udf.CIQ($G260, "IQ_SHARESOUTSTANDING", EI$222),"--")</f>
        <v>0</v>
      </c>
      <c r="EJ260" s="2132">
        <f>IF(EJ$221,_xll.ciqfunctions.udf.CIQ($G260, "IQ_SHARESOUTSTANDING", EJ$222),"--")</f>
        <v>0</v>
      </c>
      <c r="EK260" s="2132">
        <f>IF(EK$221,_xll.ciqfunctions.udf.CIQ($G260, "IQ_SHARESOUTSTANDING", EK$222),"--")</f>
        <v>0</v>
      </c>
      <c r="EL260" s="2132">
        <f>IF(EL$221,_xll.ciqfunctions.udf.CIQ($G260, "IQ_SHARESOUTSTANDING", EL$222),"--")</f>
        <v>0</v>
      </c>
      <c r="EM260" s="2132">
        <f>IF(EM$221,_xll.ciqfunctions.udf.CIQ($G260, "IQ_SHARESOUTSTANDING", EM$222),"--")</f>
        <v>0</v>
      </c>
      <c r="EN260" s="2132">
        <f>IF(EN$221,_xll.ciqfunctions.udf.CIQ($G260, "IQ_SHARESOUTSTANDING", EN$222),"--")</f>
        <v>0</v>
      </c>
      <c r="EO260" s="2132">
        <f>IF(EO$221,_xll.ciqfunctions.udf.CIQ($G260, "IQ_SHARESOUTSTANDING", EO$222),"--")</f>
        <v>0</v>
      </c>
      <c r="EP260" s="2132">
        <f>IF(EP$221,_xll.ciqfunctions.udf.CIQ($G260, "IQ_SHARESOUTSTANDING", EP$222),"--")</f>
        <v>0</v>
      </c>
      <c r="EQ260" s="2132">
        <f>IF(EQ$221,_xll.ciqfunctions.udf.CIQ($G260, "IQ_SHARESOUTSTANDING", EQ$222),"--")</f>
        <v>0</v>
      </c>
      <c r="ER260" s="2132">
        <f>IF(ER$221,_xll.ciqfunctions.udf.CIQ($G260, "IQ_SHARESOUTSTANDING", ER$222),"--")</f>
        <v>0</v>
      </c>
      <c r="ES260" s="2132">
        <f>IF(ES$221,_xll.ciqfunctions.udf.CIQ($G260, "IQ_SHARESOUTSTANDING", ES$222),"--")</f>
        <v>0</v>
      </c>
      <c r="ET260" s="2132">
        <f>IF(ET$221,_xll.ciqfunctions.udf.CIQ($G260, "IQ_SHARESOUTSTANDING", ET$222),"--")</f>
        <v>0</v>
      </c>
      <c r="EU260" s="2132">
        <f>IF(EU$221,_xll.ciqfunctions.udf.CIQ($G260, "IQ_SHARESOUTSTANDING", EU$222),"--")</f>
        <v>0</v>
      </c>
      <c r="EV260" s="2132">
        <f>IF(EV$221,_xll.ciqfunctions.udf.CIQ($G260, "IQ_SHARESOUTSTANDING", EV$222),"--")</f>
        <v>0</v>
      </c>
      <c r="EW260" s="2132">
        <f>IF(EW$221,_xll.ciqfunctions.udf.CIQ($G260, "IQ_SHARESOUTSTANDING", EW$222),"--")</f>
        <v>0</v>
      </c>
      <c r="EX260" s="2132">
        <f>IF(EX$221,_xll.ciqfunctions.udf.CIQ($G260, "IQ_SHARESOUTSTANDING", EX$222),"--")</f>
        <v>0</v>
      </c>
      <c r="EY260" s="2132">
        <f>IF(EY$221,_xll.ciqfunctions.udf.CIQ($G260, "IQ_SHARESOUTSTANDING", EY$222),"--")</f>
        <v>0</v>
      </c>
      <c r="EZ260" s="2132">
        <f>IF(EZ$221,_xll.ciqfunctions.udf.CIQ($G260, "IQ_SHARESOUTSTANDING", EZ$222),"--")</f>
        <v>0</v>
      </c>
      <c r="FA260" s="2132">
        <f>IF(FA$221,_xll.ciqfunctions.udf.CIQ($G260, "IQ_SHARESOUTSTANDING", FA$222),"--")</f>
        <v>0</v>
      </c>
      <c r="FB260" s="2132">
        <f>IF(FB$221,_xll.ciqfunctions.udf.CIQ($G260, "IQ_SHARESOUTSTANDING", FB$222),"--")</f>
        <v>0</v>
      </c>
      <c r="FC260" s="2132">
        <f>IF(FC$221,_xll.ciqfunctions.udf.CIQ($G260, "IQ_SHARESOUTSTANDING", FC$222),"--")</f>
        <v>0</v>
      </c>
      <c r="FD260" s="2132">
        <f>IF(FD$221,_xll.ciqfunctions.udf.CIQ($G260, "IQ_SHARESOUTSTANDING", FD$222),"--")</f>
        <v>0</v>
      </c>
      <c r="FE260" s="2132">
        <f>IF(FE$221,_xll.ciqfunctions.udf.CIQ($G260, "IQ_SHARESOUTSTANDING", FE$222),"--")</f>
        <v>0</v>
      </c>
      <c r="FF260" s="2132">
        <f>IF(FF$221,_xll.ciqfunctions.udf.CIQ($G260, "IQ_SHARESOUTSTANDING", FF$222),"--")</f>
        <v>0</v>
      </c>
      <c r="FG260" s="2132">
        <f>IF(FG$221,_xll.ciqfunctions.udf.CIQ($G260, "IQ_SHARESOUTSTANDING", FG$222),"--")</f>
        <v>0</v>
      </c>
      <c r="FH260" s="2132">
        <f>IF(FH$221,_xll.ciqfunctions.udf.CIQ($G260, "IQ_SHARESOUTSTANDING", FH$222),"--")</f>
        <v>0</v>
      </c>
      <c r="FI260" s="2132">
        <f>IF(FI$221,_xll.ciqfunctions.udf.CIQ($G260, "IQ_SHARESOUTSTANDING", FI$222),"--")</f>
        <v>0</v>
      </c>
      <c r="FJ260" s="2132">
        <f>IF(FJ$221,_xll.ciqfunctions.udf.CIQ($G260, "IQ_SHARESOUTSTANDING", FJ$222),"--")</f>
        <v>0</v>
      </c>
      <c r="FK260" s="2132">
        <f>IF(FK$221,_xll.ciqfunctions.udf.CIQ($G260, "IQ_SHARESOUTSTANDING", FK$222),"--")</f>
        <v>0</v>
      </c>
      <c r="FL260" s="2132">
        <f>IF(FL$221,_xll.ciqfunctions.udf.CIQ($G260, "IQ_SHARESOUTSTANDING", FL$222),"--")</f>
        <v>0</v>
      </c>
      <c r="FM260" s="2132">
        <f>IF(FM$221,_xll.ciqfunctions.udf.CIQ($G260, "IQ_SHARESOUTSTANDING", FM$222),"--")</f>
        <v>0</v>
      </c>
      <c r="FN260" s="2132">
        <f>IF(FN$221,_xll.ciqfunctions.udf.CIQ($G260, "IQ_SHARESOUTSTANDING", FN$222),"--")</f>
        <v>0</v>
      </c>
      <c r="FO260" s="2132">
        <f>IF(FO$221,_xll.ciqfunctions.udf.CIQ($G260, "IQ_SHARESOUTSTANDING", FO$222),"--")</f>
        <v>0</v>
      </c>
      <c r="FP260" s="2132">
        <f>IF(FP$221,_xll.ciqfunctions.udf.CIQ($G260, "IQ_SHARESOUTSTANDING", FP$222),"--")</f>
        <v>0</v>
      </c>
      <c r="FQ260" s="2132">
        <f>IF(FQ$221,_xll.ciqfunctions.udf.CIQ($G260, "IQ_SHARESOUTSTANDING", FQ$222),"--")</f>
        <v>0</v>
      </c>
      <c r="FR260" s="2132">
        <f>IF(FR$221,_xll.ciqfunctions.udf.CIQ($G260, "IQ_SHARESOUTSTANDING", FR$222),"--")</f>
        <v>0</v>
      </c>
      <c r="FS260" s="2132">
        <f>IF(FS$221,_xll.ciqfunctions.udf.CIQ($G260, "IQ_SHARESOUTSTANDING", FS$222),"--")</f>
        <v>0</v>
      </c>
      <c r="FT260" s="2132">
        <f>IF(FT$221,_xll.ciqfunctions.udf.CIQ($G260, "IQ_SHARESOUTSTANDING", FT$222),"--")</f>
        <v>0</v>
      </c>
      <c r="FU260" s="2132">
        <f>IF(FU$221,_xll.ciqfunctions.udf.CIQ($G260, "IQ_SHARESOUTSTANDING", FU$222),"--")</f>
        <v>0</v>
      </c>
      <c r="FV260" s="2132">
        <f>IF(FV$221,_xll.ciqfunctions.udf.CIQ($G260, "IQ_SHARESOUTSTANDING", FV$222),"--")</f>
        <v>0</v>
      </c>
      <c r="FW260" s="2132">
        <f>IF(FW$221,_xll.ciqfunctions.udf.CIQ($G260, "IQ_SHARESOUTSTANDING", FW$222),"--")</f>
        <v>0</v>
      </c>
      <c r="FX260" s="2132">
        <f>IF(FX$221,_xll.ciqfunctions.udf.CIQ($G260, "IQ_SHARESOUTSTANDING", FX$222),"--")</f>
        <v>0</v>
      </c>
      <c r="FY260" s="2132">
        <f>IF(FY$221,_xll.ciqfunctions.udf.CIQ($G260, "IQ_SHARESOUTSTANDING", FY$222),"--")</f>
        <v>0</v>
      </c>
      <c r="FZ260" s="2132">
        <f>IF(FZ$221,_xll.ciqfunctions.udf.CIQ($G260, "IQ_SHARESOUTSTANDING", FZ$222),"--")</f>
        <v>0</v>
      </c>
      <c r="GA260" s="2132">
        <f>IF(GA$221,_xll.ciqfunctions.udf.CIQ($G260, "IQ_SHARESOUTSTANDING", GA$222),"--")</f>
        <v>0</v>
      </c>
      <c r="GB260" s="2132">
        <f>IF(GB$221,_xll.ciqfunctions.udf.CIQ($G260, "IQ_SHARESOUTSTANDING", GB$222),"--")</f>
        <v>0</v>
      </c>
      <c r="GC260" s="2132">
        <f>IF(GC$221,_xll.ciqfunctions.udf.CIQ($G260, "IQ_SHARESOUTSTANDING", GC$222),"--")</f>
        <v>0</v>
      </c>
      <c r="GD260" s="2132">
        <f>IF(GD$221,_xll.ciqfunctions.udf.CIQ($G260, "IQ_SHARESOUTSTANDING", GD$222),"--")</f>
        <v>0</v>
      </c>
      <c r="GE260" s="2132">
        <f>IF(GE$221,_xll.ciqfunctions.udf.CIQ($G260, "IQ_SHARESOUTSTANDING", GE$222),"--")</f>
        <v>0</v>
      </c>
      <c r="GF260" s="2132">
        <f>IF(GF$221,_xll.ciqfunctions.udf.CIQ($G260, "IQ_SHARESOUTSTANDING", GF$222),"--")</f>
        <v>0</v>
      </c>
      <c r="GG260" s="2132">
        <f>IF(GG$221,_xll.ciqfunctions.udf.CIQ($G260, "IQ_SHARESOUTSTANDING", GG$222),"--")</f>
        <v>0</v>
      </c>
      <c r="GH260" s="2132">
        <f>IF(GH$221,_xll.ciqfunctions.udf.CIQ($G260, "IQ_SHARESOUTSTANDING", GH$222),"--")</f>
        <v>0</v>
      </c>
      <c r="GI260" s="2132">
        <f>IF(GI$221,_xll.ciqfunctions.udf.CIQ($G260, "IQ_SHARESOUTSTANDING", GI$222),"--")</f>
        <v>0</v>
      </c>
      <c r="GJ260" s="2132">
        <f>IF(GJ$221,_xll.ciqfunctions.udf.CIQ($G260, "IQ_SHARESOUTSTANDING", GJ$222),"--")</f>
        <v>0</v>
      </c>
      <c r="GK260" s="2132">
        <f>IF(GK$221,_xll.ciqfunctions.udf.CIQ($G260, "IQ_SHARESOUTSTANDING", GK$222),"--")</f>
        <v>0</v>
      </c>
      <c r="GL260" s="2132">
        <f>IF(GL$221,_xll.ciqfunctions.udf.CIQ($G260, "IQ_SHARESOUTSTANDING", GL$222),"--")</f>
        <v>0</v>
      </c>
      <c r="GM260" s="2132">
        <f>IF(GM$221,_xll.ciqfunctions.udf.CIQ($G260, "IQ_SHARESOUTSTANDING", GM$222),"--")</f>
        <v>0</v>
      </c>
      <c r="GN260" s="2132">
        <f>IF(GN$221,_xll.ciqfunctions.udf.CIQ($G260, "IQ_SHARESOUTSTANDING", GN$222),"--")</f>
        <v>0</v>
      </c>
      <c r="GO260" s="2132">
        <f>IF(GO$221,_xll.ciqfunctions.udf.CIQ($G260, "IQ_SHARESOUTSTANDING", GO$222),"--")</f>
        <v>0</v>
      </c>
      <c r="GP260" s="2132">
        <f>IF(GP$221,_xll.ciqfunctions.udf.CIQ($G260, "IQ_SHARESOUTSTANDING", GP$222),"--")</f>
        <v>0</v>
      </c>
      <c r="GQ260" s="2132">
        <f>IF(GQ$221,_xll.ciqfunctions.udf.CIQ($G260, "IQ_SHARESOUTSTANDING", GQ$222),"--")</f>
        <v>0</v>
      </c>
      <c r="GR260" s="2132">
        <f>IF(GR$221,_xll.ciqfunctions.udf.CIQ($G260, "IQ_SHARESOUTSTANDING", GR$222),"--")</f>
        <v>0</v>
      </c>
      <c r="GS260" s="2132">
        <f>IF(GS$221,_xll.ciqfunctions.udf.CIQ($G260, "IQ_SHARESOUTSTANDING", GS$222),"--")</f>
        <v>0</v>
      </c>
      <c r="GT260" s="2132">
        <f>IF(GT$221,_xll.ciqfunctions.udf.CIQ($G260, "IQ_SHARESOUTSTANDING", GT$222),"--")</f>
        <v>0</v>
      </c>
      <c r="GU260" s="2132">
        <f>IF(GU$221,_xll.ciqfunctions.udf.CIQ($G260, "IQ_SHARESOUTSTANDING", GU$222),"--")</f>
        <v>0</v>
      </c>
      <c r="GV260" s="2132">
        <f>IF(GV$221,_xll.ciqfunctions.udf.CIQ($G260, "IQ_SHARESOUTSTANDING", GV$222),"--")</f>
        <v>0</v>
      </c>
      <c r="GW260" s="2132">
        <f>IF(GW$221,_xll.ciqfunctions.udf.CIQ($G260, "IQ_SHARESOUTSTANDING", GW$222),"--")</f>
        <v>0</v>
      </c>
      <c r="GX260" s="2132">
        <f>IF(GX$221,_xll.ciqfunctions.udf.CIQ($G260, "IQ_SHARESOUTSTANDING", GX$222),"--")</f>
        <v>0</v>
      </c>
      <c r="GY260" s="2132">
        <f>IF(GY$221,_xll.ciqfunctions.udf.CIQ($G260, "IQ_SHARESOUTSTANDING", GY$222),"--")</f>
        <v>0</v>
      </c>
      <c r="GZ260" s="2132">
        <f>IF(GZ$221,_xll.ciqfunctions.udf.CIQ($G260, "IQ_SHARESOUTSTANDING", GZ$222),"--")</f>
        <v>0</v>
      </c>
      <c r="HA260" s="2132">
        <f>IF(HA$221,_xll.ciqfunctions.udf.CIQ($G260, "IQ_SHARESOUTSTANDING", HA$222),"--")</f>
        <v>0</v>
      </c>
      <c r="HB260" s="2132">
        <f>IF(HB$221,_xll.ciqfunctions.udf.CIQ($G260, "IQ_SHARESOUTSTANDING", HB$222),"--")</f>
        <v>0</v>
      </c>
      <c r="HC260" s="2132">
        <f>IF(HC$221,_xll.ciqfunctions.udf.CIQ($G260, "IQ_SHARESOUTSTANDING", HC$222),"--")</f>
        <v>0</v>
      </c>
      <c r="HD260" s="2132">
        <f>IF(HD$221,_xll.ciqfunctions.udf.CIQ($G260, "IQ_SHARESOUTSTANDING", HD$222),"--")</f>
        <v>0</v>
      </c>
      <c r="HE260" s="2132">
        <f>IF(HE$221,_xll.ciqfunctions.udf.CIQ($G260, "IQ_SHARESOUTSTANDING", HE$222),"--")</f>
        <v>0</v>
      </c>
      <c r="HF260" s="2132">
        <f>IF(HF$221,_xll.ciqfunctions.udf.CIQ($G260, "IQ_SHARESOUTSTANDING", HF$222),"--")</f>
        <v>0</v>
      </c>
      <c r="HG260" s="2132">
        <f>IF(HG$221,_xll.ciqfunctions.udf.CIQ($G260, "IQ_SHARESOUTSTANDING", HG$222),"--")</f>
        <v>0</v>
      </c>
      <c r="HH260" s="2132">
        <f>IF(HH$221,_xll.ciqfunctions.udf.CIQ($G260, "IQ_SHARESOUTSTANDING", HH$222),"--")</f>
        <v>0</v>
      </c>
      <c r="HI260" s="2132">
        <f>IF(HI$221,_xll.ciqfunctions.udf.CIQ($G260, "IQ_SHARESOUTSTANDING", HI$222),"--")</f>
        <v>0</v>
      </c>
      <c r="HJ260" s="2132">
        <f>IF(HJ$221,_xll.ciqfunctions.udf.CIQ($G260, "IQ_SHARESOUTSTANDING", HJ$222),"--")</f>
        <v>0</v>
      </c>
      <c r="HK260" s="2132">
        <f>IF(HK$221,_xll.ciqfunctions.udf.CIQ($G260, "IQ_SHARESOUTSTANDING", HK$222),"--")</f>
        <v>0</v>
      </c>
      <c r="HL260" s="2132">
        <f>IF(HL$221,_xll.ciqfunctions.udf.CIQ($G260, "IQ_SHARESOUTSTANDING", HL$222),"--")</f>
        <v>0</v>
      </c>
      <c r="HM260" s="2132">
        <f>IF(HM$221,_xll.ciqfunctions.udf.CIQ($G260, "IQ_SHARESOUTSTANDING", HM$222),"--")</f>
        <v>0</v>
      </c>
      <c r="HN260" s="2132">
        <f>IF(HN$221,_xll.ciqfunctions.udf.CIQ($G260, "IQ_SHARESOUTSTANDING", HN$222),"--")</f>
        <v>0</v>
      </c>
      <c r="HO260" s="2132">
        <f>IF(HO$221,_xll.ciqfunctions.udf.CIQ($G260, "IQ_SHARESOUTSTANDING", HO$222),"--")</f>
        <v>0</v>
      </c>
      <c r="HP260" s="2132">
        <f>IF(HP$221,_xll.ciqfunctions.udf.CIQ($G260, "IQ_SHARESOUTSTANDING", HP$222),"--")</f>
        <v>0</v>
      </c>
      <c r="HQ260" s="2132">
        <f>IF(HQ$221,_xll.ciqfunctions.udf.CIQ($G260, "IQ_SHARESOUTSTANDING", HQ$222),"--")</f>
        <v>0</v>
      </c>
      <c r="HR260" s="2132">
        <f>IF(HR$221,_xll.ciqfunctions.udf.CIQ($G260, "IQ_SHARESOUTSTANDING", HR$222),"--")</f>
        <v>0</v>
      </c>
      <c r="HS260" s="2132">
        <f>IF(HS$221,_xll.ciqfunctions.udf.CIQ($G260, "IQ_SHARESOUTSTANDING", HS$222),"--")</f>
        <v>0</v>
      </c>
      <c r="HT260" s="2132">
        <f>IF(HT$221,_xll.ciqfunctions.udf.CIQ($G260, "IQ_SHARESOUTSTANDING", HT$222),"--")</f>
        <v>0</v>
      </c>
      <c r="HU260" s="2132">
        <f>IF(HU$221,_xll.ciqfunctions.udf.CIQ($G260, "IQ_SHARESOUTSTANDING", HU$222),"--")</f>
        <v>0</v>
      </c>
      <c r="HV260" s="2132">
        <f>IF(HV$221,_xll.ciqfunctions.udf.CIQ($G260, "IQ_SHARESOUTSTANDING", HV$222),"--")</f>
        <v>0</v>
      </c>
      <c r="HW260" s="2132">
        <f>IF(HW$221,_xll.ciqfunctions.udf.CIQ($G260, "IQ_SHARESOUTSTANDING", HW$222),"--")</f>
        <v>0</v>
      </c>
      <c r="HX260" s="2132">
        <f>IF(HX$221,_xll.ciqfunctions.udf.CIQ($G260, "IQ_SHARESOUTSTANDING", HX$222),"--")</f>
        <v>0</v>
      </c>
      <c r="HY260" s="2132">
        <f>IF(HY$221,_xll.ciqfunctions.udf.CIQ($G260, "IQ_SHARESOUTSTANDING", HY$222),"--")</f>
        <v>0</v>
      </c>
      <c r="HZ260" s="2132">
        <f>IF(HZ$221,_xll.ciqfunctions.udf.CIQ($G260, "IQ_SHARESOUTSTANDING", HZ$222),"--")</f>
        <v>0</v>
      </c>
      <c r="IA260" s="2132">
        <f>IF(IA$221,_xll.ciqfunctions.udf.CIQ($G260, "IQ_SHARESOUTSTANDING", IA$222),"--")</f>
        <v>0</v>
      </c>
      <c r="IB260" s="2132">
        <f>IF(IB$221,_xll.ciqfunctions.udf.CIQ($G260, "IQ_SHARESOUTSTANDING", IB$222),"--")</f>
        <v>0</v>
      </c>
      <c r="IC260" s="2132">
        <f>IF(IC$221,_xll.ciqfunctions.udf.CIQ($G260, "IQ_SHARESOUTSTANDING", IC$222),"--")</f>
        <v>0</v>
      </c>
      <c r="ID260" s="2132">
        <f>IF(ID$221,_xll.ciqfunctions.udf.CIQ($G260, "IQ_SHARESOUTSTANDING", ID$222),"--")</f>
        <v>0</v>
      </c>
      <c r="IE260" s="2132">
        <f>IF(IE$221,_xll.ciqfunctions.udf.CIQ($G260, "IQ_SHARESOUTSTANDING", IE$222),"--")</f>
        <v>0</v>
      </c>
      <c r="IF260" s="2132">
        <f>IF(IF$221,_xll.ciqfunctions.udf.CIQ($G260, "IQ_SHARESOUTSTANDING", IF$222),"--")</f>
        <v>0</v>
      </c>
      <c r="IG260" s="2132">
        <f>IF(IG$221,_xll.ciqfunctions.udf.CIQ($G260, "IQ_SHARESOUTSTANDING", IG$222),"--")</f>
        <v>0</v>
      </c>
      <c r="IH260" s="2132">
        <f>IF(IH$221,_xll.ciqfunctions.udf.CIQ($G260, "IQ_SHARESOUTSTANDING", IH$222),"--")</f>
        <v>0</v>
      </c>
      <c r="II260" s="2132">
        <f>IF(II$221,_xll.ciqfunctions.udf.CIQ($G260, "IQ_SHARESOUTSTANDING", II$222),"--")</f>
        <v>0</v>
      </c>
      <c r="IJ260" s="2132">
        <f>IF(IJ$221,_xll.ciqfunctions.udf.CIQ($G260, "IQ_SHARESOUTSTANDING", IJ$222),"--")</f>
        <v>0</v>
      </c>
      <c r="IK260" s="2132">
        <f>IF(IK$221,_xll.ciqfunctions.udf.CIQ($G260, "IQ_SHARESOUTSTANDING", IK$222),"--")</f>
        <v>0</v>
      </c>
      <c r="IL260" s="2132">
        <f>IF(IL$221,_xll.ciqfunctions.udf.CIQ($G260, "IQ_SHARESOUTSTANDING", IL$222),"--")</f>
        <v>0</v>
      </c>
      <c r="IM260" s="2132">
        <f>IF(IM$221,_xll.ciqfunctions.udf.CIQ($G260, "IQ_SHARESOUTSTANDING", IM$222),"--")</f>
        <v>0</v>
      </c>
      <c r="IN260" s="2132">
        <f>IF(IN$221,_xll.ciqfunctions.udf.CIQ($G260, "IQ_SHARESOUTSTANDING", IN$222),"--")</f>
        <v>0</v>
      </c>
      <c r="IO260" s="2132">
        <f>IF(IO$221,_xll.ciqfunctions.udf.CIQ($G260, "IQ_SHARESOUTSTANDING", IO$222),"--")</f>
        <v>0</v>
      </c>
      <c r="IP260" s="2132">
        <f>IF(IP$221,_xll.ciqfunctions.udf.CIQ($G260, "IQ_SHARESOUTSTANDING", IP$222),"--")</f>
        <v>0</v>
      </c>
      <c r="IQ260" s="2132">
        <f>IF(IQ$221,_xll.ciqfunctions.udf.CIQ($G260, "IQ_SHARESOUTSTANDING", IQ$222),"--")</f>
        <v>0</v>
      </c>
      <c r="IR260" s="2132">
        <f>IF(IR$221,_xll.ciqfunctions.udf.CIQ($G260, "IQ_SHARESOUTSTANDING", IR$222),"--")</f>
        <v>0</v>
      </c>
      <c r="IS260" s="2132">
        <f>IF(IS$221,_xll.ciqfunctions.udf.CIQ($G260, "IQ_SHARESOUTSTANDING", IS$222),"--")</f>
        <v>0</v>
      </c>
      <c r="IT260" s="2132">
        <f>IF(IT$221,_xll.ciqfunctions.udf.CIQ($G260, "IQ_SHARESOUTSTANDING", IT$222),"--")</f>
        <v>0</v>
      </c>
      <c r="IU260" s="2132">
        <f>IF(IU$221,_xll.ciqfunctions.udf.CIQ($G260, "IQ_SHARESOUTSTANDING", IU$222),"--")</f>
        <v>0</v>
      </c>
      <c r="IV260" s="2132">
        <f>IF(IV$221,_xll.ciqfunctions.udf.CIQ($G260, "IQ_SHARESOUTSTANDING", IV$222),"--")</f>
        <v>0</v>
      </c>
      <c r="IW260" s="2132">
        <f>IF(IW$221,_xll.ciqfunctions.udf.CIQ($G260, "IQ_SHARESOUTSTANDING", IW$222),"--")</f>
        <v>0</v>
      </c>
      <c r="IX260" s="2132">
        <f>IF(IX$221,_xll.ciqfunctions.udf.CIQ($G260, "IQ_SHARESOUTSTANDING", IX$222),"--")</f>
        <v>0</v>
      </c>
      <c r="IY260" s="2132">
        <f>IF(IY$221,_xll.ciqfunctions.udf.CIQ($G260, "IQ_SHARESOUTSTANDING", IY$222),"--")</f>
        <v>0</v>
      </c>
      <c r="IZ260" s="2132">
        <f>IF(IZ$221,_xll.ciqfunctions.udf.CIQ($G260, "IQ_SHARESOUTSTANDING", IZ$222),"--")</f>
        <v>0</v>
      </c>
      <c r="JA260" s="2132">
        <f>IF(JA$221,_xll.ciqfunctions.udf.CIQ($G260, "IQ_SHARESOUTSTANDING", JA$222),"--")</f>
        <v>0</v>
      </c>
      <c r="JB260" s="2132">
        <f>IF(JB$221,_xll.ciqfunctions.udf.CIQ($G260, "IQ_SHARESOUTSTANDING", JB$222),"--")</f>
        <v>0</v>
      </c>
      <c r="JC260" s="2132">
        <f>IF(JC$221,_xll.ciqfunctions.udf.CIQ($G260, "IQ_SHARESOUTSTANDING", JC$222),"--")</f>
        <v>0</v>
      </c>
      <c r="JD260" s="2132">
        <f>IF(JD$221,_xll.ciqfunctions.udf.CIQ($G260, "IQ_SHARESOUTSTANDING", JD$222),"--")</f>
        <v>0</v>
      </c>
      <c r="JE260" s="2132">
        <f>IF(JE$221,_xll.ciqfunctions.udf.CIQ($G260, "IQ_SHARESOUTSTANDING", JE$222),"--")</f>
        <v>0</v>
      </c>
      <c r="JF260" s="2132">
        <f>IF(JF$221,_xll.ciqfunctions.udf.CIQ($G260, "IQ_SHARESOUTSTANDING", JF$222),"--")</f>
        <v>0</v>
      </c>
      <c r="JG260" s="2132">
        <f>IF(JG$221,_xll.ciqfunctions.udf.CIQ($G260, "IQ_SHARESOUTSTANDING", JG$222),"--")</f>
        <v>0</v>
      </c>
      <c r="JH260" s="2132">
        <f>IF(JH$221,_xll.ciqfunctions.udf.CIQ($G260, "IQ_SHARESOUTSTANDING", JH$222),"--")</f>
        <v>0</v>
      </c>
      <c r="JI260" s="2132">
        <f>IF(JI$221,_xll.ciqfunctions.udf.CIQ($G260, "IQ_SHARESOUTSTANDING", JI$222),"--")</f>
        <v>0</v>
      </c>
      <c r="JJ260" s="2132">
        <f>IF(JJ$221,_xll.ciqfunctions.udf.CIQ($G260, "IQ_SHARESOUTSTANDING", JJ$222),"--")</f>
        <v>0</v>
      </c>
      <c r="JK260" s="2132">
        <f>IF(JK$221,_xll.ciqfunctions.udf.CIQ($G260, "IQ_SHARESOUTSTANDING", JK$222),"--")</f>
        <v>0</v>
      </c>
      <c r="JL260" s="2132">
        <f>IF(JL$221,_xll.ciqfunctions.udf.CIQ($G260, "IQ_SHARESOUTSTANDING", JL$222),"--")</f>
        <v>0</v>
      </c>
      <c r="JM260" s="2132">
        <f>IF(JM$221,_xll.ciqfunctions.udf.CIQ($G260, "IQ_SHARESOUTSTANDING", JM$222),"--")</f>
        <v>0</v>
      </c>
      <c r="JN260" s="2132">
        <f>IF(JN$221,_xll.ciqfunctions.udf.CIQ($G260, "IQ_SHARESOUTSTANDING", JN$222),"--")</f>
        <v>0</v>
      </c>
      <c r="JO260" s="2132">
        <f>IF(JO$221,_xll.ciqfunctions.udf.CIQ($G260, "IQ_SHARESOUTSTANDING", JO$222),"--")</f>
        <v>0</v>
      </c>
      <c r="JP260" s="2132">
        <f>IF(JP$221,_xll.ciqfunctions.udf.CIQ($G260, "IQ_SHARESOUTSTANDING", JP$222),"--")</f>
        <v>0</v>
      </c>
      <c r="JQ260" s="2132">
        <f>IF(JQ$221,_xll.ciqfunctions.udf.CIQ($G260, "IQ_SHARESOUTSTANDING", JQ$222),"--")</f>
        <v>0</v>
      </c>
      <c r="JR260" s="2132">
        <f>IF(JR$221,_xll.ciqfunctions.udf.CIQ($G260, "IQ_SHARESOUTSTANDING", JR$222),"--")</f>
        <v>0</v>
      </c>
      <c r="JS260" s="2132">
        <f>IF(JS$221,_xll.ciqfunctions.udf.CIQ($G260, "IQ_SHARESOUTSTANDING", JS$222),"--")</f>
        <v>0</v>
      </c>
      <c r="JT260" s="2132">
        <f>IF(JT$221,_xll.ciqfunctions.udf.CIQ($G260, "IQ_SHARESOUTSTANDING", JT$222),"--")</f>
        <v>0</v>
      </c>
      <c r="JU260" s="2132">
        <f>IF(JU$221,_xll.ciqfunctions.udf.CIQ($G260, "IQ_SHARESOUTSTANDING", JU$222),"--")</f>
        <v>0</v>
      </c>
      <c r="JV260" s="2132">
        <f>IF(JV$221,_xll.ciqfunctions.udf.CIQ($G260, "IQ_SHARESOUTSTANDING", JV$222),"--")</f>
        <v>0</v>
      </c>
      <c r="JW260" s="2132" t="str">
        <f>IF(JW$221,_xll.ciqfunctions.udf.CIQ($G260, "IQ_SHARESOUTSTANDING", JW$222),"--")</f>
        <v>--</v>
      </c>
      <c r="JX260" s="2132" t="str">
        <f>IF(JX$221,_xll.ciqfunctions.udf.CIQ($G260, "IQ_SHARESOUTSTANDING", JX$222),"--")</f>
        <v>--</v>
      </c>
      <c r="JY260" s="2132" t="str">
        <f>IF(JY$221,_xll.ciqfunctions.udf.CIQ($G260, "IQ_SHARESOUTSTANDING", JY$222),"--")</f>
        <v>--</v>
      </c>
      <c r="JZ260" s="2132" t="str">
        <f>IF(JZ$221,_xll.ciqfunctions.udf.CIQ($G260, "IQ_SHARESOUTSTANDING", JZ$222),"--")</f>
        <v>--</v>
      </c>
      <c r="KA260" s="2132" t="str">
        <f>IF(KA$221,_xll.ciqfunctions.udf.CIQ($G260, "IQ_SHARESOUTSTANDING", KA$222),"--")</f>
        <v>--</v>
      </c>
      <c r="KB260" s="2132" t="str">
        <f>IF(KB$221,_xll.ciqfunctions.udf.CIQ($G260, "IQ_SHARESOUTSTANDING", KB$222),"--")</f>
        <v>--</v>
      </c>
    </row>
    <row r="261" spans="1:288" s="89" customFormat="1" ht="13.9">
      <c r="A261" s="269" t="str">
        <f t="shared" si="49"/>
        <v>n</v>
      </c>
      <c r="B261" s="2060"/>
      <c r="D261" s="801"/>
      <c r="E261" s="1505">
        <v>7</v>
      </c>
      <c r="F261" s="21" t="str">
        <f>F$135</f>
        <v>--</v>
      </c>
      <c r="G261" s="1441">
        <f>G$135</f>
        <v>0</v>
      </c>
      <c r="H261" s="1441" t="str">
        <f>H$135</f>
        <v>--</v>
      </c>
      <c r="I261" s="314" t="s">
        <v>783</v>
      </c>
      <c r="J261" s="314"/>
      <c r="K261" s="2301" t="str">
        <f>IF(OR(K198=0,$G261=0),"--",IFERROR(_xll.ciqfunctions.udf.CIQ($G261,$I261,K106,Valuation_Date_GC,ReportType,DataMode,$H261,FXMode)*Scale+K230*Pension10,"--"))</f>
        <v>--</v>
      </c>
      <c r="L261" s="2301" t="str">
        <f>IF(OR(L198=0,$G261=0),"--",IFERROR(_xll.ciqfunctions.udf.CIQ($G261,$I261,L106,Valuation_Date_GC,ReportType,DataMode,$H261,FXMode)*Scale+L230*Pension10,"--"))</f>
        <v>--</v>
      </c>
      <c r="M261" s="2301" t="str">
        <f>IF(OR(M198=0,$G261=0),"--",IFERROR(_xll.ciqfunctions.udf.CIQ($G261,$I261,M106,Valuation_Date_GC,ReportType,DataMode,$H261,FXMode)*Scale+M230*Pension10,"--"))</f>
        <v>--</v>
      </c>
      <c r="N261" s="2301" t="str">
        <f>IF(OR(N198=0,$G261=0),"--",IFERROR(_xll.ciqfunctions.udf.CIQ($G261,$I261,N106,Valuation_Date_GC,ReportType,DataMode,$H261,FXMode)*Scale+N230*Pension10,"--"))</f>
        <v>--</v>
      </c>
      <c r="O261" s="1471" t="str">
        <f>IF(OR(O198=0,$G261=0),"--",IFERROR(_xll.ciqfunctions.udf.CIQ($G261,$I261,O106,Valuation_Date_GC,ReportType,DataMode,$H261,FXMode)*Scale+O230*Pension10,"--"))</f>
        <v>--</v>
      </c>
      <c r="P261" s="2301" t="str">
        <f>IF(OR(P198=0,$G261=0),"--",IFERROR(_xll.ciqfunctions.udf.CIQ($G261,$I261,P106,Valuation_Date_GC,ReportType,DataMode,$H261,FXMode)*Scale+P230*Pension10,"--"))</f>
        <v>--</v>
      </c>
      <c r="R261" s="255"/>
      <c r="T261" s="1779" t="s">
        <v>784</v>
      </c>
      <c r="U261" s="2132">
        <f>IF(U$221,_xll.ciqfunctions.udf.CIQ($G261, "IQ_SHARESOUTSTANDING", U$222),"--")</f>
        <v>0</v>
      </c>
      <c r="V261" s="2132">
        <f>IF(V$221,_xll.ciqfunctions.udf.CIQ($G261, "IQ_SHARESOUTSTANDING", V$222),"--")</f>
        <v>0</v>
      </c>
      <c r="W261" s="2132">
        <f>IF(W$221,_xll.ciqfunctions.udf.CIQ($G261, "IQ_SHARESOUTSTANDING", W$222),"--")</f>
        <v>0</v>
      </c>
      <c r="X261" s="2132">
        <f>IF(X$221,_xll.ciqfunctions.udf.CIQ($G261, "IQ_SHARESOUTSTANDING", X$222),"--")</f>
        <v>0</v>
      </c>
      <c r="Y261" s="2132">
        <f>IF(Y$221,_xll.ciqfunctions.udf.CIQ($G261, "IQ_SHARESOUTSTANDING", Y$222),"--")</f>
        <v>0</v>
      </c>
      <c r="Z261" s="2132">
        <f>IF(Z$221,_xll.ciqfunctions.udf.CIQ($G261, "IQ_SHARESOUTSTANDING", Z$222),"--")</f>
        <v>0</v>
      </c>
      <c r="AA261" s="2132">
        <f>IF(AA$221,_xll.ciqfunctions.udf.CIQ($G261, "IQ_SHARESOUTSTANDING", AA$222),"--")</f>
        <v>0</v>
      </c>
      <c r="AB261" s="2132">
        <f>IF(AB$221,_xll.ciqfunctions.udf.CIQ($G261, "IQ_SHARESOUTSTANDING", AB$222),"--")</f>
        <v>0</v>
      </c>
      <c r="AC261" s="2132">
        <f>IF(AC$221,_xll.ciqfunctions.udf.CIQ($G261, "IQ_SHARESOUTSTANDING", AC$222),"--")</f>
        <v>0</v>
      </c>
      <c r="AD261" s="2132">
        <f>IF(AD$221,_xll.ciqfunctions.udf.CIQ($G261, "IQ_SHARESOUTSTANDING", AD$222),"--")</f>
        <v>0</v>
      </c>
      <c r="AE261" s="2132">
        <f>IF(AE$221,_xll.ciqfunctions.udf.CIQ($G261, "IQ_SHARESOUTSTANDING", AE$222),"--")</f>
        <v>0</v>
      </c>
      <c r="AF261" s="2132">
        <f>IF(AF$221,_xll.ciqfunctions.udf.CIQ($G261, "IQ_SHARESOUTSTANDING", AF$222),"--")</f>
        <v>0</v>
      </c>
      <c r="AG261" s="2132">
        <f>IF(AG$221,_xll.ciqfunctions.udf.CIQ($G261, "IQ_SHARESOUTSTANDING", AG$222),"--")</f>
        <v>0</v>
      </c>
      <c r="AH261" s="2132">
        <f>IF(AH$221,_xll.ciqfunctions.udf.CIQ($G261, "IQ_SHARESOUTSTANDING", AH$222),"--")</f>
        <v>0</v>
      </c>
      <c r="AI261" s="2132">
        <f>IF(AI$221,_xll.ciqfunctions.udf.CIQ($G261, "IQ_SHARESOUTSTANDING", AI$222),"--")</f>
        <v>0</v>
      </c>
      <c r="AJ261" s="2132">
        <f>IF(AJ$221,_xll.ciqfunctions.udf.CIQ($G261, "IQ_SHARESOUTSTANDING", AJ$222),"--")</f>
        <v>0</v>
      </c>
      <c r="AK261" s="2132">
        <f>IF(AK$221,_xll.ciqfunctions.udf.CIQ($G261, "IQ_SHARESOUTSTANDING", AK$222),"--")</f>
        <v>0</v>
      </c>
      <c r="AL261" s="2132">
        <f>IF(AL$221,_xll.ciqfunctions.udf.CIQ($G261, "IQ_SHARESOUTSTANDING", AL$222),"--")</f>
        <v>0</v>
      </c>
      <c r="AM261" s="2132">
        <f>IF(AM$221,_xll.ciqfunctions.udf.CIQ($G261, "IQ_SHARESOUTSTANDING", AM$222),"--")</f>
        <v>0</v>
      </c>
      <c r="AN261" s="2132">
        <f>IF(AN$221,_xll.ciqfunctions.udf.CIQ($G261, "IQ_SHARESOUTSTANDING", AN$222),"--")</f>
        <v>0</v>
      </c>
      <c r="AO261" s="2132">
        <f>IF(AO$221,_xll.ciqfunctions.udf.CIQ($G261, "IQ_SHARESOUTSTANDING", AO$222),"--")</f>
        <v>0</v>
      </c>
      <c r="AP261" s="2132">
        <f>IF(AP$221,_xll.ciqfunctions.udf.CIQ($G261, "IQ_SHARESOUTSTANDING", AP$222),"--")</f>
        <v>0</v>
      </c>
      <c r="AQ261" s="2132">
        <f>IF(AQ$221,_xll.ciqfunctions.udf.CIQ($G261, "IQ_SHARESOUTSTANDING", AQ$222),"--")</f>
        <v>0</v>
      </c>
      <c r="AR261" s="2132">
        <f>IF(AR$221,_xll.ciqfunctions.udf.CIQ($G261, "IQ_SHARESOUTSTANDING", AR$222),"--")</f>
        <v>0</v>
      </c>
      <c r="AS261" s="2132">
        <f>IF(AS$221,_xll.ciqfunctions.udf.CIQ($G261, "IQ_SHARESOUTSTANDING", AS$222),"--")</f>
        <v>0</v>
      </c>
      <c r="AT261" s="2132">
        <f>IF(AT$221,_xll.ciqfunctions.udf.CIQ($G261, "IQ_SHARESOUTSTANDING", AT$222),"--")</f>
        <v>0</v>
      </c>
      <c r="AU261" s="2132">
        <f>IF(AU$221,_xll.ciqfunctions.udf.CIQ($G261, "IQ_SHARESOUTSTANDING", AU$222),"--")</f>
        <v>0</v>
      </c>
      <c r="AV261" s="2132">
        <f>IF(AV$221,_xll.ciqfunctions.udf.CIQ($G261, "IQ_SHARESOUTSTANDING", AV$222),"--")</f>
        <v>0</v>
      </c>
      <c r="AW261" s="2132">
        <f>IF(AW$221,_xll.ciqfunctions.udf.CIQ($G261, "IQ_SHARESOUTSTANDING", AW$222),"--")</f>
        <v>0</v>
      </c>
      <c r="AX261" s="2132">
        <f>IF(AX$221,_xll.ciqfunctions.udf.CIQ($G261, "IQ_SHARESOUTSTANDING", AX$222),"--")</f>
        <v>0</v>
      </c>
      <c r="AY261" s="2132">
        <f>IF(AY$221,_xll.ciqfunctions.udf.CIQ($G261, "IQ_SHARESOUTSTANDING", AY$222),"--")</f>
        <v>0</v>
      </c>
      <c r="AZ261" s="2132">
        <f>IF(AZ$221,_xll.ciqfunctions.udf.CIQ($G261, "IQ_SHARESOUTSTANDING", AZ$222),"--")</f>
        <v>0</v>
      </c>
      <c r="BA261" s="2132">
        <f>IF(BA$221,_xll.ciqfunctions.udf.CIQ($G261, "IQ_SHARESOUTSTANDING", BA$222),"--")</f>
        <v>0</v>
      </c>
      <c r="BB261" s="2132">
        <f>IF(BB$221,_xll.ciqfunctions.udf.CIQ($G261, "IQ_SHARESOUTSTANDING", BB$222),"--")</f>
        <v>0</v>
      </c>
      <c r="BC261" s="2132">
        <f>IF(BC$221,_xll.ciqfunctions.udf.CIQ($G261, "IQ_SHARESOUTSTANDING", BC$222),"--")</f>
        <v>0</v>
      </c>
      <c r="BD261" s="2132">
        <f>IF(BD$221,_xll.ciqfunctions.udf.CIQ($G261, "IQ_SHARESOUTSTANDING", BD$222),"--")</f>
        <v>0</v>
      </c>
      <c r="BE261" s="2132">
        <f>IF(BE$221,_xll.ciqfunctions.udf.CIQ($G261, "IQ_SHARESOUTSTANDING", BE$222),"--")</f>
        <v>0</v>
      </c>
      <c r="BF261" s="2132">
        <f>IF(BF$221,_xll.ciqfunctions.udf.CIQ($G261, "IQ_SHARESOUTSTANDING", BF$222),"--")</f>
        <v>0</v>
      </c>
      <c r="BG261" s="2132">
        <f>IF(BG$221,_xll.ciqfunctions.udf.CIQ($G261, "IQ_SHARESOUTSTANDING", BG$222),"--")</f>
        <v>0</v>
      </c>
      <c r="BH261" s="2132">
        <f>IF(BH$221,_xll.ciqfunctions.udf.CIQ($G261, "IQ_SHARESOUTSTANDING", BH$222),"--")</f>
        <v>0</v>
      </c>
      <c r="BI261" s="2132">
        <f>IF(BI$221,_xll.ciqfunctions.udf.CIQ($G261, "IQ_SHARESOUTSTANDING", BI$222),"--")</f>
        <v>0</v>
      </c>
      <c r="BJ261" s="2132">
        <f>IF(BJ$221,_xll.ciqfunctions.udf.CIQ($G261, "IQ_SHARESOUTSTANDING", BJ$222),"--")</f>
        <v>0</v>
      </c>
      <c r="BK261" s="2132">
        <f>IF(BK$221,_xll.ciqfunctions.udf.CIQ($G261, "IQ_SHARESOUTSTANDING", BK$222),"--")</f>
        <v>0</v>
      </c>
      <c r="BL261" s="2132">
        <f>IF(BL$221,_xll.ciqfunctions.udf.CIQ($G261, "IQ_SHARESOUTSTANDING", BL$222),"--")</f>
        <v>0</v>
      </c>
      <c r="BM261" s="2132">
        <f>IF(BM$221,_xll.ciqfunctions.udf.CIQ($G261, "IQ_SHARESOUTSTANDING", BM$222),"--")</f>
        <v>0</v>
      </c>
      <c r="BN261" s="2132">
        <f>IF(BN$221,_xll.ciqfunctions.udf.CIQ($G261, "IQ_SHARESOUTSTANDING", BN$222),"--")</f>
        <v>0</v>
      </c>
      <c r="BO261" s="2132">
        <f>IF(BO$221,_xll.ciqfunctions.udf.CIQ($G261, "IQ_SHARESOUTSTANDING", BO$222),"--")</f>
        <v>0</v>
      </c>
      <c r="BP261" s="2132">
        <f>IF(BP$221,_xll.ciqfunctions.udf.CIQ($G261, "IQ_SHARESOUTSTANDING", BP$222),"--")</f>
        <v>0</v>
      </c>
      <c r="BQ261" s="2132">
        <f>IF(BQ$221,_xll.ciqfunctions.udf.CIQ($G261, "IQ_SHARESOUTSTANDING", BQ$222),"--")</f>
        <v>0</v>
      </c>
      <c r="BR261" s="2132">
        <f>IF(BR$221,_xll.ciqfunctions.udf.CIQ($G261, "IQ_SHARESOUTSTANDING", BR$222),"--")</f>
        <v>0</v>
      </c>
      <c r="BS261" s="2132">
        <f>IF(BS$221,_xll.ciqfunctions.udf.CIQ($G261, "IQ_SHARESOUTSTANDING", BS$222),"--")</f>
        <v>0</v>
      </c>
      <c r="BT261" s="2132">
        <f>IF(BT$221,_xll.ciqfunctions.udf.CIQ($G261, "IQ_SHARESOUTSTANDING", BT$222),"--")</f>
        <v>0</v>
      </c>
      <c r="BU261" s="2132">
        <f>IF(BU$221,_xll.ciqfunctions.udf.CIQ($G261, "IQ_SHARESOUTSTANDING", BU$222),"--")</f>
        <v>0</v>
      </c>
      <c r="BV261" s="2132">
        <f>IF(BV$221,_xll.ciqfunctions.udf.CIQ($G261, "IQ_SHARESOUTSTANDING", BV$222),"--")</f>
        <v>0</v>
      </c>
      <c r="BW261" s="2132">
        <f>IF(BW$221,_xll.ciqfunctions.udf.CIQ($G261, "IQ_SHARESOUTSTANDING", BW$222),"--")</f>
        <v>0</v>
      </c>
      <c r="BX261" s="2132">
        <f>IF(BX$221,_xll.ciqfunctions.udf.CIQ($G261, "IQ_SHARESOUTSTANDING", BX$222),"--")</f>
        <v>0</v>
      </c>
      <c r="BY261" s="2132">
        <f>IF(BY$221,_xll.ciqfunctions.udf.CIQ($G261, "IQ_SHARESOUTSTANDING", BY$222),"--")</f>
        <v>0</v>
      </c>
      <c r="BZ261" s="2132">
        <f>IF(BZ$221,_xll.ciqfunctions.udf.CIQ($G261, "IQ_SHARESOUTSTANDING", BZ$222),"--")</f>
        <v>0</v>
      </c>
      <c r="CA261" s="2132">
        <f>IF(CA$221,_xll.ciqfunctions.udf.CIQ($G261, "IQ_SHARESOUTSTANDING", CA$222),"--")</f>
        <v>0</v>
      </c>
      <c r="CB261" s="2132">
        <f>IF(CB$221,_xll.ciqfunctions.udf.CIQ($G261, "IQ_SHARESOUTSTANDING", CB$222),"--")</f>
        <v>0</v>
      </c>
      <c r="CC261" s="2132">
        <f>IF(CC$221,_xll.ciqfunctions.udf.CIQ($G261, "IQ_SHARESOUTSTANDING", CC$222),"--")</f>
        <v>0</v>
      </c>
      <c r="CD261" s="2132">
        <f>IF(CD$221,_xll.ciqfunctions.udf.CIQ($G261, "IQ_SHARESOUTSTANDING", CD$222),"--")</f>
        <v>0</v>
      </c>
      <c r="CE261" s="2132">
        <f>IF(CE$221,_xll.ciqfunctions.udf.CIQ($G261, "IQ_SHARESOUTSTANDING", CE$222),"--")</f>
        <v>0</v>
      </c>
      <c r="CF261" s="2132">
        <f>IF(CF$221,_xll.ciqfunctions.udf.CIQ($G261, "IQ_SHARESOUTSTANDING", CF$222),"--")</f>
        <v>0</v>
      </c>
      <c r="CG261" s="2132">
        <f>IF(CG$221,_xll.ciqfunctions.udf.CIQ($G261, "IQ_SHARESOUTSTANDING", CG$222),"--")</f>
        <v>0</v>
      </c>
      <c r="CH261" s="2132">
        <f>IF(CH$221,_xll.ciqfunctions.udf.CIQ($G261, "IQ_SHARESOUTSTANDING", CH$222),"--")</f>
        <v>0</v>
      </c>
      <c r="CI261" s="2132">
        <f>IF(CI$221,_xll.ciqfunctions.udf.CIQ($G261, "IQ_SHARESOUTSTANDING", CI$222),"--")</f>
        <v>0</v>
      </c>
      <c r="CJ261" s="2132">
        <f>IF(CJ$221,_xll.ciqfunctions.udf.CIQ($G261, "IQ_SHARESOUTSTANDING", CJ$222),"--")</f>
        <v>0</v>
      </c>
      <c r="CK261" s="2132">
        <f>IF(CK$221,_xll.ciqfunctions.udf.CIQ($G261, "IQ_SHARESOUTSTANDING", CK$222),"--")</f>
        <v>0</v>
      </c>
      <c r="CL261" s="2132">
        <f>IF(CL$221,_xll.ciqfunctions.udf.CIQ($G261, "IQ_SHARESOUTSTANDING", CL$222),"--")</f>
        <v>0</v>
      </c>
      <c r="CM261" s="2132">
        <f>IF(CM$221,_xll.ciqfunctions.udf.CIQ($G261, "IQ_SHARESOUTSTANDING", CM$222),"--")</f>
        <v>0</v>
      </c>
      <c r="CN261" s="2132">
        <f>IF(CN$221,_xll.ciqfunctions.udf.CIQ($G261, "IQ_SHARESOUTSTANDING", CN$222),"--")</f>
        <v>0</v>
      </c>
      <c r="CO261" s="2132">
        <f>IF(CO$221,_xll.ciqfunctions.udf.CIQ($G261, "IQ_SHARESOUTSTANDING", CO$222),"--")</f>
        <v>0</v>
      </c>
      <c r="CP261" s="2132">
        <f>IF(CP$221,_xll.ciqfunctions.udf.CIQ($G261, "IQ_SHARESOUTSTANDING", CP$222),"--")</f>
        <v>0</v>
      </c>
      <c r="CQ261" s="2132">
        <f>IF(CQ$221,_xll.ciqfunctions.udf.CIQ($G261, "IQ_SHARESOUTSTANDING", CQ$222),"--")</f>
        <v>0</v>
      </c>
      <c r="CR261" s="2132">
        <f>IF(CR$221,_xll.ciqfunctions.udf.CIQ($G261, "IQ_SHARESOUTSTANDING", CR$222),"--")</f>
        <v>0</v>
      </c>
      <c r="CS261" s="2132">
        <f>IF(CS$221,_xll.ciqfunctions.udf.CIQ($G261, "IQ_SHARESOUTSTANDING", CS$222),"--")</f>
        <v>0</v>
      </c>
      <c r="CT261" s="2132">
        <f>IF(CT$221,_xll.ciqfunctions.udf.CIQ($G261, "IQ_SHARESOUTSTANDING", CT$222),"--")</f>
        <v>0</v>
      </c>
      <c r="CU261" s="2132">
        <f>IF(CU$221,_xll.ciqfunctions.udf.CIQ($G261, "IQ_SHARESOUTSTANDING", CU$222),"--")</f>
        <v>0</v>
      </c>
      <c r="CV261" s="2132">
        <f>IF(CV$221,_xll.ciqfunctions.udf.CIQ($G261, "IQ_SHARESOUTSTANDING", CV$222),"--")</f>
        <v>0</v>
      </c>
      <c r="CW261" s="2132">
        <f>IF(CW$221,_xll.ciqfunctions.udf.CIQ($G261, "IQ_SHARESOUTSTANDING", CW$222),"--")</f>
        <v>0</v>
      </c>
      <c r="CX261" s="2132">
        <f>IF(CX$221,_xll.ciqfunctions.udf.CIQ($G261, "IQ_SHARESOUTSTANDING", CX$222),"--")</f>
        <v>0</v>
      </c>
      <c r="CY261" s="2132">
        <f>IF(CY$221,_xll.ciqfunctions.udf.CIQ($G261, "IQ_SHARESOUTSTANDING", CY$222),"--")</f>
        <v>0</v>
      </c>
      <c r="CZ261" s="2132">
        <f>IF(CZ$221,_xll.ciqfunctions.udf.CIQ($G261, "IQ_SHARESOUTSTANDING", CZ$222),"--")</f>
        <v>0</v>
      </c>
      <c r="DA261" s="2132">
        <f>IF(DA$221,_xll.ciqfunctions.udf.CIQ($G261, "IQ_SHARESOUTSTANDING", DA$222),"--")</f>
        <v>0</v>
      </c>
      <c r="DB261" s="2132">
        <f>IF(DB$221,_xll.ciqfunctions.udf.CIQ($G261, "IQ_SHARESOUTSTANDING", DB$222),"--")</f>
        <v>0</v>
      </c>
      <c r="DC261" s="2132">
        <f>IF(DC$221,_xll.ciqfunctions.udf.CIQ($G261, "IQ_SHARESOUTSTANDING", DC$222),"--")</f>
        <v>0</v>
      </c>
      <c r="DD261" s="2132">
        <f>IF(DD$221,_xll.ciqfunctions.udf.CIQ($G261, "IQ_SHARESOUTSTANDING", DD$222),"--")</f>
        <v>0</v>
      </c>
      <c r="DE261" s="2132">
        <f>IF(DE$221,_xll.ciqfunctions.udf.CIQ($G261, "IQ_SHARESOUTSTANDING", DE$222),"--")</f>
        <v>0</v>
      </c>
      <c r="DF261" s="2132">
        <f>IF(DF$221,_xll.ciqfunctions.udf.CIQ($G261, "IQ_SHARESOUTSTANDING", DF$222),"--")</f>
        <v>0</v>
      </c>
      <c r="DG261" s="2132">
        <f>IF(DG$221,_xll.ciqfunctions.udf.CIQ($G261, "IQ_SHARESOUTSTANDING", DG$222),"--")</f>
        <v>0</v>
      </c>
      <c r="DH261" s="2132">
        <f>IF(DH$221,_xll.ciqfunctions.udf.CIQ($G261, "IQ_SHARESOUTSTANDING", DH$222),"--")</f>
        <v>0</v>
      </c>
      <c r="DI261" s="2132">
        <f>IF(DI$221,_xll.ciqfunctions.udf.CIQ($G261, "IQ_SHARESOUTSTANDING", DI$222),"--")</f>
        <v>0</v>
      </c>
      <c r="DJ261" s="2132">
        <f>IF(DJ$221,_xll.ciqfunctions.udf.CIQ($G261, "IQ_SHARESOUTSTANDING", DJ$222),"--")</f>
        <v>0</v>
      </c>
      <c r="DK261" s="2132">
        <f>IF(DK$221,_xll.ciqfunctions.udf.CIQ($G261, "IQ_SHARESOUTSTANDING", DK$222),"--")</f>
        <v>0</v>
      </c>
      <c r="DL261" s="2132">
        <f>IF(DL$221,_xll.ciqfunctions.udf.CIQ($G261, "IQ_SHARESOUTSTANDING", DL$222),"--")</f>
        <v>0</v>
      </c>
      <c r="DM261" s="2132">
        <f>IF(DM$221,_xll.ciqfunctions.udf.CIQ($G261, "IQ_SHARESOUTSTANDING", DM$222),"--")</f>
        <v>0</v>
      </c>
      <c r="DN261" s="2132">
        <f>IF(DN$221,_xll.ciqfunctions.udf.CIQ($G261, "IQ_SHARESOUTSTANDING", DN$222),"--")</f>
        <v>0</v>
      </c>
      <c r="DO261" s="2132">
        <f>IF(DO$221,_xll.ciqfunctions.udf.CIQ($G261, "IQ_SHARESOUTSTANDING", DO$222),"--")</f>
        <v>0</v>
      </c>
      <c r="DP261" s="2132">
        <f>IF(DP$221,_xll.ciqfunctions.udf.CIQ($G261, "IQ_SHARESOUTSTANDING", DP$222),"--")</f>
        <v>0</v>
      </c>
      <c r="DQ261" s="2132">
        <f>IF(DQ$221,_xll.ciqfunctions.udf.CIQ($G261, "IQ_SHARESOUTSTANDING", DQ$222),"--")</f>
        <v>0</v>
      </c>
      <c r="DR261" s="2132">
        <f>IF(DR$221,_xll.ciqfunctions.udf.CIQ($G261, "IQ_SHARESOUTSTANDING", DR$222),"--")</f>
        <v>0</v>
      </c>
      <c r="DS261" s="2132">
        <f>IF(DS$221,_xll.ciqfunctions.udf.CIQ($G261, "IQ_SHARESOUTSTANDING", DS$222),"--")</f>
        <v>0</v>
      </c>
      <c r="DT261" s="2132">
        <f>IF(DT$221,_xll.ciqfunctions.udf.CIQ($G261, "IQ_SHARESOUTSTANDING", DT$222),"--")</f>
        <v>0</v>
      </c>
      <c r="DU261" s="2132">
        <f>IF(DU$221,_xll.ciqfunctions.udf.CIQ($G261, "IQ_SHARESOUTSTANDING", DU$222),"--")</f>
        <v>0</v>
      </c>
      <c r="DV261" s="2132">
        <f>IF(DV$221,_xll.ciqfunctions.udf.CIQ($G261, "IQ_SHARESOUTSTANDING", DV$222),"--")</f>
        <v>0</v>
      </c>
      <c r="DW261" s="2132">
        <f>IF(DW$221,_xll.ciqfunctions.udf.CIQ($G261, "IQ_SHARESOUTSTANDING", DW$222),"--")</f>
        <v>0</v>
      </c>
      <c r="DX261" s="2132">
        <f>IF(DX$221,_xll.ciqfunctions.udf.CIQ($G261, "IQ_SHARESOUTSTANDING", DX$222),"--")</f>
        <v>0</v>
      </c>
      <c r="DY261" s="2132">
        <f>IF(DY$221,_xll.ciqfunctions.udf.CIQ($G261, "IQ_SHARESOUTSTANDING", DY$222),"--")</f>
        <v>0</v>
      </c>
      <c r="DZ261" s="2132">
        <f>IF(DZ$221,_xll.ciqfunctions.udf.CIQ($G261, "IQ_SHARESOUTSTANDING", DZ$222),"--")</f>
        <v>0</v>
      </c>
      <c r="EA261" s="2132">
        <f>IF(EA$221,_xll.ciqfunctions.udf.CIQ($G261, "IQ_SHARESOUTSTANDING", EA$222),"--")</f>
        <v>0</v>
      </c>
      <c r="EB261" s="2132">
        <f>IF(EB$221,_xll.ciqfunctions.udf.CIQ($G261, "IQ_SHARESOUTSTANDING", EB$222),"--")</f>
        <v>0</v>
      </c>
      <c r="EC261" s="2132">
        <f>IF(EC$221,_xll.ciqfunctions.udf.CIQ($G261, "IQ_SHARESOUTSTANDING", EC$222),"--")</f>
        <v>0</v>
      </c>
      <c r="ED261" s="2132">
        <f>IF(ED$221,_xll.ciqfunctions.udf.CIQ($G261, "IQ_SHARESOUTSTANDING", ED$222),"--")</f>
        <v>0</v>
      </c>
      <c r="EE261" s="2132">
        <f>IF(EE$221,_xll.ciqfunctions.udf.CIQ($G261, "IQ_SHARESOUTSTANDING", EE$222),"--")</f>
        <v>0</v>
      </c>
      <c r="EF261" s="2132">
        <f>IF(EF$221,_xll.ciqfunctions.udf.CIQ($G261, "IQ_SHARESOUTSTANDING", EF$222),"--")</f>
        <v>0</v>
      </c>
      <c r="EG261" s="2132">
        <f>IF(EG$221,_xll.ciqfunctions.udf.CIQ($G261, "IQ_SHARESOUTSTANDING", EG$222),"--")</f>
        <v>0</v>
      </c>
      <c r="EH261" s="2132">
        <f>IF(EH$221,_xll.ciqfunctions.udf.CIQ($G261, "IQ_SHARESOUTSTANDING", EH$222),"--")</f>
        <v>0</v>
      </c>
      <c r="EI261" s="2132">
        <f>IF(EI$221,_xll.ciqfunctions.udf.CIQ($G261, "IQ_SHARESOUTSTANDING", EI$222),"--")</f>
        <v>0</v>
      </c>
      <c r="EJ261" s="2132">
        <f>IF(EJ$221,_xll.ciqfunctions.udf.CIQ($G261, "IQ_SHARESOUTSTANDING", EJ$222),"--")</f>
        <v>0</v>
      </c>
      <c r="EK261" s="2132">
        <f>IF(EK$221,_xll.ciqfunctions.udf.CIQ($G261, "IQ_SHARESOUTSTANDING", EK$222),"--")</f>
        <v>0</v>
      </c>
      <c r="EL261" s="2132">
        <f>IF(EL$221,_xll.ciqfunctions.udf.CIQ($G261, "IQ_SHARESOUTSTANDING", EL$222),"--")</f>
        <v>0</v>
      </c>
      <c r="EM261" s="2132">
        <f>IF(EM$221,_xll.ciqfunctions.udf.CIQ($G261, "IQ_SHARESOUTSTANDING", EM$222),"--")</f>
        <v>0</v>
      </c>
      <c r="EN261" s="2132">
        <f>IF(EN$221,_xll.ciqfunctions.udf.CIQ($G261, "IQ_SHARESOUTSTANDING", EN$222),"--")</f>
        <v>0</v>
      </c>
      <c r="EO261" s="2132">
        <f>IF(EO$221,_xll.ciqfunctions.udf.CIQ($G261, "IQ_SHARESOUTSTANDING", EO$222),"--")</f>
        <v>0</v>
      </c>
      <c r="EP261" s="2132">
        <f>IF(EP$221,_xll.ciqfunctions.udf.CIQ($G261, "IQ_SHARESOUTSTANDING", EP$222),"--")</f>
        <v>0</v>
      </c>
      <c r="EQ261" s="2132">
        <f>IF(EQ$221,_xll.ciqfunctions.udf.CIQ($G261, "IQ_SHARESOUTSTANDING", EQ$222),"--")</f>
        <v>0</v>
      </c>
      <c r="ER261" s="2132">
        <f>IF(ER$221,_xll.ciqfunctions.udf.CIQ($G261, "IQ_SHARESOUTSTANDING", ER$222),"--")</f>
        <v>0</v>
      </c>
      <c r="ES261" s="2132">
        <f>IF(ES$221,_xll.ciqfunctions.udf.CIQ($G261, "IQ_SHARESOUTSTANDING", ES$222),"--")</f>
        <v>0</v>
      </c>
      <c r="ET261" s="2132">
        <f>IF(ET$221,_xll.ciqfunctions.udf.CIQ($G261, "IQ_SHARESOUTSTANDING", ET$222),"--")</f>
        <v>0</v>
      </c>
      <c r="EU261" s="2132">
        <f>IF(EU$221,_xll.ciqfunctions.udf.CIQ($G261, "IQ_SHARESOUTSTANDING", EU$222),"--")</f>
        <v>0</v>
      </c>
      <c r="EV261" s="2132">
        <f>IF(EV$221,_xll.ciqfunctions.udf.CIQ($G261, "IQ_SHARESOUTSTANDING", EV$222),"--")</f>
        <v>0</v>
      </c>
      <c r="EW261" s="2132">
        <f>IF(EW$221,_xll.ciqfunctions.udf.CIQ($G261, "IQ_SHARESOUTSTANDING", EW$222),"--")</f>
        <v>0</v>
      </c>
      <c r="EX261" s="2132">
        <f>IF(EX$221,_xll.ciqfunctions.udf.CIQ($G261, "IQ_SHARESOUTSTANDING", EX$222),"--")</f>
        <v>0</v>
      </c>
      <c r="EY261" s="2132">
        <f>IF(EY$221,_xll.ciqfunctions.udf.CIQ($G261, "IQ_SHARESOUTSTANDING", EY$222),"--")</f>
        <v>0</v>
      </c>
      <c r="EZ261" s="2132">
        <f>IF(EZ$221,_xll.ciqfunctions.udf.CIQ($G261, "IQ_SHARESOUTSTANDING", EZ$222),"--")</f>
        <v>0</v>
      </c>
      <c r="FA261" s="2132">
        <f>IF(FA$221,_xll.ciqfunctions.udf.CIQ($G261, "IQ_SHARESOUTSTANDING", FA$222),"--")</f>
        <v>0</v>
      </c>
      <c r="FB261" s="2132">
        <f>IF(FB$221,_xll.ciqfunctions.udf.CIQ($G261, "IQ_SHARESOUTSTANDING", FB$222),"--")</f>
        <v>0</v>
      </c>
      <c r="FC261" s="2132">
        <f>IF(FC$221,_xll.ciqfunctions.udf.CIQ($G261, "IQ_SHARESOUTSTANDING", FC$222),"--")</f>
        <v>0</v>
      </c>
      <c r="FD261" s="2132">
        <f>IF(FD$221,_xll.ciqfunctions.udf.CIQ($G261, "IQ_SHARESOUTSTANDING", FD$222),"--")</f>
        <v>0</v>
      </c>
      <c r="FE261" s="2132">
        <f>IF(FE$221,_xll.ciqfunctions.udf.CIQ($G261, "IQ_SHARESOUTSTANDING", FE$222),"--")</f>
        <v>0</v>
      </c>
      <c r="FF261" s="2132">
        <f>IF(FF$221,_xll.ciqfunctions.udf.CIQ($G261, "IQ_SHARESOUTSTANDING", FF$222),"--")</f>
        <v>0</v>
      </c>
      <c r="FG261" s="2132">
        <f>IF(FG$221,_xll.ciqfunctions.udf.CIQ($G261, "IQ_SHARESOUTSTANDING", FG$222),"--")</f>
        <v>0</v>
      </c>
      <c r="FH261" s="2132">
        <f>IF(FH$221,_xll.ciqfunctions.udf.CIQ($G261, "IQ_SHARESOUTSTANDING", FH$222),"--")</f>
        <v>0</v>
      </c>
      <c r="FI261" s="2132">
        <f>IF(FI$221,_xll.ciqfunctions.udf.CIQ($G261, "IQ_SHARESOUTSTANDING", FI$222),"--")</f>
        <v>0</v>
      </c>
      <c r="FJ261" s="2132">
        <f>IF(FJ$221,_xll.ciqfunctions.udf.CIQ($G261, "IQ_SHARESOUTSTANDING", FJ$222),"--")</f>
        <v>0</v>
      </c>
      <c r="FK261" s="2132">
        <f>IF(FK$221,_xll.ciqfunctions.udf.CIQ($G261, "IQ_SHARESOUTSTANDING", FK$222),"--")</f>
        <v>0</v>
      </c>
      <c r="FL261" s="2132">
        <f>IF(FL$221,_xll.ciqfunctions.udf.CIQ($G261, "IQ_SHARESOUTSTANDING", FL$222),"--")</f>
        <v>0</v>
      </c>
      <c r="FM261" s="2132">
        <f>IF(FM$221,_xll.ciqfunctions.udf.CIQ($G261, "IQ_SHARESOUTSTANDING", FM$222),"--")</f>
        <v>0</v>
      </c>
      <c r="FN261" s="2132">
        <f>IF(FN$221,_xll.ciqfunctions.udf.CIQ($G261, "IQ_SHARESOUTSTANDING", FN$222),"--")</f>
        <v>0</v>
      </c>
      <c r="FO261" s="2132">
        <f>IF(FO$221,_xll.ciqfunctions.udf.CIQ($G261, "IQ_SHARESOUTSTANDING", FO$222),"--")</f>
        <v>0</v>
      </c>
      <c r="FP261" s="2132">
        <f>IF(FP$221,_xll.ciqfunctions.udf.CIQ($G261, "IQ_SHARESOUTSTANDING", FP$222),"--")</f>
        <v>0</v>
      </c>
      <c r="FQ261" s="2132">
        <f>IF(FQ$221,_xll.ciqfunctions.udf.CIQ($G261, "IQ_SHARESOUTSTANDING", FQ$222),"--")</f>
        <v>0</v>
      </c>
      <c r="FR261" s="2132">
        <f>IF(FR$221,_xll.ciqfunctions.udf.CIQ($G261, "IQ_SHARESOUTSTANDING", FR$222),"--")</f>
        <v>0</v>
      </c>
      <c r="FS261" s="2132">
        <f>IF(FS$221,_xll.ciqfunctions.udf.CIQ($G261, "IQ_SHARESOUTSTANDING", FS$222),"--")</f>
        <v>0</v>
      </c>
      <c r="FT261" s="2132">
        <f>IF(FT$221,_xll.ciqfunctions.udf.CIQ($G261, "IQ_SHARESOUTSTANDING", FT$222),"--")</f>
        <v>0</v>
      </c>
      <c r="FU261" s="2132">
        <f>IF(FU$221,_xll.ciqfunctions.udf.CIQ($G261, "IQ_SHARESOUTSTANDING", FU$222),"--")</f>
        <v>0</v>
      </c>
      <c r="FV261" s="2132">
        <f>IF(FV$221,_xll.ciqfunctions.udf.CIQ($G261, "IQ_SHARESOUTSTANDING", FV$222),"--")</f>
        <v>0</v>
      </c>
      <c r="FW261" s="2132">
        <f>IF(FW$221,_xll.ciqfunctions.udf.CIQ($G261, "IQ_SHARESOUTSTANDING", FW$222),"--")</f>
        <v>0</v>
      </c>
      <c r="FX261" s="2132">
        <f>IF(FX$221,_xll.ciqfunctions.udf.CIQ($G261, "IQ_SHARESOUTSTANDING", FX$222),"--")</f>
        <v>0</v>
      </c>
      <c r="FY261" s="2132">
        <f>IF(FY$221,_xll.ciqfunctions.udf.CIQ($G261, "IQ_SHARESOUTSTANDING", FY$222),"--")</f>
        <v>0</v>
      </c>
      <c r="FZ261" s="2132">
        <f>IF(FZ$221,_xll.ciqfunctions.udf.CIQ($G261, "IQ_SHARESOUTSTANDING", FZ$222),"--")</f>
        <v>0</v>
      </c>
      <c r="GA261" s="2132">
        <f>IF(GA$221,_xll.ciqfunctions.udf.CIQ($G261, "IQ_SHARESOUTSTANDING", GA$222),"--")</f>
        <v>0</v>
      </c>
      <c r="GB261" s="2132">
        <f>IF(GB$221,_xll.ciqfunctions.udf.CIQ($G261, "IQ_SHARESOUTSTANDING", GB$222),"--")</f>
        <v>0</v>
      </c>
      <c r="GC261" s="2132">
        <f>IF(GC$221,_xll.ciqfunctions.udf.CIQ($G261, "IQ_SHARESOUTSTANDING", GC$222),"--")</f>
        <v>0</v>
      </c>
      <c r="GD261" s="2132">
        <f>IF(GD$221,_xll.ciqfunctions.udf.CIQ($G261, "IQ_SHARESOUTSTANDING", GD$222),"--")</f>
        <v>0</v>
      </c>
      <c r="GE261" s="2132">
        <f>IF(GE$221,_xll.ciqfunctions.udf.CIQ($G261, "IQ_SHARESOUTSTANDING", GE$222),"--")</f>
        <v>0</v>
      </c>
      <c r="GF261" s="2132">
        <f>IF(GF$221,_xll.ciqfunctions.udf.CIQ($G261, "IQ_SHARESOUTSTANDING", GF$222),"--")</f>
        <v>0</v>
      </c>
      <c r="GG261" s="2132">
        <f>IF(GG$221,_xll.ciqfunctions.udf.CIQ($G261, "IQ_SHARESOUTSTANDING", GG$222),"--")</f>
        <v>0</v>
      </c>
      <c r="GH261" s="2132">
        <f>IF(GH$221,_xll.ciqfunctions.udf.CIQ($G261, "IQ_SHARESOUTSTANDING", GH$222),"--")</f>
        <v>0</v>
      </c>
      <c r="GI261" s="2132">
        <f>IF(GI$221,_xll.ciqfunctions.udf.CIQ($G261, "IQ_SHARESOUTSTANDING", GI$222),"--")</f>
        <v>0</v>
      </c>
      <c r="GJ261" s="2132">
        <f>IF(GJ$221,_xll.ciqfunctions.udf.CIQ($G261, "IQ_SHARESOUTSTANDING", GJ$222),"--")</f>
        <v>0</v>
      </c>
      <c r="GK261" s="2132">
        <f>IF(GK$221,_xll.ciqfunctions.udf.CIQ($G261, "IQ_SHARESOUTSTANDING", GK$222),"--")</f>
        <v>0</v>
      </c>
      <c r="GL261" s="2132">
        <f>IF(GL$221,_xll.ciqfunctions.udf.CIQ($G261, "IQ_SHARESOUTSTANDING", GL$222),"--")</f>
        <v>0</v>
      </c>
      <c r="GM261" s="2132">
        <f>IF(GM$221,_xll.ciqfunctions.udf.CIQ($G261, "IQ_SHARESOUTSTANDING", GM$222),"--")</f>
        <v>0</v>
      </c>
      <c r="GN261" s="2132">
        <f>IF(GN$221,_xll.ciqfunctions.udf.CIQ($G261, "IQ_SHARESOUTSTANDING", GN$222),"--")</f>
        <v>0</v>
      </c>
      <c r="GO261" s="2132">
        <f>IF(GO$221,_xll.ciqfunctions.udf.CIQ($G261, "IQ_SHARESOUTSTANDING", GO$222),"--")</f>
        <v>0</v>
      </c>
      <c r="GP261" s="2132">
        <f>IF(GP$221,_xll.ciqfunctions.udf.CIQ($G261, "IQ_SHARESOUTSTANDING", GP$222),"--")</f>
        <v>0</v>
      </c>
      <c r="GQ261" s="2132">
        <f>IF(GQ$221,_xll.ciqfunctions.udf.CIQ($G261, "IQ_SHARESOUTSTANDING", GQ$222),"--")</f>
        <v>0</v>
      </c>
      <c r="GR261" s="2132">
        <f>IF(GR$221,_xll.ciqfunctions.udf.CIQ($G261, "IQ_SHARESOUTSTANDING", GR$222),"--")</f>
        <v>0</v>
      </c>
      <c r="GS261" s="2132">
        <f>IF(GS$221,_xll.ciqfunctions.udf.CIQ($G261, "IQ_SHARESOUTSTANDING", GS$222),"--")</f>
        <v>0</v>
      </c>
      <c r="GT261" s="2132">
        <f>IF(GT$221,_xll.ciqfunctions.udf.CIQ($G261, "IQ_SHARESOUTSTANDING", GT$222),"--")</f>
        <v>0</v>
      </c>
      <c r="GU261" s="2132">
        <f>IF(GU$221,_xll.ciqfunctions.udf.CIQ($G261, "IQ_SHARESOUTSTANDING", GU$222),"--")</f>
        <v>0</v>
      </c>
      <c r="GV261" s="2132">
        <f>IF(GV$221,_xll.ciqfunctions.udf.CIQ($G261, "IQ_SHARESOUTSTANDING", GV$222),"--")</f>
        <v>0</v>
      </c>
      <c r="GW261" s="2132">
        <f>IF(GW$221,_xll.ciqfunctions.udf.CIQ($G261, "IQ_SHARESOUTSTANDING", GW$222),"--")</f>
        <v>0</v>
      </c>
      <c r="GX261" s="2132">
        <f>IF(GX$221,_xll.ciqfunctions.udf.CIQ($G261, "IQ_SHARESOUTSTANDING", GX$222),"--")</f>
        <v>0</v>
      </c>
      <c r="GY261" s="2132">
        <f>IF(GY$221,_xll.ciqfunctions.udf.CIQ($G261, "IQ_SHARESOUTSTANDING", GY$222),"--")</f>
        <v>0</v>
      </c>
      <c r="GZ261" s="2132">
        <f>IF(GZ$221,_xll.ciqfunctions.udf.CIQ($G261, "IQ_SHARESOUTSTANDING", GZ$222),"--")</f>
        <v>0</v>
      </c>
      <c r="HA261" s="2132">
        <f>IF(HA$221,_xll.ciqfunctions.udf.CIQ($G261, "IQ_SHARESOUTSTANDING", HA$222),"--")</f>
        <v>0</v>
      </c>
      <c r="HB261" s="2132">
        <f>IF(HB$221,_xll.ciqfunctions.udf.CIQ($G261, "IQ_SHARESOUTSTANDING", HB$222),"--")</f>
        <v>0</v>
      </c>
      <c r="HC261" s="2132">
        <f>IF(HC$221,_xll.ciqfunctions.udf.CIQ($G261, "IQ_SHARESOUTSTANDING", HC$222),"--")</f>
        <v>0</v>
      </c>
      <c r="HD261" s="2132">
        <f>IF(HD$221,_xll.ciqfunctions.udf.CIQ($G261, "IQ_SHARESOUTSTANDING", HD$222),"--")</f>
        <v>0</v>
      </c>
      <c r="HE261" s="2132">
        <f>IF(HE$221,_xll.ciqfunctions.udf.CIQ($G261, "IQ_SHARESOUTSTANDING", HE$222),"--")</f>
        <v>0</v>
      </c>
      <c r="HF261" s="2132">
        <f>IF(HF$221,_xll.ciqfunctions.udf.CIQ($G261, "IQ_SHARESOUTSTANDING", HF$222),"--")</f>
        <v>0</v>
      </c>
      <c r="HG261" s="2132">
        <f>IF(HG$221,_xll.ciqfunctions.udf.CIQ($G261, "IQ_SHARESOUTSTANDING", HG$222),"--")</f>
        <v>0</v>
      </c>
      <c r="HH261" s="2132">
        <f>IF(HH$221,_xll.ciqfunctions.udf.CIQ($G261, "IQ_SHARESOUTSTANDING", HH$222),"--")</f>
        <v>0</v>
      </c>
      <c r="HI261" s="2132">
        <f>IF(HI$221,_xll.ciqfunctions.udf.CIQ($G261, "IQ_SHARESOUTSTANDING", HI$222),"--")</f>
        <v>0</v>
      </c>
      <c r="HJ261" s="2132">
        <f>IF(HJ$221,_xll.ciqfunctions.udf.CIQ($G261, "IQ_SHARESOUTSTANDING", HJ$222),"--")</f>
        <v>0</v>
      </c>
      <c r="HK261" s="2132">
        <f>IF(HK$221,_xll.ciqfunctions.udf.CIQ($G261, "IQ_SHARESOUTSTANDING", HK$222),"--")</f>
        <v>0</v>
      </c>
      <c r="HL261" s="2132">
        <f>IF(HL$221,_xll.ciqfunctions.udf.CIQ($G261, "IQ_SHARESOUTSTANDING", HL$222),"--")</f>
        <v>0</v>
      </c>
      <c r="HM261" s="2132">
        <f>IF(HM$221,_xll.ciqfunctions.udf.CIQ($G261, "IQ_SHARESOUTSTANDING", HM$222),"--")</f>
        <v>0</v>
      </c>
      <c r="HN261" s="2132">
        <f>IF(HN$221,_xll.ciqfunctions.udf.CIQ($G261, "IQ_SHARESOUTSTANDING", HN$222),"--")</f>
        <v>0</v>
      </c>
      <c r="HO261" s="2132">
        <f>IF(HO$221,_xll.ciqfunctions.udf.CIQ($G261, "IQ_SHARESOUTSTANDING", HO$222),"--")</f>
        <v>0</v>
      </c>
      <c r="HP261" s="2132">
        <f>IF(HP$221,_xll.ciqfunctions.udf.CIQ($G261, "IQ_SHARESOUTSTANDING", HP$222),"--")</f>
        <v>0</v>
      </c>
      <c r="HQ261" s="2132">
        <f>IF(HQ$221,_xll.ciqfunctions.udf.CIQ($G261, "IQ_SHARESOUTSTANDING", HQ$222),"--")</f>
        <v>0</v>
      </c>
      <c r="HR261" s="2132">
        <f>IF(HR$221,_xll.ciqfunctions.udf.CIQ($G261, "IQ_SHARESOUTSTANDING", HR$222),"--")</f>
        <v>0</v>
      </c>
      <c r="HS261" s="2132">
        <f>IF(HS$221,_xll.ciqfunctions.udf.CIQ($G261, "IQ_SHARESOUTSTANDING", HS$222),"--")</f>
        <v>0</v>
      </c>
      <c r="HT261" s="2132">
        <f>IF(HT$221,_xll.ciqfunctions.udf.CIQ($G261, "IQ_SHARESOUTSTANDING", HT$222),"--")</f>
        <v>0</v>
      </c>
      <c r="HU261" s="2132">
        <f>IF(HU$221,_xll.ciqfunctions.udf.CIQ($G261, "IQ_SHARESOUTSTANDING", HU$222),"--")</f>
        <v>0</v>
      </c>
      <c r="HV261" s="2132">
        <f>IF(HV$221,_xll.ciqfunctions.udf.CIQ($G261, "IQ_SHARESOUTSTANDING", HV$222),"--")</f>
        <v>0</v>
      </c>
      <c r="HW261" s="2132">
        <f>IF(HW$221,_xll.ciqfunctions.udf.CIQ($G261, "IQ_SHARESOUTSTANDING", HW$222),"--")</f>
        <v>0</v>
      </c>
      <c r="HX261" s="2132">
        <f>IF(HX$221,_xll.ciqfunctions.udf.CIQ($G261, "IQ_SHARESOUTSTANDING", HX$222),"--")</f>
        <v>0</v>
      </c>
      <c r="HY261" s="2132">
        <f>IF(HY$221,_xll.ciqfunctions.udf.CIQ($G261, "IQ_SHARESOUTSTANDING", HY$222),"--")</f>
        <v>0</v>
      </c>
      <c r="HZ261" s="2132">
        <f>IF(HZ$221,_xll.ciqfunctions.udf.CIQ($G261, "IQ_SHARESOUTSTANDING", HZ$222),"--")</f>
        <v>0</v>
      </c>
      <c r="IA261" s="2132">
        <f>IF(IA$221,_xll.ciqfunctions.udf.CIQ($G261, "IQ_SHARESOUTSTANDING", IA$222),"--")</f>
        <v>0</v>
      </c>
      <c r="IB261" s="2132">
        <f>IF(IB$221,_xll.ciqfunctions.udf.CIQ($G261, "IQ_SHARESOUTSTANDING", IB$222),"--")</f>
        <v>0</v>
      </c>
      <c r="IC261" s="2132">
        <f>IF(IC$221,_xll.ciqfunctions.udf.CIQ($G261, "IQ_SHARESOUTSTANDING", IC$222),"--")</f>
        <v>0</v>
      </c>
      <c r="ID261" s="2132">
        <f>IF(ID$221,_xll.ciqfunctions.udf.CIQ($G261, "IQ_SHARESOUTSTANDING", ID$222),"--")</f>
        <v>0</v>
      </c>
      <c r="IE261" s="2132">
        <f>IF(IE$221,_xll.ciqfunctions.udf.CIQ($G261, "IQ_SHARESOUTSTANDING", IE$222),"--")</f>
        <v>0</v>
      </c>
      <c r="IF261" s="2132">
        <f>IF(IF$221,_xll.ciqfunctions.udf.CIQ($G261, "IQ_SHARESOUTSTANDING", IF$222),"--")</f>
        <v>0</v>
      </c>
      <c r="IG261" s="2132">
        <f>IF(IG$221,_xll.ciqfunctions.udf.CIQ($G261, "IQ_SHARESOUTSTANDING", IG$222),"--")</f>
        <v>0</v>
      </c>
      <c r="IH261" s="2132">
        <f>IF(IH$221,_xll.ciqfunctions.udf.CIQ($G261, "IQ_SHARESOUTSTANDING", IH$222),"--")</f>
        <v>0</v>
      </c>
      <c r="II261" s="2132">
        <f>IF(II$221,_xll.ciqfunctions.udf.CIQ($G261, "IQ_SHARESOUTSTANDING", II$222),"--")</f>
        <v>0</v>
      </c>
      <c r="IJ261" s="2132">
        <f>IF(IJ$221,_xll.ciqfunctions.udf.CIQ($G261, "IQ_SHARESOUTSTANDING", IJ$222),"--")</f>
        <v>0</v>
      </c>
      <c r="IK261" s="2132">
        <f>IF(IK$221,_xll.ciqfunctions.udf.CIQ($G261, "IQ_SHARESOUTSTANDING", IK$222),"--")</f>
        <v>0</v>
      </c>
      <c r="IL261" s="2132">
        <f>IF(IL$221,_xll.ciqfunctions.udf.CIQ($G261, "IQ_SHARESOUTSTANDING", IL$222),"--")</f>
        <v>0</v>
      </c>
      <c r="IM261" s="2132">
        <f>IF(IM$221,_xll.ciqfunctions.udf.CIQ($G261, "IQ_SHARESOUTSTANDING", IM$222),"--")</f>
        <v>0</v>
      </c>
      <c r="IN261" s="2132">
        <f>IF(IN$221,_xll.ciqfunctions.udf.CIQ($G261, "IQ_SHARESOUTSTANDING", IN$222),"--")</f>
        <v>0</v>
      </c>
      <c r="IO261" s="2132">
        <f>IF(IO$221,_xll.ciqfunctions.udf.CIQ($G261, "IQ_SHARESOUTSTANDING", IO$222),"--")</f>
        <v>0</v>
      </c>
      <c r="IP261" s="2132">
        <f>IF(IP$221,_xll.ciqfunctions.udf.CIQ($G261, "IQ_SHARESOUTSTANDING", IP$222),"--")</f>
        <v>0</v>
      </c>
      <c r="IQ261" s="2132">
        <f>IF(IQ$221,_xll.ciqfunctions.udf.CIQ($G261, "IQ_SHARESOUTSTANDING", IQ$222),"--")</f>
        <v>0</v>
      </c>
      <c r="IR261" s="2132">
        <f>IF(IR$221,_xll.ciqfunctions.udf.CIQ($G261, "IQ_SHARESOUTSTANDING", IR$222),"--")</f>
        <v>0</v>
      </c>
      <c r="IS261" s="2132">
        <f>IF(IS$221,_xll.ciqfunctions.udf.CIQ($G261, "IQ_SHARESOUTSTANDING", IS$222),"--")</f>
        <v>0</v>
      </c>
      <c r="IT261" s="2132">
        <f>IF(IT$221,_xll.ciqfunctions.udf.CIQ($G261, "IQ_SHARESOUTSTANDING", IT$222),"--")</f>
        <v>0</v>
      </c>
      <c r="IU261" s="2132">
        <f>IF(IU$221,_xll.ciqfunctions.udf.CIQ($G261, "IQ_SHARESOUTSTANDING", IU$222),"--")</f>
        <v>0</v>
      </c>
      <c r="IV261" s="2132">
        <f>IF(IV$221,_xll.ciqfunctions.udf.CIQ($G261, "IQ_SHARESOUTSTANDING", IV$222),"--")</f>
        <v>0</v>
      </c>
      <c r="IW261" s="2132">
        <f>IF(IW$221,_xll.ciqfunctions.udf.CIQ($G261, "IQ_SHARESOUTSTANDING", IW$222),"--")</f>
        <v>0</v>
      </c>
      <c r="IX261" s="2132">
        <f>IF(IX$221,_xll.ciqfunctions.udf.CIQ($G261, "IQ_SHARESOUTSTANDING", IX$222),"--")</f>
        <v>0</v>
      </c>
      <c r="IY261" s="2132">
        <f>IF(IY$221,_xll.ciqfunctions.udf.CIQ($G261, "IQ_SHARESOUTSTANDING", IY$222),"--")</f>
        <v>0</v>
      </c>
      <c r="IZ261" s="2132">
        <f>IF(IZ$221,_xll.ciqfunctions.udf.CIQ($G261, "IQ_SHARESOUTSTANDING", IZ$222),"--")</f>
        <v>0</v>
      </c>
      <c r="JA261" s="2132">
        <f>IF(JA$221,_xll.ciqfunctions.udf.CIQ($G261, "IQ_SHARESOUTSTANDING", JA$222),"--")</f>
        <v>0</v>
      </c>
      <c r="JB261" s="2132">
        <f>IF(JB$221,_xll.ciqfunctions.udf.CIQ($G261, "IQ_SHARESOUTSTANDING", JB$222),"--")</f>
        <v>0</v>
      </c>
      <c r="JC261" s="2132">
        <f>IF(JC$221,_xll.ciqfunctions.udf.CIQ($G261, "IQ_SHARESOUTSTANDING", JC$222),"--")</f>
        <v>0</v>
      </c>
      <c r="JD261" s="2132">
        <f>IF(JD$221,_xll.ciqfunctions.udf.CIQ($G261, "IQ_SHARESOUTSTANDING", JD$222),"--")</f>
        <v>0</v>
      </c>
      <c r="JE261" s="2132">
        <f>IF(JE$221,_xll.ciqfunctions.udf.CIQ($G261, "IQ_SHARESOUTSTANDING", JE$222),"--")</f>
        <v>0</v>
      </c>
      <c r="JF261" s="2132">
        <f>IF(JF$221,_xll.ciqfunctions.udf.CIQ($G261, "IQ_SHARESOUTSTANDING", JF$222),"--")</f>
        <v>0</v>
      </c>
      <c r="JG261" s="2132">
        <f>IF(JG$221,_xll.ciqfunctions.udf.CIQ($G261, "IQ_SHARESOUTSTANDING", JG$222),"--")</f>
        <v>0</v>
      </c>
      <c r="JH261" s="2132">
        <f>IF(JH$221,_xll.ciqfunctions.udf.CIQ($G261, "IQ_SHARESOUTSTANDING", JH$222),"--")</f>
        <v>0</v>
      </c>
      <c r="JI261" s="2132">
        <f>IF(JI$221,_xll.ciqfunctions.udf.CIQ($G261, "IQ_SHARESOUTSTANDING", JI$222),"--")</f>
        <v>0</v>
      </c>
      <c r="JJ261" s="2132">
        <f>IF(JJ$221,_xll.ciqfunctions.udf.CIQ($G261, "IQ_SHARESOUTSTANDING", JJ$222),"--")</f>
        <v>0</v>
      </c>
      <c r="JK261" s="2132">
        <f>IF(JK$221,_xll.ciqfunctions.udf.CIQ($G261, "IQ_SHARESOUTSTANDING", JK$222),"--")</f>
        <v>0</v>
      </c>
      <c r="JL261" s="2132">
        <f>IF(JL$221,_xll.ciqfunctions.udf.CIQ($G261, "IQ_SHARESOUTSTANDING", JL$222),"--")</f>
        <v>0</v>
      </c>
      <c r="JM261" s="2132">
        <f>IF(JM$221,_xll.ciqfunctions.udf.CIQ($G261, "IQ_SHARESOUTSTANDING", JM$222),"--")</f>
        <v>0</v>
      </c>
      <c r="JN261" s="2132">
        <f>IF(JN$221,_xll.ciqfunctions.udf.CIQ($G261, "IQ_SHARESOUTSTANDING", JN$222),"--")</f>
        <v>0</v>
      </c>
      <c r="JO261" s="2132">
        <f>IF(JO$221,_xll.ciqfunctions.udf.CIQ($G261, "IQ_SHARESOUTSTANDING", JO$222),"--")</f>
        <v>0</v>
      </c>
      <c r="JP261" s="2132">
        <f>IF(JP$221,_xll.ciqfunctions.udf.CIQ($G261, "IQ_SHARESOUTSTANDING", JP$222),"--")</f>
        <v>0</v>
      </c>
      <c r="JQ261" s="2132">
        <f>IF(JQ$221,_xll.ciqfunctions.udf.CIQ($G261, "IQ_SHARESOUTSTANDING", JQ$222),"--")</f>
        <v>0</v>
      </c>
      <c r="JR261" s="2132">
        <f>IF(JR$221,_xll.ciqfunctions.udf.CIQ($G261, "IQ_SHARESOUTSTANDING", JR$222),"--")</f>
        <v>0</v>
      </c>
      <c r="JS261" s="2132">
        <f>IF(JS$221,_xll.ciqfunctions.udf.CIQ($G261, "IQ_SHARESOUTSTANDING", JS$222),"--")</f>
        <v>0</v>
      </c>
      <c r="JT261" s="2132">
        <f>IF(JT$221,_xll.ciqfunctions.udf.CIQ($G261, "IQ_SHARESOUTSTANDING", JT$222),"--")</f>
        <v>0</v>
      </c>
      <c r="JU261" s="2132">
        <f>IF(JU$221,_xll.ciqfunctions.udf.CIQ($G261, "IQ_SHARESOUTSTANDING", JU$222),"--")</f>
        <v>0</v>
      </c>
      <c r="JV261" s="2132">
        <f>IF(JV$221,_xll.ciqfunctions.udf.CIQ($G261, "IQ_SHARESOUTSTANDING", JV$222),"--")</f>
        <v>0</v>
      </c>
      <c r="JW261" s="2132" t="str">
        <f>IF(JW$221,_xll.ciqfunctions.udf.CIQ($G261, "IQ_SHARESOUTSTANDING", JW$222),"--")</f>
        <v>--</v>
      </c>
      <c r="JX261" s="2132" t="str">
        <f>IF(JX$221,_xll.ciqfunctions.udf.CIQ($G261, "IQ_SHARESOUTSTANDING", JX$222),"--")</f>
        <v>--</v>
      </c>
      <c r="JY261" s="2132" t="str">
        <f>IF(JY$221,_xll.ciqfunctions.udf.CIQ($G261, "IQ_SHARESOUTSTANDING", JY$222),"--")</f>
        <v>--</v>
      </c>
      <c r="JZ261" s="2132" t="str">
        <f>IF(JZ$221,_xll.ciqfunctions.udf.CIQ($G261, "IQ_SHARESOUTSTANDING", JZ$222),"--")</f>
        <v>--</v>
      </c>
      <c r="KA261" s="2132" t="str">
        <f>IF(KA$221,_xll.ciqfunctions.udf.CIQ($G261, "IQ_SHARESOUTSTANDING", KA$222),"--")</f>
        <v>--</v>
      </c>
      <c r="KB261" s="2132" t="str">
        <f>IF(KB$221,_xll.ciqfunctions.udf.CIQ($G261, "IQ_SHARESOUTSTANDING", KB$222),"--")</f>
        <v>--</v>
      </c>
    </row>
    <row r="262" spans="1:288" s="89" customFormat="1" ht="13.9">
      <c r="A262" s="269" t="str">
        <f t="shared" si="49"/>
        <v>n</v>
      </c>
      <c r="B262" s="2060"/>
      <c r="D262" s="801"/>
      <c r="E262" s="1505">
        <v>8</v>
      </c>
      <c r="F262" s="21" t="str">
        <f>F$136</f>
        <v>--</v>
      </c>
      <c r="G262" s="1441">
        <f>G$136</f>
        <v>0</v>
      </c>
      <c r="H262" s="1441" t="str">
        <f>H$136</f>
        <v>--</v>
      </c>
      <c r="I262" s="314" t="s">
        <v>783</v>
      </c>
      <c r="J262" s="314"/>
      <c r="K262" s="2301" t="str">
        <f>IF(OR(K199=0,$G262=0),"--",IFERROR(_xll.ciqfunctions.udf.CIQ($G262,$I262,K107,Valuation_Date_GC,ReportType,DataMode,$H262,FXMode)*Scale+K231*Pension10,"--"))</f>
        <v>--</v>
      </c>
      <c r="L262" s="2301" t="str">
        <f>IF(OR(L199=0,$G262=0),"--",IFERROR(_xll.ciqfunctions.udf.CIQ($G262,$I262,L107,Valuation_Date_GC,ReportType,DataMode,$H262,FXMode)*Scale+L231*Pension10,"--"))</f>
        <v>--</v>
      </c>
      <c r="M262" s="2301" t="str">
        <f>IF(OR(M199=0,$G262=0),"--",IFERROR(_xll.ciqfunctions.udf.CIQ($G262,$I262,M107,Valuation_Date_GC,ReportType,DataMode,$H262,FXMode)*Scale+M231*Pension10,"--"))</f>
        <v>--</v>
      </c>
      <c r="N262" s="2301" t="str">
        <f>IF(OR(N199=0,$G262=0),"--",IFERROR(_xll.ciqfunctions.udf.CIQ($G262,$I262,N107,Valuation_Date_GC,ReportType,DataMode,$H262,FXMode)*Scale+N231*Pension10,"--"))</f>
        <v>--</v>
      </c>
      <c r="O262" s="1471" t="str">
        <f>IF(OR(O199=0,$G262=0),"--",IFERROR(_xll.ciqfunctions.udf.CIQ($G262,$I262,O107,Valuation_Date_GC,ReportType,DataMode,$H262,FXMode)*Scale+O231*Pension10,"--"))</f>
        <v>--</v>
      </c>
      <c r="P262" s="2301" t="str">
        <f>IF(OR(P199=0,$G262=0),"--",IFERROR(_xll.ciqfunctions.udf.CIQ($G262,$I262,P107,Valuation_Date_GC,ReportType,DataMode,$H262,FXMode)*Scale+P231*Pension10,"--"))</f>
        <v>--</v>
      </c>
      <c r="R262" s="255"/>
      <c r="T262" s="1779" t="s">
        <v>784</v>
      </c>
      <c r="U262" s="2132">
        <f>IF(U$221,_xll.ciqfunctions.udf.CIQ($G262, "IQ_SHARESOUTSTANDING", U$222),"--")</f>
        <v>0</v>
      </c>
      <c r="V262" s="2132">
        <f>IF(V$221,_xll.ciqfunctions.udf.CIQ($G262, "IQ_SHARESOUTSTANDING", V$222),"--")</f>
        <v>0</v>
      </c>
      <c r="W262" s="2132">
        <f>IF(W$221,_xll.ciqfunctions.udf.CIQ($G262, "IQ_SHARESOUTSTANDING", W$222),"--")</f>
        <v>0</v>
      </c>
      <c r="X262" s="2132">
        <f>IF(X$221,_xll.ciqfunctions.udf.CIQ($G262, "IQ_SHARESOUTSTANDING", X$222),"--")</f>
        <v>0</v>
      </c>
      <c r="Y262" s="2132">
        <f>IF(Y$221,_xll.ciqfunctions.udf.CIQ($G262, "IQ_SHARESOUTSTANDING", Y$222),"--")</f>
        <v>0</v>
      </c>
      <c r="Z262" s="2132">
        <f>IF(Z$221,_xll.ciqfunctions.udf.CIQ($G262, "IQ_SHARESOUTSTANDING", Z$222),"--")</f>
        <v>0</v>
      </c>
      <c r="AA262" s="2132">
        <f>IF(AA$221,_xll.ciqfunctions.udf.CIQ($G262, "IQ_SHARESOUTSTANDING", AA$222),"--")</f>
        <v>0</v>
      </c>
      <c r="AB262" s="2132">
        <f>IF(AB$221,_xll.ciqfunctions.udf.CIQ($G262, "IQ_SHARESOUTSTANDING", AB$222),"--")</f>
        <v>0</v>
      </c>
      <c r="AC262" s="2132">
        <f>IF(AC$221,_xll.ciqfunctions.udf.CIQ($G262, "IQ_SHARESOUTSTANDING", AC$222),"--")</f>
        <v>0</v>
      </c>
      <c r="AD262" s="2132">
        <f>IF(AD$221,_xll.ciqfunctions.udf.CIQ($G262, "IQ_SHARESOUTSTANDING", AD$222),"--")</f>
        <v>0</v>
      </c>
      <c r="AE262" s="2132">
        <f>IF(AE$221,_xll.ciqfunctions.udf.CIQ($G262, "IQ_SHARESOUTSTANDING", AE$222),"--")</f>
        <v>0</v>
      </c>
      <c r="AF262" s="2132">
        <f>IF(AF$221,_xll.ciqfunctions.udf.CIQ($G262, "IQ_SHARESOUTSTANDING", AF$222),"--")</f>
        <v>0</v>
      </c>
      <c r="AG262" s="2132">
        <f>IF(AG$221,_xll.ciqfunctions.udf.CIQ($G262, "IQ_SHARESOUTSTANDING", AG$222),"--")</f>
        <v>0</v>
      </c>
      <c r="AH262" s="2132">
        <f>IF(AH$221,_xll.ciqfunctions.udf.CIQ($G262, "IQ_SHARESOUTSTANDING", AH$222),"--")</f>
        <v>0</v>
      </c>
      <c r="AI262" s="2132">
        <f>IF(AI$221,_xll.ciqfunctions.udf.CIQ($G262, "IQ_SHARESOUTSTANDING", AI$222),"--")</f>
        <v>0</v>
      </c>
      <c r="AJ262" s="2132">
        <f>IF(AJ$221,_xll.ciqfunctions.udf.CIQ($G262, "IQ_SHARESOUTSTANDING", AJ$222),"--")</f>
        <v>0</v>
      </c>
      <c r="AK262" s="2132">
        <f>IF(AK$221,_xll.ciqfunctions.udf.CIQ($G262, "IQ_SHARESOUTSTANDING", AK$222),"--")</f>
        <v>0</v>
      </c>
      <c r="AL262" s="2132">
        <f>IF(AL$221,_xll.ciqfunctions.udf.CIQ($G262, "IQ_SHARESOUTSTANDING", AL$222),"--")</f>
        <v>0</v>
      </c>
      <c r="AM262" s="2132">
        <f>IF(AM$221,_xll.ciqfunctions.udf.CIQ($G262, "IQ_SHARESOUTSTANDING", AM$222),"--")</f>
        <v>0</v>
      </c>
      <c r="AN262" s="2132">
        <f>IF(AN$221,_xll.ciqfunctions.udf.CIQ($G262, "IQ_SHARESOUTSTANDING", AN$222),"--")</f>
        <v>0</v>
      </c>
      <c r="AO262" s="2132">
        <f>IF(AO$221,_xll.ciqfunctions.udf.CIQ($G262, "IQ_SHARESOUTSTANDING", AO$222),"--")</f>
        <v>0</v>
      </c>
      <c r="AP262" s="2132">
        <f>IF(AP$221,_xll.ciqfunctions.udf.CIQ($G262, "IQ_SHARESOUTSTANDING", AP$222),"--")</f>
        <v>0</v>
      </c>
      <c r="AQ262" s="2132">
        <f>IF(AQ$221,_xll.ciqfunctions.udf.CIQ($G262, "IQ_SHARESOUTSTANDING", AQ$222),"--")</f>
        <v>0</v>
      </c>
      <c r="AR262" s="2132">
        <f>IF(AR$221,_xll.ciqfunctions.udf.CIQ($G262, "IQ_SHARESOUTSTANDING", AR$222),"--")</f>
        <v>0</v>
      </c>
      <c r="AS262" s="2132">
        <f>IF(AS$221,_xll.ciqfunctions.udf.CIQ($G262, "IQ_SHARESOUTSTANDING", AS$222),"--")</f>
        <v>0</v>
      </c>
      <c r="AT262" s="2132">
        <f>IF(AT$221,_xll.ciqfunctions.udf.CIQ($G262, "IQ_SHARESOUTSTANDING", AT$222),"--")</f>
        <v>0</v>
      </c>
      <c r="AU262" s="2132">
        <f>IF(AU$221,_xll.ciqfunctions.udf.CIQ($G262, "IQ_SHARESOUTSTANDING", AU$222),"--")</f>
        <v>0</v>
      </c>
      <c r="AV262" s="2132">
        <f>IF(AV$221,_xll.ciqfunctions.udf.CIQ($G262, "IQ_SHARESOUTSTANDING", AV$222),"--")</f>
        <v>0</v>
      </c>
      <c r="AW262" s="2132">
        <f>IF(AW$221,_xll.ciqfunctions.udf.CIQ($G262, "IQ_SHARESOUTSTANDING", AW$222),"--")</f>
        <v>0</v>
      </c>
      <c r="AX262" s="2132">
        <f>IF(AX$221,_xll.ciqfunctions.udf.CIQ($G262, "IQ_SHARESOUTSTANDING", AX$222),"--")</f>
        <v>0</v>
      </c>
      <c r="AY262" s="2132">
        <f>IF(AY$221,_xll.ciqfunctions.udf.CIQ($G262, "IQ_SHARESOUTSTANDING", AY$222),"--")</f>
        <v>0</v>
      </c>
      <c r="AZ262" s="2132">
        <f>IF(AZ$221,_xll.ciqfunctions.udf.CIQ($G262, "IQ_SHARESOUTSTANDING", AZ$222),"--")</f>
        <v>0</v>
      </c>
      <c r="BA262" s="2132">
        <f>IF(BA$221,_xll.ciqfunctions.udf.CIQ($G262, "IQ_SHARESOUTSTANDING", BA$222),"--")</f>
        <v>0</v>
      </c>
      <c r="BB262" s="2132">
        <f>IF(BB$221,_xll.ciqfunctions.udf.CIQ($G262, "IQ_SHARESOUTSTANDING", BB$222),"--")</f>
        <v>0</v>
      </c>
      <c r="BC262" s="2132">
        <f>IF(BC$221,_xll.ciqfunctions.udf.CIQ($G262, "IQ_SHARESOUTSTANDING", BC$222),"--")</f>
        <v>0</v>
      </c>
      <c r="BD262" s="2132">
        <f>IF(BD$221,_xll.ciqfunctions.udf.CIQ($G262, "IQ_SHARESOUTSTANDING", BD$222),"--")</f>
        <v>0</v>
      </c>
      <c r="BE262" s="2132">
        <f>IF(BE$221,_xll.ciqfunctions.udf.CIQ($G262, "IQ_SHARESOUTSTANDING", BE$222),"--")</f>
        <v>0</v>
      </c>
      <c r="BF262" s="2132">
        <f>IF(BF$221,_xll.ciqfunctions.udf.CIQ($G262, "IQ_SHARESOUTSTANDING", BF$222),"--")</f>
        <v>0</v>
      </c>
      <c r="BG262" s="2132">
        <f>IF(BG$221,_xll.ciqfunctions.udf.CIQ($G262, "IQ_SHARESOUTSTANDING", BG$222),"--")</f>
        <v>0</v>
      </c>
      <c r="BH262" s="2132">
        <f>IF(BH$221,_xll.ciqfunctions.udf.CIQ($G262, "IQ_SHARESOUTSTANDING", BH$222),"--")</f>
        <v>0</v>
      </c>
      <c r="BI262" s="2132">
        <f>IF(BI$221,_xll.ciqfunctions.udf.CIQ($G262, "IQ_SHARESOUTSTANDING", BI$222),"--")</f>
        <v>0</v>
      </c>
      <c r="BJ262" s="2132">
        <f>IF(BJ$221,_xll.ciqfunctions.udf.CIQ($G262, "IQ_SHARESOUTSTANDING", BJ$222),"--")</f>
        <v>0</v>
      </c>
      <c r="BK262" s="2132">
        <f>IF(BK$221,_xll.ciqfunctions.udf.CIQ($G262, "IQ_SHARESOUTSTANDING", BK$222),"--")</f>
        <v>0</v>
      </c>
      <c r="BL262" s="2132">
        <f>IF(BL$221,_xll.ciqfunctions.udf.CIQ($G262, "IQ_SHARESOUTSTANDING", BL$222),"--")</f>
        <v>0</v>
      </c>
      <c r="BM262" s="2132">
        <f>IF(BM$221,_xll.ciqfunctions.udf.CIQ($G262, "IQ_SHARESOUTSTANDING", BM$222),"--")</f>
        <v>0</v>
      </c>
      <c r="BN262" s="2132">
        <f>IF(BN$221,_xll.ciqfunctions.udf.CIQ($G262, "IQ_SHARESOUTSTANDING", BN$222),"--")</f>
        <v>0</v>
      </c>
      <c r="BO262" s="2132">
        <f>IF(BO$221,_xll.ciqfunctions.udf.CIQ($G262, "IQ_SHARESOUTSTANDING", BO$222),"--")</f>
        <v>0</v>
      </c>
      <c r="BP262" s="2132">
        <f>IF(BP$221,_xll.ciqfunctions.udf.CIQ($G262, "IQ_SHARESOUTSTANDING", BP$222),"--")</f>
        <v>0</v>
      </c>
      <c r="BQ262" s="2132">
        <f>IF(BQ$221,_xll.ciqfunctions.udf.CIQ($G262, "IQ_SHARESOUTSTANDING", BQ$222),"--")</f>
        <v>0</v>
      </c>
      <c r="BR262" s="2132">
        <f>IF(BR$221,_xll.ciqfunctions.udf.CIQ($G262, "IQ_SHARESOUTSTANDING", BR$222),"--")</f>
        <v>0</v>
      </c>
      <c r="BS262" s="2132">
        <f>IF(BS$221,_xll.ciqfunctions.udf.CIQ($G262, "IQ_SHARESOUTSTANDING", BS$222),"--")</f>
        <v>0</v>
      </c>
      <c r="BT262" s="2132">
        <f>IF(BT$221,_xll.ciqfunctions.udf.CIQ($G262, "IQ_SHARESOUTSTANDING", BT$222),"--")</f>
        <v>0</v>
      </c>
      <c r="BU262" s="2132">
        <f>IF(BU$221,_xll.ciqfunctions.udf.CIQ($G262, "IQ_SHARESOUTSTANDING", BU$222),"--")</f>
        <v>0</v>
      </c>
      <c r="BV262" s="2132">
        <f>IF(BV$221,_xll.ciqfunctions.udf.CIQ($G262, "IQ_SHARESOUTSTANDING", BV$222),"--")</f>
        <v>0</v>
      </c>
      <c r="BW262" s="2132">
        <f>IF(BW$221,_xll.ciqfunctions.udf.CIQ($G262, "IQ_SHARESOUTSTANDING", BW$222),"--")</f>
        <v>0</v>
      </c>
      <c r="BX262" s="2132">
        <f>IF(BX$221,_xll.ciqfunctions.udf.CIQ($G262, "IQ_SHARESOUTSTANDING", BX$222),"--")</f>
        <v>0</v>
      </c>
      <c r="BY262" s="2132">
        <f>IF(BY$221,_xll.ciqfunctions.udf.CIQ($G262, "IQ_SHARESOUTSTANDING", BY$222),"--")</f>
        <v>0</v>
      </c>
      <c r="BZ262" s="2132">
        <f>IF(BZ$221,_xll.ciqfunctions.udf.CIQ($G262, "IQ_SHARESOUTSTANDING", BZ$222),"--")</f>
        <v>0</v>
      </c>
      <c r="CA262" s="2132">
        <f>IF(CA$221,_xll.ciqfunctions.udf.CIQ($G262, "IQ_SHARESOUTSTANDING", CA$222),"--")</f>
        <v>0</v>
      </c>
      <c r="CB262" s="2132">
        <f>IF(CB$221,_xll.ciqfunctions.udf.CIQ($G262, "IQ_SHARESOUTSTANDING", CB$222),"--")</f>
        <v>0</v>
      </c>
      <c r="CC262" s="2132">
        <f>IF(CC$221,_xll.ciqfunctions.udf.CIQ($G262, "IQ_SHARESOUTSTANDING", CC$222),"--")</f>
        <v>0</v>
      </c>
      <c r="CD262" s="2132">
        <f>IF(CD$221,_xll.ciqfunctions.udf.CIQ($G262, "IQ_SHARESOUTSTANDING", CD$222),"--")</f>
        <v>0</v>
      </c>
      <c r="CE262" s="2132">
        <f>IF(CE$221,_xll.ciqfunctions.udf.CIQ($G262, "IQ_SHARESOUTSTANDING", CE$222),"--")</f>
        <v>0</v>
      </c>
      <c r="CF262" s="2132">
        <f>IF(CF$221,_xll.ciqfunctions.udf.CIQ($G262, "IQ_SHARESOUTSTANDING", CF$222),"--")</f>
        <v>0</v>
      </c>
      <c r="CG262" s="2132">
        <f>IF(CG$221,_xll.ciqfunctions.udf.CIQ($G262, "IQ_SHARESOUTSTANDING", CG$222),"--")</f>
        <v>0</v>
      </c>
      <c r="CH262" s="2132">
        <f>IF(CH$221,_xll.ciqfunctions.udf.CIQ($G262, "IQ_SHARESOUTSTANDING", CH$222),"--")</f>
        <v>0</v>
      </c>
      <c r="CI262" s="2132">
        <f>IF(CI$221,_xll.ciqfunctions.udf.CIQ($G262, "IQ_SHARESOUTSTANDING", CI$222),"--")</f>
        <v>0</v>
      </c>
      <c r="CJ262" s="2132">
        <f>IF(CJ$221,_xll.ciqfunctions.udf.CIQ($G262, "IQ_SHARESOUTSTANDING", CJ$222),"--")</f>
        <v>0</v>
      </c>
      <c r="CK262" s="2132">
        <f>IF(CK$221,_xll.ciqfunctions.udf.CIQ($G262, "IQ_SHARESOUTSTANDING", CK$222),"--")</f>
        <v>0</v>
      </c>
      <c r="CL262" s="2132">
        <f>IF(CL$221,_xll.ciqfunctions.udf.CIQ($G262, "IQ_SHARESOUTSTANDING", CL$222),"--")</f>
        <v>0</v>
      </c>
      <c r="CM262" s="2132">
        <f>IF(CM$221,_xll.ciqfunctions.udf.CIQ($G262, "IQ_SHARESOUTSTANDING", CM$222),"--")</f>
        <v>0</v>
      </c>
      <c r="CN262" s="2132">
        <f>IF(CN$221,_xll.ciqfunctions.udf.CIQ($G262, "IQ_SHARESOUTSTANDING", CN$222),"--")</f>
        <v>0</v>
      </c>
      <c r="CO262" s="2132">
        <f>IF(CO$221,_xll.ciqfunctions.udf.CIQ($G262, "IQ_SHARESOUTSTANDING", CO$222),"--")</f>
        <v>0</v>
      </c>
      <c r="CP262" s="2132">
        <f>IF(CP$221,_xll.ciqfunctions.udf.CIQ($G262, "IQ_SHARESOUTSTANDING", CP$222),"--")</f>
        <v>0</v>
      </c>
      <c r="CQ262" s="2132">
        <f>IF(CQ$221,_xll.ciqfunctions.udf.CIQ($G262, "IQ_SHARESOUTSTANDING", CQ$222),"--")</f>
        <v>0</v>
      </c>
      <c r="CR262" s="2132">
        <f>IF(CR$221,_xll.ciqfunctions.udf.CIQ($G262, "IQ_SHARESOUTSTANDING", CR$222),"--")</f>
        <v>0</v>
      </c>
      <c r="CS262" s="2132">
        <f>IF(CS$221,_xll.ciqfunctions.udf.CIQ($G262, "IQ_SHARESOUTSTANDING", CS$222),"--")</f>
        <v>0</v>
      </c>
      <c r="CT262" s="2132">
        <f>IF(CT$221,_xll.ciqfunctions.udf.CIQ($G262, "IQ_SHARESOUTSTANDING", CT$222),"--")</f>
        <v>0</v>
      </c>
      <c r="CU262" s="2132">
        <f>IF(CU$221,_xll.ciqfunctions.udf.CIQ($G262, "IQ_SHARESOUTSTANDING", CU$222),"--")</f>
        <v>0</v>
      </c>
      <c r="CV262" s="2132">
        <f>IF(CV$221,_xll.ciqfunctions.udf.CIQ($G262, "IQ_SHARESOUTSTANDING", CV$222),"--")</f>
        <v>0</v>
      </c>
      <c r="CW262" s="2132">
        <f>IF(CW$221,_xll.ciqfunctions.udf.CIQ($G262, "IQ_SHARESOUTSTANDING", CW$222),"--")</f>
        <v>0</v>
      </c>
      <c r="CX262" s="2132">
        <f>IF(CX$221,_xll.ciqfunctions.udf.CIQ($G262, "IQ_SHARESOUTSTANDING", CX$222),"--")</f>
        <v>0</v>
      </c>
      <c r="CY262" s="2132">
        <f>IF(CY$221,_xll.ciqfunctions.udf.CIQ($G262, "IQ_SHARESOUTSTANDING", CY$222),"--")</f>
        <v>0</v>
      </c>
      <c r="CZ262" s="2132">
        <f>IF(CZ$221,_xll.ciqfunctions.udf.CIQ($G262, "IQ_SHARESOUTSTANDING", CZ$222),"--")</f>
        <v>0</v>
      </c>
      <c r="DA262" s="2132">
        <f>IF(DA$221,_xll.ciqfunctions.udf.CIQ($G262, "IQ_SHARESOUTSTANDING", DA$222),"--")</f>
        <v>0</v>
      </c>
      <c r="DB262" s="2132">
        <f>IF(DB$221,_xll.ciqfunctions.udf.CIQ($G262, "IQ_SHARESOUTSTANDING", DB$222),"--")</f>
        <v>0</v>
      </c>
      <c r="DC262" s="2132">
        <f>IF(DC$221,_xll.ciqfunctions.udf.CIQ($G262, "IQ_SHARESOUTSTANDING", DC$222),"--")</f>
        <v>0</v>
      </c>
      <c r="DD262" s="2132">
        <f>IF(DD$221,_xll.ciqfunctions.udf.CIQ($G262, "IQ_SHARESOUTSTANDING", DD$222),"--")</f>
        <v>0</v>
      </c>
      <c r="DE262" s="2132">
        <f>IF(DE$221,_xll.ciqfunctions.udf.CIQ($G262, "IQ_SHARESOUTSTANDING", DE$222),"--")</f>
        <v>0</v>
      </c>
      <c r="DF262" s="2132">
        <f>IF(DF$221,_xll.ciqfunctions.udf.CIQ($G262, "IQ_SHARESOUTSTANDING", DF$222),"--")</f>
        <v>0</v>
      </c>
      <c r="DG262" s="2132">
        <f>IF(DG$221,_xll.ciqfunctions.udf.CIQ($G262, "IQ_SHARESOUTSTANDING", DG$222),"--")</f>
        <v>0</v>
      </c>
      <c r="DH262" s="2132">
        <f>IF(DH$221,_xll.ciqfunctions.udf.CIQ($G262, "IQ_SHARESOUTSTANDING", DH$222),"--")</f>
        <v>0</v>
      </c>
      <c r="DI262" s="2132">
        <f>IF(DI$221,_xll.ciqfunctions.udf.CIQ($G262, "IQ_SHARESOUTSTANDING", DI$222),"--")</f>
        <v>0</v>
      </c>
      <c r="DJ262" s="2132">
        <f>IF(DJ$221,_xll.ciqfunctions.udf.CIQ($G262, "IQ_SHARESOUTSTANDING", DJ$222),"--")</f>
        <v>0</v>
      </c>
      <c r="DK262" s="2132">
        <f>IF(DK$221,_xll.ciqfunctions.udf.CIQ($G262, "IQ_SHARESOUTSTANDING", DK$222),"--")</f>
        <v>0</v>
      </c>
      <c r="DL262" s="2132">
        <f>IF(DL$221,_xll.ciqfunctions.udf.CIQ($G262, "IQ_SHARESOUTSTANDING", DL$222),"--")</f>
        <v>0</v>
      </c>
      <c r="DM262" s="2132">
        <f>IF(DM$221,_xll.ciqfunctions.udf.CIQ($G262, "IQ_SHARESOUTSTANDING", DM$222),"--")</f>
        <v>0</v>
      </c>
      <c r="DN262" s="2132">
        <f>IF(DN$221,_xll.ciqfunctions.udf.CIQ($G262, "IQ_SHARESOUTSTANDING", DN$222),"--")</f>
        <v>0</v>
      </c>
      <c r="DO262" s="2132">
        <f>IF(DO$221,_xll.ciqfunctions.udf.CIQ($G262, "IQ_SHARESOUTSTANDING", DO$222),"--")</f>
        <v>0</v>
      </c>
      <c r="DP262" s="2132">
        <f>IF(DP$221,_xll.ciqfunctions.udf.CIQ($G262, "IQ_SHARESOUTSTANDING", DP$222),"--")</f>
        <v>0</v>
      </c>
      <c r="DQ262" s="2132">
        <f>IF(DQ$221,_xll.ciqfunctions.udf.CIQ($G262, "IQ_SHARESOUTSTANDING", DQ$222),"--")</f>
        <v>0</v>
      </c>
      <c r="DR262" s="2132">
        <f>IF(DR$221,_xll.ciqfunctions.udf.CIQ($G262, "IQ_SHARESOUTSTANDING", DR$222),"--")</f>
        <v>0</v>
      </c>
      <c r="DS262" s="2132">
        <f>IF(DS$221,_xll.ciqfunctions.udf.CIQ($G262, "IQ_SHARESOUTSTANDING", DS$222),"--")</f>
        <v>0</v>
      </c>
      <c r="DT262" s="2132">
        <f>IF(DT$221,_xll.ciqfunctions.udf.CIQ($G262, "IQ_SHARESOUTSTANDING", DT$222),"--")</f>
        <v>0</v>
      </c>
      <c r="DU262" s="2132">
        <f>IF(DU$221,_xll.ciqfunctions.udf.CIQ($G262, "IQ_SHARESOUTSTANDING", DU$222),"--")</f>
        <v>0</v>
      </c>
      <c r="DV262" s="2132">
        <f>IF(DV$221,_xll.ciqfunctions.udf.CIQ($G262, "IQ_SHARESOUTSTANDING", DV$222),"--")</f>
        <v>0</v>
      </c>
      <c r="DW262" s="2132">
        <f>IF(DW$221,_xll.ciqfunctions.udf.CIQ($G262, "IQ_SHARESOUTSTANDING", DW$222),"--")</f>
        <v>0</v>
      </c>
      <c r="DX262" s="2132">
        <f>IF(DX$221,_xll.ciqfunctions.udf.CIQ($G262, "IQ_SHARESOUTSTANDING", DX$222),"--")</f>
        <v>0</v>
      </c>
      <c r="DY262" s="2132">
        <f>IF(DY$221,_xll.ciqfunctions.udf.CIQ($G262, "IQ_SHARESOUTSTANDING", DY$222),"--")</f>
        <v>0</v>
      </c>
      <c r="DZ262" s="2132">
        <f>IF(DZ$221,_xll.ciqfunctions.udf.CIQ($G262, "IQ_SHARESOUTSTANDING", DZ$222),"--")</f>
        <v>0</v>
      </c>
      <c r="EA262" s="2132">
        <f>IF(EA$221,_xll.ciqfunctions.udf.CIQ($G262, "IQ_SHARESOUTSTANDING", EA$222),"--")</f>
        <v>0</v>
      </c>
      <c r="EB262" s="2132">
        <f>IF(EB$221,_xll.ciqfunctions.udf.CIQ($G262, "IQ_SHARESOUTSTANDING", EB$222),"--")</f>
        <v>0</v>
      </c>
      <c r="EC262" s="2132">
        <f>IF(EC$221,_xll.ciqfunctions.udf.CIQ($G262, "IQ_SHARESOUTSTANDING", EC$222),"--")</f>
        <v>0</v>
      </c>
      <c r="ED262" s="2132">
        <f>IF(ED$221,_xll.ciqfunctions.udf.CIQ($G262, "IQ_SHARESOUTSTANDING", ED$222),"--")</f>
        <v>0</v>
      </c>
      <c r="EE262" s="2132">
        <f>IF(EE$221,_xll.ciqfunctions.udf.CIQ($G262, "IQ_SHARESOUTSTANDING", EE$222),"--")</f>
        <v>0</v>
      </c>
      <c r="EF262" s="2132">
        <f>IF(EF$221,_xll.ciqfunctions.udf.CIQ($G262, "IQ_SHARESOUTSTANDING", EF$222),"--")</f>
        <v>0</v>
      </c>
      <c r="EG262" s="2132">
        <f>IF(EG$221,_xll.ciqfunctions.udf.CIQ($G262, "IQ_SHARESOUTSTANDING", EG$222),"--")</f>
        <v>0</v>
      </c>
      <c r="EH262" s="2132">
        <f>IF(EH$221,_xll.ciqfunctions.udf.CIQ($G262, "IQ_SHARESOUTSTANDING", EH$222),"--")</f>
        <v>0</v>
      </c>
      <c r="EI262" s="2132">
        <f>IF(EI$221,_xll.ciqfunctions.udf.CIQ($G262, "IQ_SHARESOUTSTANDING", EI$222),"--")</f>
        <v>0</v>
      </c>
      <c r="EJ262" s="2132">
        <f>IF(EJ$221,_xll.ciqfunctions.udf.CIQ($G262, "IQ_SHARESOUTSTANDING", EJ$222),"--")</f>
        <v>0</v>
      </c>
      <c r="EK262" s="2132">
        <f>IF(EK$221,_xll.ciqfunctions.udf.CIQ($G262, "IQ_SHARESOUTSTANDING", EK$222),"--")</f>
        <v>0</v>
      </c>
      <c r="EL262" s="2132">
        <f>IF(EL$221,_xll.ciqfunctions.udf.CIQ($G262, "IQ_SHARESOUTSTANDING", EL$222),"--")</f>
        <v>0</v>
      </c>
      <c r="EM262" s="2132">
        <f>IF(EM$221,_xll.ciqfunctions.udf.CIQ($G262, "IQ_SHARESOUTSTANDING", EM$222),"--")</f>
        <v>0</v>
      </c>
      <c r="EN262" s="2132">
        <f>IF(EN$221,_xll.ciqfunctions.udf.CIQ($G262, "IQ_SHARESOUTSTANDING", EN$222),"--")</f>
        <v>0</v>
      </c>
      <c r="EO262" s="2132">
        <f>IF(EO$221,_xll.ciqfunctions.udf.CIQ($G262, "IQ_SHARESOUTSTANDING", EO$222),"--")</f>
        <v>0</v>
      </c>
      <c r="EP262" s="2132">
        <f>IF(EP$221,_xll.ciqfunctions.udf.CIQ($G262, "IQ_SHARESOUTSTANDING", EP$222),"--")</f>
        <v>0</v>
      </c>
      <c r="EQ262" s="2132">
        <f>IF(EQ$221,_xll.ciqfunctions.udf.CIQ($G262, "IQ_SHARESOUTSTANDING", EQ$222),"--")</f>
        <v>0</v>
      </c>
      <c r="ER262" s="2132">
        <f>IF(ER$221,_xll.ciqfunctions.udf.CIQ($G262, "IQ_SHARESOUTSTANDING", ER$222),"--")</f>
        <v>0</v>
      </c>
      <c r="ES262" s="2132">
        <f>IF(ES$221,_xll.ciqfunctions.udf.CIQ($G262, "IQ_SHARESOUTSTANDING", ES$222),"--")</f>
        <v>0</v>
      </c>
      <c r="ET262" s="2132">
        <f>IF(ET$221,_xll.ciqfunctions.udf.CIQ($G262, "IQ_SHARESOUTSTANDING", ET$222),"--")</f>
        <v>0</v>
      </c>
      <c r="EU262" s="2132">
        <f>IF(EU$221,_xll.ciqfunctions.udf.CIQ($G262, "IQ_SHARESOUTSTANDING", EU$222),"--")</f>
        <v>0</v>
      </c>
      <c r="EV262" s="2132">
        <f>IF(EV$221,_xll.ciqfunctions.udf.CIQ($G262, "IQ_SHARESOUTSTANDING", EV$222),"--")</f>
        <v>0</v>
      </c>
      <c r="EW262" s="2132">
        <f>IF(EW$221,_xll.ciqfunctions.udf.CIQ($G262, "IQ_SHARESOUTSTANDING", EW$222),"--")</f>
        <v>0</v>
      </c>
      <c r="EX262" s="2132">
        <f>IF(EX$221,_xll.ciqfunctions.udf.CIQ($G262, "IQ_SHARESOUTSTANDING", EX$222),"--")</f>
        <v>0</v>
      </c>
      <c r="EY262" s="2132">
        <f>IF(EY$221,_xll.ciqfunctions.udf.CIQ($G262, "IQ_SHARESOUTSTANDING", EY$222),"--")</f>
        <v>0</v>
      </c>
      <c r="EZ262" s="2132">
        <f>IF(EZ$221,_xll.ciqfunctions.udf.CIQ($G262, "IQ_SHARESOUTSTANDING", EZ$222),"--")</f>
        <v>0</v>
      </c>
      <c r="FA262" s="2132">
        <f>IF(FA$221,_xll.ciqfunctions.udf.CIQ($G262, "IQ_SHARESOUTSTANDING", FA$222),"--")</f>
        <v>0</v>
      </c>
      <c r="FB262" s="2132">
        <f>IF(FB$221,_xll.ciqfunctions.udf.CIQ($G262, "IQ_SHARESOUTSTANDING", FB$222),"--")</f>
        <v>0</v>
      </c>
      <c r="FC262" s="2132">
        <f>IF(FC$221,_xll.ciqfunctions.udf.CIQ($G262, "IQ_SHARESOUTSTANDING", FC$222),"--")</f>
        <v>0</v>
      </c>
      <c r="FD262" s="2132">
        <f>IF(FD$221,_xll.ciqfunctions.udf.CIQ($G262, "IQ_SHARESOUTSTANDING", FD$222),"--")</f>
        <v>0</v>
      </c>
      <c r="FE262" s="2132">
        <f>IF(FE$221,_xll.ciqfunctions.udf.CIQ($G262, "IQ_SHARESOUTSTANDING", FE$222),"--")</f>
        <v>0</v>
      </c>
      <c r="FF262" s="2132">
        <f>IF(FF$221,_xll.ciqfunctions.udf.CIQ($G262, "IQ_SHARESOUTSTANDING", FF$222),"--")</f>
        <v>0</v>
      </c>
      <c r="FG262" s="2132">
        <f>IF(FG$221,_xll.ciqfunctions.udf.CIQ($G262, "IQ_SHARESOUTSTANDING", FG$222),"--")</f>
        <v>0</v>
      </c>
      <c r="FH262" s="2132">
        <f>IF(FH$221,_xll.ciqfunctions.udf.CIQ($G262, "IQ_SHARESOUTSTANDING", FH$222),"--")</f>
        <v>0</v>
      </c>
      <c r="FI262" s="2132">
        <f>IF(FI$221,_xll.ciqfunctions.udf.CIQ($G262, "IQ_SHARESOUTSTANDING", FI$222),"--")</f>
        <v>0</v>
      </c>
      <c r="FJ262" s="2132">
        <f>IF(FJ$221,_xll.ciqfunctions.udf.CIQ($G262, "IQ_SHARESOUTSTANDING", FJ$222),"--")</f>
        <v>0</v>
      </c>
      <c r="FK262" s="2132">
        <f>IF(FK$221,_xll.ciqfunctions.udf.CIQ($G262, "IQ_SHARESOUTSTANDING", FK$222),"--")</f>
        <v>0</v>
      </c>
      <c r="FL262" s="2132">
        <f>IF(FL$221,_xll.ciqfunctions.udf.CIQ($G262, "IQ_SHARESOUTSTANDING", FL$222),"--")</f>
        <v>0</v>
      </c>
      <c r="FM262" s="2132">
        <f>IF(FM$221,_xll.ciqfunctions.udf.CIQ($G262, "IQ_SHARESOUTSTANDING", FM$222),"--")</f>
        <v>0</v>
      </c>
      <c r="FN262" s="2132">
        <f>IF(FN$221,_xll.ciqfunctions.udf.CIQ($G262, "IQ_SHARESOUTSTANDING", FN$222),"--")</f>
        <v>0</v>
      </c>
      <c r="FO262" s="2132">
        <f>IF(FO$221,_xll.ciqfunctions.udf.CIQ($G262, "IQ_SHARESOUTSTANDING", FO$222),"--")</f>
        <v>0</v>
      </c>
      <c r="FP262" s="2132">
        <f>IF(FP$221,_xll.ciqfunctions.udf.CIQ($G262, "IQ_SHARESOUTSTANDING", FP$222),"--")</f>
        <v>0</v>
      </c>
      <c r="FQ262" s="2132">
        <f>IF(FQ$221,_xll.ciqfunctions.udf.CIQ($G262, "IQ_SHARESOUTSTANDING", FQ$222),"--")</f>
        <v>0</v>
      </c>
      <c r="FR262" s="2132">
        <f>IF(FR$221,_xll.ciqfunctions.udf.CIQ($G262, "IQ_SHARESOUTSTANDING", FR$222),"--")</f>
        <v>0</v>
      </c>
      <c r="FS262" s="2132">
        <f>IF(FS$221,_xll.ciqfunctions.udf.CIQ($G262, "IQ_SHARESOUTSTANDING", FS$222),"--")</f>
        <v>0</v>
      </c>
      <c r="FT262" s="2132">
        <f>IF(FT$221,_xll.ciqfunctions.udf.CIQ($G262, "IQ_SHARESOUTSTANDING", FT$222),"--")</f>
        <v>0</v>
      </c>
      <c r="FU262" s="2132">
        <f>IF(FU$221,_xll.ciqfunctions.udf.CIQ($G262, "IQ_SHARESOUTSTANDING", FU$222),"--")</f>
        <v>0</v>
      </c>
      <c r="FV262" s="2132">
        <f>IF(FV$221,_xll.ciqfunctions.udf.CIQ($G262, "IQ_SHARESOUTSTANDING", FV$222),"--")</f>
        <v>0</v>
      </c>
      <c r="FW262" s="2132">
        <f>IF(FW$221,_xll.ciqfunctions.udf.CIQ($G262, "IQ_SHARESOUTSTANDING", FW$222),"--")</f>
        <v>0</v>
      </c>
      <c r="FX262" s="2132">
        <f>IF(FX$221,_xll.ciqfunctions.udf.CIQ($G262, "IQ_SHARESOUTSTANDING", FX$222),"--")</f>
        <v>0</v>
      </c>
      <c r="FY262" s="2132">
        <f>IF(FY$221,_xll.ciqfunctions.udf.CIQ($G262, "IQ_SHARESOUTSTANDING", FY$222),"--")</f>
        <v>0</v>
      </c>
      <c r="FZ262" s="2132">
        <f>IF(FZ$221,_xll.ciqfunctions.udf.CIQ($G262, "IQ_SHARESOUTSTANDING", FZ$222),"--")</f>
        <v>0</v>
      </c>
      <c r="GA262" s="2132">
        <f>IF(GA$221,_xll.ciqfunctions.udf.CIQ($G262, "IQ_SHARESOUTSTANDING", GA$222),"--")</f>
        <v>0</v>
      </c>
      <c r="GB262" s="2132">
        <f>IF(GB$221,_xll.ciqfunctions.udf.CIQ($G262, "IQ_SHARESOUTSTANDING", GB$222),"--")</f>
        <v>0</v>
      </c>
      <c r="GC262" s="2132">
        <f>IF(GC$221,_xll.ciqfunctions.udf.CIQ($G262, "IQ_SHARESOUTSTANDING", GC$222),"--")</f>
        <v>0</v>
      </c>
      <c r="GD262" s="2132">
        <f>IF(GD$221,_xll.ciqfunctions.udf.CIQ($G262, "IQ_SHARESOUTSTANDING", GD$222),"--")</f>
        <v>0</v>
      </c>
      <c r="GE262" s="2132">
        <f>IF(GE$221,_xll.ciqfunctions.udf.CIQ($G262, "IQ_SHARESOUTSTANDING", GE$222),"--")</f>
        <v>0</v>
      </c>
      <c r="GF262" s="2132">
        <f>IF(GF$221,_xll.ciqfunctions.udf.CIQ($G262, "IQ_SHARESOUTSTANDING", GF$222),"--")</f>
        <v>0</v>
      </c>
      <c r="GG262" s="2132">
        <f>IF(GG$221,_xll.ciqfunctions.udf.CIQ($G262, "IQ_SHARESOUTSTANDING", GG$222),"--")</f>
        <v>0</v>
      </c>
      <c r="GH262" s="2132">
        <f>IF(GH$221,_xll.ciqfunctions.udf.CIQ($G262, "IQ_SHARESOUTSTANDING", GH$222),"--")</f>
        <v>0</v>
      </c>
      <c r="GI262" s="2132">
        <f>IF(GI$221,_xll.ciqfunctions.udf.CIQ($G262, "IQ_SHARESOUTSTANDING", GI$222),"--")</f>
        <v>0</v>
      </c>
      <c r="GJ262" s="2132">
        <f>IF(GJ$221,_xll.ciqfunctions.udf.CIQ($G262, "IQ_SHARESOUTSTANDING", GJ$222),"--")</f>
        <v>0</v>
      </c>
      <c r="GK262" s="2132">
        <f>IF(GK$221,_xll.ciqfunctions.udf.CIQ($G262, "IQ_SHARESOUTSTANDING", GK$222),"--")</f>
        <v>0</v>
      </c>
      <c r="GL262" s="2132">
        <f>IF(GL$221,_xll.ciqfunctions.udf.CIQ($G262, "IQ_SHARESOUTSTANDING", GL$222),"--")</f>
        <v>0</v>
      </c>
      <c r="GM262" s="2132">
        <f>IF(GM$221,_xll.ciqfunctions.udf.CIQ($G262, "IQ_SHARESOUTSTANDING", GM$222),"--")</f>
        <v>0</v>
      </c>
      <c r="GN262" s="2132">
        <f>IF(GN$221,_xll.ciqfunctions.udf.CIQ($G262, "IQ_SHARESOUTSTANDING", GN$222),"--")</f>
        <v>0</v>
      </c>
      <c r="GO262" s="2132">
        <f>IF(GO$221,_xll.ciqfunctions.udf.CIQ($G262, "IQ_SHARESOUTSTANDING", GO$222),"--")</f>
        <v>0</v>
      </c>
      <c r="GP262" s="2132">
        <f>IF(GP$221,_xll.ciqfunctions.udf.CIQ($G262, "IQ_SHARESOUTSTANDING", GP$222),"--")</f>
        <v>0</v>
      </c>
      <c r="GQ262" s="2132">
        <f>IF(GQ$221,_xll.ciqfunctions.udf.CIQ($G262, "IQ_SHARESOUTSTANDING", GQ$222),"--")</f>
        <v>0</v>
      </c>
      <c r="GR262" s="2132">
        <f>IF(GR$221,_xll.ciqfunctions.udf.CIQ($G262, "IQ_SHARESOUTSTANDING", GR$222),"--")</f>
        <v>0</v>
      </c>
      <c r="GS262" s="2132">
        <f>IF(GS$221,_xll.ciqfunctions.udf.CIQ($G262, "IQ_SHARESOUTSTANDING", GS$222),"--")</f>
        <v>0</v>
      </c>
      <c r="GT262" s="2132">
        <f>IF(GT$221,_xll.ciqfunctions.udf.CIQ($G262, "IQ_SHARESOUTSTANDING", GT$222),"--")</f>
        <v>0</v>
      </c>
      <c r="GU262" s="2132">
        <f>IF(GU$221,_xll.ciqfunctions.udf.CIQ($G262, "IQ_SHARESOUTSTANDING", GU$222),"--")</f>
        <v>0</v>
      </c>
      <c r="GV262" s="2132">
        <f>IF(GV$221,_xll.ciqfunctions.udf.CIQ($G262, "IQ_SHARESOUTSTANDING", GV$222),"--")</f>
        <v>0</v>
      </c>
      <c r="GW262" s="2132">
        <f>IF(GW$221,_xll.ciqfunctions.udf.CIQ($G262, "IQ_SHARESOUTSTANDING", GW$222),"--")</f>
        <v>0</v>
      </c>
      <c r="GX262" s="2132">
        <f>IF(GX$221,_xll.ciqfunctions.udf.CIQ($G262, "IQ_SHARESOUTSTANDING", GX$222),"--")</f>
        <v>0</v>
      </c>
      <c r="GY262" s="2132">
        <f>IF(GY$221,_xll.ciqfunctions.udf.CIQ($G262, "IQ_SHARESOUTSTANDING", GY$222),"--")</f>
        <v>0</v>
      </c>
      <c r="GZ262" s="2132">
        <f>IF(GZ$221,_xll.ciqfunctions.udf.CIQ($G262, "IQ_SHARESOUTSTANDING", GZ$222),"--")</f>
        <v>0</v>
      </c>
      <c r="HA262" s="2132">
        <f>IF(HA$221,_xll.ciqfunctions.udf.CIQ($G262, "IQ_SHARESOUTSTANDING", HA$222),"--")</f>
        <v>0</v>
      </c>
      <c r="HB262" s="2132">
        <f>IF(HB$221,_xll.ciqfunctions.udf.CIQ($G262, "IQ_SHARESOUTSTANDING", HB$222),"--")</f>
        <v>0</v>
      </c>
      <c r="HC262" s="2132">
        <f>IF(HC$221,_xll.ciqfunctions.udf.CIQ($G262, "IQ_SHARESOUTSTANDING", HC$222),"--")</f>
        <v>0</v>
      </c>
      <c r="HD262" s="2132">
        <f>IF(HD$221,_xll.ciqfunctions.udf.CIQ($G262, "IQ_SHARESOUTSTANDING", HD$222),"--")</f>
        <v>0</v>
      </c>
      <c r="HE262" s="2132">
        <f>IF(HE$221,_xll.ciqfunctions.udf.CIQ($G262, "IQ_SHARESOUTSTANDING", HE$222),"--")</f>
        <v>0</v>
      </c>
      <c r="HF262" s="2132">
        <f>IF(HF$221,_xll.ciqfunctions.udf.CIQ($G262, "IQ_SHARESOUTSTANDING", HF$222),"--")</f>
        <v>0</v>
      </c>
      <c r="HG262" s="2132">
        <f>IF(HG$221,_xll.ciqfunctions.udf.CIQ($G262, "IQ_SHARESOUTSTANDING", HG$222),"--")</f>
        <v>0</v>
      </c>
      <c r="HH262" s="2132">
        <f>IF(HH$221,_xll.ciqfunctions.udf.CIQ($G262, "IQ_SHARESOUTSTANDING", HH$222),"--")</f>
        <v>0</v>
      </c>
      <c r="HI262" s="2132">
        <f>IF(HI$221,_xll.ciqfunctions.udf.CIQ($G262, "IQ_SHARESOUTSTANDING", HI$222),"--")</f>
        <v>0</v>
      </c>
      <c r="HJ262" s="2132">
        <f>IF(HJ$221,_xll.ciqfunctions.udf.CIQ($G262, "IQ_SHARESOUTSTANDING", HJ$222),"--")</f>
        <v>0</v>
      </c>
      <c r="HK262" s="2132">
        <f>IF(HK$221,_xll.ciqfunctions.udf.CIQ($G262, "IQ_SHARESOUTSTANDING", HK$222),"--")</f>
        <v>0</v>
      </c>
      <c r="HL262" s="2132">
        <f>IF(HL$221,_xll.ciqfunctions.udf.CIQ($G262, "IQ_SHARESOUTSTANDING", HL$222),"--")</f>
        <v>0</v>
      </c>
      <c r="HM262" s="2132">
        <f>IF(HM$221,_xll.ciqfunctions.udf.CIQ($G262, "IQ_SHARESOUTSTANDING", HM$222),"--")</f>
        <v>0</v>
      </c>
      <c r="HN262" s="2132">
        <f>IF(HN$221,_xll.ciqfunctions.udf.CIQ($G262, "IQ_SHARESOUTSTANDING", HN$222),"--")</f>
        <v>0</v>
      </c>
      <c r="HO262" s="2132">
        <f>IF(HO$221,_xll.ciqfunctions.udf.CIQ($G262, "IQ_SHARESOUTSTANDING", HO$222),"--")</f>
        <v>0</v>
      </c>
      <c r="HP262" s="2132">
        <f>IF(HP$221,_xll.ciqfunctions.udf.CIQ($G262, "IQ_SHARESOUTSTANDING", HP$222),"--")</f>
        <v>0</v>
      </c>
      <c r="HQ262" s="2132">
        <f>IF(HQ$221,_xll.ciqfunctions.udf.CIQ($G262, "IQ_SHARESOUTSTANDING", HQ$222),"--")</f>
        <v>0</v>
      </c>
      <c r="HR262" s="2132">
        <f>IF(HR$221,_xll.ciqfunctions.udf.CIQ($G262, "IQ_SHARESOUTSTANDING", HR$222),"--")</f>
        <v>0</v>
      </c>
      <c r="HS262" s="2132">
        <f>IF(HS$221,_xll.ciqfunctions.udf.CIQ($G262, "IQ_SHARESOUTSTANDING", HS$222),"--")</f>
        <v>0</v>
      </c>
      <c r="HT262" s="2132">
        <f>IF(HT$221,_xll.ciqfunctions.udf.CIQ($G262, "IQ_SHARESOUTSTANDING", HT$222),"--")</f>
        <v>0</v>
      </c>
      <c r="HU262" s="2132">
        <f>IF(HU$221,_xll.ciqfunctions.udf.CIQ($G262, "IQ_SHARESOUTSTANDING", HU$222),"--")</f>
        <v>0</v>
      </c>
      <c r="HV262" s="2132">
        <f>IF(HV$221,_xll.ciqfunctions.udf.CIQ($G262, "IQ_SHARESOUTSTANDING", HV$222),"--")</f>
        <v>0</v>
      </c>
      <c r="HW262" s="2132">
        <f>IF(HW$221,_xll.ciqfunctions.udf.CIQ($G262, "IQ_SHARESOUTSTANDING", HW$222),"--")</f>
        <v>0</v>
      </c>
      <c r="HX262" s="2132">
        <f>IF(HX$221,_xll.ciqfunctions.udf.CIQ($G262, "IQ_SHARESOUTSTANDING", HX$222),"--")</f>
        <v>0</v>
      </c>
      <c r="HY262" s="2132">
        <f>IF(HY$221,_xll.ciqfunctions.udf.CIQ($G262, "IQ_SHARESOUTSTANDING", HY$222),"--")</f>
        <v>0</v>
      </c>
      <c r="HZ262" s="2132">
        <f>IF(HZ$221,_xll.ciqfunctions.udf.CIQ($G262, "IQ_SHARESOUTSTANDING", HZ$222),"--")</f>
        <v>0</v>
      </c>
      <c r="IA262" s="2132">
        <f>IF(IA$221,_xll.ciqfunctions.udf.CIQ($G262, "IQ_SHARESOUTSTANDING", IA$222),"--")</f>
        <v>0</v>
      </c>
      <c r="IB262" s="2132">
        <f>IF(IB$221,_xll.ciqfunctions.udf.CIQ($G262, "IQ_SHARESOUTSTANDING", IB$222),"--")</f>
        <v>0</v>
      </c>
      <c r="IC262" s="2132">
        <f>IF(IC$221,_xll.ciqfunctions.udf.CIQ($G262, "IQ_SHARESOUTSTANDING", IC$222),"--")</f>
        <v>0</v>
      </c>
      <c r="ID262" s="2132">
        <f>IF(ID$221,_xll.ciqfunctions.udf.CIQ($G262, "IQ_SHARESOUTSTANDING", ID$222),"--")</f>
        <v>0</v>
      </c>
      <c r="IE262" s="2132">
        <f>IF(IE$221,_xll.ciqfunctions.udf.CIQ($G262, "IQ_SHARESOUTSTANDING", IE$222),"--")</f>
        <v>0</v>
      </c>
      <c r="IF262" s="2132">
        <f>IF(IF$221,_xll.ciqfunctions.udf.CIQ($G262, "IQ_SHARESOUTSTANDING", IF$222),"--")</f>
        <v>0</v>
      </c>
      <c r="IG262" s="2132">
        <f>IF(IG$221,_xll.ciqfunctions.udf.CIQ($G262, "IQ_SHARESOUTSTANDING", IG$222),"--")</f>
        <v>0</v>
      </c>
      <c r="IH262" s="2132">
        <f>IF(IH$221,_xll.ciqfunctions.udf.CIQ($G262, "IQ_SHARESOUTSTANDING", IH$222),"--")</f>
        <v>0</v>
      </c>
      <c r="II262" s="2132">
        <f>IF(II$221,_xll.ciqfunctions.udf.CIQ($G262, "IQ_SHARESOUTSTANDING", II$222),"--")</f>
        <v>0</v>
      </c>
      <c r="IJ262" s="2132">
        <f>IF(IJ$221,_xll.ciqfunctions.udf.CIQ($G262, "IQ_SHARESOUTSTANDING", IJ$222),"--")</f>
        <v>0</v>
      </c>
      <c r="IK262" s="2132">
        <f>IF(IK$221,_xll.ciqfunctions.udf.CIQ($G262, "IQ_SHARESOUTSTANDING", IK$222),"--")</f>
        <v>0</v>
      </c>
      <c r="IL262" s="2132">
        <f>IF(IL$221,_xll.ciqfunctions.udf.CIQ($G262, "IQ_SHARESOUTSTANDING", IL$222),"--")</f>
        <v>0</v>
      </c>
      <c r="IM262" s="2132">
        <f>IF(IM$221,_xll.ciqfunctions.udf.CIQ($G262, "IQ_SHARESOUTSTANDING", IM$222),"--")</f>
        <v>0</v>
      </c>
      <c r="IN262" s="2132">
        <f>IF(IN$221,_xll.ciqfunctions.udf.CIQ($G262, "IQ_SHARESOUTSTANDING", IN$222),"--")</f>
        <v>0</v>
      </c>
      <c r="IO262" s="2132">
        <f>IF(IO$221,_xll.ciqfunctions.udf.CIQ($G262, "IQ_SHARESOUTSTANDING", IO$222),"--")</f>
        <v>0</v>
      </c>
      <c r="IP262" s="2132">
        <f>IF(IP$221,_xll.ciqfunctions.udf.CIQ($G262, "IQ_SHARESOUTSTANDING", IP$222),"--")</f>
        <v>0</v>
      </c>
      <c r="IQ262" s="2132">
        <f>IF(IQ$221,_xll.ciqfunctions.udf.CIQ($G262, "IQ_SHARESOUTSTANDING", IQ$222),"--")</f>
        <v>0</v>
      </c>
      <c r="IR262" s="2132">
        <f>IF(IR$221,_xll.ciqfunctions.udf.CIQ($G262, "IQ_SHARESOUTSTANDING", IR$222),"--")</f>
        <v>0</v>
      </c>
      <c r="IS262" s="2132">
        <f>IF(IS$221,_xll.ciqfunctions.udf.CIQ($G262, "IQ_SHARESOUTSTANDING", IS$222),"--")</f>
        <v>0</v>
      </c>
      <c r="IT262" s="2132">
        <f>IF(IT$221,_xll.ciqfunctions.udf.CIQ($G262, "IQ_SHARESOUTSTANDING", IT$222),"--")</f>
        <v>0</v>
      </c>
      <c r="IU262" s="2132">
        <f>IF(IU$221,_xll.ciqfunctions.udf.CIQ($G262, "IQ_SHARESOUTSTANDING", IU$222),"--")</f>
        <v>0</v>
      </c>
      <c r="IV262" s="2132">
        <f>IF(IV$221,_xll.ciqfunctions.udf.CIQ($G262, "IQ_SHARESOUTSTANDING", IV$222),"--")</f>
        <v>0</v>
      </c>
      <c r="IW262" s="2132">
        <f>IF(IW$221,_xll.ciqfunctions.udf.CIQ($G262, "IQ_SHARESOUTSTANDING", IW$222),"--")</f>
        <v>0</v>
      </c>
      <c r="IX262" s="2132">
        <f>IF(IX$221,_xll.ciqfunctions.udf.CIQ($G262, "IQ_SHARESOUTSTANDING", IX$222),"--")</f>
        <v>0</v>
      </c>
      <c r="IY262" s="2132">
        <f>IF(IY$221,_xll.ciqfunctions.udf.CIQ($G262, "IQ_SHARESOUTSTANDING", IY$222),"--")</f>
        <v>0</v>
      </c>
      <c r="IZ262" s="2132">
        <f>IF(IZ$221,_xll.ciqfunctions.udf.CIQ($G262, "IQ_SHARESOUTSTANDING", IZ$222),"--")</f>
        <v>0</v>
      </c>
      <c r="JA262" s="2132">
        <f>IF(JA$221,_xll.ciqfunctions.udf.CIQ($G262, "IQ_SHARESOUTSTANDING", JA$222),"--")</f>
        <v>0</v>
      </c>
      <c r="JB262" s="2132">
        <f>IF(JB$221,_xll.ciqfunctions.udf.CIQ($G262, "IQ_SHARESOUTSTANDING", JB$222),"--")</f>
        <v>0</v>
      </c>
      <c r="JC262" s="2132">
        <f>IF(JC$221,_xll.ciqfunctions.udf.CIQ($G262, "IQ_SHARESOUTSTANDING", JC$222),"--")</f>
        <v>0</v>
      </c>
      <c r="JD262" s="2132">
        <f>IF(JD$221,_xll.ciqfunctions.udf.CIQ($G262, "IQ_SHARESOUTSTANDING", JD$222),"--")</f>
        <v>0</v>
      </c>
      <c r="JE262" s="2132">
        <f>IF(JE$221,_xll.ciqfunctions.udf.CIQ($G262, "IQ_SHARESOUTSTANDING", JE$222),"--")</f>
        <v>0</v>
      </c>
      <c r="JF262" s="2132">
        <f>IF(JF$221,_xll.ciqfunctions.udf.CIQ($G262, "IQ_SHARESOUTSTANDING", JF$222),"--")</f>
        <v>0</v>
      </c>
      <c r="JG262" s="2132">
        <f>IF(JG$221,_xll.ciqfunctions.udf.CIQ($G262, "IQ_SHARESOUTSTANDING", JG$222),"--")</f>
        <v>0</v>
      </c>
      <c r="JH262" s="2132">
        <f>IF(JH$221,_xll.ciqfunctions.udf.CIQ($G262, "IQ_SHARESOUTSTANDING", JH$222),"--")</f>
        <v>0</v>
      </c>
      <c r="JI262" s="2132">
        <f>IF(JI$221,_xll.ciqfunctions.udf.CIQ($G262, "IQ_SHARESOUTSTANDING", JI$222),"--")</f>
        <v>0</v>
      </c>
      <c r="JJ262" s="2132">
        <f>IF(JJ$221,_xll.ciqfunctions.udf.CIQ($G262, "IQ_SHARESOUTSTANDING", JJ$222),"--")</f>
        <v>0</v>
      </c>
      <c r="JK262" s="2132">
        <f>IF(JK$221,_xll.ciqfunctions.udf.CIQ($G262, "IQ_SHARESOUTSTANDING", JK$222),"--")</f>
        <v>0</v>
      </c>
      <c r="JL262" s="2132">
        <f>IF(JL$221,_xll.ciqfunctions.udf.CIQ($G262, "IQ_SHARESOUTSTANDING", JL$222),"--")</f>
        <v>0</v>
      </c>
      <c r="JM262" s="2132">
        <f>IF(JM$221,_xll.ciqfunctions.udf.CIQ($G262, "IQ_SHARESOUTSTANDING", JM$222),"--")</f>
        <v>0</v>
      </c>
      <c r="JN262" s="2132">
        <f>IF(JN$221,_xll.ciqfunctions.udf.CIQ($G262, "IQ_SHARESOUTSTANDING", JN$222),"--")</f>
        <v>0</v>
      </c>
      <c r="JO262" s="2132">
        <f>IF(JO$221,_xll.ciqfunctions.udf.CIQ($G262, "IQ_SHARESOUTSTANDING", JO$222),"--")</f>
        <v>0</v>
      </c>
      <c r="JP262" s="2132">
        <f>IF(JP$221,_xll.ciqfunctions.udf.CIQ($G262, "IQ_SHARESOUTSTANDING", JP$222),"--")</f>
        <v>0</v>
      </c>
      <c r="JQ262" s="2132">
        <f>IF(JQ$221,_xll.ciqfunctions.udf.CIQ($G262, "IQ_SHARESOUTSTANDING", JQ$222),"--")</f>
        <v>0</v>
      </c>
      <c r="JR262" s="2132">
        <f>IF(JR$221,_xll.ciqfunctions.udf.CIQ($G262, "IQ_SHARESOUTSTANDING", JR$222),"--")</f>
        <v>0</v>
      </c>
      <c r="JS262" s="2132">
        <f>IF(JS$221,_xll.ciqfunctions.udf.CIQ($G262, "IQ_SHARESOUTSTANDING", JS$222),"--")</f>
        <v>0</v>
      </c>
      <c r="JT262" s="2132">
        <f>IF(JT$221,_xll.ciqfunctions.udf.CIQ($G262, "IQ_SHARESOUTSTANDING", JT$222),"--")</f>
        <v>0</v>
      </c>
      <c r="JU262" s="2132">
        <f>IF(JU$221,_xll.ciqfunctions.udf.CIQ($G262, "IQ_SHARESOUTSTANDING", JU$222),"--")</f>
        <v>0</v>
      </c>
      <c r="JV262" s="2132">
        <f>IF(JV$221,_xll.ciqfunctions.udf.CIQ($G262, "IQ_SHARESOUTSTANDING", JV$222),"--")</f>
        <v>0</v>
      </c>
      <c r="JW262" s="2132" t="str">
        <f>IF(JW$221,_xll.ciqfunctions.udf.CIQ($G262, "IQ_SHARESOUTSTANDING", JW$222),"--")</f>
        <v>--</v>
      </c>
      <c r="JX262" s="2132" t="str">
        <f>IF(JX$221,_xll.ciqfunctions.udf.CIQ($G262, "IQ_SHARESOUTSTANDING", JX$222),"--")</f>
        <v>--</v>
      </c>
      <c r="JY262" s="2132" t="str">
        <f>IF(JY$221,_xll.ciqfunctions.udf.CIQ($G262, "IQ_SHARESOUTSTANDING", JY$222),"--")</f>
        <v>--</v>
      </c>
      <c r="JZ262" s="2132" t="str">
        <f>IF(JZ$221,_xll.ciqfunctions.udf.CIQ($G262, "IQ_SHARESOUTSTANDING", JZ$222),"--")</f>
        <v>--</v>
      </c>
      <c r="KA262" s="2132" t="str">
        <f>IF(KA$221,_xll.ciqfunctions.udf.CIQ($G262, "IQ_SHARESOUTSTANDING", KA$222),"--")</f>
        <v>--</v>
      </c>
      <c r="KB262" s="2132" t="str">
        <f>IF(KB$221,_xll.ciqfunctions.udf.CIQ($G262, "IQ_SHARESOUTSTANDING", KB$222),"--")</f>
        <v>--</v>
      </c>
    </row>
    <row r="263" spans="1:288" s="89" customFormat="1" ht="13.9">
      <c r="A263" s="269" t="str">
        <f t="shared" si="49"/>
        <v>n</v>
      </c>
      <c r="B263" s="2060"/>
      <c r="D263" s="801"/>
      <c r="E263" s="1505">
        <v>9</v>
      </c>
      <c r="F263" s="21" t="str">
        <f>F$137</f>
        <v>--</v>
      </c>
      <c r="G263" s="1441">
        <f>G$137</f>
        <v>0</v>
      </c>
      <c r="H263" s="1441" t="str">
        <f>H$137</f>
        <v>--</v>
      </c>
      <c r="I263" s="314" t="s">
        <v>783</v>
      </c>
      <c r="J263" s="314"/>
      <c r="K263" s="2301" t="str">
        <f>IF(OR(K200=0,$G263=0),"--",IFERROR(_xll.ciqfunctions.udf.CIQ($G263,$I263,K108,Valuation_Date_GC,ReportType,DataMode,$H263,FXMode)*Scale+K232*Pension10,"--"))</f>
        <v>--</v>
      </c>
      <c r="L263" s="2301" t="str">
        <f>IF(OR(L200=0,$G263=0),"--",IFERROR(_xll.ciqfunctions.udf.CIQ($G263,$I263,L108,Valuation_Date_GC,ReportType,DataMode,$H263,FXMode)*Scale+L232*Pension10,"--"))</f>
        <v>--</v>
      </c>
      <c r="M263" s="2301" t="str">
        <f>IF(OR(M200=0,$G263=0),"--",IFERROR(_xll.ciqfunctions.udf.CIQ($G263,$I263,M108,Valuation_Date_GC,ReportType,DataMode,$H263,FXMode)*Scale+M232*Pension10,"--"))</f>
        <v>--</v>
      </c>
      <c r="N263" s="2301" t="str">
        <f>IF(OR(N200=0,$G263=0),"--",IFERROR(_xll.ciqfunctions.udf.CIQ($G263,$I263,N108,Valuation_Date_GC,ReportType,DataMode,$H263,FXMode)*Scale+N232*Pension10,"--"))</f>
        <v>--</v>
      </c>
      <c r="O263" s="1471" t="str">
        <f>IF(OR(O200=0,$G263=0),"--",IFERROR(_xll.ciqfunctions.udf.CIQ($G263,$I263,O108,Valuation_Date_GC,ReportType,DataMode,$H263,FXMode)*Scale+O232*Pension10,"--"))</f>
        <v>--</v>
      </c>
      <c r="P263" s="2301" t="str">
        <f>IF(OR(P200=0,$G263=0),"--",IFERROR(_xll.ciqfunctions.udf.CIQ($G263,$I263,P108,Valuation_Date_GC,ReportType,DataMode,$H263,FXMode)*Scale+P232*Pension10,"--"))</f>
        <v>--</v>
      </c>
      <c r="R263" s="255"/>
      <c r="T263" s="1779" t="s">
        <v>784</v>
      </c>
      <c r="U263" s="2132">
        <f>IF(U$221,_xll.ciqfunctions.udf.CIQ($G263, "IQ_SHARESOUTSTANDING", U$222),"--")</f>
        <v>0</v>
      </c>
      <c r="V263" s="2132">
        <f>IF(V$221,_xll.ciqfunctions.udf.CIQ($G263, "IQ_SHARESOUTSTANDING", V$222),"--")</f>
        <v>0</v>
      </c>
      <c r="W263" s="2132">
        <f>IF(W$221,_xll.ciqfunctions.udf.CIQ($G263, "IQ_SHARESOUTSTANDING", W$222),"--")</f>
        <v>0</v>
      </c>
      <c r="X263" s="2132">
        <f>IF(X$221,_xll.ciqfunctions.udf.CIQ($G263, "IQ_SHARESOUTSTANDING", X$222),"--")</f>
        <v>0</v>
      </c>
      <c r="Y263" s="2132">
        <f>IF(Y$221,_xll.ciqfunctions.udf.CIQ($G263, "IQ_SHARESOUTSTANDING", Y$222),"--")</f>
        <v>0</v>
      </c>
      <c r="Z263" s="2132">
        <f>IF(Z$221,_xll.ciqfunctions.udf.CIQ($G263, "IQ_SHARESOUTSTANDING", Z$222),"--")</f>
        <v>0</v>
      </c>
      <c r="AA263" s="2132">
        <f>IF(AA$221,_xll.ciqfunctions.udf.CIQ($G263, "IQ_SHARESOUTSTANDING", AA$222),"--")</f>
        <v>0</v>
      </c>
      <c r="AB263" s="2132">
        <f>IF(AB$221,_xll.ciqfunctions.udf.CIQ($G263, "IQ_SHARESOUTSTANDING", AB$222),"--")</f>
        <v>0</v>
      </c>
      <c r="AC263" s="2132">
        <f>IF(AC$221,_xll.ciqfunctions.udf.CIQ($G263, "IQ_SHARESOUTSTANDING", AC$222),"--")</f>
        <v>0</v>
      </c>
      <c r="AD263" s="2132">
        <f>IF(AD$221,_xll.ciqfunctions.udf.CIQ($G263, "IQ_SHARESOUTSTANDING", AD$222),"--")</f>
        <v>0</v>
      </c>
      <c r="AE263" s="2132">
        <f>IF(AE$221,_xll.ciqfunctions.udf.CIQ($G263, "IQ_SHARESOUTSTANDING", AE$222),"--")</f>
        <v>0</v>
      </c>
      <c r="AF263" s="2132">
        <f>IF(AF$221,_xll.ciqfunctions.udf.CIQ($G263, "IQ_SHARESOUTSTANDING", AF$222),"--")</f>
        <v>0</v>
      </c>
      <c r="AG263" s="2132">
        <f>IF(AG$221,_xll.ciqfunctions.udf.CIQ($G263, "IQ_SHARESOUTSTANDING", AG$222),"--")</f>
        <v>0</v>
      </c>
      <c r="AH263" s="2132">
        <f>IF(AH$221,_xll.ciqfunctions.udf.CIQ($G263, "IQ_SHARESOUTSTANDING", AH$222),"--")</f>
        <v>0</v>
      </c>
      <c r="AI263" s="2132">
        <f>IF(AI$221,_xll.ciqfunctions.udf.CIQ($G263, "IQ_SHARESOUTSTANDING", AI$222),"--")</f>
        <v>0</v>
      </c>
      <c r="AJ263" s="2132">
        <f>IF(AJ$221,_xll.ciqfunctions.udf.CIQ($G263, "IQ_SHARESOUTSTANDING", AJ$222),"--")</f>
        <v>0</v>
      </c>
      <c r="AK263" s="2132">
        <f>IF(AK$221,_xll.ciqfunctions.udf.CIQ($G263, "IQ_SHARESOUTSTANDING", AK$222),"--")</f>
        <v>0</v>
      </c>
      <c r="AL263" s="2132">
        <f>IF(AL$221,_xll.ciqfunctions.udf.CIQ($G263, "IQ_SHARESOUTSTANDING", AL$222),"--")</f>
        <v>0</v>
      </c>
      <c r="AM263" s="2132">
        <f>IF(AM$221,_xll.ciqfunctions.udf.CIQ($G263, "IQ_SHARESOUTSTANDING", AM$222),"--")</f>
        <v>0</v>
      </c>
      <c r="AN263" s="2132">
        <f>IF(AN$221,_xll.ciqfunctions.udf.CIQ($G263, "IQ_SHARESOUTSTANDING", AN$222),"--")</f>
        <v>0</v>
      </c>
      <c r="AO263" s="2132">
        <f>IF(AO$221,_xll.ciqfunctions.udf.CIQ($G263, "IQ_SHARESOUTSTANDING", AO$222),"--")</f>
        <v>0</v>
      </c>
      <c r="AP263" s="2132">
        <f>IF(AP$221,_xll.ciqfunctions.udf.CIQ($G263, "IQ_SHARESOUTSTANDING", AP$222),"--")</f>
        <v>0</v>
      </c>
      <c r="AQ263" s="2132">
        <f>IF(AQ$221,_xll.ciqfunctions.udf.CIQ($G263, "IQ_SHARESOUTSTANDING", AQ$222),"--")</f>
        <v>0</v>
      </c>
      <c r="AR263" s="2132">
        <f>IF(AR$221,_xll.ciqfunctions.udf.CIQ($G263, "IQ_SHARESOUTSTANDING", AR$222),"--")</f>
        <v>0</v>
      </c>
      <c r="AS263" s="2132">
        <f>IF(AS$221,_xll.ciqfunctions.udf.CIQ($G263, "IQ_SHARESOUTSTANDING", AS$222),"--")</f>
        <v>0</v>
      </c>
      <c r="AT263" s="2132">
        <f>IF(AT$221,_xll.ciqfunctions.udf.CIQ($G263, "IQ_SHARESOUTSTANDING", AT$222),"--")</f>
        <v>0</v>
      </c>
      <c r="AU263" s="2132">
        <f>IF(AU$221,_xll.ciqfunctions.udf.CIQ($G263, "IQ_SHARESOUTSTANDING", AU$222),"--")</f>
        <v>0</v>
      </c>
      <c r="AV263" s="2132">
        <f>IF(AV$221,_xll.ciqfunctions.udf.CIQ($G263, "IQ_SHARESOUTSTANDING", AV$222),"--")</f>
        <v>0</v>
      </c>
      <c r="AW263" s="2132">
        <f>IF(AW$221,_xll.ciqfunctions.udf.CIQ($G263, "IQ_SHARESOUTSTANDING", AW$222),"--")</f>
        <v>0</v>
      </c>
      <c r="AX263" s="2132">
        <f>IF(AX$221,_xll.ciqfunctions.udf.CIQ($G263, "IQ_SHARESOUTSTANDING", AX$222),"--")</f>
        <v>0</v>
      </c>
      <c r="AY263" s="2132">
        <f>IF(AY$221,_xll.ciqfunctions.udf.CIQ($G263, "IQ_SHARESOUTSTANDING", AY$222),"--")</f>
        <v>0</v>
      </c>
      <c r="AZ263" s="2132">
        <f>IF(AZ$221,_xll.ciqfunctions.udf.CIQ($G263, "IQ_SHARESOUTSTANDING", AZ$222),"--")</f>
        <v>0</v>
      </c>
      <c r="BA263" s="2132">
        <f>IF(BA$221,_xll.ciqfunctions.udf.CIQ($G263, "IQ_SHARESOUTSTANDING", BA$222),"--")</f>
        <v>0</v>
      </c>
      <c r="BB263" s="2132">
        <f>IF(BB$221,_xll.ciqfunctions.udf.CIQ($G263, "IQ_SHARESOUTSTANDING", BB$222),"--")</f>
        <v>0</v>
      </c>
      <c r="BC263" s="2132">
        <f>IF(BC$221,_xll.ciqfunctions.udf.CIQ($G263, "IQ_SHARESOUTSTANDING", BC$222),"--")</f>
        <v>0</v>
      </c>
      <c r="BD263" s="2132">
        <f>IF(BD$221,_xll.ciqfunctions.udf.CIQ($G263, "IQ_SHARESOUTSTANDING", BD$222),"--")</f>
        <v>0</v>
      </c>
      <c r="BE263" s="2132">
        <f>IF(BE$221,_xll.ciqfunctions.udf.CIQ($G263, "IQ_SHARESOUTSTANDING", BE$222),"--")</f>
        <v>0</v>
      </c>
      <c r="BF263" s="2132">
        <f>IF(BF$221,_xll.ciqfunctions.udf.CIQ($G263, "IQ_SHARESOUTSTANDING", BF$222),"--")</f>
        <v>0</v>
      </c>
      <c r="BG263" s="2132">
        <f>IF(BG$221,_xll.ciqfunctions.udf.CIQ($G263, "IQ_SHARESOUTSTANDING", BG$222),"--")</f>
        <v>0</v>
      </c>
      <c r="BH263" s="2132">
        <f>IF(BH$221,_xll.ciqfunctions.udf.CIQ($G263, "IQ_SHARESOUTSTANDING", BH$222),"--")</f>
        <v>0</v>
      </c>
      <c r="BI263" s="2132">
        <f>IF(BI$221,_xll.ciqfunctions.udf.CIQ($G263, "IQ_SHARESOUTSTANDING", BI$222),"--")</f>
        <v>0</v>
      </c>
      <c r="BJ263" s="2132">
        <f>IF(BJ$221,_xll.ciqfunctions.udf.CIQ($G263, "IQ_SHARESOUTSTANDING", BJ$222),"--")</f>
        <v>0</v>
      </c>
      <c r="BK263" s="2132">
        <f>IF(BK$221,_xll.ciqfunctions.udf.CIQ($G263, "IQ_SHARESOUTSTANDING", BK$222),"--")</f>
        <v>0</v>
      </c>
      <c r="BL263" s="2132">
        <f>IF(BL$221,_xll.ciqfunctions.udf.CIQ($G263, "IQ_SHARESOUTSTANDING", BL$222),"--")</f>
        <v>0</v>
      </c>
      <c r="BM263" s="2132">
        <f>IF(BM$221,_xll.ciqfunctions.udf.CIQ($G263, "IQ_SHARESOUTSTANDING", BM$222),"--")</f>
        <v>0</v>
      </c>
      <c r="BN263" s="2132">
        <f>IF(BN$221,_xll.ciqfunctions.udf.CIQ($G263, "IQ_SHARESOUTSTANDING", BN$222),"--")</f>
        <v>0</v>
      </c>
      <c r="BO263" s="2132">
        <f>IF(BO$221,_xll.ciqfunctions.udf.CIQ($G263, "IQ_SHARESOUTSTANDING", BO$222),"--")</f>
        <v>0</v>
      </c>
      <c r="BP263" s="2132">
        <f>IF(BP$221,_xll.ciqfunctions.udf.CIQ($G263, "IQ_SHARESOUTSTANDING", BP$222),"--")</f>
        <v>0</v>
      </c>
      <c r="BQ263" s="2132">
        <f>IF(BQ$221,_xll.ciqfunctions.udf.CIQ($G263, "IQ_SHARESOUTSTANDING", BQ$222),"--")</f>
        <v>0</v>
      </c>
      <c r="BR263" s="2132">
        <f>IF(BR$221,_xll.ciqfunctions.udf.CIQ($G263, "IQ_SHARESOUTSTANDING", BR$222),"--")</f>
        <v>0</v>
      </c>
      <c r="BS263" s="2132">
        <f>IF(BS$221,_xll.ciqfunctions.udf.CIQ($G263, "IQ_SHARESOUTSTANDING", BS$222),"--")</f>
        <v>0</v>
      </c>
      <c r="BT263" s="2132">
        <f>IF(BT$221,_xll.ciqfunctions.udf.CIQ($G263, "IQ_SHARESOUTSTANDING", BT$222),"--")</f>
        <v>0</v>
      </c>
      <c r="BU263" s="2132">
        <f>IF(BU$221,_xll.ciqfunctions.udf.CIQ($G263, "IQ_SHARESOUTSTANDING", BU$222),"--")</f>
        <v>0</v>
      </c>
      <c r="BV263" s="2132">
        <f>IF(BV$221,_xll.ciqfunctions.udf.CIQ($G263, "IQ_SHARESOUTSTANDING", BV$222),"--")</f>
        <v>0</v>
      </c>
      <c r="BW263" s="2132">
        <f>IF(BW$221,_xll.ciqfunctions.udf.CIQ($G263, "IQ_SHARESOUTSTANDING", BW$222),"--")</f>
        <v>0</v>
      </c>
      <c r="BX263" s="2132">
        <f>IF(BX$221,_xll.ciqfunctions.udf.CIQ($G263, "IQ_SHARESOUTSTANDING", BX$222),"--")</f>
        <v>0</v>
      </c>
      <c r="BY263" s="2132">
        <f>IF(BY$221,_xll.ciqfunctions.udf.CIQ($G263, "IQ_SHARESOUTSTANDING", BY$222),"--")</f>
        <v>0</v>
      </c>
      <c r="BZ263" s="2132">
        <f>IF(BZ$221,_xll.ciqfunctions.udf.CIQ($G263, "IQ_SHARESOUTSTANDING", BZ$222),"--")</f>
        <v>0</v>
      </c>
      <c r="CA263" s="2132">
        <f>IF(CA$221,_xll.ciqfunctions.udf.CIQ($G263, "IQ_SHARESOUTSTANDING", CA$222),"--")</f>
        <v>0</v>
      </c>
      <c r="CB263" s="2132">
        <f>IF(CB$221,_xll.ciqfunctions.udf.CIQ($G263, "IQ_SHARESOUTSTANDING", CB$222),"--")</f>
        <v>0</v>
      </c>
      <c r="CC263" s="2132">
        <f>IF(CC$221,_xll.ciqfunctions.udf.CIQ($G263, "IQ_SHARESOUTSTANDING", CC$222),"--")</f>
        <v>0</v>
      </c>
      <c r="CD263" s="2132">
        <f>IF(CD$221,_xll.ciqfunctions.udf.CIQ($G263, "IQ_SHARESOUTSTANDING", CD$222),"--")</f>
        <v>0</v>
      </c>
      <c r="CE263" s="2132">
        <f>IF(CE$221,_xll.ciqfunctions.udf.CIQ($G263, "IQ_SHARESOUTSTANDING", CE$222),"--")</f>
        <v>0</v>
      </c>
      <c r="CF263" s="2132">
        <f>IF(CF$221,_xll.ciqfunctions.udf.CIQ($G263, "IQ_SHARESOUTSTANDING", CF$222),"--")</f>
        <v>0</v>
      </c>
      <c r="CG263" s="2132">
        <f>IF(CG$221,_xll.ciqfunctions.udf.CIQ($G263, "IQ_SHARESOUTSTANDING", CG$222),"--")</f>
        <v>0</v>
      </c>
      <c r="CH263" s="2132">
        <f>IF(CH$221,_xll.ciqfunctions.udf.CIQ($G263, "IQ_SHARESOUTSTANDING", CH$222),"--")</f>
        <v>0</v>
      </c>
      <c r="CI263" s="2132">
        <f>IF(CI$221,_xll.ciqfunctions.udf.CIQ($G263, "IQ_SHARESOUTSTANDING", CI$222),"--")</f>
        <v>0</v>
      </c>
      <c r="CJ263" s="2132">
        <f>IF(CJ$221,_xll.ciqfunctions.udf.CIQ($G263, "IQ_SHARESOUTSTANDING", CJ$222),"--")</f>
        <v>0</v>
      </c>
      <c r="CK263" s="2132">
        <f>IF(CK$221,_xll.ciqfunctions.udf.CIQ($G263, "IQ_SHARESOUTSTANDING", CK$222),"--")</f>
        <v>0</v>
      </c>
      <c r="CL263" s="2132">
        <f>IF(CL$221,_xll.ciqfunctions.udf.CIQ($G263, "IQ_SHARESOUTSTANDING", CL$222),"--")</f>
        <v>0</v>
      </c>
      <c r="CM263" s="2132">
        <f>IF(CM$221,_xll.ciqfunctions.udf.CIQ($G263, "IQ_SHARESOUTSTANDING", CM$222),"--")</f>
        <v>0</v>
      </c>
      <c r="CN263" s="2132">
        <f>IF(CN$221,_xll.ciqfunctions.udf.CIQ($G263, "IQ_SHARESOUTSTANDING", CN$222),"--")</f>
        <v>0</v>
      </c>
      <c r="CO263" s="2132">
        <f>IF(CO$221,_xll.ciqfunctions.udf.CIQ($G263, "IQ_SHARESOUTSTANDING", CO$222),"--")</f>
        <v>0</v>
      </c>
      <c r="CP263" s="2132">
        <f>IF(CP$221,_xll.ciqfunctions.udf.CIQ($G263, "IQ_SHARESOUTSTANDING", CP$222),"--")</f>
        <v>0</v>
      </c>
      <c r="CQ263" s="2132">
        <f>IF(CQ$221,_xll.ciqfunctions.udf.CIQ($G263, "IQ_SHARESOUTSTANDING", CQ$222),"--")</f>
        <v>0</v>
      </c>
      <c r="CR263" s="2132">
        <f>IF(CR$221,_xll.ciqfunctions.udf.CIQ($G263, "IQ_SHARESOUTSTANDING", CR$222),"--")</f>
        <v>0</v>
      </c>
      <c r="CS263" s="2132">
        <f>IF(CS$221,_xll.ciqfunctions.udf.CIQ($G263, "IQ_SHARESOUTSTANDING", CS$222),"--")</f>
        <v>0</v>
      </c>
      <c r="CT263" s="2132">
        <f>IF(CT$221,_xll.ciqfunctions.udf.CIQ($G263, "IQ_SHARESOUTSTANDING", CT$222),"--")</f>
        <v>0</v>
      </c>
      <c r="CU263" s="2132">
        <f>IF(CU$221,_xll.ciqfunctions.udf.CIQ($G263, "IQ_SHARESOUTSTANDING", CU$222),"--")</f>
        <v>0</v>
      </c>
      <c r="CV263" s="2132">
        <f>IF(CV$221,_xll.ciqfunctions.udf.CIQ($G263, "IQ_SHARESOUTSTANDING", CV$222),"--")</f>
        <v>0</v>
      </c>
      <c r="CW263" s="2132">
        <f>IF(CW$221,_xll.ciqfunctions.udf.CIQ($G263, "IQ_SHARESOUTSTANDING", CW$222),"--")</f>
        <v>0</v>
      </c>
      <c r="CX263" s="2132">
        <f>IF(CX$221,_xll.ciqfunctions.udf.CIQ($G263, "IQ_SHARESOUTSTANDING", CX$222),"--")</f>
        <v>0</v>
      </c>
      <c r="CY263" s="2132">
        <f>IF(CY$221,_xll.ciqfunctions.udf.CIQ($G263, "IQ_SHARESOUTSTANDING", CY$222),"--")</f>
        <v>0</v>
      </c>
      <c r="CZ263" s="2132">
        <f>IF(CZ$221,_xll.ciqfunctions.udf.CIQ($G263, "IQ_SHARESOUTSTANDING", CZ$222),"--")</f>
        <v>0</v>
      </c>
      <c r="DA263" s="2132">
        <f>IF(DA$221,_xll.ciqfunctions.udf.CIQ($G263, "IQ_SHARESOUTSTANDING", DA$222),"--")</f>
        <v>0</v>
      </c>
      <c r="DB263" s="2132">
        <f>IF(DB$221,_xll.ciqfunctions.udf.CIQ($G263, "IQ_SHARESOUTSTANDING", DB$222),"--")</f>
        <v>0</v>
      </c>
      <c r="DC263" s="2132">
        <f>IF(DC$221,_xll.ciqfunctions.udf.CIQ($G263, "IQ_SHARESOUTSTANDING", DC$222),"--")</f>
        <v>0</v>
      </c>
      <c r="DD263" s="2132">
        <f>IF(DD$221,_xll.ciqfunctions.udf.CIQ($G263, "IQ_SHARESOUTSTANDING", DD$222),"--")</f>
        <v>0</v>
      </c>
      <c r="DE263" s="2132">
        <f>IF(DE$221,_xll.ciqfunctions.udf.CIQ($G263, "IQ_SHARESOUTSTANDING", DE$222),"--")</f>
        <v>0</v>
      </c>
      <c r="DF263" s="2132">
        <f>IF(DF$221,_xll.ciqfunctions.udf.CIQ($G263, "IQ_SHARESOUTSTANDING", DF$222),"--")</f>
        <v>0</v>
      </c>
      <c r="DG263" s="2132">
        <f>IF(DG$221,_xll.ciqfunctions.udf.CIQ($G263, "IQ_SHARESOUTSTANDING", DG$222),"--")</f>
        <v>0</v>
      </c>
      <c r="DH263" s="2132">
        <f>IF(DH$221,_xll.ciqfunctions.udf.CIQ($G263, "IQ_SHARESOUTSTANDING", DH$222),"--")</f>
        <v>0</v>
      </c>
      <c r="DI263" s="2132">
        <f>IF(DI$221,_xll.ciqfunctions.udf.CIQ($G263, "IQ_SHARESOUTSTANDING", DI$222),"--")</f>
        <v>0</v>
      </c>
      <c r="DJ263" s="2132">
        <f>IF(DJ$221,_xll.ciqfunctions.udf.CIQ($G263, "IQ_SHARESOUTSTANDING", DJ$222),"--")</f>
        <v>0</v>
      </c>
      <c r="DK263" s="2132">
        <f>IF(DK$221,_xll.ciqfunctions.udf.CIQ($G263, "IQ_SHARESOUTSTANDING", DK$222),"--")</f>
        <v>0</v>
      </c>
      <c r="DL263" s="2132">
        <f>IF(DL$221,_xll.ciqfunctions.udf.CIQ($G263, "IQ_SHARESOUTSTANDING", DL$222),"--")</f>
        <v>0</v>
      </c>
      <c r="DM263" s="2132">
        <f>IF(DM$221,_xll.ciqfunctions.udf.CIQ($G263, "IQ_SHARESOUTSTANDING", DM$222),"--")</f>
        <v>0</v>
      </c>
      <c r="DN263" s="2132">
        <f>IF(DN$221,_xll.ciqfunctions.udf.CIQ($G263, "IQ_SHARESOUTSTANDING", DN$222),"--")</f>
        <v>0</v>
      </c>
      <c r="DO263" s="2132">
        <f>IF(DO$221,_xll.ciqfunctions.udf.CIQ($G263, "IQ_SHARESOUTSTANDING", DO$222),"--")</f>
        <v>0</v>
      </c>
      <c r="DP263" s="2132">
        <f>IF(DP$221,_xll.ciqfunctions.udf.CIQ($G263, "IQ_SHARESOUTSTANDING", DP$222),"--")</f>
        <v>0</v>
      </c>
      <c r="DQ263" s="2132">
        <f>IF(DQ$221,_xll.ciqfunctions.udf.CIQ($G263, "IQ_SHARESOUTSTANDING", DQ$222),"--")</f>
        <v>0</v>
      </c>
      <c r="DR263" s="2132">
        <f>IF(DR$221,_xll.ciqfunctions.udf.CIQ($G263, "IQ_SHARESOUTSTANDING", DR$222),"--")</f>
        <v>0</v>
      </c>
      <c r="DS263" s="2132">
        <f>IF(DS$221,_xll.ciqfunctions.udf.CIQ($G263, "IQ_SHARESOUTSTANDING", DS$222),"--")</f>
        <v>0</v>
      </c>
      <c r="DT263" s="2132">
        <f>IF(DT$221,_xll.ciqfunctions.udf.CIQ($G263, "IQ_SHARESOUTSTANDING", DT$222),"--")</f>
        <v>0</v>
      </c>
      <c r="DU263" s="2132">
        <f>IF(DU$221,_xll.ciqfunctions.udf.CIQ($G263, "IQ_SHARESOUTSTANDING", DU$222),"--")</f>
        <v>0</v>
      </c>
      <c r="DV263" s="2132">
        <f>IF(DV$221,_xll.ciqfunctions.udf.CIQ($G263, "IQ_SHARESOUTSTANDING", DV$222),"--")</f>
        <v>0</v>
      </c>
      <c r="DW263" s="2132">
        <f>IF(DW$221,_xll.ciqfunctions.udf.CIQ($G263, "IQ_SHARESOUTSTANDING", DW$222),"--")</f>
        <v>0</v>
      </c>
      <c r="DX263" s="2132">
        <f>IF(DX$221,_xll.ciqfunctions.udf.CIQ($G263, "IQ_SHARESOUTSTANDING", DX$222),"--")</f>
        <v>0</v>
      </c>
      <c r="DY263" s="2132">
        <f>IF(DY$221,_xll.ciqfunctions.udf.CIQ($G263, "IQ_SHARESOUTSTANDING", DY$222),"--")</f>
        <v>0</v>
      </c>
      <c r="DZ263" s="2132">
        <f>IF(DZ$221,_xll.ciqfunctions.udf.CIQ($G263, "IQ_SHARESOUTSTANDING", DZ$222),"--")</f>
        <v>0</v>
      </c>
      <c r="EA263" s="2132">
        <f>IF(EA$221,_xll.ciqfunctions.udf.CIQ($G263, "IQ_SHARESOUTSTANDING", EA$222),"--")</f>
        <v>0</v>
      </c>
      <c r="EB263" s="2132">
        <f>IF(EB$221,_xll.ciqfunctions.udf.CIQ($G263, "IQ_SHARESOUTSTANDING", EB$222),"--")</f>
        <v>0</v>
      </c>
      <c r="EC263" s="2132">
        <f>IF(EC$221,_xll.ciqfunctions.udf.CIQ($G263, "IQ_SHARESOUTSTANDING", EC$222),"--")</f>
        <v>0</v>
      </c>
      <c r="ED263" s="2132">
        <f>IF(ED$221,_xll.ciqfunctions.udf.CIQ($G263, "IQ_SHARESOUTSTANDING", ED$222),"--")</f>
        <v>0</v>
      </c>
      <c r="EE263" s="2132">
        <f>IF(EE$221,_xll.ciqfunctions.udf.CIQ($G263, "IQ_SHARESOUTSTANDING", EE$222),"--")</f>
        <v>0</v>
      </c>
      <c r="EF263" s="2132">
        <f>IF(EF$221,_xll.ciqfunctions.udf.CIQ($G263, "IQ_SHARESOUTSTANDING", EF$222),"--")</f>
        <v>0</v>
      </c>
      <c r="EG263" s="2132">
        <f>IF(EG$221,_xll.ciqfunctions.udf.CIQ($G263, "IQ_SHARESOUTSTANDING", EG$222),"--")</f>
        <v>0</v>
      </c>
      <c r="EH263" s="2132">
        <f>IF(EH$221,_xll.ciqfunctions.udf.CIQ($G263, "IQ_SHARESOUTSTANDING", EH$222),"--")</f>
        <v>0</v>
      </c>
      <c r="EI263" s="2132">
        <f>IF(EI$221,_xll.ciqfunctions.udf.CIQ($G263, "IQ_SHARESOUTSTANDING", EI$222),"--")</f>
        <v>0</v>
      </c>
      <c r="EJ263" s="2132">
        <f>IF(EJ$221,_xll.ciqfunctions.udf.CIQ($G263, "IQ_SHARESOUTSTANDING", EJ$222),"--")</f>
        <v>0</v>
      </c>
      <c r="EK263" s="2132">
        <f>IF(EK$221,_xll.ciqfunctions.udf.CIQ($G263, "IQ_SHARESOUTSTANDING", EK$222),"--")</f>
        <v>0</v>
      </c>
      <c r="EL263" s="2132">
        <f>IF(EL$221,_xll.ciqfunctions.udf.CIQ($G263, "IQ_SHARESOUTSTANDING", EL$222),"--")</f>
        <v>0</v>
      </c>
      <c r="EM263" s="2132">
        <f>IF(EM$221,_xll.ciqfunctions.udf.CIQ($G263, "IQ_SHARESOUTSTANDING", EM$222),"--")</f>
        <v>0</v>
      </c>
      <c r="EN263" s="2132">
        <f>IF(EN$221,_xll.ciqfunctions.udf.CIQ($G263, "IQ_SHARESOUTSTANDING", EN$222),"--")</f>
        <v>0</v>
      </c>
      <c r="EO263" s="2132">
        <f>IF(EO$221,_xll.ciqfunctions.udf.CIQ($G263, "IQ_SHARESOUTSTANDING", EO$222),"--")</f>
        <v>0</v>
      </c>
      <c r="EP263" s="2132">
        <f>IF(EP$221,_xll.ciqfunctions.udf.CIQ($G263, "IQ_SHARESOUTSTANDING", EP$222),"--")</f>
        <v>0</v>
      </c>
      <c r="EQ263" s="2132">
        <f>IF(EQ$221,_xll.ciqfunctions.udf.CIQ($G263, "IQ_SHARESOUTSTANDING", EQ$222),"--")</f>
        <v>0</v>
      </c>
      <c r="ER263" s="2132">
        <f>IF(ER$221,_xll.ciqfunctions.udf.CIQ($G263, "IQ_SHARESOUTSTANDING", ER$222),"--")</f>
        <v>0</v>
      </c>
      <c r="ES263" s="2132">
        <f>IF(ES$221,_xll.ciqfunctions.udf.CIQ($G263, "IQ_SHARESOUTSTANDING", ES$222),"--")</f>
        <v>0</v>
      </c>
      <c r="ET263" s="2132">
        <f>IF(ET$221,_xll.ciqfunctions.udf.CIQ($G263, "IQ_SHARESOUTSTANDING", ET$222),"--")</f>
        <v>0</v>
      </c>
      <c r="EU263" s="2132">
        <f>IF(EU$221,_xll.ciqfunctions.udf.CIQ($G263, "IQ_SHARESOUTSTANDING", EU$222),"--")</f>
        <v>0</v>
      </c>
      <c r="EV263" s="2132">
        <f>IF(EV$221,_xll.ciqfunctions.udf.CIQ($G263, "IQ_SHARESOUTSTANDING", EV$222),"--")</f>
        <v>0</v>
      </c>
      <c r="EW263" s="2132">
        <f>IF(EW$221,_xll.ciqfunctions.udf.CIQ($G263, "IQ_SHARESOUTSTANDING", EW$222),"--")</f>
        <v>0</v>
      </c>
      <c r="EX263" s="2132">
        <f>IF(EX$221,_xll.ciqfunctions.udf.CIQ($G263, "IQ_SHARESOUTSTANDING", EX$222),"--")</f>
        <v>0</v>
      </c>
      <c r="EY263" s="2132">
        <f>IF(EY$221,_xll.ciqfunctions.udf.CIQ($G263, "IQ_SHARESOUTSTANDING", EY$222),"--")</f>
        <v>0</v>
      </c>
      <c r="EZ263" s="2132">
        <f>IF(EZ$221,_xll.ciqfunctions.udf.CIQ($G263, "IQ_SHARESOUTSTANDING", EZ$222),"--")</f>
        <v>0</v>
      </c>
      <c r="FA263" s="2132">
        <f>IF(FA$221,_xll.ciqfunctions.udf.CIQ($G263, "IQ_SHARESOUTSTANDING", FA$222),"--")</f>
        <v>0</v>
      </c>
      <c r="FB263" s="2132">
        <f>IF(FB$221,_xll.ciqfunctions.udf.CIQ($G263, "IQ_SHARESOUTSTANDING", FB$222),"--")</f>
        <v>0</v>
      </c>
      <c r="FC263" s="2132">
        <f>IF(FC$221,_xll.ciqfunctions.udf.CIQ($G263, "IQ_SHARESOUTSTANDING", FC$222),"--")</f>
        <v>0</v>
      </c>
      <c r="FD263" s="2132">
        <f>IF(FD$221,_xll.ciqfunctions.udf.CIQ($G263, "IQ_SHARESOUTSTANDING", FD$222),"--")</f>
        <v>0</v>
      </c>
      <c r="FE263" s="2132">
        <f>IF(FE$221,_xll.ciqfunctions.udf.CIQ($G263, "IQ_SHARESOUTSTANDING", FE$222),"--")</f>
        <v>0</v>
      </c>
      <c r="FF263" s="2132">
        <f>IF(FF$221,_xll.ciqfunctions.udf.CIQ($G263, "IQ_SHARESOUTSTANDING", FF$222),"--")</f>
        <v>0</v>
      </c>
      <c r="FG263" s="2132">
        <f>IF(FG$221,_xll.ciqfunctions.udf.CIQ($G263, "IQ_SHARESOUTSTANDING", FG$222),"--")</f>
        <v>0</v>
      </c>
      <c r="FH263" s="2132">
        <f>IF(FH$221,_xll.ciqfunctions.udf.CIQ($G263, "IQ_SHARESOUTSTANDING", FH$222),"--")</f>
        <v>0</v>
      </c>
      <c r="FI263" s="2132">
        <f>IF(FI$221,_xll.ciqfunctions.udf.CIQ($G263, "IQ_SHARESOUTSTANDING", FI$222),"--")</f>
        <v>0</v>
      </c>
      <c r="FJ263" s="2132">
        <f>IF(FJ$221,_xll.ciqfunctions.udf.CIQ($G263, "IQ_SHARESOUTSTANDING", FJ$222),"--")</f>
        <v>0</v>
      </c>
      <c r="FK263" s="2132">
        <f>IF(FK$221,_xll.ciqfunctions.udf.CIQ($G263, "IQ_SHARESOUTSTANDING", FK$222),"--")</f>
        <v>0</v>
      </c>
      <c r="FL263" s="2132">
        <f>IF(FL$221,_xll.ciqfunctions.udf.CIQ($G263, "IQ_SHARESOUTSTANDING", FL$222),"--")</f>
        <v>0</v>
      </c>
      <c r="FM263" s="2132">
        <f>IF(FM$221,_xll.ciqfunctions.udf.CIQ($G263, "IQ_SHARESOUTSTANDING", FM$222),"--")</f>
        <v>0</v>
      </c>
      <c r="FN263" s="2132">
        <f>IF(FN$221,_xll.ciqfunctions.udf.CIQ($G263, "IQ_SHARESOUTSTANDING", FN$222),"--")</f>
        <v>0</v>
      </c>
      <c r="FO263" s="2132">
        <f>IF(FO$221,_xll.ciqfunctions.udf.CIQ($G263, "IQ_SHARESOUTSTANDING", FO$222),"--")</f>
        <v>0</v>
      </c>
      <c r="FP263" s="2132">
        <f>IF(FP$221,_xll.ciqfunctions.udf.CIQ($G263, "IQ_SHARESOUTSTANDING", FP$222),"--")</f>
        <v>0</v>
      </c>
      <c r="FQ263" s="2132">
        <f>IF(FQ$221,_xll.ciqfunctions.udf.CIQ($G263, "IQ_SHARESOUTSTANDING", FQ$222),"--")</f>
        <v>0</v>
      </c>
      <c r="FR263" s="2132">
        <f>IF(FR$221,_xll.ciqfunctions.udf.CIQ($G263, "IQ_SHARESOUTSTANDING", FR$222),"--")</f>
        <v>0</v>
      </c>
      <c r="FS263" s="2132">
        <f>IF(FS$221,_xll.ciqfunctions.udf.CIQ($G263, "IQ_SHARESOUTSTANDING", FS$222),"--")</f>
        <v>0</v>
      </c>
      <c r="FT263" s="2132">
        <f>IF(FT$221,_xll.ciqfunctions.udf.CIQ($G263, "IQ_SHARESOUTSTANDING", FT$222),"--")</f>
        <v>0</v>
      </c>
      <c r="FU263" s="2132">
        <f>IF(FU$221,_xll.ciqfunctions.udf.CIQ($G263, "IQ_SHARESOUTSTANDING", FU$222),"--")</f>
        <v>0</v>
      </c>
      <c r="FV263" s="2132">
        <f>IF(FV$221,_xll.ciqfunctions.udf.CIQ($G263, "IQ_SHARESOUTSTANDING", FV$222),"--")</f>
        <v>0</v>
      </c>
      <c r="FW263" s="2132">
        <f>IF(FW$221,_xll.ciqfunctions.udf.CIQ($G263, "IQ_SHARESOUTSTANDING", FW$222),"--")</f>
        <v>0</v>
      </c>
      <c r="FX263" s="2132">
        <f>IF(FX$221,_xll.ciqfunctions.udf.CIQ($G263, "IQ_SHARESOUTSTANDING", FX$222),"--")</f>
        <v>0</v>
      </c>
      <c r="FY263" s="2132">
        <f>IF(FY$221,_xll.ciqfunctions.udf.CIQ($G263, "IQ_SHARESOUTSTANDING", FY$222),"--")</f>
        <v>0</v>
      </c>
      <c r="FZ263" s="2132">
        <f>IF(FZ$221,_xll.ciqfunctions.udf.CIQ($G263, "IQ_SHARESOUTSTANDING", FZ$222),"--")</f>
        <v>0</v>
      </c>
      <c r="GA263" s="2132">
        <f>IF(GA$221,_xll.ciqfunctions.udf.CIQ($G263, "IQ_SHARESOUTSTANDING", GA$222),"--")</f>
        <v>0</v>
      </c>
      <c r="GB263" s="2132">
        <f>IF(GB$221,_xll.ciqfunctions.udf.CIQ($G263, "IQ_SHARESOUTSTANDING", GB$222),"--")</f>
        <v>0</v>
      </c>
      <c r="GC263" s="2132">
        <f>IF(GC$221,_xll.ciqfunctions.udf.CIQ($G263, "IQ_SHARESOUTSTANDING", GC$222),"--")</f>
        <v>0</v>
      </c>
      <c r="GD263" s="2132">
        <f>IF(GD$221,_xll.ciqfunctions.udf.CIQ($G263, "IQ_SHARESOUTSTANDING", GD$222),"--")</f>
        <v>0</v>
      </c>
      <c r="GE263" s="2132">
        <f>IF(GE$221,_xll.ciqfunctions.udf.CIQ($G263, "IQ_SHARESOUTSTANDING", GE$222),"--")</f>
        <v>0</v>
      </c>
      <c r="GF263" s="2132">
        <f>IF(GF$221,_xll.ciqfunctions.udf.CIQ($G263, "IQ_SHARESOUTSTANDING", GF$222),"--")</f>
        <v>0</v>
      </c>
      <c r="GG263" s="2132">
        <f>IF(GG$221,_xll.ciqfunctions.udf.CIQ($G263, "IQ_SHARESOUTSTANDING", GG$222),"--")</f>
        <v>0</v>
      </c>
      <c r="GH263" s="2132">
        <f>IF(GH$221,_xll.ciqfunctions.udf.CIQ($G263, "IQ_SHARESOUTSTANDING", GH$222),"--")</f>
        <v>0</v>
      </c>
      <c r="GI263" s="2132">
        <f>IF(GI$221,_xll.ciqfunctions.udf.CIQ($G263, "IQ_SHARESOUTSTANDING", GI$222),"--")</f>
        <v>0</v>
      </c>
      <c r="GJ263" s="2132">
        <f>IF(GJ$221,_xll.ciqfunctions.udf.CIQ($G263, "IQ_SHARESOUTSTANDING", GJ$222),"--")</f>
        <v>0</v>
      </c>
      <c r="GK263" s="2132">
        <f>IF(GK$221,_xll.ciqfunctions.udf.CIQ($G263, "IQ_SHARESOUTSTANDING", GK$222),"--")</f>
        <v>0</v>
      </c>
      <c r="GL263" s="2132">
        <f>IF(GL$221,_xll.ciqfunctions.udf.CIQ($G263, "IQ_SHARESOUTSTANDING", GL$222),"--")</f>
        <v>0</v>
      </c>
      <c r="GM263" s="2132">
        <f>IF(GM$221,_xll.ciqfunctions.udf.CIQ($G263, "IQ_SHARESOUTSTANDING", GM$222),"--")</f>
        <v>0</v>
      </c>
      <c r="GN263" s="2132">
        <f>IF(GN$221,_xll.ciqfunctions.udf.CIQ($G263, "IQ_SHARESOUTSTANDING", GN$222),"--")</f>
        <v>0</v>
      </c>
      <c r="GO263" s="2132">
        <f>IF(GO$221,_xll.ciqfunctions.udf.CIQ($G263, "IQ_SHARESOUTSTANDING", GO$222),"--")</f>
        <v>0</v>
      </c>
      <c r="GP263" s="2132">
        <f>IF(GP$221,_xll.ciqfunctions.udf.CIQ($G263, "IQ_SHARESOUTSTANDING", GP$222),"--")</f>
        <v>0</v>
      </c>
      <c r="GQ263" s="2132">
        <f>IF(GQ$221,_xll.ciqfunctions.udf.CIQ($G263, "IQ_SHARESOUTSTANDING", GQ$222),"--")</f>
        <v>0</v>
      </c>
      <c r="GR263" s="2132">
        <f>IF(GR$221,_xll.ciqfunctions.udf.CIQ($G263, "IQ_SHARESOUTSTANDING", GR$222),"--")</f>
        <v>0</v>
      </c>
      <c r="GS263" s="2132">
        <f>IF(GS$221,_xll.ciqfunctions.udf.CIQ($G263, "IQ_SHARESOUTSTANDING", GS$222),"--")</f>
        <v>0</v>
      </c>
      <c r="GT263" s="2132">
        <f>IF(GT$221,_xll.ciqfunctions.udf.CIQ($G263, "IQ_SHARESOUTSTANDING", GT$222),"--")</f>
        <v>0</v>
      </c>
      <c r="GU263" s="2132">
        <f>IF(GU$221,_xll.ciqfunctions.udf.CIQ($G263, "IQ_SHARESOUTSTANDING", GU$222),"--")</f>
        <v>0</v>
      </c>
      <c r="GV263" s="2132">
        <f>IF(GV$221,_xll.ciqfunctions.udf.CIQ($G263, "IQ_SHARESOUTSTANDING", GV$222),"--")</f>
        <v>0</v>
      </c>
      <c r="GW263" s="2132">
        <f>IF(GW$221,_xll.ciqfunctions.udf.CIQ($G263, "IQ_SHARESOUTSTANDING", GW$222),"--")</f>
        <v>0</v>
      </c>
      <c r="GX263" s="2132">
        <f>IF(GX$221,_xll.ciqfunctions.udf.CIQ($G263, "IQ_SHARESOUTSTANDING", GX$222),"--")</f>
        <v>0</v>
      </c>
      <c r="GY263" s="2132">
        <f>IF(GY$221,_xll.ciqfunctions.udf.CIQ($G263, "IQ_SHARESOUTSTANDING", GY$222),"--")</f>
        <v>0</v>
      </c>
      <c r="GZ263" s="2132">
        <f>IF(GZ$221,_xll.ciqfunctions.udf.CIQ($G263, "IQ_SHARESOUTSTANDING", GZ$222),"--")</f>
        <v>0</v>
      </c>
      <c r="HA263" s="2132">
        <f>IF(HA$221,_xll.ciqfunctions.udf.CIQ($G263, "IQ_SHARESOUTSTANDING", HA$222),"--")</f>
        <v>0</v>
      </c>
      <c r="HB263" s="2132">
        <f>IF(HB$221,_xll.ciqfunctions.udf.CIQ($G263, "IQ_SHARESOUTSTANDING", HB$222),"--")</f>
        <v>0</v>
      </c>
      <c r="HC263" s="2132">
        <f>IF(HC$221,_xll.ciqfunctions.udf.CIQ($G263, "IQ_SHARESOUTSTANDING", HC$222),"--")</f>
        <v>0</v>
      </c>
      <c r="HD263" s="2132">
        <f>IF(HD$221,_xll.ciqfunctions.udf.CIQ($G263, "IQ_SHARESOUTSTANDING", HD$222),"--")</f>
        <v>0</v>
      </c>
      <c r="HE263" s="2132">
        <f>IF(HE$221,_xll.ciqfunctions.udf.CIQ($G263, "IQ_SHARESOUTSTANDING", HE$222),"--")</f>
        <v>0</v>
      </c>
      <c r="HF263" s="2132">
        <f>IF(HF$221,_xll.ciqfunctions.udf.CIQ($G263, "IQ_SHARESOUTSTANDING", HF$222),"--")</f>
        <v>0</v>
      </c>
      <c r="HG263" s="2132">
        <f>IF(HG$221,_xll.ciqfunctions.udf.CIQ($G263, "IQ_SHARESOUTSTANDING", HG$222),"--")</f>
        <v>0</v>
      </c>
      <c r="HH263" s="2132">
        <f>IF(HH$221,_xll.ciqfunctions.udf.CIQ($G263, "IQ_SHARESOUTSTANDING", HH$222),"--")</f>
        <v>0</v>
      </c>
      <c r="HI263" s="2132">
        <f>IF(HI$221,_xll.ciqfunctions.udf.CIQ($G263, "IQ_SHARESOUTSTANDING", HI$222),"--")</f>
        <v>0</v>
      </c>
      <c r="HJ263" s="2132">
        <f>IF(HJ$221,_xll.ciqfunctions.udf.CIQ($G263, "IQ_SHARESOUTSTANDING", HJ$222),"--")</f>
        <v>0</v>
      </c>
      <c r="HK263" s="2132">
        <f>IF(HK$221,_xll.ciqfunctions.udf.CIQ($G263, "IQ_SHARESOUTSTANDING", HK$222),"--")</f>
        <v>0</v>
      </c>
      <c r="HL263" s="2132">
        <f>IF(HL$221,_xll.ciqfunctions.udf.CIQ($G263, "IQ_SHARESOUTSTANDING", HL$222),"--")</f>
        <v>0</v>
      </c>
      <c r="HM263" s="2132">
        <f>IF(HM$221,_xll.ciqfunctions.udf.CIQ($G263, "IQ_SHARESOUTSTANDING", HM$222),"--")</f>
        <v>0</v>
      </c>
      <c r="HN263" s="2132">
        <f>IF(HN$221,_xll.ciqfunctions.udf.CIQ($G263, "IQ_SHARESOUTSTANDING", HN$222),"--")</f>
        <v>0</v>
      </c>
      <c r="HO263" s="2132">
        <f>IF(HO$221,_xll.ciqfunctions.udf.CIQ($G263, "IQ_SHARESOUTSTANDING", HO$222),"--")</f>
        <v>0</v>
      </c>
      <c r="HP263" s="2132">
        <f>IF(HP$221,_xll.ciqfunctions.udf.CIQ($G263, "IQ_SHARESOUTSTANDING", HP$222),"--")</f>
        <v>0</v>
      </c>
      <c r="HQ263" s="2132">
        <f>IF(HQ$221,_xll.ciqfunctions.udf.CIQ($G263, "IQ_SHARESOUTSTANDING", HQ$222),"--")</f>
        <v>0</v>
      </c>
      <c r="HR263" s="2132">
        <f>IF(HR$221,_xll.ciqfunctions.udf.CIQ($G263, "IQ_SHARESOUTSTANDING", HR$222),"--")</f>
        <v>0</v>
      </c>
      <c r="HS263" s="2132">
        <f>IF(HS$221,_xll.ciqfunctions.udf.CIQ($G263, "IQ_SHARESOUTSTANDING", HS$222),"--")</f>
        <v>0</v>
      </c>
      <c r="HT263" s="2132">
        <f>IF(HT$221,_xll.ciqfunctions.udf.CIQ($G263, "IQ_SHARESOUTSTANDING", HT$222),"--")</f>
        <v>0</v>
      </c>
      <c r="HU263" s="2132">
        <f>IF(HU$221,_xll.ciqfunctions.udf.CIQ($G263, "IQ_SHARESOUTSTANDING", HU$222),"--")</f>
        <v>0</v>
      </c>
      <c r="HV263" s="2132">
        <f>IF(HV$221,_xll.ciqfunctions.udf.CIQ($G263, "IQ_SHARESOUTSTANDING", HV$222),"--")</f>
        <v>0</v>
      </c>
      <c r="HW263" s="2132">
        <f>IF(HW$221,_xll.ciqfunctions.udf.CIQ($G263, "IQ_SHARESOUTSTANDING", HW$222),"--")</f>
        <v>0</v>
      </c>
      <c r="HX263" s="2132">
        <f>IF(HX$221,_xll.ciqfunctions.udf.CIQ($G263, "IQ_SHARESOUTSTANDING", HX$222),"--")</f>
        <v>0</v>
      </c>
      <c r="HY263" s="2132">
        <f>IF(HY$221,_xll.ciqfunctions.udf.CIQ($G263, "IQ_SHARESOUTSTANDING", HY$222),"--")</f>
        <v>0</v>
      </c>
      <c r="HZ263" s="2132">
        <f>IF(HZ$221,_xll.ciqfunctions.udf.CIQ($G263, "IQ_SHARESOUTSTANDING", HZ$222),"--")</f>
        <v>0</v>
      </c>
      <c r="IA263" s="2132">
        <f>IF(IA$221,_xll.ciqfunctions.udf.CIQ($G263, "IQ_SHARESOUTSTANDING", IA$222),"--")</f>
        <v>0</v>
      </c>
      <c r="IB263" s="2132">
        <f>IF(IB$221,_xll.ciqfunctions.udf.CIQ($G263, "IQ_SHARESOUTSTANDING", IB$222),"--")</f>
        <v>0</v>
      </c>
      <c r="IC263" s="2132">
        <f>IF(IC$221,_xll.ciqfunctions.udf.CIQ($G263, "IQ_SHARESOUTSTANDING", IC$222),"--")</f>
        <v>0</v>
      </c>
      <c r="ID263" s="2132">
        <f>IF(ID$221,_xll.ciqfunctions.udf.CIQ($G263, "IQ_SHARESOUTSTANDING", ID$222),"--")</f>
        <v>0</v>
      </c>
      <c r="IE263" s="2132">
        <f>IF(IE$221,_xll.ciqfunctions.udf.CIQ($G263, "IQ_SHARESOUTSTANDING", IE$222),"--")</f>
        <v>0</v>
      </c>
      <c r="IF263" s="2132">
        <f>IF(IF$221,_xll.ciqfunctions.udf.CIQ($G263, "IQ_SHARESOUTSTANDING", IF$222),"--")</f>
        <v>0</v>
      </c>
      <c r="IG263" s="2132">
        <f>IF(IG$221,_xll.ciqfunctions.udf.CIQ($G263, "IQ_SHARESOUTSTANDING", IG$222),"--")</f>
        <v>0</v>
      </c>
      <c r="IH263" s="2132">
        <f>IF(IH$221,_xll.ciqfunctions.udf.CIQ($G263, "IQ_SHARESOUTSTANDING", IH$222),"--")</f>
        <v>0</v>
      </c>
      <c r="II263" s="2132">
        <f>IF(II$221,_xll.ciqfunctions.udf.CIQ($G263, "IQ_SHARESOUTSTANDING", II$222),"--")</f>
        <v>0</v>
      </c>
      <c r="IJ263" s="2132">
        <f>IF(IJ$221,_xll.ciqfunctions.udf.CIQ($G263, "IQ_SHARESOUTSTANDING", IJ$222),"--")</f>
        <v>0</v>
      </c>
      <c r="IK263" s="2132">
        <f>IF(IK$221,_xll.ciqfunctions.udf.CIQ($G263, "IQ_SHARESOUTSTANDING", IK$222),"--")</f>
        <v>0</v>
      </c>
      <c r="IL263" s="2132">
        <f>IF(IL$221,_xll.ciqfunctions.udf.CIQ($G263, "IQ_SHARESOUTSTANDING", IL$222),"--")</f>
        <v>0</v>
      </c>
      <c r="IM263" s="2132">
        <f>IF(IM$221,_xll.ciqfunctions.udf.CIQ($G263, "IQ_SHARESOUTSTANDING", IM$222),"--")</f>
        <v>0</v>
      </c>
      <c r="IN263" s="2132">
        <f>IF(IN$221,_xll.ciqfunctions.udf.CIQ($G263, "IQ_SHARESOUTSTANDING", IN$222),"--")</f>
        <v>0</v>
      </c>
      <c r="IO263" s="2132">
        <f>IF(IO$221,_xll.ciqfunctions.udf.CIQ($G263, "IQ_SHARESOUTSTANDING", IO$222),"--")</f>
        <v>0</v>
      </c>
      <c r="IP263" s="2132">
        <f>IF(IP$221,_xll.ciqfunctions.udf.CIQ($G263, "IQ_SHARESOUTSTANDING", IP$222),"--")</f>
        <v>0</v>
      </c>
      <c r="IQ263" s="2132">
        <f>IF(IQ$221,_xll.ciqfunctions.udf.CIQ($G263, "IQ_SHARESOUTSTANDING", IQ$222),"--")</f>
        <v>0</v>
      </c>
      <c r="IR263" s="2132">
        <f>IF(IR$221,_xll.ciqfunctions.udf.CIQ($G263, "IQ_SHARESOUTSTANDING", IR$222),"--")</f>
        <v>0</v>
      </c>
      <c r="IS263" s="2132">
        <f>IF(IS$221,_xll.ciqfunctions.udf.CIQ($G263, "IQ_SHARESOUTSTANDING", IS$222),"--")</f>
        <v>0</v>
      </c>
      <c r="IT263" s="2132">
        <f>IF(IT$221,_xll.ciqfunctions.udf.CIQ($G263, "IQ_SHARESOUTSTANDING", IT$222),"--")</f>
        <v>0</v>
      </c>
      <c r="IU263" s="2132">
        <f>IF(IU$221,_xll.ciqfunctions.udf.CIQ($G263, "IQ_SHARESOUTSTANDING", IU$222),"--")</f>
        <v>0</v>
      </c>
      <c r="IV263" s="2132">
        <f>IF(IV$221,_xll.ciqfunctions.udf.CIQ($G263, "IQ_SHARESOUTSTANDING", IV$222),"--")</f>
        <v>0</v>
      </c>
      <c r="IW263" s="2132">
        <f>IF(IW$221,_xll.ciqfunctions.udf.CIQ($G263, "IQ_SHARESOUTSTANDING", IW$222),"--")</f>
        <v>0</v>
      </c>
      <c r="IX263" s="2132">
        <f>IF(IX$221,_xll.ciqfunctions.udf.CIQ($G263, "IQ_SHARESOUTSTANDING", IX$222),"--")</f>
        <v>0</v>
      </c>
      <c r="IY263" s="2132">
        <f>IF(IY$221,_xll.ciqfunctions.udf.CIQ($G263, "IQ_SHARESOUTSTANDING", IY$222),"--")</f>
        <v>0</v>
      </c>
      <c r="IZ263" s="2132">
        <f>IF(IZ$221,_xll.ciqfunctions.udf.CIQ($G263, "IQ_SHARESOUTSTANDING", IZ$222),"--")</f>
        <v>0</v>
      </c>
      <c r="JA263" s="2132">
        <f>IF(JA$221,_xll.ciqfunctions.udf.CIQ($G263, "IQ_SHARESOUTSTANDING", JA$222),"--")</f>
        <v>0</v>
      </c>
      <c r="JB263" s="2132">
        <f>IF(JB$221,_xll.ciqfunctions.udf.CIQ($G263, "IQ_SHARESOUTSTANDING", JB$222),"--")</f>
        <v>0</v>
      </c>
      <c r="JC263" s="2132">
        <f>IF(JC$221,_xll.ciqfunctions.udf.CIQ($G263, "IQ_SHARESOUTSTANDING", JC$222),"--")</f>
        <v>0</v>
      </c>
      <c r="JD263" s="2132">
        <f>IF(JD$221,_xll.ciqfunctions.udf.CIQ($G263, "IQ_SHARESOUTSTANDING", JD$222),"--")</f>
        <v>0</v>
      </c>
      <c r="JE263" s="2132">
        <f>IF(JE$221,_xll.ciqfunctions.udf.CIQ($G263, "IQ_SHARESOUTSTANDING", JE$222),"--")</f>
        <v>0</v>
      </c>
      <c r="JF263" s="2132">
        <f>IF(JF$221,_xll.ciqfunctions.udf.CIQ($G263, "IQ_SHARESOUTSTANDING", JF$222),"--")</f>
        <v>0</v>
      </c>
      <c r="JG263" s="2132">
        <f>IF(JG$221,_xll.ciqfunctions.udf.CIQ($G263, "IQ_SHARESOUTSTANDING", JG$222),"--")</f>
        <v>0</v>
      </c>
      <c r="JH263" s="2132">
        <f>IF(JH$221,_xll.ciqfunctions.udf.CIQ($G263, "IQ_SHARESOUTSTANDING", JH$222),"--")</f>
        <v>0</v>
      </c>
      <c r="JI263" s="2132">
        <f>IF(JI$221,_xll.ciqfunctions.udf.CIQ($G263, "IQ_SHARESOUTSTANDING", JI$222),"--")</f>
        <v>0</v>
      </c>
      <c r="JJ263" s="2132">
        <f>IF(JJ$221,_xll.ciqfunctions.udf.CIQ($G263, "IQ_SHARESOUTSTANDING", JJ$222),"--")</f>
        <v>0</v>
      </c>
      <c r="JK263" s="2132">
        <f>IF(JK$221,_xll.ciqfunctions.udf.CIQ($G263, "IQ_SHARESOUTSTANDING", JK$222),"--")</f>
        <v>0</v>
      </c>
      <c r="JL263" s="2132">
        <f>IF(JL$221,_xll.ciqfunctions.udf.CIQ($G263, "IQ_SHARESOUTSTANDING", JL$222),"--")</f>
        <v>0</v>
      </c>
      <c r="JM263" s="2132">
        <f>IF(JM$221,_xll.ciqfunctions.udf.CIQ($G263, "IQ_SHARESOUTSTANDING", JM$222),"--")</f>
        <v>0</v>
      </c>
      <c r="JN263" s="2132">
        <f>IF(JN$221,_xll.ciqfunctions.udf.CIQ($G263, "IQ_SHARESOUTSTANDING", JN$222),"--")</f>
        <v>0</v>
      </c>
      <c r="JO263" s="2132">
        <f>IF(JO$221,_xll.ciqfunctions.udf.CIQ($G263, "IQ_SHARESOUTSTANDING", JO$222),"--")</f>
        <v>0</v>
      </c>
      <c r="JP263" s="2132">
        <f>IF(JP$221,_xll.ciqfunctions.udf.CIQ($G263, "IQ_SHARESOUTSTANDING", JP$222),"--")</f>
        <v>0</v>
      </c>
      <c r="JQ263" s="2132">
        <f>IF(JQ$221,_xll.ciqfunctions.udf.CIQ($G263, "IQ_SHARESOUTSTANDING", JQ$222),"--")</f>
        <v>0</v>
      </c>
      <c r="JR263" s="2132">
        <f>IF(JR$221,_xll.ciqfunctions.udf.CIQ($G263, "IQ_SHARESOUTSTANDING", JR$222),"--")</f>
        <v>0</v>
      </c>
      <c r="JS263" s="2132">
        <f>IF(JS$221,_xll.ciqfunctions.udf.CIQ($G263, "IQ_SHARESOUTSTANDING", JS$222),"--")</f>
        <v>0</v>
      </c>
      <c r="JT263" s="2132">
        <f>IF(JT$221,_xll.ciqfunctions.udf.CIQ($G263, "IQ_SHARESOUTSTANDING", JT$222),"--")</f>
        <v>0</v>
      </c>
      <c r="JU263" s="2132">
        <f>IF(JU$221,_xll.ciqfunctions.udf.CIQ($G263, "IQ_SHARESOUTSTANDING", JU$222),"--")</f>
        <v>0</v>
      </c>
      <c r="JV263" s="2132">
        <f>IF(JV$221,_xll.ciqfunctions.udf.CIQ($G263, "IQ_SHARESOUTSTANDING", JV$222),"--")</f>
        <v>0</v>
      </c>
      <c r="JW263" s="2132" t="str">
        <f>IF(JW$221,_xll.ciqfunctions.udf.CIQ($G263, "IQ_SHARESOUTSTANDING", JW$222),"--")</f>
        <v>--</v>
      </c>
      <c r="JX263" s="2132" t="str">
        <f>IF(JX$221,_xll.ciqfunctions.udf.CIQ($G263, "IQ_SHARESOUTSTANDING", JX$222),"--")</f>
        <v>--</v>
      </c>
      <c r="JY263" s="2132" t="str">
        <f>IF(JY$221,_xll.ciqfunctions.udf.CIQ($G263, "IQ_SHARESOUTSTANDING", JY$222),"--")</f>
        <v>--</v>
      </c>
      <c r="JZ263" s="2132" t="str">
        <f>IF(JZ$221,_xll.ciqfunctions.udf.CIQ($G263, "IQ_SHARESOUTSTANDING", JZ$222),"--")</f>
        <v>--</v>
      </c>
      <c r="KA263" s="2132" t="str">
        <f>IF(KA$221,_xll.ciqfunctions.udf.CIQ($G263, "IQ_SHARESOUTSTANDING", KA$222),"--")</f>
        <v>--</v>
      </c>
      <c r="KB263" s="2132" t="str">
        <f>IF(KB$221,_xll.ciqfunctions.udf.CIQ($G263, "IQ_SHARESOUTSTANDING", KB$222),"--")</f>
        <v>--</v>
      </c>
    </row>
    <row r="264" spans="1:288" s="89" customFormat="1" ht="13.9">
      <c r="A264" s="269" t="str">
        <f t="shared" si="49"/>
        <v>n</v>
      </c>
      <c r="B264" s="2060"/>
      <c r="D264" s="801"/>
      <c r="E264" s="1505">
        <v>10</v>
      </c>
      <c r="F264" s="21" t="str">
        <f>F$138</f>
        <v>--</v>
      </c>
      <c r="G264" s="1441">
        <f>G$138</f>
        <v>0</v>
      </c>
      <c r="H264" s="1441" t="str">
        <f>H$138</f>
        <v>--</v>
      </c>
      <c r="I264" s="314" t="s">
        <v>783</v>
      </c>
      <c r="J264" s="314"/>
      <c r="K264" s="2301" t="str">
        <f>IF(OR(K201=0,$G264=0),"--",IFERROR(_xll.ciqfunctions.udf.CIQ($G264,$I264,K109,Valuation_Date_GC,ReportType,DataMode,$H264,FXMode)*Scale+K233*Pension10,"--"))</f>
        <v>--</v>
      </c>
      <c r="L264" s="2301" t="str">
        <f>IF(OR(L201=0,$G264=0),"--",IFERROR(_xll.ciqfunctions.udf.CIQ($G264,$I264,L109,Valuation_Date_GC,ReportType,DataMode,$H264,FXMode)*Scale+L233*Pension10,"--"))</f>
        <v>--</v>
      </c>
      <c r="M264" s="2301" t="str">
        <f>IF(OR(M201=0,$G264=0),"--",IFERROR(_xll.ciqfunctions.udf.CIQ($G264,$I264,M109,Valuation_Date_GC,ReportType,DataMode,$H264,FXMode)*Scale+M233*Pension10,"--"))</f>
        <v>--</v>
      </c>
      <c r="N264" s="2301" t="str">
        <f>IF(OR(N201=0,$G264=0),"--",IFERROR(_xll.ciqfunctions.udf.CIQ($G264,$I264,N109,Valuation_Date_GC,ReportType,DataMode,$H264,FXMode)*Scale+N233*Pension10,"--"))</f>
        <v>--</v>
      </c>
      <c r="O264" s="1471" t="str">
        <f>IF(OR(O201=0,$G264=0),"--",IFERROR(_xll.ciqfunctions.udf.CIQ($G264,$I264,O109,Valuation_Date_GC,ReportType,DataMode,$H264,FXMode)*Scale+O233*Pension10,"--"))</f>
        <v>--</v>
      </c>
      <c r="P264" s="2301" t="str">
        <f>IF(OR(P201=0,$G264=0),"--",IFERROR(_xll.ciqfunctions.udf.CIQ($G264,$I264,P109,Valuation_Date_GC,ReportType,DataMode,$H264,FXMode)*Scale+P233*Pension10,"--"))</f>
        <v>--</v>
      </c>
      <c r="R264" s="255"/>
      <c r="T264" s="1779" t="s">
        <v>784</v>
      </c>
      <c r="U264" s="2132">
        <f>IF(U$221,_xll.ciqfunctions.udf.CIQ($G264, "IQ_SHARESOUTSTANDING", U$222),"--")</f>
        <v>0</v>
      </c>
      <c r="V264" s="2132">
        <f>IF(V$221,_xll.ciqfunctions.udf.CIQ($G264, "IQ_SHARESOUTSTANDING", V$222),"--")</f>
        <v>0</v>
      </c>
      <c r="W264" s="2132">
        <f>IF(W$221,_xll.ciqfunctions.udf.CIQ($G264, "IQ_SHARESOUTSTANDING", W$222),"--")</f>
        <v>0</v>
      </c>
      <c r="X264" s="2132">
        <f>IF(X$221,_xll.ciqfunctions.udf.CIQ($G264, "IQ_SHARESOUTSTANDING", X$222),"--")</f>
        <v>0</v>
      </c>
      <c r="Y264" s="2132">
        <f>IF(Y$221,_xll.ciqfunctions.udf.CIQ($G264, "IQ_SHARESOUTSTANDING", Y$222),"--")</f>
        <v>0</v>
      </c>
      <c r="Z264" s="2132">
        <f>IF(Z$221,_xll.ciqfunctions.udf.CIQ($G264, "IQ_SHARESOUTSTANDING", Z$222),"--")</f>
        <v>0</v>
      </c>
      <c r="AA264" s="2132">
        <f>IF(AA$221,_xll.ciqfunctions.udf.CIQ($G264, "IQ_SHARESOUTSTANDING", AA$222),"--")</f>
        <v>0</v>
      </c>
      <c r="AB264" s="2132">
        <f>IF(AB$221,_xll.ciqfunctions.udf.CIQ($G264, "IQ_SHARESOUTSTANDING", AB$222),"--")</f>
        <v>0</v>
      </c>
      <c r="AC264" s="2132">
        <f>IF(AC$221,_xll.ciqfunctions.udf.CIQ($G264, "IQ_SHARESOUTSTANDING", AC$222),"--")</f>
        <v>0</v>
      </c>
      <c r="AD264" s="2132">
        <f>IF(AD$221,_xll.ciqfunctions.udf.CIQ($G264, "IQ_SHARESOUTSTANDING", AD$222),"--")</f>
        <v>0</v>
      </c>
      <c r="AE264" s="2132">
        <f>IF(AE$221,_xll.ciqfunctions.udf.CIQ($G264, "IQ_SHARESOUTSTANDING", AE$222),"--")</f>
        <v>0</v>
      </c>
      <c r="AF264" s="2132">
        <f>IF(AF$221,_xll.ciqfunctions.udf.CIQ($G264, "IQ_SHARESOUTSTANDING", AF$222),"--")</f>
        <v>0</v>
      </c>
      <c r="AG264" s="2132">
        <f>IF(AG$221,_xll.ciqfunctions.udf.CIQ($G264, "IQ_SHARESOUTSTANDING", AG$222),"--")</f>
        <v>0</v>
      </c>
      <c r="AH264" s="2132">
        <f>IF(AH$221,_xll.ciqfunctions.udf.CIQ($G264, "IQ_SHARESOUTSTANDING", AH$222),"--")</f>
        <v>0</v>
      </c>
      <c r="AI264" s="2132">
        <f>IF(AI$221,_xll.ciqfunctions.udf.CIQ($G264, "IQ_SHARESOUTSTANDING", AI$222),"--")</f>
        <v>0</v>
      </c>
      <c r="AJ264" s="2132">
        <f>IF(AJ$221,_xll.ciqfunctions.udf.CIQ($G264, "IQ_SHARESOUTSTANDING", AJ$222),"--")</f>
        <v>0</v>
      </c>
      <c r="AK264" s="2132">
        <f>IF(AK$221,_xll.ciqfunctions.udf.CIQ($G264, "IQ_SHARESOUTSTANDING", AK$222),"--")</f>
        <v>0</v>
      </c>
      <c r="AL264" s="2132">
        <f>IF(AL$221,_xll.ciqfunctions.udf.CIQ($G264, "IQ_SHARESOUTSTANDING", AL$222),"--")</f>
        <v>0</v>
      </c>
      <c r="AM264" s="2132">
        <f>IF(AM$221,_xll.ciqfunctions.udf.CIQ($G264, "IQ_SHARESOUTSTANDING", AM$222),"--")</f>
        <v>0</v>
      </c>
      <c r="AN264" s="2132">
        <f>IF(AN$221,_xll.ciqfunctions.udf.CIQ($G264, "IQ_SHARESOUTSTANDING", AN$222),"--")</f>
        <v>0</v>
      </c>
      <c r="AO264" s="2132">
        <f>IF(AO$221,_xll.ciqfunctions.udf.CIQ($G264, "IQ_SHARESOUTSTANDING", AO$222),"--")</f>
        <v>0</v>
      </c>
      <c r="AP264" s="2132">
        <f>IF(AP$221,_xll.ciqfunctions.udf.CIQ($G264, "IQ_SHARESOUTSTANDING", AP$222),"--")</f>
        <v>0</v>
      </c>
      <c r="AQ264" s="2132">
        <f>IF(AQ$221,_xll.ciqfunctions.udf.CIQ($G264, "IQ_SHARESOUTSTANDING", AQ$222),"--")</f>
        <v>0</v>
      </c>
      <c r="AR264" s="2132">
        <f>IF(AR$221,_xll.ciqfunctions.udf.CIQ($G264, "IQ_SHARESOUTSTANDING", AR$222),"--")</f>
        <v>0</v>
      </c>
      <c r="AS264" s="2132">
        <f>IF(AS$221,_xll.ciqfunctions.udf.CIQ($G264, "IQ_SHARESOUTSTANDING", AS$222),"--")</f>
        <v>0</v>
      </c>
      <c r="AT264" s="2132">
        <f>IF(AT$221,_xll.ciqfunctions.udf.CIQ($G264, "IQ_SHARESOUTSTANDING", AT$222),"--")</f>
        <v>0</v>
      </c>
      <c r="AU264" s="2132">
        <f>IF(AU$221,_xll.ciqfunctions.udf.CIQ($G264, "IQ_SHARESOUTSTANDING", AU$222),"--")</f>
        <v>0</v>
      </c>
      <c r="AV264" s="2132">
        <f>IF(AV$221,_xll.ciqfunctions.udf.CIQ($G264, "IQ_SHARESOUTSTANDING", AV$222),"--")</f>
        <v>0</v>
      </c>
      <c r="AW264" s="2132">
        <f>IF(AW$221,_xll.ciqfunctions.udf.CIQ($G264, "IQ_SHARESOUTSTANDING", AW$222),"--")</f>
        <v>0</v>
      </c>
      <c r="AX264" s="2132">
        <f>IF(AX$221,_xll.ciqfunctions.udf.CIQ($G264, "IQ_SHARESOUTSTANDING", AX$222),"--")</f>
        <v>0</v>
      </c>
      <c r="AY264" s="2132">
        <f>IF(AY$221,_xll.ciqfunctions.udf.CIQ($G264, "IQ_SHARESOUTSTANDING", AY$222),"--")</f>
        <v>0</v>
      </c>
      <c r="AZ264" s="2132">
        <f>IF(AZ$221,_xll.ciqfunctions.udf.CIQ($G264, "IQ_SHARESOUTSTANDING", AZ$222),"--")</f>
        <v>0</v>
      </c>
      <c r="BA264" s="2132">
        <f>IF(BA$221,_xll.ciqfunctions.udf.CIQ($G264, "IQ_SHARESOUTSTANDING", BA$222),"--")</f>
        <v>0</v>
      </c>
      <c r="BB264" s="2132">
        <f>IF(BB$221,_xll.ciqfunctions.udf.CIQ($G264, "IQ_SHARESOUTSTANDING", BB$222),"--")</f>
        <v>0</v>
      </c>
      <c r="BC264" s="2132">
        <f>IF(BC$221,_xll.ciqfunctions.udf.CIQ($G264, "IQ_SHARESOUTSTANDING", BC$222),"--")</f>
        <v>0</v>
      </c>
      <c r="BD264" s="2132">
        <f>IF(BD$221,_xll.ciqfunctions.udf.CIQ($G264, "IQ_SHARESOUTSTANDING", BD$222),"--")</f>
        <v>0</v>
      </c>
      <c r="BE264" s="2132">
        <f>IF(BE$221,_xll.ciqfunctions.udf.CIQ($G264, "IQ_SHARESOUTSTANDING", BE$222),"--")</f>
        <v>0</v>
      </c>
      <c r="BF264" s="2132">
        <f>IF(BF$221,_xll.ciqfunctions.udf.CIQ($G264, "IQ_SHARESOUTSTANDING", BF$222),"--")</f>
        <v>0</v>
      </c>
      <c r="BG264" s="2132">
        <f>IF(BG$221,_xll.ciqfunctions.udf.CIQ($G264, "IQ_SHARESOUTSTANDING", BG$222),"--")</f>
        <v>0</v>
      </c>
      <c r="BH264" s="2132">
        <f>IF(BH$221,_xll.ciqfunctions.udf.CIQ($G264, "IQ_SHARESOUTSTANDING", BH$222),"--")</f>
        <v>0</v>
      </c>
      <c r="BI264" s="2132">
        <f>IF(BI$221,_xll.ciqfunctions.udf.CIQ($G264, "IQ_SHARESOUTSTANDING", BI$222),"--")</f>
        <v>0</v>
      </c>
      <c r="BJ264" s="2132">
        <f>IF(BJ$221,_xll.ciqfunctions.udf.CIQ($G264, "IQ_SHARESOUTSTANDING", BJ$222),"--")</f>
        <v>0</v>
      </c>
      <c r="BK264" s="2132">
        <f>IF(BK$221,_xll.ciqfunctions.udf.CIQ($G264, "IQ_SHARESOUTSTANDING", BK$222),"--")</f>
        <v>0</v>
      </c>
      <c r="BL264" s="2132">
        <f>IF(BL$221,_xll.ciqfunctions.udf.CIQ($G264, "IQ_SHARESOUTSTANDING", BL$222),"--")</f>
        <v>0</v>
      </c>
      <c r="BM264" s="2132">
        <f>IF(BM$221,_xll.ciqfunctions.udf.CIQ($G264, "IQ_SHARESOUTSTANDING", BM$222),"--")</f>
        <v>0</v>
      </c>
      <c r="BN264" s="2132">
        <f>IF(BN$221,_xll.ciqfunctions.udf.CIQ($G264, "IQ_SHARESOUTSTANDING", BN$222),"--")</f>
        <v>0</v>
      </c>
      <c r="BO264" s="2132">
        <f>IF(BO$221,_xll.ciqfunctions.udf.CIQ($G264, "IQ_SHARESOUTSTANDING", BO$222),"--")</f>
        <v>0</v>
      </c>
      <c r="BP264" s="2132">
        <f>IF(BP$221,_xll.ciqfunctions.udf.CIQ($G264, "IQ_SHARESOUTSTANDING", BP$222),"--")</f>
        <v>0</v>
      </c>
      <c r="BQ264" s="2132">
        <f>IF(BQ$221,_xll.ciqfunctions.udf.CIQ($G264, "IQ_SHARESOUTSTANDING", BQ$222),"--")</f>
        <v>0</v>
      </c>
      <c r="BR264" s="2132">
        <f>IF(BR$221,_xll.ciqfunctions.udf.CIQ($G264, "IQ_SHARESOUTSTANDING", BR$222),"--")</f>
        <v>0</v>
      </c>
      <c r="BS264" s="2132">
        <f>IF(BS$221,_xll.ciqfunctions.udf.CIQ($G264, "IQ_SHARESOUTSTANDING", BS$222),"--")</f>
        <v>0</v>
      </c>
      <c r="BT264" s="2132">
        <f>IF(BT$221,_xll.ciqfunctions.udf.CIQ($G264, "IQ_SHARESOUTSTANDING", BT$222),"--")</f>
        <v>0</v>
      </c>
      <c r="BU264" s="2132">
        <f>IF(BU$221,_xll.ciqfunctions.udf.CIQ($G264, "IQ_SHARESOUTSTANDING", BU$222),"--")</f>
        <v>0</v>
      </c>
      <c r="BV264" s="2132">
        <f>IF(BV$221,_xll.ciqfunctions.udf.CIQ($G264, "IQ_SHARESOUTSTANDING", BV$222),"--")</f>
        <v>0</v>
      </c>
      <c r="BW264" s="2132">
        <f>IF(BW$221,_xll.ciqfunctions.udf.CIQ($G264, "IQ_SHARESOUTSTANDING", BW$222),"--")</f>
        <v>0</v>
      </c>
      <c r="BX264" s="2132">
        <f>IF(BX$221,_xll.ciqfunctions.udf.CIQ($G264, "IQ_SHARESOUTSTANDING", BX$222),"--")</f>
        <v>0</v>
      </c>
      <c r="BY264" s="2132">
        <f>IF(BY$221,_xll.ciqfunctions.udf.CIQ($G264, "IQ_SHARESOUTSTANDING", BY$222),"--")</f>
        <v>0</v>
      </c>
      <c r="BZ264" s="2132">
        <f>IF(BZ$221,_xll.ciqfunctions.udf.CIQ($G264, "IQ_SHARESOUTSTANDING", BZ$222),"--")</f>
        <v>0</v>
      </c>
      <c r="CA264" s="2132">
        <f>IF(CA$221,_xll.ciqfunctions.udf.CIQ($G264, "IQ_SHARESOUTSTANDING", CA$222),"--")</f>
        <v>0</v>
      </c>
      <c r="CB264" s="2132">
        <f>IF(CB$221,_xll.ciqfunctions.udf.CIQ($G264, "IQ_SHARESOUTSTANDING", CB$222),"--")</f>
        <v>0</v>
      </c>
      <c r="CC264" s="2132">
        <f>IF(CC$221,_xll.ciqfunctions.udf.CIQ($G264, "IQ_SHARESOUTSTANDING", CC$222),"--")</f>
        <v>0</v>
      </c>
      <c r="CD264" s="2132">
        <f>IF(CD$221,_xll.ciqfunctions.udf.CIQ($G264, "IQ_SHARESOUTSTANDING", CD$222),"--")</f>
        <v>0</v>
      </c>
      <c r="CE264" s="2132">
        <f>IF(CE$221,_xll.ciqfunctions.udf.CIQ($G264, "IQ_SHARESOUTSTANDING", CE$222),"--")</f>
        <v>0</v>
      </c>
      <c r="CF264" s="2132">
        <f>IF(CF$221,_xll.ciqfunctions.udf.CIQ($G264, "IQ_SHARESOUTSTANDING", CF$222),"--")</f>
        <v>0</v>
      </c>
      <c r="CG264" s="2132">
        <f>IF(CG$221,_xll.ciqfunctions.udf.CIQ($G264, "IQ_SHARESOUTSTANDING", CG$222),"--")</f>
        <v>0</v>
      </c>
      <c r="CH264" s="2132">
        <f>IF(CH$221,_xll.ciqfunctions.udf.CIQ($G264, "IQ_SHARESOUTSTANDING", CH$222),"--")</f>
        <v>0</v>
      </c>
      <c r="CI264" s="2132">
        <f>IF(CI$221,_xll.ciqfunctions.udf.CIQ($G264, "IQ_SHARESOUTSTANDING", CI$222),"--")</f>
        <v>0</v>
      </c>
      <c r="CJ264" s="2132">
        <f>IF(CJ$221,_xll.ciqfunctions.udf.CIQ($G264, "IQ_SHARESOUTSTANDING", CJ$222),"--")</f>
        <v>0</v>
      </c>
      <c r="CK264" s="2132">
        <f>IF(CK$221,_xll.ciqfunctions.udf.CIQ($G264, "IQ_SHARESOUTSTANDING", CK$222),"--")</f>
        <v>0</v>
      </c>
      <c r="CL264" s="2132">
        <f>IF(CL$221,_xll.ciqfunctions.udf.CIQ($G264, "IQ_SHARESOUTSTANDING", CL$222),"--")</f>
        <v>0</v>
      </c>
      <c r="CM264" s="2132">
        <f>IF(CM$221,_xll.ciqfunctions.udf.CIQ($G264, "IQ_SHARESOUTSTANDING", CM$222),"--")</f>
        <v>0</v>
      </c>
      <c r="CN264" s="2132">
        <f>IF(CN$221,_xll.ciqfunctions.udf.CIQ($G264, "IQ_SHARESOUTSTANDING", CN$222),"--")</f>
        <v>0</v>
      </c>
      <c r="CO264" s="2132">
        <f>IF(CO$221,_xll.ciqfunctions.udf.CIQ($G264, "IQ_SHARESOUTSTANDING", CO$222),"--")</f>
        <v>0</v>
      </c>
      <c r="CP264" s="2132">
        <f>IF(CP$221,_xll.ciqfunctions.udf.CIQ($G264, "IQ_SHARESOUTSTANDING", CP$222),"--")</f>
        <v>0</v>
      </c>
      <c r="CQ264" s="2132">
        <f>IF(CQ$221,_xll.ciqfunctions.udf.CIQ($G264, "IQ_SHARESOUTSTANDING", CQ$222),"--")</f>
        <v>0</v>
      </c>
      <c r="CR264" s="2132">
        <f>IF(CR$221,_xll.ciqfunctions.udf.CIQ($G264, "IQ_SHARESOUTSTANDING", CR$222),"--")</f>
        <v>0</v>
      </c>
      <c r="CS264" s="2132">
        <f>IF(CS$221,_xll.ciqfunctions.udf.CIQ($G264, "IQ_SHARESOUTSTANDING", CS$222),"--")</f>
        <v>0</v>
      </c>
      <c r="CT264" s="2132">
        <f>IF(CT$221,_xll.ciqfunctions.udf.CIQ($G264, "IQ_SHARESOUTSTANDING", CT$222),"--")</f>
        <v>0</v>
      </c>
      <c r="CU264" s="2132">
        <f>IF(CU$221,_xll.ciqfunctions.udf.CIQ($G264, "IQ_SHARESOUTSTANDING", CU$222),"--")</f>
        <v>0</v>
      </c>
      <c r="CV264" s="2132">
        <f>IF(CV$221,_xll.ciqfunctions.udf.CIQ($G264, "IQ_SHARESOUTSTANDING", CV$222),"--")</f>
        <v>0</v>
      </c>
      <c r="CW264" s="2132">
        <f>IF(CW$221,_xll.ciqfunctions.udf.CIQ($G264, "IQ_SHARESOUTSTANDING", CW$222),"--")</f>
        <v>0</v>
      </c>
      <c r="CX264" s="2132">
        <f>IF(CX$221,_xll.ciqfunctions.udf.CIQ($G264, "IQ_SHARESOUTSTANDING", CX$222),"--")</f>
        <v>0</v>
      </c>
      <c r="CY264" s="2132">
        <f>IF(CY$221,_xll.ciqfunctions.udf.CIQ($G264, "IQ_SHARESOUTSTANDING", CY$222),"--")</f>
        <v>0</v>
      </c>
      <c r="CZ264" s="2132">
        <f>IF(CZ$221,_xll.ciqfunctions.udf.CIQ($G264, "IQ_SHARESOUTSTANDING", CZ$222),"--")</f>
        <v>0</v>
      </c>
      <c r="DA264" s="2132">
        <f>IF(DA$221,_xll.ciqfunctions.udf.CIQ($G264, "IQ_SHARESOUTSTANDING", DA$222),"--")</f>
        <v>0</v>
      </c>
      <c r="DB264" s="2132">
        <f>IF(DB$221,_xll.ciqfunctions.udf.CIQ($G264, "IQ_SHARESOUTSTANDING", DB$222),"--")</f>
        <v>0</v>
      </c>
      <c r="DC264" s="2132">
        <f>IF(DC$221,_xll.ciqfunctions.udf.CIQ($G264, "IQ_SHARESOUTSTANDING", DC$222),"--")</f>
        <v>0</v>
      </c>
      <c r="DD264" s="2132">
        <f>IF(DD$221,_xll.ciqfunctions.udf.CIQ($G264, "IQ_SHARESOUTSTANDING", DD$222),"--")</f>
        <v>0</v>
      </c>
      <c r="DE264" s="2132">
        <f>IF(DE$221,_xll.ciqfunctions.udf.CIQ($G264, "IQ_SHARESOUTSTANDING", DE$222),"--")</f>
        <v>0</v>
      </c>
      <c r="DF264" s="2132">
        <f>IF(DF$221,_xll.ciqfunctions.udf.CIQ($G264, "IQ_SHARESOUTSTANDING", DF$222),"--")</f>
        <v>0</v>
      </c>
      <c r="DG264" s="2132">
        <f>IF(DG$221,_xll.ciqfunctions.udf.CIQ($G264, "IQ_SHARESOUTSTANDING", DG$222),"--")</f>
        <v>0</v>
      </c>
      <c r="DH264" s="2132">
        <f>IF(DH$221,_xll.ciqfunctions.udf.CIQ($G264, "IQ_SHARESOUTSTANDING", DH$222),"--")</f>
        <v>0</v>
      </c>
      <c r="DI264" s="2132">
        <f>IF(DI$221,_xll.ciqfunctions.udf.CIQ($G264, "IQ_SHARESOUTSTANDING", DI$222),"--")</f>
        <v>0</v>
      </c>
      <c r="DJ264" s="2132">
        <f>IF(DJ$221,_xll.ciqfunctions.udf.CIQ($G264, "IQ_SHARESOUTSTANDING", DJ$222),"--")</f>
        <v>0</v>
      </c>
      <c r="DK264" s="2132">
        <f>IF(DK$221,_xll.ciqfunctions.udf.CIQ($G264, "IQ_SHARESOUTSTANDING", DK$222),"--")</f>
        <v>0</v>
      </c>
      <c r="DL264" s="2132">
        <f>IF(DL$221,_xll.ciqfunctions.udf.CIQ($G264, "IQ_SHARESOUTSTANDING", DL$222),"--")</f>
        <v>0</v>
      </c>
      <c r="DM264" s="2132">
        <f>IF(DM$221,_xll.ciqfunctions.udf.CIQ($G264, "IQ_SHARESOUTSTANDING", DM$222),"--")</f>
        <v>0</v>
      </c>
      <c r="DN264" s="2132">
        <f>IF(DN$221,_xll.ciqfunctions.udf.CIQ($G264, "IQ_SHARESOUTSTANDING", DN$222),"--")</f>
        <v>0</v>
      </c>
      <c r="DO264" s="2132">
        <f>IF(DO$221,_xll.ciqfunctions.udf.CIQ($G264, "IQ_SHARESOUTSTANDING", DO$222),"--")</f>
        <v>0</v>
      </c>
      <c r="DP264" s="2132">
        <f>IF(DP$221,_xll.ciqfunctions.udf.CIQ($G264, "IQ_SHARESOUTSTANDING", DP$222),"--")</f>
        <v>0</v>
      </c>
      <c r="DQ264" s="2132">
        <f>IF(DQ$221,_xll.ciqfunctions.udf.CIQ($G264, "IQ_SHARESOUTSTANDING", DQ$222),"--")</f>
        <v>0</v>
      </c>
      <c r="DR264" s="2132">
        <f>IF(DR$221,_xll.ciqfunctions.udf.CIQ($G264, "IQ_SHARESOUTSTANDING", DR$222),"--")</f>
        <v>0</v>
      </c>
      <c r="DS264" s="2132">
        <f>IF(DS$221,_xll.ciqfunctions.udf.CIQ($G264, "IQ_SHARESOUTSTANDING", DS$222),"--")</f>
        <v>0</v>
      </c>
      <c r="DT264" s="2132">
        <f>IF(DT$221,_xll.ciqfunctions.udf.CIQ($G264, "IQ_SHARESOUTSTANDING", DT$222),"--")</f>
        <v>0</v>
      </c>
      <c r="DU264" s="2132">
        <f>IF(DU$221,_xll.ciqfunctions.udf.CIQ($G264, "IQ_SHARESOUTSTANDING", DU$222),"--")</f>
        <v>0</v>
      </c>
      <c r="DV264" s="2132">
        <f>IF(DV$221,_xll.ciqfunctions.udf.CIQ($G264, "IQ_SHARESOUTSTANDING", DV$222),"--")</f>
        <v>0</v>
      </c>
      <c r="DW264" s="2132">
        <f>IF(DW$221,_xll.ciqfunctions.udf.CIQ($G264, "IQ_SHARESOUTSTANDING", DW$222),"--")</f>
        <v>0</v>
      </c>
      <c r="DX264" s="2132">
        <f>IF(DX$221,_xll.ciqfunctions.udf.CIQ($G264, "IQ_SHARESOUTSTANDING", DX$222),"--")</f>
        <v>0</v>
      </c>
      <c r="DY264" s="2132">
        <f>IF(DY$221,_xll.ciqfunctions.udf.CIQ($G264, "IQ_SHARESOUTSTANDING", DY$222),"--")</f>
        <v>0</v>
      </c>
      <c r="DZ264" s="2132">
        <f>IF(DZ$221,_xll.ciqfunctions.udf.CIQ($G264, "IQ_SHARESOUTSTANDING", DZ$222),"--")</f>
        <v>0</v>
      </c>
      <c r="EA264" s="2132">
        <f>IF(EA$221,_xll.ciqfunctions.udf.CIQ($G264, "IQ_SHARESOUTSTANDING", EA$222),"--")</f>
        <v>0</v>
      </c>
      <c r="EB264" s="2132">
        <f>IF(EB$221,_xll.ciqfunctions.udf.CIQ($G264, "IQ_SHARESOUTSTANDING", EB$222),"--")</f>
        <v>0</v>
      </c>
      <c r="EC264" s="2132">
        <f>IF(EC$221,_xll.ciqfunctions.udf.CIQ($G264, "IQ_SHARESOUTSTANDING", EC$222),"--")</f>
        <v>0</v>
      </c>
      <c r="ED264" s="2132">
        <f>IF(ED$221,_xll.ciqfunctions.udf.CIQ($G264, "IQ_SHARESOUTSTANDING", ED$222),"--")</f>
        <v>0</v>
      </c>
      <c r="EE264" s="2132">
        <f>IF(EE$221,_xll.ciqfunctions.udf.CIQ($G264, "IQ_SHARESOUTSTANDING", EE$222),"--")</f>
        <v>0</v>
      </c>
      <c r="EF264" s="2132">
        <f>IF(EF$221,_xll.ciqfunctions.udf.CIQ($G264, "IQ_SHARESOUTSTANDING", EF$222),"--")</f>
        <v>0</v>
      </c>
      <c r="EG264" s="2132">
        <f>IF(EG$221,_xll.ciqfunctions.udf.CIQ($G264, "IQ_SHARESOUTSTANDING", EG$222),"--")</f>
        <v>0</v>
      </c>
      <c r="EH264" s="2132">
        <f>IF(EH$221,_xll.ciqfunctions.udf.CIQ($G264, "IQ_SHARESOUTSTANDING", EH$222),"--")</f>
        <v>0</v>
      </c>
      <c r="EI264" s="2132">
        <f>IF(EI$221,_xll.ciqfunctions.udf.CIQ($G264, "IQ_SHARESOUTSTANDING", EI$222),"--")</f>
        <v>0</v>
      </c>
      <c r="EJ264" s="2132">
        <f>IF(EJ$221,_xll.ciqfunctions.udf.CIQ($G264, "IQ_SHARESOUTSTANDING", EJ$222),"--")</f>
        <v>0</v>
      </c>
      <c r="EK264" s="2132">
        <f>IF(EK$221,_xll.ciqfunctions.udf.CIQ($G264, "IQ_SHARESOUTSTANDING", EK$222),"--")</f>
        <v>0</v>
      </c>
      <c r="EL264" s="2132">
        <f>IF(EL$221,_xll.ciqfunctions.udf.CIQ($G264, "IQ_SHARESOUTSTANDING", EL$222),"--")</f>
        <v>0</v>
      </c>
      <c r="EM264" s="2132">
        <f>IF(EM$221,_xll.ciqfunctions.udf.CIQ($G264, "IQ_SHARESOUTSTANDING", EM$222),"--")</f>
        <v>0</v>
      </c>
      <c r="EN264" s="2132">
        <f>IF(EN$221,_xll.ciqfunctions.udf.CIQ($G264, "IQ_SHARESOUTSTANDING", EN$222),"--")</f>
        <v>0</v>
      </c>
      <c r="EO264" s="2132">
        <f>IF(EO$221,_xll.ciqfunctions.udf.CIQ($G264, "IQ_SHARESOUTSTANDING", EO$222),"--")</f>
        <v>0</v>
      </c>
      <c r="EP264" s="2132">
        <f>IF(EP$221,_xll.ciqfunctions.udf.CIQ($G264, "IQ_SHARESOUTSTANDING", EP$222),"--")</f>
        <v>0</v>
      </c>
      <c r="EQ264" s="2132">
        <f>IF(EQ$221,_xll.ciqfunctions.udf.CIQ($G264, "IQ_SHARESOUTSTANDING", EQ$222),"--")</f>
        <v>0</v>
      </c>
      <c r="ER264" s="2132">
        <f>IF(ER$221,_xll.ciqfunctions.udf.CIQ($G264, "IQ_SHARESOUTSTANDING", ER$222),"--")</f>
        <v>0</v>
      </c>
      <c r="ES264" s="2132">
        <f>IF(ES$221,_xll.ciqfunctions.udf.CIQ($G264, "IQ_SHARESOUTSTANDING", ES$222),"--")</f>
        <v>0</v>
      </c>
      <c r="ET264" s="2132">
        <f>IF(ET$221,_xll.ciqfunctions.udf.CIQ($G264, "IQ_SHARESOUTSTANDING", ET$222),"--")</f>
        <v>0</v>
      </c>
      <c r="EU264" s="2132">
        <f>IF(EU$221,_xll.ciqfunctions.udf.CIQ($G264, "IQ_SHARESOUTSTANDING", EU$222),"--")</f>
        <v>0</v>
      </c>
      <c r="EV264" s="2132">
        <f>IF(EV$221,_xll.ciqfunctions.udf.CIQ($G264, "IQ_SHARESOUTSTANDING", EV$222),"--")</f>
        <v>0</v>
      </c>
      <c r="EW264" s="2132">
        <f>IF(EW$221,_xll.ciqfunctions.udf.CIQ($G264, "IQ_SHARESOUTSTANDING", EW$222),"--")</f>
        <v>0</v>
      </c>
      <c r="EX264" s="2132">
        <f>IF(EX$221,_xll.ciqfunctions.udf.CIQ($G264, "IQ_SHARESOUTSTANDING", EX$222),"--")</f>
        <v>0</v>
      </c>
      <c r="EY264" s="2132">
        <f>IF(EY$221,_xll.ciqfunctions.udf.CIQ($G264, "IQ_SHARESOUTSTANDING", EY$222),"--")</f>
        <v>0</v>
      </c>
      <c r="EZ264" s="2132">
        <f>IF(EZ$221,_xll.ciqfunctions.udf.CIQ($G264, "IQ_SHARESOUTSTANDING", EZ$222),"--")</f>
        <v>0</v>
      </c>
      <c r="FA264" s="2132">
        <f>IF(FA$221,_xll.ciqfunctions.udf.CIQ($G264, "IQ_SHARESOUTSTANDING", FA$222),"--")</f>
        <v>0</v>
      </c>
      <c r="FB264" s="2132">
        <f>IF(FB$221,_xll.ciqfunctions.udf.CIQ($G264, "IQ_SHARESOUTSTANDING", FB$222),"--")</f>
        <v>0</v>
      </c>
      <c r="FC264" s="2132">
        <f>IF(FC$221,_xll.ciqfunctions.udf.CIQ($G264, "IQ_SHARESOUTSTANDING", FC$222),"--")</f>
        <v>0</v>
      </c>
      <c r="FD264" s="2132">
        <f>IF(FD$221,_xll.ciqfunctions.udf.CIQ($G264, "IQ_SHARESOUTSTANDING", FD$222),"--")</f>
        <v>0</v>
      </c>
      <c r="FE264" s="2132">
        <f>IF(FE$221,_xll.ciqfunctions.udf.CIQ($G264, "IQ_SHARESOUTSTANDING", FE$222),"--")</f>
        <v>0</v>
      </c>
      <c r="FF264" s="2132">
        <f>IF(FF$221,_xll.ciqfunctions.udf.CIQ($G264, "IQ_SHARESOUTSTANDING", FF$222),"--")</f>
        <v>0</v>
      </c>
      <c r="FG264" s="2132">
        <f>IF(FG$221,_xll.ciqfunctions.udf.CIQ($G264, "IQ_SHARESOUTSTANDING", FG$222),"--")</f>
        <v>0</v>
      </c>
      <c r="FH264" s="2132">
        <f>IF(FH$221,_xll.ciqfunctions.udf.CIQ($G264, "IQ_SHARESOUTSTANDING", FH$222),"--")</f>
        <v>0</v>
      </c>
      <c r="FI264" s="2132">
        <f>IF(FI$221,_xll.ciqfunctions.udf.CIQ($G264, "IQ_SHARESOUTSTANDING", FI$222),"--")</f>
        <v>0</v>
      </c>
      <c r="FJ264" s="2132">
        <f>IF(FJ$221,_xll.ciqfunctions.udf.CIQ($G264, "IQ_SHARESOUTSTANDING", FJ$222),"--")</f>
        <v>0</v>
      </c>
      <c r="FK264" s="2132">
        <f>IF(FK$221,_xll.ciqfunctions.udf.CIQ($G264, "IQ_SHARESOUTSTANDING", FK$222),"--")</f>
        <v>0</v>
      </c>
      <c r="FL264" s="2132">
        <f>IF(FL$221,_xll.ciqfunctions.udf.CIQ($G264, "IQ_SHARESOUTSTANDING", FL$222),"--")</f>
        <v>0</v>
      </c>
      <c r="FM264" s="2132">
        <f>IF(FM$221,_xll.ciqfunctions.udf.CIQ($G264, "IQ_SHARESOUTSTANDING", FM$222),"--")</f>
        <v>0</v>
      </c>
      <c r="FN264" s="2132">
        <f>IF(FN$221,_xll.ciqfunctions.udf.CIQ($G264, "IQ_SHARESOUTSTANDING", FN$222),"--")</f>
        <v>0</v>
      </c>
      <c r="FO264" s="2132">
        <f>IF(FO$221,_xll.ciqfunctions.udf.CIQ($G264, "IQ_SHARESOUTSTANDING", FO$222),"--")</f>
        <v>0</v>
      </c>
      <c r="FP264" s="2132">
        <f>IF(FP$221,_xll.ciqfunctions.udf.CIQ($G264, "IQ_SHARESOUTSTANDING", FP$222),"--")</f>
        <v>0</v>
      </c>
      <c r="FQ264" s="2132">
        <f>IF(FQ$221,_xll.ciqfunctions.udf.CIQ($G264, "IQ_SHARESOUTSTANDING", FQ$222),"--")</f>
        <v>0</v>
      </c>
      <c r="FR264" s="2132">
        <f>IF(FR$221,_xll.ciqfunctions.udf.CIQ($G264, "IQ_SHARESOUTSTANDING", FR$222),"--")</f>
        <v>0</v>
      </c>
      <c r="FS264" s="2132">
        <f>IF(FS$221,_xll.ciqfunctions.udf.CIQ($G264, "IQ_SHARESOUTSTANDING", FS$222),"--")</f>
        <v>0</v>
      </c>
      <c r="FT264" s="2132">
        <f>IF(FT$221,_xll.ciqfunctions.udf.CIQ($G264, "IQ_SHARESOUTSTANDING", FT$222),"--")</f>
        <v>0</v>
      </c>
      <c r="FU264" s="2132">
        <f>IF(FU$221,_xll.ciqfunctions.udf.CIQ($G264, "IQ_SHARESOUTSTANDING", FU$222),"--")</f>
        <v>0</v>
      </c>
      <c r="FV264" s="2132">
        <f>IF(FV$221,_xll.ciqfunctions.udf.CIQ($G264, "IQ_SHARESOUTSTANDING", FV$222),"--")</f>
        <v>0</v>
      </c>
      <c r="FW264" s="2132">
        <f>IF(FW$221,_xll.ciqfunctions.udf.CIQ($G264, "IQ_SHARESOUTSTANDING", FW$222),"--")</f>
        <v>0</v>
      </c>
      <c r="FX264" s="2132">
        <f>IF(FX$221,_xll.ciqfunctions.udf.CIQ($G264, "IQ_SHARESOUTSTANDING", FX$222),"--")</f>
        <v>0</v>
      </c>
      <c r="FY264" s="2132">
        <f>IF(FY$221,_xll.ciqfunctions.udf.CIQ($G264, "IQ_SHARESOUTSTANDING", FY$222),"--")</f>
        <v>0</v>
      </c>
      <c r="FZ264" s="2132">
        <f>IF(FZ$221,_xll.ciqfunctions.udf.CIQ($G264, "IQ_SHARESOUTSTANDING", FZ$222),"--")</f>
        <v>0</v>
      </c>
      <c r="GA264" s="2132">
        <f>IF(GA$221,_xll.ciqfunctions.udf.CIQ($G264, "IQ_SHARESOUTSTANDING", GA$222),"--")</f>
        <v>0</v>
      </c>
      <c r="GB264" s="2132">
        <f>IF(GB$221,_xll.ciqfunctions.udf.CIQ($G264, "IQ_SHARESOUTSTANDING", GB$222),"--")</f>
        <v>0</v>
      </c>
      <c r="GC264" s="2132">
        <f>IF(GC$221,_xll.ciqfunctions.udf.CIQ($G264, "IQ_SHARESOUTSTANDING", GC$222),"--")</f>
        <v>0</v>
      </c>
      <c r="GD264" s="2132">
        <f>IF(GD$221,_xll.ciqfunctions.udf.CIQ($G264, "IQ_SHARESOUTSTANDING", GD$222),"--")</f>
        <v>0</v>
      </c>
      <c r="GE264" s="2132">
        <f>IF(GE$221,_xll.ciqfunctions.udf.CIQ($G264, "IQ_SHARESOUTSTANDING", GE$222),"--")</f>
        <v>0</v>
      </c>
      <c r="GF264" s="2132">
        <f>IF(GF$221,_xll.ciqfunctions.udf.CIQ($G264, "IQ_SHARESOUTSTANDING", GF$222),"--")</f>
        <v>0</v>
      </c>
      <c r="GG264" s="2132">
        <f>IF(GG$221,_xll.ciqfunctions.udf.CIQ($G264, "IQ_SHARESOUTSTANDING", GG$222),"--")</f>
        <v>0</v>
      </c>
      <c r="GH264" s="2132">
        <f>IF(GH$221,_xll.ciqfunctions.udf.CIQ($G264, "IQ_SHARESOUTSTANDING", GH$222),"--")</f>
        <v>0</v>
      </c>
      <c r="GI264" s="2132">
        <f>IF(GI$221,_xll.ciqfunctions.udf.CIQ($G264, "IQ_SHARESOUTSTANDING", GI$222),"--")</f>
        <v>0</v>
      </c>
      <c r="GJ264" s="2132">
        <f>IF(GJ$221,_xll.ciqfunctions.udf.CIQ($G264, "IQ_SHARESOUTSTANDING", GJ$222),"--")</f>
        <v>0</v>
      </c>
      <c r="GK264" s="2132">
        <f>IF(GK$221,_xll.ciqfunctions.udf.CIQ($G264, "IQ_SHARESOUTSTANDING", GK$222),"--")</f>
        <v>0</v>
      </c>
      <c r="GL264" s="2132">
        <f>IF(GL$221,_xll.ciqfunctions.udf.CIQ($G264, "IQ_SHARESOUTSTANDING", GL$222),"--")</f>
        <v>0</v>
      </c>
      <c r="GM264" s="2132">
        <f>IF(GM$221,_xll.ciqfunctions.udf.CIQ($G264, "IQ_SHARESOUTSTANDING", GM$222),"--")</f>
        <v>0</v>
      </c>
      <c r="GN264" s="2132">
        <f>IF(GN$221,_xll.ciqfunctions.udf.CIQ($G264, "IQ_SHARESOUTSTANDING", GN$222),"--")</f>
        <v>0</v>
      </c>
      <c r="GO264" s="2132">
        <f>IF(GO$221,_xll.ciqfunctions.udf.CIQ($G264, "IQ_SHARESOUTSTANDING", GO$222),"--")</f>
        <v>0</v>
      </c>
      <c r="GP264" s="2132">
        <f>IF(GP$221,_xll.ciqfunctions.udf.CIQ($G264, "IQ_SHARESOUTSTANDING", GP$222),"--")</f>
        <v>0</v>
      </c>
      <c r="GQ264" s="2132">
        <f>IF(GQ$221,_xll.ciqfunctions.udf.CIQ($G264, "IQ_SHARESOUTSTANDING", GQ$222),"--")</f>
        <v>0</v>
      </c>
      <c r="GR264" s="2132">
        <f>IF(GR$221,_xll.ciqfunctions.udf.CIQ($G264, "IQ_SHARESOUTSTANDING", GR$222),"--")</f>
        <v>0</v>
      </c>
      <c r="GS264" s="2132">
        <f>IF(GS$221,_xll.ciqfunctions.udf.CIQ($G264, "IQ_SHARESOUTSTANDING", GS$222),"--")</f>
        <v>0</v>
      </c>
      <c r="GT264" s="2132">
        <f>IF(GT$221,_xll.ciqfunctions.udf.CIQ($G264, "IQ_SHARESOUTSTANDING", GT$222),"--")</f>
        <v>0</v>
      </c>
      <c r="GU264" s="2132">
        <f>IF(GU$221,_xll.ciqfunctions.udf.CIQ($G264, "IQ_SHARESOUTSTANDING", GU$222),"--")</f>
        <v>0</v>
      </c>
      <c r="GV264" s="2132">
        <f>IF(GV$221,_xll.ciqfunctions.udf.CIQ($G264, "IQ_SHARESOUTSTANDING", GV$222),"--")</f>
        <v>0</v>
      </c>
      <c r="GW264" s="2132">
        <f>IF(GW$221,_xll.ciqfunctions.udf.CIQ($G264, "IQ_SHARESOUTSTANDING", GW$222),"--")</f>
        <v>0</v>
      </c>
      <c r="GX264" s="2132">
        <f>IF(GX$221,_xll.ciqfunctions.udf.CIQ($G264, "IQ_SHARESOUTSTANDING", GX$222),"--")</f>
        <v>0</v>
      </c>
      <c r="GY264" s="2132">
        <f>IF(GY$221,_xll.ciqfunctions.udf.CIQ($G264, "IQ_SHARESOUTSTANDING", GY$222),"--")</f>
        <v>0</v>
      </c>
      <c r="GZ264" s="2132">
        <f>IF(GZ$221,_xll.ciqfunctions.udf.CIQ($G264, "IQ_SHARESOUTSTANDING", GZ$222),"--")</f>
        <v>0</v>
      </c>
      <c r="HA264" s="2132">
        <f>IF(HA$221,_xll.ciqfunctions.udf.CIQ($G264, "IQ_SHARESOUTSTANDING", HA$222),"--")</f>
        <v>0</v>
      </c>
      <c r="HB264" s="2132">
        <f>IF(HB$221,_xll.ciqfunctions.udf.CIQ($G264, "IQ_SHARESOUTSTANDING", HB$222),"--")</f>
        <v>0</v>
      </c>
      <c r="HC264" s="2132">
        <f>IF(HC$221,_xll.ciqfunctions.udf.CIQ($G264, "IQ_SHARESOUTSTANDING", HC$222),"--")</f>
        <v>0</v>
      </c>
      <c r="HD264" s="2132">
        <f>IF(HD$221,_xll.ciqfunctions.udf.CIQ($G264, "IQ_SHARESOUTSTANDING", HD$222),"--")</f>
        <v>0</v>
      </c>
      <c r="HE264" s="2132">
        <f>IF(HE$221,_xll.ciqfunctions.udf.CIQ($G264, "IQ_SHARESOUTSTANDING", HE$222),"--")</f>
        <v>0</v>
      </c>
      <c r="HF264" s="2132">
        <f>IF(HF$221,_xll.ciqfunctions.udf.CIQ($G264, "IQ_SHARESOUTSTANDING", HF$222),"--")</f>
        <v>0</v>
      </c>
      <c r="HG264" s="2132">
        <f>IF(HG$221,_xll.ciqfunctions.udf.CIQ($G264, "IQ_SHARESOUTSTANDING", HG$222),"--")</f>
        <v>0</v>
      </c>
      <c r="HH264" s="2132">
        <f>IF(HH$221,_xll.ciqfunctions.udf.CIQ($G264, "IQ_SHARESOUTSTANDING", HH$222),"--")</f>
        <v>0</v>
      </c>
      <c r="HI264" s="2132">
        <f>IF(HI$221,_xll.ciqfunctions.udf.CIQ($G264, "IQ_SHARESOUTSTANDING", HI$222),"--")</f>
        <v>0</v>
      </c>
      <c r="HJ264" s="2132">
        <f>IF(HJ$221,_xll.ciqfunctions.udf.CIQ($G264, "IQ_SHARESOUTSTANDING", HJ$222),"--")</f>
        <v>0</v>
      </c>
      <c r="HK264" s="2132">
        <f>IF(HK$221,_xll.ciqfunctions.udf.CIQ($G264, "IQ_SHARESOUTSTANDING", HK$222),"--")</f>
        <v>0</v>
      </c>
      <c r="HL264" s="2132">
        <f>IF(HL$221,_xll.ciqfunctions.udf.CIQ($G264, "IQ_SHARESOUTSTANDING", HL$222),"--")</f>
        <v>0</v>
      </c>
      <c r="HM264" s="2132">
        <f>IF(HM$221,_xll.ciqfunctions.udf.CIQ($G264, "IQ_SHARESOUTSTANDING", HM$222),"--")</f>
        <v>0</v>
      </c>
      <c r="HN264" s="2132">
        <f>IF(HN$221,_xll.ciqfunctions.udf.CIQ($G264, "IQ_SHARESOUTSTANDING", HN$222),"--")</f>
        <v>0</v>
      </c>
      <c r="HO264" s="2132">
        <f>IF(HO$221,_xll.ciqfunctions.udf.CIQ($G264, "IQ_SHARESOUTSTANDING", HO$222),"--")</f>
        <v>0</v>
      </c>
      <c r="HP264" s="2132">
        <f>IF(HP$221,_xll.ciqfunctions.udf.CIQ($G264, "IQ_SHARESOUTSTANDING", HP$222),"--")</f>
        <v>0</v>
      </c>
      <c r="HQ264" s="2132">
        <f>IF(HQ$221,_xll.ciqfunctions.udf.CIQ($G264, "IQ_SHARESOUTSTANDING", HQ$222),"--")</f>
        <v>0</v>
      </c>
      <c r="HR264" s="2132">
        <f>IF(HR$221,_xll.ciqfunctions.udf.CIQ($G264, "IQ_SHARESOUTSTANDING", HR$222),"--")</f>
        <v>0</v>
      </c>
      <c r="HS264" s="2132">
        <f>IF(HS$221,_xll.ciqfunctions.udf.CIQ($G264, "IQ_SHARESOUTSTANDING", HS$222),"--")</f>
        <v>0</v>
      </c>
      <c r="HT264" s="2132">
        <f>IF(HT$221,_xll.ciqfunctions.udf.CIQ($G264, "IQ_SHARESOUTSTANDING", HT$222),"--")</f>
        <v>0</v>
      </c>
      <c r="HU264" s="2132">
        <f>IF(HU$221,_xll.ciqfunctions.udf.CIQ($G264, "IQ_SHARESOUTSTANDING", HU$222),"--")</f>
        <v>0</v>
      </c>
      <c r="HV264" s="2132">
        <f>IF(HV$221,_xll.ciqfunctions.udf.CIQ($G264, "IQ_SHARESOUTSTANDING", HV$222),"--")</f>
        <v>0</v>
      </c>
      <c r="HW264" s="2132">
        <f>IF(HW$221,_xll.ciqfunctions.udf.CIQ($G264, "IQ_SHARESOUTSTANDING", HW$222),"--")</f>
        <v>0</v>
      </c>
      <c r="HX264" s="2132">
        <f>IF(HX$221,_xll.ciqfunctions.udf.CIQ($G264, "IQ_SHARESOUTSTANDING", HX$222),"--")</f>
        <v>0</v>
      </c>
      <c r="HY264" s="2132">
        <f>IF(HY$221,_xll.ciqfunctions.udf.CIQ($G264, "IQ_SHARESOUTSTANDING", HY$222),"--")</f>
        <v>0</v>
      </c>
      <c r="HZ264" s="2132">
        <f>IF(HZ$221,_xll.ciqfunctions.udf.CIQ($G264, "IQ_SHARESOUTSTANDING", HZ$222),"--")</f>
        <v>0</v>
      </c>
      <c r="IA264" s="2132">
        <f>IF(IA$221,_xll.ciqfunctions.udf.CIQ($G264, "IQ_SHARESOUTSTANDING", IA$222),"--")</f>
        <v>0</v>
      </c>
      <c r="IB264" s="2132">
        <f>IF(IB$221,_xll.ciqfunctions.udf.CIQ($G264, "IQ_SHARESOUTSTANDING", IB$222),"--")</f>
        <v>0</v>
      </c>
      <c r="IC264" s="2132">
        <f>IF(IC$221,_xll.ciqfunctions.udf.CIQ($G264, "IQ_SHARESOUTSTANDING", IC$222),"--")</f>
        <v>0</v>
      </c>
      <c r="ID264" s="2132">
        <f>IF(ID$221,_xll.ciqfunctions.udf.CIQ($G264, "IQ_SHARESOUTSTANDING", ID$222),"--")</f>
        <v>0</v>
      </c>
      <c r="IE264" s="2132">
        <f>IF(IE$221,_xll.ciqfunctions.udf.CIQ($G264, "IQ_SHARESOUTSTANDING", IE$222),"--")</f>
        <v>0</v>
      </c>
      <c r="IF264" s="2132">
        <f>IF(IF$221,_xll.ciqfunctions.udf.CIQ($G264, "IQ_SHARESOUTSTANDING", IF$222),"--")</f>
        <v>0</v>
      </c>
      <c r="IG264" s="2132">
        <f>IF(IG$221,_xll.ciqfunctions.udf.CIQ($G264, "IQ_SHARESOUTSTANDING", IG$222),"--")</f>
        <v>0</v>
      </c>
      <c r="IH264" s="2132">
        <f>IF(IH$221,_xll.ciqfunctions.udf.CIQ($G264, "IQ_SHARESOUTSTANDING", IH$222),"--")</f>
        <v>0</v>
      </c>
      <c r="II264" s="2132">
        <f>IF(II$221,_xll.ciqfunctions.udf.CIQ($G264, "IQ_SHARESOUTSTANDING", II$222),"--")</f>
        <v>0</v>
      </c>
      <c r="IJ264" s="2132">
        <f>IF(IJ$221,_xll.ciqfunctions.udf.CIQ($G264, "IQ_SHARESOUTSTANDING", IJ$222),"--")</f>
        <v>0</v>
      </c>
      <c r="IK264" s="2132">
        <f>IF(IK$221,_xll.ciqfunctions.udf.CIQ($G264, "IQ_SHARESOUTSTANDING", IK$222),"--")</f>
        <v>0</v>
      </c>
      <c r="IL264" s="2132">
        <f>IF(IL$221,_xll.ciqfunctions.udf.CIQ($G264, "IQ_SHARESOUTSTANDING", IL$222),"--")</f>
        <v>0</v>
      </c>
      <c r="IM264" s="2132">
        <f>IF(IM$221,_xll.ciqfunctions.udf.CIQ($G264, "IQ_SHARESOUTSTANDING", IM$222),"--")</f>
        <v>0</v>
      </c>
      <c r="IN264" s="2132">
        <f>IF(IN$221,_xll.ciqfunctions.udf.CIQ($G264, "IQ_SHARESOUTSTANDING", IN$222),"--")</f>
        <v>0</v>
      </c>
      <c r="IO264" s="2132">
        <f>IF(IO$221,_xll.ciqfunctions.udf.CIQ($G264, "IQ_SHARESOUTSTANDING", IO$222),"--")</f>
        <v>0</v>
      </c>
      <c r="IP264" s="2132">
        <f>IF(IP$221,_xll.ciqfunctions.udf.CIQ($G264, "IQ_SHARESOUTSTANDING", IP$222),"--")</f>
        <v>0</v>
      </c>
      <c r="IQ264" s="2132">
        <f>IF(IQ$221,_xll.ciqfunctions.udf.CIQ($G264, "IQ_SHARESOUTSTANDING", IQ$222),"--")</f>
        <v>0</v>
      </c>
      <c r="IR264" s="2132">
        <f>IF(IR$221,_xll.ciqfunctions.udf.CIQ($G264, "IQ_SHARESOUTSTANDING", IR$222),"--")</f>
        <v>0</v>
      </c>
      <c r="IS264" s="2132">
        <f>IF(IS$221,_xll.ciqfunctions.udf.CIQ($G264, "IQ_SHARESOUTSTANDING", IS$222),"--")</f>
        <v>0</v>
      </c>
      <c r="IT264" s="2132">
        <f>IF(IT$221,_xll.ciqfunctions.udf.CIQ($G264, "IQ_SHARESOUTSTANDING", IT$222),"--")</f>
        <v>0</v>
      </c>
      <c r="IU264" s="2132">
        <f>IF(IU$221,_xll.ciqfunctions.udf.CIQ($G264, "IQ_SHARESOUTSTANDING", IU$222),"--")</f>
        <v>0</v>
      </c>
      <c r="IV264" s="2132">
        <f>IF(IV$221,_xll.ciqfunctions.udf.CIQ($G264, "IQ_SHARESOUTSTANDING", IV$222),"--")</f>
        <v>0</v>
      </c>
      <c r="IW264" s="2132">
        <f>IF(IW$221,_xll.ciqfunctions.udf.CIQ($G264, "IQ_SHARESOUTSTANDING", IW$222),"--")</f>
        <v>0</v>
      </c>
      <c r="IX264" s="2132">
        <f>IF(IX$221,_xll.ciqfunctions.udf.CIQ($G264, "IQ_SHARESOUTSTANDING", IX$222),"--")</f>
        <v>0</v>
      </c>
      <c r="IY264" s="2132">
        <f>IF(IY$221,_xll.ciqfunctions.udf.CIQ($G264, "IQ_SHARESOUTSTANDING", IY$222),"--")</f>
        <v>0</v>
      </c>
      <c r="IZ264" s="2132">
        <f>IF(IZ$221,_xll.ciqfunctions.udf.CIQ($G264, "IQ_SHARESOUTSTANDING", IZ$222),"--")</f>
        <v>0</v>
      </c>
      <c r="JA264" s="2132">
        <f>IF(JA$221,_xll.ciqfunctions.udf.CIQ($G264, "IQ_SHARESOUTSTANDING", JA$222),"--")</f>
        <v>0</v>
      </c>
      <c r="JB264" s="2132">
        <f>IF(JB$221,_xll.ciqfunctions.udf.CIQ($G264, "IQ_SHARESOUTSTANDING", JB$222),"--")</f>
        <v>0</v>
      </c>
      <c r="JC264" s="2132">
        <f>IF(JC$221,_xll.ciqfunctions.udf.CIQ($G264, "IQ_SHARESOUTSTANDING", JC$222),"--")</f>
        <v>0</v>
      </c>
      <c r="JD264" s="2132">
        <f>IF(JD$221,_xll.ciqfunctions.udf.CIQ($G264, "IQ_SHARESOUTSTANDING", JD$222),"--")</f>
        <v>0</v>
      </c>
      <c r="JE264" s="2132">
        <f>IF(JE$221,_xll.ciqfunctions.udf.CIQ($G264, "IQ_SHARESOUTSTANDING", JE$222),"--")</f>
        <v>0</v>
      </c>
      <c r="JF264" s="2132">
        <f>IF(JF$221,_xll.ciqfunctions.udf.CIQ($G264, "IQ_SHARESOUTSTANDING", JF$222),"--")</f>
        <v>0</v>
      </c>
      <c r="JG264" s="2132">
        <f>IF(JG$221,_xll.ciqfunctions.udf.CIQ($G264, "IQ_SHARESOUTSTANDING", JG$222),"--")</f>
        <v>0</v>
      </c>
      <c r="JH264" s="2132">
        <f>IF(JH$221,_xll.ciqfunctions.udf.CIQ($G264, "IQ_SHARESOUTSTANDING", JH$222),"--")</f>
        <v>0</v>
      </c>
      <c r="JI264" s="2132">
        <f>IF(JI$221,_xll.ciqfunctions.udf.CIQ($G264, "IQ_SHARESOUTSTANDING", JI$222),"--")</f>
        <v>0</v>
      </c>
      <c r="JJ264" s="2132">
        <f>IF(JJ$221,_xll.ciqfunctions.udf.CIQ($G264, "IQ_SHARESOUTSTANDING", JJ$222),"--")</f>
        <v>0</v>
      </c>
      <c r="JK264" s="2132">
        <f>IF(JK$221,_xll.ciqfunctions.udf.CIQ($G264, "IQ_SHARESOUTSTANDING", JK$222),"--")</f>
        <v>0</v>
      </c>
      <c r="JL264" s="2132">
        <f>IF(JL$221,_xll.ciqfunctions.udf.CIQ($G264, "IQ_SHARESOUTSTANDING", JL$222),"--")</f>
        <v>0</v>
      </c>
      <c r="JM264" s="2132">
        <f>IF(JM$221,_xll.ciqfunctions.udf.CIQ($G264, "IQ_SHARESOUTSTANDING", JM$222),"--")</f>
        <v>0</v>
      </c>
      <c r="JN264" s="2132">
        <f>IF(JN$221,_xll.ciqfunctions.udf.CIQ($G264, "IQ_SHARESOUTSTANDING", JN$222),"--")</f>
        <v>0</v>
      </c>
      <c r="JO264" s="2132">
        <f>IF(JO$221,_xll.ciqfunctions.udf.CIQ($G264, "IQ_SHARESOUTSTANDING", JO$222),"--")</f>
        <v>0</v>
      </c>
      <c r="JP264" s="2132">
        <f>IF(JP$221,_xll.ciqfunctions.udf.CIQ($G264, "IQ_SHARESOUTSTANDING", JP$222),"--")</f>
        <v>0</v>
      </c>
      <c r="JQ264" s="2132">
        <f>IF(JQ$221,_xll.ciqfunctions.udf.CIQ($G264, "IQ_SHARESOUTSTANDING", JQ$222),"--")</f>
        <v>0</v>
      </c>
      <c r="JR264" s="2132">
        <f>IF(JR$221,_xll.ciqfunctions.udf.CIQ($G264, "IQ_SHARESOUTSTANDING", JR$222),"--")</f>
        <v>0</v>
      </c>
      <c r="JS264" s="2132">
        <f>IF(JS$221,_xll.ciqfunctions.udf.CIQ($G264, "IQ_SHARESOUTSTANDING", JS$222),"--")</f>
        <v>0</v>
      </c>
      <c r="JT264" s="2132">
        <f>IF(JT$221,_xll.ciqfunctions.udf.CIQ($G264, "IQ_SHARESOUTSTANDING", JT$222),"--")</f>
        <v>0</v>
      </c>
      <c r="JU264" s="2132">
        <f>IF(JU$221,_xll.ciqfunctions.udf.CIQ($G264, "IQ_SHARESOUTSTANDING", JU$222),"--")</f>
        <v>0</v>
      </c>
      <c r="JV264" s="2132">
        <f>IF(JV$221,_xll.ciqfunctions.udf.CIQ($G264, "IQ_SHARESOUTSTANDING", JV$222),"--")</f>
        <v>0</v>
      </c>
      <c r="JW264" s="2132" t="str">
        <f>IF(JW$221,_xll.ciqfunctions.udf.CIQ($G264, "IQ_SHARESOUTSTANDING", JW$222),"--")</f>
        <v>--</v>
      </c>
      <c r="JX264" s="2132" t="str">
        <f>IF(JX$221,_xll.ciqfunctions.udf.CIQ($G264, "IQ_SHARESOUTSTANDING", JX$222),"--")</f>
        <v>--</v>
      </c>
      <c r="JY264" s="2132" t="str">
        <f>IF(JY$221,_xll.ciqfunctions.udf.CIQ($G264, "IQ_SHARESOUTSTANDING", JY$222),"--")</f>
        <v>--</v>
      </c>
      <c r="JZ264" s="2132" t="str">
        <f>IF(JZ$221,_xll.ciqfunctions.udf.CIQ($G264, "IQ_SHARESOUTSTANDING", JZ$222),"--")</f>
        <v>--</v>
      </c>
      <c r="KA264" s="2132" t="str">
        <f>IF(KA$221,_xll.ciqfunctions.udf.CIQ($G264, "IQ_SHARESOUTSTANDING", KA$222),"--")</f>
        <v>--</v>
      </c>
      <c r="KB264" s="2132" t="str">
        <f>IF(KB$221,_xll.ciqfunctions.udf.CIQ($G264, "IQ_SHARESOUTSTANDING", KB$222),"--")</f>
        <v>--</v>
      </c>
    </row>
    <row r="265" spans="1:288" s="89" customFormat="1" ht="13.9">
      <c r="A265" s="269" t="str">
        <f t="shared" si="49"/>
        <v>n</v>
      </c>
      <c r="B265" s="2060"/>
      <c r="D265" s="801"/>
      <c r="E265" s="1505">
        <v>11</v>
      </c>
      <c r="F265" s="21" t="str">
        <f>F$139</f>
        <v>--</v>
      </c>
      <c r="G265" s="1441">
        <f>G$139</f>
        <v>0</v>
      </c>
      <c r="H265" s="1441" t="str">
        <f>H$139</f>
        <v>--</v>
      </c>
      <c r="I265" s="314" t="s">
        <v>783</v>
      </c>
      <c r="J265" s="314"/>
      <c r="K265" s="2301" t="str">
        <f>IF(OR(K202=0,$G265=0),"--",IFERROR(_xll.ciqfunctions.udf.CIQ($G265,$I265,K110,Valuation_Date_GC,ReportType,DataMode,$H265,FXMode)*Scale+K234*Pension10,"--"))</f>
        <v>--</v>
      </c>
      <c r="L265" s="2301" t="str">
        <f>IF(OR(L202=0,$G265=0),"--",IFERROR(_xll.ciqfunctions.udf.CIQ($G265,$I265,L110,Valuation_Date_GC,ReportType,DataMode,$H265,FXMode)*Scale+L234*Pension10,"--"))</f>
        <v>--</v>
      </c>
      <c r="M265" s="2301" t="str">
        <f>IF(OR(M202=0,$G265=0),"--",IFERROR(_xll.ciqfunctions.udf.CIQ($G265,$I265,M110,Valuation_Date_GC,ReportType,DataMode,$H265,FXMode)*Scale+M234*Pension10,"--"))</f>
        <v>--</v>
      </c>
      <c r="N265" s="2301" t="str">
        <f>IF(OR(N202=0,$G265=0),"--",IFERROR(_xll.ciqfunctions.udf.CIQ($G265,$I265,N110,Valuation_Date_GC,ReportType,DataMode,$H265,FXMode)*Scale+N234*Pension10,"--"))</f>
        <v>--</v>
      </c>
      <c r="O265" s="1471" t="str">
        <f>IF(OR(O202=0,$G265=0),"--",IFERROR(_xll.ciqfunctions.udf.CIQ($G265,$I265,O110,Valuation_Date_GC,ReportType,DataMode,$H265,FXMode)*Scale+O234*Pension10,"--"))</f>
        <v>--</v>
      </c>
      <c r="P265" s="2301" t="str">
        <f>IF(OR(P202=0,$G265=0),"--",IFERROR(_xll.ciqfunctions.udf.CIQ($G265,$I265,P110,Valuation_Date_GC,ReportType,DataMode,$H265,FXMode)*Scale+P234*Pension10,"--"))</f>
        <v>--</v>
      </c>
      <c r="R265" s="1466"/>
      <c r="T265" s="1779" t="s">
        <v>784</v>
      </c>
      <c r="U265" s="2132">
        <f>IF(U$221,_xll.ciqfunctions.udf.CIQ($G265, "IQ_SHARESOUTSTANDING", U$222),"--")</f>
        <v>0</v>
      </c>
      <c r="V265" s="2132">
        <f>IF(V$221,_xll.ciqfunctions.udf.CIQ($G265, "IQ_SHARESOUTSTANDING", V$222),"--")</f>
        <v>0</v>
      </c>
      <c r="W265" s="2132">
        <f>IF(W$221,_xll.ciqfunctions.udf.CIQ($G265, "IQ_SHARESOUTSTANDING", W$222),"--")</f>
        <v>0</v>
      </c>
      <c r="X265" s="2132">
        <f>IF(X$221,_xll.ciqfunctions.udf.CIQ($G265, "IQ_SHARESOUTSTANDING", X$222),"--")</f>
        <v>0</v>
      </c>
      <c r="Y265" s="2132">
        <f>IF(Y$221,_xll.ciqfunctions.udf.CIQ($G265, "IQ_SHARESOUTSTANDING", Y$222),"--")</f>
        <v>0</v>
      </c>
      <c r="Z265" s="2132">
        <f>IF(Z$221,_xll.ciqfunctions.udf.CIQ($G265, "IQ_SHARESOUTSTANDING", Z$222),"--")</f>
        <v>0</v>
      </c>
      <c r="AA265" s="2132">
        <f>IF(AA$221,_xll.ciqfunctions.udf.CIQ($G265, "IQ_SHARESOUTSTANDING", AA$222),"--")</f>
        <v>0</v>
      </c>
      <c r="AB265" s="2132">
        <f>IF(AB$221,_xll.ciqfunctions.udf.CIQ($G265, "IQ_SHARESOUTSTANDING", AB$222),"--")</f>
        <v>0</v>
      </c>
      <c r="AC265" s="2132">
        <f>IF(AC$221,_xll.ciqfunctions.udf.CIQ($G265, "IQ_SHARESOUTSTANDING", AC$222),"--")</f>
        <v>0</v>
      </c>
      <c r="AD265" s="2132">
        <f>IF(AD$221,_xll.ciqfunctions.udf.CIQ($G265, "IQ_SHARESOUTSTANDING", AD$222),"--")</f>
        <v>0</v>
      </c>
      <c r="AE265" s="2132">
        <f>IF(AE$221,_xll.ciqfunctions.udf.CIQ($G265, "IQ_SHARESOUTSTANDING", AE$222),"--")</f>
        <v>0</v>
      </c>
      <c r="AF265" s="2132">
        <f>IF(AF$221,_xll.ciqfunctions.udf.CIQ($G265, "IQ_SHARESOUTSTANDING", AF$222),"--")</f>
        <v>0</v>
      </c>
      <c r="AG265" s="2132">
        <f>IF(AG$221,_xll.ciqfunctions.udf.CIQ($G265, "IQ_SHARESOUTSTANDING", AG$222),"--")</f>
        <v>0</v>
      </c>
      <c r="AH265" s="2132">
        <f>IF(AH$221,_xll.ciqfunctions.udf.CIQ($G265, "IQ_SHARESOUTSTANDING", AH$222),"--")</f>
        <v>0</v>
      </c>
      <c r="AI265" s="2132">
        <f>IF(AI$221,_xll.ciqfunctions.udf.CIQ($G265, "IQ_SHARESOUTSTANDING", AI$222),"--")</f>
        <v>0</v>
      </c>
      <c r="AJ265" s="2132">
        <f>IF(AJ$221,_xll.ciqfunctions.udf.CIQ($G265, "IQ_SHARESOUTSTANDING", AJ$222),"--")</f>
        <v>0</v>
      </c>
      <c r="AK265" s="2132">
        <f>IF(AK$221,_xll.ciqfunctions.udf.CIQ($G265, "IQ_SHARESOUTSTANDING", AK$222),"--")</f>
        <v>0</v>
      </c>
      <c r="AL265" s="2132">
        <f>IF(AL$221,_xll.ciqfunctions.udf.CIQ($G265, "IQ_SHARESOUTSTANDING", AL$222),"--")</f>
        <v>0</v>
      </c>
      <c r="AM265" s="2132">
        <f>IF(AM$221,_xll.ciqfunctions.udf.CIQ($G265, "IQ_SHARESOUTSTANDING", AM$222),"--")</f>
        <v>0</v>
      </c>
      <c r="AN265" s="2132">
        <f>IF(AN$221,_xll.ciqfunctions.udf.CIQ($G265, "IQ_SHARESOUTSTANDING", AN$222),"--")</f>
        <v>0</v>
      </c>
      <c r="AO265" s="2132">
        <f>IF(AO$221,_xll.ciqfunctions.udf.CIQ($G265, "IQ_SHARESOUTSTANDING", AO$222),"--")</f>
        <v>0</v>
      </c>
      <c r="AP265" s="2132">
        <f>IF(AP$221,_xll.ciqfunctions.udf.CIQ($G265, "IQ_SHARESOUTSTANDING", AP$222),"--")</f>
        <v>0</v>
      </c>
      <c r="AQ265" s="2132">
        <f>IF(AQ$221,_xll.ciqfunctions.udf.CIQ($G265, "IQ_SHARESOUTSTANDING", AQ$222),"--")</f>
        <v>0</v>
      </c>
      <c r="AR265" s="2132">
        <f>IF(AR$221,_xll.ciqfunctions.udf.CIQ($G265, "IQ_SHARESOUTSTANDING", AR$222),"--")</f>
        <v>0</v>
      </c>
      <c r="AS265" s="2132">
        <f>IF(AS$221,_xll.ciqfunctions.udf.CIQ($G265, "IQ_SHARESOUTSTANDING", AS$222),"--")</f>
        <v>0</v>
      </c>
      <c r="AT265" s="2132">
        <f>IF(AT$221,_xll.ciqfunctions.udf.CIQ($G265, "IQ_SHARESOUTSTANDING", AT$222),"--")</f>
        <v>0</v>
      </c>
      <c r="AU265" s="2132">
        <f>IF(AU$221,_xll.ciqfunctions.udf.CIQ($G265, "IQ_SHARESOUTSTANDING", AU$222),"--")</f>
        <v>0</v>
      </c>
      <c r="AV265" s="2132">
        <f>IF(AV$221,_xll.ciqfunctions.udf.CIQ($G265, "IQ_SHARESOUTSTANDING", AV$222),"--")</f>
        <v>0</v>
      </c>
      <c r="AW265" s="2132">
        <f>IF(AW$221,_xll.ciqfunctions.udf.CIQ($G265, "IQ_SHARESOUTSTANDING", AW$222),"--")</f>
        <v>0</v>
      </c>
      <c r="AX265" s="2132">
        <f>IF(AX$221,_xll.ciqfunctions.udf.CIQ($G265, "IQ_SHARESOUTSTANDING", AX$222),"--")</f>
        <v>0</v>
      </c>
      <c r="AY265" s="2132">
        <f>IF(AY$221,_xll.ciqfunctions.udf.CIQ($G265, "IQ_SHARESOUTSTANDING", AY$222),"--")</f>
        <v>0</v>
      </c>
      <c r="AZ265" s="2132">
        <f>IF(AZ$221,_xll.ciqfunctions.udf.CIQ($G265, "IQ_SHARESOUTSTANDING", AZ$222),"--")</f>
        <v>0</v>
      </c>
      <c r="BA265" s="2132">
        <f>IF(BA$221,_xll.ciqfunctions.udf.CIQ($G265, "IQ_SHARESOUTSTANDING", BA$222),"--")</f>
        <v>0</v>
      </c>
      <c r="BB265" s="2132">
        <f>IF(BB$221,_xll.ciqfunctions.udf.CIQ($G265, "IQ_SHARESOUTSTANDING", BB$222),"--")</f>
        <v>0</v>
      </c>
      <c r="BC265" s="2132">
        <f>IF(BC$221,_xll.ciqfunctions.udf.CIQ($G265, "IQ_SHARESOUTSTANDING", BC$222),"--")</f>
        <v>0</v>
      </c>
      <c r="BD265" s="2132">
        <f>IF(BD$221,_xll.ciqfunctions.udf.CIQ($G265, "IQ_SHARESOUTSTANDING", BD$222),"--")</f>
        <v>0</v>
      </c>
      <c r="BE265" s="2132">
        <f>IF(BE$221,_xll.ciqfunctions.udf.CIQ($G265, "IQ_SHARESOUTSTANDING", BE$222),"--")</f>
        <v>0</v>
      </c>
      <c r="BF265" s="2132">
        <f>IF(BF$221,_xll.ciqfunctions.udf.CIQ($G265, "IQ_SHARESOUTSTANDING", BF$222),"--")</f>
        <v>0</v>
      </c>
      <c r="BG265" s="2132">
        <f>IF(BG$221,_xll.ciqfunctions.udf.CIQ($G265, "IQ_SHARESOUTSTANDING", BG$222),"--")</f>
        <v>0</v>
      </c>
      <c r="BH265" s="2132">
        <f>IF(BH$221,_xll.ciqfunctions.udf.CIQ($G265, "IQ_SHARESOUTSTANDING", BH$222),"--")</f>
        <v>0</v>
      </c>
      <c r="BI265" s="2132">
        <f>IF(BI$221,_xll.ciqfunctions.udf.CIQ($G265, "IQ_SHARESOUTSTANDING", BI$222),"--")</f>
        <v>0</v>
      </c>
      <c r="BJ265" s="2132">
        <f>IF(BJ$221,_xll.ciqfunctions.udf.CIQ($G265, "IQ_SHARESOUTSTANDING", BJ$222),"--")</f>
        <v>0</v>
      </c>
      <c r="BK265" s="2132">
        <f>IF(BK$221,_xll.ciqfunctions.udf.CIQ($G265, "IQ_SHARESOUTSTANDING", BK$222),"--")</f>
        <v>0</v>
      </c>
      <c r="BL265" s="2132">
        <f>IF(BL$221,_xll.ciqfunctions.udf.CIQ($G265, "IQ_SHARESOUTSTANDING", BL$222),"--")</f>
        <v>0</v>
      </c>
      <c r="BM265" s="2132">
        <f>IF(BM$221,_xll.ciqfunctions.udf.CIQ($G265, "IQ_SHARESOUTSTANDING", BM$222),"--")</f>
        <v>0</v>
      </c>
      <c r="BN265" s="2132">
        <f>IF(BN$221,_xll.ciqfunctions.udf.CIQ($G265, "IQ_SHARESOUTSTANDING", BN$222),"--")</f>
        <v>0</v>
      </c>
      <c r="BO265" s="2132">
        <f>IF(BO$221,_xll.ciqfunctions.udf.CIQ($G265, "IQ_SHARESOUTSTANDING", BO$222),"--")</f>
        <v>0</v>
      </c>
      <c r="BP265" s="2132">
        <f>IF(BP$221,_xll.ciqfunctions.udf.CIQ($G265, "IQ_SHARESOUTSTANDING", BP$222),"--")</f>
        <v>0</v>
      </c>
      <c r="BQ265" s="2132">
        <f>IF(BQ$221,_xll.ciqfunctions.udf.CIQ($G265, "IQ_SHARESOUTSTANDING", BQ$222),"--")</f>
        <v>0</v>
      </c>
      <c r="BR265" s="2132">
        <f>IF(BR$221,_xll.ciqfunctions.udf.CIQ($G265, "IQ_SHARESOUTSTANDING", BR$222),"--")</f>
        <v>0</v>
      </c>
      <c r="BS265" s="2132">
        <f>IF(BS$221,_xll.ciqfunctions.udf.CIQ($G265, "IQ_SHARESOUTSTANDING", BS$222),"--")</f>
        <v>0</v>
      </c>
      <c r="BT265" s="2132">
        <f>IF(BT$221,_xll.ciqfunctions.udf.CIQ($G265, "IQ_SHARESOUTSTANDING", BT$222),"--")</f>
        <v>0</v>
      </c>
      <c r="BU265" s="2132">
        <f>IF(BU$221,_xll.ciqfunctions.udf.CIQ($G265, "IQ_SHARESOUTSTANDING", BU$222),"--")</f>
        <v>0</v>
      </c>
      <c r="BV265" s="2132">
        <f>IF(BV$221,_xll.ciqfunctions.udf.CIQ($G265, "IQ_SHARESOUTSTANDING", BV$222),"--")</f>
        <v>0</v>
      </c>
      <c r="BW265" s="2132">
        <f>IF(BW$221,_xll.ciqfunctions.udf.CIQ($G265, "IQ_SHARESOUTSTANDING", BW$222),"--")</f>
        <v>0</v>
      </c>
      <c r="BX265" s="2132">
        <f>IF(BX$221,_xll.ciqfunctions.udf.CIQ($G265, "IQ_SHARESOUTSTANDING", BX$222),"--")</f>
        <v>0</v>
      </c>
      <c r="BY265" s="2132">
        <f>IF(BY$221,_xll.ciqfunctions.udf.CIQ($G265, "IQ_SHARESOUTSTANDING", BY$222),"--")</f>
        <v>0</v>
      </c>
      <c r="BZ265" s="2132">
        <f>IF(BZ$221,_xll.ciqfunctions.udf.CIQ($G265, "IQ_SHARESOUTSTANDING", BZ$222),"--")</f>
        <v>0</v>
      </c>
      <c r="CA265" s="2132">
        <f>IF(CA$221,_xll.ciqfunctions.udf.CIQ($G265, "IQ_SHARESOUTSTANDING", CA$222),"--")</f>
        <v>0</v>
      </c>
      <c r="CB265" s="2132">
        <f>IF(CB$221,_xll.ciqfunctions.udf.CIQ($G265, "IQ_SHARESOUTSTANDING", CB$222),"--")</f>
        <v>0</v>
      </c>
      <c r="CC265" s="2132">
        <f>IF(CC$221,_xll.ciqfunctions.udf.CIQ($G265, "IQ_SHARESOUTSTANDING", CC$222),"--")</f>
        <v>0</v>
      </c>
      <c r="CD265" s="2132">
        <f>IF(CD$221,_xll.ciqfunctions.udf.CIQ($G265, "IQ_SHARESOUTSTANDING", CD$222),"--")</f>
        <v>0</v>
      </c>
      <c r="CE265" s="2132">
        <f>IF(CE$221,_xll.ciqfunctions.udf.CIQ($G265, "IQ_SHARESOUTSTANDING", CE$222),"--")</f>
        <v>0</v>
      </c>
      <c r="CF265" s="2132">
        <f>IF(CF$221,_xll.ciqfunctions.udf.CIQ($G265, "IQ_SHARESOUTSTANDING", CF$222),"--")</f>
        <v>0</v>
      </c>
      <c r="CG265" s="2132">
        <f>IF(CG$221,_xll.ciqfunctions.udf.CIQ($G265, "IQ_SHARESOUTSTANDING", CG$222),"--")</f>
        <v>0</v>
      </c>
      <c r="CH265" s="2132">
        <f>IF(CH$221,_xll.ciqfunctions.udf.CIQ($G265, "IQ_SHARESOUTSTANDING", CH$222),"--")</f>
        <v>0</v>
      </c>
      <c r="CI265" s="2132">
        <f>IF(CI$221,_xll.ciqfunctions.udf.CIQ($G265, "IQ_SHARESOUTSTANDING", CI$222),"--")</f>
        <v>0</v>
      </c>
      <c r="CJ265" s="2132">
        <f>IF(CJ$221,_xll.ciqfunctions.udf.CIQ($G265, "IQ_SHARESOUTSTANDING", CJ$222),"--")</f>
        <v>0</v>
      </c>
      <c r="CK265" s="2132">
        <f>IF(CK$221,_xll.ciqfunctions.udf.CIQ($G265, "IQ_SHARESOUTSTANDING", CK$222),"--")</f>
        <v>0</v>
      </c>
      <c r="CL265" s="2132">
        <f>IF(CL$221,_xll.ciqfunctions.udf.CIQ($G265, "IQ_SHARESOUTSTANDING", CL$222),"--")</f>
        <v>0</v>
      </c>
      <c r="CM265" s="2132">
        <f>IF(CM$221,_xll.ciqfunctions.udf.CIQ($G265, "IQ_SHARESOUTSTANDING", CM$222),"--")</f>
        <v>0</v>
      </c>
      <c r="CN265" s="2132">
        <f>IF(CN$221,_xll.ciqfunctions.udf.CIQ($G265, "IQ_SHARESOUTSTANDING", CN$222),"--")</f>
        <v>0</v>
      </c>
      <c r="CO265" s="2132">
        <f>IF(CO$221,_xll.ciqfunctions.udf.CIQ($G265, "IQ_SHARESOUTSTANDING", CO$222),"--")</f>
        <v>0</v>
      </c>
      <c r="CP265" s="2132">
        <f>IF(CP$221,_xll.ciqfunctions.udf.CIQ($G265, "IQ_SHARESOUTSTANDING", CP$222),"--")</f>
        <v>0</v>
      </c>
      <c r="CQ265" s="2132">
        <f>IF(CQ$221,_xll.ciqfunctions.udf.CIQ($G265, "IQ_SHARESOUTSTANDING", CQ$222),"--")</f>
        <v>0</v>
      </c>
      <c r="CR265" s="2132">
        <f>IF(CR$221,_xll.ciqfunctions.udf.CIQ($G265, "IQ_SHARESOUTSTANDING", CR$222),"--")</f>
        <v>0</v>
      </c>
      <c r="CS265" s="2132">
        <f>IF(CS$221,_xll.ciqfunctions.udf.CIQ($G265, "IQ_SHARESOUTSTANDING", CS$222),"--")</f>
        <v>0</v>
      </c>
      <c r="CT265" s="2132">
        <f>IF(CT$221,_xll.ciqfunctions.udf.CIQ($G265, "IQ_SHARESOUTSTANDING", CT$222),"--")</f>
        <v>0</v>
      </c>
      <c r="CU265" s="2132">
        <f>IF(CU$221,_xll.ciqfunctions.udf.CIQ($G265, "IQ_SHARESOUTSTANDING", CU$222),"--")</f>
        <v>0</v>
      </c>
      <c r="CV265" s="2132">
        <f>IF(CV$221,_xll.ciqfunctions.udf.CIQ($G265, "IQ_SHARESOUTSTANDING", CV$222),"--")</f>
        <v>0</v>
      </c>
      <c r="CW265" s="2132">
        <f>IF(CW$221,_xll.ciqfunctions.udf.CIQ($G265, "IQ_SHARESOUTSTANDING", CW$222),"--")</f>
        <v>0</v>
      </c>
      <c r="CX265" s="2132">
        <f>IF(CX$221,_xll.ciqfunctions.udf.CIQ($G265, "IQ_SHARESOUTSTANDING", CX$222),"--")</f>
        <v>0</v>
      </c>
      <c r="CY265" s="2132">
        <f>IF(CY$221,_xll.ciqfunctions.udf.CIQ($G265, "IQ_SHARESOUTSTANDING", CY$222),"--")</f>
        <v>0</v>
      </c>
      <c r="CZ265" s="2132">
        <f>IF(CZ$221,_xll.ciqfunctions.udf.CIQ($G265, "IQ_SHARESOUTSTANDING", CZ$222),"--")</f>
        <v>0</v>
      </c>
      <c r="DA265" s="2132">
        <f>IF(DA$221,_xll.ciqfunctions.udf.CIQ($G265, "IQ_SHARESOUTSTANDING", DA$222),"--")</f>
        <v>0</v>
      </c>
      <c r="DB265" s="2132">
        <f>IF(DB$221,_xll.ciqfunctions.udf.CIQ($G265, "IQ_SHARESOUTSTANDING", DB$222),"--")</f>
        <v>0</v>
      </c>
      <c r="DC265" s="2132">
        <f>IF(DC$221,_xll.ciqfunctions.udf.CIQ($G265, "IQ_SHARESOUTSTANDING", DC$222),"--")</f>
        <v>0</v>
      </c>
      <c r="DD265" s="2132">
        <f>IF(DD$221,_xll.ciqfunctions.udf.CIQ($G265, "IQ_SHARESOUTSTANDING", DD$222),"--")</f>
        <v>0</v>
      </c>
      <c r="DE265" s="2132">
        <f>IF(DE$221,_xll.ciqfunctions.udf.CIQ($G265, "IQ_SHARESOUTSTANDING", DE$222),"--")</f>
        <v>0</v>
      </c>
      <c r="DF265" s="2132">
        <f>IF(DF$221,_xll.ciqfunctions.udf.CIQ($G265, "IQ_SHARESOUTSTANDING", DF$222),"--")</f>
        <v>0</v>
      </c>
      <c r="DG265" s="2132">
        <f>IF(DG$221,_xll.ciqfunctions.udf.CIQ($G265, "IQ_SHARESOUTSTANDING", DG$222),"--")</f>
        <v>0</v>
      </c>
      <c r="DH265" s="2132">
        <f>IF(DH$221,_xll.ciqfunctions.udf.CIQ($G265, "IQ_SHARESOUTSTANDING", DH$222),"--")</f>
        <v>0</v>
      </c>
      <c r="DI265" s="2132">
        <f>IF(DI$221,_xll.ciqfunctions.udf.CIQ($G265, "IQ_SHARESOUTSTANDING", DI$222),"--")</f>
        <v>0</v>
      </c>
      <c r="DJ265" s="2132">
        <f>IF(DJ$221,_xll.ciqfunctions.udf.CIQ($G265, "IQ_SHARESOUTSTANDING", DJ$222),"--")</f>
        <v>0</v>
      </c>
      <c r="DK265" s="2132">
        <f>IF(DK$221,_xll.ciqfunctions.udf.CIQ($G265, "IQ_SHARESOUTSTANDING", DK$222),"--")</f>
        <v>0</v>
      </c>
      <c r="DL265" s="2132">
        <f>IF(DL$221,_xll.ciqfunctions.udf.CIQ($G265, "IQ_SHARESOUTSTANDING", DL$222),"--")</f>
        <v>0</v>
      </c>
      <c r="DM265" s="2132">
        <f>IF(DM$221,_xll.ciqfunctions.udf.CIQ($G265, "IQ_SHARESOUTSTANDING", DM$222),"--")</f>
        <v>0</v>
      </c>
      <c r="DN265" s="2132">
        <f>IF(DN$221,_xll.ciqfunctions.udf.CIQ($G265, "IQ_SHARESOUTSTANDING", DN$222),"--")</f>
        <v>0</v>
      </c>
      <c r="DO265" s="2132">
        <f>IF(DO$221,_xll.ciqfunctions.udf.CIQ($G265, "IQ_SHARESOUTSTANDING", DO$222),"--")</f>
        <v>0</v>
      </c>
      <c r="DP265" s="2132">
        <f>IF(DP$221,_xll.ciqfunctions.udf.CIQ($G265, "IQ_SHARESOUTSTANDING", DP$222),"--")</f>
        <v>0</v>
      </c>
      <c r="DQ265" s="2132">
        <f>IF(DQ$221,_xll.ciqfunctions.udf.CIQ($G265, "IQ_SHARESOUTSTANDING", DQ$222),"--")</f>
        <v>0</v>
      </c>
      <c r="DR265" s="2132">
        <f>IF(DR$221,_xll.ciqfunctions.udf.CIQ($G265, "IQ_SHARESOUTSTANDING", DR$222),"--")</f>
        <v>0</v>
      </c>
      <c r="DS265" s="2132">
        <f>IF(DS$221,_xll.ciqfunctions.udf.CIQ($G265, "IQ_SHARESOUTSTANDING", DS$222),"--")</f>
        <v>0</v>
      </c>
      <c r="DT265" s="2132">
        <f>IF(DT$221,_xll.ciqfunctions.udf.CIQ($G265, "IQ_SHARESOUTSTANDING", DT$222),"--")</f>
        <v>0</v>
      </c>
      <c r="DU265" s="2132">
        <f>IF(DU$221,_xll.ciqfunctions.udf.CIQ($G265, "IQ_SHARESOUTSTANDING", DU$222),"--")</f>
        <v>0</v>
      </c>
      <c r="DV265" s="2132">
        <f>IF(DV$221,_xll.ciqfunctions.udf.CIQ($G265, "IQ_SHARESOUTSTANDING", DV$222),"--")</f>
        <v>0</v>
      </c>
      <c r="DW265" s="2132">
        <f>IF(DW$221,_xll.ciqfunctions.udf.CIQ($G265, "IQ_SHARESOUTSTANDING", DW$222),"--")</f>
        <v>0</v>
      </c>
      <c r="DX265" s="2132">
        <f>IF(DX$221,_xll.ciqfunctions.udf.CIQ($G265, "IQ_SHARESOUTSTANDING", DX$222),"--")</f>
        <v>0</v>
      </c>
      <c r="DY265" s="2132">
        <f>IF(DY$221,_xll.ciqfunctions.udf.CIQ($G265, "IQ_SHARESOUTSTANDING", DY$222),"--")</f>
        <v>0</v>
      </c>
      <c r="DZ265" s="2132">
        <f>IF(DZ$221,_xll.ciqfunctions.udf.CIQ($G265, "IQ_SHARESOUTSTANDING", DZ$222),"--")</f>
        <v>0</v>
      </c>
      <c r="EA265" s="2132">
        <f>IF(EA$221,_xll.ciqfunctions.udf.CIQ($G265, "IQ_SHARESOUTSTANDING", EA$222),"--")</f>
        <v>0</v>
      </c>
      <c r="EB265" s="2132">
        <f>IF(EB$221,_xll.ciqfunctions.udf.CIQ($G265, "IQ_SHARESOUTSTANDING", EB$222),"--")</f>
        <v>0</v>
      </c>
      <c r="EC265" s="2132">
        <f>IF(EC$221,_xll.ciqfunctions.udf.CIQ($G265, "IQ_SHARESOUTSTANDING", EC$222),"--")</f>
        <v>0</v>
      </c>
      <c r="ED265" s="2132">
        <f>IF(ED$221,_xll.ciqfunctions.udf.CIQ($G265, "IQ_SHARESOUTSTANDING", ED$222),"--")</f>
        <v>0</v>
      </c>
      <c r="EE265" s="2132">
        <f>IF(EE$221,_xll.ciqfunctions.udf.CIQ($G265, "IQ_SHARESOUTSTANDING", EE$222),"--")</f>
        <v>0</v>
      </c>
      <c r="EF265" s="2132">
        <f>IF(EF$221,_xll.ciqfunctions.udf.CIQ($G265, "IQ_SHARESOUTSTANDING", EF$222),"--")</f>
        <v>0</v>
      </c>
      <c r="EG265" s="2132">
        <f>IF(EG$221,_xll.ciqfunctions.udf.CIQ($G265, "IQ_SHARESOUTSTANDING", EG$222),"--")</f>
        <v>0</v>
      </c>
      <c r="EH265" s="2132">
        <f>IF(EH$221,_xll.ciqfunctions.udf.CIQ($G265, "IQ_SHARESOUTSTANDING", EH$222),"--")</f>
        <v>0</v>
      </c>
      <c r="EI265" s="2132">
        <f>IF(EI$221,_xll.ciqfunctions.udf.CIQ($G265, "IQ_SHARESOUTSTANDING", EI$222),"--")</f>
        <v>0</v>
      </c>
      <c r="EJ265" s="2132">
        <f>IF(EJ$221,_xll.ciqfunctions.udf.CIQ($G265, "IQ_SHARESOUTSTANDING", EJ$222),"--")</f>
        <v>0</v>
      </c>
      <c r="EK265" s="2132">
        <f>IF(EK$221,_xll.ciqfunctions.udf.CIQ($G265, "IQ_SHARESOUTSTANDING", EK$222),"--")</f>
        <v>0</v>
      </c>
      <c r="EL265" s="2132">
        <f>IF(EL$221,_xll.ciqfunctions.udf.CIQ($G265, "IQ_SHARESOUTSTANDING", EL$222),"--")</f>
        <v>0</v>
      </c>
      <c r="EM265" s="2132">
        <f>IF(EM$221,_xll.ciqfunctions.udf.CIQ($G265, "IQ_SHARESOUTSTANDING", EM$222),"--")</f>
        <v>0</v>
      </c>
      <c r="EN265" s="2132">
        <f>IF(EN$221,_xll.ciqfunctions.udf.CIQ($G265, "IQ_SHARESOUTSTANDING", EN$222),"--")</f>
        <v>0</v>
      </c>
      <c r="EO265" s="2132">
        <f>IF(EO$221,_xll.ciqfunctions.udf.CIQ($G265, "IQ_SHARESOUTSTANDING", EO$222),"--")</f>
        <v>0</v>
      </c>
      <c r="EP265" s="2132">
        <f>IF(EP$221,_xll.ciqfunctions.udf.CIQ($G265, "IQ_SHARESOUTSTANDING", EP$222),"--")</f>
        <v>0</v>
      </c>
      <c r="EQ265" s="2132">
        <f>IF(EQ$221,_xll.ciqfunctions.udf.CIQ($G265, "IQ_SHARESOUTSTANDING", EQ$222),"--")</f>
        <v>0</v>
      </c>
      <c r="ER265" s="2132">
        <f>IF(ER$221,_xll.ciqfunctions.udf.CIQ($G265, "IQ_SHARESOUTSTANDING", ER$222),"--")</f>
        <v>0</v>
      </c>
      <c r="ES265" s="2132">
        <f>IF(ES$221,_xll.ciqfunctions.udf.CIQ($G265, "IQ_SHARESOUTSTANDING", ES$222),"--")</f>
        <v>0</v>
      </c>
      <c r="ET265" s="2132">
        <f>IF(ET$221,_xll.ciqfunctions.udf.CIQ($G265, "IQ_SHARESOUTSTANDING", ET$222),"--")</f>
        <v>0</v>
      </c>
      <c r="EU265" s="2132">
        <f>IF(EU$221,_xll.ciqfunctions.udf.CIQ($G265, "IQ_SHARESOUTSTANDING", EU$222),"--")</f>
        <v>0</v>
      </c>
      <c r="EV265" s="2132">
        <f>IF(EV$221,_xll.ciqfunctions.udf.CIQ($G265, "IQ_SHARESOUTSTANDING", EV$222),"--")</f>
        <v>0</v>
      </c>
      <c r="EW265" s="2132">
        <f>IF(EW$221,_xll.ciqfunctions.udf.CIQ($G265, "IQ_SHARESOUTSTANDING", EW$222),"--")</f>
        <v>0</v>
      </c>
      <c r="EX265" s="2132">
        <f>IF(EX$221,_xll.ciqfunctions.udf.CIQ($G265, "IQ_SHARESOUTSTANDING", EX$222),"--")</f>
        <v>0</v>
      </c>
      <c r="EY265" s="2132">
        <f>IF(EY$221,_xll.ciqfunctions.udf.CIQ($G265, "IQ_SHARESOUTSTANDING", EY$222),"--")</f>
        <v>0</v>
      </c>
      <c r="EZ265" s="2132">
        <f>IF(EZ$221,_xll.ciqfunctions.udf.CIQ($G265, "IQ_SHARESOUTSTANDING", EZ$222),"--")</f>
        <v>0</v>
      </c>
      <c r="FA265" s="2132">
        <f>IF(FA$221,_xll.ciqfunctions.udf.CIQ($G265, "IQ_SHARESOUTSTANDING", FA$222),"--")</f>
        <v>0</v>
      </c>
      <c r="FB265" s="2132">
        <f>IF(FB$221,_xll.ciqfunctions.udf.CIQ($G265, "IQ_SHARESOUTSTANDING", FB$222),"--")</f>
        <v>0</v>
      </c>
      <c r="FC265" s="2132">
        <f>IF(FC$221,_xll.ciqfunctions.udf.CIQ($G265, "IQ_SHARESOUTSTANDING", FC$222),"--")</f>
        <v>0</v>
      </c>
      <c r="FD265" s="2132">
        <f>IF(FD$221,_xll.ciqfunctions.udf.CIQ($G265, "IQ_SHARESOUTSTANDING", FD$222),"--")</f>
        <v>0</v>
      </c>
      <c r="FE265" s="2132">
        <f>IF(FE$221,_xll.ciqfunctions.udf.CIQ($G265, "IQ_SHARESOUTSTANDING", FE$222),"--")</f>
        <v>0</v>
      </c>
      <c r="FF265" s="2132">
        <f>IF(FF$221,_xll.ciqfunctions.udf.CIQ($G265, "IQ_SHARESOUTSTANDING", FF$222),"--")</f>
        <v>0</v>
      </c>
      <c r="FG265" s="2132">
        <f>IF(FG$221,_xll.ciqfunctions.udf.CIQ($G265, "IQ_SHARESOUTSTANDING", FG$222),"--")</f>
        <v>0</v>
      </c>
      <c r="FH265" s="2132">
        <f>IF(FH$221,_xll.ciqfunctions.udf.CIQ($G265, "IQ_SHARESOUTSTANDING", FH$222),"--")</f>
        <v>0</v>
      </c>
      <c r="FI265" s="2132">
        <f>IF(FI$221,_xll.ciqfunctions.udf.CIQ($G265, "IQ_SHARESOUTSTANDING", FI$222),"--")</f>
        <v>0</v>
      </c>
      <c r="FJ265" s="2132">
        <f>IF(FJ$221,_xll.ciqfunctions.udf.CIQ($G265, "IQ_SHARESOUTSTANDING", FJ$222),"--")</f>
        <v>0</v>
      </c>
      <c r="FK265" s="2132">
        <f>IF(FK$221,_xll.ciqfunctions.udf.CIQ($G265, "IQ_SHARESOUTSTANDING", FK$222),"--")</f>
        <v>0</v>
      </c>
      <c r="FL265" s="2132">
        <f>IF(FL$221,_xll.ciqfunctions.udf.CIQ($G265, "IQ_SHARESOUTSTANDING", FL$222),"--")</f>
        <v>0</v>
      </c>
      <c r="FM265" s="2132">
        <f>IF(FM$221,_xll.ciqfunctions.udf.CIQ($G265, "IQ_SHARESOUTSTANDING", FM$222),"--")</f>
        <v>0</v>
      </c>
      <c r="FN265" s="2132">
        <f>IF(FN$221,_xll.ciqfunctions.udf.CIQ($G265, "IQ_SHARESOUTSTANDING", FN$222),"--")</f>
        <v>0</v>
      </c>
      <c r="FO265" s="2132">
        <f>IF(FO$221,_xll.ciqfunctions.udf.CIQ($G265, "IQ_SHARESOUTSTANDING", FO$222),"--")</f>
        <v>0</v>
      </c>
      <c r="FP265" s="2132">
        <f>IF(FP$221,_xll.ciqfunctions.udf.CIQ($G265, "IQ_SHARESOUTSTANDING", FP$222),"--")</f>
        <v>0</v>
      </c>
      <c r="FQ265" s="2132">
        <f>IF(FQ$221,_xll.ciqfunctions.udf.CIQ($G265, "IQ_SHARESOUTSTANDING", FQ$222),"--")</f>
        <v>0</v>
      </c>
      <c r="FR265" s="2132">
        <f>IF(FR$221,_xll.ciqfunctions.udf.CIQ($G265, "IQ_SHARESOUTSTANDING", FR$222),"--")</f>
        <v>0</v>
      </c>
      <c r="FS265" s="2132">
        <f>IF(FS$221,_xll.ciqfunctions.udf.CIQ($G265, "IQ_SHARESOUTSTANDING", FS$222),"--")</f>
        <v>0</v>
      </c>
      <c r="FT265" s="2132">
        <f>IF(FT$221,_xll.ciqfunctions.udf.CIQ($G265, "IQ_SHARESOUTSTANDING", FT$222),"--")</f>
        <v>0</v>
      </c>
      <c r="FU265" s="2132">
        <f>IF(FU$221,_xll.ciqfunctions.udf.CIQ($G265, "IQ_SHARESOUTSTANDING", FU$222),"--")</f>
        <v>0</v>
      </c>
      <c r="FV265" s="2132">
        <f>IF(FV$221,_xll.ciqfunctions.udf.CIQ($G265, "IQ_SHARESOUTSTANDING", FV$222),"--")</f>
        <v>0</v>
      </c>
      <c r="FW265" s="2132">
        <f>IF(FW$221,_xll.ciqfunctions.udf.CIQ($G265, "IQ_SHARESOUTSTANDING", FW$222),"--")</f>
        <v>0</v>
      </c>
      <c r="FX265" s="2132">
        <f>IF(FX$221,_xll.ciqfunctions.udf.CIQ($G265, "IQ_SHARESOUTSTANDING", FX$222),"--")</f>
        <v>0</v>
      </c>
      <c r="FY265" s="2132">
        <f>IF(FY$221,_xll.ciqfunctions.udf.CIQ($G265, "IQ_SHARESOUTSTANDING", FY$222),"--")</f>
        <v>0</v>
      </c>
      <c r="FZ265" s="2132">
        <f>IF(FZ$221,_xll.ciqfunctions.udf.CIQ($G265, "IQ_SHARESOUTSTANDING", FZ$222),"--")</f>
        <v>0</v>
      </c>
      <c r="GA265" s="2132">
        <f>IF(GA$221,_xll.ciqfunctions.udf.CIQ($G265, "IQ_SHARESOUTSTANDING", GA$222),"--")</f>
        <v>0</v>
      </c>
      <c r="GB265" s="2132">
        <f>IF(GB$221,_xll.ciqfunctions.udf.CIQ($G265, "IQ_SHARESOUTSTANDING", GB$222),"--")</f>
        <v>0</v>
      </c>
      <c r="GC265" s="2132">
        <f>IF(GC$221,_xll.ciqfunctions.udf.CIQ($G265, "IQ_SHARESOUTSTANDING", GC$222),"--")</f>
        <v>0</v>
      </c>
      <c r="GD265" s="2132">
        <f>IF(GD$221,_xll.ciqfunctions.udf.CIQ($G265, "IQ_SHARESOUTSTANDING", GD$222),"--")</f>
        <v>0</v>
      </c>
      <c r="GE265" s="2132">
        <f>IF(GE$221,_xll.ciqfunctions.udf.CIQ($G265, "IQ_SHARESOUTSTANDING", GE$222),"--")</f>
        <v>0</v>
      </c>
      <c r="GF265" s="2132">
        <f>IF(GF$221,_xll.ciqfunctions.udf.CIQ($G265, "IQ_SHARESOUTSTANDING", GF$222),"--")</f>
        <v>0</v>
      </c>
      <c r="GG265" s="2132">
        <f>IF(GG$221,_xll.ciqfunctions.udf.CIQ($G265, "IQ_SHARESOUTSTANDING", GG$222),"--")</f>
        <v>0</v>
      </c>
      <c r="GH265" s="2132">
        <f>IF(GH$221,_xll.ciqfunctions.udf.CIQ($G265, "IQ_SHARESOUTSTANDING", GH$222),"--")</f>
        <v>0</v>
      </c>
      <c r="GI265" s="2132">
        <f>IF(GI$221,_xll.ciqfunctions.udf.CIQ($G265, "IQ_SHARESOUTSTANDING", GI$222),"--")</f>
        <v>0</v>
      </c>
      <c r="GJ265" s="2132">
        <f>IF(GJ$221,_xll.ciqfunctions.udf.CIQ($G265, "IQ_SHARESOUTSTANDING", GJ$222),"--")</f>
        <v>0</v>
      </c>
      <c r="GK265" s="2132">
        <f>IF(GK$221,_xll.ciqfunctions.udf.CIQ($G265, "IQ_SHARESOUTSTANDING", GK$222),"--")</f>
        <v>0</v>
      </c>
      <c r="GL265" s="2132">
        <f>IF(GL$221,_xll.ciqfunctions.udf.CIQ($G265, "IQ_SHARESOUTSTANDING", GL$222),"--")</f>
        <v>0</v>
      </c>
      <c r="GM265" s="2132">
        <f>IF(GM$221,_xll.ciqfunctions.udf.CIQ($G265, "IQ_SHARESOUTSTANDING", GM$222),"--")</f>
        <v>0</v>
      </c>
      <c r="GN265" s="2132">
        <f>IF(GN$221,_xll.ciqfunctions.udf.CIQ($G265, "IQ_SHARESOUTSTANDING", GN$222),"--")</f>
        <v>0</v>
      </c>
      <c r="GO265" s="2132">
        <f>IF(GO$221,_xll.ciqfunctions.udf.CIQ($G265, "IQ_SHARESOUTSTANDING", GO$222),"--")</f>
        <v>0</v>
      </c>
      <c r="GP265" s="2132">
        <f>IF(GP$221,_xll.ciqfunctions.udf.CIQ($G265, "IQ_SHARESOUTSTANDING", GP$222),"--")</f>
        <v>0</v>
      </c>
      <c r="GQ265" s="2132">
        <f>IF(GQ$221,_xll.ciqfunctions.udf.CIQ($G265, "IQ_SHARESOUTSTANDING", GQ$222),"--")</f>
        <v>0</v>
      </c>
      <c r="GR265" s="2132">
        <f>IF(GR$221,_xll.ciqfunctions.udf.CIQ($G265, "IQ_SHARESOUTSTANDING", GR$222),"--")</f>
        <v>0</v>
      </c>
      <c r="GS265" s="2132">
        <f>IF(GS$221,_xll.ciqfunctions.udf.CIQ($G265, "IQ_SHARESOUTSTANDING", GS$222),"--")</f>
        <v>0</v>
      </c>
      <c r="GT265" s="2132">
        <f>IF(GT$221,_xll.ciqfunctions.udf.CIQ($G265, "IQ_SHARESOUTSTANDING", GT$222),"--")</f>
        <v>0</v>
      </c>
      <c r="GU265" s="2132">
        <f>IF(GU$221,_xll.ciqfunctions.udf.CIQ($G265, "IQ_SHARESOUTSTANDING", GU$222),"--")</f>
        <v>0</v>
      </c>
      <c r="GV265" s="2132">
        <f>IF(GV$221,_xll.ciqfunctions.udf.CIQ($G265, "IQ_SHARESOUTSTANDING", GV$222),"--")</f>
        <v>0</v>
      </c>
      <c r="GW265" s="2132">
        <f>IF(GW$221,_xll.ciqfunctions.udf.CIQ($G265, "IQ_SHARESOUTSTANDING", GW$222),"--")</f>
        <v>0</v>
      </c>
      <c r="GX265" s="2132">
        <f>IF(GX$221,_xll.ciqfunctions.udf.CIQ($G265, "IQ_SHARESOUTSTANDING", GX$222),"--")</f>
        <v>0</v>
      </c>
      <c r="GY265" s="2132">
        <f>IF(GY$221,_xll.ciqfunctions.udf.CIQ($G265, "IQ_SHARESOUTSTANDING", GY$222),"--")</f>
        <v>0</v>
      </c>
      <c r="GZ265" s="2132">
        <f>IF(GZ$221,_xll.ciqfunctions.udf.CIQ($G265, "IQ_SHARESOUTSTANDING", GZ$222),"--")</f>
        <v>0</v>
      </c>
      <c r="HA265" s="2132">
        <f>IF(HA$221,_xll.ciqfunctions.udf.CIQ($G265, "IQ_SHARESOUTSTANDING", HA$222),"--")</f>
        <v>0</v>
      </c>
      <c r="HB265" s="2132">
        <f>IF(HB$221,_xll.ciqfunctions.udf.CIQ($G265, "IQ_SHARESOUTSTANDING", HB$222),"--")</f>
        <v>0</v>
      </c>
      <c r="HC265" s="2132">
        <f>IF(HC$221,_xll.ciqfunctions.udf.CIQ($G265, "IQ_SHARESOUTSTANDING", HC$222),"--")</f>
        <v>0</v>
      </c>
      <c r="HD265" s="2132">
        <f>IF(HD$221,_xll.ciqfunctions.udf.CIQ($G265, "IQ_SHARESOUTSTANDING", HD$222),"--")</f>
        <v>0</v>
      </c>
      <c r="HE265" s="2132">
        <f>IF(HE$221,_xll.ciqfunctions.udf.CIQ($G265, "IQ_SHARESOUTSTANDING", HE$222),"--")</f>
        <v>0</v>
      </c>
      <c r="HF265" s="2132">
        <f>IF(HF$221,_xll.ciqfunctions.udf.CIQ($G265, "IQ_SHARESOUTSTANDING", HF$222),"--")</f>
        <v>0</v>
      </c>
      <c r="HG265" s="2132">
        <f>IF(HG$221,_xll.ciqfunctions.udf.CIQ($G265, "IQ_SHARESOUTSTANDING", HG$222),"--")</f>
        <v>0</v>
      </c>
      <c r="HH265" s="2132">
        <f>IF(HH$221,_xll.ciqfunctions.udf.CIQ($G265, "IQ_SHARESOUTSTANDING", HH$222),"--")</f>
        <v>0</v>
      </c>
      <c r="HI265" s="2132">
        <f>IF(HI$221,_xll.ciqfunctions.udf.CIQ($G265, "IQ_SHARESOUTSTANDING", HI$222),"--")</f>
        <v>0</v>
      </c>
      <c r="HJ265" s="2132">
        <f>IF(HJ$221,_xll.ciqfunctions.udf.CIQ($G265, "IQ_SHARESOUTSTANDING", HJ$222),"--")</f>
        <v>0</v>
      </c>
      <c r="HK265" s="2132">
        <f>IF(HK$221,_xll.ciqfunctions.udf.CIQ($G265, "IQ_SHARESOUTSTANDING", HK$222),"--")</f>
        <v>0</v>
      </c>
      <c r="HL265" s="2132">
        <f>IF(HL$221,_xll.ciqfunctions.udf.CIQ($G265, "IQ_SHARESOUTSTANDING", HL$222),"--")</f>
        <v>0</v>
      </c>
      <c r="HM265" s="2132">
        <f>IF(HM$221,_xll.ciqfunctions.udf.CIQ($G265, "IQ_SHARESOUTSTANDING", HM$222),"--")</f>
        <v>0</v>
      </c>
      <c r="HN265" s="2132">
        <f>IF(HN$221,_xll.ciqfunctions.udf.CIQ($G265, "IQ_SHARESOUTSTANDING", HN$222),"--")</f>
        <v>0</v>
      </c>
      <c r="HO265" s="2132">
        <f>IF(HO$221,_xll.ciqfunctions.udf.CIQ($G265, "IQ_SHARESOUTSTANDING", HO$222),"--")</f>
        <v>0</v>
      </c>
      <c r="HP265" s="2132">
        <f>IF(HP$221,_xll.ciqfunctions.udf.CIQ($G265, "IQ_SHARESOUTSTANDING", HP$222),"--")</f>
        <v>0</v>
      </c>
      <c r="HQ265" s="2132">
        <f>IF(HQ$221,_xll.ciqfunctions.udf.CIQ($G265, "IQ_SHARESOUTSTANDING", HQ$222),"--")</f>
        <v>0</v>
      </c>
      <c r="HR265" s="2132">
        <f>IF(HR$221,_xll.ciqfunctions.udf.CIQ($G265, "IQ_SHARESOUTSTANDING", HR$222),"--")</f>
        <v>0</v>
      </c>
      <c r="HS265" s="2132">
        <f>IF(HS$221,_xll.ciqfunctions.udf.CIQ($G265, "IQ_SHARESOUTSTANDING", HS$222),"--")</f>
        <v>0</v>
      </c>
      <c r="HT265" s="2132">
        <f>IF(HT$221,_xll.ciqfunctions.udf.CIQ($G265, "IQ_SHARESOUTSTANDING", HT$222),"--")</f>
        <v>0</v>
      </c>
      <c r="HU265" s="2132">
        <f>IF(HU$221,_xll.ciqfunctions.udf.CIQ($G265, "IQ_SHARESOUTSTANDING", HU$222),"--")</f>
        <v>0</v>
      </c>
      <c r="HV265" s="2132">
        <f>IF(HV$221,_xll.ciqfunctions.udf.CIQ($G265, "IQ_SHARESOUTSTANDING", HV$222),"--")</f>
        <v>0</v>
      </c>
      <c r="HW265" s="2132">
        <f>IF(HW$221,_xll.ciqfunctions.udf.CIQ($G265, "IQ_SHARESOUTSTANDING", HW$222),"--")</f>
        <v>0</v>
      </c>
      <c r="HX265" s="2132">
        <f>IF(HX$221,_xll.ciqfunctions.udf.CIQ($G265, "IQ_SHARESOUTSTANDING", HX$222),"--")</f>
        <v>0</v>
      </c>
      <c r="HY265" s="2132">
        <f>IF(HY$221,_xll.ciqfunctions.udf.CIQ($G265, "IQ_SHARESOUTSTANDING", HY$222),"--")</f>
        <v>0</v>
      </c>
      <c r="HZ265" s="2132">
        <f>IF(HZ$221,_xll.ciqfunctions.udf.CIQ($G265, "IQ_SHARESOUTSTANDING", HZ$222),"--")</f>
        <v>0</v>
      </c>
      <c r="IA265" s="2132">
        <f>IF(IA$221,_xll.ciqfunctions.udf.CIQ($G265, "IQ_SHARESOUTSTANDING", IA$222),"--")</f>
        <v>0</v>
      </c>
      <c r="IB265" s="2132">
        <f>IF(IB$221,_xll.ciqfunctions.udf.CIQ($G265, "IQ_SHARESOUTSTANDING", IB$222),"--")</f>
        <v>0</v>
      </c>
      <c r="IC265" s="2132">
        <f>IF(IC$221,_xll.ciqfunctions.udf.CIQ($G265, "IQ_SHARESOUTSTANDING", IC$222),"--")</f>
        <v>0</v>
      </c>
      <c r="ID265" s="2132">
        <f>IF(ID$221,_xll.ciqfunctions.udf.CIQ($G265, "IQ_SHARESOUTSTANDING", ID$222),"--")</f>
        <v>0</v>
      </c>
      <c r="IE265" s="2132">
        <f>IF(IE$221,_xll.ciqfunctions.udf.CIQ($G265, "IQ_SHARESOUTSTANDING", IE$222),"--")</f>
        <v>0</v>
      </c>
      <c r="IF265" s="2132">
        <f>IF(IF$221,_xll.ciqfunctions.udf.CIQ($G265, "IQ_SHARESOUTSTANDING", IF$222),"--")</f>
        <v>0</v>
      </c>
      <c r="IG265" s="2132">
        <f>IF(IG$221,_xll.ciqfunctions.udf.CIQ($G265, "IQ_SHARESOUTSTANDING", IG$222),"--")</f>
        <v>0</v>
      </c>
      <c r="IH265" s="2132">
        <f>IF(IH$221,_xll.ciqfunctions.udf.CIQ($G265, "IQ_SHARESOUTSTANDING", IH$222),"--")</f>
        <v>0</v>
      </c>
      <c r="II265" s="2132">
        <f>IF(II$221,_xll.ciqfunctions.udf.CIQ($G265, "IQ_SHARESOUTSTANDING", II$222),"--")</f>
        <v>0</v>
      </c>
      <c r="IJ265" s="2132">
        <f>IF(IJ$221,_xll.ciqfunctions.udf.CIQ($G265, "IQ_SHARESOUTSTANDING", IJ$222),"--")</f>
        <v>0</v>
      </c>
      <c r="IK265" s="2132">
        <f>IF(IK$221,_xll.ciqfunctions.udf.CIQ($G265, "IQ_SHARESOUTSTANDING", IK$222),"--")</f>
        <v>0</v>
      </c>
      <c r="IL265" s="2132">
        <f>IF(IL$221,_xll.ciqfunctions.udf.CIQ($G265, "IQ_SHARESOUTSTANDING", IL$222),"--")</f>
        <v>0</v>
      </c>
      <c r="IM265" s="2132">
        <f>IF(IM$221,_xll.ciqfunctions.udf.CIQ($G265, "IQ_SHARESOUTSTANDING", IM$222),"--")</f>
        <v>0</v>
      </c>
      <c r="IN265" s="2132">
        <f>IF(IN$221,_xll.ciqfunctions.udf.CIQ($G265, "IQ_SHARESOUTSTANDING", IN$222),"--")</f>
        <v>0</v>
      </c>
      <c r="IO265" s="2132">
        <f>IF(IO$221,_xll.ciqfunctions.udf.CIQ($G265, "IQ_SHARESOUTSTANDING", IO$222),"--")</f>
        <v>0</v>
      </c>
      <c r="IP265" s="2132">
        <f>IF(IP$221,_xll.ciqfunctions.udf.CIQ($G265, "IQ_SHARESOUTSTANDING", IP$222),"--")</f>
        <v>0</v>
      </c>
      <c r="IQ265" s="2132">
        <f>IF(IQ$221,_xll.ciqfunctions.udf.CIQ($G265, "IQ_SHARESOUTSTANDING", IQ$222),"--")</f>
        <v>0</v>
      </c>
      <c r="IR265" s="2132">
        <f>IF(IR$221,_xll.ciqfunctions.udf.CIQ($G265, "IQ_SHARESOUTSTANDING", IR$222),"--")</f>
        <v>0</v>
      </c>
      <c r="IS265" s="2132">
        <f>IF(IS$221,_xll.ciqfunctions.udf.CIQ($G265, "IQ_SHARESOUTSTANDING", IS$222),"--")</f>
        <v>0</v>
      </c>
      <c r="IT265" s="2132">
        <f>IF(IT$221,_xll.ciqfunctions.udf.CIQ($G265, "IQ_SHARESOUTSTANDING", IT$222),"--")</f>
        <v>0</v>
      </c>
      <c r="IU265" s="2132">
        <f>IF(IU$221,_xll.ciqfunctions.udf.CIQ($G265, "IQ_SHARESOUTSTANDING", IU$222),"--")</f>
        <v>0</v>
      </c>
      <c r="IV265" s="2132">
        <f>IF(IV$221,_xll.ciqfunctions.udf.CIQ($G265, "IQ_SHARESOUTSTANDING", IV$222),"--")</f>
        <v>0</v>
      </c>
      <c r="IW265" s="2132">
        <f>IF(IW$221,_xll.ciqfunctions.udf.CIQ($G265, "IQ_SHARESOUTSTANDING", IW$222),"--")</f>
        <v>0</v>
      </c>
      <c r="IX265" s="2132">
        <f>IF(IX$221,_xll.ciqfunctions.udf.CIQ($G265, "IQ_SHARESOUTSTANDING", IX$222),"--")</f>
        <v>0</v>
      </c>
      <c r="IY265" s="2132">
        <f>IF(IY$221,_xll.ciqfunctions.udf.CIQ($G265, "IQ_SHARESOUTSTANDING", IY$222),"--")</f>
        <v>0</v>
      </c>
      <c r="IZ265" s="2132">
        <f>IF(IZ$221,_xll.ciqfunctions.udf.CIQ($G265, "IQ_SHARESOUTSTANDING", IZ$222),"--")</f>
        <v>0</v>
      </c>
      <c r="JA265" s="2132">
        <f>IF(JA$221,_xll.ciqfunctions.udf.CIQ($G265, "IQ_SHARESOUTSTANDING", JA$222),"--")</f>
        <v>0</v>
      </c>
      <c r="JB265" s="2132">
        <f>IF(JB$221,_xll.ciqfunctions.udf.CIQ($G265, "IQ_SHARESOUTSTANDING", JB$222),"--")</f>
        <v>0</v>
      </c>
      <c r="JC265" s="2132">
        <f>IF(JC$221,_xll.ciqfunctions.udf.CIQ($G265, "IQ_SHARESOUTSTANDING", JC$222),"--")</f>
        <v>0</v>
      </c>
      <c r="JD265" s="2132">
        <f>IF(JD$221,_xll.ciqfunctions.udf.CIQ($G265, "IQ_SHARESOUTSTANDING", JD$222),"--")</f>
        <v>0</v>
      </c>
      <c r="JE265" s="2132">
        <f>IF(JE$221,_xll.ciqfunctions.udf.CIQ($G265, "IQ_SHARESOUTSTANDING", JE$222),"--")</f>
        <v>0</v>
      </c>
      <c r="JF265" s="2132">
        <f>IF(JF$221,_xll.ciqfunctions.udf.CIQ($G265, "IQ_SHARESOUTSTANDING", JF$222),"--")</f>
        <v>0</v>
      </c>
      <c r="JG265" s="2132">
        <f>IF(JG$221,_xll.ciqfunctions.udf.CIQ($G265, "IQ_SHARESOUTSTANDING", JG$222),"--")</f>
        <v>0</v>
      </c>
      <c r="JH265" s="2132">
        <f>IF(JH$221,_xll.ciqfunctions.udf.CIQ($G265, "IQ_SHARESOUTSTANDING", JH$222),"--")</f>
        <v>0</v>
      </c>
      <c r="JI265" s="2132">
        <f>IF(JI$221,_xll.ciqfunctions.udf.CIQ($G265, "IQ_SHARESOUTSTANDING", JI$222),"--")</f>
        <v>0</v>
      </c>
      <c r="JJ265" s="2132">
        <f>IF(JJ$221,_xll.ciqfunctions.udf.CIQ($G265, "IQ_SHARESOUTSTANDING", JJ$222),"--")</f>
        <v>0</v>
      </c>
      <c r="JK265" s="2132">
        <f>IF(JK$221,_xll.ciqfunctions.udf.CIQ($G265, "IQ_SHARESOUTSTANDING", JK$222),"--")</f>
        <v>0</v>
      </c>
      <c r="JL265" s="2132">
        <f>IF(JL$221,_xll.ciqfunctions.udf.CIQ($G265, "IQ_SHARESOUTSTANDING", JL$222),"--")</f>
        <v>0</v>
      </c>
      <c r="JM265" s="2132">
        <f>IF(JM$221,_xll.ciqfunctions.udf.CIQ($G265, "IQ_SHARESOUTSTANDING", JM$222),"--")</f>
        <v>0</v>
      </c>
      <c r="JN265" s="2132">
        <f>IF(JN$221,_xll.ciqfunctions.udf.CIQ($G265, "IQ_SHARESOUTSTANDING", JN$222),"--")</f>
        <v>0</v>
      </c>
      <c r="JO265" s="2132">
        <f>IF(JO$221,_xll.ciqfunctions.udf.CIQ($G265, "IQ_SHARESOUTSTANDING", JO$222),"--")</f>
        <v>0</v>
      </c>
      <c r="JP265" s="2132">
        <f>IF(JP$221,_xll.ciqfunctions.udf.CIQ($G265, "IQ_SHARESOUTSTANDING", JP$222),"--")</f>
        <v>0</v>
      </c>
      <c r="JQ265" s="2132">
        <f>IF(JQ$221,_xll.ciqfunctions.udf.CIQ($G265, "IQ_SHARESOUTSTANDING", JQ$222),"--")</f>
        <v>0</v>
      </c>
      <c r="JR265" s="2132">
        <f>IF(JR$221,_xll.ciqfunctions.udf.CIQ($G265, "IQ_SHARESOUTSTANDING", JR$222),"--")</f>
        <v>0</v>
      </c>
      <c r="JS265" s="2132">
        <f>IF(JS$221,_xll.ciqfunctions.udf.CIQ($G265, "IQ_SHARESOUTSTANDING", JS$222),"--")</f>
        <v>0</v>
      </c>
      <c r="JT265" s="2132">
        <f>IF(JT$221,_xll.ciqfunctions.udf.CIQ($G265, "IQ_SHARESOUTSTANDING", JT$222),"--")</f>
        <v>0</v>
      </c>
      <c r="JU265" s="2132">
        <f>IF(JU$221,_xll.ciqfunctions.udf.CIQ($G265, "IQ_SHARESOUTSTANDING", JU$222),"--")</f>
        <v>0</v>
      </c>
      <c r="JV265" s="2132">
        <f>IF(JV$221,_xll.ciqfunctions.udf.CIQ($G265, "IQ_SHARESOUTSTANDING", JV$222),"--")</f>
        <v>0</v>
      </c>
      <c r="JW265" s="2132" t="str">
        <f>IF(JW$221,_xll.ciqfunctions.udf.CIQ($G265, "IQ_SHARESOUTSTANDING", JW$222),"--")</f>
        <v>--</v>
      </c>
      <c r="JX265" s="2132" t="str">
        <f>IF(JX$221,_xll.ciqfunctions.udf.CIQ($G265, "IQ_SHARESOUTSTANDING", JX$222),"--")</f>
        <v>--</v>
      </c>
      <c r="JY265" s="2132" t="str">
        <f>IF(JY$221,_xll.ciqfunctions.udf.CIQ($G265, "IQ_SHARESOUTSTANDING", JY$222),"--")</f>
        <v>--</v>
      </c>
      <c r="JZ265" s="2132" t="str">
        <f>IF(JZ$221,_xll.ciqfunctions.udf.CIQ($G265, "IQ_SHARESOUTSTANDING", JZ$222),"--")</f>
        <v>--</v>
      </c>
      <c r="KA265" s="2132" t="str">
        <f>IF(KA$221,_xll.ciqfunctions.udf.CIQ($G265, "IQ_SHARESOUTSTANDING", KA$222),"--")</f>
        <v>--</v>
      </c>
      <c r="KB265" s="2132" t="str">
        <f>IF(KB$221,_xll.ciqfunctions.udf.CIQ($G265, "IQ_SHARESOUTSTANDING", KB$222),"--")</f>
        <v>--</v>
      </c>
    </row>
    <row r="266" spans="1:288" s="89" customFormat="1" ht="13.9">
      <c r="A266" s="269" t="str">
        <f t="shared" si="49"/>
        <v>n</v>
      </c>
      <c r="B266" s="2060"/>
      <c r="D266" s="801"/>
      <c r="E266" s="1505">
        <v>12</v>
      </c>
      <c r="F266" s="21" t="str">
        <f>F$140</f>
        <v>--</v>
      </c>
      <c r="G266" s="1441">
        <f>G$140</f>
        <v>0</v>
      </c>
      <c r="H266" s="1441" t="str">
        <f>H$140</f>
        <v>--</v>
      </c>
      <c r="I266" s="314" t="s">
        <v>783</v>
      </c>
      <c r="J266" s="314"/>
      <c r="K266" s="2301" t="str">
        <f>IF(OR(K203=0,$G266=0),"--",IFERROR(_xll.ciqfunctions.udf.CIQ($G266,$I266,K111,Valuation_Date_GC,ReportType,DataMode,$H266,FXMode)*Scale+K235*Pension10,"--"))</f>
        <v>--</v>
      </c>
      <c r="L266" s="2301" t="str">
        <f>IF(OR(L203=0,$G266=0),"--",IFERROR(_xll.ciqfunctions.udf.CIQ($G266,$I266,L111,Valuation_Date_GC,ReportType,DataMode,$H266,FXMode)*Scale+L235*Pension10,"--"))</f>
        <v>--</v>
      </c>
      <c r="M266" s="2301" t="str">
        <f>IF(OR(M203=0,$G266=0),"--",IFERROR(_xll.ciqfunctions.udf.CIQ($G266,$I266,M111,Valuation_Date_GC,ReportType,DataMode,$H266,FXMode)*Scale+M235*Pension10,"--"))</f>
        <v>--</v>
      </c>
      <c r="N266" s="2301" t="str">
        <f>IF(OR(N203=0,$G266=0),"--",IFERROR(_xll.ciqfunctions.udf.CIQ($G266,$I266,N111,Valuation_Date_GC,ReportType,DataMode,$H266,FXMode)*Scale+N235*Pension10,"--"))</f>
        <v>--</v>
      </c>
      <c r="O266" s="1471" t="str">
        <f>IF(OR(O203=0,$G266=0),"--",IFERROR(_xll.ciqfunctions.udf.CIQ($G266,$I266,O111,Valuation_Date_GC,ReportType,DataMode,$H266,FXMode)*Scale+O235*Pension10,"--"))</f>
        <v>--</v>
      </c>
      <c r="P266" s="2301" t="str">
        <f>IF(OR(P203=0,$G266=0),"--",IFERROR(_xll.ciqfunctions.udf.CIQ($G266,$I266,P111,Valuation_Date_GC,ReportType,DataMode,$H266,FXMode)*Scale+P235*Pension10,"--"))</f>
        <v>--</v>
      </c>
      <c r="R266" s="1466"/>
      <c r="T266" s="1779" t="s">
        <v>784</v>
      </c>
      <c r="U266" s="2132">
        <f>IF(U$221,_xll.ciqfunctions.udf.CIQ($G266, "IQ_SHARESOUTSTANDING", U$222),"--")</f>
        <v>0</v>
      </c>
      <c r="V266" s="2132">
        <f>IF(V$221,_xll.ciqfunctions.udf.CIQ($G266, "IQ_SHARESOUTSTANDING", V$222),"--")</f>
        <v>0</v>
      </c>
      <c r="W266" s="2132">
        <f>IF(W$221,_xll.ciqfunctions.udf.CIQ($G266, "IQ_SHARESOUTSTANDING", W$222),"--")</f>
        <v>0</v>
      </c>
      <c r="X266" s="2132">
        <f>IF(X$221,_xll.ciqfunctions.udf.CIQ($G266, "IQ_SHARESOUTSTANDING", X$222),"--")</f>
        <v>0</v>
      </c>
      <c r="Y266" s="2132">
        <f>IF(Y$221,_xll.ciqfunctions.udf.CIQ($G266, "IQ_SHARESOUTSTANDING", Y$222),"--")</f>
        <v>0</v>
      </c>
      <c r="Z266" s="2132">
        <f>IF(Z$221,_xll.ciqfunctions.udf.CIQ($G266, "IQ_SHARESOUTSTANDING", Z$222),"--")</f>
        <v>0</v>
      </c>
      <c r="AA266" s="2132">
        <f>IF(AA$221,_xll.ciqfunctions.udf.CIQ($G266, "IQ_SHARESOUTSTANDING", AA$222),"--")</f>
        <v>0</v>
      </c>
      <c r="AB266" s="2132">
        <f>IF(AB$221,_xll.ciqfunctions.udf.CIQ($G266, "IQ_SHARESOUTSTANDING", AB$222),"--")</f>
        <v>0</v>
      </c>
      <c r="AC266" s="2132">
        <f>IF(AC$221,_xll.ciqfunctions.udf.CIQ($G266, "IQ_SHARESOUTSTANDING", AC$222),"--")</f>
        <v>0</v>
      </c>
      <c r="AD266" s="2132">
        <f>IF(AD$221,_xll.ciqfunctions.udf.CIQ($G266, "IQ_SHARESOUTSTANDING", AD$222),"--")</f>
        <v>0</v>
      </c>
      <c r="AE266" s="2132">
        <f>IF(AE$221,_xll.ciqfunctions.udf.CIQ($G266, "IQ_SHARESOUTSTANDING", AE$222),"--")</f>
        <v>0</v>
      </c>
      <c r="AF266" s="2132">
        <f>IF(AF$221,_xll.ciqfunctions.udf.CIQ($G266, "IQ_SHARESOUTSTANDING", AF$222),"--")</f>
        <v>0</v>
      </c>
      <c r="AG266" s="2132">
        <f>IF(AG$221,_xll.ciqfunctions.udf.CIQ($G266, "IQ_SHARESOUTSTANDING", AG$222),"--")</f>
        <v>0</v>
      </c>
      <c r="AH266" s="2132">
        <f>IF(AH$221,_xll.ciqfunctions.udf.CIQ($G266, "IQ_SHARESOUTSTANDING", AH$222),"--")</f>
        <v>0</v>
      </c>
      <c r="AI266" s="2132">
        <f>IF(AI$221,_xll.ciqfunctions.udf.CIQ($G266, "IQ_SHARESOUTSTANDING", AI$222),"--")</f>
        <v>0</v>
      </c>
      <c r="AJ266" s="2132">
        <f>IF(AJ$221,_xll.ciqfunctions.udf.CIQ($G266, "IQ_SHARESOUTSTANDING", AJ$222),"--")</f>
        <v>0</v>
      </c>
      <c r="AK266" s="2132">
        <f>IF(AK$221,_xll.ciqfunctions.udf.CIQ($G266, "IQ_SHARESOUTSTANDING", AK$222),"--")</f>
        <v>0</v>
      </c>
      <c r="AL266" s="2132">
        <f>IF(AL$221,_xll.ciqfunctions.udf.CIQ($G266, "IQ_SHARESOUTSTANDING", AL$222),"--")</f>
        <v>0</v>
      </c>
      <c r="AM266" s="2132">
        <f>IF(AM$221,_xll.ciqfunctions.udf.CIQ($G266, "IQ_SHARESOUTSTANDING", AM$222),"--")</f>
        <v>0</v>
      </c>
      <c r="AN266" s="2132">
        <f>IF(AN$221,_xll.ciqfunctions.udf.CIQ($G266, "IQ_SHARESOUTSTANDING", AN$222),"--")</f>
        <v>0</v>
      </c>
      <c r="AO266" s="2132">
        <f>IF(AO$221,_xll.ciqfunctions.udf.CIQ($G266, "IQ_SHARESOUTSTANDING", AO$222),"--")</f>
        <v>0</v>
      </c>
      <c r="AP266" s="2132">
        <f>IF(AP$221,_xll.ciqfunctions.udf.CIQ($G266, "IQ_SHARESOUTSTANDING", AP$222),"--")</f>
        <v>0</v>
      </c>
      <c r="AQ266" s="2132">
        <f>IF(AQ$221,_xll.ciqfunctions.udf.CIQ($G266, "IQ_SHARESOUTSTANDING", AQ$222),"--")</f>
        <v>0</v>
      </c>
      <c r="AR266" s="2132">
        <f>IF(AR$221,_xll.ciqfunctions.udf.CIQ($G266, "IQ_SHARESOUTSTANDING", AR$222),"--")</f>
        <v>0</v>
      </c>
      <c r="AS266" s="2132">
        <f>IF(AS$221,_xll.ciqfunctions.udf.CIQ($G266, "IQ_SHARESOUTSTANDING", AS$222),"--")</f>
        <v>0</v>
      </c>
      <c r="AT266" s="2132">
        <f>IF(AT$221,_xll.ciqfunctions.udf.CIQ($G266, "IQ_SHARESOUTSTANDING", AT$222),"--")</f>
        <v>0</v>
      </c>
      <c r="AU266" s="2132">
        <f>IF(AU$221,_xll.ciqfunctions.udf.CIQ($G266, "IQ_SHARESOUTSTANDING", AU$222),"--")</f>
        <v>0</v>
      </c>
      <c r="AV266" s="2132">
        <f>IF(AV$221,_xll.ciqfunctions.udf.CIQ($G266, "IQ_SHARESOUTSTANDING", AV$222),"--")</f>
        <v>0</v>
      </c>
      <c r="AW266" s="2132">
        <f>IF(AW$221,_xll.ciqfunctions.udf.CIQ($G266, "IQ_SHARESOUTSTANDING", AW$222),"--")</f>
        <v>0</v>
      </c>
      <c r="AX266" s="2132">
        <f>IF(AX$221,_xll.ciqfunctions.udf.CIQ($G266, "IQ_SHARESOUTSTANDING", AX$222),"--")</f>
        <v>0</v>
      </c>
      <c r="AY266" s="2132">
        <f>IF(AY$221,_xll.ciqfunctions.udf.CIQ($G266, "IQ_SHARESOUTSTANDING", AY$222),"--")</f>
        <v>0</v>
      </c>
      <c r="AZ266" s="2132">
        <f>IF(AZ$221,_xll.ciqfunctions.udf.CIQ($G266, "IQ_SHARESOUTSTANDING", AZ$222),"--")</f>
        <v>0</v>
      </c>
      <c r="BA266" s="2132">
        <f>IF(BA$221,_xll.ciqfunctions.udf.CIQ($G266, "IQ_SHARESOUTSTANDING", BA$222),"--")</f>
        <v>0</v>
      </c>
      <c r="BB266" s="2132">
        <f>IF(BB$221,_xll.ciqfunctions.udf.CIQ($G266, "IQ_SHARESOUTSTANDING", BB$222),"--")</f>
        <v>0</v>
      </c>
      <c r="BC266" s="2132">
        <f>IF(BC$221,_xll.ciqfunctions.udf.CIQ($G266, "IQ_SHARESOUTSTANDING", BC$222),"--")</f>
        <v>0</v>
      </c>
      <c r="BD266" s="2132">
        <f>IF(BD$221,_xll.ciqfunctions.udf.CIQ($G266, "IQ_SHARESOUTSTANDING", BD$222),"--")</f>
        <v>0</v>
      </c>
      <c r="BE266" s="2132">
        <f>IF(BE$221,_xll.ciqfunctions.udf.CIQ($G266, "IQ_SHARESOUTSTANDING", BE$222),"--")</f>
        <v>0</v>
      </c>
      <c r="BF266" s="2132">
        <f>IF(BF$221,_xll.ciqfunctions.udf.CIQ($G266, "IQ_SHARESOUTSTANDING", BF$222),"--")</f>
        <v>0</v>
      </c>
      <c r="BG266" s="2132">
        <f>IF(BG$221,_xll.ciqfunctions.udf.CIQ($G266, "IQ_SHARESOUTSTANDING", BG$222),"--")</f>
        <v>0</v>
      </c>
      <c r="BH266" s="2132">
        <f>IF(BH$221,_xll.ciqfunctions.udf.CIQ($G266, "IQ_SHARESOUTSTANDING", BH$222),"--")</f>
        <v>0</v>
      </c>
      <c r="BI266" s="2132">
        <f>IF(BI$221,_xll.ciqfunctions.udf.CIQ($G266, "IQ_SHARESOUTSTANDING", BI$222),"--")</f>
        <v>0</v>
      </c>
      <c r="BJ266" s="2132">
        <f>IF(BJ$221,_xll.ciqfunctions.udf.CIQ($G266, "IQ_SHARESOUTSTANDING", BJ$222),"--")</f>
        <v>0</v>
      </c>
      <c r="BK266" s="2132">
        <f>IF(BK$221,_xll.ciqfunctions.udf.CIQ($G266, "IQ_SHARESOUTSTANDING", BK$222),"--")</f>
        <v>0</v>
      </c>
      <c r="BL266" s="2132">
        <f>IF(BL$221,_xll.ciqfunctions.udf.CIQ($G266, "IQ_SHARESOUTSTANDING", BL$222),"--")</f>
        <v>0</v>
      </c>
      <c r="BM266" s="2132">
        <f>IF(BM$221,_xll.ciqfunctions.udf.CIQ($G266, "IQ_SHARESOUTSTANDING", BM$222),"--")</f>
        <v>0</v>
      </c>
      <c r="BN266" s="2132">
        <f>IF(BN$221,_xll.ciqfunctions.udf.CIQ($G266, "IQ_SHARESOUTSTANDING", BN$222),"--")</f>
        <v>0</v>
      </c>
      <c r="BO266" s="2132">
        <f>IF(BO$221,_xll.ciqfunctions.udf.CIQ($G266, "IQ_SHARESOUTSTANDING", BO$222),"--")</f>
        <v>0</v>
      </c>
      <c r="BP266" s="2132">
        <f>IF(BP$221,_xll.ciqfunctions.udf.CIQ($G266, "IQ_SHARESOUTSTANDING", BP$222),"--")</f>
        <v>0</v>
      </c>
      <c r="BQ266" s="2132">
        <f>IF(BQ$221,_xll.ciqfunctions.udf.CIQ($G266, "IQ_SHARESOUTSTANDING", BQ$222),"--")</f>
        <v>0</v>
      </c>
      <c r="BR266" s="2132">
        <f>IF(BR$221,_xll.ciqfunctions.udf.CIQ($G266, "IQ_SHARESOUTSTANDING", BR$222),"--")</f>
        <v>0</v>
      </c>
      <c r="BS266" s="2132">
        <f>IF(BS$221,_xll.ciqfunctions.udf.CIQ($G266, "IQ_SHARESOUTSTANDING", BS$222),"--")</f>
        <v>0</v>
      </c>
      <c r="BT266" s="2132">
        <f>IF(BT$221,_xll.ciqfunctions.udf.CIQ($G266, "IQ_SHARESOUTSTANDING", BT$222),"--")</f>
        <v>0</v>
      </c>
      <c r="BU266" s="2132">
        <f>IF(BU$221,_xll.ciqfunctions.udf.CIQ($G266, "IQ_SHARESOUTSTANDING", BU$222),"--")</f>
        <v>0</v>
      </c>
      <c r="BV266" s="2132">
        <f>IF(BV$221,_xll.ciqfunctions.udf.CIQ($G266, "IQ_SHARESOUTSTANDING", BV$222),"--")</f>
        <v>0</v>
      </c>
      <c r="BW266" s="2132">
        <f>IF(BW$221,_xll.ciqfunctions.udf.CIQ($G266, "IQ_SHARESOUTSTANDING", BW$222),"--")</f>
        <v>0</v>
      </c>
      <c r="BX266" s="2132">
        <f>IF(BX$221,_xll.ciqfunctions.udf.CIQ($G266, "IQ_SHARESOUTSTANDING", BX$222),"--")</f>
        <v>0</v>
      </c>
      <c r="BY266" s="2132">
        <f>IF(BY$221,_xll.ciqfunctions.udf.CIQ($G266, "IQ_SHARESOUTSTANDING", BY$222),"--")</f>
        <v>0</v>
      </c>
      <c r="BZ266" s="2132">
        <f>IF(BZ$221,_xll.ciqfunctions.udf.CIQ($G266, "IQ_SHARESOUTSTANDING", BZ$222),"--")</f>
        <v>0</v>
      </c>
      <c r="CA266" s="2132">
        <f>IF(CA$221,_xll.ciqfunctions.udf.CIQ($G266, "IQ_SHARESOUTSTANDING", CA$222),"--")</f>
        <v>0</v>
      </c>
      <c r="CB266" s="2132">
        <f>IF(CB$221,_xll.ciqfunctions.udf.CIQ($G266, "IQ_SHARESOUTSTANDING", CB$222),"--")</f>
        <v>0</v>
      </c>
      <c r="CC266" s="2132">
        <f>IF(CC$221,_xll.ciqfunctions.udf.CIQ($G266, "IQ_SHARESOUTSTANDING", CC$222),"--")</f>
        <v>0</v>
      </c>
      <c r="CD266" s="2132">
        <f>IF(CD$221,_xll.ciqfunctions.udf.CIQ($G266, "IQ_SHARESOUTSTANDING", CD$222),"--")</f>
        <v>0</v>
      </c>
      <c r="CE266" s="2132">
        <f>IF(CE$221,_xll.ciqfunctions.udf.CIQ($G266, "IQ_SHARESOUTSTANDING", CE$222),"--")</f>
        <v>0</v>
      </c>
      <c r="CF266" s="2132">
        <f>IF(CF$221,_xll.ciqfunctions.udf.CIQ($G266, "IQ_SHARESOUTSTANDING", CF$222),"--")</f>
        <v>0</v>
      </c>
      <c r="CG266" s="2132">
        <f>IF(CG$221,_xll.ciqfunctions.udf.CIQ($G266, "IQ_SHARESOUTSTANDING", CG$222),"--")</f>
        <v>0</v>
      </c>
      <c r="CH266" s="2132">
        <f>IF(CH$221,_xll.ciqfunctions.udf.CIQ($G266, "IQ_SHARESOUTSTANDING", CH$222),"--")</f>
        <v>0</v>
      </c>
      <c r="CI266" s="2132">
        <f>IF(CI$221,_xll.ciqfunctions.udf.CIQ($G266, "IQ_SHARESOUTSTANDING", CI$222),"--")</f>
        <v>0</v>
      </c>
      <c r="CJ266" s="2132">
        <f>IF(CJ$221,_xll.ciqfunctions.udf.CIQ($G266, "IQ_SHARESOUTSTANDING", CJ$222),"--")</f>
        <v>0</v>
      </c>
      <c r="CK266" s="2132">
        <f>IF(CK$221,_xll.ciqfunctions.udf.CIQ($G266, "IQ_SHARESOUTSTANDING", CK$222),"--")</f>
        <v>0</v>
      </c>
      <c r="CL266" s="2132">
        <f>IF(CL$221,_xll.ciqfunctions.udf.CIQ($G266, "IQ_SHARESOUTSTANDING", CL$222),"--")</f>
        <v>0</v>
      </c>
      <c r="CM266" s="2132">
        <f>IF(CM$221,_xll.ciqfunctions.udf.CIQ($G266, "IQ_SHARESOUTSTANDING", CM$222),"--")</f>
        <v>0</v>
      </c>
      <c r="CN266" s="2132">
        <f>IF(CN$221,_xll.ciqfunctions.udf.CIQ($G266, "IQ_SHARESOUTSTANDING", CN$222),"--")</f>
        <v>0</v>
      </c>
      <c r="CO266" s="2132">
        <f>IF(CO$221,_xll.ciqfunctions.udf.CIQ($G266, "IQ_SHARESOUTSTANDING", CO$222),"--")</f>
        <v>0</v>
      </c>
      <c r="CP266" s="2132">
        <f>IF(CP$221,_xll.ciqfunctions.udf.CIQ($G266, "IQ_SHARESOUTSTANDING", CP$222),"--")</f>
        <v>0</v>
      </c>
      <c r="CQ266" s="2132">
        <f>IF(CQ$221,_xll.ciqfunctions.udf.CIQ($G266, "IQ_SHARESOUTSTANDING", CQ$222),"--")</f>
        <v>0</v>
      </c>
      <c r="CR266" s="2132">
        <f>IF(CR$221,_xll.ciqfunctions.udf.CIQ($G266, "IQ_SHARESOUTSTANDING", CR$222),"--")</f>
        <v>0</v>
      </c>
      <c r="CS266" s="2132">
        <f>IF(CS$221,_xll.ciqfunctions.udf.CIQ($G266, "IQ_SHARESOUTSTANDING", CS$222),"--")</f>
        <v>0</v>
      </c>
      <c r="CT266" s="2132">
        <f>IF(CT$221,_xll.ciqfunctions.udf.CIQ($G266, "IQ_SHARESOUTSTANDING", CT$222),"--")</f>
        <v>0</v>
      </c>
      <c r="CU266" s="2132">
        <f>IF(CU$221,_xll.ciqfunctions.udf.CIQ($G266, "IQ_SHARESOUTSTANDING", CU$222),"--")</f>
        <v>0</v>
      </c>
      <c r="CV266" s="2132">
        <f>IF(CV$221,_xll.ciqfunctions.udf.CIQ($G266, "IQ_SHARESOUTSTANDING", CV$222),"--")</f>
        <v>0</v>
      </c>
      <c r="CW266" s="2132">
        <f>IF(CW$221,_xll.ciqfunctions.udf.CIQ($G266, "IQ_SHARESOUTSTANDING", CW$222),"--")</f>
        <v>0</v>
      </c>
      <c r="CX266" s="2132">
        <f>IF(CX$221,_xll.ciqfunctions.udf.CIQ($G266, "IQ_SHARESOUTSTANDING", CX$222),"--")</f>
        <v>0</v>
      </c>
      <c r="CY266" s="2132">
        <f>IF(CY$221,_xll.ciqfunctions.udf.CIQ($G266, "IQ_SHARESOUTSTANDING", CY$222),"--")</f>
        <v>0</v>
      </c>
      <c r="CZ266" s="2132">
        <f>IF(CZ$221,_xll.ciqfunctions.udf.CIQ($G266, "IQ_SHARESOUTSTANDING", CZ$222),"--")</f>
        <v>0</v>
      </c>
      <c r="DA266" s="2132">
        <f>IF(DA$221,_xll.ciqfunctions.udf.CIQ($G266, "IQ_SHARESOUTSTANDING", DA$222),"--")</f>
        <v>0</v>
      </c>
      <c r="DB266" s="2132">
        <f>IF(DB$221,_xll.ciqfunctions.udf.CIQ($G266, "IQ_SHARESOUTSTANDING", DB$222),"--")</f>
        <v>0</v>
      </c>
      <c r="DC266" s="2132">
        <f>IF(DC$221,_xll.ciqfunctions.udf.CIQ($G266, "IQ_SHARESOUTSTANDING", DC$222),"--")</f>
        <v>0</v>
      </c>
      <c r="DD266" s="2132">
        <f>IF(DD$221,_xll.ciqfunctions.udf.CIQ($G266, "IQ_SHARESOUTSTANDING", DD$222),"--")</f>
        <v>0</v>
      </c>
      <c r="DE266" s="2132">
        <f>IF(DE$221,_xll.ciqfunctions.udf.CIQ($G266, "IQ_SHARESOUTSTANDING", DE$222),"--")</f>
        <v>0</v>
      </c>
      <c r="DF266" s="2132">
        <f>IF(DF$221,_xll.ciqfunctions.udf.CIQ($G266, "IQ_SHARESOUTSTANDING", DF$222),"--")</f>
        <v>0</v>
      </c>
      <c r="DG266" s="2132">
        <f>IF(DG$221,_xll.ciqfunctions.udf.CIQ($G266, "IQ_SHARESOUTSTANDING", DG$222),"--")</f>
        <v>0</v>
      </c>
      <c r="DH266" s="2132">
        <f>IF(DH$221,_xll.ciqfunctions.udf.CIQ($G266, "IQ_SHARESOUTSTANDING", DH$222),"--")</f>
        <v>0</v>
      </c>
      <c r="DI266" s="2132">
        <f>IF(DI$221,_xll.ciqfunctions.udf.CIQ($G266, "IQ_SHARESOUTSTANDING", DI$222),"--")</f>
        <v>0</v>
      </c>
      <c r="DJ266" s="2132">
        <f>IF(DJ$221,_xll.ciqfunctions.udf.CIQ($G266, "IQ_SHARESOUTSTANDING", DJ$222),"--")</f>
        <v>0</v>
      </c>
      <c r="DK266" s="2132">
        <f>IF(DK$221,_xll.ciqfunctions.udf.CIQ($G266, "IQ_SHARESOUTSTANDING", DK$222),"--")</f>
        <v>0</v>
      </c>
      <c r="DL266" s="2132">
        <f>IF(DL$221,_xll.ciqfunctions.udf.CIQ($G266, "IQ_SHARESOUTSTANDING", DL$222),"--")</f>
        <v>0</v>
      </c>
      <c r="DM266" s="2132">
        <f>IF(DM$221,_xll.ciqfunctions.udf.CIQ($G266, "IQ_SHARESOUTSTANDING", DM$222),"--")</f>
        <v>0</v>
      </c>
      <c r="DN266" s="2132">
        <f>IF(DN$221,_xll.ciqfunctions.udf.CIQ($G266, "IQ_SHARESOUTSTANDING", DN$222),"--")</f>
        <v>0</v>
      </c>
      <c r="DO266" s="2132">
        <f>IF(DO$221,_xll.ciqfunctions.udf.CIQ($G266, "IQ_SHARESOUTSTANDING", DO$222),"--")</f>
        <v>0</v>
      </c>
      <c r="DP266" s="2132">
        <f>IF(DP$221,_xll.ciqfunctions.udf.CIQ($G266, "IQ_SHARESOUTSTANDING", DP$222),"--")</f>
        <v>0</v>
      </c>
      <c r="DQ266" s="2132">
        <f>IF(DQ$221,_xll.ciqfunctions.udf.CIQ($G266, "IQ_SHARESOUTSTANDING", DQ$222),"--")</f>
        <v>0</v>
      </c>
      <c r="DR266" s="2132">
        <f>IF(DR$221,_xll.ciqfunctions.udf.CIQ($G266, "IQ_SHARESOUTSTANDING", DR$222),"--")</f>
        <v>0</v>
      </c>
      <c r="DS266" s="2132">
        <f>IF(DS$221,_xll.ciqfunctions.udf.CIQ($G266, "IQ_SHARESOUTSTANDING", DS$222),"--")</f>
        <v>0</v>
      </c>
      <c r="DT266" s="2132">
        <f>IF(DT$221,_xll.ciqfunctions.udf.CIQ($G266, "IQ_SHARESOUTSTANDING", DT$222),"--")</f>
        <v>0</v>
      </c>
      <c r="DU266" s="2132">
        <f>IF(DU$221,_xll.ciqfunctions.udf.CIQ($G266, "IQ_SHARESOUTSTANDING", DU$222),"--")</f>
        <v>0</v>
      </c>
      <c r="DV266" s="2132">
        <f>IF(DV$221,_xll.ciqfunctions.udf.CIQ($G266, "IQ_SHARESOUTSTANDING", DV$222),"--")</f>
        <v>0</v>
      </c>
      <c r="DW266" s="2132">
        <f>IF(DW$221,_xll.ciqfunctions.udf.CIQ($G266, "IQ_SHARESOUTSTANDING", DW$222),"--")</f>
        <v>0</v>
      </c>
      <c r="DX266" s="2132">
        <f>IF(DX$221,_xll.ciqfunctions.udf.CIQ($G266, "IQ_SHARESOUTSTANDING", DX$222),"--")</f>
        <v>0</v>
      </c>
      <c r="DY266" s="2132">
        <f>IF(DY$221,_xll.ciqfunctions.udf.CIQ($G266, "IQ_SHARESOUTSTANDING", DY$222),"--")</f>
        <v>0</v>
      </c>
      <c r="DZ266" s="2132">
        <f>IF(DZ$221,_xll.ciqfunctions.udf.CIQ($G266, "IQ_SHARESOUTSTANDING", DZ$222),"--")</f>
        <v>0</v>
      </c>
      <c r="EA266" s="2132">
        <f>IF(EA$221,_xll.ciqfunctions.udf.CIQ($G266, "IQ_SHARESOUTSTANDING", EA$222),"--")</f>
        <v>0</v>
      </c>
      <c r="EB266" s="2132">
        <f>IF(EB$221,_xll.ciqfunctions.udf.CIQ($G266, "IQ_SHARESOUTSTANDING", EB$222),"--")</f>
        <v>0</v>
      </c>
      <c r="EC266" s="2132">
        <f>IF(EC$221,_xll.ciqfunctions.udf.CIQ($G266, "IQ_SHARESOUTSTANDING", EC$222),"--")</f>
        <v>0</v>
      </c>
      <c r="ED266" s="2132">
        <f>IF(ED$221,_xll.ciqfunctions.udf.CIQ($G266, "IQ_SHARESOUTSTANDING", ED$222),"--")</f>
        <v>0</v>
      </c>
      <c r="EE266" s="2132">
        <f>IF(EE$221,_xll.ciqfunctions.udf.CIQ($G266, "IQ_SHARESOUTSTANDING", EE$222),"--")</f>
        <v>0</v>
      </c>
      <c r="EF266" s="2132">
        <f>IF(EF$221,_xll.ciqfunctions.udf.CIQ($G266, "IQ_SHARESOUTSTANDING", EF$222),"--")</f>
        <v>0</v>
      </c>
      <c r="EG266" s="2132">
        <f>IF(EG$221,_xll.ciqfunctions.udf.CIQ($G266, "IQ_SHARESOUTSTANDING", EG$222),"--")</f>
        <v>0</v>
      </c>
      <c r="EH266" s="2132">
        <f>IF(EH$221,_xll.ciqfunctions.udf.CIQ($G266, "IQ_SHARESOUTSTANDING", EH$222),"--")</f>
        <v>0</v>
      </c>
      <c r="EI266" s="2132">
        <f>IF(EI$221,_xll.ciqfunctions.udf.CIQ($G266, "IQ_SHARESOUTSTANDING", EI$222),"--")</f>
        <v>0</v>
      </c>
      <c r="EJ266" s="2132">
        <f>IF(EJ$221,_xll.ciqfunctions.udf.CIQ($G266, "IQ_SHARESOUTSTANDING", EJ$222),"--")</f>
        <v>0</v>
      </c>
      <c r="EK266" s="2132">
        <f>IF(EK$221,_xll.ciqfunctions.udf.CIQ($G266, "IQ_SHARESOUTSTANDING", EK$222),"--")</f>
        <v>0</v>
      </c>
      <c r="EL266" s="2132">
        <f>IF(EL$221,_xll.ciqfunctions.udf.CIQ($G266, "IQ_SHARESOUTSTANDING", EL$222),"--")</f>
        <v>0</v>
      </c>
      <c r="EM266" s="2132">
        <f>IF(EM$221,_xll.ciqfunctions.udf.CIQ($G266, "IQ_SHARESOUTSTANDING", EM$222),"--")</f>
        <v>0</v>
      </c>
      <c r="EN266" s="2132">
        <f>IF(EN$221,_xll.ciqfunctions.udf.CIQ($G266, "IQ_SHARESOUTSTANDING", EN$222),"--")</f>
        <v>0</v>
      </c>
      <c r="EO266" s="2132">
        <f>IF(EO$221,_xll.ciqfunctions.udf.CIQ($G266, "IQ_SHARESOUTSTANDING", EO$222),"--")</f>
        <v>0</v>
      </c>
      <c r="EP266" s="2132">
        <f>IF(EP$221,_xll.ciqfunctions.udf.CIQ($G266, "IQ_SHARESOUTSTANDING", EP$222),"--")</f>
        <v>0</v>
      </c>
      <c r="EQ266" s="2132">
        <f>IF(EQ$221,_xll.ciqfunctions.udf.CIQ($G266, "IQ_SHARESOUTSTANDING", EQ$222),"--")</f>
        <v>0</v>
      </c>
      <c r="ER266" s="2132">
        <f>IF(ER$221,_xll.ciqfunctions.udf.CIQ($G266, "IQ_SHARESOUTSTANDING", ER$222),"--")</f>
        <v>0</v>
      </c>
      <c r="ES266" s="2132">
        <f>IF(ES$221,_xll.ciqfunctions.udf.CIQ($G266, "IQ_SHARESOUTSTANDING", ES$222),"--")</f>
        <v>0</v>
      </c>
      <c r="ET266" s="2132">
        <f>IF(ET$221,_xll.ciqfunctions.udf.CIQ($G266, "IQ_SHARESOUTSTANDING", ET$222),"--")</f>
        <v>0</v>
      </c>
      <c r="EU266" s="2132">
        <f>IF(EU$221,_xll.ciqfunctions.udf.CIQ($G266, "IQ_SHARESOUTSTANDING", EU$222),"--")</f>
        <v>0</v>
      </c>
      <c r="EV266" s="2132">
        <f>IF(EV$221,_xll.ciqfunctions.udf.CIQ($G266, "IQ_SHARESOUTSTANDING", EV$222),"--")</f>
        <v>0</v>
      </c>
      <c r="EW266" s="2132">
        <f>IF(EW$221,_xll.ciqfunctions.udf.CIQ($G266, "IQ_SHARESOUTSTANDING", EW$222),"--")</f>
        <v>0</v>
      </c>
      <c r="EX266" s="2132">
        <f>IF(EX$221,_xll.ciqfunctions.udf.CIQ($G266, "IQ_SHARESOUTSTANDING", EX$222),"--")</f>
        <v>0</v>
      </c>
      <c r="EY266" s="2132">
        <f>IF(EY$221,_xll.ciqfunctions.udf.CIQ($G266, "IQ_SHARESOUTSTANDING", EY$222),"--")</f>
        <v>0</v>
      </c>
      <c r="EZ266" s="2132">
        <f>IF(EZ$221,_xll.ciqfunctions.udf.CIQ($G266, "IQ_SHARESOUTSTANDING", EZ$222),"--")</f>
        <v>0</v>
      </c>
      <c r="FA266" s="2132">
        <f>IF(FA$221,_xll.ciqfunctions.udf.CIQ($G266, "IQ_SHARESOUTSTANDING", FA$222),"--")</f>
        <v>0</v>
      </c>
      <c r="FB266" s="2132">
        <f>IF(FB$221,_xll.ciqfunctions.udf.CIQ($G266, "IQ_SHARESOUTSTANDING", FB$222),"--")</f>
        <v>0</v>
      </c>
      <c r="FC266" s="2132">
        <f>IF(FC$221,_xll.ciqfunctions.udf.CIQ($G266, "IQ_SHARESOUTSTANDING", FC$222),"--")</f>
        <v>0</v>
      </c>
      <c r="FD266" s="2132">
        <f>IF(FD$221,_xll.ciqfunctions.udf.CIQ($G266, "IQ_SHARESOUTSTANDING", FD$222),"--")</f>
        <v>0</v>
      </c>
      <c r="FE266" s="2132">
        <f>IF(FE$221,_xll.ciqfunctions.udf.CIQ($G266, "IQ_SHARESOUTSTANDING", FE$222),"--")</f>
        <v>0</v>
      </c>
      <c r="FF266" s="2132">
        <f>IF(FF$221,_xll.ciqfunctions.udf.CIQ($G266, "IQ_SHARESOUTSTANDING", FF$222),"--")</f>
        <v>0</v>
      </c>
      <c r="FG266" s="2132">
        <f>IF(FG$221,_xll.ciqfunctions.udf.CIQ($G266, "IQ_SHARESOUTSTANDING", FG$222),"--")</f>
        <v>0</v>
      </c>
      <c r="FH266" s="2132">
        <f>IF(FH$221,_xll.ciqfunctions.udf.CIQ($G266, "IQ_SHARESOUTSTANDING", FH$222),"--")</f>
        <v>0</v>
      </c>
      <c r="FI266" s="2132">
        <f>IF(FI$221,_xll.ciqfunctions.udf.CIQ($G266, "IQ_SHARESOUTSTANDING", FI$222),"--")</f>
        <v>0</v>
      </c>
      <c r="FJ266" s="2132">
        <f>IF(FJ$221,_xll.ciqfunctions.udf.CIQ($G266, "IQ_SHARESOUTSTANDING", FJ$222),"--")</f>
        <v>0</v>
      </c>
      <c r="FK266" s="2132">
        <f>IF(FK$221,_xll.ciqfunctions.udf.CIQ($G266, "IQ_SHARESOUTSTANDING", FK$222),"--")</f>
        <v>0</v>
      </c>
      <c r="FL266" s="2132">
        <f>IF(FL$221,_xll.ciqfunctions.udf.CIQ($G266, "IQ_SHARESOUTSTANDING", FL$222),"--")</f>
        <v>0</v>
      </c>
      <c r="FM266" s="2132">
        <f>IF(FM$221,_xll.ciqfunctions.udf.CIQ($G266, "IQ_SHARESOUTSTANDING", FM$222),"--")</f>
        <v>0</v>
      </c>
      <c r="FN266" s="2132">
        <f>IF(FN$221,_xll.ciqfunctions.udf.CIQ($G266, "IQ_SHARESOUTSTANDING", FN$222),"--")</f>
        <v>0</v>
      </c>
      <c r="FO266" s="2132">
        <f>IF(FO$221,_xll.ciqfunctions.udf.CIQ($G266, "IQ_SHARESOUTSTANDING", FO$222),"--")</f>
        <v>0</v>
      </c>
      <c r="FP266" s="2132">
        <f>IF(FP$221,_xll.ciqfunctions.udf.CIQ($G266, "IQ_SHARESOUTSTANDING", FP$222),"--")</f>
        <v>0</v>
      </c>
      <c r="FQ266" s="2132">
        <f>IF(FQ$221,_xll.ciqfunctions.udf.CIQ($G266, "IQ_SHARESOUTSTANDING", FQ$222),"--")</f>
        <v>0</v>
      </c>
      <c r="FR266" s="2132">
        <f>IF(FR$221,_xll.ciqfunctions.udf.CIQ($G266, "IQ_SHARESOUTSTANDING", FR$222),"--")</f>
        <v>0</v>
      </c>
      <c r="FS266" s="2132">
        <f>IF(FS$221,_xll.ciqfunctions.udf.CIQ($G266, "IQ_SHARESOUTSTANDING", FS$222),"--")</f>
        <v>0</v>
      </c>
      <c r="FT266" s="2132">
        <f>IF(FT$221,_xll.ciqfunctions.udf.CIQ($G266, "IQ_SHARESOUTSTANDING", FT$222),"--")</f>
        <v>0</v>
      </c>
      <c r="FU266" s="2132">
        <f>IF(FU$221,_xll.ciqfunctions.udf.CIQ($G266, "IQ_SHARESOUTSTANDING", FU$222),"--")</f>
        <v>0</v>
      </c>
      <c r="FV266" s="2132">
        <f>IF(FV$221,_xll.ciqfunctions.udf.CIQ($G266, "IQ_SHARESOUTSTANDING", FV$222),"--")</f>
        <v>0</v>
      </c>
      <c r="FW266" s="2132">
        <f>IF(FW$221,_xll.ciqfunctions.udf.CIQ($G266, "IQ_SHARESOUTSTANDING", FW$222),"--")</f>
        <v>0</v>
      </c>
      <c r="FX266" s="2132">
        <f>IF(FX$221,_xll.ciqfunctions.udf.CIQ($G266, "IQ_SHARESOUTSTANDING", FX$222),"--")</f>
        <v>0</v>
      </c>
      <c r="FY266" s="2132">
        <f>IF(FY$221,_xll.ciqfunctions.udf.CIQ($G266, "IQ_SHARESOUTSTANDING", FY$222),"--")</f>
        <v>0</v>
      </c>
      <c r="FZ266" s="2132">
        <f>IF(FZ$221,_xll.ciqfunctions.udf.CIQ($G266, "IQ_SHARESOUTSTANDING", FZ$222),"--")</f>
        <v>0</v>
      </c>
      <c r="GA266" s="2132">
        <f>IF(GA$221,_xll.ciqfunctions.udf.CIQ($G266, "IQ_SHARESOUTSTANDING", GA$222),"--")</f>
        <v>0</v>
      </c>
      <c r="GB266" s="2132">
        <f>IF(GB$221,_xll.ciqfunctions.udf.CIQ($G266, "IQ_SHARESOUTSTANDING", GB$222),"--")</f>
        <v>0</v>
      </c>
      <c r="GC266" s="2132">
        <f>IF(GC$221,_xll.ciqfunctions.udf.CIQ($G266, "IQ_SHARESOUTSTANDING", GC$222),"--")</f>
        <v>0</v>
      </c>
      <c r="GD266" s="2132">
        <f>IF(GD$221,_xll.ciqfunctions.udf.CIQ($G266, "IQ_SHARESOUTSTANDING", GD$222),"--")</f>
        <v>0</v>
      </c>
      <c r="GE266" s="2132">
        <f>IF(GE$221,_xll.ciqfunctions.udf.CIQ($G266, "IQ_SHARESOUTSTANDING", GE$222),"--")</f>
        <v>0</v>
      </c>
      <c r="GF266" s="2132">
        <f>IF(GF$221,_xll.ciqfunctions.udf.CIQ($G266, "IQ_SHARESOUTSTANDING", GF$222),"--")</f>
        <v>0</v>
      </c>
      <c r="GG266" s="2132">
        <f>IF(GG$221,_xll.ciqfunctions.udf.CIQ($G266, "IQ_SHARESOUTSTANDING", GG$222),"--")</f>
        <v>0</v>
      </c>
      <c r="GH266" s="2132">
        <f>IF(GH$221,_xll.ciqfunctions.udf.CIQ($G266, "IQ_SHARESOUTSTANDING", GH$222),"--")</f>
        <v>0</v>
      </c>
      <c r="GI266" s="2132">
        <f>IF(GI$221,_xll.ciqfunctions.udf.CIQ($G266, "IQ_SHARESOUTSTANDING", GI$222),"--")</f>
        <v>0</v>
      </c>
      <c r="GJ266" s="2132">
        <f>IF(GJ$221,_xll.ciqfunctions.udf.CIQ($G266, "IQ_SHARESOUTSTANDING", GJ$222),"--")</f>
        <v>0</v>
      </c>
      <c r="GK266" s="2132">
        <f>IF(GK$221,_xll.ciqfunctions.udf.CIQ($G266, "IQ_SHARESOUTSTANDING", GK$222),"--")</f>
        <v>0</v>
      </c>
      <c r="GL266" s="2132">
        <f>IF(GL$221,_xll.ciqfunctions.udf.CIQ($G266, "IQ_SHARESOUTSTANDING", GL$222),"--")</f>
        <v>0</v>
      </c>
      <c r="GM266" s="2132">
        <f>IF(GM$221,_xll.ciqfunctions.udf.CIQ($G266, "IQ_SHARESOUTSTANDING", GM$222),"--")</f>
        <v>0</v>
      </c>
      <c r="GN266" s="2132">
        <f>IF(GN$221,_xll.ciqfunctions.udf.CIQ($G266, "IQ_SHARESOUTSTANDING", GN$222),"--")</f>
        <v>0</v>
      </c>
      <c r="GO266" s="2132">
        <f>IF(GO$221,_xll.ciqfunctions.udf.CIQ($G266, "IQ_SHARESOUTSTANDING", GO$222),"--")</f>
        <v>0</v>
      </c>
      <c r="GP266" s="2132">
        <f>IF(GP$221,_xll.ciqfunctions.udf.CIQ($G266, "IQ_SHARESOUTSTANDING", GP$222),"--")</f>
        <v>0</v>
      </c>
      <c r="GQ266" s="2132">
        <f>IF(GQ$221,_xll.ciqfunctions.udf.CIQ($G266, "IQ_SHARESOUTSTANDING", GQ$222),"--")</f>
        <v>0</v>
      </c>
      <c r="GR266" s="2132">
        <f>IF(GR$221,_xll.ciqfunctions.udf.CIQ($G266, "IQ_SHARESOUTSTANDING", GR$222),"--")</f>
        <v>0</v>
      </c>
      <c r="GS266" s="2132">
        <f>IF(GS$221,_xll.ciqfunctions.udf.CIQ($G266, "IQ_SHARESOUTSTANDING", GS$222),"--")</f>
        <v>0</v>
      </c>
      <c r="GT266" s="2132">
        <f>IF(GT$221,_xll.ciqfunctions.udf.CIQ($G266, "IQ_SHARESOUTSTANDING", GT$222),"--")</f>
        <v>0</v>
      </c>
      <c r="GU266" s="2132">
        <f>IF(GU$221,_xll.ciqfunctions.udf.CIQ($G266, "IQ_SHARESOUTSTANDING", GU$222),"--")</f>
        <v>0</v>
      </c>
      <c r="GV266" s="2132">
        <f>IF(GV$221,_xll.ciqfunctions.udf.CIQ($G266, "IQ_SHARESOUTSTANDING", GV$222),"--")</f>
        <v>0</v>
      </c>
      <c r="GW266" s="2132">
        <f>IF(GW$221,_xll.ciqfunctions.udf.CIQ($G266, "IQ_SHARESOUTSTANDING", GW$222),"--")</f>
        <v>0</v>
      </c>
      <c r="GX266" s="2132">
        <f>IF(GX$221,_xll.ciqfunctions.udf.CIQ($G266, "IQ_SHARESOUTSTANDING", GX$222),"--")</f>
        <v>0</v>
      </c>
      <c r="GY266" s="2132">
        <f>IF(GY$221,_xll.ciqfunctions.udf.CIQ($G266, "IQ_SHARESOUTSTANDING", GY$222),"--")</f>
        <v>0</v>
      </c>
      <c r="GZ266" s="2132">
        <f>IF(GZ$221,_xll.ciqfunctions.udf.CIQ($G266, "IQ_SHARESOUTSTANDING", GZ$222),"--")</f>
        <v>0</v>
      </c>
      <c r="HA266" s="2132">
        <f>IF(HA$221,_xll.ciqfunctions.udf.CIQ($G266, "IQ_SHARESOUTSTANDING", HA$222),"--")</f>
        <v>0</v>
      </c>
      <c r="HB266" s="2132">
        <f>IF(HB$221,_xll.ciqfunctions.udf.CIQ($G266, "IQ_SHARESOUTSTANDING", HB$222),"--")</f>
        <v>0</v>
      </c>
      <c r="HC266" s="2132">
        <f>IF(HC$221,_xll.ciqfunctions.udf.CIQ($G266, "IQ_SHARESOUTSTANDING", HC$222),"--")</f>
        <v>0</v>
      </c>
      <c r="HD266" s="2132">
        <f>IF(HD$221,_xll.ciqfunctions.udf.CIQ($G266, "IQ_SHARESOUTSTANDING", HD$222),"--")</f>
        <v>0</v>
      </c>
      <c r="HE266" s="2132">
        <f>IF(HE$221,_xll.ciqfunctions.udf.CIQ($G266, "IQ_SHARESOUTSTANDING", HE$222),"--")</f>
        <v>0</v>
      </c>
      <c r="HF266" s="2132">
        <f>IF(HF$221,_xll.ciqfunctions.udf.CIQ($G266, "IQ_SHARESOUTSTANDING", HF$222),"--")</f>
        <v>0</v>
      </c>
      <c r="HG266" s="2132">
        <f>IF(HG$221,_xll.ciqfunctions.udf.CIQ($G266, "IQ_SHARESOUTSTANDING", HG$222),"--")</f>
        <v>0</v>
      </c>
      <c r="HH266" s="2132">
        <f>IF(HH$221,_xll.ciqfunctions.udf.CIQ($G266, "IQ_SHARESOUTSTANDING", HH$222),"--")</f>
        <v>0</v>
      </c>
      <c r="HI266" s="2132">
        <f>IF(HI$221,_xll.ciqfunctions.udf.CIQ($G266, "IQ_SHARESOUTSTANDING", HI$222),"--")</f>
        <v>0</v>
      </c>
      <c r="HJ266" s="2132">
        <f>IF(HJ$221,_xll.ciqfunctions.udf.CIQ($G266, "IQ_SHARESOUTSTANDING", HJ$222),"--")</f>
        <v>0</v>
      </c>
      <c r="HK266" s="2132">
        <f>IF(HK$221,_xll.ciqfunctions.udf.CIQ($G266, "IQ_SHARESOUTSTANDING", HK$222),"--")</f>
        <v>0</v>
      </c>
      <c r="HL266" s="2132">
        <f>IF(HL$221,_xll.ciqfunctions.udf.CIQ($G266, "IQ_SHARESOUTSTANDING", HL$222),"--")</f>
        <v>0</v>
      </c>
      <c r="HM266" s="2132">
        <f>IF(HM$221,_xll.ciqfunctions.udf.CIQ($G266, "IQ_SHARESOUTSTANDING", HM$222),"--")</f>
        <v>0</v>
      </c>
      <c r="HN266" s="2132">
        <f>IF(HN$221,_xll.ciqfunctions.udf.CIQ($G266, "IQ_SHARESOUTSTANDING", HN$222),"--")</f>
        <v>0</v>
      </c>
      <c r="HO266" s="2132">
        <f>IF(HO$221,_xll.ciqfunctions.udf.CIQ($G266, "IQ_SHARESOUTSTANDING", HO$222),"--")</f>
        <v>0</v>
      </c>
      <c r="HP266" s="2132">
        <f>IF(HP$221,_xll.ciqfunctions.udf.CIQ($G266, "IQ_SHARESOUTSTANDING", HP$222),"--")</f>
        <v>0</v>
      </c>
      <c r="HQ266" s="2132">
        <f>IF(HQ$221,_xll.ciqfunctions.udf.CIQ($G266, "IQ_SHARESOUTSTANDING", HQ$222),"--")</f>
        <v>0</v>
      </c>
      <c r="HR266" s="2132">
        <f>IF(HR$221,_xll.ciqfunctions.udf.CIQ($G266, "IQ_SHARESOUTSTANDING", HR$222),"--")</f>
        <v>0</v>
      </c>
      <c r="HS266" s="2132">
        <f>IF(HS$221,_xll.ciqfunctions.udf.CIQ($G266, "IQ_SHARESOUTSTANDING", HS$222),"--")</f>
        <v>0</v>
      </c>
      <c r="HT266" s="2132">
        <f>IF(HT$221,_xll.ciqfunctions.udf.CIQ($G266, "IQ_SHARESOUTSTANDING", HT$222),"--")</f>
        <v>0</v>
      </c>
      <c r="HU266" s="2132">
        <f>IF(HU$221,_xll.ciqfunctions.udf.CIQ($G266, "IQ_SHARESOUTSTANDING", HU$222),"--")</f>
        <v>0</v>
      </c>
      <c r="HV266" s="2132">
        <f>IF(HV$221,_xll.ciqfunctions.udf.CIQ($G266, "IQ_SHARESOUTSTANDING", HV$222),"--")</f>
        <v>0</v>
      </c>
      <c r="HW266" s="2132">
        <f>IF(HW$221,_xll.ciqfunctions.udf.CIQ($G266, "IQ_SHARESOUTSTANDING", HW$222),"--")</f>
        <v>0</v>
      </c>
      <c r="HX266" s="2132">
        <f>IF(HX$221,_xll.ciqfunctions.udf.CIQ($G266, "IQ_SHARESOUTSTANDING", HX$222),"--")</f>
        <v>0</v>
      </c>
      <c r="HY266" s="2132">
        <f>IF(HY$221,_xll.ciqfunctions.udf.CIQ($G266, "IQ_SHARESOUTSTANDING", HY$222),"--")</f>
        <v>0</v>
      </c>
      <c r="HZ266" s="2132">
        <f>IF(HZ$221,_xll.ciqfunctions.udf.CIQ($G266, "IQ_SHARESOUTSTANDING", HZ$222),"--")</f>
        <v>0</v>
      </c>
      <c r="IA266" s="2132">
        <f>IF(IA$221,_xll.ciqfunctions.udf.CIQ($G266, "IQ_SHARESOUTSTANDING", IA$222),"--")</f>
        <v>0</v>
      </c>
      <c r="IB266" s="2132">
        <f>IF(IB$221,_xll.ciqfunctions.udf.CIQ($G266, "IQ_SHARESOUTSTANDING", IB$222),"--")</f>
        <v>0</v>
      </c>
      <c r="IC266" s="2132">
        <f>IF(IC$221,_xll.ciqfunctions.udf.CIQ($G266, "IQ_SHARESOUTSTANDING", IC$222),"--")</f>
        <v>0</v>
      </c>
      <c r="ID266" s="2132">
        <f>IF(ID$221,_xll.ciqfunctions.udf.CIQ($G266, "IQ_SHARESOUTSTANDING", ID$222),"--")</f>
        <v>0</v>
      </c>
      <c r="IE266" s="2132">
        <f>IF(IE$221,_xll.ciqfunctions.udf.CIQ($G266, "IQ_SHARESOUTSTANDING", IE$222),"--")</f>
        <v>0</v>
      </c>
      <c r="IF266" s="2132">
        <f>IF(IF$221,_xll.ciqfunctions.udf.CIQ($G266, "IQ_SHARESOUTSTANDING", IF$222),"--")</f>
        <v>0</v>
      </c>
      <c r="IG266" s="2132">
        <f>IF(IG$221,_xll.ciqfunctions.udf.CIQ($G266, "IQ_SHARESOUTSTANDING", IG$222),"--")</f>
        <v>0</v>
      </c>
      <c r="IH266" s="2132">
        <f>IF(IH$221,_xll.ciqfunctions.udf.CIQ($G266, "IQ_SHARESOUTSTANDING", IH$222),"--")</f>
        <v>0</v>
      </c>
      <c r="II266" s="2132">
        <f>IF(II$221,_xll.ciqfunctions.udf.CIQ($G266, "IQ_SHARESOUTSTANDING", II$222),"--")</f>
        <v>0</v>
      </c>
      <c r="IJ266" s="2132">
        <f>IF(IJ$221,_xll.ciqfunctions.udf.CIQ($G266, "IQ_SHARESOUTSTANDING", IJ$222),"--")</f>
        <v>0</v>
      </c>
      <c r="IK266" s="2132">
        <f>IF(IK$221,_xll.ciqfunctions.udf.CIQ($G266, "IQ_SHARESOUTSTANDING", IK$222),"--")</f>
        <v>0</v>
      </c>
      <c r="IL266" s="2132">
        <f>IF(IL$221,_xll.ciqfunctions.udf.CIQ($G266, "IQ_SHARESOUTSTANDING", IL$222),"--")</f>
        <v>0</v>
      </c>
      <c r="IM266" s="2132">
        <f>IF(IM$221,_xll.ciqfunctions.udf.CIQ($G266, "IQ_SHARESOUTSTANDING", IM$222),"--")</f>
        <v>0</v>
      </c>
      <c r="IN266" s="2132">
        <f>IF(IN$221,_xll.ciqfunctions.udf.CIQ($G266, "IQ_SHARESOUTSTANDING", IN$222),"--")</f>
        <v>0</v>
      </c>
      <c r="IO266" s="2132">
        <f>IF(IO$221,_xll.ciqfunctions.udf.CIQ($G266, "IQ_SHARESOUTSTANDING", IO$222),"--")</f>
        <v>0</v>
      </c>
      <c r="IP266" s="2132">
        <f>IF(IP$221,_xll.ciqfunctions.udf.CIQ($G266, "IQ_SHARESOUTSTANDING", IP$222),"--")</f>
        <v>0</v>
      </c>
      <c r="IQ266" s="2132">
        <f>IF(IQ$221,_xll.ciqfunctions.udf.CIQ($G266, "IQ_SHARESOUTSTANDING", IQ$222),"--")</f>
        <v>0</v>
      </c>
      <c r="IR266" s="2132">
        <f>IF(IR$221,_xll.ciqfunctions.udf.CIQ($G266, "IQ_SHARESOUTSTANDING", IR$222),"--")</f>
        <v>0</v>
      </c>
      <c r="IS266" s="2132">
        <f>IF(IS$221,_xll.ciqfunctions.udf.CIQ($G266, "IQ_SHARESOUTSTANDING", IS$222),"--")</f>
        <v>0</v>
      </c>
      <c r="IT266" s="2132">
        <f>IF(IT$221,_xll.ciqfunctions.udf.CIQ($G266, "IQ_SHARESOUTSTANDING", IT$222),"--")</f>
        <v>0</v>
      </c>
      <c r="IU266" s="2132">
        <f>IF(IU$221,_xll.ciqfunctions.udf.CIQ($G266, "IQ_SHARESOUTSTANDING", IU$222),"--")</f>
        <v>0</v>
      </c>
      <c r="IV266" s="2132">
        <f>IF(IV$221,_xll.ciqfunctions.udf.CIQ($G266, "IQ_SHARESOUTSTANDING", IV$222),"--")</f>
        <v>0</v>
      </c>
      <c r="IW266" s="2132">
        <f>IF(IW$221,_xll.ciqfunctions.udf.CIQ($G266, "IQ_SHARESOUTSTANDING", IW$222),"--")</f>
        <v>0</v>
      </c>
      <c r="IX266" s="2132">
        <f>IF(IX$221,_xll.ciqfunctions.udf.CIQ($G266, "IQ_SHARESOUTSTANDING", IX$222),"--")</f>
        <v>0</v>
      </c>
      <c r="IY266" s="2132">
        <f>IF(IY$221,_xll.ciqfunctions.udf.CIQ($G266, "IQ_SHARESOUTSTANDING", IY$222),"--")</f>
        <v>0</v>
      </c>
      <c r="IZ266" s="2132">
        <f>IF(IZ$221,_xll.ciqfunctions.udf.CIQ($G266, "IQ_SHARESOUTSTANDING", IZ$222),"--")</f>
        <v>0</v>
      </c>
      <c r="JA266" s="2132">
        <f>IF(JA$221,_xll.ciqfunctions.udf.CIQ($G266, "IQ_SHARESOUTSTANDING", JA$222),"--")</f>
        <v>0</v>
      </c>
      <c r="JB266" s="2132">
        <f>IF(JB$221,_xll.ciqfunctions.udf.CIQ($G266, "IQ_SHARESOUTSTANDING", JB$222),"--")</f>
        <v>0</v>
      </c>
      <c r="JC266" s="2132">
        <f>IF(JC$221,_xll.ciqfunctions.udf.CIQ($G266, "IQ_SHARESOUTSTANDING", JC$222),"--")</f>
        <v>0</v>
      </c>
      <c r="JD266" s="2132">
        <f>IF(JD$221,_xll.ciqfunctions.udf.CIQ($G266, "IQ_SHARESOUTSTANDING", JD$222),"--")</f>
        <v>0</v>
      </c>
      <c r="JE266" s="2132">
        <f>IF(JE$221,_xll.ciqfunctions.udf.CIQ($G266, "IQ_SHARESOUTSTANDING", JE$222),"--")</f>
        <v>0</v>
      </c>
      <c r="JF266" s="2132">
        <f>IF(JF$221,_xll.ciqfunctions.udf.CIQ($G266, "IQ_SHARESOUTSTANDING", JF$222),"--")</f>
        <v>0</v>
      </c>
      <c r="JG266" s="2132">
        <f>IF(JG$221,_xll.ciqfunctions.udf.CIQ($G266, "IQ_SHARESOUTSTANDING", JG$222),"--")</f>
        <v>0</v>
      </c>
      <c r="JH266" s="2132">
        <f>IF(JH$221,_xll.ciqfunctions.udf.CIQ($G266, "IQ_SHARESOUTSTANDING", JH$222),"--")</f>
        <v>0</v>
      </c>
      <c r="JI266" s="2132">
        <f>IF(JI$221,_xll.ciqfunctions.udf.CIQ($G266, "IQ_SHARESOUTSTANDING", JI$222),"--")</f>
        <v>0</v>
      </c>
      <c r="JJ266" s="2132">
        <f>IF(JJ$221,_xll.ciqfunctions.udf.CIQ($G266, "IQ_SHARESOUTSTANDING", JJ$222),"--")</f>
        <v>0</v>
      </c>
      <c r="JK266" s="2132">
        <f>IF(JK$221,_xll.ciqfunctions.udf.CIQ($G266, "IQ_SHARESOUTSTANDING", JK$222),"--")</f>
        <v>0</v>
      </c>
      <c r="JL266" s="2132">
        <f>IF(JL$221,_xll.ciqfunctions.udf.CIQ($G266, "IQ_SHARESOUTSTANDING", JL$222),"--")</f>
        <v>0</v>
      </c>
      <c r="JM266" s="2132">
        <f>IF(JM$221,_xll.ciqfunctions.udf.CIQ($G266, "IQ_SHARESOUTSTANDING", JM$222),"--")</f>
        <v>0</v>
      </c>
      <c r="JN266" s="2132">
        <f>IF(JN$221,_xll.ciqfunctions.udf.CIQ($G266, "IQ_SHARESOUTSTANDING", JN$222),"--")</f>
        <v>0</v>
      </c>
      <c r="JO266" s="2132">
        <f>IF(JO$221,_xll.ciqfunctions.udf.CIQ($G266, "IQ_SHARESOUTSTANDING", JO$222),"--")</f>
        <v>0</v>
      </c>
      <c r="JP266" s="2132">
        <f>IF(JP$221,_xll.ciqfunctions.udf.CIQ($G266, "IQ_SHARESOUTSTANDING", JP$222),"--")</f>
        <v>0</v>
      </c>
      <c r="JQ266" s="2132">
        <f>IF(JQ$221,_xll.ciqfunctions.udf.CIQ($G266, "IQ_SHARESOUTSTANDING", JQ$222),"--")</f>
        <v>0</v>
      </c>
      <c r="JR266" s="2132">
        <f>IF(JR$221,_xll.ciqfunctions.udf.CIQ($G266, "IQ_SHARESOUTSTANDING", JR$222),"--")</f>
        <v>0</v>
      </c>
      <c r="JS266" s="2132">
        <f>IF(JS$221,_xll.ciqfunctions.udf.CIQ($G266, "IQ_SHARESOUTSTANDING", JS$222),"--")</f>
        <v>0</v>
      </c>
      <c r="JT266" s="2132">
        <f>IF(JT$221,_xll.ciqfunctions.udf.CIQ($G266, "IQ_SHARESOUTSTANDING", JT$222),"--")</f>
        <v>0</v>
      </c>
      <c r="JU266" s="2132">
        <f>IF(JU$221,_xll.ciqfunctions.udf.CIQ($G266, "IQ_SHARESOUTSTANDING", JU$222),"--")</f>
        <v>0</v>
      </c>
      <c r="JV266" s="2132">
        <f>IF(JV$221,_xll.ciqfunctions.udf.CIQ($G266, "IQ_SHARESOUTSTANDING", JV$222),"--")</f>
        <v>0</v>
      </c>
      <c r="JW266" s="2132" t="str">
        <f>IF(JW$221,_xll.ciqfunctions.udf.CIQ($G266, "IQ_SHARESOUTSTANDING", JW$222),"--")</f>
        <v>--</v>
      </c>
      <c r="JX266" s="2132" t="str">
        <f>IF(JX$221,_xll.ciqfunctions.udf.CIQ($G266, "IQ_SHARESOUTSTANDING", JX$222),"--")</f>
        <v>--</v>
      </c>
      <c r="JY266" s="2132" t="str">
        <f>IF(JY$221,_xll.ciqfunctions.udf.CIQ($G266, "IQ_SHARESOUTSTANDING", JY$222),"--")</f>
        <v>--</v>
      </c>
      <c r="JZ266" s="2132" t="str">
        <f>IF(JZ$221,_xll.ciqfunctions.udf.CIQ($G266, "IQ_SHARESOUTSTANDING", JZ$222),"--")</f>
        <v>--</v>
      </c>
      <c r="KA266" s="2132" t="str">
        <f>IF(KA$221,_xll.ciqfunctions.udf.CIQ($G266, "IQ_SHARESOUTSTANDING", KA$222),"--")</f>
        <v>--</v>
      </c>
      <c r="KB266" s="2132" t="str">
        <f>IF(KB$221,_xll.ciqfunctions.udf.CIQ($G266, "IQ_SHARESOUTSTANDING", KB$222),"--")</f>
        <v>--</v>
      </c>
    </row>
    <row r="267" spans="1:288" s="89" customFormat="1" ht="13.9">
      <c r="A267" s="269" t="str">
        <f t="shared" si="49"/>
        <v>n</v>
      </c>
      <c r="B267" s="2060"/>
      <c r="D267" s="801"/>
      <c r="E267" s="1505">
        <v>13</v>
      </c>
      <c r="F267" s="21" t="str">
        <f>F$141</f>
        <v>--</v>
      </c>
      <c r="G267" s="1441">
        <f>G$141</f>
        <v>0</v>
      </c>
      <c r="H267" s="1441" t="str">
        <f>H$141</f>
        <v>--</v>
      </c>
      <c r="I267" s="314" t="s">
        <v>783</v>
      </c>
      <c r="J267" s="314"/>
      <c r="K267" s="2301" t="str">
        <f>IF(OR(K204=0,$G267=0),"--",IFERROR(_xll.ciqfunctions.udf.CIQ($G267,$I267,K112,Valuation_Date_GC,ReportType,DataMode,$H267,FXMode)*Scale+K236*Pension10,"--"))</f>
        <v>--</v>
      </c>
      <c r="L267" s="2301" t="str">
        <f>IF(OR(L204=0,$G267=0),"--",IFERROR(_xll.ciqfunctions.udf.CIQ($G267,$I267,L112,Valuation_Date_GC,ReportType,DataMode,$H267,FXMode)*Scale+L236*Pension10,"--"))</f>
        <v>--</v>
      </c>
      <c r="M267" s="2301" t="str">
        <f>IF(OR(M204=0,$G267=0),"--",IFERROR(_xll.ciqfunctions.udf.CIQ($G267,$I267,M112,Valuation_Date_GC,ReportType,DataMode,$H267,FXMode)*Scale+M236*Pension10,"--"))</f>
        <v>--</v>
      </c>
      <c r="N267" s="2301" t="str">
        <f>IF(OR(N204=0,$G267=0),"--",IFERROR(_xll.ciqfunctions.udf.CIQ($G267,$I267,N112,Valuation_Date_GC,ReportType,DataMode,$H267,FXMode)*Scale+N236*Pension10,"--"))</f>
        <v>--</v>
      </c>
      <c r="O267" s="1471" t="str">
        <f>IF(OR(O204=0,$G267=0),"--",IFERROR(_xll.ciqfunctions.udf.CIQ($G267,$I267,O112,Valuation_Date_GC,ReportType,DataMode,$H267,FXMode)*Scale+O236*Pension10,"--"))</f>
        <v>--</v>
      </c>
      <c r="P267" s="2301" t="str">
        <f>IF(OR(P204=0,$G267=0),"--",IFERROR(_xll.ciqfunctions.udf.CIQ($G267,$I267,P112,Valuation_Date_GC,ReportType,DataMode,$H267,FXMode)*Scale+P236*Pension10,"--"))</f>
        <v>--</v>
      </c>
      <c r="R267" s="1466"/>
      <c r="T267" s="1779" t="s">
        <v>784</v>
      </c>
      <c r="U267" s="2132">
        <f>IF(U$221,_xll.ciqfunctions.udf.CIQ($G267, "IQ_SHARESOUTSTANDING", U$222),"--")</f>
        <v>0</v>
      </c>
      <c r="V267" s="2132">
        <f>IF(V$221,_xll.ciqfunctions.udf.CIQ($G267, "IQ_SHARESOUTSTANDING", V$222),"--")</f>
        <v>0</v>
      </c>
      <c r="W267" s="2132">
        <f>IF(W$221,_xll.ciqfunctions.udf.CIQ($G267, "IQ_SHARESOUTSTANDING", W$222),"--")</f>
        <v>0</v>
      </c>
      <c r="X267" s="2132">
        <f>IF(X$221,_xll.ciqfunctions.udf.CIQ($G267, "IQ_SHARESOUTSTANDING", X$222),"--")</f>
        <v>0</v>
      </c>
      <c r="Y267" s="2132">
        <f>IF(Y$221,_xll.ciqfunctions.udf.CIQ($G267, "IQ_SHARESOUTSTANDING", Y$222),"--")</f>
        <v>0</v>
      </c>
      <c r="Z267" s="2132">
        <f>IF(Z$221,_xll.ciqfunctions.udf.CIQ($G267, "IQ_SHARESOUTSTANDING", Z$222),"--")</f>
        <v>0</v>
      </c>
      <c r="AA267" s="2132">
        <f>IF(AA$221,_xll.ciqfunctions.udf.CIQ($G267, "IQ_SHARESOUTSTANDING", AA$222),"--")</f>
        <v>0</v>
      </c>
      <c r="AB267" s="2132">
        <f>IF(AB$221,_xll.ciqfunctions.udf.CIQ($G267, "IQ_SHARESOUTSTANDING", AB$222),"--")</f>
        <v>0</v>
      </c>
      <c r="AC267" s="2132">
        <f>IF(AC$221,_xll.ciqfunctions.udf.CIQ($G267, "IQ_SHARESOUTSTANDING", AC$222),"--")</f>
        <v>0</v>
      </c>
      <c r="AD267" s="2132">
        <f>IF(AD$221,_xll.ciqfunctions.udf.CIQ($G267, "IQ_SHARESOUTSTANDING", AD$222),"--")</f>
        <v>0</v>
      </c>
      <c r="AE267" s="2132">
        <f>IF(AE$221,_xll.ciqfunctions.udf.CIQ($G267, "IQ_SHARESOUTSTANDING", AE$222),"--")</f>
        <v>0</v>
      </c>
      <c r="AF267" s="2132">
        <f>IF(AF$221,_xll.ciqfunctions.udf.CIQ($G267, "IQ_SHARESOUTSTANDING", AF$222),"--")</f>
        <v>0</v>
      </c>
      <c r="AG267" s="2132">
        <f>IF(AG$221,_xll.ciqfunctions.udf.CIQ($G267, "IQ_SHARESOUTSTANDING", AG$222),"--")</f>
        <v>0</v>
      </c>
      <c r="AH267" s="2132">
        <f>IF(AH$221,_xll.ciqfunctions.udf.CIQ($G267, "IQ_SHARESOUTSTANDING", AH$222),"--")</f>
        <v>0</v>
      </c>
      <c r="AI267" s="2132">
        <f>IF(AI$221,_xll.ciqfunctions.udf.CIQ($G267, "IQ_SHARESOUTSTANDING", AI$222),"--")</f>
        <v>0</v>
      </c>
      <c r="AJ267" s="2132">
        <f>IF(AJ$221,_xll.ciqfunctions.udf.CIQ($G267, "IQ_SHARESOUTSTANDING", AJ$222),"--")</f>
        <v>0</v>
      </c>
      <c r="AK267" s="2132">
        <f>IF(AK$221,_xll.ciqfunctions.udf.CIQ($G267, "IQ_SHARESOUTSTANDING", AK$222),"--")</f>
        <v>0</v>
      </c>
      <c r="AL267" s="2132">
        <f>IF(AL$221,_xll.ciqfunctions.udf.CIQ($G267, "IQ_SHARESOUTSTANDING", AL$222),"--")</f>
        <v>0</v>
      </c>
      <c r="AM267" s="2132">
        <f>IF(AM$221,_xll.ciqfunctions.udf.CIQ($G267, "IQ_SHARESOUTSTANDING", AM$222),"--")</f>
        <v>0</v>
      </c>
      <c r="AN267" s="2132">
        <f>IF(AN$221,_xll.ciqfunctions.udf.CIQ($G267, "IQ_SHARESOUTSTANDING", AN$222),"--")</f>
        <v>0</v>
      </c>
      <c r="AO267" s="2132">
        <f>IF(AO$221,_xll.ciqfunctions.udf.CIQ($G267, "IQ_SHARESOUTSTANDING", AO$222),"--")</f>
        <v>0</v>
      </c>
      <c r="AP267" s="2132">
        <f>IF(AP$221,_xll.ciqfunctions.udf.CIQ($G267, "IQ_SHARESOUTSTANDING", AP$222),"--")</f>
        <v>0</v>
      </c>
      <c r="AQ267" s="2132">
        <f>IF(AQ$221,_xll.ciqfunctions.udf.CIQ($G267, "IQ_SHARESOUTSTANDING", AQ$222),"--")</f>
        <v>0</v>
      </c>
      <c r="AR267" s="2132">
        <f>IF(AR$221,_xll.ciqfunctions.udf.CIQ($G267, "IQ_SHARESOUTSTANDING", AR$222),"--")</f>
        <v>0</v>
      </c>
      <c r="AS267" s="2132">
        <f>IF(AS$221,_xll.ciqfunctions.udf.CIQ($G267, "IQ_SHARESOUTSTANDING", AS$222),"--")</f>
        <v>0</v>
      </c>
      <c r="AT267" s="2132">
        <f>IF(AT$221,_xll.ciqfunctions.udf.CIQ($G267, "IQ_SHARESOUTSTANDING", AT$222),"--")</f>
        <v>0</v>
      </c>
      <c r="AU267" s="2132">
        <f>IF(AU$221,_xll.ciqfunctions.udf.CIQ($G267, "IQ_SHARESOUTSTANDING", AU$222),"--")</f>
        <v>0</v>
      </c>
      <c r="AV267" s="2132">
        <f>IF(AV$221,_xll.ciqfunctions.udf.CIQ($G267, "IQ_SHARESOUTSTANDING", AV$222),"--")</f>
        <v>0</v>
      </c>
      <c r="AW267" s="2132">
        <f>IF(AW$221,_xll.ciqfunctions.udf.CIQ($G267, "IQ_SHARESOUTSTANDING", AW$222),"--")</f>
        <v>0</v>
      </c>
      <c r="AX267" s="2132">
        <f>IF(AX$221,_xll.ciqfunctions.udf.CIQ($G267, "IQ_SHARESOUTSTANDING", AX$222),"--")</f>
        <v>0</v>
      </c>
      <c r="AY267" s="2132">
        <f>IF(AY$221,_xll.ciqfunctions.udf.CIQ($G267, "IQ_SHARESOUTSTANDING", AY$222),"--")</f>
        <v>0</v>
      </c>
      <c r="AZ267" s="2132">
        <f>IF(AZ$221,_xll.ciqfunctions.udf.CIQ($G267, "IQ_SHARESOUTSTANDING", AZ$222),"--")</f>
        <v>0</v>
      </c>
      <c r="BA267" s="2132">
        <f>IF(BA$221,_xll.ciqfunctions.udf.CIQ($G267, "IQ_SHARESOUTSTANDING", BA$222),"--")</f>
        <v>0</v>
      </c>
      <c r="BB267" s="2132">
        <f>IF(BB$221,_xll.ciqfunctions.udf.CIQ($G267, "IQ_SHARESOUTSTANDING", BB$222),"--")</f>
        <v>0</v>
      </c>
      <c r="BC267" s="2132">
        <f>IF(BC$221,_xll.ciqfunctions.udf.CIQ($G267, "IQ_SHARESOUTSTANDING", BC$222),"--")</f>
        <v>0</v>
      </c>
      <c r="BD267" s="2132">
        <f>IF(BD$221,_xll.ciqfunctions.udf.CIQ($G267, "IQ_SHARESOUTSTANDING", BD$222),"--")</f>
        <v>0</v>
      </c>
      <c r="BE267" s="2132">
        <f>IF(BE$221,_xll.ciqfunctions.udf.CIQ($G267, "IQ_SHARESOUTSTANDING", BE$222),"--")</f>
        <v>0</v>
      </c>
      <c r="BF267" s="2132">
        <f>IF(BF$221,_xll.ciqfunctions.udf.CIQ($G267, "IQ_SHARESOUTSTANDING", BF$222),"--")</f>
        <v>0</v>
      </c>
      <c r="BG267" s="2132">
        <f>IF(BG$221,_xll.ciqfunctions.udf.CIQ($G267, "IQ_SHARESOUTSTANDING", BG$222),"--")</f>
        <v>0</v>
      </c>
      <c r="BH267" s="2132">
        <f>IF(BH$221,_xll.ciqfunctions.udf.CIQ($G267, "IQ_SHARESOUTSTANDING", BH$222),"--")</f>
        <v>0</v>
      </c>
      <c r="BI267" s="2132">
        <f>IF(BI$221,_xll.ciqfunctions.udf.CIQ($G267, "IQ_SHARESOUTSTANDING", BI$222),"--")</f>
        <v>0</v>
      </c>
      <c r="BJ267" s="2132">
        <f>IF(BJ$221,_xll.ciqfunctions.udf.CIQ($G267, "IQ_SHARESOUTSTANDING", BJ$222),"--")</f>
        <v>0</v>
      </c>
      <c r="BK267" s="2132">
        <f>IF(BK$221,_xll.ciqfunctions.udf.CIQ($G267, "IQ_SHARESOUTSTANDING", BK$222),"--")</f>
        <v>0</v>
      </c>
      <c r="BL267" s="2132">
        <f>IF(BL$221,_xll.ciqfunctions.udf.CIQ($G267, "IQ_SHARESOUTSTANDING", BL$222),"--")</f>
        <v>0</v>
      </c>
      <c r="BM267" s="2132">
        <f>IF(BM$221,_xll.ciqfunctions.udf.CIQ($G267, "IQ_SHARESOUTSTANDING", BM$222),"--")</f>
        <v>0</v>
      </c>
      <c r="BN267" s="2132">
        <f>IF(BN$221,_xll.ciqfunctions.udf.CIQ($G267, "IQ_SHARESOUTSTANDING", BN$222),"--")</f>
        <v>0</v>
      </c>
      <c r="BO267" s="2132">
        <f>IF(BO$221,_xll.ciqfunctions.udf.CIQ($G267, "IQ_SHARESOUTSTANDING", BO$222),"--")</f>
        <v>0</v>
      </c>
      <c r="BP267" s="2132">
        <f>IF(BP$221,_xll.ciqfunctions.udf.CIQ($G267, "IQ_SHARESOUTSTANDING", BP$222),"--")</f>
        <v>0</v>
      </c>
      <c r="BQ267" s="2132">
        <f>IF(BQ$221,_xll.ciqfunctions.udf.CIQ($G267, "IQ_SHARESOUTSTANDING", BQ$222),"--")</f>
        <v>0</v>
      </c>
      <c r="BR267" s="2132">
        <f>IF(BR$221,_xll.ciqfunctions.udf.CIQ($G267, "IQ_SHARESOUTSTANDING", BR$222),"--")</f>
        <v>0</v>
      </c>
      <c r="BS267" s="2132">
        <f>IF(BS$221,_xll.ciqfunctions.udf.CIQ($G267, "IQ_SHARESOUTSTANDING", BS$222),"--")</f>
        <v>0</v>
      </c>
      <c r="BT267" s="2132">
        <f>IF(BT$221,_xll.ciqfunctions.udf.CIQ($G267, "IQ_SHARESOUTSTANDING", BT$222),"--")</f>
        <v>0</v>
      </c>
      <c r="BU267" s="2132">
        <f>IF(BU$221,_xll.ciqfunctions.udf.CIQ($G267, "IQ_SHARESOUTSTANDING", BU$222),"--")</f>
        <v>0</v>
      </c>
      <c r="BV267" s="2132">
        <f>IF(BV$221,_xll.ciqfunctions.udf.CIQ($G267, "IQ_SHARESOUTSTANDING", BV$222),"--")</f>
        <v>0</v>
      </c>
      <c r="BW267" s="2132">
        <f>IF(BW$221,_xll.ciqfunctions.udf.CIQ($G267, "IQ_SHARESOUTSTANDING", BW$222),"--")</f>
        <v>0</v>
      </c>
      <c r="BX267" s="2132">
        <f>IF(BX$221,_xll.ciqfunctions.udf.CIQ($G267, "IQ_SHARESOUTSTANDING", BX$222),"--")</f>
        <v>0</v>
      </c>
      <c r="BY267" s="2132">
        <f>IF(BY$221,_xll.ciqfunctions.udf.CIQ($G267, "IQ_SHARESOUTSTANDING", BY$222),"--")</f>
        <v>0</v>
      </c>
      <c r="BZ267" s="2132">
        <f>IF(BZ$221,_xll.ciqfunctions.udf.CIQ($G267, "IQ_SHARESOUTSTANDING", BZ$222),"--")</f>
        <v>0</v>
      </c>
      <c r="CA267" s="2132">
        <f>IF(CA$221,_xll.ciqfunctions.udf.CIQ($G267, "IQ_SHARESOUTSTANDING", CA$222),"--")</f>
        <v>0</v>
      </c>
      <c r="CB267" s="2132">
        <f>IF(CB$221,_xll.ciqfunctions.udf.CIQ($G267, "IQ_SHARESOUTSTANDING", CB$222),"--")</f>
        <v>0</v>
      </c>
      <c r="CC267" s="2132">
        <f>IF(CC$221,_xll.ciqfunctions.udf.CIQ($G267, "IQ_SHARESOUTSTANDING", CC$222),"--")</f>
        <v>0</v>
      </c>
      <c r="CD267" s="2132">
        <f>IF(CD$221,_xll.ciqfunctions.udf.CIQ($G267, "IQ_SHARESOUTSTANDING", CD$222),"--")</f>
        <v>0</v>
      </c>
      <c r="CE267" s="2132">
        <f>IF(CE$221,_xll.ciqfunctions.udf.CIQ($G267, "IQ_SHARESOUTSTANDING", CE$222),"--")</f>
        <v>0</v>
      </c>
      <c r="CF267" s="2132">
        <f>IF(CF$221,_xll.ciqfunctions.udf.CIQ($G267, "IQ_SHARESOUTSTANDING", CF$222),"--")</f>
        <v>0</v>
      </c>
      <c r="CG267" s="2132">
        <f>IF(CG$221,_xll.ciqfunctions.udf.CIQ($G267, "IQ_SHARESOUTSTANDING", CG$222),"--")</f>
        <v>0</v>
      </c>
      <c r="CH267" s="2132">
        <f>IF(CH$221,_xll.ciqfunctions.udf.CIQ($G267, "IQ_SHARESOUTSTANDING", CH$222),"--")</f>
        <v>0</v>
      </c>
      <c r="CI267" s="2132">
        <f>IF(CI$221,_xll.ciqfunctions.udf.CIQ($G267, "IQ_SHARESOUTSTANDING", CI$222),"--")</f>
        <v>0</v>
      </c>
      <c r="CJ267" s="2132">
        <f>IF(CJ$221,_xll.ciqfunctions.udf.CIQ($G267, "IQ_SHARESOUTSTANDING", CJ$222),"--")</f>
        <v>0</v>
      </c>
      <c r="CK267" s="2132">
        <f>IF(CK$221,_xll.ciqfunctions.udf.CIQ($G267, "IQ_SHARESOUTSTANDING", CK$222),"--")</f>
        <v>0</v>
      </c>
      <c r="CL267" s="2132">
        <f>IF(CL$221,_xll.ciqfunctions.udf.CIQ($G267, "IQ_SHARESOUTSTANDING", CL$222),"--")</f>
        <v>0</v>
      </c>
      <c r="CM267" s="2132">
        <f>IF(CM$221,_xll.ciqfunctions.udf.CIQ($G267, "IQ_SHARESOUTSTANDING", CM$222),"--")</f>
        <v>0</v>
      </c>
      <c r="CN267" s="2132">
        <f>IF(CN$221,_xll.ciqfunctions.udf.CIQ($G267, "IQ_SHARESOUTSTANDING", CN$222),"--")</f>
        <v>0</v>
      </c>
      <c r="CO267" s="2132">
        <f>IF(CO$221,_xll.ciqfunctions.udf.CIQ($G267, "IQ_SHARESOUTSTANDING", CO$222),"--")</f>
        <v>0</v>
      </c>
      <c r="CP267" s="2132">
        <f>IF(CP$221,_xll.ciqfunctions.udf.CIQ($G267, "IQ_SHARESOUTSTANDING", CP$222),"--")</f>
        <v>0</v>
      </c>
      <c r="CQ267" s="2132">
        <f>IF(CQ$221,_xll.ciqfunctions.udf.CIQ($G267, "IQ_SHARESOUTSTANDING", CQ$222),"--")</f>
        <v>0</v>
      </c>
      <c r="CR267" s="2132">
        <f>IF(CR$221,_xll.ciqfunctions.udf.CIQ($G267, "IQ_SHARESOUTSTANDING", CR$222),"--")</f>
        <v>0</v>
      </c>
      <c r="CS267" s="2132">
        <f>IF(CS$221,_xll.ciqfunctions.udf.CIQ($G267, "IQ_SHARESOUTSTANDING", CS$222),"--")</f>
        <v>0</v>
      </c>
      <c r="CT267" s="2132">
        <f>IF(CT$221,_xll.ciqfunctions.udf.CIQ($G267, "IQ_SHARESOUTSTANDING", CT$222),"--")</f>
        <v>0</v>
      </c>
      <c r="CU267" s="2132">
        <f>IF(CU$221,_xll.ciqfunctions.udf.CIQ($G267, "IQ_SHARESOUTSTANDING", CU$222),"--")</f>
        <v>0</v>
      </c>
      <c r="CV267" s="2132">
        <f>IF(CV$221,_xll.ciqfunctions.udf.CIQ($G267, "IQ_SHARESOUTSTANDING", CV$222),"--")</f>
        <v>0</v>
      </c>
      <c r="CW267" s="2132">
        <f>IF(CW$221,_xll.ciqfunctions.udf.CIQ($G267, "IQ_SHARESOUTSTANDING", CW$222),"--")</f>
        <v>0</v>
      </c>
      <c r="CX267" s="2132">
        <f>IF(CX$221,_xll.ciqfunctions.udf.CIQ($G267, "IQ_SHARESOUTSTANDING", CX$222),"--")</f>
        <v>0</v>
      </c>
      <c r="CY267" s="2132">
        <f>IF(CY$221,_xll.ciqfunctions.udf.CIQ($G267, "IQ_SHARESOUTSTANDING", CY$222),"--")</f>
        <v>0</v>
      </c>
      <c r="CZ267" s="2132">
        <f>IF(CZ$221,_xll.ciqfunctions.udf.CIQ($G267, "IQ_SHARESOUTSTANDING", CZ$222),"--")</f>
        <v>0</v>
      </c>
      <c r="DA267" s="2132">
        <f>IF(DA$221,_xll.ciqfunctions.udf.CIQ($G267, "IQ_SHARESOUTSTANDING", DA$222),"--")</f>
        <v>0</v>
      </c>
      <c r="DB267" s="2132">
        <f>IF(DB$221,_xll.ciqfunctions.udf.CIQ($G267, "IQ_SHARESOUTSTANDING", DB$222),"--")</f>
        <v>0</v>
      </c>
      <c r="DC267" s="2132">
        <f>IF(DC$221,_xll.ciqfunctions.udf.CIQ($G267, "IQ_SHARESOUTSTANDING", DC$222),"--")</f>
        <v>0</v>
      </c>
      <c r="DD267" s="2132">
        <f>IF(DD$221,_xll.ciqfunctions.udf.CIQ($G267, "IQ_SHARESOUTSTANDING", DD$222),"--")</f>
        <v>0</v>
      </c>
      <c r="DE267" s="2132">
        <f>IF(DE$221,_xll.ciqfunctions.udf.CIQ($G267, "IQ_SHARESOUTSTANDING", DE$222),"--")</f>
        <v>0</v>
      </c>
      <c r="DF267" s="2132">
        <f>IF(DF$221,_xll.ciqfunctions.udf.CIQ($G267, "IQ_SHARESOUTSTANDING", DF$222),"--")</f>
        <v>0</v>
      </c>
      <c r="DG267" s="2132">
        <f>IF(DG$221,_xll.ciqfunctions.udf.CIQ($G267, "IQ_SHARESOUTSTANDING", DG$222),"--")</f>
        <v>0</v>
      </c>
      <c r="DH267" s="2132">
        <f>IF(DH$221,_xll.ciqfunctions.udf.CIQ($G267, "IQ_SHARESOUTSTANDING", DH$222),"--")</f>
        <v>0</v>
      </c>
      <c r="DI267" s="2132">
        <f>IF(DI$221,_xll.ciqfunctions.udf.CIQ($G267, "IQ_SHARESOUTSTANDING", DI$222),"--")</f>
        <v>0</v>
      </c>
      <c r="DJ267" s="2132">
        <f>IF(DJ$221,_xll.ciqfunctions.udf.CIQ($G267, "IQ_SHARESOUTSTANDING", DJ$222),"--")</f>
        <v>0</v>
      </c>
      <c r="DK267" s="2132">
        <f>IF(DK$221,_xll.ciqfunctions.udf.CIQ($G267, "IQ_SHARESOUTSTANDING", DK$222),"--")</f>
        <v>0</v>
      </c>
      <c r="DL267" s="2132">
        <f>IF(DL$221,_xll.ciqfunctions.udf.CIQ($G267, "IQ_SHARESOUTSTANDING", DL$222),"--")</f>
        <v>0</v>
      </c>
      <c r="DM267" s="2132">
        <f>IF(DM$221,_xll.ciqfunctions.udf.CIQ($G267, "IQ_SHARESOUTSTANDING", DM$222),"--")</f>
        <v>0</v>
      </c>
      <c r="DN267" s="2132">
        <f>IF(DN$221,_xll.ciqfunctions.udf.CIQ($G267, "IQ_SHARESOUTSTANDING", DN$222),"--")</f>
        <v>0</v>
      </c>
      <c r="DO267" s="2132">
        <f>IF(DO$221,_xll.ciqfunctions.udf.CIQ($G267, "IQ_SHARESOUTSTANDING", DO$222),"--")</f>
        <v>0</v>
      </c>
      <c r="DP267" s="2132">
        <f>IF(DP$221,_xll.ciqfunctions.udf.CIQ($G267, "IQ_SHARESOUTSTANDING", DP$222),"--")</f>
        <v>0</v>
      </c>
      <c r="DQ267" s="2132">
        <f>IF(DQ$221,_xll.ciqfunctions.udf.CIQ($G267, "IQ_SHARESOUTSTANDING", DQ$222),"--")</f>
        <v>0</v>
      </c>
      <c r="DR267" s="2132">
        <f>IF(DR$221,_xll.ciqfunctions.udf.CIQ($G267, "IQ_SHARESOUTSTANDING", DR$222),"--")</f>
        <v>0</v>
      </c>
      <c r="DS267" s="2132">
        <f>IF(DS$221,_xll.ciqfunctions.udf.CIQ($G267, "IQ_SHARESOUTSTANDING", DS$222),"--")</f>
        <v>0</v>
      </c>
      <c r="DT267" s="2132">
        <f>IF(DT$221,_xll.ciqfunctions.udf.CIQ($G267, "IQ_SHARESOUTSTANDING", DT$222),"--")</f>
        <v>0</v>
      </c>
      <c r="DU267" s="2132">
        <f>IF(DU$221,_xll.ciqfunctions.udf.CIQ($G267, "IQ_SHARESOUTSTANDING", DU$222),"--")</f>
        <v>0</v>
      </c>
      <c r="DV267" s="2132">
        <f>IF(DV$221,_xll.ciqfunctions.udf.CIQ($G267, "IQ_SHARESOUTSTANDING", DV$222),"--")</f>
        <v>0</v>
      </c>
      <c r="DW267" s="2132">
        <f>IF(DW$221,_xll.ciqfunctions.udf.CIQ($G267, "IQ_SHARESOUTSTANDING", DW$222),"--")</f>
        <v>0</v>
      </c>
      <c r="DX267" s="2132">
        <f>IF(DX$221,_xll.ciqfunctions.udf.CIQ($G267, "IQ_SHARESOUTSTANDING", DX$222),"--")</f>
        <v>0</v>
      </c>
      <c r="DY267" s="2132">
        <f>IF(DY$221,_xll.ciqfunctions.udf.CIQ($G267, "IQ_SHARESOUTSTANDING", DY$222),"--")</f>
        <v>0</v>
      </c>
      <c r="DZ267" s="2132">
        <f>IF(DZ$221,_xll.ciqfunctions.udf.CIQ($G267, "IQ_SHARESOUTSTANDING", DZ$222),"--")</f>
        <v>0</v>
      </c>
      <c r="EA267" s="2132">
        <f>IF(EA$221,_xll.ciqfunctions.udf.CIQ($G267, "IQ_SHARESOUTSTANDING", EA$222),"--")</f>
        <v>0</v>
      </c>
      <c r="EB267" s="2132">
        <f>IF(EB$221,_xll.ciqfunctions.udf.CIQ($G267, "IQ_SHARESOUTSTANDING", EB$222),"--")</f>
        <v>0</v>
      </c>
      <c r="EC267" s="2132">
        <f>IF(EC$221,_xll.ciqfunctions.udf.CIQ($G267, "IQ_SHARESOUTSTANDING", EC$222),"--")</f>
        <v>0</v>
      </c>
      <c r="ED267" s="2132">
        <f>IF(ED$221,_xll.ciqfunctions.udf.CIQ($G267, "IQ_SHARESOUTSTANDING", ED$222),"--")</f>
        <v>0</v>
      </c>
      <c r="EE267" s="2132">
        <f>IF(EE$221,_xll.ciqfunctions.udf.CIQ($G267, "IQ_SHARESOUTSTANDING", EE$222),"--")</f>
        <v>0</v>
      </c>
      <c r="EF267" s="2132">
        <f>IF(EF$221,_xll.ciqfunctions.udf.CIQ($G267, "IQ_SHARESOUTSTANDING", EF$222),"--")</f>
        <v>0</v>
      </c>
      <c r="EG267" s="2132">
        <f>IF(EG$221,_xll.ciqfunctions.udf.CIQ($G267, "IQ_SHARESOUTSTANDING", EG$222),"--")</f>
        <v>0</v>
      </c>
      <c r="EH267" s="2132">
        <f>IF(EH$221,_xll.ciqfunctions.udf.CIQ($G267, "IQ_SHARESOUTSTANDING", EH$222),"--")</f>
        <v>0</v>
      </c>
      <c r="EI267" s="2132">
        <f>IF(EI$221,_xll.ciqfunctions.udf.CIQ($G267, "IQ_SHARESOUTSTANDING", EI$222),"--")</f>
        <v>0</v>
      </c>
      <c r="EJ267" s="2132">
        <f>IF(EJ$221,_xll.ciqfunctions.udf.CIQ($G267, "IQ_SHARESOUTSTANDING", EJ$222),"--")</f>
        <v>0</v>
      </c>
      <c r="EK267" s="2132">
        <f>IF(EK$221,_xll.ciqfunctions.udf.CIQ($G267, "IQ_SHARESOUTSTANDING", EK$222),"--")</f>
        <v>0</v>
      </c>
      <c r="EL267" s="2132">
        <f>IF(EL$221,_xll.ciqfunctions.udf.CIQ($G267, "IQ_SHARESOUTSTANDING", EL$222),"--")</f>
        <v>0</v>
      </c>
      <c r="EM267" s="2132">
        <f>IF(EM$221,_xll.ciqfunctions.udf.CIQ($G267, "IQ_SHARESOUTSTANDING", EM$222),"--")</f>
        <v>0</v>
      </c>
      <c r="EN267" s="2132">
        <f>IF(EN$221,_xll.ciqfunctions.udf.CIQ($G267, "IQ_SHARESOUTSTANDING", EN$222),"--")</f>
        <v>0</v>
      </c>
      <c r="EO267" s="2132">
        <f>IF(EO$221,_xll.ciqfunctions.udf.CIQ($G267, "IQ_SHARESOUTSTANDING", EO$222),"--")</f>
        <v>0</v>
      </c>
      <c r="EP267" s="2132">
        <f>IF(EP$221,_xll.ciqfunctions.udf.CIQ($G267, "IQ_SHARESOUTSTANDING", EP$222),"--")</f>
        <v>0</v>
      </c>
      <c r="EQ267" s="2132">
        <f>IF(EQ$221,_xll.ciqfunctions.udf.CIQ($G267, "IQ_SHARESOUTSTANDING", EQ$222),"--")</f>
        <v>0</v>
      </c>
      <c r="ER267" s="2132">
        <f>IF(ER$221,_xll.ciqfunctions.udf.CIQ($G267, "IQ_SHARESOUTSTANDING", ER$222),"--")</f>
        <v>0</v>
      </c>
      <c r="ES267" s="2132">
        <f>IF(ES$221,_xll.ciqfunctions.udf.CIQ($G267, "IQ_SHARESOUTSTANDING", ES$222),"--")</f>
        <v>0</v>
      </c>
      <c r="ET267" s="2132">
        <f>IF(ET$221,_xll.ciqfunctions.udf.CIQ($G267, "IQ_SHARESOUTSTANDING", ET$222),"--")</f>
        <v>0</v>
      </c>
      <c r="EU267" s="2132">
        <f>IF(EU$221,_xll.ciqfunctions.udf.CIQ($G267, "IQ_SHARESOUTSTANDING", EU$222),"--")</f>
        <v>0</v>
      </c>
      <c r="EV267" s="2132">
        <f>IF(EV$221,_xll.ciqfunctions.udf.CIQ($G267, "IQ_SHARESOUTSTANDING", EV$222),"--")</f>
        <v>0</v>
      </c>
      <c r="EW267" s="2132">
        <f>IF(EW$221,_xll.ciqfunctions.udf.CIQ($G267, "IQ_SHARESOUTSTANDING", EW$222),"--")</f>
        <v>0</v>
      </c>
      <c r="EX267" s="2132">
        <f>IF(EX$221,_xll.ciqfunctions.udf.CIQ($G267, "IQ_SHARESOUTSTANDING", EX$222),"--")</f>
        <v>0</v>
      </c>
      <c r="EY267" s="2132">
        <f>IF(EY$221,_xll.ciqfunctions.udf.CIQ($G267, "IQ_SHARESOUTSTANDING", EY$222),"--")</f>
        <v>0</v>
      </c>
      <c r="EZ267" s="2132">
        <f>IF(EZ$221,_xll.ciqfunctions.udf.CIQ($G267, "IQ_SHARESOUTSTANDING", EZ$222),"--")</f>
        <v>0</v>
      </c>
      <c r="FA267" s="2132">
        <f>IF(FA$221,_xll.ciqfunctions.udf.CIQ($G267, "IQ_SHARESOUTSTANDING", FA$222),"--")</f>
        <v>0</v>
      </c>
      <c r="FB267" s="2132">
        <f>IF(FB$221,_xll.ciqfunctions.udf.CIQ($G267, "IQ_SHARESOUTSTANDING", FB$222),"--")</f>
        <v>0</v>
      </c>
      <c r="FC267" s="2132">
        <f>IF(FC$221,_xll.ciqfunctions.udf.CIQ($G267, "IQ_SHARESOUTSTANDING", FC$222),"--")</f>
        <v>0</v>
      </c>
      <c r="FD267" s="2132">
        <f>IF(FD$221,_xll.ciqfunctions.udf.CIQ($G267, "IQ_SHARESOUTSTANDING", FD$222),"--")</f>
        <v>0</v>
      </c>
      <c r="FE267" s="2132">
        <f>IF(FE$221,_xll.ciqfunctions.udf.CIQ($G267, "IQ_SHARESOUTSTANDING", FE$222),"--")</f>
        <v>0</v>
      </c>
      <c r="FF267" s="2132">
        <f>IF(FF$221,_xll.ciqfunctions.udf.CIQ($G267, "IQ_SHARESOUTSTANDING", FF$222),"--")</f>
        <v>0</v>
      </c>
      <c r="FG267" s="2132">
        <f>IF(FG$221,_xll.ciqfunctions.udf.CIQ($G267, "IQ_SHARESOUTSTANDING", FG$222),"--")</f>
        <v>0</v>
      </c>
      <c r="FH267" s="2132">
        <f>IF(FH$221,_xll.ciqfunctions.udf.CIQ($G267, "IQ_SHARESOUTSTANDING", FH$222),"--")</f>
        <v>0</v>
      </c>
      <c r="FI267" s="2132">
        <f>IF(FI$221,_xll.ciqfunctions.udf.CIQ($G267, "IQ_SHARESOUTSTANDING", FI$222),"--")</f>
        <v>0</v>
      </c>
      <c r="FJ267" s="2132">
        <f>IF(FJ$221,_xll.ciqfunctions.udf.CIQ($G267, "IQ_SHARESOUTSTANDING", FJ$222),"--")</f>
        <v>0</v>
      </c>
      <c r="FK267" s="2132">
        <f>IF(FK$221,_xll.ciqfunctions.udf.CIQ($G267, "IQ_SHARESOUTSTANDING", FK$222),"--")</f>
        <v>0</v>
      </c>
      <c r="FL267" s="2132">
        <f>IF(FL$221,_xll.ciqfunctions.udf.CIQ($G267, "IQ_SHARESOUTSTANDING", FL$222),"--")</f>
        <v>0</v>
      </c>
      <c r="FM267" s="2132">
        <f>IF(FM$221,_xll.ciqfunctions.udf.CIQ($G267, "IQ_SHARESOUTSTANDING", FM$222),"--")</f>
        <v>0</v>
      </c>
      <c r="FN267" s="2132">
        <f>IF(FN$221,_xll.ciqfunctions.udf.CIQ($G267, "IQ_SHARESOUTSTANDING", FN$222),"--")</f>
        <v>0</v>
      </c>
      <c r="FO267" s="2132">
        <f>IF(FO$221,_xll.ciqfunctions.udf.CIQ($G267, "IQ_SHARESOUTSTANDING", FO$222),"--")</f>
        <v>0</v>
      </c>
      <c r="FP267" s="2132">
        <f>IF(FP$221,_xll.ciqfunctions.udf.CIQ($G267, "IQ_SHARESOUTSTANDING", FP$222),"--")</f>
        <v>0</v>
      </c>
      <c r="FQ267" s="2132">
        <f>IF(FQ$221,_xll.ciqfunctions.udf.CIQ($G267, "IQ_SHARESOUTSTANDING", FQ$222),"--")</f>
        <v>0</v>
      </c>
      <c r="FR267" s="2132">
        <f>IF(FR$221,_xll.ciqfunctions.udf.CIQ($G267, "IQ_SHARESOUTSTANDING", FR$222),"--")</f>
        <v>0</v>
      </c>
      <c r="FS267" s="2132">
        <f>IF(FS$221,_xll.ciqfunctions.udf.CIQ($G267, "IQ_SHARESOUTSTANDING", FS$222),"--")</f>
        <v>0</v>
      </c>
      <c r="FT267" s="2132">
        <f>IF(FT$221,_xll.ciqfunctions.udf.CIQ($G267, "IQ_SHARESOUTSTANDING", FT$222),"--")</f>
        <v>0</v>
      </c>
      <c r="FU267" s="2132">
        <f>IF(FU$221,_xll.ciqfunctions.udf.CIQ($G267, "IQ_SHARESOUTSTANDING", FU$222),"--")</f>
        <v>0</v>
      </c>
      <c r="FV267" s="2132">
        <f>IF(FV$221,_xll.ciqfunctions.udf.CIQ($G267, "IQ_SHARESOUTSTANDING", FV$222),"--")</f>
        <v>0</v>
      </c>
      <c r="FW267" s="2132">
        <f>IF(FW$221,_xll.ciqfunctions.udf.CIQ($G267, "IQ_SHARESOUTSTANDING", FW$222),"--")</f>
        <v>0</v>
      </c>
      <c r="FX267" s="2132">
        <f>IF(FX$221,_xll.ciqfunctions.udf.CIQ($G267, "IQ_SHARESOUTSTANDING", FX$222),"--")</f>
        <v>0</v>
      </c>
      <c r="FY267" s="2132">
        <f>IF(FY$221,_xll.ciqfunctions.udf.CIQ($G267, "IQ_SHARESOUTSTANDING", FY$222),"--")</f>
        <v>0</v>
      </c>
      <c r="FZ267" s="2132">
        <f>IF(FZ$221,_xll.ciqfunctions.udf.CIQ($G267, "IQ_SHARESOUTSTANDING", FZ$222),"--")</f>
        <v>0</v>
      </c>
      <c r="GA267" s="2132">
        <f>IF(GA$221,_xll.ciqfunctions.udf.CIQ($G267, "IQ_SHARESOUTSTANDING", GA$222),"--")</f>
        <v>0</v>
      </c>
      <c r="GB267" s="2132">
        <f>IF(GB$221,_xll.ciqfunctions.udf.CIQ($G267, "IQ_SHARESOUTSTANDING", GB$222),"--")</f>
        <v>0</v>
      </c>
      <c r="GC267" s="2132">
        <f>IF(GC$221,_xll.ciqfunctions.udf.CIQ($G267, "IQ_SHARESOUTSTANDING", GC$222),"--")</f>
        <v>0</v>
      </c>
      <c r="GD267" s="2132">
        <f>IF(GD$221,_xll.ciqfunctions.udf.CIQ($G267, "IQ_SHARESOUTSTANDING", GD$222),"--")</f>
        <v>0</v>
      </c>
      <c r="GE267" s="2132">
        <f>IF(GE$221,_xll.ciqfunctions.udf.CIQ($G267, "IQ_SHARESOUTSTANDING", GE$222),"--")</f>
        <v>0</v>
      </c>
      <c r="GF267" s="2132">
        <f>IF(GF$221,_xll.ciqfunctions.udf.CIQ($G267, "IQ_SHARESOUTSTANDING", GF$222),"--")</f>
        <v>0</v>
      </c>
      <c r="GG267" s="2132">
        <f>IF(GG$221,_xll.ciqfunctions.udf.CIQ($G267, "IQ_SHARESOUTSTANDING", GG$222),"--")</f>
        <v>0</v>
      </c>
      <c r="GH267" s="2132">
        <f>IF(GH$221,_xll.ciqfunctions.udf.CIQ($G267, "IQ_SHARESOUTSTANDING", GH$222),"--")</f>
        <v>0</v>
      </c>
      <c r="GI267" s="2132">
        <f>IF(GI$221,_xll.ciqfunctions.udf.CIQ($G267, "IQ_SHARESOUTSTANDING", GI$222),"--")</f>
        <v>0</v>
      </c>
      <c r="GJ267" s="2132">
        <f>IF(GJ$221,_xll.ciqfunctions.udf.CIQ($G267, "IQ_SHARESOUTSTANDING", GJ$222),"--")</f>
        <v>0</v>
      </c>
      <c r="GK267" s="2132">
        <f>IF(GK$221,_xll.ciqfunctions.udf.CIQ($G267, "IQ_SHARESOUTSTANDING", GK$222),"--")</f>
        <v>0</v>
      </c>
      <c r="GL267" s="2132">
        <f>IF(GL$221,_xll.ciqfunctions.udf.CIQ($G267, "IQ_SHARESOUTSTANDING", GL$222),"--")</f>
        <v>0</v>
      </c>
      <c r="GM267" s="2132">
        <f>IF(GM$221,_xll.ciqfunctions.udf.CIQ($G267, "IQ_SHARESOUTSTANDING", GM$222),"--")</f>
        <v>0</v>
      </c>
      <c r="GN267" s="2132">
        <f>IF(GN$221,_xll.ciqfunctions.udf.CIQ($G267, "IQ_SHARESOUTSTANDING", GN$222),"--")</f>
        <v>0</v>
      </c>
      <c r="GO267" s="2132">
        <f>IF(GO$221,_xll.ciqfunctions.udf.CIQ($G267, "IQ_SHARESOUTSTANDING", GO$222),"--")</f>
        <v>0</v>
      </c>
      <c r="GP267" s="2132">
        <f>IF(GP$221,_xll.ciqfunctions.udf.CIQ($G267, "IQ_SHARESOUTSTANDING", GP$222),"--")</f>
        <v>0</v>
      </c>
      <c r="GQ267" s="2132">
        <f>IF(GQ$221,_xll.ciqfunctions.udf.CIQ($G267, "IQ_SHARESOUTSTANDING", GQ$222),"--")</f>
        <v>0</v>
      </c>
      <c r="GR267" s="2132">
        <f>IF(GR$221,_xll.ciqfunctions.udf.CIQ($G267, "IQ_SHARESOUTSTANDING", GR$222),"--")</f>
        <v>0</v>
      </c>
      <c r="GS267" s="2132">
        <f>IF(GS$221,_xll.ciqfunctions.udf.CIQ($G267, "IQ_SHARESOUTSTANDING", GS$222),"--")</f>
        <v>0</v>
      </c>
      <c r="GT267" s="2132">
        <f>IF(GT$221,_xll.ciqfunctions.udf.CIQ($G267, "IQ_SHARESOUTSTANDING", GT$222),"--")</f>
        <v>0</v>
      </c>
      <c r="GU267" s="2132">
        <f>IF(GU$221,_xll.ciqfunctions.udf.CIQ($G267, "IQ_SHARESOUTSTANDING", GU$222),"--")</f>
        <v>0</v>
      </c>
      <c r="GV267" s="2132">
        <f>IF(GV$221,_xll.ciqfunctions.udf.CIQ($G267, "IQ_SHARESOUTSTANDING", GV$222),"--")</f>
        <v>0</v>
      </c>
      <c r="GW267" s="2132">
        <f>IF(GW$221,_xll.ciqfunctions.udf.CIQ($G267, "IQ_SHARESOUTSTANDING", GW$222),"--")</f>
        <v>0</v>
      </c>
      <c r="GX267" s="2132">
        <f>IF(GX$221,_xll.ciqfunctions.udf.CIQ($G267, "IQ_SHARESOUTSTANDING", GX$222),"--")</f>
        <v>0</v>
      </c>
      <c r="GY267" s="2132">
        <f>IF(GY$221,_xll.ciqfunctions.udf.CIQ($G267, "IQ_SHARESOUTSTANDING", GY$222),"--")</f>
        <v>0</v>
      </c>
      <c r="GZ267" s="2132">
        <f>IF(GZ$221,_xll.ciqfunctions.udf.CIQ($G267, "IQ_SHARESOUTSTANDING", GZ$222),"--")</f>
        <v>0</v>
      </c>
      <c r="HA267" s="2132">
        <f>IF(HA$221,_xll.ciqfunctions.udf.CIQ($G267, "IQ_SHARESOUTSTANDING", HA$222),"--")</f>
        <v>0</v>
      </c>
      <c r="HB267" s="2132">
        <f>IF(HB$221,_xll.ciqfunctions.udf.CIQ($G267, "IQ_SHARESOUTSTANDING", HB$222),"--")</f>
        <v>0</v>
      </c>
      <c r="HC267" s="2132">
        <f>IF(HC$221,_xll.ciqfunctions.udf.CIQ($G267, "IQ_SHARESOUTSTANDING", HC$222),"--")</f>
        <v>0</v>
      </c>
      <c r="HD267" s="2132">
        <f>IF(HD$221,_xll.ciqfunctions.udf.CIQ($G267, "IQ_SHARESOUTSTANDING", HD$222),"--")</f>
        <v>0</v>
      </c>
      <c r="HE267" s="2132">
        <f>IF(HE$221,_xll.ciqfunctions.udf.CIQ($G267, "IQ_SHARESOUTSTANDING", HE$222),"--")</f>
        <v>0</v>
      </c>
      <c r="HF267" s="2132">
        <f>IF(HF$221,_xll.ciqfunctions.udf.CIQ($G267, "IQ_SHARESOUTSTANDING", HF$222),"--")</f>
        <v>0</v>
      </c>
      <c r="HG267" s="2132">
        <f>IF(HG$221,_xll.ciqfunctions.udf.CIQ($G267, "IQ_SHARESOUTSTANDING", HG$222),"--")</f>
        <v>0</v>
      </c>
      <c r="HH267" s="2132">
        <f>IF(HH$221,_xll.ciqfunctions.udf.CIQ($G267, "IQ_SHARESOUTSTANDING", HH$222),"--")</f>
        <v>0</v>
      </c>
      <c r="HI267" s="2132">
        <f>IF(HI$221,_xll.ciqfunctions.udf.CIQ($G267, "IQ_SHARESOUTSTANDING", HI$222),"--")</f>
        <v>0</v>
      </c>
      <c r="HJ267" s="2132">
        <f>IF(HJ$221,_xll.ciqfunctions.udf.CIQ($G267, "IQ_SHARESOUTSTANDING", HJ$222),"--")</f>
        <v>0</v>
      </c>
      <c r="HK267" s="2132">
        <f>IF(HK$221,_xll.ciqfunctions.udf.CIQ($G267, "IQ_SHARESOUTSTANDING", HK$222),"--")</f>
        <v>0</v>
      </c>
      <c r="HL267" s="2132">
        <f>IF(HL$221,_xll.ciqfunctions.udf.CIQ($G267, "IQ_SHARESOUTSTANDING", HL$222),"--")</f>
        <v>0</v>
      </c>
      <c r="HM267" s="2132">
        <f>IF(HM$221,_xll.ciqfunctions.udf.CIQ($G267, "IQ_SHARESOUTSTANDING", HM$222),"--")</f>
        <v>0</v>
      </c>
      <c r="HN267" s="2132">
        <f>IF(HN$221,_xll.ciqfunctions.udf.CIQ($G267, "IQ_SHARESOUTSTANDING", HN$222),"--")</f>
        <v>0</v>
      </c>
      <c r="HO267" s="2132">
        <f>IF(HO$221,_xll.ciqfunctions.udf.CIQ($G267, "IQ_SHARESOUTSTANDING", HO$222),"--")</f>
        <v>0</v>
      </c>
      <c r="HP267" s="2132">
        <f>IF(HP$221,_xll.ciqfunctions.udf.CIQ($G267, "IQ_SHARESOUTSTANDING", HP$222),"--")</f>
        <v>0</v>
      </c>
      <c r="HQ267" s="2132">
        <f>IF(HQ$221,_xll.ciqfunctions.udf.CIQ($G267, "IQ_SHARESOUTSTANDING", HQ$222),"--")</f>
        <v>0</v>
      </c>
      <c r="HR267" s="2132">
        <f>IF(HR$221,_xll.ciqfunctions.udf.CIQ($G267, "IQ_SHARESOUTSTANDING", HR$222),"--")</f>
        <v>0</v>
      </c>
      <c r="HS267" s="2132">
        <f>IF(HS$221,_xll.ciqfunctions.udf.CIQ($G267, "IQ_SHARESOUTSTANDING", HS$222),"--")</f>
        <v>0</v>
      </c>
      <c r="HT267" s="2132">
        <f>IF(HT$221,_xll.ciqfunctions.udf.CIQ($G267, "IQ_SHARESOUTSTANDING", HT$222),"--")</f>
        <v>0</v>
      </c>
      <c r="HU267" s="2132">
        <f>IF(HU$221,_xll.ciqfunctions.udf.CIQ($G267, "IQ_SHARESOUTSTANDING", HU$222),"--")</f>
        <v>0</v>
      </c>
      <c r="HV267" s="2132">
        <f>IF(HV$221,_xll.ciqfunctions.udf.CIQ($G267, "IQ_SHARESOUTSTANDING", HV$222),"--")</f>
        <v>0</v>
      </c>
      <c r="HW267" s="2132">
        <f>IF(HW$221,_xll.ciqfunctions.udf.CIQ($G267, "IQ_SHARESOUTSTANDING", HW$222),"--")</f>
        <v>0</v>
      </c>
      <c r="HX267" s="2132">
        <f>IF(HX$221,_xll.ciqfunctions.udf.CIQ($G267, "IQ_SHARESOUTSTANDING", HX$222),"--")</f>
        <v>0</v>
      </c>
      <c r="HY267" s="2132">
        <f>IF(HY$221,_xll.ciqfunctions.udf.CIQ($G267, "IQ_SHARESOUTSTANDING", HY$222),"--")</f>
        <v>0</v>
      </c>
      <c r="HZ267" s="2132">
        <f>IF(HZ$221,_xll.ciqfunctions.udf.CIQ($G267, "IQ_SHARESOUTSTANDING", HZ$222),"--")</f>
        <v>0</v>
      </c>
      <c r="IA267" s="2132">
        <f>IF(IA$221,_xll.ciqfunctions.udf.CIQ($G267, "IQ_SHARESOUTSTANDING", IA$222),"--")</f>
        <v>0</v>
      </c>
      <c r="IB267" s="2132">
        <f>IF(IB$221,_xll.ciqfunctions.udf.CIQ($G267, "IQ_SHARESOUTSTANDING", IB$222),"--")</f>
        <v>0</v>
      </c>
      <c r="IC267" s="2132">
        <f>IF(IC$221,_xll.ciqfunctions.udf.CIQ($G267, "IQ_SHARESOUTSTANDING", IC$222),"--")</f>
        <v>0</v>
      </c>
      <c r="ID267" s="2132">
        <f>IF(ID$221,_xll.ciqfunctions.udf.CIQ($G267, "IQ_SHARESOUTSTANDING", ID$222),"--")</f>
        <v>0</v>
      </c>
      <c r="IE267" s="2132">
        <f>IF(IE$221,_xll.ciqfunctions.udf.CIQ($G267, "IQ_SHARESOUTSTANDING", IE$222),"--")</f>
        <v>0</v>
      </c>
      <c r="IF267" s="2132">
        <f>IF(IF$221,_xll.ciqfunctions.udf.CIQ($G267, "IQ_SHARESOUTSTANDING", IF$222),"--")</f>
        <v>0</v>
      </c>
      <c r="IG267" s="2132">
        <f>IF(IG$221,_xll.ciqfunctions.udf.CIQ($G267, "IQ_SHARESOUTSTANDING", IG$222),"--")</f>
        <v>0</v>
      </c>
      <c r="IH267" s="2132">
        <f>IF(IH$221,_xll.ciqfunctions.udf.CIQ($G267, "IQ_SHARESOUTSTANDING", IH$222),"--")</f>
        <v>0</v>
      </c>
      <c r="II267" s="2132">
        <f>IF(II$221,_xll.ciqfunctions.udf.CIQ($G267, "IQ_SHARESOUTSTANDING", II$222),"--")</f>
        <v>0</v>
      </c>
      <c r="IJ267" s="2132">
        <f>IF(IJ$221,_xll.ciqfunctions.udf.CIQ($G267, "IQ_SHARESOUTSTANDING", IJ$222),"--")</f>
        <v>0</v>
      </c>
      <c r="IK267" s="2132">
        <f>IF(IK$221,_xll.ciqfunctions.udf.CIQ($G267, "IQ_SHARESOUTSTANDING", IK$222),"--")</f>
        <v>0</v>
      </c>
      <c r="IL267" s="2132">
        <f>IF(IL$221,_xll.ciqfunctions.udf.CIQ($G267, "IQ_SHARESOUTSTANDING", IL$222),"--")</f>
        <v>0</v>
      </c>
      <c r="IM267" s="2132">
        <f>IF(IM$221,_xll.ciqfunctions.udf.CIQ($G267, "IQ_SHARESOUTSTANDING", IM$222),"--")</f>
        <v>0</v>
      </c>
      <c r="IN267" s="2132">
        <f>IF(IN$221,_xll.ciqfunctions.udf.CIQ($G267, "IQ_SHARESOUTSTANDING", IN$222),"--")</f>
        <v>0</v>
      </c>
      <c r="IO267" s="2132">
        <f>IF(IO$221,_xll.ciqfunctions.udf.CIQ($G267, "IQ_SHARESOUTSTANDING", IO$222),"--")</f>
        <v>0</v>
      </c>
      <c r="IP267" s="2132">
        <f>IF(IP$221,_xll.ciqfunctions.udf.CIQ($G267, "IQ_SHARESOUTSTANDING", IP$222),"--")</f>
        <v>0</v>
      </c>
      <c r="IQ267" s="2132">
        <f>IF(IQ$221,_xll.ciqfunctions.udf.CIQ($G267, "IQ_SHARESOUTSTANDING", IQ$222),"--")</f>
        <v>0</v>
      </c>
      <c r="IR267" s="2132">
        <f>IF(IR$221,_xll.ciqfunctions.udf.CIQ($G267, "IQ_SHARESOUTSTANDING", IR$222),"--")</f>
        <v>0</v>
      </c>
      <c r="IS267" s="2132">
        <f>IF(IS$221,_xll.ciqfunctions.udf.CIQ($G267, "IQ_SHARESOUTSTANDING", IS$222),"--")</f>
        <v>0</v>
      </c>
      <c r="IT267" s="2132">
        <f>IF(IT$221,_xll.ciqfunctions.udf.CIQ($G267, "IQ_SHARESOUTSTANDING", IT$222),"--")</f>
        <v>0</v>
      </c>
      <c r="IU267" s="2132">
        <f>IF(IU$221,_xll.ciqfunctions.udf.CIQ($G267, "IQ_SHARESOUTSTANDING", IU$222),"--")</f>
        <v>0</v>
      </c>
      <c r="IV267" s="2132">
        <f>IF(IV$221,_xll.ciqfunctions.udf.CIQ($G267, "IQ_SHARESOUTSTANDING", IV$222),"--")</f>
        <v>0</v>
      </c>
      <c r="IW267" s="2132">
        <f>IF(IW$221,_xll.ciqfunctions.udf.CIQ($G267, "IQ_SHARESOUTSTANDING", IW$222),"--")</f>
        <v>0</v>
      </c>
      <c r="IX267" s="2132">
        <f>IF(IX$221,_xll.ciqfunctions.udf.CIQ($G267, "IQ_SHARESOUTSTANDING", IX$222),"--")</f>
        <v>0</v>
      </c>
      <c r="IY267" s="2132">
        <f>IF(IY$221,_xll.ciqfunctions.udf.CIQ($G267, "IQ_SHARESOUTSTANDING", IY$222),"--")</f>
        <v>0</v>
      </c>
      <c r="IZ267" s="2132">
        <f>IF(IZ$221,_xll.ciqfunctions.udf.CIQ($G267, "IQ_SHARESOUTSTANDING", IZ$222),"--")</f>
        <v>0</v>
      </c>
      <c r="JA267" s="2132">
        <f>IF(JA$221,_xll.ciqfunctions.udf.CIQ($G267, "IQ_SHARESOUTSTANDING", JA$222),"--")</f>
        <v>0</v>
      </c>
      <c r="JB267" s="2132">
        <f>IF(JB$221,_xll.ciqfunctions.udf.CIQ($G267, "IQ_SHARESOUTSTANDING", JB$222),"--")</f>
        <v>0</v>
      </c>
      <c r="JC267" s="2132">
        <f>IF(JC$221,_xll.ciqfunctions.udf.CIQ($G267, "IQ_SHARESOUTSTANDING", JC$222),"--")</f>
        <v>0</v>
      </c>
      <c r="JD267" s="2132">
        <f>IF(JD$221,_xll.ciqfunctions.udf.CIQ($G267, "IQ_SHARESOUTSTANDING", JD$222),"--")</f>
        <v>0</v>
      </c>
      <c r="JE267" s="2132">
        <f>IF(JE$221,_xll.ciqfunctions.udf.CIQ($G267, "IQ_SHARESOUTSTANDING", JE$222),"--")</f>
        <v>0</v>
      </c>
      <c r="JF267" s="2132">
        <f>IF(JF$221,_xll.ciqfunctions.udf.CIQ($G267, "IQ_SHARESOUTSTANDING", JF$222),"--")</f>
        <v>0</v>
      </c>
      <c r="JG267" s="2132">
        <f>IF(JG$221,_xll.ciqfunctions.udf.CIQ($G267, "IQ_SHARESOUTSTANDING", JG$222),"--")</f>
        <v>0</v>
      </c>
      <c r="JH267" s="2132">
        <f>IF(JH$221,_xll.ciqfunctions.udf.CIQ($G267, "IQ_SHARESOUTSTANDING", JH$222),"--")</f>
        <v>0</v>
      </c>
      <c r="JI267" s="2132">
        <f>IF(JI$221,_xll.ciqfunctions.udf.CIQ($G267, "IQ_SHARESOUTSTANDING", JI$222),"--")</f>
        <v>0</v>
      </c>
      <c r="JJ267" s="2132">
        <f>IF(JJ$221,_xll.ciqfunctions.udf.CIQ($G267, "IQ_SHARESOUTSTANDING", JJ$222),"--")</f>
        <v>0</v>
      </c>
      <c r="JK267" s="2132">
        <f>IF(JK$221,_xll.ciqfunctions.udf.CIQ($G267, "IQ_SHARESOUTSTANDING", JK$222),"--")</f>
        <v>0</v>
      </c>
      <c r="JL267" s="2132">
        <f>IF(JL$221,_xll.ciqfunctions.udf.CIQ($G267, "IQ_SHARESOUTSTANDING", JL$222),"--")</f>
        <v>0</v>
      </c>
      <c r="JM267" s="2132">
        <f>IF(JM$221,_xll.ciqfunctions.udf.CIQ($G267, "IQ_SHARESOUTSTANDING", JM$222),"--")</f>
        <v>0</v>
      </c>
      <c r="JN267" s="2132">
        <f>IF(JN$221,_xll.ciqfunctions.udf.CIQ($G267, "IQ_SHARESOUTSTANDING", JN$222),"--")</f>
        <v>0</v>
      </c>
      <c r="JO267" s="2132">
        <f>IF(JO$221,_xll.ciqfunctions.udf.CIQ($G267, "IQ_SHARESOUTSTANDING", JO$222),"--")</f>
        <v>0</v>
      </c>
      <c r="JP267" s="2132">
        <f>IF(JP$221,_xll.ciqfunctions.udf.CIQ($G267, "IQ_SHARESOUTSTANDING", JP$222),"--")</f>
        <v>0</v>
      </c>
      <c r="JQ267" s="2132">
        <f>IF(JQ$221,_xll.ciqfunctions.udf.CIQ($G267, "IQ_SHARESOUTSTANDING", JQ$222),"--")</f>
        <v>0</v>
      </c>
      <c r="JR267" s="2132">
        <f>IF(JR$221,_xll.ciqfunctions.udf.CIQ($G267, "IQ_SHARESOUTSTANDING", JR$222),"--")</f>
        <v>0</v>
      </c>
      <c r="JS267" s="2132">
        <f>IF(JS$221,_xll.ciqfunctions.udf.CIQ($G267, "IQ_SHARESOUTSTANDING", JS$222),"--")</f>
        <v>0</v>
      </c>
      <c r="JT267" s="2132">
        <f>IF(JT$221,_xll.ciqfunctions.udf.CIQ($G267, "IQ_SHARESOUTSTANDING", JT$222),"--")</f>
        <v>0</v>
      </c>
      <c r="JU267" s="2132">
        <f>IF(JU$221,_xll.ciqfunctions.udf.CIQ($G267, "IQ_SHARESOUTSTANDING", JU$222),"--")</f>
        <v>0</v>
      </c>
      <c r="JV267" s="2132">
        <f>IF(JV$221,_xll.ciqfunctions.udf.CIQ($G267, "IQ_SHARESOUTSTANDING", JV$222),"--")</f>
        <v>0</v>
      </c>
      <c r="JW267" s="2132" t="str">
        <f>IF(JW$221,_xll.ciqfunctions.udf.CIQ($G267, "IQ_SHARESOUTSTANDING", JW$222),"--")</f>
        <v>--</v>
      </c>
      <c r="JX267" s="2132" t="str">
        <f>IF(JX$221,_xll.ciqfunctions.udf.CIQ($G267, "IQ_SHARESOUTSTANDING", JX$222),"--")</f>
        <v>--</v>
      </c>
      <c r="JY267" s="2132" t="str">
        <f>IF(JY$221,_xll.ciqfunctions.udf.CIQ($G267, "IQ_SHARESOUTSTANDING", JY$222),"--")</f>
        <v>--</v>
      </c>
      <c r="JZ267" s="2132" t="str">
        <f>IF(JZ$221,_xll.ciqfunctions.udf.CIQ($G267, "IQ_SHARESOUTSTANDING", JZ$222),"--")</f>
        <v>--</v>
      </c>
      <c r="KA267" s="2132" t="str">
        <f>IF(KA$221,_xll.ciqfunctions.udf.CIQ($G267, "IQ_SHARESOUTSTANDING", KA$222),"--")</f>
        <v>--</v>
      </c>
      <c r="KB267" s="2132" t="str">
        <f>IF(KB$221,_xll.ciqfunctions.udf.CIQ($G267, "IQ_SHARESOUTSTANDING", KB$222),"--")</f>
        <v>--</v>
      </c>
    </row>
    <row r="268" spans="1:288" s="89" customFormat="1" ht="13.9">
      <c r="A268" s="269" t="str">
        <f t="shared" si="49"/>
        <v>n</v>
      </c>
      <c r="B268" s="2060"/>
      <c r="D268" s="801"/>
      <c r="E268" s="1505">
        <v>14</v>
      </c>
      <c r="F268" s="21" t="str">
        <f>F$142</f>
        <v>--</v>
      </c>
      <c r="G268" s="1441">
        <f>G$142</f>
        <v>0</v>
      </c>
      <c r="H268" s="1441" t="str">
        <f>H$142</f>
        <v>--</v>
      </c>
      <c r="I268" s="314" t="s">
        <v>783</v>
      </c>
      <c r="J268" s="314"/>
      <c r="K268" s="2301" t="str">
        <f>IF(OR(K205=0,$G268=0),"--",IFERROR(_xll.ciqfunctions.udf.CIQ($G268,$I268,K113,Valuation_Date_GC,ReportType,DataMode,$H268,FXMode)*Scale+K237*Pension10,"--"))</f>
        <v>--</v>
      </c>
      <c r="L268" s="2301" t="str">
        <f>IF(OR(L205=0,$G268=0),"--",IFERROR(_xll.ciqfunctions.udf.CIQ($G268,$I268,L113,Valuation_Date_GC,ReportType,DataMode,$H268,FXMode)*Scale+L237*Pension10,"--"))</f>
        <v>--</v>
      </c>
      <c r="M268" s="2301" t="str">
        <f>IF(OR(M205=0,$G268=0),"--",IFERROR(_xll.ciqfunctions.udf.CIQ($G268,$I268,M113,Valuation_Date_GC,ReportType,DataMode,$H268,FXMode)*Scale+M237*Pension10,"--"))</f>
        <v>--</v>
      </c>
      <c r="N268" s="2301" t="str">
        <f>IF(OR(N205=0,$G268=0),"--",IFERROR(_xll.ciqfunctions.udf.CIQ($G268,$I268,N113,Valuation_Date_GC,ReportType,DataMode,$H268,FXMode)*Scale+N237*Pension10,"--"))</f>
        <v>--</v>
      </c>
      <c r="O268" s="1471" t="str">
        <f>IF(OR(O205=0,$G268=0),"--",IFERROR(_xll.ciqfunctions.udf.CIQ($G268,$I268,O113,Valuation_Date_GC,ReportType,DataMode,$H268,FXMode)*Scale+O237*Pension10,"--"))</f>
        <v>--</v>
      </c>
      <c r="P268" s="2301" t="str">
        <f>IF(OR(P205=0,$G268=0),"--",IFERROR(_xll.ciqfunctions.udf.CIQ($G268,$I268,P113,Valuation_Date_GC,ReportType,DataMode,$H268,FXMode)*Scale+P237*Pension10,"--"))</f>
        <v>--</v>
      </c>
      <c r="R268" s="1466"/>
      <c r="T268" s="1779" t="s">
        <v>784</v>
      </c>
      <c r="U268" s="2132">
        <f>IF(U$221,_xll.ciqfunctions.udf.CIQ($G268, "IQ_SHARESOUTSTANDING", U$222),"--")</f>
        <v>0</v>
      </c>
      <c r="V268" s="2132">
        <f>IF(V$221,_xll.ciqfunctions.udf.CIQ($G268, "IQ_SHARESOUTSTANDING", V$222),"--")</f>
        <v>0</v>
      </c>
      <c r="W268" s="2132">
        <f>IF(W$221,_xll.ciqfunctions.udf.CIQ($G268, "IQ_SHARESOUTSTANDING", W$222),"--")</f>
        <v>0</v>
      </c>
      <c r="X268" s="2132">
        <f>IF(X$221,_xll.ciqfunctions.udf.CIQ($G268, "IQ_SHARESOUTSTANDING", X$222),"--")</f>
        <v>0</v>
      </c>
      <c r="Y268" s="2132">
        <f>IF(Y$221,_xll.ciqfunctions.udf.CIQ($G268, "IQ_SHARESOUTSTANDING", Y$222),"--")</f>
        <v>0</v>
      </c>
      <c r="Z268" s="2132">
        <f>IF(Z$221,_xll.ciqfunctions.udf.CIQ($G268, "IQ_SHARESOUTSTANDING", Z$222),"--")</f>
        <v>0</v>
      </c>
      <c r="AA268" s="2132">
        <f>IF(AA$221,_xll.ciqfunctions.udf.CIQ($G268, "IQ_SHARESOUTSTANDING", AA$222),"--")</f>
        <v>0</v>
      </c>
      <c r="AB268" s="2132">
        <f>IF(AB$221,_xll.ciqfunctions.udf.CIQ($G268, "IQ_SHARESOUTSTANDING", AB$222),"--")</f>
        <v>0</v>
      </c>
      <c r="AC268" s="2132">
        <f>IF(AC$221,_xll.ciqfunctions.udf.CIQ($G268, "IQ_SHARESOUTSTANDING", AC$222),"--")</f>
        <v>0</v>
      </c>
      <c r="AD268" s="2132">
        <f>IF(AD$221,_xll.ciqfunctions.udf.CIQ($G268, "IQ_SHARESOUTSTANDING", AD$222),"--")</f>
        <v>0</v>
      </c>
      <c r="AE268" s="2132">
        <f>IF(AE$221,_xll.ciqfunctions.udf.CIQ($G268, "IQ_SHARESOUTSTANDING", AE$222),"--")</f>
        <v>0</v>
      </c>
      <c r="AF268" s="2132">
        <f>IF(AF$221,_xll.ciqfunctions.udf.CIQ($G268, "IQ_SHARESOUTSTANDING", AF$222),"--")</f>
        <v>0</v>
      </c>
      <c r="AG268" s="2132">
        <f>IF(AG$221,_xll.ciqfunctions.udf.CIQ($G268, "IQ_SHARESOUTSTANDING", AG$222),"--")</f>
        <v>0</v>
      </c>
      <c r="AH268" s="2132">
        <f>IF(AH$221,_xll.ciqfunctions.udf.CIQ($G268, "IQ_SHARESOUTSTANDING", AH$222),"--")</f>
        <v>0</v>
      </c>
      <c r="AI268" s="2132">
        <f>IF(AI$221,_xll.ciqfunctions.udf.CIQ($G268, "IQ_SHARESOUTSTANDING", AI$222),"--")</f>
        <v>0</v>
      </c>
      <c r="AJ268" s="2132">
        <f>IF(AJ$221,_xll.ciqfunctions.udf.CIQ($G268, "IQ_SHARESOUTSTANDING", AJ$222),"--")</f>
        <v>0</v>
      </c>
      <c r="AK268" s="2132">
        <f>IF(AK$221,_xll.ciqfunctions.udf.CIQ($G268, "IQ_SHARESOUTSTANDING", AK$222),"--")</f>
        <v>0</v>
      </c>
      <c r="AL268" s="2132">
        <f>IF(AL$221,_xll.ciqfunctions.udf.CIQ($G268, "IQ_SHARESOUTSTANDING", AL$222),"--")</f>
        <v>0</v>
      </c>
      <c r="AM268" s="2132">
        <f>IF(AM$221,_xll.ciqfunctions.udf.CIQ($G268, "IQ_SHARESOUTSTANDING", AM$222),"--")</f>
        <v>0</v>
      </c>
      <c r="AN268" s="2132">
        <f>IF(AN$221,_xll.ciqfunctions.udf.CIQ($G268, "IQ_SHARESOUTSTANDING", AN$222),"--")</f>
        <v>0</v>
      </c>
      <c r="AO268" s="2132">
        <f>IF(AO$221,_xll.ciqfunctions.udf.CIQ($G268, "IQ_SHARESOUTSTANDING", AO$222),"--")</f>
        <v>0</v>
      </c>
      <c r="AP268" s="2132">
        <f>IF(AP$221,_xll.ciqfunctions.udf.CIQ($G268, "IQ_SHARESOUTSTANDING", AP$222),"--")</f>
        <v>0</v>
      </c>
      <c r="AQ268" s="2132">
        <f>IF(AQ$221,_xll.ciqfunctions.udf.CIQ($G268, "IQ_SHARESOUTSTANDING", AQ$222),"--")</f>
        <v>0</v>
      </c>
      <c r="AR268" s="2132">
        <f>IF(AR$221,_xll.ciqfunctions.udf.CIQ($G268, "IQ_SHARESOUTSTANDING", AR$222),"--")</f>
        <v>0</v>
      </c>
      <c r="AS268" s="2132">
        <f>IF(AS$221,_xll.ciqfunctions.udf.CIQ($G268, "IQ_SHARESOUTSTANDING", AS$222),"--")</f>
        <v>0</v>
      </c>
      <c r="AT268" s="2132">
        <f>IF(AT$221,_xll.ciqfunctions.udf.CIQ($G268, "IQ_SHARESOUTSTANDING", AT$222),"--")</f>
        <v>0</v>
      </c>
      <c r="AU268" s="2132">
        <f>IF(AU$221,_xll.ciqfunctions.udf.CIQ($G268, "IQ_SHARESOUTSTANDING", AU$222),"--")</f>
        <v>0</v>
      </c>
      <c r="AV268" s="2132">
        <f>IF(AV$221,_xll.ciqfunctions.udf.CIQ($G268, "IQ_SHARESOUTSTANDING", AV$222),"--")</f>
        <v>0</v>
      </c>
      <c r="AW268" s="2132">
        <f>IF(AW$221,_xll.ciqfunctions.udf.CIQ($G268, "IQ_SHARESOUTSTANDING", AW$222),"--")</f>
        <v>0</v>
      </c>
      <c r="AX268" s="2132">
        <f>IF(AX$221,_xll.ciqfunctions.udf.CIQ($G268, "IQ_SHARESOUTSTANDING", AX$222),"--")</f>
        <v>0</v>
      </c>
      <c r="AY268" s="2132">
        <f>IF(AY$221,_xll.ciqfunctions.udf.CIQ($G268, "IQ_SHARESOUTSTANDING", AY$222),"--")</f>
        <v>0</v>
      </c>
      <c r="AZ268" s="2132">
        <f>IF(AZ$221,_xll.ciqfunctions.udf.CIQ($G268, "IQ_SHARESOUTSTANDING", AZ$222),"--")</f>
        <v>0</v>
      </c>
      <c r="BA268" s="2132">
        <f>IF(BA$221,_xll.ciqfunctions.udf.CIQ($G268, "IQ_SHARESOUTSTANDING", BA$222),"--")</f>
        <v>0</v>
      </c>
      <c r="BB268" s="2132">
        <f>IF(BB$221,_xll.ciqfunctions.udf.CIQ($G268, "IQ_SHARESOUTSTANDING", BB$222),"--")</f>
        <v>0</v>
      </c>
      <c r="BC268" s="2132">
        <f>IF(BC$221,_xll.ciqfunctions.udf.CIQ($G268, "IQ_SHARESOUTSTANDING", BC$222),"--")</f>
        <v>0</v>
      </c>
      <c r="BD268" s="2132">
        <f>IF(BD$221,_xll.ciqfunctions.udf.CIQ($G268, "IQ_SHARESOUTSTANDING", BD$222),"--")</f>
        <v>0</v>
      </c>
      <c r="BE268" s="2132">
        <f>IF(BE$221,_xll.ciqfunctions.udf.CIQ($G268, "IQ_SHARESOUTSTANDING", BE$222),"--")</f>
        <v>0</v>
      </c>
      <c r="BF268" s="2132">
        <f>IF(BF$221,_xll.ciqfunctions.udf.CIQ($G268, "IQ_SHARESOUTSTANDING", BF$222),"--")</f>
        <v>0</v>
      </c>
      <c r="BG268" s="2132">
        <f>IF(BG$221,_xll.ciqfunctions.udf.CIQ($G268, "IQ_SHARESOUTSTANDING", BG$222),"--")</f>
        <v>0</v>
      </c>
      <c r="BH268" s="2132">
        <f>IF(BH$221,_xll.ciqfunctions.udf.CIQ($G268, "IQ_SHARESOUTSTANDING", BH$222),"--")</f>
        <v>0</v>
      </c>
      <c r="BI268" s="2132">
        <f>IF(BI$221,_xll.ciqfunctions.udf.CIQ($G268, "IQ_SHARESOUTSTANDING", BI$222),"--")</f>
        <v>0</v>
      </c>
      <c r="BJ268" s="2132">
        <f>IF(BJ$221,_xll.ciqfunctions.udf.CIQ($G268, "IQ_SHARESOUTSTANDING", BJ$222),"--")</f>
        <v>0</v>
      </c>
      <c r="BK268" s="2132">
        <f>IF(BK$221,_xll.ciqfunctions.udf.CIQ($G268, "IQ_SHARESOUTSTANDING", BK$222),"--")</f>
        <v>0</v>
      </c>
      <c r="BL268" s="2132">
        <f>IF(BL$221,_xll.ciqfunctions.udf.CIQ($G268, "IQ_SHARESOUTSTANDING", BL$222),"--")</f>
        <v>0</v>
      </c>
      <c r="BM268" s="2132">
        <f>IF(BM$221,_xll.ciqfunctions.udf.CIQ($G268, "IQ_SHARESOUTSTANDING", BM$222),"--")</f>
        <v>0</v>
      </c>
      <c r="BN268" s="2132">
        <f>IF(BN$221,_xll.ciqfunctions.udf.CIQ($G268, "IQ_SHARESOUTSTANDING", BN$222),"--")</f>
        <v>0</v>
      </c>
      <c r="BO268" s="2132">
        <f>IF(BO$221,_xll.ciqfunctions.udf.CIQ($G268, "IQ_SHARESOUTSTANDING", BO$222),"--")</f>
        <v>0</v>
      </c>
      <c r="BP268" s="2132">
        <f>IF(BP$221,_xll.ciqfunctions.udf.CIQ($G268, "IQ_SHARESOUTSTANDING", BP$222),"--")</f>
        <v>0</v>
      </c>
      <c r="BQ268" s="2132">
        <f>IF(BQ$221,_xll.ciqfunctions.udf.CIQ($G268, "IQ_SHARESOUTSTANDING", BQ$222),"--")</f>
        <v>0</v>
      </c>
      <c r="BR268" s="2132">
        <f>IF(BR$221,_xll.ciqfunctions.udf.CIQ($G268, "IQ_SHARESOUTSTANDING", BR$222),"--")</f>
        <v>0</v>
      </c>
      <c r="BS268" s="2132">
        <f>IF(BS$221,_xll.ciqfunctions.udf.CIQ($G268, "IQ_SHARESOUTSTANDING", BS$222),"--")</f>
        <v>0</v>
      </c>
      <c r="BT268" s="2132">
        <f>IF(BT$221,_xll.ciqfunctions.udf.CIQ($G268, "IQ_SHARESOUTSTANDING", BT$222),"--")</f>
        <v>0</v>
      </c>
      <c r="BU268" s="2132">
        <f>IF(BU$221,_xll.ciqfunctions.udf.CIQ($G268, "IQ_SHARESOUTSTANDING", BU$222),"--")</f>
        <v>0</v>
      </c>
      <c r="BV268" s="2132">
        <f>IF(BV$221,_xll.ciqfunctions.udf.CIQ($G268, "IQ_SHARESOUTSTANDING", BV$222),"--")</f>
        <v>0</v>
      </c>
      <c r="BW268" s="2132">
        <f>IF(BW$221,_xll.ciqfunctions.udf.CIQ($G268, "IQ_SHARESOUTSTANDING", BW$222),"--")</f>
        <v>0</v>
      </c>
      <c r="BX268" s="2132">
        <f>IF(BX$221,_xll.ciqfunctions.udf.CIQ($G268, "IQ_SHARESOUTSTANDING", BX$222),"--")</f>
        <v>0</v>
      </c>
      <c r="BY268" s="2132">
        <f>IF(BY$221,_xll.ciqfunctions.udf.CIQ($G268, "IQ_SHARESOUTSTANDING", BY$222),"--")</f>
        <v>0</v>
      </c>
      <c r="BZ268" s="2132">
        <f>IF(BZ$221,_xll.ciqfunctions.udf.CIQ($G268, "IQ_SHARESOUTSTANDING", BZ$222),"--")</f>
        <v>0</v>
      </c>
      <c r="CA268" s="2132">
        <f>IF(CA$221,_xll.ciqfunctions.udf.CIQ($G268, "IQ_SHARESOUTSTANDING", CA$222),"--")</f>
        <v>0</v>
      </c>
      <c r="CB268" s="2132">
        <f>IF(CB$221,_xll.ciqfunctions.udf.CIQ($G268, "IQ_SHARESOUTSTANDING", CB$222),"--")</f>
        <v>0</v>
      </c>
      <c r="CC268" s="2132">
        <f>IF(CC$221,_xll.ciqfunctions.udf.CIQ($G268, "IQ_SHARESOUTSTANDING", CC$222),"--")</f>
        <v>0</v>
      </c>
      <c r="CD268" s="2132">
        <f>IF(CD$221,_xll.ciqfunctions.udf.CIQ($G268, "IQ_SHARESOUTSTANDING", CD$222),"--")</f>
        <v>0</v>
      </c>
      <c r="CE268" s="2132">
        <f>IF(CE$221,_xll.ciqfunctions.udf.CIQ($G268, "IQ_SHARESOUTSTANDING", CE$222),"--")</f>
        <v>0</v>
      </c>
      <c r="CF268" s="2132">
        <f>IF(CF$221,_xll.ciqfunctions.udf.CIQ($G268, "IQ_SHARESOUTSTANDING", CF$222),"--")</f>
        <v>0</v>
      </c>
      <c r="CG268" s="2132">
        <f>IF(CG$221,_xll.ciqfunctions.udf.CIQ($G268, "IQ_SHARESOUTSTANDING", CG$222),"--")</f>
        <v>0</v>
      </c>
      <c r="CH268" s="2132">
        <f>IF(CH$221,_xll.ciqfunctions.udf.CIQ($G268, "IQ_SHARESOUTSTANDING", CH$222),"--")</f>
        <v>0</v>
      </c>
      <c r="CI268" s="2132">
        <f>IF(CI$221,_xll.ciqfunctions.udf.CIQ($G268, "IQ_SHARESOUTSTANDING", CI$222),"--")</f>
        <v>0</v>
      </c>
      <c r="CJ268" s="2132">
        <f>IF(CJ$221,_xll.ciqfunctions.udf.CIQ($G268, "IQ_SHARESOUTSTANDING", CJ$222),"--")</f>
        <v>0</v>
      </c>
      <c r="CK268" s="2132">
        <f>IF(CK$221,_xll.ciqfunctions.udf.CIQ($G268, "IQ_SHARESOUTSTANDING", CK$222),"--")</f>
        <v>0</v>
      </c>
      <c r="CL268" s="2132">
        <f>IF(CL$221,_xll.ciqfunctions.udf.CIQ($G268, "IQ_SHARESOUTSTANDING", CL$222),"--")</f>
        <v>0</v>
      </c>
      <c r="CM268" s="2132">
        <f>IF(CM$221,_xll.ciqfunctions.udf.CIQ($G268, "IQ_SHARESOUTSTANDING", CM$222),"--")</f>
        <v>0</v>
      </c>
      <c r="CN268" s="2132">
        <f>IF(CN$221,_xll.ciqfunctions.udf.CIQ($G268, "IQ_SHARESOUTSTANDING", CN$222),"--")</f>
        <v>0</v>
      </c>
      <c r="CO268" s="2132">
        <f>IF(CO$221,_xll.ciqfunctions.udf.CIQ($G268, "IQ_SHARESOUTSTANDING", CO$222),"--")</f>
        <v>0</v>
      </c>
      <c r="CP268" s="2132">
        <f>IF(CP$221,_xll.ciqfunctions.udf.CIQ($G268, "IQ_SHARESOUTSTANDING", CP$222),"--")</f>
        <v>0</v>
      </c>
      <c r="CQ268" s="2132">
        <f>IF(CQ$221,_xll.ciqfunctions.udf.CIQ($G268, "IQ_SHARESOUTSTANDING", CQ$222),"--")</f>
        <v>0</v>
      </c>
      <c r="CR268" s="2132">
        <f>IF(CR$221,_xll.ciqfunctions.udf.CIQ($G268, "IQ_SHARESOUTSTANDING", CR$222),"--")</f>
        <v>0</v>
      </c>
      <c r="CS268" s="2132">
        <f>IF(CS$221,_xll.ciqfunctions.udf.CIQ($G268, "IQ_SHARESOUTSTANDING", CS$222),"--")</f>
        <v>0</v>
      </c>
      <c r="CT268" s="2132">
        <f>IF(CT$221,_xll.ciqfunctions.udf.CIQ($G268, "IQ_SHARESOUTSTANDING", CT$222),"--")</f>
        <v>0</v>
      </c>
      <c r="CU268" s="2132">
        <f>IF(CU$221,_xll.ciqfunctions.udf.CIQ($G268, "IQ_SHARESOUTSTANDING", CU$222),"--")</f>
        <v>0</v>
      </c>
      <c r="CV268" s="2132">
        <f>IF(CV$221,_xll.ciqfunctions.udf.CIQ($G268, "IQ_SHARESOUTSTANDING", CV$222),"--")</f>
        <v>0</v>
      </c>
      <c r="CW268" s="2132">
        <f>IF(CW$221,_xll.ciqfunctions.udf.CIQ($G268, "IQ_SHARESOUTSTANDING", CW$222),"--")</f>
        <v>0</v>
      </c>
      <c r="CX268" s="2132">
        <f>IF(CX$221,_xll.ciqfunctions.udf.CIQ($G268, "IQ_SHARESOUTSTANDING", CX$222),"--")</f>
        <v>0</v>
      </c>
      <c r="CY268" s="2132">
        <f>IF(CY$221,_xll.ciqfunctions.udf.CIQ($G268, "IQ_SHARESOUTSTANDING", CY$222),"--")</f>
        <v>0</v>
      </c>
      <c r="CZ268" s="2132">
        <f>IF(CZ$221,_xll.ciqfunctions.udf.CIQ($G268, "IQ_SHARESOUTSTANDING", CZ$222),"--")</f>
        <v>0</v>
      </c>
      <c r="DA268" s="2132">
        <f>IF(DA$221,_xll.ciqfunctions.udf.CIQ($G268, "IQ_SHARESOUTSTANDING", DA$222),"--")</f>
        <v>0</v>
      </c>
      <c r="DB268" s="2132">
        <f>IF(DB$221,_xll.ciqfunctions.udf.CIQ($G268, "IQ_SHARESOUTSTANDING", DB$222),"--")</f>
        <v>0</v>
      </c>
      <c r="DC268" s="2132">
        <f>IF(DC$221,_xll.ciqfunctions.udf.CIQ($G268, "IQ_SHARESOUTSTANDING", DC$222),"--")</f>
        <v>0</v>
      </c>
      <c r="DD268" s="2132">
        <f>IF(DD$221,_xll.ciqfunctions.udf.CIQ($G268, "IQ_SHARESOUTSTANDING", DD$222),"--")</f>
        <v>0</v>
      </c>
      <c r="DE268" s="2132">
        <f>IF(DE$221,_xll.ciqfunctions.udf.CIQ($G268, "IQ_SHARESOUTSTANDING", DE$222),"--")</f>
        <v>0</v>
      </c>
      <c r="DF268" s="2132">
        <f>IF(DF$221,_xll.ciqfunctions.udf.CIQ($G268, "IQ_SHARESOUTSTANDING", DF$222),"--")</f>
        <v>0</v>
      </c>
      <c r="DG268" s="2132">
        <f>IF(DG$221,_xll.ciqfunctions.udf.CIQ($G268, "IQ_SHARESOUTSTANDING", DG$222),"--")</f>
        <v>0</v>
      </c>
      <c r="DH268" s="2132">
        <f>IF(DH$221,_xll.ciqfunctions.udf.CIQ($G268, "IQ_SHARESOUTSTANDING", DH$222),"--")</f>
        <v>0</v>
      </c>
      <c r="DI268" s="2132">
        <f>IF(DI$221,_xll.ciqfunctions.udf.CIQ($G268, "IQ_SHARESOUTSTANDING", DI$222),"--")</f>
        <v>0</v>
      </c>
      <c r="DJ268" s="2132">
        <f>IF(DJ$221,_xll.ciqfunctions.udf.CIQ($G268, "IQ_SHARESOUTSTANDING", DJ$222),"--")</f>
        <v>0</v>
      </c>
      <c r="DK268" s="2132">
        <f>IF(DK$221,_xll.ciqfunctions.udf.CIQ($G268, "IQ_SHARESOUTSTANDING", DK$222),"--")</f>
        <v>0</v>
      </c>
      <c r="DL268" s="2132">
        <f>IF(DL$221,_xll.ciqfunctions.udf.CIQ($G268, "IQ_SHARESOUTSTANDING", DL$222),"--")</f>
        <v>0</v>
      </c>
      <c r="DM268" s="2132">
        <f>IF(DM$221,_xll.ciqfunctions.udf.CIQ($G268, "IQ_SHARESOUTSTANDING", DM$222),"--")</f>
        <v>0</v>
      </c>
      <c r="DN268" s="2132">
        <f>IF(DN$221,_xll.ciqfunctions.udf.CIQ($G268, "IQ_SHARESOUTSTANDING", DN$222),"--")</f>
        <v>0</v>
      </c>
      <c r="DO268" s="2132">
        <f>IF(DO$221,_xll.ciqfunctions.udf.CIQ($G268, "IQ_SHARESOUTSTANDING", DO$222),"--")</f>
        <v>0</v>
      </c>
      <c r="DP268" s="2132">
        <f>IF(DP$221,_xll.ciqfunctions.udf.CIQ($G268, "IQ_SHARESOUTSTANDING", DP$222),"--")</f>
        <v>0</v>
      </c>
      <c r="DQ268" s="2132">
        <f>IF(DQ$221,_xll.ciqfunctions.udf.CIQ($G268, "IQ_SHARESOUTSTANDING", DQ$222),"--")</f>
        <v>0</v>
      </c>
      <c r="DR268" s="2132">
        <f>IF(DR$221,_xll.ciqfunctions.udf.CIQ($G268, "IQ_SHARESOUTSTANDING", DR$222),"--")</f>
        <v>0</v>
      </c>
      <c r="DS268" s="2132">
        <f>IF(DS$221,_xll.ciqfunctions.udf.CIQ($G268, "IQ_SHARESOUTSTANDING", DS$222),"--")</f>
        <v>0</v>
      </c>
      <c r="DT268" s="2132">
        <f>IF(DT$221,_xll.ciqfunctions.udf.CIQ($G268, "IQ_SHARESOUTSTANDING", DT$222),"--")</f>
        <v>0</v>
      </c>
      <c r="DU268" s="2132">
        <f>IF(DU$221,_xll.ciqfunctions.udf.CIQ($G268, "IQ_SHARESOUTSTANDING", DU$222),"--")</f>
        <v>0</v>
      </c>
      <c r="DV268" s="2132">
        <f>IF(DV$221,_xll.ciqfunctions.udf.CIQ($G268, "IQ_SHARESOUTSTANDING", DV$222),"--")</f>
        <v>0</v>
      </c>
      <c r="DW268" s="2132">
        <f>IF(DW$221,_xll.ciqfunctions.udf.CIQ($G268, "IQ_SHARESOUTSTANDING", DW$222),"--")</f>
        <v>0</v>
      </c>
      <c r="DX268" s="2132">
        <f>IF(DX$221,_xll.ciqfunctions.udf.CIQ($G268, "IQ_SHARESOUTSTANDING", DX$222),"--")</f>
        <v>0</v>
      </c>
      <c r="DY268" s="2132">
        <f>IF(DY$221,_xll.ciqfunctions.udf.CIQ($G268, "IQ_SHARESOUTSTANDING", DY$222),"--")</f>
        <v>0</v>
      </c>
      <c r="DZ268" s="2132">
        <f>IF(DZ$221,_xll.ciqfunctions.udf.CIQ($G268, "IQ_SHARESOUTSTANDING", DZ$222),"--")</f>
        <v>0</v>
      </c>
      <c r="EA268" s="2132">
        <f>IF(EA$221,_xll.ciqfunctions.udf.CIQ($G268, "IQ_SHARESOUTSTANDING", EA$222),"--")</f>
        <v>0</v>
      </c>
      <c r="EB268" s="2132">
        <f>IF(EB$221,_xll.ciqfunctions.udf.CIQ($G268, "IQ_SHARESOUTSTANDING", EB$222),"--")</f>
        <v>0</v>
      </c>
      <c r="EC268" s="2132">
        <f>IF(EC$221,_xll.ciqfunctions.udf.CIQ($G268, "IQ_SHARESOUTSTANDING", EC$222),"--")</f>
        <v>0</v>
      </c>
      <c r="ED268" s="2132">
        <f>IF(ED$221,_xll.ciqfunctions.udf.CIQ($G268, "IQ_SHARESOUTSTANDING", ED$222),"--")</f>
        <v>0</v>
      </c>
      <c r="EE268" s="2132">
        <f>IF(EE$221,_xll.ciqfunctions.udf.CIQ($G268, "IQ_SHARESOUTSTANDING", EE$222),"--")</f>
        <v>0</v>
      </c>
      <c r="EF268" s="2132">
        <f>IF(EF$221,_xll.ciqfunctions.udf.CIQ($G268, "IQ_SHARESOUTSTANDING", EF$222),"--")</f>
        <v>0</v>
      </c>
      <c r="EG268" s="2132">
        <f>IF(EG$221,_xll.ciqfunctions.udf.CIQ($G268, "IQ_SHARESOUTSTANDING", EG$222),"--")</f>
        <v>0</v>
      </c>
      <c r="EH268" s="2132">
        <f>IF(EH$221,_xll.ciqfunctions.udf.CIQ($G268, "IQ_SHARESOUTSTANDING", EH$222),"--")</f>
        <v>0</v>
      </c>
      <c r="EI268" s="2132">
        <f>IF(EI$221,_xll.ciqfunctions.udf.CIQ($G268, "IQ_SHARESOUTSTANDING", EI$222),"--")</f>
        <v>0</v>
      </c>
      <c r="EJ268" s="2132">
        <f>IF(EJ$221,_xll.ciqfunctions.udf.CIQ($G268, "IQ_SHARESOUTSTANDING", EJ$222),"--")</f>
        <v>0</v>
      </c>
      <c r="EK268" s="2132">
        <f>IF(EK$221,_xll.ciqfunctions.udf.CIQ($G268, "IQ_SHARESOUTSTANDING", EK$222),"--")</f>
        <v>0</v>
      </c>
      <c r="EL268" s="2132">
        <f>IF(EL$221,_xll.ciqfunctions.udf.CIQ($G268, "IQ_SHARESOUTSTANDING", EL$222),"--")</f>
        <v>0</v>
      </c>
      <c r="EM268" s="2132">
        <f>IF(EM$221,_xll.ciqfunctions.udf.CIQ($G268, "IQ_SHARESOUTSTANDING", EM$222),"--")</f>
        <v>0</v>
      </c>
      <c r="EN268" s="2132">
        <f>IF(EN$221,_xll.ciqfunctions.udf.CIQ($G268, "IQ_SHARESOUTSTANDING", EN$222),"--")</f>
        <v>0</v>
      </c>
      <c r="EO268" s="2132">
        <f>IF(EO$221,_xll.ciqfunctions.udf.CIQ($G268, "IQ_SHARESOUTSTANDING", EO$222),"--")</f>
        <v>0</v>
      </c>
      <c r="EP268" s="2132">
        <f>IF(EP$221,_xll.ciqfunctions.udf.CIQ($G268, "IQ_SHARESOUTSTANDING", EP$222),"--")</f>
        <v>0</v>
      </c>
      <c r="EQ268" s="2132">
        <f>IF(EQ$221,_xll.ciqfunctions.udf.CIQ($G268, "IQ_SHARESOUTSTANDING", EQ$222),"--")</f>
        <v>0</v>
      </c>
      <c r="ER268" s="2132">
        <f>IF(ER$221,_xll.ciqfunctions.udf.CIQ($G268, "IQ_SHARESOUTSTANDING", ER$222),"--")</f>
        <v>0</v>
      </c>
      <c r="ES268" s="2132">
        <f>IF(ES$221,_xll.ciqfunctions.udf.CIQ($G268, "IQ_SHARESOUTSTANDING", ES$222),"--")</f>
        <v>0</v>
      </c>
      <c r="ET268" s="2132">
        <f>IF(ET$221,_xll.ciqfunctions.udf.CIQ($G268, "IQ_SHARESOUTSTANDING", ET$222),"--")</f>
        <v>0</v>
      </c>
      <c r="EU268" s="2132">
        <f>IF(EU$221,_xll.ciqfunctions.udf.CIQ($G268, "IQ_SHARESOUTSTANDING", EU$222),"--")</f>
        <v>0</v>
      </c>
      <c r="EV268" s="2132">
        <f>IF(EV$221,_xll.ciqfunctions.udf.CIQ($G268, "IQ_SHARESOUTSTANDING", EV$222),"--")</f>
        <v>0</v>
      </c>
      <c r="EW268" s="2132">
        <f>IF(EW$221,_xll.ciqfunctions.udf.CIQ($G268, "IQ_SHARESOUTSTANDING", EW$222),"--")</f>
        <v>0</v>
      </c>
      <c r="EX268" s="2132">
        <f>IF(EX$221,_xll.ciqfunctions.udf.CIQ($G268, "IQ_SHARESOUTSTANDING", EX$222),"--")</f>
        <v>0</v>
      </c>
      <c r="EY268" s="2132">
        <f>IF(EY$221,_xll.ciqfunctions.udf.CIQ($G268, "IQ_SHARESOUTSTANDING", EY$222),"--")</f>
        <v>0</v>
      </c>
      <c r="EZ268" s="2132">
        <f>IF(EZ$221,_xll.ciqfunctions.udf.CIQ($G268, "IQ_SHARESOUTSTANDING", EZ$222),"--")</f>
        <v>0</v>
      </c>
      <c r="FA268" s="2132">
        <f>IF(FA$221,_xll.ciqfunctions.udf.CIQ($G268, "IQ_SHARESOUTSTANDING", FA$222),"--")</f>
        <v>0</v>
      </c>
      <c r="FB268" s="2132">
        <f>IF(FB$221,_xll.ciqfunctions.udf.CIQ($G268, "IQ_SHARESOUTSTANDING", FB$222),"--")</f>
        <v>0</v>
      </c>
      <c r="FC268" s="2132">
        <f>IF(FC$221,_xll.ciqfunctions.udf.CIQ($G268, "IQ_SHARESOUTSTANDING", FC$222),"--")</f>
        <v>0</v>
      </c>
      <c r="FD268" s="2132">
        <f>IF(FD$221,_xll.ciqfunctions.udf.CIQ($G268, "IQ_SHARESOUTSTANDING", FD$222),"--")</f>
        <v>0</v>
      </c>
      <c r="FE268" s="2132">
        <f>IF(FE$221,_xll.ciqfunctions.udf.CIQ($G268, "IQ_SHARESOUTSTANDING", FE$222),"--")</f>
        <v>0</v>
      </c>
      <c r="FF268" s="2132">
        <f>IF(FF$221,_xll.ciqfunctions.udf.CIQ($G268, "IQ_SHARESOUTSTANDING", FF$222),"--")</f>
        <v>0</v>
      </c>
      <c r="FG268" s="2132">
        <f>IF(FG$221,_xll.ciqfunctions.udf.CIQ($G268, "IQ_SHARESOUTSTANDING", FG$222),"--")</f>
        <v>0</v>
      </c>
      <c r="FH268" s="2132">
        <f>IF(FH$221,_xll.ciqfunctions.udf.CIQ($G268, "IQ_SHARESOUTSTANDING", FH$222),"--")</f>
        <v>0</v>
      </c>
      <c r="FI268" s="2132">
        <f>IF(FI$221,_xll.ciqfunctions.udf.CIQ($G268, "IQ_SHARESOUTSTANDING", FI$222),"--")</f>
        <v>0</v>
      </c>
      <c r="FJ268" s="2132">
        <f>IF(FJ$221,_xll.ciqfunctions.udf.CIQ($G268, "IQ_SHARESOUTSTANDING", FJ$222),"--")</f>
        <v>0</v>
      </c>
      <c r="FK268" s="2132">
        <f>IF(FK$221,_xll.ciqfunctions.udf.CIQ($G268, "IQ_SHARESOUTSTANDING", FK$222),"--")</f>
        <v>0</v>
      </c>
      <c r="FL268" s="2132">
        <f>IF(FL$221,_xll.ciqfunctions.udf.CIQ($G268, "IQ_SHARESOUTSTANDING", FL$222),"--")</f>
        <v>0</v>
      </c>
      <c r="FM268" s="2132">
        <f>IF(FM$221,_xll.ciqfunctions.udf.CIQ($G268, "IQ_SHARESOUTSTANDING", FM$222),"--")</f>
        <v>0</v>
      </c>
      <c r="FN268" s="2132">
        <f>IF(FN$221,_xll.ciqfunctions.udf.CIQ($G268, "IQ_SHARESOUTSTANDING", FN$222),"--")</f>
        <v>0</v>
      </c>
      <c r="FO268" s="2132">
        <f>IF(FO$221,_xll.ciqfunctions.udf.CIQ($G268, "IQ_SHARESOUTSTANDING", FO$222),"--")</f>
        <v>0</v>
      </c>
      <c r="FP268" s="2132">
        <f>IF(FP$221,_xll.ciqfunctions.udf.CIQ($G268, "IQ_SHARESOUTSTANDING", FP$222),"--")</f>
        <v>0</v>
      </c>
      <c r="FQ268" s="2132">
        <f>IF(FQ$221,_xll.ciqfunctions.udf.CIQ($G268, "IQ_SHARESOUTSTANDING", FQ$222),"--")</f>
        <v>0</v>
      </c>
      <c r="FR268" s="2132">
        <f>IF(FR$221,_xll.ciqfunctions.udf.CIQ($G268, "IQ_SHARESOUTSTANDING", FR$222),"--")</f>
        <v>0</v>
      </c>
      <c r="FS268" s="2132">
        <f>IF(FS$221,_xll.ciqfunctions.udf.CIQ($G268, "IQ_SHARESOUTSTANDING", FS$222),"--")</f>
        <v>0</v>
      </c>
      <c r="FT268" s="2132">
        <f>IF(FT$221,_xll.ciqfunctions.udf.CIQ($G268, "IQ_SHARESOUTSTANDING", FT$222),"--")</f>
        <v>0</v>
      </c>
      <c r="FU268" s="2132">
        <f>IF(FU$221,_xll.ciqfunctions.udf.CIQ($G268, "IQ_SHARESOUTSTANDING", FU$222),"--")</f>
        <v>0</v>
      </c>
      <c r="FV268" s="2132">
        <f>IF(FV$221,_xll.ciqfunctions.udf.CIQ($G268, "IQ_SHARESOUTSTANDING", FV$222),"--")</f>
        <v>0</v>
      </c>
      <c r="FW268" s="2132">
        <f>IF(FW$221,_xll.ciqfunctions.udf.CIQ($G268, "IQ_SHARESOUTSTANDING", FW$222),"--")</f>
        <v>0</v>
      </c>
      <c r="FX268" s="2132">
        <f>IF(FX$221,_xll.ciqfunctions.udf.CIQ($G268, "IQ_SHARESOUTSTANDING", FX$222),"--")</f>
        <v>0</v>
      </c>
      <c r="FY268" s="2132">
        <f>IF(FY$221,_xll.ciqfunctions.udf.CIQ($G268, "IQ_SHARESOUTSTANDING", FY$222),"--")</f>
        <v>0</v>
      </c>
      <c r="FZ268" s="2132">
        <f>IF(FZ$221,_xll.ciqfunctions.udf.CIQ($G268, "IQ_SHARESOUTSTANDING", FZ$222),"--")</f>
        <v>0</v>
      </c>
      <c r="GA268" s="2132">
        <f>IF(GA$221,_xll.ciqfunctions.udf.CIQ($G268, "IQ_SHARESOUTSTANDING", GA$222),"--")</f>
        <v>0</v>
      </c>
      <c r="GB268" s="2132">
        <f>IF(GB$221,_xll.ciqfunctions.udf.CIQ($G268, "IQ_SHARESOUTSTANDING", GB$222),"--")</f>
        <v>0</v>
      </c>
      <c r="GC268" s="2132">
        <f>IF(GC$221,_xll.ciqfunctions.udf.CIQ($G268, "IQ_SHARESOUTSTANDING", GC$222),"--")</f>
        <v>0</v>
      </c>
      <c r="GD268" s="2132">
        <f>IF(GD$221,_xll.ciqfunctions.udf.CIQ($G268, "IQ_SHARESOUTSTANDING", GD$222),"--")</f>
        <v>0</v>
      </c>
      <c r="GE268" s="2132">
        <f>IF(GE$221,_xll.ciqfunctions.udf.CIQ($G268, "IQ_SHARESOUTSTANDING", GE$222),"--")</f>
        <v>0</v>
      </c>
      <c r="GF268" s="2132">
        <f>IF(GF$221,_xll.ciqfunctions.udf.CIQ($G268, "IQ_SHARESOUTSTANDING", GF$222),"--")</f>
        <v>0</v>
      </c>
      <c r="GG268" s="2132">
        <f>IF(GG$221,_xll.ciqfunctions.udf.CIQ($G268, "IQ_SHARESOUTSTANDING", GG$222),"--")</f>
        <v>0</v>
      </c>
      <c r="GH268" s="2132">
        <f>IF(GH$221,_xll.ciqfunctions.udf.CIQ($G268, "IQ_SHARESOUTSTANDING", GH$222),"--")</f>
        <v>0</v>
      </c>
      <c r="GI268" s="2132">
        <f>IF(GI$221,_xll.ciqfunctions.udf.CIQ($G268, "IQ_SHARESOUTSTANDING", GI$222),"--")</f>
        <v>0</v>
      </c>
      <c r="GJ268" s="2132">
        <f>IF(GJ$221,_xll.ciqfunctions.udf.CIQ($G268, "IQ_SHARESOUTSTANDING", GJ$222),"--")</f>
        <v>0</v>
      </c>
      <c r="GK268" s="2132">
        <f>IF(GK$221,_xll.ciqfunctions.udf.CIQ($G268, "IQ_SHARESOUTSTANDING", GK$222),"--")</f>
        <v>0</v>
      </c>
      <c r="GL268" s="2132">
        <f>IF(GL$221,_xll.ciqfunctions.udf.CIQ($G268, "IQ_SHARESOUTSTANDING", GL$222),"--")</f>
        <v>0</v>
      </c>
      <c r="GM268" s="2132">
        <f>IF(GM$221,_xll.ciqfunctions.udf.CIQ($G268, "IQ_SHARESOUTSTANDING", GM$222),"--")</f>
        <v>0</v>
      </c>
      <c r="GN268" s="2132">
        <f>IF(GN$221,_xll.ciqfunctions.udf.CIQ($G268, "IQ_SHARESOUTSTANDING", GN$222),"--")</f>
        <v>0</v>
      </c>
      <c r="GO268" s="2132">
        <f>IF(GO$221,_xll.ciqfunctions.udf.CIQ($G268, "IQ_SHARESOUTSTANDING", GO$222),"--")</f>
        <v>0</v>
      </c>
      <c r="GP268" s="2132">
        <f>IF(GP$221,_xll.ciqfunctions.udf.CIQ($G268, "IQ_SHARESOUTSTANDING", GP$222),"--")</f>
        <v>0</v>
      </c>
      <c r="GQ268" s="2132">
        <f>IF(GQ$221,_xll.ciqfunctions.udf.CIQ($G268, "IQ_SHARESOUTSTANDING", GQ$222),"--")</f>
        <v>0</v>
      </c>
      <c r="GR268" s="2132">
        <f>IF(GR$221,_xll.ciqfunctions.udf.CIQ($G268, "IQ_SHARESOUTSTANDING", GR$222),"--")</f>
        <v>0</v>
      </c>
      <c r="GS268" s="2132">
        <f>IF(GS$221,_xll.ciqfunctions.udf.CIQ($G268, "IQ_SHARESOUTSTANDING", GS$222),"--")</f>
        <v>0</v>
      </c>
      <c r="GT268" s="2132">
        <f>IF(GT$221,_xll.ciqfunctions.udf.CIQ($G268, "IQ_SHARESOUTSTANDING", GT$222),"--")</f>
        <v>0</v>
      </c>
      <c r="GU268" s="2132">
        <f>IF(GU$221,_xll.ciqfunctions.udf.CIQ($G268, "IQ_SHARESOUTSTANDING", GU$222),"--")</f>
        <v>0</v>
      </c>
      <c r="GV268" s="2132">
        <f>IF(GV$221,_xll.ciqfunctions.udf.CIQ($G268, "IQ_SHARESOUTSTANDING", GV$222),"--")</f>
        <v>0</v>
      </c>
      <c r="GW268" s="2132">
        <f>IF(GW$221,_xll.ciqfunctions.udf.CIQ($G268, "IQ_SHARESOUTSTANDING", GW$222),"--")</f>
        <v>0</v>
      </c>
      <c r="GX268" s="2132">
        <f>IF(GX$221,_xll.ciqfunctions.udf.CIQ($G268, "IQ_SHARESOUTSTANDING", GX$222),"--")</f>
        <v>0</v>
      </c>
      <c r="GY268" s="2132">
        <f>IF(GY$221,_xll.ciqfunctions.udf.CIQ($G268, "IQ_SHARESOUTSTANDING", GY$222),"--")</f>
        <v>0</v>
      </c>
      <c r="GZ268" s="2132">
        <f>IF(GZ$221,_xll.ciqfunctions.udf.CIQ($G268, "IQ_SHARESOUTSTANDING", GZ$222),"--")</f>
        <v>0</v>
      </c>
      <c r="HA268" s="2132">
        <f>IF(HA$221,_xll.ciqfunctions.udf.CIQ($G268, "IQ_SHARESOUTSTANDING", HA$222),"--")</f>
        <v>0</v>
      </c>
      <c r="HB268" s="2132">
        <f>IF(HB$221,_xll.ciqfunctions.udf.CIQ($G268, "IQ_SHARESOUTSTANDING", HB$222),"--")</f>
        <v>0</v>
      </c>
      <c r="HC268" s="2132">
        <f>IF(HC$221,_xll.ciqfunctions.udf.CIQ($G268, "IQ_SHARESOUTSTANDING", HC$222),"--")</f>
        <v>0</v>
      </c>
      <c r="HD268" s="2132">
        <f>IF(HD$221,_xll.ciqfunctions.udf.CIQ($G268, "IQ_SHARESOUTSTANDING", HD$222),"--")</f>
        <v>0</v>
      </c>
      <c r="HE268" s="2132">
        <f>IF(HE$221,_xll.ciqfunctions.udf.CIQ($G268, "IQ_SHARESOUTSTANDING", HE$222),"--")</f>
        <v>0</v>
      </c>
      <c r="HF268" s="2132">
        <f>IF(HF$221,_xll.ciqfunctions.udf.CIQ($G268, "IQ_SHARESOUTSTANDING", HF$222),"--")</f>
        <v>0</v>
      </c>
      <c r="HG268" s="2132">
        <f>IF(HG$221,_xll.ciqfunctions.udf.CIQ($G268, "IQ_SHARESOUTSTANDING", HG$222),"--")</f>
        <v>0</v>
      </c>
      <c r="HH268" s="2132">
        <f>IF(HH$221,_xll.ciqfunctions.udf.CIQ($G268, "IQ_SHARESOUTSTANDING", HH$222),"--")</f>
        <v>0</v>
      </c>
      <c r="HI268" s="2132">
        <f>IF(HI$221,_xll.ciqfunctions.udf.CIQ($G268, "IQ_SHARESOUTSTANDING", HI$222),"--")</f>
        <v>0</v>
      </c>
      <c r="HJ268" s="2132">
        <f>IF(HJ$221,_xll.ciqfunctions.udf.CIQ($G268, "IQ_SHARESOUTSTANDING", HJ$222),"--")</f>
        <v>0</v>
      </c>
      <c r="HK268" s="2132">
        <f>IF(HK$221,_xll.ciqfunctions.udf.CIQ($G268, "IQ_SHARESOUTSTANDING", HK$222),"--")</f>
        <v>0</v>
      </c>
      <c r="HL268" s="2132">
        <f>IF(HL$221,_xll.ciqfunctions.udf.CIQ($G268, "IQ_SHARESOUTSTANDING", HL$222),"--")</f>
        <v>0</v>
      </c>
      <c r="HM268" s="2132">
        <f>IF(HM$221,_xll.ciqfunctions.udf.CIQ($G268, "IQ_SHARESOUTSTANDING", HM$222),"--")</f>
        <v>0</v>
      </c>
      <c r="HN268" s="2132">
        <f>IF(HN$221,_xll.ciqfunctions.udf.CIQ($G268, "IQ_SHARESOUTSTANDING", HN$222),"--")</f>
        <v>0</v>
      </c>
      <c r="HO268" s="2132">
        <f>IF(HO$221,_xll.ciqfunctions.udf.CIQ($G268, "IQ_SHARESOUTSTANDING", HO$222),"--")</f>
        <v>0</v>
      </c>
      <c r="HP268" s="2132">
        <f>IF(HP$221,_xll.ciqfunctions.udf.CIQ($G268, "IQ_SHARESOUTSTANDING", HP$222),"--")</f>
        <v>0</v>
      </c>
      <c r="HQ268" s="2132">
        <f>IF(HQ$221,_xll.ciqfunctions.udf.CIQ($G268, "IQ_SHARESOUTSTANDING", HQ$222),"--")</f>
        <v>0</v>
      </c>
      <c r="HR268" s="2132">
        <f>IF(HR$221,_xll.ciqfunctions.udf.CIQ($G268, "IQ_SHARESOUTSTANDING", HR$222),"--")</f>
        <v>0</v>
      </c>
      <c r="HS268" s="2132">
        <f>IF(HS$221,_xll.ciqfunctions.udf.CIQ($G268, "IQ_SHARESOUTSTANDING", HS$222),"--")</f>
        <v>0</v>
      </c>
      <c r="HT268" s="2132">
        <f>IF(HT$221,_xll.ciqfunctions.udf.CIQ($G268, "IQ_SHARESOUTSTANDING", HT$222),"--")</f>
        <v>0</v>
      </c>
      <c r="HU268" s="2132">
        <f>IF(HU$221,_xll.ciqfunctions.udf.CIQ($G268, "IQ_SHARESOUTSTANDING", HU$222),"--")</f>
        <v>0</v>
      </c>
      <c r="HV268" s="2132">
        <f>IF(HV$221,_xll.ciqfunctions.udf.CIQ($G268, "IQ_SHARESOUTSTANDING", HV$222),"--")</f>
        <v>0</v>
      </c>
      <c r="HW268" s="2132">
        <f>IF(HW$221,_xll.ciqfunctions.udf.CIQ($G268, "IQ_SHARESOUTSTANDING", HW$222),"--")</f>
        <v>0</v>
      </c>
      <c r="HX268" s="2132">
        <f>IF(HX$221,_xll.ciqfunctions.udf.CIQ($G268, "IQ_SHARESOUTSTANDING", HX$222),"--")</f>
        <v>0</v>
      </c>
      <c r="HY268" s="2132">
        <f>IF(HY$221,_xll.ciqfunctions.udf.CIQ($G268, "IQ_SHARESOUTSTANDING", HY$222),"--")</f>
        <v>0</v>
      </c>
      <c r="HZ268" s="2132">
        <f>IF(HZ$221,_xll.ciqfunctions.udf.CIQ($G268, "IQ_SHARESOUTSTANDING", HZ$222),"--")</f>
        <v>0</v>
      </c>
      <c r="IA268" s="2132">
        <f>IF(IA$221,_xll.ciqfunctions.udf.CIQ($G268, "IQ_SHARESOUTSTANDING", IA$222),"--")</f>
        <v>0</v>
      </c>
      <c r="IB268" s="2132">
        <f>IF(IB$221,_xll.ciqfunctions.udf.CIQ($G268, "IQ_SHARESOUTSTANDING", IB$222),"--")</f>
        <v>0</v>
      </c>
      <c r="IC268" s="2132">
        <f>IF(IC$221,_xll.ciqfunctions.udf.CIQ($G268, "IQ_SHARESOUTSTANDING", IC$222),"--")</f>
        <v>0</v>
      </c>
      <c r="ID268" s="2132">
        <f>IF(ID$221,_xll.ciqfunctions.udf.CIQ($G268, "IQ_SHARESOUTSTANDING", ID$222),"--")</f>
        <v>0</v>
      </c>
      <c r="IE268" s="2132">
        <f>IF(IE$221,_xll.ciqfunctions.udf.CIQ($G268, "IQ_SHARESOUTSTANDING", IE$222),"--")</f>
        <v>0</v>
      </c>
      <c r="IF268" s="2132">
        <f>IF(IF$221,_xll.ciqfunctions.udf.CIQ($G268, "IQ_SHARESOUTSTANDING", IF$222),"--")</f>
        <v>0</v>
      </c>
      <c r="IG268" s="2132">
        <f>IF(IG$221,_xll.ciqfunctions.udf.CIQ($G268, "IQ_SHARESOUTSTANDING", IG$222),"--")</f>
        <v>0</v>
      </c>
      <c r="IH268" s="2132">
        <f>IF(IH$221,_xll.ciqfunctions.udf.CIQ($G268, "IQ_SHARESOUTSTANDING", IH$222),"--")</f>
        <v>0</v>
      </c>
      <c r="II268" s="2132">
        <f>IF(II$221,_xll.ciqfunctions.udf.CIQ($G268, "IQ_SHARESOUTSTANDING", II$222),"--")</f>
        <v>0</v>
      </c>
      <c r="IJ268" s="2132">
        <f>IF(IJ$221,_xll.ciqfunctions.udf.CIQ($G268, "IQ_SHARESOUTSTANDING", IJ$222),"--")</f>
        <v>0</v>
      </c>
      <c r="IK268" s="2132">
        <f>IF(IK$221,_xll.ciqfunctions.udf.CIQ($G268, "IQ_SHARESOUTSTANDING", IK$222),"--")</f>
        <v>0</v>
      </c>
      <c r="IL268" s="2132">
        <f>IF(IL$221,_xll.ciqfunctions.udf.CIQ($G268, "IQ_SHARESOUTSTANDING", IL$222),"--")</f>
        <v>0</v>
      </c>
      <c r="IM268" s="2132">
        <f>IF(IM$221,_xll.ciqfunctions.udf.CIQ($G268, "IQ_SHARESOUTSTANDING", IM$222),"--")</f>
        <v>0</v>
      </c>
      <c r="IN268" s="2132">
        <f>IF(IN$221,_xll.ciqfunctions.udf.CIQ($G268, "IQ_SHARESOUTSTANDING", IN$222),"--")</f>
        <v>0</v>
      </c>
      <c r="IO268" s="2132">
        <f>IF(IO$221,_xll.ciqfunctions.udf.CIQ($G268, "IQ_SHARESOUTSTANDING", IO$222),"--")</f>
        <v>0</v>
      </c>
      <c r="IP268" s="2132">
        <f>IF(IP$221,_xll.ciqfunctions.udf.CIQ($G268, "IQ_SHARESOUTSTANDING", IP$222),"--")</f>
        <v>0</v>
      </c>
      <c r="IQ268" s="2132">
        <f>IF(IQ$221,_xll.ciqfunctions.udf.CIQ($G268, "IQ_SHARESOUTSTANDING", IQ$222),"--")</f>
        <v>0</v>
      </c>
      <c r="IR268" s="2132">
        <f>IF(IR$221,_xll.ciqfunctions.udf.CIQ($G268, "IQ_SHARESOUTSTANDING", IR$222),"--")</f>
        <v>0</v>
      </c>
      <c r="IS268" s="2132">
        <f>IF(IS$221,_xll.ciqfunctions.udf.CIQ($G268, "IQ_SHARESOUTSTANDING", IS$222),"--")</f>
        <v>0</v>
      </c>
      <c r="IT268" s="2132">
        <f>IF(IT$221,_xll.ciqfunctions.udf.CIQ($G268, "IQ_SHARESOUTSTANDING", IT$222),"--")</f>
        <v>0</v>
      </c>
      <c r="IU268" s="2132">
        <f>IF(IU$221,_xll.ciqfunctions.udf.CIQ($G268, "IQ_SHARESOUTSTANDING", IU$222),"--")</f>
        <v>0</v>
      </c>
      <c r="IV268" s="2132">
        <f>IF(IV$221,_xll.ciqfunctions.udf.CIQ($G268, "IQ_SHARESOUTSTANDING", IV$222),"--")</f>
        <v>0</v>
      </c>
      <c r="IW268" s="2132">
        <f>IF(IW$221,_xll.ciqfunctions.udf.CIQ($G268, "IQ_SHARESOUTSTANDING", IW$222),"--")</f>
        <v>0</v>
      </c>
      <c r="IX268" s="2132">
        <f>IF(IX$221,_xll.ciqfunctions.udf.CIQ($G268, "IQ_SHARESOUTSTANDING", IX$222),"--")</f>
        <v>0</v>
      </c>
      <c r="IY268" s="2132">
        <f>IF(IY$221,_xll.ciqfunctions.udf.CIQ($G268, "IQ_SHARESOUTSTANDING", IY$222),"--")</f>
        <v>0</v>
      </c>
      <c r="IZ268" s="2132">
        <f>IF(IZ$221,_xll.ciqfunctions.udf.CIQ($G268, "IQ_SHARESOUTSTANDING", IZ$222),"--")</f>
        <v>0</v>
      </c>
      <c r="JA268" s="2132">
        <f>IF(JA$221,_xll.ciqfunctions.udf.CIQ($G268, "IQ_SHARESOUTSTANDING", JA$222),"--")</f>
        <v>0</v>
      </c>
      <c r="JB268" s="2132">
        <f>IF(JB$221,_xll.ciqfunctions.udf.CIQ($G268, "IQ_SHARESOUTSTANDING", JB$222),"--")</f>
        <v>0</v>
      </c>
      <c r="JC268" s="2132">
        <f>IF(JC$221,_xll.ciqfunctions.udf.CIQ($G268, "IQ_SHARESOUTSTANDING", JC$222),"--")</f>
        <v>0</v>
      </c>
      <c r="JD268" s="2132">
        <f>IF(JD$221,_xll.ciqfunctions.udf.CIQ($G268, "IQ_SHARESOUTSTANDING", JD$222),"--")</f>
        <v>0</v>
      </c>
      <c r="JE268" s="2132">
        <f>IF(JE$221,_xll.ciqfunctions.udf.CIQ($G268, "IQ_SHARESOUTSTANDING", JE$222),"--")</f>
        <v>0</v>
      </c>
      <c r="JF268" s="2132">
        <f>IF(JF$221,_xll.ciqfunctions.udf.CIQ($G268, "IQ_SHARESOUTSTANDING", JF$222),"--")</f>
        <v>0</v>
      </c>
      <c r="JG268" s="2132">
        <f>IF(JG$221,_xll.ciqfunctions.udf.CIQ($G268, "IQ_SHARESOUTSTANDING", JG$222),"--")</f>
        <v>0</v>
      </c>
      <c r="JH268" s="2132">
        <f>IF(JH$221,_xll.ciqfunctions.udf.CIQ($G268, "IQ_SHARESOUTSTANDING", JH$222),"--")</f>
        <v>0</v>
      </c>
      <c r="JI268" s="2132">
        <f>IF(JI$221,_xll.ciqfunctions.udf.CIQ($G268, "IQ_SHARESOUTSTANDING", JI$222),"--")</f>
        <v>0</v>
      </c>
      <c r="JJ268" s="2132">
        <f>IF(JJ$221,_xll.ciqfunctions.udf.CIQ($G268, "IQ_SHARESOUTSTANDING", JJ$222),"--")</f>
        <v>0</v>
      </c>
      <c r="JK268" s="2132">
        <f>IF(JK$221,_xll.ciqfunctions.udf.CIQ($G268, "IQ_SHARESOUTSTANDING", JK$222),"--")</f>
        <v>0</v>
      </c>
      <c r="JL268" s="2132">
        <f>IF(JL$221,_xll.ciqfunctions.udf.CIQ($G268, "IQ_SHARESOUTSTANDING", JL$222),"--")</f>
        <v>0</v>
      </c>
      <c r="JM268" s="2132">
        <f>IF(JM$221,_xll.ciqfunctions.udf.CIQ($G268, "IQ_SHARESOUTSTANDING", JM$222),"--")</f>
        <v>0</v>
      </c>
      <c r="JN268" s="2132">
        <f>IF(JN$221,_xll.ciqfunctions.udf.CIQ($G268, "IQ_SHARESOUTSTANDING", JN$222),"--")</f>
        <v>0</v>
      </c>
      <c r="JO268" s="2132">
        <f>IF(JO$221,_xll.ciqfunctions.udf.CIQ($G268, "IQ_SHARESOUTSTANDING", JO$222),"--")</f>
        <v>0</v>
      </c>
      <c r="JP268" s="2132">
        <f>IF(JP$221,_xll.ciqfunctions.udf.CIQ($G268, "IQ_SHARESOUTSTANDING", JP$222),"--")</f>
        <v>0</v>
      </c>
      <c r="JQ268" s="2132">
        <f>IF(JQ$221,_xll.ciqfunctions.udf.CIQ($G268, "IQ_SHARESOUTSTANDING", JQ$222),"--")</f>
        <v>0</v>
      </c>
      <c r="JR268" s="2132">
        <f>IF(JR$221,_xll.ciqfunctions.udf.CIQ($G268, "IQ_SHARESOUTSTANDING", JR$222),"--")</f>
        <v>0</v>
      </c>
      <c r="JS268" s="2132">
        <f>IF(JS$221,_xll.ciqfunctions.udf.CIQ($G268, "IQ_SHARESOUTSTANDING", JS$222),"--")</f>
        <v>0</v>
      </c>
      <c r="JT268" s="2132">
        <f>IF(JT$221,_xll.ciqfunctions.udf.CIQ($G268, "IQ_SHARESOUTSTANDING", JT$222),"--")</f>
        <v>0</v>
      </c>
      <c r="JU268" s="2132">
        <f>IF(JU$221,_xll.ciqfunctions.udf.CIQ($G268, "IQ_SHARESOUTSTANDING", JU$222),"--")</f>
        <v>0</v>
      </c>
      <c r="JV268" s="2132">
        <f>IF(JV$221,_xll.ciqfunctions.udf.CIQ($G268, "IQ_SHARESOUTSTANDING", JV$222),"--")</f>
        <v>0</v>
      </c>
      <c r="JW268" s="2132" t="str">
        <f>IF(JW$221,_xll.ciqfunctions.udf.CIQ($G268, "IQ_SHARESOUTSTANDING", JW$222),"--")</f>
        <v>--</v>
      </c>
      <c r="JX268" s="2132" t="str">
        <f>IF(JX$221,_xll.ciqfunctions.udf.CIQ($G268, "IQ_SHARESOUTSTANDING", JX$222),"--")</f>
        <v>--</v>
      </c>
      <c r="JY268" s="2132" t="str">
        <f>IF(JY$221,_xll.ciqfunctions.udf.CIQ($G268, "IQ_SHARESOUTSTANDING", JY$222),"--")</f>
        <v>--</v>
      </c>
      <c r="JZ268" s="2132" t="str">
        <f>IF(JZ$221,_xll.ciqfunctions.udf.CIQ($G268, "IQ_SHARESOUTSTANDING", JZ$222),"--")</f>
        <v>--</v>
      </c>
      <c r="KA268" s="2132" t="str">
        <f>IF(KA$221,_xll.ciqfunctions.udf.CIQ($G268, "IQ_SHARESOUTSTANDING", KA$222),"--")</f>
        <v>--</v>
      </c>
      <c r="KB268" s="2132" t="str">
        <f>IF(KB$221,_xll.ciqfunctions.udf.CIQ($G268, "IQ_SHARESOUTSTANDING", KB$222),"--")</f>
        <v>--</v>
      </c>
    </row>
    <row r="269" spans="1:288" s="89" customFormat="1" ht="13.9">
      <c r="A269" s="269" t="str">
        <f t="shared" si="49"/>
        <v>n</v>
      </c>
      <c r="B269" s="2060"/>
      <c r="D269" s="801"/>
      <c r="E269" s="1505">
        <v>15</v>
      </c>
      <c r="F269" s="21" t="str">
        <f>F$143</f>
        <v>--</v>
      </c>
      <c r="G269" s="1441">
        <f>G$143</f>
        <v>0</v>
      </c>
      <c r="H269" s="1441" t="str">
        <f>H$143</f>
        <v>--</v>
      </c>
      <c r="I269" s="314" t="s">
        <v>783</v>
      </c>
      <c r="J269" s="314"/>
      <c r="K269" s="2301" t="str">
        <f>IF(OR(K206=0,$G269=0),"--",IFERROR(_xll.ciqfunctions.udf.CIQ($G269,$I269,K114,Valuation_Date_GC,ReportType,DataMode,$H269,FXMode)*Scale+K238*Pension10,"--"))</f>
        <v>--</v>
      </c>
      <c r="L269" s="2301" t="str">
        <f>IF(OR(L206=0,$G269=0),"--",IFERROR(_xll.ciqfunctions.udf.CIQ($G269,$I269,L114,Valuation_Date_GC,ReportType,DataMode,$H269,FXMode)*Scale+L238*Pension10,"--"))</f>
        <v>--</v>
      </c>
      <c r="M269" s="2301" t="str">
        <f>IF(OR(M206=0,$G269=0),"--",IFERROR(_xll.ciqfunctions.udf.CIQ($G269,$I269,M114,Valuation_Date_GC,ReportType,DataMode,$H269,FXMode)*Scale+M238*Pension10,"--"))</f>
        <v>--</v>
      </c>
      <c r="N269" s="2301" t="str">
        <f>IF(OR(N206=0,$G269=0),"--",IFERROR(_xll.ciqfunctions.udf.CIQ($G269,$I269,N114,Valuation_Date_GC,ReportType,DataMode,$H269,FXMode)*Scale+N238*Pension10,"--"))</f>
        <v>--</v>
      </c>
      <c r="O269" s="1471" t="str">
        <f>IF(OR(O206=0,$G269=0),"--",IFERROR(_xll.ciqfunctions.udf.CIQ($G269,$I269,O114,Valuation_Date_GC,ReportType,DataMode,$H269,FXMode)*Scale+O238*Pension10,"--"))</f>
        <v>--</v>
      </c>
      <c r="P269" s="2301" t="str">
        <f>IF(OR(P206=0,$G269=0),"--",IFERROR(_xll.ciqfunctions.udf.CIQ($G269,$I269,P114,Valuation_Date_GC,ReportType,DataMode,$H269,FXMode)*Scale+P238*Pension10,"--"))</f>
        <v>--</v>
      </c>
      <c r="R269" s="1466"/>
      <c r="T269" s="1779" t="s">
        <v>784</v>
      </c>
      <c r="U269" s="2132">
        <f>IF(U$221,_xll.ciqfunctions.udf.CIQ($G269, "IQ_SHARESOUTSTANDING", U$222),"--")</f>
        <v>0</v>
      </c>
      <c r="V269" s="2132">
        <f>IF(V$221,_xll.ciqfunctions.udf.CIQ($G269, "IQ_SHARESOUTSTANDING", V$222),"--")</f>
        <v>0</v>
      </c>
      <c r="W269" s="2132">
        <f>IF(W$221,_xll.ciqfunctions.udf.CIQ($G269, "IQ_SHARESOUTSTANDING", W$222),"--")</f>
        <v>0</v>
      </c>
      <c r="X269" s="2132">
        <f>IF(X$221,_xll.ciqfunctions.udf.CIQ($G269, "IQ_SHARESOUTSTANDING", X$222),"--")</f>
        <v>0</v>
      </c>
      <c r="Y269" s="2132">
        <f>IF(Y$221,_xll.ciqfunctions.udf.CIQ($G269, "IQ_SHARESOUTSTANDING", Y$222),"--")</f>
        <v>0</v>
      </c>
      <c r="Z269" s="2132">
        <f>IF(Z$221,_xll.ciqfunctions.udf.CIQ($G269, "IQ_SHARESOUTSTANDING", Z$222),"--")</f>
        <v>0</v>
      </c>
      <c r="AA269" s="2132">
        <f>IF(AA$221,_xll.ciqfunctions.udf.CIQ($G269, "IQ_SHARESOUTSTANDING", AA$222),"--")</f>
        <v>0</v>
      </c>
      <c r="AB269" s="2132">
        <f>IF(AB$221,_xll.ciqfunctions.udf.CIQ($G269, "IQ_SHARESOUTSTANDING", AB$222),"--")</f>
        <v>0</v>
      </c>
      <c r="AC269" s="2132">
        <f>IF(AC$221,_xll.ciqfunctions.udf.CIQ($G269, "IQ_SHARESOUTSTANDING", AC$222),"--")</f>
        <v>0</v>
      </c>
      <c r="AD269" s="2132">
        <f>IF(AD$221,_xll.ciqfunctions.udf.CIQ($G269, "IQ_SHARESOUTSTANDING", AD$222),"--")</f>
        <v>0</v>
      </c>
      <c r="AE269" s="2132">
        <f>IF(AE$221,_xll.ciqfunctions.udf.CIQ($G269, "IQ_SHARESOUTSTANDING", AE$222),"--")</f>
        <v>0</v>
      </c>
      <c r="AF269" s="2132">
        <f>IF(AF$221,_xll.ciqfunctions.udf.CIQ($G269, "IQ_SHARESOUTSTANDING", AF$222),"--")</f>
        <v>0</v>
      </c>
      <c r="AG269" s="2132">
        <f>IF(AG$221,_xll.ciqfunctions.udf.CIQ($G269, "IQ_SHARESOUTSTANDING", AG$222),"--")</f>
        <v>0</v>
      </c>
      <c r="AH269" s="2132">
        <f>IF(AH$221,_xll.ciqfunctions.udf.CIQ($G269, "IQ_SHARESOUTSTANDING", AH$222),"--")</f>
        <v>0</v>
      </c>
      <c r="AI269" s="2132">
        <f>IF(AI$221,_xll.ciqfunctions.udf.CIQ($G269, "IQ_SHARESOUTSTANDING", AI$222),"--")</f>
        <v>0</v>
      </c>
      <c r="AJ269" s="2132">
        <f>IF(AJ$221,_xll.ciqfunctions.udf.CIQ($G269, "IQ_SHARESOUTSTANDING", AJ$222),"--")</f>
        <v>0</v>
      </c>
      <c r="AK269" s="2132">
        <f>IF(AK$221,_xll.ciqfunctions.udf.CIQ($G269, "IQ_SHARESOUTSTANDING", AK$222),"--")</f>
        <v>0</v>
      </c>
      <c r="AL269" s="2132">
        <f>IF(AL$221,_xll.ciqfunctions.udf.CIQ($G269, "IQ_SHARESOUTSTANDING", AL$222),"--")</f>
        <v>0</v>
      </c>
      <c r="AM269" s="2132">
        <f>IF(AM$221,_xll.ciqfunctions.udf.CIQ($G269, "IQ_SHARESOUTSTANDING", AM$222),"--")</f>
        <v>0</v>
      </c>
      <c r="AN269" s="2132">
        <f>IF(AN$221,_xll.ciqfunctions.udf.CIQ($G269, "IQ_SHARESOUTSTANDING", AN$222),"--")</f>
        <v>0</v>
      </c>
      <c r="AO269" s="2132">
        <f>IF(AO$221,_xll.ciqfunctions.udf.CIQ($G269, "IQ_SHARESOUTSTANDING", AO$222),"--")</f>
        <v>0</v>
      </c>
      <c r="AP269" s="2132">
        <f>IF(AP$221,_xll.ciqfunctions.udf.CIQ($G269, "IQ_SHARESOUTSTANDING", AP$222),"--")</f>
        <v>0</v>
      </c>
      <c r="AQ269" s="2132">
        <f>IF(AQ$221,_xll.ciqfunctions.udf.CIQ($G269, "IQ_SHARESOUTSTANDING", AQ$222),"--")</f>
        <v>0</v>
      </c>
      <c r="AR269" s="2132">
        <f>IF(AR$221,_xll.ciqfunctions.udf.CIQ($G269, "IQ_SHARESOUTSTANDING", AR$222),"--")</f>
        <v>0</v>
      </c>
      <c r="AS269" s="2132">
        <f>IF(AS$221,_xll.ciqfunctions.udf.CIQ($G269, "IQ_SHARESOUTSTANDING", AS$222),"--")</f>
        <v>0</v>
      </c>
      <c r="AT269" s="2132">
        <f>IF(AT$221,_xll.ciqfunctions.udf.CIQ($G269, "IQ_SHARESOUTSTANDING", AT$222),"--")</f>
        <v>0</v>
      </c>
      <c r="AU269" s="2132">
        <f>IF(AU$221,_xll.ciqfunctions.udf.CIQ($G269, "IQ_SHARESOUTSTANDING", AU$222),"--")</f>
        <v>0</v>
      </c>
      <c r="AV269" s="2132">
        <f>IF(AV$221,_xll.ciqfunctions.udf.CIQ($G269, "IQ_SHARESOUTSTANDING", AV$222),"--")</f>
        <v>0</v>
      </c>
      <c r="AW269" s="2132">
        <f>IF(AW$221,_xll.ciqfunctions.udf.CIQ($G269, "IQ_SHARESOUTSTANDING", AW$222),"--")</f>
        <v>0</v>
      </c>
      <c r="AX269" s="2132">
        <f>IF(AX$221,_xll.ciqfunctions.udf.CIQ($G269, "IQ_SHARESOUTSTANDING", AX$222),"--")</f>
        <v>0</v>
      </c>
      <c r="AY269" s="2132">
        <f>IF(AY$221,_xll.ciqfunctions.udf.CIQ($G269, "IQ_SHARESOUTSTANDING", AY$222),"--")</f>
        <v>0</v>
      </c>
      <c r="AZ269" s="2132">
        <f>IF(AZ$221,_xll.ciqfunctions.udf.CIQ($G269, "IQ_SHARESOUTSTANDING", AZ$222),"--")</f>
        <v>0</v>
      </c>
      <c r="BA269" s="2132">
        <f>IF(BA$221,_xll.ciqfunctions.udf.CIQ($G269, "IQ_SHARESOUTSTANDING", BA$222),"--")</f>
        <v>0</v>
      </c>
      <c r="BB269" s="2132">
        <f>IF(BB$221,_xll.ciqfunctions.udf.CIQ($G269, "IQ_SHARESOUTSTANDING", BB$222),"--")</f>
        <v>0</v>
      </c>
      <c r="BC269" s="2132">
        <f>IF(BC$221,_xll.ciqfunctions.udf.CIQ($G269, "IQ_SHARESOUTSTANDING", BC$222),"--")</f>
        <v>0</v>
      </c>
      <c r="BD269" s="2132">
        <f>IF(BD$221,_xll.ciqfunctions.udf.CIQ($G269, "IQ_SHARESOUTSTANDING", BD$222),"--")</f>
        <v>0</v>
      </c>
      <c r="BE269" s="2132">
        <f>IF(BE$221,_xll.ciqfunctions.udf.CIQ($G269, "IQ_SHARESOUTSTANDING", BE$222),"--")</f>
        <v>0</v>
      </c>
      <c r="BF269" s="2132">
        <f>IF(BF$221,_xll.ciqfunctions.udf.CIQ($G269, "IQ_SHARESOUTSTANDING", BF$222),"--")</f>
        <v>0</v>
      </c>
      <c r="BG269" s="2132">
        <f>IF(BG$221,_xll.ciqfunctions.udf.CIQ($G269, "IQ_SHARESOUTSTANDING", BG$222),"--")</f>
        <v>0</v>
      </c>
      <c r="BH269" s="2132">
        <f>IF(BH$221,_xll.ciqfunctions.udf.CIQ($G269, "IQ_SHARESOUTSTANDING", BH$222),"--")</f>
        <v>0</v>
      </c>
      <c r="BI269" s="2132">
        <f>IF(BI$221,_xll.ciqfunctions.udf.CIQ($G269, "IQ_SHARESOUTSTANDING", BI$222),"--")</f>
        <v>0</v>
      </c>
      <c r="BJ269" s="2132">
        <f>IF(BJ$221,_xll.ciqfunctions.udf.CIQ($G269, "IQ_SHARESOUTSTANDING", BJ$222),"--")</f>
        <v>0</v>
      </c>
      <c r="BK269" s="2132">
        <f>IF(BK$221,_xll.ciqfunctions.udf.CIQ($G269, "IQ_SHARESOUTSTANDING", BK$222),"--")</f>
        <v>0</v>
      </c>
      <c r="BL269" s="2132">
        <f>IF(BL$221,_xll.ciqfunctions.udf.CIQ($G269, "IQ_SHARESOUTSTANDING", BL$222),"--")</f>
        <v>0</v>
      </c>
      <c r="BM269" s="2132">
        <f>IF(BM$221,_xll.ciqfunctions.udf.CIQ($G269, "IQ_SHARESOUTSTANDING", BM$222),"--")</f>
        <v>0</v>
      </c>
      <c r="BN269" s="2132">
        <f>IF(BN$221,_xll.ciqfunctions.udf.CIQ($G269, "IQ_SHARESOUTSTANDING", BN$222),"--")</f>
        <v>0</v>
      </c>
      <c r="BO269" s="2132">
        <f>IF(BO$221,_xll.ciqfunctions.udf.CIQ($G269, "IQ_SHARESOUTSTANDING", BO$222),"--")</f>
        <v>0</v>
      </c>
      <c r="BP269" s="2132">
        <f>IF(BP$221,_xll.ciqfunctions.udf.CIQ($G269, "IQ_SHARESOUTSTANDING", BP$222),"--")</f>
        <v>0</v>
      </c>
      <c r="BQ269" s="2132">
        <f>IF(BQ$221,_xll.ciqfunctions.udf.CIQ($G269, "IQ_SHARESOUTSTANDING", BQ$222),"--")</f>
        <v>0</v>
      </c>
      <c r="BR269" s="2132">
        <f>IF(BR$221,_xll.ciqfunctions.udf.CIQ($G269, "IQ_SHARESOUTSTANDING", BR$222),"--")</f>
        <v>0</v>
      </c>
      <c r="BS269" s="2132">
        <f>IF(BS$221,_xll.ciqfunctions.udf.CIQ($G269, "IQ_SHARESOUTSTANDING", BS$222),"--")</f>
        <v>0</v>
      </c>
      <c r="BT269" s="2132">
        <f>IF(BT$221,_xll.ciqfunctions.udf.CIQ($G269, "IQ_SHARESOUTSTANDING", BT$222),"--")</f>
        <v>0</v>
      </c>
      <c r="BU269" s="2132">
        <f>IF(BU$221,_xll.ciqfunctions.udf.CIQ($G269, "IQ_SHARESOUTSTANDING", BU$222),"--")</f>
        <v>0</v>
      </c>
      <c r="BV269" s="2132">
        <f>IF(BV$221,_xll.ciqfunctions.udf.CIQ($G269, "IQ_SHARESOUTSTANDING", BV$222),"--")</f>
        <v>0</v>
      </c>
      <c r="BW269" s="2132">
        <f>IF(BW$221,_xll.ciqfunctions.udf.CIQ($G269, "IQ_SHARESOUTSTANDING", BW$222),"--")</f>
        <v>0</v>
      </c>
      <c r="BX269" s="2132">
        <f>IF(BX$221,_xll.ciqfunctions.udf.CIQ($G269, "IQ_SHARESOUTSTANDING", BX$222),"--")</f>
        <v>0</v>
      </c>
      <c r="BY269" s="2132">
        <f>IF(BY$221,_xll.ciqfunctions.udf.CIQ($G269, "IQ_SHARESOUTSTANDING", BY$222),"--")</f>
        <v>0</v>
      </c>
      <c r="BZ269" s="2132">
        <f>IF(BZ$221,_xll.ciqfunctions.udf.CIQ($G269, "IQ_SHARESOUTSTANDING", BZ$222),"--")</f>
        <v>0</v>
      </c>
      <c r="CA269" s="2132">
        <f>IF(CA$221,_xll.ciqfunctions.udf.CIQ($G269, "IQ_SHARESOUTSTANDING", CA$222),"--")</f>
        <v>0</v>
      </c>
      <c r="CB269" s="2132">
        <f>IF(CB$221,_xll.ciqfunctions.udf.CIQ($G269, "IQ_SHARESOUTSTANDING", CB$222),"--")</f>
        <v>0</v>
      </c>
      <c r="CC269" s="2132">
        <f>IF(CC$221,_xll.ciqfunctions.udf.CIQ($G269, "IQ_SHARESOUTSTANDING", CC$222),"--")</f>
        <v>0</v>
      </c>
      <c r="CD269" s="2132">
        <f>IF(CD$221,_xll.ciqfunctions.udf.CIQ($G269, "IQ_SHARESOUTSTANDING", CD$222),"--")</f>
        <v>0</v>
      </c>
      <c r="CE269" s="2132">
        <f>IF(CE$221,_xll.ciqfunctions.udf.CIQ($G269, "IQ_SHARESOUTSTANDING", CE$222),"--")</f>
        <v>0</v>
      </c>
      <c r="CF269" s="2132">
        <f>IF(CF$221,_xll.ciqfunctions.udf.CIQ($G269, "IQ_SHARESOUTSTANDING", CF$222),"--")</f>
        <v>0</v>
      </c>
      <c r="CG269" s="2132">
        <f>IF(CG$221,_xll.ciqfunctions.udf.CIQ($G269, "IQ_SHARESOUTSTANDING", CG$222),"--")</f>
        <v>0</v>
      </c>
      <c r="CH269" s="2132">
        <f>IF(CH$221,_xll.ciqfunctions.udf.CIQ($G269, "IQ_SHARESOUTSTANDING", CH$222),"--")</f>
        <v>0</v>
      </c>
      <c r="CI269" s="2132">
        <f>IF(CI$221,_xll.ciqfunctions.udf.CIQ($G269, "IQ_SHARESOUTSTANDING", CI$222),"--")</f>
        <v>0</v>
      </c>
      <c r="CJ269" s="2132">
        <f>IF(CJ$221,_xll.ciqfunctions.udf.CIQ($G269, "IQ_SHARESOUTSTANDING", CJ$222),"--")</f>
        <v>0</v>
      </c>
      <c r="CK269" s="2132">
        <f>IF(CK$221,_xll.ciqfunctions.udf.CIQ($G269, "IQ_SHARESOUTSTANDING", CK$222),"--")</f>
        <v>0</v>
      </c>
      <c r="CL269" s="2132">
        <f>IF(CL$221,_xll.ciqfunctions.udf.CIQ($G269, "IQ_SHARESOUTSTANDING", CL$222),"--")</f>
        <v>0</v>
      </c>
      <c r="CM269" s="2132">
        <f>IF(CM$221,_xll.ciqfunctions.udf.CIQ($G269, "IQ_SHARESOUTSTANDING", CM$222),"--")</f>
        <v>0</v>
      </c>
      <c r="CN269" s="2132">
        <f>IF(CN$221,_xll.ciqfunctions.udf.CIQ($G269, "IQ_SHARESOUTSTANDING", CN$222),"--")</f>
        <v>0</v>
      </c>
      <c r="CO269" s="2132">
        <f>IF(CO$221,_xll.ciqfunctions.udf.CIQ($G269, "IQ_SHARESOUTSTANDING", CO$222),"--")</f>
        <v>0</v>
      </c>
      <c r="CP269" s="2132">
        <f>IF(CP$221,_xll.ciqfunctions.udf.CIQ($G269, "IQ_SHARESOUTSTANDING", CP$222),"--")</f>
        <v>0</v>
      </c>
      <c r="CQ269" s="2132">
        <f>IF(CQ$221,_xll.ciqfunctions.udf.CIQ($G269, "IQ_SHARESOUTSTANDING", CQ$222),"--")</f>
        <v>0</v>
      </c>
      <c r="CR269" s="2132">
        <f>IF(CR$221,_xll.ciqfunctions.udf.CIQ($G269, "IQ_SHARESOUTSTANDING", CR$222),"--")</f>
        <v>0</v>
      </c>
      <c r="CS269" s="2132">
        <f>IF(CS$221,_xll.ciqfunctions.udf.CIQ($G269, "IQ_SHARESOUTSTANDING", CS$222),"--")</f>
        <v>0</v>
      </c>
      <c r="CT269" s="2132">
        <f>IF(CT$221,_xll.ciqfunctions.udf.CIQ($G269, "IQ_SHARESOUTSTANDING", CT$222),"--")</f>
        <v>0</v>
      </c>
      <c r="CU269" s="2132">
        <f>IF(CU$221,_xll.ciqfunctions.udf.CIQ($G269, "IQ_SHARESOUTSTANDING", CU$222),"--")</f>
        <v>0</v>
      </c>
      <c r="CV269" s="2132">
        <f>IF(CV$221,_xll.ciqfunctions.udf.CIQ($G269, "IQ_SHARESOUTSTANDING", CV$222),"--")</f>
        <v>0</v>
      </c>
      <c r="CW269" s="2132">
        <f>IF(CW$221,_xll.ciqfunctions.udf.CIQ($G269, "IQ_SHARESOUTSTANDING", CW$222),"--")</f>
        <v>0</v>
      </c>
      <c r="CX269" s="2132">
        <f>IF(CX$221,_xll.ciqfunctions.udf.CIQ($G269, "IQ_SHARESOUTSTANDING", CX$222),"--")</f>
        <v>0</v>
      </c>
      <c r="CY269" s="2132">
        <f>IF(CY$221,_xll.ciqfunctions.udf.CIQ($G269, "IQ_SHARESOUTSTANDING", CY$222),"--")</f>
        <v>0</v>
      </c>
      <c r="CZ269" s="2132">
        <f>IF(CZ$221,_xll.ciqfunctions.udf.CIQ($G269, "IQ_SHARESOUTSTANDING", CZ$222),"--")</f>
        <v>0</v>
      </c>
      <c r="DA269" s="2132">
        <f>IF(DA$221,_xll.ciqfunctions.udf.CIQ($G269, "IQ_SHARESOUTSTANDING", DA$222),"--")</f>
        <v>0</v>
      </c>
      <c r="DB269" s="2132">
        <f>IF(DB$221,_xll.ciqfunctions.udf.CIQ($G269, "IQ_SHARESOUTSTANDING", DB$222),"--")</f>
        <v>0</v>
      </c>
      <c r="DC269" s="2132">
        <f>IF(DC$221,_xll.ciqfunctions.udf.CIQ($G269, "IQ_SHARESOUTSTANDING", DC$222),"--")</f>
        <v>0</v>
      </c>
      <c r="DD269" s="2132">
        <f>IF(DD$221,_xll.ciqfunctions.udf.CIQ($G269, "IQ_SHARESOUTSTANDING", DD$222),"--")</f>
        <v>0</v>
      </c>
      <c r="DE269" s="2132">
        <f>IF(DE$221,_xll.ciqfunctions.udf.CIQ($G269, "IQ_SHARESOUTSTANDING", DE$222),"--")</f>
        <v>0</v>
      </c>
      <c r="DF269" s="2132">
        <f>IF(DF$221,_xll.ciqfunctions.udf.CIQ($G269, "IQ_SHARESOUTSTANDING", DF$222),"--")</f>
        <v>0</v>
      </c>
      <c r="DG269" s="2132">
        <f>IF(DG$221,_xll.ciqfunctions.udf.CIQ($G269, "IQ_SHARESOUTSTANDING", DG$222),"--")</f>
        <v>0</v>
      </c>
      <c r="DH269" s="2132">
        <f>IF(DH$221,_xll.ciqfunctions.udf.CIQ($G269, "IQ_SHARESOUTSTANDING", DH$222),"--")</f>
        <v>0</v>
      </c>
      <c r="DI269" s="2132">
        <f>IF(DI$221,_xll.ciqfunctions.udf.CIQ($G269, "IQ_SHARESOUTSTANDING", DI$222),"--")</f>
        <v>0</v>
      </c>
      <c r="DJ269" s="2132">
        <f>IF(DJ$221,_xll.ciqfunctions.udf.CIQ($G269, "IQ_SHARESOUTSTANDING", DJ$222),"--")</f>
        <v>0</v>
      </c>
      <c r="DK269" s="2132">
        <f>IF(DK$221,_xll.ciqfunctions.udf.CIQ($G269, "IQ_SHARESOUTSTANDING", DK$222),"--")</f>
        <v>0</v>
      </c>
      <c r="DL269" s="2132">
        <f>IF(DL$221,_xll.ciqfunctions.udf.CIQ($G269, "IQ_SHARESOUTSTANDING", DL$222),"--")</f>
        <v>0</v>
      </c>
      <c r="DM269" s="2132">
        <f>IF(DM$221,_xll.ciqfunctions.udf.CIQ($G269, "IQ_SHARESOUTSTANDING", DM$222),"--")</f>
        <v>0</v>
      </c>
      <c r="DN269" s="2132">
        <f>IF(DN$221,_xll.ciqfunctions.udf.CIQ($G269, "IQ_SHARESOUTSTANDING", DN$222),"--")</f>
        <v>0</v>
      </c>
      <c r="DO269" s="2132">
        <f>IF(DO$221,_xll.ciqfunctions.udf.CIQ($G269, "IQ_SHARESOUTSTANDING", DO$222),"--")</f>
        <v>0</v>
      </c>
      <c r="DP269" s="2132">
        <f>IF(DP$221,_xll.ciqfunctions.udf.CIQ($G269, "IQ_SHARESOUTSTANDING", DP$222),"--")</f>
        <v>0</v>
      </c>
      <c r="DQ269" s="2132">
        <f>IF(DQ$221,_xll.ciqfunctions.udf.CIQ($G269, "IQ_SHARESOUTSTANDING", DQ$222),"--")</f>
        <v>0</v>
      </c>
      <c r="DR269" s="2132">
        <f>IF(DR$221,_xll.ciqfunctions.udf.CIQ($G269, "IQ_SHARESOUTSTANDING", DR$222),"--")</f>
        <v>0</v>
      </c>
      <c r="DS269" s="2132">
        <f>IF(DS$221,_xll.ciqfunctions.udf.CIQ($G269, "IQ_SHARESOUTSTANDING", DS$222),"--")</f>
        <v>0</v>
      </c>
      <c r="DT269" s="2132">
        <f>IF(DT$221,_xll.ciqfunctions.udf.CIQ($G269, "IQ_SHARESOUTSTANDING", DT$222),"--")</f>
        <v>0</v>
      </c>
      <c r="DU269" s="2132">
        <f>IF(DU$221,_xll.ciqfunctions.udf.CIQ($G269, "IQ_SHARESOUTSTANDING", DU$222),"--")</f>
        <v>0</v>
      </c>
      <c r="DV269" s="2132">
        <f>IF(DV$221,_xll.ciqfunctions.udf.CIQ($G269, "IQ_SHARESOUTSTANDING", DV$222),"--")</f>
        <v>0</v>
      </c>
      <c r="DW269" s="2132">
        <f>IF(DW$221,_xll.ciqfunctions.udf.CIQ($G269, "IQ_SHARESOUTSTANDING", DW$222),"--")</f>
        <v>0</v>
      </c>
      <c r="DX269" s="2132">
        <f>IF(DX$221,_xll.ciqfunctions.udf.CIQ($G269, "IQ_SHARESOUTSTANDING", DX$222),"--")</f>
        <v>0</v>
      </c>
      <c r="DY269" s="2132">
        <f>IF(DY$221,_xll.ciqfunctions.udf.CIQ($G269, "IQ_SHARESOUTSTANDING", DY$222),"--")</f>
        <v>0</v>
      </c>
      <c r="DZ269" s="2132">
        <f>IF(DZ$221,_xll.ciqfunctions.udf.CIQ($G269, "IQ_SHARESOUTSTANDING", DZ$222),"--")</f>
        <v>0</v>
      </c>
      <c r="EA269" s="2132">
        <f>IF(EA$221,_xll.ciqfunctions.udf.CIQ($G269, "IQ_SHARESOUTSTANDING", EA$222),"--")</f>
        <v>0</v>
      </c>
      <c r="EB269" s="2132">
        <f>IF(EB$221,_xll.ciqfunctions.udf.CIQ($G269, "IQ_SHARESOUTSTANDING", EB$222),"--")</f>
        <v>0</v>
      </c>
      <c r="EC269" s="2132">
        <f>IF(EC$221,_xll.ciqfunctions.udf.CIQ($G269, "IQ_SHARESOUTSTANDING", EC$222),"--")</f>
        <v>0</v>
      </c>
      <c r="ED269" s="2132">
        <f>IF(ED$221,_xll.ciqfunctions.udf.CIQ($G269, "IQ_SHARESOUTSTANDING", ED$222),"--")</f>
        <v>0</v>
      </c>
      <c r="EE269" s="2132">
        <f>IF(EE$221,_xll.ciqfunctions.udf.CIQ($G269, "IQ_SHARESOUTSTANDING", EE$222),"--")</f>
        <v>0</v>
      </c>
      <c r="EF269" s="2132">
        <f>IF(EF$221,_xll.ciqfunctions.udf.CIQ($G269, "IQ_SHARESOUTSTANDING", EF$222),"--")</f>
        <v>0</v>
      </c>
      <c r="EG269" s="2132">
        <f>IF(EG$221,_xll.ciqfunctions.udf.CIQ($G269, "IQ_SHARESOUTSTANDING", EG$222),"--")</f>
        <v>0</v>
      </c>
      <c r="EH269" s="2132">
        <f>IF(EH$221,_xll.ciqfunctions.udf.CIQ($G269, "IQ_SHARESOUTSTANDING", EH$222),"--")</f>
        <v>0</v>
      </c>
      <c r="EI269" s="2132">
        <f>IF(EI$221,_xll.ciqfunctions.udf.CIQ($G269, "IQ_SHARESOUTSTANDING", EI$222),"--")</f>
        <v>0</v>
      </c>
      <c r="EJ269" s="2132">
        <f>IF(EJ$221,_xll.ciqfunctions.udf.CIQ($G269, "IQ_SHARESOUTSTANDING", EJ$222),"--")</f>
        <v>0</v>
      </c>
      <c r="EK269" s="2132">
        <f>IF(EK$221,_xll.ciqfunctions.udf.CIQ($G269, "IQ_SHARESOUTSTANDING", EK$222),"--")</f>
        <v>0</v>
      </c>
      <c r="EL269" s="2132">
        <f>IF(EL$221,_xll.ciqfunctions.udf.CIQ($G269, "IQ_SHARESOUTSTANDING", EL$222),"--")</f>
        <v>0</v>
      </c>
      <c r="EM269" s="2132">
        <f>IF(EM$221,_xll.ciqfunctions.udf.CIQ($G269, "IQ_SHARESOUTSTANDING", EM$222),"--")</f>
        <v>0</v>
      </c>
      <c r="EN269" s="2132">
        <f>IF(EN$221,_xll.ciqfunctions.udf.CIQ($G269, "IQ_SHARESOUTSTANDING", EN$222),"--")</f>
        <v>0</v>
      </c>
      <c r="EO269" s="2132">
        <f>IF(EO$221,_xll.ciqfunctions.udf.CIQ($G269, "IQ_SHARESOUTSTANDING", EO$222),"--")</f>
        <v>0</v>
      </c>
      <c r="EP269" s="2132">
        <f>IF(EP$221,_xll.ciqfunctions.udf.CIQ($G269, "IQ_SHARESOUTSTANDING", EP$222),"--")</f>
        <v>0</v>
      </c>
      <c r="EQ269" s="2132">
        <f>IF(EQ$221,_xll.ciqfunctions.udf.CIQ($G269, "IQ_SHARESOUTSTANDING", EQ$222),"--")</f>
        <v>0</v>
      </c>
      <c r="ER269" s="2132">
        <f>IF(ER$221,_xll.ciqfunctions.udf.CIQ($G269, "IQ_SHARESOUTSTANDING", ER$222),"--")</f>
        <v>0</v>
      </c>
      <c r="ES269" s="2132">
        <f>IF(ES$221,_xll.ciqfunctions.udf.CIQ($G269, "IQ_SHARESOUTSTANDING", ES$222),"--")</f>
        <v>0</v>
      </c>
      <c r="ET269" s="2132">
        <f>IF(ET$221,_xll.ciqfunctions.udf.CIQ($G269, "IQ_SHARESOUTSTANDING", ET$222),"--")</f>
        <v>0</v>
      </c>
      <c r="EU269" s="2132">
        <f>IF(EU$221,_xll.ciqfunctions.udf.CIQ($G269, "IQ_SHARESOUTSTANDING", EU$222),"--")</f>
        <v>0</v>
      </c>
      <c r="EV269" s="2132">
        <f>IF(EV$221,_xll.ciqfunctions.udf.CIQ($G269, "IQ_SHARESOUTSTANDING", EV$222),"--")</f>
        <v>0</v>
      </c>
      <c r="EW269" s="2132">
        <f>IF(EW$221,_xll.ciqfunctions.udf.CIQ($G269, "IQ_SHARESOUTSTANDING", EW$222),"--")</f>
        <v>0</v>
      </c>
      <c r="EX269" s="2132">
        <f>IF(EX$221,_xll.ciqfunctions.udf.CIQ($G269, "IQ_SHARESOUTSTANDING", EX$222),"--")</f>
        <v>0</v>
      </c>
      <c r="EY269" s="2132">
        <f>IF(EY$221,_xll.ciqfunctions.udf.CIQ($G269, "IQ_SHARESOUTSTANDING", EY$222),"--")</f>
        <v>0</v>
      </c>
      <c r="EZ269" s="2132">
        <f>IF(EZ$221,_xll.ciqfunctions.udf.CIQ($G269, "IQ_SHARESOUTSTANDING", EZ$222),"--")</f>
        <v>0</v>
      </c>
      <c r="FA269" s="2132">
        <f>IF(FA$221,_xll.ciqfunctions.udf.CIQ($G269, "IQ_SHARESOUTSTANDING", FA$222),"--")</f>
        <v>0</v>
      </c>
      <c r="FB269" s="2132">
        <f>IF(FB$221,_xll.ciqfunctions.udf.CIQ($G269, "IQ_SHARESOUTSTANDING", FB$222),"--")</f>
        <v>0</v>
      </c>
      <c r="FC269" s="2132">
        <f>IF(FC$221,_xll.ciqfunctions.udf.CIQ($G269, "IQ_SHARESOUTSTANDING", FC$222),"--")</f>
        <v>0</v>
      </c>
      <c r="FD269" s="2132">
        <f>IF(FD$221,_xll.ciqfunctions.udf.CIQ($G269, "IQ_SHARESOUTSTANDING", FD$222),"--")</f>
        <v>0</v>
      </c>
      <c r="FE269" s="2132">
        <f>IF(FE$221,_xll.ciqfunctions.udf.CIQ($G269, "IQ_SHARESOUTSTANDING", FE$222),"--")</f>
        <v>0</v>
      </c>
      <c r="FF269" s="2132">
        <f>IF(FF$221,_xll.ciqfunctions.udf.CIQ($G269, "IQ_SHARESOUTSTANDING", FF$222),"--")</f>
        <v>0</v>
      </c>
      <c r="FG269" s="2132">
        <f>IF(FG$221,_xll.ciqfunctions.udf.CIQ($G269, "IQ_SHARESOUTSTANDING", FG$222),"--")</f>
        <v>0</v>
      </c>
      <c r="FH269" s="2132">
        <f>IF(FH$221,_xll.ciqfunctions.udf.CIQ($G269, "IQ_SHARESOUTSTANDING", FH$222),"--")</f>
        <v>0</v>
      </c>
      <c r="FI269" s="2132">
        <f>IF(FI$221,_xll.ciqfunctions.udf.CIQ($G269, "IQ_SHARESOUTSTANDING", FI$222),"--")</f>
        <v>0</v>
      </c>
      <c r="FJ269" s="2132">
        <f>IF(FJ$221,_xll.ciqfunctions.udf.CIQ($G269, "IQ_SHARESOUTSTANDING", FJ$222),"--")</f>
        <v>0</v>
      </c>
      <c r="FK269" s="2132">
        <f>IF(FK$221,_xll.ciqfunctions.udf.CIQ($G269, "IQ_SHARESOUTSTANDING", FK$222),"--")</f>
        <v>0</v>
      </c>
      <c r="FL269" s="2132">
        <f>IF(FL$221,_xll.ciqfunctions.udf.CIQ($G269, "IQ_SHARESOUTSTANDING", FL$222),"--")</f>
        <v>0</v>
      </c>
      <c r="FM269" s="2132">
        <f>IF(FM$221,_xll.ciqfunctions.udf.CIQ($G269, "IQ_SHARESOUTSTANDING", FM$222),"--")</f>
        <v>0</v>
      </c>
      <c r="FN269" s="2132">
        <f>IF(FN$221,_xll.ciqfunctions.udf.CIQ($G269, "IQ_SHARESOUTSTANDING", FN$222),"--")</f>
        <v>0</v>
      </c>
      <c r="FO269" s="2132">
        <f>IF(FO$221,_xll.ciqfunctions.udf.CIQ($G269, "IQ_SHARESOUTSTANDING", FO$222),"--")</f>
        <v>0</v>
      </c>
      <c r="FP269" s="2132">
        <f>IF(FP$221,_xll.ciqfunctions.udf.CIQ($G269, "IQ_SHARESOUTSTANDING", FP$222),"--")</f>
        <v>0</v>
      </c>
      <c r="FQ269" s="2132">
        <f>IF(FQ$221,_xll.ciqfunctions.udf.CIQ($G269, "IQ_SHARESOUTSTANDING", FQ$222),"--")</f>
        <v>0</v>
      </c>
      <c r="FR269" s="2132">
        <f>IF(FR$221,_xll.ciqfunctions.udf.CIQ($G269, "IQ_SHARESOUTSTANDING", FR$222),"--")</f>
        <v>0</v>
      </c>
      <c r="FS269" s="2132">
        <f>IF(FS$221,_xll.ciqfunctions.udf.CIQ($G269, "IQ_SHARESOUTSTANDING", FS$222),"--")</f>
        <v>0</v>
      </c>
      <c r="FT269" s="2132">
        <f>IF(FT$221,_xll.ciqfunctions.udf.CIQ($G269, "IQ_SHARESOUTSTANDING", FT$222),"--")</f>
        <v>0</v>
      </c>
      <c r="FU269" s="2132">
        <f>IF(FU$221,_xll.ciqfunctions.udf.CIQ($G269, "IQ_SHARESOUTSTANDING", FU$222),"--")</f>
        <v>0</v>
      </c>
      <c r="FV269" s="2132">
        <f>IF(FV$221,_xll.ciqfunctions.udf.CIQ($G269, "IQ_SHARESOUTSTANDING", FV$222),"--")</f>
        <v>0</v>
      </c>
      <c r="FW269" s="2132">
        <f>IF(FW$221,_xll.ciqfunctions.udf.CIQ($G269, "IQ_SHARESOUTSTANDING", FW$222),"--")</f>
        <v>0</v>
      </c>
      <c r="FX269" s="2132">
        <f>IF(FX$221,_xll.ciqfunctions.udf.CIQ($G269, "IQ_SHARESOUTSTANDING", FX$222),"--")</f>
        <v>0</v>
      </c>
      <c r="FY269" s="2132">
        <f>IF(FY$221,_xll.ciqfunctions.udf.CIQ($G269, "IQ_SHARESOUTSTANDING", FY$222),"--")</f>
        <v>0</v>
      </c>
      <c r="FZ269" s="2132">
        <f>IF(FZ$221,_xll.ciqfunctions.udf.CIQ($G269, "IQ_SHARESOUTSTANDING", FZ$222),"--")</f>
        <v>0</v>
      </c>
      <c r="GA269" s="2132">
        <f>IF(GA$221,_xll.ciqfunctions.udf.CIQ($G269, "IQ_SHARESOUTSTANDING", GA$222),"--")</f>
        <v>0</v>
      </c>
      <c r="GB269" s="2132">
        <f>IF(GB$221,_xll.ciqfunctions.udf.CIQ($G269, "IQ_SHARESOUTSTANDING", GB$222),"--")</f>
        <v>0</v>
      </c>
      <c r="GC269" s="2132">
        <f>IF(GC$221,_xll.ciqfunctions.udf.CIQ($G269, "IQ_SHARESOUTSTANDING", GC$222),"--")</f>
        <v>0</v>
      </c>
      <c r="GD269" s="2132">
        <f>IF(GD$221,_xll.ciqfunctions.udf.CIQ($G269, "IQ_SHARESOUTSTANDING", GD$222),"--")</f>
        <v>0</v>
      </c>
      <c r="GE269" s="2132">
        <f>IF(GE$221,_xll.ciqfunctions.udf.CIQ($G269, "IQ_SHARESOUTSTANDING", GE$222),"--")</f>
        <v>0</v>
      </c>
      <c r="GF269" s="2132">
        <f>IF(GF$221,_xll.ciqfunctions.udf.CIQ($G269, "IQ_SHARESOUTSTANDING", GF$222),"--")</f>
        <v>0</v>
      </c>
      <c r="GG269" s="2132">
        <f>IF(GG$221,_xll.ciqfunctions.udf.CIQ($G269, "IQ_SHARESOUTSTANDING", GG$222),"--")</f>
        <v>0</v>
      </c>
      <c r="GH269" s="2132">
        <f>IF(GH$221,_xll.ciqfunctions.udf.CIQ($G269, "IQ_SHARESOUTSTANDING", GH$222),"--")</f>
        <v>0</v>
      </c>
      <c r="GI269" s="2132">
        <f>IF(GI$221,_xll.ciqfunctions.udf.CIQ($G269, "IQ_SHARESOUTSTANDING", GI$222),"--")</f>
        <v>0</v>
      </c>
      <c r="GJ269" s="2132">
        <f>IF(GJ$221,_xll.ciqfunctions.udf.CIQ($G269, "IQ_SHARESOUTSTANDING", GJ$222),"--")</f>
        <v>0</v>
      </c>
      <c r="GK269" s="2132">
        <f>IF(GK$221,_xll.ciqfunctions.udf.CIQ($G269, "IQ_SHARESOUTSTANDING", GK$222),"--")</f>
        <v>0</v>
      </c>
      <c r="GL269" s="2132">
        <f>IF(GL$221,_xll.ciqfunctions.udf.CIQ($G269, "IQ_SHARESOUTSTANDING", GL$222),"--")</f>
        <v>0</v>
      </c>
      <c r="GM269" s="2132">
        <f>IF(GM$221,_xll.ciqfunctions.udf.CIQ($G269, "IQ_SHARESOUTSTANDING", GM$222),"--")</f>
        <v>0</v>
      </c>
      <c r="GN269" s="2132">
        <f>IF(GN$221,_xll.ciqfunctions.udf.CIQ($G269, "IQ_SHARESOUTSTANDING", GN$222),"--")</f>
        <v>0</v>
      </c>
      <c r="GO269" s="2132">
        <f>IF(GO$221,_xll.ciqfunctions.udf.CIQ($G269, "IQ_SHARESOUTSTANDING", GO$222),"--")</f>
        <v>0</v>
      </c>
      <c r="GP269" s="2132">
        <f>IF(GP$221,_xll.ciqfunctions.udf.CIQ($G269, "IQ_SHARESOUTSTANDING", GP$222),"--")</f>
        <v>0</v>
      </c>
      <c r="GQ269" s="2132">
        <f>IF(GQ$221,_xll.ciqfunctions.udf.CIQ($G269, "IQ_SHARESOUTSTANDING", GQ$222),"--")</f>
        <v>0</v>
      </c>
      <c r="GR269" s="2132">
        <f>IF(GR$221,_xll.ciqfunctions.udf.CIQ($G269, "IQ_SHARESOUTSTANDING", GR$222),"--")</f>
        <v>0</v>
      </c>
      <c r="GS269" s="2132">
        <f>IF(GS$221,_xll.ciqfunctions.udf.CIQ($G269, "IQ_SHARESOUTSTANDING", GS$222),"--")</f>
        <v>0</v>
      </c>
      <c r="GT269" s="2132">
        <f>IF(GT$221,_xll.ciqfunctions.udf.CIQ($G269, "IQ_SHARESOUTSTANDING", GT$222),"--")</f>
        <v>0</v>
      </c>
      <c r="GU269" s="2132">
        <f>IF(GU$221,_xll.ciqfunctions.udf.CIQ($G269, "IQ_SHARESOUTSTANDING", GU$222),"--")</f>
        <v>0</v>
      </c>
      <c r="GV269" s="2132">
        <f>IF(GV$221,_xll.ciqfunctions.udf.CIQ($G269, "IQ_SHARESOUTSTANDING", GV$222),"--")</f>
        <v>0</v>
      </c>
      <c r="GW269" s="2132">
        <f>IF(GW$221,_xll.ciqfunctions.udf.CIQ($G269, "IQ_SHARESOUTSTANDING", GW$222),"--")</f>
        <v>0</v>
      </c>
      <c r="GX269" s="2132">
        <f>IF(GX$221,_xll.ciqfunctions.udf.CIQ($G269, "IQ_SHARESOUTSTANDING", GX$222),"--")</f>
        <v>0</v>
      </c>
      <c r="GY269" s="2132">
        <f>IF(GY$221,_xll.ciqfunctions.udf.CIQ($G269, "IQ_SHARESOUTSTANDING", GY$222),"--")</f>
        <v>0</v>
      </c>
      <c r="GZ269" s="2132">
        <f>IF(GZ$221,_xll.ciqfunctions.udf.CIQ($G269, "IQ_SHARESOUTSTANDING", GZ$222),"--")</f>
        <v>0</v>
      </c>
      <c r="HA269" s="2132">
        <f>IF(HA$221,_xll.ciqfunctions.udf.CIQ($G269, "IQ_SHARESOUTSTANDING", HA$222),"--")</f>
        <v>0</v>
      </c>
      <c r="HB269" s="2132">
        <f>IF(HB$221,_xll.ciqfunctions.udf.CIQ($G269, "IQ_SHARESOUTSTANDING", HB$222),"--")</f>
        <v>0</v>
      </c>
      <c r="HC269" s="2132">
        <f>IF(HC$221,_xll.ciqfunctions.udf.CIQ($G269, "IQ_SHARESOUTSTANDING", HC$222),"--")</f>
        <v>0</v>
      </c>
      <c r="HD269" s="2132">
        <f>IF(HD$221,_xll.ciqfunctions.udf.CIQ($G269, "IQ_SHARESOUTSTANDING", HD$222),"--")</f>
        <v>0</v>
      </c>
      <c r="HE269" s="2132">
        <f>IF(HE$221,_xll.ciqfunctions.udf.CIQ($G269, "IQ_SHARESOUTSTANDING", HE$222),"--")</f>
        <v>0</v>
      </c>
      <c r="HF269" s="2132">
        <f>IF(HF$221,_xll.ciqfunctions.udf.CIQ($G269, "IQ_SHARESOUTSTANDING", HF$222),"--")</f>
        <v>0</v>
      </c>
      <c r="HG269" s="2132">
        <f>IF(HG$221,_xll.ciqfunctions.udf.CIQ($G269, "IQ_SHARESOUTSTANDING", HG$222),"--")</f>
        <v>0</v>
      </c>
      <c r="HH269" s="2132">
        <f>IF(HH$221,_xll.ciqfunctions.udf.CIQ($G269, "IQ_SHARESOUTSTANDING", HH$222),"--")</f>
        <v>0</v>
      </c>
      <c r="HI269" s="2132">
        <f>IF(HI$221,_xll.ciqfunctions.udf.CIQ($G269, "IQ_SHARESOUTSTANDING", HI$222),"--")</f>
        <v>0</v>
      </c>
      <c r="HJ269" s="2132">
        <f>IF(HJ$221,_xll.ciqfunctions.udf.CIQ($G269, "IQ_SHARESOUTSTANDING", HJ$222),"--")</f>
        <v>0</v>
      </c>
      <c r="HK269" s="2132">
        <f>IF(HK$221,_xll.ciqfunctions.udf.CIQ($G269, "IQ_SHARESOUTSTANDING", HK$222),"--")</f>
        <v>0</v>
      </c>
      <c r="HL269" s="2132">
        <f>IF(HL$221,_xll.ciqfunctions.udf.CIQ($G269, "IQ_SHARESOUTSTANDING", HL$222),"--")</f>
        <v>0</v>
      </c>
      <c r="HM269" s="2132">
        <f>IF(HM$221,_xll.ciqfunctions.udf.CIQ($G269, "IQ_SHARESOUTSTANDING", HM$222),"--")</f>
        <v>0</v>
      </c>
      <c r="HN269" s="2132">
        <f>IF(HN$221,_xll.ciqfunctions.udf.CIQ($G269, "IQ_SHARESOUTSTANDING", HN$222),"--")</f>
        <v>0</v>
      </c>
      <c r="HO269" s="2132">
        <f>IF(HO$221,_xll.ciqfunctions.udf.CIQ($G269, "IQ_SHARESOUTSTANDING", HO$222),"--")</f>
        <v>0</v>
      </c>
      <c r="HP269" s="2132">
        <f>IF(HP$221,_xll.ciqfunctions.udf.CIQ($G269, "IQ_SHARESOUTSTANDING", HP$222),"--")</f>
        <v>0</v>
      </c>
      <c r="HQ269" s="2132">
        <f>IF(HQ$221,_xll.ciqfunctions.udf.CIQ($G269, "IQ_SHARESOUTSTANDING", HQ$222),"--")</f>
        <v>0</v>
      </c>
      <c r="HR269" s="2132">
        <f>IF(HR$221,_xll.ciqfunctions.udf.CIQ($G269, "IQ_SHARESOUTSTANDING", HR$222),"--")</f>
        <v>0</v>
      </c>
      <c r="HS269" s="2132">
        <f>IF(HS$221,_xll.ciqfunctions.udf.CIQ($G269, "IQ_SHARESOUTSTANDING", HS$222),"--")</f>
        <v>0</v>
      </c>
      <c r="HT269" s="2132">
        <f>IF(HT$221,_xll.ciqfunctions.udf.CIQ($G269, "IQ_SHARESOUTSTANDING", HT$222),"--")</f>
        <v>0</v>
      </c>
      <c r="HU269" s="2132">
        <f>IF(HU$221,_xll.ciqfunctions.udf.CIQ($G269, "IQ_SHARESOUTSTANDING", HU$222),"--")</f>
        <v>0</v>
      </c>
      <c r="HV269" s="2132">
        <f>IF(HV$221,_xll.ciqfunctions.udf.CIQ($G269, "IQ_SHARESOUTSTANDING", HV$222),"--")</f>
        <v>0</v>
      </c>
      <c r="HW269" s="2132">
        <f>IF(HW$221,_xll.ciqfunctions.udf.CIQ($G269, "IQ_SHARESOUTSTANDING", HW$222),"--")</f>
        <v>0</v>
      </c>
      <c r="HX269" s="2132">
        <f>IF(HX$221,_xll.ciqfunctions.udf.CIQ($G269, "IQ_SHARESOUTSTANDING", HX$222),"--")</f>
        <v>0</v>
      </c>
      <c r="HY269" s="2132">
        <f>IF(HY$221,_xll.ciqfunctions.udf.CIQ($G269, "IQ_SHARESOUTSTANDING", HY$222),"--")</f>
        <v>0</v>
      </c>
      <c r="HZ269" s="2132">
        <f>IF(HZ$221,_xll.ciqfunctions.udf.CIQ($G269, "IQ_SHARESOUTSTANDING", HZ$222),"--")</f>
        <v>0</v>
      </c>
      <c r="IA269" s="2132">
        <f>IF(IA$221,_xll.ciqfunctions.udf.CIQ($G269, "IQ_SHARESOUTSTANDING", IA$222),"--")</f>
        <v>0</v>
      </c>
      <c r="IB269" s="2132">
        <f>IF(IB$221,_xll.ciqfunctions.udf.CIQ($G269, "IQ_SHARESOUTSTANDING", IB$222),"--")</f>
        <v>0</v>
      </c>
      <c r="IC269" s="2132">
        <f>IF(IC$221,_xll.ciqfunctions.udf.CIQ($G269, "IQ_SHARESOUTSTANDING", IC$222),"--")</f>
        <v>0</v>
      </c>
      <c r="ID269" s="2132">
        <f>IF(ID$221,_xll.ciqfunctions.udf.CIQ($G269, "IQ_SHARESOUTSTANDING", ID$222),"--")</f>
        <v>0</v>
      </c>
      <c r="IE269" s="2132">
        <f>IF(IE$221,_xll.ciqfunctions.udf.CIQ($G269, "IQ_SHARESOUTSTANDING", IE$222),"--")</f>
        <v>0</v>
      </c>
      <c r="IF269" s="2132">
        <f>IF(IF$221,_xll.ciqfunctions.udf.CIQ($G269, "IQ_SHARESOUTSTANDING", IF$222),"--")</f>
        <v>0</v>
      </c>
      <c r="IG269" s="2132">
        <f>IF(IG$221,_xll.ciqfunctions.udf.CIQ($G269, "IQ_SHARESOUTSTANDING", IG$222),"--")</f>
        <v>0</v>
      </c>
      <c r="IH269" s="2132">
        <f>IF(IH$221,_xll.ciqfunctions.udf.CIQ($G269, "IQ_SHARESOUTSTANDING", IH$222),"--")</f>
        <v>0</v>
      </c>
      <c r="II269" s="2132">
        <f>IF(II$221,_xll.ciqfunctions.udf.CIQ($G269, "IQ_SHARESOUTSTANDING", II$222),"--")</f>
        <v>0</v>
      </c>
      <c r="IJ269" s="2132">
        <f>IF(IJ$221,_xll.ciqfunctions.udf.CIQ($G269, "IQ_SHARESOUTSTANDING", IJ$222),"--")</f>
        <v>0</v>
      </c>
      <c r="IK269" s="2132">
        <f>IF(IK$221,_xll.ciqfunctions.udf.CIQ($G269, "IQ_SHARESOUTSTANDING", IK$222),"--")</f>
        <v>0</v>
      </c>
      <c r="IL269" s="2132">
        <f>IF(IL$221,_xll.ciqfunctions.udf.CIQ($G269, "IQ_SHARESOUTSTANDING", IL$222),"--")</f>
        <v>0</v>
      </c>
      <c r="IM269" s="2132">
        <f>IF(IM$221,_xll.ciqfunctions.udf.CIQ($G269, "IQ_SHARESOUTSTANDING", IM$222),"--")</f>
        <v>0</v>
      </c>
      <c r="IN269" s="2132">
        <f>IF(IN$221,_xll.ciqfunctions.udf.CIQ($G269, "IQ_SHARESOUTSTANDING", IN$222),"--")</f>
        <v>0</v>
      </c>
      <c r="IO269" s="2132">
        <f>IF(IO$221,_xll.ciqfunctions.udf.CIQ($G269, "IQ_SHARESOUTSTANDING", IO$222),"--")</f>
        <v>0</v>
      </c>
      <c r="IP269" s="2132">
        <f>IF(IP$221,_xll.ciqfunctions.udf.CIQ($G269, "IQ_SHARESOUTSTANDING", IP$222),"--")</f>
        <v>0</v>
      </c>
      <c r="IQ269" s="2132">
        <f>IF(IQ$221,_xll.ciqfunctions.udf.CIQ($G269, "IQ_SHARESOUTSTANDING", IQ$222),"--")</f>
        <v>0</v>
      </c>
      <c r="IR269" s="2132">
        <f>IF(IR$221,_xll.ciqfunctions.udf.CIQ($G269, "IQ_SHARESOUTSTANDING", IR$222),"--")</f>
        <v>0</v>
      </c>
      <c r="IS269" s="2132">
        <f>IF(IS$221,_xll.ciqfunctions.udf.CIQ($G269, "IQ_SHARESOUTSTANDING", IS$222),"--")</f>
        <v>0</v>
      </c>
      <c r="IT269" s="2132">
        <f>IF(IT$221,_xll.ciqfunctions.udf.CIQ($G269, "IQ_SHARESOUTSTANDING", IT$222),"--")</f>
        <v>0</v>
      </c>
      <c r="IU269" s="2132">
        <f>IF(IU$221,_xll.ciqfunctions.udf.CIQ($G269, "IQ_SHARESOUTSTANDING", IU$222),"--")</f>
        <v>0</v>
      </c>
      <c r="IV269" s="2132">
        <f>IF(IV$221,_xll.ciqfunctions.udf.CIQ($G269, "IQ_SHARESOUTSTANDING", IV$222),"--")</f>
        <v>0</v>
      </c>
      <c r="IW269" s="2132">
        <f>IF(IW$221,_xll.ciqfunctions.udf.CIQ($G269, "IQ_SHARESOUTSTANDING", IW$222),"--")</f>
        <v>0</v>
      </c>
      <c r="IX269" s="2132">
        <f>IF(IX$221,_xll.ciqfunctions.udf.CIQ($G269, "IQ_SHARESOUTSTANDING", IX$222),"--")</f>
        <v>0</v>
      </c>
      <c r="IY269" s="2132">
        <f>IF(IY$221,_xll.ciqfunctions.udf.CIQ($G269, "IQ_SHARESOUTSTANDING", IY$222),"--")</f>
        <v>0</v>
      </c>
      <c r="IZ269" s="2132">
        <f>IF(IZ$221,_xll.ciqfunctions.udf.CIQ($G269, "IQ_SHARESOUTSTANDING", IZ$222),"--")</f>
        <v>0</v>
      </c>
      <c r="JA269" s="2132">
        <f>IF(JA$221,_xll.ciqfunctions.udf.CIQ($G269, "IQ_SHARESOUTSTANDING", JA$222),"--")</f>
        <v>0</v>
      </c>
      <c r="JB269" s="2132">
        <f>IF(JB$221,_xll.ciqfunctions.udf.CIQ($G269, "IQ_SHARESOUTSTANDING", JB$222),"--")</f>
        <v>0</v>
      </c>
      <c r="JC269" s="2132">
        <f>IF(JC$221,_xll.ciqfunctions.udf.CIQ($G269, "IQ_SHARESOUTSTANDING", JC$222),"--")</f>
        <v>0</v>
      </c>
      <c r="JD269" s="2132">
        <f>IF(JD$221,_xll.ciqfunctions.udf.CIQ($G269, "IQ_SHARESOUTSTANDING", JD$222),"--")</f>
        <v>0</v>
      </c>
      <c r="JE269" s="2132">
        <f>IF(JE$221,_xll.ciqfunctions.udf.CIQ($G269, "IQ_SHARESOUTSTANDING", JE$222),"--")</f>
        <v>0</v>
      </c>
      <c r="JF269" s="2132">
        <f>IF(JF$221,_xll.ciqfunctions.udf.CIQ($G269, "IQ_SHARESOUTSTANDING", JF$222),"--")</f>
        <v>0</v>
      </c>
      <c r="JG269" s="2132">
        <f>IF(JG$221,_xll.ciqfunctions.udf.CIQ($G269, "IQ_SHARESOUTSTANDING", JG$222),"--")</f>
        <v>0</v>
      </c>
      <c r="JH269" s="2132">
        <f>IF(JH$221,_xll.ciqfunctions.udf.CIQ($G269, "IQ_SHARESOUTSTANDING", JH$222),"--")</f>
        <v>0</v>
      </c>
      <c r="JI269" s="2132">
        <f>IF(JI$221,_xll.ciqfunctions.udf.CIQ($G269, "IQ_SHARESOUTSTANDING", JI$222),"--")</f>
        <v>0</v>
      </c>
      <c r="JJ269" s="2132">
        <f>IF(JJ$221,_xll.ciqfunctions.udf.CIQ($G269, "IQ_SHARESOUTSTANDING", JJ$222),"--")</f>
        <v>0</v>
      </c>
      <c r="JK269" s="2132">
        <f>IF(JK$221,_xll.ciqfunctions.udf.CIQ($G269, "IQ_SHARESOUTSTANDING", JK$222),"--")</f>
        <v>0</v>
      </c>
      <c r="JL269" s="2132">
        <f>IF(JL$221,_xll.ciqfunctions.udf.CIQ($G269, "IQ_SHARESOUTSTANDING", JL$222),"--")</f>
        <v>0</v>
      </c>
      <c r="JM269" s="2132">
        <f>IF(JM$221,_xll.ciqfunctions.udf.CIQ($G269, "IQ_SHARESOUTSTANDING", JM$222),"--")</f>
        <v>0</v>
      </c>
      <c r="JN269" s="2132">
        <f>IF(JN$221,_xll.ciqfunctions.udf.CIQ($G269, "IQ_SHARESOUTSTANDING", JN$222),"--")</f>
        <v>0</v>
      </c>
      <c r="JO269" s="2132">
        <f>IF(JO$221,_xll.ciqfunctions.udf.CIQ($G269, "IQ_SHARESOUTSTANDING", JO$222),"--")</f>
        <v>0</v>
      </c>
      <c r="JP269" s="2132">
        <f>IF(JP$221,_xll.ciqfunctions.udf.CIQ($G269, "IQ_SHARESOUTSTANDING", JP$222),"--")</f>
        <v>0</v>
      </c>
      <c r="JQ269" s="2132">
        <f>IF(JQ$221,_xll.ciqfunctions.udf.CIQ($G269, "IQ_SHARESOUTSTANDING", JQ$222),"--")</f>
        <v>0</v>
      </c>
      <c r="JR269" s="2132">
        <f>IF(JR$221,_xll.ciqfunctions.udf.CIQ($G269, "IQ_SHARESOUTSTANDING", JR$222),"--")</f>
        <v>0</v>
      </c>
      <c r="JS269" s="2132">
        <f>IF(JS$221,_xll.ciqfunctions.udf.CIQ($G269, "IQ_SHARESOUTSTANDING", JS$222),"--")</f>
        <v>0</v>
      </c>
      <c r="JT269" s="2132">
        <f>IF(JT$221,_xll.ciqfunctions.udf.CIQ($G269, "IQ_SHARESOUTSTANDING", JT$222),"--")</f>
        <v>0</v>
      </c>
      <c r="JU269" s="2132">
        <f>IF(JU$221,_xll.ciqfunctions.udf.CIQ($G269, "IQ_SHARESOUTSTANDING", JU$222),"--")</f>
        <v>0</v>
      </c>
      <c r="JV269" s="2132">
        <f>IF(JV$221,_xll.ciqfunctions.udf.CIQ($G269, "IQ_SHARESOUTSTANDING", JV$222),"--")</f>
        <v>0</v>
      </c>
      <c r="JW269" s="2132" t="str">
        <f>IF(JW$221,_xll.ciqfunctions.udf.CIQ($G269, "IQ_SHARESOUTSTANDING", JW$222),"--")</f>
        <v>--</v>
      </c>
      <c r="JX269" s="2132" t="str">
        <f>IF(JX$221,_xll.ciqfunctions.udf.CIQ($G269, "IQ_SHARESOUTSTANDING", JX$222),"--")</f>
        <v>--</v>
      </c>
      <c r="JY269" s="2132" t="str">
        <f>IF(JY$221,_xll.ciqfunctions.udf.CIQ($G269, "IQ_SHARESOUTSTANDING", JY$222),"--")</f>
        <v>--</v>
      </c>
      <c r="JZ269" s="2132" t="str">
        <f>IF(JZ$221,_xll.ciqfunctions.udf.CIQ($G269, "IQ_SHARESOUTSTANDING", JZ$222),"--")</f>
        <v>--</v>
      </c>
      <c r="KA269" s="2132" t="str">
        <f>IF(KA$221,_xll.ciqfunctions.udf.CIQ($G269, "IQ_SHARESOUTSTANDING", KA$222),"--")</f>
        <v>--</v>
      </c>
      <c r="KB269" s="2132" t="str">
        <f>IF(KB$221,_xll.ciqfunctions.udf.CIQ($G269, "IQ_SHARESOUTSTANDING", KB$222),"--")</f>
        <v>--</v>
      </c>
    </row>
    <row r="270" spans="1:288" s="89" customFormat="1" ht="13.9">
      <c r="A270" s="269" t="str">
        <f t="shared" si="49"/>
        <v>n</v>
      </c>
      <c r="B270" s="2060"/>
      <c r="D270" s="801"/>
      <c r="E270" s="1505">
        <v>16</v>
      </c>
      <c r="F270" s="21" t="str">
        <f>F$144</f>
        <v>--</v>
      </c>
      <c r="G270" s="1441">
        <f>G$144</f>
        <v>0</v>
      </c>
      <c r="H270" s="1441" t="str">
        <f>H$144</f>
        <v>--</v>
      </c>
      <c r="I270" s="314" t="s">
        <v>783</v>
      </c>
      <c r="J270" s="314"/>
      <c r="K270" s="2301" t="str">
        <f>IF(OR(K207=0,$G270=0),"--",IFERROR(_xll.ciqfunctions.udf.CIQ($G270,$I270,K115,Valuation_Date_GC,ReportType,DataMode,$H270,FXMode)*Scale+K239*Pension10,"--"))</f>
        <v>--</v>
      </c>
      <c r="L270" s="2301" t="str">
        <f>IF(OR(L207=0,$G270=0),"--",IFERROR(_xll.ciqfunctions.udf.CIQ($G270,$I270,L115,Valuation_Date_GC,ReportType,DataMode,$H270,FXMode)*Scale+L239*Pension10,"--"))</f>
        <v>--</v>
      </c>
      <c r="M270" s="2301" t="str">
        <f>IF(OR(M207=0,$G270=0),"--",IFERROR(_xll.ciqfunctions.udf.CIQ($G270,$I270,M115,Valuation_Date_GC,ReportType,DataMode,$H270,FXMode)*Scale+M239*Pension10,"--"))</f>
        <v>--</v>
      </c>
      <c r="N270" s="2301" t="str">
        <f>IF(OR(N207=0,$G270=0),"--",IFERROR(_xll.ciqfunctions.udf.CIQ($G270,$I270,N115,Valuation_Date_GC,ReportType,DataMode,$H270,FXMode)*Scale+N239*Pension10,"--"))</f>
        <v>--</v>
      </c>
      <c r="O270" s="1471" t="str">
        <f>IF(OR(O207=0,$G270=0),"--",IFERROR(_xll.ciqfunctions.udf.CIQ($G270,$I270,O115,Valuation_Date_GC,ReportType,DataMode,$H270,FXMode)*Scale+O239*Pension10,"--"))</f>
        <v>--</v>
      </c>
      <c r="P270" s="2301" t="str">
        <f>IF(OR(P207=0,$G270=0),"--",IFERROR(_xll.ciqfunctions.udf.CIQ($G270,$I270,P115,Valuation_Date_GC,ReportType,DataMode,$H270,FXMode)*Scale+P239*Pension10,"--"))</f>
        <v>--</v>
      </c>
      <c r="R270" s="1466"/>
      <c r="T270" s="1779" t="s">
        <v>784</v>
      </c>
      <c r="U270" s="2132">
        <f>IF(U$221,_xll.ciqfunctions.udf.CIQ($G270, "IQ_SHARESOUTSTANDING", U$222),"--")</f>
        <v>0</v>
      </c>
      <c r="V270" s="2132">
        <f>IF(V$221,_xll.ciqfunctions.udf.CIQ($G270, "IQ_SHARESOUTSTANDING", V$222),"--")</f>
        <v>0</v>
      </c>
      <c r="W270" s="2132">
        <f>IF(W$221,_xll.ciqfunctions.udf.CIQ($G270, "IQ_SHARESOUTSTANDING", W$222),"--")</f>
        <v>0</v>
      </c>
      <c r="X270" s="2132">
        <f>IF(X$221,_xll.ciqfunctions.udf.CIQ($G270, "IQ_SHARESOUTSTANDING", X$222),"--")</f>
        <v>0</v>
      </c>
      <c r="Y270" s="2132">
        <f>IF(Y$221,_xll.ciqfunctions.udf.CIQ($G270, "IQ_SHARESOUTSTANDING", Y$222),"--")</f>
        <v>0</v>
      </c>
      <c r="Z270" s="2132">
        <f>IF(Z$221,_xll.ciqfunctions.udf.CIQ($G270, "IQ_SHARESOUTSTANDING", Z$222),"--")</f>
        <v>0</v>
      </c>
      <c r="AA270" s="2132">
        <f>IF(AA$221,_xll.ciqfunctions.udf.CIQ($G270, "IQ_SHARESOUTSTANDING", AA$222),"--")</f>
        <v>0</v>
      </c>
      <c r="AB270" s="2132">
        <f>IF(AB$221,_xll.ciqfunctions.udf.CIQ($G270, "IQ_SHARESOUTSTANDING", AB$222),"--")</f>
        <v>0</v>
      </c>
      <c r="AC270" s="2132">
        <f>IF(AC$221,_xll.ciqfunctions.udf.CIQ($G270, "IQ_SHARESOUTSTANDING", AC$222),"--")</f>
        <v>0</v>
      </c>
      <c r="AD270" s="2132">
        <f>IF(AD$221,_xll.ciqfunctions.udf.CIQ($G270, "IQ_SHARESOUTSTANDING", AD$222),"--")</f>
        <v>0</v>
      </c>
      <c r="AE270" s="2132">
        <f>IF(AE$221,_xll.ciqfunctions.udf.CIQ($G270, "IQ_SHARESOUTSTANDING", AE$222),"--")</f>
        <v>0</v>
      </c>
      <c r="AF270" s="2132">
        <f>IF(AF$221,_xll.ciqfunctions.udf.CIQ($G270, "IQ_SHARESOUTSTANDING", AF$222),"--")</f>
        <v>0</v>
      </c>
      <c r="AG270" s="2132">
        <f>IF(AG$221,_xll.ciqfunctions.udf.CIQ($G270, "IQ_SHARESOUTSTANDING", AG$222),"--")</f>
        <v>0</v>
      </c>
      <c r="AH270" s="2132">
        <f>IF(AH$221,_xll.ciqfunctions.udf.CIQ($G270, "IQ_SHARESOUTSTANDING", AH$222),"--")</f>
        <v>0</v>
      </c>
      <c r="AI270" s="2132">
        <f>IF(AI$221,_xll.ciqfunctions.udf.CIQ($G270, "IQ_SHARESOUTSTANDING", AI$222),"--")</f>
        <v>0</v>
      </c>
      <c r="AJ270" s="2132">
        <f>IF(AJ$221,_xll.ciqfunctions.udf.CIQ($G270, "IQ_SHARESOUTSTANDING", AJ$222),"--")</f>
        <v>0</v>
      </c>
      <c r="AK270" s="2132">
        <f>IF(AK$221,_xll.ciqfunctions.udf.CIQ($G270, "IQ_SHARESOUTSTANDING", AK$222),"--")</f>
        <v>0</v>
      </c>
      <c r="AL270" s="2132">
        <f>IF(AL$221,_xll.ciqfunctions.udf.CIQ($G270, "IQ_SHARESOUTSTANDING", AL$222),"--")</f>
        <v>0</v>
      </c>
      <c r="AM270" s="2132">
        <f>IF(AM$221,_xll.ciqfunctions.udf.CIQ($G270, "IQ_SHARESOUTSTANDING", AM$222),"--")</f>
        <v>0</v>
      </c>
      <c r="AN270" s="2132">
        <f>IF(AN$221,_xll.ciqfunctions.udf.CIQ($G270, "IQ_SHARESOUTSTANDING", AN$222),"--")</f>
        <v>0</v>
      </c>
      <c r="AO270" s="2132">
        <f>IF(AO$221,_xll.ciqfunctions.udf.CIQ($G270, "IQ_SHARESOUTSTANDING", AO$222),"--")</f>
        <v>0</v>
      </c>
      <c r="AP270" s="2132">
        <f>IF(AP$221,_xll.ciqfunctions.udf.CIQ($G270, "IQ_SHARESOUTSTANDING", AP$222),"--")</f>
        <v>0</v>
      </c>
      <c r="AQ270" s="2132">
        <f>IF(AQ$221,_xll.ciqfunctions.udf.CIQ($G270, "IQ_SHARESOUTSTANDING", AQ$222),"--")</f>
        <v>0</v>
      </c>
      <c r="AR270" s="2132">
        <f>IF(AR$221,_xll.ciqfunctions.udf.CIQ($G270, "IQ_SHARESOUTSTANDING", AR$222),"--")</f>
        <v>0</v>
      </c>
      <c r="AS270" s="2132">
        <f>IF(AS$221,_xll.ciqfunctions.udf.CIQ($G270, "IQ_SHARESOUTSTANDING", AS$222),"--")</f>
        <v>0</v>
      </c>
      <c r="AT270" s="2132">
        <f>IF(AT$221,_xll.ciqfunctions.udf.CIQ($G270, "IQ_SHARESOUTSTANDING", AT$222),"--")</f>
        <v>0</v>
      </c>
      <c r="AU270" s="2132">
        <f>IF(AU$221,_xll.ciqfunctions.udf.CIQ($G270, "IQ_SHARESOUTSTANDING", AU$222),"--")</f>
        <v>0</v>
      </c>
      <c r="AV270" s="2132">
        <f>IF(AV$221,_xll.ciqfunctions.udf.CIQ($G270, "IQ_SHARESOUTSTANDING", AV$222),"--")</f>
        <v>0</v>
      </c>
      <c r="AW270" s="2132">
        <f>IF(AW$221,_xll.ciqfunctions.udf.CIQ($G270, "IQ_SHARESOUTSTANDING", AW$222),"--")</f>
        <v>0</v>
      </c>
      <c r="AX270" s="2132">
        <f>IF(AX$221,_xll.ciqfunctions.udf.CIQ($G270, "IQ_SHARESOUTSTANDING", AX$222),"--")</f>
        <v>0</v>
      </c>
      <c r="AY270" s="2132">
        <f>IF(AY$221,_xll.ciqfunctions.udf.CIQ($G270, "IQ_SHARESOUTSTANDING", AY$222),"--")</f>
        <v>0</v>
      </c>
      <c r="AZ270" s="2132">
        <f>IF(AZ$221,_xll.ciqfunctions.udf.CIQ($G270, "IQ_SHARESOUTSTANDING", AZ$222),"--")</f>
        <v>0</v>
      </c>
      <c r="BA270" s="2132">
        <f>IF(BA$221,_xll.ciqfunctions.udf.CIQ($G270, "IQ_SHARESOUTSTANDING", BA$222),"--")</f>
        <v>0</v>
      </c>
      <c r="BB270" s="2132">
        <f>IF(BB$221,_xll.ciqfunctions.udf.CIQ($G270, "IQ_SHARESOUTSTANDING", BB$222),"--")</f>
        <v>0</v>
      </c>
      <c r="BC270" s="2132">
        <f>IF(BC$221,_xll.ciqfunctions.udf.CIQ($G270, "IQ_SHARESOUTSTANDING", BC$222),"--")</f>
        <v>0</v>
      </c>
      <c r="BD270" s="2132">
        <f>IF(BD$221,_xll.ciqfunctions.udf.CIQ($G270, "IQ_SHARESOUTSTANDING", BD$222),"--")</f>
        <v>0</v>
      </c>
      <c r="BE270" s="2132">
        <f>IF(BE$221,_xll.ciqfunctions.udf.CIQ($G270, "IQ_SHARESOUTSTANDING", BE$222),"--")</f>
        <v>0</v>
      </c>
      <c r="BF270" s="2132">
        <f>IF(BF$221,_xll.ciqfunctions.udf.CIQ($G270, "IQ_SHARESOUTSTANDING", BF$222),"--")</f>
        <v>0</v>
      </c>
      <c r="BG270" s="2132">
        <f>IF(BG$221,_xll.ciqfunctions.udf.CIQ($G270, "IQ_SHARESOUTSTANDING", BG$222),"--")</f>
        <v>0</v>
      </c>
      <c r="BH270" s="2132">
        <f>IF(BH$221,_xll.ciqfunctions.udf.CIQ($G270, "IQ_SHARESOUTSTANDING", BH$222),"--")</f>
        <v>0</v>
      </c>
      <c r="BI270" s="2132">
        <f>IF(BI$221,_xll.ciqfunctions.udf.CIQ($G270, "IQ_SHARESOUTSTANDING", BI$222),"--")</f>
        <v>0</v>
      </c>
      <c r="BJ270" s="2132">
        <f>IF(BJ$221,_xll.ciqfunctions.udf.CIQ($G270, "IQ_SHARESOUTSTANDING", BJ$222),"--")</f>
        <v>0</v>
      </c>
      <c r="BK270" s="2132">
        <f>IF(BK$221,_xll.ciqfunctions.udf.CIQ($G270, "IQ_SHARESOUTSTANDING", BK$222),"--")</f>
        <v>0</v>
      </c>
      <c r="BL270" s="2132">
        <f>IF(BL$221,_xll.ciqfunctions.udf.CIQ($G270, "IQ_SHARESOUTSTANDING", BL$222),"--")</f>
        <v>0</v>
      </c>
      <c r="BM270" s="2132">
        <f>IF(BM$221,_xll.ciqfunctions.udf.CIQ($G270, "IQ_SHARESOUTSTANDING", BM$222),"--")</f>
        <v>0</v>
      </c>
      <c r="BN270" s="2132">
        <f>IF(BN$221,_xll.ciqfunctions.udf.CIQ($G270, "IQ_SHARESOUTSTANDING", BN$222),"--")</f>
        <v>0</v>
      </c>
      <c r="BO270" s="2132">
        <f>IF(BO$221,_xll.ciqfunctions.udf.CIQ($G270, "IQ_SHARESOUTSTANDING", BO$222),"--")</f>
        <v>0</v>
      </c>
      <c r="BP270" s="2132">
        <f>IF(BP$221,_xll.ciqfunctions.udf.CIQ($G270, "IQ_SHARESOUTSTANDING", BP$222),"--")</f>
        <v>0</v>
      </c>
      <c r="BQ270" s="2132">
        <f>IF(BQ$221,_xll.ciqfunctions.udf.CIQ($G270, "IQ_SHARESOUTSTANDING", BQ$222),"--")</f>
        <v>0</v>
      </c>
      <c r="BR270" s="2132">
        <f>IF(BR$221,_xll.ciqfunctions.udf.CIQ($G270, "IQ_SHARESOUTSTANDING", BR$222),"--")</f>
        <v>0</v>
      </c>
      <c r="BS270" s="2132">
        <f>IF(BS$221,_xll.ciqfunctions.udf.CIQ($G270, "IQ_SHARESOUTSTANDING", BS$222),"--")</f>
        <v>0</v>
      </c>
      <c r="BT270" s="2132">
        <f>IF(BT$221,_xll.ciqfunctions.udf.CIQ($G270, "IQ_SHARESOUTSTANDING", BT$222),"--")</f>
        <v>0</v>
      </c>
      <c r="BU270" s="2132">
        <f>IF(BU$221,_xll.ciqfunctions.udf.CIQ($G270, "IQ_SHARESOUTSTANDING", BU$222),"--")</f>
        <v>0</v>
      </c>
      <c r="BV270" s="2132">
        <f>IF(BV$221,_xll.ciqfunctions.udf.CIQ($G270, "IQ_SHARESOUTSTANDING", BV$222),"--")</f>
        <v>0</v>
      </c>
      <c r="BW270" s="2132">
        <f>IF(BW$221,_xll.ciqfunctions.udf.CIQ($G270, "IQ_SHARESOUTSTANDING", BW$222),"--")</f>
        <v>0</v>
      </c>
      <c r="BX270" s="2132">
        <f>IF(BX$221,_xll.ciqfunctions.udf.CIQ($G270, "IQ_SHARESOUTSTANDING", BX$222),"--")</f>
        <v>0</v>
      </c>
      <c r="BY270" s="2132">
        <f>IF(BY$221,_xll.ciqfunctions.udf.CIQ($G270, "IQ_SHARESOUTSTANDING", BY$222),"--")</f>
        <v>0</v>
      </c>
      <c r="BZ270" s="2132">
        <f>IF(BZ$221,_xll.ciqfunctions.udf.CIQ($G270, "IQ_SHARESOUTSTANDING", BZ$222),"--")</f>
        <v>0</v>
      </c>
      <c r="CA270" s="2132">
        <f>IF(CA$221,_xll.ciqfunctions.udf.CIQ($G270, "IQ_SHARESOUTSTANDING", CA$222),"--")</f>
        <v>0</v>
      </c>
      <c r="CB270" s="2132">
        <f>IF(CB$221,_xll.ciqfunctions.udf.CIQ($G270, "IQ_SHARESOUTSTANDING", CB$222),"--")</f>
        <v>0</v>
      </c>
      <c r="CC270" s="2132">
        <f>IF(CC$221,_xll.ciqfunctions.udf.CIQ($G270, "IQ_SHARESOUTSTANDING", CC$222),"--")</f>
        <v>0</v>
      </c>
      <c r="CD270" s="2132">
        <f>IF(CD$221,_xll.ciqfunctions.udf.CIQ($G270, "IQ_SHARESOUTSTANDING", CD$222),"--")</f>
        <v>0</v>
      </c>
      <c r="CE270" s="2132">
        <f>IF(CE$221,_xll.ciqfunctions.udf.CIQ($G270, "IQ_SHARESOUTSTANDING", CE$222),"--")</f>
        <v>0</v>
      </c>
      <c r="CF270" s="2132">
        <f>IF(CF$221,_xll.ciqfunctions.udf.CIQ($G270, "IQ_SHARESOUTSTANDING", CF$222),"--")</f>
        <v>0</v>
      </c>
      <c r="CG270" s="2132">
        <f>IF(CG$221,_xll.ciqfunctions.udf.CIQ($G270, "IQ_SHARESOUTSTANDING", CG$222),"--")</f>
        <v>0</v>
      </c>
      <c r="CH270" s="2132">
        <f>IF(CH$221,_xll.ciqfunctions.udf.CIQ($G270, "IQ_SHARESOUTSTANDING", CH$222),"--")</f>
        <v>0</v>
      </c>
      <c r="CI270" s="2132">
        <f>IF(CI$221,_xll.ciqfunctions.udf.CIQ($G270, "IQ_SHARESOUTSTANDING", CI$222),"--")</f>
        <v>0</v>
      </c>
      <c r="CJ270" s="2132">
        <f>IF(CJ$221,_xll.ciqfunctions.udf.CIQ($G270, "IQ_SHARESOUTSTANDING", CJ$222),"--")</f>
        <v>0</v>
      </c>
      <c r="CK270" s="2132">
        <f>IF(CK$221,_xll.ciqfunctions.udf.CIQ($G270, "IQ_SHARESOUTSTANDING", CK$222),"--")</f>
        <v>0</v>
      </c>
      <c r="CL270" s="2132">
        <f>IF(CL$221,_xll.ciqfunctions.udf.CIQ($G270, "IQ_SHARESOUTSTANDING", CL$222),"--")</f>
        <v>0</v>
      </c>
      <c r="CM270" s="2132">
        <f>IF(CM$221,_xll.ciqfunctions.udf.CIQ($G270, "IQ_SHARESOUTSTANDING", CM$222),"--")</f>
        <v>0</v>
      </c>
      <c r="CN270" s="2132">
        <f>IF(CN$221,_xll.ciqfunctions.udf.CIQ($G270, "IQ_SHARESOUTSTANDING", CN$222),"--")</f>
        <v>0</v>
      </c>
      <c r="CO270" s="2132">
        <f>IF(CO$221,_xll.ciqfunctions.udf.CIQ($G270, "IQ_SHARESOUTSTANDING", CO$222),"--")</f>
        <v>0</v>
      </c>
      <c r="CP270" s="2132">
        <f>IF(CP$221,_xll.ciqfunctions.udf.CIQ($G270, "IQ_SHARESOUTSTANDING", CP$222),"--")</f>
        <v>0</v>
      </c>
      <c r="CQ270" s="2132">
        <f>IF(CQ$221,_xll.ciqfunctions.udf.CIQ($G270, "IQ_SHARESOUTSTANDING", CQ$222),"--")</f>
        <v>0</v>
      </c>
      <c r="CR270" s="2132">
        <f>IF(CR$221,_xll.ciqfunctions.udf.CIQ($G270, "IQ_SHARESOUTSTANDING", CR$222),"--")</f>
        <v>0</v>
      </c>
      <c r="CS270" s="2132">
        <f>IF(CS$221,_xll.ciqfunctions.udf.CIQ($G270, "IQ_SHARESOUTSTANDING", CS$222),"--")</f>
        <v>0</v>
      </c>
      <c r="CT270" s="2132">
        <f>IF(CT$221,_xll.ciqfunctions.udf.CIQ($G270, "IQ_SHARESOUTSTANDING", CT$222),"--")</f>
        <v>0</v>
      </c>
      <c r="CU270" s="2132">
        <f>IF(CU$221,_xll.ciqfunctions.udf.CIQ($G270, "IQ_SHARESOUTSTANDING", CU$222),"--")</f>
        <v>0</v>
      </c>
      <c r="CV270" s="2132">
        <f>IF(CV$221,_xll.ciqfunctions.udf.CIQ($G270, "IQ_SHARESOUTSTANDING", CV$222),"--")</f>
        <v>0</v>
      </c>
      <c r="CW270" s="2132">
        <f>IF(CW$221,_xll.ciqfunctions.udf.CIQ($G270, "IQ_SHARESOUTSTANDING", CW$222),"--")</f>
        <v>0</v>
      </c>
      <c r="CX270" s="2132">
        <f>IF(CX$221,_xll.ciqfunctions.udf.CIQ($G270, "IQ_SHARESOUTSTANDING", CX$222),"--")</f>
        <v>0</v>
      </c>
      <c r="CY270" s="2132">
        <f>IF(CY$221,_xll.ciqfunctions.udf.CIQ($G270, "IQ_SHARESOUTSTANDING", CY$222),"--")</f>
        <v>0</v>
      </c>
      <c r="CZ270" s="2132">
        <f>IF(CZ$221,_xll.ciqfunctions.udf.CIQ($G270, "IQ_SHARESOUTSTANDING", CZ$222),"--")</f>
        <v>0</v>
      </c>
      <c r="DA270" s="2132">
        <f>IF(DA$221,_xll.ciqfunctions.udf.CIQ($G270, "IQ_SHARESOUTSTANDING", DA$222),"--")</f>
        <v>0</v>
      </c>
      <c r="DB270" s="2132">
        <f>IF(DB$221,_xll.ciqfunctions.udf.CIQ($G270, "IQ_SHARESOUTSTANDING", DB$222),"--")</f>
        <v>0</v>
      </c>
      <c r="DC270" s="2132">
        <f>IF(DC$221,_xll.ciqfunctions.udf.CIQ($G270, "IQ_SHARESOUTSTANDING", DC$222),"--")</f>
        <v>0</v>
      </c>
      <c r="DD270" s="2132">
        <f>IF(DD$221,_xll.ciqfunctions.udf.CIQ($G270, "IQ_SHARESOUTSTANDING", DD$222),"--")</f>
        <v>0</v>
      </c>
      <c r="DE270" s="2132">
        <f>IF(DE$221,_xll.ciqfunctions.udf.CIQ($G270, "IQ_SHARESOUTSTANDING", DE$222),"--")</f>
        <v>0</v>
      </c>
      <c r="DF270" s="2132">
        <f>IF(DF$221,_xll.ciqfunctions.udf.CIQ($G270, "IQ_SHARESOUTSTANDING", DF$222),"--")</f>
        <v>0</v>
      </c>
      <c r="DG270" s="2132">
        <f>IF(DG$221,_xll.ciqfunctions.udf.CIQ($G270, "IQ_SHARESOUTSTANDING", DG$222),"--")</f>
        <v>0</v>
      </c>
      <c r="DH270" s="2132">
        <f>IF(DH$221,_xll.ciqfunctions.udf.CIQ($G270, "IQ_SHARESOUTSTANDING", DH$222),"--")</f>
        <v>0</v>
      </c>
      <c r="DI270" s="2132">
        <f>IF(DI$221,_xll.ciqfunctions.udf.CIQ($G270, "IQ_SHARESOUTSTANDING", DI$222),"--")</f>
        <v>0</v>
      </c>
      <c r="DJ270" s="2132">
        <f>IF(DJ$221,_xll.ciqfunctions.udf.CIQ($G270, "IQ_SHARESOUTSTANDING", DJ$222),"--")</f>
        <v>0</v>
      </c>
      <c r="DK270" s="2132">
        <f>IF(DK$221,_xll.ciqfunctions.udf.CIQ($G270, "IQ_SHARESOUTSTANDING", DK$222),"--")</f>
        <v>0</v>
      </c>
      <c r="DL270" s="2132">
        <f>IF(DL$221,_xll.ciqfunctions.udf.CIQ($G270, "IQ_SHARESOUTSTANDING", DL$222),"--")</f>
        <v>0</v>
      </c>
      <c r="DM270" s="2132">
        <f>IF(DM$221,_xll.ciqfunctions.udf.CIQ($G270, "IQ_SHARESOUTSTANDING", DM$222),"--")</f>
        <v>0</v>
      </c>
      <c r="DN270" s="2132">
        <f>IF(DN$221,_xll.ciqfunctions.udf.CIQ($G270, "IQ_SHARESOUTSTANDING", DN$222),"--")</f>
        <v>0</v>
      </c>
      <c r="DO270" s="2132">
        <f>IF(DO$221,_xll.ciqfunctions.udf.CIQ($G270, "IQ_SHARESOUTSTANDING", DO$222),"--")</f>
        <v>0</v>
      </c>
      <c r="DP270" s="2132">
        <f>IF(DP$221,_xll.ciqfunctions.udf.CIQ($G270, "IQ_SHARESOUTSTANDING", DP$222),"--")</f>
        <v>0</v>
      </c>
      <c r="DQ270" s="2132">
        <f>IF(DQ$221,_xll.ciqfunctions.udf.CIQ($G270, "IQ_SHARESOUTSTANDING", DQ$222),"--")</f>
        <v>0</v>
      </c>
      <c r="DR270" s="2132">
        <f>IF(DR$221,_xll.ciqfunctions.udf.CIQ($G270, "IQ_SHARESOUTSTANDING", DR$222),"--")</f>
        <v>0</v>
      </c>
      <c r="DS270" s="2132">
        <f>IF(DS$221,_xll.ciqfunctions.udf.CIQ($G270, "IQ_SHARESOUTSTANDING", DS$222),"--")</f>
        <v>0</v>
      </c>
      <c r="DT270" s="2132">
        <f>IF(DT$221,_xll.ciqfunctions.udf.CIQ($G270, "IQ_SHARESOUTSTANDING", DT$222),"--")</f>
        <v>0</v>
      </c>
      <c r="DU270" s="2132">
        <f>IF(DU$221,_xll.ciqfunctions.udf.CIQ($G270, "IQ_SHARESOUTSTANDING", DU$222),"--")</f>
        <v>0</v>
      </c>
      <c r="DV270" s="2132">
        <f>IF(DV$221,_xll.ciqfunctions.udf.CIQ($G270, "IQ_SHARESOUTSTANDING", DV$222),"--")</f>
        <v>0</v>
      </c>
      <c r="DW270" s="2132">
        <f>IF(DW$221,_xll.ciqfunctions.udf.CIQ($G270, "IQ_SHARESOUTSTANDING", DW$222),"--")</f>
        <v>0</v>
      </c>
      <c r="DX270" s="2132">
        <f>IF(DX$221,_xll.ciqfunctions.udf.CIQ($G270, "IQ_SHARESOUTSTANDING", DX$222),"--")</f>
        <v>0</v>
      </c>
      <c r="DY270" s="2132">
        <f>IF(DY$221,_xll.ciqfunctions.udf.CIQ($G270, "IQ_SHARESOUTSTANDING", DY$222),"--")</f>
        <v>0</v>
      </c>
      <c r="DZ270" s="2132">
        <f>IF(DZ$221,_xll.ciqfunctions.udf.CIQ($G270, "IQ_SHARESOUTSTANDING", DZ$222),"--")</f>
        <v>0</v>
      </c>
      <c r="EA270" s="2132">
        <f>IF(EA$221,_xll.ciqfunctions.udf.CIQ($G270, "IQ_SHARESOUTSTANDING", EA$222),"--")</f>
        <v>0</v>
      </c>
      <c r="EB270" s="2132">
        <f>IF(EB$221,_xll.ciqfunctions.udf.CIQ($G270, "IQ_SHARESOUTSTANDING", EB$222),"--")</f>
        <v>0</v>
      </c>
      <c r="EC270" s="2132">
        <f>IF(EC$221,_xll.ciqfunctions.udf.CIQ($G270, "IQ_SHARESOUTSTANDING", EC$222),"--")</f>
        <v>0</v>
      </c>
      <c r="ED270" s="2132">
        <f>IF(ED$221,_xll.ciqfunctions.udf.CIQ($G270, "IQ_SHARESOUTSTANDING", ED$222),"--")</f>
        <v>0</v>
      </c>
      <c r="EE270" s="2132">
        <f>IF(EE$221,_xll.ciqfunctions.udf.CIQ($G270, "IQ_SHARESOUTSTANDING", EE$222),"--")</f>
        <v>0</v>
      </c>
      <c r="EF270" s="2132">
        <f>IF(EF$221,_xll.ciqfunctions.udf.CIQ($G270, "IQ_SHARESOUTSTANDING", EF$222),"--")</f>
        <v>0</v>
      </c>
      <c r="EG270" s="2132">
        <f>IF(EG$221,_xll.ciqfunctions.udf.CIQ($G270, "IQ_SHARESOUTSTANDING", EG$222),"--")</f>
        <v>0</v>
      </c>
      <c r="EH270" s="2132">
        <f>IF(EH$221,_xll.ciqfunctions.udf.CIQ($G270, "IQ_SHARESOUTSTANDING", EH$222),"--")</f>
        <v>0</v>
      </c>
      <c r="EI270" s="2132">
        <f>IF(EI$221,_xll.ciqfunctions.udf.CIQ($G270, "IQ_SHARESOUTSTANDING", EI$222),"--")</f>
        <v>0</v>
      </c>
      <c r="EJ270" s="2132">
        <f>IF(EJ$221,_xll.ciqfunctions.udf.CIQ($G270, "IQ_SHARESOUTSTANDING", EJ$222),"--")</f>
        <v>0</v>
      </c>
      <c r="EK270" s="2132">
        <f>IF(EK$221,_xll.ciqfunctions.udf.CIQ($G270, "IQ_SHARESOUTSTANDING", EK$222),"--")</f>
        <v>0</v>
      </c>
      <c r="EL270" s="2132">
        <f>IF(EL$221,_xll.ciqfunctions.udf.CIQ($G270, "IQ_SHARESOUTSTANDING", EL$222),"--")</f>
        <v>0</v>
      </c>
      <c r="EM270" s="2132">
        <f>IF(EM$221,_xll.ciqfunctions.udf.CIQ($G270, "IQ_SHARESOUTSTANDING", EM$222),"--")</f>
        <v>0</v>
      </c>
      <c r="EN270" s="2132">
        <f>IF(EN$221,_xll.ciqfunctions.udf.CIQ($G270, "IQ_SHARESOUTSTANDING", EN$222),"--")</f>
        <v>0</v>
      </c>
      <c r="EO270" s="2132">
        <f>IF(EO$221,_xll.ciqfunctions.udf.CIQ($G270, "IQ_SHARESOUTSTANDING", EO$222),"--")</f>
        <v>0</v>
      </c>
      <c r="EP270" s="2132">
        <f>IF(EP$221,_xll.ciqfunctions.udf.CIQ($G270, "IQ_SHARESOUTSTANDING", EP$222),"--")</f>
        <v>0</v>
      </c>
      <c r="EQ270" s="2132">
        <f>IF(EQ$221,_xll.ciqfunctions.udf.CIQ($G270, "IQ_SHARESOUTSTANDING", EQ$222),"--")</f>
        <v>0</v>
      </c>
      <c r="ER270" s="2132">
        <f>IF(ER$221,_xll.ciqfunctions.udf.CIQ($G270, "IQ_SHARESOUTSTANDING", ER$222),"--")</f>
        <v>0</v>
      </c>
      <c r="ES270" s="2132">
        <f>IF(ES$221,_xll.ciqfunctions.udf.CIQ($G270, "IQ_SHARESOUTSTANDING", ES$222),"--")</f>
        <v>0</v>
      </c>
      <c r="ET270" s="2132">
        <f>IF(ET$221,_xll.ciqfunctions.udf.CIQ($G270, "IQ_SHARESOUTSTANDING", ET$222),"--")</f>
        <v>0</v>
      </c>
      <c r="EU270" s="2132">
        <f>IF(EU$221,_xll.ciqfunctions.udf.CIQ($G270, "IQ_SHARESOUTSTANDING", EU$222),"--")</f>
        <v>0</v>
      </c>
      <c r="EV270" s="2132">
        <f>IF(EV$221,_xll.ciqfunctions.udf.CIQ($G270, "IQ_SHARESOUTSTANDING", EV$222),"--")</f>
        <v>0</v>
      </c>
      <c r="EW270" s="2132">
        <f>IF(EW$221,_xll.ciqfunctions.udf.CIQ($G270, "IQ_SHARESOUTSTANDING", EW$222),"--")</f>
        <v>0</v>
      </c>
      <c r="EX270" s="2132">
        <f>IF(EX$221,_xll.ciqfunctions.udf.CIQ($G270, "IQ_SHARESOUTSTANDING", EX$222),"--")</f>
        <v>0</v>
      </c>
      <c r="EY270" s="2132">
        <f>IF(EY$221,_xll.ciqfunctions.udf.CIQ($G270, "IQ_SHARESOUTSTANDING", EY$222),"--")</f>
        <v>0</v>
      </c>
      <c r="EZ270" s="2132">
        <f>IF(EZ$221,_xll.ciqfunctions.udf.CIQ($G270, "IQ_SHARESOUTSTANDING", EZ$222),"--")</f>
        <v>0</v>
      </c>
      <c r="FA270" s="2132">
        <f>IF(FA$221,_xll.ciqfunctions.udf.CIQ($G270, "IQ_SHARESOUTSTANDING", FA$222),"--")</f>
        <v>0</v>
      </c>
      <c r="FB270" s="2132">
        <f>IF(FB$221,_xll.ciqfunctions.udf.CIQ($G270, "IQ_SHARESOUTSTANDING", FB$222),"--")</f>
        <v>0</v>
      </c>
      <c r="FC270" s="2132">
        <f>IF(FC$221,_xll.ciqfunctions.udf.CIQ($G270, "IQ_SHARESOUTSTANDING", FC$222),"--")</f>
        <v>0</v>
      </c>
      <c r="FD270" s="2132">
        <f>IF(FD$221,_xll.ciqfunctions.udf.CIQ($G270, "IQ_SHARESOUTSTANDING", FD$222),"--")</f>
        <v>0</v>
      </c>
      <c r="FE270" s="2132">
        <f>IF(FE$221,_xll.ciqfunctions.udf.CIQ($G270, "IQ_SHARESOUTSTANDING", FE$222),"--")</f>
        <v>0</v>
      </c>
      <c r="FF270" s="2132">
        <f>IF(FF$221,_xll.ciqfunctions.udf.CIQ($G270, "IQ_SHARESOUTSTANDING", FF$222),"--")</f>
        <v>0</v>
      </c>
      <c r="FG270" s="2132">
        <f>IF(FG$221,_xll.ciqfunctions.udf.CIQ($G270, "IQ_SHARESOUTSTANDING", FG$222),"--")</f>
        <v>0</v>
      </c>
      <c r="FH270" s="2132">
        <f>IF(FH$221,_xll.ciqfunctions.udf.CIQ($G270, "IQ_SHARESOUTSTANDING", FH$222),"--")</f>
        <v>0</v>
      </c>
      <c r="FI270" s="2132">
        <f>IF(FI$221,_xll.ciqfunctions.udf.CIQ($G270, "IQ_SHARESOUTSTANDING", FI$222),"--")</f>
        <v>0</v>
      </c>
      <c r="FJ270" s="2132">
        <f>IF(FJ$221,_xll.ciqfunctions.udf.CIQ($G270, "IQ_SHARESOUTSTANDING", FJ$222),"--")</f>
        <v>0</v>
      </c>
      <c r="FK270" s="2132">
        <f>IF(FK$221,_xll.ciqfunctions.udf.CIQ($G270, "IQ_SHARESOUTSTANDING", FK$222),"--")</f>
        <v>0</v>
      </c>
      <c r="FL270" s="2132">
        <f>IF(FL$221,_xll.ciqfunctions.udf.CIQ($G270, "IQ_SHARESOUTSTANDING", FL$222),"--")</f>
        <v>0</v>
      </c>
      <c r="FM270" s="2132">
        <f>IF(FM$221,_xll.ciqfunctions.udf.CIQ($G270, "IQ_SHARESOUTSTANDING", FM$222),"--")</f>
        <v>0</v>
      </c>
      <c r="FN270" s="2132">
        <f>IF(FN$221,_xll.ciqfunctions.udf.CIQ($G270, "IQ_SHARESOUTSTANDING", FN$222),"--")</f>
        <v>0</v>
      </c>
      <c r="FO270" s="2132">
        <f>IF(FO$221,_xll.ciqfunctions.udf.CIQ($G270, "IQ_SHARESOUTSTANDING", FO$222),"--")</f>
        <v>0</v>
      </c>
      <c r="FP270" s="2132">
        <f>IF(FP$221,_xll.ciqfunctions.udf.CIQ($G270, "IQ_SHARESOUTSTANDING", FP$222),"--")</f>
        <v>0</v>
      </c>
      <c r="FQ270" s="2132">
        <f>IF(FQ$221,_xll.ciqfunctions.udf.CIQ($G270, "IQ_SHARESOUTSTANDING", FQ$222),"--")</f>
        <v>0</v>
      </c>
      <c r="FR270" s="2132">
        <f>IF(FR$221,_xll.ciqfunctions.udf.CIQ($G270, "IQ_SHARESOUTSTANDING", FR$222),"--")</f>
        <v>0</v>
      </c>
      <c r="FS270" s="2132">
        <f>IF(FS$221,_xll.ciqfunctions.udf.CIQ($G270, "IQ_SHARESOUTSTANDING", FS$222),"--")</f>
        <v>0</v>
      </c>
      <c r="FT270" s="2132">
        <f>IF(FT$221,_xll.ciqfunctions.udf.CIQ($G270, "IQ_SHARESOUTSTANDING", FT$222),"--")</f>
        <v>0</v>
      </c>
      <c r="FU270" s="2132">
        <f>IF(FU$221,_xll.ciqfunctions.udf.CIQ($G270, "IQ_SHARESOUTSTANDING", FU$222),"--")</f>
        <v>0</v>
      </c>
      <c r="FV270" s="2132">
        <f>IF(FV$221,_xll.ciqfunctions.udf.CIQ($G270, "IQ_SHARESOUTSTANDING", FV$222),"--")</f>
        <v>0</v>
      </c>
      <c r="FW270" s="2132">
        <f>IF(FW$221,_xll.ciqfunctions.udf.CIQ($G270, "IQ_SHARESOUTSTANDING", FW$222),"--")</f>
        <v>0</v>
      </c>
      <c r="FX270" s="2132">
        <f>IF(FX$221,_xll.ciqfunctions.udf.CIQ($G270, "IQ_SHARESOUTSTANDING", FX$222),"--")</f>
        <v>0</v>
      </c>
      <c r="FY270" s="2132">
        <f>IF(FY$221,_xll.ciqfunctions.udf.CIQ($G270, "IQ_SHARESOUTSTANDING", FY$222),"--")</f>
        <v>0</v>
      </c>
      <c r="FZ270" s="2132">
        <f>IF(FZ$221,_xll.ciqfunctions.udf.CIQ($G270, "IQ_SHARESOUTSTANDING", FZ$222),"--")</f>
        <v>0</v>
      </c>
      <c r="GA270" s="2132">
        <f>IF(GA$221,_xll.ciqfunctions.udf.CIQ($G270, "IQ_SHARESOUTSTANDING", GA$222),"--")</f>
        <v>0</v>
      </c>
      <c r="GB270" s="2132">
        <f>IF(GB$221,_xll.ciqfunctions.udf.CIQ($G270, "IQ_SHARESOUTSTANDING", GB$222),"--")</f>
        <v>0</v>
      </c>
      <c r="GC270" s="2132">
        <f>IF(GC$221,_xll.ciqfunctions.udf.CIQ($G270, "IQ_SHARESOUTSTANDING", GC$222),"--")</f>
        <v>0</v>
      </c>
      <c r="GD270" s="2132">
        <f>IF(GD$221,_xll.ciqfunctions.udf.CIQ($G270, "IQ_SHARESOUTSTANDING", GD$222),"--")</f>
        <v>0</v>
      </c>
      <c r="GE270" s="2132">
        <f>IF(GE$221,_xll.ciqfunctions.udf.CIQ($G270, "IQ_SHARESOUTSTANDING", GE$222),"--")</f>
        <v>0</v>
      </c>
      <c r="GF270" s="2132">
        <f>IF(GF$221,_xll.ciqfunctions.udf.CIQ($G270, "IQ_SHARESOUTSTANDING", GF$222),"--")</f>
        <v>0</v>
      </c>
      <c r="GG270" s="2132">
        <f>IF(GG$221,_xll.ciqfunctions.udf.CIQ($G270, "IQ_SHARESOUTSTANDING", GG$222),"--")</f>
        <v>0</v>
      </c>
      <c r="GH270" s="2132">
        <f>IF(GH$221,_xll.ciqfunctions.udf.CIQ($G270, "IQ_SHARESOUTSTANDING", GH$222),"--")</f>
        <v>0</v>
      </c>
      <c r="GI270" s="2132">
        <f>IF(GI$221,_xll.ciqfunctions.udf.CIQ($G270, "IQ_SHARESOUTSTANDING", GI$222),"--")</f>
        <v>0</v>
      </c>
      <c r="GJ270" s="2132">
        <f>IF(GJ$221,_xll.ciqfunctions.udf.CIQ($G270, "IQ_SHARESOUTSTANDING", GJ$222),"--")</f>
        <v>0</v>
      </c>
      <c r="GK270" s="2132">
        <f>IF(GK$221,_xll.ciqfunctions.udf.CIQ($G270, "IQ_SHARESOUTSTANDING", GK$222),"--")</f>
        <v>0</v>
      </c>
      <c r="GL270" s="2132">
        <f>IF(GL$221,_xll.ciqfunctions.udf.CIQ($G270, "IQ_SHARESOUTSTANDING", GL$222),"--")</f>
        <v>0</v>
      </c>
      <c r="GM270" s="2132">
        <f>IF(GM$221,_xll.ciqfunctions.udf.CIQ($G270, "IQ_SHARESOUTSTANDING", GM$222),"--")</f>
        <v>0</v>
      </c>
      <c r="GN270" s="2132">
        <f>IF(GN$221,_xll.ciqfunctions.udf.CIQ($G270, "IQ_SHARESOUTSTANDING", GN$222),"--")</f>
        <v>0</v>
      </c>
      <c r="GO270" s="2132">
        <f>IF(GO$221,_xll.ciqfunctions.udf.CIQ($G270, "IQ_SHARESOUTSTANDING", GO$222),"--")</f>
        <v>0</v>
      </c>
      <c r="GP270" s="2132">
        <f>IF(GP$221,_xll.ciqfunctions.udf.CIQ($G270, "IQ_SHARESOUTSTANDING", GP$222),"--")</f>
        <v>0</v>
      </c>
      <c r="GQ270" s="2132">
        <f>IF(GQ$221,_xll.ciqfunctions.udf.CIQ($G270, "IQ_SHARESOUTSTANDING", GQ$222),"--")</f>
        <v>0</v>
      </c>
      <c r="GR270" s="2132">
        <f>IF(GR$221,_xll.ciqfunctions.udf.CIQ($G270, "IQ_SHARESOUTSTANDING", GR$222),"--")</f>
        <v>0</v>
      </c>
      <c r="GS270" s="2132">
        <f>IF(GS$221,_xll.ciqfunctions.udf.CIQ($G270, "IQ_SHARESOUTSTANDING", GS$222),"--")</f>
        <v>0</v>
      </c>
      <c r="GT270" s="2132">
        <f>IF(GT$221,_xll.ciqfunctions.udf.CIQ($G270, "IQ_SHARESOUTSTANDING", GT$222),"--")</f>
        <v>0</v>
      </c>
      <c r="GU270" s="2132">
        <f>IF(GU$221,_xll.ciqfunctions.udf.CIQ($G270, "IQ_SHARESOUTSTANDING", GU$222),"--")</f>
        <v>0</v>
      </c>
      <c r="GV270" s="2132">
        <f>IF(GV$221,_xll.ciqfunctions.udf.CIQ($G270, "IQ_SHARESOUTSTANDING", GV$222),"--")</f>
        <v>0</v>
      </c>
      <c r="GW270" s="2132">
        <f>IF(GW$221,_xll.ciqfunctions.udf.CIQ($G270, "IQ_SHARESOUTSTANDING", GW$222),"--")</f>
        <v>0</v>
      </c>
      <c r="GX270" s="2132">
        <f>IF(GX$221,_xll.ciqfunctions.udf.CIQ($G270, "IQ_SHARESOUTSTANDING", GX$222),"--")</f>
        <v>0</v>
      </c>
      <c r="GY270" s="2132">
        <f>IF(GY$221,_xll.ciqfunctions.udf.CIQ($G270, "IQ_SHARESOUTSTANDING", GY$222),"--")</f>
        <v>0</v>
      </c>
      <c r="GZ270" s="2132">
        <f>IF(GZ$221,_xll.ciqfunctions.udf.CIQ($G270, "IQ_SHARESOUTSTANDING", GZ$222),"--")</f>
        <v>0</v>
      </c>
      <c r="HA270" s="2132">
        <f>IF(HA$221,_xll.ciqfunctions.udf.CIQ($G270, "IQ_SHARESOUTSTANDING", HA$222),"--")</f>
        <v>0</v>
      </c>
      <c r="HB270" s="2132">
        <f>IF(HB$221,_xll.ciqfunctions.udf.CIQ($G270, "IQ_SHARESOUTSTANDING", HB$222),"--")</f>
        <v>0</v>
      </c>
      <c r="HC270" s="2132">
        <f>IF(HC$221,_xll.ciqfunctions.udf.CIQ($G270, "IQ_SHARESOUTSTANDING", HC$222),"--")</f>
        <v>0</v>
      </c>
      <c r="HD270" s="2132">
        <f>IF(HD$221,_xll.ciqfunctions.udf.CIQ($G270, "IQ_SHARESOUTSTANDING", HD$222),"--")</f>
        <v>0</v>
      </c>
      <c r="HE270" s="2132">
        <f>IF(HE$221,_xll.ciqfunctions.udf.CIQ($G270, "IQ_SHARESOUTSTANDING", HE$222),"--")</f>
        <v>0</v>
      </c>
      <c r="HF270" s="2132">
        <f>IF(HF$221,_xll.ciqfunctions.udf.CIQ($G270, "IQ_SHARESOUTSTANDING", HF$222),"--")</f>
        <v>0</v>
      </c>
      <c r="HG270" s="2132">
        <f>IF(HG$221,_xll.ciqfunctions.udf.CIQ($G270, "IQ_SHARESOUTSTANDING", HG$222),"--")</f>
        <v>0</v>
      </c>
      <c r="HH270" s="2132">
        <f>IF(HH$221,_xll.ciqfunctions.udf.CIQ($G270, "IQ_SHARESOUTSTANDING", HH$222),"--")</f>
        <v>0</v>
      </c>
      <c r="HI270" s="2132">
        <f>IF(HI$221,_xll.ciqfunctions.udf.CIQ($G270, "IQ_SHARESOUTSTANDING", HI$222),"--")</f>
        <v>0</v>
      </c>
      <c r="HJ270" s="2132">
        <f>IF(HJ$221,_xll.ciqfunctions.udf.CIQ($G270, "IQ_SHARESOUTSTANDING", HJ$222),"--")</f>
        <v>0</v>
      </c>
      <c r="HK270" s="2132">
        <f>IF(HK$221,_xll.ciqfunctions.udf.CIQ($G270, "IQ_SHARESOUTSTANDING", HK$222),"--")</f>
        <v>0</v>
      </c>
      <c r="HL270" s="2132">
        <f>IF(HL$221,_xll.ciqfunctions.udf.CIQ($G270, "IQ_SHARESOUTSTANDING", HL$222),"--")</f>
        <v>0</v>
      </c>
      <c r="HM270" s="2132">
        <f>IF(HM$221,_xll.ciqfunctions.udf.CIQ($G270, "IQ_SHARESOUTSTANDING", HM$222),"--")</f>
        <v>0</v>
      </c>
      <c r="HN270" s="2132">
        <f>IF(HN$221,_xll.ciqfunctions.udf.CIQ($G270, "IQ_SHARESOUTSTANDING", HN$222),"--")</f>
        <v>0</v>
      </c>
      <c r="HO270" s="2132">
        <f>IF(HO$221,_xll.ciqfunctions.udf.CIQ($G270, "IQ_SHARESOUTSTANDING", HO$222),"--")</f>
        <v>0</v>
      </c>
      <c r="HP270" s="2132">
        <f>IF(HP$221,_xll.ciqfunctions.udf.CIQ($G270, "IQ_SHARESOUTSTANDING", HP$222),"--")</f>
        <v>0</v>
      </c>
      <c r="HQ270" s="2132">
        <f>IF(HQ$221,_xll.ciqfunctions.udf.CIQ($G270, "IQ_SHARESOUTSTANDING", HQ$222),"--")</f>
        <v>0</v>
      </c>
      <c r="HR270" s="2132">
        <f>IF(HR$221,_xll.ciqfunctions.udf.CIQ($G270, "IQ_SHARESOUTSTANDING", HR$222),"--")</f>
        <v>0</v>
      </c>
      <c r="HS270" s="2132">
        <f>IF(HS$221,_xll.ciqfunctions.udf.CIQ($G270, "IQ_SHARESOUTSTANDING", HS$222),"--")</f>
        <v>0</v>
      </c>
      <c r="HT270" s="2132">
        <f>IF(HT$221,_xll.ciqfunctions.udf.CIQ($G270, "IQ_SHARESOUTSTANDING", HT$222),"--")</f>
        <v>0</v>
      </c>
      <c r="HU270" s="2132">
        <f>IF(HU$221,_xll.ciqfunctions.udf.CIQ($G270, "IQ_SHARESOUTSTANDING", HU$222),"--")</f>
        <v>0</v>
      </c>
      <c r="HV270" s="2132">
        <f>IF(HV$221,_xll.ciqfunctions.udf.CIQ($G270, "IQ_SHARESOUTSTANDING", HV$222),"--")</f>
        <v>0</v>
      </c>
      <c r="HW270" s="2132">
        <f>IF(HW$221,_xll.ciqfunctions.udf.CIQ($G270, "IQ_SHARESOUTSTANDING", HW$222),"--")</f>
        <v>0</v>
      </c>
      <c r="HX270" s="2132">
        <f>IF(HX$221,_xll.ciqfunctions.udf.CIQ($G270, "IQ_SHARESOUTSTANDING", HX$222),"--")</f>
        <v>0</v>
      </c>
      <c r="HY270" s="2132">
        <f>IF(HY$221,_xll.ciqfunctions.udf.CIQ($G270, "IQ_SHARESOUTSTANDING", HY$222),"--")</f>
        <v>0</v>
      </c>
      <c r="HZ270" s="2132">
        <f>IF(HZ$221,_xll.ciqfunctions.udf.CIQ($G270, "IQ_SHARESOUTSTANDING", HZ$222),"--")</f>
        <v>0</v>
      </c>
      <c r="IA270" s="2132">
        <f>IF(IA$221,_xll.ciqfunctions.udf.CIQ($G270, "IQ_SHARESOUTSTANDING", IA$222),"--")</f>
        <v>0</v>
      </c>
      <c r="IB270" s="2132">
        <f>IF(IB$221,_xll.ciqfunctions.udf.CIQ($G270, "IQ_SHARESOUTSTANDING", IB$222),"--")</f>
        <v>0</v>
      </c>
      <c r="IC270" s="2132">
        <f>IF(IC$221,_xll.ciqfunctions.udf.CIQ($G270, "IQ_SHARESOUTSTANDING", IC$222),"--")</f>
        <v>0</v>
      </c>
      <c r="ID270" s="2132">
        <f>IF(ID$221,_xll.ciqfunctions.udf.CIQ($G270, "IQ_SHARESOUTSTANDING", ID$222),"--")</f>
        <v>0</v>
      </c>
      <c r="IE270" s="2132">
        <f>IF(IE$221,_xll.ciqfunctions.udf.CIQ($G270, "IQ_SHARESOUTSTANDING", IE$222),"--")</f>
        <v>0</v>
      </c>
      <c r="IF270" s="2132">
        <f>IF(IF$221,_xll.ciqfunctions.udf.CIQ($G270, "IQ_SHARESOUTSTANDING", IF$222),"--")</f>
        <v>0</v>
      </c>
      <c r="IG270" s="2132">
        <f>IF(IG$221,_xll.ciqfunctions.udf.CIQ($G270, "IQ_SHARESOUTSTANDING", IG$222),"--")</f>
        <v>0</v>
      </c>
      <c r="IH270" s="2132">
        <f>IF(IH$221,_xll.ciqfunctions.udf.CIQ($G270, "IQ_SHARESOUTSTANDING", IH$222),"--")</f>
        <v>0</v>
      </c>
      <c r="II270" s="2132">
        <f>IF(II$221,_xll.ciqfunctions.udf.CIQ($G270, "IQ_SHARESOUTSTANDING", II$222),"--")</f>
        <v>0</v>
      </c>
      <c r="IJ270" s="2132">
        <f>IF(IJ$221,_xll.ciqfunctions.udf.CIQ($G270, "IQ_SHARESOUTSTANDING", IJ$222),"--")</f>
        <v>0</v>
      </c>
      <c r="IK270" s="2132">
        <f>IF(IK$221,_xll.ciqfunctions.udf.CIQ($G270, "IQ_SHARESOUTSTANDING", IK$222),"--")</f>
        <v>0</v>
      </c>
      <c r="IL270" s="2132">
        <f>IF(IL$221,_xll.ciqfunctions.udf.CIQ($G270, "IQ_SHARESOUTSTANDING", IL$222),"--")</f>
        <v>0</v>
      </c>
      <c r="IM270" s="2132">
        <f>IF(IM$221,_xll.ciqfunctions.udf.CIQ($G270, "IQ_SHARESOUTSTANDING", IM$222),"--")</f>
        <v>0</v>
      </c>
      <c r="IN270" s="2132">
        <f>IF(IN$221,_xll.ciqfunctions.udf.CIQ($G270, "IQ_SHARESOUTSTANDING", IN$222),"--")</f>
        <v>0</v>
      </c>
      <c r="IO270" s="2132">
        <f>IF(IO$221,_xll.ciqfunctions.udf.CIQ($G270, "IQ_SHARESOUTSTANDING", IO$222),"--")</f>
        <v>0</v>
      </c>
      <c r="IP270" s="2132">
        <f>IF(IP$221,_xll.ciqfunctions.udf.CIQ($G270, "IQ_SHARESOUTSTANDING", IP$222),"--")</f>
        <v>0</v>
      </c>
      <c r="IQ270" s="2132">
        <f>IF(IQ$221,_xll.ciqfunctions.udf.CIQ($G270, "IQ_SHARESOUTSTANDING", IQ$222),"--")</f>
        <v>0</v>
      </c>
      <c r="IR270" s="2132">
        <f>IF(IR$221,_xll.ciqfunctions.udf.CIQ($G270, "IQ_SHARESOUTSTANDING", IR$222),"--")</f>
        <v>0</v>
      </c>
      <c r="IS270" s="2132">
        <f>IF(IS$221,_xll.ciqfunctions.udf.CIQ($G270, "IQ_SHARESOUTSTANDING", IS$222),"--")</f>
        <v>0</v>
      </c>
      <c r="IT270" s="2132">
        <f>IF(IT$221,_xll.ciqfunctions.udf.CIQ($G270, "IQ_SHARESOUTSTANDING", IT$222),"--")</f>
        <v>0</v>
      </c>
      <c r="IU270" s="2132">
        <f>IF(IU$221,_xll.ciqfunctions.udf.CIQ($G270, "IQ_SHARESOUTSTANDING", IU$222),"--")</f>
        <v>0</v>
      </c>
      <c r="IV270" s="2132">
        <f>IF(IV$221,_xll.ciqfunctions.udf.CIQ($G270, "IQ_SHARESOUTSTANDING", IV$222),"--")</f>
        <v>0</v>
      </c>
      <c r="IW270" s="2132">
        <f>IF(IW$221,_xll.ciqfunctions.udf.CIQ($G270, "IQ_SHARESOUTSTANDING", IW$222),"--")</f>
        <v>0</v>
      </c>
      <c r="IX270" s="2132">
        <f>IF(IX$221,_xll.ciqfunctions.udf.CIQ($G270, "IQ_SHARESOUTSTANDING", IX$222),"--")</f>
        <v>0</v>
      </c>
      <c r="IY270" s="2132">
        <f>IF(IY$221,_xll.ciqfunctions.udf.CIQ($G270, "IQ_SHARESOUTSTANDING", IY$222),"--")</f>
        <v>0</v>
      </c>
      <c r="IZ270" s="2132">
        <f>IF(IZ$221,_xll.ciqfunctions.udf.CIQ($G270, "IQ_SHARESOUTSTANDING", IZ$222),"--")</f>
        <v>0</v>
      </c>
      <c r="JA270" s="2132">
        <f>IF(JA$221,_xll.ciqfunctions.udf.CIQ($G270, "IQ_SHARESOUTSTANDING", JA$222),"--")</f>
        <v>0</v>
      </c>
      <c r="JB270" s="2132">
        <f>IF(JB$221,_xll.ciqfunctions.udf.CIQ($G270, "IQ_SHARESOUTSTANDING", JB$222),"--")</f>
        <v>0</v>
      </c>
      <c r="JC270" s="2132">
        <f>IF(JC$221,_xll.ciqfunctions.udf.CIQ($G270, "IQ_SHARESOUTSTANDING", JC$222),"--")</f>
        <v>0</v>
      </c>
      <c r="JD270" s="2132">
        <f>IF(JD$221,_xll.ciqfunctions.udf.CIQ($G270, "IQ_SHARESOUTSTANDING", JD$222),"--")</f>
        <v>0</v>
      </c>
      <c r="JE270" s="2132">
        <f>IF(JE$221,_xll.ciqfunctions.udf.CIQ($G270, "IQ_SHARESOUTSTANDING", JE$222),"--")</f>
        <v>0</v>
      </c>
      <c r="JF270" s="2132">
        <f>IF(JF$221,_xll.ciqfunctions.udf.CIQ($G270, "IQ_SHARESOUTSTANDING", JF$222),"--")</f>
        <v>0</v>
      </c>
      <c r="JG270" s="2132">
        <f>IF(JG$221,_xll.ciqfunctions.udf.CIQ($G270, "IQ_SHARESOUTSTANDING", JG$222),"--")</f>
        <v>0</v>
      </c>
      <c r="JH270" s="2132">
        <f>IF(JH$221,_xll.ciqfunctions.udf.CIQ($G270, "IQ_SHARESOUTSTANDING", JH$222),"--")</f>
        <v>0</v>
      </c>
      <c r="JI270" s="2132">
        <f>IF(JI$221,_xll.ciqfunctions.udf.CIQ($G270, "IQ_SHARESOUTSTANDING", JI$222),"--")</f>
        <v>0</v>
      </c>
      <c r="JJ270" s="2132">
        <f>IF(JJ$221,_xll.ciqfunctions.udf.CIQ($G270, "IQ_SHARESOUTSTANDING", JJ$222),"--")</f>
        <v>0</v>
      </c>
      <c r="JK270" s="2132">
        <f>IF(JK$221,_xll.ciqfunctions.udf.CIQ($G270, "IQ_SHARESOUTSTANDING", JK$222),"--")</f>
        <v>0</v>
      </c>
      <c r="JL270" s="2132">
        <f>IF(JL$221,_xll.ciqfunctions.udf.CIQ($G270, "IQ_SHARESOUTSTANDING", JL$222),"--")</f>
        <v>0</v>
      </c>
      <c r="JM270" s="2132">
        <f>IF(JM$221,_xll.ciqfunctions.udf.CIQ($G270, "IQ_SHARESOUTSTANDING", JM$222),"--")</f>
        <v>0</v>
      </c>
      <c r="JN270" s="2132">
        <f>IF(JN$221,_xll.ciqfunctions.udf.CIQ($G270, "IQ_SHARESOUTSTANDING", JN$222),"--")</f>
        <v>0</v>
      </c>
      <c r="JO270" s="2132">
        <f>IF(JO$221,_xll.ciqfunctions.udf.CIQ($G270, "IQ_SHARESOUTSTANDING", JO$222),"--")</f>
        <v>0</v>
      </c>
      <c r="JP270" s="2132">
        <f>IF(JP$221,_xll.ciqfunctions.udf.CIQ($G270, "IQ_SHARESOUTSTANDING", JP$222),"--")</f>
        <v>0</v>
      </c>
      <c r="JQ270" s="2132">
        <f>IF(JQ$221,_xll.ciqfunctions.udf.CIQ($G270, "IQ_SHARESOUTSTANDING", JQ$222),"--")</f>
        <v>0</v>
      </c>
      <c r="JR270" s="2132">
        <f>IF(JR$221,_xll.ciqfunctions.udf.CIQ($G270, "IQ_SHARESOUTSTANDING", JR$222),"--")</f>
        <v>0</v>
      </c>
      <c r="JS270" s="2132">
        <f>IF(JS$221,_xll.ciqfunctions.udf.CIQ($G270, "IQ_SHARESOUTSTANDING", JS$222),"--")</f>
        <v>0</v>
      </c>
      <c r="JT270" s="2132">
        <f>IF(JT$221,_xll.ciqfunctions.udf.CIQ($G270, "IQ_SHARESOUTSTANDING", JT$222),"--")</f>
        <v>0</v>
      </c>
      <c r="JU270" s="2132">
        <f>IF(JU$221,_xll.ciqfunctions.udf.CIQ($G270, "IQ_SHARESOUTSTANDING", JU$222),"--")</f>
        <v>0</v>
      </c>
      <c r="JV270" s="2132">
        <f>IF(JV$221,_xll.ciqfunctions.udf.CIQ($G270, "IQ_SHARESOUTSTANDING", JV$222),"--")</f>
        <v>0</v>
      </c>
      <c r="JW270" s="2132" t="str">
        <f>IF(JW$221,_xll.ciqfunctions.udf.CIQ($G270, "IQ_SHARESOUTSTANDING", JW$222),"--")</f>
        <v>--</v>
      </c>
      <c r="JX270" s="2132" t="str">
        <f>IF(JX$221,_xll.ciqfunctions.udf.CIQ($G270, "IQ_SHARESOUTSTANDING", JX$222),"--")</f>
        <v>--</v>
      </c>
      <c r="JY270" s="2132" t="str">
        <f>IF(JY$221,_xll.ciqfunctions.udf.CIQ($G270, "IQ_SHARESOUTSTANDING", JY$222),"--")</f>
        <v>--</v>
      </c>
      <c r="JZ270" s="2132" t="str">
        <f>IF(JZ$221,_xll.ciqfunctions.udf.CIQ($G270, "IQ_SHARESOUTSTANDING", JZ$222),"--")</f>
        <v>--</v>
      </c>
      <c r="KA270" s="2132" t="str">
        <f>IF(KA$221,_xll.ciqfunctions.udf.CIQ($G270, "IQ_SHARESOUTSTANDING", KA$222),"--")</f>
        <v>--</v>
      </c>
      <c r="KB270" s="2132" t="str">
        <f>IF(KB$221,_xll.ciqfunctions.udf.CIQ($G270, "IQ_SHARESOUTSTANDING", KB$222),"--")</f>
        <v>--</v>
      </c>
    </row>
    <row r="271" spans="1:288" s="89" customFormat="1" ht="13.9">
      <c r="A271" s="269" t="str">
        <f t="shared" si="49"/>
        <v>n</v>
      </c>
      <c r="B271" s="2060"/>
      <c r="D271" s="801"/>
      <c r="E271" s="1505">
        <v>17</v>
      </c>
      <c r="F271" s="21" t="str">
        <f>F$145</f>
        <v>--</v>
      </c>
      <c r="G271" s="1441">
        <f>G$145</f>
        <v>0</v>
      </c>
      <c r="H271" s="1441" t="str">
        <f>H$145</f>
        <v>--</v>
      </c>
      <c r="I271" s="314" t="s">
        <v>783</v>
      </c>
      <c r="J271" s="314"/>
      <c r="K271" s="2301" t="str">
        <f>IF(OR(K208=0,$G271=0),"--",IFERROR(_xll.ciqfunctions.udf.CIQ($G271,$I271,K116,Valuation_Date_GC,ReportType,DataMode,$H271,FXMode)*Scale+K240*Pension10,"--"))</f>
        <v>--</v>
      </c>
      <c r="L271" s="2301" t="str">
        <f>IF(OR(L208=0,$G271=0),"--",IFERROR(_xll.ciqfunctions.udf.CIQ($G271,$I271,L116,Valuation_Date_GC,ReportType,DataMode,$H271,FXMode)*Scale+L240*Pension10,"--"))</f>
        <v>--</v>
      </c>
      <c r="M271" s="2301" t="str">
        <f>IF(OR(M208=0,$G271=0),"--",IFERROR(_xll.ciqfunctions.udf.CIQ($G271,$I271,M116,Valuation_Date_GC,ReportType,DataMode,$H271,FXMode)*Scale+M240*Pension10,"--"))</f>
        <v>--</v>
      </c>
      <c r="N271" s="2301" t="str">
        <f>IF(OR(N208=0,$G271=0),"--",IFERROR(_xll.ciqfunctions.udf.CIQ($G271,$I271,N116,Valuation_Date_GC,ReportType,DataMode,$H271,FXMode)*Scale+N240*Pension10,"--"))</f>
        <v>--</v>
      </c>
      <c r="O271" s="1471" t="str">
        <f>IF(OR(O208=0,$G271=0),"--",IFERROR(_xll.ciqfunctions.udf.CIQ($G271,$I271,O116,Valuation_Date_GC,ReportType,DataMode,$H271,FXMode)*Scale+O240*Pension10,"--"))</f>
        <v>--</v>
      </c>
      <c r="P271" s="2301" t="str">
        <f>IF(OR(P208=0,$G271=0),"--",IFERROR(_xll.ciqfunctions.udf.CIQ($G271,$I271,P116,Valuation_Date_GC,ReportType,DataMode,$H271,FXMode)*Scale+P240*Pension10,"--"))</f>
        <v>--</v>
      </c>
      <c r="R271" s="1466"/>
      <c r="T271" s="1779" t="s">
        <v>784</v>
      </c>
      <c r="U271" s="2132">
        <f>IF(U$221,_xll.ciqfunctions.udf.CIQ($G271, "IQ_SHARESOUTSTANDING", U$222),"--")</f>
        <v>0</v>
      </c>
      <c r="V271" s="2132">
        <f>IF(V$221,_xll.ciqfunctions.udf.CIQ($G271, "IQ_SHARESOUTSTANDING", V$222),"--")</f>
        <v>0</v>
      </c>
      <c r="W271" s="2132">
        <f>IF(W$221,_xll.ciqfunctions.udf.CIQ($G271, "IQ_SHARESOUTSTANDING", W$222),"--")</f>
        <v>0</v>
      </c>
      <c r="X271" s="2132">
        <f>IF(X$221,_xll.ciqfunctions.udf.CIQ($G271, "IQ_SHARESOUTSTANDING", X$222),"--")</f>
        <v>0</v>
      </c>
      <c r="Y271" s="2132">
        <f>IF(Y$221,_xll.ciqfunctions.udf.CIQ($G271, "IQ_SHARESOUTSTANDING", Y$222),"--")</f>
        <v>0</v>
      </c>
      <c r="Z271" s="2132">
        <f>IF(Z$221,_xll.ciqfunctions.udf.CIQ($G271, "IQ_SHARESOUTSTANDING", Z$222),"--")</f>
        <v>0</v>
      </c>
      <c r="AA271" s="2132">
        <f>IF(AA$221,_xll.ciqfunctions.udf.CIQ($G271, "IQ_SHARESOUTSTANDING", AA$222),"--")</f>
        <v>0</v>
      </c>
      <c r="AB271" s="2132">
        <f>IF(AB$221,_xll.ciqfunctions.udf.CIQ($G271, "IQ_SHARESOUTSTANDING", AB$222),"--")</f>
        <v>0</v>
      </c>
      <c r="AC271" s="2132">
        <f>IF(AC$221,_xll.ciqfunctions.udf.CIQ($G271, "IQ_SHARESOUTSTANDING", AC$222),"--")</f>
        <v>0</v>
      </c>
      <c r="AD271" s="2132">
        <f>IF(AD$221,_xll.ciqfunctions.udf.CIQ($G271, "IQ_SHARESOUTSTANDING", AD$222),"--")</f>
        <v>0</v>
      </c>
      <c r="AE271" s="2132">
        <f>IF(AE$221,_xll.ciqfunctions.udf.CIQ($G271, "IQ_SHARESOUTSTANDING", AE$222),"--")</f>
        <v>0</v>
      </c>
      <c r="AF271" s="2132">
        <f>IF(AF$221,_xll.ciqfunctions.udf.CIQ($G271, "IQ_SHARESOUTSTANDING", AF$222),"--")</f>
        <v>0</v>
      </c>
      <c r="AG271" s="2132">
        <f>IF(AG$221,_xll.ciqfunctions.udf.CIQ($G271, "IQ_SHARESOUTSTANDING", AG$222),"--")</f>
        <v>0</v>
      </c>
      <c r="AH271" s="2132">
        <f>IF(AH$221,_xll.ciqfunctions.udf.CIQ($G271, "IQ_SHARESOUTSTANDING", AH$222),"--")</f>
        <v>0</v>
      </c>
      <c r="AI271" s="2132">
        <f>IF(AI$221,_xll.ciqfunctions.udf.CIQ($G271, "IQ_SHARESOUTSTANDING", AI$222),"--")</f>
        <v>0</v>
      </c>
      <c r="AJ271" s="2132">
        <f>IF(AJ$221,_xll.ciqfunctions.udf.CIQ($G271, "IQ_SHARESOUTSTANDING", AJ$222),"--")</f>
        <v>0</v>
      </c>
      <c r="AK271" s="2132">
        <f>IF(AK$221,_xll.ciqfunctions.udf.CIQ($G271, "IQ_SHARESOUTSTANDING", AK$222),"--")</f>
        <v>0</v>
      </c>
      <c r="AL271" s="2132">
        <f>IF(AL$221,_xll.ciqfunctions.udf.CIQ($G271, "IQ_SHARESOUTSTANDING", AL$222),"--")</f>
        <v>0</v>
      </c>
      <c r="AM271" s="2132">
        <f>IF(AM$221,_xll.ciqfunctions.udf.CIQ($G271, "IQ_SHARESOUTSTANDING", AM$222),"--")</f>
        <v>0</v>
      </c>
      <c r="AN271" s="2132">
        <f>IF(AN$221,_xll.ciqfunctions.udf.CIQ($G271, "IQ_SHARESOUTSTANDING", AN$222),"--")</f>
        <v>0</v>
      </c>
      <c r="AO271" s="2132">
        <f>IF(AO$221,_xll.ciqfunctions.udf.CIQ($G271, "IQ_SHARESOUTSTANDING", AO$222),"--")</f>
        <v>0</v>
      </c>
      <c r="AP271" s="2132">
        <f>IF(AP$221,_xll.ciqfunctions.udf.CIQ($G271, "IQ_SHARESOUTSTANDING", AP$222),"--")</f>
        <v>0</v>
      </c>
      <c r="AQ271" s="2132">
        <f>IF(AQ$221,_xll.ciqfunctions.udf.CIQ($G271, "IQ_SHARESOUTSTANDING", AQ$222),"--")</f>
        <v>0</v>
      </c>
      <c r="AR271" s="2132">
        <f>IF(AR$221,_xll.ciqfunctions.udf.CIQ($G271, "IQ_SHARESOUTSTANDING", AR$222),"--")</f>
        <v>0</v>
      </c>
      <c r="AS271" s="2132">
        <f>IF(AS$221,_xll.ciqfunctions.udf.CIQ($G271, "IQ_SHARESOUTSTANDING", AS$222),"--")</f>
        <v>0</v>
      </c>
      <c r="AT271" s="2132">
        <f>IF(AT$221,_xll.ciqfunctions.udf.CIQ($G271, "IQ_SHARESOUTSTANDING", AT$222),"--")</f>
        <v>0</v>
      </c>
      <c r="AU271" s="2132">
        <f>IF(AU$221,_xll.ciqfunctions.udf.CIQ($G271, "IQ_SHARESOUTSTANDING", AU$222),"--")</f>
        <v>0</v>
      </c>
      <c r="AV271" s="2132">
        <f>IF(AV$221,_xll.ciqfunctions.udf.CIQ($G271, "IQ_SHARESOUTSTANDING", AV$222),"--")</f>
        <v>0</v>
      </c>
      <c r="AW271" s="2132">
        <f>IF(AW$221,_xll.ciqfunctions.udf.CIQ($G271, "IQ_SHARESOUTSTANDING", AW$222),"--")</f>
        <v>0</v>
      </c>
      <c r="AX271" s="2132">
        <f>IF(AX$221,_xll.ciqfunctions.udf.CIQ($G271, "IQ_SHARESOUTSTANDING", AX$222),"--")</f>
        <v>0</v>
      </c>
      <c r="AY271" s="2132">
        <f>IF(AY$221,_xll.ciqfunctions.udf.CIQ($G271, "IQ_SHARESOUTSTANDING", AY$222),"--")</f>
        <v>0</v>
      </c>
      <c r="AZ271" s="2132">
        <f>IF(AZ$221,_xll.ciqfunctions.udf.CIQ($G271, "IQ_SHARESOUTSTANDING", AZ$222),"--")</f>
        <v>0</v>
      </c>
      <c r="BA271" s="2132">
        <f>IF(BA$221,_xll.ciqfunctions.udf.CIQ($G271, "IQ_SHARESOUTSTANDING", BA$222),"--")</f>
        <v>0</v>
      </c>
      <c r="BB271" s="2132">
        <f>IF(BB$221,_xll.ciqfunctions.udf.CIQ($G271, "IQ_SHARESOUTSTANDING", BB$222),"--")</f>
        <v>0</v>
      </c>
      <c r="BC271" s="2132">
        <f>IF(BC$221,_xll.ciqfunctions.udf.CIQ($G271, "IQ_SHARESOUTSTANDING", BC$222),"--")</f>
        <v>0</v>
      </c>
      <c r="BD271" s="2132">
        <f>IF(BD$221,_xll.ciqfunctions.udf.CIQ($G271, "IQ_SHARESOUTSTANDING", BD$222),"--")</f>
        <v>0</v>
      </c>
      <c r="BE271" s="2132">
        <f>IF(BE$221,_xll.ciqfunctions.udf.CIQ($G271, "IQ_SHARESOUTSTANDING", BE$222),"--")</f>
        <v>0</v>
      </c>
      <c r="BF271" s="2132">
        <f>IF(BF$221,_xll.ciqfunctions.udf.CIQ($G271, "IQ_SHARESOUTSTANDING", BF$222),"--")</f>
        <v>0</v>
      </c>
      <c r="BG271" s="2132">
        <f>IF(BG$221,_xll.ciqfunctions.udf.CIQ($G271, "IQ_SHARESOUTSTANDING", BG$222),"--")</f>
        <v>0</v>
      </c>
      <c r="BH271" s="2132">
        <f>IF(BH$221,_xll.ciqfunctions.udf.CIQ($G271, "IQ_SHARESOUTSTANDING", BH$222),"--")</f>
        <v>0</v>
      </c>
      <c r="BI271" s="2132">
        <f>IF(BI$221,_xll.ciqfunctions.udf.CIQ($G271, "IQ_SHARESOUTSTANDING", BI$222),"--")</f>
        <v>0</v>
      </c>
      <c r="BJ271" s="2132">
        <f>IF(BJ$221,_xll.ciqfunctions.udf.CIQ($G271, "IQ_SHARESOUTSTANDING", BJ$222),"--")</f>
        <v>0</v>
      </c>
      <c r="BK271" s="2132">
        <f>IF(BK$221,_xll.ciqfunctions.udf.CIQ($G271, "IQ_SHARESOUTSTANDING", BK$222),"--")</f>
        <v>0</v>
      </c>
      <c r="BL271" s="2132">
        <f>IF(BL$221,_xll.ciqfunctions.udf.CIQ($G271, "IQ_SHARESOUTSTANDING", BL$222),"--")</f>
        <v>0</v>
      </c>
      <c r="BM271" s="2132">
        <f>IF(BM$221,_xll.ciqfunctions.udf.CIQ($G271, "IQ_SHARESOUTSTANDING", BM$222),"--")</f>
        <v>0</v>
      </c>
      <c r="BN271" s="2132">
        <f>IF(BN$221,_xll.ciqfunctions.udf.CIQ($G271, "IQ_SHARESOUTSTANDING", BN$222),"--")</f>
        <v>0</v>
      </c>
      <c r="BO271" s="2132">
        <f>IF(BO$221,_xll.ciqfunctions.udf.CIQ($G271, "IQ_SHARESOUTSTANDING", BO$222),"--")</f>
        <v>0</v>
      </c>
      <c r="BP271" s="2132">
        <f>IF(BP$221,_xll.ciqfunctions.udf.CIQ($G271, "IQ_SHARESOUTSTANDING", BP$222),"--")</f>
        <v>0</v>
      </c>
      <c r="BQ271" s="2132">
        <f>IF(BQ$221,_xll.ciqfunctions.udf.CIQ($G271, "IQ_SHARESOUTSTANDING", BQ$222),"--")</f>
        <v>0</v>
      </c>
      <c r="BR271" s="2132">
        <f>IF(BR$221,_xll.ciqfunctions.udf.CIQ($G271, "IQ_SHARESOUTSTANDING", BR$222),"--")</f>
        <v>0</v>
      </c>
      <c r="BS271" s="2132">
        <f>IF(BS$221,_xll.ciqfunctions.udf.CIQ($G271, "IQ_SHARESOUTSTANDING", BS$222),"--")</f>
        <v>0</v>
      </c>
      <c r="BT271" s="2132">
        <f>IF(BT$221,_xll.ciqfunctions.udf.CIQ($G271, "IQ_SHARESOUTSTANDING", BT$222),"--")</f>
        <v>0</v>
      </c>
      <c r="BU271" s="2132">
        <f>IF(BU$221,_xll.ciqfunctions.udf.CIQ($G271, "IQ_SHARESOUTSTANDING", BU$222),"--")</f>
        <v>0</v>
      </c>
      <c r="BV271" s="2132">
        <f>IF(BV$221,_xll.ciqfunctions.udf.CIQ($G271, "IQ_SHARESOUTSTANDING", BV$222),"--")</f>
        <v>0</v>
      </c>
      <c r="BW271" s="2132">
        <f>IF(BW$221,_xll.ciqfunctions.udf.CIQ($G271, "IQ_SHARESOUTSTANDING", BW$222),"--")</f>
        <v>0</v>
      </c>
      <c r="BX271" s="2132">
        <f>IF(BX$221,_xll.ciqfunctions.udf.CIQ($G271, "IQ_SHARESOUTSTANDING", BX$222),"--")</f>
        <v>0</v>
      </c>
      <c r="BY271" s="2132">
        <f>IF(BY$221,_xll.ciqfunctions.udf.CIQ($G271, "IQ_SHARESOUTSTANDING", BY$222),"--")</f>
        <v>0</v>
      </c>
      <c r="BZ271" s="2132">
        <f>IF(BZ$221,_xll.ciqfunctions.udf.CIQ($G271, "IQ_SHARESOUTSTANDING", BZ$222),"--")</f>
        <v>0</v>
      </c>
      <c r="CA271" s="2132">
        <f>IF(CA$221,_xll.ciqfunctions.udf.CIQ($G271, "IQ_SHARESOUTSTANDING", CA$222),"--")</f>
        <v>0</v>
      </c>
      <c r="CB271" s="2132">
        <f>IF(CB$221,_xll.ciqfunctions.udf.CIQ($G271, "IQ_SHARESOUTSTANDING", CB$222),"--")</f>
        <v>0</v>
      </c>
      <c r="CC271" s="2132">
        <f>IF(CC$221,_xll.ciqfunctions.udf.CIQ($G271, "IQ_SHARESOUTSTANDING", CC$222),"--")</f>
        <v>0</v>
      </c>
      <c r="CD271" s="2132">
        <f>IF(CD$221,_xll.ciqfunctions.udf.CIQ($G271, "IQ_SHARESOUTSTANDING", CD$222),"--")</f>
        <v>0</v>
      </c>
      <c r="CE271" s="2132">
        <f>IF(CE$221,_xll.ciqfunctions.udf.CIQ($G271, "IQ_SHARESOUTSTANDING", CE$222),"--")</f>
        <v>0</v>
      </c>
      <c r="CF271" s="2132">
        <f>IF(CF$221,_xll.ciqfunctions.udf.CIQ($G271, "IQ_SHARESOUTSTANDING", CF$222),"--")</f>
        <v>0</v>
      </c>
      <c r="CG271" s="2132">
        <f>IF(CG$221,_xll.ciqfunctions.udf.CIQ($G271, "IQ_SHARESOUTSTANDING", CG$222),"--")</f>
        <v>0</v>
      </c>
      <c r="CH271" s="2132">
        <f>IF(CH$221,_xll.ciqfunctions.udf.CIQ($G271, "IQ_SHARESOUTSTANDING", CH$222),"--")</f>
        <v>0</v>
      </c>
      <c r="CI271" s="2132">
        <f>IF(CI$221,_xll.ciqfunctions.udf.CIQ($G271, "IQ_SHARESOUTSTANDING", CI$222),"--")</f>
        <v>0</v>
      </c>
      <c r="CJ271" s="2132">
        <f>IF(CJ$221,_xll.ciqfunctions.udf.CIQ($G271, "IQ_SHARESOUTSTANDING", CJ$222),"--")</f>
        <v>0</v>
      </c>
      <c r="CK271" s="2132">
        <f>IF(CK$221,_xll.ciqfunctions.udf.CIQ($G271, "IQ_SHARESOUTSTANDING", CK$222),"--")</f>
        <v>0</v>
      </c>
      <c r="CL271" s="2132">
        <f>IF(CL$221,_xll.ciqfunctions.udf.CIQ($G271, "IQ_SHARESOUTSTANDING", CL$222),"--")</f>
        <v>0</v>
      </c>
      <c r="CM271" s="2132">
        <f>IF(CM$221,_xll.ciqfunctions.udf.CIQ($G271, "IQ_SHARESOUTSTANDING", CM$222),"--")</f>
        <v>0</v>
      </c>
      <c r="CN271" s="2132">
        <f>IF(CN$221,_xll.ciqfunctions.udf.CIQ($G271, "IQ_SHARESOUTSTANDING", CN$222),"--")</f>
        <v>0</v>
      </c>
      <c r="CO271" s="2132">
        <f>IF(CO$221,_xll.ciqfunctions.udf.CIQ($G271, "IQ_SHARESOUTSTANDING", CO$222),"--")</f>
        <v>0</v>
      </c>
      <c r="CP271" s="2132">
        <f>IF(CP$221,_xll.ciqfunctions.udf.CIQ($G271, "IQ_SHARESOUTSTANDING", CP$222),"--")</f>
        <v>0</v>
      </c>
      <c r="CQ271" s="2132">
        <f>IF(CQ$221,_xll.ciqfunctions.udf.CIQ($G271, "IQ_SHARESOUTSTANDING", CQ$222),"--")</f>
        <v>0</v>
      </c>
      <c r="CR271" s="2132">
        <f>IF(CR$221,_xll.ciqfunctions.udf.CIQ($G271, "IQ_SHARESOUTSTANDING", CR$222),"--")</f>
        <v>0</v>
      </c>
      <c r="CS271" s="2132">
        <f>IF(CS$221,_xll.ciqfunctions.udf.CIQ($G271, "IQ_SHARESOUTSTANDING", CS$222),"--")</f>
        <v>0</v>
      </c>
      <c r="CT271" s="2132">
        <f>IF(CT$221,_xll.ciqfunctions.udf.CIQ($G271, "IQ_SHARESOUTSTANDING", CT$222),"--")</f>
        <v>0</v>
      </c>
      <c r="CU271" s="2132">
        <f>IF(CU$221,_xll.ciqfunctions.udf.CIQ($G271, "IQ_SHARESOUTSTANDING", CU$222),"--")</f>
        <v>0</v>
      </c>
      <c r="CV271" s="2132">
        <f>IF(CV$221,_xll.ciqfunctions.udf.CIQ($G271, "IQ_SHARESOUTSTANDING", CV$222),"--")</f>
        <v>0</v>
      </c>
      <c r="CW271" s="2132">
        <f>IF(CW$221,_xll.ciqfunctions.udf.CIQ($G271, "IQ_SHARESOUTSTANDING", CW$222),"--")</f>
        <v>0</v>
      </c>
      <c r="CX271" s="2132">
        <f>IF(CX$221,_xll.ciqfunctions.udf.CIQ($G271, "IQ_SHARESOUTSTANDING", CX$222),"--")</f>
        <v>0</v>
      </c>
      <c r="CY271" s="2132">
        <f>IF(CY$221,_xll.ciqfunctions.udf.CIQ($G271, "IQ_SHARESOUTSTANDING", CY$222),"--")</f>
        <v>0</v>
      </c>
      <c r="CZ271" s="2132">
        <f>IF(CZ$221,_xll.ciqfunctions.udf.CIQ($G271, "IQ_SHARESOUTSTANDING", CZ$222),"--")</f>
        <v>0</v>
      </c>
      <c r="DA271" s="2132">
        <f>IF(DA$221,_xll.ciqfunctions.udf.CIQ($G271, "IQ_SHARESOUTSTANDING", DA$222),"--")</f>
        <v>0</v>
      </c>
      <c r="DB271" s="2132">
        <f>IF(DB$221,_xll.ciqfunctions.udf.CIQ($G271, "IQ_SHARESOUTSTANDING", DB$222),"--")</f>
        <v>0</v>
      </c>
      <c r="DC271" s="2132">
        <f>IF(DC$221,_xll.ciqfunctions.udf.CIQ($G271, "IQ_SHARESOUTSTANDING", DC$222),"--")</f>
        <v>0</v>
      </c>
      <c r="DD271" s="2132">
        <f>IF(DD$221,_xll.ciqfunctions.udf.CIQ($G271, "IQ_SHARESOUTSTANDING", DD$222),"--")</f>
        <v>0</v>
      </c>
      <c r="DE271" s="2132">
        <f>IF(DE$221,_xll.ciqfunctions.udf.CIQ($G271, "IQ_SHARESOUTSTANDING", DE$222),"--")</f>
        <v>0</v>
      </c>
      <c r="DF271" s="2132">
        <f>IF(DF$221,_xll.ciqfunctions.udf.CIQ($G271, "IQ_SHARESOUTSTANDING", DF$222),"--")</f>
        <v>0</v>
      </c>
      <c r="DG271" s="2132">
        <f>IF(DG$221,_xll.ciqfunctions.udf.CIQ($G271, "IQ_SHARESOUTSTANDING", DG$222),"--")</f>
        <v>0</v>
      </c>
      <c r="DH271" s="2132">
        <f>IF(DH$221,_xll.ciqfunctions.udf.CIQ($G271, "IQ_SHARESOUTSTANDING", DH$222),"--")</f>
        <v>0</v>
      </c>
      <c r="DI271" s="2132">
        <f>IF(DI$221,_xll.ciqfunctions.udf.CIQ($G271, "IQ_SHARESOUTSTANDING", DI$222),"--")</f>
        <v>0</v>
      </c>
      <c r="DJ271" s="2132">
        <f>IF(DJ$221,_xll.ciqfunctions.udf.CIQ($G271, "IQ_SHARESOUTSTANDING", DJ$222),"--")</f>
        <v>0</v>
      </c>
      <c r="DK271" s="2132">
        <f>IF(DK$221,_xll.ciqfunctions.udf.CIQ($G271, "IQ_SHARESOUTSTANDING", DK$222),"--")</f>
        <v>0</v>
      </c>
      <c r="DL271" s="2132">
        <f>IF(DL$221,_xll.ciqfunctions.udf.CIQ($G271, "IQ_SHARESOUTSTANDING", DL$222),"--")</f>
        <v>0</v>
      </c>
      <c r="DM271" s="2132">
        <f>IF(DM$221,_xll.ciqfunctions.udf.CIQ($G271, "IQ_SHARESOUTSTANDING", DM$222),"--")</f>
        <v>0</v>
      </c>
      <c r="DN271" s="2132">
        <f>IF(DN$221,_xll.ciqfunctions.udf.CIQ($G271, "IQ_SHARESOUTSTANDING", DN$222),"--")</f>
        <v>0</v>
      </c>
      <c r="DO271" s="2132">
        <f>IF(DO$221,_xll.ciqfunctions.udf.CIQ($G271, "IQ_SHARESOUTSTANDING", DO$222),"--")</f>
        <v>0</v>
      </c>
      <c r="DP271" s="2132">
        <f>IF(DP$221,_xll.ciqfunctions.udf.CIQ($G271, "IQ_SHARESOUTSTANDING", DP$222),"--")</f>
        <v>0</v>
      </c>
      <c r="DQ271" s="2132">
        <f>IF(DQ$221,_xll.ciqfunctions.udf.CIQ($G271, "IQ_SHARESOUTSTANDING", DQ$222),"--")</f>
        <v>0</v>
      </c>
      <c r="DR271" s="2132">
        <f>IF(DR$221,_xll.ciqfunctions.udf.CIQ($G271, "IQ_SHARESOUTSTANDING", DR$222),"--")</f>
        <v>0</v>
      </c>
      <c r="DS271" s="2132">
        <f>IF(DS$221,_xll.ciqfunctions.udf.CIQ($G271, "IQ_SHARESOUTSTANDING", DS$222),"--")</f>
        <v>0</v>
      </c>
      <c r="DT271" s="2132">
        <f>IF(DT$221,_xll.ciqfunctions.udf.CIQ($G271, "IQ_SHARESOUTSTANDING", DT$222),"--")</f>
        <v>0</v>
      </c>
      <c r="DU271" s="2132">
        <f>IF(DU$221,_xll.ciqfunctions.udf.CIQ($G271, "IQ_SHARESOUTSTANDING", DU$222),"--")</f>
        <v>0</v>
      </c>
      <c r="DV271" s="2132">
        <f>IF(DV$221,_xll.ciqfunctions.udf.CIQ($G271, "IQ_SHARESOUTSTANDING", DV$222),"--")</f>
        <v>0</v>
      </c>
      <c r="DW271" s="2132">
        <f>IF(DW$221,_xll.ciqfunctions.udf.CIQ($G271, "IQ_SHARESOUTSTANDING", DW$222),"--")</f>
        <v>0</v>
      </c>
      <c r="DX271" s="2132">
        <f>IF(DX$221,_xll.ciqfunctions.udf.CIQ($G271, "IQ_SHARESOUTSTANDING", DX$222),"--")</f>
        <v>0</v>
      </c>
      <c r="DY271" s="2132">
        <f>IF(DY$221,_xll.ciqfunctions.udf.CIQ($G271, "IQ_SHARESOUTSTANDING", DY$222),"--")</f>
        <v>0</v>
      </c>
      <c r="DZ271" s="2132">
        <f>IF(DZ$221,_xll.ciqfunctions.udf.CIQ($G271, "IQ_SHARESOUTSTANDING", DZ$222),"--")</f>
        <v>0</v>
      </c>
      <c r="EA271" s="2132">
        <f>IF(EA$221,_xll.ciqfunctions.udf.CIQ($G271, "IQ_SHARESOUTSTANDING", EA$222),"--")</f>
        <v>0</v>
      </c>
      <c r="EB271" s="2132">
        <f>IF(EB$221,_xll.ciqfunctions.udf.CIQ($G271, "IQ_SHARESOUTSTANDING", EB$222),"--")</f>
        <v>0</v>
      </c>
      <c r="EC271" s="2132">
        <f>IF(EC$221,_xll.ciqfunctions.udf.CIQ($G271, "IQ_SHARESOUTSTANDING", EC$222),"--")</f>
        <v>0</v>
      </c>
      <c r="ED271" s="2132">
        <f>IF(ED$221,_xll.ciqfunctions.udf.CIQ($G271, "IQ_SHARESOUTSTANDING", ED$222),"--")</f>
        <v>0</v>
      </c>
      <c r="EE271" s="2132">
        <f>IF(EE$221,_xll.ciqfunctions.udf.CIQ($G271, "IQ_SHARESOUTSTANDING", EE$222),"--")</f>
        <v>0</v>
      </c>
      <c r="EF271" s="2132">
        <f>IF(EF$221,_xll.ciqfunctions.udf.CIQ($G271, "IQ_SHARESOUTSTANDING", EF$222),"--")</f>
        <v>0</v>
      </c>
      <c r="EG271" s="2132">
        <f>IF(EG$221,_xll.ciqfunctions.udf.CIQ($G271, "IQ_SHARESOUTSTANDING", EG$222),"--")</f>
        <v>0</v>
      </c>
      <c r="EH271" s="2132">
        <f>IF(EH$221,_xll.ciqfunctions.udf.CIQ($G271, "IQ_SHARESOUTSTANDING", EH$222),"--")</f>
        <v>0</v>
      </c>
      <c r="EI271" s="2132">
        <f>IF(EI$221,_xll.ciqfunctions.udf.CIQ($G271, "IQ_SHARESOUTSTANDING", EI$222),"--")</f>
        <v>0</v>
      </c>
      <c r="EJ271" s="2132">
        <f>IF(EJ$221,_xll.ciqfunctions.udf.CIQ($G271, "IQ_SHARESOUTSTANDING", EJ$222),"--")</f>
        <v>0</v>
      </c>
      <c r="EK271" s="2132">
        <f>IF(EK$221,_xll.ciqfunctions.udf.CIQ($G271, "IQ_SHARESOUTSTANDING", EK$222),"--")</f>
        <v>0</v>
      </c>
      <c r="EL271" s="2132">
        <f>IF(EL$221,_xll.ciqfunctions.udf.CIQ($G271, "IQ_SHARESOUTSTANDING", EL$222),"--")</f>
        <v>0</v>
      </c>
      <c r="EM271" s="2132">
        <f>IF(EM$221,_xll.ciqfunctions.udf.CIQ($G271, "IQ_SHARESOUTSTANDING", EM$222),"--")</f>
        <v>0</v>
      </c>
      <c r="EN271" s="2132">
        <f>IF(EN$221,_xll.ciqfunctions.udf.CIQ($G271, "IQ_SHARESOUTSTANDING", EN$222),"--")</f>
        <v>0</v>
      </c>
      <c r="EO271" s="2132">
        <f>IF(EO$221,_xll.ciqfunctions.udf.CIQ($G271, "IQ_SHARESOUTSTANDING", EO$222),"--")</f>
        <v>0</v>
      </c>
      <c r="EP271" s="2132">
        <f>IF(EP$221,_xll.ciqfunctions.udf.CIQ($G271, "IQ_SHARESOUTSTANDING", EP$222),"--")</f>
        <v>0</v>
      </c>
      <c r="EQ271" s="2132">
        <f>IF(EQ$221,_xll.ciqfunctions.udf.CIQ($G271, "IQ_SHARESOUTSTANDING", EQ$222),"--")</f>
        <v>0</v>
      </c>
      <c r="ER271" s="2132">
        <f>IF(ER$221,_xll.ciqfunctions.udf.CIQ($G271, "IQ_SHARESOUTSTANDING", ER$222),"--")</f>
        <v>0</v>
      </c>
      <c r="ES271" s="2132">
        <f>IF(ES$221,_xll.ciqfunctions.udf.CIQ($G271, "IQ_SHARESOUTSTANDING", ES$222),"--")</f>
        <v>0</v>
      </c>
      <c r="ET271" s="2132">
        <f>IF(ET$221,_xll.ciqfunctions.udf.CIQ($G271, "IQ_SHARESOUTSTANDING", ET$222),"--")</f>
        <v>0</v>
      </c>
      <c r="EU271" s="2132">
        <f>IF(EU$221,_xll.ciqfunctions.udf.CIQ($G271, "IQ_SHARESOUTSTANDING", EU$222),"--")</f>
        <v>0</v>
      </c>
      <c r="EV271" s="2132">
        <f>IF(EV$221,_xll.ciqfunctions.udf.CIQ($G271, "IQ_SHARESOUTSTANDING", EV$222),"--")</f>
        <v>0</v>
      </c>
      <c r="EW271" s="2132">
        <f>IF(EW$221,_xll.ciqfunctions.udf.CIQ($G271, "IQ_SHARESOUTSTANDING", EW$222),"--")</f>
        <v>0</v>
      </c>
      <c r="EX271" s="2132">
        <f>IF(EX$221,_xll.ciqfunctions.udf.CIQ($G271, "IQ_SHARESOUTSTANDING", EX$222),"--")</f>
        <v>0</v>
      </c>
      <c r="EY271" s="2132">
        <f>IF(EY$221,_xll.ciqfunctions.udf.CIQ($G271, "IQ_SHARESOUTSTANDING", EY$222),"--")</f>
        <v>0</v>
      </c>
      <c r="EZ271" s="2132">
        <f>IF(EZ$221,_xll.ciqfunctions.udf.CIQ($G271, "IQ_SHARESOUTSTANDING", EZ$222),"--")</f>
        <v>0</v>
      </c>
      <c r="FA271" s="2132">
        <f>IF(FA$221,_xll.ciqfunctions.udf.CIQ($G271, "IQ_SHARESOUTSTANDING", FA$222),"--")</f>
        <v>0</v>
      </c>
      <c r="FB271" s="2132">
        <f>IF(FB$221,_xll.ciqfunctions.udf.CIQ($G271, "IQ_SHARESOUTSTANDING", FB$222),"--")</f>
        <v>0</v>
      </c>
      <c r="FC271" s="2132">
        <f>IF(FC$221,_xll.ciqfunctions.udf.CIQ($G271, "IQ_SHARESOUTSTANDING", FC$222),"--")</f>
        <v>0</v>
      </c>
      <c r="FD271" s="2132">
        <f>IF(FD$221,_xll.ciqfunctions.udf.CIQ($G271, "IQ_SHARESOUTSTANDING", FD$222),"--")</f>
        <v>0</v>
      </c>
      <c r="FE271" s="2132">
        <f>IF(FE$221,_xll.ciqfunctions.udf.CIQ($G271, "IQ_SHARESOUTSTANDING", FE$222),"--")</f>
        <v>0</v>
      </c>
      <c r="FF271" s="2132">
        <f>IF(FF$221,_xll.ciqfunctions.udf.CIQ($G271, "IQ_SHARESOUTSTANDING", FF$222),"--")</f>
        <v>0</v>
      </c>
      <c r="FG271" s="2132">
        <f>IF(FG$221,_xll.ciqfunctions.udf.CIQ($G271, "IQ_SHARESOUTSTANDING", FG$222),"--")</f>
        <v>0</v>
      </c>
      <c r="FH271" s="2132">
        <f>IF(FH$221,_xll.ciqfunctions.udf.CIQ($G271, "IQ_SHARESOUTSTANDING", FH$222),"--")</f>
        <v>0</v>
      </c>
      <c r="FI271" s="2132">
        <f>IF(FI$221,_xll.ciqfunctions.udf.CIQ($G271, "IQ_SHARESOUTSTANDING", FI$222),"--")</f>
        <v>0</v>
      </c>
      <c r="FJ271" s="2132">
        <f>IF(FJ$221,_xll.ciqfunctions.udf.CIQ($G271, "IQ_SHARESOUTSTANDING", FJ$222),"--")</f>
        <v>0</v>
      </c>
      <c r="FK271" s="2132">
        <f>IF(FK$221,_xll.ciqfunctions.udf.CIQ($G271, "IQ_SHARESOUTSTANDING", FK$222),"--")</f>
        <v>0</v>
      </c>
      <c r="FL271" s="2132">
        <f>IF(FL$221,_xll.ciqfunctions.udf.CIQ($G271, "IQ_SHARESOUTSTANDING", FL$222),"--")</f>
        <v>0</v>
      </c>
      <c r="FM271" s="2132">
        <f>IF(FM$221,_xll.ciqfunctions.udf.CIQ($G271, "IQ_SHARESOUTSTANDING", FM$222),"--")</f>
        <v>0</v>
      </c>
      <c r="FN271" s="2132">
        <f>IF(FN$221,_xll.ciqfunctions.udf.CIQ($G271, "IQ_SHARESOUTSTANDING", FN$222),"--")</f>
        <v>0</v>
      </c>
      <c r="FO271" s="2132">
        <f>IF(FO$221,_xll.ciqfunctions.udf.CIQ($G271, "IQ_SHARESOUTSTANDING", FO$222),"--")</f>
        <v>0</v>
      </c>
      <c r="FP271" s="2132">
        <f>IF(FP$221,_xll.ciqfunctions.udf.CIQ($G271, "IQ_SHARESOUTSTANDING", FP$222),"--")</f>
        <v>0</v>
      </c>
      <c r="FQ271" s="2132">
        <f>IF(FQ$221,_xll.ciqfunctions.udf.CIQ($G271, "IQ_SHARESOUTSTANDING", FQ$222),"--")</f>
        <v>0</v>
      </c>
      <c r="FR271" s="2132">
        <f>IF(FR$221,_xll.ciqfunctions.udf.CIQ($G271, "IQ_SHARESOUTSTANDING", FR$222),"--")</f>
        <v>0</v>
      </c>
      <c r="FS271" s="2132">
        <f>IF(FS$221,_xll.ciqfunctions.udf.CIQ($G271, "IQ_SHARESOUTSTANDING", FS$222),"--")</f>
        <v>0</v>
      </c>
      <c r="FT271" s="2132">
        <f>IF(FT$221,_xll.ciqfunctions.udf.CIQ($G271, "IQ_SHARESOUTSTANDING", FT$222),"--")</f>
        <v>0</v>
      </c>
      <c r="FU271" s="2132">
        <f>IF(FU$221,_xll.ciqfunctions.udf.CIQ($G271, "IQ_SHARESOUTSTANDING", FU$222),"--")</f>
        <v>0</v>
      </c>
      <c r="FV271" s="2132">
        <f>IF(FV$221,_xll.ciqfunctions.udf.CIQ($G271, "IQ_SHARESOUTSTANDING", FV$222),"--")</f>
        <v>0</v>
      </c>
      <c r="FW271" s="2132">
        <f>IF(FW$221,_xll.ciqfunctions.udf.CIQ($G271, "IQ_SHARESOUTSTANDING", FW$222),"--")</f>
        <v>0</v>
      </c>
      <c r="FX271" s="2132">
        <f>IF(FX$221,_xll.ciqfunctions.udf.CIQ($G271, "IQ_SHARESOUTSTANDING", FX$222),"--")</f>
        <v>0</v>
      </c>
      <c r="FY271" s="2132">
        <f>IF(FY$221,_xll.ciqfunctions.udf.CIQ($G271, "IQ_SHARESOUTSTANDING", FY$222),"--")</f>
        <v>0</v>
      </c>
      <c r="FZ271" s="2132">
        <f>IF(FZ$221,_xll.ciqfunctions.udf.CIQ($G271, "IQ_SHARESOUTSTANDING", FZ$222),"--")</f>
        <v>0</v>
      </c>
      <c r="GA271" s="2132">
        <f>IF(GA$221,_xll.ciqfunctions.udf.CIQ($G271, "IQ_SHARESOUTSTANDING", GA$222),"--")</f>
        <v>0</v>
      </c>
      <c r="GB271" s="2132">
        <f>IF(GB$221,_xll.ciqfunctions.udf.CIQ($G271, "IQ_SHARESOUTSTANDING", GB$222),"--")</f>
        <v>0</v>
      </c>
      <c r="GC271" s="2132">
        <f>IF(GC$221,_xll.ciqfunctions.udf.CIQ($G271, "IQ_SHARESOUTSTANDING", GC$222),"--")</f>
        <v>0</v>
      </c>
      <c r="GD271" s="2132">
        <f>IF(GD$221,_xll.ciqfunctions.udf.CIQ($G271, "IQ_SHARESOUTSTANDING", GD$222),"--")</f>
        <v>0</v>
      </c>
      <c r="GE271" s="2132">
        <f>IF(GE$221,_xll.ciqfunctions.udf.CIQ($G271, "IQ_SHARESOUTSTANDING", GE$222),"--")</f>
        <v>0</v>
      </c>
      <c r="GF271" s="2132">
        <f>IF(GF$221,_xll.ciqfunctions.udf.CIQ($G271, "IQ_SHARESOUTSTANDING", GF$222),"--")</f>
        <v>0</v>
      </c>
      <c r="GG271" s="2132">
        <f>IF(GG$221,_xll.ciqfunctions.udf.CIQ($G271, "IQ_SHARESOUTSTANDING", GG$222),"--")</f>
        <v>0</v>
      </c>
      <c r="GH271" s="2132">
        <f>IF(GH$221,_xll.ciqfunctions.udf.CIQ($G271, "IQ_SHARESOUTSTANDING", GH$222),"--")</f>
        <v>0</v>
      </c>
      <c r="GI271" s="2132">
        <f>IF(GI$221,_xll.ciqfunctions.udf.CIQ($G271, "IQ_SHARESOUTSTANDING", GI$222),"--")</f>
        <v>0</v>
      </c>
      <c r="GJ271" s="2132">
        <f>IF(GJ$221,_xll.ciqfunctions.udf.CIQ($G271, "IQ_SHARESOUTSTANDING", GJ$222),"--")</f>
        <v>0</v>
      </c>
      <c r="GK271" s="2132">
        <f>IF(GK$221,_xll.ciqfunctions.udf.CIQ($G271, "IQ_SHARESOUTSTANDING", GK$222),"--")</f>
        <v>0</v>
      </c>
      <c r="GL271" s="2132">
        <f>IF(GL$221,_xll.ciqfunctions.udf.CIQ($G271, "IQ_SHARESOUTSTANDING", GL$222),"--")</f>
        <v>0</v>
      </c>
      <c r="GM271" s="2132">
        <f>IF(GM$221,_xll.ciqfunctions.udf.CIQ($G271, "IQ_SHARESOUTSTANDING", GM$222),"--")</f>
        <v>0</v>
      </c>
      <c r="GN271" s="2132">
        <f>IF(GN$221,_xll.ciqfunctions.udf.CIQ($G271, "IQ_SHARESOUTSTANDING", GN$222),"--")</f>
        <v>0</v>
      </c>
      <c r="GO271" s="2132">
        <f>IF(GO$221,_xll.ciqfunctions.udf.CIQ($G271, "IQ_SHARESOUTSTANDING", GO$222),"--")</f>
        <v>0</v>
      </c>
      <c r="GP271" s="2132">
        <f>IF(GP$221,_xll.ciqfunctions.udf.CIQ($G271, "IQ_SHARESOUTSTANDING", GP$222),"--")</f>
        <v>0</v>
      </c>
      <c r="GQ271" s="2132">
        <f>IF(GQ$221,_xll.ciqfunctions.udf.CIQ($G271, "IQ_SHARESOUTSTANDING", GQ$222),"--")</f>
        <v>0</v>
      </c>
      <c r="GR271" s="2132">
        <f>IF(GR$221,_xll.ciqfunctions.udf.CIQ($G271, "IQ_SHARESOUTSTANDING", GR$222),"--")</f>
        <v>0</v>
      </c>
      <c r="GS271" s="2132">
        <f>IF(GS$221,_xll.ciqfunctions.udf.CIQ($G271, "IQ_SHARESOUTSTANDING", GS$222),"--")</f>
        <v>0</v>
      </c>
      <c r="GT271" s="2132">
        <f>IF(GT$221,_xll.ciqfunctions.udf.CIQ($G271, "IQ_SHARESOUTSTANDING", GT$222),"--")</f>
        <v>0</v>
      </c>
      <c r="GU271" s="2132">
        <f>IF(GU$221,_xll.ciqfunctions.udf.CIQ($G271, "IQ_SHARESOUTSTANDING", GU$222),"--")</f>
        <v>0</v>
      </c>
      <c r="GV271" s="2132">
        <f>IF(GV$221,_xll.ciqfunctions.udf.CIQ($G271, "IQ_SHARESOUTSTANDING", GV$222),"--")</f>
        <v>0</v>
      </c>
      <c r="GW271" s="2132">
        <f>IF(GW$221,_xll.ciqfunctions.udf.CIQ($G271, "IQ_SHARESOUTSTANDING", GW$222),"--")</f>
        <v>0</v>
      </c>
      <c r="GX271" s="2132">
        <f>IF(GX$221,_xll.ciqfunctions.udf.CIQ($G271, "IQ_SHARESOUTSTANDING", GX$222),"--")</f>
        <v>0</v>
      </c>
      <c r="GY271" s="2132">
        <f>IF(GY$221,_xll.ciqfunctions.udf.CIQ($G271, "IQ_SHARESOUTSTANDING", GY$222),"--")</f>
        <v>0</v>
      </c>
      <c r="GZ271" s="2132">
        <f>IF(GZ$221,_xll.ciqfunctions.udf.CIQ($G271, "IQ_SHARESOUTSTANDING", GZ$222),"--")</f>
        <v>0</v>
      </c>
      <c r="HA271" s="2132">
        <f>IF(HA$221,_xll.ciqfunctions.udf.CIQ($G271, "IQ_SHARESOUTSTANDING", HA$222),"--")</f>
        <v>0</v>
      </c>
      <c r="HB271" s="2132">
        <f>IF(HB$221,_xll.ciqfunctions.udf.CIQ($G271, "IQ_SHARESOUTSTANDING", HB$222),"--")</f>
        <v>0</v>
      </c>
      <c r="HC271" s="2132">
        <f>IF(HC$221,_xll.ciqfunctions.udf.CIQ($G271, "IQ_SHARESOUTSTANDING", HC$222),"--")</f>
        <v>0</v>
      </c>
      <c r="HD271" s="2132">
        <f>IF(HD$221,_xll.ciqfunctions.udf.CIQ($G271, "IQ_SHARESOUTSTANDING", HD$222),"--")</f>
        <v>0</v>
      </c>
      <c r="HE271" s="2132">
        <f>IF(HE$221,_xll.ciqfunctions.udf.CIQ($G271, "IQ_SHARESOUTSTANDING", HE$222),"--")</f>
        <v>0</v>
      </c>
      <c r="HF271" s="2132">
        <f>IF(HF$221,_xll.ciqfunctions.udf.CIQ($G271, "IQ_SHARESOUTSTANDING", HF$222),"--")</f>
        <v>0</v>
      </c>
      <c r="HG271" s="2132">
        <f>IF(HG$221,_xll.ciqfunctions.udf.CIQ($G271, "IQ_SHARESOUTSTANDING", HG$222),"--")</f>
        <v>0</v>
      </c>
      <c r="HH271" s="2132">
        <f>IF(HH$221,_xll.ciqfunctions.udf.CIQ($G271, "IQ_SHARESOUTSTANDING", HH$222),"--")</f>
        <v>0</v>
      </c>
      <c r="HI271" s="2132">
        <f>IF(HI$221,_xll.ciqfunctions.udf.CIQ($G271, "IQ_SHARESOUTSTANDING", HI$222),"--")</f>
        <v>0</v>
      </c>
      <c r="HJ271" s="2132">
        <f>IF(HJ$221,_xll.ciqfunctions.udf.CIQ($G271, "IQ_SHARESOUTSTANDING", HJ$222),"--")</f>
        <v>0</v>
      </c>
      <c r="HK271" s="2132">
        <f>IF(HK$221,_xll.ciqfunctions.udf.CIQ($G271, "IQ_SHARESOUTSTANDING", HK$222),"--")</f>
        <v>0</v>
      </c>
      <c r="HL271" s="2132">
        <f>IF(HL$221,_xll.ciqfunctions.udf.CIQ($G271, "IQ_SHARESOUTSTANDING", HL$222),"--")</f>
        <v>0</v>
      </c>
      <c r="HM271" s="2132">
        <f>IF(HM$221,_xll.ciqfunctions.udf.CIQ($G271, "IQ_SHARESOUTSTANDING", HM$222),"--")</f>
        <v>0</v>
      </c>
      <c r="HN271" s="2132">
        <f>IF(HN$221,_xll.ciqfunctions.udf.CIQ($G271, "IQ_SHARESOUTSTANDING", HN$222),"--")</f>
        <v>0</v>
      </c>
      <c r="HO271" s="2132">
        <f>IF(HO$221,_xll.ciqfunctions.udf.CIQ($G271, "IQ_SHARESOUTSTANDING", HO$222),"--")</f>
        <v>0</v>
      </c>
      <c r="HP271" s="2132">
        <f>IF(HP$221,_xll.ciqfunctions.udf.CIQ($G271, "IQ_SHARESOUTSTANDING", HP$222),"--")</f>
        <v>0</v>
      </c>
      <c r="HQ271" s="2132">
        <f>IF(HQ$221,_xll.ciqfunctions.udf.CIQ($G271, "IQ_SHARESOUTSTANDING", HQ$222),"--")</f>
        <v>0</v>
      </c>
      <c r="HR271" s="2132">
        <f>IF(HR$221,_xll.ciqfunctions.udf.CIQ($G271, "IQ_SHARESOUTSTANDING", HR$222),"--")</f>
        <v>0</v>
      </c>
      <c r="HS271" s="2132">
        <f>IF(HS$221,_xll.ciqfunctions.udf.CIQ($G271, "IQ_SHARESOUTSTANDING", HS$222),"--")</f>
        <v>0</v>
      </c>
      <c r="HT271" s="2132">
        <f>IF(HT$221,_xll.ciqfunctions.udf.CIQ($G271, "IQ_SHARESOUTSTANDING", HT$222),"--")</f>
        <v>0</v>
      </c>
      <c r="HU271" s="2132">
        <f>IF(HU$221,_xll.ciqfunctions.udf.CIQ($G271, "IQ_SHARESOUTSTANDING", HU$222),"--")</f>
        <v>0</v>
      </c>
      <c r="HV271" s="2132">
        <f>IF(HV$221,_xll.ciqfunctions.udf.CIQ($G271, "IQ_SHARESOUTSTANDING", HV$222),"--")</f>
        <v>0</v>
      </c>
      <c r="HW271" s="2132">
        <f>IF(HW$221,_xll.ciqfunctions.udf.CIQ($G271, "IQ_SHARESOUTSTANDING", HW$222),"--")</f>
        <v>0</v>
      </c>
      <c r="HX271" s="2132">
        <f>IF(HX$221,_xll.ciqfunctions.udf.CIQ($G271, "IQ_SHARESOUTSTANDING", HX$222),"--")</f>
        <v>0</v>
      </c>
      <c r="HY271" s="2132">
        <f>IF(HY$221,_xll.ciqfunctions.udf.CIQ($G271, "IQ_SHARESOUTSTANDING", HY$222),"--")</f>
        <v>0</v>
      </c>
      <c r="HZ271" s="2132">
        <f>IF(HZ$221,_xll.ciqfunctions.udf.CIQ($G271, "IQ_SHARESOUTSTANDING", HZ$222),"--")</f>
        <v>0</v>
      </c>
      <c r="IA271" s="2132">
        <f>IF(IA$221,_xll.ciqfunctions.udf.CIQ($G271, "IQ_SHARESOUTSTANDING", IA$222),"--")</f>
        <v>0</v>
      </c>
      <c r="IB271" s="2132">
        <f>IF(IB$221,_xll.ciqfunctions.udf.CIQ($G271, "IQ_SHARESOUTSTANDING", IB$222),"--")</f>
        <v>0</v>
      </c>
      <c r="IC271" s="2132">
        <f>IF(IC$221,_xll.ciqfunctions.udf.CIQ($G271, "IQ_SHARESOUTSTANDING", IC$222),"--")</f>
        <v>0</v>
      </c>
      <c r="ID271" s="2132">
        <f>IF(ID$221,_xll.ciqfunctions.udf.CIQ($G271, "IQ_SHARESOUTSTANDING", ID$222),"--")</f>
        <v>0</v>
      </c>
      <c r="IE271" s="2132">
        <f>IF(IE$221,_xll.ciqfunctions.udf.CIQ($G271, "IQ_SHARESOUTSTANDING", IE$222),"--")</f>
        <v>0</v>
      </c>
      <c r="IF271" s="2132">
        <f>IF(IF$221,_xll.ciqfunctions.udf.CIQ($G271, "IQ_SHARESOUTSTANDING", IF$222),"--")</f>
        <v>0</v>
      </c>
      <c r="IG271" s="2132">
        <f>IF(IG$221,_xll.ciqfunctions.udf.CIQ($G271, "IQ_SHARESOUTSTANDING", IG$222),"--")</f>
        <v>0</v>
      </c>
      <c r="IH271" s="2132">
        <f>IF(IH$221,_xll.ciqfunctions.udf.CIQ($G271, "IQ_SHARESOUTSTANDING", IH$222),"--")</f>
        <v>0</v>
      </c>
      <c r="II271" s="2132">
        <f>IF(II$221,_xll.ciqfunctions.udf.CIQ($G271, "IQ_SHARESOUTSTANDING", II$222),"--")</f>
        <v>0</v>
      </c>
      <c r="IJ271" s="2132">
        <f>IF(IJ$221,_xll.ciqfunctions.udf.CIQ($G271, "IQ_SHARESOUTSTANDING", IJ$222),"--")</f>
        <v>0</v>
      </c>
      <c r="IK271" s="2132">
        <f>IF(IK$221,_xll.ciqfunctions.udf.CIQ($G271, "IQ_SHARESOUTSTANDING", IK$222),"--")</f>
        <v>0</v>
      </c>
      <c r="IL271" s="2132">
        <f>IF(IL$221,_xll.ciqfunctions.udf.CIQ($G271, "IQ_SHARESOUTSTANDING", IL$222),"--")</f>
        <v>0</v>
      </c>
      <c r="IM271" s="2132">
        <f>IF(IM$221,_xll.ciqfunctions.udf.CIQ($G271, "IQ_SHARESOUTSTANDING", IM$222),"--")</f>
        <v>0</v>
      </c>
      <c r="IN271" s="2132">
        <f>IF(IN$221,_xll.ciqfunctions.udf.CIQ($G271, "IQ_SHARESOUTSTANDING", IN$222),"--")</f>
        <v>0</v>
      </c>
      <c r="IO271" s="2132">
        <f>IF(IO$221,_xll.ciqfunctions.udf.CIQ($G271, "IQ_SHARESOUTSTANDING", IO$222),"--")</f>
        <v>0</v>
      </c>
      <c r="IP271" s="2132">
        <f>IF(IP$221,_xll.ciqfunctions.udf.CIQ($G271, "IQ_SHARESOUTSTANDING", IP$222),"--")</f>
        <v>0</v>
      </c>
      <c r="IQ271" s="2132">
        <f>IF(IQ$221,_xll.ciqfunctions.udf.CIQ($G271, "IQ_SHARESOUTSTANDING", IQ$222),"--")</f>
        <v>0</v>
      </c>
      <c r="IR271" s="2132">
        <f>IF(IR$221,_xll.ciqfunctions.udf.CIQ($G271, "IQ_SHARESOUTSTANDING", IR$222),"--")</f>
        <v>0</v>
      </c>
      <c r="IS271" s="2132">
        <f>IF(IS$221,_xll.ciqfunctions.udf.CIQ($G271, "IQ_SHARESOUTSTANDING", IS$222),"--")</f>
        <v>0</v>
      </c>
      <c r="IT271" s="2132">
        <f>IF(IT$221,_xll.ciqfunctions.udf.CIQ($G271, "IQ_SHARESOUTSTANDING", IT$222),"--")</f>
        <v>0</v>
      </c>
      <c r="IU271" s="2132">
        <f>IF(IU$221,_xll.ciqfunctions.udf.CIQ($G271, "IQ_SHARESOUTSTANDING", IU$222),"--")</f>
        <v>0</v>
      </c>
      <c r="IV271" s="2132">
        <f>IF(IV$221,_xll.ciqfunctions.udf.CIQ($G271, "IQ_SHARESOUTSTANDING", IV$222),"--")</f>
        <v>0</v>
      </c>
      <c r="IW271" s="2132">
        <f>IF(IW$221,_xll.ciqfunctions.udf.CIQ($G271, "IQ_SHARESOUTSTANDING", IW$222),"--")</f>
        <v>0</v>
      </c>
      <c r="IX271" s="2132">
        <f>IF(IX$221,_xll.ciqfunctions.udf.CIQ($G271, "IQ_SHARESOUTSTANDING", IX$222),"--")</f>
        <v>0</v>
      </c>
      <c r="IY271" s="2132">
        <f>IF(IY$221,_xll.ciqfunctions.udf.CIQ($G271, "IQ_SHARESOUTSTANDING", IY$222),"--")</f>
        <v>0</v>
      </c>
      <c r="IZ271" s="2132">
        <f>IF(IZ$221,_xll.ciqfunctions.udf.CIQ($G271, "IQ_SHARESOUTSTANDING", IZ$222),"--")</f>
        <v>0</v>
      </c>
      <c r="JA271" s="2132">
        <f>IF(JA$221,_xll.ciqfunctions.udf.CIQ($G271, "IQ_SHARESOUTSTANDING", JA$222),"--")</f>
        <v>0</v>
      </c>
      <c r="JB271" s="2132">
        <f>IF(JB$221,_xll.ciqfunctions.udf.CIQ($G271, "IQ_SHARESOUTSTANDING", JB$222),"--")</f>
        <v>0</v>
      </c>
      <c r="JC271" s="2132">
        <f>IF(JC$221,_xll.ciqfunctions.udf.CIQ($G271, "IQ_SHARESOUTSTANDING", JC$222),"--")</f>
        <v>0</v>
      </c>
      <c r="JD271" s="2132">
        <f>IF(JD$221,_xll.ciqfunctions.udf.CIQ($G271, "IQ_SHARESOUTSTANDING", JD$222),"--")</f>
        <v>0</v>
      </c>
      <c r="JE271" s="2132">
        <f>IF(JE$221,_xll.ciqfunctions.udf.CIQ($G271, "IQ_SHARESOUTSTANDING", JE$222),"--")</f>
        <v>0</v>
      </c>
      <c r="JF271" s="2132">
        <f>IF(JF$221,_xll.ciqfunctions.udf.CIQ($G271, "IQ_SHARESOUTSTANDING", JF$222),"--")</f>
        <v>0</v>
      </c>
      <c r="JG271" s="2132">
        <f>IF(JG$221,_xll.ciqfunctions.udf.CIQ($G271, "IQ_SHARESOUTSTANDING", JG$222),"--")</f>
        <v>0</v>
      </c>
      <c r="JH271" s="2132">
        <f>IF(JH$221,_xll.ciqfunctions.udf.CIQ($G271, "IQ_SHARESOUTSTANDING", JH$222),"--")</f>
        <v>0</v>
      </c>
      <c r="JI271" s="2132">
        <f>IF(JI$221,_xll.ciqfunctions.udf.CIQ($G271, "IQ_SHARESOUTSTANDING", JI$222),"--")</f>
        <v>0</v>
      </c>
      <c r="JJ271" s="2132">
        <f>IF(JJ$221,_xll.ciqfunctions.udf.CIQ($G271, "IQ_SHARESOUTSTANDING", JJ$222),"--")</f>
        <v>0</v>
      </c>
      <c r="JK271" s="2132">
        <f>IF(JK$221,_xll.ciqfunctions.udf.CIQ($G271, "IQ_SHARESOUTSTANDING", JK$222),"--")</f>
        <v>0</v>
      </c>
      <c r="JL271" s="2132">
        <f>IF(JL$221,_xll.ciqfunctions.udf.CIQ($G271, "IQ_SHARESOUTSTANDING", JL$222),"--")</f>
        <v>0</v>
      </c>
      <c r="JM271" s="2132">
        <f>IF(JM$221,_xll.ciqfunctions.udf.CIQ($G271, "IQ_SHARESOUTSTANDING", JM$222),"--")</f>
        <v>0</v>
      </c>
      <c r="JN271" s="2132">
        <f>IF(JN$221,_xll.ciqfunctions.udf.CIQ($G271, "IQ_SHARESOUTSTANDING", JN$222),"--")</f>
        <v>0</v>
      </c>
      <c r="JO271" s="2132">
        <f>IF(JO$221,_xll.ciqfunctions.udf.CIQ($G271, "IQ_SHARESOUTSTANDING", JO$222),"--")</f>
        <v>0</v>
      </c>
      <c r="JP271" s="2132">
        <f>IF(JP$221,_xll.ciqfunctions.udf.CIQ($G271, "IQ_SHARESOUTSTANDING", JP$222),"--")</f>
        <v>0</v>
      </c>
      <c r="JQ271" s="2132">
        <f>IF(JQ$221,_xll.ciqfunctions.udf.CIQ($G271, "IQ_SHARESOUTSTANDING", JQ$222),"--")</f>
        <v>0</v>
      </c>
      <c r="JR271" s="2132">
        <f>IF(JR$221,_xll.ciqfunctions.udf.CIQ($G271, "IQ_SHARESOUTSTANDING", JR$222),"--")</f>
        <v>0</v>
      </c>
      <c r="JS271" s="2132">
        <f>IF(JS$221,_xll.ciqfunctions.udf.CIQ($G271, "IQ_SHARESOUTSTANDING", JS$222),"--")</f>
        <v>0</v>
      </c>
      <c r="JT271" s="2132">
        <f>IF(JT$221,_xll.ciqfunctions.udf.CIQ($G271, "IQ_SHARESOUTSTANDING", JT$222),"--")</f>
        <v>0</v>
      </c>
      <c r="JU271" s="2132">
        <f>IF(JU$221,_xll.ciqfunctions.udf.CIQ($G271, "IQ_SHARESOUTSTANDING", JU$222),"--")</f>
        <v>0</v>
      </c>
      <c r="JV271" s="2132">
        <f>IF(JV$221,_xll.ciqfunctions.udf.CIQ($G271, "IQ_SHARESOUTSTANDING", JV$222),"--")</f>
        <v>0</v>
      </c>
      <c r="JW271" s="2132" t="str">
        <f>IF(JW$221,_xll.ciqfunctions.udf.CIQ($G271, "IQ_SHARESOUTSTANDING", JW$222),"--")</f>
        <v>--</v>
      </c>
      <c r="JX271" s="2132" t="str">
        <f>IF(JX$221,_xll.ciqfunctions.udf.CIQ($G271, "IQ_SHARESOUTSTANDING", JX$222),"--")</f>
        <v>--</v>
      </c>
      <c r="JY271" s="2132" t="str">
        <f>IF(JY$221,_xll.ciqfunctions.udf.CIQ($G271, "IQ_SHARESOUTSTANDING", JY$222),"--")</f>
        <v>--</v>
      </c>
      <c r="JZ271" s="2132" t="str">
        <f>IF(JZ$221,_xll.ciqfunctions.udf.CIQ($G271, "IQ_SHARESOUTSTANDING", JZ$222),"--")</f>
        <v>--</v>
      </c>
      <c r="KA271" s="2132" t="str">
        <f>IF(KA$221,_xll.ciqfunctions.udf.CIQ($G271, "IQ_SHARESOUTSTANDING", KA$222),"--")</f>
        <v>--</v>
      </c>
      <c r="KB271" s="2132" t="str">
        <f>IF(KB$221,_xll.ciqfunctions.udf.CIQ($G271, "IQ_SHARESOUTSTANDING", KB$222),"--")</f>
        <v>--</v>
      </c>
    </row>
    <row r="272" spans="1:288" s="89" customFormat="1" ht="13.9">
      <c r="A272" s="269" t="str">
        <f t="shared" si="49"/>
        <v>n</v>
      </c>
      <c r="B272" s="2060"/>
      <c r="D272" s="801"/>
      <c r="E272" s="1505">
        <v>18</v>
      </c>
      <c r="F272" s="21" t="str">
        <f>F$146</f>
        <v>--</v>
      </c>
      <c r="G272" s="1441">
        <f>G$146</f>
        <v>0</v>
      </c>
      <c r="H272" s="1441" t="str">
        <f>H$146</f>
        <v>--</v>
      </c>
      <c r="I272" s="314" t="s">
        <v>783</v>
      </c>
      <c r="J272" s="314"/>
      <c r="K272" s="2301" t="str">
        <f>IF(OR(K209=0,$G272=0),"--",IFERROR(_xll.ciqfunctions.udf.CIQ($G272,$I272,K117,Valuation_Date_GC,ReportType,DataMode,$H272,FXMode)*Scale+K241*Pension10,"--"))</f>
        <v>--</v>
      </c>
      <c r="L272" s="2301" t="str">
        <f>IF(OR(L209=0,$G272=0),"--",IFERROR(_xll.ciqfunctions.udf.CIQ($G272,$I272,L117,Valuation_Date_GC,ReportType,DataMode,$H272,FXMode)*Scale+L241*Pension10,"--"))</f>
        <v>--</v>
      </c>
      <c r="M272" s="2301" t="str">
        <f>IF(OR(M209=0,$G272=0),"--",IFERROR(_xll.ciqfunctions.udf.CIQ($G272,$I272,M117,Valuation_Date_GC,ReportType,DataMode,$H272,FXMode)*Scale+M241*Pension10,"--"))</f>
        <v>--</v>
      </c>
      <c r="N272" s="2301" t="str">
        <f>IF(OR(N209=0,$G272=0),"--",IFERROR(_xll.ciqfunctions.udf.CIQ($G272,$I272,N117,Valuation_Date_GC,ReportType,DataMode,$H272,FXMode)*Scale+N241*Pension10,"--"))</f>
        <v>--</v>
      </c>
      <c r="O272" s="1471" t="str">
        <f>IF(OR(O209=0,$G272=0),"--",IFERROR(_xll.ciqfunctions.udf.CIQ($G272,$I272,O117,Valuation_Date_GC,ReportType,DataMode,$H272,FXMode)*Scale+O241*Pension10,"--"))</f>
        <v>--</v>
      </c>
      <c r="P272" s="2301" t="str">
        <f>IF(OR(P209=0,$G272=0),"--",IFERROR(_xll.ciqfunctions.udf.CIQ($G272,$I272,P117,Valuation_Date_GC,ReportType,DataMode,$H272,FXMode)*Scale+P241*Pension10,"--"))</f>
        <v>--</v>
      </c>
      <c r="R272" s="1466"/>
      <c r="T272" s="1779" t="s">
        <v>784</v>
      </c>
      <c r="U272" s="2132">
        <f>IF(U$221,_xll.ciqfunctions.udf.CIQ($G272, "IQ_SHARESOUTSTANDING", U$222),"--")</f>
        <v>0</v>
      </c>
      <c r="V272" s="2132">
        <f>IF(V$221,_xll.ciqfunctions.udf.CIQ($G272, "IQ_SHARESOUTSTANDING", V$222),"--")</f>
        <v>0</v>
      </c>
      <c r="W272" s="2132">
        <f>IF(W$221,_xll.ciqfunctions.udf.CIQ($G272, "IQ_SHARESOUTSTANDING", W$222),"--")</f>
        <v>0</v>
      </c>
      <c r="X272" s="2132">
        <f>IF(X$221,_xll.ciqfunctions.udf.CIQ($G272, "IQ_SHARESOUTSTANDING", X$222),"--")</f>
        <v>0</v>
      </c>
      <c r="Y272" s="2132">
        <f>IF(Y$221,_xll.ciqfunctions.udf.CIQ($G272, "IQ_SHARESOUTSTANDING", Y$222),"--")</f>
        <v>0</v>
      </c>
      <c r="Z272" s="2132">
        <f>IF(Z$221,_xll.ciqfunctions.udf.CIQ($G272, "IQ_SHARESOUTSTANDING", Z$222),"--")</f>
        <v>0</v>
      </c>
      <c r="AA272" s="2132">
        <f>IF(AA$221,_xll.ciqfunctions.udf.CIQ($G272, "IQ_SHARESOUTSTANDING", AA$222),"--")</f>
        <v>0</v>
      </c>
      <c r="AB272" s="2132">
        <f>IF(AB$221,_xll.ciqfunctions.udf.CIQ($G272, "IQ_SHARESOUTSTANDING", AB$222),"--")</f>
        <v>0</v>
      </c>
      <c r="AC272" s="2132">
        <f>IF(AC$221,_xll.ciqfunctions.udf.CIQ($G272, "IQ_SHARESOUTSTANDING", AC$222),"--")</f>
        <v>0</v>
      </c>
      <c r="AD272" s="2132">
        <f>IF(AD$221,_xll.ciqfunctions.udf.CIQ($G272, "IQ_SHARESOUTSTANDING", AD$222),"--")</f>
        <v>0</v>
      </c>
      <c r="AE272" s="2132">
        <f>IF(AE$221,_xll.ciqfunctions.udf.CIQ($G272, "IQ_SHARESOUTSTANDING", AE$222),"--")</f>
        <v>0</v>
      </c>
      <c r="AF272" s="2132">
        <f>IF(AF$221,_xll.ciqfunctions.udf.CIQ($G272, "IQ_SHARESOUTSTANDING", AF$222),"--")</f>
        <v>0</v>
      </c>
      <c r="AG272" s="2132">
        <f>IF(AG$221,_xll.ciqfunctions.udf.CIQ($G272, "IQ_SHARESOUTSTANDING", AG$222),"--")</f>
        <v>0</v>
      </c>
      <c r="AH272" s="2132">
        <f>IF(AH$221,_xll.ciqfunctions.udf.CIQ($G272, "IQ_SHARESOUTSTANDING", AH$222),"--")</f>
        <v>0</v>
      </c>
      <c r="AI272" s="2132">
        <f>IF(AI$221,_xll.ciqfunctions.udf.CIQ($G272, "IQ_SHARESOUTSTANDING", AI$222),"--")</f>
        <v>0</v>
      </c>
      <c r="AJ272" s="2132">
        <f>IF(AJ$221,_xll.ciqfunctions.udf.CIQ($G272, "IQ_SHARESOUTSTANDING", AJ$222),"--")</f>
        <v>0</v>
      </c>
      <c r="AK272" s="2132">
        <f>IF(AK$221,_xll.ciqfunctions.udf.CIQ($G272, "IQ_SHARESOUTSTANDING", AK$222),"--")</f>
        <v>0</v>
      </c>
      <c r="AL272" s="2132">
        <f>IF(AL$221,_xll.ciqfunctions.udf.CIQ($G272, "IQ_SHARESOUTSTANDING", AL$222),"--")</f>
        <v>0</v>
      </c>
      <c r="AM272" s="2132">
        <f>IF(AM$221,_xll.ciqfunctions.udf.CIQ($G272, "IQ_SHARESOUTSTANDING", AM$222),"--")</f>
        <v>0</v>
      </c>
      <c r="AN272" s="2132">
        <f>IF(AN$221,_xll.ciqfunctions.udf.CIQ($G272, "IQ_SHARESOUTSTANDING", AN$222),"--")</f>
        <v>0</v>
      </c>
      <c r="AO272" s="2132">
        <f>IF(AO$221,_xll.ciqfunctions.udf.CIQ($G272, "IQ_SHARESOUTSTANDING", AO$222),"--")</f>
        <v>0</v>
      </c>
      <c r="AP272" s="2132">
        <f>IF(AP$221,_xll.ciqfunctions.udf.CIQ($G272, "IQ_SHARESOUTSTANDING", AP$222),"--")</f>
        <v>0</v>
      </c>
      <c r="AQ272" s="2132">
        <f>IF(AQ$221,_xll.ciqfunctions.udf.CIQ($G272, "IQ_SHARESOUTSTANDING", AQ$222),"--")</f>
        <v>0</v>
      </c>
      <c r="AR272" s="2132">
        <f>IF(AR$221,_xll.ciqfunctions.udf.CIQ($G272, "IQ_SHARESOUTSTANDING", AR$222),"--")</f>
        <v>0</v>
      </c>
      <c r="AS272" s="2132">
        <f>IF(AS$221,_xll.ciqfunctions.udf.CIQ($G272, "IQ_SHARESOUTSTANDING", AS$222),"--")</f>
        <v>0</v>
      </c>
      <c r="AT272" s="2132">
        <f>IF(AT$221,_xll.ciqfunctions.udf.CIQ($G272, "IQ_SHARESOUTSTANDING", AT$222),"--")</f>
        <v>0</v>
      </c>
      <c r="AU272" s="2132">
        <f>IF(AU$221,_xll.ciqfunctions.udf.CIQ($G272, "IQ_SHARESOUTSTANDING", AU$222),"--")</f>
        <v>0</v>
      </c>
      <c r="AV272" s="2132">
        <f>IF(AV$221,_xll.ciqfunctions.udf.CIQ($G272, "IQ_SHARESOUTSTANDING", AV$222),"--")</f>
        <v>0</v>
      </c>
      <c r="AW272" s="2132">
        <f>IF(AW$221,_xll.ciqfunctions.udf.CIQ($G272, "IQ_SHARESOUTSTANDING", AW$222),"--")</f>
        <v>0</v>
      </c>
      <c r="AX272" s="2132">
        <f>IF(AX$221,_xll.ciqfunctions.udf.CIQ($G272, "IQ_SHARESOUTSTANDING", AX$222),"--")</f>
        <v>0</v>
      </c>
      <c r="AY272" s="2132">
        <f>IF(AY$221,_xll.ciqfunctions.udf.CIQ($G272, "IQ_SHARESOUTSTANDING", AY$222),"--")</f>
        <v>0</v>
      </c>
      <c r="AZ272" s="2132">
        <f>IF(AZ$221,_xll.ciqfunctions.udf.CIQ($G272, "IQ_SHARESOUTSTANDING", AZ$222),"--")</f>
        <v>0</v>
      </c>
      <c r="BA272" s="2132">
        <f>IF(BA$221,_xll.ciqfunctions.udf.CIQ($G272, "IQ_SHARESOUTSTANDING", BA$222),"--")</f>
        <v>0</v>
      </c>
      <c r="BB272" s="2132">
        <f>IF(BB$221,_xll.ciqfunctions.udf.CIQ($G272, "IQ_SHARESOUTSTANDING", BB$222),"--")</f>
        <v>0</v>
      </c>
      <c r="BC272" s="2132">
        <f>IF(BC$221,_xll.ciqfunctions.udf.CIQ($G272, "IQ_SHARESOUTSTANDING", BC$222),"--")</f>
        <v>0</v>
      </c>
      <c r="BD272" s="2132">
        <f>IF(BD$221,_xll.ciqfunctions.udf.CIQ($G272, "IQ_SHARESOUTSTANDING", BD$222),"--")</f>
        <v>0</v>
      </c>
      <c r="BE272" s="2132">
        <f>IF(BE$221,_xll.ciqfunctions.udf.CIQ($G272, "IQ_SHARESOUTSTANDING", BE$222),"--")</f>
        <v>0</v>
      </c>
      <c r="BF272" s="2132">
        <f>IF(BF$221,_xll.ciqfunctions.udf.CIQ($G272, "IQ_SHARESOUTSTANDING", BF$222),"--")</f>
        <v>0</v>
      </c>
      <c r="BG272" s="2132">
        <f>IF(BG$221,_xll.ciqfunctions.udf.CIQ($G272, "IQ_SHARESOUTSTANDING", BG$222),"--")</f>
        <v>0</v>
      </c>
      <c r="BH272" s="2132">
        <f>IF(BH$221,_xll.ciqfunctions.udf.CIQ($G272, "IQ_SHARESOUTSTANDING", BH$222),"--")</f>
        <v>0</v>
      </c>
      <c r="BI272" s="2132">
        <f>IF(BI$221,_xll.ciqfunctions.udf.CIQ($G272, "IQ_SHARESOUTSTANDING", BI$222),"--")</f>
        <v>0</v>
      </c>
      <c r="BJ272" s="2132">
        <f>IF(BJ$221,_xll.ciqfunctions.udf.CIQ($G272, "IQ_SHARESOUTSTANDING", BJ$222),"--")</f>
        <v>0</v>
      </c>
      <c r="BK272" s="2132">
        <f>IF(BK$221,_xll.ciqfunctions.udf.CIQ($G272, "IQ_SHARESOUTSTANDING", BK$222),"--")</f>
        <v>0</v>
      </c>
      <c r="BL272" s="2132">
        <f>IF(BL$221,_xll.ciqfunctions.udf.CIQ($G272, "IQ_SHARESOUTSTANDING", BL$222),"--")</f>
        <v>0</v>
      </c>
      <c r="BM272" s="2132">
        <f>IF(BM$221,_xll.ciqfunctions.udf.CIQ($G272, "IQ_SHARESOUTSTANDING", BM$222),"--")</f>
        <v>0</v>
      </c>
      <c r="BN272" s="2132">
        <f>IF(BN$221,_xll.ciqfunctions.udf.CIQ($G272, "IQ_SHARESOUTSTANDING", BN$222),"--")</f>
        <v>0</v>
      </c>
      <c r="BO272" s="2132">
        <f>IF(BO$221,_xll.ciqfunctions.udf.CIQ($G272, "IQ_SHARESOUTSTANDING", BO$222),"--")</f>
        <v>0</v>
      </c>
      <c r="BP272" s="2132">
        <f>IF(BP$221,_xll.ciqfunctions.udf.CIQ($G272, "IQ_SHARESOUTSTANDING", BP$222),"--")</f>
        <v>0</v>
      </c>
      <c r="BQ272" s="2132">
        <f>IF(BQ$221,_xll.ciqfunctions.udf.CIQ($G272, "IQ_SHARESOUTSTANDING", BQ$222),"--")</f>
        <v>0</v>
      </c>
      <c r="BR272" s="2132">
        <f>IF(BR$221,_xll.ciqfunctions.udf.CIQ($G272, "IQ_SHARESOUTSTANDING", BR$222),"--")</f>
        <v>0</v>
      </c>
      <c r="BS272" s="2132">
        <f>IF(BS$221,_xll.ciqfunctions.udf.CIQ($G272, "IQ_SHARESOUTSTANDING", BS$222),"--")</f>
        <v>0</v>
      </c>
      <c r="BT272" s="2132">
        <f>IF(BT$221,_xll.ciqfunctions.udf.CIQ($G272, "IQ_SHARESOUTSTANDING", BT$222),"--")</f>
        <v>0</v>
      </c>
      <c r="BU272" s="2132">
        <f>IF(BU$221,_xll.ciqfunctions.udf.CIQ($G272, "IQ_SHARESOUTSTANDING", BU$222),"--")</f>
        <v>0</v>
      </c>
      <c r="BV272" s="2132">
        <f>IF(BV$221,_xll.ciqfunctions.udf.CIQ($G272, "IQ_SHARESOUTSTANDING", BV$222),"--")</f>
        <v>0</v>
      </c>
      <c r="BW272" s="2132">
        <f>IF(BW$221,_xll.ciqfunctions.udf.CIQ($G272, "IQ_SHARESOUTSTANDING", BW$222),"--")</f>
        <v>0</v>
      </c>
      <c r="BX272" s="2132">
        <f>IF(BX$221,_xll.ciqfunctions.udf.CIQ($G272, "IQ_SHARESOUTSTANDING", BX$222),"--")</f>
        <v>0</v>
      </c>
      <c r="BY272" s="2132">
        <f>IF(BY$221,_xll.ciqfunctions.udf.CIQ($G272, "IQ_SHARESOUTSTANDING", BY$222),"--")</f>
        <v>0</v>
      </c>
      <c r="BZ272" s="2132">
        <f>IF(BZ$221,_xll.ciqfunctions.udf.CIQ($G272, "IQ_SHARESOUTSTANDING", BZ$222),"--")</f>
        <v>0</v>
      </c>
      <c r="CA272" s="2132">
        <f>IF(CA$221,_xll.ciqfunctions.udf.CIQ($G272, "IQ_SHARESOUTSTANDING", CA$222),"--")</f>
        <v>0</v>
      </c>
      <c r="CB272" s="2132">
        <f>IF(CB$221,_xll.ciqfunctions.udf.CIQ($G272, "IQ_SHARESOUTSTANDING", CB$222),"--")</f>
        <v>0</v>
      </c>
      <c r="CC272" s="2132">
        <f>IF(CC$221,_xll.ciqfunctions.udf.CIQ($G272, "IQ_SHARESOUTSTANDING", CC$222),"--")</f>
        <v>0</v>
      </c>
      <c r="CD272" s="2132">
        <f>IF(CD$221,_xll.ciqfunctions.udf.CIQ($G272, "IQ_SHARESOUTSTANDING", CD$222),"--")</f>
        <v>0</v>
      </c>
      <c r="CE272" s="2132">
        <f>IF(CE$221,_xll.ciqfunctions.udf.CIQ($G272, "IQ_SHARESOUTSTANDING", CE$222),"--")</f>
        <v>0</v>
      </c>
      <c r="CF272" s="2132">
        <f>IF(CF$221,_xll.ciqfunctions.udf.CIQ($G272, "IQ_SHARESOUTSTANDING", CF$222),"--")</f>
        <v>0</v>
      </c>
      <c r="CG272" s="2132">
        <f>IF(CG$221,_xll.ciqfunctions.udf.CIQ($G272, "IQ_SHARESOUTSTANDING", CG$222),"--")</f>
        <v>0</v>
      </c>
      <c r="CH272" s="2132">
        <f>IF(CH$221,_xll.ciqfunctions.udf.CIQ($G272, "IQ_SHARESOUTSTANDING", CH$222),"--")</f>
        <v>0</v>
      </c>
      <c r="CI272" s="2132">
        <f>IF(CI$221,_xll.ciqfunctions.udf.CIQ($G272, "IQ_SHARESOUTSTANDING", CI$222),"--")</f>
        <v>0</v>
      </c>
      <c r="CJ272" s="2132">
        <f>IF(CJ$221,_xll.ciqfunctions.udf.CIQ($G272, "IQ_SHARESOUTSTANDING", CJ$222),"--")</f>
        <v>0</v>
      </c>
      <c r="CK272" s="2132">
        <f>IF(CK$221,_xll.ciqfunctions.udf.CIQ($G272, "IQ_SHARESOUTSTANDING", CK$222),"--")</f>
        <v>0</v>
      </c>
      <c r="CL272" s="2132">
        <f>IF(CL$221,_xll.ciqfunctions.udf.CIQ($G272, "IQ_SHARESOUTSTANDING", CL$222),"--")</f>
        <v>0</v>
      </c>
      <c r="CM272" s="2132">
        <f>IF(CM$221,_xll.ciqfunctions.udf.CIQ($G272, "IQ_SHARESOUTSTANDING", CM$222),"--")</f>
        <v>0</v>
      </c>
      <c r="CN272" s="2132">
        <f>IF(CN$221,_xll.ciqfunctions.udf.CIQ($G272, "IQ_SHARESOUTSTANDING", CN$222),"--")</f>
        <v>0</v>
      </c>
      <c r="CO272" s="2132">
        <f>IF(CO$221,_xll.ciqfunctions.udf.CIQ($G272, "IQ_SHARESOUTSTANDING", CO$222),"--")</f>
        <v>0</v>
      </c>
      <c r="CP272" s="2132">
        <f>IF(CP$221,_xll.ciqfunctions.udf.CIQ($G272, "IQ_SHARESOUTSTANDING", CP$222),"--")</f>
        <v>0</v>
      </c>
      <c r="CQ272" s="2132">
        <f>IF(CQ$221,_xll.ciqfunctions.udf.CIQ($G272, "IQ_SHARESOUTSTANDING", CQ$222),"--")</f>
        <v>0</v>
      </c>
      <c r="CR272" s="2132">
        <f>IF(CR$221,_xll.ciqfunctions.udf.CIQ($G272, "IQ_SHARESOUTSTANDING", CR$222),"--")</f>
        <v>0</v>
      </c>
      <c r="CS272" s="2132">
        <f>IF(CS$221,_xll.ciqfunctions.udf.CIQ($G272, "IQ_SHARESOUTSTANDING", CS$222),"--")</f>
        <v>0</v>
      </c>
      <c r="CT272" s="2132">
        <f>IF(CT$221,_xll.ciqfunctions.udf.CIQ($G272, "IQ_SHARESOUTSTANDING", CT$222),"--")</f>
        <v>0</v>
      </c>
      <c r="CU272" s="2132">
        <f>IF(CU$221,_xll.ciqfunctions.udf.CIQ($G272, "IQ_SHARESOUTSTANDING", CU$222),"--")</f>
        <v>0</v>
      </c>
      <c r="CV272" s="2132">
        <f>IF(CV$221,_xll.ciqfunctions.udf.CIQ($G272, "IQ_SHARESOUTSTANDING", CV$222),"--")</f>
        <v>0</v>
      </c>
      <c r="CW272" s="2132">
        <f>IF(CW$221,_xll.ciqfunctions.udf.CIQ($G272, "IQ_SHARESOUTSTANDING", CW$222),"--")</f>
        <v>0</v>
      </c>
      <c r="CX272" s="2132">
        <f>IF(CX$221,_xll.ciqfunctions.udf.CIQ($G272, "IQ_SHARESOUTSTANDING", CX$222),"--")</f>
        <v>0</v>
      </c>
      <c r="CY272" s="2132">
        <f>IF(CY$221,_xll.ciqfunctions.udf.CIQ($G272, "IQ_SHARESOUTSTANDING", CY$222),"--")</f>
        <v>0</v>
      </c>
      <c r="CZ272" s="2132">
        <f>IF(CZ$221,_xll.ciqfunctions.udf.CIQ($G272, "IQ_SHARESOUTSTANDING", CZ$222),"--")</f>
        <v>0</v>
      </c>
      <c r="DA272" s="2132">
        <f>IF(DA$221,_xll.ciqfunctions.udf.CIQ($G272, "IQ_SHARESOUTSTANDING", DA$222),"--")</f>
        <v>0</v>
      </c>
      <c r="DB272" s="2132">
        <f>IF(DB$221,_xll.ciqfunctions.udf.CIQ($G272, "IQ_SHARESOUTSTANDING", DB$222),"--")</f>
        <v>0</v>
      </c>
      <c r="DC272" s="2132">
        <f>IF(DC$221,_xll.ciqfunctions.udf.CIQ($G272, "IQ_SHARESOUTSTANDING", DC$222),"--")</f>
        <v>0</v>
      </c>
      <c r="DD272" s="2132">
        <f>IF(DD$221,_xll.ciqfunctions.udf.CIQ($G272, "IQ_SHARESOUTSTANDING", DD$222),"--")</f>
        <v>0</v>
      </c>
      <c r="DE272" s="2132">
        <f>IF(DE$221,_xll.ciqfunctions.udf.CIQ($G272, "IQ_SHARESOUTSTANDING", DE$222),"--")</f>
        <v>0</v>
      </c>
      <c r="DF272" s="2132">
        <f>IF(DF$221,_xll.ciqfunctions.udf.CIQ($G272, "IQ_SHARESOUTSTANDING", DF$222),"--")</f>
        <v>0</v>
      </c>
      <c r="DG272" s="2132">
        <f>IF(DG$221,_xll.ciqfunctions.udf.CIQ($G272, "IQ_SHARESOUTSTANDING", DG$222),"--")</f>
        <v>0</v>
      </c>
      <c r="DH272" s="2132">
        <f>IF(DH$221,_xll.ciqfunctions.udf.CIQ($G272, "IQ_SHARESOUTSTANDING", DH$222),"--")</f>
        <v>0</v>
      </c>
      <c r="DI272" s="2132">
        <f>IF(DI$221,_xll.ciqfunctions.udf.CIQ($G272, "IQ_SHARESOUTSTANDING", DI$222),"--")</f>
        <v>0</v>
      </c>
      <c r="DJ272" s="2132">
        <f>IF(DJ$221,_xll.ciqfunctions.udf.CIQ($G272, "IQ_SHARESOUTSTANDING", DJ$222),"--")</f>
        <v>0</v>
      </c>
      <c r="DK272" s="2132">
        <f>IF(DK$221,_xll.ciqfunctions.udf.CIQ($G272, "IQ_SHARESOUTSTANDING", DK$222),"--")</f>
        <v>0</v>
      </c>
      <c r="DL272" s="2132">
        <f>IF(DL$221,_xll.ciqfunctions.udf.CIQ($G272, "IQ_SHARESOUTSTANDING", DL$222),"--")</f>
        <v>0</v>
      </c>
      <c r="DM272" s="2132">
        <f>IF(DM$221,_xll.ciqfunctions.udf.CIQ($G272, "IQ_SHARESOUTSTANDING", DM$222),"--")</f>
        <v>0</v>
      </c>
      <c r="DN272" s="2132">
        <f>IF(DN$221,_xll.ciqfunctions.udf.CIQ($G272, "IQ_SHARESOUTSTANDING", DN$222),"--")</f>
        <v>0</v>
      </c>
      <c r="DO272" s="2132">
        <f>IF(DO$221,_xll.ciqfunctions.udf.CIQ($G272, "IQ_SHARESOUTSTANDING", DO$222),"--")</f>
        <v>0</v>
      </c>
      <c r="DP272" s="2132">
        <f>IF(DP$221,_xll.ciqfunctions.udf.CIQ($G272, "IQ_SHARESOUTSTANDING", DP$222),"--")</f>
        <v>0</v>
      </c>
      <c r="DQ272" s="2132">
        <f>IF(DQ$221,_xll.ciqfunctions.udf.CIQ($G272, "IQ_SHARESOUTSTANDING", DQ$222),"--")</f>
        <v>0</v>
      </c>
      <c r="DR272" s="2132">
        <f>IF(DR$221,_xll.ciqfunctions.udf.CIQ($G272, "IQ_SHARESOUTSTANDING", DR$222),"--")</f>
        <v>0</v>
      </c>
      <c r="DS272" s="2132">
        <f>IF(DS$221,_xll.ciqfunctions.udf.CIQ($G272, "IQ_SHARESOUTSTANDING", DS$222),"--")</f>
        <v>0</v>
      </c>
      <c r="DT272" s="2132">
        <f>IF(DT$221,_xll.ciqfunctions.udf.CIQ($G272, "IQ_SHARESOUTSTANDING", DT$222),"--")</f>
        <v>0</v>
      </c>
      <c r="DU272" s="2132">
        <f>IF(DU$221,_xll.ciqfunctions.udf.CIQ($G272, "IQ_SHARESOUTSTANDING", DU$222),"--")</f>
        <v>0</v>
      </c>
      <c r="DV272" s="2132">
        <f>IF(DV$221,_xll.ciqfunctions.udf.CIQ($G272, "IQ_SHARESOUTSTANDING", DV$222),"--")</f>
        <v>0</v>
      </c>
      <c r="DW272" s="2132">
        <f>IF(DW$221,_xll.ciqfunctions.udf.CIQ($G272, "IQ_SHARESOUTSTANDING", DW$222),"--")</f>
        <v>0</v>
      </c>
      <c r="DX272" s="2132">
        <f>IF(DX$221,_xll.ciqfunctions.udf.CIQ($G272, "IQ_SHARESOUTSTANDING", DX$222),"--")</f>
        <v>0</v>
      </c>
      <c r="DY272" s="2132">
        <f>IF(DY$221,_xll.ciqfunctions.udf.CIQ($G272, "IQ_SHARESOUTSTANDING", DY$222),"--")</f>
        <v>0</v>
      </c>
      <c r="DZ272" s="2132">
        <f>IF(DZ$221,_xll.ciqfunctions.udf.CIQ($G272, "IQ_SHARESOUTSTANDING", DZ$222),"--")</f>
        <v>0</v>
      </c>
      <c r="EA272" s="2132">
        <f>IF(EA$221,_xll.ciqfunctions.udf.CIQ($G272, "IQ_SHARESOUTSTANDING", EA$222),"--")</f>
        <v>0</v>
      </c>
      <c r="EB272" s="2132">
        <f>IF(EB$221,_xll.ciqfunctions.udf.CIQ($G272, "IQ_SHARESOUTSTANDING", EB$222),"--")</f>
        <v>0</v>
      </c>
      <c r="EC272" s="2132">
        <f>IF(EC$221,_xll.ciqfunctions.udf.CIQ($G272, "IQ_SHARESOUTSTANDING", EC$222),"--")</f>
        <v>0</v>
      </c>
      <c r="ED272" s="2132">
        <f>IF(ED$221,_xll.ciqfunctions.udf.CIQ($G272, "IQ_SHARESOUTSTANDING", ED$222),"--")</f>
        <v>0</v>
      </c>
      <c r="EE272" s="2132">
        <f>IF(EE$221,_xll.ciqfunctions.udf.CIQ($G272, "IQ_SHARESOUTSTANDING", EE$222),"--")</f>
        <v>0</v>
      </c>
      <c r="EF272" s="2132">
        <f>IF(EF$221,_xll.ciqfunctions.udf.CIQ($G272, "IQ_SHARESOUTSTANDING", EF$222),"--")</f>
        <v>0</v>
      </c>
      <c r="EG272" s="2132">
        <f>IF(EG$221,_xll.ciqfunctions.udf.CIQ($G272, "IQ_SHARESOUTSTANDING", EG$222),"--")</f>
        <v>0</v>
      </c>
      <c r="EH272" s="2132">
        <f>IF(EH$221,_xll.ciqfunctions.udf.CIQ($G272, "IQ_SHARESOUTSTANDING", EH$222),"--")</f>
        <v>0</v>
      </c>
      <c r="EI272" s="2132">
        <f>IF(EI$221,_xll.ciqfunctions.udf.CIQ($G272, "IQ_SHARESOUTSTANDING", EI$222),"--")</f>
        <v>0</v>
      </c>
      <c r="EJ272" s="2132">
        <f>IF(EJ$221,_xll.ciqfunctions.udf.CIQ($G272, "IQ_SHARESOUTSTANDING", EJ$222),"--")</f>
        <v>0</v>
      </c>
      <c r="EK272" s="2132">
        <f>IF(EK$221,_xll.ciqfunctions.udf.CIQ($G272, "IQ_SHARESOUTSTANDING", EK$222),"--")</f>
        <v>0</v>
      </c>
      <c r="EL272" s="2132">
        <f>IF(EL$221,_xll.ciqfunctions.udf.CIQ($G272, "IQ_SHARESOUTSTANDING", EL$222),"--")</f>
        <v>0</v>
      </c>
      <c r="EM272" s="2132">
        <f>IF(EM$221,_xll.ciqfunctions.udf.CIQ($G272, "IQ_SHARESOUTSTANDING", EM$222),"--")</f>
        <v>0</v>
      </c>
      <c r="EN272" s="2132">
        <f>IF(EN$221,_xll.ciqfunctions.udf.CIQ($G272, "IQ_SHARESOUTSTANDING", EN$222),"--")</f>
        <v>0</v>
      </c>
      <c r="EO272" s="2132">
        <f>IF(EO$221,_xll.ciqfunctions.udf.CIQ($G272, "IQ_SHARESOUTSTANDING", EO$222),"--")</f>
        <v>0</v>
      </c>
      <c r="EP272" s="2132">
        <f>IF(EP$221,_xll.ciqfunctions.udf.CIQ($G272, "IQ_SHARESOUTSTANDING", EP$222),"--")</f>
        <v>0</v>
      </c>
      <c r="EQ272" s="2132">
        <f>IF(EQ$221,_xll.ciqfunctions.udf.CIQ($G272, "IQ_SHARESOUTSTANDING", EQ$222),"--")</f>
        <v>0</v>
      </c>
      <c r="ER272" s="2132">
        <f>IF(ER$221,_xll.ciqfunctions.udf.CIQ($G272, "IQ_SHARESOUTSTANDING", ER$222),"--")</f>
        <v>0</v>
      </c>
      <c r="ES272" s="2132">
        <f>IF(ES$221,_xll.ciqfunctions.udf.CIQ($G272, "IQ_SHARESOUTSTANDING", ES$222),"--")</f>
        <v>0</v>
      </c>
      <c r="ET272" s="2132">
        <f>IF(ET$221,_xll.ciqfunctions.udf.CIQ($G272, "IQ_SHARESOUTSTANDING", ET$222),"--")</f>
        <v>0</v>
      </c>
      <c r="EU272" s="2132">
        <f>IF(EU$221,_xll.ciqfunctions.udf.CIQ($G272, "IQ_SHARESOUTSTANDING", EU$222),"--")</f>
        <v>0</v>
      </c>
      <c r="EV272" s="2132">
        <f>IF(EV$221,_xll.ciqfunctions.udf.CIQ($G272, "IQ_SHARESOUTSTANDING", EV$222),"--")</f>
        <v>0</v>
      </c>
      <c r="EW272" s="2132">
        <f>IF(EW$221,_xll.ciqfunctions.udf.CIQ($G272, "IQ_SHARESOUTSTANDING", EW$222),"--")</f>
        <v>0</v>
      </c>
      <c r="EX272" s="2132">
        <f>IF(EX$221,_xll.ciqfunctions.udf.CIQ($G272, "IQ_SHARESOUTSTANDING", EX$222),"--")</f>
        <v>0</v>
      </c>
      <c r="EY272" s="2132">
        <f>IF(EY$221,_xll.ciqfunctions.udf.CIQ($G272, "IQ_SHARESOUTSTANDING", EY$222),"--")</f>
        <v>0</v>
      </c>
      <c r="EZ272" s="2132">
        <f>IF(EZ$221,_xll.ciqfunctions.udf.CIQ($G272, "IQ_SHARESOUTSTANDING", EZ$222),"--")</f>
        <v>0</v>
      </c>
      <c r="FA272" s="2132">
        <f>IF(FA$221,_xll.ciqfunctions.udf.CIQ($G272, "IQ_SHARESOUTSTANDING", FA$222),"--")</f>
        <v>0</v>
      </c>
      <c r="FB272" s="2132">
        <f>IF(FB$221,_xll.ciqfunctions.udf.CIQ($G272, "IQ_SHARESOUTSTANDING", FB$222),"--")</f>
        <v>0</v>
      </c>
      <c r="FC272" s="2132">
        <f>IF(FC$221,_xll.ciqfunctions.udf.CIQ($G272, "IQ_SHARESOUTSTANDING", FC$222),"--")</f>
        <v>0</v>
      </c>
      <c r="FD272" s="2132">
        <f>IF(FD$221,_xll.ciqfunctions.udf.CIQ($G272, "IQ_SHARESOUTSTANDING", FD$222),"--")</f>
        <v>0</v>
      </c>
      <c r="FE272" s="2132">
        <f>IF(FE$221,_xll.ciqfunctions.udf.CIQ($G272, "IQ_SHARESOUTSTANDING", FE$222),"--")</f>
        <v>0</v>
      </c>
      <c r="FF272" s="2132">
        <f>IF(FF$221,_xll.ciqfunctions.udf.CIQ($G272, "IQ_SHARESOUTSTANDING", FF$222),"--")</f>
        <v>0</v>
      </c>
      <c r="FG272" s="2132">
        <f>IF(FG$221,_xll.ciqfunctions.udf.CIQ($G272, "IQ_SHARESOUTSTANDING", FG$222),"--")</f>
        <v>0</v>
      </c>
      <c r="FH272" s="2132">
        <f>IF(FH$221,_xll.ciqfunctions.udf.CIQ($G272, "IQ_SHARESOUTSTANDING", FH$222),"--")</f>
        <v>0</v>
      </c>
      <c r="FI272" s="2132">
        <f>IF(FI$221,_xll.ciqfunctions.udf.CIQ($G272, "IQ_SHARESOUTSTANDING", FI$222),"--")</f>
        <v>0</v>
      </c>
      <c r="FJ272" s="2132">
        <f>IF(FJ$221,_xll.ciqfunctions.udf.CIQ($G272, "IQ_SHARESOUTSTANDING", FJ$222),"--")</f>
        <v>0</v>
      </c>
      <c r="FK272" s="2132">
        <f>IF(FK$221,_xll.ciqfunctions.udf.CIQ($G272, "IQ_SHARESOUTSTANDING", FK$222),"--")</f>
        <v>0</v>
      </c>
      <c r="FL272" s="2132">
        <f>IF(FL$221,_xll.ciqfunctions.udf.CIQ($G272, "IQ_SHARESOUTSTANDING", FL$222),"--")</f>
        <v>0</v>
      </c>
      <c r="FM272" s="2132">
        <f>IF(FM$221,_xll.ciqfunctions.udf.CIQ($G272, "IQ_SHARESOUTSTANDING", FM$222),"--")</f>
        <v>0</v>
      </c>
      <c r="FN272" s="2132">
        <f>IF(FN$221,_xll.ciqfunctions.udf.CIQ($G272, "IQ_SHARESOUTSTANDING", FN$222),"--")</f>
        <v>0</v>
      </c>
      <c r="FO272" s="2132">
        <f>IF(FO$221,_xll.ciqfunctions.udf.CIQ($G272, "IQ_SHARESOUTSTANDING", FO$222),"--")</f>
        <v>0</v>
      </c>
      <c r="FP272" s="2132">
        <f>IF(FP$221,_xll.ciqfunctions.udf.CIQ($G272, "IQ_SHARESOUTSTANDING", FP$222),"--")</f>
        <v>0</v>
      </c>
      <c r="FQ272" s="2132">
        <f>IF(FQ$221,_xll.ciqfunctions.udf.CIQ($G272, "IQ_SHARESOUTSTANDING", FQ$222),"--")</f>
        <v>0</v>
      </c>
      <c r="FR272" s="2132">
        <f>IF(FR$221,_xll.ciqfunctions.udf.CIQ($G272, "IQ_SHARESOUTSTANDING", FR$222),"--")</f>
        <v>0</v>
      </c>
      <c r="FS272" s="2132">
        <f>IF(FS$221,_xll.ciqfunctions.udf.CIQ($G272, "IQ_SHARESOUTSTANDING", FS$222),"--")</f>
        <v>0</v>
      </c>
      <c r="FT272" s="2132">
        <f>IF(FT$221,_xll.ciqfunctions.udf.CIQ($G272, "IQ_SHARESOUTSTANDING", FT$222),"--")</f>
        <v>0</v>
      </c>
      <c r="FU272" s="2132">
        <f>IF(FU$221,_xll.ciqfunctions.udf.CIQ($G272, "IQ_SHARESOUTSTANDING", FU$222),"--")</f>
        <v>0</v>
      </c>
      <c r="FV272" s="2132">
        <f>IF(FV$221,_xll.ciqfunctions.udf.CIQ($G272, "IQ_SHARESOUTSTANDING", FV$222),"--")</f>
        <v>0</v>
      </c>
      <c r="FW272" s="2132">
        <f>IF(FW$221,_xll.ciqfunctions.udf.CIQ($G272, "IQ_SHARESOUTSTANDING", FW$222),"--")</f>
        <v>0</v>
      </c>
      <c r="FX272" s="2132">
        <f>IF(FX$221,_xll.ciqfunctions.udf.CIQ($G272, "IQ_SHARESOUTSTANDING", FX$222),"--")</f>
        <v>0</v>
      </c>
      <c r="FY272" s="2132">
        <f>IF(FY$221,_xll.ciqfunctions.udf.CIQ($G272, "IQ_SHARESOUTSTANDING", FY$222),"--")</f>
        <v>0</v>
      </c>
      <c r="FZ272" s="2132">
        <f>IF(FZ$221,_xll.ciqfunctions.udf.CIQ($G272, "IQ_SHARESOUTSTANDING", FZ$222),"--")</f>
        <v>0</v>
      </c>
      <c r="GA272" s="2132">
        <f>IF(GA$221,_xll.ciqfunctions.udf.CIQ($G272, "IQ_SHARESOUTSTANDING", GA$222),"--")</f>
        <v>0</v>
      </c>
      <c r="GB272" s="2132">
        <f>IF(GB$221,_xll.ciqfunctions.udf.CIQ($G272, "IQ_SHARESOUTSTANDING", GB$222),"--")</f>
        <v>0</v>
      </c>
      <c r="GC272" s="2132">
        <f>IF(GC$221,_xll.ciqfunctions.udf.CIQ($G272, "IQ_SHARESOUTSTANDING", GC$222),"--")</f>
        <v>0</v>
      </c>
      <c r="GD272" s="2132">
        <f>IF(GD$221,_xll.ciqfunctions.udf.CIQ($G272, "IQ_SHARESOUTSTANDING", GD$222),"--")</f>
        <v>0</v>
      </c>
      <c r="GE272" s="2132">
        <f>IF(GE$221,_xll.ciqfunctions.udf.CIQ($G272, "IQ_SHARESOUTSTANDING", GE$222),"--")</f>
        <v>0</v>
      </c>
      <c r="GF272" s="2132">
        <f>IF(GF$221,_xll.ciqfunctions.udf.CIQ($G272, "IQ_SHARESOUTSTANDING", GF$222),"--")</f>
        <v>0</v>
      </c>
      <c r="GG272" s="2132">
        <f>IF(GG$221,_xll.ciqfunctions.udf.CIQ($G272, "IQ_SHARESOUTSTANDING", GG$222),"--")</f>
        <v>0</v>
      </c>
      <c r="GH272" s="2132">
        <f>IF(GH$221,_xll.ciqfunctions.udf.CIQ($G272, "IQ_SHARESOUTSTANDING", GH$222),"--")</f>
        <v>0</v>
      </c>
      <c r="GI272" s="2132">
        <f>IF(GI$221,_xll.ciqfunctions.udf.CIQ($G272, "IQ_SHARESOUTSTANDING", GI$222),"--")</f>
        <v>0</v>
      </c>
      <c r="GJ272" s="2132">
        <f>IF(GJ$221,_xll.ciqfunctions.udf.CIQ($G272, "IQ_SHARESOUTSTANDING", GJ$222),"--")</f>
        <v>0</v>
      </c>
      <c r="GK272" s="2132">
        <f>IF(GK$221,_xll.ciqfunctions.udf.CIQ($G272, "IQ_SHARESOUTSTANDING", GK$222),"--")</f>
        <v>0</v>
      </c>
      <c r="GL272" s="2132">
        <f>IF(GL$221,_xll.ciqfunctions.udf.CIQ($G272, "IQ_SHARESOUTSTANDING", GL$222),"--")</f>
        <v>0</v>
      </c>
      <c r="GM272" s="2132">
        <f>IF(GM$221,_xll.ciqfunctions.udf.CIQ($G272, "IQ_SHARESOUTSTANDING", GM$222),"--")</f>
        <v>0</v>
      </c>
      <c r="GN272" s="2132">
        <f>IF(GN$221,_xll.ciqfunctions.udf.CIQ($G272, "IQ_SHARESOUTSTANDING", GN$222),"--")</f>
        <v>0</v>
      </c>
      <c r="GO272" s="2132">
        <f>IF(GO$221,_xll.ciqfunctions.udf.CIQ($G272, "IQ_SHARESOUTSTANDING", GO$222),"--")</f>
        <v>0</v>
      </c>
      <c r="GP272" s="2132">
        <f>IF(GP$221,_xll.ciqfunctions.udf.CIQ($G272, "IQ_SHARESOUTSTANDING", GP$222),"--")</f>
        <v>0</v>
      </c>
      <c r="GQ272" s="2132">
        <f>IF(GQ$221,_xll.ciqfunctions.udf.CIQ($G272, "IQ_SHARESOUTSTANDING", GQ$222),"--")</f>
        <v>0</v>
      </c>
      <c r="GR272" s="2132">
        <f>IF(GR$221,_xll.ciqfunctions.udf.CIQ($G272, "IQ_SHARESOUTSTANDING", GR$222),"--")</f>
        <v>0</v>
      </c>
      <c r="GS272" s="2132">
        <f>IF(GS$221,_xll.ciqfunctions.udf.CIQ($G272, "IQ_SHARESOUTSTANDING", GS$222),"--")</f>
        <v>0</v>
      </c>
      <c r="GT272" s="2132">
        <f>IF(GT$221,_xll.ciqfunctions.udf.CIQ($G272, "IQ_SHARESOUTSTANDING", GT$222),"--")</f>
        <v>0</v>
      </c>
      <c r="GU272" s="2132">
        <f>IF(GU$221,_xll.ciqfunctions.udf.CIQ($G272, "IQ_SHARESOUTSTANDING", GU$222),"--")</f>
        <v>0</v>
      </c>
      <c r="GV272" s="2132">
        <f>IF(GV$221,_xll.ciqfunctions.udf.CIQ($G272, "IQ_SHARESOUTSTANDING", GV$222),"--")</f>
        <v>0</v>
      </c>
      <c r="GW272" s="2132">
        <f>IF(GW$221,_xll.ciqfunctions.udf.CIQ($G272, "IQ_SHARESOUTSTANDING", GW$222),"--")</f>
        <v>0</v>
      </c>
      <c r="GX272" s="2132">
        <f>IF(GX$221,_xll.ciqfunctions.udf.CIQ($G272, "IQ_SHARESOUTSTANDING", GX$222),"--")</f>
        <v>0</v>
      </c>
      <c r="GY272" s="2132">
        <f>IF(GY$221,_xll.ciqfunctions.udf.CIQ($G272, "IQ_SHARESOUTSTANDING", GY$222),"--")</f>
        <v>0</v>
      </c>
      <c r="GZ272" s="2132">
        <f>IF(GZ$221,_xll.ciqfunctions.udf.CIQ($G272, "IQ_SHARESOUTSTANDING", GZ$222),"--")</f>
        <v>0</v>
      </c>
      <c r="HA272" s="2132">
        <f>IF(HA$221,_xll.ciqfunctions.udf.CIQ($G272, "IQ_SHARESOUTSTANDING", HA$222),"--")</f>
        <v>0</v>
      </c>
      <c r="HB272" s="2132">
        <f>IF(HB$221,_xll.ciqfunctions.udf.CIQ($G272, "IQ_SHARESOUTSTANDING", HB$222),"--")</f>
        <v>0</v>
      </c>
      <c r="HC272" s="2132">
        <f>IF(HC$221,_xll.ciqfunctions.udf.CIQ($G272, "IQ_SHARESOUTSTANDING", HC$222),"--")</f>
        <v>0</v>
      </c>
      <c r="HD272" s="2132">
        <f>IF(HD$221,_xll.ciqfunctions.udf.CIQ($G272, "IQ_SHARESOUTSTANDING", HD$222),"--")</f>
        <v>0</v>
      </c>
      <c r="HE272" s="2132">
        <f>IF(HE$221,_xll.ciqfunctions.udf.CIQ($G272, "IQ_SHARESOUTSTANDING", HE$222),"--")</f>
        <v>0</v>
      </c>
      <c r="HF272" s="2132">
        <f>IF(HF$221,_xll.ciqfunctions.udf.CIQ($G272, "IQ_SHARESOUTSTANDING", HF$222),"--")</f>
        <v>0</v>
      </c>
      <c r="HG272" s="2132">
        <f>IF(HG$221,_xll.ciqfunctions.udf.CIQ($G272, "IQ_SHARESOUTSTANDING", HG$222),"--")</f>
        <v>0</v>
      </c>
      <c r="HH272" s="2132">
        <f>IF(HH$221,_xll.ciqfunctions.udf.CIQ($G272, "IQ_SHARESOUTSTANDING", HH$222),"--")</f>
        <v>0</v>
      </c>
      <c r="HI272" s="2132">
        <f>IF(HI$221,_xll.ciqfunctions.udf.CIQ($G272, "IQ_SHARESOUTSTANDING", HI$222),"--")</f>
        <v>0</v>
      </c>
      <c r="HJ272" s="2132">
        <f>IF(HJ$221,_xll.ciqfunctions.udf.CIQ($G272, "IQ_SHARESOUTSTANDING", HJ$222),"--")</f>
        <v>0</v>
      </c>
      <c r="HK272" s="2132">
        <f>IF(HK$221,_xll.ciqfunctions.udf.CIQ($G272, "IQ_SHARESOUTSTANDING", HK$222),"--")</f>
        <v>0</v>
      </c>
      <c r="HL272" s="2132">
        <f>IF(HL$221,_xll.ciqfunctions.udf.CIQ($G272, "IQ_SHARESOUTSTANDING", HL$222),"--")</f>
        <v>0</v>
      </c>
      <c r="HM272" s="2132">
        <f>IF(HM$221,_xll.ciqfunctions.udf.CIQ($G272, "IQ_SHARESOUTSTANDING", HM$222),"--")</f>
        <v>0</v>
      </c>
      <c r="HN272" s="2132">
        <f>IF(HN$221,_xll.ciqfunctions.udf.CIQ($G272, "IQ_SHARESOUTSTANDING", HN$222),"--")</f>
        <v>0</v>
      </c>
      <c r="HO272" s="2132">
        <f>IF(HO$221,_xll.ciqfunctions.udf.CIQ($G272, "IQ_SHARESOUTSTANDING", HO$222),"--")</f>
        <v>0</v>
      </c>
      <c r="HP272" s="2132">
        <f>IF(HP$221,_xll.ciqfunctions.udf.CIQ($G272, "IQ_SHARESOUTSTANDING", HP$222),"--")</f>
        <v>0</v>
      </c>
      <c r="HQ272" s="2132">
        <f>IF(HQ$221,_xll.ciqfunctions.udf.CIQ($G272, "IQ_SHARESOUTSTANDING", HQ$222),"--")</f>
        <v>0</v>
      </c>
      <c r="HR272" s="2132">
        <f>IF(HR$221,_xll.ciqfunctions.udf.CIQ($G272, "IQ_SHARESOUTSTANDING", HR$222),"--")</f>
        <v>0</v>
      </c>
      <c r="HS272" s="2132">
        <f>IF(HS$221,_xll.ciqfunctions.udf.CIQ($G272, "IQ_SHARESOUTSTANDING", HS$222),"--")</f>
        <v>0</v>
      </c>
      <c r="HT272" s="2132">
        <f>IF(HT$221,_xll.ciqfunctions.udf.CIQ($G272, "IQ_SHARESOUTSTANDING", HT$222),"--")</f>
        <v>0</v>
      </c>
      <c r="HU272" s="2132">
        <f>IF(HU$221,_xll.ciqfunctions.udf.CIQ($G272, "IQ_SHARESOUTSTANDING", HU$222),"--")</f>
        <v>0</v>
      </c>
      <c r="HV272" s="2132">
        <f>IF(HV$221,_xll.ciqfunctions.udf.CIQ($G272, "IQ_SHARESOUTSTANDING", HV$222),"--")</f>
        <v>0</v>
      </c>
      <c r="HW272" s="2132">
        <f>IF(HW$221,_xll.ciqfunctions.udf.CIQ($G272, "IQ_SHARESOUTSTANDING", HW$222),"--")</f>
        <v>0</v>
      </c>
      <c r="HX272" s="2132">
        <f>IF(HX$221,_xll.ciqfunctions.udf.CIQ($G272, "IQ_SHARESOUTSTANDING", HX$222),"--")</f>
        <v>0</v>
      </c>
      <c r="HY272" s="2132">
        <f>IF(HY$221,_xll.ciqfunctions.udf.CIQ($G272, "IQ_SHARESOUTSTANDING", HY$222),"--")</f>
        <v>0</v>
      </c>
      <c r="HZ272" s="2132">
        <f>IF(HZ$221,_xll.ciqfunctions.udf.CIQ($G272, "IQ_SHARESOUTSTANDING", HZ$222),"--")</f>
        <v>0</v>
      </c>
      <c r="IA272" s="2132">
        <f>IF(IA$221,_xll.ciqfunctions.udf.CIQ($G272, "IQ_SHARESOUTSTANDING", IA$222),"--")</f>
        <v>0</v>
      </c>
      <c r="IB272" s="2132">
        <f>IF(IB$221,_xll.ciqfunctions.udf.CIQ($G272, "IQ_SHARESOUTSTANDING", IB$222),"--")</f>
        <v>0</v>
      </c>
      <c r="IC272" s="2132">
        <f>IF(IC$221,_xll.ciqfunctions.udf.CIQ($G272, "IQ_SHARESOUTSTANDING", IC$222),"--")</f>
        <v>0</v>
      </c>
      <c r="ID272" s="2132">
        <f>IF(ID$221,_xll.ciqfunctions.udf.CIQ($G272, "IQ_SHARESOUTSTANDING", ID$222),"--")</f>
        <v>0</v>
      </c>
      <c r="IE272" s="2132">
        <f>IF(IE$221,_xll.ciqfunctions.udf.CIQ($G272, "IQ_SHARESOUTSTANDING", IE$222),"--")</f>
        <v>0</v>
      </c>
      <c r="IF272" s="2132">
        <f>IF(IF$221,_xll.ciqfunctions.udf.CIQ($G272, "IQ_SHARESOUTSTANDING", IF$222),"--")</f>
        <v>0</v>
      </c>
      <c r="IG272" s="2132">
        <f>IF(IG$221,_xll.ciqfunctions.udf.CIQ($G272, "IQ_SHARESOUTSTANDING", IG$222),"--")</f>
        <v>0</v>
      </c>
      <c r="IH272" s="2132">
        <f>IF(IH$221,_xll.ciqfunctions.udf.CIQ($G272, "IQ_SHARESOUTSTANDING", IH$222),"--")</f>
        <v>0</v>
      </c>
      <c r="II272" s="2132">
        <f>IF(II$221,_xll.ciqfunctions.udf.CIQ($G272, "IQ_SHARESOUTSTANDING", II$222),"--")</f>
        <v>0</v>
      </c>
      <c r="IJ272" s="2132">
        <f>IF(IJ$221,_xll.ciqfunctions.udf.CIQ($G272, "IQ_SHARESOUTSTANDING", IJ$222),"--")</f>
        <v>0</v>
      </c>
      <c r="IK272" s="2132">
        <f>IF(IK$221,_xll.ciqfunctions.udf.CIQ($G272, "IQ_SHARESOUTSTANDING", IK$222),"--")</f>
        <v>0</v>
      </c>
      <c r="IL272" s="2132">
        <f>IF(IL$221,_xll.ciqfunctions.udf.CIQ($G272, "IQ_SHARESOUTSTANDING", IL$222),"--")</f>
        <v>0</v>
      </c>
      <c r="IM272" s="2132">
        <f>IF(IM$221,_xll.ciqfunctions.udf.CIQ($G272, "IQ_SHARESOUTSTANDING", IM$222),"--")</f>
        <v>0</v>
      </c>
      <c r="IN272" s="2132">
        <f>IF(IN$221,_xll.ciqfunctions.udf.CIQ($G272, "IQ_SHARESOUTSTANDING", IN$222),"--")</f>
        <v>0</v>
      </c>
      <c r="IO272" s="2132">
        <f>IF(IO$221,_xll.ciqfunctions.udf.CIQ($G272, "IQ_SHARESOUTSTANDING", IO$222),"--")</f>
        <v>0</v>
      </c>
      <c r="IP272" s="2132">
        <f>IF(IP$221,_xll.ciqfunctions.udf.CIQ($G272, "IQ_SHARESOUTSTANDING", IP$222),"--")</f>
        <v>0</v>
      </c>
      <c r="IQ272" s="2132">
        <f>IF(IQ$221,_xll.ciqfunctions.udf.CIQ($G272, "IQ_SHARESOUTSTANDING", IQ$222),"--")</f>
        <v>0</v>
      </c>
      <c r="IR272" s="2132">
        <f>IF(IR$221,_xll.ciqfunctions.udf.CIQ($G272, "IQ_SHARESOUTSTANDING", IR$222),"--")</f>
        <v>0</v>
      </c>
      <c r="IS272" s="2132">
        <f>IF(IS$221,_xll.ciqfunctions.udf.CIQ($G272, "IQ_SHARESOUTSTANDING", IS$222),"--")</f>
        <v>0</v>
      </c>
      <c r="IT272" s="2132">
        <f>IF(IT$221,_xll.ciqfunctions.udf.CIQ($G272, "IQ_SHARESOUTSTANDING", IT$222),"--")</f>
        <v>0</v>
      </c>
      <c r="IU272" s="2132">
        <f>IF(IU$221,_xll.ciqfunctions.udf.CIQ($G272, "IQ_SHARESOUTSTANDING", IU$222),"--")</f>
        <v>0</v>
      </c>
      <c r="IV272" s="2132">
        <f>IF(IV$221,_xll.ciqfunctions.udf.CIQ($G272, "IQ_SHARESOUTSTANDING", IV$222),"--")</f>
        <v>0</v>
      </c>
      <c r="IW272" s="2132">
        <f>IF(IW$221,_xll.ciqfunctions.udf.CIQ($G272, "IQ_SHARESOUTSTANDING", IW$222),"--")</f>
        <v>0</v>
      </c>
      <c r="IX272" s="2132">
        <f>IF(IX$221,_xll.ciqfunctions.udf.CIQ($G272, "IQ_SHARESOUTSTANDING", IX$222),"--")</f>
        <v>0</v>
      </c>
      <c r="IY272" s="2132">
        <f>IF(IY$221,_xll.ciqfunctions.udf.CIQ($G272, "IQ_SHARESOUTSTANDING", IY$222),"--")</f>
        <v>0</v>
      </c>
      <c r="IZ272" s="2132">
        <f>IF(IZ$221,_xll.ciqfunctions.udf.CIQ($G272, "IQ_SHARESOUTSTANDING", IZ$222),"--")</f>
        <v>0</v>
      </c>
      <c r="JA272" s="2132">
        <f>IF(JA$221,_xll.ciqfunctions.udf.CIQ($G272, "IQ_SHARESOUTSTANDING", JA$222),"--")</f>
        <v>0</v>
      </c>
      <c r="JB272" s="2132">
        <f>IF(JB$221,_xll.ciqfunctions.udf.CIQ($G272, "IQ_SHARESOUTSTANDING", JB$222),"--")</f>
        <v>0</v>
      </c>
      <c r="JC272" s="2132">
        <f>IF(JC$221,_xll.ciqfunctions.udf.CIQ($G272, "IQ_SHARESOUTSTANDING", JC$222),"--")</f>
        <v>0</v>
      </c>
      <c r="JD272" s="2132">
        <f>IF(JD$221,_xll.ciqfunctions.udf.CIQ($G272, "IQ_SHARESOUTSTANDING", JD$222),"--")</f>
        <v>0</v>
      </c>
      <c r="JE272" s="2132">
        <f>IF(JE$221,_xll.ciqfunctions.udf.CIQ($G272, "IQ_SHARESOUTSTANDING", JE$222),"--")</f>
        <v>0</v>
      </c>
      <c r="JF272" s="2132">
        <f>IF(JF$221,_xll.ciqfunctions.udf.CIQ($G272, "IQ_SHARESOUTSTANDING", JF$222),"--")</f>
        <v>0</v>
      </c>
      <c r="JG272" s="2132">
        <f>IF(JG$221,_xll.ciqfunctions.udf.CIQ($G272, "IQ_SHARESOUTSTANDING", JG$222),"--")</f>
        <v>0</v>
      </c>
      <c r="JH272" s="2132">
        <f>IF(JH$221,_xll.ciqfunctions.udf.CIQ($G272, "IQ_SHARESOUTSTANDING", JH$222),"--")</f>
        <v>0</v>
      </c>
      <c r="JI272" s="2132">
        <f>IF(JI$221,_xll.ciqfunctions.udf.CIQ($G272, "IQ_SHARESOUTSTANDING", JI$222),"--")</f>
        <v>0</v>
      </c>
      <c r="JJ272" s="2132">
        <f>IF(JJ$221,_xll.ciqfunctions.udf.CIQ($G272, "IQ_SHARESOUTSTANDING", JJ$222),"--")</f>
        <v>0</v>
      </c>
      <c r="JK272" s="2132">
        <f>IF(JK$221,_xll.ciqfunctions.udf.CIQ($G272, "IQ_SHARESOUTSTANDING", JK$222),"--")</f>
        <v>0</v>
      </c>
      <c r="JL272" s="2132">
        <f>IF(JL$221,_xll.ciqfunctions.udf.CIQ($G272, "IQ_SHARESOUTSTANDING", JL$222),"--")</f>
        <v>0</v>
      </c>
      <c r="JM272" s="2132">
        <f>IF(JM$221,_xll.ciqfunctions.udf.CIQ($G272, "IQ_SHARESOUTSTANDING", JM$222),"--")</f>
        <v>0</v>
      </c>
      <c r="JN272" s="2132">
        <f>IF(JN$221,_xll.ciqfunctions.udf.CIQ($G272, "IQ_SHARESOUTSTANDING", JN$222),"--")</f>
        <v>0</v>
      </c>
      <c r="JO272" s="2132">
        <f>IF(JO$221,_xll.ciqfunctions.udf.CIQ($G272, "IQ_SHARESOUTSTANDING", JO$222),"--")</f>
        <v>0</v>
      </c>
      <c r="JP272" s="2132">
        <f>IF(JP$221,_xll.ciqfunctions.udf.CIQ($G272, "IQ_SHARESOUTSTANDING", JP$222),"--")</f>
        <v>0</v>
      </c>
      <c r="JQ272" s="2132">
        <f>IF(JQ$221,_xll.ciqfunctions.udf.CIQ($G272, "IQ_SHARESOUTSTANDING", JQ$222),"--")</f>
        <v>0</v>
      </c>
      <c r="JR272" s="2132">
        <f>IF(JR$221,_xll.ciqfunctions.udf.CIQ($G272, "IQ_SHARESOUTSTANDING", JR$222),"--")</f>
        <v>0</v>
      </c>
      <c r="JS272" s="2132">
        <f>IF(JS$221,_xll.ciqfunctions.udf.CIQ($G272, "IQ_SHARESOUTSTANDING", JS$222),"--")</f>
        <v>0</v>
      </c>
      <c r="JT272" s="2132">
        <f>IF(JT$221,_xll.ciqfunctions.udf.CIQ($G272, "IQ_SHARESOUTSTANDING", JT$222),"--")</f>
        <v>0</v>
      </c>
      <c r="JU272" s="2132">
        <f>IF(JU$221,_xll.ciqfunctions.udf.CIQ($G272, "IQ_SHARESOUTSTANDING", JU$222),"--")</f>
        <v>0</v>
      </c>
      <c r="JV272" s="2132">
        <f>IF(JV$221,_xll.ciqfunctions.udf.CIQ($G272, "IQ_SHARESOUTSTANDING", JV$222),"--")</f>
        <v>0</v>
      </c>
      <c r="JW272" s="2132" t="str">
        <f>IF(JW$221,_xll.ciqfunctions.udf.CIQ($G272, "IQ_SHARESOUTSTANDING", JW$222),"--")</f>
        <v>--</v>
      </c>
      <c r="JX272" s="2132" t="str">
        <f>IF(JX$221,_xll.ciqfunctions.udf.CIQ($G272, "IQ_SHARESOUTSTANDING", JX$222),"--")</f>
        <v>--</v>
      </c>
      <c r="JY272" s="2132" t="str">
        <f>IF(JY$221,_xll.ciqfunctions.udf.CIQ($G272, "IQ_SHARESOUTSTANDING", JY$222),"--")</f>
        <v>--</v>
      </c>
      <c r="JZ272" s="2132" t="str">
        <f>IF(JZ$221,_xll.ciqfunctions.udf.CIQ($G272, "IQ_SHARESOUTSTANDING", JZ$222),"--")</f>
        <v>--</v>
      </c>
      <c r="KA272" s="2132" t="str">
        <f>IF(KA$221,_xll.ciqfunctions.udf.CIQ($G272, "IQ_SHARESOUTSTANDING", KA$222),"--")</f>
        <v>--</v>
      </c>
      <c r="KB272" s="2132" t="str">
        <f>IF(KB$221,_xll.ciqfunctions.udf.CIQ($G272, "IQ_SHARESOUTSTANDING", KB$222),"--")</f>
        <v>--</v>
      </c>
    </row>
    <row r="273" spans="1:288" s="89" customFormat="1" ht="13.9">
      <c r="A273" s="269" t="str">
        <f t="shared" si="49"/>
        <v>n</v>
      </c>
      <c r="B273" s="2060"/>
      <c r="D273" s="801"/>
      <c r="E273" s="1505">
        <v>19</v>
      </c>
      <c r="F273" s="21" t="str">
        <f>F$147</f>
        <v>--</v>
      </c>
      <c r="G273" s="1441">
        <f>G$147</f>
        <v>0</v>
      </c>
      <c r="H273" s="1441" t="str">
        <f>H$147</f>
        <v>--</v>
      </c>
      <c r="I273" s="314" t="s">
        <v>783</v>
      </c>
      <c r="J273" s="314"/>
      <c r="K273" s="2301" t="str">
        <f>IF(OR(K210=0,$G273=0),"--",IFERROR(_xll.ciqfunctions.udf.CIQ($G273,$I273,K118,Valuation_Date_GC,ReportType,DataMode,$H273,FXMode)*Scale+K242*Pension10,"--"))</f>
        <v>--</v>
      </c>
      <c r="L273" s="2301" t="str">
        <f>IF(OR(L210=0,$G273=0),"--",IFERROR(_xll.ciqfunctions.udf.CIQ($G273,$I273,L118,Valuation_Date_GC,ReportType,DataMode,$H273,FXMode)*Scale+L242*Pension10,"--"))</f>
        <v>--</v>
      </c>
      <c r="M273" s="2301" t="str">
        <f>IF(OR(M210=0,$G273=0),"--",IFERROR(_xll.ciqfunctions.udf.CIQ($G273,$I273,M118,Valuation_Date_GC,ReportType,DataMode,$H273,FXMode)*Scale+M242*Pension10,"--"))</f>
        <v>--</v>
      </c>
      <c r="N273" s="2301" t="str">
        <f>IF(OR(N210=0,$G273=0),"--",IFERROR(_xll.ciqfunctions.udf.CIQ($G273,$I273,N118,Valuation_Date_GC,ReportType,DataMode,$H273,FXMode)*Scale+N242*Pension10,"--"))</f>
        <v>--</v>
      </c>
      <c r="O273" s="1471" t="str">
        <f>IF(OR(O210=0,$G273=0),"--",IFERROR(_xll.ciqfunctions.udf.CIQ($G273,$I273,O118,Valuation_Date_GC,ReportType,DataMode,$H273,FXMode)*Scale+O242*Pension10,"--"))</f>
        <v>--</v>
      </c>
      <c r="P273" s="2301" t="str">
        <f>IF(OR(P210=0,$G273=0),"--",IFERROR(_xll.ciqfunctions.udf.CIQ($G273,$I273,P118,Valuation_Date_GC,ReportType,DataMode,$H273,FXMode)*Scale+P242*Pension10,"--"))</f>
        <v>--</v>
      </c>
      <c r="R273" s="1466"/>
      <c r="T273" s="1779" t="s">
        <v>784</v>
      </c>
      <c r="U273" s="2132">
        <f>IF(U$221,_xll.ciqfunctions.udf.CIQ($G273, "IQ_SHARESOUTSTANDING", U$222),"--")</f>
        <v>0</v>
      </c>
      <c r="V273" s="2132">
        <f>IF(V$221,_xll.ciqfunctions.udf.CIQ($G273, "IQ_SHARESOUTSTANDING", V$222),"--")</f>
        <v>0</v>
      </c>
      <c r="W273" s="2132">
        <f>IF(W$221,_xll.ciqfunctions.udf.CIQ($G273, "IQ_SHARESOUTSTANDING", W$222),"--")</f>
        <v>0</v>
      </c>
      <c r="X273" s="2132">
        <f>IF(X$221,_xll.ciqfunctions.udf.CIQ($G273, "IQ_SHARESOUTSTANDING", X$222),"--")</f>
        <v>0</v>
      </c>
      <c r="Y273" s="2132">
        <f>IF(Y$221,_xll.ciqfunctions.udf.CIQ($G273, "IQ_SHARESOUTSTANDING", Y$222),"--")</f>
        <v>0</v>
      </c>
      <c r="Z273" s="2132">
        <f>IF(Z$221,_xll.ciqfunctions.udf.CIQ($G273, "IQ_SHARESOUTSTANDING", Z$222),"--")</f>
        <v>0</v>
      </c>
      <c r="AA273" s="2132">
        <f>IF(AA$221,_xll.ciqfunctions.udf.CIQ($G273, "IQ_SHARESOUTSTANDING", AA$222),"--")</f>
        <v>0</v>
      </c>
      <c r="AB273" s="2132">
        <f>IF(AB$221,_xll.ciqfunctions.udf.CIQ($G273, "IQ_SHARESOUTSTANDING", AB$222),"--")</f>
        <v>0</v>
      </c>
      <c r="AC273" s="2132">
        <f>IF(AC$221,_xll.ciqfunctions.udf.CIQ($G273, "IQ_SHARESOUTSTANDING", AC$222),"--")</f>
        <v>0</v>
      </c>
      <c r="AD273" s="2132">
        <f>IF(AD$221,_xll.ciqfunctions.udf.CIQ($G273, "IQ_SHARESOUTSTANDING", AD$222),"--")</f>
        <v>0</v>
      </c>
      <c r="AE273" s="2132">
        <f>IF(AE$221,_xll.ciqfunctions.udf.CIQ($G273, "IQ_SHARESOUTSTANDING", AE$222),"--")</f>
        <v>0</v>
      </c>
      <c r="AF273" s="2132">
        <f>IF(AF$221,_xll.ciqfunctions.udf.CIQ($G273, "IQ_SHARESOUTSTANDING", AF$222),"--")</f>
        <v>0</v>
      </c>
      <c r="AG273" s="2132">
        <f>IF(AG$221,_xll.ciqfunctions.udf.CIQ($G273, "IQ_SHARESOUTSTANDING", AG$222),"--")</f>
        <v>0</v>
      </c>
      <c r="AH273" s="2132">
        <f>IF(AH$221,_xll.ciqfunctions.udf.CIQ($G273, "IQ_SHARESOUTSTANDING", AH$222),"--")</f>
        <v>0</v>
      </c>
      <c r="AI273" s="2132">
        <f>IF(AI$221,_xll.ciqfunctions.udf.CIQ($G273, "IQ_SHARESOUTSTANDING", AI$222),"--")</f>
        <v>0</v>
      </c>
      <c r="AJ273" s="2132">
        <f>IF(AJ$221,_xll.ciqfunctions.udf.CIQ($G273, "IQ_SHARESOUTSTANDING", AJ$222),"--")</f>
        <v>0</v>
      </c>
      <c r="AK273" s="2132">
        <f>IF(AK$221,_xll.ciqfunctions.udf.CIQ($G273, "IQ_SHARESOUTSTANDING", AK$222),"--")</f>
        <v>0</v>
      </c>
      <c r="AL273" s="2132">
        <f>IF(AL$221,_xll.ciqfunctions.udf.CIQ($G273, "IQ_SHARESOUTSTANDING", AL$222),"--")</f>
        <v>0</v>
      </c>
      <c r="AM273" s="2132">
        <f>IF(AM$221,_xll.ciqfunctions.udf.CIQ($G273, "IQ_SHARESOUTSTANDING", AM$222),"--")</f>
        <v>0</v>
      </c>
      <c r="AN273" s="2132">
        <f>IF(AN$221,_xll.ciqfunctions.udf.CIQ($G273, "IQ_SHARESOUTSTANDING", AN$222),"--")</f>
        <v>0</v>
      </c>
      <c r="AO273" s="2132">
        <f>IF(AO$221,_xll.ciqfunctions.udf.CIQ($G273, "IQ_SHARESOUTSTANDING", AO$222),"--")</f>
        <v>0</v>
      </c>
      <c r="AP273" s="2132">
        <f>IF(AP$221,_xll.ciqfunctions.udf.CIQ($G273, "IQ_SHARESOUTSTANDING", AP$222),"--")</f>
        <v>0</v>
      </c>
      <c r="AQ273" s="2132">
        <f>IF(AQ$221,_xll.ciqfunctions.udf.CIQ($G273, "IQ_SHARESOUTSTANDING", AQ$222),"--")</f>
        <v>0</v>
      </c>
      <c r="AR273" s="2132">
        <f>IF(AR$221,_xll.ciqfunctions.udf.CIQ($G273, "IQ_SHARESOUTSTANDING", AR$222),"--")</f>
        <v>0</v>
      </c>
      <c r="AS273" s="2132">
        <f>IF(AS$221,_xll.ciqfunctions.udf.CIQ($G273, "IQ_SHARESOUTSTANDING", AS$222),"--")</f>
        <v>0</v>
      </c>
      <c r="AT273" s="2132">
        <f>IF(AT$221,_xll.ciqfunctions.udf.CIQ($G273, "IQ_SHARESOUTSTANDING", AT$222),"--")</f>
        <v>0</v>
      </c>
      <c r="AU273" s="2132">
        <f>IF(AU$221,_xll.ciqfunctions.udf.CIQ($G273, "IQ_SHARESOUTSTANDING", AU$222),"--")</f>
        <v>0</v>
      </c>
      <c r="AV273" s="2132">
        <f>IF(AV$221,_xll.ciqfunctions.udf.CIQ($G273, "IQ_SHARESOUTSTANDING", AV$222),"--")</f>
        <v>0</v>
      </c>
      <c r="AW273" s="2132">
        <f>IF(AW$221,_xll.ciqfunctions.udf.CIQ($G273, "IQ_SHARESOUTSTANDING", AW$222),"--")</f>
        <v>0</v>
      </c>
      <c r="AX273" s="2132">
        <f>IF(AX$221,_xll.ciqfunctions.udf.CIQ($G273, "IQ_SHARESOUTSTANDING", AX$222),"--")</f>
        <v>0</v>
      </c>
      <c r="AY273" s="2132">
        <f>IF(AY$221,_xll.ciqfunctions.udf.CIQ($G273, "IQ_SHARESOUTSTANDING", AY$222),"--")</f>
        <v>0</v>
      </c>
      <c r="AZ273" s="2132">
        <f>IF(AZ$221,_xll.ciqfunctions.udf.CIQ($G273, "IQ_SHARESOUTSTANDING", AZ$222),"--")</f>
        <v>0</v>
      </c>
      <c r="BA273" s="2132">
        <f>IF(BA$221,_xll.ciqfunctions.udf.CIQ($G273, "IQ_SHARESOUTSTANDING", BA$222),"--")</f>
        <v>0</v>
      </c>
      <c r="BB273" s="2132">
        <f>IF(BB$221,_xll.ciqfunctions.udf.CIQ($G273, "IQ_SHARESOUTSTANDING", BB$222),"--")</f>
        <v>0</v>
      </c>
      <c r="BC273" s="2132">
        <f>IF(BC$221,_xll.ciqfunctions.udf.CIQ($G273, "IQ_SHARESOUTSTANDING", BC$222),"--")</f>
        <v>0</v>
      </c>
      <c r="BD273" s="2132">
        <f>IF(BD$221,_xll.ciqfunctions.udf.CIQ($G273, "IQ_SHARESOUTSTANDING", BD$222),"--")</f>
        <v>0</v>
      </c>
      <c r="BE273" s="2132">
        <f>IF(BE$221,_xll.ciqfunctions.udf.CIQ($G273, "IQ_SHARESOUTSTANDING", BE$222),"--")</f>
        <v>0</v>
      </c>
      <c r="BF273" s="2132">
        <f>IF(BF$221,_xll.ciqfunctions.udf.CIQ($G273, "IQ_SHARESOUTSTANDING", BF$222),"--")</f>
        <v>0</v>
      </c>
      <c r="BG273" s="2132">
        <f>IF(BG$221,_xll.ciqfunctions.udf.CIQ($G273, "IQ_SHARESOUTSTANDING", BG$222),"--")</f>
        <v>0</v>
      </c>
      <c r="BH273" s="2132">
        <f>IF(BH$221,_xll.ciqfunctions.udf.CIQ($G273, "IQ_SHARESOUTSTANDING", BH$222),"--")</f>
        <v>0</v>
      </c>
      <c r="BI273" s="2132">
        <f>IF(BI$221,_xll.ciqfunctions.udf.CIQ($G273, "IQ_SHARESOUTSTANDING", BI$222),"--")</f>
        <v>0</v>
      </c>
      <c r="BJ273" s="2132">
        <f>IF(BJ$221,_xll.ciqfunctions.udf.CIQ($G273, "IQ_SHARESOUTSTANDING", BJ$222),"--")</f>
        <v>0</v>
      </c>
      <c r="BK273" s="2132">
        <f>IF(BK$221,_xll.ciqfunctions.udf.CIQ($G273, "IQ_SHARESOUTSTANDING", BK$222),"--")</f>
        <v>0</v>
      </c>
      <c r="BL273" s="2132">
        <f>IF(BL$221,_xll.ciqfunctions.udf.CIQ($G273, "IQ_SHARESOUTSTANDING", BL$222),"--")</f>
        <v>0</v>
      </c>
      <c r="BM273" s="2132">
        <f>IF(BM$221,_xll.ciqfunctions.udf.CIQ($G273, "IQ_SHARESOUTSTANDING", BM$222),"--")</f>
        <v>0</v>
      </c>
      <c r="BN273" s="2132">
        <f>IF(BN$221,_xll.ciqfunctions.udf.CIQ($G273, "IQ_SHARESOUTSTANDING", BN$222),"--")</f>
        <v>0</v>
      </c>
      <c r="BO273" s="2132">
        <f>IF(BO$221,_xll.ciqfunctions.udf.CIQ($G273, "IQ_SHARESOUTSTANDING", BO$222),"--")</f>
        <v>0</v>
      </c>
      <c r="BP273" s="2132">
        <f>IF(BP$221,_xll.ciqfunctions.udf.CIQ($G273, "IQ_SHARESOUTSTANDING", BP$222),"--")</f>
        <v>0</v>
      </c>
      <c r="BQ273" s="2132">
        <f>IF(BQ$221,_xll.ciqfunctions.udf.CIQ($G273, "IQ_SHARESOUTSTANDING", BQ$222),"--")</f>
        <v>0</v>
      </c>
      <c r="BR273" s="2132">
        <f>IF(BR$221,_xll.ciqfunctions.udf.CIQ($G273, "IQ_SHARESOUTSTANDING", BR$222),"--")</f>
        <v>0</v>
      </c>
      <c r="BS273" s="2132">
        <f>IF(BS$221,_xll.ciqfunctions.udf.CIQ($G273, "IQ_SHARESOUTSTANDING", BS$222),"--")</f>
        <v>0</v>
      </c>
      <c r="BT273" s="2132">
        <f>IF(BT$221,_xll.ciqfunctions.udf.CIQ($G273, "IQ_SHARESOUTSTANDING", BT$222),"--")</f>
        <v>0</v>
      </c>
      <c r="BU273" s="2132">
        <f>IF(BU$221,_xll.ciqfunctions.udf.CIQ($G273, "IQ_SHARESOUTSTANDING", BU$222),"--")</f>
        <v>0</v>
      </c>
      <c r="BV273" s="2132">
        <f>IF(BV$221,_xll.ciqfunctions.udf.CIQ($G273, "IQ_SHARESOUTSTANDING", BV$222),"--")</f>
        <v>0</v>
      </c>
      <c r="BW273" s="2132">
        <f>IF(BW$221,_xll.ciqfunctions.udf.CIQ($G273, "IQ_SHARESOUTSTANDING", BW$222),"--")</f>
        <v>0</v>
      </c>
      <c r="BX273" s="2132">
        <f>IF(BX$221,_xll.ciqfunctions.udf.CIQ($G273, "IQ_SHARESOUTSTANDING", BX$222),"--")</f>
        <v>0</v>
      </c>
      <c r="BY273" s="2132">
        <f>IF(BY$221,_xll.ciqfunctions.udf.CIQ($G273, "IQ_SHARESOUTSTANDING", BY$222),"--")</f>
        <v>0</v>
      </c>
      <c r="BZ273" s="2132">
        <f>IF(BZ$221,_xll.ciqfunctions.udf.CIQ($G273, "IQ_SHARESOUTSTANDING", BZ$222),"--")</f>
        <v>0</v>
      </c>
      <c r="CA273" s="2132">
        <f>IF(CA$221,_xll.ciqfunctions.udf.CIQ($G273, "IQ_SHARESOUTSTANDING", CA$222),"--")</f>
        <v>0</v>
      </c>
      <c r="CB273" s="2132">
        <f>IF(CB$221,_xll.ciqfunctions.udf.CIQ($G273, "IQ_SHARESOUTSTANDING", CB$222),"--")</f>
        <v>0</v>
      </c>
      <c r="CC273" s="2132">
        <f>IF(CC$221,_xll.ciqfunctions.udf.CIQ($G273, "IQ_SHARESOUTSTANDING", CC$222),"--")</f>
        <v>0</v>
      </c>
      <c r="CD273" s="2132">
        <f>IF(CD$221,_xll.ciqfunctions.udf.CIQ($G273, "IQ_SHARESOUTSTANDING", CD$222),"--")</f>
        <v>0</v>
      </c>
      <c r="CE273" s="2132">
        <f>IF(CE$221,_xll.ciqfunctions.udf.CIQ($G273, "IQ_SHARESOUTSTANDING", CE$222),"--")</f>
        <v>0</v>
      </c>
      <c r="CF273" s="2132">
        <f>IF(CF$221,_xll.ciqfunctions.udf.CIQ($G273, "IQ_SHARESOUTSTANDING", CF$222),"--")</f>
        <v>0</v>
      </c>
      <c r="CG273" s="2132">
        <f>IF(CG$221,_xll.ciqfunctions.udf.CIQ($G273, "IQ_SHARESOUTSTANDING", CG$222),"--")</f>
        <v>0</v>
      </c>
      <c r="CH273" s="2132">
        <f>IF(CH$221,_xll.ciqfunctions.udf.CIQ($G273, "IQ_SHARESOUTSTANDING", CH$222),"--")</f>
        <v>0</v>
      </c>
      <c r="CI273" s="2132">
        <f>IF(CI$221,_xll.ciqfunctions.udf.CIQ($G273, "IQ_SHARESOUTSTANDING", CI$222),"--")</f>
        <v>0</v>
      </c>
      <c r="CJ273" s="2132">
        <f>IF(CJ$221,_xll.ciqfunctions.udf.CIQ($G273, "IQ_SHARESOUTSTANDING", CJ$222),"--")</f>
        <v>0</v>
      </c>
      <c r="CK273" s="2132">
        <f>IF(CK$221,_xll.ciqfunctions.udf.CIQ($G273, "IQ_SHARESOUTSTANDING", CK$222),"--")</f>
        <v>0</v>
      </c>
      <c r="CL273" s="2132">
        <f>IF(CL$221,_xll.ciqfunctions.udf.CIQ($G273, "IQ_SHARESOUTSTANDING", CL$222),"--")</f>
        <v>0</v>
      </c>
      <c r="CM273" s="2132">
        <f>IF(CM$221,_xll.ciqfunctions.udf.CIQ($G273, "IQ_SHARESOUTSTANDING", CM$222),"--")</f>
        <v>0</v>
      </c>
      <c r="CN273" s="2132">
        <f>IF(CN$221,_xll.ciqfunctions.udf.CIQ($G273, "IQ_SHARESOUTSTANDING", CN$222),"--")</f>
        <v>0</v>
      </c>
      <c r="CO273" s="2132">
        <f>IF(CO$221,_xll.ciqfunctions.udf.CIQ($G273, "IQ_SHARESOUTSTANDING", CO$222),"--")</f>
        <v>0</v>
      </c>
      <c r="CP273" s="2132">
        <f>IF(CP$221,_xll.ciqfunctions.udf.CIQ($G273, "IQ_SHARESOUTSTANDING", CP$222),"--")</f>
        <v>0</v>
      </c>
      <c r="CQ273" s="2132">
        <f>IF(CQ$221,_xll.ciqfunctions.udf.CIQ($G273, "IQ_SHARESOUTSTANDING", CQ$222),"--")</f>
        <v>0</v>
      </c>
      <c r="CR273" s="2132">
        <f>IF(CR$221,_xll.ciqfunctions.udf.CIQ($G273, "IQ_SHARESOUTSTANDING", CR$222),"--")</f>
        <v>0</v>
      </c>
      <c r="CS273" s="2132">
        <f>IF(CS$221,_xll.ciqfunctions.udf.CIQ($G273, "IQ_SHARESOUTSTANDING", CS$222),"--")</f>
        <v>0</v>
      </c>
      <c r="CT273" s="2132">
        <f>IF(CT$221,_xll.ciqfunctions.udf.CIQ($G273, "IQ_SHARESOUTSTANDING", CT$222),"--")</f>
        <v>0</v>
      </c>
      <c r="CU273" s="2132">
        <f>IF(CU$221,_xll.ciqfunctions.udf.CIQ($G273, "IQ_SHARESOUTSTANDING", CU$222),"--")</f>
        <v>0</v>
      </c>
      <c r="CV273" s="2132">
        <f>IF(CV$221,_xll.ciqfunctions.udf.CIQ($G273, "IQ_SHARESOUTSTANDING", CV$222),"--")</f>
        <v>0</v>
      </c>
      <c r="CW273" s="2132">
        <f>IF(CW$221,_xll.ciqfunctions.udf.CIQ($G273, "IQ_SHARESOUTSTANDING", CW$222),"--")</f>
        <v>0</v>
      </c>
      <c r="CX273" s="2132">
        <f>IF(CX$221,_xll.ciqfunctions.udf.CIQ($G273, "IQ_SHARESOUTSTANDING", CX$222),"--")</f>
        <v>0</v>
      </c>
      <c r="CY273" s="2132">
        <f>IF(CY$221,_xll.ciqfunctions.udf.CIQ($G273, "IQ_SHARESOUTSTANDING", CY$222),"--")</f>
        <v>0</v>
      </c>
      <c r="CZ273" s="2132">
        <f>IF(CZ$221,_xll.ciqfunctions.udf.CIQ($G273, "IQ_SHARESOUTSTANDING", CZ$222),"--")</f>
        <v>0</v>
      </c>
      <c r="DA273" s="2132">
        <f>IF(DA$221,_xll.ciqfunctions.udf.CIQ($G273, "IQ_SHARESOUTSTANDING", DA$222),"--")</f>
        <v>0</v>
      </c>
      <c r="DB273" s="2132">
        <f>IF(DB$221,_xll.ciqfunctions.udf.CIQ($G273, "IQ_SHARESOUTSTANDING", DB$222),"--")</f>
        <v>0</v>
      </c>
      <c r="DC273" s="2132">
        <f>IF(DC$221,_xll.ciqfunctions.udf.CIQ($G273, "IQ_SHARESOUTSTANDING", DC$222),"--")</f>
        <v>0</v>
      </c>
      <c r="DD273" s="2132">
        <f>IF(DD$221,_xll.ciqfunctions.udf.CIQ($G273, "IQ_SHARESOUTSTANDING", DD$222),"--")</f>
        <v>0</v>
      </c>
      <c r="DE273" s="2132">
        <f>IF(DE$221,_xll.ciqfunctions.udf.CIQ($G273, "IQ_SHARESOUTSTANDING", DE$222),"--")</f>
        <v>0</v>
      </c>
      <c r="DF273" s="2132">
        <f>IF(DF$221,_xll.ciqfunctions.udf.CIQ($G273, "IQ_SHARESOUTSTANDING", DF$222),"--")</f>
        <v>0</v>
      </c>
      <c r="DG273" s="2132">
        <f>IF(DG$221,_xll.ciqfunctions.udf.CIQ($G273, "IQ_SHARESOUTSTANDING", DG$222),"--")</f>
        <v>0</v>
      </c>
      <c r="DH273" s="2132">
        <f>IF(DH$221,_xll.ciqfunctions.udf.CIQ($G273, "IQ_SHARESOUTSTANDING", DH$222),"--")</f>
        <v>0</v>
      </c>
      <c r="DI273" s="2132">
        <f>IF(DI$221,_xll.ciqfunctions.udf.CIQ($G273, "IQ_SHARESOUTSTANDING", DI$222),"--")</f>
        <v>0</v>
      </c>
      <c r="DJ273" s="2132">
        <f>IF(DJ$221,_xll.ciqfunctions.udf.CIQ($G273, "IQ_SHARESOUTSTANDING", DJ$222),"--")</f>
        <v>0</v>
      </c>
      <c r="DK273" s="2132">
        <f>IF(DK$221,_xll.ciqfunctions.udf.CIQ($G273, "IQ_SHARESOUTSTANDING", DK$222),"--")</f>
        <v>0</v>
      </c>
      <c r="DL273" s="2132">
        <f>IF(DL$221,_xll.ciqfunctions.udf.CIQ($G273, "IQ_SHARESOUTSTANDING", DL$222),"--")</f>
        <v>0</v>
      </c>
      <c r="DM273" s="2132">
        <f>IF(DM$221,_xll.ciqfunctions.udf.CIQ($G273, "IQ_SHARESOUTSTANDING", DM$222),"--")</f>
        <v>0</v>
      </c>
      <c r="DN273" s="2132">
        <f>IF(DN$221,_xll.ciqfunctions.udf.CIQ($G273, "IQ_SHARESOUTSTANDING", DN$222),"--")</f>
        <v>0</v>
      </c>
      <c r="DO273" s="2132">
        <f>IF(DO$221,_xll.ciqfunctions.udf.CIQ($G273, "IQ_SHARESOUTSTANDING", DO$222),"--")</f>
        <v>0</v>
      </c>
      <c r="DP273" s="2132">
        <f>IF(DP$221,_xll.ciqfunctions.udf.CIQ($G273, "IQ_SHARESOUTSTANDING", DP$222),"--")</f>
        <v>0</v>
      </c>
      <c r="DQ273" s="2132">
        <f>IF(DQ$221,_xll.ciqfunctions.udf.CIQ($G273, "IQ_SHARESOUTSTANDING", DQ$222),"--")</f>
        <v>0</v>
      </c>
      <c r="DR273" s="2132">
        <f>IF(DR$221,_xll.ciqfunctions.udf.CIQ($G273, "IQ_SHARESOUTSTANDING", DR$222),"--")</f>
        <v>0</v>
      </c>
      <c r="DS273" s="2132">
        <f>IF(DS$221,_xll.ciqfunctions.udf.CIQ($G273, "IQ_SHARESOUTSTANDING", DS$222),"--")</f>
        <v>0</v>
      </c>
      <c r="DT273" s="2132">
        <f>IF(DT$221,_xll.ciqfunctions.udf.CIQ($G273, "IQ_SHARESOUTSTANDING", DT$222),"--")</f>
        <v>0</v>
      </c>
      <c r="DU273" s="2132">
        <f>IF(DU$221,_xll.ciqfunctions.udf.CIQ($G273, "IQ_SHARESOUTSTANDING", DU$222),"--")</f>
        <v>0</v>
      </c>
      <c r="DV273" s="2132">
        <f>IF(DV$221,_xll.ciqfunctions.udf.CIQ($G273, "IQ_SHARESOUTSTANDING", DV$222),"--")</f>
        <v>0</v>
      </c>
      <c r="DW273" s="2132">
        <f>IF(DW$221,_xll.ciqfunctions.udf.CIQ($G273, "IQ_SHARESOUTSTANDING", DW$222),"--")</f>
        <v>0</v>
      </c>
      <c r="DX273" s="2132">
        <f>IF(DX$221,_xll.ciqfunctions.udf.CIQ($G273, "IQ_SHARESOUTSTANDING", DX$222),"--")</f>
        <v>0</v>
      </c>
      <c r="DY273" s="2132">
        <f>IF(DY$221,_xll.ciqfunctions.udf.CIQ($G273, "IQ_SHARESOUTSTANDING", DY$222),"--")</f>
        <v>0</v>
      </c>
      <c r="DZ273" s="2132">
        <f>IF(DZ$221,_xll.ciqfunctions.udf.CIQ($G273, "IQ_SHARESOUTSTANDING", DZ$222),"--")</f>
        <v>0</v>
      </c>
      <c r="EA273" s="2132">
        <f>IF(EA$221,_xll.ciqfunctions.udf.CIQ($G273, "IQ_SHARESOUTSTANDING", EA$222),"--")</f>
        <v>0</v>
      </c>
      <c r="EB273" s="2132">
        <f>IF(EB$221,_xll.ciqfunctions.udf.CIQ($G273, "IQ_SHARESOUTSTANDING", EB$222),"--")</f>
        <v>0</v>
      </c>
      <c r="EC273" s="2132">
        <f>IF(EC$221,_xll.ciqfunctions.udf.CIQ($G273, "IQ_SHARESOUTSTANDING", EC$222),"--")</f>
        <v>0</v>
      </c>
      <c r="ED273" s="2132">
        <f>IF(ED$221,_xll.ciqfunctions.udf.CIQ($G273, "IQ_SHARESOUTSTANDING", ED$222),"--")</f>
        <v>0</v>
      </c>
      <c r="EE273" s="2132">
        <f>IF(EE$221,_xll.ciqfunctions.udf.CIQ($G273, "IQ_SHARESOUTSTANDING", EE$222),"--")</f>
        <v>0</v>
      </c>
      <c r="EF273" s="2132">
        <f>IF(EF$221,_xll.ciqfunctions.udf.CIQ($G273, "IQ_SHARESOUTSTANDING", EF$222),"--")</f>
        <v>0</v>
      </c>
      <c r="EG273" s="2132">
        <f>IF(EG$221,_xll.ciqfunctions.udf.CIQ($G273, "IQ_SHARESOUTSTANDING", EG$222),"--")</f>
        <v>0</v>
      </c>
      <c r="EH273" s="2132">
        <f>IF(EH$221,_xll.ciqfunctions.udf.CIQ($G273, "IQ_SHARESOUTSTANDING", EH$222),"--")</f>
        <v>0</v>
      </c>
      <c r="EI273" s="2132">
        <f>IF(EI$221,_xll.ciqfunctions.udf.CIQ($G273, "IQ_SHARESOUTSTANDING", EI$222),"--")</f>
        <v>0</v>
      </c>
      <c r="EJ273" s="2132">
        <f>IF(EJ$221,_xll.ciqfunctions.udf.CIQ($G273, "IQ_SHARESOUTSTANDING", EJ$222),"--")</f>
        <v>0</v>
      </c>
      <c r="EK273" s="2132">
        <f>IF(EK$221,_xll.ciqfunctions.udf.CIQ($G273, "IQ_SHARESOUTSTANDING", EK$222),"--")</f>
        <v>0</v>
      </c>
      <c r="EL273" s="2132">
        <f>IF(EL$221,_xll.ciqfunctions.udf.CIQ($G273, "IQ_SHARESOUTSTANDING", EL$222),"--")</f>
        <v>0</v>
      </c>
      <c r="EM273" s="2132">
        <f>IF(EM$221,_xll.ciqfunctions.udf.CIQ($G273, "IQ_SHARESOUTSTANDING", EM$222),"--")</f>
        <v>0</v>
      </c>
      <c r="EN273" s="2132">
        <f>IF(EN$221,_xll.ciqfunctions.udf.CIQ($G273, "IQ_SHARESOUTSTANDING", EN$222),"--")</f>
        <v>0</v>
      </c>
      <c r="EO273" s="2132">
        <f>IF(EO$221,_xll.ciqfunctions.udf.CIQ($G273, "IQ_SHARESOUTSTANDING", EO$222),"--")</f>
        <v>0</v>
      </c>
      <c r="EP273" s="2132">
        <f>IF(EP$221,_xll.ciqfunctions.udf.CIQ($G273, "IQ_SHARESOUTSTANDING", EP$222),"--")</f>
        <v>0</v>
      </c>
      <c r="EQ273" s="2132">
        <f>IF(EQ$221,_xll.ciqfunctions.udf.CIQ($G273, "IQ_SHARESOUTSTANDING", EQ$222),"--")</f>
        <v>0</v>
      </c>
      <c r="ER273" s="2132">
        <f>IF(ER$221,_xll.ciqfunctions.udf.CIQ($G273, "IQ_SHARESOUTSTANDING", ER$222),"--")</f>
        <v>0</v>
      </c>
      <c r="ES273" s="2132">
        <f>IF(ES$221,_xll.ciqfunctions.udf.CIQ($G273, "IQ_SHARESOUTSTANDING", ES$222),"--")</f>
        <v>0</v>
      </c>
      <c r="ET273" s="2132">
        <f>IF(ET$221,_xll.ciqfunctions.udf.CIQ($G273, "IQ_SHARESOUTSTANDING", ET$222),"--")</f>
        <v>0</v>
      </c>
      <c r="EU273" s="2132">
        <f>IF(EU$221,_xll.ciqfunctions.udf.CIQ($G273, "IQ_SHARESOUTSTANDING", EU$222),"--")</f>
        <v>0</v>
      </c>
      <c r="EV273" s="2132">
        <f>IF(EV$221,_xll.ciqfunctions.udf.CIQ($G273, "IQ_SHARESOUTSTANDING", EV$222),"--")</f>
        <v>0</v>
      </c>
      <c r="EW273" s="2132">
        <f>IF(EW$221,_xll.ciqfunctions.udf.CIQ($G273, "IQ_SHARESOUTSTANDING", EW$222),"--")</f>
        <v>0</v>
      </c>
      <c r="EX273" s="2132">
        <f>IF(EX$221,_xll.ciqfunctions.udf.CIQ($G273, "IQ_SHARESOUTSTANDING", EX$222),"--")</f>
        <v>0</v>
      </c>
      <c r="EY273" s="2132">
        <f>IF(EY$221,_xll.ciqfunctions.udf.CIQ($G273, "IQ_SHARESOUTSTANDING", EY$222),"--")</f>
        <v>0</v>
      </c>
      <c r="EZ273" s="2132">
        <f>IF(EZ$221,_xll.ciqfunctions.udf.CIQ($G273, "IQ_SHARESOUTSTANDING", EZ$222),"--")</f>
        <v>0</v>
      </c>
      <c r="FA273" s="2132">
        <f>IF(FA$221,_xll.ciqfunctions.udf.CIQ($G273, "IQ_SHARESOUTSTANDING", FA$222),"--")</f>
        <v>0</v>
      </c>
      <c r="FB273" s="2132">
        <f>IF(FB$221,_xll.ciqfunctions.udf.CIQ($G273, "IQ_SHARESOUTSTANDING", FB$222),"--")</f>
        <v>0</v>
      </c>
      <c r="FC273" s="2132">
        <f>IF(FC$221,_xll.ciqfunctions.udf.CIQ($G273, "IQ_SHARESOUTSTANDING", FC$222),"--")</f>
        <v>0</v>
      </c>
      <c r="FD273" s="2132">
        <f>IF(FD$221,_xll.ciqfunctions.udf.CIQ($G273, "IQ_SHARESOUTSTANDING", FD$222),"--")</f>
        <v>0</v>
      </c>
      <c r="FE273" s="2132">
        <f>IF(FE$221,_xll.ciqfunctions.udf.CIQ($G273, "IQ_SHARESOUTSTANDING", FE$222),"--")</f>
        <v>0</v>
      </c>
      <c r="FF273" s="2132">
        <f>IF(FF$221,_xll.ciqfunctions.udf.CIQ($G273, "IQ_SHARESOUTSTANDING", FF$222),"--")</f>
        <v>0</v>
      </c>
      <c r="FG273" s="2132">
        <f>IF(FG$221,_xll.ciqfunctions.udf.CIQ($G273, "IQ_SHARESOUTSTANDING", FG$222),"--")</f>
        <v>0</v>
      </c>
      <c r="FH273" s="2132">
        <f>IF(FH$221,_xll.ciqfunctions.udf.CIQ($G273, "IQ_SHARESOUTSTANDING", FH$222),"--")</f>
        <v>0</v>
      </c>
      <c r="FI273" s="2132">
        <f>IF(FI$221,_xll.ciqfunctions.udf.CIQ($G273, "IQ_SHARESOUTSTANDING", FI$222),"--")</f>
        <v>0</v>
      </c>
      <c r="FJ273" s="2132">
        <f>IF(FJ$221,_xll.ciqfunctions.udf.CIQ($G273, "IQ_SHARESOUTSTANDING", FJ$222),"--")</f>
        <v>0</v>
      </c>
      <c r="FK273" s="2132">
        <f>IF(FK$221,_xll.ciqfunctions.udf.CIQ($G273, "IQ_SHARESOUTSTANDING", FK$222),"--")</f>
        <v>0</v>
      </c>
      <c r="FL273" s="2132">
        <f>IF(FL$221,_xll.ciqfunctions.udf.CIQ($G273, "IQ_SHARESOUTSTANDING", FL$222),"--")</f>
        <v>0</v>
      </c>
      <c r="FM273" s="2132">
        <f>IF(FM$221,_xll.ciqfunctions.udf.CIQ($G273, "IQ_SHARESOUTSTANDING", FM$222),"--")</f>
        <v>0</v>
      </c>
      <c r="FN273" s="2132">
        <f>IF(FN$221,_xll.ciqfunctions.udf.CIQ($G273, "IQ_SHARESOUTSTANDING", FN$222),"--")</f>
        <v>0</v>
      </c>
      <c r="FO273" s="2132">
        <f>IF(FO$221,_xll.ciqfunctions.udf.CIQ($G273, "IQ_SHARESOUTSTANDING", FO$222),"--")</f>
        <v>0</v>
      </c>
      <c r="FP273" s="2132">
        <f>IF(FP$221,_xll.ciqfunctions.udf.CIQ($G273, "IQ_SHARESOUTSTANDING", FP$222),"--")</f>
        <v>0</v>
      </c>
      <c r="FQ273" s="2132">
        <f>IF(FQ$221,_xll.ciqfunctions.udf.CIQ($G273, "IQ_SHARESOUTSTANDING", FQ$222),"--")</f>
        <v>0</v>
      </c>
      <c r="FR273" s="2132">
        <f>IF(FR$221,_xll.ciqfunctions.udf.CIQ($G273, "IQ_SHARESOUTSTANDING", FR$222),"--")</f>
        <v>0</v>
      </c>
      <c r="FS273" s="2132">
        <f>IF(FS$221,_xll.ciqfunctions.udf.CIQ($G273, "IQ_SHARESOUTSTANDING", FS$222),"--")</f>
        <v>0</v>
      </c>
      <c r="FT273" s="2132">
        <f>IF(FT$221,_xll.ciqfunctions.udf.CIQ($G273, "IQ_SHARESOUTSTANDING", FT$222),"--")</f>
        <v>0</v>
      </c>
      <c r="FU273" s="2132">
        <f>IF(FU$221,_xll.ciqfunctions.udf.CIQ($G273, "IQ_SHARESOUTSTANDING", FU$222),"--")</f>
        <v>0</v>
      </c>
      <c r="FV273" s="2132">
        <f>IF(FV$221,_xll.ciqfunctions.udf.CIQ($G273, "IQ_SHARESOUTSTANDING", FV$222),"--")</f>
        <v>0</v>
      </c>
      <c r="FW273" s="2132">
        <f>IF(FW$221,_xll.ciqfunctions.udf.CIQ($G273, "IQ_SHARESOUTSTANDING", FW$222),"--")</f>
        <v>0</v>
      </c>
      <c r="FX273" s="2132">
        <f>IF(FX$221,_xll.ciqfunctions.udf.CIQ($G273, "IQ_SHARESOUTSTANDING", FX$222),"--")</f>
        <v>0</v>
      </c>
      <c r="FY273" s="2132">
        <f>IF(FY$221,_xll.ciqfunctions.udf.CIQ($G273, "IQ_SHARESOUTSTANDING", FY$222),"--")</f>
        <v>0</v>
      </c>
      <c r="FZ273" s="2132">
        <f>IF(FZ$221,_xll.ciqfunctions.udf.CIQ($G273, "IQ_SHARESOUTSTANDING", FZ$222),"--")</f>
        <v>0</v>
      </c>
      <c r="GA273" s="2132">
        <f>IF(GA$221,_xll.ciqfunctions.udf.CIQ($G273, "IQ_SHARESOUTSTANDING", GA$222),"--")</f>
        <v>0</v>
      </c>
      <c r="GB273" s="2132">
        <f>IF(GB$221,_xll.ciqfunctions.udf.CIQ($G273, "IQ_SHARESOUTSTANDING", GB$222),"--")</f>
        <v>0</v>
      </c>
      <c r="GC273" s="2132">
        <f>IF(GC$221,_xll.ciqfunctions.udf.CIQ($G273, "IQ_SHARESOUTSTANDING", GC$222),"--")</f>
        <v>0</v>
      </c>
      <c r="GD273" s="2132">
        <f>IF(GD$221,_xll.ciqfunctions.udf.CIQ($G273, "IQ_SHARESOUTSTANDING", GD$222),"--")</f>
        <v>0</v>
      </c>
      <c r="GE273" s="2132">
        <f>IF(GE$221,_xll.ciqfunctions.udf.CIQ($G273, "IQ_SHARESOUTSTANDING", GE$222),"--")</f>
        <v>0</v>
      </c>
      <c r="GF273" s="2132">
        <f>IF(GF$221,_xll.ciqfunctions.udf.CIQ($G273, "IQ_SHARESOUTSTANDING", GF$222),"--")</f>
        <v>0</v>
      </c>
      <c r="GG273" s="2132">
        <f>IF(GG$221,_xll.ciqfunctions.udf.CIQ($G273, "IQ_SHARESOUTSTANDING", GG$222),"--")</f>
        <v>0</v>
      </c>
      <c r="GH273" s="2132">
        <f>IF(GH$221,_xll.ciqfunctions.udf.CIQ($G273, "IQ_SHARESOUTSTANDING", GH$222),"--")</f>
        <v>0</v>
      </c>
      <c r="GI273" s="2132">
        <f>IF(GI$221,_xll.ciqfunctions.udf.CIQ($G273, "IQ_SHARESOUTSTANDING", GI$222),"--")</f>
        <v>0</v>
      </c>
      <c r="GJ273" s="2132">
        <f>IF(GJ$221,_xll.ciqfunctions.udf.CIQ($G273, "IQ_SHARESOUTSTANDING", GJ$222),"--")</f>
        <v>0</v>
      </c>
      <c r="GK273" s="2132">
        <f>IF(GK$221,_xll.ciqfunctions.udf.CIQ($G273, "IQ_SHARESOUTSTANDING", GK$222),"--")</f>
        <v>0</v>
      </c>
      <c r="GL273" s="2132">
        <f>IF(GL$221,_xll.ciqfunctions.udf.CIQ($G273, "IQ_SHARESOUTSTANDING", GL$222),"--")</f>
        <v>0</v>
      </c>
      <c r="GM273" s="2132">
        <f>IF(GM$221,_xll.ciqfunctions.udf.CIQ($G273, "IQ_SHARESOUTSTANDING", GM$222),"--")</f>
        <v>0</v>
      </c>
      <c r="GN273" s="2132">
        <f>IF(GN$221,_xll.ciqfunctions.udf.CIQ($G273, "IQ_SHARESOUTSTANDING", GN$222),"--")</f>
        <v>0</v>
      </c>
      <c r="GO273" s="2132">
        <f>IF(GO$221,_xll.ciqfunctions.udf.CIQ($G273, "IQ_SHARESOUTSTANDING", GO$222),"--")</f>
        <v>0</v>
      </c>
      <c r="GP273" s="2132">
        <f>IF(GP$221,_xll.ciqfunctions.udf.CIQ($G273, "IQ_SHARESOUTSTANDING", GP$222),"--")</f>
        <v>0</v>
      </c>
      <c r="GQ273" s="2132">
        <f>IF(GQ$221,_xll.ciqfunctions.udf.CIQ($G273, "IQ_SHARESOUTSTANDING", GQ$222),"--")</f>
        <v>0</v>
      </c>
      <c r="GR273" s="2132">
        <f>IF(GR$221,_xll.ciqfunctions.udf.CIQ($G273, "IQ_SHARESOUTSTANDING", GR$222),"--")</f>
        <v>0</v>
      </c>
      <c r="GS273" s="2132">
        <f>IF(GS$221,_xll.ciqfunctions.udf.CIQ($G273, "IQ_SHARESOUTSTANDING", GS$222),"--")</f>
        <v>0</v>
      </c>
      <c r="GT273" s="2132">
        <f>IF(GT$221,_xll.ciqfunctions.udf.CIQ($G273, "IQ_SHARESOUTSTANDING", GT$222),"--")</f>
        <v>0</v>
      </c>
      <c r="GU273" s="2132">
        <f>IF(GU$221,_xll.ciqfunctions.udf.CIQ($G273, "IQ_SHARESOUTSTANDING", GU$222),"--")</f>
        <v>0</v>
      </c>
      <c r="GV273" s="2132">
        <f>IF(GV$221,_xll.ciqfunctions.udf.CIQ($G273, "IQ_SHARESOUTSTANDING", GV$222),"--")</f>
        <v>0</v>
      </c>
      <c r="GW273" s="2132">
        <f>IF(GW$221,_xll.ciqfunctions.udf.CIQ($G273, "IQ_SHARESOUTSTANDING", GW$222),"--")</f>
        <v>0</v>
      </c>
      <c r="GX273" s="2132">
        <f>IF(GX$221,_xll.ciqfunctions.udf.CIQ($G273, "IQ_SHARESOUTSTANDING", GX$222),"--")</f>
        <v>0</v>
      </c>
      <c r="GY273" s="2132">
        <f>IF(GY$221,_xll.ciqfunctions.udf.CIQ($G273, "IQ_SHARESOUTSTANDING", GY$222),"--")</f>
        <v>0</v>
      </c>
      <c r="GZ273" s="2132">
        <f>IF(GZ$221,_xll.ciqfunctions.udf.CIQ($G273, "IQ_SHARESOUTSTANDING", GZ$222),"--")</f>
        <v>0</v>
      </c>
      <c r="HA273" s="2132">
        <f>IF(HA$221,_xll.ciqfunctions.udf.CIQ($G273, "IQ_SHARESOUTSTANDING", HA$222),"--")</f>
        <v>0</v>
      </c>
      <c r="HB273" s="2132">
        <f>IF(HB$221,_xll.ciqfunctions.udf.CIQ($G273, "IQ_SHARESOUTSTANDING", HB$222),"--")</f>
        <v>0</v>
      </c>
      <c r="HC273" s="2132">
        <f>IF(HC$221,_xll.ciqfunctions.udf.CIQ($G273, "IQ_SHARESOUTSTANDING", HC$222),"--")</f>
        <v>0</v>
      </c>
      <c r="HD273" s="2132">
        <f>IF(HD$221,_xll.ciqfunctions.udf.CIQ($G273, "IQ_SHARESOUTSTANDING", HD$222),"--")</f>
        <v>0</v>
      </c>
      <c r="HE273" s="2132">
        <f>IF(HE$221,_xll.ciqfunctions.udf.CIQ($G273, "IQ_SHARESOUTSTANDING", HE$222),"--")</f>
        <v>0</v>
      </c>
      <c r="HF273" s="2132">
        <f>IF(HF$221,_xll.ciqfunctions.udf.CIQ($G273, "IQ_SHARESOUTSTANDING", HF$222),"--")</f>
        <v>0</v>
      </c>
      <c r="HG273" s="2132">
        <f>IF(HG$221,_xll.ciqfunctions.udf.CIQ($G273, "IQ_SHARESOUTSTANDING", HG$222),"--")</f>
        <v>0</v>
      </c>
      <c r="HH273" s="2132">
        <f>IF(HH$221,_xll.ciqfunctions.udf.CIQ($G273, "IQ_SHARESOUTSTANDING", HH$222),"--")</f>
        <v>0</v>
      </c>
      <c r="HI273" s="2132">
        <f>IF(HI$221,_xll.ciqfunctions.udf.CIQ($G273, "IQ_SHARESOUTSTANDING", HI$222),"--")</f>
        <v>0</v>
      </c>
      <c r="HJ273" s="2132">
        <f>IF(HJ$221,_xll.ciqfunctions.udf.CIQ($G273, "IQ_SHARESOUTSTANDING", HJ$222),"--")</f>
        <v>0</v>
      </c>
      <c r="HK273" s="2132">
        <f>IF(HK$221,_xll.ciqfunctions.udf.CIQ($G273, "IQ_SHARESOUTSTANDING", HK$222),"--")</f>
        <v>0</v>
      </c>
      <c r="HL273" s="2132">
        <f>IF(HL$221,_xll.ciqfunctions.udf.CIQ($G273, "IQ_SHARESOUTSTANDING", HL$222),"--")</f>
        <v>0</v>
      </c>
      <c r="HM273" s="2132">
        <f>IF(HM$221,_xll.ciqfunctions.udf.CIQ($G273, "IQ_SHARESOUTSTANDING", HM$222),"--")</f>
        <v>0</v>
      </c>
      <c r="HN273" s="2132">
        <f>IF(HN$221,_xll.ciqfunctions.udf.CIQ($G273, "IQ_SHARESOUTSTANDING", HN$222),"--")</f>
        <v>0</v>
      </c>
      <c r="HO273" s="2132">
        <f>IF(HO$221,_xll.ciqfunctions.udf.CIQ($G273, "IQ_SHARESOUTSTANDING", HO$222),"--")</f>
        <v>0</v>
      </c>
      <c r="HP273" s="2132">
        <f>IF(HP$221,_xll.ciqfunctions.udf.CIQ($G273, "IQ_SHARESOUTSTANDING", HP$222),"--")</f>
        <v>0</v>
      </c>
      <c r="HQ273" s="2132">
        <f>IF(HQ$221,_xll.ciqfunctions.udf.CIQ($G273, "IQ_SHARESOUTSTANDING", HQ$222),"--")</f>
        <v>0</v>
      </c>
      <c r="HR273" s="2132">
        <f>IF(HR$221,_xll.ciqfunctions.udf.CIQ($G273, "IQ_SHARESOUTSTANDING", HR$222),"--")</f>
        <v>0</v>
      </c>
      <c r="HS273" s="2132">
        <f>IF(HS$221,_xll.ciqfunctions.udf.CIQ($G273, "IQ_SHARESOUTSTANDING", HS$222),"--")</f>
        <v>0</v>
      </c>
      <c r="HT273" s="2132">
        <f>IF(HT$221,_xll.ciqfunctions.udf.CIQ($G273, "IQ_SHARESOUTSTANDING", HT$222),"--")</f>
        <v>0</v>
      </c>
      <c r="HU273" s="2132">
        <f>IF(HU$221,_xll.ciqfunctions.udf.CIQ($G273, "IQ_SHARESOUTSTANDING", HU$222),"--")</f>
        <v>0</v>
      </c>
      <c r="HV273" s="2132">
        <f>IF(HV$221,_xll.ciqfunctions.udf.CIQ($G273, "IQ_SHARESOUTSTANDING", HV$222),"--")</f>
        <v>0</v>
      </c>
      <c r="HW273" s="2132">
        <f>IF(HW$221,_xll.ciqfunctions.udf.CIQ($G273, "IQ_SHARESOUTSTANDING", HW$222),"--")</f>
        <v>0</v>
      </c>
      <c r="HX273" s="2132">
        <f>IF(HX$221,_xll.ciqfunctions.udf.CIQ($G273, "IQ_SHARESOUTSTANDING", HX$222),"--")</f>
        <v>0</v>
      </c>
      <c r="HY273" s="2132">
        <f>IF(HY$221,_xll.ciqfunctions.udf.CIQ($G273, "IQ_SHARESOUTSTANDING", HY$222),"--")</f>
        <v>0</v>
      </c>
      <c r="HZ273" s="2132">
        <f>IF(HZ$221,_xll.ciqfunctions.udf.CIQ($G273, "IQ_SHARESOUTSTANDING", HZ$222),"--")</f>
        <v>0</v>
      </c>
      <c r="IA273" s="2132">
        <f>IF(IA$221,_xll.ciqfunctions.udf.CIQ($G273, "IQ_SHARESOUTSTANDING", IA$222),"--")</f>
        <v>0</v>
      </c>
      <c r="IB273" s="2132">
        <f>IF(IB$221,_xll.ciqfunctions.udf.CIQ($G273, "IQ_SHARESOUTSTANDING", IB$222),"--")</f>
        <v>0</v>
      </c>
      <c r="IC273" s="2132">
        <f>IF(IC$221,_xll.ciqfunctions.udf.CIQ($G273, "IQ_SHARESOUTSTANDING", IC$222),"--")</f>
        <v>0</v>
      </c>
      <c r="ID273" s="2132">
        <f>IF(ID$221,_xll.ciqfunctions.udf.CIQ($G273, "IQ_SHARESOUTSTANDING", ID$222),"--")</f>
        <v>0</v>
      </c>
      <c r="IE273" s="2132">
        <f>IF(IE$221,_xll.ciqfunctions.udf.CIQ($G273, "IQ_SHARESOUTSTANDING", IE$222),"--")</f>
        <v>0</v>
      </c>
      <c r="IF273" s="2132">
        <f>IF(IF$221,_xll.ciqfunctions.udf.CIQ($G273, "IQ_SHARESOUTSTANDING", IF$222),"--")</f>
        <v>0</v>
      </c>
      <c r="IG273" s="2132">
        <f>IF(IG$221,_xll.ciqfunctions.udf.CIQ($G273, "IQ_SHARESOUTSTANDING", IG$222),"--")</f>
        <v>0</v>
      </c>
      <c r="IH273" s="2132">
        <f>IF(IH$221,_xll.ciqfunctions.udf.CIQ($G273, "IQ_SHARESOUTSTANDING", IH$222),"--")</f>
        <v>0</v>
      </c>
      <c r="II273" s="2132">
        <f>IF(II$221,_xll.ciqfunctions.udf.CIQ($G273, "IQ_SHARESOUTSTANDING", II$222),"--")</f>
        <v>0</v>
      </c>
      <c r="IJ273" s="2132">
        <f>IF(IJ$221,_xll.ciqfunctions.udf.CIQ($G273, "IQ_SHARESOUTSTANDING", IJ$222),"--")</f>
        <v>0</v>
      </c>
      <c r="IK273" s="2132">
        <f>IF(IK$221,_xll.ciqfunctions.udf.CIQ($G273, "IQ_SHARESOUTSTANDING", IK$222),"--")</f>
        <v>0</v>
      </c>
      <c r="IL273" s="2132">
        <f>IF(IL$221,_xll.ciqfunctions.udf.CIQ($G273, "IQ_SHARESOUTSTANDING", IL$222),"--")</f>
        <v>0</v>
      </c>
      <c r="IM273" s="2132">
        <f>IF(IM$221,_xll.ciqfunctions.udf.CIQ($G273, "IQ_SHARESOUTSTANDING", IM$222),"--")</f>
        <v>0</v>
      </c>
      <c r="IN273" s="2132">
        <f>IF(IN$221,_xll.ciqfunctions.udf.CIQ($G273, "IQ_SHARESOUTSTANDING", IN$222),"--")</f>
        <v>0</v>
      </c>
      <c r="IO273" s="2132">
        <f>IF(IO$221,_xll.ciqfunctions.udf.CIQ($G273, "IQ_SHARESOUTSTANDING", IO$222),"--")</f>
        <v>0</v>
      </c>
      <c r="IP273" s="2132">
        <f>IF(IP$221,_xll.ciqfunctions.udf.CIQ($G273, "IQ_SHARESOUTSTANDING", IP$222),"--")</f>
        <v>0</v>
      </c>
      <c r="IQ273" s="2132">
        <f>IF(IQ$221,_xll.ciqfunctions.udf.CIQ($G273, "IQ_SHARESOUTSTANDING", IQ$222),"--")</f>
        <v>0</v>
      </c>
      <c r="IR273" s="2132">
        <f>IF(IR$221,_xll.ciqfunctions.udf.CIQ($G273, "IQ_SHARESOUTSTANDING", IR$222),"--")</f>
        <v>0</v>
      </c>
      <c r="IS273" s="2132">
        <f>IF(IS$221,_xll.ciqfunctions.udf.CIQ($G273, "IQ_SHARESOUTSTANDING", IS$222),"--")</f>
        <v>0</v>
      </c>
      <c r="IT273" s="2132">
        <f>IF(IT$221,_xll.ciqfunctions.udf.CIQ($G273, "IQ_SHARESOUTSTANDING", IT$222),"--")</f>
        <v>0</v>
      </c>
      <c r="IU273" s="2132">
        <f>IF(IU$221,_xll.ciqfunctions.udf.CIQ($G273, "IQ_SHARESOUTSTANDING", IU$222),"--")</f>
        <v>0</v>
      </c>
      <c r="IV273" s="2132">
        <f>IF(IV$221,_xll.ciqfunctions.udf.CIQ($G273, "IQ_SHARESOUTSTANDING", IV$222),"--")</f>
        <v>0</v>
      </c>
      <c r="IW273" s="2132">
        <f>IF(IW$221,_xll.ciqfunctions.udf.CIQ($G273, "IQ_SHARESOUTSTANDING", IW$222),"--")</f>
        <v>0</v>
      </c>
      <c r="IX273" s="2132">
        <f>IF(IX$221,_xll.ciqfunctions.udf.CIQ($G273, "IQ_SHARESOUTSTANDING", IX$222),"--")</f>
        <v>0</v>
      </c>
      <c r="IY273" s="2132">
        <f>IF(IY$221,_xll.ciqfunctions.udf.CIQ($G273, "IQ_SHARESOUTSTANDING", IY$222),"--")</f>
        <v>0</v>
      </c>
      <c r="IZ273" s="2132">
        <f>IF(IZ$221,_xll.ciqfunctions.udf.CIQ($G273, "IQ_SHARESOUTSTANDING", IZ$222),"--")</f>
        <v>0</v>
      </c>
      <c r="JA273" s="2132">
        <f>IF(JA$221,_xll.ciqfunctions.udf.CIQ($G273, "IQ_SHARESOUTSTANDING", JA$222),"--")</f>
        <v>0</v>
      </c>
      <c r="JB273" s="2132">
        <f>IF(JB$221,_xll.ciqfunctions.udf.CIQ($G273, "IQ_SHARESOUTSTANDING", JB$222),"--")</f>
        <v>0</v>
      </c>
      <c r="JC273" s="2132">
        <f>IF(JC$221,_xll.ciqfunctions.udf.CIQ($G273, "IQ_SHARESOUTSTANDING", JC$222),"--")</f>
        <v>0</v>
      </c>
      <c r="JD273" s="2132">
        <f>IF(JD$221,_xll.ciqfunctions.udf.CIQ($G273, "IQ_SHARESOUTSTANDING", JD$222),"--")</f>
        <v>0</v>
      </c>
      <c r="JE273" s="2132">
        <f>IF(JE$221,_xll.ciqfunctions.udf.CIQ($G273, "IQ_SHARESOUTSTANDING", JE$222),"--")</f>
        <v>0</v>
      </c>
      <c r="JF273" s="2132">
        <f>IF(JF$221,_xll.ciqfunctions.udf.CIQ($G273, "IQ_SHARESOUTSTANDING", JF$222),"--")</f>
        <v>0</v>
      </c>
      <c r="JG273" s="2132">
        <f>IF(JG$221,_xll.ciqfunctions.udf.CIQ($G273, "IQ_SHARESOUTSTANDING", JG$222),"--")</f>
        <v>0</v>
      </c>
      <c r="JH273" s="2132">
        <f>IF(JH$221,_xll.ciqfunctions.udf.CIQ($G273, "IQ_SHARESOUTSTANDING", JH$222),"--")</f>
        <v>0</v>
      </c>
      <c r="JI273" s="2132">
        <f>IF(JI$221,_xll.ciqfunctions.udf.CIQ($G273, "IQ_SHARESOUTSTANDING", JI$222),"--")</f>
        <v>0</v>
      </c>
      <c r="JJ273" s="2132">
        <f>IF(JJ$221,_xll.ciqfunctions.udf.CIQ($G273, "IQ_SHARESOUTSTANDING", JJ$222),"--")</f>
        <v>0</v>
      </c>
      <c r="JK273" s="2132">
        <f>IF(JK$221,_xll.ciqfunctions.udf.CIQ($G273, "IQ_SHARESOUTSTANDING", JK$222),"--")</f>
        <v>0</v>
      </c>
      <c r="JL273" s="2132">
        <f>IF(JL$221,_xll.ciqfunctions.udf.CIQ($G273, "IQ_SHARESOUTSTANDING", JL$222),"--")</f>
        <v>0</v>
      </c>
      <c r="JM273" s="2132">
        <f>IF(JM$221,_xll.ciqfunctions.udf.CIQ($G273, "IQ_SHARESOUTSTANDING", JM$222),"--")</f>
        <v>0</v>
      </c>
      <c r="JN273" s="2132">
        <f>IF(JN$221,_xll.ciqfunctions.udf.CIQ($G273, "IQ_SHARESOUTSTANDING", JN$222),"--")</f>
        <v>0</v>
      </c>
      <c r="JO273" s="2132">
        <f>IF(JO$221,_xll.ciqfunctions.udf.CIQ($G273, "IQ_SHARESOUTSTANDING", JO$222),"--")</f>
        <v>0</v>
      </c>
      <c r="JP273" s="2132">
        <f>IF(JP$221,_xll.ciqfunctions.udf.CIQ($G273, "IQ_SHARESOUTSTANDING", JP$222),"--")</f>
        <v>0</v>
      </c>
      <c r="JQ273" s="2132">
        <f>IF(JQ$221,_xll.ciqfunctions.udf.CIQ($G273, "IQ_SHARESOUTSTANDING", JQ$222),"--")</f>
        <v>0</v>
      </c>
      <c r="JR273" s="2132">
        <f>IF(JR$221,_xll.ciqfunctions.udf.CIQ($G273, "IQ_SHARESOUTSTANDING", JR$222),"--")</f>
        <v>0</v>
      </c>
      <c r="JS273" s="2132">
        <f>IF(JS$221,_xll.ciqfunctions.udf.CIQ($G273, "IQ_SHARESOUTSTANDING", JS$222),"--")</f>
        <v>0</v>
      </c>
      <c r="JT273" s="2132">
        <f>IF(JT$221,_xll.ciqfunctions.udf.CIQ($G273, "IQ_SHARESOUTSTANDING", JT$222),"--")</f>
        <v>0</v>
      </c>
      <c r="JU273" s="2132">
        <f>IF(JU$221,_xll.ciqfunctions.udf.CIQ($G273, "IQ_SHARESOUTSTANDING", JU$222),"--")</f>
        <v>0</v>
      </c>
      <c r="JV273" s="2132">
        <f>IF(JV$221,_xll.ciqfunctions.udf.CIQ($G273, "IQ_SHARESOUTSTANDING", JV$222),"--")</f>
        <v>0</v>
      </c>
      <c r="JW273" s="2132" t="str">
        <f>IF(JW$221,_xll.ciqfunctions.udf.CIQ($G273, "IQ_SHARESOUTSTANDING", JW$222),"--")</f>
        <v>--</v>
      </c>
      <c r="JX273" s="2132" t="str">
        <f>IF(JX$221,_xll.ciqfunctions.udf.CIQ($G273, "IQ_SHARESOUTSTANDING", JX$222),"--")</f>
        <v>--</v>
      </c>
      <c r="JY273" s="2132" t="str">
        <f>IF(JY$221,_xll.ciqfunctions.udf.CIQ($G273, "IQ_SHARESOUTSTANDING", JY$222),"--")</f>
        <v>--</v>
      </c>
      <c r="JZ273" s="2132" t="str">
        <f>IF(JZ$221,_xll.ciqfunctions.udf.CIQ($G273, "IQ_SHARESOUTSTANDING", JZ$222),"--")</f>
        <v>--</v>
      </c>
      <c r="KA273" s="2132" t="str">
        <f>IF(KA$221,_xll.ciqfunctions.udf.CIQ($G273, "IQ_SHARESOUTSTANDING", KA$222),"--")</f>
        <v>--</v>
      </c>
      <c r="KB273" s="2132" t="str">
        <f>IF(KB$221,_xll.ciqfunctions.udf.CIQ($G273, "IQ_SHARESOUTSTANDING", KB$222),"--")</f>
        <v>--</v>
      </c>
    </row>
    <row r="274" spans="1:288" s="89" customFormat="1" ht="13.9">
      <c r="A274" s="269" t="str">
        <f t="shared" si="49"/>
        <v>n</v>
      </c>
      <c r="B274" s="2060"/>
      <c r="D274" s="801"/>
      <c r="E274" s="1505">
        <v>20</v>
      </c>
      <c r="F274" s="21" t="str">
        <f>F$148</f>
        <v>--</v>
      </c>
      <c r="G274" s="1441">
        <f>G$148</f>
        <v>0</v>
      </c>
      <c r="H274" s="1441" t="str">
        <f>H$148</f>
        <v>--</v>
      </c>
      <c r="I274" s="314" t="s">
        <v>783</v>
      </c>
      <c r="J274" s="314"/>
      <c r="K274" s="2301" t="str">
        <f>IF(OR(K211=0,$G274=0),"--",IFERROR(_xll.ciqfunctions.udf.CIQ($G274,$I274,K119,Valuation_Date_GC,ReportType,DataMode,$H274,FXMode)*Scale+K243*Pension10,"--"))</f>
        <v>--</v>
      </c>
      <c r="L274" s="2301" t="str">
        <f>IF(OR(L211=0,$G274=0),"--",IFERROR(_xll.ciqfunctions.udf.CIQ($G274,$I274,L119,Valuation_Date_GC,ReportType,DataMode,$H274,FXMode)*Scale+L243*Pension10,"--"))</f>
        <v>--</v>
      </c>
      <c r="M274" s="2301" t="str">
        <f>IF(OR(M211=0,$G274=0),"--",IFERROR(_xll.ciqfunctions.udf.CIQ($G274,$I274,M119,Valuation_Date_GC,ReportType,DataMode,$H274,FXMode)*Scale+M243*Pension10,"--"))</f>
        <v>--</v>
      </c>
      <c r="N274" s="2301" t="str">
        <f>IF(OR(N211=0,$G274=0),"--",IFERROR(_xll.ciqfunctions.udf.CIQ($G274,$I274,N119,Valuation_Date_GC,ReportType,DataMode,$H274,FXMode)*Scale+N243*Pension10,"--"))</f>
        <v>--</v>
      </c>
      <c r="O274" s="1471" t="str">
        <f>IF(OR(O211=0,$G274=0),"--",IFERROR(_xll.ciqfunctions.udf.CIQ($G274,$I274,O119,Valuation_Date_GC,ReportType,DataMode,$H274,FXMode)*Scale+O243*Pension10,"--"))</f>
        <v>--</v>
      </c>
      <c r="P274" s="2301" t="str">
        <f>IF(OR(P211=0,$G274=0),"--",IFERROR(_xll.ciqfunctions.udf.CIQ($G274,$I274,P119,Valuation_Date_GC,ReportType,DataMode,$H274,FXMode)*Scale+P243*Pension10,"--"))</f>
        <v>--</v>
      </c>
      <c r="R274" s="1466"/>
      <c r="T274" s="1779" t="s">
        <v>784</v>
      </c>
      <c r="U274" s="2132">
        <f>IF(U$221,_xll.ciqfunctions.udf.CIQ($G274, "IQ_SHARESOUTSTANDING", U$222),"--")</f>
        <v>0</v>
      </c>
      <c r="V274" s="2132">
        <f>IF(V$221,_xll.ciqfunctions.udf.CIQ($G274, "IQ_SHARESOUTSTANDING", V$222),"--")</f>
        <v>0</v>
      </c>
      <c r="W274" s="2132">
        <f>IF(W$221,_xll.ciqfunctions.udf.CIQ($G274, "IQ_SHARESOUTSTANDING", W$222),"--")</f>
        <v>0</v>
      </c>
      <c r="X274" s="2132">
        <f>IF(X$221,_xll.ciqfunctions.udf.CIQ($G274, "IQ_SHARESOUTSTANDING", X$222),"--")</f>
        <v>0</v>
      </c>
      <c r="Y274" s="2132">
        <f>IF(Y$221,_xll.ciqfunctions.udf.CIQ($G274, "IQ_SHARESOUTSTANDING", Y$222),"--")</f>
        <v>0</v>
      </c>
      <c r="Z274" s="2132">
        <f>IF(Z$221,_xll.ciqfunctions.udf.CIQ($G274, "IQ_SHARESOUTSTANDING", Z$222),"--")</f>
        <v>0</v>
      </c>
      <c r="AA274" s="2132">
        <f>IF(AA$221,_xll.ciqfunctions.udf.CIQ($G274, "IQ_SHARESOUTSTANDING", AA$222),"--")</f>
        <v>0</v>
      </c>
      <c r="AB274" s="2132">
        <f>IF(AB$221,_xll.ciqfunctions.udf.CIQ($G274, "IQ_SHARESOUTSTANDING", AB$222),"--")</f>
        <v>0</v>
      </c>
      <c r="AC274" s="2132">
        <f>IF(AC$221,_xll.ciqfunctions.udf.CIQ($G274, "IQ_SHARESOUTSTANDING", AC$222),"--")</f>
        <v>0</v>
      </c>
      <c r="AD274" s="2132">
        <f>IF(AD$221,_xll.ciqfunctions.udf.CIQ($G274, "IQ_SHARESOUTSTANDING", AD$222),"--")</f>
        <v>0</v>
      </c>
      <c r="AE274" s="2132">
        <f>IF(AE$221,_xll.ciqfunctions.udf.CIQ($G274, "IQ_SHARESOUTSTANDING", AE$222),"--")</f>
        <v>0</v>
      </c>
      <c r="AF274" s="2132">
        <f>IF(AF$221,_xll.ciqfunctions.udf.CIQ($G274, "IQ_SHARESOUTSTANDING", AF$222),"--")</f>
        <v>0</v>
      </c>
      <c r="AG274" s="2132">
        <f>IF(AG$221,_xll.ciqfunctions.udf.CIQ($G274, "IQ_SHARESOUTSTANDING", AG$222),"--")</f>
        <v>0</v>
      </c>
      <c r="AH274" s="2132">
        <f>IF(AH$221,_xll.ciqfunctions.udf.CIQ($G274, "IQ_SHARESOUTSTANDING", AH$222),"--")</f>
        <v>0</v>
      </c>
      <c r="AI274" s="2132">
        <f>IF(AI$221,_xll.ciqfunctions.udf.CIQ($G274, "IQ_SHARESOUTSTANDING", AI$222),"--")</f>
        <v>0</v>
      </c>
      <c r="AJ274" s="2132">
        <f>IF(AJ$221,_xll.ciqfunctions.udf.CIQ($G274, "IQ_SHARESOUTSTANDING", AJ$222),"--")</f>
        <v>0</v>
      </c>
      <c r="AK274" s="2132">
        <f>IF(AK$221,_xll.ciqfunctions.udf.CIQ($G274, "IQ_SHARESOUTSTANDING", AK$222),"--")</f>
        <v>0</v>
      </c>
      <c r="AL274" s="2132">
        <f>IF(AL$221,_xll.ciqfunctions.udf.CIQ($G274, "IQ_SHARESOUTSTANDING", AL$222),"--")</f>
        <v>0</v>
      </c>
      <c r="AM274" s="2132">
        <f>IF(AM$221,_xll.ciqfunctions.udf.CIQ($G274, "IQ_SHARESOUTSTANDING", AM$222),"--")</f>
        <v>0</v>
      </c>
      <c r="AN274" s="2132">
        <f>IF(AN$221,_xll.ciqfunctions.udf.CIQ($G274, "IQ_SHARESOUTSTANDING", AN$222),"--")</f>
        <v>0</v>
      </c>
      <c r="AO274" s="2132">
        <f>IF(AO$221,_xll.ciqfunctions.udf.CIQ($G274, "IQ_SHARESOUTSTANDING", AO$222),"--")</f>
        <v>0</v>
      </c>
      <c r="AP274" s="2132">
        <f>IF(AP$221,_xll.ciqfunctions.udf.CIQ($G274, "IQ_SHARESOUTSTANDING", AP$222),"--")</f>
        <v>0</v>
      </c>
      <c r="AQ274" s="2132">
        <f>IF(AQ$221,_xll.ciqfunctions.udf.CIQ($G274, "IQ_SHARESOUTSTANDING", AQ$222),"--")</f>
        <v>0</v>
      </c>
      <c r="AR274" s="2132">
        <f>IF(AR$221,_xll.ciqfunctions.udf.CIQ($G274, "IQ_SHARESOUTSTANDING", AR$222),"--")</f>
        <v>0</v>
      </c>
      <c r="AS274" s="2132">
        <f>IF(AS$221,_xll.ciqfunctions.udf.CIQ($G274, "IQ_SHARESOUTSTANDING", AS$222),"--")</f>
        <v>0</v>
      </c>
      <c r="AT274" s="2132">
        <f>IF(AT$221,_xll.ciqfunctions.udf.CIQ($G274, "IQ_SHARESOUTSTANDING", AT$222),"--")</f>
        <v>0</v>
      </c>
      <c r="AU274" s="2132">
        <f>IF(AU$221,_xll.ciqfunctions.udf.CIQ($G274, "IQ_SHARESOUTSTANDING", AU$222),"--")</f>
        <v>0</v>
      </c>
      <c r="AV274" s="2132">
        <f>IF(AV$221,_xll.ciqfunctions.udf.CIQ($G274, "IQ_SHARESOUTSTANDING", AV$222),"--")</f>
        <v>0</v>
      </c>
      <c r="AW274" s="2132">
        <f>IF(AW$221,_xll.ciqfunctions.udf.CIQ($G274, "IQ_SHARESOUTSTANDING", AW$222),"--")</f>
        <v>0</v>
      </c>
      <c r="AX274" s="2132">
        <f>IF(AX$221,_xll.ciqfunctions.udf.CIQ($G274, "IQ_SHARESOUTSTANDING", AX$222),"--")</f>
        <v>0</v>
      </c>
      <c r="AY274" s="2132">
        <f>IF(AY$221,_xll.ciqfunctions.udf.CIQ($G274, "IQ_SHARESOUTSTANDING", AY$222),"--")</f>
        <v>0</v>
      </c>
      <c r="AZ274" s="2132">
        <f>IF(AZ$221,_xll.ciqfunctions.udf.CIQ($G274, "IQ_SHARESOUTSTANDING", AZ$222),"--")</f>
        <v>0</v>
      </c>
      <c r="BA274" s="2132">
        <f>IF(BA$221,_xll.ciqfunctions.udf.CIQ($G274, "IQ_SHARESOUTSTANDING", BA$222),"--")</f>
        <v>0</v>
      </c>
      <c r="BB274" s="2132">
        <f>IF(BB$221,_xll.ciqfunctions.udf.CIQ($G274, "IQ_SHARESOUTSTANDING", BB$222),"--")</f>
        <v>0</v>
      </c>
      <c r="BC274" s="2132">
        <f>IF(BC$221,_xll.ciqfunctions.udf.CIQ($G274, "IQ_SHARESOUTSTANDING", BC$222),"--")</f>
        <v>0</v>
      </c>
      <c r="BD274" s="2132">
        <f>IF(BD$221,_xll.ciqfunctions.udf.CIQ($G274, "IQ_SHARESOUTSTANDING", BD$222),"--")</f>
        <v>0</v>
      </c>
      <c r="BE274" s="2132">
        <f>IF(BE$221,_xll.ciqfunctions.udf.CIQ($G274, "IQ_SHARESOUTSTANDING", BE$222),"--")</f>
        <v>0</v>
      </c>
      <c r="BF274" s="2132">
        <f>IF(BF$221,_xll.ciqfunctions.udf.CIQ($G274, "IQ_SHARESOUTSTANDING", BF$222),"--")</f>
        <v>0</v>
      </c>
      <c r="BG274" s="2132">
        <f>IF(BG$221,_xll.ciqfunctions.udf.CIQ($G274, "IQ_SHARESOUTSTANDING", BG$222),"--")</f>
        <v>0</v>
      </c>
      <c r="BH274" s="2132">
        <f>IF(BH$221,_xll.ciqfunctions.udf.CIQ($G274, "IQ_SHARESOUTSTANDING", BH$222),"--")</f>
        <v>0</v>
      </c>
      <c r="BI274" s="2132">
        <f>IF(BI$221,_xll.ciqfunctions.udf.CIQ($G274, "IQ_SHARESOUTSTANDING", BI$222),"--")</f>
        <v>0</v>
      </c>
      <c r="BJ274" s="2132">
        <f>IF(BJ$221,_xll.ciqfunctions.udf.CIQ($G274, "IQ_SHARESOUTSTANDING", BJ$222),"--")</f>
        <v>0</v>
      </c>
      <c r="BK274" s="2132">
        <f>IF(BK$221,_xll.ciqfunctions.udf.CIQ($G274, "IQ_SHARESOUTSTANDING", BK$222),"--")</f>
        <v>0</v>
      </c>
      <c r="BL274" s="2132">
        <f>IF(BL$221,_xll.ciqfunctions.udf.CIQ($G274, "IQ_SHARESOUTSTANDING", BL$222),"--")</f>
        <v>0</v>
      </c>
      <c r="BM274" s="2132">
        <f>IF(BM$221,_xll.ciqfunctions.udf.CIQ($G274, "IQ_SHARESOUTSTANDING", BM$222),"--")</f>
        <v>0</v>
      </c>
      <c r="BN274" s="2132">
        <f>IF(BN$221,_xll.ciqfunctions.udf.CIQ($G274, "IQ_SHARESOUTSTANDING", BN$222),"--")</f>
        <v>0</v>
      </c>
      <c r="BO274" s="2132">
        <f>IF(BO$221,_xll.ciqfunctions.udf.CIQ($G274, "IQ_SHARESOUTSTANDING", BO$222),"--")</f>
        <v>0</v>
      </c>
      <c r="BP274" s="2132">
        <f>IF(BP$221,_xll.ciqfunctions.udf.CIQ($G274, "IQ_SHARESOUTSTANDING", BP$222),"--")</f>
        <v>0</v>
      </c>
      <c r="BQ274" s="2132">
        <f>IF(BQ$221,_xll.ciqfunctions.udf.CIQ($G274, "IQ_SHARESOUTSTANDING", BQ$222),"--")</f>
        <v>0</v>
      </c>
      <c r="BR274" s="2132">
        <f>IF(BR$221,_xll.ciqfunctions.udf.CIQ($G274, "IQ_SHARESOUTSTANDING", BR$222),"--")</f>
        <v>0</v>
      </c>
      <c r="BS274" s="2132">
        <f>IF(BS$221,_xll.ciqfunctions.udf.CIQ($G274, "IQ_SHARESOUTSTANDING", BS$222),"--")</f>
        <v>0</v>
      </c>
      <c r="BT274" s="2132">
        <f>IF(BT$221,_xll.ciqfunctions.udf.CIQ($G274, "IQ_SHARESOUTSTANDING", BT$222),"--")</f>
        <v>0</v>
      </c>
      <c r="BU274" s="2132">
        <f>IF(BU$221,_xll.ciqfunctions.udf.CIQ($G274, "IQ_SHARESOUTSTANDING", BU$222),"--")</f>
        <v>0</v>
      </c>
      <c r="BV274" s="2132">
        <f>IF(BV$221,_xll.ciqfunctions.udf.CIQ($G274, "IQ_SHARESOUTSTANDING", BV$222),"--")</f>
        <v>0</v>
      </c>
      <c r="BW274" s="2132">
        <f>IF(BW$221,_xll.ciqfunctions.udf.CIQ($G274, "IQ_SHARESOUTSTANDING", BW$222),"--")</f>
        <v>0</v>
      </c>
      <c r="BX274" s="2132">
        <f>IF(BX$221,_xll.ciqfunctions.udf.CIQ($G274, "IQ_SHARESOUTSTANDING", BX$222),"--")</f>
        <v>0</v>
      </c>
      <c r="BY274" s="2132">
        <f>IF(BY$221,_xll.ciqfunctions.udf.CIQ($G274, "IQ_SHARESOUTSTANDING", BY$222),"--")</f>
        <v>0</v>
      </c>
      <c r="BZ274" s="2132">
        <f>IF(BZ$221,_xll.ciqfunctions.udf.CIQ($G274, "IQ_SHARESOUTSTANDING", BZ$222),"--")</f>
        <v>0</v>
      </c>
      <c r="CA274" s="2132">
        <f>IF(CA$221,_xll.ciqfunctions.udf.CIQ($G274, "IQ_SHARESOUTSTANDING", CA$222),"--")</f>
        <v>0</v>
      </c>
      <c r="CB274" s="2132">
        <f>IF(CB$221,_xll.ciqfunctions.udf.CIQ($G274, "IQ_SHARESOUTSTANDING", CB$222),"--")</f>
        <v>0</v>
      </c>
      <c r="CC274" s="2132">
        <f>IF(CC$221,_xll.ciqfunctions.udf.CIQ($G274, "IQ_SHARESOUTSTANDING", CC$222),"--")</f>
        <v>0</v>
      </c>
      <c r="CD274" s="2132">
        <f>IF(CD$221,_xll.ciqfunctions.udf.CIQ($G274, "IQ_SHARESOUTSTANDING", CD$222),"--")</f>
        <v>0</v>
      </c>
      <c r="CE274" s="2132">
        <f>IF(CE$221,_xll.ciqfunctions.udf.CIQ($G274, "IQ_SHARESOUTSTANDING", CE$222),"--")</f>
        <v>0</v>
      </c>
      <c r="CF274" s="2132">
        <f>IF(CF$221,_xll.ciqfunctions.udf.CIQ($G274, "IQ_SHARESOUTSTANDING", CF$222),"--")</f>
        <v>0</v>
      </c>
      <c r="CG274" s="2132">
        <f>IF(CG$221,_xll.ciqfunctions.udf.CIQ($G274, "IQ_SHARESOUTSTANDING", CG$222),"--")</f>
        <v>0</v>
      </c>
      <c r="CH274" s="2132">
        <f>IF(CH$221,_xll.ciqfunctions.udf.CIQ($G274, "IQ_SHARESOUTSTANDING", CH$222),"--")</f>
        <v>0</v>
      </c>
      <c r="CI274" s="2132">
        <f>IF(CI$221,_xll.ciqfunctions.udf.CIQ($G274, "IQ_SHARESOUTSTANDING", CI$222),"--")</f>
        <v>0</v>
      </c>
      <c r="CJ274" s="2132">
        <f>IF(CJ$221,_xll.ciqfunctions.udf.CIQ($G274, "IQ_SHARESOUTSTANDING", CJ$222),"--")</f>
        <v>0</v>
      </c>
      <c r="CK274" s="2132">
        <f>IF(CK$221,_xll.ciqfunctions.udf.CIQ($G274, "IQ_SHARESOUTSTANDING", CK$222),"--")</f>
        <v>0</v>
      </c>
      <c r="CL274" s="2132">
        <f>IF(CL$221,_xll.ciqfunctions.udf.CIQ($G274, "IQ_SHARESOUTSTANDING", CL$222),"--")</f>
        <v>0</v>
      </c>
      <c r="CM274" s="2132">
        <f>IF(CM$221,_xll.ciqfunctions.udf.CIQ($G274, "IQ_SHARESOUTSTANDING", CM$222),"--")</f>
        <v>0</v>
      </c>
      <c r="CN274" s="2132">
        <f>IF(CN$221,_xll.ciqfunctions.udf.CIQ($G274, "IQ_SHARESOUTSTANDING", CN$222),"--")</f>
        <v>0</v>
      </c>
      <c r="CO274" s="2132">
        <f>IF(CO$221,_xll.ciqfunctions.udf.CIQ($G274, "IQ_SHARESOUTSTANDING", CO$222),"--")</f>
        <v>0</v>
      </c>
      <c r="CP274" s="2132">
        <f>IF(CP$221,_xll.ciqfunctions.udf.CIQ($G274, "IQ_SHARESOUTSTANDING", CP$222),"--")</f>
        <v>0</v>
      </c>
      <c r="CQ274" s="2132">
        <f>IF(CQ$221,_xll.ciqfunctions.udf.CIQ($G274, "IQ_SHARESOUTSTANDING", CQ$222),"--")</f>
        <v>0</v>
      </c>
      <c r="CR274" s="2132">
        <f>IF(CR$221,_xll.ciqfunctions.udf.CIQ($G274, "IQ_SHARESOUTSTANDING", CR$222),"--")</f>
        <v>0</v>
      </c>
      <c r="CS274" s="2132">
        <f>IF(CS$221,_xll.ciqfunctions.udf.CIQ($G274, "IQ_SHARESOUTSTANDING", CS$222),"--")</f>
        <v>0</v>
      </c>
      <c r="CT274" s="2132">
        <f>IF(CT$221,_xll.ciqfunctions.udf.CIQ($G274, "IQ_SHARESOUTSTANDING", CT$222),"--")</f>
        <v>0</v>
      </c>
      <c r="CU274" s="2132">
        <f>IF(CU$221,_xll.ciqfunctions.udf.CIQ($G274, "IQ_SHARESOUTSTANDING", CU$222),"--")</f>
        <v>0</v>
      </c>
      <c r="CV274" s="2132">
        <f>IF(CV$221,_xll.ciqfunctions.udf.CIQ($G274, "IQ_SHARESOUTSTANDING", CV$222),"--")</f>
        <v>0</v>
      </c>
      <c r="CW274" s="2132">
        <f>IF(CW$221,_xll.ciqfunctions.udf.CIQ($G274, "IQ_SHARESOUTSTANDING", CW$222),"--")</f>
        <v>0</v>
      </c>
      <c r="CX274" s="2132">
        <f>IF(CX$221,_xll.ciqfunctions.udf.CIQ($G274, "IQ_SHARESOUTSTANDING", CX$222),"--")</f>
        <v>0</v>
      </c>
      <c r="CY274" s="2132">
        <f>IF(CY$221,_xll.ciqfunctions.udf.CIQ($G274, "IQ_SHARESOUTSTANDING", CY$222),"--")</f>
        <v>0</v>
      </c>
      <c r="CZ274" s="2132">
        <f>IF(CZ$221,_xll.ciqfunctions.udf.CIQ($G274, "IQ_SHARESOUTSTANDING", CZ$222),"--")</f>
        <v>0</v>
      </c>
      <c r="DA274" s="2132">
        <f>IF(DA$221,_xll.ciqfunctions.udf.CIQ($G274, "IQ_SHARESOUTSTANDING", DA$222),"--")</f>
        <v>0</v>
      </c>
      <c r="DB274" s="2132">
        <f>IF(DB$221,_xll.ciqfunctions.udf.CIQ($G274, "IQ_SHARESOUTSTANDING", DB$222),"--")</f>
        <v>0</v>
      </c>
      <c r="DC274" s="2132">
        <f>IF(DC$221,_xll.ciqfunctions.udf.CIQ($G274, "IQ_SHARESOUTSTANDING", DC$222),"--")</f>
        <v>0</v>
      </c>
      <c r="DD274" s="2132">
        <f>IF(DD$221,_xll.ciqfunctions.udf.CIQ($G274, "IQ_SHARESOUTSTANDING", DD$222),"--")</f>
        <v>0</v>
      </c>
      <c r="DE274" s="2132">
        <f>IF(DE$221,_xll.ciqfunctions.udf.CIQ($G274, "IQ_SHARESOUTSTANDING", DE$222),"--")</f>
        <v>0</v>
      </c>
      <c r="DF274" s="2132">
        <f>IF(DF$221,_xll.ciqfunctions.udf.CIQ($G274, "IQ_SHARESOUTSTANDING", DF$222),"--")</f>
        <v>0</v>
      </c>
      <c r="DG274" s="2132">
        <f>IF(DG$221,_xll.ciqfunctions.udf.CIQ($G274, "IQ_SHARESOUTSTANDING", DG$222),"--")</f>
        <v>0</v>
      </c>
      <c r="DH274" s="2132">
        <f>IF(DH$221,_xll.ciqfunctions.udf.CIQ($G274, "IQ_SHARESOUTSTANDING", DH$222),"--")</f>
        <v>0</v>
      </c>
      <c r="DI274" s="2132">
        <f>IF(DI$221,_xll.ciqfunctions.udf.CIQ($G274, "IQ_SHARESOUTSTANDING", DI$222),"--")</f>
        <v>0</v>
      </c>
      <c r="DJ274" s="2132">
        <f>IF(DJ$221,_xll.ciqfunctions.udf.CIQ($G274, "IQ_SHARESOUTSTANDING", DJ$222),"--")</f>
        <v>0</v>
      </c>
      <c r="DK274" s="2132">
        <f>IF(DK$221,_xll.ciqfunctions.udf.CIQ($G274, "IQ_SHARESOUTSTANDING", DK$222),"--")</f>
        <v>0</v>
      </c>
      <c r="DL274" s="2132">
        <f>IF(DL$221,_xll.ciqfunctions.udf.CIQ($G274, "IQ_SHARESOUTSTANDING", DL$222),"--")</f>
        <v>0</v>
      </c>
      <c r="DM274" s="2132">
        <f>IF(DM$221,_xll.ciqfunctions.udf.CIQ($G274, "IQ_SHARESOUTSTANDING", DM$222),"--")</f>
        <v>0</v>
      </c>
      <c r="DN274" s="2132">
        <f>IF(DN$221,_xll.ciqfunctions.udf.CIQ($G274, "IQ_SHARESOUTSTANDING", DN$222),"--")</f>
        <v>0</v>
      </c>
      <c r="DO274" s="2132">
        <f>IF(DO$221,_xll.ciqfunctions.udf.CIQ($G274, "IQ_SHARESOUTSTANDING", DO$222),"--")</f>
        <v>0</v>
      </c>
      <c r="DP274" s="2132">
        <f>IF(DP$221,_xll.ciqfunctions.udf.CIQ($G274, "IQ_SHARESOUTSTANDING", DP$222),"--")</f>
        <v>0</v>
      </c>
      <c r="DQ274" s="2132">
        <f>IF(DQ$221,_xll.ciqfunctions.udf.CIQ($G274, "IQ_SHARESOUTSTANDING", DQ$222),"--")</f>
        <v>0</v>
      </c>
      <c r="DR274" s="2132">
        <f>IF(DR$221,_xll.ciqfunctions.udf.CIQ($G274, "IQ_SHARESOUTSTANDING", DR$222),"--")</f>
        <v>0</v>
      </c>
      <c r="DS274" s="2132">
        <f>IF(DS$221,_xll.ciqfunctions.udf.CIQ($G274, "IQ_SHARESOUTSTANDING", DS$222),"--")</f>
        <v>0</v>
      </c>
      <c r="DT274" s="2132">
        <f>IF(DT$221,_xll.ciqfunctions.udf.CIQ($G274, "IQ_SHARESOUTSTANDING", DT$222),"--")</f>
        <v>0</v>
      </c>
      <c r="DU274" s="2132">
        <f>IF(DU$221,_xll.ciqfunctions.udf.CIQ($G274, "IQ_SHARESOUTSTANDING", DU$222),"--")</f>
        <v>0</v>
      </c>
      <c r="DV274" s="2132">
        <f>IF(DV$221,_xll.ciqfunctions.udf.CIQ($G274, "IQ_SHARESOUTSTANDING", DV$222),"--")</f>
        <v>0</v>
      </c>
      <c r="DW274" s="2132">
        <f>IF(DW$221,_xll.ciqfunctions.udf.CIQ($G274, "IQ_SHARESOUTSTANDING", DW$222),"--")</f>
        <v>0</v>
      </c>
      <c r="DX274" s="2132">
        <f>IF(DX$221,_xll.ciqfunctions.udf.CIQ($G274, "IQ_SHARESOUTSTANDING", DX$222),"--")</f>
        <v>0</v>
      </c>
      <c r="DY274" s="2132">
        <f>IF(DY$221,_xll.ciqfunctions.udf.CIQ($G274, "IQ_SHARESOUTSTANDING", DY$222),"--")</f>
        <v>0</v>
      </c>
      <c r="DZ274" s="2132">
        <f>IF(DZ$221,_xll.ciqfunctions.udf.CIQ($G274, "IQ_SHARESOUTSTANDING", DZ$222),"--")</f>
        <v>0</v>
      </c>
      <c r="EA274" s="2132">
        <f>IF(EA$221,_xll.ciqfunctions.udf.CIQ($G274, "IQ_SHARESOUTSTANDING", EA$222),"--")</f>
        <v>0</v>
      </c>
      <c r="EB274" s="2132">
        <f>IF(EB$221,_xll.ciqfunctions.udf.CIQ($G274, "IQ_SHARESOUTSTANDING", EB$222),"--")</f>
        <v>0</v>
      </c>
      <c r="EC274" s="2132">
        <f>IF(EC$221,_xll.ciqfunctions.udf.CIQ($G274, "IQ_SHARESOUTSTANDING", EC$222),"--")</f>
        <v>0</v>
      </c>
      <c r="ED274" s="2132">
        <f>IF(ED$221,_xll.ciqfunctions.udf.CIQ($G274, "IQ_SHARESOUTSTANDING", ED$222),"--")</f>
        <v>0</v>
      </c>
      <c r="EE274" s="2132">
        <f>IF(EE$221,_xll.ciqfunctions.udf.CIQ($G274, "IQ_SHARESOUTSTANDING", EE$222),"--")</f>
        <v>0</v>
      </c>
      <c r="EF274" s="2132">
        <f>IF(EF$221,_xll.ciqfunctions.udf.CIQ($G274, "IQ_SHARESOUTSTANDING", EF$222),"--")</f>
        <v>0</v>
      </c>
      <c r="EG274" s="2132">
        <f>IF(EG$221,_xll.ciqfunctions.udf.CIQ($G274, "IQ_SHARESOUTSTANDING", EG$222),"--")</f>
        <v>0</v>
      </c>
      <c r="EH274" s="2132">
        <f>IF(EH$221,_xll.ciqfunctions.udf.CIQ($G274, "IQ_SHARESOUTSTANDING", EH$222),"--")</f>
        <v>0</v>
      </c>
      <c r="EI274" s="2132">
        <f>IF(EI$221,_xll.ciqfunctions.udf.CIQ($G274, "IQ_SHARESOUTSTANDING", EI$222),"--")</f>
        <v>0</v>
      </c>
      <c r="EJ274" s="2132">
        <f>IF(EJ$221,_xll.ciqfunctions.udf.CIQ($G274, "IQ_SHARESOUTSTANDING", EJ$222),"--")</f>
        <v>0</v>
      </c>
      <c r="EK274" s="2132">
        <f>IF(EK$221,_xll.ciqfunctions.udf.CIQ($G274, "IQ_SHARESOUTSTANDING", EK$222),"--")</f>
        <v>0</v>
      </c>
      <c r="EL274" s="2132">
        <f>IF(EL$221,_xll.ciqfunctions.udf.CIQ($G274, "IQ_SHARESOUTSTANDING", EL$222),"--")</f>
        <v>0</v>
      </c>
      <c r="EM274" s="2132">
        <f>IF(EM$221,_xll.ciqfunctions.udf.CIQ($G274, "IQ_SHARESOUTSTANDING", EM$222),"--")</f>
        <v>0</v>
      </c>
      <c r="EN274" s="2132">
        <f>IF(EN$221,_xll.ciqfunctions.udf.CIQ($G274, "IQ_SHARESOUTSTANDING", EN$222),"--")</f>
        <v>0</v>
      </c>
      <c r="EO274" s="2132">
        <f>IF(EO$221,_xll.ciqfunctions.udf.CIQ($G274, "IQ_SHARESOUTSTANDING", EO$222),"--")</f>
        <v>0</v>
      </c>
      <c r="EP274" s="2132">
        <f>IF(EP$221,_xll.ciqfunctions.udf.CIQ($G274, "IQ_SHARESOUTSTANDING", EP$222),"--")</f>
        <v>0</v>
      </c>
      <c r="EQ274" s="2132">
        <f>IF(EQ$221,_xll.ciqfunctions.udf.CIQ($G274, "IQ_SHARESOUTSTANDING", EQ$222),"--")</f>
        <v>0</v>
      </c>
      <c r="ER274" s="2132">
        <f>IF(ER$221,_xll.ciqfunctions.udf.CIQ($G274, "IQ_SHARESOUTSTANDING", ER$222),"--")</f>
        <v>0</v>
      </c>
      <c r="ES274" s="2132">
        <f>IF(ES$221,_xll.ciqfunctions.udf.CIQ($G274, "IQ_SHARESOUTSTANDING", ES$222),"--")</f>
        <v>0</v>
      </c>
      <c r="ET274" s="2132">
        <f>IF(ET$221,_xll.ciqfunctions.udf.CIQ($G274, "IQ_SHARESOUTSTANDING", ET$222),"--")</f>
        <v>0</v>
      </c>
      <c r="EU274" s="2132">
        <f>IF(EU$221,_xll.ciqfunctions.udf.CIQ($G274, "IQ_SHARESOUTSTANDING", EU$222),"--")</f>
        <v>0</v>
      </c>
      <c r="EV274" s="2132">
        <f>IF(EV$221,_xll.ciqfunctions.udf.CIQ($G274, "IQ_SHARESOUTSTANDING", EV$222),"--")</f>
        <v>0</v>
      </c>
      <c r="EW274" s="2132">
        <f>IF(EW$221,_xll.ciqfunctions.udf.CIQ($G274, "IQ_SHARESOUTSTANDING", EW$222),"--")</f>
        <v>0</v>
      </c>
      <c r="EX274" s="2132">
        <f>IF(EX$221,_xll.ciqfunctions.udf.CIQ($G274, "IQ_SHARESOUTSTANDING", EX$222),"--")</f>
        <v>0</v>
      </c>
      <c r="EY274" s="2132">
        <f>IF(EY$221,_xll.ciqfunctions.udf.CIQ($G274, "IQ_SHARESOUTSTANDING", EY$222),"--")</f>
        <v>0</v>
      </c>
      <c r="EZ274" s="2132">
        <f>IF(EZ$221,_xll.ciqfunctions.udf.CIQ($G274, "IQ_SHARESOUTSTANDING", EZ$222),"--")</f>
        <v>0</v>
      </c>
      <c r="FA274" s="2132">
        <f>IF(FA$221,_xll.ciqfunctions.udf.CIQ($G274, "IQ_SHARESOUTSTANDING", FA$222),"--")</f>
        <v>0</v>
      </c>
      <c r="FB274" s="2132">
        <f>IF(FB$221,_xll.ciqfunctions.udf.CIQ($G274, "IQ_SHARESOUTSTANDING", FB$222),"--")</f>
        <v>0</v>
      </c>
      <c r="FC274" s="2132">
        <f>IF(FC$221,_xll.ciqfunctions.udf.CIQ($G274, "IQ_SHARESOUTSTANDING", FC$222),"--")</f>
        <v>0</v>
      </c>
      <c r="FD274" s="2132">
        <f>IF(FD$221,_xll.ciqfunctions.udf.CIQ($G274, "IQ_SHARESOUTSTANDING", FD$222),"--")</f>
        <v>0</v>
      </c>
      <c r="FE274" s="2132">
        <f>IF(FE$221,_xll.ciqfunctions.udf.CIQ($G274, "IQ_SHARESOUTSTANDING", FE$222),"--")</f>
        <v>0</v>
      </c>
      <c r="FF274" s="2132">
        <f>IF(FF$221,_xll.ciqfunctions.udf.CIQ($G274, "IQ_SHARESOUTSTANDING", FF$222),"--")</f>
        <v>0</v>
      </c>
      <c r="FG274" s="2132">
        <f>IF(FG$221,_xll.ciqfunctions.udf.CIQ($G274, "IQ_SHARESOUTSTANDING", FG$222),"--")</f>
        <v>0</v>
      </c>
      <c r="FH274" s="2132">
        <f>IF(FH$221,_xll.ciqfunctions.udf.CIQ($G274, "IQ_SHARESOUTSTANDING", FH$222),"--")</f>
        <v>0</v>
      </c>
      <c r="FI274" s="2132">
        <f>IF(FI$221,_xll.ciqfunctions.udf.CIQ($G274, "IQ_SHARESOUTSTANDING", FI$222),"--")</f>
        <v>0</v>
      </c>
      <c r="FJ274" s="2132">
        <f>IF(FJ$221,_xll.ciqfunctions.udf.CIQ($G274, "IQ_SHARESOUTSTANDING", FJ$222),"--")</f>
        <v>0</v>
      </c>
      <c r="FK274" s="2132">
        <f>IF(FK$221,_xll.ciqfunctions.udf.CIQ($G274, "IQ_SHARESOUTSTANDING", FK$222),"--")</f>
        <v>0</v>
      </c>
      <c r="FL274" s="2132">
        <f>IF(FL$221,_xll.ciqfunctions.udf.CIQ($G274, "IQ_SHARESOUTSTANDING", FL$222),"--")</f>
        <v>0</v>
      </c>
      <c r="FM274" s="2132">
        <f>IF(FM$221,_xll.ciqfunctions.udf.CIQ($G274, "IQ_SHARESOUTSTANDING", FM$222),"--")</f>
        <v>0</v>
      </c>
      <c r="FN274" s="2132">
        <f>IF(FN$221,_xll.ciqfunctions.udf.CIQ($G274, "IQ_SHARESOUTSTANDING", FN$222),"--")</f>
        <v>0</v>
      </c>
      <c r="FO274" s="2132">
        <f>IF(FO$221,_xll.ciqfunctions.udf.CIQ($G274, "IQ_SHARESOUTSTANDING", FO$222),"--")</f>
        <v>0</v>
      </c>
      <c r="FP274" s="2132">
        <f>IF(FP$221,_xll.ciqfunctions.udf.CIQ($G274, "IQ_SHARESOUTSTANDING", FP$222),"--")</f>
        <v>0</v>
      </c>
      <c r="FQ274" s="2132">
        <f>IF(FQ$221,_xll.ciqfunctions.udf.CIQ($G274, "IQ_SHARESOUTSTANDING", FQ$222),"--")</f>
        <v>0</v>
      </c>
      <c r="FR274" s="2132">
        <f>IF(FR$221,_xll.ciqfunctions.udf.CIQ($G274, "IQ_SHARESOUTSTANDING", FR$222),"--")</f>
        <v>0</v>
      </c>
      <c r="FS274" s="2132">
        <f>IF(FS$221,_xll.ciqfunctions.udf.CIQ($G274, "IQ_SHARESOUTSTANDING", FS$222),"--")</f>
        <v>0</v>
      </c>
      <c r="FT274" s="2132">
        <f>IF(FT$221,_xll.ciqfunctions.udf.CIQ($G274, "IQ_SHARESOUTSTANDING", FT$222),"--")</f>
        <v>0</v>
      </c>
      <c r="FU274" s="2132">
        <f>IF(FU$221,_xll.ciqfunctions.udf.CIQ($G274, "IQ_SHARESOUTSTANDING", FU$222),"--")</f>
        <v>0</v>
      </c>
      <c r="FV274" s="2132">
        <f>IF(FV$221,_xll.ciqfunctions.udf.CIQ($G274, "IQ_SHARESOUTSTANDING", FV$222),"--")</f>
        <v>0</v>
      </c>
      <c r="FW274" s="2132">
        <f>IF(FW$221,_xll.ciqfunctions.udf.CIQ($G274, "IQ_SHARESOUTSTANDING", FW$222),"--")</f>
        <v>0</v>
      </c>
      <c r="FX274" s="2132">
        <f>IF(FX$221,_xll.ciqfunctions.udf.CIQ($G274, "IQ_SHARESOUTSTANDING", FX$222),"--")</f>
        <v>0</v>
      </c>
      <c r="FY274" s="2132">
        <f>IF(FY$221,_xll.ciqfunctions.udf.CIQ($G274, "IQ_SHARESOUTSTANDING", FY$222),"--")</f>
        <v>0</v>
      </c>
      <c r="FZ274" s="2132">
        <f>IF(FZ$221,_xll.ciqfunctions.udf.CIQ($G274, "IQ_SHARESOUTSTANDING", FZ$222),"--")</f>
        <v>0</v>
      </c>
      <c r="GA274" s="2132">
        <f>IF(GA$221,_xll.ciqfunctions.udf.CIQ($G274, "IQ_SHARESOUTSTANDING", GA$222),"--")</f>
        <v>0</v>
      </c>
      <c r="GB274" s="2132">
        <f>IF(GB$221,_xll.ciqfunctions.udf.CIQ($G274, "IQ_SHARESOUTSTANDING", GB$222),"--")</f>
        <v>0</v>
      </c>
      <c r="GC274" s="2132">
        <f>IF(GC$221,_xll.ciqfunctions.udf.CIQ($G274, "IQ_SHARESOUTSTANDING", GC$222),"--")</f>
        <v>0</v>
      </c>
      <c r="GD274" s="2132">
        <f>IF(GD$221,_xll.ciqfunctions.udf.CIQ($G274, "IQ_SHARESOUTSTANDING", GD$222),"--")</f>
        <v>0</v>
      </c>
      <c r="GE274" s="2132">
        <f>IF(GE$221,_xll.ciqfunctions.udf.CIQ($G274, "IQ_SHARESOUTSTANDING", GE$222),"--")</f>
        <v>0</v>
      </c>
      <c r="GF274" s="2132">
        <f>IF(GF$221,_xll.ciqfunctions.udf.CIQ($G274, "IQ_SHARESOUTSTANDING", GF$222),"--")</f>
        <v>0</v>
      </c>
      <c r="GG274" s="2132">
        <f>IF(GG$221,_xll.ciqfunctions.udf.CIQ($G274, "IQ_SHARESOUTSTANDING", GG$222),"--")</f>
        <v>0</v>
      </c>
      <c r="GH274" s="2132">
        <f>IF(GH$221,_xll.ciqfunctions.udf.CIQ($G274, "IQ_SHARESOUTSTANDING", GH$222),"--")</f>
        <v>0</v>
      </c>
      <c r="GI274" s="2132">
        <f>IF(GI$221,_xll.ciqfunctions.udf.CIQ($G274, "IQ_SHARESOUTSTANDING", GI$222),"--")</f>
        <v>0</v>
      </c>
      <c r="GJ274" s="2132">
        <f>IF(GJ$221,_xll.ciqfunctions.udf.CIQ($G274, "IQ_SHARESOUTSTANDING", GJ$222),"--")</f>
        <v>0</v>
      </c>
      <c r="GK274" s="2132">
        <f>IF(GK$221,_xll.ciqfunctions.udf.CIQ($G274, "IQ_SHARESOUTSTANDING", GK$222),"--")</f>
        <v>0</v>
      </c>
      <c r="GL274" s="2132">
        <f>IF(GL$221,_xll.ciqfunctions.udf.CIQ($G274, "IQ_SHARESOUTSTANDING", GL$222),"--")</f>
        <v>0</v>
      </c>
      <c r="GM274" s="2132">
        <f>IF(GM$221,_xll.ciqfunctions.udf.CIQ($G274, "IQ_SHARESOUTSTANDING", GM$222),"--")</f>
        <v>0</v>
      </c>
      <c r="GN274" s="2132">
        <f>IF(GN$221,_xll.ciqfunctions.udf.CIQ($G274, "IQ_SHARESOUTSTANDING", GN$222),"--")</f>
        <v>0</v>
      </c>
      <c r="GO274" s="2132">
        <f>IF(GO$221,_xll.ciqfunctions.udf.CIQ($G274, "IQ_SHARESOUTSTANDING", GO$222),"--")</f>
        <v>0</v>
      </c>
      <c r="GP274" s="2132">
        <f>IF(GP$221,_xll.ciqfunctions.udf.CIQ($G274, "IQ_SHARESOUTSTANDING", GP$222),"--")</f>
        <v>0</v>
      </c>
      <c r="GQ274" s="2132">
        <f>IF(GQ$221,_xll.ciqfunctions.udf.CIQ($G274, "IQ_SHARESOUTSTANDING", GQ$222),"--")</f>
        <v>0</v>
      </c>
      <c r="GR274" s="2132">
        <f>IF(GR$221,_xll.ciqfunctions.udf.CIQ($G274, "IQ_SHARESOUTSTANDING", GR$222),"--")</f>
        <v>0</v>
      </c>
      <c r="GS274" s="2132">
        <f>IF(GS$221,_xll.ciqfunctions.udf.CIQ($G274, "IQ_SHARESOUTSTANDING", GS$222),"--")</f>
        <v>0</v>
      </c>
      <c r="GT274" s="2132">
        <f>IF(GT$221,_xll.ciqfunctions.udf.CIQ($G274, "IQ_SHARESOUTSTANDING", GT$222),"--")</f>
        <v>0</v>
      </c>
      <c r="GU274" s="2132">
        <f>IF(GU$221,_xll.ciqfunctions.udf.CIQ($G274, "IQ_SHARESOUTSTANDING", GU$222),"--")</f>
        <v>0</v>
      </c>
      <c r="GV274" s="2132">
        <f>IF(GV$221,_xll.ciqfunctions.udf.CIQ($G274, "IQ_SHARESOUTSTANDING", GV$222),"--")</f>
        <v>0</v>
      </c>
      <c r="GW274" s="2132">
        <f>IF(GW$221,_xll.ciqfunctions.udf.CIQ($G274, "IQ_SHARESOUTSTANDING", GW$222),"--")</f>
        <v>0</v>
      </c>
      <c r="GX274" s="2132">
        <f>IF(GX$221,_xll.ciqfunctions.udf.CIQ($G274, "IQ_SHARESOUTSTANDING", GX$222),"--")</f>
        <v>0</v>
      </c>
      <c r="GY274" s="2132">
        <f>IF(GY$221,_xll.ciqfunctions.udf.CIQ($G274, "IQ_SHARESOUTSTANDING", GY$222),"--")</f>
        <v>0</v>
      </c>
      <c r="GZ274" s="2132">
        <f>IF(GZ$221,_xll.ciqfunctions.udf.CIQ($G274, "IQ_SHARESOUTSTANDING", GZ$222),"--")</f>
        <v>0</v>
      </c>
      <c r="HA274" s="2132">
        <f>IF(HA$221,_xll.ciqfunctions.udf.CIQ($G274, "IQ_SHARESOUTSTANDING", HA$222),"--")</f>
        <v>0</v>
      </c>
      <c r="HB274" s="2132">
        <f>IF(HB$221,_xll.ciqfunctions.udf.CIQ($G274, "IQ_SHARESOUTSTANDING", HB$222),"--")</f>
        <v>0</v>
      </c>
      <c r="HC274" s="2132">
        <f>IF(HC$221,_xll.ciqfunctions.udf.CIQ($G274, "IQ_SHARESOUTSTANDING", HC$222),"--")</f>
        <v>0</v>
      </c>
      <c r="HD274" s="2132">
        <f>IF(HD$221,_xll.ciqfunctions.udf.CIQ($G274, "IQ_SHARESOUTSTANDING", HD$222),"--")</f>
        <v>0</v>
      </c>
      <c r="HE274" s="2132">
        <f>IF(HE$221,_xll.ciqfunctions.udf.CIQ($G274, "IQ_SHARESOUTSTANDING", HE$222),"--")</f>
        <v>0</v>
      </c>
      <c r="HF274" s="2132">
        <f>IF(HF$221,_xll.ciqfunctions.udf.CIQ($G274, "IQ_SHARESOUTSTANDING", HF$222),"--")</f>
        <v>0</v>
      </c>
      <c r="HG274" s="2132">
        <f>IF(HG$221,_xll.ciqfunctions.udf.CIQ($G274, "IQ_SHARESOUTSTANDING", HG$222),"--")</f>
        <v>0</v>
      </c>
      <c r="HH274" s="2132">
        <f>IF(HH$221,_xll.ciqfunctions.udf.CIQ($G274, "IQ_SHARESOUTSTANDING", HH$222),"--")</f>
        <v>0</v>
      </c>
      <c r="HI274" s="2132">
        <f>IF(HI$221,_xll.ciqfunctions.udf.CIQ($G274, "IQ_SHARESOUTSTANDING", HI$222),"--")</f>
        <v>0</v>
      </c>
      <c r="HJ274" s="2132">
        <f>IF(HJ$221,_xll.ciqfunctions.udf.CIQ($G274, "IQ_SHARESOUTSTANDING", HJ$222),"--")</f>
        <v>0</v>
      </c>
      <c r="HK274" s="2132">
        <f>IF(HK$221,_xll.ciqfunctions.udf.CIQ($G274, "IQ_SHARESOUTSTANDING", HK$222),"--")</f>
        <v>0</v>
      </c>
      <c r="HL274" s="2132">
        <f>IF(HL$221,_xll.ciqfunctions.udf.CIQ($G274, "IQ_SHARESOUTSTANDING", HL$222),"--")</f>
        <v>0</v>
      </c>
      <c r="HM274" s="2132">
        <f>IF(HM$221,_xll.ciqfunctions.udf.CIQ($G274, "IQ_SHARESOUTSTANDING", HM$222),"--")</f>
        <v>0</v>
      </c>
      <c r="HN274" s="2132">
        <f>IF(HN$221,_xll.ciqfunctions.udf.CIQ($G274, "IQ_SHARESOUTSTANDING", HN$222),"--")</f>
        <v>0</v>
      </c>
      <c r="HO274" s="2132">
        <f>IF(HO$221,_xll.ciqfunctions.udf.CIQ($G274, "IQ_SHARESOUTSTANDING", HO$222),"--")</f>
        <v>0</v>
      </c>
      <c r="HP274" s="2132">
        <f>IF(HP$221,_xll.ciqfunctions.udf.CIQ($G274, "IQ_SHARESOUTSTANDING", HP$222),"--")</f>
        <v>0</v>
      </c>
      <c r="HQ274" s="2132">
        <f>IF(HQ$221,_xll.ciqfunctions.udf.CIQ($G274, "IQ_SHARESOUTSTANDING", HQ$222),"--")</f>
        <v>0</v>
      </c>
      <c r="HR274" s="2132">
        <f>IF(HR$221,_xll.ciqfunctions.udf.CIQ($G274, "IQ_SHARESOUTSTANDING", HR$222),"--")</f>
        <v>0</v>
      </c>
      <c r="HS274" s="2132">
        <f>IF(HS$221,_xll.ciqfunctions.udf.CIQ($G274, "IQ_SHARESOUTSTANDING", HS$222),"--")</f>
        <v>0</v>
      </c>
      <c r="HT274" s="2132">
        <f>IF(HT$221,_xll.ciqfunctions.udf.CIQ($G274, "IQ_SHARESOUTSTANDING", HT$222),"--")</f>
        <v>0</v>
      </c>
      <c r="HU274" s="2132">
        <f>IF(HU$221,_xll.ciqfunctions.udf.CIQ($G274, "IQ_SHARESOUTSTANDING", HU$222),"--")</f>
        <v>0</v>
      </c>
      <c r="HV274" s="2132">
        <f>IF(HV$221,_xll.ciqfunctions.udf.CIQ($G274, "IQ_SHARESOUTSTANDING", HV$222),"--")</f>
        <v>0</v>
      </c>
      <c r="HW274" s="2132">
        <f>IF(HW$221,_xll.ciqfunctions.udf.CIQ($G274, "IQ_SHARESOUTSTANDING", HW$222),"--")</f>
        <v>0</v>
      </c>
      <c r="HX274" s="2132">
        <f>IF(HX$221,_xll.ciqfunctions.udf.CIQ($G274, "IQ_SHARESOUTSTANDING", HX$222),"--")</f>
        <v>0</v>
      </c>
      <c r="HY274" s="2132">
        <f>IF(HY$221,_xll.ciqfunctions.udf.CIQ($G274, "IQ_SHARESOUTSTANDING", HY$222),"--")</f>
        <v>0</v>
      </c>
      <c r="HZ274" s="2132">
        <f>IF(HZ$221,_xll.ciqfunctions.udf.CIQ($G274, "IQ_SHARESOUTSTANDING", HZ$222),"--")</f>
        <v>0</v>
      </c>
      <c r="IA274" s="2132">
        <f>IF(IA$221,_xll.ciqfunctions.udf.CIQ($G274, "IQ_SHARESOUTSTANDING", IA$222),"--")</f>
        <v>0</v>
      </c>
      <c r="IB274" s="2132">
        <f>IF(IB$221,_xll.ciqfunctions.udf.CIQ($G274, "IQ_SHARESOUTSTANDING", IB$222),"--")</f>
        <v>0</v>
      </c>
      <c r="IC274" s="2132">
        <f>IF(IC$221,_xll.ciqfunctions.udf.CIQ($G274, "IQ_SHARESOUTSTANDING", IC$222),"--")</f>
        <v>0</v>
      </c>
      <c r="ID274" s="2132">
        <f>IF(ID$221,_xll.ciqfunctions.udf.CIQ($G274, "IQ_SHARESOUTSTANDING", ID$222),"--")</f>
        <v>0</v>
      </c>
      <c r="IE274" s="2132">
        <f>IF(IE$221,_xll.ciqfunctions.udf.CIQ($G274, "IQ_SHARESOUTSTANDING", IE$222),"--")</f>
        <v>0</v>
      </c>
      <c r="IF274" s="2132">
        <f>IF(IF$221,_xll.ciqfunctions.udf.CIQ($G274, "IQ_SHARESOUTSTANDING", IF$222),"--")</f>
        <v>0</v>
      </c>
      <c r="IG274" s="2132">
        <f>IF(IG$221,_xll.ciqfunctions.udf.CIQ($G274, "IQ_SHARESOUTSTANDING", IG$222),"--")</f>
        <v>0</v>
      </c>
      <c r="IH274" s="2132">
        <f>IF(IH$221,_xll.ciqfunctions.udf.CIQ($G274, "IQ_SHARESOUTSTANDING", IH$222),"--")</f>
        <v>0</v>
      </c>
      <c r="II274" s="2132">
        <f>IF(II$221,_xll.ciqfunctions.udf.CIQ($G274, "IQ_SHARESOUTSTANDING", II$222),"--")</f>
        <v>0</v>
      </c>
      <c r="IJ274" s="2132">
        <f>IF(IJ$221,_xll.ciqfunctions.udf.CIQ($G274, "IQ_SHARESOUTSTANDING", IJ$222),"--")</f>
        <v>0</v>
      </c>
      <c r="IK274" s="2132">
        <f>IF(IK$221,_xll.ciqfunctions.udf.CIQ($G274, "IQ_SHARESOUTSTANDING", IK$222),"--")</f>
        <v>0</v>
      </c>
      <c r="IL274" s="2132">
        <f>IF(IL$221,_xll.ciqfunctions.udf.CIQ($G274, "IQ_SHARESOUTSTANDING", IL$222),"--")</f>
        <v>0</v>
      </c>
      <c r="IM274" s="2132">
        <f>IF(IM$221,_xll.ciqfunctions.udf.CIQ($G274, "IQ_SHARESOUTSTANDING", IM$222),"--")</f>
        <v>0</v>
      </c>
      <c r="IN274" s="2132">
        <f>IF(IN$221,_xll.ciqfunctions.udf.CIQ($G274, "IQ_SHARESOUTSTANDING", IN$222),"--")</f>
        <v>0</v>
      </c>
      <c r="IO274" s="2132">
        <f>IF(IO$221,_xll.ciqfunctions.udf.CIQ($G274, "IQ_SHARESOUTSTANDING", IO$222),"--")</f>
        <v>0</v>
      </c>
      <c r="IP274" s="2132">
        <f>IF(IP$221,_xll.ciqfunctions.udf.CIQ($G274, "IQ_SHARESOUTSTANDING", IP$222),"--")</f>
        <v>0</v>
      </c>
      <c r="IQ274" s="2132">
        <f>IF(IQ$221,_xll.ciqfunctions.udf.CIQ($G274, "IQ_SHARESOUTSTANDING", IQ$222),"--")</f>
        <v>0</v>
      </c>
      <c r="IR274" s="2132">
        <f>IF(IR$221,_xll.ciqfunctions.udf.CIQ($G274, "IQ_SHARESOUTSTANDING", IR$222),"--")</f>
        <v>0</v>
      </c>
      <c r="IS274" s="2132">
        <f>IF(IS$221,_xll.ciqfunctions.udf.CIQ($G274, "IQ_SHARESOUTSTANDING", IS$222),"--")</f>
        <v>0</v>
      </c>
      <c r="IT274" s="2132">
        <f>IF(IT$221,_xll.ciqfunctions.udf.CIQ($G274, "IQ_SHARESOUTSTANDING", IT$222),"--")</f>
        <v>0</v>
      </c>
      <c r="IU274" s="2132">
        <f>IF(IU$221,_xll.ciqfunctions.udf.CIQ($G274, "IQ_SHARESOUTSTANDING", IU$222),"--")</f>
        <v>0</v>
      </c>
      <c r="IV274" s="2132">
        <f>IF(IV$221,_xll.ciqfunctions.udf.CIQ($G274, "IQ_SHARESOUTSTANDING", IV$222),"--")</f>
        <v>0</v>
      </c>
      <c r="IW274" s="2132">
        <f>IF(IW$221,_xll.ciqfunctions.udf.CIQ($G274, "IQ_SHARESOUTSTANDING", IW$222),"--")</f>
        <v>0</v>
      </c>
      <c r="IX274" s="2132">
        <f>IF(IX$221,_xll.ciqfunctions.udf.CIQ($G274, "IQ_SHARESOUTSTANDING", IX$222),"--")</f>
        <v>0</v>
      </c>
      <c r="IY274" s="2132">
        <f>IF(IY$221,_xll.ciqfunctions.udf.CIQ($G274, "IQ_SHARESOUTSTANDING", IY$222),"--")</f>
        <v>0</v>
      </c>
      <c r="IZ274" s="2132">
        <f>IF(IZ$221,_xll.ciqfunctions.udf.CIQ($G274, "IQ_SHARESOUTSTANDING", IZ$222),"--")</f>
        <v>0</v>
      </c>
      <c r="JA274" s="2132">
        <f>IF(JA$221,_xll.ciqfunctions.udf.CIQ($G274, "IQ_SHARESOUTSTANDING", JA$222),"--")</f>
        <v>0</v>
      </c>
      <c r="JB274" s="2132">
        <f>IF(JB$221,_xll.ciqfunctions.udf.CIQ($G274, "IQ_SHARESOUTSTANDING", JB$222),"--")</f>
        <v>0</v>
      </c>
      <c r="JC274" s="2132">
        <f>IF(JC$221,_xll.ciqfunctions.udf.CIQ($G274, "IQ_SHARESOUTSTANDING", JC$222),"--")</f>
        <v>0</v>
      </c>
      <c r="JD274" s="2132">
        <f>IF(JD$221,_xll.ciqfunctions.udf.CIQ($G274, "IQ_SHARESOUTSTANDING", JD$222),"--")</f>
        <v>0</v>
      </c>
      <c r="JE274" s="2132">
        <f>IF(JE$221,_xll.ciqfunctions.udf.CIQ($G274, "IQ_SHARESOUTSTANDING", JE$222),"--")</f>
        <v>0</v>
      </c>
      <c r="JF274" s="2132">
        <f>IF(JF$221,_xll.ciqfunctions.udf.CIQ($G274, "IQ_SHARESOUTSTANDING", JF$222),"--")</f>
        <v>0</v>
      </c>
      <c r="JG274" s="2132">
        <f>IF(JG$221,_xll.ciqfunctions.udf.CIQ($G274, "IQ_SHARESOUTSTANDING", JG$222),"--")</f>
        <v>0</v>
      </c>
      <c r="JH274" s="2132">
        <f>IF(JH$221,_xll.ciqfunctions.udf.CIQ($G274, "IQ_SHARESOUTSTANDING", JH$222),"--")</f>
        <v>0</v>
      </c>
      <c r="JI274" s="2132">
        <f>IF(JI$221,_xll.ciqfunctions.udf.CIQ($G274, "IQ_SHARESOUTSTANDING", JI$222),"--")</f>
        <v>0</v>
      </c>
      <c r="JJ274" s="2132">
        <f>IF(JJ$221,_xll.ciqfunctions.udf.CIQ($G274, "IQ_SHARESOUTSTANDING", JJ$222),"--")</f>
        <v>0</v>
      </c>
      <c r="JK274" s="2132">
        <f>IF(JK$221,_xll.ciqfunctions.udf.CIQ($G274, "IQ_SHARESOUTSTANDING", JK$222),"--")</f>
        <v>0</v>
      </c>
      <c r="JL274" s="2132">
        <f>IF(JL$221,_xll.ciqfunctions.udf.CIQ($G274, "IQ_SHARESOUTSTANDING", JL$222),"--")</f>
        <v>0</v>
      </c>
      <c r="JM274" s="2132">
        <f>IF(JM$221,_xll.ciqfunctions.udf.CIQ($G274, "IQ_SHARESOUTSTANDING", JM$222),"--")</f>
        <v>0</v>
      </c>
      <c r="JN274" s="2132">
        <f>IF(JN$221,_xll.ciqfunctions.udf.CIQ($G274, "IQ_SHARESOUTSTANDING", JN$222),"--")</f>
        <v>0</v>
      </c>
      <c r="JO274" s="2132">
        <f>IF(JO$221,_xll.ciqfunctions.udf.CIQ($G274, "IQ_SHARESOUTSTANDING", JO$222),"--")</f>
        <v>0</v>
      </c>
      <c r="JP274" s="2132">
        <f>IF(JP$221,_xll.ciqfunctions.udf.CIQ($G274, "IQ_SHARESOUTSTANDING", JP$222),"--")</f>
        <v>0</v>
      </c>
      <c r="JQ274" s="2132">
        <f>IF(JQ$221,_xll.ciqfunctions.udf.CIQ($G274, "IQ_SHARESOUTSTANDING", JQ$222),"--")</f>
        <v>0</v>
      </c>
      <c r="JR274" s="2132">
        <f>IF(JR$221,_xll.ciqfunctions.udf.CIQ($G274, "IQ_SHARESOUTSTANDING", JR$222),"--")</f>
        <v>0</v>
      </c>
      <c r="JS274" s="2132">
        <f>IF(JS$221,_xll.ciqfunctions.udf.CIQ($G274, "IQ_SHARESOUTSTANDING", JS$222),"--")</f>
        <v>0</v>
      </c>
      <c r="JT274" s="2132">
        <f>IF(JT$221,_xll.ciqfunctions.udf.CIQ($G274, "IQ_SHARESOUTSTANDING", JT$222),"--")</f>
        <v>0</v>
      </c>
      <c r="JU274" s="2132">
        <f>IF(JU$221,_xll.ciqfunctions.udf.CIQ($G274, "IQ_SHARESOUTSTANDING", JU$222),"--")</f>
        <v>0</v>
      </c>
      <c r="JV274" s="2132">
        <f>IF(JV$221,_xll.ciqfunctions.udf.CIQ($G274, "IQ_SHARESOUTSTANDING", JV$222),"--")</f>
        <v>0</v>
      </c>
      <c r="JW274" s="2132" t="str">
        <f>IF(JW$221,_xll.ciqfunctions.udf.CIQ($G274, "IQ_SHARESOUTSTANDING", JW$222),"--")</f>
        <v>--</v>
      </c>
      <c r="JX274" s="2132" t="str">
        <f>IF(JX$221,_xll.ciqfunctions.udf.CIQ($G274, "IQ_SHARESOUTSTANDING", JX$222),"--")</f>
        <v>--</v>
      </c>
      <c r="JY274" s="2132" t="str">
        <f>IF(JY$221,_xll.ciqfunctions.udf.CIQ($G274, "IQ_SHARESOUTSTANDING", JY$222),"--")</f>
        <v>--</v>
      </c>
      <c r="JZ274" s="2132" t="str">
        <f>IF(JZ$221,_xll.ciqfunctions.udf.CIQ($G274, "IQ_SHARESOUTSTANDING", JZ$222),"--")</f>
        <v>--</v>
      </c>
      <c r="KA274" s="2132" t="str">
        <f>IF(KA$221,_xll.ciqfunctions.udf.CIQ($G274, "IQ_SHARESOUTSTANDING", KA$222),"--")</f>
        <v>--</v>
      </c>
      <c r="KB274" s="2132" t="str">
        <f>IF(KB$221,_xll.ciqfunctions.udf.CIQ($G274, "IQ_SHARESOUTSTANDING", KB$222),"--")</f>
        <v>--</v>
      </c>
    </row>
    <row r="275" spans="1:288" s="89" customFormat="1" ht="13.9">
      <c r="A275" s="269" t="str">
        <f t="shared" si="49"/>
        <v>n</v>
      </c>
      <c r="B275" s="2060"/>
      <c r="D275" s="801"/>
      <c r="E275" s="1505">
        <v>21</v>
      </c>
      <c r="F275" s="21" t="str">
        <f>F$149</f>
        <v>--</v>
      </c>
      <c r="G275" s="1441">
        <f>G$149</f>
        <v>0</v>
      </c>
      <c r="H275" s="1441" t="str">
        <f>H$149</f>
        <v>--</v>
      </c>
      <c r="I275" s="314" t="s">
        <v>783</v>
      </c>
      <c r="J275" s="314"/>
      <c r="K275" s="2301" t="str">
        <f>IF(OR(K212=0,$G275=0),"--",IFERROR(_xll.ciqfunctions.udf.CIQ($G275,$I275,K120,Valuation_Date_GC,ReportType,DataMode,$H275,FXMode)*Scale+K244*Pension10,"--"))</f>
        <v>--</v>
      </c>
      <c r="L275" s="2301" t="str">
        <f>IF(OR(L212=0,$G275=0),"--",IFERROR(_xll.ciqfunctions.udf.CIQ($G275,$I275,L120,Valuation_Date_GC,ReportType,DataMode,$H275,FXMode)*Scale+L244*Pension10,"--"))</f>
        <v>--</v>
      </c>
      <c r="M275" s="2301" t="str">
        <f>IF(OR(M212=0,$G275=0),"--",IFERROR(_xll.ciqfunctions.udf.CIQ($G275,$I275,M120,Valuation_Date_GC,ReportType,DataMode,$H275,FXMode)*Scale+M244*Pension10,"--"))</f>
        <v>--</v>
      </c>
      <c r="N275" s="2301" t="str">
        <f>IF(OR(N212=0,$G275=0),"--",IFERROR(_xll.ciqfunctions.udf.CIQ($G275,$I275,N120,Valuation_Date_GC,ReportType,DataMode,$H275,FXMode)*Scale+N244*Pension10,"--"))</f>
        <v>--</v>
      </c>
      <c r="O275" s="1471" t="str">
        <f>IF(OR(O212=0,$G275=0),"--",IFERROR(_xll.ciqfunctions.udf.CIQ($G275,$I275,O120,Valuation_Date_GC,ReportType,DataMode,$H275,FXMode)*Scale+O244*Pension10,"--"))</f>
        <v>--</v>
      </c>
      <c r="P275" s="2301" t="str">
        <f>IF(OR(P212=0,$G275=0),"--",IFERROR(_xll.ciqfunctions.udf.CIQ($G275,$I275,P120,Valuation_Date_GC,ReportType,DataMode,$H275,FXMode)*Scale+P244*Pension10,"--"))</f>
        <v>--</v>
      </c>
      <c r="R275" s="1466"/>
      <c r="T275" s="1779" t="s">
        <v>784</v>
      </c>
      <c r="U275" s="2132">
        <f>IF(U$221,_xll.ciqfunctions.udf.CIQ($G275, "IQ_SHARESOUTSTANDING", U$222),"--")</f>
        <v>0</v>
      </c>
      <c r="V275" s="2132">
        <f>IF(V$221,_xll.ciqfunctions.udf.CIQ($G275, "IQ_SHARESOUTSTANDING", V$222),"--")</f>
        <v>0</v>
      </c>
      <c r="W275" s="2132">
        <f>IF(W$221,_xll.ciqfunctions.udf.CIQ($G275, "IQ_SHARESOUTSTANDING", W$222),"--")</f>
        <v>0</v>
      </c>
      <c r="X275" s="2132">
        <f>IF(X$221,_xll.ciqfunctions.udf.CIQ($G275, "IQ_SHARESOUTSTANDING", X$222),"--")</f>
        <v>0</v>
      </c>
      <c r="Y275" s="2132">
        <f>IF(Y$221,_xll.ciqfunctions.udf.CIQ($G275, "IQ_SHARESOUTSTANDING", Y$222),"--")</f>
        <v>0</v>
      </c>
      <c r="Z275" s="2132">
        <f>IF(Z$221,_xll.ciqfunctions.udf.CIQ($G275, "IQ_SHARESOUTSTANDING", Z$222),"--")</f>
        <v>0</v>
      </c>
      <c r="AA275" s="2132">
        <f>IF(AA$221,_xll.ciqfunctions.udf.CIQ($G275, "IQ_SHARESOUTSTANDING", AA$222),"--")</f>
        <v>0</v>
      </c>
      <c r="AB275" s="2132">
        <f>IF(AB$221,_xll.ciqfunctions.udf.CIQ($G275, "IQ_SHARESOUTSTANDING", AB$222),"--")</f>
        <v>0</v>
      </c>
      <c r="AC275" s="2132">
        <f>IF(AC$221,_xll.ciqfunctions.udf.CIQ($G275, "IQ_SHARESOUTSTANDING", AC$222),"--")</f>
        <v>0</v>
      </c>
      <c r="AD275" s="2132">
        <f>IF(AD$221,_xll.ciqfunctions.udf.CIQ($G275, "IQ_SHARESOUTSTANDING", AD$222),"--")</f>
        <v>0</v>
      </c>
      <c r="AE275" s="2132">
        <f>IF(AE$221,_xll.ciqfunctions.udf.CIQ($G275, "IQ_SHARESOUTSTANDING", AE$222),"--")</f>
        <v>0</v>
      </c>
      <c r="AF275" s="2132">
        <f>IF(AF$221,_xll.ciqfunctions.udf.CIQ($G275, "IQ_SHARESOUTSTANDING", AF$222),"--")</f>
        <v>0</v>
      </c>
      <c r="AG275" s="2132">
        <f>IF(AG$221,_xll.ciqfunctions.udf.CIQ($G275, "IQ_SHARESOUTSTANDING", AG$222),"--")</f>
        <v>0</v>
      </c>
      <c r="AH275" s="2132">
        <f>IF(AH$221,_xll.ciqfunctions.udf.CIQ($G275, "IQ_SHARESOUTSTANDING", AH$222),"--")</f>
        <v>0</v>
      </c>
      <c r="AI275" s="2132">
        <f>IF(AI$221,_xll.ciqfunctions.udf.CIQ($G275, "IQ_SHARESOUTSTANDING", AI$222),"--")</f>
        <v>0</v>
      </c>
      <c r="AJ275" s="2132">
        <f>IF(AJ$221,_xll.ciqfunctions.udf.CIQ($G275, "IQ_SHARESOUTSTANDING", AJ$222),"--")</f>
        <v>0</v>
      </c>
      <c r="AK275" s="2132">
        <f>IF(AK$221,_xll.ciqfunctions.udf.CIQ($G275, "IQ_SHARESOUTSTANDING", AK$222),"--")</f>
        <v>0</v>
      </c>
      <c r="AL275" s="2132">
        <f>IF(AL$221,_xll.ciqfunctions.udf.CIQ($G275, "IQ_SHARESOUTSTANDING", AL$222),"--")</f>
        <v>0</v>
      </c>
      <c r="AM275" s="2132">
        <f>IF(AM$221,_xll.ciqfunctions.udf.CIQ($G275, "IQ_SHARESOUTSTANDING", AM$222),"--")</f>
        <v>0</v>
      </c>
      <c r="AN275" s="2132">
        <f>IF(AN$221,_xll.ciqfunctions.udf.CIQ($G275, "IQ_SHARESOUTSTANDING", AN$222),"--")</f>
        <v>0</v>
      </c>
      <c r="AO275" s="2132">
        <f>IF(AO$221,_xll.ciqfunctions.udf.CIQ($G275, "IQ_SHARESOUTSTANDING", AO$222),"--")</f>
        <v>0</v>
      </c>
      <c r="AP275" s="2132">
        <f>IF(AP$221,_xll.ciqfunctions.udf.CIQ($G275, "IQ_SHARESOUTSTANDING", AP$222),"--")</f>
        <v>0</v>
      </c>
      <c r="AQ275" s="2132">
        <f>IF(AQ$221,_xll.ciqfunctions.udf.CIQ($G275, "IQ_SHARESOUTSTANDING", AQ$222),"--")</f>
        <v>0</v>
      </c>
      <c r="AR275" s="2132">
        <f>IF(AR$221,_xll.ciqfunctions.udf.CIQ($G275, "IQ_SHARESOUTSTANDING", AR$222),"--")</f>
        <v>0</v>
      </c>
      <c r="AS275" s="2132">
        <f>IF(AS$221,_xll.ciqfunctions.udf.CIQ($G275, "IQ_SHARESOUTSTANDING", AS$222),"--")</f>
        <v>0</v>
      </c>
      <c r="AT275" s="2132">
        <f>IF(AT$221,_xll.ciqfunctions.udf.CIQ($G275, "IQ_SHARESOUTSTANDING", AT$222),"--")</f>
        <v>0</v>
      </c>
      <c r="AU275" s="2132">
        <f>IF(AU$221,_xll.ciqfunctions.udf.CIQ($G275, "IQ_SHARESOUTSTANDING", AU$222),"--")</f>
        <v>0</v>
      </c>
      <c r="AV275" s="2132">
        <f>IF(AV$221,_xll.ciqfunctions.udf.CIQ($G275, "IQ_SHARESOUTSTANDING", AV$222),"--")</f>
        <v>0</v>
      </c>
      <c r="AW275" s="2132">
        <f>IF(AW$221,_xll.ciqfunctions.udf.CIQ($G275, "IQ_SHARESOUTSTANDING", AW$222),"--")</f>
        <v>0</v>
      </c>
      <c r="AX275" s="2132">
        <f>IF(AX$221,_xll.ciqfunctions.udf.CIQ($G275, "IQ_SHARESOUTSTANDING", AX$222),"--")</f>
        <v>0</v>
      </c>
      <c r="AY275" s="2132">
        <f>IF(AY$221,_xll.ciqfunctions.udf.CIQ($G275, "IQ_SHARESOUTSTANDING", AY$222),"--")</f>
        <v>0</v>
      </c>
      <c r="AZ275" s="2132">
        <f>IF(AZ$221,_xll.ciqfunctions.udf.CIQ($G275, "IQ_SHARESOUTSTANDING", AZ$222),"--")</f>
        <v>0</v>
      </c>
      <c r="BA275" s="2132">
        <f>IF(BA$221,_xll.ciqfunctions.udf.CIQ($G275, "IQ_SHARESOUTSTANDING", BA$222),"--")</f>
        <v>0</v>
      </c>
      <c r="BB275" s="2132">
        <f>IF(BB$221,_xll.ciqfunctions.udf.CIQ($G275, "IQ_SHARESOUTSTANDING", BB$222),"--")</f>
        <v>0</v>
      </c>
      <c r="BC275" s="2132">
        <f>IF(BC$221,_xll.ciqfunctions.udf.CIQ($G275, "IQ_SHARESOUTSTANDING", BC$222),"--")</f>
        <v>0</v>
      </c>
      <c r="BD275" s="2132">
        <f>IF(BD$221,_xll.ciqfunctions.udf.CIQ($G275, "IQ_SHARESOUTSTANDING", BD$222),"--")</f>
        <v>0</v>
      </c>
      <c r="BE275" s="2132">
        <f>IF(BE$221,_xll.ciqfunctions.udf.CIQ($G275, "IQ_SHARESOUTSTANDING", BE$222),"--")</f>
        <v>0</v>
      </c>
      <c r="BF275" s="2132">
        <f>IF(BF$221,_xll.ciqfunctions.udf.CIQ($G275, "IQ_SHARESOUTSTANDING", BF$222),"--")</f>
        <v>0</v>
      </c>
      <c r="BG275" s="2132">
        <f>IF(BG$221,_xll.ciqfunctions.udf.CIQ($G275, "IQ_SHARESOUTSTANDING", BG$222),"--")</f>
        <v>0</v>
      </c>
      <c r="BH275" s="2132">
        <f>IF(BH$221,_xll.ciqfunctions.udf.CIQ($G275, "IQ_SHARESOUTSTANDING", BH$222),"--")</f>
        <v>0</v>
      </c>
      <c r="BI275" s="2132">
        <f>IF(BI$221,_xll.ciqfunctions.udf.CIQ($G275, "IQ_SHARESOUTSTANDING", BI$222),"--")</f>
        <v>0</v>
      </c>
      <c r="BJ275" s="2132">
        <f>IF(BJ$221,_xll.ciqfunctions.udf.CIQ($G275, "IQ_SHARESOUTSTANDING", BJ$222),"--")</f>
        <v>0</v>
      </c>
      <c r="BK275" s="2132">
        <f>IF(BK$221,_xll.ciqfunctions.udf.CIQ($G275, "IQ_SHARESOUTSTANDING", BK$222),"--")</f>
        <v>0</v>
      </c>
      <c r="BL275" s="2132">
        <f>IF(BL$221,_xll.ciqfunctions.udf.CIQ($G275, "IQ_SHARESOUTSTANDING", BL$222),"--")</f>
        <v>0</v>
      </c>
      <c r="BM275" s="2132">
        <f>IF(BM$221,_xll.ciqfunctions.udf.CIQ($G275, "IQ_SHARESOUTSTANDING", BM$222),"--")</f>
        <v>0</v>
      </c>
      <c r="BN275" s="2132">
        <f>IF(BN$221,_xll.ciqfunctions.udf.CIQ($G275, "IQ_SHARESOUTSTANDING", BN$222),"--")</f>
        <v>0</v>
      </c>
      <c r="BO275" s="2132">
        <f>IF(BO$221,_xll.ciqfunctions.udf.CIQ($G275, "IQ_SHARESOUTSTANDING", BO$222),"--")</f>
        <v>0</v>
      </c>
      <c r="BP275" s="2132">
        <f>IF(BP$221,_xll.ciqfunctions.udf.CIQ($G275, "IQ_SHARESOUTSTANDING", BP$222),"--")</f>
        <v>0</v>
      </c>
      <c r="BQ275" s="2132">
        <f>IF(BQ$221,_xll.ciqfunctions.udf.CIQ($G275, "IQ_SHARESOUTSTANDING", BQ$222),"--")</f>
        <v>0</v>
      </c>
      <c r="BR275" s="2132">
        <f>IF(BR$221,_xll.ciqfunctions.udf.CIQ($G275, "IQ_SHARESOUTSTANDING", BR$222),"--")</f>
        <v>0</v>
      </c>
      <c r="BS275" s="2132">
        <f>IF(BS$221,_xll.ciqfunctions.udf.CIQ($G275, "IQ_SHARESOUTSTANDING", BS$222),"--")</f>
        <v>0</v>
      </c>
      <c r="BT275" s="2132">
        <f>IF(BT$221,_xll.ciqfunctions.udf.CIQ($G275, "IQ_SHARESOUTSTANDING", BT$222),"--")</f>
        <v>0</v>
      </c>
      <c r="BU275" s="2132">
        <f>IF(BU$221,_xll.ciqfunctions.udf.CIQ($G275, "IQ_SHARESOUTSTANDING", BU$222),"--")</f>
        <v>0</v>
      </c>
      <c r="BV275" s="2132">
        <f>IF(BV$221,_xll.ciqfunctions.udf.CIQ($G275, "IQ_SHARESOUTSTANDING", BV$222),"--")</f>
        <v>0</v>
      </c>
      <c r="BW275" s="2132">
        <f>IF(BW$221,_xll.ciqfunctions.udf.CIQ($G275, "IQ_SHARESOUTSTANDING", BW$222),"--")</f>
        <v>0</v>
      </c>
      <c r="BX275" s="2132">
        <f>IF(BX$221,_xll.ciqfunctions.udf.CIQ($G275, "IQ_SHARESOUTSTANDING", BX$222),"--")</f>
        <v>0</v>
      </c>
      <c r="BY275" s="2132">
        <f>IF(BY$221,_xll.ciqfunctions.udf.CIQ($G275, "IQ_SHARESOUTSTANDING", BY$222),"--")</f>
        <v>0</v>
      </c>
      <c r="BZ275" s="2132">
        <f>IF(BZ$221,_xll.ciqfunctions.udf.CIQ($G275, "IQ_SHARESOUTSTANDING", BZ$222),"--")</f>
        <v>0</v>
      </c>
      <c r="CA275" s="2132">
        <f>IF(CA$221,_xll.ciqfunctions.udf.CIQ($G275, "IQ_SHARESOUTSTANDING", CA$222),"--")</f>
        <v>0</v>
      </c>
      <c r="CB275" s="2132">
        <f>IF(CB$221,_xll.ciqfunctions.udf.CIQ($G275, "IQ_SHARESOUTSTANDING", CB$222),"--")</f>
        <v>0</v>
      </c>
      <c r="CC275" s="2132">
        <f>IF(CC$221,_xll.ciqfunctions.udf.CIQ($G275, "IQ_SHARESOUTSTANDING", CC$222),"--")</f>
        <v>0</v>
      </c>
      <c r="CD275" s="2132">
        <f>IF(CD$221,_xll.ciqfunctions.udf.CIQ($G275, "IQ_SHARESOUTSTANDING", CD$222),"--")</f>
        <v>0</v>
      </c>
      <c r="CE275" s="2132">
        <f>IF(CE$221,_xll.ciqfunctions.udf.CIQ($G275, "IQ_SHARESOUTSTANDING", CE$222),"--")</f>
        <v>0</v>
      </c>
      <c r="CF275" s="2132">
        <f>IF(CF$221,_xll.ciqfunctions.udf.CIQ($G275, "IQ_SHARESOUTSTANDING", CF$222),"--")</f>
        <v>0</v>
      </c>
      <c r="CG275" s="2132">
        <f>IF(CG$221,_xll.ciqfunctions.udf.CIQ($G275, "IQ_SHARESOUTSTANDING", CG$222),"--")</f>
        <v>0</v>
      </c>
      <c r="CH275" s="2132">
        <f>IF(CH$221,_xll.ciqfunctions.udf.CIQ($G275, "IQ_SHARESOUTSTANDING", CH$222),"--")</f>
        <v>0</v>
      </c>
      <c r="CI275" s="2132">
        <f>IF(CI$221,_xll.ciqfunctions.udf.CIQ($G275, "IQ_SHARESOUTSTANDING", CI$222),"--")</f>
        <v>0</v>
      </c>
      <c r="CJ275" s="2132">
        <f>IF(CJ$221,_xll.ciqfunctions.udf.CIQ($G275, "IQ_SHARESOUTSTANDING", CJ$222),"--")</f>
        <v>0</v>
      </c>
      <c r="CK275" s="2132">
        <f>IF(CK$221,_xll.ciqfunctions.udf.CIQ($G275, "IQ_SHARESOUTSTANDING", CK$222),"--")</f>
        <v>0</v>
      </c>
      <c r="CL275" s="2132">
        <f>IF(CL$221,_xll.ciqfunctions.udf.CIQ($G275, "IQ_SHARESOUTSTANDING", CL$222),"--")</f>
        <v>0</v>
      </c>
      <c r="CM275" s="2132">
        <f>IF(CM$221,_xll.ciqfunctions.udf.CIQ($G275, "IQ_SHARESOUTSTANDING", CM$222),"--")</f>
        <v>0</v>
      </c>
      <c r="CN275" s="2132">
        <f>IF(CN$221,_xll.ciqfunctions.udf.CIQ($G275, "IQ_SHARESOUTSTANDING", CN$222),"--")</f>
        <v>0</v>
      </c>
      <c r="CO275" s="2132">
        <f>IF(CO$221,_xll.ciqfunctions.udf.CIQ($G275, "IQ_SHARESOUTSTANDING", CO$222),"--")</f>
        <v>0</v>
      </c>
      <c r="CP275" s="2132">
        <f>IF(CP$221,_xll.ciqfunctions.udf.CIQ($G275, "IQ_SHARESOUTSTANDING", CP$222),"--")</f>
        <v>0</v>
      </c>
      <c r="CQ275" s="2132">
        <f>IF(CQ$221,_xll.ciqfunctions.udf.CIQ($G275, "IQ_SHARESOUTSTANDING", CQ$222),"--")</f>
        <v>0</v>
      </c>
      <c r="CR275" s="2132">
        <f>IF(CR$221,_xll.ciqfunctions.udf.CIQ($G275, "IQ_SHARESOUTSTANDING", CR$222),"--")</f>
        <v>0</v>
      </c>
      <c r="CS275" s="2132">
        <f>IF(CS$221,_xll.ciqfunctions.udf.CIQ($G275, "IQ_SHARESOUTSTANDING", CS$222),"--")</f>
        <v>0</v>
      </c>
      <c r="CT275" s="2132">
        <f>IF(CT$221,_xll.ciqfunctions.udf.CIQ($G275, "IQ_SHARESOUTSTANDING", CT$222),"--")</f>
        <v>0</v>
      </c>
      <c r="CU275" s="2132">
        <f>IF(CU$221,_xll.ciqfunctions.udf.CIQ($G275, "IQ_SHARESOUTSTANDING", CU$222),"--")</f>
        <v>0</v>
      </c>
      <c r="CV275" s="2132">
        <f>IF(CV$221,_xll.ciqfunctions.udf.CIQ($G275, "IQ_SHARESOUTSTANDING", CV$222),"--")</f>
        <v>0</v>
      </c>
      <c r="CW275" s="2132">
        <f>IF(CW$221,_xll.ciqfunctions.udf.CIQ($G275, "IQ_SHARESOUTSTANDING", CW$222),"--")</f>
        <v>0</v>
      </c>
      <c r="CX275" s="2132">
        <f>IF(CX$221,_xll.ciqfunctions.udf.CIQ($G275, "IQ_SHARESOUTSTANDING", CX$222),"--")</f>
        <v>0</v>
      </c>
      <c r="CY275" s="2132">
        <f>IF(CY$221,_xll.ciqfunctions.udf.CIQ($G275, "IQ_SHARESOUTSTANDING", CY$222),"--")</f>
        <v>0</v>
      </c>
      <c r="CZ275" s="2132">
        <f>IF(CZ$221,_xll.ciqfunctions.udf.CIQ($G275, "IQ_SHARESOUTSTANDING", CZ$222),"--")</f>
        <v>0</v>
      </c>
      <c r="DA275" s="2132">
        <f>IF(DA$221,_xll.ciqfunctions.udf.CIQ($G275, "IQ_SHARESOUTSTANDING", DA$222),"--")</f>
        <v>0</v>
      </c>
      <c r="DB275" s="2132">
        <f>IF(DB$221,_xll.ciqfunctions.udf.CIQ($G275, "IQ_SHARESOUTSTANDING", DB$222),"--")</f>
        <v>0</v>
      </c>
      <c r="DC275" s="2132">
        <f>IF(DC$221,_xll.ciqfunctions.udf.CIQ($G275, "IQ_SHARESOUTSTANDING", DC$222),"--")</f>
        <v>0</v>
      </c>
      <c r="DD275" s="2132">
        <f>IF(DD$221,_xll.ciqfunctions.udf.CIQ($G275, "IQ_SHARESOUTSTANDING", DD$222),"--")</f>
        <v>0</v>
      </c>
      <c r="DE275" s="2132">
        <f>IF(DE$221,_xll.ciqfunctions.udf.CIQ($G275, "IQ_SHARESOUTSTANDING", DE$222),"--")</f>
        <v>0</v>
      </c>
      <c r="DF275" s="2132">
        <f>IF(DF$221,_xll.ciqfunctions.udf.CIQ($G275, "IQ_SHARESOUTSTANDING", DF$222),"--")</f>
        <v>0</v>
      </c>
      <c r="DG275" s="2132">
        <f>IF(DG$221,_xll.ciqfunctions.udf.CIQ($G275, "IQ_SHARESOUTSTANDING", DG$222),"--")</f>
        <v>0</v>
      </c>
      <c r="DH275" s="2132">
        <f>IF(DH$221,_xll.ciqfunctions.udf.CIQ($G275, "IQ_SHARESOUTSTANDING", DH$222),"--")</f>
        <v>0</v>
      </c>
      <c r="DI275" s="2132">
        <f>IF(DI$221,_xll.ciqfunctions.udf.CIQ($G275, "IQ_SHARESOUTSTANDING", DI$222),"--")</f>
        <v>0</v>
      </c>
      <c r="DJ275" s="2132">
        <f>IF(DJ$221,_xll.ciqfunctions.udf.CIQ($G275, "IQ_SHARESOUTSTANDING", DJ$222),"--")</f>
        <v>0</v>
      </c>
      <c r="DK275" s="2132">
        <f>IF(DK$221,_xll.ciqfunctions.udf.CIQ($G275, "IQ_SHARESOUTSTANDING", DK$222),"--")</f>
        <v>0</v>
      </c>
      <c r="DL275" s="2132">
        <f>IF(DL$221,_xll.ciqfunctions.udf.CIQ($G275, "IQ_SHARESOUTSTANDING", DL$222),"--")</f>
        <v>0</v>
      </c>
      <c r="DM275" s="2132">
        <f>IF(DM$221,_xll.ciqfunctions.udf.CIQ($G275, "IQ_SHARESOUTSTANDING", DM$222),"--")</f>
        <v>0</v>
      </c>
      <c r="DN275" s="2132">
        <f>IF(DN$221,_xll.ciqfunctions.udf.CIQ($G275, "IQ_SHARESOUTSTANDING", DN$222),"--")</f>
        <v>0</v>
      </c>
      <c r="DO275" s="2132">
        <f>IF(DO$221,_xll.ciqfunctions.udf.CIQ($G275, "IQ_SHARESOUTSTANDING", DO$222),"--")</f>
        <v>0</v>
      </c>
      <c r="DP275" s="2132">
        <f>IF(DP$221,_xll.ciqfunctions.udf.CIQ($G275, "IQ_SHARESOUTSTANDING", DP$222),"--")</f>
        <v>0</v>
      </c>
      <c r="DQ275" s="2132">
        <f>IF(DQ$221,_xll.ciqfunctions.udf.CIQ($G275, "IQ_SHARESOUTSTANDING", DQ$222),"--")</f>
        <v>0</v>
      </c>
      <c r="DR275" s="2132">
        <f>IF(DR$221,_xll.ciqfunctions.udf.CIQ($G275, "IQ_SHARESOUTSTANDING", DR$222),"--")</f>
        <v>0</v>
      </c>
      <c r="DS275" s="2132">
        <f>IF(DS$221,_xll.ciqfunctions.udf.CIQ($G275, "IQ_SHARESOUTSTANDING", DS$222),"--")</f>
        <v>0</v>
      </c>
      <c r="DT275" s="2132">
        <f>IF(DT$221,_xll.ciqfunctions.udf.CIQ($G275, "IQ_SHARESOUTSTANDING", DT$222),"--")</f>
        <v>0</v>
      </c>
      <c r="DU275" s="2132">
        <f>IF(DU$221,_xll.ciqfunctions.udf.CIQ($G275, "IQ_SHARESOUTSTANDING", DU$222),"--")</f>
        <v>0</v>
      </c>
      <c r="DV275" s="2132">
        <f>IF(DV$221,_xll.ciqfunctions.udf.CIQ($G275, "IQ_SHARESOUTSTANDING", DV$222),"--")</f>
        <v>0</v>
      </c>
      <c r="DW275" s="2132">
        <f>IF(DW$221,_xll.ciqfunctions.udf.CIQ($G275, "IQ_SHARESOUTSTANDING", DW$222),"--")</f>
        <v>0</v>
      </c>
      <c r="DX275" s="2132">
        <f>IF(DX$221,_xll.ciqfunctions.udf.CIQ($G275, "IQ_SHARESOUTSTANDING", DX$222),"--")</f>
        <v>0</v>
      </c>
      <c r="DY275" s="2132">
        <f>IF(DY$221,_xll.ciqfunctions.udf.CIQ($G275, "IQ_SHARESOUTSTANDING", DY$222),"--")</f>
        <v>0</v>
      </c>
      <c r="DZ275" s="2132">
        <f>IF(DZ$221,_xll.ciqfunctions.udf.CIQ($G275, "IQ_SHARESOUTSTANDING", DZ$222),"--")</f>
        <v>0</v>
      </c>
      <c r="EA275" s="2132">
        <f>IF(EA$221,_xll.ciqfunctions.udf.CIQ($G275, "IQ_SHARESOUTSTANDING", EA$222),"--")</f>
        <v>0</v>
      </c>
      <c r="EB275" s="2132">
        <f>IF(EB$221,_xll.ciqfunctions.udf.CIQ($G275, "IQ_SHARESOUTSTANDING", EB$222),"--")</f>
        <v>0</v>
      </c>
      <c r="EC275" s="2132">
        <f>IF(EC$221,_xll.ciqfunctions.udf.CIQ($G275, "IQ_SHARESOUTSTANDING", EC$222),"--")</f>
        <v>0</v>
      </c>
      <c r="ED275" s="2132">
        <f>IF(ED$221,_xll.ciqfunctions.udf.CIQ($G275, "IQ_SHARESOUTSTANDING", ED$222),"--")</f>
        <v>0</v>
      </c>
      <c r="EE275" s="2132">
        <f>IF(EE$221,_xll.ciqfunctions.udf.CIQ($G275, "IQ_SHARESOUTSTANDING", EE$222),"--")</f>
        <v>0</v>
      </c>
      <c r="EF275" s="2132">
        <f>IF(EF$221,_xll.ciqfunctions.udf.CIQ($G275, "IQ_SHARESOUTSTANDING", EF$222),"--")</f>
        <v>0</v>
      </c>
      <c r="EG275" s="2132">
        <f>IF(EG$221,_xll.ciqfunctions.udf.CIQ($G275, "IQ_SHARESOUTSTANDING", EG$222),"--")</f>
        <v>0</v>
      </c>
      <c r="EH275" s="2132">
        <f>IF(EH$221,_xll.ciqfunctions.udf.CIQ($G275, "IQ_SHARESOUTSTANDING", EH$222),"--")</f>
        <v>0</v>
      </c>
      <c r="EI275" s="2132">
        <f>IF(EI$221,_xll.ciqfunctions.udf.CIQ($G275, "IQ_SHARESOUTSTANDING", EI$222),"--")</f>
        <v>0</v>
      </c>
      <c r="EJ275" s="2132">
        <f>IF(EJ$221,_xll.ciqfunctions.udf.CIQ($G275, "IQ_SHARESOUTSTANDING", EJ$222),"--")</f>
        <v>0</v>
      </c>
      <c r="EK275" s="2132">
        <f>IF(EK$221,_xll.ciqfunctions.udf.CIQ($G275, "IQ_SHARESOUTSTANDING", EK$222),"--")</f>
        <v>0</v>
      </c>
      <c r="EL275" s="2132">
        <f>IF(EL$221,_xll.ciqfunctions.udf.CIQ($G275, "IQ_SHARESOUTSTANDING", EL$222),"--")</f>
        <v>0</v>
      </c>
      <c r="EM275" s="2132">
        <f>IF(EM$221,_xll.ciqfunctions.udf.CIQ($G275, "IQ_SHARESOUTSTANDING", EM$222),"--")</f>
        <v>0</v>
      </c>
      <c r="EN275" s="2132">
        <f>IF(EN$221,_xll.ciqfunctions.udf.CIQ($G275, "IQ_SHARESOUTSTANDING", EN$222),"--")</f>
        <v>0</v>
      </c>
      <c r="EO275" s="2132">
        <f>IF(EO$221,_xll.ciqfunctions.udf.CIQ($G275, "IQ_SHARESOUTSTANDING", EO$222),"--")</f>
        <v>0</v>
      </c>
      <c r="EP275" s="2132">
        <f>IF(EP$221,_xll.ciqfunctions.udf.CIQ($G275, "IQ_SHARESOUTSTANDING", EP$222),"--")</f>
        <v>0</v>
      </c>
      <c r="EQ275" s="2132">
        <f>IF(EQ$221,_xll.ciqfunctions.udf.CIQ($G275, "IQ_SHARESOUTSTANDING", EQ$222),"--")</f>
        <v>0</v>
      </c>
      <c r="ER275" s="2132">
        <f>IF(ER$221,_xll.ciqfunctions.udf.CIQ($G275, "IQ_SHARESOUTSTANDING", ER$222),"--")</f>
        <v>0</v>
      </c>
      <c r="ES275" s="2132">
        <f>IF(ES$221,_xll.ciqfunctions.udf.CIQ($G275, "IQ_SHARESOUTSTANDING", ES$222),"--")</f>
        <v>0</v>
      </c>
      <c r="ET275" s="2132">
        <f>IF(ET$221,_xll.ciqfunctions.udf.CIQ($G275, "IQ_SHARESOUTSTANDING", ET$222),"--")</f>
        <v>0</v>
      </c>
      <c r="EU275" s="2132">
        <f>IF(EU$221,_xll.ciqfunctions.udf.CIQ($G275, "IQ_SHARESOUTSTANDING", EU$222),"--")</f>
        <v>0</v>
      </c>
      <c r="EV275" s="2132">
        <f>IF(EV$221,_xll.ciqfunctions.udf.CIQ($G275, "IQ_SHARESOUTSTANDING", EV$222),"--")</f>
        <v>0</v>
      </c>
      <c r="EW275" s="2132">
        <f>IF(EW$221,_xll.ciqfunctions.udf.CIQ($G275, "IQ_SHARESOUTSTANDING", EW$222),"--")</f>
        <v>0</v>
      </c>
      <c r="EX275" s="2132">
        <f>IF(EX$221,_xll.ciqfunctions.udf.CIQ($G275, "IQ_SHARESOUTSTANDING", EX$222),"--")</f>
        <v>0</v>
      </c>
      <c r="EY275" s="2132">
        <f>IF(EY$221,_xll.ciqfunctions.udf.CIQ($G275, "IQ_SHARESOUTSTANDING", EY$222),"--")</f>
        <v>0</v>
      </c>
      <c r="EZ275" s="2132">
        <f>IF(EZ$221,_xll.ciqfunctions.udf.CIQ($G275, "IQ_SHARESOUTSTANDING", EZ$222),"--")</f>
        <v>0</v>
      </c>
      <c r="FA275" s="2132">
        <f>IF(FA$221,_xll.ciqfunctions.udf.CIQ($G275, "IQ_SHARESOUTSTANDING", FA$222),"--")</f>
        <v>0</v>
      </c>
      <c r="FB275" s="2132">
        <f>IF(FB$221,_xll.ciqfunctions.udf.CIQ($G275, "IQ_SHARESOUTSTANDING", FB$222),"--")</f>
        <v>0</v>
      </c>
      <c r="FC275" s="2132">
        <f>IF(FC$221,_xll.ciqfunctions.udf.CIQ($G275, "IQ_SHARESOUTSTANDING", FC$222),"--")</f>
        <v>0</v>
      </c>
      <c r="FD275" s="2132">
        <f>IF(FD$221,_xll.ciqfunctions.udf.CIQ($G275, "IQ_SHARESOUTSTANDING", FD$222),"--")</f>
        <v>0</v>
      </c>
      <c r="FE275" s="2132">
        <f>IF(FE$221,_xll.ciqfunctions.udf.CIQ($G275, "IQ_SHARESOUTSTANDING", FE$222),"--")</f>
        <v>0</v>
      </c>
      <c r="FF275" s="2132">
        <f>IF(FF$221,_xll.ciqfunctions.udf.CIQ($G275, "IQ_SHARESOUTSTANDING", FF$222),"--")</f>
        <v>0</v>
      </c>
      <c r="FG275" s="2132">
        <f>IF(FG$221,_xll.ciqfunctions.udf.CIQ($G275, "IQ_SHARESOUTSTANDING", FG$222),"--")</f>
        <v>0</v>
      </c>
      <c r="FH275" s="2132">
        <f>IF(FH$221,_xll.ciqfunctions.udf.CIQ($G275, "IQ_SHARESOUTSTANDING", FH$222),"--")</f>
        <v>0</v>
      </c>
      <c r="FI275" s="2132">
        <f>IF(FI$221,_xll.ciqfunctions.udf.CIQ($G275, "IQ_SHARESOUTSTANDING", FI$222),"--")</f>
        <v>0</v>
      </c>
      <c r="FJ275" s="2132">
        <f>IF(FJ$221,_xll.ciqfunctions.udf.CIQ($G275, "IQ_SHARESOUTSTANDING", FJ$222),"--")</f>
        <v>0</v>
      </c>
      <c r="FK275" s="2132">
        <f>IF(FK$221,_xll.ciqfunctions.udf.CIQ($G275, "IQ_SHARESOUTSTANDING", FK$222),"--")</f>
        <v>0</v>
      </c>
      <c r="FL275" s="2132">
        <f>IF(FL$221,_xll.ciqfunctions.udf.CIQ($G275, "IQ_SHARESOUTSTANDING", FL$222),"--")</f>
        <v>0</v>
      </c>
      <c r="FM275" s="2132">
        <f>IF(FM$221,_xll.ciqfunctions.udf.CIQ($G275, "IQ_SHARESOUTSTANDING", FM$222),"--")</f>
        <v>0</v>
      </c>
      <c r="FN275" s="2132">
        <f>IF(FN$221,_xll.ciqfunctions.udf.CIQ($G275, "IQ_SHARESOUTSTANDING", FN$222),"--")</f>
        <v>0</v>
      </c>
      <c r="FO275" s="2132">
        <f>IF(FO$221,_xll.ciqfunctions.udf.CIQ($G275, "IQ_SHARESOUTSTANDING", FO$222),"--")</f>
        <v>0</v>
      </c>
      <c r="FP275" s="2132">
        <f>IF(FP$221,_xll.ciqfunctions.udf.CIQ($G275, "IQ_SHARESOUTSTANDING", FP$222),"--")</f>
        <v>0</v>
      </c>
      <c r="FQ275" s="2132">
        <f>IF(FQ$221,_xll.ciqfunctions.udf.CIQ($G275, "IQ_SHARESOUTSTANDING", FQ$222),"--")</f>
        <v>0</v>
      </c>
      <c r="FR275" s="2132">
        <f>IF(FR$221,_xll.ciqfunctions.udf.CIQ($G275, "IQ_SHARESOUTSTANDING", FR$222),"--")</f>
        <v>0</v>
      </c>
      <c r="FS275" s="2132">
        <f>IF(FS$221,_xll.ciqfunctions.udf.CIQ($G275, "IQ_SHARESOUTSTANDING", FS$222),"--")</f>
        <v>0</v>
      </c>
      <c r="FT275" s="2132">
        <f>IF(FT$221,_xll.ciqfunctions.udf.CIQ($G275, "IQ_SHARESOUTSTANDING", FT$222),"--")</f>
        <v>0</v>
      </c>
      <c r="FU275" s="2132">
        <f>IF(FU$221,_xll.ciqfunctions.udf.CIQ($G275, "IQ_SHARESOUTSTANDING", FU$222),"--")</f>
        <v>0</v>
      </c>
      <c r="FV275" s="2132">
        <f>IF(FV$221,_xll.ciqfunctions.udf.CIQ($G275, "IQ_SHARESOUTSTANDING", FV$222),"--")</f>
        <v>0</v>
      </c>
      <c r="FW275" s="2132">
        <f>IF(FW$221,_xll.ciqfunctions.udf.CIQ($G275, "IQ_SHARESOUTSTANDING", FW$222),"--")</f>
        <v>0</v>
      </c>
      <c r="FX275" s="2132">
        <f>IF(FX$221,_xll.ciqfunctions.udf.CIQ($G275, "IQ_SHARESOUTSTANDING", FX$222),"--")</f>
        <v>0</v>
      </c>
      <c r="FY275" s="2132">
        <f>IF(FY$221,_xll.ciqfunctions.udf.CIQ($G275, "IQ_SHARESOUTSTANDING", FY$222),"--")</f>
        <v>0</v>
      </c>
      <c r="FZ275" s="2132">
        <f>IF(FZ$221,_xll.ciqfunctions.udf.CIQ($G275, "IQ_SHARESOUTSTANDING", FZ$222),"--")</f>
        <v>0</v>
      </c>
      <c r="GA275" s="2132">
        <f>IF(GA$221,_xll.ciqfunctions.udf.CIQ($G275, "IQ_SHARESOUTSTANDING", GA$222),"--")</f>
        <v>0</v>
      </c>
      <c r="GB275" s="2132">
        <f>IF(GB$221,_xll.ciqfunctions.udf.CIQ($G275, "IQ_SHARESOUTSTANDING", GB$222),"--")</f>
        <v>0</v>
      </c>
      <c r="GC275" s="2132">
        <f>IF(GC$221,_xll.ciqfunctions.udf.CIQ($G275, "IQ_SHARESOUTSTANDING", GC$222),"--")</f>
        <v>0</v>
      </c>
      <c r="GD275" s="2132">
        <f>IF(GD$221,_xll.ciqfunctions.udf.CIQ($G275, "IQ_SHARESOUTSTANDING", GD$222),"--")</f>
        <v>0</v>
      </c>
      <c r="GE275" s="2132">
        <f>IF(GE$221,_xll.ciqfunctions.udf.CIQ($G275, "IQ_SHARESOUTSTANDING", GE$222),"--")</f>
        <v>0</v>
      </c>
      <c r="GF275" s="2132">
        <f>IF(GF$221,_xll.ciqfunctions.udf.CIQ($G275, "IQ_SHARESOUTSTANDING", GF$222),"--")</f>
        <v>0</v>
      </c>
      <c r="GG275" s="2132">
        <f>IF(GG$221,_xll.ciqfunctions.udf.CIQ($G275, "IQ_SHARESOUTSTANDING", GG$222),"--")</f>
        <v>0</v>
      </c>
      <c r="GH275" s="2132">
        <f>IF(GH$221,_xll.ciqfunctions.udf.CIQ($G275, "IQ_SHARESOUTSTANDING", GH$222),"--")</f>
        <v>0</v>
      </c>
      <c r="GI275" s="2132">
        <f>IF(GI$221,_xll.ciqfunctions.udf.CIQ($G275, "IQ_SHARESOUTSTANDING", GI$222),"--")</f>
        <v>0</v>
      </c>
      <c r="GJ275" s="2132">
        <f>IF(GJ$221,_xll.ciqfunctions.udf.CIQ($G275, "IQ_SHARESOUTSTANDING", GJ$222),"--")</f>
        <v>0</v>
      </c>
      <c r="GK275" s="2132">
        <f>IF(GK$221,_xll.ciqfunctions.udf.CIQ($G275, "IQ_SHARESOUTSTANDING", GK$222),"--")</f>
        <v>0</v>
      </c>
      <c r="GL275" s="2132">
        <f>IF(GL$221,_xll.ciqfunctions.udf.CIQ($G275, "IQ_SHARESOUTSTANDING", GL$222),"--")</f>
        <v>0</v>
      </c>
      <c r="GM275" s="2132">
        <f>IF(GM$221,_xll.ciqfunctions.udf.CIQ($G275, "IQ_SHARESOUTSTANDING", GM$222),"--")</f>
        <v>0</v>
      </c>
      <c r="GN275" s="2132">
        <f>IF(GN$221,_xll.ciqfunctions.udf.CIQ($G275, "IQ_SHARESOUTSTANDING", GN$222),"--")</f>
        <v>0</v>
      </c>
      <c r="GO275" s="2132">
        <f>IF(GO$221,_xll.ciqfunctions.udf.CIQ($G275, "IQ_SHARESOUTSTANDING", GO$222),"--")</f>
        <v>0</v>
      </c>
      <c r="GP275" s="2132">
        <f>IF(GP$221,_xll.ciqfunctions.udf.CIQ($G275, "IQ_SHARESOUTSTANDING", GP$222),"--")</f>
        <v>0</v>
      </c>
      <c r="GQ275" s="2132">
        <f>IF(GQ$221,_xll.ciqfunctions.udf.CIQ($G275, "IQ_SHARESOUTSTANDING", GQ$222),"--")</f>
        <v>0</v>
      </c>
      <c r="GR275" s="2132">
        <f>IF(GR$221,_xll.ciqfunctions.udf.CIQ($G275, "IQ_SHARESOUTSTANDING", GR$222),"--")</f>
        <v>0</v>
      </c>
      <c r="GS275" s="2132">
        <f>IF(GS$221,_xll.ciqfunctions.udf.CIQ($G275, "IQ_SHARESOUTSTANDING", GS$222),"--")</f>
        <v>0</v>
      </c>
      <c r="GT275" s="2132">
        <f>IF(GT$221,_xll.ciqfunctions.udf.CIQ($G275, "IQ_SHARESOUTSTANDING", GT$222),"--")</f>
        <v>0</v>
      </c>
      <c r="GU275" s="2132">
        <f>IF(GU$221,_xll.ciqfunctions.udf.CIQ($G275, "IQ_SHARESOUTSTANDING", GU$222),"--")</f>
        <v>0</v>
      </c>
      <c r="GV275" s="2132">
        <f>IF(GV$221,_xll.ciqfunctions.udf.CIQ($G275, "IQ_SHARESOUTSTANDING", GV$222),"--")</f>
        <v>0</v>
      </c>
      <c r="GW275" s="2132">
        <f>IF(GW$221,_xll.ciqfunctions.udf.CIQ($G275, "IQ_SHARESOUTSTANDING", GW$222),"--")</f>
        <v>0</v>
      </c>
      <c r="GX275" s="2132">
        <f>IF(GX$221,_xll.ciqfunctions.udf.CIQ($G275, "IQ_SHARESOUTSTANDING", GX$222),"--")</f>
        <v>0</v>
      </c>
      <c r="GY275" s="2132">
        <f>IF(GY$221,_xll.ciqfunctions.udf.CIQ($G275, "IQ_SHARESOUTSTANDING", GY$222),"--")</f>
        <v>0</v>
      </c>
      <c r="GZ275" s="2132">
        <f>IF(GZ$221,_xll.ciqfunctions.udf.CIQ($G275, "IQ_SHARESOUTSTANDING", GZ$222),"--")</f>
        <v>0</v>
      </c>
      <c r="HA275" s="2132">
        <f>IF(HA$221,_xll.ciqfunctions.udf.CIQ($G275, "IQ_SHARESOUTSTANDING", HA$222),"--")</f>
        <v>0</v>
      </c>
      <c r="HB275" s="2132">
        <f>IF(HB$221,_xll.ciqfunctions.udf.CIQ($G275, "IQ_SHARESOUTSTANDING", HB$222),"--")</f>
        <v>0</v>
      </c>
      <c r="HC275" s="2132">
        <f>IF(HC$221,_xll.ciqfunctions.udf.CIQ($G275, "IQ_SHARESOUTSTANDING", HC$222),"--")</f>
        <v>0</v>
      </c>
      <c r="HD275" s="2132">
        <f>IF(HD$221,_xll.ciqfunctions.udf.CIQ($G275, "IQ_SHARESOUTSTANDING", HD$222),"--")</f>
        <v>0</v>
      </c>
      <c r="HE275" s="2132">
        <f>IF(HE$221,_xll.ciqfunctions.udf.CIQ($G275, "IQ_SHARESOUTSTANDING", HE$222),"--")</f>
        <v>0</v>
      </c>
      <c r="HF275" s="2132">
        <f>IF(HF$221,_xll.ciqfunctions.udf.CIQ($G275, "IQ_SHARESOUTSTANDING", HF$222),"--")</f>
        <v>0</v>
      </c>
      <c r="HG275" s="2132">
        <f>IF(HG$221,_xll.ciqfunctions.udf.CIQ($G275, "IQ_SHARESOUTSTANDING", HG$222),"--")</f>
        <v>0</v>
      </c>
      <c r="HH275" s="2132">
        <f>IF(HH$221,_xll.ciqfunctions.udf.CIQ($G275, "IQ_SHARESOUTSTANDING", HH$222),"--")</f>
        <v>0</v>
      </c>
      <c r="HI275" s="2132">
        <f>IF(HI$221,_xll.ciqfunctions.udf.CIQ($G275, "IQ_SHARESOUTSTANDING", HI$222),"--")</f>
        <v>0</v>
      </c>
      <c r="HJ275" s="2132">
        <f>IF(HJ$221,_xll.ciqfunctions.udf.CIQ($G275, "IQ_SHARESOUTSTANDING", HJ$222),"--")</f>
        <v>0</v>
      </c>
      <c r="HK275" s="2132">
        <f>IF(HK$221,_xll.ciqfunctions.udf.CIQ($G275, "IQ_SHARESOUTSTANDING", HK$222),"--")</f>
        <v>0</v>
      </c>
      <c r="HL275" s="2132">
        <f>IF(HL$221,_xll.ciqfunctions.udf.CIQ($G275, "IQ_SHARESOUTSTANDING", HL$222),"--")</f>
        <v>0</v>
      </c>
      <c r="HM275" s="2132">
        <f>IF(HM$221,_xll.ciqfunctions.udf.CIQ($G275, "IQ_SHARESOUTSTANDING", HM$222),"--")</f>
        <v>0</v>
      </c>
      <c r="HN275" s="2132">
        <f>IF(HN$221,_xll.ciqfunctions.udf.CIQ($G275, "IQ_SHARESOUTSTANDING", HN$222),"--")</f>
        <v>0</v>
      </c>
      <c r="HO275" s="2132">
        <f>IF(HO$221,_xll.ciqfunctions.udf.CIQ($G275, "IQ_SHARESOUTSTANDING", HO$222),"--")</f>
        <v>0</v>
      </c>
      <c r="HP275" s="2132">
        <f>IF(HP$221,_xll.ciqfunctions.udf.CIQ($G275, "IQ_SHARESOUTSTANDING", HP$222),"--")</f>
        <v>0</v>
      </c>
      <c r="HQ275" s="2132">
        <f>IF(HQ$221,_xll.ciqfunctions.udf.CIQ($G275, "IQ_SHARESOUTSTANDING", HQ$222),"--")</f>
        <v>0</v>
      </c>
      <c r="HR275" s="2132">
        <f>IF(HR$221,_xll.ciqfunctions.udf.CIQ($G275, "IQ_SHARESOUTSTANDING", HR$222),"--")</f>
        <v>0</v>
      </c>
      <c r="HS275" s="2132">
        <f>IF(HS$221,_xll.ciqfunctions.udf.CIQ($G275, "IQ_SHARESOUTSTANDING", HS$222),"--")</f>
        <v>0</v>
      </c>
      <c r="HT275" s="2132">
        <f>IF(HT$221,_xll.ciqfunctions.udf.CIQ($G275, "IQ_SHARESOUTSTANDING", HT$222),"--")</f>
        <v>0</v>
      </c>
      <c r="HU275" s="2132">
        <f>IF(HU$221,_xll.ciqfunctions.udf.CIQ($G275, "IQ_SHARESOUTSTANDING", HU$222),"--")</f>
        <v>0</v>
      </c>
      <c r="HV275" s="2132">
        <f>IF(HV$221,_xll.ciqfunctions.udf.CIQ($G275, "IQ_SHARESOUTSTANDING", HV$222),"--")</f>
        <v>0</v>
      </c>
      <c r="HW275" s="2132">
        <f>IF(HW$221,_xll.ciqfunctions.udf.CIQ($G275, "IQ_SHARESOUTSTANDING", HW$222),"--")</f>
        <v>0</v>
      </c>
      <c r="HX275" s="2132">
        <f>IF(HX$221,_xll.ciqfunctions.udf.CIQ($G275, "IQ_SHARESOUTSTANDING", HX$222),"--")</f>
        <v>0</v>
      </c>
      <c r="HY275" s="2132">
        <f>IF(HY$221,_xll.ciqfunctions.udf.CIQ($G275, "IQ_SHARESOUTSTANDING", HY$222),"--")</f>
        <v>0</v>
      </c>
      <c r="HZ275" s="2132">
        <f>IF(HZ$221,_xll.ciqfunctions.udf.CIQ($G275, "IQ_SHARESOUTSTANDING", HZ$222),"--")</f>
        <v>0</v>
      </c>
      <c r="IA275" s="2132">
        <f>IF(IA$221,_xll.ciqfunctions.udf.CIQ($G275, "IQ_SHARESOUTSTANDING", IA$222),"--")</f>
        <v>0</v>
      </c>
      <c r="IB275" s="2132">
        <f>IF(IB$221,_xll.ciqfunctions.udf.CIQ($G275, "IQ_SHARESOUTSTANDING", IB$222),"--")</f>
        <v>0</v>
      </c>
      <c r="IC275" s="2132">
        <f>IF(IC$221,_xll.ciqfunctions.udf.CIQ($G275, "IQ_SHARESOUTSTANDING", IC$222),"--")</f>
        <v>0</v>
      </c>
      <c r="ID275" s="2132">
        <f>IF(ID$221,_xll.ciqfunctions.udf.CIQ($G275, "IQ_SHARESOUTSTANDING", ID$222),"--")</f>
        <v>0</v>
      </c>
      <c r="IE275" s="2132">
        <f>IF(IE$221,_xll.ciqfunctions.udf.CIQ($G275, "IQ_SHARESOUTSTANDING", IE$222),"--")</f>
        <v>0</v>
      </c>
      <c r="IF275" s="2132">
        <f>IF(IF$221,_xll.ciqfunctions.udf.CIQ($G275, "IQ_SHARESOUTSTANDING", IF$222),"--")</f>
        <v>0</v>
      </c>
      <c r="IG275" s="2132">
        <f>IF(IG$221,_xll.ciqfunctions.udf.CIQ($G275, "IQ_SHARESOUTSTANDING", IG$222),"--")</f>
        <v>0</v>
      </c>
      <c r="IH275" s="2132">
        <f>IF(IH$221,_xll.ciqfunctions.udf.CIQ($G275, "IQ_SHARESOUTSTANDING", IH$222),"--")</f>
        <v>0</v>
      </c>
      <c r="II275" s="2132">
        <f>IF(II$221,_xll.ciqfunctions.udf.CIQ($G275, "IQ_SHARESOUTSTANDING", II$222),"--")</f>
        <v>0</v>
      </c>
      <c r="IJ275" s="2132">
        <f>IF(IJ$221,_xll.ciqfunctions.udf.CIQ($G275, "IQ_SHARESOUTSTANDING", IJ$222),"--")</f>
        <v>0</v>
      </c>
      <c r="IK275" s="2132">
        <f>IF(IK$221,_xll.ciqfunctions.udf.CIQ($G275, "IQ_SHARESOUTSTANDING", IK$222),"--")</f>
        <v>0</v>
      </c>
      <c r="IL275" s="2132">
        <f>IF(IL$221,_xll.ciqfunctions.udf.CIQ($G275, "IQ_SHARESOUTSTANDING", IL$222),"--")</f>
        <v>0</v>
      </c>
      <c r="IM275" s="2132">
        <f>IF(IM$221,_xll.ciqfunctions.udf.CIQ($G275, "IQ_SHARESOUTSTANDING", IM$222),"--")</f>
        <v>0</v>
      </c>
      <c r="IN275" s="2132">
        <f>IF(IN$221,_xll.ciqfunctions.udf.CIQ($G275, "IQ_SHARESOUTSTANDING", IN$222),"--")</f>
        <v>0</v>
      </c>
      <c r="IO275" s="2132">
        <f>IF(IO$221,_xll.ciqfunctions.udf.CIQ($G275, "IQ_SHARESOUTSTANDING", IO$222),"--")</f>
        <v>0</v>
      </c>
      <c r="IP275" s="2132">
        <f>IF(IP$221,_xll.ciqfunctions.udf.CIQ($G275, "IQ_SHARESOUTSTANDING", IP$222),"--")</f>
        <v>0</v>
      </c>
      <c r="IQ275" s="2132">
        <f>IF(IQ$221,_xll.ciqfunctions.udf.CIQ($G275, "IQ_SHARESOUTSTANDING", IQ$222),"--")</f>
        <v>0</v>
      </c>
      <c r="IR275" s="2132">
        <f>IF(IR$221,_xll.ciqfunctions.udf.CIQ($G275, "IQ_SHARESOUTSTANDING", IR$222),"--")</f>
        <v>0</v>
      </c>
      <c r="IS275" s="2132">
        <f>IF(IS$221,_xll.ciqfunctions.udf.CIQ($G275, "IQ_SHARESOUTSTANDING", IS$222),"--")</f>
        <v>0</v>
      </c>
      <c r="IT275" s="2132">
        <f>IF(IT$221,_xll.ciqfunctions.udf.CIQ($G275, "IQ_SHARESOUTSTANDING", IT$222),"--")</f>
        <v>0</v>
      </c>
      <c r="IU275" s="2132">
        <f>IF(IU$221,_xll.ciqfunctions.udf.CIQ($G275, "IQ_SHARESOUTSTANDING", IU$222),"--")</f>
        <v>0</v>
      </c>
      <c r="IV275" s="2132">
        <f>IF(IV$221,_xll.ciqfunctions.udf.CIQ($G275, "IQ_SHARESOUTSTANDING", IV$222),"--")</f>
        <v>0</v>
      </c>
      <c r="IW275" s="2132">
        <f>IF(IW$221,_xll.ciqfunctions.udf.CIQ($G275, "IQ_SHARESOUTSTANDING", IW$222),"--")</f>
        <v>0</v>
      </c>
      <c r="IX275" s="2132">
        <f>IF(IX$221,_xll.ciqfunctions.udf.CIQ($G275, "IQ_SHARESOUTSTANDING", IX$222),"--")</f>
        <v>0</v>
      </c>
      <c r="IY275" s="2132">
        <f>IF(IY$221,_xll.ciqfunctions.udf.CIQ($G275, "IQ_SHARESOUTSTANDING", IY$222),"--")</f>
        <v>0</v>
      </c>
      <c r="IZ275" s="2132">
        <f>IF(IZ$221,_xll.ciqfunctions.udf.CIQ($G275, "IQ_SHARESOUTSTANDING", IZ$222),"--")</f>
        <v>0</v>
      </c>
      <c r="JA275" s="2132">
        <f>IF(JA$221,_xll.ciqfunctions.udf.CIQ($G275, "IQ_SHARESOUTSTANDING", JA$222),"--")</f>
        <v>0</v>
      </c>
      <c r="JB275" s="2132">
        <f>IF(JB$221,_xll.ciqfunctions.udf.CIQ($G275, "IQ_SHARESOUTSTANDING", JB$222),"--")</f>
        <v>0</v>
      </c>
      <c r="JC275" s="2132">
        <f>IF(JC$221,_xll.ciqfunctions.udf.CIQ($G275, "IQ_SHARESOUTSTANDING", JC$222),"--")</f>
        <v>0</v>
      </c>
      <c r="JD275" s="2132">
        <f>IF(JD$221,_xll.ciqfunctions.udf.CIQ($G275, "IQ_SHARESOUTSTANDING", JD$222),"--")</f>
        <v>0</v>
      </c>
      <c r="JE275" s="2132">
        <f>IF(JE$221,_xll.ciqfunctions.udf.CIQ($G275, "IQ_SHARESOUTSTANDING", JE$222),"--")</f>
        <v>0</v>
      </c>
      <c r="JF275" s="2132">
        <f>IF(JF$221,_xll.ciqfunctions.udf.CIQ($G275, "IQ_SHARESOUTSTANDING", JF$222),"--")</f>
        <v>0</v>
      </c>
      <c r="JG275" s="2132">
        <f>IF(JG$221,_xll.ciqfunctions.udf.CIQ($G275, "IQ_SHARESOUTSTANDING", JG$222),"--")</f>
        <v>0</v>
      </c>
      <c r="JH275" s="2132">
        <f>IF(JH$221,_xll.ciqfunctions.udf.CIQ($G275, "IQ_SHARESOUTSTANDING", JH$222),"--")</f>
        <v>0</v>
      </c>
      <c r="JI275" s="2132">
        <f>IF(JI$221,_xll.ciqfunctions.udf.CIQ($G275, "IQ_SHARESOUTSTANDING", JI$222),"--")</f>
        <v>0</v>
      </c>
      <c r="JJ275" s="2132">
        <f>IF(JJ$221,_xll.ciqfunctions.udf.CIQ($G275, "IQ_SHARESOUTSTANDING", JJ$222),"--")</f>
        <v>0</v>
      </c>
      <c r="JK275" s="2132">
        <f>IF(JK$221,_xll.ciqfunctions.udf.CIQ($G275, "IQ_SHARESOUTSTANDING", JK$222),"--")</f>
        <v>0</v>
      </c>
      <c r="JL275" s="2132">
        <f>IF(JL$221,_xll.ciqfunctions.udf.CIQ($G275, "IQ_SHARESOUTSTANDING", JL$222),"--")</f>
        <v>0</v>
      </c>
      <c r="JM275" s="2132">
        <f>IF(JM$221,_xll.ciqfunctions.udf.CIQ($G275, "IQ_SHARESOUTSTANDING", JM$222),"--")</f>
        <v>0</v>
      </c>
      <c r="JN275" s="2132">
        <f>IF(JN$221,_xll.ciqfunctions.udf.CIQ($G275, "IQ_SHARESOUTSTANDING", JN$222),"--")</f>
        <v>0</v>
      </c>
      <c r="JO275" s="2132">
        <f>IF(JO$221,_xll.ciqfunctions.udf.CIQ($G275, "IQ_SHARESOUTSTANDING", JO$222),"--")</f>
        <v>0</v>
      </c>
      <c r="JP275" s="2132">
        <f>IF(JP$221,_xll.ciqfunctions.udf.CIQ($G275, "IQ_SHARESOUTSTANDING", JP$222),"--")</f>
        <v>0</v>
      </c>
      <c r="JQ275" s="2132">
        <f>IF(JQ$221,_xll.ciqfunctions.udf.CIQ($G275, "IQ_SHARESOUTSTANDING", JQ$222),"--")</f>
        <v>0</v>
      </c>
      <c r="JR275" s="2132">
        <f>IF(JR$221,_xll.ciqfunctions.udf.CIQ($G275, "IQ_SHARESOUTSTANDING", JR$222),"--")</f>
        <v>0</v>
      </c>
      <c r="JS275" s="2132">
        <f>IF(JS$221,_xll.ciqfunctions.udf.CIQ($G275, "IQ_SHARESOUTSTANDING", JS$222),"--")</f>
        <v>0</v>
      </c>
      <c r="JT275" s="2132">
        <f>IF(JT$221,_xll.ciqfunctions.udf.CIQ($G275, "IQ_SHARESOUTSTANDING", JT$222),"--")</f>
        <v>0</v>
      </c>
      <c r="JU275" s="2132">
        <f>IF(JU$221,_xll.ciqfunctions.udf.CIQ($G275, "IQ_SHARESOUTSTANDING", JU$222),"--")</f>
        <v>0</v>
      </c>
      <c r="JV275" s="2132">
        <f>IF(JV$221,_xll.ciqfunctions.udf.CIQ($G275, "IQ_SHARESOUTSTANDING", JV$222),"--")</f>
        <v>0</v>
      </c>
      <c r="JW275" s="2132" t="str">
        <f>IF(JW$221,_xll.ciqfunctions.udf.CIQ($G275, "IQ_SHARESOUTSTANDING", JW$222),"--")</f>
        <v>--</v>
      </c>
      <c r="JX275" s="2132" t="str">
        <f>IF(JX$221,_xll.ciqfunctions.udf.CIQ($G275, "IQ_SHARESOUTSTANDING", JX$222),"--")</f>
        <v>--</v>
      </c>
      <c r="JY275" s="2132" t="str">
        <f>IF(JY$221,_xll.ciqfunctions.udf.CIQ($G275, "IQ_SHARESOUTSTANDING", JY$222),"--")</f>
        <v>--</v>
      </c>
      <c r="JZ275" s="2132" t="str">
        <f>IF(JZ$221,_xll.ciqfunctions.udf.CIQ($G275, "IQ_SHARESOUTSTANDING", JZ$222),"--")</f>
        <v>--</v>
      </c>
      <c r="KA275" s="2132" t="str">
        <f>IF(KA$221,_xll.ciqfunctions.udf.CIQ($G275, "IQ_SHARESOUTSTANDING", KA$222),"--")</f>
        <v>--</v>
      </c>
      <c r="KB275" s="2132" t="str">
        <f>IF(KB$221,_xll.ciqfunctions.udf.CIQ($G275, "IQ_SHARESOUTSTANDING", KB$222),"--")</f>
        <v>--</v>
      </c>
    </row>
    <row r="276" spans="1:288" s="89" customFormat="1" ht="13.9">
      <c r="A276" s="269" t="str">
        <f t="shared" si="49"/>
        <v>n</v>
      </c>
      <c r="B276" s="2060"/>
      <c r="D276" s="801"/>
      <c r="E276" s="1505">
        <v>22</v>
      </c>
      <c r="F276" s="21" t="str">
        <f>F$150</f>
        <v>--</v>
      </c>
      <c r="G276" s="1441">
        <f>G$150</f>
        <v>0</v>
      </c>
      <c r="H276" s="1441" t="str">
        <f>H$150</f>
        <v>--</v>
      </c>
      <c r="I276" s="314" t="s">
        <v>783</v>
      </c>
      <c r="J276" s="314"/>
      <c r="K276" s="2301" t="str">
        <f>IF(OR(K213=0,$G276=0),"--",IFERROR(_xll.ciqfunctions.udf.CIQ($G276,$I276,K121,Valuation_Date_GC,ReportType,DataMode,$H276,FXMode)*Scale+K245*Pension10,"--"))</f>
        <v>--</v>
      </c>
      <c r="L276" s="2301" t="str">
        <f>IF(OR(L213=0,$G276=0),"--",IFERROR(_xll.ciqfunctions.udf.CIQ($G276,$I276,L121,Valuation_Date_GC,ReportType,DataMode,$H276,FXMode)*Scale+L245*Pension10,"--"))</f>
        <v>--</v>
      </c>
      <c r="M276" s="2301" t="str">
        <f>IF(OR(M213=0,$G276=0),"--",IFERROR(_xll.ciqfunctions.udf.CIQ($G276,$I276,M121,Valuation_Date_GC,ReportType,DataMode,$H276,FXMode)*Scale+M245*Pension10,"--"))</f>
        <v>--</v>
      </c>
      <c r="N276" s="2301" t="str">
        <f>IF(OR(N213=0,$G276=0),"--",IFERROR(_xll.ciqfunctions.udf.CIQ($G276,$I276,N121,Valuation_Date_GC,ReportType,DataMode,$H276,FXMode)*Scale+N245*Pension10,"--"))</f>
        <v>--</v>
      </c>
      <c r="O276" s="1471" t="str">
        <f>IF(OR(O213=0,$G276=0),"--",IFERROR(_xll.ciqfunctions.udf.CIQ($G276,$I276,O121,Valuation_Date_GC,ReportType,DataMode,$H276,FXMode)*Scale+O245*Pension10,"--"))</f>
        <v>--</v>
      </c>
      <c r="P276" s="2301" t="str">
        <f>IF(OR(P213=0,$G276=0),"--",IFERROR(_xll.ciqfunctions.udf.CIQ($G276,$I276,P121,Valuation_Date_GC,ReportType,DataMode,$H276,FXMode)*Scale+P245*Pension10,"--"))</f>
        <v>--</v>
      </c>
      <c r="R276" s="1466"/>
      <c r="T276" s="1779" t="s">
        <v>784</v>
      </c>
      <c r="U276" s="2132">
        <f>IF(U$221,_xll.ciqfunctions.udf.CIQ($G276, "IQ_SHARESOUTSTANDING", U$222),"--")</f>
        <v>0</v>
      </c>
      <c r="V276" s="2132">
        <f>IF(V$221,_xll.ciqfunctions.udf.CIQ($G276, "IQ_SHARESOUTSTANDING", V$222),"--")</f>
        <v>0</v>
      </c>
      <c r="W276" s="2132">
        <f>IF(W$221,_xll.ciqfunctions.udf.CIQ($G276, "IQ_SHARESOUTSTANDING", W$222),"--")</f>
        <v>0</v>
      </c>
      <c r="X276" s="2132">
        <f>IF(X$221,_xll.ciqfunctions.udf.CIQ($G276, "IQ_SHARESOUTSTANDING", X$222),"--")</f>
        <v>0</v>
      </c>
      <c r="Y276" s="2132">
        <f>IF(Y$221,_xll.ciqfunctions.udf.CIQ($G276, "IQ_SHARESOUTSTANDING", Y$222),"--")</f>
        <v>0</v>
      </c>
      <c r="Z276" s="2132">
        <f>IF(Z$221,_xll.ciqfunctions.udf.CIQ($G276, "IQ_SHARESOUTSTANDING", Z$222),"--")</f>
        <v>0</v>
      </c>
      <c r="AA276" s="2132">
        <f>IF(AA$221,_xll.ciqfunctions.udf.CIQ($G276, "IQ_SHARESOUTSTANDING", AA$222),"--")</f>
        <v>0</v>
      </c>
      <c r="AB276" s="2132">
        <f>IF(AB$221,_xll.ciqfunctions.udf.CIQ($G276, "IQ_SHARESOUTSTANDING", AB$222),"--")</f>
        <v>0</v>
      </c>
      <c r="AC276" s="2132">
        <f>IF(AC$221,_xll.ciqfunctions.udf.CIQ($G276, "IQ_SHARESOUTSTANDING", AC$222),"--")</f>
        <v>0</v>
      </c>
      <c r="AD276" s="2132">
        <f>IF(AD$221,_xll.ciqfunctions.udf.CIQ($G276, "IQ_SHARESOUTSTANDING", AD$222),"--")</f>
        <v>0</v>
      </c>
      <c r="AE276" s="2132">
        <f>IF(AE$221,_xll.ciqfunctions.udf.CIQ($G276, "IQ_SHARESOUTSTANDING", AE$222),"--")</f>
        <v>0</v>
      </c>
      <c r="AF276" s="2132">
        <f>IF(AF$221,_xll.ciqfunctions.udf.CIQ($G276, "IQ_SHARESOUTSTANDING", AF$222),"--")</f>
        <v>0</v>
      </c>
      <c r="AG276" s="2132">
        <f>IF(AG$221,_xll.ciqfunctions.udf.CIQ($G276, "IQ_SHARESOUTSTANDING", AG$222),"--")</f>
        <v>0</v>
      </c>
      <c r="AH276" s="2132">
        <f>IF(AH$221,_xll.ciqfunctions.udf.CIQ($G276, "IQ_SHARESOUTSTANDING", AH$222),"--")</f>
        <v>0</v>
      </c>
      <c r="AI276" s="2132">
        <f>IF(AI$221,_xll.ciqfunctions.udf.CIQ($G276, "IQ_SHARESOUTSTANDING", AI$222),"--")</f>
        <v>0</v>
      </c>
      <c r="AJ276" s="2132">
        <f>IF(AJ$221,_xll.ciqfunctions.udf.CIQ($G276, "IQ_SHARESOUTSTANDING", AJ$222),"--")</f>
        <v>0</v>
      </c>
      <c r="AK276" s="2132">
        <f>IF(AK$221,_xll.ciqfunctions.udf.CIQ($G276, "IQ_SHARESOUTSTANDING", AK$222),"--")</f>
        <v>0</v>
      </c>
      <c r="AL276" s="2132">
        <f>IF(AL$221,_xll.ciqfunctions.udf.CIQ($G276, "IQ_SHARESOUTSTANDING", AL$222),"--")</f>
        <v>0</v>
      </c>
      <c r="AM276" s="2132">
        <f>IF(AM$221,_xll.ciqfunctions.udf.CIQ($G276, "IQ_SHARESOUTSTANDING", AM$222),"--")</f>
        <v>0</v>
      </c>
      <c r="AN276" s="2132">
        <f>IF(AN$221,_xll.ciqfunctions.udf.CIQ($G276, "IQ_SHARESOUTSTANDING", AN$222),"--")</f>
        <v>0</v>
      </c>
      <c r="AO276" s="2132">
        <f>IF(AO$221,_xll.ciqfunctions.udf.CIQ($G276, "IQ_SHARESOUTSTANDING", AO$222),"--")</f>
        <v>0</v>
      </c>
      <c r="AP276" s="2132">
        <f>IF(AP$221,_xll.ciqfunctions.udf.CIQ($G276, "IQ_SHARESOUTSTANDING", AP$222),"--")</f>
        <v>0</v>
      </c>
      <c r="AQ276" s="2132">
        <f>IF(AQ$221,_xll.ciqfunctions.udf.CIQ($G276, "IQ_SHARESOUTSTANDING", AQ$222),"--")</f>
        <v>0</v>
      </c>
      <c r="AR276" s="2132">
        <f>IF(AR$221,_xll.ciqfunctions.udf.CIQ($G276, "IQ_SHARESOUTSTANDING", AR$222),"--")</f>
        <v>0</v>
      </c>
      <c r="AS276" s="2132">
        <f>IF(AS$221,_xll.ciqfunctions.udf.CIQ($G276, "IQ_SHARESOUTSTANDING", AS$222),"--")</f>
        <v>0</v>
      </c>
      <c r="AT276" s="2132">
        <f>IF(AT$221,_xll.ciqfunctions.udf.CIQ($G276, "IQ_SHARESOUTSTANDING", AT$222),"--")</f>
        <v>0</v>
      </c>
      <c r="AU276" s="2132">
        <f>IF(AU$221,_xll.ciqfunctions.udf.CIQ($G276, "IQ_SHARESOUTSTANDING", AU$222),"--")</f>
        <v>0</v>
      </c>
      <c r="AV276" s="2132">
        <f>IF(AV$221,_xll.ciqfunctions.udf.CIQ($G276, "IQ_SHARESOUTSTANDING", AV$222),"--")</f>
        <v>0</v>
      </c>
      <c r="AW276" s="2132">
        <f>IF(AW$221,_xll.ciqfunctions.udf.CIQ($G276, "IQ_SHARESOUTSTANDING", AW$222),"--")</f>
        <v>0</v>
      </c>
      <c r="AX276" s="2132">
        <f>IF(AX$221,_xll.ciqfunctions.udf.CIQ($G276, "IQ_SHARESOUTSTANDING", AX$222),"--")</f>
        <v>0</v>
      </c>
      <c r="AY276" s="2132">
        <f>IF(AY$221,_xll.ciqfunctions.udf.CIQ($G276, "IQ_SHARESOUTSTANDING", AY$222),"--")</f>
        <v>0</v>
      </c>
      <c r="AZ276" s="2132">
        <f>IF(AZ$221,_xll.ciqfunctions.udf.CIQ($G276, "IQ_SHARESOUTSTANDING", AZ$222),"--")</f>
        <v>0</v>
      </c>
      <c r="BA276" s="2132">
        <f>IF(BA$221,_xll.ciqfunctions.udf.CIQ($G276, "IQ_SHARESOUTSTANDING", BA$222),"--")</f>
        <v>0</v>
      </c>
      <c r="BB276" s="2132">
        <f>IF(BB$221,_xll.ciqfunctions.udf.CIQ($G276, "IQ_SHARESOUTSTANDING", BB$222),"--")</f>
        <v>0</v>
      </c>
      <c r="BC276" s="2132">
        <f>IF(BC$221,_xll.ciqfunctions.udf.CIQ($G276, "IQ_SHARESOUTSTANDING", BC$222),"--")</f>
        <v>0</v>
      </c>
      <c r="BD276" s="2132">
        <f>IF(BD$221,_xll.ciqfunctions.udf.CIQ($G276, "IQ_SHARESOUTSTANDING", BD$222),"--")</f>
        <v>0</v>
      </c>
      <c r="BE276" s="2132">
        <f>IF(BE$221,_xll.ciqfunctions.udf.CIQ($G276, "IQ_SHARESOUTSTANDING", BE$222),"--")</f>
        <v>0</v>
      </c>
      <c r="BF276" s="2132">
        <f>IF(BF$221,_xll.ciqfunctions.udf.CIQ($G276, "IQ_SHARESOUTSTANDING", BF$222),"--")</f>
        <v>0</v>
      </c>
      <c r="BG276" s="2132">
        <f>IF(BG$221,_xll.ciqfunctions.udf.CIQ($G276, "IQ_SHARESOUTSTANDING", BG$222),"--")</f>
        <v>0</v>
      </c>
      <c r="BH276" s="2132">
        <f>IF(BH$221,_xll.ciqfunctions.udf.CIQ($G276, "IQ_SHARESOUTSTANDING", BH$222),"--")</f>
        <v>0</v>
      </c>
      <c r="BI276" s="2132">
        <f>IF(BI$221,_xll.ciqfunctions.udf.CIQ($G276, "IQ_SHARESOUTSTANDING", BI$222),"--")</f>
        <v>0</v>
      </c>
      <c r="BJ276" s="2132">
        <f>IF(BJ$221,_xll.ciqfunctions.udf.CIQ($G276, "IQ_SHARESOUTSTANDING", BJ$222),"--")</f>
        <v>0</v>
      </c>
      <c r="BK276" s="2132">
        <f>IF(BK$221,_xll.ciqfunctions.udf.CIQ($G276, "IQ_SHARESOUTSTANDING", BK$222),"--")</f>
        <v>0</v>
      </c>
      <c r="BL276" s="2132">
        <f>IF(BL$221,_xll.ciqfunctions.udf.CIQ($G276, "IQ_SHARESOUTSTANDING", BL$222),"--")</f>
        <v>0</v>
      </c>
      <c r="BM276" s="2132">
        <f>IF(BM$221,_xll.ciqfunctions.udf.CIQ($G276, "IQ_SHARESOUTSTANDING", BM$222),"--")</f>
        <v>0</v>
      </c>
      <c r="BN276" s="2132">
        <f>IF(BN$221,_xll.ciqfunctions.udf.CIQ($G276, "IQ_SHARESOUTSTANDING", BN$222),"--")</f>
        <v>0</v>
      </c>
      <c r="BO276" s="2132">
        <f>IF(BO$221,_xll.ciqfunctions.udf.CIQ($G276, "IQ_SHARESOUTSTANDING", BO$222),"--")</f>
        <v>0</v>
      </c>
      <c r="BP276" s="2132">
        <f>IF(BP$221,_xll.ciqfunctions.udf.CIQ($G276, "IQ_SHARESOUTSTANDING", BP$222),"--")</f>
        <v>0</v>
      </c>
      <c r="BQ276" s="2132">
        <f>IF(BQ$221,_xll.ciqfunctions.udf.CIQ($G276, "IQ_SHARESOUTSTANDING", BQ$222),"--")</f>
        <v>0</v>
      </c>
      <c r="BR276" s="2132">
        <f>IF(BR$221,_xll.ciqfunctions.udf.CIQ($G276, "IQ_SHARESOUTSTANDING", BR$222),"--")</f>
        <v>0</v>
      </c>
      <c r="BS276" s="2132">
        <f>IF(BS$221,_xll.ciqfunctions.udf.CIQ($G276, "IQ_SHARESOUTSTANDING", BS$222),"--")</f>
        <v>0</v>
      </c>
      <c r="BT276" s="2132">
        <f>IF(BT$221,_xll.ciqfunctions.udf.CIQ($G276, "IQ_SHARESOUTSTANDING", BT$222),"--")</f>
        <v>0</v>
      </c>
      <c r="BU276" s="2132">
        <f>IF(BU$221,_xll.ciqfunctions.udf.CIQ($G276, "IQ_SHARESOUTSTANDING", BU$222),"--")</f>
        <v>0</v>
      </c>
      <c r="BV276" s="2132">
        <f>IF(BV$221,_xll.ciqfunctions.udf.CIQ($G276, "IQ_SHARESOUTSTANDING", BV$222),"--")</f>
        <v>0</v>
      </c>
      <c r="BW276" s="2132">
        <f>IF(BW$221,_xll.ciqfunctions.udf.CIQ($G276, "IQ_SHARESOUTSTANDING", BW$222),"--")</f>
        <v>0</v>
      </c>
      <c r="BX276" s="2132">
        <f>IF(BX$221,_xll.ciqfunctions.udf.CIQ($G276, "IQ_SHARESOUTSTANDING", BX$222),"--")</f>
        <v>0</v>
      </c>
      <c r="BY276" s="2132">
        <f>IF(BY$221,_xll.ciqfunctions.udf.CIQ($G276, "IQ_SHARESOUTSTANDING", BY$222),"--")</f>
        <v>0</v>
      </c>
      <c r="BZ276" s="2132">
        <f>IF(BZ$221,_xll.ciqfunctions.udf.CIQ($G276, "IQ_SHARESOUTSTANDING", BZ$222),"--")</f>
        <v>0</v>
      </c>
      <c r="CA276" s="2132">
        <f>IF(CA$221,_xll.ciqfunctions.udf.CIQ($G276, "IQ_SHARESOUTSTANDING", CA$222),"--")</f>
        <v>0</v>
      </c>
      <c r="CB276" s="2132">
        <f>IF(CB$221,_xll.ciqfunctions.udf.CIQ($G276, "IQ_SHARESOUTSTANDING", CB$222),"--")</f>
        <v>0</v>
      </c>
      <c r="CC276" s="2132">
        <f>IF(CC$221,_xll.ciqfunctions.udf.CIQ($G276, "IQ_SHARESOUTSTANDING", CC$222),"--")</f>
        <v>0</v>
      </c>
      <c r="CD276" s="2132">
        <f>IF(CD$221,_xll.ciqfunctions.udf.CIQ($G276, "IQ_SHARESOUTSTANDING", CD$222),"--")</f>
        <v>0</v>
      </c>
      <c r="CE276" s="2132">
        <f>IF(CE$221,_xll.ciqfunctions.udf.CIQ($G276, "IQ_SHARESOUTSTANDING", CE$222),"--")</f>
        <v>0</v>
      </c>
      <c r="CF276" s="2132">
        <f>IF(CF$221,_xll.ciqfunctions.udf.CIQ($G276, "IQ_SHARESOUTSTANDING", CF$222),"--")</f>
        <v>0</v>
      </c>
      <c r="CG276" s="2132">
        <f>IF(CG$221,_xll.ciqfunctions.udf.CIQ($G276, "IQ_SHARESOUTSTANDING", CG$222),"--")</f>
        <v>0</v>
      </c>
      <c r="CH276" s="2132">
        <f>IF(CH$221,_xll.ciqfunctions.udf.CIQ($G276, "IQ_SHARESOUTSTANDING", CH$222),"--")</f>
        <v>0</v>
      </c>
      <c r="CI276" s="2132">
        <f>IF(CI$221,_xll.ciqfunctions.udf.CIQ($G276, "IQ_SHARESOUTSTANDING", CI$222),"--")</f>
        <v>0</v>
      </c>
      <c r="CJ276" s="2132">
        <f>IF(CJ$221,_xll.ciqfunctions.udf.CIQ($G276, "IQ_SHARESOUTSTANDING", CJ$222),"--")</f>
        <v>0</v>
      </c>
      <c r="CK276" s="2132">
        <f>IF(CK$221,_xll.ciqfunctions.udf.CIQ($G276, "IQ_SHARESOUTSTANDING", CK$222),"--")</f>
        <v>0</v>
      </c>
      <c r="CL276" s="2132">
        <f>IF(CL$221,_xll.ciqfunctions.udf.CIQ($G276, "IQ_SHARESOUTSTANDING", CL$222),"--")</f>
        <v>0</v>
      </c>
      <c r="CM276" s="2132">
        <f>IF(CM$221,_xll.ciqfunctions.udf.CIQ($G276, "IQ_SHARESOUTSTANDING", CM$222),"--")</f>
        <v>0</v>
      </c>
      <c r="CN276" s="2132">
        <f>IF(CN$221,_xll.ciqfunctions.udf.CIQ($G276, "IQ_SHARESOUTSTANDING", CN$222),"--")</f>
        <v>0</v>
      </c>
      <c r="CO276" s="2132">
        <f>IF(CO$221,_xll.ciqfunctions.udf.CIQ($G276, "IQ_SHARESOUTSTANDING", CO$222),"--")</f>
        <v>0</v>
      </c>
      <c r="CP276" s="2132">
        <f>IF(CP$221,_xll.ciqfunctions.udf.CIQ($G276, "IQ_SHARESOUTSTANDING", CP$222),"--")</f>
        <v>0</v>
      </c>
      <c r="CQ276" s="2132">
        <f>IF(CQ$221,_xll.ciqfunctions.udf.CIQ($G276, "IQ_SHARESOUTSTANDING", CQ$222),"--")</f>
        <v>0</v>
      </c>
      <c r="CR276" s="2132">
        <f>IF(CR$221,_xll.ciqfunctions.udf.CIQ($G276, "IQ_SHARESOUTSTANDING", CR$222),"--")</f>
        <v>0</v>
      </c>
      <c r="CS276" s="2132">
        <f>IF(CS$221,_xll.ciqfunctions.udf.CIQ($G276, "IQ_SHARESOUTSTANDING", CS$222),"--")</f>
        <v>0</v>
      </c>
      <c r="CT276" s="2132">
        <f>IF(CT$221,_xll.ciqfunctions.udf.CIQ($G276, "IQ_SHARESOUTSTANDING", CT$222),"--")</f>
        <v>0</v>
      </c>
      <c r="CU276" s="2132">
        <f>IF(CU$221,_xll.ciqfunctions.udf.CIQ($G276, "IQ_SHARESOUTSTANDING", CU$222),"--")</f>
        <v>0</v>
      </c>
      <c r="CV276" s="2132">
        <f>IF(CV$221,_xll.ciqfunctions.udf.CIQ($G276, "IQ_SHARESOUTSTANDING", CV$222),"--")</f>
        <v>0</v>
      </c>
      <c r="CW276" s="2132">
        <f>IF(CW$221,_xll.ciqfunctions.udf.CIQ($G276, "IQ_SHARESOUTSTANDING", CW$222),"--")</f>
        <v>0</v>
      </c>
      <c r="CX276" s="2132">
        <f>IF(CX$221,_xll.ciqfunctions.udf.CIQ($G276, "IQ_SHARESOUTSTANDING", CX$222),"--")</f>
        <v>0</v>
      </c>
      <c r="CY276" s="2132">
        <f>IF(CY$221,_xll.ciqfunctions.udf.CIQ($G276, "IQ_SHARESOUTSTANDING", CY$222),"--")</f>
        <v>0</v>
      </c>
      <c r="CZ276" s="2132">
        <f>IF(CZ$221,_xll.ciqfunctions.udf.CIQ($G276, "IQ_SHARESOUTSTANDING", CZ$222),"--")</f>
        <v>0</v>
      </c>
      <c r="DA276" s="2132">
        <f>IF(DA$221,_xll.ciqfunctions.udf.CIQ($G276, "IQ_SHARESOUTSTANDING", DA$222),"--")</f>
        <v>0</v>
      </c>
      <c r="DB276" s="2132">
        <f>IF(DB$221,_xll.ciqfunctions.udf.CIQ($G276, "IQ_SHARESOUTSTANDING", DB$222),"--")</f>
        <v>0</v>
      </c>
      <c r="DC276" s="2132">
        <f>IF(DC$221,_xll.ciqfunctions.udf.CIQ($G276, "IQ_SHARESOUTSTANDING", DC$222),"--")</f>
        <v>0</v>
      </c>
      <c r="DD276" s="2132">
        <f>IF(DD$221,_xll.ciqfunctions.udf.CIQ($G276, "IQ_SHARESOUTSTANDING", DD$222),"--")</f>
        <v>0</v>
      </c>
      <c r="DE276" s="2132">
        <f>IF(DE$221,_xll.ciqfunctions.udf.CIQ($G276, "IQ_SHARESOUTSTANDING", DE$222),"--")</f>
        <v>0</v>
      </c>
      <c r="DF276" s="2132">
        <f>IF(DF$221,_xll.ciqfunctions.udf.CIQ($G276, "IQ_SHARESOUTSTANDING", DF$222),"--")</f>
        <v>0</v>
      </c>
      <c r="DG276" s="2132">
        <f>IF(DG$221,_xll.ciqfunctions.udf.CIQ($G276, "IQ_SHARESOUTSTANDING", DG$222),"--")</f>
        <v>0</v>
      </c>
      <c r="DH276" s="2132">
        <f>IF(DH$221,_xll.ciqfunctions.udf.CIQ($G276, "IQ_SHARESOUTSTANDING", DH$222),"--")</f>
        <v>0</v>
      </c>
      <c r="DI276" s="2132">
        <f>IF(DI$221,_xll.ciqfunctions.udf.CIQ($G276, "IQ_SHARESOUTSTANDING", DI$222),"--")</f>
        <v>0</v>
      </c>
      <c r="DJ276" s="2132">
        <f>IF(DJ$221,_xll.ciqfunctions.udf.CIQ($G276, "IQ_SHARESOUTSTANDING", DJ$222),"--")</f>
        <v>0</v>
      </c>
      <c r="DK276" s="2132">
        <f>IF(DK$221,_xll.ciqfunctions.udf.CIQ($G276, "IQ_SHARESOUTSTANDING", DK$222),"--")</f>
        <v>0</v>
      </c>
      <c r="DL276" s="2132">
        <f>IF(DL$221,_xll.ciqfunctions.udf.CIQ($G276, "IQ_SHARESOUTSTANDING", DL$222),"--")</f>
        <v>0</v>
      </c>
      <c r="DM276" s="2132">
        <f>IF(DM$221,_xll.ciqfunctions.udf.CIQ($G276, "IQ_SHARESOUTSTANDING", DM$222),"--")</f>
        <v>0</v>
      </c>
      <c r="DN276" s="2132">
        <f>IF(DN$221,_xll.ciqfunctions.udf.CIQ($G276, "IQ_SHARESOUTSTANDING", DN$222),"--")</f>
        <v>0</v>
      </c>
      <c r="DO276" s="2132">
        <f>IF(DO$221,_xll.ciqfunctions.udf.CIQ($G276, "IQ_SHARESOUTSTANDING", DO$222),"--")</f>
        <v>0</v>
      </c>
      <c r="DP276" s="2132">
        <f>IF(DP$221,_xll.ciqfunctions.udf.CIQ($G276, "IQ_SHARESOUTSTANDING", DP$222),"--")</f>
        <v>0</v>
      </c>
      <c r="DQ276" s="2132">
        <f>IF(DQ$221,_xll.ciqfunctions.udf.CIQ($G276, "IQ_SHARESOUTSTANDING", DQ$222),"--")</f>
        <v>0</v>
      </c>
      <c r="DR276" s="2132">
        <f>IF(DR$221,_xll.ciqfunctions.udf.CIQ($G276, "IQ_SHARESOUTSTANDING", DR$222),"--")</f>
        <v>0</v>
      </c>
      <c r="DS276" s="2132">
        <f>IF(DS$221,_xll.ciqfunctions.udf.CIQ($G276, "IQ_SHARESOUTSTANDING", DS$222),"--")</f>
        <v>0</v>
      </c>
      <c r="DT276" s="2132">
        <f>IF(DT$221,_xll.ciqfunctions.udf.CIQ($G276, "IQ_SHARESOUTSTANDING", DT$222),"--")</f>
        <v>0</v>
      </c>
      <c r="DU276" s="2132">
        <f>IF(DU$221,_xll.ciqfunctions.udf.CIQ($G276, "IQ_SHARESOUTSTANDING", DU$222),"--")</f>
        <v>0</v>
      </c>
      <c r="DV276" s="2132">
        <f>IF(DV$221,_xll.ciqfunctions.udf.CIQ($G276, "IQ_SHARESOUTSTANDING", DV$222),"--")</f>
        <v>0</v>
      </c>
      <c r="DW276" s="2132">
        <f>IF(DW$221,_xll.ciqfunctions.udf.CIQ($G276, "IQ_SHARESOUTSTANDING", DW$222),"--")</f>
        <v>0</v>
      </c>
      <c r="DX276" s="2132">
        <f>IF(DX$221,_xll.ciqfunctions.udf.CIQ($G276, "IQ_SHARESOUTSTANDING", DX$222),"--")</f>
        <v>0</v>
      </c>
      <c r="DY276" s="2132">
        <f>IF(DY$221,_xll.ciqfunctions.udf.CIQ($G276, "IQ_SHARESOUTSTANDING", DY$222),"--")</f>
        <v>0</v>
      </c>
      <c r="DZ276" s="2132">
        <f>IF(DZ$221,_xll.ciqfunctions.udf.CIQ($G276, "IQ_SHARESOUTSTANDING", DZ$222),"--")</f>
        <v>0</v>
      </c>
      <c r="EA276" s="2132">
        <f>IF(EA$221,_xll.ciqfunctions.udf.CIQ($G276, "IQ_SHARESOUTSTANDING", EA$222),"--")</f>
        <v>0</v>
      </c>
      <c r="EB276" s="2132">
        <f>IF(EB$221,_xll.ciqfunctions.udf.CIQ($G276, "IQ_SHARESOUTSTANDING", EB$222),"--")</f>
        <v>0</v>
      </c>
      <c r="EC276" s="2132">
        <f>IF(EC$221,_xll.ciqfunctions.udf.CIQ($G276, "IQ_SHARESOUTSTANDING", EC$222),"--")</f>
        <v>0</v>
      </c>
      <c r="ED276" s="2132">
        <f>IF(ED$221,_xll.ciqfunctions.udf.CIQ($G276, "IQ_SHARESOUTSTANDING", ED$222),"--")</f>
        <v>0</v>
      </c>
      <c r="EE276" s="2132">
        <f>IF(EE$221,_xll.ciqfunctions.udf.CIQ($G276, "IQ_SHARESOUTSTANDING", EE$222),"--")</f>
        <v>0</v>
      </c>
      <c r="EF276" s="2132">
        <f>IF(EF$221,_xll.ciqfunctions.udf.CIQ($G276, "IQ_SHARESOUTSTANDING", EF$222),"--")</f>
        <v>0</v>
      </c>
      <c r="EG276" s="2132">
        <f>IF(EG$221,_xll.ciqfunctions.udf.CIQ($G276, "IQ_SHARESOUTSTANDING", EG$222),"--")</f>
        <v>0</v>
      </c>
      <c r="EH276" s="2132">
        <f>IF(EH$221,_xll.ciqfunctions.udf.CIQ($G276, "IQ_SHARESOUTSTANDING", EH$222),"--")</f>
        <v>0</v>
      </c>
      <c r="EI276" s="2132">
        <f>IF(EI$221,_xll.ciqfunctions.udf.CIQ($G276, "IQ_SHARESOUTSTANDING", EI$222),"--")</f>
        <v>0</v>
      </c>
      <c r="EJ276" s="2132">
        <f>IF(EJ$221,_xll.ciqfunctions.udf.CIQ($G276, "IQ_SHARESOUTSTANDING", EJ$222),"--")</f>
        <v>0</v>
      </c>
      <c r="EK276" s="2132">
        <f>IF(EK$221,_xll.ciqfunctions.udf.CIQ($G276, "IQ_SHARESOUTSTANDING", EK$222),"--")</f>
        <v>0</v>
      </c>
      <c r="EL276" s="2132">
        <f>IF(EL$221,_xll.ciqfunctions.udf.CIQ($G276, "IQ_SHARESOUTSTANDING", EL$222),"--")</f>
        <v>0</v>
      </c>
      <c r="EM276" s="2132">
        <f>IF(EM$221,_xll.ciqfunctions.udf.CIQ($G276, "IQ_SHARESOUTSTANDING", EM$222),"--")</f>
        <v>0</v>
      </c>
      <c r="EN276" s="2132">
        <f>IF(EN$221,_xll.ciqfunctions.udf.CIQ($G276, "IQ_SHARESOUTSTANDING", EN$222),"--")</f>
        <v>0</v>
      </c>
      <c r="EO276" s="2132">
        <f>IF(EO$221,_xll.ciqfunctions.udf.CIQ($G276, "IQ_SHARESOUTSTANDING", EO$222),"--")</f>
        <v>0</v>
      </c>
      <c r="EP276" s="2132">
        <f>IF(EP$221,_xll.ciqfunctions.udf.CIQ($G276, "IQ_SHARESOUTSTANDING", EP$222),"--")</f>
        <v>0</v>
      </c>
      <c r="EQ276" s="2132">
        <f>IF(EQ$221,_xll.ciqfunctions.udf.CIQ($G276, "IQ_SHARESOUTSTANDING", EQ$222),"--")</f>
        <v>0</v>
      </c>
      <c r="ER276" s="2132">
        <f>IF(ER$221,_xll.ciqfunctions.udf.CIQ($G276, "IQ_SHARESOUTSTANDING", ER$222),"--")</f>
        <v>0</v>
      </c>
      <c r="ES276" s="2132">
        <f>IF(ES$221,_xll.ciqfunctions.udf.CIQ($G276, "IQ_SHARESOUTSTANDING", ES$222),"--")</f>
        <v>0</v>
      </c>
      <c r="ET276" s="2132">
        <f>IF(ET$221,_xll.ciqfunctions.udf.CIQ($G276, "IQ_SHARESOUTSTANDING", ET$222),"--")</f>
        <v>0</v>
      </c>
      <c r="EU276" s="2132">
        <f>IF(EU$221,_xll.ciqfunctions.udf.CIQ($G276, "IQ_SHARESOUTSTANDING", EU$222),"--")</f>
        <v>0</v>
      </c>
      <c r="EV276" s="2132">
        <f>IF(EV$221,_xll.ciqfunctions.udf.CIQ($G276, "IQ_SHARESOUTSTANDING", EV$222),"--")</f>
        <v>0</v>
      </c>
      <c r="EW276" s="2132">
        <f>IF(EW$221,_xll.ciqfunctions.udf.CIQ($G276, "IQ_SHARESOUTSTANDING", EW$222),"--")</f>
        <v>0</v>
      </c>
      <c r="EX276" s="2132">
        <f>IF(EX$221,_xll.ciqfunctions.udf.CIQ($G276, "IQ_SHARESOUTSTANDING", EX$222),"--")</f>
        <v>0</v>
      </c>
      <c r="EY276" s="2132">
        <f>IF(EY$221,_xll.ciqfunctions.udf.CIQ($G276, "IQ_SHARESOUTSTANDING", EY$222),"--")</f>
        <v>0</v>
      </c>
      <c r="EZ276" s="2132">
        <f>IF(EZ$221,_xll.ciqfunctions.udf.CIQ($G276, "IQ_SHARESOUTSTANDING", EZ$222),"--")</f>
        <v>0</v>
      </c>
      <c r="FA276" s="2132">
        <f>IF(FA$221,_xll.ciqfunctions.udf.CIQ($G276, "IQ_SHARESOUTSTANDING", FA$222),"--")</f>
        <v>0</v>
      </c>
      <c r="FB276" s="2132">
        <f>IF(FB$221,_xll.ciqfunctions.udf.CIQ($G276, "IQ_SHARESOUTSTANDING", FB$222),"--")</f>
        <v>0</v>
      </c>
      <c r="FC276" s="2132">
        <f>IF(FC$221,_xll.ciqfunctions.udf.CIQ($G276, "IQ_SHARESOUTSTANDING", FC$222),"--")</f>
        <v>0</v>
      </c>
      <c r="FD276" s="2132">
        <f>IF(FD$221,_xll.ciqfunctions.udf.CIQ($G276, "IQ_SHARESOUTSTANDING", FD$222),"--")</f>
        <v>0</v>
      </c>
      <c r="FE276" s="2132">
        <f>IF(FE$221,_xll.ciqfunctions.udf.CIQ($G276, "IQ_SHARESOUTSTANDING", FE$222),"--")</f>
        <v>0</v>
      </c>
      <c r="FF276" s="2132">
        <f>IF(FF$221,_xll.ciqfunctions.udf.CIQ($G276, "IQ_SHARESOUTSTANDING", FF$222),"--")</f>
        <v>0</v>
      </c>
      <c r="FG276" s="2132">
        <f>IF(FG$221,_xll.ciqfunctions.udf.CIQ($G276, "IQ_SHARESOUTSTANDING", FG$222),"--")</f>
        <v>0</v>
      </c>
      <c r="FH276" s="2132">
        <f>IF(FH$221,_xll.ciqfunctions.udf.CIQ($G276, "IQ_SHARESOUTSTANDING", FH$222),"--")</f>
        <v>0</v>
      </c>
      <c r="FI276" s="2132">
        <f>IF(FI$221,_xll.ciqfunctions.udf.CIQ($G276, "IQ_SHARESOUTSTANDING", FI$222),"--")</f>
        <v>0</v>
      </c>
      <c r="FJ276" s="2132">
        <f>IF(FJ$221,_xll.ciqfunctions.udf.CIQ($G276, "IQ_SHARESOUTSTANDING", FJ$222),"--")</f>
        <v>0</v>
      </c>
      <c r="FK276" s="2132">
        <f>IF(FK$221,_xll.ciqfunctions.udf.CIQ($G276, "IQ_SHARESOUTSTANDING", FK$222),"--")</f>
        <v>0</v>
      </c>
      <c r="FL276" s="2132">
        <f>IF(FL$221,_xll.ciqfunctions.udf.CIQ($G276, "IQ_SHARESOUTSTANDING", FL$222),"--")</f>
        <v>0</v>
      </c>
      <c r="FM276" s="2132">
        <f>IF(FM$221,_xll.ciqfunctions.udf.CIQ($G276, "IQ_SHARESOUTSTANDING", FM$222),"--")</f>
        <v>0</v>
      </c>
      <c r="FN276" s="2132">
        <f>IF(FN$221,_xll.ciqfunctions.udf.CIQ($G276, "IQ_SHARESOUTSTANDING", FN$222),"--")</f>
        <v>0</v>
      </c>
      <c r="FO276" s="2132">
        <f>IF(FO$221,_xll.ciqfunctions.udf.CIQ($G276, "IQ_SHARESOUTSTANDING", FO$222),"--")</f>
        <v>0</v>
      </c>
      <c r="FP276" s="2132">
        <f>IF(FP$221,_xll.ciqfunctions.udf.CIQ($G276, "IQ_SHARESOUTSTANDING", FP$222),"--")</f>
        <v>0</v>
      </c>
      <c r="FQ276" s="2132">
        <f>IF(FQ$221,_xll.ciqfunctions.udf.CIQ($G276, "IQ_SHARESOUTSTANDING", FQ$222),"--")</f>
        <v>0</v>
      </c>
      <c r="FR276" s="2132">
        <f>IF(FR$221,_xll.ciqfunctions.udf.CIQ($G276, "IQ_SHARESOUTSTANDING", FR$222),"--")</f>
        <v>0</v>
      </c>
      <c r="FS276" s="2132">
        <f>IF(FS$221,_xll.ciqfunctions.udf.CIQ($G276, "IQ_SHARESOUTSTANDING", FS$222),"--")</f>
        <v>0</v>
      </c>
      <c r="FT276" s="2132">
        <f>IF(FT$221,_xll.ciqfunctions.udf.CIQ($G276, "IQ_SHARESOUTSTANDING", FT$222),"--")</f>
        <v>0</v>
      </c>
      <c r="FU276" s="2132">
        <f>IF(FU$221,_xll.ciqfunctions.udf.CIQ($G276, "IQ_SHARESOUTSTANDING", FU$222),"--")</f>
        <v>0</v>
      </c>
      <c r="FV276" s="2132">
        <f>IF(FV$221,_xll.ciqfunctions.udf.CIQ($G276, "IQ_SHARESOUTSTANDING", FV$222),"--")</f>
        <v>0</v>
      </c>
      <c r="FW276" s="2132">
        <f>IF(FW$221,_xll.ciqfunctions.udf.CIQ($G276, "IQ_SHARESOUTSTANDING", FW$222),"--")</f>
        <v>0</v>
      </c>
      <c r="FX276" s="2132">
        <f>IF(FX$221,_xll.ciqfunctions.udf.CIQ($G276, "IQ_SHARESOUTSTANDING", FX$222),"--")</f>
        <v>0</v>
      </c>
      <c r="FY276" s="2132">
        <f>IF(FY$221,_xll.ciqfunctions.udf.CIQ($G276, "IQ_SHARESOUTSTANDING", FY$222),"--")</f>
        <v>0</v>
      </c>
      <c r="FZ276" s="2132">
        <f>IF(FZ$221,_xll.ciqfunctions.udf.CIQ($G276, "IQ_SHARESOUTSTANDING", FZ$222),"--")</f>
        <v>0</v>
      </c>
      <c r="GA276" s="2132">
        <f>IF(GA$221,_xll.ciqfunctions.udf.CIQ($G276, "IQ_SHARESOUTSTANDING", GA$222),"--")</f>
        <v>0</v>
      </c>
      <c r="GB276" s="2132">
        <f>IF(GB$221,_xll.ciqfunctions.udf.CIQ($G276, "IQ_SHARESOUTSTANDING", GB$222),"--")</f>
        <v>0</v>
      </c>
      <c r="GC276" s="2132">
        <f>IF(GC$221,_xll.ciqfunctions.udf.CIQ($G276, "IQ_SHARESOUTSTANDING", GC$222),"--")</f>
        <v>0</v>
      </c>
      <c r="GD276" s="2132">
        <f>IF(GD$221,_xll.ciqfunctions.udf.CIQ($G276, "IQ_SHARESOUTSTANDING", GD$222),"--")</f>
        <v>0</v>
      </c>
      <c r="GE276" s="2132">
        <f>IF(GE$221,_xll.ciqfunctions.udf.CIQ($G276, "IQ_SHARESOUTSTANDING", GE$222),"--")</f>
        <v>0</v>
      </c>
      <c r="GF276" s="2132">
        <f>IF(GF$221,_xll.ciqfunctions.udf.CIQ($G276, "IQ_SHARESOUTSTANDING", GF$222),"--")</f>
        <v>0</v>
      </c>
      <c r="GG276" s="2132">
        <f>IF(GG$221,_xll.ciqfunctions.udf.CIQ($G276, "IQ_SHARESOUTSTANDING", GG$222),"--")</f>
        <v>0</v>
      </c>
      <c r="GH276" s="2132">
        <f>IF(GH$221,_xll.ciqfunctions.udf.CIQ($G276, "IQ_SHARESOUTSTANDING", GH$222),"--")</f>
        <v>0</v>
      </c>
      <c r="GI276" s="2132">
        <f>IF(GI$221,_xll.ciqfunctions.udf.CIQ($G276, "IQ_SHARESOUTSTANDING", GI$222),"--")</f>
        <v>0</v>
      </c>
      <c r="GJ276" s="2132">
        <f>IF(GJ$221,_xll.ciqfunctions.udf.CIQ($G276, "IQ_SHARESOUTSTANDING", GJ$222),"--")</f>
        <v>0</v>
      </c>
      <c r="GK276" s="2132">
        <f>IF(GK$221,_xll.ciqfunctions.udf.CIQ($G276, "IQ_SHARESOUTSTANDING", GK$222),"--")</f>
        <v>0</v>
      </c>
      <c r="GL276" s="2132">
        <f>IF(GL$221,_xll.ciqfunctions.udf.CIQ($G276, "IQ_SHARESOUTSTANDING", GL$222),"--")</f>
        <v>0</v>
      </c>
      <c r="GM276" s="2132">
        <f>IF(GM$221,_xll.ciqfunctions.udf.CIQ($G276, "IQ_SHARESOUTSTANDING", GM$222),"--")</f>
        <v>0</v>
      </c>
      <c r="GN276" s="2132">
        <f>IF(GN$221,_xll.ciqfunctions.udf.CIQ($G276, "IQ_SHARESOUTSTANDING", GN$222),"--")</f>
        <v>0</v>
      </c>
      <c r="GO276" s="2132">
        <f>IF(GO$221,_xll.ciqfunctions.udf.CIQ($G276, "IQ_SHARESOUTSTANDING", GO$222),"--")</f>
        <v>0</v>
      </c>
      <c r="GP276" s="2132">
        <f>IF(GP$221,_xll.ciqfunctions.udf.CIQ($G276, "IQ_SHARESOUTSTANDING", GP$222),"--")</f>
        <v>0</v>
      </c>
      <c r="GQ276" s="2132">
        <f>IF(GQ$221,_xll.ciqfunctions.udf.CIQ($G276, "IQ_SHARESOUTSTANDING", GQ$222),"--")</f>
        <v>0</v>
      </c>
      <c r="GR276" s="2132">
        <f>IF(GR$221,_xll.ciqfunctions.udf.CIQ($G276, "IQ_SHARESOUTSTANDING", GR$222),"--")</f>
        <v>0</v>
      </c>
      <c r="GS276" s="2132">
        <f>IF(GS$221,_xll.ciqfunctions.udf.CIQ($G276, "IQ_SHARESOUTSTANDING", GS$222),"--")</f>
        <v>0</v>
      </c>
      <c r="GT276" s="2132">
        <f>IF(GT$221,_xll.ciqfunctions.udf.CIQ($G276, "IQ_SHARESOUTSTANDING", GT$222),"--")</f>
        <v>0</v>
      </c>
      <c r="GU276" s="2132">
        <f>IF(GU$221,_xll.ciqfunctions.udf.CIQ($G276, "IQ_SHARESOUTSTANDING", GU$222),"--")</f>
        <v>0</v>
      </c>
      <c r="GV276" s="2132">
        <f>IF(GV$221,_xll.ciqfunctions.udf.CIQ($G276, "IQ_SHARESOUTSTANDING", GV$222),"--")</f>
        <v>0</v>
      </c>
      <c r="GW276" s="2132">
        <f>IF(GW$221,_xll.ciqfunctions.udf.CIQ($G276, "IQ_SHARESOUTSTANDING", GW$222),"--")</f>
        <v>0</v>
      </c>
      <c r="GX276" s="2132">
        <f>IF(GX$221,_xll.ciqfunctions.udf.CIQ($G276, "IQ_SHARESOUTSTANDING", GX$222),"--")</f>
        <v>0</v>
      </c>
      <c r="GY276" s="2132">
        <f>IF(GY$221,_xll.ciqfunctions.udf.CIQ($G276, "IQ_SHARESOUTSTANDING", GY$222),"--")</f>
        <v>0</v>
      </c>
      <c r="GZ276" s="2132">
        <f>IF(GZ$221,_xll.ciqfunctions.udf.CIQ($G276, "IQ_SHARESOUTSTANDING", GZ$222),"--")</f>
        <v>0</v>
      </c>
      <c r="HA276" s="2132">
        <f>IF(HA$221,_xll.ciqfunctions.udf.CIQ($G276, "IQ_SHARESOUTSTANDING", HA$222),"--")</f>
        <v>0</v>
      </c>
      <c r="HB276" s="2132">
        <f>IF(HB$221,_xll.ciqfunctions.udf.CIQ($G276, "IQ_SHARESOUTSTANDING", HB$222),"--")</f>
        <v>0</v>
      </c>
      <c r="HC276" s="2132">
        <f>IF(HC$221,_xll.ciqfunctions.udf.CIQ($G276, "IQ_SHARESOUTSTANDING", HC$222),"--")</f>
        <v>0</v>
      </c>
      <c r="HD276" s="2132">
        <f>IF(HD$221,_xll.ciqfunctions.udf.CIQ($G276, "IQ_SHARESOUTSTANDING", HD$222),"--")</f>
        <v>0</v>
      </c>
      <c r="HE276" s="2132">
        <f>IF(HE$221,_xll.ciqfunctions.udf.CIQ($G276, "IQ_SHARESOUTSTANDING", HE$222),"--")</f>
        <v>0</v>
      </c>
      <c r="HF276" s="2132">
        <f>IF(HF$221,_xll.ciqfunctions.udf.CIQ($G276, "IQ_SHARESOUTSTANDING", HF$222),"--")</f>
        <v>0</v>
      </c>
      <c r="HG276" s="2132">
        <f>IF(HG$221,_xll.ciqfunctions.udf.CIQ($G276, "IQ_SHARESOUTSTANDING", HG$222),"--")</f>
        <v>0</v>
      </c>
      <c r="HH276" s="2132">
        <f>IF(HH$221,_xll.ciqfunctions.udf.CIQ($G276, "IQ_SHARESOUTSTANDING", HH$222),"--")</f>
        <v>0</v>
      </c>
      <c r="HI276" s="2132">
        <f>IF(HI$221,_xll.ciqfunctions.udf.CIQ($G276, "IQ_SHARESOUTSTANDING", HI$222),"--")</f>
        <v>0</v>
      </c>
      <c r="HJ276" s="2132">
        <f>IF(HJ$221,_xll.ciqfunctions.udf.CIQ($G276, "IQ_SHARESOUTSTANDING", HJ$222),"--")</f>
        <v>0</v>
      </c>
      <c r="HK276" s="2132">
        <f>IF(HK$221,_xll.ciqfunctions.udf.CIQ($G276, "IQ_SHARESOUTSTANDING", HK$222),"--")</f>
        <v>0</v>
      </c>
      <c r="HL276" s="2132">
        <f>IF(HL$221,_xll.ciqfunctions.udf.CIQ($G276, "IQ_SHARESOUTSTANDING", HL$222),"--")</f>
        <v>0</v>
      </c>
      <c r="HM276" s="2132">
        <f>IF(HM$221,_xll.ciqfunctions.udf.CIQ($G276, "IQ_SHARESOUTSTANDING", HM$222),"--")</f>
        <v>0</v>
      </c>
      <c r="HN276" s="2132">
        <f>IF(HN$221,_xll.ciqfunctions.udf.CIQ($G276, "IQ_SHARESOUTSTANDING", HN$222),"--")</f>
        <v>0</v>
      </c>
      <c r="HO276" s="2132">
        <f>IF(HO$221,_xll.ciqfunctions.udf.CIQ($G276, "IQ_SHARESOUTSTANDING", HO$222),"--")</f>
        <v>0</v>
      </c>
      <c r="HP276" s="2132">
        <f>IF(HP$221,_xll.ciqfunctions.udf.CIQ($G276, "IQ_SHARESOUTSTANDING", HP$222),"--")</f>
        <v>0</v>
      </c>
      <c r="HQ276" s="2132">
        <f>IF(HQ$221,_xll.ciqfunctions.udf.CIQ($G276, "IQ_SHARESOUTSTANDING", HQ$222),"--")</f>
        <v>0</v>
      </c>
      <c r="HR276" s="2132">
        <f>IF(HR$221,_xll.ciqfunctions.udf.CIQ($G276, "IQ_SHARESOUTSTANDING", HR$222),"--")</f>
        <v>0</v>
      </c>
      <c r="HS276" s="2132">
        <f>IF(HS$221,_xll.ciqfunctions.udf.CIQ($G276, "IQ_SHARESOUTSTANDING", HS$222),"--")</f>
        <v>0</v>
      </c>
      <c r="HT276" s="2132">
        <f>IF(HT$221,_xll.ciqfunctions.udf.CIQ($G276, "IQ_SHARESOUTSTANDING", HT$222),"--")</f>
        <v>0</v>
      </c>
      <c r="HU276" s="2132">
        <f>IF(HU$221,_xll.ciqfunctions.udf.CIQ($G276, "IQ_SHARESOUTSTANDING", HU$222),"--")</f>
        <v>0</v>
      </c>
      <c r="HV276" s="2132">
        <f>IF(HV$221,_xll.ciqfunctions.udf.CIQ($G276, "IQ_SHARESOUTSTANDING", HV$222),"--")</f>
        <v>0</v>
      </c>
      <c r="HW276" s="2132">
        <f>IF(HW$221,_xll.ciqfunctions.udf.CIQ($G276, "IQ_SHARESOUTSTANDING", HW$222),"--")</f>
        <v>0</v>
      </c>
      <c r="HX276" s="2132">
        <f>IF(HX$221,_xll.ciqfunctions.udf.CIQ($G276, "IQ_SHARESOUTSTANDING", HX$222),"--")</f>
        <v>0</v>
      </c>
      <c r="HY276" s="2132">
        <f>IF(HY$221,_xll.ciqfunctions.udf.CIQ($G276, "IQ_SHARESOUTSTANDING", HY$222),"--")</f>
        <v>0</v>
      </c>
      <c r="HZ276" s="2132">
        <f>IF(HZ$221,_xll.ciqfunctions.udf.CIQ($G276, "IQ_SHARESOUTSTANDING", HZ$222),"--")</f>
        <v>0</v>
      </c>
      <c r="IA276" s="2132">
        <f>IF(IA$221,_xll.ciqfunctions.udf.CIQ($G276, "IQ_SHARESOUTSTANDING", IA$222),"--")</f>
        <v>0</v>
      </c>
      <c r="IB276" s="2132">
        <f>IF(IB$221,_xll.ciqfunctions.udf.CIQ($G276, "IQ_SHARESOUTSTANDING", IB$222),"--")</f>
        <v>0</v>
      </c>
      <c r="IC276" s="2132">
        <f>IF(IC$221,_xll.ciqfunctions.udf.CIQ($G276, "IQ_SHARESOUTSTANDING", IC$222),"--")</f>
        <v>0</v>
      </c>
      <c r="ID276" s="2132">
        <f>IF(ID$221,_xll.ciqfunctions.udf.CIQ($G276, "IQ_SHARESOUTSTANDING", ID$222),"--")</f>
        <v>0</v>
      </c>
      <c r="IE276" s="2132">
        <f>IF(IE$221,_xll.ciqfunctions.udf.CIQ($G276, "IQ_SHARESOUTSTANDING", IE$222),"--")</f>
        <v>0</v>
      </c>
      <c r="IF276" s="2132">
        <f>IF(IF$221,_xll.ciqfunctions.udf.CIQ($G276, "IQ_SHARESOUTSTANDING", IF$222),"--")</f>
        <v>0</v>
      </c>
      <c r="IG276" s="2132">
        <f>IF(IG$221,_xll.ciqfunctions.udf.CIQ($G276, "IQ_SHARESOUTSTANDING", IG$222),"--")</f>
        <v>0</v>
      </c>
      <c r="IH276" s="2132">
        <f>IF(IH$221,_xll.ciqfunctions.udf.CIQ($G276, "IQ_SHARESOUTSTANDING", IH$222),"--")</f>
        <v>0</v>
      </c>
      <c r="II276" s="2132">
        <f>IF(II$221,_xll.ciqfunctions.udf.CIQ($G276, "IQ_SHARESOUTSTANDING", II$222),"--")</f>
        <v>0</v>
      </c>
      <c r="IJ276" s="2132">
        <f>IF(IJ$221,_xll.ciqfunctions.udf.CIQ($G276, "IQ_SHARESOUTSTANDING", IJ$222),"--")</f>
        <v>0</v>
      </c>
      <c r="IK276" s="2132">
        <f>IF(IK$221,_xll.ciqfunctions.udf.CIQ($G276, "IQ_SHARESOUTSTANDING", IK$222),"--")</f>
        <v>0</v>
      </c>
      <c r="IL276" s="2132">
        <f>IF(IL$221,_xll.ciqfunctions.udf.CIQ($G276, "IQ_SHARESOUTSTANDING", IL$222),"--")</f>
        <v>0</v>
      </c>
      <c r="IM276" s="2132">
        <f>IF(IM$221,_xll.ciqfunctions.udf.CIQ($G276, "IQ_SHARESOUTSTANDING", IM$222),"--")</f>
        <v>0</v>
      </c>
      <c r="IN276" s="2132">
        <f>IF(IN$221,_xll.ciqfunctions.udf.CIQ($G276, "IQ_SHARESOUTSTANDING", IN$222),"--")</f>
        <v>0</v>
      </c>
      <c r="IO276" s="2132">
        <f>IF(IO$221,_xll.ciqfunctions.udf.CIQ($G276, "IQ_SHARESOUTSTANDING", IO$222),"--")</f>
        <v>0</v>
      </c>
      <c r="IP276" s="2132">
        <f>IF(IP$221,_xll.ciqfunctions.udf.CIQ($G276, "IQ_SHARESOUTSTANDING", IP$222),"--")</f>
        <v>0</v>
      </c>
      <c r="IQ276" s="2132">
        <f>IF(IQ$221,_xll.ciqfunctions.udf.CIQ($G276, "IQ_SHARESOUTSTANDING", IQ$222),"--")</f>
        <v>0</v>
      </c>
      <c r="IR276" s="2132">
        <f>IF(IR$221,_xll.ciqfunctions.udf.CIQ($G276, "IQ_SHARESOUTSTANDING", IR$222),"--")</f>
        <v>0</v>
      </c>
      <c r="IS276" s="2132">
        <f>IF(IS$221,_xll.ciqfunctions.udf.CIQ($G276, "IQ_SHARESOUTSTANDING", IS$222),"--")</f>
        <v>0</v>
      </c>
      <c r="IT276" s="2132">
        <f>IF(IT$221,_xll.ciqfunctions.udf.CIQ($G276, "IQ_SHARESOUTSTANDING", IT$222),"--")</f>
        <v>0</v>
      </c>
      <c r="IU276" s="2132">
        <f>IF(IU$221,_xll.ciqfunctions.udf.CIQ($G276, "IQ_SHARESOUTSTANDING", IU$222),"--")</f>
        <v>0</v>
      </c>
      <c r="IV276" s="2132">
        <f>IF(IV$221,_xll.ciqfunctions.udf.CIQ($G276, "IQ_SHARESOUTSTANDING", IV$222),"--")</f>
        <v>0</v>
      </c>
      <c r="IW276" s="2132">
        <f>IF(IW$221,_xll.ciqfunctions.udf.CIQ($G276, "IQ_SHARESOUTSTANDING", IW$222),"--")</f>
        <v>0</v>
      </c>
      <c r="IX276" s="2132">
        <f>IF(IX$221,_xll.ciqfunctions.udf.CIQ($G276, "IQ_SHARESOUTSTANDING", IX$222),"--")</f>
        <v>0</v>
      </c>
      <c r="IY276" s="2132">
        <f>IF(IY$221,_xll.ciqfunctions.udf.CIQ($G276, "IQ_SHARESOUTSTANDING", IY$222),"--")</f>
        <v>0</v>
      </c>
      <c r="IZ276" s="2132">
        <f>IF(IZ$221,_xll.ciqfunctions.udf.CIQ($G276, "IQ_SHARESOUTSTANDING", IZ$222),"--")</f>
        <v>0</v>
      </c>
      <c r="JA276" s="2132">
        <f>IF(JA$221,_xll.ciqfunctions.udf.CIQ($G276, "IQ_SHARESOUTSTANDING", JA$222),"--")</f>
        <v>0</v>
      </c>
      <c r="JB276" s="2132">
        <f>IF(JB$221,_xll.ciqfunctions.udf.CIQ($G276, "IQ_SHARESOUTSTANDING", JB$222),"--")</f>
        <v>0</v>
      </c>
      <c r="JC276" s="2132">
        <f>IF(JC$221,_xll.ciqfunctions.udf.CIQ($G276, "IQ_SHARESOUTSTANDING", JC$222),"--")</f>
        <v>0</v>
      </c>
      <c r="JD276" s="2132">
        <f>IF(JD$221,_xll.ciqfunctions.udf.CIQ($G276, "IQ_SHARESOUTSTANDING", JD$222),"--")</f>
        <v>0</v>
      </c>
      <c r="JE276" s="2132">
        <f>IF(JE$221,_xll.ciqfunctions.udf.CIQ($G276, "IQ_SHARESOUTSTANDING", JE$222),"--")</f>
        <v>0</v>
      </c>
      <c r="JF276" s="2132">
        <f>IF(JF$221,_xll.ciqfunctions.udf.CIQ($G276, "IQ_SHARESOUTSTANDING", JF$222),"--")</f>
        <v>0</v>
      </c>
      <c r="JG276" s="2132">
        <f>IF(JG$221,_xll.ciqfunctions.udf.CIQ($G276, "IQ_SHARESOUTSTANDING", JG$222),"--")</f>
        <v>0</v>
      </c>
      <c r="JH276" s="2132">
        <f>IF(JH$221,_xll.ciqfunctions.udf.CIQ($G276, "IQ_SHARESOUTSTANDING", JH$222),"--")</f>
        <v>0</v>
      </c>
      <c r="JI276" s="2132">
        <f>IF(JI$221,_xll.ciqfunctions.udf.CIQ($G276, "IQ_SHARESOUTSTANDING", JI$222),"--")</f>
        <v>0</v>
      </c>
      <c r="JJ276" s="2132">
        <f>IF(JJ$221,_xll.ciqfunctions.udf.CIQ($G276, "IQ_SHARESOUTSTANDING", JJ$222),"--")</f>
        <v>0</v>
      </c>
      <c r="JK276" s="2132">
        <f>IF(JK$221,_xll.ciqfunctions.udf.CIQ($G276, "IQ_SHARESOUTSTANDING", JK$222),"--")</f>
        <v>0</v>
      </c>
      <c r="JL276" s="2132">
        <f>IF(JL$221,_xll.ciqfunctions.udf.CIQ($G276, "IQ_SHARESOUTSTANDING", JL$222),"--")</f>
        <v>0</v>
      </c>
      <c r="JM276" s="2132">
        <f>IF(JM$221,_xll.ciqfunctions.udf.CIQ($G276, "IQ_SHARESOUTSTANDING", JM$222),"--")</f>
        <v>0</v>
      </c>
      <c r="JN276" s="2132">
        <f>IF(JN$221,_xll.ciqfunctions.udf.CIQ($G276, "IQ_SHARESOUTSTANDING", JN$222),"--")</f>
        <v>0</v>
      </c>
      <c r="JO276" s="2132">
        <f>IF(JO$221,_xll.ciqfunctions.udf.CIQ($G276, "IQ_SHARESOUTSTANDING", JO$222),"--")</f>
        <v>0</v>
      </c>
      <c r="JP276" s="2132">
        <f>IF(JP$221,_xll.ciqfunctions.udf.CIQ($G276, "IQ_SHARESOUTSTANDING", JP$222),"--")</f>
        <v>0</v>
      </c>
      <c r="JQ276" s="2132">
        <f>IF(JQ$221,_xll.ciqfunctions.udf.CIQ($G276, "IQ_SHARESOUTSTANDING", JQ$222),"--")</f>
        <v>0</v>
      </c>
      <c r="JR276" s="2132">
        <f>IF(JR$221,_xll.ciqfunctions.udf.CIQ($G276, "IQ_SHARESOUTSTANDING", JR$222),"--")</f>
        <v>0</v>
      </c>
      <c r="JS276" s="2132">
        <f>IF(JS$221,_xll.ciqfunctions.udf.CIQ($G276, "IQ_SHARESOUTSTANDING", JS$222),"--")</f>
        <v>0</v>
      </c>
      <c r="JT276" s="2132">
        <f>IF(JT$221,_xll.ciqfunctions.udf.CIQ($G276, "IQ_SHARESOUTSTANDING", JT$222),"--")</f>
        <v>0</v>
      </c>
      <c r="JU276" s="2132">
        <f>IF(JU$221,_xll.ciqfunctions.udf.CIQ($G276, "IQ_SHARESOUTSTANDING", JU$222),"--")</f>
        <v>0</v>
      </c>
      <c r="JV276" s="2132">
        <f>IF(JV$221,_xll.ciqfunctions.udf.CIQ($G276, "IQ_SHARESOUTSTANDING", JV$222),"--")</f>
        <v>0</v>
      </c>
      <c r="JW276" s="2132" t="str">
        <f>IF(JW$221,_xll.ciqfunctions.udf.CIQ($G276, "IQ_SHARESOUTSTANDING", JW$222),"--")</f>
        <v>--</v>
      </c>
      <c r="JX276" s="2132" t="str">
        <f>IF(JX$221,_xll.ciqfunctions.udf.CIQ($G276, "IQ_SHARESOUTSTANDING", JX$222),"--")</f>
        <v>--</v>
      </c>
      <c r="JY276" s="2132" t="str">
        <f>IF(JY$221,_xll.ciqfunctions.udf.CIQ($G276, "IQ_SHARESOUTSTANDING", JY$222),"--")</f>
        <v>--</v>
      </c>
      <c r="JZ276" s="2132" t="str">
        <f>IF(JZ$221,_xll.ciqfunctions.udf.CIQ($G276, "IQ_SHARESOUTSTANDING", JZ$222),"--")</f>
        <v>--</v>
      </c>
      <c r="KA276" s="2132" t="str">
        <f>IF(KA$221,_xll.ciqfunctions.udf.CIQ($G276, "IQ_SHARESOUTSTANDING", KA$222),"--")</f>
        <v>--</v>
      </c>
      <c r="KB276" s="2132" t="str">
        <f>IF(KB$221,_xll.ciqfunctions.udf.CIQ($G276, "IQ_SHARESOUTSTANDING", KB$222),"--")</f>
        <v>--</v>
      </c>
    </row>
    <row r="277" spans="1:288" s="89" customFormat="1" ht="13.9">
      <c r="A277" s="269" t="str">
        <f t="shared" si="49"/>
        <v>n</v>
      </c>
      <c r="B277" s="2060"/>
      <c r="D277" s="801"/>
      <c r="E277" s="1505">
        <v>23</v>
      </c>
      <c r="F277" s="21" t="str">
        <f>F$151</f>
        <v>--</v>
      </c>
      <c r="G277" s="1441">
        <f>G$151</f>
        <v>0</v>
      </c>
      <c r="H277" s="1441" t="str">
        <f>H$151</f>
        <v>--</v>
      </c>
      <c r="I277" s="314" t="s">
        <v>783</v>
      </c>
      <c r="J277" s="314"/>
      <c r="K277" s="2301" t="str">
        <f>IF(OR(K214=0,$G277=0),"--",IFERROR(_xll.ciqfunctions.udf.CIQ($G277,$I277,K122,Valuation_Date_GC,ReportType,DataMode,$H277,FXMode)*Scale+K246*Pension10,"--"))</f>
        <v>--</v>
      </c>
      <c r="L277" s="2301" t="str">
        <f>IF(OR(L214=0,$G277=0),"--",IFERROR(_xll.ciqfunctions.udf.CIQ($G277,$I277,L122,Valuation_Date_GC,ReportType,DataMode,$H277,FXMode)*Scale+L246*Pension10,"--"))</f>
        <v>--</v>
      </c>
      <c r="M277" s="2301" t="str">
        <f>IF(OR(M214=0,$G277=0),"--",IFERROR(_xll.ciqfunctions.udf.CIQ($G277,$I277,M122,Valuation_Date_GC,ReportType,DataMode,$H277,FXMode)*Scale+M246*Pension10,"--"))</f>
        <v>--</v>
      </c>
      <c r="N277" s="2301" t="str">
        <f>IF(OR(N214=0,$G277=0),"--",IFERROR(_xll.ciqfunctions.udf.CIQ($G277,$I277,N122,Valuation_Date_GC,ReportType,DataMode,$H277,FXMode)*Scale+N246*Pension10,"--"))</f>
        <v>--</v>
      </c>
      <c r="O277" s="1471" t="str">
        <f>IF(OR(O214=0,$G277=0),"--",IFERROR(_xll.ciqfunctions.udf.CIQ($G277,$I277,O122,Valuation_Date_GC,ReportType,DataMode,$H277,FXMode)*Scale+O246*Pension10,"--"))</f>
        <v>--</v>
      </c>
      <c r="P277" s="2301" t="str">
        <f>IF(OR(P214=0,$G277=0),"--",IFERROR(_xll.ciqfunctions.udf.CIQ($G277,$I277,P122,Valuation_Date_GC,ReportType,DataMode,$H277,FXMode)*Scale+P246*Pension10,"--"))</f>
        <v>--</v>
      </c>
      <c r="R277" s="1466"/>
      <c r="T277" s="1779" t="s">
        <v>784</v>
      </c>
      <c r="U277" s="2132">
        <f>IF(U$221,_xll.ciqfunctions.udf.CIQ($G277, "IQ_SHARESOUTSTANDING", U$222),"--")</f>
        <v>0</v>
      </c>
      <c r="V277" s="2132">
        <f>IF(V$221,_xll.ciqfunctions.udf.CIQ($G277, "IQ_SHARESOUTSTANDING", V$222),"--")</f>
        <v>0</v>
      </c>
      <c r="W277" s="2132">
        <f>IF(W$221,_xll.ciqfunctions.udf.CIQ($G277, "IQ_SHARESOUTSTANDING", W$222),"--")</f>
        <v>0</v>
      </c>
      <c r="X277" s="2132">
        <f>IF(X$221,_xll.ciqfunctions.udf.CIQ($G277, "IQ_SHARESOUTSTANDING", X$222),"--")</f>
        <v>0</v>
      </c>
      <c r="Y277" s="2132">
        <f>IF(Y$221,_xll.ciqfunctions.udf.CIQ($G277, "IQ_SHARESOUTSTANDING", Y$222),"--")</f>
        <v>0</v>
      </c>
      <c r="Z277" s="2132">
        <f>IF(Z$221,_xll.ciqfunctions.udf.CIQ($G277, "IQ_SHARESOUTSTANDING", Z$222),"--")</f>
        <v>0</v>
      </c>
      <c r="AA277" s="2132">
        <f>IF(AA$221,_xll.ciqfunctions.udf.CIQ($G277, "IQ_SHARESOUTSTANDING", AA$222),"--")</f>
        <v>0</v>
      </c>
      <c r="AB277" s="2132">
        <f>IF(AB$221,_xll.ciqfunctions.udf.CIQ($G277, "IQ_SHARESOUTSTANDING", AB$222),"--")</f>
        <v>0</v>
      </c>
      <c r="AC277" s="2132">
        <f>IF(AC$221,_xll.ciqfunctions.udf.CIQ($G277, "IQ_SHARESOUTSTANDING", AC$222),"--")</f>
        <v>0</v>
      </c>
      <c r="AD277" s="2132">
        <f>IF(AD$221,_xll.ciqfunctions.udf.CIQ($G277, "IQ_SHARESOUTSTANDING", AD$222),"--")</f>
        <v>0</v>
      </c>
      <c r="AE277" s="2132">
        <f>IF(AE$221,_xll.ciqfunctions.udf.CIQ($G277, "IQ_SHARESOUTSTANDING", AE$222),"--")</f>
        <v>0</v>
      </c>
      <c r="AF277" s="2132">
        <f>IF(AF$221,_xll.ciqfunctions.udf.CIQ($G277, "IQ_SHARESOUTSTANDING", AF$222),"--")</f>
        <v>0</v>
      </c>
      <c r="AG277" s="2132">
        <f>IF(AG$221,_xll.ciqfunctions.udf.CIQ($G277, "IQ_SHARESOUTSTANDING", AG$222),"--")</f>
        <v>0</v>
      </c>
      <c r="AH277" s="2132">
        <f>IF(AH$221,_xll.ciqfunctions.udf.CIQ($G277, "IQ_SHARESOUTSTANDING", AH$222),"--")</f>
        <v>0</v>
      </c>
      <c r="AI277" s="2132">
        <f>IF(AI$221,_xll.ciqfunctions.udf.CIQ($G277, "IQ_SHARESOUTSTANDING", AI$222),"--")</f>
        <v>0</v>
      </c>
      <c r="AJ277" s="2132">
        <f>IF(AJ$221,_xll.ciqfunctions.udf.CIQ($G277, "IQ_SHARESOUTSTANDING", AJ$222),"--")</f>
        <v>0</v>
      </c>
      <c r="AK277" s="2132">
        <f>IF(AK$221,_xll.ciqfunctions.udf.CIQ($G277, "IQ_SHARESOUTSTANDING", AK$222),"--")</f>
        <v>0</v>
      </c>
      <c r="AL277" s="2132">
        <f>IF(AL$221,_xll.ciqfunctions.udf.CIQ($G277, "IQ_SHARESOUTSTANDING", AL$222),"--")</f>
        <v>0</v>
      </c>
      <c r="AM277" s="2132">
        <f>IF(AM$221,_xll.ciqfunctions.udf.CIQ($G277, "IQ_SHARESOUTSTANDING", AM$222),"--")</f>
        <v>0</v>
      </c>
      <c r="AN277" s="2132">
        <f>IF(AN$221,_xll.ciqfunctions.udf.CIQ($G277, "IQ_SHARESOUTSTANDING", AN$222),"--")</f>
        <v>0</v>
      </c>
      <c r="AO277" s="2132">
        <f>IF(AO$221,_xll.ciqfunctions.udf.CIQ($G277, "IQ_SHARESOUTSTANDING", AO$222),"--")</f>
        <v>0</v>
      </c>
      <c r="AP277" s="2132">
        <f>IF(AP$221,_xll.ciqfunctions.udf.CIQ($G277, "IQ_SHARESOUTSTANDING", AP$222),"--")</f>
        <v>0</v>
      </c>
      <c r="AQ277" s="2132">
        <f>IF(AQ$221,_xll.ciqfunctions.udf.CIQ($G277, "IQ_SHARESOUTSTANDING", AQ$222),"--")</f>
        <v>0</v>
      </c>
      <c r="AR277" s="2132">
        <f>IF(AR$221,_xll.ciqfunctions.udf.CIQ($G277, "IQ_SHARESOUTSTANDING", AR$222),"--")</f>
        <v>0</v>
      </c>
      <c r="AS277" s="2132">
        <f>IF(AS$221,_xll.ciqfunctions.udf.CIQ($G277, "IQ_SHARESOUTSTANDING", AS$222),"--")</f>
        <v>0</v>
      </c>
      <c r="AT277" s="2132">
        <f>IF(AT$221,_xll.ciqfunctions.udf.CIQ($G277, "IQ_SHARESOUTSTANDING", AT$222),"--")</f>
        <v>0</v>
      </c>
      <c r="AU277" s="2132">
        <f>IF(AU$221,_xll.ciqfunctions.udf.CIQ($G277, "IQ_SHARESOUTSTANDING", AU$222),"--")</f>
        <v>0</v>
      </c>
      <c r="AV277" s="2132">
        <f>IF(AV$221,_xll.ciqfunctions.udf.CIQ($G277, "IQ_SHARESOUTSTANDING", AV$222),"--")</f>
        <v>0</v>
      </c>
      <c r="AW277" s="2132">
        <f>IF(AW$221,_xll.ciqfunctions.udf.CIQ($G277, "IQ_SHARESOUTSTANDING", AW$222),"--")</f>
        <v>0</v>
      </c>
      <c r="AX277" s="2132">
        <f>IF(AX$221,_xll.ciqfunctions.udf.CIQ($G277, "IQ_SHARESOUTSTANDING", AX$222),"--")</f>
        <v>0</v>
      </c>
      <c r="AY277" s="2132">
        <f>IF(AY$221,_xll.ciqfunctions.udf.CIQ($G277, "IQ_SHARESOUTSTANDING", AY$222),"--")</f>
        <v>0</v>
      </c>
      <c r="AZ277" s="2132">
        <f>IF(AZ$221,_xll.ciqfunctions.udf.CIQ($G277, "IQ_SHARESOUTSTANDING", AZ$222),"--")</f>
        <v>0</v>
      </c>
      <c r="BA277" s="2132">
        <f>IF(BA$221,_xll.ciqfunctions.udf.CIQ($G277, "IQ_SHARESOUTSTANDING", BA$222),"--")</f>
        <v>0</v>
      </c>
      <c r="BB277" s="2132">
        <f>IF(BB$221,_xll.ciqfunctions.udf.CIQ($G277, "IQ_SHARESOUTSTANDING", BB$222),"--")</f>
        <v>0</v>
      </c>
      <c r="BC277" s="2132">
        <f>IF(BC$221,_xll.ciqfunctions.udf.CIQ($G277, "IQ_SHARESOUTSTANDING", BC$222),"--")</f>
        <v>0</v>
      </c>
      <c r="BD277" s="2132">
        <f>IF(BD$221,_xll.ciqfunctions.udf.CIQ($G277, "IQ_SHARESOUTSTANDING", BD$222),"--")</f>
        <v>0</v>
      </c>
      <c r="BE277" s="2132">
        <f>IF(BE$221,_xll.ciqfunctions.udf.CIQ($G277, "IQ_SHARESOUTSTANDING", BE$222),"--")</f>
        <v>0</v>
      </c>
      <c r="BF277" s="2132">
        <f>IF(BF$221,_xll.ciqfunctions.udf.CIQ($G277, "IQ_SHARESOUTSTANDING", BF$222),"--")</f>
        <v>0</v>
      </c>
      <c r="BG277" s="2132">
        <f>IF(BG$221,_xll.ciqfunctions.udf.CIQ($G277, "IQ_SHARESOUTSTANDING", BG$222),"--")</f>
        <v>0</v>
      </c>
      <c r="BH277" s="2132">
        <f>IF(BH$221,_xll.ciqfunctions.udf.CIQ($G277, "IQ_SHARESOUTSTANDING", BH$222),"--")</f>
        <v>0</v>
      </c>
      <c r="BI277" s="2132">
        <f>IF(BI$221,_xll.ciqfunctions.udf.CIQ($G277, "IQ_SHARESOUTSTANDING", BI$222),"--")</f>
        <v>0</v>
      </c>
      <c r="BJ277" s="2132">
        <f>IF(BJ$221,_xll.ciqfunctions.udf.CIQ($G277, "IQ_SHARESOUTSTANDING", BJ$222),"--")</f>
        <v>0</v>
      </c>
      <c r="BK277" s="2132">
        <f>IF(BK$221,_xll.ciqfunctions.udf.CIQ($G277, "IQ_SHARESOUTSTANDING", BK$222),"--")</f>
        <v>0</v>
      </c>
      <c r="BL277" s="2132">
        <f>IF(BL$221,_xll.ciqfunctions.udf.CIQ($G277, "IQ_SHARESOUTSTANDING", BL$222),"--")</f>
        <v>0</v>
      </c>
      <c r="BM277" s="2132">
        <f>IF(BM$221,_xll.ciqfunctions.udf.CIQ($G277, "IQ_SHARESOUTSTANDING", BM$222),"--")</f>
        <v>0</v>
      </c>
      <c r="BN277" s="2132">
        <f>IF(BN$221,_xll.ciqfunctions.udf.CIQ($G277, "IQ_SHARESOUTSTANDING", BN$222),"--")</f>
        <v>0</v>
      </c>
      <c r="BO277" s="2132">
        <f>IF(BO$221,_xll.ciqfunctions.udf.CIQ($G277, "IQ_SHARESOUTSTANDING", BO$222),"--")</f>
        <v>0</v>
      </c>
      <c r="BP277" s="2132">
        <f>IF(BP$221,_xll.ciqfunctions.udf.CIQ($G277, "IQ_SHARESOUTSTANDING", BP$222),"--")</f>
        <v>0</v>
      </c>
      <c r="BQ277" s="2132">
        <f>IF(BQ$221,_xll.ciqfunctions.udf.CIQ($G277, "IQ_SHARESOUTSTANDING", BQ$222),"--")</f>
        <v>0</v>
      </c>
      <c r="BR277" s="2132">
        <f>IF(BR$221,_xll.ciqfunctions.udf.CIQ($G277, "IQ_SHARESOUTSTANDING", BR$222),"--")</f>
        <v>0</v>
      </c>
      <c r="BS277" s="2132">
        <f>IF(BS$221,_xll.ciqfunctions.udf.CIQ($G277, "IQ_SHARESOUTSTANDING", BS$222),"--")</f>
        <v>0</v>
      </c>
      <c r="BT277" s="2132">
        <f>IF(BT$221,_xll.ciqfunctions.udf.CIQ($G277, "IQ_SHARESOUTSTANDING", BT$222),"--")</f>
        <v>0</v>
      </c>
      <c r="BU277" s="2132">
        <f>IF(BU$221,_xll.ciqfunctions.udf.CIQ($G277, "IQ_SHARESOUTSTANDING", BU$222),"--")</f>
        <v>0</v>
      </c>
      <c r="BV277" s="2132">
        <f>IF(BV$221,_xll.ciqfunctions.udf.CIQ($G277, "IQ_SHARESOUTSTANDING", BV$222),"--")</f>
        <v>0</v>
      </c>
      <c r="BW277" s="2132">
        <f>IF(BW$221,_xll.ciqfunctions.udf.CIQ($G277, "IQ_SHARESOUTSTANDING", BW$222),"--")</f>
        <v>0</v>
      </c>
      <c r="BX277" s="2132">
        <f>IF(BX$221,_xll.ciqfunctions.udf.CIQ($G277, "IQ_SHARESOUTSTANDING", BX$222),"--")</f>
        <v>0</v>
      </c>
      <c r="BY277" s="2132">
        <f>IF(BY$221,_xll.ciqfunctions.udf.CIQ($G277, "IQ_SHARESOUTSTANDING", BY$222),"--")</f>
        <v>0</v>
      </c>
      <c r="BZ277" s="2132">
        <f>IF(BZ$221,_xll.ciqfunctions.udf.CIQ($G277, "IQ_SHARESOUTSTANDING", BZ$222),"--")</f>
        <v>0</v>
      </c>
      <c r="CA277" s="2132">
        <f>IF(CA$221,_xll.ciqfunctions.udf.CIQ($G277, "IQ_SHARESOUTSTANDING", CA$222),"--")</f>
        <v>0</v>
      </c>
      <c r="CB277" s="2132">
        <f>IF(CB$221,_xll.ciqfunctions.udf.CIQ($G277, "IQ_SHARESOUTSTANDING", CB$222),"--")</f>
        <v>0</v>
      </c>
      <c r="CC277" s="2132">
        <f>IF(CC$221,_xll.ciqfunctions.udf.CIQ($G277, "IQ_SHARESOUTSTANDING", CC$222),"--")</f>
        <v>0</v>
      </c>
      <c r="CD277" s="2132">
        <f>IF(CD$221,_xll.ciqfunctions.udf.CIQ($G277, "IQ_SHARESOUTSTANDING", CD$222),"--")</f>
        <v>0</v>
      </c>
      <c r="CE277" s="2132">
        <f>IF(CE$221,_xll.ciqfunctions.udf.CIQ($G277, "IQ_SHARESOUTSTANDING", CE$222),"--")</f>
        <v>0</v>
      </c>
      <c r="CF277" s="2132">
        <f>IF(CF$221,_xll.ciqfunctions.udf.CIQ($G277, "IQ_SHARESOUTSTANDING", CF$222),"--")</f>
        <v>0</v>
      </c>
      <c r="CG277" s="2132">
        <f>IF(CG$221,_xll.ciqfunctions.udf.CIQ($G277, "IQ_SHARESOUTSTANDING", CG$222),"--")</f>
        <v>0</v>
      </c>
      <c r="CH277" s="2132">
        <f>IF(CH$221,_xll.ciqfunctions.udf.CIQ($G277, "IQ_SHARESOUTSTANDING", CH$222),"--")</f>
        <v>0</v>
      </c>
      <c r="CI277" s="2132">
        <f>IF(CI$221,_xll.ciqfunctions.udf.CIQ($G277, "IQ_SHARESOUTSTANDING", CI$222),"--")</f>
        <v>0</v>
      </c>
      <c r="CJ277" s="2132">
        <f>IF(CJ$221,_xll.ciqfunctions.udf.CIQ($G277, "IQ_SHARESOUTSTANDING", CJ$222),"--")</f>
        <v>0</v>
      </c>
      <c r="CK277" s="2132">
        <f>IF(CK$221,_xll.ciqfunctions.udf.CIQ($G277, "IQ_SHARESOUTSTANDING", CK$222),"--")</f>
        <v>0</v>
      </c>
      <c r="CL277" s="2132">
        <f>IF(CL$221,_xll.ciqfunctions.udf.CIQ($G277, "IQ_SHARESOUTSTANDING", CL$222),"--")</f>
        <v>0</v>
      </c>
      <c r="CM277" s="2132">
        <f>IF(CM$221,_xll.ciqfunctions.udf.CIQ($G277, "IQ_SHARESOUTSTANDING", CM$222),"--")</f>
        <v>0</v>
      </c>
      <c r="CN277" s="2132">
        <f>IF(CN$221,_xll.ciqfunctions.udf.CIQ($G277, "IQ_SHARESOUTSTANDING", CN$222),"--")</f>
        <v>0</v>
      </c>
      <c r="CO277" s="2132">
        <f>IF(CO$221,_xll.ciqfunctions.udf.CIQ($G277, "IQ_SHARESOUTSTANDING", CO$222),"--")</f>
        <v>0</v>
      </c>
      <c r="CP277" s="2132">
        <f>IF(CP$221,_xll.ciqfunctions.udf.CIQ($G277, "IQ_SHARESOUTSTANDING", CP$222),"--")</f>
        <v>0</v>
      </c>
      <c r="CQ277" s="2132">
        <f>IF(CQ$221,_xll.ciqfunctions.udf.CIQ($G277, "IQ_SHARESOUTSTANDING", CQ$222),"--")</f>
        <v>0</v>
      </c>
      <c r="CR277" s="2132">
        <f>IF(CR$221,_xll.ciqfunctions.udf.CIQ($G277, "IQ_SHARESOUTSTANDING", CR$222),"--")</f>
        <v>0</v>
      </c>
      <c r="CS277" s="2132">
        <f>IF(CS$221,_xll.ciqfunctions.udf.CIQ($G277, "IQ_SHARESOUTSTANDING", CS$222),"--")</f>
        <v>0</v>
      </c>
      <c r="CT277" s="2132">
        <f>IF(CT$221,_xll.ciqfunctions.udf.CIQ($G277, "IQ_SHARESOUTSTANDING", CT$222),"--")</f>
        <v>0</v>
      </c>
      <c r="CU277" s="2132">
        <f>IF(CU$221,_xll.ciqfunctions.udf.CIQ($G277, "IQ_SHARESOUTSTANDING", CU$222),"--")</f>
        <v>0</v>
      </c>
      <c r="CV277" s="2132">
        <f>IF(CV$221,_xll.ciqfunctions.udf.CIQ($G277, "IQ_SHARESOUTSTANDING", CV$222),"--")</f>
        <v>0</v>
      </c>
      <c r="CW277" s="2132">
        <f>IF(CW$221,_xll.ciqfunctions.udf.CIQ($G277, "IQ_SHARESOUTSTANDING", CW$222),"--")</f>
        <v>0</v>
      </c>
      <c r="CX277" s="2132">
        <f>IF(CX$221,_xll.ciqfunctions.udf.CIQ($G277, "IQ_SHARESOUTSTANDING", CX$222),"--")</f>
        <v>0</v>
      </c>
      <c r="CY277" s="2132">
        <f>IF(CY$221,_xll.ciqfunctions.udf.CIQ($G277, "IQ_SHARESOUTSTANDING", CY$222),"--")</f>
        <v>0</v>
      </c>
      <c r="CZ277" s="2132">
        <f>IF(CZ$221,_xll.ciqfunctions.udf.CIQ($G277, "IQ_SHARESOUTSTANDING", CZ$222),"--")</f>
        <v>0</v>
      </c>
      <c r="DA277" s="2132">
        <f>IF(DA$221,_xll.ciqfunctions.udf.CIQ($G277, "IQ_SHARESOUTSTANDING", DA$222),"--")</f>
        <v>0</v>
      </c>
      <c r="DB277" s="2132">
        <f>IF(DB$221,_xll.ciqfunctions.udf.CIQ($G277, "IQ_SHARESOUTSTANDING", DB$222),"--")</f>
        <v>0</v>
      </c>
      <c r="DC277" s="2132">
        <f>IF(DC$221,_xll.ciqfunctions.udf.CIQ($G277, "IQ_SHARESOUTSTANDING", DC$222),"--")</f>
        <v>0</v>
      </c>
      <c r="DD277" s="2132">
        <f>IF(DD$221,_xll.ciqfunctions.udf.CIQ($G277, "IQ_SHARESOUTSTANDING", DD$222),"--")</f>
        <v>0</v>
      </c>
      <c r="DE277" s="2132">
        <f>IF(DE$221,_xll.ciqfunctions.udf.CIQ($G277, "IQ_SHARESOUTSTANDING", DE$222),"--")</f>
        <v>0</v>
      </c>
      <c r="DF277" s="2132">
        <f>IF(DF$221,_xll.ciqfunctions.udf.CIQ($G277, "IQ_SHARESOUTSTANDING", DF$222),"--")</f>
        <v>0</v>
      </c>
      <c r="DG277" s="2132">
        <f>IF(DG$221,_xll.ciqfunctions.udf.CIQ($G277, "IQ_SHARESOUTSTANDING", DG$222),"--")</f>
        <v>0</v>
      </c>
      <c r="DH277" s="2132">
        <f>IF(DH$221,_xll.ciqfunctions.udf.CIQ($G277, "IQ_SHARESOUTSTANDING", DH$222),"--")</f>
        <v>0</v>
      </c>
      <c r="DI277" s="2132">
        <f>IF(DI$221,_xll.ciqfunctions.udf.CIQ($G277, "IQ_SHARESOUTSTANDING", DI$222),"--")</f>
        <v>0</v>
      </c>
      <c r="DJ277" s="2132">
        <f>IF(DJ$221,_xll.ciqfunctions.udf.CIQ($G277, "IQ_SHARESOUTSTANDING", DJ$222),"--")</f>
        <v>0</v>
      </c>
      <c r="DK277" s="2132">
        <f>IF(DK$221,_xll.ciqfunctions.udf.CIQ($G277, "IQ_SHARESOUTSTANDING", DK$222),"--")</f>
        <v>0</v>
      </c>
      <c r="DL277" s="2132">
        <f>IF(DL$221,_xll.ciqfunctions.udf.CIQ($G277, "IQ_SHARESOUTSTANDING", DL$222),"--")</f>
        <v>0</v>
      </c>
      <c r="DM277" s="2132">
        <f>IF(DM$221,_xll.ciqfunctions.udf.CIQ($G277, "IQ_SHARESOUTSTANDING", DM$222),"--")</f>
        <v>0</v>
      </c>
      <c r="DN277" s="2132">
        <f>IF(DN$221,_xll.ciqfunctions.udf.CIQ($G277, "IQ_SHARESOUTSTANDING", DN$222),"--")</f>
        <v>0</v>
      </c>
      <c r="DO277" s="2132">
        <f>IF(DO$221,_xll.ciqfunctions.udf.CIQ($G277, "IQ_SHARESOUTSTANDING", DO$222),"--")</f>
        <v>0</v>
      </c>
      <c r="DP277" s="2132">
        <f>IF(DP$221,_xll.ciqfunctions.udf.CIQ($G277, "IQ_SHARESOUTSTANDING", DP$222),"--")</f>
        <v>0</v>
      </c>
      <c r="DQ277" s="2132">
        <f>IF(DQ$221,_xll.ciqfunctions.udf.CIQ($G277, "IQ_SHARESOUTSTANDING", DQ$222),"--")</f>
        <v>0</v>
      </c>
      <c r="DR277" s="2132">
        <f>IF(DR$221,_xll.ciqfunctions.udf.CIQ($G277, "IQ_SHARESOUTSTANDING", DR$222),"--")</f>
        <v>0</v>
      </c>
      <c r="DS277" s="2132">
        <f>IF(DS$221,_xll.ciqfunctions.udf.CIQ($G277, "IQ_SHARESOUTSTANDING", DS$222),"--")</f>
        <v>0</v>
      </c>
      <c r="DT277" s="2132">
        <f>IF(DT$221,_xll.ciqfunctions.udf.CIQ($G277, "IQ_SHARESOUTSTANDING", DT$222),"--")</f>
        <v>0</v>
      </c>
      <c r="DU277" s="2132">
        <f>IF(DU$221,_xll.ciqfunctions.udf.CIQ($G277, "IQ_SHARESOUTSTANDING", DU$222),"--")</f>
        <v>0</v>
      </c>
      <c r="DV277" s="2132">
        <f>IF(DV$221,_xll.ciqfunctions.udf.CIQ($G277, "IQ_SHARESOUTSTANDING", DV$222),"--")</f>
        <v>0</v>
      </c>
      <c r="DW277" s="2132">
        <f>IF(DW$221,_xll.ciqfunctions.udf.CIQ($G277, "IQ_SHARESOUTSTANDING", DW$222),"--")</f>
        <v>0</v>
      </c>
      <c r="DX277" s="2132">
        <f>IF(DX$221,_xll.ciqfunctions.udf.CIQ($G277, "IQ_SHARESOUTSTANDING", DX$222),"--")</f>
        <v>0</v>
      </c>
      <c r="DY277" s="2132">
        <f>IF(DY$221,_xll.ciqfunctions.udf.CIQ($G277, "IQ_SHARESOUTSTANDING", DY$222),"--")</f>
        <v>0</v>
      </c>
      <c r="DZ277" s="2132">
        <f>IF(DZ$221,_xll.ciqfunctions.udf.CIQ($G277, "IQ_SHARESOUTSTANDING", DZ$222),"--")</f>
        <v>0</v>
      </c>
      <c r="EA277" s="2132">
        <f>IF(EA$221,_xll.ciqfunctions.udf.CIQ($G277, "IQ_SHARESOUTSTANDING", EA$222),"--")</f>
        <v>0</v>
      </c>
      <c r="EB277" s="2132">
        <f>IF(EB$221,_xll.ciqfunctions.udf.CIQ($G277, "IQ_SHARESOUTSTANDING", EB$222),"--")</f>
        <v>0</v>
      </c>
      <c r="EC277" s="2132">
        <f>IF(EC$221,_xll.ciqfunctions.udf.CIQ($G277, "IQ_SHARESOUTSTANDING", EC$222),"--")</f>
        <v>0</v>
      </c>
      <c r="ED277" s="2132">
        <f>IF(ED$221,_xll.ciqfunctions.udf.CIQ($G277, "IQ_SHARESOUTSTANDING", ED$222),"--")</f>
        <v>0</v>
      </c>
      <c r="EE277" s="2132">
        <f>IF(EE$221,_xll.ciqfunctions.udf.CIQ($G277, "IQ_SHARESOUTSTANDING", EE$222),"--")</f>
        <v>0</v>
      </c>
      <c r="EF277" s="2132">
        <f>IF(EF$221,_xll.ciqfunctions.udf.CIQ($G277, "IQ_SHARESOUTSTANDING", EF$222),"--")</f>
        <v>0</v>
      </c>
      <c r="EG277" s="2132">
        <f>IF(EG$221,_xll.ciqfunctions.udf.CIQ($G277, "IQ_SHARESOUTSTANDING", EG$222),"--")</f>
        <v>0</v>
      </c>
      <c r="EH277" s="2132">
        <f>IF(EH$221,_xll.ciqfunctions.udf.CIQ($G277, "IQ_SHARESOUTSTANDING", EH$222),"--")</f>
        <v>0</v>
      </c>
      <c r="EI277" s="2132">
        <f>IF(EI$221,_xll.ciqfunctions.udf.CIQ($G277, "IQ_SHARESOUTSTANDING", EI$222),"--")</f>
        <v>0</v>
      </c>
      <c r="EJ277" s="2132">
        <f>IF(EJ$221,_xll.ciqfunctions.udf.CIQ($G277, "IQ_SHARESOUTSTANDING", EJ$222),"--")</f>
        <v>0</v>
      </c>
      <c r="EK277" s="2132">
        <f>IF(EK$221,_xll.ciqfunctions.udf.CIQ($G277, "IQ_SHARESOUTSTANDING", EK$222),"--")</f>
        <v>0</v>
      </c>
      <c r="EL277" s="2132">
        <f>IF(EL$221,_xll.ciqfunctions.udf.CIQ($G277, "IQ_SHARESOUTSTANDING", EL$222),"--")</f>
        <v>0</v>
      </c>
      <c r="EM277" s="2132">
        <f>IF(EM$221,_xll.ciqfunctions.udf.CIQ($G277, "IQ_SHARESOUTSTANDING", EM$222),"--")</f>
        <v>0</v>
      </c>
      <c r="EN277" s="2132">
        <f>IF(EN$221,_xll.ciqfunctions.udf.CIQ($G277, "IQ_SHARESOUTSTANDING", EN$222),"--")</f>
        <v>0</v>
      </c>
      <c r="EO277" s="2132">
        <f>IF(EO$221,_xll.ciqfunctions.udf.CIQ($G277, "IQ_SHARESOUTSTANDING", EO$222),"--")</f>
        <v>0</v>
      </c>
      <c r="EP277" s="2132">
        <f>IF(EP$221,_xll.ciqfunctions.udf.CIQ($G277, "IQ_SHARESOUTSTANDING", EP$222),"--")</f>
        <v>0</v>
      </c>
      <c r="EQ277" s="2132">
        <f>IF(EQ$221,_xll.ciqfunctions.udf.CIQ($G277, "IQ_SHARESOUTSTANDING", EQ$222),"--")</f>
        <v>0</v>
      </c>
      <c r="ER277" s="2132">
        <f>IF(ER$221,_xll.ciqfunctions.udf.CIQ($G277, "IQ_SHARESOUTSTANDING", ER$222),"--")</f>
        <v>0</v>
      </c>
      <c r="ES277" s="2132">
        <f>IF(ES$221,_xll.ciqfunctions.udf.CIQ($G277, "IQ_SHARESOUTSTANDING", ES$222),"--")</f>
        <v>0</v>
      </c>
      <c r="ET277" s="2132">
        <f>IF(ET$221,_xll.ciqfunctions.udf.CIQ($G277, "IQ_SHARESOUTSTANDING", ET$222),"--")</f>
        <v>0</v>
      </c>
      <c r="EU277" s="2132">
        <f>IF(EU$221,_xll.ciqfunctions.udf.CIQ($G277, "IQ_SHARESOUTSTANDING", EU$222),"--")</f>
        <v>0</v>
      </c>
      <c r="EV277" s="2132">
        <f>IF(EV$221,_xll.ciqfunctions.udf.CIQ($G277, "IQ_SHARESOUTSTANDING", EV$222),"--")</f>
        <v>0</v>
      </c>
      <c r="EW277" s="2132">
        <f>IF(EW$221,_xll.ciqfunctions.udf.CIQ($G277, "IQ_SHARESOUTSTANDING", EW$222),"--")</f>
        <v>0</v>
      </c>
      <c r="EX277" s="2132">
        <f>IF(EX$221,_xll.ciqfunctions.udf.CIQ($G277, "IQ_SHARESOUTSTANDING", EX$222),"--")</f>
        <v>0</v>
      </c>
      <c r="EY277" s="2132">
        <f>IF(EY$221,_xll.ciqfunctions.udf.CIQ($G277, "IQ_SHARESOUTSTANDING", EY$222),"--")</f>
        <v>0</v>
      </c>
      <c r="EZ277" s="2132">
        <f>IF(EZ$221,_xll.ciqfunctions.udf.CIQ($G277, "IQ_SHARESOUTSTANDING", EZ$222),"--")</f>
        <v>0</v>
      </c>
      <c r="FA277" s="2132">
        <f>IF(FA$221,_xll.ciqfunctions.udf.CIQ($G277, "IQ_SHARESOUTSTANDING", FA$222),"--")</f>
        <v>0</v>
      </c>
      <c r="FB277" s="2132">
        <f>IF(FB$221,_xll.ciqfunctions.udf.CIQ($G277, "IQ_SHARESOUTSTANDING", FB$222),"--")</f>
        <v>0</v>
      </c>
      <c r="FC277" s="2132">
        <f>IF(FC$221,_xll.ciqfunctions.udf.CIQ($G277, "IQ_SHARESOUTSTANDING", FC$222),"--")</f>
        <v>0</v>
      </c>
      <c r="FD277" s="2132">
        <f>IF(FD$221,_xll.ciqfunctions.udf.CIQ($G277, "IQ_SHARESOUTSTANDING", FD$222),"--")</f>
        <v>0</v>
      </c>
      <c r="FE277" s="2132">
        <f>IF(FE$221,_xll.ciqfunctions.udf.CIQ($G277, "IQ_SHARESOUTSTANDING", FE$222),"--")</f>
        <v>0</v>
      </c>
      <c r="FF277" s="2132">
        <f>IF(FF$221,_xll.ciqfunctions.udf.CIQ($G277, "IQ_SHARESOUTSTANDING", FF$222),"--")</f>
        <v>0</v>
      </c>
      <c r="FG277" s="2132">
        <f>IF(FG$221,_xll.ciqfunctions.udf.CIQ($G277, "IQ_SHARESOUTSTANDING", FG$222),"--")</f>
        <v>0</v>
      </c>
      <c r="FH277" s="2132">
        <f>IF(FH$221,_xll.ciqfunctions.udf.CIQ($G277, "IQ_SHARESOUTSTANDING", FH$222),"--")</f>
        <v>0</v>
      </c>
      <c r="FI277" s="2132">
        <f>IF(FI$221,_xll.ciqfunctions.udf.CIQ($G277, "IQ_SHARESOUTSTANDING", FI$222),"--")</f>
        <v>0</v>
      </c>
      <c r="FJ277" s="2132">
        <f>IF(FJ$221,_xll.ciqfunctions.udf.CIQ($G277, "IQ_SHARESOUTSTANDING", FJ$222),"--")</f>
        <v>0</v>
      </c>
      <c r="FK277" s="2132">
        <f>IF(FK$221,_xll.ciqfunctions.udf.CIQ($G277, "IQ_SHARESOUTSTANDING", FK$222),"--")</f>
        <v>0</v>
      </c>
      <c r="FL277" s="2132">
        <f>IF(FL$221,_xll.ciqfunctions.udf.CIQ($G277, "IQ_SHARESOUTSTANDING", FL$222),"--")</f>
        <v>0</v>
      </c>
      <c r="FM277" s="2132">
        <f>IF(FM$221,_xll.ciqfunctions.udf.CIQ($G277, "IQ_SHARESOUTSTANDING", FM$222),"--")</f>
        <v>0</v>
      </c>
      <c r="FN277" s="2132">
        <f>IF(FN$221,_xll.ciqfunctions.udf.CIQ($G277, "IQ_SHARESOUTSTANDING", FN$222),"--")</f>
        <v>0</v>
      </c>
      <c r="FO277" s="2132">
        <f>IF(FO$221,_xll.ciqfunctions.udf.CIQ($G277, "IQ_SHARESOUTSTANDING", FO$222),"--")</f>
        <v>0</v>
      </c>
      <c r="FP277" s="2132">
        <f>IF(FP$221,_xll.ciqfunctions.udf.CIQ($G277, "IQ_SHARESOUTSTANDING", FP$222),"--")</f>
        <v>0</v>
      </c>
      <c r="FQ277" s="2132">
        <f>IF(FQ$221,_xll.ciqfunctions.udf.CIQ($G277, "IQ_SHARESOUTSTANDING", FQ$222),"--")</f>
        <v>0</v>
      </c>
      <c r="FR277" s="2132">
        <f>IF(FR$221,_xll.ciqfunctions.udf.CIQ($G277, "IQ_SHARESOUTSTANDING", FR$222),"--")</f>
        <v>0</v>
      </c>
      <c r="FS277" s="2132">
        <f>IF(FS$221,_xll.ciqfunctions.udf.CIQ($G277, "IQ_SHARESOUTSTANDING", FS$222),"--")</f>
        <v>0</v>
      </c>
      <c r="FT277" s="2132">
        <f>IF(FT$221,_xll.ciqfunctions.udf.CIQ($G277, "IQ_SHARESOUTSTANDING", FT$222),"--")</f>
        <v>0</v>
      </c>
      <c r="FU277" s="2132">
        <f>IF(FU$221,_xll.ciqfunctions.udf.CIQ($G277, "IQ_SHARESOUTSTANDING", FU$222),"--")</f>
        <v>0</v>
      </c>
      <c r="FV277" s="2132">
        <f>IF(FV$221,_xll.ciqfunctions.udf.CIQ($G277, "IQ_SHARESOUTSTANDING", FV$222),"--")</f>
        <v>0</v>
      </c>
      <c r="FW277" s="2132">
        <f>IF(FW$221,_xll.ciqfunctions.udf.CIQ($G277, "IQ_SHARESOUTSTANDING", FW$222),"--")</f>
        <v>0</v>
      </c>
      <c r="FX277" s="2132">
        <f>IF(FX$221,_xll.ciqfunctions.udf.CIQ($G277, "IQ_SHARESOUTSTANDING", FX$222),"--")</f>
        <v>0</v>
      </c>
      <c r="FY277" s="2132">
        <f>IF(FY$221,_xll.ciqfunctions.udf.CIQ($G277, "IQ_SHARESOUTSTANDING", FY$222),"--")</f>
        <v>0</v>
      </c>
      <c r="FZ277" s="2132">
        <f>IF(FZ$221,_xll.ciqfunctions.udf.CIQ($G277, "IQ_SHARESOUTSTANDING", FZ$222),"--")</f>
        <v>0</v>
      </c>
      <c r="GA277" s="2132">
        <f>IF(GA$221,_xll.ciqfunctions.udf.CIQ($G277, "IQ_SHARESOUTSTANDING", GA$222),"--")</f>
        <v>0</v>
      </c>
      <c r="GB277" s="2132">
        <f>IF(GB$221,_xll.ciqfunctions.udf.CIQ($G277, "IQ_SHARESOUTSTANDING", GB$222),"--")</f>
        <v>0</v>
      </c>
      <c r="GC277" s="2132">
        <f>IF(GC$221,_xll.ciqfunctions.udf.CIQ($G277, "IQ_SHARESOUTSTANDING", GC$222),"--")</f>
        <v>0</v>
      </c>
      <c r="GD277" s="2132">
        <f>IF(GD$221,_xll.ciqfunctions.udf.CIQ($G277, "IQ_SHARESOUTSTANDING", GD$222),"--")</f>
        <v>0</v>
      </c>
      <c r="GE277" s="2132">
        <f>IF(GE$221,_xll.ciqfunctions.udf.CIQ($G277, "IQ_SHARESOUTSTANDING", GE$222),"--")</f>
        <v>0</v>
      </c>
      <c r="GF277" s="2132">
        <f>IF(GF$221,_xll.ciqfunctions.udf.CIQ($G277, "IQ_SHARESOUTSTANDING", GF$222),"--")</f>
        <v>0</v>
      </c>
      <c r="GG277" s="2132">
        <f>IF(GG$221,_xll.ciqfunctions.udf.CIQ($G277, "IQ_SHARESOUTSTANDING", GG$222),"--")</f>
        <v>0</v>
      </c>
      <c r="GH277" s="2132">
        <f>IF(GH$221,_xll.ciqfunctions.udf.CIQ($G277, "IQ_SHARESOUTSTANDING", GH$222),"--")</f>
        <v>0</v>
      </c>
      <c r="GI277" s="2132">
        <f>IF(GI$221,_xll.ciqfunctions.udf.CIQ($G277, "IQ_SHARESOUTSTANDING", GI$222),"--")</f>
        <v>0</v>
      </c>
      <c r="GJ277" s="2132">
        <f>IF(GJ$221,_xll.ciqfunctions.udf.CIQ($G277, "IQ_SHARESOUTSTANDING", GJ$222),"--")</f>
        <v>0</v>
      </c>
      <c r="GK277" s="2132">
        <f>IF(GK$221,_xll.ciqfunctions.udf.CIQ($G277, "IQ_SHARESOUTSTANDING", GK$222),"--")</f>
        <v>0</v>
      </c>
      <c r="GL277" s="2132">
        <f>IF(GL$221,_xll.ciqfunctions.udf.CIQ($G277, "IQ_SHARESOUTSTANDING", GL$222),"--")</f>
        <v>0</v>
      </c>
      <c r="GM277" s="2132">
        <f>IF(GM$221,_xll.ciqfunctions.udf.CIQ($G277, "IQ_SHARESOUTSTANDING", GM$222),"--")</f>
        <v>0</v>
      </c>
      <c r="GN277" s="2132">
        <f>IF(GN$221,_xll.ciqfunctions.udf.CIQ($G277, "IQ_SHARESOUTSTANDING", GN$222),"--")</f>
        <v>0</v>
      </c>
      <c r="GO277" s="2132">
        <f>IF(GO$221,_xll.ciqfunctions.udf.CIQ($G277, "IQ_SHARESOUTSTANDING", GO$222),"--")</f>
        <v>0</v>
      </c>
      <c r="GP277" s="2132">
        <f>IF(GP$221,_xll.ciqfunctions.udf.CIQ($G277, "IQ_SHARESOUTSTANDING", GP$222),"--")</f>
        <v>0</v>
      </c>
      <c r="GQ277" s="2132">
        <f>IF(GQ$221,_xll.ciqfunctions.udf.CIQ($G277, "IQ_SHARESOUTSTANDING", GQ$222),"--")</f>
        <v>0</v>
      </c>
      <c r="GR277" s="2132">
        <f>IF(GR$221,_xll.ciqfunctions.udf.CIQ($G277, "IQ_SHARESOUTSTANDING", GR$222),"--")</f>
        <v>0</v>
      </c>
      <c r="GS277" s="2132">
        <f>IF(GS$221,_xll.ciqfunctions.udf.CIQ($G277, "IQ_SHARESOUTSTANDING", GS$222),"--")</f>
        <v>0</v>
      </c>
      <c r="GT277" s="2132">
        <f>IF(GT$221,_xll.ciqfunctions.udf.CIQ($G277, "IQ_SHARESOUTSTANDING", GT$222),"--")</f>
        <v>0</v>
      </c>
      <c r="GU277" s="2132">
        <f>IF(GU$221,_xll.ciqfunctions.udf.CIQ($G277, "IQ_SHARESOUTSTANDING", GU$222),"--")</f>
        <v>0</v>
      </c>
      <c r="GV277" s="2132">
        <f>IF(GV$221,_xll.ciqfunctions.udf.CIQ($G277, "IQ_SHARESOUTSTANDING", GV$222),"--")</f>
        <v>0</v>
      </c>
      <c r="GW277" s="2132">
        <f>IF(GW$221,_xll.ciqfunctions.udf.CIQ($G277, "IQ_SHARESOUTSTANDING", GW$222),"--")</f>
        <v>0</v>
      </c>
      <c r="GX277" s="2132">
        <f>IF(GX$221,_xll.ciqfunctions.udf.CIQ($G277, "IQ_SHARESOUTSTANDING", GX$222),"--")</f>
        <v>0</v>
      </c>
      <c r="GY277" s="2132">
        <f>IF(GY$221,_xll.ciqfunctions.udf.CIQ($G277, "IQ_SHARESOUTSTANDING", GY$222),"--")</f>
        <v>0</v>
      </c>
      <c r="GZ277" s="2132">
        <f>IF(GZ$221,_xll.ciqfunctions.udf.CIQ($G277, "IQ_SHARESOUTSTANDING", GZ$222),"--")</f>
        <v>0</v>
      </c>
      <c r="HA277" s="2132">
        <f>IF(HA$221,_xll.ciqfunctions.udf.CIQ($G277, "IQ_SHARESOUTSTANDING", HA$222),"--")</f>
        <v>0</v>
      </c>
      <c r="HB277" s="2132">
        <f>IF(HB$221,_xll.ciqfunctions.udf.CIQ($G277, "IQ_SHARESOUTSTANDING", HB$222),"--")</f>
        <v>0</v>
      </c>
      <c r="HC277" s="2132">
        <f>IF(HC$221,_xll.ciqfunctions.udf.CIQ($G277, "IQ_SHARESOUTSTANDING", HC$222),"--")</f>
        <v>0</v>
      </c>
      <c r="HD277" s="2132">
        <f>IF(HD$221,_xll.ciqfunctions.udf.CIQ($G277, "IQ_SHARESOUTSTANDING", HD$222),"--")</f>
        <v>0</v>
      </c>
      <c r="HE277" s="2132">
        <f>IF(HE$221,_xll.ciqfunctions.udf.CIQ($G277, "IQ_SHARESOUTSTANDING", HE$222),"--")</f>
        <v>0</v>
      </c>
      <c r="HF277" s="2132">
        <f>IF(HF$221,_xll.ciqfunctions.udf.CIQ($G277, "IQ_SHARESOUTSTANDING", HF$222),"--")</f>
        <v>0</v>
      </c>
      <c r="HG277" s="2132">
        <f>IF(HG$221,_xll.ciqfunctions.udf.CIQ($G277, "IQ_SHARESOUTSTANDING", HG$222),"--")</f>
        <v>0</v>
      </c>
      <c r="HH277" s="2132">
        <f>IF(HH$221,_xll.ciqfunctions.udf.CIQ($G277, "IQ_SHARESOUTSTANDING", HH$222),"--")</f>
        <v>0</v>
      </c>
      <c r="HI277" s="2132">
        <f>IF(HI$221,_xll.ciqfunctions.udf.CIQ($G277, "IQ_SHARESOUTSTANDING", HI$222),"--")</f>
        <v>0</v>
      </c>
      <c r="HJ277" s="2132">
        <f>IF(HJ$221,_xll.ciqfunctions.udf.CIQ($G277, "IQ_SHARESOUTSTANDING", HJ$222),"--")</f>
        <v>0</v>
      </c>
      <c r="HK277" s="2132">
        <f>IF(HK$221,_xll.ciqfunctions.udf.CIQ($G277, "IQ_SHARESOUTSTANDING", HK$222),"--")</f>
        <v>0</v>
      </c>
      <c r="HL277" s="2132">
        <f>IF(HL$221,_xll.ciqfunctions.udf.CIQ($G277, "IQ_SHARESOUTSTANDING", HL$222),"--")</f>
        <v>0</v>
      </c>
      <c r="HM277" s="2132">
        <f>IF(HM$221,_xll.ciqfunctions.udf.CIQ($G277, "IQ_SHARESOUTSTANDING", HM$222),"--")</f>
        <v>0</v>
      </c>
      <c r="HN277" s="2132">
        <f>IF(HN$221,_xll.ciqfunctions.udf.CIQ($G277, "IQ_SHARESOUTSTANDING", HN$222),"--")</f>
        <v>0</v>
      </c>
      <c r="HO277" s="2132">
        <f>IF(HO$221,_xll.ciqfunctions.udf.CIQ($G277, "IQ_SHARESOUTSTANDING", HO$222),"--")</f>
        <v>0</v>
      </c>
      <c r="HP277" s="2132">
        <f>IF(HP$221,_xll.ciqfunctions.udf.CIQ($G277, "IQ_SHARESOUTSTANDING", HP$222),"--")</f>
        <v>0</v>
      </c>
      <c r="HQ277" s="2132">
        <f>IF(HQ$221,_xll.ciqfunctions.udf.CIQ($G277, "IQ_SHARESOUTSTANDING", HQ$222),"--")</f>
        <v>0</v>
      </c>
      <c r="HR277" s="2132">
        <f>IF(HR$221,_xll.ciqfunctions.udf.CIQ($G277, "IQ_SHARESOUTSTANDING", HR$222),"--")</f>
        <v>0</v>
      </c>
      <c r="HS277" s="2132">
        <f>IF(HS$221,_xll.ciqfunctions.udf.CIQ($G277, "IQ_SHARESOUTSTANDING", HS$222),"--")</f>
        <v>0</v>
      </c>
      <c r="HT277" s="2132">
        <f>IF(HT$221,_xll.ciqfunctions.udf.CIQ($G277, "IQ_SHARESOUTSTANDING", HT$222),"--")</f>
        <v>0</v>
      </c>
      <c r="HU277" s="2132">
        <f>IF(HU$221,_xll.ciqfunctions.udf.CIQ($G277, "IQ_SHARESOUTSTANDING", HU$222),"--")</f>
        <v>0</v>
      </c>
      <c r="HV277" s="2132">
        <f>IF(HV$221,_xll.ciqfunctions.udf.CIQ($G277, "IQ_SHARESOUTSTANDING", HV$222),"--")</f>
        <v>0</v>
      </c>
      <c r="HW277" s="2132">
        <f>IF(HW$221,_xll.ciqfunctions.udf.CIQ($G277, "IQ_SHARESOUTSTANDING", HW$222),"--")</f>
        <v>0</v>
      </c>
      <c r="HX277" s="2132">
        <f>IF(HX$221,_xll.ciqfunctions.udf.CIQ($G277, "IQ_SHARESOUTSTANDING", HX$222),"--")</f>
        <v>0</v>
      </c>
      <c r="HY277" s="2132">
        <f>IF(HY$221,_xll.ciqfunctions.udf.CIQ($G277, "IQ_SHARESOUTSTANDING", HY$222),"--")</f>
        <v>0</v>
      </c>
      <c r="HZ277" s="2132">
        <f>IF(HZ$221,_xll.ciqfunctions.udf.CIQ($G277, "IQ_SHARESOUTSTANDING", HZ$222),"--")</f>
        <v>0</v>
      </c>
      <c r="IA277" s="2132">
        <f>IF(IA$221,_xll.ciqfunctions.udf.CIQ($G277, "IQ_SHARESOUTSTANDING", IA$222),"--")</f>
        <v>0</v>
      </c>
      <c r="IB277" s="2132">
        <f>IF(IB$221,_xll.ciqfunctions.udf.CIQ($G277, "IQ_SHARESOUTSTANDING", IB$222),"--")</f>
        <v>0</v>
      </c>
      <c r="IC277" s="2132">
        <f>IF(IC$221,_xll.ciqfunctions.udf.CIQ($G277, "IQ_SHARESOUTSTANDING", IC$222),"--")</f>
        <v>0</v>
      </c>
      <c r="ID277" s="2132">
        <f>IF(ID$221,_xll.ciqfunctions.udf.CIQ($G277, "IQ_SHARESOUTSTANDING", ID$222),"--")</f>
        <v>0</v>
      </c>
      <c r="IE277" s="2132">
        <f>IF(IE$221,_xll.ciqfunctions.udf.CIQ($G277, "IQ_SHARESOUTSTANDING", IE$222),"--")</f>
        <v>0</v>
      </c>
      <c r="IF277" s="2132">
        <f>IF(IF$221,_xll.ciqfunctions.udf.CIQ($G277, "IQ_SHARESOUTSTANDING", IF$222),"--")</f>
        <v>0</v>
      </c>
      <c r="IG277" s="2132">
        <f>IF(IG$221,_xll.ciqfunctions.udf.CIQ($G277, "IQ_SHARESOUTSTANDING", IG$222),"--")</f>
        <v>0</v>
      </c>
      <c r="IH277" s="2132">
        <f>IF(IH$221,_xll.ciqfunctions.udf.CIQ($G277, "IQ_SHARESOUTSTANDING", IH$222),"--")</f>
        <v>0</v>
      </c>
      <c r="II277" s="2132">
        <f>IF(II$221,_xll.ciqfunctions.udf.CIQ($G277, "IQ_SHARESOUTSTANDING", II$222),"--")</f>
        <v>0</v>
      </c>
      <c r="IJ277" s="2132">
        <f>IF(IJ$221,_xll.ciqfunctions.udf.CIQ($G277, "IQ_SHARESOUTSTANDING", IJ$222),"--")</f>
        <v>0</v>
      </c>
      <c r="IK277" s="2132">
        <f>IF(IK$221,_xll.ciqfunctions.udf.CIQ($G277, "IQ_SHARESOUTSTANDING", IK$222),"--")</f>
        <v>0</v>
      </c>
      <c r="IL277" s="2132">
        <f>IF(IL$221,_xll.ciqfunctions.udf.CIQ($G277, "IQ_SHARESOUTSTANDING", IL$222),"--")</f>
        <v>0</v>
      </c>
      <c r="IM277" s="2132">
        <f>IF(IM$221,_xll.ciqfunctions.udf.CIQ($G277, "IQ_SHARESOUTSTANDING", IM$222),"--")</f>
        <v>0</v>
      </c>
      <c r="IN277" s="2132">
        <f>IF(IN$221,_xll.ciqfunctions.udf.CIQ($G277, "IQ_SHARESOUTSTANDING", IN$222),"--")</f>
        <v>0</v>
      </c>
      <c r="IO277" s="2132">
        <f>IF(IO$221,_xll.ciqfunctions.udf.CIQ($G277, "IQ_SHARESOUTSTANDING", IO$222),"--")</f>
        <v>0</v>
      </c>
      <c r="IP277" s="2132">
        <f>IF(IP$221,_xll.ciqfunctions.udf.CIQ($G277, "IQ_SHARESOUTSTANDING", IP$222),"--")</f>
        <v>0</v>
      </c>
      <c r="IQ277" s="2132">
        <f>IF(IQ$221,_xll.ciqfunctions.udf.CIQ($G277, "IQ_SHARESOUTSTANDING", IQ$222),"--")</f>
        <v>0</v>
      </c>
      <c r="IR277" s="2132">
        <f>IF(IR$221,_xll.ciqfunctions.udf.CIQ($G277, "IQ_SHARESOUTSTANDING", IR$222),"--")</f>
        <v>0</v>
      </c>
      <c r="IS277" s="2132">
        <f>IF(IS$221,_xll.ciqfunctions.udf.CIQ($G277, "IQ_SHARESOUTSTANDING", IS$222),"--")</f>
        <v>0</v>
      </c>
      <c r="IT277" s="2132">
        <f>IF(IT$221,_xll.ciqfunctions.udf.CIQ($G277, "IQ_SHARESOUTSTANDING", IT$222),"--")</f>
        <v>0</v>
      </c>
      <c r="IU277" s="2132">
        <f>IF(IU$221,_xll.ciqfunctions.udf.CIQ($G277, "IQ_SHARESOUTSTANDING", IU$222),"--")</f>
        <v>0</v>
      </c>
      <c r="IV277" s="2132">
        <f>IF(IV$221,_xll.ciqfunctions.udf.CIQ($G277, "IQ_SHARESOUTSTANDING", IV$222),"--")</f>
        <v>0</v>
      </c>
      <c r="IW277" s="2132">
        <f>IF(IW$221,_xll.ciqfunctions.udf.CIQ($G277, "IQ_SHARESOUTSTANDING", IW$222),"--")</f>
        <v>0</v>
      </c>
      <c r="IX277" s="2132">
        <f>IF(IX$221,_xll.ciqfunctions.udf.CIQ($G277, "IQ_SHARESOUTSTANDING", IX$222),"--")</f>
        <v>0</v>
      </c>
      <c r="IY277" s="2132">
        <f>IF(IY$221,_xll.ciqfunctions.udf.CIQ($G277, "IQ_SHARESOUTSTANDING", IY$222),"--")</f>
        <v>0</v>
      </c>
      <c r="IZ277" s="2132">
        <f>IF(IZ$221,_xll.ciqfunctions.udf.CIQ($G277, "IQ_SHARESOUTSTANDING", IZ$222),"--")</f>
        <v>0</v>
      </c>
      <c r="JA277" s="2132">
        <f>IF(JA$221,_xll.ciqfunctions.udf.CIQ($G277, "IQ_SHARESOUTSTANDING", JA$222),"--")</f>
        <v>0</v>
      </c>
      <c r="JB277" s="2132">
        <f>IF(JB$221,_xll.ciqfunctions.udf.CIQ($G277, "IQ_SHARESOUTSTANDING", JB$222),"--")</f>
        <v>0</v>
      </c>
      <c r="JC277" s="2132">
        <f>IF(JC$221,_xll.ciqfunctions.udf.CIQ($G277, "IQ_SHARESOUTSTANDING", JC$222),"--")</f>
        <v>0</v>
      </c>
      <c r="JD277" s="2132">
        <f>IF(JD$221,_xll.ciqfunctions.udf.CIQ($G277, "IQ_SHARESOUTSTANDING", JD$222),"--")</f>
        <v>0</v>
      </c>
      <c r="JE277" s="2132">
        <f>IF(JE$221,_xll.ciqfunctions.udf.CIQ($G277, "IQ_SHARESOUTSTANDING", JE$222),"--")</f>
        <v>0</v>
      </c>
      <c r="JF277" s="2132">
        <f>IF(JF$221,_xll.ciqfunctions.udf.CIQ($G277, "IQ_SHARESOUTSTANDING", JF$222),"--")</f>
        <v>0</v>
      </c>
      <c r="JG277" s="2132">
        <f>IF(JG$221,_xll.ciqfunctions.udf.CIQ($G277, "IQ_SHARESOUTSTANDING", JG$222),"--")</f>
        <v>0</v>
      </c>
      <c r="JH277" s="2132">
        <f>IF(JH$221,_xll.ciqfunctions.udf.CIQ($G277, "IQ_SHARESOUTSTANDING", JH$222),"--")</f>
        <v>0</v>
      </c>
      <c r="JI277" s="2132">
        <f>IF(JI$221,_xll.ciqfunctions.udf.CIQ($G277, "IQ_SHARESOUTSTANDING", JI$222),"--")</f>
        <v>0</v>
      </c>
      <c r="JJ277" s="2132">
        <f>IF(JJ$221,_xll.ciqfunctions.udf.CIQ($G277, "IQ_SHARESOUTSTANDING", JJ$222),"--")</f>
        <v>0</v>
      </c>
      <c r="JK277" s="2132">
        <f>IF(JK$221,_xll.ciqfunctions.udf.CIQ($G277, "IQ_SHARESOUTSTANDING", JK$222),"--")</f>
        <v>0</v>
      </c>
      <c r="JL277" s="2132">
        <f>IF(JL$221,_xll.ciqfunctions.udf.CIQ($G277, "IQ_SHARESOUTSTANDING", JL$222),"--")</f>
        <v>0</v>
      </c>
      <c r="JM277" s="2132">
        <f>IF(JM$221,_xll.ciqfunctions.udf.CIQ($G277, "IQ_SHARESOUTSTANDING", JM$222),"--")</f>
        <v>0</v>
      </c>
      <c r="JN277" s="2132">
        <f>IF(JN$221,_xll.ciqfunctions.udf.CIQ($G277, "IQ_SHARESOUTSTANDING", JN$222),"--")</f>
        <v>0</v>
      </c>
      <c r="JO277" s="2132">
        <f>IF(JO$221,_xll.ciqfunctions.udf.CIQ($G277, "IQ_SHARESOUTSTANDING", JO$222),"--")</f>
        <v>0</v>
      </c>
      <c r="JP277" s="2132">
        <f>IF(JP$221,_xll.ciqfunctions.udf.CIQ($G277, "IQ_SHARESOUTSTANDING", JP$222),"--")</f>
        <v>0</v>
      </c>
      <c r="JQ277" s="2132">
        <f>IF(JQ$221,_xll.ciqfunctions.udf.CIQ($G277, "IQ_SHARESOUTSTANDING", JQ$222),"--")</f>
        <v>0</v>
      </c>
      <c r="JR277" s="2132">
        <f>IF(JR$221,_xll.ciqfunctions.udf.CIQ($G277, "IQ_SHARESOUTSTANDING", JR$222),"--")</f>
        <v>0</v>
      </c>
      <c r="JS277" s="2132">
        <f>IF(JS$221,_xll.ciqfunctions.udf.CIQ($G277, "IQ_SHARESOUTSTANDING", JS$222),"--")</f>
        <v>0</v>
      </c>
      <c r="JT277" s="2132">
        <f>IF(JT$221,_xll.ciqfunctions.udf.CIQ($G277, "IQ_SHARESOUTSTANDING", JT$222),"--")</f>
        <v>0</v>
      </c>
      <c r="JU277" s="2132">
        <f>IF(JU$221,_xll.ciqfunctions.udf.CIQ($G277, "IQ_SHARESOUTSTANDING", JU$222),"--")</f>
        <v>0</v>
      </c>
      <c r="JV277" s="2132">
        <f>IF(JV$221,_xll.ciqfunctions.udf.CIQ($G277, "IQ_SHARESOUTSTANDING", JV$222),"--")</f>
        <v>0</v>
      </c>
      <c r="JW277" s="2132" t="str">
        <f>IF(JW$221,_xll.ciqfunctions.udf.CIQ($G277, "IQ_SHARESOUTSTANDING", JW$222),"--")</f>
        <v>--</v>
      </c>
      <c r="JX277" s="2132" t="str">
        <f>IF(JX$221,_xll.ciqfunctions.udf.CIQ($G277, "IQ_SHARESOUTSTANDING", JX$222),"--")</f>
        <v>--</v>
      </c>
      <c r="JY277" s="2132" t="str">
        <f>IF(JY$221,_xll.ciqfunctions.udf.CIQ($G277, "IQ_SHARESOUTSTANDING", JY$222),"--")</f>
        <v>--</v>
      </c>
      <c r="JZ277" s="2132" t="str">
        <f>IF(JZ$221,_xll.ciqfunctions.udf.CIQ($G277, "IQ_SHARESOUTSTANDING", JZ$222),"--")</f>
        <v>--</v>
      </c>
      <c r="KA277" s="2132" t="str">
        <f>IF(KA$221,_xll.ciqfunctions.udf.CIQ($G277, "IQ_SHARESOUTSTANDING", KA$222),"--")</f>
        <v>--</v>
      </c>
      <c r="KB277" s="2132" t="str">
        <f>IF(KB$221,_xll.ciqfunctions.udf.CIQ($G277, "IQ_SHARESOUTSTANDING", KB$222),"--")</f>
        <v>--</v>
      </c>
    </row>
    <row r="278" spans="1:288" s="89" customFormat="1" ht="13.9">
      <c r="A278" s="269" t="str">
        <f t="shared" si="49"/>
        <v>n</v>
      </c>
      <c r="B278" s="2060"/>
      <c r="D278" s="801"/>
      <c r="E278" s="1505">
        <v>24</v>
      </c>
      <c r="F278" s="21" t="str">
        <f>F$152</f>
        <v>--</v>
      </c>
      <c r="G278" s="1441">
        <f>G$152</f>
        <v>0</v>
      </c>
      <c r="H278" s="1441" t="str">
        <f>H$152</f>
        <v>--</v>
      </c>
      <c r="I278" s="314" t="s">
        <v>783</v>
      </c>
      <c r="J278" s="314"/>
      <c r="K278" s="2301" t="str">
        <f>IF(OR(K215=0,$G278=0),"--",IFERROR(_xll.ciqfunctions.udf.CIQ($G278,$I278,K123,Valuation_Date_GC,ReportType,DataMode,$H278,FXMode)*Scale+K247*Pension10,"--"))</f>
        <v>--</v>
      </c>
      <c r="L278" s="2301" t="str">
        <f>IF(OR(L215=0,$G278=0),"--",IFERROR(_xll.ciqfunctions.udf.CIQ($G278,$I278,L123,Valuation_Date_GC,ReportType,DataMode,$H278,FXMode)*Scale+L247*Pension10,"--"))</f>
        <v>--</v>
      </c>
      <c r="M278" s="2301" t="str">
        <f>IF(OR(M215=0,$G278=0),"--",IFERROR(_xll.ciqfunctions.udf.CIQ($G278,$I278,M123,Valuation_Date_GC,ReportType,DataMode,$H278,FXMode)*Scale+M247*Pension10,"--"))</f>
        <v>--</v>
      </c>
      <c r="N278" s="2301" t="str">
        <f>IF(OR(N215=0,$G278=0),"--",IFERROR(_xll.ciqfunctions.udf.CIQ($G278,$I278,N123,Valuation_Date_GC,ReportType,DataMode,$H278,FXMode)*Scale+N247*Pension10,"--"))</f>
        <v>--</v>
      </c>
      <c r="O278" s="1471" t="str">
        <f>IF(OR(O215=0,$G278=0),"--",IFERROR(_xll.ciqfunctions.udf.CIQ($G278,$I278,O123,Valuation_Date_GC,ReportType,DataMode,$H278,FXMode)*Scale+O247*Pension10,"--"))</f>
        <v>--</v>
      </c>
      <c r="P278" s="2301" t="str">
        <f>IF(OR(P215=0,$G278=0),"--",IFERROR(_xll.ciqfunctions.udf.CIQ($G278,$I278,P123,Valuation_Date_GC,ReportType,DataMode,$H278,FXMode)*Scale+P247*Pension10,"--"))</f>
        <v>--</v>
      </c>
      <c r="R278" s="1466"/>
      <c r="T278" s="1779" t="s">
        <v>784</v>
      </c>
      <c r="U278" s="2132">
        <f>IF(U$221,_xll.ciqfunctions.udf.CIQ($G278, "IQ_SHARESOUTSTANDING", U$222),"--")</f>
        <v>0</v>
      </c>
      <c r="V278" s="2132">
        <f>IF(V$221,_xll.ciqfunctions.udf.CIQ($G278, "IQ_SHARESOUTSTANDING", V$222),"--")</f>
        <v>0</v>
      </c>
      <c r="W278" s="2132">
        <f>IF(W$221,_xll.ciqfunctions.udf.CIQ($G278, "IQ_SHARESOUTSTANDING", W$222),"--")</f>
        <v>0</v>
      </c>
      <c r="X278" s="2132">
        <f>IF(X$221,_xll.ciqfunctions.udf.CIQ($G278, "IQ_SHARESOUTSTANDING", X$222),"--")</f>
        <v>0</v>
      </c>
      <c r="Y278" s="2132">
        <f>IF(Y$221,_xll.ciqfunctions.udf.CIQ($G278, "IQ_SHARESOUTSTANDING", Y$222),"--")</f>
        <v>0</v>
      </c>
      <c r="Z278" s="2132">
        <f>IF(Z$221,_xll.ciqfunctions.udf.CIQ($G278, "IQ_SHARESOUTSTANDING", Z$222),"--")</f>
        <v>0</v>
      </c>
      <c r="AA278" s="2132">
        <f>IF(AA$221,_xll.ciqfunctions.udf.CIQ($G278, "IQ_SHARESOUTSTANDING", AA$222),"--")</f>
        <v>0</v>
      </c>
      <c r="AB278" s="2132">
        <f>IF(AB$221,_xll.ciqfunctions.udf.CIQ($G278, "IQ_SHARESOUTSTANDING", AB$222),"--")</f>
        <v>0</v>
      </c>
      <c r="AC278" s="2132">
        <f>IF(AC$221,_xll.ciqfunctions.udf.CIQ($G278, "IQ_SHARESOUTSTANDING", AC$222),"--")</f>
        <v>0</v>
      </c>
      <c r="AD278" s="2132">
        <f>IF(AD$221,_xll.ciqfunctions.udf.CIQ($G278, "IQ_SHARESOUTSTANDING", AD$222),"--")</f>
        <v>0</v>
      </c>
      <c r="AE278" s="2132">
        <f>IF(AE$221,_xll.ciqfunctions.udf.CIQ($G278, "IQ_SHARESOUTSTANDING", AE$222),"--")</f>
        <v>0</v>
      </c>
      <c r="AF278" s="2132">
        <f>IF(AF$221,_xll.ciqfunctions.udf.CIQ($G278, "IQ_SHARESOUTSTANDING", AF$222),"--")</f>
        <v>0</v>
      </c>
      <c r="AG278" s="2132">
        <f>IF(AG$221,_xll.ciqfunctions.udf.CIQ($G278, "IQ_SHARESOUTSTANDING", AG$222),"--")</f>
        <v>0</v>
      </c>
      <c r="AH278" s="2132">
        <f>IF(AH$221,_xll.ciqfunctions.udf.CIQ($G278, "IQ_SHARESOUTSTANDING", AH$222),"--")</f>
        <v>0</v>
      </c>
      <c r="AI278" s="2132">
        <f>IF(AI$221,_xll.ciqfunctions.udf.CIQ($G278, "IQ_SHARESOUTSTANDING", AI$222),"--")</f>
        <v>0</v>
      </c>
      <c r="AJ278" s="2132">
        <f>IF(AJ$221,_xll.ciqfunctions.udf.CIQ($G278, "IQ_SHARESOUTSTANDING", AJ$222),"--")</f>
        <v>0</v>
      </c>
      <c r="AK278" s="2132">
        <f>IF(AK$221,_xll.ciqfunctions.udf.CIQ($G278, "IQ_SHARESOUTSTANDING", AK$222),"--")</f>
        <v>0</v>
      </c>
      <c r="AL278" s="2132">
        <f>IF(AL$221,_xll.ciqfunctions.udf.CIQ($G278, "IQ_SHARESOUTSTANDING", AL$222),"--")</f>
        <v>0</v>
      </c>
      <c r="AM278" s="2132">
        <f>IF(AM$221,_xll.ciqfunctions.udf.CIQ($G278, "IQ_SHARESOUTSTANDING", AM$222),"--")</f>
        <v>0</v>
      </c>
      <c r="AN278" s="2132">
        <f>IF(AN$221,_xll.ciqfunctions.udf.CIQ($G278, "IQ_SHARESOUTSTANDING", AN$222),"--")</f>
        <v>0</v>
      </c>
      <c r="AO278" s="2132">
        <f>IF(AO$221,_xll.ciqfunctions.udf.CIQ($G278, "IQ_SHARESOUTSTANDING", AO$222),"--")</f>
        <v>0</v>
      </c>
      <c r="AP278" s="2132">
        <f>IF(AP$221,_xll.ciqfunctions.udf.CIQ($G278, "IQ_SHARESOUTSTANDING", AP$222),"--")</f>
        <v>0</v>
      </c>
      <c r="AQ278" s="2132">
        <f>IF(AQ$221,_xll.ciqfunctions.udf.CIQ($G278, "IQ_SHARESOUTSTANDING", AQ$222),"--")</f>
        <v>0</v>
      </c>
      <c r="AR278" s="2132">
        <f>IF(AR$221,_xll.ciqfunctions.udf.CIQ($G278, "IQ_SHARESOUTSTANDING", AR$222),"--")</f>
        <v>0</v>
      </c>
      <c r="AS278" s="2132">
        <f>IF(AS$221,_xll.ciqfunctions.udf.CIQ($G278, "IQ_SHARESOUTSTANDING", AS$222),"--")</f>
        <v>0</v>
      </c>
      <c r="AT278" s="2132">
        <f>IF(AT$221,_xll.ciqfunctions.udf.CIQ($G278, "IQ_SHARESOUTSTANDING", AT$222),"--")</f>
        <v>0</v>
      </c>
      <c r="AU278" s="2132">
        <f>IF(AU$221,_xll.ciqfunctions.udf.CIQ($G278, "IQ_SHARESOUTSTANDING", AU$222),"--")</f>
        <v>0</v>
      </c>
      <c r="AV278" s="2132">
        <f>IF(AV$221,_xll.ciqfunctions.udf.CIQ($G278, "IQ_SHARESOUTSTANDING", AV$222),"--")</f>
        <v>0</v>
      </c>
      <c r="AW278" s="2132">
        <f>IF(AW$221,_xll.ciqfunctions.udf.CIQ($G278, "IQ_SHARESOUTSTANDING", AW$222),"--")</f>
        <v>0</v>
      </c>
      <c r="AX278" s="2132">
        <f>IF(AX$221,_xll.ciqfunctions.udf.CIQ($G278, "IQ_SHARESOUTSTANDING", AX$222),"--")</f>
        <v>0</v>
      </c>
      <c r="AY278" s="2132">
        <f>IF(AY$221,_xll.ciqfunctions.udf.CIQ($G278, "IQ_SHARESOUTSTANDING", AY$222),"--")</f>
        <v>0</v>
      </c>
      <c r="AZ278" s="2132">
        <f>IF(AZ$221,_xll.ciqfunctions.udf.CIQ($G278, "IQ_SHARESOUTSTANDING", AZ$222),"--")</f>
        <v>0</v>
      </c>
      <c r="BA278" s="2132">
        <f>IF(BA$221,_xll.ciqfunctions.udf.CIQ($G278, "IQ_SHARESOUTSTANDING", BA$222),"--")</f>
        <v>0</v>
      </c>
      <c r="BB278" s="2132">
        <f>IF(BB$221,_xll.ciqfunctions.udf.CIQ($G278, "IQ_SHARESOUTSTANDING", BB$222),"--")</f>
        <v>0</v>
      </c>
      <c r="BC278" s="2132">
        <f>IF(BC$221,_xll.ciqfunctions.udf.CIQ($G278, "IQ_SHARESOUTSTANDING", BC$222),"--")</f>
        <v>0</v>
      </c>
      <c r="BD278" s="2132">
        <f>IF(BD$221,_xll.ciqfunctions.udf.CIQ($G278, "IQ_SHARESOUTSTANDING", BD$222),"--")</f>
        <v>0</v>
      </c>
      <c r="BE278" s="2132">
        <f>IF(BE$221,_xll.ciqfunctions.udf.CIQ($G278, "IQ_SHARESOUTSTANDING", BE$222),"--")</f>
        <v>0</v>
      </c>
      <c r="BF278" s="2132">
        <f>IF(BF$221,_xll.ciqfunctions.udf.CIQ($G278, "IQ_SHARESOUTSTANDING", BF$222),"--")</f>
        <v>0</v>
      </c>
      <c r="BG278" s="2132">
        <f>IF(BG$221,_xll.ciqfunctions.udf.CIQ($G278, "IQ_SHARESOUTSTANDING", BG$222),"--")</f>
        <v>0</v>
      </c>
      <c r="BH278" s="2132">
        <f>IF(BH$221,_xll.ciqfunctions.udf.CIQ($G278, "IQ_SHARESOUTSTANDING", BH$222),"--")</f>
        <v>0</v>
      </c>
      <c r="BI278" s="2132">
        <f>IF(BI$221,_xll.ciqfunctions.udf.CIQ($G278, "IQ_SHARESOUTSTANDING", BI$222),"--")</f>
        <v>0</v>
      </c>
      <c r="BJ278" s="2132">
        <f>IF(BJ$221,_xll.ciqfunctions.udf.CIQ($G278, "IQ_SHARESOUTSTANDING", BJ$222),"--")</f>
        <v>0</v>
      </c>
      <c r="BK278" s="2132">
        <f>IF(BK$221,_xll.ciqfunctions.udf.CIQ($G278, "IQ_SHARESOUTSTANDING", BK$222),"--")</f>
        <v>0</v>
      </c>
      <c r="BL278" s="2132">
        <f>IF(BL$221,_xll.ciqfunctions.udf.CIQ($G278, "IQ_SHARESOUTSTANDING", BL$222),"--")</f>
        <v>0</v>
      </c>
      <c r="BM278" s="2132">
        <f>IF(BM$221,_xll.ciqfunctions.udf.CIQ($G278, "IQ_SHARESOUTSTANDING", BM$222),"--")</f>
        <v>0</v>
      </c>
      <c r="BN278" s="2132">
        <f>IF(BN$221,_xll.ciqfunctions.udf.CIQ($G278, "IQ_SHARESOUTSTANDING", BN$222),"--")</f>
        <v>0</v>
      </c>
      <c r="BO278" s="2132">
        <f>IF(BO$221,_xll.ciqfunctions.udf.CIQ($G278, "IQ_SHARESOUTSTANDING", BO$222),"--")</f>
        <v>0</v>
      </c>
      <c r="BP278" s="2132">
        <f>IF(BP$221,_xll.ciqfunctions.udf.CIQ($G278, "IQ_SHARESOUTSTANDING", BP$222),"--")</f>
        <v>0</v>
      </c>
      <c r="BQ278" s="2132">
        <f>IF(BQ$221,_xll.ciqfunctions.udf.CIQ($G278, "IQ_SHARESOUTSTANDING", BQ$222),"--")</f>
        <v>0</v>
      </c>
      <c r="BR278" s="2132">
        <f>IF(BR$221,_xll.ciqfunctions.udf.CIQ($G278, "IQ_SHARESOUTSTANDING", BR$222),"--")</f>
        <v>0</v>
      </c>
      <c r="BS278" s="2132">
        <f>IF(BS$221,_xll.ciqfunctions.udf.CIQ($G278, "IQ_SHARESOUTSTANDING", BS$222),"--")</f>
        <v>0</v>
      </c>
      <c r="BT278" s="2132">
        <f>IF(BT$221,_xll.ciqfunctions.udf.CIQ($G278, "IQ_SHARESOUTSTANDING", BT$222),"--")</f>
        <v>0</v>
      </c>
      <c r="BU278" s="2132">
        <f>IF(BU$221,_xll.ciqfunctions.udf.CIQ($G278, "IQ_SHARESOUTSTANDING", BU$222),"--")</f>
        <v>0</v>
      </c>
      <c r="BV278" s="2132">
        <f>IF(BV$221,_xll.ciqfunctions.udf.CIQ($G278, "IQ_SHARESOUTSTANDING", BV$222),"--")</f>
        <v>0</v>
      </c>
      <c r="BW278" s="2132">
        <f>IF(BW$221,_xll.ciqfunctions.udf.CIQ($G278, "IQ_SHARESOUTSTANDING", BW$222),"--")</f>
        <v>0</v>
      </c>
      <c r="BX278" s="2132">
        <f>IF(BX$221,_xll.ciqfunctions.udf.CIQ($G278, "IQ_SHARESOUTSTANDING", BX$222),"--")</f>
        <v>0</v>
      </c>
      <c r="BY278" s="2132">
        <f>IF(BY$221,_xll.ciqfunctions.udf.CIQ($G278, "IQ_SHARESOUTSTANDING", BY$222),"--")</f>
        <v>0</v>
      </c>
      <c r="BZ278" s="2132">
        <f>IF(BZ$221,_xll.ciqfunctions.udf.CIQ($G278, "IQ_SHARESOUTSTANDING", BZ$222),"--")</f>
        <v>0</v>
      </c>
      <c r="CA278" s="2132">
        <f>IF(CA$221,_xll.ciqfunctions.udf.CIQ($G278, "IQ_SHARESOUTSTANDING", CA$222),"--")</f>
        <v>0</v>
      </c>
      <c r="CB278" s="2132">
        <f>IF(CB$221,_xll.ciqfunctions.udf.CIQ($G278, "IQ_SHARESOUTSTANDING", CB$222),"--")</f>
        <v>0</v>
      </c>
      <c r="CC278" s="2132">
        <f>IF(CC$221,_xll.ciqfunctions.udf.CIQ($G278, "IQ_SHARESOUTSTANDING", CC$222),"--")</f>
        <v>0</v>
      </c>
      <c r="CD278" s="2132">
        <f>IF(CD$221,_xll.ciqfunctions.udf.CIQ($G278, "IQ_SHARESOUTSTANDING", CD$222),"--")</f>
        <v>0</v>
      </c>
      <c r="CE278" s="2132">
        <f>IF(CE$221,_xll.ciqfunctions.udf.CIQ($G278, "IQ_SHARESOUTSTANDING", CE$222),"--")</f>
        <v>0</v>
      </c>
      <c r="CF278" s="2132">
        <f>IF(CF$221,_xll.ciqfunctions.udf.CIQ($G278, "IQ_SHARESOUTSTANDING", CF$222),"--")</f>
        <v>0</v>
      </c>
      <c r="CG278" s="2132">
        <f>IF(CG$221,_xll.ciqfunctions.udf.CIQ($G278, "IQ_SHARESOUTSTANDING", CG$222),"--")</f>
        <v>0</v>
      </c>
      <c r="CH278" s="2132">
        <f>IF(CH$221,_xll.ciqfunctions.udf.CIQ($G278, "IQ_SHARESOUTSTANDING", CH$222),"--")</f>
        <v>0</v>
      </c>
      <c r="CI278" s="2132">
        <f>IF(CI$221,_xll.ciqfunctions.udf.CIQ($G278, "IQ_SHARESOUTSTANDING", CI$222),"--")</f>
        <v>0</v>
      </c>
      <c r="CJ278" s="2132">
        <f>IF(CJ$221,_xll.ciqfunctions.udf.CIQ($G278, "IQ_SHARESOUTSTANDING", CJ$222),"--")</f>
        <v>0</v>
      </c>
      <c r="CK278" s="2132">
        <f>IF(CK$221,_xll.ciqfunctions.udf.CIQ($G278, "IQ_SHARESOUTSTANDING", CK$222),"--")</f>
        <v>0</v>
      </c>
      <c r="CL278" s="2132">
        <f>IF(CL$221,_xll.ciqfunctions.udf.CIQ($G278, "IQ_SHARESOUTSTANDING", CL$222),"--")</f>
        <v>0</v>
      </c>
      <c r="CM278" s="2132">
        <f>IF(CM$221,_xll.ciqfunctions.udf.CIQ($G278, "IQ_SHARESOUTSTANDING", CM$222),"--")</f>
        <v>0</v>
      </c>
      <c r="CN278" s="2132">
        <f>IF(CN$221,_xll.ciqfunctions.udf.CIQ($G278, "IQ_SHARESOUTSTANDING", CN$222),"--")</f>
        <v>0</v>
      </c>
      <c r="CO278" s="2132">
        <f>IF(CO$221,_xll.ciqfunctions.udf.CIQ($G278, "IQ_SHARESOUTSTANDING", CO$222),"--")</f>
        <v>0</v>
      </c>
      <c r="CP278" s="2132">
        <f>IF(CP$221,_xll.ciqfunctions.udf.CIQ($G278, "IQ_SHARESOUTSTANDING", CP$222),"--")</f>
        <v>0</v>
      </c>
      <c r="CQ278" s="2132">
        <f>IF(CQ$221,_xll.ciqfunctions.udf.CIQ($G278, "IQ_SHARESOUTSTANDING", CQ$222),"--")</f>
        <v>0</v>
      </c>
      <c r="CR278" s="2132">
        <f>IF(CR$221,_xll.ciqfunctions.udf.CIQ($G278, "IQ_SHARESOUTSTANDING", CR$222),"--")</f>
        <v>0</v>
      </c>
      <c r="CS278" s="2132">
        <f>IF(CS$221,_xll.ciqfunctions.udf.CIQ($G278, "IQ_SHARESOUTSTANDING", CS$222),"--")</f>
        <v>0</v>
      </c>
      <c r="CT278" s="2132">
        <f>IF(CT$221,_xll.ciqfunctions.udf.CIQ($G278, "IQ_SHARESOUTSTANDING", CT$222),"--")</f>
        <v>0</v>
      </c>
      <c r="CU278" s="2132">
        <f>IF(CU$221,_xll.ciqfunctions.udf.CIQ($G278, "IQ_SHARESOUTSTANDING", CU$222),"--")</f>
        <v>0</v>
      </c>
      <c r="CV278" s="2132">
        <f>IF(CV$221,_xll.ciqfunctions.udf.CIQ($G278, "IQ_SHARESOUTSTANDING", CV$222),"--")</f>
        <v>0</v>
      </c>
      <c r="CW278" s="2132">
        <f>IF(CW$221,_xll.ciqfunctions.udf.CIQ($G278, "IQ_SHARESOUTSTANDING", CW$222),"--")</f>
        <v>0</v>
      </c>
      <c r="CX278" s="2132">
        <f>IF(CX$221,_xll.ciqfunctions.udf.CIQ($G278, "IQ_SHARESOUTSTANDING", CX$222),"--")</f>
        <v>0</v>
      </c>
      <c r="CY278" s="2132">
        <f>IF(CY$221,_xll.ciqfunctions.udf.CIQ($G278, "IQ_SHARESOUTSTANDING", CY$222),"--")</f>
        <v>0</v>
      </c>
      <c r="CZ278" s="2132">
        <f>IF(CZ$221,_xll.ciqfunctions.udf.CIQ($G278, "IQ_SHARESOUTSTANDING", CZ$222),"--")</f>
        <v>0</v>
      </c>
      <c r="DA278" s="2132">
        <f>IF(DA$221,_xll.ciqfunctions.udf.CIQ($G278, "IQ_SHARESOUTSTANDING", DA$222),"--")</f>
        <v>0</v>
      </c>
      <c r="DB278" s="2132">
        <f>IF(DB$221,_xll.ciqfunctions.udf.CIQ($G278, "IQ_SHARESOUTSTANDING", DB$222),"--")</f>
        <v>0</v>
      </c>
      <c r="DC278" s="2132">
        <f>IF(DC$221,_xll.ciqfunctions.udf.CIQ($G278, "IQ_SHARESOUTSTANDING", DC$222),"--")</f>
        <v>0</v>
      </c>
      <c r="DD278" s="2132">
        <f>IF(DD$221,_xll.ciqfunctions.udf.CIQ($G278, "IQ_SHARESOUTSTANDING", DD$222),"--")</f>
        <v>0</v>
      </c>
      <c r="DE278" s="2132">
        <f>IF(DE$221,_xll.ciqfunctions.udf.CIQ($G278, "IQ_SHARESOUTSTANDING", DE$222),"--")</f>
        <v>0</v>
      </c>
      <c r="DF278" s="2132">
        <f>IF(DF$221,_xll.ciqfunctions.udf.CIQ($G278, "IQ_SHARESOUTSTANDING", DF$222),"--")</f>
        <v>0</v>
      </c>
      <c r="DG278" s="2132">
        <f>IF(DG$221,_xll.ciqfunctions.udf.CIQ($G278, "IQ_SHARESOUTSTANDING", DG$222),"--")</f>
        <v>0</v>
      </c>
      <c r="DH278" s="2132">
        <f>IF(DH$221,_xll.ciqfunctions.udf.CIQ($G278, "IQ_SHARESOUTSTANDING", DH$222),"--")</f>
        <v>0</v>
      </c>
      <c r="DI278" s="2132">
        <f>IF(DI$221,_xll.ciqfunctions.udf.CIQ($G278, "IQ_SHARESOUTSTANDING", DI$222),"--")</f>
        <v>0</v>
      </c>
      <c r="DJ278" s="2132">
        <f>IF(DJ$221,_xll.ciqfunctions.udf.CIQ($G278, "IQ_SHARESOUTSTANDING", DJ$222),"--")</f>
        <v>0</v>
      </c>
      <c r="DK278" s="2132">
        <f>IF(DK$221,_xll.ciqfunctions.udf.CIQ($G278, "IQ_SHARESOUTSTANDING", DK$222),"--")</f>
        <v>0</v>
      </c>
      <c r="DL278" s="2132">
        <f>IF(DL$221,_xll.ciqfunctions.udf.CIQ($G278, "IQ_SHARESOUTSTANDING", DL$222),"--")</f>
        <v>0</v>
      </c>
      <c r="DM278" s="2132">
        <f>IF(DM$221,_xll.ciqfunctions.udf.CIQ($G278, "IQ_SHARESOUTSTANDING", DM$222),"--")</f>
        <v>0</v>
      </c>
      <c r="DN278" s="2132">
        <f>IF(DN$221,_xll.ciqfunctions.udf.CIQ($G278, "IQ_SHARESOUTSTANDING", DN$222),"--")</f>
        <v>0</v>
      </c>
      <c r="DO278" s="2132">
        <f>IF(DO$221,_xll.ciqfunctions.udf.CIQ($G278, "IQ_SHARESOUTSTANDING", DO$222),"--")</f>
        <v>0</v>
      </c>
      <c r="DP278" s="2132">
        <f>IF(DP$221,_xll.ciqfunctions.udf.CIQ($G278, "IQ_SHARESOUTSTANDING", DP$222),"--")</f>
        <v>0</v>
      </c>
      <c r="DQ278" s="2132">
        <f>IF(DQ$221,_xll.ciqfunctions.udf.CIQ($G278, "IQ_SHARESOUTSTANDING", DQ$222),"--")</f>
        <v>0</v>
      </c>
      <c r="DR278" s="2132">
        <f>IF(DR$221,_xll.ciqfunctions.udf.CIQ($G278, "IQ_SHARESOUTSTANDING", DR$222),"--")</f>
        <v>0</v>
      </c>
      <c r="DS278" s="2132">
        <f>IF(DS$221,_xll.ciqfunctions.udf.CIQ($G278, "IQ_SHARESOUTSTANDING", DS$222),"--")</f>
        <v>0</v>
      </c>
      <c r="DT278" s="2132">
        <f>IF(DT$221,_xll.ciqfunctions.udf.CIQ($G278, "IQ_SHARESOUTSTANDING", DT$222),"--")</f>
        <v>0</v>
      </c>
      <c r="DU278" s="2132">
        <f>IF(DU$221,_xll.ciqfunctions.udf.CIQ($G278, "IQ_SHARESOUTSTANDING", DU$222),"--")</f>
        <v>0</v>
      </c>
      <c r="DV278" s="2132">
        <f>IF(DV$221,_xll.ciqfunctions.udf.CIQ($G278, "IQ_SHARESOUTSTANDING", DV$222),"--")</f>
        <v>0</v>
      </c>
      <c r="DW278" s="2132">
        <f>IF(DW$221,_xll.ciqfunctions.udf.CIQ($G278, "IQ_SHARESOUTSTANDING", DW$222),"--")</f>
        <v>0</v>
      </c>
      <c r="DX278" s="2132">
        <f>IF(DX$221,_xll.ciqfunctions.udf.CIQ($G278, "IQ_SHARESOUTSTANDING", DX$222),"--")</f>
        <v>0</v>
      </c>
      <c r="DY278" s="2132">
        <f>IF(DY$221,_xll.ciqfunctions.udf.CIQ($G278, "IQ_SHARESOUTSTANDING", DY$222),"--")</f>
        <v>0</v>
      </c>
      <c r="DZ278" s="2132">
        <f>IF(DZ$221,_xll.ciqfunctions.udf.CIQ($G278, "IQ_SHARESOUTSTANDING", DZ$222),"--")</f>
        <v>0</v>
      </c>
      <c r="EA278" s="2132">
        <f>IF(EA$221,_xll.ciqfunctions.udf.CIQ($G278, "IQ_SHARESOUTSTANDING", EA$222),"--")</f>
        <v>0</v>
      </c>
      <c r="EB278" s="2132">
        <f>IF(EB$221,_xll.ciqfunctions.udf.CIQ($G278, "IQ_SHARESOUTSTANDING", EB$222),"--")</f>
        <v>0</v>
      </c>
      <c r="EC278" s="2132">
        <f>IF(EC$221,_xll.ciqfunctions.udf.CIQ($G278, "IQ_SHARESOUTSTANDING", EC$222),"--")</f>
        <v>0</v>
      </c>
      <c r="ED278" s="2132">
        <f>IF(ED$221,_xll.ciqfunctions.udf.CIQ($G278, "IQ_SHARESOUTSTANDING", ED$222),"--")</f>
        <v>0</v>
      </c>
      <c r="EE278" s="2132">
        <f>IF(EE$221,_xll.ciqfunctions.udf.CIQ($G278, "IQ_SHARESOUTSTANDING", EE$222),"--")</f>
        <v>0</v>
      </c>
      <c r="EF278" s="2132">
        <f>IF(EF$221,_xll.ciqfunctions.udf.CIQ($G278, "IQ_SHARESOUTSTANDING", EF$222),"--")</f>
        <v>0</v>
      </c>
      <c r="EG278" s="2132">
        <f>IF(EG$221,_xll.ciqfunctions.udf.CIQ($G278, "IQ_SHARESOUTSTANDING", EG$222),"--")</f>
        <v>0</v>
      </c>
      <c r="EH278" s="2132">
        <f>IF(EH$221,_xll.ciqfunctions.udf.CIQ($G278, "IQ_SHARESOUTSTANDING", EH$222),"--")</f>
        <v>0</v>
      </c>
      <c r="EI278" s="2132">
        <f>IF(EI$221,_xll.ciqfunctions.udf.CIQ($G278, "IQ_SHARESOUTSTANDING", EI$222),"--")</f>
        <v>0</v>
      </c>
      <c r="EJ278" s="2132">
        <f>IF(EJ$221,_xll.ciqfunctions.udf.CIQ($G278, "IQ_SHARESOUTSTANDING", EJ$222),"--")</f>
        <v>0</v>
      </c>
      <c r="EK278" s="2132">
        <f>IF(EK$221,_xll.ciqfunctions.udf.CIQ($G278, "IQ_SHARESOUTSTANDING", EK$222),"--")</f>
        <v>0</v>
      </c>
      <c r="EL278" s="2132">
        <f>IF(EL$221,_xll.ciqfunctions.udf.CIQ($G278, "IQ_SHARESOUTSTANDING", EL$222),"--")</f>
        <v>0</v>
      </c>
      <c r="EM278" s="2132">
        <f>IF(EM$221,_xll.ciqfunctions.udf.CIQ($G278, "IQ_SHARESOUTSTANDING", EM$222),"--")</f>
        <v>0</v>
      </c>
      <c r="EN278" s="2132">
        <f>IF(EN$221,_xll.ciqfunctions.udf.CIQ($G278, "IQ_SHARESOUTSTANDING", EN$222),"--")</f>
        <v>0</v>
      </c>
      <c r="EO278" s="2132">
        <f>IF(EO$221,_xll.ciqfunctions.udf.CIQ($G278, "IQ_SHARESOUTSTANDING", EO$222),"--")</f>
        <v>0</v>
      </c>
      <c r="EP278" s="2132">
        <f>IF(EP$221,_xll.ciqfunctions.udf.CIQ($G278, "IQ_SHARESOUTSTANDING", EP$222),"--")</f>
        <v>0</v>
      </c>
      <c r="EQ278" s="2132">
        <f>IF(EQ$221,_xll.ciqfunctions.udf.CIQ($G278, "IQ_SHARESOUTSTANDING", EQ$222),"--")</f>
        <v>0</v>
      </c>
      <c r="ER278" s="2132">
        <f>IF(ER$221,_xll.ciqfunctions.udf.CIQ($G278, "IQ_SHARESOUTSTANDING", ER$222),"--")</f>
        <v>0</v>
      </c>
      <c r="ES278" s="2132">
        <f>IF(ES$221,_xll.ciqfunctions.udf.CIQ($G278, "IQ_SHARESOUTSTANDING", ES$222),"--")</f>
        <v>0</v>
      </c>
      <c r="ET278" s="2132">
        <f>IF(ET$221,_xll.ciqfunctions.udf.CIQ($G278, "IQ_SHARESOUTSTANDING", ET$222),"--")</f>
        <v>0</v>
      </c>
      <c r="EU278" s="2132">
        <f>IF(EU$221,_xll.ciqfunctions.udf.CIQ($G278, "IQ_SHARESOUTSTANDING", EU$222),"--")</f>
        <v>0</v>
      </c>
      <c r="EV278" s="2132">
        <f>IF(EV$221,_xll.ciqfunctions.udf.CIQ($G278, "IQ_SHARESOUTSTANDING", EV$222),"--")</f>
        <v>0</v>
      </c>
      <c r="EW278" s="2132">
        <f>IF(EW$221,_xll.ciqfunctions.udf.CIQ($G278, "IQ_SHARESOUTSTANDING", EW$222),"--")</f>
        <v>0</v>
      </c>
      <c r="EX278" s="2132">
        <f>IF(EX$221,_xll.ciqfunctions.udf.CIQ($G278, "IQ_SHARESOUTSTANDING", EX$222),"--")</f>
        <v>0</v>
      </c>
      <c r="EY278" s="2132">
        <f>IF(EY$221,_xll.ciqfunctions.udf.CIQ($G278, "IQ_SHARESOUTSTANDING", EY$222),"--")</f>
        <v>0</v>
      </c>
      <c r="EZ278" s="2132">
        <f>IF(EZ$221,_xll.ciqfunctions.udf.CIQ($G278, "IQ_SHARESOUTSTANDING", EZ$222),"--")</f>
        <v>0</v>
      </c>
      <c r="FA278" s="2132">
        <f>IF(FA$221,_xll.ciqfunctions.udf.CIQ($G278, "IQ_SHARESOUTSTANDING", FA$222),"--")</f>
        <v>0</v>
      </c>
      <c r="FB278" s="2132">
        <f>IF(FB$221,_xll.ciqfunctions.udf.CIQ($G278, "IQ_SHARESOUTSTANDING", FB$222),"--")</f>
        <v>0</v>
      </c>
      <c r="FC278" s="2132">
        <f>IF(FC$221,_xll.ciqfunctions.udf.CIQ($G278, "IQ_SHARESOUTSTANDING", FC$222),"--")</f>
        <v>0</v>
      </c>
      <c r="FD278" s="2132">
        <f>IF(FD$221,_xll.ciqfunctions.udf.CIQ($G278, "IQ_SHARESOUTSTANDING", FD$222),"--")</f>
        <v>0</v>
      </c>
      <c r="FE278" s="2132">
        <f>IF(FE$221,_xll.ciqfunctions.udf.CIQ($G278, "IQ_SHARESOUTSTANDING", FE$222),"--")</f>
        <v>0</v>
      </c>
      <c r="FF278" s="2132">
        <f>IF(FF$221,_xll.ciqfunctions.udf.CIQ($G278, "IQ_SHARESOUTSTANDING", FF$222),"--")</f>
        <v>0</v>
      </c>
      <c r="FG278" s="2132">
        <f>IF(FG$221,_xll.ciqfunctions.udf.CIQ($G278, "IQ_SHARESOUTSTANDING", FG$222),"--")</f>
        <v>0</v>
      </c>
      <c r="FH278" s="2132">
        <f>IF(FH$221,_xll.ciqfunctions.udf.CIQ($G278, "IQ_SHARESOUTSTANDING", FH$222),"--")</f>
        <v>0</v>
      </c>
      <c r="FI278" s="2132">
        <f>IF(FI$221,_xll.ciqfunctions.udf.CIQ($G278, "IQ_SHARESOUTSTANDING", FI$222),"--")</f>
        <v>0</v>
      </c>
      <c r="FJ278" s="2132">
        <f>IF(FJ$221,_xll.ciqfunctions.udf.CIQ($G278, "IQ_SHARESOUTSTANDING", FJ$222),"--")</f>
        <v>0</v>
      </c>
      <c r="FK278" s="2132">
        <f>IF(FK$221,_xll.ciqfunctions.udf.CIQ($G278, "IQ_SHARESOUTSTANDING", FK$222),"--")</f>
        <v>0</v>
      </c>
      <c r="FL278" s="2132">
        <f>IF(FL$221,_xll.ciqfunctions.udf.CIQ($G278, "IQ_SHARESOUTSTANDING", FL$222),"--")</f>
        <v>0</v>
      </c>
      <c r="FM278" s="2132">
        <f>IF(FM$221,_xll.ciqfunctions.udf.CIQ($G278, "IQ_SHARESOUTSTANDING", FM$222),"--")</f>
        <v>0</v>
      </c>
      <c r="FN278" s="2132">
        <f>IF(FN$221,_xll.ciqfunctions.udf.CIQ($G278, "IQ_SHARESOUTSTANDING", FN$222),"--")</f>
        <v>0</v>
      </c>
      <c r="FO278" s="2132">
        <f>IF(FO$221,_xll.ciqfunctions.udf.CIQ($G278, "IQ_SHARESOUTSTANDING", FO$222),"--")</f>
        <v>0</v>
      </c>
      <c r="FP278" s="2132">
        <f>IF(FP$221,_xll.ciqfunctions.udf.CIQ($G278, "IQ_SHARESOUTSTANDING", FP$222),"--")</f>
        <v>0</v>
      </c>
      <c r="FQ278" s="2132">
        <f>IF(FQ$221,_xll.ciqfunctions.udf.CIQ($G278, "IQ_SHARESOUTSTANDING", FQ$222),"--")</f>
        <v>0</v>
      </c>
      <c r="FR278" s="2132">
        <f>IF(FR$221,_xll.ciqfunctions.udf.CIQ($G278, "IQ_SHARESOUTSTANDING", FR$222),"--")</f>
        <v>0</v>
      </c>
      <c r="FS278" s="2132">
        <f>IF(FS$221,_xll.ciqfunctions.udf.CIQ($G278, "IQ_SHARESOUTSTANDING", FS$222),"--")</f>
        <v>0</v>
      </c>
      <c r="FT278" s="2132">
        <f>IF(FT$221,_xll.ciqfunctions.udf.CIQ($G278, "IQ_SHARESOUTSTANDING", FT$222),"--")</f>
        <v>0</v>
      </c>
      <c r="FU278" s="2132">
        <f>IF(FU$221,_xll.ciqfunctions.udf.CIQ($G278, "IQ_SHARESOUTSTANDING", FU$222),"--")</f>
        <v>0</v>
      </c>
      <c r="FV278" s="2132">
        <f>IF(FV$221,_xll.ciqfunctions.udf.CIQ($G278, "IQ_SHARESOUTSTANDING", FV$222),"--")</f>
        <v>0</v>
      </c>
      <c r="FW278" s="2132">
        <f>IF(FW$221,_xll.ciqfunctions.udf.CIQ($G278, "IQ_SHARESOUTSTANDING", FW$222),"--")</f>
        <v>0</v>
      </c>
      <c r="FX278" s="2132">
        <f>IF(FX$221,_xll.ciqfunctions.udf.CIQ($G278, "IQ_SHARESOUTSTANDING", FX$222),"--")</f>
        <v>0</v>
      </c>
      <c r="FY278" s="2132">
        <f>IF(FY$221,_xll.ciqfunctions.udf.CIQ($G278, "IQ_SHARESOUTSTANDING", FY$222),"--")</f>
        <v>0</v>
      </c>
      <c r="FZ278" s="2132">
        <f>IF(FZ$221,_xll.ciqfunctions.udf.CIQ($G278, "IQ_SHARESOUTSTANDING", FZ$222),"--")</f>
        <v>0</v>
      </c>
      <c r="GA278" s="2132">
        <f>IF(GA$221,_xll.ciqfunctions.udf.CIQ($G278, "IQ_SHARESOUTSTANDING", GA$222),"--")</f>
        <v>0</v>
      </c>
      <c r="GB278" s="2132">
        <f>IF(GB$221,_xll.ciqfunctions.udf.CIQ($G278, "IQ_SHARESOUTSTANDING", GB$222),"--")</f>
        <v>0</v>
      </c>
      <c r="GC278" s="2132">
        <f>IF(GC$221,_xll.ciqfunctions.udf.CIQ($G278, "IQ_SHARESOUTSTANDING", GC$222),"--")</f>
        <v>0</v>
      </c>
      <c r="GD278" s="2132">
        <f>IF(GD$221,_xll.ciqfunctions.udf.CIQ($G278, "IQ_SHARESOUTSTANDING", GD$222),"--")</f>
        <v>0</v>
      </c>
      <c r="GE278" s="2132">
        <f>IF(GE$221,_xll.ciqfunctions.udf.CIQ($G278, "IQ_SHARESOUTSTANDING", GE$222),"--")</f>
        <v>0</v>
      </c>
      <c r="GF278" s="2132">
        <f>IF(GF$221,_xll.ciqfunctions.udf.CIQ($G278, "IQ_SHARESOUTSTANDING", GF$222),"--")</f>
        <v>0</v>
      </c>
      <c r="GG278" s="2132">
        <f>IF(GG$221,_xll.ciqfunctions.udf.CIQ($G278, "IQ_SHARESOUTSTANDING", GG$222),"--")</f>
        <v>0</v>
      </c>
      <c r="GH278" s="2132">
        <f>IF(GH$221,_xll.ciqfunctions.udf.CIQ($G278, "IQ_SHARESOUTSTANDING", GH$222),"--")</f>
        <v>0</v>
      </c>
      <c r="GI278" s="2132">
        <f>IF(GI$221,_xll.ciqfunctions.udf.CIQ($G278, "IQ_SHARESOUTSTANDING", GI$222),"--")</f>
        <v>0</v>
      </c>
      <c r="GJ278" s="2132">
        <f>IF(GJ$221,_xll.ciqfunctions.udf.CIQ($G278, "IQ_SHARESOUTSTANDING", GJ$222),"--")</f>
        <v>0</v>
      </c>
      <c r="GK278" s="2132">
        <f>IF(GK$221,_xll.ciqfunctions.udf.CIQ($G278, "IQ_SHARESOUTSTANDING", GK$222),"--")</f>
        <v>0</v>
      </c>
      <c r="GL278" s="2132">
        <f>IF(GL$221,_xll.ciqfunctions.udf.CIQ($G278, "IQ_SHARESOUTSTANDING", GL$222),"--")</f>
        <v>0</v>
      </c>
      <c r="GM278" s="2132">
        <f>IF(GM$221,_xll.ciqfunctions.udf.CIQ($G278, "IQ_SHARESOUTSTANDING", GM$222),"--")</f>
        <v>0</v>
      </c>
      <c r="GN278" s="2132">
        <f>IF(GN$221,_xll.ciqfunctions.udf.CIQ($G278, "IQ_SHARESOUTSTANDING", GN$222),"--")</f>
        <v>0</v>
      </c>
      <c r="GO278" s="2132">
        <f>IF(GO$221,_xll.ciqfunctions.udf.CIQ($G278, "IQ_SHARESOUTSTANDING", GO$222),"--")</f>
        <v>0</v>
      </c>
      <c r="GP278" s="2132">
        <f>IF(GP$221,_xll.ciqfunctions.udf.CIQ($G278, "IQ_SHARESOUTSTANDING", GP$222),"--")</f>
        <v>0</v>
      </c>
      <c r="GQ278" s="2132">
        <f>IF(GQ$221,_xll.ciqfunctions.udf.CIQ($G278, "IQ_SHARESOUTSTANDING", GQ$222),"--")</f>
        <v>0</v>
      </c>
      <c r="GR278" s="2132">
        <f>IF(GR$221,_xll.ciqfunctions.udf.CIQ($G278, "IQ_SHARESOUTSTANDING", GR$222),"--")</f>
        <v>0</v>
      </c>
      <c r="GS278" s="2132">
        <f>IF(GS$221,_xll.ciqfunctions.udf.CIQ($G278, "IQ_SHARESOUTSTANDING", GS$222),"--")</f>
        <v>0</v>
      </c>
      <c r="GT278" s="2132">
        <f>IF(GT$221,_xll.ciqfunctions.udf.CIQ($G278, "IQ_SHARESOUTSTANDING", GT$222),"--")</f>
        <v>0</v>
      </c>
      <c r="GU278" s="2132">
        <f>IF(GU$221,_xll.ciqfunctions.udf.CIQ($G278, "IQ_SHARESOUTSTANDING", GU$222),"--")</f>
        <v>0</v>
      </c>
      <c r="GV278" s="2132">
        <f>IF(GV$221,_xll.ciqfunctions.udf.CIQ($G278, "IQ_SHARESOUTSTANDING", GV$222),"--")</f>
        <v>0</v>
      </c>
      <c r="GW278" s="2132">
        <f>IF(GW$221,_xll.ciqfunctions.udf.CIQ($G278, "IQ_SHARESOUTSTANDING", GW$222),"--")</f>
        <v>0</v>
      </c>
      <c r="GX278" s="2132">
        <f>IF(GX$221,_xll.ciqfunctions.udf.CIQ($G278, "IQ_SHARESOUTSTANDING", GX$222),"--")</f>
        <v>0</v>
      </c>
      <c r="GY278" s="2132">
        <f>IF(GY$221,_xll.ciqfunctions.udf.CIQ($G278, "IQ_SHARESOUTSTANDING", GY$222),"--")</f>
        <v>0</v>
      </c>
      <c r="GZ278" s="2132">
        <f>IF(GZ$221,_xll.ciqfunctions.udf.CIQ($G278, "IQ_SHARESOUTSTANDING", GZ$222),"--")</f>
        <v>0</v>
      </c>
      <c r="HA278" s="2132">
        <f>IF(HA$221,_xll.ciqfunctions.udf.CIQ($G278, "IQ_SHARESOUTSTANDING", HA$222),"--")</f>
        <v>0</v>
      </c>
      <c r="HB278" s="2132">
        <f>IF(HB$221,_xll.ciqfunctions.udf.CIQ($G278, "IQ_SHARESOUTSTANDING", HB$222),"--")</f>
        <v>0</v>
      </c>
      <c r="HC278" s="2132">
        <f>IF(HC$221,_xll.ciqfunctions.udf.CIQ($G278, "IQ_SHARESOUTSTANDING", HC$222),"--")</f>
        <v>0</v>
      </c>
      <c r="HD278" s="2132">
        <f>IF(HD$221,_xll.ciqfunctions.udf.CIQ($G278, "IQ_SHARESOUTSTANDING", HD$222),"--")</f>
        <v>0</v>
      </c>
      <c r="HE278" s="2132">
        <f>IF(HE$221,_xll.ciqfunctions.udf.CIQ($G278, "IQ_SHARESOUTSTANDING", HE$222),"--")</f>
        <v>0</v>
      </c>
      <c r="HF278" s="2132">
        <f>IF(HF$221,_xll.ciqfunctions.udf.CIQ($G278, "IQ_SHARESOUTSTANDING", HF$222),"--")</f>
        <v>0</v>
      </c>
      <c r="HG278" s="2132">
        <f>IF(HG$221,_xll.ciqfunctions.udf.CIQ($G278, "IQ_SHARESOUTSTANDING", HG$222),"--")</f>
        <v>0</v>
      </c>
      <c r="HH278" s="2132">
        <f>IF(HH$221,_xll.ciqfunctions.udf.CIQ($G278, "IQ_SHARESOUTSTANDING", HH$222),"--")</f>
        <v>0</v>
      </c>
      <c r="HI278" s="2132">
        <f>IF(HI$221,_xll.ciqfunctions.udf.CIQ($G278, "IQ_SHARESOUTSTANDING", HI$222),"--")</f>
        <v>0</v>
      </c>
      <c r="HJ278" s="2132">
        <f>IF(HJ$221,_xll.ciqfunctions.udf.CIQ($G278, "IQ_SHARESOUTSTANDING", HJ$222),"--")</f>
        <v>0</v>
      </c>
      <c r="HK278" s="2132">
        <f>IF(HK$221,_xll.ciqfunctions.udf.CIQ($G278, "IQ_SHARESOUTSTANDING", HK$222),"--")</f>
        <v>0</v>
      </c>
      <c r="HL278" s="2132">
        <f>IF(HL$221,_xll.ciqfunctions.udf.CIQ($G278, "IQ_SHARESOUTSTANDING", HL$222),"--")</f>
        <v>0</v>
      </c>
      <c r="HM278" s="2132">
        <f>IF(HM$221,_xll.ciqfunctions.udf.CIQ($G278, "IQ_SHARESOUTSTANDING", HM$222),"--")</f>
        <v>0</v>
      </c>
      <c r="HN278" s="2132">
        <f>IF(HN$221,_xll.ciqfunctions.udf.CIQ($G278, "IQ_SHARESOUTSTANDING", HN$222),"--")</f>
        <v>0</v>
      </c>
      <c r="HO278" s="2132">
        <f>IF(HO$221,_xll.ciqfunctions.udf.CIQ($G278, "IQ_SHARESOUTSTANDING", HO$222),"--")</f>
        <v>0</v>
      </c>
      <c r="HP278" s="2132">
        <f>IF(HP$221,_xll.ciqfunctions.udf.CIQ($G278, "IQ_SHARESOUTSTANDING", HP$222),"--")</f>
        <v>0</v>
      </c>
      <c r="HQ278" s="2132">
        <f>IF(HQ$221,_xll.ciqfunctions.udf.CIQ($G278, "IQ_SHARESOUTSTANDING", HQ$222),"--")</f>
        <v>0</v>
      </c>
      <c r="HR278" s="2132">
        <f>IF(HR$221,_xll.ciqfunctions.udf.CIQ($G278, "IQ_SHARESOUTSTANDING", HR$222),"--")</f>
        <v>0</v>
      </c>
      <c r="HS278" s="2132">
        <f>IF(HS$221,_xll.ciqfunctions.udf.CIQ($G278, "IQ_SHARESOUTSTANDING", HS$222),"--")</f>
        <v>0</v>
      </c>
      <c r="HT278" s="2132">
        <f>IF(HT$221,_xll.ciqfunctions.udf.CIQ($G278, "IQ_SHARESOUTSTANDING", HT$222),"--")</f>
        <v>0</v>
      </c>
      <c r="HU278" s="2132">
        <f>IF(HU$221,_xll.ciqfunctions.udf.CIQ($G278, "IQ_SHARESOUTSTANDING", HU$222),"--")</f>
        <v>0</v>
      </c>
      <c r="HV278" s="2132">
        <f>IF(HV$221,_xll.ciqfunctions.udf.CIQ($G278, "IQ_SHARESOUTSTANDING", HV$222),"--")</f>
        <v>0</v>
      </c>
      <c r="HW278" s="2132">
        <f>IF(HW$221,_xll.ciqfunctions.udf.CIQ($G278, "IQ_SHARESOUTSTANDING", HW$222),"--")</f>
        <v>0</v>
      </c>
      <c r="HX278" s="2132">
        <f>IF(HX$221,_xll.ciqfunctions.udf.CIQ($G278, "IQ_SHARESOUTSTANDING", HX$222),"--")</f>
        <v>0</v>
      </c>
      <c r="HY278" s="2132">
        <f>IF(HY$221,_xll.ciqfunctions.udf.CIQ($G278, "IQ_SHARESOUTSTANDING", HY$222),"--")</f>
        <v>0</v>
      </c>
      <c r="HZ278" s="2132">
        <f>IF(HZ$221,_xll.ciqfunctions.udf.CIQ($G278, "IQ_SHARESOUTSTANDING", HZ$222),"--")</f>
        <v>0</v>
      </c>
      <c r="IA278" s="2132">
        <f>IF(IA$221,_xll.ciqfunctions.udf.CIQ($G278, "IQ_SHARESOUTSTANDING", IA$222),"--")</f>
        <v>0</v>
      </c>
      <c r="IB278" s="2132">
        <f>IF(IB$221,_xll.ciqfunctions.udf.CIQ($G278, "IQ_SHARESOUTSTANDING", IB$222),"--")</f>
        <v>0</v>
      </c>
      <c r="IC278" s="2132">
        <f>IF(IC$221,_xll.ciqfunctions.udf.CIQ($G278, "IQ_SHARESOUTSTANDING", IC$222),"--")</f>
        <v>0</v>
      </c>
      <c r="ID278" s="2132">
        <f>IF(ID$221,_xll.ciqfunctions.udf.CIQ($G278, "IQ_SHARESOUTSTANDING", ID$222),"--")</f>
        <v>0</v>
      </c>
      <c r="IE278" s="2132">
        <f>IF(IE$221,_xll.ciqfunctions.udf.CIQ($G278, "IQ_SHARESOUTSTANDING", IE$222),"--")</f>
        <v>0</v>
      </c>
      <c r="IF278" s="2132">
        <f>IF(IF$221,_xll.ciqfunctions.udf.CIQ($G278, "IQ_SHARESOUTSTANDING", IF$222),"--")</f>
        <v>0</v>
      </c>
      <c r="IG278" s="2132">
        <f>IF(IG$221,_xll.ciqfunctions.udf.CIQ($G278, "IQ_SHARESOUTSTANDING", IG$222),"--")</f>
        <v>0</v>
      </c>
      <c r="IH278" s="2132">
        <f>IF(IH$221,_xll.ciqfunctions.udf.CIQ($G278, "IQ_SHARESOUTSTANDING", IH$222),"--")</f>
        <v>0</v>
      </c>
      <c r="II278" s="2132">
        <f>IF(II$221,_xll.ciqfunctions.udf.CIQ($G278, "IQ_SHARESOUTSTANDING", II$222),"--")</f>
        <v>0</v>
      </c>
      <c r="IJ278" s="2132">
        <f>IF(IJ$221,_xll.ciqfunctions.udf.CIQ($G278, "IQ_SHARESOUTSTANDING", IJ$222),"--")</f>
        <v>0</v>
      </c>
      <c r="IK278" s="2132">
        <f>IF(IK$221,_xll.ciqfunctions.udf.CIQ($G278, "IQ_SHARESOUTSTANDING", IK$222),"--")</f>
        <v>0</v>
      </c>
      <c r="IL278" s="2132">
        <f>IF(IL$221,_xll.ciqfunctions.udf.CIQ($G278, "IQ_SHARESOUTSTANDING", IL$222),"--")</f>
        <v>0</v>
      </c>
      <c r="IM278" s="2132">
        <f>IF(IM$221,_xll.ciqfunctions.udf.CIQ($G278, "IQ_SHARESOUTSTANDING", IM$222),"--")</f>
        <v>0</v>
      </c>
      <c r="IN278" s="2132">
        <f>IF(IN$221,_xll.ciqfunctions.udf.CIQ($G278, "IQ_SHARESOUTSTANDING", IN$222),"--")</f>
        <v>0</v>
      </c>
      <c r="IO278" s="2132">
        <f>IF(IO$221,_xll.ciqfunctions.udf.CIQ($G278, "IQ_SHARESOUTSTANDING", IO$222),"--")</f>
        <v>0</v>
      </c>
      <c r="IP278" s="2132">
        <f>IF(IP$221,_xll.ciqfunctions.udf.CIQ($G278, "IQ_SHARESOUTSTANDING", IP$222),"--")</f>
        <v>0</v>
      </c>
      <c r="IQ278" s="2132">
        <f>IF(IQ$221,_xll.ciqfunctions.udf.CIQ($G278, "IQ_SHARESOUTSTANDING", IQ$222),"--")</f>
        <v>0</v>
      </c>
      <c r="IR278" s="2132">
        <f>IF(IR$221,_xll.ciqfunctions.udf.CIQ($G278, "IQ_SHARESOUTSTANDING", IR$222),"--")</f>
        <v>0</v>
      </c>
      <c r="IS278" s="2132">
        <f>IF(IS$221,_xll.ciqfunctions.udf.CIQ($G278, "IQ_SHARESOUTSTANDING", IS$222),"--")</f>
        <v>0</v>
      </c>
      <c r="IT278" s="2132">
        <f>IF(IT$221,_xll.ciqfunctions.udf.CIQ($G278, "IQ_SHARESOUTSTANDING", IT$222),"--")</f>
        <v>0</v>
      </c>
      <c r="IU278" s="2132">
        <f>IF(IU$221,_xll.ciqfunctions.udf.CIQ($G278, "IQ_SHARESOUTSTANDING", IU$222),"--")</f>
        <v>0</v>
      </c>
      <c r="IV278" s="2132">
        <f>IF(IV$221,_xll.ciqfunctions.udf.CIQ($G278, "IQ_SHARESOUTSTANDING", IV$222),"--")</f>
        <v>0</v>
      </c>
      <c r="IW278" s="2132">
        <f>IF(IW$221,_xll.ciqfunctions.udf.CIQ($G278, "IQ_SHARESOUTSTANDING", IW$222),"--")</f>
        <v>0</v>
      </c>
      <c r="IX278" s="2132">
        <f>IF(IX$221,_xll.ciqfunctions.udf.CIQ($G278, "IQ_SHARESOUTSTANDING", IX$222),"--")</f>
        <v>0</v>
      </c>
      <c r="IY278" s="2132">
        <f>IF(IY$221,_xll.ciqfunctions.udf.CIQ($G278, "IQ_SHARESOUTSTANDING", IY$222),"--")</f>
        <v>0</v>
      </c>
      <c r="IZ278" s="2132">
        <f>IF(IZ$221,_xll.ciqfunctions.udf.CIQ($G278, "IQ_SHARESOUTSTANDING", IZ$222),"--")</f>
        <v>0</v>
      </c>
      <c r="JA278" s="2132">
        <f>IF(JA$221,_xll.ciqfunctions.udf.CIQ($G278, "IQ_SHARESOUTSTANDING", JA$222),"--")</f>
        <v>0</v>
      </c>
      <c r="JB278" s="2132">
        <f>IF(JB$221,_xll.ciqfunctions.udf.CIQ($G278, "IQ_SHARESOUTSTANDING", JB$222),"--")</f>
        <v>0</v>
      </c>
      <c r="JC278" s="2132">
        <f>IF(JC$221,_xll.ciqfunctions.udf.CIQ($G278, "IQ_SHARESOUTSTANDING", JC$222),"--")</f>
        <v>0</v>
      </c>
      <c r="JD278" s="2132">
        <f>IF(JD$221,_xll.ciqfunctions.udf.CIQ($G278, "IQ_SHARESOUTSTANDING", JD$222),"--")</f>
        <v>0</v>
      </c>
      <c r="JE278" s="2132">
        <f>IF(JE$221,_xll.ciqfunctions.udf.CIQ($G278, "IQ_SHARESOUTSTANDING", JE$222),"--")</f>
        <v>0</v>
      </c>
      <c r="JF278" s="2132">
        <f>IF(JF$221,_xll.ciqfunctions.udf.CIQ($G278, "IQ_SHARESOUTSTANDING", JF$222),"--")</f>
        <v>0</v>
      </c>
      <c r="JG278" s="2132">
        <f>IF(JG$221,_xll.ciqfunctions.udf.CIQ($G278, "IQ_SHARESOUTSTANDING", JG$222),"--")</f>
        <v>0</v>
      </c>
      <c r="JH278" s="2132">
        <f>IF(JH$221,_xll.ciqfunctions.udf.CIQ($G278, "IQ_SHARESOUTSTANDING", JH$222),"--")</f>
        <v>0</v>
      </c>
      <c r="JI278" s="2132">
        <f>IF(JI$221,_xll.ciqfunctions.udf.CIQ($G278, "IQ_SHARESOUTSTANDING", JI$222),"--")</f>
        <v>0</v>
      </c>
      <c r="JJ278" s="2132">
        <f>IF(JJ$221,_xll.ciqfunctions.udf.CIQ($G278, "IQ_SHARESOUTSTANDING", JJ$222),"--")</f>
        <v>0</v>
      </c>
      <c r="JK278" s="2132">
        <f>IF(JK$221,_xll.ciqfunctions.udf.CIQ($G278, "IQ_SHARESOUTSTANDING", JK$222),"--")</f>
        <v>0</v>
      </c>
      <c r="JL278" s="2132">
        <f>IF(JL$221,_xll.ciqfunctions.udf.CIQ($G278, "IQ_SHARESOUTSTANDING", JL$222),"--")</f>
        <v>0</v>
      </c>
      <c r="JM278" s="2132">
        <f>IF(JM$221,_xll.ciqfunctions.udf.CIQ($G278, "IQ_SHARESOUTSTANDING", JM$222),"--")</f>
        <v>0</v>
      </c>
      <c r="JN278" s="2132">
        <f>IF(JN$221,_xll.ciqfunctions.udf.CIQ($G278, "IQ_SHARESOUTSTANDING", JN$222),"--")</f>
        <v>0</v>
      </c>
      <c r="JO278" s="2132">
        <f>IF(JO$221,_xll.ciqfunctions.udf.CIQ($G278, "IQ_SHARESOUTSTANDING", JO$222),"--")</f>
        <v>0</v>
      </c>
      <c r="JP278" s="2132">
        <f>IF(JP$221,_xll.ciqfunctions.udf.CIQ($G278, "IQ_SHARESOUTSTANDING", JP$222),"--")</f>
        <v>0</v>
      </c>
      <c r="JQ278" s="2132">
        <f>IF(JQ$221,_xll.ciqfunctions.udf.CIQ($G278, "IQ_SHARESOUTSTANDING", JQ$222),"--")</f>
        <v>0</v>
      </c>
      <c r="JR278" s="2132">
        <f>IF(JR$221,_xll.ciqfunctions.udf.CIQ($G278, "IQ_SHARESOUTSTANDING", JR$222),"--")</f>
        <v>0</v>
      </c>
      <c r="JS278" s="2132">
        <f>IF(JS$221,_xll.ciqfunctions.udf.CIQ($G278, "IQ_SHARESOUTSTANDING", JS$222),"--")</f>
        <v>0</v>
      </c>
      <c r="JT278" s="2132">
        <f>IF(JT$221,_xll.ciqfunctions.udf.CIQ($G278, "IQ_SHARESOUTSTANDING", JT$222),"--")</f>
        <v>0</v>
      </c>
      <c r="JU278" s="2132">
        <f>IF(JU$221,_xll.ciqfunctions.udf.CIQ($G278, "IQ_SHARESOUTSTANDING", JU$222),"--")</f>
        <v>0</v>
      </c>
      <c r="JV278" s="2132">
        <f>IF(JV$221,_xll.ciqfunctions.udf.CIQ($G278, "IQ_SHARESOUTSTANDING", JV$222),"--")</f>
        <v>0</v>
      </c>
      <c r="JW278" s="2132" t="str">
        <f>IF(JW$221,_xll.ciqfunctions.udf.CIQ($G278, "IQ_SHARESOUTSTANDING", JW$222),"--")</f>
        <v>--</v>
      </c>
      <c r="JX278" s="2132" t="str">
        <f>IF(JX$221,_xll.ciqfunctions.udf.CIQ($G278, "IQ_SHARESOUTSTANDING", JX$222),"--")</f>
        <v>--</v>
      </c>
      <c r="JY278" s="2132" t="str">
        <f>IF(JY$221,_xll.ciqfunctions.udf.CIQ($G278, "IQ_SHARESOUTSTANDING", JY$222),"--")</f>
        <v>--</v>
      </c>
      <c r="JZ278" s="2132" t="str">
        <f>IF(JZ$221,_xll.ciqfunctions.udf.CIQ($G278, "IQ_SHARESOUTSTANDING", JZ$222),"--")</f>
        <v>--</v>
      </c>
      <c r="KA278" s="2132" t="str">
        <f>IF(KA$221,_xll.ciqfunctions.udf.CIQ($G278, "IQ_SHARESOUTSTANDING", KA$222),"--")</f>
        <v>--</v>
      </c>
      <c r="KB278" s="2132" t="str">
        <f>IF(KB$221,_xll.ciqfunctions.udf.CIQ($G278, "IQ_SHARESOUTSTANDING", KB$222),"--")</f>
        <v>--</v>
      </c>
    </row>
    <row r="279" spans="1:288" s="89" customFormat="1" ht="13.9">
      <c r="A279" s="269" t="str">
        <f t="shared" si="49"/>
        <v>n</v>
      </c>
      <c r="B279" s="2060"/>
      <c r="D279" s="801"/>
      <c r="E279" s="1505">
        <v>25</v>
      </c>
      <c r="F279" s="21" t="str">
        <f>F$153</f>
        <v>--</v>
      </c>
      <c r="G279" s="1441">
        <f>G$153</f>
        <v>0</v>
      </c>
      <c r="H279" s="1441" t="str">
        <f>H$153</f>
        <v>--</v>
      </c>
      <c r="I279" s="314" t="s">
        <v>783</v>
      </c>
      <c r="J279" s="314"/>
      <c r="K279" s="2301" t="str">
        <f>IF(OR(K216=0,$G279=0),"--",IFERROR(_xll.ciqfunctions.udf.CIQ($G279,$I279,K124,Valuation_Date_GC,ReportType,DataMode,$H279,FXMode)*Scale+K248*Pension10,"--"))</f>
        <v>--</v>
      </c>
      <c r="L279" s="2301" t="str">
        <f>IF(OR(L216=0,$G279=0),"--",IFERROR(_xll.ciqfunctions.udf.CIQ($G279,$I279,L124,Valuation_Date_GC,ReportType,DataMode,$H279,FXMode)*Scale+L248*Pension10,"--"))</f>
        <v>--</v>
      </c>
      <c r="M279" s="2301" t="str">
        <f>IF(OR(M216=0,$G279=0),"--",IFERROR(_xll.ciqfunctions.udf.CIQ($G279,$I279,M124,Valuation_Date_GC,ReportType,DataMode,$H279,FXMode)*Scale+M248*Pension10,"--"))</f>
        <v>--</v>
      </c>
      <c r="N279" s="2301" t="str">
        <f>IF(OR(N216=0,$G279=0),"--",IFERROR(_xll.ciqfunctions.udf.CIQ($G279,$I279,N124,Valuation_Date_GC,ReportType,DataMode,$H279,FXMode)*Scale+N248*Pension10,"--"))</f>
        <v>--</v>
      </c>
      <c r="O279" s="1471" t="str">
        <f>IF(OR(O216=0,$G279=0),"--",IFERROR(_xll.ciqfunctions.udf.CIQ($G279,$I279,O124,Valuation_Date_GC,ReportType,DataMode,$H279,FXMode)*Scale+O248*Pension10,"--"))</f>
        <v>--</v>
      </c>
      <c r="P279" s="2301" t="str">
        <f>IF(OR(P216=0,$G279=0),"--",IFERROR(_xll.ciqfunctions.udf.CIQ($G279,$I279,P124,Valuation_Date_GC,ReportType,DataMode,$H279,FXMode)*Scale+P248*Pension10,"--"))</f>
        <v>--</v>
      </c>
      <c r="R279" s="1466"/>
      <c r="T279" s="1779" t="s">
        <v>784</v>
      </c>
      <c r="U279" s="2132">
        <f>IF(U$221,_xll.ciqfunctions.udf.CIQ($G279, "IQ_SHARESOUTSTANDING", U$222),"--")</f>
        <v>0</v>
      </c>
      <c r="V279" s="2132">
        <f>IF(V$221,_xll.ciqfunctions.udf.CIQ($G279, "IQ_SHARESOUTSTANDING", V$222),"--")</f>
        <v>0</v>
      </c>
      <c r="W279" s="2132">
        <f>IF(W$221,_xll.ciqfunctions.udf.CIQ($G279, "IQ_SHARESOUTSTANDING", W$222),"--")</f>
        <v>0</v>
      </c>
      <c r="X279" s="2132">
        <f>IF(X$221,_xll.ciqfunctions.udf.CIQ($G279, "IQ_SHARESOUTSTANDING", X$222),"--")</f>
        <v>0</v>
      </c>
      <c r="Y279" s="2132">
        <f>IF(Y$221,_xll.ciqfunctions.udf.CIQ($G279, "IQ_SHARESOUTSTANDING", Y$222),"--")</f>
        <v>0</v>
      </c>
      <c r="Z279" s="2132">
        <f>IF(Z$221,_xll.ciqfunctions.udf.CIQ($G279, "IQ_SHARESOUTSTANDING", Z$222),"--")</f>
        <v>0</v>
      </c>
      <c r="AA279" s="2132">
        <f>IF(AA$221,_xll.ciqfunctions.udf.CIQ($G279, "IQ_SHARESOUTSTANDING", AA$222),"--")</f>
        <v>0</v>
      </c>
      <c r="AB279" s="2132">
        <f>IF(AB$221,_xll.ciqfunctions.udf.CIQ($G279, "IQ_SHARESOUTSTANDING", AB$222),"--")</f>
        <v>0</v>
      </c>
      <c r="AC279" s="2132">
        <f>IF(AC$221,_xll.ciqfunctions.udf.CIQ($G279, "IQ_SHARESOUTSTANDING", AC$222),"--")</f>
        <v>0</v>
      </c>
      <c r="AD279" s="2132">
        <f>IF(AD$221,_xll.ciqfunctions.udf.CIQ($G279, "IQ_SHARESOUTSTANDING", AD$222),"--")</f>
        <v>0</v>
      </c>
      <c r="AE279" s="2132">
        <f>IF(AE$221,_xll.ciqfunctions.udf.CIQ($G279, "IQ_SHARESOUTSTANDING", AE$222),"--")</f>
        <v>0</v>
      </c>
      <c r="AF279" s="2132">
        <f>IF(AF$221,_xll.ciqfunctions.udf.CIQ($G279, "IQ_SHARESOUTSTANDING", AF$222),"--")</f>
        <v>0</v>
      </c>
      <c r="AG279" s="2132">
        <f>IF(AG$221,_xll.ciqfunctions.udf.CIQ($G279, "IQ_SHARESOUTSTANDING", AG$222),"--")</f>
        <v>0</v>
      </c>
      <c r="AH279" s="2132">
        <f>IF(AH$221,_xll.ciqfunctions.udf.CIQ($G279, "IQ_SHARESOUTSTANDING", AH$222),"--")</f>
        <v>0</v>
      </c>
      <c r="AI279" s="2132">
        <f>IF(AI$221,_xll.ciqfunctions.udf.CIQ($G279, "IQ_SHARESOUTSTANDING", AI$222),"--")</f>
        <v>0</v>
      </c>
      <c r="AJ279" s="2132">
        <f>IF(AJ$221,_xll.ciqfunctions.udf.CIQ($G279, "IQ_SHARESOUTSTANDING", AJ$222),"--")</f>
        <v>0</v>
      </c>
      <c r="AK279" s="2132">
        <f>IF(AK$221,_xll.ciqfunctions.udf.CIQ($G279, "IQ_SHARESOUTSTANDING", AK$222),"--")</f>
        <v>0</v>
      </c>
      <c r="AL279" s="2132">
        <f>IF(AL$221,_xll.ciqfunctions.udf.CIQ($G279, "IQ_SHARESOUTSTANDING", AL$222),"--")</f>
        <v>0</v>
      </c>
      <c r="AM279" s="2132">
        <f>IF(AM$221,_xll.ciqfunctions.udf.CIQ($G279, "IQ_SHARESOUTSTANDING", AM$222),"--")</f>
        <v>0</v>
      </c>
      <c r="AN279" s="2132">
        <f>IF(AN$221,_xll.ciqfunctions.udf.CIQ($G279, "IQ_SHARESOUTSTANDING", AN$222),"--")</f>
        <v>0</v>
      </c>
      <c r="AO279" s="2132">
        <f>IF(AO$221,_xll.ciqfunctions.udf.CIQ($G279, "IQ_SHARESOUTSTANDING", AO$222),"--")</f>
        <v>0</v>
      </c>
      <c r="AP279" s="2132">
        <f>IF(AP$221,_xll.ciqfunctions.udf.CIQ($G279, "IQ_SHARESOUTSTANDING", AP$222),"--")</f>
        <v>0</v>
      </c>
      <c r="AQ279" s="2132">
        <f>IF(AQ$221,_xll.ciqfunctions.udf.CIQ($G279, "IQ_SHARESOUTSTANDING", AQ$222),"--")</f>
        <v>0</v>
      </c>
      <c r="AR279" s="2132">
        <f>IF(AR$221,_xll.ciqfunctions.udf.CIQ($G279, "IQ_SHARESOUTSTANDING", AR$222),"--")</f>
        <v>0</v>
      </c>
      <c r="AS279" s="2132">
        <f>IF(AS$221,_xll.ciqfunctions.udf.CIQ($G279, "IQ_SHARESOUTSTANDING", AS$222),"--")</f>
        <v>0</v>
      </c>
      <c r="AT279" s="2132">
        <f>IF(AT$221,_xll.ciqfunctions.udf.CIQ($G279, "IQ_SHARESOUTSTANDING", AT$222),"--")</f>
        <v>0</v>
      </c>
      <c r="AU279" s="2132">
        <f>IF(AU$221,_xll.ciqfunctions.udf.CIQ($G279, "IQ_SHARESOUTSTANDING", AU$222),"--")</f>
        <v>0</v>
      </c>
      <c r="AV279" s="2132">
        <f>IF(AV$221,_xll.ciqfunctions.udf.CIQ($G279, "IQ_SHARESOUTSTANDING", AV$222),"--")</f>
        <v>0</v>
      </c>
      <c r="AW279" s="2132">
        <f>IF(AW$221,_xll.ciqfunctions.udf.CIQ($G279, "IQ_SHARESOUTSTANDING", AW$222),"--")</f>
        <v>0</v>
      </c>
      <c r="AX279" s="2132">
        <f>IF(AX$221,_xll.ciqfunctions.udf.CIQ($G279, "IQ_SHARESOUTSTANDING", AX$222),"--")</f>
        <v>0</v>
      </c>
      <c r="AY279" s="2132">
        <f>IF(AY$221,_xll.ciqfunctions.udf.CIQ($G279, "IQ_SHARESOUTSTANDING", AY$222),"--")</f>
        <v>0</v>
      </c>
      <c r="AZ279" s="2132">
        <f>IF(AZ$221,_xll.ciqfunctions.udf.CIQ($G279, "IQ_SHARESOUTSTANDING", AZ$222),"--")</f>
        <v>0</v>
      </c>
      <c r="BA279" s="2132">
        <f>IF(BA$221,_xll.ciqfunctions.udf.CIQ($G279, "IQ_SHARESOUTSTANDING", BA$222),"--")</f>
        <v>0</v>
      </c>
      <c r="BB279" s="2132">
        <f>IF(BB$221,_xll.ciqfunctions.udf.CIQ($G279, "IQ_SHARESOUTSTANDING", BB$222),"--")</f>
        <v>0</v>
      </c>
      <c r="BC279" s="2132">
        <f>IF(BC$221,_xll.ciqfunctions.udf.CIQ($G279, "IQ_SHARESOUTSTANDING", BC$222),"--")</f>
        <v>0</v>
      </c>
      <c r="BD279" s="2132">
        <f>IF(BD$221,_xll.ciqfunctions.udf.CIQ($G279, "IQ_SHARESOUTSTANDING", BD$222),"--")</f>
        <v>0</v>
      </c>
      <c r="BE279" s="2132">
        <f>IF(BE$221,_xll.ciqfunctions.udf.CIQ($G279, "IQ_SHARESOUTSTANDING", BE$222),"--")</f>
        <v>0</v>
      </c>
      <c r="BF279" s="2132">
        <f>IF(BF$221,_xll.ciqfunctions.udf.CIQ($G279, "IQ_SHARESOUTSTANDING", BF$222),"--")</f>
        <v>0</v>
      </c>
      <c r="BG279" s="2132">
        <f>IF(BG$221,_xll.ciqfunctions.udf.CIQ($G279, "IQ_SHARESOUTSTANDING", BG$222),"--")</f>
        <v>0</v>
      </c>
      <c r="BH279" s="2132">
        <f>IF(BH$221,_xll.ciqfunctions.udf.CIQ($G279, "IQ_SHARESOUTSTANDING", BH$222),"--")</f>
        <v>0</v>
      </c>
      <c r="BI279" s="2132">
        <f>IF(BI$221,_xll.ciqfunctions.udf.CIQ($G279, "IQ_SHARESOUTSTANDING", BI$222),"--")</f>
        <v>0</v>
      </c>
      <c r="BJ279" s="2132">
        <f>IF(BJ$221,_xll.ciqfunctions.udf.CIQ($G279, "IQ_SHARESOUTSTANDING", BJ$222),"--")</f>
        <v>0</v>
      </c>
      <c r="BK279" s="2132">
        <f>IF(BK$221,_xll.ciqfunctions.udf.CIQ($G279, "IQ_SHARESOUTSTANDING", BK$222),"--")</f>
        <v>0</v>
      </c>
      <c r="BL279" s="2132">
        <f>IF(BL$221,_xll.ciqfunctions.udf.CIQ($G279, "IQ_SHARESOUTSTANDING", BL$222),"--")</f>
        <v>0</v>
      </c>
      <c r="BM279" s="2132">
        <f>IF(BM$221,_xll.ciqfunctions.udf.CIQ($G279, "IQ_SHARESOUTSTANDING", BM$222),"--")</f>
        <v>0</v>
      </c>
      <c r="BN279" s="2132">
        <f>IF(BN$221,_xll.ciqfunctions.udf.CIQ($G279, "IQ_SHARESOUTSTANDING", BN$222),"--")</f>
        <v>0</v>
      </c>
      <c r="BO279" s="2132">
        <f>IF(BO$221,_xll.ciqfunctions.udf.CIQ($G279, "IQ_SHARESOUTSTANDING", BO$222),"--")</f>
        <v>0</v>
      </c>
      <c r="BP279" s="2132">
        <f>IF(BP$221,_xll.ciqfunctions.udf.CIQ($G279, "IQ_SHARESOUTSTANDING", BP$222),"--")</f>
        <v>0</v>
      </c>
      <c r="BQ279" s="2132">
        <f>IF(BQ$221,_xll.ciqfunctions.udf.CIQ($G279, "IQ_SHARESOUTSTANDING", BQ$222),"--")</f>
        <v>0</v>
      </c>
      <c r="BR279" s="2132">
        <f>IF(BR$221,_xll.ciqfunctions.udf.CIQ($G279, "IQ_SHARESOUTSTANDING", BR$222),"--")</f>
        <v>0</v>
      </c>
      <c r="BS279" s="2132">
        <f>IF(BS$221,_xll.ciqfunctions.udf.CIQ($G279, "IQ_SHARESOUTSTANDING", BS$222),"--")</f>
        <v>0</v>
      </c>
      <c r="BT279" s="2132">
        <f>IF(BT$221,_xll.ciqfunctions.udf.CIQ($G279, "IQ_SHARESOUTSTANDING", BT$222),"--")</f>
        <v>0</v>
      </c>
      <c r="BU279" s="2132">
        <f>IF(BU$221,_xll.ciqfunctions.udf.CIQ($G279, "IQ_SHARESOUTSTANDING", BU$222),"--")</f>
        <v>0</v>
      </c>
      <c r="BV279" s="2132">
        <f>IF(BV$221,_xll.ciqfunctions.udf.CIQ($G279, "IQ_SHARESOUTSTANDING", BV$222),"--")</f>
        <v>0</v>
      </c>
      <c r="BW279" s="2132">
        <f>IF(BW$221,_xll.ciqfunctions.udf.CIQ($G279, "IQ_SHARESOUTSTANDING", BW$222),"--")</f>
        <v>0</v>
      </c>
      <c r="BX279" s="2132">
        <f>IF(BX$221,_xll.ciqfunctions.udf.CIQ($G279, "IQ_SHARESOUTSTANDING", BX$222),"--")</f>
        <v>0</v>
      </c>
      <c r="BY279" s="2132">
        <f>IF(BY$221,_xll.ciqfunctions.udf.CIQ($G279, "IQ_SHARESOUTSTANDING", BY$222),"--")</f>
        <v>0</v>
      </c>
      <c r="BZ279" s="2132">
        <f>IF(BZ$221,_xll.ciqfunctions.udf.CIQ($G279, "IQ_SHARESOUTSTANDING", BZ$222),"--")</f>
        <v>0</v>
      </c>
      <c r="CA279" s="2132">
        <f>IF(CA$221,_xll.ciqfunctions.udf.CIQ($G279, "IQ_SHARESOUTSTANDING", CA$222),"--")</f>
        <v>0</v>
      </c>
      <c r="CB279" s="2132">
        <f>IF(CB$221,_xll.ciqfunctions.udf.CIQ($G279, "IQ_SHARESOUTSTANDING", CB$222),"--")</f>
        <v>0</v>
      </c>
      <c r="CC279" s="2132">
        <f>IF(CC$221,_xll.ciqfunctions.udf.CIQ($G279, "IQ_SHARESOUTSTANDING", CC$222),"--")</f>
        <v>0</v>
      </c>
      <c r="CD279" s="2132">
        <f>IF(CD$221,_xll.ciqfunctions.udf.CIQ($G279, "IQ_SHARESOUTSTANDING", CD$222),"--")</f>
        <v>0</v>
      </c>
      <c r="CE279" s="2132">
        <f>IF(CE$221,_xll.ciqfunctions.udf.CIQ($G279, "IQ_SHARESOUTSTANDING", CE$222),"--")</f>
        <v>0</v>
      </c>
      <c r="CF279" s="2132">
        <f>IF(CF$221,_xll.ciqfunctions.udf.CIQ($G279, "IQ_SHARESOUTSTANDING", CF$222),"--")</f>
        <v>0</v>
      </c>
      <c r="CG279" s="2132">
        <f>IF(CG$221,_xll.ciqfunctions.udf.CIQ($G279, "IQ_SHARESOUTSTANDING", CG$222),"--")</f>
        <v>0</v>
      </c>
      <c r="CH279" s="2132">
        <f>IF(CH$221,_xll.ciqfunctions.udf.CIQ($G279, "IQ_SHARESOUTSTANDING", CH$222),"--")</f>
        <v>0</v>
      </c>
      <c r="CI279" s="2132">
        <f>IF(CI$221,_xll.ciqfunctions.udf.CIQ($G279, "IQ_SHARESOUTSTANDING", CI$222),"--")</f>
        <v>0</v>
      </c>
      <c r="CJ279" s="2132">
        <f>IF(CJ$221,_xll.ciqfunctions.udf.CIQ($G279, "IQ_SHARESOUTSTANDING", CJ$222),"--")</f>
        <v>0</v>
      </c>
      <c r="CK279" s="2132">
        <f>IF(CK$221,_xll.ciqfunctions.udf.CIQ($G279, "IQ_SHARESOUTSTANDING", CK$222),"--")</f>
        <v>0</v>
      </c>
      <c r="CL279" s="2132">
        <f>IF(CL$221,_xll.ciqfunctions.udf.CIQ($G279, "IQ_SHARESOUTSTANDING", CL$222),"--")</f>
        <v>0</v>
      </c>
      <c r="CM279" s="2132">
        <f>IF(CM$221,_xll.ciqfunctions.udf.CIQ($G279, "IQ_SHARESOUTSTANDING", CM$222),"--")</f>
        <v>0</v>
      </c>
      <c r="CN279" s="2132">
        <f>IF(CN$221,_xll.ciqfunctions.udf.CIQ($G279, "IQ_SHARESOUTSTANDING", CN$222),"--")</f>
        <v>0</v>
      </c>
      <c r="CO279" s="2132">
        <f>IF(CO$221,_xll.ciqfunctions.udf.CIQ($G279, "IQ_SHARESOUTSTANDING", CO$222),"--")</f>
        <v>0</v>
      </c>
      <c r="CP279" s="2132">
        <f>IF(CP$221,_xll.ciqfunctions.udf.CIQ($G279, "IQ_SHARESOUTSTANDING", CP$222),"--")</f>
        <v>0</v>
      </c>
      <c r="CQ279" s="2132">
        <f>IF(CQ$221,_xll.ciqfunctions.udf.CIQ($G279, "IQ_SHARESOUTSTANDING", CQ$222),"--")</f>
        <v>0</v>
      </c>
      <c r="CR279" s="2132">
        <f>IF(CR$221,_xll.ciqfunctions.udf.CIQ($G279, "IQ_SHARESOUTSTANDING", CR$222),"--")</f>
        <v>0</v>
      </c>
      <c r="CS279" s="2132">
        <f>IF(CS$221,_xll.ciqfunctions.udf.CIQ($G279, "IQ_SHARESOUTSTANDING", CS$222),"--")</f>
        <v>0</v>
      </c>
      <c r="CT279" s="2132">
        <f>IF(CT$221,_xll.ciqfunctions.udf.CIQ($G279, "IQ_SHARESOUTSTANDING", CT$222),"--")</f>
        <v>0</v>
      </c>
      <c r="CU279" s="2132">
        <f>IF(CU$221,_xll.ciqfunctions.udf.CIQ($G279, "IQ_SHARESOUTSTANDING", CU$222),"--")</f>
        <v>0</v>
      </c>
      <c r="CV279" s="2132">
        <f>IF(CV$221,_xll.ciqfunctions.udf.CIQ($G279, "IQ_SHARESOUTSTANDING", CV$222),"--")</f>
        <v>0</v>
      </c>
      <c r="CW279" s="2132">
        <f>IF(CW$221,_xll.ciqfunctions.udf.CIQ($G279, "IQ_SHARESOUTSTANDING", CW$222),"--")</f>
        <v>0</v>
      </c>
      <c r="CX279" s="2132">
        <f>IF(CX$221,_xll.ciqfunctions.udf.CIQ($G279, "IQ_SHARESOUTSTANDING", CX$222),"--")</f>
        <v>0</v>
      </c>
      <c r="CY279" s="2132">
        <f>IF(CY$221,_xll.ciqfunctions.udf.CIQ($G279, "IQ_SHARESOUTSTANDING", CY$222),"--")</f>
        <v>0</v>
      </c>
      <c r="CZ279" s="2132">
        <f>IF(CZ$221,_xll.ciqfunctions.udf.CIQ($G279, "IQ_SHARESOUTSTANDING", CZ$222),"--")</f>
        <v>0</v>
      </c>
      <c r="DA279" s="2132">
        <f>IF(DA$221,_xll.ciqfunctions.udf.CIQ($G279, "IQ_SHARESOUTSTANDING", DA$222),"--")</f>
        <v>0</v>
      </c>
      <c r="DB279" s="2132">
        <f>IF(DB$221,_xll.ciqfunctions.udf.CIQ($G279, "IQ_SHARESOUTSTANDING", DB$222),"--")</f>
        <v>0</v>
      </c>
      <c r="DC279" s="2132">
        <f>IF(DC$221,_xll.ciqfunctions.udf.CIQ($G279, "IQ_SHARESOUTSTANDING", DC$222),"--")</f>
        <v>0</v>
      </c>
      <c r="DD279" s="2132">
        <f>IF(DD$221,_xll.ciqfunctions.udf.CIQ($G279, "IQ_SHARESOUTSTANDING", DD$222),"--")</f>
        <v>0</v>
      </c>
      <c r="DE279" s="2132">
        <f>IF(DE$221,_xll.ciqfunctions.udf.CIQ($G279, "IQ_SHARESOUTSTANDING", DE$222),"--")</f>
        <v>0</v>
      </c>
      <c r="DF279" s="2132">
        <f>IF(DF$221,_xll.ciqfunctions.udf.CIQ($G279, "IQ_SHARESOUTSTANDING", DF$222),"--")</f>
        <v>0</v>
      </c>
      <c r="DG279" s="2132">
        <f>IF(DG$221,_xll.ciqfunctions.udf.CIQ($G279, "IQ_SHARESOUTSTANDING", DG$222),"--")</f>
        <v>0</v>
      </c>
      <c r="DH279" s="2132">
        <f>IF(DH$221,_xll.ciqfunctions.udf.CIQ($G279, "IQ_SHARESOUTSTANDING", DH$222),"--")</f>
        <v>0</v>
      </c>
      <c r="DI279" s="2132">
        <f>IF(DI$221,_xll.ciqfunctions.udf.CIQ($G279, "IQ_SHARESOUTSTANDING", DI$222),"--")</f>
        <v>0</v>
      </c>
      <c r="DJ279" s="2132">
        <f>IF(DJ$221,_xll.ciqfunctions.udf.CIQ($G279, "IQ_SHARESOUTSTANDING", DJ$222),"--")</f>
        <v>0</v>
      </c>
      <c r="DK279" s="2132">
        <f>IF(DK$221,_xll.ciqfunctions.udf.CIQ($G279, "IQ_SHARESOUTSTANDING", DK$222),"--")</f>
        <v>0</v>
      </c>
      <c r="DL279" s="2132">
        <f>IF(DL$221,_xll.ciqfunctions.udf.CIQ($G279, "IQ_SHARESOUTSTANDING", DL$222),"--")</f>
        <v>0</v>
      </c>
      <c r="DM279" s="2132">
        <f>IF(DM$221,_xll.ciqfunctions.udf.CIQ($G279, "IQ_SHARESOUTSTANDING", DM$222),"--")</f>
        <v>0</v>
      </c>
      <c r="DN279" s="2132">
        <f>IF(DN$221,_xll.ciqfunctions.udf.CIQ($G279, "IQ_SHARESOUTSTANDING", DN$222),"--")</f>
        <v>0</v>
      </c>
      <c r="DO279" s="2132">
        <f>IF(DO$221,_xll.ciqfunctions.udf.CIQ($G279, "IQ_SHARESOUTSTANDING", DO$222),"--")</f>
        <v>0</v>
      </c>
      <c r="DP279" s="2132">
        <f>IF(DP$221,_xll.ciqfunctions.udf.CIQ($G279, "IQ_SHARESOUTSTANDING", DP$222),"--")</f>
        <v>0</v>
      </c>
      <c r="DQ279" s="2132">
        <f>IF(DQ$221,_xll.ciqfunctions.udf.CIQ($G279, "IQ_SHARESOUTSTANDING", DQ$222),"--")</f>
        <v>0</v>
      </c>
      <c r="DR279" s="2132">
        <f>IF(DR$221,_xll.ciqfunctions.udf.CIQ($G279, "IQ_SHARESOUTSTANDING", DR$222),"--")</f>
        <v>0</v>
      </c>
      <c r="DS279" s="2132">
        <f>IF(DS$221,_xll.ciqfunctions.udf.CIQ($G279, "IQ_SHARESOUTSTANDING", DS$222),"--")</f>
        <v>0</v>
      </c>
      <c r="DT279" s="2132">
        <f>IF(DT$221,_xll.ciqfunctions.udf.CIQ($G279, "IQ_SHARESOUTSTANDING", DT$222),"--")</f>
        <v>0</v>
      </c>
      <c r="DU279" s="2132">
        <f>IF(DU$221,_xll.ciqfunctions.udf.CIQ($G279, "IQ_SHARESOUTSTANDING", DU$222),"--")</f>
        <v>0</v>
      </c>
      <c r="DV279" s="2132">
        <f>IF(DV$221,_xll.ciqfunctions.udf.CIQ($G279, "IQ_SHARESOUTSTANDING", DV$222),"--")</f>
        <v>0</v>
      </c>
      <c r="DW279" s="2132">
        <f>IF(DW$221,_xll.ciqfunctions.udf.CIQ($G279, "IQ_SHARESOUTSTANDING", DW$222),"--")</f>
        <v>0</v>
      </c>
      <c r="DX279" s="2132">
        <f>IF(DX$221,_xll.ciqfunctions.udf.CIQ($G279, "IQ_SHARESOUTSTANDING", DX$222),"--")</f>
        <v>0</v>
      </c>
      <c r="DY279" s="2132">
        <f>IF(DY$221,_xll.ciqfunctions.udf.CIQ($G279, "IQ_SHARESOUTSTANDING", DY$222),"--")</f>
        <v>0</v>
      </c>
      <c r="DZ279" s="2132">
        <f>IF(DZ$221,_xll.ciqfunctions.udf.CIQ($G279, "IQ_SHARESOUTSTANDING", DZ$222),"--")</f>
        <v>0</v>
      </c>
      <c r="EA279" s="2132">
        <f>IF(EA$221,_xll.ciqfunctions.udf.CIQ($G279, "IQ_SHARESOUTSTANDING", EA$222),"--")</f>
        <v>0</v>
      </c>
      <c r="EB279" s="2132">
        <f>IF(EB$221,_xll.ciqfunctions.udf.CIQ($G279, "IQ_SHARESOUTSTANDING", EB$222),"--")</f>
        <v>0</v>
      </c>
      <c r="EC279" s="2132">
        <f>IF(EC$221,_xll.ciqfunctions.udf.CIQ($G279, "IQ_SHARESOUTSTANDING", EC$222),"--")</f>
        <v>0</v>
      </c>
      <c r="ED279" s="2132">
        <f>IF(ED$221,_xll.ciqfunctions.udf.CIQ($G279, "IQ_SHARESOUTSTANDING", ED$222),"--")</f>
        <v>0</v>
      </c>
      <c r="EE279" s="2132">
        <f>IF(EE$221,_xll.ciqfunctions.udf.CIQ($G279, "IQ_SHARESOUTSTANDING", EE$222),"--")</f>
        <v>0</v>
      </c>
      <c r="EF279" s="2132">
        <f>IF(EF$221,_xll.ciqfunctions.udf.CIQ($G279, "IQ_SHARESOUTSTANDING", EF$222),"--")</f>
        <v>0</v>
      </c>
      <c r="EG279" s="2132">
        <f>IF(EG$221,_xll.ciqfunctions.udf.CIQ($G279, "IQ_SHARESOUTSTANDING", EG$222),"--")</f>
        <v>0</v>
      </c>
      <c r="EH279" s="2132">
        <f>IF(EH$221,_xll.ciqfunctions.udf.CIQ($G279, "IQ_SHARESOUTSTANDING", EH$222),"--")</f>
        <v>0</v>
      </c>
      <c r="EI279" s="2132">
        <f>IF(EI$221,_xll.ciqfunctions.udf.CIQ($G279, "IQ_SHARESOUTSTANDING", EI$222),"--")</f>
        <v>0</v>
      </c>
      <c r="EJ279" s="2132">
        <f>IF(EJ$221,_xll.ciqfunctions.udf.CIQ($G279, "IQ_SHARESOUTSTANDING", EJ$222),"--")</f>
        <v>0</v>
      </c>
      <c r="EK279" s="2132">
        <f>IF(EK$221,_xll.ciqfunctions.udf.CIQ($G279, "IQ_SHARESOUTSTANDING", EK$222),"--")</f>
        <v>0</v>
      </c>
      <c r="EL279" s="2132">
        <f>IF(EL$221,_xll.ciqfunctions.udf.CIQ($G279, "IQ_SHARESOUTSTANDING", EL$222),"--")</f>
        <v>0</v>
      </c>
      <c r="EM279" s="2132">
        <f>IF(EM$221,_xll.ciqfunctions.udf.CIQ($G279, "IQ_SHARESOUTSTANDING", EM$222),"--")</f>
        <v>0</v>
      </c>
      <c r="EN279" s="2132">
        <f>IF(EN$221,_xll.ciqfunctions.udf.CIQ($G279, "IQ_SHARESOUTSTANDING", EN$222),"--")</f>
        <v>0</v>
      </c>
      <c r="EO279" s="2132">
        <f>IF(EO$221,_xll.ciqfunctions.udf.CIQ($G279, "IQ_SHARESOUTSTANDING", EO$222),"--")</f>
        <v>0</v>
      </c>
      <c r="EP279" s="2132">
        <f>IF(EP$221,_xll.ciqfunctions.udf.CIQ($G279, "IQ_SHARESOUTSTANDING", EP$222),"--")</f>
        <v>0</v>
      </c>
      <c r="EQ279" s="2132">
        <f>IF(EQ$221,_xll.ciqfunctions.udf.CIQ($G279, "IQ_SHARESOUTSTANDING", EQ$222),"--")</f>
        <v>0</v>
      </c>
      <c r="ER279" s="2132">
        <f>IF(ER$221,_xll.ciqfunctions.udf.CIQ($G279, "IQ_SHARESOUTSTANDING", ER$222),"--")</f>
        <v>0</v>
      </c>
      <c r="ES279" s="2132">
        <f>IF(ES$221,_xll.ciqfunctions.udf.CIQ($G279, "IQ_SHARESOUTSTANDING", ES$222),"--")</f>
        <v>0</v>
      </c>
      <c r="ET279" s="2132">
        <f>IF(ET$221,_xll.ciqfunctions.udf.CIQ($G279, "IQ_SHARESOUTSTANDING", ET$222),"--")</f>
        <v>0</v>
      </c>
      <c r="EU279" s="2132">
        <f>IF(EU$221,_xll.ciqfunctions.udf.CIQ($G279, "IQ_SHARESOUTSTANDING", EU$222),"--")</f>
        <v>0</v>
      </c>
      <c r="EV279" s="2132">
        <f>IF(EV$221,_xll.ciqfunctions.udf.CIQ($G279, "IQ_SHARESOUTSTANDING", EV$222),"--")</f>
        <v>0</v>
      </c>
      <c r="EW279" s="2132">
        <f>IF(EW$221,_xll.ciqfunctions.udf.CIQ($G279, "IQ_SHARESOUTSTANDING", EW$222),"--")</f>
        <v>0</v>
      </c>
      <c r="EX279" s="2132">
        <f>IF(EX$221,_xll.ciqfunctions.udf.CIQ($G279, "IQ_SHARESOUTSTANDING", EX$222),"--")</f>
        <v>0</v>
      </c>
      <c r="EY279" s="2132">
        <f>IF(EY$221,_xll.ciqfunctions.udf.CIQ($G279, "IQ_SHARESOUTSTANDING", EY$222),"--")</f>
        <v>0</v>
      </c>
      <c r="EZ279" s="2132">
        <f>IF(EZ$221,_xll.ciqfunctions.udf.CIQ($G279, "IQ_SHARESOUTSTANDING", EZ$222),"--")</f>
        <v>0</v>
      </c>
      <c r="FA279" s="2132">
        <f>IF(FA$221,_xll.ciqfunctions.udf.CIQ($G279, "IQ_SHARESOUTSTANDING", FA$222),"--")</f>
        <v>0</v>
      </c>
      <c r="FB279" s="2132">
        <f>IF(FB$221,_xll.ciqfunctions.udf.CIQ($G279, "IQ_SHARESOUTSTANDING", FB$222),"--")</f>
        <v>0</v>
      </c>
      <c r="FC279" s="2132">
        <f>IF(FC$221,_xll.ciqfunctions.udf.CIQ($G279, "IQ_SHARESOUTSTANDING", FC$222),"--")</f>
        <v>0</v>
      </c>
      <c r="FD279" s="2132">
        <f>IF(FD$221,_xll.ciqfunctions.udf.CIQ($G279, "IQ_SHARESOUTSTANDING", FD$222),"--")</f>
        <v>0</v>
      </c>
      <c r="FE279" s="2132">
        <f>IF(FE$221,_xll.ciqfunctions.udf.CIQ($G279, "IQ_SHARESOUTSTANDING", FE$222),"--")</f>
        <v>0</v>
      </c>
      <c r="FF279" s="2132">
        <f>IF(FF$221,_xll.ciqfunctions.udf.CIQ($G279, "IQ_SHARESOUTSTANDING", FF$222),"--")</f>
        <v>0</v>
      </c>
      <c r="FG279" s="2132">
        <f>IF(FG$221,_xll.ciqfunctions.udf.CIQ($G279, "IQ_SHARESOUTSTANDING", FG$222),"--")</f>
        <v>0</v>
      </c>
      <c r="FH279" s="2132">
        <f>IF(FH$221,_xll.ciqfunctions.udf.CIQ($G279, "IQ_SHARESOUTSTANDING", FH$222),"--")</f>
        <v>0</v>
      </c>
      <c r="FI279" s="2132">
        <f>IF(FI$221,_xll.ciqfunctions.udf.CIQ($G279, "IQ_SHARESOUTSTANDING", FI$222),"--")</f>
        <v>0</v>
      </c>
      <c r="FJ279" s="2132">
        <f>IF(FJ$221,_xll.ciqfunctions.udf.CIQ($G279, "IQ_SHARESOUTSTANDING", FJ$222),"--")</f>
        <v>0</v>
      </c>
      <c r="FK279" s="2132">
        <f>IF(FK$221,_xll.ciqfunctions.udf.CIQ($G279, "IQ_SHARESOUTSTANDING", FK$222),"--")</f>
        <v>0</v>
      </c>
      <c r="FL279" s="2132">
        <f>IF(FL$221,_xll.ciqfunctions.udf.CIQ($G279, "IQ_SHARESOUTSTANDING", FL$222),"--")</f>
        <v>0</v>
      </c>
      <c r="FM279" s="2132">
        <f>IF(FM$221,_xll.ciqfunctions.udf.CIQ($G279, "IQ_SHARESOUTSTANDING", FM$222),"--")</f>
        <v>0</v>
      </c>
      <c r="FN279" s="2132">
        <f>IF(FN$221,_xll.ciqfunctions.udf.CIQ($G279, "IQ_SHARESOUTSTANDING", FN$222),"--")</f>
        <v>0</v>
      </c>
      <c r="FO279" s="2132">
        <f>IF(FO$221,_xll.ciqfunctions.udf.CIQ($G279, "IQ_SHARESOUTSTANDING", FO$222),"--")</f>
        <v>0</v>
      </c>
      <c r="FP279" s="2132">
        <f>IF(FP$221,_xll.ciqfunctions.udf.CIQ($G279, "IQ_SHARESOUTSTANDING", FP$222),"--")</f>
        <v>0</v>
      </c>
      <c r="FQ279" s="2132">
        <f>IF(FQ$221,_xll.ciqfunctions.udf.CIQ($G279, "IQ_SHARESOUTSTANDING", FQ$222),"--")</f>
        <v>0</v>
      </c>
      <c r="FR279" s="2132">
        <f>IF(FR$221,_xll.ciqfunctions.udf.CIQ($G279, "IQ_SHARESOUTSTANDING", FR$222),"--")</f>
        <v>0</v>
      </c>
      <c r="FS279" s="2132">
        <f>IF(FS$221,_xll.ciqfunctions.udf.CIQ($G279, "IQ_SHARESOUTSTANDING", FS$222),"--")</f>
        <v>0</v>
      </c>
      <c r="FT279" s="2132">
        <f>IF(FT$221,_xll.ciqfunctions.udf.CIQ($G279, "IQ_SHARESOUTSTANDING", FT$222),"--")</f>
        <v>0</v>
      </c>
      <c r="FU279" s="2132">
        <f>IF(FU$221,_xll.ciqfunctions.udf.CIQ($G279, "IQ_SHARESOUTSTANDING", FU$222),"--")</f>
        <v>0</v>
      </c>
      <c r="FV279" s="2132">
        <f>IF(FV$221,_xll.ciqfunctions.udf.CIQ($G279, "IQ_SHARESOUTSTANDING", FV$222),"--")</f>
        <v>0</v>
      </c>
      <c r="FW279" s="2132">
        <f>IF(FW$221,_xll.ciqfunctions.udf.CIQ($G279, "IQ_SHARESOUTSTANDING", FW$222),"--")</f>
        <v>0</v>
      </c>
      <c r="FX279" s="2132">
        <f>IF(FX$221,_xll.ciqfunctions.udf.CIQ($G279, "IQ_SHARESOUTSTANDING", FX$222),"--")</f>
        <v>0</v>
      </c>
      <c r="FY279" s="2132">
        <f>IF(FY$221,_xll.ciqfunctions.udf.CIQ($G279, "IQ_SHARESOUTSTANDING", FY$222),"--")</f>
        <v>0</v>
      </c>
      <c r="FZ279" s="2132">
        <f>IF(FZ$221,_xll.ciqfunctions.udf.CIQ($G279, "IQ_SHARESOUTSTANDING", FZ$222),"--")</f>
        <v>0</v>
      </c>
      <c r="GA279" s="2132">
        <f>IF(GA$221,_xll.ciqfunctions.udf.CIQ($G279, "IQ_SHARESOUTSTANDING", GA$222),"--")</f>
        <v>0</v>
      </c>
      <c r="GB279" s="2132">
        <f>IF(GB$221,_xll.ciqfunctions.udf.CIQ($G279, "IQ_SHARESOUTSTANDING", GB$222),"--")</f>
        <v>0</v>
      </c>
      <c r="GC279" s="2132">
        <f>IF(GC$221,_xll.ciqfunctions.udf.CIQ($G279, "IQ_SHARESOUTSTANDING", GC$222),"--")</f>
        <v>0</v>
      </c>
      <c r="GD279" s="2132">
        <f>IF(GD$221,_xll.ciqfunctions.udf.CIQ($G279, "IQ_SHARESOUTSTANDING", GD$222),"--")</f>
        <v>0</v>
      </c>
      <c r="GE279" s="2132">
        <f>IF(GE$221,_xll.ciqfunctions.udf.CIQ($G279, "IQ_SHARESOUTSTANDING", GE$222),"--")</f>
        <v>0</v>
      </c>
      <c r="GF279" s="2132">
        <f>IF(GF$221,_xll.ciqfunctions.udf.CIQ($G279, "IQ_SHARESOUTSTANDING", GF$222),"--")</f>
        <v>0</v>
      </c>
      <c r="GG279" s="2132">
        <f>IF(GG$221,_xll.ciqfunctions.udf.CIQ($G279, "IQ_SHARESOUTSTANDING", GG$222),"--")</f>
        <v>0</v>
      </c>
      <c r="GH279" s="2132">
        <f>IF(GH$221,_xll.ciqfunctions.udf.CIQ($G279, "IQ_SHARESOUTSTANDING", GH$222),"--")</f>
        <v>0</v>
      </c>
      <c r="GI279" s="2132">
        <f>IF(GI$221,_xll.ciqfunctions.udf.CIQ($G279, "IQ_SHARESOUTSTANDING", GI$222),"--")</f>
        <v>0</v>
      </c>
      <c r="GJ279" s="2132">
        <f>IF(GJ$221,_xll.ciqfunctions.udf.CIQ($G279, "IQ_SHARESOUTSTANDING", GJ$222),"--")</f>
        <v>0</v>
      </c>
      <c r="GK279" s="2132">
        <f>IF(GK$221,_xll.ciqfunctions.udf.CIQ($G279, "IQ_SHARESOUTSTANDING", GK$222),"--")</f>
        <v>0</v>
      </c>
      <c r="GL279" s="2132">
        <f>IF(GL$221,_xll.ciqfunctions.udf.CIQ($G279, "IQ_SHARESOUTSTANDING", GL$222),"--")</f>
        <v>0</v>
      </c>
      <c r="GM279" s="2132">
        <f>IF(GM$221,_xll.ciqfunctions.udf.CIQ($G279, "IQ_SHARESOUTSTANDING", GM$222),"--")</f>
        <v>0</v>
      </c>
      <c r="GN279" s="2132">
        <f>IF(GN$221,_xll.ciqfunctions.udf.CIQ($G279, "IQ_SHARESOUTSTANDING", GN$222),"--")</f>
        <v>0</v>
      </c>
      <c r="GO279" s="2132">
        <f>IF(GO$221,_xll.ciqfunctions.udf.CIQ($G279, "IQ_SHARESOUTSTANDING", GO$222),"--")</f>
        <v>0</v>
      </c>
      <c r="GP279" s="2132">
        <f>IF(GP$221,_xll.ciqfunctions.udf.CIQ($G279, "IQ_SHARESOUTSTANDING", GP$222),"--")</f>
        <v>0</v>
      </c>
      <c r="GQ279" s="2132">
        <f>IF(GQ$221,_xll.ciqfunctions.udf.CIQ($G279, "IQ_SHARESOUTSTANDING", GQ$222),"--")</f>
        <v>0</v>
      </c>
      <c r="GR279" s="2132">
        <f>IF(GR$221,_xll.ciqfunctions.udf.CIQ($G279, "IQ_SHARESOUTSTANDING", GR$222),"--")</f>
        <v>0</v>
      </c>
      <c r="GS279" s="2132">
        <f>IF(GS$221,_xll.ciqfunctions.udf.CIQ($G279, "IQ_SHARESOUTSTANDING", GS$222),"--")</f>
        <v>0</v>
      </c>
      <c r="GT279" s="2132">
        <f>IF(GT$221,_xll.ciqfunctions.udf.CIQ($G279, "IQ_SHARESOUTSTANDING", GT$222),"--")</f>
        <v>0</v>
      </c>
      <c r="GU279" s="2132">
        <f>IF(GU$221,_xll.ciqfunctions.udf.CIQ($G279, "IQ_SHARESOUTSTANDING", GU$222),"--")</f>
        <v>0</v>
      </c>
      <c r="GV279" s="2132">
        <f>IF(GV$221,_xll.ciqfunctions.udf.CIQ($G279, "IQ_SHARESOUTSTANDING", GV$222),"--")</f>
        <v>0</v>
      </c>
      <c r="GW279" s="2132">
        <f>IF(GW$221,_xll.ciqfunctions.udf.CIQ($G279, "IQ_SHARESOUTSTANDING", GW$222),"--")</f>
        <v>0</v>
      </c>
      <c r="GX279" s="2132">
        <f>IF(GX$221,_xll.ciqfunctions.udf.CIQ($G279, "IQ_SHARESOUTSTANDING", GX$222),"--")</f>
        <v>0</v>
      </c>
      <c r="GY279" s="2132">
        <f>IF(GY$221,_xll.ciqfunctions.udf.CIQ($G279, "IQ_SHARESOUTSTANDING", GY$222),"--")</f>
        <v>0</v>
      </c>
      <c r="GZ279" s="2132">
        <f>IF(GZ$221,_xll.ciqfunctions.udf.CIQ($G279, "IQ_SHARESOUTSTANDING", GZ$222),"--")</f>
        <v>0</v>
      </c>
      <c r="HA279" s="2132">
        <f>IF(HA$221,_xll.ciqfunctions.udf.CIQ($G279, "IQ_SHARESOUTSTANDING", HA$222),"--")</f>
        <v>0</v>
      </c>
      <c r="HB279" s="2132">
        <f>IF(HB$221,_xll.ciqfunctions.udf.CIQ($G279, "IQ_SHARESOUTSTANDING", HB$222),"--")</f>
        <v>0</v>
      </c>
      <c r="HC279" s="2132">
        <f>IF(HC$221,_xll.ciqfunctions.udf.CIQ($G279, "IQ_SHARESOUTSTANDING", HC$222),"--")</f>
        <v>0</v>
      </c>
      <c r="HD279" s="2132">
        <f>IF(HD$221,_xll.ciqfunctions.udf.CIQ($G279, "IQ_SHARESOUTSTANDING", HD$222),"--")</f>
        <v>0</v>
      </c>
      <c r="HE279" s="2132">
        <f>IF(HE$221,_xll.ciqfunctions.udf.CIQ($G279, "IQ_SHARESOUTSTANDING", HE$222),"--")</f>
        <v>0</v>
      </c>
      <c r="HF279" s="2132">
        <f>IF(HF$221,_xll.ciqfunctions.udf.CIQ($G279, "IQ_SHARESOUTSTANDING", HF$222),"--")</f>
        <v>0</v>
      </c>
      <c r="HG279" s="2132">
        <f>IF(HG$221,_xll.ciqfunctions.udf.CIQ($G279, "IQ_SHARESOUTSTANDING", HG$222),"--")</f>
        <v>0</v>
      </c>
      <c r="HH279" s="2132">
        <f>IF(HH$221,_xll.ciqfunctions.udf.CIQ($G279, "IQ_SHARESOUTSTANDING", HH$222),"--")</f>
        <v>0</v>
      </c>
      <c r="HI279" s="2132">
        <f>IF(HI$221,_xll.ciqfunctions.udf.CIQ($G279, "IQ_SHARESOUTSTANDING", HI$222),"--")</f>
        <v>0</v>
      </c>
      <c r="HJ279" s="2132">
        <f>IF(HJ$221,_xll.ciqfunctions.udf.CIQ($G279, "IQ_SHARESOUTSTANDING", HJ$222),"--")</f>
        <v>0</v>
      </c>
      <c r="HK279" s="2132">
        <f>IF(HK$221,_xll.ciqfunctions.udf.CIQ($G279, "IQ_SHARESOUTSTANDING", HK$222),"--")</f>
        <v>0</v>
      </c>
      <c r="HL279" s="2132">
        <f>IF(HL$221,_xll.ciqfunctions.udf.CIQ($G279, "IQ_SHARESOUTSTANDING", HL$222),"--")</f>
        <v>0</v>
      </c>
      <c r="HM279" s="2132">
        <f>IF(HM$221,_xll.ciqfunctions.udf.CIQ($G279, "IQ_SHARESOUTSTANDING", HM$222),"--")</f>
        <v>0</v>
      </c>
      <c r="HN279" s="2132">
        <f>IF(HN$221,_xll.ciqfunctions.udf.CIQ($G279, "IQ_SHARESOUTSTANDING", HN$222),"--")</f>
        <v>0</v>
      </c>
      <c r="HO279" s="2132">
        <f>IF(HO$221,_xll.ciqfunctions.udf.CIQ($G279, "IQ_SHARESOUTSTANDING", HO$222),"--")</f>
        <v>0</v>
      </c>
      <c r="HP279" s="2132">
        <f>IF(HP$221,_xll.ciqfunctions.udf.CIQ($G279, "IQ_SHARESOUTSTANDING", HP$222),"--")</f>
        <v>0</v>
      </c>
      <c r="HQ279" s="2132">
        <f>IF(HQ$221,_xll.ciqfunctions.udf.CIQ($G279, "IQ_SHARESOUTSTANDING", HQ$222),"--")</f>
        <v>0</v>
      </c>
      <c r="HR279" s="2132">
        <f>IF(HR$221,_xll.ciqfunctions.udf.CIQ($G279, "IQ_SHARESOUTSTANDING", HR$222),"--")</f>
        <v>0</v>
      </c>
      <c r="HS279" s="2132">
        <f>IF(HS$221,_xll.ciqfunctions.udf.CIQ($G279, "IQ_SHARESOUTSTANDING", HS$222),"--")</f>
        <v>0</v>
      </c>
      <c r="HT279" s="2132">
        <f>IF(HT$221,_xll.ciqfunctions.udf.CIQ($G279, "IQ_SHARESOUTSTANDING", HT$222),"--")</f>
        <v>0</v>
      </c>
      <c r="HU279" s="2132">
        <f>IF(HU$221,_xll.ciqfunctions.udf.CIQ($G279, "IQ_SHARESOUTSTANDING", HU$222),"--")</f>
        <v>0</v>
      </c>
      <c r="HV279" s="2132">
        <f>IF(HV$221,_xll.ciqfunctions.udf.CIQ($G279, "IQ_SHARESOUTSTANDING", HV$222),"--")</f>
        <v>0</v>
      </c>
      <c r="HW279" s="2132">
        <f>IF(HW$221,_xll.ciqfunctions.udf.CIQ($G279, "IQ_SHARESOUTSTANDING", HW$222),"--")</f>
        <v>0</v>
      </c>
      <c r="HX279" s="2132">
        <f>IF(HX$221,_xll.ciqfunctions.udf.CIQ($G279, "IQ_SHARESOUTSTANDING", HX$222),"--")</f>
        <v>0</v>
      </c>
      <c r="HY279" s="2132">
        <f>IF(HY$221,_xll.ciqfunctions.udf.CIQ($G279, "IQ_SHARESOUTSTANDING", HY$222),"--")</f>
        <v>0</v>
      </c>
      <c r="HZ279" s="2132">
        <f>IF(HZ$221,_xll.ciqfunctions.udf.CIQ($G279, "IQ_SHARESOUTSTANDING", HZ$222),"--")</f>
        <v>0</v>
      </c>
      <c r="IA279" s="2132">
        <f>IF(IA$221,_xll.ciqfunctions.udf.CIQ($G279, "IQ_SHARESOUTSTANDING", IA$222),"--")</f>
        <v>0</v>
      </c>
      <c r="IB279" s="2132">
        <f>IF(IB$221,_xll.ciqfunctions.udf.CIQ($G279, "IQ_SHARESOUTSTANDING", IB$222),"--")</f>
        <v>0</v>
      </c>
      <c r="IC279" s="2132">
        <f>IF(IC$221,_xll.ciqfunctions.udf.CIQ($G279, "IQ_SHARESOUTSTANDING", IC$222),"--")</f>
        <v>0</v>
      </c>
      <c r="ID279" s="2132">
        <f>IF(ID$221,_xll.ciqfunctions.udf.CIQ($G279, "IQ_SHARESOUTSTANDING", ID$222),"--")</f>
        <v>0</v>
      </c>
      <c r="IE279" s="2132">
        <f>IF(IE$221,_xll.ciqfunctions.udf.CIQ($G279, "IQ_SHARESOUTSTANDING", IE$222),"--")</f>
        <v>0</v>
      </c>
      <c r="IF279" s="2132">
        <f>IF(IF$221,_xll.ciqfunctions.udf.CIQ($G279, "IQ_SHARESOUTSTANDING", IF$222),"--")</f>
        <v>0</v>
      </c>
      <c r="IG279" s="2132">
        <f>IF(IG$221,_xll.ciqfunctions.udf.CIQ($G279, "IQ_SHARESOUTSTANDING", IG$222),"--")</f>
        <v>0</v>
      </c>
      <c r="IH279" s="2132">
        <f>IF(IH$221,_xll.ciqfunctions.udf.CIQ($G279, "IQ_SHARESOUTSTANDING", IH$222),"--")</f>
        <v>0</v>
      </c>
      <c r="II279" s="2132">
        <f>IF(II$221,_xll.ciqfunctions.udf.CIQ($G279, "IQ_SHARESOUTSTANDING", II$222),"--")</f>
        <v>0</v>
      </c>
      <c r="IJ279" s="2132">
        <f>IF(IJ$221,_xll.ciqfunctions.udf.CIQ($G279, "IQ_SHARESOUTSTANDING", IJ$222),"--")</f>
        <v>0</v>
      </c>
      <c r="IK279" s="2132">
        <f>IF(IK$221,_xll.ciqfunctions.udf.CIQ($G279, "IQ_SHARESOUTSTANDING", IK$222),"--")</f>
        <v>0</v>
      </c>
      <c r="IL279" s="2132">
        <f>IF(IL$221,_xll.ciqfunctions.udf.CIQ($G279, "IQ_SHARESOUTSTANDING", IL$222),"--")</f>
        <v>0</v>
      </c>
      <c r="IM279" s="2132">
        <f>IF(IM$221,_xll.ciqfunctions.udf.CIQ($G279, "IQ_SHARESOUTSTANDING", IM$222),"--")</f>
        <v>0</v>
      </c>
      <c r="IN279" s="2132">
        <f>IF(IN$221,_xll.ciqfunctions.udf.CIQ($G279, "IQ_SHARESOUTSTANDING", IN$222),"--")</f>
        <v>0</v>
      </c>
      <c r="IO279" s="2132">
        <f>IF(IO$221,_xll.ciqfunctions.udf.CIQ($G279, "IQ_SHARESOUTSTANDING", IO$222),"--")</f>
        <v>0</v>
      </c>
      <c r="IP279" s="2132">
        <f>IF(IP$221,_xll.ciqfunctions.udf.CIQ($G279, "IQ_SHARESOUTSTANDING", IP$222),"--")</f>
        <v>0</v>
      </c>
      <c r="IQ279" s="2132">
        <f>IF(IQ$221,_xll.ciqfunctions.udf.CIQ($G279, "IQ_SHARESOUTSTANDING", IQ$222),"--")</f>
        <v>0</v>
      </c>
      <c r="IR279" s="2132">
        <f>IF(IR$221,_xll.ciqfunctions.udf.CIQ($G279, "IQ_SHARESOUTSTANDING", IR$222),"--")</f>
        <v>0</v>
      </c>
      <c r="IS279" s="2132">
        <f>IF(IS$221,_xll.ciqfunctions.udf.CIQ($G279, "IQ_SHARESOUTSTANDING", IS$222),"--")</f>
        <v>0</v>
      </c>
      <c r="IT279" s="2132">
        <f>IF(IT$221,_xll.ciqfunctions.udf.CIQ($G279, "IQ_SHARESOUTSTANDING", IT$222),"--")</f>
        <v>0</v>
      </c>
      <c r="IU279" s="2132">
        <f>IF(IU$221,_xll.ciqfunctions.udf.CIQ($G279, "IQ_SHARESOUTSTANDING", IU$222),"--")</f>
        <v>0</v>
      </c>
      <c r="IV279" s="2132">
        <f>IF(IV$221,_xll.ciqfunctions.udf.CIQ($G279, "IQ_SHARESOUTSTANDING", IV$222),"--")</f>
        <v>0</v>
      </c>
      <c r="IW279" s="2132">
        <f>IF(IW$221,_xll.ciqfunctions.udf.CIQ($G279, "IQ_SHARESOUTSTANDING", IW$222),"--")</f>
        <v>0</v>
      </c>
      <c r="IX279" s="2132">
        <f>IF(IX$221,_xll.ciqfunctions.udf.CIQ($G279, "IQ_SHARESOUTSTANDING", IX$222),"--")</f>
        <v>0</v>
      </c>
      <c r="IY279" s="2132">
        <f>IF(IY$221,_xll.ciqfunctions.udf.CIQ($G279, "IQ_SHARESOUTSTANDING", IY$222),"--")</f>
        <v>0</v>
      </c>
      <c r="IZ279" s="2132">
        <f>IF(IZ$221,_xll.ciqfunctions.udf.CIQ($G279, "IQ_SHARESOUTSTANDING", IZ$222),"--")</f>
        <v>0</v>
      </c>
      <c r="JA279" s="2132">
        <f>IF(JA$221,_xll.ciqfunctions.udf.CIQ($G279, "IQ_SHARESOUTSTANDING", JA$222),"--")</f>
        <v>0</v>
      </c>
      <c r="JB279" s="2132">
        <f>IF(JB$221,_xll.ciqfunctions.udf.CIQ($G279, "IQ_SHARESOUTSTANDING", JB$222),"--")</f>
        <v>0</v>
      </c>
      <c r="JC279" s="2132">
        <f>IF(JC$221,_xll.ciqfunctions.udf.CIQ($G279, "IQ_SHARESOUTSTANDING", JC$222),"--")</f>
        <v>0</v>
      </c>
      <c r="JD279" s="2132">
        <f>IF(JD$221,_xll.ciqfunctions.udf.CIQ($G279, "IQ_SHARESOUTSTANDING", JD$222),"--")</f>
        <v>0</v>
      </c>
      <c r="JE279" s="2132">
        <f>IF(JE$221,_xll.ciqfunctions.udf.CIQ($G279, "IQ_SHARESOUTSTANDING", JE$222),"--")</f>
        <v>0</v>
      </c>
      <c r="JF279" s="2132">
        <f>IF(JF$221,_xll.ciqfunctions.udf.CIQ($G279, "IQ_SHARESOUTSTANDING", JF$222),"--")</f>
        <v>0</v>
      </c>
      <c r="JG279" s="2132">
        <f>IF(JG$221,_xll.ciqfunctions.udf.CIQ($G279, "IQ_SHARESOUTSTANDING", JG$222),"--")</f>
        <v>0</v>
      </c>
      <c r="JH279" s="2132">
        <f>IF(JH$221,_xll.ciqfunctions.udf.CIQ($G279, "IQ_SHARESOUTSTANDING", JH$222),"--")</f>
        <v>0</v>
      </c>
      <c r="JI279" s="2132">
        <f>IF(JI$221,_xll.ciqfunctions.udf.CIQ($G279, "IQ_SHARESOUTSTANDING", JI$222),"--")</f>
        <v>0</v>
      </c>
      <c r="JJ279" s="2132">
        <f>IF(JJ$221,_xll.ciqfunctions.udf.CIQ($G279, "IQ_SHARESOUTSTANDING", JJ$222),"--")</f>
        <v>0</v>
      </c>
      <c r="JK279" s="2132">
        <f>IF(JK$221,_xll.ciqfunctions.udf.CIQ($G279, "IQ_SHARESOUTSTANDING", JK$222),"--")</f>
        <v>0</v>
      </c>
      <c r="JL279" s="2132">
        <f>IF(JL$221,_xll.ciqfunctions.udf.CIQ($G279, "IQ_SHARESOUTSTANDING", JL$222),"--")</f>
        <v>0</v>
      </c>
      <c r="JM279" s="2132">
        <f>IF(JM$221,_xll.ciqfunctions.udf.CIQ($G279, "IQ_SHARESOUTSTANDING", JM$222),"--")</f>
        <v>0</v>
      </c>
      <c r="JN279" s="2132">
        <f>IF(JN$221,_xll.ciqfunctions.udf.CIQ($G279, "IQ_SHARESOUTSTANDING", JN$222),"--")</f>
        <v>0</v>
      </c>
      <c r="JO279" s="2132">
        <f>IF(JO$221,_xll.ciqfunctions.udf.CIQ($G279, "IQ_SHARESOUTSTANDING", JO$222),"--")</f>
        <v>0</v>
      </c>
      <c r="JP279" s="2132">
        <f>IF(JP$221,_xll.ciqfunctions.udf.CIQ($G279, "IQ_SHARESOUTSTANDING", JP$222),"--")</f>
        <v>0</v>
      </c>
      <c r="JQ279" s="2132">
        <f>IF(JQ$221,_xll.ciqfunctions.udf.CIQ($G279, "IQ_SHARESOUTSTANDING", JQ$222),"--")</f>
        <v>0</v>
      </c>
      <c r="JR279" s="2132">
        <f>IF(JR$221,_xll.ciqfunctions.udf.CIQ($G279, "IQ_SHARESOUTSTANDING", JR$222),"--")</f>
        <v>0</v>
      </c>
      <c r="JS279" s="2132">
        <f>IF(JS$221,_xll.ciqfunctions.udf.CIQ($G279, "IQ_SHARESOUTSTANDING", JS$222),"--")</f>
        <v>0</v>
      </c>
      <c r="JT279" s="2132">
        <f>IF(JT$221,_xll.ciqfunctions.udf.CIQ($G279, "IQ_SHARESOUTSTANDING", JT$222),"--")</f>
        <v>0</v>
      </c>
      <c r="JU279" s="2132">
        <f>IF(JU$221,_xll.ciqfunctions.udf.CIQ($G279, "IQ_SHARESOUTSTANDING", JU$222),"--")</f>
        <v>0</v>
      </c>
      <c r="JV279" s="2132">
        <f>IF(JV$221,_xll.ciqfunctions.udf.CIQ($G279, "IQ_SHARESOUTSTANDING", JV$222),"--")</f>
        <v>0</v>
      </c>
      <c r="JW279" s="2132" t="str">
        <f>IF(JW$221,_xll.ciqfunctions.udf.CIQ($G279, "IQ_SHARESOUTSTANDING", JW$222),"--")</f>
        <v>--</v>
      </c>
      <c r="JX279" s="2132" t="str">
        <f>IF(JX$221,_xll.ciqfunctions.udf.CIQ($G279, "IQ_SHARESOUTSTANDING", JX$222),"--")</f>
        <v>--</v>
      </c>
      <c r="JY279" s="2132" t="str">
        <f>IF(JY$221,_xll.ciqfunctions.udf.CIQ($G279, "IQ_SHARESOUTSTANDING", JY$222),"--")</f>
        <v>--</v>
      </c>
      <c r="JZ279" s="2132" t="str">
        <f>IF(JZ$221,_xll.ciqfunctions.udf.CIQ($G279, "IQ_SHARESOUTSTANDING", JZ$222),"--")</f>
        <v>--</v>
      </c>
      <c r="KA279" s="2132" t="str">
        <f>IF(KA$221,_xll.ciqfunctions.udf.CIQ($G279, "IQ_SHARESOUTSTANDING", KA$222),"--")</f>
        <v>--</v>
      </c>
      <c r="KB279" s="2132" t="str">
        <f>IF(KB$221,_xll.ciqfunctions.udf.CIQ($G279, "IQ_SHARESOUTSTANDING", KB$222),"--")</f>
        <v>--</v>
      </c>
    </row>
    <row r="280" spans="1:288" s="89" customFormat="1" ht="13.9">
      <c r="A280" s="2060"/>
      <c r="B280" s="2060"/>
      <c r="D280" s="801"/>
      <c r="F280" s="57" t="s">
        <v>767</v>
      </c>
      <c r="G280" s="1442"/>
      <c r="H280" s="1442"/>
      <c r="I280" s="1442"/>
      <c r="J280" s="1442"/>
      <c r="K280" s="1443" t="str">
        <f t="shared" ref="K280:P280" si="50">IFERROR(MEDIAN(K255:K279),"--")</f>
        <v>--</v>
      </c>
      <c r="L280" s="1443" t="str">
        <f t="shared" si="50"/>
        <v>--</v>
      </c>
      <c r="M280" s="1443" t="str">
        <f t="shared" si="50"/>
        <v>--</v>
      </c>
      <c r="N280" s="1443" t="str">
        <f t="shared" si="50"/>
        <v>--</v>
      </c>
      <c r="O280" s="1444" t="str">
        <f t="shared" si="50"/>
        <v>--</v>
      </c>
      <c r="P280" s="1443" t="str">
        <f t="shared" si="50"/>
        <v>--</v>
      </c>
      <c r="R280" s="255"/>
      <c r="T280" s="1513"/>
    </row>
    <row r="281" spans="1:288" s="89" customFormat="1" ht="13.9">
      <c r="A281" s="2060"/>
      <c r="B281" s="2060"/>
      <c r="D281" s="778"/>
      <c r="E281" s="21"/>
      <c r="F281" s="446"/>
      <c r="G281" s="1441"/>
      <c r="H281" s="1441"/>
      <c r="I281" s="1441"/>
      <c r="J281" s="1441"/>
      <c r="K281" s="1441"/>
      <c r="O281" s="75"/>
      <c r="P281" s="76"/>
      <c r="R281" s="255"/>
      <c r="T281" s="314"/>
      <c r="W281" s="255"/>
    </row>
    <row r="282" spans="1:288" s="89" customFormat="1" ht="13.9">
      <c r="A282" s="2060"/>
      <c r="B282" s="2060"/>
      <c r="D282" s="778"/>
      <c r="E282" s="21"/>
      <c r="F282" s="446"/>
      <c r="G282" s="1441"/>
      <c r="H282" s="1441"/>
      <c r="I282" s="1441"/>
      <c r="J282" s="1441"/>
      <c r="K282" s="1441"/>
      <c r="O282" s="75"/>
      <c r="P282" s="76"/>
      <c r="R282" s="255"/>
      <c r="T282" s="314"/>
      <c r="W282" s="255"/>
    </row>
    <row r="283" spans="1:288" s="89" customFormat="1" ht="13.9">
      <c r="A283" s="2060"/>
      <c r="B283" s="2060"/>
      <c r="D283" s="801"/>
      <c r="F283" s="1446"/>
      <c r="O283" s="75"/>
      <c r="P283" s="76"/>
      <c r="R283" s="255"/>
      <c r="T283" s="92"/>
    </row>
    <row r="284" spans="1:288" s="89" customFormat="1" ht="13.9">
      <c r="A284" s="2060"/>
      <c r="B284" s="2060"/>
      <c r="D284" s="778">
        <f ca="1">MAX(OFFSET(D284,-1,0,-ROW(D284)+1,-2),1)+0.01</f>
        <v>4.0499999999999989</v>
      </c>
      <c r="E284" s="668"/>
      <c r="F284" s="952" t="s">
        <v>138</v>
      </c>
      <c r="G284" s="724" t="s">
        <v>777</v>
      </c>
      <c r="H284" s="724"/>
      <c r="I284" s="724"/>
      <c r="J284" s="724"/>
      <c r="K284" s="725" t="s">
        <v>700</v>
      </c>
      <c r="L284" s="725" t="s">
        <v>701</v>
      </c>
      <c r="M284" s="725" t="s">
        <v>702</v>
      </c>
      <c r="N284" s="725" t="s">
        <v>703</v>
      </c>
      <c r="O284" s="759" t="s">
        <v>704</v>
      </c>
      <c r="P284" s="725" t="s">
        <v>780</v>
      </c>
      <c r="R284" s="255"/>
      <c r="S284" s="1957" t="s">
        <v>785</v>
      </c>
      <c r="T284" s="1446" t="s">
        <v>772</v>
      </c>
      <c r="W284" s="255"/>
    </row>
    <row r="285" spans="1:288" s="89" customFormat="1" ht="13.9">
      <c r="A285" s="2060"/>
      <c r="B285" s="2060"/>
      <c r="D285" s="778"/>
      <c r="E285" s="1505"/>
      <c r="F285" s="1439" t="str">
        <f>F$128</f>
        <v/>
      </c>
      <c r="G285" s="1440">
        <f>G$128</f>
        <v>0</v>
      </c>
      <c r="H285" s="1440" t="str">
        <f>H$128</f>
        <v>USD</v>
      </c>
      <c r="I285" s="248" t="s">
        <v>786</v>
      </c>
      <c r="J285" s="248"/>
      <c r="K285" s="2304">
        <f>'BAL SHEET Hist Input'!F11</f>
        <v>0</v>
      </c>
      <c r="L285" s="2304">
        <f>'BAL SHEET Hist Input'!G11</f>
        <v>0</v>
      </c>
      <c r="M285" s="2304">
        <f>'BAL SHEET Hist Input'!H11</f>
        <v>0</v>
      </c>
      <c r="N285" s="2304">
        <f>'BAL SHEET Hist Input'!I11</f>
        <v>0</v>
      </c>
      <c r="O285" s="1469">
        <f>'BAL SHEET Hist Input'!J11</f>
        <v>0</v>
      </c>
      <c r="P285" s="2304">
        <f>'BAL SHEET Hist Input'!K11</f>
        <v>0</v>
      </c>
      <c r="R285" s="255"/>
      <c r="S285" s="1958" t="str">
        <f t="shared" ref="S285:S295" si="51">IF(SUM(U285:JL285)=0,"--",SUM(U285:JL285))</f>
        <v>--</v>
      </c>
      <c r="T285" s="1779" t="s">
        <v>787</v>
      </c>
      <c r="U285" s="2133" t="str">
        <f>IFERROR(U223/U254,"--")</f>
        <v>--</v>
      </c>
      <c r="V285" s="2133" t="str">
        <f t="shared" ref="V285:CG288" si="52">IFERROR(V223/V254,"--")</f>
        <v>--</v>
      </c>
      <c r="W285" s="2133" t="str">
        <f t="shared" si="52"/>
        <v>--</v>
      </c>
      <c r="X285" s="2133" t="str">
        <f t="shared" si="52"/>
        <v>--</v>
      </c>
      <c r="Y285" s="2133" t="str">
        <f t="shared" si="52"/>
        <v>--</v>
      </c>
      <c r="Z285" s="2133" t="str">
        <f t="shared" si="52"/>
        <v>--</v>
      </c>
      <c r="AA285" s="2133" t="str">
        <f t="shared" si="52"/>
        <v>--</v>
      </c>
      <c r="AB285" s="2133" t="str">
        <f t="shared" si="52"/>
        <v>--</v>
      </c>
      <c r="AC285" s="2133" t="str">
        <f t="shared" si="52"/>
        <v>--</v>
      </c>
      <c r="AD285" s="2133" t="str">
        <f t="shared" si="52"/>
        <v>--</v>
      </c>
      <c r="AE285" s="2133" t="str">
        <f t="shared" si="52"/>
        <v>--</v>
      </c>
      <c r="AF285" s="2133" t="str">
        <f t="shared" si="52"/>
        <v>--</v>
      </c>
      <c r="AG285" s="2133" t="str">
        <f t="shared" si="52"/>
        <v>--</v>
      </c>
      <c r="AH285" s="2133" t="str">
        <f t="shared" si="52"/>
        <v>--</v>
      </c>
      <c r="AI285" s="2133" t="str">
        <f t="shared" si="52"/>
        <v>--</v>
      </c>
      <c r="AJ285" s="2133" t="str">
        <f t="shared" si="52"/>
        <v>--</v>
      </c>
      <c r="AK285" s="2133" t="str">
        <f t="shared" si="52"/>
        <v>--</v>
      </c>
      <c r="AL285" s="2133" t="str">
        <f t="shared" si="52"/>
        <v>--</v>
      </c>
      <c r="AM285" s="2133" t="str">
        <f t="shared" si="52"/>
        <v>--</v>
      </c>
      <c r="AN285" s="2133" t="str">
        <f t="shared" si="52"/>
        <v>--</v>
      </c>
      <c r="AO285" s="2133" t="str">
        <f t="shared" si="52"/>
        <v>--</v>
      </c>
      <c r="AP285" s="2133" t="str">
        <f t="shared" si="52"/>
        <v>--</v>
      </c>
      <c r="AQ285" s="2133" t="str">
        <f t="shared" si="52"/>
        <v>--</v>
      </c>
      <c r="AR285" s="2133" t="str">
        <f t="shared" si="52"/>
        <v>--</v>
      </c>
      <c r="AS285" s="2133" t="str">
        <f t="shared" si="52"/>
        <v>--</v>
      </c>
      <c r="AT285" s="2133" t="str">
        <f t="shared" si="52"/>
        <v>--</v>
      </c>
      <c r="AU285" s="2133" t="str">
        <f t="shared" si="52"/>
        <v>--</v>
      </c>
      <c r="AV285" s="2133" t="str">
        <f t="shared" si="52"/>
        <v>--</v>
      </c>
      <c r="AW285" s="2133" t="str">
        <f t="shared" si="52"/>
        <v>--</v>
      </c>
      <c r="AX285" s="2133" t="str">
        <f t="shared" si="52"/>
        <v>--</v>
      </c>
      <c r="AY285" s="2133" t="str">
        <f t="shared" si="52"/>
        <v>--</v>
      </c>
      <c r="AZ285" s="2133" t="str">
        <f t="shared" si="52"/>
        <v>--</v>
      </c>
      <c r="BA285" s="2133" t="str">
        <f t="shared" si="52"/>
        <v>--</v>
      </c>
      <c r="BB285" s="2133" t="str">
        <f t="shared" si="52"/>
        <v>--</v>
      </c>
      <c r="BC285" s="2133" t="str">
        <f t="shared" si="52"/>
        <v>--</v>
      </c>
      <c r="BD285" s="2133" t="str">
        <f t="shared" si="52"/>
        <v>--</v>
      </c>
      <c r="BE285" s="2133" t="str">
        <f t="shared" si="52"/>
        <v>--</v>
      </c>
      <c r="BF285" s="2133" t="str">
        <f t="shared" si="52"/>
        <v>--</v>
      </c>
      <c r="BG285" s="2133" t="str">
        <f t="shared" si="52"/>
        <v>--</v>
      </c>
      <c r="BH285" s="2133" t="str">
        <f t="shared" si="52"/>
        <v>--</v>
      </c>
      <c r="BI285" s="2133" t="str">
        <f t="shared" si="52"/>
        <v>--</v>
      </c>
      <c r="BJ285" s="2133" t="str">
        <f t="shared" si="52"/>
        <v>--</v>
      </c>
      <c r="BK285" s="2133" t="str">
        <f t="shared" si="52"/>
        <v>--</v>
      </c>
      <c r="BL285" s="2133" t="str">
        <f t="shared" si="52"/>
        <v>--</v>
      </c>
      <c r="BM285" s="2133" t="str">
        <f t="shared" si="52"/>
        <v>--</v>
      </c>
      <c r="BN285" s="2133" t="str">
        <f t="shared" si="52"/>
        <v>--</v>
      </c>
      <c r="BO285" s="2133" t="str">
        <f t="shared" si="52"/>
        <v>--</v>
      </c>
      <c r="BP285" s="2133" t="str">
        <f t="shared" si="52"/>
        <v>--</v>
      </c>
      <c r="BQ285" s="2133" t="str">
        <f t="shared" si="52"/>
        <v>--</v>
      </c>
      <c r="BR285" s="2133" t="str">
        <f t="shared" si="52"/>
        <v>--</v>
      </c>
      <c r="BS285" s="2133" t="str">
        <f t="shared" si="52"/>
        <v>--</v>
      </c>
      <c r="BT285" s="2133" t="str">
        <f t="shared" si="52"/>
        <v>--</v>
      </c>
      <c r="BU285" s="2133" t="str">
        <f t="shared" si="52"/>
        <v>--</v>
      </c>
      <c r="BV285" s="2133" t="str">
        <f t="shared" si="52"/>
        <v>--</v>
      </c>
      <c r="BW285" s="2133" t="str">
        <f t="shared" si="52"/>
        <v>--</v>
      </c>
      <c r="BX285" s="2133" t="str">
        <f t="shared" si="52"/>
        <v>--</v>
      </c>
      <c r="BY285" s="2133" t="str">
        <f t="shared" si="52"/>
        <v>--</v>
      </c>
      <c r="BZ285" s="2133" t="str">
        <f t="shared" si="52"/>
        <v>--</v>
      </c>
      <c r="CA285" s="2133" t="str">
        <f t="shared" si="52"/>
        <v>--</v>
      </c>
      <c r="CB285" s="2133" t="str">
        <f t="shared" si="52"/>
        <v>--</v>
      </c>
      <c r="CC285" s="2133" t="str">
        <f t="shared" si="52"/>
        <v>--</v>
      </c>
      <c r="CD285" s="2133" t="str">
        <f t="shared" si="52"/>
        <v>--</v>
      </c>
      <c r="CE285" s="2133" t="str">
        <f t="shared" si="52"/>
        <v>--</v>
      </c>
      <c r="CF285" s="2133" t="str">
        <f t="shared" si="52"/>
        <v>--</v>
      </c>
      <c r="CG285" s="2133" t="str">
        <f t="shared" si="52"/>
        <v>--</v>
      </c>
      <c r="CH285" s="2133" t="str">
        <f t="shared" ref="CH285:ES288" si="53">IFERROR(CH223/CH254,"--")</f>
        <v>--</v>
      </c>
      <c r="CI285" s="2133" t="str">
        <f t="shared" si="53"/>
        <v>--</v>
      </c>
      <c r="CJ285" s="2133" t="str">
        <f t="shared" si="53"/>
        <v>--</v>
      </c>
      <c r="CK285" s="2133" t="str">
        <f t="shared" si="53"/>
        <v>--</v>
      </c>
      <c r="CL285" s="2133" t="str">
        <f t="shared" si="53"/>
        <v>--</v>
      </c>
      <c r="CM285" s="2133" t="str">
        <f t="shared" si="53"/>
        <v>--</v>
      </c>
      <c r="CN285" s="2133" t="str">
        <f t="shared" si="53"/>
        <v>--</v>
      </c>
      <c r="CO285" s="2133" t="str">
        <f t="shared" si="53"/>
        <v>--</v>
      </c>
      <c r="CP285" s="2133" t="str">
        <f t="shared" si="53"/>
        <v>--</v>
      </c>
      <c r="CQ285" s="2133" t="str">
        <f t="shared" si="53"/>
        <v>--</v>
      </c>
      <c r="CR285" s="2133" t="str">
        <f t="shared" si="53"/>
        <v>--</v>
      </c>
      <c r="CS285" s="2133" t="str">
        <f t="shared" si="53"/>
        <v>--</v>
      </c>
      <c r="CT285" s="2133" t="str">
        <f t="shared" si="53"/>
        <v>--</v>
      </c>
      <c r="CU285" s="2133" t="str">
        <f t="shared" si="53"/>
        <v>--</v>
      </c>
      <c r="CV285" s="2133" t="str">
        <f t="shared" si="53"/>
        <v>--</v>
      </c>
      <c r="CW285" s="2133" t="str">
        <f t="shared" si="53"/>
        <v>--</v>
      </c>
      <c r="CX285" s="2133" t="str">
        <f t="shared" si="53"/>
        <v>--</v>
      </c>
      <c r="CY285" s="2133" t="str">
        <f t="shared" si="53"/>
        <v>--</v>
      </c>
      <c r="CZ285" s="2133" t="str">
        <f t="shared" si="53"/>
        <v>--</v>
      </c>
      <c r="DA285" s="2133" t="str">
        <f t="shared" si="53"/>
        <v>--</v>
      </c>
      <c r="DB285" s="2133" t="str">
        <f t="shared" si="53"/>
        <v>--</v>
      </c>
      <c r="DC285" s="2133" t="str">
        <f t="shared" si="53"/>
        <v>--</v>
      </c>
      <c r="DD285" s="2133" t="str">
        <f t="shared" si="53"/>
        <v>--</v>
      </c>
      <c r="DE285" s="2133" t="str">
        <f t="shared" si="53"/>
        <v>--</v>
      </c>
      <c r="DF285" s="2133" t="str">
        <f t="shared" si="53"/>
        <v>--</v>
      </c>
      <c r="DG285" s="2133" t="str">
        <f t="shared" si="53"/>
        <v>--</v>
      </c>
      <c r="DH285" s="2133" t="str">
        <f t="shared" si="53"/>
        <v>--</v>
      </c>
      <c r="DI285" s="2133" t="str">
        <f t="shared" si="53"/>
        <v>--</v>
      </c>
      <c r="DJ285" s="2133" t="str">
        <f t="shared" si="53"/>
        <v>--</v>
      </c>
      <c r="DK285" s="2133" t="str">
        <f t="shared" si="53"/>
        <v>--</v>
      </c>
      <c r="DL285" s="2133" t="str">
        <f t="shared" si="53"/>
        <v>--</v>
      </c>
      <c r="DM285" s="2133" t="str">
        <f t="shared" si="53"/>
        <v>--</v>
      </c>
      <c r="DN285" s="2133" t="str">
        <f t="shared" si="53"/>
        <v>--</v>
      </c>
      <c r="DO285" s="2133" t="str">
        <f t="shared" si="53"/>
        <v>--</v>
      </c>
      <c r="DP285" s="2133" t="str">
        <f t="shared" si="53"/>
        <v>--</v>
      </c>
      <c r="DQ285" s="2133" t="str">
        <f t="shared" si="53"/>
        <v>--</v>
      </c>
      <c r="DR285" s="2133" t="str">
        <f t="shared" si="53"/>
        <v>--</v>
      </c>
      <c r="DS285" s="2133" t="str">
        <f t="shared" si="53"/>
        <v>--</v>
      </c>
      <c r="DT285" s="2133" t="str">
        <f t="shared" si="53"/>
        <v>--</v>
      </c>
      <c r="DU285" s="2133" t="str">
        <f t="shared" si="53"/>
        <v>--</v>
      </c>
      <c r="DV285" s="2133" t="str">
        <f t="shared" si="53"/>
        <v>--</v>
      </c>
      <c r="DW285" s="2133" t="str">
        <f t="shared" si="53"/>
        <v>--</v>
      </c>
      <c r="DX285" s="2133" t="str">
        <f t="shared" si="53"/>
        <v>--</v>
      </c>
      <c r="DY285" s="2133" t="str">
        <f t="shared" si="53"/>
        <v>--</v>
      </c>
      <c r="DZ285" s="2133" t="str">
        <f t="shared" si="53"/>
        <v>--</v>
      </c>
      <c r="EA285" s="2133" t="str">
        <f t="shared" si="53"/>
        <v>--</v>
      </c>
      <c r="EB285" s="2133" t="str">
        <f t="shared" si="53"/>
        <v>--</v>
      </c>
      <c r="EC285" s="2133" t="str">
        <f t="shared" si="53"/>
        <v>--</v>
      </c>
      <c r="ED285" s="2133" t="str">
        <f t="shared" si="53"/>
        <v>--</v>
      </c>
      <c r="EE285" s="2133" t="str">
        <f t="shared" si="53"/>
        <v>--</v>
      </c>
      <c r="EF285" s="2133" t="str">
        <f t="shared" si="53"/>
        <v>--</v>
      </c>
      <c r="EG285" s="2133" t="str">
        <f t="shared" si="53"/>
        <v>--</v>
      </c>
      <c r="EH285" s="2133" t="str">
        <f t="shared" si="53"/>
        <v>--</v>
      </c>
      <c r="EI285" s="2133" t="str">
        <f t="shared" si="53"/>
        <v>--</v>
      </c>
      <c r="EJ285" s="2133" t="str">
        <f t="shared" si="53"/>
        <v>--</v>
      </c>
      <c r="EK285" s="2133" t="str">
        <f t="shared" si="53"/>
        <v>--</v>
      </c>
      <c r="EL285" s="2133" t="str">
        <f t="shared" si="53"/>
        <v>--</v>
      </c>
      <c r="EM285" s="2133" t="str">
        <f t="shared" si="53"/>
        <v>--</v>
      </c>
      <c r="EN285" s="2133" t="str">
        <f t="shared" si="53"/>
        <v>--</v>
      </c>
      <c r="EO285" s="2133" t="str">
        <f t="shared" si="53"/>
        <v>--</v>
      </c>
      <c r="EP285" s="2133" t="str">
        <f t="shared" si="53"/>
        <v>--</v>
      </c>
      <c r="EQ285" s="2133" t="str">
        <f t="shared" si="53"/>
        <v>--</v>
      </c>
      <c r="ER285" s="2133" t="str">
        <f t="shared" si="53"/>
        <v>--</v>
      </c>
      <c r="ES285" s="2133" t="str">
        <f t="shared" si="53"/>
        <v>--</v>
      </c>
      <c r="ET285" s="2133" t="str">
        <f t="shared" ref="ET285:HE288" si="54">IFERROR(ET223/ET254,"--")</f>
        <v>--</v>
      </c>
      <c r="EU285" s="2133" t="str">
        <f t="shared" si="54"/>
        <v>--</v>
      </c>
      <c r="EV285" s="2133" t="str">
        <f t="shared" si="54"/>
        <v>--</v>
      </c>
      <c r="EW285" s="2133" t="str">
        <f t="shared" si="54"/>
        <v>--</v>
      </c>
      <c r="EX285" s="2133" t="str">
        <f t="shared" si="54"/>
        <v>--</v>
      </c>
      <c r="EY285" s="2133" t="str">
        <f t="shared" si="54"/>
        <v>--</v>
      </c>
      <c r="EZ285" s="2133" t="str">
        <f t="shared" si="54"/>
        <v>--</v>
      </c>
      <c r="FA285" s="2133" t="str">
        <f t="shared" si="54"/>
        <v>--</v>
      </c>
      <c r="FB285" s="2133" t="str">
        <f t="shared" si="54"/>
        <v>--</v>
      </c>
      <c r="FC285" s="2133" t="str">
        <f t="shared" si="54"/>
        <v>--</v>
      </c>
      <c r="FD285" s="2133" t="str">
        <f t="shared" si="54"/>
        <v>--</v>
      </c>
      <c r="FE285" s="2133" t="str">
        <f t="shared" si="54"/>
        <v>--</v>
      </c>
      <c r="FF285" s="2133" t="str">
        <f t="shared" si="54"/>
        <v>--</v>
      </c>
      <c r="FG285" s="2133" t="str">
        <f t="shared" si="54"/>
        <v>--</v>
      </c>
      <c r="FH285" s="2133" t="str">
        <f t="shared" si="54"/>
        <v>--</v>
      </c>
      <c r="FI285" s="2133" t="str">
        <f t="shared" si="54"/>
        <v>--</v>
      </c>
      <c r="FJ285" s="2133" t="str">
        <f t="shared" si="54"/>
        <v>--</v>
      </c>
      <c r="FK285" s="2133" t="str">
        <f t="shared" si="54"/>
        <v>--</v>
      </c>
      <c r="FL285" s="2133" t="str">
        <f t="shared" si="54"/>
        <v>--</v>
      </c>
      <c r="FM285" s="2133" t="str">
        <f t="shared" si="54"/>
        <v>--</v>
      </c>
      <c r="FN285" s="2133" t="str">
        <f t="shared" si="54"/>
        <v>--</v>
      </c>
      <c r="FO285" s="2133" t="str">
        <f t="shared" si="54"/>
        <v>--</v>
      </c>
      <c r="FP285" s="2133" t="str">
        <f t="shared" si="54"/>
        <v>--</v>
      </c>
      <c r="FQ285" s="2133" t="str">
        <f t="shared" si="54"/>
        <v>--</v>
      </c>
      <c r="FR285" s="2133" t="str">
        <f t="shared" si="54"/>
        <v>--</v>
      </c>
      <c r="FS285" s="2133" t="str">
        <f t="shared" si="54"/>
        <v>--</v>
      </c>
      <c r="FT285" s="2133" t="str">
        <f t="shared" si="54"/>
        <v>--</v>
      </c>
      <c r="FU285" s="2133" t="str">
        <f t="shared" si="54"/>
        <v>--</v>
      </c>
      <c r="FV285" s="2133" t="str">
        <f t="shared" si="54"/>
        <v>--</v>
      </c>
      <c r="FW285" s="2133" t="str">
        <f t="shared" si="54"/>
        <v>--</v>
      </c>
      <c r="FX285" s="2133" t="str">
        <f t="shared" si="54"/>
        <v>--</v>
      </c>
      <c r="FY285" s="2133" t="str">
        <f t="shared" si="54"/>
        <v>--</v>
      </c>
      <c r="FZ285" s="2133" t="str">
        <f t="shared" si="54"/>
        <v>--</v>
      </c>
      <c r="GA285" s="2133" t="str">
        <f t="shared" si="54"/>
        <v>--</v>
      </c>
      <c r="GB285" s="2133" t="str">
        <f t="shared" si="54"/>
        <v>--</v>
      </c>
      <c r="GC285" s="2133" t="str">
        <f t="shared" si="54"/>
        <v>--</v>
      </c>
      <c r="GD285" s="2133" t="str">
        <f t="shared" si="54"/>
        <v>--</v>
      </c>
      <c r="GE285" s="2133" t="str">
        <f t="shared" si="54"/>
        <v>--</v>
      </c>
      <c r="GF285" s="2133" t="str">
        <f t="shared" si="54"/>
        <v>--</v>
      </c>
      <c r="GG285" s="2133" t="str">
        <f t="shared" si="54"/>
        <v>--</v>
      </c>
      <c r="GH285" s="2133" t="str">
        <f t="shared" si="54"/>
        <v>--</v>
      </c>
      <c r="GI285" s="2133" t="str">
        <f t="shared" si="54"/>
        <v>--</v>
      </c>
      <c r="GJ285" s="2133" t="str">
        <f t="shared" si="54"/>
        <v>--</v>
      </c>
      <c r="GK285" s="2133" t="str">
        <f t="shared" si="54"/>
        <v>--</v>
      </c>
      <c r="GL285" s="2133" t="str">
        <f t="shared" si="54"/>
        <v>--</v>
      </c>
      <c r="GM285" s="2133" t="str">
        <f t="shared" si="54"/>
        <v>--</v>
      </c>
      <c r="GN285" s="2133" t="str">
        <f t="shared" si="54"/>
        <v>--</v>
      </c>
      <c r="GO285" s="2133" t="str">
        <f t="shared" si="54"/>
        <v>--</v>
      </c>
      <c r="GP285" s="2133" t="str">
        <f t="shared" si="54"/>
        <v>--</v>
      </c>
      <c r="GQ285" s="2133" t="str">
        <f t="shared" si="54"/>
        <v>--</v>
      </c>
      <c r="GR285" s="2133" t="str">
        <f t="shared" si="54"/>
        <v>--</v>
      </c>
      <c r="GS285" s="2133" t="str">
        <f t="shared" si="54"/>
        <v>--</v>
      </c>
      <c r="GT285" s="2133" t="str">
        <f t="shared" si="54"/>
        <v>--</v>
      </c>
      <c r="GU285" s="2133" t="str">
        <f t="shared" si="54"/>
        <v>--</v>
      </c>
      <c r="GV285" s="2133" t="str">
        <f t="shared" si="54"/>
        <v>--</v>
      </c>
      <c r="GW285" s="2133" t="str">
        <f t="shared" si="54"/>
        <v>--</v>
      </c>
      <c r="GX285" s="2133" t="str">
        <f t="shared" si="54"/>
        <v>--</v>
      </c>
      <c r="GY285" s="2133" t="str">
        <f t="shared" si="54"/>
        <v>--</v>
      </c>
      <c r="GZ285" s="2133" t="str">
        <f t="shared" si="54"/>
        <v>--</v>
      </c>
      <c r="HA285" s="2133" t="str">
        <f t="shared" si="54"/>
        <v>--</v>
      </c>
      <c r="HB285" s="2133" t="str">
        <f t="shared" si="54"/>
        <v>--</v>
      </c>
      <c r="HC285" s="2133" t="str">
        <f t="shared" si="54"/>
        <v>--</v>
      </c>
      <c r="HD285" s="2133" t="str">
        <f t="shared" si="54"/>
        <v>--</v>
      </c>
      <c r="HE285" s="2133" t="str">
        <f t="shared" si="54"/>
        <v>--</v>
      </c>
      <c r="HF285" s="2133" t="str">
        <f t="shared" ref="HF285:JQ288" si="55">IFERROR(HF223/HF254,"--")</f>
        <v>--</v>
      </c>
      <c r="HG285" s="2133" t="str">
        <f t="shared" si="55"/>
        <v>--</v>
      </c>
      <c r="HH285" s="2133" t="str">
        <f t="shared" si="55"/>
        <v>--</v>
      </c>
      <c r="HI285" s="2133" t="str">
        <f t="shared" si="55"/>
        <v>--</v>
      </c>
      <c r="HJ285" s="2133" t="str">
        <f t="shared" si="55"/>
        <v>--</v>
      </c>
      <c r="HK285" s="2133" t="str">
        <f t="shared" si="55"/>
        <v>--</v>
      </c>
      <c r="HL285" s="2133" t="str">
        <f t="shared" si="55"/>
        <v>--</v>
      </c>
      <c r="HM285" s="2133" t="str">
        <f t="shared" si="55"/>
        <v>--</v>
      </c>
      <c r="HN285" s="2133" t="str">
        <f t="shared" si="55"/>
        <v>--</v>
      </c>
      <c r="HO285" s="2133" t="str">
        <f t="shared" si="55"/>
        <v>--</v>
      </c>
      <c r="HP285" s="2133" t="str">
        <f t="shared" si="55"/>
        <v>--</v>
      </c>
      <c r="HQ285" s="2133" t="str">
        <f t="shared" si="55"/>
        <v>--</v>
      </c>
      <c r="HR285" s="2133" t="str">
        <f t="shared" si="55"/>
        <v>--</v>
      </c>
      <c r="HS285" s="2133" t="str">
        <f t="shared" si="55"/>
        <v>--</v>
      </c>
      <c r="HT285" s="2133" t="str">
        <f t="shared" si="55"/>
        <v>--</v>
      </c>
      <c r="HU285" s="2133" t="str">
        <f t="shared" si="55"/>
        <v>--</v>
      </c>
      <c r="HV285" s="2133" t="str">
        <f t="shared" si="55"/>
        <v>--</v>
      </c>
      <c r="HW285" s="2133" t="str">
        <f t="shared" si="55"/>
        <v>--</v>
      </c>
      <c r="HX285" s="2133" t="str">
        <f t="shared" si="55"/>
        <v>--</v>
      </c>
      <c r="HY285" s="2133" t="str">
        <f t="shared" si="55"/>
        <v>--</v>
      </c>
      <c r="HZ285" s="2133" t="str">
        <f t="shared" si="55"/>
        <v>--</v>
      </c>
      <c r="IA285" s="2133" t="str">
        <f t="shared" si="55"/>
        <v>--</v>
      </c>
      <c r="IB285" s="2133" t="str">
        <f t="shared" si="55"/>
        <v>--</v>
      </c>
      <c r="IC285" s="2133" t="str">
        <f t="shared" si="55"/>
        <v>--</v>
      </c>
      <c r="ID285" s="2133" t="str">
        <f t="shared" si="55"/>
        <v>--</v>
      </c>
      <c r="IE285" s="2133" t="str">
        <f t="shared" si="55"/>
        <v>--</v>
      </c>
      <c r="IF285" s="2133" t="str">
        <f t="shared" si="55"/>
        <v>--</v>
      </c>
      <c r="IG285" s="2133" t="str">
        <f t="shared" si="55"/>
        <v>--</v>
      </c>
      <c r="IH285" s="2133" t="str">
        <f t="shared" si="55"/>
        <v>--</v>
      </c>
      <c r="II285" s="2133" t="str">
        <f t="shared" si="55"/>
        <v>--</v>
      </c>
      <c r="IJ285" s="2133" t="str">
        <f t="shared" si="55"/>
        <v>--</v>
      </c>
      <c r="IK285" s="2133" t="str">
        <f t="shared" si="55"/>
        <v>--</v>
      </c>
      <c r="IL285" s="2133" t="str">
        <f t="shared" si="55"/>
        <v>--</v>
      </c>
      <c r="IM285" s="2133" t="str">
        <f t="shared" si="55"/>
        <v>--</v>
      </c>
      <c r="IN285" s="2133" t="str">
        <f t="shared" si="55"/>
        <v>--</v>
      </c>
      <c r="IO285" s="2133" t="str">
        <f t="shared" si="55"/>
        <v>--</v>
      </c>
      <c r="IP285" s="2133" t="str">
        <f t="shared" si="55"/>
        <v>--</v>
      </c>
      <c r="IQ285" s="2133" t="str">
        <f t="shared" si="55"/>
        <v>--</v>
      </c>
      <c r="IR285" s="2133" t="str">
        <f t="shared" si="55"/>
        <v>--</v>
      </c>
      <c r="IS285" s="2133" t="str">
        <f t="shared" si="55"/>
        <v>--</v>
      </c>
      <c r="IT285" s="2133" t="str">
        <f t="shared" si="55"/>
        <v>--</v>
      </c>
      <c r="IU285" s="2133" t="str">
        <f t="shared" si="55"/>
        <v>--</v>
      </c>
      <c r="IV285" s="2133" t="str">
        <f t="shared" si="55"/>
        <v>--</v>
      </c>
      <c r="IW285" s="2133" t="str">
        <f t="shared" si="55"/>
        <v>--</v>
      </c>
      <c r="IX285" s="2133" t="str">
        <f t="shared" si="55"/>
        <v>--</v>
      </c>
      <c r="IY285" s="2133" t="str">
        <f t="shared" si="55"/>
        <v>--</v>
      </c>
      <c r="IZ285" s="2133" t="str">
        <f t="shared" si="55"/>
        <v>--</v>
      </c>
      <c r="JA285" s="2133" t="str">
        <f t="shared" si="55"/>
        <v>--</v>
      </c>
      <c r="JB285" s="2133" t="str">
        <f t="shared" si="55"/>
        <v>--</v>
      </c>
      <c r="JC285" s="2133" t="str">
        <f t="shared" si="55"/>
        <v>--</v>
      </c>
      <c r="JD285" s="2133" t="str">
        <f t="shared" si="55"/>
        <v>--</v>
      </c>
      <c r="JE285" s="2133" t="str">
        <f t="shared" si="55"/>
        <v>--</v>
      </c>
      <c r="JF285" s="2133" t="str">
        <f t="shared" si="55"/>
        <v>--</v>
      </c>
      <c r="JG285" s="2133" t="str">
        <f t="shared" si="55"/>
        <v>--</v>
      </c>
      <c r="JH285" s="2133" t="str">
        <f t="shared" si="55"/>
        <v>--</v>
      </c>
      <c r="JI285" s="2133" t="str">
        <f t="shared" si="55"/>
        <v>--</v>
      </c>
      <c r="JJ285" s="2133" t="str">
        <f t="shared" si="55"/>
        <v>--</v>
      </c>
      <c r="JK285" s="2133" t="str">
        <f t="shared" si="55"/>
        <v>--</v>
      </c>
      <c r="JL285" s="2133" t="str">
        <f t="shared" si="55"/>
        <v>--</v>
      </c>
      <c r="JM285" s="2133" t="str">
        <f t="shared" si="55"/>
        <v>--</v>
      </c>
      <c r="JN285" s="2133" t="str">
        <f t="shared" si="55"/>
        <v>--</v>
      </c>
      <c r="JO285" s="2133" t="str">
        <f t="shared" si="55"/>
        <v>--</v>
      </c>
      <c r="JP285" s="2133" t="str">
        <f t="shared" si="55"/>
        <v>--</v>
      </c>
      <c r="JQ285" s="2133" t="str">
        <f t="shared" si="55"/>
        <v>--</v>
      </c>
      <c r="JR285" s="2133" t="str">
        <f t="shared" ref="JR285:KB300" si="56">IFERROR(JR223/JR254,"--")</f>
        <v>--</v>
      </c>
      <c r="JS285" s="2133" t="str">
        <f t="shared" si="56"/>
        <v>--</v>
      </c>
      <c r="JT285" s="2133" t="str">
        <f t="shared" si="56"/>
        <v>--</v>
      </c>
      <c r="JU285" s="2133" t="str">
        <f t="shared" si="56"/>
        <v>--</v>
      </c>
      <c r="JV285" s="2133" t="str">
        <f t="shared" si="56"/>
        <v>--</v>
      </c>
      <c r="JW285" s="2133" t="str">
        <f t="shared" si="56"/>
        <v>--</v>
      </c>
      <c r="JX285" s="2133" t="str">
        <f t="shared" si="56"/>
        <v>--</v>
      </c>
      <c r="JY285" s="2133" t="str">
        <f t="shared" si="56"/>
        <v>--</v>
      </c>
      <c r="JZ285" s="2133" t="str">
        <f t="shared" si="56"/>
        <v>--</v>
      </c>
      <c r="KA285" s="2133" t="str">
        <f t="shared" si="56"/>
        <v>--</v>
      </c>
      <c r="KB285" s="2133" t="str">
        <f t="shared" si="56"/>
        <v>--</v>
      </c>
    </row>
    <row r="286" spans="1:288" s="89" customFormat="1" ht="13.9">
      <c r="A286" s="269" t="str">
        <f>IF(F286="--","n","")</f>
        <v>n</v>
      </c>
      <c r="B286" s="2060"/>
      <c r="D286" s="801"/>
      <c r="E286" s="1505">
        <v>1</v>
      </c>
      <c r="F286" s="21" t="str">
        <f>F$129</f>
        <v>--</v>
      </c>
      <c r="G286" s="1441">
        <f>G$129</f>
        <v>0</v>
      </c>
      <c r="H286" s="1441" t="str">
        <f>H$129</f>
        <v>--</v>
      </c>
      <c r="I286" s="89" t="s">
        <v>786</v>
      </c>
      <c r="K286" s="2301" t="str">
        <f>IF(OR(K192=0,$G286=0),"--",IFERROR(_xll.ciqfunctions.udf.CIQ($G286,$I286,K100,Valuation_Date_GC,ReportType,DataMode,$H286,FXMode)*Scale,"--"))</f>
        <v>--</v>
      </c>
      <c r="L286" s="2301" t="str">
        <f>IF(OR(L192=0,$G286=0),"--",IFERROR(_xll.ciqfunctions.udf.CIQ($G286,$I286,L100,Valuation_Date_GC,ReportType,DataMode,$H286,FXMode)*Scale,"--"))</f>
        <v>--</v>
      </c>
      <c r="M286" s="2301" t="str">
        <f>IF(OR(M192=0,$G286=0),"--",IFERROR(_xll.ciqfunctions.udf.CIQ($G286,$I286,M100,Valuation_Date_GC,ReportType,DataMode,$H286,FXMode)*Scale,"--"))</f>
        <v>--</v>
      </c>
      <c r="N286" s="2301" t="str">
        <f>IF(OR(N192=0,$G286=0),"--",IFERROR(_xll.ciqfunctions.udf.CIQ($G286,$I286,N100,Valuation_Date_GC,ReportType,DataMode,$H286,FXMode)*Scale,"--"))</f>
        <v>--</v>
      </c>
      <c r="O286" s="1471" t="str">
        <f>IF(OR(O192=0,$G286=0),"--",IFERROR(_xll.ciqfunctions.udf.CIQ($G286,$I286,O100,Valuation_Date_GC,ReportType,DataMode,$H286,FXMode)*Scale,"--"))</f>
        <v>--</v>
      </c>
      <c r="P286" s="2301" t="str">
        <f>IF(OR(P192=0,$G286=0),"--",IFERROR(_xll.ciqfunctions.udf.CIQ($G286,$I286,P100,Valuation_Date_GC,ReportType,DataMode,$H286,FXMode)*Scale,"--"))</f>
        <v>--</v>
      </c>
      <c r="R286" s="255"/>
      <c r="S286" s="1958" t="str">
        <f t="shared" si="51"/>
        <v>--</v>
      </c>
      <c r="T286" s="1779" t="s">
        <v>787</v>
      </c>
      <c r="U286" s="2133" t="str">
        <f t="shared" ref="U286:AJ301" si="57">IFERROR(U224/U255,"--")</f>
        <v>--</v>
      </c>
      <c r="V286" s="2133" t="str">
        <f t="shared" si="52"/>
        <v>--</v>
      </c>
      <c r="W286" s="2133" t="str">
        <f t="shared" si="52"/>
        <v>--</v>
      </c>
      <c r="X286" s="2133" t="str">
        <f t="shared" si="52"/>
        <v>--</v>
      </c>
      <c r="Y286" s="2133" t="str">
        <f t="shared" si="52"/>
        <v>--</v>
      </c>
      <c r="Z286" s="2133" t="str">
        <f t="shared" si="52"/>
        <v>--</v>
      </c>
      <c r="AA286" s="2133" t="str">
        <f t="shared" si="52"/>
        <v>--</v>
      </c>
      <c r="AB286" s="2133" t="str">
        <f t="shared" si="52"/>
        <v>--</v>
      </c>
      <c r="AC286" s="2133" t="str">
        <f t="shared" si="52"/>
        <v>--</v>
      </c>
      <c r="AD286" s="2133" t="str">
        <f t="shared" si="52"/>
        <v>--</v>
      </c>
      <c r="AE286" s="2133" t="str">
        <f t="shared" si="52"/>
        <v>--</v>
      </c>
      <c r="AF286" s="2133" t="str">
        <f t="shared" si="52"/>
        <v>--</v>
      </c>
      <c r="AG286" s="2133" t="str">
        <f t="shared" si="52"/>
        <v>--</v>
      </c>
      <c r="AH286" s="2133" t="str">
        <f t="shared" si="52"/>
        <v>--</v>
      </c>
      <c r="AI286" s="2133" t="str">
        <f t="shared" si="52"/>
        <v>--</v>
      </c>
      <c r="AJ286" s="2133" t="str">
        <f t="shared" si="52"/>
        <v>--</v>
      </c>
      <c r="AK286" s="2133" t="str">
        <f t="shared" si="52"/>
        <v>--</v>
      </c>
      <c r="AL286" s="2133" t="str">
        <f t="shared" si="52"/>
        <v>--</v>
      </c>
      <c r="AM286" s="2133" t="str">
        <f t="shared" si="52"/>
        <v>--</v>
      </c>
      <c r="AN286" s="2133" t="str">
        <f t="shared" si="52"/>
        <v>--</v>
      </c>
      <c r="AO286" s="2133" t="str">
        <f t="shared" si="52"/>
        <v>--</v>
      </c>
      <c r="AP286" s="2133" t="str">
        <f t="shared" si="52"/>
        <v>--</v>
      </c>
      <c r="AQ286" s="2133" t="str">
        <f t="shared" si="52"/>
        <v>--</v>
      </c>
      <c r="AR286" s="2133" t="str">
        <f t="shared" si="52"/>
        <v>--</v>
      </c>
      <c r="AS286" s="2133" t="str">
        <f t="shared" si="52"/>
        <v>--</v>
      </c>
      <c r="AT286" s="2133" t="str">
        <f t="shared" si="52"/>
        <v>--</v>
      </c>
      <c r="AU286" s="2133" t="str">
        <f t="shared" si="52"/>
        <v>--</v>
      </c>
      <c r="AV286" s="2133" t="str">
        <f t="shared" si="52"/>
        <v>--</v>
      </c>
      <c r="AW286" s="2133" t="str">
        <f t="shared" si="52"/>
        <v>--</v>
      </c>
      <c r="AX286" s="2133" t="str">
        <f t="shared" si="52"/>
        <v>--</v>
      </c>
      <c r="AY286" s="2133" t="str">
        <f t="shared" si="52"/>
        <v>--</v>
      </c>
      <c r="AZ286" s="2133" t="str">
        <f t="shared" si="52"/>
        <v>--</v>
      </c>
      <c r="BA286" s="2133" t="str">
        <f t="shared" si="52"/>
        <v>--</v>
      </c>
      <c r="BB286" s="2133" t="str">
        <f t="shared" si="52"/>
        <v>--</v>
      </c>
      <c r="BC286" s="2133" t="str">
        <f t="shared" si="52"/>
        <v>--</v>
      </c>
      <c r="BD286" s="2133" t="str">
        <f t="shared" si="52"/>
        <v>--</v>
      </c>
      <c r="BE286" s="2133" t="str">
        <f t="shared" si="52"/>
        <v>--</v>
      </c>
      <c r="BF286" s="2133" t="str">
        <f t="shared" si="52"/>
        <v>--</v>
      </c>
      <c r="BG286" s="2133" t="str">
        <f t="shared" si="52"/>
        <v>--</v>
      </c>
      <c r="BH286" s="2133" t="str">
        <f t="shared" si="52"/>
        <v>--</v>
      </c>
      <c r="BI286" s="2133" t="str">
        <f t="shared" si="52"/>
        <v>--</v>
      </c>
      <c r="BJ286" s="2133" t="str">
        <f t="shared" si="52"/>
        <v>--</v>
      </c>
      <c r="BK286" s="2133" t="str">
        <f t="shared" si="52"/>
        <v>--</v>
      </c>
      <c r="BL286" s="2133" t="str">
        <f t="shared" si="52"/>
        <v>--</v>
      </c>
      <c r="BM286" s="2133" t="str">
        <f t="shared" si="52"/>
        <v>--</v>
      </c>
      <c r="BN286" s="2133" t="str">
        <f t="shared" si="52"/>
        <v>--</v>
      </c>
      <c r="BO286" s="2133" t="str">
        <f t="shared" si="52"/>
        <v>--</v>
      </c>
      <c r="BP286" s="2133" t="str">
        <f t="shared" si="52"/>
        <v>--</v>
      </c>
      <c r="BQ286" s="2133" t="str">
        <f t="shared" si="52"/>
        <v>--</v>
      </c>
      <c r="BR286" s="2133" t="str">
        <f t="shared" si="52"/>
        <v>--</v>
      </c>
      <c r="BS286" s="2133" t="str">
        <f t="shared" si="52"/>
        <v>--</v>
      </c>
      <c r="BT286" s="2133" t="str">
        <f t="shared" si="52"/>
        <v>--</v>
      </c>
      <c r="BU286" s="2133" t="str">
        <f t="shared" si="52"/>
        <v>--</v>
      </c>
      <c r="BV286" s="2133" t="str">
        <f t="shared" si="52"/>
        <v>--</v>
      </c>
      <c r="BW286" s="2133" t="str">
        <f t="shared" si="52"/>
        <v>--</v>
      </c>
      <c r="BX286" s="2133" t="str">
        <f t="shared" si="52"/>
        <v>--</v>
      </c>
      <c r="BY286" s="2133" t="str">
        <f t="shared" si="52"/>
        <v>--</v>
      </c>
      <c r="BZ286" s="2133" t="str">
        <f t="shared" si="52"/>
        <v>--</v>
      </c>
      <c r="CA286" s="2133" t="str">
        <f t="shared" si="52"/>
        <v>--</v>
      </c>
      <c r="CB286" s="2133" t="str">
        <f t="shared" si="52"/>
        <v>--</v>
      </c>
      <c r="CC286" s="2133" t="str">
        <f t="shared" si="52"/>
        <v>--</v>
      </c>
      <c r="CD286" s="2133" t="str">
        <f t="shared" si="52"/>
        <v>--</v>
      </c>
      <c r="CE286" s="2133" t="str">
        <f t="shared" si="52"/>
        <v>--</v>
      </c>
      <c r="CF286" s="2133" t="str">
        <f t="shared" si="52"/>
        <v>--</v>
      </c>
      <c r="CG286" s="2133" t="str">
        <f t="shared" si="52"/>
        <v>--</v>
      </c>
      <c r="CH286" s="2133" t="str">
        <f t="shared" si="53"/>
        <v>--</v>
      </c>
      <c r="CI286" s="2133" t="str">
        <f t="shared" si="53"/>
        <v>--</v>
      </c>
      <c r="CJ286" s="2133" t="str">
        <f t="shared" si="53"/>
        <v>--</v>
      </c>
      <c r="CK286" s="2133" t="str">
        <f t="shared" si="53"/>
        <v>--</v>
      </c>
      <c r="CL286" s="2133" t="str">
        <f t="shared" si="53"/>
        <v>--</v>
      </c>
      <c r="CM286" s="2133" t="str">
        <f t="shared" si="53"/>
        <v>--</v>
      </c>
      <c r="CN286" s="2133" t="str">
        <f t="shared" si="53"/>
        <v>--</v>
      </c>
      <c r="CO286" s="2133" t="str">
        <f t="shared" si="53"/>
        <v>--</v>
      </c>
      <c r="CP286" s="2133" t="str">
        <f t="shared" si="53"/>
        <v>--</v>
      </c>
      <c r="CQ286" s="2133" t="str">
        <f t="shared" si="53"/>
        <v>--</v>
      </c>
      <c r="CR286" s="2133" t="str">
        <f t="shared" si="53"/>
        <v>--</v>
      </c>
      <c r="CS286" s="2133" t="str">
        <f t="shared" si="53"/>
        <v>--</v>
      </c>
      <c r="CT286" s="2133" t="str">
        <f t="shared" si="53"/>
        <v>--</v>
      </c>
      <c r="CU286" s="2133" t="str">
        <f t="shared" si="53"/>
        <v>--</v>
      </c>
      <c r="CV286" s="2133" t="str">
        <f t="shared" si="53"/>
        <v>--</v>
      </c>
      <c r="CW286" s="2133" t="str">
        <f t="shared" si="53"/>
        <v>--</v>
      </c>
      <c r="CX286" s="2133" t="str">
        <f t="shared" si="53"/>
        <v>--</v>
      </c>
      <c r="CY286" s="2133" t="str">
        <f t="shared" si="53"/>
        <v>--</v>
      </c>
      <c r="CZ286" s="2133" t="str">
        <f t="shared" si="53"/>
        <v>--</v>
      </c>
      <c r="DA286" s="2133" t="str">
        <f t="shared" si="53"/>
        <v>--</v>
      </c>
      <c r="DB286" s="2133" t="str">
        <f t="shared" si="53"/>
        <v>--</v>
      </c>
      <c r="DC286" s="2133" t="str">
        <f t="shared" si="53"/>
        <v>--</v>
      </c>
      <c r="DD286" s="2133" t="str">
        <f t="shared" si="53"/>
        <v>--</v>
      </c>
      <c r="DE286" s="2133" t="str">
        <f t="shared" si="53"/>
        <v>--</v>
      </c>
      <c r="DF286" s="2133" t="str">
        <f t="shared" si="53"/>
        <v>--</v>
      </c>
      <c r="DG286" s="2133" t="str">
        <f t="shared" si="53"/>
        <v>--</v>
      </c>
      <c r="DH286" s="2133" t="str">
        <f t="shared" si="53"/>
        <v>--</v>
      </c>
      <c r="DI286" s="2133" t="str">
        <f t="shared" si="53"/>
        <v>--</v>
      </c>
      <c r="DJ286" s="2133" t="str">
        <f t="shared" si="53"/>
        <v>--</v>
      </c>
      <c r="DK286" s="2133" t="str">
        <f t="shared" si="53"/>
        <v>--</v>
      </c>
      <c r="DL286" s="2133" t="str">
        <f t="shared" si="53"/>
        <v>--</v>
      </c>
      <c r="DM286" s="2133" t="str">
        <f t="shared" si="53"/>
        <v>--</v>
      </c>
      <c r="DN286" s="2133" t="str">
        <f t="shared" si="53"/>
        <v>--</v>
      </c>
      <c r="DO286" s="2133" t="str">
        <f t="shared" si="53"/>
        <v>--</v>
      </c>
      <c r="DP286" s="2133" t="str">
        <f t="shared" si="53"/>
        <v>--</v>
      </c>
      <c r="DQ286" s="2133" t="str">
        <f t="shared" si="53"/>
        <v>--</v>
      </c>
      <c r="DR286" s="2133" t="str">
        <f t="shared" si="53"/>
        <v>--</v>
      </c>
      <c r="DS286" s="2133" t="str">
        <f t="shared" si="53"/>
        <v>--</v>
      </c>
      <c r="DT286" s="2133" t="str">
        <f t="shared" si="53"/>
        <v>--</v>
      </c>
      <c r="DU286" s="2133" t="str">
        <f t="shared" si="53"/>
        <v>--</v>
      </c>
      <c r="DV286" s="2133" t="str">
        <f t="shared" si="53"/>
        <v>--</v>
      </c>
      <c r="DW286" s="2133" t="str">
        <f t="shared" si="53"/>
        <v>--</v>
      </c>
      <c r="DX286" s="2133" t="str">
        <f t="shared" si="53"/>
        <v>--</v>
      </c>
      <c r="DY286" s="2133" t="str">
        <f t="shared" si="53"/>
        <v>--</v>
      </c>
      <c r="DZ286" s="2133" t="str">
        <f t="shared" si="53"/>
        <v>--</v>
      </c>
      <c r="EA286" s="2133" t="str">
        <f t="shared" si="53"/>
        <v>--</v>
      </c>
      <c r="EB286" s="2133" t="str">
        <f t="shared" si="53"/>
        <v>--</v>
      </c>
      <c r="EC286" s="2133" t="str">
        <f t="shared" si="53"/>
        <v>--</v>
      </c>
      <c r="ED286" s="2133" t="str">
        <f t="shared" si="53"/>
        <v>--</v>
      </c>
      <c r="EE286" s="2133" t="str">
        <f t="shared" si="53"/>
        <v>--</v>
      </c>
      <c r="EF286" s="2133" t="str">
        <f t="shared" si="53"/>
        <v>--</v>
      </c>
      <c r="EG286" s="2133" t="str">
        <f t="shared" si="53"/>
        <v>--</v>
      </c>
      <c r="EH286" s="2133" t="str">
        <f t="shared" si="53"/>
        <v>--</v>
      </c>
      <c r="EI286" s="2133" t="str">
        <f t="shared" si="53"/>
        <v>--</v>
      </c>
      <c r="EJ286" s="2133" t="str">
        <f t="shared" si="53"/>
        <v>--</v>
      </c>
      <c r="EK286" s="2133" t="str">
        <f t="shared" si="53"/>
        <v>--</v>
      </c>
      <c r="EL286" s="2133" t="str">
        <f t="shared" si="53"/>
        <v>--</v>
      </c>
      <c r="EM286" s="2133" t="str">
        <f t="shared" si="53"/>
        <v>--</v>
      </c>
      <c r="EN286" s="2133" t="str">
        <f t="shared" si="53"/>
        <v>--</v>
      </c>
      <c r="EO286" s="2133" t="str">
        <f t="shared" si="53"/>
        <v>--</v>
      </c>
      <c r="EP286" s="2133" t="str">
        <f t="shared" si="53"/>
        <v>--</v>
      </c>
      <c r="EQ286" s="2133" t="str">
        <f t="shared" si="53"/>
        <v>--</v>
      </c>
      <c r="ER286" s="2133" t="str">
        <f t="shared" si="53"/>
        <v>--</v>
      </c>
      <c r="ES286" s="2133" t="str">
        <f t="shared" si="53"/>
        <v>--</v>
      </c>
      <c r="ET286" s="2133" t="str">
        <f t="shared" si="54"/>
        <v>--</v>
      </c>
      <c r="EU286" s="2133" t="str">
        <f t="shared" si="54"/>
        <v>--</v>
      </c>
      <c r="EV286" s="2133" t="str">
        <f t="shared" si="54"/>
        <v>--</v>
      </c>
      <c r="EW286" s="2133" t="str">
        <f t="shared" si="54"/>
        <v>--</v>
      </c>
      <c r="EX286" s="2133" t="str">
        <f t="shared" si="54"/>
        <v>--</v>
      </c>
      <c r="EY286" s="2133" t="str">
        <f t="shared" si="54"/>
        <v>--</v>
      </c>
      <c r="EZ286" s="2133" t="str">
        <f t="shared" si="54"/>
        <v>--</v>
      </c>
      <c r="FA286" s="2133" t="str">
        <f t="shared" si="54"/>
        <v>--</v>
      </c>
      <c r="FB286" s="2133" t="str">
        <f t="shared" si="54"/>
        <v>--</v>
      </c>
      <c r="FC286" s="2133" t="str">
        <f t="shared" si="54"/>
        <v>--</v>
      </c>
      <c r="FD286" s="2133" t="str">
        <f t="shared" si="54"/>
        <v>--</v>
      </c>
      <c r="FE286" s="2133" t="str">
        <f t="shared" si="54"/>
        <v>--</v>
      </c>
      <c r="FF286" s="2133" t="str">
        <f t="shared" si="54"/>
        <v>--</v>
      </c>
      <c r="FG286" s="2133" t="str">
        <f t="shared" si="54"/>
        <v>--</v>
      </c>
      <c r="FH286" s="2133" t="str">
        <f t="shared" si="54"/>
        <v>--</v>
      </c>
      <c r="FI286" s="2133" t="str">
        <f t="shared" si="54"/>
        <v>--</v>
      </c>
      <c r="FJ286" s="2133" t="str">
        <f t="shared" si="54"/>
        <v>--</v>
      </c>
      <c r="FK286" s="2133" t="str">
        <f t="shared" si="54"/>
        <v>--</v>
      </c>
      <c r="FL286" s="2133" t="str">
        <f t="shared" si="54"/>
        <v>--</v>
      </c>
      <c r="FM286" s="2133" t="str">
        <f t="shared" si="54"/>
        <v>--</v>
      </c>
      <c r="FN286" s="2133" t="str">
        <f t="shared" si="54"/>
        <v>--</v>
      </c>
      <c r="FO286" s="2133" t="str">
        <f t="shared" si="54"/>
        <v>--</v>
      </c>
      <c r="FP286" s="2133" t="str">
        <f t="shared" si="54"/>
        <v>--</v>
      </c>
      <c r="FQ286" s="2133" t="str">
        <f t="shared" si="54"/>
        <v>--</v>
      </c>
      <c r="FR286" s="2133" t="str">
        <f t="shared" si="54"/>
        <v>--</v>
      </c>
      <c r="FS286" s="2133" t="str">
        <f t="shared" si="54"/>
        <v>--</v>
      </c>
      <c r="FT286" s="2133" t="str">
        <f t="shared" si="54"/>
        <v>--</v>
      </c>
      <c r="FU286" s="2133" t="str">
        <f t="shared" si="54"/>
        <v>--</v>
      </c>
      <c r="FV286" s="2133" t="str">
        <f t="shared" si="54"/>
        <v>--</v>
      </c>
      <c r="FW286" s="2133" t="str">
        <f t="shared" si="54"/>
        <v>--</v>
      </c>
      <c r="FX286" s="2133" t="str">
        <f t="shared" si="54"/>
        <v>--</v>
      </c>
      <c r="FY286" s="2133" t="str">
        <f t="shared" si="54"/>
        <v>--</v>
      </c>
      <c r="FZ286" s="2133" t="str">
        <f t="shared" si="54"/>
        <v>--</v>
      </c>
      <c r="GA286" s="2133" t="str">
        <f t="shared" si="54"/>
        <v>--</v>
      </c>
      <c r="GB286" s="2133" t="str">
        <f t="shared" si="54"/>
        <v>--</v>
      </c>
      <c r="GC286" s="2133" t="str">
        <f t="shared" si="54"/>
        <v>--</v>
      </c>
      <c r="GD286" s="2133" t="str">
        <f t="shared" si="54"/>
        <v>--</v>
      </c>
      <c r="GE286" s="2133" t="str">
        <f t="shared" si="54"/>
        <v>--</v>
      </c>
      <c r="GF286" s="2133" t="str">
        <f t="shared" si="54"/>
        <v>--</v>
      </c>
      <c r="GG286" s="2133" t="str">
        <f t="shared" si="54"/>
        <v>--</v>
      </c>
      <c r="GH286" s="2133" t="str">
        <f t="shared" si="54"/>
        <v>--</v>
      </c>
      <c r="GI286" s="2133" t="str">
        <f t="shared" si="54"/>
        <v>--</v>
      </c>
      <c r="GJ286" s="2133" t="str">
        <f t="shared" si="54"/>
        <v>--</v>
      </c>
      <c r="GK286" s="2133" t="str">
        <f t="shared" si="54"/>
        <v>--</v>
      </c>
      <c r="GL286" s="2133" t="str">
        <f t="shared" si="54"/>
        <v>--</v>
      </c>
      <c r="GM286" s="2133" t="str">
        <f t="shared" si="54"/>
        <v>--</v>
      </c>
      <c r="GN286" s="2133" t="str">
        <f t="shared" si="54"/>
        <v>--</v>
      </c>
      <c r="GO286" s="2133" t="str">
        <f t="shared" si="54"/>
        <v>--</v>
      </c>
      <c r="GP286" s="2133" t="str">
        <f t="shared" si="54"/>
        <v>--</v>
      </c>
      <c r="GQ286" s="2133" t="str">
        <f t="shared" si="54"/>
        <v>--</v>
      </c>
      <c r="GR286" s="2133" t="str">
        <f t="shared" si="54"/>
        <v>--</v>
      </c>
      <c r="GS286" s="2133" t="str">
        <f t="shared" si="54"/>
        <v>--</v>
      </c>
      <c r="GT286" s="2133" t="str">
        <f t="shared" si="54"/>
        <v>--</v>
      </c>
      <c r="GU286" s="2133" t="str">
        <f t="shared" si="54"/>
        <v>--</v>
      </c>
      <c r="GV286" s="2133" t="str">
        <f t="shared" si="54"/>
        <v>--</v>
      </c>
      <c r="GW286" s="2133" t="str">
        <f t="shared" si="54"/>
        <v>--</v>
      </c>
      <c r="GX286" s="2133" t="str">
        <f t="shared" si="54"/>
        <v>--</v>
      </c>
      <c r="GY286" s="2133" t="str">
        <f t="shared" si="54"/>
        <v>--</v>
      </c>
      <c r="GZ286" s="2133" t="str">
        <f t="shared" si="54"/>
        <v>--</v>
      </c>
      <c r="HA286" s="2133" t="str">
        <f t="shared" si="54"/>
        <v>--</v>
      </c>
      <c r="HB286" s="2133" t="str">
        <f t="shared" si="54"/>
        <v>--</v>
      </c>
      <c r="HC286" s="2133" t="str">
        <f t="shared" si="54"/>
        <v>--</v>
      </c>
      <c r="HD286" s="2133" t="str">
        <f t="shared" si="54"/>
        <v>--</v>
      </c>
      <c r="HE286" s="2133" t="str">
        <f t="shared" si="54"/>
        <v>--</v>
      </c>
      <c r="HF286" s="2133" t="str">
        <f t="shared" si="55"/>
        <v>--</v>
      </c>
      <c r="HG286" s="2133" t="str">
        <f t="shared" si="55"/>
        <v>--</v>
      </c>
      <c r="HH286" s="2133" t="str">
        <f t="shared" si="55"/>
        <v>--</v>
      </c>
      <c r="HI286" s="2133" t="str">
        <f t="shared" si="55"/>
        <v>--</v>
      </c>
      <c r="HJ286" s="2133" t="str">
        <f t="shared" si="55"/>
        <v>--</v>
      </c>
      <c r="HK286" s="2133" t="str">
        <f t="shared" si="55"/>
        <v>--</v>
      </c>
      <c r="HL286" s="2133" t="str">
        <f t="shared" si="55"/>
        <v>--</v>
      </c>
      <c r="HM286" s="2133" t="str">
        <f t="shared" si="55"/>
        <v>--</v>
      </c>
      <c r="HN286" s="2133" t="str">
        <f t="shared" si="55"/>
        <v>--</v>
      </c>
      <c r="HO286" s="2133" t="str">
        <f t="shared" si="55"/>
        <v>--</v>
      </c>
      <c r="HP286" s="2133" t="str">
        <f t="shared" si="55"/>
        <v>--</v>
      </c>
      <c r="HQ286" s="2133" t="str">
        <f t="shared" si="55"/>
        <v>--</v>
      </c>
      <c r="HR286" s="2133" t="str">
        <f t="shared" si="55"/>
        <v>--</v>
      </c>
      <c r="HS286" s="2133" t="str">
        <f t="shared" si="55"/>
        <v>--</v>
      </c>
      <c r="HT286" s="2133" t="str">
        <f t="shared" si="55"/>
        <v>--</v>
      </c>
      <c r="HU286" s="2133" t="str">
        <f t="shared" si="55"/>
        <v>--</v>
      </c>
      <c r="HV286" s="2133" t="str">
        <f t="shared" si="55"/>
        <v>--</v>
      </c>
      <c r="HW286" s="2133" t="str">
        <f t="shared" si="55"/>
        <v>--</v>
      </c>
      <c r="HX286" s="2133" t="str">
        <f t="shared" si="55"/>
        <v>--</v>
      </c>
      <c r="HY286" s="2133" t="str">
        <f t="shared" si="55"/>
        <v>--</v>
      </c>
      <c r="HZ286" s="2133" t="str">
        <f t="shared" si="55"/>
        <v>--</v>
      </c>
      <c r="IA286" s="2133" t="str">
        <f t="shared" si="55"/>
        <v>--</v>
      </c>
      <c r="IB286" s="2133" t="str">
        <f t="shared" si="55"/>
        <v>--</v>
      </c>
      <c r="IC286" s="2133" t="str">
        <f t="shared" si="55"/>
        <v>--</v>
      </c>
      <c r="ID286" s="2133" t="str">
        <f t="shared" si="55"/>
        <v>--</v>
      </c>
      <c r="IE286" s="2133" t="str">
        <f t="shared" si="55"/>
        <v>--</v>
      </c>
      <c r="IF286" s="2133" t="str">
        <f t="shared" si="55"/>
        <v>--</v>
      </c>
      <c r="IG286" s="2133" t="str">
        <f t="shared" si="55"/>
        <v>--</v>
      </c>
      <c r="IH286" s="2133" t="str">
        <f t="shared" si="55"/>
        <v>--</v>
      </c>
      <c r="II286" s="2133" t="str">
        <f t="shared" si="55"/>
        <v>--</v>
      </c>
      <c r="IJ286" s="2133" t="str">
        <f t="shared" si="55"/>
        <v>--</v>
      </c>
      <c r="IK286" s="2133" t="str">
        <f t="shared" si="55"/>
        <v>--</v>
      </c>
      <c r="IL286" s="2133" t="str">
        <f t="shared" si="55"/>
        <v>--</v>
      </c>
      <c r="IM286" s="2133" t="str">
        <f t="shared" si="55"/>
        <v>--</v>
      </c>
      <c r="IN286" s="2133" t="str">
        <f t="shared" si="55"/>
        <v>--</v>
      </c>
      <c r="IO286" s="2133" t="str">
        <f t="shared" si="55"/>
        <v>--</v>
      </c>
      <c r="IP286" s="2133" t="str">
        <f t="shared" si="55"/>
        <v>--</v>
      </c>
      <c r="IQ286" s="2133" t="str">
        <f t="shared" si="55"/>
        <v>--</v>
      </c>
      <c r="IR286" s="2133" t="str">
        <f t="shared" si="55"/>
        <v>--</v>
      </c>
      <c r="IS286" s="2133" t="str">
        <f t="shared" si="55"/>
        <v>--</v>
      </c>
      <c r="IT286" s="2133" t="str">
        <f t="shared" si="55"/>
        <v>--</v>
      </c>
      <c r="IU286" s="2133" t="str">
        <f t="shared" si="55"/>
        <v>--</v>
      </c>
      <c r="IV286" s="2133" t="str">
        <f t="shared" si="55"/>
        <v>--</v>
      </c>
      <c r="IW286" s="2133" t="str">
        <f t="shared" si="55"/>
        <v>--</v>
      </c>
      <c r="IX286" s="2133" t="str">
        <f t="shared" si="55"/>
        <v>--</v>
      </c>
      <c r="IY286" s="2133" t="str">
        <f t="shared" si="55"/>
        <v>--</v>
      </c>
      <c r="IZ286" s="2133" t="str">
        <f t="shared" si="55"/>
        <v>--</v>
      </c>
      <c r="JA286" s="2133" t="str">
        <f t="shared" si="55"/>
        <v>--</v>
      </c>
      <c r="JB286" s="2133" t="str">
        <f t="shared" si="55"/>
        <v>--</v>
      </c>
      <c r="JC286" s="2133" t="str">
        <f t="shared" si="55"/>
        <v>--</v>
      </c>
      <c r="JD286" s="2133" t="str">
        <f t="shared" si="55"/>
        <v>--</v>
      </c>
      <c r="JE286" s="2133" t="str">
        <f t="shared" si="55"/>
        <v>--</v>
      </c>
      <c r="JF286" s="2133" t="str">
        <f t="shared" si="55"/>
        <v>--</v>
      </c>
      <c r="JG286" s="2133" t="str">
        <f t="shared" si="55"/>
        <v>--</v>
      </c>
      <c r="JH286" s="2133" t="str">
        <f t="shared" si="55"/>
        <v>--</v>
      </c>
      <c r="JI286" s="2133" t="str">
        <f t="shared" si="55"/>
        <v>--</v>
      </c>
      <c r="JJ286" s="2133" t="str">
        <f t="shared" si="55"/>
        <v>--</v>
      </c>
      <c r="JK286" s="2133" t="str">
        <f t="shared" si="55"/>
        <v>--</v>
      </c>
      <c r="JL286" s="2133" t="str">
        <f t="shared" si="55"/>
        <v>--</v>
      </c>
      <c r="JM286" s="2133" t="str">
        <f t="shared" si="55"/>
        <v>--</v>
      </c>
      <c r="JN286" s="2133" t="str">
        <f t="shared" si="55"/>
        <v>--</v>
      </c>
      <c r="JO286" s="2133" t="str">
        <f t="shared" si="55"/>
        <v>--</v>
      </c>
      <c r="JP286" s="2133" t="str">
        <f t="shared" si="55"/>
        <v>--</v>
      </c>
      <c r="JQ286" s="2133" t="str">
        <f t="shared" si="55"/>
        <v>--</v>
      </c>
      <c r="JR286" s="2133" t="str">
        <f t="shared" si="56"/>
        <v>--</v>
      </c>
      <c r="JS286" s="2133" t="str">
        <f t="shared" si="56"/>
        <v>--</v>
      </c>
      <c r="JT286" s="2133" t="str">
        <f t="shared" si="56"/>
        <v>--</v>
      </c>
      <c r="JU286" s="2133" t="str">
        <f t="shared" si="56"/>
        <v>--</v>
      </c>
      <c r="JV286" s="2133" t="str">
        <f t="shared" si="56"/>
        <v>--</v>
      </c>
      <c r="JW286" s="2133" t="str">
        <f t="shared" si="56"/>
        <v>--</v>
      </c>
      <c r="JX286" s="2133" t="str">
        <f t="shared" si="56"/>
        <v>--</v>
      </c>
      <c r="JY286" s="2133" t="str">
        <f t="shared" si="56"/>
        <v>--</v>
      </c>
      <c r="JZ286" s="2133" t="str">
        <f t="shared" si="56"/>
        <v>--</v>
      </c>
      <c r="KA286" s="2133" t="str">
        <f t="shared" si="56"/>
        <v>--</v>
      </c>
      <c r="KB286" s="2133" t="str">
        <f t="shared" si="56"/>
        <v>--</v>
      </c>
    </row>
    <row r="287" spans="1:288" s="89" customFormat="1" ht="13.9">
      <c r="A287" s="269" t="str">
        <f t="shared" ref="A287:A310" si="58">IF(F287="--","n","")</f>
        <v>n</v>
      </c>
      <c r="B287" s="2060"/>
      <c r="D287" s="801"/>
      <c r="E287" s="1505">
        <v>2</v>
      </c>
      <c r="F287" s="21" t="str">
        <f>F$130</f>
        <v>--</v>
      </c>
      <c r="G287" s="1441">
        <f>G$130</f>
        <v>0</v>
      </c>
      <c r="H287" s="1441" t="str">
        <f>H$130</f>
        <v>--</v>
      </c>
      <c r="I287" s="89" t="s">
        <v>786</v>
      </c>
      <c r="K287" s="2301" t="str">
        <f>IF(OR(K193=0,$G287=0),"--",IFERROR(_xll.ciqfunctions.udf.CIQ($G287,$I287,K101,Valuation_Date_GC,ReportType,DataMode,$H287,FXMode)*Scale,"--"))</f>
        <v>--</v>
      </c>
      <c r="L287" s="2301" t="str">
        <f>IF(OR(L193=0,$G287=0),"--",IFERROR(_xll.ciqfunctions.udf.CIQ($G287,$I287,L101,Valuation_Date_GC,ReportType,DataMode,$H287,FXMode)*Scale,"--"))</f>
        <v>--</v>
      </c>
      <c r="M287" s="2301" t="str">
        <f>IF(OR(M193=0,$G287=0),"--",IFERROR(_xll.ciqfunctions.udf.CIQ($G287,$I287,M101,Valuation_Date_GC,ReportType,DataMode,$H287,FXMode)*Scale,"--"))</f>
        <v>--</v>
      </c>
      <c r="N287" s="2301" t="str">
        <f>IF(OR(N193=0,$G287=0),"--",IFERROR(_xll.ciqfunctions.udf.CIQ($G287,$I287,N101,Valuation_Date_GC,ReportType,DataMode,$H287,FXMode)*Scale,"--"))</f>
        <v>--</v>
      </c>
      <c r="O287" s="1471" t="str">
        <f>IF(OR(O193=0,$G287=0),"--",IFERROR(_xll.ciqfunctions.udf.CIQ($G287,$I287,O101,Valuation_Date_GC,ReportType,DataMode,$H287,FXMode)*Scale,"--"))</f>
        <v>--</v>
      </c>
      <c r="P287" s="2301" t="str">
        <f>IF(OR(P193=0,$G287=0),"--",IFERROR(_xll.ciqfunctions.udf.CIQ($G287,$I287,P101,Valuation_Date_GC,ReportType,DataMode,$H287,FXMode)*Scale,"--"))</f>
        <v>--</v>
      </c>
      <c r="R287" s="255"/>
      <c r="S287" s="1958" t="str">
        <f t="shared" si="51"/>
        <v>--</v>
      </c>
      <c r="T287" s="1779" t="s">
        <v>787</v>
      </c>
      <c r="U287" s="2133" t="str">
        <f t="shared" si="57"/>
        <v>--</v>
      </c>
      <c r="V287" s="2133" t="str">
        <f t="shared" si="52"/>
        <v>--</v>
      </c>
      <c r="W287" s="2133" t="str">
        <f t="shared" si="52"/>
        <v>--</v>
      </c>
      <c r="X287" s="2133" t="str">
        <f t="shared" si="52"/>
        <v>--</v>
      </c>
      <c r="Y287" s="2133" t="str">
        <f t="shared" si="52"/>
        <v>--</v>
      </c>
      <c r="Z287" s="2133" t="str">
        <f t="shared" si="52"/>
        <v>--</v>
      </c>
      <c r="AA287" s="2133" t="str">
        <f t="shared" si="52"/>
        <v>--</v>
      </c>
      <c r="AB287" s="2133" t="str">
        <f t="shared" si="52"/>
        <v>--</v>
      </c>
      <c r="AC287" s="2133" t="str">
        <f t="shared" si="52"/>
        <v>--</v>
      </c>
      <c r="AD287" s="2133" t="str">
        <f t="shared" si="52"/>
        <v>--</v>
      </c>
      <c r="AE287" s="2133" t="str">
        <f t="shared" si="52"/>
        <v>--</v>
      </c>
      <c r="AF287" s="2133" t="str">
        <f t="shared" si="52"/>
        <v>--</v>
      </c>
      <c r="AG287" s="2133" t="str">
        <f t="shared" si="52"/>
        <v>--</v>
      </c>
      <c r="AH287" s="2133" t="str">
        <f t="shared" si="52"/>
        <v>--</v>
      </c>
      <c r="AI287" s="2133" t="str">
        <f t="shared" si="52"/>
        <v>--</v>
      </c>
      <c r="AJ287" s="2133" t="str">
        <f t="shared" si="52"/>
        <v>--</v>
      </c>
      <c r="AK287" s="2133" t="str">
        <f t="shared" si="52"/>
        <v>--</v>
      </c>
      <c r="AL287" s="2133" t="str">
        <f t="shared" si="52"/>
        <v>--</v>
      </c>
      <c r="AM287" s="2133" t="str">
        <f t="shared" si="52"/>
        <v>--</v>
      </c>
      <c r="AN287" s="2133" t="str">
        <f t="shared" si="52"/>
        <v>--</v>
      </c>
      <c r="AO287" s="2133" t="str">
        <f t="shared" si="52"/>
        <v>--</v>
      </c>
      <c r="AP287" s="2133" t="str">
        <f t="shared" si="52"/>
        <v>--</v>
      </c>
      <c r="AQ287" s="2133" t="str">
        <f t="shared" si="52"/>
        <v>--</v>
      </c>
      <c r="AR287" s="2133" t="str">
        <f t="shared" si="52"/>
        <v>--</v>
      </c>
      <c r="AS287" s="2133" t="str">
        <f t="shared" si="52"/>
        <v>--</v>
      </c>
      <c r="AT287" s="2133" t="str">
        <f t="shared" si="52"/>
        <v>--</v>
      </c>
      <c r="AU287" s="2133" t="str">
        <f t="shared" si="52"/>
        <v>--</v>
      </c>
      <c r="AV287" s="2133" t="str">
        <f t="shared" si="52"/>
        <v>--</v>
      </c>
      <c r="AW287" s="2133" t="str">
        <f t="shared" si="52"/>
        <v>--</v>
      </c>
      <c r="AX287" s="2133" t="str">
        <f t="shared" si="52"/>
        <v>--</v>
      </c>
      <c r="AY287" s="2133" t="str">
        <f t="shared" si="52"/>
        <v>--</v>
      </c>
      <c r="AZ287" s="2133" t="str">
        <f t="shared" si="52"/>
        <v>--</v>
      </c>
      <c r="BA287" s="2133" t="str">
        <f t="shared" si="52"/>
        <v>--</v>
      </c>
      <c r="BB287" s="2133" t="str">
        <f t="shared" si="52"/>
        <v>--</v>
      </c>
      <c r="BC287" s="2133" t="str">
        <f t="shared" si="52"/>
        <v>--</v>
      </c>
      <c r="BD287" s="2133" t="str">
        <f t="shared" si="52"/>
        <v>--</v>
      </c>
      <c r="BE287" s="2133" t="str">
        <f t="shared" si="52"/>
        <v>--</v>
      </c>
      <c r="BF287" s="2133" t="str">
        <f t="shared" si="52"/>
        <v>--</v>
      </c>
      <c r="BG287" s="2133" t="str">
        <f t="shared" si="52"/>
        <v>--</v>
      </c>
      <c r="BH287" s="2133" t="str">
        <f t="shared" si="52"/>
        <v>--</v>
      </c>
      <c r="BI287" s="2133" t="str">
        <f t="shared" si="52"/>
        <v>--</v>
      </c>
      <c r="BJ287" s="2133" t="str">
        <f t="shared" si="52"/>
        <v>--</v>
      </c>
      <c r="BK287" s="2133" t="str">
        <f t="shared" si="52"/>
        <v>--</v>
      </c>
      <c r="BL287" s="2133" t="str">
        <f t="shared" si="52"/>
        <v>--</v>
      </c>
      <c r="BM287" s="2133" t="str">
        <f t="shared" si="52"/>
        <v>--</v>
      </c>
      <c r="BN287" s="2133" t="str">
        <f t="shared" si="52"/>
        <v>--</v>
      </c>
      <c r="BO287" s="2133" t="str">
        <f t="shared" si="52"/>
        <v>--</v>
      </c>
      <c r="BP287" s="2133" t="str">
        <f t="shared" si="52"/>
        <v>--</v>
      </c>
      <c r="BQ287" s="2133" t="str">
        <f t="shared" si="52"/>
        <v>--</v>
      </c>
      <c r="BR287" s="2133" t="str">
        <f t="shared" si="52"/>
        <v>--</v>
      </c>
      <c r="BS287" s="2133" t="str">
        <f t="shared" si="52"/>
        <v>--</v>
      </c>
      <c r="BT287" s="2133" t="str">
        <f t="shared" si="52"/>
        <v>--</v>
      </c>
      <c r="BU287" s="2133" t="str">
        <f t="shared" si="52"/>
        <v>--</v>
      </c>
      <c r="BV287" s="2133" t="str">
        <f t="shared" si="52"/>
        <v>--</v>
      </c>
      <c r="BW287" s="2133" t="str">
        <f t="shared" si="52"/>
        <v>--</v>
      </c>
      <c r="BX287" s="2133" t="str">
        <f t="shared" si="52"/>
        <v>--</v>
      </c>
      <c r="BY287" s="2133" t="str">
        <f t="shared" si="52"/>
        <v>--</v>
      </c>
      <c r="BZ287" s="2133" t="str">
        <f t="shared" si="52"/>
        <v>--</v>
      </c>
      <c r="CA287" s="2133" t="str">
        <f t="shared" si="52"/>
        <v>--</v>
      </c>
      <c r="CB287" s="2133" t="str">
        <f t="shared" si="52"/>
        <v>--</v>
      </c>
      <c r="CC287" s="2133" t="str">
        <f t="shared" si="52"/>
        <v>--</v>
      </c>
      <c r="CD287" s="2133" t="str">
        <f t="shared" si="52"/>
        <v>--</v>
      </c>
      <c r="CE287" s="2133" t="str">
        <f t="shared" si="52"/>
        <v>--</v>
      </c>
      <c r="CF287" s="2133" t="str">
        <f t="shared" si="52"/>
        <v>--</v>
      </c>
      <c r="CG287" s="2133" t="str">
        <f t="shared" si="52"/>
        <v>--</v>
      </c>
      <c r="CH287" s="2133" t="str">
        <f t="shared" si="53"/>
        <v>--</v>
      </c>
      <c r="CI287" s="2133" t="str">
        <f t="shared" si="53"/>
        <v>--</v>
      </c>
      <c r="CJ287" s="2133" t="str">
        <f t="shared" si="53"/>
        <v>--</v>
      </c>
      <c r="CK287" s="2133" t="str">
        <f t="shared" si="53"/>
        <v>--</v>
      </c>
      <c r="CL287" s="2133" t="str">
        <f t="shared" si="53"/>
        <v>--</v>
      </c>
      <c r="CM287" s="2133" t="str">
        <f t="shared" si="53"/>
        <v>--</v>
      </c>
      <c r="CN287" s="2133" t="str">
        <f t="shared" si="53"/>
        <v>--</v>
      </c>
      <c r="CO287" s="2133" t="str">
        <f t="shared" si="53"/>
        <v>--</v>
      </c>
      <c r="CP287" s="2133" t="str">
        <f t="shared" si="53"/>
        <v>--</v>
      </c>
      <c r="CQ287" s="2133" t="str">
        <f t="shared" si="53"/>
        <v>--</v>
      </c>
      <c r="CR287" s="2133" t="str">
        <f t="shared" si="53"/>
        <v>--</v>
      </c>
      <c r="CS287" s="2133" t="str">
        <f t="shared" si="53"/>
        <v>--</v>
      </c>
      <c r="CT287" s="2133" t="str">
        <f t="shared" si="53"/>
        <v>--</v>
      </c>
      <c r="CU287" s="2133" t="str">
        <f t="shared" si="53"/>
        <v>--</v>
      </c>
      <c r="CV287" s="2133" t="str">
        <f t="shared" si="53"/>
        <v>--</v>
      </c>
      <c r="CW287" s="2133" t="str">
        <f t="shared" si="53"/>
        <v>--</v>
      </c>
      <c r="CX287" s="2133" t="str">
        <f t="shared" si="53"/>
        <v>--</v>
      </c>
      <c r="CY287" s="2133" t="str">
        <f t="shared" si="53"/>
        <v>--</v>
      </c>
      <c r="CZ287" s="2133" t="str">
        <f t="shared" si="53"/>
        <v>--</v>
      </c>
      <c r="DA287" s="2133" t="str">
        <f t="shared" si="53"/>
        <v>--</v>
      </c>
      <c r="DB287" s="2133" t="str">
        <f t="shared" si="53"/>
        <v>--</v>
      </c>
      <c r="DC287" s="2133" t="str">
        <f t="shared" si="53"/>
        <v>--</v>
      </c>
      <c r="DD287" s="2133" t="str">
        <f t="shared" si="53"/>
        <v>--</v>
      </c>
      <c r="DE287" s="2133" t="str">
        <f t="shared" si="53"/>
        <v>--</v>
      </c>
      <c r="DF287" s="2133" t="str">
        <f t="shared" si="53"/>
        <v>--</v>
      </c>
      <c r="DG287" s="2133" t="str">
        <f t="shared" si="53"/>
        <v>--</v>
      </c>
      <c r="DH287" s="2133" t="str">
        <f t="shared" si="53"/>
        <v>--</v>
      </c>
      <c r="DI287" s="2133" t="str">
        <f t="shared" si="53"/>
        <v>--</v>
      </c>
      <c r="DJ287" s="2133" t="str">
        <f t="shared" si="53"/>
        <v>--</v>
      </c>
      <c r="DK287" s="2133" t="str">
        <f t="shared" si="53"/>
        <v>--</v>
      </c>
      <c r="DL287" s="2133" t="str">
        <f t="shared" si="53"/>
        <v>--</v>
      </c>
      <c r="DM287" s="2133" t="str">
        <f t="shared" si="53"/>
        <v>--</v>
      </c>
      <c r="DN287" s="2133" t="str">
        <f t="shared" si="53"/>
        <v>--</v>
      </c>
      <c r="DO287" s="2133" t="str">
        <f t="shared" si="53"/>
        <v>--</v>
      </c>
      <c r="DP287" s="2133" t="str">
        <f t="shared" si="53"/>
        <v>--</v>
      </c>
      <c r="DQ287" s="2133" t="str">
        <f t="shared" si="53"/>
        <v>--</v>
      </c>
      <c r="DR287" s="2133" t="str">
        <f t="shared" si="53"/>
        <v>--</v>
      </c>
      <c r="DS287" s="2133" t="str">
        <f t="shared" si="53"/>
        <v>--</v>
      </c>
      <c r="DT287" s="2133" t="str">
        <f t="shared" si="53"/>
        <v>--</v>
      </c>
      <c r="DU287" s="2133" t="str">
        <f t="shared" si="53"/>
        <v>--</v>
      </c>
      <c r="DV287" s="2133" t="str">
        <f t="shared" si="53"/>
        <v>--</v>
      </c>
      <c r="DW287" s="2133" t="str">
        <f t="shared" si="53"/>
        <v>--</v>
      </c>
      <c r="DX287" s="2133" t="str">
        <f t="shared" si="53"/>
        <v>--</v>
      </c>
      <c r="DY287" s="2133" t="str">
        <f t="shared" si="53"/>
        <v>--</v>
      </c>
      <c r="DZ287" s="2133" t="str">
        <f t="shared" si="53"/>
        <v>--</v>
      </c>
      <c r="EA287" s="2133" t="str">
        <f t="shared" si="53"/>
        <v>--</v>
      </c>
      <c r="EB287" s="2133" t="str">
        <f t="shared" si="53"/>
        <v>--</v>
      </c>
      <c r="EC287" s="2133" t="str">
        <f t="shared" si="53"/>
        <v>--</v>
      </c>
      <c r="ED287" s="2133" t="str">
        <f t="shared" si="53"/>
        <v>--</v>
      </c>
      <c r="EE287" s="2133" t="str">
        <f t="shared" si="53"/>
        <v>--</v>
      </c>
      <c r="EF287" s="2133" t="str">
        <f t="shared" si="53"/>
        <v>--</v>
      </c>
      <c r="EG287" s="2133" t="str">
        <f t="shared" si="53"/>
        <v>--</v>
      </c>
      <c r="EH287" s="2133" t="str">
        <f t="shared" si="53"/>
        <v>--</v>
      </c>
      <c r="EI287" s="2133" t="str">
        <f t="shared" si="53"/>
        <v>--</v>
      </c>
      <c r="EJ287" s="2133" t="str">
        <f t="shared" si="53"/>
        <v>--</v>
      </c>
      <c r="EK287" s="2133" t="str">
        <f t="shared" si="53"/>
        <v>--</v>
      </c>
      <c r="EL287" s="2133" t="str">
        <f t="shared" si="53"/>
        <v>--</v>
      </c>
      <c r="EM287" s="2133" t="str">
        <f t="shared" si="53"/>
        <v>--</v>
      </c>
      <c r="EN287" s="2133" t="str">
        <f t="shared" si="53"/>
        <v>--</v>
      </c>
      <c r="EO287" s="2133" t="str">
        <f t="shared" si="53"/>
        <v>--</v>
      </c>
      <c r="EP287" s="2133" t="str">
        <f t="shared" si="53"/>
        <v>--</v>
      </c>
      <c r="EQ287" s="2133" t="str">
        <f t="shared" si="53"/>
        <v>--</v>
      </c>
      <c r="ER287" s="2133" t="str">
        <f t="shared" si="53"/>
        <v>--</v>
      </c>
      <c r="ES287" s="2133" t="str">
        <f t="shared" si="53"/>
        <v>--</v>
      </c>
      <c r="ET287" s="2133" t="str">
        <f t="shared" si="54"/>
        <v>--</v>
      </c>
      <c r="EU287" s="2133" t="str">
        <f t="shared" si="54"/>
        <v>--</v>
      </c>
      <c r="EV287" s="2133" t="str">
        <f t="shared" si="54"/>
        <v>--</v>
      </c>
      <c r="EW287" s="2133" t="str">
        <f t="shared" si="54"/>
        <v>--</v>
      </c>
      <c r="EX287" s="2133" t="str">
        <f t="shared" si="54"/>
        <v>--</v>
      </c>
      <c r="EY287" s="2133" t="str">
        <f t="shared" si="54"/>
        <v>--</v>
      </c>
      <c r="EZ287" s="2133" t="str">
        <f t="shared" si="54"/>
        <v>--</v>
      </c>
      <c r="FA287" s="2133" t="str">
        <f t="shared" si="54"/>
        <v>--</v>
      </c>
      <c r="FB287" s="2133" t="str">
        <f t="shared" si="54"/>
        <v>--</v>
      </c>
      <c r="FC287" s="2133" t="str">
        <f t="shared" si="54"/>
        <v>--</v>
      </c>
      <c r="FD287" s="2133" t="str">
        <f t="shared" si="54"/>
        <v>--</v>
      </c>
      <c r="FE287" s="2133" t="str">
        <f t="shared" si="54"/>
        <v>--</v>
      </c>
      <c r="FF287" s="2133" t="str">
        <f t="shared" si="54"/>
        <v>--</v>
      </c>
      <c r="FG287" s="2133" t="str">
        <f t="shared" si="54"/>
        <v>--</v>
      </c>
      <c r="FH287" s="2133" t="str">
        <f t="shared" si="54"/>
        <v>--</v>
      </c>
      <c r="FI287" s="2133" t="str">
        <f t="shared" si="54"/>
        <v>--</v>
      </c>
      <c r="FJ287" s="2133" t="str">
        <f t="shared" si="54"/>
        <v>--</v>
      </c>
      <c r="FK287" s="2133" t="str">
        <f t="shared" si="54"/>
        <v>--</v>
      </c>
      <c r="FL287" s="2133" t="str">
        <f t="shared" si="54"/>
        <v>--</v>
      </c>
      <c r="FM287" s="2133" t="str">
        <f t="shared" si="54"/>
        <v>--</v>
      </c>
      <c r="FN287" s="2133" t="str">
        <f t="shared" si="54"/>
        <v>--</v>
      </c>
      <c r="FO287" s="2133" t="str">
        <f t="shared" si="54"/>
        <v>--</v>
      </c>
      <c r="FP287" s="2133" t="str">
        <f t="shared" si="54"/>
        <v>--</v>
      </c>
      <c r="FQ287" s="2133" t="str">
        <f t="shared" si="54"/>
        <v>--</v>
      </c>
      <c r="FR287" s="2133" t="str">
        <f t="shared" si="54"/>
        <v>--</v>
      </c>
      <c r="FS287" s="2133" t="str">
        <f t="shared" si="54"/>
        <v>--</v>
      </c>
      <c r="FT287" s="2133" t="str">
        <f t="shared" si="54"/>
        <v>--</v>
      </c>
      <c r="FU287" s="2133" t="str">
        <f t="shared" si="54"/>
        <v>--</v>
      </c>
      <c r="FV287" s="2133" t="str">
        <f t="shared" si="54"/>
        <v>--</v>
      </c>
      <c r="FW287" s="2133" t="str">
        <f t="shared" si="54"/>
        <v>--</v>
      </c>
      <c r="FX287" s="2133" t="str">
        <f t="shared" si="54"/>
        <v>--</v>
      </c>
      <c r="FY287" s="2133" t="str">
        <f t="shared" si="54"/>
        <v>--</v>
      </c>
      <c r="FZ287" s="2133" t="str">
        <f t="shared" si="54"/>
        <v>--</v>
      </c>
      <c r="GA287" s="2133" t="str">
        <f t="shared" si="54"/>
        <v>--</v>
      </c>
      <c r="GB287" s="2133" t="str">
        <f t="shared" si="54"/>
        <v>--</v>
      </c>
      <c r="GC287" s="2133" t="str">
        <f t="shared" si="54"/>
        <v>--</v>
      </c>
      <c r="GD287" s="2133" t="str">
        <f t="shared" si="54"/>
        <v>--</v>
      </c>
      <c r="GE287" s="2133" t="str">
        <f t="shared" si="54"/>
        <v>--</v>
      </c>
      <c r="GF287" s="2133" t="str">
        <f t="shared" si="54"/>
        <v>--</v>
      </c>
      <c r="GG287" s="2133" t="str">
        <f t="shared" si="54"/>
        <v>--</v>
      </c>
      <c r="GH287" s="2133" t="str">
        <f t="shared" si="54"/>
        <v>--</v>
      </c>
      <c r="GI287" s="2133" t="str">
        <f t="shared" si="54"/>
        <v>--</v>
      </c>
      <c r="GJ287" s="2133" t="str">
        <f t="shared" si="54"/>
        <v>--</v>
      </c>
      <c r="GK287" s="2133" t="str">
        <f t="shared" si="54"/>
        <v>--</v>
      </c>
      <c r="GL287" s="2133" t="str">
        <f t="shared" si="54"/>
        <v>--</v>
      </c>
      <c r="GM287" s="2133" t="str">
        <f t="shared" si="54"/>
        <v>--</v>
      </c>
      <c r="GN287" s="2133" t="str">
        <f t="shared" si="54"/>
        <v>--</v>
      </c>
      <c r="GO287" s="2133" t="str">
        <f t="shared" si="54"/>
        <v>--</v>
      </c>
      <c r="GP287" s="2133" t="str">
        <f t="shared" si="54"/>
        <v>--</v>
      </c>
      <c r="GQ287" s="2133" t="str">
        <f t="shared" si="54"/>
        <v>--</v>
      </c>
      <c r="GR287" s="2133" t="str">
        <f t="shared" si="54"/>
        <v>--</v>
      </c>
      <c r="GS287" s="2133" t="str">
        <f t="shared" si="54"/>
        <v>--</v>
      </c>
      <c r="GT287" s="2133" t="str">
        <f t="shared" si="54"/>
        <v>--</v>
      </c>
      <c r="GU287" s="2133" t="str">
        <f t="shared" si="54"/>
        <v>--</v>
      </c>
      <c r="GV287" s="2133" t="str">
        <f t="shared" si="54"/>
        <v>--</v>
      </c>
      <c r="GW287" s="2133" t="str">
        <f t="shared" si="54"/>
        <v>--</v>
      </c>
      <c r="GX287" s="2133" t="str">
        <f t="shared" si="54"/>
        <v>--</v>
      </c>
      <c r="GY287" s="2133" t="str">
        <f t="shared" si="54"/>
        <v>--</v>
      </c>
      <c r="GZ287" s="2133" t="str">
        <f t="shared" si="54"/>
        <v>--</v>
      </c>
      <c r="HA287" s="2133" t="str">
        <f t="shared" si="54"/>
        <v>--</v>
      </c>
      <c r="HB287" s="2133" t="str">
        <f t="shared" si="54"/>
        <v>--</v>
      </c>
      <c r="HC287" s="2133" t="str">
        <f t="shared" si="54"/>
        <v>--</v>
      </c>
      <c r="HD287" s="2133" t="str">
        <f t="shared" si="54"/>
        <v>--</v>
      </c>
      <c r="HE287" s="2133" t="str">
        <f t="shared" si="54"/>
        <v>--</v>
      </c>
      <c r="HF287" s="2133" t="str">
        <f t="shared" si="55"/>
        <v>--</v>
      </c>
      <c r="HG287" s="2133" t="str">
        <f t="shared" si="55"/>
        <v>--</v>
      </c>
      <c r="HH287" s="2133" t="str">
        <f t="shared" si="55"/>
        <v>--</v>
      </c>
      <c r="HI287" s="2133" t="str">
        <f t="shared" si="55"/>
        <v>--</v>
      </c>
      <c r="HJ287" s="2133" t="str">
        <f t="shared" si="55"/>
        <v>--</v>
      </c>
      <c r="HK287" s="2133" t="str">
        <f t="shared" si="55"/>
        <v>--</v>
      </c>
      <c r="HL287" s="2133" t="str">
        <f t="shared" si="55"/>
        <v>--</v>
      </c>
      <c r="HM287" s="2133" t="str">
        <f t="shared" si="55"/>
        <v>--</v>
      </c>
      <c r="HN287" s="2133" t="str">
        <f t="shared" si="55"/>
        <v>--</v>
      </c>
      <c r="HO287" s="2133" t="str">
        <f t="shared" si="55"/>
        <v>--</v>
      </c>
      <c r="HP287" s="2133" t="str">
        <f t="shared" si="55"/>
        <v>--</v>
      </c>
      <c r="HQ287" s="2133" t="str">
        <f t="shared" si="55"/>
        <v>--</v>
      </c>
      <c r="HR287" s="2133" t="str">
        <f t="shared" si="55"/>
        <v>--</v>
      </c>
      <c r="HS287" s="2133" t="str">
        <f t="shared" si="55"/>
        <v>--</v>
      </c>
      <c r="HT287" s="2133" t="str">
        <f t="shared" si="55"/>
        <v>--</v>
      </c>
      <c r="HU287" s="2133" t="str">
        <f t="shared" si="55"/>
        <v>--</v>
      </c>
      <c r="HV287" s="2133" t="str">
        <f t="shared" si="55"/>
        <v>--</v>
      </c>
      <c r="HW287" s="2133" t="str">
        <f t="shared" si="55"/>
        <v>--</v>
      </c>
      <c r="HX287" s="2133" t="str">
        <f t="shared" si="55"/>
        <v>--</v>
      </c>
      <c r="HY287" s="2133" t="str">
        <f t="shared" si="55"/>
        <v>--</v>
      </c>
      <c r="HZ287" s="2133" t="str">
        <f t="shared" si="55"/>
        <v>--</v>
      </c>
      <c r="IA287" s="2133" t="str">
        <f t="shared" si="55"/>
        <v>--</v>
      </c>
      <c r="IB287" s="2133" t="str">
        <f t="shared" si="55"/>
        <v>--</v>
      </c>
      <c r="IC287" s="2133" t="str">
        <f t="shared" si="55"/>
        <v>--</v>
      </c>
      <c r="ID287" s="2133" t="str">
        <f t="shared" si="55"/>
        <v>--</v>
      </c>
      <c r="IE287" s="2133" t="str">
        <f t="shared" si="55"/>
        <v>--</v>
      </c>
      <c r="IF287" s="2133" t="str">
        <f t="shared" si="55"/>
        <v>--</v>
      </c>
      <c r="IG287" s="2133" t="str">
        <f t="shared" si="55"/>
        <v>--</v>
      </c>
      <c r="IH287" s="2133" t="str">
        <f t="shared" si="55"/>
        <v>--</v>
      </c>
      <c r="II287" s="2133" t="str">
        <f t="shared" si="55"/>
        <v>--</v>
      </c>
      <c r="IJ287" s="2133" t="str">
        <f t="shared" si="55"/>
        <v>--</v>
      </c>
      <c r="IK287" s="2133" t="str">
        <f t="shared" si="55"/>
        <v>--</v>
      </c>
      <c r="IL287" s="2133" t="str">
        <f t="shared" si="55"/>
        <v>--</v>
      </c>
      <c r="IM287" s="2133" t="str">
        <f t="shared" si="55"/>
        <v>--</v>
      </c>
      <c r="IN287" s="2133" t="str">
        <f t="shared" si="55"/>
        <v>--</v>
      </c>
      <c r="IO287" s="2133" t="str">
        <f t="shared" si="55"/>
        <v>--</v>
      </c>
      <c r="IP287" s="2133" t="str">
        <f t="shared" si="55"/>
        <v>--</v>
      </c>
      <c r="IQ287" s="2133" t="str">
        <f t="shared" si="55"/>
        <v>--</v>
      </c>
      <c r="IR287" s="2133" t="str">
        <f t="shared" si="55"/>
        <v>--</v>
      </c>
      <c r="IS287" s="2133" t="str">
        <f t="shared" si="55"/>
        <v>--</v>
      </c>
      <c r="IT287" s="2133" t="str">
        <f t="shared" si="55"/>
        <v>--</v>
      </c>
      <c r="IU287" s="2133" t="str">
        <f t="shared" si="55"/>
        <v>--</v>
      </c>
      <c r="IV287" s="2133" t="str">
        <f t="shared" si="55"/>
        <v>--</v>
      </c>
      <c r="IW287" s="2133" t="str">
        <f t="shared" si="55"/>
        <v>--</v>
      </c>
      <c r="IX287" s="2133" t="str">
        <f t="shared" si="55"/>
        <v>--</v>
      </c>
      <c r="IY287" s="2133" t="str">
        <f t="shared" si="55"/>
        <v>--</v>
      </c>
      <c r="IZ287" s="2133" t="str">
        <f t="shared" si="55"/>
        <v>--</v>
      </c>
      <c r="JA287" s="2133" t="str">
        <f t="shared" si="55"/>
        <v>--</v>
      </c>
      <c r="JB287" s="2133" t="str">
        <f t="shared" si="55"/>
        <v>--</v>
      </c>
      <c r="JC287" s="2133" t="str">
        <f t="shared" si="55"/>
        <v>--</v>
      </c>
      <c r="JD287" s="2133" t="str">
        <f t="shared" si="55"/>
        <v>--</v>
      </c>
      <c r="JE287" s="2133" t="str">
        <f t="shared" si="55"/>
        <v>--</v>
      </c>
      <c r="JF287" s="2133" t="str">
        <f t="shared" si="55"/>
        <v>--</v>
      </c>
      <c r="JG287" s="2133" t="str">
        <f t="shared" si="55"/>
        <v>--</v>
      </c>
      <c r="JH287" s="2133" t="str">
        <f t="shared" si="55"/>
        <v>--</v>
      </c>
      <c r="JI287" s="2133" t="str">
        <f t="shared" si="55"/>
        <v>--</v>
      </c>
      <c r="JJ287" s="2133" t="str">
        <f t="shared" si="55"/>
        <v>--</v>
      </c>
      <c r="JK287" s="2133" t="str">
        <f t="shared" si="55"/>
        <v>--</v>
      </c>
      <c r="JL287" s="2133" t="str">
        <f t="shared" si="55"/>
        <v>--</v>
      </c>
      <c r="JM287" s="2133" t="str">
        <f t="shared" si="55"/>
        <v>--</v>
      </c>
      <c r="JN287" s="2133" t="str">
        <f t="shared" si="55"/>
        <v>--</v>
      </c>
      <c r="JO287" s="2133" t="str">
        <f t="shared" si="55"/>
        <v>--</v>
      </c>
      <c r="JP287" s="2133" t="str">
        <f t="shared" si="55"/>
        <v>--</v>
      </c>
      <c r="JQ287" s="2133" t="str">
        <f t="shared" si="55"/>
        <v>--</v>
      </c>
      <c r="JR287" s="2133" t="str">
        <f t="shared" si="56"/>
        <v>--</v>
      </c>
      <c r="JS287" s="2133" t="str">
        <f t="shared" si="56"/>
        <v>--</v>
      </c>
      <c r="JT287" s="2133" t="str">
        <f t="shared" si="56"/>
        <v>--</v>
      </c>
      <c r="JU287" s="2133" t="str">
        <f t="shared" si="56"/>
        <v>--</v>
      </c>
      <c r="JV287" s="2133" t="str">
        <f t="shared" si="56"/>
        <v>--</v>
      </c>
      <c r="JW287" s="2133" t="str">
        <f t="shared" si="56"/>
        <v>--</v>
      </c>
      <c r="JX287" s="2133" t="str">
        <f t="shared" si="56"/>
        <v>--</v>
      </c>
      <c r="JY287" s="2133" t="str">
        <f t="shared" si="56"/>
        <v>--</v>
      </c>
      <c r="JZ287" s="2133" t="str">
        <f t="shared" si="56"/>
        <v>--</v>
      </c>
      <c r="KA287" s="2133" t="str">
        <f t="shared" si="56"/>
        <v>--</v>
      </c>
      <c r="KB287" s="2133" t="str">
        <f t="shared" si="56"/>
        <v>--</v>
      </c>
    </row>
    <row r="288" spans="1:288" s="89" customFormat="1" ht="13.9">
      <c r="A288" s="269" t="str">
        <f t="shared" si="58"/>
        <v>n</v>
      </c>
      <c r="B288" s="2060"/>
      <c r="D288" s="801"/>
      <c r="E288" s="1505">
        <v>3</v>
      </c>
      <c r="F288" s="21" t="str">
        <f>F$131</f>
        <v>--</v>
      </c>
      <c r="G288" s="1441">
        <f>G$131</f>
        <v>0</v>
      </c>
      <c r="H288" s="1441" t="str">
        <f>H$131</f>
        <v>--</v>
      </c>
      <c r="I288" s="89" t="s">
        <v>786</v>
      </c>
      <c r="K288" s="2301" t="str">
        <f>IF(OR(K194=0,$G288=0),"--",IFERROR(_xll.ciqfunctions.udf.CIQ($G288,$I288,K102,Valuation_Date_GC,ReportType,DataMode,$H288,FXMode)*Scale,"--"))</f>
        <v>--</v>
      </c>
      <c r="L288" s="2301" t="str">
        <f>IF(OR(L194=0,$G288=0),"--",IFERROR(_xll.ciqfunctions.udf.CIQ($G288,$I288,L102,Valuation_Date_GC,ReportType,DataMode,$H288,FXMode)*Scale,"--"))</f>
        <v>--</v>
      </c>
      <c r="M288" s="2301" t="str">
        <f>IF(OR(M194=0,$G288=0),"--",IFERROR(_xll.ciqfunctions.udf.CIQ($G288,$I288,M102,Valuation_Date_GC,ReportType,DataMode,$H288,FXMode)*Scale,"--"))</f>
        <v>--</v>
      </c>
      <c r="N288" s="2301" t="str">
        <f>IF(OR(N194=0,$G288=0),"--",IFERROR(_xll.ciqfunctions.udf.CIQ($G288,$I288,N102,Valuation_Date_GC,ReportType,DataMode,$H288,FXMode)*Scale,"--"))</f>
        <v>--</v>
      </c>
      <c r="O288" s="1471" t="str">
        <f>IF(OR(O194=0,$G288=0),"--",IFERROR(_xll.ciqfunctions.udf.CIQ($G288,$I288,O102,Valuation_Date_GC,ReportType,DataMode,$H288,FXMode)*Scale,"--"))</f>
        <v>--</v>
      </c>
      <c r="P288" s="2301" t="str">
        <f>IF(OR(P194=0,$G288=0),"--",IFERROR(_xll.ciqfunctions.udf.CIQ($G288,$I288,P102,Valuation_Date_GC,ReportType,DataMode,$H288,FXMode)*Scale,"--"))</f>
        <v>--</v>
      </c>
      <c r="R288" s="255"/>
      <c r="S288" s="1958" t="str">
        <f t="shared" si="51"/>
        <v>--</v>
      </c>
      <c r="T288" s="1779" t="s">
        <v>787</v>
      </c>
      <c r="U288" s="2133" t="str">
        <f t="shared" si="57"/>
        <v>--</v>
      </c>
      <c r="V288" s="2133" t="str">
        <f t="shared" si="52"/>
        <v>--</v>
      </c>
      <c r="W288" s="2133" t="str">
        <f t="shared" si="52"/>
        <v>--</v>
      </c>
      <c r="X288" s="2133" t="str">
        <f t="shared" si="52"/>
        <v>--</v>
      </c>
      <c r="Y288" s="2133" t="str">
        <f t="shared" si="52"/>
        <v>--</v>
      </c>
      <c r="Z288" s="2133" t="str">
        <f t="shared" si="52"/>
        <v>--</v>
      </c>
      <c r="AA288" s="2133" t="str">
        <f t="shared" si="52"/>
        <v>--</v>
      </c>
      <c r="AB288" s="2133" t="str">
        <f t="shared" si="52"/>
        <v>--</v>
      </c>
      <c r="AC288" s="2133" t="str">
        <f t="shared" si="52"/>
        <v>--</v>
      </c>
      <c r="AD288" s="2133" t="str">
        <f t="shared" si="52"/>
        <v>--</v>
      </c>
      <c r="AE288" s="2133" t="str">
        <f t="shared" si="52"/>
        <v>--</v>
      </c>
      <c r="AF288" s="2133" t="str">
        <f t="shared" si="52"/>
        <v>--</v>
      </c>
      <c r="AG288" s="2133" t="str">
        <f t="shared" si="52"/>
        <v>--</v>
      </c>
      <c r="AH288" s="2133" t="str">
        <f t="shared" si="52"/>
        <v>--</v>
      </c>
      <c r="AI288" s="2133" t="str">
        <f t="shared" si="52"/>
        <v>--</v>
      </c>
      <c r="AJ288" s="2133" t="str">
        <f t="shared" si="52"/>
        <v>--</v>
      </c>
      <c r="AK288" s="2133" t="str">
        <f t="shared" si="52"/>
        <v>--</v>
      </c>
      <c r="AL288" s="2133" t="str">
        <f t="shared" si="52"/>
        <v>--</v>
      </c>
      <c r="AM288" s="2133" t="str">
        <f t="shared" si="52"/>
        <v>--</v>
      </c>
      <c r="AN288" s="2133" t="str">
        <f t="shared" si="52"/>
        <v>--</v>
      </c>
      <c r="AO288" s="2133" t="str">
        <f t="shared" si="52"/>
        <v>--</v>
      </c>
      <c r="AP288" s="2133" t="str">
        <f t="shared" si="52"/>
        <v>--</v>
      </c>
      <c r="AQ288" s="2133" t="str">
        <f t="shared" si="52"/>
        <v>--</v>
      </c>
      <c r="AR288" s="2133" t="str">
        <f t="shared" si="52"/>
        <v>--</v>
      </c>
      <c r="AS288" s="2133" t="str">
        <f t="shared" si="52"/>
        <v>--</v>
      </c>
      <c r="AT288" s="2133" t="str">
        <f t="shared" si="52"/>
        <v>--</v>
      </c>
      <c r="AU288" s="2133" t="str">
        <f t="shared" si="52"/>
        <v>--</v>
      </c>
      <c r="AV288" s="2133" t="str">
        <f t="shared" si="52"/>
        <v>--</v>
      </c>
      <c r="AW288" s="2133" t="str">
        <f t="shared" si="52"/>
        <v>--</v>
      </c>
      <c r="AX288" s="2133" t="str">
        <f t="shared" si="52"/>
        <v>--</v>
      </c>
      <c r="AY288" s="2133" t="str">
        <f t="shared" si="52"/>
        <v>--</v>
      </c>
      <c r="AZ288" s="2133" t="str">
        <f t="shared" si="52"/>
        <v>--</v>
      </c>
      <c r="BA288" s="2133" t="str">
        <f t="shared" si="52"/>
        <v>--</v>
      </c>
      <c r="BB288" s="2133" t="str">
        <f t="shared" si="52"/>
        <v>--</v>
      </c>
      <c r="BC288" s="2133" t="str">
        <f t="shared" si="52"/>
        <v>--</v>
      </c>
      <c r="BD288" s="2133" t="str">
        <f t="shared" si="52"/>
        <v>--</v>
      </c>
      <c r="BE288" s="2133" t="str">
        <f t="shared" si="52"/>
        <v>--</v>
      </c>
      <c r="BF288" s="2133" t="str">
        <f t="shared" si="52"/>
        <v>--</v>
      </c>
      <c r="BG288" s="2133" t="str">
        <f t="shared" si="52"/>
        <v>--</v>
      </c>
      <c r="BH288" s="2133" t="str">
        <f t="shared" si="52"/>
        <v>--</v>
      </c>
      <c r="BI288" s="2133" t="str">
        <f t="shared" si="52"/>
        <v>--</v>
      </c>
      <c r="BJ288" s="2133" t="str">
        <f t="shared" si="52"/>
        <v>--</v>
      </c>
      <c r="BK288" s="2133" t="str">
        <f t="shared" si="52"/>
        <v>--</v>
      </c>
      <c r="BL288" s="2133" t="str">
        <f t="shared" si="52"/>
        <v>--</v>
      </c>
      <c r="BM288" s="2133" t="str">
        <f t="shared" si="52"/>
        <v>--</v>
      </c>
      <c r="BN288" s="2133" t="str">
        <f t="shared" si="52"/>
        <v>--</v>
      </c>
      <c r="BO288" s="2133" t="str">
        <f t="shared" si="52"/>
        <v>--</v>
      </c>
      <c r="BP288" s="2133" t="str">
        <f t="shared" si="52"/>
        <v>--</v>
      </c>
      <c r="BQ288" s="2133" t="str">
        <f t="shared" si="52"/>
        <v>--</v>
      </c>
      <c r="BR288" s="2133" t="str">
        <f t="shared" si="52"/>
        <v>--</v>
      </c>
      <c r="BS288" s="2133" t="str">
        <f t="shared" si="52"/>
        <v>--</v>
      </c>
      <c r="BT288" s="2133" t="str">
        <f t="shared" si="52"/>
        <v>--</v>
      </c>
      <c r="BU288" s="2133" t="str">
        <f t="shared" si="52"/>
        <v>--</v>
      </c>
      <c r="BV288" s="2133" t="str">
        <f t="shared" si="52"/>
        <v>--</v>
      </c>
      <c r="BW288" s="2133" t="str">
        <f t="shared" si="52"/>
        <v>--</v>
      </c>
      <c r="BX288" s="2133" t="str">
        <f t="shared" si="52"/>
        <v>--</v>
      </c>
      <c r="BY288" s="2133" t="str">
        <f t="shared" si="52"/>
        <v>--</v>
      </c>
      <c r="BZ288" s="2133" t="str">
        <f t="shared" si="52"/>
        <v>--</v>
      </c>
      <c r="CA288" s="2133" t="str">
        <f t="shared" si="52"/>
        <v>--</v>
      </c>
      <c r="CB288" s="2133" t="str">
        <f t="shared" si="52"/>
        <v>--</v>
      </c>
      <c r="CC288" s="2133" t="str">
        <f t="shared" si="52"/>
        <v>--</v>
      </c>
      <c r="CD288" s="2133" t="str">
        <f t="shared" si="52"/>
        <v>--</v>
      </c>
      <c r="CE288" s="2133" t="str">
        <f t="shared" si="52"/>
        <v>--</v>
      </c>
      <c r="CF288" s="2133" t="str">
        <f t="shared" si="52"/>
        <v>--</v>
      </c>
      <c r="CG288" s="2133" t="str">
        <f>IFERROR(CG226/CG257,"--")</f>
        <v>--</v>
      </c>
      <c r="CH288" s="2133" t="str">
        <f t="shared" si="53"/>
        <v>--</v>
      </c>
      <c r="CI288" s="2133" t="str">
        <f t="shared" si="53"/>
        <v>--</v>
      </c>
      <c r="CJ288" s="2133" t="str">
        <f t="shared" si="53"/>
        <v>--</v>
      </c>
      <c r="CK288" s="2133" t="str">
        <f t="shared" si="53"/>
        <v>--</v>
      </c>
      <c r="CL288" s="2133" t="str">
        <f t="shared" si="53"/>
        <v>--</v>
      </c>
      <c r="CM288" s="2133" t="str">
        <f t="shared" si="53"/>
        <v>--</v>
      </c>
      <c r="CN288" s="2133" t="str">
        <f t="shared" si="53"/>
        <v>--</v>
      </c>
      <c r="CO288" s="2133" t="str">
        <f t="shared" si="53"/>
        <v>--</v>
      </c>
      <c r="CP288" s="2133" t="str">
        <f t="shared" si="53"/>
        <v>--</v>
      </c>
      <c r="CQ288" s="2133" t="str">
        <f t="shared" si="53"/>
        <v>--</v>
      </c>
      <c r="CR288" s="2133" t="str">
        <f t="shared" si="53"/>
        <v>--</v>
      </c>
      <c r="CS288" s="2133" t="str">
        <f t="shared" si="53"/>
        <v>--</v>
      </c>
      <c r="CT288" s="2133" t="str">
        <f t="shared" si="53"/>
        <v>--</v>
      </c>
      <c r="CU288" s="2133" t="str">
        <f t="shared" si="53"/>
        <v>--</v>
      </c>
      <c r="CV288" s="2133" t="str">
        <f t="shared" si="53"/>
        <v>--</v>
      </c>
      <c r="CW288" s="2133" t="str">
        <f t="shared" si="53"/>
        <v>--</v>
      </c>
      <c r="CX288" s="2133" t="str">
        <f t="shared" si="53"/>
        <v>--</v>
      </c>
      <c r="CY288" s="2133" t="str">
        <f t="shared" si="53"/>
        <v>--</v>
      </c>
      <c r="CZ288" s="2133" t="str">
        <f t="shared" si="53"/>
        <v>--</v>
      </c>
      <c r="DA288" s="2133" t="str">
        <f t="shared" si="53"/>
        <v>--</v>
      </c>
      <c r="DB288" s="2133" t="str">
        <f t="shared" si="53"/>
        <v>--</v>
      </c>
      <c r="DC288" s="2133" t="str">
        <f t="shared" si="53"/>
        <v>--</v>
      </c>
      <c r="DD288" s="2133" t="str">
        <f t="shared" si="53"/>
        <v>--</v>
      </c>
      <c r="DE288" s="2133" t="str">
        <f t="shared" si="53"/>
        <v>--</v>
      </c>
      <c r="DF288" s="2133" t="str">
        <f t="shared" si="53"/>
        <v>--</v>
      </c>
      <c r="DG288" s="2133" t="str">
        <f t="shared" si="53"/>
        <v>--</v>
      </c>
      <c r="DH288" s="2133" t="str">
        <f t="shared" si="53"/>
        <v>--</v>
      </c>
      <c r="DI288" s="2133" t="str">
        <f t="shared" si="53"/>
        <v>--</v>
      </c>
      <c r="DJ288" s="2133" t="str">
        <f t="shared" si="53"/>
        <v>--</v>
      </c>
      <c r="DK288" s="2133" t="str">
        <f t="shared" si="53"/>
        <v>--</v>
      </c>
      <c r="DL288" s="2133" t="str">
        <f t="shared" si="53"/>
        <v>--</v>
      </c>
      <c r="DM288" s="2133" t="str">
        <f t="shared" si="53"/>
        <v>--</v>
      </c>
      <c r="DN288" s="2133" t="str">
        <f t="shared" si="53"/>
        <v>--</v>
      </c>
      <c r="DO288" s="2133" t="str">
        <f t="shared" si="53"/>
        <v>--</v>
      </c>
      <c r="DP288" s="2133" t="str">
        <f t="shared" si="53"/>
        <v>--</v>
      </c>
      <c r="DQ288" s="2133" t="str">
        <f t="shared" si="53"/>
        <v>--</v>
      </c>
      <c r="DR288" s="2133" t="str">
        <f t="shared" si="53"/>
        <v>--</v>
      </c>
      <c r="DS288" s="2133" t="str">
        <f t="shared" si="53"/>
        <v>--</v>
      </c>
      <c r="DT288" s="2133" t="str">
        <f t="shared" si="53"/>
        <v>--</v>
      </c>
      <c r="DU288" s="2133" t="str">
        <f t="shared" si="53"/>
        <v>--</v>
      </c>
      <c r="DV288" s="2133" t="str">
        <f t="shared" si="53"/>
        <v>--</v>
      </c>
      <c r="DW288" s="2133" t="str">
        <f t="shared" si="53"/>
        <v>--</v>
      </c>
      <c r="DX288" s="2133" t="str">
        <f t="shared" si="53"/>
        <v>--</v>
      </c>
      <c r="DY288" s="2133" t="str">
        <f t="shared" si="53"/>
        <v>--</v>
      </c>
      <c r="DZ288" s="2133" t="str">
        <f t="shared" si="53"/>
        <v>--</v>
      </c>
      <c r="EA288" s="2133" t="str">
        <f t="shared" si="53"/>
        <v>--</v>
      </c>
      <c r="EB288" s="2133" t="str">
        <f t="shared" si="53"/>
        <v>--</v>
      </c>
      <c r="EC288" s="2133" t="str">
        <f t="shared" si="53"/>
        <v>--</v>
      </c>
      <c r="ED288" s="2133" t="str">
        <f t="shared" si="53"/>
        <v>--</v>
      </c>
      <c r="EE288" s="2133" t="str">
        <f t="shared" si="53"/>
        <v>--</v>
      </c>
      <c r="EF288" s="2133" t="str">
        <f t="shared" si="53"/>
        <v>--</v>
      </c>
      <c r="EG288" s="2133" t="str">
        <f t="shared" si="53"/>
        <v>--</v>
      </c>
      <c r="EH288" s="2133" t="str">
        <f t="shared" si="53"/>
        <v>--</v>
      </c>
      <c r="EI288" s="2133" t="str">
        <f t="shared" si="53"/>
        <v>--</v>
      </c>
      <c r="EJ288" s="2133" t="str">
        <f t="shared" si="53"/>
        <v>--</v>
      </c>
      <c r="EK288" s="2133" t="str">
        <f t="shared" si="53"/>
        <v>--</v>
      </c>
      <c r="EL288" s="2133" t="str">
        <f t="shared" si="53"/>
        <v>--</v>
      </c>
      <c r="EM288" s="2133" t="str">
        <f t="shared" si="53"/>
        <v>--</v>
      </c>
      <c r="EN288" s="2133" t="str">
        <f t="shared" si="53"/>
        <v>--</v>
      </c>
      <c r="EO288" s="2133" t="str">
        <f t="shared" si="53"/>
        <v>--</v>
      </c>
      <c r="EP288" s="2133" t="str">
        <f t="shared" si="53"/>
        <v>--</v>
      </c>
      <c r="EQ288" s="2133" t="str">
        <f t="shared" si="53"/>
        <v>--</v>
      </c>
      <c r="ER288" s="2133" t="str">
        <f t="shared" si="53"/>
        <v>--</v>
      </c>
      <c r="ES288" s="2133" t="str">
        <f>IFERROR(ES226/ES257,"--")</f>
        <v>--</v>
      </c>
      <c r="ET288" s="2133" t="str">
        <f t="shared" si="54"/>
        <v>--</v>
      </c>
      <c r="EU288" s="2133" t="str">
        <f t="shared" si="54"/>
        <v>--</v>
      </c>
      <c r="EV288" s="2133" t="str">
        <f t="shared" si="54"/>
        <v>--</v>
      </c>
      <c r="EW288" s="2133" t="str">
        <f t="shared" si="54"/>
        <v>--</v>
      </c>
      <c r="EX288" s="2133" t="str">
        <f t="shared" si="54"/>
        <v>--</v>
      </c>
      <c r="EY288" s="2133" t="str">
        <f t="shared" si="54"/>
        <v>--</v>
      </c>
      <c r="EZ288" s="2133" t="str">
        <f t="shared" si="54"/>
        <v>--</v>
      </c>
      <c r="FA288" s="2133" t="str">
        <f t="shared" si="54"/>
        <v>--</v>
      </c>
      <c r="FB288" s="2133" t="str">
        <f t="shared" si="54"/>
        <v>--</v>
      </c>
      <c r="FC288" s="2133" t="str">
        <f t="shared" si="54"/>
        <v>--</v>
      </c>
      <c r="FD288" s="2133" t="str">
        <f t="shared" si="54"/>
        <v>--</v>
      </c>
      <c r="FE288" s="2133" t="str">
        <f t="shared" si="54"/>
        <v>--</v>
      </c>
      <c r="FF288" s="2133" t="str">
        <f t="shared" si="54"/>
        <v>--</v>
      </c>
      <c r="FG288" s="2133" t="str">
        <f t="shared" si="54"/>
        <v>--</v>
      </c>
      <c r="FH288" s="2133" t="str">
        <f t="shared" si="54"/>
        <v>--</v>
      </c>
      <c r="FI288" s="2133" t="str">
        <f t="shared" si="54"/>
        <v>--</v>
      </c>
      <c r="FJ288" s="2133" t="str">
        <f t="shared" si="54"/>
        <v>--</v>
      </c>
      <c r="FK288" s="2133" t="str">
        <f t="shared" si="54"/>
        <v>--</v>
      </c>
      <c r="FL288" s="2133" t="str">
        <f t="shared" si="54"/>
        <v>--</v>
      </c>
      <c r="FM288" s="2133" t="str">
        <f t="shared" si="54"/>
        <v>--</v>
      </c>
      <c r="FN288" s="2133" t="str">
        <f t="shared" si="54"/>
        <v>--</v>
      </c>
      <c r="FO288" s="2133" t="str">
        <f t="shared" si="54"/>
        <v>--</v>
      </c>
      <c r="FP288" s="2133" t="str">
        <f t="shared" si="54"/>
        <v>--</v>
      </c>
      <c r="FQ288" s="2133" t="str">
        <f t="shared" si="54"/>
        <v>--</v>
      </c>
      <c r="FR288" s="2133" t="str">
        <f t="shared" si="54"/>
        <v>--</v>
      </c>
      <c r="FS288" s="2133" t="str">
        <f t="shared" si="54"/>
        <v>--</v>
      </c>
      <c r="FT288" s="2133" t="str">
        <f t="shared" si="54"/>
        <v>--</v>
      </c>
      <c r="FU288" s="2133" t="str">
        <f t="shared" si="54"/>
        <v>--</v>
      </c>
      <c r="FV288" s="2133" t="str">
        <f t="shared" si="54"/>
        <v>--</v>
      </c>
      <c r="FW288" s="2133" t="str">
        <f t="shared" si="54"/>
        <v>--</v>
      </c>
      <c r="FX288" s="2133" t="str">
        <f t="shared" si="54"/>
        <v>--</v>
      </c>
      <c r="FY288" s="2133" t="str">
        <f t="shared" si="54"/>
        <v>--</v>
      </c>
      <c r="FZ288" s="2133" t="str">
        <f t="shared" si="54"/>
        <v>--</v>
      </c>
      <c r="GA288" s="2133" t="str">
        <f t="shared" si="54"/>
        <v>--</v>
      </c>
      <c r="GB288" s="2133" t="str">
        <f t="shared" si="54"/>
        <v>--</v>
      </c>
      <c r="GC288" s="2133" t="str">
        <f t="shared" si="54"/>
        <v>--</v>
      </c>
      <c r="GD288" s="2133" t="str">
        <f t="shared" si="54"/>
        <v>--</v>
      </c>
      <c r="GE288" s="2133" t="str">
        <f t="shared" si="54"/>
        <v>--</v>
      </c>
      <c r="GF288" s="2133" t="str">
        <f t="shared" si="54"/>
        <v>--</v>
      </c>
      <c r="GG288" s="2133" t="str">
        <f t="shared" si="54"/>
        <v>--</v>
      </c>
      <c r="GH288" s="2133" t="str">
        <f t="shared" si="54"/>
        <v>--</v>
      </c>
      <c r="GI288" s="2133" t="str">
        <f t="shared" si="54"/>
        <v>--</v>
      </c>
      <c r="GJ288" s="2133" t="str">
        <f t="shared" si="54"/>
        <v>--</v>
      </c>
      <c r="GK288" s="2133" t="str">
        <f t="shared" si="54"/>
        <v>--</v>
      </c>
      <c r="GL288" s="2133" t="str">
        <f t="shared" si="54"/>
        <v>--</v>
      </c>
      <c r="GM288" s="2133" t="str">
        <f t="shared" si="54"/>
        <v>--</v>
      </c>
      <c r="GN288" s="2133" t="str">
        <f t="shared" si="54"/>
        <v>--</v>
      </c>
      <c r="GO288" s="2133" t="str">
        <f t="shared" si="54"/>
        <v>--</v>
      </c>
      <c r="GP288" s="2133" t="str">
        <f t="shared" si="54"/>
        <v>--</v>
      </c>
      <c r="GQ288" s="2133" t="str">
        <f t="shared" si="54"/>
        <v>--</v>
      </c>
      <c r="GR288" s="2133" t="str">
        <f t="shared" si="54"/>
        <v>--</v>
      </c>
      <c r="GS288" s="2133" t="str">
        <f t="shared" si="54"/>
        <v>--</v>
      </c>
      <c r="GT288" s="2133" t="str">
        <f t="shared" si="54"/>
        <v>--</v>
      </c>
      <c r="GU288" s="2133" t="str">
        <f t="shared" si="54"/>
        <v>--</v>
      </c>
      <c r="GV288" s="2133" t="str">
        <f t="shared" si="54"/>
        <v>--</v>
      </c>
      <c r="GW288" s="2133" t="str">
        <f t="shared" si="54"/>
        <v>--</v>
      </c>
      <c r="GX288" s="2133" t="str">
        <f t="shared" si="54"/>
        <v>--</v>
      </c>
      <c r="GY288" s="2133" t="str">
        <f t="shared" si="54"/>
        <v>--</v>
      </c>
      <c r="GZ288" s="2133" t="str">
        <f t="shared" si="54"/>
        <v>--</v>
      </c>
      <c r="HA288" s="2133" t="str">
        <f t="shared" si="54"/>
        <v>--</v>
      </c>
      <c r="HB288" s="2133" t="str">
        <f t="shared" si="54"/>
        <v>--</v>
      </c>
      <c r="HC288" s="2133" t="str">
        <f t="shared" si="54"/>
        <v>--</v>
      </c>
      <c r="HD288" s="2133" t="str">
        <f t="shared" si="54"/>
        <v>--</v>
      </c>
      <c r="HE288" s="2133" t="str">
        <f>IFERROR(HE226/HE257,"--")</f>
        <v>--</v>
      </c>
      <c r="HF288" s="2133" t="str">
        <f t="shared" si="55"/>
        <v>--</v>
      </c>
      <c r="HG288" s="2133" t="str">
        <f t="shared" si="55"/>
        <v>--</v>
      </c>
      <c r="HH288" s="2133" t="str">
        <f t="shared" si="55"/>
        <v>--</v>
      </c>
      <c r="HI288" s="2133" t="str">
        <f t="shared" si="55"/>
        <v>--</v>
      </c>
      <c r="HJ288" s="2133" t="str">
        <f t="shared" si="55"/>
        <v>--</v>
      </c>
      <c r="HK288" s="2133" t="str">
        <f t="shared" si="55"/>
        <v>--</v>
      </c>
      <c r="HL288" s="2133" t="str">
        <f t="shared" si="55"/>
        <v>--</v>
      </c>
      <c r="HM288" s="2133" t="str">
        <f t="shared" si="55"/>
        <v>--</v>
      </c>
      <c r="HN288" s="2133" t="str">
        <f t="shared" si="55"/>
        <v>--</v>
      </c>
      <c r="HO288" s="2133" t="str">
        <f t="shared" si="55"/>
        <v>--</v>
      </c>
      <c r="HP288" s="2133" t="str">
        <f t="shared" si="55"/>
        <v>--</v>
      </c>
      <c r="HQ288" s="2133" t="str">
        <f t="shared" si="55"/>
        <v>--</v>
      </c>
      <c r="HR288" s="2133" t="str">
        <f t="shared" si="55"/>
        <v>--</v>
      </c>
      <c r="HS288" s="2133" t="str">
        <f t="shared" si="55"/>
        <v>--</v>
      </c>
      <c r="HT288" s="2133" t="str">
        <f t="shared" si="55"/>
        <v>--</v>
      </c>
      <c r="HU288" s="2133" t="str">
        <f t="shared" si="55"/>
        <v>--</v>
      </c>
      <c r="HV288" s="2133" t="str">
        <f t="shared" si="55"/>
        <v>--</v>
      </c>
      <c r="HW288" s="2133" t="str">
        <f t="shared" si="55"/>
        <v>--</v>
      </c>
      <c r="HX288" s="2133" t="str">
        <f t="shared" si="55"/>
        <v>--</v>
      </c>
      <c r="HY288" s="2133" t="str">
        <f t="shared" si="55"/>
        <v>--</v>
      </c>
      <c r="HZ288" s="2133" t="str">
        <f t="shared" si="55"/>
        <v>--</v>
      </c>
      <c r="IA288" s="2133" t="str">
        <f t="shared" si="55"/>
        <v>--</v>
      </c>
      <c r="IB288" s="2133" t="str">
        <f t="shared" si="55"/>
        <v>--</v>
      </c>
      <c r="IC288" s="2133" t="str">
        <f t="shared" si="55"/>
        <v>--</v>
      </c>
      <c r="ID288" s="2133" t="str">
        <f t="shared" si="55"/>
        <v>--</v>
      </c>
      <c r="IE288" s="2133" t="str">
        <f t="shared" si="55"/>
        <v>--</v>
      </c>
      <c r="IF288" s="2133" t="str">
        <f t="shared" si="55"/>
        <v>--</v>
      </c>
      <c r="IG288" s="2133" t="str">
        <f t="shared" si="55"/>
        <v>--</v>
      </c>
      <c r="IH288" s="2133" t="str">
        <f t="shared" si="55"/>
        <v>--</v>
      </c>
      <c r="II288" s="2133" t="str">
        <f t="shared" si="55"/>
        <v>--</v>
      </c>
      <c r="IJ288" s="2133" t="str">
        <f t="shared" si="55"/>
        <v>--</v>
      </c>
      <c r="IK288" s="2133" t="str">
        <f t="shared" si="55"/>
        <v>--</v>
      </c>
      <c r="IL288" s="2133" t="str">
        <f t="shared" si="55"/>
        <v>--</v>
      </c>
      <c r="IM288" s="2133" t="str">
        <f t="shared" si="55"/>
        <v>--</v>
      </c>
      <c r="IN288" s="2133" t="str">
        <f t="shared" si="55"/>
        <v>--</v>
      </c>
      <c r="IO288" s="2133" t="str">
        <f t="shared" si="55"/>
        <v>--</v>
      </c>
      <c r="IP288" s="2133" t="str">
        <f t="shared" si="55"/>
        <v>--</v>
      </c>
      <c r="IQ288" s="2133" t="str">
        <f t="shared" si="55"/>
        <v>--</v>
      </c>
      <c r="IR288" s="2133" t="str">
        <f t="shared" si="55"/>
        <v>--</v>
      </c>
      <c r="IS288" s="2133" t="str">
        <f t="shared" si="55"/>
        <v>--</v>
      </c>
      <c r="IT288" s="2133" t="str">
        <f t="shared" si="55"/>
        <v>--</v>
      </c>
      <c r="IU288" s="2133" t="str">
        <f t="shared" si="55"/>
        <v>--</v>
      </c>
      <c r="IV288" s="2133" t="str">
        <f t="shared" si="55"/>
        <v>--</v>
      </c>
      <c r="IW288" s="2133" t="str">
        <f t="shared" si="55"/>
        <v>--</v>
      </c>
      <c r="IX288" s="2133" t="str">
        <f t="shared" si="55"/>
        <v>--</v>
      </c>
      <c r="IY288" s="2133" t="str">
        <f t="shared" si="55"/>
        <v>--</v>
      </c>
      <c r="IZ288" s="2133" t="str">
        <f t="shared" si="55"/>
        <v>--</v>
      </c>
      <c r="JA288" s="2133" t="str">
        <f t="shared" si="55"/>
        <v>--</v>
      </c>
      <c r="JB288" s="2133" t="str">
        <f t="shared" si="55"/>
        <v>--</v>
      </c>
      <c r="JC288" s="2133" t="str">
        <f t="shared" si="55"/>
        <v>--</v>
      </c>
      <c r="JD288" s="2133" t="str">
        <f t="shared" si="55"/>
        <v>--</v>
      </c>
      <c r="JE288" s="2133" t="str">
        <f t="shared" si="55"/>
        <v>--</v>
      </c>
      <c r="JF288" s="2133" t="str">
        <f t="shared" si="55"/>
        <v>--</v>
      </c>
      <c r="JG288" s="2133" t="str">
        <f t="shared" si="55"/>
        <v>--</v>
      </c>
      <c r="JH288" s="2133" t="str">
        <f t="shared" si="55"/>
        <v>--</v>
      </c>
      <c r="JI288" s="2133" t="str">
        <f t="shared" si="55"/>
        <v>--</v>
      </c>
      <c r="JJ288" s="2133" t="str">
        <f t="shared" si="55"/>
        <v>--</v>
      </c>
      <c r="JK288" s="2133" t="str">
        <f t="shared" si="55"/>
        <v>--</v>
      </c>
      <c r="JL288" s="2133" t="str">
        <f t="shared" si="55"/>
        <v>--</v>
      </c>
      <c r="JM288" s="2133" t="str">
        <f t="shared" si="55"/>
        <v>--</v>
      </c>
      <c r="JN288" s="2133" t="str">
        <f t="shared" si="55"/>
        <v>--</v>
      </c>
      <c r="JO288" s="2133" t="str">
        <f t="shared" si="55"/>
        <v>--</v>
      </c>
      <c r="JP288" s="2133" t="str">
        <f t="shared" si="55"/>
        <v>--</v>
      </c>
      <c r="JQ288" s="2133" t="str">
        <f>IFERROR(JQ226/JQ257,"--")</f>
        <v>--</v>
      </c>
      <c r="JR288" s="2133" t="str">
        <f t="shared" si="56"/>
        <v>--</v>
      </c>
      <c r="JS288" s="2133" t="str">
        <f t="shared" si="56"/>
        <v>--</v>
      </c>
      <c r="JT288" s="2133" t="str">
        <f t="shared" si="56"/>
        <v>--</v>
      </c>
      <c r="JU288" s="2133" t="str">
        <f t="shared" si="56"/>
        <v>--</v>
      </c>
      <c r="JV288" s="2133" t="str">
        <f t="shared" si="56"/>
        <v>--</v>
      </c>
      <c r="JW288" s="2133" t="str">
        <f t="shared" si="56"/>
        <v>--</v>
      </c>
      <c r="JX288" s="2133" t="str">
        <f t="shared" si="56"/>
        <v>--</v>
      </c>
      <c r="JY288" s="2133" t="str">
        <f t="shared" si="56"/>
        <v>--</v>
      </c>
      <c r="JZ288" s="2133" t="str">
        <f t="shared" si="56"/>
        <v>--</v>
      </c>
      <c r="KA288" s="2133" t="str">
        <f t="shared" si="56"/>
        <v>--</v>
      </c>
      <c r="KB288" s="2133" t="str">
        <f t="shared" si="56"/>
        <v>--</v>
      </c>
    </row>
    <row r="289" spans="1:288" s="89" customFormat="1" ht="13.9">
      <c r="A289" s="269" t="str">
        <f t="shared" si="58"/>
        <v>n</v>
      </c>
      <c r="B289" s="2060"/>
      <c r="D289" s="801"/>
      <c r="E289" s="1505">
        <v>4</v>
      </c>
      <c r="F289" s="21" t="str">
        <f>F$132</f>
        <v>--</v>
      </c>
      <c r="G289" s="1441">
        <f>G$132</f>
        <v>0</v>
      </c>
      <c r="H289" s="1441" t="str">
        <f>H$132</f>
        <v>--</v>
      </c>
      <c r="I289" s="89" t="s">
        <v>786</v>
      </c>
      <c r="K289" s="2301" t="str">
        <f>IF(OR(K195=0,$G289=0),"--",IFERROR(_xll.ciqfunctions.udf.CIQ($G289,$I289,K103,Valuation_Date_GC,ReportType,DataMode,$H289,FXMode)*Scale,"--"))</f>
        <v>--</v>
      </c>
      <c r="L289" s="2301" t="str">
        <f>IF(OR(L195=0,$G289=0),"--",IFERROR(_xll.ciqfunctions.udf.CIQ($G289,$I289,L103,Valuation_Date_GC,ReportType,DataMode,$H289,FXMode)*Scale,"--"))</f>
        <v>--</v>
      </c>
      <c r="M289" s="2301" t="str">
        <f>IF(OR(M195=0,$G289=0),"--",IFERROR(_xll.ciqfunctions.udf.CIQ($G289,$I289,M103,Valuation_Date_GC,ReportType,DataMode,$H289,FXMode)*Scale,"--"))</f>
        <v>--</v>
      </c>
      <c r="N289" s="2301" t="str">
        <f>IF(OR(N195=0,$G289=0),"--",IFERROR(_xll.ciqfunctions.udf.CIQ($G289,$I289,N103,Valuation_Date_GC,ReportType,DataMode,$H289,FXMode)*Scale,"--"))</f>
        <v>--</v>
      </c>
      <c r="O289" s="1471" t="str">
        <f>IF(OR(O195=0,$G289=0),"--",IFERROR(_xll.ciqfunctions.udf.CIQ($G289,$I289,O103,Valuation_Date_GC,ReportType,DataMode,$H289,FXMode)*Scale,"--"))</f>
        <v>--</v>
      </c>
      <c r="P289" s="2301" t="str">
        <f>IF(OR(P195=0,$G289=0),"--",IFERROR(_xll.ciqfunctions.udf.CIQ($G289,$I289,P103,Valuation_Date_GC,ReportType,DataMode,$H289,FXMode)*Scale,"--"))</f>
        <v>--</v>
      </c>
      <c r="R289" s="255"/>
      <c r="S289" s="1958" t="str">
        <f t="shared" si="51"/>
        <v>--</v>
      </c>
      <c r="T289" s="1779" t="s">
        <v>787</v>
      </c>
      <c r="U289" s="2133" t="str">
        <f t="shared" si="57"/>
        <v>--</v>
      </c>
      <c r="V289" s="2133" t="str">
        <f t="shared" si="57"/>
        <v>--</v>
      </c>
      <c r="W289" s="2133" t="str">
        <f t="shared" si="57"/>
        <v>--</v>
      </c>
      <c r="X289" s="2133" t="str">
        <f t="shared" si="57"/>
        <v>--</v>
      </c>
      <c r="Y289" s="2133" t="str">
        <f t="shared" si="57"/>
        <v>--</v>
      </c>
      <c r="Z289" s="2133" t="str">
        <f t="shared" si="57"/>
        <v>--</v>
      </c>
      <c r="AA289" s="2133" t="str">
        <f t="shared" si="57"/>
        <v>--</v>
      </c>
      <c r="AB289" s="2133" t="str">
        <f t="shared" si="57"/>
        <v>--</v>
      </c>
      <c r="AC289" s="2133" t="str">
        <f t="shared" si="57"/>
        <v>--</v>
      </c>
      <c r="AD289" s="2133" t="str">
        <f t="shared" si="57"/>
        <v>--</v>
      </c>
      <c r="AE289" s="2133" t="str">
        <f t="shared" si="57"/>
        <v>--</v>
      </c>
      <c r="AF289" s="2133" t="str">
        <f t="shared" si="57"/>
        <v>--</v>
      </c>
      <c r="AG289" s="2133" t="str">
        <f t="shared" si="57"/>
        <v>--</v>
      </c>
      <c r="AH289" s="2133" t="str">
        <f t="shared" si="57"/>
        <v>--</v>
      </c>
      <c r="AI289" s="2133" t="str">
        <f t="shared" si="57"/>
        <v>--</v>
      </c>
      <c r="AJ289" s="2133" t="str">
        <f t="shared" si="57"/>
        <v>--</v>
      </c>
      <c r="AK289" s="2133" t="str">
        <f t="shared" ref="AK289:CV292" si="59">IFERROR(AK227/AK258,"--")</f>
        <v>--</v>
      </c>
      <c r="AL289" s="2133" t="str">
        <f t="shared" si="59"/>
        <v>--</v>
      </c>
      <c r="AM289" s="2133" t="str">
        <f t="shared" si="59"/>
        <v>--</v>
      </c>
      <c r="AN289" s="2133" t="str">
        <f t="shared" si="59"/>
        <v>--</v>
      </c>
      <c r="AO289" s="2133" t="str">
        <f t="shared" si="59"/>
        <v>--</v>
      </c>
      <c r="AP289" s="2133" t="str">
        <f t="shared" si="59"/>
        <v>--</v>
      </c>
      <c r="AQ289" s="2133" t="str">
        <f t="shared" si="59"/>
        <v>--</v>
      </c>
      <c r="AR289" s="2133" t="str">
        <f t="shared" si="59"/>
        <v>--</v>
      </c>
      <c r="AS289" s="2133" t="str">
        <f t="shared" si="59"/>
        <v>--</v>
      </c>
      <c r="AT289" s="2133" t="str">
        <f t="shared" si="59"/>
        <v>--</v>
      </c>
      <c r="AU289" s="2133" t="str">
        <f t="shared" si="59"/>
        <v>--</v>
      </c>
      <c r="AV289" s="2133" t="str">
        <f t="shared" si="59"/>
        <v>--</v>
      </c>
      <c r="AW289" s="2133" t="str">
        <f t="shared" si="59"/>
        <v>--</v>
      </c>
      <c r="AX289" s="2133" t="str">
        <f t="shared" si="59"/>
        <v>--</v>
      </c>
      <c r="AY289" s="2133" t="str">
        <f t="shared" si="59"/>
        <v>--</v>
      </c>
      <c r="AZ289" s="2133" t="str">
        <f t="shared" si="59"/>
        <v>--</v>
      </c>
      <c r="BA289" s="2133" t="str">
        <f t="shared" si="59"/>
        <v>--</v>
      </c>
      <c r="BB289" s="2133" t="str">
        <f t="shared" si="59"/>
        <v>--</v>
      </c>
      <c r="BC289" s="2133" t="str">
        <f t="shared" si="59"/>
        <v>--</v>
      </c>
      <c r="BD289" s="2133" t="str">
        <f t="shared" si="59"/>
        <v>--</v>
      </c>
      <c r="BE289" s="2133" t="str">
        <f t="shared" si="59"/>
        <v>--</v>
      </c>
      <c r="BF289" s="2133" t="str">
        <f t="shared" si="59"/>
        <v>--</v>
      </c>
      <c r="BG289" s="2133" t="str">
        <f t="shared" si="59"/>
        <v>--</v>
      </c>
      <c r="BH289" s="2133" t="str">
        <f t="shared" si="59"/>
        <v>--</v>
      </c>
      <c r="BI289" s="2133" t="str">
        <f t="shared" si="59"/>
        <v>--</v>
      </c>
      <c r="BJ289" s="2133" t="str">
        <f t="shared" si="59"/>
        <v>--</v>
      </c>
      <c r="BK289" s="2133" t="str">
        <f t="shared" si="59"/>
        <v>--</v>
      </c>
      <c r="BL289" s="2133" t="str">
        <f t="shared" si="59"/>
        <v>--</v>
      </c>
      <c r="BM289" s="2133" t="str">
        <f t="shared" si="59"/>
        <v>--</v>
      </c>
      <c r="BN289" s="2133" t="str">
        <f t="shared" si="59"/>
        <v>--</v>
      </c>
      <c r="BO289" s="2133" t="str">
        <f t="shared" si="59"/>
        <v>--</v>
      </c>
      <c r="BP289" s="2133" t="str">
        <f t="shared" si="59"/>
        <v>--</v>
      </c>
      <c r="BQ289" s="2133" t="str">
        <f t="shared" si="59"/>
        <v>--</v>
      </c>
      <c r="BR289" s="2133" t="str">
        <f t="shared" si="59"/>
        <v>--</v>
      </c>
      <c r="BS289" s="2133" t="str">
        <f t="shared" si="59"/>
        <v>--</v>
      </c>
      <c r="BT289" s="2133" t="str">
        <f t="shared" si="59"/>
        <v>--</v>
      </c>
      <c r="BU289" s="2133" t="str">
        <f t="shared" si="59"/>
        <v>--</v>
      </c>
      <c r="BV289" s="2133" t="str">
        <f t="shared" si="59"/>
        <v>--</v>
      </c>
      <c r="BW289" s="2133" t="str">
        <f t="shared" si="59"/>
        <v>--</v>
      </c>
      <c r="BX289" s="2133" t="str">
        <f t="shared" si="59"/>
        <v>--</v>
      </c>
      <c r="BY289" s="2133" t="str">
        <f t="shared" si="59"/>
        <v>--</v>
      </c>
      <c r="BZ289" s="2133" t="str">
        <f t="shared" si="59"/>
        <v>--</v>
      </c>
      <c r="CA289" s="2133" t="str">
        <f t="shared" si="59"/>
        <v>--</v>
      </c>
      <c r="CB289" s="2133" t="str">
        <f t="shared" si="59"/>
        <v>--</v>
      </c>
      <c r="CC289" s="2133" t="str">
        <f t="shared" si="59"/>
        <v>--</v>
      </c>
      <c r="CD289" s="2133" t="str">
        <f t="shared" si="59"/>
        <v>--</v>
      </c>
      <c r="CE289" s="2133" t="str">
        <f t="shared" si="59"/>
        <v>--</v>
      </c>
      <c r="CF289" s="2133" t="str">
        <f t="shared" si="59"/>
        <v>--</v>
      </c>
      <c r="CG289" s="2133" t="str">
        <f t="shared" si="59"/>
        <v>--</v>
      </c>
      <c r="CH289" s="2133" t="str">
        <f t="shared" si="59"/>
        <v>--</v>
      </c>
      <c r="CI289" s="2133" t="str">
        <f t="shared" si="59"/>
        <v>--</v>
      </c>
      <c r="CJ289" s="2133" t="str">
        <f t="shared" si="59"/>
        <v>--</v>
      </c>
      <c r="CK289" s="2133" t="str">
        <f t="shared" si="59"/>
        <v>--</v>
      </c>
      <c r="CL289" s="2133" t="str">
        <f t="shared" si="59"/>
        <v>--</v>
      </c>
      <c r="CM289" s="2133" t="str">
        <f t="shared" si="59"/>
        <v>--</v>
      </c>
      <c r="CN289" s="2133" t="str">
        <f t="shared" si="59"/>
        <v>--</v>
      </c>
      <c r="CO289" s="2133" t="str">
        <f t="shared" si="59"/>
        <v>--</v>
      </c>
      <c r="CP289" s="2133" t="str">
        <f t="shared" si="59"/>
        <v>--</v>
      </c>
      <c r="CQ289" s="2133" t="str">
        <f t="shared" si="59"/>
        <v>--</v>
      </c>
      <c r="CR289" s="2133" t="str">
        <f t="shared" si="59"/>
        <v>--</v>
      </c>
      <c r="CS289" s="2133" t="str">
        <f t="shared" si="59"/>
        <v>--</v>
      </c>
      <c r="CT289" s="2133" t="str">
        <f t="shared" si="59"/>
        <v>--</v>
      </c>
      <c r="CU289" s="2133" t="str">
        <f t="shared" si="59"/>
        <v>--</v>
      </c>
      <c r="CV289" s="2133" t="str">
        <f t="shared" si="59"/>
        <v>--</v>
      </c>
      <c r="CW289" s="2133" t="str">
        <f t="shared" ref="CW289:ER289" si="60">IFERROR(CW227/CW258,"--")</f>
        <v>--</v>
      </c>
      <c r="CX289" s="2133" t="str">
        <f t="shared" si="60"/>
        <v>--</v>
      </c>
      <c r="CY289" s="2133" t="str">
        <f t="shared" si="60"/>
        <v>--</v>
      </c>
      <c r="CZ289" s="2133" t="str">
        <f t="shared" si="60"/>
        <v>--</v>
      </c>
      <c r="DA289" s="2133" t="str">
        <f t="shared" si="60"/>
        <v>--</v>
      </c>
      <c r="DB289" s="2133" t="str">
        <f t="shared" si="60"/>
        <v>--</v>
      </c>
      <c r="DC289" s="2133" t="str">
        <f t="shared" si="60"/>
        <v>--</v>
      </c>
      <c r="DD289" s="2133" t="str">
        <f t="shared" si="60"/>
        <v>--</v>
      </c>
      <c r="DE289" s="2133" t="str">
        <f t="shared" si="60"/>
        <v>--</v>
      </c>
      <c r="DF289" s="2133" t="str">
        <f t="shared" si="60"/>
        <v>--</v>
      </c>
      <c r="DG289" s="2133" t="str">
        <f t="shared" si="60"/>
        <v>--</v>
      </c>
      <c r="DH289" s="2133" t="str">
        <f t="shared" si="60"/>
        <v>--</v>
      </c>
      <c r="DI289" s="2133" t="str">
        <f t="shared" si="60"/>
        <v>--</v>
      </c>
      <c r="DJ289" s="2133" t="str">
        <f t="shared" si="60"/>
        <v>--</v>
      </c>
      <c r="DK289" s="2133" t="str">
        <f t="shared" si="60"/>
        <v>--</v>
      </c>
      <c r="DL289" s="2133" t="str">
        <f t="shared" si="60"/>
        <v>--</v>
      </c>
      <c r="DM289" s="2133" t="str">
        <f t="shared" si="60"/>
        <v>--</v>
      </c>
      <c r="DN289" s="2133" t="str">
        <f t="shared" si="60"/>
        <v>--</v>
      </c>
      <c r="DO289" s="2133" t="str">
        <f t="shared" si="60"/>
        <v>--</v>
      </c>
      <c r="DP289" s="2133" t="str">
        <f t="shared" si="60"/>
        <v>--</v>
      </c>
      <c r="DQ289" s="2133" t="str">
        <f t="shared" si="60"/>
        <v>--</v>
      </c>
      <c r="DR289" s="2133" t="str">
        <f t="shared" si="60"/>
        <v>--</v>
      </c>
      <c r="DS289" s="2133" t="str">
        <f t="shared" si="60"/>
        <v>--</v>
      </c>
      <c r="DT289" s="2133" t="str">
        <f t="shared" si="60"/>
        <v>--</v>
      </c>
      <c r="DU289" s="2133" t="str">
        <f t="shared" si="60"/>
        <v>--</v>
      </c>
      <c r="DV289" s="2133" t="str">
        <f t="shared" si="60"/>
        <v>--</v>
      </c>
      <c r="DW289" s="2133" t="str">
        <f t="shared" si="60"/>
        <v>--</v>
      </c>
      <c r="DX289" s="2133" t="str">
        <f t="shared" si="60"/>
        <v>--</v>
      </c>
      <c r="DY289" s="2133" t="str">
        <f t="shared" si="60"/>
        <v>--</v>
      </c>
      <c r="DZ289" s="2133" t="str">
        <f t="shared" si="60"/>
        <v>--</v>
      </c>
      <c r="EA289" s="2133" t="str">
        <f t="shared" si="60"/>
        <v>--</v>
      </c>
      <c r="EB289" s="2133" t="str">
        <f t="shared" si="60"/>
        <v>--</v>
      </c>
      <c r="EC289" s="2133" t="str">
        <f t="shared" si="60"/>
        <v>--</v>
      </c>
      <c r="ED289" s="2133" t="str">
        <f t="shared" si="60"/>
        <v>--</v>
      </c>
      <c r="EE289" s="2133" t="str">
        <f t="shared" si="60"/>
        <v>--</v>
      </c>
      <c r="EF289" s="2133" t="str">
        <f t="shared" si="60"/>
        <v>--</v>
      </c>
      <c r="EG289" s="2133" t="str">
        <f t="shared" si="60"/>
        <v>--</v>
      </c>
      <c r="EH289" s="2133" t="str">
        <f t="shared" si="60"/>
        <v>--</v>
      </c>
      <c r="EI289" s="2133" t="str">
        <f t="shared" si="60"/>
        <v>--</v>
      </c>
      <c r="EJ289" s="2133" t="str">
        <f t="shared" si="60"/>
        <v>--</v>
      </c>
      <c r="EK289" s="2133" t="str">
        <f t="shared" si="60"/>
        <v>--</v>
      </c>
      <c r="EL289" s="2133" t="str">
        <f t="shared" si="60"/>
        <v>--</v>
      </c>
      <c r="EM289" s="2133" t="str">
        <f t="shared" si="60"/>
        <v>--</v>
      </c>
      <c r="EN289" s="2133" t="str">
        <f t="shared" si="60"/>
        <v>--</v>
      </c>
      <c r="EO289" s="2133" t="str">
        <f t="shared" si="60"/>
        <v>--</v>
      </c>
      <c r="EP289" s="2133" t="str">
        <f t="shared" si="60"/>
        <v>--</v>
      </c>
      <c r="EQ289" s="2133" t="str">
        <f t="shared" si="60"/>
        <v>--</v>
      </c>
      <c r="ER289" s="2133" t="str">
        <f t="shared" si="60"/>
        <v>--</v>
      </c>
      <c r="ES289" s="2133" t="str">
        <f>IFERROR(ES227/ES258,"--")</f>
        <v>--</v>
      </c>
      <c r="ET289" s="2133" t="str">
        <f t="shared" ref="ET289:FH289" si="61">IFERROR(ET227/ET258,"--")</f>
        <v>--</v>
      </c>
      <c r="EU289" s="2133" t="str">
        <f t="shared" si="61"/>
        <v>--</v>
      </c>
      <c r="EV289" s="2133" t="str">
        <f t="shared" si="61"/>
        <v>--</v>
      </c>
      <c r="EW289" s="2133" t="str">
        <f t="shared" si="61"/>
        <v>--</v>
      </c>
      <c r="EX289" s="2133" t="str">
        <f t="shared" si="61"/>
        <v>--</v>
      </c>
      <c r="EY289" s="2133" t="str">
        <f t="shared" si="61"/>
        <v>--</v>
      </c>
      <c r="EZ289" s="2133" t="str">
        <f t="shared" si="61"/>
        <v>--</v>
      </c>
      <c r="FA289" s="2133" t="str">
        <f t="shared" si="61"/>
        <v>--</v>
      </c>
      <c r="FB289" s="2133" t="str">
        <f t="shared" si="61"/>
        <v>--</v>
      </c>
      <c r="FC289" s="2133" t="str">
        <f t="shared" si="61"/>
        <v>--</v>
      </c>
      <c r="FD289" s="2133" t="str">
        <f t="shared" si="61"/>
        <v>--</v>
      </c>
      <c r="FE289" s="2133" t="str">
        <f t="shared" si="61"/>
        <v>--</v>
      </c>
      <c r="FF289" s="2133" t="str">
        <f t="shared" si="61"/>
        <v>--</v>
      </c>
      <c r="FG289" s="2133" t="str">
        <f t="shared" si="61"/>
        <v>--</v>
      </c>
      <c r="FH289" s="2133" t="str">
        <f t="shared" si="61"/>
        <v>--</v>
      </c>
      <c r="FI289" s="2133" t="str">
        <f t="shared" ref="FI289:HT292" si="62">IFERROR(FI227/FI258,"--")</f>
        <v>--</v>
      </c>
      <c r="FJ289" s="2133" t="str">
        <f t="shared" si="62"/>
        <v>--</v>
      </c>
      <c r="FK289" s="2133" t="str">
        <f t="shared" si="62"/>
        <v>--</v>
      </c>
      <c r="FL289" s="2133" t="str">
        <f t="shared" si="62"/>
        <v>--</v>
      </c>
      <c r="FM289" s="2133" t="str">
        <f t="shared" si="62"/>
        <v>--</v>
      </c>
      <c r="FN289" s="2133" t="str">
        <f t="shared" si="62"/>
        <v>--</v>
      </c>
      <c r="FO289" s="2133" t="str">
        <f t="shared" si="62"/>
        <v>--</v>
      </c>
      <c r="FP289" s="2133" t="str">
        <f t="shared" si="62"/>
        <v>--</v>
      </c>
      <c r="FQ289" s="2133" t="str">
        <f t="shared" si="62"/>
        <v>--</v>
      </c>
      <c r="FR289" s="2133" t="str">
        <f t="shared" si="62"/>
        <v>--</v>
      </c>
      <c r="FS289" s="2133" t="str">
        <f t="shared" si="62"/>
        <v>--</v>
      </c>
      <c r="FT289" s="2133" t="str">
        <f t="shared" si="62"/>
        <v>--</v>
      </c>
      <c r="FU289" s="2133" t="str">
        <f t="shared" si="62"/>
        <v>--</v>
      </c>
      <c r="FV289" s="2133" t="str">
        <f t="shared" si="62"/>
        <v>--</v>
      </c>
      <c r="FW289" s="2133" t="str">
        <f t="shared" si="62"/>
        <v>--</v>
      </c>
      <c r="FX289" s="2133" t="str">
        <f t="shared" si="62"/>
        <v>--</v>
      </c>
      <c r="FY289" s="2133" t="str">
        <f t="shared" si="62"/>
        <v>--</v>
      </c>
      <c r="FZ289" s="2133" t="str">
        <f t="shared" si="62"/>
        <v>--</v>
      </c>
      <c r="GA289" s="2133" t="str">
        <f t="shared" si="62"/>
        <v>--</v>
      </c>
      <c r="GB289" s="2133" t="str">
        <f t="shared" si="62"/>
        <v>--</v>
      </c>
      <c r="GC289" s="2133" t="str">
        <f t="shared" si="62"/>
        <v>--</v>
      </c>
      <c r="GD289" s="2133" t="str">
        <f t="shared" si="62"/>
        <v>--</v>
      </c>
      <c r="GE289" s="2133" t="str">
        <f t="shared" si="62"/>
        <v>--</v>
      </c>
      <c r="GF289" s="2133" t="str">
        <f t="shared" si="62"/>
        <v>--</v>
      </c>
      <c r="GG289" s="2133" t="str">
        <f t="shared" si="62"/>
        <v>--</v>
      </c>
      <c r="GH289" s="2133" t="str">
        <f t="shared" si="62"/>
        <v>--</v>
      </c>
      <c r="GI289" s="2133" t="str">
        <f t="shared" si="62"/>
        <v>--</v>
      </c>
      <c r="GJ289" s="2133" t="str">
        <f t="shared" si="62"/>
        <v>--</v>
      </c>
      <c r="GK289" s="2133" t="str">
        <f t="shared" si="62"/>
        <v>--</v>
      </c>
      <c r="GL289" s="2133" t="str">
        <f t="shared" si="62"/>
        <v>--</v>
      </c>
      <c r="GM289" s="2133" t="str">
        <f t="shared" si="62"/>
        <v>--</v>
      </c>
      <c r="GN289" s="2133" t="str">
        <f t="shared" si="62"/>
        <v>--</v>
      </c>
      <c r="GO289" s="2133" t="str">
        <f t="shared" si="62"/>
        <v>--</v>
      </c>
      <c r="GP289" s="2133" t="str">
        <f t="shared" si="62"/>
        <v>--</v>
      </c>
      <c r="GQ289" s="2133" t="str">
        <f t="shared" si="62"/>
        <v>--</v>
      </c>
      <c r="GR289" s="2133" t="str">
        <f t="shared" si="62"/>
        <v>--</v>
      </c>
      <c r="GS289" s="2133" t="str">
        <f t="shared" si="62"/>
        <v>--</v>
      </c>
      <c r="GT289" s="2133" t="str">
        <f t="shared" si="62"/>
        <v>--</v>
      </c>
      <c r="GU289" s="2133" t="str">
        <f t="shared" si="62"/>
        <v>--</v>
      </c>
      <c r="GV289" s="2133" t="str">
        <f t="shared" si="62"/>
        <v>--</v>
      </c>
      <c r="GW289" s="2133" t="str">
        <f t="shared" si="62"/>
        <v>--</v>
      </c>
      <c r="GX289" s="2133" t="str">
        <f t="shared" si="62"/>
        <v>--</v>
      </c>
      <c r="GY289" s="2133" t="str">
        <f t="shared" si="62"/>
        <v>--</v>
      </c>
      <c r="GZ289" s="2133" t="str">
        <f t="shared" si="62"/>
        <v>--</v>
      </c>
      <c r="HA289" s="2133" t="str">
        <f t="shared" si="62"/>
        <v>--</v>
      </c>
      <c r="HB289" s="2133" t="str">
        <f t="shared" si="62"/>
        <v>--</v>
      </c>
      <c r="HC289" s="2133" t="str">
        <f t="shared" si="62"/>
        <v>--</v>
      </c>
      <c r="HD289" s="2133" t="str">
        <f t="shared" si="62"/>
        <v>--</v>
      </c>
      <c r="HE289" s="2133" t="str">
        <f t="shared" si="62"/>
        <v>--</v>
      </c>
      <c r="HF289" s="2133" t="str">
        <f t="shared" si="62"/>
        <v>--</v>
      </c>
      <c r="HG289" s="2133" t="str">
        <f t="shared" si="62"/>
        <v>--</v>
      </c>
      <c r="HH289" s="2133" t="str">
        <f t="shared" si="62"/>
        <v>--</v>
      </c>
      <c r="HI289" s="2133" t="str">
        <f t="shared" si="62"/>
        <v>--</v>
      </c>
      <c r="HJ289" s="2133" t="str">
        <f t="shared" si="62"/>
        <v>--</v>
      </c>
      <c r="HK289" s="2133" t="str">
        <f t="shared" si="62"/>
        <v>--</v>
      </c>
      <c r="HL289" s="2133" t="str">
        <f t="shared" si="62"/>
        <v>--</v>
      </c>
      <c r="HM289" s="2133" t="str">
        <f t="shared" si="62"/>
        <v>--</v>
      </c>
      <c r="HN289" s="2133" t="str">
        <f t="shared" si="62"/>
        <v>--</v>
      </c>
      <c r="HO289" s="2133" t="str">
        <f t="shared" si="62"/>
        <v>--</v>
      </c>
      <c r="HP289" s="2133" t="str">
        <f t="shared" si="62"/>
        <v>--</v>
      </c>
      <c r="HQ289" s="2133" t="str">
        <f t="shared" si="62"/>
        <v>--</v>
      </c>
      <c r="HR289" s="2133" t="str">
        <f t="shared" si="62"/>
        <v>--</v>
      </c>
      <c r="HS289" s="2133" t="str">
        <f t="shared" si="62"/>
        <v>--</v>
      </c>
      <c r="HT289" s="2133" t="str">
        <f t="shared" si="62"/>
        <v>--</v>
      </c>
      <c r="HU289" s="2133" t="str">
        <f t="shared" ref="HU289:JQ291" si="63">IFERROR(HU227/HU258,"--")</f>
        <v>--</v>
      </c>
      <c r="HV289" s="2133" t="str">
        <f t="shared" si="63"/>
        <v>--</v>
      </c>
      <c r="HW289" s="2133" t="str">
        <f t="shared" si="63"/>
        <v>--</v>
      </c>
      <c r="HX289" s="2133" t="str">
        <f t="shared" si="63"/>
        <v>--</v>
      </c>
      <c r="HY289" s="2133" t="str">
        <f t="shared" si="63"/>
        <v>--</v>
      </c>
      <c r="HZ289" s="2133" t="str">
        <f t="shared" si="63"/>
        <v>--</v>
      </c>
      <c r="IA289" s="2133" t="str">
        <f t="shared" si="63"/>
        <v>--</v>
      </c>
      <c r="IB289" s="2133" t="str">
        <f t="shared" si="63"/>
        <v>--</v>
      </c>
      <c r="IC289" s="2133" t="str">
        <f t="shared" si="63"/>
        <v>--</v>
      </c>
      <c r="ID289" s="2133" t="str">
        <f t="shared" si="63"/>
        <v>--</v>
      </c>
      <c r="IE289" s="2133" t="str">
        <f t="shared" si="63"/>
        <v>--</v>
      </c>
      <c r="IF289" s="2133" t="str">
        <f t="shared" si="63"/>
        <v>--</v>
      </c>
      <c r="IG289" s="2133" t="str">
        <f t="shared" si="63"/>
        <v>--</v>
      </c>
      <c r="IH289" s="2133" t="str">
        <f t="shared" si="63"/>
        <v>--</v>
      </c>
      <c r="II289" s="2133" t="str">
        <f t="shared" si="63"/>
        <v>--</v>
      </c>
      <c r="IJ289" s="2133" t="str">
        <f t="shared" si="63"/>
        <v>--</v>
      </c>
      <c r="IK289" s="2133" t="str">
        <f t="shared" si="63"/>
        <v>--</v>
      </c>
      <c r="IL289" s="2133" t="str">
        <f t="shared" si="63"/>
        <v>--</v>
      </c>
      <c r="IM289" s="2133" t="str">
        <f t="shared" si="63"/>
        <v>--</v>
      </c>
      <c r="IN289" s="2133" t="str">
        <f t="shared" si="63"/>
        <v>--</v>
      </c>
      <c r="IO289" s="2133" t="str">
        <f t="shared" si="63"/>
        <v>--</v>
      </c>
      <c r="IP289" s="2133" t="str">
        <f t="shared" si="63"/>
        <v>--</v>
      </c>
      <c r="IQ289" s="2133" t="str">
        <f t="shared" si="63"/>
        <v>--</v>
      </c>
      <c r="IR289" s="2133" t="str">
        <f t="shared" si="63"/>
        <v>--</v>
      </c>
      <c r="IS289" s="2133" t="str">
        <f t="shared" si="63"/>
        <v>--</v>
      </c>
      <c r="IT289" s="2133" t="str">
        <f t="shared" si="63"/>
        <v>--</v>
      </c>
      <c r="IU289" s="2133" t="str">
        <f t="shared" si="63"/>
        <v>--</v>
      </c>
      <c r="IV289" s="2133" t="str">
        <f t="shared" si="63"/>
        <v>--</v>
      </c>
      <c r="IW289" s="2133" t="str">
        <f t="shared" si="63"/>
        <v>--</v>
      </c>
      <c r="IX289" s="2133" t="str">
        <f t="shared" si="63"/>
        <v>--</v>
      </c>
      <c r="IY289" s="2133" t="str">
        <f t="shared" si="63"/>
        <v>--</v>
      </c>
      <c r="IZ289" s="2133" t="str">
        <f t="shared" si="63"/>
        <v>--</v>
      </c>
      <c r="JA289" s="2133" t="str">
        <f t="shared" si="63"/>
        <v>--</v>
      </c>
      <c r="JB289" s="2133" t="str">
        <f t="shared" si="63"/>
        <v>--</v>
      </c>
      <c r="JC289" s="2133" t="str">
        <f t="shared" si="63"/>
        <v>--</v>
      </c>
      <c r="JD289" s="2133" t="str">
        <f t="shared" si="63"/>
        <v>--</v>
      </c>
      <c r="JE289" s="2133" t="str">
        <f t="shared" si="63"/>
        <v>--</v>
      </c>
      <c r="JF289" s="2133" t="str">
        <f t="shared" si="63"/>
        <v>--</v>
      </c>
      <c r="JG289" s="2133" t="str">
        <f t="shared" si="63"/>
        <v>--</v>
      </c>
      <c r="JH289" s="2133" t="str">
        <f t="shared" si="63"/>
        <v>--</v>
      </c>
      <c r="JI289" s="2133" t="str">
        <f t="shared" si="63"/>
        <v>--</v>
      </c>
      <c r="JJ289" s="2133" t="str">
        <f t="shared" si="63"/>
        <v>--</v>
      </c>
      <c r="JK289" s="2133" t="str">
        <f t="shared" si="63"/>
        <v>--</v>
      </c>
      <c r="JL289" s="2133" t="str">
        <f t="shared" si="63"/>
        <v>--</v>
      </c>
      <c r="JM289" s="2133" t="str">
        <f t="shared" si="63"/>
        <v>--</v>
      </c>
      <c r="JN289" s="2133" t="str">
        <f t="shared" si="63"/>
        <v>--</v>
      </c>
      <c r="JO289" s="2133" t="str">
        <f t="shared" si="63"/>
        <v>--</v>
      </c>
      <c r="JP289" s="2133" t="str">
        <f t="shared" si="63"/>
        <v>--</v>
      </c>
      <c r="JQ289" s="2133" t="str">
        <f t="shared" si="63"/>
        <v>--</v>
      </c>
      <c r="JR289" s="2133" t="str">
        <f t="shared" si="56"/>
        <v>--</v>
      </c>
      <c r="JS289" s="2133" t="str">
        <f t="shared" si="56"/>
        <v>--</v>
      </c>
      <c r="JT289" s="2133" t="str">
        <f t="shared" si="56"/>
        <v>--</v>
      </c>
      <c r="JU289" s="2133" t="str">
        <f t="shared" si="56"/>
        <v>--</v>
      </c>
      <c r="JV289" s="2133" t="str">
        <f t="shared" si="56"/>
        <v>--</v>
      </c>
      <c r="JW289" s="2133" t="str">
        <f t="shared" si="56"/>
        <v>--</v>
      </c>
      <c r="JX289" s="2133" t="str">
        <f t="shared" si="56"/>
        <v>--</v>
      </c>
      <c r="JY289" s="2133" t="str">
        <f t="shared" si="56"/>
        <v>--</v>
      </c>
      <c r="JZ289" s="2133" t="str">
        <f t="shared" si="56"/>
        <v>--</v>
      </c>
      <c r="KA289" s="2133" t="str">
        <f t="shared" si="56"/>
        <v>--</v>
      </c>
      <c r="KB289" s="2133" t="str">
        <f t="shared" si="56"/>
        <v>--</v>
      </c>
    </row>
    <row r="290" spans="1:288" s="89" customFormat="1" ht="13.9">
      <c r="A290" s="269" t="str">
        <f t="shared" si="58"/>
        <v>n</v>
      </c>
      <c r="B290" s="2060"/>
      <c r="D290" s="801"/>
      <c r="E290" s="1505">
        <v>5</v>
      </c>
      <c r="F290" s="21" t="str">
        <f>F$133</f>
        <v>--</v>
      </c>
      <c r="G290" s="1441">
        <f>G$133</f>
        <v>0</v>
      </c>
      <c r="H290" s="1441" t="str">
        <f>H$133</f>
        <v>--</v>
      </c>
      <c r="I290" s="89" t="s">
        <v>786</v>
      </c>
      <c r="K290" s="2301" t="str">
        <f>IF(OR(K196=0,$G290=0),"--",IFERROR(_xll.ciqfunctions.udf.CIQ($G290,$I290,K104,Valuation_Date_GC,ReportType,DataMode,$H290,FXMode)*Scale,"--"))</f>
        <v>--</v>
      </c>
      <c r="L290" s="2301" t="str">
        <f>IF(OR(L196=0,$G290=0),"--",IFERROR(_xll.ciqfunctions.udf.CIQ($G290,$I290,L104,Valuation_Date_GC,ReportType,DataMode,$H290,FXMode)*Scale,"--"))</f>
        <v>--</v>
      </c>
      <c r="M290" s="2301" t="str">
        <f>IF(OR(M196=0,$G290=0),"--",IFERROR(_xll.ciqfunctions.udf.CIQ($G290,$I290,M104,Valuation_Date_GC,ReportType,DataMode,$H290,FXMode)*Scale,"--"))</f>
        <v>--</v>
      </c>
      <c r="N290" s="2301" t="str">
        <f>IF(OR(N196=0,$G290=0),"--",IFERROR(_xll.ciqfunctions.udf.CIQ($G290,$I290,N104,Valuation_Date_GC,ReportType,DataMode,$H290,FXMode)*Scale,"--"))</f>
        <v>--</v>
      </c>
      <c r="O290" s="1471" t="str">
        <f>IF(OR(O196=0,$G290=0),"--",IFERROR(_xll.ciqfunctions.udf.CIQ($G290,$I290,O104,Valuation_Date_GC,ReportType,DataMode,$H290,FXMode)*Scale,"--"))</f>
        <v>--</v>
      </c>
      <c r="P290" s="2301" t="str">
        <f>IF(OR(P196=0,$G290=0),"--",IFERROR(_xll.ciqfunctions.udf.CIQ($G290,$I290,P104,Valuation_Date_GC,ReportType,DataMode,$H290,FXMode)*Scale,"--"))</f>
        <v>--</v>
      </c>
      <c r="R290" s="255"/>
      <c r="S290" s="1958" t="str">
        <f t="shared" si="51"/>
        <v>--</v>
      </c>
      <c r="T290" s="1779" t="s">
        <v>787</v>
      </c>
      <c r="U290" s="2133" t="str">
        <f t="shared" si="57"/>
        <v>--</v>
      </c>
      <c r="V290" s="2133" t="str">
        <f t="shared" si="57"/>
        <v>--</v>
      </c>
      <c r="W290" s="2133" t="str">
        <f t="shared" si="57"/>
        <v>--</v>
      </c>
      <c r="X290" s="2133" t="str">
        <f t="shared" si="57"/>
        <v>--</v>
      </c>
      <c r="Y290" s="2133" t="str">
        <f t="shared" si="57"/>
        <v>--</v>
      </c>
      <c r="Z290" s="2133" t="str">
        <f t="shared" si="57"/>
        <v>--</v>
      </c>
      <c r="AA290" s="2133" t="str">
        <f t="shared" si="57"/>
        <v>--</v>
      </c>
      <c r="AB290" s="2133" t="str">
        <f t="shared" si="57"/>
        <v>--</v>
      </c>
      <c r="AC290" s="2133" t="str">
        <f t="shared" si="57"/>
        <v>--</v>
      </c>
      <c r="AD290" s="2133" t="str">
        <f t="shared" si="57"/>
        <v>--</v>
      </c>
      <c r="AE290" s="2133" t="str">
        <f t="shared" si="57"/>
        <v>--</v>
      </c>
      <c r="AF290" s="2133" t="str">
        <f t="shared" si="57"/>
        <v>--</v>
      </c>
      <c r="AG290" s="2133" t="str">
        <f t="shared" si="57"/>
        <v>--</v>
      </c>
      <c r="AH290" s="2133" t="str">
        <f t="shared" si="57"/>
        <v>--</v>
      </c>
      <c r="AI290" s="2133" t="str">
        <f t="shared" si="57"/>
        <v>--</v>
      </c>
      <c r="AJ290" s="2133" t="str">
        <f t="shared" si="57"/>
        <v>--</v>
      </c>
      <c r="AK290" s="2133" t="str">
        <f t="shared" si="59"/>
        <v>--</v>
      </c>
      <c r="AL290" s="2133" t="str">
        <f t="shared" si="59"/>
        <v>--</v>
      </c>
      <c r="AM290" s="2133" t="str">
        <f t="shared" si="59"/>
        <v>--</v>
      </c>
      <c r="AN290" s="2133" t="str">
        <f t="shared" si="59"/>
        <v>--</v>
      </c>
      <c r="AO290" s="2133" t="str">
        <f t="shared" si="59"/>
        <v>--</v>
      </c>
      <c r="AP290" s="2133" t="str">
        <f t="shared" si="59"/>
        <v>--</v>
      </c>
      <c r="AQ290" s="2133" t="str">
        <f t="shared" si="59"/>
        <v>--</v>
      </c>
      <c r="AR290" s="2133" t="str">
        <f t="shared" si="59"/>
        <v>--</v>
      </c>
      <c r="AS290" s="2133" t="str">
        <f t="shared" si="59"/>
        <v>--</v>
      </c>
      <c r="AT290" s="2133" t="str">
        <f t="shared" si="59"/>
        <v>--</v>
      </c>
      <c r="AU290" s="2133" t="str">
        <f t="shared" si="59"/>
        <v>--</v>
      </c>
      <c r="AV290" s="2133" t="str">
        <f t="shared" si="59"/>
        <v>--</v>
      </c>
      <c r="AW290" s="2133" t="str">
        <f t="shared" si="59"/>
        <v>--</v>
      </c>
      <c r="AX290" s="2133" t="str">
        <f t="shared" si="59"/>
        <v>--</v>
      </c>
      <c r="AY290" s="2133" t="str">
        <f t="shared" si="59"/>
        <v>--</v>
      </c>
      <c r="AZ290" s="2133" t="str">
        <f t="shared" si="59"/>
        <v>--</v>
      </c>
      <c r="BA290" s="2133" t="str">
        <f t="shared" si="59"/>
        <v>--</v>
      </c>
      <c r="BB290" s="2133" t="str">
        <f t="shared" si="59"/>
        <v>--</v>
      </c>
      <c r="BC290" s="2133" t="str">
        <f t="shared" si="59"/>
        <v>--</v>
      </c>
      <c r="BD290" s="2133" t="str">
        <f t="shared" si="59"/>
        <v>--</v>
      </c>
      <c r="BE290" s="2133" t="str">
        <f t="shared" si="59"/>
        <v>--</v>
      </c>
      <c r="BF290" s="2133" t="str">
        <f t="shared" si="59"/>
        <v>--</v>
      </c>
      <c r="BG290" s="2133" t="str">
        <f t="shared" si="59"/>
        <v>--</v>
      </c>
      <c r="BH290" s="2133" t="str">
        <f t="shared" si="59"/>
        <v>--</v>
      </c>
      <c r="BI290" s="2133" t="str">
        <f t="shared" si="59"/>
        <v>--</v>
      </c>
      <c r="BJ290" s="2133" t="str">
        <f t="shared" si="59"/>
        <v>--</v>
      </c>
      <c r="BK290" s="2133" t="str">
        <f t="shared" si="59"/>
        <v>--</v>
      </c>
      <c r="BL290" s="2133" t="str">
        <f t="shared" si="59"/>
        <v>--</v>
      </c>
      <c r="BM290" s="2133" t="str">
        <f t="shared" si="59"/>
        <v>--</v>
      </c>
      <c r="BN290" s="2133" t="str">
        <f t="shared" si="59"/>
        <v>--</v>
      </c>
      <c r="BO290" s="2133" t="str">
        <f t="shared" si="59"/>
        <v>--</v>
      </c>
      <c r="BP290" s="2133" t="str">
        <f t="shared" si="59"/>
        <v>--</v>
      </c>
      <c r="BQ290" s="2133" t="str">
        <f t="shared" si="59"/>
        <v>--</v>
      </c>
      <c r="BR290" s="2133" t="str">
        <f t="shared" si="59"/>
        <v>--</v>
      </c>
      <c r="BS290" s="2133" t="str">
        <f t="shared" si="59"/>
        <v>--</v>
      </c>
      <c r="BT290" s="2133" t="str">
        <f t="shared" si="59"/>
        <v>--</v>
      </c>
      <c r="BU290" s="2133" t="str">
        <f t="shared" si="59"/>
        <v>--</v>
      </c>
      <c r="BV290" s="2133" t="str">
        <f t="shared" si="59"/>
        <v>--</v>
      </c>
      <c r="BW290" s="2133" t="str">
        <f t="shared" si="59"/>
        <v>--</v>
      </c>
      <c r="BX290" s="2133" t="str">
        <f t="shared" si="59"/>
        <v>--</v>
      </c>
      <c r="BY290" s="2133" t="str">
        <f t="shared" si="59"/>
        <v>--</v>
      </c>
      <c r="BZ290" s="2133" t="str">
        <f t="shared" si="59"/>
        <v>--</v>
      </c>
      <c r="CA290" s="2133" t="str">
        <f t="shared" si="59"/>
        <v>--</v>
      </c>
      <c r="CB290" s="2133" t="str">
        <f t="shared" si="59"/>
        <v>--</v>
      </c>
      <c r="CC290" s="2133" t="str">
        <f t="shared" si="59"/>
        <v>--</v>
      </c>
      <c r="CD290" s="2133" t="str">
        <f t="shared" si="59"/>
        <v>--</v>
      </c>
      <c r="CE290" s="2133" t="str">
        <f t="shared" si="59"/>
        <v>--</v>
      </c>
      <c r="CF290" s="2133" t="str">
        <f t="shared" si="59"/>
        <v>--</v>
      </c>
      <c r="CG290" s="2133" t="str">
        <f t="shared" si="59"/>
        <v>--</v>
      </c>
      <c r="CH290" s="2133" t="str">
        <f t="shared" si="59"/>
        <v>--</v>
      </c>
      <c r="CI290" s="2133" t="str">
        <f t="shared" si="59"/>
        <v>--</v>
      </c>
      <c r="CJ290" s="2133" t="str">
        <f t="shared" si="59"/>
        <v>--</v>
      </c>
      <c r="CK290" s="2133" t="str">
        <f t="shared" si="59"/>
        <v>--</v>
      </c>
      <c r="CL290" s="2133" t="str">
        <f t="shared" si="59"/>
        <v>--</v>
      </c>
      <c r="CM290" s="2133" t="str">
        <f t="shared" si="59"/>
        <v>--</v>
      </c>
      <c r="CN290" s="2133" t="str">
        <f t="shared" si="59"/>
        <v>--</v>
      </c>
      <c r="CO290" s="2133" t="str">
        <f t="shared" si="59"/>
        <v>--</v>
      </c>
      <c r="CP290" s="2133" t="str">
        <f t="shared" si="59"/>
        <v>--</v>
      </c>
      <c r="CQ290" s="2133" t="str">
        <f t="shared" si="59"/>
        <v>--</v>
      </c>
      <c r="CR290" s="2133" t="str">
        <f t="shared" si="59"/>
        <v>--</v>
      </c>
      <c r="CS290" s="2133" t="str">
        <f t="shared" si="59"/>
        <v>--</v>
      </c>
      <c r="CT290" s="2133" t="str">
        <f t="shared" si="59"/>
        <v>--</v>
      </c>
      <c r="CU290" s="2133" t="str">
        <f t="shared" si="59"/>
        <v>--</v>
      </c>
      <c r="CV290" s="2133" t="str">
        <f t="shared" si="59"/>
        <v>--</v>
      </c>
      <c r="CW290" s="2133" t="str">
        <f t="shared" ref="CW290:ER290" si="64">IFERROR(CW228/CW259,"--")</f>
        <v>--</v>
      </c>
      <c r="CX290" s="2133" t="str">
        <f t="shared" si="64"/>
        <v>--</v>
      </c>
      <c r="CY290" s="2133" t="str">
        <f t="shared" si="64"/>
        <v>--</v>
      </c>
      <c r="CZ290" s="2133" t="str">
        <f t="shared" si="64"/>
        <v>--</v>
      </c>
      <c r="DA290" s="2133" t="str">
        <f t="shared" si="64"/>
        <v>--</v>
      </c>
      <c r="DB290" s="2133" t="str">
        <f t="shared" si="64"/>
        <v>--</v>
      </c>
      <c r="DC290" s="2133" t="str">
        <f t="shared" si="64"/>
        <v>--</v>
      </c>
      <c r="DD290" s="2133" t="str">
        <f t="shared" si="64"/>
        <v>--</v>
      </c>
      <c r="DE290" s="2133" t="str">
        <f t="shared" si="64"/>
        <v>--</v>
      </c>
      <c r="DF290" s="2133" t="str">
        <f t="shared" si="64"/>
        <v>--</v>
      </c>
      <c r="DG290" s="2133" t="str">
        <f t="shared" si="64"/>
        <v>--</v>
      </c>
      <c r="DH290" s="2133" t="str">
        <f t="shared" si="64"/>
        <v>--</v>
      </c>
      <c r="DI290" s="2133" t="str">
        <f t="shared" si="64"/>
        <v>--</v>
      </c>
      <c r="DJ290" s="2133" t="str">
        <f t="shared" si="64"/>
        <v>--</v>
      </c>
      <c r="DK290" s="2133" t="str">
        <f t="shared" si="64"/>
        <v>--</v>
      </c>
      <c r="DL290" s="2133" t="str">
        <f t="shared" si="64"/>
        <v>--</v>
      </c>
      <c r="DM290" s="2133" t="str">
        <f t="shared" si="64"/>
        <v>--</v>
      </c>
      <c r="DN290" s="2133" t="str">
        <f t="shared" si="64"/>
        <v>--</v>
      </c>
      <c r="DO290" s="2133" t="str">
        <f t="shared" si="64"/>
        <v>--</v>
      </c>
      <c r="DP290" s="2133" t="str">
        <f t="shared" si="64"/>
        <v>--</v>
      </c>
      <c r="DQ290" s="2133" t="str">
        <f t="shared" si="64"/>
        <v>--</v>
      </c>
      <c r="DR290" s="2133" t="str">
        <f t="shared" si="64"/>
        <v>--</v>
      </c>
      <c r="DS290" s="2133" t="str">
        <f t="shared" si="64"/>
        <v>--</v>
      </c>
      <c r="DT290" s="2133" t="str">
        <f t="shared" si="64"/>
        <v>--</v>
      </c>
      <c r="DU290" s="2133" t="str">
        <f t="shared" si="64"/>
        <v>--</v>
      </c>
      <c r="DV290" s="2133" t="str">
        <f t="shared" si="64"/>
        <v>--</v>
      </c>
      <c r="DW290" s="2133" t="str">
        <f t="shared" si="64"/>
        <v>--</v>
      </c>
      <c r="DX290" s="2133" t="str">
        <f t="shared" si="64"/>
        <v>--</v>
      </c>
      <c r="DY290" s="2133" t="str">
        <f t="shared" si="64"/>
        <v>--</v>
      </c>
      <c r="DZ290" s="2133" t="str">
        <f t="shared" si="64"/>
        <v>--</v>
      </c>
      <c r="EA290" s="2133" t="str">
        <f t="shared" si="64"/>
        <v>--</v>
      </c>
      <c r="EB290" s="2133" t="str">
        <f t="shared" si="64"/>
        <v>--</v>
      </c>
      <c r="EC290" s="2133" t="str">
        <f t="shared" si="64"/>
        <v>--</v>
      </c>
      <c r="ED290" s="2133" t="str">
        <f t="shared" si="64"/>
        <v>--</v>
      </c>
      <c r="EE290" s="2133" t="str">
        <f t="shared" si="64"/>
        <v>--</v>
      </c>
      <c r="EF290" s="2133" t="str">
        <f t="shared" si="64"/>
        <v>--</v>
      </c>
      <c r="EG290" s="2133" t="str">
        <f t="shared" si="64"/>
        <v>--</v>
      </c>
      <c r="EH290" s="2133" t="str">
        <f t="shared" si="64"/>
        <v>--</v>
      </c>
      <c r="EI290" s="2133" t="str">
        <f t="shared" si="64"/>
        <v>--</v>
      </c>
      <c r="EJ290" s="2133" t="str">
        <f t="shared" si="64"/>
        <v>--</v>
      </c>
      <c r="EK290" s="2133" t="str">
        <f t="shared" si="64"/>
        <v>--</v>
      </c>
      <c r="EL290" s="2133" t="str">
        <f t="shared" si="64"/>
        <v>--</v>
      </c>
      <c r="EM290" s="2133" t="str">
        <f t="shared" si="64"/>
        <v>--</v>
      </c>
      <c r="EN290" s="2133" t="str">
        <f t="shared" si="64"/>
        <v>--</v>
      </c>
      <c r="EO290" s="2133" t="str">
        <f t="shared" si="64"/>
        <v>--</v>
      </c>
      <c r="EP290" s="2133" t="str">
        <f t="shared" si="64"/>
        <v>--</v>
      </c>
      <c r="EQ290" s="2133" t="str">
        <f t="shared" si="64"/>
        <v>--</v>
      </c>
      <c r="ER290" s="2133" t="str">
        <f t="shared" si="64"/>
        <v>--</v>
      </c>
      <c r="ES290" s="2133" t="str">
        <f>IFERROR(ES228/ES259,"--")</f>
        <v>--</v>
      </c>
      <c r="ET290" s="2133" t="str">
        <f t="shared" ref="ET290:FH290" si="65">IFERROR(ET228/ET259,"--")</f>
        <v>--</v>
      </c>
      <c r="EU290" s="2133" t="str">
        <f t="shared" si="65"/>
        <v>--</v>
      </c>
      <c r="EV290" s="2133" t="str">
        <f t="shared" si="65"/>
        <v>--</v>
      </c>
      <c r="EW290" s="2133" t="str">
        <f t="shared" si="65"/>
        <v>--</v>
      </c>
      <c r="EX290" s="2133" t="str">
        <f t="shared" si="65"/>
        <v>--</v>
      </c>
      <c r="EY290" s="2133" t="str">
        <f t="shared" si="65"/>
        <v>--</v>
      </c>
      <c r="EZ290" s="2133" t="str">
        <f t="shared" si="65"/>
        <v>--</v>
      </c>
      <c r="FA290" s="2133" t="str">
        <f t="shared" si="65"/>
        <v>--</v>
      </c>
      <c r="FB290" s="2133" t="str">
        <f t="shared" si="65"/>
        <v>--</v>
      </c>
      <c r="FC290" s="2133" t="str">
        <f t="shared" si="65"/>
        <v>--</v>
      </c>
      <c r="FD290" s="2133" t="str">
        <f t="shared" si="65"/>
        <v>--</v>
      </c>
      <c r="FE290" s="2133" t="str">
        <f t="shared" si="65"/>
        <v>--</v>
      </c>
      <c r="FF290" s="2133" t="str">
        <f t="shared" si="65"/>
        <v>--</v>
      </c>
      <c r="FG290" s="2133" t="str">
        <f t="shared" si="65"/>
        <v>--</v>
      </c>
      <c r="FH290" s="2133" t="str">
        <f t="shared" si="65"/>
        <v>--</v>
      </c>
      <c r="FI290" s="2133" t="str">
        <f t="shared" si="62"/>
        <v>--</v>
      </c>
      <c r="FJ290" s="2133" t="str">
        <f t="shared" si="62"/>
        <v>--</v>
      </c>
      <c r="FK290" s="2133" t="str">
        <f t="shared" si="62"/>
        <v>--</v>
      </c>
      <c r="FL290" s="2133" t="str">
        <f t="shared" si="62"/>
        <v>--</v>
      </c>
      <c r="FM290" s="2133" t="str">
        <f t="shared" si="62"/>
        <v>--</v>
      </c>
      <c r="FN290" s="2133" t="str">
        <f t="shared" si="62"/>
        <v>--</v>
      </c>
      <c r="FO290" s="2133" t="str">
        <f t="shared" si="62"/>
        <v>--</v>
      </c>
      <c r="FP290" s="2133" t="str">
        <f t="shared" si="62"/>
        <v>--</v>
      </c>
      <c r="FQ290" s="2133" t="str">
        <f t="shared" si="62"/>
        <v>--</v>
      </c>
      <c r="FR290" s="2133" t="str">
        <f t="shared" si="62"/>
        <v>--</v>
      </c>
      <c r="FS290" s="2133" t="str">
        <f t="shared" si="62"/>
        <v>--</v>
      </c>
      <c r="FT290" s="2133" t="str">
        <f t="shared" si="62"/>
        <v>--</v>
      </c>
      <c r="FU290" s="2133" t="str">
        <f t="shared" si="62"/>
        <v>--</v>
      </c>
      <c r="FV290" s="2133" t="str">
        <f t="shared" si="62"/>
        <v>--</v>
      </c>
      <c r="FW290" s="2133" t="str">
        <f t="shared" si="62"/>
        <v>--</v>
      </c>
      <c r="FX290" s="2133" t="str">
        <f t="shared" si="62"/>
        <v>--</v>
      </c>
      <c r="FY290" s="2133" t="str">
        <f t="shared" si="62"/>
        <v>--</v>
      </c>
      <c r="FZ290" s="2133" t="str">
        <f t="shared" si="62"/>
        <v>--</v>
      </c>
      <c r="GA290" s="2133" t="str">
        <f t="shared" si="62"/>
        <v>--</v>
      </c>
      <c r="GB290" s="2133" t="str">
        <f t="shared" si="62"/>
        <v>--</v>
      </c>
      <c r="GC290" s="2133" t="str">
        <f t="shared" si="62"/>
        <v>--</v>
      </c>
      <c r="GD290" s="2133" t="str">
        <f t="shared" si="62"/>
        <v>--</v>
      </c>
      <c r="GE290" s="2133" t="str">
        <f t="shared" si="62"/>
        <v>--</v>
      </c>
      <c r="GF290" s="2133" t="str">
        <f t="shared" si="62"/>
        <v>--</v>
      </c>
      <c r="GG290" s="2133" t="str">
        <f t="shared" si="62"/>
        <v>--</v>
      </c>
      <c r="GH290" s="2133" t="str">
        <f t="shared" si="62"/>
        <v>--</v>
      </c>
      <c r="GI290" s="2133" t="str">
        <f t="shared" si="62"/>
        <v>--</v>
      </c>
      <c r="GJ290" s="2133" t="str">
        <f t="shared" si="62"/>
        <v>--</v>
      </c>
      <c r="GK290" s="2133" t="str">
        <f t="shared" si="62"/>
        <v>--</v>
      </c>
      <c r="GL290" s="2133" t="str">
        <f t="shared" si="62"/>
        <v>--</v>
      </c>
      <c r="GM290" s="2133" t="str">
        <f t="shared" si="62"/>
        <v>--</v>
      </c>
      <c r="GN290" s="2133" t="str">
        <f t="shared" si="62"/>
        <v>--</v>
      </c>
      <c r="GO290" s="2133" t="str">
        <f t="shared" si="62"/>
        <v>--</v>
      </c>
      <c r="GP290" s="2133" t="str">
        <f t="shared" si="62"/>
        <v>--</v>
      </c>
      <c r="GQ290" s="2133" t="str">
        <f t="shared" si="62"/>
        <v>--</v>
      </c>
      <c r="GR290" s="2133" t="str">
        <f t="shared" si="62"/>
        <v>--</v>
      </c>
      <c r="GS290" s="2133" t="str">
        <f t="shared" si="62"/>
        <v>--</v>
      </c>
      <c r="GT290" s="2133" t="str">
        <f t="shared" si="62"/>
        <v>--</v>
      </c>
      <c r="GU290" s="2133" t="str">
        <f t="shared" si="62"/>
        <v>--</v>
      </c>
      <c r="GV290" s="2133" t="str">
        <f t="shared" si="62"/>
        <v>--</v>
      </c>
      <c r="GW290" s="2133" t="str">
        <f t="shared" si="62"/>
        <v>--</v>
      </c>
      <c r="GX290" s="2133" t="str">
        <f t="shared" si="62"/>
        <v>--</v>
      </c>
      <c r="GY290" s="2133" t="str">
        <f t="shared" si="62"/>
        <v>--</v>
      </c>
      <c r="GZ290" s="2133" t="str">
        <f t="shared" si="62"/>
        <v>--</v>
      </c>
      <c r="HA290" s="2133" t="str">
        <f t="shared" si="62"/>
        <v>--</v>
      </c>
      <c r="HB290" s="2133" t="str">
        <f t="shared" si="62"/>
        <v>--</v>
      </c>
      <c r="HC290" s="2133" t="str">
        <f t="shared" si="62"/>
        <v>--</v>
      </c>
      <c r="HD290" s="2133" t="str">
        <f t="shared" si="62"/>
        <v>--</v>
      </c>
      <c r="HE290" s="2133" t="str">
        <f t="shared" si="62"/>
        <v>--</v>
      </c>
      <c r="HF290" s="2133" t="str">
        <f t="shared" si="62"/>
        <v>--</v>
      </c>
      <c r="HG290" s="2133" t="str">
        <f t="shared" si="62"/>
        <v>--</v>
      </c>
      <c r="HH290" s="2133" t="str">
        <f t="shared" si="62"/>
        <v>--</v>
      </c>
      <c r="HI290" s="2133" t="str">
        <f t="shared" si="62"/>
        <v>--</v>
      </c>
      <c r="HJ290" s="2133" t="str">
        <f t="shared" si="62"/>
        <v>--</v>
      </c>
      <c r="HK290" s="2133" t="str">
        <f t="shared" si="62"/>
        <v>--</v>
      </c>
      <c r="HL290" s="2133" t="str">
        <f t="shared" si="62"/>
        <v>--</v>
      </c>
      <c r="HM290" s="2133" t="str">
        <f t="shared" si="62"/>
        <v>--</v>
      </c>
      <c r="HN290" s="2133" t="str">
        <f t="shared" si="62"/>
        <v>--</v>
      </c>
      <c r="HO290" s="2133" t="str">
        <f t="shared" si="62"/>
        <v>--</v>
      </c>
      <c r="HP290" s="2133" t="str">
        <f t="shared" si="62"/>
        <v>--</v>
      </c>
      <c r="HQ290" s="2133" t="str">
        <f t="shared" si="62"/>
        <v>--</v>
      </c>
      <c r="HR290" s="2133" t="str">
        <f t="shared" si="62"/>
        <v>--</v>
      </c>
      <c r="HS290" s="2133" t="str">
        <f t="shared" si="62"/>
        <v>--</v>
      </c>
      <c r="HT290" s="2133" t="str">
        <f t="shared" si="62"/>
        <v>--</v>
      </c>
      <c r="HU290" s="2133" t="str">
        <f t="shared" si="63"/>
        <v>--</v>
      </c>
      <c r="HV290" s="2133" t="str">
        <f t="shared" si="63"/>
        <v>--</v>
      </c>
      <c r="HW290" s="2133" t="str">
        <f t="shared" si="63"/>
        <v>--</v>
      </c>
      <c r="HX290" s="2133" t="str">
        <f t="shared" si="63"/>
        <v>--</v>
      </c>
      <c r="HY290" s="2133" t="str">
        <f t="shared" si="63"/>
        <v>--</v>
      </c>
      <c r="HZ290" s="2133" t="str">
        <f t="shared" si="63"/>
        <v>--</v>
      </c>
      <c r="IA290" s="2133" t="str">
        <f t="shared" si="63"/>
        <v>--</v>
      </c>
      <c r="IB290" s="2133" t="str">
        <f t="shared" si="63"/>
        <v>--</v>
      </c>
      <c r="IC290" s="2133" t="str">
        <f t="shared" si="63"/>
        <v>--</v>
      </c>
      <c r="ID290" s="2133" t="str">
        <f t="shared" si="63"/>
        <v>--</v>
      </c>
      <c r="IE290" s="2133" t="str">
        <f t="shared" si="63"/>
        <v>--</v>
      </c>
      <c r="IF290" s="2133" t="str">
        <f t="shared" si="63"/>
        <v>--</v>
      </c>
      <c r="IG290" s="2133" t="str">
        <f t="shared" si="63"/>
        <v>--</v>
      </c>
      <c r="IH290" s="2133" t="str">
        <f t="shared" si="63"/>
        <v>--</v>
      </c>
      <c r="II290" s="2133" t="str">
        <f t="shared" si="63"/>
        <v>--</v>
      </c>
      <c r="IJ290" s="2133" t="str">
        <f t="shared" si="63"/>
        <v>--</v>
      </c>
      <c r="IK290" s="2133" t="str">
        <f t="shared" si="63"/>
        <v>--</v>
      </c>
      <c r="IL290" s="2133" t="str">
        <f t="shared" si="63"/>
        <v>--</v>
      </c>
      <c r="IM290" s="2133" t="str">
        <f t="shared" si="63"/>
        <v>--</v>
      </c>
      <c r="IN290" s="2133" t="str">
        <f t="shared" si="63"/>
        <v>--</v>
      </c>
      <c r="IO290" s="2133" t="str">
        <f t="shared" si="63"/>
        <v>--</v>
      </c>
      <c r="IP290" s="2133" t="str">
        <f t="shared" si="63"/>
        <v>--</v>
      </c>
      <c r="IQ290" s="2133" t="str">
        <f t="shared" si="63"/>
        <v>--</v>
      </c>
      <c r="IR290" s="2133" t="str">
        <f t="shared" si="63"/>
        <v>--</v>
      </c>
      <c r="IS290" s="2133" t="str">
        <f t="shared" si="63"/>
        <v>--</v>
      </c>
      <c r="IT290" s="2133" t="str">
        <f t="shared" si="63"/>
        <v>--</v>
      </c>
      <c r="IU290" s="2133" t="str">
        <f t="shared" si="63"/>
        <v>--</v>
      </c>
      <c r="IV290" s="2133" t="str">
        <f t="shared" si="63"/>
        <v>--</v>
      </c>
      <c r="IW290" s="2133" t="str">
        <f t="shared" si="63"/>
        <v>--</v>
      </c>
      <c r="IX290" s="2133" t="str">
        <f t="shared" si="63"/>
        <v>--</v>
      </c>
      <c r="IY290" s="2133" t="str">
        <f t="shared" si="63"/>
        <v>--</v>
      </c>
      <c r="IZ290" s="2133" t="str">
        <f t="shared" si="63"/>
        <v>--</v>
      </c>
      <c r="JA290" s="2133" t="str">
        <f t="shared" si="63"/>
        <v>--</v>
      </c>
      <c r="JB290" s="2133" t="str">
        <f t="shared" si="63"/>
        <v>--</v>
      </c>
      <c r="JC290" s="2133" t="str">
        <f t="shared" si="63"/>
        <v>--</v>
      </c>
      <c r="JD290" s="2133" t="str">
        <f t="shared" si="63"/>
        <v>--</v>
      </c>
      <c r="JE290" s="2133" t="str">
        <f t="shared" si="63"/>
        <v>--</v>
      </c>
      <c r="JF290" s="2133" t="str">
        <f t="shared" si="63"/>
        <v>--</v>
      </c>
      <c r="JG290" s="2133" t="str">
        <f t="shared" si="63"/>
        <v>--</v>
      </c>
      <c r="JH290" s="2133" t="str">
        <f t="shared" si="63"/>
        <v>--</v>
      </c>
      <c r="JI290" s="2133" t="str">
        <f t="shared" si="63"/>
        <v>--</v>
      </c>
      <c r="JJ290" s="2133" t="str">
        <f t="shared" si="63"/>
        <v>--</v>
      </c>
      <c r="JK290" s="2133" t="str">
        <f t="shared" si="63"/>
        <v>--</v>
      </c>
      <c r="JL290" s="2133" t="str">
        <f t="shared" si="63"/>
        <v>--</v>
      </c>
      <c r="JM290" s="2133" t="str">
        <f t="shared" si="63"/>
        <v>--</v>
      </c>
      <c r="JN290" s="2133" t="str">
        <f t="shared" si="63"/>
        <v>--</v>
      </c>
      <c r="JO290" s="2133" t="str">
        <f t="shared" si="63"/>
        <v>--</v>
      </c>
      <c r="JP290" s="2133" t="str">
        <f t="shared" si="63"/>
        <v>--</v>
      </c>
      <c r="JQ290" s="2133" t="str">
        <f t="shared" si="63"/>
        <v>--</v>
      </c>
      <c r="JR290" s="2133" t="str">
        <f t="shared" si="56"/>
        <v>--</v>
      </c>
      <c r="JS290" s="2133" t="str">
        <f t="shared" si="56"/>
        <v>--</v>
      </c>
      <c r="JT290" s="2133" t="str">
        <f t="shared" si="56"/>
        <v>--</v>
      </c>
      <c r="JU290" s="2133" t="str">
        <f t="shared" si="56"/>
        <v>--</v>
      </c>
      <c r="JV290" s="2133" t="str">
        <f t="shared" si="56"/>
        <v>--</v>
      </c>
      <c r="JW290" s="2133" t="str">
        <f t="shared" si="56"/>
        <v>--</v>
      </c>
      <c r="JX290" s="2133" t="str">
        <f t="shared" si="56"/>
        <v>--</v>
      </c>
      <c r="JY290" s="2133" t="str">
        <f t="shared" si="56"/>
        <v>--</v>
      </c>
      <c r="JZ290" s="2133" t="str">
        <f t="shared" si="56"/>
        <v>--</v>
      </c>
      <c r="KA290" s="2133" t="str">
        <f t="shared" si="56"/>
        <v>--</v>
      </c>
      <c r="KB290" s="2133" t="str">
        <f t="shared" si="56"/>
        <v>--</v>
      </c>
    </row>
    <row r="291" spans="1:288" s="89" customFormat="1" ht="13.9">
      <c r="A291" s="269" t="str">
        <f t="shared" si="58"/>
        <v>n</v>
      </c>
      <c r="B291" s="2060"/>
      <c r="D291" s="801"/>
      <c r="E291" s="1505">
        <v>6</v>
      </c>
      <c r="F291" s="21" t="str">
        <f>F$134</f>
        <v>--</v>
      </c>
      <c r="G291" s="1441">
        <f>G$134</f>
        <v>0</v>
      </c>
      <c r="H291" s="1441" t="str">
        <f>H$134</f>
        <v>--</v>
      </c>
      <c r="I291" s="89" t="s">
        <v>786</v>
      </c>
      <c r="K291" s="2301" t="str">
        <f>IF(OR(K197=0,$G291=0),"--",IFERROR(_xll.ciqfunctions.udf.CIQ($G291,$I291,K105,Valuation_Date_GC,ReportType,DataMode,$H291,FXMode)*Scale,"--"))</f>
        <v>--</v>
      </c>
      <c r="L291" s="2301" t="str">
        <f>IF(OR(L197=0,$G291=0),"--",IFERROR(_xll.ciqfunctions.udf.CIQ($G291,$I291,L105,Valuation_Date_GC,ReportType,DataMode,$H291,FXMode)*Scale,"--"))</f>
        <v>--</v>
      </c>
      <c r="M291" s="2301" t="str">
        <f>IF(OR(M197=0,$G291=0),"--",IFERROR(_xll.ciqfunctions.udf.CIQ($G291,$I291,M105,Valuation_Date_GC,ReportType,DataMode,$H291,FXMode)*Scale,"--"))</f>
        <v>--</v>
      </c>
      <c r="N291" s="2301" t="str">
        <f>IF(OR(N197=0,$G291=0),"--",IFERROR(_xll.ciqfunctions.udf.CIQ($G291,$I291,N105,Valuation_Date_GC,ReportType,DataMode,$H291,FXMode)*Scale,"--"))</f>
        <v>--</v>
      </c>
      <c r="O291" s="1471" t="str">
        <f>IF(OR(O197=0,$G291=0),"--",IFERROR(_xll.ciqfunctions.udf.CIQ($G291,$I291,O105,Valuation_Date_GC,ReportType,DataMode,$H291,FXMode)*Scale,"--"))</f>
        <v>--</v>
      </c>
      <c r="P291" s="2301" t="str">
        <f>IF(OR(P197=0,$G291=0),"--",IFERROR(_xll.ciqfunctions.udf.CIQ($G291,$I291,P105,Valuation_Date_GC,ReportType,DataMode,$H291,FXMode)*Scale,"--"))</f>
        <v>--</v>
      </c>
      <c r="R291" s="255"/>
      <c r="S291" s="1958" t="str">
        <f t="shared" si="51"/>
        <v>--</v>
      </c>
      <c r="T291" s="1779" t="s">
        <v>787</v>
      </c>
      <c r="U291" s="2133" t="str">
        <f t="shared" si="57"/>
        <v>--</v>
      </c>
      <c r="V291" s="2133" t="str">
        <f t="shared" si="57"/>
        <v>--</v>
      </c>
      <c r="W291" s="2133" t="str">
        <f t="shared" si="57"/>
        <v>--</v>
      </c>
      <c r="X291" s="2133" t="str">
        <f t="shared" si="57"/>
        <v>--</v>
      </c>
      <c r="Y291" s="2133" t="str">
        <f t="shared" si="57"/>
        <v>--</v>
      </c>
      <c r="Z291" s="2133" t="str">
        <f t="shared" si="57"/>
        <v>--</v>
      </c>
      <c r="AA291" s="2133" t="str">
        <f t="shared" si="57"/>
        <v>--</v>
      </c>
      <c r="AB291" s="2133" t="str">
        <f t="shared" si="57"/>
        <v>--</v>
      </c>
      <c r="AC291" s="2133" t="str">
        <f t="shared" si="57"/>
        <v>--</v>
      </c>
      <c r="AD291" s="2133" t="str">
        <f t="shared" si="57"/>
        <v>--</v>
      </c>
      <c r="AE291" s="2133" t="str">
        <f t="shared" si="57"/>
        <v>--</v>
      </c>
      <c r="AF291" s="2133" t="str">
        <f t="shared" si="57"/>
        <v>--</v>
      </c>
      <c r="AG291" s="2133" t="str">
        <f t="shared" si="57"/>
        <v>--</v>
      </c>
      <c r="AH291" s="2133" t="str">
        <f t="shared" si="57"/>
        <v>--</v>
      </c>
      <c r="AI291" s="2133" t="str">
        <f t="shared" si="57"/>
        <v>--</v>
      </c>
      <c r="AJ291" s="2133" t="str">
        <f t="shared" si="57"/>
        <v>--</v>
      </c>
      <c r="AK291" s="2133" t="str">
        <f t="shared" si="59"/>
        <v>--</v>
      </c>
      <c r="AL291" s="2133" t="str">
        <f t="shared" si="59"/>
        <v>--</v>
      </c>
      <c r="AM291" s="2133" t="str">
        <f t="shared" si="59"/>
        <v>--</v>
      </c>
      <c r="AN291" s="2133" t="str">
        <f t="shared" si="59"/>
        <v>--</v>
      </c>
      <c r="AO291" s="2133" t="str">
        <f t="shared" si="59"/>
        <v>--</v>
      </c>
      <c r="AP291" s="2133" t="str">
        <f t="shared" si="59"/>
        <v>--</v>
      </c>
      <c r="AQ291" s="2133" t="str">
        <f t="shared" si="59"/>
        <v>--</v>
      </c>
      <c r="AR291" s="2133" t="str">
        <f t="shared" si="59"/>
        <v>--</v>
      </c>
      <c r="AS291" s="2133" t="str">
        <f t="shared" si="59"/>
        <v>--</v>
      </c>
      <c r="AT291" s="2133" t="str">
        <f t="shared" si="59"/>
        <v>--</v>
      </c>
      <c r="AU291" s="2133" t="str">
        <f t="shared" si="59"/>
        <v>--</v>
      </c>
      <c r="AV291" s="2133" t="str">
        <f t="shared" si="59"/>
        <v>--</v>
      </c>
      <c r="AW291" s="2133" t="str">
        <f t="shared" si="59"/>
        <v>--</v>
      </c>
      <c r="AX291" s="2133" t="str">
        <f t="shared" si="59"/>
        <v>--</v>
      </c>
      <c r="AY291" s="2133" t="str">
        <f t="shared" si="59"/>
        <v>--</v>
      </c>
      <c r="AZ291" s="2133" t="str">
        <f t="shared" si="59"/>
        <v>--</v>
      </c>
      <c r="BA291" s="2133" t="str">
        <f t="shared" si="59"/>
        <v>--</v>
      </c>
      <c r="BB291" s="2133" t="str">
        <f t="shared" si="59"/>
        <v>--</v>
      </c>
      <c r="BC291" s="2133" t="str">
        <f t="shared" si="59"/>
        <v>--</v>
      </c>
      <c r="BD291" s="2133" t="str">
        <f t="shared" si="59"/>
        <v>--</v>
      </c>
      <c r="BE291" s="2133" t="str">
        <f t="shared" si="59"/>
        <v>--</v>
      </c>
      <c r="BF291" s="2133" t="str">
        <f t="shared" si="59"/>
        <v>--</v>
      </c>
      <c r="BG291" s="2133" t="str">
        <f t="shared" si="59"/>
        <v>--</v>
      </c>
      <c r="BH291" s="2133" t="str">
        <f t="shared" si="59"/>
        <v>--</v>
      </c>
      <c r="BI291" s="2133" t="str">
        <f t="shared" si="59"/>
        <v>--</v>
      </c>
      <c r="BJ291" s="2133" t="str">
        <f t="shared" si="59"/>
        <v>--</v>
      </c>
      <c r="BK291" s="2133" t="str">
        <f t="shared" si="59"/>
        <v>--</v>
      </c>
      <c r="BL291" s="2133" t="str">
        <f t="shared" si="59"/>
        <v>--</v>
      </c>
      <c r="BM291" s="2133" t="str">
        <f t="shared" si="59"/>
        <v>--</v>
      </c>
      <c r="BN291" s="2133" t="str">
        <f t="shared" si="59"/>
        <v>--</v>
      </c>
      <c r="BO291" s="2133" t="str">
        <f t="shared" si="59"/>
        <v>--</v>
      </c>
      <c r="BP291" s="2133" t="str">
        <f t="shared" si="59"/>
        <v>--</v>
      </c>
      <c r="BQ291" s="2133" t="str">
        <f t="shared" si="59"/>
        <v>--</v>
      </c>
      <c r="BR291" s="2133" t="str">
        <f t="shared" si="59"/>
        <v>--</v>
      </c>
      <c r="BS291" s="2133" t="str">
        <f t="shared" si="59"/>
        <v>--</v>
      </c>
      <c r="BT291" s="2133" t="str">
        <f t="shared" si="59"/>
        <v>--</v>
      </c>
      <c r="BU291" s="2133" t="str">
        <f t="shared" si="59"/>
        <v>--</v>
      </c>
      <c r="BV291" s="2133" t="str">
        <f t="shared" si="59"/>
        <v>--</v>
      </c>
      <c r="BW291" s="2133" t="str">
        <f t="shared" si="59"/>
        <v>--</v>
      </c>
      <c r="BX291" s="2133" t="str">
        <f t="shared" si="59"/>
        <v>--</v>
      </c>
      <c r="BY291" s="2133" t="str">
        <f t="shared" si="59"/>
        <v>--</v>
      </c>
      <c r="BZ291" s="2133" t="str">
        <f t="shared" si="59"/>
        <v>--</v>
      </c>
      <c r="CA291" s="2133" t="str">
        <f t="shared" si="59"/>
        <v>--</v>
      </c>
      <c r="CB291" s="2133" t="str">
        <f t="shared" si="59"/>
        <v>--</v>
      </c>
      <c r="CC291" s="2133" t="str">
        <f t="shared" si="59"/>
        <v>--</v>
      </c>
      <c r="CD291" s="2133" t="str">
        <f t="shared" si="59"/>
        <v>--</v>
      </c>
      <c r="CE291" s="2133" t="str">
        <f t="shared" si="59"/>
        <v>--</v>
      </c>
      <c r="CF291" s="2133" t="str">
        <f t="shared" si="59"/>
        <v>--</v>
      </c>
      <c r="CG291" s="2133" t="str">
        <f t="shared" si="59"/>
        <v>--</v>
      </c>
      <c r="CH291" s="2133" t="str">
        <f t="shared" si="59"/>
        <v>--</v>
      </c>
      <c r="CI291" s="2133" t="str">
        <f t="shared" si="59"/>
        <v>--</v>
      </c>
      <c r="CJ291" s="2133" t="str">
        <f t="shared" si="59"/>
        <v>--</v>
      </c>
      <c r="CK291" s="2133" t="str">
        <f t="shared" si="59"/>
        <v>--</v>
      </c>
      <c r="CL291" s="2133" t="str">
        <f t="shared" si="59"/>
        <v>--</v>
      </c>
      <c r="CM291" s="2133" t="str">
        <f t="shared" si="59"/>
        <v>--</v>
      </c>
      <c r="CN291" s="2133" t="str">
        <f t="shared" si="59"/>
        <v>--</v>
      </c>
      <c r="CO291" s="2133" t="str">
        <f t="shared" si="59"/>
        <v>--</v>
      </c>
      <c r="CP291" s="2133" t="str">
        <f t="shared" si="59"/>
        <v>--</v>
      </c>
      <c r="CQ291" s="2133" t="str">
        <f t="shared" si="59"/>
        <v>--</v>
      </c>
      <c r="CR291" s="2133" t="str">
        <f t="shared" si="59"/>
        <v>--</v>
      </c>
      <c r="CS291" s="2133" t="str">
        <f t="shared" si="59"/>
        <v>--</v>
      </c>
      <c r="CT291" s="2133" t="str">
        <f t="shared" si="59"/>
        <v>--</v>
      </c>
      <c r="CU291" s="2133" t="str">
        <f t="shared" si="59"/>
        <v>--</v>
      </c>
      <c r="CV291" s="2133" t="str">
        <f t="shared" si="59"/>
        <v>--</v>
      </c>
      <c r="CW291" s="2133" t="str">
        <f t="shared" ref="CW291:ER291" si="66">IFERROR(CW229/CW260,"--")</f>
        <v>--</v>
      </c>
      <c r="CX291" s="2133" t="str">
        <f t="shared" si="66"/>
        <v>--</v>
      </c>
      <c r="CY291" s="2133" t="str">
        <f t="shared" si="66"/>
        <v>--</v>
      </c>
      <c r="CZ291" s="2133" t="str">
        <f t="shared" si="66"/>
        <v>--</v>
      </c>
      <c r="DA291" s="2133" t="str">
        <f t="shared" si="66"/>
        <v>--</v>
      </c>
      <c r="DB291" s="2133" t="str">
        <f t="shared" si="66"/>
        <v>--</v>
      </c>
      <c r="DC291" s="2133" t="str">
        <f t="shared" si="66"/>
        <v>--</v>
      </c>
      <c r="DD291" s="2133" t="str">
        <f t="shared" si="66"/>
        <v>--</v>
      </c>
      <c r="DE291" s="2133" t="str">
        <f t="shared" si="66"/>
        <v>--</v>
      </c>
      <c r="DF291" s="2133" t="str">
        <f t="shared" si="66"/>
        <v>--</v>
      </c>
      <c r="DG291" s="2133" t="str">
        <f t="shared" si="66"/>
        <v>--</v>
      </c>
      <c r="DH291" s="2133" t="str">
        <f t="shared" si="66"/>
        <v>--</v>
      </c>
      <c r="DI291" s="2133" t="str">
        <f t="shared" si="66"/>
        <v>--</v>
      </c>
      <c r="DJ291" s="2133" t="str">
        <f t="shared" si="66"/>
        <v>--</v>
      </c>
      <c r="DK291" s="2133" t="str">
        <f t="shared" si="66"/>
        <v>--</v>
      </c>
      <c r="DL291" s="2133" t="str">
        <f t="shared" si="66"/>
        <v>--</v>
      </c>
      <c r="DM291" s="2133" t="str">
        <f t="shared" si="66"/>
        <v>--</v>
      </c>
      <c r="DN291" s="2133" t="str">
        <f t="shared" si="66"/>
        <v>--</v>
      </c>
      <c r="DO291" s="2133" t="str">
        <f t="shared" si="66"/>
        <v>--</v>
      </c>
      <c r="DP291" s="2133" t="str">
        <f t="shared" si="66"/>
        <v>--</v>
      </c>
      <c r="DQ291" s="2133" t="str">
        <f t="shared" si="66"/>
        <v>--</v>
      </c>
      <c r="DR291" s="2133" t="str">
        <f t="shared" si="66"/>
        <v>--</v>
      </c>
      <c r="DS291" s="2133" t="str">
        <f t="shared" si="66"/>
        <v>--</v>
      </c>
      <c r="DT291" s="2133" t="str">
        <f t="shared" si="66"/>
        <v>--</v>
      </c>
      <c r="DU291" s="2133" t="str">
        <f t="shared" si="66"/>
        <v>--</v>
      </c>
      <c r="DV291" s="2133" t="str">
        <f t="shared" si="66"/>
        <v>--</v>
      </c>
      <c r="DW291" s="2133" t="str">
        <f t="shared" si="66"/>
        <v>--</v>
      </c>
      <c r="DX291" s="2133" t="str">
        <f t="shared" si="66"/>
        <v>--</v>
      </c>
      <c r="DY291" s="2133" t="str">
        <f t="shared" si="66"/>
        <v>--</v>
      </c>
      <c r="DZ291" s="2133" t="str">
        <f t="shared" si="66"/>
        <v>--</v>
      </c>
      <c r="EA291" s="2133" t="str">
        <f t="shared" si="66"/>
        <v>--</v>
      </c>
      <c r="EB291" s="2133" t="str">
        <f t="shared" si="66"/>
        <v>--</v>
      </c>
      <c r="EC291" s="2133" t="str">
        <f t="shared" si="66"/>
        <v>--</v>
      </c>
      <c r="ED291" s="2133" t="str">
        <f t="shared" si="66"/>
        <v>--</v>
      </c>
      <c r="EE291" s="2133" t="str">
        <f t="shared" si="66"/>
        <v>--</v>
      </c>
      <c r="EF291" s="2133" t="str">
        <f t="shared" si="66"/>
        <v>--</v>
      </c>
      <c r="EG291" s="2133" t="str">
        <f t="shared" si="66"/>
        <v>--</v>
      </c>
      <c r="EH291" s="2133" t="str">
        <f t="shared" si="66"/>
        <v>--</v>
      </c>
      <c r="EI291" s="2133" t="str">
        <f t="shared" si="66"/>
        <v>--</v>
      </c>
      <c r="EJ291" s="2133" t="str">
        <f t="shared" si="66"/>
        <v>--</v>
      </c>
      <c r="EK291" s="2133" t="str">
        <f t="shared" si="66"/>
        <v>--</v>
      </c>
      <c r="EL291" s="2133" t="str">
        <f t="shared" si="66"/>
        <v>--</v>
      </c>
      <c r="EM291" s="2133" t="str">
        <f t="shared" si="66"/>
        <v>--</v>
      </c>
      <c r="EN291" s="2133" t="str">
        <f t="shared" si="66"/>
        <v>--</v>
      </c>
      <c r="EO291" s="2133" t="str">
        <f t="shared" si="66"/>
        <v>--</v>
      </c>
      <c r="EP291" s="2133" t="str">
        <f t="shared" si="66"/>
        <v>--</v>
      </c>
      <c r="EQ291" s="2133" t="str">
        <f t="shared" si="66"/>
        <v>--</v>
      </c>
      <c r="ER291" s="2133" t="str">
        <f t="shared" si="66"/>
        <v>--</v>
      </c>
      <c r="ES291" s="2133" t="str">
        <f>IFERROR(ES229/ES260,"--")</f>
        <v>--</v>
      </c>
      <c r="ET291" s="2133" t="str">
        <f t="shared" ref="ET291:FH291" si="67">IFERROR(ET229/ET260,"--")</f>
        <v>--</v>
      </c>
      <c r="EU291" s="2133" t="str">
        <f t="shared" si="67"/>
        <v>--</v>
      </c>
      <c r="EV291" s="2133" t="str">
        <f t="shared" si="67"/>
        <v>--</v>
      </c>
      <c r="EW291" s="2133" t="str">
        <f t="shared" si="67"/>
        <v>--</v>
      </c>
      <c r="EX291" s="2133" t="str">
        <f t="shared" si="67"/>
        <v>--</v>
      </c>
      <c r="EY291" s="2133" t="str">
        <f t="shared" si="67"/>
        <v>--</v>
      </c>
      <c r="EZ291" s="2133" t="str">
        <f t="shared" si="67"/>
        <v>--</v>
      </c>
      <c r="FA291" s="2133" t="str">
        <f t="shared" si="67"/>
        <v>--</v>
      </c>
      <c r="FB291" s="2133" t="str">
        <f t="shared" si="67"/>
        <v>--</v>
      </c>
      <c r="FC291" s="2133" t="str">
        <f t="shared" si="67"/>
        <v>--</v>
      </c>
      <c r="FD291" s="2133" t="str">
        <f t="shared" si="67"/>
        <v>--</v>
      </c>
      <c r="FE291" s="2133" t="str">
        <f t="shared" si="67"/>
        <v>--</v>
      </c>
      <c r="FF291" s="2133" t="str">
        <f t="shared" si="67"/>
        <v>--</v>
      </c>
      <c r="FG291" s="2133" t="str">
        <f t="shared" si="67"/>
        <v>--</v>
      </c>
      <c r="FH291" s="2133" t="str">
        <f t="shared" si="67"/>
        <v>--</v>
      </c>
      <c r="FI291" s="2133" t="str">
        <f t="shared" si="62"/>
        <v>--</v>
      </c>
      <c r="FJ291" s="2133" t="str">
        <f t="shared" si="62"/>
        <v>--</v>
      </c>
      <c r="FK291" s="2133" t="str">
        <f t="shared" si="62"/>
        <v>--</v>
      </c>
      <c r="FL291" s="2133" t="str">
        <f t="shared" si="62"/>
        <v>--</v>
      </c>
      <c r="FM291" s="2133" t="str">
        <f t="shared" si="62"/>
        <v>--</v>
      </c>
      <c r="FN291" s="2133" t="str">
        <f t="shared" si="62"/>
        <v>--</v>
      </c>
      <c r="FO291" s="2133" t="str">
        <f t="shared" si="62"/>
        <v>--</v>
      </c>
      <c r="FP291" s="2133" t="str">
        <f t="shared" si="62"/>
        <v>--</v>
      </c>
      <c r="FQ291" s="2133" t="str">
        <f t="shared" si="62"/>
        <v>--</v>
      </c>
      <c r="FR291" s="2133" t="str">
        <f t="shared" si="62"/>
        <v>--</v>
      </c>
      <c r="FS291" s="2133" t="str">
        <f t="shared" si="62"/>
        <v>--</v>
      </c>
      <c r="FT291" s="2133" t="str">
        <f t="shared" si="62"/>
        <v>--</v>
      </c>
      <c r="FU291" s="2133" t="str">
        <f t="shared" si="62"/>
        <v>--</v>
      </c>
      <c r="FV291" s="2133" t="str">
        <f t="shared" si="62"/>
        <v>--</v>
      </c>
      <c r="FW291" s="2133" t="str">
        <f t="shared" si="62"/>
        <v>--</v>
      </c>
      <c r="FX291" s="2133" t="str">
        <f t="shared" si="62"/>
        <v>--</v>
      </c>
      <c r="FY291" s="2133" t="str">
        <f t="shared" si="62"/>
        <v>--</v>
      </c>
      <c r="FZ291" s="2133" t="str">
        <f t="shared" si="62"/>
        <v>--</v>
      </c>
      <c r="GA291" s="2133" t="str">
        <f t="shared" si="62"/>
        <v>--</v>
      </c>
      <c r="GB291" s="2133" t="str">
        <f t="shared" si="62"/>
        <v>--</v>
      </c>
      <c r="GC291" s="2133" t="str">
        <f t="shared" si="62"/>
        <v>--</v>
      </c>
      <c r="GD291" s="2133" t="str">
        <f t="shared" si="62"/>
        <v>--</v>
      </c>
      <c r="GE291" s="2133" t="str">
        <f t="shared" si="62"/>
        <v>--</v>
      </c>
      <c r="GF291" s="2133" t="str">
        <f t="shared" si="62"/>
        <v>--</v>
      </c>
      <c r="GG291" s="2133" t="str">
        <f t="shared" si="62"/>
        <v>--</v>
      </c>
      <c r="GH291" s="2133" t="str">
        <f t="shared" si="62"/>
        <v>--</v>
      </c>
      <c r="GI291" s="2133" t="str">
        <f t="shared" si="62"/>
        <v>--</v>
      </c>
      <c r="GJ291" s="2133" t="str">
        <f t="shared" si="62"/>
        <v>--</v>
      </c>
      <c r="GK291" s="2133" t="str">
        <f t="shared" si="62"/>
        <v>--</v>
      </c>
      <c r="GL291" s="2133" t="str">
        <f t="shared" si="62"/>
        <v>--</v>
      </c>
      <c r="GM291" s="2133" t="str">
        <f t="shared" si="62"/>
        <v>--</v>
      </c>
      <c r="GN291" s="2133" t="str">
        <f t="shared" si="62"/>
        <v>--</v>
      </c>
      <c r="GO291" s="2133" t="str">
        <f t="shared" si="62"/>
        <v>--</v>
      </c>
      <c r="GP291" s="2133" t="str">
        <f t="shared" si="62"/>
        <v>--</v>
      </c>
      <c r="GQ291" s="2133" t="str">
        <f t="shared" si="62"/>
        <v>--</v>
      </c>
      <c r="GR291" s="2133" t="str">
        <f t="shared" si="62"/>
        <v>--</v>
      </c>
      <c r="GS291" s="2133" t="str">
        <f t="shared" si="62"/>
        <v>--</v>
      </c>
      <c r="GT291" s="2133" t="str">
        <f t="shared" si="62"/>
        <v>--</v>
      </c>
      <c r="GU291" s="2133" t="str">
        <f t="shared" si="62"/>
        <v>--</v>
      </c>
      <c r="GV291" s="2133" t="str">
        <f t="shared" si="62"/>
        <v>--</v>
      </c>
      <c r="GW291" s="2133" t="str">
        <f t="shared" si="62"/>
        <v>--</v>
      </c>
      <c r="GX291" s="2133" t="str">
        <f t="shared" si="62"/>
        <v>--</v>
      </c>
      <c r="GY291" s="2133" t="str">
        <f t="shared" si="62"/>
        <v>--</v>
      </c>
      <c r="GZ291" s="2133" t="str">
        <f t="shared" si="62"/>
        <v>--</v>
      </c>
      <c r="HA291" s="2133" t="str">
        <f t="shared" si="62"/>
        <v>--</v>
      </c>
      <c r="HB291" s="2133" t="str">
        <f t="shared" si="62"/>
        <v>--</v>
      </c>
      <c r="HC291" s="2133" t="str">
        <f t="shared" si="62"/>
        <v>--</v>
      </c>
      <c r="HD291" s="2133" t="str">
        <f t="shared" si="62"/>
        <v>--</v>
      </c>
      <c r="HE291" s="2133" t="str">
        <f t="shared" si="62"/>
        <v>--</v>
      </c>
      <c r="HF291" s="2133" t="str">
        <f t="shared" si="62"/>
        <v>--</v>
      </c>
      <c r="HG291" s="2133" t="str">
        <f t="shared" si="62"/>
        <v>--</v>
      </c>
      <c r="HH291" s="2133" t="str">
        <f t="shared" si="62"/>
        <v>--</v>
      </c>
      <c r="HI291" s="2133" t="str">
        <f t="shared" si="62"/>
        <v>--</v>
      </c>
      <c r="HJ291" s="2133" t="str">
        <f t="shared" si="62"/>
        <v>--</v>
      </c>
      <c r="HK291" s="2133" t="str">
        <f t="shared" si="62"/>
        <v>--</v>
      </c>
      <c r="HL291" s="2133" t="str">
        <f t="shared" si="62"/>
        <v>--</v>
      </c>
      <c r="HM291" s="2133" t="str">
        <f t="shared" si="62"/>
        <v>--</v>
      </c>
      <c r="HN291" s="2133" t="str">
        <f t="shared" si="62"/>
        <v>--</v>
      </c>
      <c r="HO291" s="2133" t="str">
        <f t="shared" si="62"/>
        <v>--</v>
      </c>
      <c r="HP291" s="2133" t="str">
        <f t="shared" si="62"/>
        <v>--</v>
      </c>
      <c r="HQ291" s="2133" t="str">
        <f t="shared" si="62"/>
        <v>--</v>
      </c>
      <c r="HR291" s="2133" t="str">
        <f t="shared" si="62"/>
        <v>--</v>
      </c>
      <c r="HS291" s="2133" t="str">
        <f t="shared" si="62"/>
        <v>--</v>
      </c>
      <c r="HT291" s="2133" t="str">
        <f t="shared" si="62"/>
        <v>--</v>
      </c>
      <c r="HU291" s="2133" t="str">
        <f t="shared" si="63"/>
        <v>--</v>
      </c>
      <c r="HV291" s="2133" t="str">
        <f t="shared" si="63"/>
        <v>--</v>
      </c>
      <c r="HW291" s="2133" t="str">
        <f t="shared" si="63"/>
        <v>--</v>
      </c>
      <c r="HX291" s="2133" t="str">
        <f t="shared" si="63"/>
        <v>--</v>
      </c>
      <c r="HY291" s="2133" t="str">
        <f t="shared" si="63"/>
        <v>--</v>
      </c>
      <c r="HZ291" s="2133" t="str">
        <f t="shared" si="63"/>
        <v>--</v>
      </c>
      <c r="IA291" s="2133" t="str">
        <f t="shared" si="63"/>
        <v>--</v>
      </c>
      <c r="IB291" s="2133" t="str">
        <f t="shared" si="63"/>
        <v>--</v>
      </c>
      <c r="IC291" s="2133" t="str">
        <f t="shared" si="63"/>
        <v>--</v>
      </c>
      <c r="ID291" s="2133" t="str">
        <f t="shared" si="63"/>
        <v>--</v>
      </c>
      <c r="IE291" s="2133" t="str">
        <f t="shared" si="63"/>
        <v>--</v>
      </c>
      <c r="IF291" s="2133" t="str">
        <f t="shared" si="63"/>
        <v>--</v>
      </c>
      <c r="IG291" s="2133" t="str">
        <f t="shared" si="63"/>
        <v>--</v>
      </c>
      <c r="IH291" s="2133" t="str">
        <f t="shared" si="63"/>
        <v>--</v>
      </c>
      <c r="II291" s="2133" t="str">
        <f t="shared" si="63"/>
        <v>--</v>
      </c>
      <c r="IJ291" s="2133" t="str">
        <f t="shared" si="63"/>
        <v>--</v>
      </c>
      <c r="IK291" s="2133" t="str">
        <f t="shared" si="63"/>
        <v>--</v>
      </c>
      <c r="IL291" s="2133" t="str">
        <f t="shared" si="63"/>
        <v>--</v>
      </c>
      <c r="IM291" s="2133" t="str">
        <f t="shared" si="63"/>
        <v>--</v>
      </c>
      <c r="IN291" s="2133" t="str">
        <f t="shared" si="63"/>
        <v>--</v>
      </c>
      <c r="IO291" s="2133" t="str">
        <f t="shared" si="63"/>
        <v>--</v>
      </c>
      <c r="IP291" s="2133" t="str">
        <f t="shared" si="63"/>
        <v>--</v>
      </c>
      <c r="IQ291" s="2133" t="str">
        <f t="shared" si="63"/>
        <v>--</v>
      </c>
      <c r="IR291" s="2133" t="str">
        <f t="shared" si="63"/>
        <v>--</v>
      </c>
      <c r="IS291" s="2133" t="str">
        <f t="shared" si="63"/>
        <v>--</v>
      </c>
      <c r="IT291" s="2133" t="str">
        <f t="shared" si="63"/>
        <v>--</v>
      </c>
      <c r="IU291" s="2133" t="str">
        <f t="shared" si="63"/>
        <v>--</v>
      </c>
      <c r="IV291" s="2133" t="str">
        <f t="shared" si="63"/>
        <v>--</v>
      </c>
      <c r="IW291" s="2133" t="str">
        <f t="shared" si="63"/>
        <v>--</v>
      </c>
      <c r="IX291" s="2133" t="str">
        <f t="shared" si="63"/>
        <v>--</v>
      </c>
      <c r="IY291" s="2133" t="str">
        <f t="shared" si="63"/>
        <v>--</v>
      </c>
      <c r="IZ291" s="2133" t="str">
        <f t="shared" si="63"/>
        <v>--</v>
      </c>
      <c r="JA291" s="2133" t="str">
        <f t="shared" si="63"/>
        <v>--</v>
      </c>
      <c r="JB291" s="2133" t="str">
        <f t="shared" si="63"/>
        <v>--</v>
      </c>
      <c r="JC291" s="2133" t="str">
        <f t="shared" si="63"/>
        <v>--</v>
      </c>
      <c r="JD291" s="2133" t="str">
        <f t="shared" si="63"/>
        <v>--</v>
      </c>
      <c r="JE291" s="2133" t="str">
        <f t="shared" si="63"/>
        <v>--</v>
      </c>
      <c r="JF291" s="2133" t="str">
        <f t="shared" si="63"/>
        <v>--</v>
      </c>
      <c r="JG291" s="2133" t="str">
        <f t="shared" si="63"/>
        <v>--</v>
      </c>
      <c r="JH291" s="2133" t="str">
        <f t="shared" si="63"/>
        <v>--</v>
      </c>
      <c r="JI291" s="2133" t="str">
        <f t="shared" si="63"/>
        <v>--</v>
      </c>
      <c r="JJ291" s="2133" t="str">
        <f t="shared" si="63"/>
        <v>--</v>
      </c>
      <c r="JK291" s="2133" t="str">
        <f t="shared" si="63"/>
        <v>--</v>
      </c>
      <c r="JL291" s="2133" t="str">
        <f t="shared" si="63"/>
        <v>--</v>
      </c>
      <c r="JM291" s="2133" t="str">
        <f t="shared" si="63"/>
        <v>--</v>
      </c>
      <c r="JN291" s="2133" t="str">
        <f t="shared" si="63"/>
        <v>--</v>
      </c>
      <c r="JO291" s="2133" t="str">
        <f t="shared" si="63"/>
        <v>--</v>
      </c>
      <c r="JP291" s="2133" t="str">
        <f t="shared" si="63"/>
        <v>--</v>
      </c>
      <c r="JQ291" s="2133" t="str">
        <f t="shared" si="63"/>
        <v>--</v>
      </c>
      <c r="JR291" s="2133" t="str">
        <f t="shared" si="56"/>
        <v>--</v>
      </c>
      <c r="JS291" s="2133" t="str">
        <f t="shared" si="56"/>
        <v>--</v>
      </c>
      <c r="JT291" s="2133" t="str">
        <f t="shared" si="56"/>
        <v>--</v>
      </c>
      <c r="JU291" s="2133" t="str">
        <f t="shared" si="56"/>
        <v>--</v>
      </c>
      <c r="JV291" s="2133" t="str">
        <f t="shared" si="56"/>
        <v>--</v>
      </c>
      <c r="JW291" s="2133" t="str">
        <f t="shared" si="56"/>
        <v>--</v>
      </c>
      <c r="JX291" s="2133" t="str">
        <f t="shared" si="56"/>
        <v>--</v>
      </c>
      <c r="JY291" s="2133" t="str">
        <f t="shared" si="56"/>
        <v>--</v>
      </c>
      <c r="JZ291" s="2133" t="str">
        <f t="shared" si="56"/>
        <v>--</v>
      </c>
      <c r="KA291" s="2133" t="str">
        <f t="shared" si="56"/>
        <v>--</v>
      </c>
      <c r="KB291" s="2133" t="str">
        <f t="shared" si="56"/>
        <v>--</v>
      </c>
    </row>
    <row r="292" spans="1:288" s="89" customFormat="1" ht="13.9">
      <c r="A292" s="269" t="str">
        <f t="shared" si="58"/>
        <v>n</v>
      </c>
      <c r="B292" s="2060"/>
      <c r="D292" s="801"/>
      <c r="E292" s="1505">
        <v>7</v>
      </c>
      <c r="F292" s="21" t="str">
        <f>F$135</f>
        <v>--</v>
      </c>
      <c r="G292" s="1441">
        <f>G$135</f>
        <v>0</v>
      </c>
      <c r="H292" s="1441" t="str">
        <f>H$135</f>
        <v>--</v>
      </c>
      <c r="I292" s="89" t="s">
        <v>786</v>
      </c>
      <c r="K292" s="2301" t="str">
        <f>IF(OR(K198=0,$G292=0),"--",IFERROR(_xll.ciqfunctions.udf.CIQ($G292,$I292,K106,Valuation_Date_GC,ReportType,DataMode,$H292,FXMode)*Scale,"--"))</f>
        <v>--</v>
      </c>
      <c r="L292" s="2301" t="str">
        <f>IF(OR(L198=0,$G292=0),"--",IFERROR(_xll.ciqfunctions.udf.CIQ($G292,$I292,L106,Valuation_Date_GC,ReportType,DataMode,$H292,FXMode)*Scale,"--"))</f>
        <v>--</v>
      </c>
      <c r="M292" s="2301" t="str">
        <f>IF(OR(M198=0,$G292=0),"--",IFERROR(_xll.ciqfunctions.udf.CIQ($G292,$I292,M106,Valuation_Date_GC,ReportType,DataMode,$H292,FXMode)*Scale,"--"))</f>
        <v>--</v>
      </c>
      <c r="N292" s="2301" t="str">
        <f>IF(OR(N198=0,$G292=0),"--",IFERROR(_xll.ciqfunctions.udf.CIQ($G292,$I292,N106,Valuation_Date_GC,ReportType,DataMode,$H292,FXMode)*Scale,"--"))</f>
        <v>--</v>
      </c>
      <c r="O292" s="1471" t="str">
        <f>IF(OR(O198=0,$G292=0),"--",IFERROR(_xll.ciqfunctions.udf.CIQ($G292,$I292,O106,Valuation_Date_GC,ReportType,DataMode,$H292,FXMode)*Scale,"--"))</f>
        <v>--</v>
      </c>
      <c r="P292" s="2301" t="str">
        <f>IF(OR(P198=0,$G292=0),"--",IFERROR(_xll.ciqfunctions.udf.CIQ($G292,$I292,P106,Valuation_Date_GC,ReportType,DataMode,$H292,FXMode)*Scale,"--"))</f>
        <v>--</v>
      </c>
      <c r="R292" s="255"/>
      <c r="S292" s="1958" t="str">
        <f t="shared" si="51"/>
        <v>--</v>
      </c>
      <c r="T292" s="1779" t="s">
        <v>787</v>
      </c>
      <c r="U292" s="2133" t="str">
        <f t="shared" si="57"/>
        <v>--</v>
      </c>
      <c r="V292" s="2133" t="str">
        <f t="shared" si="57"/>
        <v>--</v>
      </c>
      <c r="W292" s="2133" t="str">
        <f t="shared" si="57"/>
        <v>--</v>
      </c>
      <c r="X292" s="2133" t="str">
        <f t="shared" si="57"/>
        <v>--</v>
      </c>
      <c r="Y292" s="2133" t="str">
        <f t="shared" si="57"/>
        <v>--</v>
      </c>
      <c r="Z292" s="2133" t="str">
        <f t="shared" si="57"/>
        <v>--</v>
      </c>
      <c r="AA292" s="2133" t="str">
        <f t="shared" si="57"/>
        <v>--</v>
      </c>
      <c r="AB292" s="2133" t="str">
        <f t="shared" si="57"/>
        <v>--</v>
      </c>
      <c r="AC292" s="2133" t="str">
        <f t="shared" si="57"/>
        <v>--</v>
      </c>
      <c r="AD292" s="2133" t="str">
        <f t="shared" si="57"/>
        <v>--</v>
      </c>
      <c r="AE292" s="2133" t="str">
        <f t="shared" si="57"/>
        <v>--</v>
      </c>
      <c r="AF292" s="2133" t="str">
        <f t="shared" si="57"/>
        <v>--</v>
      </c>
      <c r="AG292" s="2133" t="str">
        <f t="shared" si="57"/>
        <v>--</v>
      </c>
      <c r="AH292" s="2133" t="str">
        <f t="shared" si="57"/>
        <v>--</v>
      </c>
      <c r="AI292" s="2133" t="str">
        <f t="shared" si="57"/>
        <v>--</v>
      </c>
      <c r="AJ292" s="2133" t="str">
        <f t="shared" si="57"/>
        <v>--</v>
      </c>
      <c r="AK292" s="2133" t="str">
        <f t="shared" si="59"/>
        <v>--</v>
      </c>
      <c r="AL292" s="2133" t="str">
        <f t="shared" si="59"/>
        <v>--</v>
      </c>
      <c r="AM292" s="2133" t="str">
        <f t="shared" si="59"/>
        <v>--</v>
      </c>
      <c r="AN292" s="2133" t="str">
        <f t="shared" si="59"/>
        <v>--</v>
      </c>
      <c r="AO292" s="2133" t="str">
        <f t="shared" si="59"/>
        <v>--</v>
      </c>
      <c r="AP292" s="2133" t="str">
        <f t="shared" si="59"/>
        <v>--</v>
      </c>
      <c r="AQ292" s="2133" t="str">
        <f t="shared" si="59"/>
        <v>--</v>
      </c>
      <c r="AR292" s="2133" t="str">
        <f t="shared" si="59"/>
        <v>--</v>
      </c>
      <c r="AS292" s="2133" t="str">
        <f t="shared" si="59"/>
        <v>--</v>
      </c>
      <c r="AT292" s="2133" t="str">
        <f t="shared" si="59"/>
        <v>--</v>
      </c>
      <c r="AU292" s="2133" t="str">
        <f t="shared" si="59"/>
        <v>--</v>
      </c>
      <c r="AV292" s="2133" t="str">
        <f t="shared" si="59"/>
        <v>--</v>
      </c>
      <c r="AW292" s="2133" t="str">
        <f t="shared" si="59"/>
        <v>--</v>
      </c>
      <c r="AX292" s="2133" t="str">
        <f t="shared" si="59"/>
        <v>--</v>
      </c>
      <c r="AY292" s="2133" t="str">
        <f t="shared" si="59"/>
        <v>--</v>
      </c>
      <c r="AZ292" s="2133" t="str">
        <f t="shared" si="59"/>
        <v>--</v>
      </c>
      <c r="BA292" s="2133" t="str">
        <f t="shared" si="59"/>
        <v>--</v>
      </c>
      <c r="BB292" s="2133" t="str">
        <f t="shared" si="59"/>
        <v>--</v>
      </c>
      <c r="BC292" s="2133" t="str">
        <f t="shared" si="59"/>
        <v>--</v>
      </c>
      <c r="BD292" s="2133" t="str">
        <f t="shared" si="59"/>
        <v>--</v>
      </c>
      <c r="BE292" s="2133" t="str">
        <f t="shared" si="59"/>
        <v>--</v>
      </c>
      <c r="BF292" s="2133" t="str">
        <f t="shared" si="59"/>
        <v>--</v>
      </c>
      <c r="BG292" s="2133" t="str">
        <f t="shared" si="59"/>
        <v>--</v>
      </c>
      <c r="BH292" s="2133" t="str">
        <f t="shared" si="59"/>
        <v>--</v>
      </c>
      <c r="BI292" s="2133" t="str">
        <f t="shared" si="59"/>
        <v>--</v>
      </c>
      <c r="BJ292" s="2133" t="str">
        <f t="shared" si="59"/>
        <v>--</v>
      </c>
      <c r="BK292" s="2133" t="str">
        <f t="shared" si="59"/>
        <v>--</v>
      </c>
      <c r="BL292" s="2133" t="str">
        <f t="shared" si="59"/>
        <v>--</v>
      </c>
      <c r="BM292" s="2133" t="str">
        <f t="shared" si="59"/>
        <v>--</v>
      </c>
      <c r="BN292" s="2133" t="str">
        <f t="shared" si="59"/>
        <v>--</v>
      </c>
      <c r="BO292" s="2133" t="str">
        <f t="shared" si="59"/>
        <v>--</v>
      </c>
      <c r="BP292" s="2133" t="str">
        <f t="shared" si="59"/>
        <v>--</v>
      </c>
      <c r="BQ292" s="2133" t="str">
        <f t="shared" si="59"/>
        <v>--</v>
      </c>
      <c r="BR292" s="2133" t="str">
        <f t="shared" si="59"/>
        <v>--</v>
      </c>
      <c r="BS292" s="2133" t="str">
        <f t="shared" si="59"/>
        <v>--</v>
      </c>
      <c r="BT292" s="2133" t="str">
        <f t="shared" si="59"/>
        <v>--</v>
      </c>
      <c r="BU292" s="2133" t="str">
        <f t="shared" si="59"/>
        <v>--</v>
      </c>
      <c r="BV292" s="2133" t="str">
        <f t="shared" si="59"/>
        <v>--</v>
      </c>
      <c r="BW292" s="2133" t="str">
        <f t="shared" si="59"/>
        <v>--</v>
      </c>
      <c r="BX292" s="2133" t="str">
        <f t="shared" si="59"/>
        <v>--</v>
      </c>
      <c r="BY292" s="2133" t="str">
        <f t="shared" si="59"/>
        <v>--</v>
      </c>
      <c r="BZ292" s="2133" t="str">
        <f t="shared" si="59"/>
        <v>--</v>
      </c>
      <c r="CA292" s="2133" t="str">
        <f t="shared" si="59"/>
        <v>--</v>
      </c>
      <c r="CB292" s="2133" t="str">
        <f t="shared" si="59"/>
        <v>--</v>
      </c>
      <c r="CC292" s="2133" t="str">
        <f t="shared" si="59"/>
        <v>--</v>
      </c>
      <c r="CD292" s="2133" t="str">
        <f t="shared" si="59"/>
        <v>--</v>
      </c>
      <c r="CE292" s="2133" t="str">
        <f t="shared" si="59"/>
        <v>--</v>
      </c>
      <c r="CF292" s="2133" t="str">
        <f t="shared" si="59"/>
        <v>--</v>
      </c>
      <c r="CG292" s="2133" t="str">
        <f t="shared" si="59"/>
        <v>--</v>
      </c>
      <c r="CH292" s="2133" t="str">
        <f t="shared" si="59"/>
        <v>--</v>
      </c>
      <c r="CI292" s="2133" t="str">
        <f t="shared" si="59"/>
        <v>--</v>
      </c>
      <c r="CJ292" s="2133" t="str">
        <f t="shared" si="59"/>
        <v>--</v>
      </c>
      <c r="CK292" s="2133" t="str">
        <f t="shared" si="59"/>
        <v>--</v>
      </c>
      <c r="CL292" s="2133" t="str">
        <f t="shared" si="59"/>
        <v>--</v>
      </c>
      <c r="CM292" s="2133" t="str">
        <f t="shared" si="59"/>
        <v>--</v>
      </c>
      <c r="CN292" s="2133" t="str">
        <f t="shared" si="59"/>
        <v>--</v>
      </c>
      <c r="CO292" s="2133" t="str">
        <f t="shared" si="59"/>
        <v>--</v>
      </c>
      <c r="CP292" s="2133" t="str">
        <f t="shared" si="59"/>
        <v>--</v>
      </c>
      <c r="CQ292" s="2133" t="str">
        <f t="shared" si="59"/>
        <v>--</v>
      </c>
      <c r="CR292" s="2133" t="str">
        <f t="shared" si="59"/>
        <v>--</v>
      </c>
      <c r="CS292" s="2133" t="str">
        <f t="shared" si="59"/>
        <v>--</v>
      </c>
      <c r="CT292" s="2133" t="str">
        <f t="shared" si="59"/>
        <v>--</v>
      </c>
      <c r="CU292" s="2133" t="str">
        <f t="shared" si="59"/>
        <v>--</v>
      </c>
      <c r="CV292" s="2133" t="str">
        <f t="shared" ref="CV292:ES295" si="68">IFERROR(CV230/CV261,"--")</f>
        <v>--</v>
      </c>
      <c r="CW292" s="2133" t="str">
        <f t="shared" si="68"/>
        <v>--</v>
      </c>
      <c r="CX292" s="2133" t="str">
        <f t="shared" si="68"/>
        <v>--</v>
      </c>
      <c r="CY292" s="2133" t="str">
        <f t="shared" si="68"/>
        <v>--</v>
      </c>
      <c r="CZ292" s="2133" t="str">
        <f t="shared" si="68"/>
        <v>--</v>
      </c>
      <c r="DA292" s="2133" t="str">
        <f t="shared" si="68"/>
        <v>--</v>
      </c>
      <c r="DB292" s="2133" t="str">
        <f t="shared" si="68"/>
        <v>--</v>
      </c>
      <c r="DC292" s="2133" t="str">
        <f t="shared" si="68"/>
        <v>--</v>
      </c>
      <c r="DD292" s="2133" t="str">
        <f t="shared" si="68"/>
        <v>--</v>
      </c>
      <c r="DE292" s="2133" t="str">
        <f t="shared" si="68"/>
        <v>--</v>
      </c>
      <c r="DF292" s="2133" t="str">
        <f t="shared" si="68"/>
        <v>--</v>
      </c>
      <c r="DG292" s="2133" t="str">
        <f t="shared" si="68"/>
        <v>--</v>
      </c>
      <c r="DH292" s="2133" t="str">
        <f t="shared" si="68"/>
        <v>--</v>
      </c>
      <c r="DI292" s="2133" t="str">
        <f t="shared" si="68"/>
        <v>--</v>
      </c>
      <c r="DJ292" s="2133" t="str">
        <f t="shared" si="68"/>
        <v>--</v>
      </c>
      <c r="DK292" s="2133" t="str">
        <f t="shared" si="68"/>
        <v>--</v>
      </c>
      <c r="DL292" s="2133" t="str">
        <f t="shared" si="68"/>
        <v>--</v>
      </c>
      <c r="DM292" s="2133" t="str">
        <f t="shared" si="68"/>
        <v>--</v>
      </c>
      <c r="DN292" s="2133" t="str">
        <f t="shared" si="68"/>
        <v>--</v>
      </c>
      <c r="DO292" s="2133" t="str">
        <f t="shared" si="68"/>
        <v>--</v>
      </c>
      <c r="DP292" s="2133" t="str">
        <f t="shared" si="68"/>
        <v>--</v>
      </c>
      <c r="DQ292" s="2133" t="str">
        <f t="shared" si="68"/>
        <v>--</v>
      </c>
      <c r="DR292" s="2133" t="str">
        <f t="shared" si="68"/>
        <v>--</v>
      </c>
      <c r="DS292" s="2133" t="str">
        <f t="shared" si="68"/>
        <v>--</v>
      </c>
      <c r="DT292" s="2133" t="str">
        <f t="shared" si="68"/>
        <v>--</v>
      </c>
      <c r="DU292" s="2133" t="str">
        <f t="shared" si="68"/>
        <v>--</v>
      </c>
      <c r="DV292" s="2133" t="str">
        <f t="shared" si="68"/>
        <v>--</v>
      </c>
      <c r="DW292" s="2133" t="str">
        <f t="shared" si="68"/>
        <v>--</v>
      </c>
      <c r="DX292" s="2133" t="str">
        <f t="shared" si="68"/>
        <v>--</v>
      </c>
      <c r="DY292" s="2133" t="str">
        <f t="shared" si="68"/>
        <v>--</v>
      </c>
      <c r="DZ292" s="2133" t="str">
        <f t="shared" si="68"/>
        <v>--</v>
      </c>
      <c r="EA292" s="2133" t="str">
        <f t="shared" si="68"/>
        <v>--</v>
      </c>
      <c r="EB292" s="2133" t="str">
        <f t="shared" si="68"/>
        <v>--</v>
      </c>
      <c r="EC292" s="2133" t="str">
        <f t="shared" si="68"/>
        <v>--</v>
      </c>
      <c r="ED292" s="2133" t="str">
        <f t="shared" si="68"/>
        <v>--</v>
      </c>
      <c r="EE292" s="2133" t="str">
        <f t="shared" si="68"/>
        <v>--</v>
      </c>
      <c r="EF292" s="2133" t="str">
        <f t="shared" si="68"/>
        <v>--</v>
      </c>
      <c r="EG292" s="2133" t="str">
        <f t="shared" si="68"/>
        <v>--</v>
      </c>
      <c r="EH292" s="2133" t="str">
        <f t="shared" si="68"/>
        <v>--</v>
      </c>
      <c r="EI292" s="2133" t="str">
        <f t="shared" si="68"/>
        <v>--</v>
      </c>
      <c r="EJ292" s="2133" t="str">
        <f t="shared" si="68"/>
        <v>--</v>
      </c>
      <c r="EK292" s="2133" t="str">
        <f t="shared" si="68"/>
        <v>--</v>
      </c>
      <c r="EL292" s="2133" t="str">
        <f t="shared" si="68"/>
        <v>--</v>
      </c>
      <c r="EM292" s="2133" t="str">
        <f t="shared" si="68"/>
        <v>--</v>
      </c>
      <c r="EN292" s="2133" t="str">
        <f t="shared" si="68"/>
        <v>--</v>
      </c>
      <c r="EO292" s="2133" t="str">
        <f t="shared" si="68"/>
        <v>--</v>
      </c>
      <c r="EP292" s="2133" t="str">
        <f t="shared" si="68"/>
        <v>--</v>
      </c>
      <c r="EQ292" s="2133" t="str">
        <f t="shared" si="68"/>
        <v>--</v>
      </c>
      <c r="ER292" s="2133" t="str">
        <f t="shared" si="68"/>
        <v>--</v>
      </c>
      <c r="ES292" s="2133" t="str">
        <f t="shared" si="68"/>
        <v>--</v>
      </c>
      <c r="ET292" s="2133" t="str">
        <f t="shared" ref="ET292:FH292" si="69">IFERROR(ET230/ET261,"--")</f>
        <v>--</v>
      </c>
      <c r="EU292" s="2133" t="str">
        <f t="shared" si="69"/>
        <v>--</v>
      </c>
      <c r="EV292" s="2133" t="str">
        <f t="shared" si="69"/>
        <v>--</v>
      </c>
      <c r="EW292" s="2133" t="str">
        <f t="shared" si="69"/>
        <v>--</v>
      </c>
      <c r="EX292" s="2133" t="str">
        <f t="shared" si="69"/>
        <v>--</v>
      </c>
      <c r="EY292" s="2133" t="str">
        <f t="shared" si="69"/>
        <v>--</v>
      </c>
      <c r="EZ292" s="2133" t="str">
        <f t="shared" si="69"/>
        <v>--</v>
      </c>
      <c r="FA292" s="2133" t="str">
        <f t="shared" si="69"/>
        <v>--</v>
      </c>
      <c r="FB292" s="2133" t="str">
        <f t="shared" si="69"/>
        <v>--</v>
      </c>
      <c r="FC292" s="2133" t="str">
        <f t="shared" si="69"/>
        <v>--</v>
      </c>
      <c r="FD292" s="2133" t="str">
        <f t="shared" si="69"/>
        <v>--</v>
      </c>
      <c r="FE292" s="2133" t="str">
        <f t="shared" si="69"/>
        <v>--</v>
      </c>
      <c r="FF292" s="2133" t="str">
        <f t="shared" si="69"/>
        <v>--</v>
      </c>
      <c r="FG292" s="2133" t="str">
        <f t="shared" si="69"/>
        <v>--</v>
      </c>
      <c r="FH292" s="2133" t="str">
        <f t="shared" si="69"/>
        <v>--</v>
      </c>
      <c r="FI292" s="2133" t="str">
        <f t="shared" si="62"/>
        <v>--</v>
      </c>
      <c r="FJ292" s="2133" t="str">
        <f t="shared" si="62"/>
        <v>--</v>
      </c>
      <c r="FK292" s="2133" t="str">
        <f t="shared" si="62"/>
        <v>--</v>
      </c>
      <c r="FL292" s="2133" t="str">
        <f t="shared" si="62"/>
        <v>--</v>
      </c>
      <c r="FM292" s="2133" t="str">
        <f t="shared" si="62"/>
        <v>--</v>
      </c>
      <c r="FN292" s="2133" t="str">
        <f t="shared" si="62"/>
        <v>--</v>
      </c>
      <c r="FO292" s="2133" t="str">
        <f t="shared" si="62"/>
        <v>--</v>
      </c>
      <c r="FP292" s="2133" t="str">
        <f t="shared" si="62"/>
        <v>--</v>
      </c>
      <c r="FQ292" s="2133" t="str">
        <f t="shared" si="62"/>
        <v>--</v>
      </c>
      <c r="FR292" s="2133" t="str">
        <f t="shared" si="62"/>
        <v>--</v>
      </c>
      <c r="FS292" s="2133" t="str">
        <f t="shared" si="62"/>
        <v>--</v>
      </c>
      <c r="FT292" s="2133" t="str">
        <f t="shared" si="62"/>
        <v>--</v>
      </c>
      <c r="FU292" s="2133" t="str">
        <f t="shared" si="62"/>
        <v>--</v>
      </c>
      <c r="FV292" s="2133" t="str">
        <f t="shared" si="62"/>
        <v>--</v>
      </c>
      <c r="FW292" s="2133" t="str">
        <f t="shared" si="62"/>
        <v>--</v>
      </c>
      <c r="FX292" s="2133" t="str">
        <f t="shared" si="62"/>
        <v>--</v>
      </c>
      <c r="FY292" s="2133" t="str">
        <f t="shared" si="62"/>
        <v>--</v>
      </c>
      <c r="FZ292" s="2133" t="str">
        <f t="shared" si="62"/>
        <v>--</v>
      </c>
      <c r="GA292" s="2133" t="str">
        <f t="shared" si="62"/>
        <v>--</v>
      </c>
      <c r="GB292" s="2133" t="str">
        <f t="shared" si="62"/>
        <v>--</v>
      </c>
      <c r="GC292" s="2133" t="str">
        <f t="shared" si="62"/>
        <v>--</v>
      </c>
      <c r="GD292" s="2133" t="str">
        <f t="shared" si="62"/>
        <v>--</v>
      </c>
      <c r="GE292" s="2133" t="str">
        <f t="shared" si="62"/>
        <v>--</v>
      </c>
      <c r="GF292" s="2133" t="str">
        <f t="shared" si="62"/>
        <v>--</v>
      </c>
      <c r="GG292" s="2133" t="str">
        <f t="shared" si="62"/>
        <v>--</v>
      </c>
      <c r="GH292" s="2133" t="str">
        <f t="shared" si="62"/>
        <v>--</v>
      </c>
      <c r="GI292" s="2133" t="str">
        <f t="shared" si="62"/>
        <v>--</v>
      </c>
      <c r="GJ292" s="2133" t="str">
        <f t="shared" si="62"/>
        <v>--</v>
      </c>
      <c r="GK292" s="2133" t="str">
        <f t="shared" si="62"/>
        <v>--</v>
      </c>
      <c r="GL292" s="2133" t="str">
        <f t="shared" si="62"/>
        <v>--</v>
      </c>
      <c r="GM292" s="2133" t="str">
        <f t="shared" si="62"/>
        <v>--</v>
      </c>
      <c r="GN292" s="2133" t="str">
        <f t="shared" si="62"/>
        <v>--</v>
      </c>
      <c r="GO292" s="2133" t="str">
        <f t="shared" si="62"/>
        <v>--</v>
      </c>
      <c r="GP292" s="2133" t="str">
        <f t="shared" si="62"/>
        <v>--</v>
      </c>
      <c r="GQ292" s="2133" t="str">
        <f t="shared" si="62"/>
        <v>--</v>
      </c>
      <c r="GR292" s="2133" t="str">
        <f t="shared" si="62"/>
        <v>--</v>
      </c>
      <c r="GS292" s="2133" t="str">
        <f t="shared" si="62"/>
        <v>--</v>
      </c>
      <c r="GT292" s="2133" t="str">
        <f t="shared" si="62"/>
        <v>--</v>
      </c>
      <c r="GU292" s="2133" t="str">
        <f t="shared" si="62"/>
        <v>--</v>
      </c>
      <c r="GV292" s="2133" t="str">
        <f t="shared" si="62"/>
        <v>--</v>
      </c>
      <c r="GW292" s="2133" t="str">
        <f t="shared" si="62"/>
        <v>--</v>
      </c>
      <c r="GX292" s="2133" t="str">
        <f t="shared" si="62"/>
        <v>--</v>
      </c>
      <c r="GY292" s="2133" t="str">
        <f t="shared" si="62"/>
        <v>--</v>
      </c>
      <c r="GZ292" s="2133" t="str">
        <f t="shared" si="62"/>
        <v>--</v>
      </c>
      <c r="HA292" s="2133" t="str">
        <f t="shared" si="62"/>
        <v>--</v>
      </c>
      <c r="HB292" s="2133" t="str">
        <f t="shared" si="62"/>
        <v>--</v>
      </c>
      <c r="HC292" s="2133" t="str">
        <f t="shared" si="62"/>
        <v>--</v>
      </c>
      <c r="HD292" s="2133" t="str">
        <f t="shared" si="62"/>
        <v>--</v>
      </c>
      <c r="HE292" s="2133" t="str">
        <f t="shared" si="62"/>
        <v>--</v>
      </c>
      <c r="HF292" s="2133" t="str">
        <f t="shared" si="62"/>
        <v>--</v>
      </c>
      <c r="HG292" s="2133" t="str">
        <f t="shared" si="62"/>
        <v>--</v>
      </c>
      <c r="HH292" s="2133" t="str">
        <f t="shared" si="62"/>
        <v>--</v>
      </c>
      <c r="HI292" s="2133" t="str">
        <f t="shared" si="62"/>
        <v>--</v>
      </c>
      <c r="HJ292" s="2133" t="str">
        <f t="shared" si="62"/>
        <v>--</v>
      </c>
      <c r="HK292" s="2133" t="str">
        <f t="shared" si="62"/>
        <v>--</v>
      </c>
      <c r="HL292" s="2133" t="str">
        <f t="shared" si="62"/>
        <v>--</v>
      </c>
      <c r="HM292" s="2133" t="str">
        <f t="shared" si="62"/>
        <v>--</v>
      </c>
      <c r="HN292" s="2133" t="str">
        <f t="shared" si="62"/>
        <v>--</v>
      </c>
      <c r="HO292" s="2133" t="str">
        <f t="shared" si="62"/>
        <v>--</v>
      </c>
      <c r="HP292" s="2133" t="str">
        <f t="shared" si="62"/>
        <v>--</v>
      </c>
      <c r="HQ292" s="2133" t="str">
        <f t="shared" si="62"/>
        <v>--</v>
      </c>
      <c r="HR292" s="2133" t="str">
        <f t="shared" si="62"/>
        <v>--</v>
      </c>
      <c r="HS292" s="2133" t="str">
        <f t="shared" si="62"/>
        <v>--</v>
      </c>
      <c r="HT292" s="2133" t="str">
        <f t="shared" ref="HT292:JQ297" si="70">IFERROR(HT230/HT261,"--")</f>
        <v>--</v>
      </c>
      <c r="HU292" s="2133" t="str">
        <f t="shared" si="70"/>
        <v>--</v>
      </c>
      <c r="HV292" s="2133" t="str">
        <f t="shared" si="70"/>
        <v>--</v>
      </c>
      <c r="HW292" s="2133" t="str">
        <f t="shared" si="70"/>
        <v>--</v>
      </c>
      <c r="HX292" s="2133" t="str">
        <f t="shared" si="70"/>
        <v>--</v>
      </c>
      <c r="HY292" s="2133" t="str">
        <f t="shared" si="70"/>
        <v>--</v>
      </c>
      <c r="HZ292" s="2133" t="str">
        <f t="shared" si="70"/>
        <v>--</v>
      </c>
      <c r="IA292" s="2133" t="str">
        <f t="shared" si="70"/>
        <v>--</v>
      </c>
      <c r="IB292" s="2133" t="str">
        <f t="shared" si="70"/>
        <v>--</v>
      </c>
      <c r="IC292" s="2133" t="str">
        <f t="shared" si="70"/>
        <v>--</v>
      </c>
      <c r="ID292" s="2133" t="str">
        <f t="shared" si="70"/>
        <v>--</v>
      </c>
      <c r="IE292" s="2133" t="str">
        <f t="shared" si="70"/>
        <v>--</v>
      </c>
      <c r="IF292" s="2133" t="str">
        <f t="shared" si="70"/>
        <v>--</v>
      </c>
      <c r="IG292" s="2133" t="str">
        <f t="shared" si="70"/>
        <v>--</v>
      </c>
      <c r="IH292" s="2133" t="str">
        <f t="shared" si="70"/>
        <v>--</v>
      </c>
      <c r="II292" s="2133" t="str">
        <f t="shared" si="70"/>
        <v>--</v>
      </c>
      <c r="IJ292" s="2133" t="str">
        <f t="shared" si="70"/>
        <v>--</v>
      </c>
      <c r="IK292" s="2133" t="str">
        <f t="shared" si="70"/>
        <v>--</v>
      </c>
      <c r="IL292" s="2133" t="str">
        <f t="shared" si="70"/>
        <v>--</v>
      </c>
      <c r="IM292" s="2133" t="str">
        <f t="shared" si="70"/>
        <v>--</v>
      </c>
      <c r="IN292" s="2133" t="str">
        <f t="shared" si="70"/>
        <v>--</v>
      </c>
      <c r="IO292" s="2133" t="str">
        <f t="shared" si="70"/>
        <v>--</v>
      </c>
      <c r="IP292" s="2133" t="str">
        <f t="shared" si="70"/>
        <v>--</v>
      </c>
      <c r="IQ292" s="2133" t="str">
        <f t="shared" si="70"/>
        <v>--</v>
      </c>
      <c r="IR292" s="2133" t="str">
        <f t="shared" si="70"/>
        <v>--</v>
      </c>
      <c r="IS292" s="2133" t="str">
        <f t="shared" si="70"/>
        <v>--</v>
      </c>
      <c r="IT292" s="2133" t="str">
        <f t="shared" si="70"/>
        <v>--</v>
      </c>
      <c r="IU292" s="2133" t="str">
        <f t="shared" si="70"/>
        <v>--</v>
      </c>
      <c r="IV292" s="2133" t="str">
        <f t="shared" si="70"/>
        <v>--</v>
      </c>
      <c r="IW292" s="2133" t="str">
        <f t="shared" si="70"/>
        <v>--</v>
      </c>
      <c r="IX292" s="2133" t="str">
        <f t="shared" si="70"/>
        <v>--</v>
      </c>
      <c r="IY292" s="2133" t="str">
        <f t="shared" si="70"/>
        <v>--</v>
      </c>
      <c r="IZ292" s="2133" t="str">
        <f t="shared" si="70"/>
        <v>--</v>
      </c>
      <c r="JA292" s="2133" t="str">
        <f t="shared" si="70"/>
        <v>--</v>
      </c>
      <c r="JB292" s="2133" t="str">
        <f t="shared" si="70"/>
        <v>--</v>
      </c>
      <c r="JC292" s="2133" t="str">
        <f t="shared" si="70"/>
        <v>--</v>
      </c>
      <c r="JD292" s="2133" t="str">
        <f t="shared" si="70"/>
        <v>--</v>
      </c>
      <c r="JE292" s="2133" t="str">
        <f t="shared" si="70"/>
        <v>--</v>
      </c>
      <c r="JF292" s="2133" t="str">
        <f t="shared" si="70"/>
        <v>--</v>
      </c>
      <c r="JG292" s="2133" t="str">
        <f t="shared" si="70"/>
        <v>--</v>
      </c>
      <c r="JH292" s="2133" t="str">
        <f t="shared" si="70"/>
        <v>--</v>
      </c>
      <c r="JI292" s="2133" t="str">
        <f t="shared" si="70"/>
        <v>--</v>
      </c>
      <c r="JJ292" s="2133" t="str">
        <f t="shared" si="70"/>
        <v>--</v>
      </c>
      <c r="JK292" s="2133" t="str">
        <f t="shared" si="70"/>
        <v>--</v>
      </c>
      <c r="JL292" s="2133" t="str">
        <f t="shared" si="70"/>
        <v>--</v>
      </c>
      <c r="JM292" s="2133" t="str">
        <f t="shared" si="70"/>
        <v>--</v>
      </c>
      <c r="JN292" s="2133" t="str">
        <f t="shared" si="70"/>
        <v>--</v>
      </c>
      <c r="JO292" s="2133" t="str">
        <f t="shared" si="70"/>
        <v>--</v>
      </c>
      <c r="JP292" s="2133" t="str">
        <f t="shared" si="70"/>
        <v>--</v>
      </c>
      <c r="JQ292" s="2133" t="str">
        <f t="shared" si="70"/>
        <v>--</v>
      </c>
      <c r="JR292" s="2133" t="str">
        <f t="shared" si="56"/>
        <v>--</v>
      </c>
      <c r="JS292" s="2133" t="str">
        <f t="shared" si="56"/>
        <v>--</v>
      </c>
      <c r="JT292" s="2133" t="str">
        <f t="shared" si="56"/>
        <v>--</v>
      </c>
      <c r="JU292" s="2133" t="str">
        <f t="shared" si="56"/>
        <v>--</v>
      </c>
      <c r="JV292" s="2133" t="str">
        <f t="shared" si="56"/>
        <v>--</v>
      </c>
      <c r="JW292" s="2133" t="str">
        <f t="shared" si="56"/>
        <v>--</v>
      </c>
      <c r="JX292" s="2133" t="str">
        <f t="shared" si="56"/>
        <v>--</v>
      </c>
      <c r="JY292" s="2133" t="str">
        <f t="shared" si="56"/>
        <v>--</v>
      </c>
      <c r="JZ292" s="2133" t="str">
        <f t="shared" si="56"/>
        <v>--</v>
      </c>
      <c r="KA292" s="2133" t="str">
        <f t="shared" si="56"/>
        <v>--</v>
      </c>
      <c r="KB292" s="2133" t="str">
        <f t="shared" si="56"/>
        <v>--</v>
      </c>
    </row>
    <row r="293" spans="1:288" s="89" customFormat="1" ht="13.9">
      <c r="A293" s="269" t="str">
        <f t="shared" si="58"/>
        <v>n</v>
      </c>
      <c r="B293" s="2060"/>
      <c r="D293" s="801"/>
      <c r="E293" s="1505">
        <v>8</v>
      </c>
      <c r="F293" s="21" t="str">
        <f>F$136</f>
        <v>--</v>
      </c>
      <c r="G293" s="1441">
        <f>G$136</f>
        <v>0</v>
      </c>
      <c r="H293" s="1441" t="str">
        <f>H$136</f>
        <v>--</v>
      </c>
      <c r="I293" s="89" t="s">
        <v>786</v>
      </c>
      <c r="K293" s="2301" t="str">
        <f>IF(OR(K199=0,$G293=0),"--",IFERROR(_xll.ciqfunctions.udf.CIQ($G293,$I293,K107,Valuation_Date_GC,ReportType,DataMode,$H293,FXMode)*Scale,"--"))</f>
        <v>--</v>
      </c>
      <c r="L293" s="2301" t="str">
        <f>IF(OR(L199=0,$G293=0),"--",IFERROR(_xll.ciqfunctions.udf.CIQ($G293,$I293,L107,Valuation_Date_GC,ReportType,DataMode,$H293,FXMode)*Scale,"--"))</f>
        <v>--</v>
      </c>
      <c r="M293" s="2301" t="str">
        <f>IF(OR(M199=0,$G293=0),"--",IFERROR(_xll.ciqfunctions.udf.CIQ($G293,$I293,M107,Valuation_Date_GC,ReportType,DataMode,$H293,FXMode)*Scale,"--"))</f>
        <v>--</v>
      </c>
      <c r="N293" s="2301" t="str">
        <f>IF(OR(N199=0,$G293=0),"--",IFERROR(_xll.ciqfunctions.udf.CIQ($G293,$I293,N107,Valuation_Date_GC,ReportType,DataMode,$H293,FXMode)*Scale,"--"))</f>
        <v>--</v>
      </c>
      <c r="O293" s="1471" t="str">
        <f>IF(OR(O199=0,$G293=0),"--",IFERROR(_xll.ciqfunctions.udf.CIQ($G293,$I293,O107,Valuation_Date_GC,ReportType,DataMode,$H293,FXMode)*Scale,"--"))</f>
        <v>--</v>
      </c>
      <c r="P293" s="2301" t="str">
        <f>IF(OR(P199=0,$G293=0),"--",IFERROR(_xll.ciqfunctions.udf.CIQ($G293,$I293,P107,Valuation_Date_GC,ReportType,DataMode,$H293,FXMode)*Scale,"--"))</f>
        <v>--</v>
      </c>
      <c r="R293" s="255"/>
      <c r="S293" s="1958" t="str">
        <f t="shared" si="51"/>
        <v>--</v>
      </c>
      <c r="T293" s="1779" t="s">
        <v>787</v>
      </c>
      <c r="U293" s="2133" t="str">
        <f t="shared" si="57"/>
        <v>--</v>
      </c>
      <c r="V293" s="2133" t="str">
        <f t="shared" si="57"/>
        <v>--</v>
      </c>
      <c r="W293" s="2133" t="str">
        <f t="shared" si="57"/>
        <v>--</v>
      </c>
      <c r="X293" s="2133" t="str">
        <f t="shared" si="57"/>
        <v>--</v>
      </c>
      <c r="Y293" s="2133" t="str">
        <f t="shared" si="57"/>
        <v>--</v>
      </c>
      <c r="Z293" s="2133" t="str">
        <f t="shared" si="57"/>
        <v>--</v>
      </c>
      <c r="AA293" s="2133" t="str">
        <f t="shared" si="57"/>
        <v>--</v>
      </c>
      <c r="AB293" s="2133" t="str">
        <f t="shared" si="57"/>
        <v>--</v>
      </c>
      <c r="AC293" s="2133" t="str">
        <f t="shared" si="57"/>
        <v>--</v>
      </c>
      <c r="AD293" s="2133" t="str">
        <f t="shared" si="57"/>
        <v>--</v>
      </c>
      <c r="AE293" s="2133" t="str">
        <f t="shared" si="57"/>
        <v>--</v>
      </c>
      <c r="AF293" s="2133" t="str">
        <f t="shared" si="57"/>
        <v>--</v>
      </c>
      <c r="AG293" s="2133" t="str">
        <f t="shared" si="57"/>
        <v>--</v>
      </c>
      <c r="AH293" s="2133" t="str">
        <f t="shared" si="57"/>
        <v>--</v>
      </c>
      <c r="AI293" s="2133" t="str">
        <f t="shared" si="57"/>
        <v>--</v>
      </c>
      <c r="AJ293" s="2133" t="str">
        <f t="shared" si="57"/>
        <v>--</v>
      </c>
      <c r="AK293" s="2133" t="str">
        <f t="shared" ref="AK293:CV296" si="71">IFERROR(AK231/AK262,"--")</f>
        <v>--</v>
      </c>
      <c r="AL293" s="2133" t="str">
        <f t="shared" si="71"/>
        <v>--</v>
      </c>
      <c r="AM293" s="2133" t="str">
        <f t="shared" si="71"/>
        <v>--</v>
      </c>
      <c r="AN293" s="2133" t="str">
        <f t="shared" si="71"/>
        <v>--</v>
      </c>
      <c r="AO293" s="2133" t="str">
        <f t="shared" si="71"/>
        <v>--</v>
      </c>
      <c r="AP293" s="2133" t="str">
        <f t="shared" si="71"/>
        <v>--</v>
      </c>
      <c r="AQ293" s="2133" t="str">
        <f t="shared" si="71"/>
        <v>--</v>
      </c>
      <c r="AR293" s="2133" t="str">
        <f t="shared" si="71"/>
        <v>--</v>
      </c>
      <c r="AS293" s="2133" t="str">
        <f t="shared" si="71"/>
        <v>--</v>
      </c>
      <c r="AT293" s="2133" t="str">
        <f t="shared" si="71"/>
        <v>--</v>
      </c>
      <c r="AU293" s="2133" t="str">
        <f t="shared" si="71"/>
        <v>--</v>
      </c>
      <c r="AV293" s="2133" t="str">
        <f t="shared" si="71"/>
        <v>--</v>
      </c>
      <c r="AW293" s="2133" t="str">
        <f t="shared" si="71"/>
        <v>--</v>
      </c>
      <c r="AX293" s="2133" t="str">
        <f t="shared" si="71"/>
        <v>--</v>
      </c>
      <c r="AY293" s="2133" t="str">
        <f t="shared" si="71"/>
        <v>--</v>
      </c>
      <c r="AZ293" s="2133" t="str">
        <f t="shared" si="71"/>
        <v>--</v>
      </c>
      <c r="BA293" s="2133" t="str">
        <f t="shared" si="71"/>
        <v>--</v>
      </c>
      <c r="BB293" s="2133" t="str">
        <f t="shared" si="71"/>
        <v>--</v>
      </c>
      <c r="BC293" s="2133" t="str">
        <f t="shared" si="71"/>
        <v>--</v>
      </c>
      <c r="BD293" s="2133" t="str">
        <f t="shared" si="71"/>
        <v>--</v>
      </c>
      <c r="BE293" s="2133" t="str">
        <f t="shared" si="71"/>
        <v>--</v>
      </c>
      <c r="BF293" s="2133" t="str">
        <f t="shared" si="71"/>
        <v>--</v>
      </c>
      <c r="BG293" s="2133" t="str">
        <f t="shared" si="71"/>
        <v>--</v>
      </c>
      <c r="BH293" s="2133" t="str">
        <f t="shared" si="71"/>
        <v>--</v>
      </c>
      <c r="BI293" s="2133" t="str">
        <f t="shared" si="71"/>
        <v>--</v>
      </c>
      <c r="BJ293" s="2133" t="str">
        <f t="shared" si="71"/>
        <v>--</v>
      </c>
      <c r="BK293" s="2133" t="str">
        <f t="shared" si="71"/>
        <v>--</v>
      </c>
      <c r="BL293" s="2133" t="str">
        <f t="shared" si="71"/>
        <v>--</v>
      </c>
      <c r="BM293" s="2133" t="str">
        <f t="shared" si="71"/>
        <v>--</v>
      </c>
      <c r="BN293" s="2133" t="str">
        <f t="shared" si="71"/>
        <v>--</v>
      </c>
      <c r="BO293" s="2133" t="str">
        <f t="shared" si="71"/>
        <v>--</v>
      </c>
      <c r="BP293" s="2133" t="str">
        <f t="shared" si="71"/>
        <v>--</v>
      </c>
      <c r="BQ293" s="2133" t="str">
        <f t="shared" si="71"/>
        <v>--</v>
      </c>
      <c r="BR293" s="2133" t="str">
        <f t="shared" si="71"/>
        <v>--</v>
      </c>
      <c r="BS293" s="2133" t="str">
        <f t="shared" si="71"/>
        <v>--</v>
      </c>
      <c r="BT293" s="2133" t="str">
        <f t="shared" si="71"/>
        <v>--</v>
      </c>
      <c r="BU293" s="2133" t="str">
        <f t="shared" si="71"/>
        <v>--</v>
      </c>
      <c r="BV293" s="2133" t="str">
        <f t="shared" si="71"/>
        <v>--</v>
      </c>
      <c r="BW293" s="2133" t="str">
        <f t="shared" si="71"/>
        <v>--</v>
      </c>
      <c r="BX293" s="2133" t="str">
        <f t="shared" si="71"/>
        <v>--</v>
      </c>
      <c r="BY293" s="2133" t="str">
        <f t="shared" si="71"/>
        <v>--</v>
      </c>
      <c r="BZ293" s="2133" t="str">
        <f t="shared" si="71"/>
        <v>--</v>
      </c>
      <c r="CA293" s="2133" t="str">
        <f t="shared" si="71"/>
        <v>--</v>
      </c>
      <c r="CB293" s="2133" t="str">
        <f t="shared" si="71"/>
        <v>--</v>
      </c>
      <c r="CC293" s="2133" t="str">
        <f t="shared" si="71"/>
        <v>--</v>
      </c>
      <c r="CD293" s="2133" t="str">
        <f t="shared" si="71"/>
        <v>--</v>
      </c>
      <c r="CE293" s="2133" t="str">
        <f t="shared" si="71"/>
        <v>--</v>
      </c>
      <c r="CF293" s="2133" t="str">
        <f t="shared" si="71"/>
        <v>--</v>
      </c>
      <c r="CG293" s="2133" t="str">
        <f t="shared" si="71"/>
        <v>--</v>
      </c>
      <c r="CH293" s="2133" t="str">
        <f t="shared" si="71"/>
        <v>--</v>
      </c>
      <c r="CI293" s="2133" t="str">
        <f t="shared" si="71"/>
        <v>--</v>
      </c>
      <c r="CJ293" s="2133" t="str">
        <f t="shared" si="71"/>
        <v>--</v>
      </c>
      <c r="CK293" s="2133" t="str">
        <f t="shared" si="71"/>
        <v>--</v>
      </c>
      <c r="CL293" s="2133" t="str">
        <f t="shared" si="71"/>
        <v>--</v>
      </c>
      <c r="CM293" s="2133" t="str">
        <f t="shared" si="71"/>
        <v>--</v>
      </c>
      <c r="CN293" s="2133" t="str">
        <f t="shared" si="71"/>
        <v>--</v>
      </c>
      <c r="CO293" s="2133" t="str">
        <f t="shared" si="71"/>
        <v>--</v>
      </c>
      <c r="CP293" s="2133" t="str">
        <f t="shared" si="71"/>
        <v>--</v>
      </c>
      <c r="CQ293" s="2133" t="str">
        <f t="shared" si="71"/>
        <v>--</v>
      </c>
      <c r="CR293" s="2133" t="str">
        <f t="shared" si="71"/>
        <v>--</v>
      </c>
      <c r="CS293" s="2133" t="str">
        <f t="shared" si="71"/>
        <v>--</v>
      </c>
      <c r="CT293" s="2133" t="str">
        <f t="shared" si="71"/>
        <v>--</v>
      </c>
      <c r="CU293" s="2133" t="str">
        <f t="shared" si="71"/>
        <v>--</v>
      </c>
      <c r="CV293" s="2133" t="str">
        <f t="shared" si="71"/>
        <v>--</v>
      </c>
      <c r="CW293" s="2133" t="str">
        <f t="shared" si="68"/>
        <v>--</v>
      </c>
      <c r="CX293" s="2133" t="str">
        <f t="shared" si="68"/>
        <v>--</v>
      </c>
      <c r="CY293" s="2133" t="str">
        <f t="shared" si="68"/>
        <v>--</v>
      </c>
      <c r="CZ293" s="2133" t="str">
        <f t="shared" si="68"/>
        <v>--</v>
      </c>
      <c r="DA293" s="2133" t="str">
        <f t="shared" si="68"/>
        <v>--</v>
      </c>
      <c r="DB293" s="2133" t="str">
        <f t="shared" si="68"/>
        <v>--</v>
      </c>
      <c r="DC293" s="2133" t="str">
        <f t="shared" si="68"/>
        <v>--</v>
      </c>
      <c r="DD293" s="2133" t="str">
        <f t="shared" si="68"/>
        <v>--</v>
      </c>
      <c r="DE293" s="2133" t="str">
        <f t="shared" si="68"/>
        <v>--</v>
      </c>
      <c r="DF293" s="2133" t="str">
        <f t="shared" si="68"/>
        <v>--</v>
      </c>
      <c r="DG293" s="2133" t="str">
        <f t="shared" si="68"/>
        <v>--</v>
      </c>
      <c r="DH293" s="2133" t="str">
        <f t="shared" si="68"/>
        <v>--</v>
      </c>
      <c r="DI293" s="2133" t="str">
        <f t="shared" si="68"/>
        <v>--</v>
      </c>
      <c r="DJ293" s="2133" t="str">
        <f t="shared" si="68"/>
        <v>--</v>
      </c>
      <c r="DK293" s="2133" t="str">
        <f t="shared" si="68"/>
        <v>--</v>
      </c>
      <c r="DL293" s="2133" t="str">
        <f t="shared" si="68"/>
        <v>--</v>
      </c>
      <c r="DM293" s="2133" t="str">
        <f t="shared" si="68"/>
        <v>--</v>
      </c>
      <c r="DN293" s="2133" t="str">
        <f t="shared" si="68"/>
        <v>--</v>
      </c>
      <c r="DO293" s="2133" t="str">
        <f t="shared" si="68"/>
        <v>--</v>
      </c>
      <c r="DP293" s="2133" t="str">
        <f t="shared" si="68"/>
        <v>--</v>
      </c>
      <c r="DQ293" s="2133" t="str">
        <f t="shared" si="68"/>
        <v>--</v>
      </c>
      <c r="DR293" s="2133" t="str">
        <f t="shared" si="68"/>
        <v>--</v>
      </c>
      <c r="DS293" s="2133" t="str">
        <f t="shared" si="68"/>
        <v>--</v>
      </c>
      <c r="DT293" s="2133" t="str">
        <f t="shared" si="68"/>
        <v>--</v>
      </c>
      <c r="DU293" s="2133" t="str">
        <f t="shared" si="68"/>
        <v>--</v>
      </c>
      <c r="DV293" s="2133" t="str">
        <f t="shared" si="68"/>
        <v>--</v>
      </c>
      <c r="DW293" s="2133" t="str">
        <f t="shared" si="68"/>
        <v>--</v>
      </c>
      <c r="DX293" s="2133" t="str">
        <f t="shared" si="68"/>
        <v>--</v>
      </c>
      <c r="DY293" s="2133" t="str">
        <f t="shared" si="68"/>
        <v>--</v>
      </c>
      <c r="DZ293" s="2133" t="str">
        <f t="shared" si="68"/>
        <v>--</v>
      </c>
      <c r="EA293" s="2133" t="str">
        <f t="shared" si="68"/>
        <v>--</v>
      </c>
      <c r="EB293" s="2133" t="str">
        <f t="shared" si="68"/>
        <v>--</v>
      </c>
      <c r="EC293" s="2133" t="str">
        <f t="shared" si="68"/>
        <v>--</v>
      </c>
      <c r="ED293" s="2133" t="str">
        <f t="shared" si="68"/>
        <v>--</v>
      </c>
      <c r="EE293" s="2133" t="str">
        <f t="shared" si="68"/>
        <v>--</v>
      </c>
      <c r="EF293" s="2133" t="str">
        <f t="shared" si="68"/>
        <v>--</v>
      </c>
      <c r="EG293" s="2133" t="str">
        <f t="shared" si="68"/>
        <v>--</v>
      </c>
      <c r="EH293" s="2133" t="str">
        <f t="shared" si="68"/>
        <v>--</v>
      </c>
      <c r="EI293" s="2133" t="str">
        <f t="shared" si="68"/>
        <v>--</v>
      </c>
      <c r="EJ293" s="2133" t="str">
        <f t="shared" si="68"/>
        <v>--</v>
      </c>
      <c r="EK293" s="2133" t="str">
        <f t="shared" si="68"/>
        <v>--</v>
      </c>
      <c r="EL293" s="2133" t="str">
        <f t="shared" si="68"/>
        <v>--</v>
      </c>
      <c r="EM293" s="2133" t="str">
        <f t="shared" si="68"/>
        <v>--</v>
      </c>
      <c r="EN293" s="2133" t="str">
        <f t="shared" si="68"/>
        <v>--</v>
      </c>
      <c r="EO293" s="2133" t="str">
        <f t="shared" si="68"/>
        <v>--</v>
      </c>
      <c r="EP293" s="2133" t="str">
        <f t="shared" si="68"/>
        <v>--</v>
      </c>
      <c r="EQ293" s="2133" t="str">
        <f t="shared" si="68"/>
        <v>--</v>
      </c>
      <c r="ER293" s="2133" t="str">
        <f t="shared" si="68"/>
        <v>--</v>
      </c>
      <c r="ES293" s="2133" t="str">
        <f t="shared" si="68"/>
        <v>--</v>
      </c>
      <c r="ET293" s="2133" t="str">
        <f t="shared" ref="ET293:FH293" si="72">IFERROR(ET231/ET262,"--")</f>
        <v>--</v>
      </c>
      <c r="EU293" s="2133" t="str">
        <f t="shared" si="72"/>
        <v>--</v>
      </c>
      <c r="EV293" s="2133" t="str">
        <f t="shared" si="72"/>
        <v>--</v>
      </c>
      <c r="EW293" s="2133" t="str">
        <f t="shared" si="72"/>
        <v>--</v>
      </c>
      <c r="EX293" s="2133" t="str">
        <f t="shared" si="72"/>
        <v>--</v>
      </c>
      <c r="EY293" s="2133" t="str">
        <f t="shared" si="72"/>
        <v>--</v>
      </c>
      <c r="EZ293" s="2133" t="str">
        <f t="shared" si="72"/>
        <v>--</v>
      </c>
      <c r="FA293" s="2133" t="str">
        <f t="shared" si="72"/>
        <v>--</v>
      </c>
      <c r="FB293" s="2133" t="str">
        <f t="shared" si="72"/>
        <v>--</v>
      </c>
      <c r="FC293" s="2133" t="str">
        <f t="shared" si="72"/>
        <v>--</v>
      </c>
      <c r="FD293" s="2133" t="str">
        <f t="shared" si="72"/>
        <v>--</v>
      </c>
      <c r="FE293" s="2133" t="str">
        <f t="shared" si="72"/>
        <v>--</v>
      </c>
      <c r="FF293" s="2133" t="str">
        <f t="shared" si="72"/>
        <v>--</v>
      </c>
      <c r="FG293" s="2133" t="str">
        <f t="shared" si="72"/>
        <v>--</v>
      </c>
      <c r="FH293" s="2133" t="str">
        <f t="shared" si="72"/>
        <v>--</v>
      </c>
      <c r="FI293" s="2133" t="str">
        <f t="shared" ref="FI293:GN293" si="73">IFERROR(FI231/FI262,"--")</f>
        <v>--</v>
      </c>
      <c r="FJ293" s="2133" t="str">
        <f t="shared" si="73"/>
        <v>--</v>
      </c>
      <c r="FK293" s="2133" t="str">
        <f t="shared" si="73"/>
        <v>--</v>
      </c>
      <c r="FL293" s="2133" t="str">
        <f t="shared" si="73"/>
        <v>--</v>
      </c>
      <c r="FM293" s="2133" t="str">
        <f t="shared" si="73"/>
        <v>--</v>
      </c>
      <c r="FN293" s="2133" t="str">
        <f t="shared" si="73"/>
        <v>--</v>
      </c>
      <c r="FO293" s="2133" t="str">
        <f t="shared" si="73"/>
        <v>--</v>
      </c>
      <c r="FP293" s="2133" t="str">
        <f t="shared" si="73"/>
        <v>--</v>
      </c>
      <c r="FQ293" s="2133" t="str">
        <f t="shared" si="73"/>
        <v>--</v>
      </c>
      <c r="FR293" s="2133" t="str">
        <f t="shared" si="73"/>
        <v>--</v>
      </c>
      <c r="FS293" s="2133" t="str">
        <f t="shared" si="73"/>
        <v>--</v>
      </c>
      <c r="FT293" s="2133" t="str">
        <f t="shared" si="73"/>
        <v>--</v>
      </c>
      <c r="FU293" s="2133" t="str">
        <f t="shared" si="73"/>
        <v>--</v>
      </c>
      <c r="FV293" s="2133" t="str">
        <f t="shared" si="73"/>
        <v>--</v>
      </c>
      <c r="FW293" s="2133" t="str">
        <f t="shared" si="73"/>
        <v>--</v>
      </c>
      <c r="FX293" s="2133" t="str">
        <f t="shared" si="73"/>
        <v>--</v>
      </c>
      <c r="FY293" s="2133" t="str">
        <f t="shared" si="73"/>
        <v>--</v>
      </c>
      <c r="FZ293" s="2133" t="str">
        <f t="shared" si="73"/>
        <v>--</v>
      </c>
      <c r="GA293" s="2133" t="str">
        <f t="shared" si="73"/>
        <v>--</v>
      </c>
      <c r="GB293" s="2133" t="str">
        <f t="shared" si="73"/>
        <v>--</v>
      </c>
      <c r="GC293" s="2133" t="str">
        <f t="shared" si="73"/>
        <v>--</v>
      </c>
      <c r="GD293" s="2133" t="str">
        <f t="shared" si="73"/>
        <v>--</v>
      </c>
      <c r="GE293" s="2133" t="str">
        <f t="shared" si="73"/>
        <v>--</v>
      </c>
      <c r="GF293" s="2133" t="str">
        <f t="shared" si="73"/>
        <v>--</v>
      </c>
      <c r="GG293" s="2133" t="str">
        <f t="shared" si="73"/>
        <v>--</v>
      </c>
      <c r="GH293" s="2133" t="str">
        <f t="shared" si="73"/>
        <v>--</v>
      </c>
      <c r="GI293" s="2133" t="str">
        <f t="shared" si="73"/>
        <v>--</v>
      </c>
      <c r="GJ293" s="2133" t="str">
        <f t="shared" si="73"/>
        <v>--</v>
      </c>
      <c r="GK293" s="2133" t="str">
        <f t="shared" si="73"/>
        <v>--</v>
      </c>
      <c r="GL293" s="2133" t="str">
        <f t="shared" si="73"/>
        <v>--</v>
      </c>
      <c r="GM293" s="2133" t="str">
        <f t="shared" si="73"/>
        <v>--</v>
      </c>
      <c r="GN293" s="2133" t="str">
        <f t="shared" si="73"/>
        <v>--</v>
      </c>
      <c r="GO293" s="2133" t="str">
        <f t="shared" ref="GO293:HT293" si="74">IFERROR(GO231/GO262,"--")</f>
        <v>--</v>
      </c>
      <c r="GP293" s="2133" t="str">
        <f t="shared" si="74"/>
        <v>--</v>
      </c>
      <c r="GQ293" s="2133" t="str">
        <f t="shared" si="74"/>
        <v>--</v>
      </c>
      <c r="GR293" s="2133" t="str">
        <f t="shared" si="74"/>
        <v>--</v>
      </c>
      <c r="GS293" s="2133" t="str">
        <f t="shared" si="74"/>
        <v>--</v>
      </c>
      <c r="GT293" s="2133" t="str">
        <f t="shared" si="74"/>
        <v>--</v>
      </c>
      <c r="GU293" s="2133" t="str">
        <f t="shared" si="74"/>
        <v>--</v>
      </c>
      <c r="GV293" s="2133" t="str">
        <f t="shared" si="74"/>
        <v>--</v>
      </c>
      <c r="GW293" s="2133" t="str">
        <f t="shared" si="74"/>
        <v>--</v>
      </c>
      <c r="GX293" s="2133" t="str">
        <f t="shared" si="74"/>
        <v>--</v>
      </c>
      <c r="GY293" s="2133" t="str">
        <f t="shared" si="74"/>
        <v>--</v>
      </c>
      <c r="GZ293" s="2133" t="str">
        <f t="shared" si="74"/>
        <v>--</v>
      </c>
      <c r="HA293" s="2133" t="str">
        <f t="shared" si="74"/>
        <v>--</v>
      </c>
      <c r="HB293" s="2133" t="str">
        <f t="shared" si="74"/>
        <v>--</v>
      </c>
      <c r="HC293" s="2133" t="str">
        <f t="shared" si="74"/>
        <v>--</v>
      </c>
      <c r="HD293" s="2133" t="str">
        <f t="shared" si="74"/>
        <v>--</v>
      </c>
      <c r="HE293" s="2133" t="str">
        <f t="shared" si="74"/>
        <v>--</v>
      </c>
      <c r="HF293" s="2133" t="str">
        <f t="shared" si="74"/>
        <v>--</v>
      </c>
      <c r="HG293" s="2133" t="str">
        <f t="shared" si="74"/>
        <v>--</v>
      </c>
      <c r="HH293" s="2133" t="str">
        <f t="shared" si="74"/>
        <v>--</v>
      </c>
      <c r="HI293" s="2133" t="str">
        <f t="shared" si="74"/>
        <v>--</v>
      </c>
      <c r="HJ293" s="2133" t="str">
        <f t="shared" si="74"/>
        <v>--</v>
      </c>
      <c r="HK293" s="2133" t="str">
        <f t="shared" si="74"/>
        <v>--</v>
      </c>
      <c r="HL293" s="2133" t="str">
        <f t="shared" si="74"/>
        <v>--</v>
      </c>
      <c r="HM293" s="2133" t="str">
        <f t="shared" si="74"/>
        <v>--</v>
      </c>
      <c r="HN293" s="2133" t="str">
        <f t="shared" si="74"/>
        <v>--</v>
      </c>
      <c r="HO293" s="2133" t="str">
        <f t="shared" si="74"/>
        <v>--</v>
      </c>
      <c r="HP293" s="2133" t="str">
        <f t="shared" si="74"/>
        <v>--</v>
      </c>
      <c r="HQ293" s="2133" t="str">
        <f t="shared" si="74"/>
        <v>--</v>
      </c>
      <c r="HR293" s="2133" t="str">
        <f t="shared" si="74"/>
        <v>--</v>
      </c>
      <c r="HS293" s="2133" t="str">
        <f t="shared" si="74"/>
        <v>--</v>
      </c>
      <c r="HT293" s="2133" t="str">
        <f t="shared" si="74"/>
        <v>--</v>
      </c>
      <c r="HU293" s="2133" t="str">
        <f t="shared" si="70"/>
        <v>--</v>
      </c>
      <c r="HV293" s="2133" t="str">
        <f t="shared" si="70"/>
        <v>--</v>
      </c>
      <c r="HW293" s="2133" t="str">
        <f t="shared" si="70"/>
        <v>--</v>
      </c>
      <c r="HX293" s="2133" t="str">
        <f t="shared" si="70"/>
        <v>--</v>
      </c>
      <c r="HY293" s="2133" t="str">
        <f t="shared" si="70"/>
        <v>--</v>
      </c>
      <c r="HZ293" s="2133" t="str">
        <f t="shared" si="70"/>
        <v>--</v>
      </c>
      <c r="IA293" s="2133" t="str">
        <f t="shared" si="70"/>
        <v>--</v>
      </c>
      <c r="IB293" s="2133" t="str">
        <f t="shared" si="70"/>
        <v>--</v>
      </c>
      <c r="IC293" s="2133" t="str">
        <f t="shared" si="70"/>
        <v>--</v>
      </c>
      <c r="ID293" s="2133" t="str">
        <f t="shared" si="70"/>
        <v>--</v>
      </c>
      <c r="IE293" s="2133" t="str">
        <f t="shared" si="70"/>
        <v>--</v>
      </c>
      <c r="IF293" s="2133" t="str">
        <f t="shared" si="70"/>
        <v>--</v>
      </c>
      <c r="IG293" s="2133" t="str">
        <f t="shared" si="70"/>
        <v>--</v>
      </c>
      <c r="IH293" s="2133" t="str">
        <f t="shared" si="70"/>
        <v>--</v>
      </c>
      <c r="II293" s="2133" t="str">
        <f t="shared" si="70"/>
        <v>--</v>
      </c>
      <c r="IJ293" s="2133" t="str">
        <f t="shared" si="70"/>
        <v>--</v>
      </c>
      <c r="IK293" s="2133" t="str">
        <f t="shared" si="70"/>
        <v>--</v>
      </c>
      <c r="IL293" s="2133" t="str">
        <f t="shared" si="70"/>
        <v>--</v>
      </c>
      <c r="IM293" s="2133" t="str">
        <f t="shared" si="70"/>
        <v>--</v>
      </c>
      <c r="IN293" s="2133" t="str">
        <f t="shared" si="70"/>
        <v>--</v>
      </c>
      <c r="IO293" s="2133" t="str">
        <f t="shared" si="70"/>
        <v>--</v>
      </c>
      <c r="IP293" s="2133" t="str">
        <f t="shared" si="70"/>
        <v>--</v>
      </c>
      <c r="IQ293" s="2133" t="str">
        <f t="shared" si="70"/>
        <v>--</v>
      </c>
      <c r="IR293" s="2133" t="str">
        <f t="shared" si="70"/>
        <v>--</v>
      </c>
      <c r="IS293" s="2133" t="str">
        <f t="shared" si="70"/>
        <v>--</v>
      </c>
      <c r="IT293" s="2133" t="str">
        <f t="shared" si="70"/>
        <v>--</v>
      </c>
      <c r="IU293" s="2133" t="str">
        <f t="shared" si="70"/>
        <v>--</v>
      </c>
      <c r="IV293" s="2133" t="str">
        <f t="shared" si="70"/>
        <v>--</v>
      </c>
      <c r="IW293" s="2133" t="str">
        <f t="shared" si="70"/>
        <v>--</v>
      </c>
      <c r="IX293" s="2133" t="str">
        <f t="shared" si="70"/>
        <v>--</v>
      </c>
      <c r="IY293" s="2133" t="str">
        <f t="shared" si="70"/>
        <v>--</v>
      </c>
      <c r="IZ293" s="2133" t="str">
        <f t="shared" si="70"/>
        <v>--</v>
      </c>
      <c r="JA293" s="2133" t="str">
        <f t="shared" si="70"/>
        <v>--</v>
      </c>
      <c r="JB293" s="2133" t="str">
        <f t="shared" si="70"/>
        <v>--</v>
      </c>
      <c r="JC293" s="2133" t="str">
        <f t="shared" si="70"/>
        <v>--</v>
      </c>
      <c r="JD293" s="2133" t="str">
        <f t="shared" si="70"/>
        <v>--</v>
      </c>
      <c r="JE293" s="2133" t="str">
        <f t="shared" si="70"/>
        <v>--</v>
      </c>
      <c r="JF293" s="2133" t="str">
        <f t="shared" si="70"/>
        <v>--</v>
      </c>
      <c r="JG293" s="2133" t="str">
        <f t="shared" si="70"/>
        <v>--</v>
      </c>
      <c r="JH293" s="2133" t="str">
        <f t="shared" si="70"/>
        <v>--</v>
      </c>
      <c r="JI293" s="2133" t="str">
        <f t="shared" si="70"/>
        <v>--</v>
      </c>
      <c r="JJ293" s="2133" t="str">
        <f t="shared" si="70"/>
        <v>--</v>
      </c>
      <c r="JK293" s="2133" t="str">
        <f t="shared" si="70"/>
        <v>--</v>
      </c>
      <c r="JL293" s="2133" t="str">
        <f t="shared" si="70"/>
        <v>--</v>
      </c>
      <c r="JM293" s="2133" t="str">
        <f t="shared" si="70"/>
        <v>--</v>
      </c>
      <c r="JN293" s="2133" t="str">
        <f t="shared" si="70"/>
        <v>--</v>
      </c>
      <c r="JO293" s="2133" t="str">
        <f t="shared" si="70"/>
        <v>--</v>
      </c>
      <c r="JP293" s="2133" t="str">
        <f t="shared" si="70"/>
        <v>--</v>
      </c>
      <c r="JQ293" s="2133" t="str">
        <f t="shared" si="70"/>
        <v>--</v>
      </c>
      <c r="JR293" s="2133" t="str">
        <f t="shared" si="56"/>
        <v>--</v>
      </c>
      <c r="JS293" s="2133" t="str">
        <f t="shared" si="56"/>
        <v>--</v>
      </c>
      <c r="JT293" s="2133" t="str">
        <f t="shared" si="56"/>
        <v>--</v>
      </c>
      <c r="JU293" s="2133" t="str">
        <f t="shared" si="56"/>
        <v>--</v>
      </c>
      <c r="JV293" s="2133" t="str">
        <f t="shared" si="56"/>
        <v>--</v>
      </c>
      <c r="JW293" s="2133" t="str">
        <f t="shared" si="56"/>
        <v>--</v>
      </c>
      <c r="JX293" s="2133" t="str">
        <f t="shared" si="56"/>
        <v>--</v>
      </c>
      <c r="JY293" s="2133" t="str">
        <f t="shared" si="56"/>
        <v>--</v>
      </c>
      <c r="JZ293" s="2133" t="str">
        <f t="shared" si="56"/>
        <v>--</v>
      </c>
      <c r="KA293" s="2133" t="str">
        <f t="shared" si="56"/>
        <v>--</v>
      </c>
      <c r="KB293" s="2133" t="str">
        <f t="shared" si="56"/>
        <v>--</v>
      </c>
    </row>
    <row r="294" spans="1:288" s="89" customFormat="1" ht="13.9">
      <c r="A294" s="269" t="str">
        <f t="shared" si="58"/>
        <v>n</v>
      </c>
      <c r="B294" s="2060"/>
      <c r="D294" s="801"/>
      <c r="E294" s="1505">
        <v>9</v>
      </c>
      <c r="F294" s="21" t="str">
        <f>F$137</f>
        <v>--</v>
      </c>
      <c r="G294" s="1441">
        <f>G$137</f>
        <v>0</v>
      </c>
      <c r="H294" s="1441" t="str">
        <f>H$137</f>
        <v>--</v>
      </c>
      <c r="I294" s="89" t="s">
        <v>786</v>
      </c>
      <c r="K294" s="2301" t="str">
        <f>IF(OR(K200=0,$G294=0),"--",IFERROR(_xll.ciqfunctions.udf.CIQ($G294,$I294,K108,Valuation_Date_GC,ReportType,DataMode,$H294,FXMode)*Scale,"--"))</f>
        <v>--</v>
      </c>
      <c r="L294" s="2301" t="str">
        <f>IF(OR(L200=0,$G294=0),"--",IFERROR(_xll.ciqfunctions.udf.CIQ($G294,$I294,L108,Valuation_Date_GC,ReportType,DataMode,$H294,FXMode)*Scale,"--"))</f>
        <v>--</v>
      </c>
      <c r="M294" s="2301" t="str">
        <f>IF(OR(M200=0,$G294=0),"--",IFERROR(_xll.ciqfunctions.udf.CIQ($G294,$I294,M108,Valuation_Date_GC,ReportType,DataMode,$H294,FXMode)*Scale,"--"))</f>
        <v>--</v>
      </c>
      <c r="N294" s="2301" t="str">
        <f>IF(OR(N200=0,$G294=0),"--",IFERROR(_xll.ciqfunctions.udf.CIQ($G294,$I294,N108,Valuation_Date_GC,ReportType,DataMode,$H294,FXMode)*Scale,"--"))</f>
        <v>--</v>
      </c>
      <c r="O294" s="1471" t="str">
        <f>IF(OR(O200=0,$G294=0),"--",IFERROR(_xll.ciqfunctions.udf.CIQ($G294,$I294,O108,Valuation_Date_GC,ReportType,DataMode,$H294,FXMode)*Scale,"--"))</f>
        <v>--</v>
      </c>
      <c r="P294" s="2301" t="str">
        <f>IF(OR(P200=0,$G294=0),"--",IFERROR(_xll.ciqfunctions.udf.CIQ($G294,$I294,P108,Valuation_Date_GC,ReportType,DataMode,$H294,FXMode)*Scale,"--"))</f>
        <v>--</v>
      </c>
      <c r="R294" s="255"/>
      <c r="S294" s="1958" t="str">
        <f t="shared" si="51"/>
        <v>--</v>
      </c>
      <c r="T294" s="1779" t="s">
        <v>787</v>
      </c>
      <c r="U294" s="2133" t="str">
        <f t="shared" si="57"/>
        <v>--</v>
      </c>
      <c r="V294" s="2133" t="str">
        <f t="shared" si="57"/>
        <v>--</v>
      </c>
      <c r="W294" s="2133" t="str">
        <f t="shared" si="57"/>
        <v>--</v>
      </c>
      <c r="X294" s="2133" t="str">
        <f t="shared" si="57"/>
        <v>--</v>
      </c>
      <c r="Y294" s="2133" t="str">
        <f t="shared" si="57"/>
        <v>--</v>
      </c>
      <c r="Z294" s="2133" t="str">
        <f t="shared" si="57"/>
        <v>--</v>
      </c>
      <c r="AA294" s="2133" t="str">
        <f t="shared" si="57"/>
        <v>--</v>
      </c>
      <c r="AB294" s="2133" t="str">
        <f t="shared" si="57"/>
        <v>--</v>
      </c>
      <c r="AC294" s="2133" t="str">
        <f t="shared" si="57"/>
        <v>--</v>
      </c>
      <c r="AD294" s="2133" t="str">
        <f t="shared" si="57"/>
        <v>--</v>
      </c>
      <c r="AE294" s="2133" t="str">
        <f t="shared" si="57"/>
        <v>--</v>
      </c>
      <c r="AF294" s="2133" t="str">
        <f t="shared" si="57"/>
        <v>--</v>
      </c>
      <c r="AG294" s="2133" t="str">
        <f t="shared" si="57"/>
        <v>--</v>
      </c>
      <c r="AH294" s="2133" t="str">
        <f t="shared" si="57"/>
        <v>--</v>
      </c>
      <c r="AI294" s="2133" t="str">
        <f t="shared" si="57"/>
        <v>--</v>
      </c>
      <c r="AJ294" s="2133" t="str">
        <f t="shared" si="57"/>
        <v>--</v>
      </c>
      <c r="AK294" s="2133" t="str">
        <f t="shared" si="71"/>
        <v>--</v>
      </c>
      <c r="AL294" s="2133" t="str">
        <f t="shared" si="71"/>
        <v>--</v>
      </c>
      <c r="AM294" s="2133" t="str">
        <f t="shared" si="71"/>
        <v>--</v>
      </c>
      <c r="AN294" s="2133" t="str">
        <f t="shared" si="71"/>
        <v>--</v>
      </c>
      <c r="AO294" s="2133" t="str">
        <f t="shared" si="71"/>
        <v>--</v>
      </c>
      <c r="AP294" s="2133" t="str">
        <f t="shared" si="71"/>
        <v>--</v>
      </c>
      <c r="AQ294" s="2133" t="str">
        <f t="shared" si="71"/>
        <v>--</v>
      </c>
      <c r="AR294" s="2133" t="str">
        <f t="shared" si="71"/>
        <v>--</v>
      </c>
      <c r="AS294" s="2133" t="str">
        <f t="shared" si="71"/>
        <v>--</v>
      </c>
      <c r="AT294" s="2133" t="str">
        <f t="shared" si="71"/>
        <v>--</v>
      </c>
      <c r="AU294" s="2133" t="str">
        <f t="shared" si="71"/>
        <v>--</v>
      </c>
      <c r="AV294" s="2133" t="str">
        <f t="shared" si="71"/>
        <v>--</v>
      </c>
      <c r="AW294" s="2133" t="str">
        <f t="shared" si="71"/>
        <v>--</v>
      </c>
      <c r="AX294" s="2133" t="str">
        <f t="shared" si="71"/>
        <v>--</v>
      </c>
      <c r="AY294" s="2133" t="str">
        <f t="shared" si="71"/>
        <v>--</v>
      </c>
      <c r="AZ294" s="2133" t="str">
        <f t="shared" si="71"/>
        <v>--</v>
      </c>
      <c r="BA294" s="2133" t="str">
        <f t="shared" si="71"/>
        <v>--</v>
      </c>
      <c r="BB294" s="2133" t="str">
        <f t="shared" si="71"/>
        <v>--</v>
      </c>
      <c r="BC294" s="2133" t="str">
        <f t="shared" si="71"/>
        <v>--</v>
      </c>
      <c r="BD294" s="2133" t="str">
        <f t="shared" si="71"/>
        <v>--</v>
      </c>
      <c r="BE294" s="2133" t="str">
        <f t="shared" si="71"/>
        <v>--</v>
      </c>
      <c r="BF294" s="2133" t="str">
        <f t="shared" si="71"/>
        <v>--</v>
      </c>
      <c r="BG294" s="2133" t="str">
        <f t="shared" si="71"/>
        <v>--</v>
      </c>
      <c r="BH294" s="2133" t="str">
        <f t="shared" si="71"/>
        <v>--</v>
      </c>
      <c r="BI294" s="2133" t="str">
        <f t="shared" si="71"/>
        <v>--</v>
      </c>
      <c r="BJ294" s="2133" t="str">
        <f t="shared" si="71"/>
        <v>--</v>
      </c>
      <c r="BK294" s="2133" t="str">
        <f t="shared" si="71"/>
        <v>--</v>
      </c>
      <c r="BL294" s="2133" t="str">
        <f t="shared" si="71"/>
        <v>--</v>
      </c>
      <c r="BM294" s="2133" t="str">
        <f t="shared" si="71"/>
        <v>--</v>
      </c>
      <c r="BN294" s="2133" t="str">
        <f t="shared" si="71"/>
        <v>--</v>
      </c>
      <c r="BO294" s="2133" t="str">
        <f t="shared" si="71"/>
        <v>--</v>
      </c>
      <c r="BP294" s="2133" t="str">
        <f t="shared" si="71"/>
        <v>--</v>
      </c>
      <c r="BQ294" s="2133" t="str">
        <f t="shared" si="71"/>
        <v>--</v>
      </c>
      <c r="BR294" s="2133" t="str">
        <f t="shared" si="71"/>
        <v>--</v>
      </c>
      <c r="BS294" s="2133" t="str">
        <f t="shared" si="71"/>
        <v>--</v>
      </c>
      <c r="BT294" s="2133" t="str">
        <f t="shared" si="71"/>
        <v>--</v>
      </c>
      <c r="BU294" s="2133" t="str">
        <f t="shared" si="71"/>
        <v>--</v>
      </c>
      <c r="BV294" s="2133" t="str">
        <f t="shared" si="71"/>
        <v>--</v>
      </c>
      <c r="BW294" s="2133" t="str">
        <f t="shared" si="71"/>
        <v>--</v>
      </c>
      <c r="BX294" s="2133" t="str">
        <f t="shared" si="71"/>
        <v>--</v>
      </c>
      <c r="BY294" s="2133" t="str">
        <f t="shared" si="71"/>
        <v>--</v>
      </c>
      <c r="BZ294" s="2133" t="str">
        <f t="shared" si="71"/>
        <v>--</v>
      </c>
      <c r="CA294" s="2133" t="str">
        <f t="shared" si="71"/>
        <v>--</v>
      </c>
      <c r="CB294" s="2133" t="str">
        <f t="shared" si="71"/>
        <v>--</v>
      </c>
      <c r="CC294" s="2133" t="str">
        <f t="shared" si="71"/>
        <v>--</v>
      </c>
      <c r="CD294" s="2133" t="str">
        <f t="shared" si="71"/>
        <v>--</v>
      </c>
      <c r="CE294" s="2133" t="str">
        <f t="shared" si="71"/>
        <v>--</v>
      </c>
      <c r="CF294" s="2133" t="str">
        <f t="shared" si="71"/>
        <v>--</v>
      </c>
      <c r="CG294" s="2133" t="str">
        <f t="shared" si="71"/>
        <v>--</v>
      </c>
      <c r="CH294" s="2133" t="str">
        <f t="shared" si="71"/>
        <v>--</v>
      </c>
      <c r="CI294" s="2133" t="str">
        <f t="shared" si="71"/>
        <v>--</v>
      </c>
      <c r="CJ294" s="2133" t="str">
        <f t="shared" si="71"/>
        <v>--</v>
      </c>
      <c r="CK294" s="2133" t="str">
        <f t="shared" si="71"/>
        <v>--</v>
      </c>
      <c r="CL294" s="2133" t="str">
        <f t="shared" si="71"/>
        <v>--</v>
      </c>
      <c r="CM294" s="2133" t="str">
        <f t="shared" si="71"/>
        <v>--</v>
      </c>
      <c r="CN294" s="2133" t="str">
        <f t="shared" si="71"/>
        <v>--</v>
      </c>
      <c r="CO294" s="2133" t="str">
        <f t="shared" si="71"/>
        <v>--</v>
      </c>
      <c r="CP294" s="2133" t="str">
        <f t="shared" si="71"/>
        <v>--</v>
      </c>
      <c r="CQ294" s="2133" t="str">
        <f t="shared" si="71"/>
        <v>--</v>
      </c>
      <c r="CR294" s="2133" t="str">
        <f t="shared" si="71"/>
        <v>--</v>
      </c>
      <c r="CS294" s="2133" t="str">
        <f t="shared" si="71"/>
        <v>--</v>
      </c>
      <c r="CT294" s="2133" t="str">
        <f t="shared" si="71"/>
        <v>--</v>
      </c>
      <c r="CU294" s="2133" t="str">
        <f t="shared" si="71"/>
        <v>--</v>
      </c>
      <c r="CV294" s="2133" t="str">
        <f t="shared" si="71"/>
        <v>--</v>
      </c>
      <c r="CW294" s="2133" t="str">
        <f t="shared" si="68"/>
        <v>--</v>
      </c>
      <c r="CX294" s="2133" t="str">
        <f t="shared" si="68"/>
        <v>--</v>
      </c>
      <c r="CY294" s="2133" t="str">
        <f t="shared" si="68"/>
        <v>--</v>
      </c>
      <c r="CZ294" s="2133" t="str">
        <f t="shared" si="68"/>
        <v>--</v>
      </c>
      <c r="DA294" s="2133" t="str">
        <f t="shared" si="68"/>
        <v>--</v>
      </c>
      <c r="DB294" s="2133" t="str">
        <f t="shared" si="68"/>
        <v>--</v>
      </c>
      <c r="DC294" s="2133" t="str">
        <f t="shared" si="68"/>
        <v>--</v>
      </c>
      <c r="DD294" s="2133" t="str">
        <f t="shared" si="68"/>
        <v>--</v>
      </c>
      <c r="DE294" s="2133" t="str">
        <f t="shared" si="68"/>
        <v>--</v>
      </c>
      <c r="DF294" s="2133" t="str">
        <f t="shared" si="68"/>
        <v>--</v>
      </c>
      <c r="DG294" s="2133" t="str">
        <f t="shared" si="68"/>
        <v>--</v>
      </c>
      <c r="DH294" s="2133" t="str">
        <f t="shared" si="68"/>
        <v>--</v>
      </c>
      <c r="DI294" s="2133" t="str">
        <f t="shared" si="68"/>
        <v>--</v>
      </c>
      <c r="DJ294" s="2133" t="str">
        <f t="shared" si="68"/>
        <v>--</v>
      </c>
      <c r="DK294" s="2133" t="str">
        <f t="shared" si="68"/>
        <v>--</v>
      </c>
      <c r="DL294" s="2133" t="str">
        <f t="shared" si="68"/>
        <v>--</v>
      </c>
      <c r="DM294" s="2133" t="str">
        <f t="shared" si="68"/>
        <v>--</v>
      </c>
      <c r="DN294" s="2133" t="str">
        <f t="shared" si="68"/>
        <v>--</v>
      </c>
      <c r="DO294" s="2133" t="str">
        <f t="shared" si="68"/>
        <v>--</v>
      </c>
      <c r="DP294" s="2133" t="str">
        <f t="shared" si="68"/>
        <v>--</v>
      </c>
      <c r="DQ294" s="2133" t="str">
        <f t="shared" si="68"/>
        <v>--</v>
      </c>
      <c r="DR294" s="2133" t="str">
        <f t="shared" si="68"/>
        <v>--</v>
      </c>
      <c r="DS294" s="2133" t="str">
        <f t="shared" si="68"/>
        <v>--</v>
      </c>
      <c r="DT294" s="2133" t="str">
        <f t="shared" si="68"/>
        <v>--</v>
      </c>
      <c r="DU294" s="2133" t="str">
        <f t="shared" si="68"/>
        <v>--</v>
      </c>
      <c r="DV294" s="2133" t="str">
        <f t="shared" si="68"/>
        <v>--</v>
      </c>
      <c r="DW294" s="2133" t="str">
        <f t="shared" si="68"/>
        <v>--</v>
      </c>
      <c r="DX294" s="2133" t="str">
        <f t="shared" si="68"/>
        <v>--</v>
      </c>
      <c r="DY294" s="2133" t="str">
        <f t="shared" si="68"/>
        <v>--</v>
      </c>
      <c r="DZ294" s="2133" t="str">
        <f t="shared" si="68"/>
        <v>--</v>
      </c>
      <c r="EA294" s="2133" t="str">
        <f t="shared" si="68"/>
        <v>--</v>
      </c>
      <c r="EB294" s="2133" t="str">
        <f t="shared" si="68"/>
        <v>--</v>
      </c>
      <c r="EC294" s="2133" t="str">
        <f t="shared" si="68"/>
        <v>--</v>
      </c>
      <c r="ED294" s="2133" t="str">
        <f t="shared" si="68"/>
        <v>--</v>
      </c>
      <c r="EE294" s="2133" t="str">
        <f t="shared" si="68"/>
        <v>--</v>
      </c>
      <c r="EF294" s="2133" t="str">
        <f t="shared" si="68"/>
        <v>--</v>
      </c>
      <c r="EG294" s="2133" t="str">
        <f t="shared" si="68"/>
        <v>--</v>
      </c>
      <c r="EH294" s="2133" t="str">
        <f t="shared" si="68"/>
        <v>--</v>
      </c>
      <c r="EI294" s="2133" t="str">
        <f t="shared" si="68"/>
        <v>--</v>
      </c>
      <c r="EJ294" s="2133" t="str">
        <f t="shared" si="68"/>
        <v>--</v>
      </c>
      <c r="EK294" s="2133" t="str">
        <f t="shared" si="68"/>
        <v>--</v>
      </c>
      <c r="EL294" s="2133" t="str">
        <f t="shared" si="68"/>
        <v>--</v>
      </c>
      <c r="EM294" s="2133" t="str">
        <f t="shared" si="68"/>
        <v>--</v>
      </c>
      <c r="EN294" s="2133" t="str">
        <f t="shared" si="68"/>
        <v>--</v>
      </c>
      <c r="EO294" s="2133" t="str">
        <f t="shared" si="68"/>
        <v>--</v>
      </c>
      <c r="EP294" s="2133" t="str">
        <f t="shared" si="68"/>
        <v>--</v>
      </c>
      <c r="EQ294" s="2133" t="str">
        <f t="shared" si="68"/>
        <v>--</v>
      </c>
      <c r="ER294" s="2133" t="str">
        <f t="shared" si="68"/>
        <v>--</v>
      </c>
      <c r="ES294" s="2133" t="str">
        <f t="shared" si="68"/>
        <v>--</v>
      </c>
      <c r="ET294" s="2133" t="str">
        <f t="shared" ref="ET294:FH294" si="75">IFERROR(ET232/ET263,"--")</f>
        <v>--</v>
      </c>
      <c r="EU294" s="2133" t="str">
        <f t="shared" si="75"/>
        <v>--</v>
      </c>
      <c r="EV294" s="2133" t="str">
        <f t="shared" si="75"/>
        <v>--</v>
      </c>
      <c r="EW294" s="2133" t="str">
        <f t="shared" si="75"/>
        <v>--</v>
      </c>
      <c r="EX294" s="2133" t="str">
        <f t="shared" si="75"/>
        <v>--</v>
      </c>
      <c r="EY294" s="2133" t="str">
        <f t="shared" si="75"/>
        <v>--</v>
      </c>
      <c r="EZ294" s="2133" t="str">
        <f t="shared" si="75"/>
        <v>--</v>
      </c>
      <c r="FA294" s="2133" t="str">
        <f t="shared" si="75"/>
        <v>--</v>
      </c>
      <c r="FB294" s="2133" t="str">
        <f t="shared" si="75"/>
        <v>--</v>
      </c>
      <c r="FC294" s="2133" t="str">
        <f t="shared" si="75"/>
        <v>--</v>
      </c>
      <c r="FD294" s="2133" t="str">
        <f t="shared" si="75"/>
        <v>--</v>
      </c>
      <c r="FE294" s="2133" t="str">
        <f t="shared" si="75"/>
        <v>--</v>
      </c>
      <c r="FF294" s="2133" t="str">
        <f t="shared" si="75"/>
        <v>--</v>
      </c>
      <c r="FG294" s="2133" t="str">
        <f t="shared" si="75"/>
        <v>--</v>
      </c>
      <c r="FH294" s="2133" t="str">
        <f t="shared" si="75"/>
        <v>--</v>
      </c>
      <c r="FI294" s="2133" t="str">
        <f t="shared" ref="FI294:GN294" si="76">IFERROR(FI232/FI263,"--")</f>
        <v>--</v>
      </c>
      <c r="FJ294" s="2133" t="str">
        <f t="shared" si="76"/>
        <v>--</v>
      </c>
      <c r="FK294" s="2133" t="str">
        <f t="shared" si="76"/>
        <v>--</v>
      </c>
      <c r="FL294" s="2133" t="str">
        <f t="shared" si="76"/>
        <v>--</v>
      </c>
      <c r="FM294" s="2133" t="str">
        <f t="shared" si="76"/>
        <v>--</v>
      </c>
      <c r="FN294" s="2133" t="str">
        <f t="shared" si="76"/>
        <v>--</v>
      </c>
      <c r="FO294" s="2133" t="str">
        <f t="shared" si="76"/>
        <v>--</v>
      </c>
      <c r="FP294" s="2133" t="str">
        <f t="shared" si="76"/>
        <v>--</v>
      </c>
      <c r="FQ294" s="2133" t="str">
        <f t="shared" si="76"/>
        <v>--</v>
      </c>
      <c r="FR294" s="2133" t="str">
        <f t="shared" si="76"/>
        <v>--</v>
      </c>
      <c r="FS294" s="2133" t="str">
        <f t="shared" si="76"/>
        <v>--</v>
      </c>
      <c r="FT294" s="2133" t="str">
        <f t="shared" si="76"/>
        <v>--</v>
      </c>
      <c r="FU294" s="2133" t="str">
        <f t="shared" si="76"/>
        <v>--</v>
      </c>
      <c r="FV294" s="2133" t="str">
        <f t="shared" si="76"/>
        <v>--</v>
      </c>
      <c r="FW294" s="2133" t="str">
        <f t="shared" si="76"/>
        <v>--</v>
      </c>
      <c r="FX294" s="2133" t="str">
        <f t="shared" si="76"/>
        <v>--</v>
      </c>
      <c r="FY294" s="2133" t="str">
        <f t="shared" si="76"/>
        <v>--</v>
      </c>
      <c r="FZ294" s="2133" t="str">
        <f t="shared" si="76"/>
        <v>--</v>
      </c>
      <c r="GA294" s="2133" t="str">
        <f t="shared" si="76"/>
        <v>--</v>
      </c>
      <c r="GB294" s="2133" t="str">
        <f t="shared" si="76"/>
        <v>--</v>
      </c>
      <c r="GC294" s="2133" t="str">
        <f t="shared" si="76"/>
        <v>--</v>
      </c>
      <c r="GD294" s="2133" t="str">
        <f t="shared" si="76"/>
        <v>--</v>
      </c>
      <c r="GE294" s="2133" t="str">
        <f t="shared" si="76"/>
        <v>--</v>
      </c>
      <c r="GF294" s="2133" t="str">
        <f t="shared" si="76"/>
        <v>--</v>
      </c>
      <c r="GG294" s="2133" t="str">
        <f t="shared" si="76"/>
        <v>--</v>
      </c>
      <c r="GH294" s="2133" t="str">
        <f t="shared" si="76"/>
        <v>--</v>
      </c>
      <c r="GI294" s="2133" t="str">
        <f t="shared" si="76"/>
        <v>--</v>
      </c>
      <c r="GJ294" s="2133" t="str">
        <f t="shared" si="76"/>
        <v>--</v>
      </c>
      <c r="GK294" s="2133" t="str">
        <f t="shared" si="76"/>
        <v>--</v>
      </c>
      <c r="GL294" s="2133" t="str">
        <f t="shared" si="76"/>
        <v>--</v>
      </c>
      <c r="GM294" s="2133" t="str">
        <f t="shared" si="76"/>
        <v>--</v>
      </c>
      <c r="GN294" s="2133" t="str">
        <f t="shared" si="76"/>
        <v>--</v>
      </c>
      <c r="GO294" s="2133" t="str">
        <f t="shared" ref="GO294:HT294" si="77">IFERROR(GO232/GO263,"--")</f>
        <v>--</v>
      </c>
      <c r="GP294" s="2133" t="str">
        <f t="shared" si="77"/>
        <v>--</v>
      </c>
      <c r="GQ294" s="2133" t="str">
        <f t="shared" si="77"/>
        <v>--</v>
      </c>
      <c r="GR294" s="2133" t="str">
        <f t="shared" si="77"/>
        <v>--</v>
      </c>
      <c r="GS294" s="2133" t="str">
        <f t="shared" si="77"/>
        <v>--</v>
      </c>
      <c r="GT294" s="2133" t="str">
        <f t="shared" si="77"/>
        <v>--</v>
      </c>
      <c r="GU294" s="2133" t="str">
        <f t="shared" si="77"/>
        <v>--</v>
      </c>
      <c r="GV294" s="2133" t="str">
        <f t="shared" si="77"/>
        <v>--</v>
      </c>
      <c r="GW294" s="2133" t="str">
        <f t="shared" si="77"/>
        <v>--</v>
      </c>
      <c r="GX294" s="2133" t="str">
        <f t="shared" si="77"/>
        <v>--</v>
      </c>
      <c r="GY294" s="2133" t="str">
        <f t="shared" si="77"/>
        <v>--</v>
      </c>
      <c r="GZ294" s="2133" t="str">
        <f t="shared" si="77"/>
        <v>--</v>
      </c>
      <c r="HA294" s="2133" t="str">
        <f t="shared" si="77"/>
        <v>--</v>
      </c>
      <c r="HB294" s="2133" t="str">
        <f t="shared" si="77"/>
        <v>--</v>
      </c>
      <c r="HC294" s="2133" t="str">
        <f t="shared" si="77"/>
        <v>--</v>
      </c>
      <c r="HD294" s="2133" t="str">
        <f t="shared" si="77"/>
        <v>--</v>
      </c>
      <c r="HE294" s="2133" t="str">
        <f t="shared" si="77"/>
        <v>--</v>
      </c>
      <c r="HF294" s="2133" t="str">
        <f t="shared" si="77"/>
        <v>--</v>
      </c>
      <c r="HG294" s="2133" t="str">
        <f t="shared" si="77"/>
        <v>--</v>
      </c>
      <c r="HH294" s="2133" t="str">
        <f t="shared" si="77"/>
        <v>--</v>
      </c>
      <c r="HI294" s="2133" t="str">
        <f t="shared" si="77"/>
        <v>--</v>
      </c>
      <c r="HJ294" s="2133" t="str">
        <f t="shared" si="77"/>
        <v>--</v>
      </c>
      <c r="HK294" s="2133" t="str">
        <f t="shared" si="77"/>
        <v>--</v>
      </c>
      <c r="HL294" s="2133" t="str">
        <f t="shared" si="77"/>
        <v>--</v>
      </c>
      <c r="HM294" s="2133" t="str">
        <f t="shared" si="77"/>
        <v>--</v>
      </c>
      <c r="HN294" s="2133" t="str">
        <f t="shared" si="77"/>
        <v>--</v>
      </c>
      <c r="HO294" s="2133" t="str">
        <f t="shared" si="77"/>
        <v>--</v>
      </c>
      <c r="HP294" s="2133" t="str">
        <f t="shared" si="77"/>
        <v>--</v>
      </c>
      <c r="HQ294" s="2133" t="str">
        <f t="shared" si="77"/>
        <v>--</v>
      </c>
      <c r="HR294" s="2133" t="str">
        <f t="shared" si="77"/>
        <v>--</v>
      </c>
      <c r="HS294" s="2133" t="str">
        <f t="shared" si="77"/>
        <v>--</v>
      </c>
      <c r="HT294" s="2133" t="str">
        <f t="shared" si="77"/>
        <v>--</v>
      </c>
      <c r="HU294" s="2133" t="str">
        <f t="shared" si="70"/>
        <v>--</v>
      </c>
      <c r="HV294" s="2133" t="str">
        <f t="shared" si="70"/>
        <v>--</v>
      </c>
      <c r="HW294" s="2133" t="str">
        <f t="shared" si="70"/>
        <v>--</v>
      </c>
      <c r="HX294" s="2133" t="str">
        <f t="shared" si="70"/>
        <v>--</v>
      </c>
      <c r="HY294" s="2133" t="str">
        <f t="shared" si="70"/>
        <v>--</v>
      </c>
      <c r="HZ294" s="2133" t="str">
        <f t="shared" si="70"/>
        <v>--</v>
      </c>
      <c r="IA294" s="2133" t="str">
        <f t="shared" si="70"/>
        <v>--</v>
      </c>
      <c r="IB294" s="2133" t="str">
        <f t="shared" si="70"/>
        <v>--</v>
      </c>
      <c r="IC294" s="2133" t="str">
        <f t="shared" si="70"/>
        <v>--</v>
      </c>
      <c r="ID294" s="2133" t="str">
        <f t="shared" si="70"/>
        <v>--</v>
      </c>
      <c r="IE294" s="2133" t="str">
        <f t="shared" si="70"/>
        <v>--</v>
      </c>
      <c r="IF294" s="2133" t="str">
        <f t="shared" si="70"/>
        <v>--</v>
      </c>
      <c r="IG294" s="2133" t="str">
        <f t="shared" si="70"/>
        <v>--</v>
      </c>
      <c r="IH294" s="2133" t="str">
        <f t="shared" si="70"/>
        <v>--</v>
      </c>
      <c r="II294" s="2133" t="str">
        <f t="shared" si="70"/>
        <v>--</v>
      </c>
      <c r="IJ294" s="2133" t="str">
        <f t="shared" si="70"/>
        <v>--</v>
      </c>
      <c r="IK294" s="2133" t="str">
        <f t="shared" si="70"/>
        <v>--</v>
      </c>
      <c r="IL294" s="2133" t="str">
        <f t="shared" si="70"/>
        <v>--</v>
      </c>
      <c r="IM294" s="2133" t="str">
        <f t="shared" si="70"/>
        <v>--</v>
      </c>
      <c r="IN294" s="2133" t="str">
        <f t="shared" si="70"/>
        <v>--</v>
      </c>
      <c r="IO294" s="2133" t="str">
        <f t="shared" si="70"/>
        <v>--</v>
      </c>
      <c r="IP294" s="2133" t="str">
        <f t="shared" si="70"/>
        <v>--</v>
      </c>
      <c r="IQ294" s="2133" t="str">
        <f t="shared" si="70"/>
        <v>--</v>
      </c>
      <c r="IR294" s="2133" t="str">
        <f t="shared" si="70"/>
        <v>--</v>
      </c>
      <c r="IS294" s="2133" t="str">
        <f t="shared" si="70"/>
        <v>--</v>
      </c>
      <c r="IT294" s="2133" t="str">
        <f t="shared" si="70"/>
        <v>--</v>
      </c>
      <c r="IU294" s="2133" t="str">
        <f t="shared" si="70"/>
        <v>--</v>
      </c>
      <c r="IV294" s="2133" t="str">
        <f t="shared" si="70"/>
        <v>--</v>
      </c>
      <c r="IW294" s="2133" t="str">
        <f t="shared" si="70"/>
        <v>--</v>
      </c>
      <c r="IX294" s="2133" t="str">
        <f t="shared" si="70"/>
        <v>--</v>
      </c>
      <c r="IY294" s="2133" t="str">
        <f t="shared" si="70"/>
        <v>--</v>
      </c>
      <c r="IZ294" s="2133" t="str">
        <f t="shared" si="70"/>
        <v>--</v>
      </c>
      <c r="JA294" s="2133" t="str">
        <f t="shared" si="70"/>
        <v>--</v>
      </c>
      <c r="JB294" s="2133" t="str">
        <f t="shared" si="70"/>
        <v>--</v>
      </c>
      <c r="JC294" s="2133" t="str">
        <f t="shared" si="70"/>
        <v>--</v>
      </c>
      <c r="JD294" s="2133" t="str">
        <f t="shared" si="70"/>
        <v>--</v>
      </c>
      <c r="JE294" s="2133" t="str">
        <f t="shared" si="70"/>
        <v>--</v>
      </c>
      <c r="JF294" s="2133" t="str">
        <f t="shared" si="70"/>
        <v>--</v>
      </c>
      <c r="JG294" s="2133" t="str">
        <f t="shared" si="70"/>
        <v>--</v>
      </c>
      <c r="JH294" s="2133" t="str">
        <f t="shared" si="70"/>
        <v>--</v>
      </c>
      <c r="JI294" s="2133" t="str">
        <f t="shared" si="70"/>
        <v>--</v>
      </c>
      <c r="JJ294" s="2133" t="str">
        <f t="shared" si="70"/>
        <v>--</v>
      </c>
      <c r="JK294" s="2133" t="str">
        <f t="shared" si="70"/>
        <v>--</v>
      </c>
      <c r="JL294" s="2133" t="str">
        <f t="shared" si="70"/>
        <v>--</v>
      </c>
      <c r="JM294" s="2133" t="str">
        <f t="shared" si="70"/>
        <v>--</v>
      </c>
      <c r="JN294" s="2133" t="str">
        <f t="shared" si="70"/>
        <v>--</v>
      </c>
      <c r="JO294" s="2133" t="str">
        <f t="shared" si="70"/>
        <v>--</v>
      </c>
      <c r="JP294" s="2133" t="str">
        <f t="shared" si="70"/>
        <v>--</v>
      </c>
      <c r="JQ294" s="2133" t="str">
        <f t="shared" si="70"/>
        <v>--</v>
      </c>
      <c r="JR294" s="2133" t="str">
        <f t="shared" si="56"/>
        <v>--</v>
      </c>
      <c r="JS294" s="2133" t="str">
        <f t="shared" si="56"/>
        <v>--</v>
      </c>
      <c r="JT294" s="2133" t="str">
        <f t="shared" si="56"/>
        <v>--</v>
      </c>
      <c r="JU294" s="2133" t="str">
        <f t="shared" si="56"/>
        <v>--</v>
      </c>
      <c r="JV294" s="2133" t="str">
        <f t="shared" si="56"/>
        <v>--</v>
      </c>
      <c r="JW294" s="2133" t="str">
        <f t="shared" si="56"/>
        <v>--</v>
      </c>
      <c r="JX294" s="2133" t="str">
        <f t="shared" si="56"/>
        <v>--</v>
      </c>
      <c r="JY294" s="2133" t="str">
        <f t="shared" si="56"/>
        <v>--</v>
      </c>
      <c r="JZ294" s="2133" t="str">
        <f t="shared" si="56"/>
        <v>--</v>
      </c>
      <c r="KA294" s="2133" t="str">
        <f t="shared" si="56"/>
        <v>--</v>
      </c>
      <c r="KB294" s="2133" t="str">
        <f t="shared" si="56"/>
        <v>--</v>
      </c>
    </row>
    <row r="295" spans="1:288" s="89" customFormat="1" ht="13.9">
      <c r="A295" s="269" t="str">
        <f t="shared" si="58"/>
        <v>n</v>
      </c>
      <c r="B295" s="2060"/>
      <c r="D295" s="801"/>
      <c r="E295" s="1505">
        <v>10</v>
      </c>
      <c r="F295" s="21" t="str">
        <f>F$138</f>
        <v>--</v>
      </c>
      <c r="G295" s="1441">
        <f>G$138</f>
        <v>0</v>
      </c>
      <c r="H295" s="1441" t="str">
        <f>H$138</f>
        <v>--</v>
      </c>
      <c r="I295" s="89" t="s">
        <v>786</v>
      </c>
      <c r="K295" s="2301" t="str">
        <f>IF(OR(K201=0,$G295=0),"--",IFERROR(_xll.ciqfunctions.udf.CIQ($G295,$I295,K109,Valuation_Date_GC,ReportType,DataMode,$H295,FXMode)*Scale,"--"))</f>
        <v>--</v>
      </c>
      <c r="L295" s="2301" t="str">
        <f>IF(OR(L201=0,$G295=0),"--",IFERROR(_xll.ciqfunctions.udf.CIQ($G295,$I295,L109,Valuation_Date_GC,ReportType,DataMode,$H295,FXMode)*Scale,"--"))</f>
        <v>--</v>
      </c>
      <c r="M295" s="2301" t="str">
        <f>IF(OR(M201=0,$G295=0),"--",IFERROR(_xll.ciqfunctions.udf.CIQ($G295,$I295,M109,Valuation_Date_GC,ReportType,DataMode,$H295,FXMode)*Scale,"--"))</f>
        <v>--</v>
      </c>
      <c r="N295" s="2301" t="str">
        <f>IF(OR(N201=0,$G295=0),"--",IFERROR(_xll.ciqfunctions.udf.CIQ($G295,$I295,N109,Valuation_Date_GC,ReportType,DataMode,$H295,FXMode)*Scale,"--"))</f>
        <v>--</v>
      </c>
      <c r="O295" s="1471" t="str">
        <f>IF(OR(O201=0,$G295=0),"--",IFERROR(_xll.ciqfunctions.udf.CIQ($G295,$I295,O109,Valuation_Date_GC,ReportType,DataMode,$H295,FXMode)*Scale,"--"))</f>
        <v>--</v>
      </c>
      <c r="P295" s="2301" t="str">
        <f>IF(OR(P201=0,$G295=0),"--",IFERROR(_xll.ciqfunctions.udf.CIQ($G295,$I295,P109,Valuation_Date_GC,ReportType,DataMode,$H295,FXMode)*Scale,"--"))</f>
        <v>--</v>
      </c>
      <c r="R295" s="255"/>
      <c r="S295" s="1958" t="str">
        <f t="shared" si="51"/>
        <v>--</v>
      </c>
      <c r="T295" s="1779" t="s">
        <v>787</v>
      </c>
      <c r="U295" s="2133" t="str">
        <f t="shared" si="57"/>
        <v>--</v>
      </c>
      <c r="V295" s="2133" t="str">
        <f t="shared" si="57"/>
        <v>--</v>
      </c>
      <c r="W295" s="2133" t="str">
        <f t="shared" si="57"/>
        <v>--</v>
      </c>
      <c r="X295" s="2133" t="str">
        <f t="shared" si="57"/>
        <v>--</v>
      </c>
      <c r="Y295" s="2133" t="str">
        <f t="shared" si="57"/>
        <v>--</v>
      </c>
      <c r="Z295" s="2133" t="str">
        <f t="shared" si="57"/>
        <v>--</v>
      </c>
      <c r="AA295" s="2133" t="str">
        <f t="shared" si="57"/>
        <v>--</v>
      </c>
      <c r="AB295" s="2133" t="str">
        <f t="shared" si="57"/>
        <v>--</v>
      </c>
      <c r="AC295" s="2133" t="str">
        <f t="shared" si="57"/>
        <v>--</v>
      </c>
      <c r="AD295" s="2133" t="str">
        <f t="shared" si="57"/>
        <v>--</v>
      </c>
      <c r="AE295" s="2133" t="str">
        <f t="shared" si="57"/>
        <v>--</v>
      </c>
      <c r="AF295" s="2133" t="str">
        <f t="shared" si="57"/>
        <v>--</v>
      </c>
      <c r="AG295" s="2133" t="str">
        <f t="shared" si="57"/>
        <v>--</v>
      </c>
      <c r="AH295" s="2133" t="str">
        <f t="shared" si="57"/>
        <v>--</v>
      </c>
      <c r="AI295" s="2133" t="str">
        <f t="shared" si="57"/>
        <v>--</v>
      </c>
      <c r="AJ295" s="2133" t="str">
        <f t="shared" si="57"/>
        <v>--</v>
      </c>
      <c r="AK295" s="2133" t="str">
        <f t="shared" si="71"/>
        <v>--</v>
      </c>
      <c r="AL295" s="2133" t="str">
        <f t="shared" si="71"/>
        <v>--</v>
      </c>
      <c r="AM295" s="2133" t="str">
        <f t="shared" si="71"/>
        <v>--</v>
      </c>
      <c r="AN295" s="2133" t="str">
        <f t="shared" si="71"/>
        <v>--</v>
      </c>
      <c r="AO295" s="2133" t="str">
        <f t="shared" si="71"/>
        <v>--</v>
      </c>
      <c r="AP295" s="2133" t="str">
        <f t="shared" si="71"/>
        <v>--</v>
      </c>
      <c r="AQ295" s="2133" t="str">
        <f t="shared" si="71"/>
        <v>--</v>
      </c>
      <c r="AR295" s="2133" t="str">
        <f t="shared" si="71"/>
        <v>--</v>
      </c>
      <c r="AS295" s="2133" t="str">
        <f t="shared" si="71"/>
        <v>--</v>
      </c>
      <c r="AT295" s="2133" t="str">
        <f t="shared" si="71"/>
        <v>--</v>
      </c>
      <c r="AU295" s="2133" t="str">
        <f t="shared" si="71"/>
        <v>--</v>
      </c>
      <c r="AV295" s="2133" t="str">
        <f t="shared" si="71"/>
        <v>--</v>
      </c>
      <c r="AW295" s="2133" t="str">
        <f t="shared" si="71"/>
        <v>--</v>
      </c>
      <c r="AX295" s="2133" t="str">
        <f t="shared" si="71"/>
        <v>--</v>
      </c>
      <c r="AY295" s="2133" t="str">
        <f t="shared" si="71"/>
        <v>--</v>
      </c>
      <c r="AZ295" s="2133" t="str">
        <f t="shared" si="71"/>
        <v>--</v>
      </c>
      <c r="BA295" s="2133" t="str">
        <f t="shared" si="71"/>
        <v>--</v>
      </c>
      <c r="BB295" s="2133" t="str">
        <f t="shared" si="71"/>
        <v>--</v>
      </c>
      <c r="BC295" s="2133" t="str">
        <f t="shared" si="71"/>
        <v>--</v>
      </c>
      <c r="BD295" s="2133" t="str">
        <f t="shared" si="71"/>
        <v>--</v>
      </c>
      <c r="BE295" s="2133" t="str">
        <f t="shared" si="71"/>
        <v>--</v>
      </c>
      <c r="BF295" s="2133" t="str">
        <f t="shared" si="71"/>
        <v>--</v>
      </c>
      <c r="BG295" s="2133" t="str">
        <f t="shared" si="71"/>
        <v>--</v>
      </c>
      <c r="BH295" s="2133" t="str">
        <f t="shared" si="71"/>
        <v>--</v>
      </c>
      <c r="BI295" s="2133" t="str">
        <f t="shared" si="71"/>
        <v>--</v>
      </c>
      <c r="BJ295" s="2133" t="str">
        <f t="shared" si="71"/>
        <v>--</v>
      </c>
      <c r="BK295" s="2133" t="str">
        <f t="shared" si="71"/>
        <v>--</v>
      </c>
      <c r="BL295" s="2133" t="str">
        <f t="shared" si="71"/>
        <v>--</v>
      </c>
      <c r="BM295" s="2133" t="str">
        <f t="shared" si="71"/>
        <v>--</v>
      </c>
      <c r="BN295" s="2133" t="str">
        <f t="shared" si="71"/>
        <v>--</v>
      </c>
      <c r="BO295" s="2133" t="str">
        <f t="shared" si="71"/>
        <v>--</v>
      </c>
      <c r="BP295" s="2133" t="str">
        <f t="shared" si="71"/>
        <v>--</v>
      </c>
      <c r="BQ295" s="2133" t="str">
        <f t="shared" si="71"/>
        <v>--</v>
      </c>
      <c r="BR295" s="2133" t="str">
        <f t="shared" si="71"/>
        <v>--</v>
      </c>
      <c r="BS295" s="2133" t="str">
        <f t="shared" si="71"/>
        <v>--</v>
      </c>
      <c r="BT295" s="2133" t="str">
        <f t="shared" si="71"/>
        <v>--</v>
      </c>
      <c r="BU295" s="2133" t="str">
        <f t="shared" si="71"/>
        <v>--</v>
      </c>
      <c r="BV295" s="2133" t="str">
        <f t="shared" si="71"/>
        <v>--</v>
      </c>
      <c r="BW295" s="2133" t="str">
        <f t="shared" si="71"/>
        <v>--</v>
      </c>
      <c r="BX295" s="2133" t="str">
        <f t="shared" si="71"/>
        <v>--</v>
      </c>
      <c r="BY295" s="2133" t="str">
        <f t="shared" si="71"/>
        <v>--</v>
      </c>
      <c r="BZ295" s="2133" t="str">
        <f t="shared" si="71"/>
        <v>--</v>
      </c>
      <c r="CA295" s="2133" t="str">
        <f t="shared" si="71"/>
        <v>--</v>
      </c>
      <c r="CB295" s="2133" t="str">
        <f t="shared" si="71"/>
        <v>--</v>
      </c>
      <c r="CC295" s="2133" t="str">
        <f t="shared" si="71"/>
        <v>--</v>
      </c>
      <c r="CD295" s="2133" t="str">
        <f t="shared" si="71"/>
        <v>--</v>
      </c>
      <c r="CE295" s="2133" t="str">
        <f t="shared" si="71"/>
        <v>--</v>
      </c>
      <c r="CF295" s="2133" t="str">
        <f t="shared" si="71"/>
        <v>--</v>
      </c>
      <c r="CG295" s="2133" t="str">
        <f t="shared" si="71"/>
        <v>--</v>
      </c>
      <c r="CH295" s="2133" t="str">
        <f t="shared" si="71"/>
        <v>--</v>
      </c>
      <c r="CI295" s="2133" t="str">
        <f t="shared" si="71"/>
        <v>--</v>
      </c>
      <c r="CJ295" s="2133" t="str">
        <f t="shared" si="71"/>
        <v>--</v>
      </c>
      <c r="CK295" s="2133" t="str">
        <f t="shared" si="71"/>
        <v>--</v>
      </c>
      <c r="CL295" s="2133" t="str">
        <f t="shared" si="71"/>
        <v>--</v>
      </c>
      <c r="CM295" s="2133" t="str">
        <f t="shared" si="71"/>
        <v>--</v>
      </c>
      <c r="CN295" s="2133" t="str">
        <f t="shared" si="71"/>
        <v>--</v>
      </c>
      <c r="CO295" s="2133" t="str">
        <f t="shared" si="71"/>
        <v>--</v>
      </c>
      <c r="CP295" s="2133" t="str">
        <f t="shared" si="71"/>
        <v>--</v>
      </c>
      <c r="CQ295" s="2133" t="str">
        <f t="shared" si="71"/>
        <v>--</v>
      </c>
      <c r="CR295" s="2133" t="str">
        <f t="shared" si="71"/>
        <v>--</v>
      </c>
      <c r="CS295" s="2133" t="str">
        <f t="shared" si="71"/>
        <v>--</v>
      </c>
      <c r="CT295" s="2133" t="str">
        <f t="shared" si="71"/>
        <v>--</v>
      </c>
      <c r="CU295" s="2133" t="str">
        <f t="shared" si="71"/>
        <v>--</v>
      </c>
      <c r="CV295" s="2133" t="str">
        <f t="shared" si="71"/>
        <v>--</v>
      </c>
      <c r="CW295" s="2133" t="str">
        <f t="shared" si="68"/>
        <v>--</v>
      </c>
      <c r="CX295" s="2133" t="str">
        <f t="shared" si="68"/>
        <v>--</v>
      </c>
      <c r="CY295" s="2133" t="str">
        <f t="shared" si="68"/>
        <v>--</v>
      </c>
      <c r="CZ295" s="2133" t="str">
        <f t="shared" si="68"/>
        <v>--</v>
      </c>
      <c r="DA295" s="2133" t="str">
        <f t="shared" si="68"/>
        <v>--</v>
      </c>
      <c r="DB295" s="2133" t="str">
        <f t="shared" si="68"/>
        <v>--</v>
      </c>
      <c r="DC295" s="2133" t="str">
        <f t="shared" si="68"/>
        <v>--</v>
      </c>
      <c r="DD295" s="2133" t="str">
        <f t="shared" si="68"/>
        <v>--</v>
      </c>
      <c r="DE295" s="2133" t="str">
        <f t="shared" si="68"/>
        <v>--</v>
      </c>
      <c r="DF295" s="2133" t="str">
        <f t="shared" si="68"/>
        <v>--</v>
      </c>
      <c r="DG295" s="2133" t="str">
        <f t="shared" si="68"/>
        <v>--</v>
      </c>
      <c r="DH295" s="2133" t="str">
        <f t="shared" si="68"/>
        <v>--</v>
      </c>
      <c r="DI295" s="2133" t="str">
        <f t="shared" si="68"/>
        <v>--</v>
      </c>
      <c r="DJ295" s="2133" t="str">
        <f t="shared" si="68"/>
        <v>--</v>
      </c>
      <c r="DK295" s="2133" t="str">
        <f t="shared" si="68"/>
        <v>--</v>
      </c>
      <c r="DL295" s="2133" t="str">
        <f t="shared" si="68"/>
        <v>--</v>
      </c>
      <c r="DM295" s="2133" t="str">
        <f t="shared" si="68"/>
        <v>--</v>
      </c>
      <c r="DN295" s="2133" t="str">
        <f t="shared" si="68"/>
        <v>--</v>
      </c>
      <c r="DO295" s="2133" t="str">
        <f t="shared" si="68"/>
        <v>--</v>
      </c>
      <c r="DP295" s="2133" t="str">
        <f t="shared" si="68"/>
        <v>--</v>
      </c>
      <c r="DQ295" s="2133" t="str">
        <f t="shared" si="68"/>
        <v>--</v>
      </c>
      <c r="DR295" s="2133" t="str">
        <f t="shared" si="68"/>
        <v>--</v>
      </c>
      <c r="DS295" s="2133" t="str">
        <f t="shared" si="68"/>
        <v>--</v>
      </c>
      <c r="DT295" s="2133" t="str">
        <f t="shared" si="68"/>
        <v>--</v>
      </c>
      <c r="DU295" s="2133" t="str">
        <f t="shared" si="68"/>
        <v>--</v>
      </c>
      <c r="DV295" s="2133" t="str">
        <f t="shared" si="68"/>
        <v>--</v>
      </c>
      <c r="DW295" s="2133" t="str">
        <f t="shared" si="68"/>
        <v>--</v>
      </c>
      <c r="DX295" s="2133" t="str">
        <f t="shared" si="68"/>
        <v>--</v>
      </c>
      <c r="DY295" s="2133" t="str">
        <f t="shared" si="68"/>
        <v>--</v>
      </c>
      <c r="DZ295" s="2133" t="str">
        <f t="shared" si="68"/>
        <v>--</v>
      </c>
      <c r="EA295" s="2133" t="str">
        <f t="shared" si="68"/>
        <v>--</v>
      </c>
      <c r="EB295" s="2133" t="str">
        <f t="shared" si="68"/>
        <v>--</v>
      </c>
      <c r="EC295" s="2133" t="str">
        <f t="shared" si="68"/>
        <v>--</v>
      </c>
      <c r="ED295" s="2133" t="str">
        <f t="shared" si="68"/>
        <v>--</v>
      </c>
      <c r="EE295" s="2133" t="str">
        <f t="shared" si="68"/>
        <v>--</v>
      </c>
      <c r="EF295" s="2133" t="str">
        <f t="shared" si="68"/>
        <v>--</v>
      </c>
      <c r="EG295" s="2133" t="str">
        <f t="shared" si="68"/>
        <v>--</v>
      </c>
      <c r="EH295" s="2133" t="str">
        <f t="shared" si="68"/>
        <v>--</v>
      </c>
      <c r="EI295" s="2133" t="str">
        <f t="shared" si="68"/>
        <v>--</v>
      </c>
      <c r="EJ295" s="2133" t="str">
        <f t="shared" si="68"/>
        <v>--</v>
      </c>
      <c r="EK295" s="2133" t="str">
        <f t="shared" si="68"/>
        <v>--</v>
      </c>
      <c r="EL295" s="2133" t="str">
        <f t="shared" si="68"/>
        <v>--</v>
      </c>
      <c r="EM295" s="2133" t="str">
        <f t="shared" si="68"/>
        <v>--</v>
      </c>
      <c r="EN295" s="2133" t="str">
        <f t="shared" si="68"/>
        <v>--</v>
      </c>
      <c r="EO295" s="2133" t="str">
        <f t="shared" si="68"/>
        <v>--</v>
      </c>
      <c r="EP295" s="2133" t="str">
        <f t="shared" si="68"/>
        <v>--</v>
      </c>
      <c r="EQ295" s="2133" t="str">
        <f t="shared" si="68"/>
        <v>--</v>
      </c>
      <c r="ER295" s="2133" t="str">
        <f t="shared" si="68"/>
        <v>--</v>
      </c>
      <c r="ES295" s="2133" t="str">
        <f t="shared" si="68"/>
        <v>--</v>
      </c>
      <c r="ET295" s="2133" t="str">
        <f t="shared" ref="ET295:FH295" si="78">IFERROR(ET233/ET264,"--")</f>
        <v>--</v>
      </c>
      <c r="EU295" s="2133" t="str">
        <f t="shared" si="78"/>
        <v>--</v>
      </c>
      <c r="EV295" s="2133" t="str">
        <f t="shared" si="78"/>
        <v>--</v>
      </c>
      <c r="EW295" s="2133" t="str">
        <f t="shared" si="78"/>
        <v>--</v>
      </c>
      <c r="EX295" s="2133" t="str">
        <f t="shared" si="78"/>
        <v>--</v>
      </c>
      <c r="EY295" s="2133" t="str">
        <f t="shared" si="78"/>
        <v>--</v>
      </c>
      <c r="EZ295" s="2133" t="str">
        <f t="shared" si="78"/>
        <v>--</v>
      </c>
      <c r="FA295" s="2133" t="str">
        <f t="shared" si="78"/>
        <v>--</v>
      </c>
      <c r="FB295" s="2133" t="str">
        <f t="shared" si="78"/>
        <v>--</v>
      </c>
      <c r="FC295" s="2133" t="str">
        <f t="shared" si="78"/>
        <v>--</v>
      </c>
      <c r="FD295" s="2133" t="str">
        <f t="shared" si="78"/>
        <v>--</v>
      </c>
      <c r="FE295" s="2133" t="str">
        <f t="shared" si="78"/>
        <v>--</v>
      </c>
      <c r="FF295" s="2133" t="str">
        <f t="shared" si="78"/>
        <v>--</v>
      </c>
      <c r="FG295" s="2133" t="str">
        <f t="shared" si="78"/>
        <v>--</v>
      </c>
      <c r="FH295" s="2133" t="str">
        <f t="shared" si="78"/>
        <v>--</v>
      </c>
      <c r="FI295" s="2133" t="str">
        <f t="shared" ref="FI295:GN295" si="79">IFERROR(FI233/FI264,"--")</f>
        <v>--</v>
      </c>
      <c r="FJ295" s="2133" t="str">
        <f t="shared" si="79"/>
        <v>--</v>
      </c>
      <c r="FK295" s="2133" t="str">
        <f t="shared" si="79"/>
        <v>--</v>
      </c>
      <c r="FL295" s="2133" t="str">
        <f t="shared" si="79"/>
        <v>--</v>
      </c>
      <c r="FM295" s="2133" t="str">
        <f t="shared" si="79"/>
        <v>--</v>
      </c>
      <c r="FN295" s="2133" t="str">
        <f t="shared" si="79"/>
        <v>--</v>
      </c>
      <c r="FO295" s="2133" t="str">
        <f t="shared" si="79"/>
        <v>--</v>
      </c>
      <c r="FP295" s="2133" t="str">
        <f t="shared" si="79"/>
        <v>--</v>
      </c>
      <c r="FQ295" s="2133" t="str">
        <f t="shared" si="79"/>
        <v>--</v>
      </c>
      <c r="FR295" s="2133" t="str">
        <f t="shared" si="79"/>
        <v>--</v>
      </c>
      <c r="FS295" s="2133" t="str">
        <f t="shared" si="79"/>
        <v>--</v>
      </c>
      <c r="FT295" s="2133" t="str">
        <f t="shared" si="79"/>
        <v>--</v>
      </c>
      <c r="FU295" s="2133" t="str">
        <f t="shared" si="79"/>
        <v>--</v>
      </c>
      <c r="FV295" s="2133" t="str">
        <f t="shared" si="79"/>
        <v>--</v>
      </c>
      <c r="FW295" s="2133" t="str">
        <f t="shared" si="79"/>
        <v>--</v>
      </c>
      <c r="FX295" s="2133" t="str">
        <f t="shared" si="79"/>
        <v>--</v>
      </c>
      <c r="FY295" s="2133" t="str">
        <f t="shared" si="79"/>
        <v>--</v>
      </c>
      <c r="FZ295" s="2133" t="str">
        <f t="shared" si="79"/>
        <v>--</v>
      </c>
      <c r="GA295" s="2133" t="str">
        <f t="shared" si="79"/>
        <v>--</v>
      </c>
      <c r="GB295" s="2133" t="str">
        <f t="shared" si="79"/>
        <v>--</v>
      </c>
      <c r="GC295" s="2133" t="str">
        <f t="shared" si="79"/>
        <v>--</v>
      </c>
      <c r="GD295" s="2133" t="str">
        <f t="shared" si="79"/>
        <v>--</v>
      </c>
      <c r="GE295" s="2133" t="str">
        <f t="shared" si="79"/>
        <v>--</v>
      </c>
      <c r="GF295" s="2133" t="str">
        <f t="shared" si="79"/>
        <v>--</v>
      </c>
      <c r="GG295" s="2133" t="str">
        <f t="shared" si="79"/>
        <v>--</v>
      </c>
      <c r="GH295" s="2133" t="str">
        <f t="shared" si="79"/>
        <v>--</v>
      </c>
      <c r="GI295" s="2133" t="str">
        <f t="shared" si="79"/>
        <v>--</v>
      </c>
      <c r="GJ295" s="2133" t="str">
        <f t="shared" si="79"/>
        <v>--</v>
      </c>
      <c r="GK295" s="2133" t="str">
        <f t="shared" si="79"/>
        <v>--</v>
      </c>
      <c r="GL295" s="2133" t="str">
        <f t="shared" si="79"/>
        <v>--</v>
      </c>
      <c r="GM295" s="2133" t="str">
        <f t="shared" si="79"/>
        <v>--</v>
      </c>
      <c r="GN295" s="2133" t="str">
        <f t="shared" si="79"/>
        <v>--</v>
      </c>
      <c r="GO295" s="2133" t="str">
        <f t="shared" ref="GO295:HT295" si="80">IFERROR(GO233/GO264,"--")</f>
        <v>--</v>
      </c>
      <c r="GP295" s="2133" t="str">
        <f t="shared" si="80"/>
        <v>--</v>
      </c>
      <c r="GQ295" s="2133" t="str">
        <f t="shared" si="80"/>
        <v>--</v>
      </c>
      <c r="GR295" s="2133" t="str">
        <f t="shared" si="80"/>
        <v>--</v>
      </c>
      <c r="GS295" s="2133" t="str">
        <f t="shared" si="80"/>
        <v>--</v>
      </c>
      <c r="GT295" s="2133" t="str">
        <f t="shared" si="80"/>
        <v>--</v>
      </c>
      <c r="GU295" s="2133" t="str">
        <f t="shared" si="80"/>
        <v>--</v>
      </c>
      <c r="GV295" s="2133" t="str">
        <f t="shared" si="80"/>
        <v>--</v>
      </c>
      <c r="GW295" s="2133" t="str">
        <f t="shared" si="80"/>
        <v>--</v>
      </c>
      <c r="GX295" s="2133" t="str">
        <f t="shared" si="80"/>
        <v>--</v>
      </c>
      <c r="GY295" s="2133" t="str">
        <f t="shared" si="80"/>
        <v>--</v>
      </c>
      <c r="GZ295" s="2133" t="str">
        <f t="shared" si="80"/>
        <v>--</v>
      </c>
      <c r="HA295" s="2133" t="str">
        <f t="shared" si="80"/>
        <v>--</v>
      </c>
      <c r="HB295" s="2133" t="str">
        <f t="shared" si="80"/>
        <v>--</v>
      </c>
      <c r="HC295" s="2133" t="str">
        <f t="shared" si="80"/>
        <v>--</v>
      </c>
      <c r="HD295" s="2133" t="str">
        <f t="shared" si="80"/>
        <v>--</v>
      </c>
      <c r="HE295" s="2133" t="str">
        <f t="shared" si="80"/>
        <v>--</v>
      </c>
      <c r="HF295" s="2133" t="str">
        <f t="shared" si="80"/>
        <v>--</v>
      </c>
      <c r="HG295" s="2133" t="str">
        <f t="shared" si="80"/>
        <v>--</v>
      </c>
      <c r="HH295" s="2133" t="str">
        <f t="shared" si="80"/>
        <v>--</v>
      </c>
      <c r="HI295" s="2133" t="str">
        <f t="shared" si="80"/>
        <v>--</v>
      </c>
      <c r="HJ295" s="2133" t="str">
        <f t="shared" si="80"/>
        <v>--</v>
      </c>
      <c r="HK295" s="2133" t="str">
        <f t="shared" si="80"/>
        <v>--</v>
      </c>
      <c r="HL295" s="2133" t="str">
        <f t="shared" si="80"/>
        <v>--</v>
      </c>
      <c r="HM295" s="2133" t="str">
        <f t="shared" si="80"/>
        <v>--</v>
      </c>
      <c r="HN295" s="2133" t="str">
        <f t="shared" si="80"/>
        <v>--</v>
      </c>
      <c r="HO295" s="2133" t="str">
        <f t="shared" si="80"/>
        <v>--</v>
      </c>
      <c r="HP295" s="2133" t="str">
        <f t="shared" si="80"/>
        <v>--</v>
      </c>
      <c r="HQ295" s="2133" t="str">
        <f t="shared" si="80"/>
        <v>--</v>
      </c>
      <c r="HR295" s="2133" t="str">
        <f t="shared" si="80"/>
        <v>--</v>
      </c>
      <c r="HS295" s="2133" t="str">
        <f t="shared" si="80"/>
        <v>--</v>
      </c>
      <c r="HT295" s="2133" t="str">
        <f t="shared" si="80"/>
        <v>--</v>
      </c>
      <c r="HU295" s="2133" t="str">
        <f t="shared" si="70"/>
        <v>--</v>
      </c>
      <c r="HV295" s="2133" t="str">
        <f t="shared" si="70"/>
        <v>--</v>
      </c>
      <c r="HW295" s="2133" t="str">
        <f t="shared" si="70"/>
        <v>--</v>
      </c>
      <c r="HX295" s="2133" t="str">
        <f t="shared" si="70"/>
        <v>--</v>
      </c>
      <c r="HY295" s="2133" t="str">
        <f t="shared" si="70"/>
        <v>--</v>
      </c>
      <c r="HZ295" s="2133" t="str">
        <f t="shared" si="70"/>
        <v>--</v>
      </c>
      <c r="IA295" s="2133" t="str">
        <f t="shared" si="70"/>
        <v>--</v>
      </c>
      <c r="IB295" s="2133" t="str">
        <f t="shared" si="70"/>
        <v>--</v>
      </c>
      <c r="IC295" s="2133" t="str">
        <f t="shared" si="70"/>
        <v>--</v>
      </c>
      <c r="ID295" s="2133" t="str">
        <f t="shared" si="70"/>
        <v>--</v>
      </c>
      <c r="IE295" s="2133" t="str">
        <f t="shared" si="70"/>
        <v>--</v>
      </c>
      <c r="IF295" s="2133" t="str">
        <f t="shared" si="70"/>
        <v>--</v>
      </c>
      <c r="IG295" s="2133" t="str">
        <f t="shared" si="70"/>
        <v>--</v>
      </c>
      <c r="IH295" s="2133" t="str">
        <f t="shared" si="70"/>
        <v>--</v>
      </c>
      <c r="II295" s="2133" t="str">
        <f t="shared" si="70"/>
        <v>--</v>
      </c>
      <c r="IJ295" s="2133" t="str">
        <f t="shared" si="70"/>
        <v>--</v>
      </c>
      <c r="IK295" s="2133" t="str">
        <f t="shared" si="70"/>
        <v>--</v>
      </c>
      <c r="IL295" s="2133" t="str">
        <f t="shared" si="70"/>
        <v>--</v>
      </c>
      <c r="IM295" s="2133" t="str">
        <f t="shared" si="70"/>
        <v>--</v>
      </c>
      <c r="IN295" s="2133" t="str">
        <f t="shared" si="70"/>
        <v>--</v>
      </c>
      <c r="IO295" s="2133" t="str">
        <f t="shared" si="70"/>
        <v>--</v>
      </c>
      <c r="IP295" s="2133" t="str">
        <f t="shared" si="70"/>
        <v>--</v>
      </c>
      <c r="IQ295" s="2133" t="str">
        <f t="shared" si="70"/>
        <v>--</v>
      </c>
      <c r="IR295" s="2133" t="str">
        <f t="shared" si="70"/>
        <v>--</v>
      </c>
      <c r="IS295" s="2133" t="str">
        <f t="shared" si="70"/>
        <v>--</v>
      </c>
      <c r="IT295" s="2133" t="str">
        <f t="shared" si="70"/>
        <v>--</v>
      </c>
      <c r="IU295" s="2133" t="str">
        <f t="shared" si="70"/>
        <v>--</v>
      </c>
      <c r="IV295" s="2133" t="str">
        <f t="shared" si="70"/>
        <v>--</v>
      </c>
      <c r="IW295" s="2133" t="str">
        <f t="shared" si="70"/>
        <v>--</v>
      </c>
      <c r="IX295" s="2133" t="str">
        <f t="shared" si="70"/>
        <v>--</v>
      </c>
      <c r="IY295" s="2133" t="str">
        <f t="shared" si="70"/>
        <v>--</v>
      </c>
      <c r="IZ295" s="2133" t="str">
        <f t="shared" si="70"/>
        <v>--</v>
      </c>
      <c r="JA295" s="2133" t="str">
        <f t="shared" si="70"/>
        <v>--</v>
      </c>
      <c r="JB295" s="2133" t="str">
        <f t="shared" si="70"/>
        <v>--</v>
      </c>
      <c r="JC295" s="2133" t="str">
        <f t="shared" si="70"/>
        <v>--</v>
      </c>
      <c r="JD295" s="2133" t="str">
        <f t="shared" si="70"/>
        <v>--</v>
      </c>
      <c r="JE295" s="2133" t="str">
        <f t="shared" si="70"/>
        <v>--</v>
      </c>
      <c r="JF295" s="2133" t="str">
        <f t="shared" si="70"/>
        <v>--</v>
      </c>
      <c r="JG295" s="2133" t="str">
        <f t="shared" si="70"/>
        <v>--</v>
      </c>
      <c r="JH295" s="2133" t="str">
        <f t="shared" si="70"/>
        <v>--</v>
      </c>
      <c r="JI295" s="2133" t="str">
        <f t="shared" si="70"/>
        <v>--</v>
      </c>
      <c r="JJ295" s="2133" t="str">
        <f t="shared" si="70"/>
        <v>--</v>
      </c>
      <c r="JK295" s="2133" t="str">
        <f t="shared" si="70"/>
        <v>--</v>
      </c>
      <c r="JL295" s="2133" t="str">
        <f t="shared" si="70"/>
        <v>--</v>
      </c>
      <c r="JM295" s="2133" t="str">
        <f t="shared" si="70"/>
        <v>--</v>
      </c>
      <c r="JN295" s="2133" t="str">
        <f t="shared" si="70"/>
        <v>--</v>
      </c>
      <c r="JO295" s="2133" t="str">
        <f t="shared" si="70"/>
        <v>--</v>
      </c>
      <c r="JP295" s="2133" t="str">
        <f t="shared" si="70"/>
        <v>--</v>
      </c>
      <c r="JQ295" s="2133" t="str">
        <f t="shared" si="70"/>
        <v>--</v>
      </c>
      <c r="JR295" s="2133" t="str">
        <f t="shared" si="56"/>
        <v>--</v>
      </c>
      <c r="JS295" s="2133" t="str">
        <f t="shared" si="56"/>
        <v>--</v>
      </c>
      <c r="JT295" s="2133" t="str">
        <f t="shared" si="56"/>
        <v>--</v>
      </c>
      <c r="JU295" s="2133" t="str">
        <f t="shared" si="56"/>
        <v>--</v>
      </c>
      <c r="JV295" s="2133" t="str">
        <f t="shared" si="56"/>
        <v>--</v>
      </c>
      <c r="JW295" s="2133" t="str">
        <f t="shared" si="56"/>
        <v>--</v>
      </c>
      <c r="JX295" s="2133" t="str">
        <f t="shared" si="56"/>
        <v>--</v>
      </c>
      <c r="JY295" s="2133" t="str">
        <f t="shared" si="56"/>
        <v>--</v>
      </c>
      <c r="JZ295" s="2133" t="str">
        <f t="shared" si="56"/>
        <v>--</v>
      </c>
      <c r="KA295" s="2133" t="str">
        <f t="shared" si="56"/>
        <v>--</v>
      </c>
      <c r="KB295" s="2133" t="str">
        <f t="shared" si="56"/>
        <v>--</v>
      </c>
    </row>
    <row r="296" spans="1:288" s="89" customFormat="1" ht="13.9">
      <c r="A296" s="269" t="str">
        <f t="shared" si="58"/>
        <v>n</v>
      </c>
      <c r="B296" s="2060"/>
      <c r="D296" s="801"/>
      <c r="E296" s="1505">
        <v>11</v>
      </c>
      <c r="F296" s="21" t="str">
        <f>F$139</f>
        <v>--</v>
      </c>
      <c r="G296" s="1441">
        <f>G$139</f>
        <v>0</v>
      </c>
      <c r="H296" s="1441" t="str">
        <f>H$139</f>
        <v>--</v>
      </c>
      <c r="I296" s="89" t="s">
        <v>786</v>
      </c>
      <c r="K296" s="2301" t="str">
        <f>IF(OR(K202=0,$G296=0),"--",IFERROR(_xll.ciqfunctions.udf.CIQ($G296,$I296,K110,Valuation_Date_GC,ReportType,DataMode,$H296,FXMode)*Scale,"--"))</f>
        <v>--</v>
      </c>
      <c r="L296" s="2301" t="str">
        <f>IF(OR(L202=0,$G296=0),"--",IFERROR(_xll.ciqfunctions.udf.CIQ($G296,$I296,L110,Valuation_Date_GC,ReportType,DataMode,$H296,FXMode)*Scale,"--"))</f>
        <v>--</v>
      </c>
      <c r="M296" s="2301" t="str">
        <f>IF(OR(M202=0,$G296=0),"--",IFERROR(_xll.ciqfunctions.udf.CIQ($G296,$I296,M110,Valuation_Date_GC,ReportType,DataMode,$H296,FXMode)*Scale,"--"))</f>
        <v>--</v>
      </c>
      <c r="N296" s="2301" t="str">
        <f>IF(OR(N202=0,$G296=0),"--",IFERROR(_xll.ciqfunctions.udf.CIQ($G296,$I296,N110,Valuation_Date_GC,ReportType,DataMode,$H296,FXMode)*Scale,"--"))</f>
        <v>--</v>
      </c>
      <c r="O296" s="1471" t="str">
        <f>IF(OR(O202=0,$G296=0),"--",IFERROR(_xll.ciqfunctions.udf.CIQ($G296,$I296,O110,Valuation_Date_GC,ReportType,DataMode,$H296,FXMode)*Scale,"--"))</f>
        <v>--</v>
      </c>
      <c r="P296" s="2301" t="str">
        <f>IF(OR(P202=0,$G296=0),"--",IFERROR(_xll.ciqfunctions.udf.CIQ($G296,$I296,P110,Valuation_Date_GC,ReportType,DataMode,$H296,FXMode)*Scale,"--"))</f>
        <v>--</v>
      </c>
      <c r="R296" s="255"/>
      <c r="S296" s="1958" t="str">
        <f>IF(SUM(U296:JL296)=0,"--",SUM(U296:JL296))</f>
        <v>--</v>
      </c>
      <c r="T296" s="1779" t="s">
        <v>787</v>
      </c>
      <c r="U296" s="2133" t="str">
        <f t="shared" si="57"/>
        <v>--</v>
      </c>
      <c r="V296" s="2133" t="str">
        <f t="shared" si="57"/>
        <v>--</v>
      </c>
      <c r="W296" s="2133" t="str">
        <f t="shared" si="57"/>
        <v>--</v>
      </c>
      <c r="X296" s="2133" t="str">
        <f t="shared" si="57"/>
        <v>--</v>
      </c>
      <c r="Y296" s="2133" t="str">
        <f t="shared" si="57"/>
        <v>--</v>
      </c>
      <c r="Z296" s="2133" t="str">
        <f t="shared" si="57"/>
        <v>--</v>
      </c>
      <c r="AA296" s="2133" t="str">
        <f t="shared" si="57"/>
        <v>--</v>
      </c>
      <c r="AB296" s="2133" t="str">
        <f t="shared" si="57"/>
        <v>--</v>
      </c>
      <c r="AC296" s="2133" t="str">
        <f t="shared" si="57"/>
        <v>--</v>
      </c>
      <c r="AD296" s="2133" t="str">
        <f t="shared" si="57"/>
        <v>--</v>
      </c>
      <c r="AE296" s="2133" t="str">
        <f t="shared" si="57"/>
        <v>--</v>
      </c>
      <c r="AF296" s="2133" t="str">
        <f t="shared" si="57"/>
        <v>--</v>
      </c>
      <c r="AG296" s="2133" t="str">
        <f t="shared" si="57"/>
        <v>--</v>
      </c>
      <c r="AH296" s="2133" t="str">
        <f t="shared" si="57"/>
        <v>--</v>
      </c>
      <c r="AI296" s="2133" t="str">
        <f t="shared" si="57"/>
        <v>--</v>
      </c>
      <c r="AJ296" s="2133" t="str">
        <f t="shared" si="57"/>
        <v>--</v>
      </c>
      <c r="AK296" s="2133" t="str">
        <f t="shared" si="71"/>
        <v>--</v>
      </c>
      <c r="AL296" s="2133" t="str">
        <f t="shared" si="71"/>
        <v>--</v>
      </c>
      <c r="AM296" s="2133" t="str">
        <f t="shared" si="71"/>
        <v>--</v>
      </c>
      <c r="AN296" s="2133" t="str">
        <f t="shared" si="71"/>
        <v>--</v>
      </c>
      <c r="AO296" s="2133" t="str">
        <f t="shared" si="71"/>
        <v>--</v>
      </c>
      <c r="AP296" s="2133" t="str">
        <f t="shared" si="71"/>
        <v>--</v>
      </c>
      <c r="AQ296" s="2133" t="str">
        <f t="shared" si="71"/>
        <v>--</v>
      </c>
      <c r="AR296" s="2133" t="str">
        <f t="shared" si="71"/>
        <v>--</v>
      </c>
      <c r="AS296" s="2133" t="str">
        <f t="shared" si="71"/>
        <v>--</v>
      </c>
      <c r="AT296" s="2133" t="str">
        <f t="shared" si="71"/>
        <v>--</v>
      </c>
      <c r="AU296" s="2133" t="str">
        <f t="shared" si="71"/>
        <v>--</v>
      </c>
      <c r="AV296" s="2133" t="str">
        <f t="shared" si="71"/>
        <v>--</v>
      </c>
      <c r="AW296" s="2133" t="str">
        <f t="shared" si="71"/>
        <v>--</v>
      </c>
      <c r="AX296" s="2133" t="str">
        <f t="shared" si="71"/>
        <v>--</v>
      </c>
      <c r="AY296" s="2133" t="str">
        <f t="shared" si="71"/>
        <v>--</v>
      </c>
      <c r="AZ296" s="2133" t="str">
        <f t="shared" si="71"/>
        <v>--</v>
      </c>
      <c r="BA296" s="2133" t="str">
        <f t="shared" si="71"/>
        <v>--</v>
      </c>
      <c r="BB296" s="2133" t="str">
        <f t="shared" si="71"/>
        <v>--</v>
      </c>
      <c r="BC296" s="2133" t="str">
        <f t="shared" si="71"/>
        <v>--</v>
      </c>
      <c r="BD296" s="2133" t="str">
        <f t="shared" si="71"/>
        <v>--</v>
      </c>
      <c r="BE296" s="2133" t="str">
        <f t="shared" si="71"/>
        <v>--</v>
      </c>
      <c r="BF296" s="2133" t="str">
        <f t="shared" si="71"/>
        <v>--</v>
      </c>
      <c r="BG296" s="2133" t="str">
        <f t="shared" si="71"/>
        <v>--</v>
      </c>
      <c r="BH296" s="2133" t="str">
        <f t="shared" si="71"/>
        <v>--</v>
      </c>
      <c r="BI296" s="2133" t="str">
        <f t="shared" si="71"/>
        <v>--</v>
      </c>
      <c r="BJ296" s="2133" t="str">
        <f t="shared" si="71"/>
        <v>--</v>
      </c>
      <c r="BK296" s="2133" t="str">
        <f t="shared" si="71"/>
        <v>--</v>
      </c>
      <c r="BL296" s="2133" t="str">
        <f t="shared" si="71"/>
        <v>--</v>
      </c>
      <c r="BM296" s="2133" t="str">
        <f t="shared" si="71"/>
        <v>--</v>
      </c>
      <c r="BN296" s="2133" t="str">
        <f t="shared" si="71"/>
        <v>--</v>
      </c>
      <c r="BO296" s="2133" t="str">
        <f t="shared" si="71"/>
        <v>--</v>
      </c>
      <c r="BP296" s="2133" t="str">
        <f t="shared" si="71"/>
        <v>--</v>
      </c>
      <c r="BQ296" s="2133" t="str">
        <f t="shared" si="71"/>
        <v>--</v>
      </c>
      <c r="BR296" s="2133" t="str">
        <f t="shared" si="71"/>
        <v>--</v>
      </c>
      <c r="BS296" s="2133" t="str">
        <f t="shared" si="71"/>
        <v>--</v>
      </c>
      <c r="BT296" s="2133" t="str">
        <f t="shared" si="71"/>
        <v>--</v>
      </c>
      <c r="BU296" s="2133" t="str">
        <f t="shared" si="71"/>
        <v>--</v>
      </c>
      <c r="BV296" s="2133" t="str">
        <f t="shared" si="71"/>
        <v>--</v>
      </c>
      <c r="BW296" s="2133" t="str">
        <f t="shared" si="71"/>
        <v>--</v>
      </c>
      <c r="BX296" s="2133" t="str">
        <f t="shared" si="71"/>
        <v>--</v>
      </c>
      <c r="BY296" s="2133" t="str">
        <f t="shared" si="71"/>
        <v>--</v>
      </c>
      <c r="BZ296" s="2133" t="str">
        <f t="shared" si="71"/>
        <v>--</v>
      </c>
      <c r="CA296" s="2133" t="str">
        <f t="shared" si="71"/>
        <v>--</v>
      </c>
      <c r="CB296" s="2133" t="str">
        <f t="shared" si="71"/>
        <v>--</v>
      </c>
      <c r="CC296" s="2133" t="str">
        <f t="shared" si="71"/>
        <v>--</v>
      </c>
      <c r="CD296" s="2133" t="str">
        <f t="shared" si="71"/>
        <v>--</v>
      </c>
      <c r="CE296" s="2133" t="str">
        <f t="shared" si="71"/>
        <v>--</v>
      </c>
      <c r="CF296" s="2133" t="str">
        <f t="shared" si="71"/>
        <v>--</v>
      </c>
      <c r="CG296" s="2133" t="str">
        <f t="shared" si="71"/>
        <v>--</v>
      </c>
      <c r="CH296" s="2133" t="str">
        <f t="shared" si="71"/>
        <v>--</v>
      </c>
      <c r="CI296" s="2133" t="str">
        <f t="shared" si="71"/>
        <v>--</v>
      </c>
      <c r="CJ296" s="2133" t="str">
        <f t="shared" si="71"/>
        <v>--</v>
      </c>
      <c r="CK296" s="2133" t="str">
        <f t="shared" si="71"/>
        <v>--</v>
      </c>
      <c r="CL296" s="2133" t="str">
        <f t="shared" si="71"/>
        <v>--</v>
      </c>
      <c r="CM296" s="2133" t="str">
        <f t="shared" si="71"/>
        <v>--</v>
      </c>
      <c r="CN296" s="2133" t="str">
        <f t="shared" si="71"/>
        <v>--</v>
      </c>
      <c r="CO296" s="2133" t="str">
        <f t="shared" si="71"/>
        <v>--</v>
      </c>
      <c r="CP296" s="2133" t="str">
        <f t="shared" si="71"/>
        <v>--</v>
      </c>
      <c r="CQ296" s="2133" t="str">
        <f t="shared" si="71"/>
        <v>--</v>
      </c>
      <c r="CR296" s="2133" t="str">
        <f t="shared" si="71"/>
        <v>--</v>
      </c>
      <c r="CS296" s="2133" t="str">
        <f t="shared" si="71"/>
        <v>--</v>
      </c>
      <c r="CT296" s="2133" t="str">
        <f t="shared" si="71"/>
        <v>--</v>
      </c>
      <c r="CU296" s="2133" t="str">
        <f t="shared" si="71"/>
        <v>--</v>
      </c>
      <c r="CV296" s="2133" t="str">
        <f t="shared" ref="CV296:FG301" si="81">IFERROR(CV234/CV265,"--")</f>
        <v>--</v>
      </c>
      <c r="CW296" s="2133" t="str">
        <f t="shared" si="81"/>
        <v>--</v>
      </c>
      <c r="CX296" s="2133" t="str">
        <f t="shared" si="81"/>
        <v>--</v>
      </c>
      <c r="CY296" s="2133" t="str">
        <f t="shared" si="81"/>
        <v>--</v>
      </c>
      <c r="CZ296" s="2133" t="str">
        <f t="shared" si="81"/>
        <v>--</v>
      </c>
      <c r="DA296" s="2133" t="str">
        <f t="shared" si="81"/>
        <v>--</v>
      </c>
      <c r="DB296" s="2133" t="str">
        <f t="shared" si="81"/>
        <v>--</v>
      </c>
      <c r="DC296" s="2133" t="str">
        <f t="shared" si="81"/>
        <v>--</v>
      </c>
      <c r="DD296" s="2133" t="str">
        <f t="shared" si="81"/>
        <v>--</v>
      </c>
      <c r="DE296" s="2133" t="str">
        <f t="shared" si="81"/>
        <v>--</v>
      </c>
      <c r="DF296" s="2133" t="str">
        <f t="shared" si="81"/>
        <v>--</v>
      </c>
      <c r="DG296" s="2133" t="str">
        <f t="shared" si="81"/>
        <v>--</v>
      </c>
      <c r="DH296" s="2133" t="str">
        <f t="shared" si="81"/>
        <v>--</v>
      </c>
      <c r="DI296" s="2133" t="str">
        <f t="shared" si="81"/>
        <v>--</v>
      </c>
      <c r="DJ296" s="2133" t="str">
        <f t="shared" si="81"/>
        <v>--</v>
      </c>
      <c r="DK296" s="2133" t="str">
        <f t="shared" si="81"/>
        <v>--</v>
      </c>
      <c r="DL296" s="2133" t="str">
        <f t="shared" si="81"/>
        <v>--</v>
      </c>
      <c r="DM296" s="2133" t="str">
        <f t="shared" si="81"/>
        <v>--</v>
      </c>
      <c r="DN296" s="2133" t="str">
        <f t="shared" si="81"/>
        <v>--</v>
      </c>
      <c r="DO296" s="2133" t="str">
        <f t="shared" si="81"/>
        <v>--</v>
      </c>
      <c r="DP296" s="2133" t="str">
        <f t="shared" si="81"/>
        <v>--</v>
      </c>
      <c r="DQ296" s="2133" t="str">
        <f t="shared" si="81"/>
        <v>--</v>
      </c>
      <c r="DR296" s="2133" t="str">
        <f t="shared" si="81"/>
        <v>--</v>
      </c>
      <c r="DS296" s="2133" t="str">
        <f t="shared" si="81"/>
        <v>--</v>
      </c>
      <c r="DT296" s="2133" t="str">
        <f t="shared" si="81"/>
        <v>--</v>
      </c>
      <c r="DU296" s="2133" t="str">
        <f t="shared" si="81"/>
        <v>--</v>
      </c>
      <c r="DV296" s="2133" t="str">
        <f t="shared" si="81"/>
        <v>--</v>
      </c>
      <c r="DW296" s="2133" t="str">
        <f t="shared" si="81"/>
        <v>--</v>
      </c>
      <c r="DX296" s="2133" t="str">
        <f t="shared" si="81"/>
        <v>--</v>
      </c>
      <c r="DY296" s="2133" t="str">
        <f t="shared" si="81"/>
        <v>--</v>
      </c>
      <c r="DZ296" s="2133" t="str">
        <f t="shared" si="81"/>
        <v>--</v>
      </c>
      <c r="EA296" s="2133" t="str">
        <f t="shared" si="81"/>
        <v>--</v>
      </c>
      <c r="EB296" s="2133" t="str">
        <f t="shared" si="81"/>
        <v>--</v>
      </c>
      <c r="EC296" s="2133" t="str">
        <f t="shared" si="81"/>
        <v>--</v>
      </c>
      <c r="ED296" s="2133" t="str">
        <f t="shared" si="81"/>
        <v>--</v>
      </c>
      <c r="EE296" s="2133" t="str">
        <f t="shared" si="81"/>
        <v>--</v>
      </c>
      <c r="EF296" s="2133" t="str">
        <f t="shared" si="81"/>
        <v>--</v>
      </c>
      <c r="EG296" s="2133" t="str">
        <f t="shared" si="81"/>
        <v>--</v>
      </c>
      <c r="EH296" s="2133" t="str">
        <f t="shared" si="81"/>
        <v>--</v>
      </c>
      <c r="EI296" s="2133" t="str">
        <f t="shared" si="81"/>
        <v>--</v>
      </c>
      <c r="EJ296" s="2133" t="str">
        <f t="shared" si="81"/>
        <v>--</v>
      </c>
      <c r="EK296" s="2133" t="str">
        <f t="shared" si="81"/>
        <v>--</v>
      </c>
      <c r="EL296" s="2133" t="str">
        <f t="shared" si="81"/>
        <v>--</v>
      </c>
      <c r="EM296" s="2133" t="str">
        <f t="shared" si="81"/>
        <v>--</v>
      </c>
      <c r="EN296" s="2133" t="str">
        <f t="shared" si="81"/>
        <v>--</v>
      </c>
      <c r="EO296" s="2133" t="str">
        <f t="shared" si="81"/>
        <v>--</v>
      </c>
      <c r="EP296" s="2133" t="str">
        <f t="shared" si="81"/>
        <v>--</v>
      </c>
      <c r="EQ296" s="2133" t="str">
        <f t="shared" si="81"/>
        <v>--</v>
      </c>
      <c r="ER296" s="2133" t="str">
        <f t="shared" si="81"/>
        <v>--</v>
      </c>
      <c r="ES296" s="2133" t="str">
        <f t="shared" si="81"/>
        <v>--</v>
      </c>
      <c r="ET296" s="2133" t="str">
        <f>IFERROR(ET234/ET265,"--")</f>
        <v>--</v>
      </c>
      <c r="EU296" s="2133" t="str">
        <f>IFERROR(EU234/EU265,"--")</f>
        <v>--</v>
      </c>
      <c r="EV296" s="2133" t="str">
        <f>IFERROR(EV234/EV265,"--")</f>
        <v>--</v>
      </c>
      <c r="EW296" s="2133" t="str">
        <f t="shared" ref="EW296:HE300" si="82">IFERROR(EW234/EW265,"--")</f>
        <v>--</v>
      </c>
      <c r="EX296" s="2133" t="str">
        <f t="shared" si="82"/>
        <v>--</v>
      </c>
      <c r="EY296" s="2133" t="str">
        <f t="shared" si="82"/>
        <v>--</v>
      </c>
      <c r="EZ296" s="2133" t="str">
        <f t="shared" si="82"/>
        <v>--</v>
      </c>
      <c r="FA296" s="2133" t="str">
        <f t="shared" si="82"/>
        <v>--</v>
      </c>
      <c r="FB296" s="2133" t="str">
        <f t="shared" si="82"/>
        <v>--</v>
      </c>
      <c r="FC296" s="2133" t="str">
        <f t="shared" si="82"/>
        <v>--</v>
      </c>
      <c r="FD296" s="2133" t="str">
        <f t="shared" si="82"/>
        <v>--</v>
      </c>
      <c r="FE296" s="2133" t="str">
        <f t="shared" si="82"/>
        <v>--</v>
      </c>
      <c r="FF296" s="2133" t="str">
        <f t="shared" si="82"/>
        <v>--</v>
      </c>
      <c r="FG296" s="2133" t="str">
        <f t="shared" si="82"/>
        <v>--</v>
      </c>
      <c r="FH296" s="2133" t="str">
        <f t="shared" si="82"/>
        <v>--</v>
      </c>
      <c r="FI296" s="2133" t="str">
        <f t="shared" si="82"/>
        <v>--</v>
      </c>
      <c r="FJ296" s="2133" t="str">
        <f t="shared" si="82"/>
        <v>--</v>
      </c>
      <c r="FK296" s="2133" t="str">
        <f t="shared" si="82"/>
        <v>--</v>
      </c>
      <c r="FL296" s="2133" t="str">
        <f t="shared" si="82"/>
        <v>--</v>
      </c>
      <c r="FM296" s="2133" t="str">
        <f t="shared" si="82"/>
        <v>--</v>
      </c>
      <c r="FN296" s="2133" t="str">
        <f t="shared" si="82"/>
        <v>--</v>
      </c>
      <c r="FO296" s="2133" t="str">
        <f t="shared" si="82"/>
        <v>--</v>
      </c>
      <c r="FP296" s="2133" t="str">
        <f t="shared" si="82"/>
        <v>--</v>
      </c>
      <c r="FQ296" s="2133" t="str">
        <f t="shared" si="82"/>
        <v>--</v>
      </c>
      <c r="FR296" s="2133" t="str">
        <f t="shared" si="82"/>
        <v>--</v>
      </c>
      <c r="FS296" s="2133" t="str">
        <f t="shared" si="82"/>
        <v>--</v>
      </c>
      <c r="FT296" s="2133" t="str">
        <f t="shared" si="82"/>
        <v>--</v>
      </c>
      <c r="FU296" s="2133" t="str">
        <f t="shared" si="82"/>
        <v>--</v>
      </c>
      <c r="FV296" s="2133" t="str">
        <f t="shared" si="82"/>
        <v>--</v>
      </c>
      <c r="FW296" s="2133" t="str">
        <f t="shared" si="82"/>
        <v>--</v>
      </c>
      <c r="FX296" s="2133" t="str">
        <f t="shared" si="82"/>
        <v>--</v>
      </c>
      <c r="FY296" s="2133" t="str">
        <f t="shared" si="82"/>
        <v>--</v>
      </c>
      <c r="FZ296" s="2133" t="str">
        <f t="shared" si="82"/>
        <v>--</v>
      </c>
      <c r="GA296" s="2133" t="str">
        <f t="shared" si="82"/>
        <v>--</v>
      </c>
      <c r="GB296" s="2133" t="str">
        <f t="shared" si="82"/>
        <v>--</v>
      </c>
      <c r="GC296" s="2133" t="str">
        <f t="shared" si="82"/>
        <v>--</v>
      </c>
      <c r="GD296" s="2133" t="str">
        <f t="shared" si="82"/>
        <v>--</v>
      </c>
      <c r="GE296" s="2133" t="str">
        <f t="shared" si="82"/>
        <v>--</v>
      </c>
      <c r="GF296" s="2133" t="str">
        <f t="shared" si="82"/>
        <v>--</v>
      </c>
      <c r="GG296" s="2133" t="str">
        <f t="shared" si="82"/>
        <v>--</v>
      </c>
      <c r="GH296" s="2133" t="str">
        <f t="shared" si="82"/>
        <v>--</v>
      </c>
      <c r="GI296" s="2133" t="str">
        <f t="shared" si="82"/>
        <v>--</v>
      </c>
      <c r="GJ296" s="2133" t="str">
        <f t="shared" si="82"/>
        <v>--</v>
      </c>
      <c r="GK296" s="2133" t="str">
        <f t="shared" si="82"/>
        <v>--</v>
      </c>
      <c r="GL296" s="2133" t="str">
        <f t="shared" si="82"/>
        <v>--</v>
      </c>
      <c r="GM296" s="2133" t="str">
        <f t="shared" si="82"/>
        <v>--</v>
      </c>
      <c r="GN296" s="2133" t="str">
        <f t="shared" si="82"/>
        <v>--</v>
      </c>
      <c r="GO296" s="2133" t="str">
        <f t="shared" si="82"/>
        <v>--</v>
      </c>
      <c r="GP296" s="2133" t="str">
        <f t="shared" si="82"/>
        <v>--</v>
      </c>
      <c r="GQ296" s="2133" t="str">
        <f t="shared" si="82"/>
        <v>--</v>
      </c>
      <c r="GR296" s="2133" t="str">
        <f t="shared" si="82"/>
        <v>--</v>
      </c>
      <c r="GS296" s="2133" t="str">
        <f t="shared" si="82"/>
        <v>--</v>
      </c>
      <c r="GT296" s="2133" t="str">
        <f t="shared" si="82"/>
        <v>--</v>
      </c>
      <c r="GU296" s="2133" t="str">
        <f t="shared" si="82"/>
        <v>--</v>
      </c>
      <c r="GV296" s="2133" t="str">
        <f t="shared" si="82"/>
        <v>--</v>
      </c>
      <c r="GW296" s="2133" t="str">
        <f t="shared" si="82"/>
        <v>--</v>
      </c>
      <c r="GX296" s="2133" t="str">
        <f t="shared" si="82"/>
        <v>--</v>
      </c>
      <c r="GY296" s="2133" t="str">
        <f t="shared" si="82"/>
        <v>--</v>
      </c>
      <c r="GZ296" s="2133" t="str">
        <f t="shared" si="82"/>
        <v>--</v>
      </c>
      <c r="HA296" s="2133" t="str">
        <f t="shared" si="82"/>
        <v>--</v>
      </c>
      <c r="HB296" s="2133" t="str">
        <f t="shared" si="82"/>
        <v>--</v>
      </c>
      <c r="HC296" s="2133" t="str">
        <f t="shared" si="82"/>
        <v>--</v>
      </c>
      <c r="HD296" s="2133" t="str">
        <f t="shared" si="82"/>
        <v>--</v>
      </c>
      <c r="HE296" s="2133" t="str">
        <f t="shared" si="82"/>
        <v>--</v>
      </c>
      <c r="HF296" s="2133" t="str">
        <f t="shared" ref="HF296:HT296" si="83">IFERROR(HF234/HF265,"--")</f>
        <v>--</v>
      </c>
      <c r="HG296" s="2133" t="str">
        <f t="shared" si="83"/>
        <v>--</v>
      </c>
      <c r="HH296" s="2133" t="str">
        <f t="shared" si="83"/>
        <v>--</v>
      </c>
      <c r="HI296" s="2133" t="str">
        <f t="shared" si="83"/>
        <v>--</v>
      </c>
      <c r="HJ296" s="2133" t="str">
        <f t="shared" si="83"/>
        <v>--</v>
      </c>
      <c r="HK296" s="2133" t="str">
        <f t="shared" si="83"/>
        <v>--</v>
      </c>
      <c r="HL296" s="2133" t="str">
        <f t="shared" si="83"/>
        <v>--</v>
      </c>
      <c r="HM296" s="2133" t="str">
        <f t="shared" si="83"/>
        <v>--</v>
      </c>
      <c r="HN296" s="2133" t="str">
        <f t="shared" si="83"/>
        <v>--</v>
      </c>
      <c r="HO296" s="2133" t="str">
        <f t="shared" si="83"/>
        <v>--</v>
      </c>
      <c r="HP296" s="2133" t="str">
        <f t="shared" si="83"/>
        <v>--</v>
      </c>
      <c r="HQ296" s="2133" t="str">
        <f t="shared" si="83"/>
        <v>--</v>
      </c>
      <c r="HR296" s="2133" t="str">
        <f t="shared" si="83"/>
        <v>--</v>
      </c>
      <c r="HS296" s="2133" t="str">
        <f t="shared" si="83"/>
        <v>--</v>
      </c>
      <c r="HT296" s="2133" t="str">
        <f t="shared" si="83"/>
        <v>--</v>
      </c>
      <c r="HU296" s="2133" t="str">
        <f t="shared" si="70"/>
        <v>--</v>
      </c>
      <c r="HV296" s="2133" t="str">
        <f t="shared" si="70"/>
        <v>--</v>
      </c>
      <c r="HW296" s="2133" t="str">
        <f t="shared" si="70"/>
        <v>--</v>
      </c>
      <c r="HX296" s="2133" t="str">
        <f t="shared" si="70"/>
        <v>--</v>
      </c>
      <c r="HY296" s="2133" t="str">
        <f t="shared" si="70"/>
        <v>--</v>
      </c>
      <c r="HZ296" s="2133" t="str">
        <f t="shared" si="70"/>
        <v>--</v>
      </c>
      <c r="IA296" s="2133" t="str">
        <f t="shared" si="70"/>
        <v>--</v>
      </c>
      <c r="IB296" s="2133" t="str">
        <f t="shared" si="70"/>
        <v>--</v>
      </c>
      <c r="IC296" s="2133" t="str">
        <f t="shared" si="70"/>
        <v>--</v>
      </c>
      <c r="ID296" s="2133" t="str">
        <f t="shared" si="70"/>
        <v>--</v>
      </c>
      <c r="IE296" s="2133" t="str">
        <f t="shared" si="70"/>
        <v>--</v>
      </c>
      <c r="IF296" s="2133" t="str">
        <f t="shared" si="70"/>
        <v>--</v>
      </c>
      <c r="IG296" s="2133" t="str">
        <f t="shared" si="70"/>
        <v>--</v>
      </c>
      <c r="IH296" s="2133" t="str">
        <f t="shared" si="70"/>
        <v>--</v>
      </c>
      <c r="II296" s="2133" t="str">
        <f t="shared" si="70"/>
        <v>--</v>
      </c>
      <c r="IJ296" s="2133" t="str">
        <f t="shared" si="70"/>
        <v>--</v>
      </c>
      <c r="IK296" s="2133" t="str">
        <f t="shared" si="70"/>
        <v>--</v>
      </c>
      <c r="IL296" s="2133" t="str">
        <f t="shared" si="70"/>
        <v>--</v>
      </c>
      <c r="IM296" s="2133" t="str">
        <f t="shared" si="70"/>
        <v>--</v>
      </c>
      <c r="IN296" s="2133" t="str">
        <f t="shared" si="70"/>
        <v>--</v>
      </c>
      <c r="IO296" s="2133" t="str">
        <f t="shared" si="70"/>
        <v>--</v>
      </c>
      <c r="IP296" s="2133" t="str">
        <f t="shared" si="70"/>
        <v>--</v>
      </c>
      <c r="IQ296" s="2133" t="str">
        <f t="shared" si="70"/>
        <v>--</v>
      </c>
      <c r="IR296" s="2133" t="str">
        <f t="shared" si="70"/>
        <v>--</v>
      </c>
      <c r="IS296" s="2133" t="str">
        <f t="shared" si="70"/>
        <v>--</v>
      </c>
      <c r="IT296" s="2133" t="str">
        <f t="shared" si="70"/>
        <v>--</v>
      </c>
      <c r="IU296" s="2133" t="str">
        <f t="shared" si="70"/>
        <v>--</v>
      </c>
      <c r="IV296" s="2133" t="str">
        <f t="shared" si="70"/>
        <v>--</v>
      </c>
      <c r="IW296" s="2133" t="str">
        <f t="shared" si="70"/>
        <v>--</v>
      </c>
      <c r="IX296" s="2133" t="str">
        <f t="shared" si="70"/>
        <v>--</v>
      </c>
      <c r="IY296" s="2133" t="str">
        <f t="shared" si="70"/>
        <v>--</v>
      </c>
      <c r="IZ296" s="2133" t="str">
        <f t="shared" si="70"/>
        <v>--</v>
      </c>
      <c r="JA296" s="2133" t="str">
        <f t="shared" si="70"/>
        <v>--</v>
      </c>
      <c r="JB296" s="2133" t="str">
        <f t="shared" si="70"/>
        <v>--</v>
      </c>
      <c r="JC296" s="2133" t="str">
        <f t="shared" si="70"/>
        <v>--</v>
      </c>
      <c r="JD296" s="2133" t="str">
        <f t="shared" si="70"/>
        <v>--</v>
      </c>
      <c r="JE296" s="2133" t="str">
        <f t="shared" si="70"/>
        <v>--</v>
      </c>
      <c r="JF296" s="2133" t="str">
        <f t="shared" si="70"/>
        <v>--</v>
      </c>
      <c r="JG296" s="2133" t="str">
        <f t="shared" si="70"/>
        <v>--</v>
      </c>
      <c r="JH296" s="2133" t="str">
        <f t="shared" si="70"/>
        <v>--</v>
      </c>
      <c r="JI296" s="2133" t="str">
        <f t="shared" si="70"/>
        <v>--</v>
      </c>
      <c r="JJ296" s="2133" t="str">
        <f t="shared" si="70"/>
        <v>--</v>
      </c>
      <c r="JK296" s="2133" t="str">
        <f t="shared" si="70"/>
        <v>--</v>
      </c>
      <c r="JL296" s="2133" t="str">
        <f t="shared" si="70"/>
        <v>--</v>
      </c>
      <c r="JM296" s="2133" t="str">
        <f t="shared" si="70"/>
        <v>--</v>
      </c>
      <c r="JN296" s="2133" t="str">
        <f t="shared" si="70"/>
        <v>--</v>
      </c>
      <c r="JO296" s="2133" t="str">
        <f t="shared" si="70"/>
        <v>--</v>
      </c>
      <c r="JP296" s="2133" t="str">
        <f t="shared" si="70"/>
        <v>--</v>
      </c>
      <c r="JQ296" s="2133" t="str">
        <f t="shared" si="70"/>
        <v>--</v>
      </c>
      <c r="JR296" s="2133" t="str">
        <f t="shared" si="56"/>
        <v>--</v>
      </c>
      <c r="JS296" s="2133" t="str">
        <f t="shared" si="56"/>
        <v>--</v>
      </c>
      <c r="JT296" s="2133" t="str">
        <f t="shared" si="56"/>
        <v>--</v>
      </c>
      <c r="JU296" s="2133" t="str">
        <f t="shared" si="56"/>
        <v>--</v>
      </c>
      <c r="JV296" s="2133" t="str">
        <f t="shared" si="56"/>
        <v>--</v>
      </c>
      <c r="JW296" s="2133" t="str">
        <f t="shared" si="56"/>
        <v>--</v>
      </c>
      <c r="JX296" s="2133" t="str">
        <f t="shared" si="56"/>
        <v>--</v>
      </c>
      <c r="JY296" s="2133" t="str">
        <f t="shared" si="56"/>
        <v>--</v>
      </c>
      <c r="JZ296" s="2133" t="str">
        <f t="shared" si="56"/>
        <v>--</v>
      </c>
      <c r="KA296" s="2133" t="str">
        <f t="shared" si="56"/>
        <v>--</v>
      </c>
      <c r="KB296" s="2133" t="str">
        <f t="shared" si="56"/>
        <v>--</v>
      </c>
    </row>
    <row r="297" spans="1:288" s="89" customFormat="1" ht="13.9">
      <c r="A297" s="269" t="str">
        <f t="shared" si="58"/>
        <v>n</v>
      </c>
      <c r="B297" s="2060"/>
      <c r="D297" s="801"/>
      <c r="E297" s="1505">
        <v>12</v>
      </c>
      <c r="F297" s="21" t="str">
        <f>F$140</f>
        <v>--</v>
      </c>
      <c r="G297" s="1441">
        <f>G$140</f>
        <v>0</v>
      </c>
      <c r="H297" s="1441" t="str">
        <f>H$140</f>
        <v>--</v>
      </c>
      <c r="I297" s="89" t="s">
        <v>786</v>
      </c>
      <c r="K297" s="2301" t="str">
        <f>IF(OR(K203=0,$G297=0),"--",IFERROR(_xll.ciqfunctions.udf.CIQ($G297,$I297,K111,Valuation_Date_GC,ReportType,DataMode,$H297,FXMode)*Scale,"--"))</f>
        <v>--</v>
      </c>
      <c r="L297" s="2301" t="str">
        <f>IF(OR(L203=0,$G297=0),"--",IFERROR(_xll.ciqfunctions.udf.CIQ($G297,$I297,L111,Valuation_Date_GC,ReportType,DataMode,$H297,FXMode)*Scale,"--"))</f>
        <v>--</v>
      </c>
      <c r="M297" s="2301" t="str">
        <f>IF(OR(M203=0,$G297=0),"--",IFERROR(_xll.ciqfunctions.udf.CIQ($G297,$I297,M111,Valuation_Date_GC,ReportType,DataMode,$H297,FXMode)*Scale,"--"))</f>
        <v>--</v>
      </c>
      <c r="N297" s="2301" t="str">
        <f>IF(OR(N203=0,$G297=0),"--",IFERROR(_xll.ciqfunctions.udf.CIQ($G297,$I297,N111,Valuation_Date_GC,ReportType,DataMode,$H297,FXMode)*Scale,"--"))</f>
        <v>--</v>
      </c>
      <c r="O297" s="1471" t="str">
        <f>IF(OR(O203=0,$G297=0),"--",IFERROR(_xll.ciqfunctions.udf.CIQ($G297,$I297,O111,Valuation_Date_GC,ReportType,DataMode,$H297,FXMode)*Scale,"--"))</f>
        <v>--</v>
      </c>
      <c r="P297" s="2301" t="str">
        <f>IF(OR(P203=0,$G297=0),"--",IFERROR(_xll.ciqfunctions.udf.CIQ($G297,$I297,P111,Valuation_Date_GC,ReportType,DataMode,$H297,FXMode)*Scale,"--"))</f>
        <v>--</v>
      </c>
      <c r="R297" s="255"/>
      <c r="S297" s="1958" t="str">
        <f t="shared" ref="S297:S310" si="84">IF(SUM(U297:JL297)=0,"--",SUM(U297:JL297))</f>
        <v>--</v>
      </c>
      <c r="T297" s="1779" t="s">
        <v>787</v>
      </c>
      <c r="U297" s="2133" t="str">
        <f t="shared" si="57"/>
        <v>--</v>
      </c>
      <c r="V297" s="2133" t="str">
        <f t="shared" si="57"/>
        <v>--</v>
      </c>
      <c r="W297" s="2133" t="str">
        <f t="shared" si="57"/>
        <v>--</v>
      </c>
      <c r="X297" s="2133" t="str">
        <f t="shared" si="57"/>
        <v>--</v>
      </c>
      <c r="Y297" s="2133" t="str">
        <f t="shared" si="57"/>
        <v>--</v>
      </c>
      <c r="Z297" s="2133" t="str">
        <f t="shared" si="57"/>
        <v>--</v>
      </c>
      <c r="AA297" s="2133" t="str">
        <f t="shared" si="57"/>
        <v>--</v>
      </c>
      <c r="AB297" s="2133" t="str">
        <f t="shared" si="57"/>
        <v>--</v>
      </c>
      <c r="AC297" s="2133" t="str">
        <f t="shared" si="57"/>
        <v>--</v>
      </c>
      <c r="AD297" s="2133" t="str">
        <f t="shared" si="57"/>
        <v>--</v>
      </c>
      <c r="AE297" s="2133" t="str">
        <f t="shared" si="57"/>
        <v>--</v>
      </c>
      <c r="AF297" s="2133" t="str">
        <f t="shared" si="57"/>
        <v>--</v>
      </c>
      <c r="AG297" s="2133" t="str">
        <f t="shared" si="57"/>
        <v>--</v>
      </c>
      <c r="AH297" s="2133" t="str">
        <f t="shared" si="57"/>
        <v>--</v>
      </c>
      <c r="AI297" s="2133" t="str">
        <f t="shared" si="57"/>
        <v>--</v>
      </c>
      <c r="AJ297" s="2133" t="str">
        <f t="shared" si="57"/>
        <v>--</v>
      </c>
      <c r="AK297" s="2133" t="str">
        <f t="shared" ref="AK297:CV300" si="85">IFERROR(AK235/AK266,"--")</f>
        <v>--</v>
      </c>
      <c r="AL297" s="2133" t="str">
        <f t="shared" si="85"/>
        <v>--</v>
      </c>
      <c r="AM297" s="2133" t="str">
        <f t="shared" si="85"/>
        <v>--</v>
      </c>
      <c r="AN297" s="2133" t="str">
        <f t="shared" si="85"/>
        <v>--</v>
      </c>
      <c r="AO297" s="2133" t="str">
        <f t="shared" si="85"/>
        <v>--</v>
      </c>
      <c r="AP297" s="2133" t="str">
        <f t="shared" si="85"/>
        <v>--</v>
      </c>
      <c r="AQ297" s="2133" t="str">
        <f t="shared" si="85"/>
        <v>--</v>
      </c>
      <c r="AR297" s="2133" t="str">
        <f t="shared" si="85"/>
        <v>--</v>
      </c>
      <c r="AS297" s="2133" t="str">
        <f t="shared" si="85"/>
        <v>--</v>
      </c>
      <c r="AT297" s="2133" t="str">
        <f t="shared" si="85"/>
        <v>--</v>
      </c>
      <c r="AU297" s="2133" t="str">
        <f t="shared" si="85"/>
        <v>--</v>
      </c>
      <c r="AV297" s="2133" t="str">
        <f t="shared" si="85"/>
        <v>--</v>
      </c>
      <c r="AW297" s="2133" t="str">
        <f t="shared" si="85"/>
        <v>--</v>
      </c>
      <c r="AX297" s="2133" t="str">
        <f t="shared" si="85"/>
        <v>--</v>
      </c>
      <c r="AY297" s="2133" t="str">
        <f t="shared" si="85"/>
        <v>--</v>
      </c>
      <c r="AZ297" s="2133" t="str">
        <f t="shared" si="85"/>
        <v>--</v>
      </c>
      <c r="BA297" s="2133" t="str">
        <f t="shared" si="85"/>
        <v>--</v>
      </c>
      <c r="BB297" s="2133" t="str">
        <f t="shared" si="85"/>
        <v>--</v>
      </c>
      <c r="BC297" s="2133" t="str">
        <f t="shared" si="85"/>
        <v>--</v>
      </c>
      <c r="BD297" s="2133" t="str">
        <f t="shared" si="85"/>
        <v>--</v>
      </c>
      <c r="BE297" s="2133" t="str">
        <f t="shared" si="85"/>
        <v>--</v>
      </c>
      <c r="BF297" s="2133" t="str">
        <f t="shared" si="85"/>
        <v>--</v>
      </c>
      <c r="BG297" s="2133" t="str">
        <f t="shared" si="85"/>
        <v>--</v>
      </c>
      <c r="BH297" s="2133" t="str">
        <f t="shared" si="85"/>
        <v>--</v>
      </c>
      <c r="BI297" s="2133" t="str">
        <f t="shared" si="85"/>
        <v>--</v>
      </c>
      <c r="BJ297" s="2133" t="str">
        <f t="shared" si="85"/>
        <v>--</v>
      </c>
      <c r="BK297" s="2133" t="str">
        <f t="shared" si="85"/>
        <v>--</v>
      </c>
      <c r="BL297" s="2133" t="str">
        <f t="shared" si="85"/>
        <v>--</v>
      </c>
      <c r="BM297" s="2133" t="str">
        <f t="shared" si="85"/>
        <v>--</v>
      </c>
      <c r="BN297" s="2133" t="str">
        <f t="shared" si="85"/>
        <v>--</v>
      </c>
      <c r="BO297" s="2133" t="str">
        <f t="shared" si="85"/>
        <v>--</v>
      </c>
      <c r="BP297" s="2133" t="str">
        <f t="shared" si="85"/>
        <v>--</v>
      </c>
      <c r="BQ297" s="2133" t="str">
        <f t="shared" si="85"/>
        <v>--</v>
      </c>
      <c r="BR297" s="2133" t="str">
        <f t="shared" si="85"/>
        <v>--</v>
      </c>
      <c r="BS297" s="2133" t="str">
        <f t="shared" si="85"/>
        <v>--</v>
      </c>
      <c r="BT297" s="2133" t="str">
        <f t="shared" si="85"/>
        <v>--</v>
      </c>
      <c r="BU297" s="2133" t="str">
        <f t="shared" si="85"/>
        <v>--</v>
      </c>
      <c r="BV297" s="2133" t="str">
        <f t="shared" si="85"/>
        <v>--</v>
      </c>
      <c r="BW297" s="2133" t="str">
        <f t="shared" si="85"/>
        <v>--</v>
      </c>
      <c r="BX297" s="2133" t="str">
        <f t="shared" si="85"/>
        <v>--</v>
      </c>
      <c r="BY297" s="2133" t="str">
        <f t="shared" si="85"/>
        <v>--</v>
      </c>
      <c r="BZ297" s="2133" t="str">
        <f t="shared" si="85"/>
        <v>--</v>
      </c>
      <c r="CA297" s="2133" t="str">
        <f t="shared" si="85"/>
        <v>--</v>
      </c>
      <c r="CB297" s="2133" t="str">
        <f t="shared" si="85"/>
        <v>--</v>
      </c>
      <c r="CC297" s="2133" t="str">
        <f t="shared" si="85"/>
        <v>--</v>
      </c>
      <c r="CD297" s="2133" t="str">
        <f t="shared" si="85"/>
        <v>--</v>
      </c>
      <c r="CE297" s="2133" t="str">
        <f t="shared" si="85"/>
        <v>--</v>
      </c>
      <c r="CF297" s="2133" t="str">
        <f t="shared" si="85"/>
        <v>--</v>
      </c>
      <c r="CG297" s="2133" t="str">
        <f t="shared" si="85"/>
        <v>--</v>
      </c>
      <c r="CH297" s="2133" t="str">
        <f t="shared" si="85"/>
        <v>--</v>
      </c>
      <c r="CI297" s="2133" t="str">
        <f t="shared" si="85"/>
        <v>--</v>
      </c>
      <c r="CJ297" s="2133" t="str">
        <f t="shared" si="85"/>
        <v>--</v>
      </c>
      <c r="CK297" s="2133" t="str">
        <f t="shared" si="85"/>
        <v>--</v>
      </c>
      <c r="CL297" s="2133" t="str">
        <f t="shared" si="85"/>
        <v>--</v>
      </c>
      <c r="CM297" s="2133" t="str">
        <f t="shared" si="85"/>
        <v>--</v>
      </c>
      <c r="CN297" s="2133" t="str">
        <f t="shared" si="85"/>
        <v>--</v>
      </c>
      <c r="CO297" s="2133" t="str">
        <f t="shared" si="85"/>
        <v>--</v>
      </c>
      <c r="CP297" s="2133" t="str">
        <f t="shared" si="85"/>
        <v>--</v>
      </c>
      <c r="CQ297" s="2133" t="str">
        <f t="shared" si="85"/>
        <v>--</v>
      </c>
      <c r="CR297" s="2133" t="str">
        <f t="shared" si="85"/>
        <v>--</v>
      </c>
      <c r="CS297" s="2133" t="str">
        <f t="shared" si="85"/>
        <v>--</v>
      </c>
      <c r="CT297" s="2133" t="str">
        <f t="shared" si="85"/>
        <v>--</v>
      </c>
      <c r="CU297" s="2133" t="str">
        <f t="shared" si="85"/>
        <v>--</v>
      </c>
      <c r="CV297" s="2133" t="str">
        <f t="shared" si="85"/>
        <v>--</v>
      </c>
      <c r="CW297" s="2133" t="str">
        <f t="shared" si="81"/>
        <v>--</v>
      </c>
      <c r="CX297" s="2133" t="str">
        <f t="shared" si="81"/>
        <v>--</v>
      </c>
      <c r="CY297" s="2133" t="str">
        <f t="shared" si="81"/>
        <v>--</v>
      </c>
      <c r="CZ297" s="2133" t="str">
        <f t="shared" si="81"/>
        <v>--</v>
      </c>
      <c r="DA297" s="2133" t="str">
        <f t="shared" si="81"/>
        <v>--</v>
      </c>
      <c r="DB297" s="2133" t="str">
        <f t="shared" si="81"/>
        <v>--</v>
      </c>
      <c r="DC297" s="2133" t="str">
        <f t="shared" si="81"/>
        <v>--</v>
      </c>
      <c r="DD297" s="2133" t="str">
        <f t="shared" si="81"/>
        <v>--</v>
      </c>
      <c r="DE297" s="2133" t="str">
        <f t="shared" si="81"/>
        <v>--</v>
      </c>
      <c r="DF297" s="2133" t="str">
        <f t="shared" si="81"/>
        <v>--</v>
      </c>
      <c r="DG297" s="2133" t="str">
        <f t="shared" si="81"/>
        <v>--</v>
      </c>
      <c r="DH297" s="2133" t="str">
        <f t="shared" si="81"/>
        <v>--</v>
      </c>
      <c r="DI297" s="2133" t="str">
        <f t="shared" si="81"/>
        <v>--</v>
      </c>
      <c r="DJ297" s="2133" t="str">
        <f t="shared" si="81"/>
        <v>--</v>
      </c>
      <c r="DK297" s="2133" t="str">
        <f t="shared" si="81"/>
        <v>--</v>
      </c>
      <c r="DL297" s="2133" t="str">
        <f t="shared" si="81"/>
        <v>--</v>
      </c>
      <c r="DM297" s="2133" t="str">
        <f t="shared" si="81"/>
        <v>--</v>
      </c>
      <c r="DN297" s="2133" t="str">
        <f t="shared" si="81"/>
        <v>--</v>
      </c>
      <c r="DO297" s="2133" t="str">
        <f t="shared" si="81"/>
        <v>--</v>
      </c>
      <c r="DP297" s="2133" t="str">
        <f t="shared" si="81"/>
        <v>--</v>
      </c>
      <c r="DQ297" s="2133" t="str">
        <f t="shared" si="81"/>
        <v>--</v>
      </c>
      <c r="DR297" s="2133" t="str">
        <f t="shared" si="81"/>
        <v>--</v>
      </c>
      <c r="DS297" s="2133" t="str">
        <f t="shared" si="81"/>
        <v>--</v>
      </c>
      <c r="DT297" s="2133" t="str">
        <f t="shared" si="81"/>
        <v>--</v>
      </c>
      <c r="DU297" s="2133" t="str">
        <f t="shared" si="81"/>
        <v>--</v>
      </c>
      <c r="DV297" s="2133" t="str">
        <f t="shared" si="81"/>
        <v>--</v>
      </c>
      <c r="DW297" s="2133" t="str">
        <f t="shared" si="81"/>
        <v>--</v>
      </c>
      <c r="DX297" s="2133" t="str">
        <f t="shared" si="81"/>
        <v>--</v>
      </c>
      <c r="DY297" s="2133" t="str">
        <f t="shared" si="81"/>
        <v>--</v>
      </c>
      <c r="DZ297" s="2133" t="str">
        <f t="shared" si="81"/>
        <v>--</v>
      </c>
      <c r="EA297" s="2133" t="str">
        <f t="shared" si="81"/>
        <v>--</v>
      </c>
      <c r="EB297" s="2133" t="str">
        <f t="shared" si="81"/>
        <v>--</v>
      </c>
      <c r="EC297" s="2133" t="str">
        <f t="shared" si="81"/>
        <v>--</v>
      </c>
      <c r="ED297" s="2133" t="str">
        <f t="shared" si="81"/>
        <v>--</v>
      </c>
      <c r="EE297" s="2133" t="str">
        <f t="shared" si="81"/>
        <v>--</v>
      </c>
      <c r="EF297" s="2133" t="str">
        <f t="shared" si="81"/>
        <v>--</v>
      </c>
      <c r="EG297" s="2133" t="str">
        <f t="shared" si="81"/>
        <v>--</v>
      </c>
      <c r="EH297" s="2133" t="str">
        <f t="shared" si="81"/>
        <v>--</v>
      </c>
      <c r="EI297" s="2133" t="str">
        <f t="shared" si="81"/>
        <v>--</v>
      </c>
      <c r="EJ297" s="2133" t="str">
        <f t="shared" si="81"/>
        <v>--</v>
      </c>
      <c r="EK297" s="2133" t="str">
        <f t="shared" si="81"/>
        <v>--</v>
      </c>
      <c r="EL297" s="2133" t="str">
        <f t="shared" si="81"/>
        <v>--</v>
      </c>
      <c r="EM297" s="2133" t="str">
        <f t="shared" si="81"/>
        <v>--</v>
      </c>
      <c r="EN297" s="2133" t="str">
        <f t="shared" si="81"/>
        <v>--</v>
      </c>
      <c r="EO297" s="2133" t="str">
        <f t="shared" si="81"/>
        <v>--</v>
      </c>
      <c r="EP297" s="2133" t="str">
        <f t="shared" si="81"/>
        <v>--</v>
      </c>
      <c r="EQ297" s="2133" t="str">
        <f t="shared" si="81"/>
        <v>--</v>
      </c>
      <c r="ER297" s="2133" t="str">
        <f t="shared" si="81"/>
        <v>--</v>
      </c>
      <c r="ES297" s="2133" t="str">
        <f t="shared" si="81"/>
        <v>--</v>
      </c>
      <c r="ET297" s="2133" t="str">
        <f t="shared" si="81"/>
        <v>--</v>
      </c>
      <c r="EU297" s="2133" t="str">
        <f t="shared" si="81"/>
        <v>--</v>
      </c>
      <c r="EV297" s="2133" t="str">
        <f t="shared" si="81"/>
        <v>--</v>
      </c>
      <c r="EW297" s="2133" t="str">
        <f t="shared" si="81"/>
        <v>--</v>
      </c>
      <c r="EX297" s="2133" t="str">
        <f t="shared" si="81"/>
        <v>--</v>
      </c>
      <c r="EY297" s="2133" t="str">
        <f t="shared" si="81"/>
        <v>--</v>
      </c>
      <c r="EZ297" s="2133" t="str">
        <f t="shared" si="81"/>
        <v>--</v>
      </c>
      <c r="FA297" s="2133" t="str">
        <f t="shared" si="81"/>
        <v>--</v>
      </c>
      <c r="FB297" s="2133" t="str">
        <f t="shared" si="81"/>
        <v>--</v>
      </c>
      <c r="FC297" s="2133" t="str">
        <f t="shared" si="81"/>
        <v>--</v>
      </c>
      <c r="FD297" s="2133" t="str">
        <f t="shared" si="81"/>
        <v>--</v>
      </c>
      <c r="FE297" s="2133" t="str">
        <f t="shared" si="81"/>
        <v>--</v>
      </c>
      <c r="FF297" s="2133" t="str">
        <f t="shared" si="81"/>
        <v>--</v>
      </c>
      <c r="FG297" s="2133" t="str">
        <f t="shared" si="81"/>
        <v>--</v>
      </c>
      <c r="FH297" s="2133" t="str">
        <f t="shared" si="82"/>
        <v>--</v>
      </c>
      <c r="FI297" s="2133" t="str">
        <f t="shared" si="82"/>
        <v>--</v>
      </c>
      <c r="FJ297" s="2133" t="str">
        <f t="shared" si="82"/>
        <v>--</v>
      </c>
      <c r="FK297" s="2133" t="str">
        <f t="shared" si="82"/>
        <v>--</v>
      </c>
      <c r="FL297" s="2133" t="str">
        <f t="shared" si="82"/>
        <v>--</v>
      </c>
      <c r="FM297" s="2133" t="str">
        <f t="shared" si="82"/>
        <v>--</v>
      </c>
      <c r="FN297" s="2133" t="str">
        <f t="shared" si="82"/>
        <v>--</v>
      </c>
      <c r="FO297" s="2133" t="str">
        <f t="shared" si="82"/>
        <v>--</v>
      </c>
      <c r="FP297" s="2133" t="str">
        <f t="shared" si="82"/>
        <v>--</v>
      </c>
      <c r="FQ297" s="2133" t="str">
        <f t="shared" si="82"/>
        <v>--</v>
      </c>
      <c r="FR297" s="2133" t="str">
        <f t="shared" si="82"/>
        <v>--</v>
      </c>
      <c r="FS297" s="2133" t="str">
        <f t="shared" si="82"/>
        <v>--</v>
      </c>
      <c r="FT297" s="2133" t="str">
        <f t="shared" si="82"/>
        <v>--</v>
      </c>
      <c r="FU297" s="2133" t="str">
        <f t="shared" si="82"/>
        <v>--</v>
      </c>
      <c r="FV297" s="2133" t="str">
        <f t="shared" si="82"/>
        <v>--</v>
      </c>
      <c r="FW297" s="2133" t="str">
        <f t="shared" si="82"/>
        <v>--</v>
      </c>
      <c r="FX297" s="2133" t="str">
        <f t="shared" si="82"/>
        <v>--</v>
      </c>
      <c r="FY297" s="2133" t="str">
        <f t="shared" si="82"/>
        <v>--</v>
      </c>
      <c r="FZ297" s="2133" t="str">
        <f t="shared" si="82"/>
        <v>--</v>
      </c>
      <c r="GA297" s="2133" t="str">
        <f t="shared" si="82"/>
        <v>--</v>
      </c>
      <c r="GB297" s="2133" t="str">
        <f t="shared" si="82"/>
        <v>--</v>
      </c>
      <c r="GC297" s="2133" t="str">
        <f t="shared" si="82"/>
        <v>--</v>
      </c>
      <c r="GD297" s="2133" t="str">
        <f t="shared" si="82"/>
        <v>--</v>
      </c>
      <c r="GE297" s="2133" t="str">
        <f t="shared" si="82"/>
        <v>--</v>
      </c>
      <c r="GF297" s="2133" t="str">
        <f t="shared" si="82"/>
        <v>--</v>
      </c>
      <c r="GG297" s="2133" t="str">
        <f t="shared" si="82"/>
        <v>--</v>
      </c>
      <c r="GH297" s="2133" t="str">
        <f t="shared" si="82"/>
        <v>--</v>
      </c>
      <c r="GI297" s="2133" t="str">
        <f t="shared" si="82"/>
        <v>--</v>
      </c>
      <c r="GJ297" s="2133" t="str">
        <f t="shared" si="82"/>
        <v>--</v>
      </c>
      <c r="GK297" s="2133" t="str">
        <f t="shared" si="82"/>
        <v>--</v>
      </c>
      <c r="GL297" s="2133" t="str">
        <f t="shared" si="82"/>
        <v>--</v>
      </c>
      <c r="GM297" s="2133" t="str">
        <f t="shared" si="82"/>
        <v>--</v>
      </c>
      <c r="GN297" s="2133" t="str">
        <f t="shared" si="82"/>
        <v>--</v>
      </c>
      <c r="GO297" s="2133" t="str">
        <f t="shared" si="82"/>
        <v>--</v>
      </c>
      <c r="GP297" s="2133" t="str">
        <f t="shared" si="82"/>
        <v>--</v>
      </c>
      <c r="GQ297" s="2133" t="str">
        <f t="shared" si="82"/>
        <v>--</v>
      </c>
      <c r="GR297" s="2133" t="str">
        <f t="shared" si="82"/>
        <v>--</v>
      </c>
      <c r="GS297" s="2133" t="str">
        <f t="shared" si="82"/>
        <v>--</v>
      </c>
      <c r="GT297" s="2133" t="str">
        <f t="shared" si="82"/>
        <v>--</v>
      </c>
      <c r="GU297" s="2133" t="str">
        <f t="shared" si="82"/>
        <v>--</v>
      </c>
      <c r="GV297" s="2133" t="str">
        <f t="shared" si="82"/>
        <v>--</v>
      </c>
      <c r="GW297" s="2133" t="str">
        <f t="shared" si="82"/>
        <v>--</v>
      </c>
      <c r="GX297" s="2133" t="str">
        <f t="shared" si="82"/>
        <v>--</v>
      </c>
      <c r="GY297" s="2133" t="str">
        <f t="shared" si="82"/>
        <v>--</v>
      </c>
      <c r="GZ297" s="2133" t="str">
        <f t="shared" si="82"/>
        <v>--</v>
      </c>
      <c r="HA297" s="2133" t="str">
        <f t="shared" si="82"/>
        <v>--</v>
      </c>
      <c r="HB297" s="2133" t="str">
        <f t="shared" si="82"/>
        <v>--</v>
      </c>
      <c r="HC297" s="2133" t="str">
        <f t="shared" si="82"/>
        <v>--</v>
      </c>
      <c r="HD297" s="2133" t="str">
        <f t="shared" si="82"/>
        <v>--</v>
      </c>
      <c r="HE297" s="2133" t="str">
        <f t="shared" si="82"/>
        <v>--</v>
      </c>
      <c r="HF297" s="2133" t="str">
        <f t="shared" ref="HF297:HT297" si="86">IFERROR(HF235/HF266,"--")</f>
        <v>--</v>
      </c>
      <c r="HG297" s="2133" t="str">
        <f t="shared" si="86"/>
        <v>--</v>
      </c>
      <c r="HH297" s="2133" t="str">
        <f t="shared" si="86"/>
        <v>--</v>
      </c>
      <c r="HI297" s="2133" t="str">
        <f t="shared" si="86"/>
        <v>--</v>
      </c>
      <c r="HJ297" s="2133" t="str">
        <f t="shared" si="86"/>
        <v>--</v>
      </c>
      <c r="HK297" s="2133" t="str">
        <f t="shared" si="86"/>
        <v>--</v>
      </c>
      <c r="HL297" s="2133" t="str">
        <f t="shared" si="86"/>
        <v>--</v>
      </c>
      <c r="HM297" s="2133" t="str">
        <f t="shared" si="86"/>
        <v>--</v>
      </c>
      <c r="HN297" s="2133" t="str">
        <f t="shared" si="86"/>
        <v>--</v>
      </c>
      <c r="HO297" s="2133" t="str">
        <f t="shared" si="86"/>
        <v>--</v>
      </c>
      <c r="HP297" s="2133" t="str">
        <f t="shared" si="86"/>
        <v>--</v>
      </c>
      <c r="HQ297" s="2133" t="str">
        <f t="shared" si="86"/>
        <v>--</v>
      </c>
      <c r="HR297" s="2133" t="str">
        <f t="shared" si="86"/>
        <v>--</v>
      </c>
      <c r="HS297" s="2133" t="str">
        <f t="shared" si="86"/>
        <v>--</v>
      </c>
      <c r="HT297" s="2133" t="str">
        <f t="shared" si="86"/>
        <v>--</v>
      </c>
      <c r="HU297" s="2133" t="str">
        <f t="shared" si="70"/>
        <v>--</v>
      </c>
      <c r="HV297" s="2133" t="str">
        <f t="shared" si="70"/>
        <v>--</v>
      </c>
      <c r="HW297" s="2133" t="str">
        <f t="shared" si="70"/>
        <v>--</v>
      </c>
      <c r="HX297" s="2133" t="str">
        <f t="shared" si="70"/>
        <v>--</v>
      </c>
      <c r="HY297" s="2133" t="str">
        <f t="shared" si="70"/>
        <v>--</v>
      </c>
      <c r="HZ297" s="2133" t="str">
        <f t="shared" si="70"/>
        <v>--</v>
      </c>
      <c r="IA297" s="2133" t="str">
        <f t="shared" si="70"/>
        <v>--</v>
      </c>
      <c r="IB297" s="2133" t="str">
        <f t="shared" si="70"/>
        <v>--</v>
      </c>
      <c r="IC297" s="2133" t="str">
        <f t="shared" si="70"/>
        <v>--</v>
      </c>
      <c r="ID297" s="2133" t="str">
        <f t="shared" ref="ID297:JQ297" si="87">IFERROR(ID235/ID266,"--")</f>
        <v>--</v>
      </c>
      <c r="IE297" s="2133" t="str">
        <f t="shared" si="87"/>
        <v>--</v>
      </c>
      <c r="IF297" s="2133" t="str">
        <f t="shared" si="87"/>
        <v>--</v>
      </c>
      <c r="IG297" s="2133" t="str">
        <f t="shared" si="87"/>
        <v>--</v>
      </c>
      <c r="IH297" s="2133" t="str">
        <f t="shared" si="87"/>
        <v>--</v>
      </c>
      <c r="II297" s="2133" t="str">
        <f t="shared" si="87"/>
        <v>--</v>
      </c>
      <c r="IJ297" s="2133" t="str">
        <f t="shared" si="87"/>
        <v>--</v>
      </c>
      <c r="IK297" s="2133" t="str">
        <f t="shared" si="87"/>
        <v>--</v>
      </c>
      <c r="IL297" s="2133" t="str">
        <f t="shared" si="87"/>
        <v>--</v>
      </c>
      <c r="IM297" s="2133" t="str">
        <f t="shared" si="87"/>
        <v>--</v>
      </c>
      <c r="IN297" s="2133" t="str">
        <f t="shared" si="87"/>
        <v>--</v>
      </c>
      <c r="IO297" s="2133" t="str">
        <f t="shared" si="87"/>
        <v>--</v>
      </c>
      <c r="IP297" s="2133" t="str">
        <f t="shared" si="87"/>
        <v>--</v>
      </c>
      <c r="IQ297" s="2133" t="str">
        <f t="shared" si="87"/>
        <v>--</v>
      </c>
      <c r="IR297" s="2133" t="str">
        <f t="shared" si="87"/>
        <v>--</v>
      </c>
      <c r="IS297" s="2133" t="str">
        <f t="shared" si="87"/>
        <v>--</v>
      </c>
      <c r="IT297" s="2133" t="str">
        <f t="shared" si="87"/>
        <v>--</v>
      </c>
      <c r="IU297" s="2133" t="str">
        <f t="shared" si="87"/>
        <v>--</v>
      </c>
      <c r="IV297" s="2133" t="str">
        <f t="shared" si="87"/>
        <v>--</v>
      </c>
      <c r="IW297" s="2133" t="str">
        <f t="shared" si="87"/>
        <v>--</v>
      </c>
      <c r="IX297" s="2133" t="str">
        <f t="shared" si="87"/>
        <v>--</v>
      </c>
      <c r="IY297" s="2133" t="str">
        <f t="shared" si="87"/>
        <v>--</v>
      </c>
      <c r="IZ297" s="2133" t="str">
        <f t="shared" si="87"/>
        <v>--</v>
      </c>
      <c r="JA297" s="2133" t="str">
        <f t="shared" si="87"/>
        <v>--</v>
      </c>
      <c r="JB297" s="2133" t="str">
        <f t="shared" si="87"/>
        <v>--</v>
      </c>
      <c r="JC297" s="2133" t="str">
        <f t="shared" si="87"/>
        <v>--</v>
      </c>
      <c r="JD297" s="2133" t="str">
        <f t="shared" si="87"/>
        <v>--</v>
      </c>
      <c r="JE297" s="2133" t="str">
        <f t="shared" si="87"/>
        <v>--</v>
      </c>
      <c r="JF297" s="2133" t="str">
        <f t="shared" si="87"/>
        <v>--</v>
      </c>
      <c r="JG297" s="2133" t="str">
        <f t="shared" si="87"/>
        <v>--</v>
      </c>
      <c r="JH297" s="2133" t="str">
        <f t="shared" si="87"/>
        <v>--</v>
      </c>
      <c r="JI297" s="2133" t="str">
        <f t="shared" si="87"/>
        <v>--</v>
      </c>
      <c r="JJ297" s="2133" t="str">
        <f t="shared" si="87"/>
        <v>--</v>
      </c>
      <c r="JK297" s="2133" t="str">
        <f t="shared" si="87"/>
        <v>--</v>
      </c>
      <c r="JL297" s="2133" t="str">
        <f t="shared" si="87"/>
        <v>--</v>
      </c>
      <c r="JM297" s="2133" t="str">
        <f t="shared" si="87"/>
        <v>--</v>
      </c>
      <c r="JN297" s="2133" t="str">
        <f t="shared" si="87"/>
        <v>--</v>
      </c>
      <c r="JO297" s="2133" t="str">
        <f t="shared" si="87"/>
        <v>--</v>
      </c>
      <c r="JP297" s="2133" t="str">
        <f t="shared" si="87"/>
        <v>--</v>
      </c>
      <c r="JQ297" s="2133" t="str">
        <f t="shared" si="87"/>
        <v>--</v>
      </c>
      <c r="JR297" s="2133" t="str">
        <f t="shared" si="56"/>
        <v>--</v>
      </c>
      <c r="JS297" s="2133" t="str">
        <f t="shared" si="56"/>
        <v>--</v>
      </c>
      <c r="JT297" s="2133" t="str">
        <f t="shared" si="56"/>
        <v>--</v>
      </c>
      <c r="JU297" s="2133" t="str">
        <f t="shared" si="56"/>
        <v>--</v>
      </c>
      <c r="JV297" s="2133" t="str">
        <f t="shared" si="56"/>
        <v>--</v>
      </c>
      <c r="JW297" s="2133" t="str">
        <f t="shared" si="56"/>
        <v>--</v>
      </c>
      <c r="JX297" s="2133" t="str">
        <f t="shared" si="56"/>
        <v>--</v>
      </c>
      <c r="JY297" s="2133" t="str">
        <f t="shared" si="56"/>
        <v>--</v>
      </c>
      <c r="JZ297" s="2133" t="str">
        <f t="shared" si="56"/>
        <v>--</v>
      </c>
      <c r="KA297" s="2133" t="str">
        <f t="shared" si="56"/>
        <v>--</v>
      </c>
      <c r="KB297" s="2133" t="str">
        <f t="shared" si="56"/>
        <v>--</v>
      </c>
    </row>
    <row r="298" spans="1:288" s="89" customFormat="1" ht="13.9">
      <c r="A298" s="269" t="str">
        <f t="shared" si="58"/>
        <v>n</v>
      </c>
      <c r="B298" s="2060"/>
      <c r="D298" s="801"/>
      <c r="E298" s="1505">
        <v>13</v>
      </c>
      <c r="F298" s="21" t="str">
        <f>F$141</f>
        <v>--</v>
      </c>
      <c r="G298" s="1441">
        <f>G$141</f>
        <v>0</v>
      </c>
      <c r="H298" s="1441" t="str">
        <f>H$141</f>
        <v>--</v>
      </c>
      <c r="I298" s="89" t="s">
        <v>786</v>
      </c>
      <c r="K298" s="2301" t="str">
        <f>IF(OR(K204=0,$G298=0),"--",IFERROR(_xll.ciqfunctions.udf.CIQ($G298,$I298,K112,Valuation_Date_GC,ReportType,DataMode,$H298,FXMode)*Scale,"--"))</f>
        <v>--</v>
      </c>
      <c r="L298" s="2301" t="str">
        <f>IF(OR(L204=0,$G298=0),"--",IFERROR(_xll.ciqfunctions.udf.CIQ($G298,$I298,L112,Valuation_Date_GC,ReportType,DataMode,$H298,FXMode)*Scale,"--"))</f>
        <v>--</v>
      </c>
      <c r="M298" s="2301" t="str">
        <f>IF(OR(M204=0,$G298=0),"--",IFERROR(_xll.ciqfunctions.udf.CIQ($G298,$I298,M112,Valuation_Date_GC,ReportType,DataMode,$H298,FXMode)*Scale,"--"))</f>
        <v>--</v>
      </c>
      <c r="N298" s="2301" t="str">
        <f>IF(OR(N204=0,$G298=0),"--",IFERROR(_xll.ciqfunctions.udf.CIQ($G298,$I298,N112,Valuation_Date_GC,ReportType,DataMode,$H298,FXMode)*Scale,"--"))</f>
        <v>--</v>
      </c>
      <c r="O298" s="1471" t="str">
        <f>IF(OR(O204=0,$G298=0),"--",IFERROR(_xll.ciqfunctions.udf.CIQ($G298,$I298,O112,Valuation_Date_GC,ReportType,DataMode,$H298,FXMode)*Scale,"--"))</f>
        <v>--</v>
      </c>
      <c r="P298" s="2301" t="str">
        <f>IF(OR(P204=0,$G298=0),"--",IFERROR(_xll.ciqfunctions.udf.CIQ($G298,$I298,P112,Valuation_Date_GC,ReportType,DataMode,$H298,FXMode)*Scale,"--"))</f>
        <v>--</v>
      </c>
      <c r="R298" s="255"/>
      <c r="S298" s="1958" t="str">
        <f t="shared" si="84"/>
        <v>--</v>
      </c>
      <c r="T298" s="1779" t="s">
        <v>787</v>
      </c>
      <c r="U298" s="2133" t="str">
        <f t="shared" si="57"/>
        <v>--</v>
      </c>
      <c r="V298" s="2133" t="str">
        <f t="shared" si="57"/>
        <v>--</v>
      </c>
      <c r="W298" s="2133" t="str">
        <f t="shared" si="57"/>
        <v>--</v>
      </c>
      <c r="X298" s="2133" t="str">
        <f t="shared" si="57"/>
        <v>--</v>
      </c>
      <c r="Y298" s="2133" t="str">
        <f t="shared" si="57"/>
        <v>--</v>
      </c>
      <c r="Z298" s="2133" t="str">
        <f t="shared" si="57"/>
        <v>--</v>
      </c>
      <c r="AA298" s="2133" t="str">
        <f t="shared" si="57"/>
        <v>--</v>
      </c>
      <c r="AB298" s="2133" t="str">
        <f t="shared" si="57"/>
        <v>--</v>
      </c>
      <c r="AC298" s="2133" t="str">
        <f t="shared" si="57"/>
        <v>--</v>
      </c>
      <c r="AD298" s="2133" t="str">
        <f t="shared" si="57"/>
        <v>--</v>
      </c>
      <c r="AE298" s="2133" t="str">
        <f t="shared" si="57"/>
        <v>--</v>
      </c>
      <c r="AF298" s="2133" t="str">
        <f t="shared" si="57"/>
        <v>--</v>
      </c>
      <c r="AG298" s="2133" t="str">
        <f t="shared" si="57"/>
        <v>--</v>
      </c>
      <c r="AH298" s="2133" t="str">
        <f t="shared" si="57"/>
        <v>--</v>
      </c>
      <c r="AI298" s="2133" t="str">
        <f t="shared" si="57"/>
        <v>--</v>
      </c>
      <c r="AJ298" s="2133" t="str">
        <f t="shared" si="57"/>
        <v>--</v>
      </c>
      <c r="AK298" s="2133" t="str">
        <f t="shared" si="85"/>
        <v>--</v>
      </c>
      <c r="AL298" s="2133" t="str">
        <f t="shared" si="85"/>
        <v>--</v>
      </c>
      <c r="AM298" s="2133" t="str">
        <f t="shared" si="85"/>
        <v>--</v>
      </c>
      <c r="AN298" s="2133" t="str">
        <f t="shared" si="85"/>
        <v>--</v>
      </c>
      <c r="AO298" s="2133" t="str">
        <f t="shared" si="85"/>
        <v>--</v>
      </c>
      <c r="AP298" s="2133" t="str">
        <f t="shared" si="85"/>
        <v>--</v>
      </c>
      <c r="AQ298" s="2133" t="str">
        <f t="shared" si="85"/>
        <v>--</v>
      </c>
      <c r="AR298" s="2133" t="str">
        <f t="shared" si="85"/>
        <v>--</v>
      </c>
      <c r="AS298" s="2133" t="str">
        <f t="shared" si="85"/>
        <v>--</v>
      </c>
      <c r="AT298" s="2133" t="str">
        <f t="shared" si="85"/>
        <v>--</v>
      </c>
      <c r="AU298" s="2133" t="str">
        <f t="shared" si="85"/>
        <v>--</v>
      </c>
      <c r="AV298" s="2133" t="str">
        <f t="shared" si="85"/>
        <v>--</v>
      </c>
      <c r="AW298" s="2133" t="str">
        <f t="shared" si="85"/>
        <v>--</v>
      </c>
      <c r="AX298" s="2133" t="str">
        <f t="shared" si="85"/>
        <v>--</v>
      </c>
      <c r="AY298" s="2133" t="str">
        <f t="shared" si="85"/>
        <v>--</v>
      </c>
      <c r="AZ298" s="2133" t="str">
        <f t="shared" si="85"/>
        <v>--</v>
      </c>
      <c r="BA298" s="2133" t="str">
        <f t="shared" si="85"/>
        <v>--</v>
      </c>
      <c r="BB298" s="2133" t="str">
        <f t="shared" si="85"/>
        <v>--</v>
      </c>
      <c r="BC298" s="2133" t="str">
        <f t="shared" si="85"/>
        <v>--</v>
      </c>
      <c r="BD298" s="2133" t="str">
        <f t="shared" si="85"/>
        <v>--</v>
      </c>
      <c r="BE298" s="2133" t="str">
        <f t="shared" si="85"/>
        <v>--</v>
      </c>
      <c r="BF298" s="2133" t="str">
        <f t="shared" si="85"/>
        <v>--</v>
      </c>
      <c r="BG298" s="2133" t="str">
        <f t="shared" si="85"/>
        <v>--</v>
      </c>
      <c r="BH298" s="2133" t="str">
        <f t="shared" si="85"/>
        <v>--</v>
      </c>
      <c r="BI298" s="2133" t="str">
        <f t="shared" si="85"/>
        <v>--</v>
      </c>
      <c r="BJ298" s="2133" t="str">
        <f t="shared" si="85"/>
        <v>--</v>
      </c>
      <c r="BK298" s="2133" t="str">
        <f t="shared" si="85"/>
        <v>--</v>
      </c>
      <c r="BL298" s="2133" t="str">
        <f t="shared" si="85"/>
        <v>--</v>
      </c>
      <c r="BM298" s="2133" t="str">
        <f t="shared" si="85"/>
        <v>--</v>
      </c>
      <c r="BN298" s="2133" t="str">
        <f t="shared" si="85"/>
        <v>--</v>
      </c>
      <c r="BO298" s="2133" t="str">
        <f t="shared" si="85"/>
        <v>--</v>
      </c>
      <c r="BP298" s="2133" t="str">
        <f t="shared" si="85"/>
        <v>--</v>
      </c>
      <c r="BQ298" s="2133" t="str">
        <f t="shared" si="85"/>
        <v>--</v>
      </c>
      <c r="BR298" s="2133" t="str">
        <f t="shared" si="85"/>
        <v>--</v>
      </c>
      <c r="BS298" s="2133" t="str">
        <f t="shared" si="85"/>
        <v>--</v>
      </c>
      <c r="BT298" s="2133" t="str">
        <f t="shared" si="85"/>
        <v>--</v>
      </c>
      <c r="BU298" s="2133" t="str">
        <f t="shared" si="85"/>
        <v>--</v>
      </c>
      <c r="BV298" s="2133" t="str">
        <f t="shared" si="85"/>
        <v>--</v>
      </c>
      <c r="BW298" s="2133" t="str">
        <f t="shared" si="85"/>
        <v>--</v>
      </c>
      <c r="BX298" s="2133" t="str">
        <f t="shared" si="85"/>
        <v>--</v>
      </c>
      <c r="BY298" s="2133" t="str">
        <f t="shared" si="85"/>
        <v>--</v>
      </c>
      <c r="BZ298" s="2133" t="str">
        <f t="shared" si="85"/>
        <v>--</v>
      </c>
      <c r="CA298" s="2133" t="str">
        <f t="shared" si="85"/>
        <v>--</v>
      </c>
      <c r="CB298" s="2133" t="str">
        <f t="shared" si="85"/>
        <v>--</v>
      </c>
      <c r="CC298" s="2133" t="str">
        <f t="shared" si="85"/>
        <v>--</v>
      </c>
      <c r="CD298" s="2133" t="str">
        <f t="shared" si="85"/>
        <v>--</v>
      </c>
      <c r="CE298" s="2133" t="str">
        <f t="shared" si="85"/>
        <v>--</v>
      </c>
      <c r="CF298" s="2133" t="str">
        <f t="shared" si="85"/>
        <v>--</v>
      </c>
      <c r="CG298" s="2133" t="str">
        <f t="shared" si="85"/>
        <v>--</v>
      </c>
      <c r="CH298" s="2133" t="str">
        <f t="shared" si="85"/>
        <v>--</v>
      </c>
      <c r="CI298" s="2133" t="str">
        <f t="shared" si="85"/>
        <v>--</v>
      </c>
      <c r="CJ298" s="2133" t="str">
        <f t="shared" si="85"/>
        <v>--</v>
      </c>
      <c r="CK298" s="2133" t="str">
        <f t="shared" si="85"/>
        <v>--</v>
      </c>
      <c r="CL298" s="2133" t="str">
        <f t="shared" si="85"/>
        <v>--</v>
      </c>
      <c r="CM298" s="2133" t="str">
        <f t="shared" si="85"/>
        <v>--</v>
      </c>
      <c r="CN298" s="2133" t="str">
        <f t="shared" si="85"/>
        <v>--</v>
      </c>
      <c r="CO298" s="2133" t="str">
        <f t="shared" si="85"/>
        <v>--</v>
      </c>
      <c r="CP298" s="2133" t="str">
        <f t="shared" si="85"/>
        <v>--</v>
      </c>
      <c r="CQ298" s="2133" t="str">
        <f t="shared" si="85"/>
        <v>--</v>
      </c>
      <c r="CR298" s="2133" t="str">
        <f t="shared" si="85"/>
        <v>--</v>
      </c>
      <c r="CS298" s="2133" t="str">
        <f t="shared" si="85"/>
        <v>--</v>
      </c>
      <c r="CT298" s="2133" t="str">
        <f t="shared" si="85"/>
        <v>--</v>
      </c>
      <c r="CU298" s="2133" t="str">
        <f t="shared" si="85"/>
        <v>--</v>
      </c>
      <c r="CV298" s="2133" t="str">
        <f t="shared" si="85"/>
        <v>--</v>
      </c>
      <c r="CW298" s="2133" t="str">
        <f t="shared" si="81"/>
        <v>--</v>
      </c>
      <c r="CX298" s="2133" t="str">
        <f t="shared" si="81"/>
        <v>--</v>
      </c>
      <c r="CY298" s="2133" t="str">
        <f t="shared" si="81"/>
        <v>--</v>
      </c>
      <c r="CZ298" s="2133" t="str">
        <f t="shared" si="81"/>
        <v>--</v>
      </c>
      <c r="DA298" s="2133" t="str">
        <f t="shared" si="81"/>
        <v>--</v>
      </c>
      <c r="DB298" s="2133" t="str">
        <f t="shared" si="81"/>
        <v>--</v>
      </c>
      <c r="DC298" s="2133" t="str">
        <f t="shared" si="81"/>
        <v>--</v>
      </c>
      <c r="DD298" s="2133" t="str">
        <f t="shared" si="81"/>
        <v>--</v>
      </c>
      <c r="DE298" s="2133" t="str">
        <f t="shared" si="81"/>
        <v>--</v>
      </c>
      <c r="DF298" s="2133" t="str">
        <f t="shared" si="81"/>
        <v>--</v>
      </c>
      <c r="DG298" s="2133" t="str">
        <f t="shared" si="81"/>
        <v>--</v>
      </c>
      <c r="DH298" s="2133" t="str">
        <f t="shared" si="81"/>
        <v>--</v>
      </c>
      <c r="DI298" s="2133" t="str">
        <f t="shared" si="81"/>
        <v>--</v>
      </c>
      <c r="DJ298" s="2133" t="str">
        <f t="shared" si="81"/>
        <v>--</v>
      </c>
      <c r="DK298" s="2133" t="str">
        <f t="shared" si="81"/>
        <v>--</v>
      </c>
      <c r="DL298" s="2133" t="str">
        <f t="shared" si="81"/>
        <v>--</v>
      </c>
      <c r="DM298" s="2133" t="str">
        <f t="shared" si="81"/>
        <v>--</v>
      </c>
      <c r="DN298" s="2133" t="str">
        <f t="shared" si="81"/>
        <v>--</v>
      </c>
      <c r="DO298" s="2133" t="str">
        <f t="shared" si="81"/>
        <v>--</v>
      </c>
      <c r="DP298" s="2133" t="str">
        <f t="shared" si="81"/>
        <v>--</v>
      </c>
      <c r="DQ298" s="2133" t="str">
        <f t="shared" si="81"/>
        <v>--</v>
      </c>
      <c r="DR298" s="2133" t="str">
        <f t="shared" si="81"/>
        <v>--</v>
      </c>
      <c r="DS298" s="2133" t="str">
        <f t="shared" si="81"/>
        <v>--</v>
      </c>
      <c r="DT298" s="2133" t="str">
        <f t="shared" si="81"/>
        <v>--</v>
      </c>
      <c r="DU298" s="2133" t="str">
        <f t="shared" si="81"/>
        <v>--</v>
      </c>
      <c r="DV298" s="2133" t="str">
        <f t="shared" si="81"/>
        <v>--</v>
      </c>
      <c r="DW298" s="2133" t="str">
        <f t="shared" si="81"/>
        <v>--</v>
      </c>
      <c r="DX298" s="2133" t="str">
        <f t="shared" si="81"/>
        <v>--</v>
      </c>
      <c r="DY298" s="2133" t="str">
        <f t="shared" si="81"/>
        <v>--</v>
      </c>
      <c r="DZ298" s="2133" t="str">
        <f t="shared" si="81"/>
        <v>--</v>
      </c>
      <c r="EA298" s="2133" t="str">
        <f t="shared" si="81"/>
        <v>--</v>
      </c>
      <c r="EB298" s="2133" t="str">
        <f t="shared" si="81"/>
        <v>--</v>
      </c>
      <c r="EC298" s="2133" t="str">
        <f t="shared" si="81"/>
        <v>--</v>
      </c>
      <c r="ED298" s="2133" t="str">
        <f t="shared" si="81"/>
        <v>--</v>
      </c>
      <c r="EE298" s="2133" t="str">
        <f t="shared" si="81"/>
        <v>--</v>
      </c>
      <c r="EF298" s="2133" t="str">
        <f t="shared" si="81"/>
        <v>--</v>
      </c>
      <c r="EG298" s="2133" t="str">
        <f t="shared" si="81"/>
        <v>--</v>
      </c>
      <c r="EH298" s="2133" t="str">
        <f t="shared" si="81"/>
        <v>--</v>
      </c>
      <c r="EI298" s="2133" t="str">
        <f t="shared" si="81"/>
        <v>--</v>
      </c>
      <c r="EJ298" s="2133" t="str">
        <f t="shared" si="81"/>
        <v>--</v>
      </c>
      <c r="EK298" s="2133" t="str">
        <f t="shared" si="81"/>
        <v>--</v>
      </c>
      <c r="EL298" s="2133" t="str">
        <f t="shared" si="81"/>
        <v>--</v>
      </c>
      <c r="EM298" s="2133" t="str">
        <f t="shared" si="81"/>
        <v>--</v>
      </c>
      <c r="EN298" s="2133" t="str">
        <f t="shared" si="81"/>
        <v>--</v>
      </c>
      <c r="EO298" s="2133" t="str">
        <f t="shared" si="81"/>
        <v>--</v>
      </c>
      <c r="EP298" s="2133" t="str">
        <f t="shared" si="81"/>
        <v>--</v>
      </c>
      <c r="EQ298" s="2133" t="str">
        <f t="shared" si="81"/>
        <v>--</v>
      </c>
      <c r="ER298" s="2133" t="str">
        <f t="shared" si="81"/>
        <v>--</v>
      </c>
      <c r="ES298" s="2133" t="str">
        <f t="shared" si="81"/>
        <v>--</v>
      </c>
      <c r="ET298" s="2133" t="str">
        <f t="shared" si="81"/>
        <v>--</v>
      </c>
      <c r="EU298" s="2133" t="str">
        <f t="shared" si="81"/>
        <v>--</v>
      </c>
      <c r="EV298" s="2133" t="str">
        <f t="shared" si="81"/>
        <v>--</v>
      </c>
      <c r="EW298" s="2133" t="str">
        <f t="shared" si="81"/>
        <v>--</v>
      </c>
      <c r="EX298" s="2133" t="str">
        <f t="shared" si="81"/>
        <v>--</v>
      </c>
      <c r="EY298" s="2133" t="str">
        <f t="shared" si="81"/>
        <v>--</v>
      </c>
      <c r="EZ298" s="2133" t="str">
        <f t="shared" si="81"/>
        <v>--</v>
      </c>
      <c r="FA298" s="2133" t="str">
        <f t="shared" si="81"/>
        <v>--</v>
      </c>
      <c r="FB298" s="2133" t="str">
        <f t="shared" si="81"/>
        <v>--</v>
      </c>
      <c r="FC298" s="2133" t="str">
        <f t="shared" si="81"/>
        <v>--</v>
      </c>
      <c r="FD298" s="2133" t="str">
        <f t="shared" si="81"/>
        <v>--</v>
      </c>
      <c r="FE298" s="2133" t="str">
        <f t="shared" si="81"/>
        <v>--</v>
      </c>
      <c r="FF298" s="2133" t="str">
        <f t="shared" si="81"/>
        <v>--</v>
      </c>
      <c r="FG298" s="2133" t="str">
        <f t="shared" si="81"/>
        <v>--</v>
      </c>
      <c r="FH298" s="2133" t="str">
        <f t="shared" si="82"/>
        <v>--</v>
      </c>
      <c r="FI298" s="2133" t="str">
        <f t="shared" si="82"/>
        <v>--</v>
      </c>
      <c r="FJ298" s="2133" t="str">
        <f t="shared" si="82"/>
        <v>--</v>
      </c>
      <c r="FK298" s="2133" t="str">
        <f t="shared" si="82"/>
        <v>--</v>
      </c>
      <c r="FL298" s="2133" t="str">
        <f t="shared" si="82"/>
        <v>--</v>
      </c>
      <c r="FM298" s="2133" t="str">
        <f t="shared" si="82"/>
        <v>--</v>
      </c>
      <c r="FN298" s="2133" t="str">
        <f t="shared" si="82"/>
        <v>--</v>
      </c>
      <c r="FO298" s="2133" t="str">
        <f t="shared" si="82"/>
        <v>--</v>
      </c>
      <c r="FP298" s="2133" t="str">
        <f t="shared" si="82"/>
        <v>--</v>
      </c>
      <c r="FQ298" s="2133" t="str">
        <f t="shared" si="82"/>
        <v>--</v>
      </c>
      <c r="FR298" s="2133" t="str">
        <f t="shared" si="82"/>
        <v>--</v>
      </c>
      <c r="FS298" s="2133" t="str">
        <f t="shared" si="82"/>
        <v>--</v>
      </c>
      <c r="FT298" s="2133" t="str">
        <f t="shared" si="82"/>
        <v>--</v>
      </c>
      <c r="FU298" s="2133" t="str">
        <f t="shared" si="82"/>
        <v>--</v>
      </c>
      <c r="FV298" s="2133" t="str">
        <f t="shared" si="82"/>
        <v>--</v>
      </c>
      <c r="FW298" s="2133" t="str">
        <f t="shared" si="82"/>
        <v>--</v>
      </c>
      <c r="FX298" s="2133" t="str">
        <f t="shared" si="82"/>
        <v>--</v>
      </c>
      <c r="FY298" s="2133" t="str">
        <f t="shared" si="82"/>
        <v>--</v>
      </c>
      <c r="FZ298" s="2133" t="str">
        <f t="shared" si="82"/>
        <v>--</v>
      </c>
      <c r="GA298" s="2133" t="str">
        <f t="shared" si="82"/>
        <v>--</v>
      </c>
      <c r="GB298" s="2133" t="str">
        <f t="shared" si="82"/>
        <v>--</v>
      </c>
      <c r="GC298" s="2133" t="str">
        <f t="shared" si="82"/>
        <v>--</v>
      </c>
      <c r="GD298" s="2133" t="str">
        <f t="shared" si="82"/>
        <v>--</v>
      </c>
      <c r="GE298" s="2133" t="str">
        <f t="shared" si="82"/>
        <v>--</v>
      </c>
      <c r="GF298" s="2133" t="str">
        <f t="shared" si="82"/>
        <v>--</v>
      </c>
      <c r="GG298" s="2133" t="str">
        <f t="shared" si="82"/>
        <v>--</v>
      </c>
      <c r="GH298" s="2133" t="str">
        <f t="shared" si="82"/>
        <v>--</v>
      </c>
      <c r="GI298" s="2133" t="str">
        <f t="shared" si="82"/>
        <v>--</v>
      </c>
      <c r="GJ298" s="2133" t="str">
        <f t="shared" si="82"/>
        <v>--</v>
      </c>
      <c r="GK298" s="2133" t="str">
        <f t="shared" si="82"/>
        <v>--</v>
      </c>
      <c r="GL298" s="2133" t="str">
        <f t="shared" si="82"/>
        <v>--</v>
      </c>
      <c r="GM298" s="2133" t="str">
        <f t="shared" si="82"/>
        <v>--</v>
      </c>
      <c r="GN298" s="2133" t="str">
        <f t="shared" si="82"/>
        <v>--</v>
      </c>
      <c r="GO298" s="2133" t="str">
        <f t="shared" si="82"/>
        <v>--</v>
      </c>
      <c r="GP298" s="2133" t="str">
        <f t="shared" si="82"/>
        <v>--</v>
      </c>
      <c r="GQ298" s="2133" t="str">
        <f t="shared" si="82"/>
        <v>--</v>
      </c>
      <c r="GR298" s="2133" t="str">
        <f t="shared" si="82"/>
        <v>--</v>
      </c>
      <c r="GS298" s="2133" t="str">
        <f t="shared" si="82"/>
        <v>--</v>
      </c>
      <c r="GT298" s="2133" t="str">
        <f t="shared" si="82"/>
        <v>--</v>
      </c>
      <c r="GU298" s="2133" t="str">
        <f t="shared" si="82"/>
        <v>--</v>
      </c>
      <c r="GV298" s="2133" t="str">
        <f t="shared" si="82"/>
        <v>--</v>
      </c>
      <c r="GW298" s="2133" t="str">
        <f t="shared" si="82"/>
        <v>--</v>
      </c>
      <c r="GX298" s="2133" t="str">
        <f t="shared" si="82"/>
        <v>--</v>
      </c>
      <c r="GY298" s="2133" t="str">
        <f t="shared" si="82"/>
        <v>--</v>
      </c>
      <c r="GZ298" s="2133" t="str">
        <f t="shared" si="82"/>
        <v>--</v>
      </c>
      <c r="HA298" s="2133" t="str">
        <f t="shared" si="82"/>
        <v>--</v>
      </c>
      <c r="HB298" s="2133" t="str">
        <f t="shared" si="82"/>
        <v>--</v>
      </c>
      <c r="HC298" s="2133" t="str">
        <f t="shared" si="82"/>
        <v>--</v>
      </c>
      <c r="HD298" s="2133" t="str">
        <f t="shared" si="82"/>
        <v>--</v>
      </c>
      <c r="HE298" s="2133" t="str">
        <f t="shared" si="82"/>
        <v>--</v>
      </c>
      <c r="HF298" s="2133" t="str">
        <f t="shared" ref="HF298:HT298" si="88">IFERROR(HF236/HF267,"--")</f>
        <v>--</v>
      </c>
      <c r="HG298" s="2133" t="str">
        <f t="shared" si="88"/>
        <v>--</v>
      </c>
      <c r="HH298" s="2133" t="str">
        <f t="shared" si="88"/>
        <v>--</v>
      </c>
      <c r="HI298" s="2133" t="str">
        <f t="shared" si="88"/>
        <v>--</v>
      </c>
      <c r="HJ298" s="2133" t="str">
        <f t="shared" si="88"/>
        <v>--</v>
      </c>
      <c r="HK298" s="2133" t="str">
        <f t="shared" si="88"/>
        <v>--</v>
      </c>
      <c r="HL298" s="2133" t="str">
        <f t="shared" si="88"/>
        <v>--</v>
      </c>
      <c r="HM298" s="2133" t="str">
        <f t="shared" si="88"/>
        <v>--</v>
      </c>
      <c r="HN298" s="2133" t="str">
        <f t="shared" si="88"/>
        <v>--</v>
      </c>
      <c r="HO298" s="2133" t="str">
        <f t="shared" si="88"/>
        <v>--</v>
      </c>
      <c r="HP298" s="2133" t="str">
        <f t="shared" si="88"/>
        <v>--</v>
      </c>
      <c r="HQ298" s="2133" t="str">
        <f t="shared" si="88"/>
        <v>--</v>
      </c>
      <c r="HR298" s="2133" t="str">
        <f t="shared" si="88"/>
        <v>--</v>
      </c>
      <c r="HS298" s="2133" t="str">
        <f t="shared" si="88"/>
        <v>--</v>
      </c>
      <c r="HT298" s="2133" t="str">
        <f t="shared" si="88"/>
        <v>--</v>
      </c>
      <c r="HU298" s="2133" t="str">
        <f t="shared" ref="HU298:JQ299" si="89">IFERROR(HU236/HU267,"--")</f>
        <v>--</v>
      </c>
      <c r="HV298" s="2133" t="str">
        <f t="shared" si="89"/>
        <v>--</v>
      </c>
      <c r="HW298" s="2133" t="str">
        <f t="shared" si="89"/>
        <v>--</v>
      </c>
      <c r="HX298" s="2133" t="str">
        <f t="shared" si="89"/>
        <v>--</v>
      </c>
      <c r="HY298" s="2133" t="str">
        <f t="shared" si="89"/>
        <v>--</v>
      </c>
      <c r="HZ298" s="2133" t="str">
        <f t="shared" si="89"/>
        <v>--</v>
      </c>
      <c r="IA298" s="2133" t="str">
        <f t="shared" si="89"/>
        <v>--</v>
      </c>
      <c r="IB298" s="2133" t="str">
        <f t="shared" si="89"/>
        <v>--</v>
      </c>
      <c r="IC298" s="2133" t="str">
        <f t="shared" si="89"/>
        <v>--</v>
      </c>
      <c r="ID298" s="2133" t="str">
        <f t="shared" si="89"/>
        <v>--</v>
      </c>
      <c r="IE298" s="2133" t="str">
        <f t="shared" si="89"/>
        <v>--</v>
      </c>
      <c r="IF298" s="2133" t="str">
        <f t="shared" si="89"/>
        <v>--</v>
      </c>
      <c r="IG298" s="2133" t="str">
        <f t="shared" si="89"/>
        <v>--</v>
      </c>
      <c r="IH298" s="2133" t="str">
        <f t="shared" si="89"/>
        <v>--</v>
      </c>
      <c r="II298" s="2133" t="str">
        <f t="shared" si="89"/>
        <v>--</v>
      </c>
      <c r="IJ298" s="2133" t="str">
        <f t="shared" si="89"/>
        <v>--</v>
      </c>
      <c r="IK298" s="2133" t="str">
        <f t="shared" si="89"/>
        <v>--</v>
      </c>
      <c r="IL298" s="2133" t="str">
        <f t="shared" si="89"/>
        <v>--</v>
      </c>
      <c r="IM298" s="2133" t="str">
        <f t="shared" si="89"/>
        <v>--</v>
      </c>
      <c r="IN298" s="2133" t="str">
        <f t="shared" si="89"/>
        <v>--</v>
      </c>
      <c r="IO298" s="2133" t="str">
        <f t="shared" si="89"/>
        <v>--</v>
      </c>
      <c r="IP298" s="2133" t="str">
        <f t="shared" si="89"/>
        <v>--</v>
      </c>
      <c r="IQ298" s="2133" t="str">
        <f t="shared" si="89"/>
        <v>--</v>
      </c>
      <c r="IR298" s="2133" t="str">
        <f t="shared" si="89"/>
        <v>--</v>
      </c>
      <c r="IS298" s="2133" t="str">
        <f t="shared" si="89"/>
        <v>--</v>
      </c>
      <c r="IT298" s="2133" t="str">
        <f t="shared" si="89"/>
        <v>--</v>
      </c>
      <c r="IU298" s="2133" t="str">
        <f t="shared" si="89"/>
        <v>--</v>
      </c>
      <c r="IV298" s="2133" t="str">
        <f t="shared" si="89"/>
        <v>--</v>
      </c>
      <c r="IW298" s="2133" t="str">
        <f t="shared" si="89"/>
        <v>--</v>
      </c>
      <c r="IX298" s="2133" t="str">
        <f t="shared" si="89"/>
        <v>--</v>
      </c>
      <c r="IY298" s="2133" t="str">
        <f t="shared" si="89"/>
        <v>--</v>
      </c>
      <c r="IZ298" s="2133" t="str">
        <f t="shared" si="89"/>
        <v>--</v>
      </c>
      <c r="JA298" s="2133" t="str">
        <f t="shared" si="89"/>
        <v>--</v>
      </c>
      <c r="JB298" s="2133" t="str">
        <f t="shared" si="89"/>
        <v>--</v>
      </c>
      <c r="JC298" s="2133" t="str">
        <f t="shared" si="89"/>
        <v>--</v>
      </c>
      <c r="JD298" s="2133" t="str">
        <f t="shared" si="89"/>
        <v>--</v>
      </c>
      <c r="JE298" s="2133" t="str">
        <f t="shared" si="89"/>
        <v>--</v>
      </c>
      <c r="JF298" s="2133" t="str">
        <f t="shared" si="89"/>
        <v>--</v>
      </c>
      <c r="JG298" s="2133" t="str">
        <f t="shared" si="89"/>
        <v>--</v>
      </c>
      <c r="JH298" s="2133" t="str">
        <f t="shared" si="89"/>
        <v>--</v>
      </c>
      <c r="JI298" s="2133" t="str">
        <f t="shared" si="89"/>
        <v>--</v>
      </c>
      <c r="JJ298" s="2133" t="str">
        <f t="shared" si="89"/>
        <v>--</v>
      </c>
      <c r="JK298" s="2133" t="str">
        <f t="shared" si="89"/>
        <v>--</v>
      </c>
      <c r="JL298" s="2133" t="str">
        <f t="shared" si="89"/>
        <v>--</v>
      </c>
      <c r="JM298" s="2133" t="str">
        <f t="shared" si="89"/>
        <v>--</v>
      </c>
      <c r="JN298" s="2133" t="str">
        <f t="shared" si="89"/>
        <v>--</v>
      </c>
      <c r="JO298" s="2133" t="str">
        <f t="shared" si="89"/>
        <v>--</v>
      </c>
      <c r="JP298" s="2133" t="str">
        <f t="shared" si="89"/>
        <v>--</v>
      </c>
      <c r="JQ298" s="2133" t="str">
        <f t="shared" si="89"/>
        <v>--</v>
      </c>
      <c r="JR298" s="2133" t="str">
        <f t="shared" si="56"/>
        <v>--</v>
      </c>
      <c r="JS298" s="2133" t="str">
        <f t="shared" si="56"/>
        <v>--</v>
      </c>
      <c r="JT298" s="2133" t="str">
        <f t="shared" si="56"/>
        <v>--</v>
      </c>
      <c r="JU298" s="2133" t="str">
        <f t="shared" si="56"/>
        <v>--</v>
      </c>
      <c r="JV298" s="2133" t="str">
        <f t="shared" si="56"/>
        <v>--</v>
      </c>
      <c r="JW298" s="2133" t="str">
        <f t="shared" si="56"/>
        <v>--</v>
      </c>
      <c r="JX298" s="2133" t="str">
        <f t="shared" si="56"/>
        <v>--</v>
      </c>
      <c r="JY298" s="2133" t="str">
        <f t="shared" si="56"/>
        <v>--</v>
      </c>
      <c r="JZ298" s="2133" t="str">
        <f t="shared" si="56"/>
        <v>--</v>
      </c>
      <c r="KA298" s="2133" t="str">
        <f t="shared" si="56"/>
        <v>--</v>
      </c>
      <c r="KB298" s="2133" t="str">
        <f t="shared" si="56"/>
        <v>--</v>
      </c>
    </row>
    <row r="299" spans="1:288" s="89" customFormat="1" ht="13.9">
      <c r="A299" s="269" t="str">
        <f t="shared" si="58"/>
        <v>n</v>
      </c>
      <c r="B299" s="2060"/>
      <c r="D299" s="801"/>
      <c r="E299" s="1505">
        <v>14</v>
      </c>
      <c r="F299" s="21" t="str">
        <f>F$142</f>
        <v>--</v>
      </c>
      <c r="G299" s="1441">
        <f>G$142</f>
        <v>0</v>
      </c>
      <c r="H299" s="1441" t="str">
        <f>H$142</f>
        <v>--</v>
      </c>
      <c r="I299" s="89" t="s">
        <v>786</v>
      </c>
      <c r="K299" s="2301" t="str">
        <f>IF(OR(K205=0,$G299=0),"--",IFERROR(_xll.ciqfunctions.udf.CIQ($G299,$I299,K113,Valuation_Date_GC,ReportType,DataMode,$H299,FXMode)*Scale,"--"))</f>
        <v>--</v>
      </c>
      <c r="L299" s="2301" t="str">
        <f>IF(OR(L205=0,$G299=0),"--",IFERROR(_xll.ciqfunctions.udf.CIQ($G299,$I299,L113,Valuation_Date_GC,ReportType,DataMode,$H299,FXMode)*Scale,"--"))</f>
        <v>--</v>
      </c>
      <c r="M299" s="2301" t="str">
        <f>IF(OR(M205=0,$G299=0),"--",IFERROR(_xll.ciqfunctions.udf.CIQ($G299,$I299,M113,Valuation_Date_GC,ReportType,DataMode,$H299,FXMode)*Scale,"--"))</f>
        <v>--</v>
      </c>
      <c r="N299" s="2301" t="str">
        <f>IF(OR(N205=0,$G299=0),"--",IFERROR(_xll.ciqfunctions.udf.CIQ($G299,$I299,N113,Valuation_Date_GC,ReportType,DataMode,$H299,FXMode)*Scale,"--"))</f>
        <v>--</v>
      </c>
      <c r="O299" s="1471" t="str">
        <f>IF(OR(O205=0,$G299=0),"--",IFERROR(_xll.ciqfunctions.udf.CIQ($G299,$I299,O113,Valuation_Date_GC,ReportType,DataMode,$H299,FXMode)*Scale,"--"))</f>
        <v>--</v>
      </c>
      <c r="P299" s="2301" t="str">
        <f>IF(OR(P205=0,$G299=0),"--",IFERROR(_xll.ciqfunctions.udf.CIQ($G299,$I299,P113,Valuation_Date_GC,ReportType,DataMode,$H299,FXMode)*Scale,"--"))</f>
        <v>--</v>
      </c>
      <c r="R299" s="255"/>
      <c r="S299" s="1958" t="str">
        <f t="shared" si="84"/>
        <v>--</v>
      </c>
      <c r="T299" s="1779" t="s">
        <v>787</v>
      </c>
      <c r="U299" s="2133" t="str">
        <f t="shared" si="57"/>
        <v>--</v>
      </c>
      <c r="V299" s="2133" t="str">
        <f t="shared" si="57"/>
        <v>--</v>
      </c>
      <c r="W299" s="2133" t="str">
        <f t="shared" si="57"/>
        <v>--</v>
      </c>
      <c r="X299" s="2133" t="str">
        <f t="shared" si="57"/>
        <v>--</v>
      </c>
      <c r="Y299" s="2133" t="str">
        <f t="shared" si="57"/>
        <v>--</v>
      </c>
      <c r="Z299" s="2133" t="str">
        <f t="shared" si="57"/>
        <v>--</v>
      </c>
      <c r="AA299" s="2133" t="str">
        <f t="shared" si="57"/>
        <v>--</v>
      </c>
      <c r="AB299" s="2133" t="str">
        <f t="shared" si="57"/>
        <v>--</v>
      </c>
      <c r="AC299" s="2133" t="str">
        <f t="shared" si="57"/>
        <v>--</v>
      </c>
      <c r="AD299" s="2133" t="str">
        <f t="shared" si="57"/>
        <v>--</v>
      </c>
      <c r="AE299" s="2133" t="str">
        <f t="shared" si="57"/>
        <v>--</v>
      </c>
      <c r="AF299" s="2133" t="str">
        <f t="shared" si="57"/>
        <v>--</v>
      </c>
      <c r="AG299" s="2133" t="str">
        <f t="shared" si="57"/>
        <v>--</v>
      </c>
      <c r="AH299" s="2133" t="str">
        <f t="shared" si="57"/>
        <v>--</v>
      </c>
      <c r="AI299" s="2133" t="str">
        <f t="shared" si="57"/>
        <v>--</v>
      </c>
      <c r="AJ299" s="2133" t="str">
        <f t="shared" si="57"/>
        <v>--</v>
      </c>
      <c r="AK299" s="2133" t="str">
        <f t="shared" si="85"/>
        <v>--</v>
      </c>
      <c r="AL299" s="2133" t="str">
        <f t="shared" si="85"/>
        <v>--</v>
      </c>
      <c r="AM299" s="2133" t="str">
        <f t="shared" si="85"/>
        <v>--</v>
      </c>
      <c r="AN299" s="2133" t="str">
        <f t="shared" si="85"/>
        <v>--</v>
      </c>
      <c r="AO299" s="2133" t="str">
        <f t="shared" si="85"/>
        <v>--</v>
      </c>
      <c r="AP299" s="2133" t="str">
        <f t="shared" si="85"/>
        <v>--</v>
      </c>
      <c r="AQ299" s="2133" t="str">
        <f t="shared" si="85"/>
        <v>--</v>
      </c>
      <c r="AR299" s="2133" t="str">
        <f t="shared" si="85"/>
        <v>--</v>
      </c>
      <c r="AS299" s="2133" t="str">
        <f t="shared" si="85"/>
        <v>--</v>
      </c>
      <c r="AT299" s="2133" t="str">
        <f t="shared" si="85"/>
        <v>--</v>
      </c>
      <c r="AU299" s="2133" t="str">
        <f t="shared" si="85"/>
        <v>--</v>
      </c>
      <c r="AV299" s="2133" t="str">
        <f t="shared" si="85"/>
        <v>--</v>
      </c>
      <c r="AW299" s="2133" t="str">
        <f t="shared" si="85"/>
        <v>--</v>
      </c>
      <c r="AX299" s="2133" t="str">
        <f t="shared" si="85"/>
        <v>--</v>
      </c>
      <c r="AY299" s="2133" t="str">
        <f t="shared" si="85"/>
        <v>--</v>
      </c>
      <c r="AZ299" s="2133" t="str">
        <f t="shared" si="85"/>
        <v>--</v>
      </c>
      <c r="BA299" s="2133" t="str">
        <f t="shared" si="85"/>
        <v>--</v>
      </c>
      <c r="BB299" s="2133" t="str">
        <f t="shared" si="85"/>
        <v>--</v>
      </c>
      <c r="BC299" s="2133" t="str">
        <f t="shared" si="85"/>
        <v>--</v>
      </c>
      <c r="BD299" s="2133" t="str">
        <f t="shared" si="85"/>
        <v>--</v>
      </c>
      <c r="BE299" s="2133" t="str">
        <f t="shared" si="85"/>
        <v>--</v>
      </c>
      <c r="BF299" s="2133" t="str">
        <f t="shared" si="85"/>
        <v>--</v>
      </c>
      <c r="BG299" s="2133" t="str">
        <f t="shared" si="85"/>
        <v>--</v>
      </c>
      <c r="BH299" s="2133" t="str">
        <f t="shared" si="85"/>
        <v>--</v>
      </c>
      <c r="BI299" s="2133" t="str">
        <f t="shared" si="85"/>
        <v>--</v>
      </c>
      <c r="BJ299" s="2133" t="str">
        <f t="shared" si="85"/>
        <v>--</v>
      </c>
      <c r="BK299" s="2133" t="str">
        <f t="shared" si="85"/>
        <v>--</v>
      </c>
      <c r="BL299" s="2133" t="str">
        <f t="shared" si="85"/>
        <v>--</v>
      </c>
      <c r="BM299" s="2133" t="str">
        <f t="shared" si="85"/>
        <v>--</v>
      </c>
      <c r="BN299" s="2133" t="str">
        <f t="shared" si="85"/>
        <v>--</v>
      </c>
      <c r="BO299" s="2133" t="str">
        <f t="shared" si="85"/>
        <v>--</v>
      </c>
      <c r="BP299" s="2133" t="str">
        <f t="shared" si="85"/>
        <v>--</v>
      </c>
      <c r="BQ299" s="2133" t="str">
        <f t="shared" si="85"/>
        <v>--</v>
      </c>
      <c r="BR299" s="2133" t="str">
        <f t="shared" si="85"/>
        <v>--</v>
      </c>
      <c r="BS299" s="2133" t="str">
        <f t="shared" si="85"/>
        <v>--</v>
      </c>
      <c r="BT299" s="2133" t="str">
        <f t="shared" si="85"/>
        <v>--</v>
      </c>
      <c r="BU299" s="2133" t="str">
        <f t="shared" si="85"/>
        <v>--</v>
      </c>
      <c r="BV299" s="2133" t="str">
        <f t="shared" si="85"/>
        <v>--</v>
      </c>
      <c r="BW299" s="2133" t="str">
        <f t="shared" si="85"/>
        <v>--</v>
      </c>
      <c r="BX299" s="2133" t="str">
        <f t="shared" si="85"/>
        <v>--</v>
      </c>
      <c r="BY299" s="2133" t="str">
        <f t="shared" si="85"/>
        <v>--</v>
      </c>
      <c r="BZ299" s="2133" t="str">
        <f t="shared" si="85"/>
        <v>--</v>
      </c>
      <c r="CA299" s="2133" t="str">
        <f t="shared" si="85"/>
        <v>--</v>
      </c>
      <c r="CB299" s="2133" t="str">
        <f t="shared" si="85"/>
        <v>--</v>
      </c>
      <c r="CC299" s="2133" t="str">
        <f t="shared" si="85"/>
        <v>--</v>
      </c>
      <c r="CD299" s="2133" t="str">
        <f t="shared" si="85"/>
        <v>--</v>
      </c>
      <c r="CE299" s="2133" t="str">
        <f t="shared" si="85"/>
        <v>--</v>
      </c>
      <c r="CF299" s="2133" t="str">
        <f t="shared" si="85"/>
        <v>--</v>
      </c>
      <c r="CG299" s="2133" t="str">
        <f t="shared" si="85"/>
        <v>--</v>
      </c>
      <c r="CH299" s="2133" t="str">
        <f t="shared" si="85"/>
        <v>--</v>
      </c>
      <c r="CI299" s="2133" t="str">
        <f t="shared" si="85"/>
        <v>--</v>
      </c>
      <c r="CJ299" s="2133" t="str">
        <f t="shared" si="85"/>
        <v>--</v>
      </c>
      <c r="CK299" s="2133" t="str">
        <f t="shared" si="85"/>
        <v>--</v>
      </c>
      <c r="CL299" s="2133" t="str">
        <f t="shared" si="85"/>
        <v>--</v>
      </c>
      <c r="CM299" s="2133" t="str">
        <f t="shared" si="85"/>
        <v>--</v>
      </c>
      <c r="CN299" s="2133" t="str">
        <f t="shared" si="85"/>
        <v>--</v>
      </c>
      <c r="CO299" s="2133" t="str">
        <f t="shared" si="85"/>
        <v>--</v>
      </c>
      <c r="CP299" s="2133" t="str">
        <f t="shared" si="85"/>
        <v>--</v>
      </c>
      <c r="CQ299" s="2133" t="str">
        <f t="shared" si="85"/>
        <v>--</v>
      </c>
      <c r="CR299" s="2133" t="str">
        <f t="shared" si="85"/>
        <v>--</v>
      </c>
      <c r="CS299" s="2133" t="str">
        <f t="shared" si="85"/>
        <v>--</v>
      </c>
      <c r="CT299" s="2133" t="str">
        <f t="shared" si="85"/>
        <v>--</v>
      </c>
      <c r="CU299" s="2133" t="str">
        <f t="shared" si="85"/>
        <v>--</v>
      </c>
      <c r="CV299" s="2133" t="str">
        <f t="shared" si="85"/>
        <v>--</v>
      </c>
      <c r="CW299" s="2133" t="str">
        <f t="shared" si="81"/>
        <v>--</v>
      </c>
      <c r="CX299" s="2133" t="str">
        <f t="shared" si="81"/>
        <v>--</v>
      </c>
      <c r="CY299" s="2133" t="str">
        <f t="shared" si="81"/>
        <v>--</v>
      </c>
      <c r="CZ299" s="2133" t="str">
        <f t="shared" si="81"/>
        <v>--</v>
      </c>
      <c r="DA299" s="2133" t="str">
        <f t="shared" si="81"/>
        <v>--</v>
      </c>
      <c r="DB299" s="2133" t="str">
        <f t="shared" si="81"/>
        <v>--</v>
      </c>
      <c r="DC299" s="2133" t="str">
        <f t="shared" si="81"/>
        <v>--</v>
      </c>
      <c r="DD299" s="2133" t="str">
        <f t="shared" si="81"/>
        <v>--</v>
      </c>
      <c r="DE299" s="2133" t="str">
        <f t="shared" si="81"/>
        <v>--</v>
      </c>
      <c r="DF299" s="2133" t="str">
        <f t="shared" si="81"/>
        <v>--</v>
      </c>
      <c r="DG299" s="2133" t="str">
        <f t="shared" si="81"/>
        <v>--</v>
      </c>
      <c r="DH299" s="2133" t="str">
        <f t="shared" si="81"/>
        <v>--</v>
      </c>
      <c r="DI299" s="2133" t="str">
        <f t="shared" si="81"/>
        <v>--</v>
      </c>
      <c r="DJ299" s="2133" t="str">
        <f t="shared" si="81"/>
        <v>--</v>
      </c>
      <c r="DK299" s="2133" t="str">
        <f t="shared" si="81"/>
        <v>--</v>
      </c>
      <c r="DL299" s="2133" t="str">
        <f t="shared" si="81"/>
        <v>--</v>
      </c>
      <c r="DM299" s="2133" t="str">
        <f t="shared" si="81"/>
        <v>--</v>
      </c>
      <c r="DN299" s="2133" t="str">
        <f t="shared" si="81"/>
        <v>--</v>
      </c>
      <c r="DO299" s="2133" t="str">
        <f t="shared" si="81"/>
        <v>--</v>
      </c>
      <c r="DP299" s="2133" t="str">
        <f t="shared" si="81"/>
        <v>--</v>
      </c>
      <c r="DQ299" s="2133" t="str">
        <f t="shared" si="81"/>
        <v>--</v>
      </c>
      <c r="DR299" s="2133" t="str">
        <f t="shared" si="81"/>
        <v>--</v>
      </c>
      <c r="DS299" s="2133" t="str">
        <f t="shared" si="81"/>
        <v>--</v>
      </c>
      <c r="DT299" s="2133" t="str">
        <f t="shared" si="81"/>
        <v>--</v>
      </c>
      <c r="DU299" s="2133" t="str">
        <f t="shared" si="81"/>
        <v>--</v>
      </c>
      <c r="DV299" s="2133" t="str">
        <f t="shared" si="81"/>
        <v>--</v>
      </c>
      <c r="DW299" s="2133" t="str">
        <f t="shared" si="81"/>
        <v>--</v>
      </c>
      <c r="DX299" s="2133" t="str">
        <f t="shared" si="81"/>
        <v>--</v>
      </c>
      <c r="DY299" s="2133" t="str">
        <f t="shared" si="81"/>
        <v>--</v>
      </c>
      <c r="DZ299" s="2133" t="str">
        <f t="shared" si="81"/>
        <v>--</v>
      </c>
      <c r="EA299" s="2133" t="str">
        <f t="shared" si="81"/>
        <v>--</v>
      </c>
      <c r="EB299" s="2133" t="str">
        <f t="shared" si="81"/>
        <v>--</v>
      </c>
      <c r="EC299" s="2133" t="str">
        <f t="shared" si="81"/>
        <v>--</v>
      </c>
      <c r="ED299" s="2133" t="str">
        <f t="shared" si="81"/>
        <v>--</v>
      </c>
      <c r="EE299" s="2133" t="str">
        <f t="shared" si="81"/>
        <v>--</v>
      </c>
      <c r="EF299" s="2133" t="str">
        <f t="shared" si="81"/>
        <v>--</v>
      </c>
      <c r="EG299" s="2133" t="str">
        <f t="shared" si="81"/>
        <v>--</v>
      </c>
      <c r="EH299" s="2133" t="str">
        <f t="shared" si="81"/>
        <v>--</v>
      </c>
      <c r="EI299" s="2133" t="str">
        <f t="shared" si="81"/>
        <v>--</v>
      </c>
      <c r="EJ299" s="2133" t="str">
        <f t="shared" si="81"/>
        <v>--</v>
      </c>
      <c r="EK299" s="2133" t="str">
        <f t="shared" si="81"/>
        <v>--</v>
      </c>
      <c r="EL299" s="2133" t="str">
        <f t="shared" si="81"/>
        <v>--</v>
      </c>
      <c r="EM299" s="2133" t="str">
        <f t="shared" si="81"/>
        <v>--</v>
      </c>
      <c r="EN299" s="2133" t="str">
        <f t="shared" si="81"/>
        <v>--</v>
      </c>
      <c r="EO299" s="2133" t="str">
        <f t="shared" si="81"/>
        <v>--</v>
      </c>
      <c r="EP299" s="2133" t="str">
        <f t="shared" si="81"/>
        <v>--</v>
      </c>
      <c r="EQ299" s="2133" t="str">
        <f t="shared" si="81"/>
        <v>--</v>
      </c>
      <c r="ER299" s="2133" t="str">
        <f t="shared" si="81"/>
        <v>--</v>
      </c>
      <c r="ES299" s="2133" t="str">
        <f t="shared" si="81"/>
        <v>--</v>
      </c>
      <c r="ET299" s="2133" t="str">
        <f t="shared" si="81"/>
        <v>--</v>
      </c>
      <c r="EU299" s="2133" t="str">
        <f t="shared" si="81"/>
        <v>--</v>
      </c>
      <c r="EV299" s="2133" t="str">
        <f t="shared" si="81"/>
        <v>--</v>
      </c>
      <c r="EW299" s="2133" t="str">
        <f t="shared" si="81"/>
        <v>--</v>
      </c>
      <c r="EX299" s="2133" t="str">
        <f t="shared" si="81"/>
        <v>--</v>
      </c>
      <c r="EY299" s="2133" t="str">
        <f t="shared" si="81"/>
        <v>--</v>
      </c>
      <c r="EZ299" s="2133" t="str">
        <f t="shared" si="81"/>
        <v>--</v>
      </c>
      <c r="FA299" s="2133" t="str">
        <f t="shared" si="81"/>
        <v>--</v>
      </c>
      <c r="FB299" s="2133" t="str">
        <f t="shared" si="81"/>
        <v>--</v>
      </c>
      <c r="FC299" s="2133" t="str">
        <f t="shared" si="81"/>
        <v>--</v>
      </c>
      <c r="FD299" s="2133" t="str">
        <f t="shared" si="81"/>
        <v>--</v>
      </c>
      <c r="FE299" s="2133" t="str">
        <f t="shared" si="81"/>
        <v>--</v>
      </c>
      <c r="FF299" s="2133" t="str">
        <f t="shared" si="81"/>
        <v>--</v>
      </c>
      <c r="FG299" s="2133" t="str">
        <f t="shared" si="81"/>
        <v>--</v>
      </c>
      <c r="FH299" s="2133" t="str">
        <f t="shared" si="82"/>
        <v>--</v>
      </c>
      <c r="FI299" s="2133" t="str">
        <f t="shared" si="82"/>
        <v>--</v>
      </c>
      <c r="FJ299" s="2133" t="str">
        <f t="shared" si="82"/>
        <v>--</v>
      </c>
      <c r="FK299" s="2133" t="str">
        <f t="shared" si="82"/>
        <v>--</v>
      </c>
      <c r="FL299" s="2133" t="str">
        <f t="shared" si="82"/>
        <v>--</v>
      </c>
      <c r="FM299" s="2133" t="str">
        <f t="shared" si="82"/>
        <v>--</v>
      </c>
      <c r="FN299" s="2133" t="str">
        <f t="shared" si="82"/>
        <v>--</v>
      </c>
      <c r="FO299" s="2133" t="str">
        <f t="shared" si="82"/>
        <v>--</v>
      </c>
      <c r="FP299" s="2133" t="str">
        <f t="shared" si="82"/>
        <v>--</v>
      </c>
      <c r="FQ299" s="2133" t="str">
        <f t="shared" si="82"/>
        <v>--</v>
      </c>
      <c r="FR299" s="2133" t="str">
        <f t="shared" si="82"/>
        <v>--</v>
      </c>
      <c r="FS299" s="2133" t="str">
        <f t="shared" si="82"/>
        <v>--</v>
      </c>
      <c r="FT299" s="2133" t="str">
        <f t="shared" si="82"/>
        <v>--</v>
      </c>
      <c r="FU299" s="2133" t="str">
        <f t="shared" si="82"/>
        <v>--</v>
      </c>
      <c r="FV299" s="2133" t="str">
        <f t="shared" si="82"/>
        <v>--</v>
      </c>
      <c r="FW299" s="2133" t="str">
        <f t="shared" si="82"/>
        <v>--</v>
      </c>
      <c r="FX299" s="2133" t="str">
        <f t="shared" si="82"/>
        <v>--</v>
      </c>
      <c r="FY299" s="2133" t="str">
        <f t="shared" si="82"/>
        <v>--</v>
      </c>
      <c r="FZ299" s="2133" t="str">
        <f t="shared" si="82"/>
        <v>--</v>
      </c>
      <c r="GA299" s="2133" t="str">
        <f t="shared" si="82"/>
        <v>--</v>
      </c>
      <c r="GB299" s="2133" t="str">
        <f t="shared" si="82"/>
        <v>--</v>
      </c>
      <c r="GC299" s="2133" t="str">
        <f t="shared" si="82"/>
        <v>--</v>
      </c>
      <c r="GD299" s="2133" t="str">
        <f t="shared" si="82"/>
        <v>--</v>
      </c>
      <c r="GE299" s="2133" t="str">
        <f t="shared" si="82"/>
        <v>--</v>
      </c>
      <c r="GF299" s="2133" t="str">
        <f t="shared" si="82"/>
        <v>--</v>
      </c>
      <c r="GG299" s="2133" t="str">
        <f t="shared" si="82"/>
        <v>--</v>
      </c>
      <c r="GH299" s="2133" t="str">
        <f t="shared" si="82"/>
        <v>--</v>
      </c>
      <c r="GI299" s="2133" t="str">
        <f t="shared" si="82"/>
        <v>--</v>
      </c>
      <c r="GJ299" s="2133" t="str">
        <f t="shared" si="82"/>
        <v>--</v>
      </c>
      <c r="GK299" s="2133" t="str">
        <f t="shared" si="82"/>
        <v>--</v>
      </c>
      <c r="GL299" s="2133" t="str">
        <f t="shared" si="82"/>
        <v>--</v>
      </c>
      <c r="GM299" s="2133" t="str">
        <f t="shared" si="82"/>
        <v>--</v>
      </c>
      <c r="GN299" s="2133" t="str">
        <f t="shared" si="82"/>
        <v>--</v>
      </c>
      <c r="GO299" s="2133" t="str">
        <f t="shared" si="82"/>
        <v>--</v>
      </c>
      <c r="GP299" s="2133" t="str">
        <f t="shared" si="82"/>
        <v>--</v>
      </c>
      <c r="GQ299" s="2133" t="str">
        <f t="shared" si="82"/>
        <v>--</v>
      </c>
      <c r="GR299" s="2133" t="str">
        <f t="shared" si="82"/>
        <v>--</v>
      </c>
      <c r="GS299" s="2133" t="str">
        <f t="shared" si="82"/>
        <v>--</v>
      </c>
      <c r="GT299" s="2133" t="str">
        <f t="shared" si="82"/>
        <v>--</v>
      </c>
      <c r="GU299" s="2133" t="str">
        <f t="shared" si="82"/>
        <v>--</v>
      </c>
      <c r="GV299" s="2133" t="str">
        <f t="shared" si="82"/>
        <v>--</v>
      </c>
      <c r="GW299" s="2133" t="str">
        <f t="shared" si="82"/>
        <v>--</v>
      </c>
      <c r="GX299" s="2133" t="str">
        <f t="shared" si="82"/>
        <v>--</v>
      </c>
      <c r="GY299" s="2133" t="str">
        <f t="shared" si="82"/>
        <v>--</v>
      </c>
      <c r="GZ299" s="2133" t="str">
        <f t="shared" si="82"/>
        <v>--</v>
      </c>
      <c r="HA299" s="2133" t="str">
        <f t="shared" si="82"/>
        <v>--</v>
      </c>
      <c r="HB299" s="2133" t="str">
        <f t="shared" si="82"/>
        <v>--</v>
      </c>
      <c r="HC299" s="2133" t="str">
        <f t="shared" si="82"/>
        <v>--</v>
      </c>
      <c r="HD299" s="2133" t="str">
        <f t="shared" si="82"/>
        <v>--</v>
      </c>
      <c r="HE299" s="2133" t="str">
        <f t="shared" si="82"/>
        <v>--</v>
      </c>
      <c r="HF299" s="2133" t="str">
        <f t="shared" ref="HF299:HT299" si="90">IFERROR(HF237/HF268,"--")</f>
        <v>--</v>
      </c>
      <c r="HG299" s="2133" t="str">
        <f t="shared" si="90"/>
        <v>--</v>
      </c>
      <c r="HH299" s="2133" t="str">
        <f t="shared" si="90"/>
        <v>--</v>
      </c>
      <c r="HI299" s="2133" t="str">
        <f t="shared" si="90"/>
        <v>--</v>
      </c>
      <c r="HJ299" s="2133" t="str">
        <f t="shared" si="90"/>
        <v>--</v>
      </c>
      <c r="HK299" s="2133" t="str">
        <f t="shared" si="90"/>
        <v>--</v>
      </c>
      <c r="HL299" s="2133" t="str">
        <f t="shared" si="90"/>
        <v>--</v>
      </c>
      <c r="HM299" s="2133" t="str">
        <f t="shared" si="90"/>
        <v>--</v>
      </c>
      <c r="HN299" s="2133" t="str">
        <f t="shared" si="90"/>
        <v>--</v>
      </c>
      <c r="HO299" s="2133" t="str">
        <f t="shared" si="90"/>
        <v>--</v>
      </c>
      <c r="HP299" s="2133" t="str">
        <f t="shared" si="90"/>
        <v>--</v>
      </c>
      <c r="HQ299" s="2133" t="str">
        <f t="shared" si="90"/>
        <v>--</v>
      </c>
      <c r="HR299" s="2133" t="str">
        <f t="shared" si="90"/>
        <v>--</v>
      </c>
      <c r="HS299" s="2133" t="str">
        <f t="shared" si="90"/>
        <v>--</v>
      </c>
      <c r="HT299" s="2133" t="str">
        <f t="shared" si="90"/>
        <v>--</v>
      </c>
      <c r="HU299" s="2133" t="str">
        <f t="shared" si="89"/>
        <v>--</v>
      </c>
      <c r="HV299" s="2133" t="str">
        <f t="shared" si="89"/>
        <v>--</v>
      </c>
      <c r="HW299" s="2133" t="str">
        <f t="shared" si="89"/>
        <v>--</v>
      </c>
      <c r="HX299" s="2133" t="str">
        <f t="shared" si="89"/>
        <v>--</v>
      </c>
      <c r="HY299" s="2133" t="str">
        <f t="shared" si="89"/>
        <v>--</v>
      </c>
      <c r="HZ299" s="2133" t="str">
        <f t="shared" si="89"/>
        <v>--</v>
      </c>
      <c r="IA299" s="2133" t="str">
        <f t="shared" si="89"/>
        <v>--</v>
      </c>
      <c r="IB299" s="2133" t="str">
        <f t="shared" si="89"/>
        <v>--</v>
      </c>
      <c r="IC299" s="2133" t="str">
        <f t="shared" si="89"/>
        <v>--</v>
      </c>
      <c r="ID299" s="2133" t="str">
        <f t="shared" si="89"/>
        <v>--</v>
      </c>
      <c r="IE299" s="2133" t="str">
        <f t="shared" si="89"/>
        <v>--</v>
      </c>
      <c r="IF299" s="2133" t="str">
        <f t="shared" si="89"/>
        <v>--</v>
      </c>
      <c r="IG299" s="2133" t="str">
        <f t="shared" si="89"/>
        <v>--</v>
      </c>
      <c r="IH299" s="2133" t="str">
        <f t="shared" si="89"/>
        <v>--</v>
      </c>
      <c r="II299" s="2133" t="str">
        <f t="shared" si="89"/>
        <v>--</v>
      </c>
      <c r="IJ299" s="2133" t="str">
        <f t="shared" si="89"/>
        <v>--</v>
      </c>
      <c r="IK299" s="2133" t="str">
        <f t="shared" si="89"/>
        <v>--</v>
      </c>
      <c r="IL299" s="2133" t="str">
        <f t="shared" si="89"/>
        <v>--</v>
      </c>
      <c r="IM299" s="2133" t="str">
        <f t="shared" si="89"/>
        <v>--</v>
      </c>
      <c r="IN299" s="2133" t="str">
        <f t="shared" si="89"/>
        <v>--</v>
      </c>
      <c r="IO299" s="2133" t="str">
        <f t="shared" si="89"/>
        <v>--</v>
      </c>
      <c r="IP299" s="2133" t="str">
        <f t="shared" si="89"/>
        <v>--</v>
      </c>
      <c r="IQ299" s="2133" t="str">
        <f t="shared" si="89"/>
        <v>--</v>
      </c>
      <c r="IR299" s="2133" t="str">
        <f t="shared" si="89"/>
        <v>--</v>
      </c>
      <c r="IS299" s="2133" t="str">
        <f t="shared" si="89"/>
        <v>--</v>
      </c>
      <c r="IT299" s="2133" t="str">
        <f t="shared" si="89"/>
        <v>--</v>
      </c>
      <c r="IU299" s="2133" t="str">
        <f t="shared" si="89"/>
        <v>--</v>
      </c>
      <c r="IV299" s="2133" t="str">
        <f t="shared" si="89"/>
        <v>--</v>
      </c>
      <c r="IW299" s="2133" t="str">
        <f t="shared" si="89"/>
        <v>--</v>
      </c>
      <c r="IX299" s="2133" t="str">
        <f t="shared" si="89"/>
        <v>--</v>
      </c>
      <c r="IY299" s="2133" t="str">
        <f t="shared" si="89"/>
        <v>--</v>
      </c>
      <c r="IZ299" s="2133" t="str">
        <f t="shared" si="89"/>
        <v>--</v>
      </c>
      <c r="JA299" s="2133" t="str">
        <f t="shared" si="89"/>
        <v>--</v>
      </c>
      <c r="JB299" s="2133" t="str">
        <f t="shared" si="89"/>
        <v>--</v>
      </c>
      <c r="JC299" s="2133" t="str">
        <f t="shared" si="89"/>
        <v>--</v>
      </c>
      <c r="JD299" s="2133" t="str">
        <f t="shared" si="89"/>
        <v>--</v>
      </c>
      <c r="JE299" s="2133" t="str">
        <f t="shared" si="89"/>
        <v>--</v>
      </c>
      <c r="JF299" s="2133" t="str">
        <f t="shared" si="89"/>
        <v>--</v>
      </c>
      <c r="JG299" s="2133" t="str">
        <f t="shared" si="89"/>
        <v>--</v>
      </c>
      <c r="JH299" s="2133" t="str">
        <f t="shared" si="89"/>
        <v>--</v>
      </c>
      <c r="JI299" s="2133" t="str">
        <f t="shared" si="89"/>
        <v>--</v>
      </c>
      <c r="JJ299" s="2133" t="str">
        <f t="shared" si="89"/>
        <v>--</v>
      </c>
      <c r="JK299" s="2133" t="str">
        <f t="shared" si="89"/>
        <v>--</v>
      </c>
      <c r="JL299" s="2133" t="str">
        <f t="shared" si="89"/>
        <v>--</v>
      </c>
      <c r="JM299" s="2133" t="str">
        <f t="shared" si="89"/>
        <v>--</v>
      </c>
      <c r="JN299" s="2133" t="str">
        <f t="shared" si="89"/>
        <v>--</v>
      </c>
      <c r="JO299" s="2133" t="str">
        <f t="shared" si="89"/>
        <v>--</v>
      </c>
      <c r="JP299" s="2133" t="str">
        <f t="shared" si="89"/>
        <v>--</v>
      </c>
      <c r="JQ299" s="2133" t="str">
        <f t="shared" si="89"/>
        <v>--</v>
      </c>
      <c r="JR299" s="2133" t="str">
        <f t="shared" si="56"/>
        <v>--</v>
      </c>
      <c r="JS299" s="2133" t="str">
        <f t="shared" si="56"/>
        <v>--</v>
      </c>
      <c r="JT299" s="2133" t="str">
        <f t="shared" si="56"/>
        <v>--</v>
      </c>
      <c r="JU299" s="2133" t="str">
        <f t="shared" si="56"/>
        <v>--</v>
      </c>
      <c r="JV299" s="2133" t="str">
        <f t="shared" si="56"/>
        <v>--</v>
      </c>
      <c r="JW299" s="2133" t="str">
        <f t="shared" si="56"/>
        <v>--</v>
      </c>
      <c r="JX299" s="2133" t="str">
        <f t="shared" si="56"/>
        <v>--</v>
      </c>
      <c r="JY299" s="2133" t="str">
        <f t="shared" si="56"/>
        <v>--</v>
      </c>
      <c r="JZ299" s="2133" t="str">
        <f t="shared" si="56"/>
        <v>--</v>
      </c>
      <c r="KA299" s="2133" t="str">
        <f t="shared" si="56"/>
        <v>--</v>
      </c>
      <c r="KB299" s="2133" t="str">
        <f t="shared" si="56"/>
        <v>--</v>
      </c>
    </row>
    <row r="300" spans="1:288" s="89" customFormat="1" ht="13.9">
      <c r="A300" s="269" t="str">
        <f t="shared" si="58"/>
        <v>n</v>
      </c>
      <c r="B300" s="2060"/>
      <c r="D300" s="801"/>
      <c r="E300" s="1505">
        <v>15</v>
      </c>
      <c r="F300" s="21" t="str">
        <f>F$143</f>
        <v>--</v>
      </c>
      <c r="G300" s="1441">
        <f>G$143</f>
        <v>0</v>
      </c>
      <c r="H300" s="1441" t="str">
        <f>H$143</f>
        <v>--</v>
      </c>
      <c r="I300" s="89" t="s">
        <v>786</v>
      </c>
      <c r="K300" s="2301" t="str">
        <f>IF(OR(K206=0,$G300=0),"--",IFERROR(_xll.ciqfunctions.udf.CIQ($G300,$I300,K114,Valuation_Date_GC,ReportType,DataMode,$H300,FXMode)*Scale,"--"))</f>
        <v>--</v>
      </c>
      <c r="L300" s="2301" t="str">
        <f>IF(OR(L206=0,$G300=0),"--",IFERROR(_xll.ciqfunctions.udf.CIQ($G300,$I300,L114,Valuation_Date_GC,ReportType,DataMode,$H300,FXMode)*Scale,"--"))</f>
        <v>--</v>
      </c>
      <c r="M300" s="2301" t="str">
        <f>IF(OR(M206=0,$G300=0),"--",IFERROR(_xll.ciqfunctions.udf.CIQ($G300,$I300,M114,Valuation_Date_GC,ReportType,DataMode,$H300,FXMode)*Scale,"--"))</f>
        <v>--</v>
      </c>
      <c r="N300" s="2301" t="str">
        <f>IF(OR(N206=0,$G300=0),"--",IFERROR(_xll.ciqfunctions.udf.CIQ($G300,$I300,N114,Valuation_Date_GC,ReportType,DataMode,$H300,FXMode)*Scale,"--"))</f>
        <v>--</v>
      </c>
      <c r="O300" s="1471" t="str">
        <f>IF(OR(O206=0,$G300=0),"--",IFERROR(_xll.ciqfunctions.udf.CIQ($G300,$I300,O114,Valuation_Date_GC,ReportType,DataMode,$H300,FXMode)*Scale,"--"))</f>
        <v>--</v>
      </c>
      <c r="P300" s="2301" t="str">
        <f>IF(OR(P206=0,$G300=0),"--",IFERROR(_xll.ciqfunctions.udf.CIQ($G300,$I300,P114,Valuation_Date_GC,ReportType,DataMode,$H300,FXMode)*Scale,"--"))</f>
        <v>--</v>
      </c>
      <c r="R300" s="255"/>
      <c r="S300" s="1958" t="str">
        <f t="shared" si="84"/>
        <v>--</v>
      </c>
      <c r="T300" s="1779" t="s">
        <v>787</v>
      </c>
      <c r="U300" s="2133" t="str">
        <f t="shared" si="57"/>
        <v>--</v>
      </c>
      <c r="V300" s="2133" t="str">
        <f t="shared" si="57"/>
        <v>--</v>
      </c>
      <c r="W300" s="2133" t="str">
        <f t="shared" si="57"/>
        <v>--</v>
      </c>
      <c r="X300" s="2133" t="str">
        <f t="shared" si="57"/>
        <v>--</v>
      </c>
      <c r="Y300" s="2133" t="str">
        <f t="shared" si="57"/>
        <v>--</v>
      </c>
      <c r="Z300" s="2133" t="str">
        <f t="shared" si="57"/>
        <v>--</v>
      </c>
      <c r="AA300" s="2133" t="str">
        <f t="shared" si="57"/>
        <v>--</v>
      </c>
      <c r="AB300" s="2133" t="str">
        <f t="shared" si="57"/>
        <v>--</v>
      </c>
      <c r="AC300" s="2133" t="str">
        <f t="shared" si="57"/>
        <v>--</v>
      </c>
      <c r="AD300" s="2133" t="str">
        <f t="shared" si="57"/>
        <v>--</v>
      </c>
      <c r="AE300" s="2133" t="str">
        <f t="shared" si="57"/>
        <v>--</v>
      </c>
      <c r="AF300" s="2133" t="str">
        <f t="shared" si="57"/>
        <v>--</v>
      </c>
      <c r="AG300" s="2133" t="str">
        <f t="shared" si="57"/>
        <v>--</v>
      </c>
      <c r="AH300" s="2133" t="str">
        <f t="shared" si="57"/>
        <v>--</v>
      </c>
      <c r="AI300" s="2133" t="str">
        <f t="shared" si="57"/>
        <v>--</v>
      </c>
      <c r="AJ300" s="2133" t="str">
        <f t="shared" si="57"/>
        <v>--</v>
      </c>
      <c r="AK300" s="2133" t="str">
        <f t="shared" si="85"/>
        <v>--</v>
      </c>
      <c r="AL300" s="2133" t="str">
        <f t="shared" si="85"/>
        <v>--</v>
      </c>
      <c r="AM300" s="2133" t="str">
        <f t="shared" si="85"/>
        <v>--</v>
      </c>
      <c r="AN300" s="2133" t="str">
        <f t="shared" si="85"/>
        <v>--</v>
      </c>
      <c r="AO300" s="2133" t="str">
        <f t="shared" si="85"/>
        <v>--</v>
      </c>
      <c r="AP300" s="2133" t="str">
        <f t="shared" si="85"/>
        <v>--</v>
      </c>
      <c r="AQ300" s="2133" t="str">
        <f t="shared" si="85"/>
        <v>--</v>
      </c>
      <c r="AR300" s="2133" t="str">
        <f t="shared" si="85"/>
        <v>--</v>
      </c>
      <c r="AS300" s="2133" t="str">
        <f t="shared" si="85"/>
        <v>--</v>
      </c>
      <c r="AT300" s="2133" t="str">
        <f t="shared" si="85"/>
        <v>--</v>
      </c>
      <c r="AU300" s="2133" t="str">
        <f t="shared" si="85"/>
        <v>--</v>
      </c>
      <c r="AV300" s="2133" t="str">
        <f t="shared" si="85"/>
        <v>--</v>
      </c>
      <c r="AW300" s="2133" t="str">
        <f t="shared" si="85"/>
        <v>--</v>
      </c>
      <c r="AX300" s="2133" t="str">
        <f t="shared" si="85"/>
        <v>--</v>
      </c>
      <c r="AY300" s="2133" t="str">
        <f t="shared" si="85"/>
        <v>--</v>
      </c>
      <c r="AZ300" s="2133" t="str">
        <f t="shared" si="85"/>
        <v>--</v>
      </c>
      <c r="BA300" s="2133" t="str">
        <f t="shared" si="85"/>
        <v>--</v>
      </c>
      <c r="BB300" s="2133" t="str">
        <f t="shared" si="85"/>
        <v>--</v>
      </c>
      <c r="BC300" s="2133" t="str">
        <f t="shared" si="85"/>
        <v>--</v>
      </c>
      <c r="BD300" s="2133" t="str">
        <f t="shared" si="85"/>
        <v>--</v>
      </c>
      <c r="BE300" s="2133" t="str">
        <f t="shared" si="85"/>
        <v>--</v>
      </c>
      <c r="BF300" s="2133" t="str">
        <f t="shared" si="85"/>
        <v>--</v>
      </c>
      <c r="BG300" s="2133" t="str">
        <f t="shared" si="85"/>
        <v>--</v>
      </c>
      <c r="BH300" s="2133" t="str">
        <f t="shared" si="85"/>
        <v>--</v>
      </c>
      <c r="BI300" s="2133" t="str">
        <f t="shared" si="85"/>
        <v>--</v>
      </c>
      <c r="BJ300" s="2133" t="str">
        <f t="shared" si="85"/>
        <v>--</v>
      </c>
      <c r="BK300" s="2133" t="str">
        <f t="shared" si="85"/>
        <v>--</v>
      </c>
      <c r="BL300" s="2133" t="str">
        <f t="shared" si="85"/>
        <v>--</v>
      </c>
      <c r="BM300" s="2133" t="str">
        <f t="shared" si="85"/>
        <v>--</v>
      </c>
      <c r="BN300" s="2133" t="str">
        <f t="shared" si="85"/>
        <v>--</v>
      </c>
      <c r="BO300" s="2133" t="str">
        <f t="shared" si="85"/>
        <v>--</v>
      </c>
      <c r="BP300" s="2133" t="str">
        <f t="shared" si="85"/>
        <v>--</v>
      </c>
      <c r="BQ300" s="2133" t="str">
        <f t="shared" si="85"/>
        <v>--</v>
      </c>
      <c r="BR300" s="2133" t="str">
        <f t="shared" si="85"/>
        <v>--</v>
      </c>
      <c r="BS300" s="2133" t="str">
        <f t="shared" si="85"/>
        <v>--</v>
      </c>
      <c r="BT300" s="2133" t="str">
        <f t="shared" si="85"/>
        <v>--</v>
      </c>
      <c r="BU300" s="2133" t="str">
        <f t="shared" si="85"/>
        <v>--</v>
      </c>
      <c r="BV300" s="2133" t="str">
        <f t="shared" si="85"/>
        <v>--</v>
      </c>
      <c r="BW300" s="2133" t="str">
        <f t="shared" si="85"/>
        <v>--</v>
      </c>
      <c r="BX300" s="2133" t="str">
        <f t="shared" si="85"/>
        <v>--</v>
      </c>
      <c r="BY300" s="2133" t="str">
        <f t="shared" si="85"/>
        <v>--</v>
      </c>
      <c r="BZ300" s="2133" t="str">
        <f t="shared" si="85"/>
        <v>--</v>
      </c>
      <c r="CA300" s="2133" t="str">
        <f t="shared" si="85"/>
        <v>--</v>
      </c>
      <c r="CB300" s="2133" t="str">
        <f t="shared" si="85"/>
        <v>--</v>
      </c>
      <c r="CC300" s="2133" t="str">
        <f t="shared" si="85"/>
        <v>--</v>
      </c>
      <c r="CD300" s="2133" t="str">
        <f t="shared" si="85"/>
        <v>--</v>
      </c>
      <c r="CE300" s="2133" t="str">
        <f t="shared" si="85"/>
        <v>--</v>
      </c>
      <c r="CF300" s="2133" t="str">
        <f t="shared" si="85"/>
        <v>--</v>
      </c>
      <c r="CG300" s="2133" t="str">
        <f t="shared" si="85"/>
        <v>--</v>
      </c>
      <c r="CH300" s="2133" t="str">
        <f t="shared" si="85"/>
        <v>--</v>
      </c>
      <c r="CI300" s="2133" t="str">
        <f t="shared" si="85"/>
        <v>--</v>
      </c>
      <c r="CJ300" s="2133" t="str">
        <f t="shared" si="85"/>
        <v>--</v>
      </c>
      <c r="CK300" s="2133" t="str">
        <f t="shared" si="85"/>
        <v>--</v>
      </c>
      <c r="CL300" s="2133" t="str">
        <f t="shared" si="85"/>
        <v>--</v>
      </c>
      <c r="CM300" s="2133" t="str">
        <f t="shared" si="85"/>
        <v>--</v>
      </c>
      <c r="CN300" s="2133" t="str">
        <f t="shared" si="85"/>
        <v>--</v>
      </c>
      <c r="CO300" s="2133" t="str">
        <f t="shared" si="85"/>
        <v>--</v>
      </c>
      <c r="CP300" s="2133" t="str">
        <f t="shared" si="85"/>
        <v>--</v>
      </c>
      <c r="CQ300" s="2133" t="str">
        <f t="shared" si="85"/>
        <v>--</v>
      </c>
      <c r="CR300" s="2133" t="str">
        <f t="shared" si="85"/>
        <v>--</v>
      </c>
      <c r="CS300" s="2133" t="str">
        <f t="shared" si="85"/>
        <v>--</v>
      </c>
      <c r="CT300" s="2133" t="str">
        <f t="shared" si="85"/>
        <v>--</v>
      </c>
      <c r="CU300" s="2133" t="str">
        <f t="shared" si="85"/>
        <v>--</v>
      </c>
      <c r="CV300" s="2133" t="str">
        <f t="shared" ref="CV300:FG304" si="91">IFERROR(CV238/CV269,"--")</f>
        <v>--</v>
      </c>
      <c r="CW300" s="2133" t="str">
        <f t="shared" si="91"/>
        <v>--</v>
      </c>
      <c r="CX300" s="2133" t="str">
        <f t="shared" si="91"/>
        <v>--</v>
      </c>
      <c r="CY300" s="2133" t="str">
        <f t="shared" si="91"/>
        <v>--</v>
      </c>
      <c r="CZ300" s="2133" t="str">
        <f t="shared" si="91"/>
        <v>--</v>
      </c>
      <c r="DA300" s="2133" t="str">
        <f t="shared" si="91"/>
        <v>--</v>
      </c>
      <c r="DB300" s="2133" t="str">
        <f t="shared" si="91"/>
        <v>--</v>
      </c>
      <c r="DC300" s="2133" t="str">
        <f t="shared" si="91"/>
        <v>--</v>
      </c>
      <c r="DD300" s="2133" t="str">
        <f t="shared" si="91"/>
        <v>--</v>
      </c>
      <c r="DE300" s="2133" t="str">
        <f t="shared" si="91"/>
        <v>--</v>
      </c>
      <c r="DF300" s="2133" t="str">
        <f t="shared" si="91"/>
        <v>--</v>
      </c>
      <c r="DG300" s="2133" t="str">
        <f t="shared" si="91"/>
        <v>--</v>
      </c>
      <c r="DH300" s="2133" t="str">
        <f t="shared" si="91"/>
        <v>--</v>
      </c>
      <c r="DI300" s="2133" t="str">
        <f t="shared" si="91"/>
        <v>--</v>
      </c>
      <c r="DJ300" s="2133" t="str">
        <f t="shared" si="91"/>
        <v>--</v>
      </c>
      <c r="DK300" s="2133" t="str">
        <f t="shared" si="91"/>
        <v>--</v>
      </c>
      <c r="DL300" s="2133" t="str">
        <f t="shared" si="91"/>
        <v>--</v>
      </c>
      <c r="DM300" s="2133" t="str">
        <f t="shared" si="91"/>
        <v>--</v>
      </c>
      <c r="DN300" s="2133" t="str">
        <f t="shared" si="91"/>
        <v>--</v>
      </c>
      <c r="DO300" s="2133" t="str">
        <f t="shared" si="91"/>
        <v>--</v>
      </c>
      <c r="DP300" s="2133" t="str">
        <f t="shared" si="91"/>
        <v>--</v>
      </c>
      <c r="DQ300" s="2133" t="str">
        <f t="shared" si="91"/>
        <v>--</v>
      </c>
      <c r="DR300" s="2133" t="str">
        <f t="shared" si="91"/>
        <v>--</v>
      </c>
      <c r="DS300" s="2133" t="str">
        <f t="shared" si="91"/>
        <v>--</v>
      </c>
      <c r="DT300" s="2133" t="str">
        <f t="shared" si="91"/>
        <v>--</v>
      </c>
      <c r="DU300" s="2133" t="str">
        <f t="shared" si="91"/>
        <v>--</v>
      </c>
      <c r="DV300" s="2133" t="str">
        <f t="shared" si="91"/>
        <v>--</v>
      </c>
      <c r="DW300" s="2133" t="str">
        <f t="shared" si="91"/>
        <v>--</v>
      </c>
      <c r="DX300" s="2133" t="str">
        <f t="shared" si="91"/>
        <v>--</v>
      </c>
      <c r="DY300" s="2133" t="str">
        <f t="shared" si="91"/>
        <v>--</v>
      </c>
      <c r="DZ300" s="2133" t="str">
        <f t="shared" si="91"/>
        <v>--</v>
      </c>
      <c r="EA300" s="2133" t="str">
        <f t="shared" si="91"/>
        <v>--</v>
      </c>
      <c r="EB300" s="2133" t="str">
        <f t="shared" si="91"/>
        <v>--</v>
      </c>
      <c r="EC300" s="2133" t="str">
        <f t="shared" si="91"/>
        <v>--</v>
      </c>
      <c r="ED300" s="2133" t="str">
        <f t="shared" si="91"/>
        <v>--</v>
      </c>
      <c r="EE300" s="2133" t="str">
        <f t="shared" si="91"/>
        <v>--</v>
      </c>
      <c r="EF300" s="2133" t="str">
        <f t="shared" si="91"/>
        <v>--</v>
      </c>
      <c r="EG300" s="2133" t="str">
        <f t="shared" si="91"/>
        <v>--</v>
      </c>
      <c r="EH300" s="2133" t="str">
        <f t="shared" si="91"/>
        <v>--</v>
      </c>
      <c r="EI300" s="2133" t="str">
        <f t="shared" si="91"/>
        <v>--</v>
      </c>
      <c r="EJ300" s="2133" t="str">
        <f t="shared" si="91"/>
        <v>--</v>
      </c>
      <c r="EK300" s="2133" t="str">
        <f t="shared" si="91"/>
        <v>--</v>
      </c>
      <c r="EL300" s="2133" t="str">
        <f t="shared" si="91"/>
        <v>--</v>
      </c>
      <c r="EM300" s="2133" t="str">
        <f t="shared" si="91"/>
        <v>--</v>
      </c>
      <c r="EN300" s="2133" t="str">
        <f t="shared" si="91"/>
        <v>--</v>
      </c>
      <c r="EO300" s="2133" t="str">
        <f t="shared" si="91"/>
        <v>--</v>
      </c>
      <c r="EP300" s="2133" t="str">
        <f t="shared" si="91"/>
        <v>--</v>
      </c>
      <c r="EQ300" s="2133" t="str">
        <f t="shared" si="91"/>
        <v>--</v>
      </c>
      <c r="ER300" s="2133" t="str">
        <f t="shared" si="91"/>
        <v>--</v>
      </c>
      <c r="ES300" s="2133" t="str">
        <f t="shared" si="91"/>
        <v>--</v>
      </c>
      <c r="ET300" s="2133" t="str">
        <f t="shared" si="81"/>
        <v>--</v>
      </c>
      <c r="EU300" s="2133" t="str">
        <f t="shared" si="81"/>
        <v>--</v>
      </c>
      <c r="EV300" s="2133" t="str">
        <f t="shared" si="81"/>
        <v>--</v>
      </c>
      <c r="EW300" s="2133" t="str">
        <f t="shared" si="81"/>
        <v>--</v>
      </c>
      <c r="EX300" s="2133" t="str">
        <f t="shared" si="81"/>
        <v>--</v>
      </c>
      <c r="EY300" s="2133" t="str">
        <f t="shared" si="81"/>
        <v>--</v>
      </c>
      <c r="EZ300" s="2133" t="str">
        <f t="shared" si="81"/>
        <v>--</v>
      </c>
      <c r="FA300" s="2133" t="str">
        <f t="shared" si="81"/>
        <v>--</v>
      </c>
      <c r="FB300" s="2133" t="str">
        <f t="shared" si="81"/>
        <v>--</v>
      </c>
      <c r="FC300" s="2133" t="str">
        <f t="shared" si="81"/>
        <v>--</v>
      </c>
      <c r="FD300" s="2133" t="str">
        <f t="shared" si="81"/>
        <v>--</v>
      </c>
      <c r="FE300" s="2133" t="str">
        <f t="shared" si="81"/>
        <v>--</v>
      </c>
      <c r="FF300" s="2133" t="str">
        <f t="shared" si="81"/>
        <v>--</v>
      </c>
      <c r="FG300" s="2133" t="str">
        <f t="shared" si="81"/>
        <v>--</v>
      </c>
      <c r="FH300" s="2133" t="str">
        <f t="shared" si="82"/>
        <v>--</v>
      </c>
      <c r="FI300" s="2133" t="str">
        <f t="shared" si="82"/>
        <v>--</v>
      </c>
      <c r="FJ300" s="2133" t="str">
        <f t="shared" si="82"/>
        <v>--</v>
      </c>
      <c r="FK300" s="2133" t="str">
        <f t="shared" si="82"/>
        <v>--</v>
      </c>
      <c r="FL300" s="2133" t="str">
        <f t="shared" si="82"/>
        <v>--</v>
      </c>
      <c r="FM300" s="2133" t="str">
        <f t="shared" si="82"/>
        <v>--</v>
      </c>
      <c r="FN300" s="2133" t="str">
        <f t="shared" si="82"/>
        <v>--</v>
      </c>
      <c r="FO300" s="2133" t="str">
        <f t="shared" si="82"/>
        <v>--</v>
      </c>
      <c r="FP300" s="2133" t="str">
        <f t="shared" si="82"/>
        <v>--</v>
      </c>
      <c r="FQ300" s="2133" t="str">
        <f t="shared" si="82"/>
        <v>--</v>
      </c>
      <c r="FR300" s="2133" t="str">
        <f t="shared" si="82"/>
        <v>--</v>
      </c>
      <c r="FS300" s="2133" t="str">
        <f t="shared" si="82"/>
        <v>--</v>
      </c>
      <c r="FT300" s="2133" t="str">
        <f t="shared" si="82"/>
        <v>--</v>
      </c>
      <c r="FU300" s="2133" t="str">
        <f t="shared" si="82"/>
        <v>--</v>
      </c>
      <c r="FV300" s="2133" t="str">
        <f t="shared" si="82"/>
        <v>--</v>
      </c>
      <c r="FW300" s="2133" t="str">
        <f t="shared" si="82"/>
        <v>--</v>
      </c>
      <c r="FX300" s="2133" t="str">
        <f t="shared" si="82"/>
        <v>--</v>
      </c>
      <c r="FY300" s="2133" t="str">
        <f t="shared" si="82"/>
        <v>--</v>
      </c>
      <c r="FZ300" s="2133" t="str">
        <f t="shared" si="82"/>
        <v>--</v>
      </c>
      <c r="GA300" s="2133" t="str">
        <f t="shared" si="82"/>
        <v>--</v>
      </c>
      <c r="GB300" s="2133" t="str">
        <f t="shared" si="82"/>
        <v>--</v>
      </c>
      <c r="GC300" s="2133" t="str">
        <f t="shared" si="82"/>
        <v>--</v>
      </c>
      <c r="GD300" s="2133" t="str">
        <f t="shared" si="82"/>
        <v>--</v>
      </c>
      <c r="GE300" s="2133" t="str">
        <f t="shared" si="82"/>
        <v>--</v>
      </c>
      <c r="GF300" s="2133" t="str">
        <f t="shared" si="82"/>
        <v>--</v>
      </c>
      <c r="GG300" s="2133" t="str">
        <f t="shared" si="82"/>
        <v>--</v>
      </c>
      <c r="GH300" s="2133" t="str">
        <f t="shared" si="82"/>
        <v>--</v>
      </c>
      <c r="GI300" s="2133" t="str">
        <f t="shared" si="82"/>
        <v>--</v>
      </c>
      <c r="GJ300" s="2133" t="str">
        <f t="shared" si="82"/>
        <v>--</v>
      </c>
      <c r="GK300" s="2133" t="str">
        <f t="shared" si="82"/>
        <v>--</v>
      </c>
      <c r="GL300" s="2133" t="str">
        <f t="shared" si="82"/>
        <v>--</v>
      </c>
      <c r="GM300" s="2133" t="str">
        <f t="shared" si="82"/>
        <v>--</v>
      </c>
      <c r="GN300" s="2133" t="str">
        <f t="shared" si="82"/>
        <v>--</v>
      </c>
      <c r="GO300" s="2133" t="str">
        <f t="shared" si="82"/>
        <v>--</v>
      </c>
      <c r="GP300" s="2133" t="str">
        <f t="shared" si="82"/>
        <v>--</v>
      </c>
      <c r="GQ300" s="2133" t="str">
        <f t="shared" si="82"/>
        <v>--</v>
      </c>
      <c r="GR300" s="2133" t="str">
        <f t="shared" si="82"/>
        <v>--</v>
      </c>
      <c r="GS300" s="2133" t="str">
        <f t="shared" si="82"/>
        <v>--</v>
      </c>
      <c r="GT300" s="2133" t="str">
        <f t="shared" si="82"/>
        <v>--</v>
      </c>
      <c r="GU300" s="2133" t="str">
        <f t="shared" si="82"/>
        <v>--</v>
      </c>
      <c r="GV300" s="2133" t="str">
        <f t="shared" si="82"/>
        <v>--</v>
      </c>
      <c r="GW300" s="2133" t="str">
        <f t="shared" si="82"/>
        <v>--</v>
      </c>
      <c r="GX300" s="2133" t="str">
        <f t="shared" si="82"/>
        <v>--</v>
      </c>
      <c r="GY300" s="2133" t="str">
        <f t="shared" si="82"/>
        <v>--</v>
      </c>
      <c r="GZ300" s="2133" t="str">
        <f t="shared" ref="GZ300:HH300" si="92">IFERROR(GZ238/GZ269,"--")</f>
        <v>--</v>
      </c>
      <c r="HA300" s="2133" t="str">
        <f t="shared" si="92"/>
        <v>--</v>
      </c>
      <c r="HB300" s="2133" t="str">
        <f t="shared" si="92"/>
        <v>--</v>
      </c>
      <c r="HC300" s="2133" t="str">
        <f t="shared" si="92"/>
        <v>--</v>
      </c>
      <c r="HD300" s="2133" t="str">
        <f t="shared" si="92"/>
        <v>--</v>
      </c>
      <c r="HE300" s="2133" t="str">
        <f t="shared" si="92"/>
        <v>--</v>
      </c>
      <c r="HF300" s="2133" t="str">
        <f t="shared" si="92"/>
        <v>--</v>
      </c>
      <c r="HG300" s="2133" t="str">
        <f t="shared" si="92"/>
        <v>--</v>
      </c>
      <c r="HH300" s="2133" t="str">
        <f t="shared" si="92"/>
        <v>--</v>
      </c>
      <c r="HI300" s="2133" t="str">
        <f t="shared" ref="HI300:JQ300" si="93">IFERROR(HI238/HI269,"--")</f>
        <v>--</v>
      </c>
      <c r="HJ300" s="2133" t="str">
        <f t="shared" si="93"/>
        <v>--</v>
      </c>
      <c r="HK300" s="2133" t="str">
        <f t="shared" si="93"/>
        <v>--</v>
      </c>
      <c r="HL300" s="2133" t="str">
        <f t="shared" si="93"/>
        <v>--</v>
      </c>
      <c r="HM300" s="2133" t="str">
        <f t="shared" si="93"/>
        <v>--</v>
      </c>
      <c r="HN300" s="2133" t="str">
        <f t="shared" si="93"/>
        <v>--</v>
      </c>
      <c r="HO300" s="2133" t="str">
        <f t="shared" si="93"/>
        <v>--</v>
      </c>
      <c r="HP300" s="2133" t="str">
        <f t="shared" si="93"/>
        <v>--</v>
      </c>
      <c r="HQ300" s="2133" t="str">
        <f t="shared" si="93"/>
        <v>--</v>
      </c>
      <c r="HR300" s="2133" t="str">
        <f t="shared" si="93"/>
        <v>--</v>
      </c>
      <c r="HS300" s="2133" t="str">
        <f t="shared" si="93"/>
        <v>--</v>
      </c>
      <c r="HT300" s="2133" t="str">
        <f t="shared" si="93"/>
        <v>--</v>
      </c>
      <c r="HU300" s="2133" t="str">
        <f t="shared" si="93"/>
        <v>--</v>
      </c>
      <c r="HV300" s="2133" t="str">
        <f t="shared" si="93"/>
        <v>--</v>
      </c>
      <c r="HW300" s="2133" t="str">
        <f t="shared" si="93"/>
        <v>--</v>
      </c>
      <c r="HX300" s="2133" t="str">
        <f t="shared" si="93"/>
        <v>--</v>
      </c>
      <c r="HY300" s="2133" t="str">
        <f t="shared" si="93"/>
        <v>--</v>
      </c>
      <c r="HZ300" s="2133" t="str">
        <f t="shared" si="93"/>
        <v>--</v>
      </c>
      <c r="IA300" s="2133" t="str">
        <f t="shared" si="93"/>
        <v>--</v>
      </c>
      <c r="IB300" s="2133" t="str">
        <f t="shared" si="93"/>
        <v>--</v>
      </c>
      <c r="IC300" s="2133" t="str">
        <f t="shared" si="93"/>
        <v>--</v>
      </c>
      <c r="ID300" s="2133" t="str">
        <f t="shared" si="93"/>
        <v>--</v>
      </c>
      <c r="IE300" s="2133" t="str">
        <f t="shared" si="93"/>
        <v>--</v>
      </c>
      <c r="IF300" s="2133" t="str">
        <f t="shared" si="93"/>
        <v>--</v>
      </c>
      <c r="IG300" s="2133" t="str">
        <f t="shared" si="93"/>
        <v>--</v>
      </c>
      <c r="IH300" s="2133" t="str">
        <f t="shared" si="93"/>
        <v>--</v>
      </c>
      <c r="II300" s="2133" t="str">
        <f t="shared" si="93"/>
        <v>--</v>
      </c>
      <c r="IJ300" s="2133" t="str">
        <f t="shared" si="93"/>
        <v>--</v>
      </c>
      <c r="IK300" s="2133" t="str">
        <f t="shared" si="93"/>
        <v>--</v>
      </c>
      <c r="IL300" s="2133" t="str">
        <f t="shared" si="93"/>
        <v>--</v>
      </c>
      <c r="IM300" s="2133" t="str">
        <f t="shared" si="93"/>
        <v>--</v>
      </c>
      <c r="IN300" s="2133" t="str">
        <f t="shared" si="93"/>
        <v>--</v>
      </c>
      <c r="IO300" s="2133" t="str">
        <f t="shared" si="93"/>
        <v>--</v>
      </c>
      <c r="IP300" s="2133" t="str">
        <f t="shared" si="93"/>
        <v>--</v>
      </c>
      <c r="IQ300" s="2133" t="str">
        <f t="shared" si="93"/>
        <v>--</v>
      </c>
      <c r="IR300" s="2133" t="str">
        <f t="shared" si="93"/>
        <v>--</v>
      </c>
      <c r="IS300" s="2133" t="str">
        <f t="shared" si="93"/>
        <v>--</v>
      </c>
      <c r="IT300" s="2133" t="str">
        <f t="shared" si="93"/>
        <v>--</v>
      </c>
      <c r="IU300" s="2133" t="str">
        <f t="shared" si="93"/>
        <v>--</v>
      </c>
      <c r="IV300" s="2133" t="str">
        <f t="shared" si="93"/>
        <v>--</v>
      </c>
      <c r="IW300" s="2133" t="str">
        <f t="shared" si="93"/>
        <v>--</v>
      </c>
      <c r="IX300" s="2133" t="str">
        <f t="shared" si="93"/>
        <v>--</v>
      </c>
      <c r="IY300" s="2133" t="str">
        <f t="shared" si="93"/>
        <v>--</v>
      </c>
      <c r="IZ300" s="2133" t="str">
        <f t="shared" si="93"/>
        <v>--</v>
      </c>
      <c r="JA300" s="2133" t="str">
        <f t="shared" si="93"/>
        <v>--</v>
      </c>
      <c r="JB300" s="2133" t="str">
        <f t="shared" si="93"/>
        <v>--</v>
      </c>
      <c r="JC300" s="2133" t="str">
        <f t="shared" si="93"/>
        <v>--</v>
      </c>
      <c r="JD300" s="2133" t="str">
        <f t="shared" si="93"/>
        <v>--</v>
      </c>
      <c r="JE300" s="2133" t="str">
        <f t="shared" si="93"/>
        <v>--</v>
      </c>
      <c r="JF300" s="2133" t="str">
        <f t="shared" si="93"/>
        <v>--</v>
      </c>
      <c r="JG300" s="2133" t="str">
        <f t="shared" si="93"/>
        <v>--</v>
      </c>
      <c r="JH300" s="2133" t="str">
        <f t="shared" si="93"/>
        <v>--</v>
      </c>
      <c r="JI300" s="2133" t="str">
        <f t="shared" si="93"/>
        <v>--</v>
      </c>
      <c r="JJ300" s="2133" t="str">
        <f t="shared" si="93"/>
        <v>--</v>
      </c>
      <c r="JK300" s="2133" t="str">
        <f t="shared" si="93"/>
        <v>--</v>
      </c>
      <c r="JL300" s="2133" t="str">
        <f t="shared" si="93"/>
        <v>--</v>
      </c>
      <c r="JM300" s="2133" t="str">
        <f t="shared" si="93"/>
        <v>--</v>
      </c>
      <c r="JN300" s="2133" t="str">
        <f t="shared" si="93"/>
        <v>--</v>
      </c>
      <c r="JO300" s="2133" t="str">
        <f t="shared" si="93"/>
        <v>--</v>
      </c>
      <c r="JP300" s="2133" t="str">
        <f t="shared" si="93"/>
        <v>--</v>
      </c>
      <c r="JQ300" s="2133" t="str">
        <f t="shared" si="93"/>
        <v>--</v>
      </c>
      <c r="JR300" s="2133" t="str">
        <f t="shared" si="56"/>
        <v>--</v>
      </c>
      <c r="JS300" s="2133" t="str">
        <f t="shared" si="56"/>
        <v>--</v>
      </c>
      <c r="JT300" s="2133" t="str">
        <f t="shared" si="56"/>
        <v>--</v>
      </c>
      <c r="JU300" s="2133" t="str">
        <f t="shared" si="56"/>
        <v>--</v>
      </c>
      <c r="JV300" s="2133" t="str">
        <f t="shared" si="56"/>
        <v>--</v>
      </c>
      <c r="JW300" s="2133" t="str">
        <f t="shared" si="56"/>
        <v>--</v>
      </c>
      <c r="JX300" s="2133" t="str">
        <f t="shared" si="56"/>
        <v>--</v>
      </c>
      <c r="JY300" s="2133" t="str">
        <f t="shared" si="56"/>
        <v>--</v>
      </c>
      <c r="JZ300" s="2133" t="str">
        <f t="shared" si="56"/>
        <v>--</v>
      </c>
      <c r="KA300" s="2133" t="str">
        <f t="shared" si="56"/>
        <v>--</v>
      </c>
      <c r="KB300" s="2133" t="str">
        <f t="shared" si="56"/>
        <v>--</v>
      </c>
    </row>
    <row r="301" spans="1:288" s="89" customFormat="1" ht="13.9">
      <c r="A301" s="269" t="str">
        <f t="shared" si="58"/>
        <v>n</v>
      </c>
      <c r="B301" s="2060"/>
      <c r="D301" s="801"/>
      <c r="E301" s="1505">
        <v>16</v>
      </c>
      <c r="F301" s="21" t="str">
        <f>F$144</f>
        <v>--</v>
      </c>
      <c r="G301" s="1441">
        <f>G$144</f>
        <v>0</v>
      </c>
      <c r="H301" s="1441" t="str">
        <f>H$144</f>
        <v>--</v>
      </c>
      <c r="I301" s="89" t="s">
        <v>786</v>
      </c>
      <c r="K301" s="2301" t="str">
        <f>IF(OR(K207=0,$G301=0),"--",IFERROR(_xll.ciqfunctions.udf.CIQ($G301,$I301,K115,Valuation_Date_GC,ReportType,DataMode,$H301,FXMode)*Scale,"--"))</f>
        <v>--</v>
      </c>
      <c r="L301" s="2301" t="str">
        <f>IF(OR(L207=0,$G301=0),"--",IFERROR(_xll.ciqfunctions.udf.CIQ($G301,$I301,L115,Valuation_Date_GC,ReportType,DataMode,$H301,FXMode)*Scale,"--"))</f>
        <v>--</v>
      </c>
      <c r="M301" s="2301" t="str">
        <f>IF(OR(M207=0,$G301=0),"--",IFERROR(_xll.ciqfunctions.udf.CIQ($G301,$I301,M115,Valuation_Date_GC,ReportType,DataMode,$H301,FXMode)*Scale,"--"))</f>
        <v>--</v>
      </c>
      <c r="N301" s="2301" t="str">
        <f>IF(OR(N207=0,$G301=0),"--",IFERROR(_xll.ciqfunctions.udf.CIQ($G301,$I301,N115,Valuation_Date_GC,ReportType,DataMode,$H301,FXMode)*Scale,"--"))</f>
        <v>--</v>
      </c>
      <c r="O301" s="1471" t="str">
        <f>IF(OR(O207=0,$G301=0),"--",IFERROR(_xll.ciqfunctions.udf.CIQ($G301,$I301,O115,Valuation_Date_GC,ReportType,DataMode,$H301,FXMode)*Scale,"--"))</f>
        <v>--</v>
      </c>
      <c r="P301" s="2301" t="str">
        <f>IF(OR(P207=0,$G301=0),"--",IFERROR(_xll.ciqfunctions.udf.CIQ($G301,$I301,P115,Valuation_Date_GC,ReportType,DataMode,$H301,FXMode)*Scale,"--"))</f>
        <v>--</v>
      </c>
      <c r="R301" s="255"/>
      <c r="S301" s="1958" t="str">
        <f t="shared" si="84"/>
        <v>--</v>
      </c>
      <c r="T301" s="1779" t="s">
        <v>787</v>
      </c>
      <c r="U301" s="2133" t="str">
        <f t="shared" si="57"/>
        <v>--</v>
      </c>
      <c r="V301" s="2133" t="str">
        <f t="shared" si="57"/>
        <v>--</v>
      </c>
      <c r="W301" s="2133" t="str">
        <f t="shared" si="57"/>
        <v>--</v>
      </c>
      <c r="X301" s="2133" t="str">
        <f t="shared" si="57"/>
        <v>--</v>
      </c>
      <c r="Y301" s="2133" t="str">
        <f t="shared" si="57"/>
        <v>--</v>
      </c>
      <c r="Z301" s="2133" t="str">
        <f t="shared" si="57"/>
        <v>--</v>
      </c>
      <c r="AA301" s="2133" t="str">
        <f t="shared" si="57"/>
        <v>--</v>
      </c>
      <c r="AB301" s="2133" t="str">
        <f t="shared" si="57"/>
        <v>--</v>
      </c>
      <c r="AC301" s="2133" t="str">
        <f t="shared" si="57"/>
        <v>--</v>
      </c>
      <c r="AD301" s="2133" t="str">
        <f t="shared" si="57"/>
        <v>--</v>
      </c>
      <c r="AE301" s="2133" t="str">
        <f t="shared" si="57"/>
        <v>--</v>
      </c>
      <c r="AF301" s="2133" t="str">
        <f t="shared" si="57"/>
        <v>--</v>
      </c>
      <c r="AG301" s="2133" t="str">
        <f t="shared" si="57"/>
        <v>--</v>
      </c>
      <c r="AH301" s="2133" t="str">
        <f t="shared" si="57"/>
        <v>--</v>
      </c>
      <c r="AI301" s="2133" t="str">
        <f t="shared" si="57"/>
        <v>--</v>
      </c>
      <c r="AJ301" s="2133" t="str">
        <f t="shared" si="57"/>
        <v>--</v>
      </c>
      <c r="AK301" s="2133" t="str">
        <f t="shared" ref="AK301:BP301" si="94">IFERROR(AK239/AK270,"--")</f>
        <v>--</v>
      </c>
      <c r="AL301" s="2133" t="str">
        <f t="shared" si="94"/>
        <v>--</v>
      </c>
      <c r="AM301" s="2133" t="str">
        <f t="shared" si="94"/>
        <v>--</v>
      </c>
      <c r="AN301" s="2133" t="str">
        <f t="shared" si="94"/>
        <v>--</v>
      </c>
      <c r="AO301" s="2133" t="str">
        <f t="shared" si="94"/>
        <v>--</v>
      </c>
      <c r="AP301" s="2133" t="str">
        <f t="shared" si="94"/>
        <v>--</v>
      </c>
      <c r="AQ301" s="2133" t="str">
        <f t="shared" si="94"/>
        <v>--</v>
      </c>
      <c r="AR301" s="2133" t="str">
        <f t="shared" si="94"/>
        <v>--</v>
      </c>
      <c r="AS301" s="2133" t="str">
        <f t="shared" si="94"/>
        <v>--</v>
      </c>
      <c r="AT301" s="2133" t="str">
        <f t="shared" si="94"/>
        <v>--</v>
      </c>
      <c r="AU301" s="2133" t="str">
        <f t="shared" si="94"/>
        <v>--</v>
      </c>
      <c r="AV301" s="2133" t="str">
        <f t="shared" si="94"/>
        <v>--</v>
      </c>
      <c r="AW301" s="2133" t="str">
        <f t="shared" si="94"/>
        <v>--</v>
      </c>
      <c r="AX301" s="2133" t="str">
        <f t="shared" si="94"/>
        <v>--</v>
      </c>
      <c r="AY301" s="2133" t="str">
        <f t="shared" si="94"/>
        <v>--</v>
      </c>
      <c r="AZ301" s="2133" t="str">
        <f t="shared" si="94"/>
        <v>--</v>
      </c>
      <c r="BA301" s="2133" t="str">
        <f t="shared" si="94"/>
        <v>--</v>
      </c>
      <c r="BB301" s="2133" t="str">
        <f t="shared" si="94"/>
        <v>--</v>
      </c>
      <c r="BC301" s="2133" t="str">
        <f t="shared" si="94"/>
        <v>--</v>
      </c>
      <c r="BD301" s="2133" t="str">
        <f t="shared" si="94"/>
        <v>--</v>
      </c>
      <c r="BE301" s="2133" t="str">
        <f t="shared" si="94"/>
        <v>--</v>
      </c>
      <c r="BF301" s="2133" t="str">
        <f t="shared" si="94"/>
        <v>--</v>
      </c>
      <c r="BG301" s="2133" t="str">
        <f t="shared" si="94"/>
        <v>--</v>
      </c>
      <c r="BH301" s="2133" t="str">
        <f t="shared" si="94"/>
        <v>--</v>
      </c>
      <c r="BI301" s="2133" t="str">
        <f t="shared" si="94"/>
        <v>--</v>
      </c>
      <c r="BJ301" s="2133" t="str">
        <f t="shared" si="94"/>
        <v>--</v>
      </c>
      <c r="BK301" s="2133" t="str">
        <f t="shared" si="94"/>
        <v>--</v>
      </c>
      <c r="BL301" s="2133" t="str">
        <f t="shared" si="94"/>
        <v>--</v>
      </c>
      <c r="BM301" s="2133" t="str">
        <f t="shared" si="94"/>
        <v>--</v>
      </c>
      <c r="BN301" s="2133" t="str">
        <f t="shared" si="94"/>
        <v>--</v>
      </c>
      <c r="BO301" s="2133" t="str">
        <f t="shared" si="94"/>
        <v>--</v>
      </c>
      <c r="BP301" s="2133" t="str">
        <f t="shared" si="94"/>
        <v>--</v>
      </c>
      <c r="BQ301" s="2133" t="str">
        <f t="shared" ref="BQ301:CV301" si="95">IFERROR(BQ239/BQ270,"--")</f>
        <v>--</v>
      </c>
      <c r="BR301" s="2133" t="str">
        <f t="shared" si="95"/>
        <v>--</v>
      </c>
      <c r="BS301" s="2133" t="str">
        <f t="shared" si="95"/>
        <v>--</v>
      </c>
      <c r="BT301" s="2133" t="str">
        <f t="shared" si="95"/>
        <v>--</v>
      </c>
      <c r="BU301" s="2133" t="str">
        <f t="shared" si="95"/>
        <v>--</v>
      </c>
      <c r="BV301" s="2133" t="str">
        <f t="shared" si="95"/>
        <v>--</v>
      </c>
      <c r="BW301" s="2133" t="str">
        <f t="shared" si="95"/>
        <v>--</v>
      </c>
      <c r="BX301" s="2133" t="str">
        <f t="shared" si="95"/>
        <v>--</v>
      </c>
      <c r="BY301" s="2133" t="str">
        <f t="shared" si="95"/>
        <v>--</v>
      </c>
      <c r="BZ301" s="2133" t="str">
        <f t="shared" si="95"/>
        <v>--</v>
      </c>
      <c r="CA301" s="2133" t="str">
        <f t="shared" si="95"/>
        <v>--</v>
      </c>
      <c r="CB301" s="2133" t="str">
        <f t="shared" si="95"/>
        <v>--</v>
      </c>
      <c r="CC301" s="2133" t="str">
        <f t="shared" si="95"/>
        <v>--</v>
      </c>
      <c r="CD301" s="2133" t="str">
        <f t="shared" si="95"/>
        <v>--</v>
      </c>
      <c r="CE301" s="2133" t="str">
        <f t="shared" si="95"/>
        <v>--</v>
      </c>
      <c r="CF301" s="2133" t="str">
        <f t="shared" si="95"/>
        <v>--</v>
      </c>
      <c r="CG301" s="2133" t="str">
        <f t="shared" si="95"/>
        <v>--</v>
      </c>
      <c r="CH301" s="2133" t="str">
        <f t="shared" si="95"/>
        <v>--</v>
      </c>
      <c r="CI301" s="2133" t="str">
        <f t="shared" si="95"/>
        <v>--</v>
      </c>
      <c r="CJ301" s="2133" t="str">
        <f t="shared" si="95"/>
        <v>--</v>
      </c>
      <c r="CK301" s="2133" t="str">
        <f t="shared" si="95"/>
        <v>--</v>
      </c>
      <c r="CL301" s="2133" t="str">
        <f t="shared" si="95"/>
        <v>--</v>
      </c>
      <c r="CM301" s="2133" t="str">
        <f t="shared" si="95"/>
        <v>--</v>
      </c>
      <c r="CN301" s="2133" t="str">
        <f t="shared" si="95"/>
        <v>--</v>
      </c>
      <c r="CO301" s="2133" t="str">
        <f t="shared" si="95"/>
        <v>--</v>
      </c>
      <c r="CP301" s="2133" t="str">
        <f t="shared" si="95"/>
        <v>--</v>
      </c>
      <c r="CQ301" s="2133" t="str">
        <f t="shared" si="95"/>
        <v>--</v>
      </c>
      <c r="CR301" s="2133" t="str">
        <f t="shared" si="95"/>
        <v>--</v>
      </c>
      <c r="CS301" s="2133" t="str">
        <f t="shared" si="95"/>
        <v>--</v>
      </c>
      <c r="CT301" s="2133" t="str">
        <f t="shared" si="95"/>
        <v>--</v>
      </c>
      <c r="CU301" s="2133" t="str">
        <f t="shared" si="95"/>
        <v>--</v>
      </c>
      <c r="CV301" s="2133" t="str">
        <f t="shared" si="95"/>
        <v>--</v>
      </c>
      <c r="CW301" s="2133" t="str">
        <f t="shared" si="91"/>
        <v>--</v>
      </c>
      <c r="CX301" s="2133" t="str">
        <f t="shared" si="91"/>
        <v>--</v>
      </c>
      <c r="CY301" s="2133" t="str">
        <f t="shared" si="91"/>
        <v>--</v>
      </c>
      <c r="CZ301" s="2133" t="str">
        <f t="shared" si="91"/>
        <v>--</v>
      </c>
      <c r="DA301" s="2133" t="str">
        <f t="shared" si="91"/>
        <v>--</v>
      </c>
      <c r="DB301" s="2133" t="str">
        <f t="shared" si="91"/>
        <v>--</v>
      </c>
      <c r="DC301" s="2133" t="str">
        <f t="shared" si="91"/>
        <v>--</v>
      </c>
      <c r="DD301" s="2133" t="str">
        <f t="shared" si="91"/>
        <v>--</v>
      </c>
      <c r="DE301" s="2133" t="str">
        <f t="shared" si="91"/>
        <v>--</v>
      </c>
      <c r="DF301" s="2133" t="str">
        <f t="shared" si="91"/>
        <v>--</v>
      </c>
      <c r="DG301" s="2133" t="str">
        <f t="shared" si="91"/>
        <v>--</v>
      </c>
      <c r="DH301" s="2133" t="str">
        <f t="shared" si="91"/>
        <v>--</v>
      </c>
      <c r="DI301" s="2133" t="str">
        <f t="shared" si="91"/>
        <v>--</v>
      </c>
      <c r="DJ301" s="2133" t="str">
        <f t="shared" si="91"/>
        <v>--</v>
      </c>
      <c r="DK301" s="2133" t="str">
        <f t="shared" si="91"/>
        <v>--</v>
      </c>
      <c r="DL301" s="2133" t="str">
        <f t="shared" si="91"/>
        <v>--</v>
      </c>
      <c r="DM301" s="2133" t="str">
        <f t="shared" si="91"/>
        <v>--</v>
      </c>
      <c r="DN301" s="2133" t="str">
        <f t="shared" si="91"/>
        <v>--</v>
      </c>
      <c r="DO301" s="2133" t="str">
        <f t="shared" si="91"/>
        <v>--</v>
      </c>
      <c r="DP301" s="2133" t="str">
        <f t="shared" si="91"/>
        <v>--</v>
      </c>
      <c r="DQ301" s="2133" t="str">
        <f t="shared" si="91"/>
        <v>--</v>
      </c>
      <c r="DR301" s="2133" t="str">
        <f t="shared" si="91"/>
        <v>--</v>
      </c>
      <c r="DS301" s="2133" t="str">
        <f t="shared" si="91"/>
        <v>--</v>
      </c>
      <c r="DT301" s="2133" t="str">
        <f t="shared" si="91"/>
        <v>--</v>
      </c>
      <c r="DU301" s="2133" t="str">
        <f t="shared" si="91"/>
        <v>--</v>
      </c>
      <c r="DV301" s="2133" t="str">
        <f t="shared" si="91"/>
        <v>--</v>
      </c>
      <c r="DW301" s="2133" t="str">
        <f t="shared" si="91"/>
        <v>--</v>
      </c>
      <c r="DX301" s="2133" t="str">
        <f t="shared" si="91"/>
        <v>--</v>
      </c>
      <c r="DY301" s="2133" t="str">
        <f t="shared" si="91"/>
        <v>--</v>
      </c>
      <c r="DZ301" s="2133" t="str">
        <f t="shared" si="91"/>
        <v>--</v>
      </c>
      <c r="EA301" s="2133" t="str">
        <f t="shared" si="91"/>
        <v>--</v>
      </c>
      <c r="EB301" s="2133" t="str">
        <f t="shared" si="91"/>
        <v>--</v>
      </c>
      <c r="EC301" s="2133" t="str">
        <f t="shared" si="91"/>
        <v>--</v>
      </c>
      <c r="ED301" s="2133" t="str">
        <f t="shared" si="91"/>
        <v>--</v>
      </c>
      <c r="EE301" s="2133" t="str">
        <f t="shared" si="91"/>
        <v>--</v>
      </c>
      <c r="EF301" s="2133" t="str">
        <f t="shared" si="91"/>
        <v>--</v>
      </c>
      <c r="EG301" s="2133" t="str">
        <f t="shared" si="91"/>
        <v>--</v>
      </c>
      <c r="EH301" s="2133" t="str">
        <f t="shared" si="91"/>
        <v>--</v>
      </c>
      <c r="EI301" s="2133" t="str">
        <f t="shared" si="91"/>
        <v>--</v>
      </c>
      <c r="EJ301" s="2133" t="str">
        <f t="shared" si="91"/>
        <v>--</v>
      </c>
      <c r="EK301" s="2133" t="str">
        <f t="shared" si="91"/>
        <v>--</v>
      </c>
      <c r="EL301" s="2133" t="str">
        <f t="shared" si="91"/>
        <v>--</v>
      </c>
      <c r="EM301" s="2133" t="str">
        <f t="shared" si="91"/>
        <v>--</v>
      </c>
      <c r="EN301" s="2133" t="str">
        <f t="shared" si="91"/>
        <v>--</v>
      </c>
      <c r="EO301" s="2133" t="str">
        <f t="shared" si="91"/>
        <v>--</v>
      </c>
      <c r="EP301" s="2133" t="str">
        <f t="shared" si="91"/>
        <v>--</v>
      </c>
      <c r="EQ301" s="2133" t="str">
        <f t="shared" si="91"/>
        <v>--</v>
      </c>
      <c r="ER301" s="2133" t="str">
        <f t="shared" si="91"/>
        <v>--</v>
      </c>
      <c r="ES301" s="2133" t="str">
        <f t="shared" si="91"/>
        <v>--</v>
      </c>
      <c r="ET301" s="2133" t="str">
        <f t="shared" si="81"/>
        <v>--</v>
      </c>
      <c r="EU301" s="2133" t="str">
        <f t="shared" si="81"/>
        <v>--</v>
      </c>
      <c r="EV301" s="2133" t="str">
        <f t="shared" ref="EV301:GA301" si="96">IFERROR(EV239/EV270,"--")</f>
        <v>--</v>
      </c>
      <c r="EW301" s="2133" t="str">
        <f t="shared" si="96"/>
        <v>--</v>
      </c>
      <c r="EX301" s="2133" t="str">
        <f t="shared" si="96"/>
        <v>--</v>
      </c>
      <c r="EY301" s="2133" t="str">
        <f t="shared" si="96"/>
        <v>--</v>
      </c>
      <c r="EZ301" s="2133" t="str">
        <f t="shared" si="96"/>
        <v>--</v>
      </c>
      <c r="FA301" s="2133" t="str">
        <f t="shared" si="96"/>
        <v>--</v>
      </c>
      <c r="FB301" s="2133" t="str">
        <f t="shared" si="96"/>
        <v>--</v>
      </c>
      <c r="FC301" s="2133" t="str">
        <f t="shared" si="96"/>
        <v>--</v>
      </c>
      <c r="FD301" s="2133" t="str">
        <f t="shared" si="96"/>
        <v>--</v>
      </c>
      <c r="FE301" s="2133" t="str">
        <f t="shared" si="96"/>
        <v>--</v>
      </c>
      <c r="FF301" s="2133" t="str">
        <f t="shared" si="96"/>
        <v>--</v>
      </c>
      <c r="FG301" s="2133" t="str">
        <f t="shared" si="96"/>
        <v>--</v>
      </c>
      <c r="FH301" s="2133" t="str">
        <f t="shared" si="96"/>
        <v>--</v>
      </c>
      <c r="FI301" s="2133" t="str">
        <f t="shared" si="96"/>
        <v>--</v>
      </c>
      <c r="FJ301" s="2133" t="str">
        <f t="shared" si="96"/>
        <v>--</v>
      </c>
      <c r="FK301" s="2133" t="str">
        <f t="shared" si="96"/>
        <v>--</v>
      </c>
      <c r="FL301" s="2133" t="str">
        <f t="shared" si="96"/>
        <v>--</v>
      </c>
      <c r="FM301" s="2133" t="str">
        <f t="shared" si="96"/>
        <v>--</v>
      </c>
      <c r="FN301" s="2133" t="str">
        <f t="shared" si="96"/>
        <v>--</v>
      </c>
      <c r="FO301" s="2133" t="str">
        <f t="shared" si="96"/>
        <v>--</v>
      </c>
      <c r="FP301" s="2133" t="str">
        <f t="shared" si="96"/>
        <v>--</v>
      </c>
      <c r="FQ301" s="2133" t="str">
        <f t="shared" si="96"/>
        <v>--</v>
      </c>
      <c r="FR301" s="2133" t="str">
        <f t="shared" si="96"/>
        <v>--</v>
      </c>
      <c r="FS301" s="2133" t="str">
        <f t="shared" si="96"/>
        <v>--</v>
      </c>
      <c r="FT301" s="2133" t="str">
        <f t="shared" si="96"/>
        <v>--</v>
      </c>
      <c r="FU301" s="2133" t="str">
        <f t="shared" si="96"/>
        <v>--</v>
      </c>
      <c r="FV301" s="2133" t="str">
        <f t="shared" si="96"/>
        <v>--</v>
      </c>
      <c r="FW301" s="2133" t="str">
        <f t="shared" si="96"/>
        <v>--</v>
      </c>
      <c r="FX301" s="2133" t="str">
        <f t="shared" si="96"/>
        <v>--</v>
      </c>
      <c r="FY301" s="2133" t="str">
        <f t="shared" si="96"/>
        <v>--</v>
      </c>
      <c r="FZ301" s="2133" t="str">
        <f t="shared" si="96"/>
        <v>--</v>
      </c>
      <c r="GA301" s="2133" t="str">
        <f t="shared" si="96"/>
        <v>--</v>
      </c>
      <c r="GB301" s="2133" t="str">
        <f t="shared" ref="GB301:HG301" si="97">IFERROR(GB239/GB270,"--")</f>
        <v>--</v>
      </c>
      <c r="GC301" s="2133" t="str">
        <f t="shared" si="97"/>
        <v>--</v>
      </c>
      <c r="GD301" s="2133" t="str">
        <f t="shared" si="97"/>
        <v>--</v>
      </c>
      <c r="GE301" s="2133" t="str">
        <f t="shared" si="97"/>
        <v>--</v>
      </c>
      <c r="GF301" s="2133" t="str">
        <f t="shared" si="97"/>
        <v>--</v>
      </c>
      <c r="GG301" s="2133" t="str">
        <f t="shared" si="97"/>
        <v>--</v>
      </c>
      <c r="GH301" s="2133" t="str">
        <f t="shared" si="97"/>
        <v>--</v>
      </c>
      <c r="GI301" s="2133" t="str">
        <f t="shared" si="97"/>
        <v>--</v>
      </c>
      <c r="GJ301" s="2133" t="str">
        <f t="shared" si="97"/>
        <v>--</v>
      </c>
      <c r="GK301" s="2133" t="str">
        <f t="shared" si="97"/>
        <v>--</v>
      </c>
      <c r="GL301" s="2133" t="str">
        <f t="shared" si="97"/>
        <v>--</v>
      </c>
      <c r="GM301" s="2133" t="str">
        <f t="shared" si="97"/>
        <v>--</v>
      </c>
      <c r="GN301" s="2133" t="str">
        <f t="shared" si="97"/>
        <v>--</v>
      </c>
      <c r="GO301" s="2133" t="str">
        <f t="shared" si="97"/>
        <v>--</v>
      </c>
      <c r="GP301" s="2133" t="str">
        <f t="shared" si="97"/>
        <v>--</v>
      </c>
      <c r="GQ301" s="2133" t="str">
        <f t="shared" si="97"/>
        <v>--</v>
      </c>
      <c r="GR301" s="2133" t="str">
        <f t="shared" si="97"/>
        <v>--</v>
      </c>
      <c r="GS301" s="2133" t="str">
        <f t="shared" si="97"/>
        <v>--</v>
      </c>
      <c r="GT301" s="2133" t="str">
        <f t="shared" si="97"/>
        <v>--</v>
      </c>
      <c r="GU301" s="2133" t="str">
        <f t="shared" si="97"/>
        <v>--</v>
      </c>
      <c r="GV301" s="2133" t="str">
        <f t="shared" si="97"/>
        <v>--</v>
      </c>
      <c r="GW301" s="2133" t="str">
        <f t="shared" si="97"/>
        <v>--</v>
      </c>
      <c r="GX301" s="2133" t="str">
        <f t="shared" si="97"/>
        <v>--</v>
      </c>
      <c r="GY301" s="2133" t="str">
        <f t="shared" si="97"/>
        <v>--</v>
      </c>
      <c r="GZ301" s="2133" t="str">
        <f t="shared" si="97"/>
        <v>--</v>
      </c>
      <c r="HA301" s="2133" t="str">
        <f t="shared" si="97"/>
        <v>--</v>
      </c>
      <c r="HB301" s="2133" t="str">
        <f t="shared" si="97"/>
        <v>--</v>
      </c>
      <c r="HC301" s="2133" t="str">
        <f t="shared" si="97"/>
        <v>--</v>
      </c>
      <c r="HD301" s="2133" t="str">
        <f t="shared" si="97"/>
        <v>--</v>
      </c>
      <c r="HE301" s="2133" t="str">
        <f t="shared" si="97"/>
        <v>--</v>
      </c>
      <c r="HF301" s="2133" t="str">
        <f t="shared" si="97"/>
        <v>--</v>
      </c>
      <c r="HG301" s="2133" t="str">
        <f t="shared" si="97"/>
        <v>--</v>
      </c>
      <c r="HH301" s="2133" t="str">
        <f t="shared" ref="HH301:JS304" si="98">IFERROR(HH239/HH270,"--")</f>
        <v>--</v>
      </c>
      <c r="HI301" s="2133" t="str">
        <f t="shared" si="98"/>
        <v>--</v>
      </c>
      <c r="HJ301" s="2133" t="str">
        <f t="shared" si="98"/>
        <v>--</v>
      </c>
      <c r="HK301" s="2133" t="str">
        <f t="shared" si="98"/>
        <v>--</v>
      </c>
      <c r="HL301" s="2133" t="str">
        <f t="shared" si="98"/>
        <v>--</v>
      </c>
      <c r="HM301" s="2133" t="str">
        <f t="shared" si="98"/>
        <v>--</v>
      </c>
      <c r="HN301" s="2133" t="str">
        <f t="shared" si="98"/>
        <v>--</v>
      </c>
      <c r="HO301" s="2133" t="str">
        <f t="shared" si="98"/>
        <v>--</v>
      </c>
      <c r="HP301" s="2133" t="str">
        <f t="shared" si="98"/>
        <v>--</v>
      </c>
      <c r="HQ301" s="2133" t="str">
        <f t="shared" si="98"/>
        <v>--</v>
      </c>
      <c r="HR301" s="2133" t="str">
        <f t="shared" si="98"/>
        <v>--</v>
      </c>
      <c r="HS301" s="2133" t="str">
        <f t="shared" si="98"/>
        <v>--</v>
      </c>
      <c r="HT301" s="2133" t="str">
        <f t="shared" si="98"/>
        <v>--</v>
      </c>
      <c r="HU301" s="2133" t="str">
        <f t="shared" si="98"/>
        <v>--</v>
      </c>
      <c r="HV301" s="2133" t="str">
        <f t="shared" si="98"/>
        <v>--</v>
      </c>
      <c r="HW301" s="2133" t="str">
        <f t="shared" si="98"/>
        <v>--</v>
      </c>
      <c r="HX301" s="2133" t="str">
        <f t="shared" si="98"/>
        <v>--</v>
      </c>
      <c r="HY301" s="2133" t="str">
        <f t="shared" si="98"/>
        <v>--</v>
      </c>
      <c r="HZ301" s="2133" t="str">
        <f t="shared" si="98"/>
        <v>--</v>
      </c>
      <c r="IA301" s="2133" t="str">
        <f t="shared" si="98"/>
        <v>--</v>
      </c>
      <c r="IB301" s="2133" t="str">
        <f t="shared" si="98"/>
        <v>--</v>
      </c>
      <c r="IC301" s="2133" t="str">
        <f t="shared" si="98"/>
        <v>--</v>
      </c>
      <c r="ID301" s="2133" t="str">
        <f t="shared" si="98"/>
        <v>--</v>
      </c>
      <c r="IE301" s="2133" t="str">
        <f t="shared" si="98"/>
        <v>--</v>
      </c>
      <c r="IF301" s="2133" t="str">
        <f t="shared" si="98"/>
        <v>--</v>
      </c>
      <c r="IG301" s="2133" t="str">
        <f t="shared" si="98"/>
        <v>--</v>
      </c>
      <c r="IH301" s="2133" t="str">
        <f t="shared" si="98"/>
        <v>--</v>
      </c>
      <c r="II301" s="2133" t="str">
        <f t="shared" si="98"/>
        <v>--</v>
      </c>
      <c r="IJ301" s="2133" t="str">
        <f t="shared" si="98"/>
        <v>--</v>
      </c>
      <c r="IK301" s="2133" t="str">
        <f t="shared" si="98"/>
        <v>--</v>
      </c>
      <c r="IL301" s="2133" t="str">
        <f t="shared" si="98"/>
        <v>--</v>
      </c>
      <c r="IM301" s="2133" t="str">
        <f t="shared" si="98"/>
        <v>--</v>
      </c>
      <c r="IN301" s="2133" t="str">
        <f t="shared" si="98"/>
        <v>--</v>
      </c>
      <c r="IO301" s="2133" t="str">
        <f t="shared" si="98"/>
        <v>--</v>
      </c>
      <c r="IP301" s="2133" t="str">
        <f t="shared" si="98"/>
        <v>--</v>
      </c>
      <c r="IQ301" s="2133" t="str">
        <f t="shared" si="98"/>
        <v>--</v>
      </c>
      <c r="IR301" s="2133" t="str">
        <f t="shared" si="98"/>
        <v>--</v>
      </c>
      <c r="IS301" s="2133" t="str">
        <f t="shared" si="98"/>
        <v>--</v>
      </c>
      <c r="IT301" s="2133" t="str">
        <f t="shared" si="98"/>
        <v>--</v>
      </c>
      <c r="IU301" s="2133" t="str">
        <f t="shared" si="98"/>
        <v>--</v>
      </c>
      <c r="IV301" s="2133" t="str">
        <f t="shared" si="98"/>
        <v>--</v>
      </c>
      <c r="IW301" s="2133" t="str">
        <f t="shared" si="98"/>
        <v>--</v>
      </c>
      <c r="IX301" s="2133" t="str">
        <f t="shared" si="98"/>
        <v>--</v>
      </c>
      <c r="IY301" s="2133" t="str">
        <f t="shared" si="98"/>
        <v>--</v>
      </c>
      <c r="IZ301" s="2133" t="str">
        <f t="shared" si="98"/>
        <v>--</v>
      </c>
      <c r="JA301" s="2133" t="str">
        <f t="shared" si="98"/>
        <v>--</v>
      </c>
      <c r="JB301" s="2133" t="str">
        <f t="shared" si="98"/>
        <v>--</v>
      </c>
      <c r="JC301" s="2133" t="str">
        <f t="shared" si="98"/>
        <v>--</v>
      </c>
      <c r="JD301" s="2133" t="str">
        <f t="shared" si="98"/>
        <v>--</v>
      </c>
      <c r="JE301" s="2133" t="str">
        <f t="shared" si="98"/>
        <v>--</v>
      </c>
      <c r="JF301" s="2133" t="str">
        <f t="shared" si="98"/>
        <v>--</v>
      </c>
      <c r="JG301" s="2133" t="str">
        <f t="shared" si="98"/>
        <v>--</v>
      </c>
      <c r="JH301" s="2133" t="str">
        <f t="shared" si="98"/>
        <v>--</v>
      </c>
      <c r="JI301" s="2133" t="str">
        <f t="shared" si="98"/>
        <v>--</v>
      </c>
      <c r="JJ301" s="2133" t="str">
        <f t="shared" si="98"/>
        <v>--</v>
      </c>
      <c r="JK301" s="2133" t="str">
        <f t="shared" si="98"/>
        <v>--</v>
      </c>
      <c r="JL301" s="2133" t="str">
        <f t="shared" si="98"/>
        <v>--</v>
      </c>
      <c r="JM301" s="2133" t="str">
        <f t="shared" si="98"/>
        <v>--</v>
      </c>
      <c r="JN301" s="2133" t="str">
        <f t="shared" si="98"/>
        <v>--</v>
      </c>
      <c r="JO301" s="2133" t="str">
        <f t="shared" si="98"/>
        <v>--</v>
      </c>
      <c r="JP301" s="2133" t="str">
        <f t="shared" si="98"/>
        <v>--</v>
      </c>
      <c r="JQ301" s="2133" t="str">
        <f t="shared" si="98"/>
        <v>--</v>
      </c>
      <c r="JR301" s="2133" t="str">
        <f t="shared" si="98"/>
        <v>--</v>
      </c>
      <c r="JS301" s="2133" t="str">
        <f t="shared" si="98"/>
        <v>--</v>
      </c>
      <c r="JT301" s="2133" t="str">
        <f t="shared" ref="JT301:KB303" si="99">IFERROR(JT239/JT270,"--")</f>
        <v>--</v>
      </c>
      <c r="JU301" s="2133" t="str">
        <f t="shared" si="99"/>
        <v>--</v>
      </c>
      <c r="JV301" s="2133" t="str">
        <f t="shared" si="99"/>
        <v>--</v>
      </c>
      <c r="JW301" s="2133" t="str">
        <f t="shared" si="99"/>
        <v>--</v>
      </c>
      <c r="JX301" s="2133" t="str">
        <f t="shared" si="99"/>
        <v>--</v>
      </c>
      <c r="JY301" s="2133" t="str">
        <f t="shared" si="99"/>
        <v>--</v>
      </c>
      <c r="JZ301" s="2133" t="str">
        <f t="shared" si="99"/>
        <v>--</v>
      </c>
      <c r="KA301" s="2133" t="str">
        <f t="shared" si="99"/>
        <v>--</v>
      </c>
      <c r="KB301" s="2133" t="str">
        <f t="shared" si="99"/>
        <v>--</v>
      </c>
    </row>
    <row r="302" spans="1:288" s="89" customFormat="1" ht="13.9">
      <c r="A302" s="269" t="str">
        <f t="shared" si="58"/>
        <v>n</v>
      </c>
      <c r="B302" s="2060"/>
      <c r="D302" s="801"/>
      <c r="E302" s="1505">
        <v>17</v>
      </c>
      <c r="F302" s="21" t="str">
        <f>F$145</f>
        <v>--</v>
      </c>
      <c r="G302" s="1441">
        <f>G$145</f>
        <v>0</v>
      </c>
      <c r="H302" s="1441" t="str">
        <f>H$145</f>
        <v>--</v>
      </c>
      <c r="I302" s="89" t="s">
        <v>786</v>
      </c>
      <c r="K302" s="2301" t="str">
        <f>IF(OR(K208=0,$G302=0),"--",IFERROR(_xll.ciqfunctions.udf.CIQ($G302,$I302,K116,Valuation_Date_GC,ReportType,DataMode,$H302,FXMode)*Scale,"--"))</f>
        <v>--</v>
      </c>
      <c r="L302" s="2301" t="str">
        <f>IF(OR(L208=0,$G302=0),"--",IFERROR(_xll.ciqfunctions.udf.CIQ($G302,$I302,L116,Valuation_Date_GC,ReportType,DataMode,$H302,FXMode)*Scale,"--"))</f>
        <v>--</v>
      </c>
      <c r="M302" s="2301" t="str">
        <f>IF(OR(M208=0,$G302=0),"--",IFERROR(_xll.ciqfunctions.udf.CIQ($G302,$I302,M116,Valuation_Date_GC,ReportType,DataMode,$H302,FXMode)*Scale,"--"))</f>
        <v>--</v>
      </c>
      <c r="N302" s="2301" t="str">
        <f>IF(OR(N208=0,$G302=0),"--",IFERROR(_xll.ciqfunctions.udf.CIQ($G302,$I302,N116,Valuation_Date_GC,ReportType,DataMode,$H302,FXMode)*Scale,"--"))</f>
        <v>--</v>
      </c>
      <c r="O302" s="1471" t="str">
        <f>IF(OR(O208=0,$G302=0),"--",IFERROR(_xll.ciqfunctions.udf.CIQ($G302,$I302,O116,Valuation_Date_GC,ReportType,DataMode,$H302,FXMode)*Scale,"--"))</f>
        <v>--</v>
      </c>
      <c r="P302" s="2301" t="str">
        <f>IF(OR(P208=0,$G302=0),"--",IFERROR(_xll.ciqfunctions.udf.CIQ($G302,$I302,P116,Valuation_Date_GC,ReportType,DataMode,$H302,FXMode)*Scale,"--"))</f>
        <v>--</v>
      </c>
      <c r="R302" s="255"/>
      <c r="S302" s="1958" t="str">
        <f t="shared" si="84"/>
        <v>--</v>
      </c>
      <c r="T302" s="1779" t="s">
        <v>787</v>
      </c>
      <c r="U302" s="2133" t="str">
        <f t="shared" ref="U302:CF305" si="100">IFERROR(U240/U271,"--")</f>
        <v>--</v>
      </c>
      <c r="V302" s="2133" t="str">
        <f t="shared" si="100"/>
        <v>--</v>
      </c>
      <c r="W302" s="2133" t="str">
        <f t="shared" si="100"/>
        <v>--</v>
      </c>
      <c r="X302" s="2133" t="str">
        <f t="shared" si="100"/>
        <v>--</v>
      </c>
      <c r="Y302" s="2133" t="str">
        <f t="shared" si="100"/>
        <v>--</v>
      </c>
      <c r="Z302" s="2133" t="str">
        <f t="shared" si="100"/>
        <v>--</v>
      </c>
      <c r="AA302" s="2133" t="str">
        <f t="shared" si="100"/>
        <v>--</v>
      </c>
      <c r="AB302" s="2133" t="str">
        <f t="shared" si="100"/>
        <v>--</v>
      </c>
      <c r="AC302" s="2133" t="str">
        <f t="shared" si="100"/>
        <v>--</v>
      </c>
      <c r="AD302" s="2133" t="str">
        <f t="shared" si="100"/>
        <v>--</v>
      </c>
      <c r="AE302" s="2133" t="str">
        <f t="shared" si="100"/>
        <v>--</v>
      </c>
      <c r="AF302" s="2133" t="str">
        <f t="shared" si="100"/>
        <v>--</v>
      </c>
      <c r="AG302" s="2133" t="str">
        <f t="shared" si="100"/>
        <v>--</v>
      </c>
      <c r="AH302" s="2133" t="str">
        <f t="shared" si="100"/>
        <v>--</v>
      </c>
      <c r="AI302" s="2133" t="str">
        <f t="shared" si="100"/>
        <v>--</v>
      </c>
      <c r="AJ302" s="2133" t="str">
        <f t="shared" si="100"/>
        <v>--</v>
      </c>
      <c r="AK302" s="2133" t="str">
        <f t="shared" si="100"/>
        <v>--</v>
      </c>
      <c r="AL302" s="2133" t="str">
        <f t="shared" si="100"/>
        <v>--</v>
      </c>
      <c r="AM302" s="2133" t="str">
        <f t="shared" si="100"/>
        <v>--</v>
      </c>
      <c r="AN302" s="2133" t="str">
        <f t="shared" si="100"/>
        <v>--</v>
      </c>
      <c r="AO302" s="2133" t="str">
        <f t="shared" si="100"/>
        <v>--</v>
      </c>
      <c r="AP302" s="2133" t="str">
        <f t="shared" si="100"/>
        <v>--</v>
      </c>
      <c r="AQ302" s="2133" t="str">
        <f t="shared" si="100"/>
        <v>--</v>
      </c>
      <c r="AR302" s="2133" t="str">
        <f t="shared" si="100"/>
        <v>--</v>
      </c>
      <c r="AS302" s="2133" t="str">
        <f t="shared" si="100"/>
        <v>--</v>
      </c>
      <c r="AT302" s="2133" t="str">
        <f t="shared" si="100"/>
        <v>--</v>
      </c>
      <c r="AU302" s="2133" t="str">
        <f t="shared" si="100"/>
        <v>--</v>
      </c>
      <c r="AV302" s="2133" t="str">
        <f t="shared" si="100"/>
        <v>--</v>
      </c>
      <c r="AW302" s="2133" t="str">
        <f t="shared" si="100"/>
        <v>--</v>
      </c>
      <c r="AX302" s="2133" t="str">
        <f t="shared" si="100"/>
        <v>--</v>
      </c>
      <c r="AY302" s="2133" t="str">
        <f t="shared" si="100"/>
        <v>--</v>
      </c>
      <c r="AZ302" s="2133" t="str">
        <f t="shared" si="100"/>
        <v>--</v>
      </c>
      <c r="BA302" s="2133" t="str">
        <f t="shared" si="100"/>
        <v>--</v>
      </c>
      <c r="BB302" s="2133" t="str">
        <f t="shared" si="100"/>
        <v>--</v>
      </c>
      <c r="BC302" s="2133" t="str">
        <f t="shared" si="100"/>
        <v>--</v>
      </c>
      <c r="BD302" s="2133" t="str">
        <f t="shared" si="100"/>
        <v>--</v>
      </c>
      <c r="BE302" s="2133" t="str">
        <f t="shared" si="100"/>
        <v>--</v>
      </c>
      <c r="BF302" s="2133" t="str">
        <f t="shared" si="100"/>
        <v>--</v>
      </c>
      <c r="BG302" s="2133" t="str">
        <f t="shared" si="100"/>
        <v>--</v>
      </c>
      <c r="BH302" s="2133" t="str">
        <f t="shared" si="100"/>
        <v>--</v>
      </c>
      <c r="BI302" s="2133" t="str">
        <f t="shared" si="100"/>
        <v>--</v>
      </c>
      <c r="BJ302" s="2133" t="str">
        <f t="shared" si="100"/>
        <v>--</v>
      </c>
      <c r="BK302" s="2133" t="str">
        <f t="shared" si="100"/>
        <v>--</v>
      </c>
      <c r="BL302" s="2133" t="str">
        <f t="shared" si="100"/>
        <v>--</v>
      </c>
      <c r="BM302" s="2133" t="str">
        <f t="shared" si="100"/>
        <v>--</v>
      </c>
      <c r="BN302" s="2133" t="str">
        <f t="shared" si="100"/>
        <v>--</v>
      </c>
      <c r="BO302" s="2133" t="str">
        <f t="shared" si="100"/>
        <v>--</v>
      </c>
      <c r="BP302" s="2133" t="str">
        <f t="shared" si="100"/>
        <v>--</v>
      </c>
      <c r="BQ302" s="2133" t="str">
        <f t="shared" si="100"/>
        <v>--</v>
      </c>
      <c r="BR302" s="2133" t="str">
        <f t="shared" si="100"/>
        <v>--</v>
      </c>
      <c r="BS302" s="2133" t="str">
        <f t="shared" si="100"/>
        <v>--</v>
      </c>
      <c r="BT302" s="2133" t="str">
        <f t="shared" si="100"/>
        <v>--</v>
      </c>
      <c r="BU302" s="2133" t="str">
        <f t="shared" si="100"/>
        <v>--</v>
      </c>
      <c r="BV302" s="2133" t="str">
        <f t="shared" si="100"/>
        <v>--</v>
      </c>
      <c r="BW302" s="2133" t="str">
        <f t="shared" si="100"/>
        <v>--</v>
      </c>
      <c r="BX302" s="2133" t="str">
        <f t="shared" si="100"/>
        <v>--</v>
      </c>
      <c r="BY302" s="2133" t="str">
        <f t="shared" si="100"/>
        <v>--</v>
      </c>
      <c r="BZ302" s="2133" t="str">
        <f t="shared" si="100"/>
        <v>--</v>
      </c>
      <c r="CA302" s="2133" t="str">
        <f t="shared" si="100"/>
        <v>--</v>
      </c>
      <c r="CB302" s="2133" t="str">
        <f t="shared" si="100"/>
        <v>--</v>
      </c>
      <c r="CC302" s="2133" t="str">
        <f t="shared" si="100"/>
        <v>--</v>
      </c>
      <c r="CD302" s="2133" t="str">
        <f t="shared" si="100"/>
        <v>--</v>
      </c>
      <c r="CE302" s="2133" t="str">
        <f t="shared" si="100"/>
        <v>--</v>
      </c>
      <c r="CF302" s="2133" t="str">
        <f t="shared" si="100"/>
        <v>--</v>
      </c>
      <c r="CG302" s="2133" t="str">
        <f t="shared" ref="CG302:CV302" si="101">IFERROR(CG240/CG271,"--")</f>
        <v>--</v>
      </c>
      <c r="CH302" s="2133" t="str">
        <f t="shared" si="101"/>
        <v>--</v>
      </c>
      <c r="CI302" s="2133" t="str">
        <f t="shared" si="101"/>
        <v>--</v>
      </c>
      <c r="CJ302" s="2133" t="str">
        <f t="shared" si="101"/>
        <v>--</v>
      </c>
      <c r="CK302" s="2133" t="str">
        <f t="shared" si="101"/>
        <v>--</v>
      </c>
      <c r="CL302" s="2133" t="str">
        <f t="shared" si="101"/>
        <v>--</v>
      </c>
      <c r="CM302" s="2133" t="str">
        <f t="shared" si="101"/>
        <v>--</v>
      </c>
      <c r="CN302" s="2133" t="str">
        <f t="shared" si="101"/>
        <v>--</v>
      </c>
      <c r="CO302" s="2133" t="str">
        <f t="shared" si="101"/>
        <v>--</v>
      </c>
      <c r="CP302" s="2133" t="str">
        <f t="shared" si="101"/>
        <v>--</v>
      </c>
      <c r="CQ302" s="2133" t="str">
        <f t="shared" si="101"/>
        <v>--</v>
      </c>
      <c r="CR302" s="2133" t="str">
        <f t="shared" si="101"/>
        <v>--</v>
      </c>
      <c r="CS302" s="2133" t="str">
        <f t="shared" si="101"/>
        <v>--</v>
      </c>
      <c r="CT302" s="2133" t="str">
        <f t="shared" si="101"/>
        <v>--</v>
      </c>
      <c r="CU302" s="2133" t="str">
        <f t="shared" si="101"/>
        <v>--</v>
      </c>
      <c r="CV302" s="2133" t="str">
        <f t="shared" si="101"/>
        <v>--</v>
      </c>
      <c r="CW302" s="2133" t="str">
        <f t="shared" si="91"/>
        <v>--</v>
      </c>
      <c r="CX302" s="2133" t="str">
        <f t="shared" si="91"/>
        <v>--</v>
      </c>
      <c r="CY302" s="2133" t="str">
        <f t="shared" si="91"/>
        <v>--</v>
      </c>
      <c r="CZ302" s="2133" t="str">
        <f t="shared" si="91"/>
        <v>--</v>
      </c>
      <c r="DA302" s="2133" t="str">
        <f t="shared" si="91"/>
        <v>--</v>
      </c>
      <c r="DB302" s="2133" t="str">
        <f t="shared" si="91"/>
        <v>--</v>
      </c>
      <c r="DC302" s="2133" t="str">
        <f t="shared" si="91"/>
        <v>--</v>
      </c>
      <c r="DD302" s="2133" t="str">
        <f t="shared" si="91"/>
        <v>--</v>
      </c>
      <c r="DE302" s="2133" t="str">
        <f t="shared" si="91"/>
        <v>--</v>
      </c>
      <c r="DF302" s="2133" t="str">
        <f t="shared" si="91"/>
        <v>--</v>
      </c>
      <c r="DG302" s="2133" t="str">
        <f t="shared" si="91"/>
        <v>--</v>
      </c>
      <c r="DH302" s="2133" t="str">
        <f t="shared" si="91"/>
        <v>--</v>
      </c>
      <c r="DI302" s="2133" t="str">
        <f t="shared" si="91"/>
        <v>--</v>
      </c>
      <c r="DJ302" s="2133" t="str">
        <f t="shared" si="91"/>
        <v>--</v>
      </c>
      <c r="DK302" s="2133" t="str">
        <f t="shared" si="91"/>
        <v>--</v>
      </c>
      <c r="DL302" s="2133" t="str">
        <f t="shared" si="91"/>
        <v>--</v>
      </c>
      <c r="DM302" s="2133" t="str">
        <f t="shared" si="91"/>
        <v>--</v>
      </c>
      <c r="DN302" s="2133" t="str">
        <f t="shared" si="91"/>
        <v>--</v>
      </c>
      <c r="DO302" s="2133" t="str">
        <f t="shared" si="91"/>
        <v>--</v>
      </c>
      <c r="DP302" s="2133" t="str">
        <f t="shared" si="91"/>
        <v>--</v>
      </c>
      <c r="DQ302" s="2133" t="str">
        <f t="shared" si="91"/>
        <v>--</v>
      </c>
      <c r="DR302" s="2133" t="str">
        <f t="shared" si="91"/>
        <v>--</v>
      </c>
      <c r="DS302" s="2133" t="str">
        <f t="shared" si="91"/>
        <v>--</v>
      </c>
      <c r="DT302" s="2133" t="str">
        <f t="shared" si="91"/>
        <v>--</v>
      </c>
      <c r="DU302" s="2133" t="str">
        <f t="shared" si="91"/>
        <v>--</v>
      </c>
      <c r="DV302" s="2133" t="str">
        <f t="shared" si="91"/>
        <v>--</v>
      </c>
      <c r="DW302" s="2133" t="str">
        <f t="shared" si="91"/>
        <v>--</v>
      </c>
      <c r="DX302" s="2133" t="str">
        <f t="shared" si="91"/>
        <v>--</v>
      </c>
      <c r="DY302" s="2133" t="str">
        <f t="shared" si="91"/>
        <v>--</v>
      </c>
      <c r="DZ302" s="2133" t="str">
        <f t="shared" si="91"/>
        <v>--</v>
      </c>
      <c r="EA302" s="2133" t="str">
        <f t="shared" si="91"/>
        <v>--</v>
      </c>
      <c r="EB302" s="2133" t="str">
        <f t="shared" si="91"/>
        <v>--</v>
      </c>
      <c r="EC302" s="2133" t="str">
        <f t="shared" si="91"/>
        <v>--</v>
      </c>
      <c r="ED302" s="2133" t="str">
        <f t="shared" si="91"/>
        <v>--</v>
      </c>
      <c r="EE302" s="2133" t="str">
        <f t="shared" si="91"/>
        <v>--</v>
      </c>
      <c r="EF302" s="2133" t="str">
        <f t="shared" si="91"/>
        <v>--</v>
      </c>
      <c r="EG302" s="2133" t="str">
        <f t="shared" si="91"/>
        <v>--</v>
      </c>
      <c r="EH302" s="2133" t="str">
        <f t="shared" si="91"/>
        <v>--</v>
      </c>
      <c r="EI302" s="2133" t="str">
        <f t="shared" si="91"/>
        <v>--</v>
      </c>
      <c r="EJ302" s="2133" t="str">
        <f t="shared" si="91"/>
        <v>--</v>
      </c>
      <c r="EK302" s="2133" t="str">
        <f t="shared" si="91"/>
        <v>--</v>
      </c>
      <c r="EL302" s="2133" t="str">
        <f t="shared" si="91"/>
        <v>--</v>
      </c>
      <c r="EM302" s="2133" t="str">
        <f t="shared" si="91"/>
        <v>--</v>
      </c>
      <c r="EN302" s="2133" t="str">
        <f t="shared" si="91"/>
        <v>--</v>
      </c>
      <c r="EO302" s="2133" t="str">
        <f t="shared" si="91"/>
        <v>--</v>
      </c>
      <c r="EP302" s="2133" t="str">
        <f t="shared" si="91"/>
        <v>--</v>
      </c>
      <c r="EQ302" s="2133" t="str">
        <f t="shared" si="91"/>
        <v>--</v>
      </c>
      <c r="ER302" s="2133" t="str">
        <f t="shared" si="91"/>
        <v>--</v>
      </c>
      <c r="ES302" s="2133" t="str">
        <f t="shared" si="91"/>
        <v>--</v>
      </c>
      <c r="ET302" s="2133" t="str">
        <f t="shared" si="91"/>
        <v>--</v>
      </c>
      <c r="EU302" s="2133" t="str">
        <f t="shared" si="91"/>
        <v>--</v>
      </c>
      <c r="EV302" s="2133" t="str">
        <f t="shared" si="91"/>
        <v>--</v>
      </c>
      <c r="EW302" s="2133" t="str">
        <f t="shared" si="91"/>
        <v>--</v>
      </c>
      <c r="EX302" s="2133" t="str">
        <f t="shared" si="91"/>
        <v>--</v>
      </c>
      <c r="EY302" s="2133" t="str">
        <f t="shared" si="91"/>
        <v>--</v>
      </c>
      <c r="EZ302" s="2133" t="str">
        <f t="shared" si="91"/>
        <v>--</v>
      </c>
      <c r="FA302" s="2133" t="str">
        <f t="shared" si="91"/>
        <v>--</v>
      </c>
      <c r="FB302" s="2133" t="str">
        <f t="shared" si="91"/>
        <v>--</v>
      </c>
      <c r="FC302" s="2133" t="str">
        <f t="shared" si="91"/>
        <v>--</v>
      </c>
      <c r="FD302" s="2133" t="str">
        <f t="shared" si="91"/>
        <v>--</v>
      </c>
      <c r="FE302" s="2133" t="str">
        <f t="shared" si="91"/>
        <v>--</v>
      </c>
      <c r="FF302" s="2133" t="str">
        <f t="shared" si="91"/>
        <v>--</v>
      </c>
      <c r="FG302" s="2133" t="str">
        <f t="shared" si="91"/>
        <v>--</v>
      </c>
      <c r="FH302" s="2133" t="str">
        <f t="shared" ref="FH302:GM302" si="102">IFERROR(FH240/FH271,"--")</f>
        <v>--</v>
      </c>
      <c r="FI302" s="2133" t="str">
        <f t="shared" si="102"/>
        <v>--</v>
      </c>
      <c r="FJ302" s="2133" t="str">
        <f t="shared" si="102"/>
        <v>--</v>
      </c>
      <c r="FK302" s="2133" t="str">
        <f t="shared" si="102"/>
        <v>--</v>
      </c>
      <c r="FL302" s="2133" t="str">
        <f t="shared" si="102"/>
        <v>--</v>
      </c>
      <c r="FM302" s="2133" t="str">
        <f t="shared" si="102"/>
        <v>--</v>
      </c>
      <c r="FN302" s="2133" t="str">
        <f t="shared" si="102"/>
        <v>--</v>
      </c>
      <c r="FO302" s="2133" t="str">
        <f t="shared" si="102"/>
        <v>--</v>
      </c>
      <c r="FP302" s="2133" t="str">
        <f t="shared" si="102"/>
        <v>--</v>
      </c>
      <c r="FQ302" s="2133" t="str">
        <f t="shared" si="102"/>
        <v>--</v>
      </c>
      <c r="FR302" s="2133" t="str">
        <f t="shared" si="102"/>
        <v>--</v>
      </c>
      <c r="FS302" s="2133" t="str">
        <f t="shared" si="102"/>
        <v>--</v>
      </c>
      <c r="FT302" s="2133" t="str">
        <f t="shared" si="102"/>
        <v>--</v>
      </c>
      <c r="FU302" s="2133" t="str">
        <f t="shared" si="102"/>
        <v>--</v>
      </c>
      <c r="FV302" s="2133" t="str">
        <f t="shared" si="102"/>
        <v>--</v>
      </c>
      <c r="FW302" s="2133" t="str">
        <f t="shared" si="102"/>
        <v>--</v>
      </c>
      <c r="FX302" s="2133" t="str">
        <f t="shared" si="102"/>
        <v>--</v>
      </c>
      <c r="FY302" s="2133" t="str">
        <f t="shared" si="102"/>
        <v>--</v>
      </c>
      <c r="FZ302" s="2133" t="str">
        <f t="shared" si="102"/>
        <v>--</v>
      </c>
      <c r="GA302" s="2133" t="str">
        <f t="shared" si="102"/>
        <v>--</v>
      </c>
      <c r="GB302" s="2133" t="str">
        <f t="shared" si="102"/>
        <v>--</v>
      </c>
      <c r="GC302" s="2133" t="str">
        <f t="shared" si="102"/>
        <v>--</v>
      </c>
      <c r="GD302" s="2133" t="str">
        <f t="shared" si="102"/>
        <v>--</v>
      </c>
      <c r="GE302" s="2133" t="str">
        <f t="shared" si="102"/>
        <v>--</v>
      </c>
      <c r="GF302" s="2133" t="str">
        <f t="shared" si="102"/>
        <v>--</v>
      </c>
      <c r="GG302" s="2133" t="str">
        <f t="shared" si="102"/>
        <v>--</v>
      </c>
      <c r="GH302" s="2133" t="str">
        <f t="shared" si="102"/>
        <v>--</v>
      </c>
      <c r="GI302" s="2133" t="str">
        <f t="shared" si="102"/>
        <v>--</v>
      </c>
      <c r="GJ302" s="2133" t="str">
        <f t="shared" si="102"/>
        <v>--</v>
      </c>
      <c r="GK302" s="2133" t="str">
        <f t="shared" si="102"/>
        <v>--</v>
      </c>
      <c r="GL302" s="2133" t="str">
        <f t="shared" si="102"/>
        <v>--</v>
      </c>
      <c r="GM302" s="2133" t="str">
        <f t="shared" si="102"/>
        <v>--</v>
      </c>
      <c r="GN302" s="2133" t="str">
        <f t="shared" ref="GN302:HG302" si="103">IFERROR(GN240/GN271,"--")</f>
        <v>--</v>
      </c>
      <c r="GO302" s="2133" t="str">
        <f t="shared" si="103"/>
        <v>--</v>
      </c>
      <c r="GP302" s="2133" t="str">
        <f t="shared" si="103"/>
        <v>--</v>
      </c>
      <c r="GQ302" s="2133" t="str">
        <f t="shared" si="103"/>
        <v>--</v>
      </c>
      <c r="GR302" s="2133" t="str">
        <f t="shared" si="103"/>
        <v>--</v>
      </c>
      <c r="GS302" s="2133" t="str">
        <f t="shared" si="103"/>
        <v>--</v>
      </c>
      <c r="GT302" s="2133" t="str">
        <f t="shared" si="103"/>
        <v>--</v>
      </c>
      <c r="GU302" s="2133" t="str">
        <f t="shared" si="103"/>
        <v>--</v>
      </c>
      <c r="GV302" s="2133" t="str">
        <f t="shared" si="103"/>
        <v>--</v>
      </c>
      <c r="GW302" s="2133" t="str">
        <f t="shared" si="103"/>
        <v>--</v>
      </c>
      <c r="GX302" s="2133" t="str">
        <f t="shared" si="103"/>
        <v>--</v>
      </c>
      <c r="GY302" s="2133" t="str">
        <f t="shared" si="103"/>
        <v>--</v>
      </c>
      <c r="GZ302" s="2133" t="str">
        <f t="shared" si="103"/>
        <v>--</v>
      </c>
      <c r="HA302" s="2133" t="str">
        <f t="shared" si="103"/>
        <v>--</v>
      </c>
      <c r="HB302" s="2133" t="str">
        <f t="shared" si="103"/>
        <v>--</v>
      </c>
      <c r="HC302" s="2133" t="str">
        <f t="shared" si="103"/>
        <v>--</v>
      </c>
      <c r="HD302" s="2133" t="str">
        <f t="shared" si="103"/>
        <v>--</v>
      </c>
      <c r="HE302" s="2133" t="str">
        <f t="shared" si="103"/>
        <v>--</v>
      </c>
      <c r="HF302" s="2133" t="str">
        <f t="shared" si="103"/>
        <v>--</v>
      </c>
      <c r="HG302" s="2133" t="str">
        <f t="shared" si="103"/>
        <v>--</v>
      </c>
      <c r="HH302" s="2133" t="str">
        <f t="shared" si="98"/>
        <v>--</v>
      </c>
      <c r="HI302" s="2133" t="str">
        <f t="shared" si="98"/>
        <v>--</v>
      </c>
      <c r="HJ302" s="2133" t="str">
        <f t="shared" si="98"/>
        <v>--</v>
      </c>
      <c r="HK302" s="2133" t="str">
        <f t="shared" si="98"/>
        <v>--</v>
      </c>
      <c r="HL302" s="2133" t="str">
        <f t="shared" si="98"/>
        <v>--</v>
      </c>
      <c r="HM302" s="2133" t="str">
        <f t="shared" si="98"/>
        <v>--</v>
      </c>
      <c r="HN302" s="2133" t="str">
        <f t="shared" si="98"/>
        <v>--</v>
      </c>
      <c r="HO302" s="2133" t="str">
        <f t="shared" si="98"/>
        <v>--</v>
      </c>
      <c r="HP302" s="2133" t="str">
        <f t="shared" si="98"/>
        <v>--</v>
      </c>
      <c r="HQ302" s="2133" t="str">
        <f t="shared" si="98"/>
        <v>--</v>
      </c>
      <c r="HR302" s="2133" t="str">
        <f t="shared" si="98"/>
        <v>--</v>
      </c>
      <c r="HS302" s="2133" t="str">
        <f t="shared" si="98"/>
        <v>--</v>
      </c>
      <c r="HT302" s="2133" t="str">
        <f t="shared" si="98"/>
        <v>--</v>
      </c>
      <c r="HU302" s="2133" t="str">
        <f t="shared" si="98"/>
        <v>--</v>
      </c>
      <c r="HV302" s="2133" t="str">
        <f t="shared" si="98"/>
        <v>--</v>
      </c>
      <c r="HW302" s="2133" t="str">
        <f t="shared" si="98"/>
        <v>--</v>
      </c>
      <c r="HX302" s="2133" t="str">
        <f t="shared" si="98"/>
        <v>--</v>
      </c>
      <c r="HY302" s="2133" t="str">
        <f t="shared" si="98"/>
        <v>--</v>
      </c>
      <c r="HZ302" s="2133" t="str">
        <f t="shared" si="98"/>
        <v>--</v>
      </c>
      <c r="IA302" s="2133" t="str">
        <f t="shared" si="98"/>
        <v>--</v>
      </c>
      <c r="IB302" s="2133" t="str">
        <f t="shared" si="98"/>
        <v>--</v>
      </c>
      <c r="IC302" s="2133" t="str">
        <f t="shared" si="98"/>
        <v>--</v>
      </c>
      <c r="ID302" s="2133" t="str">
        <f t="shared" si="98"/>
        <v>--</v>
      </c>
      <c r="IE302" s="2133" t="str">
        <f t="shared" si="98"/>
        <v>--</v>
      </c>
      <c r="IF302" s="2133" t="str">
        <f t="shared" si="98"/>
        <v>--</v>
      </c>
      <c r="IG302" s="2133" t="str">
        <f t="shared" si="98"/>
        <v>--</v>
      </c>
      <c r="IH302" s="2133" t="str">
        <f t="shared" si="98"/>
        <v>--</v>
      </c>
      <c r="II302" s="2133" t="str">
        <f t="shared" si="98"/>
        <v>--</v>
      </c>
      <c r="IJ302" s="2133" t="str">
        <f t="shared" si="98"/>
        <v>--</v>
      </c>
      <c r="IK302" s="2133" t="str">
        <f t="shared" si="98"/>
        <v>--</v>
      </c>
      <c r="IL302" s="2133" t="str">
        <f t="shared" si="98"/>
        <v>--</v>
      </c>
      <c r="IM302" s="2133" t="str">
        <f t="shared" si="98"/>
        <v>--</v>
      </c>
      <c r="IN302" s="2133" t="str">
        <f t="shared" si="98"/>
        <v>--</v>
      </c>
      <c r="IO302" s="2133" t="str">
        <f t="shared" si="98"/>
        <v>--</v>
      </c>
      <c r="IP302" s="2133" t="str">
        <f t="shared" si="98"/>
        <v>--</v>
      </c>
      <c r="IQ302" s="2133" t="str">
        <f t="shared" si="98"/>
        <v>--</v>
      </c>
      <c r="IR302" s="2133" t="str">
        <f t="shared" si="98"/>
        <v>--</v>
      </c>
      <c r="IS302" s="2133" t="str">
        <f t="shared" si="98"/>
        <v>--</v>
      </c>
      <c r="IT302" s="2133" t="str">
        <f t="shared" si="98"/>
        <v>--</v>
      </c>
      <c r="IU302" s="2133" t="str">
        <f t="shared" si="98"/>
        <v>--</v>
      </c>
      <c r="IV302" s="2133" t="str">
        <f t="shared" si="98"/>
        <v>--</v>
      </c>
      <c r="IW302" s="2133" t="str">
        <f t="shared" si="98"/>
        <v>--</v>
      </c>
      <c r="IX302" s="2133" t="str">
        <f t="shared" si="98"/>
        <v>--</v>
      </c>
      <c r="IY302" s="2133" t="str">
        <f t="shared" si="98"/>
        <v>--</v>
      </c>
      <c r="IZ302" s="2133" t="str">
        <f t="shared" si="98"/>
        <v>--</v>
      </c>
      <c r="JA302" s="2133" t="str">
        <f t="shared" si="98"/>
        <v>--</v>
      </c>
      <c r="JB302" s="2133" t="str">
        <f t="shared" si="98"/>
        <v>--</v>
      </c>
      <c r="JC302" s="2133" t="str">
        <f t="shared" si="98"/>
        <v>--</v>
      </c>
      <c r="JD302" s="2133" t="str">
        <f t="shared" si="98"/>
        <v>--</v>
      </c>
      <c r="JE302" s="2133" t="str">
        <f t="shared" si="98"/>
        <v>--</v>
      </c>
      <c r="JF302" s="2133" t="str">
        <f t="shared" si="98"/>
        <v>--</v>
      </c>
      <c r="JG302" s="2133" t="str">
        <f t="shared" si="98"/>
        <v>--</v>
      </c>
      <c r="JH302" s="2133" t="str">
        <f t="shared" si="98"/>
        <v>--</v>
      </c>
      <c r="JI302" s="2133" t="str">
        <f t="shared" si="98"/>
        <v>--</v>
      </c>
      <c r="JJ302" s="2133" t="str">
        <f t="shared" si="98"/>
        <v>--</v>
      </c>
      <c r="JK302" s="2133" t="str">
        <f t="shared" si="98"/>
        <v>--</v>
      </c>
      <c r="JL302" s="2133" t="str">
        <f t="shared" si="98"/>
        <v>--</v>
      </c>
      <c r="JM302" s="2133" t="str">
        <f t="shared" si="98"/>
        <v>--</v>
      </c>
      <c r="JN302" s="2133" t="str">
        <f t="shared" si="98"/>
        <v>--</v>
      </c>
      <c r="JO302" s="2133" t="str">
        <f t="shared" si="98"/>
        <v>--</v>
      </c>
      <c r="JP302" s="2133" t="str">
        <f t="shared" si="98"/>
        <v>--</v>
      </c>
      <c r="JQ302" s="2133" t="str">
        <f t="shared" si="98"/>
        <v>--</v>
      </c>
      <c r="JR302" s="2133" t="str">
        <f t="shared" si="98"/>
        <v>--</v>
      </c>
      <c r="JS302" s="2133" t="str">
        <f t="shared" si="98"/>
        <v>--</v>
      </c>
      <c r="JT302" s="2133" t="str">
        <f t="shared" si="99"/>
        <v>--</v>
      </c>
      <c r="JU302" s="2133" t="str">
        <f t="shared" si="99"/>
        <v>--</v>
      </c>
      <c r="JV302" s="2133" t="str">
        <f t="shared" si="99"/>
        <v>--</v>
      </c>
      <c r="JW302" s="2133" t="str">
        <f t="shared" si="99"/>
        <v>--</v>
      </c>
      <c r="JX302" s="2133" t="str">
        <f t="shared" si="99"/>
        <v>--</v>
      </c>
      <c r="JY302" s="2133" t="str">
        <f t="shared" si="99"/>
        <v>--</v>
      </c>
      <c r="JZ302" s="2133" t="str">
        <f t="shared" si="99"/>
        <v>--</v>
      </c>
      <c r="KA302" s="2133" t="str">
        <f t="shared" si="99"/>
        <v>--</v>
      </c>
      <c r="KB302" s="2133" t="str">
        <f t="shared" si="99"/>
        <v>--</v>
      </c>
    </row>
    <row r="303" spans="1:288" s="89" customFormat="1" ht="13.9">
      <c r="A303" s="269" t="str">
        <f t="shared" si="58"/>
        <v>n</v>
      </c>
      <c r="B303" s="2060"/>
      <c r="D303" s="801"/>
      <c r="E303" s="1505">
        <v>18</v>
      </c>
      <c r="F303" s="21" t="str">
        <f>F$146</f>
        <v>--</v>
      </c>
      <c r="G303" s="1441">
        <f>G$146</f>
        <v>0</v>
      </c>
      <c r="H303" s="1441" t="str">
        <f>H$146</f>
        <v>--</v>
      </c>
      <c r="I303" s="89" t="s">
        <v>786</v>
      </c>
      <c r="K303" s="2301" t="str">
        <f>IF(OR(K209=0,$G303=0),"--",IFERROR(_xll.ciqfunctions.udf.CIQ($G303,$I303,K117,Valuation_Date_GC,ReportType,DataMode,$H303,FXMode)*Scale,"--"))</f>
        <v>--</v>
      </c>
      <c r="L303" s="2301" t="str">
        <f>IF(OR(L209=0,$G303=0),"--",IFERROR(_xll.ciqfunctions.udf.CIQ($G303,$I303,L117,Valuation_Date_GC,ReportType,DataMode,$H303,FXMode)*Scale,"--"))</f>
        <v>--</v>
      </c>
      <c r="M303" s="2301" t="str">
        <f>IF(OR(M209=0,$G303=0),"--",IFERROR(_xll.ciqfunctions.udf.CIQ($G303,$I303,M117,Valuation_Date_GC,ReportType,DataMode,$H303,FXMode)*Scale,"--"))</f>
        <v>--</v>
      </c>
      <c r="N303" s="2301" t="str">
        <f>IF(OR(N209=0,$G303=0),"--",IFERROR(_xll.ciqfunctions.udf.CIQ($G303,$I303,N117,Valuation_Date_GC,ReportType,DataMode,$H303,FXMode)*Scale,"--"))</f>
        <v>--</v>
      </c>
      <c r="O303" s="1471" t="str">
        <f>IF(OR(O209=0,$G303=0),"--",IFERROR(_xll.ciqfunctions.udf.CIQ($G303,$I303,O117,Valuation_Date_GC,ReportType,DataMode,$H303,FXMode)*Scale,"--"))</f>
        <v>--</v>
      </c>
      <c r="P303" s="2301" t="str">
        <f>IF(OR(P209=0,$G303=0),"--",IFERROR(_xll.ciqfunctions.udf.CIQ($G303,$I303,P117,Valuation_Date_GC,ReportType,DataMode,$H303,FXMode)*Scale,"--"))</f>
        <v>--</v>
      </c>
      <c r="R303" s="255"/>
      <c r="S303" s="1958" t="str">
        <f t="shared" si="84"/>
        <v>--</v>
      </c>
      <c r="T303" s="1779" t="s">
        <v>787</v>
      </c>
      <c r="U303" s="2133" t="str">
        <f t="shared" si="100"/>
        <v>--</v>
      </c>
      <c r="V303" s="2133" t="str">
        <f t="shared" si="100"/>
        <v>--</v>
      </c>
      <c r="W303" s="2133" t="str">
        <f t="shared" si="100"/>
        <v>--</v>
      </c>
      <c r="X303" s="2133" t="str">
        <f t="shared" si="100"/>
        <v>--</v>
      </c>
      <c r="Y303" s="2133" t="str">
        <f t="shared" si="100"/>
        <v>--</v>
      </c>
      <c r="Z303" s="2133" t="str">
        <f t="shared" si="100"/>
        <v>--</v>
      </c>
      <c r="AA303" s="2133" t="str">
        <f t="shared" si="100"/>
        <v>--</v>
      </c>
      <c r="AB303" s="2133" t="str">
        <f t="shared" si="100"/>
        <v>--</v>
      </c>
      <c r="AC303" s="2133" t="str">
        <f t="shared" si="100"/>
        <v>--</v>
      </c>
      <c r="AD303" s="2133" t="str">
        <f t="shared" si="100"/>
        <v>--</v>
      </c>
      <c r="AE303" s="2133" t="str">
        <f t="shared" si="100"/>
        <v>--</v>
      </c>
      <c r="AF303" s="2133" t="str">
        <f t="shared" si="100"/>
        <v>--</v>
      </c>
      <c r="AG303" s="2133" t="str">
        <f t="shared" si="100"/>
        <v>--</v>
      </c>
      <c r="AH303" s="2133" t="str">
        <f t="shared" si="100"/>
        <v>--</v>
      </c>
      <c r="AI303" s="2133" t="str">
        <f t="shared" si="100"/>
        <v>--</v>
      </c>
      <c r="AJ303" s="2133" t="str">
        <f t="shared" si="100"/>
        <v>--</v>
      </c>
      <c r="AK303" s="2133" t="str">
        <f t="shared" si="100"/>
        <v>--</v>
      </c>
      <c r="AL303" s="2133" t="str">
        <f t="shared" si="100"/>
        <v>--</v>
      </c>
      <c r="AM303" s="2133" t="str">
        <f t="shared" si="100"/>
        <v>--</v>
      </c>
      <c r="AN303" s="2133" t="str">
        <f t="shared" si="100"/>
        <v>--</v>
      </c>
      <c r="AO303" s="2133" t="str">
        <f t="shared" si="100"/>
        <v>--</v>
      </c>
      <c r="AP303" s="2133" t="str">
        <f t="shared" si="100"/>
        <v>--</v>
      </c>
      <c r="AQ303" s="2133" t="str">
        <f t="shared" si="100"/>
        <v>--</v>
      </c>
      <c r="AR303" s="2133" t="str">
        <f t="shared" si="100"/>
        <v>--</v>
      </c>
      <c r="AS303" s="2133" t="str">
        <f t="shared" si="100"/>
        <v>--</v>
      </c>
      <c r="AT303" s="2133" t="str">
        <f t="shared" si="100"/>
        <v>--</v>
      </c>
      <c r="AU303" s="2133" t="str">
        <f t="shared" si="100"/>
        <v>--</v>
      </c>
      <c r="AV303" s="2133" t="str">
        <f t="shared" si="100"/>
        <v>--</v>
      </c>
      <c r="AW303" s="2133" t="str">
        <f t="shared" si="100"/>
        <v>--</v>
      </c>
      <c r="AX303" s="2133" t="str">
        <f t="shared" si="100"/>
        <v>--</v>
      </c>
      <c r="AY303" s="2133" t="str">
        <f t="shared" si="100"/>
        <v>--</v>
      </c>
      <c r="AZ303" s="2133" t="str">
        <f t="shared" si="100"/>
        <v>--</v>
      </c>
      <c r="BA303" s="2133" t="str">
        <f t="shared" si="100"/>
        <v>--</v>
      </c>
      <c r="BB303" s="2133" t="str">
        <f t="shared" si="100"/>
        <v>--</v>
      </c>
      <c r="BC303" s="2133" t="str">
        <f t="shared" si="100"/>
        <v>--</v>
      </c>
      <c r="BD303" s="2133" t="str">
        <f t="shared" si="100"/>
        <v>--</v>
      </c>
      <c r="BE303" s="2133" t="str">
        <f t="shared" si="100"/>
        <v>--</v>
      </c>
      <c r="BF303" s="2133" t="str">
        <f t="shared" si="100"/>
        <v>--</v>
      </c>
      <c r="BG303" s="2133" t="str">
        <f t="shared" si="100"/>
        <v>--</v>
      </c>
      <c r="BH303" s="2133" t="str">
        <f t="shared" si="100"/>
        <v>--</v>
      </c>
      <c r="BI303" s="2133" t="str">
        <f t="shared" si="100"/>
        <v>--</v>
      </c>
      <c r="BJ303" s="2133" t="str">
        <f t="shared" si="100"/>
        <v>--</v>
      </c>
      <c r="BK303" s="2133" t="str">
        <f t="shared" si="100"/>
        <v>--</v>
      </c>
      <c r="BL303" s="2133" t="str">
        <f t="shared" si="100"/>
        <v>--</v>
      </c>
      <c r="BM303" s="2133" t="str">
        <f t="shared" si="100"/>
        <v>--</v>
      </c>
      <c r="BN303" s="2133" t="str">
        <f t="shared" si="100"/>
        <v>--</v>
      </c>
      <c r="BO303" s="2133" t="str">
        <f t="shared" si="100"/>
        <v>--</v>
      </c>
      <c r="BP303" s="2133" t="str">
        <f t="shared" si="100"/>
        <v>--</v>
      </c>
      <c r="BQ303" s="2133" t="str">
        <f t="shared" si="100"/>
        <v>--</v>
      </c>
      <c r="BR303" s="2133" t="str">
        <f t="shared" si="100"/>
        <v>--</v>
      </c>
      <c r="BS303" s="2133" t="str">
        <f t="shared" si="100"/>
        <v>--</v>
      </c>
      <c r="BT303" s="2133" t="str">
        <f t="shared" si="100"/>
        <v>--</v>
      </c>
      <c r="BU303" s="2133" t="str">
        <f t="shared" si="100"/>
        <v>--</v>
      </c>
      <c r="BV303" s="2133" t="str">
        <f t="shared" si="100"/>
        <v>--</v>
      </c>
      <c r="BW303" s="2133" t="str">
        <f t="shared" si="100"/>
        <v>--</v>
      </c>
      <c r="BX303" s="2133" t="str">
        <f t="shared" si="100"/>
        <v>--</v>
      </c>
      <c r="BY303" s="2133" t="str">
        <f t="shared" si="100"/>
        <v>--</v>
      </c>
      <c r="BZ303" s="2133" t="str">
        <f t="shared" si="100"/>
        <v>--</v>
      </c>
      <c r="CA303" s="2133" t="str">
        <f t="shared" si="100"/>
        <v>--</v>
      </c>
      <c r="CB303" s="2133" t="str">
        <f t="shared" si="100"/>
        <v>--</v>
      </c>
      <c r="CC303" s="2133" t="str">
        <f t="shared" si="100"/>
        <v>--</v>
      </c>
      <c r="CD303" s="2133" t="str">
        <f t="shared" si="100"/>
        <v>--</v>
      </c>
      <c r="CE303" s="2133" t="str">
        <f t="shared" si="100"/>
        <v>--</v>
      </c>
      <c r="CF303" s="2133" t="str">
        <f t="shared" si="100"/>
        <v>--</v>
      </c>
      <c r="CG303" s="2133" t="str">
        <f t="shared" ref="CG303:CV303" si="104">IFERROR(CG241/CG272,"--")</f>
        <v>--</v>
      </c>
      <c r="CH303" s="2133" t="str">
        <f t="shared" si="104"/>
        <v>--</v>
      </c>
      <c r="CI303" s="2133" t="str">
        <f t="shared" si="104"/>
        <v>--</v>
      </c>
      <c r="CJ303" s="2133" t="str">
        <f t="shared" si="104"/>
        <v>--</v>
      </c>
      <c r="CK303" s="2133" t="str">
        <f t="shared" si="104"/>
        <v>--</v>
      </c>
      <c r="CL303" s="2133" t="str">
        <f t="shared" si="104"/>
        <v>--</v>
      </c>
      <c r="CM303" s="2133" t="str">
        <f t="shared" si="104"/>
        <v>--</v>
      </c>
      <c r="CN303" s="2133" t="str">
        <f t="shared" si="104"/>
        <v>--</v>
      </c>
      <c r="CO303" s="2133" t="str">
        <f t="shared" si="104"/>
        <v>--</v>
      </c>
      <c r="CP303" s="2133" t="str">
        <f t="shared" si="104"/>
        <v>--</v>
      </c>
      <c r="CQ303" s="2133" t="str">
        <f t="shared" si="104"/>
        <v>--</v>
      </c>
      <c r="CR303" s="2133" t="str">
        <f t="shared" si="104"/>
        <v>--</v>
      </c>
      <c r="CS303" s="2133" t="str">
        <f t="shared" si="104"/>
        <v>--</v>
      </c>
      <c r="CT303" s="2133" t="str">
        <f t="shared" si="104"/>
        <v>--</v>
      </c>
      <c r="CU303" s="2133" t="str">
        <f t="shared" si="104"/>
        <v>--</v>
      </c>
      <c r="CV303" s="2133" t="str">
        <f t="shared" si="104"/>
        <v>--</v>
      </c>
      <c r="CW303" s="2133" t="str">
        <f t="shared" si="91"/>
        <v>--</v>
      </c>
      <c r="CX303" s="2133" t="str">
        <f t="shared" si="91"/>
        <v>--</v>
      </c>
      <c r="CY303" s="2133" t="str">
        <f t="shared" si="91"/>
        <v>--</v>
      </c>
      <c r="CZ303" s="2133" t="str">
        <f t="shared" si="91"/>
        <v>--</v>
      </c>
      <c r="DA303" s="2133" t="str">
        <f t="shared" si="91"/>
        <v>--</v>
      </c>
      <c r="DB303" s="2133" t="str">
        <f t="shared" si="91"/>
        <v>--</v>
      </c>
      <c r="DC303" s="2133" t="str">
        <f t="shared" si="91"/>
        <v>--</v>
      </c>
      <c r="DD303" s="2133" t="str">
        <f t="shared" si="91"/>
        <v>--</v>
      </c>
      <c r="DE303" s="2133" t="str">
        <f t="shared" si="91"/>
        <v>--</v>
      </c>
      <c r="DF303" s="2133" t="str">
        <f t="shared" si="91"/>
        <v>--</v>
      </c>
      <c r="DG303" s="2133" t="str">
        <f t="shared" si="91"/>
        <v>--</v>
      </c>
      <c r="DH303" s="2133" t="str">
        <f t="shared" si="91"/>
        <v>--</v>
      </c>
      <c r="DI303" s="2133" t="str">
        <f t="shared" si="91"/>
        <v>--</v>
      </c>
      <c r="DJ303" s="2133" t="str">
        <f t="shared" si="91"/>
        <v>--</v>
      </c>
      <c r="DK303" s="2133" t="str">
        <f t="shared" si="91"/>
        <v>--</v>
      </c>
      <c r="DL303" s="2133" t="str">
        <f t="shared" si="91"/>
        <v>--</v>
      </c>
      <c r="DM303" s="2133" t="str">
        <f t="shared" si="91"/>
        <v>--</v>
      </c>
      <c r="DN303" s="2133" t="str">
        <f t="shared" si="91"/>
        <v>--</v>
      </c>
      <c r="DO303" s="2133" t="str">
        <f t="shared" si="91"/>
        <v>--</v>
      </c>
      <c r="DP303" s="2133" t="str">
        <f t="shared" si="91"/>
        <v>--</v>
      </c>
      <c r="DQ303" s="2133" t="str">
        <f t="shared" si="91"/>
        <v>--</v>
      </c>
      <c r="DR303" s="2133" t="str">
        <f t="shared" si="91"/>
        <v>--</v>
      </c>
      <c r="DS303" s="2133" t="str">
        <f t="shared" si="91"/>
        <v>--</v>
      </c>
      <c r="DT303" s="2133" t="str">
        <f t="shared" si="91"/>
        <v>--</v>
      </c>
      <c r="DU303" s="2133" t="str">
        <f t="shared" si="91"/>
        <v>--</v>
      </c>
      <c r="DV303" s="2133" t="str">
        <f t="shared" si="91"/>
        <v>--</v>
      </c>
      <c r="DW303" s="2133" t="str">
        <f t="shared" si="91"/>
        <v>--</v>
      </c>
      <c r="DX303" s="2133" t="str">
        <f t="shared" si="91"/>
        <v>--</v>
      </c>
      <c r="DY303" s="2133" t="str">
        <f t="shared" si="91"/>
        <v>--</v>
      </c>
      <c r="DZ303" s="2133" t="str">
        <f t="shared" si="91"/>
        <v>--</v>
      </c>
      <c r="EA303" s="2133" t="str">
        <f t="shared" si="91"/>
        <v>--</v>
      </c>
      <c r="EB303" s="2133" t="str">
        <f t="shared" si="91"/>
        <v>--</v>
      </c>
      <c r="EC303" s="2133" t="str">
        <f t="shared" si="91"/>
        <v>--</v>
      </c>
      <c r="ED303" s="2133" t="str">
        <f t="shared" si="91"/>
        <v>--</v>
      </c>
      <c r="EE303" s="2133" t="str">
        <f t="shared" si="91"/>
        <v>--</v>
      </c>
      <c r="EF303" s="2133" t="str">
        <f t="shared" si="91"/>
        <v>--</v>
      </c>
      <c r="EG303" s="2133" t="str">
        <f t="shared" si="91"/>
        <v>--</v>
      </c>
      <c r="EH303" s="2133" t="str">
        <f t="shared" si="91"/>
        <v>--</v>
      </c>
      <c r="EI303" s="2133" t="str">
        <f t="shared" si="91"/>
        <v>--</v>
      </c>
      <c r="EJ303" s="2133" t="str">
        <f t="shared" si="91"/>
        <v>--</v>
      </c>
      <c r="EK303" s="2133" t="str">
        <f t="shared" si="91"/>
        <v>--</v>
      </c>
      <c r="EL303" s="2133" t="str">
        <f t="shared" si="91"/>
        <v>--</v>
      </c>
      <c r="EM303" s="2133" t="str">
        <f t="shared" si="91"/>
        <v>--</v>
      </c>
      <c r="EN303" s="2133" t="str">
        <f t="shared" si="91"/>
        <v>--</v>
      </c>
      <c r="EO303" s="2133" t="str">
        <f t="shared" si="91"/>
        <v>--</v>
      </c>
      <c r="EP303" s="2133" t="str">
        <f t="shared" si="91"/>
        <v>--</v>
      </c>
      <c r="EQ303" s="2133" t="str">
        <f t="shared" si="91"/>
        <v>--</v>
      </c>
      <c r="ER303" s="2133" t="str">
        <f t="shared" si="91"/>
        <v>--</v>
      </c>
      <c r="ES303" s="2133" t="str">
        <f t="shared" si="91"/>
        <v>--</v>
      </c>
      <c r="ET303" s="2133" t="str">
        <f t="shared" si="91"/>
        <v>--</v>
      </c>
      <c r="EU303" s="2133" t="str">
        <f t="shared" si="91"/>
        <v>--</v>
      </c>
      <c r="EV303" s="2133" t="str">
        <f t="shared" si="91"/>
        <v>--</v>
      </c>
      <c r="EW303" s="2133" t="str">
        <f t="shared" si="91"/>
        <v>--</v>
      </c>
      <c r="EX303" s="2133" t="str">
        <f t="shared" si="91"/>
        <v>--</v>
      </c>
      <c r="EY303" s="2133" t="str">
        <f t="shared" si="91"/>
        <v>--</v>
      </c>
      <c r="EZ303" s="2133" t="str">
        <f t="shared" si="91"/>
        <v>--</v>
      </c>
      <c r="FA303" s="2133" t="str">
        <f t="shared" si="91"/>
        <v>--</v>
      </c>
      <c r="FB303" s="2133" t="str">
        <f t="shared" si="91"/>
        <v>--</v>
      </c>
      <c r="FC303" s="2133" t="str">
        <f t="shared" si="91"/>
        <v>--</v>
      </c>
      <c r="FD303" s="2133" t="str">
        <f t="shared" si="91"/>
        <v>--</v>
      </c>
      <c r="FE303" s="2133" t="str">
        <f t="shared" si="91"/>
        <v>--</v>
      </c>
      <c r="FF303" s="2133" t="str">
        <f t="shared" si="91"/>
        <v>--</v>
      </c>
      <c r="FG303" s="2133" t="str">
        <f t="shared" si="91"/>
        <v>--</v>
      </c>
      <c r="FH303" s="2133" t="str">
        <f t="shared" ref="FH303:GM303" si="105">IFERROR(FH241/FH272,"--")</f>
        <v>--</v>
      </c>
      <c r="FI303" s="2133" t="str">
        <f t="shared" si="105"/>
        <v>--</v>
      </c>
      <c r="FJ303" s="2133" t="str">
        <f t="shared" si="105"/>
        <v>--</v>
      </c>
      <c r="FK303" s="2133" t="str">
        <f t="shared" si="105"/>
        <v>--</v>
      </c>
      <c r="FL303" s="2133" t="str">
        <f t="shared" si="105"/>
        <v>--</v>
      </c>
      <c r="FM303" s="2133" t="str">
        <f t="shared" si="105"/>
        <v>--</v>
      </c>
      <c r="FN303" s="2133" t="str">
        <f t="shared" si="105"/>
        <v>--</v>
      </c>
      <c r="FO303" s="2133" t="str">
        <f t="shared" si="105"/>
        <v>--</v>
      </c>
      <c r="FP303" s="2133" t="str">
        <f t="shared" si="105"/>
        <v>--</v>
      </c>
      <c r="FQ303" s="2133" t="str">
        <f t="shared" si="105"/>
        <v>--</v>
      </c>
      <c r="FR303" s="2133" t="str">
        <f t="shared" si="105"/>
        <v>--</v>
      </c>
      <c r="FS303" s="2133" t="str">
        <f t="shared" si="105"/>
        <v>--</v>
      </c>
      <c r="FT303" s="2133" t="str">
        <f t="shared" si="105"/>
        <v>--</v>
      </c>
      <c r="FU303" s="2133" t="str">
        <f t="shared" si="105"/>
        <v>--</v>
      </c>
      <c r="FV303" s="2133" t="str">
        <f t="shared" si="105"/>
        <v>--</v>
      </c>
      <c r="FW303" s="2133" t="str">
        <f t="shared" si="105"/>
        <v>--</v>
      </c>
      <c r="FX303" s="2133" t="str">
        <f t="shared" si="105"/>
        <v>--</v>
      </c>
      <c r="FY303" s="2133" t="str">
        <f t="shared" si="105"/>
        <v>--</v>
      </c>
      <c r="FZ303" s="2133" t="str">
        <f t="shared" si="105"/>
        <v>--</v>
      </c>
      <c r="GA303" s="2133" t="str">
        <f t="shared" si="105"/>
        <v>--</v>
      </c>
      <c r="GB303" s="2133" t="str">
        <f t="shared" si="105"/>
        <v>--</v>
      </c>
      <c r="GC303" s="2133" t="str">
        <f t="shared" si="105"/>
        <v>--</v>
      </c>
      <c r="GD303" s="2133" t="str">
        <f t="shared" si="105"/>
        <v>--</v>
      </c>
      <c r="GE303" s="2133" t="str">
        <f t="shared" si="105"/>
        <v>--</v>
      </c>
      <c r="GF303" s="2133" t="str">
        <f t="shared" si="105"/>
        <v>--</v>
      </c>
      <c r="GG303" s="2133" t="str">
        <f t="shared" si="105"/>
        <v>--</v>
      </c>
      <c r="GH303" s="2133" t="str">
        <f t="shared" si="105"/>
        <v>--</v>
      </c>
      <c r="GI303" s="2133" t="str">
        <f t="shared" si="105"/>
        <v>--</v>
      </c>
      <c r="GJ303" s="2133" t="str">
        <f t="shared" si="105"/>
        <v>--</v>
      </c>
      <c r="GK303" s="2133" t="str">
        <f t="shared" si="105"/>
        <v>--</v>
      </c>
      <c r="GL303" s="2133" t="str">
        <f t="shared" si="105"/>
        <v>--</v>
      </c>
      <c r="GM303" s="2133" t="str">
        <f t="shared" si="105"/>
        <v>--</v>
      </c>
      <c r="GN303" s="2133" t="str">
        <f t="shared" ref="GN303:HG303" si="106">IFERROR(GN241/GN272,"--")</f>
        <v>--</v>
      </c>
      <c r="GO303" s="2133" t="str">
        <f t="shared" si="106"/>
        <v>--</v>
      </c>
      <c r="GP303" s="2133" t="str">
        <f t="shared" si="106"/>
        <v>--</v>
      </c>
      <c r="GQ303" s="2133" t="str">
        <f t="shared" si="106"/>
        <v>--</v>
      </c>
      <c r="GR303" s="2133" t="str">
        <f t="shared" si="106"/>
        <v>--</v>
      </c>
      <c r="GS303" s="2133" t="str">
        <f t="shared" si="106"/>
        <v>--</v>
      </c>
      <c r="GT303" s="2133" t="str">
        <f t="shared" si="106"/>
        <v>--</v>
      </c>
      <c r="GU303" s="2133" t="str">
        <f t="shared" si="106"/>
        <v>--</v>
      </c>
      <c r="GV303" s="2133" t="str">
        <f t="shared" si="106"/>
        <v>--</v>
      </c>
      <c r="GW303" s="2133" t="str">
        <f t="shared" si="106"/>
        <v>--</v>
      </c>
      <c r="GX303" s="2133" t="str">
        <f t="shared" si="106"/>
        <v>--</v>
      </c>
      <c r="GY303" s="2133" t="str">
        <f t="shared" si="106"/>
        <v>--</v>
      </c>
      <c r="GZ303" s="2133" t="str">
        <f t="shared" si="106"/>
        <v>--</v>
      </c>
      <c r="HA303" s="2133" t="str">
        <f t="shared" si="106"/>
        <v>--</v>
      </c>
      <c r="HB303" s="2133" t="str">
        <f t="shared" si="106"/>
        <v>--</v>
      </c>
      <c r="HC303" s="2133" t="str">
        <f t="shared" si="106"/>
        <v>--</v>
      </c>
      <c r="HD303" s="2133" t="str">
        <f t="shared" si="106"/>
        <v>--</v>
      </c>
      <c r="HE303" s="2133" t="str">
        <f t="shared" si="106"/>
        <v>--</v>
      </c>
      <c r="HF303" s="2133" t="str">
        <f t="shared" si="106"/>
        <v>--</v>
      </c>
      <c r="HG303" s="2133" t="str">
        <f t="shared" si="106"/>
        <v>--</v>
      </c>
      <c r="HH303" s="2133" t="str">
        <f t="shared" si="98"/>
        <v>--</v>
      </c>
      <c r="HI303" s="2133" t="str">
        <f t="shared" si="98"/>
        <v>--</v>
      </c>
      <c r="HJ303" s="2133" t="str">
        <f t="shared" si="98"/>
        <v>--</v>
      </c>
      <c r="HK303" s="2133" t="str">
        <f t="shared" si="98"/>
        <v>--</v>
      </c>
      <c r="HL303" s="2133" t="str">
        <f t="shared" si="98"/>
        <v>--</v>
      </c>
      <c r="HM303" s="2133" t="str">
        <f t="shared" si="98"/>
        <v>--</v>
      </c>
      <c r="HN303" s="2133" t="str">
        <f t="shared" si="98"/>
        <v>--</v>
      </c>
      <c r="HO303" s="2133" t="str">
        <f t="shared" si="98"/>
        <v>--</v>
      </c>
      <c r="HP303" s="2133" t="str">
        <f t="shared" si="98"/>
        <v>--</v>
      </c>
      <c r="HQ303" s="2133" t="str">
        <f t="shared" si="98"/>
        <v>--</v>
      </c>
      <c r="HR303" s="2133" t="str">
        <f t="shared" si="98"/>
        <v>--</v>
      </c>
      <c r="HS303" s="2133" t="str">
        <f t="shared" si="98"/>
        <v>--</v>
      </c>
      <c r="HT303" s="2133" t="str">
        <f t="shared" si="98"/>
        <v>--</v>
      </c>
      <c r="HU303" s="2133" t="str">
        <f t="shared" si="98"/>
        <v>--</v>
      </c>
      <c r="HV303" s="2133" t="str">
        <f t="shared" si="98"/>
        <v>--</v>
      </c>
      <c r="HW303" s="2133" t="str">
        <f t="shared" si="98"/>
        <v>--</v>
      </c>
      <c r="HX303" s="2133" t="str">
        <f t="shared" si="98"/>
        <v>--</v>
      </c>
      <c r="HY303" s="2133" t="str">
        <f t="shared" si="98"/>
        <v>--</v>
      </c>
      <c r="HZ303" s="2133" t="str">
        <f t="shared" si="98"/>
        <v>--</v>
      </c>
      <c r="IA303" s="2133" t="str">
        <f t="shared" si="98"/>
        <v>--</v>
      </c>
      <c r="IB303" s="2133" t="str">
        <f t="shared" si="98"/>
        <v>--</v>
      </c>
      <c r="IC303" s="2133" t="str">
        <f t="shared" si="98"/>
        <v>--</v>
      </c>
      <c r="ID303" s="2133" t="str">
        <f t="shared" si="98"/>
        <v>--</v>
      </c>
      <c r="IE303" s="2133" t="str">
        <f t="shared" si="98"/>
        <v>--</v>
      </c>
      <c r="IF303" s="2133" t="str">
        <f t="shared" si="98"/>
        <v>--</v>
      </c>
      <c r="IG303" s="2133" t="str">
        <f t="shared" si="98"/>
        <v>--</v>
      </c>
      <c r="IH303" s="2133" t="str">
        <f t="shared" si="98"/>
        <v>--</v>
      </c>
      <c r="II303" s="2133" t="str">
        <f t="shared" si="98"/>
        <v>--</v>
      </c>
      <c r="IJ303" s="2133" t="str">
        <f t="shared" si="98"/>
        <v>--</v>
      </c>
      <c r="IK303" s="2133" t="str">
        <f t="shared" si="98"/>
        <v>--</v>
      </c>
      <c r="IL303" s="2133" t="str">
        <f t="shared" si="98"/>
        <v>--</v>
      </c>
      <c r="IM303" s="2133" t="str">
        <f t="shared" si="98"/>
        <v>--</v>
      </c>
      <c r="IN303" s="2133" t="str">
        <f t="shared" si="98"/>
        <v>--</v>
      </c>
      <c r="IO303" s="2133" t="str">
        <f t="shared" si="98"/>
        <v>--</v>
      </c>
      <c r="IP303" s="2133" t="str">
        <f t="shared" si="98"/>
        <v>--</v>
      </c>
      <c r="IQ303" s="2133" t="str">
        <f t="shared" si="98"/>
        <v>--</v>
      </c>
      <c r="IR303" s="2133" t="str">
        <f t="shared" si="98"/>
        <v>--</v>
      </c>
      <c r="IS303" s="2133" t="str">
        <f t="shared" si="98"/>
        <v>--</v>
      </c>
      <c r="IT303" s="2133" t="str">
        <f t="shared" si="98"/>
        <v>--</v>
      </c>
      <c r="IU303" s="2133" t="str">
        <f t="shared" si="98"/>
        <v>--</v>
      </c>
      <c r="IV303" s="2133" t="str">
        <f t="shared" si="98"/>
        <v>--</v>
      </c>
      <c r="IW303" s="2133" t="str">
        <f t="shared" si="98"/>
        <v>--</v>
      </c>
      <c r="IX303" s="2133" t="str">
        <f t="shared" si="98"/>
        <v>--</v>
      </c>
      <c r="IY303" s="2133" t="str">
        <f t="shared" si="98"/>
        <v>--</v>
      </c>
      <c r="IZ303" s="2133" t="str">
        <f t="shared" si="98"/>
        <v>--</v>
      </c>
      <c r="JA303" s="2133" t="str">
        <f t="shared" si="98"/>
        <v>--</v>
      </c>
      <c r="JB303" s="2133" t="str">
        <f t="shared" si="98"/>
        <v>--</v>
      </c>
      <c r="JC303" s="2133" t="str">
        <f t="shared" si="98"/>
        <v>--</v>
      </c>
      <c r="JD303" s="2133" t="str">
        <f t="shared" si="98"/>
        <v>--</v>
      </c>
      <c r="JE303" s="2133" t="str">
        <f t="shared" si="98"/>
        <v>--</v>
      </c>
      <c r="JF303" s="2133" t="str">
        <f t="shared" si="98"/>
        <v>--</v>
      </c>
      <c r="JG303" s="2133" t="str">
        <f t="shared" si="98"/>
        <v>--</v>
      </c>
      <c r="JH303" s="2133" t="str">
        <f t="shared" si="98"/>
        <v>--</v>
      </c>
      <c r="JI303" s="2133" t="str">
        <f t="shared" si="98"/>
        <v>--</v>
      </c>
      <c r="JJ303" s="2133" t="str">
        <f t="shared" si="98"/>
        <v>--</v>
      </c>
      <c r="JK303" s="2133" t="str">
        <f t="shared" si="98"/>
        <v>--</v>
      </c>
      <c r="JL303" s="2133" t="str">
        <f t="shared" si="98"/>
        <v>--</v>
      </c>
      <c r="JM303" s="2133" t="str">
        <f t="shared" si="98"/>
        <v>--</v>
      </c>
      <c r="JN303" s="2133" t="str">
        <f t="shared" si="98"/>
        <v>--</v>
      </c>
      <c r="JO303" s="2133" t="str">
        <f t="shared" si="98"/>
        <v>--</v>
      </c>
      <c r="JP303" s="2133" t="str">
        <f t="shared" si="98"/>
        <v>--</v>
      </c>
      <c r="JQ303" s="2133" t="str">
        <f t="shared" si="98"/>
        <v>--</v>
      </c>
      <c r="JR303" s="2133" t="str">
        <f t="shared" si="98"/>
        <v>--</v>
      </c>
      <c r="JS303" s="2133" t="str">
        <f t="shared" si="98"/>
        <v>--</v>
      </c>
      <c r="JT303" s="2133" t="str">
        <f t="shared" si="99"/>
        <v>--</v>
      </c>
      <c r="JU303" s="2133" t="str">
        <f t="shared" si="99"/>
        <v>--</v>
      </c>
      <c r="JV303" s="2133" t="str">
        <f t="shared" si="99"/>
        <v>--</v>
      </c>
      <c r="JW303" s="2133" t="str">
        <f t="shared" si="99"/>
        <v>--</v>
      </c>
      <c r="JX303" s="2133" t="str">
        <f t="shared" si="99"/>
        <v>--</v>
      </c>
      <c r="JY303" s="2133" t="str">
        <f t="shared" si="99"/>
        <v>--</v>
      </c>
      <c r="JZ303" s="2133" t="str">
        <f t="shared" si="99"/>
        <v>--</v>
      </c>
      <c r="KA303" s="2133" t="str">
        <f t="shared" si="99"/>
        <v>--</v>
      </c>
      <c r="KB303" s="2133" t="str">
        <f t="shared" si="99"/>
        <v>--</v>
      </c>
    </row>
    <row r="304" spans="1:288" s="89" customFormat="1" ht="13.9">
      <c r="A304" s="269" t="str">
        <f t="shared" si="58"/>
        <v>n</v>
      </c>
      <c r="B304" s="2060"/>
      <c r="D304" s="801"/>
      <c r="E304" s="1505">
        <v>19</v>
      </c>
      <c r="F304" s="21" t="str">
        <f>F$147</f>
        <v>--</v>
      </c>
      <c r="G304" s="1441">
        <f>G$147</f>
        <v>0</v>
      </c>
      <c r="H304" s="1441" t="str">
        <f>H$147</f>
        <v>--</v>
      </c>
      <c r="I304" s="89" t="s">
        <v>786</v>
      </c>
      <c r="K304" s="2301" t="str">
        <f>IF(OR(K210=0,$G304=0),"--",IFERROR(_xll.ciqfunctions.udf.CIQ($G304,$I304,K118,Valuation_Date_GC,ReportType,DataMode,$H304,FXMode)*Scale,"--"))</f>
        <v>--</v>
      </c>
      <c r="L304" s="2301" t="str">
        <f>IF(OR(L210=0,$G304=0),"--",IFERROR(_xll.ciqfunctions.udf.CIQ($G304,$I304,L118,Valuation_Date_GC,ReportType,DataMode,$H304,FXMode)*Scale,"--"))</f>
        <v>--</v>
      </c>
      <c r="M304" s="2301" t="str">
        <f>IF(OR(M210=0,$G304=0),"--",IFERROR(_xll.ciqfunctions.udf.CIQ($G304,$I304,M118,Valuation_Date_GC,ReportType,DataMode,$H304,FXMode)*Scale,"--"))</f>
        <v>--</v>
      </c>
      <c r="N304" s="2301" t="str">
        <f>IF(OR(N210=0,$G304=0),"--",IFERROR(_xll.ciqfunctions.udf.CIQ($G304,$I304,N118,Valuation_Date_GC,ReportType,DataMode,$H304,FXMode)*Scale,"--"))</f>
        <v>--</v>
      </c>
      <c r="O304" s="1471" t="str">
        <f>IF(OR(O210=0,$G304=0),"--",IFERROR(_xll.ciqfunctions.udf.CIQ($G304,$I304,O118,Valuation_Date_GC,ReportType,DataMode,$H304,FXMode)*Scale,"--"))</f>
        <v>--</v>
      </c>
      <c r="P304" s="2301" t="str">
        <f>IF(OR(P210=0,$G304=0),"--",IFERROR(_xll.ciqfunctions.udf.CIQ($G304,$I304,P118,Valuation_Date_GC,ReportType,DataMode,$H304,FXMode)*Scale,"--"))</f>
        <v>--</v>
      </c>
      <c r="R304" s="255"/>
      <c r="S304" s="1958" t="str">
        <f t="shared" si="84"/>
        <v>--</v>
      </c>
      <c r="T304" s="1779" t="s">
        <v>787</v>
      </c>
      <c r="U304" s="2133" t="str">
        <f t="shared" si="100"/>
        <v>--</v>
      </c>
      <c r="V304" s="2133" t="str">
        <f t="shared" si="100"/>
        <v>--</v>
      </c>
      <c r="W304" s="2133" t="str">
        <f t="shared" si="100"/>
        <v>--</v>
      </c>
      <c r="X304" s="2133" t="str">
        <f t="shared" si="100"/>
        <v>--</v>
      </c>
      <c r="Y304" s="2133" t="str">
        <f t="shared" si="100"/>
        <v>--</v>
      </c>
      <c r="Z304" s="2133" t="str">
        <f t="shared" si="100"/>
        <v>--</v>
      </c>
      <c r="AA304" s="2133" t="str">
        <f t="shared" si="100"/>
        <v>--</v>
      </c>
      <c r="AB304" s="2133" t="str">
        <f t="shared" si="100"/>
        <v>--</v>
      </c>
      <c r="AC304" s="2133" t="str">
        <f t="shared" si="100"/>
        <v>--</v>
      </c>
      <c r="AD304" s="2133" t="str">
        <f t="shared" si="100"/>
        <v>--</v>
      </c>
      <c r="AE304" s="2133" t="str">
        <f t="shared" si="100"/>
        <v>--</v>
      </c>
      <c r="AF304" s="2133" t="str">
        <f t="shared" si="100"/>
        <v>--</v>
      </c>
      <c r="AG304" s="2133" t="str">
        <f t="shared" si="100"/>
        <v>--</v>
      </c>
      <c r="AH304" s="2133" t="str">
        <f t="shared" si="100"/>
        <v>--</v>
      </c>
      <c r="AI304" s="2133" t="str">
        <f t="shared" si="100"/>
        <v>--</v>
      </c>
      <c r="AJ304" s="2133" t="str">
        <f t="shared" si="100"/>
        <v>--</v>
      </c>
      <c r="AK304" s="2133" t="str">
        <f t="shared" si="100"/>
        <v>--</v>
      </c>
      <c r="AL304" s="2133" t="str">
        <f t="shared" si="100"/>
        <v>--</v>
      </c>
      <c r="AM304" s="2133" t="str">
        <f t="shared" si="100"/>
        <v>--</v>
      </c>
      <c r="AN304" s="2133" t="str">
        <f t="shared" si="100"/>
        <v>--</v>
      </c>
      <c r="AO304" s="2133" t="str">
        <f t="shared" si="100"/>
        <v>--</v>
      </c>
      <c r="AP304" s="2133" t="str">
        <f t="shared" si="100"/>
        <v>--</v>
      </c>
      <c r="AQ304" s="2133" t="str">
        <f t="shared" si="100"/>
        <v>--</v>
      </c>
      <c r="AR304" s="2133" t="str">
        <f t="shared" si="100"/>
        <v>--</v>
      </c>
      <c r="AS304" s="2133" t="str">
        <f t="shared" si="100"/>
        <v>--</v>
      </c>
      <c r="AT304" s="2133" t="str">
        <f t="shared" si="100"/>
        <v>--</v>
      </c>
      <c r="AU304" s="2133" t="str">
        <f t="shared" si="100"/>
        <v>--</v>
      </c>
      <c r="AV304" s="2133" t="str">
        <f t="shared" si="100"/>
        <v>--</v>
      </c>
      <c r="AW304" s="2133" t="str">
        <f t="shared" si="100"/>
        <v>--</v>
      </c>
      <c r="AX304" s="2133" t="str">
        <f t="shared" si="100"/>
        <v>--</v>
      </c>
      <c r="AY304" s="2133" t="str">
        <f t="shared" si="100"/>
        <v>--</v>
      </c>
      <c r="AZ304" s="2133" t="str">
        <f t="shared" si="100"/>
        <v>--</v>
      </c>
      <c r="BA304" s="2133" t="str">
        <f t="shared" si="100"/>
        <v>--</v>
      </c>
      <c r="BB304" s="2133" t="str">
        <f t="shared" si="100"/>
        <v>--</v>
      </c>
      <c r="BC304" s="2133" t="str">
        <f t="shared" si="100"/>
        <v>--</v>
      </c>
      <c r="BD304" s="2133" t="str">
        <f t="shared" si="100"/>
        <v>--</v>
      </c>
      <c r="BE304" s="2133" t="str">
        <f t="shared" si="100"/>
        <v>--</v>
      </c>
      <c r="BF304" s="2133" t="str">
        <f t="shared" si="100"/>
        <v>--</v>
      </c>
      <c r="BG304" s="2133" t="str">
        <f t="shared" si="100"/>
        <v>--</v>
      </c>
      <c r="BH304" s="2133" t="str">
        <f t="shared" si="100"/>
        <v>--</v>
      </c>
      <c r="BI304" s="2133" t="str">
        <f t="shared" si="100"/>
        <v>--</v>
      </c>
      <c r="BJ304" s="2133" t="str">
        <f t="shared" si="100"/>
        <v>--</v>
      </c>
      <c r="BK304" s="2133" t="str">
        <f t="shared" si="100"/>
        <v>--</v>
      </c>
      <c r="BL304" s="2133" t="str">
        <f t="shared" si="100"/>
        <v>--</v>
      </c>
      <c r="BM304" s="2133" t="str">
        <f t="shared" si="100"/>
        <v>--</v>
      </c>
      <c r="BN304" s="2133" t="str">
        <f t="shared" si="100"/>
        <v>--</v>
      </c>
      <c r="BO304" s="2133" t="str">
        <f t="shared" si="100"/>
        <v>--</v>
      </c>
      <c r="BP304" s="2133" t="str">
        <f t="shared" si="100"/>
        <v>--</v>
      </c>
      <c r="BQ304" s="2133" t="str">
        <f t="shared" si="100"/>
        <v>--</v>
      </c>
      <c r="BR304" s="2133" t="str">
        <f t="shared" si="100"/>
        <v>--</v>
      </c>
      <c r="BS304" s="2133" t="str">
        <f t="shared" si="100"/>
        <v>--</v>
      </c>
      <c r="BT304" s="2133" t="str">
        <f t="shared" si="100"/>
        <v>--</v>
      </c>
      <c r="BU304" s="2133" t="str">
        <f t="shared" si="100"/>
        <v>--</v>
      </c>
      <c r="BV304" s="2133" t="str">
        <f t="shared" si="100"/>
        <v>--</v>
      </c>
      <c r="BW304" s="2133" t="str">
        <f t="shared" si="100"/>
        <v>--</v>
      </c>
      <c r="BX304" s="2133" t="str">
        <f t="shared" si="100"/>
        <v>--</v>
      </c>
      <c r="BY304" s="2133" t="str">
        <f t="shared" si="100"/>
        <v>--</v>
      </c>
      <c r="BZ304" s="2133" t="str">
        <f t="shared" si="100"/>
        <v>--</v>
      </c>
      <c r="CA304" s="2133" t="str">
        <f t="shared" si="100"/>
        <v>--</v>
      </c>
      <c r="CB304" s="2133" t="str">
        <f t="shared" si="100"/>
        <v>--</v>
      </c>
      <c r="CC304" s="2133" t="str">
        <f t="shared" si="100"/>
        <v>--</v>
      </c>
      <c r="CD304" s="2133" t="str">
        <f t="shared" si="100"/>
        <v>--</v>
      </c>
      <c r="CE304" s="2133" t="str">
        <f t="shared" si="100"/>
        <v>--</v>
      </c>
      <c r="CF304" s="2133" t="str">
        <f t="shared" si="100"/>
        <v>--</v>
      </c>
      <c r="CG304" s="2133" t="str">
        <f t="shared" ref="CG304:CV304" si="107">IFERROR(CG242/CG273,"--")</f>
        <v>--</v>
      </c>
      <c r="CH304" s="2133" t="str">
        <f t="shared" si="107"/>
        <v>--</v>
      </c>
      <c r="CI304" s="2133" t="str">
        <f t="shared" si="107"/>
        <v>--</v>
      </c>
      <c r="CJ304" s="2133" t="str">
        <f t="shared" si="107"/>
        <v>--</v>
      </c>
      <c r="CK304" s="2133" t="str">
        <f t="shared" si="107"/>
        <v>--</v>
      </c>
      <c r="CL304" s="2133" t="str">
        <f t="shared" si="107"/>
        <v>--</v>
      </c>
      <c r="CM304" s="2133" t="str">
        <f t="shared" si="107"/>
        <v>--</v>
      </c>
      <c r="CN304" s="2133" t="str">
        <f t="shared" si="107"/>
        <v>--</v>
      </c>
      <c r="CO304" s="2133" t="str">
        <f t="shared" si="107"/>
        <v>--</v>
      </c>
      <c r="CP304" s="2133" t="str">
        <f t="shared" si="107"/>
        <v>--</v>
      </c>
      <c r="CQ304" s="2133" t="str">
        <f t="shared" si="107"/>
        <v>--</v>
      </c>
      <c r="CR304" s="2133" t="str">
        <f t="shared" si="107"/>
        <v>--</v>
      </c>
      <c r="CS304" s="2133" t="str">
        <f t="shared" si="107"/>
        <v>--</v>
      </c>
      <c r="CT304" s="2133" t="str">
        <f t="shared" si="107"/>
        <v>--</v>
      </c>
      <c r="CU304" s="2133" t="str">
        <f t="shared" si="107"/>
        <v>--</v>
      </c>
      <c r="CV304" s="2133" t="str">
        <f t="shared" si="107"/>
        <v>--</v>
      </c>
      <c r="CW304" s="2133" t="str">
        <f t="shared" si="91"/>
        <v>--</v>
      </c>
      <c r="CX304" s="2133" t="str">
        <f t="shared" si="91"/>
        <v>--</v>
      </c>
      <c r="CY304" s="2133" t="str">
        <f t="shared" si="91"/>
        <v>--</v>
      </c>
      <c r="CZ304" s="2133" t="str">
        <f t="shared" si="91"/>
        <v>--</v>
      </c>
      <c r="DA304" s="2133" t="str">
        <f t="shared" si="91"/>
        <v>--</v>
      </c>
      <c r="DB304" s="2133" t="str">
        <f t="shared" si="91"/>
        <v>--</v>
      </c>
      <c r="DC304" s="2133" t="str">
        <f t="shared" si="91"/>
        <v>--</v>
      </c>
      <c r="DD304" s="2133" t="str">
        <f t="shared" si="91"/>
        <v>--</v>
      </c>
      <c r="DE304" s="2133" t="str">
        <f t="shared" si="91"/>
        <v>--</v>
      </c>
      <c r="DF304" s="2133" t="str">
        <f t="shared" si="91"/>
        <v>--</v>
      </c>
      <c r="DG304" s="2133" t="str">
        <f t="shared" si="91"/>
        <v>--</v>
      </c>
      <c r="DH304" s="2133" t="str">
        <f t="shared" si="91"/>
        <v>--</v>
      </c>
      <c r="DI304" s="2133" t="str">
        <f t="shared" si="91"/>
        <v>--</v>
      </c>
      <c r="DJ304" s="2133" t="str">
        <f t="shared" si="91"/>
        <v>--</v>
      </c>
      <c r="DK304" s="2133" t="str">
        <f t="shared" si="91"/>
        <v>--</v>
      </c>
      <c r="DL304" s="2133" t="str">
        <f t="shared" si="91"/>
        <v>--</v>
      </c>
      <c r="DM304" s="2133" t="str">
        <f t="shared" si="91"/>
        <v>--</v>
      </c>
      <c r="DN304" s="2133" t="str">
        <f t="shared" si="91"/>
        <v>--</v>
      </c>
      <c r="DO304" s="2133" t="str">
        <f t="shared" si="91"/>
        <v>--</v>
      </c>
      <c r="DP304" s="2133" t="str">
        <f t="shared" si="91"/>
        <v>--</v>
      </c>
      <c r="DQ304" s="2133" t="str">
        <f t="shared" si="91"/>
        <v>--</v>
      </c>
      <c r="DR304" s="2133" t="str">
        <f t="shared" si="91"/>
        <v>--</v>
      </c>
      <c r="DS304" s="2133" t="str">
        <f t="shared" si="91"/>
        <v>--</v>
      </c>
      <c r="DT304" s="2133" t="str">
        <f t="shared" si="91"/>
        <v>--</v>
      </c>
      <c r="DU304" s="2133" t="str">
        <f t="shared" si="91"/>
        <v>--</v>
      </c>
      <c r="DV304" s="2133" t="str">
        <f t="shared" si="91"/>
        <v>--</v>
      </c>
      <c r="DW304" s="2133" t="str">
        <f t="shared" si="91"/>
        <v>--</v>
      </c>
      <c r="DX304" s="2133" t="str">
        <f t="shared" si="91"/>
        <v>--</v>
      </c>
      <c r="DY304" s="2133" t="str">
        <f t="shared" si="91"/>
        <v>--</v>
      </c>
      <c r="DZ304" s="2133" t="str">
        <f t="shared" si="91"/>
        <v>--</v>
      </c>
      <c r="EA304" s="2133" t="str">
        <f t="shared" ref="EA304:GL309" si="108">IFERROR(EA242/EA273,"--")</f>
        <v>--</v>
      </c>
      <c r="EB304" s="2133" t="str">
        <f t="shared" si="108"/>
        <v>--</v>
      </c>
      <c r="EC304" s="2133" t="str">
        <f t="shared" si="108"/>
        <v>--</v>
      </c>
      <c r="ED304" s="2133" t="str">
        <f t="shared" si="108"/>
        <v>--</v>
      </c>
      <c r="EE304" s="2133" t="str">
        <f t="shared" si="108"/>
        <v>--</v>
      </c>
      <c r="EF304" s="2133" t="str">
        <f t="shared" si="108"/>
        <v>--</v>
      </c>
      <c r="EG304" s="2133" t="str">
        <f t="shared" si="108"/>
        <v>--</v>
      </c>
      <c r="EH304" s="2133" t="str">
        <f t="shared" si="108"/>
        <v>--</v>
      </c>
      <c r="EI304" s="2133" t="str">
        <f t="shared" si="108"/>
        <v>--</v>
      </c>
      <c r="EJ304" s="2133" t="str">
        <f t="shared" si="108"/>
        <v>--</v>
      </c>
      <c r="EK304" s="2133" t="str">
        <f t="shared" si="108"/>
        <v>--</v>
      </c>
      <c r="EL304" s="2133" t="str">
        <f t="shared" si="108"/>
        <v>--</v>
      </c>
      <c r="EM304" s="2133" t="str">
        <f t="shared" si="108"/>
        <v>--</v>
      </c>
      <c r="EN304" s="2133" t="str">
        <f t="shared" si="108"/>
        <v>--</v>
      </c>
      <c r="EO304" s="2133" t="str">
        <f t="shared" si="108"/>
        <v>--</v>
      </c>
      <c r="EP304" s="2133" t="str">
        <f t="shared" si="108"/>
        <v>--</v>
      </c>
      <c r="EQ304" s="2133" t="str">
        <f t="shared" si="108"/>
        <v>--</v>
      </c>
      <c r="ER304" s="2133" t="str">
        <f t="shared" si="108"/>
        <v>--</v>
      </c>
      <c r="ES304" s="2133" t="str">
        <f t="shared" si="108"/>
        <v>--</v>
      </c>
      <c r="ET304" s="2133" t="str">
        <f t="shared" si="108"/>
        <v>--</v>
      </c>
      <c r="EU304" s="2133" t="str">
        <f t="shared" si="108"/>
        <v>--</v>
      </c>
      <c r="EV304" s="2133" t="str">
        <f t="shared" si="108"/>
        <v>--</v>
      </c>
      <c r="EW304" s="2133" t="str">
        <f t="shared" si="108"/>
        <v>--</v>
      </c>
      <c r="EX304" s="2133" t="str">
        <f t="shared" si="108"/>
        <v>--</v>
      </c>
      <c r="EY304" s="2133" t="str">
        <f t="shared" si="108"/>
        <v>--</v>
      </c>
      <c r="EZ304" s="2133" t="str">
        <f t="shared" si="108"/>
        <v>--</v>
      </c>
      <c r="FA304" s="2133" t="str">
        <f t="shared" si="108"/>
        <v>--</v>
      </c>
      <c r="FB304" s="2133" t="str">
        <f t="shared" si="108"/>
        <v>--</v>
      </c>
      <c r="FC304" s="2133" t="str">
        <f t="shared" si="108"/>
        <v>--</v>
      </c>
      <c r="FD304" s="2133" t="str">
        <f t="shared" si="108"/>
        <v>--</v>
      </c>
      <c r="FE304" s="2133" t="str">
        <f t="shared" si="108"/>
        <v>--</v>
      </c>
      <c r="FF304" s="2133" t="str">
        <f t="shared" si="108"/>
        <v>--</v>
      </c>
      <c r="FG304" s="2133" t="str">
        <f t="shared" si="108"/>
        <v>--</v>
      </c>
      <c r="FH304" s="2133" t="str">
        <f t="shared" si="108"/>
        <v>--</v>
      </c>
      <c r="FI304" s="2133" t="str">
        <f t="shared" si="108"/>
        <v>--</v>
      </c>
      <c r="FJ304" s="2133" t="str">
        <f t="shared" si="108"/>
        <v>--</v>
      </c>
      <c r="FK304" s="2133" t="str">
        <f t="shared" si="108"/>
        <v>--</v>
      </c>
      <c r="FL304" s="2133" t="str">
        <f t="shared" si="108"/>
        <v>--</v>
      </c>
      <c r="FM304" s="2133" t="str">
        <f t="shared" si="108"/>
        <v>--</v>
      </c>
      <c r="FN304" s="2133" t="str">
        <f t="shared" si="108"/>
        <v>--</v>
      </c>
      <c r="FO304" s="2133" t="str">
        <f t="shared" si="108"/>
        <v>--</v>
      </c>
      <c r="FP304" s="2133" t="str">
        <f t="shared" si="108"/>
        <v>--</v>
      </c>
      <c r="FQ304" s="2133" t="str">
        <f t="shared" si="108"/>
        <v>--</v>
      </c>
      <c r="FR304" s="2133" t="str">
        <f t="shared" si="108"/>
        <v>--</v>
      </c>
      <c r="FS304" s="2133" t="str">
        <f t="shared" si="108"/>
        <v>--</v>
      </c>
      <c r="FT304" s="2133" t="str">
        <f t="shared" si="108"/>
        <v>--</v>
      </c>
      <c r="FU304" s="2133" t="str">
        <f t="shared" si="108"/>
        <v>--</v>
      </c>
      <c r="FV304" s="2133" t="str">
        <f t="shared" si="108"/>
        <v>--</v>
      </c>
      <c r="FW304" s="2133" t="str">
        <f t="shared" si="108"/>
        <v>--</v>
      </c>
      <c r="FX304" s="2133" t="str">
        <f t="shared" si="108"/>
        <v>--</v>
      </c>
      <c r="FY304" s="2133" t="str">
        <f t="shared" si="108"/>
        <v>--</v>
      </c>
      <c r="FZ304" s="2133" t="str">
        <f t="shared" si="108"/>
        <v>--</v>
      </c>
      <c r="GA304" s="2133" t="str">
        <f t="shared" si="108"/>
        <v>--</v>
      </c>
      <c r="GB304" s="2133" t="str">
        <f t="shared" si="108"/>
        <v>--</v>
      </c>
      <c r="GC304" s="2133" t="str">
        <f t="shared" si="108"/>
        <v>--</v>
      </c>
      <c r="GD304" s="2133" t="str">
        <f t="shared" si="108"/>
        <v>--</v>
      </c>
      <c r="GE304" s="2133" t="str">
        <f t="shared" si="108"/>
        <v>--</v>
      </c>
      <c r="GF304" s="2133" t="str">
        <f t="shared" si="108"/>
        <v>--</v>
      </c>
      <c r="GG304" s="2133" t="str">
        <f t="shared" si="108"/>
        <v>--</v>
      </c>
      <c r="GH304" s="2133" t="str">
        <f t="shared" si="108"/>
        <v>--</v>
      </c>
      <c r="GI304" s="2133" t="str">
        <f t="shared" si="108"/>
        <v>--</v>
      </c>
      <c r="GJ304" s="2133" t="str">
        <f t="shared" si="108"/>
        <v>--</v>
      </c>
      <c r="GK304" s="2133" t="str">
        <f t="shared" si="108"/>
        <v>--</v>
      </c>
      <c r="GL304" s="2133" t="str">
        <f t="shared" si="108"/>
        <v>--</v>
      </c>
      <c r="GM304" s="2133" t="str">
        <f t="shared" ref="GM304:HG304" si="109">IFERROR(GM242/GM273,"--")</f>
        <v>--</v>
      </c>
      <c r="GN304" s="2133" t="str">
        <f t="shared" si="109"/>
        <v>--</v>
      </c>
      <c r="GO304" s="2133" t="str">
        <f t="shared" si="109"/>
        <v>--</v>
      </c>
      <c r="GP304" s="2133" t="str">
        <f t="shared" si="109"/>
        <v>--</v>
      </c>
      <c r="GQ304" s="2133" t="str">
        <f t="shared" si="109"/>
        <v>--</v>
      </c>
      <c r="GR304" s="2133" t="str">
        <f t="shared" si="109"/>
        <v>--</v>
      </c>
      <c r="GS304" s="2133" t="str">
        <f t="shared" si="109"/>
        <v>--</v>
      </c>
      <c r="GT304" s="2133" t="str">
        <f t="shared" si="109"/>
        <v>--</v>
      </c>
      <c r="GU304" s="2133" t="str">
        <f t="shared" si="109"/>
        <v>--</v>
      </c>
      <c r="GV304" s="2133" t="str">
        <f t="shared" si="109"/>
        <v>--</v>
      </c>
      <c r="GW304" s="2133" t="str">
        <f t="shared" si="109"/>
        <v>--</v>
      </c>
      <c r="GX304" s="2133" t="str">
        <f t="shared" si="109"/>
        <v>--</v>
      </c>
      <c r="GY304" s="2133" t="str">
        <f t="shared" si="109"/>
        <v>--</v>
      </c>
      <c r="GZ304" s="2133" t="str">
        <f t="shared" si="109"/>
        <v>--</v>
      </c>
      <c r="HA304" s="2133" t="str">
        <f t="shared" si="109"/>
        <v>--</v>
      </c>
      <c r="HB304" s="2133" t="str">
        <f t="shared" si="109"/>
        <v>--</v>
      </c>
      <c r="HC304" s="2133" t="str">
        <f t="shared" si="109"/>
        <v>--</v>
      </c>
      <c r="HD304" s="2133" t="str">
        <f t="shared" si="109"/>
        <v>--</v>
      </c>
      <c r="HE304" s="2133" t="str">
        <f t="shared" si="109"/>
        <v>--</v>
      </c>
      <c r="HF304" s="2133" t="str">
        <f t="shared" si="109"/>
        <v>--</v>
      </c>
      <c r="HG304" s="2133" t="str">
        <f t="shared" si="109"/>
        <v>--</v>
      </c>
      <c r="HH304" s="2133" t="str">
        <f t="shared" si="98"/>
        <v>--</v>
      </c>
      <c r="HI304" s="2133" t="str">
        <f t="shared" si="98"/>
        <v>--</v>
      </c>
      <c r="HJ304" s="2133" t="str">
        <f t="shared" si="98"/>
        <v>--</v>
      </c>
      <c r="HK304" s="2133" t="str">
        <f t="shared" si="98"/>
        <v>--</v>
      </c>
      <c r="HL304" s="2133" t="str">
        <f t="shared" si="98"/>
        <v>--</v>
      </c>
      <c r="HM304" s="2133" t="str">
        <f t="shared" si="98"/>
        <v>--</v>
      </c>
      <c r="HN304" s="2133" t="str">
        <f t="shared" si="98"/>
        <v>--</v>
      </c>
      <c r="HO304" s="2133" t="str">
        <f t="shared" si="98"/>
        <v>--</v>
      </c>
      <c r="HP304" s="2133" t="str">
        <f t="shared" si="98"/>
        <v>--</v>
      </c>
      <c r="HQ304" s="2133" t="str">
        <f t="shared" si="98"/>
        <v>--</v>
      </c>
      <c r="HR304" s="2133" t="str">
        <f t="shared" si="98"/>
        <v>--</v>
      </c>
      <c r="HS304" s="2133" t="str">
        <f t="shared" si="98"/>
        <v>--</v>
      </c>
      <c r="HT304" s="2133" t="str">
        <f t="shared" si="98"/>
        <v>--</v>
      </c>
      <c r="HU304" s="2133" t="str">
        <f t="shared" si="98"/>
        <v>--</v>
      </c>
      <c r="HV304" s="2133" t="str">
        <f t="shared" si="98"/>
        <v>--</v>
      </c>
      <c r="HW304" s="2133" t="str">
        <f t="shared" si="98"/>
        <v>--</v>
      </c>
      <c r="HX304" s="2133" t="str">
        <f t="shared" si="98"/>
        <v>--</v>
      </c>
      <c r="HY304" s="2133" t="str">
        <f t="shared" si="98"/>
        <v>--</v>
      </c>
      <c r="HZ304" s="2133" t="str">
        <f t="shared" si="98"/>
        <v>--</v>
      </c>
      <c r="IA304" s="2133" t="str">
        <f t="shared" si="98"/>
        <v>--</v>
      </c>
      <c r="IB304" s="2133" t="str">
        <f t="shared" si="98"/>
        <v>--</v>
      </c>
      <c r="IC304" s="2133" t="str">
        <f t="shared" si="98"/>
        <v>--</v>
      </c>
      <c r="ID304" s="2133" t="str">
        <f t="shared" si="98"/>
        <v>--</v>
      </c>
      <c r="IE304" s="2133" t="str">
        <f t="shared" si="98"/>
        <v>--</v>
      </c>
      <c r="IF304" s="2133" t="str">
        <f t="shared" si="98"/>
        <v>--</v>
      </c>
      <c r="IG304" s="2133" t="str">
        <f t="shared" si="98"/>
        <v>--</v>
      </c>
      <c r="IH304" s="2133" t="str">
        <f t="shared" si="98"/>
        <v>--</v>
      </c>
      <c r="II304" s="2133" t="str">
        <f t="shared" si="98"/>
        <v>--</v>
      </c>
      <c r="IJ304" s="2133" t="str">
        <f t="shared" si="98"/>
        <v>--</v>
      </c>
      <c r="IK304" s="2133" t="str">
        <f t="shared" si="98"/>
        <v>--</v>
      </c>
      <c r="IL304" s="2133" t="str">
        <f t="shared" si="98"/>
        <v>--</v>
      </c>
      <c r="IM304" s="2133" t="str">
        <f t="shared" si="98"/>
        <v>--</v>
      </c>
      <c r="IN304" s="2133" t="str">
        <f t="shared" si="98"/>
        <v>--</v>
      </c>
      <c r="IO304" s="2133" t="str">
        <f t="shared" si="98"/>
        <v>--</v>
      </c>
      <c r="IP304" s="2133" t="str">
        <f t="shared" si="98"/>
        <v>--</v>
      </c>
      <c r="IQ304" s="2133" t="str">
        <f t="shared" si="98"/>
        <v>--</v>
      </c>
      <c r="IR304" s="2133" t="str">
        <f t="shared" si="98"/>
        <v>--</v>
      </c>
      <c r="IS304" s="2133" t="str">
        <f t="shared" si="98"/>
        <v>--</v>
      </c>
      <c r="IT304" s="2133" t="str">
        <f t="shared" si="98"/>
        <v>--</v>
      </c>
      <c r="IU304" s="2133" t="str">
        <f t="shared" si="98"/>
        <v>--</v>
      </c>
      <c r="IV304" s="2133" t="str">
        <f t="shared" si="98"/>
        <v>--</v>
      </c>
      <c r="IW304" s="2133" t="str">
        <f t="shared" si="98"/>
        <v>--</v>
      </c>
      <c r="IX304" s="2133" t="str">
        <f t="shared" si="98"/>
        <v>--</v>
      </c>
      <c r="IY304" s="2133" t="str">
        <f t="shared" si="98"/>
        <v>--</v>
      </c>
      <c r="IZ304" s="2133" t="str">
        <f t="shared" si="98"/>
        <v>--</v>
      </c>
      <c r="JA304" s="2133" t="str">
        <f t="shared" si="98"/>
        <v>--</v>
      </c>
      <c r="JB304" s="2133" t="str">
        <f t="shared" si="98"/>
        <v>--</v>
      </c>
      <c r="JC304" s="2133" t="str">
        <f t="shared" si="98"/>
        <v>--</v>
      </c>
      <c r="JD304" s="2133" t="str">
        <f t="shared" si="98"/>
        <v>--</v>
      </c>
      <c r="JE304" s="2133" t="str">
        <f t="shared" si="98"/>
        <v>--</v>
      </c>
      <c r="JF304" s="2133" t="str">
        <f t="shared" si="98"/>
        <v>--</v>
      </c>
      <c r="JG304" s="2133" t="str">
        <f t="shared" si="98"/>
        <v>--</v>
      </c>
      <c r="JH304" s="2133" t="str">
        <f t="shared" si="98"/>
        <v>--</v>
      </c>
      <c r="JI304" s="2133" t="str">
        <f t="shared" si="98"/>
        <v>--</v>
      </c>
      <c r="JJ304" s="2133" t="str">
        <f t="shared" si="98"/>
        <v>--</v>
      </c>
      <c r="JK304" s="2133" t="str">
        <f t="shared" si="98"/>
        <v>--</v>
      </c>
      <c r="JL304" s="2133" t="str">
        <f t="shared" si="98"/>
        <v>--</v>
      </c>
      <c r="JM304" s="2133" t="str">
        <f t="shared" si="98"/>
        <v>--</v>
      </c>
      <c r="JN304" s="2133" t="str">
        <f t="shared" si="98"/>
        <v>--</v>
      </c>
      <c r="JO304" s="2133" t="str">
        <f t="shared" si="98"/>
        <v>--</v>
      </c>
      <c r="JP304" s="2133" t="str">
        <f t="shared" si="98"/>
        <v>--</v>
      </c>
      <c r="JQ304" s="2133" t="str">
        <f t="shared" si="98"/>
        <v>--</v>
      </c>
      <c r="JR304" s="2133" t="str">
        <f t="shared" si="98"/>
        <v>--</v>
      </c>
      <c r="JS304" s="2133" t="str">
        <f t="shared" ref="JS304:KB310" si="110">IFERROR(JS242/JS273,"--")</f>
        <v>--</v>
      </c>
      <c r="JT304" s="2133" t="str">
        <f t="shared" si="110"/>
        <v>--</v>
      </c>
      <c r="JU304" s="2133" t="str">
        <f t="shared" si="110"/>
        <v>--</v>
      </c>
      <c r="JV304" s="2133" t="str">
        <f t="shared" si="110"/>
        <v>--</v>
      </c>
      <c r="JW304" s="2133" t="str">
        <f t="shared" si="110"/>
        <v>--</v>
      </c>
      <c r="JX304" s="2133" t="str">
        <f t="shared" si="110"/>
        <v>--</v>
      </c>
      <c r="JY304" s="2133" t="str">
        <f t="shared" si="110"/>
        <v>--</v>
      </c>
      <c r="JZ304" s="2133" t="str">
        <f t="shared" si="110"/>
        <v>--</v>
      </c>
      <c r="KA304" s="2133" t="str">
        <f t="shared" si="110"/>
        <v>--</v>
      </c>
      <c r="KB304" s="2133" t="str">
        <f t="shared" si="110"/>
        <v>--</v>
      </c>
    </row>
    <row r="305" spans="1:288" s="89" customFormat="1" ht="13.9">
      <c r="A305" s="269" t="str">
        <f t="shared" si="58"/>
        <v>n</v>
      </c>
      <c r="B305" s="2060"/>
      <c r="D305" s="801"/>
      <c r="E305" s="1505">
        <v>20</v>
      </c>
      <c r="F305" s="21" t="str">
        <f>F$148</f>
        <v>--</v>
      </c>
      <c r="G305" s="1441">
        <f>G$148</f>
        <v>0</v>
      </c>
      <c r="H305" s="1441" t="str">
        <f>H$148</f>
        <v>--</v>
      </c>
      <c r="I305" s="89" t="s">
        <v>786</v>
      </c>
      <c r="K305" s="2301" t="str">
        <f>IF(OR(K211=0,$G305=0),"--",IFERROR(_xll.ciqfunctions.udf.CIQ($G305,$I305,K119,Valuation_Date_GC,ReportType,DataMode,$H305,FXMode)*Scale,"--"))</f>
        <v>--</v>
      </c>
      <c r="L305" s="2301" t="str">
        <f>IF(OR(L211=0,$G305=0),"--",IFERROR(_xll.ciqfunctions.udf.CIQ($G305,$I305,L119,Valuation_Date_GC,ReportType,DataMode,$H305,FXMode)*Scale,"--"))</f>
        <v>--</v>
      </c>
      <c r="M305" s="2301" t="str">
        <f>IF(OR(M211=0,$G305=0),"--",IFERROR(_xll.ciqfunctions.udf.CIQ($G305,$I305,M119,Valuation_Date_GC,ReportType,DataMode,$H305,FXMode)*Scale,"--"))</f>
        <v>--</v>
      </c>
      <c r="N305" s="2301" t="str">
        <f>IF(OR(N211=0,$G305=0),"--",IFERROR(_xll.ciqfunctions.udf.CIQ($G305,$I305,N119,Valuation_Date_GC,ReportType,DataMode,$H305,FXMode)*Scale,"--"))</f>
        <v>--</v>
      </c>
      <c r="O305" s="1471" t="str">
        <f>IF(OR(O211=0,$G305=0),"--",IFERROR(_xll.ciqfunctions.udf.CIQ($G305,$I305,O119,Valuation_Date_GC,ReportType,DataMode,$H305,FXMode)*Scale,"--"))</f>
        <v>--</v>
      </c>
      <c r="P305" s="2301" t="str">
        <f>IF(OR(P211=0,$G305=0),"--",IFERROR(_xll.ciqfunctions.udf.CIQ($G305,$I305,P119,Valuation_Date_GC,ReportType,DataMode,$H305,FXMode)*Scale,"--"))</f>
        <v>--</v>
      </c>
      <c r="R305" s="255"/>
      <c r="S305" s="1958" t="str">
        <f t="shared" si="84"/>
        <v>--</v>
      </c>
      <c r="T305" s="1779" t="s">
        <v>787</v>
      </c>
      <c r="U305" s="2133" t="str">
        <f t="shared" si="100"/>
        <v>--</v>
      </c>
      <c r="V305" s="2133" t="str">
        <f t="shared" si="100"/>
        <v>--</v>
      </c>
      <c r="W305" s="2133" t="str">
        <f t="shared" si="100"/>
        <v>--</v>
      </c>
      <c r="X305" s="2133" t="str">
        <f t="shared" si="100"/>
        <v>--</v>
      </c>
      <c r="Y305" s="2133" t="str">
        <f t="shared" si="100"/>
        <v>--</v>
      </c>
      <c r="Z305" s="2133" t="str">
        <f t="shared" si="100"/>
        <v>--</v>
      </c>
      <c r="AA305" s="2133" t="str">
        <f t="shared" si="100"/>
        <v>--</v>
      </c>
      <c r="AB305" s="2133" t="str">
        <f t="shared" si="100"/>
        <v>--</v>
      </c>
      <c r="AC305" s="2133" t="str">
        <f t="shared" si="100"/>
        <v>--</v>
      </c>
      <c r="AD305" s="2133" t="str">
        <f t="shared" si="100"/>
        <v>--</v>
      </c>
      <c r="AE305" s="2133" t="str">
        <f t="shared" si="100"/>
        <v>--</v>
      </c>
      <c r="AF305" s="2133" t="str">
        <f t="shared" si="100"/>
        <v>--</v>
      </c>
      <c r="AG305" s="2133" t="str">
        <f t="shared" si="100"/>
        <v>--</v>
      </c>
      <c r="AH305" s="2133" t="str">
        <f t="shared" si="100"/>
        <v>--</v>
      </c>
      <c r="AI305" s="2133" t="str">
        <f t="shared" si="100"/>
        <v>--</v>
      </c>
      <c r="AJ305" s="2133" t="str">
        <f t="shared" si="100"/>
        <v>--</v>
      </c>
      <c r="AK305" s="2133" t="str">
        <f t="shared" si="100"/>
        <v>--</v>
      </c>
      <c r="AL305" s="2133" t="str">
        <f t="shared" si="100"/>
        <v>--</v>
      </c>
      <c r="AM305" s="2133" t="str">
        <f t="shared" si="100"/>
        <v>--</v>
      </c>
      <c r="AN305" s="2133" t="str">
        <f t="shared" si="100"/>
        <v>--</v>
      </c>
      <c r="AO305" s="2133" t="str">
        <f t="shared" si="100"/>
        <v>--</v>
      </c>
      <c r="AP305" s="2133" t="str">
        <f t="shared" si="100"/>
        <v>--</v>
      </c>
      <c r="AQ305" s="2133" t="str">
        <f t="shared" si="100"/>
        <v>--</v>
      </c>
      <c r="AR305" s="2133" t="str">
        <f t="shared" si="100"/>
        <v>--</v>
      </c>
      <c r="AS305" s="2133" t="str">
        <f t="shared" si="100"/>
        <v>--</v>
      </c>
      <c r="AT305" s="2133" t="str">
        <f t="shared" si="100"/>
        <v>--</v>
      </c>
      <c r="AU305" s="2133" t="str">
        <f t="shared" si="100"/>
        <v>--</v>
      </c>
      <c r="AV305" s="2133" t="str">
        <f t="shared" si="100"/>
        <v>--</v>
      </c>
      <c r="AW305" s="2133" t="str">
        <f t="shared" si="100"/>
        <v>--</v>
      </c>
      <c r="AX305" s="2133" t="str">
        <f t="shared" si="100"/>
        <v>--</v>
      </c>
      <c r="AY305" s="2133" t="str">
        <f t="shared" si="100"/>
        <v>--</v>
      </c>
      <c r="AZ305" s="2133" t="str">
        <f t="shared" si="100"/>
        <v>--</v>
      </c>
      <c r="BA305" s="2133" t="str">
        <f t="shared" si="100"/>
        <v>--</v>
      </c>
      <c r="BB305" s="2133" t="str">
        <f t="shared" si="100"/>
        <v>--</v>
      </c>
      <c r="BC305" s="2133" t="str">
        <f t="shared" si="100"/>
        <v>--</v>
      </c>
      <c r="BD305" s="2133" t="str">
        <f t="shared" si="100"/>
        <v>--</v>
      </c>
      <c r="BE305" s="2133" t="str">
        <f t="shared" si="100"/>
        <v>--</v>
      </c>
      <c r="BF305" s="2133" t="str">
        <f t="shared" si="100"/>
        <v>--</v>
      </c>
      <c r="BG305" s="2133" t="str">
        <f t="shared" si="100"/>
        <v>--</v>
      </c>
      <c r="BH305" s="2133" t="str">
        <f t="shared" si="100"/>
        <v>--</v>
      </c>
      <c r="BI305" s="2133" t="str">
        <f t="shared" si="100"/>
        <v>--</v>
      </c>
      <c r="BJ305" s="2133" t="str">
        <f t="shared" si="100"/>
        <v>--</v>
      </c>
      <c r="BK305" s="2133" t="str">
        <f t="shared" si="100"/>
        <v>--</v>
      </c>
      <c r="BL305" s="2133" t="str">
        <f t="shared" si="100"/>
        <v>--</v>
      </c>
      <c r="BM305" s="2133" t="str">
        <f t="shared" si="100"/>
        <v>--</v>
      </c>
      <c r="BN305" s="2133" t="str">
        <f t="shared" si="100"/>
        <v>--</v>
      </c>
      <c r="BO305" s="2133" t="str">
        <f t="shared" si="100"/>
        <v>--</v>
      </c>
      <c r="BP305" s="2133" t="str">
        <f t="shared" si="100"/>
        <v>--</v>
      </c>
      <c r="BQ305" s="2133" t="str">
        <f t="shared" si="100"/>
        <v>--</v>
      </c>
      <c r="BR305" s="2133" t="str">
        <f t="shared" si="100"/>
        <v>--</v>
      </c>
      <c r="BS305" s="2133" t="str">
        <f t="shared" si="100"/>
        <v>--</v>
      </c>
      <c r="BT305" s="2133" t="str">
        <f t="shared" si="100"/>
        <v>--</v>
      </c>
      <c r="BU305" s="2133" t="str">
        <f t="shared" si="100"/>
        <v>--</v>
      </c>
      <c r="BV305" s="2133" t="str">
        <f t="shared" si="100"/>
        <v>--</v>
      </c>
      <c r="BW305" s="2133" t="str">
        <f t="shared" si="100"/>
        <v>--</v>
      </c>
      <c r="BX305" s="2133" t="str">
        <f t="shared" si="100"/>
        <v>--</v>
      </c>
      <c r="BY305" s="2133" t="str">
        <f t="shared" si="100"/>
        <v>--</v>
      </c>
      <c r="BZ305" s="2133" t="str">
        <f t="shared" si="100"/>
        <v>--</v>
      </c>
      <c r="CA305" s="2133" t="str">
        <f t="shared" si="100"/>
        <v>--</v>
      </c>
      <c r="CB305" s="2133" t="str">
        <f t="shared" si="100"/>
        <v>--</v>
      </c>
      <c r="CC305" s="2133" t="str">
        <f t="shared" si="100"/>
        <v>--</v>
      </c>
      <c r="CD305" s="2133" t="str">
        <f t="shared" si="100"/>
        <v>--</v>
      </c>
      <c r="CE305" s="2133" t="str">
        <f t="shared" si="100"/>
        <v>--</v>
      </c>
      <c r="CF305" s="2133" t="str">
        <f>IFERROR(CF243/CF274,"--")</f>
        <v>--</v>
      </c>
      <c r="CG305" s="2133" t="str">
        <f t="shared" ref="CG305:CV305" si="111">IFERROR(CG243/CG274,"--")</f>
        <v>--</v>
      </c>
      <c r="CH305" s="2133" t="str">
        <f t="shared" si="111"/>
        <v>--</v>
      </c>
      <c r="CI305" s="2133" t="str">
        <f t="shared" si="111"/>
        <v>--</v>
      </c>
      <c r="CJ305" s="2133" t="str">
        <f t="shared" si="111"/>
        <v>--</v>
      </c>
      <c r="CK305" s="2133" t="str">
        <f t="shared" si="111"/>
        <v>--</v>
      </c>
      <c r="CL305" s="2133" t="str">
        <f t="shared" si="111"/>
        <v>--</v>
      </c>
      <c r="CM305" s="2133" t="str">
        <f t="shared" si="111"/>
        <v>--</v>
      </c>
      <c r="CN305" s="2133" t="str">
        <f t="shared" si="111"/>
        <v>--</v>
      </c>
      <c r="CO305" s="2133" t="str">
        <f t="shared" si="111"/>
        <v>--</v>
      </c>
      <c r="CP305" s="2133" t="str">
        <f t="shared" si="111"/>
        <v>--</v>
      </c>
      <c r="CQ305" s="2133" t="str">
        <f t="shared" si="111"/>
        <v>--</v>
      </c>
      <c r="CR305" s="2133" t="str">
        <f t="shared" si="111"/>
        <v>--</v>
      </c>
      <c r="CS305" s="2133" t="str">
        <f t="shared" si="111"/>
        <v>--</v>
      </c>
      <c r="CT305" s="2133" t="str">
        <f t="shared" si="111"/>
        <v>--</v>
      </c>
      <c r="CU305" s="2133" t="str">
        <f t="shared" si="111"/>
        <v>--</v>
      </c>
      <c r="CV305" s="2133" t="str">
        <f t="shared" si="111"/>
        <v>--</v>
      </c>
      <c r="CW305" s="2133" t="str">
        <f t="shared" ref="CW305:ES310" si="112">IFERROR(CW243/CW274,"--")</f>
        <v>--</v>
      </c>
      <c r="CX305" s="2133" t="str">
        <f t="shared" si="112"/>
        <v>--</v>
      </c>
      <c r="CY305" s="2133" t="str">
        <f t="shared" si="112"/>
        <v>--</v>
      </c>
      <c r="CZ305" s="2133" t="str">
        <f t="shared" si="112"/>
        <v>--</v>
      </c>
      <c r="DA305" s="2133" t="str">
        <f t="shared" si="112"/>
        <v>--</v>
      </c>
      <c r="DB305" s="2133" t="str">
        <f t="shared" si="112"/>
        <v>--</v>
      </c>
      <c r="DC305" s="2133" t="str">
        <f t="shared" si="112"/>
        <v>--</v>
      </c>
      <c r="DD305" s="2133" t="str">
        <f t="shared" si="112"/>
        <v>--</v>
      </c>
      <c r="DE305" s="2133" t="str">
        <f t="shared" si="112"/>
        <v>--</v>
      </c>
      <c r="DF305" s="2133" t="str">
        <f t="shared" si="112"/>
        <v>--</v>
      </c>
      <c r="DG305" s="2133" t="str">
        <f t="shared" si="112"/>
        <v>--</v>
      </c>
      <c r="DH305" s="2133" t="str">
        <f t="shared" si="112"/>
        <v>--</v>
      </c>
      <c r="DI305" s="2133" t="str">
        <f t="shared" si="112"/>
        <v>--</v>
      </c>
      <c r="DJ305" s="2133" t="str">
        <f t="shared" si="112"/>
        <v>--</v>
      </c>
      <c r="DK305" s="2133" t="str">
        <f t="shared" si="112"/>
        <v>--</v>
      </c>
      <c r="DL305" s="2133" t="str">
        <f t="shared" si="112"/>
        <v>--</v>
      </c>
      <c r="DM305" s="2133" t="str">
        <f t="shared" si="112"/>
        <v>--</v>
      </c>
      <c r="DN305" s="2133" t="str">
        <f t="shared" si="112"/>
        <v>--</v>
      </c>
      <c r="DO305" s="2133" t="str">
        <f t="shared" si="112"/>
        <v>--</v>
      </c>
      <c r="DP305" s="2133" t="str">
        <f t="shared" si="112"/>
        <v>--</v>
      </c>
      <c r="DQ305" s="2133" t="str">
        <f t="shared" si="112"/>
        <v>--</v>
      </c>
      <c r="DR305" s="2133" t="str">
        <f t="shared" si="112"/>
        <v>--</v>
      </c>
      <c r="DS305" s="2133" t="str">
        <f t="shared" si="112"/>
        <v>--</v>
      </c>
      <c r="DT305" s="2133" t="str">
        <f t="shared" si="112"/>
        <v>--</v>
      </c>
      <c r="DU305" s="2133" t="str">
        <f t="shared" si="112"/>
        <v>--</v>
      </c>
      <c r="DV305" s="2133" t="str">
        <f t="shared" si="112"/>
        <v>--</v>
      </c>
      <c r="DW305" s="2133" t="str">
        <f t="shared" si="112"/>
        <v>--</v>
      </c>
      <c r="DX305" s="2133" t="str">
        <f t="shared" si="112"/>
        <v>--</v>
      </c>
      <c r="DY305" s="2133" t="str">
        <f t="shared" si="112"/>
        <v>--</v>
      </c>
      <c r="DZ305" s="2133" t="str">
        <f t="shared" si="112"/>
        <v>--</v>
      </c>
      <c r="EA305" s="2133" t="str">
        <f t="shared" si="112"/>
        <v>--</v>
      </c>
      <c r="EB305" s="2133" t="str">
        <f t="shared" si="112"/>
        <v>--</v>
      </c>
      <c r="EC305" s="2133" t="str">
        <f t="shared" si="112"/>
        <v>--</v>
      </c>
      <c r="ED305" s="2133" t="str">
        <f t="shared" si="112"/>
        <v>--</v>
      </c>
      <c r="EE305" s="2133" t="str">
        <f t="shared" si="112"/>
        <v>--</v>
      </c>
      <c r="EF305" s="2133" t="str">
        <f t="shared" si="112"/>
        <v>--</v>
      </c>
      <c r="EG305" s="2133" t="str">
        <f t="shared" si="112"/>
        <v>--</v>
      </c>
      <c r="EH305" s="2133" t="str">
        <f t="shared" si="112"/>
        <v>--</v>
      </c>
      <c r="EI305" s="2133" t="str">
        <f t="shared" si="112"/>
        <v>--</v>
      </c>
      <c r="EJ305" s="2133" t="str">
        <f t="shared" si="112"/>
        <v>--</v>
      </c>
      <c r="EK305" s="2133" t="str">
        <f t="shared" si="112"/>
        <v>--</v>
      </c>
      <c r="EL305" s="2133" t="str">
        <f t="shared" si="112"/>
        <v>--</v>
      </c>
      <c r="EM305" s="2133" t="str">
        <f t="shared" si="112"/>
        <v>--</v>
      </c>
      <c r="EN305" s="2133" t="str">
        <f t="shared" si="112"/>
        <v>--</v>
      </c>
      <c r="EO305" s="2133" t="str">
        <f t="shared" si="112"/>
        <v>--</v>
      </c>
      <c r="EP305" s="2133" t="str">
        <f t="shared" si="112"/>
        <v>--</v>
      </c>
      <c r="EQ305" s="2133" t="str">
        <f t="shared" si="112"/>
        <v>--</v>
      </c>
      <c r="ER305" s="2133" t="str">
        <f t="shared" si="112"/>
        <v>--</v>
      </c>
      <c r="ES305" s="2133" t="str">
        <f t="shared" si="112"/>
        <v>--</v>
      </c>
      <c r="ET305" s="2133" t="str">
        <f t="shared" si="108"/>
        <v>--</v>
      </c>
      <c r="EU305" s="2133" t="str">
        <f t="shared" si="108"/>
        <v>--</v>
      </c>
      <c r="EV305" s="2133" t="str">
        <f t="shared" si="108"/>
        <v>--</v>
      </c>
      <c r="EW305" s="2133" t="str">
        <f t="shared" si="108"/>
        <v>--</v>
      </c>
      <c r="EX305" s="2133" t="str">
        <f t="shared" si="108"/>
        <v>--</v>
      </c>
      <c r="EY305" s="2133" t="str">
        <f t="shared" si="108"/>
        <v>--</v>
      </c>
      <c r="EZ305" s="2133" t="str">
        <f t="shared" si="108"/>
        <v>--</v>
      </c>
      <c r="FA305" s="2133" t="str">
        <f t="shared" si="108"/>
        <v>--</v>
      </c>
      <c r="FB305" s="2133" t="str">
        <f t="shared" si="108"/>
        <v>--</v>
      </c>
      <c r="FC305" s="2133" t="str">
        <f t="shared" si="108"/>
        <v>--</v>
      </c>
      <c r="FD305" s="2133" t="str">
        <f t="shared" si="108"/>
        <v>--</v>
      </c>
      <c r="FE305" s="2133" t="str">
        <f t="shared" si="108"/>
        <v>--</v>
      </c>
      <c r="FF305" s="2133" t="str">
        <f t="shared" si="108"/>
        <v>--</v>
      </c>
      <c r="FG305" s="2133" t="str">
        <f t="shared" si="108"/>
        <v>--</v>
      </c>
      <c r="FH305" s="2133" t="str">
        <f t="shared" si="108"/>
        <v>--</v>
      </c>
      <c r="FI305" s="2133" t="str">
        <f t="shared" si="108"/>
        <v>--</v>
      </c>
      <c r="FJ305" s="2133" t="str">
        <f t="shared" si="108"/>
        <v>--</v>
      </c>
      <c r="FK305" s="2133" t="str">
        <f t="shared" si="108"/>
        <v>--</v>
      </c>
      <c r="FL305" s="2133" t="str">
        <f t="shared" si="108"/>
        <v>--</v>
      </c>
      <c r="FM305" s="2133" t="str">
        <f t="shared" si="108"/>
        <v>--</v>
      </c>
      <c r="FN305" s="2133" t="str">
        <f t="shared" si="108"/>
        <v>--</v>
      </c>
      <c r="FO305" s="2133" t="str">
        <f t="shared" si="108"/>
        <v>--</v>
      </c>
      <c r="FP305" s="2133" t="str">
        <f t="shared" si="108"/>
        <v>--</v>
      </c>
      <c r="FQ305" s="2133" t="str">
        <f t="shared" si="108"/>
        <v>--</v>
      </c>
      <c r="FR305" s="2133" t="str">
        <f t="shared" si="108"/>
        <v>--</v>
      </c>
      <c r="FS305" s="2133" t="str">
        <f t="shared" si="108"/>
        <v>--</v>
      </c>
      <c r="FT305" s="2133" t="str">
        <f t="shared" si="108"/>
        <v>--</v>
      </c>
      <c r="FU305" s="2133" t="str">
        <f t="shared" si="108"/>
        <v>--</v>
      </c>
      <c r="FV305" s="2133" t="str">
        <f t="shared" si="108"/>
        <v>--</v>
      </c>
      <c r="FW305" s="2133" t="str">
        <f t="shared" si="108"/>
        <v>--</v>
      </c>
      <c r="FX305" s="2133" t="str">
        <f t="shared" si="108"/>
        <v>--</v>
      </c>
      <c r="FY305" s="2133" t="str">
        <f t="shared" si="108"/>
        <v>--</v>
      </c>
      <c r="FZ305" s="2133" t="str">
        <f t="shared" si="108"/>
        <v>--</v>
      </c>
      <c r="GA305" s="2133" t="str">
        <f t="shared" si="108"/>
        <v>--</v>
      </c>
      <c r="GB305" s="2133" t="str">
        <f t="shared" si="108"/>
        <v>--</v>
      </c>
      <c r="GC305" s="2133" t="str">
        <f t="shared" si="108"/>
        <v>--</v>
      </c>
      <c r="GD305" s="2133" t="str">
        <f t="shared" si="108"/>
        <v>--</v>
      </c>
      <c r="GE305" s="2133" t="str">
        <f t="shared" si="108"/>
        <v>--</v>
      </c>
      <c r="GF305" s="2133" t="str">
        <f t="shared" si="108"/>
        <v>--</v>
      </c>
      <c r="GG305" s="2133" t="str">
        <f t="shared" si="108"/>
        <v>--</v>
      </c>
      <c r="GH305" s="2133" t="str">
        <f t="shared" si="108"/>
        <v>--</v>
      </c>
      <c r="GI305" s="2133" t="str">
        <f t="shared" si="108"/>
        <v>--</v>
      </c>
      <c r="GJ305" s="2133" t="str">
        <f t="shared" si="108"/>
        <v>--</v>
      </c>
      <c r="GK305" s="2133" t="str">
        <f t="shared" si="108"/>
        <v>--</v>
      </c>
      <c r="GL305" s="2133" t="str">
        <f t="shared" si="108"/>
        <v>--</v>
      </c>
      <c r="GM305" s="2133" t="str">
        <f t="shared" ref="GM305:HG305" si="113">IFERROR(GM243/GM274,"--")</f>
        <v>--</v>
      </c>
      <c r="GN305" s="2133" t="str">
        <f t="shared" si="113"/>
        <v>--</v>
      </c>
      <c r="GO305" s="2133" t="str">
        <f t="shared" si="113"/>
        <v>--</v>
      </c>
      <c r="GP305" s="2133" t="str">
        <f t="shared" si="113"/>
        <v>--</v>
      </c>
      <c r="GQ305" s="2133" t="str">
        <f t="shared" si="113"/>
        <v>--</v>
      </c>
      <c r="GR305" s="2133" t="str">
        <f t="shared" si="113"/>
        <v>--</v>
      </c>
      <c r="GS305" s="2133" t="str">
        <f t="shared" si="113"/>
        <v>--</v>
      </c>
      <c r="GT305" s="2133" t="str">
        <f t="shared" si="113"/>
        <v>--</v>
      </c>
      <c r="GU305" s="2133" t="str">
        <f t="shared" si="113"/>
        <v>--</v>
      </c>
      <c r="GV305" s="2133" t="str">
        <f t="shared" si="113"/>
        <v>--</v>
      </c>
      <c r="GW305" s="2133" t="str">
        <f t="shared" si="113"/>
        <v>--</v>
      </c>
      <c r="GX305" s="2133" t="str">
        <f t="shared" si="113"/>
        <v>--</v>
      </c>
      <c r="GY305" s="2133" t="str">
        <f t="shared" si="113"/>
        <v>--</v>
      </c>
      <c r="GZ305" s="2133" t="str">
        <f t="shared" si="113"/>
        <v>--</v>
      </c>
      <c r="HA305" s="2133" t="str">
        <f t="shared" si="113"/>
        <v>--</v>
      </c>
      <c r="HB305" s="2133" t="str">
        <f t="shared" si="113"/>
        <v>--</v>
      </c>
      <c r="HC305" s="2133" t="str">
        <f t="shared" si="113"/>
        <v>--</v>
      </c>
      <c r="HD305" s="2133" t="str">
        <f t="shared" si="113"/>
        <v>--</v>
      </c>
      <c r="HE305" s="2133" t="str">
        <f t="shared" si="113"/>
        <v>--</v>
      </c>
      <c r="HF305" s="2133" t="str">
        <f t="shared" si="113"/>
        <v>--</v>
      </c>
      <c r="HG305" s="2133" t="str">
        <f t="shared" si="113"/>
        <v>--</v>
      </c>
      <c r="HH305" s="2133" t="str">
        <f t="shared" ref="HH305:JS310" si="114">IFERROR(HH243/HH274,"--")</f>
        <v>--</v>
      </c>
      <c r="HI305" s="2133" t="str">
        <f t="shared" si="114"/>
        <v>--</v>
      </c>
      <c r="HJ305" s="2133" t="str">
        <f t="shared" si="114"/>
        <v>--</v>
      </c>
      <c r="HK305" s="2133" t="str">
        <f t="shared" si="114"/>
        <v>--</v>
      </c>
      <c r="HL305" s="2133" t="str">
        <f t="shared" si="114"/>
        <v>--</v>
      </c>
      <c r="HM305" s="2133" t="str">
        <f t="shared" si="114"/>
        <v>--</v>
      </c>
      <c r="HN305" s="2133" t="str">
        <f t="shared" si="114"/>
        <v>--</v>
      </c>
      <c r="HO305" s="2133" t="str">
        <f t="shared" si="114"/>
        <v>--</v>
      </c>
      <c r="HP305" s="2133" t="str">
        <f t="shared" si="114"/>
        <v>--</v>
      </c>
      <c r="HQ305" s="2133" t="str">
        <f t="shared" si="114"/>
        <v>--</v>
      </c>
      <c r="HR305" s="2133" t="str">
        <f t="shared" si="114"/>
        <v>--</v>
      </c>
      <c r="HS305" s="2133" t="str">
        <f t="shared" si="114"/>
        <v>--</v>
      </c>
      <c r="HT305" s="2133" t="str">
        <f t="shared" si="114"/>
        <v>--</v>
      </c>
      <c r="HU305" s="2133" t="str">
        <f t="shared" si="114"/>
        <v>--</v>
      </c>
      <c r="HV305" s="2133" t="str">
        <f t="shared" si="114"/>
        <v>--</v>
      </c>
      <c r="HW305" s="2133" t="str">
        <f t="shared" si="114"/>
        <v>--</v>
      </c>
      <c r="HX305" s="2133" t="str">
        <f t="shared" si="114"/>
        <v>--</v>
      </c>
      <c r="HY305" s="2133" t="str">
        <f t="shared" si="114"/>
        <v>--</v>
      </c>
      <c r="HZ305" s="2133" t="str">
        <f t="shared" si="114"/>
        <v>--</v>
      </c>
      <c r="IA305" s="2133" t="str">
        <f t="shared" si="114"/>
        <v>--</v>
      </c>
      <c r="IB305" s="2133" t="str">
        <f t="shared" si="114"/>
        <v>--</v>
      </c>
      <c r="IC305" s="2133" t="str">
        <f t="shared" si="114"/>
        <v>--</v>
      </c>
      <c r="ID305" s="2133" t="str">
        <f t="shared" si="114"/>
        <v>--</v>
      </c>
      <c r="IE305" s="2133" t="str">
        <f t="shared" si="114"/>
        <v>--</v>
      </c>
      <c r="IF305" s="2133" t="str">
        <f t="shared" si="114"/>
        <v>--</v>
      </c>
      <c r="IG305" s="2133" t="str">
        <f t="shared" si="114"/>
        <v>--</v>
      </c>
      <c r="IH305" s="2133" t="str">
        <f t="shared" si="114"/>
        <v>--</v>
      </c>
      <c r="II305" s="2133" t="str">
        <f t="shared" si="114"/>
        <v>--</v>
      </c>
      <c r="IJ305" s="2133" t="str">
        <f t="shared" si="114"/>
        <v>--</v>
      </c>
      <c r="IK305" s="2133" t="str">
        <f t="shared" si="114"/>
        <v>--</v>
      </c>
      <c r="IL305" s="2133" t="str">
        <f t="shared" si="114"/>
        <v>--</v>
      </c>
      <c r="IM305" s="2133" t="str">
        <f t="shared" si="114"/>
        <v>--</v>
      </c>
      <c r="IN305" s="2133" t="str">
        <f t="shared" si="114"/>
        <v>--</v>
      </c>
      <c r="IO305" s="2133" t="str">
        <f t="shared" si="114"/>
        <v>--</v>
      </c>
      <c r="IP305" s="2133" t="str">
        <f t="shared" si="114"/>
        <v>--</v>
      </c>
      <c r="IQ305" s="2133" t="str">
        <f t="shared" si="114"/>
        <v>--</v>
      </c>
      <c r="IR305" s="2133" t="str">
        <f t="shared" si="114"/>
        <v>--</v>
      </c>
      <c r="IS305" s="2133" t="str">
        <f t="shared" si="114"/>
        <v>--</v>
      </c>
      <c r="IT305" s="2133" t="str">
        <f t="shared" si="114"/>
        <v>--</v>
      </c>
      <c r="IU305" s="2133" t="str">
        <f t="shared" si="114"/>
        <v>--</v>
      </c>
      <c r="IV305" s="2133" t="str">
        <f t="shared" si="114"/>
        <v>--</v>
      </c>
      <c r="IW305" s="2133" t="str">
        <f t="shared" si="114"/>
        <v>--</v>
      </c>
      <c r="IX305" s="2133" t="str">
        <f t="shared" si="114"/>
        <v>--</v>
      </c>
      <c r="IY305" s="2133" t="str">
        <f t="shared" si="114"/>
        <v>--</v>
      </c>
      <c r="IZ305" s="2133" t="str">
        <f t="shared" si="114"/>
        <v>--</v>
      </c>
      <c r="JA305" s="2133" t="str">
        <f t="shared" si="114"/>
        <v>--</v>
      </c>
      <c r="JB305" s="2133" t="str">
        <f t="shared" si="114"/>
        <v>--</v>
      </c>
      <c r="JC305" s="2133" t="str">
        <f t="shared" si="114"/>
        <v>--</v>
      </c>
      <c r="JD305" s="2133" t="str">
        <f t="shared" si="114"/>
        <v>--</v>
      </c>
      <c r="JE305" s="2133" t="str">
        <f t="shared" si="114"/>
        <v>--</v>
      </c>
      <c r="JF305" s="2133" t="str">
        <f t="shared" si="114"/>
        <v>--</v>
      </c>
      <c r="JG305" s="2133" t="str">
        <f t="shared" si="114"/>
        <v>--</v>
      </c>
      <c r="JH305" s="2133" t="str">
        <f t="shared" si="114"/>
        <v>--</v>
      </c>
      <c r="JI305" s="2133" t="str">
        <f t="shared" si="114"/>
        <v>--</v>
      </c>
      <c r="JJ305" s="2133" t="str">
        <f t="shared" si="114"/>
        <v>--</v>
      </c>
      <c r="JK305" s="2133" t="str">
        <f t="shared" si="114"/>
        <v>--</v>
      </c>
      <c r="JL305" s="2133" t="str">
        <f t="shared" si="114"/>
        <v>--</v>
      </c>
      <c r="JM305" s="2133" t="str">
        <f t="shared" si="114"/>
        <v>--</v>
      </c>
      <c r="JN305" s="2133" t="str">
        <f t="shared" si="114"/>
        <v>--</v>
      </c>
      <c r="JO305" s="2133" t="str">
        <f t="shared" si="114"/>
        <v>--</v>
      </c>
      <c r="JP305" s="2133" t="str">
        <f t="shared" si="114"/>
        <v>--</v>
      </c>
      <c r="JQ305" s="2133" t="str">
        <f t="shared" si="114"/>
        <v>--</v>
      </c>
      <c r="JR305" s="2133" t="str">
        <f t="shared" si="114"/>
        <v>--</v>
      </c>
      <c r="JS305" s="2133" t="str">
        <f t="shared" si="114"/>
        <v>--</v>
      </c>
      <c r="JT305" s="2133" t="str">
        <f t="shared" si="110"/>
        <v>--</v>
      </c>
      <c r="JU305" s="2133" t="str">
        <f t="shared" si="110"/>
        <v>--</v>
      </c>
      <c r="JV305" s="2133" t="str">
        <f t="shared" si="110"/>
        <v>--</v>
      </c>
      <c r="JW305" s="2133" t="str">
        <f t="shared" si="110"/>
        <v>--</v>
      </c>
      <c r="JX305" s="2133" t="str">
        <f t="shared" si="110"/>
        <v>--</v>
      </c>
      <c r="JY305" s="2133" t="str">
        <f t="shared" si="110"/>
        <v>--</v>
      </c>
      <c r="JZ305" s="2133" t="str">
        <f t="shared" si="110"/>
        <v>--</v>
      </c>
      <c r="KA305" s="2133" t="str">
        <f t="shared" si="110"/>
        <v>--</v>
      </c>
      <c r="KB305" s="2133" t="str">
        <f t="shared" si="110"/>
        <v>--</v>
      </c>
    </row>
    <row r="306" spans="1:288" s="89" customFormat="1" ht="13.9">
      <c r="A306" s="269" t="str">
        <f t="shared" si="58"/>
        <v>n</v>
      </c>
      <c r="B306" s="2060"/>
      <c r="D306" s="801"/>
      <c r="E306" s="1505">
        <v>21</v>
      </c>
      <c r="F306" s="21" t="str">
        <f>F$149</f>
        <v>--</v>
      </c>
      <c r="G306" s="1441">
        <f>G$149</f>
        <v>0</v>
      </c>
      <c r="H306" s="1441" t="str">
        <f>H$149</f>
        <v>--</v>
      </c>
      <c r="I306" s="89" t="s">
        <v>786</v>
      </c>
      <c r="K306" s="2301" t="str">
        <f>IF(OR(K212=0,$G306=0),"--",IFERROR(_xll.ciqfunctions.udf.CIQ($G306,$I306,K120,Valuation_Date_GC,ReportType,DataMode,$H306,FXMode)*Scale,"--"))</f>
        <v>--</v>
      </c>
      <c r="L306" s="2301" t="str">
        <f>IF(OR(L212=0,$G306=0),"--",IFERROR(_xll.ciqfunctions.udf.CIQ($G306,$I306,L120,Valuation_Date_GC,ReportType,DataMode,$H306,FXMode)*Scale,"--"))</f>
        <v>--</v>
      </c>
      <c r="M306" s="2301" t="str">
        <f>IF(OR(M212=0,$G306=0),"--",IFERROR(_xll.ciqfunctions.udf.CIQ($G306,$I306,M120,Valuation_Date_GC,ReportType,DataMode,$H306,FXMode)*Scale,"--"))</f>
        <v>--</v>
      </c>
      <c r="N306" s="2301" t="str">
        <f>IF(OR(N212=0,$G306=0),"--",IFERROR(_xll.ciqfunctions.udf.CIQ($G306,$I306,N120,Valuation_Date_GC,ReportType,DataMode,$H306,FXMode)*Scale,"--"))</f>
        <v>--</v>
      </c>
      <c r="O306" s="1471" t="str">
        <f>IF(OR(O212=0,$G306=0),"--",IFERROR(_xll.ciqfunctions.udf.CIQ($G306,$I306,O120,Valuation_Date_GC,ReportType,DataMode,$H306,FXMode)*Scale,"--"))</f>
        <v>--</v>
      </c>
      <c r="P306" s="2301" t="str">
        <f>IF(OR(P212=0,$G306=0),"--",IFERROR(_xll.ciqfunctions.udf.CIQ($G306,$I306,P120,Valuation_Date_GC,ReportType,DataMode,$H306,FXMode)*Scale,"--"))</f>
        <v>--</v>
      </c>
      <c r="R306" s="255"/>
      <c r="S306" s="1958" t="str">
        <f t="shared" si="84"/>
        <v>--</v>
      </c>
      <c r="T306" s="1779" t="s">
        <v>787</v>
      </c>
      <c r="U306" s="2133" t="str">
        <f t="shared" ref="U306:CF309" si="115">IFERROR(U244/U275,"--")</f>
        <v>--</v>
      </c>
      <c r="V306" s="2133" t="str">
        <f t="shared" si="115"/>
        <v>--</v>
      </c>
      <c r="W306" s="2133" t="str">
        <f t="shared" si="115"/>
        <v>--</v>
      </c>
      <c r="X306" s="2133" t="str">
        <f t="shared" si="115"/>
        <v>--</v>
      </c>
      <c r="Y306" s="2133" t="str">
        <f t="shared" si="115"/>
        <v>--</v>
      </c>
      <c r="Z306" s="2133" t="str">
        <f t="shared" si="115"/>
        <v>--</v>
      </c>
      <c r="AA306" s="2133" t="str">
        <f t="shared" si="115"/>
        <v>--</v>
      </c>
      <c r="AB306" s="2133" t="str">
        <f t="shared" si="115"/>
        <v>--</v>
      </c>
      <c r="AC306" s="2133" t="str">
        <f t="shared" si="115"/>
        <v>--</v>
      </c>
      <c r="AD306" s="2133" t="str">
        <f t="shared" si="115"/>
        <v>--</v>
      </c>
      <c r="AE306" s="2133" t="str">
        <f t="shared" si="115"/>
        <v>--</v>
      </c>
      <c r="AF306" s="2133" t="str">
        <f t="shared" si="115"/>
        <v>--</v>
      </c>
      <c r="AG306" s="2133" t="str">
        <f t="shared" si="115"/>
        <v>--</v>
      </c>
      <c r="AH306" s="2133" t="str">
        <f t="shared" si="115"/>
        <v>--</v>
      </c>
      <c r="AI306" s="2133" t="str">
        <f t="shared" si="115"/>
        <v>--</v>
      </c>
      <c r="AJ306" s="2133" t="str">
        <f t="shared" si="115"/>
        <v>--</v>
      </c>
      <c r="AK306" s="2133" t="str">
        <f t="shared" si="115"/>
        <v>--</v>
      </c>
      <c r="AL306" s="2133" t="str">
        <f t="shared" si="115"/>
        <v>--</v>
      </c>
      <c r="AM306" s="2133" t="str">
        <f t="shared" si="115"/>
        <v>--</v>
      </c>
      <c r="AN306" s="2133" t="str">
        <f t="shared" si="115"/>
        <v>--</v>
      </c>
      <c r="AO306" s="2133" t="str">
        <f t="shared" si="115"/>
        <v>--</v>
      </c>
      <c r="AP306" s="2133" t="str">
        <f t="shared" si="115"/>
        <v>--</v>
      </c>
      <c r="AQ306" s="2133" t="str">
        <f t="shared" si="115"/>
        <v>--</v>
      </c>
      <c r="AR306" s="2133" t="str">
        <f t="shared" si="115"/>
        <v>--</v>
      </c>
      <c r="AS306" s="2133" t="str">
        <f t="shared" si="115"/>
        <v>--</v>
      </c>
      <c r="AT306" s="2133" t="str">
        <f t="shared" si="115"/>
        <v>--</v>
      </c>
      <c r="AU306" s="2133" t="str">
        <f t="shared" si="115"/>
        <v>--</v>
      </c>
      <c r="AV306" s="2133" t="str">
        <f t="shared" si="115"/>
        <v>--</v>
      </c>
      <c r="AW306" s="2133" t="str">
        <f t="shared" si="115"/>
        <v>--</v>
      </c>
      <c r="AX306" s="2133" t="str">
        <f t="shared" si="115"/>
        <v>--</v>
      </c>
      <c r="AY306" s="2133" t="str">
        <f t="shared" si="115"/>
        <v>--</v>
      </c>
      <c r="AZ306" s="2133" t="str">
        <f t="shared" si="115"/>
        <v>--</v>
      </c>
      <c r="BA306" s="2133" t="str">
        <f t="shared" si="115"/>
        <v>--</v>
      </c>
      <c r="BB306" s="2133" t="str">
        <f t="shared" si="115"/>
        <v>--</v>
      </c>
      <c r="BC306" s="2133" t="str">
        <f t="shared" si="115"/>
        <v>--</v>
      </c>
      <c r="BD306" s="2133" t="str">
        <f t="shared" si="115"/>
        <v>--</v>
      </c>
      <c r="BE306" s="2133" t="str">
        <f t="shared" si="115"/>
        <v>--</v>
      </c>
      <c r="BF306" s="2133" t="str">
        <f t="shared" si="115"/>
        <v>--</v>
      </c>
      <c r="BG306" s="2133" t="str">
        <f t="shared" si="115"/>
        <v>--</v>
      </c>
      <c r="BH306" s="2133" t="str">
        <f t="shared" si="115"/>
        <v>--</v>
      </c>
      <c r="BI306" s="2133" t="str">
        <f t="shared" si="115"/>
        <v>--</v>
      </c>
      <c r="BJ306" s="2133" t="str">
        <f t="shared" si="115"/>
        <v>--</v>
      </c>
      <c r="BK306" s="2133" t="str">
        <f t="shared" si="115"/>
        <v>--</v>
      </c>
      <c r="BL306" s="2133" t="str">
        <f t="shared" si="115"/>
        <v>--</v>
      </c>
      <c r="BM306" s="2133" t="str">
        <f t="shared" si="115"/>
        <v>--</v>
      </c>
      <c r="BN306" s="2133" t="str">
        <f t="shared" si="115"/>
        <v>--</v>
      </c>
      <c r="BO306" s="2133" t="str">
        <f t="shared" si="115"/>
        <v>--</v>
      </c>
      <c r="BP306" s="2133" t="str">
        <f t="shared" si="115"/>
        <v>--</v>
      </c>
      <c r="BQ306" s="2133" t="str">
        <f t="shared" si="115"/>
        <v>--</v>
      </c>
      <c r="BR306" s="2133" t="str">
        <f t="shared" si="115"/>
        <v>--</v>
      </c>
      <c r="BS306" s="2133" t="str">
        <f t="shared" si="115"/>
        <v>--</v>
      </c>
      <c r="BT306" s="2133" t="str">
        <f t="shared" si="115"/>
        <v>--</v>
      </c>
      <c r="BU306" s="2133" t="str">
        <f t="shared" si="115"/>
        <v>--</v>
      </c>
      <c r="BV306" s="2133" t="str">
        <f t="shared" si="115"/>
        <v>--</v>
      </c>
      <c r="BW306" s="2133" t="str">
        <f t="shared" si="115"/>
        <v>--</v>
      </c>
      <c r="BX306" s="2133" t="str">
        <f t="shared" si="115"/>
        <v>--</v>
      </c>
      <c r="BY306" s="2133" t="str">
        <f t="shared" si="115"/>
        <v>--</v>
      </c>
      <c r="BZ306" s="2133" t="str">
        <f t="shared" si="115"/>
        <v>--</v>
      </c>
      <c r="CA306" s="2133" t="str">
        <f t="shared" si="115"/>
        <v>--</v>
      </c>
      <c r="CB306" s="2133" t="str">
        <f t="shared" si="115"/>
        <v>--</v>
      </c>
      <c r="CC306" s="2133" t="str">
        <f t="shared" si="115"/>
        <v>--</v>
      </c>
      <c r="CD306" s="2133" t="str">
        <f t="shared" si="115"/>
        <v>--</v>
      </c>
      <c r="CE306" s="2133" t="str">
        <f t="shared" si="115"/>
        <v>--</v>
      </c>
      <c r="CF306" s="2133" t="str">
        <f t="shared" si="115"/>
        <v>--</v>
      </c>
      <c r="CG306" s="2133" t="str">
        <f t="shared" ref="CG306:CV306" si="116">IFERROR(CG244/CG275,"--")</f>
        <v>--</v>
      </c>
      <c r="CH306" s="2133" t="str">
        <f t="shared" si="116"/>
        <v>--</v>
      </c>
      <c r="CI306" s="2133" t="str">
        <f t="shared" si="116"/>
        <v>--</v>
      </c>
      <c r="CJ306" s="2133" t="str">
        <f t="shared" si="116"/>
        <v>--</v>
      </c>
      <c r="CK306" s="2133" t="str">
        <f t="shared" si="116"/>
        <v>--</v>
      </c>
      <c r="CL306" s="2133" t="str">
        <f t="shared" si="116"/>
        <v>--</v>
      </c>
      <c r="CM306" s="2133" t="str">
        <f t="shared" si="116"/>
        <v>--</v>
      </c>
      <c r="CN306" s="2133" t="str">
        <f t="shared" si="116"/>
        <v>--</v>
      </c>
      <c r="CO306" s="2133" t="str">
        <f t="shared" si="116"/>
        <v>--</v>
      </c>
      <c r="CP306" s="2133" t="str">
        <f t="shared" si="116"/>
        <v>--</v>
      </c>
      <c r="CQ306" s="2133" t="str">
        <f t="shared" si="116"/>
        <v>--</v>
      </c>
      <c r="CR306" s="2133" t="str">
        <f t="shared" si="116"/>
        <v>--</v>
      </c>
      <c r="CS306" s="2133" t="str">
        <f t="shared" si="116"/>
        <v>--</v>
      </c>
      <c r="CT306" s="2133" t="str">
        <f t="shared" si="116"/>
        <v>--</v>
      </c>
      <c r="CU306" s="2133" t="str">
        <f t="shared" si="116"/>
        <v>--</v>
      </c>
      <c r="CV306" s="2133" t="str">
        <f t="shared" si="116"/>
        <v>--</v>
      </c>
      <c r="CW306" s="2133" t="str">
        <f t="shared" si="112"/>
        <v>--</v>
      </c>
      <c r="CX306" s="2133" t="str">
        <f t="shared" si="112"/>
        <v>--</v>
      </c>
      <c r="CY306" s="2133" t="str">
        <f t="shared" si="112"/>
        <v>--</v>
      </c>
      <c r="CZ306" s="2133" t="str">
        <f t="shared" si="112"/>
        <v>--</v>
      </c>
      <c r="DA306" s="2133" t="str">
        <f t="shared" si="112"/>
        <v>--</v>
      </c>
      <c r="DB306" s="2133" t="str">
        <f t="shared" si="112"/>
        <v>--</v>
      </c>
      <c r="DC306" s="2133" t="str">
        <f t="shared" si="112"/>
        <v>--</v>
      </c>
      <c r="DD306" s="2133" t="str">
        <f t="shared" si="112"/>
        <v>--</v>
      </c>
      <c r="DE306" s="2133" t="str">
        <f t="shared" si="112"/>
        <v>--</v>
      </c>
      <c r="DF306" s="2133" t="str">
        <f t="shared" si="112"/>
        <v>--</v>
      </c>
      <c r="DG306" s="2133" t="str">
        <f t="shared" si="112"/>
        <v>--</v>
      </c>
      <c r="DH306" s="2133" t="str">
        <f t="shared" si="112"/>
        <v>--</v>
      </c>
      <c r="DI306" s="2133" t="str">
        <f t="shared" si="112"/>
        <v>--</v>
      </c>
      <c r="DJ306" s="2133" t="str">
        <f t="shared" si="112"/>
        <v>--</v>
      </c>
      <c r="DK306" s="2133" t="str">
        <f t="shared" si="112"/>
        <v>--</v>
      </c>
      <c r="DL306" s="2133" t="str">
        <f t="shared" si="112"/>
        <v>--</v>
      </c>
      <c r="DM306" s="2133" t="str">
        <f t="shared" si="112"/>
        <v>--</v>
      </c>
      <c r="DN306" s="2133" t="str">
        <f t="shared" si="112"/>
        <v>--</v>
      </c>
      <c r="DO306" s="2133" t="str">
        <f t="shared" si="112"/>
        <v>--</v>
      </c>
      <c r="DP306" s="2133" t="str">
        <f t="shared" si="112"/>
        <v>--</v>
      </c>
      <c r="DQ306" s="2133" t="str">
        <f t="shared" si="112"/>
        <v>--</v>
      </c>
      <c r="DR306" s="2133" t="str">
        <f t="shared" si="112"/>
        <v>--</v>
      </c>
      <c r="DS306" s="2133" t="str">
        <f t="shared" si="112"/>
        <v>--</v>
      </c>
      <c r="DT306" s="2133" t="str">
        <f t="shared" si="112"/>
        <v>--</v>
      </c>
      <c r="DU306" s="2133" t="str">
        <f t="shared" si="112"/>
        <v>--</v>
      </c>
      <c r="DV306" s="2133" t="str">
        <f t="shared" si="112"/>
        <v>--</v>
      </c>
      <c r="DW306" s="2133" t="str">
        <f t="shared" si="112"/>
        <v>--</v>
      </c>
      <c r="DX306" s="2133" t="str">
        <f t="shared" si="112"/>
        <v>--</v>
      </c>
      <c r="DY306" s="2133" t="str">
        <f t="shared" si="112"/>
        <v>--</v>
      </c>
      <c r="DZ306" s="2133" t="str">
        <f t="shared" si="112"/>
        <v>--</v>
      </c>
      <c r="EA306" s="2133" t="str">
        <f t="shared" si="112"/>
        <v>--</v>
      </c>
      <c r="EB306" s="2133" t="str">
        <f t="shared" si="112"/>
        <v>--</v>
      </c>
      <c r="EC306" s="2133" t="str">
        <f t="shared" si="112"/>
        <v>--</v>
      </c>
      <c r="ED306" s="2133" t="str">
        <f t="shared" si="112"/>
        <v>--</v>
      </c>
      <c r="EE306" s="2133" t="str">
        <f t="shared" si="112"/>
        <v>--</v>
      </c>
      <c r="EF306" s="2133" t="str">
        <f t="shared" si="112"/>
        <v>--</v>
      </c>
      <c r="EG306" s="2133" t="str">
        <f t="shared" si="112"/>
        <v>--</v>
      </c>
      <c r="EH306" s="2133" t="str">
        <f t="shared" si="112"/>
        <v>--</v>
      </c>
      <c r="EI306" s="2133" t="str">
        <f t="shared" si="112"/>
        <v>--</v>
      </c>
      <c r="EJ306" s="2133" t="str">
        <f t="shared" si="112"/>
        <v>--</v>
      </c>
      <c r="EK306" s="2133" t="str">
        <f t="shared" si="112"/>
        <v>--</v>
      </c>
      <c r="EL306" s="2133" t="str">
        <f t="shared" si="112"/>
        <v>--</v>
      </c>
      <c r="EM306" s="2133" t="str">
        <f t="shared" si="112"/>
        <v>--</v>
      </c>
      <c r="EN306" s="2133" t="str">
        <f t="shared" si="112"/>
        <v>--</v>
      </c>
      <c r="EO306" s="2133" t="str">
        <f t="shared" si="112"/>
        <v>--</v>
      </c>
      <c r="EP306" s="2133" t="str">
        <f t="shared" si="112"/>
        <v>--</v>
      </c>
      <c r="EQ306" s="2133" t="str">
        <f t="shared" si="112"/>
        <v>--</v>
      </c>
      <c r="ER306" s="2133" t="str">
        <f t="shared" si="112"/>
        <v>--</v>
      </c>
      <c r="ES306" s="2133" t="str">
        <f t="shared" si="112"/>
        <v>--</v>
      </c>
      <c r="ET306" s="2133" t="str">
        <f t="shared" si="108"/>
        <v>--</v>
      </c>
      <c r="EU306" s="2133" t="str">
        <f t="shared" si="108"/>
        <v>--</v>
      </c>
      <c r="EV306" s="2133" t="str">
        <f t="shared" si="108"/>
        <v>--</v>
      </c>
      <c r="EW306" s="2133" t="str">
        <f t="shared" si="108"/>
        <v>--</v>
      </c>
      <c r="EX306" s="2133" t="str">
        <f t="shared" si="108"/>
        <v>--</v>
      </c>
      <c r="EY306" s="2133" t="str">
        <f t="shared" si="108"/>
        <v>--</v>
      </c>
      <c r="EZ306" s="2133" t="str">
        <f t="shared" si="108"/>
        <v>--</v>
      </c>
      <c r="FA306" s="2133" t="str">
        <f t="shared" si="108"/>
        <v>--</v>
      </c>
      <c r="FB306" s="2133" t="str">
        <f t="shared" si="108"/>
        <v>--</v>
      </c>
      <c r="FC306" s="2133" t="str">
        <f t="shared" si="108"/>
        <v>--</v>
      </c>
      <c r="FD306" s="2133" t="str">
        <f t="shared" si="108"/>
        <v>--</v>
      </c>
      <c r="FE306" s="2133" t="str">
        <f t="shared" si="108"/>
        <v>--</v>
      </c>
      <c r="FF306" s="2133" t="str">
        <f t="shared" si="108"/>
        <v>--</v>
      </c>
      <c r="FG306" s="2133" t="str">
        <f t="shared" si="108"/>
        <v>--</v>
      </c>
      <c r="FH306" s="2133" t="str">
        <f t="shared" si="108"/>
        <v>--</v>
      </c>
      <c r="FI306" s="2133" t="str">
        <f t="shared" si="108"/>
        <v>--</v>
      </c>
      <c r="FJ306" s="2133" t="str">
        <f t="shared" si="108"/>
        <v>--</v>
      </c>
      <c r="FK306" s="2133" t="str">
        <f t="shared" si="108"/>
        <v>--</v>
      </c>
      <c r="FL306" s="2133" t="str">
        <f t="shared" si="108"/>
        <v>--</v>
      </c>
      <c r="FM306" s="2133" t="str">
        <f t="shared" si="108"/>
        <v>--</v>
      </c>
      <c r="FN306" s="2133" t="str">
        <f t="shared" si="108"/>
        <v>--</v>
      </c>
      <c r="FO306" s="2133" t="str">
        <f t="shared" si="108"/>
        <v>--</v>
      </c>
      <c r="FP306" s="2133" t="str">
        <f t="shared" si="108"/>
        <v>--</v>
      </c>
      <c r="FQ306" s="2133" t="str">
        <f t="shared" si="108"/>
        <v>--</v>
      </c>
      <c r="FR306" s="2133" t="str">
        <f t="shared" si="108"/>
        <v>--</v>
      </c>
      <c r="FS306" s="2133" t="str">
        <f t="shared" si="108"/>
        <v>--</v>
      </c>
      <c r="FT306" s="2133" t="str">
        <f t="shared" si="108"/>
        <v>--</v>
      </c>
      <c r="FU306" s="2133" t="str">
        <f t="shared" si="108"/>
        <v>--</v>
      </c>
      <c r="FV306" s="2133" t="str">
        <f t="shared" si="108"/>
        <v>--</v>
      </c>
      <c r="FW306" s="2133" t="str">
        <f t="shared" si="108"/>
        <v>--</v>
      </c>
      <c r="FX306" s="2133" t="str">
        <f t="shared" si="108"/>
        <v>--</v>
      </c>
      <c r="FY306" s="2133" t="str">
        <f t="shared" si="108"/>
        <v>--</v>
      </c>
      <c r="FZ306" s="2133" t="str">
        <f t="shared" si="108"/>
        <v>--</v>
      </c>
      <c r="GA306" s="2133" t="str">
        <f t="shared" si="108"/>
        <v>--</v>
      </c>
      <c r="GB306" s="2133" t="str">
        <f t="shared" si="108"/>
        <v>--</v>
      </c>
      <c r="GC306" s="2133" t="str">
        <f t="shared" si="108"/>
        <v>--</v>
      </c>
      <c r="GD306" s="2133" t="str">
        <f t="shared" si="108"/>
        <v>--</v>
      </c>
      <c r="GE306" s="2133" t="str">
        <f t="shared" si="108"/>
        <v>--</v>
      </c>
      <c r="GF306" s="2133" t="str">
        <f t="shared" si="108"/>
        <v>--</v>
      </c>
      <c r="GG306" s="2133" t="str">
        <f t="shared" si="108"/>
        <v>--</v>
      </c>
      <c r="GH306" s="2133" t="str">
        <f t="shared" si="108"/>
        <v>--</v>
      </c>
      <c r="GI306" s="2133" t="str">
        <f t="shared" si="108"/>
        <v>--</v>
      </c>
      <c r="GJ306" s="2133" t="str">
        <f t="shared" si="108"/>
        <v>--</v>
      </c>
      <c r="GK306" s="2133" t="str">
        <f t="shared" si="108"/>
        <v>--</v>
      </c>
      <c r="GL306" s="2133" t="str">
        <f t="shared" si="108"/>
        <v>--</v>
      </c>
      <c r="GM306" s="2133" t="str">
        <f t="shared" ref="GM306:HG306" si="117">IFERROR(GM244/GM275,"--")</f>
        <v>--</v>
      </c>
      <c r="GN306" s="2133" t="str">
        <f t="shared" si="117"/>
        <v>--</v>
      </c>
      <c r="GO306" s="2133" t="str">
        <f t="shared" si="117"/>
        <v>--</v>
      </c>
      <c r="GP306" s="2133" t="str">
        <f t="shared" si="117"/>
        <v>--</v>
      </c>
      <c r="GQ306" s="2133" t="str">
        <f t="shared" si="117"/>
        <v>--</v>
      </c>
      <c r="GR306" s="2133" t="str">
        <f t="shared" si="117"/>
        <v>--</v>
      </c>
      <c r="GS306" s="2133" t="str">
        <f t="shared" si="117"/>
        <v>--</v>
      </c>
      <c r="GT306" s="2133" t="str">
        <f t="shared" si="117"/>
        <v>--</v>
      </c>
      <c r="GU306" s="2133" t="str">
        <f t="shared" si="117"/>
        <v>--</v>
      </c>
      <c r="GV306" s="2133" t="str">
        <f t="shared" si="117"/>
        <v>--</v>
      </c>
      <c r="GW306" s="2133" t="str">
        <f t="shared" si="117"/>
        <v>--</v>
      </c>
      <c r="GX306" s="2133" t="str">
        <f t="shared" si="117"/>
        <v>--</v>
      </c>
      <c r="GY306" s="2133" t="str">
        <f t="shared" si="117"/>
        <v>--</v>
      </c>
      <c r="GZ306" s="2133" t="str">
        <f t="shared" si="117"/>
        <v>--</v>
      </c>
      <c r="HA306" s="2133" t="str">
        <f t="shared" si="117"/>
        <v>--</v>
      </c>
      <c r="HB306" s="2133" t="str">
        <f t="shared" si="117"/>
        <v>--</v>
      </c>
      <c r="HC306" s="2133" t="str">
        <f t="shared" si="117"/>
        <v>--</v>
      </c>
      <c r="HD306" s="2133" t="str">
        <f t="shared" si="117"/>
        <v>--</v>
      </c>
      <c r="HE306" s="2133" t="str">
        <f t="shared" si="117"/>
        <v>--</v>
      </c>
      <c r="HF306" s="2133" t="str">
        <f t="shared" si="117"/>
        <v>--</v>
      </c>
      <c r="HG306" s="2133" t="str">
        <f t="shared" si="117"/>
        <v>--</v>
      </c>
      <c r="HH306" s="2133" t="str">
        <f t="shared" si="114"/>
        <v>--</v>
      </c>
      <c r="HI306" s="2133" t="str">
        <f t="shared" si="114"/>
        <v>--</v>
      </c>
      <c r="HJ306" s="2133" t="str">
        <f t="shared" si="114"/>
        <v>--</v>
      </c>
      <c r="HK306" s="2133" t="str">
        <f t="shared" si="114"/>
        <v>--</v>
      </c>
      <c r="HL306" s="2133" t="str">
        <f t="shared" si="114"/>
        <v>--</v>
      </c>
      <c r="HM306" s="2133" t="str">
        <f t="shared" si="114"/>
        <v>--</v>
      </c>
      <c r="HN306" s="2133" t="str">
        <f t="shared" si="114"/>
        <v>--</v>
      </c>
      <c r="HO306" s="2133" t="str">
        <f t="shared" si="114"/>
        <v>--</v>
      </c>
      <c r="HP306" s="2133" t="str">
        <f t="shared" si="114"/>
        <v>--</v>
      </c>
      <c r="HQ306" s="2133" t="str">
        <f t="shared" si="114"/>
        <v>--</v>
      </c>
      <c r="HR306" s="2133" t="str">
        <f t="shared" si="114"/>
        <v>--</v>
      </c>
      <c r="HS306" s="2133" t="str">
        <f t="shared" si="114"/>
        <v>--</v>
      </c>
      <c r="HT306" s="2133" t="str">
        <f t="shared" si="114"/>
        <v>--</v>
      </c>
      <c r="HU306" s="2133" t="str">
        <f t="shared" si="114"/>
        <v>--</v>
      </c>
      <c r="HV306" s="2133" t="str">
        <f t="shared" si="114"/>
        <v>--</v>
      </c>
      <c r="HW306" s="2133" t="str">
        <f t="shared" si="114"/>
        <v>--</v>
      </c>
      <c r="HX306" s="2133" t="str">
        <f t="shared" si="114"/>
        <v>--</v>
      </c>
      <c r="HY306" s="2133" t="str">
        <f t="shared" si="114"/>
        <v>--</v>
      </c>
      <c r="HZ306" s="2133" t="str">
        <f t="shared" si="114"/>
        <v>--</v>
      </c>
      <c r="IA306" s="2133" t="str">
        <f t="shared" si="114"/>
        <v>--</v>
      </c>
      <c r="IB306" s="2133" t="str">
        <f t="shared" si="114"/>
        <v>--</v>
      </c>
      <c r="IC306" s="2133" t="str">
        <f t="shared" si="114"/>
        <v>--</v>
      </c>
      <c r="ID306" s="2133" t="str">
        <f t="shared" si="114"/>
        <v>--</v>
      </c>
      <c r="IE306" s="2133" t="str">
        <f t="shared" si="114"/>
        <v>--</v>
      </c>
      <c r="IF306" s="2133" t="str">
        <f t="shared" si="114"/>
        <v>--</v>
      </c>
      <c r="IG306" s="2133" t="str">
        <f t="shared" si="114"/>
        <v>--</v>
      </c>
      <c r="IH306" s="2133" t="str">
        <f t="shared" si="114"/>
        <v>--</v>
      </c>
      <c r="II306" s="2133" t="str">
        <f t="shared" si="114"/>
        <v>--</v>
      </c>
      <c r="IJ306" s="2133" t="str">
        <f t="shared" si="114"/>
        <v>--</v>
      </c>
      <c r="IK306" s="2133" t="str">
        <f t="shared" si="114"/>
        <v>--</v>
      </c>
      <c r="IL306" s="2133" t="str">
        <f t="shared" si="114"/>
        <v>--</v>
      </c>
      <c r="IM306" s="2133" t="str">
        <f t="shared" si="114"/>
        <v>--</v>
      </c>
      <c r="IN306" s="2133" t="str">
        <f t="shared" si="114"/>
        <v>--</v>
      </c>
      <c r="IO306" s="2133" t="str">
        <f t="shared" si="114"/>
        <v>--</v>
      </c>
      <c r="IP306" s="2133" t="str">
        <f t="shared" si="114"/>
        <v>--</v>
      </c>
      <c r="IQ306" s="2133" t="str">
        <f t="shared" si="114"/>
        <v>--</v>
      </c>
      <c r="IR306" s="2133" t="str">
        <f t="shared" si="114"/>
        <v>--</v>
      </c>
      <c r="IS306" s="2133" t="str">
        <f t="shared" si="114"/>
        <v>--</v>
      </c>
      <c r="IT306" s="2133" t="str">
        <f t="shared" si="114"/>
        <v>--</v>
      </c>
      <c r="IU306" s="2133" t="str">
        <f t="shared" si="114"/>
        <v>--</v>
      </c>
      <c r="IV306" s="2133" t="str">
        <f t="shared" si="114"/>
        <v>--</v>
      </c>
      <c r="IW306" s="2133" t="str">
        <f t="shared" si="114"/>
        <v>--</v>
      </c>
      <c r="IX306" s="2133" t="str">
        <f t="shared" si="114"/>
        <v>--</v>
      </c>
      <c r="IY306" s="2133" t="str">
        <f t="shared" si="114"/>
        <v>--</v>
      </c>
      <c r="IZ306" s="2133" t="str">
        <f t="shared" si="114"/>
        <v>--</v>
      </c>
      <c r="JA306" s="2133" t="str">
        <f t="shared" si="114"/>
        <v>--</v>
      </c>
      <c r="JB306" s="2133" t="str">
        <f t="shared" si="114"/>
        <v>--</v>
      </c>
      <c r="JC306" s="2133" t="str">
        <f t="shared" si="114"/>
        <v>--</v>
      </c>
      <c r="JD306" s="2133" t="str">
        <f t="shared" si="114"/>
        <v>--</v>
      </c>
      <c r="JE306" s="2133" t="str">
        <f t="shared" si="114"/>
        <v>--</v>
      </c>
      <c r="JF306" s="2133" t="str">
        <f t="shared" si="114"/>
        <v>--</v>
      </c>
      <c r="JG306" s="2133" t="str">
        <f t="shared" si="114"/>
        <v>--</v>
      </c>
      <c r="JH306" s="2133" t="str">
        <f t="shared" si="114"/>
        <v>--</v>
      </c>
      <c r="JI306" s="2133" t="str">
        <f t="shared" si="114"/>
        <v>--</v>
      </c>
      <c r="JJ306" s="2133" t="str">
        <f t="shared" si="114"/>
        <v>--</v>
      </c>
      <c r="JK306" s="2133" t="str">
        <f t="shared" si="114"/>
        <v>--</v>
      </c>
      <c r="JL306" s="2133" t="str">
        <f t="shared" si="114"/>
        <v>--</v>
      </c>
      <c r="JM306" s="2133" t="str">
        <f t="shared" si="114"/>
        <v>--</v>
      </c>
      <c r="JN306" s="2133" t="str">
        <f t="shared" si="114"/>
        <v>--</v>
      </c>
      <c r="JO306" s="2133" t="str">
        <f t="shared" si="114"/>
        <v>--</v>
      </c>
      <c r="JP306" s="2133" t="str">
        <f t="shared" si="114"/>
        <v>--</v>
      </c>
      <c r="JQ306" s="2133" t="str">
        <f t="shared" si="114"/>
        <v>--</v>
      </c>
      <c r="JR306" s="2133" t="str">
        <f t="shared" si="114"/>
        <v>--</v>
      </c>
      <c r="JS306" s="2133" t="str">
        <f t="shared" si="114"/>
        <v>--</v>
      </c>
      <c r="JT306" s="2133" t="str">
        <f t="shared" si="110"/>
        <v>--</v>
      </c>
      <c r="JU306" s="2133" t="str">
        <f t="shared" si="110"/>
        <v>--</v>
      </c>
      <c r="JV306" s="2133" t="str">
        <f t="shared" si="110"/>
        <v>--</v>
      </c>
      <c r="JW306" s="2133" t="str">
        <f t="shared" si="110"/>
        <v>--</v>
      </c>
      <c r="JX306" s="2133" t="str">
        <f t="shared" si="110"/>
        <v>--</v>
      </c>
      <c r="JY306" s="2133" t="str">
        <f t="shared" si="110"/>
        <v>--</v>
      </c>
      <c r="JZ306" s="2133" t="str">
        <f t="shared" si="110"/>
        <v>--</v>
      </c>
      <c r="KA306" s="2133" t="str">
        <f t="shared" si="110"/>
        <v>--</v>
      </c>
      <c r="KB306" s="2133" t="str">
        <f t="shared" si="110"/>
        <v>--</v>
      </c>
    </row>
    <row r="307" spans="1:288" s="89" customFormat="1" ht="13.9">
      <c r="A307" s="269" t="str">
        <f t="shared" si="58"/>
        <v>n</v>
      </c>
      <c r="B307" s="2060"/>
      <c r="D307" s="801"/>
      <c r="E307" s="1505">
        <v>22</v>
      </c>
      <c r="F307" s="21" t="str">
        <f>F$150</f>
        <v>--</v>
      </c>
      <c r="G307" s="1441">
        <f>G$150</f>
        <v>0</v>
      </c>
      <c r="H307" s="1441" t="str">
        <f>H$150</f>
        <v>--</v>
      </c>
      <c r="I307" s="89" t="s">
        <v>786</v>
      </c>
      <c r="K307" s="2301" t="str">
        <f>IF(OR(K213=0,$G307=0),"--",IFERROR(_xll.ciqfunctions.udf.CIQ($G307,$I307,K121,Valuation_Date_GC,ReportType,DataMode,$H307,FXMode)*Scale,"--"))</f>
        <v>--</v>
      </c>
      <c r="L307" s="2301" t="str">
        <f>IF(OR(L213=0,$G307=0),"--",IFERROR(_xll.ciqfunctions.udf.CIQ($G307,$I307,L121,Valuation_Date_GC,ReportType,DataMode,$H307,FXMode)*Scale,"--"))</f>
        <v>--</v>
      </c>
      <c r="M307" s="2301" t="str">
        <f>IF(OR(M213=0,$G307=0),"--",IFERROR(_xll.ciqfunctions.udf.CIQ($G307,$I307,M121,Valuation_Date_GC,ReportType,DataMode,$H307,FXMode)*Scale,"--"))</f>
        <v>--</v>
      </c>
      <c r="N307" s="2301" t="str">
        <f>IF(OR(N213=0,$G307=0),"--",IFERROR(_xll.ciqfunctions.udf.CIQ($G307,$I307,N121,Valuation_Date_GC,ReportType,DataMode,$H307,FXMode)*Scale,"--"))</f>
        <v>--</v>
      </c>
      <c r="O307" s="1471" t="str">
        <f>IF(OR(O213=0,$G307=0),"--",IFERROR(_xll.ciqfunctions.udf.CIQ($G307,$I307,O121,Valuation_Date_GC,ReportType,DataMode,$H307,FXMode)*Scale,"--"))</f>
        <v>--</v>
      </c>
      <c r="P307" s="2301" t="str">
        <f>IF(OR(P213=0,$G307=0),"--",IFERROR(_xll.ciqfunctions.udf.CIQ($G307,$I307,P121,Valuation_Date_GC,ReportType,DataMode,$H307,FXMode)*Scale,"--"))</f>
        <v>--</v>
      </c>
      <c r="R307" s="255"/>
      <c r="S307" s="1958" t="str">
        <f t="shared" si="84"/>
        <v>--</v>
      </c>
      <c r="T307" s="1779" t="s">
        <v>787</v>
      </c>
      <c r="U307" s="2133" t="str">
        <f t="shared" si="115"/>
        <v>--</v>
      </c>
      <c r="V307" s="2133" t="str">
        <f t="shared" si="115"/>
        <v>--</v>
      </c>
      <c r="W307" s="2133" t="str">
        <f t="shared" si="115"/>
        <v>--</v>
      </c>
      <c r="X307" s="2133" t="str">
        <f t="shared" si="115"/>
        <v>--</v>
      </c>
      <c r="Y307" s="2133" t="str">
        <f t="shared" si="115"/>
        <v>--</v>
      </c>
      <c r="Z307" s="2133" t="str">
        <f t="shared" si="115"/>
        <v>--</v>
      </c>
      <c r="AA307" s="2133" t="str">
        <f t="shared" si="115"/>
        <v>--</v>
      </c>
      <c r="AB307" s="2133" t="str">
        <f t="shared" si="115"/>
        <v>--</v>
      </c>
      <c r="AC307" s="2133" t="str">
        <f t="shared" si="115"/>
        <v>--</v>
      </c>
      <c r="AD307" s="2133" t="str">
        <f t="shared" si="115"/>
        <v>--</v>
      </c>
      <c r="AE307" s="2133" t="str">
        <f t="shared" si="115"/>
        <v>--</v>
      </c>
      <c r="AF307" s="2133" t="str">
        <f t="shared" si="115"/>
        <v>--</v>
      </c>
      <c r="AG307" s="2133" t="str">
        <f t="shared" si="115"/>
        <v>--</v>
      </c>
      <c r="AH307" s="2133" t="str">
        <f t="shared" si="115"/>
        <v>--</v>
      </c>
      <c r="AI307" s="2133" t="str">
        <f t="shared" si="115"/>
        <v>--</v>
      </c>
      <c r="AJ307" s="2133" t="str">
        <f t="shared" si="115"/>
        <v>--</v>
      </c>
      <c r="AK307" s="2133" t="str">
        <f t="shared" si="115"/>
        <v>--</v>
      </c>
      <c r="AL307" s="2133" t="str">
        <f t="shared" si="115"/>
        <v>--</v>
      </c>
      <c r="AM307" s="2133" t="str">
        <f t="shared" si="115"/>
        <v>--</v>
      </c>
      <c r="AN307" s="2133" t="str">
        <f t="shared" si="115"/>
        <v>--</v>
      </c>
      <c r="AO307" s="2133" t="str">
        <f t="shared" si="115"/>
        <v>--</v>
      </c>
      <c r="AP307" s="2133" t="str">
        <f t="shared" si="115"/>
        <v>--</v>
      </c>
      <c r="AQ307" s="2133" t="str">
        <f t="shared" si="115"/>
        <v>--</v>
      </c>
      <c r="AR307" s="2133" t="str">
        <f t="shared" si="115"/>
        <v>--</v>
      </c>
      <c r="AS307" s="2133" t="str">
        <f t="shared" si="115"/>
        <v>--</v>
      </c>
      <c r="AT307" s="2133" t="str">
        <f t="shared" si="115"/>
        <v>--</v>
      </c>
      <c r="AU307" s="2133" t="str">
        <f t="shared" si="115"/>
        <v>--</v>
      </c>
      <c r="AV307" s="2133" t="str">
        <f t="shared" si="115"/>
        <v>--</v>
      </c>
      <c r="AW307" s="2133" t="str">
        <f t="shared" si="115"/>
        <v>--</v>
      </c>
      <c r="AX307" s="2133" t="str">
        <f t="shared" si="115"/>
        <v>--</v>
      </c>
      <c r="AY307" s="2133" t="str">
        <f t="shared" si="115"/>
        <v>--</v>
      </c>
      <c r="AZ307" s="2133" t="str">
        <f t="shared" si="115"/>
        <v>--</v>
      </c>
      <c r="BA307" s="2133" t="str">
        <f t="shared" si="115"/>
        <v>--</v>
      </c>
      <c r="BB307" s="2133" t="str">
        <f t="shared" si="115"/>
        <v>--</v>
      </c>
      <c r="BC307" s="2133" t="str">
        <f t="shared" si="115"/>
        <v>--</v>
      </c>
      <c r="BD307" s="2133" t="str">
        <f t="shared" si="115"/>
        <v>--</v>
      </c>
      <c r="BE307" s="2133" t="str">
        <f t="shared" si="115"/>
        <v>--</v>
      </c>
      <c r="BF307" s="2133" t="str">
        <f t="shared" si="115"/>
        <v>--</v>
      </c>
      <c r="BG307" s="2133" t="str">
        <f t="shared" si="115"/>
        <v>--</v>
      </c>
      <c r="BH307" s="2133" t="str">
        <f t="shared" si="115"/>
        <v>--</v>
      </c>
      <c r="BI307" s="2133" t="str">
        <f t="shared" si="115"/>
        <v>--</v>
      </c>
      <c r="BJ307" s="2133" t="str">
        <f t="shared" si="115"/>
        <v>--</v>
      </c>
      <c r="BK307" s="2133" t="str">
        <f t="shared" si="115"/>
        <v>--</v>
      </c>
      <c r="BL307" s="2133" t="str">
        <f t="shared" si="115"/>
        <v>--</v>
      </c>
      <c r="BM307" s="2133" t="str">
        <f t="shared" si="115"/>
        <v>--</v>
      </c>
      <c r="BN307" s="2133" t="str">
        <f t="shared" si="115"/>
        <v>--</v>
      </c>
      <c r="BO307" s="2133" t="str">
        <f t="shared" si="115"/>
        <v>--</v>
      </c>
      <c r="BP307" s="2133" t="str">
        <f t="shared" si="115"/>
        <v>--</v>
      </c>
      <c r="BQ307" s="2133" t="str">
        <f t="shared" si="115"/>
        <v>--</v>
      </c>
      <c r="BR307" s="2133" t="str">
        <f t="shared" si="115"/>
        <v>--</v>
      </c>
      <c r="BS307" s="2133" t="str">
        <f t="shared" si="115"/>
        <v>--</v>
      </c>
      <c r="BT307" s="2133" t="str">
        <f t="shared" si="115"/>
        <v>--</v>
      </c>
      <c r="BU307" s="2133" t="str">
        <f t="shared" si="115"/>
        <v>--</v>
      </c>
      <c r="BV307" s="2133" t="str">
        <f t="shared" si="115"/>
        <v>--</v>
      </c>
      <c r="BW307" s="2133" t="str">
        <f t="shared" si="115"/>
        <v>--</v>
      </c>
      <c r="BX307" s="2133" t="str">
        <f t="shared" si="115"/>
        <v>--</v>
      </c>
      <c r="BY307" s="2133" t="str">
        <f t="shared" si="115"/>
        <v>--</v>
      </c>
      <c r="BZ307" s="2133" t="str">
        <f t="shared" si="115"/>
        <v>--</v>
      </c>
      <c r="CA307" s="2133" t="str">
        <f t="shared" si="115"/>
        <v>--</v>
      </c>
      <c r="CB307" s="2133" t="str">
        <f t="shared" si="115"/>
        <v>--</v>
      </c>
      <c r="CC307" s="2133" t="str">
        <f t="shared" si="115"/>
        <v>--</v>
      </c>
      <c r="CD307" s="2133" t="str">
        <f t="shared" si="115"/>
        <v>--</v>
      </c>
      <c r="CE307" s="2133" t="str">
        <f t="shared" si="115"/>
        <v>--</v>
      </c>
      <c r="CF307" s="2133" t="str">
        <f t="shared" si="115"/>
        <v>--</v>
      </c>
      <c r="CG307" s="2133" t="str">
        <f t="shared" ref="CG307:CV307" si="118">IFERROR(CG245/CG276,"--")</f>
        <v>--</v>
      </c>
      <c r="CH307" s="2133" t="str">
        <f t="shared" si="118"/>
        <v>--</v>
      </c>
      <c r="CI307" s="2133" t="str">
        <f t="shared" si="118"/>
        <v>--</v>
      </c>
      <c r="CJ307" s="2133" t="str">
        <f t="shared" si="118"/>
        <v>--</v>
      </c>
      <c r="CK307" s="2133" t="str">
        <f t="shared" si="118"/>
        <v>--</v>
      </c>
      <c r="CL307" s="2133" t="str">
        <f t="shared" si="118"/>
        <v>--</v>
      </c>
      <c r="CM307" s="2133" t="str">
        <f t="shared" si="118"/>
        <v>--</v>
      </c>
      <c r="CN307" s="2133" t="str">
        <f t="shared" si="118"/>
        <v>--</v>
      </c>
      <c r="CO307" s="2133" t="str">
        <f t="shared" si="118"/>
        <v>--</v>
      </c>
      <c r="CP307" s="2133" t="str">
        <f t="shared" si="118"/>
        <v>--</v>
      </c>
      <c r="CQ307" s="2133" t="str">
        <f t="shared" si="118"/>
        <v>--</v>
      </c>
      <c r="CR307" s="2133" t="str">
        <f t="shared" si="118"/>
        <v>--</v>
      </c>
      <c r="CS307" s="2133" t="str">
        <f t="shared" si="118"/>
        <v>--</v>
      </c>
      <c r="CT307" s="2133" t="str">
        <f t="shared" si="118"/>
        <v>--</v>
      </c>
      <c r="CU307" s="2133" t="str">
        <f t="shared" si="118"/>
        <v>--</v>
      </c>
      <c r="CV307" s="2133" t="str">
        <f t="shared" si="118"/>
        <v>--</v>
      </c>
      <c r="CW307" s="2133" t="str">
        <f t="shared" si="112"/>
        <v>--</v>
      </c>
      <c r="CX307" s="2133" t="str">
        <f t="shared" si="112"/>
        <v>--</v>
      </c>
      <c r="CY307" s="2133" t="str">
        <f t="shared" si="112"/>
        <v>--</v>
      </c>
      <c r="CZ307" s="2133" t="str">
        <f t="shared" si="112"/>
        <v>--</v>
      </c>
      <c r="DA307" s="2133" t="str">
        <f t="shared" si="112"/>
        <v>--</v>
      </c>
      <c r="DB307" s="2133" t="str">
        <f t="shared" si="112"/>
        <v>--</v>
      </c>
      <c r="DC307" s="2133" t="str">
        <f t="shared" si="112"/>
        <v>--</v>
      </c>
      <c r="DD307" s="2133" t="str">
        <f t="shared" si="112"/>
        <v>--</v>
      </c>
      <c r="DE307" s="2133" t="str">
        <f t="shared" si="112"/>
        <v>--</v>
      </c>
      <c r="DF307" s="2133" t="str">
        <f t="shared" si="112"/>
        <v>--</v>
      </c>
      <c r="DG307" s="2133" t="str">
        <f t="shared" si="112"/>
        <v>--</v>
      </c>
      <c r="DH307" s="2133" t="str">
        <f t="shared" si="112"/>
        <v>--</v>
      </c>
      <c r="DI307" s="2133" t="str">
        <f t="shared" si="112"/>
        <v>--</v>
      </c>
      <c r="DJ307" s="2133" t="str">
        <f t="shared" si="112"/>
        <v>--</v>
      </c>
      <c r="DK307" s="2133" t="str">
        <f t="shared" si="112"/>
        <v>--</v>
      </c>
      <c r="DL307" s="2133" t="str">
        <f t="shared" si="112"/>
        <v>--</v>
      </c>
      <c r="DM307" s="2133" t="str">
        <f t="shared" si="112"/>
        <v>--</v>
      </c>
      <c r="DN307" s="2133" t="str">
        <f t="shared" si="112"/>
        <v>--</v>
      </c>
      <c r="DO307" s="2133" t="str">
        <f t="shared" si="112"/>
        <v>--</v>
      </c>
      <c r="DP307" s="2133" t="str">
        <f t="shared" si="112"/>
        <v>--</v>
      </c>
      <c r="DQ307" s="2133" t="str">
        <f t="shared" si="112"/>
        <v>--</v>
      </c>
      <c r="DR307" s="2133" t="str">
        <f t="shared" si="112"/>
        <v>--</v>
      </c>
      <c r="DS307" s="2133" t="str">
        <f t="shared" si="112"/>
        <v>--</v>
      </c>
      <c r="DT307" s="2133" t="str">
        <f t="shared" si="112"/>
        <v>--</v>
      </c>
      <c r="DU307" s="2133" t="str">
        <f t="shared" si="112"/>
        <v>--</v>
      </c>
      <c r="DV307" s="2133" t="str">
        <f t="shared" si="112"/>
        <v>--</v>
      </c>
      <c r="DW307" s="2133" t="str">
        <f t="shared" si="112"/>
        <v>--</v>
      </c>
      <c r="DX307" s="2133" t="str">
        <f t="shared" si="112"/>
        <v>--</v>
      </c>
      <c r="DY307" s="2133" t="str">
        <f t="shared" si="112"/>
        <v>--</v>
      </c>
      <c r="DZ307" s="2133" t="str">
        <f t="shared" si="112"/>
        <v>--</v>
      </c>
      <c r="EA307" s="2133" t="str">
        <f t="shared" si="112"/>
        <v>--</v>
      </c>
      <c r="EB307" s="2133" t="str">
        <f t="shared" si="112"/>
        <v>--</v>
      </c>
      <c r="EC307" s="2133" t="str">
        <f t="shared" si="112"/>
        <v>--</v>
      </c>
      <c r="ED307" s="2133" t="str">
        <f t="shared" si="112"/>
        <v>--</v>
      </c>
      <c r="EE307" s="2133" t="str">
        <f t="shared" si="112"/>
        <v>--</v>
      </c>
      <c r="EF307" s="2133" t="str">
        <f t="shared" si="112"/>
        <v>--</v>
      </c>
      <c r="EG307" s="2133" t="str">
        <f t="shared" si="112"/>
        <v>--</v>
      </c>
      <c r="EH307" s="2133" t="str">
        <f t="shared" si="112"/>
        <v>--</v>
      </c>
      <c r="EI307" s="2133" t="str">
        <f t="shared" si="112"/>
        <v>--</v>
      </c>
      <c r="EJ307" s="2133" t="str">
        <f t="shared" si="112"/>
        <v>--</v>
      </c>
      <c r="EK307" s="2133" t="str">
        <f t="shared" si="112"/>
        <v>--</v>
      </c>
      <c r="EL307" s="2133" t="str">
        <f t="shared" si="112"/>
        <v>--</v>
      </c>
      <c r="EM307" s="2133" t="str">
        <f t="shared" si="112"/>
        <v>--</v>
      </c>
      <c r="EN307" s="2133" t="str">
        <f t="shared" si="112"/>
        <v>--</v>
      </c>
      <c r="EO307" s="2133" t="str">
        <f t="shared" si="112"/>
        <v>--</v>
      </c>
      <c r="EP307" s="2133" t="str">
        <f t="shared" si="112"/>
        <v>--</v>
      </c>
      <c r="EQ307" s="2133" t="str">
        <f t="shared" si="112"/>
        <v>--</v>
      </c>
      <c r="ER307" s="2133" t="str">
        <f t="shared" si="112"/>
        <v>--</v>
      </c>
      <c r="ES307" s="2133" t="str">
        <f t="shared" si="112"/>
        <v>--</v>
      </c>
      <c r="ET307" s="2133" t="str">
        <f t="shared" si="108"/>
        <v>--</v>
      </c>
      <c r="EU307" s="2133" t="str">
        <f t="shared" si="108"/>
        <v>--</v>
      </c>
      <c r="EV307" s="2133" t="str">
        <f t="shared" si="108"/>
        <v>--</v>
      </c>
      <c r="EW307" s="2133" t="str">
        <f t="shared" si="108"/>
        <v>--</v>
      </c>
      <c r="EX307" s="2133" t="str">
        <f t="shared" si="108"/>
        <v>--</v>
      </c>
      <c r="EY307" s="2133" t="str">
        <f t="shared" si="108"/>
        <v>--</v>
      </c>
      <c r="EZ307" s="2133" t="str">
        <f t="shared" si="108"/>
        <v>--</v>
      </c>
      <c r="FA307" s="2133" t="str">
        <f t="shared" si="108"/>
        <v>--</v>
      </c>
      <c r="FB307" s="2133" t="str">
        <f t="shared" si="108"/>
        <v>--</v>
      </c>
      <c r="FC307" s="2133" t="str">
        <f t="shared" si="108"/>
        <v>--</v>
      </c>
      <c r="FD307" s="2133" t="str">
        <f t="shared" si="108"/>
        <v>--</v>
      </c>
      <c r="FE307" s="2133" t="str">
        <f t="shared" si="108"/>
        <v>--</v>
      </c>
      <c r="FF307" s="2133" t="str">
        <f t="shared" si="108"/>
        <v>--</v>
      </c>
      <c r="FG307" s="2133" t="str">
        <f t="shared" si="108"/>
        <v>--</v>
      </c>
      <c r="FH307" s="2133" t="str">
        <f t="shared" si="108"/>
        <v>--</v>
      </c>
      <c r="FI307" s="2133" t="str">
        <f t="shared" si="108"/>
        <v>--</v>
      </c>
      <c r="FJ307" s="2133" t="str">
        <f t="shared" si="108"/>
        <v>--</v>
      </c>
      <c r="FK307" s="2133" t="str">
        <f t="shared" si="108"/>
        <v>--</v>
      </c>
      <c r="FL307" s="2133" t="str">
        <f t="shared" si="108"/>
        <v>--</v>
      </c>
      <c r="FM307" s="2133" t="str">
        <f t="shared" si="108"/>
        <v>--</v>
      </c>
      <c r="FN307" s="2133" t="str">
        <f t="shared" si="108"/>
        <v>--</v>
      </c>
      <c r="FO307" s="2133" t="str">
        <f t="shared" si="108"/>
        <v>--</v>
      </c>
      <c r="FP307" s="2133" t="str">
        <f t="shared" si="108"/>
        <v>--</v>
      </c>
      <c r="FQ307" s="2133" t="str">
        <f t="shared" si="108"/>
        <v>--</v>
      </c>
      <c r="FR307" s="2133" t="str">
        <f t="shared" si="108"/>
        <v>--</v>
      </c>
      <c r="FS307" s="2133" t="str">
        <f t="shared" si="108"/>
        <v>--</v>
      </c>
      <c r="FT307" s="2133" t="str">
        <f t="shared" si="108"/>
        <v>--</v>
      </c>
      <c r="FU307" s="2133" t="str">
        <f t="shared" si="108"/>
        <v>--</v>
      </c>
      <c r="FV307" s="2133" t="str">
        <f t="shared" si="108"/>
        <v>--</v>
      </c>
      <c r="FW307" s="2133" t="str">
        <f t="shared" si="108"/>
        <v>--</v>
      </c>
      <c r="FX307" s="2133" t="str">
        <f t="shared" si="108"/>
        <v>--</v>
      </c>
      <c r="FY307" s="2133" t="str">
        <f t="shared" si="108"/>
        <v>--</v>
      </c>
      <c r="FZ307" s="2133" t="str">
        <f t="shared" si="108"/>
        <v>--</v>
      </c>
      <c r="GA307" s="2133" t="str">
        <f t="shared" si="108"/>
        <v>--</v>
      </c>
      <c r="GB307" s="2133" t="str">
        <f t="shared" si="108"/>
        <v>--</v>
      </c>
      <c r="GC307" s="2133" t="str">
        <f t="shared" si="108"/>
        <v>--</v>
      </c>
      <c r="GD307" s="2133" t="str">
        <f t="shared" si="108"/>
        <v>--</v>
      </c>
      <c r="GE307" s="2133" t="str">
        <f t="shared" si="108"/>
        <v>--</v>
      </c>
      <c r="GF307" s="2133" t="str">
        <f t="shared" si="108"/>
        <v>--</v>
      </c>
      <c r="GG307" s="2133" t="str">
        <f t="shared" si="108"/>
        <v>--</v>
      </c>
      <c r="GH307" s="2133" t="str">
        <f t="shared" si="108"/>
        <v>--</v>
      </c>
      <c r="GI307" s="2133" t="str">
        <f t="shared" si="108"/>
        <v>--</v>
      </c>
      <c r="GJ307" s="2133" t="str">
        <f t="shared" si="108"/>
        <v>--</v>
      </c>
      <c r="GK307" s="2133" t="str">
        <f t="shared" si="108"/>
        <v>--</v>
      </c>
      <c r="GL307" s="2133" t="str">
        <f t="shared" si="108"/>
        <v>--</v>
      </c>
      <c r="GM307" s="2133" t="str">
        <f t="shared" ref="GM307:HG307" si="119">IFERROR(GM245/GM276,"--")</f>
        <v>--</v>
      </c>
      <c r="GN307" s="2133" t="str">
        <f t="shared" si="119"/>
        <v>--</v>
      </c>
      <c r="GO307" s="2133" t="str">
        <f t="shared" si="119"/>
        <v>--</v>
      </c>
      <c r="GP307" s="2133" t="str">
        <f t="shared" si="119"/>
        <v>--</v>
      </c>
      <c r="GQ307" s="2133" t="str">
        <f t="shared" si="119"/>
        <v>--</v>
      </c>
      <c r="GR307" s="2133" t="str">
        <f t="shared" si="119"/>
        <v>--</v>
      </c>
      <c r="GS307" s="2133" t="str">
        <f t="shared" si="119"/>
        <v>--</v>
      </c>
      <c r="GT307" s="2133" t="str">
        <f t="shared" si="119"/>
        <v>--</v>
      </c>
      <c r="GU307" s="2133" t="str">
        <f t="shared" si="119"/>
        <v>--</v>
      </c>
      <c r="GV307" s="2133" t="str">
        <f t="shared" si="119"/>
        <v>--</v>
      </c>
      <c r="GW307" s="2133" t="str">
        <f t="shared" si="119"/>
        <v>--</v>
      </c>
      <c r="GX307" s="2133" t="str">
        <f t="shared" si="119"/>
        <v>--</v>
      </c>
      <c r="GY307" s="2133" t="str">
        <f t="shared" si="119"/>
        <v>--</v>
      </c>
      <c r="GZ307" s="2133" t="str">
        <f t="shared" si="119"/>
        <v>--</v>
      </c>
      <c r="HA307" s="2133" t="str">
        <f t="shared" si="119"/>
        <v>--</v>
      </c>
      <c r="HB307" s="2133" t="str">
        <f t="shared" si="119"/>
        <v>--</v>
      </c>
      <c r="HC307" s="2133" t="str">
        <f t="shared" si="119"/>
        <v>--</v>
      </c>
      <c r="HD307" s="2133" t="str">
        <f t="shared" si="119"/>
        <v>--</v>
      </c>
      <c r="HE307" s="2133" t="str">
        <f t="shared" si="119"/>
        <v>--</v>
      </c>
      <c r="HF307" s="2133" t="str">
        <f t="shared" si="119"/>
        <v>--</v>
      </c>
      <c r="HG307" s="2133" t="str">
        <f t="shared" si="119"/>
        <v>--</v>
      </c>
      <c r="HH307" s="2133" t="str">
        <f t="shared" si="114"/>
        <v>--</v>
      </c>
      <c r="HI307" s="2133" t="str">
        <f t="shared" si="114"/>
        <v>--</v>
      </c>
      <c r="HJ307" s="2133" t="str">
        <f t="shared" si="114"/>
        <v>--</v>
      </c>
      <c r="HK307" s="2133" t="str">
        <f t="shared" si="114"/>
        <v>--</v>
      </c>
      <c r="HL307" s="2133" t="str">
        <f t="shared" si="114"/>
        <v>--</v>
      </c>
      <c r="HM307" s="2133" t="str">
        <f t="shared" si="114"/>
        <v>--</v>
      </c>
      <c r="HN307" s="2133" t="str">
        <f t="shared" si="114"/>
        <v>--</v>
      </c>
      <c r="HO307" s="2133" t="str">
        <f t="shared" si="114"/>
        <v>--</v>
      </c>
      <c r="HP307" s="2133" t="str">
        <f t="shared" si="114"/>
        <v>--</v>
      </c>
      <c r="HQ307" s="2133" t="str">
        <f t="shared" si="114"/>
        <v>--</v>
      </c>
      <c r="HR307" s="2133" t="str">
        <f t="shared" si="114"/>
        <v>--</v>
      </c>
      <c r="HS307" s="2133" t="str">
        <f t="shared" si="114"/>
        <v>--</v>
      </c>
      <c r="HT307" s="2133" t="str">
        <f t="shared" si="114"/>
        <v>--</v>
      </c>
      <c r="HU307" s="2133" t="str">
        <f t="shared" si="114"/>
        <v>--</v>
      </c>
      <c r="HV307" s="2133" t="str">
        <f t="shared" si="114"/>
        <v>--</v>
      </c>
      <c r="HW307" s="2133" t="str">
        <f t="shared" si="114"/>
        <v>--</v>
      </c>
      <c r="HX307" s="2133" t="str">
        <f t="shared" si="114"/>
        <v>--</v>
      </c>
      <c r="HY307" s="2133" t="str">
        <f t="shared" si="114"/>
        <v>--</v>
      </c>
      <c r="HZ307" s="2133" t="str">
        <f t="shared" si="114"/>
        <v>--</v>
      </c>
      <c r="IA307" s="2133" t="str">
        <f t="shared" si="114"/>
        <v>--</v>
      </c>
      <c r="IB307" s="2133" t="str">
        <f t="shared" si="114"/>
        <v>--</v>
      </c>
      <c r="IC307" s="2133" t="str">
        <f t="shared" si="114"/>
        <v>--</v>
      </c>
      <c r="ID307" s="2133" t="str">
        <f t="shared" si="114"/>
        <v>--</v>
      </c>
      <c r="IE307" s="2133" t="str">
        <f t="shared" si="114"/>
        <v>--</v>
      </c>
      <c r="IF307" s="2133" t="str">
        <f t="shared" si="114"/>
        <v>--</v>
      </c>
      <c r="IG307" s="2133" t="str">
        <f t="shared" si="114"/>
        <v>--</v>
      </c>
      <c r="IH307" s="2133" t="str">
        <f t="shared" si="114"/>
        <v>--</v>
      </c>
      <c r="II307" s="2133" t="str">
        <f t="shared" si="114"/>
        <v>--</v>
      </c>
      <c r="IJ307" s="2133" t="str">
        <f t="shared" si="114"/>
        <v>--</v>
      </c>
      <c r="IK307" s="2133" t="str">
        <f t="shared" si="114"/>
        <v>--</v>
      </c>
      <c r="IL307" s="2133" t="str">
        <f t="shared" si="114"/>
        <v>--</v>
      </c>
      <c r="IM307" s="2133" t="str">
        <f t="shared" si="114"/>
        <v>--</v>
      </c>
      <c r="IN307" s="2133" t="str">
        <f t="shared" si="114"/>
        <v>--</v>
      </c>
      <c r="IO307" s="2133" t="str">
        <f t="shared" si="114"/>
        <v>--</v>
      </c>
      <c r="IP307" s="2133" t="str">
        <f t="shared" si="114"/>
        <v>--</v>
      </c>
      <c r="IQ307" s="2133" t="str">
        <f t="shared" si="114"/>
        <v>--</v>
      </c>
      <c r="IR307" s="2133" t="str">
        <f t="shared" si="114"/>
        <v>--</v>
      </c>
      <c r="IS307" s="2133" t="str">
        <f t="shared" si="114"/>
        <v>--</v>
      </c>
      <c r="IT307" s="2133" t="str">
        <f t="shared" si="114"/>
        <v>--</v>
      </c>
      <c r="IU307" s="2133" t="str">
        <f t="shared" si="114"/>
        <v>--</v>
      </c>
      <c r="IV307" s="2133" t="str">
        <f t="shared" si="114"/>
        <v>--</v>
      </c>
      <c r="IW307" s="2133" t="str">
        <f t="shared" si="114"/>
        <v>--</v>
      </c>
      <c r="IX307" s="2133" t="str">
        <f t="shared" si="114"/>
        <v>--</v>
      </c>
      <c r="IY307" s="2133" t="str">
        <f t="shared" si="114"/>
        <v>--</v>
      </c>
      <c r="IZ307" s="2133" t="str">
        <f t="shared" si="114"/>
        <v>--</v>
      </c>
      <c r="JA307" s="2133" t="str">
        <f t="shared" si="114"/>
        <v>--</v>
      </c>
      <c r="JB307" s="2133" t="str">
        <f t="shared" si="114"/>
        <v>--</v>
      </c>
      <c r="JC307" s="2133" t="str">
        <f t="shared" si="114"/>
        <v>--</v>
      </c>
      <c r="JD307" s="2133" t="str">
        <f t="shared" si="114"/>
        <v>--</v>
      </c>
      <c r="JE307" s="2133" t="str">
        <f t="shared" si="114"/>
        <v>--</v>
      </c>
      <c r="JF307" s="2133" t="str">
        <f t="shared" si="114"/>
        <v>--</v>
      </c>
      <c r="JG307" s="2133" t="str">
        <f t="shared" si="114"/>
        <v>--</v>
      </c>
      <c r="JH307" s="2133" t="str">
        <f t="shared" si="114"/>
        <v>--</v>
      </c>
      <c r="JI307" s="2133" t="str">
        <f t="shared" si="114"/>
        <v>--</v>
      </c>
      <c r="JJ307" s="2133" t="str">
        <f t="shared" si="114"/>
        <v>--</v>
      </c>
      <c r="JK307" s="2133" t="str">
        <f t="shared" si="114"/>
        <v>--</v>
      </c>
      <c r="JL307" s="2133" t="str">
        <f t="shared" si="114"/>
        <v>--</v>
      </c>
      <c r="JM307" s="2133" t="str">
        <f t="shared" si="114"/>
        <v>--</v>
      </c>
      <c r="JN307" s="2133" t="str">
        <f t="shared" si="114"/>
        <v>--</v>
      </c>
      <c r="JO307" s="2133" t="str">
        <f t="shared" si="114"/>
        <v>--</v>
      </c>
      <c r="JP307" s="2133" t="str">
        <f t="shared" si="114"/>
        <v>--</v>
      </c>
      <c r="JQ307" s="2133" t="str">
        <f t="shared" si="114"/>
        <v>--</v>
      </c>
      <c r="JR307" s="2133" t="str">
        <f t="shared" si="114"/>
        <v>--</v>
      </c>
      <c r="JS307" s="2133" t="str">
        <f t="shared" si="114"/>
        <v>--</v>
      </c>
      <c r="JT307" s="2133" t="str">
        <f t="shared" si="110"/>
        <v>--</v>
      </c>
      <c r="JU307" s="2133" t="str">
        <f t="shared" si="110"/>
        <v>--</v>
      </c>
      <c r="JV307" s="2133" t="str">
        <f t="shared" si="110"/>
        <v>--</v>
      </c>
      <c r="JW307" s="2133" t="str">
        <f t="shared" si="110"/>
        <v>--</v>
      </c>
      <c r="JX307" s="2133" t="str">
        <f t="shared" si="110"/>
        <v>--</v>
      </c>
      <c r="JY307" s="2133" t="str">
        <f t="shared" si="110"/>
        <v>--</v>
      </c>
      <c r="JZ307" s="2133" t="str">
        <f t="shared" si="110"/>
        <v>--</v>
      </c>
      <c r="KA307" s="2133" t="str">
        <f t="shared" si="110"/>
        <v>--</v>
      </c>
      <c r="KB307" s="2133" t="str">
        <f t="shared" si="110"/>
        <v>--</v>
      </c>
    </row>
    <row r="308" spans="1:288" s="89" customFormat="1" ht="13.9">
      <c r="A308" s="269" t="str">
        <f t="shared" si="58"/>
        <v>n</v>
      </c>
      <c r="B308" s="2060"/>
      <c r="D308" s="801"/>
      <c r="E308" s="1505">
        <v>23</v>
      </c>
      <c r="F308" s="21" t="str">
        <f>F$151</f>
        <v>--</v>
      </c>
      <c r="G308" s="1441">
        <f>G$151</f>
        <v>0</v>
      </c>
      <c r="H308" s="1441" t="str">
        <f>H$151</f>
        <v>--</v>
      </c>
      <c r="I308" s="89" t="s">
        <v>786</v>
      </c>
      <c r="K308" s="2301" t="str">
        <f>IF(OR(K214=0,$G308=0),"--",IFERROR(_xll.ciqfunctions.udf.CIQ($G308,$I308,K122,Valuation_Date_GC,ReportType,DataMode,$H308,FXMode)*Scale,"--"))</f>
        <v>--</v>
      </c>
      <c r="L308" s="2301" t="str">
        <f>IF(OR(L214=0,$G308=0),"--",IFERROR(_xll.ciqfunctions.udf.CIQ($G308,$I308,L122,Valuation_Date_GC,ReportType,DataMode,$H308,FXMode)*Scale,"--"))</f>
        <v>--</v>
      </c>
      <c r="M308" s="2301" t="str">
        <f>IF(OR(M214=0,$G308=0),"--",IFERROR(_xll.ciqfunctions.udf.CIQ($G308,$I308,M122,Valuation_Date_GC,ReportType,DataMode,$H308,FXMode)*Scale,"--"))</f>
        <v>--</v>
      </c>
      <c r="N308" s="2301" t="str">
        <f>IF(OR(N214=0,$G308=0),"--",IFERROR(_xll.ciqfunctions.udf.CIQ($G308,$I308,N122,Valuation_Date_GC,ReportType,DataMode,$H308,FXMode)*Scale,"--"))</f>
        <v>--</v>
      </c>
      <c r="O308" s="1471" t="str">
        <f>IF(OR(O214=0,$G308=0),"--",IFERROR(_xll.ciqfunctions.udf.CIQ($G308,$I308,O122,Valuation_Date_GC,ReportType,DataMode,$H308,FXMode)*Scale,"--"))</f>
        <v>--</v>
      </c>
      <c r="P308" s="2301" t="str">
        <f>IF(OR(P214=0,$G308=0),"--",IFERROR(_xll.ciqfunctions.udf.CIQ($G308,$I308,P122,Valuation_Date_GC,ReportType,DataMode,$H308,FXMode)*Scale,"--"))</f>
        <v>--</v>
      </c>
      <c r="R308" s="255"/>
      <c r="S308" s="1958" t="str">
        <f t="shared" si="84"/>
        <v>--</v>
      </c>
      <c r="T308" s="1779" t="s">
        <v>787</v>
      </c>
      <c r="U308" s="2133" t="str">
        <f t="shared" si="115"/>
        <v>--</v>
      </c>
      <c r="V308" s="2133" t="str">
        <f t="shared" si="115"/>
        <v>--</v>
      </c>
      <c r="W308" s="2133" t="str">
        <f t="shared" si="115"/>
        <v>--</v>
      </c>
      <c r="X308" s="2133" t="str">
        <f t="shared" si="115"/>
        <v>--</v>
      </c>
      <c r="Y308" s="2133" t="str">
        <f t="shared" si="115"/>
        <v>--</v>
      </c>
      <c r="Z308" s="2133" t="str">
        <f t="shared" si="115"/>
        <v>--</v>
      </c>
      <c r="AA308" s="2133" t="str">
        <f t="shared" si="115"/>
        <v>--</v>
      </c>
      <c r="AB308" s="2133" t="str">
        <f t="shared" si="115"/>
        <v>--</v>
      </c>
      <c r="AC308" s="2133" t="str">
        <f t="shared" si="115"/>
        <v>--</v>
      </c>
      <c r="AD308" s="2133" t="str">
        <f t="shared" si="115"/>
        <v>--</v>
      </c>
      <c r="AE308" s="2133" t="str">
        <f t="shared" si="115"/>
        <v>--</v>
      </c>
      <c r="AF308" s="2133" t="str">
        <f t="shared" si="115"/>
        <v>--</v>
      </c>
      <c r="AG308" s="2133" t="str">
        <f t="shared" si="115"/>
        <v>--</v>
      </c>
      <c r="AH308" s="2133" t="str">
        <f t="shared" si="115"/>
        <v>--</v>
      </c>
      <c r="AI308" s="2133" t="str">
        <f t="shared" si="115"/>
        <v>--</v>
      </c>
      <c r="AJ308" s="2133" t="str">
        <f t="shared" si="115"/>
        <v>--</v>
      </c>
      <c r="AK308" s="2133" t="str">
        <f t="shared" si="115"/>
        <v>--</v>
      </c>
      <c r="AL308" s="2133" t="str">
        <f t="shared" si="115"/>
        <v>--</v>
      </c>
      <c r="AM308" s="2133" t="str">
        <f t="shared" si="115"/>
        <v>--</v>
      </c>
      <c r="AN308" s="2133" t="str">
        <f t="shared" si="115"/>
        <v>--</v>
      </c>
      <c r="AO308" s="2133" t="str">
        <f t="shared" si="115"/>
        <v>--</v>
      </c>
      <c r="AP308" s="2133" t="str">
        <f t="shared" si="115"/>
        <v>--</v>
      </c>
      <c r="AQ308" s="2133" t="str">
        <f t="shared" si="115"/>
        <v>--</v>
      </c>
      <c r="AR308" s="2133" t="str">
        <f t="shared" si="115"/>
        <v>--</v>
      </c>
      <c r="AS308" s="2133" t="str">
        <f t="shared" si="115"/>
        <v>--</v>
      </c>
      <c r="AT308" s="2133" t="str">
        <f t="shared" si="115"/>
        <v>--</v>
      </c>
      <c r="AU308" s="2133" t="str">
        <f t="shared" si="115"/>
        <v>--</v>
      </c>
      <c r="AV308" s="2133" t="str">
        <f t="shared" si="115"/>
        <v>--</v>
      </c>
      <c r="AW308" s="2133" t="str">
        <f t="shared" si="115"/>
        <v>--</v>
      </c>
      <c r="AX308" s="2133" t="str">
        <f t="shared" si="115"/>
        <v>--</v>
      </c>
      <c r="AY308" s="2133" t="str">
        <f t="shared" si="115"/>
        <v>--</v>
      </c>
      <c r="AZ308" s="2133" t="str">
        <f t="shared" si="115"/>
        <v>--</v>
      </c>
      <c r="BA308" s="2133" t="str">
        <f t="shared" si="115"/>
        <v>--</v>
      </c>
      <c r="BB308" s="2133" t="str">
        <f t="shared" si="115"/>
        <v>--</v>
      </c>
      <c r="BC308" s="2133" t="str">
        <f t="shared" si="115"/>
        <v>--</v>
      </c>
      <c r="BD308" s="2133" t="str">
        <f t="shared" si="115"/>
        <v>--</v>
      </c>
      <c r="BE308" s="2133" t="str">
        <f t="shared" si="115"/>
        <v>--</v>
      </c>
      <c r="BF308" s="2133" t="str">
        <f t="shared" si="115"/>
        <v>--</v>
      </c>
      <c r="BG308" s="2133" t="str">
        <f t="shared" si="115"/>
        <v>--</v>
      </c>
      <c r="BH308" s="2133" t="str">
        <f t="shared" si="115"/>
        <v>--</v>
      </c>
      <c r="BI308" s="2133" t="str">
        <f t="shared" si="115"/>
        <v>--</v>
      </c>
      <c r="BJ308" s="2133" t="str">
        <f t="shared" si="115"/>
        <v>--</v>
      </c>
      <c r="BK308" s="2133" t="str">
        <f t="shared" si="115"/>
        <v>--</v>
      </c>
      <c r="BL308" s="2133" t="str">
        <f t="shared" si="115"/>
        <v>--</v>
      </c>
      <c r="BM308" s="2133" t="str">
        <f t="shared" si="115"/>
        <v>--</v>
      </c>
      <c r="BN308" s="2133" t="str">
        <f t="shared" si="115"/>
        <v>--</v>
      </c>
      <c r="BO308" s="2133" t="str">
        <f t="shared" si="115"/>
        <v>--</v>
      </c>
      <c r="BP308" s="2133" t="str">
        <f t="shared" si="115"/>
        <v>--</v>
      </c>
      <c r="BQ308" s="2133" t="str">
        <f t="shared" si="115"/>
        <v>--</v>
      </c>
      <c r="BR308" s="2133" t="str">
        <f t="shared" si="115"/>
        <v>--</v>
      </c>
      <c r="BS308" s="2133" t="str">
        <f t="shared" si="115"/>
        <v>--</v>
      </c>
      <c r="BT308" s="2133" t="str">
        <f t="shared" si="115"/>
        <v>--</v>
      </c>
      <c r="BU308" s="2133" t="str">
        <f t="shared" si="115"/>
        <v>--</v>
      </c>
      <c r="BV308" s="2133" t="str">
        <f t="shared" si="115"/>
        <v>--</v>
      </c>
      <c r="BW308" s="2133" t="str">
        <f t="shared" si="115"/>
        <v>--</v>
      </c>
      <c r="BX308" s="2133" t="str">
        <f t="shared" si="115"/>
        <v>--</v>
      </c>
      <c r="BY308" s="2133" t="str">
        <f t="shared" si="115"/>
        <v>--</v>
      </c>
      <c r="BZ308" s="2133" t="str">
        <f t="shared" si="115"/>
        <v>--</v>
      </c>
      <c r="CA308" s="2133" t="str">
        <f t="shared" si="115"/>
        <v>--</v>
      </c>
      <c r="CB308" s="2133" t="str">
        <f t="shared" si="115"/>
        <v>--</v>
      </c>
      <c r="CC308" s="2133" t="str">
        <f t="shared" si="115"/>
        <v>--</v>
      </c>
      <c r="CD308" s="2133" t="str">
        <f t="shared" si="115"/>
        <v>--</v>
      </c>
      <c r="CE308" s="2133" t="str">
        <f t="shared" si="115"/>
        <v>--</v>
      </c>
      <c r="CF308" s="2133" t="str">
        <f t="shared" si="115"/>
        <v>--</v>
      </c>
      <c r="CG308" s="2133" t="str">
        <f t="shared" ref="CG308:CV308" si="120">IFERROR(CG246/CG277,"--")</f>
        <v>--</v>
      </c>
      <c r="CH308" s="2133" t="str">
        <f t="shared" si="120"/>
        <v>--</v>
      </c>
      <c r="CI308" s="2133" t="str">
        <f t="shared" si="120"/>
        <v>--</v>
      </c>
      <c r="CJ308" s="2133" t="str">
        <f t="shared" si="120"/>
        <v>--</v>
      </c>
      <c r="CK308" s="2133" t="str">
        <f t="shared" si="120"/>
        <v>--</v>
      </c>
      <c r="CL308" s="2133" t="str">
        <f t="shared" si="120"/>
        <v>--</v>
      </c>
      <c r="CM308" s="2133" t="str">
        <f t="shared" si="120"/>
        <v>--</v>
      </c>
      <c r="CN308" s="2133" t="str">
        <f t="shared" si="120"/>
        <v>--</v>
      </c>
      <c r="CO308" s="2133" t="str">
        <f t="shared" si="120"/>
        <v>--</v>
      </c>
      <c r="CP308" s="2133" t="str">
        <f t="shared" si="120"/>
        <v>--</v>
      </c>
      <c r="CQ308" s="2133" t="str">
        <f t="shared" si="120"/>
        <v>--</v>
      </c>
      <c r="CR308" s="2133" t="str">
        <f t="shared" si="120"/>
        <v>--</v>
      </c>
      <c r="CS308" s="2133" t="str">
        <f t="shared" si="120"/>
        <v>--</v>
      </c>
      <c r="CT308" s="2133" t="str">
        <f t="shared" si="120"/>
        <v>--</v>
      </c>
      <c r="CU308" s="2133" t="str">
        <f t="shared" si="120"/>
        <v>--</v>
      </c>
      <c r="CV308" s="2133" t="str">
        <f t="shared" si="120"/>
        <v>--</v>
      </c>
      <c r="CW308" s="2133" t="str">
        <f t="shared" si="112"/>
        <v>--</v>
      </c>
      <c r="CX308" s="2133" t="str">
        <f t="shared" si="112"/>
        <v>--</v>
      </c>
      <c r="CY308" s="2133" t="str">
        <f t="shared" si="112"/>
        <v>--</v>
      </c>
      <c r="CZ308" s="2133" t="str">
        <f t="shared" si="112"/>
        <v>--</v>
      </c>
      <c r="DA308" s="2133" t="str">
        <f t="shared" si="112"/>
        <v>--</v>
      </c>
      <c r="DB308" s="2133" t="str">
        <f t="shared" si="112"/>
        <v>--</v>
      </c>
      <c r="DC308" s="2133" t="str">
        <f t="shared" si="112"/>
        <v>--</v>
      </c>
      <c r="DD308" s="2133" t="str">
        <f t="shared" si="112"/>
        <v>--</v>
      </c>
      <c r="DE308" s="2133" t="str">
        <f t="shared" si="112"/>
        <v>--</v>
      </c>
      <c r="DF308" s="2133" t="str">
        <f t="shared" si="112"/>
        <v>--</v>
      </c>
      <c r="DG308" s="2133" t="str">
        <f t="shared" si="112"/>
        <v>--</v>
      </c>
      <c r="DH308" s="2133" t="str">
        <f t="shared" si="112"/>
        <v>--</v>
      </c>
      <c r="DI308" s="2133" t="str">
        <f t="shared" si="112"/>
        <v>--</v>
      </c>
      <c r="DJ308" s="2133" t="str">
        <f t="shared" si="112"/>
        <v>--</v>
      </c>
      <c r="DK308" s="2133" t="str">
        <f t="shared" si="112"/>
        <v>--</v>
      </c>
      <c r="DL308" s="2133" t="str">
        <f t="shared" si="112"/>
        <v>--</v>
      </c>
      <c r="DM308" s="2133" t="str">
        <f t="shared" si="112"/>
        <v>--</v>
      </c>
      <c r="DN308" s="2133" t="str">
        <f t="shared" si="112"/>
        <v>--</v>
      </c>
      <c r="DO308" s="2133" t="str">
        <f t="shared" si="112"/>
        <v>--</v>
      </c>
      <c r="DP308" s="2133" t="str">
        <f t="shared" si="112"/>
        <v>--</v>
      </c>
      <c r="DQ308" s="2133" t="str">
        <f t="shared" si="112"/>
        <v>--</v>
      </c>
      <c r="DR308" s="2133" t="str">
        <f t="shared" si="112"/>
        <v>--</v>
      </c>
      <c r="DS308" s="2133" t="str">
        <f t="shared" si="112"/>
        <v>--</v>
      </c>
      <c r="DT308" s="2133" t="str">
        <f t="shared" si="112"/>
        <v>--</v>
      </c>
      <c r="DU308" s="2133" t="str">
        <f t="shared" si="112"/>
        <v>--</v>
      </c>
      <c r="DV308" s="2133" t="str">
        <f t="shared" si="112"/>
        <v>--</v>
      </c>
      <c r="DW308" s="2133" t="str">
        <f t="shared" si="112"/>
        <v>--</v>
      </c>
      <c r="DX308" s="2133" t="str">
        <f t="shared" si="112"/>
        <v>--</v>
      </c>
      <c r="DY308" s="2133" t="str">
        <f t="shared" si="112"/>
        <v>--</v>
      </c>
      <c r="DZ308" s="2133" t="str">
        <f t="shared" si="112"/>
        <v>--</v>
      </c>
      <c r="EA308" s="2133" t="str">
        <f t="shared" si="112"/>
        <v>--</v>
      </c>
      <c r="EB308" s="2133" t="str">
        <f t="shared" si="112"/>
        <v>--</v>
      </c>
      <c r="EC308" s="2133" t="str">
        <f t="shared" si="112"/>
        <v>--</v>
      </c>
      <c r="ED308" s="2133" t="str">
        <f t="shared" si="112"/>
        <v>--</v>
      </c>
      <c r="EE308" s="2133" t="str">
        <f t="shared" si="112"/>
        <v>--</v>
      </c>
      <c r="EF308" s="2133" t="str">
        <f t="shared" si="112"/>
        <v>--</v>
      </c>
      <c r="EG308" s="2133" t="str">
        <f t="shared" si="112"/>
        <v>--</v>
      </c>
      <c r="EH308" s="2133" t="str">
        <f t="shared" si="112"/>
        <v>--</v>
      </c>
      <c r="EI308" s="2133" t="str">
        <f t="shared" si="112"/>
        <v>--</v>
      </c>
      <c r="EJ308" s="2133" t="str">
        <f t="shared" si="112"/>
        <v>--</v>
      </c>
      <c r="EK308" s="2133" t="str">
        <f t="shared" si="112"/>
        <v>--</v>
      </c>
      <c r="EL308" s="2133" t="str">
        <f t="shared" si="112"/>
        <v>--</v>
      </c>
      <c r="EM308" s="2133" t="str">
        <f t="shared" si="112"/>
        <v>--</v>
      </c>
      <c r="EN308" s="2133" t="str">
        <f t="shared" si="112"/>
        <v>--</v>
      </c>
      <c r="EO308" s="2133" t="str">
        <f t="shared" si="112"/>
        <v>--</v>
      </c>
      <c r="EP308" s="2133" t="str">
        <f t="shared" si="112"/>
        <v>--</v>
      </c>
      <c r="EQ308" s="2133" t="str">
        <f t="shared" si="112"/>
        <v>--</v>
      </c>
      <c r="ER308" s="2133" t="str">
        <f t="shared" si="112"/>
        <v>--</v>
      </c>
      <c r="ES308" s="2133" t="str">
        <f t="shared" si="112"/>
        <v>--</v>
      </c>
      <c r="ET308" s="2133" t="str">
        <f t="shared" si="108"/>
        <v>--</v>
      </c>
      <c r="EU308" s="2133" t="str">
        <f t="shared" si="108"/>
        <v>--</v>
      </c>
      <c r="EV308" s="2133" t="str">
        <f t="shared" si="108"/>
        <v>--</v>
      </c>
      <c r="EW308" s="2133" t="str">
        <f t="shared" si="108"/>
        <v>--</v>
      </c>
      <c r="EX308" s="2133" t="str">
        <f t="shared" si="108"/>
        <v>--</v>
      </c>
      <c r="EY308" s="2133" t="str">
        <f t="shared" si="108"/>
        <v>--</v>
      </c>
      <c r="EZ308" s="2133" t="str">
        <f t="shared" si="108"/>
        <v>--</v>
      </c>
      <c r="FA308" s="2133" t="str">
        <f t="shared" si="108"/>
        <v>--</v>
      </c>
      <c r="FB308" s="2133" t="str">
        <f t="shared" si="108"/>
        <v>--</v>
      </c>
      <c r="FC308" s="2133" t="str">
        <f t="shared" si="108"/>
        <v>--</v>
      </c>
      <c r="FD308" s="2133" t="str">
        <f t="shared" si="108"/>
        <v>--</v>
      </c>
      <c r="FE308" s="2133" t="str">
        <f t="shared" si="108"/>
        <v>--</v>
      </c>
      <c r="FF308" s="2133" t="str">
        <f t="shared" si="108"/>
        <v>--</v>
      </c>
      <c r="FG308" s="2133" t="str">
        <f t="shared" si="108"/>
        <v>--</v>
      </c>
      <c r="FH308" s="2133" t="str">
        <f t="shared" si="108"/>
        <v>--</v>
      </c>
      <c r="FI308" s="2133" t="str">
        <f t="shared" si="108"/>
        <v>--</v>
      </c>
      <c r="FJ308" s="2133" t="str">
        <f t="shared" si="108"/>
        <v>--</v>
      </c>
      <c r="FK308" s="2133" t="str">
        <f t="shared" si="108"/>
        <v>--</v>
      </c>
      <c r="FL308" s="2133" t="str">
        <f t="shared" si="108"/>
        <v>--</v>
      </c>
      <c r="FM308" s="2133" t="str">
        <f t="shared" si="108"/>
        <v>--</v>
      </c>
      <c r="FN308" s="2133" t="str">
        <f t="shared" si="108"/>
        <v>--</v>
      </c>
      <c r="FO308" s="2133" t="str">
        <f t="shared" si="108"/>
        <v>--</v>
      </c>
      <c r="FP308" s="2133" t="str">
        <f t="shared" si="108"/>
        <v>--</v>
      </c>
      <c r="FQ308" s="2133" t="str">
        <f t="shared" si="108"/>
        <v>--</v>
      </c>
      <c r="FR308" s="2133" t="str">
        <f t="shared" si="108"/>
        <v>--</v>
      </c>
      <c r="FS308" s="2133" t="str">
        <f t="shared" si="108"/>
        <v>--</v>
      </c>
      <c r="FT308" s="2133" t="str">
        <f t="shared" si="108"/>
        <v>--</v>
      </c>
      <c r="FU308" s="2133" t="str">
        <f t="shared" si="108"/>
        <v>--</v>
      </c>
      <c r="FV308" s="2133" t="str">
        <f t="shared" si="108"/>
        <v>--</v>
      </c>
      <c r="FW308" s="2133" t="str">
        <f t="shared" si="108"/>
        <v>--</v>
      </c>
      <c r="FX308" s="2133" t="str">
        <f t="shared" si="108"/>
        <v>--</v>
      </c>
      <c r="FY308" s="2133" t="str">
        <f t="shared" si="108"/>
        <v>--</v>
      </c>
      <c r="FZ308" s="2133" t="str">
        <f t="shared" si="108"/>
        <v>--</v>
      </c>
      <c r="GA308" s="2133" t="str">
        <f t="shared" si="108"/>
        <v>--</v>
      </c>
      <c r="GB308" s="2133" t="str">
        <f t="shared" si="108"/>
        <v>--</v>
      </c>
      <c r="GC308" s="2133" t="str">
        <f t="shared" si="108"/>
        <v>--</v>
      </c>
      <c r="GD308" s="2133" t="str">
        <f t="shared" si="108"/>
        <v>--</v>
      </c>
      <c r="GE308" s="2133" t="str">
        <f t="shared" si="108"/>
        <v>--</v>
      </c>
      <c r="GF308" s="2133" t="str">
        <f t="shared" si="108"/>
        <v>--</v>
      </c>
      <c r="GG308" s="2133" t="str">
        <f t="shared" si="108"/>
        <v>--</v>
      </c>
      <c r="GH308" s="2133" t="str">
        <f t="shared" si="108"/>
        <v>--</v>
      </c>
      <c r="GI308" s="2133" t="str">
        <f t="shared" si="108"/>
        <v>--</v>
      </c>
      <c r="GJ308" s="2133" t="str">
        <f t="shared" si="108"/>
        <v>--</v>
      </c>
      <c r="GK308" s="2133" t="str">
        <f t="shared" si="108"/>
        <v>--</v>
      </c>
      <c r="GL308" s="2133" t="str">
        <f t="shared" si="108"/>
        <v>--</v>
      </c>
      <c r="GM308" s="2133" t="str">
        <f>IFERROR(GM246/GM277,"--")</f>
        <v>--</v>
      </c>
      <c r="GN308" s="2133" t="str">
        <f>IFERROR(GN246/GN277,"--")</f>
        <v>--</v>
      </c>
      <c r="GO308" s="2133" t="str">
        <f>IFERROR(GO246/GO277,"--")</f>
        <v>--</v>
      </c>
      <c r="GP308" s="2133" t="str">
        <f t="shared" ref="GP308:JA310" si="121">IFERROR(GP246/GP277,"--")</f>
        <v>--</v>
      </c>
      <c r="GQ308" s="2133" t="str">
        <f t="shared" si="121"/>
        <v>--</v>
      </c>
      <c r="GR308" s="2133" t="str">
        <f t="shared" si="121"/>
        <v>--</v>
      </c>
      <c r="GS308" s="2133" t="str">
        <f t="shared" si="121"/>
        <v>--</v>
      </c>
      <c r="GT308" s="2133" t="str">
        <f t="shared" si="121"/>
        <v>--</v>
      </c>
      <c r="GU308" s="2133" t="str">
        <f t="shared" si="121"/>
        <v>--</v>
      </c>
      <c r="GV308" s="2133" t="str">
        <f t="shared" si="121"/>
        <v>--</v>
      </c>
      <c r="GW308" s="2133" t="str">
        <f t="shared" si="121"/>
        <v>--</v>
      </c>
      <c r="GX308" s="2133" t="str">
        <f t="shared" si="121"/>
        <v>--</v>
      </c>
      <c r="GY308" s="2133" t="str">
        <f t="shared" si="121"/>
        <v>--</v>
      </c>
      <c r="GZ308" s="2133" t="str">
        <f t="shared" si="121"/>
        <v>--</v>
      </c>
      <c r="HA308" s="2133" t="str">
        <f t="shared" si="121"/>
        <v>--</v>
      </c>
      <c r="HB308" s="2133" t="str">
        <f t="shared" si="121"/>
        <v>--</v>
      </c>
      <c r="HC308" s="2133" t="str">
        <f t="shared" si="121"/>
        <v>--</v>
      </c>
      <c r="HD308" s="2133" t="str">
        <f t="shared" si="121"/>
        <v>--</v>
      </c>
      <c r="HE308" s="2133" t="str">
        <f t="shared" si="121"/>
        <v>--</v>
      </c>
      <c r="HF308" s="2133" t="str">
        <f t="shared" si="121"/>
        <v>--</v>
      </c>
      <c r="HG308" s="2133" t="str">
        <f t="shared" si="121"/>
        <v>--</v>
      </c>
      <c r="HH308" s="2133" t="str">
        <f t="shared" si="121"/>
        <v>--</v>
      </c>
      <c r="HI308" s="2133" t="str">
        <f t="shared" si="121"/>
        <v>--</v>
      </c>
      <c r="HJ308" s="2133" t="str">
        <f t="shared" si="121"/>
        <v>--</v>
      </c>
      <c r="HK308" s="2133" t="str">
        <f t="shared" si="121"/>
        <v>--</v>
      </c>
      <c r="HL308" s="2133" t="str">
        <f t="shared" si="121"/>
        <v>--</v>
      </c>
      <c r="HM308" s="2133" t="str">
        <f t="shared" si="121"/>
        <v>--</v>
      </c>
      <c r="HN308" s="2133" t="str">
        <f t="shared" si="121"/>
        <v>--</v>
      </c>
      <c r="HO308" s="2133" t="str">
        <f t="shared" si="121"/>
        <v>--</v>
      </c>
      <c r="HP308" s="2133" t="str">
        <f t="shared" si="121"/>
        <v>--</v>
      </c>
      <c r="HQ308" s="2133" t="str">
        <f t="shared" si="121"/>
        <v>--</v>
      </c>
      <c r="HR308" s="2133" t="str">
        <f t="shared" si="121"/>
        <v>--</v>
      </c>
      <c r="HS308" s="2133" t="str">
        <f t="shared" si="121"/>
        <v>--</v>
      </c>
      <c r="HT308" s="2133" t="str">
        <f t="shared" si="121"/>
        <v>--</v>
      </c>
      <c r="HU308" s="2133" t="str">
        <f t="shared" si="121"/>
        <v>--</v>
      </c>
      <c r="HV308" s="2133" t="str">
        <f t="shared" si="121"/>
        <v>--</v>
      </c>
      <c r="HW308" s="2133" t="str">
        <f t="shared" si="121"/>
        <v>--</v>
      </c>
      <c r="HX308" s="2133" t="str">
        <f t="shared" si="121"/>
        <v>--</v>
      </c>
      <c r="HY308" s="2133" t="str">
        <f t="shared" si="121"/>
        <v>--</v>
      </c>
      <c r="HZ308" s="2133" t="str">
        <f t="shared" si="121"/>
        <v>--</v>
      </c>
      <c r="IA308" s="2133" t="str">
        <f t="shared" si="121"/>
        <v>--</v>
      </c>
      <c r="IB308" s="2133" t="str">
        <f t="shared" si="121"/>
        <v>--</v>
      </c>
      <c r="IC308" s="2133" t="str">
        <f t="shared" si="121"/>
        <v>--</v>
      </c>
      <c r="ID308" s="2133" t="str">
        <f t="shared" si="121"/>
        <v>--</v>
      </c>
      <c r="IE308" s="2133" t="str">
        <f t="shared" si="121"/>
        <v>--</v>
      </c>
      <c r="IF308" s="2133" t="str">
        <f t="shared" si="121"/>
        <v>--</v>
      </c>
      <c r="IG308" s="2133" t="str">
        <f t="shared" si="121"/>
        <v>--</v>
      </c>
      <c r="IH308" s="2133" t="str">
        <f t="shared" si="121"/>
        <v>--</v>
      </c>
      <c r="II308" s="2133" t="str">
        <f t="shared" si="121"/>
        <v>--</v>
      </c>
      <c r="IJ308" s="2133" t="str">
        <f t="shared" si="121"/>
        <v>--</v>
      </c>
      <c r="IK308" s="2133" t="str">
        <f t="shared" si="121"/>
        <v>--</v>
      </c>
      <c r="IL308" s="2133" t="str">
        <f t="shared" si="121"/>
        <v>--</v>
      </c>
      <c r="IM308" s="2133" t="str">
        <f t="shared" si="121"/>
        <v>--</v>
      </c>
      <c r="IN308" s="2133" t="str">
        <f t="shared" si="121"/>
        <v>--</v>
      </c>
      <c r="IO308" s="2133" t="str">
        <f t="shared" si="121"/>
        <v>--</v>
      </c>
      <c r="IP308" s="2133" t="str">
        <f t="shared" si="121"/>
        <v>--</v>
      </c>
      <c r="IQ308" s="2133" t="str">
        <f t="shared" si="121"/>
        <v>--</v>
      </c>
      <c r="IR308" s="2133" t="str">
        <f t="shared" si="121"/>
        <v>--</v>
      </c>
      <c r="IS308" s="2133" t="str">
        <f t="shared" si="121"/>
        <v>--</v>
      </c>
      <c r="IT308" s="2133" t="str">
        <f t="shared" si="121"/>
        <v>--</v>
      </c>
      <c r="IU308" s="2133" t="str">
        <f t="shared" si="121"/>
        <v>--</v>
      </c>
      <c r="IV308" s="2133" t="str">
        <f t="shared" si="121"/>
        <v>--</v>
      </c>
      <c r="IW308" s="2133" t="str">
        <f t="shared" si="121"/>
        <v>--</v>
      </c>
      <c r="IX308" s="2133" t="str">
        <f t="shared" si="121"/>
        <v>--</v>
      </c>
      <c r="IY308" s="2133" t="str">
        <f t="shared" si="121"/>
        <v>--</v>
      </c>
      <c r="IZ308" s="2133" t="str">
        <f t="shared" si="121"/>
        <v>--</v>
      </c>
      <c r="JA308" s="2133" t="str">
        <f t="shared" si="121"/>
        <v>--</v>
      </c>
      <c r="JB308" s="2133" t="str">
        <f t="shared" si="114"/>
        <v>--</v>
      </c>
      <c r="JC308" s="2133" t="str">
        <f t="shared" si="114"/>
        <v>--</v>
      </c>
      <c r="JD308" s="2133" t="str">
        <f t="shared" si="114"/>
        <v>--</v>
      </c>
      <c r="JE308" s="2133" t="str">
        <f t="shared" si="114"/>
        <v>--</v>
      </c>
      <c r="JF308" s="2133" t="str">
        <f t="shared" si="114"/>
        <v>--</v>
      </c>
      <c r="JG308" s="2133" t="str">
        <f t="shared" si="114"/>
        <v>--</v>
      </c>
      <c r="JH308" s="2133" t="str">
        <f t="shared" si="114"/>
        <v>--</v>
      </c>
      <c r="JI308" s="2133" t="str">
        <f t="shared" si="114"/>
        <v>--</v>
      </c>
      <c r="JJ308" s="2133" t="str">
        <f t="shared" si="114"/>
        <v>--</v>
      </c>
      <c r="JK308" s="2133" t="str">
        <f t="shared" si="114"/>
        <v>--</v>
      </c>
      <c r="JL308" s="2133" t="str">
        <f t="shared" si="114"/>
        <v>--</v>
      </c>
      <c r="JM308" s="2133" t="str">
        <f t="shared" si="114"/>
        <v>--</v>
      </c>
      <c r="JN308" s="2133" t="str">
        <f t="shared" si="114"/>
        <v>--</v>
      </c>
      <c r="JO308" s="2133" t="str">
        <f t="shared" si="114"/>
        <v>--</v>
      </c>
      <c r="JP308" s="2133" t="str">
        <f t="shared" si="114"/>
        <v>--</v>
      </c>
      <c r="JQ308" s="2133" t="str">
        <f t="shared" si="114"/>
        <v>--</v>
      </c>
      <c r="JR308" s="2133" t="str">
        <f t="shared" si="114"/>
        <v>--</v>
      </c>
      <c r="JS308" s="2133" t="str">
        <f t="shared" si="114"/>
        <v>--</v>
      </c>
      <c r="JT308" s="2133" t="str">
        <f t="shared" si="110"/>
        <v>--</v>
      </c>
      <c r="JU308" s="2133" t="str">
        <f t="shared" si="110"/>
        <v>--</v>
      </c>
      <c r="JV308" s="2133" t="str">
        <f t="shared" si="110"/>
        <v>--</v>
      </c>
      <c r="JW308" s="2133" t="str">
        <f t="shared" si="110"/>
        <v>--</v>
      </c>
      <c r="JX308" s="2133" t="str">
        <f t="shared" si="110"/>
        <v>--</v>
      </c>
      <c r="JY308" s="2133" t="str">
        <f t="shared" si="110"/>
        <v>--</v>
      </c>
      <c r="JZ308" s="2133" t="str">
        <f t="shared" si="110"/>
        <v>--</v>
      </c>
      <c r="KA308" s="2133" t="str">
        <f t="shared" si="110"/>
        <v>--</v>
      </c>
      <c r="KB308" s="2133" t="str">
        <f t="shared" si="110"/>
        <v>--</v>
      </c>
    </row>
    <row r="309" spans="1:288" s="89" customFormat="1" ht="13.9">
      <c r="A309" s="269" t="str">
        <f t="shared" si="58"/>
        <v>n</v>
      </c>
      <c r="B309" s="2060"/>
      <c r="D309" s="801"/>
      <c r="E309" s="1505">
        <v>24</v>
      </c>
      <c r="F309" s="21" t="str">
        <f>F$152</f>
        <v>--</v>
      </c>
      <c r="G309" s="1441">
        <f>G$152</f>
        <v>0</v>
      </c>
      <c r="H309" s="1441" t="str">
        <f>H$152</f>
        <v>--</v>
      </c>
      <c r="I309" s="89" t="s">
        <v>786</v>
      </c>
      <c r="K309" s="2301" t="str">
        <f>IF(OR(K215=0,$G309=0),"--",IFERROR(_xll.ciqfunctions.udf.CIQ($G309,$I309,K123,Valuation_Date_GC,ReportType,DataMode,$H309,FXMode)*Scale,"--"))</f>
        <v>--</v>
      </c>
      <c r="L309" s="2301" t="str">
        <f>IF(OR(L215=0,$G309=0),"--",IFERROR(_xll.ciqfunctions.udf.CIQ($G309,$I309,L123,Valuation_Date_GC,ReportType,DataMode,$H309,FXMode)*Scale,"--"))</f>
        <v>--</v>
      </c>
      <c r="M309" s="2301" t="str">
        <f>IF(OR(M215=0,$G309=0),"--",IFERROR(_xll.ciqfunctions.udf.CIQ($G309,$I309,M123,Valuation_Date_GC,ReportType,DataMode,$H309,FXMode)*Scale,"--"))</f>
        <v>--</v>
      </c>
      <c r="N309" s="2301" t="str">
        <f>IF(OR(N215=0,$G309=0),"--",IFERROR(_xll.ciqfunctions.udf.CIQ($G309,$I309,N123,Valuation_Date_GC,ReportType,DataMode,$H309,FXMode)*Scale,"--"))</f>
        <v>--</v>
      </c>
      <c r="O309" s="1471" t="str">
        <f>IF(OR(O215=0,$G309=0),"--",IFERROR(_xll.ciqfunctions.udf.CIQ($G309,$I309,O123,Valuation_Date_GC,ReportType,DataMode,$H309,FXMode)*Scale,"--"))</f>
        <v>--</v>
      </c>
      <c r="P309" s="2301" t="str">
        <f>IF(OR(P215=0,$G309=0),"--",IFERROR(_xll.ciqfunctions.udf.CIQ($G309,$I309,P123,Valuation_Date_GC,ReportType,DataMode,$H309,FXMode)*Scale,"--"))</f>
        <v>--</v>
      </c>
      <c r="R309" s="255"/>
      <c r="S309" s="1958" t="str">
        <f t="shared" si="84"/>
        <v>--</v>
      </c>
      <c r="T309" s="1779" t="s">
        <v>787</v>
      </c>
      <c r="U309" s="2133" t="str">
        <f t="shared" si="115"/>
        <v>--</v>
      </c>
      <c r="V309" s="2133" t="str">
        <f t="shared" si="115"/>
        <v>--</v>
      </c>
      <c r="W309" s="2133" t="str">
        <f t="shared" si="115"/>
        <v>--</v>
      </c>
      <c r="X309" s="2133" t="str">
        <f t="shared" si="115"/>
        <v>--</v>
      </c>
      <c r="Y309" s="2133" t="str">
        <f t="shared" si="115"/>
        <v>--</v>
      </c>
      <c r="Z309" s="2133" t="str">
        <f t="shared" si="115"/>
        <v>--</v>
      </c>
      <c r="AA309" s="2133" t="str">
        <f t="shared" si="115"/>
        <v>--</v>
      </c>
      <c r="AB309" s="2133" t="str">
        <f t="shared" si="115"/>
        <v>--</v>
      </c>
      <c r="AC309" s="2133" t="str">
        <f t="shared" si="115"/>
        <v>--</v>
      </c>
      <c r="AD309" s="2133" t="str">
        <f t="shared" si="115"/>
        <v>--</v>
      </c>
      <c r="AE309" s="2133" t="str">
        <f t="shared" si="115"/>
        <v>--</v>
      </c>
      <c r="AF309" s="2133" t="str">
        <f t="shared" si="115"/>
        <v>--</v>
      </c>
      <c r="AG309" s="2133" t="str">
        <f t="shared" si="115"/>
        <v>--</v>
      </c>
      <c r="AH309" s="2133" t="str">
        <f t="shared" si="115"/>
        <v>--</v>
      </c>
      <c r="AI309" s="2133" t="str">
        <f t="shared" si="115"/>
        <v>--</v>
      </c>
      <c r="AJ309" s="2133" t="str">
        <f t="shared" si="115"/>
        <v>--</v>
      </c>
      <c r="AK309" s="2133" t="str">
        <f t="shared" si="115"/>
        <v>--</v>
      </c>
      <c r="AL309" s="2133" t="str">
        <f t="shared" si="115"/>
        <v>--</v>
      </c>
      <c r="AM309" s="2133" t="str">
        <f t="shared" si="115"/>
        <v>--</v>
      </c>
      <c r="AN309" s="2133" t="str">
        <f t="shared" si="115"/>
        <v>--</v>
      </c>
      <c r="AO309" s="2133" t="str">
        <f t="shared" si="115"/>
        <v>--</v>
      </c>
      <c r="AP309" s="2133" t="str">
        <f t="shared" si="115"/>
        <v>--</v>
      </c>
      <c r="AQ309" s="2133" t="str">
        <f t="shared" si="115"/>
        <v>--</v>
      </c>
      <c r="AR309" s="2133" t="str">
        <f t="shared" si="115"/>
        <v>--</v>
      </c>
      <c r="AS309" s="2133" t="str">
        <f t="shared" si="115"/>
        <v>--</v>
      </c>
      <c r="AT309" s="2133" t="str">
        <f t="shared" si="115"/>
        <v>--</v>
      </c>
      <c r="AU309" s="2133" t="str">
        <f t="shared" si="115"/>
        <v>--</v>
      </c>
      <c r="AV309" s="2133" t="str">
        <f t="shared" si="115"/>
        <v>--</v>
      </c>
      <c r="AW309" s="2133" t="str">
        <f t="shared" si="115"/>
        <v>--</v>
      </c>
      <c r="AX309" s="2133" t="str">
        <f t="shared" si="115"/>
        <v>--</v>
      </c>
      <c r="AY309" s="2133" t="str">
        <f t="shared" si="115"/>
        <v>--</v>
      </c>
      <c r="AZ309" s="2133" t="str">
        <f t="shared" si="115"/>
        <v>--</v>
      </c>
      <c r="BA309" s="2133" t="str">
        <f t="shared" si="115"/>
        <v>--</v>
      </c>
      <c r="BB309" s="2133" t="str">
        <f t="shared" si="115"/>
        <v>--</v>
      </c>
      <c r="BC309" s="2133" t="str">
        <f t="shared" si="115"/>
        <v>--</v>
      </c>
      <c r="BD309" s="2133" t="str">
        <f t="shared" si="115"/>
        <v>--</v>
      </c>
      <c r="BE309" s="2133" t="str">
        <f t="shared" si="115"/>
        <v>--</v>
      </c>
      <c r="BF309" s="2133" t="str">
        <f t="shared" si="115"/>
        <v>--</v>
      </c>
      <c r="BG309" s="2133" t="str">
        <f t="shared" si="115"/>
        <v>--</v>
      </c>
      <c r="BH309" s="2133" t="str">
        <f t="shared" si="115"/>
        <v>--</v>
      </c>
      <c r="BI309" s="2133" t="str">
        <f t="shared" si="115"/>
        <v>--</v>
      </c>
      <c r="BJ309" s="2133" t="str">
        <f t="shared" si="115"/>
        <v>--</v>
      </c>
      <c r="BK309" s="2133" t="str">
        <f t="shared" si="115"/>
        <v>--</v>
      </c>
      <c r="BL309" s="2133" t="str">
        <f t="shared" si="115"/>
        <v>--</v>
      </c>
      <c r="BM309" s="2133" t="str">
        <f t="shared" si="115"/>
        <v>--</v>
      </c>
      <c r="BN309" s="2133" t="str">
        <f t="shared" si="115"/>
        <v>--</v>
      </c>
      <c r="BO309" s="2133" t="str">
        <f t="shared" si="115"/>
        <v>--</v>
      </c>
      <c r="BP309" s="2133" t="str">
        <f t="shared" si="115"/>
        <v>--</v>
      </c>
      <c r="BQ309" s="2133" t="str">
        <f t="shared" si="115"/>
        <v>--</v>
      </c>
      <c r="BR309" s="2133" t="str">
        <f t="shared" si="115"/>
        <v>--</v>
      </c>
      <c r="BS309" s="2133" t="str">
        <f t="shared" si="115"/>
        <v>--</v>
      </c>
      <c r="BT309" s="2133" t="str">
        <f t="shared" si="115"/>
        <v>--</v>
      </c>
      <c r="BU309" s="2133" t="str">
        <f t="shared" si="115"/>
        <v>--</v>
      </c>
      <c r="BV309" s="2133" t="str">
        <f t="shared" si="115"/>
        <v>--</v>
      </c>
      <c r="BW309" s="2133" t="str">
        <f t="shared" si="115"/>
        <v>--</v>
      </c>
      <c r="BX309" s="2133" t="str">
        <f t="shared" si="115"/>
        <v>--</v>
      </c>
      <c r="BY309" s="2133" t="str">
        <f t="shared" si="115"/>
        <v>--</v>
      </c>
      <c r="BZ309" s="2133" t="str">
        <f t="shared" si="115"/>
        <v>--</v>
      </c>
      <c r="CA309" s="2133" t="str">
        <f t="shared" si="115"/>
        <v>--</v>
      </c>
      <c r="CB309" s="2133" t="str">
        <f t="shared" si="115"/>
        <v>--</v>
      </c>
      <c r="CC309" s="2133" t="str">
        <f t="shared" si="115"/>
        <v>--</v>
      </c>
      <c r="CD309" s="2133" t="str">
        <f t="shared" si="115"/>
        <v>--</v>
      </c>
      <c r="CE309" s="2133" t="str">
        <f t="shared" si="115"/>
        <v>--</v>
      </c>
      <c r="CF309" s="2133" t="str">
        <f>IFERROR(CF247/CF278,"--")</f>
        <v>--</v>
      </c>
      <c r="CG309" s="2133" t="str">
        <f t="shared" ref="CG309:CV309" si="122">IFERROR(CG247/CG278,"--")</f>
        <v>--</v>
      </c>
      <c r="CH309" s="2133" t="str">
        <f t="shared" si="122"/>
        <v>--</v>
      </c>
      <c r="CI309" s="2133" t="str">
        <f t="shared" si="122"/>
        <v>--</v>
      </c>
      <c r="CJ309" s="2133" t="str">
        <f t="shared" si="122"/>
        <v>--</v>
      </c>
      <c r="CK309" s="2133" t="str">
        <f t="shared" si="122"/>
        <v>--</v>
      </c>
      <c r="CL309" s="2133" t="str">
        <f t="shared" si="122"/>
        <v>--</v>
      </c>
      <c r="CM309" s="2133" t="str">
        <f t="shared" si="122"/>
        <v>--</v>
      </c>
      <c r="CN309" s="2133" t="str">
        <f t="shared" si="122"/>
        <v>--</v>
      </c>
      <c r="CO309" s="2133" t="str">
        <f t="shared" si="122"/>
        <v>--</v>
      </c>
      <c r="CP309" s="2133" t="str">
        <f t="shared" si="122"/>
        <v>--</v>
      </c>
      <c r="CQ309" s="2133" t="str">
        <f t="shared" si="122"/>
        <v>--</v>
      </c>
      <c r="CR309" s="2133" t="str">
        <f t="shared" si="122"/>
        <v>--</v>
      </c>
      <c r="CS309" s="2133" t="str">
        <f t="shared" si="122"/>
        <v>--</v>
      </c>
      <c r="CT309" s="2133" t="str">
        <f t="shared" si="122"/>
        <v>--</v>
      </c>
      <c r="CU309" s="2133" t="str">
        <f t="shared" si="122"/>
        <v>--</v>
      </c>
      <c r="CV309" s="2133" t="str">
        <f t="shared" si="122"/>
        <v>--</v>
      </c>
      <c r="CW309" s="2133" t="str">
        <f t="shared" si="112"/>
        <v>--</v>
      </c>
      <c r="CX309" s="2133" t="str">
        <f t="shared" si="112"/>
        <v>--</v>
      </c>
      <c r="CY309" s="2133" t="str">
        <f t="shared" si="112"/>
        <v>--</v>
      </c>
      <c r="CZ309" s="2133" t="str">
        <f t="shared" si="112"/>
        <v>--</v>
      </c>
      <c r="DA309" s="2133" t="str">
        <f t="shared" si="112"/>
        <v>--</v>
      </c>
      <c r="DB309" s="2133" t="str">
        <f t="shared" si="112"/>
        <v>--</v>
      </c>
      <c r="DC309" s="2133" t="str">
        <f t="shared" si="112"/>
        <v>--</v>
      </c>
      <c r="DD309" s="2133" t="str">
        <f t="shared" si="112"/>
        <v>--</v>
      </c>
      <c r="DE309" s="2133" t="str">
        <f t="shared" si="112"/>
        <v>--</v>
      </c>
      <c r="DF309" s="2133" t="str">
        <f t="shared" si="112"/>
        <v>--</v>
      </c>
      <c r="DG309" s="2133" t="str">
        <f t="shared" si="112"/>
        <v>--</v>
      </c>
      <c r="DH309" s="2133" t="str">
        <f t="shared" si="112"/>
        <v>--</v>
      </c>
      <c r="DI309" s="2133" t="str">
        <f t="shared" si="112"/>
        <v>--</v>
      </c>
      <c r="DJ309" s="2133" t="str">
        <f t="shared" si="112"/>
        <v>--</v>
      </c>
      <c r="DK309" s="2133" t="str">
        <f t="shared" si="112"/>
        <v>--</v>
      </c>
      <c r="DL309" s="2133" t="str">
        <f t="shared" si="112"/>
        <v>--</v>
      </c>
      <c r="DM309" s="2133" t="str">
        <f t="shared" si="112"/>
        <v>--</v>
      </c>
      <c r="DN309" s="2133" t="str">
        <f t="shared" si="112"/>
        <v>--</v>
      </c>
      <c r="DO309" s="2133" t="str">
        <f t="shared" si="112"/>
        <v>--</v>
      </c>
      <c r="DP309" s="2133" t="str">
        <f t="shared" si="112"/>
        <v>--</v>
      </c>
      <c r="DQ309" s="2133" t="str">
        <f t="shared" si="112"/>
        <v>--</v>
      </c>
      <c r="DR309" s="2133" t="str">
        <f t="shared" si="112"/>
        <v>--</v>
      </c>
      <c r="DS309" s="2133" t="str">
        <f t="shared" si="112"/>
        <v>--</v>
      </c>
      <c r="DT309" s="2133" t="str">
        <f t="shared" si="112"/>
        <v>--</v>
      </c>
      <c r="DU309" s="2133" t="str">
        <f t="shared" si="112"/>
        <v>--</v>
      </c>
      <c r="DV309" s="2133" t="str">
        <f t="shared" si="112"/>
        <v>--</v>
      </c>
      <c r="DW309" s="2133" t="str">
        <f t="shared" si="112"/>
        <v>--</v>
      </c>
      <c r="DX309" s="2133" t="str">
        <f t="shared" si="112"/>
        <v>--</v>
      </c>
      <c r="DY309" s="2133" t="str">
        <f t="shared" si="112"/>
        <v>--</v>
      </c>
      <c r="DZ309" s="2133" t="str">
        <f t="shared" si="112"/>
        <v>--</v>
      </c>
      <c r="EA309" s="2133" t="str">
        <f t="shared" si="112"/>
        <v>--</v>
      </c>
      <c r="EB309" s="2133" t="str">
        <f t="shared" si="112"/>
        <v>--</v>
      </c>
      <c r="EC309" s="2133" t="str">
        <f t="shared" si="112"/>
        <v>--</v>
      </c>
      <c r="ED309" s="2133" t="str">
        <f t="shared" si="112"/>
        <v>--</v>
      </c>
      <c r="EE309" s="2133" t="str">
        <f t="shared" si="112"/>
        <v>--</v>
      </c>
      <c r="EF309" s="2133" t="str">
        <f t="shared" si="112"/>
        <v>--</v>
      </c>
      <c r="EG309" s="2133" t="str">
        <f t="shared" si="112"/>
        <v>--</v>
      </c>
      <c r="EH309" s="2133" t="str">
        <f t="shared" si="112"/>
        <v>--</v>
      </c>
      <c r="EI309" s="2133" t="str">
        <f t="shared" si="112"/>
        <v>--</v>
      </c>
      <c r="EJ309" s="2133" t="str">
        <f t="shared" si="112"/>
        <v>--</v>
      </c>
      <c r="EK309" s="2133" t="str">
        <f t="shared" si="112"/>
        <v>--</v>
      </c>
      <c r="EL309" s="2133" t="str">
        <f t="shared" si="112"/>
        <v>--</v>
      </c>
      <c r="EM309" s="2133" t="str">
        <f t="shared" si="112"/>
        <v>--</v>
      </c>
      <c r="EN309" s="2133" t="str">
        <f t="shared" si="112"/>
        <v>--</v>
      </c>
      <c r="EO309" s="2133" t="str">
        <f t="shared" si="112"/>
        <v>--</v>
      </c>
      <c r="EP309" s="2133" t="str">
        <f t="shared" si="112"/>
        <v>--</v>
      </c>
      <c r="EQ309" s="2133" t="str">
        <f t="shared" si="112"/>
        <v>--</v>
      </c>
      <c r="ER309" s="2133" t="str">
        <f t="shared" si="112"/>
        <v>--</v>
      </c>
      <c r="ES309" s="2133" t="str">
        <f t="shared" si="112"/>
        <v>--</v>
      </c>
      <c r="ET309" s="2133" t="str">
        <f t="shared" si="108"/>
        <v>--</v>
      </c>
      <c r="EU309" s="2133" t="str">
        <f t="shared" si="108"/>
        <v>--</v>
      </c>
      <c r="EV309" s="2133" t="str">
        <f t="shared" si="108"/>
        <v>--</v>
      </c>
      <c r="EW309" s="2133" t="str">
        <f t="shared" si="108"/>
        <v>--</v>
      </c>
      <c r="EX309" s="2133" t="str">
        <f t="shared" si="108"/>
        <v>--</v>
      </c>
      <c r="EY309" s="2133" t="str">
        <f t="shared" si="108"/>
        <v>--</v>
      </c>
      <c r="EZ309" s="2133" t="str">
        <f t="shared" si="108"/>
        <v>--</v>
      </c>
      <c r="FA309" s="2133" t="str">
        <f t="shared" si="108"/>
        <v>--</v>
      </c>
      <c r="FB309" s="2133" t="str">
        <f t="shared" si="108"/>
        <v>--</v>
      </c>
      <c r="FC309" s="2133" t="str">
        <f t="shared" si="108"/>
        <v>--</v>
      </c>
      <c r="FD309" s="2133" t="str">
        <f t="shared" si="108"/>
        <v>--</v>
      </c>
      <c r="FE309" s="2133" t="str">
        <f t="shared" ref="FE309:HE310" si="123">IFERROR(FE247/FE278,"--")</f>
        <v>--</v>
      </c>
      <c r="FF309" s="2133" t="str">
        <f t="shared" si="123"/>
        <v>--</v>
      </c>
      <c r="FG309" s="2133" t="str">
        <f t="shared" si="123"/>
        <v>--</v>
      </c>
      <c r="FH309" s="2133" t="str">
        <f t="shared" si="123"/>
        <v>--</v>
      </c>
      <c r="FI309" s="2133" t="str">
        <f t="shared" si="123"/>
        <v>--</v>
      </c>
      <c r="FJ309" s="2133" t="str">
        <f t="shared" si="123"/>
        <v>--</v>
      </c>
      <c r="FK309" s="2133" t="str">
        <f t="shared" si="123"/>
        <v>--</v>
      </c>
      <c r="FL309" s="2133" t="str">
        <f t="shared" si="123"/>
        <v>--</v>
      </c>
      <c r="FM309" s="2133" t="str">
        <f t="shared" si="123"/>
        <v>--</v>
      </c>
      <c r="FN309" s="2133" t="str">
        <f t="shared" si="123"/>
        <v>--</v>
      </c>
      <c r="FO309" s="2133" t="str">
        <f t="shared" si="123"/>
        <v>--</v>
      </c>
      <c r="FP309" s="2133" t="str">
        <f t="shared" si="123"/>
        <v>--</v>
      </c>
      <c r="FQ309" s="2133" t="str">
        <f t="shared" si="123"/>
        <v>--</v>
      </c>
      <c r="FR309" s="2133" t="str">
        <f t="shared" si="123"/>
        <v>--</v>
      </c>
      <c r="FS309" s="2133" t="str">
        <f t="shared" si="123"/>
        <v>--</v>
      </c>
      <c r="FT309" s="2133" t="str">
        <f t="shared" si="123"/>
        <v>--</v>
      </c>
      <c r="FU309" s="2133" t="str">
        <f t="shared" si="123"/>
        <v>--</v>
      </c>
      <c r="FV309" s="2133" t="str">
        <f t="shared" si="123"/>
        <v>--</v>
      </c>
      <c r="FW309" s="2133" t="str">
        <f t="shared" si="123"/>
        <v>--</v>
      </c>
      <c r="FX309" s="2133" t="str">
        <f t="shared" si="123"/>
        <v>--</v>
      </c>
      <c r="FY309" s="2133" t="str">
        <f t="shared" si="123"/>
        <v>--</v>
      </c>
      <c r="FZ309" s="2133" t="str">
        <f t="shared" si="123"/>
        <v>--</v>
      </c>
      <c r="GA309" s="2133" t="str">
        <f t="shared" si="123"/>
        <v>--</v>
      </c>
      <c r="GB309" s="2133" t="str">
        <f t="shared" si="123"/>
        <v>--</v>
      </c>
      <c r="GC309" s="2133" t="str">
        <f t="shared" si="123"/>
        <v>--</v>
      </c>
      <c r="GD309" s="2133" t="str">
        <f t="shared" si="123"/>
        <v>--</v>
      </c>
      <c r="GE309" s="2133" t="str">
        <f t="shared" si="123"/>
        <v>--</v>
      </c>
      <c r="GF309" s="2133" t="str">
        <f t="shared" si="123"/>
        <v>--</v>
      </c>
      <c r="GG309" s="2133" t="str">
        <f t="shared" si="123"/>
        <v>--</v>
      </c>
      <c r="GH309" s="2133" t="str">
        <f t="shared" si="123"/>
        <v>--</v>
      </c>
      <c r="GI309" s="2133" t="str">
        <f t="shared" si="123"/>
        <v>--</v>
      </c>
      <c r="GJ309" s="2133" t="str">
        <f t="shared" si="123"/>
        <v>--</v>
      </c>
      <c r="GK309" s="2133" t="str">
        <f t="shared" si="123"/>
        <v>--</v>
      </c>
      <c r="GL309" s="2133" t="str">
        <f t="shared" si="123"/>
        <v>--</v>
      </c>
      <c r="GM309" s="2133" t="str">
        <f t="shared" si="123"/>
        <v>--</v>
      </c>
      <c r="GN309" s="2133" t="str">
        <f t="shared" si="123"/>
        <v>--</v>
      </c>
      <c r="GO309" s="2133" t="str">
        <f t="shared" si="123"/>
        <v>--</v>
      </c>
      <c r="GP309" s="2133" t="str">
        <f t="shared" si="123"/>
        <v>--</v>
      </c>
      <c r="GQ309" s="2133" t="str">
        <f t="shared" si="123"/>
        <v>--</v>
      </c>
      <c r="GR309" s="2133" t="str">
        <f t="shared" si="123"/>
        <v>--</v>
      </c>
      <c r="GS309" s="2133" t="str">
        <f t="shared" si="123"/>
        <v>--</v>
      </c>
      <c r="GT309" s="2133" t="str">
        <f t="shared" si="123"/>
        <v>--</v>
      </c>
      <c r="GU309" s="2133" t="str">
        <f t="shared" si="123"/>
        <v>--</v>
      </c>
      <c r="GV309" s="2133" t="str">
        <f t="shared" si="123"/>
        <v>--</v>
      </c>
      <c r="GW309" s="2133" t="str">
        <f t="shared" si="123"/>
        <v>--</v>
      </c>
      <c r="GX309" s="2133" t="str">
        <f t="shared" si="123"/>
        <v>--</v>
      </c>
      <c r="GY309" s="2133" t="str">
        <f t="shared" si="123"/>
        <v>--</v>
      </c>
      <c r="GZ309" s="2133" t="str">
        <f t="shared" si="123"/>
        <v>--</v>
      </c>
      <c r="HA309" s="2133" t="str">
        <f t="shared" si="123"/>
        <v>--</v>
      </c>
      <c r="HB309" s="2133" t="str">
        <f t="shared" si="123"/>
        <v>--</v>
      </c>
      <c r="HC309" s="2133" t="str">
        <f t="shared" si="123"/>
        <v>--</v>
      </c>
      <c r="HD309" s="2133" t="str">
        <f t="shared" si="123"/>
        <v>--</v>
      </c>
      <c r="HE309" s="2133" t="str">
        <f t="shared" si="123"/>
        <v>--</v>
      </c>
      <c r="HF309" s="2133" t="str">
        <f t="shared" si="121"/>
        <v>--</v>
      </c>
      <c r="HG309" s="2133" t="str">
        <f t="shared" si="121"/>
        <v>--</v>
      </c>
      <c r="HH309" s="2133" t="str">
        <f t="shared" si="121"/>
        <v>--</v>
      </c>
      <c r="HI309" s="2133" t="str">
        <f t="shared" si="121"/>
        <v>--</v>
      </c>
      <c r="HJ309" s="2133" t="str">
        <f t="shared" si="121"/>
        <v>--</v>
      </c>
      <c r="HK309" s="2133" t="str">
        <f t="shared" si="121"/>
        <v>--</v>
      </c>
      <c r="HL309" s="2133" t="str">
        <f t="shared" si="121"/>
        <v>--</v>
      </c>
      <c r="HM309" s="2133" t="str">
        <f t="shared" si="121"/>
        <v>--</v>
      </c>
      <c r="HN309" s="2133" t="str">
        <f t="shared" si="121"/>
        <v>--</v>
      </c>
      <c r="HO309" s="2133" t="str">
        <f t="shared" si="121"/>
        <v>--</v>
      </c>
      <c r="HP309" s="2133" t="str">
        <f t="shared" si="121"/>
        <v>--</v>
      </c>
      <c r="HQ309" s="2133" t="str">
        <f t="shared" si="121"/>
        <v>--</v>
      </c>
      <c r="HR309" s="2133" t="str">
        <f t="shared" si="121"/>
        <v>--</v>
      </c>
      <c r="HS309" s="2133" t="str">
        <f t="shared" si="121"/>
        <v>--</v>
      </c>
      <c r="HT309" s="2133" t="str">
        <f t="shared" si="121"/>
        <v>--</v>
      </c>
      <c r="HU309" s="2133" t="str">
        <f t="shared" si="121"/>
        <v>--</v>
      </c>
      <c r="HV309" s="2133" t="str">
        <f t="shared" si="121"/>
        <v>--</v>
      </c>
      <c r="HW309" s="2133" t="str">
        <f t="shared" si="121"/>
        <v>--</v>
      </c>
      <c r="HX309" s="2133" t="str">
        <f t="shared" si="121"/>
        <v>--</v>
      </c>
      <c r="HY309" s="2133" t="str">
        <f t="shared" si="121"/>
        <v>--</v>
      </c>
      <c r="HZ309" s="2133" t="str">
        <f t="shared" si="121"/>
        <v>--</v>
      </c>
      <c r="IA309" s="2133" t="str">
        <f t="shared" si="121"/>
        <v>--</v>
      </c>
      <c r="IB309" s="2133" t="str">
        <f t="shared" si="121"/>
        <v>--</v>
      </c>
      <c r="IC309" s="2133" t="str">
        <f t="shared" si="121"/>
        <v>--</v>
      </c>
      <c r="ID309" s="2133" t="str">
        <f t="shared" si="121"/>
        <v>--</v>
      </c>
      <c r="IE309" s="2133" t="str">
        <f t="shared" si="121"/>
        <v>--</v>
      </c>
      <c r="IF309" s="2133" t="str">
        <f t="shared" si="121"/>
        <v>--</v>
      </c>
      <c r="IG309" s="2133" t="str">
        <f t="shared" si="121"/>
        <v>--</v>
      </c>
      <c r="IH309" s="2133" t="str">
        <f t="shared" si="121"/>
        <v>--</v>
      </c>
      <c r="II309" s="2133" t="str">
        <f t="shared" si="121"/>
        <v>--</v>
      </c>
      <c r="IJ309" s="2133" t="str">
        <f t="shared" si="121"/>
        <v>--</v>
      </c>
      <c r="IK309" s="2133" t="str">
        <f t="shared" si="121"/>
        <v>--</v>
      </c>
      <c r="IL309" s="2133" t="str">
        <f t="shared" si="121"/>
        <v>--</v>
      </c>
      <c r="IM309" s="2133" t="str">
        <f t="shared" si="121"/>
        <v>--</v>
      </c>
      <c r="IN309" s="2133" t="str">
        <f t="shared" si="121"/>
        <v>--</v>
      </c>
      <c r="IO309" s="2133" t="str">
        <f t="shared" si="121"/>
        <v>--</v>
      </c>
      <c r="IP309" s="2133" t="str">
        <f t="shared" si="121"/>
        <v>--</v>
      </c>
      <c r="IQ309" s="2133" t="str">
        <f t="shared" si="121"/>
        <v>--</v>
      </c>
      <c r="IR309" s="2133" t="str">
        <f t="shared" si="121"/>
        <v>--</v>
      </c>
      <c r="IS309" s="2133" t="str">
        <f t="shared" si="121"/>
        <v>--</v>
      </c>
      <c r="IT309" s="2133" t="str">
        <f t="shared" si="121"/>
        <v>--</v>
      </c>
      <c r="IU309" s="2133" t="str">
        <f t="shared" si="121"/>
        <v>--</v>
      </c>
      <c r="IV309" s="2133" t="str">
        <f t="shared" si="121"/>
        <v>--</v>
      </c>
      <c r="IW309" s="2133" t="str">
        <f t="shared" si="121"/>
        <v>--</v>
      </c>
      <c r="IX309" s="2133" t="str">
        <f t="shared" si="121"/>
        <v>--</v>
      </c>
      <c r="IY309" s="2133" t="str">
        <f t="shared" si="121"/>
        <v>--</v>
      </c>
      <c r="IZ309" s="2133" t="str">
        <f t="shared" si="121"/>
        <v>--</v>
      </c>
      <c r="JA309" s="2133" t="str">
        <f t="shared" si="121"/>
        <v>--</v>
      </c>
      <c r="JB309" s="2133" t="str">
        <f t="shared" si="114"/>
        <v>--</v>
      </c>
      <c r="JC309" s="2133" t="str">
        <f t="shared" si="114"/>
        <v>--</v>
      </c>
      <c r="JD309" s="2133" t="str">
        <f t="shared" si="114"/>
        <v>--</v>
      </c>
      <c r="JE309" s="2133" t="str">
        <f t="shared" si="114"/>
        <v>--</v>
      </c>
      <c r="JF309" s="2133" t="str">
        <f t="shared" si="114"/>
        <v>--</v>
      </c>
      <c r="JG309" s="2133" t="str">
        <f t="shared" si="114"/>
        <v>--</v>
      </c>
      <c r="JH309" s="2133" t="str">
        <f t="shared" si="114"/>
        <v>--</v>
      </c>
      <c r="JI309" s="2133" t="str">
        <f t="shared" si="114"/>
        <v>--</v>
      </c>
      <c r="JJ309" s="2133" t="str">
        <f t="shared" si="114"/>
        <v>--</v>
      </c>
      <c r="JK309" s="2133" t="str">
        <f t="shared" si="114"/>
        <v>--</v>
      </c>
      <c r="JL309" s="2133" t="str">
        <f t="shared" si="114"/>
        <v>--</v>
      </c>
      <c r="JM309" s="2133" t="str">
        <f t="shared" si="114"/>
        <v>--</v>
      </c>
      <c r="JN309" s="2133" t="str">
        <f t="shared" si="114"/>
        <v>--</v>
      </c>
      <c r="JO309" s="2133" t="str">
        <f t="shared" si="114"/>
        <v>--</v>
      </c>
      <c r="JP309" s="2133" t="str">
        <f t="shared" si="114"/>
        <v>--</v>
      </c>
      <c r="JQ309" s="2133" t="str">
        <f t="shared" si="114"/>
        <v>--</v>
      </c>
      <c r="JR309" s="2133" t="str">
        <f t="shared" si="114"/>
        <v>--</v>
      </c>
      <c r="JS309" s="2133" t="str">
        <f t="shared" si="114"/>
        <v>--</v>
      </c>
      <c r="JT309" s="2133" t="str">
        <f t="shared" si="110"/>
        <v>--</v>
      </c>
      <c r="JU309" s="2133" t="str">
        <f t="shared" si="110"/>
        <v>--</v>
      </c>
      <c r="JV309" s="2133" t="str">
        <f t="shared" si="110"/>
        <v>--</v>
      </c>
      <c r="JW309" s="2133" t="str">
        <f t="shared" si="110"/>
        <v>--</v>
      </c>
      <c r="JX309" s="2133" t="str">
        <f t="shared" si="110"/>
        <v>--</v>
      </c>
      <c r="JY309" s="2133" t="str">
        <f t="shared" si="110"/>
        <v>--</v>
      </c>
      <c r="JZ309" s="2133" t="str">
        <f t="shared" si="110"/>
        <v>--</v>
      </c>
      <c r="KA309" s="2133" t="str">
        <f t="shared" si="110"/>
        <v>--</v>
      </c>
      <c r="KB309" s="2133" t="str">
        <f t="shared" si="110"/>
        <v>--</v>
      </c>
    </row>
    <row r="310" spans="1:288" s="89" customFormat="1" ht="13.9">
      <c r="A310" s="269" t="str">
        <f t="shared" si="58"/>
        <v>n</v>
      </c>
      <c r="B310" s="2060"/>
      <c r="D310" s="801"/>
      <c r="E310" s="1505">
        <v>25</v>
      </c>
      <c r="F310" s="21" t="str">
        <f>F$153</f>
        <v>--</v>
      </c>
      <c r="G310" s="1441">
        <f>G$153</f>
        <v>0</v>
      </c>
      <c r="H310" s="1441" t="str">
        <f>H$153</f>
        <v>--</v>
      </c>
      <c r="I310" s="89" t="s">
        <v>786</v>
      </c>
      <c r="K310" s="2301" t="str">
        <f>IF(OR(K216=0,$G310=0),"--",IFERROR(_xll.ciqfunctions.udf.CIQ($G310,$I310,K124,Valuation_Date_GC,ReportType,DataMode,$H310,FXMode)*Scale,"--"))</f>
        <v>--</v>
      </c>
      <c r="L310" s="2301" t="str">
        <f>IF(OR(L216=0,$G310=0),"--",IFERROR(_xll.ciqfunctions.udf.CIQ($G310,$I310,L124,Valuation_Date_GC,ReportType,DataMode,$H310,FXMode)*Scale,"--"))</f>
        <v>--</v>
      </c>
      <c r="M310" s="2301" t="str">
        <f>IF(OR(M216=0,$G310=0),"--",IFERROR(_xll.ciqfunctions.udf.CIQ($G310,$I310,M124,Valuation_Date_GC,ReportType,DataMode,$H310,FXMode)*Scale,"--"))</f>
        <v>--</v>
      </c>
      <c r="N310" s="2301" t="str">
        <f>IF(OR(N216=0,$G310=0),"--",IFERROR(_xll.ciqfunctions.udf.CIQ($G310,$I310,N124,Valuation_Date_GC,ReportType,DataMode,$H310,FXMode)*Scale,"--"))</f>
        <v>--</v>
      </c>
      <c r="O310" s="1471" t="str">
        <f>IF(OR(O216=0,$G310=0),"--",IFERROR(_xll.ciqfunctions.udf.CIQ($G310,$I310,O124,Valuation_Date_GC,ReportType,DataMode,$H310,FXMode)*Scale,"--"))</f>
        <v>--</v>
      </c>
      <c r="P310" s="2301" t="str">
        <f>IF(OR(P216=0,$G310=0),"--",IFERROR(_xll.ciqfunctions.udf.CIQ($G310,$I310,P124,Valuation_Date_GC,ReportType,DataMode,$H310,FXMode)*Scale,"--"))</f>
        <v>--</v>
      </c>
      <c r="R310" s="255"/>
      <c r="S310" s="1959" t="str">
        <f t="shared" si="84"/>
        <v>--</v>
      </c>
      <c r="T310" s="1779" t="s">
        <v>787</v>
      </c>
      <c r="U310" s="2133" t="str">
        <f t="shared" ref="U310:CF310" si="124">IFERROR(U248/U279,"--")</f>
        <v>--</v>
      </c>
      <c r="V310" s="2133" t="str">
        <f t="shared" si="124"/>
        <v>--</v>
      </c>
      <c r="W310" s="2133" t="str">
        <f t="shared" si="124"/>
        <v>--</v>
      </c>
      <c r="X310" s="2133" t="str">
        <f t="shared" si="124"/>
        <v>--</v>
      </c>
      <c r="Y310" s="2133" t="str">
        <f t="shared" si="124"/>
        <v>--</v>
      </c>
      <c r="Z310" s="2133" t="str">
        <f t="shared" si="124"/>
        <v>--</v>
      </c>
      <c r="AA310" s="2133" t="str">
        <f t="shared" si="124"/>
        <v>--</v>
      </c>
      <c r="AB310" s="2133" t="str">
        <f t="shared" si="124"/>
        <v>--</v>
      </c>
      <c r="AC310" s="2133" t="str">
        <f t="shared" si="124"/>
        <v>--</v>
      </c>
      <c r="AD310" s="2133" t="str">
        <f t="shared" si="124"/>
        <v>--</v>
      </c>
      <c r="AE310" s="2133" t="str">
        <f t="shared" si="124"/>
        <v>--</v>
      </c>
      <c r="AF310" s="2133" t="str">
        <f t="shared" si="124"/>
        <v>--</v>
      </c>
      <c r="AG310" s="2133" t="str">
        <f t="shared" si="124"/>
        <v>--</v>
      </c>
      <c r="AH310" s="2133" t="str">
        <f t="shared" si="124"/>
        <v>--</v>
      </c>
      <c r="AI310" s="2133" t="str">
        <f t="shared" si="124"/>
        <v>--</v>
      </c>
      <c r="AJ310" s="2133" t="str">
        <f t="shared" si="124"/>
        <v>--</v>
      </c>
      <c r="AK310" s="2133" t="str">
        <f t="shared" si="124"/>
        <v>--</v>
      </c>
      <c r="AL310" s="2133" t="str">
        <f t="shared" si="124"/>
        <v>--</v>
      </c>
      <c r="AM310" s="2133" t="str">
        <f t="shared" si="124"/>
        <v>--</v>
      </c>
      <c r="AN310" s="2133" t="str">
        <f t="shared" si="124"/>
        <v>--</v>
      </c>
      <c r="AO310" s="2133" t="str">
        <f t="shared" si="124"/>
        <v>--</v>
      </c>
      <c r="AP310" s="2133" t="str">
        <f t="shared" si="124"/>
        <v>--</v>
      </c>
      <c r="AQ310" s="2133" t="str">
        <f t="shared" si="124"/>
        <v>--</v>
      </c>
      <c r="AR310" s="2133" t="str">
        <f t="shared" si="124"/>
        <v>--</v>
      </c>
      <c r="AS310" s="2133" t="str">
        <f t="shared" si="124"/>
        <v>--</v>
      </c>
      <c r="AT310" s="2133" t="str">
        <f t="shared" si="124"/>
        <v>--</v>
      </c>
      <c r="AU310" s="2133" t="str">
        <f t="shared" si="124"/>
        <v>--</v>
      </c>
      <c r="AV310" s="2133" t="str">
        <f t="shared" si="124"/>
        <v>--</v>
      </c>
      <c r="AW310" s="2133" t="str">
        <f t="shared" si="124"/>
        <v>--</v>
      </c>
      <c r="AX310" s="2133" t="str">
        <f t="shared" si="124"/>
        <v>--</v>
      </c>
      <c r="AY310" s="2133" t="str">
        <f t="shared" si="124"/>
        <v>--</v>
      </c>
      <c r="AZ310" s="2133" t="str">
        <f t="shared" si="124"/>
        <v>--</v>
      </c>
      <c r="BA310" s="2133" t="str">
        <f t="shared" si="124"/>
        <v>--</v>
      </c>
      <c r="BB310" s="2133" t="str">
        <f t="shared" si="124"/>
        <v>--</v>
      </c>
      <c r="BC310" s="2133" t="str">
        <f t="shared" si="124"/>
        <v>--</v>
      </c>
      <c r="BD310" s="2133" t="str">
        <f t="shared" si="124"/>
        <v>--</v>
      </c>
      <c r="BE310" s="2133" t="str">
        <f t="shared" si="124"/>
        <v>--</v>
      </c>
      <c r="BF310" s="2133" t="str">
        <f t="shared" si="124"/>
        <v>--</v>
      </c>
      <c r="BG310" s="2133" t="str">
        <f t="shared" si="124"/>
        <v>--</v>
      </c>
      <c r="BH310" s="2133" t="str">
        <f t="shared" si="124"/>
        <v>--</v>
      </c>
      <c r="BI310" s="2133" t="str">
        <f t="shared" si="124"/>
        <v>--</v>
      </c>
      <c r="BJ310" s="2133" t="str">
        <f t="shared" si="124"/>
        <v>--</v>
      </c>
      <c r="BK310" s="2133" t="str">
        <f t="shared" si="124"/>
        <v>--</v>
      </c>
      <c r="BL310" s="2133" t="str">
        <f t="shared" si="124"/>
        <v>--</v>
      </c>
      <c r="BM310" s="2133" t="str">
        <f t="shared" si="124"/>
        <v>--</v>
      </c>
      <c r="BN310" s="2133" t="str">
        <f t="shared" si="124"/>
        <v>--</v>
      </c>
      <c r="BO310" s="2133" t="str">
        <f t="shared" si="124"/>
        <v>--</v>
      </c>
      <c r="BP310" s="2133" t="str">
        <f t="shared" si="124"/>
        <v>--</v>
      </c>
      <c r="BQ310" s="2133" t="str">
        <f t="shared" si="124"/>
        <v>--</v>
      </c>
      <c r="BR310" s="2133" t="str">
        <f t="shared" si="124"/>
        <v>--</v>
      </c>
      <c r="BS310" s="2133" t="str">
        <f t="shared" si="124"/>
        <v>--</v>
      </c>
      <c r="BT310" s="2133" t="str">
        <f t="shared" si="124"/>
        <v>--</v>
      </c>
      <c r="BU310" s="2133" t="str">
        <f t="shared" si="124"/>
        <v>--</v>
      </c>
      <c r="BV310" s="2133" t="str">
        <f t="shared" si="124"/>
        <v>--</v>
      </c>
      <c r="BW310" s="2133" t="str">
        <f t="shared" si="124"/>
        <v>--</v>
      </c>
      <c r="BX310" s="2133" t="str">
        <f t="shared" si="124"/>
        <v>--</v>
      </c>
      <c r="BY310" s="2133" t="str">
        <f t="shared" si="124"/>
        <v>--</v>
      </c>
      <c r="BZ310" s="2133" t="str">
        <f t="shared" si="124"/>
        <v>--</v>
      </c>
      <c r="CA310" s="2133" t="str">
        <f t="shared" si="124"/>
        <v>--</v>
      </c>
      <c r="CB310" s="2133" t="str">
        <f t="shared" si="124"/>
        <v>--</v>
      </c>
      <c r="CC310" s="2133" t="str">
        <f t="shared" si="124"/>
        <v>--</v>
      </c>
      <c r="CD310" s="2133" t="str">
        <f t="shared" si="124"/>
        <v>--</v>
      </c>
      <c r="CE310" s="2133" t="str">
        <f t="shared" si="124"/>
        <v>--</v>
      </c>
      <c r="CF310" s="2133" t="str">
        <f t="shared" si="124"/>
        <v>--</v>
      </c>
      <c r="CG310" s="2133" t="str">
        <f t="shared" ref="CG310:CV310" si="125">IFERROR(CG248/CG279,"--")</f>
        <v>--</v>
      </c>
      <c r="CH310" s="2133" t="str">
        <f t="shared" si="125"/>
        <v>--</v>
      </c>
      <c r="CI310" s="2133" t="str">
        <f t="shared" si="125"/>
        <v>--</v>
      </c>
      <c r="CJ310" s="2133" t="str">
        <f t="shared" si="125"/>
        <v>--</v>
      </c>
      <c r="CK310" s="2133" t="str">
        <f t="shared" si="125"/>
        <v>--</v>
      </c>
      <c r="CL310" s="2133" t="str">
        <f t="shared" si="125"/>
        <v>--</v>
      </c>
      <c r="CM310" s="2133" t="str">
        <f t="shared" si="125"/>
        <v>--</v>
      </c>
      <c r="CN310" s="2133" t="str">
        <f t="shared" si="125"/>
        <v>--</v>
      </c>
      <c r="CO310" s="2133" t="str">
        <f t="shared" si="125"/>
        <v>--</v>
      </c>
      <c r="CP310" s="2133" t="str">
        <f t="shared" si="125"/>
        <v>--</v>
      </c>
      <c r="CQ310" s="2133" t="str">
        <f t="shared" si="125"/>
        <v>--</v>
      </c>
      <c r="CR310" s="2133" t="str">
        <f t="shared" si="125"/>
        <v>--</v>
      </c>
      <c r="CS310" s="2133" t="str">
        <f t="shared" si="125"/>
        <v>--</v>
      </c>
      <c r="CT310" s="2133" t="str">
        <f t="shared" si="125"/>
        <v>--</v>
      </c>
      <c r="CU310" s="2133" t="str">
        <f t="shared" si="125"/>
        <v>--</v>
      </c>
      <c r="CV310" s="2133" t="str">
        <f t="shared" si="125"/>
        <v>--</v>
      </c>
      <c r="CW310" s="2133" t="str">
        <f t="shared" si="112"/>
        <v>--</v>
      </c>
      <c r="CX310" s="2133" t="str">
        <f t="shared" si="112"/>
        <v>--</v>
      </c>
      <c r="CY310" s="2133" t="str">
        <f t="shared" si="112"/>
        <v>--</v>
      </c>
      <c r="CZ310" s="2133" t="str">
        <f t="shared" si="112"/>
        <v>--</v>
      </c>
      <c r="DA310" s="2133" t="str">
        <f t="shared" si="112"/>
        <v>--</v>
      </c>
      <c r="DB310" s="2133" t="str">
        <f t="shared" si="112"/>
        <v>--</v>
      </c>
      <c r="DC310" s="2133" t="str">
        <f t="shared" si="112"/>
        <v>--</v>
      </c>
      <c r="DD310" s="2133" t="str">
        <f t="shared" si="112"/>
        <v>--</v>
      </c>
      <c r="DE310" s="2133" t="str">
        <f t="shared" si="112"/>
        <v>--</v>
      </c>
      <c r="DF310" s="2133" t="str">
        <f t="shared" si="112"/>
        <v>--</v>
      </c>
      <c r="DG310" s="2133" t="str">
        <f t="shared" ref="DG310:FR310" si="126">IFERROR(DG248/DG279,"--")</f>
        <v>--</v>
      </c>
      <c r="DH310" s="2133" t="str">
        <f t="shared" si="126"/>
        <v>--</v>
      </c>
      <c r="DI310" s="2133" t="str">
        <f t="shared" si="126"/>
        <v>--</v>
      </c>
      <c r="DJ310" s="2133" t="str">
        <f t="shared" si="126"/>
        <v>--</v>
      </c>
      <c r="DK310" s="2133" t="str">
        <f t="shared" si="126"/>
        <v>--</v>
      </c>
      <c r="DL310" s="2133" t="str">
        <f t="shared" si="126"/>
        <v>--</v>
      </c>
      <c r="DM310" s="2133" t="str">
        <f t="shared" si="126"/>
        <v>--</v>
      </c>
      <c r="DN310" s="2133" t="str">
        <f t="shared" si="126"/>
        <v>--</v>
      </c>
      <c r="DO310" s="2133" t="str">
        <f t="shared" si="126"/>
        <v>--</v>
      </c>
      <c r="DP310" s="2133" t="str">
        <f t="shared" si="126"/>
        <v>--</v>
      </c>
      <c r="DQ310" s="2133" t="str">
        <f t="shared" si="126"/>
        <v>--</v>
      </c>
      <c r="DR310" s="2133" t="str">
        <f t="shared" si="126"/>
        <v>--</v>
      </c>
      <c r="DS310" s="2133" t="str">
        <f t="shared" si="126"/>
        <v>--</v>
      </c>
      <c r="DT310" s="2133" t="str">
        <f t="shared" si="126"/>
        <v>--</v>
      </c>
      <c r="DU310" s="2133" t="str">
        <f t="shared" si="126"/>
        <v>--</v>
      </c>
      <c r="DV310" s="2133" t="str">
        <f t="shared" si="126"/>
        <v>--</v>
      </c>
      <c r="DW310" s="2133" t="str">
        <f t="shared" si="126"/>
        <v>--</v>
      </c>
      <c r="DX310" s="2133" t="str">
        <f t="shared" si="126"/>
        <v>--</v>
      </c>
      <c r="DY310" s="2133" t="str">
        <f t="shared" si="126"/>
        <v>--</v>
      </c>
      <c r="DZ310" s="2133" t="str">
        <f t="shared" si="126"/>
        <v>--</v>
      </c>
      <c r="EA310" s="2133" t="str">
        <f t="shared" si="126"/>
        <v>--</v>
      </c>
      <c r="EB310" s="2133" t="str">
        <f t="shared" si="126"/>
        <v>--</v>
      </c>
      <c r="EC310" s="2133" t="str">
        <f t="shared" si="126"/>
        <v>--</v>
      </c>
      <c r="ED310" s="2133" t="str">
        <f t="shared" si="126"/>
        <v>--</v>
      </c>
      <c r="EE310" s="2133" t="str">
        <f t="shared" si="126"/>
        <v>--</v>
      </c>
      <c r="EF310" s="2133" t="str">
        <f t="shared" si="126"/>
        <v>--</v>
      </c>
      <c r="EG310" s="2133" t="str">
        <f t="shared" si="126"/>
        <v>--</v>
      </c>
      <c r="EH310" s="2133" t="str">
        <f t="shared" si="126"/>
        <v>--</v>
      </c>
      <c r="EI310" s="2133" t="str">
        <f t="shared" si="126"/>
        <v>--</v>
      </c>
      <c r="EJ310" s="2133" t="str">
        <f t="shared" si="126"/>
        <v>--</v>
      </c>
      <c r="EK310" s="2133" t="str">
        <f t="shared" si="126"/>
        <v>--</v>
      </c>
      <c r="EL310" s="2133" t="str">
        <f t="shared" si="126"/>
        <v>--</v>
      </c>
      <c r="EM310" s="2133" t="str">
        <f t="shared" si="126"/>
        <v>--</v>
      </c>
      <c r="EN310" s="2133" t="str">
        <f t="shared" si="126"/>
        <v>--</v>
      </c>
      <c r="EO310" s="2133" t="str">
        <f t="shared" si="126"/>
        <v>--</v>
      </c>
      <c r="EP310" s="2133" t="str">
        <f t="shared" si="126"/>
        <v>--</v>
      </c>
      <c r="EQ310" s="2133" t="str">
        <f t="shared" si="126"/>
        <v>--</v>
      </c>
      <c r="ER310" s="2133" t="str">
        <f t="shared" si="126"/>
        <v>--</v>
      </c>
      <c r="ES310" s="2133" t="str">
        <f t="shared" si="126"/>
        <v>--</v>
      </c>
      <c r="ET310" s="2133" t="str">
        <f t="shared" si="126"/>
        <v>--</v>
      </c>
      <c r="EU310" s="2133" t="str">
        <f t="shared" si="126"/>
        <v>--</v>
      </c>
      <c r="EV310" s="2133" t="str">
        <f t="shared" si="126"/>
        <v>--</v>
      </c>
      <c r="EW310" s="2133" t="str">
        <f t="shared" si="126"/>
        <v>--</v>
      </c>
      <c r="EX310" s="2133" t="str">
        <f t="shared" si="126"/>
        <v>--</v>
      </c>
      <c r="EY310" s="2133" t="str">
        <f t="shared" si="126"/>
        <v>--</v>
      </c>
      <c r="EZ310" s="2133" t="str">
        <f t="shared" si="126"/>
        <v>--</v>
      </c>
      <c r="FA310" s="2133" t="str">
        <f t="shared" si="126"/>
        <v>--</v>
      </c>
      <c r="FB310" s="2133" t="str">
        <f t="shared" si="126"/>
        <v>--</v>
      </c>
      <c r="FC310" s="2133" t="str">
        <f t="shared" si="126"/>
        <v>--</v>
      </c>
      <c r="FD310" s="2133" t="str">
        <f t="shared" si="126"/>
        <v>--</v>
      </c>
      <c r="FE310" s="2133" t="str">
        <f t="shared" si="126"/>
        <v>--</v>
      </c>
      <c r="FF310" s="2133" t="str">
        <f t="shared" si="126"/>
        <v>--</v>
      </c>
      <c r="FG310" s="2133" t="str">
        <f t="shared" si="126"/>
        <v>--</v>
      </c>
      <c r="FH310" s="2133" t="str">
        <f t="shared" si="126"/>
        <v>--</v>
      </c>
      <c r="FI310" s="2133" t="str">
        <f t="shared" si="126"/>
        <v>--</v>
      </c>
      <c r="FJ310" s="2133" t="str">
        <f t="shared" si="126"/>
        <v>--</v>
      </c>
      <c r="FK310" s="2133" t="str">
        <f t="shared" si="126"/>
        <v>--</v>
      </c>
      <c r="FL310" s="2133" t="str">
        <f t="shared" si="126"/>
        <v>--</v>
      </c>
      <c r="FM310" s="2133" t="str">
        <f t="shared" si="126"/>
        <v>--</v>
      </c>
      <c r="FN310" s="2133" t="str">
        <f t="shared" si="126"/>
        <v>--</v>
      </c>
      <c r="FO310" s="2133" t="str">
        <f t="shared" si="126"/>
        <v>--</v>
      </c>
      <c r="FP310" s="2133" t="str">
        <f t="shared" si="126"/>
        <v>--</v>
      </c>
      <c r="FQ310" s="2133" t="str">
        <f t="shared" si="126"/>
        <v>--</v>
      </c>
      <c r="FR310" s="2133" t="str">
        <f t="shared" si="126"/>
        <v>--</v>
      </c>
      <c r="FS310" s="2133" t="str">
        <f t="shared" si="123"/>
        <v>--</v>
      </c>
      <c r="FT310" s="2133" t="str">
        <f t="shared" si="123"/>
        <v>--</v>
      </c>
      <c r="FU310" s="2133" t="str">
        <f t="shared" si="123"/>
        <v>--</v>
      </c>
      <c r="FV310" s="2133" t="str">
        <f t="shared" si="123"/>
        <v>--</v>
      </c>
      <c r="FW310" s="2133" t="str">
        <f t="shared" si="123"/>
        <v>--</v>
      </c>
      <c r="FX310" s="2133" t="str">
        <f t="shared" si="123"/>
        <v>--</v>
      </c>
      <c r="FY310" s="2133" t="str">
        <f t="shared" si="123"/>
        <v>--</v>
      </c>
      <c r="FZ310" s="2133" t="str">
        <f t="shared" si="123"/>
        <v>--</v>
      </c>
      <c r="GA310" s="2133" t="str">
        <f t="shared" si="123"/>
        <v>--</v>
      </c>
      <c r="GB310" s="2133" t="str">
        <f t="shared" si="123"/>
        <v>--</v>
      </c>
      <c r="GC310" s="2133" t="str">
        <f t="shared" si="123"/>
        <v>--</v>
      </c>
      <c r="GD310" s="2133" t="str">
        <f t="shared" si="123"/>
        <v>--</v>
      </c>
      <c r="GE310" s="2133" t="str">
        <f t="shared" si="123"/>
        <v>--</v>
      </c>
      <c r="GF310" s="2133" t="str">
        <f t="shared" si="123"/>
        <v>--</v>
      </c>
      <c r="GG310" s="2133" t="str">
        <f t="shared" si="123"/>
        <v>--</v>
      </c>
      <c r="GH310" s="2133" t="str">
        <f t="shared" si="123"/>
        <v>--</v>
      </c>
      <c r="GI310" s="2133" t="str">
        <f t="shared" si="123"/>
        <v>--</v>
      </c>
      <c r="GJ310" s="2133" t="str">
        <f t="shared" si="123"/>
        <v>--</v>
      </c>
      <c r="GK310" s="2133" t="str">
        <f t="shared" si="123"/>
        <v>--</v>
      </c>
      <c r="GL310" s="2133" t="str">
        <f t="shared" si="123"/>
        <v>--</v>
      </c>
      <c r="GM310" s="2133" t="str">
        <f t="shared" si="123"/>
        <v>--</v>
      </c>
      <c r="GN310" s="2133" t="str">
        <f t="shared" si="123"/>
        <v>--</v>
      </c>
      <c r="GO310" s="2133" t="str">
        <f t="shared" si="123"/>
        <v>--</v>
      </c>
      <c r="GP310" s="2133" t="str">
        <f t="shared" si="123"/>
        <v>--</v>
      </c>
      <c r="GQ310" s="2133" t="str">
        <f t="shared" si="123"/>
        <v>--</v>
      </c>
      <c r="GR310" s="2133" t="str">
        <f t="shared" si="123"/>
        <v>--</v>
      </c>
      <c r="GS310" s="2133" t="str">
        <f t="shared" si="123"/>
        <v>--</v>
      </c>
      <c r="GT310" s="2133" t="str">
        <f t="shared" si="123"/>
        <v>--</v>
      </c>
      <c r="GU310" s="2133" t="str">
        <f t="shared" si="123"/>
        <v>--</v>
      </c>
      <c r="GV310" s="2133" t="str">
        <f t="shared" si="123"/>
        <v>--</v>
      </c>
      <c r="GW310" s="2133" t="str">
        <f t="shared" si="123"/>
        <v>--</v>
      </c>
      <c r="GX310" s="2133" t="str">
        <f t="shared" si="123"/>
        <v>--</v>
      </c>
      <c r="GY310" s="2133" t="str">
        <f t="shared" si="123"/>
        <v>--</v>
      </c>
      <c r="GZ310" s="2133" t="str">
        <f t="shared" si="123"/>
        <v>--</v>
      </c>
      <c r="HA310" s="2133" t="str">
        <f t="shared" si="123"/>
        <v>--</v>
      </c>
      <c r="HB310" s="2133" t="str">
        <f t="shared" si="123"/>
        <v>--</v>
      </c>
      <c r="HC310" s="2133" t="str">
        <f t="shared" si="123"/>
        <v>--</v>
      </c>
      <c r="HD310" s="2133" t="str">
        <f t="shared" si="123"/>
        <v>--</v>
      </c>
      <c r="HE310" s="2133" t="str">
        <f t="shared" si="123"/>
        <v>--</v>
      </c>
      <c r="HF310" s="2133" t="str">
        <f t="shared" si="121"/>
        <v>--</v>
      </c>
      <c r="HG310" s="2133" t="str">
        <f t="shared" si="121"/>
        <v>--</v>
      </c>
      <c r="HH310" s="2133" t="str">
        <f t="shared" si="121"/>
        <v>--</v>
      </c>
      <c r="HI310" s="2133" t="str">
        <f t="shared" si="121"/>
        <v>--</v>
      </c>
      <c r="HJ310" s="2133" t="str">
        <f t="shared" si="121"/>
        <v>--</v>
      </c>
      <c r="HK310" s="2133" t="str">
        <f t="shared" si="121"/>
        <v>--</v>
      </c>
      <c r="HL310" s="2133" t="str">
        <f t="shared" si="121"/>
        <v>--</v>
      </c>
      <c r="HM310" s="2133" t="str">
        <f t="shared" si="121"/>
        <v>--</v>
      </c>
      <c r="HN310" s="2133" t="str">
        <f t="shared" si="121"/>
        <v>--</v>
      </c>
      <c r="HO310" s="2133" t="str">
        <f t="shared" si="121"/>
        <v>--</v>
      </c>
      <c r="HP310" s="2133" t="str">
        <f t="shared" si="121"/>
        <v>--</v>
      </c>
      <c r="HQ310" s="2133" t="str">
        <f t="shared" si="121"/>
        <v>--</v>
      </c>
      <c r="HR310" s="2133" t="str">
        <f t="shared" si="121"/>
        <v>--</v>
      </c>
      <c r="HS310" s="2133" t="str">
        <f t="shared" si="121"/>
        <v>--</v>
      </c>
      <c r="HT310" s="2133" t="str">
        <f t="shared" si="121"/>
        <v>--</v>
      </c>
      <c r="HU310" s="2133" t="str">
        <f t="shared" si="121"/>
        <v>--</v>
      </c>
      <c r="HV310" s="2133" t="str">
        <f t="shared" si="121"/>
        <v>--</v>
      </c>
      <c r="HW310" s="2133" t="str">
        <f t="shared" si="121"/>
        <v>--</v>
      </c>
      <c r="HX310" s="2133" t="str">
        <f t="shared" si="121"/>
        <v>--</v>
      </c>
      <c r="HY310" s="2133" t="str">
        <f t="shared" si="121"/>
        <v>--</v>
      </c>
      <c r="HZ310" s="2133" t="str">
        <f t="shared" si="121"/>
        <v>--</v>
      </c>
      <c r="IA310" s="2133" t="str">
        <f t="shared" si="121"/>
        <v>--</v>
      </c>
      <c r="IB310" s="2133" t="str">
        <f t="shared" si="121"/>
        <v>--</v>
      </c>
      <c r="IC310" s="2133" t="str">
        <f t="shared" si="121"/>
        <v>--</v>
      </c>
      <c r="ID310" s="2133" t="str">
        <f t="shared" si="121"/>
        <v>--</v>
      </c>
      <c r="IE310" s="2133" t="str">
        <f t="shared" si="121"/>
        <v>--</v>
      </c>
      <c r="IF310" s="2133" t="str">
        <f t="shared" si="121"/>
        <v>--</v>
      </c>
      <c r="IG310" s="2133" t="str">
        <f t="shared" si="121"/>
        <v>--</v>
      </c>
      <c r="IH310" s="2133" t="str">
        <f t="shared" si="121"/>
        <v>--</v>
      </c>
      <c r="II310" s="2133" t="str">
        <f t="shared" si="121"/>
        <v>--</v>
      </c>
      <c r="IJ310" s="2133" t="str">
        <f t="shared" si="121"/>
        <v>--</v>
      </c>
      <c r="IK310" s="2133" t="str">
        <f t="shared" si="121"/>
        <v>--</v>
      </c>
      <c r="IL310" s="2133" t="str">
        <f t="shared" si="121"/>
        <v>--</v>
      </c>
      <c r="IM310" s="2133" t="str">
        <f t="shared" si="121"/>
        <v>--</v>
      </c>
      <c r="IN310" s="2133" t="str">
        <f t="shared" si="121"/>
        <v>--</v>
      </c>
      <c r="IO310" s="2133" t="str">
        <f t="shared" si="121"/>
        <v>--</v>
      </c>
      <c r="IP310" s="2133" t="str">
        <f t="shared" si="121"/>
        <v>--</v>
      </c>
      <c r="IQ310" s="2133" t="str">
        <f t="shared" si="121"/>
        <v>--</v>
      </c>
      <c r="IR310" s="2133" t="str">
        <f t="shared" si="121"/>
        <v>--</v>
      </c>
      <c r="IS310" s="2133" t="str">
        <f t="shared" si="121"/>
        <v>--</v>
      </c>
      <c r="IT310" s="2133" t="str">
        <f t="shared" si="121"/>
        <v>--</v>
      </c>
      <c r="IU310" s="2133" t="str">
        <f t="shared" si="121"/>
        <v>--</v>
      </c>
      <c r="IV310" s="2133" t="str">
        <f t="shared" si="121"/>
        <v>--</v>
      </c>
      <c r="IW310" s="2133" t="str">
        <f t="shared" si="121"/>
        <v>--</v>
      </c>
      <c r="IX310" s="2133" t="str">
        <f t="shared" si="121"/>
        <v>--</v>
      </c>
      <c r="IY310" s="2133" t="str">
        <f t="shared" si="121"/>
        <v>--</v>
      </c>
      <c r="IZ310" s="2133" t="str">
        <f t="shared" si="121"/>
        <v>--</v>
      </c>
      <c r="JA310" s="2133" t="str">
        <f t="shared" si="121"/>
        <v>--</v>
      </c>
      <c r="JB310" s="2133" t="str">
        <f t="shared" si="114"/>
        <v>--</v>
      </c>
      <c r="JC310" s="2133" t="str">
        <f t="shared" si="114"/>
        <v>--</v>
      </c>
      <c r="JD310" s="2133" t="str">
        <f t="shared" si="114"/>
        <v>--</v>
      </c>
      <c r="JE310" s="2133" t="str">
        <f t="shared" si="114"/>
        <v>--</v>
      </c>
      <c r="JF310" s="2133" t="str">
        <f t="shared" si="114"/>
        <v>--</v>
      </c>
      <c r="JG310" s="2133" t="str">
        <f t="shared" si="114"/>
        <v>--</v>
      </c>
      <c r="JH310" s="2133" t="str">
        <f t="shared" si="114"/>
        <v>--</v>
      </c>
      <c r="JI310" s="2133" t="str">
        <f t="shared" si="114"/>
        <v>--</v>
      </c>
      <c r="JJ310" s="2133" t="str">
        <f t="shared" si="114"/>
        <v>--</v>
      </c>
      <c r="JK310" s="2133" t="str">
        <f t="shared" si="114"/>
        <v>--</v>
      </c>
      <c r="JL310" s="2133" t="str">
        <f t="shared" si="114"/>
        <v>--</v>
      </c>
      <c r="JM310" s="2133" t="str">
        <f t="shared" si="114"/>
        <v>--</v>
      </c>
      <c r="JN310" s="2133" t="str">
        <f t="shared" si="114"/>
        <v>--</v>
      </c>
      <c r="JO310" s="2133" t="str">
        <f t="shared" si="114"/>
        <v>--</v>
      </c>
      <c r="JP310" s="2133" t="str">
        <f t="shared" si="114"/>
        <v>--</v>
      </c>
      <c r="JQ310" s="2133" t="str">
        <f t="shared" si="114"/>
        <v>--</v>
      </c>
      <c r="JR310" s="2133" t="str">
        <f t="shared" si="114"/>
        <v>--</v>
      </c>
      <c r="JS310" s="2133" t="str">
        <f t="shared" si="114"/>
        <v>--</v>
      </c>
      <c r="JT310" s="2133" t="str">
        <f t="shared" si="110"/>
        <v>--</v>
      </c>
      <c r="JU310" s="2133" t="str">
        <f t="shared" si="110"/>
        <v>--</v>
      </c>
      <c r="JV310" s="2133" t="str">
        <f t="shared" si="110"/>
        <v>--</v>
      </c>
      <c r="JW310" s="2133" t="str">
        <f t="shared" si="110"/>
        <v>--</v>
      </c>
      <c r="JX310" s="2133" t="str">
        <f t="shared" si="110"/>
        <v>--</v>
      </c>
      <c r="JY310" s="2133" t="str">
        <f t="shared" si="110"/>
        <v>--</v>
      </c>
      <c r="JZ310" s="2133" t="str">
        <f t="shared" si="110"/>
        <v>--</v>
      </c>
      <c r="KA310" s="2133" t="str">
        <f t="shared" si="110"/>
        <v>--</v>
      </c>
      <c r="KB310" s="2133" t="str">
        <f t="shared" si="110"/>
        <v>--</v>
      </c>
    </row>
    <row r="311" spans="1:288" s="89" customFormat="1" ht="13.9">
      <c r="A311" s="2060"/>
      <c r="B311" s="2060"/>
      <c r="D311" s="801"/>
      <c r="F311" s="57" t="s">
        <v>767</v>
      </c>
      <c r="G311" s="1442"/>
      <c r="H311" s="1442"/>
      <c r="I311" s="1442"/>
      <c r="J311" s="1442"/>
      <c r="K311" s="1443" t="str">
        <f t="shared" ref="K311:P311" si="127">IFERROR(MEDIAN(K286:K310),"--")</f>
        <v>--</v>
      </c>
      <c r="L311" s="1443" t="str">
        <f t="shared" si="127"/>
        <v>--</v>
      </c>
      <c r="M311" s="1443" t="str">
        <f t="shared" si="127"/>
        <v>--</v>
      </c>
      <c r="N311" s="1443" t="str">
        <f t="shared" si="127"/>
        <v>--</v>
      </c>
      <c r="O311" s="1444" t="str">
        <f t="shared" si="127"/>
        <v>--</v>
      </c>
      <c r="P311" s="1443" t="str">
        <f t="shared" si="127"/>
        <v>--</v>
      </c>
      <c r="R311" s="255"/>
      <c r="T311" s="1513"/>
      <c r="AG311" s="2060"/>
      <c r="AH311" s="2060"/>
    </row>
    <row r="312" spans="1:288" s="89" customFormat="1" ht="13.9">
      <c r="A312" s="2060"/>
      <c r="B312" s="2060"/>
      <c r="D312" s="778"/>
      <c r="E312" s="21"/>
      <c r="F312" s="446"/>
      <c r="G312" s="1441"/>
      <c r="H312" s="1441"/>
      <c r="I312" s="1441"/>
      <c r="J312" s="1441"/>
      <c r="K312" s="1441"/>
      <c r="O312" s="75"/>
      <c r="P312" s="76"/>
      <c r="R312" s="255"/>
      <c r="T312" s="314"/>
      <c r="W312" s="255"/>
      <c r="AG312" s="2060"/>
      <c r="AH312" s="2060"/>
    </row>
    <row r="313" spans="1:288" s="89" customFormat="1" ht="13.9">
      <c r="A313" s="2060"/>
      <c r="B313" s="2060"/>
      <c r="D313" s="778"/>
      <c r="E313" s="21"/>
      <c r="F313" s="446"/>
      <c r="G313" s="1441"/>
      <c r="H313" s="1441"/>
      <c r="I313" s="1441"/>
      <c r="J313" s="1441"/>
      <c r="K313" s="1441"/>
      <c r="O313" s="75"/>
      <c r="P313" s="76"/>
      <c r="R313" s="255"/>
      <c r="T313" s="314"/>
      <c r="W313" s="255"/>
      <c r="AG313" s="2060"/>
      <c r="AH313" s="2060"/>
    </row>
    <row r="314" spans="1:288" s="89" customFormat="1" ht="13.9">
      <c r="A314" s="2060"/>
      <c r="B314" s="2060"/>
      <c r="D314" s="801"/>
      <c r="F314" s="1446"/>
      <c r="O314" s="75"/>
      <c r="P314" s="76"/>
      <c r="S314" s="521" t="s">
        <v>788</v>
      </c>
      <c r="T314" s="521" t="s">
        <v>788</v>
      </c>
      <c r="U314" s="521" t="s">
        <v>788</v>
      </c>
      <c r="V314" s="521" t="s">
        <v>788</v>
      </c>
      <c r="AG314" s="2060"/>
      <c r="AH314" s="2060"/>
    </row>
    <row r="315" spans="1:288" s="89" customFormat="1" ht="13.9">
      <c r="A315" s="2060"/>
      <c r="B315" s="2060"/>
      <c r="D315" s="778">
        <f ca="1">MAX(OFFSET(D315,-1,0,-ROW(D315)+1,-2),1)+0.01</f>
        <v>4.0599999999999987</v>
      </c>
      <c r="E315" s="668"/>
      <c r="F315" s="952" t="str">
        <f>IFERROR(DebtSettingLabel,"Net Debt")</f>
        <v>Total debt</v>
      </c>
      <c r="G315" s="724" t="s">
        <v>777</v>
      </c>
      <c r="H315" s="724" t="str">
        <f>IF(I222=1,"(includes pensions)","(does not include pensions)")</f>
        <v>(does not include pensions)</v>
      </c>
      <c r="I315" s="725"/>
      <c r="J315" s="725"/>
      <c r="K315" s="725" t="s">
        <v>700</v>
      </c>
      <c r="L315" s="725" t="s">
        <v>701</v>
      </c>
      <c r="M315" s="725" t="s">
        <v>702</v>
      </c>
      <c r="N315" s="725" t="s">
        <v>703</v>
      </c>
      <c r="O315" s="759" t="s">
        <v>704</v>
      </c>
      <c r="P315" s="725" t="s">
        <v>780</v>
      </c>
      <c r="S315" s="1459" t="s">
        <v>789</v>
      </c>
      <c r="T315" s="1459" t="s">
        <v>790</v>
      </c>
      <c r="U315" s="1459" t="s">
        <v>791</v>
      </c>
      <c r="V315" s="1459" t="s">
        <v>792</v>
      </c>
      <c r="W315" s="255"/>
      <c r="AG315" s="2060"/>
      <c r="AH315" s="2060"/>
    </row>
    <row r="316" spans="1:288" s="89" customFormat="1" ht="13.9">
      <c r="A316" s="2060"/>
      <c r="B316" s="2060"/>
      <c r="D316" s="778"/>
      <c r="E316" s="1505"/>
      <c r="F316" s="1439" t="str">
        <f>F$128</f>
        <v/>
      </c>
      <c r="G316" s="1440">
        <f>G$128</f>
        <v>0</v>
      </c>
      <c r="H316" s="1440" t="str">
        <f>H$128</f>
        <v>USD</v>
      </c>
      <c r="I316" s="248"/>
      <c r="J316" s="248"/>
      <c r="K316" s="2305">
        <f t="shared" ref="K316:P316" si="128">IFERROR(IF($F$315="Total debt",K254,IF($F$315="Net debt",K254-K285,0)),"--")</f>
        <v>0</v>
      </c>
      <c r="L316" s="2305">
        <f t="shared" si="128"/>
        <v>0</v>
      </c>
      <c r="M316" s="2305">
        <f t="shared" si="128"/>
        <v>0</v>
      </c>
      <c r="N316" s="2305">
        <f t="shared" si="128"/>
        <v>0</v>
      </c>
      <c r="O316" s="2135">
        <f t="shared" si="128"/>
        <v>0</v>
      </c>
      <c r="P316" s="2305">
        <f t="shared" si="128"/>
        <v>0</v>
      </c>
      <c r="S316" s="2306">
        <f>IFERROR(AVERAGE(K316:$O316),"--")</f>
        <v>0</v>
      </c>
      <c r="T316" s="2306">
        <f>IFERROR(AVERAGE(L316:$O316),"--")</f>
        <v>0</v>
      </c>
      <c r="U316" s="2306">
        <f>IFERROR(AVERAGE(M316:$O316),"--")</f>
        <v>0</v>
      </c>
      <c r="V316" s="2306">
        <f>IFERROR(AVERAGE(N316:$O316),"--")</f>
        <v>0</v>
      </c>
      <c r="AG316" s="2060"/>
      <c r="AH316" s="2060"/>
    </row>
    <row r="317" spans="1:288" s="89" customFormat="1" ht="13.9">
      <c r="A317" s="269" t="str">
        <f>IF(F317="--","n","")</f>
        <v>n</v>
      </c>
      <c r="B317" s="2060"/>
      <c r="D317" s="801"/>
      <c r="E317" s="1505">
        <v>1</v>
      </c>
      <c r="F317" s="21" t="str">
        <f>F$129</f>
        <v>--</v>
      </c>
      <c r="G317" s="2112">
        <f>G$129</f>
        <v>0</v>
      </c>
      <c r="H317" s="1441" t="str">
        <f>H$129</f>
        <v>--</v>
      </c>
      <c r="K317" s="2307" t="str">
        <f t="shared" ref="K317:P326" si="129">IFERROR(CHOOSE(DebtSetNo,K255,MAX(K255-K286,0),K255-K286),"--")</f>
        <v>--</v>
      </c>
      <c r="L317" s="2307" t="str">
        <f t="shared" si="129"/>
        <v>--</v>
      </c>
      <c r="M317" s="2307" t="str">
        <f t="shared" si="129"/>
        <v>--</v>
      </c>
      <c r="N317" s="2307" t="str">
        <f t="shared" si="129"/>
        <v>--</v>
      </c>
      <c r="O317" s="2136" t="str">
        <f t="shared" si="129"/>
        <v>--</v>
      </c>
      <c r="P317" s="2307" t="str">
        <f t="shared" si="129"/>
        <v>--</v>
      </c>
      <c r="S317" s="2308" t="str">
        <f>IFERROR(AVERAGE(K317:$O317),"--")</f>
        <v>--</v>
      </c>
      <c r="T317" s="2308" t="str">
        <f>IFERROR(AVERAGE(L317:$O317),"--")</f>
        <v>--</v>
      </c>
      <c r="U317" s="2308" t="str">
        <f>IFERROR(AVERAGE(M317:$O317),"--")</f>
        <v>--</v>
      </c>
      <c r="V317" s="2308" t="str">
        <f>IFERROR(AVERAGE(N317:$O317),"--")</f>
        <v>--</v>
      </c>
      <c r="AG317" s="2060"/>
      <c r="AH317" s="2060"/>
    </row>
    <row r="318" spans="1:288" s="89" customFormat="1" ht="13.9">
      <c r="A318" s="269" t="str">
        <f t="shared" ref="A318:A341" si="130">IF(F318="--","n","")</f>
        <v>n</v>
      </c>
      <c r="B318" s="2060"/>
      <c r="D318" s="801"/>
      <c r="E318" s="1505">
        <v>2</v>
      </c>
      <c r="F318" s="21" t="str">
        <f>F$130</f>
        <v>--</v>
      </c>
      <c r="G318" s="2112">
        <f>G$130</f>
        <v>0</v>
      </c>
      <c r="H318" s="1441" t="str">
        <f>H$130</f>
        <v>--</v>
      </c>
      <c r="K318" s="2307" t="str">
        <f t="shared" si="129"/>
        <v>--</v>
      </c>
      <c r="L318" s="2307" t="str">
        <f t="shared" si="129"/>
        <v>--</v>
      </c>
      <c r="M318" s="2307" t="str">
        <f t="shared" si="129"/>
        <v>--</v>
      </c>
      <c r="N318" s="2307" t="str">
        <f t="shared" si="129"/>
        <v>--</v>
      </c>
      <c r="O318" s="2136" t="str">
        <f t="shared" si="129"/>
        <v>--</v>
      </c>
      <c r="P318" s="2307" t="str">
        <f t="shared" si="129"/>
        <v>--</v>
      </c>
      <c r="S318" s="2308" t="str">
        <f>IFERROR(AVERAGE(K318:$O318),"--")</f>
        <v>--</v>
      </c>
      <c r="T318" s="2308" t="str">
        <f>IFERROR(AVERAGE(L318:$O318),"--")</f>
        <v>--</v>
      </c>
      <c r="U318" s="2308" t="str">
        <f>IFERROR(AVERAGE(M318:$O318),"--")</f>
        <v>--</v>
      </c>
      <c r="V318" s="2308" t="str">
        <f>IFERROR(AVERAGE(N318:$O318),"--")</f>
        <v>--</v>
      </c>
      <c r="AG318" s="2060"/>
    </row>
    <row r="319" spans="1:288" s="89" customFormat="1" ht="13.9">
      <c r="A319" s="269" t="str">
        <f t="shared" si="130"/>
        <v>n</v>
      </c>
      <c r="B319" s="2060"/>
      <c r="D319" s="801"/>
      <c r="E319" s="1505">
        <v>3</v>
      </c>
      <c r="F319" s="21" t="str">
        <f>F$131</f>
        <v>--</v>
      </c>
      <c r="G319" s="2112">
        <f>G$131</f>
        <v>0</v>
      </c>
      <c r="H319" s="1441" t="str">
        <f>H$131</f>
        <v>--</v>
      </c>
      <c r="K319" s="2307" t="str">
        <f t="shared" si="129"/>
        <v>--</v>
      </c>
      <c r="L319" s="2307" t="str">
        <f t="shared" si="129"/>
        <v>--</v>
      </c>
      <c r="M319" s="2307" t="str">
        <f t="shared" si="129"/>
        <v>--</v>
      </c>
      <c r="N319" s="2307" t="str">
        <f t="shared" si="129"/>
        <v>--</v>
      </c>
      <c r="O319" s="2136" t="str">
        <f t="shared" si="129"/>
        <v>--</v>
      </c>
      <c r="P319" s="2307" t="str">
        <f t="shared" si="129"/>
        <v>--</v>
      </c>
      <c r="S319" s="2308" t="str">
        <f>IFERROR(AVERAGE(K319:$O319),"--")</f>
        <v>--</v>
      </c>
      <c r="T319" s="2308" t="str">
        <f>IFERROR(AVERAGE(L319:$O319),"--")</f>
        <v>--</v>
      </c>
      <c r="U319" s="2308" t="str">
        <f>IFERROR(AVERAGE(M319:$O319),"--")</f>
        <v>--</v>
      </c>
      <c r="V319" s="2308" t="str">
        <f>IFERROR(AVERAGE(N319:$O319),"--")</f>
        <v>--</v>
      </c>
    </row>
    <row r="320" spans="1:288" s="89" customFormat="1" ht="13.9">
      <c r="A320" s="269" t="str">
        <f t="shared" si="130"/>
        <v>n</v>
      </c>
      <c r="B320" s="2060"/>
      <c r="D320" s="801"/>
      <c r="E320" s="1505">
        <v>4</v>
      </c>
      <c r="F320" s="21" t="str">
        <f>F$132</f>
        <v>--</v>
      </c>
      <c r="G320" s="2112">
        <f>G$132</f>
        <v>0</v>
      </c>
      <c r="H320" s="1441" t="str">
        <f>H$132</f>
        <v>--</v>
      </c>
      <c r="K320" s="2307" t="str">
        <f t="shared" si="129"/>
        <v>--</v>
      </c>
      <c r="L320" s="2307" t="str">
        <f t="shared" si="129"/>
        <v>--</v>
      </c>
      <c r="M320" s="2307" t="str">
        <f t="shared" si="129"/>
        <v>--</v>
      </c>
      <c r="N320" s="2307" t="str">
        <f t="shared" si="129"/>
        <v>--</v>
      </c>
      <c r="O320" s="2136" t="str">
        <f t="shared" si="129"/>
        <v>--</v>
      </c>
      <c r="P320" s="2307" t="str">
        <f t="shared" si="129"/>
        <v>--</v>
      </c>
      <c r="S320" s="2308" t="str">
        <f>IFERROR(AVERAGE(K320:$O320),"--")</f>
        <v>--</v>
      </c>
      <c r="T320" s="2308" t="str">
        <f>IFERROR(AVERAGE(L320:$O320),"--")</f>
        <v>--</v>
      </c>
      <c r="U320" s="2308" t="str">
        <f>IFERROR(AVERAGE(M320:$O320),"--")</f>
        <v>--</v>
      </c>
      <c r="V320" s="2308" t="str">
        <f>IFERROR(AVERAGE(N320:$O320),"--")</f>
        <v>--</v>
      </c>
    </row>
    <row r="321" spans="1:22" s="89" customFormat="1" ht="13.9">
      <c r="A321" s="269" t="str">
        <f t="shared" si="130"/>
        <v>n</v>
      </c>
      <c r="B321" s="2060"/>
      <c r="D321" s="801"/>
      <c r="E321" s="1505">
        <v>5</v>
      </c>
      <c r="F321" s="21" t="str">
        <f>F$133</f>
        <v>--</v>
      </c>
      <c r="G321" s="2112">
        <f>G$133</f>
        <v>0</v>
      </c>
      <c r="H321" s="1441" t="str">
        <f>H$133</f>
        <v>--</v>
      </c>
      <c r="K321" s="2307" t="str">
        <f t="shared" si="129"/>
        <v>--</v>
      </c>
      <c r="L321" s="2307" t="str">
        <f t="shared" si="129"/>
        <v>--</v>
      </c>
      <c r="M321" s="2307" t="str">
        <f t="shared" si="129"/>
        <v>--</v>
      </c>
      <c r="N321" s="2307" t="str">
        <f t="shared" si="129"/>
        <v>--</v>
      </c>
      <c r="O321" s="2136" t="str">
        <f t="shared" si="129"/>
        <v>--</v>
      </c>
      <c r="P321" s="2307" t="str">
        <f t="shared" si="129"/>
        <v>--</v>
      </c>
      <c r="S321" s="2308" t="str">
        <f>IFERROR(AVERAGE(K321:$O321),"--")</f>
        <v>--</v>
      </c>
      <c r="T321" s="2308" t="str">
        <f>IFERROR(AVERAGE(L321:$O321),"--")</f>
        <v>--</v>
      </c>
      <c r="U321" s="2308" t="str">
        <f>IFERROR(AVERAGE(M321:$O321),"--")</f>
        <v>--</v>
      </c>
      <c r="V321" s="2308" t="str">
        <f>IFERROR(AVERAGE(N321:$O321),"--")</f>
        <v>--</v>
      </c>
    </row>
    <row r="322" spans="1:22" s="89" customFormat="1" ht="13.9">
      <c r="A322" s="269" t="str">
        <f t="shared" si="130"/>
        <v>n</v>
      </c>
      <c r="B322" s="2060"/>
      <c r="D322" s="801"/>
      <c r="E322" s="1505">
        <v>6</v>
      </c>
      <c r="F322" s="21" t="str">
        <f>F$134</f>
        <v>--</v>
      </c>
      <c r="G322" s="2112">
        <f>G$134</f>
        <v>0</v>
      </c>
      <c r="H322" s="1441" t="str">
        <f>H$134</f>
        <v>--</v>
      </c>
      <c r="K322" s="2307" t="str">
        <f t="shared" si="129"/>
        <v>--</v>
      </c>
      <c r="L322" s="2307" t="str">
        <f t="shared" si="129"/>
        <v>--</v>
      </c>
      <c r="M322" s="2307" t="str">
        <f t="shared" si="129"/>
        <v>--</v>
      </c>
      <c r="N322" s="2307" t="str">
        <f t="shared" si="129"/>
        <v>--</v>
      </c>
      <c r="O322" s="2136" t="str">
        <f t="shared" si="129"/>
        <v>--</v>
      </c>
      <c r="P322" s="2307" t="str">
        <f t="shared" si="129"/>
        <v>--</v>
      </c>
      <c r="S322" s="2308" t="str">
        <f>IFERROR(AVERAGE(K322:$O322),"--")</f>
        <v>--</v>
      </c>
      <c r="T322" s="2308" t="str">
        <f>IFERROR(AVERAGE(L322:$O322),"--")</f>
        <v>--</v>
      </c>
      <c r="U322" s="2308" t="str">
        <f>IFERROR(AVERAGE(M322:$O322),"--")</f>
        <v>--</v>
      </c>
      <c r="V322" s="2308" t="str">
        <f>IFERROR(AVERAGE(N322:$O322),"--")</f>
        <v>--</v>
      </c>
    </row>
    <row r="323" spans="1:22" s="89" customFormat="1" ht="13.9">
      <c r="A323" s="269" t="str">
        <f t="shared" si="130"/>
        <v>n</v>
      </c>
      <c r="B323" s="2060"/>
      <c r="D323" s="801"/>
      <c r="E323" s="1505">
        <v>7</v>
      </c>
      <c r="F323" s="21" t="str">
        <f>F$135</f>
        <v>--</v>
      </c>
      <c r="G323" s="2112">
        <f>G$135</f>
        <v>0</v>
      </c>
      <c r="H323" s="1441" t="str">
        <f>H$135</f>
        <v>--</v>
      </c>
      <c r="K323" s="2307" t="str">
        <f t="shared" si="129"/>
        <v>--</v>
      </c>
      <c r="L323" s="2307" t="str">
        <f t="shared" si="129"/>
        <v>--</v>
      </c>
      <c r="M323" s="2307" t="str">
        <f t="shared" si="129"/>
        <v>--</v>
      </c>
      <c r="N323" s="2307" t="str">
        <f t="shared" si="129"/>
        <v>--</v>
      </c>
      <c r="O323" s="2136" t="str">
        <f t="shared" si="129"/>
        <v>--</v>
      </c>
      <c r="P323" s="2307" t="str">
        <f t="shared" si="129"/>
        <v>--</v>
      </c>
      <c r="S323" s="2308" t="str">
        <f>IFERROR(AVERAGE(K323:$O323),"--")</f>
        <v>--</v>
      </c>
      <c r="T323" s="2308" t="str">
        <f>IFERROR(AVERAGE(L323:$O323),"--")</f>
        <v>--</v>
      </c>
      <c r="U323" s="2308" t="str">
        <f>IFERROR(AVERAGE(M323:$O323),"--")</f>
        <v>--</v>
      </c>
      <c r="V323" s="2308" t="str">
        <f>IFERROR(AVERAGE(N323:$O323),"--")</f>
        <v>--</v>
      </c>
    </row>
    <row r="324" spans="1:22" s="89" customFormat="1" ht="13.9">
      <c r="A324" s="269" t="str">
        <f t="shared" si="130"/>
        <v>n</v>
      </c>
      <c r="B324" s="2060"/>
      <c r="D324" s="801"/>
      <c r="E324" s="1505">
        <v>8</v>
      </c>
      <c r="F324" s="21" t="str">
        <f>F$136</f>
        <v>--</v>
      </c>
      <c r="G324" s="2112">
        <f>G$136</f>
        <v>0</v>
      </c>
      <c r="H324" s="1441" t="str">
        <f>H$136</f>
        <v>--</v>
      </c>
      <c r="K324" s="2307" t="str">
        <f t="shared" si="129"/>
        <v>--</v>
      </c>
      <c r="L324" s="2307" t="str">
        <f t="shared" si="129"/>
        <v>--</v>
      </c>
      <c r="M324" s="2307" t="str">
        <f t="shared" si="129"/>
        <v>--</v>
      </c>
      <c r="N324" s="2307" t="str">
        <f t="shared" si="129"/>
        <v>--</v>
      </c>
      <c r="O324" s="2136" t="str">
        <f t="shared" si="129"/>
        <v>--</v>
      </c>
      <c r="P324" s="2307" t="str">
        <f t="shared" si="129"/>
        <v>--</v>
      </c>
      <c r="S324" s="2308" t="str">
        <f>IFERROR(AVERAGE(K324:$O324),"--")</f>
        <v>--</v>
      </c>
      <c r="T324" s="2308" t="str">
        <f>IFERROR(AVERAGE(L324:$O324),"--")</f>
        <v>--</v>
      </c>
      <c r="U324" s="2308" t="str">
        <f>IFERROR(AVERAGE(M324:$O324),"--")</f>
        <v>--</v>
      </c>
      <c r="V324" s="2308" t="str">
        <f>IFERROR(AVERAGE(N324:$O324),"--")</f>
        <v>--</v>
      </c>
    </row>
    <row r="325" spans="1:22" s="89" customFormat="1" ht="13.9">
      <c r="A325" s="269" t="str">
        <f t="shared" si="130"/>
        <v>n</v>
      </c>
      <c r="B325" s="2060"/>
      <c r="D325" s="801"/>
      <c r="E325" s="1505">
        <v>9</v>
      </c>
      <c r="F325" s="21" t="str">
        <f>F$137</f>
        <v>--</v>
      </c>
      <c r="G325" s="2112">
        <f>G$137</f>
        <v>0</v>
      </c>
      <c r="H325" s="1441" t="str">
        <f>H$137</f>
        <v>--</v>
      </c>
      <c r="K325" s="2307" t="str">
        <f t="shared" si="129"/>
        <v>--</v>
      </c>
      <c r="L325" s="2307" t="str">
        <f t="shared" si="129"/>
        <v>--</v>
      </c>
      <c r="M325" s="2307" t="str">
        <f t="shared" si="129"/>
        <v>--</v>
      </c>
      <c r="N325" s="2307" t="str">
        <f t="shared" si="129"/>
        <v>--</v>
      </c>
      <c r="O325" s="2136" t="str">
        <f t="shared" si="129"/>
        <v>--</v>
      </c>
      <c r="P325" s="2307" t="str">
        <f t="shared" si="129"/>
        <v>--</v>
      </c>
      <c r="S325" s="2308" t="str">
        <f>IFERROR(AVERAGE(K325:$O325),"--")</f>
        <v>--</v>
      </c>
      <c r="T325" s="2308" t="str">
        <f>IFERROR(AVERAGE(L325:$O325),"--")</f>
        <v>--</v>
      </c>
      <c r="U325" s="2308" t="str">
        <f>IFERROR(AVERAGE(M325:$O325),"--")</f>
        <v>--</v>
      </c>
      <c r="V325" s="2308" t="str">
        <f>IFERROR(AVERAGE(N325:$O325),"--")</f>
        <v>--</v>
      </c>
    </row>
    <row r="326" spans="1:22" s="89" customFormat="1" ht="13.9">
      <c r="A326" s="269" t="str">
        <f t="shared" si="130"/>
        <v>n</v>
      </c>
      <c r="B326" s="2060"/>
      <c r="D326" s="801"/>
      <c r="E326" s="1505">
        <v>10</v>
      </c>
      <c r="F326" s="21" t="str">
        <f>F$138</f>
        <v>--</v>
      </c>
      <c r="G326" s="2112">
        <f>G$138</f>
        <v>0</v>
      </c>
      <c r="H326" s="1441" t="str">
        <f>H$138</f>
        <v>--</v>
      </c>
      <c r="K326" s="2307" t="str">
        <f t="shared" si="129"/>
        <v>--</v>
      </c>
      <c r="L326" s="2307" t="str">
        <f t="shared" si="129"/>
        <v>--</v>
      </c>
      <c r="M326" s="2307" t="str">
        <f t="shared" si="129"/>
        <v>--</v>
      </c>
      <c r="N326" s="2307" t="str">
        <f t="shared" si="129"/>
        <v>--</v>
      </c>
      <c r="O326" s="2136" t="str">
        <f t="shared" si="129"/>
        <v>--</v>
      </c>
      <c r="P326" s="2307" t="str">
        <f t="shared" si="129"/>
        <v>--</v>
      </c>
      <c r="S326" s="2308" t="str">
        <f>IFERROR(AVERAGE(K326:$O326),"--")</f>
        <v>--</v>
      </c>
      <c r="T326" s="2308" t="str">
        <f>IFERROR(AVERAGE(L326:$O326),"--")</f>
        <v>--</v>
      </c>
      <c r="U326" s="2308" t="str">
        <f>IFERROR(AVERAGE(M326:$O326),"--")</f>
        <v>--</v>
      </c>
      <c r="V326" s="2308" t="str">
        <f>IFERROR(AVERAGE(N326:$O326),"--")</f>
        <v>--</v>
      </c>
    </row>
    <row r="327" spans="1:22" s="89" customFormat="1" ht="13.9">
      <c r="A327" s="269" t="str">
        <f t="shared" si="130"/>
        <v>n</v>
      </c>
      <c r="B327" s="2060"/>
      <c r="D327" s="801"/>
      <c r="E327" s="1505">
        <v>11</v>
      </c>
      <c r="F327" s="21" t="str">
        <f>F$139</f>
        <v>--</v>
      </c>
      <c r="G327" s="2112">
        <f>G$139</f>
        <v>0</v>
      </c>
      <c r="H327" s="1441" t="str">
        <f>H$139</f>
        <v>--</v>
      </c>
      <c r="K327" s="2307" t="str">
        <f t="shared" ref="K327:P336" si="131">IFERROR(CHOOSE(DebtSetNo,K265,MAX(K265-K296,0),K265-K296),"--")</f>
        <v>--</v>
      </c>
      <c r="L327" s="2307" t="str">
        <f t="shared" si="131"/>
        <v>--</v>
      </c>
      <c r="M327" s="2307" t="str">
        <f t="shared" si="131"/>
        <v>--</v>
      </c>
      <c r="N327" s="2307" t="str">
        <f t="shared" si="131"/>
        <v>--</v>
      </c>
      <c r="O327" s="2136" t="str">
        <f t="shared" si="131"/>
        <v>--</v>
      </c>
      <c r="P327" s="2307" t="str">
        <f t="shared" si="131"/>
        <v>--</v>
      </c>
      <c r="S327" s="2308" t="str">
        <f>IFERROR(AVERAGE(K327:$O327),"--")</f>
        <v>--</v>
      </c>
      <c r="T327" s="2308" t="str">
        <f>IFERROR(AVERAGE(L327:$O327),"--")</f>
        <v>--</v>
      </c>
      <c r="U327" s="2308" t="str">
        <f>IFERROR(AVERAGE(M327:$O327),"--")</f>
        <v>--</v>
      </c>
      <c r="V327" s="2308" t="str">
        <f>IFERROR(AVERAGE(N327:$O327),"--")</f>
        <v>--</v>
      </c>
    </row>
    <row r="328" spans="1:22" s="89" customFormat="1" ht="13.9">
      <c r="A328" s="269" t="str">
        <f t="shared" si="130"/>
        <v>n</v>
      </c>
      <c r="B328" s="2060"/>
      <c r="D328" s="801"/>
      <c r="E328" s="1505">
        <v>12</v>
      </c>
      <c r="F328" s="21" t="str">
        <f>F$140</f>
        <v>--</v>
      </c>
      <c r="G328" s="2112">
        <f>G$140</f>
        <v>0</v>
      </c>
      <c r="H328" s="1441" t="str">
        <f>H$140</f>
        <v>--</v>
      </c>
      <c r="K328" s="2307" t="str">
        <f t="shared" si="131"/>
        <v>--</v>
      </c>
      <c r="L328" s="2307" t="str">
        <f t="shared" si="131"/>
        <v>--</v>
      </c>
      <c r="M328" s="2307" t="str">
        <f t="shared" si="131"/>
        <v>--</v>
      </c>
      <c r="N328" s="2307" t="str">
        <f t="shared" si="131"/>
        <v>--</v>
      </c>
      <c r="O328" s="2136" t="str">
        <f t="shared" si="131"/>
        <v>--</v>
      </c>
      <c r="P328" s="2307" t="str">
        <f t="shared" si="131"/>
        <v>--</v>
      </c>
      <c r="S328" s="2308" t="str">
        <f>IFERROR(AVERAGE(K328:$O328),"--")</f>
        <v>--</v>
      </c>
      <c r="T328" s="2308" t="str">
        <f>IFERROR(AVERAGE(L328:$O328),"--")</f>
        <v>--</v>
      </c>
      <c r="U328" s="2308" t="str">
        <f>IFERROR(AVERAGE(M328:$O328),"--")</f>
        <v>--</v>
      </c>
      <c r="V328" s="2308" t="str">
        <f>IFERROR(AVERAGE(N328:$O328),"--")</f>
        <v>--</v>
      </c>
    </row>
    <row r="329" spans="1:22" s="89" customFormat="1" ht="13.9">
      <c r="A329" s="269" t="str">
        <f t="shared" si="130"/>
        <v>n</v>
      </c>
      <c r="B329" s="2060"/>
      <c r="D329" s="801"/>
      <c r="E329" s="1505">
        <v>13</v>
      </c>
      <c r="F329" s="21" t="str">
        <f>F$141</f>
        <v>--</v>
      </c>
      <c r="G329" s="2112">
        <f>G$141</f>
        <v>0</v>
      </c>
      <c r="H329" s="1441" t="str">
        <f>H$141</f>
        <v>--</v>
      </c>
      <c r="K329" s="2307" t="str">
        <f t="shared" si="131"/>
        <v>--</v>
      </c>
      <c r="L329" s="2307" t="str">
        <f t="shared" si="131"/>
        <v>--</v>
      </c>
      <c r="M329" s="2307" t="str">
        <f t="shared" si="131"/>
        <v>--</v>
      </c>
      <c r="N329" s="2307" t="str">
        <f t="shared" si="131"/>
        <v>--</v>
      </c>
      <c r="O329" s="2136" t="str">
        <f t="shared" si="131"/>
        <v>--</v>
      </c>
      <c r="P329" s="2307" t="str">
        <f t="shared" si="131"/>
        <v>--</v>
      </c>
      <c r="S329" s="2308" t="str">
        <f>IFERROR(AVERAGE(K329:$O329),"--")</f>
        <v>--</v>
      </c>
      <c r="T329" s="2308" t="str">
        <f>IFERROR(AVERAGE(L329:$O329),"--")</f>
        <v>--</v>
      </c>
      <c r="U329" s="2308" t="str">
        <f>IFERROR(AVERAGE(M329:$O329),"--")</f>
        <v>--</v>
      </c>
      <c r="V329" s="2308" t="str">
        <f>IFERROR(AVERAGE(N329:$O329),"--")</f>
        <v>--</v>
      </c>
    </row>
    <row r="330" spans="1:22" s="89" customFormat="1" ht="13.9">
      <c r="A330" s="269" t="str">
        <f t="shared" si="130"/>
        <v>n</v>
      </c>
      <c r="B330" s="2060"/>
      <c r="D330" s="801"/>
      <c r="E330" s="1505">
        <v>14</v>
      </c>
      <c r="F330" s="21" t="str">
        <f>F$142</f>
        <v>--</v>
      </c>
      <c r="G330" s="2112">
        <f>G$142</f>
        <v>0</v>
      </c>
      <c r="H330" s="1441" t="str">
        <f>H$142</f>
        <v>--</v>
      </c>
      <c r="K330" s="2307" t="str">
        <f t="shared" si="131"/>
        <v>--</v>
      </c>
      <c r="L330" s="2307" t="str">
        <f t="shared" si="131"/>
        <v>--</v>
      </c>
      <c r="M330" s="2307" t="str">
        <f t="shared" si="131"/>
        <v>--</v>
      </c>
      <c r="N330" s="2307" t="str">
        <f t="shared" si="131"/>
        <v>--</v>
      </c>
      <c r="O330" s="2136" t="str">
        <f t="shared" si="131"/>
        <v>--</v>
      </c>
      <c r="P330" s="2307" t="str">
        <f t="shared" si="131"/>
        <v>--</v>
      </c>
      <c r="S330" s="2308" t="str">
        <f>IFERROR(AVERAGE(K330:$O330),"--")</f>
        <v>--</v>
      </c>
      <c r="T330" s="2308" t="str">
        <f>IFERROR(AVERAGE(L330:$O330),"--")</f>
        <v>--</v>
      </c>
      <c r="U330" s="2308" t="str">
        <f>IFERROR(AVERAGE(M330:$O330),"--")</f>
        <v>--</v>
      </c>
      <c r="V330" s="2308" t="str">
        <f>IFERROR(AVERAGE(N330:$O330),"--")</f>
        <v>--</v>
      </c>
    </row>
    <row r="331" spans="1:22" s="89" customFormat="1" ht="13.9">
      <c r="A331" s="269" t="str">
        <f t="shared" si="130"/>
        <v>n</v>
      </c>
      <c r="B331" s="2060"/>
      <c r="D331" s="801"/>
      <c r="E331" s="1505">
        <v>15</v>
      </c>
      <c r="F331" s="21" t="str">
        <f>F$143</f>
        <v>--</v>
      </c>
      <c r="G331" s="2112">
        <f>G$143</f>
        <v>0</v>
      </c>
      <c r="H331" s="1441" t="str">
        <f>H$143</f>
        <v>--</v>
      </c>
      <c r="K331" s="2307" t="str">
        <f t="shared" si="131"/>
        <v>--</v>
      </c>
      <c r="L331" s="2307" t="str">
        <f t="shared" si="131"/>
        <v>--</v>
      </c>
      <c r="M331" s="2307" t="str">
        <f t="shared" si="131"/>
        <v>--</v>
      </c>
      <c r="N331" s="2307" t="str">
        <f t="shared" si="131"/>
        <v>--</v>
      </c>
      <c r="O331" s="2136" t="str">
        <f t="shared" si="131"/>
        <v>--</v>
      </c>
      <c r="P331" s="2307" t="str">
        <f t="shared" si="131"/>
        <v>--</v>
      </c>
      <c r="S331" s="2308" t="str">
        <f>IFERROR(AVERAGE(K331:$O331),"--")</f>
        <v>--</v>
      </c>
      <c r="T331" s="2308" t="str">
        <f>IFERROR(AVERAGE(L331:$O331),"--")</f>
        <v>--</v>
      </c>
      <c r="U331" s="2308" t="str">
        <f>IFERROR(AVERAGE(M331:$O331),"--")</f>
        <v>--</v>
      </c>
      <c r="V331" s="2308" t="str">
        <f>IFERROR(AVERAGE(N331:$O331),"--")</f>
        <v>--</v>
      </c>
    </row>
    <row r="332" spans="1:22" s="89" customFormat="1" ht="13.9">
      <c r="A332" s="269" t="str">
        <f t="shared" si="130"/>
        <v>n</v>
      </c>
      <c r="B332" s="2060"/>
      <c r="D332" s="801"/>
      <c r="E332" s="1505">
        <v>16</v>
      </c>
      <c r="F332" s="21" t="str">
        <f>F$144</f>
        <v>--</v>
      </c>
      <c r="G332" s="2112">
        <f>G$144</f>
        <v>0</v>
      </c>
      <c r="H332" s="1441" t="str">
        <f>H$144</f>
        <v>--</v>
      </c>
      <c r="K332" s="2307" t="str">
        <f t="shared" si="131"/>
        <v>--</v>
      </c>
      <c r="L332" s="2307" t="str">
        <f t="shared" si="131"/>
        <v>--</v>
      </c>
      <c r="M332" s="2307" t="str">
        <f t="shared" si="131"/>
        <v>--</v>
      </c>
      <c r="N332" s="2307" t="str">
        <f t="shared" si="131"/>
        <v>--</v>
      </c>
      <c r="O332" s="2136" t="str">
        <f t="shared" si="131"/>
        <v>--</v>
      </c>
      <c r="P332" s="2307" t="str">
        <f t="shared" si="131"/>
        <v>--</v>
      </c>
      <c r="S332" s="2308" t="str">
        <f>IFERROR(AVERAGE(K332:$O332),"--")</f>
        <v>--</v>
      </c>
      <c r="T332" s="2308" t="str">
        <f>IFERROR(AVERAGE(L332:$O332),"--")</f>
        <v>--</v>
      </c>
      <c r="U332" s="2308" t="str">
        <f>IFERROR(AVERAGE(M332:$O332),"--")</f>
        <v>--</v>
      </c>
      <c r="V332" s="2308" t="str">
        <f>IFERROR(AVERAGE(N332:$O332),"--")</f>
        <v>--</v>
      </c>
    </row>
    <row r="333" spans="1:22" s="89" customFormat="1" ht="13.9">
      <c r="A333" s="269" t="str">
        <f t="shared" si="130"/>
        <v>n</v>
      </c>
      <c r="B333" s="2060"/>
      <c r="D333" s="801"/>
      <c r="E333" s="1505">
        <v>17</v>
      </c>
      <c r="F333" s="21" t="str">
        <f>F$145</f>
        <v>--</v>
      </c>
      <c r="G333" s="2112">
        <f>G$145</f>
        <v>0</v>
      </c>
      <c r="H333" s="1441" t="str">
        <f>H$145</f>
        <v>--</v>
      </c>
      <c r="K333" s="2307" t="str">
        <f t="shared" si="131"/>
        <v>--</v>
      </c>
      <c r="L333" s="2307" t="str">
        <f t="shared" si="131"/>
        <v>--</v>
      </c>
      <c r="M333" s="2307" t="str">
        <f t="shared" si="131"/>
        <v>--</v>
      </c>
      <c r="N333" s="2307" t="str">
        <f t="shared" si="131"/>
        <v>--</v>
      </c>
      <c r="O333" s="2136" t="str">
        <f t="shared" si="131"/>
        <v>--</v>
      </c>
      <c r="P333" s="2307" t="str">
        <f t="shared" si="131"/>
        <v>--</v>
      </c>
      <c r="S333" s="2308" t="str">
        <f>IFERROR(AVERAGE(K333:$O333),"--")</f>
        <v>--</v>
      </c>
      <c r="T333" s="2308" t="str">
        <f>IFERROR(AVERAGE(L333:$O333),"--")</f>
        <v>--</v>
      </c>
      <c r="U333" s="2308" t="str">
        <f>IFERROR(AVERAGE(M333:$O333),"--")</f>
        <v>--</v>
      </c>
      <c r="V333" s="2308" t="str">
        <f>IFERROR(AVERAGE(N333:$O333),"--")</f>
        <v>--</v>
      </c>
    </row>
    <row r="334" spans="1:22" s="89" customFormat="1" ht="13.9">
      <c r="A334" s="269" t="str">
        <f t="shared" si="130"/>
        <v>n</v>
      </c>
      <c r="B334" s="2060"/>
      <c r="D334" s="801"/>
      <c r="E334" s="1505">
        <v>18</v>
      </c>
      <c r="F334" s="21" t="str">
        <f>F$146</f>
        <v>--</v>
      </c>
      <c r="G334" s="2112">
        <f>G$146</f>
        <v>0</v>
      </c>
      <c r="H334" s="1441" t="str">
        <f>H$146</f>
        <v>--</v>
      </c>
      <c r="K334" s="2307" t="str">
        <f t="shared" si="131"/>
        <v>--</v>
      </c>
      <c r="L334" s="2307" t="str">
        <f t="shared" si="131"/>
        <v>--</v>
      </c>
      <c r="M334" s="2307" t="str">
        <f t="shared" si="131"/>
        <v>--</v>
      </c>
      <c r="N334" s="2307" t="str">
        <f t="shared" si="131"/>
        <v>--</v>
      </c>
      <c r="O334" s="2136" t="str">
        <f t="shared" si="131"/>
        <v>--</v>
      </c>
      <c r="P334" s="2307" t="str">
        <f t="shared" si="131"/>
        <v>--</v>
      </c>
      <c r="S334" s="2308" t="str">
        <f>IFERROR(AVERAGE(K334:$O334),"--")</f>
        <v>--</v>
      </c>
      <c r="T334" s="2308" t="str">
        <f>IFERROR(AVERAGE(L334:$O334),"--")</f>
        <v>--</v>
      </c>
      <c r="U334" s="2308" t="str">
        <f>IFERROR(AVERAGE(M334:$O334),"--")</f>
        <v>--</v>
      </c>
      <c r="V334" s="2308" t="str">
        <f>IFERROR(AVERAGE(N334:$O334),"--")</f>
        <v>--</v>
      </c>
    </row>
    <row r="335" spans="1:22" s="89" customFormat="1" ht="13.9">
      <c r="A335" s="269" t="str">
        <f t="shared" si="130"/>
        <v>n</v>
      </c>
      <c r="B335" s="2060"/>
      <c r="D335" s="801"/>
      <c r="E335" s="1505">
        <v>19</v>
      </c>
      <c r="F335" s="21" t="str">
        <f>F$147</f>
        <v>--</v>
      </c>
      <c r="G335" s="2112">
        <f>G$147</f>
        <v>0</v>
      </c>
      <c r="H335" s="1441" t="str">
        <f>H$147</f>
        <v>--</v>
      </c>
      <c r="K335" s="2307" t="str">
        <f t="shared" si="131"/>
        <v>--</v>
      </c>
      <c r="L335" s="2307" t="str">
        <f t="shared" si="131"/>
        <v>--</v>
      </c>
      <c r="M335" s="2307" t="str">
        <f t="shared" si="131"/>
        <v>--</v>
      </c>
      <c r="N335" s="2307" t="str">
        <f t="shared" si="131"/>
        <v>--</v>
      </c>
      <c r="O335" s="2136" t="str">
        <f t="shared" si="131"/>
        <v>--</v>
      </c>
      <c r="P335" s="2307" t="str">
        <f t="shared" si="131"/>
        <v>--</v>
      </c>
      <c r="S335" s="2308" t="str">
        <f>IFERROR(AVERAGE(K335:$O335),"--")</f>
        <v>--</v>
      </c>
      <c r="T335" s="2308" t="str">
        <f>IFERROR(AVERAGE(L335:$O335),"--")</f>
        <v>--</v>
      </c>
      <c r="U335" s="2308" t="str">
        <f>IFERROR(AVERAGE(M335:$O335),"--")</f>
        <v>--</v>
      </c>
      <c r="V335" s="2308" t="str">
        <f>IFERROR(AVERAGE(N335:$O335),"--")</f>
        <v>--</v>
      </c>
    </row>
    <row r="336" spans="1:22" s="89" customFormat="1" ht="13.9">
      <c r="A336" s="269" t="str">
        <f t="shared" si="130"/>
        <v>n</v>
      </c>
      <c r="B336" s="2060"/>
      <c r="D336" s="801"/>
      <c r="E336" s="1505">
        <v>20</v>
      </c>
      <c r="F336" s="21" t="str">
        <f>F$148</f>
        <v>--</v>
      </c>
      <c r="G336" s="2112">
        <f>G$148</f>
        <v>0</v>
      </c>
      <c r="H336" s="1441" t="str">
        <f>H$148</f>
        <v>--</v>
      </c>
      <c r="K336" s="2307" t="str">
        <f t="shared" si="131"/>
        <v>--</v>
      </c>
      <c r="L336" s="2307" t="str">
        <f t="shared" si="131"/>
        <v>--</v>
      </c>
      <c r="M336" s="2307" t="str">
        <f t="shared" si="131"/>
        <v>--</v>
      </c>
      <c r="N336" s="2307" t="str">
        <f t="shared" si="131"/>
        <v>--</v>
      </c>
      <c r="O336" s="2136" t="str">
        <f t="shared" si="131"/>
        <v>--</v>
      </c>
      <c r="P336" s="2307" t="str">
        <f t="shared" si="131"/>
        <v>--</v>
      </c>
      <c r="S336" s="2308" t="str">
        <f>IFERROR(AVERAGE(K336:$O336),"--")</f>
        <v>--</v>
      </c>
      <c r="T336" s="2308" t="str">
        <f>IFERROR(AVERAGE(L336:$O336),"--")</f>
        <v>--</v>
      </c>
      <c r="U336" s="2308" t="str">
        <f>IFERROR(AVERAGE(M336:$O336),"--")</f>
        <v>--</v>
      </c>
      <c r="V336" s="2308" t="str">
        <f>IFERROR(AVERAGE(N336:$O336),"--")</f>
        <v>--</v>
      </c>
    </row>
    <row r="337" spans="1:32" s="89" customFormat="1" ht="13.9">
      <c r="A337" s="269" t="str">
        <f t="shared" si="130"/>
        <v>n</v>
      </c>
      <c r="B337" s="2060"/>
      <c r="D337" s="801"/>
      <c r="E337" s="1505">
        <v>21</v>
      </c>
      <c r="F337" s="21" t="str">
        <f>F$149</f>
        <v>--</v>
      </c>
      <c r="G337" s="2112">
        <f>G$149</f>
        <v>0</v>
      </c>
      <c r="H337" s="1441" t="str">
        <f>H$149</f>
        <v>--</v>
      </c>
      <c r="K337" s="2307" t="str">
        <f t="shared" ref="K337:P341" si="132">IFERROR(CHOOSE(DebtSetNo,K275,MAX(K275-K306,0),K275-K306),"--")</f>
        <v>--</v>
      </c>
      <c r="L337" s="2307" t="str">
        <f t="shared" si="132"/>
        <v>--</v>
      </c>
      <c r="M337" s="2307" t="str">
        <f t="shared" si="132"/>
        <v>--</v>
      </c>
      <c r="N337" s="2307" t="str">
        <f t="shared" si="132"/>
        <v>--</v>
      </c>
      <c r="O337" s="2136" t="str">
        <f t="shared" si="132"/>
        <v>--</v>
      </c>
      <c r="P337" s="2307" t="str">
        <f t="shared" si="132"/>
        <v>--</v>
      </c>
      <c r="S337" s="2308" t="str">
        <f>IFERROR(AVERAGE(K337:$O337),"--")</f>
        <v>--</v>
      </c>
      <c r="T337" s="2308" t="str">
        <f>IFERROR(AVERAGE(L337:$O337),"--")</f>
        <v>--</v>
      </c>
      <c r="U337" s="2308" t="str">
        <f>IFERROR(AVERAGE(M337:$O337),"--")</f>
        <v>--</v>
      </c>
      <c r="V337" s="2308" t="str">
        <f>IFERROR(AVERAGE(N337:$O337),"--")</f>
        <v>--</v>
      </c>
    </row>
    <row r="338" spans="1:32" s="89" customFormat="1" ht="13.9">
      <c r="A338" s="269" t="str">
        <f t="shared" si="130"/>
        <v>n</v>
      </c>
      <c r="B338" s="2060"/>
      <c r="D338" s="801"/>
      <c r="E338" s="1505">
        <v>22</v>
      </c>
      <c r="F338" s="21" t="str">
        <f>F$150</f>
        <v>--</v>
      </c>
      <c r="G338" s="2112">
        <f>G$150</f>
        <v>0</v>
      </c>
      <c r="H338" s="1441" t="str">
        <f>H$150</f>
        <v>--</v>
      </c>
      <c r="K338" s="2307" t="str">
        <f t="shared" si="132"/>
        <v>--</v>
      </c>
      <c r="L338" s="2307" t="str">
        <f t="shared" si="132"/>
        <v>--</v>
      </c>
      <c r="M338" s="2307" t="str">
        <f t="shared" si="132"/>
        <v>--</v>
      </c>
      <c r="N338" s="2307" t="str">
        <f t="shared" si="132"/>
        <v>--</v>
      </c>
      <c r="O338" s="2136" t="str">
        <f t="shared" si="132"/>
        <v>--</v>
      </c>
      <c r="P338" s="2307" t="str">
        <f t="shared" si="132"/>
        <v>--</v>
      </c>
      <c r="S338" s="2308" t="str">
        <f>IFERROR(AVERAGE(K338:$O338),"--")</f>
        <v>--</v>
      </c>
      <c r="T338" s="2308" t="str">
        <f>IFERROR(AVERAGE(L338:$O338),"--")</f>
        <v>--</v>
      </c>
      <c r="U338" s="2308" t="str">
        <f>IFERROR(AVERAGE(M338:$O338),"--")</f>
        <v>--</v>
      </c>
      <c r="V338" s="2308" t="str">
        <f>IFERROR(AVERAGE(N338:$O338),"--")</f>
        <v>--</v>
      </c>
    </row>
    <row r="339" spans="1:32" s="89" customFormat="1" ht="13.9">
      <c r="A339" s="269" t="str">
        <f t="shared" si="130"/>
        <v>n</v>
      </c>
      <c r="B339" s="2060"/>
      <c r="D339" s="801"/>
      <c r="E339" s="1505">
        <v>23</v>
      </c>
      <c r="F339" s="21" t="str">
        <f>F$151</f>
        <v>--</v>
      </c>
      <c r="G339" s="2112">
        <f>G$151</f>
        <v>0</v>
      </c>
      <c r="H339" s="1441" t="str">
        <f>H$151</f>
        <v>--</v>
      </c>
      <c r="K339" s="2307" t="str">
        <f t="shared" si="132"/>
        <v>--</v>
      </c>
      <c r="L339" s="2307" t="str">
        <f t="shared" si="132"/>
        <v>--</v>
      </c>
      <c r="M339" s="2307" t="str">
        <f t="shared" si="132"/>
        <v>--</v>
      </c>
      <c r="N339" s="2307" t="str">
        <f t="shared" si="132"/>
        <v>--</v>
      </c>
      <c r="O339" s="2136" t="str">
        <f t="shared" si="132"/>
        <v>--</v>
      </c>
      <c r="P339" s="2307" t="str">
        <f t="shared" si="132"/>
        <v>--</v>
      </c>
      <c r="S339" s="2308" t="str">
        <f>IFERROR(AVERAGE(K339:$O339),"--")</f>
        <v>--</v>
      </c>
      <c r="T339" s="2308" t="str">
        <f>IFERROR(AVERAGE(L339:$O339),"--")</f>
        <v>--</v>
      </c>
      <c r="U339" s="2308" t="str">
        <f>IFERROR(AVERAGE(M339:$O339),"--")</f>
        <v>--</v>
      </c>
      <c r="V339" s="2308" t="str">
        <f>IFERROR(AVERAGE(N339:$O339),"--")</f>
        <v>--</v>
      </c>
    </row>
    <row r="340" spans="1:32" s="89" customFormat="1" ht="13.9">
      <c r="A340" s="269" t="str">
        <f t="shared" si="130"/>
        <v>n</v>
      </c>
      <c r="B340" s="2060"/>
      <c r="D340" s="801"/>
      <c r="E340" s="1505">
        <v>24</v>
      </c>
      <c r="F340" s="21" t="str">
        <f>F$152</f>
        <v>--</v>
      </c>
      <c r="G340" s="2112">
        <f>G$152</f>
        <v>0</v>
      </c>
      <c r="H340" s="1441" t="str">
        <f>H$152</f>
        <v>--</v>
      </c>
      <c r="K340" s="2307" t="str">
        <f t="shared" si="132"/>
        <v>--</v>
      </c>
      <c r="L340" s="2307" t="str">
        <f t="shared" si="132"/>
        <v>--</v>
      </c>
      <c r="M340" s="2307" t="str">
        <f t="shared" si="132"/>
        <v>--</v>
      </c>
      <c r="N340" s="2307" t="str">
        <f t="shared" si="132"/>
        <v>--</v>
      </c>
      <c r="O340" s="2136" t="str">
        <f t="shared" si="132"/>
        <v>--</v>
      </c>
      <c r="P340" s="2307" t="str">
        <f t="shared" si="132"/>
        <v>--</v>
      </c>
      <c r="S340" s="2308" t="str">
        <f>IFERROR(AVERAGE(K340:$O340),"--")</f>
        <v>--</v>
      </c>
      <c r="T340" s="2308" t="str">
        <f>IFERROR(AVERAGE(L340:$O340),"--")</f>
        <v>--</v>
      </c>
      <c r="U340" s="2308" t="str">
        <f>IFERROR(AVERAGE(M340:$O340),"--")</f>
        <v>--</v>
      </c>
      <c r="V340" s="2308" t="str">
        <f>IFERROR(AVERAGE(N340:$O340),"--")</f>
        <v>--</v>
      </c>
    </row>
    <row r="341" spans="1:32" s="89" customFormat="1" ht="13.9">
      <c r="A341" s="269" t="str">
        <f t="shared" si="130"/>
        <v>n</v>
      </c>
      <c r="B341" s="2060"/>
      <c r="D341" s="801"/>
      <c r="E341" s="1505">
        <v>25</v>
      </c>
      <c r="F341" s="21" t="str">
        <f>F$153</f>
        <v>--</v>
      </c>
      <c r="G341" s="2112">
        <f>G$153</f>
        <v>0</v>
      </c>
      <c r="H341" s="1441" t="str">
        <f>H$153</f>
        <v>--</v>
      </c>
      <c r="K341" s="2307" t="str">
        <f t="shared" si="132"/>
        <v>--</v>
      </c>
      <c r="L341" s="2307" t="str">
        <f t="shared" si="132"/>
        <v>--</v>
      </c>
      <c r="M341" s="2307" t="str">
        <f t="shared" si="132"/>
        <v>--</v>
      </c>
      <c r="N341" s="2307" t="str">
        <f t="shared" si="132"/>
        <v>--</v>
      </c>
      <c r="O341" s="2136" t="str">
        <f t="shared" si="132"/>
        <v>--</v>
      </c>
      <c r="P341" s="2307" t="str">
        <f t="shared" si="132"/>
        <v>--</v>
      </c>
      <c r="S341" s="2308" t="str">
        <f>IFERROR(AVERAGE(K341:$O341),"--")</f>
        <v>--</v>
      </c>
      <c r="T341" s="2308" t="str">
        <f>IFERROR(AVERAGE(L341:$O341),"--")</f>
        <v>--</v>
      </c>
      <c r="U341" s="2308" t="str">
        <f>IFERROR(AVERAGE(M341:$O341),"--")</f>
        <v>--</v>
      </c>
      <c r="V341" s="2308" t="str">
        <f>IFERROR(AVERAGE(N341:$O341),"--")</f>
        <v>--</v>
      </c>
    </row>
    <row r="342" spans="1:32" s="89" customFormat="1" ht="13.9">
      <c r="A342" s="2060"/>
      <c r="B342" s="2060"/>
      <c r="D342" s="801"/>
      <c r="F342" s="57" t="s">
        <v>767</v>
      </c>
      <c r="G342" s="1442"/>
      <c r="H342" s="1442"/>
      <c r="I342" s="1442"/>
      <c r="J342" s="1442"/>
      <c r="K342" s="1443" t="str">
        <f t="shared" ref="K342:P342" si="133">IFERROR(MEDIAN(K317:K341),"--")</f>
        <v>--</v>
      </c>
      <c r="L342" s="1443" t="str">
        <f t="shared" si="133"/>
        <v>--</v>
      </c>
      <c r="M342" s="1443" t="str">
        <f t="shared" si="133"/>
        <v>--</v>
      </c>
      <c r="N342" s="1443" t="str">
        <f t="shared" si="133"/>
        <v>--</v>
      </c>
      <c r="O342" s="1444" t="str">
        <f t="shared" si="133"/>
        <v>--</v>
      </c>
      <c r="P342" s="1443" t="str">
        <f t="shared" si="133"/>
        <v>--</v>
      </c>
      <c r="S342" s="85" t="str">
        <f>IFERROR(MEDIAN(S317:S341),"--")</f>
        <v>--</v>
      </c>
      <c r="T342" s="85" t="str">
        <f>IFERROR(MEDIAN(T317:T341),"--")</f>
        <v>--</v>
      </c>
      <c r="U342" s="85" t="str">
        <f>IFERROR(MEDIAN(U317:U341),"--")</f>
        <v>--</v>
      </c>
      <c r="V342" s="85" t="str">
        <f>IFERROR(MEDIAN(V317:V341),"--")</f>
        <v>--</v>
      </c>
    </row>
    <row r="343" spans="1:32" s="89" customFormat="1" ht="13.9">
      <c r="A343" s="2060"/>
      <c r="B343" s="2060"/>
      <c r="D343" s="778"/>
      <c r="E343" s="21"/>
      <c r="F343" s="446"/>
      <c r="G343" s="1441"/>
      <c r="H343" s="1441"/>
      <c r="I343" s="1441"/>
      <c r="J343" s="1441"/>
      <c r="K343" s="1441"/>
      <c r="O343" s="75"/>
      <c r="P343" s="76"/>
      <c r="Q343" s="255"/>
      <c r="R343" s="255"/>
      <c r="T343" s="314"/>
      <c r="W343" s="255"/>
    </row>
    <row r="344" spans="1:32" s="89" customFormat="1" ht="13.9">
      <c r="A344" s="2060"/>
      <c r="B344" s="2060"/>
      <c r="D344" s="778"/>
      <c r="E344" s="21"/>
      <c r="F344" s="446"/>
      <c r="G344" s="1441"/>
      <c r="H344" s="1441"/>
      <c r="I344" s="1441"/>
      <c r="J344" s="1441"/>
      <c r="K344" s="1441"/>
      <c r="O344" s="75"/>
      <c r="P344" s="76"/>
      <c r="Q344" s="255"/>
      <c r="R344" s="255"/>
      <c r="T344" s="314"/>
      <c r="W344" s="255"/>
      <c r="AF344" s="2060"/>
    </row>
    <row r="345" spans="1:32" s="89" customFormat="1" ht="13.9">
      <c r="A345" s="2060"/>
      <c r="B345" s="2060"/>
      <c r="D345" s="801"/>
      <c r="F345" s="1446"/>
      <c r="K345" s="966"/>
      <c r="O345" s="75"/>
      <c r="P345" s="76"/>
      <c r="Q345" s="255"/>
      <c r="R345" s="255"/>
      <c r="T345" s="92"/>
      <c r="AA345" s="2060"/>
      <c r="AB345" s="2060"/>
      <c r="AC345" s="2060"/>
      <c r="AD345" s="2060"/>
      <c r="AE345" s="2060"/>
      <c r="AF345" s="2060"/>
    </row>
    <row r="346" spans="1:32" s="89" customFormat="1" ht="13.9">
      <c r="A346" s="2060"/>
      <c r="B346" s="2060"/>
      <c r="D346" s="778">
        <f ca="1">MAX(OFFSET(D346,-1,0,-ROW(D346)+1,-2),1)+0.01</f>
        <v>4.0699999999999985</v>
      </c>
      <c r="E346" s="668"/>
      <c r="F346" s="952" t="s">
        <v>354</v>
      </c>
      <c r="G346" s="724" t="s">
        <v>777</v>
      </c>
      <c r="H346" s="724"/>
      <c r="I346" s="724"/>
      <c r="J346" s="724"/>
      <c r="K346" s="725" t="s">
        <v>700</v>
      </c>
      <c r="L346" s="725" t="s">
        <v>701</v>
      </c>
      <c r="M346" s="725" t="s">
        <v>702</v>
      </c>
      <c r="N346" s="725" t="s">
        <v>703</v>
      </c>
      <c r="O346" s="759" t="s">
        <v>704</v>
      </c>
      <c r="P346" s="725" t="s">
        <v>780</v>
      </c>
      <c r="R346" s="255"/>
      <c r="T346" s="92"/>
      <c r="W346" s="255"/>
    </row>
    <row r="347" spans="1:32" s="89" customFormat="1" ht="13.9">
      <c r="A347" s="2060"/>
      <c r="B347" s="2060"/>
      <c r="D347" s="778"/>
      <c r="E347" s="1505"/>
      <c r="F347" s="1439" t="str">
        <f>F$128</f>
        <v/>
      </c>
      <c r="G347" s="1440">
        <f>G$128</f>
        <v>0</v>
      </c>
      <c r="H347" s="1440" t="str">
        <f>H$128</f>
        <v>USD</v>
      </c>
      <c r="I347" s="1445" t="s">
        <v>793</v>
      </c>
      <c r="J347" s="1445"/>
      <c r="K347" s="2304">
        <f>'BAL SHEET Hist Input'!F52</f>
        <v>0</v>
      </c>
      <c r="L347" s="2304">
        <f>'BAL SHEET Hist Input'!G52</f>
        <v>0</v>
      </c>
      <c r="M347" s="2304">
        <f>'BAL SHEET Hist Input'!H52</f>
        <v>0</v>
      </c>
      <c r="N347" s="2304">
        <f>'BAL SHEET Hist Input'!I52</f>
        <v>0</v>
      </c>
      <c r="O347" s="1469">
        <f>'BAL SHEET Hist Input'!J52</f>
        <v>0</v>
      </c>
      <c r="P347" s="2304">
        <f>'BAL SHEET Hist Input'!K52</f>
        <v>0</v>
      </c>
      <c r="R347" s="255"/>
    </row>
    <row r="348" spans="1:32" s="89" customFormat="1" ht="13.9">
      <c r="A348" s="269" t="str">
        <f>IF(F348="--","n","")</f>
        <v>n</v>
      </c>
      <c r="B348" s="2060"/>
      <c r="D348" s="801"/>
      <c r="E348" s="1505">
        <v>1</v>
      </c>
      <c r="F348" s="21" t="str">
        <f>F$129</f>
        <v>--</v>
      </c>
      <c r="G348" s="2112">
        <f>G$129</f>
        <v>0</v>
      </c>
      <c r="H348" s="1441" t="str">
        <f>H$129</f>
        <v>--</v>
      </c>
      <c r="I348" s="314" t="s">
        <v>793</v>
      </c>
      <c r="J348" s="314"/>
      <c r="K348" s="2301" t="str">
        <f>IF(OR(K192=0,$G348=0),"--",IFERROR(_xll.ciqfunctions.udf.CIQ($G348,$I348,K100,Valuation_Date_GC,ReportType,DataMode,$H348,FXMode)*Scale,"--"))</f>
        <v>--</v>
      </c>
      <c r="L348" s="2301" t="str">
        <f>IF(OR(L192=0,$G348=0),"--",IFERROR(_xll.ciqfunctions.udf.CIQ($G348,$I348,L100,Valuation_Date_GC,ReportType,DataMode,$H348,FXMode)*Scale,"--"))</f>
        <v>--</v>
      </c>
      <c r="M348" s="2301" t="str">
        <f>IF(OR(M192=0,$G348=0),"--",IFERROR(_xll.ciqfunctions.udf.CIQ($G348,$I348,M100,Valuation_Date_GC,ReportType,DataMode,$H348,FXMode)*Scale,"--"))</f>
        <v>--</v>
      </c>
      <c r="N348" s="2301" t="str">
        <f>IF(OR(N192=0,$G348=0),"--",IFERROR(_xll.ciqfunctions.udf.CIQ($G348,$I348,N100,Valuation_Date_GC,ReportType,DataMode,$H348,FXMode)*Scale,"--"))</f>
        <v>--</v>
      </c>
      <c r="O348" s="1471" t="str">
        <f>IF(OR(O192=0,$G348=0),"--",IFERROR(_xll.ciqfunctions.udf.CIQ($G348,$I348,O100,Valuation_Date_GC,ReportType,DataMode,$H348,FXMode)*Scale,"--"))</f>
        <v>--</v>
      </c>
      <c r="P348" s="2301" t="str">
        <f>IF(OR(P192=0,$G348=0),"--",IFERROR(_xll.ciqfunctions.udf.CIQ($G348,$I348,P100,Valuation_Date_GC,ReportType,DataMode,$H348,FXMode)*Scale,"--"))</f>
        <v>--</v>
      </c>
      <c r="R348" s="255"/>
    </row>
    <row r="349" spans="1:32" s="89" customFormat="1" ht="13.9">
      <c r="A349" s="269" t="str">
        <f t="shared" ref="A349:A372" si="134">IF(F349="--","n","")</f>
        <v>n</v>
      </c>
      <c r="B349" s="2060"/>
      <c r="D349" s="801"/>
      <c r="E349" s="1505">
        <v>2</v>
      </c>
      <c r="F349" s="21" t="str">
        <f>F$130</f>
        <v>--</v>
      </c>
      <c r="G349" s="2112">
        <f>G$130</f>
        <v>0</v>
      </c>
      <c r="H349" s="1441" t="str">
        <f>H$130</f>
        <v>--</v>
      </c>
      <c r="I349" s="314" t="s">
        <v>793</v>
      </c>
      <c r="J349" s="314"/>
      <c r="K349" s="2301" t="str">
        <f>IF(OR(K193=0,$G349=0),"--",IFERROR(_xll.ciqfunctions.udf.CIQ($G349,$I349,K101,Valuation_Date_GC,ReportType,DataMode,$H349,FXMode)*Scale,"--"))</f>
        <v>--</v>
      </c>
      <c r="L349" s="2301" t="str">
        <f>IF(OR(L193=0,$G349=0),"--",IFERROR(_xll.ciqfunctions.udf.CIQ($G349,$I349,L101,Valuation_Date_GC,ReportType,DataMode,$H349,FXMode)*Scale,"--"))</f>
        <v>--</v>
      </c>
      <c r="M349" s="2301" t="str">
        <f>IF(OR(M193=0,$G349=0),"--",IFERROR(_xll.ciqfunctions.udf.CIQ($G349,$I349,M101,Valuation_Date_GC,ReportType,DataMode,$H349,FXMode)*Scale,"--"))</f>
        <v>--</v>
      </c>
      <c r="N349" s="2301" t="str">
        <f>IF(OR(N193=0,$G349=0),"--",IFERROR(_xll.ciqfunctions.udf.CIQ($G349,$I349,N101,Valuation_Date_GC,ReportType,DataMode,$H349,FXMode)*Scale,"--"))</f>
        <v>--</v>
      </c>
      <c r="O349" s="1471" t="str">
        <f>IF(OR(O193=0,$G349=0),"--",IFERROR(_xll.ciqfunctions.udf.CIQ($G349,$I349,O101,Valuation_Date_GC,ReportType,DataMode,$H349,FXMode)*Scale,"--"))</f>
        <v>--</v>
      </c>
      <c r="P349" s="2301" t="str">
        <f>IF(OR(P193=0,$G349=0),"--",IFERROR(_xll.ciqfunctions.udf.CIQ($G349,$I349,P101,Valuation_Date_GC,ReportType,DataMode,$H349,FXMode)*Scale,"--"))</f>
        <v>--</v>
      </c>
      <c r="R349" s="255"/>
    </row>
    <row r="350" spans="1:32" s="89" customFormat="1" ht="13.9">
      <c r="A350" s="269" t="str">
        <f t="shared" si="134"/>
        <v>n</v>
      </c>
      <c r="B350" s="2060"/>
      <c r="D350" s="801"/>
      <c r="E350" s="1505">
        <v>3</v>
      </c>
      <c r="F350" s="21" t="str">
        <f>F$131</f>
        <v>--</v>
      </c>
      <c r="G350" s="2112">
        <f>G$131</f>
        <v>0</v>
      </c>
      <c r="H350" s="1441" t="str">
        <f>H$131</f>
        <v>--</v>
      </c>
      <c r="I350" s="314" t="s">
        <v>793</v>
      </c>
      <c r="J350" s="314"/>
      <c r="K350" s="2301" t="str">
        <f>IF(OR(K194=0,$G350=0),"--",IFERROR(_xll.ciqfunctions.udf.CIQ($G350,$I350,K102,Valuation_Date_GC,ReportType,DataMode,$H350,FXMode)*Scale,"--"))</f>
        <v>--</v>
      </c>
      <c r="L350" s="2301" t="str">
        <f>IF(OR(L194=0,$G350=0),"--",IFERROR(_xll.ciqfunctions.udf.CIQ($G350,$I350,L102,Valuation_Date_GC,ReportType,DataMode,$H350,FXMode)*Scale,"--"))</f>
        <v>--</v>
      </c>
      <c r="M350" s="2301" t="str">
        <f>IF(OR(M194=0,$G350=0),"--",IFERROR(_xll.ciqfunctions.udf.CIQ($G350,$I350,M102,Valuation_Date_GC,ReportType,DataMode,$H350,FXMode)*Scale,"--"))</f>
        <v>--</v>
      </c>
      <c r="N350" s="2301" t="str">
        <f>IF(OR(N194=0,$G350=0),"--",IFERROR(_xll.ciqfunctions.udf.CIQ($G350,$I350,N102,Valuation_Date_GC,ReportType,DataMode,$H350,FXMode)*Scale,"--"))</f>
        <v>--</v>
      </c>
      <c r="O350" s="1471" t="str">
        <f>IF(OR(O194=0,$G350=0),"--",IFERROR(_xll.ciqfunctions.udf.CIQ($G350,$I350,O102,Valuation_Date_GC,ReportType,DataMode,$H350,FXMode)*Scale,"--"))</f>
        <v>--</v>
      </c>
      <c r="P350" s="2301" t="str">
        <f>IF(OR(P194=0,$G350=0),"--",IFERROR(_xll.ciqfunctions.udf.CIQ($G350,$I350,P102,Valuation_Date_GC,ReportType,DataMode,$H350,FXMode)*Scale,"--"))</f>
        <v>--</v>
      </c>
      <c r="R350" s="255"/>
    </row>
    <row r="351" spans="1:32" s="89" customFormat="1" ht="13.9">
      <c r="A351" s="269" t="str">
        <f t="shared" si="134"/>
        <v>n</v>
      </c>
      <c r="B351" s="2060"/>
      <c r="D351" s="801"/>
      <c r="E351" s="1505">
        <v>4</v>
      </c>
      <c r="F351" s="21" t="str">
        <f>F$132</f>
        <v>--</v>
      </c>
      <c r="G351" s="2112">
        <f>G$132</f>
        <v>0</v>
      </c>
      <c r="H351" s="1441" t="str">
        <f>H$132</f>
        <v>--</v>
      </c>
      <c r="I351" s="314" t="s">
        <v>793</v>
      </c>
      <c r="J351" s="314"/>
      <c r="K351" s="2301" t="str">
        <f>IF(OR(K195=0,$G351=0),"--",IFERROR(_xll.ciqfunctions.udf.CIQ($G351,$I351,K103,Valuation_Date_GC,ReportType,DataMode,$H351,FXMode)*Scale,"--"))</f>
        <v>--</v>
      </c>
      <c r="L351" s="2301" t="str">
        <f>IF(OR(L195=0,$G351=0),"--",IFERROR(_xll.ciqfunctions.udf.CIQ($G351,$I351,L103,Valuation_Date_GC,ReportType,DataMode,$H351,FXMode)*Scale,"--"))</f>
        <v>--</v>
      </c>
      <c r="M351" s="2301" t="str">
        <f>IF(OR(M195=0,$G351=0),"--",IFERROR(_xll.ciqfunctions.udf.CIQ($G351,$I351,M103,Valuation_Date_GC,ReportType,DataMode,$H351,FXMode)*Scale,"--"))</f>
        <v>--</v>
      </c>
      <c r="N351" s="2301" t="str">
        <f>IF(OR(N195=0,$G351=0),"--",IFERROR(_xll.ciqfunctions.udf.CIQ($G351,$I351,N103,Valuation_Date_GC,ReportType,DataMode,$H351,FXMode)*Scale,"--"))</f>
        <v>--</v>
      </c>
      <c r="O351" s="1471" t="str">
        <f>IF(OR(O195=0,$G351=0),"--",IFERROR(_xll.ciqfunctions.udf.CIQ($G351,$I351,O103,Valuation_Date_GC,ReportType,DataMode,$H351,FXMode)*Scale,"--"))</f>
        <v>--</v>
      </c>
      <c r="P351" s="2301" t="str">
        <f>IF(OR(P195=0,$G351=0),"--",IFERROR(_xll.ciqfunctions.udf.CIQ($G351,$I351,P103,Valuation_Date_GC,ReportType,DataMode,$H351,FXMode)*Scale,"--"))</f>
        <v>--</v>
      </c>
      <c r="R351" s="255"/>
    </row>
    <row r="352" spans="1:32" s="89" customFormat="1" ht="13.9">
      <c r="A352" s="269" t="str">
        <f t="shared" si="134"/>
        <v>n</v>
      </c>
      <c r="B352" s="2060"/>
      <c r="D352" s="801"/>
      <c r="E352" s="1505">
        <v>5</v>
      </c>
      <c r="F352" s="21" t="str">
        <f>F$133</f>
        <v>--</v>
      </c>
      <c r="G352" s="2112">
        <f>G$133</f>
        <v>0</v>
      </c>
      <c r="H352" s="1441" t="str">
        <f>H$133</f>
        <v>--</v>
      </c>
      <c r="I352" s="314" t="s">
        <v>793</v>
      </c>
      <c r="J352" s="314"/>
      <c r="K352" s="2301" t="str">
        <f>IF(OR(K196=0,$G352=0),"--",IFERROR(_xll.ciqfunctions.udf.CIQ($G352,$I352,K104,Valuation_Date_GC,ReportType,DataMode,$H352,FXMode)*Scale,"--"))</f>
        <v>--</v>
      </c>
      <c r="L352" s="2301" t="str">
        <f>IF(OR(L196=0,$G352=0),"--",IFERROR(_xll.ciqfunctions.udf.CIQ($G352,$I352,L104,Valuation_Date_GC,ReportType,DataMode,$H352,FXMode)*Scale,"--"))</f>
        <v>--</v>
      </c>
      <c r="M352" s="2301" t="str">
        <f>IF(OR(M196=0,$G352=0),"--",IFERROR(_xll.ciqfunctions.udf.CIQ($G352,$I352,M104,Valuation_Date_GC,ReportType,DataMode,$H352,FXMode)*Scale,"--"))</f>
        <v>--</v>
      </c>
      <c r="N352" s="2301" t="str">
        <f>IF(OR(N196=0,$G352=0),"--",IFERROR(_xll.ciqfunctions.udf.CIQ($G352,$I352,N104,Valuation_Date_GC,ReportType,DataMode,$H352,FXMode)*Scale,"--"))</f>
        <v>--</v>
      </c>
      <c r="O352" s="1471" t="str">
        <f>IF(OR(O196=0,$G352=0),"--",IFERROR(_xll.ciqfunctions.udf.CIQ($G352,$I352,O104,Valuation_Date_GC,ReportType,DataMode,$H352,FXMode)*Scale,"--"))</f>
        <v>--</v>
      </c>
      <c r="P352" s="2301" t="str">
        <f>IF(OR(P196=0,$G352=0),"--",IFERROR(_xll.ciqfunctions.udf.CIQ($G352,$I352,P104,Valuation_Date_GC,ReportType,DataMode,$H352,FXMode)*Scale,"--"))</f>
        <v>--</v>
      </c>
      <c r="R352" s="255"/>
    </row>
    <row r="353" spans="1:18" s="89" customFormat="1" ht="13.9">
      <c r="A353" s="269" t="str">
        <f t="shared" si="134"/>
        <v>n</v>
      </c>
      <c r="B353" s="2060"/>
      <c r="D353" s="801"/>
      <c r="E353" s="1505">
        <v>6</v>
      </c>
      <c r="F353" s="21" t="str">
        <f>F$134</f>
        <v>--</v>
      </c>
      <c r="G353" s="2112">
        <f>G$134</f>
        <v>0</v>
      </c>
      <c r="H353" s="1441" t="str">
        <f>H$134</f>
        <v>--</v>
      </c>
      <c r="I353" s="314" t="s">
        <v>793</v>
      </c>
      <c r="J353" s="314"/>
      <c r="K353" s="2301" t="str">
        <f>IF(OR(K197=0,$G353=0),"--",IFERROR(_xll.ciqfunctions.udf.CIQ($G353,$I353,K105,Valuation_Date_GC,ReportType,DataMode,$H353,FXMode)*Scale,"--"))</f>
        <v>--</v>
      </c>
      <c r="L353" s="2301" t="str">
        <f>IF(OR(L197=0,$G353=0),"--",IFERROR(_xll.ciqfunctions.udf.CIQ($G353,$I353,L105,Valuation_Date_GC,ReportType,DataMode,$H353,FXMode)*Scale,"--"))</f>
        <v>--</v>
      </c>
      <c r="M353" s="2301" t="str">
        <f>IF(OR(M197=0,$G353=0),"--",IFERROR(_xll.ciqfunctions.udf.CIQ($G353,$I353,M105,Valuation_Date_GC,ReportType,DataMode,$H353,FXMode)*Scale,"--"))</f>
        <v>--</v>
      </c>
      <c r="N353" s="2301" t="str">
        <f>IF(OR(N197=0,$G353=0),"--",IFERROR(_xll.ciqfunctions.udf.CIQ($G353,$I353,N105,Valuation_Date_GC,ReportType,DataMode,$H353,FXMode)*Scale,"--"))</f>
        <v>--</v>
      </c>
      <c r="O353" s="1471" t="str">
        <f>IF(OR(O197=0,$G353=0),"--",IFERROR(_xll.ciqfunctions.udf.CIQ($G353,$I353,O105,Valuation_Date_GC,ReportType,DataMode,$H353,FXMode)*Scale,"--"))</f>
        <v>--</v>
      </c>
      <c r="P353" s="2301" t="str">
        <f>IF(OR(P197=0,$G353=0),"--",IFERROR(_xll.ciqfunctions.udf.CIQ($G353,$I353,P105,Valuation_Date_GC,ReportType,DataMode,$H353,FXMode)*Scale,"--"))</f>
        <v>--</v>
      </c>
      <c r="R353" s="255"/>
    </row>
    <row r="354" spans="1:18" s="89" customFormat="1" ht="13.9">
      <c r="A354" s="269" t="str">
        <f t="shared" si="134"/>
        <v>n</v>
      </c>
      <c r="B354" s="2060"/>
      <c r="D354" s="801"/>
      <c r="E354" s="1505">
        <v>7</v>
      </c>
      <c r="F354" s="21" t="str">
        <f>F$135</f>
        <v>--</v>
      </c>
      <c r="G354" s="2112">
        <f>G$135</f>
        <v>0</v>
      </c>
      <c r="H354" s="1441" t="str">
        <f>H$135</f>
        <v>--</v>
      </c>
      <c r="I354" s="314" t="s">
        <v>793</v>
      </c>
      <c r="J354" s="314"/>
      <c r="K354" s="2301" t="str">
        <f>IF(OR(K198=0,$G354=0),"--",IFERROR(_xll.ciqfunctions.udf.CIQ($G354,$I354,K106,Valuation_Date_GC,ReportType,DataMode,$H354,FXMode)*Scale,"--"))</f>
        <v>--</v>
      </c>
      <c r="L354" s="2301" t="str">
        <f>IF(OR(L198=0,$G354=0),"--",IFERROR(_xll.ciqfunctions.udf.CIQ($G354,$I354,L106,Valuation_Date_GC,ReportType,DataMode,$H354,FXMode)*Scale,"--"))</f>
        <v>--</v>
      </c>
      <c r="M354" s="2301" t="str">
        <f>IF(OR(M198=0,$G354=0),"--",IFERROR(_xll.ciqfunctions.udf.CIQ($G354,$I354,M106,Valuation_Date_GC,ReportType,DataMode,$H354,FXMode)*Scale,"--"))</f>
        <v>--</v>
      </c>
      <c r="N354" s="2301" t="str">
        <f>IF(OR(N198=0,$G354=0),"--",IFERROR(_xll.ciqfunctions.udf.CIQ($G354,$I354,N106,Valuation_Date_GC,ReportType,DataMode,$H354,FXMode)*Scale,"--"))</f>
        <v>--</v>
      </c>
      <c r="O354" s="1471" t="str">
        <f>IF(OR(O198=0,$G354=0),"--",IFERROR(_xll.ciqfunctions.udf.CIQ($G354,$I354,O106,Valuation_Date_GC,ReportType,DataMode,$H354,FXMode)*Scale,"--"))</f>
        <v>--</v>
      </c>
      <c r="P354" s="2301" t="str">
        <f>IF(OR(P198=0,$G354=0),"--",IFERROR(_xll.ciqfunctions.udf.CIQ($G354,$I354,P106,Valuation_Date_GC,ReportType,DataMode,$H354,FXMode)*Scale,"--"))</f>
        <v>--</v>
      </c>
      <c r="R354" s="255"/>
    </row>
    <row r="355" spans="1:18" s="89" customFormat="1" ht="13.9">
      <c r="A355" s="269" t="str">
        <f t="shared" si="134"/>
        <v>n</v>
      </c>
      <c r="B355" s="2060"/>
      <c r="D355" s="801"/>
      <c r="E355" s="1505">
        <v>8</v>
      </c>
      <c r="F355" s="21" t="str">
        <f>F$136</f>
        <v>--</v>
      </c>
      <c r="G355" s="2112">
        <f>G$136</f>
        <v>0</v>
      </c>
      <c r="H355" s="1441" t="str">
        <f>H$136</f>
        <v>--</v>
      </c>
      <c r="I355" s="314" t="s">
        <v>793</v>
      </c>
      <c r="J355" s="314"/>
      <c r="K355" s="2301" t="str">
        <f>IF(OR(K199=0,$G355=0),"--",IFERROR(_xll.ciqfunctions.udf.CIQ($G355,$I355,K107,Valuation_Date_GC,ReportType,DataMode,$H355,FXMode)*Scale,"--"))</f>
        <v>--</v>
      </c>
      <c r="L355" s="2301" t="str">
        <f>IF(OR(L199=0,$G355=0),"--",IFERROR(_xll.ciqfunctions.udf.CIQ($G355,$I355,L107,Valuation_Date_GC,ReportType,DataMode,$H355,FXMode)*Scale,"--"))</f>
        <v>--</v>
      </c>
      <c r="M355" s="2301" t="str">
        <f>IF(OR(M199=0,$G355=0),"--",IFERROR(_xll.ciqfunctions.udf.CIQ($G355,$I355,M107,Valuation_Date_GC,ReportType,DataMode,$H355,FXMode)*Scale,"--"))</f>
        <v>--</v>
      </c>
      <c r="N355" s="2301" t="str">
        <f>IF(OR(N199=0,$G355=0),"--",IFERROR(_xll.ciqfunctions.udf.CIQ($G355,$I355,N107,Valuation_Date_GC,ReportType,DataMode,$H355,FXMode)*Scale,"--"))</f>
        <v>--</v>
      </c>
      <c r="O355" s="1471" t="str">
        <f>IF(OR(O199=0,$G355=0),"--",IFERROR(_xll.ciqfunctions.udf.CIQ($G355,$I355,O107,Valuation_Date_GC,ReportType,DataMode,$H355,FXMode)*Scale,"--"))</f>
        <v>--</v>
      </c>
      <c r="P355" s="2301" t="str">
        <f>IF(OR(P199=0,$G355=0),"--",IFERROR(_xll.ciqfunctions.udf.CIQ($G355,$I355,P107,Valuation_Date_GC,ReportType,DataMode,$H355,FXMode)*Scale,"--"))</f>
        <v>--</v>
      </c>
      <c r="R355" s="255"/>
    </row>
    <row r="356" spans="1:18" s="89" customFormat="1" ht="13.9">
      <c r="A356" s="269" t="str">
        <f t="shared" si="134"/>
        <v>n</v>
      </c>
      <c r="B356" s="2060"/>
      <c r="D356" s="801"/>
      <c r="E356" s="1505">
        <v>9</v>
      </c>
      <c r="F356" s="21" t="str">
        <f>F$137</f>
        <v>--</v>
      </c>
      <c r="G356" s="2112">
        <f>G$137</f>
        <v>0</v>
      </c>
      <c r="H356" s="1441" t="str">
        <f>H$137</f>
        <v>--</v>
      </c>
      <c r="I356" s="314" t="s">
        <v>793</v>
      </c>
      <c r="J356" s="314"/>
      <c r="K356" s="2301" t="str">
        <f>IF(OR(K200=0,$G356=0),"--",IFERROR(_xll.ciqfunctions.udf.CIQ($G356,$I356,K108,Valuation_Date_GC,ReportType,DataMode,$H356,FXMode)*Scale,"--"))</f>
        <v>--</v>
      </c>
      <c r="L356" s="2301" t="str">
        <f>IF(OR(L200=0,$G356=0),"--",IFERROR(_xll.ciqfunctions.udf.CIQ($G356,$I356,L108,Valuation_Date_GC,ReportType,DataMode,$H356,FXMode)*Scale,"--"))</f>
        <v>--</v>
      </c>
      <c r="M356" s="2301" t="str">
        <f>IF(OR(M200=0,$G356=0),"--",IFERROR(_xll.ciqfunctions.udf.CIQ($G356,$I356,M108,Valuation_Date_GC,ReportType,DataMode,$H356,FXMode)*Scale,"--"))</f>
        <v>--</v>
      </c>
      <c r="N356" s="2301" t="str">
        <f>IF(OR(N200=0,$G356=0),"--",IFERROR(_xll.ciqfunctions.udf.CIQ($G356,$I356,N108,Valuation_Date_GC,ReportType,DataMode,$H356,FXMode)*Scale,"--"))</f>
        <v>--</v>
      </c>
      <c r="O356" s="1471" t="str">
        <f>IF(OR(O200=0,$G356=0),"--",IFERROR(_xll.ciqfunctions.udf.CIQ($G356,$I356,O108,Valuation_Date_GC,ReportType,DataMode,$H356,FXMode)*Scale,"--"))</f>
        <v>--</v>
      </c>
      <c r="P356" s="2301" t="str">
        <f>IF(OR(P200=0,$G356=0),"--",IFERROR(_xll.ciqfunctions.udf.CIQ($G356,$I356,P108,Valuation_Date_GC,ReportType,DataMode,$H356,FXMode)*Scale,"--"))</f>
        <v>--</v>
      </c>
      <c r="R356" s="255"/>
    </row>
    <row r="357" spans="1:18" s="89" customFormat="1" ht="13.9">
      <c r="A357" s="269" t="str">
        <f t="shared" si="134"/>
        <v>n</v>
      </c>
      <c r="B357" s="2060"/>
      <c r="D357" s="801"/>
      <c r="E357" s="1505">
        <v>10</v>
      </c>
      <c r="F357" s="21" t="str">
        <f>F$138</f>
        <v>--</v>
      </c>
      <c r="G357" s="2112">
        <f>G$138</f>
        <v>0</v>
      </c>
      <c r="H357" s="1441" t="str">
        <f>H$138</f>
        <v>--</v>
      </c>
      <c r="I357" s="314" t="s">
        <v>793</v>
      </c>
      <c r="J357" s="314"/>
      <c r="K357" s="2301" t="str">
        <f>IF(OR(K201=0,$G357=0),"--",IFERROR(_xll.ciqfunctions.udf.CIQ($G357,$I357,K109,Valuation_Date_GC,ReportType,DataMode,$H357,FXMode)*Scale,"--"))</f>
        <v>--</v>
      </c>
      <c r="L357" s="2301" t="str">
        <f>IF(OR(L201=0,$G357=0),"--",IFERROR(_xll.ciqfunctions.udf.CIQ($G357,$I357,L109,Valuation_Date_GC,ReportType,DataMode,$H357,FXMode)*Scale,"--"))</f>
        <v>--</v>
      </c>
      <c r="M357" s="2301" t="str">
        <f>IF(OR(M201=0,$G357=0),"--",IFERROR(_xll.ciqfunctions.udf.CIQ($G357,$I357,M109,Valuation_Date_GC,ReportType,DataMode,$H357,FXMode)*Scale,"--"))</f>
        <v>--</v>
      </c>
      <c r="N357" s="2301" t="str">
        <f>IF(OR(N201=0,$G357=0),"--",IFERROR(_xll.ciqfunctions.udf.CIQ($G357,$I357,N109,Valuation_Date_GC,ReportType,DataMode,$H357,FXMode)*Scale,"--"))</f>
        <v>--</v>
      </c>
      <c r="O357" s="1471" t="str">
        <f>IF(OR(O201=0,$G357=0),"--",IFERROR(_xll.ciqfunctions.udf.CIQ($G357,$I357,O109,Valuation_Date_GC,ReportType,DataMode,$H357,FXMode)*Scale,"--"))</f>
        <v>--</v>
      </c>
      <c r="P357" s="2301" t="str">
        <f>IF(OR(P201=0,$G357=0),"--",IFERROR(_xll.ciqfunctions.udf.CIQ($G357,$I357,P109,Valuation_Date_GC,ReportType,DataMode,$H357,FXMode)*Scale,"--"))</f>
        <v>--</v>
      </c>
      <c r="R357" s="255"/>
    </row>
    <row r="358" spans="1:18" s="89" customFormat="1" ht="13.9">
      <c r="A358" s="269" t="str">
        <f t="shared" si="134"/>
        <v>n</v>
      </c>
      <c r="B358" s="2060"/>
      <c r="D358" s="801"/>
      <c r="E358" s="1505">
        <v>11</v>
      </c>
      <c r="F358" s="21" t="str">
        <f>F$139</f>
        <v>--</v>
      </c>
      <c r="G358" s="2112">
        <f>G$139</f>
        <v>0</v>
      </c>
      <c r="H358" s="1441" t="str">
        <f>H$139</f>
        <v>--</v>
      </c>
      <c r="I358" s="314" t="s">
        <v>793</v>
      </c>
      <c r="J358" s="314"/>
      <c r="K358" s="2301" t="str">
        <f>IF(OR(K202=0,$G358=0),"--",IFERROR(_xll.ciqfunctions.udf.CIQ($G358,$I358,K110,Valuation_Date_GC,ReportType,DataMode,$H358,FXMode)*Scale,"--"))</f>
        <v>--</v>
      </c>
      <c r="L358" s="2301" t="str">
        <f>IF(OR(L202=0,$G358=0),"--",IFERROR(_xll.ciqfunctions.udf.CIQ($G358,$I358,L110,Valuation_Date_GC,ReportType,DataMode,$H358,FXMode)*Scale,"--"))</f>
        <v>--</v>
      </c>
      <c r="M358" s="2301" t="str">
        <f>IF(OR(M202=0,$G358=0),"--",IFERROR(_xll.ciqfunctions.udf.CIQ($G358,$I358,M110,Valuation_Date_GC,ReportType,DataMode,$H358,FXMode)*Scale,"--"))</f>
        <v>--</v>
      </c>
      <c r="N358" s="2301" t="str">
        <f>IF(OR(N202=0,$G358=0),"--",IFERROR(_xll.ciqfunctions.udf.CIQ($G358,$I358,N110,Valuation_Date_GC,ReportType,DataMode,$H358,FXMode)*Scale,"--"))</f>
        <v>--</v>
      </c>
      <c r="O358" s="1471" t="str">
        <f>IF(OR(O202=0,$G358=0),"--",IFERROR(_xll.ciqfunctions.udf.CIQ($G358,$I358,O110,Valuation_Date_GC,ReportType,DataMode,$H358,FXMode)*Scale,"--"))</f>
        <v>--</v>
      </c>
      <c r="P358" s="2301" t="str">
        <f>IF(OR(P202=0,$G358=0),"--",IFERROR(_xll.ciqfunctions.udf.CIQ($G358,$I358,P110,Valuation_Date_GC,ReportType,DataMode,$H358,FXMode)*Scale,"--"))</f>
        <v>--</v>
      </c>
      <c r="R358" s="255"/>
    </row>
    <row r="359" spans="1:18" s="89" customFormat="1" ht="13.9">
      <c r="A359" s="269" t="str">
        <f t="shared" si="134"/>
        <v>n</v>
      </c>
      <c r="B359" s="2060"/>
      <c r="D359" s="801"/>
      <c r="E359" s="1505">
        <v>12</v>
      </c>
      <c r="F359" s="21" t="str">
        <f>F$140</f>
        <v>--</v>
      </c>
      <c r="G359" s="2112">
        <f>G$140</f>
        <v>0</v>
      </c>
      <c r="H359" s="1441" t="str">
        <f>H$140</f>
        <v>--</v>
      </c>
      <c r="I359" s="314" t="s">
        <v>793</v>
      </c>
      <c r="J359" s="314"/>
      <c r="K359" s="2301" t="str">
        <f>IF(OR(K203=0,$G359=0),"--",IFERROR(_xll.ciqfunctions.udf.CIQ($G359,$I359,K111,Valuation_Date_GC,ReportType,DataMode,$H359,FXMode)*Scale,"--"))</f>
        <v>--</v>
      </c>
      <c r="L359" s="2301" t="str">
        <f>IF(OR(L203=0,$G359=0),"--",IFERROR(_xll.ciqfunctions.udf.CIQ($G359,$I359,L111,Valuation_Date_GC,ReportType,DataMode,$H359,FXMode)*Scale,"--"))</f>
        <v>--</v>
      </c>
      <c r="M359" s="2301" t="str">
        <f>IF(OR(M203=0,$G359=0),"--",IFERROR(_xll.ciqfunctions.udf.CIQ($G359,$I359,M111,Valuation_Date_GC,ReportType,DataMode,$H359,FXMode)*Scale,"--"))</f>
        <v>--</v>
      </c>
      <c r="N359" s="2301" t="str">
        <f>IF(OR(N203=0,$G359=0),"--",IFERROR(_xll.ciqfunctions.udf.CIQ($G359,$I359,N111,Valuation_Date_GC,ReportType,DataMode,$H359,FXMode)*Scale,"--"))</f>
        <v>--</v>
      </c>
      <c r="O359" s="1471" t="str">
        <f>IF(OR(O203=0,$G359=0),"--",IFERROR(_xll.ciqfunctions.udf.CIQ($G359,$I359,O111,Valuation_Date_GC,ReportType,DataMode,$H359,FXMode)*Scale,"--"))</f>
        <v>--</v>
      </c>
      <c r="P359" s="2301" t="str">
        <f>IF(OR(P203=0,$G359=0),"--",IFERROR(_xll.ciqfunctions.udf.CIQ($G359,$I359,P111,Valuation_Date_GC,ReportType,DataMode,$H359,FXMode)*Scale,"--"))</f>
        <v>--</v>
      </c>
      <c r="R359" s="255"/>
    </row>
    <row r="360" spans="1:18" s="89" customFormat="1" ht="13.9">
      <c r="A360" s="269" t="str">
        <f t="shared" si="134"/>
        <v>n</v>
      </c>
      <c r="B360" s="2060"/>
      <c r="D360" s="801"/>
      <c r="E360" s="1505">
        <v>13</v>
      </c>
      <c r="F360" s="21" t="str">
        <f>F$141</f>
        <v>--</v>
      </c>
      <c r="G360" s="2112">
        <f>G$141</f>
        <v>0</v>
      </c>
      <c r="H360" s="1441" t="str">
        <f>H$141</f>
        <v>--</v>
      </c>
      <c r="I360" s="314" t="s">
        <v>793</v>
      </c>
      <c r="J360" s="314"/>
      <c r="K360" s="2301" t="str">
        <f>IF(OR(K204=0,$G360=0),"--",IFERROR(_xll.ciqfunctions.udf.CIQ($G360,$I360,K112,Valuation_Date_GC,ReportType,DataMode,$H360,FXMode)*Scale,"--"))</f>
        <v>--</v>
      </c>
      <c r="L360" s="2301" t="str">
        <f>IF(OR(L204=0,$G360=0),"--",IFERROR(_xll.ciqfunctions.udf.CIQ($G360,$I360,L112,Valuation_Date_GC,ReportType,DataMode,$H360,FXMode)*Scale,"--"))</f>
        <v>--</v>
      </c>
      <c r="M360" s="2301" t="str">
        <f>IF(OR(M204=0,$G360=0),"--",IFERROR(_xll.ciqfunctions.udf.CIQ($G360,$I360,M112,Valuation_Date_GC,ReportType,DataMode,$H360,FXMode)*Scale,"--"))</f>
        <v>--</v>
      </c>
      <c r="N360" s="2301" t="str">
        <f>IF(OR(N204=0,$G360=0),"--",IFERROR(_xll.ciqfunctions.udf.CIQ($G360,$I360,N112,Valuation_Date_GC,ReportType,DataMode,$H360,FXMode)*Scale,"--"))</f>
        <v>--</v>
      </c>
      <c r="O360" s="1471" t="str">
        <f>IF(OR(O204=0,$G360=0),"--",IFERROR(_xll.ciqfunctions.udf.CIQ($G360,$I360,O112,Valuation_Date_GC,ReportType,DataMode,$H360,FXMode)*Scale,"--"))</f>
        <v>--</v>
      </c>
      <c r="P360" s="2301" t="str">
        <f>IF(OR(P204=0,$G360=0),"--",IFERROR(_xll.ciqfunctions.udf.CIQ($G360,$I360,P112,Valuation_Date_GC,ReportType,DataMode,$H360,FXMode)*Scale,"--"))</f>
        <v>--</v>
      </c>
      <c r="R360" s="255"/>
    </row>
    <row r="361" spans="1:18" s="89" customFormat="1" ht="13.9">
      <c r="A361" s="269" t="str">
        <f t="shared" si="134"/>
        <v>n</v>
      </c>
      <c r="B361" s="2060"/>
      <c r="D361" s="801"/>
      <c r="E361" s="1505">
        <v>14</v>
      </c>
      <c r="F361" s="21" t="str">
        <f>F$142</f>
        <v>--</v>
      </c>
      <c r="G361" s="2112">
        <f>G$142</f>
        <v>0</v>
      </c>
      <c r="H361" s="1441" t="str">
        <f>H$142</f>
        <v>--</v>
      </c>
      <c r="I361" s="314" t="s">
        <v>793</v>
      </c>
      <c r="J361" s="314"/>
      <c r="K361" s="2301" t="str">
        <f>IF(OR(K205=0,$G361=0),"--",IFERROR(_xll.ciqfunctions.udf.CIQ($G361,$I361,K113,Valuation_Date_GC,ReportType,DataMode,$H361,FXMode)*Scale,"--"))</f>
        <v>--</v>
      </c>
      <c r="L361" s="2301" t="str">
        <f>IF(OR(L205=0,$G361=0),"--",IFERROR(_xll.ciqfunctions.udf.CIQ($G361,$I361,L113,Valuation_Date_GC,ReportType,DataMode,$H361,FXMode)*Scale,"--"))</f>
        <v>--</v>
      </c>
      <c r="M361" s="2301" t="str">
        <f>IF(OR(M205=0,$G361=0),"--",IFERROR(_xll.ciqfunctions.udf.CIQ($G361,$I361,M113,Valuation_Date_GC,ReportType,DataMode,$H361,FXMode)*Scale,"--"))</f>
        <v>--</v>
      </c>
      <c r="N361" s="2301" t="str">
        <f>IF(OR(N205=0,$G361=0),"--",IFERROR(_xll.ciqfunctions.udf.CIQ($G361,$I361,N113,Valuation_Date_GC,ReportType,DataMode,$H361,FXMode)*Scale,"--"))</f>
        <v>--</v>
      </c>
      <c r="O361" s="1471" t="str">
        <f>IF(OR(O205=0,$G361=0),"--",IFERROR(_xll.ciqfunctions.udf.CIQ($G361,$I361,O113,Valuation_Date_GC,ReportType,DataMode,$H361,FXMode)*Scale,"--"))</f>
        <v>--</v>
      </c>
      <c r="P361" s="2301" t="str">
        <f>IF(OR(P205=0,$G361=0),"--",IFERROR(_xll.ciqfunctions.udf.CIQ($G361,$I361,P113,Valuation_Date_GC,ReportType,DataMode,$H361,FXMode)*Scale,"--"))</f>
        <v>--</v>
      </c>
      <c r="R361" s="255"/>
    </row>
    <row r="362" spans="1:18" s="89" customFormat="1" ht="13.9">
      <c r="A362" s="269" t="str">
        <f t="shared" si="134"/>
        <v>n</v>
      </c>
      <c r="B362" s="2060"/>
      <c r="D362" s="801"/>
      <c r="E362" s="1505">
        <v>15</v>
      </c>
      <c r="F362" s="21" t="str">
        <f>F$143</f>
        <v>--</v>
      </c>
      <c r="G362" s="2112">
        <f>G$143</f>
        <v>0</v>
      </c>
      <c r="H362" s="1441" t="str">
        <f>H$143</f>
        <v>--</v>
      </c>
      <c r="I362" s="314" t="s">
        <v>793</v>
      </c>
      <c r="J362" s="314"/>
      <c r="K362" s="2301" t="str">
        <f>IF(OR(K206=0,$G362=0),"--",IFERROR(_xll.ciqfunctions.udf.CIQ($G362,$I362,K114,Valuation_Date_GC,ReportType,DataMode,$H362,FXMode)*Scale,"--"))</f>
        <v>--</v>
      </c>
      <c r="L362" s="2301" t="str">
        <f>IF(OR(L206=0,$G362=0),"--",IFERROR(_xll.ciqfunctions.udf.CIQ($G362,$I362,L114,Valuation_Date_GC,ReportType,DataMode,$H362,FXMode)*Scale,"--"))</f>
        <v>--</v>
      </c>
      <c r="M362" s="2301" t="str">
        <f>IF(OR(M206=0,$G362=0),"--",IFERROR(_xll.ciqfunctions.udf.CIQ($G362,$I362,M114,Valuation_Date_GC,ReportType,DataMode,$H362,FXMode)*Scale,"--"))</f>
        <v>--</v>
      </c>
      <c r="N362" s="2301" t="str">
        <f>IF(OR(N206=0,$G362=0),"--",IFERROR(_xll.ciqfunctions.udf.CIQ($G362,$I362,N114,Valuation_Date_GC,ReportType,DataMode,$H362,FXMode)*Scale,"--"))</f>
        <v>--</v>
      </c>
      <c r="O362" s="1471" t="str">
        <f>IF(OR(O206=0,$G362=0),"--",IFERROR(_xll.ciqfunctions.udf.CIQ($G362,$I362,O114,Valuation_Date_GC,ReportType,DataMode,$H362,FXMode)*Scale,"--"))</f>
        <v>--</v>
      </c>
      <c r="P362" s="2301" t="str">
        <f>IF(OR(P206=0,$G362=0),"--",IFERROR(_xll.ciqfunctions.udf.CIQ($G362,$I362,P114,Valuation_Date_GC,ReportType,DataMode,$H362,FXMode)*Scale,"--"))</f>
        <v>--</v>
      </c>
      <c r="R362" s="255"/>
    </row>
    <row r="363" spans="1:18" s="89" customFormat="1" ht="13.9">
      <c r="A363" s="269" t="str">
        <f t="shared" si="134"/>
        <v>n</v>
      </c>
      <c r="B363" s="2060"/>
      <c r="D363" s="801"/>
      <c r="E363" s="1505">
        <v>16</v>
      </c>
      <c r="F363" s="21" t="str">
        <f>F$144</f>
        <v>--</v>
      </c>
      <c r="G363" s="2112">
        <f>G$144</f>
        <v>0</v>
      </c>
      <c r="H363" s="1441" t="str">
        <f>H$144</f>
        <v>--</v>
      </c>
      <c r="I363" s="314" t="s">
        <v>793</v>
      </c>
      <c r="J363" s="314"/>
      <c r="K363" s="2301" t="str">
        <f>IF(OR(K207=0,$G363=0),"--",IFERROR(_xll.ciqfunctions.udf.CIQ($G363,$I363,K115,Valuation_Date_GC,ReportType,DataMode,$H363,FXMode)*Scale,"--"))</f>
        <v>--</v>
      </c>
      <c r="L363" s="2301" t="str">
        <f>IF(OR(L207=0,$G363=0),"--",IFERROR(_xll.ciqfunctions.udf.CIQ($G363,$I363,L115,Valuation_Date_GC,ReportType,DataMode,$H363,FXMode)*Scale,"--"))</f>
        <v>--</v>
      </c>
      <c r="M363" s="2301" t="str">
        <f>IF(OR(M207=0,$G363=0),"--",IFERROR(_xll.ciqfunctions.udf.CIQ($G363,$I363,M115,Valuation_Date_GC,ReportType,DataMode,$H363,FXMode)*Scale,"--"))</f>
        <v>--</v>
      </c>
      <c r="N363" s="2301" t="str">
        <f>IF(OR(N207=0,$G363=0),"--",IFERROR(_xll.ciqfunctions.udf.CIQ($G363,$I363,N115,Valuation_Date_GC,ReportType,DataMode,$H363,FXMode)*Scale,"--"))</f>
        <v>--</v>
      </c>
      <c r="O363" s="1471" t="str">
        <f>IF(OR(O207=0,$G363=0),"--",IFERROR(_xll.ciqfunctions.udf.CIQ($G363,$I363,O115,Valuation_Date_GC,ReportType,DataMode,$H363,FXMode)*Scale,"--"))</f>
        <v>--</v>
      </c>
      <c r="P363" s="2301" t="str">
        <f>IF(OR(P207=0,$G363=0),"--",IFERROR(_xll.ciqfunctions.udf.CIQ($G363,$I363,P115,Valuation_Date_GC,ReportType,DataMode,$H363,FXMode)*Scale,"--"))</f>
        <v>--</v>
      </c>
      <c r="R363" s="255"/>
    </row>
    <row r="364" spans="1:18" s="89" customFormat="1" ht="13.9">
      <c r="A364" s="269" t="str">
        <f t="shared" si="134"/>
        <v>n</v>
      </c>
      <c r="B364" s="2060"/>
      <c r="D364" s="801"/>
      <c r="E364" s="1505">
        <v>17</v>
      </c>
      <c r="F364" s="21" t="str">
        <f>F$145</f>
        <v>--</v>
      </c>
      <c r="G364" s="2112">
        <f>G$145</f>
        <v>0</v>
      </c>
      <c r="H364" s="1441" t="str">
        <f>H$145</f>
        <v>--</v>
      </c>
      <c r="I364" s="314" t="s">
        <v>793</v>
      </c>
      <c r="J364" s="314"/>
      <c r="K364" s="2301" t="str">
        <f>IF(OR(K208=0,$G364=0),"--",IFERROR(_xll.ciqfunctions.udf.CIQ($G364,$I364,K116,Valuation_Date_GC,ReportType,DataMode,$H364,FXMode)*Scale,"--"))</f>
        <v>--</v>
      </c>
      <c r="L364" s="2301" t="str">
        <f>IF(OR(L208=0,$G364=0),"--",IFERROR(_xll.ciqfunctions.udf.CIQ($G364,$I364,L116,Valuation_Date_GC,ReportType,DataMode,$H364,FXMode)*Scale,"--"))</f>
        <v>--</v>
      </c>
      <c r="M364" s="2301" t="str">
        <f>IF(OR(M208=0,$G364=0),"--",IFERROR(_xll.ciqfunctions.udf.CIQ($G364,$I364,M116,Valuation_Date_GC,ReportType,DataMode,$H364,FXMode)*Scale,"--"))</f>
        <v>--</v>
      </c>
      <c r="N364" s="2301" t="str">
        <f>IF(OR(N208=0,$G364=0),"--",IFERROR(_xll.ciqfunctions.udf.CIQ($G364,$I364,N116,Valuation_Date_GC,ReportType,DataMode,$H364,FXMode)*Scale,"--"))</f>
        <v>--</v>
      </c>
      <c r="O364" s="1471" t="str">
        <f>IF(OR(O208=0,$G364=0),"--",IFERROR(_xll.ciqfunctions.udf.CIQ($G364,$I364,O116,Valuation_Date_GC,ReportType,DataMode,$H364,FXMode)*Scale,"--"))</f>
        <v>--</v>
      </c>
      <c r="P364" s="2301" t="str">
        <f>IF(OR(P208=0,$G364=0),"--",IFERROR(_xll.ciqfunctions.udf.CIQ($G364,$I364,P116,Valuation_Date_GC,ReportType,DataMode,$H364,FXMode)*Scale,"--"))</f>
        <v>--</v>
      </c>
      <c r="R364" s="255"/>
    </row>
    <row r="365" spans="1:18" s="89" customFormat="1" ht="13.9">
      <c r="A365" s="269" t="str">
        <f t="shared" si="134"/>
        <v>n</v>
      </c>
      <c r="B365" s="2060"/>
      <c r="D365" s="801"/>
      <c r="E365" s="1505">
        <v>18</v>
      </c>
      <c r="F365" s="21" t="str">
        <f>F$146</f>
        <v>--</v>
      </c>
      <c r="G365" s="2112">
        <f>G$146</f>
        <v>0</v>
      </c>
      <c r="H365" s="1441" t="str">
        <f>H$146</f>
        <v>--</v>
      </c>
      <c r="I365" s="314" t="s">
        <v>793</v>
      </c>
      <c r="J365" s="314"/>
      <c r="K365" s="2301" t="str">
        <f>IF(OR(K209=0,$G365=0),"--",IFERROR(_xll.ciqfunctions.udf.CIQ($G365,$I365,K117,Valuation_Date_GC,ReportType,DataMode,$H365,FXMode)*Scale,"--"))</f>
        <v>--</v>
      </c>
      <c r="L365" s="2301" t="str">
        <f>IF(OR(L209=0,$G365=0),"--",IFERROR(_xll.ciqfunctions.udf.CIQ($G365,$I365,L117,Valuation_Date_GC,ReportType,DataMode,$H365,FXMode)*Scale,"--"))</f>
        <v>--</v>
      </c>
      <c r="M365" s="2301" t="str">
        <f>IF(OR(M209=0,$G365=0),"--",IFERROR(_xll.ciqfunctions.udf.CIQ($G365,$I365,M117,Valuation_Date_GC,ReportType,DataMode,$H365,FXMode)*Scale,"--"))</f>
        <v>--</v>
      </c>
      <c r="N365" s="2301" t="str">
        <f>IF(OR(N209=0,$G365=0),"--",IFERROR(_xll.ciqfunctions.udf.CIQ($G365,$I365,N117,Valuation_Date_GC,ReportType,DataMode,$H365,FXMode)*Scale,"--"))</f>
        <v>--</v>
      </c>
      <c r="O365" s="1471" t="str">
        <f>IF(OR(O209=0,$G365=0),"--",IFERROR(_xll.ciqfunctions.udf.CIQ($G365,$I365,O117,Valuation_Date_GC,ReportType,DataMode,$H365,FXMode)*Scale,"--"))</f>
        <v>--</v>
      </c>
      <c r="P365" s="2301" t="str">
        <f>IF(OR(P209=0,$G365=0),"--",IFERROR(_xll.ciqfunctions.udf.CIQ($G365,$I365,P117,Valuation_Date_GC,ReportType,DataMode,$H365,FXMode)*Scale,"--"))</f>
        <v>--</v>
      </c>
      <c r="R365" s="255"/>
    </row>
    <row r="366" spans="1:18" s="89" customFormat="1" ht="13.9">
      <c r="A366" s="269" t="str">
        <f t="shared" si="134"/>
        <v>n</v>
      </c>
      <c r="B366" s="2060"/>
      <c r="D366" s="801"/>
      <c r="E366" s="1505">
        <v>19</v>
      </c>
      <c r="F366" s="21" t="str">
        <f>F$147</f>
        <v>--</v>
      </c>
      <c r="G366" s="2112">
        <f>G$147</f>
        <v>0</v>
      </c>
      <c r="H366" s="1441" t="str">
        <f>H$147</f>
        <v>--</v>
      </c>
      <c r="I366" s="314" t="s">
        <v>793</v>
      </c>
      <c r="J366" s="314"/>
      <c r="K366" s="2301" t="str">
        <f>IF(OR(K210=0,$G366=0),"--",IFERROR(_xll.ciqfunctions.udf.CIQ($G366,$I366,K118,Valuation_Date_GC,ReportType,DataMode,$H366,FXMode)*Scale,"--"))</f>
        <v>--</v>
      </c>
      <c r="L366" s="2301" t="str">
        <f>IF(OR(L210=0,$G366=0),"--",IFERROR(_xll.ciqfunctions.udf.CIQ($G366,$I366,L118,Valuation_Date_GC,ReportType,DataMode,$H366,FXMode)*Scale,"--"))</f>
        <v>--</v>
      </c>
      <c r="M366" s="2301" t="str">
        <f>IF(OR(M210=0,$G366=0),"--",IFERROR(_xll.ciqfunctions.udf.CIQ($G366,$I366,M118,Valuation_Date_GC,ReportType,DataMode,$H366,FXMode)*Scale,"--"))</f>
        <v>--</v>
      </c>
      <c r="N366" s="2301" t="str">
        <f>IF(OR(N210=0,$G366=0),"--",IFERROR(_xll.ciqfunctions.udf.CIQ($G366,$I366,N118,Valuation_Date_GC,ReportType,DataMode,$H366,FXMode)*Scale,"--"))</f>
        <v>--</v>
      </c>
      <c r="O366" s="1471" t="str">
        <f>IF(OR(O210=0,$G366=0),"--",IFERROR(_xll.ciqfunctions.udf.CIQ($G366,$I366,O118,Valuation_Date_GC,ReportType,DataMode,$H366,FXMode)*Scale,"--"))</f>
        <v>--</v>
      </c>
      <c r="P366" s="2301" t="str">
        <f>IF(OR(P210=0,$G366=0),"--",IFERROR(_xll.ciqfunctions.udf.CIQ($G366,$I366,P118,Valuation_Date_GC,ReportType,DataMode,$H366,FXMode)*Scale,"--"))</f>
        <v>--</v>
      </c>
      <c r="R366" s="255"/>
    </row>
    <row r="367" spans="1:18" s="89" customFormat="1" ht="13.9">
      <c r="A367" s="269" t="str">
        <f t="shared" si="134"/>
        <v>n</v>
      </c>
      <c r="B367" s="2060"/>
      <c r="D367" s="801"/>
      <c r="E367" s="1505">
        <v>20</v>
      </c>
      <c r="F367" s="21" t="str">
        <f>F$148</f>
        <v>--</v>
      </c>
      <c r="G367" s="2112">
        <f>G$148</f>
        <v>0</v>
      </c>
      <c r="H367" s="1441" t="str">
        <f>H$148</f>
        <v>--</v>
      </c>
      <c r="I367" s="314" t="s">
        <v>793</v>
      </c>
      <c r="J367" s="314"/>
      <c r="K367" s="2301" t="str">
        <f>IF(OR(K211=0,$G367=0),"--",IFERROR(_xll.ciqfunctions.udf.CIQ($G367,$I367,K119,Valuation_Date_GC,ReportType,DataMode,$H367,FXMode)*Scale,"--"))</f>
        <v>--</v>
      </c>
      <c r="L367" s="2301" t="str">
        <f>IF(OR(L211=0,$G367=0),"--",IFERROR(_xll.ciqfunctions.udf.CIQ($G367,$I367,L119,Valuation_Date_GC,ReportType,DataMode,$H367,FXMode)*Scale,"--"))</f>
        <v>--</v>
      </c>
      <c r="M367" s="2301" t="str">
        <f>IF(OR(M211=0,$G367=0),"--",IFERROR(_xll.ciqfunctions.udf.CIQ($G367,$I367,M119,Valuation_Date_GC,ReportType,DataMode,$H367,FXMode)*Scale,"--"))</f>
        <v>--</v>
      </c>
      <c r="N367" s="2301" t="str">
        <f>IF(OR(N211=0,$G367=0),"--",IFERROR(_xll.ciqfunctions.udf.CIQ($G367,$I367,N119,Valuation_Date_GC,ReportType,DataMode,$H367,FXMode)*Scale,"--"))</f>
        <v>--</v>
      </c>
      <c r="O367" s="1471" t="str">
        <f>IF(OR(O211=0,$G367=0),"--",IFERROR(_xll.ciqfunctions.udf.CIQ($G367,$I367,O119,Valuation_Date_GC,ReportType,DataMode,$H367,FXMode)*Scale,"--"))</f>
        <v>--</v>
      </c>
      <c r="P367" s="2301" t="str">
        <f>IF(OR(P211=0,$G367=0),"--",IFERROR(_xll.ciqfunctions.udf.CIQ($G367,$I367,P119,Valuation_Date_GC,ReportType,DataMode,$H367,FXMode)*Scale,"--"))</f>
        <v>--</v>
      </c>
      <c r="R367" s="255"/>
    </row>
    <row r="368" spans="1:18" s="89" customFormat="1" ht="13.9">
      <c r="A368" s="269" t="str">
        <f t="shared" si="134"/>
        <v>n</v>
      </c>
      <c r="B368" s="2060"/>
      <c r="D368" s="801"/>
      <c r="E368" s="1505">
        <v>21</v>
      </c>
      <c r="F368" s="21" t="str">
        <f>F$149</f>
        <v>--</v>
      </c>
      <c r="G368" s="2112">
        <f>G$149</f>
        <v>0</v>
      </c>
      <c r="H368" s="1441" t="str">
        <f>H$149</f>
        <v>--</v>
      </c>
      <c r="I368" s="314" t="s">
        <v>793</v>
      </c>
      <c r="J368" s="314"/>
      <c r="K368" s="2301" t="str">
        <f>IF(OR(K212=0,$G368=0),"--",IFERROR(_xll.ciqfunctions.udf.CIQ($G368,$I368,K120,Valuation_Date_GC,ReportType,DataMode,$H368,FXMode)*Scale,"--"))</f>
        <v>--</v>
      </c>
      <c r="L368" s="2301" t="str">
        <f>IF(OR(L212=0,$G368=0),"--",IFERROR(_xll.ciqfunctions.udf.CIQ($G368,$I368,L120,Valuation_Date_GC,ReportType,DataMode,$H368,FXMode)*Scale,"--"))</f>
        <v>--</v>
      </c>
      <c r="M368" s="2301" t="str">
        <f>IF(OR(M212=0,$G368=0),"--",IFERROR(_xll.ciqfunctions.udf.CIQ($G368,$I368,M120,Valuation_Date_GC,ReportType,DataMode,$H368,FXMode)*Scale,"--"))</f>
        <v>--</v>
      </c>
      <c r="N368" s="2301" t="str">
        <f>IF(OR(N212=0,$G368=0),"--",IFERROR(_xll.ciqfunctions.udf.CIQ($G368,$I368,N120,Valuation_Date_GC,ReportType,DataMode,$H368,FXMode)*Scale,"--"))</f>
        <v>--</v>
      </c>
      <c r="O368" s="1471" t="str">
        <f>IF(OR(O212=0,$G368=0),"--",IFERROR(_xll.ciqfunctions.udf.CIQ($G368,$I368,O120,Valuation_Date_GC,ReportType,DataMode,$H368,FXMode)*Scale,"--"))</f>
        <v>--</v>
      </c>
      <c r="P368" s="2301" t="str">
        <f>IF(OR(P212=0,$G368=0),"--",IFERROR(_xll.ciqfunctions.udf.CIQ($G368,$I368,P120,Valuation_Date_GC,ReportType,DataMode,$H368,FXMode)*Scale,"--"))</f>
        <v>--</v>
      </c>
      <c r="R368" s="255"/>
    </row>
    <row r="369" spans="1:23" s="89" customFormat="1" ht="13.9">
      <c r="A369" s="269" t="str">
        <f t="shared" si="134"/>
        <v>n</v>
      </c>
      <c r="B369" s="2060"/>
      <c r="D369" s="801"/>
      <c r="E369" s="1505">
        <v>22</v>
      </c>
      <c r="F369" s="21" t="str">
        <f>F$150</f>
        <v>--</v>
      </c>
      <c r="G369" s="2112">
        <f>G$150</f>
        <v>0</v>
      </c>
      <c r="H369" s="1441" t="str">
        <f>H$150</f>
        <v>--</v>
      </c>
      <c r="I369" s="314" t="s">
        <v>793</v>
      </c>
      <c r="J369" s="314"/>
      <c r="K369" s="2301" t="str">
        <f>IF(OR(K213=0,$G369=0),"--",IFERROR(_xll.ciqfunctions.udf.CIQ($G369,$I369,K121,Valuation_Date_GC,ReportType,DataMode,$H369,FXMode)*Scale,"--"))</f>
        <v>--</v>
      </c>
      <c r="L369" s="2301" t="str">
        <f>IF(OR(L213=0,$G369=0),"--",IFERROR(_xll.ciqfunctions.udf.CIQ($G369,$I369,L121,Valuation_Date_GC,ReportType,DataMode,$H369,FXMode)*Scale,"--"))</f>
        <v>--</v>
      </c>
      <c r="M369" s="2301" t="str">
        <f>IF(OR(M213=0,$G369=0),"--",IFERROR(_xll.ciqfunctions.udf.CIQ($G369,$I369,M121,Valuation_Date_GC,ReportType,DataMode,$H369,FXMode)*Scale,"--"))</f>
        <v>--</v>
      </c>
      <c r="N369" s="2301" t="str">
        <f>IF(OR(N213=0,$G369=0),"--",IFERROR(_xll.ciqfunctions.udf.CIQ($G369,$I369,N121,Valuation_Date_GC,ReportType,DataMode,$H369,FXMode)*Scale,"--"))</f>
        <v>--</v>
      </c>
      <c r="O369" s="1471" t="str">
        <f>IF(OR(O213=0,$G369=0),"--",IFERROR(_xll.ciqfunctions.udf.CIQ($G369,$I369,O121,Valuation_Date_GC,ReportType,DataMode,$H369,FXMode)*Scale,"--"))</f>
        <v>--</v>
      </c>
      <c r="P369" s="2301" t="str">
        <f>IF(OR(P213=0,$G369=0),"--",IFERROR(_xll.ciqfunctions.udf.CIQ($G369,$I369,P121,Valuation_Date_GC,ReportType,DataMode,$H369,FXMode)*Scale,"--"))</f>
        <v>--</v>
      </c>
      <c r="R369" s="255"/>
    </row>
    <row r="370" spans="1:23" s="89" customFormat="1" ht="13.9">
      <c r="A370" s="269" t="str">
        <f t="shared" si="134"/>
        <v>n</v>
      </c>
      <c r="B370" s="2060"/>
      <c r="D370" s="801"/>
      <c r="E370" s="1505">
        <v>23</v>
      </c>
      <c r="F370" s="21" t="str">
        <f>F$151</f>
        <v>--</v>
      </c>
      <c r="G370" s="2112">
        <f>G$151</f>
        <v>0</v>
      </c>
      <c r="H370" s="1441" t="str">
        <f>H$151</f>
        <v>--</v>
      </c>
      <c r="I370" s="314" t="s">
        <v>793</v>
      </c>
      <c r="J370" s="314"/>
      <c r="K370" s="2301" t="str">
        <f>IF(OR(K214=0,$G370=0),"--",IFERROR(_xll.ciqfunctions.udf.CIQ($G370,$I370,K122,Valuation_Date_GC,ReportType,DataMode,$H370,FXMode)*Scale,"--"))</f>
        <v>--</v>
      </c>
      <c r="L370" s="2301" t="str">
        <f>IF(OR(L214=0,$G370=0),"--",IFERROR(_xll.ciqfunctions.udf.CIQ($G370,$I370,L122,Valuation_Date_GC,ReportType,DataMode,$H370,FXMode)*Scale,"--"))</f>
        <v>--</v>
      </c>
      <c r="M370" s="2301" t="str">
        <f>IF(OR(M214=0,$G370=0),"--",IFERROR(_xll.ciqfunctions.udf.CIQ($G370,$I370,M122,Valuation_Date_GC,ReportType,DataMode,$H370,FXMode)*Scale,"--"))</f>
        <v>--</v>
      </c>
      <c r="N370" s="2301" t="str">
        <f>IF(OR(N214=0,$G370=0),"--",IFERROR(_xll.ciqfunctions.udf.CIQ($G370,$I370,N122,Valuation_Date_GC,ReportType,DataMode,$H370,FXMode)*Scale,"--"))</f>
        <v>--</v>
      </c>
      <c r="O370" s="1471" t="str">
        <f>IF(OR(O214=0,$G370=0),"--",IFERROR(_xll.ciqfunctions.udf.CIQ($G370,$I370,O122,Valuation_Date_GC,ReportType,DataMode,$H370,FXMode)*Scale,"--"))</f>
        <v>--</v>
      </c>
      <c r="P370" s="2301" t="str">
        <f>IF(OR(P214=0,$G370=0),"--",IFERROR(_xll.ciqfunctions.udf.CIQ($G370,$I370,P122,Valuation_Date_GC,ReportType,DataMode,$H370,FXMode)*Scale,"--"))</f>
        <v>--</v>
      </c>
      <c r="R370" s="255"/>
    </row>
    <row r="371" spans="1:23" s="89" customFormat="1" ht="13.9">
      <c r="A371" s="269" t="str">
        <f t="shared" si="134"/>
        <v>n</v>
      </c>
      <c r="B371" s="2060"/>
      <c r="D371" s="801"/>
      <c r="E371" s="1505">
        <v>24</v>
      </c>
      <c r="F371" s="21" t="str">
        <f>F$152</f>
        <v>--</v>
      </c>
      <c r="G371" s="2112">
        <f>G$152</f>
        <v>0</v>
      </c>
      <c r="H371" s="1441" t="str">
        <f>H$152</f>
        <v>--</v>
      </c>
      <c r="I371" s="314" t="s">
        <v>793</v>
      </c>
      <c r="J371" s="314"/>
      <c r="K371" s="2301" t="str">
        <f>IF(OR(K215=0,$G371=0),"--",IFERROR(_xll.ciqfunctions.udf.CIQ($G371,$I371,K123,Valuation_Date_GC,ReportType,DataMode,$H371,FXMode)*Scale,"--"))</f>
        <v>--</v>
      </c>
      <c r="L371" s="2301" t="str">
        <f>IF(OR(L215=0,$G371=0),"--",IFERROR(_xll.ciqfunctions.udf.CIQ($G371,$I371,L123,Valuation_Date_GC,ReportType,DataMode,$H371,FXMode)*Scale,"--"))</f>
        <v>--</v>
      </c>
      <c r="M371" s="2301" t="str">
        <f>IF(OR(M215=0,$G371=0),"--",IFERROR(_xll.ciqfunctions.udf.CIQ($G371,$I371,M123,Valuation_Date_GC,ReportType,DataMode,$H371,FXMode)*Scale,"--"))</f>
        <v>--</v>
      </c>
      <c r="N371" s="2301" t="str">
        <f>IF(OR(N215=0,$G371=0),"--",IFERROR(_xll.ciqfunctions.udf.CIQ($G371,$I371,N123,Valuation_Date_GC,ReportType,DataMode,$H371,FXMode)*Scale,"--"))</f>
        <v>--</v>
      </c>
      <c r="O371" s="1471" t="str">
        <f>IF(OR(O215=0,$G371=0),"--",IFERROR(_xll.ciqfunctions.udf.CIQ($G371,$I371,O123,Valuation_Date_GC,ReportType,DataMode,$H371,FXMode)*Scale,"--"))</f>
        <v>--</v>
      </c>
      <c r="P371" s="2301" t="str">
        <f>IF(OR(P215=0,$G371=0),"--",IFERROR(_xll.ciqfunctions.udf.CIQ($G371,$I371,P123,Valuation_Date_GC,ReportType,DataMode,$H371,FXMode)*Scale,"--"))</f>
        <v>--</v>
      </c>
      <c r="R371" s="255"/>
    </row>
    <row r="372" spans="1:23" s="89" customFormat="1" ht="13.9">
      <c r="A372" s="269" t="str">
        <f t="shared" si="134"/>
        <v>n</v>
      </c>
      <c r="B372" s="2060"/>
      <c r="D372" s="801"/>
      <c r="E372" s="1505">
        <v>25</v>
      </c>
      <c r="F372" s="21" t="str">
        <f>F$153</f>
        <v>--</v>
      </c>
      <c r="G372" s="2112">
        <f>G$153</f>
        <v>0</v>
      </c>
      <c r="H372" s="1441" t="str">
        <f>H$153</f>
        <v>--</v>
      </c>
      <c r="I372" s="314" t="s">
        <v>793</v>
      </c>
      <c r="J372" s="314"/>
      <c r="K372" s="2301" t="str">
        <f>IF(OR(K216=0,$G372=0),"--",IFERROR(_xll.ciqfunctions.udf.CIQ($G372,$I372,K124,Valuation_Date_GC,ReportType,DataMode,$H372,FXMode)*Scale,"--"))</f>
        <v>--</v>
      </c>
      <c r="L372" s="2301" t="str">
        <f>IF(OR(L216=0,$G372=0),"--",IFERROR(_xll.ciqfunctions.udf.CIQ($G372,$I372,L124,Valuation_Date_GC,ReportType,DataMode,$H372,FXMode)*Scale,"--"))</f>
        <v>--</v>
      </c>
      <c r="M372" s="2301" t="str">
        <f>IF(OR(M216=0,$G372=0),"--",IFERROR(_xll.ciqfunctions.udf.CIQ($G372,$I372,M124,Valuation_Date_GC,ReportType,DataMode,$H372,FXMode)*Scale,"--"))</f>
        <v>--</v>
      </c>
      <c r="N372" s="2301" t="str">
        <f>IF(OR(N216=0,$G372=0),"--",IFERROR(_xll.ciqfunctions.udf.CIQ($G372,$I372,N124,Valuation_Date_GC,ReportType,DataMode,$H372,FXMode)*Scale,"--"))</f>
        <v>--</v>
      </c>
      <c r="O372" s="1471" t="str">
        <f>IF(OR(O216=0,$G372=0),"--",IFERROR(_xll.ciqfunctions.udf.CIQ($G372,$I372,O124,Valuation_Date_GC,ReportType,DataMode,$H372,FXMode)*Scale,"--"))</f>
        <v>--</v>
      </c>
      <c r="P372" s="2301" t="str">
        <f>IF(OR(P216=0,$G372=0),"--",IFERROR(_xll.ciqfunctions.udf.CIQ($G372,$I372,P124,Valuation_Date_GC,ReportType,DataMode,$H372,FXMode)*Scale,"--"))</f>
        <v>--</v>
      </c>
      <c r="R372" s="255"/>
    </row>
    <row r="373" spans="1:23" s="89" customFormat="1" ht="13.9">
      <c r="A373" s="2060"/>
      <c r="B373" s="2060"/>
      <c r="D373" s="801"/>
      <c r="F373" s="57" t="s">
        <v>767</v>
      </c>
      <c r="G373" s="1442"/>
      <c r="H373" s="1442"/>
      <c r="I373" s="1442"/>
      <c r="J373" s="1442"/>
      <c r="K373" s="1443" t="str">
        <f t="shared" ref="K373:P373" si="135">IFERROR(MEDIAN(K348:K372),"--")</f>
        <v>--</v>
      </c>
      <c r="L373" s="1443" t="str">
        <f t="shared" si="135"/>
        <v>--</v>
      </c>
      <c r="M373" s="1443" t="str">
        <f t="shared" si="135"/>
        <v>--</v>
      </c>
      <c r="N373" s="1443" t="str">
        <f t="shared" si="135"/>
        <v>--</v>
      </c>
      <c r="O373" s="1444" t="str">
        <f t="shared" si="135"/>
        <v>--</v>
      </c>
      <c r="P373" s="1443" t="str">
        <f t="shared" si="135"/>
        <v>--</v>
      </c>
      <c r="R373" s="255"/>
    </row>
    <row r="374" spans="1:23" s="89" customFormat="1" ht="13.9">
      <c r="A374" s="2060"/>
      <c r="B374" s="2060"/>
      <c r="D374" s="778"/>
      <c r="E374" s="21"/>
      <c r="F374" s="446"/>
      <c r="G374" s="1441"/>
      <c r="H374" s="1441"/>
      <c r="I374" s="314"/>
      <c r="J374" s="314"/>
      <c r="K374" s="314"/>
      <c r="O374" s="75"/>
      <c r="P374" s="76"/>
      <c r="R374" s="255"/>
      <c r="W374" s="255"/>
    </row>
    <row r="375" spans="1:23" s="89" customFormat="1" ht="13.9">
      <c r="A375" s="2060"/>
      <c r="B375" s="2060"/>
      <c r="D375" s="778"/>
      <c r="E375" s="21"/>
      <c r="F375" s="446"/>
      <c r="G375" s="1441"/>
      <c r="H375" s="1441"/>
      <c r="I375" s="314"/>
      <c r="J375" s="314"/>
      <c r="K375" s="314"/>
      <c r="O375" s="75"/>
      <c r="P375" s="76"/>
      <c r="R375" s="255"/>
      <c r="W375" s="255"/>
    </row>
    <row r="376" spans="1:23" s="89" customFormat="1" ht="13.9">
      <c r="A376" s="2060"/>
      <c r="B376" s="2060"/>
      <c r="D376" s="801"/>
      <c r="F376" s="1446"/>
      <c r="I376" s="92"/>
      <c r="J376" s="92"/>
      <c r="K376" s="92"/>
      <c r="O376" s="75"/>
      <c r="P376" s="76"/>
      <c r="R376" s="255"/>
    </row>
    <row r="377" spans="1:23" s="89" customFormat="1" ht="13.9">
      <c r="A377" s="2060"/>
      <c r="B377" s="2060"/>
      <c r="D377" s="778">
        <f ca="1">MAX(OFFSET(D377,-1,0,-ROW(D377)+1,-2),1)+0.01</f>
        <v>4.0799999999999983</v>
      </c>
      <c r="E377" s="668"/>
      <c r="F377" s="952" t="s">
        <v>436</v>
      </c>
      <c r="G377" s="724" t="s">
        <v>777</v>
      </c>
      <c r="H377" s="724"/>
      <c r="I377" s="729"/>
      <c r="J377" s="729"/>
      <c r="K377" s="725" t="s">
        <v>700</v>
      </c>
      <c r="L377" s="725" t="s">
        <v>701</v>
      </c>
      <c r="M377" s="725" t="s">
        <v>702</v>
      </c>
      <c r="N377" s="725" t="s">
        <v>703</v>
      </c>
      <c r="O377" s="759" t="s">
        <v>704</v>
      </c>
      <c r="P377" s="725" t="s">
        <v>780</v>
      </c>
      <c r="R377" s="255"/>
      <c r="W377" s="255"/>
    </row>
    <row r="378" spans="1:23" s="89" customFormat="1" ht="13.9">
      <c r="A378" s="2060"/>
      <c r="B378" s="2060"/>
      <c r="D378" s="778"/>
      <c r="E378" s="1505"/>
      <c r="F378" s="1439" t="str">
        <f>F$128</f>
        <v/>
      </c>
      <c r="G378" s="1440">
        <f>G$128</f>
        <v>0</v>
      </c>
      <c r="H378" s="1440" t="str">
        <f>H$128</f>
        <v>USD</v>
      </c>
      <c r="I378" s="1445" t="s">
        <v>794</v>
      </c>
      <c r="J378" s="1445"/>
      <c r="K378" s="2299" t="str">
        <f>IF($G378=0,"--",IFERROR(_xll.ciqfunctions.udf.CIQ($G378,$I378,K99,Valuation_Date_GC,ReportType,DataMode,$H378,FXMode)*Scale,"--"))</f>
        <v>--</v>
      </c>
      <c r="L378" s="2299" t="str">
        <f>IF($G378=0,"--",IFERROR(_xll.ciqfunctions.udf.CIQ($G378,$I378,L99,Valuation_Date_GC,ReportType,DataMode,$H378,FXMode)*Scale,"--"))</f>
        <v>--</v>
      </c>
      <c r="M378" s="2299" t="str">
        <f>IF($G378=0,"--",IFERROR(_xll.ciqfunctions.udf.CIQ($G378,$I378,M99,Valuation_Date_GC,ReportType,DataMode,$H378,FXMode)*Scale,"--"))</f>
        <v>--</v>
      </c>
      <c r="N378" s="2299" t="str">
        <f>IF($G378=0,"--",IFERROR(_xll.ciqfunctions.udf.CIQ($G378,$I378,N99,Valuation_Date_GC,ReportType,DataMode,$H378,FXMode)*Scale,"--"))</f>
        <v>--</v>
      </c>
      <c r="O378" s="2134" t="str">
        <f>IF($G378=0,"--",IFERROR(_xll.ciqfunctions.udf.CIQ($G378,$I378,O99,Valuation_Date_GC,ReportType,DataMode,$H378,FXMode)*Scale,"--"))</f>
        <v>--</v>
      </c>
      <c r="P378" s="2299" t="str">
        <f>IF($G378=0,"--",IFERROR(_xll.ciqfunctions.udf.CIQ($G378,$I378,P99,Valuation_Date_GC,ReportType,DataMode,$H378,FXMode)*Scale,"--"))</f>
        <v>--</v>
      </c>
      <c r="R378" s="255"/>
    </row>
    <row r="379" spans="1:23" s="89" customFormat="1" ht="13.9">
      <c r="A379" s="269" t="str">
        <f>IF(F379="--","n","")</f>
        <v>n</v>
      </c>
      <c r="B379" s="2060"/>
      <c r="D379" s="801"/>
      <c r="E379" s="1505">
        <v>1</v>
      </c>
      <c r="F379" s="21" t="str">
        <f>F$129</f>
        <v>--</v>
      </c>
      <c r="G379" s="2112">
        <f>G$129</f>
        <v>0</v>
      </c>
      <c r="H379" s="1441" t="str">
        <f>H$129</f>
        <v>--</v>
      </c>
      <c r="I379" s="314" t="s">
        <v>794</v>
      </c>
      <c r="J379" s="314"/>
      <c r="K379" s="2301" t="str">
        <f>IF(OR(K192=0,$G379=0),"--",IFERROR(_xll.ciqfunctions.udf.CIQ($G379,$I379,K100,Valuation_Date_GC,ReportType,DataMode,$H379,FXMode)*Scale,"--"))</f>
        <v>--</v>
      </c>
      <c r="L379" s="2301" t="str">
        <f>IF(OR(L192=0,$G379=0),"--",IFERROR(_xll.ciqfunctions.udf.CIQ($G379,$I379,L100,Valuation_Date_GC,ReportType,DataMode,$H379,FXMode)*Scale,"--"))</f>
        <v>--</v>
      </c>
      <c r="M379" s="2301" t="str">
        <f>IF(OR(M192=0,$G379=0),"--",IFERROR(_xll.ciqfunctions.udf.CIQ($G379,$I379,M100,Valuation_Date_GC,ReportType,DataMode,$H379,FXMode)*Scale,"--"))</f>
        <v>--</v>
      </c>
      <c r="N379" s="2301" t="str">
        <f>IF(OR(N192=0,$G379=0),"--",IFERROR(_xll.ciqfunctions.udf.CIQ($G379,$I379,N100,Valuation_Date_GC,ReportType,DataMode,$H379,FXMode)*Scale,"--"))</f>
        <v>--</v>
      </c>
      <c r="O379" s="1471" t="str">
        <f>IF(OR(O192=0,$G379=0),"--",IFERROR(_xll.ciqfunctions.udf.CIQ($G379,$I379,O100,Valuation_Date_GC,ReportType,DataMode,$H379,FXMode)*Scale,"--"))</f>
        <v>--</v>
      </c>
      <c r="P379" s="2301" t="str">
        <f>IF(OR(P192=0,$G379=0),"--",IFERROR(_xll.ciqfunctions.udf.CIQ($G379,$I379,P100,Valuation_Date_GC,ReportType,DataMode,$H379,FXMode)*Scale,"--"))</f>
        <v>--</v>
      </c>
      <c r="R379" s="255"/>
    </row>
    <row r="380" spans="1:23" s="89" customFormat="1" ht="13.9">
      <c r="A380" s="269" t="str">
        <f t="shared" ref="A380:A403" si="136">IF(F380="--","n","")</f>
        <v>n</v>
      </c>
      <c r="B380" s="2060"/>
      <c r="D380" s="801"/>
      <c r="E380" s="1505">
        <v>2</v>
      </c>
      <c r="F380" s="21" t="str">
        <f>F$130</f>
        <v>--</v>
      </c>
      <c r="G380" s="2112">
        <f>G$130</f>
        <v>0</v>
      </c>
      <c r="H380" s="1441" t="str">
        <f>H$130</f>
        <v>--</v>
      </c>
      <c r="I380" s="314" t="s">
        <v>794</v>
      </c>
      <c r="J380" s="314"/>
      <c r="K380" s="2301" t="str">
        <f>IF(OR(K193=0,$G380=0),"--",IFERROR(_xll.ciqfunctions.udf.CIQ($G380,$I380,K101,Valuation_Date_GC,ReportType,DataMode,$H380,FXMode)*Scale,"--"))</f>
        <v>--</v>
      </c>
      <c r="L380" s="2301" t="str">
        <f>IF(OR(L193=0,$G380=0),"--",IFERROR(_xll.ciqfunctions.udf.CIQ($G380,$I380,L101,Valuation_Date_GC,ReportType,DataMode,$H380,FXMode)*Scale,"--"))</f>
        <v>--</v>
      </c>
      <c r="M380" s="2301" t="str">
        <f>IF(OR(M193=0,$G380=0),"--",IFERROR(_xll.ciqfunctions.udf.CIQ($G380,$I380,M101,Valuation_Date_GC,ReportType,DataMode,$H380,FXMode)*Scale,"--"))</f>
        <v>--</v>
      </c>
      <c r="N380" s="2301" t="str">
        <f>IF(OR(N193=0,$G380=0),"--",IFERROR(_xll.ciqfunctions.udf.CIQ($G380,$I380,N101,Valuation_Date_GC,ReportType,DataMode,$H380,FXMode)*Scale,"--"))</f>
        <v>--</v>
      </c>
      <c r="O380" s="1471" t="str">
        <f>IF(OR(O193=0,$G380=0),"--",IFERROR(_xll.ciqfunctions.udf.CIQ($G380,$I380,O101,Valuation_Date_GC,ReportType,DataMode,$H380,FXMode)*Scale,"--"))</f>
        <v>--</v>
      </c>
      <c r="P380" s="2301" t="str">
        <f>IF(OR(P193=0,$G380=0),"--",IFERROR(_xll.ciqfunctions.udf.CIQ($G380,$I380,P101,Valuation_Date_GC,ReportType,DataMode,$H380,FXMode)*Scale,"--"))</f>
        <v>--</v>
      </c>
      <c r="R380" s="255"/>
    </row>
    <row r="381" spans="1:23" s="89" customFormat="1" ht="13.9">
      <c r="A381" s="269" t="str">
        <f t="shared" si="136"/>
        <v>n</v>
      </c>
      <c r="B381" s="2060"/>
      <c r="D381" s="801"/>
      <c r="E381" s="1505">
        <v>3</v>
      </c>
      <c r="F381" s="21" t="str">
        <f>F$131</f>
        <v>--</v>
      </c>
      <c r="G381" s="2112">
        <f>G$131</f>
        <v>0</v>
      </c>
      <c r="H381" s="1441" t="str">
        <f>H$131</f>
        <v>--</v>
      </c>
      <c r="I381" s="314" t="s">
        <v>794</v>
      </c>
      <c r="J381" s="314"/>
      <c r="K381" s="2301" t="str">
        <f>IF(OR(K194=0,$G381=0),"--",IFERROR(_xll.ciqfunctions.udf.CIQ($G381,$I381,K102,Valuation_Date_GC,ReportType,DataMode,$H381,FXMode)*Scale,"--"))</f>
        <v>--</v>
      </c>
      <c r="L381" s="2301" t="str">
        <f>IF(OR(L194=0,$G381=0),"--",IFERROR(_xll.ciqfunctions.udf.CIQ($G381,$I381,L102,Valuation_Date_GC,ReportType,DataMode,$H381,FXMode)*Scale,"--"))</f>
        <v>--</v>
      </c>
      <c r="M381" s="2301" t="str">
        <f>IF(OR(M194=0,$G381=0),"--",IFERROR(_xll.ciqfunctions.udf.CIQ($G381,$I381,M102,Valuation_Date_GC,ReportType,DataMode,$H381,FXMode)*Scale,"--"))</f>
        <v>--</v>
      </c>
      <c r="N381" s="2301" t="str">
        <f>IF(OR(N194=0,$G381=0),"--",IFERROR(_xll.ciqfunctions.udf.CIQ($G381,$I381,N102,Valuation_Date_GC,ReportType,DataMode,$H381,FXMode)*Scale,"--"))</f>
        <v>--</v>
      </c>
      <c r="O381" s="1471" t="str">
        <f>IF(OR(O194=0,$G381=0),"--",IFERROR(_xll.ciqfunctions.udf.CIQ($G381,$I381,O102,Valuation_Date_GC,ReportType,DataMode,$H381,FXMode)*Scale,"--"))</f>
        <v>--</v>
      </c>
      <c r="P381" s="2301" t="str">
        <f>IF(OR(P194=0,$G381=0),"--",IFERROR(_xll.ciqfunctions.udf.CIQ($G381,$I381,P102,Valuation_Date_GC,ReportType,DataMode,$H381,FXMode)*Scale,"--"))</f>
        <v>--</v>
      </c>
      <c r="R381" s="255"/>
    </row>
    <row r="382" spans="1:23" s="89" customFormat="1" ht="13.9">
      <c r="A382" s="269" t="str">
        <f t="shared" si="136"/>
        <v>n</v>
      </c>
      <c r="B382" s="2060"/>
      <c r="D382" s="801"/>
      <c r="E382" s="1505">
        <v>4</v>
      </c>
      <c r="F382" s="21" t="str">
        <f>F$132</f>
        <v>--</v>
      </c>
      <c r="G382" s="2112">
        <f>G$132</f>
        <v>0</v>
      </c>
      <c r="H382" s="1441" t="str">
        <f>H$132</f>
        <v>--</v>
      </c>
      <c r="I382" s="314" t="s">
        <v>794</v>
      </c>
      <c r="J382" s="314"/>
      <c r="K382" s="2301" t="str">
        <f>IF(OR(K195=0,$G382=0),"--",IFERROR(_xll.ciqfunctions.udf.CIQ($G382,$I382,K103,Valuation_Date_GC,ReportType,DataMode,$H382,FXMode)*Scale,"--"))</f>
        <v>--</v>
      </c>
      <c r="L382" s="2301" t="str">
        <f>IF(OR(L195=0,$G382=0),"--",IFERROR(_xll.ciqfunctions.udf.CIQ($G382,$I382,L103,Valuation_Date_GC,ReportType,DataMode,$H382,FXMode)*Scale,"--"))</f>
        <v>--</v>
      </c>
      <c r="M382" s="2301" t="str">
        <f>IF(OR(M195=0,$G382=0),"--",IFERROR(_xll.ciqfunctions.udf.CIQ($G382,$I382,M103,Valuation_Date_GC,ReportType,DataMode,$H382,FXMode)*Scale,"--"))</f>
        <v>--</v>
      </c>
      <c r="N382" s="2301" t="str">
        <f>IF(OR(N195=0,$G382=0),"--",IFERROR(_xll.ciqfunctions.udf.CIQ($G382,$I382,N103,Valuation_Date_GC,ReportType,DataMode,$H382,FXMode)*Scale,"--"))</f>
        <v>--</v>
      </c>
      <c r="O382" s="1471" t="str">
        <f>IF(OR(O195=0,$G382=0),"--",IFERROR(_xll.ciqfunctions.udf.CIQ($G382,$I382,O103,Valuation_Date_GC,ReportType,DataMode,$H382,FXMode)*Scale,"--"))</f>
        <v>--</v>
      </c>
      <c r="P382" s="2301" t="str">
        <f>IF(OR(P195=0,$G382=0),"--",IFERROR(_xll.ciqfunctions.udf.CIQ($G382,$I382,P103,Valuation_Date_GC,ReportType,DataMode,$H382,FXMode)*Scale,"--"))</f>
        <v>--</v>
      </c>
      <c r="R382" s="255"/>
    </row>
    <row r="383" spans="1:23" s="89" customFormat="1" ht="13.9">
      <c r="A383" s="269" t="str">
        <f t="shared" si="136"/>
        <v>n</v>
      </c>
      <c r="B383" s="2060"/>
      <c r="D383" s="801"/>
      <c r="E383" s="1505">
        <v>5</v>
      </c>
      <c r="F383" s="21" t="str">
        <f>F$133</f>
        <v>--</v>
      </c>
      <c r="G383" s="2112">
        <f>G$133</f>
        <v>0</v>
      </c>
      <c r="H383" s="1441" t="str">
        <f>H$133</f>
        <v>--</v>
      </c>
      <c r="I383" s="314" t="s">
        <v>794</v>
      </c>
      <c r="J383" s="314"/>
      <c r="K383" s="2301" t="str">
        <f>IF(OR(K196=0,$G383=0),"--",IFERROR(_xll.ciqfunctions.udf.CIQ($G383,$I383,K104,Valuation_Date_GC,ReportType,DataMode,$H383,FXMode)*Scale,"--"))</f>
        <v>--</v>
      </c>
      <c r="L383" s="2301" t="str">
        <f>IF(OR(L196=0,$G383=0),"--",IFERROR(_xll.ciqfunctions.udf.CIQ($G383,$I383,L104,Valuation_Date_GC,ReportType,DataMode,$H383,FXMode)*Scale,"--"))</f>
        <v>--</v>
      </c>
      <c r="M383" s="2301" t="str">
        <f>IF(OR(M196=0,$G383=0),"--",IFERROR(_xll.ciqfunctions.udf.CIQ($G383,$I383,M104,Valuation_Date_GC,ReportType,DataMode,$H383,FXMode)*Scale,"--"))</f>
        <v>--</v>
      </c>
      <c r="N383" s="2301" t="str">
        <f>IF(OR(N196=0,$G383=0),"--",IFERROR(_xll.ciqfunctions.udf.CIQ($G383,$I383,N104,Valuation_Date_GC,ReportType,DataMode,$H383,FXMode)*Scale,"--"))</f>
        <v>--</v>
      </c>
      <c r="O383" s="1471" t="str">
        <f>IF(OR(O196=0,$G383=0),"--",IFERROR(_xll.ciqfunctions.udf.CIQ($G383,$I383,O104,Valuation_Date_GC,ReportType,DataMode,$H383,FXMode)*Scale,"--"))</f>
        <v>--</v>
      </c>
      <c r="P383" s="2301" t="str">
        <f>IF(OR(P196=0,$G383=0),"--",IFERROR(_xll.ciqfunctions.udf.CIQ($G383,$I383,P104,Valuation_Date_GC,ReportType,DataMode,$H383,FXMode)*Scale,"--"))</f>
        <v>--</v>
      </c>
      <c r="R383" s="255"/>
    </row>
    <row r="384" spans="1:23" s="89" customFormat="1" ht="13.9">
      <c r="A384" s="269" t="str">
        <f t="shared" si="136"/>
        <v>n</v>
      </c>
      <c r="B384" s="2060"/>
      <c r="D384" s="801"/>
      <c r="E384" s="1505">
        <v>6</v>
      </c>
      <c r="F384" s="21" t="str">
        <f>F$134</f>
        <v>--</v>
      </c>
      <c r="G384" s="2112">
        <f>G$134</f>
        <v>0</v>
      </c>
      <c r="H384" s="1441" t="str">
        <f>H$134</f>
        <v>--</v>
      </c>
      <c r="I384" s="314" t="s">
        <v>794</v>
      </c>
      <c r="J384" s="314"/>
      <c r="K384" s="2301" t="str">
        <f>IF(OR(K197=0,$G384=0),"--",IFERROR(_xll.ciqfunctions.udf.CIQ($G384,$I384,K105,Valuation_Date_GC,ReportType,DataMode,$H384,FXMode)*Scale,"--"))</f>
        <v>--</v>
      </c>
      <c r="L384" s="2301" t="str">
        <f>IF(OR(L197=0,$G384=0),"--",IFERROR(_xll.ciqfunctions.udf.CIQ($G384,$I384,L105,Valuation_Date_GC,ReportType,DataMode,$H384,FXMode)*Scale,"--"))</f>
        <v>--</v>
      </c>
      <c r="M384" s="2301" t="str">
        <f>IF(OR(M197=0,$G384=0),"--",IFERROR(_xll.ciqfunctions.udf.CIQ($G384,$I384,M105,Valuation_Date_GC,ReportType,DataMode,$H384,FXMode)*Scale,"--"))</f>
        <v>--</v>
      </c>
      <c r="N384" s="2301" t="str">
        <f>IF(OR(N197=0,$G384=0),"--",IFERROR(_xll.ciqfunctions.udf.CIQ($G384,$I384,N105,Valuation_Date_GC,ReportType,DataMode,$H384,FXMode)*Scale,"--"))</f>
        <v>--</v>
      </c>
      <c r="O384" s="1471" t="str">
        <f>IF(OR(O197=0,$G384=0),"--",IFERROR(_xll.ciqfunctions.udf.CIQ($G384,$I384,O105,Valuation_Date_GC,ReportType,DataMode,$H384,FXMode)*Scale,"--"))</f>
        <v>--</v>
      </c>
      <c r="P384" s="2301" t="str">
        <f>IF(OR(P197=0,$G384=0),"--",IFERROR(_xll.ciqfunctions.udf.CIQ($G384,$I384,P105,Valuation_Date_GC,ReportType,DataMode,$H384,FXMode)*Scale,"--"))</f>
        <v>--</v>
      </c>
      <c r="R384" s="255"/>
    </row>
    <row r="385" spans="1:18" s="89" customFormat="1" ht="13.9">
      <c r="A385" s="269" t="str">
        <f t="shared" si="136"/>
        <v>n</v>
      </c>
      <c r="B385" s="2060"/>
      <c r="D385" s="801"/>
      <c r="E385" s="1505">
        <v>7</v>
      </c>
      <c r="F385" s="21" t="str">
        <f>F$135</f>
        <v>--</v>
      </c>
      <c r="G385" s="2112">
        <f>G$135</f>
        <v>0</v>
      </c>
      <c r="H385" s="1441" t="str">
        <f>H$135</f>
        <v>--</v>
      </c>
      <c r="I385" s="314" t="s">
        <v>794</v>
      </c>
      <c r="J385" s="314"/>
      <c r="K385" s="2301" t="str">
        <f>IF(OR(K198=0,$G385=0),"--",IFERROR(_xll.ciqfunctions.udf.CIQ($G385,$I385,K106,Valuation_Date_GC,ReportType,DataMode,$H385,FXMode)*Scale,"--"))</f>
        <v>--</v>
      </c>
      <c r="L385" s="2301" t="str">
        <f>IF(OR(L198=0,$G385=0),"--",IFERROR(_xll.ciqfunctions.udf.CIQ($G385,$I385,L106,Valuation_Date_GC,ReportType,DataMode,$H385,FXMode)*Scale,"--"))</f>
        <v>--</v>
      </c>
      <c r="M385" s="2301" t="str">
        <f>IF(OR(M198=0,$G385=0),"--",IFERROR(_xll.ciqfunctions.udf.CIQ($G385,$I385,M106,Valuation_Date_GC,ReportType,DataMode,$H385,FXMode)*Scale,"--"))</f>
        <v>--</v>
      </c>
      <c r="N385" s="2301" t="str">
        <f>IF(OR(N198=0,$G385=0),"--",IFERROR(_xll.ciqfunctions.udf.CIQ($G385,$I385,N106,Valuation_Date_GC,ReportType,DataMode,$H385,FXMode)*Scale,"--"))</f>
        <v>--</v>
      </c>
      <c r="O385" s="1471" t="str">
        <f>IF(OR(O198=0,$G385=0),"--",IFERROR(_xll.ciqfunctions.udf.CIQ($G385,$I385,O106,Valuation_Date_GC,ReportType,DataMode,$H385,FXMode)*Scale,"--"))</f>
        <v>--</v>
      </c>
      <c r="P385" s="2301" t="str">
        <f>IF(OR(P198=0,$G385=0),"--",IFERROR(_xll.ciqfunctions.udf.CIQ($G385,$I385,P106,Valuation_Date_GC,ReportType,DataMode,$H385,FXMode)*Scale,"--"))</f>
        <v>--</v>
      </c>
      <c r="R385" s="255"/>
    </row>
    <row r="386" spans="1:18" s="89" customFormat="1" ht="13.9">
      <c r="A386" s="269" t="str">
        <f t="shared" si="136"/>
        <v>n</v>
      </c>
      <c r="B386" s="2060"/>
      <c r="D386" s="801"/>
      <c r="E386" s="1505">
        <v>8</v>
      </c>
      <c r="F386" s="21" t="str">
        <f>F$136</f>
        <v>--</v>
      </c>
      <c r="G386" s="2112">
        <f>G$136</f>
        <v>0</v>
      </c>
      <c r="H386" s="1441" t="str">
        <f>H$136</f>
        <v>--</v>
      </c>
      <c r="I386" s="314" t="s">
        <v>794</v>
      </c>
      <c r="J386" s="314"/>
      <c r="K386" s="2301" t="str">
        <f>IF(OR(K199=0,$G386=0),"--",IFERROR(_xll.ciqfunctions.udf.CIQ($G386,$I386,K107,Valuation_Date_GC,ReportType,DataMode,$H386,FXMode)*Scale,"--"))</f>
        <v>--</v>
      </c>
      <c r="L386" s="2301" t="str">
        <f>IF(OR(L199=0,$G386=0),"--",IFERROR(_xll.ciqfunctions.udf.CIQ($G386,$I386,L107,Valuation_Date_GC,ReportType,DataMode,$H386,FXMode)*Scale,"--"))</f>
        <v>--</v>
      </c>
      <c r="M386" s="2301" t="str">
        <f>IF(OR(M199=0,$G386=0),"--",IFERROR(_xll.ciqfunctions.udf.CIQ($G386,$I386,M107,Valuation_Date_GC,ReportType,DataMode,$H386,FXMode)*Scale,"--"))</f>
        <v>--</v>
      </c>
      <c r="N386" s="2301" t="str">
        <f>IF(OR(N199=0,$G386=0),"--",IFERROR(_xll.ciqfunctions.udf.CIQ($G386,$I386,N107,Valuation_Date_GC,ReportType,DataMode,$H386,FXMode)*Scale,"--"))</f>
        <v>--</v>
      </c>
      <c r="O386" s="1471" t="str">
        <f>IF(OR(O199=0,$G386=0),"--",IFERROR(_xll.ciqfunctions.udf.CIQ($G386,$I386,O107,Valuation_Date_GC,ReportType,DataMode,$H386,FXMode)*Scale,"--"))</f>
        <v>--</v>
      </c>
      <c r="P386" s="2301" t="str">
        <f>IF(OR(P199=0,$G386=0),"--",IFERROR(_xll.ciqfunctions.udf.CIQ($G386,$I386,P107,Valuation_Date_GC,ReportType,DataMode,$H386,FXMode)*Scale,"--"))</f>
        <v>--</v>
      </c>
      <c r="R386" s="255"/>
    </row>
    <row r="387" spans="1:18" s="89" customFormat="1" ht="13.9">
      <c r="A387" s="269" t="str">
        <f t="shared" si="136"/>
        <v>n</v>
      </c>
      <c r="B387" s="2060"/>
      <c r="D387" s="801"/>
      <c r="E387" s="1505">
        <v>9</v>
      </c>
      <c r="F387" s="21" t="str">
        <f>F$137</f>
        <v>--</v>
      </c>
      <c r="G387" s="2112">
        <f>G$137</f>
        <v>0</v>
      </c>
      <c r="H387" s="1441" t="str">
        <f>H$137</f>
        <v>--</v>
      </c>
      <c r="I387" s="314" t="s">
        <v>794</v>
      </c>
      <c r="J387" s="314"/>
      <c r="K387" s="2301" t="str">
        <f>IF(OR(K200=0,$G387=0),"--",IFERROR(_xll.ciqfunctions.udf.CIQ($G387,$I387,K108,Valuation_Date_GC,ReportType,DataMode,$H387,FXMode)*Scale,"--"))</f>
        <v>--</v>
      </c>
      <c r="L387" s="2301" t="str">
        <f>IF(OR(L200=0,$G387=0),"--",IFERROR(_xll.ciqfunctions.udf.CIQ($G387,$I387,L108,Valuation_Date_GC,ReportType,DataMode,$H387,FXMode)*Scale,"--"))</f>
        <v>--</v>
      </c>
      <c r="M387" s="2301" t="str">
        <f>IF(OR(M200=0,$G387=0),"--",IFERROR(_xll.ciqfunctions.udf.CIQ($G387,$I387,M108,Valuation_Date_GC,ReportType,DataMode,$H387,FXMode)*Scale,"--"))</f>
        <v>--</v>
      </c>
      <c r="N387" s="2301" t="str">
        <f>IF(OR(N200=0,$G387=0),"--",IFERROR(_xll.ciqfunctions.udf.CIQ($G387,$I387,N108,Valuation_Date_GC,ReportType,DataMode,$H387,FXMode)*Scale,"--"))</f>
        <v>--</v>
      </c>
      <c r="O387" s="1471" t="str">
        <f>IF(OR(O200=0,$G387=0),"--",IFERROR(_xll.ciqfunctions.udf.CIQ($G387,$I387,O108,Valuation_Date_GC,ReportType,DataMode,$H387,FXMode)*Scale,"--"))</f>
        <v>--</v>
      </c>
      <c r="P387" s="2301" t="str">
        <f>IF(OR(P200=0,$G387=0),"--",IFERROR(_xll.ciqfunctions.udf.CIQ($G387,$I387,P108,Valuation_Date_GC,ReportType,DataMode,$H387,FXMode)*Scale,"--"))</f>
        <v>--</v>
      </c>
      <c r="R387" s="255"/>
    </row>
    <row r="388" spans="1:18" s="89" customFormat="1" ht="13.9">
      <c r="A388" s="269" t="str">
        <f t="shared" si="136"/>
        <v>n</v>
      </c>
      <c r="B388" s="2060"/>
      <c r="D388" s="801"/>
      <c r="E388" s="1505">
        <v>10</v>
      </c>
      <c r="F388" s="21" t="str">
        <f>F$138</f>
        <v>--</v>
      </c>
      <c r="G388" s="2112">
        <f>G$138</f>
        <v>0</v>
      </c>
      <c r="H388" s="1441" t="str">
        <f>H$138</f>
        <v>--</v>
      </c>
      <c r="I388" s="314" t="s">
        <v>794</v>
      </c>
      <c r="J388" s="314"/>
      <c r="K388" s="2301" t="str">
        <f>IF(OR(K201=0,$G388=0),"--",IFERROR(_xll.ciqfunctions.udf.CIQ($G388,$I388,K109,Valuation_Date_GC,ReportType,DataMode,$H388,FXMode)*Scale,"--"))</f>
        <v>--</v>
      </c>
      <c r="L388" s="2301" t="str">
        <f>IF(OR(L201=0,$G388=0),"--",IFERROR(_xll.ciqfunctions.udf.CIQ($G388,$I388,L109,Valuation_Date_GC,ReportType,DataMode,$H388,FXMode)*Scale,"--"))</f>
        <v>--</v>
      </c>
      <c r="M388" s="2301" t="str">
        <f>IF(OR(M201=0,$G388=0),"--",IFERROR(_xll.ciqfunctions.udf.CIQ($G388,$I388,M109,Valuation_Date_GC,ReportType,DataMode,$H388,FXMode)*Scale,"--"))</f>
        <v>--</v>
      </c>
      <c r="N388" s="2301" t="str">
        <f>IF(OR(N201=0,$G388=0),"--",IFERROR(_xll.ciqfunctions.udf.CIQ($G388,$I388,N109,Valuation_Date_GC,ReportType,DataMode,$H388,FXMode)*Scale,"--"))</f>
        <v>--</v>
      </c>
      <c r="O388" s="1471" t="str">
        <f>IF(OR(O201=0,$G388=0),"--",IFERROR(_xll.ciqfunctions.udf.CIQ($G388,$I388,O109,Valuation_Date_GC,ReportType,DataMode,$H388,FXMode)*Scale,"--"))</f>
        <v>--</v>
      </c>
      <c r="P388" s="2301" t="str">
        <f>IF(OR(P201=0,$G388=0),"--",IFERROR(_xll.ciqfunctions.udf.CIQ($G388,$I388,P109,Valuation_Date_GC,ReportType,DataMode,$H388,FXMode)*Scale,"--"))</f>
        <v>--</v>
      </c>
      <c r="R388" s="255"/>
    </row>
    <row r="389" spans="1:18" s="89" customFormat="1" ht="13.9">
      <c r="A389" s="269" t="str">
        <f t="shared" si="136"/>
        <v>n</v>
      </c>
      <c r="B389" s="2060"/>
      <c r="D389" s="801"/>
      <c r="E389" s="1505">
        <v>11</v>
      </c>
      <c r="F389" s="21" t="str">
        <f>F$139</f>
        <v>--</v>
      </c>
      <c r="G389" s="2112">
        <f>G$139</f>
        <v>0</v>
      </c>
      <c r="H389" s="1441" t="str">
        <f>H$139</f>
        <v>--</v>
      </c>
      <c r="I389" s="314" t="s">
        <v>794</v>
      </c>
      <c r="J389" s="314"/>
      <c r="K389" s="2301" t="str">
        <f>IF(OR(K202=0,$G389=0),"--",IFERROR(_xll.ciqfunctions.udf.CIQ($G389,$I389,K110,Valuation_Date_GC,ReportType,DataMode,$H389,FXMode)*Scale,"--"))</f>
        <v>--</v>
      </c>
      <c r="L389" s="2301" t="str">
        <f>IF(OR(L202=0,$G389=0),"--",IFERROR(_xll.ciqfunctions.udf.CIQ($G389,$I389,L110,Valuation_Date_GC,ReportType,DataMode,$H389,FXMode)*Scale,"--"))</f>
        <v>--</v>
      </c>
      <c r="M389" s="2301" t="str">
        <f>IF(OR(M202=0,$G389=0),"--",IFERROR(_xll.ciqfunctions.udf.CIQ($G389,$I389,M110,Valuation_Date_GC,ReportType,DataMode,$H389,FXMode)*Scale,"--"))</f>
        <v>--</v>
      </c>
      <c r="N389" s="2301" t="str">
        <f>IF(OR(N202=0,$G389=0),"--",IFERROR(_xll.ciqfunctions.udf.CIQ($G389,$I389,N110,Valuation_Date_GC,ReportType,DataMode,$H389,FXMode)*Scale,"--"))</f>
        <v>--</v>
      </c>
      <c r="O389" s="1471" t="str">
        <f>IF(OR(O202=0,$G389=0),"--",IFERROR(_xll.ciqfunctions.udf.CIQ($G389,$I389,O110,Valuation_Date_GC,ReportType,DataMode,$H389,FXMode)*Scale,"--"))</f>
        <v>--</v>
      </c>
      <c r="P389" s="2301" t="str">
        <f>IF(OR(P202=0,$G389=0),"--",IFERROR(_xll.ciqfunctions.udf.CIQ($G389,$I389,P110,Valuation_Date_GC,ReportType,DataMode,$H389,FXMode)*Scale,"--"))</f>
        <v>--</v>
      </c>
      <c r="R389" s="255"/>
    </row>
    <row r="390" spans="1:18" s="89" customFormat="1" ht="13.9">
      <c r="A390" s="269" t="str">
        <f t="shared" si="136"/>
        <v>n</v>
      </c>
      <c r="B390" s="2060"/>
      <c r="D390" s="801"/>
      <c r="E390" s="1505">
        <v>12</v>
      </c>
      <c r="F390" s="21" t="str">
        <f>F$140</f>
        <v>--</v>
      </c>
      <c r="G390" s="2112">
        <f>G$140</f>
        <v>0</v>
      </c>
      <c r="H390" s="1441" t="str">
        <f>H$140</f>
        <v>--</v>
      </c>
      <c r="I390" s="314" t="s">
        <v>794</v>
      </c>
      <c r="J390" s="314"/>
      <c r="K390" s="2301" t="str">
        <f>IF(OR(K203=0,$G390=0),"--",IFERROR(_xll.ciqfunctions.udf.CIQ($G390,$I390,K111,Valuation_Date_GC,ReportType,DataMode,$H390,FXMode)*Scale,"--"))</f>
        <v>--</v>
      </c>
      <c r="L390" s="2301" t="str">
        <f>IF(OR(L203=0,$G390=0),"--",IFERROR(_xll.ciqfunctions.udf.CIQ($G390,$I390,L111,Valuation_Date_GC,ReportType,DataMode,$H390,FXMode)*Scale,"--"))</f>
        <v>--</v>
      </c>
      <c r="M390" s="2301" t="str">
        <f>IF(OR(M203=0,$G390=0),"--",IFERROR(_xll.ciqfunctions.udf.CIQ($G390,$I390,M111,Valuation_Date_GC,ReportType,DataMode,$H390,FXMode)*Scale,"--"))</f>
        <v>--</v>
      </c>
      <c r="N390" s="2301" t="str">
        <f>IF(OR(N203=0,$G390=0),"--",IFERROR(_xll.ciqfunctions.udf.CIQ($G390,$I390,N111,Valuation_Date_GC,ReportType,DataMode,$H390,FXMode)*Scale,"--"))</f>
        <v>--</v>
      </c>
      <c r="O390" s="1471" t="str">
        <f>IF(OR(O203=0,$G390=0),"--",IFERROR(_xll.ciqfunctions.udf.CIQ($G390,$I390,O111,Valuation_Date_GC,ReportType,DataMode,$H390,FXMode)*Scale,"--"))</f>
        <v>--</v>
      </c>
      <c r="P390" s="2301" t="str">
        <f>IF(OR(P203=0,$G390=0),"--",IFERROR(_xll.ciqfunctions.udf.CIQ($G390,$I390,P111,Valuation_Date_GC,ReportType,DataMode,$H390,FXMode)*Scale,"--"))</f>
        <v>--</v>
      </c>
      <c r="R390" s="255"/>
    </row>
    <row r="391" spans="1:18" s="89" customFormat="1" ht="13.9">
      <c r="A391" s="269" t="str">
        <f t="shared" si="136"/>
        <v>n</v>
      </c>
      <c r="B391" s="2060"/>
      <c r="D391" s="801"/>
      <c r="E391" s="1505">
        <v>13</v>
      </c>
      <c r="F391" s="21" t="str">
        <f>F$141</f>
        <v>--</v>
      </c>
      <c r="G391" s="2112">
        <f>G$141</f>
        <v>0</v>
      </c>
      <c r="H391" s="1441" t="str">
        <f>H$141</f>
        <v>--</v>
      </c>
      <c r="I391" s="314" t="s">
        <v>794</v>
      </c>
      <c r="J391" s="314"/>
      <c r="K391" s="2301" t="str">
        <f>IF(OR(K204=0,$G391=0),"--",IFERROR(_xll.ciqfunctions.udf.CIQ($G391,$I391,K112,Valuation_Date_GC,ReportType,DataMode,$H391,FXMode)*Scale,"--"))</f>
        <v>--</v>
      </c>
      <c r="L391" s="2301" t="str">
        <f>IF(OR(L204=0,$G391=0),"--",IFERROR(_xll.ciqfunctions.udf.CIQ($G391,$I391,L112,Valuation_Date_GC,ReportType,DataMode,$H391,FXMode)*Scale,"--"))</f>
        <v>--</v>
      </c>
      <c r="M391" s="2301" t="str">
        <f>IF(OR(M204=0,$G391=0),"--",IFERROR(_xll.ciqfunctions.udf.CIQ($G391,$I391,M112,Valuation_Date_GC,ReportType,DataMode,$H391,FXMode)*Scale,"--"))</f>
        <v>--</v>
      </c>
      <c r="N391" s="2301" t="str">
        <f>IF(OR(N204=0,$G391=0),"--",IFERROR(_xll.ciqfunctions.udf.CIQ($G391,$I391,N112,Valuation_Date_GC,ReportType,DataMode,$H391,FXMode)*Scale,"--"))</f>
        <v>--</v>
      </c>
      <c r="O391" s="1471" t="str">
        <f>IF(OR(O204=0,$G391=0),"--",IFERROR(_xll.ciqfunctions.udf.CIQ($G391,$I391,O112,Valuation_Date_GC,ReportType,DataMode,$H391,FXMode)*Scale,"--"))</f>
        <v>--</v>
      </c>
      <c r="P391" s="2301" t="str">
        <f>IF(OR(P204=0,$G391=0),"--",IFERROR(_xll.ciqfunctions.udf.CIQ($G391,$I391,P112,Valuation_Date_GC,ReportType,DataMode,$H391,FXMode)*Scale,"--"))</f>
        <v>--</v>
      </c>
      <c r="R391" s="255"/>
    </row>
    <row r="392" spans="1:18" s="89" customFormat="1" ht="13.9">
      <c r="A392" s="269" t="str">
        <f t="shared" si="136"/>
        <v>n</v>
      </c>
      <c r="B392" s="2060"/>
      <c r="D392" s="801"/>
      <c r="E392" s="1505">
        <v>14</v>
      </c>
      <c r="F392" s="21" t="str">
        <f>F$142</f>
        <v>--</v>
      </c>
      <c r="G392" s="2112">
        <f>G$142</f>
        <v>0</v>
      </c>
      <c r="H392" s="1441" t="str">
        <f>H$142</f>
        <v>--</v>
      </c>
      <c r="I392" s="314" t="s">
        <v>794</v>
      </c>
      <c r="J392" s="314"/>
      <c r="K392" s="2301" t="str">
        <f>IF(OR(K205=0,$G392=0),"--",IFERROR(_xll.ciqfunctions.udf.CIQ($G392,$I392,K113,Valuation_Date_GC,ReportType,DataMode,$H392,FXMode)*Scale,"--"))</f>
        <v>--</v>
      </c>
      <c r="L392" s="2301" t="str">
        <f>IF(OR(L205=0,$G392=0),"--",IFERROR(_xll.ciqfunctions.udf.CIQ($G392,$I392,L113,Valuation_Date_GC,ReportType,DataMode,$H392,FXMode)*Scale,"--"))</f>
        <v>--</v>
      </c>
      <c r="M392" s="2301" t="str">
        <f>IF(OR(M205=0,$G392=0),"--",IFERROR(_xll.ciqfunctions.udf.CIQ($G392,$I392,M113,Valuation_Date_GC,ReportType,DataMode,$H392,FXMode)*Scale,"--"))</f>
        <v>--</v>
      </c>
      <c r="N392" s="2301" t="str">
        <f>IF(OR(N205=0,$G392=0),"--",IFERROR(_xll.ciqfunctions.udf.CIQ($G392,$I392,N113,Valuation_Date_GC,ReportType,DataMode,$H392,FXMode)*Scale,"--"))</f>
        <v>--</v>
      </c>
      <c r="O392" s="1471" t="str">
        <f>IF(OR(O205=0,$G392=0),"--",IFERROR(_xll.ciqfunctions.udf.CIQ($G392,$I392,O113,Valuation_Date_GC,ReportType,DataMode,$H392,FXMode)*Scale,"--"))</f>
        <v>--</v>
      </c>
      <c r="P392" s="2301" t="str">
        <f>IF(OR(P205=0,$G392=0),"--",IFERROR(_xll.ciqfunctions.udf.CIQ($G392,$I392,P113,Valuation_Date_GC,ReportType,DataMode,$H392,FXMode)*Scale,"--"))</f>
        <v>--</v>
      </c>
      <c r="R392" s="255"/>
    </row>
    <row r="393" spans="1:18" s="89" customFormat="1" ht="13.9">
      <c r="A393" s="269" t="str">
        <f t="shared" si="136"/>
        <v>n</v>
      </c>
      <c r="B393" s="2060"/>
      <c r="D393" s="801"/>
      <c r="E393" s="1505">
        <v>15</v>
      </c>
      <c r="F393" s="21" t="str">
        <f>F$143</f>
        <v>--</v>
      </c>
      <c r="G393" s="2112">
        <f>G$143</f>
        <v>0</v>
      </c>
      <c r="H393" s="1441" t="str">
        <f>H$143</f>
        <v>--</v>
      </c>
      <c r="I393" s="314" t="s">
        <v>794</v>
      </c>
      <c r="J393" s="314"/>
      <c r="K393" s="2301" t="str">
        <f>IF(OR(K206=0,$G393=0),"--",IFERROR(_xll.ciqfunctions.udf.CIQ($G393,$I393,K114,Valuation_Date_GC,ReportType,DataMode,$H393,FXMode)*Scale,"--"))</f>
        <v>--</v>
      </c>
      <c r="L393" s="2301" t="str">
        <f>IF(OR(L206=0,$G393=0),"--",IFERROR(_xll.ciqfunctions.udf.CIQ($G393,$I393,L114,Valuation_Date_GC,ReportType,DataMode,$H393,FXMode)*Scale,"--"))</f>
        <v>--</v>
      </c>
      <c r="M393" s="2301" t="str">
        <f>IF(OR(M206=0,$G393=0),"--",IFERROR(_xll.ciqfunctions.udf.CIQ($G393,$I393,M114,Valuation_Date_GC,ReportType,DataMode,$H393,FXMode)*Scale,"--"))</f>
        <v>--</v>
      </c>
      <c r="N393" s="2301" t="str">
        <f>IF(OR(N206=0,$G393=0),"--",IFERROR(_xll.ciqfunctions.udf.CIQ($G393,$I393,N114,Valuation_Date_GC,ReportType,DataMode,$H393,FXMode)*Scale,"--"))</f>
        <v>--</v>
      </c>
      <c r="O393" s="1471" t="str">
        <f>IF(OR(O206=0,$G393=0),"--",IFERROR(_xll.ciqfunctions.udf.CIQ($G393,$I393,O114,Valuation_Date_GC,ReportType,DataMode,$H393,FXMode)*Scale,"--"))</f>
        <v>--</v>
      </c>
      <c r="P393" s="2301" t="str">
        <f>IF(OR(P206=0,$G393=0),"--",IFERROR(_xll.ciqfunctions.udf.CIQ($G393,$I393,P114,Valuation_Date_GC,ReportType,DataMode,$H393,FXMode)*Scale,"--"))</f>
        <v>--</v>
      </c>
      <c r="R393" s="255"/>
    </row>
    <row r="394" spans="1:18" s="89" customFormat="1" ht="13.9">
      <c r="A394" s="269" t="str">
        <f t="shared" si="136"/>
        <v>n</v>
      </c>
      <c r="B394" s="2060"/>
      <c r="D394" s="801"/>
      <c r="E394" s="1505">
        <v>16</v>
      </c>
      <c r="F394" s="21" t="str">
        <f>F$144</f>
        <v>--</v>
      </c>
      <c r="G394" s="2112">
        <f>G$144</f>
        <v>0</v>
      </c>
      <c r="H394" s="1441" t="str">
        <f>H$144</f>
        <v>--</v>
      </c>
      <c r="I394" s="314" t="s">
        <v>794</v>
      </c>
      <c r="J394" s="314"/>
      <c r="K394" s="2301" t="str">
        <f>IF(OR(K207=0,$G394=0),"--",IFERROR(_xll.ciqfunctions.udf.CIQ($G394,$I394,K115,Valuation_Date_GC,ReportType,DataMode,$H394,FXMode)*Scale,"--"))</f>
        <v>--</v>
      </c>
      <c r="L394" s="2301" t="str">
        <f>IF(OR(L207=0,$G394=0),"--",IFERROR(_xll.ciqfunctions.udf.CIQ($G394,$I394,L115,Valuation_Date_GC,ReportType,DataMode,$H394,FXMode)*Scale,"--"))</f>
        <v>--</v>
      </c>
      <c r="M394" s="2301" t="str">
        <f>IF(OR(M207=0,$G394=0),"--",IFERROR(_xll.ciqfunctions.udf.CIQ($G394,$I394,M115,Valuation_Date_GC,ReportType,DataMode,$H394,FXMode)*Scale,"--"))</f>
        <v>--</v>
      </c>
      <c r="N394" s="2301" t="str">
        <f>IF(OR(N207=0,$G394=0),"--",IFERROR(_xll.ciqfunctions.udf.CIQ($G394,$I394,N115,Valuation_Date_GC,ReportType,DataMode,$H394,FXMode)*Scale,"--"))</f>
        <v>--</v>
      </c>
      <c r="O394" s="1471" t="str">
        <f>IF(OR(O207=0,$G394=0),"--",IFERROR(_xll.ciqfunctions.udf.CIQ($G394,$I394,O115,Valuation_Date_GC,ReportType,DataMode,$H394,FXMode)*Scale,"--"))</f>
        <v>--</v>
      </c>
      <c r="P394" s="2301" t="str">
        <f>IF(OR(P207=0,$G394=0),"--",IFERROR(_xll.ciqfunctions.udf.CIQ($G394,$I394,P115,Valuation_Date_GC,ReportType,DataMode,$H394,FXMode)*Scale,"--"))</f>
        <v>--</v>
      </c>
      <c r="R394" s="255"/>
    </row>
    <row r="395" spans="1:18" s="89" customFormat="1" ht="13.9">
      <c r="A395" s="269" t="str">
        <f t="shared" si="136"/>
        <v>n</v>
      </c>
      <c r="B395" s="2060"/>
      <c r="D395" s="801"/>
      <c r="E395" s="1505">
        <v>17</v>
      </c>
      <c r="F395" s="21" t="str">
        <f>F$145</f>
        <v>--</v>
      </c>
      <c r="G395" s="2112">
        <f>G$145</f>
        <v>0</v>
      </c>
      <c r="H395" s="1441" t="str">
        <f>H$145</f>
        <v>--</v>
      </c>
      <c r="I395" s="314" t="s">
        <v>794</v>
      </c>
      <c r="J395" s="314"/>
      <c r="K395" s="2301" t="str">
        <f>IF(OR(K208=0,$G395=0),"--",IFERROR(_xll.ciqfunctions.udf.CIQ($G395,$I395,K116,Valuation_Date_GC,ReportType,DataMode,$H395,FXMode)*Scale,"--"))</f>
        <v>--</v>
      </c>
      <c r="L395" s="2301" t="str">
        <f>IF(OR(L208=0,$G395=0),"--",IFERROR(_xll.ciqfunctions.udf.CIQ($G395,$I395,L116,Valuation_Date_GC,ReportType,DataMode,$H395,FXMode)*Scale,"--"))</f>
        <v>--</v>
      </c>
      <c r="M395" s="2301" t="str">
        <f>IF(OR(M208=0,$G395=0),"--",IFERROR(_xll.ciqfunctions.udf.CIQ($G395,$I395,M116,Valuation_Date_GC,ReportType,DataMode,$H395,FXMode)*Scale,"--"))</f>
        <v>--</v>
      </c>
      <c r="N395" s="2301" t="str">
        <f>IF(OR(N208=0,$G395=0),"--",IFERROR(_xll.ciqfunctions.udf.CIQ($G395,$I395,N116,Valuation_Date_GC,ReportType,DataMode,$H395,FXMode)*Scale,"--"))</f>
        <v>--</v>
      </c>
      <c r="O395" s="1471" t="str">
        <f>IF(OR(O208=0,$G395=0),"--",IFERROR(_xll.ciqfunctions.udf.CIQ($G395,$I395,O116,Valuation_Date_GC,ReportType,DataMode,$H395,FXMode)*Scale,"--"))</f>
        <v>--</v>
      </c>
      <c r="P395" s="2301" t="str">
        <f>IF(OR(P208=0,$G395=0),"--",IFERROR(_xll.ciqfunctions.udf.CIQ($G395,$I395,P116,Valuation_Date_GC,ReportType,DataMode,$H395,FXMode)*Scale,"--"))</f>
        <v>--</v>
      </c>
      <c r="R395" s="255"/>
    </row>
    <row r="396" spans="1:18" s="89" customFormat="1" ht="13.9">
      <c r="A396" s="269" t="str">
        <f t="shared" si="136"/>
        <v>n</v>
      </c>
      <c r="B396" s="2060"/>
      <c r="D396" s="801"/>
      <c r="E396" s="1505">
        <v>18</v>
      </c>
      <c r="F396" s="21" t="str">
        <f>F$146</f>
        <v>--</v>
      </c>
      <c r="G396" s="2112">
        <f>G$146</f>
        <v>0</v>
      </c>
      <c r="H396" s="1441" t="str">
        <f>H$146</f>
        <v>--</v>
      </c>
      <c r="I396" s="314" t="s">
        <v>794</v>
      </c>
      <c r="J396" s="314"/>
      <c r="K396" s="2301" t="str">
        <f>IF(OR(K209=0,$G396=0),"--",IFERROR(_xll.ciqfunctions.udf.CIQ($G396,$I396,K117,Valuation_Date_GC,ReportType,DataMode,$H396,FXMode)*Scale,"--"))</f>
        <v>--</v>
      </c>
      <c r="L396" s="2301" t="str">
        <f>IF(OR(L209=0,$G396=0),"--",IFERROR(_xll.ciqfunctions.udf.CIQ($G396,$I396,L117,Valuation_Date_GC,ReportType,DataMode,$H396,FXMode)*Scale,"--"))</f>
        <v>--</v>
      </c>
      <c r="M396" s="2301" t="str">
        <f>IF(OR(M209=0,$G396=0),"--",IFERROR(_xll.ciqfunctions.udf.CIQ($G396,$I396,M117,Valuation_Date_GC,ReportType,DataMode,$H396,FXMode)*Scale,"--"))</f>
        <v>--</v>
      </c>
      <c r="N396" s="2301" t="str">
        <f>IF(OR(N209=0,$G396=0),"--",IFERROR(_xll.ciqfunctions.udf.CIQ($G396,$I396,N117,Valuation_Date_GC,ReportType,DataMode,$H396,FXMode)*Scale,"--"))</f>
        <v>--</v>
      </c>
      <c r="O396" s="1471" t="str">
        <f>IF(OR(O209=0,$G396=0),"--",IFERROR(_xll.ciqfunctions.udf.CIQ($G396,$I396,O117,Valuation_Date_GC,ReportType,DataMode,$H396,FXMode)*Scale,"--"))</f>
        <v>--</v>
      </c>
      <c r="P396" s="2301" t="str">
        <f>IF(OR(P209=0,$G396=0),"--",IFERROR(_xll.ciqfunctions.udf.CIQ($G396,$I396,P117,Valuation_Date_GC,ReportType,DataMode,$H396,FXMode)*Scale,"--"))</f>
        <v>--</v>
      </c>
      <c r="R396" s="255"/>
    </row>
    <row r="397" spans="1:18" s="89" customFormat="1" ht="13.9">
      <c r="A397" s="269" t="str">
        <f t="shared" si="136"/>
        <v>n</v>
      </c>
      <c r="B397" s="2060"/>
      <c r="D397" s="801"/>
      <c r="E397" s="1505">
        <v>19</v>
      </c>
      <c r="F397" s="21" t="str">
        <f>F$147</f>
        <v>--</v>
      </c>
      <c r="G397" s="2112">
        <f>G$147</f>
        <v>0</v>
      </c>
      <c r="H397" s="1441" t="str">
        <f>H$147</f>
        <v>--</v>
      </c>
      <c r="I397" s="314" t="s">
        <v>794</v>
      </c>
      <c r="J397" s="314"/>
      <c r="K397" s="2301" t="str">
        <f>IF(OR(K210=0,$G397=0),"--",IFERROR(_xll.ciqfunctions.udf.CIQ($G397,$I397,K118,Valuation_Date_GC,ReportType,DataMode,$H397,FXMode)*Scale,"--"))</f>
        <v>--</v>
      </c>
      <c r="L397" s="2301" t="str">
        <f>IF(OR(L210=0,$G397=0),"--",IFERROR(_xll.ciqfunctions.udf.CIQ($G397,$I397,L118,Valuation_Date_GC,ReportType,DataMode,$H397,FXMode)*Scale,"--"))</f>
        <v>--</v>
      </c>
      <c r="M397" s="2301" t="str">
        <f>IF(OR(M210=0,$G397=0),"--",IFERROR(_xll.ciqfunctions.udf.CIQ($G397,$I397,M118,Valuation_Date_GC,ReportType,DataMode,$H397,FXMode)*Scale,"--"))</f>
        <v>--</v>
      </c>
      <c r="N397" s="2301" t="str">
        <f>IF(OR(N210=0,$G397=0),"--",IFERROR(_xll.ciqfunctions.udf.CIQ($G397,$I397,N118,Valuation_Date_GC,ReportType,DataMode,$H397,FXMode)*Scale,"--"))</f>
        <v>--</v>
      </c>
      <c r="O397" s="1471" t="str">
        <f>IF(OR(O210=0,$G397=0),"--",IFERROR(_xll.ciqfunctions.udf.CIQ($G397,$I397,O118,Valuation_Date_GC,ReportType,DataMode,$H397,FXMode)*Scale,"--"))</f>
        <v>--</v>
      </c>
      <c r="P397" s="2301" t="str">
        <f>IF(OR(P210=0,$G397=0),"--",IFERROR(_xll.ciqfunctions.udf.CIQ($G397,$I397,P118,Valuation_Date_GC,ReportType,DataMode,$H397,FXMode)*Scale,"--"))</f>
        <v>--</v>
      </c>
      <c r="R397" s="255"/>
    </row>
    <row r="398" spans="1:18" s="89" customFormat="1" ht="13.9">
      <c r="A398" s="269" t="str">
        <f t="shared" si="136"/>
        <v>n</v>
      </c>
      <c r="B398" s="2060"/>
      <c r="D398" s="801"/>
      <c r="E398" s="1505">
        <v>20</v>
      </c>
      <c r="F398" s="21" t="str">
        <f>F$148</f>
        <v>--</v>
      </c>
      <c r="G398" s="2112">
        <f>G$148</f>
        <v>0</v>
      </c>
      <c r="H398" s="1441" t="str">
        <f>H$148</f>
        <v>--</v>
      </c>
      <c r="I398" s="314" t="s">
        <v>794</v>
      </c>
      <c r="J398" s="314"/>
      <c r="K398" s="2301" t="str">
        <f>IF(OR(K211=0,$G398=0),"--",IFERROR(_xll.ciqfunctions.udf.CIQ($G398,$I398,K119,Valuation_Date_GC,ReportType,DataMode,$H398,FXMode)*Scale,"--"))</f>
        <v>--</v>
      </c>
      <c r="L398" s="2301" t="str">
        <f>IF(OR(L211=0,$G398=0),"--",IFERROR(_xll.ciqfunctions.udf.CIQ($G398,$I398,L119,Valuation_Date_GC,ReportType,DataMode,$H398,FXMode)*Scale,"--"))</f>
        <v>--</v>
      </c>
      <c r="M398" s="2301" t="str">
        <f>IF(OR(M211=0,$G398=0),"--",IFERROR(_xll.ciqfunctions.udf.CIQ($G398,$I398,M119,Valuation_Date_GC,ReportType,DataMode,$H398,FXMode)*Scale,"--"))</f>
        <v>--</v>
      </c>
      <c r="N398" s="2301" t="str">
        <f>IF(OR(N211=0,$G398=0),"--",IFERROR(_xll.ciqfunctions.udf.CIQ($G398,$I398,N119,Valuation_Date_GC,ReportType,DataMode,$H398,FXMode)*Scale,"--"))</f>
        <v>--</v>
      </c>
      <c r="O398" s="1471" t="str">
        <f>IF(OR(O211=0,$G398=0),"--",IFERROR(_xll.ciqfunctions.udf.CIQ($G398,$I398,O119,Valuation_Date_GC,ReportType,DataMode,$H398,FXMode)*Scale,"--"))</f>
        <v>--</v>
      </c>
      <c r="P398" s="2301" t="str">
        <f>IF(OR(P211=0,$G398=0),"--",IFERROR(_xll.ciqfunctions.udf.CIQ($G398,$I398,P119,Valuation_Date_GC,ReportType,DataMode,$H398,FXMode)*Scale,"--"))</f>
        <v>--</v>
      </c>
      <c r="R398" s="255"/>
    </row>
    <row r="399" spans="1:18" s="89" customFormat="1" ht="13.9">
      <c r="A399" s="269" t="str">
        <f t="shared" si="136"/>
        <v>n</v>
      </c>
      <c r="B399" s="2060"/>
      <c r="D399" s="801"/>
      <c r="E399" s="1505">
        <v>21</v>
      </c>
      <c r="F399" s="21" t="str">
        <f>F$149</f>
        <v>--</v>
      </c>
      <c r="G399" s="2112">
        <f>G$149</f>
        <v>0</v>
      </c>
      <c r="H399" s="1441" t="str">
        <f>H$149</f>
        <v>--</v>
      </c>
      <c r="I399" s="314" t="s">
        <v>794</v>
      </c>
      <c r="J399" s="314"/>
      <c r="K399" s="2301" t="str">
        <f>IF(OR(K212=0,$G399=0),"--",IFERROR(_xll.ciqfunctions.udf.CIQ($G399,$I399,K120,Valuation_Date_GC,ReportType,DataMode,$H399,FXMode)*Scale,"--"))</f>
        <v>--</v>
      </c>
      <c r="L399" s="2301" t="str">
        <f>IF(OR(L212=0,$G399=0),"--",IFERROR(_xll.ciqfunctions.udf.CIQ($G399,$I399,L120,Valuation_Date_GC,ReportType,DataMode,$H399,FXMode)*Scale,"--"))</f>
        <v>--</v>
      </c>
      <c r="M399" s="2301" t="str">
        <f>IF(OR(M212=0,$G399=0),"--",IFERROR(_xll.ciqfunctions.udf.CIQ($G399,$I399,M120,Valuation_Date_GC,ReportType,DataMode,$H399,FXMode)*Scale,"--"))</f>
        <v>--</v>
      </c>
      <c r="N399" s="2301" t="str">
        <f>IF(OR(N212=0,$G399=0),"--",IFERROR(_xll.ciqfunctions.udf.CIQ($G399,$I399,N120,Valuation_Date_GC,ReportType,DataMode,$H399,FXMode)*Scale,"--"))</f>
        <v>--</v>
      </c>
      <c r="O399" s="1471" t="str">
        <f>IF(OR(O212=0,$G399=0),"--",IFERROR(_xll.ciqfunctions.udf.CIQ($G399,$I399,O120,Valuation_Date_GC,ReportType,DataMode,$H399,FXMode)*Scale,"--"))</f>
        <v>--</v>
      </c>
      <c r="P399" s="2301" t="str">
        <f>IF(OR(P212=0,$G399=0),"--",IFERROR(_xll.ciqfunctions.udf.CIQ($G399,$I399,P120,Valuation_Date_GC,ReportType,DataMode,$H399,FXMode)*Scale,"--"))</f>
        <v>--</v>
      </c>
      <c r="R399" s="255"/>
    </row>
    <row r="400" spans="1:18" s="89" customFormat="1" ht="13.9">
      <c r="A400" s="269" t="str">
        <f t="shared" si="136"/>
        <v>n</v>
      </c>
      <c r="B400" s="2060"/>
      <c r="D400" s="801"/>
      <c r="E400" s="1505">
        <v>22</v>
      </c>
      <c r="F400" s="21" t="str">
        <f>F$150</f>
        <v>--</v>
      </c>
      <c r="G400" s="2112">
        <f>G$150</f>
        <v>0</v>
      </c>
      <c r="H400" s="1441" t="str">
        <f>H$150</f>
        <v>--</v>
      </c>
      <c r="I400" s="314" t="s">
        <v>794</v>
      </c>
      <c r="J400" s="314"/>
      <c r="K400" s="2301" t="str">
        <f>IF(OR(K213=0,$G400=0),"--",IFERROR(_xll.ciqfunctions.udf.CIQ($G400,$I400,K121,Valuation_Date_GC,ReportType,DataMode,$H400,FXMode)*Scale,"--"))</f>
        <v>--</v>
      </c>
      <c r="L400" s="2301" t="str">
        <f>IF(OR(L213=0,$G400=0),"--",IFERROR(_xll.ciqfunctions.udf.CIQ($G400,$I400,L121,Valuation_Date_GC,ReportType,DataMode,$H400,FXMode)*Scale,"--"))</f>
        <v>--</v>
      </c>
      <c r="M400" s="2301" t="str">
        <f>IF(OR(M213=0,$G400=0),"--",IFERROR(_xll.ciqfunctions.udf.CIQ($G400,$I400,M121,Valuation_Date_GC,ReportType,DataMode,$H400,FXMode)*Scale,"--"))</f>
        <v>--</v>
      </c>
      <c r="N400" s="2301" t="str">
        <f>IF(OR(N213=0,$G400=0),"--",IFERROR(_xll.ciqfunctions.udf.CIQ($G400,$I400,N121,Valuation_Date_GC,ReportType,DataMode,$H400,FXMode)*Scale,"--"))</f>
        <v>--</v>
      </c>
      <c r="O400" s="1471" t="str">
        <f>IF(OR(O213=0,$G400=0),"--",IFERROR(_xll.ciqfunctions.udf.CIQ($G400,$I400,O121,Valuation_Date_GC,ReportType,DataMode,$H400,FXMode)*Scale,"--"))</f>
        <v>--</v>
      </c>
      <c r="P400" s="2301" t="str">
        <f>IF(OR(P213=0,$G400=0),"--",IFERROR(_xll.ciqfunctions.udf.CIQ($G400,$I400,P121,Valuation_Date_GC,ReportType,DataMode,$H400,FXMode)*Scale,"--"))</f>
        <v>--</v>
      </c>
      <c r="R400" s="255"/>
    </row>
    <row r="401" spans="1:23" s="89" customFormat="1" ht="13.9">
      <c r="A401" s="269" t="str">
        <f t="shared" si="136"/>
        <v>n</v>
      </c>
      <c r="B401" s="2060"/>
      <c r="D401" s="801"/>
      <c r="E401" s="1505">
        <v>23</v>
      </c>
      <c r="F401" s="21" t="str">
        <f>F$151</f>
        <v>--</v>
      </c>
      <c r="G401" s="2112">
        <f>G$151</f>
        <v>0</v>
      </c>
      <c r="H401" s="1441" t="str">
        <f>H$151</f>
        <v>--</v>
      </c>
      <c r="I401" s="314" t="s">
        <v>794</v>
      </c>
      <c r="J401" s="314"/>
      <c r="K401" s="2301" t="str">
        <f>IF(OR(K214=0,$G401=0),"--",IFERROR(_xll.ciqfunctions.udf.CIQ($G401,$I401,K122,Valuation_Date_GC,ReportType,DataMode,$H401,FXMode)*Scale,"--"))</f>
        <v>--</v>
      </c>
      <c r="L401" s="2301" t="str">
        <f>IF(OR(L214=0,$G401=0),"--",IFERROR(_xll.ciqfunctions.udf.CIQ($G401,$I401,L122,Valuation_Date_GC,ReportType,DataMode,$H401,FXMode)*Scale,"--"))</f>
        <v>--</v>
      </c>
      <c r="M401" s="2301" t="str">
        <f>IF(OR(M214=0,$G401=0),"--",IFERROR(_xll.ciqfunctions.udf.CIQ($G401,$I401,M122,Valuation_Date_GC,ReportType,DataMode,$H401,FXMode)*Scale,"--"))</f>
        <v>--</v>
      </c>
      <c r="N401" s="2301" t="str">
        <f>IF(OR(N214=0,$G401=0),"--",IFERROR(_xll.ciqfunctions.udf.CIQ($G401,$I401,N122,Valuation_Date_GC,ReportType,DataMode,$H401,FXMode)*Scale,"--"))</f>
        <v>--</v>
      </c>
      <c r="O401" s="1471" t="str">
        <f>IF(OR(O214=0,$G401=0),"--",IFERROR(_xll.ciqfunctions.udf.CIQ($G401,$I401,O122,Valuation_Date_GC,ReportType,DataMode,$H401,FXMode)*Scale,"--"))</f>
        <v>--</v>
      </c>
      <c r="P401" s="2301" t="str">
        <f>IF(OR(P214=0,$G401=0),"--",IFERROR(_xll.ciqfunctions.udf.CIQ($G401,$I401,P122,Valuation_Date_GC,ReportType,DataMode,$H401,FXMode)*Scale,"--"))</f>
        <v>--</v>
      </c>
      <c r="R401" s="255"/>
    </row>
    <row r="402" spans="1:23" s="89" customFormat="1" ht="13.9">
      <c r="A402" s="269" t="str">
        <f t="shared" si="136"/>
        <v>n</v>
      </c>
      <c r="B402" s="2060"/>
      <c r="D402" s="801"/>
      <c r="E402" s="1505">
        <v>24</v>
      </c>
      <c r="F402" s="21" t="str">
        <f>F$152</f>
        <v>--</v>
      </c>
      <c r="G402" s="2112">
        <f>G$152</f>
        <v>0</v>
      </c>
      <c r="H402" s="1441" t="str">
        <f>H$152</f>
        <v>--</v>
      </c>
      <c r="I402" s="314" t="s">
        <v>794</v>
      </c>
      <c r="J402" s="314"/>
      <c r="K402" s="2301" t="str">
        <f>IF(OR(K215=0,$G402=0),"--",IFERROR(_xll.ciqfunctions.udf.CIQ($G402,$I402,K123,Valuation_Date_GC,ReportType,DataMode,$H402,FXMode)*Scale,"--"))</f>
        <v>--</v>
      </c>
      <c r="L402" s="2301" t="str">
        <f>IF(OR(L215=0,$G402=0),"--",IFERROR(_xll.ciqfunctions.udf.CIQ($G402,$I402,L123,Valuation_Date_GC,ReportType,DataMode,$H402,FXMode)*Scale,"--"))</f>
        <v>--</v>
      </c>
      <c r="M402" s="2301" t="str">
        <f>IF(OR(M215=0,$G402=0),"--",IFERROR(_xll.ciqfunctions.udf.CIQ($G402,$I402,M123,Valuation_Date_GC,ReportType,DataMode,$H402,FXMode)*Scale,"--"))</f>
        <v>--</v>
      </c>
      <c r="N402" s="2301" t="str">
        <f>IF(OR(N215=0,$G402=0),"--",IFERROR(_xll.ciqfunctions.udf.CIQ($G402,$I402,N123,Valuation_Date_GC,ReportType,DataMode,$H402,FXMode)*Scale,"--"))</f>
        <v>--</v>
      </c>
      <c r="O402" s="1471" t="str">
        <f>IF(OR(O215=0,$G402=0),"--",IFERROR(_xll.ciqfunctions.udf.CIQ($G402,$I402,O123,Valuation_Date_GC,ReportType,DataMode,$H402,FXMode)*Scale,"--"))</f>
        <v>--</v>
      </c>
      <c r="P402" s="2301" t="str">
        <f>IF(OR(P215=0,$G402=0),"--",IFERROR(_xll.ciqfunctions.udf.CIQ($G402,$I402,P123,Valuation_Date_GC,ReportType,DataMode,$H402,FXMode)*Scale,"--"))</f>
        <v>--</v>
      </c>
      <c r="R402" s="255"/>
    </row>
    <row r="403" spans="1:23" s="89" customFormat="1" ht="13.9">
      <c r="A403" s="269" t="str">
        <f t="shared" si="136"/>
        <v>n</v>
      </c>
      <c r="B403" s="2060"/>
      <c r="D403" s="801"/>
      <c r="E403" s="1505">
        <v>25</v>
      </c>
      <c r="F403" s="21" t="str">
        <f>F$153</f>
        <v>--</v>
      </c>
      <c r="G403" s="2112">
        <f>G$153</f>
        <v>0</v>
      </c>
      <c r="H403" s="1441" t="str">
        <f>H$153</f>
        <v>--</v>
      </c>
      <c r="I403" s="314" t="s">
        <v>794</v>
      </c>
      <c r="J403" s="314"/>
      <c r="K403" s="2301" t="str">
        <f>IF(OR(K216=0,$G403=0),"--",IFERROR(_xll.ciqfunctions.udf.CIQ($G403,$I403,K124,Valuation_Date_GC,ReportType,DataMode,$H403,FXMode)*Scale,"--"))</f>
        <v>--</v>
      </c>
      <c r="L403" s="2301" t="str">
        <f>IF(OR(L216=0,$G403=0),"--",IFERROR(_xll.ciqfunctions.udf.CIQ($G403,$I403,L124,Valuation_Date_GC,ReportType,DataMode,$H403,FXMode)*Scale,"--"))</f>
        <v>--</v>
      </c>
      <c r="M403" s="2301" t="str">
        <f>IF(OR(M216=0,$G403=0),"--",IFERROR(_xll.ciqfunctions.udf.CIQ($G403,$I403,M124,Valuation_Date_GC,ReportType,DataMode,$H403,FXMode)*Scale,"--"))</f>
        <v>--</v>
      </c>
      <c r="N403" s="2301" t="str">
        <f>IF(OR(N216=0,$G403=0),"--",IFERROR(_xll.ciqfunctions.udf.CIQ($G403,$I403,N124,Valuation_Date_GC,ReportType,DataMode,$H403,FXMode)*Scale,"--"))</f>
        <v>--</v>
      </c>
      <c r="O403" s="1471" t="str">
        <f>IF(OR(O216=0,$G403=0),"--",IFERROR(_xll.ciqfunctions.udf.CIQ($G403,$I403,O124,Valuation_Date_GC,ReportType,DataMode,$H403,FXMode)*Scale,"--"))</f>
        <v>--</v>
      </c>
      <c r="P403" s="2301" t="str">
        <f>IF(OR(P216=0,$G403=0),"--",IFERROR(_xll.ciqfunctions.udf.CIQ($G403,$I403,P124,Valuation_Date_GC,ReportType,DataMode,$H403,FXMode)*Scale,"--"))</f>
        <v>--</v>
      </c>
      <c r="R403" s="255"/>
    </row>
    <row r="404" spans="1:23" s="89" customFormat="1" ht="13.9">
      <c r="A404" s="2060"/>
      <c r="B404" s="2060"/>
      <c r="D404" s="801"/>
      <c r="F404" s="57" t="s">
        <v>767</v>
      </c>
      <c r="G404" s="1442"/>
      <c r="H404" s="1442"/>
      <c r="I404" s="1442"/>
      <c r="J404" s="1442"/>
      <c r="K404" s="1443" t="str">
        <f t="shared" ref="K404:P404" si="137">IFERROR(MEDIAN(K379:K403),"--")</f>
        <v>--</v>
      </c>
      <c r="L404" s="1443" t="str">
        <f t="shared" si="137"/>
        <v>--</v>
      </c>
      <c r="M404" s="1443" t="str">
        <f t="shared" si="137"/>
        <v>--</v>
      </c>
      <c r="N404" s="1443" t="str">
        <f t="shared" si="137"/>
        <v>--</v>
      </c>
      <c r="O404" s="1444" t="str">
        <f t="shared" si="137"/>
        <v>--</v>
      </c>
      <c r="P404" s="1443" t="str">
        <f t="shared" si="137"/>
        <v>--</v>
      </c>
      <c r="R404" s="255"/>
      <c r="T404" s="1513"/>
    </row>
    <row r="405" spans="1:23" s="89" customFormat="1" ht="13.9">
      <c r="A405" s="2060"/>
      <c r="B405" s="2060"/>
      <c r="D405" s="778"/>
      <c r="E405" s="21"/>
      <c r="F405" s="446"/>
      <c r="G405" s="1441"/>
      <c r="H405" s="1441"/>
      <c r="I405" s="1441"/>
      <c r="J405" s="1441"/>
      <c r="K405" s="1441"/>
      <c r="O405" s="75"/>
      <c r="P405" s="76"/>
      <c r="R405" s="255"/>
      <c r="T405" s="314"/>
      <c r="W405" s="255"/>
    </row>
    <row r="406" spans="1:23" s="89" customFormat="1" ht="13.9">
      <c r="A406" s="2060"/>
      <c r="B406" s="2060"/>
      <c r="D406" s="778"/>
      <c r="E406" s="21"/>
      <c r="F406" s="446"/>
      <c r="G406" s="1441"/>
      <c r="H406" s="1441"/>
      <c r="I406" s="1441"/>
      <c r="J406" s="1441"/>
      <c r="K406" s="1441"/>
      <c r="O406" s="75"/>
      <c r="P406" s="76"/>
      <c r="R406" s="255"/>
      <c r="T406" s="314"/>
      <c r="W406" s="255"/>
    </row>
    <row r="407" spans="1:23" s="89" customFormat="1" ht="13.9">
      <c r="A407" s="2060"/>
      <c r="B407" s="2060"/>
      <c r="D407" s="801"/>
      <c r="F407" s="1446"/>
      <c r="O407" s="75"/>
      <c r="P407" s="76"/>
      <c r="S407" s="521" t="s">
        <v>788</v>
      </c>
      <c r="T407" s="521" t="s">
        <v>788</v>
      </c>
      <c r="U407" s="521" t="s">
        <v>788</v>
      </c>
      <c r="V407" s="521" t="s">
        <v>788</v>
      </c>
    </row>
    <row r="408" spans="1:23" s="89" customFormat="1" ht="13.9">
      <c r="A408" s="2060"/>
      <c r="B408" s="2060"/>
      <c r="D408" s="778">
        <f ca="1">MAX(OFFSET(D408,-1,0,-ROW(D408)+1,-2),1)+0.01</f>
        <v>4.0899999999999981</v>
      </c>
      <c r="E408" s="668"/>
      <c r="F408" s="952" t="s">
        <v>328</v>
      </c>
      <c r="G408" s="724" t="s">
        <v>773</v>
      </c>
      <c r="H408" s="724"/>
      <c r="I408" s="724"/>
      <c r="J408" s="724"/>
      <c r="K408" s="725" t="s">
        <v>700</v>
      </c>
      <c r="L408" s="725" t="s">
        <v>701</v>
      </c>
      <c r="M408" s="725" t="s">
        <v>702</v>
      </c>
      <c r="N408" s="725" t="s">
        <v>703</v>
      </c>
      <c r="O408" s="759" t="s">
        <v>704</v>
      </c>
      <c r="P408" s="762">
        <f>Valuation_Date_GC</f>
        <v>42794</v>
      </c>
      <c r="S408" s="1459" t="s">
        <v>789</v>
      </c>
      <c r="T408" s="1459" t="s">
        <v>790</v>
      </c>
      <c r="U408" s="1459" t="s">
        <v>791</v>
      </c>
      <c r="V408" s="1459" t="s">
        <v>792</v>
      </c>
      <c r="W408" s="255"/>
    </row>
    <row r="409" spans="1:23" s="89" customFormat="1" ht="13.9">
      <c r="A409" s="2060"/>
      <c r="B409" s="2060"/>
      <c r="D409" s="778"/>
      <c r="E409" s="1505">
        <v>0</v>
      </c>
      <c r="F409" s="1439" t="str">
        <f>F$128</f>
        <v/>
      </c>
      <c r="G409" s="1440">
        <f>G$128</f>
        <v>0</v>
      </c>
      <c r="H409" s="1440" t="str">
        <f>H$128</f>
        <v>USD</v>
      </c>
      <c r="I409" s="248"/>
      <c r="J409" s="248"/>
      <c r="K409" s="2299" t="str">
        <f t="shared" ref="K409:P424" si="138">IFERROR(K161+K347+K378,"--")</f>
        <v>--</v>
      </c>
      <c r="L409" s="2299" t="str">
        <f t="shared" si="138"/>
        <v>--</v>
      </c>
      <c r="M409" s="2299" t="str">
        <f t="shared" si="138"/>
        <v>--</v>
      </c>
      <c r="N409" s="2299" t="str">
        <f t="shared" si="138"/>
        <v>--</v>
      </c>
      <c r="O409" s="2134" t="str">
        <f t="shared" si="138"/>
        <v>--</v>
      </c>
      <c r="P409" s="2299" t="str">
        <f t="shared" si="138"/>
        <v>--</v>
      </c>
      <c r="S409" s="2299" t="str">
        <f>IFERROR(AVERAGE(K409:$O409),"--")</f>
        <v>--</v>
      </c>
      <c r="T409" s="2299" t="str">
        <f>IFERROR(AVERAGE(L409:$O409),"--")</f>
        <v>--</v>
      </c>
      <c r="U409" s="2299" t="str">
        <f>IFERROR(AVERAGE(M409:$O409),"--")</f>
        <v>--</v>
      </c>
      <c r="V409" s="2299" t="str">
        <f>IFERROR(AVERAGE(N409:$O409),"--")</f>
        <v>--</v>
      </c>
      <c r="W409" s="255"/>
    </row>
    <row r="410" spans="1:23" s="89" customFormat="1" ht="13.9">
      <c r="A410" s="269" t="str">
        <f>IF(F410="--","n","")</f>
        <v>n</v>
      </c>
      <c r="B410" s="2060"/>
      <c r="D410" s="801"/>
      <c r="E410" s="1505">
        <v>1</v>
      </c>
      <c r="F410" s="21" t="str">
        <f>F$129</f>
        <v>--</v>
      </c>
      <c r="G410" s="1441">
        <f>G$129</f>
        <v>0</v>
      </c>
      <c r="H410" s="1441" t="str">
        <f>H$129</f>
        <v>--</v>
      </c>
      <c r="I410" s="1441"/>
      <c r="J410" s="1441"/>
      <c r="K410" s="2301" t="str">
        <f t="shared" si="138"/>
        <v>--</v>
      </c>
      <c r="L410" s="2301" t="str">
        <f t="shared" si="138"/>
        <v>--</v>
      </c>
      <c r="M410" s="2301" t="str">
        <f t="shared" si="138"/>
        <v>--</v>
      </c>
      <c r="N410" s="2301" t="str">
        <f t="shared" si="138"/>
        <v>--</v>
      </c>
      <c r="O410" s="1471" t="str">
        <f t="shared" si="138"/>
        <v>--</v>
      </c>
      <c r="P410" s="2300" t="str">
        <f t="shared" si="138"/>
        <v>--</v>
      </c>
      <c r="S410" s="2301" t="str">
        <f>IFERROR(AVERAGE(K410:$O410),"--")</f>
        <v>--</v>
      </c>
      <c r="T410" s="2301" t="str">
        <f>IFERROR(AVERAGE(L410:$O410),"--")</f>
        <v>--</v>
      </c>
      <c r="U410" s="2301" t="str">
        <f>IFERROR(AVERAGE(M410:$O410),"--")</f>
        <v>--</v>
      </c>
      <c r="V410" s="2301" t="str">
        <f>IFERROR(AVERAGE(N410:$O410),"--")</f>
        <v>--</v>
      </c>
    </row>
    <row r="411" spans="1:23" s="89" customFormat="1" ht="13.9">
      <c r="A411" s="269" t="str">
        <f t="shared" ref="A411:A434" si="139">IF(F411="--","n","")</f>
        <v>n</v>
      </c>
      <c r="B411" s="2060"/>
      <c r="D411" s="801"/>
      <c r="E411" s="1505">
        <v>2</v>
      </c>
      <c r="F411" s="21" t="str">
        <f>F$130</f>
        <v>--</v>
      </c>
      <c r="G411" s="1441">
        <f>G$130</f>
        <v>0</v>
      </c>
      <c r="H411" s="1441" t="str">
        <f>H$130</f>
        <v>--</v>
      </c>
      <c r="I411" s="1441"/>
      <c r="J411" s="1441"/>
      <c r="K411" s="2301" t="str">
        <f t="shared" si="138"/>
        <v>--</v>
      </c>
      <c r="L411" s="2301" t="str">
        <f t="shared" si="138"/>
        <v>--</v>
      </c>
      <c r="M411" s="2301" t="str">
        <f t="shared" si="138"/>
        <v>--</v>
      </c>
      <c r="N411" s="2301" t="str">
        <f t="shared" si="138"/>
        <v>--</v>
      </c>
      <c r="O411" s="1471" t="str">
        <f t="shared" si="138"/>
        <v>--</v>
      </c>
      <c r="P411" s="2300" t="str">
        <f t="shared" si="138"/>
        <v>--</v>
      </c>
      <c r="S411" s="2301" t="str">
        <f>IFERROR(AVERAGE(K411:$O411),"--")</f>
        <v>--</v>
      </c>
      <c r="T411" s="2301" t="str">
        <f>IFERROR(AVERAGE(L411:$O411),"--")</f>
        <v>--</v>
      </c>
      <c r="U411" s="2301" t="str">
        <f>IFERROR(AVERAGE(M411:$O411),"--")</f>
        <v>--</v>
      </c>
      <c r="V411" s="2301" t="str">
        <f>IFERROR(AVERAGE(N411:$O411),"--")</f>
        <v>--</v>
      </c>
    </row>
    <row r="412" spans="1:23" s="89" customFormat="1" ht="13.9">
      <c r="A412" s="269" t="str">
        <f t="shared" si="139"/>
        <v>n</v>
      </c>
      <c r="B412" s="2060"/>
      <c r="D412" s="801"/>
      <c r="E412" s="1505">
        <v>3</v>
      </c>
      <c r="F412" s="21" t="str">
        <f>F$131</f>
        <v>--</v>
      </c>
      <c r="G412" s="1441">
        <f>G$131</f>
        <v>0</v>
      </c>
      <c r="H412" s="1441" t="str">
        <f>H$131</f>
        <v>--</v>
      </c>
      <c r="I412" s="1441"/>
      <c r="J412" s="1441"/>
      <c r="K412" s="2301" t="str">
        <f t="shared" si="138"/>
        <v>--</v>
      </c>
      <c r="L412" s="2301" t="str">
        <f t="shared" si="138"/>
        <v>--</v>
      </c>
      <c r="M412" s="2301" t="str">
        <f t="shared" si="138"/>
        <v>--</v>
      </c>
      <c r="N412" s="2301" t="str">
        <f t="shared" si="138"/>
        <v>--</v>
      </c>
      <c r="O412" s="1471" t="str">
        <f t="shared" si="138"/>
        <v>--</v>
      </c>
      <c r="P412" s="2300" t="str">
        <f t="shared" si="138"/>
        <v>--</v>
      </c>
      <c r="S412" s="2301" t="str">
        <f>IFERROR(AVERAGE(K412:$O412),"--")</f>
        <v>--</v>
      </c>
      <c r="T412" s="2301" t="str">
        <f>IFERROR(AVERAGE(L412:$O412),"--")</f>
        <v>--</v>
      </c>
      <c r="U412" s="2301" t="str">
        <f>IFERROR(AVERAGE(M412:$O412),"--")</f>
        <v>--</v>
      </c>
      <c r="V412" s="2301" t="str">
        <f>IFERROR(AVERAGE(N412:$O412),"--")</f>
        <v>--</v>
      </c>
    </row>
    <row r="413" spans="1:23" s="89" customFormat="1" ht="13.9">
      <c r="A413" s="269" t="str">
        <f t="shared" si="139"/>
        <v>n</v>
      </c>
      <c r="B413" s="2060"/>
      <c r="D413" s="801"/>
      <c r="E413" s="1505">
        <v>4</v>
      </c>
      <c r="F413" s="21" t="str">
        <f>F$132</f>
        <v>--</v>
      </c>
      <c r="G413" s="1441">
        <f>G$132</f>
        <v>0</v>
      </c>
      <c r="H413" s="1441" t="str">
        <f>H$132</f>
        <v>--</v>
      </c>
      <c r="I413" s="1441"/>
      <c r="J413" s="1441"/>
      <c r="K413" s="2301" t="str">
        <f t="shared" si="138"/>
        <v>--</v>
      </c>
      <c r="L413" s="2301" t="str">
        <f t="shared" si="138"/>
        <v>--</v>
      </c>
      <c r="M413" s="2301" t="str">
        <f t="shared" si="138"/>
        <v>--</v>
      </c>
      <c r="N413" s="2301" t="str">
        <f t="shared" si="138"/>
        <v>--</v>
      </c>
      <c r="O413" s="1471" t="str">
        <f t="shared" si="138"/>
        <v>--</v>
      </c>
      <c r="P413" s="2300" t="str">
        <f t="shared" si="138"/>
        <v>--</v>
      </c>
      <c r="S413" s="2301" t="str">
        <f>IFERROR(AVERAGE(K413:$O413),"--")</f>
        <v>--</v>
      </c>
      <c r="T413" s="2301" t="str">
        <f>IFERROR(AVERAGE(L413:$O413),"--")</f>
        <v>--</v>
      </c>
      <c r="U413" s="2301" t="str">
        <f>IFERROR(AVERAGE(M413:$O413),"--")</f>
        <v>--</v>
      </c>
      <c r="V413" s="2301" t="str">
        <f>IFERROR(AVERAGE(N413:$O413),"--")</f>
        <v>--</v>
      </c>
    </row>
    <row r="414" spans="1:23" s="89" customFormat="1" ht="13.9">
      <c r="A414" s="269" t="str">
        <f t="shared" si="139"/>
        <v>n</v>
      </c>
      <c r="B414" s="2060"/>
      <c r="D414" s="801"/>
      <c r="E414" s="1505">
        <v>5</v>
      </c>
      <c r="F414" s="21" t="str">
        <f>F$133</f>
        <v>--</v>
      </c>
      <c r="G414" s="1441">
        <f>G$133</f>
        <v>0</v>
      </c>
      <c r="H414" s="1441" t="str">
        <f>H$133</f>
        <v>--</v>
      </c>
      <c r="I414" s="1441"/>
      <c r="J414" s="1441"/>
      <c r="K414" s="2301" t="str">
        <f t="shared" si="138"/>
        <v>--</v>
      </c>
      <c r="L414" s="2301" t="str">
        <f t="shared" si="138"/>
        <v>--</v>
      </c>
      <c r="M414" s="2301" t="str">
        <f t="shared" si="138"/>
        <v>--</v>
      </c>
      <c r="N414" s="2301" t="str">
        <f t="shared" si="138"/>
        <v>--</v>
      </c>
      <c r="O414" s="1471" t="str">
        <f t="shared" si="138"/>
        <v>--</v>
      </c>
      <c r="P414" s="2300" t="str">
        <f t="shared" si="138"/>
        <v>--</v>
      </c>
      <c r="S414" s="2301" t="str">
        <f>IFERROR(AVERAGE(K414:$O414),"--")</f>
        <v>--</v>
      </c>
      <c r="T414" s="2301" t="str">
        <f>IFERROR(AVERAGE(L414:$O414),"--")</f>
        <v>--</v>
      </c>
      <c r="U414" s="2301" t="str">
        <f>IFERROR(AVERAGE(M414:$O414),"--")</f>
        <v>--</v>
      </c>
      <c r="V414" s="2301" t="str">
        <f>IFERROR(AVERAGE(N414:$O414),"--")</f>
        <v>--</v>
      </c>
    </row>
    <row r="415" spans="1:23" s="89" customFormat="1" ht="13.9">
      <c r="A415" s="269" t="str">
        <f t="shared" si="139"/>
        <v>n</v>
      </c>
      <c r="B415" s="2060"/>
      <c r="D415" s="801"/>
      <c r="E415" s="1505">
        <v>6</v>
      </c>
      <c r="F415" s="21" t="str">
        <f>F$134</f>
        <v>--</v>
      </c>
      <c r="G415" s="1441">
        <f>G$134</f>
        <v>0</v>
      </c>
      <c r="H415" s="1441" t="str">
        <f>H$134</f>
        <v>--</v>
      </c>
      <c r="I415" s="1441"/>
      <c r="J415" s="1441"/>
      <c r="K415" s="2301" t="str">
        <f t="shared" si="138"/>
        <v>--</v>
      </c>
      <c r="L415" s="2301" t="str">
        <f t="shared" si="138"/>
        <v>--</v>
      </c>
      <c r="M415" s="2301" t="str">
        <f t="shared" si="138"/>
        <v>--</v>
      </c>
      <c r="N415" s="2301" t="str">
        <f t="shared" si="138"/>
        <v>--</v>
      </c>
      <c r="O415" s="1471" t="str">
        <f t="shared" si="138"/>
        <v>--</v>
      </c>
      <c r="P415" s="2300" t="str">
        <f t="shared" si="138"/>
        <v>--</v>
      </c>
      <c r="S415" s="2301" t="str">
        <f>IFERROR(AVERAGE(K415:$O415),"--")</f>
        <v>--</v>
      </c>
      <c r="T415" s="2301" t="str">
        <f>IFERROR(AVERAGE(L415:$O415),"--")</f>
        <v>--</v>
      </c>
      <c r="U415" s="2301" t="str">
        <f>IFERROR(AVERAGE(M415:$O415),"--")</f>
        <v>--</v>
      </c>
      <c r="V415" s="2301" t="str">
        <f>IFERROR(AVERAGE(N415:$O415),"--")</f>
        <v>--</v>
      </c>
    </row>
    <row r="416" spans="1:23" s="89" customFormat="1" ht="13.9">
      <c r="A416" s="269" t="str">
        <f t="shared" si="139"/>
        <v>n</v>
      </c>
      <c r="B416" s="2060"/>
      <c r="D416" s="801"/>
      <c r="E416" s="1505">
        <v>7</v>
      </c>
      <c r="F416" s="21" t="str">
        <f>F$135</f>
        <v>--</v>
      </c>
      <c r="G416" s="1441">
        <f>G$135</f>
        <v>0</v>
      </c>
      <c r="H416" s="1441" t="str">
        <f>H$135</f>
        <v>--</v>
      </c>
      <c r="I416" s="1441"/>
      <c r="J416" s="1441"/>
      <c r="K416" s="2301" t="str">
        <f t="shared" si="138"/>
        <v>--</v>
      </c>
      <c r="L416" s="2301" t="str">
        <f t="shared" si="138"/>
        <v>--</v>
      </c>
      <c r="M416" s="2301" t="str">
        <f t="shared" si="138"/>
        <v>--</v>
      </c>
      <c r="N416" s="2301" t="str">
        <f t="shared" si="138"/>
        <v>--</v>
      </c>
      <c r="O416" s="1471" t="str">
        <f t="shared" si="138"/>
        <v>--</v>
      </c>
      <c r="P416" s="2300" t="str">
        <f t="shared" si="138"/>
        <v>--</v>
      </c>
      <c r="S416" s="2301" t="str">
        <f>IFERROR(AVERAGE(K416:$O416),"--")</f>
        <v>--</v>
      </c>
      <c r="T416" s="2301" t="str">
        <f>IFERROR(AVERAGE(L416:$O416),"--")</f>
        <v>--</v>
      </c>
      <c r="U416" s="2301" t="str">
        <f>IFERROR(AVERAGE(M416:$O416),"--")</f>
        <v>--</v>
      </c>
      <c r="V416" s="2301" t="str">
        <f>IFERROR(AVERAGE(N416:$O416),"--")</f>
        <v>--</v>
      </c>
    </row>
    <row r="417" spans="1:22" s="89" customFormat="1" ht="13.9">
      <c r="A417" s="269" t="str">
        <f t="shared" si="139"/>
        <v>n</v>
      </c>
      <c r="B417" s="2060"/>
      <c r="D417" s="801"/>
      <c r="E417" s="1505">
        <v>8</v>
      </c>
      <c r="F417" s="21" t="str">
        <f>F$136</f>
        <v>--</v>
      </c>
      <c r="G417" s="1441">
        <f>G$136</f>
        <v>0</v>
      </c>
      <c r="H417" s="1441" t="str">
        <f>H$136</f>
        <v>--</v>
      </c>
      <c r="I417" s="1441"/>
      <c r="J417" s="1441"/>
      <c r="K417" s="2301" t="str">
        <f t="shared" si="138"/>
        <v>--</v>
      </c>
      <c r="L417" s="2301" t="str">
        <f t="shared" si="138"/>
        <v>--</v>
      </c>
      <c r="M417" s="2301" t="str">
        <f t="shared" si="138"/>
        <v>--</v>
      </c>
      <c r="N417" s="2301" t="str">
        <f t="shared" si="138"/>
        <v>--</v>
      </c>
      <c r="O417" s="1471" t="str">
        <f t="shared" si="138"/>
        <v>--</v>
      </c>
      <c r="P417" s="2300" t="str">
        <f t="shared" si="138"/>
        <v>--</v>
      </c>
      <c r="S417" s="2301" t="str">
        <f>IFERROR(AVERAGE(K417:$O417),"--")</f>
        <v>--</v>
      </c>
      <c r="T417" s="2301" t="str">
        <f>IFERROR(AVERAGE(L417:$O417),"--")</f>
        <v>--</v>
      </c>
      <c r="U417" s="2301" t="str">
        <f>IFERROR(AVERAGE(M417:$O417),"--")</f>
        <v>--</v>
      </c>
      <c r="V417" s="2301" t="str">
        <f>IFERROR(AVERAGE(N417:$O417),"--")</f>
        <v>--</v>
      </c>
    </row>
    <row r="418" spans="1:22" s="89" customFormat="1" ht="13.9">
      <c r="A418" s="269" t="str">
        <f t="shared" si="139"/>
        <v>n</v>
      </c>
      <c r="B418" s="2060"/>
      <c r="D418" s="801"/>
      <c r="E418" s="1505">
        <v>9</v>
      </c>
      <c r="F418" s="21" t="str">
        <f>F$137</f>
        <v>--</v>
      </c>
      <c r="G418" s="1441">
        <f>G$137</f>
        <v>0</v>
      </c>
      <c r="H418" s="1441" t="str">
        <f>H$137</f>
        <v>--</v>
      </c>
      <c r="I418" s="1441"/>
      <c r="J418" s="1441"/>
      <c r="K418" s="2301" t="str">
        <f t="shared" si="138"/>
        <v>--</v>
      </c>
      <c r="L418" s="2301" t="str">
        <f t="shared" si="138"/>
        <v>--</v>
      </c>
      <c r="M418" s="2301" t="str">
        <f t="shared" si="138"/>
        <v>--</v>
      </c>
      <c r="N418" s="2301" t="str">
        <f t="shared" si="138"/>
        <v>--</v>
      </c>
      <c r="O418" s="1471" t="str">
        <f t="shared" si="138"/>
        <v>--</v>
      </c>
      <c r="P418" s="2300" t="str">
        <f t="shared" si="138"/>
        <v>--</v>
      </c>
      <c r="S418" s="2301" t="str">
        <f>IFERROR(AVERAGE(K418:$O418),"--")</f>
        <v>--</v>
      </c>
      <c r="T418" s="2301" t="str">
        <f>IFERROR(AVERAGE(L418:$O418),"--")</f>
        <v>--</v>
      </c>
      <c r="U418" s="2301" t="str">
        <f>IFERROR(AVERAGE(M418:$O418),"--")</f>
        <v>--</v>
      </c>
      <c r="V418" s="2301" t="str">
        <f>IFERROR(AVERAGE(N418:$O418),"--")</f>
        <v>--</v>
      </c>
    </row>
    <row r="419" spans="1:22" s="89" customFormat="1" ht="13.9">
      <c r="A419" s="269" t="str">
        <f t="shared" si="139"/>
        <v>n</v>
      </c>
      <c r="B419" s="2060"/>
      <c r="D419" s="801"/>
      <c r="E419" s="1505">
        <v>10</v>
      </c>
      <c r="F419" s="21" t="str">
        <f>F$138</f>
        <v>--</v>
      </c>
      <c r="G419" s="1441">
        <f>G$138</f>
        <v>0</v>
      </c>
      <c r="H419" s="1441" t="str">
        <f>H$138</f>
        <v>--</v>
      </c>
      <c r="I419" s="1441"/>
      <c r="J419" s="1441"/>
      <c r="K419" s="2301" t="str">
        <f t="shared" si="138"/>
        <v>--</v>
      </c>
      <c r="L419" s="2301" t="str">
        <f t="shared" si="138"/>
        <v>--</v>
      </c>
      <c r="M419" s="2301" t="str">
        <f t="shared" si="138"/>
        <v>--</v>
      </c>
      <c r="N419" s="2301" t="str">
        <f t="shared" si="138"/>
        <v>--</v>
      </c>
      <c r="O419" s="1471" t="str">
        <f t="shared" si="138"/>
        <v>--</v>
      </c>
      <c r="P419" s="2300" t="str">
        <f t="shared" si="138"/>
        <v>--</v>
      </c>
      <c r="S419" s="2301" t="str">
        <f>IFERROR(AVERAGE(K419:$O419),"--")</f>
        <v>--</v>
      </c>
      <c r="T419" s="2301" t="str">
        <f>IFERROR(AVERAGE(L419:$O419),"--")</f>
        <v>--</v>
      </c>
      <c r="U419" s="2301" t="str">
        <f>IFERROR(AVERAGE(M419:$O419),"--")</f>
        <v>--</v>
      </c>
      <c r="V419" s="2301" t="str">
        <f>IFERROR(AVERAGE(N419:$O419),"--")</f>
        <v>--</v>
      </c>
    </row>
    <row r="420" spans="1:22" s="89" customFormat="1" ht="13.9">
      <c r="A420" s="269" t="str">
        <f t="shared" si="139"/>
        <v>n</v>
      </c>
      <c r="B420" s="2060"/>
      <c r="D420" s="801"/>
      <c r="E420" s="1505">
        <v>11</v>
      </c>
      <c r="F420" s="21" t="str">
        <f>F$139</f>
        <v>--</v>
      </c>
      <c r="G420" s="1441">
        <f>G$139</f>
        <v>0</v>
      </c>
      <c r="H420" s="1441" t="str">
        <f>H$139</f>
        <v>--</v>
      </c>
      <c r="I420" s="1441"/>
      <c r="J420" s="1441"/>
      <c r="K420" s="2301" t="str">
        <f t="shared" si="138"/>
        <v>--</v>
      </c>
      <c r="L420" s="2301" t="str">
        <f t="shared" si="138"/>
        <v>--</v>
      </c>
      <c r="M420" s="2301" t="str">
        <f t="shared" si="138"/>
        <v>--</v>
      </c>
      <c r="N420" s="2301" t="str">
        <f t="shared" si="138"/>
        <v>--</v>
      </c>
      <c r="O420" s="1471" t="str">
        <f t="shared" si="138"/>
        <v>--</v>
      </c>
      <c r="P420" s="2300" t="str">
        <f t="shared" si="138"/>
        <v>--</v>
      </c>
      <c r="S420" s="2301" t="str">
        <f>IFERROR(AVERAGE(K420:$O420),"--")</f>
        <v>--</v>
      </c>
      <c r="T420" s="2301" t="str">
        <f>IFERROR(AVERAGE(L420:$O420),"--")</f>
        <v>--</v>
      </c>
      <c r="U420" s="2301" t="str">
        <f>IFERROR(AVERAGE(M420:$O420),"--")</f>
        <v>--</v>
      </c>
      <c r="V420" s="2301" t="str">
        <f>IFERROR(AVERAGE(N420:$O420),"--")</f>
        <v>--</v>
      </c>
    </row>
    <row r="421" spans="1:22" s="89" customFormat="1" ht="13.9">
      <c r="A421" s="269" t="str">
        <f t="shared" si="139"/>
        <v>n</v>
      </c>
      <c r="B421" s="2060"/>
      <c r="D421" s="801"/>
      <c r="E421" s="1505">
        <v>12</v>
      </c>
      <c r="F421" s="21" t="str">
        <f>F$140</f>
        <v>--</v>
      </c>
      <c r="G421" s="1441">
        <f>G$140</f>
        <v>0</v>
      </c>
      <c r="H421" s="1441" t="str">
        <f>H$140</f>
        <v>--</v>
      </c>
      <c r="I421" s="1441"/>
      <c r="J421" s="1441"/>
      <c r="K421" s="2301" t="str">
        <f t="shared" si="138"/>
        <v>--</v>
      </c>
      <c r="L421" s="2301" t="str">
        <f t="shared" si="138"/>
        <v>--</v>
      </c>
      <c r="M421" s="2301" t="str">
        <f t="shared" si="138"/>
        <v>--</v>
      </c>
      <c r="N421" s="2301" t="str">
        <f t="shared" si="138"/>
        <v>--</v>
      </c>
      <c r="O421" s="1471" t="str">
        <f t="shared" si="138"/>
        <v>--</v>
      </c>
      <c r="P421" s="2300" t="str">
        <f t="shared" si="138"/>
        <v>--</v>
      </c>
      <c r="S421" s="2301" t="str">
        <f>IFERROR(AVERAGE(K421:$O421),"--")</f>
        <v>--</v>
      </c>
      <c r="T421" s="2301" t="str">
        <f>IFERROR(AVERAGE(L421:$O421),"--")</f>
        <v>--</v>
      </c>
      <c r="U421" s="2301" t="str">
        <f>IFERROR(AVERAGE(M421:$O421),"--")</f>
        <v>--</v>
      </c>
      <c r="V421" s="2301" t="str">
        <f>IFERROR(AVERAGE(N421:$O421),"--")</f>
        <v>--</v>
      </c>
    </row>
    <row r="422" spans="1:22" s="89" customFormat="1" ht="13.9">
      <c r="A422" s="269" t="str">
        <f t="shared" si="139"/>
        <v>n</v>
      </c>
      <c r="B422" s="2060"/>
      <c r="D422" s="801"/>
      <c r="E422" s="1505">
        <v>13</v>
      </c>
      <c r="F422" s="21" t="str">
        <f>F$141</f>
        <v>--</v>
      </c>
      <c r="G422" s="1441">
        <f>G$141</f>
        <v>0</v>
      </c>
      <c r="H422" s="1441" t="str">
        <f>H$141</f>
        <v>--</v>
      </c>
      <c r="I422" s="1441"/>
      <c r="J422" s="1441"/>
      <c r="K422" s="2301" t="str">
        <f t="shared" si="138"/>
        <v>--</v>
      </c>
      <c r="L422" s="2301" t="str">
        <f t="shared" si="138"/>
        <v>--</v>
      </c>
      <c r="M422" s="2301" t="str">
        <f t="shared" si="138"/>
        <v>--</v>
      </c>
      <c r="N422" s="2301" t="str">
        <f t="shared" si="138"/>
        <v>--</v>
      </c>
      <c r="O422" s="1471" t="str">
        <f t="shared" si="138"/>
        <v>--</v>
      </c>
      <c r="P422" s="2300" t="str">
        <f t="shared" si="138"/>
        <v>--</v>
      </c>
      <c r="S422" s="2301" t="str">
        <f>IFERROR(AVERAGE(K422:$O422),"--")</f>
        <v>--</v>
      </c>
      <c r="T422" s="2301" t="str">
        <f>IFERROR(AVERAGE(L422:$O422),"--")</f>
        <v>--</v>
      </c>
      <c r="U422" s="2301" t="str">
        <f>IFERROR(AVERAGE(M422:$O422),"--")</f>
        <v>--</v>
      </c>
      <c r="V422" s="2301" t="str">
        <f>IFERROR(AVERAGE(N422:$O422),"--")</f>
        <v>--</v>
      </c>
    </row>
    <row r="423" spans="1:22" s="89" customFormat="1" ht="13.9">
      <c r="A423" s="269" t="str">
        <f t="shared" si="139"/>
        <v>n</v>
      </c>
      <c r="B423" s="2060"/>
      <c r="D423" s="801"/>
      <c r="E423" s="1505">
        <v>14</v>
      </c>
      <c r="F423" s="21" t="str">
        <f>F$142</f>
        <v>--</v>
      </c>
      <c r="G423" s="1441">
        <f>G$142</f>
        <v>0</v>
      </c>
      <c r="H423" s="1441" t="str">
        <f>H$142</f>
        <v>--</v>
      </c>
      <c r="I423" s="1441"/>
      <c r="J423" s="1441"/>
      <c r="K423" s="2301" t="str">
        <f t="shared" si="138"/>
        <v>--</v>
      </c>
      <c r="L423" s="2301" t="str">
        <f t="shared" si="138"/>
        <v>--</v>
      </c>
      <c r="M423" s="2301" t="str">
        <f t="shared" si="138"/>
        <v>--</v>
      </c>
      <c r="N423" s="2301" t="str">
        <f t="shared" si="138"/>
        <v>--</v>
      </c>
      <c r="O423" s="1471" t="str">
        <f t="shared" si="138"/>
        <v>--</v>
      </c>
      <c r="P423" s="2300" t="str">
        <f t="shared" si="138"/>
        <v>--</v>
      </c>
      <c r="S423" s="2301" t="str">
        <f>IFERROR(AVERAGE(K423:$O423),"--")</f>
        <v>--</v>
      </c>
      <c r="T423" s="2301" t="str">
        <f>IFERROR(AVERAGE(L423:$O423),"--")</f>
        <v>--</v>
      </c>
      <c r="U423" s="2301" t="str">
        <f>IFERROR(AVERAGE(M423:$O423),"--")</f>
        <v>--</v>
      </c>
      <c r="V423" s="2301" t="str">
        <f>IFERROR(AVERAGE(N423:$O423),"--")</f>
        <v>--</v>
      </c>
    </row>
    <row r="424" spans="1:22" s="89" customFormat="1" ht="13.9">
      <c r="A424" s="269" t="str">
        <f t="shared" si="139"/>
        <v>n</v>
      </c>
      <c r="B424" s="2060"/>
      <c r="D424" s="801"/>
      <c r="E424" s="1505">
        <v>15</v>
      </c>
      <c r="F424" s="21" t="str">
        <f>F$143</f>
        <v>--</v>
      </c>
      <c r="G424" s="1441">
        <f>G$143</f>
        <v>0</v>
      </c>
      <c r="H424" s="1441" t="str">
        <f>H$143</f>
        <v>--</v>
      </c>
      <c r="I424" s="1441"/>
      <c r="J424" s="1441"/>
      <c r="K424" s="2301" t="str">
        <f t="shared" si="138"/>
        <v>--</v>
      </c>
      <c r="L424" s="2301" t="str">
        <f t="shared" si="138"/>
        <v>--</v>
      </c>
      <c r="M424" s="2301" t="str">
        <f t="shared" si="138"/>
        <v>--</v>
      </c>
      <c r="N424" s="2301" t="str">
        <f t="shared" si="138"/>
        <v>--</v>
      </c>
      <c r="O424" s="1471" t="str">
        <f t="shared" si="138"/>
        <v>--</v>
      </c>
      <c r="P424" s="2300" t="str">
        <f t="shared" si="138"/>
        <v>--</v>
      </c>
      <c r="S424" s="2301" t="str">
        <f>IFERROR(AVERAGE(K424:$O424),"--")</f>
        <v>--</v>
      </c>
      <c r="T424" s="2301" t="str">
        <f>IFERROR(AVERAGE(L424:$O424),"--")</f>
        <v>--</v>
      </c>
      <c r="U424" s="2301" t="str">
        <f>IFERROR(AVERAGE(M424:$O424),"--")</f>
        <v>--</v>
      </c>
      <c r="V424" s="2301" t="str">
        <f>IFERROR(AVERAGE(N424:$O424),"--")</f>
        <v>--</v>
      </c>
    </row>
    <row r="425" spans="1:22" s="89" customFormat="1" ht="13.9">
      <c r="A425" s="269" t="str">
        <f t="shared" si="139"/>
        <v>n</v>
      </c>
      <c r="B425" s="2060"/>
      <c r="D425" s="801"/>
      <c r="E425" s="1505">
        <v>16</v>
      </c>
      <c r="F425" s="21" t="str">
        <f>F$144</f>
        <v>--</v>
      </c>
      <c r="G425" s="1441">
        <f>G$144</f>
        <v>0</v>
      </c>
      <c r="H425" s="1441" t="str">
        <f>H$144</f>
        <v>--</v>
      </c>
      <c r="I425" s="1441"/>
      <c r="J425" s="1441"/>
      <c r="K425" s="2301" t="str">
        <f t="shared" ref="K425:P434" si="140">IFERROR(K177+K363+K394,"--")</f>
        <v>--</v>
      </c>
      <c r="L425" s="2301" t="str">
        <f t="shared" si="140"/>
        <v>--</v>
      </c>
      <c r="M425" s="2301" t="str">
        <f t="shared" si="140"/>
        <v>--</v>
      </c>
      <c r="N425" s="2301" t="str">
        <f t="shared" si="140"/>
        <v>--</v>
      </c>
      <c r="O425" s="1471" t="str">
        <f t="shared" si="140"/>
        <v>--</v>
      </c>
      <c r="P425" s="2300" t="str">
        <f t="shared" si="140"/>
        <v>--</v>
      </c>
      <c r="S425" s="2301" t="str">
        <f>IFERROR(AVERAGE(K425:$O425),"--")</f>
        <v>--</v>
      </c>
      <c r="T425" s="2301" t="str">
        <f>IFERROR(AVERAGE(L425:$O425),"--")</f>
        <v>--</v>
      </c>
      <c r="U425" s="2301" t="str">
        <f>IFERROR(AVERAGE(M425:$O425),"--")</f>
        <v>--</v>
      </c>
      <c r="V425" s="2301" t="str">
        <f>IFERROR(AVERAGE(N425:$O425),"--")</f>
        <v>--</v>
      </c>
    </row>
    <row r="426" spans="1:22" s="89" customFormat="1" ht="13.9">
      <c r="A426" s="269" t="str">
        <f t="shared" si="139"/>
        <v>n</v>
      </c>
      <c r="B426" s="2060"/>
      <c r="D426" s="801"/>
      <c r="E426" s="1505">
        <v>17</v>
      </c>
      <c r="F426" s="21" t="str">
        <f>F$145</f>
        <v>--</v>
      </c>
      <c r="G426" s="1441">
        <f>G$145</f>
        <v>0</v>
      </c>
      <c r="H426" s="1441" t="str">
        <f>H$145</f>
        <v>--</v>
      </c>
      <c r="I426" s="1441"/>
      <c r="J426" s="1441"/>
      <c r="K426" s="2301" t="str">
        <f t="shared" si="140"/>
        <v>--</v>
      </c>
      <c r="L426" s="2301" t="str">
        <f t="shared" si="140"/>
        <v>--</v>
      </c>
      <c r="M426" s="2301" t="str">
        <f t="shared" si="140"/>
        <v>--</v>
      </c>
      <c r="N426" s="2301" t="str">
        <f t="shared" si="140"/>
        <v>--</v>
      </c>
      <c r="O426" s="1471" t="str">
        <f t="shared" si="140"/>
        <v>--</v>
      </c>
      <c r="P426" s="2300" t="str">
        <f t="shared" si="140"/>
        <v>--</v>
      </c>
      <c r="S426" s="2301" t="str">
        <f>IFERROR(AVERAGE(K426:$O426),"--")</f>
        <v>--</v>
      </c>
      <c r="T426" s="2301" t="str">
        <f>IFERROR(AVERAGE(L426:$O426),"--")</f>
        <v>--</v>
      </c>
      <c r="U426" s="2301" t="str">
        <f>IFERROR(AVERAGE(M426:$O426),"--")</f>
        <v>--</v>
      </c>
      <c r="V426" s="2301" t="str">
        <f>IFERROR(AVERAGE(N426:$O426),"--")</f>
        <v>--</v>
      </c>
    </row>
    <row r="427" spans="1:22" s="89" customFormat="1" ht="13.9">
      <c r="A427" s="269" t="str">
        <f t="shared" si="139"/>
        <v>n</v>
      </c>
      <c r="B427" s="2060"/>
      <c r="D427" s="801"/>
      <c r="E427" s="1505">
        <v>18</v>
      </c>
      <c r="F427" s="21" t="str">
        <f>F$146</f>
        <v>--</v>
      </c>
      <c r="G427" s="1441">
        <f>G$146</f>
        <v>0</v>
      </c>
      <c r="H427" s="1441" t="str">
        <f>H$146</f>
        <v>--</v>
      </c>
      <c r="I427" s="1441"/>
      <c r="J427" s="1441"/>
      <c r="K427" s="2301" t="str">
        <f t="shared" si="140"/>
        <v>--</v>
      </c>
      <c r="L427" s="2301" t="str">
        <f t="shared" si="140"/>
        <v>--</v>
      </c>
      <c r="M427" s="2301" t="str">
        <f t="shared" si="140"/>
        <v>--</v>
      </c>
      <c r="N427" s="2301" t="str">
        <f t="shared" si="140"/>
        <v>--</v>
      </c>
      <c r="O427" s="1471" t="str">
        <f t="shared" si="140"/>
        <v>--</v>
      </c>
      <c r="P427" s="2300" t="str">
        <f t="shared" si="140"/>
        <v>--</v>
      </c>
      <c r="S427" s="2301" t="str">
        <f>IFERROR(AVERAGE(K427:$O427),"--")</f>
        <v>--</v>
      </c>
      <c r="T427" s="2301" t="str">
        <f>IFERROR(AVERAGE(L427:$O427),"--")</f>
        <v>--</v>
      </c>
      <c r="U427" s="2301" t="str">
        <f>IFERROR(AVERAGE(M427:$O427),"--")</f>
        <v>--</v>
      </c>
      <c r="V427" s="2301" t="str">
        <f>IFERROR(AVERAGE(N427:$O427),"--")</f>
        <v>--</v>
      </c>
    </row>
    <row r="428" spans="1:22" s="89" customFormat="1" ht="13.9">
      <c r="A428" s="269" t="str">
        <f t="shared" si="139"/>
        <v>n</v>
      </c>
      <c r="B428" s="2060"/>
      <c r="D428" s="801"/>
      <c r="E428" s="1505">
        <v>19</v>
      </c>
      <c r="F428" s="21" t="str">
        <f>F$147</f>
        <v>--</v>
      </c>
      <c r="G428" s="1441">
        <f>G$147</f>
        <v>0</v>
      </c>
      <c r="H428" s="1441" t="str">
        <f>H$147</f>
        <v>--</v>
      </c>
      <c r="I428" s="1441"/>
      <c r="J428" s="1441"/>
      <c r="K428" s="2301" t="str">
        <f t="shared" si="140"/>
        <v>--</v>
      </c>
      <c r="L428" s="2301" t="str">
        <f t="shared" si="140"/>
        <v>--</v>
      </c>
      <c r="M428" s="2301" t="str">
        <f t="shared" si="140"/>
        <v>--</v>
      </c>
      <c r="N428" s="2301" t="str">
        <f t="shared" si="140"/>
        <v>--</v>
      </c>
      <c r="O428" s="1471" t="str">
        <f t="shared" si="140"/>
        <v>--</v>
      </c>
      <c r="P428" s="2300" t="str">
        <f t="shared" si="140"/>
        <v>--</v>
      </c>
      <c r="S428" s="2301" t="str">
        <f>IFERROR(AVERAGE(K428:$O428),"--")</f>
        <v>--</v>
      </c>
      <c r="T428" s="2301" t="str">
        <f>IFERROR(AVERAGE(L428:$O428),"--")</f>
        <v>--</v>
      </c>
      <c r="U428" s="2301" t="str">
        <f>IFERROR(AVERAGE(M428:$O428),"--")</f>
        <v>--</v>
      </c>
      <c r="V428" s="2301" t="str">
        <f>IFERROR(AVERAGE(N428:$O428),"--")</f>
        <v>--</v>
      </c>
    </row>
    <row r="429" spans="1:22" s="89" customFormat="1" ht="13.9">
      <c r="A429" s="269" t="str">
        <f t="shared" si="139"/>
        <v>n</v>
      </c>
      <c r="B429" s="2060"/>
      <c r="D429" s="801"/>
      <c r="E429" s="1505">
        <v>20</v>
      </c>
      <c r="F429" s="21" t="str">
        <f>F$148</f>
        <v>--</v>
      </c>
      <c r="G429" s="1441">
        <f>G$148</f>
        <v>0</v>
      </c>
      <c r="H429" s="1441" t="str">
        <f>H$148</f>
        <v>--</v>
      </c>
      <c r="I429" s="1441"/>
      <c r="J429" s="1441"/>
      <c r="K429" s="2301" t="str">
        <f t="shared" si="140"/>
        <v>--</v>
      </c>
      <c r="L429" s="2301" t="str">
        <f t="shared" si="140"/>
        <v>--</v>
      </c>
      <c r="M429" s="2301" t="str">
        <f t="shared" si="140"/>
        <v>--</v>
      </c>
      <c r="N429" s="2301" t="str">
        <f t="shared" si="140"/>
        <v>--</v>
      </c>
      <c r="O429" s="1471" t="str">
        <f t="shared" si="140"/>
        <v>--</v>
      </c>
      <c r="P429" s="2300" t="str">
        <f t="shared" si="140"/>
        <v>--</v>
      </c>
      <c r="S429" s="2301" t="str">
        <f>IFERROR(AVERAGE(K429:$O429),"--")</f>
        <v>--</v>
      </c>
      <c r="T429" s="2301" t="str">
        <f>IFERROR(AVERAGE(L429:$O429),"--")</f>
        <v>--</v>
      </c>
      <c r="U429" s="2301" t="str">
        <f>IFERROR(AVERAGE(M429:$O429),"--")</f>
        <v>--</v>
      </c>
      <c r="V429" s="2301" t="str">
        <f>IFERROR(AVERAGE(N429:$O429),"--")</f>
        <v>--</v>
      </c>
    </row>
    <row r="430" spans="1:22" s="89" customFormat="1" ht="13.9">
      <c r="A430" s="269" t="str">
        <f t="shared" si="139"/>
        <v>n</v>
      </c>
      <c r="B430" s="2060"/>
      <c r="D430" s="801"/>
      <c r="E430" s="1505">
        <v>21</v>
      </c>
      <c r="F430" s="21" t="str">
        <f>F$149</f>
        <v>--</v>
      </c>
      <c r="G430" s="1441">
        <f>G$149</f>
        <v>0</v>
      </c>
      <c r="H430" s="1441" t="str">
        <f>H$149</f>
        <v>--</v>
      </c>
      <c r="I430" s="1441"/>
      <c r="J430" s="1441"/>
      <c r="K430" s="2301" t="str">
        <f t="shared" si="140"/>
        <v>--</v>
      </c>
      <c r="L430" s="2301" t="str">
        <f t="shared" si="140"/>
        <v>--</v>
      </c>
      <c r="M430" s="2301" t="str">
        <f t="shared" si="140"/>
        <v>--</v>
      </c>
      <c r="N430" s="2301" t="str">
        <f t="shared" si="140"/>
        <v>--</v>
      </c>
      <c r="O430" s="1471" t="str">
        <f t="shared" si="140"/>
        <v>--</v>
      </c>
      <c r="P430" s="2300" t="str">
        <f t="shared" si="140"/>
        <v>--</v>
      </c>
      <c r="S430" s="2301" t="str">
        <f>IFERROR(AVERAGE(K430:$O430),"--")</f>
        <v>--</v>
      </c>
      <c r="T430" s="2301" t="str">
        <f>IFERROR(AVERAGE(L430:$O430),"--")</f>
        <v>--</v>
      </c>
      <c r="U430" s="2301" t="str">
        <f>IFERROR(AVERAGE(M430:$O430),"--")</f>
        <v>--</v>
      </c>
      <c r="V430" s="2301" t="str">
        <f>IFERROR(AVERAGE(N430:$O430),"--")</f>
        <v>--</v>
      </c>
    </row>
    <row r="431" spans="1:22" s="89" customFormat="1" ht="13.9">
      <c r="A431" s="269" t="str">
        <f t="shared" si="139"/>
        <v>n</v>
      </c>
      <c r="B431" s="2060"/>
      <c r="D431" s="801"/>
      <c r="E431" s="1505">
        <v>22</v>
      </c>
      <c r="F431" s="21" t="str">
        <f>F$150</f>
        <v>--</v>
      </c>
      <c r="G431" s="1441">
        <f>G$150</f>
        <v>0</v>
      </c>
      <c r="H431" s="1441" t="str">
        <f>H$150</f>
        <v>--</v>
      </c>
      <c r="I431" s="1441"/>
      <c r="J431" s="1441"/>
      <c r="K431" s="2301" t="str">
        <f t="shared" si="140"/>
        <v>--</v>
      </c>
      <c r="L431" s="2301" t="str">
        <f t="shared" si="140"/>
        <v>--</v>
      </c>
      <c r="M431" s="2301" t="str">
        <f t="shared" si="140"/>
        <v>--</v>
      </c>
      <c r="N431" s="2301" t="str">
        <f t="shared" si="140"/>
        <v>--</v>
      </c>
      <c r="O431" s="1471" t="str">
        <f t="shared" si="140"/>
        <v>--</v>
      </c>
      <c r="P431" s="2300" t="str">
        <f t="shared" si="140"/>
        <v>--</v>
      </c>
      <c r="S431" s="2301" t="str">
        <f>IFERROR(AVERAGE(K431:$O431),"--")</f>
        <v>--</v>
      </c>
      <c r="T431" s="2301" t="str">
        <f>IFERROR(AVERAGE(L431:$O431),"--")</f>
        <v>--</v>
      </c>
      <c r="U431" s="2301" t="str">
        <f>IFERROR(AVERAGE(M431:$O431),"--")</f>
        <v>--</v>
      </c>
      <c r="V431" s="2301" t="str">
        <f>IFERROR(AVERAGE(N431:$O431),"--")</f>
        <v>--</v>
      </c>
    </row>
    <row r="432" spans="1:22" s="89" customFormat="1" ht="13.9">
      <c r="A432" s="269" t="str">
        <f t="shared" si="139"/>
        <v>n</v>
      </c>
      <c r="B432" s="2060"/>
      <c r="D432" s="801"/>
      <c r="E432" s="1505">
        <v>23</v>
      </c>
      <c r="F432" s="21" t="str">
        <f>F$151</f>
        <v>--</v>
      </c>
      <c r="G432" s="1441">
        <f>G$151</f>
        <v>0</v>
      </c>
      <c r="H432" s="1441" t="str">
        <f>H$151</f>
        <v>--</v>
      </c>
      <c r="I432" s="1441"/>
      <c r="J432" s="1441"/>
      <c r="K432" s="2301" t="str">
        <f t="shared" si="140"/>
        <v>--</v>
      </c>
      <c r="L432" s="2301" t="str">
        <f t="shared" si="140"/>
        <v>--</v>
      </c>
      <c r="M432" s="2301" t="str">
        <f t="shared" si="140"/>
        <v>--</v>
      </c>
      <c r="N432" s="2301" t="str">
        <f t="shared" si="140"/>
        <v>--</v>
      </c>
      <c r="O432" s="1471" t="str">
        <f t="shared" si="140"/>
        <v>--</v>
      </c>
      <c r="P432" s="2300" t="str">
        <f t="shared" si="140"/>
        <v>--</v>
      </c>
      <c r="S432" s="2301" t="str">
        <f>IFERROR(AVERAGE(K432:$O432),"--")</f>
        <v>--</v>
      </c>
      <c r="T432" s="2301" t="str">
        <f>IFERROR(AVERAGE(L432:$O432),"--")</f>
        <v>--</v>
      </c>
      <c r="U432" s="2301" t="str">
        <f>IFERROR(AVERAGE(M432:$O432),"--")</f>
        <v>--</v>
      </c>
      <c r="V432" s="2301" t="str">
        <f>IFERROR(AVERAGE(N432:$O432),"--")</f>
        <v>--</v>
      </c>
    </row>
    <row r="433" spans="1:24" s="89" customFormat="1" ht="13.9">
      <c r="A433" s="269" t="str">
        <f t="shared" si="139"/>
        <v>n</v>
      </c>
      <c r="B433" s="2060"/>
      <c r="D433" s="801"/>
      <c r="E433" s="1505">
        <v>24</v>
      </c>
      <c r="F433" s="21" t="str">
        <f>F$152</f>
        <v>--</v>
      </c>
      <c r="G433" s="1441">
        <f>G$152</f>
        <v>0</v>
      </c>
      <c r="H433" s="1441" t="str">
        <f>H$152</f>
        <v>--</v>
      </c>
      <c r="I433" s="1441"/>
      <c r="J433" s="1441"/>
      <c r="K433" s="2301" t="str">
        <f t="shared" si="140"/>
        <v>--</v>
      </c>
      <c r="L433" s="2301" t="str">
        <f t="shared" si="140"/>
        <v>--</v>
      </c>
      <c r="M433" s="2301" t="str">
        <f t="shared" si="140"/>
        <v>--</v>
      </c>
      <c r="N433" s="2301" t="str">
        <f t="shared" si="140"/>
        <v>--</v>
      </c>
      <c r="O433" s="1471" t="str">
        <f t="shared" si="140"/>
        <v>--</v>
      </c>
      <c r="P433" s="2300" t="str">
        <f t="shared" si="140"/>
        <v>--</v>
      </c>
      <c r="S433" s="2301" t="str">
        <f>IFERROR(AVERAGE(K433:$O433),"--")</f>
        <v>--</v>
      </c>
      <c r="T433" s="2301" t="str">
        <f>IFERROR(AVERAGE(L433:$O433),"--")</f>
        <v>--</v>
      </c>
      <c r="U433" s="2301" t="str">
        <f>IFERROR(AVERAGE(M433:$O433),"--")</f>
        <v>--</v>
      </c>
      <c r="V433" s="2301" t="str">
        <f>IFERROR(AVERAGE(N433:$O433),"--")</f>
        <v>--</v>
      </c>
    </row>
    <row r="434" spans="1:24" s="89" customFormat="1" ht="13.9">
      <c r="A434" s="269" t="str">
        <f t="shared" si="139"/>
        <v>n</v>
      </c>
      <c r="B434" s="2060"/>
      <c r="D434" s="801"/>
      <c r="E434" s="1505">
        <v>25</v>
      </c>
      <c r="F434" s="21" t="str">
        <f>F$153</f>
        <v>--</v>
      </c>
      <c r="G434" s="1441">
        <f>G$153</f>
        <v>0</v>
      </c>
      <c r="H434" s="1441" t="str">
        <f>H$153</f>
        <v>--</v>
      </c>
      <c r="I434" s="1441"/>
      <c r="J434" s="1441"/>
      <c r="K434" s="2301" t="str">
        <f t="shared" si="140"/>
        <v>--</v>
      </c>
      <c r="L434" s="2301" t="str">
        <f t="shared" si="140"/>
        <v>--</v>
      </c>
      <c r="M434" s="2301" t="str">
        <f t="shared" si="140"/>
        <v>--</v>
      </c>
      <c r="N434" s="2301" t="str">
        <f t="shared" si="140"/>
        <v>--</v>
      </c>
      <c r="O434" s="1471" t="str">
        <f t="shared" si="140"/>
        <v>--</v>
      </c>
      <c r="P434" s="2300" t="str">
        <f t="shared" si="140"/>
        <v>--</v>
      </c>
      <c r="S434" s="2301" t="str">
        <f>IFERROR(AVERAGE(K434:$O434),"--")</f>
        <v>--</v>
      </c>
      <c r="T434" s="2301" t="str">
        <f>IFERROR(AVERAGE(L434:$O434),"--")</f>
        <v>--</v>
      </c>
      <c r="U434" s="2301" t="str">
        <f>IFERROR(AVERAGE(M434:$O434),"--")</f>
        <v>--</v>
      </c>
      <c r="V434" s="2301" t="str">
        <f>IFERROR(AVERAGE(N434:$O434),"--")</f>
        <v>--</v>
      </c>
    </row>
    <row r="435" spans="1:24" s="89" customFormat="1" ht="13.9">
      <c r="A435" s="2060"/>
      <c r="B435" s="2060"/>
      <c r="D435" s="801"/>
      <c r="F435" s="57" t="s">
        <v>767</v>
      </c>
      <c r="G435" s="1442"/>
      <c r="H435" s="1442"/>
      <c r="I435" s="1442"/>
      <c r="J435" s="1442"/>
      <c r="K435" s="1443" t="str">
        <f t="shared" ref="K435:P435" si="141">IFERROR(MEDIAN(K410:K434),"--")</f>
        <v>--</v>
      </c>
      <c r="L435" s="1443" t="str">
        <f t="shared" si="141"/>
        <v>--</v>
      </c>
      <c r="M435" s="1443" t="str">
        <f t="shared" si="141"/>
        <v>--</v>
      </c>
      <c r="N435" s="1443" t="str">
        <f t="shared" si="141"/>
        <v>--</v>
      </c>
      <c r="O435" s="1444" t="str">
        <f t="shared" si="141"/>
        <v>--</v>
      </c>
      <c r="P435" s="1443" t="str">
        <f t="shared" si="141"/>
        <v>--</v>
      </c>
      <c r="S435" s="1443" t="str">
        <f>IFERROR(MEDIAN(S410:S434),"--")</f>
        <v>--</v>
      </c>
      <c r="T435" s="1443" t="str">
        <f>IFERROR(MEDIAN(T410:T434),"--")</f>
        <v>--</v>
      </c>
      <c r="U435" s="1443" t="str">
        <f>IFERROR(MEDIAN(U410:U434),"--")</f>
        <v>--</v>
      </c>
      <c r="V435" s="1443" t="str">
        <f>IFERROR(MEDIAN(V410:V434),"--")</f>
        <v>--</v>
      </c>
    </row>
    <row r="436" spans="1:24" s="89" customFormat="1" ht="13.9">
      <c r="A436" s="2060"/>
      <c r="B436" s="2060"/>
      <c r="D436" s="802"/>
      <c r="E436" s="125"/>
      <c r="F436" s="446"/>
      <c r="O436" s="75"/>
      <c r="P436" s="76"/>
      <c r="Q436" s="255"/>
      <c r="R436" s="255"/>
    </row>
    <row r="437" spans="1:24" s="89" customFormat="1" ht="13.9">
      <c r="A437" s="2060"/>
      <c r="B437" s="2060"/>
      <c r="D437" s="802"/>
      <c r="E437" s="125"/>
      <c r="F437" s="446"/>
      <c r="O437" s="75"/>
      <c r="P437" s="76"/>
      <c r="Q437" s="255"/>
      <c r="R437" s="255"/>
    </row>
    <row r="438" spans="1:24" s="89" customFormat="1" ht="13.9">
      <c r="A438" s="2060"/>
      <c r="B438" s="2060"/>
      <c r="D438" s="801"/>
      <c r="F438" s="1446"/>
      <c r="O438" s="75"/>
      <c r="P438" s="76"/>
      <c r="Q438" s="255"/>
      <c r="R438" s="255"/>
      <c r="S438" s="521" t="s">
        <v>788</v>
      </c>
      <c r="T438" s="521" t="s">
        <v>788</v>
      </c>
      <c r="U438" s="521" t="s">
        <v>788</v>
      </c>
      <c r="V438" s="521" t="s">
        <v>788</v>
      </c>
      <c r="W438" s="521"/>
      <c r="X438" s="255"/>
    </row>
    <row r="439" spans="1:24" s="89" customFormat="1" ht="13.9">
      <c r="A439" s="2060"/>
      <c r="B439" s="2060"/>
      <c r="D439" s="778">
        <f ca="1">MAX(OFFSET(D439,-1,0,-ROW(D439)+1,-2),1)+0.01</f>
        <v>4.0999999999999979</v>
      </c>
      <c r="E439" s="21"/>
      <c r="F439" s="952" t="str">
        <f>$F$315&amp;" / Market equity"</f>
        <v>Total debt / Market equity</v>
      </c>
      <c r="G439" s="724" t="s">
        <v>795</v>
      </c>
      <c r="H439" s="724"/>
      <c r="I439" s="725"/>
      <c r="J439" s="725"/>
      <c r="K439" s="725" t="s">
        <v>700</v>
      </c>
      <c r="L439" s="725" t="s">
        <v>701</v>
      </c>
      <c r="M439" s="725" t="s">
        <v>702</v>
      </c>
      <c r="N439" s="725" t="s">
        <v>703</v>
      </c>
      <c r="O439" s="759" t="s">
        <v>704</v>
      </c>
      <c r="P439" s="762">
        <f>Valuation_Date_GC</f>
        <v>42794</v>
      </c>
      <c r="Q439" s="255"/>
      <c r="R439" s="255"/>
      <c r="S439" s="1459" t="s">
        <v>789</v>
      </c>
      <c r="T439" s="1459" t="s">
        <v>790</v>
      </c>
      <c r="U439" s="1459" t="s">
        <v>791</v>
      </c>
      <c r="V439" s="1459" t="s">
        <v>792</v>
      </c>
      <c r="W439" s="1459" t="s">
        <v>704</v>
      </c>
      <c r="X439" s="1459" t="s">
        <v>704</v>
      </c>
    </row>
    <row r="440" spans="1:24" s="89" customFormat="1" ht="13.9">
      <c r="A440" s="2060"/>
      <c r="B440" s="2060"/>
      <c r="D440" s="778"/>
      <c r="E440" s="1505">
        <v>0</v>
      </c>
      <c r="F440" s="1439" t="str">
        <f>F$128</f>
        <v/>
      </c>
      <c r="G440" s="1440">
        <f>G$128</f>
        <v>0</v>
      </c>
      <c r="H440" s="1440" t="str">
        <f>H$128</f>
        <v>USD</v>
      </c>
      <c r="I440" s="248"/>
      <c r="J440" s="248"/>
      <c r="K440" s="2309" t="str">
        <f t="shared" ref="K440:P455" si="142">IFERROR(K316/K409,"--")</f>
        <v>--</v>
      </c>
      <c r="L440" s="2309" t="str">
        <f t="shared" si="142"/>
        <v>--</v>
      </c>
      <c r="M440" s="2309" t="str">
        <f t="shared" si="142"/>
        <v>--</v>
      </c>
      <c r="N440" s="2309" t="str">
        <f t="shared" si="142"/>
        <v>--</v>
      </c>
      <c r="O440" s="2137" t="str">
        <f t="shared" si="142"/>
        <v>--</v>
      </c>
      <c r="P440" s="2309" t="str">
        <f t="shared" si="142"/>
        <v>--</v>
      </c>
      <c r="Q440" s="1467"/>
      <c r="R440" s="1467"/>
      <c r="S440" s="2309" t="str">
        <f>IFERROR(AVERAGE(K440:$O440),"")</f>
        <v/>
      </c>
      <c r="T440" s="2309" t="str">
        <f>IFERROR(AVERAGE(L440:$O440),"")</f>
        <v/>
      </c>
      <c r="U440" s="2309" t="str">
        <f>IFERROR(AVERAGE(M440:$O440),"")</f>
        <v/>
      </c>
      <c r="V440" s="2309" t="str">
        <f>IFERROR(AVERAGE(N440:$O440),"")</f>
        <v/>
      </c>
      <c r="W440" s="2309" t="str">
        <f>IFERROR(O440,"")</f>
        <v>--</v>
      </c>
      <c r="X440" s="2309" t="str">
        <f>IFERROR(P440,"")</f>
        <v>--</v>
      </c>
    </row>
    <row r="441" spans="1:24" s="89" customFormat="1" ht="13.9">
      <c r="A441" s="269" t="str">
        <f>IF(F441="--","n","")</f>
        <v>n</v>
      </c>
      <c r="B441" s="2060"/>
      <c r="D441" s="801"/>
      <c r="E441" s="1505">
        <v>1</v>
      </c>
      <c r="F441" s="21" t="str">
        <f>F$129</f>
        <v>--</v>
      </c>
      <c r="G441" s="1441">
        <f>G$129</f>
        <v>0</v>
      </c>
      <c r="H441" s="1441" t="str">
        <f>H$129</f>
        <v>--</v>
      </c>
      <c r="K441" s="2310" t="str">
        <f t="shared" si="142"/>
        <v>--</v>
      </c>
      <c r="L441" s="2310" t="str">
        <f t="shared" si="142"/>
        <v>--</v>
      </c>
      <c r="M441" s="2310" t="str">
        <f t="shared" si="142"/>
        <v>--</v>
      </c>
      <c r="N441" s="2310" t="str">
        <f t="shared" si="142"/>
        <v>--</v>
      </c>
      <c r="O441" s="2138" t="str">
        <f t="shared" si="142"/>
        <v>--</v>
      </c>
      <c r="P441" s="2311" t="str">
        <f t="shared" si="142"/>
        <v>--</v>
      </c>
      <c r="Q441" s="255"/>
      <c r="R441" s="255"/>
      <c r="S441" s="2310" t="str">
        <f>IF($F441="--","--",IFERROR(AVERAGE(K441:$O441),"n/a"))</f>
        <v>--</v>
      </c>
      <c r="T441" s="2310" t="str">
        <f>IF($F441="--","--",IFERROR(AVERAGE(L441:$O441),"n/a"))</f>
        <v>--</v>
      </c>
      <c r="U441" s="2310" t="str">
        <f>IF($F441="--","--",IFERROR(AVERAGE(M441:$O441),"n/a"))</f>
        <v>--</v>
      </c>
      <c r="V441" s="2310" t="str">
        <f>IF($F441="--","--",IFERROR(AVERAGE(N441:$O441),"n/a"))</f>
        <v>--</v>
      </c>
      <c r="W441" s="2310" t="str">
        <f>IF($F441="--","--",IFERROR(O441,"n/a"))</f>
        <v>--</v>
      </c>
      <c r="X441" s="2310" t="str">
        <f>IF($F441="--","--",IFERROR(P441,"n/a"))</f>
        <v>--</v>
      </c>
    </row>
    <row r="442" spans="1:24" s="89" customFormat="1" ht="13.9">
      <c r="A442" s="269" t="str">
        <f t="shared" ref="A442:A465" si="143">IF(F442="--","n","")</f>
        <v>n</v>
      </c>
      <c r="B442" s="2060"/>
      <c r="D442" s="801"/>
      <c r="E442" s="1505">
        <v>2</v>
      </c>
      <c r="F442" s="21" t="str">
        <f>F$130</f>
        <v>--</v>
      </c>
      <c r="G442" s="1441">
        <f>G$130</f>
        <v>0</v>
      </c>
      <c r="H442" s="1441" t="str">
        <f>H$130</f>
        <v>--</v>
      </c>
      <c r="K442" s="2310" t="str">
        <f t="shared" si="142"/>
        <v>--</v>
      </c>
      <c r="L442" s="2310" t="str">
        <f t="shared" si="142"/>
        <v>--</v>
      </c>
      <c r="M442" s="2310" t="str">
        <f t="shared" si="142"/>
        <v>--</v>
      </c>
      <c r="N442" s="2310" t="str">
        <f t="shared" si="142"/>
        <v>--</v>
      </c>
      <c r="O442" s="2138" t="str">
        <f t="shared" si="142"/>
        <v>--</v>
      </c>
      <c r="P442" s="2311" t="str">
        <f t="shared" si="142"/>
        <v>--</v>
      </c>
      <c r="Q442" s="255"/>
      <c r="R442" s="255"/>
      <c r="S442" s="2310" t="str">
        <f>IF($F442="--","--",IFERROR(AVERAGE(K442:$O442),"n/a"))</f>
        <v>--</v>
      </c>
      <c r="T442" s="2310" t="str">
        <f>IF($F442="--","--",IFERROR(AVERAGE(L442:$O442),"n/a"))</f>
        <v>--</v>
      </c>
      <c r="U442" s="2310" t="str">
        <f>IF($F442="--","--",IFERROR(AVERAGE(M442:$O442),"n/a"))</f>
        <v>--</v>
      </c>
      <c r="V442" s="2310" t="str">
        <f>IF($F442="--","--",IFERROR(AVERAGE(N442:$O442),"n/a"))</f>
        <v>--</v>
      </c>
      <c r="W442" s="2310" t="str">
        <f t="shared" ref="W442:W465" si="144">IF($F442="--","--",IFERROR(O442,"n/a"))</f>
        <v>--</v>
      </c>
      <c r="X442" s="2310" t="str">
        <f t="shared" ref="X442:X465" si="145">IF($F442="--","--",IFERROR(P442,"n/a"))</f>
        <v>--</v>
      </c>
    </row>
    <row r="443" spans="1:24" s="89" customFormat="1" ht="13.9">
      <c r="A443" s="269" t="str">
        <f t="shared" si="143"/>
        <v>n</v>
      </c>
      <c r="B443" s="2060"/>
      <c r="D443" s="801"/>
      <c r="E443" s="1505">
        <v>3</v>
      </c>
      <c r="F443" s="21" t="str">
        <f>F$131</f>
        <v>--</v>
      </c>
      <c r="G443" s="1441">
        <f>G$131</f>
        <v>0</v>
      </c>
      <c r="H443" s="1441" t="str">
        <f>H$131</f>
        <v>--</v>
      </c>
      <c r="K443" s="2310" t="str">
        <f t="shared" si="142"/>
        <v>--</v>
      </c>
      <c r="L443" s="2310" t="str">
        <f t="shared" si="142"/>
        <v>--</v>
      </c>
      <c r="M443" s="2310" t="str">
        <f t="shared" si="142"/>
        <v>--</v>
      </c>
      <c r="N443" s="2310" t="str">
        <f t="shared" si="142"/>
        <v>--</v>
      </c>
      <c r="O443" s="2138" t="str">
        <f t="shared" si="142"/>
        <v>--</v>
      </c>
      <c r="P443" s="2311" t="str">
        <f t="shared" si="142"/>
        <v>--</v>
      </c>
      <c r="Q443" s="255"/>
      <c r="R443" s="255"/>
      <c r="S443" s="2310" t="str">
        <f>IF($F443="--","--",IFERROR(AVERAGE(K443:$O443),"n/a"))</f>
        <v>--</v>
      </c>
      <c r="T443" s="2310" t="str">
        <f>IF($F443="--","--",IFERROR(AVERAGE(L443:$O443),"n/a"))</f>
        <v>--</v>
      </c>
      <c r="U443" s="2310" t="str">
        <f>IF($F443="--","--",IFERROR(AVERAGE(M443:$O443),"n/a"))</f>
        <v>--</v>
      </c>
      <c r="V443" s="2310" t="str">
        <f>IF($F443="--","--",IFERROR(AVERAGE(N443:$O443),"n/a"))</f>
        <v>--</v>
      </c>
      <c r="W443" s="2310" t="str">
        <f t="shared" si="144"/>
        <v>--</v>
      </c>
      <c r="X443" s="2310" t="str">
        <f t="shared" si="145"/>
        <v>--</v>
      </c>
    </row>
    <row r="444" spans="1:24" s="89" customFormat="1" ht="13.9">
      <c r="A444" s="269" t="str">
        <f t="shared" si="143"/>
        <v>n</v>
      </c>
      <c r="B444" s="2060"/>
      <c r="D444" s="801"/>
      <c r="E444" s="1505">
        <v>4</v>
      </c>
      <c r="F444" s="21" t="str">
        <f>F$132</f>
        <v>--</v>
      </c>
      <c r="G444" s="1441">
        <f>G$132</f>
        <v>0</v>
      </c>
      <c r="H444" s="1441" t="str">
        <f>H$132</f>
        <v>--</v>
      </c>
      <c r="K444" s="2310" t="str">
        <f t="shared" si="142"/>
        <v>--</v>
      </c>
      <c r="L444" s="2310" t="str">
        <f t="shared" si="142"/>
        <v>--</v>
      </c>
      <c r="M444" s="2310" t="str">
        <f t="shared" si="142"/>
        <v>--</v>
      </c>
      <c r="N444" s="2310" t="str">
        <f t="shared" si="142"/>
        <v>--</v>
      </c>
      <c r="O444" s="2138" t="str">
        <f t="shared" si="142"/>
        <v>--</v>
      </c>
      <c r="P444" s="2311" t="str">
        <f t="shared" si="142"/>
        <v>--</v>
      </c>
      <c r="Q444" s="255"/>
      <c r="R444" s="255"/>
      <c r="S444" s="2310" t="str">
        <f>IF($F444="--","--",IFERROR(AVERAGE(K444:$O444),"n/a"))</f>
        <v>--</v>
      </c>
      <c r="T444" s="2310" t="str">
        <f>IF($F444="--","--",IFERROR(AVERAGE(L444:$O444),"n/a"))</f>
        <v>--</v>
      </c>
      <c r="U444" s="2310" t="str">
        <f>IF($F444="--","--",IFERROR(AVERAGE(M444:$O444),"n/a"))</f>
        <v>--</v>
      </c>
      <c r="V444" s="2310" t="str">
        <f>IF($F444="--","--",IFERROR(AVERAGE(N444:$O444),"n/a"))</f>
        <v>--</v>
      </c>
      <c r="W444" s="2310" t="str">
        <f t="shared" si="144"/>
        <v>--</v>
      </c>
      <c r="X444" s="2310" t="str">
        <f t="shared" si="145"/>
        <v>--</v>
      </c>
    </row>
    <row r="445" spans="1:24" s="89" customFormat="1" ht="13.9">
      <c r="A445" s="269" t="str">
        <f t="shared" si="143"/>
        <v>n</v>
      </c>
      <c r="B445" s="2060"/>
      <c r="D445" s="801"/>
      <c r="E445" s="1505">
        <v>5</v>
      </c>
      <c r="F445" s="21" t="str">
        <f>F$133</f>
        <v>--</v>
      </c>
      <c r="G445" s="1441">
        <f>G$133</f>
        <v>0</v>
      </c>
      <c r="H445" s="1441" t="str">
        <f>H$133</f>
        <v>--</v>
      </c>
      <c r="K445" s="2310" t="str">
        <f t="shared" si="142"/>
        <v>--</v>
      </c>
      <c r="L445" s="2310" t="str">
        <f t="shared" si="142"/>
        <v>--</v>
      </c>
      <c r="M445" s="2310" t="str">
        <f t="shared" si="142"/>
        <v>--</v>
      </c>
      <c r="N445" s="2310" t="str">
        <f t="shared" si="142"/>
        <v>--</v>
      </c>
      <c r="O445" s="2138" t="str">
        <f t="shared" si="142"/>
        <v>--</v>
      </c>
      <c r="P445" s="2311" t="str">
        <f t="shared" si="142"/>
        <v>--</v>
      </c>
      <c r="Q445" s="255"/>
      <c r="R445" s="255"/>
      <c r="S445" s="2310" t="str">
        <f>IF($F445="--","--",IFERROR(AVERAGE(K445:$O445),"n/a"))</f>
        <v>--</v>
      </c>
      <c r="T445" s="2310" t="str">
        <f>IF($F445="--","--",IFERROR(AVERAGE(L445:$O445),"n/a"))</f>
        <v>--</v>
      </c>
      <c r="U445" s="2310" t="str">
        <f>IF($F445="--","--",IFERROR(AVERAGE(M445:$O445),"n/a"))</f>
        <v>--</v>
      </c>
      <c r="V445" s="2310" t="str">
        <f>IF($F445="--","--",IFERROR(AVERAGE(N445:$O445),"n/a"))</f>
        <v>--</v>
      </c>
      <c r="W445" s="2310" t="str">
        <f t="shared" si="144"/>
        <v>--</v>
      </c>
      <c r="X445" s="2310" t="str">
        <f t="shared" si="145"/>
        <v>--</v>
      </c>
    </row>
    <row r="446" spans="1:24" s="89" customFormat="1" ht="13.9">
      <c r="A446" s="269" t="str">
        <f t="shared" si="143"/>
        <v>n</v>
      </c>
      <c r="B446" s="2060"/>
      <c r="D446" s="801"/>
      <c r="E446" s="1505">
        <v>6</v>
      </c>
      <c r="F446" s="21" t="str">
        <f>F$134</f>
        <v>--</v>
      </c>
      <c r="G446" s="1441">
        <f>G$134</f>
        <v>0</v>
      </c>
      <c r="H446" s="1441" t="str">
        <f>H$134</f>
        <v>--</v>
      </c>
      <c r="K446" s="2310" t="str">
        <f t="shared" si="142"/>
        <v>--</v>
      </c>
      <c r="L446" s="2310" t="str">
        <f t="shared" si="142"/>
        <v>--</v>
      </c>
      <c r="M446" s="2310" t="str">
        <f t="shared" si="142"/>
        <v>--</v>
      </c>
      <c r="N446" s="2310" t="str">
        <f t="shared" si="142"/>
        <v>--</v>
      </c>
      <c r="O446" s="2138" t="str">
        <f t="shared" si="142"/>
        <v>--</v>
      </c>
      <c r="P446" s="2311" t="str">
        <f t="shared" si="142"/>
        <v>--</v>
      </c>
      <c r="Q446" s="255"/>
      <c r="R446" s="255"/>
      <c r="S446" s="2310" t="str">
        <f>IF($F446="--","--",IFERROR(AVERAGE(K446:$O446),"n/a"))</f>
        <v>--</v>
      </c>
      <c r="T446" s="2310" t="str">
        <f>IF($F446="--","--",IFERROR(AVERAGE(L446:$O446),"n/a"))</f>
        <v>--</v>
      </c>
      <c r="U446" s="2310" t="str">
        <f>IF($F446="--","--",IFERROR(AVERAGE(M446:$O446),"n/a"))</f>
        <v>--</v>
      </c>
      <c r="V446" s="2310" t="str">
        <f>IF($F446="--","--",IFERROR(AVERAGE(N446:$O446),"n/a"))</f>
        <v>--</v>
      </c>
      <c r="W446" s="2310" t="str">
        <f t="shared" si="144"/>
        <v>--</v>
      </c>
      <c r="X446" s="2310" t="str">
        <f t="shared" si="145"/>
        <v>--</v>
      </c>
    </row>
    <row r="447" spans="1:24" s="89" customFormat="1" ht="13.9">
      <c r="A447" s="269" t="str">
        <f t="shared" si="143"/>
        <v>n</v>
      </c>
      <c r="B447" s="2060"/>
      <c r="D447" s="801"/>
      <c r="E447" s="1505">
        <v>7</v>
      </c>
      <c r="F447" s="21" t="str">
        <f>F$135</f>
        <v>--</v>
      </c>
      <c r="G447" s="1441">
        <f>G$135</f>
        <v>0</v>
      </c>
      <c r="H447" s="1441" t="str">
        <f>H$135</f>
        <v>--</v>
      </c>
      <c r="K447" s="2310" t="str">
        <f t="shared" si="142"/>
        <v>--</v>
      </c>
      <c r="L447" s="2310" t="str">
        <f t="shared" si="142"/>
        <v>--</v>
      </c>
      <c r="M447" s="2310" t="str">
        <f t="shared" si="142"/>
        <v>--</v>
      </c>
      <c r="N447" s="2310" t="str">
        <f t="shared" si="142"/>
        <v>--</v>
      </c>
      <c r="O447" s="2138" t="str">
        <f t="shared" si="142"/>
        <v>--</v>
      </c>
      <c r="P447" s="2311" t="str">
        <f t="shared" si="142"/>
        <v>--</v>
      </c>
      <c r="Q447" s="255"/>
      <c r="R447" s="255"/>
      <c r="S447" s="2310" t="str">
        <f>IF($F447="--","--",IFERROR(AVERAGE(K447:$O447),"n/a"))</f>
        <v>--</v>
      </c>
      <c r="T447" s="2310" t="str">
        <f>IF($F447="--","--",IFERROR(AVERAGE(L447:$O447),"n/a"))</f>
        <v>--</v>
      </c>
      <c r="U447" s="2310" t="str">
        <f>IF($F447="--","--",IFERROR(AVERAGE(M447:$O447),"n/a"))</f>
        <v>--</v>
      </c>
      <c r="V447" s="2310" t="str">
        <f>IF($F447="--","--",IFERROR(AVERAGE(N447:$O447),"n/a"))</f>
        <v>--</v>
      </c>
      <c r="W447" s="2310" t="str">
        <f t="shared" si="144"/>
        <v>--</v>
      </c>
      <c r="X447" s="2310" t="str">
        <f t="shared" si="145"/>
        <v>--</v>
      </c>
    </row>
    <row r="448" spans="1:24" s="89" customFormat="1" ht="13.9">
      <c r="A448" s="269" t="str">
        <f t="shared" si="143"/>
        <v>n</v>
      </c>
      <c r="B448" s="2060"/>
      <c r="D448" s="801"/>
      <c r="E448" s="1505">
        <v>8</v>
      </c>
      <c r="F448" s="21" t="str">
        <f>F$136</f>
        <v>--</v>
      </c>
      <c r="G448" s="1441">
        <f>G$136</f>
        <v>0</v>
      </c>
      <c r="H448" s="1441" t="str">
        <f>H$136</f>
        <v>--</v>
      </c>
      <c r="K448" s="2310" t="str">
        <f t="shared" si="142"/>
        <v>--</v>
      </c>
      <c r="L448" s="2310" t="str">
        <f t="shared" si="142"/>
        <v>--</v>
      </c>
      <c r="M448" s="2310" t="str">
        <f t="shared" si="142"/>
        <v>--</v>
      </c>
      <c r="N448" s="2310" t="str">
        <f t="shared" si="142"/>
        <v>--</v>
      </c>
      <c r="O448" s="2138" t="str">
        <f t="shared" si="142"/>
        <v>--</v>
      </c>
      <c r="P448" s="2311" t="str">
        <f t="shared" si="142"/>
        <v>--</v>
      </c>
      <c r="Q448" s="255"/>
      <c r="R448" s="255"/>
      <c r="S448" s="2310" t="str">
        <f>IF($F448="--","--",IFERROR(AVERAGE(K448:$O448),"n/a"))</f>
        <v>--</v>
      </c>
      <c r="T448" s="2310" t="str">
        <f>IF($F448="--","--",IFERROR(AVERAGE(L448:$O448),"n/a"))</f>
        <v>--</v>
      </c>
      <c r="U448" s="2310" t="str">
        <f>IF($F448="--","--",IFERROR(AVERAGE(M448:$O448),"n/a"))</f>
        <v>--</v>
      </c>
      <c r="V448" s="2310" t="str">
        <f>IF($F448="--","--",IFERROR(AVERAGE(N448:$O448),"n/a"))</f>
        <v>--</v>
      </c>
      <c r="W448" s="2310" t="str">
        <f t="shared" si="144"/>
        <v>--</v>
      </c>
      <c r="X448" s="2310" t="str">
        <f t="shared" si="145"/>
        <v>--</v>
      </c>
    </row>
    <row r="449" spans="1:68" s="89" customFormat="1" ht="13.9">
      <c r="A449" s="269" t="str">
        <f t="shared" si="143"/>
        <v>n</v>
      </c>
      <c r="B449" s="2060"/>
      <c r="D449" s="801"/>
      <c r="E449" s="1505">
        <v>9</v>
      </c>
      <c r="F449" s="21" t="str">
        <f>F$137</f>
        <v>--</v>
      </c>
      <c r="G449" s="1441">
        <f>G$137</f>
        <v>0</v>
      </c>
      <c r="H449" s="1441" t="str">
        <f>H$137</f>
        <v>--</v>
      </c>
      <c r="K449" s="2310" t="str">
        <f t="shared" si="142"/>
        <v>--</v>
      </c>
      <c r="L449" s="2310" t="str">
        <f t="shared" si="142"/>
        <v>--</v>
      </c>
      <c r="M449" s="2310" t="str">
        <f t="shared" si="142"/>
        <v>--</v>
      </c>
      <c r="N449" s="2310" t="str">
        <f t="shared" si="142"/>
        <v>--</v>
      </c>
      <c r="O449" s="2138" t="str">
        <f t="shared" si="142"/>
        <v>--</v>
      </c>
      <c r="P449" s="2311" t="str">
        <f t="shared" si="142"/>
        <v>--</v>
      </c>
      <c r="Q449" s="255"/>
      <c r="R449" s="255"/>
      <c r="S449" s="2310" t="str">
        <f>IF($F449="--","--",IFERROR(AVERAGE(K449:$O449),"n/a"))</f>
        <v>--</v>
      </c>
      <c r="T449" s="2310" t="str">
        <f>IF($F449="--","--",IFERROR(AVERAGE(L449:$O449),"n/a"))</f>
        <v>--</v>
      </c>
      <c r="U449" s="2310" t="str">
        <f>IF($F449="--","--",IFERROR(AVERAGE(M449:$O449),"n/a"))</f>
        <v>--</v>
      </c>
      <c r="V449" s="2310" t="str">
        <f>IF($F449="--","--",IFERROR(AVERAGE(N449:$O449),"n/a"))</f>
        <v>--</v>
      </c>
      <c r="W449" s="2310" t="str">
        <f t="shared" si="144"/>
        <v>--</v>
      </c>
      <c r="X449" s="2310" t="str">
        <f t="shared" si="145"/>
        <v>--</v>
      </c>
    </row>
    <row r="450" spans="1:68" s="89" customFormat="1" ht="13.9">
      <c r="A450" s="269" t="str">
        <f t="shared" si="143"/>
        <v>n</v>
      </c>
      <c r="B450" s="2060"/>
      <c r="D450" s="801"/>
      <c r="E450" s="1505">
        <v>10</v>
      </c>
      <c r="F450" s="21" t="str">
        <f>F$138</f>
        <v>--</v>
      </c>
      <c r="G450" s="1441">
        <f>G$138</f>
        <v>0</v>
      </c>
      <c r="H450" s="1441" t="str">
        <f>H$138</f>
        <v>--</v>
      </c>
      <c r="K450" s="2310" t="str">
        <f t="shared" si="142"/>
        <v>--</v>
      </c>
      <c r="L450" s="2310" t="str">
        <f t="shared" si="142"/>
        <v>--</v>
      </c>
      <c r="M450" s="2310" t="str">
        <f t="shared" si="142"/>
        <v>--</v>
      </c>
      <c r="N450" s="2310" t="str">
        <f t="shared" si="142"/>
        <v>--</v>
      </c>
      <c r="O450" s="2138" t="str">
        <f t="shared" si="142"/>
        <v>--</v>
      </c>
      <c r="P450" s="2311" t="str">
        <f t="shared" si="142"/>
        <v>--</v>
      </c>
      <c r="Q450" s="255"/>
      <c r="R450" s="255"/>
      <c r="S450" s="2310" t="str">
        <f>IF($F450="--","--",IFERROR(AVERAGE(K450:$O450),"n/a"))</f>
        <v>--</v>
      </c>
      <c r="T450" s="2310" t="str">
        <f>IF($F450="--","--",IFERROR(AVERAGE(L450:$O450),"n/a"))</f>
        <v>--</v>
      </c>
      <c r="U450" s="2310" t="str">
        <f>IF($F450="--","--",IFERROR(AVERAGE(M450:$O450),"n/a"))</f>
        <v>--</v>
      </c>
      <c r="V450" s="2310" t="str">
        <f>IF($F450="--","--",IFERROR(AVERAGE(N450:$O450),"n/a"))</f>
        <v>--</v>
      </c>
      <c r="W450" s="2310" t="str">
        <f t="shared" si="144"/>
        <v>--</v>
      </c>
      <c r="X450" s="2310" t="str">
        <f t="shared" si="145"/>
        <v>--</v>
      </c>
    </row>
    <row r="451" spans="1:68" s="89" customFormat="1" ht="13.9">
      <c r="A451" s="269" t="str">
        <f t="shared" si="143"/>
        <v>n</v>
      </c>
      <c r="B451" s="2060"/>
      <c r="D451" s="801"/>
      <c r="E451" s="1505">
        <v>11</v>
      </c>
      <c r="F451" s="21" t="str">
        <f>F$139</f>
        <v>--</v>
      </c>
      <c r="G451" s="1441">
        <f>G$139</f>
        <v>0</v>
      </c>
      <c r="H451" s="1441" t="str">
        <f>H$139</f>
        <v>--</v>
      </c>
      <c r="K451" s="2310" t="str">
        <f t="shared" si="142"/>
        <v>--</v>
      </c>
      <c r="L451" s="2310" t="str">
        <f t="shared" si="142"/>
        <v>--</v>
      </c>
      <c r="M451" s="2310" t="str">
        <f t="shared" si="142"/>
        <v>--</v>
      </c>
      <c r="N451" s="2310" t="str">
        <f t="shared" si="142"/>
        <v>--</v>
      </c>
      <c r="O451" s="2138" t="str">
        <f t="shared" si="142"/>
        <v>--</v>
      </c>
      <c r="P451" s="2311" t="str">
        <f t="shared" si="142"/>
        <v>--</v>
      </c>
      <c r="Q451" s="255"/>
      <c r="R451" s="255"/>
      <c r="S451" s="2310" t="str">
        <f>IF($F451="--","--",IFERROR(AVERAGE(K451:$O451),"n/a"))</f>
        <v>--</v>
      </c>
      <c r="T451" s="2310" t="str">
        <f>IF($F451="--","--",IFERROR(AVERAGE(L451:$O451),"n/a"))</f>
        <v>--</v>
      </c>
      <c r="U451" s="2310" t="str">
        <f>IF($F451="--","--",IFERROR(AVERAGE(M451:$O451),"n/a"))</f>
        <v>--</v>
      </c>
      <c r="V451" s="2310" t="str">
        <f>IF($F451="--","--",IFERROR(AVERAGE(N451:$O451),"n/a"))</f>
        <v>--</v>
      </c>
      <c r="W451" s="2310" t="str">
        <f t="shared" si="144"/>
        <v>--</v>
      </c>
      <c r="X451" s="2310" t="str">
        <f t="shared" si="145"/>
        <v>--</v>
      </c>
    </row>
    <row r="452" spans="1:68" s="89" customFormat="1" ht="13.9">
      <c r="A452" s="269" t="str">
        <f t="shared" si="143"/>
        <v>n</v>
      </c>
      <c r="B452" s="2060"/>
      <c r="D452" s="801"/>
      <c r="E452" s="1505">
        <v>12</v>
      </c>
      <c r="F452" s="21" t="str">
        <f>F$140</f>
        <v>--</v>
      </c>
      <c r="G452" s="1441">
        <f>G$140</f>
        <v>0</v>
      </c>
      <c r="H452" s="1441" t="str">
        <f>H$140</f>
        <v>--</v>
      </c>
      <c r="K452" s="2310" t="str">
        <f t="shared" si="142"/>
        <v>--</v>
      </c>
      <c r="L452" s="2310" t="str">
        <f t="shared" si="142"/>
        <v>--</v>
      </c>
      <c r="M452" s="2310" t="str">
        <f t="shared" si="142"/>
        <v>--</v>
      </c>
      <c r="N452" s="2310" t="str">
        <f t="shared" si="142"/>
        <v>--</v>
      </c>
      <c r="O452" s="2138" t="str">
        <f t="shared" si="142"/>
        <v>--</v>
      </c>
      <c r="P452" s="2311" t="str">
        <f t="shared" si="142"/>
        <v>--</v>
      </c>
      <c r="Q452" s="255"/>
      <c r="R452" s="255"/>
      <c r="S452" s="2310" t="str">
        <f>IF($F452="--","--",IFERROR(AVERAGE(K452:$O452),"n/a"))</f>
        <v>--</v>
      </c>
      <c r="T452" s="2310" t="str">
        <f>IF($F452="--","--",IFERROR(AVERAGE(L452:$O452),"n/a"))</f>
        <v>--</v>
      </c>
      <c r="U452" s="2310" t="str">
        <f>IF($F452="--","--",IFERROR(AVERAGE(M452:$O452),"n/a"))</f>
        <v>--</v>
      </c>
      <c r="V452" s="2310" t="str">
        <f>IF($F452="--","--",IFERROR(AVERAGE(N452:$O452),"n/a"))</f>
        <v>--</v>
      </c>
      <c r="W452" s="2310" t="str">
        <f t="shared" si="144"/>
        <v>--</v>
      </c>
      <c r="X452" s="2310" t="str">
        <f t="shared" si="145"/>
        <v>--</v>
      </c>
    </row>
    <row r="453" spans="1:68" s="255" customFormat="1" ht="13.9">
      <c r="A453" s="269" t="str">
        <f t="shared" si="143"/>
        <v>n</v>
      </c>
      <c r="B453" s="2060"/>
      <c r="C453" s="89"/>
      <c r="D453" s="801"/>
      <c r="E453" s="1505">
        <v>13</v>
      </c>
      <c r="F453" s="21" t="str">
        <f>F$141</f>
        <v>--</v>
      </c>
      <c r="G453" s="1441">
        <f>G$141</f>
        <v>0</v>
      </c>
      <c r="H453" s="1441" t="str">
        <f>H$141</f>
        <v>--</v>
      </c>
      <c r="I453" s="89"/>
      <c r="J453" s="89"/>
      <c r="K453" s="2310" t="str">
        <f t="shared" si="142"/>
        <v>--</v>
      </c>
      <c r="L453" s="2310" t="str">
        <f t="shared" si="142"/>
        <v>--</v>
      </c>
      <c r="M453" s="2310" t="str">
        <f t="shared" si="142"/>
        <v>--</v>
      </c>
      <c r="N453" s="2310" t="str">
        <f t="shared" si="142"/>
        <v>--</v>
      </c>
      <c r="O453" s="2138" t="str">
        <f t="shared" si="142"/>
        <v>--</v>
      </c>
      <c r="P453" s="2311" t="str">
        <f t="shared" si="142"/>
        <v>--</v>
      </c>
      <c r="S453" s="2310" t="str">
        <f>IF($F453="--","--",IFERROR(AVERAGE(K453:$O453),"n/a"))</f>
        <v>--</v>
      </c>
      <c r="T453" s="2310" t="str">
        <f>IF($F453="--","--",IFERROR(AVERAGE(L453:$O453),"n/a"))</f>
        <v>--</v>
      </c>
      <c r="U453" s="2310" t="str">
        <f>IF($F453="--","--",IFERROR(AVERAGE(M453:$O453),"n/a"))</f>
        <v>--</v>
      </c>
      <c r="V453" s="2310" t="str">
        <f>IF($F453="--","--",IFERROR(AVERAGE(N453:$O453),"n/a"))</f>
        <v>--</v>
      </c>
      <c r="W453" s="2310" t="str">
        <f t="shared" si="144"/>
        <v>--</v>
      </c>
      <c r="X453" s="2310" t="str">
        <f t="shared" si="145"/>
        <v>--</v>
      </c>
      <c r="Y453" s="89"/>
      <c r="Z453" s="89"/>
      <c r="AA453" s="89"/>
      <c r="AB453" s="89"/>
      <c r="AC453" s="89"/>
      <c r="AD453" s="89"/>
      <c r="AE453" s="89"/>
      <c r="AF453" s="89"/>
      <c r="AG453" s="89"/>
      <c r="AH453" s="89"/>
      <c r="AI453" s="89"/>
      <c r="AJ453" s="89"/>
      <c r="AK453" s="89"/>
      <c r="AL453" s="89"/>
      <c r="AM453" s="89"/>
      <c r="AN453" s="89"/>
      <c r="AO453" s="89"/>
      <c r="AP453" s="89"/>
      <c r="AQ453" s="89"/>
      <c r="AR453" s="89"/>
      <c r="AS453" s="89"/>
      <c r="AT453" s="89"/>
      <c r="AU453" s="89"/>
      <c r="AV453" s="89"/>
      <c r="AW453" s="89"/>
      <c r="AX453" s="89"/>
      <c r="AY453" s="89"/>
      <c r="AZ453" s="89"/>
      <c r="BA453" s="89"/>
      <c r="BB453" s="89"/>
      <c r="BC453" s="89"/>
      <c r="BD453" s="89"/>
      <c r="BE453" s="89"/>
      <c r="BF453" s="89"/>
      <c r="BG453" s="89"/>
      <c r="BH453" s="89"/>
      <c r="BI453" s="89"/>
      <c r="BJ453" s="89"/>
      <c r="BK453" s="89"/>
      <c r="BL453" s="89"/>
      <c r="BM453" s="89"/>
      <c r="BN453" s="89"/>
      <c r="BO453" s="89"/>
      <c r="BP453" s="89"/>
    </row>
    <row r="454" spans="1:68" s="89" customFormat="1" ht="13.9">
      <c r="A454" s="269" t="str">
        <f t="shared" si="143"/>
        <v>n</v>
      </c>
      <c r="B454" s="2060"/>
      <c r="D454" s="801"/>
      <c r="E454" s="1505">
        <v>14</v>
      </c>
      <c r="F454" s="21" t="str">
        <f>F$142</f>
        <v>--</v>
      </c>
      <c r="G454" s="1441">
        <f>G$142</f>
        <v>0</v>
      </c>
      <c r="H454" s="1441" t="str">
        <f>H$142</f>
        <v>--</v>
      </c>
      <c r="K454" s="2310" t="str">
        <f t="shared" si="142"/>
        <v>--</v>
      </c>
      <c r="L454" s="2310" t="str">
        <f t="shared" si="142"/>
        <v>--</v>
      </c>
      <c r="M454" s="2310" t="str">
        <f t="shared" si="142"/>
        <v>--</v>
      </c>
      <c r="N454" s="2310" t="str">
        <f t="shared" si="142"/>
        <v>--</v>
      </c>
      <c r="O454" s="2138" t="str">
        <f t="shared" si="142"/>
        <v>--</v>
      </c>
      <c r="P454" s="2311" t="str">
        <f t="shared" si="142"/>
        <v>--</v>
      </c>
      <c r="Q454" s="255"/>
      <c r="R454" s="255"/>
      <c r="S454" s="2310" t="str">
        <f>IF($F454="--","--",IFERROR(AVERAGE(K454:$O454),"n/a"))</f>
        <v>--</v>
      </c>
      <c r="T454" s="2310" t="str">
        <f>IF($F454="--","--",IFERROR(AVERAGE(L454:$O454),"n/a"))</f>
        <v>--</v>
      </c>
      <c r="U454" s="2310" t="str">
        <f>IF($F454="--","--",IFERROR(AVERAGE(M454:$O454),"n/a"))</f>
        <v>--</v>
      </c>
      <c r="V454" s="2310" t="str">
        <f>IF($F454="--","--",IFERROR(AVERAGE(N454:$O454),"n/a"))</f>
        <v>--</v>
      </c>
      <c r="W454" s="2310" t="str">
        <f t="shared" si="144"/>
        <v>--</v>
      </c>
      <c r="X454" s="2310" t="str">
        <f t="shared" si="145"/>
        <v>--</v>
      </c>
      <c r="AL454" s="255"/>
      <c r="AM454" s="255"/>
      <c r="AN454" s="255"/>
      <c r="AO454" s="255"/>
      <c r="AP454" s="255"/>
      <c r="AQ454" s="255"/>
      <c r="AR454" s="255"/>
      <c r="AS454" s="255"/>
      <c r="AT454" s="255"/>
      <c r="AU454" s="255"/>
    </row>
    <row r="455" spans="1:68" s="89" customFormat="1" ht="13.9">
      <c r="A455" s="269" t="str">
        <f t="shared" si="143"/>
        <v>n</v>
      </c>
      <c r="B455" s="2060"/>
      <c r="D455" s="801"/>
      <c r="E455" s="1505">
        <v>15</v>
      </c>
      <c r="F455" s="21" t="str">
        <f>F$143</f>
        <v>--</v>
      </c>
      <c r="G455" s="1441">
        <f>G$143</f>
        <v>0</v>
      </c>
      <c r="H455" s="1441" t="str">
        <f>H$143</f>
        <v>--</v>
      </c>
      <c r="K455" s="2310" t="str">
        <f t="shared" si="142"/>
        <v>--</v>
      </c>
      <c r="L455" s="2310" t="str">
        <f t="shared" si="142"/>
        <v>--</v>
      </c>
      <c r="M455" s="2310" t="str">
        <f t="shared" si="142"/>
        <v>--</v>
      </c>
      <c r="N455" s="2310" t="str">
        <f t="shared" si="142"/>
        <v>--</v>
      </c>
      <c r="O455" s="2138" t="str">
        <f t="shared" si="142"/>
        <v>--</v>
      </c>
      <c r="P455" s="2311" t="str">
        <f t="shared" si="142"/>
        <v>--</v>
      </c>
      <c r="Q455" s="255"/>
      <c r="R455" s="255"/>
      <c r="S455" s="2310" t="str">
        <f>IF($F455="--","--",IFERROR(AVERAGE(K455:$O455),"n/a"))</f>
        <v>--</v>
      </c>
      <c r="T455" s="2310" t="str">
        <f>IF($F455="--","--",IFERROR(AVERAGE(L455:$O455),"n/a"))</f>
        <v>--</v>
      </c>
      <c r="U455" s="2310" t="str">
        <f>IF($F455="--","--",IFERROR(AVERAGE(M455:$O455),"n/a"))</f>
        <v>--</v>
      </c>
      <c r="V455" s="2310" t="str">
        <f>IF($F455="--","--",IFERROR(AVERAGE(N455:$O455),"n/a"))</f>
        <v>--</v>
      </c>
      <c r="W455" s="2310" t="str">
        <f t="shared" si="144"/>
        <v>--</v>
      </c>
      <c r="X455" s="2310" t="str">
        <f t="shared" si="145"/>
        <v>--</v>
      </c>
      <c r="AL455" s="255"/>
      <c r="AM455" s="255"/>
      <c r="AN455" s="255"/>
      <c r="AO455" s="255"/>
      <c r="AP455" s="255"/>
      <c r="AQ455" s="255"/>
      <c r="AR455" s="255"/>
      <c r="AS455" s="255"/>
      <c r="AT455" s="255"/>
      <c r="AU455" s="255"/>
    </row>
    <row r="456" spans="1:68" s="89" customFormat="1" ht="13.9">
      <c r="A456" s="269" t="str">
        <f t="shared" si="143"/>
        <v>n</v>
      </c>
      <c r="B456" s="2060"/>
      <c r="D456" s="801"/>
      <c r="E456" s="1505">
        <v>16</v>
      </c>
      <c r="F456" s="21" t="str">
        <f>F$144</f>
        <v>--</v>
      </c>
      <c r="G456" s="1441">
        <f>G$144</f>
        <v>0</v>
      </c>
      <c r="H456" s="1441" t="str">
        <f>H$144</f>
        <v>--</v>
      </c>
      <c r="K456" s="2310" t="str">
        <f t="shared" ref="K456:P465" si="146">IFERROR(K332/K425,"--")</f>
        <v>--</v>
      </c>
      <c r="L456" s="2310" t="str">
        <f t="shared" si="146"/>
        <v>--</v>
      </c>
      <c r="M456" s="2310" t="str">
        <f t="shared" si="146"/>
        <v>--</v>
      </c>
      <c r="N456" s="2310" t="str">
        <f t="shared" si="146"/>
        <v>--</v>
      </c>
      <c r="O456" s="2138" t="str">
        <f t="shared" si="146"/>
        <v>--</v>
      </c>
      <c r="P456" s="2311" t="str">
        <f t="shared" si="146"/>
        <v>--</v>
      </c>
      <c r="Q456" s="255"/>
      <c r="R456" s="255"/>
      <c r="S456" s="2310" t="str">
        <f>IF($F456="--","--",IFERROR(AVERAGE(K456:$O456),"n/a"))</f>
        <v>--</v>
      </c>
      <c r="T456" s="2310" t="str">
        <f>IF($F456="--","--",IFERROR(AVERAGE(L456:$O456),"n/a"))</f>
        <v>--</v>
      </c>
      <c r="U456" s="2310" t="str">
        <f>IF($F456="--","--",IFERROR(AVERAGE(M456:$O456),"n/a"))</f>
        <v>--</v>
      </c>
      <c r="V456" s="2310" t="str">
        <f>IF($F456="--","--",IFERROR(AVERAGE(N456:$O456),"n/a"))</f>
        <v>--</v>
      </c>
      <c r="W456" s="2310" t="str">
        <f t="shared" si="144"/>
        <v>--</v>
      </c>
      <c r="X456" s="2310" t="str">
        <f t="shared" si="145"/>
        <v>--</v>
      </c>
      <c r="AL456" s="255"/>
      <c r="AM456" s="255"/>
      <c r="AN456" s="255"/>
      <c r="AO456" s="255"/>
      <c r="AP456" s="255"/>
      <c r="AQ456" s="255"/>
      <c r="AR456" s="255"/>
      <c r="AS456" s="255"/>
      <c r="AT456" s="255"/>
      <c r="AU456" s="255"/>
    </row>
    <row r="457" spans="1:68" s="89" customFormat="1" ht="13.9">
      <c r="A457" s="269" t="str">
        <f t="shared" si="143"/>
        <v>n</v>
      </c>
      <c r="B457" s="2060"/>
      <c r="D457" s="801"/>
      <c r="E457" s="1505">
        <v>17</v>
      </c>
      <c r="F457" s="21" t="str">
        <f>F$145</f>
        <v>--</v>
      </c>
      <c r="G457" s="1441">
        <f>G$145</f>
        <v>0</v>
      </c>
      <c r="H457" s="1441" t="str">
        <f>H$145</f>
        <v>--</v>
      </c>
      <c r="K457" s="2310" t="str">
        <f t="shared" si="146"/>
        <v>--</v>
      </c>
      <c r="L457" s="2310" t="str">
        <f t="shared" si="146"/>
        <v>--</v>
      </c>
      <c r="M457" s="2310" t="str">
        <f t="shared" si="146"/>
        <v>--</v>
      </c>
      <c r="N457" s="2310" t="str">
        <f t="shared" si="146"/>
        <v>--</v>
      </c>
      <c r="O457" s="2138" t="str">
        <f t="shared" si="146"/>
        <v>--</v>
      </c>
      <c r="P457" s="2311" t="str">
        <f t="shared" si="146"/>
        <v>--</v>
      </c>
      <c r="Q457" s="255"/>
      <c r="R457" s="255"/>
      <c r="S457" s="2310" t="str">
        <f>IF($F457="--","--",IFERROR(AVERAGE(K457:$O457),"n/a"))</f>
        <v>--</v>
      </c>
      <c r="T457" s="2310" t="str">
        <f>IF($F457="--","--",IFERROR(AVERAGE(L457:$O457),"n/a"))</f>
        <v>--</v>
      </c>
      <c r="U457" s="2310" t="str">
        <f>IF($F457="--","--",IFERROR(AVERAGE(M457:$O457),"n/a"))</f>
        <v>--</v>
      </c>
      <c r="V457" s="2310" t="str">
        <f>IF($F457="--","--",IFERROR(AVERAGE(N457:$O457),"n/a"))</f>
        <v>--</v>
      </c>
      <c r="W457" s="2310" t="str">
        <f t="shared" si="144"/>
        <v>--</v>
      </c>
      <c r="X457" s="2310" t="str">
        <f t="shared" si="145"/>
        <v>--</v>
      </c>
      <c r="AL457" s="255"/>
      <c r="AM457" s="255"/>
      <c r="AN457" s="255"/>
      <c r="AO457" s="255"/>
      <c r="AP457" s="255"/>
      <c r="AQ457" s="255"/>
      <c r="AR457" s="255"/>
      <c r="AS457" s="255"/>
      <c r="AT457" s="255"/>
      <c r="AU457" s="255"/>
    </row>
    <row r="458" spans="1:68" s="89" customFormat="1" ht="13.9">
      <c r="A458" s="269" t="str">
        <f t="shared" si="143"/>
        <v>n</v>
      </c>
      <c r="B458" s="2060"/>
      <c r="D458" s="801"/>
      <c r="E458" s="1505">
        <v>18</v>
      </c>
      <c r="F458" s="21" t="str">
        <f>F$146</f>
        <v>--</v>
      </c>
      <c r="G458" s="1441">
        <f>G$146</f>
        <v>0</v>
      </c>
      <c r="H458" s="1441" t="str">
        <f>H$146</f>
        <v>--</v>
      </c>
      <c r="K458" s="2310" t="str">
        <f t="shared" si="146"/>
        <v>--</v>
      </c>
      <c r="L458" s="2310" t="str">
        <f t="shared" si="146"/>
        <v>--</v>
      </c>
      <c r="M458" s="2310" t="str">
        <f t="shared" si="146"/>
        <v>--</v>
      </c>
      <c r="N458" s="2310" t="str">
        <f t="shared" si="146"/>
        <v>--</v>
      </c>
      <c r="O458" s="2138" t="str">
        <f t="shared" si="146"/>
        <v>--</v>
      </c>
      <c r="P458" s="2311" t="str">
        <f t="shared" si="146"/>
        <v>--</v>
      </c>
      <c r="Q458" s="255"/>
      <c r="R458" s="255"/>
      <c r="S458" s="2310" t="str">
        <f>IF($F458="--","--",IFERROR(AVERAGE(K458:$O458),"n/a"))</f>
        <v>--</v>
      </c>
      <c r="T458" s="2310" t="str">
        <f>IF($F458="--","--",IFERROR(AVERAGE(L458:$O458),"n/a"))</f>
        <v>--</v>
      </c>
      <c r="U458" s="2310" t="str">
        <f>IF($F458="--","--",IFERROR(AVERAGE(M458:$O458),"n/a"))</f>
        <v>--</v>
      </c>
      <c r="V458" s="2310" t="str">
        <f>IF($F458="--","--",IFERROR(AVERAGE(N458:$O458),"n/a"))</f>
        <v>--</v>
      </c>
      <c r="W458" s="2310" t="str">
        <f t="shared" si="144"/>
        <v>--</v>
      </c>
      <c r="X458" s="2310" t="str">
        <f t="shared" si="145"/>
        <v>--</v>
      </c>
      <c r="AL458" s="255"/>
      <c r="AM458" s="255"/>
      <c r="AN458" s="255"/>
      <c r="AO458" s="255"/>
      <c r="AP458" s="255"/>
      <c r="AQ458" s="255"/>
      <c r="AR458" s="255"/>
      <c r="AS458" s="255"/>
      <c r="AT458" s="255"/>
      <c r="AU458" s="255"/>
    </row>
    <row r="459" spans="1:68" s="89" customFormat="1" ht="13.9">
      <c r="A459" s="269" t="str">
        <f t="shared" si="143"/>
        <v>n</v>
      </c>
      <c r="B459" s="2060"/>
      <c r="D459" s="801"/>
      <c r="E459" s="1505">
        <v>19</v>
      </c>
      <c r="F459" s="21" t="str">
        <f>F$147</f>
        <v>--</v>
      </c>
      <c r="G459" s="1441">
        <f>G$147</f>
        <v>0</v>
      </c>
      <c r="H459" s="1441" t="str">
        <f>H$147</f>
        <v>--</v>
      </c>
      <c r="K459" s="2310" t="str">
        <f t="shared" si="146"/>
        <v>--</v>
      </c>
      <c r="L459" s="2310" t="str">
        <f t="shared" si="146"/>
        <v>--</v>
      </c>
      <c r="M459" s="2310" t="str">
        <f t="shared" si="146"/>
        <v>--</v>
      </c>
      <c r="N459" s="2310" t="str">
        <f t="shared" si="146"/>
        <v>--</v>
      </c>
      <c r="O459" s="2138" t="str">
        <f t="shared" si="146"/>
        <v>--</v>
      </c>
      <c r="P459" s="2311" t="str">
        <f t="shared" si="146"/>
        <v>--</v>
      </c>
      <c r="Q459" s="255"/>
      <c r="R459" s="255"/>
      <c r="S459" s="2310" t="str">
        <f>IF($F459="--","--",IFERROR(AVERAGE(K459:$O459),"n/a"))</f>
        <v>--</v>
      </c>
      <c r="T459" s="2310" t="str">
        <f>IF($F459="--","--",IFERROR(AVERAGE(L459:$O459),"n/a"))</f>
        <v>--</v>
      </c>
      <c r="U459" s="2310" t="str">
        <f>IF($F459="--","--",IFERROR(AVERAGE(M459:$O459),"n/a"))</f>
        <v>--</v>
      </c>
      <c r="V459" s="2310" t="str">
        <f>IF($F459="--","--",IFERROR(AVERAGE(N459:$O459),"n/a"))</f>
        <v>--</v>
      </c>
      <c r="W459" s="2310" t="str">
        <f t="shared" si="144"/>
        <v>--</v>
      </c>
      <c r="X459" s="2310" t="str">
        <f t="shared" si="145"/>
        <v>--</v>
      </c>
      <c r="AL459" s="255"/>
      <c r="AM459" s="255"/>
      <c r="AN459" s="255"/>
      <c r="AO459" s="255"/>
      <c r="AP459" s="255"/>
      <c r="AQ459" s="255"/>
      <c r="AR459" s="255"/>
      <c r="AS459" s="255"/>
      <c r="AT459" s="255"/>
      <c r="AU459" s="255"/>
    </row>
    <row r="460" spans="1:68" s="89" customFormat="1" ht="13.9">
      <c r="A460" s="269" t="str">
        <f t="shared" si="143"/>
        <v>n</v>
      </c>
      <c r="B460" s="2060"/>
      <c r="D460" s="801"/>
      <c r="E460" s="1505">
        <v>20</v>
      </c>
      <c r="F460" s="21" t="str">
        <f>F$148</f>
        <v>--</v>
      </c>
      <c r="G460" s="1441">
        <f>G$148</f>
        <v>0</v>
      </c>
      <c r="H460" s="1441" t="str">
        <f>H$148</f>
        <v>--</v>
      </c>
      <c r="K460" s="2310" t="str">
        <f t="shared" si="146"/>
        <v>--</v>
      </c>
      <c r="L460" s="2310" t="str">
        <f t="shared" si="146"/>
        <v>--</v>
      </c>
      <c r="M460" s="2310" t="str">
        <f t="shared" si="146"/>
        <v>--</v>
      </c>
      <c r="N460" s="2310" t="str">
        <f t="shared" si="146"/>
        <v>--</v>
      </c>
      <c r="O460" s="2138" t="str">
        <f t="shared" si="146"/>
        <v>--</v>
      </c>
      <c r="P460" s="2311" t="str">
        <f t="shared" si="146"/>
        <v>--</v>
      </c>
      <c r="Q460" s="255"/>
      <c r="R460" s="255"/>
      <c r="S460" s="2310" t="str">
        <f>IF($F460="--","--",IFERROR(AVERAGE(K460:$O460),"n/a"))</f>
        <v>--</v>
      </c>
      <c r="T460" s="2310" t="str">
        <f>IF($F460="--","--",IFERROR(AVERAGE(L460:$O460),"n/a"))</f>
        <v>--</v>
      </c>
      <c r="U460" s="2310" t="str">
        <f>IF($F460="--","--",IFERROR(AVERAGE(M460:$O460),"n/a"))</f>
        <v>--</v>
      </c>
      <c r="V460" s="2310" t="str">
        <f>IF($F460="--","--",IFERROR(AVERAGE(N460:$O460),"n/a"))</f>
        <v>--</v>
      </c>
      <c r="W460" s="2310" t="str">
        <f t="shared" si="144"/>
        <v>--</v>
      </c>
      <c r="X460" s="2310" t="str">
        <f t="shared" si="145"/>
        <v>--</v>
      </c>
      <c r="AL460" s="255"/>
      <c r="AM460" s="255"/>
      <c r="AN460" s="255"/>
      <c r="AO460" s="255"/>
      <c r="AP460" s="255"/>
      <c r="AQ460" s="255"/>
      <c r="AR460" s="255"/>
      <c r="AS460" s="255"/>
      <c r="AT460" s="255"/>
      <c r="AU460" s="255"/>
    </row>
    <row r="461" spans="1:68" s="89" customFormat="1" ht="13.9">
      <c r="A461" s="269" t="str">
        <f t="shared" si="143"/>
        <v>n</v>
      </c>
      <c r="B461" s="2060"/>
      <c r="D461" s="801"/>
      <c r="E461" s="1505">
        <v>21</v>
      </c>
      <c r="F461" s="21" t="str">
        <f>F$149</f>
        <v>--</v>
      </c>
      <c r="G461" s="1441">
        <f>G$149</f>
        <v>0</v>
      </c>
      <c r="H461" s="1441" t="str">
        <f>H$149</f>
        <v>--</v>
      </c>
      <c r="K461" s="2310" t="str">
        <f t="shared" si="146"/>
        <v>--</v>
      </c>
      <c r="L461" s="2310" t="str">
        <f t="shared" si="146"/>
        <v>--</v>
      </c>
      <c r="M461" s="2310" t="str">
        <f t="shared" si="146"/>
        <v>--</v>
      </c>
      <c r="N461" s="2310" t="str">
        <f t="shared" si="146"/>
        <v>--</v>
      </c>
      <c r="O461" s="2138" t="str">
        <f t="shared" si="146"/>
        <v>--</v>
      </c>
      <c r="P461" s="2311" t="str">
        <f t="shared" si="146"/>
        <v>--</v>
      </c>
      <c r="Q461" s="255"/>
      <c r="R461" s="255"/>
      <c r="S461" s="2310" t="str">
        <f>IF($F461="--","--",IFERROR(AVERAGE(K461:$O461),"n/a"))</f>
        <v>--</v>
      </c>
      <c r="T461" s="2310" t="str">
        <f>IF($F461="--","--",IFERROR(AVERAGE(L461:$O461),"n/a"))</f>
        <v>--</v>
      </c>
      <c r="U461" s="2310" t="str">
        <f>IF($F461="--","--",IFERROR(AVERAGE(M461:$O461),"n/a"))</f>
        <v>--</v>
      </c>
      <c r="V461" s="2310" t="str">
        <f>IF($F461="--","--",IFERROR(AVERAGE(N461:$O461),"n/a"))</f>
        <v>--</v>
      </c>
      <c r="W461" s="2310" t="str">
        <f t="shared" si="144"/>
        <v>--</v>
      </c>
      <c r="X461" s="2310" t="str">
        <f t="shared" si="145"/>
        <v>--</v>
      </c>
      <c r="AL461" s="255"/>
      <c r="AM461" s="255"/>
      <c r="AN461" s="255"/>
      <c r="AO461" s="255"/>
      <c r="AP461" s="255"/>
      <c r="AQ461" s="255"/>
      <c r="AR461" s="255"/>
      <c r="AS461" s="255"/>
      <c r="AT461" s="255"/>
      <c r="AU461" s="255"/>
    </row>
    <row r="462" spans="1:68" s="89" customFormat="1" ht="13.9">
      <c r="A462" s="269" t="str">
        <f t="shared" si="143"/>
        <v>n</v>
      </c>
      <c r="B462" s="2060"/>
      <c r="D462" s="801"/>
      <c r="E462" s="1505">
        <v>22</v>
      </c>
      <c r="F462" s="21" t="str">
        <f>F$150</f>
        <v>--</v>
      </c>
      <c r="G462" s="1441">
        <f>G$150</f>
        <v>0</v>
      </c>
      <c r="H462" s="1441" t="str">
        <f>H$150</f>
        <v>--</v>
      </c>
      <c r="K462" s="2310" t="str">
        <f t="shared" si="146"/>
        <v>--</v>
      </c>
      <c r="L462" s="2310" t="str">
        <f t="shared" si="146"/>
        <v>--</v>
      </c>
      <c r="M462" s="2310" t="str">
        <f t="shared" si="146"/>
        <v>--</v>
      </c>
      <c r="N462" s="2310" t="str">
        <f t="shared" si="146"/>
        <v>--</v>
      </c>
      <c r="O462" s="2138" t="str">
        <f t="shared" si="146"/>
        <v>--</v>
      </c>
      <c r="P462" s="2311" t="str">
        <f t="shared" si="146"/>
        <v>--</v>
      </c>
      <c r="Q462" s="255"/>
      <c r="R462" s="255"/>
      <c r="S462" s="2310" t="str">
        <f>IF($F462="--","--",IFERROR(AVERAGE(K462:$O462),"n/a"))</f>
        <v>--</v>
      </c>
      <c r="T462" s="2310" t="str">
        <f>IF($F462="--","--",IFERROR(AVERAGE(L462:$O462),"n/a"))</f>
        <v>--</v>
      </c>
      <c r="U462" s="2310" t="str">
        <f>IF($F462="--","--",IFERROR(AVERAGE(M462:$O462),"n/a"))</f>
        <v>--</v>
      </c>
      <c r="V462" s="2310" t="str">
        <f>IF($F462="--","--",IFERROR(AVERAGE(N462:$O462),"n/a"))</f>
        <v>--</v>
      </c>
      <c r="W462" s="2310" t="str">
        <f t="shared" si="144"/>
        <v>--</v>
      </c>
      <c r="X462" s="2310" t="str">
        <f t="shared" si="145"/>
        <v>--</v>
      </c>
      <c r="AL462" s="255"/>
      <c r="AM462" s="255"/>
      <c r="AN462" s="255"/>
      <c r="AO462" s="255"/>
      <c r="AP462" s="255"/>
      <c r="AQ462" s="255"/>
      <c r="AR462" s="255"/>
      <c r="AS462" s="255"/>
      <c r="AT462" s="255"/>
      <c r="AU462" s="255"/>
    </row>
    <row r="463" spans="1:68" s="89" customFormat="1" ht="13.9">
      <c r="A463" s="269" t="str">
        <f t="shared" si="143"/>
        <v>n</v>
      </c>
      <c r="B463" s="2060"/>
      <c r="D463" s="801"/>
      <c r="E463" s="1505">
        <v>23</v>
      </c>
      <c r="F463" s="21" t="str">
        <f>F$151</f>
        <v>--</v>
      </c>
      <c r="G463" s="1441">
        <f>G$151</f>
        <v>0</v>
      </c>
      <c r="H463" s="1441" t="str">
        <f>H$151</f>
        <v>--</v>
      </c>
      <c r="K463" s="2310" t="str">
        <f t="shared" si="146"/>
        <v>--</v>
      </c>
      <c r="L463" s="2310" t="str">
        <f t="shared" si="146"/>
        <v>--</v>
      </c>
      <c r="M463" s="2310" t="str">
        <f t="shared" si="146"/>
        <v>--</v>
      </c>
      <c r="N463" s="2310" t="str">
        <f t="shared" si="146"/>
        <v>--</v>
      </c>
      <c r="O463" s="2138" t="str">
        <f t="shared" si="146"/>
        <v>--</v>
      </c>
      <c r="P463" s="2311" t="str">
        <f t="shared" si="146"/>
        <v>--</v>
      </c>
      <c r="Q463" s="255"/>
      <c r="R463" s="255"/>
      <c r="S463" s="2310" t="str">
        <f>IF($F463="--","--",IFERROR(AVERAGE(K463:$O463),"n/a"))</f>
        <v>--</v>
      </c>
      <c r="T463" s="2310" t="str">
        <f>IF($F463="--","--",IFERROR(AVERAGE(L463:$O463),"n/a"))</f>
        <v>--</v>
      </c>
      <c r="U463" s="2310" t="str">
        <f>IF($F463="--","--",IFERROR(AVERAGE(M463:$O463),"n/a"))</f>
        <v>--</v>
      </c>
      <c r="V463" s="2310" t="str">
        <f>IF($F463="--","--",IFERROR(AVERAGE(N463:$O463),"n/a"))</f>
        <v>--</v>
      </c>
      <c r="W463" s="2310" t="str">
        <f t="shared" si="144"/>
        <v>--</v>
      </c>
      <c r="X463" s="2310" t="str">
        <f t="shared" si="145"/>
        <v>--</v>
      </c>
      <c r="AL463" s="255"/>
      <c r="AM463" s="255"/>
      <c r="AN463" s="255"/>
      <c r="AO463" s="255"/>
      <c r="AP463" s="255"/>
      <c r="AQ463" s="255"/>
      <c r="AR463" s="255"/>
      <c r="AS463" s="255"/>
      <c r="AT463" s="255"/>
      <c r="AU463" s="255"/>
    </row>
    <row r="464" spans="1:68" s="89" customFormat="1" ht="13.9">
      <c r="A464" s="269" t="str">
        <f t="shared" si="143"/>
        <v>n</v>
      </c>
      <c r="B464" s="2060"/>
      <c r="D464" s="801"/>
      <c r="E464" s="1505">
        <v>24</v>
      </c>
      <c r="F464" s="21" t="str">
        <f>F$152</f>
        <v>--</v>
      </c>
      <c r="G464" s="1441">
        <f>G$152</f>
        <v>0</v>
      </c>
      <c r="H464" s="1441" t="str">
        <f>H$152</f>
        <v>--</v>
      </c>
      <c r="K464" s="2310" t="str">
        <f t="shared" si="146"/>
        <v>--</v>
      </c>
      <c r="L464" s="2310" t="str">
        <f t="shared" si="146"/>
        <v>--</v>
      </c>
      <c r="M464" s="2310" t="str">
        <f t="shared" si="146"/>
        <v>--</v>
      </c>
      <c r="N464" s="2310" t="str">
        <f t="shared" si="146"/>
        <v>--</v>
      </c>
      <c r="O464" s="2138" t="str">
        <f t="shared" si="146"/>
        <v>--</v>
      </c>
      <c r="P464" s="2311" t="str">
        <f t="shared" si="146"/>
        <v>--</v>
      </c>
      <c r="Q464" s="255"/>
      <c r="R464" s="255"/>
      <c r="S464" s="2310" t="str">
        <f>IF($F464="--","--",IFERROR(AVERAGE(K464:$O464),"n/a"))</f>
        <v>--</v>
      </c>
      <c r="T464" s="2310" t="str">
        <f>IF($F464="--","--",IFERROR(AVERAGE(L464:$O464),"n/a"))</f>
        <v>--</v>
      </c>
      <c r="U464" s="2310" t="str">
        <f>IF($F464="--","--",IFERROR(AVERAGE(M464:$O464),"n/a"))</f>
        <v>--</v>
      </c>
      <c r="V464" s="2310" t="str">
        <f>IF($F464="--","--",IFERROR(AVERAGE(N464:$O464),"n/a"))</f>
        <v>--</v>
      </c>
      <c r="W464" s="2310" t="str">
        <f t="shared" si="144"/>
        <v>--</v>
      </c>
      <c r="X464" s="2310" t="str">
        <f t="shared" si="145"/>
        <v>--</v>
      </c>
      <c r="AL464" s="255"/>
      <c r="AM464" s="255"/>
      <c r="AN464" s="255"/>
      <c r="AO464" s="255"/>
      <c r="AP464" s="255"/>
      <c r="AQ464" s="255"/>
      <c r="AR464" s="255"/>
      <c r="AS464" s="255"/>
      <c r="AT464" s="255"/>
      <c r="AU464" s="255"/>
    </row>
    <row r="465" spans="1:68" s="89" customFormat="1" ht="13.9">
      <c r="A465" s="269" t="str">
        <f t="shared" si="143"/>
        <v>n</v>
      </c>
      <c r="B465" s="2060"/>
      <c r="D465" s="801"/>
      <c r="E465" s="1505">
        <v>25</v>
      </c>
      <c r="F465" s="21" t="str">
        <f>F$153</f>
        <v>--</v>
      </c>
      <c r="G465" s="1441">
        <f>G$153</f>
        <v>0</v>
      </c>
      <c r="H465" s="1441" t="str">
        <f>H$153</f>
        <v>--</v>
      </c>
      <c r="K465" s="2310" t="str">
        <f t="shared" si="146"/>
        <v>--</v>
      </c>
      <c r="L465" s="2310" t="str">
        <f t="shared" si="146"/>
        <v>--</v>
      </c>
      <c r="M465" s="2310" t="str">
        <f t="shared" si="146"/>
        <v>--</v>
      </c>
      <c r="N465" s="2310" t="str">
        <f t="shared" si="146"/>
        <v>--</v>
      </c>
      <c r="O465" s="2138" t="str">
        <f t="shared" si="146"/>
        <v>--</v>
      </c>
      <c r="P465" s="2311" t="str">
        <f t="shared" si="146"/>
        <v>--</v>
      </c>
      <c r="Q465" s="255"/>
      <c r="R465" s="255"/>
      <c r="S465" s="2310" t="str">
        <f>IF($F465="--","--",IFERROR(AVERAGE(K465:$O465),"n/a"))</f>
        <v>--</v>
      </c>
      <c r="T465" s="2310" t="str">
        <f>IF($F465="--","--",IFERROR(AVERAGE(L465:$O465),"n/a"))</f>
        <v>--</v>
      </c>
      <c r="U465" s="2310" t="str">
        <f>IF($F465="--","--",IFERROR(AVERAGE(M465:$O465),"n/a"))</f>
        <v>--</v>
      </c>
      <c r="V465" s="2310" t="str">
        <f>IF($F465="--","--",IFERROR(AVERAGE(N465:$O465),"n/a"))</f>
        <v>--</v>
      </c>
      <c r="W465" s="2310" t="str">
        <f t="shared" si="144"/>
        <v>--</v>
      </c>
      <c r="X465" s="2310" t="str">
        <f t="shared" si="145"/>
        <v>--</v>
      </c>
      <c r="AV465" s="255"/>
      <c r="AW465" s="255"/>
      <c r="AX465" s="255"/>
      <c r="AY465" s="255"/>
      <c r="AZ465" s="255"/>
      <c r="BA465" s="255"/>
      <c r="BB465" s="255"/>
      <c r="BC465" s="255"/>
      <c r="BD465" s="255"/>
      <c r="BE465" s="255"/>
      <c r="BF465" s="255"/>
      <c r="BG465" s="255"/>
      <c r="BH465" s="255"/>
      <c r="BI465" s="255"/>
      <c r="BJ465" s="255"/>
      <c r="BK465" s="255"/>
      <c r="BL465" s="255"/>
      <c r="BM465" s="255"/>
      <c r="BN465" s="255"/>
      <c r="BO465" s="255"/>
      <c r="BP465" s="255"/>
    </row>
    <row r="466" spans="1:68" s="89" customFormat="1" ht="13.9">
      <c r="A466" s="2060"/>
      <c r="B466" s="2060"/>
      <c r="D466" s="801"/>
      <c r="F466" s="57" t="s">
        <v>767</v>
      </c>
      <c r="G466" s="1442"/>
      <c r="H466" s="1442"/>
      <c r="I466" s="1442"/>
      <c r="J466" s="1442"/>
      <c r="K466" s="504" t="str">
        <f t="shared" ref="K466:P466" si="147">IFERROR(MEDIAN(K441:K465),"--")</f>
        <v>--</v>
      </c>
      <c r="L466" s="504" t="str">
        <f t="shared" si="147"/>
        <v>--</v>
      </c>
      <c r="M466" s="504" t="str">
        <f t="shared" si="147"/>
        <v>--</v>
      </c>
      <c r="N466" s="504" t="str">
        <f t="shared" si="147"/>
        <v>--</v>
      </c>
      <c r="O466" s="1468" t="str">
        <f t="shared" si="147"/>
        <v>--</v>
      </c>
      <c r="P466" s="504" t="str">
        <f t="shared" si="147"/>
        <v>--</v>
      </c>
      <c r="Q466" s="255"/>
      <c r="R466" s="255"/>
      <c r="S466" s="504" t="str">
        <f t="shared" ref="S466:X466" si="148">IFERROR(MEDIAN(S441:S465),"--")</f>
        <v>--</v>
      </c>
      <c r="T466" s="504" t="str">
        <f t="shared" si="148"/>
        <v>--</v>
      </c>
      <c r="U466" s="504" t="str">
        <f t="shared" si="148"/>
        <v>--</v>
      </c>
      <c r="V466" s="504" t="str">
        <f t="shared" si="148"/>
        <v>--</v>
      </c>
      <c r="W466" s="504" t="str">
        <f t="shared" si="148"/>
        <v>--</v>
      </c>
      <c r="X466" s="504" t="str">
        <f t="shared" si="148"/>
        <v>--</v>
      </c>
    </row>
    <row r="467" spans="1:68" s="89" customFormat="1" ht="13.9">
      <c r="A467" s="2060"/>
      <c r="B467" s="2060"/>
      <c r="D467" s="801"/>
      <c r="F467" s="1446"/>
      <c r="K467" s="1441"/>
      <c r="O467" s="75"/>
      <c r="P467" s="76"/>
      <c r="Q467" s="255"/>
      <c r="R467" s="255"/>
      <c r="S467" s="521"/>
      <c r="T467" s="521"/>
      <c r="U467" s="521"/>
      <c r="V467" s="521"/>
    </row>
    <row r="468" spans="1:68" s="89" customFormat="1" ht="13.9">
      <c r="A468" s="2060"/>
      <c r="B468" s="2060"/>
      <c r="D468" s="801"/>
      <c r="F468" s="1446"/>
      <c r="K468" s="1441"/>
      <c r="O468" s="75"/>
      <c r="P468" s="76"/>
      <c r="Q468" s="255"/>
      <c r="R468" s="255"/>
      <c r="S468" s="521"/>
      <c r="T468" s="521"/>
      <c r="U468" s="521"/>
      <c r="V468" s="521"/>
    </row>
    <row r="469" spans="1:68" s="89" customFormat="1" ht="13.9">
      <c r="A469" s="2060"/>
      <c r="B469" s="2060"/>
      <c r="D469" s="801"/>
      <c r="F469" s="1446"/>
      <c r="O469" s="75"/>
      <c r="P469" s="76"/>
      <c r="Q469" s="255"/>
      <c r="R469" s="255"/>
      <c r="S469" s="521"/>
      <c r="T469" s="521"/>
      <c r="U469" s="521"/>
      <c r="V469" s="521"/>
    </row>
    <row r="470" spans="1:68" s="89" customFormat="1" ht="13.9">
      <c r="A470" s="2060"/>
      <c r="B470" s="2060"/>
      <c r="D470" s="778">
        <f ca="1">MAX(OFFSET(D470,-1,0,-ROW(D470)+1,-2),1)+0.01</f>
        <v>4.1099999999999977</v>
      </c>
      <c r="E470" s="21"/>
      <c r="F470" s="952" t="s">
        <v>449</v>
      </c>
      <c r="G470" s="724" t="s">
        <v>796</v>
      </c>
      <c r="H470" s="724"/>
      <c r="I470" s="724"/>
      <c r="J470" s="724"/>
      <c r="K470" s="725" t="s">
        <v>700</v>
      </c>
      <c r="L470" s="725" t="s">
        <v>701</v>
      </c>
      <c r="M470" s="725" t="s">
        <v>702</v>
      </c>
      <c r="N470" s="725" t="s">
        <v>703</v>
      </c>
      <c r="O470" s="759" t="s">
        <v>704</v>
      </c>
      <c r="P470" s="763" t="s">
        <v>705</v>
      </c>
      <c r="Q470" s="255"/>
      <c r="R470" s="255"/>
      <c r="S470" s="1459" t="s">
        <v>789</v>
      </c>
      <c r="T470" s="1459" t="s">
        <v>790</v>
      </c>
      <c r="U470" s="1459" t="s">
        <v>791</v>
      </c>
      <c r="V470" s="1459" t="s">
        <v>792</v>
      </c>
      <c r="W470" s="255"/>
    </row>
    <row r="471" spans="1:68" s="89" customFormat="1" ht="13.9">
      <c r="A471" s="2060"/>
      <c r="B471" s="2060"/>
      <c r="D471" s="778"/>
      <c r="E471" s="1505">
        <v>0</v>
      </c>
      <c r="F471" s="1439" t="str">
        <f>F$128</f>
        <v/>
      </c>
      <c r="G471" s="1440">
        <f>G$128</f>
        <v>0</v>
      </c>
      <c r="H471" s="1440" t="str">
        <f>H$128</f>
        <v>USD</v>
      </c>
      <c r="I471" s="1445" t="s">
        <v>797</v>
      </c>
      <c r="J471" s="1445"/>
      <c r="K471" s="2304">
        <f>'INC STAT Hist Input'!F29</f>
        <v>0</v>
      </c>
      <c r="L471" s="2304">
        <f>'INC STAT Hist Input'!G29</f>
        <v>0</v>
      </c>
      <c r="M471" s="2304">
        <f>'INC STAT Hist Input'!H29</f>
        <v>0</v>
      </c>
      <c r="N471" s="2304">
        <f>'INC STAT Hist Input'!I29</f>
        <v>0</v>
      </c>
      <c r="O471" s="1469">
        <f>'INC STAT Hist Input'!J29</f>
        <v>0</v>
      </c>
      <c r="P471" s="2304">
        <f>'INC STAT Hist Input'!K29</f>
        <v>0</v>
      </c>
      <c r="Q471" s="248"/>
      <c r="R471" s="1467"/>
      <c r="S471" s="2299">
        <f>IFERROR(AVERAGE(K471:$O471),"--")</f>
        <v>0</v>
      </c>
      <c r="T471" s="2299">
        <f>IFERROR(AVERAGE(L471:$O471),"--")</f>
        <v>0</v>
      </c>
      <c r="U471" s="2299">
        <f>IFERROR(AVERAGE(M471:$O471),"--")</f>
        <v>0</v>
      </c>
      <c r="V471" s="2299">
        <f>IFERROR(AVERAGE(N471:$O471),"--")</f>
        <v>0</v>
      </c>
    </row>
    <row r="472" spans="1:68" s="89" customFormat="1" ht="13.9">
      <c r="A472" s="269" t="str">
        <f>IF(F472="--","n","")</f>
        <v>n</v>
      </c>
      <c r="B472" s="2060"/>
      <c r="D472" s="801"/>
      <c r="E472" s="1505">
        <v>1</v>
      </c>
      <c r="F472" s="21" t="str">
        <f>F$129</f>
        <v>--</v>
      </c>
      <c r="G472" s="1441">
        <f>G$129</f>
        <v>0</v>
      </c>
      <c r="H472" s="1441" t="str">
        <f>H$129</f>
        <v>--</v>
      </c>
      <c r="I472" s="1513" t="s">
        <v>797</v>
      </c>
      <c r="J472" s="1513"/>
      <c r="K472" s="2301" t="str">
        <f>IF(OR(K192=0,$G472=0),"--",IFERROR(_xll.ciqfunctions.udf.CIQ($G472,$I472,K100,Valuation_Date_GC,ReportType,DataMode,$H472,FXMode)*Scale,"--"))</f>
        <v>--</v>
      </c>
      <c r="L472" s="2301" t="str">
        <f>IF(OR(L192=0,$G472=0),"--",IFERROR(_xll.ciqfunctions.udf.CIQ($G472,$I472,L100,Valuation_Date_GC,ReportType,DataMode,$H472,FXMode)*Scale,"--"))</f>
        <v>--</v>
      </c>
      <c r="M472" s="2301" t="str">
        <f>IF(OR(M192=0,$G472=0),"--",IFERROR(_xll.ciqfunctions.udf.CIQ($G472,$I472,M100,Valuation_Date_GC,ReportType,DataMode,$H472,FXMode)*Scale,"--"))</f>
        <v>--</v>
      </c>
      <c r="N472" s="2301" t="str">
        <f>IF(OR(N192=0,$G472=0),"--",IFERROR(_xll.ciqfunctions.udf.CIQ($G472,$I472,N100,Valuation_Date_GC,ReportType,DataMode,$H472,FXMode)*Scale,"--"))</f>
        <v>--</v>
      </c>
      <c r="O472" s="1471" t="str">
        <f>IF(OR(O192=0,$G472=0),"--",IFERROR(_xll.ciqfunctions.udf.CIQ($G472,$I472,O100,Valuation_Date_GC,ReportType,DataMode,$H472,FXMode)*Scale,"--"))</f>
        <v>--</v>
      </c>
      <c r="P472" s="2301" t="str">
        <f>IF(OR(P192=0,$G472=0),"--",IFERROR(_xll.ciqfunctions.udf.CIQ($G472,$I472,P100,Valuation_Date_GC,ReportType,DataMode,$H472,FXMode)*Scale,"--"))</f>
        <v>--</v>
      </c>
      <c r="Q472" s="255"/>
      <c r="R472" s="255"/>
      <c r="S472" s="2301" t="str">
        <f>IFERROR(AVERAGE(K472:$O472),"--")</f>
        <v>--</v>
      </c>
      <c r="T472" s="2301" t="str">
        <f>IFERROR(AVERAGE(L472:$O472),"--")</f>
        <v>--</v>
      </c>
      <c r="U472" s="2301" t="str">
        <f>IFERROR(AVERAGE(M472:$O472),"--")</f>
        <v>--</v>
      </c>
      <c r="V472" s="2301" t="str">
        <f>IFERROR(AVERAGE(N472:$O472),"--")</f>
        <v>--</v>
      </c>
    </row>
    <row r="473" spans="1:68" s="89" customFormat="1" ht="13.9">
      <c r="A473" s="269" t="str">
        <f t="shared" ref="A473:A496" si="149">IF(F473="--","n","")</f>
        <v>n</v>
      </c>
      <c r="B473" s="2060"/>
      <c r="D473" s="801"/>
      <c r="E473" s="1505">
        <v>2</v>
      </c>
      <c r="F473" s="21" t="str">
        <f>F$130</f>
        <v>--</v>
      </c>
      <c r="G473" s="1441">
        <f>G$130</f>
        <v>0</v>
      </c>
      <c r="H473" s="1441" t="str">
        <f>H$130</f>
        <v>--</v>
      </c>
      <c r="I473" s="1513" t="s">
        <v>797</v>
      </c>
      <c r="J473" s="1513"/>
      <c r="K473" s="2301" t="str">
        <f>IF(OR(K193=0,$G473=0),"--",IFERROR(_xll.ciqfunctions.udf.CIQ($G473,$I473,K101,Valuation_Date_GC,ReportType,DataMode,$H473,FXMode)*Scale,"--"))</f>
        <v>--</v>
      </c>
      <c r="L473" s="2301" t="str">
        <f>IF(OR(L193=0,$G473=0),"--",IFERROR(_xll.ciqfunctions.udf.CIQ($G473,$I473,L101,Valuation_Date_GC,ReportType,DataMode,$H473,FXMode)*Scale,"--"))</f>
        <v>--</v>
      </c>
      <c r="M473" s="2301" t="str">
        <f>IF(OR(M193=0,$G473=0),"--",IFERROR(_xll.ciqfunctions.udf.CIQ($G473,$I473,M101,Valuation_Date_GC,ReportType,DataMode,$H473,FXMode)*Scale,"--"))</f>
        <v>--</v>
      </c>
      <c r="N473" s="2301" t="str">
        <f>IF(OR(N193=0,$G473=0),"--",IFERROR(_xll.ciqfunctions.udf.CIQ($G473,$I473,N101,Valuation_Date_GC,ReportType,DataMode,$H473,FXMode)*Scale,"--"))</f>
        <v>--</v>
      </c>
      <c r="O473" s="1471" t="str">
        <f>IF(OR(O193=0,$G473=0),"--",IFERROR(_xll.ciqfunctions.udf.CIQ($G473,$I473,O101,Valuation_Date_GC,ReportType,DataMode,$H473,FXMode)*Scale,"--"))</f>
        <v>--</v>
      </c>
      <c r="P473" s="2301" t="str">
        <f>IF(OR(P193=0,$G473=0),"--",IFERROR(_xll.ciqfunctions.udf.CIQ($G473,$I473,P101,Valuation_Date_GC,ReportType,DataMode,$H473,FXMode)*Scale,"--"))</f>
        <v>--</v>
      </c>
      <c r="Q473" s="255"/>
      <c r="R473" s="255"/>
      <c r="S473" s="2301" t="str">
        <f>IFERROR(AVERAGE(K473:$O473),"--")</f>
        <v>--</v>
      </c>
      <c r="T473" s="2301" t="str">
        <f>IFERROR(AVERAGE(L473:$O473),"--")</f>
        <v>--</v>
      </c>
      <c r="U473" s="2301" t="str">
        <f>IFERROR(AVERAGE(M473:$O473),"--")</f>
        <v>--</v>
      </c>
      <c r="V473" s="2301" t="str">
        <f>IFERROR(AVERAGE(N473:$O473),"--")</f>
        <v>--</v>
      </c>
    </row>
    <row r="474" spans="1:68" s="89" customFormat="1" ht="13.9">
      <c r="A474" s="269" t="str">
        <f t="shared" si="149"/>
        <v>n</v>
      </c>
      <c r="B474" s="2060"/>
      <c r="D474" s="801"/>
      <c r="E474" s="1505">
        <v>3</v>
      </c>
      <c r="F474" s="21" t="str">
        <f>F$131</f>
        <v>--</v>
      </c>
      <c r="G474" s="1441">
        <f>G$131</f>
        <v>0</v>
      </c>
      <c r="H474" s="1441" t="str">
        <f>H$131</f>
        <v>--</v>
      </c>
      <c r="I474" s="1513" t="s">
        <v>797</v>
      </c>
      <c r="J474" s="1513"/>
      <c r="K474" s="2301" t="str">
        <f>IF(OR(K194=0,$G474=0),"--",IFERROR(_xll.ciqfunctions.udf.CIQ($G474,$I474,K102,Valuation_Date_GC,ReportType,DataMode,$H474,FXMode)*Scale,"--"))</f>
        <v>--</v>
      </c>
      <c r="L474" s="2301" t="str">
        <f>IF(OR(L194=0,$G474=0),"--",IFERROR(_xll.ciqfunctions.udf.CIQ($G474,$I474,L102,Valuation_Date_GC,ReportType,DataMode,$H474,FXMode)*Scale,"--"))</f>
        <v>--</v>
      </c>
      <c r="M474" s="2301" t="str">
        <f>IF(OR(M194=0,$G474=0),"--",IFERROR(_xll.ciqfunctions.udf.CIQ($G474,$I474,M102,Valuation_Date_GC,ReportType,DataMode,$H474,FXMode)*Scale,"--"))</f>
        <v>--</v>
      </c>
      <c r="N474" s="2301" t="str">
        <f>IF(OR(N194=0,$G474=0),"--",IFERROR(_xll.ciqfunctions.udf.CIQ($G474,$I474,N102,Valuation_Date_GC,ReportType,DataMode,$H474,FXMode)*Scale,"--"))</f>
        <v>--</v>
      </c>
      <c r="O474" s="1471" t="str">
        <f>IF(OR(O194=0,$G474=0),"--",IFERROR(_xll.ciqfunctions.udf.CIQ($G474,$I474,O102,Valuation_Date_GC,ReportType,DataMode,$H474,FXMode)*Scale,"--"))</f>
        <v>--</v>
      </c>
      <c r="P474" s="2301" t="str">
        <f>IF(OR(P194=0,$G474=0),"--",IFERROR(_xll.ciqfunctions.udf.CIQ($G474,$I474,P102,Valuation_Date_GC,ReportType,DataMode,$H474,FXMode)*Scale,"--"))</f>
        <v>--</v>
      </c>
      <c r="Q474" s="255"/>
      <c r="R474" s="255"/>
      <c r="S474" s="2301" t="str">
        <f>IFERROR(AVERAGE(K474:$O474),"--")</f>
        <v>--</v>
      </c>
      <c r="T474" s="2301" t="str">
        <f>IFERROR(AVERAGE(L474:$O474),"--")</f>
        <v>--</v>
      </c>
      <c r="U474" s="2301" t="str">
        <f>IFERROR(AVERAGE(M474:$O474),"--")</f>
        <v>--</v>
      </c>
      <c r="V474" s="2301" t="str">
        <f>IFERROR(AVERAGE(N474:$O474),"--")</f>
        <v>--</v>
      </c>
    </row>
    <row r="475" spans="1:68" s="89" customFormat="1" ht="13.9">
      <c r="A475" s="269" t="str">
        <f t="shared" si="149"/>
        <v>n</v>
      </c>
      <c r="B475" s="2060"/>
      <c r="D475" s="801"/>
      <c r="E475" s="1505">
        <v>4</v>
      </c>
      <c r="F475" s="21" t="str">
        <f>F$132</f>
        <v>--</v>
      </c>
      <c r="G475" s="1441">
        <f>G$132</f>
        <v>0</v>
      </c>
      <c r="H475" s="1441" t="str">
        <f>H$132</f>
        <v>--</v>
      </c>
      <c r="I475" s="1513" t="s">
        <v>797</v>
      </c>
      <c r="J475" s="1513"/>
      <c r="K475" s="2301" t="str">
        <f>IF(OR(K195=0,$G475=0),"--",IFERROR(_xll.ciqfunctions.udf.CIQ($G475,$I475,K103,Valuation_Date_GC,ReportType,DataMode,$H475,FXMode)*Scale,"--"))</f>
        <v>--</v>
      </c>
      <c r="L475" s="2301" t="str">
        <f>IF(OR(L195=0,$G475=0),"--",IFERROR(_xll.ciqfunctions.udf.CIQ($G475,$I475,L103,Valuation_Date_GC,ReportType,DataMode,$H475,FXMode)*Scale,"--"))</f>
        <v>--</v>
      </c>
      <c r="M475" s="2301" t="str">
        <f>IF(OR(M195=0,$G475=0),"--",IFERROR(_xll.ciqfunctions.udf.CIQ($G475,$I475,M103,Valuation_Date_GC,ReportType,DataMode,$H475,FXMode)*Scale,"--"))</f>
        <v>--</v>
      </c>
      <c r="N475" s="2301" t="str">
        <f>IF(OR(N195=0,$G475=0),"--",IFERROR(_xll.ciqfunctions.udf.CIQ($G475,$I475,N103,Valuation_Date_GC,ReportType,DataMode,$H475,FXMode)*Scale,"--"))</f>
        <v>--</v>
      </c>
      <c r="O475" s="1471" t="str">
        <f>IF(OR(O195=0,$G475=0),"--",IFERROR(_xll.ciqfunctions.udf.CIQ($G475,$I475,O103,Valuation_Date_GC,ReportType,DataMode,$H475,FXMode)*Scale,"--"))</f>
        <v>--</v>
      </c>
      <c r="P475" s="2301" t="str">
        <f>IF(OR(P195=0,$G475=0),"--",IFERROR(_xll.ciqfunctions.udf.CIQ($G475,$I475,P103,Valuation_Date_GC,ReportType,DataMode,$H475,FXMode)*Scale,"--"))</f>
        <v>--</v>
      </c>
      <c r="Q475" s="255"/>
      <c r="R475" s="255"/>
      <c r="S475" s="2301" t="str">
        <f>IFERROR(AVERAGE(K475:$O475),"--")</f>
        <v>--</v>
      </c>
      <c r="T475" s="2301" t="str">
        <f>IFERROR(AVERAGE(L475:$O475),"--")</f>
        <v>--</v>
      </c>
      <c r="U475" s="2301" t="str">
        <f>IFERROR(AVERAGE(M475:$O475),"--")</f>
        <v>--</v>
      </c>
      <c r="V475" s="2301" t="str">
        <f>IFERROR(AVERAGE(N475:$O475),"--")</f>
        <v>--</v>
      </c>
    </row>
    <row r="476" spans="1:68" s="89" customFormat="1" ht="13.9">
      <c r="A476" s="269" t="str">
        <f t="shared" si="149"/>
        <v>n</v>
      </c>
      <c r="B476" s="2060"/>
      <c r="D476" s="801"/>
      <c r="E476" s="1505">
        <v>5</v>
      </c>
      <c r="F476" s="21" t="str">
        <f>F$133</f>
        <v>--</v>
      </c>
      <c r="G476" s="1441">
        <f>G$133</f>
        <v>0</v>
      </c>
      <c r="H476" s="1441" t="str">
        <f>H$133</f>
        <v>--</v>
      </c>
      <c r="I476" s="1513" t="s">
        <v>797</v>
      </c>
      <c r="J476" s="1513"/>
      <c r="K476" s="2301" t="str">
        <f>IF(OR(K196=0,$G476=0),"--",IFERROR(_xll.ciqfunctions.udf.CIQ($G476,$I476,K104,Valuation_Date_GC,ReportType,DataMode,$H476,FXMode)*Scale,"--"))</f>
        <v>--</v>
      </c>
      <c r="L476" s="2301" t="str">
        <f>IF(OR(L196=0,$G476=0),"--",IFERROR(_xll.ciqfunctions.udf.CIQ($G476,$I476,L104,Valuation_Date_GC,ReportType,DataMode,$H476,FXMode)*Scale,"--"))</f>
        <v>--</v>
      </c>
      <c r="M476" s="2301" t="str">
        <f>IF(OR(M196=0,$G476=0),"--",IFERROR(_xll.ciqfunctions.udf.CIQ($G476,$I476,M104,Valuation_Date_GC,ReportType,DataMode,$H476,FXMode)*Scale,"--"))</f>
        <v>--</v>
      </c>
      <c r="N476" s="2301" t="str">
        <f>IF(OR(N196=0,$G476=0),"--",IFERROR(_xll.ciqfunctions.udf.CIQ($G476,$I476,N104,Valuation_Date_GC,ReportType,DataMode,$H476,FXMode)*Scale,"--"))</f>
        <v>--</v>
      </c>
      <c r="O476" s="1471" t="str">
        <f>IF(OR(O196=0,$G476=0),"--",IFERROR(_xll.ciqfunctions.udf.CIQ($G476,$I476,O104,Valuation_Date_GC,ReportType,DataMode,$H476,FXMode)*Scale,"--"))</f>
        <v>--</v>
      </c>
      <c r="P476" s="2301" t="str">
        <f>IF(OR(P196=0,$G476=0),"--",IFERROR(_xll.ciqfunctions.udf.CIQ($G476,$I476,P104,Valuation_Date_GC,ReportType,DataMode,$H476,FXMode)*Scale,"--"))</f>
        <v>--</v>
      </c>
      <c r="Q476" s="255"/>
      <c r="R476" s="255"/>
      <c r="S476" s="2301" t="str">
        <f>IFERROR(AVERAGE(K476:$O476),"--")</f>
        <v>--</v>
      </c>
      <c r="T476" s="2301" t="str">
        <f>IFERROR(AVERAGE(L476:$O476),"--")</f>
        <v>--</v>
      </c>
      <c r="U476" s="2301" t="str">
        <f>IFERROR(AVERAGE(M476:$O476),"--")</f>
        <v>--</v>
      </c>
      <c r="V476" s="2301" t="str">
        <f>IFERROR(AVERAGE(N476:$O476),"--")</f>
        <v>--</v>
      </c>
    </row>
    <row r="477" spans="1:68" s="89" customFormat="1" ht="13.9">
      <c r="A477" s="269" t="str">
        <f t="shared" si="149"/>
        <v>n</v>
      </c>
      <c r="B477" s="2060"/>
      <c r="D477" s="801"/>
      <c r="E477" s="1505">
        <v>6</v>
      </c>
      <c r="F477" s="21" t="str">
        <f>F$134</f>
        <v>--</v>
      </c>
      <c r="G477" s="1441">
        <f>G$134</f>
        <v>0</v>
      </c>
      <c r="H477" s="1441" t="str">
        <f>H$134</f>
        <v>--</v>
      </c>
      <c r="I477" s="1513" t="s">
        <v>797</v>
      </c>
      <c r="J477" s="1513"/>
      <c r="K477" s="2301" t="str">
        <f>IF(OR(K197=0,$G477=0),"--",IFERROR(_xll.ciqfunctions.udf.CIQ($G477,$I477,K105,Valuation_Date_GC,ReportType,DataMode,$H477,FXMode)*Scale,"--"))</f>
        <v>--</v>
      </c>
      <c r="L477" s="2301" t="str">
        <f>IF(OR(L197=0,$G477=0),"--",IFERROR(_xll.ciqfunctions.udf.CIQ($G477,$I477,L105,Valuation_Date_GC,ReportType,DataMode,$H477,FXMode)*Scale,"--"))</f>
        <v>--</v>
      </c>
      <c r="M477" s="2301" t="str">
        <f>IF(OR(M197=0,$G477=0),"--",IFERROR(_xll.ciqfunctions.udf.CIQ($G477,$I477,M105,Valuation_Date_GC,ReportType,DataMode,$H477,FXMode)*Scale,"--"))</f>
        <v>--</v>
      </c>
      <c r="N477" s="2301" t="str">
        <f>IF(OR(N197=0,$G477=0),"--",IFERROR(_xll.ciqfunctions.udf.CIQ($G477,$I477,N105,Valuation_Date_GC,ReportType,DataMode,$H477,FXMode)*Scale,"--"))</f>
        <v>--</v>
      </c>
      <c r="O477" s="1471" t="str">
        <f>IF(OR(O197=0,$G477=0),"--",IFERROR(_xll.ciqfunctions.udf.CIQ($G477,$I477,O105,Valuation_Date_GC,ReportType,DataMode,$H477,FXMode)*Scale,"--"))</f>
        <v>--</v>
      </c>
      <c r="P477" s="2301" t="str">
        <f>IF(OR(P197=0,$G477=0),"--",IFERROR(_xll.ciqfunctions.udf.CIQ($G477,$I477,P105,Valuation_Date_GC,ReportType,DataMode,$H477,FXMode)*Scale,"--"))</f>
        <v>--</v>
      </c>
      <c r="Q477" s="255"/>
      <c r="R477" s="255"/>
      <c r="S477" s="2301" t="str">
        <f>IFERROR(AVERAGE(K477:$O477),"--")</f>
        <v>--</v>
      </c>
      <c r="T477" s="2301" t="str">
        <f>IFERROR(AVERAGE(L477:$O477),"--")</f>
        <v>--</v>
      </c>
      <c r="U477" s="2301" t="str">
        <f>IFERROR(AVERAGE(M477:$O477),"--")</f>
        <v>--</v>
      </c>
      <c r="V477" s="2301" t="str">
        <f>IFERROR(AVERAGE(N477:$O477),"--")</f>
        <v>--</v>
      </c>
    </row>
    <row r="478" spans="1:68" s="89" customFormat="1" ht="13.9">
      <c r="A478" s="269" t="str">
        <f t="shared" si="149"/>
        <v>n</v>
      </c>
      <c r="B478" s="2060"/>
      <c r="D478" s="801"/>
      <c r="E478" s="1505">
        <v>7</v>
      </c>
      <c r="F478" s="21" t="str">
        <f>F$135</f>
        <v>--</v>
      </c>
      <c r="G478" s="1441">
        <f>G$135</f>
        <v>0</v>
      </c>
      <c r="H478" s="1441" t="str">
        <f>H$135</f>
        <v>--</v>
      </c>
      <c r="I478" s="1513" t="s">
        <v>797</v>
      </c>
      <c r="J478" s="1513"/>
      <c r="K478" s="2301" t="str">
        <f>IF(OR(K198=0,$G478=0),"--",IFERROR(_xll.ciqfunctions.udf.CIQ($G478,$I478,K106,Valuation_Date_GC,ReportType,DataMode,$H478,FXMode)*Scale,"--"))</f>
        <v>--</v>
      </c>
      <c r="L478" s="2301" t="str">
        <f>IF(OR(L198=0,$G478=0),"--",IFERROR(_xll.ciqfunctions.udf.CIQ($G478,$I478,L106,Valuation_Date_GC,ReportType,DataMode,$H478,FXMode)*Scale,"--"))</f>
        <v>--</v>
      </c>
      <c r="M478" s="2301" t="str">
        <f>IF(OR(M198=0,$G478=0),"--",IFERROR(_xll.ciqfunctions.udf.CIQ($G478,$I478,M106,Valuation_Date_GC,ReportType,DataMode,$H478,FXMode)*Scale,"--"))</f>
        <v>--</v>
      </c>
      <c r="N478" s="2301" t="str">
        <f>IF(OR(N198=0,$G478=0),"--",IFERROR(_xll.ciqfunctions.udf.CIQ($G478,$I478,N106,Valuation_Date_GC,ReportType,DataMode,$H478,FXMode)*Scale,"--"))</f>
        <v>--</v>
      </c>
      <c r="O478" s="1471" t="str">
        <f>IF(OR(O198=0,$G478=0),"--",IFERROR(_xll.ciqfunctions.udf.CIQ($G478,$I478,O106,Valuation_Date_GC,ReportType,DataMode,$H478,FXMode)*Scale,"--"))</f>
        <v>--</v>
      </c>
      <c r="P478" s="2301" t="str">
        <f>IF(OR(P198=0,$G478=0),"--",IFERROR(_xll.ciqfunctions.udf.CIQ($G478,$I478,P106,Valuation_Date_GC,ReportType,DataMode,$H478,FXMode)*Scale,"--"))</f>
        <v>--</v>
      </c>
      <c r="Q478" s="255"/>
      <c r="R478" s="255"/>
      <c r="S478" s="2301" t="str">
        <f>IFERROR(AVERAGE(K478:$O478),"--")</f>
        <v>--</v>
      </c>
      <c r="T478" s="2301" t="str">
        <f>IFERROR(AVERAGE(L478:$O478),"--")</f>
        <v>--</v>
      </c>
      <c r="U478" s="2301" t="str">
        <f>IFERROR(AVERAGE(M478:$O478),"--")</f>
        <v>--</v>
      </c>
      <c r="V478" s="2301" t="str">
        <f>IFERROR(AVERAGE(N478:$O478),"--")</f>
        <v>--</v>
      </c>
      <c r="AH478" s="255"/>
      <c r="AI478" s="255"/>
      <c r="AJ478" s="255"/>
      <c r="AK478" s="255"/>
    </row>
    <row r="479" spans="1:68" s="89" customFormat="1" ht="13.9">
      <c r="A479" s="269" t="str">
        <f t="shared" si="149"/>
        <v>n</v>
      </c>
      <c r="B479" s="2060"/>
      <c r="D479" s="801"/>
      <c r="E479" s="1505">
        <v>8</v>
      </c>
      <c r="F479" s="21" t="str">
        <f>F$136</f>
        <v>--</v>
      </c>
      <c r="G479" s="1441">
        <f>G$136</f>
        <v>0</v>
      </c>
      <c r="H479" s="1441" t="str">
        <f>H$136</f>
        <v>--</v>
      </c>
      <c r="I479" s="1513" t="s">
        <v>797</v>
      </c>
      <c r="J479" s="1513"/>
      <c r="K479" s="2301" t="str">
        <f>IF(OR(K199=0,$G479=0),"--",IFERROR(_xll.ciqfunctions.udf.CIQ($G479,$I479,K107,Valuation_Date_GC,ReportType,DataMode,$H479,FXMode)*Scale,"--"))</f>
        <v>--</v>
      </c>
      <c r="L479" s="2301" t="str">
        <f>IF(OR(L199=0,$G479=0),"--",IFERROR(_xll.ciqfunctions.udf.CIQ($G479,$I479,L107,Valuation_Date_GC,ReportType,DataMode,$H479,FXMode)*Scale,"--"))</f>
        <v>--</v>
      </c>
      <c r="M479" s="2301" t="str">
        <f>IF(OR(M199=0,$G479=0),"--",IFERROR(_xll.ciqfunctions.udf.CIQ($G479,$I479,M107,Valuation_Date_GC,ReportType,DataMode,$H479,FXMode)*Scale,"--"))</f>
        <v>--</v>
      </c>
      <c r="N479" s="2301" t="str">
        <f>IF(OR(N199=0,$G479=0),"--",IFERROR(_xll.ciqfunctions.udf.CIQ($G479,$I479,N107,Valuation_Date_GC,ReportType,DataMode,$H479,FXMode)*Scale,"--"))</f>
        <v>--</v>
      </c>
      <c r="O479" s="1471" t="str">
        <f>IF(OR(O199=0,$G479=0),"--",IFERROR(_xll.ciqfunctions.udf.CIQ($G479,$I479,O107,Valuation_Date_GC,ReportType,DataMode,$H479,FXMode)*Scale,"--"))</f>
        <v>--</v>
      </c>
      <c r="P479" s="2301" t="str">
        <f>IF(OR(P199=0,$G479=0),"--",IFERROR(_xll.ciqfunctions.udf.CIQ($G479,$I479,P107,Valuation_Date_GC,ReportType,DataMode,$H479,FXMode)*Scale,"--"))</f>
        <v>--</v>
      </c>
      <c r="Q479" s="255"/>
      <c r="R479" s="255"/>
      <c r="S479" s="2301" t="str">
        <f>IFERROR(AVERAGE(K479:$O479),"--")</f>
        <v>--</v>
      </c>
      <c r="T479" s="2301" t="str">
        <f>IFERROR(AVERAGE(L479:$O479),"--")</f>
        <v>--</v>
      </c>
      <c r="U479" s="2301" t="str">
        <f>IFERROR(AVERAGE(M479:$O479),"--")</f>
        <v>--</v>
      </c>
      <c r="V479" s="2301" t="str">
        <f>IFERROR(AVERAGE(N479:$O479),"--")</f>
        <v>--</v>
      </c>
      <c r="AG479" s="255"/>
    </row>
    <row r="480" spans="1:68" s="89" customFormat="1" ht="13.9">
      <c r="A480" s="269" t="str">
        <f t="shared" si="149"/>
        <v>n</v>
      </c>
      <c r="B480" s="2060"/>
      <c r="D480" s="801"/>
      <c r="E480" s="1505">
        <v>9</v>
      </c>
      <c r="F480" s="21" t="str">
        <f>F$137</f>
        <v>--</v>
      </c>
      <c r="G480" s="1441">
        <f>G$137</f>
        <v>0</v>
      </c>
      <c r="H480" s="1441" t="str">
        <f>H$137</f>
        <v>--</v>
      </c>
      <c r="I480" s="1513" t="s">
        <v>797</v>
      </c>
      <c r="J480" s="1513"/>
      <c r="K480" s="2301" t="str">
        <f>IF(OR(K200=0,$G480=0),"--",IFERROR(_xll.ciqfunctions.udf.CIQ($G480,$I480,K108,Valuation_Date_GC,ReportType,DataMode,$H480,FXMode)*Scale,"--"))</f>
        <v>--</v>
      </c>
      <c r="L480" s="2301" t="str">
        <f>IF(OR(L200=0,$G480=0),"--",IFERROR(_xll.ciqfunctions.udf.CIQ($G480,$I480,L108,Valuation_Date_GC,ReportType,DataMode,$H480,FXMode)*Scale,"--"))</f>
        <v>--</v>
      </c>
      <c r="M480" s="2301" t="str">
        <f>IF(OR(M200=0,$G480=0),"--",IFERROR(_xll.ciqfunctions.udf.CIQ($G480,$I480,M108,Valuation_Date_GC,ReportType,DataMode,$H480,FXMode)*Scale,"--"))</f>
        <v>--</v>
      </c>
      <c r="N480" s="2301" t="str">
        <f>IF(OR(N200=0,$G480=0),"--",IFERROR(_xll.ciqfunctions.udf.CIQ($G480,$I480,N108,Valuation_Date_GC,ReportType,DataMode,$H480,FXMode)*Scale,"--"))</f>
        <v>--</v>
      </c>
      <c r="O480" s="1471" t="str">
        <f>IF(OR(O200=0,$G480=0),"--",IFERROR(_xll.ciqfunctions.udf.CIQ($G480,$I480,O108,Valuation_Date_GC,ReportType,DataMode,$H480,FXMode)*Scale,"--"))</f>
        <v>--</v>
      </c>
      <c r="P480" s="2301" t="str">
        <f>IF(OR(P200=0,$G480=0),"--",IFERROR(_xll.ciqfunctions.udf.CIQ($G480,$I480,P108,Valuation_Date_GC,ReportType,DataMode,$H480,FXMode)*Scale,"--"))</f>
        <v>--</v>
      </c>
      <c r="Q480" s="255"/>
      <c r="R480" s="255"/>
      <c r="S480" s="2301" t="str">
        <f>IFERROR(AVERAGE(K480:$O480),"--")</f>
        <v>--</v>
      </c>
      <c r="T480" s="2301" t="str">
        <f>IFERROR(AVERAGE(L480:$O480),"--")</f>
        <v>--</v>
      </c>
      <c r="U480" s="2301" t="str">
        <f>IFERROR(AVERAGE(M480:$O480),"--")</f>
        <v>--</v>
      </c>
      <c r="V480" s="2301" t="str">
        <f>IFERROR(AVERAGE(N480:$O480),"--")</f>
        <v>--</v>
      </c>
    </row>
    <row r="481" spans="1:22" s="89" customFormat="1" ht="13.9">
      <c r="A481" s="269" t="str">
        <f t="shared" si="149"/>
        <v>n</v>
      </c>
      <c r="B481" s="2060"/>
      <c r="D481" s="801"/>
      <c r="E481" s="1505">
        <v>10</v>
      </c>
      <c r="F481" s="21" t="str">
        <f>F$138</f>
        <v>--</v>
      </c>
      <c r="G481" s="1441">
        <f>G$138</f>
        <v>0</v>
      </c>
      <c r="H481" s="1441" t="str">
        <f>H$138</f>
        <v>--</v>
      </c>
      <c r="I481" s="1513" t="s">
        <v>797</v>
      </c>
      <c r="J481" s="1513"/>
      <c r="K481" s="2301" t="str">
        <f>IF(OR(K201=0,$G481=0),"--",IFERROR(_xll.ciqfunctions.udf.CIQ($G481,$I481,K109,Valuation_Date_GC,ReportType,DataMode,$H481,FXMode)*Scale,"--"))</f>
        <v>--</v>
      </c>
      <c r="L481" s="2301" t="str">
        <f>IF(OR(L201=0,$G481=0),"--",IFERROR(_xll.ciqfunctions.udf.CIQ($G481,$I481,L109,Valuation_Date_GC,ReportType,DataMode,$H481,FXMode)*Scale,"--"))</f>
        <v>--</v>
      </c>
      <c r="M481" s="2301" t="str">
        <f>IF(OR(M201=0,$G481=0),"--",IFERROR(_xll.ciqfunctions.udf.CIQ($G481,$I481,M109,Valuation_Date_GC,ReportType,DataMode,$H481,FXMode)*Scale,"--"))</f>
        <v>--</v>
      </c>
      <c r="N481" s="2301" t="str">
        <f>IF(OR(N201=0,$G481=0),"--",IFERROR(_xll.ciqfunctions.udf.CIQ($G481,$I481,N109,Valuation_Date_GC,ReportType,DataMode,$H481,FXMode)*Scale,"--"))</f>
        <v>--</v>
      </c>
      <c r="O481" s="1471" t="str">
        <f>IF(OR(O201=0,$G481=0),"--",IFERROR(_xll.ciqfunctions.udf.CIQ($G481,$I481,O109,Valuation_Date_GC,ReportType,DataMode,$H481,FXMode)*Scale,"--"))</f>
        <v>--</v>
      </c>
      <c r="P481" s="2301" t="str">
        <f>IF(OR(P201=0,$G481=0),"--",IFERROR(_xll.ciqfunctions.udf.CIQ($G481,$I481,P109,Valuation_Date_GC,ReportType,DataMode,$H481,FXMode)*Scale,"--"))</f>
        <v>--</v>
      </c>
      <c r="Q481" s="255"/>
      <c r="R481" s="255"/>
      <c r="S481" s="2301" t="str">
        <f>IFERROR(AVERAGE(K481:$O481),"--")</f>
        <v>--</v>
      </c>
      <c r="T481" s="2301" t="str">
        <f>IFERROR(AVERAGE(L481:$O481),"--")</f>
        <v>--</v>
      </c>
      <c r="U481" s="2301" t="str">
        <f>IFERROR(AVERAGE(M481:$O481),"--")</f>
        <v>--</v>
      </c>
      <c r="V481" s="2301" t="str">
        <f>IFERROR(AVERAGE(N481:$O481),"--")</f>
        <v>--</v>
      </c>
    </row>
    <row r="482" spans="1:22" s="89" customFormat="1" ht="13.9">
      <c r="A482" s="269" t="str">
        <f t="shared" si="149"/>
        <v>n</v>
      </c>
      <c r="B482" s="2060"/>
      <c r="D482" s="801"/>
      <c r="E482" s="1505">
        <v>11</v>
      </c>
      <c r="F482" s="21" t="str">
        <f>F$139</f>
        <v>--</v>
      </c>
      <c r="G482" s="1441">
        <f>G$139</f>
        <v>0</v>
      </c>
      <c r="H482" s="1441" t="str">
        <f>H$139</f>
        <v>--</v>
      </c>
      <c r="I482" s="1513" t="s">
        <v>797</v>
      </c>
      <c r="J482" s="1513"/>
      <c r="K482" s="2301" t="str">
        <f>IF(OR(K202=0,$G482=0),"--",IFERROR(_xll.ciqfunctions.udf.CIQ($G482,$I482,K110,Valuation_Date_GC,ReportType,DataMode,$H482,FXMode)*Scale,"--"))</f>
        <v>--</v>
      </c>
      <c r="L482" s="2301" t="str">
        <f>IF(OR(L202=0,$G482=0),"--",IFERROR(_xll.ciqfunctions.udf.CIQ($G482,$I482,L110,Valuation_Date_GC,ReportType,DataMode,$H482,FXMode)*Scale,"--"))</f>
        <v>--</v>
      </c>
      <c r="M482" s="2301" t="str">
        <f>IF(OR(M202=0,$G482=0),"--",IFERROR(_xll.ciqfunctions.udf.CIQ($G482,$I482,M110,Valuation_Date_GC,ReportType,DataMode,$H482,FXMode)*Scale,"--"))</f>
        <v>--</v>
      </c>
      <c r="N482" s="2301" t="str">
        <f>IF(OR(N202=0,$G482=0),"--",IFERROR(_xll.ciqfunctions.udf.CIQ($G482,$I482,N110,Valuation_Date_GC,ReportType,DataMode,$H482,FXMode)*Scale,"--"))</f>
        <v>--</v>
      </c>
      <c r="O482" s="1471" t="str">
        <f>IF(OR(O202=0,$G482=0),"--",IFERROR(_xll.ciqfunctions.udf.CIQ($G482,$I482,O110,Valuation_Date_GC,ReportType,DataMode,$H482,FXMode)*Scale,"--"))</f>
        <v>--</v>
      </c>
      <c r="P482" s="2301" t="str">
        <f>IF(OR(P202=0,$G482=0),"--",IFERROR(_xll.ciqfunctions.udf.CIQ($G482,$I482,P110,Valuation_Date_GC,ReportType,DataMode,$H482,FXMode)*Scale,"--"))</f>
        <v>--</v>
      </c>
      <c r="Q482" s="255"/>
      <c r="R482" s="255"/>
      <c r="S482" s="2301" t="str">
        <f>IFERROR(AVERAGE(K482:$O482),"--")</f>
        <v>--</v>
      </c>
      <c r="T482" s="2301" t="str">
        <f>IFERROR(AVERAGE(L482:$O482),"--")</f>
        <v>--</v>
      </c>
      <c r="U482" s="2301" t="str">
        <f>IFERROR(AVERAGE(M482:$O482),"--")</f>
        <v>--</v>
      </c>
      <c r="V482" s="2301" t="str">
        <f>IFERROR(AVERAGE(N482:$O482),"--")</f>
        <v>--</v>
      </c>
    </row>
    <row r="483" spans="1:22" s="89" customFormat="1" ht="13.9">
      <c r="A483" s="269" t="str">
        <f t="shared" si="149"/>
        <v>n</v>
      </c>
      <c r="B483" s="2060"/>
      <c r="D483" s="801"/>
      <c r="E483" s="1505">
        <v>12</v>
      </c>
      <c r="F483" s="21" t="str">
        <f>F$140</f>
        <v>--</v>
      </c>
      <c r="G483" s="1441">
        <f>G$140</f>
        <v>0</v>
      </c>
      <c r="H483" s="1441" t="str">
        <f>H$140</f>
        <v>--</v>
      </c>
      <c r="I483" s="1513" t="s">
        <v>797</v>
      </c>
      <c r="J483" s="1513"/>
      <c r="K483" s="2301" t="str">
        <f>IF(OR(K203=0,$G483=0),"--",IFERROR(_xll.ciqfunctions.udf.CIQ($G483,$I483,K111,Valuation_Date_GC,ReportType,DataMode,$H483,FXMode)*Scale,"--"))</f>
        <v>--</v>
      </c>
      <c r="L483" s="2301" t="str">
        <f>IF(OR(L203=0,$G483=0),"--",IFERROR(_xll.ciqfunctions.udf.CIQ($G483,$I483,L111,Valuation_Date_GC,ReportType,DataMode,$H483,FXMode)*Scale,"--"))</f>
        <v>--</v>
      </c>
      <c r="M483" s="2301" t="str">
        <f>IF(OR(M203=0,$G483=0),"--",IFERROR(_xll.ciqfunctions.udf.CIQ($G483,$I483,M111,Valuation_Date_GC,ReportType,DataMode,$H483,FXMode)*Scale,"--"))</f>
        <v>--</v>
      </c>
      <c r="N483" s="2301" t="str">
        <f>IF(OR(N203=0,$G483=0),"--",IFERROR(_xll.ciqfunctions.udf.CIQ($G483,$I483,N111,Valuation_Date_GC,ReportType,DataMode,$H483,FXMode)*Scale,"--"))</f>
        <v>--</v>
      </c>
      <c r="O483" s="1471" t="str">
        <f>IF(OR(O203=0,$G483=0),"--",IFERROR(_xll.ciqfunctions.udf.CIQ($G483,$I483,O111,Valuation_Date_GC,ReportType,DataMode,$H483,FXMode)*Scale,"--"))</f>
        <v>--</v>
      </c>
      <c r="P483" s="2301" t="str">
        <f>IF(OR(P203=0,$G483=0),"--",IFERROR(_xll.ciqfunctions.udf.CIQ($G483,$I483,P111,Valuation_Date_GC,ReportType,DataMode,$H483,FXMode)*Scale,"--"))</f>
        <v>--</v>
      </c>
      <c r="Q483" s="255"/>
      <c r="R483" s="255"/>
      <c r="S483" s="2301" t="str">
        <f>IFERROR(AVERAGE(K483:$O483),"--")</f>
        <v>--</v>
      </c>
      <c r="T483" s="2301" t="str">
        <f>IFERROR(AVERAGE(L483:$O483),"--")</f>
        <v>--</v>
      </c>
      <c r="U483" s="2301" t="str">
        <f>IFERROR(AVERAGE(M483:$O483),"--")</f>
        <v>--</v>
      </c>
      <c r="V483" s="2301" t="str">
        <f>IFERROR(AVERAGE(N483:$O483),"--")</f>
        <v>--</v>
      </c>
    </row>
    <row r="484" spans="1:22" s="89" customFormat="1" ht="13.9">
      <c r="A484" s="269" t="str">
        <f t="shared" si="149"/>
        <v>n</v>
      </c>
      <c r="B484" s="2060"/>
      <c r="D484" s="801"/>
      <c r="E484" s="1505">
        <v>13</v>
      </c>
      <c r="F484" s="21" t="str">
        <f>F$141</f>
        <v>--</v>
      </c>
      <c r="G484" s="1441">
        <f>G$141</f>
        <v>0</v>
      </c>
      <c r="H484" s="1441" t="str">
        <f>H$141</f>
        <v>--</v>
      </c>
      <c r="I484" s="1513" t="s">
        <v>797</v>
      </c>
      <c r="J484" s="1513"/>
      <c r="K484" s="2301" t="str">
        <f>IF(OR(K204=0,$G484=0),"--",IFERROR(_xll.ciqfunctions.udf.CIQ($G484,$I484,K112,Valuation_Date_GC,ReportType,DataMode,$H484,FXMode)*Scale,"--"))</f>
        <v>--</v>
      </c>
      <c r="L484" s="2301" t="str">
        <f>IF(OR(L204=0,$G484=0),"--",IFERROR(_xll.ciqfunctions.udf.CIQ($G484,$I484,L112,Valuation_Date_GC,ReportType,DataMode,$H484,FXMode)*Scale,"--"))</f>
        <v>--</v>
      </c>
      <c r="M484" s="2301" t="str">
        <f>IF(OR(M204=0,$G484=0),"--",IFERROR(_xll.ciqfunctions.udf.CIQ($G484,$I484,M112,Valuation_Date_GC,ReportType,DataMode,$H484,FXMode)*Scale,"--"))</f>
        <v>--</v>
      </c>
      <c r="N484" s="2301" t="str">
        <f>IF(OR(N204=0,$G484=0),"--",IFERROR(_xll.ciqfunctions.udf.CIQ($G484,$I484,N112,Valuation_Date_GC,ReportType,DataMode,$H484,FXMode)*Scale,"--"))</f>
        <v>--</v>
      </c>
      <c r="O484" s="1471" t="str">
        <f>IF(OR(O204=0,$G484=0),"--",IFERROR(_xll.ciqfunctions.udf.CIQ($G484,$I484,O112,Valuation_Date_GC,ReportType,DataMode,$H484,FXMode)*Scale,"--"))</f>
        <v>--</v>
      </c>
      <c r="P484" s="2301" t="str">
        <f>IF(OR(P204=0,$G484=0),"--",IFERROR(_xll.ciqfunctions.udf.CIQ($G484,$I484,P112,Valuation_Date_GC,ReportType,DataMode,$H484,FXMode)*Scale,"--"))</f>
        <v>--</v>
      </c>
      <c r="Q484" s="255"/>
      <c r="R484" s="255"/>
      <c r="S484" s="2301" t="str">
        <f>IFERROR(AVERAGE(K484:$O484),"--")</f>
        <v>--</v>
      </c>
      <c r="T484" s="2301" t="str">
        <f>IFERROR(AVERAGE(L484:$O484),"--")</f>
        <v>--</v>
      </c>
      <c r="U484" s="2301" t="str">
        <f>IFERROR(AVERAGE(M484:$O484),"--")</f>
        <v>--</v>
      </c>
      <c r="V484" s="2301" t="str">
        <f>IFERROR(AVERAGE(N484:$O484),"--")</f>
        <v>--</v>
      </c>
    </row>
    <row r="485" spans="1:22" s="89" customFormat="1" ht="13.9">
      <c r="A485" s="269" t="str">
        <f t="shared" si="149"/>
        <v>n</v>
      </c>
      <c r="B485" s="2060"/>
      <c r="D485" s="801"/>
      <c r="E485" s="1505">
        <v>14</v>
      </c>
      <c r="F485" s="21" t="str">
        <f>F$142</f>
        <v>--</v>
      </c>
      <c r="G485" s="1441">
        <f>G$142</f>
        <v>0</v>
      </c>
      <c r="H485" s="1441" t="str">
        <f>H$142</f>
        <v>--</v>
      </c>
      <c r="I485" s="1513" t="s">
        <v>797</v>
      </c>
      <c r="J485" s="1513"/>
      <c r="K485" s="2301" t="str">
        <f>IF(OR(K205=0,$G485=0),"--",IFERROR(_xll.ciqfunctions.udf.CIQ($G485,$I485,K113,Valuation_Date_GC,ReportType,DataMode,$H485,FXMode)*Scale,"--"))</f>
        <v>--</v>
      </c>
      <c r="L485" s="2301" t="str">
        <f>IF(OR(L205=0,$G485=0),"--",IFERROR(_xll.ciqfunctions.udf.CIQ($G485,$I485,L113,Valuation_Date_GC,ReportType,DataMode,$H485,FXMode)*Scale,"--"))</f>
        <v>--</v>
      </c>
      <c r="M485" s="2301" t="str">
        <f>IF(OR(M205=0,$G485=0),"--",IFERROR(_xll.ciqfunctions.udf.CIQ($G485,$I485,M113,Valuation_Date_GC,ReportType,DataMode,$H485,FXMode)*Scale,"--"))</f>
        <v>--</v>
      </c>
      <c r="N485" s="2301" t="str">
        <f>IF(OR(N205=0,$G485=0),"--",IFERROR(_xll.ciqfunctions.udf.CIQ($G485,$I485,N113,Valuation_Date_GC,ReportType,DataMode,$H485,FXMode)*Scale,"--"))</f>
        <v>--</v>
      </c>
      <c r="O485" s="1471" t="str">
        <f>IF(OR(O205=0,$G485=0),"--",IFERROR(_xll.ciqfunctions.udf.CIQ($G485,$I485,O113,Valuation_Date_GC,ReportType,DataMode,$H485,FXMode)*Scale,"--"))</f>
        <v>--</v>
      </c>
      <c r="P485" s="2301" t="str">
        <f>IF(OR(P205=0,$G485=0),"--",IFERROR(_xll.ciqfunctions.udf.CIQ($G485,$I485,P113,Valuation_Date_GC,ReportType,DataMode,$H485,FXMode)*Scale,"--"))</f>
        <v>--</v>
      </c>
      <c r="Q485" s="255"/>
      <c r="R485" s="255"/>
      <c r="S485" s="2301" t="str">
        <f>IFERROR(AVERAGE(K485:$O485),"--")</f>
        <v>--</v>
      </c>
      <c r="T485" s="2301" t="str">
        <f>IFERROR(AVERAGE(L485:$O485),"--")</f>
        <v>--</v>
      </c>
      <c r="U485" s="2301" t="str">
        <f>IFERROR(AVERAGE(M485:$O485),"--")</f>
        <v>--</v>
      </c>
      <c r="V485" s="2301" t="str">
        <f>IFERROR(AVERAGE(N485:$O485),"--")</f>
        <v>--</v>
      </c>
    </row>
    <row r="486" spans="1:22" s="89" customFormat="1" ht="13.9">
      <c r="A486" s="269" t="str">
        <f t="shared" si="149"/>
        <v>n</v>
      </c>
      <c r="B486" s="2060"/>
      <c r="D486" s="801"/>
      <c r="E486" s="1505">
        <v>15</v>
      </c>
      <c r="F486" s="21" t="str">
        <f>F$143</f>
        <v>--</v>
      </c>
      <c r="G486" s="1441">
        <f>G$143</f>
        <v>0</v>
      </c>
      <c r="H486" s="1441" t="str">
        <f>H$143</f>
        <v>--</v>
      </c>
      <c r="I486" s="1513" t="s">
        <v>797</v>
      </c>
      <c r="J486" s="1513"/>
      <c r="K486" s="2301" t="str">
        <f>IF(OR(K206=0,$G486=0),"--",IFERROR(_xll.ciqfunctions.udf.CIQ($G486,$I486,K114,Valuation_Date_GC,ReportType,DataMode,$H486,FXMode)*Scale,"--"))</f>
        <v>--</v>
      </c>
      <c r="L486" s="2301" t="str">
        <f>IF(OR(L206=0,$G486=0),"--",IFERROR(_xll.ciqfunctions.udf.CIQ($G486,$I486,L114,Valuation_Date_GC,ReportType,DataMode,$H486,FXMode)*Scale,"--"))</f>
        <v>--</v>
      </c>
      <c r="M486" s="2301" t="str">
        <f>IF(OR(M206=0,$G486=0),"--",IFERROR(_xll.ciqfunctions.udf.CIQ($G486,$I486,M114,Valuation_Date_GC,ReportType,DataMode,$H486,FXMode)*Scale,"--"))</f>
        <v>--</v>
      </c>
      <c r="N486" s="2301" t="str">
        <f>IF(OR(N206=0,$G486=0),"--",IFERROR(_xll.ciqfunctions.udf.CIQ($G486,$I486,N114,Valuation_Date_GC,ReportType,DataMode,$H486,FXMode)*Scale,"--"))</f>
        <v>--</v>
      </c>
      <c r="O486" s="1471" t="str">
        <f>IF(OR(O206=0,$G486=0),"--",IFERROR(_xll.ciqfunctions.udf.CIQ($G486,$I486,O114,Valuation_Date_GC,ReportType,DataMode,$H486,FXMode)*Scale,"--"))</f>
        <v>--</v>
      </c>
      <c r="P486" s="2301" t="str">
        <f>IF(OR(P206=0,$G486=0),"--",IFERROR(_xll.ciqfunctions.udf.CIQ($G486,$I486,P114,Valuation_Date_GC,ReportType,DataMode,$H486,FXMode)*Scale,"--"))</f>
        <v>--</v>
      </c>
      <c r="Q486" s="255"/>
      <c r="R486" s="255"/>
      <c r="S486" s="2301" t="str">
        <f>IFERROR(AVERAGE(K486:$O486),"--")</f>
        <v>--</v>
      </c>
      <c r="T486" s="2301" t="str">
        <f>IFERROR(AVERAGE(L486:$O486),"--")</f>
        <v>--</v>
      </c>
      <c r="U486" s="2301" t="str">
        <f>IFERROR(AVERAGE(M486:$O486),"--")</f>
        <v>--</v>
      </c>
      <c r="V486" s="2301" t="str">
        <f>IFERROR(AVERAGE(N486:$O486),"--")</f>
        <v>--</v>
      </c>
    </row>
    <row r="487" spans="1:22" s="89" customFormat="1" ht="13.9">
      <c r="A487" s="269" t="str">
        <f t="shared" si="149"/>
        <v>n</v>
      </c>
      <c r="B487" s="2060"/>
      <c r="D487" s="801"/>
      <c r="E487" s="1505">
        <v>16</v>
      </c>
      <c r="F487" s="21" t="str">
        <f>F$144</f>
        <v>--</v>
      </c>
      <c r="G487" s="1441">
        <f>G$144</f>
        <v>0</v>
      </c>
      <c r="H487" s="1441" t="str">
        <f>H$144</f>
        <v>--</v>
      </c>
      <c r="I487" s="1513" t="s">
        <v>797</v>
      </c>
      <c r="J487" s="1513"/>
      <c r="K487" s="2301" t="str">
        <f>IF(OR(K207=0,$G487=0),"--",IFERROR(_xll.ciqfunctions.udf.CIQ($G487,$I487,K115,Valuation_Date_GC,ReportType,DataMode,$H487,FXMode)*Scale,"--"))</f>
        <v>--</v>
      </c>
      <c r="L487" s="2301" t="str">
        <f>IF(OR(L207=0,$G487=0),"--",IFERROR(_xll.ciqfunctions.udf.CIQ($G487,$I487,L115,Valuation_Date_GC,ReportType,DataMode,$H487,FXMode)*Scale,"--"))</f>
        <v>--</v>
      </c>
      <c r="M487" s="2301" t="str">
        <f>IF(OR(M207=0,$G487=0),"--",IFERROR(_xll.ciqfunctions.udf.CIQ($G487,$I487,M115,Valuation_Date_GC,ReportType,DataMode,$H487,FXMode)*Scale,"--"))</f>
        <v>--</v>
      </c>
      <c r="N487" s="2301" t="str">
        <f>IF(OR(N207=0,$G487=0),"--",IFERROR(_xll.ciqfunctions.udf.CIQ($G487,$I487,N115,Valuation_Date_GC,ReportType,DataMode,$H487,FXMode)*Scale,"--"))</f>
        <v>--</v>
      </c>
      <c r="O487" s="1471" t="str">
        <f>IF(OR(O207=0,$G487=0),"--",IFERROR(_xll.ciqfunctions.udf.CIQ($G487,$I487,O115,Valuation_Date_GC,ReportType,DataMode,$H487,FXMode)*Scale,"--"))</f>
        <v>--</v>
      </c>
      <c r="P487" s="2301" t="str">
        <f>IF(OR(P207=0,$G487=0),"--",IFERROR(_xll.ciqfunctions.udf.CIQ($G487,$I487,P115,Valuation_Date_GC,ReportType,DataMode,$H487,FXMode)*Scale,"--"))</f>
        <v>--</v>
      </c>
      <c r="Q487" s="255"/>
      <c r="R487" s="255"/>
      <c r="S487" s="2301" t="str">
        <f>IFERROR(AVERAGE(K487:$O487),"--")</f>
        <v>--</v>
      </c>
      <c r="T487" s="2301" t="str">
        <f>IFERROR(AVERAGE(L487:$O487),"--")</f>
        <v>--</v>
      </c>
      <c r="U487" s="2301" t="str">
        <f>IFERROR(AVERAGE(M487:$O487),"--")</f>
        <v>--</v>
      </c>
      <c r="V487" s="2301" t="str">
        <f>IFERROR(AVERAGE(N487:$O487),"--")</f>
        <v>--</v>
      </c>
    </row>
    <row r="488" spans="1:22" s="89" customFormat="1" ht="13.9">
      <c r="A488" s="269" t="str">
        <f t="shared" si="149"/>
        <v>n</v>
      </c>
      <c r="B488" s="2060"/>
      <c r="D488" s="801"/>
      <c r="E488" s="1505">
        <v>17</v>
      </c>
      <c r="F488" s="21" t="str">
        <f>F$145</f>
        <v>--</v>
      </c>
      <c r="G488" s="1441">
        <f>G$145</f>
        <v>0</v>
      </c>
      <c r="H488" s="1441" t="str">
        <f>H$145</f>
        <v>--</v>
      </c>
      <c r="I488" s="1513" t="s">
        <v>797</v>
      </c>
      <c r="J488" s="1513"/>
      <c r="K488" s="2301" t="str">
        <f>IF(OR(K208=0,$G488=0),"--",IFERROR(_xll.ciqfunctions.udf.CIQ($G488,$I488,K116,Valuation_Date_GC,ReportType,DataMode,$H488,FXMode)*Scale,"--"))</f>
        <v>--</v>
      </c>
      <c r="L488" s="2301" t="str">
        <f>IF(OR(L208=0,$G488=0),"--",IFERROR(_xll.ciqfunctions.udf.CIQ($G488,$I488,L116,Valuation_Date_GC,ReportType,DataMode,$H488,FXMode)*Scale,"--"))</f>
        <v>--</v>
      </c>
      <c r="M488" s="2301" t="str">
        <f>IF(OR(M208=0,$G488=0),"--",IFERROR(_xll.ciqfunctions.udf.CIQ($G488,$I488,M116,Valuation_Date_GC,ReportType,DataMode,$H488,FXMode)*Scale,"--"))</f>
        <v>--</v>
      </c>
      <c r="N488" s="2301" t="str">
        <f>IF(OR(N208=0,$G488=0),"--",IFERROR(_xll.ciqfunctions.udf.CIQ($G488,$I488,N116,Valuation_Date_GC,ReportType,DataMode,$H488,FXMode)*Scale,"--"))</f>
        <v>--</v>
      </c>
      <c r="O488" s="1471" t="str">
        <f>IF(OR(O208=0,$G488=0),"--",IFERROR(_xll.ciqfunctions.udf.CIQ($G488,$I488,O116,Valuation_Date_GC,ReportType,DataMode,$H488,FXMode)*Scale,"--"))</f>
        <v>--</v>
      </c>
      <c r="P488" s="2301" t="str">
        <f>IF(OR(P208=0,$G488=0),"--",IFERROR(_xll.ciqfunctions.udf.CIQ($G488,$I488,P116,Valuation_Date_GC,ReportType,DataMode,$H488,FXMode)*Scale,"--"))</f>
        <v>--</v>
      </c>
      <c r="Q488" s="255"/>
      <c r="R488" s="255"/>
      <c r="S488" s="2301" t="str">
        <f>IFERROR(AVERAGE(K488:$O488),"--")</f>
        <v>--</v>
      </c>
      <c r="T488" s="2301" t="str">
        <f>IFERROR(AVERAGE(L488:$O488),"--")</f>
        <v>--</v>
      </c>
      <c r="U488" s="2301" t="str">
        <f>IFERROR(AVERAGE(M488:$O488),"--")</f>
        <v>--</v>
      </c>
      <c r="V488" s="2301" t="str">
        <f>IFERROR(AVERAGE(N488:$O488),"--")</f>
        <v>--</v>
      </c>
    </row>
    <row r="489" spans="1:22" s="89" customFormat="1" ht="13.9">
      <c r="A489" s="269" t="str">
        <f t="shared" si="149"/>
        <v>n</v>
      </c>
      <c r="B489" s="2060"/>
      <c r="D489" s="801"/>
      <c r="E489" s="1505">
        <v>18</v>
      </c>
      <c r="F489" s="21" t="str">
        <f>F$146</f>
        <v>--</v>
      </c>
      <c r="G489" s="1441">
        <f>G$146</f>
        <v>0</v>
      </c>
      <c r="H489" s="1441" t="str">
        <f>H$146</f>
        <v>--</v>
      </c>
      <c r="I489" s="1513" t="s">
        <v>797</v>
      </c>
      <c r="J489" s="1513"/>
      <c r="K489" s="2301" t="str">
        <f>IF(OR(K209=0,$G489=0),"--",IFERROR(_xll.ciqfunctions.udf.CIQ($G489,$I489,K117,Valuation_Date_GC,ReportType,DataMode,$H489,FXMode)*Scale,"--"))</f>
        <v>--</v>
      </c>
      <c r="L489" s="2301" t="str">
        <f>IF(OR(L209=0,$G489=0),"--",IFERROR(_xll.ciqfunctions.udf.CIQ($G489,$I489,L117,Valuation_Date_GC,ReportType,DataMode,$H489,FXMode)*Scale,"--"))</f>
        <v>--</v>
      </c>
      <c r="M489" s="2301" t="str">
        <f>IF(OR(M209=0,$G489=0),"--",IFERROR(_xll.ciqfunctions.udf.CIQ($G489,$I489,M117,Valuation_Date_GC,ReportType,DataMode,$H489,FXMode)*Scale,"--"))</f>
        <v>--</v>
      </c>
      <c r="N489" s="2301" t="str">
        <f>IF(OR(N209=0,$G489=0),"--",IFERROR(_xll.ciqfunctions.udf.CIQ($G489,$I489,N117,Valuation_Date_GC,ReportType,DataMode,$H489,FXMode)*Scale,"--"))</f>
        <v>--</v>
      </c>
      <c r="O489" s="1471" t="str">
        <f>IF(OR(O209=0,$G489=0),"--",IFERROR(_xll.ciqfunctions.udf.CIQ($G489,$I489,O117,Valuation_Date_GC,ReportType,DataMode,$H489,FXMode)*Scale,"--"))</f>
        <v>--</v>
      </c>
      <c r="P489" s="2301" t="str">
        <f>IF(OR(P209=0,$G489=0),"--",IFERROR(_xll.ciqfunctions.udf.CIQ($G489,$I489,P117,Valuation_Date_GC,ReportType,DataMode,$H489,FXMode)*Scale,"--"))</f>
        <v>--</v>
      </c>
      <c r="Q489" s="255"/>
      <c r="R489" s="255"/>
      <c r="S489" s="2301" t="str">
        <f>IFERROR(AVERAGE(K489:$O489),"--")</f>
        <v>--</v>
      </c>
      <c r="T489" s="2301" t="str">
        <f>IFERROR(AVERAGE(L489:$O489),"--")</f>
        <v>--</v>
      </c>
      <c r="U489" s="2301" t="str">
        <f>IFERROR(AVERAGE(M489:$O489),"--")</f>
        <v>--</v>
      </c>
      <c r="V489" s="2301" t="str">
        <f>IFERROR(AVERAGE(N489:$O489),"--")</f>
        <v>--</v>
      </c>
    </row>
    <row r="490" spans="1:22" s="89" customFormat="1" ht="13.9">
      <c r="A490" s="269" t="str">
        <f t="shared" si="149"/>
        <v>n</v>
      </c>
      <c r="B490" s="2060"/>
      <c r="D490" s="801"/>
      <c r="E490" s="1505">
        <v>19</v>
      </c>
      <c r="F490" s="21" t="str">
        <f>F$147</f>
        <v>--</v>
      </c>
      <c r="G490" s="1441">
        <f>G$147</f>
        <v>0</v>
      </c>
      <c r="H490" s="1441" t="str">
        <f>H$147</f>
        <v>--</v>
      </c>
      <c r="I490" s="1513" t="s">
        <v>797</v>
      </c>
      <c r="J490" s="1513"/>
      <c r="K490" s="2301" t="str">
        <f>IF(OR(K210=0,$G490=0),"--",IFERROR(_xll.ciqfunctions.udf.CIQ($G490,$I490,K118,Valuation_Date_GC,ReportType,DataMode,$H490,FXMode)*Scale,"--"))</f>
        <v>--</v>
      </c>
      <c r="L490" s="2301" t="str">
        <f>IF(OR(L210=0,$G490=0),"--",IFERROR(_xll.ciqfunctions.udf.CIQ($G490,$I490,L118,Valuation_Date_GC,ReportType,DataMode,$H490,FXMode)*Scale,"--"))</f>
        <v>--</v>
      </c>
      <c r="M490" s="2301" t="str">
        <f>IF(OR(M210=0,$G490=0),"--",IFERROR(_xll.ciqfunctions.udf.CIQ($G490,$I490,M118,Valuation_Date_GC,ReportType,DataMode,$H490,FXMode)*Scale,"--"))</f>
        <v>--</v>
      </c>
      <c r="N490" s="2301" t="str">
        <f>IF(OR(N210=0,$G490=0),"--",IFERROR(_xll.ciqfunctions.udf.CIQ($G490,$I490,N118,Valuation_Date_GC,ReportType,DataMode,$H490,FXMode)*Scale,"--"))</f>
        <v>--</v>
      </c>
      <c r="O490" s="1471" t="str">
        <f>IF(OR(O210=0,$G490=0),"--",IFERROR(_xll.ciqfunctions.udf.CIQ($G490,$I490,O118,Valuation_Date_GC,ReportType,DataMode,$H490,FXMode)*Scale,"--"))</f>
        <v>--</v>
      </c>
      <c r="P490" s="2301" t="str">
        <f>IF(OR(P210=0,$G490=0),"--",IFERROR(_xll.ciqfunctions.udf.CIQ($G490,$I490,P118,Valuation_Date_GC,ReportType,DataMode,$H490,FXMode)*Scale,"--"))</f>
        <v>--</v>
      </c>
      <c r="Q490" s="255"/>
      <c r="R490" s="255"/>
      <c r="S490" s="2301" t="str">
        <f>IFERROR(AVERAGE(K490:$O490),"--")</f>
        <v>--</v>
      </c>
      <c r="T490" s="2301" t="str">
        <f>IFERROR(AVERAGE(L490:$O490),"--")</f>
        <v>--</v>
      </c>
      <c r="U490" s="2301" t="str">
        <f>IFERROR(AVERAGE(M490:$O490),"--")</f>
        <v>--</v>
      </c>
      <c r="V490" s="2301" t="str">
        <f>IFERROR(AVERAGE(N490:$O490),"--")</f>
        <v>--</v>
      </c>
    </row>
    <row r="491" spans="1:22" s="89" customFormat="1" ht="13.9">
      <c r="A491" s="269" t="str">
        <f t="shared" si="149"/>
        <v>n</v>
      </c>
      <c r="B491" s="2060"/>
      <c r="D491" s="801"/>
      <c r="E491" s="1505">
        <v>20</v>
      </c>
      <c r="F491" s="21" t="str">
        <f>F$148</f>
        <v>--</v>
      </c>
      <c r="G491" s="1441">
        <f>G$148</f>
        <v>0</v>
      </c>
      <c r="H491" s="1441" t="str">
        <f>H$148</f>
        <v>--</v>
      </c>
      <c r="I491" s="1513" t="s">
        <v>797</v>
      </c>
      <c r="J491" s="1513"/>
      <c r="K491" s="2301" t="str">
        <f>IF(OR(K211=0,$G491=0),"--",IFERROR(_xll.ciqfunctions.udf.CIQ($G491,$I491,K119,Valuation_Date_GC,ReportType,DataMode,$H491,FXMode)*Scale,"--"))</f>
        <v>--</v>
      </c>
      <c r="L491" s="2301" t="str">
        <f>IF(OR(L211=0,$G491=0),"--",IFERROR(_xll.ciqfunctions.udf.CIQ($G491,$I491,L119,Valuation_Date_GC,ReportType,DataMode,$H491,FXMode)*Scale,"--"))</f>
        <v>--</v>
      </c>
      <c r="M491" s="2301" t="str">
        <f>IF(OR(M211=0,$G491=0),"--",IFERROR(_xll.ciqfunctions.udf.CIQ($G491,$I491,M119,Valuation_Date_GC,ReportType,DataMode,$H491,FXMode)*Scale,"--"))</f>
        <v>--</v>
      </c>
      <c r="N491" s="2301" t="str">
        <f>IF(OR(N211=0,$G491=0),"--",IFERROR(_xll.ciqfunctions.udf.CIQ($G491,$I491,N119,Valuation_Date_GC,ReportType,DataMode,$H491,FXMode)*Scale,"--"))</f>
        <v>--</v>
      </c>
      <c r="O491" s="1471" t="str">
        <f>IF(OR(O211=0,$G491=0),"--",IFERROR(_xll.ciqfunctions.udf.CIQ($G491,$I491,O119,Valuation_Date_GC,ReportType,DataMode,$H491,FXMode)*Scale,"--"))</f>
        <v>--</v>
      </c>
      <c r="P491" s="2301" t="str">
        <f>IF(OR(P211=0,$G491=0),"--",IFERROR(_xll.ciqfunctions.udf.CIQ($G491,$I491,P119,Valuation_Date_GC,ReportType,DataMode,$H491,FXMode)*Scale,"--"))</f>
        <v>--</v>
      </c>
      <c r="Q491" s="255"/>
      <c r="R491" s="255"/>
      <c r="S491" s="2301" t="str">
        <f>IFERROR(AVERAGE(K491:$O491),"--")</f>
        <v>--</v>
      </c>
      <c r="T491" s="2301" t="str">
        <f>IFERROR(AVERAGE(L491:$O491),"--")</f>
        <v>--</v>
      </c>
      <c r="U491" s="2301" t="str">
        <f>IFERROR(AVERAGE(M491:$O491),"--")</f>
        <v>--</v>
      </c>
      <c r="V491" s="2301" t="str">
        <f>IFERROR(AVERAGE(N491:$O491),"--")</f>
        <v>--</v>
      </c>
    </row>
    <row r="492" spans="1:22" s="89" customFormat="1" ht="13.9">
      <c r="A492" s="269" t="str">
        <f t="shared" si="149"/>
        <v>n</v>
      </c>
      <c r="B492" s="2060"/>
      <c r="D492" s="801"/>
      <c r="E492" s="1505">
        <v>21</v>
      </c>
      <c r="F492" s="21" t="str">
        <f>F$149</f>
        <v>--</v>
      </c>
      <c r="G492" s="1441">
        <f>G$149</f>
        <v>0</v>
      </c>
      <c r="H492" s="1441" t="str">
        <f>H$149</f>
        <v>--</v>
      </c>
      <c r="I492" s="1513" t="s">
        <v>797</v>
      </c>
      <c r="J492" s="1513"/>
      <c r="K492" s="2301" t="str">
        <f>IF(OR(K212=0,$G492=0),"--",IFERROR(_xll.ciqfunctions.udf.CIQ($G492,$I492,K120,Valuation_Date_GC,ReportType,DataMode,$H492,FXMode)*Scale,"--"))</f>
        <v>--</v>
      </c>
      <c r="L492" s="2301" t="str">
        <f>IF(OR(L212=0,$G492=0),"--",IFERROR(_xll.ciqfunctions.udf.CIQ($G492,$I492,L120,Valuation_Date_GC,ReportType,DataMode,$H492,FXMode)*Scale,"--"))</f>
        <v>--</v>
      </c>
      <c r="M492" s="2301" t="str">
        <f>IF(OR(M212=0,$G492=0),"--",IFERROR(_xll.ciqfunctions.udf.CIQ($G492,$I492,M120,Valuation_Date_GC,ReportType,DataMode,$H492,FXMode)*Scale,"--"))</f>
        <v>--</v>
      </c>
      <c r="N492" s="2301" t="str">
        <f>IF(OR(N212=0,$G492=0),"--",IFERROR(_xll.ciqfunctions.udf.CIQ($G492,$I492,N120,Valuation_Date_GC,ReportType,DataMode,$H492,FXMode)*Scale,"--"))</f>
        <v>--</v>
      </c>
      <c r="O492" s="1471" t="str">
        <f>IF(OR(O212=0,$G492=0),"--",IFERROR(_xll.ciqfunctions.udf.CIQ($G492,$I492,O120,Valuation_Date_GC,ReportType,DataMode,$H492,FXMode)*Scale,"--"))</f>
        <v>--</v>
      </c>
      <c r="P492" s="2301" t="str">
        <f>IF(OR(P212=0,$G492=0),"--",IFERROR(_xll.ciqfunctions.udf.CIQ($G492,$I492,P120,Valuation_Date_GC,ReportType,DataMode,$H492,FXMode)*Scale,"--"))</f>
        <v>--</v>
      </c>
      <c r="Q492" s="255"/>
      <c r="R492" s="255"/>
      <c r="S492" s="2301" t="str">
        <f>IFERROR(AVERAGE(K492:$O492),"--")</f>
        <v>--</v>
      </c>
      <c r="T492" s="2301" t="str">
        <f>IFERROR(AVERAGE(L492:$O492),"--")</f>
        <v>--</v>
      </c>
      <c r="U492" s="2301" t="str">
        <f>IFERROR(AVERAGE(M492:$O492),"--")</f>
        <v>--</v>
      </c>
      <c r="V492" s="2301" t="str">
        <f>IFERROR(AVERAGE(N492:$O492),"--")</f>
        <v>--</v>
      </c>
    </row>
    <row r="493" spans="1:22" s="89" customFormat="1" ht="13.9">
      <c r="A493" s="269" t="str">
        <f t="shared" si="149"/>
        <v>n</v>
      </c>
      <c r="B493" s="2060"/>
      <c r="D493" s="801"/>
      <c r="E493" s="1505">
        <v>22</v>
      </c>
      <c r="F493" s="21" t="str">
        <f>F$150</f>
        <v>--</v>
      </c>
      <c r="G493" s="1441">
        <f>G$150</f>
        <v>0</v>
      </c>
      <c r="H493" s="1441" t="str">
        <f>H$150</f>
        <v>--</v>
      </c>
      <c r="I493" s="1513" t="s">
        <v>797</v>
      </c>
      <c r="J493" s="1513"/>
      <c r="K493" s="2301" t="str">
        <f>IF(OR(K213=0,$G493=0),"--",IFERROR(_xll.ciqfunctions.udf.CIQ($G493,$I493,K121,Valuation_Date_GC,ReportType,DataMode,$H493,FXMode)*Scale,"--"))</f>
        <v>--</v>
      </c>
      <c r="L493" s="2301" t="str">
        <f>IF(OR(L213=0,$G493=0),"--",IFERROR(_xll.ciqfunctions.udf.CIQ($G493,$I493,L121,Valuation_Date_GC,ReportType,DataMode,$H493,FXMode)*Scale,"--"))</f>
        <v>--</v>
      </c>
      <c r="M493" s="2301" t="str">
        <f>IF(OR(M213=0,$G493=0),"--",IFERROR(_xll.ciqfunctions.udf.CIQ($G493,$I493,M121,Valuation_Date_GC,ReportType,DataMode,$H493,FXMode)*Scale,"--"))</f>
        <v>--</v>
      </c>
      <c r="N493" s="2301" t="str">
        <f>IF(OR(N213=0,$G493=0),"--",IFERROR(_xll.ciqfunctions.udf.CIQ($G493,$I493,N121,Valuation_Date_GC,ReportType,DataMode,$H493,FXMode)*Scale,"--"))</f>
        <v>--</v>
      </c>
      <c r="O493" s="1471" t="str">
        <f>IF(OR(O213=0,$G493=0),"--",IFERROR(_xll.ciqfunctions.udf.CIQ($G493,$I493,O121,Valuation_Date_GC,ReportType,DataMode,$H493,FXMode)*Scale,"--"))</f>
        <v>--</v>
      </c>
      <c r="P493" s="2301" t="str">
        <f>IF(OR(P213=0,$G493=0),"--",IFERROR(_xll.ciqfunctions.udf.CIQ($G493,$I493,P121,Valuation_Date_GC,ReportType,DataMode,$H493,FXMode)*Scale,"--"))</f>
        <v>--</v>
      </c>
      <c r="Q493" s="255"/>
      <c r="R493" s="255"/>
      <c r="S493" s="2301" t="str">
        <f>IFERROR(AVERAGE(K493:$O493),"--")</f>
        <v>--</v>
      </c>
      <c r="T493" s="2301" t="str">
        <f>IFERROR(AVERAGE(L493:$O493),"--")</f>
        <v>--</v>
      </c>
      <c r="U493" s="2301" t="str">
        <f>IFERROR(AVERAGE(M493:$O493),"--")</f>
        <v>--</v>
      </c>
      <c r="V493" s="2301" t="str">
        <f>IFERROR(AVERAGE(N493:$O493),"--")</f>
        <v>--</v>
      </c>
    </row>
    <row r="494" spans="1:22" s="89" customFormat="1" ht="13.9">
      <c r="A494" s="269" t="str">
        <f t="shared" si="149"/>
        <v>n</v>
      </c>
      <c r="B494" s="2060"/>
      <c r="D494" s="801"/>
      <c r="E494" s="1505">
        <v>23</v>
      </c>
      <c r="F494" s="21" t="str">
        <f>F$151</f>
        <v>--</v>
      </c>
      <c r="G494" s="1441">
        <f>G$151</f>
        <v>0</v>
      </c>
      <c r="H494" s="1441" t="str">
        <f>H$151</f>
        <v>--</v>
      </c>
      <c r="I494" s="1513" t="s">
        <v>797</v>
      </c>
      <c r="J494" s="1513"/>
      <c r="K494" s="2301" t="str">
        <f>IF(OR(K214=0,$G494=0),"--",IFERROR(_xll.ciqfunctions.udf.CIQ($G494,$I494,K122,Valuation_Date_GC,ReportType,DataMode,$H494,FXMode)*Scale,"--"))</f>
        <v>--</v>
      </c>
      <c r="L494" s="2301" t="str">
        <f>IF(OR(L214=0,$G494=0),"--",IFERROR(_xll.ciqfunctions.udf.CIQ($G494,$I494,L122,Valuation_Date_GC,ReportType,DataMode,$H494,FXMode)*Scale,"--"))</f>
        <v>--</v>
      </c>
      <c r="M494" s="2301" t="str">
        <f>IF(OR(M214=0,$G494=0),"--",IFERROR(_xll.ciqfunctions.udf.CIQ($G494,$I494,M122,Valuation_Date_GC,ReportType,DataMode,$H494,FXMode)*Scale,"--"))</f>
        <v>--</v>
      </c>
      <c r="N494" s="2301" t="str">
        <f>IF(OR(N214=0,$G494=0),"--",IFERROR(_xll.ciqfunctions.udf.CIQ($G494,$I494,N122,Valuation_Date_GC,ReportType,DataMode,$H494,FXMode)*Scale,"--"))</f>
        <v>--</v>
      </c>
      <c r="O494" s="1471" t="str">
        <f>IF(OR(O214=0,$G494=0),"--",IFERROR(_xll.ciqfunctions.udf.CIQ($G494,$I494,O122,Valuation_Date_GC,ReportType,DataMode,$H494,FXMode)*Scale,"--"))</f>
        <v>--</v>
      </c>
      <c r="P494" s="2301" t="str">
        <f>IF(OR(P214=0,$G494=0),"--",IFERROR(_xll.ciqfunctions.udf.CIQ($G494,$I494,P122,Valuation_Date_GC,ReportType,DataMode,$H494,FXMode)*Scale,"--"))</f>
        <v>--</v>
      </c>
      <c r="Q494" s="255"/>
      <c r="R494" s="255"/>
      <c r="S494" s="2301" t="str">
        <f>IFERROR(AVERAGE(K494:$O494),"--")</f>
        <v>--</v>
      </c>
      <c r="T494" s="2301" t="str">
        <f>IFERROR(AVERAGE(L494:$O494),"--")</f>
        <v>--</v>
      </c>
      <c r="U494" s="2301" t="str">
        <f>IFERROR(AVERAGE(M494:$O494),"--")</f>
        <v>--</v>
      </c>
      <c r="V494" s="2301" t="str">
        <f>IFERROR(AVERAGE(N494:$O494),"--")</f>
        <v>--</v>
      </c>
    </row>
    <row r="495" spans="1:22" s="89" customFormat="1" ht="13.9">
      <c r="A495" s="269" t="str">
        <f t="shared" si="149"/>
        <v>n</v>
      </c>
      <c r="B495" s="2060"/>
      <c r="D495" s="801"/>
      <c r="E495" s="1505">
        <v>24</v>
      </c>
      <c r="F495" s="21" t="str">
        <f>F$152</f>
        <v>--</v>
      </c>
      <c r="G495" s="1441">
        <f>G$152</f>
        <v>0</v>
      </c>
      <c r="H495" s="1441" t="str">
        <f>H$152</f>
        <v>--</v>
      </c>
      <c r="I495" s="1513" t="s">
        <v>797</v>
      </c>
      <c r="J495" s="1513"/>
      <c r="K495" s="2301" t="str">
        <f>IF(OR(K215=0,$G495=0),"--",IFERROR(_xll.ciqfunctions.udf.CIQ($G495,$I495,K123,Valuation_Date_GC,ReportType,DataMode,$H495,FXMode)*Scale,"--"))</f>
        <v>--</v>
      </c>
      <c r="L495" s="2301" t="str">
        <f>IF(OR(L215=0,$G495=0),"--",IFERROR(_xll.ciqfunctions.udf.CIQ($G495,$I495,L123,Valuation_Date_GC,ReportType,DataMode,$H495,FXMode)*Scale,"--"))</f>
        <v>--</v>
      </c>
      <c r="M495" s="2301" t="str">
        <f>IF(OR(M215=0,$G495=0),"--",IFERROR(_xll.ciqfunctions.udf.CIQ($G495,$I495,M123,Valuation_Date_GC,ReportType,DataMode,$H495,FXMode)*Scale,"--"))</f>
        <v>--</v>
      </c>
      <c r="N495" s="2301" t="str">
        <f>IF(OR(N215=0,$G495=0),"--",IFERROR(_xll.ciqfunctions.udf.CIQ($G495,$I495,N123,Valuation_Date_GC,ReportType,DataMode,$H495,FXMode)*Scale,"--"))</f>
        <v>--</v>
      </c>
      <c r="O495" s="1471" t="str">
        <f>IF(OR(O215=0,$G495=0),"--",IFERROR(_xll.ciqfunctions.udf.CIQ($G495,$I495,O123,Valuation_Date_GC,ReportType,DataMode,$H495,FXMode)*Scale,"--"))</f>
        <v>--</v>
      </c>
      <c r="P495" s="2301" t="str">
        <f>IF(OR(P215=0,$G495=0),"--",IFERROR(_xll.ciqfunctions.udf.CIQ($G495,$I495,P123,Valuation_Date_GC,ReportType,DataMode,$H495,FXMode)*Scale,"--"))</f>
        <v>--</v>
      </c>
      <c r="Q495" s="255"/>
      <c r="R495" s="255"/>
      <c r="S495" s="2301" t="str">
        <f>IFERROR(AVERAGE(K495:$O495),"--")</f>
        <v>--</v>
      </c>
      <c r="T495" s="2301" t="str">
        <f>IFERROR(AVERAGE(L495:$O495),"--")</f>
        <v>--</v>
      </c>
      <c r="U495" s="2301" t="str">
        <f>IFERROR(AVERAGE(M495:$O495),"--")</f>
        <v>--</v>
      </c>
      <c r="V495" s="2301" t="str">
        <f>IFERROR(AVERAGE(N495:$O495),"--")</f>
        <v>--</v>
      </c>
    </row>
    <row r="496" spans="1:22" s="89" customFormat="1" ht="13.9">
      <c r="A496" s="269" t="str">
        <f t="shared" si="149"/>
        <v>n</v>
      </c>
      <c r="B496" s="2060"/>
      <c r="D496" s="801"/>
      <c r="E496" s="1505">
        <v>25</v>
      </c>
      <c r="F496" s="21" t="str">
        <f>F$153</f>
        <v>--</v>
      </c>
      <c r="G496" s="1441">
        <f>G$153</f>
        <v>0</v>
      </c>
      <c r="H496" s="1441" t="str">
        <f>H$153</f>
        <v>--</v>
      </c>
      <c r="I496" s="1513" t="s">
        <v>797</v>
      </c>
      <c r="J496" s="1513"/>
      <c r="K496" s="2301" t="str">
        <f>IF(OR(K216=0,$G496=0),"--",IFERROR(_xll.ciqfunctions.udf.CIQ($G496,$I496,K124,Valuation_Date_GC,ReportType,DataMode,$H496,FXMode)*Scale,"--"))</f>
        <v>--</v>
      </c>
      <c r="L496" s="2301" t="str">
        <f>IF(OR(L216=0,$G496=0),"--",IFERROR(_xll.ciqfunctions.udf.CIQ($G496,$I496,L124,Valuation_Date_GC,ReportType,DataMode,$H496,FXMode)*Scale,"--"))</f>
        <v>--</v>
      </c>
      <c r="M496" s="2301" t="str">
        <f>IF(OR(M216=0,$G496=0),"--",IFERROR(_xll.ciqfunctions.udf.CIQ($G496,$I496,M124,Valuation_Date_GC,ReportType,DataMode,$H496,FXMode)*Scale,"--"))</f>
        <v>--</v>
      </c>
      <c r="N496" s="2301" t="str">
        <f>IF(OR(N216=0,$G496=0),"--",IFERROR(_xll.ciqfunctions.udf.CIQ($G496,$I496,N124,Valuation_Date_GC,ReportType,DataMode,$H496,FXMode)*Scale,"--"))</f>
        <v>--</v>
      </c>
      <c r="O496" s="1471" t="str">
        <f>IF(OR(O216=0,$G496=0),"--",IFERROR(_xll.ciqfunctions.udf.CIQ($G496,$I496,O124,Valuation_Date_GC,ReportType,DataMode,$H496,FXMode)*Scale,"--"))</f>
        <v>--</v>
      </c>
      <c r="P496" s="2301" t="str">
        <f>IF(OR(P216=0,$G496=0),"--",IFERROR(_xll.ciqfunctions.udf.CIQ($G496,$I496,P124,Valuation_Date_GC,ReportType,DataMode,$H496,FXMode)*Scale,"--"))</f>
        <v>--</v>
      </c>
      <c r="Q496" s="255"/>
      <c r="R496" s="255"/>
      <c r="S496" s="2301" t="str">
        <f>IFERROR(AVERAGE(K496:$O496),"--")</f>
        <v>--</v>
      </c>
      <c r="T496" s="2301" t="str">
        <f>IFERROR(AVERAGE(L496:$O496),"--")</f>
        <v>--</v>
      </c>
      <c r="U496" s="2301" t="str">
        <f>IFERROR(AVERAGE(M496:$O496),"--")</f>
        <v>--</v>
      </c>
      <c r="V496" s="2301" t="str">
        <f>IFERROR(AVERAGE(N496:$O496),"--")</f>
        <v>--</v>
      </c>
    </row>
    <row r="497" spans="1:34" s="89" customFormat="1" ht="13.9">
      <c r="A497" s="2060"/>
      <c r="B497" s="2060"/>
      <c r="D497" s="801"/>
      <c r="F497" s="57" t="s">
        <v>767</v>
      </c>
      <c r="G497" s="1442"/>
      <c r="H497" s="1442"/>
      <c r="I497" s="1442"/>
      <c r="J497" s="1442"/>
      <c r="K497" s="1443" t="str">
        <f t="shared" ref="K497:P497" si="150">IFERROR(MEDIAN(K472:K496),"--")</f>
        <v>--</v>
      </c>
      <c r="L497" s="1443" t="str">
        <f t="shared" si="150"/>
        <v>--</v>
      </c>
      <c r="M497" s="1443" t="str">
        <f t="shared" si="150"/>
        <v>--</v>
      </c>
      <c r="N497" s="1443" t="str">
        <f t="shared" si="150"/>
        <v>--</v>
      </c>
      <c r="O497" s="1444" t="str">
        <f t="shared" si="150"/>
        <v>--</v>
      </c>
      <c r="P497" s="1443" t="str">
        <f t="shared" si="150"/>
        <v>--</v>
      </c>
      <c r="Q497" s="255"/>
      <c r="R497" s="255"/>
      <c r="S497" s="1443" t="str">
        <f>IFERROR(MEDIAN(S472:S496),"--")</f>
        <v>--</v>
      </c>
      <c r="T497" s="1443" t="str">
        <f>IFERROR(MEDIAN(T472:T496),"--")</f>
        <v>--</v>
      </c>
      <c r="U497" s="1443" t="str">
        <f>IFERROR(MEDIAN(U472:U496),"--")</f>
        <v>--</v>
      </c>
      <c r="V497" s="1443" t="str">
        <f>IFERROR(MEDIAN(V472:V496),"--")</f>
        <v>--</v>
      </c>
    </row>
    <row r="498" spans="1:34" s="89" customFormat="1" ht="13.9">
      <c r="A498" s="2060"/>
      <c r="B498" s="2060"/>
      <c r="D498" s="778"/>
      <c r="E498" s="21"/>
      <c r="F498" s="446"/>
      <c r="G498" s="1441"/>
      <c r="H498" s="1441"/>
      <c r="I498" s="1441"/>
      <c r="J498" s="1441"/>
      <c r="K498" s="1441"/>
      <c r="O498" s="75"/>
      <c r="P498" s="76"/>
      <c r="Q498" s="255"/>
      <c r="R498" s="255"/>
      <c r="S498" s="314"/>
      <c r="W498" s="255"/>
    </row>
    <row r="499" spans="1:34" s="89" customFormat="1" ht="13.9">
      <c r="A499" s="2060"/>
      <c r="B499" s="2060"/>
      <c r="D499" s="778"/>
      <c r="E499" s="21"/>
      <c r="F499" s="446"/>
      <c r="G499" s="1441"/>
      <c r="H499" s="1441"/>
      <c r="I499" s="1441"/>
      <c r="J499" s="1441"/>
      <c r="K499" s="1441"/>
      <c r="O499" s="75"/>
      <c r="P499" s="76"/>
      <c r="Q499" s="255"/>
      <c r="R499" s="255"/>
      <c r="S499" s="314"/>
      <c r="W499" s="255"/>
    </row>
    <row r="500" spans="1:34" s="89" customFormat="1" ht="13.9">
      <c r="A500" s="2060"/>
      <c r="B500" s="2060"/>
      <c r="D500" s="801"/>
      <c r="F500" s="1446"/>
      <c r="O500" s="75"/>
      <c r="P500" s="76"/>
      <c r="Q500" s="255"/>
      <c r="R500" s="255"/>
      <c r="S500" s="521" t="s">
        <v>788</v>
      </c>
      <c r="T500" s="521" t="s">
        <v>788</v>
      </c>
      <c r="U500" s="521" t="s">
        <v>788</v>
      </c>
      <c r="V500" s="521" t="s">
        <v>788</v>
      </c>
    </row>
    <row r="501" spans="1:34" s="89" customFormat="1" ht="13.9">
      <c r="A501" s="2060"/>
      <c r="B501" s="2060"/>
      <c r="D501" s="778">
        <f ca="1">MAX(OFFSET(D501,-1,0,-ROW(D501)+1,-2),1)+0.01</f>
        <v>4.1199999999999974</v>
      </c>
      <c r="E501" s="21"/>
      <c r="F501" s="952" t="s">
        <v>498</v>
      </c>
      <c r="G501" s="724" t="s">
        <v>796</v>
      </c>
      <c r="H501" s="724"/>
      <c r="I501" s="724"/>
      <c r="J501" s="724"/>
      <c r="K501" s="725" t="s">
        <v>700</v>
      </c>
      <c r="L501" s="725" t="s">
        <v>701</v>
      </c>
      <c r="M501" s="725" t="s">
        <v>702</v>
      </c>
      <c r="N501" s="725" t="s">
        <v>703</v>
      </c>
      <c r="O501" s="759" t="s">
        <v>704</v>
      </c>
      <c r="P501" s="763" t="s">
        <v>705</v>
      </c>
      <c r="Q501" s="255"/>
      <c r="R501" s="255"/>
      <c r="S501" s="1459" t="s">
        <v>789</v>
      </c>
      <c r="T501" s="1459" t="s">
        <v>790</v>
      </c>
      <c r="U501" s="1459" t="s">
        <v>791</v>
      </c>
      <c r="V501" s="1459" t="s">
        <v>792</v>
      </c>
      <c r="W501" s="255"/>
    </row>
    <row r="502" spans="1:34" s="89" customFormat="1" ht="13.9">
      <c r="A502" s="2060"/>
      <c r="B502" s="2060"/>
      <c r="D502" s="778"/>
      <c r="E502" s="1505">
        <v>0</v>
      </c>
      <c r="F502" s="1439" t="str">
        <f>F$128</f>
        <v/>
      </c>
      <c r="G502" s="1440">
        <f>G$128</f>
        <v>0</v>
      </c>
      <c r="H502" s="1440" t="str">
        <f>H$128</f>
        <v>USD</v>
      </c>
      <c r="I502" s="1445" t="s">
        <v>798</v>
      </c>
      <c r="J502" s="1445"/>
      <c r="K502" s="2304">
        <f>-'INC STAT Hist Input'!F30</f>
        <v>0</v>
      </c>
      <c r="L502" s="2304">
        <f>-'INC STAT Hist Input'!G30</f>
        <v>0</v>
      </c>
      <c r="M502" s="2304">
        <f>-'INC STAT Hist Input'!H30</f>
        <v>0</v>
      </c>
      <c r="N502" s="2304">
        <f>-'INC STAT Hist Input'!I30</f>
        <v>0</v>
      </c>
      <c r="O502" s="1469">
        <f>-'INC STAT Hist Input'!J30</f>
        <v>0</v>
      </c>
      <c r="P502" s="2304">
        <f>-'INC STAT Hist Input'!K30</f>
        <v>0</v>
      </c>
      <c r="Q502" s="248"/>
      <c r="R502" s="1467"/>
      <c r="S502" s="2299">
        <f>IFERROR(AVERAGE(K502:$O502),"--")</f>
        <v>0</v>
      </c>
      <c r="T502" s="2299">
        <f>IFERROR(AVERAGE(L502:$O502),"--")</f>
        <v>0</v>
      </c>
      <c r="U502" s="2299">
        <f>IFERROR(AVERAGE(M502:$O502),"--")</f>
        <v>0</v>
      </c>
      <c r="V502" s="2299">
        <f>IFERROR(AVERAGE(N502:$O502),"--")</f>
        <v>0</v>
      </c>
      <c r="AH502" s="2060"/>
    </row>
    <row r="503" spans="1:34" s="89" customFormat="1" ht="13.9">
      <c r="A503" s="269" t="str">
        <f>IF(F503="--","n","")</f>
        <v>n</v>
      </c>
      <c r="B503" s="2060"/>
      <c r="D503" s="801"/>
      <c r="E503" s="1505">
        <v>1</v>
      </c>
      <c r="F503" s="21" t="str">
        <f>F$129</f>
        <v>--</v>
      </c>
      <c r="G503" s="1441">
        <f>G$129</f>
        <v>0</v>
      </c>
      <c r="H503" s="1441" t="str">
        <f>H$129</f>
        <v>--</v>
      </c>
      <c r="I503" s="314" t="s">
        <v>798</v>
      </c>
      <c r="J503" s="314"/>
      <c r="K503" s="2301" t="str">
        <f>IF(OR(K192=0,$G503=0),"--",IFERROR(_xll.ciqfunctions.udf.CIQ($G503,$I503,K100,Valuation_Date_GC,ReportType,DataMode,$H503,FXMode)*Scale,"--"))</f>
        <v>--</v>
      </c>
      <c r="L503" s="2301" t="str">
        <f>IF(OR(L192=0,$G503=0),"--",IFERROR(_xll.ciqfunctions.udf.CIQ($G503,$I503,L100,Valuation_Date_GC,ReportType,DataMode,$H503,FXMode)*Scale,"--"))</f>
        <v>--</v>
      </c>
      <c r="M503" s="2301" t="str">
        <f>IF(OR(M192=0,$G503=0),"--",IFERROR(_xll.ciqfunctions.udf.CIQ($G503,$I503,M100,Valuation_Date_GC,ReportType,DataMode,$H503,FXMode)*Scale,"--"))</f>
        <v>--</v>
      </c>
      <c r="N503" s="2301" t="str">
        <f>IF(OR(N192=0,$G503=0),"--",IFERROR(_xll.ciqfunctions.udf.CIQ($G503,$I503,N100,Valuation_Date_GC,ReportType,DataMode,$H503,FXMode)*Scale,"--"))</f>
        <v>--</v>
      </c>
      <c r="O503" s="1471" t="str">
        <f>IF(OR(O192=0,$G503=0),"--",IFERROR(_xll.ciqfunctions.udf.CIQ($G503,$I503,O100,Valuation_Date_GC,ReportType,DataMode,$H503,FXMode)*Scale,"--"))</f>
        <v>--</v>
      </c>
      <c r="P503" s="2301" t="str">
        <f>IF(OR(P192=0,$G503=0),"--",IFERROR(_xll.ciqfunctions.udf.CIQ($G503,$I503,P100,Valuation_Date_GC,ReportType,DataMode,$H503,FXMode)*Scale,"--"))</f>
        <v>--</v>
      </c>
      <c r="Q503" s="255"/>
      <c r="R503" s="255"/>
      <c r="S503" s="2301" t="str">
        <f>IFERROR(AVERAGE(K503:$O503),"--")</f>
        <v>--</v>
      </c>
      <c r="T503" s="2301" t="str">
        <f>IFERROR(AVERAGE(L503:$O503),"--")</f>
        <v>--</v>
      </c>
      <c r="U503" s="2301" t="str">
        <f>IFERROR(AVERAGE(M503:$O503),"--")</f>
        <v>--</v>
      </c>
      <c r="V503" s="2301" t="str">
        <f>IFERROR(AVERAGE(N503:$O503),"--")</f>
        <v>--</v>
      </c>
      <c r="AG503" s="2060"/>
      <c r="AH503" s="2060"/>
    </row>
    <row r="504" spans="1:34" s="89" customFormat="1" ht="13.9">
      <c r="A504" s="269" t="str">
        <f t="shared" ref="A504:A527" si="151">IF(F504="--","n","")</f>
        <v>n</v>
      </c>
      <c r="B504" s="2060"/>
      <c r="D504" s="801"/>
      <c r="E504" s="1505">
        <v>2</v>
      </c>
      <c r="F504" s="21" t="str">
        <f>F$130</f>
        <v>--</v>
      </c>
      <c r="G504" s="1441">
        <f>G$130</f>
        <v>0</v>
      </c>
      <c r="H504" s="1441" t="str">
        <f>H$130</f>
        <v>--</v>
      </c>
      <c r="I504" s="314" t="s">
        <v>798</v>
      </c>
      <c r="J504" s="314"/>
      <c r="K504" s="2301" t="str">
        <f>IF(OR(K193=0,$G504=0),"--",IFERROR(_xll.ciqfunctions.udf.CIQ($G504,$I504,K101,Valuation_Date_GC,ReportType,DataMode,$H504,FXMode)*Scale,"--"))</f>
        <v>--</v>
      </c>
      <c r="L504" s="2301" t="str">
        <f>IF(OR(L193=0,$G504=0),"--",IFERROR(_xll.ciqfunctions.udf.CIQ($G504,$I504,L101,Valuation_Date_GC,ReportType,DataMode,$H504,FXMode)*Scale,"--"))</f>
        <v>--</v>
      </c>
      <c r="M504" s="2301" t="str">
        <f>IF(OR(M193=0,$G504=0),"--",IFERROR(_xll.ciqfunctions.udf.CIQ($G504,$I504,M101,Valuation_Date_GC,ReportType,DataMode,$H504,FXMode)*Scale,"--"))</f>
        <v>--</v>
      </c>
      <c r="N504" s="2301" t="str">
        <f>IF(OR(N193=0,$G504=0),"--",IFERROR(_xll.ciqfunctions.udf.CIQ($G504,$I504,N101,Valuation_Date_GC,ReportType,DataMode,$H504,FXMode)*Scale,"--"))</f>
        <v>--</v>
      </c>
      <c r="O504" s="1471" t="str">
        <f>IF(OR(O193=0,$G504=0),"--",IFERROR(_xll.ciqfunctions.udf.CIQ($G504,$I504,O101,Valuation_Date_GC,ReportType,DataMode,$H504,FXMode)*Scale,"--"))</f>
        <v>--</v>
      </c>
      <c r="P504" s="2301" t="str">
        <f>IF(OR(P193=0,$G504=0),"--",IFERROR(_xll.ciqfunctions.udf.CIQ($G504,$I504,P101,Valuation_Date_GC,ReportType,DataMode,$H504,FXMode)*Scale,"--"))</f>
        <v>--</v>
      </c>
      <c r="Q504" s="255"/>
      <c r="R504" s="255"/>
      <c r="S504" s="2301" t="str">
        <f>IFERROR(AVERAGE(K504:$O504),"--")</f>
        <v>--</v>
      </c>
      <c r="T504" s="2301" t="str">
        <f>IFERROR(AVERAGE(L504:$O504),"--")</f>
        <v>--</v>
      </c>
      <c r="U504" s="2301" t="str">
        <f>IFERROR(AVERAGE(M504:$O504),"--")</f>
        <v>--</v>
      </c>
      <c r="V504" s="2301" t="str">
        <f>IFERROR(AVERAGE(N504:$O504),"--")</f>
        <v>--</v>
      </c>
      <c r="AG504" s="2060"/>
      <c r="AH504" s="2060"/>
    </row>
    <row r="505" spans="1:34" s="89" customFormat="1" ht="13.9">
      <c r="A505" s="269" t="str">
        <f t="shared" si="151"/>
        <v>n</v>
      </c>
      <c r="B505" s="2060"/>
      <c r="D505" s="801"/>
      <c r="E505" s="1505">
        <v>3</v>
      </c>
      <c r="F505" s="21" t="str">
        <f>F$131</f>
        <v>--</v>
      </c>
      <c r="G505" s="1441">
        <f>G$131</f>
        <v>0</v>
      </c>
      <c r="H505" s="1441" t="str">
        <f>H$131</f>
        <v>--</v>
      </c>
      <c r="I505" s="314" t="s">
        <v>798</v>
      </c>
      <c r="J505" s="314"/>
      <c r="K505" s="2301" t="str">
        <f>IF(OR(K194=0,$G505=0),"--",IFERROR(_xll.ciqfunctions.udf.CIQ($G505,$I505,K102,Valuation_Date_GC,ReportType,DataMode,$H505,FXMode)*Scale,"--"))</f>
        <v>--</v>
      </c>
      <c r="L505" s="2301" t="str">
        <f>IF(OR(L194=0,$G505=0),"--",IFERROR(_xll.ciqfunctions.udf.CIQ($G505,$I505,L102,Valuation_Date_GC,ReportType,DataMode,$H505,FXMode)*Scale,"--"))</f>
        <v>--</v>
      </c>
      <c r="M505" s="2301" t="str">
        <f>IF(OR(M194=0,$G505=0),"--",IFERROR(_xll.ciqfunctions.udf.CIQ($G505,$I505,M102,Valuation_Date_GC,ReportType,DataMode,$H505,FXMode)*Scale,"--"))</f>
        <v>--</v>
      </c>
      <c r="N505" s="2301" t="str">
        <f>IF(OR(N194=0,$G505=0),"--",IFERROR(_xll.ciqfunctions.udf.CIQ($G505,$I505,N102,Valuation_Date_GC,ReportType,DataMode,$H505,FXMode)*Scale,"--"))</f>
        <v>--</v>
      </c>
      <c r="O505" s="1471" t="str">
        <f>IF(OR(O194=0,$G505=0),"--",IFERROR(_xll.ciqfunctions.udf.CIQ($G505,$I505,O102,Valuation_Date_GC,ReportType,DataMode,$H505,FXMode)*Scale,"--"))</f>
        <v>--</v>
      </c>
      <c r="P505" s="2301" t="str">
        <f>IF(OR(P194=0,$G505=0),"--",IFERROR(_xll.ciqfunctions.udf.CIQ($G505,$I505,P102,Valuation_Date_GC,ReportType,DataMode,$H505,FXMode)*Scale,"--"))</f>
        <v>--</v>
      </c>
      <c r="Q505" s="255"/>
      <c r="R505" s="255"/>
      <c r="S505" s="2301" t="str">
        <f>IFERROR(AVERAGE(K505:$O505),"--")</f>
        <v>--</v>
      </c>
      <c r="T505" s="2301" t="str">
        <f>IFERROR(AVERAGE(L505:$O505),"--")</f>
        <v>--</v>
      </c>
      <c r="U505" s="2301" t="str">
        <f>IFERROR(AVERAGE(M505:$O505),"--")</f>
        <v>--</v>
      </c>
      <c r="V505" s="2301" t="str">
        <f>IFERROR(AVERAGE(N505:$O505),"--")</f>
        <v>--</v>
      </c>
      <c r="AG505" s="2060"/>
      <c r="AH505" s="2060"/>
    </row>
    <row r="506" spans="1:34" s="89" customFormat="1" ht="13.9">
      <c r="A506" s="269" t="str">
        <f t="shared" si="151"/>
        <v>n</v>
      </c>
      <c r="B506" s="2060"/>
      <c r="D506" s="801"/>
      <c r="E506" s="1505">
        <v>4</v>
      </c>
      <c r="F506" s="21" t="str">
        <f>F$132</f>
        <v>--</v>
      </c>
      <c r="G506" s="1441">
        <f>G$132</f>
        <v>0</v>
      </c>
      <c r="H506" s="1441" t="str">
        <f>H$132</f>
        <v>--</v>
      </c>
      <c r="I506" s="314" t="s">
        <v>798</v>
      </c>
      <c r="J506" s="314"/>
      <c r="K506" s="2301" t="str">
        <f>IF(OR(K195=0,$G506=0),"--",IFERROR(_xll.ciqfunctions.udf.CIQ($G506,$I506,K103,Valuation_Date_GC,ReportType,DataMode,$H506,FXMode)*Scale,"--"))</f>
        <v>--</v>
      </c>
      <c r="L506" s="2301" t="str">
        <f>IF(OR(L195=0,$G506=0),"--",IFERROR(_xll.ciqfunctions.udf.CIQ($G506,$I506,L103,Valuation_Date_GC,ReportType,DataMode,$H506,FXMode)*Scale,"--"))</f>
        <v>--</v>
      </c>
      <c r="M506" s="2301" t="str">
        <f>IF(OR(M195=0,$G506=0),"--",IFERROR(_xll.ciqfunctions.udf.CIQ($G506,$I506,M103,Valuation_Date_GC,ReportType,DataMode,$H506,FXMode)*Scale,"--"))</f>
        <v>--</v>
      </c>
      <c r="N506" s="2301" t="str">
        <f>IF(OR(N195=0,$G506=0),"--",IFERROR(_xll.ciqfunctions.udf.CIQ($G506,$I506,N103,Valuation_Date_GC,ReportType,DataMode,$H506,FXMode)*Scale,"--"))</f>
        <v>--</v>
      </c>
      <c r="O506" s="1471" t="str">
        <f>IF(OR(O195=0,$G506=0),"--",IFERROR(_xll.ciqfunctions.udf.CIQ($G506,$I506,O103,Valuation_Date_GC,ReportType,DataMode,$H506,FXMode)*Scale,"--"))</f>
        <v>--</v>
      </c>
      <c r="P506" s="2301" t="str">
        <f>IF(OR(P195=0,$G506=0),"--",IFERROR(_xll.ciqfunctions.udf.CIQ($G506,$I506,P103,Valuation_Date_GC,ReportType,DataMode,$H506,FXMode)*Scale,"--"))</f>
        <v>--</v>
      </c>
      <c r="Q506" s="255"/>
      <c r="R506" s="255"/>
      <c r="S506" s="2301" t="str">
        <f>IFERROR(AVERAGE(K506:$O506),"--")</f>
        <v>--</v>
      </c>
      <c r="T506" s="2301" t="str">
        <f>IFERROR(AVERAGE(L506:$O506),"--")</f>
        <v>--</v>
      </c>
      <c r="U506" s="2301" t="str">
        <f>IFERROR(AVERAGE(M506:$O506),"--")</f>
        <v>--</v>
      </c>
      <c r="V506" s="2301" t="str">
        <f>IFERROR(AVERAGE(N506:$O506),"--")</f>
        <v>--</v>
      </c>
      <c r="AG506" s="2060"/>
      <c r="AH506" s="2060"/>
    </row>
    <row r="507" spans="1:34" s="89" customFormat="1" ht="13.9">
      <c r="A507" s="269" t="str">
        <f t="shared" si="151"/>
        <v>n</v>
      </c>
      <c r="B507" s="2060"/>
      <c r="D507" s="801"/>
      <c r="E507" s="1505">
        <v>5</v>
      </c>
      <c r="F507" s="21" t="str">
        <f>F$133</f>
        <v>--</v>
      </c>
      <c r="G507" s="1441">
        <f>G$133</f>
        <v>0</v>
      </c>
      <c r="H507" s="1441" t="str">
        <f>H$133</f>
        <v>--</v>
      </c>
      <c r="I507" s="314" t="s">
        <v>798</v>
      </c>
      <c r="J507" s="314"/>
      <c r="K507" s="2301" t="str">
        <f>IF(OR(K196=0,$G507=0),"--",IFERROR(_xll.ciqfunctions.udf.CIQ($G507,$I507,K104,Valuation_Date_GC,ReportType,DataMode,$H507,FXMode)*Scale,"--"))</f>
        <v>--</v>
      </c>
      <c r="L507" s="2301" t="str">
        <f>IF(OR(L196=0,$G507=0),"--",IFERROR(_xll.ciqfunctions.udf.CIQ($G507,$I507,L104,Valuation_Date_GC,ReportType,DataMode,$H507,FXMode)*Scale,"--"))</f>
        <v>--</v>
      </c>
      <c r="M507" s="2301" t="str">
        <f>IF(OR(M196=0,$G507=0),"--",IFERROR(_xll.ciqfunctions.udf.CIQ($G507,$I507,M104,Valuation_Date_GC,ReportType,DataMode,$H507,FXMode)*Scale,"--"))</f>
        <v>--</v>
      </c>
      <c r="N507" s="2301" t="str">
        <f>IF(OR(N196=0,$G507=0),"--",IFERROR(_xll.ciqfunctions.udf.CIQ($G507,$I507,N104,Valuation_Date_GC,ReportType,DataMode,$H507,FXMode)*Scale,"--"))</f>
        <v>--</v>
      </c>
      <c r="O507" s="1471" t="str">
        <f>IF(OR(O196=0,$G507=0),"--",IFERROR(_xll.ciqfunctions.udf.CIQ($G507,$I507,O104,Valuation_Date_GC,ReportType,DataMode,$H507,FXMode)*Scale,"--"))</f>
        <v>--</v>
      </c>
      <c r="P507" s="2301" t="str">
        <f>IF(OR(P196=0,$G507=0),"--",IFERROR(_xll.ciqfunctions.udf.CIQ($G507,$I507,P104,Valuation_Date_GC,ReportType,DataMode,$H507,FXMode)*Scale,"--"))</f>
        <v>--</v>
      </c>
      <c r="Q507" s="255"/>
      <c r="R507" s="255"/>
      <c r="S507" s="2301" t="str">
        <f>IFERROR(AVERAGE(K507:$O507),"--")</f>
        <v>--</v>
      </c>
      <c r="T507" s="2301" t="str">
        <f>IFERROR(AVERAGE(L507:$O507),"--")</f>
        <v>--</v>
      </c>
      <c r="U507" s="2301" t="str">
        <f>IFERROR(AVERAGE(M507:$O507),"--")</f>
        <v>--</v>
      </c>
      <c r="V507" s="2301" t="str">
        <f>IFERROR(AVERAGE(N507:$O507),"--")</f>
        <v>--</v>
      </c>
      <c r="AG507" s="2060"/>
      <c r="AH507" s="2060"/>
    </row>
    <row r="508" spans="1:34" s="89" customFormat="1" ht="13.9">
      <c r="A508" s="269" t="str">
        <f t="shared" si="151"/>
        <v>n</v>
      </c>
      <c r="B508" s="2060"/>
      <c r="D508" s="801"/>
      <c r="E508" s="1505">
        <v>6</v>
      </c>
      <c r="F508" s="21" t="str">
        <f>F$134</f>
        <v>--</v>
      </c>
      <c r="G508" s="1441">
        <f>G$134</f>
        <v>0</v>
      </c>
      <c r="H508" s="1441" t="str">
        <f>H$134</f>
        <v>--</v>
      </c>
      <c r="I508" s="314" t="s">
        <v>798</v>
      </c>
      <c r="J508" s="314"/>
      <c r="K508" s="2301" t="str">
        <f>IF(OR(K197=0,$G508=0),"--",IFERROR(_xll.ciqfunctions.udf.CIQ($G508,$I508,K105,Valuation_Date_GC,ReportType,DataMode,$H508,FXMode)*Scale,"--"))</f>
        <v>--</v>
      </c>
      <c r="L508" s="2301" t="str">
        <f>IF(OR(L197=0,$G508=0),"--",IFERROR(_xll.ciqfunctions.udf.CIQ($G508,$I508,L105,Valuation_Date_GC,ReportType,DataMode,$H508,FXMode)*Scale,"--"))</f>
        <v>--</v>
      </c>
      <c r="M508" s="2301" t="str">
        <f>IF(OR(M197=0,$G508=0),"--",IFERROR(_xll.ciqfunctions.udf.CIQ($G508,$I508,M105,Valuation_Date_GC,ReportType,DataMode,$H508,FXMode)*Scale,"--"))</f>
        <v>--</v>
      </c>
      <c r="N508" s="2301" t="str">
        <f>IF(OR(N197=0,$G508=0),"--",IFERROR(_xll.ciqfunctions.udf.CIQ($G508,$I508,N105,Valuation_Date_GC,ReportType,DataMode,$H508,FXMode)*Scale,"--"))</f>
        <v>--</v>
      </c>
      <c r="O508" s="1471" t="str">
        <f>IF(OR(O197=0,$G508=0),"--",IFERROR(_xll.ciqfunctions.udf.CIQ($G508,$I508,O105,Valuation_Date_GC,ReportType,DataMode,$H508,FXMode)*Scale,"--"))</f>
        <v>--</v>
      </c>
      <c r="P508" s="2301" t="str">
        <f>IF(OR(P197=0,$G508=0),"--",IFERROR(_xll.ciqfunctions.udf.CIQ($G508,$I508,P105,Valuation_Date_GC,ReportType,DataMode,$H508,FXMode)*Scale,"--"))</f>
        <v>--</v>
      </c>
      <c r="Q508" s="255"/>
      <c r="R508" s="255"/>
      <c r="S508" s="2301" t="str">
        <f>IFERROR(AVERAGE(K508:$O508),"--")</f>
        <v>--</v>
      </c>
      <c r="T508" s="2301" t="str">
        <f>IFERROR(AVERAGE(L508:$O508),"--")</f>
        <v>--</v>
      </c>
      <c r="U508" s="2301" t="str">
        <f>IFERROR(AVERAGE(M508:$O508),"--")</f>
        <v>--</v>
      </c>
      <c r="V508" s="2301" t="str">
        <f>IFERROR(AVERAGE(N508:$O508),"--")</f>
        <v>--</v>
      </c>
      <c r="AG508" s="2060"/>
      <c r="AH508" s="2060"/>
    </row>
    <row r="509" spans="1:34" s="89" customFormat="1" ht="13.9">
      <c r="A509" s="269" t="str">
        <f t="shared" si="151"/>
        <v>n</v>
      </c>
      <c r="B509" s="2060"/>
      <c r="D509" s="801"/>
      <c r="E509" s="1505">
        <v>7</v>
      </c>
      <c r="F509" s="21" t="str">
        <f>F$135</f>
        <v>--</v>
      </c>
      <c r="G509" s="1441">
        <f>G$135</f>
        <v>0</v>
      </c>
      <c r="H509" s="1441" t="str">
        <f>H$135</f>
        <v>--</v>
      </c>
      <c r="I509" s="314" t="s">
        <v>798</v>
      </c>
      <c r="J509" s="314"/>
      <c r="K509" s="2301" t="str">
        <f>IF(OR(K198=0,$G509=0),"--",IFERROR(_xll.ciqfunctions.udf.CIQ($G509,$I509,K106,Valuation_Date_GC,ReportType,DataMode,$H509,FXMode)*Scale,"--"))</f>
        <v>--</v>
      </c>
      <c r="L509" s="2301" t="str">
        <f>IF(OR(L198=0,$G509=0),"--",IFERROR(_xll.ciqfunctions.udf.CIQ($G509,$I509,L106,Valuation_Date_GC,ReportType,DataMode,$H509,FXMode)*Scale,"--"))</f>
        <v>--</v>
      </c>
      <c r="M509" s="2301" t="str">
        <f>IF(OR(M198=0,$G509=0),"--",IFERROR(_xll.ciqfunctions.udf.CIQ($G509,$I509,M106,Valuation_Date_GC,ReportType,DataMode,$H509,FXMode)*Scale,"--"))</f>
        <v>--</v>
      </c>
      <c r="N509" s="2301" t="str">
        <f>IF(OR(N198=0,$G509=0),"--",IFERROR(_xll.ciqfunctions.udf.CIQ($G509,$I509,N106,Valuation_Date_GC,ReportType,DataMode,$H509,FXMode)*Scale,"--"))</f>
        <v>--</v>
      </c>
      <c r="O509" s="1471" t="str">
        <f>IF(OR(O198=0,$G509=0),"--",IFERROR(_xll.ciqfunctions.udf.CIQ($G509,$I509,O106,Valuation_Date_GC,ReportType,DataMode,$H509,FXMode)*Scale,"--"))</f>
        <v>--</v>
      </c>
      <c r="P509" s="2301" t="str">
        <f>IF(OR(P198=0,$G509=0),"--",IFERROR(_xll.ciqfunctions.udf.CIQ($G509,$I509,P106,Valuation_Date_GC,ReportType,DataMode,$H509,FXMode)*Scale,"--"))</f>
        <v>--</v>
      </c>
      <c r="Q509" s="255"/>
      <c r="R509" s="255"/>
      <c r="S509" s="2301" t="str">
        <f>IFERROR(AVERAGE(K509:$O509),"--")</f>
        <v>--</v>
      </c>
      <c r="T509" s="2301" t="str">
        <f>IFERROR(AVERAGE(L509:$O509),"--")</f>
        <v>--</v>
      </c>
      <c r="U509" s="2301" t="str">
        <f>IFERROR(AVERAGE(M509:$O509),"--")</f>
        <v>--</v>
      </c>
      <c r="V509" s="2301" t="str">
        <f>IFERROR(AVERAGE(N509:$O509),"--")</f>
        <v>--</v>
      </c>
      <c r="AG509" s="2060"/>
      <c r="AH509" s="2060"/>
    </row>
    <row r="510" spans="1:34" s="89" customFormat="1" ht="13.9">
      <c r="A510" s="269" t="str">
        <f t="shared" si="151"/>
        <v>n</v>
      </c>
      <c r="B510" s="2060"/>
      <c r="D510" s="801"/>
      <c r="E510" s="1505">
        <v>8</v>
      </c>
      <c r="F510" s="21" t="str">
        <f>F$136</f>
        <v>--</v>
      </c>
      <c r="G510" s="1441">
        <f>G$136</f>
        <v>0</v>
      </c>
      <c r="H510" s="1441" t="str">
        <f>H$136</f>
        <v>--</v>
      </c>
      <c r="I510" s="314" t="s">
        <v>798</v>
      </c>
      <c r="J510" s="314"/>
      <c r="K510" s="2301" t="str">
        <f>IF(OR(K199=0,$G510=0),"--",IFERROR(_xll.ciqfunctions.udf.CIQ($G510,$I510,K107,Valuation_Date_GC,ReportType,DataMode,$H510,FXMode)*Scale,"--"))</f>
        <v>--</v>
      </c>
      <c r="L510" s="2301" t="str">
        <f>IF(OR(L199=0,$G510=0),"--",IFERROR(_xll.ciqfunctions.udf.CIQ($G510,$I510,L107,Valuation_Date_GC,ReportType,DataMode,$H510,FXMode)*Scale,"--"))</f>
        <v>--</v>
      </c>
      <c r="M510" s="2301" t="str">
        <f>IF(OR(M199=0,$G510=0),"--",IFERROR(_xll.ciqfunctions.udf.CIQ($G510,$I510,M107,Valuation_Date_GC,ReportType,DataMode,$H510,FXMode)*Scale,"--"))</f>
        <v>--</v>
      </c>
      <c r="N510" s="2301" t="str">
        <f>IF(OR(N199=0,$G510=0),"--",IFERROR(_xll.ciqfunctions.udf.CIQ($G510,$I510,N107,Valuation_Date_GC,ReportType,DataMode,$H510,FXMode)*Scale,"--"))</f>
        <v>--</v>
      </c>
      <c r="O510" s="1471" t="str">
        <f>IF(OR(O199=0,$G510=0),"--",IFERROR(_xll.ciqfunctions.udf.CIQ($G510,$I510,O107,Valuation_Date_GC,ReportType,DataMode,$H510,FXMode)*Scale,"--"))</f>
        <v>--</v>
      </c>
      <c r="P510" s="2301" t="str">
        <f>IF(OR(P199=0,$G510=0),"--",IFERROR(_xll.ciqfunctions.udf.CIQ($G510,$I510,P107,Valuation_Date_GC,ReportType,DataMode,$H510,FXMode)*Scale,"--"))</f>
        <v>--</v>
      </c>
      <c r="Q510" s="255"/>
      <c r="R510" s="255"/>
      <c r="S510" s="2301" t="str">
        <f>IFERROR(AVERAGE(K510:$O510),"--")</f>
        <v>--</v>
      </c>
      <c r="T510" s="2301" t="str">
        <f>IFERROR(AVERAGE(L510:$O510),"--")</f>
        <v>--</v>
      </c>
      <c r="U510" s="2301" t="str">
        <f>IFERROR(AVERAGE(M510:$O510),"--")</f>
        <v>--</v>
      </c>
      <c r="V510" s="2301" t="str">
        <f>IFERROR(AVERAGE(N510:$O510),"--")</f>
        <v>--</v>
      </c>
      <c r="AG510" s="2060"/>
      <c r="AH510" s="2060"/>
    </row>
    <row r="511" spans="1:34" s="89" customFormat="1" ht="13.9">
      <c r="A511" s="269" t="str">
        <f t="shared" si="151"/>
        <v>n</v>
      </c>
      <c r="B511" s="2060"/>
      <c r="D511" s="801"/>
      <c r="E511" s="1505">
        <v>9</v>
      </c>
      <c r="F511" s="21" t="str">
        <f>F$137</f>
        <v>--</v>
      </c>
      <c r="G511" s="1441">
        <f>G$137</f>
        <v>0</v>
      </c>
      <c r="H511" s="1441" t="str">
        <f>H$137</f>
        <v>--</v>
      </c>
      <c r="I511" s="314" t="s">
        <v>798</v>
      </c>
      <c r="J511" s="314"/>
      <c r="K511" s="2301" t="str">
        <f>IF(OR(K200=0,$G511=0),"--",IFERROR(_xll.ciqfunctions.udf.CIQ($G511,$I511,K108,Valuation_Date_GC,ReportType,DataMode,$H511,FXMode)*Scale,"--"))</f>
        <v>--</v>
      </c>
      <c r="L511" s="2301" t="str">
        <f>IF(OR(L200=0,$G511=0),"--",IFERROR(_xll.ciqfunctions.udf.CIQ($G511,$I511,L108,Valuation_Date_GC,ReportType,DataMode,$H511,FXMode)*Scale,"--"))</f>
        <v>--</v>
      </c>
      <c r="M511" s="2301" t="str">
        <f>IF(OR(M200=0,$G511=0),"--",IFERROR(_xll.ciqfunctions.udf.CIQ($G511,$I511,M108,Valuation_Date_GC,ReportType,DataMode,$H511,FXMode)*Scale,"--"))</f>
        <v>--</v>
      </c>
      <c r="N511" s="2301" t="str">
        <f>IF(OR(N200=0,$G511=0),"--",IFERROR(_xll.ciqfunctions.udf.CIQ($G511,$I511,N108,Valuation_Date_GC,ReportType,DataMode,$H511,FXMode)*Scale,"--"))</f>
        <v>--</v>
      </c>
      <c r="O511" s="1471" t="str">
        <f>IF(OR(O200=0,$G511=0),"--",IFERROR(_xll.ciqfunctions.udf.CIQ($G511,$I511,O108,Valuation_Date_GC,ReportType,DataMode,$H511,FXMode)*Scale,"--"))</f>
        <v>--</v>
      </c>
      <c r="P511" s="2301" t="str">
        <f>IF(OR(P200=0,$G511=0),"--",IFERROR(_xll.ciqfunctions.udf.CIQ($G511,$I511,P108,Valuation_Date_GC,ReportType,DataMode,$H511,FXMode)*Scale,"--"))</f>
        <v>--</v>
      </c>
      <c r="Q511" s="255"/>
      <c r="R511" s="255"/>
      <c r="S511" s="2301" t="str">
        <f>IFERROR(AVERAGE(K511:$O511),"--")</f>
        <v>--</v>
      </c>
      <c r="T511" s="2301" t="str">
        <f>IFERROR(AVERAGE(L511:$O511),"--")</f>
        <v>--</v>
      </c>
      <c r="U511" s="2301" t="str">
        <f>IFERROR(AVERAGE(M511:$O511),"--")</f>
        <v>--</v>
      </c>
      <c r="V511" s="2301" t="str">
        <f>IFERROR(AVERAGE(N511:$O511),"--")</f>
        <v>--</v>
      </c>
      <c r="AG511" s="2060"/>
      <c r="AH511" s="2060"/>
    </row>
    <row r="512" spans="1:34" s="89" customFormat="1" ht="13.9">
      <c r="A512" s="269" t="str">
        <f t="shared" si="151"/>
        <v>n</v>
      </c>
      <c r="B512" s="2060"/>
      <c r="D512" s="801"/>
      <c r="E512" s="1505">
        <v>10</v>
      </c>
      <c r="F512" s="21" t="str">
        <f>F$138</f>
        <v>--</v>
      </c>
      <c r="G512" s="1441">
        <f>G$138</f>
        <v>0</v>
      </c>
      <c r="H512" s="1441" t="str">
        <f>H$138</f>
        <v>--</v>
      </c>
      <c r="I512" s="314" t="s">
        <v>798</v>
      </c>
      <c r="J512" s="314"/>
      <c r="K512" s="2301" t="str">
        <f>IF(OR(K201=0,$G512=0),"--",IFERROR(_xll.ciqfunctions.udf.CIQ($G512,$I512,K109,Valuation_Date_GC,ReportType,DataMode,$H512,FXMode)*Scale,"--"))</f>
        <v>--</v>
      </c>
      <c r="L512" s="2301" t="str">
        <f>IF(OR(L201=0,$G512=0),"--",IFERROR(_xll.ciqfunctions.udf.CIQ($G512,$I512,L109,Valuation_Date_GC,ReportType,DataMode,$H512,FXMode)*Scale,"--"))</f>
        <v>--</v>
      </c>
      <c r="M512" s="2301" t="str">
        <f>IF(OR(M201=0,$G512=0),"--",IFERROR(_xll.ciqfunctions.udf.CIQ($G512,$I512,M109,Valuation_Date_GC,ReportType,DataMode,$H512,FXMode)*Scale,"--"))</f>
        <v>--</v>
      </c>
      <c r="N512" s="2301" t="str">
        <f>IF(OR(N201=0,$G512=0),"--",IFERROR(_xll.ciqfunctions.udf.CIQ($G512,$I512,N109,Valuation_Date_GC,ReportType,DataMode,$H512,FXMode)*Scale,"--"))</f>
        <v>--</v>
      </c>
      <c r="O512" s="1471" t="str">
        <f>IF(OR(O201=0,$G512=0),"--",IFERROR(_xll.ciqfunctions.udf.CIQ($G512,$I512,O109,Valuation_Date_GC,ReportType,DataMode,$H512,FXMode)*Scale,"--"))</f>
        <v>--</v>
      </c>
      <c r="P512" s="2301" t="str">
        <f>IF(OR(P201=0,$G512=0),"--",IFERROR(_xll.ciqfunctions.udf.CIQ($G512,$I512,P109,Valuation_Date_GC,ReportType,DataMode,$H512,FXMode)*Scale,"--"))</f>
        <v>--</v>
      </c>
      <c r="Q512" s="255"/>
      <c r="R512" s="255"/>
      <c r="S512" s="2301" t="str">
        <f>IFERROR(AVERAGE(K512:$O512),"--")</f>
        <v>--</v>
      </c>
      <c r="T512" s="2301" t="str">
        <f>IFERROR(AVERAGE(L512:$O512),"--")</f>
        <v>--</v>
      </c>
      <c r="U512" s="2301" t="str">
        <f>IFERROR(AVERAGE(M512:$O512),"--")</f>
        <v>--</v>
      </c>
      <c r="V512" s="2301" t="str">
        <f>IFERROR(AVERAGE(N512:$O512),"--")</f>
        <v>--</v>
      </c>
      <c r="AG512" s="2060"/>
      <c r="AH512" s="2060"/>
    </row>
    <row r="513" spans="1:34" s="89" customFormat="1" ht="13.9">
      <c r="A513" s="269" t="str">
        <f t="shared" si="151"/>
        <v>n</v>
      </c>
      <c r="B513" s="2060"/>
      <c r="D513" s="801"/>
      <c r="E513" s="1505">
        <v>11</v>
      </c>
      <c r="F513" s="21" t="str">
        <f>F$139</f>
        <v>--</v>
      </c>
      <c r="G513" s="1441">
        <f>G$139</f>
        <v>0</v>
      </c>
      <c r="H513" s="1441" t="str">
        <f>H$139</f>
        <v>--</v>
      </c>
      <c r="I513" s="314" t="s">
        <v>798</v>
      </c>
      <c r="J513" s="314"/>
      <c r="K513" s="2301" t="str">
        <f>IF(OR(K202=0,$G513=0),"--",IFERROR(_xll.ciqfunctions.udf.CIQ($G513,$I513,K110,Valuation_Date_GC,ReportType,DataMode,$H513,FXMode)*Scale,"--"))</f>
        <v>--</v>
      </c>
      <c r="L513" s="2301" t="str">
        <f>IF(OR(L202=0,$G513=0),"--",IFERROR(_xll.ciqfunctions.udf.CIQ($G513,$I513,L110,Valuation_Date_GC,ReportType,DataMode,$H513,FXMode)*Scale,"--"))</f>
        <v>--</v>
      </c>
      <c r="M513" s="2301" t="str">
        <f>IF(OR(M202=0,$G513=0),"--",IFERROR(_xll.ciqfunctions.udf.CIQ($G513,$I513,M110,Valuation_Date_GC,ReportType,DataMode,$H513,FXMode)*Scale,"--"))</f>
        <v>--</v>
      </c>
      <c r="N513" s="2301" t="str">
        <f>IF(OR(N202=0,$G513=0),"--",IFERROR(_xll.ciqfunctions.udf.CIQ($G513,$I513,N110,Valuation_Date_GC,ReportType,DataMode,$H513,FXMode)*Scale,"--"))</f>
        <v>--</v>
      </c>
      <c r="O513" s="1471" t="str">
        <f>IF(OR(O202=0,$G513=0),"--",IFERROR(_xll.ciqfunctions.udf.CIQ($G513,$I513,O110,Valuation_Date_GC,ReportType,DataMode,$H513,FXMode)*Scale,"--"))</f>
        <v>--</v>
      </c>
      <c r="P513" s="2301" t="str">
        <f>IF(OR(P202=0,$G513=0),"--",IFERROR(_xll.ciqfunctions.udf.CIQ($G513,$I513,P110,Valuation_Date_GC,ReportType,DataMode,$H513,FXMode)*Scale,"--"))</f>
        <v>--</v>
      </c>
      <c r="Q513" s="255"/>
      <c r="R513" s="255"/>
      <c r="S513" s="2301" t="str">
        <f>IFERROR(AVERAGE(K513:$O513),"--")</f>
        <v>--</v>
      </c>
      <c r="T513" s="2301" t="str">
        <f>IFERROR(AVERAGE(L513:$O513),"--")</f>
        <v>--</v>
      </c>
      <c r="U513" s="2301" t="str">
        <f>IFERROR(AVERAGE(M513:$O513),"--")</f>
        <v>--</v>
      </c>
      <c r="V513" s="2301" t="str">
        <f>IFERROR(AVERAGE(N513:$O513),"--")</f>
        <v>--</v>
      </c>
      <c r="AG513" s="2060"/>
      <c r="AH513" s="2060"/>
    </row>
    <row r="514" spans="1:34" s="89" customFormat="1" ht="13.9">
      <c r="A514" s="269" t="str">
        <f t="shared" si="151"/>
        <v>n</v>
      </c>
      <c r="B514" s="2060"/>
      <c r="D514" s="801"/>
      <c r="E514" s="1505">
        <v>12</v>
      </c>
      <c r="F514" s="21" t="str">
        <f>F$140</f>
        <v>--</v>
      </c>
      <c r="G514" s="1441">
        <f>G$140</f>
        <v>0</v>
      </c>
      <c r="H514" s="1441" t="str">
        <f>H$140</f>
        <v>--</v>
      </c>
      <c r="I514" s="314" t="s">
        <v>798</v>
      </c>
      <c r="J514" s="314"/>
      <c r="K514" s="2301" t="str">
        <f>IF(OR(K203=0,$G514=0),"--",IFERROR(_xll.ciqfunctions.udf.CIQ($G514,$I514,K111,Valuation_Date_GC,ReportType,DataMode,$H514,FXMode)*Scale,"--"))</f>
        <v>--</v>
      </c>
      <c r="L514" s="2301" t="str">
        <f>IF(OR(L203=0,$G514=0),"--",IFERROR(_xll.ciqfunctions.udf.CIQ($G514,$I514,L111,Valuation_Date_GC,ReportType,DataMode,$H514,FXMode)*Scale,"--"))</f>
        <v>--</v>
      </c>
      <c r="M514" s="2301" t="str">
        <f>IF(OR(M203=0,$G514=0),"--",IFERROR(_xll.ciqfunctions.udf.CIQ($G514,$I514,M111,Valuation_Date_GC,ReportType,DataMode,$H514,FXMode)*Scale,"--"))</f>
        <v>--</v>
      </c>
      <c r="N514" s="2301" t="str">
        <f>IF(OR(N203=0,$G514=0),"--",IFERROR(_xll.ciqfunctions.udf.CIQ($G514,$I514,N111,Valuation_Date_GC,ReportType,DataMode,$H514,FXMode)*Scale,"--"))</f>
        <v>--</v>
      </c>
      <c r="O514" s="1471" t="str">
        <f>IF(OR(O203=0,$G514=0),"--",IFERROR(_xll.ciqfunctions.udf.CIQ($G514,$I514,O111,Valuation_Date_GC,ReportType,DataMode,$H514,FXMode)*Scale,"--"))</f>
        <v>--</v>
      </c>
      <c r="P514" s="2301" t="str">
        <f>IF(OR(P203=0,$G514=0),"--",IFERROR(_xll.ciqfunctions.udf.CIQ($G514,$I514,P111,Valuation_Date_GC,ReportType,DataMode,$H514,FXMode)*Scale,"--"))</f>
        <v>--</v>
      </c>
      <c r="Q514" s="255"/>
      <c r="R514" s="255"/>
      <c r="S514" s="2301" t="str">
        <f>IFERROR(AVERAGE(K514:$O514),"--")</f>
        <v>--</v>
      </c>
      <c r="T514" s="2301" t="str">
        <f>IFERROR(AVERAGE(L514:$O514),"--")</f>
        <v>--</v>
      </c>
      <c r="U514" s="2301" t="str">
        <f>IFERROR(AVERAGE(M514:$O514),"--")</f>
        <v>--</v>
      </c>
      <c r="V514" s="2301" t="str">
        <f>IFERROR(AVERAGE(N514:$O514),"--")</f>
        <v>--</v>
      </c>
      <c r="AG514" s="2060"/>
      <c r="AH514" s="2060"/>
    </row>
    <row r="515" spans="1:34" s="89" customFormat="1" ht="13.9">
      <c r="A515" s="269" t="str">
        <f t="shared" si="151"/>
        <v>n</v>
      </c>
      <c r="B515" s="2060"/>
      <c r="D515" s="801"/>
      <c r="E515" s="1505">
        <v>13</v>
      </c>
      <c r="F515" s="21" t="str">
        <f>F$141</f>
        <v>--</v>
      </c>
      <c r="G515" s="1441">
        <f>G$141</f>
        <v>0</v>
      </c>
      <c r="H515" s="1441" t="str">
        <f>H$141</f>
        <v>--</v>
      </c>
      <c r="I515" s="314" t="s">
        <v>798</v>
      </c>
      <c r="J515" s="314"/>
      <c r="K515" s="2301" t="str">
        <f>IF(OR(K204=0,$G515=0),"--",IFERROR(_xll.ciqfunctions.udf.CIQ($G515,$I515,K112,Valuation_Date_GC,ReportType,DataMode,$H515,FXMode)*Scale,"--"))</f>
        <v>--</v>
      </c>
      <c r="L515" s="2301" t="str">
        <f>IF(OR(L204=0,$G515=0),"--",IFERROR(_xll.ciqfunctions.udf.CIQ($G515,$I515,L112,Valuation_Date_GC,ReportType,DataMode,$H515,FXMode)*Scale,"--"))</f>
        <v>--</v>
      </c>
      <c r="M515" s="2301" t="str">
        <f>IF(OR(M204=0,$G515=0),"--",IFERROR(_xll.ciqfunctions.udf.CIQ($G515,$I515,M112,Valuation_Date_GC,ReportType,DataMode,$H515,FXMode)*Scale,"--"))</f>
        <v>--</v>
      </c>
      <c r="N515" s="2301" t="str">
        <f>IF(OR(N204=0,$G515=0),"--",IFERROR(_xll.ciqfunctions.udf.CIQ($G515,$I515,N112,Valuation_Date_GC,ReportType,DataMode,$H515,FXMode)*Scale,"--"))</f>
        <v>--</v>
      </c>
      <c r="O515" s="1471" t="str">
        <f>IF(OR(O204=0,$G515=0),"--",IFERROR(_xll.ciqfunctions.udf.CIQ($G515,$I515,O112,Valuation_Date_GC,ReportType,DataMode,$H515,FXMode)*Scale,"--"))</f>
        <v>--</v>
      </c>
      <c r="P515" s="2301" t="str">
        <f>IF(OR(P204=0,$G515=0),"--",IFERROR(_xll.ciqfunctions.udf.CIQ($G515,$I515,P112,Valuation_Date_GC,ReportType,DataMode,$H515,FXMode)*Scale,"--"))</f>
        <v>--</v>
      </c>
      <c r="Q515" s="255"/>
      <c r="R515" s="255"/>
      <c r="S515" s="2301" t="str">
        <f>IFERROR(AVERAGE(K515:$O515),"--")</f>
        <v>--</v>
      </c>
      <c r="T515" s="2301" t="str">
        <f>IFERROR(AVERAGE(L515:$O515),"--")</f>
        <v>--</v>
      </c>
      <c r="U515" s="2301" t="str">
        <f>IFERROR(AVERAGE(M515:$O515),"--")</f>
        <v>--</v>
      </c>
      <c r="V515" s="2301" t="str">
        <f>IFERROR(AVERAGE(N515:$O515),"--")</f>
        <v>--</v>
      </c>
      <c r="AG515" s="2060"/>
      <c r="AH515" s="2060"/>
    </row>
    <row r="516" spans="1:34" s="89" customFormat="1" ht="13.9">
      <c r="A516" s="269" t="str">
        <f t="shared" si="151"/>
        <v>n</v>
      </c>
      <c r="B516" s="2060"/>
      <c r="D516" s="801"/>
      <c r="E516" s="1505">
        <v>14</v>
      </c>
      <c r="F516" s="21" t="str">
        <f>F$142</f>
        <v>--</v>
      </c>
      <c r="G516" s="1441">
        <f>G$142</f>
        <v>0</v>
      </c>
      <c r="H516" s="1441" t="str">
        <f>H$142</f>
        <v>--</v>
      </c>
      <c r="I516" s="314" t="s">
        <v>798</v>
      </c>
      <c r="J516" s="314"/>
      <c r="K516" s="2301" t="str">
        <f>IF(OR(K205=0,$G516=0),"--",IFERROR(_xll.ciqfunctions.udf.CIQ($G516,$I516,K113,Valuation_Date_GC,ReportType,DataMode,$H516,FXMode)*Scale,"--"))</f>
        <v>--</v>
      </c>
      <c r="L516" s="2301" t="str">
        <f>IF(OR(L205=0,$G516=0),"--",IFERROR(_xll.ciqfunctions.udf.CIQ($G516,$I516,L113,Valuation_Date_GC,ReportType,DataMode,$H516,FXMode)*Scale,"--"))</f>
        <v>--</v>
      </c>
      <c r="M516" s="2301" t="str">
        <f>IF(OR(M205=0,$G516=0),"--",IFERROR(_xll.ciqfunctions.udf.CIQ($G516,$I516,M113,Valuation_Date_GC,ReportType,DataMode,$H516,FXMode)*Scale,"--"))</f>
        <v>--</v>
      </c>
      <c r="N516" s="2301" t="str">
        <f>IF(OR(N205=0,$G516=0),"--",IFERROR(_xll.ciqfunctions.udf.CIQ($G516,$I516,N113,Valuation_Date_GC,ReportType,DataMode,$H516,FXMode)*Scale,"--"))</f>
        <v>--</v>
      </c>
      <c r="O516" s="1471" t="str">
        <f>IF(OR(O205=0,$G516=0),"--",IFERROR(_xll.ciqfunctions.udf.CIQ($G516,$I516,O113,Valuation_Date_GC,ReportType,DataMode,$H516,FXMode)*Scale,"--"))</f>
        <v>--</v>
      </c>
      <c r="P516" s="2301" t="str">
        <f>IF(OR(P205=0,$G516=0),"--",IFERROR(_xll.ciqfunctions.udf.CIQ($G516,$I516,P113,Valuation_Date_GC,ReportType,DataMode,$H516,FXMode)*Scale,"--"))</f>
        <v>--</v>
      </c>
      <c r="Q516" s="255"/>
      <c r="R516" s="255"/>
      <c r="S516" s="2301" t="str">
        <f>IFERROR(AVERAGE(K516:$O516),"--")</f>
        <v>--</v>
      </c>
      <c r="T516" s="2301" t="str">
        <f>IFERROR(AVERAGE(L516:$O516),"--")</f>
        <v>--</v>
      </c>
      <c r="U516" s="2301" t="str">
        <f>IFERROR(AVERAGE(M516:$O516),"--")</f>
        <v>--</v>
      </c>
      <c r="V516" s="2301" t="str">
        <f>IFERROR(AVERAGE(N516:$O516),"--")</f>
        <v>--</v>
      </c>
      <c r="AG516" s="2060"/>
      <c r="AH516" s="2060"/>
    </row>
    <row r="517" spans="1:34" s="89" customFormat="1" ht="13.9">
      <c r="A517" s="269" t="str">
        <f t="shared" si="151"/>
        <v>n</v>
      </c>
      <c r="B517" s="2060"/>
      <c r="D517" s="801"/>
      <c r="E517" s="1505">
        <v>15</v>
      </c>
      <c r="F517" s="21" t="str">
        <f>F$143</f>
        <v>--</v>
      </c>
      <c r="G517" s="1441">
        <f>G$143</f>
        <v>0</v>
      </c>
      <c r="H517" s="1441" t="str">
        <f>H$143</f>
        <v>--</v>
      </c>
      <c r="I517" s="314" t="s">
        <v>798</v>
      </c>
      <c r="J517" s="314"/>
      <c r="K517" s="2301" t="str">
        <f>IF(OR(K206=0,$G517=0),"--",IFERROR(_xll.ciqfunctions.udf.CIQ($G517,$I517,K114,Valuation_Date_GC,ReportType,DataMode,$H517,FXMode)*Scale,"--"))</f>
        <v>--</v>
      </c>
      <c r="L517" s="2301" t="str">
        <f>IF(OR(L206=0,$G517=0),"--",IFERROR(_xll.ciqfunctions.udf.CIQ($G517,$I517,L114,Valuation_Date_GC,ReportType,DataMode,$H517,FXMode)*Scale,"--"))</f>
        <v>--</v>
      </c>
      <c r="M517" s="2301" t="str">
        <f>IF(OR(M206=0,$G517=0),"--",IFERROR(_xll.ciqfunctions.udf.CIQ($G517,$I517,M114,Valuation_Date_GC,ReportType,DataMode,$H517,FXMode)*Scale,"--"))</f>
        <v>--</v>
      </c>
      <c r="N517" s="2301" t="str">
        <f>IF(OR(N206=0,$G517=0),"--",IFERROR(_xll.ciqfunctions.udf.CIQ($G517,$I517,N114,Valuation_Date_GC,ReportType,DataMode,$H517,FXMode)*Scale,"--"))</f>
        <v>--</v>
      </c>
      <c r="O517" s="1471" t="str">
        <f>IF(OR(O206=0,$G517=0),"--",IFERROR(_xll.ciqfunctions.udf.CIQ($G517,$I517,O114,Valuation_Date_GC,ReportType,DataMode,$H517,FXMode)*Scale,"--"))</f>
        <v>--</v>
      </c>
      <c r="P517" s="2301" t="str">
        <f>IF(OR(P206=0,$G517=0),"--",IFERROR(_xll.ciqfunctions.udf.CIQ($G517,$I517,P114,Valuation_Date_GC,ReportType,DataMode,$H517,FXMode)*Scale,"--"))</f>
        <v>--</v>
      </c>
      <c r="Q517" s="255"/>
      <c r="R517" s="255"/>
      <c r="S517" s="2301" t="str">
        <f>IFERROR(AVERAGE(K517:$O517),"--")</f>
        <v>--</v>
      </c>
      <c r="T517" s="2301" t="str">
        <f>IFERROR(AVERAGE(L517:$O517),"--")</f>
        <v>--</v>
      </c>
      <c r="U517" s="2301" t="str">
        <f>IFERROR(AVERAGE(M517:$O517),"--")</f>
        <v>--</v>
      </c>
      <c r="V517" s="2301" t="str">
        <f>IFERROR(AVERAGE(N517:$O517),"--")</f>
        <v>--</v>
      </c>
      <c r="AG517" s="2060"/>
      <c r="AH517" s="2060"/>
    </row>
    <row r="518" spans="1:34" s="89" customFormat="1" ht="13.9">
      <c r="A518" s="269" t="str">
        <f t="shared" si="151"/>
        <v>n</v>
      </c>
      <c r="B518" s="2060"/>
      <c r="D518" s="801"/>
      <c r="E518" s="1505">
        <v>16</v>
      </c>
      <c r="F518" s="21" t="str">
        <f>F$144</f>
        <v>--</v>
      </c>
      <c r="G518" s="1441">
        <f>G$144</f>
        <v>0</v>
      </c>
      <c r="H518" s="1441" t="str">
        <f>H$144</f>
        <v>--</v>
      </c>
      <c r="I518" s="314" t="s">
        <v>798</v>
      </c>
      <c r="J518" s="314"/>
      <c r="K518" s="2301" t="str">
        <f>IF(OR(K207=0,$G518=0),"--",IFERROR(_xll.ciqfunctions.udf.CIQ($G518,$I518,K115,Valuation_Date_GC,ReportType,DataMode,$H518,FXMode)*Scale,"--"))</f>
        <v>--</v>
      </c>
      <c r="L518" s="2301" t="str">
        <f>IF(OR(L207=0,$G518=0),"--",IFERROR(_xll.ciqfunctions.udf.CIQ($G518,$I518,L115,Valuation_Date_GC,ReportType,DataMode,$H518,FXMode)*Scale,"--"))</f>
        <v>--</v>
      </c>
      <c r="M518" s="2301" t="str">
        <f>IF(OR(M207=0,$G518=0),"--",IFERROR(_xll.ciqfunctions.udf.CIQ($G518,$I518,M115,Valuation_Date_GC,ReportType,DataMode,$H518,FXMode)*Scale,"--"))</f>
        <v>--</v>
      </c>
      <c r="N518" s="2301" t="str">
        <f>IF(OR(N207=0,$G518=0),"--",IFERROR(_xll.ciqfunctions.udf.CIQ($G518,$I518,N115,Valuation_Date_GC,ReportType,DataMode,$H518,FXMode)*Scale,"--"))</f>
        <v>--</v>
      </c>
      <c r="O518" s="1471" t="str">
        <f>IF(OR(O207=0,$G518=0),"--",IFERROR(_xll.ciqfunctions.udf.CIQ($G518,$I518,O115,Valuation_Date_GC,ReportType,DataMode,$H518,FXMode)*Scale,"--"))</f>
        <v>--</v>
      </c>
      <c r="P518" s="2301" t="str">
        <f>IF(OR(P207=0,$G518=0),"--",IFERROR(_xll.ciqfunctions.udf.CIQ($G518,$I518,P115,Valuation_Date_GC,ReportType,DataMode,$H518,FXMode)*Scale,"--"))</f>
        <v>--</v>
      </c>
      <c r="Q518" s="255"/>
      <c r="R518" s="255"/>
      <c r="S518" s="2301" t="str">
        <f>IFERROR(AVERAGE(K518:$O518),"--")</f>
        <v>--</v>
      </c>
      <c r="T518" s="2301" t="str">
        <f>IFERROR(AVERAGE(L518:$O518),"--")</f>
        <v>--</v>
      </c>
      <c r="U518" s="2301" t="str">
        <f>IFERROR(AVERAGE(M518:$O518),"--")</f>
        <v>--</v>
      </c>
      <c r="V518" s="2301" t="str">
        <f>IFERROR(AVERAGE(N518:$O518),"--")</f>
        <v>--</v>
      </c>
      <c r="AG518" s="2060"/>
      <c r="AH518" s="2060"/>
    </row>
    <row r="519" spans="1:34" s="89" customFormat="1" ht="13.9">
      <c r="A519" s="269" t="str">
        <f t="shared" si="151"/>
        <v>n</v>
      </c>
      <c r="B519" s="2060"/>
      <c r="D519" s="801"/>
      <c r="E519" s="1505">
        <v>17</v>
      </c>
      <c r="F519" s="21" t="str">
        <f>F$145</f>
        <v>--</v>
      </c>
      <c r="G519" s="1441">
        <f>G$145</f>
        <v>0</v>
      </c>
      <c r="H519" s="1441" t="str">
        <f>H$145</f>
        <v>--</v>
      </c>
      <c r="I519" s="314" t="s">
        <v>798</v>
      </c>
      <c r="J519" s="314"/>
      <c r="K519" s="2301" t="str">
        <f>IF(OR(K208=0,$G519=0),"--",IFERROR(_xll.ciqfunctions.udf.CIQ($G519,$I519,K116,Valuation_Date_GC,ReportType,DataMode,$H519,FXMode)*Scale,"--"))</f>
        <v>--</v>
      </c>
      <c r="L519" s="2301" t="str">
        <f>IF(OR(L208=0,$G519=0),"--",IFERROR(_xll.ciqfunctions.udf.CIQ($G519,$I519,L116,Valuation_Date_GC,ReportType,DataMode,$H519,FXMode)*Scale,"--"))</f>
        <v>--</v>
      </c>
      <c r="M519" s="2301" t="str">
        <f>IF(OR(M208=0,$G519=0),"--",IFERROR(_xll.ciqfunctions.udf.CIQ($G519,$I519,M116,Valuation_Date_GC,ReportType,DataMode,$H519,FXMode)*Scale,"--"))</f>
        <v>--</v>
      </c>
      <c r="N519" s="2301" t="str">
        <f>IF(OR(N208=0,$G519=0),"--",IFERROR(_xll.ciqfunctions.udf.CIQ($G519,$I519,N116,Valuation_Date_GC,ReportType,DataMode,$H519,FXMode)*Scale,"--"))</f>
        <v>--</v>
      </c>
      <c r="O519" s="1471" t="str">
        <f>IF(OR(O208=0,$G519=0),"--",IFERROR(_xll.ciqfunctions.udf.CIQ($G519,$I519,O116,Valuation_Date_GC,ReportType,DataMode,$H519,FXMode)*Scale,"--"))</f>
        <v>--</v>
      </c>
      <c r="P519" s="2301" t="str">
        <f>IF(OR(P208=0,$G519=0),"--",IFERROR(_xll.ciqfunctions.udf.CIQ($G519,$I519,P116,Valuation_Date_GC,ReportType,DataMode,$H519,FXMode)*Scale,"--"))</f>
        <v>--</v>
      </c>
      <c r="Q519" s="255"/>
      <c r="R519" s="255"/>
      <c r="S519" s="2301" t="str">
        <f>IFERROR(AVERAGE(K519:$O519),"--")</f>
        <v>--</v>
      </c>
      <c r="T519" s="2301" t="str">
        <f>IFERROR(AVERAGE(L519:$O519),"--")</f>
        <v>--</v>
      </c>
      <c r="U519" s="2301" t="str">
        <f>IFERROR(AVERAGE(M519:$O519),"--")</f>
        <v>--</v>
      </c>
      <c r="V519" s="2301" t="str">
        <f>IFERROR(AVERAGE(N519:$O519),"--")</f>
        <v>--</v>
      </c>
      <c r="AG519" s="2060"/>
      <c r="AH519" s="2060"/>
    </row>
    <row r="520" spans="1:34" s="89" customFormat="1" ht="13.9">
      <c r="A520" s="269" t="str">
        <f t="shared" si="151"/>
        <v>n</v>
      </c>
      <c r="B520" s="2060"/>
      <c r="D520" s="801"/>
      <c r="E520" s="1505">
        <v>18</v>
      </c>
      <c r="F520" s="21" t="str">
        <f>F$146</f>
        <v>--</v>
      </c>
      <c r="G520" s="1441">
        <f>G$146</f>
        <v>0</v>
      </c>
      <c r="H520" s="1441" t="str">
        <f>H$146</f>
        <v>--</v>
      </c>
      <c r="I520" s="314" t="s">
        <v>798</v>
      </c>
      <c r="J520" s="314"/>
      <c r="K520" s="2301" t="str">
        <f>IF(OR(K209=0,$G520=0),"--",IFERROR(_xll.ciqfunctions.udf.CIQ($G520,$I520,K117,Valuation_Date_GC,ReportType,DataMode,$H520,FXMode)*Scale,"--"))</f>
        <v>--</v>
      </c>
      <c r="L520" s="2301" t="str">
        <f>IF(OR(L209=0,$G520=0),"--",IFERROR(_xll.ciqfunctions.udf.CIQ($G520,$I520,L117,Valuation_Date_GC,ReportType,DataMode,$H520,FXMode)*Scale,"--"))</f>
        <v>--</v>
      </c>
      <c r="M520" s="2301" t="str">
        <f>IF(OR(M209=0,$G520=0),"--",IFERROR(_xll.ciqfunctions.udf.CIQ($G520,$I520,M117,Valuation_Date_GC,ReportType,DataMode,$H520,FXMode)*Scale,"--"))</f>
        <v>--</v>
      </c>
      <c r="N520" s="2301" t="str">
        <f>IF(OR(N209=0,$G520=0),"--",IFERROR(_xll.ciqfunctions.udf.CIQ($G520,$I520,N117,Valuation_Date_GC,ReportType,DataMode,$H520,FXMode)*Scale,"--"))</f>
        <v>--</v>
      </c>
      <c r="O520" s="1471" t="str">
        <f>IF(OR(O209=0,$G520=0),"--",IFERROR(_xll.ciqfunctions.udf.CIQ($G520,$I520,O117,Valuation_Date_GC,ReportType,DataMode,$H520,FXMode)*Scale,"--"))</f>
        <v>--</v>
      </c>
      <c r="P520" s="2301" t="str">
        <f>IF(OR(P209=0,$G520=0),"--",IFERROR(_xll.ciqfunctions.udf.CIQ($G520,$I520,P117,Valuation_Date_GC,ReportType,DataMode,$H520,FXMode)*Scale,"--"))</f>
        <v>--</v>
      </c>
      <c r="Q520" s="255"/>
      <c r="R520" s="255"/>
      <c r="S520" s="2301" t="str">
        <f>IFERROR(AVERAGE(K520:$O520),"--")</f>
        <v>--</v>
      </c>
      <c r="T520" s="2301" t="str">
        <f>IFERROR(AVERAGE(L520:$O520),"--")</f>
        <v>--</v>
      </c>
      <c r="U520" s="2301" t="str">
        <f>IFERROR(AVERAGE(M520:$O520),"--")</f>
        <v>--</v>
      </c>
      <c r="V520" s="2301" t="str">
        <f>IFERROR(AVERAGE(N520:$O520),"--")</f>
        <v>--</v>
      </c>
      <c r="AG520" s="2060"/>
      <c r="AH520" s="2060"/>
    </row>
    <row r="521" spans="1:34" s="89" customFormat="1" ht="13.9">
      <c r="A521" s="269" t="str">
        <f t="shared" si="151"/>
        <v>n</v>
      </c>
      <c r="B521" s="2060"/>
      <c r="D521" s="801"/>
      <c r="E521" s="1505">
        <v>19</v>
      </c>
      <c r="F521" s="21" t="str">
        <f>F$147</f>
        <v>--</v>
      </c>
      <c r="G521" s="1441">
        <f>G$147</f>
        <v>0</v>
      </c>
      <c r="H521" s="1441" t="str">
        <f>H$147</f>
        <v>--</v>
      </c>
      <c r="I521" s="314" t="s">
        <v>798</v>
      </c>
      <c r="J521" s="314"/>
      <c r="K521" s="2301" t="str">
        <f>IF(OR(K210=0,$G521=0),"--",IFERROR(_xll.ciqfunctions.udf.CIQ($G521,$I521,K118,Valuation_Date_GC,ReportType,DataMode,$H521,FXMode)*Scale,"--"))</f>
        <v>--</v>
      </c>
      <c r="L521" s="2301" t="str">
        <f>IF(OR(L210=0,$G521=0),"--",IFERROR(_xll.ciqfunctions.udf.CIQ($G521,$I521,L118,Valuation_Date_GC,ReportType,DataMode,$H521,FXMode)*Scale,"--"))</f>
        <v>--</v>
      </c>
      <c r="M521" s="2301" t="str">
        <f>IF(OR(M210=0,$G521=0),"--",IFERROR(_xll.ciqfunctions.udf.CIQ($G521,$I521,M118,Valuation_Date_GC,ReportType,DataMode,$H521,FXMode)*Scale,"--"))</f>
        <v>--</v>
      </c>
      <c r="N521" s="2301" t="str">
        <f>IF(OR(N210=0,$G521=0),"--",IFERROR(_xll.ciqfunctions.udf.CIQ($G521,$I521,N118,Valuation_Date_GC,ReportType,DataMode,$H521,FXMode)*Scale,"--"))</f>
        <v>--</v>
      </c>
      <c r="O521" s="1471" t="str">
        <f>IF(OR(O210=0,$G521=0),"--",IFERROR(_xll.ciqfunctions.udf.CIQ($G521,$I521,O118,Valuation_Date_GC,ReportType,DataMode,$H521,FXMode)*Scale,"--"))</f>
        <v>--</v>
      </c>
      <c r="P521" s="2301" t="str">
        <f>IF(OR(P210=0,$G521=0),"--",IFERROR(_xll.ciqfunctions.udf.CIQ($G521,$I521,P118,Valuation_Date_GC,ReportType,DataMode,$H521,FXMode)*Scale,"--"))</f>
        <v>--</v>
      </c>
      <c r="Q521" s="255"/>
      <c r="R521" s="255"/>
      <c r="S521" s="2301" t="str">
        <f>IFERROR(AVERAGE(K521:$O521),"--")</f>
        <v>--</v>
      </c>
      <c r="T521" s="2301" t="str">
        <f>IFERROR(AVERAGE(L521:$O521),"--")</f>
        <v>--</v>
      </c>
      <c r="U521" s="2301" t="str">
        <f>IFERROR(AVERAGE(M521:$O521),"--")</f>
        <v>--</v>
      </c>
      <c r="V521" s="2301" t="str">
        <f>IFERROR(AVERAGE(N521:$O521),"--")</f>
        <v>--</v>
      </c>
      <c r="AG521" s="2060"/>
      <c r="AH521" s="2060"/>
    </row>
    <row r="522" spans="1:34" s="89" customFormat="1" ht="13.9">
      <c r="A522" s="269" t="str">
        <f t="shared" si="151"/>
        <v>n</v>
      </c>
      <c r="B522" s="2060"/>
      <c r="D522" s="801"/>
      <c r="E522" s="1505">
        <v>20</v>
      </c>
      <c r="F522" s="21" t="str">
        <f>F$148</f>
        <v>--</v>
      </c>
      <c r="G522" s="1441">
        <f>G$148</f>
        <v>0</v>
      </c>
      <c r="H522" s="1441" t="str">
        <f>H$148</f>
        <v>--</v>
      </c>
      <c r="I522" s="314" t="s">
        <v>798</v>
      </c>
      <c r="J522" s="314"/>
      <c r="K522" s="2301" t="str">
        <f>IF(OR(K211=0,$G522=0),"--",IFERROR(_xll.ciqfunctions.udf.CIQ($G522,$I522,K119,Valuation_Date_GC,ReportType,DataMode,$H522,FXMode)*Scale,"--"))</f>
        <v>--</v>
      </c>
      <c r="L522" s="2301" t="str">
        <f>IF(OR(L211=0,$G522=0),"--",IFERROR(_xll.ciqfunctions.udf.CIQ($G522,$I522,L119,Valuation_Date_GC,ReportType,DataMode,$H522,FXMode)*Scale,"--"))</f>
        <v>--</v>
      </c>
      <c r="M522" s="2301" t="str">
        <f>IF(OR(M211=0,$G522=0),"--",IFERROR(_xll.ciqfunctions.udf.CIQ($G522,$I522,M119,Valuation_Date_GC,ReportType,DataMode,$H522,FXMode)*Scale,"--"))</f>
        <v>--</v>
      </c>
      <c r="N522" s="2301" t="str">
        <f>IF(OR(N211=0,$G522=0),"--",IFERROR(_xll.ciqfunctions.udf.CIQ($G522,$I522,N119,Valuation_Date_GC,ReportType,DataMode,$H522,FXMode)*Scale,"--"))</f>
        <v>--</v>
      </c>
      <c r="O522" s="1471" t="str">
        <f>IF(OR(O211=0,$G522=0),"--",IFERROR(_xll.ciqfunctions.udf.CIQ($G522,$I522,O119,Valuation_Date_GC,ReportType,DataMode,$H522,FXMode)*Scale,"--"))</f>
        <v>--</v>
      </c>
      <c r="P522" s="2301" t="str">
        <f>IF(OR(P211=0,$G522=0),"--",IFERROR(_xll.ciqfunctions.udf.CIQ($G522,$I522,P119,Valuation_Date_GC,ReportType,DataMode,$H522,FXMode)*Scale,"--"))</f>
        <v>--</v>
      </c>
      <c r="Q522" s="255"/>
      <c r="R522" s="255"/>
      <c r="S522" s="2301" t="str">
        <f>IFERROR(AVERAGE(K522:$O522),"--")</f>
        <v>--</v>
      </c>
      <c r="T522" s="2301" t="str">
        <f>IFERROR(AVERAGE(L522:$O522),"--")</f>
        <v>--</v>
      </c>
      <c r="U522" s="2301" t="str">
        <f>IFERROR(AVERAGE(M522:$O522),"--")</f>
        <v>--</v>
      </c>
      <c r="V522" s="2301" t="str">
        <f>IFERROR(AVERAGE(N522:$O522),"--")</f>
        <v>--</v>
      </c>
      <c r="AG522" s="2060"/>
      <c r="AH522" s="2060"/>
    </row>
    <row r="523" spans="1:34" s="89" customFormat="1" ht="13.9">
      <c r="A523" s="269" t="str">
        <f t="shared" si="151"/>
        <v>n</v>
      </c>
      <c r="B523" s="2060"/>
      <c r="D523" s="801"/>
      <c r="E523" s="1505">
        <v>21</v>
      </c>
      <c r="F523" s="21" t="str">
        <f>F$149</f>
        <v>--</v>
      </c>
      <c r="G523" s="1441">
        <f>G$149</f>
        <v>0</v>
      </c>
      <c r="H523" s="1441" t="str">
        <f>H$149</f>
        <v>--</v>
      </c>
      <c r="I523" s="314" t="s">
        <v>798</v>
      </c>
      <c r="J523" s="314"/>
      <c r="K523" s="2301" t="str">
        <f>IF(OR(K212=0,$G523=0),"--",IFERROR(_xll.ciqfunctions.udf.CIQ($G523,$I523,K120,Valuation_Date_GC,ReportType,DataMode,$H523,FXMode)*Scale,"--"))</f>
        <v>--</v>
      </c>
      <c r="L523" s="2301" t="str">
        <f>IF(OR(L212=0,$G523=0),"--",IFERROR(_xll.ciqfunctions.udf.CIQ($G523,$I523,L120,Valuation_Date_GC,ReportType,DataMode,$H523,FXMode)*Scale,"--"))</f>
        <v>--</v>
      </c>
      <c r="M523" s="2301" t="str">
        <f>IF(OR(M212=0,$G523=0),"--",IFERROR(_xll.ciqfunctions.udf.CIQ($G523,$I523,M120,Valuation_Date_GC,ReportType,DataMode,$H523,FXMode)*Scale,"--"))</f>
        <v>--</v>
      </c>
      <c r="N523" s="2301" t="str">
        <f>IF(OR(N212=0,$G523=0),"--",IFERROR(_xll.ciqfunctions.udf.CIQ($G523,$I523,N120,Valuation_Date_GC,ReportType,DataMode,$H523,FXMode)*Scale,"--"))</f>
        <v>--</v>
      </c>
      <c r="O523" s="1471" t="str">
        <f>IF(OR(O212=0,$G523=0),"--",IFERROR(_xll.ciqfunctions.udf.CIQ($G523,$I523,O120,Valuation_Date_GC,ReportType,DataMode,$H523,FXMode)*Scale,"--"))</f>
        <v>--</v>
      </c>
      <c r="P523" s="2301" t="str">
        <f>IF(OR(P212=0,$G523=0),"--",IFERROR(_xll.ciqfunctions.udf.CIQ($G523,$I523,P120,Valuation_Date_GC,ReportType,DataMode,$H523,FXMode)*Scale,"--"))</f>
        <v>--</v>
      </c>
      <c r="Q523" s="255"/>
      <c r="R523" s="255"/>
      <c r="S523" s="2301" t="str">
        <f>IFERROR(AVERAGE(K523:$O523),"--")</f>
        <v>--</v>
      </c>
      <c r="T523" s="2301" t="str">
        <f>IFERROR(AVERAGE(L523:$O523),"--")</f>
        <v>--</v>
      </c>
      <c r="U523" s="2301" t="str">
        <f>IFERROR(AVERAGE(M523:$O523),"--")</f>
        <v>--</v>
      </c>
      <c r="V523" s="2301" t="str">
        <f>IFERROR(AVERAGE(N523:$O523),"--")</f>
        <v>--</v>
      </c>
      <c r="AG523" s="2060"/>
      <c r="AH523" s="2060"/>
    </row>
    <row r="524" spans="1:34" s="89" customFormat="1" ht="13.9">
      <c r="A524" s="269" t="str">
        <f t="shared" si="151"/>
        <v>n</v>
      </c>
      <c r="B524" s="2060"/>
      <c r="D524" s="801"/>
      <c r="E524" s="1505">
        <v>22</v>
      </c>
      <c r="F524" s="21" t="str">
        <f>F$150</f>
        <v>--</v>
      </c>
      <c r="G524" s="1441">
        <f>G$150</f>
        <v>0</v>
      </c>
      <c r="H524" s="1441" t="str">
        <f>H$150</f>
        <v>--</v>
      </c>
      <c r="I524" s="314" t="s">
        <v>798</v>
      </c>
      <c r="J524" s="314"/>
      <c r="K524" s="2301" t="str">
        <f>IF(OR(K213=0,$G524=0),"--",IFERROR(_xll.ciqfunctions.udf.CIQ($G524,$I524,K121,Valuation_Date_GC,ReportType,DataMode,$H524,FXMode)*Scale,"--"))</f>
        <v>--</v>
      </c>
      <c r="L524" s="2301" t="str">
        <f>IF(OR(L213=0,$G524=0),"--",IFERROR(_xll.ciqfunctions.udf.CIQ($G524,$I524,L121,Valuation_Date_GC,ReportType,DataMode,$H524,FXMode)*Scale,"--"))</f>
        <v>--</v>
      </c>
      <c r="M524" s="2301" t="str">
        <f>IF(OR(M213=0,$G524=0),"--",IFERROR(_xll.ciqfunctions.udf.CIQ($G524,$I524,M121,Valuation_Date_GC,ReportType,DataMode,$H524,FXMode)*Scale,"--"))</f>
        <v>--</v>
      </c>
      <c r="N524" s="2301" t="str">
        <f>IF(OR(N213=0,$G524=0),"--",IFERROR(_xll.ciqfunctions.udf.CIQ($G524,$I524,N121,Valuation_Date_GC,ReportType,DataMode,$H524,FXMode)*Scale,"--"))</f>
        <v>--</v>
      </c>
      <c r="O524" s="1471" t="str">
        <f>IF(OR(O213=0,$G524=0),"--",IFERROR(_xll.ciqfunctions.udf.CIQ($G524,$I524,O121,Valuation_Date_GC,ReportType,DataMode,$H524,FXMode)*Scale,"--"))</f>
        <v>--</v>
      </c>
      <c r="P524" s="2301" t="str">
        <f>IF(OR(P213=0,$G524=0),"--",IFERROR(_xll.ciqfunctions.udf.CIQ($G524,$I524,P121,Valuation_Date_GC,ReportType,DataMode,$H524,FXMode)*Scale,"--"))</f>
        <v>--</v>
      </c>
      <c r="Q524" s="255"/>
      <c r="R524" s="255"/>
      <c r="S524" s="2301" t="str">
        <f>IFERROR(AVERAGE(K524:$O524),"--")</f>
        <v>--</v>
      </c>
      <c r="T524" s="2301" t="str">
        <f>IFERROR(AVERAGE(L524:$O524),"--")</f>
        <v>--</v>
      </c>
      <c r="U524" s="2301" t="str">
        <f>IFERROR(AVERAGE(M524:$O524),"--")</f>
        <v>--</v>
      </c>
      <c r="V524" s="2301" t="str">
        <f>IFERROR(AVERAGE(N524:$O524),"--")</f>
        <v>--</v>
      </c>
      <c r="AG524" s="2060"/>
      <c r="AH524" s="2060"/>
    </row>
    <row r="525" spans="1:34" s="89" customFormat="1" ht="13.9">
      <c r="A525" s="269" t="str">
        <f t="shared" si="151"/>
        <v>n</v>
      </c>
      <c r="B525" s="2060"/>
      <c r="D525" s="801"/>
      <c r="E525" s="1505">
        <v>23</v>
      </c>
      <c r="F525" s="21" t="str">
        <f>F$151</f>
        <v>--</v>
      </c>
      <c r="G525" s="1441">
        <f>G$151</f>
        <v>0</v>
      </c>
      <c r="H525" s="1441" t="str">
        <f>H$151</f>
        <v>--</v>
      </c>
      <c r="I525" s="314" t="s">
        <v>798</v>
      </c>
      <c r="J525" s="314"/>
      <c r="K525" s="2301" t="str">
        <f>IF(OR(K214=0,$G525=0),"--",IFERROR(_xll.ciqfunctions.udf.CIQ($G525,$I525,K122,Valuation_Date_GC,ReportType,DataMode,$H525,FXMode)*Scale,"--"))</f>
        <v>--</v>
      </c>
      <c r="L525" s="2301" t="str">
        <f>IF(OR(L214=0,$G525=0),"--",IFERROR(_xll.ciqfunctions.udf.CIQ($G525,$I525,L122,Valuation_Date_GC,ReportType,DataMode,$H525,FXMode)*Scale,"--"))</f>
        <v>--</v>
      </c>
      <c r="M525" s="2301" t="str">
        <f>IF(OR(M214=0,$G525=0),"--",IFERROR(_xll.ciqfunctions.udf.CIQ($G525,$I525,M122,Valuation_Date_GC,ReportType,DataMode,$H525,FXMode)*Scale,"--"))</f>
        <v>--</v>
      </c>
      <c r="N525" s="2301" t="str">
        <f>IF(OR(N214=0,$G525=0),"--",IFERROR(_xll.ciqfunctions.udf.CIQ($G525,$I525,N122,Valuation_Date_GC,ReportType,DataMode,$H525,FXMode)*Scale,"--"))</f>
        <v>--</v>
      </c>
      <c r="O525" s="1471" t="str">
        <f>IF(OR(O214=0,$G525=0),"--",IFERROR(_xll.ciqfunctions.udf.CIQ($G525,$I525,O122,Valuation_Date_GC,ReportType,DataMode,$H525,FXMode)*Scale,"--"))</f>
        <v>--</v>
      </c>
      <c r="P525" s="2301" t="str">
        <f>IF(OR(P214=0,$G525=0),"--",IFERROR(_xll.ciqfunctions.udf.CIQ($G525,$I525,P122,Valuation_Date_GC,ReportType,DataMode,$H525,FXMode)*Scale,"--"))</f>
        <v>--</v>
      </c>
      <c r="Q525" s="255"/>
      <c r="R525" s="255"/>
      <c r="S525" s="2301" t="str">
        <f>IFERROR(AVERAGE(K525:$O525),"--")</f>
        <v>--</v>
      </c>
      <c r="T525" s="2301" t="str">
        <f>IFERROR(AVERAGE(L525:$O525),"--")</f>
        <v>--</v>
      </c>
      <c r="U525" s="2301" t="str">
        <f>IFERROR(AVERAGE(M525:$O525),"--")</f>
        <v>--</v>
      </c>
      <c r="V525" s="2301" t="str">
        <f>IFERROR(AVERAGE(N525:$O525),"--")</f>
        <v>--</v>
      </c>
      <c r="AG525" s="2060"/>
      <c r="AH525" s="2060"/>
    </row>
    <row r="526" spans="1:34" s="89" customFormat="1" ht="13.9">
      <c r="A526" s="269" t="str">
        <f t="shared" si="151"/>
        <v>n</v>
      </c>
      <c r="B526" s="2060"/>
      <c r="D526" s="801"/>
      <c r="E526" s="1505">
        <v>24</v>
      </c>
      <c r="F526" s="21" t="str">
        <f>F$152</f>
        <v>--</v>
      </c>
      <c r="G526" s="1441">
        <f>G$152</f>
        <v>0</v>
      </c>
      <c r="H526" s="1441" t="str">
        <f>H$152</f>
        <v>--</v>
      </c>
      <c r="I526" s="314" t="s">
        <v>798</v>
      </c>
      <c r="J526" s="314"/>
      <c r="K526" s="2301" t="str">
        <f>IF(OR(K215=0,$G526=0),"--",IFERROR(_xll.ciqfunctions.udf.CIQ($G526,$I526,K123,Valuation_Date_GC,ReportType,DataMode,$H526,FXMode)*Scale,"--"))</f>
        <v>--</v>
      </c>
      <c r="L526" s="2301" t="str">
        <f>IF(OR(L215=0,$G526=0),"--",IFERROR(_xll.ciqfunctions.udf.CIQ($G526,$I526,L123,Valuation_Date_GC,ReportType,DataMode,$H526,FXMode)*Scale,"--"))</f>
        <v>--</v>
      </c>
      <c r="M526" s="2301" t="str">
        <f>IF(OR(M215=0,$G526=0),"--",IFERROR(_xll.ciqfunctions.udf.CIQ($G526,$I526,M123,Valuation_Date_GC,ReportType,DataMode,$H526,FXMode)*Scale,"--"))</f>
        <v>--</v>
      </c>
      <c r="N526" s="2301" t="str">
        <f>IF(OR(N215=0,$G526=0),"--",IFERROR(_xll.ciqfunctions.udf.CIQ($G526,$I526,N123,Valuation_Date_GC,ReportType,DataMode,$H526,FXMode)*Scale,"--"))</f>
        <v>--</v>
      </c>
      <c r="O526" s="1471" t="str">
        <f>IF(OR(O215=0,$G526=0),"--",IFERROR(_xll.ciqfunctions.udf.CIQ($G526,$I526,O123,Valuation_Date_GC,ReportType,DataMode,$H526,FXMode)*Scale,"--"))</f>
        <v>--</v>
      </c>
      <c r="P526" s="2301" t="str">
        <f>IF(OR(P215=0,$G526=0),"--",IFERROR(_xll.ciqfunctions.udf.CIQ($G526,$I526,P123,Valuation_Date_GC,ReportType,DataMode,$H526,FXMode)*Scale,"--"))</f>
        <v>--</v>
      </c>
      <c r="Q526" s="255"/>
      <c r="R526" s="255"/>
      <c r="S526" s="2301" t="str">
        <f>IFERROR(AVERAGE(K526:$O526),"--")</f>
        <v>--</v>
      </c>
      <c r="T526" s="2301" t="str">
        <f>IFERROR(AVERAGE(L526:$O526),"--")</f>
        <v>--</v>
      </c>
      <c r="U526" s="2301" t="str">
        <f>IFERROR(AVERAGE(M526:$O526),"--")</f>
        <v>--</v>
      </c>
      <c r="V526" s="2301" t="str">
        <f>IFERROR(AVERAGE(N526:$O526),"--")</f>
        <v>--</v>
      </c>
      <c r="AG526" s="2060"/>
      <c r="AH526" s="2060"/>
    </row>
    <row r="527" spans="1:34" s="89" customFormat="1" ht="13.9">
      <c r="A527" s="269" t="str">
        <f t="shared" si="151"/>
        <v>n</v>
      </c>
      <c r="B527" s="2060"/>
      <c r="D527" s="801"/>
      <c r="E527" s="1505">
        <v>25</v>
      </c>
      <c r="F527" s="21" t="str">
        <f>F$153</f>
        <v>--</v>
      </c>
      <c r="G527" s="1441">
        <f>G$153</f>
        <v>0</v>
      </c>
      <c r="H527" s="1441" t="str">
        <f>H$153</f>
        <v>--</v>
      </c>
      <c r="I527" s="314" t="s">
        <v>798</v>
      </c>
      <c r="J527" s="314"/>
      <c r="K527" s="2301" t="str">
        <f>IF(OR(K216=0,$G527=0),"--",IFERROR(_xll.ciqfunctions.udf.CIQ($G527,$I527,K124,Valuation_Date_GC,ReportType,DataMode,$H527,FXMode)*Scale,"--"))</f>
        <v>--</v>
      </c>
      <c r="L527" s="2301" t="str">
        <f>IF(OR(L216=0,$G527=0),"--",IFERROR(_xll.ciqfunctions.udf.CIQ($G527,$I527,L124,Valuation_Date_GC,ReportType,DataMode,$H527,FXMode)*Scale,"--"))</f>
        <v>--</v>
      </c>
      <c r="M527" s="2301" t="str">
        <f>IF(OR(M216=0,$G527=0),"--",IFERROR(_xll.ciqfunctions.udf.CIQ($G527,$I527,M124,Valuation_Date_GC,ReportType,DataMode,$H527,FXMode)*Scale,"--"))</f>
        <v>--</v>
      </c>
      <c r="N527" s="2301" t="str">
        <f>IF(OR(N216=0,$G527=0),"--",IFERROR(_xll.ciqfunctions.udf.CIQ($G527,$I527,N124,Valuation_Date_GC,ReportType,DataMode,$H527,FXMode)*Scale,"--"))</f>
        <v>--</v>
      </c>
      <c r="O527" s="1471" t="str">
        <f>IF(OR(O216=0,$G527=0),"--",IFERROR(_xll.ciqfunctions.udf.CIQ($G527,$I527,O124,Valuation_Date_GC,ReportType,DataMode,$H527,FXMode)*Scale,"--"))</f>
        <v>--</v>
      </c>
      <c r="P527" s="2301" t="str">
        <f>IF(OR(P216=0,$G527=0),"--",IFERROR(_xll.ciqfunctions.udf.CIQ($G527,$I527,P124,Valuation_Date_GC,ReportType,DataMode,$H527,FXMode)*Scale,"--"))</f>
        <v>--</v>
      </c>
      <c r="Q527" s="255"/>
      <c r="R527" s="255"/>
      <c r="S527" s="2301" t="str">
        <f>IFERROR(AVERAGE(K527:$O527),"--")</f>
        <v>--</v>
      </c>
      <c r="T527" s="2301" t="str">
        <f>IFERROR(AVERAGE(L527:$O527),"--")</f>
        <v>--</v>
      </c>
      <c r="U527" s="2301" t="str">
        <f>IFERROR(AVERAGE(M527:$O527),"--")</f>
        <v>--</v>
      </c>
      <c r="V527" s="2301" t="str">
        <f>IFERROR(AVERAGE(N527:$O527),"--")</f>
        <v>--</v>
      </c>
      <c r="AG527" s="2060"/>
      <c r="AH527" s="2060"/>
    </row>
    <row r="528" spans="1:34" s="89" customFormat="1" ht="13.9">
      <c r="A528" s="2060"/>
      <c r="B528" s="2060"/>
      <c r="D528" s="801"/>
      <c r="F528" s="57" t="s">
        <v>767</v>
      </c>
      <c r="G528" s="1442"/>
      <c r="H528" s="1442"/>
      <c r="I528" s="1442"/>
      <c r="J528" s="1442"/>
      <c r="K528" s="1443" t="str">
        <f t="shared" ref="K528:P528" si="152">IFERROR(MEDIAN(K503:K527),"--")</f>
        <v>--</v>
      </c>
      <c r="L528" s="1443" t="str">
        <f t="shared" si="152"/>
        <v>--</v>
      </c>
      <c r="M528" s="1443" t="str">
        <f t="shared" si="152"/>
        <v>--</v>
      </c>
      <c r="N528" s="1443" t="str">
        <f t="shared" si="152"/>
        <v>--</v>
      </c>
      <c r="O528" s="1444" t="str">
        <f t="shared" si="152"/>
        <v>--</v>
      </c>
      <c r="P528" s="1443" t="str">
        <f t="shared" si="152"/>
        <v>--</v>
      </c>
      <c r="Q528" s="255"/>
      <c r="R528" s="255"/>
      <c r="S528" s="1443" t="str">
        <f>IFERROR(MEDIAN(S503:S527),"--")</f>
        <v>--</v>
      </c>
      <c r="T528" s="1443" t="str">
        <f>IFERROR(MEDIAN(T503:T527),"--")</f>
        <v>--</v>
      </c>
      <c r="U528" s="1443" t="str">
        <f>IFERROR(MEDIAN(U503:U527),"--")</f>
        <v>--</v>
      </c>
      <c r="V528" s="1443" t="str">
        <f>IFERROR(MEDIAN(V503:V527),"--")</f>
        <v>--</v>
      </c>
      <c r="AF528" s="255"/>
      <c r="AG528" s="2060"/>
      <c r="AH528" s="2060"/>
    </row>
    <row r="529" spans="1:34" s="89" customFormat="1" ht="13.9">
      <c r="A529" s="2060"/>
      <c r="B529" s="2060"/>
      <c r="C529" s="255"/>
      <c r="D529" s="780"/>
      <c r="E529" s="255"/>
      <c r="F529" s="255"/>
      <c r="G529" s="255"/>
      <c r="H529" s="255"/>
      <c r="I529" s="255"/>
      <c r="J529" s="255"/>
      <c r="K529" s="255"/>
      <c r="L529" s="255"/>
      <c r="M529" s="255"/>
      <c r="N529" s="255"/>
      <c r="O529" s="75"/>
      <c r="P529" s="76"/>
      <c r="Q529" s="255"/>
      <c r="R529" s="255"/>
      <c r="S529" s="255"/>
      <c r="T529" s="255"/>
      <c r="U529" s="255"/>
      <c r="V529" s="255"/>
      <c r="W529" s="255"/>
      <c r="X529" s="255"/>
      <c r="Y529" s="255"/>
      <c r="Z529" s="255"/>
      <c r="AA529" s="255"/>
      <c r="AB529" s="255"/>
      <c r="AC529" s="255"/>
      <c r="AD529" s="255"/>
      <c r="AE529" s="255"/>
      <c r="AG529" s="2060"/>
      <c r="AH529" s="2060"/>
    </row>
    <row r="530" spans="1:34" s="89" customFormat="1" ht="13.9">
      <c r="A530" s="2060"/>
      <c r="B530" s="2060"/>
      <c r="D530" s="802"/>
      <c r="E530" s="21"/>
      <c r="F530" s="21"/>
      <c r="O530" s="75"/>
      <c r="P530" s="76"/>
      <c r="R530" s="521"/>
      <c r="AG530" s="2060"/>
      <c r="AH530" s="2060"/>
    </row>
    <row r="531" spans="1:34" s="89" customFormat="1" ht="13.9">
      <c r="A531" s="2060"/>
      <c r="B531" s="2060"/>
      <c r="D531" s="801"/>
      <c r="F531" s="1446"/>
      <c r="O531" s="75"/>
      <c r="P531" s="76"/>
      <c r="Q531" s="255"/>
      <c r="R531" s="255"/>
      <c r="S531" s="521" t="s">
        <v>788</v>
      </c>
      <c r="T531" s="521" t="s">
        <v>788</v>
      </c>
      <c r="U531" s="521" t="s">
        <v>788</v>
      </c>
      <c r="V531" s="521" t="s">
        <v>788</v>
      </c>
      <c r="AG531" s="2060"/>
      <c r="AH531" s="2060"/>
    </row>
    <row r="532" spans="1:34" s="89" customFormat="1" ht="13.9">
      <c r="A532" s="2060"/>
      <c r="B532" s="2060"/>
      <c r="D532" s="778">
        <f ca="1">MAX(OFFSET(D532,-1,0,-ROW(D532)+1,-2),1)+0.01</f>
        <v>4.1299999999999972</v>
      </c>
      <c r="E532" s="21"/>
      <c r="F532" s="952" t="s">
        <v>288</v>
      </c>
      <c r="G532" s="724" t="s">
        <v>795</v>
      </c>
      <c r="H532" s="724"/>
      <c r="I532" s="724"/>
      <c r="J532" s="724"/>
      <c r="K532" s="725" t="s">
        <v>700</v>
      </c>
      <c r="L532" s="725" t="s">
        <v>701</v>
      </c>
      <c r="M532" s="725" t="s">
        <v>702</v>
      </c>
      <c r="N532" s="725" t="s">
        <v>703</v>
      </c>
      <c r="O532" s="759" t="s">
        <v>704</v>
      </c>
      <c r="P532" s="764" t="s">
        <v>705</v>
      </c>
      <c r="Q532" s="255"/>
      <c r="R532" s="255"/>
      <c r="S532" s="1459" t="s">
        <v>789</v>
      </c>
      <c r="T532" s="1459" t="s">
        <v>790</v>
      </c>
      <c r="U532" s="1459" t="s">
        <v>791</v>
      </c>
      <c r="V532" s="1459" t="s">
        <v>792</v>
      </c>
      <c r="W532" s="2060"/>
      <c r="X532" s="2060"/>
      <c r="AG532" s="2060"/>
      <c r="AH532" s="2060"/>
    </row>
    <row r="533" spans="1:34" s="89" customFormat="1" ht="13.9">
      <c r="A533" s="2060"/>
      <c r="B533" s="2060"/>
      <c r="D533" s="778"/>
      <c r="E533" s="1505">
        <v>0</v>
      </c>
      <c r="F533" s="1439" t="str">
        <f>F$128</f>
        <v/>
      </c>
      <c r="G533" s="1440">
        <f>G$128</f>
        <v>0</v>
      </c>
      <c r="H533" s="1440" t="str">
        <f>H$128</f>
        <v>USD</v>
      </c>
      <c r="I533" s="248"/>
      <c r="J533" s="248"/>
      <c r="K533" s="2312" t="str">
        <f t="shared" ref="K533:K545" si="153">IF(OR(K471&lt;0,K502&lt;0),"nmf",IFERROR(K502/K471,"--"))</f>
        <v>--</v>
      </c>
      <c r="L533" s="2312" t="str">
        <f>IF(OR(L471&lt;0,L502&lt;0),"nmf",IFERROR(L502/L471,"--"))</f>
        <v>--</v>
      </c>
      <c r="M533" s="2312" t="str">
        <f>IF(OR(M471&lt;0,M502&lt;0),"nmf",IFERROR(M502/M471,"--"))</f>
        <v>--</v>
      </c>
      <c r="N533" s="2312" t="str">
        <f>IF(OR(N471&lt;0,N502&lt;0),"nmf",IFERROR(N502/N471,"--"))</f>
        <v>--</v>
      </c>
      <c r="O533" s="2313" t="str">
        <f>IF(OR(O471&lt;0,O502&lt;0),"nmf",IFERROR(O502/O471,"--"))</f>
        <v>--</v>
      </c>
      <c r="P533" s="2312" t="str">
        <f>IF(OR(P471&lt;0,P502&lt;0),"nmf",IFERROR(P502/P471,"--"))</f>
        <v>--</v>
      </c>
      <c r="Q533" s="248"/>
      <c r="R533" s="1467"/>
      <c r="S533" s="2312" t="str">
        <f>IFERROR(AVERAGE(K533:$O533),"--")</f>
        <v>--</v>
      </c>
      <c r="T533" s="2312" t="str">
        <f>IFERROR(AVERAGE(L533:$O533),"--")</f>
        <v>--</v>
      </c>
      <c r="U533" s="2312" t="str">
        <f>IFERROR(AVERAGE(M533:$O533),"--")</f>
        <v>--</v>
      </c>
      <c r="V533" s="2312" t="str">
        <f>IFERROR(AVERAGE(N533:$O533),"--")</f>
        <v>--</v>
      </c>
      <c r="W533" s="2060"/>
      <c r="X533" s="2060"/>
      <c r="AG533" s="2060"/>
      <c r="AH533" s="2060"/>
    </row>
    <row r="534" spans="1:34" s="89" customFormat="1" ht="13.9">
      <c r="A534" s="269" t="str">
        <f>IF(F534="--","n","")</f>
        <v>n</v>
      </c>
      <c r="B534" s="2060"/>
      <c r="D534" s="801"/>
      <c r="E534" s="1505">
        <v>1</v>
      </c>
      <c r="F534" s="21" t="str">
        <f>F$129</f>
        <v>--</v>
      </c>
      <c r="G534" s="1441">
        <f>G$129</f>
        <v>0</v>
      </c>
      <c r="H534" s="1441" t="str">
        <f>H$129</f>
        <v>--</v>
      </c>
      <c r="I534" s="314"/>
      <c r="J534" s="1445"/>
      <c r="K534" s="2314" t="str">
        <f t="shared" si="153"/>
        <v>--</v>
      </c>
      <c r="L534" s="2314" t="str">
        <f t="shared" ref="L534:P545" si="154">IF(OR(L472&lt;0,L503&lt;0),"nmf",IFERROR(L503/L472,"--"))</f>
        <v>--</v>
      </c>
      <c r="M534" s="2314" t="str">
        <f t="shared" si="154"/>
        <v>--</v>
      </c>
      <c r="N534" s="2314" t="str">
        <f t="shared" si="154"/>
        <v>--</v>
      </c>
      <c r="O534" s="2315" t="str">
        <f t="shared" si="154"/>
        <v>--</v>
      </c>
      <c r="P534" s="2315" t="str">
        <f t="shared" si="154"/>
        <v>--</v>
      </c>
      <c r="Q534" s="255"/>
      <c r="R534" s="255"/>
      <c r="S534" s="2314" t="str">
        <f>IFERROR(AVERAGE(K534:$O534),"--")</f>
        <v>--</v>
      </c>
      <c r="T534" s="2314" t="str">
        <f>IFERROR(AVERAGE(L534:$O534),"--")</f>
        <v>--</v>
      </c>
      <c r="U534" s="2314" t="str">
        <f>IFERROR(AVERAGE(M534:$O534),"--")</f>
        <v>--</v>
      </c>
      <c r="V534" s="2314" t="str">
        <f>IFERROR(AVERAGE(N534:$O534),"--")</f>
        <v>--</v>
      </c>
      <c r="W534" s="2060"/>
      <c r="X534" s="2060"/>
      <c r="AG534" s="2060"/>
      <c r="AH534" s="2060"/>
    </row>
    <row r="535" spans="1:34" s="89" customFormat="1" ht="13.9">
      <c r="A535" s="269" t="str">
        <f t="shared" ref="A535:A558" si="155">IF(F535="--","n","")</f>
        <v>n</v>
      </c>
      <c r="B535" s="2060"/>
      <c r="D535" s="801"/>
      <c r="E535" s="1505">
        <v>2</v>
      </c>
      <c r="F535" s="21" t="str">
        <f>F$130</f>
        <v>--</v>
      </c>
      <c r="G535" s="1441">
        <f>G$130</f>
        <v>0</v>
      </c>
      <c r="H535" s="1441" t="str">
        <f>H$130</f>
        <v>--</v>
      </c>
      <c r="I535" s="314"/>
      <c r="J535" s="1445"/>
      <c r="K535" s="2314" t="str">
        <f t="shared" si="153"/>
        <v>--</v>
      </c>
      <c r="L535" s="2314" t="str">
        <f t="shared" si="154"/>
        <v>--</v>
      </c>
      <c r="M535" s="2314" t="str">
        <f t="shared" si="154"/>
        <v>--</v>
      </c>
      <c r="N535" s="2314" t="str">
        <f t="shared" si="154"/>
        <v>--</v>
      </c>
      <c r="O535" s="2315" t="str">
        <f t="shared" si="154"/>
        <v>--</v>
      </c>
      <c r="P535" s="2315" t="str">
        <f t="shared" si="154"/>
        <v>--</v>
      </c>
      <c r="Q535" s="255"/>
      <c r="R535" s="255"/>
      <c r="S535" s="2314" t="str">
        <f>IFERROR(AVERAGE(K535:$O535),"--")</f>
        <v>--</v>
      </c>
      <c r="T535" s="2314" t="str">
        <f>IFERROR(AVERAGE(L535:$O535),"--")</f>
        <v>--</v>
      </c>
      <c r="U535" s="2314" t="str">
        <f>IFERROR(AVERAGE(M535:$O535),"--")</f>
        <v>--</v>
      </c>
      <c r="V535" s="2314" t="str">
        <f>IFERROR(AVERAGE(N535:$O535),"--")</f>
        <v>--</v>
      </c>
      <c r="W535" s="2060"/>
      <c r="X535" s="2060"/>
      <c r="AG535" s="2060"/>
      <c r="AH535" s="2060"/>
    </row>
    <row r="536" spans="1:34" s="89" customFormat="1" ht="13.9">
      <c r="A536" s="269" t="str">
        <f t="shared" si="155"/>
        <v>n</v>
      </c>
      <c r="B536" s="2060"/>
      <c r="D536" s="801"/>
      <c r="E536" s="1505">
        <v>3</v>
      </c>
      <c r="F536" s="21" t="str">
        <f>F$131</f>
        <v>--</v>
      </c>
      <c r="G536" s="1441">
        <f>G$131</f>
        <v>0</v>
      </c>
      <c r="H536" s="1441" t="str">
        <f>H$131</f>
        <v>--</v>
      </c>
      <c r="I536" s="314"/>
      <c r="J536" s="1445"/>
      <c r="K536" s="2314" t="str">
        <f t="shared" si="153"/>
        <v>--</v>
      </c>
      <c r="L536" s="2314" t="str">
        <f t="shared" si="154"/>
        <v>--</v>
      </c>
      <c r="M536" s="2314" t="str">
        <f t="shared" si="154"/>
        <v>--</v>
      </c>
      <c r="N536" s="2314" t="str">
        <f t="shared" si="154"/>
        <v>--</v>
      </c>
      <c r="O536" s="2315" t="str">
        <f t="shared" si="154"/>
        <v>--</v>
      </c>
      <c r="P536" s="2315" t="str">
        <f t="shared" si="154"/>
        <v>--</v>
      </c>
      <c r="Q536" s="255"/>
      <c r="R536" s="255"/>
      <c r="S536" s="2314" t="str">
        <f>IFERROR(AVERAGE(K536:$O536),"--")</f>
        <v>--</v>
      </c>
      <c r="T536" s="2314" t="str">
        <f>IFERROR(AVERAGE(L536:$O536),"--")</f>
        <v>--</v>
      </c>
      <c r="U536" s="2314" t="str">
        <f>IFERROR(AVERAGE(M536:$O536),"--")</f>
        <v>--</v>
      </c>
      <c r="V536" s="2314" t="str">
        <f>IFERROR(AVERAGE(N536:$O536),"--")</f>
        <v>--</v>
      </c>
      <c r="W536" s="2060"/>
      <c r="X536" s="2060"/>
      <c r="AG536" s="2060"/>
      <c r="AH536" s="2060"/>
    </row>
    <row r="537" spans="1:34" s="89" customFormat="1" ht="13.9">
      <c r="A537" s="269" t="str">
        <f t="shared" si="155"/>
        <v>n</v>
      </c>
      <c r="B537" s="2060"/>
      <c r="D537" s="801"/>
      <c r="E537" s="1505">
        <v>4</v>
      </c>
      <c r="F537" s="21" t="str">
        <f>F$132</f>
        <v>--</v>
      </c>
      <c r="G537" s="1441">
        <f>G$132</f>
        <v>0</v>
      </c>
      <c r="H537" s="1441" t="str">
        <f>H$132</f>
        <v>--</v>
      </c>
      <c r="I537" s="314"/>
      <c r="J537" s="1445"/>
      <c r="K537" s="2314" t="str">
        <f t="shared" si="153"/>
        <v>--</v>
      </c>
      <c r="L537" s="2314" t="str">
        <f t="shared" si="154"/>
        <v>--</v>
      </c>
      <c r="M537" s="2314" t="str">
        <f t="shared" si="154"/>
        <v>--</v>
      </c>
      <c r="N537" s="2314" t="str">
        <f t="shared" si="154"/>
        <v>--</v>
      </c>
      <c r="O537" s="2315" t="str">
        <f t="shared" si="154"/>
        <v>--</v>
      </c>
      <c r="P537" s="2315" t="str">
        <f t="shared" si="154"/>
        <v>--</v>
      </c>
      <c r="Q537" s="255"/>
      <c r="R537" s="255"/>
      <c r="S537" s="2314" t="str">
        <f>IFERROR(AVERAGE(K537:$O537),"--")</f>
        <v>--</v>
      </c>
      <c r="T537" s="2314" t="str">
        <f>IFERROR(AVERAGE(L537:$O537),"--")</f>
        <v>--</v>
      </c>
      <c r="U537" s="2314" t="str">
        <f>IFERROR(AVERAGE(M537:$O537),"--")</f>
        <v>--</v>
      </c>
      <c r="V537" s="2314" t="str">
        <f>IFERROR(AVERAGE(N537:$O537),"--")</f>
        <v>--</v>
      </c>
      <c r="W537" s="2060"/>
      <c r="X537" s="2060"/>
      <c r="AG537" s="2060"/>
      <c r="AH537" s="2060"/>
    </row>
    <row r="538" spans="1:34" s="89" customFormat="1" ht="13.9">
      <c r="A538" s="269" t="str">
        <f t="shared" si="155"/>
        <v>n</v>
      </c>
      <c r="B538" s="2060"/>
      <c r="D538" s="801"/>
      <c r="E538" s="1505">
        <v>5</v>
      </c>
      <c r="F538" s="21" t="str">
        <f>F$133</f>
        <v>--</v>
      </c>
      <c r="G538" s="1441">
        <f>G$133</f>
        <v>0</v>
      </c>
      <c r="H538" s="1441" t="str">
        <f>H$133</f>
        <v>--</v>
      </c>
      <c r="I538" s="314"/>
      <c r="J538" s="1445"/>
      <c r="K538" s="2314" t="str">
        <f t="shared" si="153"/>
        <v>--</v>
      </c>
      <c r="L538" s="2314" t="str">
        <f t="shared" si="154"/>
        <v>--</v>
      </c>
      <c r="M538" s="2314" t="str">
        <f t="shared" si="154"/>
        <v>--</v>
      </c>
      <c r="N538" s="2314" t="str">
        <f t="shared" si="154"/>
        <v>--</v>
      </c>
      <c r="O538" s="2315" t="str">
        <f t="shared" si="154"/>
        <v>--</v>
      </c>
      <c r="P538" s="2315" t="str">
        <f t="shared" si="154"/>
        <v>--</v>
      </c>
      <c r="Q538" s="255"/>
      <c r="R538" s="255"/>
      <c r="S538" s="2314" t="str">
        <f>IFERROR(AVERAGE(K538:$O538),"--")</f>
        <v>--</v>
      </c>
      <c r="T538" s="2314" t="str">
        <f>IFERROR(AVERAGE(L538:$O538),"--")</f>
        <v>--</v>
      </c>
      <c r="U538" s="2314" t="str">
        <f>IFERROR(AVERAGE(M538:$O538),"--")</f>
        <v>--</v>
      </c>
      <c r="V538" s="2314" t="str">
        <f>IFERROR(AVERAGE(N538:$O538),"--")</f>
        <v>--</v>
      </c>
      <c r="W538" s="2060"/>
      <c r="X538" s="2060"/>
      <c r="AG538" s="2060"/>
      <c r="AH538" s="2060"/>
    </row>
    <row r="539" spans="1:34" s="89" customFormat="1" ht="13.9">
      <c r="A539" s="269" t="str">
        <f t="shared" si="155"/>
        <v>n</v>
      </c>
      <c r="B539" s="2060"/>
      <c r="D539" s="801"/>
      <c r="E539" s="1505">
        <v>6</v>
      </c>
      <c r="F539" s="21" t="str">
        <f>F$134</f>
        <v>--</v>
      </c>
      <c r="G539" s="1441">
        <f>G$134</f>
        <v>0</v>
      </c>
      <c r="H539" s="1441" t="str">
        <f>H$134</f>
        <v>--</v>
      </c>
      <c r="I539" s="314"/>
      <c r="J539" s="1445"/>
      <c r="K539" s="2314" t="str">
        <f t="shared" si="153"/>
        <v>--</v>
      </c>
      <c r="L539" s="2314" t="str">
        <f t="shared" si="154"/>
        <v>--</v>
      </c>
      <c r="M539" s="2314" t="str">
        <f t="shared" si="154"/>
        <v>--</v>
      </c>
      <c r="N539" s="2314" t="str">
        <f t="shared" si="154"/>
        <v>--</v>
      </c>
      <c r="O539" s="2315" t="str">
        <f t="shared" si="154"/>
        <v>--</v>
      </c>
      <c r="P539" s="2315" t="str">
        <f t="shared" si="154"/>
        <v>--</v>
      </c>
      <c r="Q539" s="255"/>
      <c r="R539" s="255"/>
      <c r="S539" s="2314" t="str">
        <f>IFERROR(AVERAGE(K539:$O539),"--")</f>
        <v>--</v>
      </c>
      <c r="T539" s="2314" t="str">
        <f>IFERROR(AVERAGE(L539:$O539),"--")</f>
        <v>--</v>
      </c>
      <c r="U539" s="2314" t="str">
        <f>IFERROR(AVERAGE(M539:$O539),"--")</f>
        <v>--</v>
      </c>
      <c r="V539" s="2314" t="str">
        <f>IFERROR(AVERAGE(N539:$O539),"--")</f>
        <v>--</v>
      </c>
      <c r="W539" s="2060"/>
      <c r="X539" s="2060"/>
      <c r="AG539" s="2060"/>
      <c r="AH539" s="2060"/>
    </row>
    <row r="540" spans="1:34" s="89" customFormat="1" ht="13.9">
      <c r="A540" s="269" t="str">
        <f t="shared" si="155"/>
        <v>n</v>
      </c>
      <c r="B540" s="2060"/>
      <c r="D540" s="801"/>
      <c r="E540" s="1505">
        <v>7</v>
      </c>
      <c r="F540" s="21" t="str">
        <f>F$135</f>
        <v>--</v>
      </c>
      <c r="G540" s="1441">
        <f>G$135</f>
        <v>0</v>
      </c>
      <c r="H540" s="1441" t="str">
        <f>H$135</f>
        <v>--</v>
      </c>
      <c r="I540" s="314"/>
      <c r="J540" s="1445"/>
      <c r="K540" s="2314" t="str">
        <f t="shared" si="153"/>
        <v>--</v>
      </c>
      <c r="L540" s="2314" t="str">
        <f t="shared" si="154"/>
        <v>--</v>
      </c>
      <c r="M540" s="2314" t="str">
        <f t="shared" si="154"/>
        <v>--</v>
      </c>
      <c r="N540" s="2314" t="str">
        <f t="shared" si="154"/>
        <v>--</v>
      </c>
      <c r="O540" s="2315" t="str">
        <f t="shared" si="154"/>
        <v>--</v>
      </c>
      <c r="P540" s="2315" t="str">
        <f t="shared" si="154"/>
        <v>--</v>
      </c>
      <c r="Q540" s="255"/>
      <c r="R540" s="255"/>
      <c r="S540" s="2314" t="str">
        <f>IFERROR(AVERAGE(K540:$O540),"--")</f>
        <v>--</v>
      </c>
      <c r="T540" s="2314" t="str">
        <f>IFERROR(AVERAGE(L540:$O540),"--")</f>
        <v>--</v>
      </c>
      <c r="U540" s="2314" t="str">
        <f>IFERROR(AVERAGE(M540:$O540),"--")</f>
        <v>--</v>
      </c>
      <c r="V540" s="2314" t="str">
        <f>IFERROR(AVERAGE(N540:$O540),"--")</f>
        <v>--</v>
      </c>
      <c r="W540" s="2060"/>
      <c r="X540" s="2060"/>
      <c r="AG540" s="2060"/>
      <c r="AH540" s="2060"/>
    </row>
    <row r="541" spans="1:34" s="89" customFormat="1" ht="13.9">
      <c r="A541" s="269" t="str">
        <f t="shared" si="155"/>
        <v>n</v>
      </c>
      <c r="B541" s="2060"/>
      <c r="D541" s="801"/>
      <c r="E541" s="1505">
        <v>8</v>
      </c>
      <c r="F541" s="21" t="str">
        <f>F$136</f>
        <v>--</v>
      </c>
      <c r="G541" s="1441">
        <f>G$136</f>
        <v>0</v>
      </c>
      <c r="H541" s="1441" t="str">
        <f>H$136</f>
        <v>--</v>
      </c>
      <c r="I541" s="314"/>
      <c r="J541" s="1445"/>
      <c r="K541" s="2314" t="str">
        <f t="shared" si="153"/>
        <v>--</v>
      </c>
      <c r="L541" s="2314" t="str">
        <f t="shared" si="154"/>
        <v>--</v>
      </c>
      <c r="M541" s="2314" t="str">
        <f t="shared" si="154"/>
        <v>--</v>
      </c>
      <c r="N541" s="2314" t="str">
        <f t="shared" si="154"/>
        <v>--</v>
      </c>
      <c r="O541" s="2315" t="str">
        <f t="shared" si="154"/>
        <v>--</v>
      </c>
      <c r="P541" s="2315" t="str">
        <f t="shared" si="154"/>
        <v>--</v>
      </c>
      <c r="Q541" s="255"/>
      <c r="R541" s="255"/>
      <c r="S541" s="2314" t="str">
        <f>IFERROR(AVERAGE(K541:$O541),"--")</f>
        <v>--</v>
      </c>
      <c r="T541" s="2314" t="str">
        <f>IFERROR(AVERAGE(L541:$O541),"--")</f>
        <v>--</v>
      </c>
      <c r="U541" s="2314" t="str">
        <f>IFERROR(AVERAGE(M541:$O541),"--")</f>
        <v>--</v>
      </c>
      <c r="V541" s="2314" t="str">
        <f>IFERROR(AVERAGE(N541:$O541),"--")</f>
        <v>--</v>
      </c>
      <c r="W541" s="2060"/>
      <c r="X541" s="2060"/>
      <c r="AG541" s="2060"/>
      <c r="AH541" s="2060"/>
    </row>
    <row r="542" spans="1:34" s="89" customFormat="1" ht="13.9">
      <c r="A542" s="269" t="str">
        <f t="shared" si="155"/>
        <v>n</v>
      </c>
      <c r="B542" s="2060"/>
      <c r="D542" s="801"/>
      <c r="E542" s="1505">
        <v>9</v>
      </c>
      <c r="F542" s="21" t="str">
        <f>F$137</f>
        <v>--</v>
      </c>
      <c r="G542" s="1441">
        <f>G$137</f>
        <v>0</v>
      </c>
      <c r="H542" s="1441" t="str">
        <f>H$137</f>
        <v>--</v>
      </c>
      <c r="I542" s="314"/>
      <c r="J542" s="1445"/>
      <c r="K542" s="2314" t="str">
        <f t="shared" si="153"/>
        <v>--</v>
      </c>
      <c r="L542" s="2314" t="str">
        <f t="shared" si="154"/>
        <v>--</v>
      </c>
      <c r="M542" s="2314" t="str">
        <f t="shared" si="154"/>
        <v>--</v>
      </c>
      <c r="N542" s="2314" t="str">
        <f t="shared" si="154"/>
        <v>--</v>
      </c>
      <c r="O542" s="2315" t="str">
        <f t="shared" si="154"/>
        <v>--</v>
      </c>
      <c r="P542" s="2315" t="str">
        <f t="shared" si="154"/>
        <v>--</v>
      </c>
      <c r="Q542" s="255"/>
      <c r="R542" s="255"/>
      <c r="S542" s="2314" t="str">
        <f>IFERROR(AVERAGE(K542:$O542),"--")</f>
        <v>--</v>
      </c>
      <c r="T542" s="2314" t="str">
        <f>IFERROR(AVERAGE(L542:$O542),"--")</f>
        <v>--</v>
      </c>
      <c r="U542" s="2314" t="str">
        <f>IFERROR(AVERAGE(M542:$O542),"--")</f>
        <v>--</v>
      </c>
      <c r="V542" s="2314" t="str">
        <f>IFERROR(AVERAGE(N542:$O542),"--")</f>
        <v>--</v>
      </c>
      <c r="W542" s="2060"/>
      <c r="X542" s="2060"/>
      <c r="AG542" s="2060"/>
      <c r="AH542" s="2060"/>
    </row>
    <row r="543" spans="1:34" s="89" customFormat="1" ht="13.9">
      <c r="A543" s="269" t="str">
        <f t="shared" si="155"/>
        <v>n</v>
      </c>
      <c r="B543" s="2060"/>
      <c r="D543" s="801"/>
      <c r="E543" s="1505">
        <v>10</v>
      </c>
      <c r="F543" s="21" t="str">
        <f>F$138</f>
        <v>--</v>
      </c>
      <c r="G543" s="1441">
        <f>G$138</f>
        <v>0</v>
      </c>
      <c r="H543" s="1441" t="str">
        <f>H$138</f>
        <v>--</v>
      </c>
      <c r="I543" s="314"/>
      <c r="J543" s="1445"/>
      <c r="K543" s="2314" t="str">
        <f t="shared" si="153"/>
        <v>--</v>
      </c>
      <c r="L543" s="2314" t="str">
        <f t="shared" si="154"/>
        <v>--</v>
      </c>
      <c r="M543" s="2314" t="str">
        <f t="shared" si="154"/>
        <v>--</v>
      </c>
      <c r="N543" s="2314" t="str">
        <f t="shared" si="154"/>
        <v>--</v>
      </c>
      <c r="O543" s="2315" t="str">
        <f t="shared" si="154"/>
        <v>--</v>
      </c>
      <c r="P543" s="2315" t="str">
        <f t="shared" si="154"/>
        <v>--</v>
      </c>
      <c r="Q543" s="255"/>
      <c r="R543" s="255"/>
      <c r="S543" s="2314" t="str">
        <f>IFERROR(AVERAGE(K543:$O543),"--")</f>
        <v>--</v>
      </c>
      <c r="T543" s="2314" t="str">
        <f>IFERROR(AVERAGE(L543:$O543),"--")</f>
        <v>--</v>
      </c>
      <c r="U543" s="2314" t="str">
        <f>IFERROR(AVERAGE(M543:$O543),"--")</f>
        <v>--</v>
      </c>
      <c r="V543" s="2314" t="str">
        <f>IFERROR(AVERAGE(N543:$O543),"--")</f>
        <v>--</v>
      </c>
      <c r="W543" s="2060"/>
      <c r="X543" s="2060"/>
      <c r="AG543" s="2060"/>
      <c r="AH543" s="2060"/>
    </row>
    <row r="544" spans="1:34" s="89" customFormat="1" ht="13.9">
      <c r="A544" s="269" t="str">
        <f t="shared" si="155"/>
        <v>n</v>
      </c>
      <c r="B544" s="2060"/>
      <c r="D544" s="801"/>
      <c r="E544" s="1505">
        <v>11</v>
      </c>
      <c r="F544" s="21" t="str">
        <f>F$139</f>
        <v>--</v>
      </c>
      <c r="G544" s="1441">
        <f>G$139</f>
        <v>0</v>
      </c>
      <c r="H544" s="1441" t="str">
        <f>H$139</f>
        <v>--</v>
      </c>
      <c r="I544" s="314"/>
      <c r="J544" s="1445"/>
      <c r="K544" s="2314" t="str">
        <f t="shared" si="153"/>
        <v>--</v>
      </c>
      <c r="L544" s="2314" t="str">
        <f t="shared" si="154"/>
        <v>--</v>
      </c>
      <c r="M544" s="2314" t="str">
        <f t="shared" si="154"/>
        <v>--</v>
      </c>
      <c r="N544" s="2314" t="str">
        <f t="shared" si="154"/>
        <v>--</v>
      </c>
      <c r="O544" s="2315" t="str">
        <f t="shared" si="154"/>
        <v>--</v>
      </c>
      <c r="P544" s="2315" t="str">
        <f t="shared" si="154"/>
        <v>--</v>
      </c>
      <c r="Q544" s="255"/>
      <c r="R544" s="255"/>
      <c r="S544" s="2314" t="str">
        <f>IFERROR(AVERAGE(K544:$O544),"--")</f>
        <v>--</v>
      </c>
      <c r="T544" s="2314" t="str">
        <f>IFERROR(AVERAGE(L544:$O544),"--")</f>
        <v>--</v>
      </c>
      <c r="U544" s="2314" t="str">
        <f>IFERROR(AVERAGE(M544:$O544),"--")</f>
        <v>--</v>
      </c>
      <c r="V544" s="2314" t="str">
        <f>IFERROR(AVERAGE(N544:$O544),"--")</f>
        <v>--</v>
      </c>
      <c r="W544" s="2060"/>
      <c r="X544" s="2060"/>
      <c r="AG544" s="2060"/>
      <c r="AH544" s="2060"/>
    </row>
    <row r="545" spans="1:34" s="89" customFormat="1" ht="13.9">
      <c r="A545" s="269" t="str">
        <f t="shared" si="155"/>
        <v>n</v>
      </c>
      <c r="B545" s="2060"/>
      <c r="D545" s="801"/>
      <c r="E545" s="1505">
        <v>12</v>
      </c>
      <c r="F545" s="21" t="str">
        <f>F$140</f>
        <v>--</v>
      </c>
      <c r="G545" s="1441">
        <f>G$140</f>
        <v>0</v>
      </c>
      <c r="H545" s="1441" t="str">
        <f>H$140</f>
        <v>--</v>
      </c>
      <c r="I545" s="314"/>
      <c r="J545" s="1445"/>
      <c r="K545" s="2314" t="str">
        <f t="shared" si="153"/>
        <v>--</v>
      </c>
      <c r="L545" s="2314" t="str">
        <f t="shared" si="154"/>
        <v>--</v>
      </c>
      <c r="M545" s="2314" t="str">
        <f t="shared" si="154"/>
        <v>--</v>
      </c>
      <c r="N545" s="2314" t="str">
        <f t="shared" si="154"/>
        <v>--</v>
      </c>
      <c r="O545" s="2315" t="str">
        <f t="shared" si="154"/>
        <v>--</v>
      </c>
      <c r="P545" s="2315" t="str">
        <f t="shared" si="154"/>
        <v>--</v>
      </c>
      <c r="Q545" s="255"/>
      <c r="R545" s="255"/>
      <c r="S545" s="2314" t="str">
        <f>IFERROR(AVERAGE(K545:$O545),"--")</f>
        <v>--</v>
      </c>
      <c r="T545" s="2314" t="str">
        <f>IFERROR(AVERAGE(L545:$O545),"--")</f>
        <v>--</v>
      </c>
      <c r="U545" s="2314" t="str">
        <f>IFERROR(AVERAGE(M545:$O545),"--")</f>
        <v>--</v>
      </c>
      <c r="V545" s="2314" t="str">
        <f>IFERROR(AVERAGE(N545:$O545),"--")</f>
        <v>--</v>
      </c>
      <c r="W545" s="2060"/>
      <c r="X545" s="2060"/>
      <c r="AG545" s="2060"/>
      <c r="AH545" s="2060"/>
    </row>
    <row r="546" spans="1:34" s="89" customFormat="1" ht="13.9">
      <c r="A546" s="269" t="str">
        <f t="shared" si="155"/>
        <v>n</v>
      </c>
      <c r="B546" s="2060"/>
      <c r="D546" s="801"/>
      <c r="E546" s="1505">
        <v>13</v>
      </c>
      <c r="F546" s="21" t="str">
        <f>F$141</f>
        <v>--</v>
      </c>
      <c r="G546" s="1441">
        <f>G$141</f>
        <v>0</v>
      </c>
      <c r="H546" s="1441" t="str">
        <f>H$141</f>
        <v>--</v>
      </c>
      <c r="I546" s="314"/>
      <c r="J546" s="1445"/>
      <c r="K546" s="2314" t="str">
        <f t="shared" ref="K546:P546" si="156">IF(OR(K484&lt;0,K515&lt;0),"nmf",IFERROR(K515/K484,"--"))</f>
        <v>--</v>
      </c>
      <c r="L546" s="2314" t="str">
        <f t="shared" si="156"/>
        <v>--</v>
      </c>
      <c r="M546" s="2314" t="str">
        <f t="shared" si="156"/>
        <v>--</v>
      </c>
      <c r="N546" s="2314" t="str">
        <f t="shared" si="156"/>
        <v>--</v>
      </c>
      <c r="O546" s="2315" t="str">
        <f t="shared" si="156"/>
        <v>--</v>
      </c>
      <c r="P546" s="2315" t="str">
        <f t="shared" si="156"/>
        <v>--</v>
      </c>
      <c r="Q546" s="255"/>
      <c r="R546" s="255"/>
      <c r="S546" s="2314" t="str">
        <f>IFERROR(AVERAGE(K546:$O546),"--")</f>
        <v>--</v>
      </c>
      <c r="T546" s="2314" t="str">
        <f>IFERROR(AVERAGE(L546:$O546),"--")</f>
        <v>--</v>
      </c>
      <c r="U546" s="2314" t="str">
        <f>IFERROR(AVERAGE(M546:$O546),"--")</f>
        <v>--</v>
      </c>
      <c r="V546" s="2314" t="str">
        <f>IFERROR(AVERAGE(N546:$O546),"--")</f>
        <v>--</v>
      </c>
      <c r="W546" s="2060"/>
      <c r="X546" s="2060"/>
      <c r="AG546" s="2060"/>
      <c r="AH546" s="2060"/>
    </row>
    <row r="547" spans="1:34" s="89" customFormat="1" ht="13.9">
      <c r="A547" s="269" t="str">
        <f t="shared" si="155"/>
        <v>n</v>
      </c>
      <c r="B547" s="2060"/>
      <c r="D547" s="801"/>
      <c r="E547" s="1505">
        <v>14</v>
      </c>
      <c r="F547" s="21" t="str">
        <f>F$142</f>
        <v>--</v>
      </c>
      <c r="G547" s="1441">
        <f>G$142</f>
        <v>0</v>
      </c>
      <c r="H547" s="1441" t="str">
        <f>H$142</f>
        <v>--</v>
      </c>
      <c r="I547" s="314"/>
      <c r="J547" s="1445"/>
      <c r="K547" s="2314" t="str">
        <f t="shared" ref="K547:P547" si="157">IF(OR(K485&lt;0,K516&lt;0),"nmf",IFERROR(K516/K485,"--"))</f>
        <v>--</v>
      </c>
      <c r="L547" s="2314" t="str">
        <f t="shared" si="157"/>
        <v>--</v>
      </c>
      <c r="M547" s="2314" t="str">
        <f t="shared" si="157"/>
        <v>--</v>
      </c>
      <c r="N547" s="2314" t="str">
        <f t="shared" si="157"/>
        <v>--</v>
      </c>
      <c r="O547" s="2315" t="str">
        <f t="shared" si="157"/>
        <v>--</v>
      </c>
      <c r="P547" s="2315" t="str">
        <f t="shared" si="157"/>
        <v>--</v>
      </c>
      <c r="Q547" s="255"/>
      <c r="R547" s="255"/>
      <c r="S547" s="2314" t="str">
        <f>IFERROR(AVERAGE(K547:$O547),"--")</f>
        <v>--</v>
      </c>
      <c r="T547" s="2314" t="str">
        <f>IFERROR(AVERAGE(L547:$O547),"--")</f>
        <v>--</v>
      </c>
      <c r="U547" s="2314" t="str">
        <f>IFERROR(AVERAGE(M547:$O547),"--")</f>
        <v>--</v>
      </c>
      <c r="V547" s="2314" t="str">
        <f>IFERROR(AVERAGE(N547:$O547),"--")</f>
        <v>--</v>
      </c>
      <c r="W547" s="2060"/>
      <c r="X547" s="2060"/>
      <c r="AG547" s="2060"/>
      <c r="AH547" s="2060"/>
    </row>
    <row r="548" spans="1:34" s="89" customFormat="1" ht="13.9">
      <c r="A548" s="269" t="str">
        <f t="shared" si="155"/>
        <v>n</v>
      </c>
      <c r="B548" s="2060"/>
      <c r="D548" s="801"/>
      <c r="E548" s="1505">
        <v>15</v>
      </c>
      <c r="F548" s="21" t="str">
        <f>F$143</f>
        <v>--</v>
      </c>
      <c r="G548" s="1441">
        <f>G$143</f>
        <v>0</v>
      </c>
      <c r="H548" s="1441" t="str">
        <f>H$143</f>
        <v>--</v>
      </c>
      <c r="I548" s="314"/>
      <c r="J548" s="1445"/>
      <c r="K548" s="2314" t="str">
        <f t="shared" ref="K548:P548" si="158">IF(OR(K486&lt;0,K517&lt;0),"nmf",IFERROR(K517/K486,"--"))</f>
        <v>--</v>
      </c>
      <c r="L548" s="2314" t="str">
        <f t="shared" si="158"/>
        <v>--</v>
      </c>
      <c r="M548" s="2314" t="str">
        <f t="shared" si="158"/>
        <v>--</v>
      </c>
      <c r="N548" s="2314" t="str">
        <f t="shared" si="158"/>
        <v>--</v>
      </c>
      <c r="O548" s="2315" t="str">
        <f t="shared" si="158"/>
        <v>--</v>
      </c>
      <c r="P548" s="2315" t="str">
        <f t="shared" si="158"/>
        <v>--</v>
      </c>
      <c r="Q548" s="255"/>
      <c r="R548" s="255"/>
      <c r="S548" s="2314" t="str">
        <f>IFERROR(AVERAGE(K548:$O548),"--")</f>
        <v>--</v>
      </c>
      <c r="T548" s="2314" t="str">
        <f>IFERROR(AVERAGE(L548:$O548),"--")</f>
        <v>--</v>
      </c>
      <c r="U548" s="2314" t="str">
        <f>IFERROR(AVERAGE(M548:$O548),"--")</f>
        <v>--</v>
      </c>
      <c r="V548" s="2314" t="str">
        <f>IFERROR(AVERAGE(N548:$O548),"--")</f>
        <v>--</v>
      </c>
      <c r="W548" s="2060"/>
      <c r="X548" s="2060"/>
      <c r="AG548" s="2060"/>
      <c r="AH548" s="2060"/>
    </row>
    <row r="549" spans="1:34" s="89" customFormat="1" ht="13.9">
      <c r="A549" s="269" t="str">
        <f t="shared" si="155"/>
        <v>n</v>
      </c>
      <c r="B549" s="2060"/>
      <c r="D549" s="801"/>
      <c r="E549" s="1505">
        <v>16</v>
      </c>
      <c r="F549" s="21" t="str">
        <f>F$144</f>
        <v>--</v>
      </c>
      <c r="G549" s="1441">
        <f>G$144</f>
        <v>0</v>
      </c>
      <c r="H549" s="1441" t="str">
        <f>H$144</f>
        <v>--</v>
      </c>
      <c r="I549" s="314"/>
      <c r="J549" s="1445"/>
      <c r="K549" s="2314" t="str">
        <f t="shared" ref="K549:P549" si="159">IF(OR(K487&lt;0,K518&lt;0),"nmf",IFERROR(K518/K487,"--"))</f>
        <v>--</v>
      </c>
      <c r="L549" s="2314" t="str">
        <f t="shared" si="159"/>
        <v>--</v>
      </c>
      <c r="M549" s="2314" t="str">
        <f t="shared" si="159"/>
        <v>--</v>
      </c>
      <c r="N549" s="2314" t="str">
        <f t="shared" si="159"/>
        <v>--</v>
      </c>
      <c r="O549" s="2315" t="str">
        <f t="shared" si="159"/>
        <v>--</v>
      </c>
      <c r="P549" s="2315" t="str">
        <f t="shared" si="159"/>
        <v>--</v>
      </c>
      <c r="Q549" s="255"/>
      <c r="R549" s="255"/>
      <c r="S549" s="2314" t="str">
        <f>IFERROR(AVERAGE(K549:$O549),"--")</f>
        <v>--</v>
      </c>
      <c r="T549" s="2314" t="str">
        <f>IFERROR(AVERAGE(L549:$O549),"--")</f>
        <v>--</v>
      </c>
      <c r="U549" s="2314" t="str">
        <f>IFERROR(AVERAGE(M549:$O549),"--")</f>
        <v>--</v>
      </c>
      <c r="V549" s="2314" t="str">
        <f>IFERROR(AVERAGE(N549:$O549),"--")</f>
        <v>--</v>
      </c>
      <c r="W549" s="2060"/>
      <c r="X549" s="2060"/>
      <c r="AG549" s="2060"/>
      <c r="AH549" s="2060"/>
    </row>
    <row r="550" spans="1:34" s="89" customFormat="1" ht="13.9">
      <c r="A550" s="269" t="str">
        <f t="shared" si="155"/>
        <v>n</v>
      </c>
      <c r="B550" s="2060"/>
      <c r="D550" s="801"/>
      <c r="E550" s="1505">
        <v>17</v>
      </c>
      <c r="F550" s="21" t="str">
        <f>F$145</f>
        <v>--</v>
      </c>
      <c r="G550" s="1441">
        <f>G$145</f>
        <v>0</v>
      </c>
      <c r="H550" s="1441" t="str">
        <f>H$145</f>
        <v>--</v>
      </c>
      <c r="I550" s="314"/>
      <c r="J550" s="1445"/>
      <c r="K550" s="2314" t="str">
        <f t="shared" ref="K550:P550" si="160">IF(OR(K488&lt;0,K519&lt;0),"nmf",IFERROR(K519/K488,"--"))</f>
        <v>--</v>
      </c>
      <c r="L550" s="2314" t="str">
        <f t="shared" si="160"/>
        <v>--</v>
      </c>
      <c r="M550" s="2314" t="str">
        <f t="shared" si="160"/>
        <v>--</v>
      </c>
      <c r="N550" s="2314" t="str">
        <f t="shared" si="160"/>
        <v>--</v>
      </c>
      <c r="O550" s="2315" t="str">
        <f t="shared" si="160"/>
        <v>--</v>
      </c>
      <c r="P550" s="2315" t="str">
        <f t="shared" si="160"/>
        <v>--</v>
      </c>
      <c r="Q550" s="255"/>
      <c r="R550" s="255"/>
      <c r="S550" s="2314" t="str">
        <f>IFERROR(AVERAGE(K550:$O550),"--")</f>
        <v>--</v>
      </c>
      <c r="T550" s="2314" t="str">
        <f>IFERROR(AVERAGE(L550:$O550),"--")</f>
        <v>--</v>
      </c>
      <c r="U550" s="2314" t="str">
        <f>IFERROR(AVERAGE(M550:$O550),"--")</f>
        <v>--</v>
      </c>
      <c r="V550" s="2314" t="str">
        <f>IFERROR(AVERAGE(N550:$O550),"--")</f>
        <v>--</v>
      </c>
      <c r="W550" s="2060"/>
      <c r="X550" s="2060"/>
      <c r="AG550" s="2060"/>
      <c r="AH550" s="2060"/>
    </row>
    <row r="551" spans="1:34" s="89" customFormat="1" ht="13.9">
      <c r="A551" s="269" t="str">
        <f t="shared" si="155"/>
        <v>n</v>
      </c>
      <c r="B551" s="2060"/>
      <c r="D551" s="801"/>
      <c r="E551" s="1505">
        <v>18</v>
      </c>
      <c r="F551" s="21" t="str">
        <f>F$146</f>
        <v>--</v>
      </c>
      <c r="G551" s="1441">
        <f>G$146</f>
        <v>0</v>
      </c>
      <c r="H551" s="1441" t="str">
        <f>H$146</f>
        <v>--</v>
      </c>
      <c r="I551" s="314"/>
      <c r="J551" s="1445"/>
      <c r="K551" s="2314" t="str">
        <f t="shared" ref="K551:P551" si="161">IF(OR(K489&lt;0,K520&lt;0),"nmf",IFERROR(K520/K489,"--"))</f>
        <v>--</v>
      </c>
      <c r="L551" s="2314" t="str">
        <f t="shared" si="161"/>
        <v>--</v>
      </c>
      <c r="M551" s="2314" t="str">
        <f t="shared" si="161"/>
        <v>--</v>
      </c>
      <c r="N551" s="2314" t="str">
        <f t="shared" si="161"/>
        <v>--</v>
      </c>
      <c r="O551" s="2315" t="str">
        <f t="shared" si="161"/>
        <v>--</v>
      </c>
      <c r="P551" s="2315" t="str">
        <f t="shared" si="161"/>
        <v>--</v>
      </c>
      <c r="Q551" s="255"/>
      <c r="R551" s="255"/>
      <c r="S551" s="2314" t="str">
        <f>IFERROR(AVERAGE(K551:$O551),"--")</f>
        <v>--</v>
      </c>
      <c r="T551" s="2314" t="str">
        <f>IFERROR(AVERAGE(L551:$O551),"--")</f>
        <v>--</v>
      </c>
      <c r="U551" s="2314" t="str">
        <f>IFERROR(AVERAGE(M551:$O551),"--")</f>
        <v>--</v>
      </c>
      <c r="V551" s="2314" t="str">
        <f>IFERROR(AVERAGE(N551:$O551),"--")</f>
        <v>--</v>
      </c>
      <c r="W551" s="2060"/>
      <c r="X551" s="2060"/>
      <c r="AG551" s="2060"/>
      <c r="AH551" s="2060"/>
    </row>
    <row r="552" spans="1:34" s="89" customFormat="1" ht="13.9">
      <c r="A552" s="269" t="str">
        <f t="shared" si="155"/>
        <v>n</v>
      </c>
      <c r="B552" s="2060"/>
      <c r="D552" s="801"/>
      <c r="E552" s="1505">
        <v>19</v>
      </c>
      <c r="F552" s="21" t="str">
        <f>F$147</f>
        <v>--</v>
      </c>
      <c r="G552" s="1441">
        <f>G$147</f>
        <v>0</v>
      </c>
      <c r="H552" s="1441" t="str">
        <f>H$147</f>
        <v>--</v>
      </c>
      <c r="I552" s="314"/>
      <c r="J552" s="1445"/>
      <c r="K552" s="2314" t="str">
        <f t="shared" ref="K552:P552" si="162">IF(OR(K490&lt;0,K521&lt;0),"nmf",IFERROR(K521/K490,"--"))</f>
        <v>--</v>
      </c>
      <c r="L552" s="2314" t="str">
        <f t="shared" si="162"/>
        <v>--</v>
      </c>
      <c r="M552" s="2314" t="str">
        <f t="shared" si="162"/>
        <v>--</v>
      </c>
      <c r="N552" s="2314" t="str">
        <f t="shared" si="162"/>
        <v>--</v>
      </c>
      <c r="O552" s="2315" t="str">
        <f t="shared" si="162"/>
        <v>--</v>
      </c>
      <c r="P552" s="2315" t="str">
        <f t="shared" si="162"/>
        <v>--</v>
      </c>
      <c r="Q552" s="255"/>
      <c r="R552" s="255"/>
      <c r="S552" s="2314" t="str">
        <f>IFERROR(AVERAGE(K552:$O552),"--")</f>
        <v>--</v>
      </c>
      <c r="T552" s="2314" t="str">
        <f>IFERROR(AVERAGE(L552:$O552),"--")</f>
        <v>--</v>
      </c>
      <c r="U552" s="2314" t="str">
        <f>IFERROR(AVERAGE(M552:$O552),"--")</f>
        <v>--</v>
      </c>
      <c r="V552" s="2314" t="str">
        <f>IFERROR(AVERAGE(N552:$O552),"--")</f>
        <v>--</v>
      </c>
      <c r="W552" s="2060"/>
      <c r="X552" s="2060"/>
      <c r="AG552" s="2060"/>
      <c r="AH552" s="2060"/>
    </row>
    <row r="553" spans="1:34" s="89" customFormat="1" ht="13.9">
      <c r="A553" s="269" t="str">
        <f t="shared" si="155"/>
        <v>n</v>
      </c>
      <c r="B553" s="2060"/>
      <c r="D553" s="801"/>
      <c r="E553" s="1505">
        <v>20</v>
      </c>
      <c r="F553" s="21" t="str">
        <f>F$148</f>
        <v>--</v>
      </c>
      <c r="G553" s="1441">
        <f>G$148</f>
        <v>0</v>
      </c>
      <c r="H553" s="1441" t="str">
        <f>H$148</f>
        <v>--</v>
      </c>
      <c r="I553" s="314"/>
      <c r="J553" s="1445"/>
      <c r="K553" s="2314" t="str">
        <f t="shared" ref="K553:P553" si="163">IF(OR(K491&lt;0,K522&lt;0),"nmf",IFERROR(K522/K491,"--"))</f>
        <v>--</v>
      </c>
      <c r="L553" s="2314" t="str">
        <f t="shared" si="163"/>
        <v>--</v>
      </c>
      <c r="M553" s="2314" t="str">
        <f t="shared" si="163"/>
        <v>--</v>
      </c>
      <c r="N553" s="2314" t="str">
        <f t="shared" si="163"/>
        <v>--</v>
      </c>
      <c r="O553" s="2315" t="str">
        <f t="shared" si="163"/>
        <v>--</v>
      </c>
      <c r="P553" s="2315" t="str">
        <f t="shared" si="163"/>
        <v>--</v>
      </c>
      <c r="Q553" s="255"/>
      <c r="R553" s="255"/>
      <c r="S553" s="2314" t="str">
        <f>IFERROR(AVERAGE(K553:$O553),"--")</f>
        <v>--</v>
      </c>
      <c r="T553" s="2314" t="str">
        <f>IFERROR(AVERAGE(L553:$O553),"--")</f>
        <v>--</v>
      </c>
      <c r="U553" s="2314" t="str">
        <f>IFERROR(AVERAGE(M553:$O553),"--")</f>
        <v>--</v>
      </c>
      <c r="V553" s="2314" t="str">
        <f>IFERROR(AVERAGE(N553:$O553),"--")</f>
        <v>--</v>
      </c>
      <c r="W553" s="2060"/>
      <c r="X553" s="2060"/>
      <c r="AG553" s="2060"/>
      <c r="AH553" s="2060"/>
    </row>
    <row r="554" spans="1:34" s="89" customFormat="1" ht="13.9">
      <c r="A554" s="269" t="str">
        <f t="shared" si="155"/>
        <v>n</v>
      </c>
      <c r="B554" s="2060"/>
      <c r="D554" s="801"/>
      <c r="E554" s="1505">
        <v>21</v>
      </c>
      <c r="F554" s="21" t="str">
        <f>F$149</f>
        <v>--</v>
      </c>
      <c r="G554" s="1441">
        <f>G$149</f>
        <v>0</v>
      </c>
      <c r="H554" s="1441" t="str">
        <f>H$149</f>
        <v>--</v>
      </c>
      <c r="I554" s="314"/>
      <c r="J554" s="1445"/>
      <c r="K554" s="2314" t="str">
        <f t="shared" ref="K554:P554" si="164">IF(OR(K492&lt;0,K523&lt;0),"nmf",IFERROR(K523/K492,"--"))</f>
        <v>--</v>
      </c>
      <c r="L554" s="2314" t="str">
        <f t="shared" si="164"/>
        <v>--</v>
      </c>
      <c r="M554" s="2314" t="str">
        <f t="shared" si="164"/>
        <v>--</v>
      </c>
      <c r="N554" s="2314" t="str">
        <f t="shared" si="164"/>
        <v>--</v>
      </c>
      <c r="O554" s="2315" t="str">
        <f t="shared" si="164"/>
        <v>--</v>
      </c>
      <c r="P554" s="2315" t="str">
        <f t="shared" si="164"/>
        <v>--</v>
      </c>
      <c r="Q554" s="255"/>
      <c r="R554" s="255"/>
      <c r="S554" s="2314" t="str">
        <f>IFERROR(AVERAGE(K554:$O554),"--")</f>
        <v>--</v>
      </c>
      <c r="T554" s="2314" t="str">
        <f>IFERROR(AVERAGE(L554:$O554),"--")</f>
        <v>--</v>
      </c>
      <c r="U554" s="2314" t="str">
        <f>IFERROR(AVERAGE(M554:$O554),"--")</f>
        <v>--</v>
      </c>
      <c r="V554" s="2314" t="str">
        <f>IFERROR(AVERAGE(N554:$O554),"--")</f>
        <v>--</v>
      </c>
      <c r="W554" s="2060"/>
      <c r="X554" s="2060"/>
      <c r="AG554" s="2060"/>
      <c r="AH554" s="2060"/>
    </row>
    <row r="555" spans="1:34" s="89" customFormat="1" ht="13.9">
      <c r="A555" s="269" t="str">
        <f t="shared" si="155"/>
        <v>n</v>
      </c>
      <c r="B555" s="2060"/>
      <c r="D555" s="801"/>
      <c r="E555" s="1505">
        <v>22</v>
      </c>
      <c r="F555" s="21" t="str">
        <f>F$150</f>
        <v>--</v>
      </c>
      <c r="G555" s="1441">
        <f>G$150</f>
        <v>0</v>
      </c>
      <c r="H555" s="1441" t="str">
        <f>H$150</f>
        <v>--</v>
      </c>
      <c r="I555" s="314"/>
      <c r="J555" s="1445"/>
      <c r="K555" s="2314" t="str">
        <f t="shared" ref="K555:P555" si="165">IF(OR(K493&lt;0,K524&lt;0),"nmf",IFERROR(K524/K493,"--"))</f>
        <v>--</v>
      </c>
      <c r="L555" s="2314" t="str">
        <f t="shared" si="165"/>
        <v>--</v>
      </c>
      <c r="M555" s="2314" t="str">
        <f t="shared" si="165"/>
        <v>--</v>
      </c>
      <c r="N555" s="2314" t="str">
        <f t="shared" si="165"/>
        <v>--</v>
      </c>
      <c r="O555" s="2315" t="str">
        <f t="shared" si="165"/>
        <v>--</v>
      </c>
      <c r="P555" s="2315" t="str">
        <f t="shared" si="165"/>
        <v>--</v>
      </c>
      <c r="Q555" s="255"/>
      <c r="R555" s="255"/>
      <c r="S555" s="2314" t="str">
        <f>IFERROR(AVERAGE(K555:$O555),"--")</f>
        <v>--</v>
      </c>
      <c r="T555" s="2314" t="str">
        <f>IFERROR(AVERAGE(L555:$O555),"--")</f>
        <v>--</v>
      </c>
      <c r="U555" s="2314" t="str">
        <f>IFERROR(AVERAGE(M555:$O555),"--")</f>
        <v>--</v>
      </c>
      <c r="V555" s="2314" t="str">
        <f>IFERROR(AVERAGE(N555:$O555),"--")</f>
        <v>--</v>
      </c>
      <c r="W555" s="2060"/>
      <c r="X555" s="2060"/>
      <c r="AG555" s="2060"/>
      <c r="AH555" s="2060"/>
    </row>
    <row r="556" spans="1:34" s="89" customFormat="1" ht="13.9">
      <c r="A556" s="269" t="str">
        <f t="shared" si="155"/>
        <v>n</v>
      </c>
      <c r="B556" s="2060"/>
      <c r="D556" s="801"/>
      <c r="E556" s="1505">
        <v>23</v>
      </c>
      <c r="F556" s="21" t="str">
        <f>F$151</f>
        <v>--</v>
      </c>
      <c r="G556" s="1441">
        <f>G$151</f>
        <v>0</v>
      </c>
      <c r="H556" s="1441" t="str">
        <f>H$151</f>
        <v>--</v>
      </c>
      <c r="I556" s="314"/>
      <c r="J556" s="1445"/>
      <c r="K556" s="2314" t="str">
        <f t="shared" ref="K556:P556" si="166">IF(OR(K494&lt;0,K525&lt;0),"nmf",IFERROR(K525/K494,"--"))</f>
        <v>--</v>
      </c>
      <c r="L556" s="2314" t="str">
        <f t="shared" si="166"/>
        <v>--</v>
      </c>
      <c r="M556" s="2314" t="str">
        <f t="shared" si="166"/>
        <v>--</v>
      </c>
      <c r="N556" s="2314" t="str">
        <f t="shared" si="166"/>
        <v>--</v>
      </c>
      <c r="O556" s="2315" t="str">
        <f t="shared" si="166"/>
        <v>--</v>
      </c>
      <c r="P556" s="2315" t="str">
        <f t="shared" si="166"/>
        <v>--</v>
      </c>
      <c r="Q556" s="255"/>
      <c r="R556" s="255"/>
      <c r="S556" s="2314" t="str">
        <f>IFERROR(AVERAGE(K556:$O556),"--")</f>
        <v>--</v>
      </c>
      <c r="T556" s="2314" t="str">
        <f>IFERROR(AVERAGE(L556:$O556),"--")</f>
        <v>--</v>
      </c>
      <c r="U556" s="2314" t="str">
        <f>IFERROR(AVERAGE(M556:$O556),"--")</f>
        <v>--</v>
      </c>
      <c r="V556" s="2314" t="str">
        <f>IFERROR(AVERAGE(N556:$O556),"--")</f>
        <v>--</v>
      </c>
      <c r="W556" s="2060"/>
      <c r="X556" s="2060"/>
      <c r="AG556" s="2060"/>
      <c r="AH556" s="2060"/>
    </row>
    <row r="557" spans="1:34" s="89" customFormat="1" ht="13.9">
      <c r="A557" s="269" t="str">
        <f t="shared" si="155"/>
        <v>n</v>
      </c>
      <c r="B557" s="2060"/>
      <c r="D557" s="801"/>
      <c r="E557" s="1505">
        <v>24</v>
      </c>
      <c r="F557" s="21" t="str">
        <f>F$152</f>
        <v>--</v>
      </c>
      <c r="G557" s="1441">
        <f>G$152</f>
        <v>0</v>
      </c>
      <c r="H557" s="1441" t="str">
        <f>H$152</f>
        <v>--</v>
      </c>
      <c r="I557" s="314"/>
      <c r="J557" s="1445"/>
      <c r="K557" s="2314" t="str">
        <f t="shared" ref="K557:P557" si="167">IF(OR(K495&lt;0,K526&lt;0),"nmf",IFERROR(K526/K495,"--"))</f>
        <v>--</v>
      </c>
      <c r="L557" s="2314" t="str">
        <f t="shared" si="167"/>
        <v>--</v>
      </c>
      <c r="M557" s="2314" t="str">
        <f t="shared" si="167"/>
        <v>--</v>
      </c>
      <c r="N557" s="2314" t="str">
        <f t="shared" si="167"/>
        <v>--</v>
      </c>
      <c r="O557" s="2315" t="str">
        <f t="shared" si="167"/>
        <v>--</v>
      </c>
      <c r="P557" s="2315" t="str">
        <f t="shared" si="167"/>
        <v>--</v>
      </c>
      <c r="Q557" s="255"/>
      <c r="R557" s="255"/>
      <c r="S557" s="2314" t="str">
        <f>IFERROR(AVERAGE(K557:$O557),"--")</f>
        <v>--</v>
      </c>
      <c r="T557" s="2314" t="str">
        <f>IFERROR(AVERAGE(L557:$O557),"--")</f>
        <v>--</v>
      </c>
      <c r="U557" s="2314" t="str">
        <f>IFERROR(AVERAGE(M557:$O557),"--")</f>
        <v>--</v>
      </c>
      <c r="V557" s="2314" t="str">
        <f>IFERROR(AVERAGE(N557:$O557),"--")</f>
        <v>--</v>
      </c>
      <c r="W557" s="2060"/>
      <c r="X557" s="2060"/>
      <c r="AG557" s="2060"/>
      <c r="AH557" s="2060"/>
    </row>
    <row r="558" spans="1:34" s="89" customFormat="1" ht="13.9">
      <c r="A558" s="269" t="str">
        <f t="shared" si="155"/>
        <v>n</v>
      </c>
      <c r="B558" s="2060"/>
      <c r="D558" s="801"/>
      <c r="E558" s="1505">
        <v>25</v>
      </c>
      <c r="F558" s="21" t="str">
        <f>F$153</f>
        <v>--</v>
      </c>
      <c r="G558" s="1441">
        <f>G$153</f>
        <v>0</v>
      </c>
      <c r="H558" s="1441" t="str">
        <f>H$153</f>
        <v>--</v>
      </c>
      <c r="I558" s="314"/>
      <c r="J558" s="1445"/>
      <c r="K558" s="2314" t="str">
        <f t="shared" ref="K558:P558" si="168">IF(OR(K496&lt;0,K527&lt;0),"nmf",IFERROR(K527/K496,"--"))</f>
        <v>--</v>
      </c>
      <c r="L558" s="2314" t="str">
        <f t="shared" si="168"/>
        <v>--</v>
      </c>
      <c r="M558" s="2314" t="str">
        <f t="shared" si="168"/>
        <v>--</v>
      </c>
      <c r="N558" s="2314" t="str">
        <f t="shared" si="168"/>
        <v>--</v>
      </c>
      <c r="O558" s="2315" t="str">
        <f t="shared" si="168"/>
        <v>--</v>
      </c>
      <c r="P558" s="2315" t="str">
        <f t="shared" si="168"/>
        <v>--</v>
      </c>
      <c r="Q558" s="255"/>
      <c r="R558" s="255"/>
      <c r="S558" s="2314" t="str">
        <f>IFERROR(AVERAGE(K558:$O558),"--")</f>
        <v>--</v>
      </c>
      <c r="T558" s="2314" t="str">
        <f>IFERROR(AVERAGE(L558:$O558),"--")</f>
        <v>--</v>
      </c>
      <c r="U558" s="2314" t="str">
        <f>IFERROR(AVERAGE(M558:$O558),"--")</f>
        <v>--</v>
      </c>
      <c r="V558" s="2314" t="str">
        <f>IFERROR(AVERAGE(N558:$O558),"--")</f>
        <v>--</v>
      </c>
      <c r="W558" s="2060"/>
      <c r="X558" s="2060"/>
      <c r="AG558" s="2060"/>
      <c r="AH558" s="2060"/>
    </row>
    <row r="559" spans="1:34" s="89" customFormat="1" ht="13.9">
      <c r="A559" s="2060"/>
      <c r="B559" s="2060"/>
      <c r="D559" s="801"/>
      <c r="F559" s="57" t="s">
        <v>767</v>
      </c>
      <c r="G559" s="1442"/>
      <c r="H559" s="1442"/>
      <c r="I559" s="1442"/>
      <c r="J559" s="1442"/>
      <c r="K559" s="277" t="str">
        <f t="shared" ref="K559:P559" si="169">IFERROR(MEDIAN(K534:K558),"--")</f>
        <v>--</v>
      </c>
      <c r="L559" s="277" t="str">
        <f t="shared" si="169"/>
        <v>--</v>
      </c>
      <c r="M559" s="277" t="str">
        <f t="shared" si="169"/>
        <v>--</v>
      </c>
      <c r="N559" s="277" t="str">
        <f t="shared" si="169"/>
        <v>--</v>
      </c>
      <c r="O559" s="278" t="str">
        <f t="shared" si="169"/>
        <v>--</v>
      </c>
      <c r="P559" s="277" t="str">
        <f t="shared" si="169"/>
        <v>--</v>
      </c>
      <c r="Q559" s="255"/>
      <c r="R559" s="255"/>
      <c r="S559" s="277" t="str">
        <f>IFERROR(MEDIAN(S534:S558),"--")</f>
        <v>--</v>
      </c>
      <c r="T559" s="277" t="str">
        <f>IFERROR(MEDIAN(T534:T558),"--")</f>
        <v>--</v>
      </c>
      <c r="U559" s="277" t="str">
        <f>IFERROR(MEDIAN(U534:U558),"--")</f>
        <v>--</v>
      </c>
      <c r="V559" s="277" t="str">
        <f>IFERROR(MEDIAN(V534:V558),"--")</f>
        <v>--</v>
      </c>
      <c r="W559" s="2060"/>
      <c r="X559" s="2060"/>
      <c r="AG559" s="2060"/>
      <c r="AH559" s="2060"/>
    </row>
    <row r="560" spans="1:34" s="89" customFormat="1" ht="13.9">
      <c r="A560" s="2060"/>
      <c r="B560" s="2060"/>
      <c r="D560" s="802"/>
      <c r="E560" s="21"/>
      <c r="F560" s="21"/>
      <c r="O560" s="75"/>
      <c r="P560" s="76"/>
      <c r="R560" s="521"/>
      <c r="W560" s="2060"/>
      <c r="X560" s="2060"/>
      <c r="AF560" s="2060"/>
      <c r="AG560" s="2060"/>
      <c r="AH560" s="2060"/>
    </row>
    <row r="561" spans="1:34" s="89" customFormat="1" ht="13.9">
      <c r="A561" s="2060"/>
      <c r="B561" s="2060"/>
      <c r="D561" s="802"/>
      <c r="E561" s="21"/>
      <c r="F561" s="21"/>
      <c r="O561" s="75"/>
      <c r="P561" s="76"/>
      <c r="R561" s="521"/>
      <c r="AA561" s="2060"/>
      <c r="AB561" s="2060"/>
      <c r="AC561" s="2060"/>
      <c r="AD561" s="2060"/>
      <c r="AE561" s="2060"/>
      <c r="AF561" s="2060"/>
      <c r="AG561" s="2060"/>
      <c r="AH561" s="2060"/>
    </row>
    <row r="562" spans="1:34" s="89" customFormat="1" ht="18">
      <c r="A562" s="2060"/>
      <c r="B562" s="2060"/>
      <c r="C562" s="1435">
        <f ca="1">MAX(OFFSET(C562,-1,0,-ROW(C562)+1,1))+1</f>
        <v>5</v>
      </c>
      <c r="D562" s="788" t="s">
        <v>799</v>
      </c>
      <c r="E562" s="793"/>
      <c r="F562" s="1447"/>
      <c r="G562" s="776"/>
      <c r="H562" s="776"/>
      <c r="I562" s="776"/>
      <c r="J562" s="776"/>
      <c r="K562" s="776"/>
      <c r="L562" s="1462"/>
      <c r="M562" s="1462"/>
      <c r="N562" s="1462"/>
      <c r="O562" s="1463"/>
      <c r="P562" s="1464"/>
      <c r="Q562" s="1462"/>
      <c r="R562" s="1462"/>
      <c r="S562" s="1462"/>
      <c r="T562" s="1462"/>
      <c r="U562" s="1462"/>
      <c r="V562" s="1462"/>
      <c r="W562" s="1462"/>
      <c r="X562" s="1462"/>
      <c r="Y562" s="1462"/>
      <c r="Z562" s="795"/>
      <c r="AA562" s="2060"/>
      <c r="AB562" s="2060"/>
      <c r="AC562" s="2060"/>
      <c r="AD562" s="2060"/>
      <c r="AE562" s="2060"/>
      <c r="AF562" s="2060"/>
      <c r="AG562" s="2060"/>
      <c r="AH562" s="2060"/>
    </row>
    <row r="563" spans="1:34" s="89" customFormat="1" ht="13.9">
      <c r="A563" s="2060"/>
      <c r="B563" s="2060"/>
      <c r="D563" s="802"/>
      <c r="E563" s="21"/>
      <c r="F563" s="756"/>
      <c r="G563" s="724"/>
      <c r="H563" s="724"/>
      <c r="I563" s="724"/>
      <c r="J563" s="724"/>
      <c r="K563" s="724"/>
      <c r="L563" s="724"/>
      <c r="M563" s="724"/>
      <c r="N563" s="724"/>
      <c r="O563" s="757" t="s">
        <v>768</v>
      </c>
      <c r="P563" s="724"/>
      <c r="Q563" s="724"/>
      <c r="R563" s="725"/>
      <c r="S563" s="724"/>
      <c r="T563" s="1029" t="s">
        <v>800</v>
      </c>
      <c r="U563" s="765"/>
      <c r="V563" s="765"/>
      <c r="W563" s="765"/>
      <c r="X563" s="765"/>
      <c r="Y563" s="724"/>
      <c r="AA563" s="1029" t="str">
        <f>"Number of estimates included in "&amp;F564&amp;" consensus"</f>
        <v>Number of estimates included in Revenue consensus</v>
      </c>
      <c r="AB563" s="2060"/>
      <c r="AC563" s="2060"/>
      <c r="AD563" s="2060"/>
      <c r="AE563" s="2060"/>
      <c r="AF563" s="2060"/>
      <c r="AG563" s="2060"/>
      <c r="AH563" s="2060"/>
    </row>
    <row r="564" spans="1:34" s="89" customFormat="1" ht="13.9">
      <c r="A564" s="2060"/>
      <c r="B564" s="2060"/>
      <c r="D564" s="778">
        <f ca="1">MAX(OFFSET(D564,-1,0,-ROW(D564)+1,-2),1)+0.01</f>
        <v>5.01</v>
      </c>
      <c r="E564" s="125"/>
      <c r="F564" s="952" t="s">
        <v>463</v>
      </c>
      <c r="G564" s="724" t="s">
        <v>796</v>
      </c>
      <c r="H564" s="724"/>
      <c r="I564" s="724"/>
      <c r="J564" s="758" t="s">
        <v>699</v>
      </c>
      <c r="K564" s="758" t="s">
        <v>700</v>
      </c>
      <c r="L564" s="758" t="s">
        <v>701</v>
      </c>
      <c r="M564" s="758" t="s">
        <v>702</v>
      </c>
      <c r="N564" s="758" t="s">
        <v>703</v>
      </c>
      <c r="O564" s="759" t="s">
        <v>704</v>
      </c>
      <c r="P564" s="725" t="s">
        <v>705</v>
      </c>
      <c r="R564" s="725" t="s">
        <v>706</v>
      </c>
      <c r="S564" s="724" t="s">
        <v>801</v>
      </c>
      <c r="T564" s="725" t="s">
        <v>802</v>
      </c>
      <c r="U564" s="725" t="s">
        <v>707</v>
      </c>
      <c r="V564" s="725" t="s">
        <v>708</v>
      </c>
      <c r="W564" s="725" t="s">
        <v>709</v>
      </c>
      <c r="X564" s="725" t="s">
        <v>710</v>
      </c>
      <c r="Y564" s="725" t="s">
        <v>711</v>
      </c>
      <c r="AA564" s="725" t="str">
        <f>U564</f>
        <v>NFY</v>
      </c>
      <c r="AB564" s="725" t="str">
        <f>V564</f>
        <v>NFY+1</v>
      </c>
      <c r="AC564" s="725" t="str">
        <f>W564</f>
        <v>NFY+2</v>
      </c>
      <c r="AD564" s="725" t="str">
        <f>X564</f>
        <v>NFY+3</v>
      </c>
      <c r="AE564" s="725" t="str">
        <f>Y564</f>
        <v>NFY+4</v>
      </c>
      <c r="AF564" s="2060"/>
      <c r="AG564" s="2060"/>
      <c r="AH564" s="2060"/>
    </row>
    <row r="565" spans="1:34" s="89" customFormat="1" ht="13.9">
      <c r="A565" s="2060"/>
      <c r="B565" s="2060"/>
      <c r="D565" s="785"/>
      <c r="E565" s="1505">
        <v>0</v>
      </c>
      <c r="F565" s="1448" t="str">
        <f>F$128</f>
        <v/>
      </c>
      <c r="G565" s="1449">
        <f>G$128</f>
        <v>0</v>
      </c>
      <c r="H565" s="1449" t="str">
        <f>H$128</f>
        <v>USD</v>
      </c>
      <c r="I565" s="1450" t="s">
        <v>803</v>
      </c>
      <c r="J565" s="2304" t="str">
        <f>IF($G565=0,"--",IFERROR(_xll.ciqfunctions.udf.CIQ($G565,$I565,J99,Valuation_Date_GC,ReportType,DataMode,$H565,FXMode)*Scale,"--"))</f>
        <v>--</v>
      </c>
      <c r="K565" s="2304">
        <f>'INC STAT Hist Input'!F10</f>
        <v>0</v>
      </c>
      <c r="L565" s="2304">
        <f>'INC STAT Hist Input'!G10</f>
        <v>0</v>
      </c>
      <c r="M565" s="2304">
        <f>'INC STAT Hist Input'!H10</f>
        <v>0</v>
      </c>
      <c r="N565" s="2304">
        <f>'INC STAT Hist Input'!I10</f>
        <v>0</v>
      </c>
      <c r="O565" s="2304">
        <f>'INC STAT Hist Input'!J10</f>
        <v>0</v>
      </c>
      <c r="P565" s="2304">
        <f>'INC STAT Hist Input'!K10</f>
        <v>0</v>
      </c>
      <c r="R565" s="2316" t="str">
        <f>IF($G565=0,"--",IFERROR(_xll.ciqfunctions.udf.CIQ($G565,$I565,R99,Valuation_Date_GC,ReportType,DataMode,$H565,FXMode)*Scale,"--"))</f>
        <v>--</v>
      </c>
      <c r="S565" s="258" t="s">
        <v>801</v>
      </c>
      <c r="T565" s="2316">
        <f>IFERROR(IF('PFI Inputs'!F28,'PFI Inputs'!F28,_xll.ciqfunctions.udf.CIQ($G565,$S565,T99,Valuation_Date_GC,ReportType,DataMode,$H565)*Scale),"--")</f>
        <v>0</v>
      </c>
      <c r="U565" s="2316" t="str">
        <f>IFERROR(IF('PFI Inputs'!G28,'PFI Inputs'!G28,_xll.ciqfunctions.udf.CIQ($G565,$S565,U99,Valuation_Date_GC,ReportType,DataMode,$H565)*Scale),"--")</f>
        <v>--</v>
      </c>
      <c r="V565" s="2316" t="str">
        <f>IFERROR(IF('PFI Inputs'!H28,'PFI Inputs'!H28,_xll.ciqfunctions.udf.CIQ($G565,$S565,V99,Valuation_Date_GC,ReportType,DataMode,$H565)*Scale),"--")</f>
        <v>--</v>
      </c>
      <c r="W565" s="2316" t="str">
        <f>IFERROR(IF('PFI Inputs'!I28,'PFI Inputs'!I28,_xll.ciqfunctions.udf.CIQ($G565,$S565,W99,Valuation_Date_GC,ReportType,DataMode,$H565)*Scale),"--")</f>
        <v>--</v>
      </c>
      <c r="X565" s="2316" t="str">
        <f>IFERROR(IF('PFI Inputs'!J28,'PFI Inputs'!J28,_xll.ciqfunctions.udf.CIQ($G565,$S565,X99,Valuation_Date_GC,ReportType,DataMode,$H565)*Scale),"--")</f>
        <v>--</v>
      </c>
      <c r="Y565" s="2316" t="str">
        <f>IFERROR(IF('PFI Inputs'!K28,'PFI Inputs'!K28,_xll.ciqfunctions.udf.CIQ($G565,$S565,Y99,Valuation_Date_GC,ReportType,DataMode,$H565)*Scale),"--")</f>
        <v>--</v>
      </c>
      <c r="AA565" s="2301">
        <f>_xll.ciqfunctions.udf.CIQ($G565,"IQ_REVENUE_NUM_EST",U$97,Valuation_Date_GC,"CON")</f>
        <v>0</v>
      </c>
      <c r="AB565" s="2301">
        <f>_xll.ciqfunctions.udf.CIQ($G565,"IQ_REVENUE_NUM_EST",V$97,Valuation_Date_GC,"CON")</f>
        <v>0</v>
      </c>
      <c r="AC565" s="2301">
        <f>_xll.ciqfunctions.udf.CIQ($G565,"IQ_REVENUE_NUM_EST",W$97,Valuation_Date_GC,"CON")</f>
        <v>0</v>
      </c>
      <c r="AD565" s="2301">
        <f>_xll.ciqfunctions.udf.CIQ($G565,"IQ_REVENUE_NUM_EST",X$97,Valuation_Date_GC,"CON")</f>
        <v>0</v>
      </c>
      <c r="AE565" s="2301">
        <f>_xll.ciqfunctions.udf.CIQ($G565,"IQ_REVENUE_NUM_EST",Y$97,Valuation_Date_GC,"CON")</f>
        <v>0</v>
      </c>
      <c r="AF565" s="2060"/>
      <c r="AG565" s="2060"/>
      <c r="AH565" s="2060"/>
    </row>
    <row r="566" spans="1:34" s="89" customFormat="1" ht="13.9">
      <c r="A566" s="269" t="str">
        <f>IF(F566="--","n","")</f>
        <v>n</v>
      </c>
      <c r="B566" s="2060"/>
      <c r="C566" s="72"/>
      <c r="D566" s="801"/>
      <c r="E566" s="1505">
        <v>1</v>
      </c>
      <c r="F566" s="21" t="str">
        <f>F$129</f>
        <v>--</v>
      </c>
      <c r="G566" s="1441">
        <f>G$129</f>
        <v>0</v>
      </c>
      <c r="H566" s="1441" t="str">
        <f>H$129</f>
        <v>--</v>
      </c>
      <c r="I566" s="1513" t="s">
        <v>803</v>
      </c>
      <c r="J566" s="2301" t="str">
        <f>IF($G566=0,"--",IFERROR(_xll.ciqfunctions.udf.CIQ($G566,$I566,J100,Valuation_Date_GC,ReportType,DataMode,$H566,FXMode)*Scale,"--"))</f>
        <v>--</v>
      </c>
      <c r="K566" s="2301" t="str">
        <f>IF($G566=0,"--",IFERROR(_xll.ciqfunctions.udf.CIQ($G566,$I566,K100,Valuation_Date_GC,ReportType,DataMode,$H566,FXMode)*Scale,"--"))</f>
        <v>--</v>
      </c>
      <c r="L566" s="2301" t="str">
        <f>IF($G566=0,"--",IFERROR(_xll.ciqfunctions.udf.CIQ($G566,$I566,L100,Valuation_Date_GC,ReportType,DataMode,$H566,FXMode)*Scale,"--"))</f>
        <v>--</v>
      </c>
      <c r="M566" s="2301" t="str">
        <f>IF($G566=0,"--",IFERROR(_xll.ciqfunctions.udf.CIQ($G566,$I566,M100,Valuation_Date_GC,ReportType,DataMode,$H566,FXMode)*Scale,"--"))</f>
        <v>--</v>
      </c>
      <c r="N566" s="2301" t="str">
        <f>IF($G566=0,"--",IFERROR(_xll.ciqfunctions.udf.CIQ($G566,$I566,N100,Valuation_Date_GC,ReportType,DataMode,$H566,FXMode)*Scale,"--"))</f>
        <v>--</v>
      </c>
      <c r="O566" s="2317" t="str">
        <f>IF($G566=0,"--",IFERROR(IF(O100=1001,_xll.ciqfunctions.udf.CIQ($G566,$S566,O100,Valuation_Date_GC,ReportType,DataMode,$H566,FXMode),_xll.ciqfunctions.udf.CIQ($G566,$I566,O100,Valuation_Date_GC,ReportType,DataMode,$H566,FXMode))*Scale,"--"))</f>
        <v>--</v>
      </c>
      <c r="P566" s="2301" t="str">
        <f>IF($G566=0,"--",IFERROR(_xll.ciqfunctions.udf.CIQ($G566,$I566,P100,Valuation_Date_GC,ReportType,DataMode,$H566,FXMode)*Scale,"--"))</f>
        <v>--</v>
      </c>
      <c r="R566" s="2301" t="str">
        <f>IF($G566=0,"--",IFERROR(_xll.ciqfunctions.udf.CIQ($G566,$I566,R100,Valuation_Date_GC,ReportType,DataMode,$H566,FXMode)*Scale,"--"))</f>
        <v>--</v>
      </c>
      <c r="S566" s="89" t="s">
        <v>801</v>
      </c>
      <c r="T566" s="2301" t="str">
        <f>IF(H100=0,O566,IF($G566=0,"--",IFERROR(_xll.ciqfunctions.udf.CIQ($G566,$S566,U100-1,Valuation_Date_GC,ReportType,DataMode,$H566)*Scale,"--")))</f>
        <v>--</v>
      </c>
      <c r="U566" s="2301" t="str">
        <f>IF($G566=0,"--",IFERROR(IF(_xll.ciqfunctions.udf.CIQ($G566,$S566,U100,Valuation_Date_GC,,DataMode,$H566)*Scale=0,"--",_xll.ciqfunctions.udf.CIQ($G566,$S566,U100,Valuation_Date_GC,ReportType,DataMode,$H566)*Scale),"--"))</f>
        <v>--</v>
      </c>
      <c r="V566" s="2301" t="str">
        <f>IF($G566=0,"--",IFERROR(IF(_xll.ciqfunctions.udf.CIQ($G566,$S566,V100,Valuation_Date_GC,,DataMode,$H566)*Scale=0,"--",_xll.ciqfunctions.udf.CIQ($G566,$S566,V100,Valuation_Date_GC,ReportType,DataMode,$H566)*Scale),"--"))</f>
        <v>--</v>
      </c>
      <c r="W566" s="2301" t="str">
        <f>IF($G566=0,"--",IFERROR(IF(_xll.ciqfunctions.udf.CIQ($G566,$S566,W100,Valuation_Date_GC,,DataMode,$H566)*Scale=0,"--",_xll.ciqfunctions.udf.CIQ($G566,$S566,W100,Valuation_Date_GC,ReportType,DataMode,$H566)*Scale),"--"))</f>
        <v>--</v>
      </c>
      <c r="X566" s="2301" t="str">
        <f>IF($G566=0,"--",IFERROR(IF(_xll.ciqfunctions.udf.CIQ($G566,$S566,X100,Valuation_Date_GC,,DataMode,$H566)*Scale=0,"--",_xll.ciqfunctions.udf.CIQ($G566,$S566,X100,Valuation_Date_GC,ReportType,DataMode,$H566)*Scale),"--"))</f>
        <v>--</v>
      </c>
      <c r="Y566" s="2301" t="str">
        <f>IF($G566=0,"--",IFERROR(IF(_xll.ciqfunctions.udf.CIQ($G566,$S566,Y100,Valuation_Date_GC,,DataMode,$H566)*Scale=0,"--",_xll.ciqfunctions.udf.CIQ($G566,$S566,Y100,Valuation_Date_GC,ReportType,DataMode,$H566)*Scale),"--"))</f>
        <v>--</v>
      </c>
      <c r="Z566" s="2078" t="str">
        <f t="shared" ref="Z566:Z590" si="170">T100</f>
        <v/>
      </c>
      <c r="AA566" s="2301">
        <f>_xll.ciqfunctions.udf.CIQ($G566,"IQ_REVENUE_NUM_EST",U$97,Valuation_Date_GC,"CON")</f>
        <v>0</v>
      </c>
      <c r="AB566" s="2301">
        <f>_xll.ciqfunctions.udf.CIQ($G566,"IQ_REVENUE_NUM_EST",V$97,Valuation_Date_GC,"CON")</f>
        <v>0</v>
      </c>
      <c r="AC566" s="2301">
        <f>_xll.ciqfunctions.udf.CIQ($G566,"IQ_REVENUE_NUM_EST",W$97,Valuation_Date_GC,"CON")</f>
        <v>0</v>
      </c>
      <c r="AD566" s="2301">
        <f>_xll.ciqfunctions.udf.CIQ($G566,"IQ_REVENUE_NUM_EST",X$97,Valuation_Date_GC,"CON")</f>
        <v>0</v>
      </c>
      <c r="AE566" s="2301">
        <f>_xll.ciqfunctions.udf.CIQ($G566,"IQ_REVENUE_NUM_EST",Y$97,Valuation_Date_GC,"CON")</f>
        <v>0</v>
      </c>
      <c r="AF566" s="2060"/>
      <c r="AG566" s="2060"/>
      <c r="AH566" s="2060"/>
    </row>
    <row r="567" spans="1:34" s="89" customFormat="1" ht="13.9">
      <c r="A567" s="269" t="str">
        <f t="shared" ref="A567:A590" si="171">IF(F567="--","n","")</f>
        <v>n</v>
      </c>
      <c r="B567" s="2060"/>
      <c r="D567" s="801"/>
      <c r="E567" s="1505">
        <v>2</v>
      </c>
      <c r="F567" s="21" t="str">
        <f>F$130</f>
        <v>--</v>
      </c>
      <c r="G567" s="1441">
        <f>G$130</f>
        <v>0</v>
      </c>
      <c r="H567" s="1441" t="str">
        <f>H$130</f>
        <v>--</v>
      </c>
      <c r="I567" s="1513" t="s">
        <v>803</v>
      </c>
      <c r="J567" s="2301" t="str">
        <f>IF($G567=0,"--",IFERROR(_xll.ciqfunctions.udf.CIQ($G567,$I567,J101,Valuation_Date_GC,ReportType,DataMode,$H567,FXMode)*Scale,"--"))</f>
        <v>--</v>
      </c>
      <c r="K567" s="2301" t="str">
        <f>IF($G567=0,"--",IFERROR(_xll.ciqfunctions.udf.CIQ($G567,$I567,K101,Valuation_Date_GC,ReportType,DataMode,$H567,FXMode)*Scale,"--"))</f>
        <v>--</v>
      </c>
      <c r="L567" s="2301" t="str">
        <f>IF($G567=0,"--",IFERROR(_xll.ciqfunctions.udf.CIQ($G567,$I567,L101,Valuation_Date_GC,ReportType,DataMode,$H567,FXMode)*Scale,"--"))</f>
        <v>--</v>
      </c>
      <c r="M567" s="2301" t="str">
        <f>IF($G567=0,"--",IFERROR(_xll.ciqfunctions.udf.CIQ($G567,$I567,M101,Valuation_Date_GC,ReportType,DataMode,$H567,FXMode)*Scale,"--"))</f>
        <v>--</v>
      </c>
      <c r="N567" s="2301" t="str">
        <f>IF($G567=0,"--",IFERROR(_xll.ciqfunctions.udf.CIQ($G567,$I567,N101,Valuation_Date_GC,ReportType,DataMode,$H567,FXMode)*Scale,"--"))</f>
        <v>--</v>
      </c>
      <c r="O567" s="2317" t="str">
        <f>IF($G567=0,"--",IFERROR(IF(O101=1001,_xll.ciqfunctions.udf.CIQ($G567,$S567,O101,Valuation_Date_GC,ReportType,DataMode,$H567,FXMode),_xll.ciqfunctions.udf.CIQ($G567,$I567,O101,Valuation_Date_GC,ReportType,DataMode,$H567,FXMode))*Scale,"--"))</f>
        <v>--</v>
      </c>
      <c r="P567" s="2301" t="str">
        <f>IF($G567=0,"--",IFERROR(_xll.ciqfunctions.udf.CIQ($G567,$I567,P101,Valuation_Date_GC,ReportType,DataMode,$H567,FXMode)*Scale,"--"))</f>
        <v>--</v>
      </c>
      <c r="R567" s="2301" t="str">
        <f>IF($G567=0,"--",IFERROR(_xll.ciqfunctions.udf.CIQ($G567,$I567,R101,Valuation_Date_GC,ReportType,DataMode,$H567,FXMode)*Scale,"--"))</f>
        <v>--</v>
      </c>
      <c r="S567" s="89" t="s">
        <v>801</v>
      </c>
      <c r="T567" s="2301" t="str">
        <f>IF(H101=0,O567,IF($G567=0,"--",IFERROR(_xll.ciqfunctions.udf.CIQ($G567,$S567,U101-1,Valuation_Date_GC,ReportType,DataMode,$H567)*Scale,"--")))</f>
        <v>--</v>
      </c>
      <c r="U567" s="2301" t="str">
        <f>IF($G567=0,"--",IFERROR(IF(_xll.ciqfunctions.udf.CIQ($G567,$S567,U101,Valuation_Date_GC,,DataMode,$H567)*Scale=0,"--",_xll.ciqfunctions.udf.CIQ($G567,$S567,U101,Valuation_Date_GC,ReportType,DataMode,$H567)*Scale),"--"))</f>
        <v>--</v>
      </c>
      <c r="V567" s="2301" t="str">
        <f>IF($G567=0,"--",IFERROR(IF(_xll.ciqfunctions.udf.CIQ($G567,$S567,V101,Valuation_Date_GC,,DataMode,$H567)*Scale=0,"--",_xll.ciqfunctions.udf.CIQ($G567,$S567,V101,Valuation_Date_GC,ReportType,DataMode,$H567)*Scale),"--"))</f>
        <v>--</v>
      </c>
      <c r="W567" s="2301" t="str">
        <f>IF($G567=0,"--",IFERROR(IF(_xll.ciqfunctions.udf.CIQ($G567,$S567,W101,Valuation_Date_GC,,DataMode,$H567)*Scale=0,"--",_xll.ciqfunctions.udf.CIQ($G567,$S567,W101,Valuation_Date_GC,ReportType,DataMode,$H567)*Scale),"--"))</f>
        <v>--</v>
      </c>
      <c r="X567" s="2301" t="str">
        <f>IF($G567=0,"--",IFERROR(IF(_xll.ciqfunctions.udf.CIQ($G567,$S567,X101,Valuation_Date_GC,,DataMode,$H567)*Scale=0,"--",_xll.ciqfunctions.udf.CIQ($G567,$S567,X101,Valuation_Date_GC,ReportType,DataMode,$H567)*Scale),"--"))</f>
        <v>--</v>
      </c>
      <c r="Y567" s="2301" t="str">
        <f>IF($G567=0,"--",IFERROR(IF(_xll.ciqfunctions.udf.CIQ($G567,$S567,Y101,Valuation_Date_GC,,DataMode,$H567)*Scale=0,"--",_xll.ciqfunctions.udf.CIQ($G567,$S567,Y101,Valuation_Date_GC,ReportType,DataMode,$H567)*Scale),"--"))</f>
        <v>--</v>
      </c>
      <c r="Z567" s="2078" t="str">
        <f t="shared" si="170"/>
        <v/>
      </c>
      <c r="AA567" s="2301">
        <f>_xll.ciqfunctions.udf.CIQ($G567,"IQ_REVENUE_NUM_EST",U$97,Valuation_Date_GC,"CON")</f>
        <v>0</v>
      </c>
      <c r="AB567" s="2301">
        <f>_xll.ciqfunctions.udf.CIQ($G567,"IQ_REVENUE_NUM_EST",V$97,Valuation_Date_GC,"CON")</f>
        <v>0</v>
      </c>
      <c r="AC567" s="2301">
        <f>_xll.ciqfunctions.udf.CIQ($G567,"IQ_REVENUE_NUM_EST",W$97,Valuation_Date_GC,"CON")</f>
        <v>0</v>
      </c>
      <c r="AD567" s="2301">
        <f>_xll.ciqfunctions.udf.CIQ($G567,"IQ_REVENUE_NUM_EST",X$97,Valuation_Date_GC,"CON")</f>
        <v>0</v>
      </c>
      <c r="AE567" s="2301">
        <f>_xll.ciqfunctions.udf.CIQ($G567,"IQ_REVENUE_NUM_EST",Y$97,Valuation_Date_GC,"CON")</f>
        <v>0</v>
      </c>
      <c r="AF567" s="2060"/>
      <c r="AG567" s="2060"/>
      <c r="AH567" s="2060"/>
    </row>
    <row r="568" spans="1:34" s="89" customFormat="1" ht="13.9">
      <c r="A568" s="269" t="str">
        <f t="shared" si="171"/>
        <v>n</v>
      </c>
      <c r="B568" s="2060"/>
      <c r="C568" s="72"/>
      <c r="D568" s="801"/>
      <c r="E568" s="1505">
        <v>3</v>
      </c>
      <c r="F568" s="21" t="str">
        <f>F$131</f>
        <v>--</v>
      </c>
      <c r="G568" s="1441">
        <f>G$131</f>
        <v>0</v>
      </c>
      <c r="H568" s="1441" t="str">
        <f>H$131</f>
        <v>--</v>
      </c>
      <c r="I568" s="1513" t="s">
        <v>803</v>
      </c>
      <c r="J568" s="2301" t="str">
        <f>IF($G568=0,"--",IFERROR(_xll.ciqfunctions.udf.CIQ($G568,$I568,J102,Valuation_Date_GC,ReportType,DataMode,$H568,FXMode)*Scale,"--"))</f>
        <v>--</v>
      </c>
      <c r="K568" s="2301" t="str">
        <f>IF($G568=0,"--",IFERROR(_xll.ciqfunctions.udf.CIQ($G568,$I568,K102,Valuation_Date_GC,ReportType,DataMode,$H568,FXMode)*Scale,"--"))</f>
        <v>--</v>
      </c>
      <c r="L568" s="2301" t="str">
        <f>IF($G568=0,"--",IFERROR(_xll.ciqfunctions.udf.CIQ($G568,$I568,L102,Valuation_Date_GC,ReportType,DataMode,$H568,FXMode)*Scale,"--"))</f>
        <v>--</v>
      </c>
      <c r="M568" s="2301" t="str">
        <f>IF($G568=0,"--",IFERROR(_xll.ciqfunctions.udf.CIQ($G568,$I568,M102,Valuation_Date_GC,ReportType,DataMode,$H568,FXMode)*Scale,"--"))</f>
        <v>--</v>
      </c>
      <c r="N568" s="2301" t="str">
        <f>IF($G568=0,"--",IFERROR(_xll.ciqfunctions.udf.CIQ($G568,$I568,N102,Valuation_Date_GC,ReportType,DataMode,$H568,FXMode)*Scale,"--"))</f>
        <v>--</v>
      </c>
      <c r="O568" s="2317" t="str">
        <f>IF($G568=0,"--",IFERROR(IF(O102=1001,_xll.ciqfunctions.udf.CIQ($G568,$S568,O102,Valuation_Date_GC,ReportType,DataMode,$H568,FXMode),_xll.ciqfunctions.udf.CIQ($G568,$I568,O102,Valuation_Date_GC,ReportType,DataMode,$H568,FXMode))*Scale,"--"))</f>
        <v>--</v>
      </c>
      <c r="P568" s="2301" t="str">
        <f>IF($G568=0,"--",IFERROR(_xll.ciqfunctions.udf.CIQ($G568,$I568,P102,Valuation_Date_GC,ReportType,DataMode,$H568,FXMode)*Scale,"--"))</f>
        <v>--</v>
      </c>
      <c r="R568" s="2301" t="str">
        <f>IF($G568=0,"--",IFERROR(_xll.ciqfunctions.udf.CIQ($G568,$I568,R102,Valuation_Date_GC,ReportType,DataMode,$H568,FXMode)*Scale,"--"))</f>
        <v>--</v>
      </c>
      <c r="S568" s="89" t="s">
        <v>801</v>
      </c>
      <c r="T568" s="2301" t="str">
        <f>IF(H102=0,O568,IF($G568=0,"--",IFERROR(_xll.ciqfunctions.udf.CIQ($G568,$S568,U102-1,Valuation_Date_GC,ReportType,DataMode,$H568)*Scale,"--")))</f>
        <v>--</v>
      </c>
      <c r="U568" s="2301" t="str">
        <f>IF($G568=0,"--",IFERROR(IF(_xll.ciqfunctions.udf.CIQ($G568,$S568,U102,Valuation_Date_GC,,DataMode,$H568)*Scale=0,"--",_xll.ciqfunctions.udf.CIQ($G568,$S568,U102,Valuation_Date_GC,ReportType,DataMode,$H568)*Scale),"--"))</f>
        <v>--</v>
      </c>
      <c r="V568" s="2301" t="str">
        <f>IF($G568=0,"--",IFERROR(IF(_xll.ciqfunctions.udf.CIQ($G568,$S568,V102,Valuation_Date_GC,,DataMode,$H568)*Scale=0,"--",_xll.ciqfunctions.udf.CIQ($G568,$S568,V102,Valuation_Date_GC,ReportType,DataMode,$H568)*Scale),"--"))</f>
        <v>--</v>
      </c>
      <c r="W568" s="2301" t="str">
        <f>IF($G568=0,"--",IFERROR(IF(_xll.ciqfunctions.udf.CIQ($G568,$S568,W102,Valuation_Date_GC,,DataMode,$H568)*Scale=0,"--",_xll.ciqfunctions.udf.CIQ($G568,$S568,W102,Valuation_Date_GC,ReportType,DataMode,$H568)*Scale),"--"))</f>
        <v>--</v>
      </c>
      <c r="X568" s="2301" t="str">
        <f>IF($G568=0,"--",IFERROR(IF(_xll.ciqfunctions.udf.CIQ($G568,$S568,X102,Valuation_Date_GC,,DataMode,$H568)*Scale=0,"--",_xll.ciqfunctions.udf.CIQ($G568,$S568,X102,Valuation_Date_GC,ReportType,DataMode,$H568)*Scale),"--"))</f>
        <v>--</v>
      </c>
      <c r="Y568" s="2301" t="str">
        <f>IF($G568=0,"--",IFERROR(IF(_xll.ciqfunctions.udf.CIQ($G568,$S568,Y102,Valuation_Date_GC,,DataMode,$H568)*Scale=0,"--",_xll.ciqfunctions.udf.CIQ($G568,$S568,Y102,Valuation_Date_GC,ReportType,DataMode,$H568)*Scale),"--"))</f>
        <v>--</v>
      </c>
      <c r="Z568" s="2078" t="str">
        <f t="shared" si="170"/>
        <v/>
      </c>
      <c r="AA568" s="2301">
        <f>_xll.ciqfunctions.udf.CIQ($G568,"IQ_REVENUE_NUM_EST",U$97,Valuation_Date_GC,"CON")</f>
        <v>0</v>
      </c>
      <c r="AB568" s="2301">
        <f>_xll.ciqfunctions.udf.CIQ($G568,"IQ_REVENUE_NUM_EST",V$97,Valuation_Date_GC,"CON")</f>
        <v>0</v>
      </c>
      <c r="AC568" s="2301">
        <f>_xll.ciqfunctions.udf.CIQ($G568,"IQ_REVENUE_NUM_EST",W$97,Valuation_Date_GC,"CON")</f>
        <v>0</v>
      </c>
      <c r="AD568" s="2301">
        <f>_xll.ciqfunctions.udf.CIQ($G568,"IQ_REVENUE_NUM_EST",X$97,Valuation_Date_GC,"CON")</f>
        <v>0</v>
      </c>
      <c r="AE568" s="2301">
        <f>_xll.ciqfunctions.udf.CIQ($G568,"IQ_REVENUE_NUM_EST",Y$97,Valuation_Date_GC,"CON")</f>
        <v>0</v>
      </c>
      <c r="AF568" s="2060"/>
      <c r="AG568" s="2060"/>
      <c r="AH568" s="2060"/>
    </row>
    <row r="569" spans="1:34" s="89" customFormat="1" ht="13.9">
      <c r="A569" s="269" t="str">
        <f t="shared" si="171"/>
        <v>n</v>
      </c>
      <c r="B569" s="2060"/>
      <c r="C569" s="72"/>
      <c r="D569" s="801"/>
      <c r="E569" s="1505">
        <v>4</v>
      </c>
      <c r="F569" s="21" t="str">
        <f>F$132</f>
        <v>--</v>
      </c>
      <c r="G569" s="1441">
        <f>G$132</f>
        <v>0</v>
      </c>
      <c r="H569" s="1441" t="str">
        <f>H$132</f>
        <v>--</v>
      </c>
      <c r="I569" s="1513" t="s">
        <v>803</v>
      </c>
      <c r="J569" s="2301" t="str">
        <f>IF($G569=0,"--",IFERROR(_xll.ciqfunctions.udf.CIQ($G569,$I569,J103,Valuation_Date_GC,ReportType,DataMode,$H569,FXMode)*Scale,"--"))</f>
        <v>--</v>
      </c>
      <c r="K569" s="2301" t="str">
        <f>IF($G569=0,"--",IFERROR(_xll.ciqfunctions.udf.CIQ($G569,$I569,K103,Valuation_Date_GC,ReportType,DataMode,$H569,FXMode)*Scale,"--"))</f>
        <v>--</v>
      </c>
      <c r="L569" s="2301" t="str">
        <f>IF($G569=0,"--",IFERROR(_xll.ciqfunctions.udf.CIQ($G569,$I569,L103,Valuation_Date_GC,ReportType,DataMode,$H569,FXMode)*Scale,"--"))</f>
        <v>--</v>
      </c>
      <c r="M569" s="2301" t="str">
        <f>IF($G569=0,"--",IFERROR(_xll.ciqfunctions.udf.CIQ($G569,$I569,M103,Valuation_Date_GC,ReportType,DataMode,$H569,FXMode)*Scale,"--"))</f>
        <v>--</v>
      </c>
      <c r="N569" s="2301" t="str">
        <f>IF($G569=0,"--",IFERROR(_xll.ciqfunctions.udf.CIQ($G569,$I569,N103,Valuation_Date_GC,ReportType,DataMode,$H569,FXMode)*Scale,"--"))</f>
        <v>--</v>
      </c>
      <c r="O569" s="2317" t="str">
        <f>IF($G569=0,"--",IFERROR(IF(O103=1001,_xll.ciqfunctions.udf.CIQ($G569,$S569,O103,Valuation_Date_GC,ReportType,DataMode,$H569,FXMode),_xll.ciqfunctions.udf.CIQ($G569,$I569,O103,Valuation_Date_GC,ReportType,DataMode,$H569,FXMode))*Scale,"--"))</f>
        <v>--</v>
      </c>
      <c r="P569" s="2301" t="str">
        <f>IF($G569=0,"--",IFERROR(_xll.ciqfunctions.udf.CIQ($G569,$I569,P103,Valuation_Date_GC,ReportType,DataMode,$H569,FXMode)*Scale,"--"))</f>
        <v>--</v>
      </c>
      <c r="R569" s="2301" t="str">
        <f>IF($G569=0,"--",IFERROR(_xll.ciqfunctions.udf.CIQ($G569,$I569,R103,Valuation_Date_GC,ReportType,DataMode,$H569,FXMode)*Scale,"--"))</f>
        <v>--</v>
      </c>
      <c r="S569" s="89" t="s">
        <v>801</v>
      </c>
      <c r="T569" s="2301" t="str">
        <f>IF(H103=0,O569,IF($G569=0,"--",IFERROR(_xll.ciqfunctions.udf.CIQ($G569,$S569,U103-1,Valuation_Date_GC,ReportType,DataMode,$H569)*Scale,"--")))</f>
        <v>--</v>
      </c>
      <c r="U569" s="2301" t="str">
        <f>IF($G569=0,"--",IFERROR(IF(_xll.ciqfunctions.udf.CIQ($G569,$S569,U103,Valuation_Date_GC,,DataMode,$H569)*Scale=0,"--",_xll.ciqfunctions.udf.CIQ($G569,$S569,U103,Valuation_Date_GC,ReportType,DataMode,$H569)*Scale),"--"))</f>
        <v>--</v>
      </c>
      <c r="V569" s="2301" t="str">
        <f>IF($G569=0,"--",IFERROR(IF(_xll.ciqfunctions.udf.CIQ($G569,$S569,V103,Valuation_Date_GC,,DataMode,$H569)*Scale=0,"--",_xll.ciqfunctions.udf.CIQ($G569,$S569,V103,Valuation_Date_GC,ReportType,DataMode,$H569)*Scale),"--"))</f>
        <v>--</v>
      </c>
      <c r="W569" s="2301" t="str">
        <f>IF($G569=0,"--",IFERROR(IF(_xll.ciqfunctions.udf.CIQ($G569,$S569,W103,Valuation_Date_GC,,DataMode,$H569)*Scale=0,"--",_xll.ciqfunctions.udf.CIQ($G569,$S569,W103,Valuation_Date_GC,ReportType,DataMode,$H569)*Scale),"--"))</f>
        <v>--</v>
      </c>
      <c r="X569" s="2301" t="str">
        <f>IF($G569=0,"--",IFERROR(IF(_xll.ciqfunctions.udf.CIQ($G569,$S569,X103,Valuation_Date_GC,,DataMode,$H569)*Scale=0,"--",_xll.ciqfunctions.udf.CIQ($G569,$S569,X103,Valuation_Date_GC,ReportType,DataMode,$H569)*Scale),"--"))</f>
        <v>--</v>
      </c>
      <c r="Y569" s="2301" t="str">
        <f>IF($G569=0,"--",IFERROR(IF(_xll.ciqfunctions.udf.CIQ($G569,$S569,Y103,Valuation_Date_GC,,DataMode,$H569)*Scale=0,"--",_xll.ciqfunctions.udf.CIQ($G569,$S569,Y103,Valuation_Date_GC,ReportType,DataMode,$H569)*Scale),"--"))</f>
        <v>--</v>
      </c>
      <c r="Z569" s="2078" t="str">
        <f t="shared" si="170"/>
        <v/>
      </c>
      <c r="AA569" s="2301">
        <f>_xll.ciqfunctions.udf.CIQ($G569,"IQ_REVENUE_NUM_EST",U$97,Valuation_Date_GC,"CON")</f>
        <v>0</v>
      </c>
      <c r="AB569" s="2301">
        <f>_xll.ciqfunctions.udf.CIQ($G569,"IQ_REVENUE_NUM_EST",V$97,Valuation_Date_GC,"CON")</f>
        <v>0</v>
      </c>
      <c r="AC569" s="2301">
        <f>_xll.ciqfunctions.udf.CIQ($G569,"IQ_REVENUE_NUM_EST",W$97,Valuation_Date_GC,"CON")</f>
        <v>0</v>
      </c>
      <c r="AD569" s="2301">
        <f>_xll.ciqfunctions.udf.CIQ($G569,"IQ_REVENUE_NUM_EST",X$97,Valuation_Date_GC,"CON")</f>
        <v>0</v>
      </c>
      <c r="AE569" s="2301">
        <f>_xll.ciqfunctions.udf.CIQ($G569,"IQ_REVENUE_NUM_EST",Y$97,Valuation_Date_GC,"CON")</f>
        <v>0</v>
      </c>
      <c r="AF569" s="2060"/>
      <c r="AG569" s="2060"/>
      <c r="AH569" s="2060"/>
    </row>
    <row r="570" spans="1:34" s="89" customFormat="1" ht="13.9">
      <c r="A570" s="269" t="str">
        <f t="shared" si="171"/>
        <v>n</v>
      </c>
      <c r="B570" s="2060"/>
      <c r="C570" s="72"/>
      <c r="D570" s="801"/>
      <c r="E570" s="1505">
        <v>5</v>
      </c>
      <c r="F570" s="21" t="str">
        <f>F$133</f>
        <v>--</v>
      </c>
      <c r="G570" s="1441">
        <f>G$133</f>
        <v>0</v>
      </c>
      <c r="H570" s="1441" t="str">
        <f>H$133</f>
        <v>--</v>
      </c>
      <c r="I570" s="1513" t="s">
        <v>803</v>
      </c>
      <c r="J570" s="2301" t="str">
        <f>IF($G570=0,"--",IFERROR(_xll.ciqfunctions.udf.CIQ($G570,$I570,J104,Valuation_Date_GC,ReportType,DataMode,$H570,FXMode)*Scale,"--"))</f>
        <v>--</v>
      </c>
      <c r="K570" s="2301" t="str">
        <f>IF($G570=0,"--",IFERROR(_xll.ciqfunctions.udf.CIQ($G570,$I570,K104,Valuation_Date_GC,ReportType,DataMode,$H570,FXMode)*Scale,"--"))</f>
        <v>--</v>
      </c>
      <c r="L570" s="2301" t="str">
        <f>IF($G570=0,"--",IFERROR(_xll.ciqfunctions.udf.CIQ($G570,$I570,L104,Valuation_Date_GC,ReportType,DataMode,$H570,FXMode)*Scale,"--"))</f>
        <v>--</v>
      </c>
      <c r="M570" s="2301" t="str">
        <f>IF($G570=0,"--",IFERROR(_xll.ciqfunctions.udf.CIQ($G570,$I570,M104,Valuation_Date_GC,ReportType,DataMode,$H570,FXMode)*Scale,"--"))</f>
        <v>--</v>
      </c>
      <c r="N570" s="2301" t="str">
        <f>IF($G570=0,"--",IFERROR(_xll.ciqfunctions.udf.CIQ($G570,$I570,N104,Valuation_Date_GC,ReportType,DataMode,$H570,FXMode)*Scale,"--"))</f>
        <v>--</v>
      </c>
      <c r="O570" s="2317" t="str">
        <f>IF($G570=0,"--",IFERROR(IF(O104=1001,_xll.ciqfunctions.udf.CIQ($G570,$S570,O104,Valuation_Date_GC,ReportType,DataMode,$H570,FXMode),_xll.ciqfunctions.udf.CIQ($G570,$I570,O104,Valuation_Date_GC,ReportType,DataMode,$H570,FXMode))*Scale,"--"))</f>
        <v>--</v>
      </c>
      <c r="P570" s="2301" t="str">
        <f>IF($G570=0,"--",IFERROR(_xll.ciqfunctions.udf.CIQ($G570,$I570,P104,Valuation_Date_GC,ReportType,DataMode,$H570,FXMode)*Scale,"--"))</f>
        <v>--</v>
      </c>
      <c r="R570" s="2301" t="str">
        <f>IF($G570=0,"--",IFERROR(_xll.ciqfunctions.udf.CIQ($G570,$I570,R104,Valuation_Date_GC,ReportType,DataMode,$H570,FXMode)*Scale,"--"))</f>
        <v>--</v>
      </c>
      <c r="S570" s="89" t="s">
        <v>801</v>
      </c>
      <c r="T570" s="2301" t="str">
        <f>IF(H104=0,O570,IF($G570=0,"--",IFERROR(_xll.ciqfunctions.udf.CIQ($G570,$S570,U104-1,Valuation_Date_GC,ReportType,DataMode,$H570)*Scale,"--")))</f>
        <v>--</v>
      </c>
      <c r="U570" s="2301" t="str">
        <f>IF($G570=0,"--",IFERROR(IF(_xll.ciqfunctions.udf.CIQ($G570,$S570,U104,Valuation_Date_GC,,DataMode,$H570)*Scale=0,"--",_xll.ciqfunctions.udf.CIQ($G570,$S570,U104,Valuation_Date_GC,ReportType,DataMode,$H570)*Scale),"--"))</f>
        <v>--</v>
      </c>
      <c r="V570" s="2301" t="str">
        <f>IF($G570=0,"--",IFERROR(IF(_xll.ciqfunctions.udf.CIQ($G570,$S570,V104,Valuation_Date_GC,,DataMode,$H570)*Scale=0,"--",_xll.ciqfunctions.udf.CIQ($G570,$S570,V104,Valuation_Date_GC,ReportType,DataMode,$H570)*Scale),"--"))</f>
        <v>--</v>
      </c>
      <c r="W570" s="2301" t="str">
        <f>IF($G570=0,"--",IFERROR(IF(_xll.ciqfunctions.udf.CIQ($G570,$S570,W104,Valuation_Date_GC,,DataMode,$H570)*Scale=0,"--",_xll.ciqfunctions.udf.CIQ($G570,$S570,W104,Valuation_Date_GC,ReportType,DataMode,$H570)*Scale),"--"))</f>
        <v>--</v>
      </c>
      <c r="X570" s="2301" t="str">
        <f>IF($G570=0,"--",IFERROR(IF(_xll.ciqfunctions.udf.CIQ($G570,$S570,X104,Valuation_Date_GC,,DataMode,$H570)*Scale=0,"--",_xll.ciqfunctions.udf.CIQ($G570,$S570,X104,Valuation_Date_GC,ReportType,DataMode,$H570)*Scale),"--"))</f>
        <v>--</v>
      </c>
      <c r="Y570" s="2301" t="str">
        <f>IF($G570=0,"--",IFERROR(IF(_xll.ciqfunctions.udf.CIQ($G570,$S570,Y104,Valuation_Date_GC,,DataMode,$H570)*Scale=0,"--",_xll.ciqfunctions.udf.CIQ($G570,$S570,Y104,Valuation_Date_GC,ReportType,DataMode,$H570)*Scale),"--"))</f>
        <v>--</v>
      </c>
      <c r="Z570" s="2078" t="str">
        <f t="shared" si="170"/>
        <v/>
      </c>
      <c r="AA570" s="2301">
        <f>_xll.ciqfunctions.udf.CIQ($G570,"IQ_REVENUE_NUM_EST",U$97,Valuation_Date_GC,"CON")</f>
        <v>0</v>
      </c>
      <c r="AB570" s="2301">
        <f>_xll.ciqfunctions.udf.CIQ($G570,"IQ_REVENUE_NUM_EST",V$97,Valuation_Date_GC,"CON")</f>
        <v>0</v>
      </c>
      <c r="AC570" s="2301">
        <f>_xll.ciqfunctions.udf.CIQ($G570,"IQ_REVENUE_NUM_EST",W$97,Valuation_Date_GC,"CON")</f>
        <v>0</v>
      </c>
      <c r="AD570" s="2301">
        <f>_xll.ciqfunctions.udf.CIQ($G570,"IQ_REVENUE_NUM_EST",X$97,Valuation_Date_GC,"CON")</f>
        <v>0</v>
      </c>
      <c r="AE570" s="2301">
        <f>_xll.ciqfunctions.udf.CIQ($G570,"IQ_REVENUE_NUM_EST",Y$97,Valuation_Date_GC,"CON")</f>
        <v>0</v>
      </c>
      <c r="AF570" s="2060"/>
      <c r="AG570" s="2060"/>
      <c r="AH570" s="2060"/>
    </row>
    <row r="571" spans="1:34" s="89" customFormat="1" ht="13.9">
      <c r="A571" s="269" t="str">
        <f t="shared" si="171"/>
        <v>n</v>
      </c>
      <c r="B571" s="2060"/>
      <c r="C571" s="72"/>
      <c r="D571" s="801"/>
      <c r="E571" s="1505">
        <v>6</v>
      </c>
      <c r="F571" s="21" t="str">
        <f>F$134</f>
        <v>--</v>
      </c>
      <c r="G571" s="1441">
        <f>G$134</f>
        <v>0</v>
      </c>
      <c r="H571" s="1441" t="str">
        <f>H$134</f>
        <v>--</v>
      </c>
      <c r="I571" s="1513" t="s">
        <v>803</v>
      </c>
      <c r="J571" s="2301" t="str">
        <f>IF($G571=0,"--",IFERROR(_xll.ciqfunctions.udf.CIQ($G571,$I571,J105,Valuation_Date_GC,ReportType,DataMode,$H571,FXMode)*Scale,"--"))</f>
        <v>--</v>
      </c>
      <c r="K571" s="2301" t="str">
        <f>IF($G571=0,"--",IFERROR(_xll.ciqfunctions.udf.CIQ($G571,$I571,K105,Valuation_Date_GC,ReportType,DataMode,$H571,FXMode)*Scale,"--"))</f>
        <v>--</v>
      </c>
      <c r="L571" s="2301" t="str">
        <f>IF($G571=0,"--",IFERROR(_xll.ciqfunctions.udf.CIQ($G571,$I571,L105,Valuation_Date_GC,ReportType,DataMode,$H571,FXMode)*Scale,"--"))</f>
        <v>--</v>
      </c>
      <c r="M571" s="2301" t="str">
        <f>IF($G571=0,"--",IFERROR(_xll.ciqfunctions.udf.CIQ($G571,$I571,M105,Valuation_Date_GC,ReportType,DataMode,$H571,FXMode)*Scale,"--"))</f>
        <v>--</v>
      </c>
      <c r="N571" s="2301" t="str">
        <f>IF($G571=0,"--",IFERROR(_xll.ciqfunctions.udf.CIQ($G571,$I571,N105,Valuation_Date_GC,ReportType,DataMode,$H571,FXMode)*Scale,"--"))</f>
        <v>--</v>
      </c>
      <c r="O571" s="2317" t="str">
        <f>IF($G571=0,"--",IFERROR(IF(O105=1001,_xll.ciqfunctions.udf.CIQ($G571,$S571,O105,Valuation_Date_GC,ReportType,DataMode,$H571,FXMode),_xll.ciqfunctions.udf.CIQ($G571,$I571,O105,Valuation_Date_GC,ReportType,DataMode,$H571,FXMode))*Scale,"--"))</f>
        <v>--</v>
      </c>
      <c r="P571" s="2301" t="str">
        <f>IF($G571=0,"--",IFERROR(_xll.ciqfunctions.udf.CIQ($G571,$I571,P105,Valuation_Date_GC,ReportType,DataMode,$H571,FXMode)*Scale,"--"))</f>
        <v>--</v>
      </c>
      <c r="R571" s="2301" t="str">
        <f>IF($G571=0,"--",IFERROR(_xll.ciqfunctions.udf.CIQ($G571,$I571,R105,Valuation_Date_GC,ReportType,DataMode,$H571,FXMode)*Scale,"--"))</f>
        <v>--</v>
      </c>
      <c r="S571" s="89" t="s">
        <v>801</v>
      </c>
      <c r="T571" s="2301" t="str">
        <f>IF(H105=0,O571,IF($G571=0,"--",IFERROR(_xll.ciqfunctions.udf.CIQ($G571,$S571,U105-1,Valuation_Date_GC,ReportType,DataMode,$H571)*Scale,"--")))</f>
        <v>--</v>
      </c>
      <c r="U571" s="2301" t="str">
        <f>IF($G571=0,"--",IFERROR(IF(_xll.ciqfunctions.udf.CIQ($G571,$S571,U105,Valuation_Date_GC,,DataMode,$H571)*Scale=0,"--",_xll.ciqfunctions.udf.CIQ($G571,$S571,U105,Valuation_Date_GC,ReportType,DataMode,$H571)*Scale),"--"))</f>
        <v>--</v>
      </c>
      <c r="V571" s="2301" t="str">
        <f>IF($G571=0,"--",IFERROR(IF(_xll.ciqfunctions.udf.CIQ($G571,$S571,V105,Valuation_Date_GC,,DataMode,$H571)*Scale=0,"--",_xll.ciqfunctions.udf.CIQ($G571,$S571,V105,Valuation_Date_GC,ReportType,DataMode,$H571)*Scale),"--"))</f>
        <v>--</v>
      </c>
      <c r="W571" s="2301" t="str">
        <f>IF($G571=0,"--",IFERROR(IF(_xll.ciqfunctions.udf.CIQ($G571,$S571,W105,Valuation_Date_GC,,DataMode,$H571)*Scale=0,"--",_xll.ciqfunctions.udf.CIQ($G571,$S571,W105,Valuation_Date_GC,ReportType,DataMode,$H571)*Scale),"--"))</f>
        <v>--</v>
      </c>
      <c r="X571" s="2301" t="str">
        <f>IF($G571=0,"--",IFERROR(IF(_xll.ciqfunctions.udf.CIQ($G571,$S571,X105,Valuation_Date_GC,,DataMode,$H571)*Scale=0,"--",_xll.ciqfunctions.udf.CIQ($G571,$S571,X105,Valuation_Date_GC,ReportType,DataMode,$H571)*Scale),"--"))</f>
        <v>--</v>
      </c>
      <c r="Y571" s="2301" t="str">
        <f>IF($G571=0,"--",IFERROR(IF(_xll.ciqfunctions.udf.CIQ($G571,$S571,Y105,Valuation_Date_GC,,DataMode,$H571)*Scale=0,"--",_xll.ciqfunctions.udf.CIQ($G571,$S571,Y105,Valuation_Date_GC,ReportType,DataMode,$H571)*Scale),"--"))</f>
        <v>--</v>
      </c>
      <c r="Z571" s="2078" t="str">
        <f t="shared" si="170"/>
        <v/>
      </c>
      <c r="AA571" s="2301">
        <f>_xll.ciqfunctions.udf.CIQ($G571,"IQ_REVENUE_NUM_EST",U$97,Valuation_Date_GC,"CON")</f>
        <v>0</v>
      </c>
      <c r="AB571" s="2301">
        <f>_xll.ciqfunctions.udf.CIQ($G571,"IQ_REVENUE_NUM_EST",V$97,Valuation_Date_GC,"CON")</f>
        <v>0</v>
      </c>
      <c r="AC571" s="2301">
        <f>_xll.ciqfunctions.udf.CIQ($G571,"IQ_REVENUE_NUM_EST",W$97,Valuation_Date_GC,"CON")</f>
        <v>0</v>
      </c>
      <c r="AD571" s="2301">
        <f>_xll.ciqfunctions.udf.CIQ($G571,"IQ_REVENUE_NUM_EST",X$97,Valuation_Date_GC,"CON")</f>
        <v>0</v>
      </c>
      <c r="AE571" s="2301">
        <f>_xll.ciqfunctions.udf.CIQ($G571,"IQ_REVENUE_NUM_EST",Y$97,Valuation_Date_GC,"CON")</f>
        <v>0</v>
      </c>
      <c r="AF571" s="2060"/>
      <c r="AG571" s="2060"/>
      <c r="AH571" s="2060"/>
    </row>
    <row r="572" spans="1:34" s="89" customFormat="1" ht="13.9">
      <c r="A572" s="269" t="str">
        <f t="shared" si="171"/>
        <v>n</v>
      </c>
      <c r="B572" s="2060"/>
      <c r="D572" s="801"/>
      <c r="E572" s="1505">
        <v>7</v>
      </c>
      <c r="F572" s="21" t="str">
        <f>F$135</f>
        <v>--</v>
      </c>
      <c r="G572" s="1441">
        <f>G$135</f>
        <v>0</v>
      </c>
      <c r="H572" s="1441" t="str">
        <f>H$135</f>
        <v>--</v>
      </c>
      <c r="I572" s="1513" t="s">
        <v>803</v>
      </c>
      <c r="J572" s="2301" t="str">
        <f>IF($G572=0,"--",IFERROR(_xll.ciqfunctions.udf.CIQ($G572,$I572,J106,Valuation_Date_GC,ReportType,DataMode,$H572,FXMode)*Scale,"--"))</f>
        <v>--</v>
      </c>
      <c r="K572" s="2301" t="str">
        <f>IF($G572=0,"--",IFERROR(_xll.ciqfunctions.udf.CIQ($G572,$I572,K106,Valuation_Date_GC,ReportType,DataMode,$H572,FXMode)*Scale,"--"))</f>
        <v>--</v>
      </c>
      <c r="L572" s="2301" t="str">
        <f>IF($G572=0,"--",IFERROR(_xll.ciqfunctions.udf.CIQ($G572,$I572,L106,Valuation_Date_GC,ReportType,DataMode,$H572,FXMode)*Scale,"--"))</f>
        <v>--</v>
      </c>
      <c r="M572" s="2301" t="str">
        <f>IF($G572=0,"--",IFERROR(_xll.ciqfunctions.udf.CIQ($G572,$I572,M106,Valuation_Date_GC,ReportType,DataMode,$H572,FXMode)*Scale,"--"))</f>
        <v>--</v>
      </c>
      <c r="N572" s="2301" t="str">
        <f>IF($G572=0,"--",IFERROR(_xll.ciqfunctions.udf.CIQ($G572,$I572,N106,Valuation_Date_GC,ReportType,DataMode,$H572,FXMode)*Scale,"--"))</f>
        <v>--</v>
      </c>
      <c r="O572" s="2317" t="str">
        <f>IF($G572=0,"--",IFERROR(IF(O106=1001,_xll.ciqfunctions.udf.CIQ($G572,$S572,O106,Valuation_Date_GC,ReportType,DataMode,$H572,FXMode),_xll.ciqfunctions.udf.CIQ($G572,$I572,O106,Valuation_Date_GC,ReportType,DataMode,$H572,FXMode))*Scale,"--"))</f>
        <v>--</v>
      </c>
      <c r="P572" s="2301" t="str">
        <f>IF($G572=0,"--",IFERROR(_xll.ciqfunctions.udf.CIQ($G572,$I572,P106,Valuation_Date_GC,ReportType,DataMode,$H572,FXMode)*Scale,"--"))</f>
        <v>--</v>
      </c>
      <c r="R572" s="2301" t="str">
        <f>IF($G572=0,"--",IFERROR(_xll.ciqfunctions.udf.CIQ($G572,$I572,R106,Valuation_Date_GC,ReportType,DataMode,$H572,FXMode)*Scale,"--"))</f>
        <v>--</v>
      </c>
      <c r="S572" s="89" t="s">
        <v>801</v>
      </c>
      <c r="T572" s="2301" t="str">
        <f>IF(H106=0,O572,IF($G572=0,"--",IFERROR(_xll.ciqfunctions.udf.CIQ($G572,$S572,U106-1,Valuation_Date_GC,ReportType,DataMode,$H572)*Scale,"--")))</f>
        <v>--</v>
      </c>
      <c r="U572" s="2301" t="str">
        <f>IF($G572=0,"--",IFERROR(IF(_xll.ciqfunctions.udf.CIQ($G572,$S572,U106,Valuation_Date_GC,,DataMode,$H572)*Scale=0,"--",_xll.ciqfunctions.udf.CIQ($G572,$S572,U106,Valuation_Date_GC,ReportType,DataMode,$H572)*Scale),"--"))</f>
        <v>--</v>
      </c>
      <c r="V572" s="2301" t="str">
        <f>IF($G572=0,"--",IFERROR(IF(_xll.ciqfunctions.udf.CIQ($G572,$S572,V106,Valuation_Date_GC,,DataMode,$H572)*Scale=0,"--",_xll.ciqfunctions.udf.CIQ($G572,$S572,V106,Valuation_Date_GC,ReportType,DataMode,$H572)*Scale),"--"))</f>
        <v>--</v>
      </c>
      <c r="W572" s="2301" t="str">
        <f>IF($G572=0,"--",IFERROR(IF(_xll.ciqfunctions.udf.CIQ($G572,$S572,W106,Valuation_Date_GC,,DataMode,$H572)*Scale=0,"--",_xll.ciqfunctions.udf.CIQ($G572,$S572,W106,Valuation_Date_GC,ReportType,DataMode,$H572)*Scale),"--"))</f>
        <v>--</v>
      </c>
      <c r="X572" s="2301" t="str">
        <f>IF($G572=0,"--",IFERROR(IF(_xll.ciqfunctions.udf.CIQ($G572,$S572,X106,Valuation_Date_GC,,DataMode,$H572)*Scale=0,"--",_xll.ciqfunctions.udf.CIQ($G572,$S572,X106,Valuation_Date_GC,ReportType,DataMode,$H572)*Scale),"--"))</f>
        <v>--</v>
      </c>
      <c r="Y572" s="2301" t="str">
        <f>IF($G572=0,"--",IFERROR(IF(_xll.ciqfunctions.udf.CIQ($G572,$S572,Y106,Valuation_Date_GC,,DataMode,$H572)*Scale=0,"--",_xll.ciqfunctions.udf.CIQ($G572,$S572,Y106,Valuation_Date_GC,ReportType,DataMode,$H572)*Scale),"--"))</f>
        <v>--</v>
      </c>
      <c r="Z572" s="2078" t="str">
        <f t="shared" si="170"/>
        <v/>
      </c>
      <c r="AA572" s="2301">
        <f>_xll.ciqfunctions.udf.CIQ($G572,"IQ_REVENUE_NUM_EST",U$97,Valuation_Date_GC,"CON")</f>
        <v>0</v>
      </c>
      <c r="AB572" s="2301">
        <f>_xll.ciqfunctions.udf.CIQ($G572,"IQ_REVENUE_NUM_EST",V$97,Valuation_Date_GC,"CON")</f>
        <v>0</v>
      </c>
      <c r="AC572" s="2301">
        <f>_xll.ciqfunctions.udf.CIQ($G572,"IQ_REVENUE_NUM_EST",W$97,Valuation_Date_GC,"CON")</f>
        <v>0</v>
      </c>
      <c r="AD572" s="2301">
        <f>_xll.ciqfunctions.udf.CIQ($G572,"IQ_REVENUE_NUM_EST",X$97,Valuation_Date_GC,"CON")</f>
        <v>0</v>
      </c>
      <c r="AE572" s="2301">
        <f>_xll.ciqfunctions.udf.CIQ($G572,"IQ_REVENUE_NUM_EST",Y$97,Valuation_Date_GC,"CON")</f>
        <v>0</v>
      </c>
      <c r="AF572" s="2060"/>
      <c r="AG572" s="2060"/>
      <c r="AH572" s="2060"/>
    </row>
    <row r="573" spans="1:34" s="89" customFormat="1" ht="13.9">
      <c r="A573" s="269" t="str">
        <f t="shared" si="171"/>
        <v>n</v>
      </c>
      <c r="B573" s="2060"/>
      <c r="D573" s="801"/>
      <c r="E573" s="1505">
        <v>8</v>
      </c>
      <c r="F573" s="21" t="str">
        <f>F$136</f>
        <v>--</v>
      </c>
      <c r="G573" s="1441">
        <f>G$136</f>
        <v>0</v>
      </c>
      <c r="H573" s="1441" t="str">
        <f>H$136</f>
        <v>--</v>
      </c>
      <c r="I573" s="1513" t="s">
        <v>803</v>
      </c>
      <c r="J573" s="2301" t="str">
        <f>IF($G573=0,"--",IFERROR(_xll.ciqfunctions.udf.CIQ($G573,$I573,J107,Valuation_Date_GC,ReportType,DataMode,$H573,FXMode)*Scale,"--"))</f>
        <v>--</v>
      </c>
      <c r="K573" s="2301" t="str">
        <f>IF($G573=0,"--",IFERROR(_xll.ciqfunctions.udf.CIQ($G573,$I573,K107,Valuation_Date_GC,ReportType,DataMode,$H573,FXMode)*Scale,"--"))</f>
        <v>--</v>
      </c>
      <c r="L573" s="2301" t="str">
        <f>IF($G573=0,"--",IFERROR(_xll.ciqfunctions.udf.CIQ($G573,$I573,L107,Valuation_Date_GC,ReportType,DataMode,$H573,FXMode)*Scale,"--"))</f>
        <v>--</v>
      </c>
      <c r="M573" s="2301" t="str">
        <f>IF($G573=0,"--",IFERROR(_xll.ciqfunctions.udf.CIQ($G573,$I573,M107,Valuation_Date_GC,ReportType,DataMode,$H573,FXMode)*Scale,"--"))</f>
        <v>--</v>
      </c>
      <c r="N573" s="2301" t="str">
        <f>IF($G573=0,"--",IFERROR(_xll.ciqfunctions.udf.CIQ($G573,$I573,N107,Valuation_Date_GC,ReportType,DataMode,$H573,FXMode)*Scale,"--"))</f>
        <v>--</v>
      </c>
      <c r="O573" s="2317" t="str">
        <f>IF($G573=0,"--",IFERROR(IF(O107=1001,_xll.ciqfunctions.udf.CIQ($G573,$S573,O107,Valuation_Date_GC,ReportType,DataMode,$H573,FXMode),_xll.ciqfunctions.udf.CIQ($G573,$I573,O107,Valuation_Date_GC,ReportType,DataMode,$H573,FXMode))*Scale,"--"))</f>
        <v>--</v>
      </c>
      <c r="P573" s="2301" t="str">
        <f>IF($G573=0,"--",IFERROR(_xll.ciqfunctions.udf.CIQ($G573,$I573,P107,Valuation_Date_GC,ReportType,DataMode,$H573,FXMode)*Scale,"--"))</f>
        <v>--</v>
      </c>
      <c r="R573" s="2301" t="str">
        <f>IF($G573=0,"--",IFERROR(_xll.ciqfunctions.udf.CIQ($G573,$I573,R107,Valuation_Date_GC,ReportType,DataMode,$H573,FXMode)*Scale,"--"))</f>
        <v>--</v>
      </c>
      <c r="S573" s="89" t="s">
        <v>801</v>
      </c>
      <c r="T573" s="2301" t="str">
        <f>IF(H107=0,O573,IF($G573=0,"--",IFERROR(_xll.ciqfunctions.udf.CIQ($G573,$S573,U107-1,Valuation_Date_GC,ReportType,DataMode,$H573)*Scale,"--")))</f>
        <v>--</v>
      </c>
      <c r="U573" s="2301" t="str">
        <f>IF($G573=0,"--",IFERROR(IF(_xll.ciqfunctions.udf.CIQ($G573,$S573,U107,Valuation_Date_GC,,DataMode,$H573)*Scale=0,"--",_xll.ciqfunctions.udf.CIQ($G573,$S573,U107,Valuation_Date_GC,ReportType,DataMode,$H573)*Scale),"--"))</f>
        <v>--</v>
      </c>
      <c r="V573" s="2301" t="str">
        <f>IF($G573=0,"--",IFERROR(IF(_xll.ciqfunctions.udf.CIQ($G573,$S573,V107,Valuation_Date_GC,,DataMode,$H573)*Scale=0,"--",_xll.ciqfunctions.udf.CIQ($G573,$S573,V107,Valuation_Date_GC,ReportType,DataMode,$H573)*Scale),"--"))</f>
        <v>--</v>
      </c>
      <c r="W573" s="2301" t="str">
        <f>IF($G573=0,"--",IFERROR(IF(_xll.ciqfunctions.udf.CIQ($G573,$S573,W107,Valuation_Date_GC,,DataMode,$H573)*Scale=0,"--",_xll.ciqfunctions.udf.CIQ($G573,$S573,W107,Valuation_Date_GC,ReportType,DataMode,$H573)*Scale),"--"))</f>
        <v>--</v>
      </c>
      <c r="X573" s="2301" t="str">
        <f>IF($G573=0,"--",IFERROR(IF(_xll.ciqfunctions.udf.CIQ($G573,$S573,X107,Valuation_Date_GC,,DataMode,$H573)*Scale=0,"--",_xll.ciqfunctions.udf.CIQ($G573,$S573,X107,Valuation_Date_GC,ReportType,DataMode,$H573)*Scale),"--"))</f>
        <v>--</v>
      </c>
      <c r="Y573" s="2301" t="str">
        <f>IF($G573=0,"--",IFERROR(IF(_xll.ciqfunctions.udf.CIQ($G573,$S573,Y107,Valuation_Date_GC,,DataMode,$H573)*Scale=0,"--",_xll.ciqfunctions.udf.CIQ($G573,$S573,Y107,Valuation_Date_GC,ReportType,DataMode,$H573)*Scale),"--"))</f>
        <v>--</v>
      </c>
      <c r="Z573" s="2078" t="str">
        <f t="shared" si="170"/>
        <v/>
      </c>
      <c r="AA573" s="2301">
        <f>_xll.ciqfunctions.udf.CIQ($G573,"IQ_REVENUE_NUM_EST",U$97,Valuation_Date_GC,"CON")</f>
        <v>0</v>
      </c>
      <c r="AB573" s="2301">
        <f>_xll.ciqfunctions.udf.CIQ($G573,"IQ_REVENUE_NUM_EST",V$97,Valuation_Date_GC,"CON")</f>
        <v>0</v>
      </c>
      <c r="AC573" s="2301">
        <f>_xll.ciqfunctions.udf.CIQ($G573,"IQ_REVENUE_NUM_EST",W$97,Valuation_Date_GC,"CON")</f>
        <v>0</v>
      </c>
      <c r="AD573" s="2301">
        <f>_xll.ciqfunctions.udf.CIQ($G573,"IQ_REVENUE_NUM_EST",X$97,Valuation_Date_GC,"CON")</f>
        <v>0</v>
      </c>
      <c r="AE573" s="2301">
        <f>_xll.ciqfunctions.udf.CIQ($G573,"IQ_REVENUE_NUM_EST",Y$97,Valuation_Date_GC,"CON")</f>
        <v>0</v>
      </c>
      <c r="AF573" s="2060"/>
      <c r="AG573" s="2060"/>
      <c r="AH573" s="2060"/>
    </row>
    <row r="574" spans="1:34" s="89" customFormat="1" ht="13.9">
      <c r="A574" s="269" t="str">
        <f t="shared" si="171"/>
        <v>n</v>
      </c>
      <c r="B574" s="2060"/>
      <c r="D574" s="801"/>
      <c r="E574" s="1505">
        <v>9</v>
      </c>
      <c r="F574" s="21" t="str">
        <f>F$137</f>
        <v>--</v>
      </c>
      <c r="G574" s="1441">
        <f>G$137</f>
        <v>0</v>
      </c>
      <c r="H574" s="1441" t="str">
        <f>H$137</f>
        <v>--</v>
      </c>
      <c r="I574" s="1513" t="s">
        <v>803</v>
      </c>
      <c r="J574" s="2301" t="str">
        <f>IF($G574=0,"--",IFERROR(_xll.ciqfunctions.udf.CIQ($G574,$I574,J108,Valuation_Date_GC,ReportType,DataMode,$H574,FXMode)*Scale,"--"))</f>
        <v>--</v>
      </c>
      <c r="K574" s="2301" t="str">
        <f>IF($G574=0,"--",IFERROR(_xll.ciqfunctions.udf.CIQ($G574,$I574,K108,Valuation_Date_GC,ReportType,DataMode,$H574,FXMode)*Scale,"--"))</f>
        <v>--</v>
      </c>
      <c r="L574" s="2301" t="str">
        <f>IF($G574=0,"--",IFERROR(_xll.ciqfunctions.udf.CIQ($G574,$I574,L108,Valuation_Date_GC,ReportType,DataMode,$H574,FXMode)*Scale,"--"))</f>
        <v>--</v>
      </c>
      <c r="M574" s="2301" t="str">
        <f>IF($G574=0,"--",IFERROR(_xll.ciqfunctions.udf.CIQ($G574,$I574,M108,Valuation_Date_GC,ReportType,DataMode,$H574,FXMode)*Scale,"--"))</f>
        <v>--</v>
      </c>
      <c r="N574" s="2301" t="str">
        <f>IF($G574=0,"--",IFERROR(_xll.ciqfunctions.udf.CIQ($G574,$I574,N108,Valuation_Date_GC,ReportType,DataMode,$H574,FXMode)*Scale,"--"))</f>
        <v>--</v>
      </c>
      <c r="O574" s="2317" t="str">
        <f>IF($G574=0,"--",IFERROR(IF(O108=1001,_xll.ciqfunctions.udf.CIQ($G574,$S574,O108,Valuation_Date_GC,ReportType,DataMode,$H574,FXMode),_xll.ciqfunctions.udf.CIQ($G574,$I574,O108,Valuation_Date_GC,ReportType,DataMode,$H574,FXMode))*Scale,"--"))</f>
        <v>--</v>
      </c>
      <c r="P574" s="2301" t="str">
        <f>IF($G574=0,"--",IFERROR(_xll.ciqfunctions.udf.CIQ($G574,$I574,P108,Valuation_Date_GC,ReportType,DataMode,$H574,FXMode)*Scale,"--"))</f>
        <v>--</v>
      </c>
      <c r="R574" s="2301" t="str">
        <f>IF($G574=0,"--",IFERROR(_xll.ciqfunctions.udf.CIQ($G574,$I574,R108,Valuation_Date_GC,ReportType,DataMode,$H574,FXMode)*Scale,"--"))</f>
        <v>--</v>
      </c>
      <c r="S574" s="89" t="s">
        <v>801</v>
      </c>
      <c r="T574" s="2301" t="str">
        <f>IF(H108=0,O574,IF($G574=0,"--",IFERROR(_xll.ciqfunctions.udf.CIQ($G574,$S574,U108-1,Valuation_Date_GC,ReportType,DataMode,$H574)*Scale,"--")))</f>
        <v>--</v>
      </c>
      <c r="U574" s="2301" t="str">
        <f>IF($G574=0,"--",IFERROR(IF(_xll.ciqfunctions.udf.CIQ($G574,$S574,U108,Valuation_Date_GC,,DataMode,$H574)*Scale=0,"--",_xll.ciqfunctions.udf.CIQ($G574,$S574,U108,Valuation_Date_GC,ReportType,DataMode,$H574)*Scale),"--"))</f>
        <v>--</v>
      </c>
      <c r="V574" s="2301" t="str">
        <f>IF($G574=0,"--",IFERROR(IF(_xll.ciqfunctions.udf.CIQ($G574,$S574,V108,Valuation_Date_GC,,DataMode,$H574)*Scale=0,"--",_xll.ciqfunctions.udf.CIQ($G574,$S574,V108,Valuation_Date_GC,ReportType,DataMode,$H574)*Scale),"--"))</f>
        <v>--</v>
      </c>
      <c r="W574" s="2301" t="str">
        <f>IF($G574=0,"--",IFERROR(IF(_xll.ciqfunctions.udf.CIQ($G574,$S574,W108,Valuation_Date_GC,,DataMode,$H574)*Scale=0,"--",_xll.ciqfunctions.udf.CIQ($G574,$S574,W108,Valuation_Date_GC,ReportType,DataMode,$H574)*Scale),"--"))</f>
        <v>--</v>
      </c>
      <c r="X574" s="2301" t="str">
        <f>IF($G574=0,"--",IFERROR(IF(_xll.ciqfunctions.udf.CIQ($G574,$S574,X108,Valuation_Date_GC,,DataMode,$H574)*Scale=0,"--",_xll.ciqfunctions.udf.CIQ($G574,$S574,X108,Valuation_Date_GC,ReportType,DataMode,$H574)*Scale),"--"))</f>
        <v>--</v>
      </c>
      <c r="Y574" s="2301" t="str">
        <f>IF($G574=0,"--",IFERROR(IF(_xll.ciqfunctions.udf.CIQ($G574,$S574,Y108,Valuation_Date_GC,,DataMode,$H574)*Scale=0,"--",_xll.ciqfunctions.udf.CIQ($G574,$S574,Y108,Valuation_Date_GC,ReportType,DataMode,$H574)*Scale),"--"))</f>
        <v>--</v>
      </c>
      <c r="Z574" s="2078" t="str">
        <f t="shared" si="170"/>
        <v/>
      </c>
      <c r="AA574" s="2301">
        <f>_xll.ciqfunctions.udf.CIQ($G574,"IQ_REVENUE_NUM_EST",U$97,Valuation_Date_GC,"CON")</f>
        <v>0</v>
      </c>
      <c r="AB574" s="2301">
        <f>_xll.ciqfunctions.udf.CIQ($G574,"IQ_REVENUE_NUM_EST",V$97,Valuation_Date_GC,"CON")</f>
        <v>0</v>
      </c>
      <c r="AC574" s="2301">
        <f>_xll.ciqfunctions.udf.CIQ($G574,"IQ_REVENUE_NUM_EST",W$97,Valuation_Date_GC,"CON")</f>
        <v>0</v>
      </c>
      <c r="AD574" s="2301">
        <f>_xll.ciqfunctions.udf.CIQ($G574,"IQ_REVENUE_NUM_EST",X$97,Valuation_Date_GC,"CON")</f>
        <v>0</v>
      </c>
      <c r="AE574" s="2301">
        <f>_xll.ciqfunctions.udf.CIQ($G574,"IQ_REVENUE_NUM_EST",Y$97,Valuation_Date_GC,"CON")</f>
        <v>0</v>
      </c>
      <c r="AF574" s="2060"/>
      <c r="AG574" s="2060"/>
      <c r="AH574" s="2060"/>
    </row>
    <row r="575" spans="1:34" s="89" customFormat="1" ht="13.9">
      <c r="A575" s="269" t="str">
        <f t="shared" si="171"/>
        <v>n</v>
      </c>
      <c r="B575" s="2060"/>
      <c r="D575" s="801"/>
      <c r="E575" s="1505">
        <v>10</v>
      </c>
      <c r="F575" s="21" t="str">
        <f>F$138</f>
        <v>--</v>
      </c>
      <c r="G575" s="1441">
        <f>G$138</f>
        <v>0</v>
      </c>
      <c r="H575" s="1441" t="str">
        <f>H$138</f>
        <v>--</v>
      </c>
      <c r="I575" s="1513" t="s">
        <v>803</v>
      </c>
      <c r="J575" s="2301" t="str">
        <f>IF($G575=0,"--",IFERROR(_xll.ciqfunctions.udf.CIQ($G575,$I575,J109,Valuation_Date_GC,ReportType,DataMode,$H575,FXMode)*Scale,"--"))</f>
        <v>--</v>
      </c>
      <c r="K575" s="2301" t="str">
        <f>IF($G575=0,"--",IFERROR(_xll.ciqfunctions.udf.CIQ($G575,$I575,K109,Valuation_Date_GC,ReportType,DataMode,$H575,FXMode)*Scale,"--"))</f>
        <v>--</v>
      </c>
      <c r="L575" s="2301" t="str">
        <f>IF($G575=0,"--",IFERROR(_xll.ciqfunctions.udf.CIQ($G575,$I575,L109,Valuation_Date_GC,ReportType,DataMode,$H575,FXMode)*Scale,"--"))</f>
        <v>--</v>
      </c>
      <c r="M575" s="2301" t="str">
        <f>IF($G575=0,"--",IFERROR(_xll.ciqfunctions.udf.CIQ($G575,$I575,M109,Valuation_Date_GC,ReportType,DataMode,$H575,FXMode)*Scale,"--"))</f>
        <v>--</v>
      </c>
      <c r="N575" s="2301" t="str">
        <f>IF($G575=0,"--",IFERROR(_xll.ciqfunctions.udf.CIQ($G575,$I575,N109,Valuation_Date_GC,ReportType,DataMode,$H575,FXMode)*Scale,"--"))</f>
        <v>--</v>
      </c>
      <c r="O575" s="2317" t="str">
        <f>IF($G575=0,"--",IFERROR(IF(O109=1001,_xll.ciqfunctions.udf.CIQ($G575,$S575,O109,Valuation_Date_GC,ReportType,DataMode,$H575,FXMode),_xll.ciqfunctions.udf.CIQ($G575,$I575,O109,Valuation_Date_GC,ReportType,DataMode,$H575,FXMode))*Scale,"--"))</f>
        <v>--</v>
      </c>
      <c r="P575" s="2301" t="str">
        <f>IF($G575=0,"--",IFERROR(_xll.ciqfunctions.udf.CIQ($G575,$I575,P109,Valuation_Date_GC,ReportType,DataMode,$H575,FXMode)*Scale,"--"))</f>
        <v>--</v>
      </c>
      <c r="R575" s="2301" t="str">
        <f>IF($G575=0,"--",IFERROR(_xll.ciqfunctions.udf.CIQ($G575,$I575,R109,Valuation_Date_GC,ReportType,DataMode,$H575,FXMode)*Scale,"--"))</f>
        <v>--</v>
      </c>
      <c r="S575" s="89" t="s">
        <v>801</v>
      </c>
      <c r="T575" s="2301" t="str">
        <f>IF(H109=0,O575,IF($G575=0,"--",IFERROR(_xll.ciqfunctions.udf.CIQ($G575,$S575,U109-1,Valuation_Date_GC,ReportType,DataMode,$H575)*Scale,"--")))</f>
        <v>--</v>
      </c>
      <c r="U575" s="2301" t="str">
        <f>IF($G575=0,"--",IFERROR(IF(_xll.ciqfunctions.udf.CIQ($G575,$S575,U109,Valuation_Date_GC,,DataMode,$H575)*Scale=0,"--",_xll.ciqfunctions.udf.CIQ($G575,$S575,U109,Valuation_Date_GC,ReportType,DataMode,$H575)*Scale),"--"))</f>
        <v>--</v>
      </c>
      <c r="V575" s="2301" t="str">
        <f>IF($G575=0,"--",IFERROR(IF(_xll.ciqfunctions.udf.CIQ($G575,$S575,V109,Valuation_Date_GC,,DataMode,$H575)*Scale=0,"--",_xll.ciqfunctions.udf.CIQ($G575,$S575,V109,Valuation_Date_GC,ReportType,DataMode,$H575)*Scale),"--"))</f>
        <v>--</v>
      </c>
      <c r="W575" s="2301" t="str">
        <f>IF($G575=0,"--",IFERROR(IF(_xll.ciqfunctions.udf.CIQ($G575,$S575,W109,Valuation_Date_GC,,DataMode,$H575)*Scale=0,"--",_xll.ciqfunctions.udf.CIQ($G575,$S575,W109,Valuation_Date_GC,ReportType,DataMode,$H575)*Scale),"--"))</f>
        <v>--</v>
      </c>
      <c r="X575" s="2301" t="str">
        <f>IF($G575=0,"--",IFERROR(IF(_xll.ciqfunctions.udf.CIQ($G575,$S575,X109,Valuation_Date_GC,,DataMode,$H575)*Scale=0,"--",_xll.ciqfunctions.udf.CIQ($G575,$S575,X109,Valuation_Date_GC,ReportType,DataMode,$H575)*Scale),"--"))</f>
        <v>--</v>
      </c>
      <c r="Y575" s="2301" t="str">
        <f>IF($G575=0,"--",IFERROR(IF(_xll.ciqfunctions.udf.CIQ($G575,$S575,Y109,Valuation_Date_GC,,DataMode,$H575)*Scale=0,"--",_xll.ciqfunctions.udf.CIQ($G575,$S575,Y109,Valuation_Date_GC,ReportType,DataMode,$H575)*Scale),"--"))</f>
        <v>--</v>
      </c>
      <c r="Z575" s="2078" t="str">
        <f t="shared" si="170"/>
        <v/>
      </c>
      <c r="AA575" s="2301">
        <f>_xll.ciqfunctions.udf.CIQ($G575,"IQ_REVENUE_NUM_EST",U$97,Valuation_Date_GC,"CON")</f>
        <v>0</v>
      </c>
      <c r="AB575" s="2301">
        <f>_xll.ciqfunctions.udf.CIQ($G575,"IQ_REVENUE_NUM_EST",V$97,Valuation_Date_GC,"CON")</f>
        <v>0</v>
      </c>
      <c r="AC575" s="2301">
        <f>_xll.ciqfunctions.udf.CIQ($G575,"IQ_REVENUE_NUM_EST",W$97,Valuation_Date_GC,"CON")</f>
        <v>0</v>
      </c>
      <c r="AD575" s="2301">
        <f>_xll.ciqfunctions.udf.CIQ($G575,"IQ_REVENUE_NUM_EST",X$97,Valuation_Date_GC,"CON")</f>
        <v>0</v>
      </c>
      <c r="AE575" s="2301">
        <f>_xll.ciqfunctions.udf.CIQ($G575,"IQ_REVENUE_NUM_EST",Y$97,Valuation_Date_GC,"CON")</f>
        <v>0</v>
      </c>
      <c r="AF575" s="2060"/>
      <c r="AG575" s="2060"/>
      <c r="AH575" s="2060"/>
    </row>
    <row r="576" spans="1:34" s="89" customFormat="1" ht="13.9">
      <c r="A576" s="269" t="str">
        <f t="shared" si="171"/>
        <v>n</v>
      </c>
      <c r="B576" s="2060"/>
      <c r="D576" s="801"/>
      <c r="E576" s="1505">
        <v>11</v>
      </c>
      <c r="F576" s="21" t="str">
        <f>F$139</f>
        <v>--</v>
      </c>
      <c r="G576" s="1441">
        <f>G$139</f>
        <v>0</v>
      </c>
      <c r="H576" s="1441" t="str">
        <f>H$139</f>
        <v>--</v>
      </c>
      <c r="I576" s="1513" t="s">
        <v>803</v>
      </c>
      <c r="J576" s="2301" t="str">
        <f>IF($G576=0,"--",IFERROR(_xll.ciqfunctions.udf.CIQ($G576,$I576,J110,Valuation_Date_GC,ReportType,DataMode,$H576,FXMode)*Scale,"--"))</f>
        <v>--</v>
      </c>
      <c r="K576" s="2301" t="str">
        <f>IF($G576=0,"--",IFERROR(_xll.ciqfunctions.udf.CIQ($G576,$I576,K110,Valuation_Date_GC,ReportType,DataMode,$H576,FXMode)*Scale,"--"))</f>
        <v>--</v>
      </c>
      <c r="L576" s="2301" t="str">
        <f>IF($G576=0,"--",IFERROR(_xll.ciqfunctions.udf.CIQ($G576,$I576,L110,Valuation_Date_GC,ReportType,DataMode,$H576,FXMode)*Scale,"--"))</f>
        <v>--</v>
      </c>
      <c r="M576" s="2301" t="str">
        <f>IF($G576=0,"--",IFERROR(_xll.ciqfunctions.udf.CIQ($G576,$I576,M110,Valuation_Date_GC,ReportType,DataMode,$H576,FXMode)*Scale,"--"))</f>
        <v>--</v>
      </c>
      <c r="N576" s="2301" t="str">
        <f>IF($G576=0,"--",IFERROR(_xll.ciqfunctions.udf.CIQ($G576,$I576,N110,Valuation_Date_GC,ReportType,DataMode,$H576,FXMode)*Scale,"--"))</f>
        <v>--</v>
      </c>
      <c r="O576" s="2317" t="str">
        <f>IF($G576=0,"--",IFERROR(IF(O110=1001,_xll.ciqfunctions.udf.CIQ($G576,$S576,O110,Valuation_Date_GC,ReportType,DataMode,$H576,FXMode),_xll.ciqfunctions.udf.CIQ($G576,$I576,O110,Valuation_Date_GC,ReportType,DataMode,$H576,FXMode))*Scale,"--"))</f>
        <v>--</v>
      </c>
      <c r="P576" s="2301" t="str">
        <f>IF($G576=0,"--",IFERROR(_xll.ciqfunctions.udf.CIQ($G576,$I576,P110,Valuation_Date_GC,ReportType,DataMode,$H576,FXMode)*Scale,"--"))</f>
        <v>--</v>
      </c>
      <c r="R576" s="2301" t="str">
        <f>IF($G576=0,"--",IFERROR(_xll.ciqfunctions.udf.CIQ($G576,$I576,R110,Valuation_Date_GC,ReportType,DataMode,$H576,FXMode)*Scale,"--"))</f>
        <v>--</v>
      </c>
      <c r="S576" s="89" t="s">
        <v>801</v>
      </c>
      <c r="T576" s="2301" t="str">
        <f>IF(H110=0,O576,IF($G576=0,"--",IFERROR(_xll.ciqfunctions.udf.CIQ($G576,$S576,U110-1,Valuation_Date_GC,ReportType,DataMode,$H576)*Scale,"--")))</f>
        <v>--</v>
      </c>
      <c r="U576" s="2301" t="str">
        <f>IF($G576=0,"--",IFERROR(IF(_xll.ciqfunctions.udf.CIQ($G576,$S576,U110,Valuation_Date_GC,,DataMode,$H576)*Scale=0,"--",_xll.ciqfunctions.udf.CIQ($G576,$S576,U110,Valuation_Date_GC,ReportType,DataMode,$H576)*Scale),"--"))</f>
        <v>--</v>
      </c>
      <c r="V576" s="2301" t="str">
        <f>IF($G576=0,"--",IFERROR(IF(_xll.ciqfunctions.udf.CIQ($G576,$S576,V110,Valuation_Date_GC,,DataMode,$H576)*Scale=0,"--",_xll.ciqfunctions.udf.CIQ($G576,$S576,V110,Valuation_Date_GC,ReportType,DataMode,$H576)*Scale),"--"))</f>
        <v>--</v>
      </c>
      <c r="W576" s="2301" t="str">
        <f>IF($G576=0,"--",IFERROR(IF(_xll.ciqfunctions.udf.CIQ($G576,$S576,W110,Valuation_Date_GC,,DataMode,$H576)*Scale=0,"--",_xll.ciqfunctions.udf.CIQ($G576,$S576,W110,Valuation_Date_GC,ReportType,DataMode,$H576)*Scale),"--"))</f>
        <v>--</v>
      </c>
      <c r="X576" s="2301" t="str">
        <f>IF($G576=0,"--",IFERROR(IF(_xll.ciqfunctions.udf.CIQ($G576,$S576,X110,Valuation_Date_GC,,DataMode,$H576)*Scale=0,"--",_xll.ciqfunctions.udf.CIQ($G576,$S576,X110,Valuation_Date_GC,ReportType,DataMode,$H576)*Scale),"--"))</f>
        <v>--</v>
      </c>
      <c r="Y576" s="2301" t="str">
        <f>IF($G576=0,"--",IFERROR(IF(_xll.ciqfunctions.udf.CIQ($G576,$S576,Y110,Valuation_Date_GC,,DataMode,$H576)*Scale=0,"--",_xll.ciqfunctions.udf.CIQ($G576,$S576,Y110,Valuation_Date_GC,ReportType,DataMode,$H576)*Scale),"--"))</f>
        <v>--</v>
      </c>
      <c r="Z576" s="2078" t="str">
        <f t="shared" si="170"/>
        <v/>
      </c>
      <c r="AA576" s="2301">
        <f>_xll.ciqfunctions.udf.CIQ($G576,"IQ_REVENUE_NUM_EST",U$97,Valuation_Date_GC,"CON")</f>
        <v>0</v>
      </c>
      <c r="AB576" s="2301">
        <f>_xll.ciqfunctions.udf.CIQ($G576,"IQ_REVENUE_NUM_EST",V$97,Valuation_Date_GC,"CON")</f>
        <v>0</v>
      </c>
      <c r="AC576" s="2301">
        <f>_xll.ciqfunctions.udf.CIQ($G576,"IQ_REVENUE_NUM_EST",W$97,Valuation_Date_GC,"CON")</f>
        <v>0</v>
      </c>
      <c r="AD576" s="2301">
        <f>_xll.ciqfunctions.udf.CIQ($G576,"IQ_REVENUE_NUM_EST",X$97,Valuation_Date_GC,"CON")</f>
        <v>0</v>
      </c>
      <c r="AE576" s="2301">
        <f>_xll.ciqfunctions.udf.CIQ($G576,"IQ_REVENUE_NUM_EST",Y$97,Valuation_Date_GC,"CON")</f>
        <v>0</v>
      </c>
      <c r="AF576" s="2060"/>
      <c r="AG576" s="2060"/>
      <c r="AH576" s="2060"/>
    </row>
    <row r="577" spans="1:34" s="89" customFormat="1" ht="13.9">
      <c r="A577" s="269" t="str">
        <f t="shared" si="171"/>
        <v>n</v>
      </c>
      <c r="B577" s="2060"/>
      <c r="D577" s="801"/>
      <c r="E577" s="1505">
        <v>12</v>
      </c>
      <c r="F577" s="21" t="str">
        <f>F$140</f>
        <v>--</v>
      </c>
      <c r="G577" s="1441">
        <f>G$140</f>
        <v>0</v>
      </c>
      <c r="H577" s="1441" t="str">
        <f>H$140</f>
        <v>--</v>
      </c>
      <c r="I577" s="1513" t="s">
        <v>803</v>
      </c>
      <c r="J577" s="2301" t="str">
        <f>IF($G577=0,"--",IFERROR(_xll.ciqfunctions.udf.CIQ($G577,$I577,J111,Valuation_Date_GC,ReportType,DataMode,$H577,FXMode)*Scale,"--"))</f>
        <v>--</v>
      </c>
      <c r="K577" s="2301" t="str">
        <f>IF($G577=0,"--",IFERROR(_xll.ciqfunctions.udf.CIQ($G577,$I577,K111,Valuation_Date_GC,ReportType,DataMode,$H577,FXMode)*Scale,"--"))</f>
        <v>--</v>
      </c>
      <c r="L577" s="2301" t="str">
        <f>IF($G577=0,"--",IFERROR(_xll.ciqfunctions.udf.CIQ($G577,$I577,L111,Valuation_Date_GC,ReportType,DataMode,$H577,FXMode)*Scale,"--"))</f>
        <v>--</v>
      </c>
      <c r="M577" s="2301" t="str">
        <f>IF($G577=0,"--",IFERROR(_xll.ciqfunctions.udf.CIQ($G577,$I577,M111,Valuation_Date_GC,ReportType,DataMode,$H577,FXMode)*Scale,"--"))</f>
        <v>--</v>
      </c>
      <c r="N577" s="2301" t="str">
        <f>IF($G577=0,"--",IFERROR(_xll.ciqfunctions.udf.CIQ($G577,$I577,N111,Valuation_Date_GC,ReportType,DataMode,$H577,FXMode)*Scale,"--"))</f>
        <v>--</v>
      </c>
      <c r="O577" s="2317" t="str">
        <f>IF($G577=0,"--",IFERROR(IF(O111=1001,_xll.ciqfunctions.udf.CIQ($G577,$S577,O111,Valuation_Date_GC,ReportType,DataMode,$H577,FXMode),_xll.ciqfunctions.udf.CIQ($G577,$I577,O111,Valuation_Date_GC,ReportType,DataMode,$H577,FXMode))*Scale,"--"))</f>
        <v>--</v>
      </c>
      <c r="P577" s="2301" t="str">
        <f>IF($G577=0,"--",IFERROR(_xll.ciqfunctions.udf.CIQ($G577,$I577,P111,Valuation_Date_GC,ReportType,DataMode,$H577,FXMode)*Scale,"--"))</f>
        <v>--</v>
      </c>
      <c r="R577" s="2301" t="str">
        <f>IF($G577=0,"--",IFERROR(_xll.ciqfunctions.udf.CIQ($G577,$I577,R111,Valuation_Date_GC,ReportType,DataMode,$H577,FXMode)*Scale,"--"))</f>
        <v>--</v>
      </c>
      <c r="S577" s="89" t="s">
        <v>801</v>
      </c>
      <c r="T577" s="2301" t="str">
        <f>IF(H111=0,O577,IF($G577=0,"--",IFERROR(_xll.ciqfunctions.udf.CIQ($G577,$S577,U111-1,Valuation_Date_GC,ReportType,DataMode,$H577)*Scale,"--")))</f>
        <v>--</v>
      </c>
      <c r="U577" s="2301" t="str">
        <f>IF($G577=0,"--",IFERROR(IF(_xll.ciqfunctions.udf.CIQ($G577,$S577,U111,Valuation_Date_GC,,DataMode,$H577)*Scale=0,"--",_xll.ciqfunctions.udf.CIQ($G577,$S577,U111,Valuation_Date_GC,ReportType,DataMode,$H577)*Scale),"--"))</f>
        <v>--</v>
      </c>
      <c r="V577" s="2301" t="str">
        <f>IF($G577=0,"--",IFERROR(IF(_xll.ciqfunctions.udf.CIQ($G577,$S577,V111,Valuation_Date_GC,,DataMode,$H577)*Scale=0,"--",_xll.ciqfunctions.udf.CIQ($G577,$S577,V111,Valuation_Date_GC,ReportType,DataMode,$H577)*Scale),"--"))</f>
        <v>--</v>
      </c>
      <c r="W577" s="2301" t="str">
        <f>IF($G577=0,"--",IFERROR(IF(_xll.ciqfunctions.udf.CIQ($G577,$S577,W111,Valuation_Date_GC,,DataMode,$H577)*Scale=0,"--",_xll.ciqfunctions.udf.CIQ($G577,$S577,W111,Valuation_Date_GC,ReportType,DataMode,$H577)*Scale),"--"))</f>
        <v>--</v>
      </c>
      <c r="X577" s="2301" t="str">
        <f>IF($G577=0,"--",IFERROR(IF(_xll.ciqfunctions.udf.CIQ($G577,$S577,X111,Valuation_Date_GC,,DataMode,$H577)*Scale=0,"--",_xll.ciqfunctions.udf.CIQ($G577,$S577,X111,Valuation_Date_GC,ReportType,DataMode,$H577)*Scale),"--"))</f>
        <v>--</v>
      </c>
      <c r="Y577" s="2301" t="str">
        <f>IF($G577=0,"--",IFERROR(IF(_xll.ciqfunctions.udf.CIQ($G577,$S577,Y111,Valuation_Date_GC,,DataMode,$H577)*Scale=0,"--",_xll.ciqfunctions.udf.CIQ($G577,$S577,Y111,Valuation_Date_GC,ReportType,DataMode,$H577)*Scale),"--"))</f>
        <v>--</v>
      </c>
      <c r="Z577" s="2078" t="str">
        <f t="shared" si="170"/>
        <v/>
      </c>
      <c r="AA577" s="2301">
        <f>_xll.ciqfunctions.udf.CIQ($G577,"IQ_REVENUE_NUM_EST",U$97,Valuation_Date_GC,"CON")</f>
        <v>0</v>
      </c>
      <c r="AB577" s="2301">
        <f>_xll.ciqfunctions.udf.CIQ($G577,"IQ_REVENUE_NUM_EST",V$97,Valuation_Date_GC,"CON")</f>
        <v>0</v>
      </c>
      <c r="AC577" s="2301">
        <f>_xll.ciqfunctions.udf.CIQ($G577,"IQ_REVENUE_NUM_EST",W$97,Valuation_Date_GC,"CON")</f>
        <v>0</v>
      </c>
      <c r="AD577" s="2301">
        <f>_xll.ciqfunctions.udf.CIQ($G577,"IQ_REVENUE_NUM_EST",X$97,Valuation_Date_GC,"CON")</f>
        <v>0</v>
      </c>
      <c r="AE577" s="2301">
        <f>_xll.ciqfunctions.udf.CIQ($G577,"IQ_REVENUE_NUM_EST",Y$97,Valuation_Date_GC,"CON")</f>
        <v>0</v>
      </c>
      <c r="AF577" s="2060"/>
      <c r="AG577" s="2060"/>
      <c r="AH577" s="2060"/>
    </row>
    <row r="578" spans="1:34" s="89" customFormat="1" ht="13.9">
      <c r="A578" s="269" t="str">
        <f t="shared" si="171"/>
        <v>n</v>
      </c>
      <c r="B578" s="2060"/>
      <c r="D578" s="801"/>
      <c r="E578" s="1505">
        <v>13</v>
      </c>
      <c r="F578" s="21" t="str">
        <f>F$141</f>
        <v>--</v>
      </c>
      <c r="G578" s="1441">
        <f>G$141</f>
        <v>0</v>
      </c>
      <c r="H578" s="1441" t="str">
        <f>H$141</f>
        <v>--</v>
      </c>
      <c r="I578" s="1513" t="s">
        <v>803</v>
      </c>
      <c r="J578" s="2301" t="str">
        <f>IF($G578=0,"--",IFERROR(_xll.ciqfunctions.udf.CIQ($G578,$I578,J112,Valuation_Date_GC,ReportType,DataMode,$H578,FXMode)*Scale,"--"))</f>
        <v>--</v>
      </c>
      <c r="K578" s="2301" t="str">
        <f>IF($G578=0,"--",IFERROR(_xll.ciqfunctions.udf.CIQ($G578,$I578,K112,Valuation_Date_GC,ReportType,DataMode,$H578,FXMode)*Scale,"--"))</f>
        <v>--</v>
      </c>
      <c r="L578" s="2301" t="str">
        <f>IF($G578=0,"--",IFERROR(_xll.ciqfunctions.udf.CIQ($G578,$I578,L112,Valuation_Date_GC,ReportType,DataMode,$H578,FXMode)*Scale,"--"))</f>
        <v>--</v>
      </c>
      <c r="M578" s="2301" t="str">
        <f>IF($G578=0,"--",IFERROR(_xll.ciqfunctions.udf.CIQ($G578,$I578,M112,Valuation_Date_GC,ReportType,DataMode,$H578,FXMode)*Scale,"--"))</f>
        <v>--</v>
      </c>
      <c r="N578" s="2301" t="str">
        <f>IF($G578=0,"--",IFERROR(_xll.ciqfunctions.udf.CIQ($G578,$I578,N112,Valuation_Date_GC,ReportType,DataMode,$H578,FXMode)*Scale,"--"))</f>
        <v>--</v>
      </c>
      <c r="O578" s="2317" t="str">
        <f>IF($G578=0,"--",IFERROR(IF(O112=1001,_xll.ciqfunctions.udf.CIQ($G578,$S578,O112,Valuation_Date_GC,ReportType,DataMode,$H578,FXMode),_xll.ciqfunctions.udf.CIQ($G578,$I578,O112,Valuation_Date_GC,ReportType,DataMode,$H578,FXMode))*Scale,"--"))</f>
        <v>--</v>
      </c>
      <c r="P578" s="2301" t="str">
        <f>IF($G578=0,"--",IFERROR(_xll.ciqfunctions.udf.CIQ($G578,$I578,P112,Valuation_Date_GC,ReportType,DataMode,$H578,FXMode)*Scale,"--"))</f>
        <v>--</v>
      </c>
      <c r="R578" s="2301" t="str">
        <f>IF($G578=0,"--",IFERROR(_xll.ciqfunctions.udf.CIQ($G578,$I578,R112,Valuation_Date_GC,ReportType,DataMode,$H578,FXMode)*Scale,"--"))</f>
        <v>--</v>
      </c>
      <c r="S578" s="89" t="s">
        <v>801</v>
      </c>
      <c r="T578" s="2301" t="str">
        <f>IF(H112=0,O578,IF($G578=0,"--",IFERROR(_xll.ciqfunctions.udf.CIQ($G578,$S578,U112-1,Valuation_Date_GC,ReportType,DataMode,$H578)*Scale,"--")))</f>
        <v>--</v>
      </c>
      <c r="U578" s="2301" t="str">
        <f>IF($G578=0,"--",IFERROR(IF(_xll.ciqfunctions.udf.CIQ($G578,$S578,U112,Valuation_Date_GC,,DataMode,$H578)*Scale=0,"--",_xll.ciqfunctions.udf.CIQ($G578,$S578,U112,Valuation_Date_GC,ReportType,DataMode,$H578)*Scale),"--"))</f>
        <v>--</v>
      </c>
      <c r="V578" s="2301" t="str">
        <f>IF($G578=0,"--",IFERROR(IF(_xll.ciqfunctions.udf.CIQ($G578,$S578,V112,Valuation_Date_GC,,DataMode,$H578)*Scale=0,"--",_xll.ciqfunctions.udf.CIQ($G578,$S578,V112,Valuation_Date_GC,ReportType,DataMode,$H578)*Scale),"--"))</f>
        <v>--</v>
      </c>
      <c r="W578" s="2301" t="str">
        <f>IF($G578=0,"--",IFERROR(IF(_xll.ciqfunctions.udf.CIQ($G578,$S578,W112,Valuation_Date_GC,,DataMode,$H578)*Scale=0,"--",_xll.ciqfunctions.udf.CIQ($G578,$S578,W112,Valuation_Date_GC,ReportType,DataMode,$H578)*Scale),"--"))</f>
        <v>--</v>
      </c>
      <c r="X578" s="2301" t="str">
        <f>IF($G578=0,"--",IFERROR(IF(_xll.ciqfunctions.udf.CIQ($G578,$S578,X112,Valuation_Date_GC,,DataMode,$H578)*Scale=0,"--",_xll.ciqfunctions.udf.CIQ($G578,$S578,X112,Valuation_Date_GC,ReportType,DataMode,$H578)*Scale),"--"))</f>
        <v>--</v>
      </c>
      <c r="Y578" s="2301" t="str">
        <f>IF($G578=0,"--",IFERROR(IF(_xll.ciqfunctions.udf.CIQ($G578,$S578,Y112,Valuation_Date_GC,,DataMode,$H578)*Scale=0,"--",_xll.ciqfunctions.udf.CIQ($G578,$S578,Y112,Valuation_Date_GC,ReportType,DataMode,$H578)*Scale),"--"))</f>
        <v>--</v>
      </c>
      <c r="Z578" s="2078" t="str">
        <f t="shared" si="170"/>
        <v/>
      </c>
      <c r="AA578" s="2301">
        <f>_xll.ciqfunctions.udf.CIQ($G578,"IQ_REVENUE_NUM_EST",U$97,Valuation_Date_GC,"CON")</f>
        <v>0</v>
      </c>
      <c r="AB578" s="2301">
        <f>_xll.ciqfunctions.udf.CIQ($G578,"IQ_REVENUE_NUM_EST",V$97,Valuation_Date_GC,"CON")</f>
        <v>0</v>
      </c>
      <c r="AC578" s="2301">
        <f>_xll.ciqfunctions.udf.CIQ($G578,"IQ_REVENUE_NUM_EST",W$97,Valuation_Date_GC,"CON")</f>
        <v>0</v>
      </c>
      <c r="AD578" s="2301">
        <f>_xll.ciqfunctions.udf.CIQ($G578,"IQ_REVENUE_NUM_EST",X$97,Valuation_Date_GC,"CON")</f>
        <v>0</v>
      </c>
      <c r="AE578" s="2301">
        <f>_xll.ciqfunctions.udf.CIQ($G578,"IQ_REVENUE_NUM_EST",Y$97,Valuation_Date_GC,"CON")</f>
        <v>0</v>
      </c>
      <c r="AF578" s="2060"/>
      <c r="AG578" s="2060"/>
      <c r="AH578" s="2060"/>
    </row>
    <row r="579" spans="1:34" s="89" customFormat="1" ht="13.9">
      <c r="A579" s="269" t="str">
        <f t="shared" si="171"/>
        <v>n</v>
      </c>
      <c r="B579" s="2060"/>
      <c r="D579" s="801"/>
      <c r="E579" s="1505">
        <v>14</v>
      </c>
      <c r="F579" s="21" t="str">
        <f>F$142</f>
        <v>--</v>
      </c>
      <c r="G579" s="1441">
        <f>G$142</f>
        <v>0</v>
      </c>
      <c r="H579" s="1441" t="str">
        <f>H$142</f>
        <v>--</v>
      </c>
      <c r="I579" s="1513" t="s">
        <v>803</v>
      </c>
      <c r="J579" s="2301" t="str">
        <f>IF($G579=0,"--",IFERROR(_xll.ciqfunctions.udf.CIQ($G579,$I579,J113,Valuation_Date_GC,ReportType,DataMode,$H579,FXMode)*Scale,"--"))</f>
        <v>--</v>
      </c>
      <c r="K579" s="2301" t="str">
        <f>IF($G579=0,"--",IFERROR(_xll.ciqfunctions.udf.CIQ($G579,$I579,K113,Valuation_Date_GC,ReportType,DataMode,$H579,FXMode)*Scale,"--"))</f>
        <v>--</v>
      </c>
      <c r="L579" s="2301" t="str">
        <f>IF($G579=0,"--",IFERROR(_xll.ciqfunctions.udf.CIQ($G579,$I579,L113,Valuation_Date_GC,ReportType,DataMode,$H579,FXMode)*Scale,"--"))</f>
        <v>--</v>
      </c>
      <c r="M579" s="2301" t="str">
        <f>IF($G579=0,"--",IFERROR(_xll.ciqfunctions.udf.CIQ($G579,$I579,M113,Valuation_Date_GC,ReportType,DataMode,$H579,FXMode)*Scale,"--"))</f>
        <v>--</v>
      </c>
      <c r="N579" s="2301" t="str">
        <f>IF($G579=0,"--",IFERROR(_xll.ciqfunctions.udf.CIQ($G579,$I579,N113,Valuation_Date_GC,ReportType,DataMode,$H579,FXMode)*Scale,"--"))</f>
        <v>--</v>
      </c>
      <c r="O579" s="2317" t="str">
        <f>IF($G579=0,"--",IFERROR(IF(O113=1001,_xll.ciqfunctions.udf.CIQ($G579,$S579,O113,Valuation_Date_GC,ReportType,DataMode,$H579,FXMode),_xll.ciqfunctions.udf.CIQ($G579,$I579,O113,Valuation_Date_GC,ReportType,DataMode,$H579,FXMode))*Scale,"--"))</f>
        <v>--</v>
      </c>
      <c r="P579" s="2301" t="str">
        <f>IF($G579=0,"--",IFERROR(_xll.ciqfunctions.udf.CIQ($G579,$I579,P113,Valuation_Date_GC,ReportType,DataMode,$H579,FXMode)*Scale,"--"))</f>
        <v>--</v>
      </c>
      <c r="R579" s="2301" t="str">
        <f>IF($G579=0,"--",IFERROR(_xll.ciqfunctions.udf.CIQ($G579,$I579,R113,Valuation_Date_GC,ReportType,DataMode,$H579,FXMode)*Scale,"--"))</f>
        <v>--</v>
      </c>
      <c r="S579" s="89" t="s">
        <v>801</v>
      </c>
      <c r="T579" s="2301" t="str">
        <f>IF(H113=0,O579,IF($G579=0,"--",IFERROR(_xll.ciqfunctions.udf.CIQ($G579,$S579,U113-1,Valuation_Date_GC,ReportType,DataMode,$H579)*Scale,"--")))</f>
        <v>--</v>
      </c>
      <c r="U579" s="2301" t="str">
        <f>IF($G579=0,"--",IFERROR(IF(_xll.ciqfunctions.udf.CIQ($G579,$S579,U113,Valuation_Date_GC,,DataMode,$H579)*Scale=0,"--",_xll.ciqfunctions.udf.CIQ($G579,$S579,U113,Valuation_Date_GC,ReportType,DataMode,$H579)*Scale),"--"))</f>
        <v>--</v>
      </c>
      <c r="V579" s="2301" t="str">
        <f>IF($G579=0,"--",IFERROR(IF(_xll.ciqfunctions.udf.CIQ($G579,$S579,V113,Valuation_Date_GC,,DataMode,$H579)*Scale=0,"--",_xll.ciqfunctions.udf.CIQ($G579,$S579,V113,Valuation_Date_GC,ReportType,DataMode,$H579)*Scale),"--"))</f>
        <v>--</v>
      </c>
      <c r="W579" s="2301" t="str">
        <f>IF($G579=0,"--",IFERROR(IF(_xll.ciqfunctions.udf.CIQ($G579,$S579,W113,Valuation_Date_GC,,DataMode,$H579)*Scale=0,"--",_xll.ciqfunctions.udf.CIQ($G579,$S579,W113,Valuation_Date_GC,ReportType,DataMode,$H579)*Scale),"--"))</f>
        <v>--</v>
      </c>
      <c r="X579" s="2301" t="str">
        <f>IF($G579=0,"--",IFERROR(IF(_xll.ciqfunctions.udf.CIQ($G579,$S579,X113,Valuation_Date_GC,,DataMode,$H579)*Scale=0,"--",_xll.ciqfunctions.udf.CIQ($G579,$S579,X113,Valuation_Date_GC,ReportType,DataMode,$H579)*Scale),"--"))</f>
        <v>--</v>
      </c>
      <c r="Y579" s="2301" t="str">
        <f>IF($G579=0,"--",IFERROR(IF(_xll.ciqfunctions.udf.CIQ($G579,$S579,Y113,Valuation_Date_GC,,DataMode,$H579)*Scale=0,"--",_xll.ciqfunctions.udf.CIQ($G579,$S579,Y113,Valuation_Date_GC,ReportType,DataMode,$H579)*Scale),"--"))</f>
        <v>--</v>
      </c>
      <c r="Z579" s="2078" t="str">
        <f t="shared" si="170"/>
        <v/>
      </c>
      <c r="AA579" s="2301">
        <f>_xll.ciqfunctions.udf.CIQ($G579,"IQ_REVENUE_NUM_EST",U$97,Valuation_Date_GC,"CON")</f>
        <v>0</v>
      </c>
      <c r="AB579" s="2301">
        <f>_xll.ciqfunctions.udf.CIQ($G579,"IQ_REVENUE_NUM_EST",V$97,Valuation_Date_GC,"CON")</f>
        <v>0</v>
      </c>
      <c r="AC579" s="2301">
        <f>_xll.ciqfunctions.udf.CIQ($G579,"IQ_REVENUE_NUM_EST",W$97,Valuation_Date_GC,"CON")</f>
        <v>0</v>
      </c>
      <c r="AD579" s="2301">
        <f>_xll.ciqfunctions.udf.CIQ($G579,"IQ_REVENUE_NUM_EST",X$97,Valuation_Date_GC,"CON")</f>
        <v>0</v>
      </c>
      <c r="AE579" s="2301">
        <f>_xll.ciqfunctions.udf.CIQ($G579,"IQ_REVENUE_NUM_EST",Y$97,Valuation_Date_GC,"CON")</f>
        <v>0</v>
      </c>
      <c r="AF579" s="2060"/>
      <c r="AG579" s="2060"/>
      <c r="AH579" s="2060"/>
    </row>
    <row r="580" spans="1:34" s="89" customFormat="1" ht="13.9">
      <c r="A580" s="269" t="str">
        <f t="shared" si="171"/>
        <v>n</v>
      </c>
      <c r="B580" s="2060"/>
      <c r="D580" s="801"/>
      <c r="E580" s="1505">
        <v>15</v>
      </c>
      <c r="F580" s="21" t="str">
        <f>F$143</f>
        <v>--</v>
      </c>
      <c r="G580" s="1441">
        <f>G$143</f>
        <v>0</v>
      </c>
      <c r="H580" s="1441" t="str">
        <f>H$143</f>
        <v>--</v>
      </c>
      <c r="I580" s="1513" t="s">
        <v>803</v>
      </c>
      <c r="J580" s="2301" t="str">
        <f>IF($G580=0,"--",IFERROR(_xll.ciqfunctions.udf.CIQ($G580,$I580,J114,Valuation_Date_GC,ReportType,DataMode,$H580,FXMode)*Scale,"--"))</f>
        <v>--</v>
      </c>
      <c r="K580" s="2301" t="str">
        <f>IF($G580=0,"--",IFERROR(_xll.ciqfunctions.udf.CIQ($G580,$I580,K114,Valuation_Date_GC,ReportType,DataMode,$H580,FXMode)*Scale,"--"))</f>
        <v>--</v>
      </c>
      <c r="L580" s="2301" t="str">
        <f>IF($G580=0,"--",IFERROR(_xll.ciqfunctions.udf.CIQ($G580,$I580,L114,Valuation_Date_GC,ReportType,DataMode,$H580,FXMode)*Scale,"--"))</f>
        <v>--</v>
      </c>
      <c r="M580" s="2301" t="str">
        <f>IF($G580=0,"--",IFERROR(_xll.ciqfunctions.udf.CIQ($G580,$I580,M114,Valuation_Date_GC,ReportType,DataMode,$H580,FXMode)*Scale,"--"))</f>
        <v>--</v>
      </c>
      <c r="N580" s="2301" t="str">
        <f>IF($G580=0,"--",IFERROR(_xll.ciqfunctions.udf.CIQ($G580,$I580,N114,Valuation_Date_GC,ReportType,DataMode,$H580,FXMode)*Scale,"--"))</f>
        <v>--</v>
      </c>
      <c r="O580" s="2317" t="str">
        <f>IF($G580=0,"--",IFERROR(IF(O114=1001,_xll.ciqfunctions.udf.CIQ($G580,$S580,O114,Valuation_Date_GC,ReportType,DataMode,$H580,FXMode),_xll.ciqfunctions.udf.CIQ($G580,$I580,O114,Valuation_Date_GC,ReportType,DataMode,$H580,FXMode))*Scale,"--"))</f>
        <v>--</v>
      </c>
      <c r="P580" s="2301" t="str">
        <f>IF($G580=0,"--",IFERROR(_xll.ciqfunctions.udf.CIQ($G580,$I580,P114,Valuation_Date_GC,ReportType,DataMode,$H580,FXMode)*Scale,"--"))</f>
        <v>--</v>
      </c>
      <c r="R580" s="2301" t="str">
        <f>IF($G580=0,"--",IFERROR(_xll.ciqfunctions.udf.CIQ($G580,$I580,R114,Valuation_Date_GC,ReportType,DataMode,$H580,FXMode)*Scale,"--"))</f>
        <v>--</v>
      </c>
      <c r="S580" s="89" t="s">
        <v>801</v>
      </c>
      <c r="T580" s="2301" t="str">
        <f>IF(H114=0,O580,IF($G580=0,"--",IFERROR(_xll.ciqfunctions.udf.CIQ($G580,$S580,U114-1,Valuation_Date_GC,ReportType,DataMode,$H580)*Scale,"--")))</f>
        <v>--</v>
      </c>
      <c r="U580" s="2301" t="str">
        <f>IF($G580=0,"--",IFERROR(IF(_xll.ciqfunctions.udf.CIQ($G580,$S580,U114,Valuation_Date_GC,,DataMode,$H580)*Scale=0,"--",_xll.ciqfunctions.udf.CIQ($G580,$S580,U114,Valuation_Date_GC,ReportType,DataMode,$H580)*Scale),"--"))</f>
        <v>--</v>
      </c>
      <c r="V580" s="2301" t="str">
        <f>IF($G580=0,"--",IFERROR(IF(_xll.ciqfunctions.udf.CIQ($G580,$S580,V114,Valuation_Date_GC,,DataMode,$H580)*Scale=0,"--",_xll.ciqfunctions.udf.CIQ($G580,$S580,V114,Valuation_Date_GC,ReportType,DataMode,$H580)*Scale),"--"))</f>
        <v>--</v>
      </c>
      <c r="W580" s="2301" t="str">
        <f>IF($G580=0,"--",IFERROR(IF(_xll.ciqfunctions.udf.CIQ($G580,$S580,W114,Valuation_Date_GC,,DataMode,$H580)*Scale=0,"--",_xll.ciqfunctions.udf.CIQ($G580,$S580,W114,Valuation_Date_GC,ReportType,DataMode,$H580)*Scale),"--"))</f>
        <v>--</v>
      </c>
      <c r="X580" s="2301" t="str">
        <f>IF($G580=0,"--",IFERROR(IF(_xll.ciqfunctions.udf.CIQ($G580,$S580,X114,Valuation_Date_GC,,DataMode,$H580)*Scale=0,"--",_xll.ciqfunctions.udf.CIQ($G580,$S580,X114,Valuation_Date_GC,ReportType,DataMode,$H580)*Scale),"--"))</f>
        <v>--</v>
      </c>
      <c r="Y580" s="2301" t="str">
        <f>IF($G580=0,"--",IFERROR(IF(_xll.ciqfunctions.udf.CIQ($G580,$S580,Y114,Valuation_Date_GC,,DataMode,$H580)*Scale=0,"--",_xll.ciqfunctions.udf.CIQ($G580,$S580,Y114,Valuation_Date_GC,ReportType,DataMode,$H580)*Scale),"--"))</f>
        <v>--</v>
      </c>
      <c r="Z580" s="2078" t="str">
        <f t="shared" si="170"/>
        <v/>
      </c>
      <c r="AA580" s="2301">
        <f>_xll.ciqfunctions.udf.CIQ($G580,"IQ_REVENUE_NUM_EST",U$97,Valuation_Date_GC,"CON")</f>
        <v>0</v>
      </c>
      <c r="AB580" s="2301">
        <f>_xll.ciqfunctions.udf.CIQ($G580,"IQ_REVENUE_NUM_EST",V$97,Valuation_Date_GC,"CON")</f>
        <v>0</v>
      </c>
      <c r="AC580" s="2301">
        <f>_xll.ciqfunctions.udf.CIQ($G580,"IQ_REVENUE_NUM_EST",W$97,Valuation_Date_GC,"CON")</f>
        <v>0</v>
      </c>
      <c r="AD580" s="2301">
        <f>_xll.ciqfunctions.udf.CIQ($G580,"IQ_REVENUE_NUM_EST",X$97,Valuation_Date_GC,"CON")</f>
        <v>0</v>
      </c>
      <c r="AE580" s="2301">
        <f>_xll.ciqfunctions.udf.CIQ($G580,"IQ_REVENUE_NUM_EST",Y$97,Valuation_Date_GC,"CON")</f>
        <v>0</v>
      </c>
      <c r="AF580" s="2060"/>
      <c r="AG580" s="2060"/>
      <c r="AH580" s="2060"/>
    </row>
    <row r="581" spans="1:34" s="89" customFormat="1" ht="13.9">
      <c r="A581" s="269" t="str">
        <f t="shared" si="171"/>
        <v>n</v>
      </c>
      <c r="B581" s="2060"/>
      <c r="D581" s="801"/>
      <c r="E581" s="1505">
        <v>16</v>
      </c>
      <c r="F581" s="21" t="str">
        <f>F$144</f>
        <v>--</v>
      </c>
      <c r="G581" s="1441">
        <f>G$144</f>
        <v>0</v>
      </c>
      <c r="H581" s="1441" t="str">
        <f>H$144</f>
        <v>--</v>
      </c>
      <c r="I581" s="1513" t="s">
        <v>803</v>
      </c>
      <c r="J581" s="2301" t="str">
        <f>IF($G581=0,"--",IFERROR(_xll.ciqfunctions.udf.CIQ($G581,$I581,J115,Valuation_Date_GC,ReportType,DataMode,$H581,FXMode)*Scale,"--"))</f>
        <v>--</v>
      </c>
      <c r="K581" s="2301" t="str">
        <f>IF($G581=0,"--",IFERROR(_xll.ciqfunctions.udf.CIQ($G581,$I581,K115,Valuation_Date_GC,ReportType,DataMode,$H581,FXMode)*Scale,"--"))</f>
        <v>--</v>
      </c>
      <c r="L581" s="2301" t="str">
        <f>IF($G581=0,"--",IFERROR(_xll.ciqfunctions.udf.CIQ($G581,$I581,L115,Valuation_Date_GC,ReportType,DataMode,$H581,FXMode)*Scale,"--"))</f>
        <v>--</v>
      </c>
      <c r="M581" s="2301" t="str">
        <f>IF($G581=0,"--",IFERROR(_xll.ciqfunctions.udf.CIQ($G581,$I581,M115,Valuation_Date_GC,ReportType,DataMode,$H581,FXMode)*Scale,"--"))</f>
        <v>--</v>
      </c>
      <c r="N581" s="2301" t="str">
        <f>IF($G581=0,"--",IFERROR(_xll.ciqfunctions.udf.CIQ($G581,$I581,N115,Valuation_Date_GC,ReportType,DataMode,$H581,FXMode)*Scale,"--"))</f>
        <v>--</v>
      </c>
      <c r="O581" s="2317" t="str">
        <f>IF($G581=0,"--",IFERROR(IF(O115=1001,_xll.ciqfunctions.udf.CIQ($G581,$S581,O115,Valuation_Date_GC,ReportType,DataMode,$H581,FXMode),_xll.ciqfunctions.udf.CIQ($G581,$I581,O115,Valuation_Date_GC,ReportType,DataMode,$H581,FXMode))*Scale,"--"))</f>
        <v>--</v>
      </c>
      <c r="P581" s="2301" t="str">
        <f>IF($G581=0,"--",IFERROR(_xll.ciqfunctions.udf.CIQ($G581,$I581,P115,Valuation_Date_GC,ReportType,DataMode,$H581,FXMode)*Scale,"--"))</f>
        <v>--</v>
      </c>
      <c r="R581" s="2301" t="str">
        <f>IF($G581=0,"--",IFERROR(_xll.ciqfunctions.udf.CIQ($G581,$I581,R115,Valuation_Date_GC,ReportType,DataMode,$H581,FXMode)*Scale,"--"))</f>
        <v>--</v>
      </c>
      <c r="S581" s="89" t="s">
        <v>801</v>
      </c>
      <c r="T581" s="2301" t="str">
        <f>IF(H115=0,O581,IF($G581=0,"--",IFERROR(_xll.ciqfunctions.udf.CIQ($G581,$S581,U115-1,Valuation_Date_GC,ReportType,DataMode,$H581)*Scale,"--")))</f>
        <v>--</v>
      </c>
      <c r="U581" s="2301" t="str">
        <f>IF($G581=0,"--",IFERROR(IF(_xll.ciqfunctions.udf.CIQ($G581,$S581,U115,Valuation_Date_GC,,DataMode,$H581)*Scale=0,"--",_xll.ciqfunctions.udf.CIQ($G581,$S581,U115,Valuation_Date_GC,ReportType,DataMode,$H581)*Scale),"--"))</f>
        <v>--</v>
      </c>
      <c r="V581" s="2301" t="str">
        <f>IF($G581=0,"--",IFERROR(IF(_xll.ciqfunctions.udf.CIQ($G581,$S581,V115,Valuation_Date_GC,,DataMode,$H581)*Scale=0,"--",_xll.ciqfunctions.udf.CIQ($G581,$S581,V115,Valuation_Date_GC,ReportType,DataMode,$H581)*Scale),"--"))</f>
        <v>--</v>
      </c>
      <c r="W581" s="2301" t="str">
        <f>IF($G581=0,"--",IFERROR(IF(_xll.ciqfunctions.udf.CIQ($G581,$S581,W115,Valuation_Date_GC,,DataMode,$H581)*Scale=0,"--",_xll.ciqfunctions.udf.CIQ($G581,$S581,W115,Valuation_Date_GC,ReportType,DataMode,$H581)*Scale),"--"))</f>
        <v>--</v>
      </c>
      <c r="X581" s="2301" t="str">
        <f>IF($G581=0,"--",IFERROR(IF(_xll.ciqfunctions.udf.CIQ($G581,$S581,X115,Valuation_Date_GC,,DataMode,$H581)*Scale=0,"--",_xll.ciqfunctions.udf.CIQ($G581,$S581,X115,Valuation_Date_GC,ReportType,DataMode,$H581)*Scale),"--"))</f>
        <v>--</v>
      </c>
      <c r="Y581" s="2301" t="str">
        <f>IF($G581=0,"--",IFERROR(IF(_xll.ciqfunctions.udf.CIQ($G581,$S581,Y115,Valuation_Date_GC,,DataMode,$H581)*Scale=0,"--",_xll.ciqfunctions.udf.CIQ($G581,$S581,Y115,Valuation_Date_GC,ReportType,DataMode,$H581)*Scale),"--"))</f>
        <v>--</v>
      </c>
      <c r="Z581" s="2078" t="str">
        <f t="shared" si="170"/>
        <v/>
      </c>
      <c r="AA581" s="2301">
        <f>_xll.ciqfunctions.udf.CIQ($G581,"IQ_REVENUE_NUM_EST",U$97,Valuation_Date_GC,"CON")</f>
        <v>0</v>
      </c>
      <c r="AB581" s="2301">
        <f>_xll.ciqfunctions.udf.CIQ($G581,"IQ_REVENUE_NUM_EST",V$97,Valuation_Date_GC,"CON")</f>
        <v>0</v>
      </c>
      <c r="AC581" s="2301">
        <f>_xll.ciqfunctions.udf.CIQ($G581,"IQ_REVENUE_NUM_EST",W$97,Valuation_Date_GC,"CON")</f>
        <v>0</v>
      </c>
      <c r="AD581" s="2301">
        <f>_xll.ciqfunctions.udf.CIQ($G581,"IQ_REVENUE_NUM_EST",X$97,Valuation_Date_GC,"CON")</f>
        <v>0</v>
      </c>
      <c r="AE581" s="2301">
        <f>_xll.ciqfunctions.udf.CIQ($G581,"IQ_REVENUE_NUM_EST",Y$97,Valuation_Date_GC,"CON")</f>
        <v>0</v>
      </c>
      <c r="AF581" s="2060"/>
      <c r="AG581" s="2060"/>
      <c r="AH581" s="2060"/>
    </row>
    <row r="582" spans="1:34" s="89" customFormat="1" ht="13.9">
      <c r="A582" s="269" t="str">
        <f t="shared" si="171"/>
        <v>n</v>
      </c>
      <c r="B582" s="2060"/>
      <c r="D582" s="801"/>
      <c r="E582" s="1505">
        <v>17</v>
      </c>
      <c r="F582" s="21" t="str">
        <f>F$145</f>
        <v>--</v>
      </c>
      <c r="G582" s="1441">
        <f>G$145</f>
        <v>0</v>
      </c>
      <c r="H582" s="1441" t="str">
        <f>H$145</f>
        <v>--</v>
      </c>
      <c r="I582" s="1513" t="s">
        <v>803</v>
      </c>
      <c r="J582" s="2301" t="str">
        <f>IF($G582=0,"--",IFERROR(_xll.ciqfunctions.udf.CIQ($G582,$I582,J116,Valuation_Date_GC,ReportType,DataMode,$H582,FXMode)*Scale,"--"))</f>
        <v>--</v>
      </c>
      <c r="K582" s="2301" t="str">
        <f>IF($G582=0,"--",IFERROR(_xll.ciqfunctions.udf.CIQ($G582,$I582,K116,Valuation_Date_GC,ReportType,DataMode,$H582,FXMode)*Scale,"--"))</f>
        <v>--</v>
      </c>
      <c r="L582" s="2301" t="str">
        <f>IF($G582=0,"--",IFERROR(_xll.ciqfunctions.udf.CIQ($G582,$I582,L116,Valuation_Date_GC,ReportType,DataMode,$H582,FXMode)*Scale,"--"))</f>
        <v>--</v>
      </c>
      <c r="M582" s="2301" t="str">
        <f>IF($G582=0,"--",IFERROR(_xll.ciqfunctions.udf.CIQ($G582,$I582,M116,Valuation_Date_GC,ReportType,DataMode,$H582,FXMode)*Scale,"--"))</f>
        <v>--</v>
      </c>
      <c r="N582" s="2301" t="str">
        <f>IF($G582=0,"--",IFERROR(_xll.ciqfunctions.udf.CIQ($G582,$I582,N116,Valuation_Date_GC,ReportType,DataMode,$H582,FXMode)*Scale,"--"))</f>
        <v>--</v>
      </c>
      <c r="O582" s="2317" t="str">
        <f>IF($G582=0,"--",IFERROR(IF(O116=1001,_xll.ciqfunctions.udf.CIQ($G582,$S582,O116,Valuation_Date_GC,ReportType,DataMode,$H582,FXMode),_xll.ciqfunctions.udf.CIQ($G582,$I582,O116,Valuation_Date_GC,ReportType,DataMode,$H582,FXMode))*Scale,"--"))</f>
        <v>--</v>
      </c>
      <c r="P582" s="2301" t="str">
        <f>IF($G582=0,"--",IFERROR(_xll.ciqfunctions.udf.CIQ($G582,$I582,P116,Valuation_Date_GC,ReportType,DataMode,$H582,FXMode)*Scale,"--"))</f>
        <v>--</v>
      </c>
      <c r="R582" s="2301" t="str">
        <f>IF($G582=0,"--",IFERROR(_xll.ciqfunctions.udf.CIQ($G582,$I582,R116,Valuation_Date_GC,ReportType,DataMode,$H582,FXMode)*Scale,"--"))</f>
        <v>--</v>
      </c>
      <c r="S582" s="89" t="s">
        <v>801</v>
      </c>
      <c r="T582" s="2301" t="str">
        <f>IF(H116=0,O582,IF($G582=0,"--",IFERROR(_xll.ciqfunctions.udf.CIQ($G582,$S582,U116-1,Valuation_Date_GC,ReportType,DataMode,$H582)*Scale,"--")))</f>
        <v>--</v>
      </c>
      <c r="U582" s="2301" t="str">
        <f>IF($G582=0,"--",IFERROR(IF(_xll.ciqfunctions.udf.CIQ($G582,$S582,U116,Valuation_Date_GC,,DataMode,$H582)*Scale=0,"--",_xll.ciqfunctions.udf.CIQ($G582,$S582,U116,Valuation_Date_GC,ReportType,DataMode,$H582)*Scale),"--"))</f>
        <v>--</v>
      </c>
      <c r="V582" s="2301" t="str">
        <f>IF($G582=0,"--",IFERROR(IF(_xll.ciqfunctions.udf.CIQ($G582,$S582,V116,Valuation_Date_GC,,DataMode,$H582)*Scale=0,"--",_xll.ciqfunctions.udf.CIQ($G582,$S582,V116,Valuation_Date_GC,ReportType,DataMode,$H582)*Scale),"--"))</f>
        <v>--</v>
      </c>
      <c r="W582" s="2301" t="str">
        <f>IF($G582=0,"--",IFERROR(IF(_xll.ciqfunctions.udf.CIQ($G582,$S582,W116,Valuation_Date_GC,,DataMode,$H582)*Scale=0,"--",_xll.ciqfunctions.udf.CIQ($G582,$S582,W116,Valuation_Date_GC,ReportType,DataMode,$H582)*Scale),"--"))</f>
        <v>--</v>
      </c>
      <c r="X582" s="2301" t="str">
        <f>IF($G582=0,"--",IFERROR(IF(_xll.ciqfunctions.udf.CIQ($G582,$S582,X116,Valuation_Date_GC,,DataMode,$H582)*Scale=0,"--",_xll.ciqfunctions.udf.CIQ($G582,$S582,X116,Valuation_Date_GC,ReportType,DataMode,$H582)*Scale),"--"))</f>
        <v>--</v>
      </c>
      <c r="Y582" s="2301" t="str">
        <f>IF($G582=0,"--",IFERROR(IF(_xll.ciqfunctions.udf.CIQ($G582,$S582,Y116,Valuation_Date_GC,,DataMode,$H582)*Scale=0,"--",_xll.ciqfunctions.udf.CIQ($G582,$S582,Y116,Valuation_Date_GC,ReportType,DataMode,$H582)*Scale),"--"))</f>
        <v>--</v>
      </c>
      <c r="Z582" s="2078" t="str">
        <f t="shared" si="170"/>
        <v/>
      </c>
      <c r="AA582" s="2301">
        <f>_xll.ciqfunctions.udf.CIQ($G582,"IQ_REVENUE_NUM_EST",U$97,Valuation_Date_GC,"CON")</f>
        <v>0</v>
      </c>
      <c r="AB582" s="2301">
        <f>_xll.ciqfunctions.udf.CIQ($G582,"IQ_REVENUE_NUM_EST",V$97,Valuation_Date_GC,"CON")</f>
        <v>0</v>
      </c>
      <c r="AC582" s="2301">
        <f>_xll.ciqfunctions.udf.CIQ($G582,"IQ_REVENUE_NUM_EST",W$97,Valuation_Date_GC,"CON")</f>
        <v>0</v>
      </c>
      <c r="AD582" s="2301">
        <f>_xll.ciqfunctions.udf.CIQ($G582,"IQ_REVENUE_NUM_EST",X$97,Valuation_Date_GC,"CON")</f>
        <v>0</v>
      </c>
      <c r="AE582" s="2301">
        <f>_xll.ciqfunctions.udf.CIQ($G582,"IQ_REVENUE_NUM_EST",Y$97,Valuation_Date_GC,"CON")</f>
        <v>0</v>
      </c>
      <c r="AF582" s="2060"/>
      <c r="AG582" s="2060"/>
      <c r="AH582" s="2060"/>
    </row>
    <row r="583" spans="1:34" s="89" customFormat="1" ht="13.9">
      <c r="A583" s="269" t="str">
        <f t="shared" si="171"/>
        <v>n</v>
      </c>
      <c r="B583" s="2060"/>
      <c r="D583" s="801"/>
      <c r="E583" s="1505">
        <v>18</v>
      </c>
      <c r="F583" s="21" t="str">
        <f>F$146</f>
        <v>--</v>
      </c>
      <c r="G583" s="1441">
        <f>G$146</f>
        <v>0</v>
      </c>
      <c r="H583" s="1441" t="str">
        <f>H$146</f>
        <v>--</v>
      </c>
      <c r="I583" s="1513" t="s">
        <v>803</v>
      </c>
      <c r="J583" s="2301" t="str">
        <f>IF($G583=0,"--",IFERROR(_xll.ciqfunctions.udf.CIQ($G583,$I583,J117,Valuation_Date_GC,ReportType,DataMode,$H583,FXMode)*Scale,"--"))</f>
        <v>--</v>
      </c>
      <c r="K583" s="2301" t="str">
        <f>IF($G583=0,"--",IFERROR(_xll.ciqfunctions.udf.CIQ($G583,$I583,K117,Valuation_Date_GC,ReportType,DataMode,$H583,FXMode)*Scale,"--"))</f>
        <v>--</v>
      </c>
      <c r="L583" s="2301" t="str">
        <f>IF($G583=0,"--",IFERROR(_xll.ciqfunctions.udf.CIQ($G583,$I583,L117,Valuation_Date_GC,ReportType,DataMode,$H583,FXMode)*Scale,"--"))</f>
        <v>--</v>
      </c>
      <c r="M583" s="2301" t="str">
        <f>IF($G583=0,"--",IFERROR(_xll.ciqfunctions.udf.CIQ($G583,$I583,M117,Valuation_Date_GC,ReportType,DataMode,$H583,FXMode)*Scale,"--"))</f>
        <v>--</v>
      </c>
      <c r="N583" s="2301" t="str">
        <f>IF($G583=0,"--",IFERROR(_xll.ciqfunctions.udf.CIQ($G583,$I583,N117,Valuation_Date_GC,ReportType,DataMode,$H583,FXMode)*Scale,"--"))</f>
        <v>--</v>
      </c>
      <c r="O583" s="2317" t="str">
        <f>IF($G583=0,"--",IFERROR(IF(O117=1001,_xll.ciqfunctions.udf.CIQ($G583,$S583,O117,Valuation_Date_GC,ReportType,DataMode,$H583,FXMode),_xll.ciqfunctions.udf.CIQ($G583,$I583,O117,Valuation_Date_GC,ReportType,DataMode,$H583,FXMode))*Scale,"--"))</f>
        <v>--</v>
      </c>
      <c r="P583" s="2301" t="str">
        <f>IF($G583=0,"--",IFERROR(_xll.ciqfunctions.udf.CIQ($G583,$I583,P117,Valuation_Date_GC,ReportType,DataMode,$H583,FXMode)*Scale,"--"))</f>
        <v>--</v>
      </c>
      <c r="R583" s="2301" t="str">
        <f>IF($G583=0,"--",IFERROR(_xll.ciqfunctions.udf.CIQ($G583,$I583,R117,Valuation_Date_GC,ReportType,DataMode,$H583,FXMode)*Scale,"--"))</f>
        <v>--</v>
      </c>
      <c r="S583" s="89" t="s">
        <v>801</v>
      </c>
      <c r="T583" s="2301" t="str">
        <f>IF(H117=0,O583,IF($G583=0,"--",IFERROR(_xll.ciqfunctions.udf.CIQ($G583,$S583,U117-1,Valuation_Date_GC,ReportType,DataMode,$H583)*Scale,"--")))</f>
        <v>--</v>
      </c>
      <c r="U583" s="2301" t="str">
        <f>IF($G583=0,"--",IFERROR(IF(_xll.ciqfunctions.udf.CIQ($G583,$S583,U117,Valuation_Date_GC,,DataMode,$H583)*Scale=0,"--",_xll.ciqfunctions.udf.CIQ($G583,$S583,U117,Valuation_Date_GC,ReportType,DataMode,$H583)*Scale),"--"))</f>
        <v>--</v>
      </c>
      <c r="V583" s="2301" t="str">
        <f>IF($G583=0,"--",IFERROR(IF(_xll.ciqfunctions.udf.CIQ($G583,$S583,V117,Valuation_Date_GC,,DataMode,$H583)*Scale=0,"--",_xll.ciqfunctions.udf.CIQ($G583,$S583,V117,Valuation_Date_GC,ReportType,DataMode,$H583)*Scale),"--"))</f>
        <v>--</v>
      </c>
      <c r="W583" s="2301" t="str">
        <f>IF($G583=0,"--",IFERROR(IF(_xll.ciqfunctions.udf.CIQ($G583,$S583,W117,Valuation_Date_GC,,DataMode,$H583)*Scale=0,"--",_xll.ciqfunctions.udf.CIQ($G583,$S583,W117,Valuation_Date_GC,ReportType,DataMode,$H583)*Scale),"--"))</f>
        <v>--</v>
      </c>
      <c r="X583" s="2301" t="str">
        <f>IF($G583=0,"--",IFERROR(IF(_xll.ciqfunctions.udf.CIQ($G583,$S583,X117,Valuation_Date_GC,,DataMode,$H583)*Scale=0,"--",_xll.ciqfunctions.udf.CIQ($G583,$S583,X117,Valuation_Date_GC,ReportType,DataMode,$H583)*Scale),"--"))</f>
        <v>--</v>
      </c>
      <c r="Y583" s="2301" t="str">
        <f>IF($G583=0,"--",IFERROR(IF(_xll.ciqfunctions.udf.CIQ($G583,$S583,Y117,Valuation_Date_GC,,DataMode,$H583)*Scale=0,"--",_xll.ciqfunctions.udf.CIQ($G583,$S583,Y117,Valuation_Date_GC,ReportType,DataMode,$H583)*Scale),"--"))</f>
        <v>--</v>
      </c>
      <c r="Z583" s="2078" t="str">
        <f t="shared" si="170"/>
        <v/>
      </c>
      <c r="AA583" s="2301">
        <f>_xll.ciqfunctions.udf.CIQ($G583,"IQ_REVENUE_NUM_EST",U$97,Valuation_Date_GC,"CON")</f>
        <v>0</v>
      </c>
      <c r="AB583" s="2301">
        <f>_xll.ciqfunctions.udf.CIQ($G583,"IQ_REVENUE_NUM_EST",V$97,Valuation_Date_GC,"CON")</f>
        <v>0</v>
      </c>
      <c r="AC583" s="2301">
        <f>_xll.ciqfunctions.udf.CIQ($G583,"IQ_REVENUE_NUM_EST",W$97,Valuation_Date_GC,"CON")</f>
        <v>0</v>
      </c>
      <c r="AD583" s="2301">
        <f>_xll.ciqfunctions.udf.CIQ($G583,"IQ_REVENUE_NUM_EST",X$97,Valuation_Date_GC,"CON")</f>
        <v>0</v>
      </c>
      <c r="AE583" s="2301">
        <f>_xll.ciqfunctions.udf.CIQ($G583,"IQ_REVENUE_NUM_EST",Y$97,Valuation_Date_GC,"CON")</f>
        <v>0</v>
      </c>
      <c r="AF583" s="2060"/>
      <c r="AG583" s="2060"/>
      <c r="AH583" s="2060"/>
    </row>
    <row r="584" spans="1:34" s="89" customFormat="1" ht="13.9">
      <c r="A584" s="269" t="str">
        <f t="shared" si="171"/>
        <v>n</v>
      </c>
      <c r="B584" s="2060"/>
      <c r="D584" s="801"/>
      <c r="E584" s="1505">
        <v>19</v>
      </c>
      <c r="F584" s="21" t="str">
        <f>F$147</f>
        <v>--</v>
      </c>
      <c r="G584" s="1441">
        <f>G$147</f>
        <v>0</v>
      </c>
      <c r="H584" s="1441" t="str">
        <f>H$147</f>
        <v>--</v>
      </c>
      <c r="I584" s="1513" t="s">
        <v>803</v>
      </c>
      <c r="J584" s="2301" t="str">
        <f>IF($G584=0,"--",IFERROR(_xll.ciqfunctions.udf.CIQ($G584,$I584,J118,Valuation_Date_GC,ReportType,DataMode,$H584,FXMode)*Scale,"--"))</f>
        <v>--</v>
      </c>
      <c r="K584" s="2301" t="str">
        <f>IF($G584=0,"--",IFERROR(_xll.ciqfunctions.udf.CIQ($G584,$I584,K118,Valuation_Date_GC,ReportType,DataMode,$H584,FXMode)*Scale,"--"))</f>
        <v>--</v>
      </c>
      <c r="L584" s="2301" t="str">
        <f>IF($G584=0,"--",IFERROR(_xll.ciqfunctions.udf.CIQ($G584,$I584,L118,Valuation_Date_GC,ReportType,DataMode,$H584,FXMode)*Scale,"--"))</f>
        <v>--</v>
      </c>
      <c r="M584" s="2301" t="str">
        <f>IF($G584=0,"--",IFERROR(_xll.ciqfunctions.udf.CIQ($G584,$I584,M118,Valuation_Date_GC,ReportType,DataMode,$H584,FXMode)*Scale,"--"))</f>
        <v>--</v>
      </c>
      <c r="N584" s="2301" t="str">
        <f>IF($G584=0,"--",IFERROR(_xll.ciqfunctions.udf.CIQ($G584,$I584,N118,Valuation_Date_GC,ReportType,DataMode,$H584,FXMode)*Scale,"--"))</f>
        <v>--</v>
      </c>
      <c r="O584" s="2317" t="str">
        <f>IF($G584=0,"--",IFERROR(IF(O118=1001,_xll.ciqfunctions.udf.CIQ($G584,$S584,O118,Valuation_Date_GC,ReportType,DataMode,$H584,FXMode),_xll.ciqfunctions.udf.CIQ($G584,$I584,O118,Valuation_Date_GC,ReportType,DataMode,$H584,FXMode))*Scale,"--"))</f>
        <v>--</v>
      </c>
      <c r="P584" s="2301" t="str">
        <f>IF($G584=0,"--",IFERROR(_xll.ciqfunctions.udf.CIQ($G584,$I584,P118,Valuation_Date_GC,ReportType,DataMode,$H584,FXMode)*Scale,"--"))</f>
        <v>--</v>
      </c>
      <c r="R584" s="2301" t="str">
        <f>IF($G584=0,"--",IFERROR(_xll.ciqfunctions.udf.CIQ($G584,$I584,R118,Valuation_Date_GC,ReportType,DataMode,$H584,FXMode)*Scale,"--"))</f>
        <v>--</v>
      </c>
      <c r="S584" s="89" t="s">
        <v>801</v>
      </c>
      <c r="T584" s="2301" t="str">
        <f>IF(H118=0,O584,IF($G584=0,"--",IFERROR(_xll.ciqfunctions.udf.CIQ($G584,$S584,U118-1,Valuation_Date_GC,ReportType,DataMode,$H584)*Scale,"--")))</f>
        <v>--</v>
      </c>
      <c r="U584" s="2301" t="str">
        <f>IF($G584=0,"--",IFERROR(IF(_xll.ciqfunctions.udf.CIQ($G584,$S584,U118,Valuation_Date_GC,,DataMode,$H584)*Scale=0,"--",_xll.ciqfunctions.udf.CIQ($G584,$S584,U118,Valuation_Date_GC,ReportType,DataMode,$H584)*Scale),"--"))</f>
        <v>--</v>
      </c>
      <c r="V584" s="2301" t="str">
        <f>IF($G584=0,"--",IFERROR(IF(_xll.ciqfunctions.udf.CIQ($G584,$S584,V118,Valuation_Date_GC,,DataMode,$H584)*Scale=0,"--",_xll.ciqfunctions.udf.CIQ($G584,$S584,V118,Valuation_Date_GC,ReportType,DataMode,$H584)*Scale),"--"))</f>
        <v>--</v>
      </c>
      <c r="W584" s="2301" t="str">
        <f>IF($G584=0,"--",IFERROR(IF(_xll.ciqfunctions.udf.CIQ($G584,$S584,W118,Valuation_Date_GC,,DataMode,$H584)*Scale=0,"--",_xll.ciqfunctions.udf.CIQ($G584,$S584,W118,Valuation_Date_GC,ReportType,DataMode,$H584)*Scale),"--"))</f>
        <v>--</v>
      </c>
      <c r="X584" s="2301" t="str">
        <f>IF($G584=0,"--",IFERROR(IF(_xll.ciqfunctions.udf.CIQ($G584,$S584,X118,Valuation_Date_GC,,DataMode,$H584)*Scale=0,"--",_xll.ciqfunctions.udf.CIQ($G584,$S584,X118,Valuation_Date_GC,ReportType,DataMode,$H584)*Scale),"--"))</f>
        <v>--</v>
      </c>
      <c r="Y584" s="2301" t="str">
        <f>IF($G584=0,"--",IFERROR(IF(_xll.ciqfunctions.udf.CIQ($G584,$S584,Y118,Valuation_Date_GC,,DataMode,$H584)*Scale=0,"--",_xll.ciqfunctions.udf.CIQ($G584,$S584,Y118,Valuation_Date_GC,ReportType,DataMode,$H584)*Scale),"--"))</f>
        <v>--</v>
      </c>
      <c r="Z584" s="2078" t="str">
        <f t="shared" si="170"/>
        <v/>
      </c>
      <c r="AA584" s="2301">
        <f>_xll.ciqfunctions.udf.CIQ($G584,"IQ_REVENUE_NUM_EST",U$97,Valuation_Date_GC,"CON")</f>
        <v>0</v>
      </c>
      <c r="AB584" s="2301">
        <f>_xll.ciqfunctions.udf.CIQ($G584,"IQ_REVENUE_NUM_EST",V$97,Valuation_Date_GC,"CON")</f>
        <v>0</v>
      </c>
      <c r="AC584" s="2301">
        <f>_xll.ciqfunctions.udf.CIQ($G584,"IQ_REVENUE_NUM_EST",W$97,Valuation_Date_GC,"CON")</f>
        <v>0</v>
      </c>
      <c r="AD584" s="2301">
        <f>_xll.ciqfunctions.udf.CIQ($G584,"IQ_REVENUE_NUM_EST",X$97,Valuation_Date_GC,"CON")</f>
        <v>0</v>
      </c>
      <c r="AE584" s="2301">
        <f>_xll.ciqfunctions.udf.CIQ($G584,"IQ_REVENUE_NUM_EST",Y$97,Valuation_Date_GC,"CON")</f>
        <v>0</v>
      </c>
      <c r="AF584" s="2060"/>
      <c r="AG584" s="2060"/>
      <c r="AH584" s="2060"/>
    </row>
    <row r="585" spans="1:34" s="89" customFormat="1" ht="13.9">
      <c r="A585" s="269" t="str">
        <f t="shared" si="171"/>
        <v>n</v>
      </c>
      <c r="B585" s="2060"/>
      <c r="D585" s="801"/>
      <c r="E585" s="1505">
        <v>20</v>
      </c>
      <c r="F585" s="21" t="str">
        <f>F$148</f>
        <v>--</v>
      </c>
      <c r="G585" s="1441">
        <f>G$148</f>
        <v>0</v>
      </c>
      <c r="H585" s="1441" t="str">
        <f>H$148</f>
        <v>--</v>
      </c>
      <c r="I585" s="1513" t="s">
        <v>803</v>
      </c>
      <c r="J585" s="2301" t="str">
        <f>IF($G585=0,"--",IFERROR(_xll.ciqfunctions.udf.CIQ($G585,$I585,J119,Valuation_Date_GC,ReportType,DataMode,$H585,FXMode)*Scale,"--"))</f>
        <v>--</v>
      </c>
      <c r="K585" s="2301" t="str">
        <f>IF($G585=0,"--",IFERROR(_xll.ciqfunctions.udf.CIQ($G585,$I585,K119,Valuation_Date_GC,ReportType,DataMode,$H585,FXMode)*Scale,"--"))</f>
        <v>--</v>
      </c>
      <c r="L585" s="2301" t="str">
        <f>IF($G585=0,"--",IFERROR(_xll.ciqfunctions.udf.CIQ($G585,$I585,L119,Valuation_Date_GC,ReportType,DataMode,$H585,FXMode)*Scale,"--"))</f>
        <v>--</v>
      </c>
      <c r="M585" s="2301" t="str">
        <f>IF($G585=0,"--",IFERROR(_xll.ciqfunctions.udf.CIQ($G585,$I585,M119,Valuation_Date_GC,ReportType,DataMode,$H585,FXMode)*Scale,"--"))</f>
        <v>--</v>
      </c>
      <c r="N585" s="2301" t="str">
        <f>IF($G585=0,"--",IFERROR(_xll.ciqfunctions.udf.CIQ($G585,$I585,N119,Valuation_Date_GC,ReportType,DataMode,$H585,FXMode)*Scale,"--"))</f>
        <v>--</v>
      </c>
      <c r="O585" s="2317" t="str">
        <f>IF($G585=0,"--",IFERROR(IF(O119=1001,_xll.ciqfunctions.udf.CIQ($G585,$S585,O119,Valuation_Date_GC,ReportType,DataMode,$H585,FXMode),_xll.ciqfunctions.udf.CIQ($G585,$I585,O119,Valuation_Date_GC,ReportType,DataMode,$H585,FXMode))*Scale,"--"))</f>
        <v>--</v>
      </c>
      <c r="P585" s="2301" t="str">
        <f>IF($G585=0,"--",IFERROR(_xll.ciqfunctions.udf.CIQ($G585,$I585,P119,Valuation_Date_GC,ReportType,DataMode,$H585,FXMode)*Scale,"--"))</f>
        <v>--</v>
      </c>
      <c r="R585" s="2301" t="str">
        <f>IF($G585=0,"--",IFERROR(_xll.ciqfunctions.udf.CIQ($G585,$I585,R119,Valuation_Date_GC,ReportType,DataMode,$H585,FXMode)*Scale,"--"))</f>
        <v>--</v>
      </c>
      <c r="S585" s="89" t="s">
        <v>801</v>
      </c>
      <c r="T585" s="2301" t="str">
        <f>IF(H119=0,O585,IF($G585=0,"--",IFERROR(_xll.ciqfunctions.udf.CIQ($G585,$S585,U119-1,Valuation_Date_GC,ReportType,DataMode,$H585)*Scale,"--")))</f>
        <v>--</v>
      </c>
      <c r="U585" s="2301" t="str">
        <f>IF($G585=0,"--",IFERROR(IF(_xll.ciqfunctions.udf.CIQ($G585,$S585,U119,Valuation_Date_GC,,DataMode,$H585)*Scale=0,"--",_xll.ciqfunctions.udf.CIQ($G585,$S585,U119,Valuation_Date_GC,ReportType,DataMode,$H585)*Scale),"--"))</f>
        <v>--</v>
      </c>
      <c r="V585" s="2301" t="str">
        <f>IF($G585=0,"--",IFERROR(IF(_xll.ciqfunctions.udf.CIQ($G585,$S585,V119,Valuation_Date_GC,,DataMode,$H585)*Scale=0,"--",_xll.ciqfunctions.udf.CIQ($G585,$S585,V119,Valuation_Date_GC,ReportType,DataMode,$H585)*Scale),"--"))</f>
        <v>--</v>
      </c>
      <c r="W585" s="2301" t="str">
        <f>IF($G585=0,"--",IFERROR(IF(_xll.ciqfunctions.udf.CIQ($G585,$S585,W119,Valuation_Date_GC,,DataMode,$H585)*Scale=0,"--",_xll.ciqfunctions.udf.CIQ($G585,$S585,W119,Valuation_Date_GC,ReportType,DataMode,$H585)*Scale),"--"))</f>
        <v>--</v>
      </c>
      <c r="X585" s="2301" t="str">
        <f>IF($G585=0,"--",IFERROR(IF(_xll.ciqfunctions.udf.CIQ($G585,$S585,X119,Valuation_Date_GC,,DataMode,$H585)*Scale=0,"--",_xll.ciqfunctions.udf.CIQ($G585,$S585,X119,Valuation_Date_GC,ReportType,DataMode,$H585)*Scale),"--"))</f>
        <v>--</v>
      </c>
      <c r="Y585" s="2301" t="str">
        <f>IF($G585=0,"--",IFERROR(IF(_xll.ciqfunctions.udf.CIQ($G585,$S585,Y119,Valuation_Date_GC,,DataMode,$H585)*Scale=0,"--",_xll.ciqfunctions.udf.CIQ($G585,$S585,Y119,Valuation_Date_GC,ReportType,DataMode,$H585)*Scale),"--"))</f>
        <v>--</v>
      </c>
      <c r="Z585" s="2078" t="str">
        <f t="shared" si="170"/>
        <v/>
      </c>
      <c r="AA585" s="2301">
        <f>_xll.ciqfunctions.udf.CIQ($G585,"IQ_REVENUE_NUM_EST",U$97,Valuation_Date_GC,"CON")</f>
        <v>0</v>
      </c>
      <c r="AB585" s="2301">
        <f>_xll.ciqfunctions.udf.CIQ($G585,"IQ_REVENUE_NUM_EST",V$97,Valuation_Date_GC,"CON")</f>
        <v>0</v>
      </c>
      <c r="AC585" s="2301">
        <f>_xll.ciqfunctions.udf.CIQ($G585,"IQ_REVENUE_NUM_EST",W$97,Valuation_Date_GC,"CON")</f>
        <v>0</v>
      </c>
      <c r="AD585" s="2301">
        <f>_xll.ciqfunctions.udf.CIQ($G585,"IQ_REVENUE_NUM_EST",X$97,Valuation_Date_GC,"CON")</f>
        <v>0</v>
      </c>
      <c r="AE585" s="2301">
        <f>_xll.ciqfunctions.udf.CIQ($G585,"IQ_REVENUE_NUM_EST",Y$97,Valuation_Date_GC,"CON")</f>
        <v>0</v>
      </c>
      <c r="AF585" s="2060"/>
      <c r="AG585" s="2060"/>
      <c r="AH585" s="2060"/>
    </row>
    <row r="586" spans="1:34" s="89" customFormat="1" ht="13.9">
      <c r="A586" s="269" t="str">
        <f t="shared" si="171"/>
        <v>n</v>
      </c>
      <c r="B586" s="2060"/>
      <c r="D586" s="801"/>
      <c r="E586" s="1505">
        <v>21</v>
      </c>
      <c r="F586" s="21" t="str">
        <f>F$149</f>
        <v>--</v>
      </c>
      <c r="G586" s="1441">
        <f>G$149</f>
        <v>0</v>
      </c>
      <c r="H586" s="1441" t="str">
        <f>H$149</f>
        <v>--</v>
      </c>
      <c r="I586" s="1513" t="s">
        <v>803</v>
      </c>
      <c r="J586" s="2301" t="str">
        <f>IF($G586=0,"--",IFERROR(_xll.ciqfunctions.udf.CIQ($G586,$I586,J120,Valuation_Date_GC,ReportType,DataMode,$H586,FXMode)*Scale,"--"))</f>
        <v>--</v>
      </c>
      <c r="K586" s="2301" t="str">
        <f>IF($G586=0,"--",IFERROR(_xll.ciqfunctions.udf.CIQ($G586,$I586,K120,Valuation_Date_GC,ReportType,DataMode,$H586,FXMode)*Scale,"--"))</f>
        <v>--</v>
      </c>
      <c r="L586" s="2301" t="str">
        <f>IF($G586=0,"--",IFERROR(_xll.ciqfunctions.udf.CIQ($G586,$I586,L120,Valuation_Date_GC,ReportType,DataMode,$H586,FXMode)*Scale,"--"))</f>
        <v>--</v>
      </c>
      <c r="M586" s="2301" t="str">
        <f>IF($G586=0,"--",IFERROR(_xll.ciqfunctions.udf.CIQ($G586,$I586,M120,Valuation_Date_GC,ReportType,DataMode,$H586,FXMode)*Scale,"--"))</f>
        <v>--</v>
      </c>
      <c r="N586" s="2301" t="str">
        <f>IF($G586=0,"--",IFERROR(_xll.ciqfunctions.udf.CIQ($G586,$I586,N120,Valuation_Date_GC,ReportType,DataMode,$H586,FXMode)*Scale,"--"))</f>
        <v>--</v>
      </c>
      <c r="O586" s="2317" t="str">
        <f>IF($G586=0,"--",IFERROR(IF(O120=1001,_xll.ciqfunctions.udf.CIQ($G586,$S586,O120,Valuation_Date_GC,ReportType,DataMode,$H586,FXMode),_xll.ciqfunctions.udf.CIQ($G586,$I586,O120,Valuation_Date_GC,ReportType,DataMode,$H586,FXMode))*Scale,"--"))</f>
        <v>--</v>
      </c>
      <c r="P586" s="2301" t="str">
        <f>IF($G586=0,"--",IFERROR(_xll.ciqfunctions.udf.CIQ($G586,$I586,P120,Valuation_Date_GC,ReportType,DataMode,$H586,FXMode)*Scale,"--"))</f>
        <v>--</v>
      </c>
      <c r="R586" s="2301" t="str">
        <f>IF($G586=0,"--",IFERROR(_xll.ciqfunctions.udf.CIQ($G586,$I586,R120,Valuation_Date_GC,ReportType,DataMode,$H586,FXMode)*Scale,"--"))</f>
        <v>--</v>
      </c>
      <c r="S586" s="89" t="s">
        <v>801</v>
      </c>
      <c r="T586" s="2301" t="str">
        <f>IF(H120=0,O586,IF($G586=0,"--",IFERROR(_xll.ciqfunctions.udf.CIQ($G586,$S586,U120-1,Valuation_Date_GC,ReportType,DataMode,$H586)*Scale,"--")))</f>
        <v>--</v>
      </c>
      <c r="U586" s="2301" t="str">
        <f>IF($G586=0,"--",IFERROR(IF(_xll.ciqfunctions.udf.CIQ($G586,$S586,U120,Valuation_Date_GC,,DataMode,$H586)*Scale=0,"--",_xll.ciqfunctions.udf.CIQ($G586,$S586,U120,Valuation_Date_GC,ReportType,DataMode,$H586)*Scale),"--"))</f>
        <v>--</v>
      </c>
      <c r="V586" s="2301" t="str">
        <f>IF($G586=0,"--",IFERROR(IF(_xll.ciqfunctions.udf.CIQ($G586,$S586,V120,Valuation_Date_GC,,DataMode,$H586)*Scale=0,"--",_xll.ciqfunctions.udf.CIQ($G586,$S586,V120,Valuation_Date_GC,ReportType,DataMode,$H586)*Scale),"--"))</f>
        <v>--</v>
      </c>
      <c r="W586" s="2301" t="str">
        <f>IF($G586=0,"--",IFERROR(IF(_xll.ciqfunctions.udf.CIQ($G586,$S586,W120,Valuation_Date_GC,,DataMode,$H586)*Scale=0,"--",_xll.ciqfunctions.udf.CIQ($G586,$S586,W120,Valuation_Date_GC,ReportType,DataMode,$H586)*Scale),"--"))</f>
        <v>--</v>
      </c>
      <c r="X586" s="2301" t="str">
        <f>IF($G586=0,"--",IFERROR(IF(_xll.ciqfunctions.udf.CIQ($G586,$S586,X120,Valuation_Date_GC,,DataMode,$H586)*Scale=0,"--",_xll.ciqfunctions.udf.CIQ($G586,$S586,X120,Valuation_Date_GC,ReportType,DataMode,$H586)*Scale),"--"))</f>
        <v>--</v>
      </c>
      <c r="Y586" s="2301" t="str">
        <f>IF($G586=0,"--",IFERROR(IF(_xll.ciqfunctions.udf.CIQ($G586,$S586,Y120,Valuation_Date_GC,,DataMode,$H586)*Scale=0,"--",_xll.ciqfunctions.udf.CIQ($G586,$S586,Y120,Valuation_Date_GC,ReportType,DataMode,$H586)*Scale),"--"))</f>
        <v>--</v>
      </c>
      <c r="Z586" s="2078" t="str">
        <f t="shared" si="170"/>
        <v/>
      </c>
      <c r="AA586" s="2301">
        <f>_xll.ciqfunctions.udf.CIQ($G586,"IQ_REVENUE_NUM_EST",U$97,Valuation_Date_GC,"CON")</f>
        <v>0</v>
      </c>
      <c r="AB586" s="2301">
        <f>_xll.ciqfunctions.udf.CIQ($G586,"IQ_REVENUE_NUM_EST",V$97,Valuation_Date_GC,"CON")</f>
        <v>0</v>
      </c>
      <c r="AC586" s="2301">
        <f>_xll.ciqfunctions.udf.CIQ($G586,"IQ_REVENUE_NUM_EST",W$97,Valuation_Date_GC,"CON")</f>
        <v>0</v>
      </c>
      <c r="AD586" s="2301">
        <f>_xll.ciqfunctions.udf.CIQ($G586,"IQ_REVENUE_NUM_EST",X$97,Valuation_Date_GC,"CON")</f>
        <v>0</v>
      </c>
      <c r="AE586" s="2301">
        <f>_xll.ciqfunctions.udf.CIQ($G586,"IQ_REVENUE_NUM_EST",Y$97,Valuation_Date_GC,"CON")</f>
        <v>0</v>
      </c>
      <c r="AF586" s="2060"/>
      <c r="AG586" s="2060"/>
      <c r="AH586" s="2060"/>
    </row>
    <row r="587" spans="1:34" s="89" customFormat="1" ht="13.9">
      <c r="A587" s="269" t="str">
        <f t="shared" si="171"/>
        <v>n</v>
      </c>
      <c r="B587" s="2060"/>
      <c r="D587" s="801"/>
      <c r="E587" s="1505">
        <v>22</v>
      </c>
      <c r="F587" s="21" t="str">
        <f>F$150</f>
        <v>--</v>
      </c>
      <c r="G587" s="1441">
        <f>G$150</f>
        <v>0</v>
      </c>
      <c r="H587" s="1441" t="str">
        <f>H$150</f>
        <v>--</v>
      </c>
      <c r="I587" s="1513" t="s">
        <v>803</v>
      </c>
      <c r="J587" s="2301" t="str">
        <f>IF($G587=0,"--",IFERROR(_xll.ciqfunctions.udf.CIQ($G587,$I587,J121,Valuation_Date_GC,ReportType,DataMode,$H587,FXMode)*Scale,"--"))</f>
        <v>--</v>
      </c>
      <c r="K587" s="2301" t="str">
        <f>IF($G587=0,"--",IFERROR(_xll.ciqfunctions.udf.CIQ($G587,$I587,K121,Valuation_Date_GC,ReportType,DataMode,$H587,FXMode)*Scale,"--"))</f>
        <v>--</v>
      </c>
      <c r="L587" s="2301" t="str">
        <f>IF($G587=0,"--",IFERROR(_xll.ciqfunctions.udf.CIQ($G587,$I587,L121,Valuation_Date_GC,ReportType,DataMode,$H587,FXMode)*Scale,"--"))</f>
        <v>--</v>
      </c>
      <c r="M587" s="2301" t="str">
        <f>IF($G587=0,"--",IFERROR(_xll.ciqfunctions.udf.CIQ($G587,$I587,M121,Valuation_Date_GC,ReportType,DataMode,$H587,FXMode)*Scale,"--"))</f>
        <v>--</v>
      </c>
      <c r="N587" s="2301" t="str">
        <f>IF($G587=0,"--",IFERROR(_xll.ciqfunctions.udf.CIQ($G587,$I587,N121,Valuation_Date_GC,ReportType,DataMode,$H587,FXMode)*Scale,"--"))</f>
        <v>--</v>
      </c>
      <c r="O587" s="2317" t="str">
        <f>IF($G587=0,"--",IFERROR(IF(O121=1001,_xll.ciqfunctions.udf.CIQ($G587,$S587,O121,Valuation_Date_GC,ReportType,DataMode,$H587,FXMode),_xll.ciqfunctions.udf.CIQ($G587,$I587,O121,Valuation_Date_GC,ReportType,DataMode,$H587,FXMode))*Scale,"--"))</f>
        <v>--</v>
      </c>
      <c r="P587" s="2301" t="str">
        <f>IF($G587=0,"--",IFERROR(_xll.ciqfunctions.udf.CIQ($G587,$I587,P121,Valuation_Date_GC,ReportType,DataMode,$H587,FXMode)*Scale,"--"))</f>
        <v>--</v>
      </c>
      <c r="R587" s="2301" t="str">
        <f>IF($G587=0,"--",IFERROR(_xll.ciqfunctions.udf.CIQ($G587,$I587,R121,Valuation_Date_GC,ReportType,DataMode,$H587,FXMode)*Scale,"--"))</f>
        <v>--</v>
      </c>
      <c r="S587" s="89" t="s">
        <v>801</v>
      </c>
      <c r="T587" s="2301" t="str">
        <f>IF(H121=0,O587,IF($G587=0,"--",IFERROR(_xll.ciqfunctions.udf.CIQ($G587,$S587,U121-1,Valuation_Date_GC,ReportType,DataMode,$H587)*Scale,"--")))</f>
        <v>--</v>
      </c>
      <c r="U587" s="2301" t="str">
        <f>IF($G587=0,"--",IFERROR(IF(_xll.ciqfunctions.udf.CIQ($G587,$S587,U121,Valuation_Date_GC,,DataMode,$H587)*Scale=0,"--",_xll.ciqfunctions.udf.CIQ($G587,$S587,U121,Valuation_Date_GC,ReportType,DataMode,$H587)*Scale),"--"))</f>
        <v>--</v>
      </c>
      <c r="V587" s="2301" t="str">
        <f>IF($G587=0,"--",IFERROR(IF(_xll.ciqfunctions.udf.CIQ($G587,$S587,V121,Valuation_Date_GC,,DataMode,$H587)*Scale=0,"--",_xll.ciqfunctions.udf.CIQ($G587,$S587,V121,Valuation_Date_GC,ReportType,DataMode,$H587)*Scale),"--"))</f>
        <v>--</v>
      </c>
      <c r="W587" s="2301" t="str">
        <f>IF($G587=0,"--",IFERROR(IF(_xll.ciqfunctions.udf.CIQ($G587,$S587,W121,Valuation_Date_GC,,DataMode,$H587)*Scale=0,"--",_xll.ciqfunctions.udf.CIQ($G587,$S587,W121,Valuation_Date_GC,ReportType,DataMode,$H587)*Scale),"--"))</f>
        <v>--</v>
      </c>
      <c r="X587" s="2301" t="str">
        <f>IF($G587=0,"--",IFERROR(IF(_xll.ciqfunctions.udf.CIQ($G587,$S587,X121,Valuation_Date_GC,,DataMode,$H587)*Scale=0,"--",_xll.ciqfunctions.udf.CIQ($G587,$S587,X121,Valuation_Date_GC,ReportType,DataMode,$H587)*Scale),"--"))</f>
        <v>--</v>
      </c>
      <c r="Y587" s="2301" t="str">
        <f>IF($G587=0,"--",IFERROR(IF(_xll.ciqfunctions.udf.CIQ($G587,$S587,Y121,Valuation_Date_GC,,DataMode,$H587)*Scale=0,"--",_xll.ciqfunctions.udf.CIQ($G587,$S587,Y121,Valuation_Date_GC,ReportType,DataMode,$H587)*Scale),"--"))</f>
        <v>--</v>
      </c>
      <c r="Z587" s="2078" t="str">
        <f t="shared" si="170"/>
        <v/>
      </c>
      <c r="AA587" s="2301">
        <f>_xll.ciqfunctions.udf.CIQ($G587,"IQ_REVENUE_NUM_EST",U$97,Valuation_Date_GC,"CON")</f>
        <v>0</v>
      </c>
      <c r="AB587" s="2301">
        <f>_xll.ciqfunctions.udf.CIQ($G587,"IQ_REVENUE_NUM_EST",V$97,Valuation_Date_GC,"CON")</f>
        <v>0</v>
      </c>
      <c r="AC587" s="2301">
        <f>_xll.ciqfunctions.udf.CIQ($G587,"IQ_REVENUE_NUM_EST",W$97,Valuation_Date_GC,"CON")</f>
        <v>0</v>
      </c>
      <c r="AD587" s="2301">
        <f>_xll.ciqfunctions.udf.CIQ($G587,"IQ_REVENUE_NUM_EST",X$97,Valuation_Date_GC,"CON")</f>
        <v>0</v>
      </c>
      <c r="AE587" s="2301">
        <f>_xll.ciqfunctions.udf.CIQ($G587,"IQ_REVENUE_NUM_EST",Y$97,Valuation_Date_GC,"CON")</f>
        <v>0</v>
      </c>
      <c r="AF587" s="2060"/>
      <c r="AG587" s="2060"/>
      <c r="AH587" s="2060"/>
    </row>
    <row r="588" spans="1:34" s="89" customFormat="1" ht="13.9">
      <c r="A588" s="269" t="str">
        <f t="shared" si="171"/>
        <v>n</v>
      </c>
      <c r="B588" s="2060"/>
      <c r="D588" s="801"/>
      <c r="E588" s="1505">
        <v>23</v>
      </c>
      <c r="F588" s="21" t="str">
        <f>F$151</f>
        <v>--</v>
      </c>
      <c r="G588" s="1441">
        <f>G$151</f>
        <v>0</v>
      </c>
      <c r="H588" s="1441" t="str">
        <f>H$151</f>
        <v>--</v>
      </c>
      <c r="I588" s="1513" t="s">
        <v>803</v>
      </c>
      <c r="J588" s="2301" t="str">
        <f>IF($G588=0,"--",IFERROR(_xll.ciqfunctions.udf.CIQ($G588,$I588,J122,Valuation_Date_GC,ReportType,DataMode,$H588,FXMode)*Scale,"--"))</f>
        <v>--</v>
      </c>
      <c r="K588" s="2301" t="str">
        <f>IF($G588=0,"--",IFERROR(_xll.ciqfunctions.udf.CIQ($G588,$I588,K122,Valuation_Date_GC,ReportType,DataMode,$H588,FXMode)*Scale,"--"))</f>
        <v>--</v>
      </c>
      <c r="L588" s="2301" t="str">
        <f>IF($G588=0,"--",IFERROR(_xll.ciqfunctions.udf.CIQ($G588,$I588,L122,Valuation_Date_GC,ReportType,DataMode,$H588,FXMode)*Scale,"--"))</f>
        <v>--</v>
      </c>
      <c r="M588" s="2301" t="str">
        <f>IF($G588=0,"--",IFERROR(_xll.ciqfunctions.udf.CIQ($G588,$I588,M122,Valuation_Date_GC,ReportType,DataMode,$H588,FXMode)*Scale,"--"))</f>
        <v>--</v>
      </c>
      <c r="N588" s="2301" t="str">
        <f>IF($G588=0,"--",IFERROR(_xll.ciqfunctions.udf.CIQ($G588,$I588,N122,Valuation_Date_GC,ReportType,DataMode,$H588,FXMode)*Scale,"--"))</f>
        <v>--</v>
      </c>
      <c r="O588" s="2317" t="str">
        <f>IF($G588=0,"--",IFERROR(IF(O122=1001,_xll.ciqfunctions.udf.CIQ($G588,$S588,O122,Valuation_Date_GC,ReportType,DataMode,$H588,FXMode),_xll.ciqfunctions.udf.CIQ($G588,$I588,O122,Valuation_Date_GC,ReportType,DataMode,$H588,FXMode))*Scale,"--"))</f>
        <v>--</v>
      </c>
      <c r="P588" s="2301" t="str">
        <f>IF($G588=0,"--",IFERROR(_xll.ciqfunctions.udf.CIQ($G588,$I588,P122,Valuation_Date_GC,ReportType,DataMode,$H588,FXMode)*Scale,"--"))</f>
        <v>--</v>
      </c>
      <c r="R588" s="2301" t="str">
        <f>IF($G588=0,"--",IFERROR(_xll.ciqfunctions.udf.CIQ($G588,$I588,R122,Valuation_Date_GC,ReportType,DataMode,$H588,FXMode)*Scale,"--"))</f>
        <v>--</v>
      </c>
      <c r="S588" s="89" t="s">
        <v>801</v>
      </c>
      <c r="T588" s="2301" t="str">
        <f>IF(H122=0,O588,IF($G588=0,"--",IFERROR(_xll.ciqfunctions.udf.CIQ($G588,$S588,U122-1,Valuation_Date_GC,ReportType,DataMode,$H588)*Scale,"--")))</f>
        <v>--</v>
      </c>
      <c r="U588" s="2301" t="str">
        <f>IF($G588=0,"--",IFERROR(IF(_xll.ciqfunctions.udf.CIQ($G588,$S588,U122,Valuation_Date_GC,,DataMode,$H588)*Scale=0,"--",_xll.ciqfunctions.udf.CIQ($G588,$S588,U122,Valuation_Date_GC,ReportType,DataMode,$H588)*Scale),"--"))</f>
        <v>--</v>
      </c>
      <c r="V588" s="2301" t="str">
        <f>IF($G588=0,"--",IFERROR(IF(_xll.ciqfunctions.udf.CIQ($G588,$S588,V122,Valuation_Date_GC,,DataMode,$H588)*Scale=0,"--",_xll.ciqfunctions.udf.CIQ($G588,$S588,V122,Valuation_Date_GC,ReportType,DataMode,$H588)*Scale),"--"))</f>
        <v>--</v>
      </c>
      <c r="W588" s="2301" t="str">
        <f>IF($G588=0,"--",IFERROR(IF(_xll.ciqfunctions.udf.CIQ($G588,$S588,W122,Valuation_Date_GC,,DataMode,$H588)*Scale=0,"--",_xll.ciqfunctions.udf.CIQ($G588,$S588,W122,Valuation_Date_GC,ReportType,DataMode,$H588)*Scale),"--"))</f>
        <v>--</v>
      </c>
      <c r="X588" s="2301" t="str">
        <f>IF($G588=0,"--",IFERROR(IF(_xll.ciqfunctions.udf.CIQ($G588,$S588,X122,Valuation_Date_GC,,DataMode,$H588)*Scale=0,"--",_xll.ciqfunctions.udf.CIQ($G588,$S588,X122,Valuation_Date_GC,ReportType,DataMode,$H588)*Scale),"--"))</f>
        <v>--</v>
      </c>
      <c r="Y588" s="2301" t="str">
        <f>IF($G588=0,"--",IFERROR(IF(_xll.ciqfunctions.udf.CIQ($G588,$S588,Y122,Valuation_Date_GC,,DataMode,$H588)*Scale=0,"--",_xll.ciqfunctions.udf.CIQ($G588,$S588,Y122,Valuation_Date_GC,ReportType,DataMode,$H588)*Scale),"--"))</f>
        <v>--</v>
      </c>
      <c r="Z588" s="2078" t="str">
        <f t="shared" si="170"/>
        <v/>
      </c>
      <c r="AA588" s="2301">
        <f>_xll.ciqfunctions.udf.CIQ($G588,"IQ_REVENUE_NUM_EST",U$97,Valuation_Date_GC,"CON")</f>
        <v>0</v>
      </c>
      <c r="AB588" s="2301">
        <f>_xll.ciqfunctions.udf.CIQ($G588,"IQ_REVENUE_NUM_EST",V$97,Valuation_Date_GC,"CON")</f>
        <v>0</v>
      </c>
      <c r="AC588" s="2301">
        <f>_xll.ciqfunctions.udf.CIQ($G588,"IQ_REVENUE_NUM_EST",W$97,Valuation_Date_GC,"CON")</f>
        <v>0</v>
      </c>
      <c r="AD588" s="2301">
        <f>_xll.ciqfunctions.udf.CIQ($G588,"IQ_REVENUE_NUM_EST",X$97,Valuation_Date_GC,"CON")</f>
        <v>0</v>
      </c>
      <c r="AE588" s="2301">
        <f>_xll.ciqfunctions.udf.CIQ($G588,"IQ_REVENUE_NUM_EST",Y$97,Valuation_Date_GC,"CON")</f>
        <v>0</v>
      </c>
      <c r="AF588" s="2060"/>
      <c r="AG588" s="2060"/>
      <c r="AH588" s="2060"/>
    </row>
    <row r="589" spans="1:34" s="89" customFormat="1" ht="13.9">
      <c r="A589" s="269" t="str">
        <f t="shared" si="171"/>
        <v>n</v>
      </c>
      <c r="B589" s="2060"/>
      <c r="D589" s="801"/>
      <c r="E589" s="1505">
        <v>24</v>
      </c>
      <c r="F589" s="21" t="str">
        <f>F$152</f>
        <v>--</v>
      </c>
      <c r="G589" s="1441">
        <f>G$152</f>
        <v>0</v>
      </c>
      <c r="H589" s="1441" t="str">
        <f>H$152</f>
        <v>--</v>
      </c>
      <c r="I589" s="1513" t="s">
        <v>803</v>
      </c>
      <c r="J589" s="2301" t="str">
        <f>IF($G589=0,"--",IFERROR(_xll.ciqfunctions.udf.CIQ($G589,$I589,J123,Valuation_Date_GC,ReportType,DataMode,$H589,FXMode)*Scale,"--"))</f>
        <v>--</v>
      </c>
      <c r="K589" s="2301" t="str">
        <f>IF($G589=0,"--",IFERROR(_xll.ciqfunctions.udf.CIQ($G589,$I589,K123,Valuation_Date_GC,ReportType,DataMode,$H589,FXMode)*Scale,"--"))</f>
        <v>--</v>
      </c>
      <c r="L589" s="2301" t="str">
        <f>IF($G589=0,"--",IFERROR(_xll.ciqfunctions.udf.CIQ($G589,$I589,L123,Valuation_Date_GC,ReportType,DataMode,$H589,FXMode)*Scale,"--"))</f>
        <v>--</v>
      </c>
      <c r="M589" s="2301" t="str">
        <f>IF($G589=0,"--",IFERROR(_xll.ciqfunctions.udf.CIQ($G589,$I589,M123,Valuation_Date_GC,ReportType,DataMode,$H589,FXMode)*Scale,"--"))</f>
        <v>--</v>
      </c>
      <c r="N589" s="2301" t="str">
        <f>IF($G589=0,"--",IFERROR(_xll.ciqfunctions.udf.CIQ($G589,$I589,N123,Valuation_Date_GC,ReportType,DataMode,$H589,FXMode)*Scale,"--"))</f>
        <v>--</v>
      </c>
      <c r="O589" s="2317" t="str">
        <f>IF($G589=0,"--",IFERROR(IF(O123=1001,_xll.ciqfunctions.udf.CIQ($G589,$S589,O123,Valuation_Date_GC,ReportType,DataMode,$H589,FXMode),_xll.ciqfunctions.udf.CIQ($G589,$I589,O123,Valuation_Date_GC,ReportType,DataMode,$H589,FXMode))*Scale,"--"))</f>
        <v>--</v>
      </c>
      <c r="P589" s="2301" t="str">
        <f>IF($G589=0,"--",IFERROR(_xll.ciqfunctions.udf.CIQ($G589,$I589,P123,Valuation_Date_GC,ReportType,DataMode,$H589,FXMode)*Scale,"--"))</f>
        <v>--</v>
      </c>
      <c r="R589" s="2301" t="str">
        <f>IF($G589=0,"--",IFERROR(_xll.ciqfunctions.udf.CIQ($G589,$I589,R123,Valuation_Date_GC,ReportType,DataMode,$H589,FXMode)*Scale,"--"))</f>
        <v>--</v>
      </c>
      <c r="S589" s="89" t="s">
        <v>801</v>
      </c>
      <c r="T589" s="2301" t="str">
        <f>IF(H123=0,O589,IF($G589=0,"--",IFERROR(_xll.ciqfunctions.udf.CIQ($G589,$S589,U123-1,Valuation_Date_GC,ReportType,DataMode,$H589)*Scale,"--")))</f>
        <v>--</v>
      </c>
      <c r="U589" s="2301" t="str">
        <f>IF($G589=0,"--",IFERROR(IF(_xll.ciqfunctions.udf.CIQ($G589,$S589,U123,Valuation_Date_GC,,DataMode,$H589)*Scale=0,"--",_xll.ciqfunctions.udf.CIQ($G589,$S589,U123,Valuation_Date_GC,ReportType,DataMode,$H589)*Scale),"--"))</f>
        <v>--</v>
      </c>
      <c r="V589" s="2301" t="str">
        <f>IF($G589=0,"--",IFERROR(IF(_xll.ciqfunctions.udf.CIQ($G589,$S589,V123,Valuation_Date_GC,,DataMode,$H589)*Scale=0,"--",_xll.ciqfunctions.udf.CIQ($G589,$S589,V123,Valuation_Date_GC,ReportType,DataMode,$H589)*Scale),"--"))</f>
        <v>--</v>
      </c>
      <c r="W589" s="2301" t="str">
        <f>IF($G589=0,"--",IFERROR(IF(_xll.ciqfunctions.udf.CIQ($G589,$S589,W123,Valuation_Date_GC,,DataMode,$H589)*Scale=0,"--",_xll.ciqfunctions.udf.CIQ($G589,$S589,W123,Valuation_Date_GC,ReportType,DataMode,$H589)*Scale),"--"))</f>
        <v>--</v>
      </c>
      <c r="X589" s="2301" t="str">
        <f>IF($G589=0,"--",IFERROR(IF(_xll.ciqfunctions.udf.CIQ($G589,$S589,X123,Valuation_Date_GC,,DataMode,$H589)*Scale=0,"--",_xll.ciqfunctions.udf.CIQ($G589,$S589,X123,Valuation_Date_GC,ReportType,DataMode,$H589)*Scale),"--"))</f>
        <v>--</v>
      </c>
      <c r="Y589" s="2301" t="str">
        <f>IF($G589=0,"--",IFERROR(IF(_xll.ciqfunctions.udf.CIQ($G589,$S589,Y123,Valuation_Date_GC,,DataMode,$H589)*Scale=0,"--",_xll.ciqfunctions.udf.CIQ($G589,$S589,Y123,Valuation_Date_GC,ReportType,DataMode,$H589)*Scale),"--"))</f>
        <v>--</v>
      </c>
      <c r="Z589" s="2078" t="str">
        <f t="shared" si="170"/>
        <v/>
      </c>
      <c r="AA589" s="2301">
        <f>_xll.ciqfunctions.udf.CIQ($G589,"IQ_REVENUE_NUM_EST",U$97,Valuation_Date_GC,"CON")</f>
        <v>0</v>
      </c>
      <c r="AB589" s="2301">
        <f>_xll.ciqfunctions.udf.CIQ($G589,"IQ_REVENUE_NUM_EST",V$97,Valuation_Date_GC,"CON")</f>
        <v>0</v>
      </c>
      <c r="AC589" s="2301">
        <f>_xll.ciqfunctions.udf.CIQ($G589,"IQ_REVENUE_NUM_EST",W$97,Valuation_Date_GC,"CON")</f>
        <v>0</v>
      </c>
      <c r="AD589" s="2301">
        <f>_xll.ciqfunctions.udf.CIQ($G589,"IQ_REVENUE_NUM_EST",X$97,Valuation_Date_GC,"CON")</f>
        <v>0</v>
      </c>
      <c r="AE589" s="2301">
        <f>_xll.ciqfunctions.udf.CIQ($G589,"IQ_REVENUE_NUM_EST",Y$97,Valuation_Date_GC,"CON")</f>
        <v>0</v>
      </c>
      <c r="AF589" s="2060"/>
      <c r="AG589" s="2060"/>
      <c r="AH589" s="2060"/>
    </row>
    <row r="590" spans="1:34" s="89" customFormat="1" ht="13.9">
      <c r="A590" s="269" t="str">
        <f t="shared" si="171"/>
        <v>n</v>
      </c>
      <c r="B590" s="2060"/>
      <c r="D590" s="801"/>
      <c r="E590" s="1505">
        <v>25</v>
      </c>
      <c r="F590" s="21" t="str">
        <f>F$153</f>
        <v>--</v>
      </c>
      <c r="G590" s="1441">
        <f>G$153</f>
        <v>0</v>
      </c>
      <c r="H590" s="1441" t="str">
        <f>H$153</f>
        <v>--</v>
      </c>
      <c r="I590" s="1513" t="s">
        <v>803</v>
      </c>
      <c r="J590" s="2301" t="str">
        <f>IF($G590=0,"--",IFERROR(_xll.ciqfunctions.udf.CIQ($G590,$I590,J124,Valuation_Date_GC,ReportType,DataMode,$H590,FXMode)*Scale,"--"))</f>
        <v>--</v>
      </c>
      <c r="K590" s="2301" t="str">
        <f>IF($G590=0,"--",IFERROR(_xll.ciqfunctions.udf.CIQ($G590,$I590,K124,Valuation_Date_GC,ReportType,DataMode,$H590,FXMode)*Scale,"--"))</f>
        <v>--</v>
      </c>
      <c r="L590" s="2301" t="str">
        <f>IF($G590=0,"--",IFERROR(_xll.ciqfunctions.udf.CIQ($G590,$I590,L124,Valuation_Date_GC,ReportType,DataMode,$H590,FXMode)*Scale,"--"))</f>
        <v>--</v>
      </c>
      <c r="M590" s="2301" t="str">
        <f>IF($G590=0,"--",IFERROR(_xll.ciqfunctions.udf.CIQ($G590,$I590,M124,Valuation_Date_GC,ReportType,DataMode,$H590,FXMode)*Scale,"--"))</f>
        <v>--</v>
      </c>
      <c r="N590" s="2301" t="str">
        <f>IF($G590=0,"--",IFERROR(_xll.ciqfunctions.udf.CIQ($G590,$I590,N124,Valuation_Date_GC,ReportType,DataMode,$H590,FXMode)*Scale,"--"))</f>
        <v>--</v>
      </c>
      <c r="O590" s="2317" t="str">
        <f>IF($G590=0,"--",IFERROR(IF(O124=1001,_xll.ciqfunctions.udf.CIQ($G590,$S590,O124,Valuation_Date_GC,ReportType,DataMode,$H590,FXMode),_xll.ciqfunctions.udf.CIQ($G590,$I590,O124,Valuation_Date_GC,ReportType,DataMode,$H590,FXMode))*Scale,"--"))</f>
        <v>--</v>
      </c>
      <c r="P590" s="2301" t="str">
        <f>IF($G590=0,"--",IFERROR(_xll.ciqfunctions.udf.CIQ($G590,$I590,P124,Valuation_Date_GC,ReportType,DataMode,$H590,FXMode)*Scale,"--"))</f>
        <v>--</v>
      </c>
      <c r="R590" s="2301" t="str">
        <f>IF($G590=0,"--",IFERROR(_xll.ciqfunctions.udf.CIQ($G590,$I590,R124,Valuation_Date_GC,ReportType,DataMode,$H590,FXMode)*Scale,"--"))</f>
        <v>--</v>
      </c>
      <c r="S590" s="89" t="s">
        <v>801</v>
      </c>
      <c r="T590" s="2301" t="str">
        <f>IF(H124=0,O590,IF($G590=0,"--",IFERROR(_xll.ciqfunctions.udf.CIQ($G590,$S590,U124-1,Valuation_Date_GC,ReportType,DataMode,$H590)*Scale,"--")))</f>
        <v>--</v>
      </c>
      <c r="U590" s="2301" t="str">
        <f>IF($G590=0,"--",IFERROR(IF(_xll.ciqfunctions.udf.CIQ($G590,$S590,U124,Valuation_Date_GC,,DataMode,$H590)*Scale=0,"--",_xll.ciqfunctions.udf.CIQ($G590,$S590,U124,Valuation_Date_GC,ReportType,DataMode,$H590)*Scale),"--"))</f>
        <v>--</v>
      </c>
      <c r="V590" s="2301" t="str">
        <f>IF($G590=0,"--",IFERROR(IF(_xll.ciqfunctions.udf.CIQ($G590,$S590,V124,Valuation_Date_GC,,DataMode,$H590)*Scale=0,"--",_xll.ciqfunctions.udf.CIQ($G590,$S590,V124,Valuation_Date_GC,ReportType,DataMode,$H590)*Scale),"--"))</f>
        <v>--</v>
      </c>
      <c r="W590" s="2301" t="str">
        <f>IF($G590=0,"--",IFERROR(IF(_xll.ciqfunctions.udf.CIQ($G590,$S590,W124,Valuation_Date_GC,,DataMode,$H590)*Scale=0,"--",_xll.ciqfunctions.udf.CIQ($G590,$S590,W124,Valuation_Date_GC,ReportType,DataMode,$H590)*Scale),"--"))</f>
        <v>--</v>
      </c>
      <c r="X590" s="2301" t="str">
        <f>IF($G590=0,"--",IFERROR(IF(_xll.ciqfunctions.udf.CIQ($G590,$S590,X124,Valuation_Date_GC,,DataMode,$H590)*Scale=0,"--",_xll.ciqfunctions.udf.CIQ($G590,$S590,X124,Valuation_Date_GC,ReportType,DataMode,$H590)*Scale),"--"))</f>
        <v>--</v>
      </c>
      <c r="Y590" s="2301" t="str">
        <f>IF($G590=0,"--",IFERROR(IF(_xll.ciqfunctions.udf.CIQ($G590,$S590,Y124,Valuation_Date_GC,,DataMode,$H590)*Scale=0,"--",_xll.ciqfunctions.udf.CIQ($G590,$S590,Y124,Valuation_Date_GC,ReportType,DataMode,$H590)*Scale),"--"))</f>
        <v>--</v>
      </c>
      <c r="Z590" s="2078" t="str">
        <f t="shared" si="170"/>
        <v/>
      </c>
      <c r="AA590" s="2301">
        <f>_xll.ciqfunctions.udf.CIQ($G590,"IQ_REVENUE_NUM_EST",U$97,Valuation_Date_GC,"CON")</f>
        <v>0</v>
      </c>
      <c r="AB590" s="2301">
        <f>_xll.ciqfunctions.udf.CIQ($G590,"IQ_REVENUE_NUM_EST",V$97,Valuation_Date_GC,"CON")</f>
        <v>0</v>
      </c>
      <c r="AC590" s="2301">
        <f>_xll.ciqfunctions.udf.CIQ($G590,"IQ_REVENUE_NUM_EST",W$97,Valuation_Date_GC,"CON")</f>
        <v>0</v>
      </c>
      <c r="AD590" s="2301">
        <f>_xll.ciqfunctions.udf.CIQ($G590,"IQ_REVENUE_NUM_EST",X$97,Valuation_Date_GC,"CON")</f>
        <v>0</v>
      </c>
      <c r="AE590" s="2301">
        <f>_xll.ciqfunctions.udf.CIQ($G590,"IQ_REVENUE_NUM_EST",Y$97,Valuation_Date_GC,"CON")</f>
        <v>0</v>
      </c>
      <c r="AF590" s="2060"/>
      <c r="AG590" s="2060"/>
      <c r="AH590" s="2060"/>
    </row>
    <row r="591" spans="1:34" s="89" customFormat="1" ht="13.9">
      <c r="A591" s="2060"/>
      <c r="B591" s="2060"/>
      <c r="D591" s="801"/>
      <c r="F591" s="57" t="s">
        <v>767</v>
      </c>
      <c r="G591" s="1442"/>
      <c r="H591" s="1442"/>
      <c r="I591" s="1442"/>
      <c r="J591" s="1443" t="str">
        <f t="shared" ref="J591:P591" si="172">IFERROR(MEDIAN(J566:J590),"--")</f>
        <v>--</v>
      </c>
      <c r="K591" s="1443" t="str">
        <f t="shared" si="172"/>
        <v>--</v>
      </c>
      <c r="L591" s="1443" t="str">
        <f t="shared" si="172"/>
        <v>--</v>
      </c>
      <c r="M591" s="1443" t="str">
        <f t="shared" si="172"/>
        <v>--</v>
      </c>
      <c r="N591" s="1443" t="str">
        <f t="shared" si="172"/>
        <v>--</v>
      </c>
      <c r="O591" s="1444" t="str">
        <f t="shared" si="172"/>
        <v>--</v>
      </c>
      <c r="P591" s="1443" t="str">
        <f t="shared" si="172"/>
        <v>--</v>
      </c>
      <c r="R591" s="1443" t="str">
        <f>IFERROR(MEDIAN(R566:R590),"--")</f>
        <v>--</v>
      </c>
      <c r="T591" s="1443" t="str">
        <f t="shared" ref="T591:Y591" si="173">IFERROR(MEDIAN(T566:T590),"--")</f>
        <v>--</v>
      </c>
      <c r="U591" s="1443" t="str">
        <f t="shared" si="173"/>
        <v>--</v>
      </c>
      <c r="V591" s="1443" t="str">
        <f t="shared" si="173"/>
        <v>--</v>
      </c>
      <c r="W591" s="1443" t="str">
        <f t="shared" si="173"/>
        <v>--</v>
      </c>
      <c r="X591" s="1443" t="str">
        <f t="shared" si="173"/>
        <v>--</v>
      </c>
      <c r="Y591" s="1443" t="str">
        <f t="shared" si="173"/>
        <v>--</v>
      </c>
      <c r="AA591" s="2060"/>
      <c r="AB591" s="2060"/>
      <c r="AC591" s="2060"/>
      <c r="AD591" s="2060"/>
      <c r="AE591" s="2060"/>
      <c r="AF591" s="2060"/>
      <c r="AG591" s="2060"/>
      <c r="AH591" s="2060"/>
    </row>
    <row r="592" spans="1:34" s="89" customFormat="1" ht="13.9">
      <c r="A592" s="2060"/>
      <c r="B592" s="2060"/>
      <c r="D592" s="803"/>
      <c r="E592" s="56"/>
      <c r="F592" s="21"/>
      <c r="O592" s="75"/>
      <c r="P592" s="76"/>
      <c r="R592" s="255"/>
      <c r="AA592" s="2060"/>
      <c r="AB592" s="2060"/>
      <c r="AC592" s="2060"/>
      <c r="AD592" s="2060"/>
      <c r="AE592" s="2060"/>
      <c r="AF592" s="2060"/>
      <c r="AG592" s="2060"/>
      <c r="AH592" s="2060"/>
    </row>
    <row r="593" spans="1:34" s="89" customFormat="1" ht="13.9">
      <c r="A593" s="2060"/>
      <c r="B593" s="2060"/>
      <c r="D593" s="803"/>
      <c r="E593" s="56"/>
      <c r="F593" s="21"/>
      <c r="O593" s="75"/>
      <c r="P593" s="76"/>
      <c r="AA593" s="2060"/>
      <c r="AB593" s="2060"/>
      <c r="AC593" s="2060"/>
      <c r="AD593" s="2060"/>
      <c r="AE593" s="2060"/>
      <c r="AF593" s="2060"/>
      <c r="AG593" s="2060"/>
      <c r="AH593" s="2060"/>
    </row>
    <row r="594" spans="1:34" s="89" customFormat="1" ht="13.9">
      <c r="A594" s="2060"/>
      <c r="B594" s="2060"/>
      <c r="D594" s="802"/>
      <c r="E594" s="21"/>
      <c r="F594" s="756"/>
      <c r="G594" s="724"/>
      <c r="H594" s="724"/>
      <c r="I594" s="724"/>
      <c r="J594" s="724"/>
      <c r="K594" s="724"/>
      <c r="L594" s="724"/>
      <c r="M594" s="724"/>
      <c r="N594" s="724"/>
      <c r="O594" s="757" t="s">
        <v>768</v>
      </c>
      <c r="P594" s="724"/>
      <c r="Q594" s="724"/>
      <c r="R594" s="725"/>
      <c r="S594" s="724"/>
      <c r="T594" s="1029" t="s">
        <v>800</v>
      </c>
      <c r="U594" s="765"/>
      <c r="V594" s="765"/>
      <c r="W594" s="765"/>
      <c r="X594" s="765"/>
      <c r="Y594" s="724"/>
      <c r="AA594" s="1029" t="str">
        <f>"Number of estimates included in "&amp;F595&amp;" consensus"</f>
        <v>Number of estimates included in Cost of Goods Sold consensus</v>
      </c>
      <c r="AB594" s="2060"/>
      <c r="AC594" s="2060"/>
      <c r="AD594" s="2060"/>
      <c r="AE594" s="2060"/>
      <c r="AF594" s="2060"/>
      <c r="AG594" s="2060"/>
      <c r="AH594" s="2060"/>
    </row>
    <row r="595" spans="1:34" s="89" customFormat="1" ht="13.9">
      <c r="A595" s="2060"/>
      <c r="B595" s="2060"/>
      <c r="D595" s="778">
        <f ca="1">MAX(OFFSET(D595,-1,0,-ROW(D595)+1,-2),1)+0.01</f>
        <v>5.0199999999999996</v>
      </c>
      <c r="E595" s="125"/>
      <c r="F595" s="952" t="s">
        <v>804</v>
      </c>
      <c r="G595" s="724" t="s">
        <v>796</v>
      </c>
      <c r="H595" s="724"/>
      <c r="I595" s="724"/>
      <c r="J595" s="758" t="s">
        <v>699</v>
      </c>
      <c r="K595" s="758" t="s">
        <v>700</v>
      </c>
      <c r="L595" s="758" t="s">
        <v>701</v>
      </c>
      <c r="M595" s="758" t="s">
        <v>702</v>
      </c>
      <c r="N595" s="758" t="s">
        <v>703</v>
      </c>
      <c r="O595" s="759" t="s">
        <v>704</v>
      </c>
      <c r="P595" s="725" t="s">
        <v>705</v>
      </c>
      <c r="R595" s="725" t="s">
        <v>706</v>
      </c>
      <c r="S595" s="724" t="s">
        <v>801</v>
      </c>
      <c r="T595" s="725" t="s">
        <v>802</v>
      </c>
      <c r="U595" s="725" t="s">
        <v>707</v>
      </c>
      <c r="V595" s="725" t="s">
        <v>708</v>
      </c>
      <c r="W595" s="725" t="s">
        <v>709</v>
      </c>
      <c r="X595" s="725" t="s">
        <v>710</v>
      </c>
      <c r="Y595" s="725" t="s">
        <v>711</v>
      </c>
      <c r="AA595" s="725" t="str">
        <f>U595</f>
        <v>NFY</v>
      </c>
      <c r="AB595" s="725" t="str">
        <f>V595</f>
        <v>NFY+1</v>
      </c>
      <c r="AC595" s="725" t="str">
        <f>W595</f>
        <v>NFY+2</v>
      </c>
      <c r="AD595" s="725" t="str">
        <f>X595</f>
        <v>NFY+3</v>
      </c>
      <c r="AE595" s="725" t="str">
        <f>Y595</f>
        <v>NFY+4</v>
      </c>
      <c r="AF595" s="2060"/>
      <c r="AG595" s="2060"/>
      <c r="AH595" s="2060"/>
    </row>
    <row r="596" spans="1:34" s="89" customFormat="1" ht="13.9">
      <c r="A596" s="2060"/>
      <c r="B596" s="2060"/>
      <c r="D596" s="785"/>
      <c r="E596" s="1505">
        <v>0</v>
      </c>
      <c r="F596" s="1448" t="str">
        <f>F$128</f>
        <v/>
      </c>
      <c r="G596" s="1449">
        <f>G$128</f>
        <v>0</v>
      </c>
      <c r="H596" s="1449" t="str">
        <f>H$128</f>
        <v>USD</v>
      </c>
      <c r="I596" s="1450" t="s">
        <v>805</v>
      </c>
      <c r="J596" s="2304" t="str">
        <f>IF($G596=0,"--",IFERROR(_xll.ciqfunctions.udf.CIQ($G596,$I596,J130,Valuation_Date_GC,ReportType,DataMode,$H596,FXMode)*Scale,"--"))</f>
        <v>--</v>
      </c>
      <c r="K596" s="2304">
        <f>'INC STAT Hist Input'!F11</f>
        <v>0</v>
      </c>
      <c r="L596" s="2304">
        <f>'INC STAT Hist Input'!G11</f>
        <v>0</v>
      </c>
      <c r="M596" s="2304">
        <f>'INC STAT Hist Input'!H11</f>
        <v>0</v>
      </c>
      <c r="N596" s="2304">
        <f>'INC STAT Hist Input'!I11</f>
        <v>0</v>
      </c>
      <c r="O596" s="2304">
        <f>'INC STAT Hist Input'!J11</f>
        <v>0</v>
      </c>
      <c r="P596" s="2304">
        <f>'INC STAT Hist Input'!K11</f>
        <v>0</v>
      </c>
      <c r="R596" s="2316" t="str">
        <f>IF($G596=0,"--",IFERROR(_xll.ciqfunctions.udf.CIQ($G596,$I596,R130,Valuation_Date_GC,ReportType,DataMode,$H596,FXMode)*Scale,"--"))</f>
        <v>--</v>
      </c>
      <c r="S596" s="258" t="s">
        <v>806</v>
      </c>
      <c r="T596" s="2316" t="str">
        <f>IFERROR(IF('PFI Inputs'!F33,'PFI Inputs'!F33,_xll.ciqfunctions.udf.CIQ($G596,$S596,T130,Valuation_Date_GC,ReportType,DataMode,$H596)*Scale),"--")</f>
        <v>--</v>
      </c>
      <c r="U596" s="2316" t="str">
        <f>IFERROR(IF('PFI Inputs'!G33,'PFI Inputs'!G33,_xll.ciqfunctions.udf.CIQ($G596,$S596,U130,Valuation_Date_GC,ReportType,DataMode,$H596)*Scale),"--")</f>
        <v>--</v>
      </c>
      <c r="V596" s="2316" t="str">
        <f>IFERROR(IF('PFI Inputs'!H33,'PFI Inputs'!H33,_xll.ciqfunctions.udf.CIQ($G596,$S596,V130,Valuation_Date_GC,ReportType,DataMode,$H596)*Scale),"--")</f>
        <v>--</v>
      </c>
      <c r="W596" s="2316" t="str">
        <f>IFERROR(IF('PFI Inputs'!I33,'PFI Inputs'!I33,_xll.ciqfunctions.udf.CIQ($G596,$S596,W130,Valuation_Date_GC,ReportType,DataMode,$H596)*Scale),"--")</f>
        <v>--</v>
      </c>
      <c r="X596" s="2316" t="str">
        <f>IFERROR(IF('PFI Inputs'!J33,'PFI Inputs'!J33,_xll.ciqfunctions.udf.CIQ($G596,$S596,X130,Valuation_Date_GC,ReportType,DataMode,$H596)*Scale),"--")</f>
        <v>--</v>
      </c>
      <c r="Y596" s="2316" t="str">
        <f>IFERROR(IF('PFI Inputs'!K33,'PFI Inputs'!K33,_xll.ciqfunctions.udf.CIQ($G596,$S596,Y130,Valuation_Date_GC,ReportType,DataMode,$H596)*Scale),"--")</f>
        <v>--</v>
      </c>
      <c r="AA596" s="2301">
        <f>_xll.ciqfunctions.udf.CIQ($G596,"IQ_REVENUE_NUM_EST",U$97,Valuation_Date_GC,"CON")</f>
        <v>0</v>
      </c>
      <c r="AB596" s="2301">
        <f>_xll.ciqfunctions.udf.CIQ($G596,"IQ_REVENUE_NUM_EST",V$97,Valuation_Date_GC,"CON")</f>
        <v>0</v>
      </c>
      <c r="AC596" s="2301">
        <f>_xll.ciqfunctions.udf.CIQ($G596,"IQ_REVENUE_NUM_EST",W$97,Valuation_Date_GC,"CON")</f>
        <v>0</v>
      </c>
      <c r="AD596" s="2301">
        <f>_xll.ciqfunctions.udf.CIQ($G596,"IQ_REVENUE_NUM_EST",X$97,Valuation_Date_GC,"CON")</f>
        <v>0</v>
      </c>
      <c r="AE596" s="2301">
        <f>_xll.ciqfunctions.udf.CIQ($G596,"IQ_REVENUE_NUM_EST",Y$97,Valuation_Date_GC,"CON")</f>
        <v>0</v>
      </c>
      <c r="AF596" s="2060"/>
      <c r="AG596" s="2060"/>
      <c r="AH596" s="2060"/>
    </row>
    <row r="597" spans="1:34" s="89" customFormat="1" ht="13.9">
      <c r="A597" s="269" t="str">
        <f>IF(F597="--","n","")</f>
        <v>n</v>
      </c>
      <c r="B597" s="2060"/>
      <c r="C597" s="72"/>
      <c r="D597" s="801"/>
      <c r="E597" s="1505">
        <v>1</v>
      </c>
      <c r="F597" s="21" t="str">
        <f>F$129</f>
        <v>--</v>
      </c>
      <c r="G597" s="1441">
        <f>G$129</f>
        <v>0</v>
      </c>
      <c r="H597" s="1441" t="str">
        <f>H$129</f>
        <v>--</v>
      </c>
      <c r="I597" s="1513" t="s">
        <v>805</v>
      </c>
      <c r="J597" s="2301" t="str">
        <f>IF($G597=0,"--",IFERROR(_xll.ciqfunctions.udf.CIQ($G597,$I597,J131,Valuation_Date_GC,ReportType,DataMode,$H597,FXMode)*Scale,"--"))</f>
        <v>--</v>
      </c>
      <c r="K597" s="2301" t="str">
        <f>IF($G597=0,"--",IFERROR(_xll.ciqfunctions.udf.CIQ($G597,$I597,K131,Valuation_Date_GC,ReportType,DataMode,$H597,FXMode)*Scale,"--"))</f>
        <v>--</v>
      </c>
      <c r="L597" s="2301" t="str">
        <f>IF($G597=0,"--",IFERROR(_xll.ciqfunctions.udf.CIQ($G597,$I597,L131,Valuation_Date_GC,ReportType,DataMode,$H597,FXMode)*Scale,"--"))</f>
        <v>--</v>
      </c>
      <c r="M597" s="2301" t="str">
        <f>IF($G597=0,"--",IFERROR(_xll.ciqfunctions.udf.CIQ($G597,$I597,M131,Valuation_Date_GC,ReportType,DataMode,$H597,FXMode)*Scale,"--"))</f>
        <v>--</v>
      </c>
      <c r="N597" s="2301" t="str">
        <f>IF($G597=0,"--",IFERROR(_xll.ciqfunctions.udf.CIQ($G597,$I597,N131,Valuation_Date_GC,ReportType,DataMode,$H597,FXMode)*Scale,"--"))</f>
        <v>--</v>
      </c>
      <c r="O597" s="2317" t="str">
        <f>IF($G597=0,"--",IFERROR(IF(O131=1001,_xll.ciqfunctions.udf.CIQ($G597,$S597,O131,Valuation_Date_GC,ReportType,DataMode,$H597,FXMode),_xll.ciqfunctions.udf.CIQ($G597,$I597,O131,Valuation_Date_GC,ReportType,DataMode,$H597,FXMode))*Scale,"--"))</f>
        <v>--</v>
      </c>
      <c r="P597" s="2301" t="str">
        <f>IF($G597=0,"--",IFERROR(_xll.ciqfunctions.udf.CIQ($G597,$I597,P131,Valuation_Date_GC,ReportType,DataMode,$H597,FXMode)*Scale,"--"))</f>
        <v>--</v>
      </c>
      <c r="R597" s="2301" t="str">
        <f>IF($G597=0,"--",IFERROR(_xll.ciqfunctions.udf.CIQ($G597,$I597,R131,Valuation_Date_GC,ReportType,DataMode,$H597,FXMode)*Scale,"--"))</f>
        <v>--</v>
      </c>
      <c r="S597" s="89" t="s">
        <v>806</v>
      </c>
      <c r="T597" s="2301" t="str">
        <f>IF(H131=0,O597,IF($G597=0,"--",IFERROR(_xll.ciqfunctions.udf.CIQ($G597,$S597,U131-1,Valuation_Date_GC,ReportType,DataMode,$H597)*Scale,"--")))</f>
        <v>--</v>
      </c>
      <c r="U597" s="2301" t="str">
        <f>IF($G597=0,"--",IFERROR(IF(_xll.ciqfunctions.udf.CIQ($G597,$S597,U131,Valuation_Date_GC,,DataMode,$H597)*Scale=0,"--",_xll.ciqfunctions.udf.CIQ($G597,$S597,U131,Valuation_Date_GC,ReportType,DataMode,$H597)*Scale),"--"))</f>
        <v>--</v>
      </c>
      <c r="V597" s="2301" t="str">
        <f>IF($G597=0,"--",IFERROR(IF(_xll.ciqfunctions.udf.CIQ($G597,$S597,V131,Valuation_Date_GC,,DataMode,$H597)*Scale=0,"--",_xll.ciqfunctions.udf.CIQ($G597,$S597,V131,Valuation_Date_GC,ReportType,DataMode,$H597)*Scale),"--"))</f>
        <v>--</v>
      </c>
      <c r="W597" s="2301" t="str">
        <f>IF($G597=0,"--",IFERROR(IF(_xll.ciqfunctions.udf.CIQ($G597,$S597,W131,Valuation_Date_GC,,DataMode,$H597)*Scale=0,"--",_xll.ciqfunctions.udf.CIQ($G597,$S597,W131,Valuation_Date_GC,ReportType,DataMode,$H597)*Scale),"--"))</f>
        <v>--</v>
      </c>
      <c r="X597" s="2301" t="str">
        <f>IF($G597=0,"--",IFERROR(IF(_xll.ciqfunctions.udf.CIQ($G597,$S597,X131,Valuation_Date_GC,,DataMode,$H597)*Scale=0,"--",_xll.ciqfunctions.udf.CIQ($G597,$S597,X131,Valuation_Date_GC,ReportType,DataMode,$H597)*Scale),"--"))</f>
        <v>--</v>
      </c>
      <c r="Y597" s="2301" t="str">
        <f>IF($G597=0,"--",IFERROR(IF(_xll.ciqfunctions.udf.CIQ($G597,$S597,Y131,Valuation_Date_GC,,DataMode,$H597)*Scale=0,"--",_xll.ciqfunctions.udf.CIQ($G597,$S597,Y131,Valuation_Date_GC,ReportType,DataMode,$H597)*Scale),"--"))</f>
        <v>--</v>
      </c>
      <c r="Z597" s="2078" t="str">
        <f t="shared" ref="Z597:Z621" si="174">T131</f>
        <v/>
      </c>
      <c r="AA597" s="2301">
        <f>_xll.ciqfunctions.udf.CIQ($G597,"IQ_REVENUE_NUM_EST",U$97,Valuation_Date_GC,"CON")</f>
        <v>0</v>
      </c>
      <c r="AB597" s="2301">
        <f>_xll.ciqfunctions.udf.CIQ($G597,"IQ_REVENUE_NUM_EST",V$97,Valuation_Date_GC,"CON")</f>
        <v>0</v>
      </c>
      <c r="AC597" s="2301">
        <f>_xll.ciqfunctions.udf.CIQ($G597,"IQ_REVENUE_NUM_EST",W$97,Valuation_Date_GC,"CON")</f>
        <v>0</v>
      </c>
      <c r="AD597" s="2301">
        <f>_xll.ciqfunctions.udf.CIQ($G597,"IQ_REVENUE_NUM_EST",X$97,Valuation_Date_GC,"CON")</f>
        <v>0</v>
      </c>
      <c r="AE597" s="2301">
        <f>_xll.ciqfunctions.udf.CIQ($G597,"IQ_REVENUE_NUM_EST",Y$97,Valuation_Date_GC,"CON")</f>
        <v>0</v>
      </c>
      <c r="AF597" s="2060"/>
      <c r="AG597" s="2060"/>
      <c r="AH597" s="2060"/>
    </row>
    <row r="598" spans="1:34" s="89" customFormat="1" ht="13.9">
      <c r="A598" s="269" t="str">
        <f t="shared" ref="A598:A621" si="175">IF(F598="--","n","")</f>
        <v>n</v>
      </c>
      <c r="B598" s="2060"/>
      <c r="D598" s="801"/>
      <c r="E598" s="1505">
        <v>2</v>
      </c>
      <c r="F598" s="21" t="str">
        <f>F$130</f>
        <v>--</v>
      </c>
      <c r="G598" s="1441">
        <f>G$130</f>
        <v>0</v>
      </c>
      <c r="H598" s="1441" t="str">
        <f>H$130</f>
        <v>--</v>
      </c>
      <c r="I598" s="1513" t="s">
        <v>805</v>
      </c>
      <c r="J598" s="2301" t="str">
        <f>IF($G598=0,"--",IFERROR(_xll.ciqfunctions.udf.CIQ($G598,$I598,J132,Valuation_Date_GC,ReportType,DataMode,$H598,FXMode)*Scale,"--"))</f>
        <v>--</v>
      </c>
      <c r="K598" s="2301" t="str">
        <f>IF($G598=0,"--",IFERROR(_xll.ciqfunctions.udf.CIQ($G598,$I598,K132,Valuation_Date_GC,ReportType,DataMode,$H598,FXMode)*Scale,"--"))</f>
        <v>--</v>
      </c>
      <c r="L598" s="2301" t="str">
        <f>IF($G598=0,"--",IFERROR(_xll.ciqfunctions.udf.CIQ($G598,$I598,L132,Valuation_Date_GC,ReportType,DataMode,$H598,FXMode)*Scale,"--"))</f>
        <v>--</v>
      </c>
      <c r="M598" s="2301" t="str">
        <f>IF($G598=0,"--",IFERROR(_xll.ciqfunctions.udf.CIQ($G598,$I598,M132,Valuation_Date_GC,ReportType,DataMode,$H598,FXMode)*Scale,"--"))</f>
        <v>--</v>
      </c>
      <c r="N598" s="2301" t="str">
        <f>IF($G598=0,"--",IFERROR(_xll.ciqfunctions.udf.CIQ($G598,$I598,N132,Valuation_Date_GC,ReportType,DataMode,$H598,FXMode)*Scale,"--"))</f>
        <v>--</v>
      </c>
      <c r="O598" s="2317" t="str">
        <f>IF($G598=0,"--",IFERROR(IF(O132=1001,_xll.ciqfunctions.udf.CIQ($G598,$S598,O132,Valuation_Date_GC,ReportType,DataMode,$H598,FXMode),_xll.ciqfunctions.udf.CIQ($G598,$I598,O132,Valuation_Date_GC,ReportType,DataMode,$H598,FXMode))*Scale,"--"))</f>
        <v>--</v>
      </c>
      <c r="P598" s="2301" t="str">
        <f>IF($G598=0,"--",IFERROR(_xll.ciqfunctions.udf.CIQ($G598,$I598,P132,Valuation_Date_GC,ReportType,DataMode,$H598,FXMode)*Scale,"--"))</f>
        <v>--</v>
      </c>
      <c r="R598" s="2301" t="str">
        <f>IF($G598=0,"--",IFERROR(_xll.ciqfunctions.udf.CIQ($G598,$I598,R132,Valuation_Date_GC,ReportType,DataMode,$H598,FXMode)*Scale,"--"))</f>
        <v>--</v>
      </c>
      <c r="S598" s="89" t="s">
        <v>806</v>
      </c>
      <c r="T598" s="2301" t="str">
        <f>IF(H132=0,O598,IF($G598=0,"--",IFERROR(_xll.ciqfunctions.udf.CIQ($G598,$S598,U132-1,Valuation_Date_GC,ReportType,DataMode,$H598)*Scale,"--")))</f>
        <v>--</v>
      </c>
      <c r="U598" s="2301" t="str">
        <f>IF($G598=0,"--",IFERROR(IF(_xll.ciqfunctions.udf.CIQ($G598,$S598,U132,Valuation_Date_GC,,DataMode,$H598)*Scale=0,"--",_xll.ciqfunctions.udf.CIQ($G598,$S598,U132,Valuation_Date_GC,ReportType,DataMode,$H598)*Scale),"--"))</f>
        <v>--</v>
      </c>
      <c r="V598" s="2301" t="str">
        <f>IF($G598=0,"--",IFERROR(IF(_xll.ciqfunctions.udf.CIQ($G598,$S598,V132,Valuation_Date_GC,,DataMode,$H598)*Scale=0,"--",_xll.ciqfunctions.udf.CIQ($G598,$S598,V132,Valuation_Date_GC,ReportType,DataMode,$H598)*Scale),"--"))</f>
        <v>--</v>
      </c>
      <c r="W598" s="2301" t="str">
        <f>IF($G598=0,"--",IFERROR(IF(_xll.ciqfunctions.udf.CIQ($G598,$S598,W132,Valuation_Date_GC,,DataMode,$H598)*Scale=0,"--",_xll.ciqfunctions.udf.CIQ($G598,$S598,W132,Valuation_Date_GC,ReportType,DataMode,$H598)*Scale),"--"))</f>
        <v>--</v>
      </c>
      <c r="X598" s="2301" t="str">
        <f>IF($G598=0,"--",IFERROR(IF(_xll.ciqfunctions.udf.CIQ($G598,$S598,X132,Valuation_Date_GC,,DataMode,$H598)*Scale=0,"--",_xll.ciqfunctions.udf.CIQ($G598,$S598,X132,Valuation_Date_GC,ReportType,DataMode,$H598)*Scale),"--"))</f>
        <v>--</v>
      </c>
      <c r="Y598" s="2301" t="str">
        <f>IF($G598=0,"--",IFERROR(IF(_xll.ciqfunctions.udf.CIQ($G598,$S598,Y132,Valuation_Date_GC,,DataMode,$H598)*Scale=0,"--",_xll.ciqfunctions.udf.CIQ($G598,$S598,Y132,Valuation_Date_GC,ReportType,DataMode,$H598)*Scale),"--"))</f>
        <v>--</v>
      </c>
      <c r="Z598" s="2078" t="str">
        <f t="shared" si="174"/>
        <v/>
      </c>
      <c r="AA598" s="2301">
        <f>_xll.ciqfunctions.udf.CIQ($G598,"IQ_REVENUE_NUM_EST",U$97,Valuation_Date_GC,"CON")</f>
        <v>0</v>
      </c>
      <c r="AB598" s="2301">
        <f>_xll.ciqfunctions.udf.CIQ($G598,"IQ_REVENUE_NUM_EST",V$97,Valuation_Date_GC,"CON")</f>
        <v>0</v>
      </c>
      <c r="AC598" s="2301">
        <f>_xll.ciqfunctions.udf.CIQ($G598,"IQ_REVENUE_NUM_EST",W$97,Valuation_Date_GC,"CON")</f>
        <v>0</v>
      </c>
      <c r="AD598" s="2301">
        <f>_xll.ciqfunctions.udf.CIQ($G598,"IQ_REVENUE_NUM_EST",X$97,Valuation_Date_GC,"CON")</f>
        <v>0</v>
      </c>
      <c r="AE598" s="2301">
        <f>_xll.ciqfunctions.udf.CIQ($G598,"IQ_REVENUE_NUM_EST",Y$97,Valuation_Date_GC,"CON")</f>
        <v>0</v>
      </c>
      <c r="AF598" s="2060"/>
      <c r="AG598" s="2060"/>
      <c r="AH598" s="2060"/>
    </row>
    <row r="599" spans="1:34" s="89" customFormat="1" ht="13.9">
      <c r="A599" s="269" t="str">
        <f t="shared" si="175"/>
        <v>n</v>
      </c>
      <c r="B599" s="2060"/>
      <c r="C599" s="72"/>
      <c r="D599" s="801"/>
      <c r="E599" s="1505">
        <v>3</v>
      </c>
      <c r="F599" s="21" t="str">
        <f>F$131</f>
        <v>--</v>
      </c>
      <c r="G599" s="1441">
        <f>G$131</f>
        <v>0</v>
      </c>
      <c r="H599" s="1441" t="str">
        <f>H$131</f>
        <v>--</v>
      </c>
      <c r="I599" s="1513" t="s">
        <v>805</v>
      </c>
      <c r="J599" s="2301" t="str">
        <f>IF($G599=0,"--",IFERROR(_xll.ciqfunctions.udf.CIQ($G599,$I599,J133,Valuation_Date_GC,ReportType,DataMode,$H599,FXMode)*Scale,"--"))</f>
        <v>--</v>
      </c>
      <c r="K599" s="2301" t="str">
        <f>IF($G599=0,"--",IFERROR(_xll.ciqfunctions.udf.CIQ($G599,$I599,K133,Valuation_Date_GC,ReportType,DataMode,$H599,FXMode)*Scale,"--"))</f>
        <v>--</v>
      </c>
      <c r="L599" s="2301" t="str">
        <f>IF($G599=0,"--",IFERROR(_xll.ciqfunctions.udf.CIQ($G599,$I599,L133,Valuation_Date_GC,ReportType,DataMode,$H599,FXMode)*Scale,"--"))</f>
        <v>--</v>
      </c>
      <c r="M599" s="2301" t="str">
        <f>IF($G599=0,"--",IFERROR(_xll.ciqfunctions.udf.CIQ($G599,$I599,M133,Valuation_Date_GC,ReportType,DataMode,$H599,FXMode)*Scale,"--"))</f>
        <v>--</v>
      </c>
      <c r="N599" s="2301" t="str">
        <f>IF($G599=0,"--",IFERROR(_xll.ciqfunctions.udf.CIQ($G599,$I599,N133,Valuation_Date_GC,ReportType,DataMode,$H599,FXMode)*Scale,"--"))</f>
        <v>--</v>
      </c>
      <c r="O599" s="2317" t="str">
        <f>IF($G599=0,"--",IFERROR(IF(O133=1001,_xll.ciqfunctions.udf.CIQ($G599,$S599,O133,Valuation_Date_GC,ReportType,DataMode,$H599,FXMode),_xll.ciqfunctions.udf.CIQ($G599,$I599,O133,Valuation_Date_GC,ReportType,DataMode,$H599,FXMode))*Scale,"--"))</f>
        <v>--</v>
      </c>
      <c r="P599" s="2301" t="str">
        <f>IF($G599=0,"--",IFERROR(_xll.ciqfunctions.udf.CIQ($G599,$I599,P133,Valuation_Date_GC,ReportType,DataMode,$H599,FXMode)*Scale,"--"))</f>
        <v>--</v>
      </c>
      <c r="R599" s="2301" t="str">
        <f>IF($G599=0,"--",IFERROR(_xll.ciqfunctions.udf.CIQ($G599,$I599,R133,Valuation_Date_GC,ReportType,DataMode,$H599,FXMode)*Scale,"--"))</f>
        <v>--</v>
      </c>
      <c r="S599" s="89" t="s">
        <v>806</v>
      </c>
      <c r="T599" s="2301" t="str">
        <f>IF(H133=0,O599,IF($G599=0,"--",IFERROR(_xll.ciqfunctions.udf.CIQ($G599,$S599,U133-1,Valuation_Date_GC,ReportType,DataMode,$H599)*Scale,"--")))</f>
        <v>--</v>
      </c>
      <c r="U599" s="2301" t="str">
        <f>IF($G599=0,"--",IFERROR(IF(_xll.ciqfunctions.udf.CIQ($G599,$S599,U133,Valuation_Date_GC,,DataMode,$H599)*Scale=0,"--",_xll.ciqfunctions.udf.CIQ($G599,$S599,U133,Valuation_Date_GC,ReportType,DataMode,$H599)*Scale),"--"))</f>
        <v>--</v>
      </c>
      <c r="V599" s="2301" t="str">
        <f>IF($G599=0,"--",IFERROR(IF(_xll.ciqfunctions.udf.CIQ($G599,$S599,V133,Valuation_Date_GC,,DataMode,$H599)*Scale=0,"--",_xll.ciqfunctions.udf.CIQ($G599,$S599,V133,Valuation_Date_GC,ReportType,DataMode,$H599)*Scale),"--"))</f>
        <v>--</v>
      </c>
      <c r="W599" s="2301" t="str">
        <f>IF($G599=0,"--",IFERROR(IF(_xll.ciqfunctions.udf.CIQ($G599,$S599,W133,Valuation_Date_GC,,DataMode,$H599)*Scale=0,"--",_xll.ciqfunctions.udf.CIQ($G599,$S599,W133,Valuation_Date_GC,ReportType,DataMode,$H599)*Scale),"--"))</f>
        <v>--</v>
      </c>
      <c r="X599" s="2301" t="str">
        <f>IF($G599=0,"--",IFERROR(IF(_xll.ciqfunctions.udf.CIQ($G599,$S599,X133,Valuation_Date_GC,,DataMode,$H599)*Scale=0,"--",_xll.ciqfunctions.udf.CIQ($G599,$S599,X133,Valuation_Date_GC,ReportType,DataMode,$H599)*Scale),"--"))</f>
        <v>--</v>
      </c>
      <c r="Y599" s="2301" t="str">
        <f>IF($G599=0,"--",IFERROR(IF(_xll.ciqfunctions.udf.CIQ($G599,$S599,Y133,Valuation_Date_GC,,DataMode,$H599)*Scale=0,"--",_xll.ciqfunctions.udf.CIQ($G599,$S599,Y133,Valuation_Date_GC,ReportType,DataMode,$H599)*Scale),"--"))</f>
        <v>--</v>
      </c>
      <c r="Z599" s="2078" t="str">
        <f t="shared" si="174"/>
        <v/>
      </c>
      <c r="AA599" s="2301">
        <f>_xll.ciqfunctions.udf.CIQ($G599,"IQ_REVENUE_NUM_EST",U$97,Valuation_Date_GC,"CON")</f>
        <v>0</v>
      </c>
      <c r="AB599" s="2301">
        <f>_xll.ciqfunctions.udf.CIQ($G599,"IQ_REVENUE_NUM_EST",V$97,Valuation_Date_GC,"CON")</f>
        <v>0</v>
      </c>
      <c r="AC599" s="2301">
        <f>_xll.ciqfunctions.udf.CIQ($G599,"IQ_REVENUE_NUM_EST",W$97,Valuation_Date_GC,"CON")</f>
        <v>0</v>
      </c>
      <c r="AD599" s="2301">
        <f>_xll.ciqfunctions.udf.CIQ($G599,"IQ_REVENUE_NUM_EST",X$97,Valuation_Date_GC,"CON")</f>
        <v>0</v>
      </c>
      <c r="AE599" s="2301">
        <f>_xll.ciqfunctions.udf.CIQ($G599,"IQ_REVENUE_NUM_EST",Y$97,Valuation_Date_GC,"CON")</f>
        <v>0</v>
      </c>
      <c r="AF599" s="2060"/>
      <c r="AG599" s="2060"/>
      <c r="AH599" s="2060"/>
    </row>
    <row r="600" spans="1:34" s="89" customFormat="1" ht="13.9">
      <c r="A600" s="269" t="str">
        <f t="shared" si="175"/>
        <v>n</v>
      </c>
      <c r="B600" s="2060"/>
      <c r="C600" s="72"/>
      <c r="D600" s="801"/>
      <c r="E600" s="1505">
        <v>4</v>
      </c>
      <c r="F600" s="21" t="str">
        <f>F$132</f>
        <v>--</v>
      </c>
      <c r="G600" s="1441">
        <f>G$132</f>
        <v>0</v>
      </c>
      <c r="H600" s="1441" t="str">
        <f>H$132</f>
        <v>--</v>
      </c>
      <c r="I600" s="1513" t="s">
        <v>805</v>
      </c>
      <c r="J600" s="2301" t="str">
        <f>IF($G600=0,"--",IFERROR(_xll.ciqfunctions.udf.CIQ($G600,$I600,J134,Valuation_Date_GC,ReportType,DataMode,$H600,FXMode)*Scale,"--"))</f>
        <v>--</v>
      </c>
      <c r="K600" s="2301" t="str">
        <f>IF($G600=0,"--",IFERROR(_xll.ciqfunctions.udf.CIQ($G600,$I600,K134,Valuation_Date_GC,ReportType,DataMode,$H600,FXMode)*Scale,"--"))</f>
        <v>--</v>
      </c>
      <c r="L600" s="2301" t="str">
        <f>IF($G600=0,"--",IFERROR(_xll.ciqfunctions.udf.CIQ($G600,$I600,L134,Valuation_Date_GC,ReportType,DataMode,$H600,FXMode)*Scale,"--"))</f>
        <v>--</v>
      </c>
      <c r="M600" s="2301" t="str">
        <f>IF($G600=0,"--",IFERROR(_xll.ciqfunctions.udf.CIQ($G600,$I600,M134,Valuation_Date_GC,ReportType,DataMode,$H600,FXMode)*Scale,"--"))</f>
        <v>--</v>
      </c>
      <c r="N600" s="2301" t="str">
        <f>IF($G600=0,"--",IFERROR(_xll.ciqfunctions.udf.CIQ($G600,$I600,N134,Valuation_Date_GC,ReportType,DataMode,$H600,FXMode)*Scale,"--"))</f>
        <v>--</v>
      </c>
      <c r="O600" s="2317" t="str">
        <f>IF($G600=0,"--",IFERROR(IF(O134=1001,_xll.ciqfunctions.udf.CIQ($G600,$S600,O134,Valuation_Date_GC,ReportType,DataMode,$H600,FXMode),_xll.ciqfunctions.udf.CIQ($G600,$I600,O134,Valuation_Date_GC,ReportType,DataMode,$H600,FXMode))*Scale,"--"))</f>
        <v>--</v>
      </c>
      <c r="P600" s="2301" t="str">
        <f>IF($G600=0,"--",IFERROR(_xll.ciqfunctions.udf.CIQ($G600,$I600,P134,Valuation_Date_GC,ReportType,DataMode,$H600,FXMode)*Scale,"--"))</f>
        <v>--</v>
      </c>
      <c r="R600" s="2301" t="str">
        <f>IF($G600=0,"--",IFERROR(_xll.ciqfunctions.udf.CIQ($G600,$I600,R134,Valuation_Date_GC,ReportType,DataMode,$H600,FXMode)*Scale,"--"))</f>
        <v>--</v>
      </c>
      <c r="S600" s="89" t="s">
        <v>806</v>
      </c>
      <c r="T600" s="2301" t="str">
        <f>IF(H134=0,O600,IF($G600=0,"--",IFERROR(_xll.ciqfunctions.udf.CIQ($G600,$S600,U134-1,Valuation_Date_GC,ReportType,DataMode,$H600)*Scale,"--")))</f>
        <v>--</v>
      </c>
      <c r="U600" s="2301" t="str">
        <f>IF($G600=0,"--",IFERROR(IF(_xll.ciqfunctions.udf.CIQ($G600,$S600,U134,Valuation_Date_GC,,DataMode,$H600)*Scale=0,"--",_xll.ciqfunctions.udf.CIQ($G600,$S600,U134,Valuation_Date_GC,ReportType,DataMode,$H600)*Scale),"--"))</f>
        <v>--</v>
      </c>
      <c r="V600" s="2301" t="str">
        <f>IF($G600=0,"--",IFERROR(IF(_xll.ciqfunctions.udf.CIQ($G600,$S600,V134,Valuation_Date_GC,,DataMode,$H600)*Scale=0,"--",_xll.ciqfunctions.udf.CIQ($G600,$S600,V134,Valuation_Date_GC,ReportType,DataMode,$H600)*Scale),"--"))</f>
        <v>--</v>
      </c>
      <c r="W600" s="2301" t="str">
        <f>IF($G600=0,"--",IFERROR(IF(_xll.ciqfunctions.udf.CIQ($G600,$S600,W134,Valuation_Date_GC,,DataMode,$H600)*Scale=0,"--",_xll.ciqfunctions.udf.CIQ($G600,$S600,W134,Valuation_Date_GC,ReportType,DataMode,$H600)*Scale),"--"))</f>
        <v>--</v>
      </c>
      <c r="X600" s="2301" t="str">
        <f>IF($G600=0,"--",IFERROR(IF(_xll.ciqfunctions.udf.CIQ($G600,$S600,X134,Valuation_Date_GC,,DataMode,$H600)*Scale=0,"--",_xll.ciqfunctions.udf.CIQ($G600,$S600,X134,Valuation_Date_GC,ReportType,DataMode,$H600)*Scale),"--"))</f>
        <v>--</v>
      </c>
      <c r="Y600" s="2301" t="str">
        <f>IF($G600=0,"--",IFERROR(IF(_xll.ciqfunctions.udf.CIQ($G600,$S600,Y134,Valuation_Date_GC,,DataMode,$H600)*Scale=0,"--",_xll.ciqfunctions.udf.CIQ($G600,$S600,Y134,Valuation_Date_GC,ReportType,DataMode,$H600)*Scale),"--"))</f>
        <v>--</v>
      </c>
      <c r="Z600" s="2078" t="str">
        <f t="shared" si="174"/>
        <v/>
      </c>
      <c r="AA600" s="2301">
        <f>_xll.ciqfunctions.udf.CIQ($G600,"IQ_REVENUE_NUM_EST",U$97,Valuation_Date_GC,"CON")</f>
        <v>0</v>
      </c>
      <c r="AB600" s="2301">
        <f>_xll.ciqfunctions.udf.CIQ($G600,"IQ_REVENUE_NUM_EST",V$97,Valuation_Date_GC,"CON")</f>
        <v>0</v>
      </c>
      <c r="AC600" s="2301">
        <f>_xll.ciqfunctions.udf.CIQ($G600,"IQ_REVENUE_NUM_EST",W$97,Valuation_Date_GC,"CON")</f>
        <v>0</v>
      </c>
      <c r="AD600" s="2301">
        <f>_xll.ciqfunctions.udf.CIQ($G600,"IQ_REVENUE_NUM_EST",X$97,Valuation_Date_GC,"CON")</f>
        <v>0</v>
      </c>
      <c r="AE600" s="2301">
        <f>_xll.ciqfunctions.udf.CIQ($G600,"IQ_REVENUE_NUM_EST",Y$97,Valuation_Date_GC,"CON")</f>
        <v>0</v>
      </c>
      <c r="AF600" s="2060"/>
      <c r="AG600" s="2060"/>
      <c r="AH600" s="2060"/>
    </row>
    <row r="601" spans="1:34" s="89" customFormat="1" ht="13.9">
      <c r="A601" s="269" t="str">
        <f t="shared" si="175"/>
        <v>n</v>
      </c>
      <c r="B601" s="2060"/>
      <c r="C601" s="72"/>
      <c r="D601" s="801"/>
      <c r="E601" s="1505">
        <v>5</v>
      </c>
      <c r="F601" s="21" t="str">
        <f>F$133</f>
        <v>--</v>
      </c>
      <c r="G601" s="1441">
        <f>G$133</f>
        <v>0</v>
      </c>
      <c r="H601" s="1441" t="str">
        <f>H$133</f>
        <v>--</v>
      </c>
      <c r="I601" s="1513" t="s">
        <v>805</v>
      </c>
      <c r="J601" s="2301" t="str">
        <f>IF($G601=0,"--",IFERROR(_xll.ciqfunctions.udf.CIQ($G601,$I601,J135,Valuation_Date_GC,ReportType,DataMode,$H601,FXMode)*Scale,"--"))</f>
        <v>--</v>
      </c>
      <c r="K601" s="2301" t="str">
        <f>IF($G601=0,"--",IFERROR(_xll.ciqfunctions.udf.CIQ($G601,$I601,K135,Valuation_Date_GC,ReportType,DataMode,$H601,FXMode)*Scale,"--"))</f>
        <v>--</v>
      </c>
      <c r="L601" s="2301" t="str">
        <f>IF($G601=0,"--",IFERROR(_xll.ciqfunctions.udf.CIQ($G601,$I601,L135,Valuation_Date_GC,ReportType,DataMode,$H601,FXMode)*Scale,"--"))</f>
        <v>--</v>
      </c>
      <c r="M601" s="2301" t="str">
        <f>IF($G601=0,"--",IFERROR(_xll.ciqfunctions.udf.CIQ($G601,$I601,M135,Valuation_Date_GC,ReportType,DataMode,$H601,FXMode)*Scale,"--"))</f>
        <v>--</v>
      </c>
      <c r="N601" s="2301" t="str">
        <f>IF($G601=0,"--",IFERROR(_xll.ciqfunctions.udf.CIQ($G601,$I601,N135,Valuation_Date_GC,ReportType,DataMode,$H601,FXMode)*Scale,"--"))</f>
        <v>--</v>
      </c>
      <c r="O601" s="2317" t="str">
        <f>IF($G601=0,"--",IFERROR(IF(O135=1001,_xll.ciqfunctions.udf.CIQ($G601,$S601,O135,Valuation_Date_GC,ReportType,DataMode,$H601,FXMode),_xll.ciqfunctions.udf.CIQ($G601,$I601,O135,Valuation_Date_GC,ReportType,DataMode,$H601,FXMode))*Scale,"--"))</f>
        <v>--</v>
      </c>
      <c r="P601" s="2301" t="str">
        <f>IF($G601=0,"--",IFERROR(_xll.ciqfunctions.udf.CIQ($G601,$I601,P135,Valuation_Date_GC,ReportType,DataMode,$H601,FXMode)*Scale,"--"))</f>
        <v>--</v>
      </c>
      <c r="R601" s="2301" t="str">
        <f>IF($G601=0,"--",IFERROR(_xll.ciqfunctions.udf.CIQ($G601,$I601,R135,Valuation_Date_GC,ReportType,DataMode,$H601,FXMode)*Scale,"--"))</f>
        <v>--</v>
      </c>
      <c r="S601" s="89" t="s">
        <v>806</v>
      </c>
      <c r="T601" s="2301" t="str">
        <f>IF(H135=0,O601,IF($G601=0,"--",IFERROR(_xll.ciqfunctions.udf.CIQ($G601,$S601,U135-1,Valuation_Date_GC,ReportType,DataMode,$H601)*Scale,"--")))</f>
        <v>--</v>
      </c>
      <c r="U601" s="2301" t="str">
        <f>IF($G601=0,"--",IFERROR(IF(_xll.ciqfunctions.udf.CIQ($G601,$S601,U135,Valuation_Date_GC,,DataMode,$H601)*Scale=0,"--",_xll.ciqfunctions.udf.CIQ($G601,$S601,U135,Valuation_Date_GC,ReportType,DataMode,$H601)*Scale),"--"))</f>
        <v>--</v>
      </c>
      <c r="V601" s="2301" t="str">
        <f>IF($G601=0,"--",IFERROR(IF(_xll.ciqfunctions.udf.CIQ($G601,$S601,V135,Valuation_Date_GC,,DataMode,$H601)*Scale=0,"--",_xll.ciqfunctions.udf.CIQ($G601,$S601,V135,Valuation_Date_GC,ReportType,DataMode,$H601)*Scale),"--"))</f>
        <v>--</v>
      </c>
      <c r="W601" s="2301" t="str">
        <f>IF($G601=0,"--",IFERROR(IF(_xll.ciqfunctions.udf.CIQ($G601,$S601,W135,Valuation_Date_GC,,DataMode,$H601)*Scale=0,"--",_xll.ciqfunctions.udf.CIQ($G601,$S601,W135,Valuation_Date_GC,ReportType,DataMode,$H601)*Scale),"--"))</f>
        <v>--</v>
      </c>
      <c r="X601" s="2301" t="str">
        <f>IF($G601=0,"--",IFERROR(IF(_xll.ciqfunctions.udf.CIQ($G601,$S601,X135,Valuation_Date_GC,,DataMode,$H601)*Scale=0,"--",_xll.ciqfunctions.udf.CIQ($G601,$S601,X135,Valuation_Date_GC,ReportType,DataMode,$H601)*Scale),"--"))</f>
        <v>--</v>
      </c>
      <c r="Y601" s="2301" t="str">
        <f>IF($G601=0,"--",IFERROR(IF(_xll.ciqfunctions.udf.CIQ($G601,$S601,Y135,Valuation_Date_GC,,DataMode,$H601)*Scale=0,"--",_xll.ciqfunctions.udf.CIQ($G601,$S601,Y135,Valuation_Date_GC,ReportType,DataMode,$H601)*Scale),"--"))</f>
        <v>--</v>
      </c>
      <c r="Z601" s="2078" t="str">
        <f t="shared" si="174"/>
        <v/>
      </c>
      <c r="AA601" s="2301">
        <f>_xll.ciqfunctions.udf.CIQ($G601,"IQ_REVENUE_NUM_EST",U$97,Valuation_Date_GC,"CON")</f>
        <v>0</v>
      </c>
      <c r="AB601" s="2301">
        <f>_xll.ciqfunctions.udf.CIQ($G601,"IQ_REVENUE_NUM_EST",V$97,Valuation_Date_GC,"CON")</f>
        <v>0</v>
      </c>
      <c r="AC601" s="2301">
        <f>_xll.ciqfunctions.udf.CIQ($G601,"IQ_REVENUE_NUM_EST",W$97,Valuation_Date_GC,"CON")</f>
        <v>0</v>
      </c>
      <c r="AD601" s="2301">
        <f>_xll.ciqfunctions.udf.CIQ($G601,"IQ_REVENUE_NUM_EST",X$97,Valuation_Date_GC,"CON")</f>
        <v>0</v>
      </c>
      <c r="AE601" s="2301">
        <f>_xll.ciqfunctions.udf.CIQ($G601,"IQ_REVENUE_NUM_EST",Y$97,Valuation_Date_GC,"CON")</f>
        <v>0</v>
      </c>
      <c r="AF601" s="2060"/>
      <c r="AG601" s="2060"/>
      <c r="AH601" s="2060"/>
    </row>
    <row r="602" spans="1:34" s="89" customFormat="1" ht="13.9">
      <c r="A602" s="269" t="str">
        <f t="shared" si="175"/>
        <v>n</v>
      </c>
      <c r="B602" s="2060"/>
      <c r="C602" s="72"/>
      <c r="D602" s="801"/>
      <c r="E602" s="1505">
        <v>6</v>
      </c>
      <c r="F602" s="21" t="str">
        <f>F$134</f>
        <v>--</v>
      </c>
      <c r="G602" s="1441">
        <f>G$134</f>
        <v>0</v>
      </c>
      <c r="H602" s="1441" t="str">
        <f>H$134</f>
        <v>--</v>
      </c>
      <c r="I602" s="1513" t="s">
        <v>805</v>
      </c>
      <c r="J602" s="2301" t="str">
        <f>IF($G602=0,"--",IFERROR(_xll.ciqfunctions.udf.CIQ($G602,$I602,J136,Valuation_Date_GC,ReportType,DataMode,$H602,FXMode)*Scale,"--"))</f>
        <v>--</v>
      </c>
      <c r="K602" s="2301" t="str">
        <f>IF($G602=0,"--",IFERROR(_xll.ciqfunctions.udf.CIQ($G602,$I602,K136,Valuation_Date_GC,ReportType,DataMode,$H602,FXMode)*Scale,"--"))</f>
        <v>--</v>
      </c>
      <c r="L602" s="2301" t="str">
        <f>IF($G602=0,"--",IFERROR(_xll.ciqfunctions.udf.CIQ($G602,$I602,L136,Valuation_Date_GC,ReportType,DataMode,$H602,FXMode)*Scale,"--"))</f>
        <v>--</v>
      </c>
      <c r="M602" s="2301" t="str">
        <f>IF($G602=0,"--",IFERROR(_xll.ciqfunctions.udf.CIQ($G602,$I602,M136,Valuation_Date_GC,ReportType,DataMode,$H602,FXMode)*Scale,"--"))</f>
        <v>--</v>
      </c>
      <c r="N602" s="2301" t="str">
        <f>IF($G602=0,"--",IFERROR(_xll.ciqfunctions.udf.CIQ($G602,$I602,N136,Valuation_Date_GC,ReportType,DataMode,$H602,FXMode)*Scale,"--"))</f>
        <v>--</v>
      </c>
      <c r="O602" s="2317" t="str">
        <f>IF($G602=0,"--",IFERROR(IF(O136=1001,_xll.ciqfunctions.udf.CIQ($G602,$S602,O136,Valuation_Date_GC,ReportType,DataMode,$H602,FXMode),_xll.ciqfunctions.udf.CIQ($G602,$I602,O136,Valuation_Date_GC,ReportType,DataMode,$H602,FXMode))*Scale,"--"))</f>
        <v>--</v>
      </c>
      <c r="P602" s="2301" t="str">
        <f>IF($G602=0,"--",IFERROR(_xll.ciqfunctions.udf.CIQ($G602,$I602,P136,Valuation_Date_GC,ReportType,DataMode,$H602,FXMode)*Scale,"--"))</f>
        <v>--</v>
      </c>
      <c r="R602" s="2301" t="str">
        <f>IF($G602=0,"--",IFERROR(_xll.ciqfunctions.udf.CIQ($G602,$I602,R136,Valuation_Date_GC,ReportType,DataMode,$H602,FXMode)*Scale,"--"))</f>
        <v>--</v>
      </c>
      <c r="S602" s="89" t="s">
        <v>806</v>
      </c>
      <c r="T602" s="2301" t="str">
        <f>IF(H136=0,O602,IF($G602=0,"--",IFERROR(_xll.ciqfunctions.udf.CIQ($G602,$S602,U136-1,Valuation_Date_GC,ReportType,DataMode,$H602)*Scale,"--")))</f>
        <v>--</v>
      </c>
      <c r="U602" s="2301" t="str">
        <f>IF($G602=0,"--",IFERROR(IF(_xll.ciqfunctions.udf.CIQ($G602,$S602,U136,Valuation_Date_GC,,DataMode,$H602)*Scale=0,"--",_xll.ciqfunctions.udf.CIQ($G602,$S602,U136,Valuation_Date_GC,ReportType,DataMode,$H602)*Scale),"--"))</f>
        <v>--</v>
      </c>
      <c r="V602" s="2301" t="str">
        <f>IF($G602=0,"--",IFERROR(IF(_xll.ciqfunctions.udf.CIQ($G602,$S602,V136,Valuation_Date_GC,,DataMode,$H602)*Scale=0,"--",_xll.ciqfunctions.udf.CIQ($G602,$S602,V136,Valuation_Date_GC,ReportType,DataMode,$H602)*Scale),"--"))</f>
        <v>--</v>
      </c>
      <c r="W602" s="2301" t="str">
        <f>IF($G602=0,"--",IFERROR(IF(_xll.ciqfunctions.udf.CIQ($G602,$S602,W136,Valuation_Date_GC,,DataMode,$H602)*Scale=0,"--",_xll.ciqfunctions.udf.CIQ($G602,$S602,W136,Valuation_Date_GC,ReportType,DataMode,$H602)*Scale),"--"))</f>
        <v>--</v>
      </c>
      <c r="X602" s="2301" t="str">
        <f>IF($G602=0,"--",IFERROR(IF(_xll.ciqfunctions.udf.CIQ($G602,$S602,X136,Valuation_Date_GC,,DataMode,$H602)*Scale=0,"--",_xll.ciqfunctions.udf.CIQ($G602,$S602,X136,Valuation_Date_GC,ReportType,DataMode,$H602)*Scale),"--"))</f>
        <v>--</v>
      </c>
      <c r="Y602" s="2301" t="str">
        <f>IF($G602=0,"--",IFERROR(IF(_xll.ciqfunctions.udf.CIQ($G602,$S602,Y136,Valuation_Date_GC,,DataMode,$H602)*Scale=0,"--",_xll.ciqfunctions.udf.CIQ($G602,$S602,Y136,Valuation_Date_GC,ReportType,DataMode,$H602)*Scale),"--"))</f>
        <v>--</v>
      </c>
      <c r="Z602" s="2078" t="str">
        <f t="shared" si="174"/>
        <v/>
      </c>
      <c r="AA602" s="2301">
        <f>_xll.ciqfunctions.udf.CIQ($G602,"IQ_REVENUE_NUM_EST",U$97,Valuation_Date_GC,"CON")</f>
        <v>0</v>
      </c>
      <c r="AB602" s="2301">
        <f>_xll.ciqfunctions.udf.CIQ($G602,"IQ_REVENUE_NUM_EST",V$97,Valuation_Date_GC,"CON")</f>
        <v>0</v>
      </c>
      <c r="AC602" s="2301">
        <f>_xll.ciqfunctions.udf.CIQ($G602,"IQ_REVENUE_NUM_EST",W$97,Valuation_Date_GC,"CON")</f>
        <v>0</v>
      </c>
      <c r="AD602" s="2301">
        <f>_xll.ciqfunctions.udf.CIQ($G602,"IQ_REVENUE_NUM_EST",X$97,Valuation_Date_GC,"CON")</f>
        <v>0</v>
      </c>
      <c r="AE602" s="2301">
        <f>_xll.ciqfunctions.udf.CIQ($G602,"IQ_REVENUE_NUM_EST",Y$97,Valuation_Date_GC,"CON")</f>
        <v>0</v>
      </c>
      <c r="AF602" s="2060"/>
      <c r="AG602" s="2060"/>
      <c r="AH602" s="2060"/>
    </row>
    <row r="603" spans="1:34" s="89" customFormat="1" ht="13.9">
      <c r="A603" s="269" t="str">
        <f t="shared" si="175"/>
        <v>n</v>
      </c>
      <c r="B603" s="2060"/>
      <c r="D603" s="801"/>
      <c r="E603" s="1505">
        <v>7</v>
      </c>
      <c r="F603" s="21" t="str">
        <f>F$135</f>
        <v>--</v>
      </c>
      <c r="G603" s="1441">
        <f>G$135</f>
        <v>0</v>
      </c>
      <c r="H603" s="1441" t="str">
        <f>H$135</f>
        <v>--</v>
      </c>
      <c r="I603" s="1513" t="s">
        <v>805</v>
      </c>
      <c r="J603" s="2301" t="str">
        <f>IF($G603=0,"--",IFERROR(_xll.ciqfunctions.udf.CIQ($G603,$I603,J137,Valuation_Date_GC,ReportType,DataMode,$H603,FXMode)*Scale,"--"))</f>
        <v>--</v>
      </c>
      <c r="K603" s="2301" t="str">
        <f>IF($G603=0,"--",IFERROR(_xll.ciqfunctions.udf.CIQ($G603,$I603,K137,Valuation_Date_GC,ReportType,DataMode,$H603,FXMode)*Scale,"--"))</f>
        <v>--</v>
      </c>
      <c r="L603" s="2301" t="str">
        <f>IF($G603=0,"--",IFERROR(_xll.ciqfunctions.udf.CIQ($G603,$I603,L137,Valuation_Date_GC,ReportType,DataMode,$H603,FXMode)*Scale,"--"))</f>
        <v>--</v>
      </c>
      <c r="M603" s="2301" t="str">
        <f>IF($G603=0,"--",IFERROR(_xll.ciqfunctions.udf.CIQ($G603,$I603,M137,Valuation_Date_GC,ReportType,DataMode,$H603,FXMode)*Scale,"--"))</f>
        <v>--</v>
      </c>
      <c r="N603" s="2301" t="str">
        <f>IF($G603=0,"--",IFERROR(_xll.ciqfunctions.udf.CIQ($G603,$I603,N137,Valuation_Date_GC,ReportType,DataMode,$H603,FXMode)*Scale,"--"))</f>
        <v>--</v>
      </c>
      <c r="O603" s="2317" t="str">
        <f>IF($G603=0,"--",IFERROR(IF(O137=1001,_xll.ciqfunctions.udf.CIQ($G603,$S603,O137,Valuation_Date_GC,ReportType,DataMode,$H603,FXMode),_xll.ciqfunctions.udf.CIQ($G603,$I603,O137,Valuation_Date_GC,ReportType,DataMode,$H603,FXMode))*Scale,"--"))</f>
        <v>--</v>
      </c>
      <c r="P603" s="2301" t="str">
        <f>IF($G603=0,"--",IFERROR(_xll.ciqfunctions.udf.CIQ($G603,$I603,P137,Valuation_Date_GC,ReportType,DataMode,$H603,FXMode)*Scale,"--"))</f>
        <v>--</v>
      </c>
      <c r="R603" s="2301" t="str">
        <f>IF($G603=0,"--",IFERROR(_xll.ciqfunctions.udf.CIQ($G603,$I603,R137,Valuation_Date_GC,ReportType,DataMode,$H603,FXMode)*Scale,"--"))</f>
        <v>--</v>
      </c>
      <c r="S603" s="89" t="s">
        <v>806</v>
      </c>
      <c r="T603" s="2301" t="str">
        <f>IF(H137=0,O603,IF($G603=0,"--",IFERROR(_xll.ciqfunctions.udf.CIQ($G603,$S603,U137-1,Valuation_Date_GC,ReportType,DataMode,$H603)*Scale,"--")))</f>
        <v>--</v>
      </c>
      <c r="U603" s="2301" t="str">
        <f>IF($G603=0,"--",IFERROR(IF(_xll.ciqfunctions.udf.CIQ($G603,$S603,U137,Valuation_Date_GC,,DataMode,$H603)*Scale=0,"--",_xll.ciqfunctions.udf.CIQ($G603,$S603,U137,Valuation_Date_GC,ReportType,DataMode,$H603)*Scale),"--"))</f>
        <v>--</v>
      </c>
      <c r="V603" s="2301" t="str">
        <f>IF($G603=0,"--",IFERROR(IF(_xll.ciqfunctions.udf.CIQ($G603,$S603,V137,Valuation_Date_GC,,DataMode,$H603)*Scale=0,"--",_xll.ciqfunctions.udf.CIQ($G603,$S603,V137,Valuation_Date_GC,ReportType,DataMode,$H603)*Scale),"--"))</f>
        <v>--</v>
      </c>
      <c r="W603" s="2301" t="str">
        <f>IF($G603=0,"--",IFERROR(IF(_xll.ciqfunctions.udf.CIQ($G603,$S603,W137,Valuation_Date_GC,,DataMode,$H603)*Scale=0,"--",_xll.ciqfunctions.udf.CIQ($G603,$S603,W137,Valuation_Date_GC,ReportType,DataMode,$H603)*Scale),"--"))</f>
        <v>--</v>
      </c>
      <c r="X603" s="2301" t="str">
        <f>IF($G603=0,"--",IFERROR(IF(_xll.ciqfunctions.udf.CIQ($G603,$S603,X137,Valuation_Date_GC,,DataMode,$H603)*Scale=0,"--",_xll.ciqfunctions.udf.CIQ($G603,$S603,X137,Valuation_Date_GC,ReportType,DataMode,$H603)*Scale),"--"))</f>
        <v>--</v>
      </c>
      <c r="Y603" s="2301" t="str">
        <f>IF($G603=0,"--",IFERROR(IF(_xll.ciqfunctions.udf.CIQ($G603,$S603,Y137,Valuation_Date_GC,,DataMode,$H603)*Scale=0,"--",_xll.ciqfunctions.udf.CIQ($G603,$S603,Y137,Valuation_Date_GC,ReportType,DataMode,$H603)*Scale),"--"))</f>
        <v>--</v>
      </c>
      <c r="Z603" s="2078" t="str">
        <f t="shared" si="174"/>
        <v/>
      </c>
      <c r="AA603" s="2301">
        <f>_xll.ciqfunctions.udf.CIQ($G603,"IQ_REVENUE_NUM_EST",U$97,Valuation_Date_GC,"CON")</f>
        <v>0</v>
      </c>
      <c r="AB603" s="2301">
        <f>_xll.ciqfunctions.udf.CIQ($G603,"IQ_REVENUE_NUM_EST",V$97,Valuation_Date_GC,"CON")</f>
        <v>0</v>
      </c>
      <c r="AC603" s="2301">
        <f>_xll.ciqfunctions.udf.CIQ($G603,"IQ_REVENUE_NUM_EST",W$97,Valuation_Date_GC,"CON")</f>
        <v>0</v>
      </c>
      <c r="AD603" s="2301">
        <f>_xll.ciqfunctions.udf.CIQ($G603,"IQ_REVENUE_NUM_EST",X$97,Valuation_Date_GC,"CON")</f>
        <v>0</v>
      </c>
      <c r="AE603" s="2301">
        <f>_xll.ciqfunctions.udf.CIQ($G603,"IQ_REVENUE_NUM_EST",Y$97,Valuation_Date_GC,"CON")</f>
        <v>0</v>
      </c>
      <c r="AF603" s="2060"/>
      <c r="AG603" s="2060"/>
      <c r="AH603" s="2060"/>
    </row>
    <row r="604" spans="1:34" s="89" customFormat="1" ht="13.9">
      <c r="A604" s="269" t="str">
        <f t="shared" si="175"/>
        <v>n</v>
      </c>
      <c r="B604" s="2060"/>
      <c r="D604" s="801"/>
      <c r="E604" s="1505">
        <v>8</v>
      </c>
      <c r="F604" s="21" t="str">
        <f>F$136</f>
        <v>--</v>
      </c>
      <c r="G604" s="1441">
        <f>G$136</f>
        <v>0</v>
      </c>
      <c r="H604" s="1441" t="str">
        <f>H$136</f>
        <v>--</v>
      </c>
      <c r="I604" s="1513" t="s">
        <v>805</v>
      </c>
      <c r="J604" s="2301" t="str">
        <f>IF($G604=0,"--",IFERROR(_xll.ciqfunctions.udf.CIQ($G604,$I604,J138,Valuation_Date_GC,ReportType,DataMode,$H604,FXMode)*Scale,"--"))</f>
        <v>--</v>
      </c>
      <c r="K604" s="2301" t="str">
        <f>IF($G604=0,"--",IFERROR(_xll.ciqfunctions.udf.CIQ($G604,$I604,K138,Valuation_Date_GC,ReportType,DataMode,$H604,FXMode)*Scale,"--"))</f>
        <v>--</v>
      </c>
      <c r="L604" s="2301" t="str">
        <f>IF($G604=0,"--",IFERROR(_xll.ciqfunctions.udf.CIQ($G604,$I604,L138,Valuation_Date_GC,ReportType,DataMode,$H604,FXMode)*Scale,"--"))</f>
        <v>--</v>
      </c>
      <c r="M604" s="2301" t="str">
        <f>IF($G604=0,"--",IFERROR(_xll.ciqfunctions.udf.CIQ($G604,$I604,M138,Valuation_Date_GC,ReportType,DataMode,$H604,FXMode)*Scale,"--"))</f>
        <v>--</v>
      </c>
      <c r="N604" s="2301" t="str">
        <f>IF($G604=0,"--",IFERROR(_xll.ciqfunctions.udf.CIQ($G604,$I604,N138,Valuation_Date_GC,ReportType,DataMode,$H604,FXMode)*Scale,"--"))</f>
        <v>--</v>
      </c>
      <c r="O604" s="2317" t="str">
        <f>IF($G604=0,"--",IFERROR(IF(O138=1001,_xll.ciqfunctions.udf.CIQ($G604,$S604,O138,Valuation_Date_GC,ReportType,DataMode,$H604,FXMode),_xll.ciqfunctions.udf.CIQ($G604,$I604,O138,Valuation_Date_GC,ReportType,DataMode,$H604,FXMode))*Scale,"--"))</f>
        <v>--</v>
      </c>
      <c r="P604" s="2301" t="str">
        <f>IF($G604=0,"--",IFERROR(_xll.ciqfunctions.udf.CIQ($G604,$I604,P138,Valuation_Date_GC,ReportType,DataMode,$H604,FXMode)*Scale,"--"))</f>
        <v>--</v>
      </c>
      <c r="R604" s="2301" t="str">
        <f>IF($G604=0,"--",IFERROR(_xll.ciqfunctions.udf.CIQ($G604,$I604,R138,Valuation_Date_GC,ReportType,DataMode,$H604,FXMode)*Scale,"--"))</f>
        <v>--</v>
      </c>
      <c r="S604" s="89" t="s">
        <v>806</v>
      </c>
      <c r="T604" s="2301" t="str">
        <f>IF(H138=0,O604,IF($G604=0,"--",IFERROR(_xll.ciqfunctions.udf.CIQ($G604,$S604,U138-1,Valuation_Date_GC,ReportType,DataMode,$H604)*Scale,"--")))</f>
        <v>--</v>
      </c>
      <c r="U604" s="2301" t="str">
        <f>IF($G604=0,"--",IFERROR(IF(_xll.ciqfunctions.udf.CIQ($G604,$S604,U138,Valuation_Date_GC,,DataMode,$H604)*Scale=0,"--",_xll.ciqfunctions.udf.CIQ($G604,$S604,U138,Valuation_Date_GC,ReportType,DataMode,$H604)*Scale),"--"))</f>
        <v>--</v>
      </c>
      <c r="V604" s="2301" t="str">
        <f>IF($G604=0,"--",IFERROR(IF(_xll.ciqfunctions.udf.CIQ($G604,$S604,V138,Valuation_Date_GC,,DataMode,$H604)*Scale=0,"--",_xll.ciqfunctions.udf.CIQ($G604,$S604,V138,Valuation_Date_GC,ReportType,DataMode,$H604)*Scale),"--"))</f>
        <v>--</v>
      </c>
      <c r="W604" s="2301" t="str">
        <f>IF($G604=0,"--",IFERROR(IF(_xll.ciqfunctions.udf.CIQ($G604,$S604,W138,Valuation_Date_GC,,DataMode,$H604)*Scale=0,"--",_xll.ciqfunctions.udf.CIQ($G604,$S604,W138,Valuation_Date_GC,ReportType,DataMode,$H604)*Scale),"--"))</f>
        <v>--</v>
      </c>
      <c r="X604" s="2301" t="str">
        <f>IF($G604=0,"--",IFERROR(IF(_xll.ciqfunctions.udf.CIQ($G604,$S604,X138,Valuation_Date_GC,,DataMode,$H604)*Scale=0,"--",_xll.ciqfunctions.udf.CIQ($G604,$S604,X138,Valuation_Date_GC,ReportType,DataMode,$H604)*Scale),"--"))</f>
        <v>--</v>
      </c>
      <c r="Y604" s="2301" t="str">
        <f>IF($G604=0,"--",IFERROR(IF(_xll.ciqfunctions.udf.CIQ($G604,$S604,Y138,Valuation_Date_GC,,DataMode,$H604)*Scale=0,"--",_xll.ciqfunctions.udf.CIQ($G604,$S604,Y138,Valuation_Date_GC,ReportType,DataMode,$H604)*Scale),"--"))</f>
        <v>--</v>
      </c>
      <c r="Z604" s="2078" t="str">
        <f t="shared" si="174"/>
        <v/>
      </c>
      <c r="AA604" s="2301">
        <f>_xll.ciqfunctions.udf.CIQ($G604,"IQ_REVENUE_NUM_EST",U$97,Valuation_Date_GC,"CON")</f>
        <v>0</v>
      </c>
      <c r="AB604" s="2301">
        <f>_xll.ciqfunctions.udf.CIQ($G604,"IQ_REVENUE_NUM_EST",V$97,Valuation_Date_GC,"CON")</f>
        <v>0</v>
      </c>
      <c r="AC604" s="2301">
        <f>_xll.ciqfunctions.udf.CIQ($G604,"IQ_REVENUE_NUM_EST",W$97,Valuation_Date_GC,"CON")</f>
        <v>0</v>
      </c>
      <c r="AD604" s="2301">
        <f>_xll.ciqfunctions.udf.CIQ($G604,"IQ_REVENUE_NUM_EST",X$97,Valuation_Date_GC,"CON")</f>
        <v>0</v>
      </c>
      <c r="AE604" s="2301">
        <f>_xll.ciqfunctions.udf.CIQ($G604,"IQ_REVENUE_NUM_EST",Y$97,Valuation_Date_GC,"CON")</f>
        <v>0</v>
      </c>
      <c r="AF604" s="2060"/>
      <c r="AG604" s="2060"/>
      <c r="AH604" s="2060"/>
    </row>
    <row r="605" spans="1:34" s="89" customFormat="1" ht="13.9">
      <c r="A605" s="269" t="str">
        <f t="shared" si="175"/>
        <v>n</v>
      </c>
      <c r="B605" s="2060"/>
      <c r="D605" s="801"/>
      <c r="E605" s="1505">
        <v>9</v>
      </c>
      <c r="F605" s="21" t="str">
        <f>F$137</f>
        <v>--</v>
      </c>
      <c r="G605" s="1441">
        <f>G$137</f>
        <v>0</v>
      </c>
      <c r="H605" s="1441" t="str">
        <f>H$137</f>
        <v>--</v>
      </c>
      <c r="I605" s="1513" t="s">
        <v>805</v>
      </c>
      <c r="J605" s="2301" t="str">
        <f>IF($G605=0,"--",IFERROR(_xll.ciqfunctions.udf.CIQ($G605,$I605,J139,Valuation_Date_GC,ReportType,DataMode,$H605,FXMode)*Scale,"--"))</f>
        <v>--</v>
      </c>
      <c r="K605" s="2301" t="str">
        <f>IF($G605=0,"--",IFERROR(_xll.ciqfunctions.udf.CIQ($G605,$I605,K139,Valuation_Date_GC,ReportType,DataMode,$H605,FXMode)*Scale,"--"))</f>
        <v>--</v>
      </c>
      <c r="L605" s="2301" t="str">
        <f>IF($G605=0,"--",IFERROR(_xll.ciqfunctions.udf.CIQ($G605,$I605,L139,Valuation_Date_GC,ReportType,DataMode,$H605,FXMode)*Scale,"--"))</f>
        <v>--</v>
      </c>
      <c r="M605" s="2301" t="str">
        <f>IF($G605=0,"--",IFERROR(_xll.ciqfunctions.udf.CIQ($G605,$I605,M139,Valuation_Date_GC,ReportType,DataMode,$H605,FXMode)*Scale,"--"))</f>
        <v>--</v>
      </c>
      <c r="N605" s="2301" t="str">
        <f>IF($G605=0,"--",IFERROR(_xll.ciqfunctions.udf.CIQ($G605,$I605,N139,Valuation_Date_GC,ReportType,DataMode,$H605,FXMode)*Scale,"--"))</f>
        <v>--</v>
      </c>
      <c r="O605" s="2317" t="str">
        <f>IF($G605=0,"--",IFERROR(IF(O139=1001,_xll.ciqfunctions.udf.CIQ($G605,$S605,O139,Valuation_Date_GC,ReportType,DataMode,$H605,FXMode),_xll.ciqfunctions.udf.CIQ($G605,$I605,O139,Valuation_Date_GC,ReportType,DataMode,$H605,FXMode))*Scale,"--"))</f>
        <v>--</v>
      </c>
      <c r="P605" s="2301" t="str">
        <f>IF($G605=0,"--",IFERROR(_xll.ciqfunctions.udf.CIQ($G605,$I605,P139,Valuation_Date_GC,ReportType,DataMode,$H605,FXMode)*Scale,"--"))</f>
        <v>--</v>
      </c>
      <c r="R605" s="2301" t="str">
        <f>IF($G605=0,"--",IFERROR(_xll.ciqfunctions.udf.CIQ($G605,$I605,R139,Valuation_Date_GC,ReportType,DataMode,$H605,FXMode)*Scale,"--"))</f>
        <v>--</v>
      </c>
      <c r="S605" s="89" t="s">
        <v>806</v>
      </c>
      <c r="T605" s="2301" t="str">
        <f>IF(H139=0,O605,IF($G605=0,"--",IFERROR(_xll.ciqfunctions.udf.CIQ($G605,$S605,U139-1,Valuation_Date_GC,ReportType,DataMode,$H605)*Scale,"--")))</f>
        <v>--</v>
      </c>
      <c r="U605" s="2301" t="str">
        <f>IF($G605=0,"--",IFERROR(IF(_xll.ciqfunctions.udf.CIQ($G605,$S605,U139,Valuation_Date_GC,,DataMode,$H605)*Scale=0,"--",_xll.ciqfunctions.udf.CIQ($G605,$S605,U139,Valuation_Date_GC,ReportType,DataMode,$H605)*Scale),"--"))</f>
        <v>--</v>
      </c>
      <c r="V605" s="2301" t="str">
        <f>IF($G605=0,"--",IFERROR(IF(_xll.ciqfunctions.udf.CIQ($G605,$S605,V139,Valuation_Date_GC,,DataMode,$H605)*Scale=0,"--",_xll.ciqfunctions.udf.CIQ($G605,$S605,V139,Valuation_Date_GC,ReportType,DataMode,$H605)*Scale),"--"))</f>
        <v>--</v>
      </c>
      <c r="W605" s="2301" t="str">
        <f>IF($G605=0,"--",IFERROR(IF(_xll.ciqfunctions.udf.CIQ($G605,$S605,W139,Valuation_Date_GC,,DataMode,$H605)*Scale=0,"--",_xll.ciqfunctions.udf.CIQ($G605,$S605,W139,Valuation_Date_GC,ReportType,DataMode,$H605)*Scale),"--"))</f>
        <v>--</v>
      </c>
      <c r="X605" s="2301" t="str">
        <f>IF($G605=0,"--",IFERROR(IF(_xll.ciqfunctions.udf.CIQ($G605,$S605,X139,Valuation_Date_GC,,DataMode,$H605)*Scale=0,"--",_xll.ciqfunctions.udf.CIQ($G605,$S605,X139,Valuation_Date_GC,ReportType,DataMode,$H605)*Scale),"--"))</f>
        <v>--</v>
      </c>
      <c r="Y605" s="2301" t="str">
        <f>IF($G605=0,"--",IFERROR(IF(_xll.ciqfunctions.udf.CIQ($G605,$S605,Y139,Valuation_Date_GC,,DataMode,$H605)*Scale=0,"--",_xll.ciqfunctions.udf.CIQ($G605,$S605,Y139,Valuation_Date_GC,ReportType,DataMode,$H605)*Scale),"--"))</f>
        <v>--</v>
      </c>
      <c r="Z605" s="2078" t="str">
        <f t="shared" si="174"/>
        <v/>
      </c>
      <c r="AA605" s="2301">
        <f>_xll.ciqfunctions.udf.CIQ($G605,"IQ_REVENUE_NUM_EST",U$97,Valuation_Date_GC,"CON")</f>
        <v>0</v>
      </c>
      <c r="AB605" s="2301">
        <f>_xll.ciqfunctions.udf.CIQ($G605,"IQ_REVENUE_NUM_EST",V$97,Valuation_Date_GC,"CON")</f>
        <v>0</v>
      </c>
      <c r="AC605" s="2301">
        <f>_xll.ciqfunctions.udf.CIQ($G605,"IQ_REVENUE_NUM_EST",W$97,Valuation_Date_GC,"CON")</f>
        <v>0</v>
      </c>
      <c r="AD605" s="2301">
        <f>_xll.ciqfunctions.udf.CIQ($G605,"IQ_REVENUE_NUM_EST",X$97,Valuation_Date_GC,"CON")</f>
        <v>0</v>
      </c>
      <c r="AE605" s="2301">
        <f>_xll.ciqfunctions.udf.CIQ($G605,"IQ_REVENUE_NUM_EST",Y$97,Valuation_Date_GC,"CON")</f>
        <v>0</v>
      </c>
      <c r="AF605" s="2060"/>
      <c r="AG605" s="2060"/>
      <c r="AH605" s="2060"/>
    </row>
    <row r="606" spans="1:34" s="89" customFormat="1" ht="13.9">
      <c r="A606" s="269" t="str">
        <f t="shared" si="175"/>
        <v>n</v>
      </c>
      <c r="B606" s="2060"/>
      <c r="D606" s="801"/>
      <c r="E606" s="1505">
        <v>10</v>
      </c>
      <c r="F606" s="21" t="str">
        <f>F$138</f>
        <v>--</v>
      </c>
      <c r="G606" s="1441">
        <f>G$138</f>
        <v>0</v>
      </c>
      <c r="H606" s="1441" t="str">
        <f>H$138</f>
        <v>--</v>
      </c>
      <c r="I606" s="1513" t="s">
        <v>805</v>
      </c>
      <c r="J606" s="2301" t="str">
        <f>IF($G606=0,"--",IFERROR(_xll.ciqfunctions.udf.CIQ($G606,$I606,J140,Valuation_Date_GC,ReportType,DataMode,$H606,FXMode)*Scale,"--"))</f>
        <v>--</v>
      </c>
      <c r="K606" s="2301" t="str">
        <f>IF($G606=0,"--",IFERROR(_xll.ciqfunctions.udf.CIQ($G606,$I606,K140,Valuation_Date_GC,ReportType,DataMode,$H606,FXMode)*Scale,"--"))</f>
        <v>--</v>
      </c>
      <c r="L606" s="2301" t="str">
        <f>IF($G606=0,"--",IFERROR(_xll.ciqfunctions.udf.CIQ($G606,$I606,L140,Valuation_Date_GC,ReportType,DataMode,$H606,FXMode)*Scale,"--"))</f>
        <v>--</v>
      </c>
      <c r="M606" s="2301" t="str">
        <f>IF($G606=0,"--",IFERROR(_xll.ciqfunctions.udf.CIQ($G606,$I606,M140,Valuation_Date_GC,ReportType,DataMode,$H606,FXMode)*Scale,"--"))</f>
        <v>--</v>
      </c>
      <c r="N606" s="2301" t="str">
        <f>IF($G606=0,"--",IFERROR(_xll.ciqfunctions.udf.CIQ($G606,$I606,N140,Valuation_Date_GC,ReportType,DataMode,$H606,FXMode)*Scale,"--"))</f>
        <v>--</v>
      </c>
      <c r="O606" s="2317" t="str">
        <f>IF($G606=0,"--",IFERROR(IF(O140=1001,_xll.ciqfunctions.udf.CIQ($G606,$S606,O140,Valuation_Date_GC,ReportType,DataMode,$H606,FXMode),_xll.ciqfunctions.udf.CIQ($G606,$I606,O140,Valuation_Date_GC,ReportType,DataMode,$H606,FXMode))*Scale,"--"))</f>
        <v>--</v>
      </c>
      <c r="P606" s="2301" t="str">
        <f>IF($G606=0,"--",IFERROR(_xll.ciqfunctions.udf.CIQ($G606,$I606,P140,Valuation_Date_GC,ReportType,DataMode,$H606,FXMode)*Scale,"--"))</f>
        <v>--</v>
      </c>
      <c r="R606" s="2301" t="str">
        <f>IF($G606=0,"--",IFERROR(_xll.ciqfunctions.udf.CIQ($G606,$I606,R140,Valuation_Date_GC,ReportType,DataMode,$H606,FXMode)*Scale,"--"))</f>
        <v>--</v>
      </c>
      <c r="S606" s="89" t="s">
        <v>806</v>
      </c>
      <c r="T606" s="2301" t="str">
        <f>IF(H140=0,O606,IF($G606=0,"--",IFERROR(_xll.ciqfunctions.udf.CIQ($G606,$S606,U140-1,Valuation_Date_GC,ReportType,DataMode,$H606)*Scale,"--")))</f>
        <v>--</v>
      </c>
      <c r="U606" s="2301" t="str">
        <f>IF($G606=0,"--",IFERROR(IF(_xll.ciqfunctions.udf.CIQ($G606,$S606,U140,Valuation_Date_GC,,DataMode,$H606)*Scale=0,"--",_xll.ciqfunctions.udf.CIQ($G606,$S606,U140,Valuation_Date_GC,ReportType,DataMode,$H606)*Scale),"--"))</f>
        <v>--</v>
      </c>
      <c r="V606" s="2301" t="str">
        <f>IF($G606=0,"--",IFERROR(IF(_xll.ciqfunctions.udf.CIQ($G606,$S606,V140,Valuation_Date_GC,,DataMode,$H606)*Scale=0,"--",_xll.ciqfunctions.udf.CIQ($G606,$S606,V140,Valuation_Date_GC,ReportType,DataMode,$H606)*Scale),"--"))</f>
        <v>--</v>
      </c>
      <c r="W606" s="2301" t="str">
        <f>IF($G606=0,"--",IFERROR(IF(_xll.ciqfunctions.udf.CIQ($G606,$S606,W140,Valuation_Date_GC,,DataMode,$H606)*Scale=0,"--",_xll.ciqfunctions.udf.CIQ($G606,$S606,W140,Valuation_Date_GC,ReportType,DataMode,$H606)*Scale),"--"))</f>
        <v>--</v>
      </c>
      <c r="X606" s="2301" t="str">
        <f>IF($G606=0,"--",IFERROR(IF(_xll.ciqfunctions.udf.CIQ($G606,$S606,X140,Valuation_Date_GC,,DataMode,$H606)*Scale=0,"--",_xll.ciqfunctions.udf.CIQ($G606,$S606,X140,Valuation_Date_GC,ReportType,DataMode,$H606)*Scale),"--"))</f>
        <v>--</v>
      </c>
      <c r="Y606" s="2301" t="str">
        <f>IF($G606=0,"--",IFERROR(IF(_xll.ciqfunctions.udf.CIQ($G606,$S606,Y140,Valuation_Date_GC,,DataMode,$H606)*Scale=0,"--",_xll.ciqfunctions.udf.CIQ($G606,$S606,Y140,Valuation_Date_GC,ReportType,DataMode,$H606)*Scale),"--"))</f>
        <v>--</v>
      </c>
      <c r="Z606" s="2078" t="str">
        <f t="shared" si="174"/>
        <v/>
      </c>
      <c r="AA606" s="2301">
        <f>_xll.ciqfunctions.udf.CIQ($G606,"IQ_REVENUE_NUM_EST",U$97,Valuation_Date_GC,"CON")</f>
        <v>0</v>
      </c>
      <c r="AB606" s="2301">
        <f>_xll.ciqfunctions.udf.CIQ($G606,"IQ_REVENUE_NUM_EST",V$97,Valuation_Date_GC,"CON")</f>
        <v>0</v>
      </c>
      <c r="AC606" s="2301">
        <f>_xll.ciqfunctions.udf.CIQ($G606,"IQ_REVENUE_NUM_EST",W$97,Valuation_Date_GC,"CON")</f>
        <v>0</v>
      </c>
      <c r="AD606" s="2301">
        <f>_xll.ciqfunctions.udf.CIQ($G606,"IQ_REVENUE_NUM_EST",X$97,Valuation_Date_GC,"CON")</f>
        <v>0</v>
      </c>
      <c r="AE606" s="2301">
        <f>_xll.ciqfunctions.udf.CIQ($G606,"IQ_REVENUE_NUM_EST",Y$97,Valuation_Date_GC,"CON")</f>
        <v>0</v>
      </c>
      <c r="AF606" s="2060"/>
      <c r="AG606" s="2060"/>
      <c r="AH606" s="2060"/>
    </row>
    <row r="607" spans="1:34" s="89" customFormat="1" ht="13.9">
      <c r="A607" s="269" t="str">
        <f t="shared" si="175"/>
        <v>n</v>
      </c>
      <c r="B607" s="2060"/>
      <c r="D607" s="801"/>
      <c r="E607" s="1505">
        <v>11</v>
      </c>
      <c r="F607" s="21" t="str">
        <f>F$139</f>
        <v>--</v>
      </c>
      <c r="G607" s="1441">
        <f>G$139</f>
        <v>0</v>
      </c>
      <c r="H607" s="1441" t="str">
        <f>H$139</f>
        <v>--</v>
      </c>
      <c r="I607" s="1513" t="s">
        <v>805</v>
      </c>
      <c r="J607" s="2301" t="str">
        <f>IF($G607=0,"--",IFERROR(_xll.ciqfunctions.udf.CIQ($G607,$I607,J141,Valuation_Date_GC,ReportType,DataMode,$H607,FXMode)*Scale,"--"))</f>
        <v>--</v>
      </c>
      <c r="K607" s="2301" t="str">
        <f>IF($G607=0,"--",IFERROR(_xll.ciqfunctions.udf.CIQ($G607,$I607,K141,Valuation_Date_GC,ReportType,DataMode,$H607,FXMode)*Scale,"--"))</f>
        <v>--</v>
      </c>
      <c r="L607" s="2301" t="str">
        <f>IF($G607=0,"--",IFERROR(_xll.ciqfunctions.udf.CIQ($G607,$I607,L141,Valuation_Date_GC,ReportType,DataMode,$H607,FXMode)*Scale,"--"))</f>
        <v>--</v>
      </c>
      <c r="M607" s="2301" t="str">
        <f>IF($G607=0,"--",IFERROR(_xll.ciqfunctions.udf.CIQ($G607,$I607,M141,Valuation_Date_GC,ReportType,DataMode,$H607,FXMode)*Scale,"--"))</f>
        <v>--</v>
      </c>
      <c r="N607" s="2301" t="str">
        <f>IF($G607=0,"--",IFERROR(_xll.ciqfunctions.udf.CIQ($G607,$I607,N141,Valuation_Date_GC,ReportType,DataMode,$H607,FXMode)*Scale,"--"))</f>
        <v>--</v>
      </c>
      <c r="O607" s="2317" t="str">
        <f>IF($G607=0,"--",IFERROR(IF(O141=1001,_xll.ciqfunctions.udf.CIQ($G607,$S607,O141,Valuation_Date_GC,ReportType,DataMode,$H607,FXMode),_xll.ciqfunctions.udf.CIQ($G607,$I607,O141,Valuation_Date_GC,ReportType,DataMode,$H607,FXMode))*Scale,"--"))</f>
        <v>--</v>
      </c>
      <c r="P607" s="2301" t="str">
        <f>IF($G607=0,"--",IFERROR(_xll.ciqfunctions.udf.CIQ($G607,$I607,P141,Valuation_Date_GC,ReportType,DataMode,$H607,FXMode)*Scale,"--"))</f>
        <v>--</v>
      </c>
      <c r="R607" s="2301" t="str">
        <f>IF($G607=0,"--",IFERROR(_xll.ciqfunctions.udf.CIQ($G607,$I607,R141,Valuation_Date_GC,ReportType,DataMode,$H607,FXMode)*Scale,"--"))</f>
        <v>--</v>
      </c>
      <c r="S607" s="89" t="s">
        <v>806</v>
      </c>
      <c r="T607" s="2301" t="str">
        <f>IF(H141=0,O607,IF($G607=0,"--",IFERROR(_xll.ciqfunctions.udf.CIQ($G607,$S607,U141-1,Valuation_Date_GC,ReportType,DataMode,$H607)*Scale,"--")))</f>
        <v>--</v>
      </c>
      <c r="U607" s="2301" t="str">
        <f>IF($G607=0,"--",IFERROR(IF(_xll.ciqfunctions.udf.CIQ($G607,$S607,U141,Valuation_Date_GC,,DataMode,$H607)*Scale=0,"--",_xll.ciqfunctions.udf.CIQ($G607,$S607,U141,Valuation_Date_GC,ReportType,DataMode,$H607)*Scale),"--"))</f>
        <v>--</v>
      </c>
      <c r="V607" s="2301" t="str">
        <f>IF($G607=0,"--",IFERROR(IF(_xll.ciqfunctions.udf.CIQ($G607,$S607,V141,Valuation_Date_GC,,DataMode,$H607)*Scale=0,"--",_xll.ciqfunctions.udf.CIQ($G607,$S607,V141,Valuation_Date_GC,ReportType,DataMode,$H607)*Scale),"--"))</f>
        <v>--</v>
      </c>
      <c r="W607" s="2301" t="str">
        <f>IF($G607=0,"--",IFERROR(IF(_xll.ciqfunctions.udf.CIQ($G607,$S607,W141,Valuation_Date_GC,,DataMode,$H607)*Scale=0,"--",_xll.ciqfunctions.udf.CIQ($G607,$S607,W141,Valuation_Date_GC,ReportType,DataMode,$H607)*Scale),"--"))</f>
        <v>--</v>
      </c>
      <c r="X607" s="2301" t="str">
        <f>IF($G607=0,"--",IFERROR(IF(_xll.ciqfunctions.udf.CIQ($G607,$S607,X141,Valuation_Date_GC,,DataMode,$H607)*Scale=0,"--",_xll.ciqfunctions.udf.CIQ($G607,$S607,X141,Valuation_Date_GC,ReportType,DataMode,$H607)*Scale),"--"))</f>
        <v>--</v>
      </c>
      <c r="Y607" s="2301" t="str">
        <f>IF($G607=0,"--",IFERROR(IF(_xll.ciqfunctions.udf.CIQ($G607,$S607,Y141,Valuation_Date_GC,,DataMode,$H607)*Scale=0,"--",_xll.ciqfunctions.udf.CIQ($G607,$S607,Y141,Valuation_Date_GC,ReportType,DataMode,$H607)*Scale),"--"))</f>
        <v>--</v>
      </c>
      <c r="Z607" s="2078" t="str">
        <f t="shared" si="174"/>
        <v/>
      </c>
      <c r="AA607" s="2301">
        <f>_xll.ciqfunctions.udf.CIQ($G607,"IQ_REVENUE_NUM_EST",U$97,Valuation_Date_GC,"CON")</f>
        <v>0</v>
      </c>
      <c r="AB607" s="2301">
        <f>_xll.ciqfunctions.udf.CIQ($G607,"IQ_REVENUE_NUM_EST",V$97,Valuation_Date_GC,"CON")</f>
        <v>0</v>
      </c>
      <c r="AC607" s="2301">
        <f>_xll.ciqfunctions.udf.CIQ($G607,"IQ_REVENUE_NUM_EST",W$97,Valuation_Date_GC,"CON")</f>
        <v>0</v>
      </c>
      <c r="AD607" s="2301">
        <f>_xll.ciqfunctions.udf.CIQ($G607,"IQ_REVENUE_NUM_EST",X$97,Valuation_Date_GC,"CON")</f>
        <v>0</v>
      </c>
      <c r="AE607" s="2301">
        <f>_xll.ciqfunctions.udf.CIQ($G607,"IQ_REVENUE_NUM_EST",Y$97,Valuation_Date_GC,"CON")</f>
        <v>0</v>
      </c>
      <c r="AF607" s="2060"/>
      <c r="AG607" s="2060"/>
      <c r="AH607" s="2060"/>
    </row>
    <row r="608" spans="1:34" s="89" customFormat="1" ht="13.9">
      <c r="A608" s="269" t="str">
        <f t="shared" si="175"/>
        <v>n</v>
      </c>
      <c r="B608" s="2060"/>
      <c r="D608" s="801"/>
      <c r="E608" s="1505">
        <v>12</v>
      </c>
      <c r="F608" s="21" t="str">
        <f>F$140</f>
        <v>--</v>
      </c>
      <c r="G608" s="1441">
        <f>G$140</f>
        <v>0</v>
      </c>
      <c r="H608" s="1441" t="str">
        <f>H$140</f>
        <v>--</v>
      </c>
      <c r="I608" s="1513" t="s">
        <v>805</v>
      </c>
      <c r="J608" s="2301" t="str">
        <f>IF($G608=0,"--",IFERROR(_xll.ciqfunctions.udf.CIQ($G608,$I608,J142,Valuation_Date_GC,ReportType,DataMode,$H608,FXMode)*Scale,"--"))</f>
        <v>--</v>
      </c>
      <c r="K608" s="2301" t="str">
        <f>IF($G608=0,"--",IFERROR(_xll.ciqfunctions.udf.CIQ($G608,$I608,K142,Valuation_Date_GC,ReportType,DataMode,$H608,FXMode)*Scale,"--"))</f>
        <v>--</v>
      </c>
      <c r="L608" s="2301" t="str">
        <f>IF($G608=0,"--",IFERROR(_xll.ciqfunctions.udf.CIQ($G608,$I608,L142,Valuation_Date_GC,ReportType,DataMode,$H608,FXMode)*Scale,"--"))</f>
        <v>--</v>
      </c>
      <c r="M608" s="2301" t="str">
        <f>IF($G608=0,"--",IFERROR(_xll.ciqfunctions.udf.CIQ($G608,$I608,M142,Valuation_Date_GC,ReportType,DataMode,$H608,FXMode)*Scale,"--"))</f>
        <v>--</v>
      </c>
      <c r="N608" s="2301" t="str">
        <f>IF($G608=0,"--",IFERROR(_xll.ciqfunctions.udf.CIQ($G608,$I608,N142,Valuation_Date_GC,ReportType,DataMode,$H608,FXMode)*Scale,"--"))</f>
        <v>--</v>
      </c>
      <c r="O608" s="2317" t="str">
        <f>IF($G608=0,"--",IFERROR(IF(O142=1001,_xll.ciqfunctions.udf.CIQ($G608,$S608,O142,Valuation_Date_GC,ReportType,DataMode,$H608,FXMode),_xll.ciqfunctions.udf.CIQ($G608,$I608,O142,Valuation_Date_GC,ReportType,DataMode,$H608,FXMode))*Scale,"--"))</f>
        <v>--</v>
      </c>
      <c r="P608" s="2301" t="str">
        <f>IF($G608=0,"--",IFERROR(_xll.ciqfunctions.udf.CIQ($G608,$I608,P142,Valuation_Date_GC,ReportType,DataMode,$H608,FXMode)*Scale,"--"))</f>
        <v>--</v>
      </c>
      <c r="R608" s="2301" t="str">
        <f>IF($G608=0,"--",IFERROR(_xll.ciqfunctions.udf.CIQ($G608,$I608,R142,Valuation_Date_GC,ReportType,DataMode,$H608,FXMode)*Scale,"--"))</f>
        <v>--</v>
      </c>
      <c r="S608" s="89" t="s">
        <v>806</v>
      </c>
      <c r="T608" s="2301" t="str">
        <f>IF(H142=0,O608,IF($G608=0,"--",IFERROR(_xll.ciqfunctions.udf.CIQ($G608,$S608,U142-1,Valuation_Date_GC,ReportType,DataMode,$H608)*Scale,"--")))</f>
        <v>--</v>
      </c>
      <c r="U608" s="2301" t="str">
        <f>IF($G608=0,"--",IFERROR(IF(_xll.ciqfunctions.udf.CIQ($G608,$S608,U142,Valuation_Date_GC,,DataMode,$H608)*Scale=0,"--",_xll.ciqfunctions.udf.CIQ($G608,$S608,U142,Valuation_Date_GC,ReportType,DataMode,$H608)*Scale),"--"))</f>
        <v>--</v>
      </c>
      <c r="V608" s="2301" t="str">
        <f>IF($G608=0,"--",IFERROR(IF(_xll.ciqfunctions.udf.CIQ($G608,$S608,V142,Valuation_Date_GC,,DataMode,$H608)*Scale=0,"--",_xll.ciqfunctions.udf.CIQ($G608,$S608,V142,Valuation_Date_GC,ReportType,DataMode,$H608)*Scale),"--"))</f>
        <v>--</v>
      </c>
      <c r="W608" s="2301" t="str">
        <f>IF($G608=0,"--",IFERROR(IF(_xll.ciqfunctions.udf.CIQ($G608,$S608,W142,Valuation_Date_GC,,DataMode,$H608)*Scale=0,"--",_xll.ciqfunctions.udf.CIQ($G608,$S608,W142,Valuation_Date_GC,ReportType,DataMode,$H608)*Scale),"--"))</f>
        <v>--</v>
      </c>
      <c r="X608" s="2301" t="str">
        <f>IF($G608=0,"--",IFERROR(IF(_xll.ciqfunctions.udf.CIQ($G608,$S608,X142,Valuation_Date_GC,,DataMode,$H608)*Scale=0,"--",_xll.ciqfunctions.udf.CIQ($G608,$S608,X142,Valuation_Date_GC,ReportType,DataMode,$H608)*Scale),"--"))</f>
        <v>--</v>
      </c>
      <c r="Y608" s="2301" t="str">
        <f>IF($G608=0,"--",IFERROR(IF(_xll.ciqfunctions.udf.CIQ($G608,$S608,Y142,Valuation_Date_GC,,DataMode,$H608)*Scale=0,"--",_xll.ciqfunctions.udf.CIQ($G608,$S608,Y142,Valuation_Date_GC,ReportType,DataMode,$H608)*Scale),"--"))</f>
        <v>--</v>
      </c>
      <c r="Z608" s="2078" t="str">
        <f t="shared" si="174"/>
        <v/>
      </c>
      <c r="AA608" s="2301">
        <f>_xll.ciqfunctions.udf.CIQ($G608,"IQ_REVENUE_NUM_EST",U$97,Valuation_Date_GC,"CON")</f>
        <v>0</v>
      </c>
      <c r="AB608" s="2301">
        <f>_xll.ciqfunctions.udf.CIQ($G608,"IQ_REVENUE_NUM_EST",V$97,Valuation_Date_GC,"CON")</f>
        <v>0</v>
      </c>
      <c r="AC608" s="2301">
        <f>_xll.ciqfunctions.udf.CIQ($G608,"IQ_REVENUE_NUM_EST",W$97,Valuation_Date_GC,"CON")</f>
        <v>0</v>
      </c>
      <c r="AD608" s="2301">
        <f>_xll.ciqfunctions.udf.CIQ($G608,"IQ_REVENUE_NUM_EST",X$97,Valuation_Date_GC,"CON")</f>
        <v>0</v>
      </c>
      <c r="AE608" s="2301">
        <f>_xll.ciqfunctions.udf.CIQ($G608,"IQ_REVENUE_NUM_EST",Y$97,Valuation_Date_GC,"CON")</f>
        <v>0</v>
      </c>
      <c r="AF608" s="2060"/>
      <c r="AG608" s="2060"/>
      <c r="AH608" s="2060"/>
    </row>
    <row r="609" spans="1:34" s="89" customFormat="1" ht="13.9">
      <c r="A609" s="269" t="str">
        <f t="shared" si="175"/>
        <v>n</v>
      </c>
      <c r="B609" s="2060"/>
      <c r="D609" s="801"/>
      <c r="E609" s="1505">
        <v>13</v>
      </c>
      <c r="F609" s="21" t="str">
        <f>F$141</f>
        <v>--</v>
      </c>
      <c r="G609" s="1441">
        <f>G$141</f>
        <v>0</v>
      </c>
      <c r="H609" s="1441" t="str">
        <f>H$141</f>
        <v>--</v>
      </c>
      <c r="I609" s="1513" t="s">
        <v>805</v>
      </c>
      <c r="J609" s="2301" t="str">
        <f>IF($G609=0,"--",IFERROR(_xll.ciqfunctions.udf.CIQ($G609,$I609,J143,Valuation_Date_GC,ReportType,DataMode,$H609,FXMode)*Scale,"--"))</f>
        <v>--</v>
      </c>
      <c r="K609" s="2301" t="str">
        <f>IF($G609=0,"--",IFERROR(_xll.ciqfunctions.udf.CIQ($G609,$I609,K143,Valuation_Date_GC,ReportType,DataMode,$H609,FXMode)*Scale,"--"))</f>
        <v>--</v>
      </c>
      <c r="L609" s="2301" t="str">
        <f>IF($G609=0,"--",IFERROR(_xll.ciqfunctions.udf.CIQ($G609,$I609,L143,Valuation_Date_GC,ReportType,DataMode,$H609,FXMode)*Scale,"--"))</f>
        <v>--</v>
      </c>
      <c r="M609" s="2301" t="str">
        <f>IF($G609=0,"--",IFERROR(_xll.ciqfunctions.udf.CIQ($G609,$I609,M143,Valuation_Date_GC,ReportType,DataMode,$H609,FXMode)*Scale,"--"))</f>
        <v>--</v>
      </c>
      <c r="N609" s="2301" t="str">
        <f>IF($G609=0,"--",IFERROR(_xll.ciqfunctions.udf.CIQ($G609,$I609,N143,Valuation_Date_GC,ReportType,DataMode,$H609,FXMode)*Scale,"--"))</f>
        <v>--</v>
      </c>
      <c r="O609" s="2317" t="str">
        <f>IF($G609=0,"--",IFERROR(IF(O143=1001,_xll.ciqfunctions.udf.CIQ($G609,$S609,O143,Valuation_Date_GC,ReportType,DataMode,$H609,FXMode),_xll.ciqfunctions.udf.CIQ($G609,$I609,O143,Valuation_Date_GC,ReportType,DataMode,$H609,FXMode))*Scale,"--"))</f>
        <v>--</v>
      </c>
      <c r="P609" s="2301" t="str">
        <f>IF($G609=0,"--",IFERROR(_xll.ciqfunctions.udf.CIQ($G609,$I609,P143,Valuation_Date_GC,ReportType,DataMode,$H609,FXMode)*Scale,"--"))</f>
        <v>--</v>
      </c>
      <c r="R609" s="2301" t="str">
        <f>IF($G609=0,"--",IFERROR(_xll.ciqfunctions.udf.CIQ($G609,$I609,R143,Valuation_Date_GC,ReportType,DataMode,$H609,FXMode)*Scale,"--"))</f>
        <v>--</v>
      </c>
      <c r="S609" s="89" t="s">
        <v>806</v>
      </c>
      <c r="T609" s="2301" t="str">
        <f>IF(H143=0,O609,IF($G609=0,"--",IFERROR(_xll.ciqfunctions.udf.CIQ($G609,$S609,U143-1,Valuation_Date_GC,ReportType,DataMode,$H609)*Scale,"--")))</f>
        <v>--</v>
      </c>
      <c r="U609" s="2301" t="str">
        <f>IF($G609=0,"--",IFERROR(IF(_xll.ciqfunctions.udf.CIQ($G609,$S609,U143,Valuation_Date_GC,,DataMode,$H609)*Scale=0,"--",_xll.ciqfunctions.udf.CIQ($G609,$S609,U143,Valuation_Date_GC,ReportType,DataMode,$H609)*Scale),"--"))</f>
        <v>--</v>
      </c>
      <c r="V609" s="2301" t="str">
        <f>IF($G609=0,"--",IFERROR(IF(_xll.ciqfunctions.udf.CIQ($G609,$S609,V143,Valuation_Date_GC,,DataMode,$H609)*Scale=0,"--",_xll.ciqfunctions.udf.CIQ($G609,$S609,V143,Valuation_Date_GC,ReportType,DataMode,$H609)*Scale),"--"))</f>
        <v>--</v>
      </c>
      <c r="W609" s="2301" t="str">
        <f>IF($G609=0,"--",IFERROR(IF(_xll.ciqfunctions.udf.CIQ($G609,$S609,W143,Valuation_Date_GC,,DataMode,$H609)*Scale=0,"--",_xll.ciqfunctions.udf.CIQ($G609,$S609,W143,Valuation_Date_GC,ReportType,DataMode,$H609)*Scale),"--"))</f>
        <v>--</v>
      </c>
      <c r="X609" s="2301" t="str">
        <f>IF($G609=0,"--",IFERROR(IF(_xll.ciqfunctions.udf.CIQ($G609,$S609,X143,Valuation_Date_GC,,DataMode,$H609)*Scale=0,"--",_xll.ciqfunctions.udf.CIQ($G609,$S609,X143,Valuation_Date_GC,ReportType,DataMode,$H609)*Scale),"--"))</f>
        <v>--</v>
      </c>
      <c r="Y609" s="2301" t="str">
        <f>IF($G609=0,"--",IFERROR(IF(_xll.ciqfunctions.udf.CIQ($G609,$S609,Y143,Valuation_Date_GC,,DataMode,$H609)*Scale=0,"--",_xll.ciqfunctions.udf.CIQ($G609,$S609,Y143,Valuation_Date_GC,ReportType,DataMode,$H609)*Scale),"--"))</f>
        <v>--</v>
      </c>
      <c r="Z609" s="2078" t="str">
        <f t="shared" si="174"/>
        <v/>
      </c>
      <c r="AA609" s="2301">
        <f>_xll.ciqfunctions.udf.CIQ($G609,"IQ_REVENUE_NUM_EST",U$97,Valuation_Date_GC,"CON")</f>
        <v>0</v>
      </c>
      <c r="AB609" s="2301">
        <f>_xll.ciqfunctions.udf.CIQ($G609,"IQ_REVENUE_NUM_EST",V$97,Valuation_Date_GC,"CON")</f>
        <v>0</v>
      </c>
      <c r="AC609" s="2301">
        <f>_xll.ciqfunctions.udf.CIQ($G609,"IQ_REVENUE_NUM_EST",W$97,Valuation_Date_GC,"CON")</f>
        <v>0</v>
      </c>
      <c r="AD609" s="2301">
        <f>_xll.ciqfunctions.udf.CIQ($G609,"IQ_REVENUE_NUM_EST",X$97,Valuation_Date_GC,"CON")</f>
        <v>0</v>
      </c>
      <c r="AE609" s="2301">
        <f>_xll.ciqfunctions.udf.CIQ($G609,"IQ_REVENUE_NUM_EST",Y$97,Valuation_Date_GC,"CON")</f>
        <v>0</v>
      </c>
      <c r="AF609" s="2060"/>
      <c r="AG609" s="2060"/>
      <c r="AH609" s="2060"/>
    </row>
    <row r="610" spans="1:34" s="89" customFormat="1" ht="13.9">
      <c r="A610" s="269" t="str">
        <f t="shared" si="175"/>
        <v>n</v>
      </c>
      <c r="B610" s="2060"/>
      <c r="D610" s="801"/>
      <c r="E610" s="1505">
        <v>14</v>
      </c>
      <c r="F610" s="21" t="str">
        <f>F$142</f>
        <v>--</v>
      </c>
      <c r="G610" s="1441">
        <f>G$142</f>
        <v>0</v>
      </c>
      <c r="H610" s="1441" t="str">
        <f>H$142</f>
        <v>--</v>
      </c>
      <c r="I610" s="1513" t="s">
        <v>805</v>
      </c>
      <c r="J610" s="2301" t="str">
        <f>IF($G610=0,"--",IFERROR(_xll.ciqfunctions.udf.CIQ($G610,$I610,J144,Valuation_Date_GC,ReportType,DataMode,$H610,FXMode)*Scale,"--"))</f>
        <v>--</v>
      </c>
      <c r="K610" s="2301" t="str">
        <f>IF($G610=0,"--",IFERROR(_xll.ciqfunctions.udf.CIQ($G610,$I610,K144,Valuation_Date_GC,ReportType,DataMode,$H610,FXMode)*Scale,"--"))</f>
        <v>--</v>
      </c>
      <c r="L610" s="2301" t="str">
        <f>IF($G610=0,"--",IFERROR(_xll.ciqfunctions.udf.CIQ($G610,$I610,L144,Valuation_Date_GC,ReportType,DataMode,$H610,FXMode)*Scale,"--"))</f>
        <v>--</v>
      </c>
      <c r="M610" s="2301" t="str">
        <f>IF($G610=0,"--",IFERROR(_xll.ciqfunctions.udf.CIQ($G610,$I610,M144,Valuation_Date_GC,ReportType,DataMode,$H610,FXMode)*Scale,"--"))</f>
        <v>--</v>
      </c>
      <c r="N610" s="2301" t="str">
        <f>IF($G610=0,"--",IFERROR(_xll.ciqfunctions.udf.CIQ($G610,$I610,N144,Valuation_Date_GC,ReportType,DataMode,$H610,FXMode)*Scale,"--"))</f>
        <v>--</v>
      </c>
      <c r="O610" s="2317" t="str">
        <f>IF($G610=0,"--",IFERROR(IF(O144=1001,_xll.ciqfunctions.udf.CIQ($G610,$S610,O144,Valuation_Date_GC,ReportType,DataMode,$H610,FXMode),_xll.ciqfunctions.udf.CIQ($G610,$I610,O144,Valuation_Date_GC,ReportType,DataMode,$H610,FXMode))*Scale,"--"))</f>
        <v>--</v>
      </c>
      <c r="P610" s="2301" t="str">
        <f>IF($G610=0,"--",IFERROR(_xll.ciqfunctions.udf.CIQ($G610,$I610,P144,Valuation_Date_GC,ReportType,DataMode,$H610,FXMode)*Scale,"--"))</f>
        <v>--</v>
      </c>
      <c r="R610" s="2301" t="str">
        <f>IF($G610=0,"--",IFERROR(_xll.ciqfunctions.udf.CIQ($G610,$I610,R144,Valuation_Date_GC,ReportType,DataMode,$H610,FXMode)*Scale,"--"))</f>
        <v>--</v>
      </c>
      <c r="S610" s="89" t="s">
        <v>806</v>
      </c>
      <c r="T610" s="2301" t="str">
        <f>IF(H144=0,O610,IF($G610=0,"--",IFERROR(_xll.ciqfunctions.udf.CIQ($G610,$S610,U144-1,Valuation_Date_GC,ReportType,DataMode,$H610)*Scale,"--")))</f>
        <v>--</v>
      </c>
      <c r="U610" s="2301" t="str">
        <f>IF($G610=0,"--",IFERROR(IF(_xll.ciqfunctions.udf.CIQ($G610,$S610,U144,Valuation_Date_GC,,DataMode,$H610)*Scale=0,"--",_xll.ciqfunctions.udf.CIQ($G610,$S610,U144,Valuation_Date_GC,ReportType,DataMode,$H610)*Scale),"--"))</f>
        <v>--</v>
      </c>
      <c r="V610" s="2301" t="str">
        <f>IF($G610=0,"--",IFERROR(IF(_xll.ciqfunctions.udf.CIQ($G610,$S610,V144,Valuation_Date_GC,,DataMode,$H610)*Scale=0,"--",_xll.ciqfunctions.udf.CIQ($G610,$S610,V144,Valuation_Date_GC,ReportType,DataMode,$H610)*Scale),"--"))</f>
        <v>--</v>
      </c>
      <c r="W610" s="2301" t="str">
        <f>IF($G610=0,"--",IFERROR(IF(_xll.ciqfunctions.udf.CIQ($G610,$S610,W144,Valuation_Date_GC,,DataMode,$H610)*Scale=0,"--",_xll.ciqfunctions.udf.CIQ($G610,$S610,W144,Valuation_Date_GC,ReportType,DataMode,$H610)*Scale),"--"))</f>
        <v>--</v>
      </c>
      <c r="X610" s="2301" t="str">
        <f>IF($G610=0,"--",IFERROR(IF(_xll.ciqfunctions.udf.CIQ($G610,$S610,X144,Valuation_Date_GC,,DataMode,$H610)*Scale=0,"--",_xll.ciqfunctions.udf.CIQ($G610,$S610,X144,Valuation_Date_GC,ReportType,DataMode,$H610)*Scale),"--"))</f>
        <v>--</v>
      </c>
      <c r="Y610" s="2301" t="str">
        <f>IF($G610=0,"--",IFERROR(IF(_xll.ciqfunctions.udf.CIQ($G610,$S610,Y144,Valuation_Date_GC,,DataMode,$H610)*Scale=0,"--",_xll.ciqfunctions.udf.CIQ($G610,$S610,Y144,Valuation_Date_GC,ReportType,DataMode,$H610)*Scale),"--"))</f>
        <v>--</v>
      </c>
      <c r="Z610" s="2078" t="str">
        <f t="shared" si="174"/>
        <v/>
      </c>
      <c r="AA610" s="2301">
        <f>_xll.ciqfunctions.udf.CIQ($G610,"IQ_REVENUE_NUM_EST",U$97,Valuation_Date_GC,"CON")</f>
        <v>0</v>
      </c>
      <c r="AB610" s="2301">
        <f>_xll.ciqfunctions.udf.CIQ($G610,"IQ_REVENUE_NUM_EST",V$97,Valuation_Date_GC,"CON")</f>
        <v>0</v>
      </c>
      <c r="AC610" s="2301">
        <f>_xll.ciqfunctions.udf.CIQ($G610,"IQ_REVENUE_NUM_EST",W$97,Valuation_Date_GC,"CON")</f>
        <v>0</v>
      </c>
      <c r="AD610" s="2301">
        <f>_xll.ciqfunctions.udf.CIQ($G610,"IQ_REVENUE_NUM_EST",X$97,Valuation_Date_GC,"CON")</f>
        <v>0</v>
      </c>
      <c r="AE610" s="2301">
        <f>_xll.ciqfunctions.udf.CIQ($G610,"IQ_REVENUE_NUM_EST",Y$97,Valuation_Date_GC,"CON")</f>
        <v>0</v>
      </c>
      <c r="AF610" s="2060"/>
      <c r="AG610" s="2060"/>
      <c r="AH610" s="2060"/>
    </row>
    <row r="611" spans="1:34" s="89" customFormat="1" ht="13.9">
      <c r="A611" s="269" t="str">
        <f t="shared" si="175"/>
        <v>n</v>
      </c>
      <c r="B611" s="2060"/>
      <c r="D611" s="801"/>
      <c r="E611" s="1505">
        <v>15</v>
      </c>
      <c r="F611" s="21" t="str">
        <f>F$143</f>
        <v>--</v>
      </c>
      <c r="G611" s="1441">
        <f>G$143</f>
        <v>0</v>
      </c>
      <c r="H611" s="1441" t="str">
        <f>H$143</f>
        <v>--</v>
      </c>
      <c r="I611" s="1513" t="s">
        <v>805</v>
      </c>
      <c r="J611" s="2301" t="str">
        <f>IF($G611=0,"--",IFERROR(_xll.ciqfunctions.udf.CIQ($G611,$I611,J145,Valuation_Date_GC,ReportType,DataMode,$H611,FXMode)*Scale,"--"))</f>
        <v>--</v>
      </c>
      <c r="K611" s="2301" t="str">
        <f>IF($G611=0,"--",IFERROR(_xll.ciqfunctions.udf.CIQ($G611,$I611,K145,Valuation_Date_GC,ReportType,DataMode,$H611,FXMode)*Scale,"--"))</f>
        <v>--</v>
      </c>
      <c r="L611" s="2301" t="str">
        <f>IF($G611=0,"--",IFERROR(_xll.ciqfunctions.udf.CIQ($G611,$I611,L145,Valuation_Date_GC,ReportType,DataMode,$H611,FXMode)*Scale,"--"))</f>
        <v>--</v>
      </c>
      <c r="M611" s="2301" t="str">
        <f>IF($G611=0,"--",IFERROR(_xll.ciqfunctions.udf.CIQ($G611,$I611,M145,Valuation_Date_GC,ReportType,DataMode,$H611,FXMode)*Scale,"--"))</f>
        <v>--</v>
      </c>
      <c r="N611" s="2301" t="str">
        <f>IF($G611=0,"--",IFERROR(_xll.ciqfunctions.udf.CIQ($G611,$I611,N145,Valuation_Date_GC,ReportType,DataMode,$H611,FXMode)*Scale,"--"))</f>
        <v>--</v>
      </c>
      <c r="O611" s="2317" t="str">
        <f>IF($G611=0,"--",IFERROR(IF(O145=1001,_xll.ciqfunctions.udf.CIQ($G611,$S611,O145,Valuation_Date_GC,ReportType,DataMode,$H611,FXMode),_xll.ciqfunctions.udf.CIQ($G611,$I611,O145,Valuation_Date_GC,ReportType,DataMode,$H611,FXMode))*Scale,"--"))</f>
        <v>--</v>
      </c>
      <c r="P611" s="2301" t="str">
        <f>IF($G611=0,"--",IFERROR(_xll.ciqfunctions.udf.CIQ($G611,$I611,P145,Valuation_Date_GC,ReportType,DataMode,$H611,FXMode)*Scale,"--"))</f>
        <v>--</v>
      </c>
      <c r="R611" s="2301" t="str">
        <f>IF($G611=0,"--",IFERROR(_xll.ciqfunctions.udf.CIQ($G611,$I611,R145,Valuation_Date_GC,ReportType,DataMode,$H611,FXMode)*Scale,"--"))</f>
        <v>--</v>
      </c>
      <c r="S611" s="89" t="s">
        <v>806</v>
      </c>
      <c r="T611" s="2301" t="str">
        <f>IF(H145=0,O611,IF($G611=0,"--",IFERROR(_xll.ciqfunctions.udf.CIQ($G611,$S611,U145-1,Valuation_Date_GC,ReportType,DataMode,$H611)*Scale,"--")))</f>
        <v>--</v>
      </c>
      <c r="U611" s="2301" t="str">
        <f>IF($G611=0,"--",IFERROR(IF(_xll.ciqfunctions.udf.CIQ($G611,$S611,U145,Valuation_Date_GC,,DataMode,$H611)*Scale=0,"--",_xll.ciqfunctions.udf.CIQ($G611,$S611,U145,Valuation_Date_GC,ReportType,DataMode,$H611)*Scale),"--"))</f>
        <v>--</v>
      </c>
      <c r="V611" s="2301" t="str">
        <f>IF($G611=0,"--",IFERROR(IF(_xll.ciqfunctions.udf.CIQ($G611,$S611,V145,Valuation_Date_GC,,DataMode,$H611)*Scale=0,"--",_xll.ciqfunctions.udf.CIQ($G611,$S611,V145,Valuation_Date_GC,ReportType,DataMode,$H611)*Scale),"--"))</f>
        <v>--</v>
      </c>
      <c r="W611" s="2301" t="str">
        <f>IF($G611=0,"--",IFERROR(IF(_xll.ciqfunctions.udf.CIQ($G611,$S611,W145,Valuation_Date_GC,,DataMode,$H611)*Scale=0,"--",_xll.ciqfunctions.udf.CIQ($G611,$S611,W145,Valuation_Date_GC,ReportType,DataMode,$H611)*Scale),"--"))</f>
        <v>--</v>
      </c>
      <c r="X611" s="2301" t="str">
        <f>IF($G611=0,"--",IFERROR(IF(_xll.ciqfunctions.udf.CIQ($G611,$S611,X145,Valuation_Date_GC,,DataMode,$H611)*Scale=0,"--",_xll.ciqfunctions.udf.CIQ($G611,$S611,X145,Valuation_Date_GC,ReportType,DataMode,$H611)*Scale),"--"))</f>
        <v>--</v>
      </c>
      <c r="Y611" s="2301" t="str">
        <f>IF($G611=0,"--",IFERROR(IF(_xll.ciqfunctions.udf.CIQ($G611,$S611,Y145,Valuation_Date_GC,,DataMode,$H611)*Scale=0,"--",_xll.ciqfunctions.udf.CIQ($G611,$S611,Y145,Valuation_Date_GC,ReportType,DataMode,$H611)*Scale),"--"))</f>
        <v>--</v>
      </c>
      <c r="Z611" s="2078" t="str">
        <f t="shared" si="174"/>
        <v/>
      </c>
      <c r="AA611" s="2301">
        <f>_xll.ciqfunctions.udf.CIQ($G611,"IQ_REVENUE_NUM_EST",U$97,Valuation_Date_GC,"CON")</f>
        <v>0</v>
      </c>
      <c r="AB611" s="2301">
        <f>_xll.ciqfunctions.udf.CIQ($G611,"IQ_REVENUE_NUM_EST",V$97,Valuation_Date_GC,"CON")</f>
        <v>0</v>
      </c>
      <c r="AC611" s="2301">
        <f>_xll.ciqfunctions.udf.CIQ($G611,"IQ_REVENUE_NUM_EST",W$97,Valuation_Date_GC,"CON")</f>
        <v>0</v>
      </c>
      <c r="AD611" s="2301">
        <f>_xll.ciqfunctions.udf.CIQ($G611,"IQ_REVENUE_NUM_EST",X$97,Valuation_Date_GC,"CON")</f>
        <v>0</v>
      </c>
      <c r="AE611" s="2301">
        <f>_xll.ciqfunctions.udf.CIQ($G611,"IQ_REVENUE_NUM_EST",Y$97,Valuation_Date_GC,"CON")</f>
        <v>0</v>
      </c>
      <c r="AF611" s="2060"/>
      <c r="AG611" s="2060"/>
      <c r="AH611" s="2060"/>
    </row>
    <row r="612" spans="1:34" s="89" customFormat="1" ht="13.9">
      <c r="A612" s="269" t="str">
        <f t="shared" si="175"/>
        <v>n</v>
      </c>
      <c r="B612" s="2060"/>
      <c r="D612" s="801"/>
      <c r="E612" s="1505">
        <v>16</v>
      </c>
      <c r="F612" s="21" t="str">
        <f>F$144</f>
        <v>--</v>
      </c>
      <c r="G612" s="1441">
        <f>G$144</f>
        <v>0</v>
      </c>
      <c r="H612" s="1441" t="str">
        <f>H$144</f>
        <v>--</v>
      </c>
      <c r="I612" s="1513" t="s">
        <v>805</v>
      </c>
      <c r="J612" s="2301" t="str">
        <f>IF($G612=0,"--",IFERROR(_xll.ciqfunctions.udf.CIQ($G612,$I612,J146,Valuation_Date_GC,ReportType,DataMode,$H612,FXMode)*Scale,"--"))</f>
        <v>--</v>
      </c>
      <c r="K612" s="2301" t="str">
        <f>IF($G612=0,"--",IFERROR(_xll.ciqfunctions.udf.CIQ($G612,$I612,K146,Valuation_Date_GC,ReportType,DataMode,$H612,FXMode)*Scale,"--"))</f>
        <v>--</v>
      </c>
      <c r="L612" s="2301" t="str">
        <f>IF($G612=0,"--",IFERROR(_xll.ciqfunctions.udf.CIQ($G612,$I612,L146,Valuation_Date_GC,ReportType,DataMode,$H612,FXMode)*Scale,"--"))</f>
        <v>--</v>
      </c>
      <c r="M612" s="2301" t="str">
        <f>IF($G612=0,"--",IFERROR(_xll.ciqfunctions.udf.CIQ($G612,$I612,M146,Valuation_Date_GC,ReportType,DataMode,$H612,FXMode)*Scale,"--"))</f>
        <v>--</v>
      </c>
      <c r="N612" s="2301" t="str">
        <f>IF($G612=0,"--",IFERROR(_xll.ciqfunctions.udf.CIQ($G612,$I612,N146,Valuation_Date_GC,ReportType,DataMode,$H612,FXMode)*Scale,"--"))</f>
        <v>--</v>
      </c>
      <c r="O612" s="2317" t="str">
        <f>IF($G612=0,"--",IFERROR(IF(O146=1001,_xll.ciqfunctions.udf.CIQ($G612,$S612,O146,Valuation_Date_GC,ReportType,DataMode,$H612,FXMode),_xll.ciqfunctions.udf.CIQ($G612,$I612,O146,Valuation_Date_GC,ReportType,DataMode,$H612,FXMode))*Scale,"--"))</f>
        <v>--</v>
      </c>
      <c r="P612" s="2301" t="str">
        <f>IF($G612=0,"--",IFERROR(_xll.ciqfunctions.udf.CIQ($G612,$I612,P146,Valuation_Date_GC,ReportType,DataMode,$H612,FXMode)*Scale,"--"))</f>
        <v>--</v>
      </c>
      <c r="R612" s="2301" t="str">
        <f>IF($G612=0,"--",IFERROR(_xll.ciqfunctions.udf.CIQ($G612,$I612,R146,Valuation_Date_GC,ReportType,DataMode,$H612,FXMode)*Scale,"--"))</f>
        <v>--</v>
      </c>
      <c r="S612" s="89" t="s">
        <v>806</v>
      </c>
      <c r="T612" s="2301" t="str">
        <f>IF(H146=0,O612,IF($G612=0,"--",IFERROR(_xll.ciqfunctions.udf.CIQ($G612,$S612,U146-1,Valuation_Date_GC,ReportType,DataMode,$H612)*Scale,"--")))</f>
        <v>--</v>
      </c>
      <c r="U612" s="2301" t="str">
        <f>IF($G612=0,"--",IFERROR(IF(_xll.ciqfunctions.udf.CIQ($G612,$S612,U146,Valuation_Date_GC,,DataMode,$H612)*Scale=0,"--",_xll.ciqfunctions.udf.CIQ($G612,$S612,U146,Valuation_Date_GC,ReportType,DataMode,$H612)*Scale),"--"))</f>
        <v>--</v>
      </c>
      <c r="V612" s="2301" t="str">
        <f>IF($G612=0,"--",IFERROR(IF(_xll.ciqfunctions.udf.CIQ($G612,$S612,V146,Valuation_Date_GC,,DataMode,$H612)*Scale=0,"--",_xll.ciqfunctions.udf.CIQ($G612,$S612,V146,Valuation_Date_GC,ReportType,DataMode,$H612)*Scale),"--"))</f>
        <v>--</v>
      </c>
      <c r="W612" s="2301" t="str">
        <f>IF($G612=0,"--",IFERROR(IF(_xll.ciqfunctions.udf.CIQ($G612,$S612,W146,Valuation_Date_GC,,DataMode,$H612)*Scale=0,"--",_xll.ciqfunctions.udf.CIQ($G612,$S612,W146,Valuation_Date_GC,ReportType,DataMode,$H612)*Scale),"--"))</f>
        <v>--</v>
      </c>
      <c r="X612" s="2301" t="str">
        <f>IF($G612=0,"--",IFERROR(IF(_xll.ciqfunctions.udf.CIQ($G612,$S612,X146,Valuation_Date_GC,,DataMode,$H612)*Scale=0,"--",_xll.ciqfunctions.udf.CIQ($G612,$S612,X146,Valuation_Date_GC,ReportType,DataMode,$H612)*Scale),"--"))</f>
        <v>--</v>
      </c>
      <c r="Y612" s="2301" t="str">
        <f>IF($G612=0,"--",IFERROR(IF(_xll.ciqfunctions.udf.CIQ($G612,$S612,Y146,Valuation_Date_GC,,DataMode,$H612)*Scale=0,"--",_xll.ciqfunctions.udf.CIQ($G612,$S612,Y146,Valuation_Date_GC,ReportType,DataMode,$H612)*Scale),"--"))</f>
        <v>--</v>
      </c>
      <c r="Z612" s="2078" t="str">
        <f t="shared" si="174"/>
        <v/>
      </c>
      <c r="AA612" s="2301">
        <f>_xll.ciqfunctions.udf.CIQ($G612,"IQ_REVENUE_NUM_EST",U$97,Valuation_Date_GC,"CON")</f>
        <v>0</v>
      </c>
      <c r="AB612" s="2301">
        <f>_xll.ciqfunctions.udf.CIQ($G612,"IQ_REVENUE_NUM_EST",V$97,Valuation_Date_GC,"CON")</f>
        <v>0</v>
      </c>
      <c r="AC612" s="2301">
        <f>_xll.ciqfunctions.udf.CIQ($G612,"IQ_REVENUE_NUM_EST",W$97,Valuation_Date_GC,"CON")</f>
        <v>0</v>
      </c>
      <c r="AD612" s="2301">
        <f>_xll.ciqfunctions.udf.CIQ($G612,"IQ_REVENUE_NUM_EST",X$97,Valuation_Date_GC,"CON")</f>
        <v>0</v>
      </c>
      <c r="AE612" s="2301">
        <f>_xll.ciqfunctions.udf.CIQ($G612,"IQ_REVENUE_NUM_EST",Y$97,Valuation_Date_GC,"CON")</f>
        <v>0</v>
      </c>
      <c r="AF612" s="2060"/>
      <c r="AG612" s="2060"/>
      <c r="AH612" s="2060"/>
    </row>
    <row r="613" spans="1:34" s="89" customFormat="1" ht="13.9">
      <c r="A613" s="269" t="str">
        <f t="shared" si="175"/>
        <v>n</v>
      </c>
      <c r="B613" s="2060"/>
      <c r="D613" s="801"/>
      <c r="E613" s="1505">
        <v>17</v>
      </c>
      <c r="F613" s="21" t="str">
        <f>F$145</f>
        <v>--</v>
      </c>
      <c r="G613" s="1441">
        <f>G$145</f>
        <v>0</v>
      </c>
      <c r="H613" s="1441" t="str">
        <f>H$145</f>
        <v>--</v>
      </c>
      <c r="I613" s="1513" t="s">
        <v>805</v>
      </c>
      <c r="J613" s="2301" t="str">
        <f>IF($G613=0,"--",IFERROR(_xll.ciqfunctions.udf.CIQ($G613,$I613,J147,Valuation_Date_GC,ReportType,DataMode,$H613,FXMode)*Scale,"--"))</f>
        <v>--</v>
      </c>
      <c r="K613" s="2301" t="str">
        <f>IF($G613=0,"--",IFERROR(_xll.ciqfunctions.udf.CIQ($G613,$I613,K147,Valuation_Date_GC,ReportType,DataMode,$H613,FXMode)*Scale,"--"))</f>
        <v>--</v>
      </c>
      <c r="L613" s="2301" t="str">
        <f>IF($G613=0,"--",IFERROR(_xll.ciqfunctions.udf.CIQ($G613,$I613,L147,Valuation_Date_GC,ReportType,DataMode,$H613,FXMode)*Scale,"--"))</f>
        <v>--</v>
      </c>
      <c r="M613" s="2301" t="str">
        <f>IF($G613=0,"--",IFERROR(_xll.ciqfunctions.udf.CIQ($G613,$I613,M147,Valuation_Date_GC,ReportType,DataMode,$H613,FXMode)*Scale,"--"))</f>
        <v>--</v>
      </c>
      <c r="N613" s="2301" t="str">
        <f>IF($G613=0,"--",IFERROR(_xll.ciqfunctions.udf.CIQ($G613,$I613,N147,Valuation_Date_GC,ReportType,DataMode,$H613,FXMode)*Scale,"--"))</f>
        <v>--</v>
      </c>
      <c r="O613" s="2317" t="str">
        <f>IF($G613=0,"--",IFERROR(IF(O147=1001,_xll.ciqfunctions.udf.CIQ($G613,$S613,O147,Valuation_Date_GC,ReportType,DataMode,$H613,FXMode),_xll.ciqfunctions.udf.CIQ($G613,$I613,O147,Valuation_Date_GC,ReportType,DataMode,$H613,FXMode))*Scale,"--"))</f>
        <v>--</v>
      </c>
      <c r="P613" s="2301" t="str">
        <f>IF($G613=0,"--",IFERROR(_xll.ciqfunctions.udf.CIQ($G613,$I613,P147,Valuation_Date_GC,ReportType,DataMode,$H613,FXMode)*Scale,"--"))</f>
        <v>--</v>
      </c>
      <c r="R613" s="2301" t="str">
        <f>IF($G613=0,"--",IFERROR(_xll.ciqfunctions.udf.CIQ($G613,$I613,R147,Valuation_Date_GC,ReportType,DataMode,$H613,FXMode)*Scale,"--"))</f>
        <v>--</v>
      </c>
      <c r="S613" s="89" t="s">
        <v>806</v>
      </c>
      <c r="T613" s="2301" t="str">
        <f>IF(H147=0,O613,IF($G613=0,"--",IFERROR(_xll.ciqfunctions.udf.CIQ($G613,$S613,U147-1,Valuation_Date_GC,ReportType,DataMode,$H613)*Scale,"--")))</f>
        <v>--</v>
      </c>
      <c r="U613" s="2301" t="str">
        <f>IF($G613=0,"--",IFERROR(IF(_xll.ciqfunctions.udf.CIQ($G613,$S613,U147,Valuation_Date_GC,,DataMode,$H613)*Scale=0,"--",_xll.ciqfunctions.udf.CIQ($G613,$S613,U147,Valuation_Date_GC,ReportType,DataMode,$H613)*Scale),"--"))</f>
        <v>--</v>
      </c>
      <c r="V613" s="2301" t="str">
        <f>IF($G613=0,"--",IFERROR(IF(_xll.ciqfunctions.udf.CIQ($G613,$S613,V147,Valuation_Date_GC,,DataMode,$H613)*Scale=0,"--",_xll.ciqfunctions.udf.CIQ($G613,$S613,V147,Valuation_Date_GC,ReportType,DataMode,$H613)*Scale),"--"))</f>
        <v>--</v>
      </c>
      <c r="W613" s="2301" t="str">
        <f>IF($G613=0,"--",IFERROR(IF(_xll.ciqfunctions.udf.CIQ($G613,$S613,W147,Valuation_Date_GC,,DataMode,$H613)*Scale=0,"--",_xll.ciqfunctions.udf.CIQ($G613,$S613,W147,Valuation_Date_GC,ReportType,DataMode,$H613)*Scale),"--"))</f>
        <v>--</v>
      </c>
      <c r="X613" s="2301" t="str">
        <f>IF($G613=0,"--",IFERROR(IF(_xll.ciqfunctions.udf.CIQ($G613,$S613,X147,Valuation_Date_GC,,DataMode,$H613)*Scale=0,"--",_xll.ciqfunctions.udf.CIQ($G613,$S613,X147,Valuation_Date_GC,ReportType,DataMode,$H613)*Scale),"--"))</f>
        <v>--</v>
      </c>
      <c r="Y613" s="2301" t="str">
        <f>IF($G613=0,"--",IFERROR(IF(_xll.ciqfunctions.udf.CIQ($G613,$S613,Y147,Valuation_Date_GC,,DataMode,$H613)*Scale=0,"--",_xll.ciqfunctions.udf.CIQ($G613,$S613,Y147,Valuation_Date_GC,ReportType,DataMode,$H613)*Scale),"--"))</f>
        <v>--</v>
      </c>
      <c r="Z613" s="2078" t="str">
        <f t="shared" si="174"/>
        <v/>
      </c>
      <c r="AA613" s="2301">
        <f>_xll.ciqfunctions.udf.CIQ($G613,"IQ_REVENUE_NUM_EST",U$97,Valuation_Date_GC,"CON")</f>
        <v>0</v>
      </c>
      <c r="AB613" s="2301">
        <f>_xll.ciqfunctions.udf.CIQ($G613,"IQ_REVENUE_NUM_EST",V$97,Valuation_Date_GC,"CON")</f>
        <v>0</v>
      </c>
      <c r="AC613" s="2301">
        <f>_xll.ciqfunctions.udf.CIQ($G613,"IQ_REVENUE_NUM_EST",W$97,Valuation_Date_GC,"CON")</f>
        <v>0</v>
      </c>
      <c r="AD613" s="2301">
        <f>_xll.ciqfunctions.udf.CIQ($G613,"IQ_REVENUE_NUM_EST",X$97,Valuation_Date_GC,"CON")</f>
        <v>0</v>
      </c>
      <c r="AE613" s="2301">
        <f>_xll.ciqfunctions.udf.CIQ($G613,"IQ_REVENUE_NUM_EST",Y$97,Valuation_Date_GC,"CON")</f>
        <v>0</v>
      </c>
      <c r="AF613" s="2060"/>
      <c r="AG613" s="2060"/>
      <c r="AH613" s="2060"/>
    </row>
    <row r="614" spans="1:34" s="89" customFormat="1" ht="13.9">
      <c r="A614" s="269" t="str">
        <f t="shared" si="175"/>
        <v>n</v>
      </c>
      <c r="B614" s="2060"/>
      <c r="D614" s="801"/>
      <c r="E614" s="1505">
        <v>18</v>
      </c>
      <c r="F614" s="21" t="str">
        <f>F$146</f>
        <v>--</v>
      </c>
      <c r="G614" s="1441">
        <f>G$146</f>
        <v>0</v>
      </c>
      <c r="H614" s="1441" t="str">
        <f>H$146</f>
        <v>--</v>
      </c>
      <c r="I614" s="1513" t="s">
        <v>805</v>
      </c>
      <c r="J614" s="2301" t="str">
        <f>IF($G614=0,"--",IFERROR(_xll.ciqfunctions.udf.CIQ($G614,$I614,J148,Valuation_Date_GC,ReportType,DataMode,$H614,FXMode)*Scale,"--"))</f>
        <v>--</v>
      </c>
      <c r="K614" s="2301" t="str">
        <f>IF($G614=0,"--",IFERROR(_xll.ciqfunctions.udf.CIQ($G614,$I614,K148,Valuation_Date_GC,ReportType,DataMode,$H614,FXMode)*Scale,"--"))</f>
        <v>--</v>
      </c>
      <c r="L614" s="2301" t="str">
        <f>IF($G614=0,"--",IFERROR(_xll.ciqfunctions.udf.CIQ($G614,$I614,L148,Valuation_Date_GC,ReportType,DataMode,$H614,FXMode)*Scale,"--"))</f>
        <v>--</v>
      </c>
      <c r="M614" s="2301" t="str">
        <f>IF($G614=0,"--",IFERROR(_xll.ciqfunctions.udf.CIQ($G614,$I614,M148,Valuation_Date_GC,ReportType,DataMode,$H614,FXMode)*Scale,"--"))</f>
        <v>--</v>
      </c>
      <c r="N614" s="2301" t="str">
        <f>IF($G614=0,"--",IFERROR(_xll.ciqfunctions.udf.CIQ($G614,$I614,N148,Valuation_Date_GC,ReportType,DataMode,$H614,FXMode)*Scale,"--"))</f>
        <v>--</v>
      </c>
      <c r="O614" s="2317" t="str">
        <f>IF($G614=0,"--",IFERROR(IF(O148=1001,_xll.ciqfunctions.udf.CIQ($G614,$S614,O148,Valuation_Date_GC,ReportType,DataMode,$H614,FXMode),_xll.ciqfunctions.udf.CIQ($G614,$I614,O148,Valuation_Date_GC,ReportType,DataMode,$H614,FXMode))*Scale,"--"))</f>
        <v>--</v>
      </c>
      <c r="P614" s="2301" t="str">
        <f>IF($G614=0,"--",IFERROR(_xll.ciqfunctions.udf.CIQ($G614,$I614,P148,Valuation_Date_GC,ReportType,DataMode,$H614,FXMode)*Scale,"--"))</f>
        <v>--</v>
      </c>
      <c r="R614" s="2301" t="str">
        <f>IF($G614=0,"--",IFERROR(_xll.ciqfunctions.udf.CIQ($G614,$I614,R148,Valuation_Date_GC,ReportType,DataMode,$H614,FXMode)*Scale,"--"))</f>
        <v>--</v>
      </c>
      <c r="S614" s="89" t="s">
        <v>806</v>
      </c>
      <c r="T614" s="2301" t="str">
        <f>IF(H148=0,O614,IF($G614=0,"--",IFERROR(_xll.ciqfunctions.udf.CIQ($G614,$S614,U148-1,Valuation_Date_GC,ReportType,DataMode,$H614)*Scale,"--")))</f>
        <v>--</v>
      </c>
      <c r="U614" s="2301" t="str">
        <f>IF($G614=0,"--",IFERROR(IF(_xll.ciqfunctions.udf.CIQ($G614,$S614,U148,Valuation_Date_GC,,DataMode,$H614)*Scale=0,"--",_xll.ciqfunctions.udf.CIQ($G614,$S614,U148,Valuation_Date_GC,ReportType,DataMode,$H614)*Scale),"--"))</f>
        <v>--</v>
      </c>
      <c r="V614" s="2301" t="str">
        <f>IF($G614=0,"--",IFERROR(IF(_xll.ciqfunctions.udf.CIQ($G614,$S614,V148,Valuation_Date_GC,,DataMode,$H614)*Scale=0,"--",_xll.ciqfunctions.udf.CIQ($G614,$S614,V148,Valuation_Date_GC,ReportType,DataMode,$H614)*Scale),"--"))</f>
        <v>--</v>
      </c>
      <c r="W614" s="2301" t="str">
        <f>IF($G614=0,"--",IFERROR(IF(_xll.ciqfunctions.udf.CIQ($G614,$S614,W148,Valuation_Date_GC,,DataMode,$H614)*Scale=0,"--",_xll.ciqfunctions.udf.CIQ($G614,$S614,W148,Valuation_Date_GC,ReportType,DataMode,$H614)*Scale),"--"))</f>
        <v>--</v>
      </c>
      <c r="X614" s="2301" t="str">
        <f>IF($G614=0,"--",IFERROR(IF(_xll.ciqfunctions.udf.CIQ($G614,$S614,X148,Valuation_Date_GC,,DataMode,$H614)*Scale=0,"--",_xll.ciqfunctions.udf.CIQ($G614,$S614,X148,Valuation_Date_GC,ReportType,DataMode,$H614)*Scale),"--"))</f>
        <v>--</v>
      </c>
      <c r="Y614" s="2301" t="str">
        <f>IF($G614=0,"--",IFERROR(IF(_xll.ciqfunctions.udf.CIQ($G614,$S614,Y148,Valuation_Date_GC,,DataMode,$H614)*Scale=0,"--",_xll.ciqfunctions.udf.CIQ($G614,$S614,Y148,Valuation_Date_GC,ReportType,DataMode,$H614)*Scale),"--"))</f>
        <v>--</v>
      </c>
      <c r="Z614" s="2078" t="str">
        <f t="shared" si="174"/>
        <v/>
      </c>
      <c r="AA614" s="2301">
        <f>_xll.ciqfunctions.udf.CIQ($G614,"IQ_REVENUE_NUM_EST",U$97,Valuation_Date_GC,"CON")</f>
        <v>0</v>
      </c>
      <c r="AB614" s="2301">
        <f>_xll.ciqfunctions.udf.CIQ($G614,"IQ_REVENUE_NUM_EST",V$97,Valuation_Date_GC,"CON")</f>
        <v>0</v>
      </c>
      <c r="AC614" s="2301">
        <f>_xll.ciqfunctions.udf.CIQ($G614,"IQ_REVENUE_NUM_EST",W$97,Valuation_Date_GC,"CON")</f>
        <v>0</v>
      </c>
      <c r="AD614" s="2301">
        <f>_xll.ciqfunctions.udf.CIQ($G614,"IQ_REVENUE_NUM_EST",X$97,Valuation_Date_GC,"CON")</f>
        <v>0</v>
      </c>
      <c r="AE614" s="2301">
        <f>_xll.ciqfunctions.udf.CIQ($G614,"IQ_REVENUE_NUM_EST",Y$97,Valuation_Date_GC,"CON")</f>
        <v>0</v>
      </c>
      <c r="AF614" s="2060"/>
      <c r="AG614" s="2060"/>
      <c r="AH614" s="2060"/>
    </row>
    <row r="615" spans="1:34" s="89" customFormat="1" ht="13.9">
      <c r="A615" s="269" t="str">
        <f t="shared" si="175"/>
        <v>n</v>
      </c>
      <c r="B615" s="2060"/>
      <c r="D615" s="801"/>
      <c r="E615" s="1505">
        <v>19</v>
      </c>
      <c r="F615" s="21" t="str">
        <f>F$147</f>
        <v>--</v>
      </c>
      <c r="G615" s="1441">
        <f>G$147</f>
        <v>0</v>
      </c>
      <c r="H615" s="1441" t="str">
        <f>H$147</f>
        <v>--</v>
      </c>
      <c r="I615" s="1513" t="s">
        <v>805</v>
      </c>
      <c r="J615" s="2301" t="str">
        <f>IF($G615=0,"--",IFERROR(_xll.ciqfunctions.udf.CIQ($G615,$I615,J149,Valuation_Date_GC,ReportType,DataMode,$H615,FXMode)*Scale,"--"))</f>
        <v>--</v>
      </c>
      <c r="K615" s="2301" t="str">
        <f>IF($G615=0,"--",IFERROR(_xll.ciqfunctions.udf.CIQ($G615,$I615,K149,Valuation_Date_GC,ReportType,DataMode,$H615,FXMode)*Scale,"--"))</f>
        <v>--</v>
      </c>
      <c r="L615" s="2301" t="str">
        <f>IF($G615=0,"--",IFERROR(_xll.ciqfunctions.udf.CIQ($G615,$I615,L149,Valuation_Date_GC,ReportType,DataMode,$H615,FXMode)*Scale,"--"))</f>
        <v>--</v>
      </c>
      <c r="M615" s="2301" t="str">
        <f>IF($G615=0,"--",IFERROR(_xll.ciqfunctions.udf.CIQ($G615,$I615,M149,Valuation_Date_GC,ReportType,DataMode,$H615,FXMode)*Scale,"--"))</f>
        <v>--</v>
      </c>
      <c r="N615" s="2301" t="str">
        <f>IF($G615=0,"--",IFERROR(_xll.ciqfunctions.udf.CIQ($G615,$I615,N149,Valuation_Date_GC,ReportType,DataMode,$H615,FXMode)*Scale,"--"))</f>
        <v>--</v>
      </c>
      <c r="O615" s="2317" t="str">
        <f>IF($G615=0,"--",IFERROR(IF(O149=1001,_xll.ciqfunctions.udf.CIQ($G615,$S615,O149,Valuation_Date_GC,ReportType,DataMode,$H615,FXMode),_xll.ciqfunctions.udf.CIQ($G615,$I615,O149,Valuation_Date_GC,ReportType,DataMode,$H615,FXMode))*Scale,"--"))</f>
        <v>--</v>
      </c>
      <c r="P615" s="2301" t="str">
        <f>IF($G615=0,"--",IFERROR(_xll.ciqfunctions.udf.CIQ($G615,$I615,P149,Valuation_Date_GC,ReportType,DataMode,$H615,FXMode)*Scale,"--"))</f>
        <v>--</v>
      </c>
      <c r="R615" s="2301" t="str">
        <f>IF($G615=0,"--",IFERROR(_xll.ciqfunctions.udf.CIQ($G615,$I615,R149,Valuation_Date_GC,ReportType,DataMode,$H615,FXMode)*Scale,"--"))</f>
        <v>--</v>
      </c>
      <c r="S615" s="89" t="s">
        <v>806</v>
      </c>
      <c r="T615" s="2301" t="str">
        <f>IF(H149=0,O615,IF($G615=0,"--",IFERROR(_xll.ciqfunctions.udf.CIQ($G615,$S615,U149-1,Valuation_Date_GC,ReportType,DataMode,$H615)*Scale,"--")))</f>
        <v>--</v>
      </c>
      <c r="U615" s="2301" t="str">
        <f>IF($G615=0,"--",IFERROR(IF(_xll.ciqfunctions.udf.CIQ($G615,$S615,U149,Valuation_Date_GC,,DataMode,$H615)*Scale=0,"--",_xll.ciqfunctions.udf.CIQ($G615,$S615,U149,Valuation_Date_GC,ReportType,DataMode,$H615)*Scale),"--"))</f>
        <v>--</v>
      </c>
      <c r="V615" s="2301" t="str">
        <f>IF($G615=0,"--",IFERROR(IF(_xll.ciqfunctions.udf.CIQ($G615,$S615,V149,Valuation_Date_GC,,DataMode,$H615)*Scale=0,"--",_xll.ciqfunctions.udf.CIQ($G615,$S615,V149,Valuation_Date_GC,ReportType,DataMode,$H615)*Scale),"--"))</f>
        <v>--</v>
      </c>
      <c r="W615" s="2301" t="str">
        <f>IF($G615=0,"--",IFERROR(IF(_xll.ciqfunctions.udf.CIQ($G615,$S615,W149,Valuation_Date_GC,,DataMode,$H615)*Scale=0,"--",_xll.ciqfunctions.udf.CIQ($G615,$S615,W149,Valuation_Date_GC,ReportType,DataMode,$H615)*Scale),"--"))</f>
        <v>--</v>
      </c>
      <c r="X615" s="2301" t="str">
        <f>IF($G615=0,"--",IFERROR(IF(_xll.ciqfunctions.udf.CIQ($G615,$S615,X149,Valuation_Date_GC,,DataMode,$H615)*Scale=0,"--",_xll.ciqfunctions.udf.CIQ($G615,$S615,X149,Valuation_Date_GC,ReportType,DataMode,$H615)*Scale),"--"))</f>
        <v>--</v>
      </c>
      <c r="Y615" s="2301" t="str">
        <f>IF($G615=0,"--",IFERROR(IF(_xll.ciqfunctions.udf.CIQ($G615,$S615,Y149,Valuation_Date_GC,,DataMode,$H615)*Scale=0,"--",_xll.ciqfunctions.udf.CIQ($G615,$S615,Y149,Valuation_Date_GC,ReportType,DataMode,$H615)*Scale),"--"))</f>
        <v>--</v>
      </c>
      <c r="Z615" s="2078" t="str">
        <f t="shared" si="174"/>
        <v/>
      </c>
      <c r="AA615" s="2301">
        <f>_xll.ciqfunctions.udf.CIQ($G615,"IQ_REVENUE_NUM_EST",U$97,Valuation_Date_GC,"CON")</f>
        <v>0</v>
      </c>
      <c r="AB615" s="2301">
        <f>_xll.ciqfunctions.udf.CIQ($G615,"IQ_REVENUE_NUM_EST",V$97,Valuation_Date_GC,"CON")</f>
        <v>0</v>
      </c>
      <c r="AC615" s="2301">
        <f>_xll.ciqfunctions.udf.CIQ($G615,"IQ_REVENUE_NUM_EST",W$97,Valuation_Date_GC,"CON")</f>
        <v>0</v>
      </c>
      <c r="AD615" s="2301">
        <f>_xll.ciqfunctions.udf.CIQ($G615,"IQ_REVENUE_NUM_EST",X$97,Valuation_Date_GC,"CON")</f>
        <v>0</v>
      </c>
      <c r="AE615" s="2301">
        <f>_xll.ciqfunctions.udf.CIQ($G615,"IQ_REVENUE_NUM_EST",Y$97,Valuation_Date_GC,"CON")</f>
        <v>0</v>
      </c>
      <c r="AF615" s="2060"/>
      <c r="AG615" s="2060"/>
      <c r="AH615" s="2060"/>
    </row>
    <row r="616" spans="1:34" s="89" customFormat="1" ht="13.9">
      <c r="A616" s="269" t="str">
        <f t="shared" si="175"/>
        <v>n</v>
      </c>
      <c r="B616" s="2060"/>
      <c r="D616" s="801"/>
      <c r="E616" s="1505">
        <v>20</v>
      </c>
      <c r="F616" s="21" t="str">
        <f>F$148</f>
        <v>--</v>
      </c>
      <c r="G616" s="1441">
        <f>G$148</f>
        <v>0</v>
      </c>
      <c r="H616" s="1441" t="str">
        <f>H$148</f>
        <v>--</v>
      </c>
      <c r="I616" s="1513" t="s">
        <v>805</v>
      </c>
      <c r="J616" s="2301" t="str">
        <f>IF($G616=0,"--",IFERROR(_xll.ciqfunctions.udf.CIQ($G616,$I616,J150,Valuation_Date_GC,ReportType,DataMode,$H616,FXMode)*Scale,"--"))</f>
        <v>--</v>
      </c>
      <c r="K616" s="2301" t="str">
        <f>IF($G616=0,"--",IFERROR(_xll.ciqfunctions.udf.CIQ($G616,$I616,K150,Valuation_Date_GC,ReportType,DataMode,$H616,FXMode)*Scale,"--"))</f>
        <v>--</v>
      </c>
      <c r="L616" s="2301" t="str">
        <f>IF($G616=0,"--",IFERROR(_xll.ciqfunctions.udf.CIQ($G616,$I616,L150,Valuation_Date_GC,ReportType,DataMode,$H616,FXMode)*Scale,"--"))</f>
        <v>--</v>
      </c>
      <c r="M616" s="2301" t="str">
        <f>IF($G616=0,"--",IFERROR(_xll.ciqfunctions.udf.CIQ($G616,$I616,M150,Valuation_Date_GC,ReportType,DataMode,$H616,FXMode)*Scale,"--"))</f>
        <v>--</v>
      </c>
      <c r="N616" s="2301" t="str">
        <f>IF($G616=0,"--",IFERROR(_xll.ciqfunctions.udf.CIQ($G616,$I616,N150,Valuation_Date_GC,ReportType,DataMode,$H616,FXMode)*Scale,"--"))</f>
        <v>--</v>
      </c>
      <c r="O616" s="2317" t="str">
        <f>IF($G616=0,"--",IFERROR(IF(O150=1001,_xll.ciqfunctions.udf.CIQ($G616,$S616,O150,Valuation_Date_GC,ReportType,DataMode,$H616,FXMode),_xll.ciqfunctions.udf.CIQ($G616,$I616,O150,Valuation_Date_GC,ReportType,DataMode,$H616,FXMode))*Scale,"--"))</f>
        <v>--</v>
      </c>
      <c r="P616" s="2301" t="str">
        <f>IF($G616=0,"--",IFERROR(_xll.ciqfunctions.udf.CIQ($G616,$I616,P150,Valuation_Date_GC,ReportType,DataMode,$H616,FXMode)*Scale,"--"))</f>
        <v>--</v>
      </c>
      <c r="R616" s="2301" t="str">
        <f>IF($G616=0,"--",IFERROR(_xll.ciqfunctions.udf.CIQ($G616,$I616,R150,Valuation_Date_GC,ReportType,DataMode,$H616,FXMode)*Scale,"--"))</f>
        <v>--</v>
      </c>
      <c r="S616" s="89" t="s">
        <v>806</v>
      </c>
      <c r="T616" s="2301" t="str">
        <f>IF(H150=0,O616,IF($G616=0,"--",IFERROR(_xll.ciqfunctions.udf.CIQ($G616,$S616,U150-1,Valuation_Date_GC,ReportType,DataMode,$H616)*Scale,"--")))</f>
        <v>--</v>
      </c>
      <c r="U616" s="2301" t="str">
        <f>IF($G616=0,"--",IFERROR(IF(_xll.ciqfunctions.udf.CIQ($G616,$S616,U150,Valuation_Date_GC,,DataMode,$H616)*Scale=0,"--",_xll.ciqfunctions.udf.CIQ($G616,$S616,U150,Valuation_Date_GC,ReportType,DataMode,$H616)*Scale),"--"))</f>
        <v>--</v>
      </c>
      <c r="V616" s="2301" t="str">
        <f>IF($G616=0,"--",IFERROR(IF(_xll.ciqfunctions.udf.CIQ($G616,$S616,V150,Valuation_Date_GC,,DataMode,$H616)*Scale=0,"--",_xll.ciqfunctions.udf.CIQ($G616,$S616,V150,Valuation_Date_GC,ReportType,DataMode,$H616)*Scale),"--"))</f>
        <v>--</v>
      </c>
      <c r="W616" s="2301" t="str">
        <f>IF($G616=0,"--",IFERROR(IF(_xll.ciqfunctions.udf.CIQ($G616,$S616,W150,Valuation_Date_GC,,DataMode,$H616)*Scale=0,"--",_xll.ciqfunctions.udf.CIQ($G616,$S616,W150,Valuation_Date_GC,ReportType,DataMode,$H616)*Scale),"--"))</f>
        <v>--</v>
      </c>
      <c r="X616" s="2301" t="str">
        <f>IF($G616=0,"--",IFERROR(IF(_xll.ciqfunctions.udf.CIQ($G616,$S616,X150,Valuation_Date_GC,,DataMode,$H616)*Scale=0,"--",_xll.ciqfunctions.udf.CIQ($G616,$S616,X150,Valuation_Date_GC,ReportType,DataMode,$H616)*Scale),"--"))</f>
        <v>--</v>
      </c>
      <c r="Y616" s="2301" t="str">
        <f>IF($G616=0,"--",IFERROR(IF(_xll.ciqfunctions.udf.CIQ($G616,$S616,Y150,Valuation_Date_GC,,DataMode,$H616)*Scale=0,"--",_xll.ciqfunctions.udf.CIQ($G616,$S616,Y150,Valuation_Date_GC,ReportType,DataMode,$H616)*Scale),"--"))</f>
        <v>--</v>
      </c>
      <c r="Z616" s="2078" t="str">
        <f t="shared" si="174"/>
        <v/>
      </c>
      <c r="AA616" s="2301">
        <f>_xll.ciqfunctions.udf.CIQ($G616,"IQ_REVENUE_NUM_EST",U$97,Valuation_Date_GC,"CON")</f>
        <v>0</v>
      </c>
      <c r="AB616" s="2301">
        <f>_xll.ciqfunctions.udf.CIQ($G616,"IQ_REVENUE_NUM_EST",V$97,Valuation_Date_GC,"CON")</f>
        <v>0</v>
      </c>
      <c r="AC616" s="2301">
        <f>_xll.ciqfunctions.udf.CIQ($G616,"IQ_REVENUE_NUM_EST",W$97,Valuation_Date_GC,"CON")</f>
        <v>0</v>
      </c>
      <c r="AD616" s="2301">
        <f>_xll.ciqfunctions.udf.CIQ($G616,"IQ_REVENUE_NUM_EST",X$97,Valuation_Date_GC,"CON")</f>
        <v>0</v>
      </c>
      <c r="AE616" s="2301">
        <f>_xll.ciqfunctions.udf.CIQ($G616,"IQ_REVENUE_NUM_EST",Y$97,Valuation_Date_GC,"CON")</f>
        <v>0</v>
      </c>
      <c r="AF616" s="2060"/>
      <c r="AG616" s="2060"/>
      <c r="AH616" s="2060"/>
    </row>
    <row r="617" spans="1:34" s="89" customFormat="1" ht="13.9">
      <c r="A617" s="269" t="str">
        <f t="shared" si="175"/>
        <v>n</v>
      </c>
      <c r="B617" s="2060"/>
      <c r="D617" s="801"/>
      <c r="E617" s="1505">
        <v>21</v>
      </c>
      <c r="F617" s="21" t="str">
        <f>F$149</f>
        <v>--</v>
      </c>
      <c r="G617" s="1441">
        <f>G$149</f>
        <v>0</v>
      </c>
      <c r="H617" s="1441" t="str">
        <f>H$149</f>
        <v>--</v>
      </c>
      <c r="I617" s="1513" t="s">
        <v>805</v>
      </c>
      <c r="J617" s="2301" t="str">
        <f>IF($G617=0,"--",IFERROR(_xll.ciqfunctions.udf.CIQ($G617,$I617,J151,Valuation_Date_GC,ReportType,DataMode,$H617,FXMode)*Scale,"--"))</f>
        <v>--</v>
      </c>
      <c r="K617" s="2301" t="str">
        <f>IF($G617=0,"--",IFERROR(_xll.ciqfunctions.udf.CIQ($G617,$I617,K151,Valuation_Date_GC,ReportType,DataMode,$H617,FXMode)*Scale,"--"))</f>
        <v>--</v>
      </c>
      <c r="L617" s="2301" t="str">
        <f>IF($G617=0,"--",IFERROR(_xll.ciqfunctions.udf.CIQ($G617,$I617,L151,Valuation_Date_GC,ReportType,DataMode,$H617,FXMode)*Scale,"--"))</f>
        <v>--</v>
      </c>
      <c r="M617" s="2301" t="str">
        <f>IF($G617=0,"--",IFERROR(_xll.ciqfunctions.udf.CIQ($G617,$I617,M151,Valuation_Date_GC,ReportType,DataMode,$H617,FXMode)*Scale,"--"))</f>
        <v>--</v>
      </c>
      <c r="N617" s="2301" t="str">
        <f>IF($G617=0,"--",IFERROR(_xll.ciqfunctions.udf.CIQ($G617,$I617,N151,Valuation_Date_GC,ReportType,DataMode,$H617,FXMode)*Scale,"--"))</f>
        <v>--</v>
      </c>
      <c r="O617" s="2317" t="str">
        <f>IF($G617=0,"--",IFERROR(IF(O151=1001,_xll.ciqfunctions.udf.CIQ($G617,$S617,O151,Valuation_Date_GC,ReportType,DataMode,$H617,FXMode),_xll.ciqfunctions.udf.CIQ($G617,$I617,O151,Valuation_Date_GC,ReportType,DataMode,$H617,FXMode))*Scale,"--"))</f>
        <v>--</v>
      </c>
      <c r="P617" s="2301" t="str">
        <f>IF($G617=0,"--",IFERROR(_xll.ciqfunctions.udf.CIQ($G617,$I617,P151,Valuation_Date_GC,ReportType,DataMode,$H617,FXMode)*Scale,"--"))</f>
        <v>--</v>
      </c>
      <c r="R617" s="2301" t="str">
        <f>IF($G617=0,"--",IFERROR(_xll.ciqfunctions.udf.CIQ($G617,$I617,R151,Valuation_Date_GC,ReportType,DataMode,$H617,FXMode)*Scale,"--"))</f>
        <v>--</v>
      </c>
      <c r="S617" s="89" t="s">
        <v>806</v>
      </c>
      <c r="T617" s="2301" t="str">
        <f>IF(H151=0,O617,IF($G617=0,"--",IFERROR(_xll.ciqfunctions.udf.CIQ($G617,$S617,U151-1,Valuation_Date_GC,ReportType,DataMode,$H617)*Scale,"--")))</f>
        <v>--</v>
      </c>
      <c r="U617" s="2301" t="str">
        <f>IF($G617=0,"--",IFERROR(IF(_xll.ciqfunctions.udf.CIQ($G617,$S617,U151,Valuation_Date_GC,,DataMode,$H617)*Scale=0,"--",_xll.ciqfunctions.udf.CIQ($G617,$S617,U151,Valuation_Date_GC,ReportType,DataMode,$H617)*Scale),"--"))</f>
        <v>--</v>
      </c>
      <c r="V617" s="2301" t="str">
        <f>IF($G617=0,"--",IFERROR(IF(_xll.ciqfunctions.udf.CIQ($G617,$S617,V151,Valuation_Date_GC,,DataMode,$H617)*Scale=0,"--",_xll.ciqfunctions.udf.CIQ($G617,$S617,V151,Valuation_Date_GC,ReportType,DataMode,$H617)*Scale),"--"))</f>
        <v>--</v>
      </c>
      <c r="W617" s="2301" t="str">
        <f>IF($G617=0,"--",IFERROR(IF(_xll.ciqfunctions.udf.CIQ($G617,$S617,W151,Valuation_Date_GC,,DataMode,$H617)*Scale=0,"--",_xll.ciqfunctions.udf.CIQ($G617,$S617,W151,Valuation_Date_GC,ReportType,DataMode,$H617)*Scale),"--"))</f>
        <v>--</v>
      </c>
      <c r="X617" s="2301" t="str">
        <f>IF($G617=0,"--",IFERROR(IF(_xll.ciqfunctions.udf.CIQ($G617,$S617,X151,Valuation_Date_GC,,DataMode,$H617)*Scale=0,"--",_xll.ciqfunctions.udf.CIQ($G617,$S617,X151,Valuation_Date_GC,ReportType,DataMode,$H617)*Scale),"--"))</f>
        <v>--</v>
      </c>
      <c r="Y617" s="2301" t="str">
        <f>IF($G617=0,"--",IFERROR(IF(_xll.ciqfunctions.udf.CIQ($G617,$S617,Y151,Valuation_Date_GC,,DataMode,$H617)*Scale=0,"--",_xll.ciqfunctions.udf.CIQ($G617,$S617,Y151,Valuation_Date_GC,ReportType,DataMode,$H617)*Scale),"--"))</f>
        <v>--</v>
      </c>
      <c r="Z617" s="2078" t="str">
        <f t="shared" si="174"/>
        <v/>
      </c>
      <c r="AA617" s="2301">
        <f>_xll.ciqfunctions.udf.CIQ($G617,"IQ_REVENUE_NUM_EST",U$97,Valuation_Date_GC,"CON")</f>
        <v>0</v>
      </c>
      <c r="AB617" s="2301">
        <f>_xll.ciqfunctions.udf.CIQ($G617,"IQ_REVENUE_NUM_EST",V$97,Valuation_Date_GC,"CON")</f>
        <v>0</v>
      </c>
      <c r="AC617" s="2301">
        <f>_xll.ciqfunctions.udf.CIQ($G617,"IQ_REVENUE_NUM_EST",W$97,Valuation_Date_GC,"CON")</f>
        <v>0</v>
      </c>
      <c r="AD617" s="2301">
        <f>_xll.ciqfunctions.udf.CIQ($G617,"IQ_REVENUE_NUM_EST",X$97,Valuation_Date_GC,"CON")</f>
        <v>0</v>
      </c>
      <c r="AE617" s="2301">
        <f>_xll.ciqfunctions.udf.CIQ($G617,"IQ_REVENUE_NUM_EST",Y$97,Valuation_Date_GC,"CON")</f>
        <v>0</v>
      </c>
      <c r="AF617" s="2060"/>
      <c r="AG617" s="2060"/>
      <c r="AH617" s="2060"/>
    </row>
    <row r="618" spans="1:34" s="89" customFormat="1" ht="13.9">
      <c r="A618" s="269" t="str">
        <f t="shared" si="175"/>
        <v>n</v>
      </c>
      <c r="B618" s="2060"/>
      <c r="D618" s="801"/>
      <c r="E618" s="1505">
        <v>22</v>
      </c>
      <c r="F618" s="21" t="str">
        <f>F$150</f>
        <v>--</v>
      </c>
      <c r="G618" s="1441">
        <f>G$150</f>
        <v>0</v>
      </c>
      <c r="H618" s="1441" t="str">
        <f>H$150</f>
        <v>--</v>
      </c>
      <c r="I618" s="1513" t="s">
        <v>805</v>
      </c>
      <c r="J618" s="2301" t="str">
        <f>IF($G618=0,"--",IFERROR(_xll.ciqfunctions.udf.CIQ($G618,$I618,J152,Valuation_Date_GC,ReportType,DataMode,$H618,FXMode)*Scale,"--"))</f>
        <v>--</v>
      </c>
      <c r="K618" s="2301" t="str">
        <f>IF($G618=0,"--",IFERROR(_xll.ciqfunctions.udf.CIQ($G618,$I618,K152,Valuation_Date_GC,ReportType,DataMode,$H618,FXMode)*Scale,"--"))</f>
        <v>--</v>
      </c>
      <c r="L618" s="2301" t="str">
        <f>IF($G618=0,"--",IFERROR(_xll.ciqfunctions.udf.CIQ($G618,$I618,L152,Valuation_Date_GC,ReportType,DataMode,$H618,FXMode)*Scale,"--"))</f>
        <v>--</v>
      </c>
      <c r="M618" s="2301" t="str">
        <f>IF($G618=0,"--",IFERROR(_xll.ciqfunctions.udf.CIQ($G618,$I618,M152,Valuation_Date_GC,ReportType,DataMode,$H618,FXMode)*Scale,"--"))</f>
        <v>--</v>
      </c>
      <c r="N618" s="2301" t="str">
        <f>IF($G618=0,"--",IFERROR(_xll.ciqfunctions.udf.CIQ($G618,$I618,N152,Valuation_Date_GC,ReportType,DataMode,$H618,FXMode)*Scale,"--"))</f>
        <v>--</v>
      </c>
      <c r="O618" s="2317" t="str">
        <f>IF($G618=0,"--",IFERROR(IF(O152=1001,_xll.ciqfunctions.udf.CIQ($G618,$S618,O152,Valuation_Date_GC,ReportType,DataMode,$H618,FXMode),_xll.ciqfunctions.udf.CIQ($G618,$I618,O152,Valuation_Date_GC,ReportType,DataMode,$H618,FXMode))*Scale,"--"))</f>
        <v>--</v>
      </c>
      <c r="P618" s="2301" t="str">
        <f>IF($G618=0,"--",IFERROR(_xll.ciqfunctions.udf.CIQ($G618,$I618,P152,Valuation_Date_GC,ReportType,DataMode,$H618,FXMode)*Scale,"--"))</f>
        <v>--</v>
      </c>
      <c r="R618" s="2301" t="str">
        <f>IF($G618=0,"--",IFERROR(_xll.ciqfunctions.udf.CIQ($G618,$I618,R152,Valuation_Date_GC,ReportType,DataMode,$H618,FXMode)*Scale,"--"))</f>
        <v>--</v>
      </c>
      <c r="S618" s="89" t="s">
        <v>806</v>
      </c>
      <c r="T618" s="2301" t="str">
        <f>IF(H152=0,O618,IF($G618=0,"--",IFERROR(_xll.ciqfunctions.udf.CIQ($G618,$S618,U152-1,Valuation_Date_GC,ReportType,DataMode,$H618)*Scale,"--")))</f>
        <v>--</v>
      </c>
      <c r="U618" s="2301" t="str">
        <f>IF($G618=0,"--",IFERROR(IF(_xll.ciqfunctions.udf.CIQ($G618,$S618,U152,Valuation_Date_GC,,DataMode,$H618)*Scale=0,"--",_xll.ciqfunctions.udf.CIQ($G618,$S618,U152,Valuation_Date_GC,ReportType,DataMode,$H618)*Scale),"--"))</f>
        <v>--</v>
      </c>
      <c r="V618" s="2301" t="str">
        <f>IF($G618=0,"--",IFERROR(IF(_xll.ciqfunctions.udf.CIQ($G618,$S618,V152,Valuation_Date_GC,,DataMode,$H618)*Scale=0,"--",_xll.ciqfunctions.udf.CIQ($G618,$S618,V152,Valuation_Date_GC,ReportType,DataMode,$H618)*Scale),"--"))</f>
        <v>--</v>
      </c>
      <c r="W618" s="2301" t="str">
        <f>IF($G618=0,"--",IFERROR(IF(_xll.ciqfunctions.udf.CIQ($G618,$S618,W152,Valuation_Date_GC,,DataMode,$H618)*Scale=0,"--",_xll.ciqfunctions.udf.CIQ($G618,$S618,W152,Valuation_Date_GC,ReportType,DataMode,$H618)*Scale),"--"))</f>
        <v>--</v>
      </c>
      <c r="X618" s="2301" t="str">
        <f>IF($G618=0,"--",IFERROR(IF(_xll.ciqfunctions.udf.CIQ($G618,$S618,X152,Valuation_Date_GC,,DataMode,$H618)*Scale=0,"--",_xll.ciqfunctions.udf.CIQ($G618,$S618,X152,Valuation_Date_GC,ReportType,DataMode,$H618)*Scale),"--"))</f>
        <v>--</v>
      </c>
      <c r="Y618" s="2301" t="str">
        <f>IF($G618=0,"--",IFERROR(IF(_xll.ciqfunctions.udf.CIQ($G618,$S618,Y152,Valuation_Date_GC,,DataMode,$H618)*Scale=0,"--",_xll.ciqfunctions.udf.CIQ($G618,$S618,Y152,Valuation_Date_GC,ReportType,DataMode,$H618)*Scale),"--"))</f>
        <v>--</v>
      </c>
      <c r="Z618" s="2078" t="str">
        <f t="shared" si="174"/>
        <v/>
      </c>
      <c r="AA618" s="2301">
        <f>_xll.ciqfunctions.udf.CIQ($G618,"IQ_REVENUE_NUM_EST",U$97,Valuation_Date_GC,"CON")</f>
        <v>0</v>
      </c>
      <c r="AB618" s="2301">
        <f>_xll.ciqfunctions.udf.CIQ($G618,"IQ_REVENUE_NUM_EST",V$97,Valuation_Date_GC,"CON")</f>
        <v>0</v>
      </c>
      <c r="AC618" s="2301">
        <f>_xll.ciqfunctions.udf.CIQ($G618,"IQ_REVENUE_NUM_EST",W$97,Valuation_Date_GC,"CON")</f>
        <v>0</v>
      </c>
      <c r="AD618" s="2301">
        <f>_xll.ciqfunctions.udf.CIQ($G618,"IQ_REVENUE_NUM_EST",X$97,Valuation_Date_GC,"CON")</f>
        <v>0</v>
      </c>
      <c r="AE618" s="2301">
        <f>_xll.ciqfunctions.udf.CIQ($G618,"IQ_REVENUE_NUM_EST",Y$97,Valuation_Date_GC,"CON")</f>
        <v>0</v>
      </c>
      <c r="AF618" s="2060"/>
      <c r="AG618" s="2060"/>
      <c r="AH618" s="2060"/>
    </row>
    <row r="619" spans="1:34" s="89" customFormat="1" ht="13.9">
      <c r="A619" s="269" t="str">
        <f t="shared" si="175"/>
        <v>n</v>
      </c>
      <c r="B619" s="2060"/>
      <c r="D619" s="801"/>
      <c r="E619" s="1505">
        <v>23</v>
      </c>
      <c r="F619" s="21" t="str">
        <f>F$151</f>
        <v>--</v>
      </c>
      <c r="G619" s="1441">
        <f>G$151</f>
        <v>0</v>
      </c>
      <c r="H619" s="1441" t="str">
        <f>H$151</f>
        <v>--</v>
      </c>
      <c r="I619" s="1513" t="s">
        <v>805</v>
      </c>
      <c r="J619" s="2301" t="str">
        <f>IF($G619=0,"--",IFERROR(_xll.ciqfunctions.udf.CIQ($G619,$I619,J153,Valuation_Date_GC,ReportType,DataMode,$H619,FXMode)*Scale,"--"))</f>
        <v>--</v>
      </c>
      <c r="K619" s="2301" t="str">
        <f>IF($G619=0,"--",IFERROR(_xll.ciqfunctions.udf.CIQ($G619,$I619,K153,Valuation_Date_GC,ReportType,DataMode,$H619,FXMode)*Scale,"--"))</f>
        <v>--</v>
      </c>
      <c r="L619" s="2301" t="str">
        <f>IF($G619=0,"--",IFERROR(_xll.ciqfunctions.udf.CIQ($G619,$I619,L153,Valuation_Date_GC,ReportType,DataMode,$H619,FXMode)*Scale,"--"))</f>
        <v>--</v>
      </c>
      <c r="M619" s="2301" t="str">
        <f>IF($G619=0,"--",IFERROR(_xll.ciqfunctions.udf.CIQ($G619,$I619,M153,Valuation_Date_GC,ReportType,DataMode,$H619,FXMode)*Scale,"--"))</f>
        <v>--</v>
      </c>
      <c r="N619" s="2301" t="str">
        <f>IF($G619=0,"--",IFERROR(_xll.ciqfunctions.udf.CIQ($G619,$I619,N153,Valuation_Date_GC,ReportType,DataMode,$H619,FXMode)*Scale,"--"))</f>
        <v>--</v>
      </c>
      <c r="O619" s="2317" t="str">
        <f>IF($G619=0,"--",IFERROR(IF(O153=1001,_xll.ciqfunctions.udf.CIQ($G619,$S619,O153,Valuation_Date_GC,ReportType,DataMode,$H619,FXMode),_xll.ciqfunctions.udf.CIQ($G619,$I619,O153,Valuation_Date_GC,ReportType,DataMode,$H619,FXMode))*Scale,"--"))</f>
        <v>--</v>
      </c>
      <c r="P619" s="2301" t="str">
        <f>IF($G619=0,"--",IFERROR(_xll.ciqfunctions.udf.CIQ($G619,$I619,P153,Valuation_Date_GC,ReportType,DataMode,$H619,FXMode)*Scale,"--"))</f>
        <v>--</v>
      </c>
      <c r="R619" s="2301" t="str">
        <f>IF($G619=0,"--",IFERROR(_xll.ciqfunctions.udf.CIQ($G619,$I619,R153,Valuation_Date_GC,ReportType,DataMode,$H619,FXMode)*Scale,"--"))</f>
        <v>--</v>
      </c>
      <c r="S619" s="89" t="s">
        <v>806</v>
      </c>
      <c r="T619" s="2301" t="str">
        <f>IF(H153=0,O619,IF($G619=0,"--",IFERROR(_xll.ciqfunctions.udf.CIQ($G619,$S619,U153-1,Valuation_Date_GC,ReportType,DataMode,$H619)*Scale,"--")))</f>
        <v>--</v>
      </c>
      <c r="U619" s="2301" t="str">
        <f>IF($G619=0,"--",IFERROR(IF(_xll.ciqfunctions.udf.CIQ($G619,$S619,U153,Valuation_Date_GC,,DataMode,$H619)*Scale=0,"--",_xll.ciqfunctions.udf.CIQ($G619,$S619,U153,Valuation_Date_GC,ReportType,DataMode,$H619)*Scale),"--"))</f>
        <v>--</v>
      </c>
      <c r="V619" s="2301" t="str">
        <f>IF($G619=0,"--",IFERROR(IF(_xll.ciqfunctions.udf.CIQ($G619,$S619,V153,Valuation_Date_GC,,DataMode,$H619)*Scale=0,"--",_xll.ciqfunctions.udf.CIQ($G619,$S619,V153,Valuation_Date_GC,ReportType,DataMode,$H619)*Scale),"--"))</f>
        <v>--</v>
      </c>
      <c r="W619" s="2301" t="str">
        <f>IF($G619=0,"--",IFERROR(IF(_xll.ciqfunctions.udf.CIQ($G619,$S619,W153,Valuation_Date_GC,,DataMode,$H619)*Scale=0,"--",_xll.ciqfunctions.udf.CIQ($G619,$S619,W153,Valuation_Date_GC,ReportType,DataMode,$H619)*Scale),"--"))</f>
        <v>--</v>
      </c>
      <c r="X619" s="2301" t="str">
        <f>IF($G619=0,"--",IFERROR(IF(_xll.ciqfunctions.udf.CIQ($G619,$S619,X153,Valuation_Date_GC,,DataMode,$H619)*Scale=0,"--",_xll.ciqfunctions.udf.CIQ($G619,$S619,X153,Valuation_Date_GC,ReportType,DataMode,$H619)*Scale),"--"))</f>
        <v>--</v>
      </c>
      <c r="Y619" s="2301" t="str">
        <f>IF($G619=0,"--",IFERROR(IF(_xll.ciqfunctions.udf.CIQ($G619,$S619,Y153,Valuation_Date_GC,,DataMode,$H619)*Scale=0,"--",_xll.ciqfunctions.udf.CIQ($G619,$S619,Y153,Valuation_Date_GC,ReportType,DataMode,$H619)*Scale),"--"))</f>
        <v>--</v>
      </c>
      <c r="Z619" s="2078" t="str">
        <f t="shared" si="174"/>
        <v/>
      </c>
      <c r="AA619" s="2301">
        <f>_xll.ciqfunctions.udf.CIQ($G619,"IQ_REVENUE_NUM_EST",U$97,Valuation_Date_GC,"CON")</f>
        <v>0</v>
      </c>
      <c r="AB619" s="2301">
        <f>_xll.ciqfunctions.udf.CIQ($G619,"IQ_REVENUE_NUM_EST",V$97,Valuation_Date_GC,"CON")</f>
        <v>0</v>
      </c>
      <c r="AC619" s="2301">
        <f>_xll.ciqfunctions.udf.CIQ($G619,"IQ_REVENUE_NUM_EST",W$97,Valuation_Date_GC,"CON")</f>
        <v>0</v>
      </c>
      <c r="AD619" s="2301">
        <f>_xll.ciqfunctions.udf.CIQ($G619,"IQ_REVENUE_NUM_EST",X$97,Valuation_Date_GC,"CON")</f>
        <v>0</v>
      </c>
      <c r="AE619" s="2301">
        <f>_xll.ciqfunctions.udf.CIQ($G619,"IQ_REVENUE_NUM_EST",Y$97,Valuation_Date_GC,"CON")</f>
        <v>0</v>
      </c>
      <c r="AF619" s="2060"/>
      <c r="AG619" s="2060"/>
      <c r="AH619" s="2060"/>
    </row>
    <row r="620" spans="1:34" s="89" customFormat="1" ht="13.9">
      <c r="A620" s="269" t="str">
        <f t="shared" si="175"/>
        <v>n</v>
      </c>
      <c r="B620" s="2060"/>
      <c r="D620" s="801"/>
      <c r="E620" s="1505">
        <v>24</v>
      </c>
      <c r="F620" s="21" t="str">
        <f>F$152</f>
        <v>--</v>
      </c>
      <c r="G620" s="1441">
        <f>G$152</f>
        <v>0</v>
      </c>
      <c r="H620" s="1441" t="str">
        <f>H$152</f>
        <v>--</v>
      </c>
      <c r="I620" s="1513" t="s">
        <v>805</v>
      </c>
      <c r="J620" s="2301" t="str">
        <f>IF($G620=0,"--",IFERROR(_xll.ciqfunctions.udf.CIQ($G620,$I620,J154,Valuation_Date_GC,ReportType,DataMode,$H620,FXMode)*Scale,"--"))</f>
        <v>--</v>
      </c>
      <c r="K620" s="2301" t="str">
        <f>IF($G620=0,"--",IFERROR(_xll.ciqfunctions.udf.CIQ($G620,$I620,K154,Valuation_Date_GC,ReportType,DataMode,$H620,FXMode)*Scale,"--"))</f>
        <v>--</v>
      </c>
      <c r="L620" s="2301" t="str">
        <f>IF($G620=0,"--",IFERROR(_xll.ciqfunctions.udf.CIQ($G620,$I620,L154,Valuation_Date_GC,ReportType,DataMode,$H620,FXMode)*Scale,"--"))</f>
        <v>--</v>
      </c>
      <c r="M620" s="2301" t="str">
        <f>IF($G620=0,"--",IFERROR(_xll.ciqfunctions.udf.CIQ($G620,$I620,M154,Valuation_Date_GC,ReportType,DataMode,$H620,FXMode)*Scale,"--"))</f>
        <v>--</v>
      </c>
      <c r="N620" s="2301" t="str">
        <f>IF($G620=0,"--",IFERROR(_xll.ciqfunctions.udf.CIQ($G620,$I620,N154,Valuation_Date_GC,ReportType,DataMode,$H620,FXMode)*Scale,"--"))</f>
        <v>--</v>
      </c>
      <c r="O620" s="2317" t="str">
        <f>IF($G620=0,"--",IFERROR(IF(O154=1001,_xll.ciqfunctions.udf.CIQ($G620,$S620,O154,Valuation_Date_GC,ReportType,DataMode,$H620,FXMode),_xll.ciqfunctions.udf.CIQ($G620,$I620,O154,Valuation_Date_GC,ReportType,DataMode,$H620,FXMode))*Scale,"--"))</f>
        <v>--</v>
      </c>
      <c r="P620" s="2301" t="str">
        <f>IF($G620=0,"--",IFERROR(_xll.ciqfunctions.udf.CIQ($G620,$I620,P154,Valuation_Date_GC,ReportType,DataMode,$H620,FXMode)*Scale,"--"))</f>
        <v>--</v>
      </c>
      <c r="R620" s="2301" t="str">
        <f>IF($G620=0,"--",IFERROR(_xll.ciqfunctions.udf.CIQ($G620,$I620,R154,Valuation_Date_GC,ReportType,DataMode,$H620,FXMode)*Scale,"--"))</f>
        <v>--</v>
      </c>
      <c r="S620" s="89" t="s">
        <v>806</v>
      </c>
      <c r="T620" s="2301" t="str">
        <f>IF(H154=0,O620,IF($G620=0,"--",IFERROR(_xll.ciqfunctions.udf.CIQ($G620,$S620,U154-1,Valuation_Date_GC,ReportType,DataMode,$H620)*Scale,"--")))</f>
        <v>--</v>
      </c>
      <c r="U620" s="2301" t="str">
        <f>IF($G620=0,"--",IFERROR(IF(_xll.ciqfunctions.udf.CIQ($G620,$S620,U154,Valuation_Date_GC,,DataMode,$H620)*Scale=0,"--",_xll.ciqfunctions.udf.CIQ($G620,$S620,U154,Valuation_Date_GC,ReportType,DataMode,$H620)*Scale),"--"))</f>
        <v>--</v>
      </c>
      <c r="V620" s="2301" t="str">
        <f>IF($G620=0,"--",IFERROR(IF(_xll.ciqfunctions.udf.CIQ($G620,$S620,V154,Valuation_Date_GC,,DataMode,$H620)*Scale=0,"--",_xll.ciqfunctions.udf.CIQ($G620,$S620,V154,Valuation_Date_GC,ReportType,DataMode,$H620)*Scale),"--"))</f>
        <v>--</v>
      </c>
      <c r="W620" s="2301" t="str">
        <f>IF($G620=0,"--",IFERROR(IF(_xll.ciqfunctions.udf.CIQ($G620,$S620,W154,Valuation_Date_GC,,DataMode,$H620)*Scale=0,"--",_xll.ciqfunctions.udf.CIQ($G620,$S620,W154,Valuation_Date_GC,ReportType,DataMode,$H620)*Scale),"--"))</f>
        <v>--</v>
      </c>
      <c r="X620" s="2301" t="str">
        <f>IF($G620=0,"--",IFERROR(IF(_xll.ciqfunctions.udf.CIQ($G620,$S620,X154,Valuation_Date_GC,,DataMode,$H620)*Scale=0,"--",_xll.ciqfunctions.udf.CIQ($G620,$S620,X154,Valuation_Date_GC,ReportType,DataMode,$H620)*Scale),"--"))</f>
        <v>--</v>
      </c>
      <c r="Y620" s="2301" t="str">
        <f>IF($G620=0,"--",IFERROR(IF(_xll.ciqfunctions.udf.CIQ($G620,$S620,Y154,Valuation_Date_GC,,DataMode,$H620)*Scale=0,"--",_xll.ciqfunctions.udf.CIQ($G620,$S620,Y154,Valuation_Date_GC,ReportType,DataMode,$H620)*Scale),"--"))</f>
        <v>--</v>
      </c>
      <c r="Z620" s="2078">
        <f t="shared" si="174"/>
        <v>0</v>
      </c>
      <c r="AA620" s="2301">
        <f>_xll.ciqfunctions.udf.CIQ($G620,"IQ_REVENUE_NUM_EST",U$97,Valuation_Date_GC,"CON")</f>
        <v>0</v>
      </c>
      <c r="AB620" s="2301">
        <f>_xll.ciqfunctions.udf.CIQ($G620,"IQ_REVENUE_NUM_EST",V$97,Valuation_Date_GC,"CON")</f>
        <v>0</v>
      </c>
      <c r="AC620" s="2301">
        <f>_xll.ciqfunctions.udf.CIQ($G620,"IQ_REVENUE_NUM_EST",W$97,Valuation_Date_GC,"CON")</f>
        <v>0</v>
      </c>
      <c r="AD620" s="2301">
        <f>_xll.ciqfunctions.udf.CIQ($G620,"IQ_REVENUE_NUM_EST",X$97,Valuation_Date_GC,"CON")</f>
        <v>0</v>
      </c>
      <c r="AE620" s="2301">
        <f>_xll.ciqfunctions.udf.CIQ($G620,"IQ_REVENUE_NUM_EST",Y$97,Valuation_Date_GC,"CON")</f>
        <v>0</v>
      </c>
      <c r="AF620" s="2060"/>
      <c r="AG620" s="2060"/>
      <c r="AH620" s="2060"/>
    </row>
    <row r="621" spans="1:34" s="89" customFormat="1" ht="13.9">
      <c r="A621" s="269" t="str">
        <f t="shared" si="175"/>
        <v>n</v>
      </c>
      <c r="B621" s="2060"/>
      <c r="D621" s="801"/>
      <c r="E621" s="1505">
        <v>25</v>
      </c>
      <c r="F621" s="21" t="str">
        <f>F$153</f>
        <v>--</v>
      </c>
      <c r="G621" s="1441">
        <f>G$153</f>
        <v>0</v>
      </c>
      <c r="H621" s="1441" t="str">
        <f>H$153</f>
        <v>--</v>
      </c>
      <c r="I621" s="1513" t="s">
        <v>805</v>
      </c>
      <c r="J621" s="2301" t="str">
        <f>IF($G621=0,"--",IFERROR(_xll.ciqfunctions.udf.CIQ($G621,$I621,J155,Valuation_Date_GC,ReportType,DataMode,$H621,FXMode)*Scale,"--"))</f>
        <v>--</v>
      </c>
      <c r="K621" s="2301" t="str">
        <f>IF($G621=0,"--",IFERROR(_xll.ciqfunctions.udf.CIQ($G621,$I621,K155,Valuation_Date_GC,ReportType,DataMode,$H621,FXMode)*Scale,"--"))</f>
        <v>--</v>
      </c>
      <c r="L621" s="2301" t="str">
        <f>IF($G621=0,"--",IFERROR(_xll.ciqfunctions.udf.CIQ($G621,$I621,L155,Valuation_Date_GC,ReportType,DataMode,$H621,FXMode)*Scale,"--"))</f>
        <v>--</v>
      </c>
      <c r="M621" s="2301" t="str">
        <f>IF($G621=0,"--",IFERROR(_xll.ciqfunctions.udf.CIQ($G621,$I621,M155,Valuation_Date_GC,ReportType,DataMode,$H621,FXMode)*Scale,"--"))</f>
        <v>--</v>
      </c>
      <c r="N621" s="2301" t="str">
        <f>IF($G621=0,"--",IFERROR(_xll.ciqfunctions.udf.CIQ($G621,$I621,N155,Valuation_Date_GC,ReportType,DataMode,$H621,FXMode)*Scale,"--"))</f>
        <v>--</v>
      </c>
      <c r="O621" s="2317" t="str">
        <f>IF($G621=0,"--",IFERROR(IF(O155=1001,_xll.ciqfunctions.udf.CIQ($G621,$S621,O155,Valuation_Date_GC,ReportType,DataMode,$H621,FXMode),_xll.ciqfunctions.udf.CIQ($G621,$I621,O155,Valuation_Date_GC,ReportType,DataMode,$H621,FXMode))*Scale,"--"))</f>
        <v>--</v>
      </c>
      <c r="P621" s="2301" t="str">
        <f>IF($G621=0,"--",IFERROR(_xll.ciqfunctions.udf.CIQ($G621,$I621,P155,Valuation_Date_GC,ReportType,DataMode,$H621,FXMode)*Scale,"--"))</f>
        <v>--</v>
      </c>
      <c r="R621" s="2301" t="str">
        <f>IF($G621=0,"--",IFERROR(_xll.ciqfunctions.udf.CIQ($G621,$I621,R155,Valuation_Date_GC,ReportType,DataMode,$H621,FXMode)*Scale,"--"))</f>
        <v>--</v>
      </c>
      <c r="S621" s="89" t="s">
        <v>806</v>
      </c>
      <c r="T621" s="2301" t="str">
        <f>IF(H155=0,O621,IF($G621=0,"--",IFERROR(_xll.ciqfunctions.udf.CIQ($G621,$S621,U155-1,Valuation_Date_GC,ReportType,DataMode,$H621)*Scale,"--")))</f>
        <v>--</v>
      </c>
      <c r="U621" s="2301" t="str">
        <f>IF($G621=0,"--",IFERROR(IF(_xll.ciqfunctions.udf.CIQ($G621,$S621,U155,Valuation_Date_GC,,DataMode,$H621)*Scale=0,"--",_xll.ciqfunctions.udf.CIQ($G621,$S621,U155,Valuation_Date_GC,ReportType,DataMode,$H621)*Scale),"--"))</f>
        <v>--</v>
      </c>
      <c r="V621" s="2301" t="str">
        <f>IF($G621=0,"--",IFERROR(IF(_xll.ciqfunctions.udf.CIQ($G621,$S621,V155,Valuation_Date_GC,,DataMode,$H621)*Scale=0,"--",_xll.ciqfunctions.udf.CIQ($G621,$S621,V155,Valuation_Date_GC,ReportType,DataMode,$H621)*Scale),"--"))</f>
        <v>--</v>
      </c>
      <c r="W621" s="2301" t="str">
        <f>IF($G621=0,"--",IFERROR(IF(_xll.ciqfunctions.udf.CIQ($G621,$S621,W155,Valuation_Date_GC,,DataMode,$H621)*Scale=0,"--",_xll.ciqfunctions.udf.CIQ($G621,$S621,W155,Valuation_Date_GC,ReportType,DataMode,$H621)*Scale),"--"))</f>
        <v>--</v>
      </c>
      <c r="X621" s="2301" t="str">
        <f>IF($G621=0,"--",IFERROR(IF(_xll.ciqfunctions.udf.CIQ($G621,$S621,X155,Valuation_Date_GC,,DataMode,$H621)*Scale=0,"--",_xll.ciqfunctions.udf.CIQ($G621,$S621,X155,Valuation_Date_GC,ReportType,DataMode,$H621)*Scale),"--"))</f>
        <v>--</v>
      </c>
      <c r="Y621" s="2301" t="str">
        <f>IF($G621=0,"--",IFERROR(IF(_xll.ciqfunctions.udf.CIQ($G621,$S621,Y155,Valuation_Date_GC,,DataMode,$H621)*Scale=0,"--",_xll.ciqfunctions.udf.CIQ($G621,$S621,Y155,Valuation_Date_GC,ReportType,DataMode,$H621)*Scale),"--"))</f>
        <v>--</v>
      </c>
      <c r="Z621" s="2078">
        <f t="shared" si="174"/>
        <v>0</v>
      </c>
      <c r="AA621" s="2301">
        <f>_xll.ciqfunctions.udf.CIQ($G621,"IQ_REVENUE_NUM_EST",U$97,Valuation_Date_GC,"CON")</f>
        <v>0</v>
      </c>
      <c r="AB621" s="2301">
        <f>_xll.ciqfunctions.udf.CIQ($G621,"IQ_REVENUE_NUM_EST",V$97,Valuation_Date_GC,"CON")</f>
        <v>0</v>
      </c>
      <c r="AC621" s="2301">
        <f>_xll.ciqfunctions.udf.CIQ($G621,"IQ_REVENUE_NUM_EST",W$97,Valuation_Date_GC,"CON")</f>
        <v>0</v>
      </c>
      <c r="AD621" s="2301">
        <f>_xll.ciqfunctions.udf.CIQ($G621,"IQ_REVENUE_NUM_EST",X$97,Valuation_Date_GC,"CON")</f>
        <v>0</v>
      </c>
      <c r="AE621" s="2301">
        <f>_xll.ciqfunctions.udf.CIQ($G621,"IQ_REVENUE_NUM_EST",Y$97,Valuation_Date_GC,"CON")</f>
        <v>0</v>
      </c>
      <c r="AF621" s="2060"/>
      <c r="AG621" s="2060"/>
      <c r="AH621" s="2060"/>
    </row>
    <row r="622" spans="1:34" s="89" customFormat="1" ht="13.9">
      <c r="A622" s="2060"/>
      <c r="B622" s="2060"/>
      <c r="D622" s="801"/>
      <c r="F622" s="57" t="s">
        <v>767</v>
      </c>
      <c r="G622" s="1442"/>
      <c r="H622" s="1442"/>
      <c r="I622" s="1442"/>
      <c r="J622" s="1443" t="str">
        <f t="shared" ref="J622:P622" si="176">IFERROR(MEDIAN(J597:J621),"--")</f>
        <v>--</v>
      </c>
      <c r="K622" s="1443" t="str">
        <f t="shared" si="176"/>
        <v>--</v>
      </c>
      <c r="L622" s="1443" t="str">
        <f t="shared" si="176"/>
        <v>--</v>
      </c>
      <c r="M622" s="1443" t="str">
        <f t="shared" si="176"/>
        <v>--</v>
      </c>
      <c r="N622" s="1443" t="str">
        <f t="shared" si="176"/>
        <v>--</v>
      </c>
      <c r="O622" s="1444" t="str">
        <f t="shared" si="176"/>
        <v>--</v>
      </c>
      <c r="P622" s="1443" t="str">
        <f t="shared" si="176"/>
        <v>--</v>
      </c>
      <c r="R622" s="1443" t="str">
        <f>IFERROR(MEDIAN(R597:R621),"--")</f>
        <v>--</v>
      </c>
      <c r="T622" s="1443" t="str">
        <f t="shared" ref="T622:Y622" si="177">IFERROR(MEDIAN(T597:T621),"--")</f>
        <v>--</v>
      </c>
      <c r="U622" s="1443" t="str">
        <f t="shared" si="177"/>
        <v>--</v>
      </c>
      <c r="V622" s="1443" t="str">
        <f t="shared" si="177"/>
        <v>--</v>
      </c>
      <c r="W622" s="1443" t="str">
        <f t="shared" si="177"/>
        <v>--</v>
      </c>
      <c r="X622" s="1443" t="str">
        <f t="shared" si="177"/>
        <v>--</v>
      </c>
      <c r="Y622" s="1443" t="str">
        <f t="shared" si="177"/>
        <v>--</v>
      </c>
      <c r="AA622" s="2060"/>
      <c r="AB622" s="2060"/>
      <c r="AC622" s="2060"/>
      <c r="AD622" s="2060"/>
      <c r="AE622" s="2060"/>
      <c r="AF622" s="2060"/>
      <c r="AG622" s="2060"/>
      <c r="AH622" s="2060"/>
    </row>
    <row r="623" spans="1:34" s="89" customFormat="1" ht="13.9">
      <c r="A623" s="2060"/>
      <c r="B623" s="2060"/>
      <c r="D623" s="803"/>
      <c r="E623" s="56"/>
      <c r="F623" s="21"/>
      <c r="O623" s="75"/>
      <c r="P623" s="76"/>
      <c r="R623" s="255"/>
      <c r="AA623" s="2060"/>
      <c r="AB623" s="2060"/>
      <c r="AC623" s="2060"/>
      <c r="AD623" s="2060"/>
      <c r="AE623" s="2060"/>
      <c r="AF623" s="2060"/>
      <c r="AG623" s="2060"/>
      <c r="AH623" s="2060"/>
    </row>
    <row r="624" spans="1:34" s="89" customFormat="1" ht="13.9">
      <c r="A624" s="2060"/>
      <c r="B624" s="2060"/>
      <c r="D624" s="803"/>
      <c r="E624" s="56"/>
      <c r="F624" s="21"/>
      <c r="O624" s="75"/>
      <c r="P624" s="76"/>
      <c r="AA624" s="2060"/>
      <c r="AB624" s="2060"/>
      <c r="AC624" s="2060"/>
      <c r="AD624" s="2060"/>
      <c r="AE624" s="2060"/>
      <c r="AF624" s="2060"/>
      <c r="AG624" s="2060"/>
      <c r="AH624" s="2060"/>
    </row>
    <row r="625" spans="1:34" s="89" customFormat="1" ht="13.9">
      <c r="A625" s="2060"/>
      <c r="B625" s="2060"/>
      <c r="D625" s="802"/>
      <c r="E625" s="21"/>
      <c r="F625" s="756"/>
      <c r="G625" s="724"/>
      <c r="H625" s="724"/>
      <c r="I625" s="724"/>
      <c r="J625" s="724"/>
      <c r="K625" s="724"/>
      <c r="L625" s="724"/>
      <c r="M625" s="724"/>
      <c r="N625" s="724"/>
      <c r="O625" s="757" t="s">
        <v>768</v>
      </c>
      <c r="P625" s="724"/>
      <c r="R625" s="725"/>
      <c r="S625" s="724"/>
      <c r="T625" s="1029" t="s">
        <v>800</v>
      </c>
      <c r="U625" s="177"/>
      <c r="V625" s="177"/>
      <c r="W625" s="177"/>
      <c r="X625" s="177"/>
      <c r="AA625" s="1029" t="str">
        <f>"Number of estimates included in "&amp;F626&amp;" consensus"</f>
        <v>Number of estimates included in EBITDA consensus</v>
      </c>
      <c r="AB625" s="2060"/>
      <c r="AC625" s="2060"/>
      <c r="AD625" s="2060"/>
      <c r="AE625" s="2060"/>
      <c r="AF625" s="2060"/>
      <c r="AG625" s="2060"/>
      <c r="AH625" s="2060"/>
    </row>
    <row r="626" spans="1:34" s="89" customFormat="1" ht="13.9">
      <c r="A626" s="2060"/>
      <c r="B626" s="2060"/>
      <c r="D626" s="778">
        <f ca="1">MAX(OFFSET(D626,-1,0,-ROW(D626)+1,-2),1)+0.01</f>
        <v>5.0299999999999994</v>
      </c>
      <c r="E626" s="125"/>
      <c r="F626" s="952" t="s">
        <v>247</v>
      </c>
      <c r="G626" s="724" t="s">
        <v>796</v>
      </c>
      <c r="H626" s="724"/>
      <c r="I626" s="724"/>
      <c r="J626" s="758" t="s">
        <v>699</v>
      </c>
      <c r="K626" s="758" t="s">
        <v>700</v>
      </c>
      <c r="L626" s="758" t="s">
        <v>701</v>
      </c>
      <c r="M626" s="758" t="s">
        <v>702</v>
      </c>
      <c r="N626" s="758" t="s">
        <v>703</v>
      </c>
      <c r="O626" s="759" t="s">
        <v>704</v>
      </c>
      <c r="P626" s="725" t="s">
        <v>705</v>
      </c>
      <c r="R626" s="725" t="s">
        <v>706</v>
      </c>
      <c r="S626" s="724" t="s">
        <v>807</v>
      </c>
      <c r="T626" s="725" t="s">
        <v>802</v>
      </c>
      <c r="U626" s="758" t="s">
        <v>707</v>
      </c>
      <c r="V626" s="758" t="s">
        <v>708</v>
      </c>
      <c r="W626" s="758" t="s">
        <v>709</v>
      </c>
      <c r="X626" s="758" t="s">
        <v>710</v>
      </c>
      <c r="Y626" s="758" t="s">
        <v>711</v>
      </c>
      <c r="AA626" s="725" t="str">
        <f>U626</f>
        <v>NFY</v>
      </c>
      <c r="AB626" s="725" t="str">
        <f>V626</f>
        <v>NFY+1</v>
      </c>
      <c r="AC626" s="725" t="str">
        <f>W626</f>
        <v>NFY+2</v>
      </c>
      <c r="AD626" s="725" t="str">
        <f>X626</f>
        <v>NFY+3</v>
      </c>
      <c r="AE626" s="725" t="str">
        <f>Y626</f>
        <v>NFY+4</v>
      </c>
      <c r="AF626" s="2060"/>
      <c r="AG626" s="2060"/>
      <c r="AH626" s="2060"/>
    </row>
    <row r="627" spans="1:34" s="89" customFormat="1" ht="13.9">
      <c r="A627" s="2060"/>
      <c r="B627" s="2060"/>
      <c r="D627" s="778"/>
      <c r="E627" s="1505">
        <v>0</v>
      </c>
      <c r="F627" s="1448" t="str">
        <f>F$128</f>
        <v/>
      </c>
      <c r="G627" s="1449">
        <f>G$128</f>
        <v>0</v>
      </c>
      <c r="H627" s="1449" t="str">
        <f>H$128</f>
        <v>USD</v>
      </c>
      <c r="I627" s="1450" t="s">
        <v>808</v>
      </c>
      <c r="J627" s="2304">
        <f>'INC STAT Hist Input'!E20</f>
        <v>0</v>
      </c>
      <c r="K627" s="2304">
        <f>'INC STAT Hist Input'!F20</f>
        <v>0</v>
      </c>
      <c r="L627" s="2304">
        <f>'INC STAT Hist Input'!G20</f>
        <v>0</v>
      </c>
      <c r="M627" s="2304">
        <f>'INC STAT Hist Input'!H20</f>
        <v>0</v>
      </c>
      <c r="N627" s="2304">
        <f>'INC STAT Hist Input'!I20</f>
        <v>0</v>
      </c>
      <c r="O627" s="2304">
        <f>'INC STAT Hist Input'!J20</f>
        <v>0</v>
      </c>
      <c r="P627" s="2304">
        <f>'INC STAT Hist Input'!K20</f>
        <v>0</v>
      </c>
      <c r="R627" s="2316" t="str">
        <f>IF($G627=0,"--",IFERROR(_xll.ciqfunctions.udf.CIQ($G627,$I627,R99,Valuation_Date_GC,ReportType,DataMode,$H627,FXMode)*Scale,"--"))</f>
        <v>--</v>
      </c>
      <c r="S627" s="258" t="s">
        <v>807</v>
      </c>
      <c r="T627" s="2316">
        <f>IFERROR(IF('PFI Inputs'!F72,'PFI Inputs'!F72,_xll.ciqfunctions.udf.CIQ($G627,$S627,T99,Valuation_Date_GC,ReportType,DataMode,$H627)*Scale),"--")</f>
        <v>0</v>
      </c>
      <c r="U627" s="2316" t="str">
        <f>IFERROR(IF('PFI Inputs'!G72,'PFI Inputs'!G72,_xll.ciqfunctions.udf.CIQ($G627,$S627,U99,Valuation_Date_GC,ReportType,DataMode,$H627)*Scale),"--")</f>
        <v>--</v>
      </c>
      <c r="V627" s="2316" t="str">
        <f>IFERROR(IF('PFI Inputs'!H72,'PFI Inputs'!H72,_xll.ciqfunctions.udf.CIQ($G627,$S627,V99,Valuation_Date_GC,ReportType,DataMode,$H627)*Scale),"--")</f>
        <v>--</v>
      </c>
      <c r="W627" s="2316" t="str">
        <f>IFERROR(IF('PFI Inputs'!I72,'PFI Inputs'!I72,_xll.ciqfunctions.udf.CIQ($G627,$S627,W99,Valuation_Date_GC,ReportType,DataMode,$H627)*Scale),"--")</f>
        <v>--</v>
      </c>
      <c r="X627" s="2316" t="str">
        <f>IFERROR(IF('PFI Inputs'!J72,'PFI Inputs'!J72,_xll.ciqfunctions.udf.CIQ($G627,$S627,X99,Valuation_Date_GC,ReportType,DataMode,$H627)*Scale),"--")</f>
        <v>--</v>
      </c>
      <c r="Y627" s="2316" t="str">
        <f>IFERROR(IF('PFI Inputs'!K72,'PFI Inputs'!K72,_xll.ciqfunctions.udf.CIQ($G627,$S627,Y99,Valuation_Date_GC,ReportType,DataMode,$H627)*Scale),"--")</f>
        <v>--</v>
      </c>
      <c r="AA627" s="2301">
        <f>_xll.ciqfunctions.udf.CIQ($G627,"IQ_REVENUE_NUM_EST",U$97,Valuation_Date_GC,"CON")</f>
        <v>0</v>
      </c>
      <c r="AB627" s="2301">
        <f>_xll.ciqfunctions.udf.CIQ($G627,"IQ_REVENUE_NUM_EST",V$97,Valuation_Date_GC,"CON")</f>
        <v>0</v>
      </c>
      <c r="AC627" s="2301">
        <f>_xll.ciqfunctions.udf.CIQ($G627,"IQ_REVENUE_NUM_EST",W$97,Valuation_Date_GC,"CON")</f>
        <v>0</v>
      </c>
      <c r="AD627" s="2301">
        <f>_xll.ciqfunctions.udf.CIQ($G627,"IQ_REVENUE_NUM_EST",X$97,Valuation_Date_GC,"CON")</f>
        <v>0</v>
      </c>
      <c r="AE627" s="2301">
        <f>_xll.ciqfunctions.udf.CIQ($G627,"IQ_REVENUE_NUM_EST",Y$97,Valuation_Date_GC,"CON")</f>
        <v>0</v>
      </c>
      <c r="AF627" s="2060"/>
      <c r="AG627" s="2060"/>
      <c r="AH627" s="2060"/>
    </row>
    <row r="628" spans="1:34" s="89" customFormat="1" ht="13.9">
      <c r="A628" s="269" t="str">
        <f>IF(F628="--","n","")</f>
        <v>n</v>
      </c>
      <c r="B628" s="2060"/>
      <c r="C628" s="72"/>
      <c r="D628" s="801"/>
      <c r="E628" s="1505">
        <v>1</v>
      </c>
      <c r="F628" s="21" t="str">
        <f>F$129</f>
        <v>--</v>
      </c>
      <c r="G628" s="1441">
        <f>G$129</f>
        <v>0</v>
      </c>
      <c r="H628" s="1441" t="str">
        <f>H$129</f>
        <v>--</v>
      </c>
      <c r="I628" s="1513" t="s">
        <v>808</v>
      </c>
      <c r="J628" s="2301" t="str">
        <f>IF($G628=0,"--",IFERROR(_xll.ciqfunctions.udf.CIQ($G628,$I628,J100,Valuation_Date_GC,ReportType,DataMode,$H628,FXMode)*Scale,"--"))</f>
        <v>--</v>
      </c>
      <c r="K628" s="2301" t="str">
        <f>IF($G628=0,"--",IFERROR(_xll.ciqfunctions.udf.CIQ($G628,$I628,K100,Valuation_Date_GC,ReportType,DataMode,$H628,FXMode)*Scale,"--"))</f>
        <v>--</v>
      </c>
      <c r="L628" s="2301" t="str">
        <f>IF($G628=0,"--",IFERROR(_xll.ciqfunctions.udf.CIQ($G628,$I628,L100,Valuation_Date_GC,ReportType,DataMode,$H628,FXMode)*Scale,"--"))</f>
        <v>--</v>
      </c>
      <c r="M628" s="2301" t="str">
        <f>IF($G628=0,"--",IFERROR(_xll.ciqfunctions.udf.CIQ($G628,$I628,M100,Valuation_Date_GC,ReportType,DataMode,$H628,FXMode)*Scale,"--"))</f>
        <v>--</v>
      </c>
      <c r="N628" s="2301" t="str">
        <f>IF($G628=0,"--",IFERROR(_xll.ciqfunctions.udf.CIQ($G628,$I628,N100,Valuation_Date_GC,ReportType,DataMode,$H628,FXMode)*Scale,"--"))</f>
        <v>--</v>
      </c>
      <c r="O628" s="2317" t="str">
        <f>IF($G628=0,"--",IFERROR(IF(O100=1001,_xll.ciqfunctions.udf.CIQ($G628,$S628,O100,Valuation_Date_GC,ReportType,DataMode,$H628,FXMode),_xll.ciqfunctions.udf.CIQ($G628,$I628,O100,Valuation_Date_GC,ReportType,DataMode,$H628,FXMode))*Scale,"--"))</f>
        <v>--</v>
      </c>
      <c r="P628" s="2301" t="str">
        <f>IF($G628=0,"--",IFERROR(_xll.ciqfunctions.udf.CIQ($G628,$I628,P100,Valuation_Date_GC,ReportType,DataMode,$H628,FXMode)*Scale,"--"))</f>
        <v>--</v>
      </c>
      <c r="R628" s="2301" t="str">
        <f>IF($G628=0,"--",IFERROR(_xll.ciqfunctions.udf.CIQ($G628,$I628,R100,Valuation_Date_GC,ReportType,DataMode,$H628,FXMode)*Scale,"--"))</f>
        <v>--</v>
      </c>
      <c r="S628" s="89" t="s">
        <v>807</v>
      </c>
      <c r="T628" s="2301" t="str">
        <f>IF(H100=0,O628,IF($G628=0,"--",IFERROR(_xll.ciqfunctions.udf.CIQ($G628,$S628,U100-1,Valuation_Date_GC,ReportType,DataMode,$H628)*Scale,"--")))</f>
        <v>--</v>
      </c>
      <c r="U628" s="2301" t="str">
        <f>IF($G628=0,"--",IFERROR(IF(_xll.ciqfunctions.udf.CIQ($G628,$S628,U100,Valuation_Date_GC,ReportType,DataMode,$H628)*Scale=0,"--",_xll.ciqfunctions.udf.CIQ($G628,$S628,U100,Valuation_Date_GC,ReportType,DataMode,$H628)*Scale),"--"))</f>
        <v>--</v>
      </c>
      <c r="V628" s="2301" t="str">
        <f>IF($G628=0,"--",IFERROR(IF(_xll.ciqfunctions.udf.CIQ($G628,$S628,V100,Valuation_Date_GC,ReportType,DataMode,$H628)*Scale=0,"--",_xll.ciqfunctions.udf.CIQ($G628,$S628,V100,Valuation_Date_GC,ReportType,DataMode,$H628)*Scale),"--"))</f>
        <v>--</v>
      </c>
      <c r="W628" s="2301" t="str">
        <f>IF($G628=0,"--",IFERROR(IF(_xll.ciqfunctions.udf.CIQ($G628,$S628,W100,Valuation_Date_GC,ReportType,DataMode,$H628)*Scale=0,"--",_xll.ciqfunctions.udf.CIQ($G628,$S628,W100,Valuation_Date_GC,ReportType,DataMode,$H628)*Scale),"--"))</f>
        <v>--</v>
      </c>
      <c r="X628" s="2301" t="str">
        <f>IF($G628=0,"--",IFERROR(IF(_xll.ciqfunctions.udf.CIQ($G628,$S628,X100,Valuation_Date_GC,ReportType,DataMode,$H628)*Scale=0,"--",_xll.ciqfunctions.udf.CIQ($G628,$S628,X100,Valuation_Date_GC,ReportType,DataMode,$H628)*Scale),"--"))</f>
        <v>--</v>
      </c>
      <c r="Y628" s="2301" t="str">
        <f>IF($G628=0,"--",IFERROR(IF(_xll.ciqfunctions.udf.CIQ($G628,$S628,Y100,Valuation_Date_GC,ReportType,DataMode,$H628)*Scale=0,"--",_xll.ciqfunctions.udf.CIQ($G628,$S628,Y100,Valuation_Date_GC,ReportType,DataMode,$H628)*Scale),"--"))</f>
        <v>--</v>
      </c>
      <c r="Z628" s="2078" t="str">
        <f t="shared" ref="Z628:Z652" si="178">T100</f>
        <v/>
      </c>
      <c r="AA628" s="2301">
        <f>_xll.ciqfunctions.udf.CIQ($G628,"IQ_REVENUE_NUM_EST",U$97,Valuation_Date_GC,"CON")</f>
        <v>0</v>
      </c>
      <c r="AB628" s="2301">
        <f>_xll.ciqfunctions.udf.CIQ($G628,"IQ_REVENUE_NUM_EST",V$97,Valuation_Date_GC,"CON")</f>
        <v>0</v>
      </c>
      <c r="AC628" s="2301">
        <f>_xll.ciqfunctions.udf.CIQ($G628,"IQ_REVENUE_NUM_EST",W$97,Valuation_Date_GC,"CON")</f>
        <v>0</v>
      </c>
      <c r="AD628" s="2301">
        <f>_xll.ciqfunctions.udf.CIQ($G628,"IQ_REVENUE_NUM_EST",X$97,Valuation_Date_GC,"CON")</f>
        <v>0</v>
      </c>
      <c r="AE628" s="2301">
        <f>_xll.ciqfunctions.udf.CIQ($G628,"IQ_REVENUE_NUM_EST",Y$97,Valuation_Date_GC,"CON")</f>
        <v>0</v>
      </c>
      <c r="AF628" s="2060"/>
      <c r="AG628" s="2060"/>
      <c r="AH628" s="2060"/>
    </row>
    <row r="629" spans="1:34" s="89" customFormat="1" ht="13.9">
      <c r="A629" s="269" t="str">
        <f t="shared" ref="A629:A652" si="179">IF(F629="--","n","")</f>
        <v>n</v>
      </c>
      <c r="B629" s="2060"/>
      <c r="D629" s="801"/>
      <c r="E629" s="1505">
        <v>2</v>
      </c>
      <c r="F629" s="21" t="str">
        <f>F$130</f>
        <v>--</v>
      </c>
      <c r="G629" s="1441">
        <f>G$130</f>
        <v>0</v>
      </c>
      <c r="H629" s="1441" t="str">
        <f>H$130</f>
        <v>--</v>
      </c>
      <c r="I629" s="1513" t="s">
        <v>808</v>
      </c>
      <c r="J629" s="2301" t="str">
        <f>IF($G629=0,"--",IFERROR(_xll.ciqfunctions.udf.CIQ($G629,$I629,J101,Valuation_Date_GC,ReportType,DataMode,$H629,FXMode)*Scale,"--"))</f>
        <v>--</v>
      </c>
      <c r="K629" s="2301" t="str">
        <f>IF($G629=0,"--",IFERROR(_xll.ciqfunctions.udf.CIQ($G629,$I629,K101,Valuation_Date_GC,ReportType,DataMode,$H629,FXMode)*Scale,"--"))</f>
        <v>--</v>
      </c>
      <c r="L629" s="2301" t="str">
        <f>IF($G629=0,"--",IFERROR(_xll.ciqfunctions.udf.CIQ($G629,$I629,L101,Valuation_Date_GC,ReportType,DataMode,$H629,FXMode)*Scale,"--"))</f>
        <v>--</v>
      </c>
      <c r="M629" s="2301" t="str">
        <f>IF($G629=0,"--",IFERROR(_xll.ciqfunctions.udf.CIQ($G629,$I629,M101,Valuation_Date_GC,ReportType,DataMode,$H629,FXMode)*Scale,"--"))</f>
        <v>--</v>
      </c>
      <c r="N629" s="2301" t="str">
        <f>IF($G629=0,"--",IFERROR(_xll.ciqfunctions.udf.CIQ($G629,$I629,N101,Valuation_Date_GC,ReportType,DataMode,$H629,FXMode)*Scale,"--"))</f>
        <v>--</v>
      </c>
      <c r="O629" s="2317" t="str">
        <f>IF($G629=0,"--",IFERROR(IF(O101=1001,_xll.ciqfunctions.udf.CIQ($G629,$S629,O101,Valuation_Date_GC,ReportType,DataMode,$H629,FXMode),_xll.ciqfunctions.udf.CIQ($G629,$I629,O101,Valuation_Date_GC,ReportType,DataMode,$H629,FXMode))*Scale,"--"))</f>
        <v>--</v>
      </c>
      <c r="P629" s="2301" t="str">
        <f>IF($G629=0,"--",IFERROR(_xll.ciqfunctions.udf.CIQ($G629,$I629,P101,Valuation_Date_GC,ReportType,DataMode,$H629,FXMode)*Scale,"--"))</f>
        <v>--</v>
      </c>
      <c r="R629" s="2301" t="str">
        <f>IF($G629=0,"--",IFERROR(_xll.ciqfunctions.udf.CIQ($G629,$I629,R101,Valuation_Date_GC,ReportType,DataMode,$H629,FXMode)*Scale,"--"))</f>
        <v>--</v>
      </c>
      <c r="S629" s="89" t="s">
        <v>807</v>
      </c>
      <c r="T629" s="2301" t="str">
        <f>IF(H101=0,O629,IF($G629=0,"--",IFERROR(_xll.ciqfunctions.udf.CIQ($G629,$S629,U101-1,Valuation_Date_GC,ReportType,DataMode,$H629)*Scale,"--")))</f>
        <v>--</v>
      </c>
      <c r="U629" s="2301" t="str">
        <f>IF($G629=0,"--",IFERROR(IF(_xll.ciqfunctions.udf.CIQ($G629,$S629,U101,Valuation_Date_GC,ReportType,DataMode,$H629)*Scale=0,"--",_xll.ciqfunctions.udf.CIQ($G629,$S629,U101,Valuation_Date_GC,ReportType,DataMode,$H629)*Scale),"--"))</f>
        <v>--</v>
      </c>
      <c r="V629" s="2301" t="str">
        <f>IF($G629=0,"--",IFERROR(IF(_xll.ciqfunctions.udf.CIQ($G629,$S629,V101,Valuation_Date_GC,ReportType,DataMode,$H629)*Scale=0,"--",_xll.ciqfunctions.udf.CIQ($G629,$S629,V101,Valuation_Date_GC,ReportType,DataMode,$H629)*Scale),"--"))</f>
        <v>--</v>
      </c>
      <c r="W629" s="2301" t="str">
        <f>IF($G629=0,"--",IFERROR(IF(_xll.ciqfunctions.udf.CIQ($G629,$S629,W101,Valuation_Date_GC,ReportType,DataMode,$H629)*Scale=0,"--",_xll.ciqfunctions.udf.CIQ($G629,$S629,W101,Valuation_Date_GC,ReportType,DataMode,$H629)*Scale),"--"))</f>
        <v>--</v>
      </c>
      <c r="X629" s="2301" t="str">
        <f>IF($G629=0,"--",IFERROR(IF(_xll.ciqfunctions.udf.CIQ($G629,$S629,X101,Valuation_Date_GC,ReportType,DataMode,$H629)*Scale=0,"--",_xll.ciqfunctions.udf.CIQ($G629,$S629,X101,Valuation_Date_GC,ReportType,DataMode,$H629)*Scale),"--"))</f>
        <v>--</v>
      </c>
      <c r="Y629" s="2301" t="str">
        <f>IF($G629=0,"--",IFERROR(IF(_xll.ciqfunctions.udf.CIQ($G629,$S629,Y101,Valuation_Date_GC,ReportType,DataMode,$H629)*Scale=0,"--",_xll.ciqfunctions.udf.CIQ($G629,$S629,Y101,Valuation_Date_GC,ReportType,DataMode,$H629)*Scale),"--"))</f>
        <v>--</v>
      </c>
      <c r="Z629" s="2078" t="str">
        <f t="shared" si="178"/>
        <v/>
      </c>
      <c r="AA629" s="2301">
        <f>_xll.ciqfunctions.udf.CIQ($G629,"IQ_REVENUE_NUM_EST",U$97,Valuation_Date_GC,"CON")</f>
        <v>0</v>
      </c>
      <c r="AB629" s="2301">
        <f>_xll.ciqfunctions.udf.CIQ($G629,"IQ_REVENUE_NUM_EST",V$97,Valuation_Date_GC,"CON")</f>
        <v>0</v>
      </c>
      <c r="AC629" s="2301">
        <f>_xll.ciqfunctions.udf.CIQ($G629,"IQ_REVENUE_NUM_EST",W$97,Valuation_Date_GC,"CON")</f>
        <v>0</v>
      </c>
      <c r="AD629" s="2301">
        <f>_xll.ciqfunctions.udf.CIQ($G629,"IQ_REVENUE_NUM_EST",X$97,Valuation_Date_GC,"CON")</f>
        <v>0</v>
      </c>
      <c r="AE629" s="2301">
        <f>_xll.ciqfunctions.udf.CIQ($G629,"IQ_REVENUE_NUM_EST",Y$97,Valuation_Date_GC,"CON")</f>
        <v>0</v>
      </c>
      <c r="AF629" s="2060"/>
      <c r="AG629" s="2060"/>
      <c r="AH629" s="2060"/>
    </row>
    <row r="630" spans="1:34" s="89" customFormat="1" ht="13.9">
      <c r="A630" s="269" t="str">
        <f t="shared" si="179"/>
        <v>n</v>
      </c>
      <c r="B630" s="2060"/>
      <c r="C630" s="72"/>
      <c r="D630" s="801"/>
      <c r="E630" s="1505">
        <v>3</v>
      </c>
      <c r="F630" s="21" t="str">
        <f>F$131</f>
        <v>--</v>
      </c>
      <c r="G630" s="1441">
        <f>G$131</f>
        <v>0</v>
      </c>
      <c r="H630" s="1441" t="str">
        <f>H$131</f>
        <v>--</v>
      </c>
      <c r="I630" s="1513" t="s">
        <v>808</v>
      </c>
      <c r="J630" s="2301" t="str">
        <f>IF($G630=0,"--",IFERROR(_xll.ciqfunctions.udf.CIQ($G630,$I630,J102,Valuation_Date_GC,ReportType,DataMode,$H630,FXMode)*Scale,"--"))</f>
        <v>--</v>
      </c>
      <c r="K630" s="2301" t="str">
        <f>IF($G630=0,"--",IFERROR(_xll.ciqfunctions.udf.CIQ($G630,$I630,K102,Valuation_Date_GC,ReportType,DataMode,$H630,FXMode)*Scale,"--"))</f>
        <v>--</v>
      </c>
      <c r="L630" s="2301" t="str">
        <f>IF($G630=0,"--",IFERROR(_xll.ciqfunctions.udf.CIQ($G630,$I630,L102,Valuation_Date_GC,ReportType,DataMode,$H630,FXMode)*Scale,"--"))</f>
        <v>--</v>
      </c>
      <c r="M630" s="2301" t="str">
        <f>IF($G630=0,"--",IFERROR(_xll.ciqfunctions.udf.CIQ($G630,$I630,M102,Valuation_Date_GC,ReportType,DataMode,$H630,FXMode)*Scale,"--"))</f>
        <v>--</v>
      </c>
      <c r="N630" s="2301" t="str">
        <f>IF($G630=0,"--",IFERROR(_xll.ciqfunctions.udf.CIQ($G630,$I630,N102,Valuation_Date_GC,ReportType,DataMode,$H630,FXMode)*Scale,"--"))</f>
        <v>--</v>
      </c>
      <c r="O630" s="2317" t="str">
        <f>IF($G630=0,"--",IFERROR(IF(O102=1001,_xll.ciqfunctions.udf.CIQ($G630,$S630,O102,Valuation_Date_GC,ReportType,DataMode,$H630,FXMode),_xll.ciqfunctions.udf.CIQ($G630,$I630,O102,Valuation_Date_GC,ReportType,DataMode,$H630,FXMode))*Scale,"--"))</f>
        <v>--</v>
      </c>
      <c r="P630" s="2301" t="str">
        <f>IF($G630=0,"--",IFERROR(_xll.ciqfunctions.udf.CIQ($G630,$I630,P102,Valuation_Date_GC,ReportType,DataMode,$H630,FXMode)*Scale,"--"))</f>
        <v>--</v>
      </c>
      <c r="R630" s="2301" t="str">
        <f>IF($G630=0,"--",IFERROR(_xll.ciqfunctions.udf.CIQ($G630,$I630,R102,Valuation_Date_GC,ReportType,DataMode,$H630,FXMode)*Scale,"--"))</f>
        <v>--</v>
      </c>
      <c r="S630" s="89" t="s">
        <v>807</v>
      </c>
      <c r="T630" s="2301" t="str">
        <f>IF(H102=0,O630,IF($G630=0,"--",IFERROR(_xll.ciqfunctions.udf.CIQ($G630,$S630,U102-1,Valuation_Date_GC,ReportType,DataMode,$H630)*Scale,"--")))</f>
        <v>--</v>
      </c>
      <c r="U630" s="2301" t="str">
        <f>IF($G630=0,"--",IFERROR(IF(_xll.ciqfunctions.udf.CIQ($G630,$S630,U102,Valuation_Date_GC,ReportType,DataMode,$H630)*Scale=0,"--",_xll.ciqfunctions.udf.CIQ($G630,$S630,U102,Valuation_Date_GC,ReportType,DataMode,$H630)*Scale),"--"))</f>
        <v>--</v>
      </c>
      <c r="V630" s="2301" t="str">
        <f>IF($G630=0,"--",IFERROR(IF(_xll.ciqfunctions.udf.CIQ($G630,$S630,V102,Valuation_Date_GC,ReportType,DataMode,$H630)*Scale=0,"--",_xll.ciqfunctions.udf.CIQ($G630,$S630,V102,Valuation_Date_GC,ReportType,DataMode,$H630)*Scale),"--"))</f>
        <v>--</v>
      </c>
      <c r="W630" s="2301" t="str">
        <f>IF($G630=0,"--",IFERROR(IF(_xll.ciqfunctions.udf.CIQ($G630,$S630,W102,Valuation_Date_GC,ReportType,DataMode,$H630)*Scale=0,"--",_xll.ciqfunctions.udf.CIQ($G630,$S630,W102,Valuation_Date_GC,ReportType,DataMode,$H630)*Scale),"--"))</f>
        <v>--</v>
      </c>
      <c r="X630" s="2301" t="str">
        <f>IF($G630=0,"--",IFERROR(IF(_xll.ciqfunctions.udf.CIQ($G630,$S630,X102,Valuation_Date_GC,ReportType,DataMode,$H630)*Scale=0,"--",_xll.ciqfunctions.udf.CIQ($G630,$S630,X102,Valuation_Date_GC,ReportType,DataMode,$H630)*Scale),"--"))</f>
        <v>--</v>
      </c>
      <c r="Y630" s="2301" t="str">
        <f>IF($G630=0,"--",IFERROR(IF(_xll.ciqfunctions.udf.CIQ($G630,$S630,Y102,Valuation_Date_GC,ReportType,DataMode,$H630)*Scale=0,"--",_xll.ciqfunctions.udf.CIQ($G630,$S630,Y102,Valuation_Date_GC,ReportType,DataMode,$H630)*Scale),"--"))</f>
        <v>--</v>
      </c>
      <c r="Z630" s="2078" t="str">
        <f t="shared" si="178"/>
        <v/>
      </c>
      <c r="AA630" s="2301">
        <f>_xll.ciqfunctions.udf.CIQ($G630,"IQ_REVENUE_NUM_EST",U$97,Valuation_Date_GC,"CON")</f>
        <v>0</v>
      </c>
      <c r="AB630" s="2301">
        <f>_xll.ciqfunctions.udf.CIQ($G630,"IQ_REVENUE_NUM_EST",V$97,Valuation_Date_GC,"CON")</f>
        <v>0</v>
      </c>
      <c r="AC630" s="2301">
        <f>_xll.ciqfunctions.udf.CIQ($G630,"IQ_REVENUE_NUM_EST",W$97,Valuation_Date_GC,"CON")</f>
        <v>0</v>
      </c>
      <c r="AD630" s="2301">
        <f>_xll.ciqfunctions.udf.CIQ($G630,"IQ_REVENUE_NUM_EST",X$97,Valuation_Date_GC,"CON")</f>
        <v>0</v>
      </c>
      <c r="AE630" s="2301">
        <f>_xll.ciqfunctions.udf.CIQ($G630,"IQ_REVENUE_NUM_EST",Y$97,Valuation_Date_GC,"CON")</f>
        <v>0</v>
      </c>
      <c r="AF630" s="2060"/>
      <c r="AG630" s="2060"/>
      <c r="AH630" s="2060"/>
    </row>
    <row r="631" spans="1:34" s="89" customFormat="1" ht="13.9">
      <c r="A631" s="269" t="str">
        <f t="shared" si="179"/>
        <v>n</v>
      </c>
      <c r="B631" s="2060"/>
      <c r="C631" s="72"/>
      <c r="D631" s="801"/>
      <c r="E631" s="1505">
        <v>4</v>
      </c>
      <c r="F631" s="21" t="str">
        <f>F$132</f>
        <v>--</v>
      </c>
      <c r="G631" s="1441">
        <f>G$132</f>
        <v>0</v>
      </c>
      <c r="H631" s="1441" t="str">
        <f>H$132</f>
        <v>--</v>
      </c>
      <c r="I631" s="1513" t="s">
        <v>808</v>
      </c>
      <c r="J631" s="2301" t="str">
        <f>IF($G631=0,"--",IFERROR(_xll.ciqfunctions.udf.CIQ($G631,$I631,J103,Valuation_Date_GC,ReportType,DataMode,$H631,FXMode)*Scale,"--"))</f>
        <v>--</v>
      </c>
      <c r="K631" s="2301" t="str">
        <f>IF($G631=0,"--",IFERROR(_xll.ciqfunctions.udf.CIQ($G631,$I631,K103,Valuation_Date_GC,ReportType,DataMode,$H631,FXMode)*Scale,"--"))</f>
        <v>--</v>
      </c>
      <c r="L631" s="2301" t="str">
        <f>IF($G631=0,"--",IFERROR(_xll.ciqfunctions.udf.CIQ($G631,$I631,L103,Valuation_Date_GC,ReportType,DataMode,$H631,FXMode)*Scale,"--"))</f>
        <v>--</v>
      </c>
      <c r="M631" s="2301" t="str">
        <f>IF($G631=0,"--",IFERROR(_xll.ciqfunctions.udf.CIQ($G631,$I631,M103,Valuation_Date_GC,ReportType,DataMode,$H631,FXMode)*Scale,"--"))</f>
        <v>--</v>
      </c>
      <c r="N631" s="2301" t="str">
        <f>IF($G631=0,"--",IFERROR(_xll.ciqfunctions.udf.CIQ($G631,$I631,N103,Valuation_Date_GC,ReportType,DataMode,$H631,FXMode)*Scale,"--"))</f>
        <v>--</v>
      </c>
      <c r="O631" s="2317" t="str">
        <f>IF($G631=0,"--",IFERROR(IF(O103=1001,_xll.ciqfunctions.udf.CIQ($G631,$S631,O103,Valuation_Date_GC,ReportType,DataMode,$H631,FXMode),_xll.ciqfunctions.udf.CIQ($G631,$I631,O103,Valuation_Date_GC,ReportType,DataMode,$H631,FXMode))*Scale,"--"))</f>
        <v>--</v>
      </c>
      <c r="P631" s="2301" t="str">
        <f>IF($G631=0,"--",IFERROR(_xll.ciqfunctions.udf.CIQ($G631,$I631,P103,Valuation_Date_GC,ReportType,DataMode,$H631,FXMode)*Scale,"--"))</f>
        <v>--</v>
      </c>
      <c r="R631" s="2301" t="str">
        <f>IF($G631=0,"--",IFERROR(_xll.ciqfunctions.udf.CIQ($G631,$I631,R103,Valuation_Date_GC,ReportType,DataMode,$H631,FXMode)*Scale,"--"))</f>
        <v>--</v>
      </c>
      <c r="S631" s="89" t="s">
        <v>807</v>
      </c>
      <c r="T631" s="2301" t="str">
        <f>IF(H103=0,O631,IF($G631=0,"--",IFERROR(_xll.ciqfunctions.udf.CIQ($G631,$S631,U103-1,Valuation_Date_GC,ReportType,DataMode,$H631)*Scale,"--")))</f>
        <v>--</v>
      </c>
      <c r="U631" s="2301" t="str">
        <f>IF($G631=0,"--",IFERROR(IF(_xll.ciqfunctions.udf.CIQ($G631,$S631,U103,Valuation_Date_GC,ReportType,DataMode,$H631)*Scale=0,"--",_xll.ciqfunctions.udf.CIQ($G631,$S631,U103,Valuation_Date_GC,ReportType,DataMode,$H631)*Scale),"--"))</f>
        <v>--</v>
      </c>
      <c r="V631" s="2301" t="str">
        <f>IF($G631=0,"--",IFERROR(IF(_xll.ciqfunctions.udf.CIQ($G631,$S631,V103,Valuation_Date_GC,ReportType,DataMode,$H631)*Scale=0,"--",_xll.ciqfunctions.udf.CIQ($G631,$S631,V103,Valuation_Date_GC,ReportType,DataMode,$H631)*Scale),"--"))</f>
        <v>--</v>
      </c>
      <c r="W631" s="2301" t="str">
        <f>IF($G631=0,"--",IFERROR(IF(_xll.ciqfunctions.udf.CIQ($G631,$S631,W103,Valuation_Date_GC,ReportType,DataMode,$H631)*Scale=0,"--",_xll.ciqfunctions.udf.CIQ($G631,$S631,W103,Valuation_Date_GC,ReportType,DataMode,$H631)*Scale),"--"))</f>
        <v>--</v>
      </c>
      <c r="X631" s="2301" t="str">
        <f>IF($G631=0,"--",IFERROR(IF(_xll.ciqfunctions.udf.CIQ($G631,$S631,X103,Valuation_Date_GC,ReportType,DataMode,$H631)*Scale=0,"--",_xll.ciqfunctions.udf.CIQ($G631,$S631,X103,Valuation_Date_GC,ReportType,DataMode,$H631)*Scale),"--"))</f>
        <v>--</v>
      </c>
      <c r="Y631" s="2301" t="str">
        <f>IF($G631=0,"--",IFERROR(IF(_xll.ciqfunctions.udf.CIQ($G631,$S631,Y103,Valuation_Date_GC,ReportType,DataMode,$H631)*Scale=0,"--",_xll.ciqfunctions.udf.CIQ($G631,$S631,Y103,Valuation_Date_GC,ReportType,DataMode,$H631)*Scale),"--"))</f>
        <v>--</v>
      </c>
      <c r="Z631" s="2078" t="str">
        <f t="shared" si="178"/>
        <v/>
      </c>
      <c r="AA631" s="2301">
        <f>_xll.ciqfunctions.udf.CIQ($G631,"IQ_REVENUE_NUM_EST",U$97,Valuation_Date_GC,"CON")</f>
        <v>0</v>
      </c>
      <c r="AB631" s="2301">
        <f>_xll.ciqfunctions.udf.CIQ($G631,"IQ_REVENUE_NUM_EST",V$97,Valuation_Date_GC,"CON")</f>
        <v>0</v>
      </c>
      <c r="AC631" s="2301">
        <f>_xll.ciqfunctions.udf.CIQ($G631,"IQ_REVENUE_NUM_EST",W$97,Valuation_Date_GC,"CON")</f>
        <v>0</v>
      </c>
      <c r="AD631" s="2301">
        <f>_xll.ciqfunctions.udf.CIQ($G631,"IQ_REVENUE_NUM_EST",X$97,Valuation_Date_GC,"CON")</f>
        <v>0</v>
      </c>
      <c r="AE631" s="2301">
        <f>_xll.ciqfunctions.udf.CIQ($G631,"IQ_REVENUE_NUM_EST",Y$97,Valuation_Date_GC,"CON")</f>
        <v>0</v>
      </c>
      <c r="AF631" s="2060"/>
      <c r="AG631" s="2060"/>
      <c r="AH631" s="2060"/>
    </row>
    <row r="632" spans="1:34" s="89" customFormat="1" ht="13.9">
      <c r="A632" s="269" t="str">
        <f t="shared" si="179"/>
        <v>n</v>
      </c>
      <c r="B632" s="2060"/>
      <c r="C632" s="72"/>
      <c r="D632" s="801"/>
      <c r="E632" s="1505">
        <v>5</v>
      </c>
      <c r="F632" s="21" t="str">
        <f>F$133</f>
        <v>--</v>
      </c>
      <c r="G632" s="1441">
        <f>G$133</f>
        <v>0</v>
      </c>
      <c r="H632" s="1441" t="str">
        <f>H$133</f>
        <v>--</v>
      </c>
      <c r="I632" s="1513" t="s">
        <v>808</v>
      </c>
      <c r="J632" s="2301" t="str">
        <f>IF($G632=0,"--",IFERROR(_xll.ciqfunctions.udf.CIQ($G632,$I632,J104,Valuation_Date_GC,ReportType,DataMode,$H632,FXMode)*Scale,"--"))</f>
        <v>--</v>
      </c>
      <c r="K632" s="2301" t="str">
        <f>IF($G632=0,"--",IFERROR(_xll.ciqfunctions.udf.CIQ($G632,$I632,K104,Valuation_Date_GC,ReportType,DataMode,$H632,FXMode)*Scale,"--"))</f>
        <v>--</v>
      </c>
      <c r="L632" s="2301" t="str">
        <f>IF($G632=0,"--",IFERROR(_xll.ciqfunctions.udf.CIQ($G632,$I632,L104,Valuation_Date_GC,ReportType,DataMode,$H632,FXMode)*Scale,"--"))</f>
        <v>--</v>
      </c>
      <c r="M632" s="2301" t="str">
        <f>IF($G632=0,"--",IFERROR(_xll.ciqfunctions.udf.CIQ($G632,$I632,M104,Valuation_Date_GC,ReportType,DataMode,$H632,FXMode)*Scale,"--"))</f>
        <v>--</v>
      </c>
      <c r="N632" s="2301" t="str">
        <f>IF($G632=0,"--",IFERROR(_xll.ciqfunctions.udf.CIQ($G632,$I632,N104,Valuation_Date_GC,ReportType,DataMode,$H632,FXMode)*Scale,"--"))</f>
        <v>--</v>
      </c>
      <c r="O632" s="2317" t="str">
        <f>IF($G632=0,"--",IFERROR(IF(O104=1001,_xll.ciqfunctions.udf.CIQ($G632,$S632,O104,Valuation_Date_GC,ReportType,DataMode,$H632,FXMode),_xll.ciqfunctions.udf.CIQ($G632,$I632,O104,Valuation_Date_GC,ReportType,DataMode,$H632,FXMode))*Scale,"--"))</f>
        <v>--</v>
      </c>
      <c r="P632" s="2301" t="str">
        <f>IF($G632=0,"--",IFERROR(_xll.ciqfunctions.udf.CIQ($G632,$I632,P104,Valuation_Date_GC,ReportType,DataMode,$H632,FXMode)*Scale,"--"))</f>
        <v>--</v>
      </c>
      <c r="R632" s="2301" t="str">
        <f>IF($G632=0,"--",IFERROR(_xll.ciqfunctions.udf.CIQ($G632,$I632,R104,Valuation_Date_GC,ReportType,DataMode,$H632,FXMode)*Scale,"--"))</f>
        <v>--</v>
      </c>
      <c r="S632" s="89" t="s">
        <v>807</v>
      </c>
      <c r="T632" s="2301" t="str">
        <f>IF(H104=0,O632,IF($G632=0,"--",IFERROR(_xll.ciqfunctions.udf.CIQ($G632,$S632,U104-1,Valuation_Date_GC,ReportType,DataMode,$H632)*Scale,"--")))</f>
        <v>--</v>
      </c>
      <c r="U632" s="2301" t="str">
        <f>IF($G632=0,"--",IFERROR(IF(_xll.ciqfunctions.udf.CIQ($G632,$S632,U104,Valuation_Date_GC,ReportType,DataMode,$H632)*Scale=0,"--",_xll.ciqfunctions.udf.CIQ($G632,$S632,U104,Valuation_Date_GC,ReportType,DataMode,$H632)*Scale),"--"))</f>
        <v>--</v>
      </c>
      <c r="V632" s="2301" t="str">
        <f>IF($G632=0,"--",IFERROR(IF(_xll.ciqfunctions.udf.CIQ($G632,$S632,V104,Valuation_Date_GC,ReportType,DataMode,$H632)*Scale=0,"--",_xll.ciqfunctions.udf.CIQ($G632,$S632,V104,Valuation_Date_GC,ReportType,DataMode,$H632)*Scale),"--"))</f>
        <v>--</v>
      </c>
      <c r="W632" s="2301" t="str">
        <f>IF($G632=0,"--",IFERROR(IF(_xll.ciqfunctions.udf.CIQ($G632,$S632,W104,Valuation_Date_GC,ReportType,DataMode,$H632)*Scale=0,"--",_xll.ciqfunctions.udf.CIQ($G632,$S632,W104,Valuation_Date_GC,ReportType,DataMode,$H632)*Scale),"--"))</f>
        <v>--</v>
      </c>
      <c r="X632" s="2301" t="str">
        <f>IF($G632=0,"--",IFERROR(IF(_xll.ciqfunctions.udf.CIQ($G632,$S632,X104,Valuation_Date_GC,ReportType,DataMode,$H632)*Scale=0,"--",_xll.ciqfunctions.udf.CIQ($G632,$S632,X104,Valuation_Date_GC,ReportType,DataMode,$H632)*Scale),"--"))</f>
        <v>--</v>
      </c>
      <c r="Y632" s="2301" t="str">
        <f>IF($G632=0,"--",IFERROR(IF(_xll.ciqfunctions.udf.CIQ($G632,$S632,Y104,Valuation_Date_GC,ReportType,DataMode,$H632)*Scale=0,"--",_xll.ciqfunctions.udf.CIQ($G632,$S632,Y104,Valuation_Date_GC,ReportType,DataMode,$H632)*Scale),"--"))</f>
        <v>--</v>
      </c>
      <c r="Z632" s="2078" t="str">
        <f t="shared" si="178"/>
        <v/>
      </c>
      <c r="AA632" s="2301">
        <f>_xll.ciqfunctions.udf.CIQ($G632,"IQ_REVENUE_NUM_EST",U$97,Valuation_Date_GC,"CON")</f>
        <v>0</v>
      </c>
      <c r="AB632" s="2301">
        <f>_xll.ciqfunctions.udf.CIQ($G632,"IQ_REVENUE_NUM_EST",V$97,Valuation_Date_GC,"CON")</f>
        <v>0</v>
      </c>
      <c r="AC632" s="2301">
        <f>_xll.ciqfunctions.udf.CIQ($G632,"IQ_REVENUE_NUM_EST",W$97,Valuation_Date_GC,"CON")</f>
        <v>0</v>
      </c>
      <c r="AD632" s="2301">
        <f>_xll.ciqfunctions.udf.CIQ($G632,"IQ_REVENUE_NUM_EST",X$97,Valuation_Date_GC,"CON")</f>
        <v>0</v>
      </c>
      <c r="AE632" s="2301">
        <f>_xll.ciqfunctions.udf.CIQ($G632,"IQ_REVENUE_NUM_EST",Y$97,Valuation_Date_GC,"CON")</f>
        <v>0</v>
      </c>
      <c r="AF632" s="2060"/>
      <c r="AG632" s="2060"/>
      <c r="AH632" s="2060"/>
    </row>
    <row r="633" spans="1:34" s="89" customFormat="1" ht="13.9">
      <c r="A633" s="269" t="str">
        <f t="shared" si="179"/>
        <v>n</v>
      </c>
      <c r="B633" s="2060"/>
      <c r="C633" s="72"/>
      <c r="D633" s="801"/>
      <c r="E633" s="1505">
        <v>6</v>
      </c>
      <c r="F633" s="21" t="str">
        <f>F$134</f>
        <v>--</v>
      </c>
      <c r="G633" s="1441">
        <f>G$134</f>
        <v>0</v>
      </c>
      <c r="H633" s="1441" t="str">
        <f>H$134</f>
        <v>--</v>
      </c>
      <c r="I633" s="1513" t="s">
        <v>808</v>
      </c>
      <c r="J633" s="2301" t="str">
        <f>IF($G633=0,"--",IFERROR(_xll.ciqfunctions.udf.CIQ($G633,$I633,J105,Valuation_Date_GC,ReportType,DataMode,$H633,FXMode)*Scale,"--"))</f>
        <v>--</v>
      </c>
      <c r="K633" s="2301" t="str">
        <f>IF($G633=0,"--",IFERROR(_xll.ciqfunctions.udf.CIQ($G633,$I633,K105,Valuation_Date_GC,ReportType,DataMode,$H633,FXMode)*Scale,"--"))</f>
        <v>--</v>
      </c>
      <c r="L633" s="2301" t="str">
        <f>IF($G633=0,"--",IFERROR(_xll.ciqfunctions.udf.CIQ($G633,$I633,L105,Valuation_Date_GC,ReportType,DataMode,$H633,FXMode)*Scale,"--"))</f>
        <v>--</v>
      </c>
      <c r="M633" s="2301" t="str">
        <f>IF($G633=0,"--",IFERROR(_xll.ciqfunctions.udf.CIQ($G633,$I633,M105,Valuation_Date_GC,ReportType,DataMode,$H633,FXMode)*Scale,"--"))</f>
        <v>--</v>
      </c>
      <c r="N633" s="2301" t="str">
        <f>IF($G633=0,"--",IFERROR(_xll.ciqfunctions.udf.CIQ($G633,$I633,N105,Valuation_Date_GC,ReportType,DataMode,$H633,FXMode)*Scale,"--"))</f>
        <v>--</v>
      </c>
      <c r="O633" s="2317" t="str">
        <f>IF($G633=0,"--",IFERROR(IF(O105=1001,_xll.ciqfunctions.udf.CIQ($G633,$S633,O105,Valuation_Date_GC,ReportType,DataMode,$H633,FXMode),_xll.ciqfunctions.udf.CIQ($G633,$I633,O105,Valuation_Date_GC,ReportType,DataMode,$H633,FXMode))*Scale,"--"))</f>
        <v>--</v>
      </c>
      <c r="P633" s="2301" t="str">
        <f>IF($G633=0,"--",IFERROR(_xll.ciqfunctions.udf.CIQ($G633,$I633,P105,Valuation_Date_GC,ReportType,DataMode,$H633,FXMode)*Scale,"--"))</f>
        <v>--</v>
      </c>
      <c r="R633" s="2301" t="str">
        <f>IF($G633=0,"--",IFERROR(_xll.ciqfunctions.udf.CIQ($G633,$I633,R105,Valuation_Date_GC,ReportType,DataMode,$H633,FXMode)*Scale,"--"))</f>
        <v>--</v>
      </c>
      <c r="S633" s="89" t="s">
        <v>807</v>
      </c>
      <c r="T633" s="2301" t="str">
        <f>IF(H105=0,O633,IF($G633=0,"--",IFERROR(_xll.ciqfunctions.udf.CIQ($G633,$S633,U105-1,Valuation_Date_GC,ReportType,DataMode,$H633)*Scale,"--")))</f>
        <v>--</v>
      </c>
      <c r="U633" s="2301" t="str">
        <f>IF($G633=0,"--",IFERROR(IF(_xll.ciqfunctions.udf.CIQ($G633,$S633,U105,Valuation_Date_GC,ReportType,DataMode,$H633)*Scale=0,"--",_xll.ciqfunctions.udf.CIQ($G633,$S633,U105,Valuation_Date_GC,ReportType,DataMode,$H633)*Scale),"--"))</f>
        <v>--</v>
      </c>
      <c r="V633" s="2301" t="str">
        <f>IF($G633=0,"--",IFERROR(IF(_xll.ciqfunctions.udf.CIQ($G633,$S633,V105,Valuation_Date_GC,ReportType,DataMode,$H633)*Scale=0,"--",_xll.ciqfunctions.udf.CIQ($G633,$S633,V105,Valuation_Date_GC,ReportType,DataMode,$H633)*Scale),"--"))</f>
        <v>--</v>
      </c>
      <c r="W633" s="2301" t="str">
        <f>IF($G633=0,"--",IFERROR(IF(_xll.ciqfunctions.udf.CIQ($G633,$S633,W105,Valuation_Date_GC,ReportType,DataMode,$H633)*Scale=0,"--",_xll.ciqfunctions.udf.CIQ($G633,$S633,W105,Valuation_Date_GC,ReportType,DataMode,$H633)*Scale),"--"))</f>
        <v>--</v>
      </c>
      <c r="X633" s="2301" t="str">
        <f>IF($G633=0,"--",IFERROR(IF(_xll.ciqfunctions.udf.CIQ($G633,$S633,X105,Valuation_Date_GC,ReportType,DataMode,$H633)*Scale=0,"--",_xll.ciqfunctions.udf.CIQ($G633,$S633,X105,Valuation_Date_GC,ReportType,DataMode,$H633)*Scale),"--"))</f>
        <v>--</v>
      </c>
      <c r="Y633" s="2301" t="str">
        <f>IF($G633=0,"--",IFERROR(IF(_xll.ciqfunctions.udf.CIQ($G633,$S633,Y105,Valuation_Date_GC,ReportType,DataMode,$H633)*Scale=0,"--",_xll.ciqfunctions.udf.CIQ($G633,$S633,Y105,Valuation_Date_GC,ReportType,DataMode,$H633)*Scale),"--"))</f>
        <v>--</v>
      </c>
      <c r="Z633" s="2078" t="str">
        <f t="shared" si="178"/>
        <v/>
      </c>
      <c r="AA633" s="2301">
        <f>_xll.ciqfunctions.udf.CIQ($G633,"IQ_REVENUE_NUM_EST",U$97,Valuation_Date_GC,"CON")</f>
        <v>0</v>
      </c>
      <c r="AB633" s="2301">
        <f>_xll.ciqfunctions.udf.CIQ($G633,"IQ_REVENUE_NUM_EST",V$97,Valuation_Date_GC,"CON")</f>
        <v>0</v>
      </c>
      <c r="AC633" s="2301">
        <f>_xll.ciqfunctions.udf.CIQ($G633,"IQ_REVENUE_NUM_EST",W$97,Valuation_Date_GC,"CON")</f>
        <v>0</v>
      </c>
      <c r="AD633" s="2301">
        <f>_xll.ciqfunctions.udf.CIQ($G633,"IQ_REVENUE_NUM_EST",X$97,Valuation_Date_GC,"CON")</f>
        <v>0</v>
      </c>
      <c r="AE633" s="2301">
        <f>_xll.ciqfunctions.udf.CIQ($G633,"IQ_REVENUE_NUM_EST",Y$97,Valuation_Date_GC,"CON")</f>
        <v>0</v>
      </c>
      <c r="AF633" s="2060"/>
      <c r="AG633" s="2060"/>
      <c r="AH633" s="2060"/>
    </row>
    <row r="634" spans="1:34" s="89" customFormat="1" ht="13.9">
      <c r="A634" s="269" t="str">
        <f t="shared" si="179"/>
        <v>n</v>
      </c>
      <c r="B634" s="2060"/>
      <c r="D634" s="801"/>
      <c r="E634" s="1505">
        <v>7</v>
      </c>
      <c r="F634" s="21" t="str">
        <f>F$135</f>
        <v>--</v>
      </c>
      <c r="G634" s="1441">
        <f>G$135</f>
        <v>0</v>
      </c>
      <c r="H634" s="1441" t="str">
        <f>H$135</f>
        <v>--</v>
      </c>
      <c r="I634" s="1513" t="s">
        <v>808</v>
      </c>
      <c r="J634" s="2301" t="str">
        <f>IF($G634=0,"--",IFERROR(_xll.ciqfunctions.udf.CIQ($G634,$I634,J106,Valuation_Date_GC,ReportType,DataMode,$H634,FXMode)*Scale,"--"))</f>
        <v>--</v>
      </c>
      <c r="K634" s="2301" t="str">
        <f>IF($G634=0,"--",IFERROR(_xll.ciqfunctions.udf.CIQ($G634,$I634,K106,Valuation_Date_GC,ReportType,DataMode,$H634,FXMode)*Scale,"--"))</f>
        <v>--</v>
      </c>
      <c r="L634" s="2301" t="str">
        <f>IF($G634=0,"--",IFERROR(_xll.ciqfunctions.udf.CIQ($G634,$I634,L106,Valuation_Date_GC,ReportType,DataMode,$H634,FXMode)*Scale,"--"))</f>
        <v>--</v>
      </c>
      <c r="M634" s="2301" t="str">
        <f>IF($G634=0,"--",IFERROR(_xll.ciqfunctions.udf.CIQ($G634,$I634,M106,Valuation_Date_GC,ReportType,DataMode,$H634,FXMode)*Scale,"--"))</f>
        <v>--</v>
      </c>
      <c r="N634" s="2301" t="str">
        <f>IF($G634=0,"--",IFERROR(_xll.ciqfunctions.udf.CIQ($G634,$I634,N106,Valuation_Date_GC,ReportType,DataMode,$H634,FXMode)*Scale,"--"))</f>
        <v>--</v>
      </c>
      <c r="O634" s="2317" t="str">
        <f>IF($G634=0,"--",IFERROR(IF(O106=1001,_xll.ciqfunctions.udf.CIQ($G634,$S634,O106,Valuation_Date_GC,ReportType,DataMode,$H634,FXMode),_xll.ciqfunctions.udf.CIQ($G634,$I634,O106,Valuation_Date_GC,ReportType,DataMode,$H634,FXMode))*Scale,"--"))</f>
        <v>--</v>
      </c>
      <c r="P634" s="2301" t="str">
        <f>IF($G634=0,"--",IFERROR(_xll.ciqfunctions.udf.CIQ($G634,$I634,P106,Valuation_Date_GC,ReportType,DataMode,$H634,FXMode)*Scale,"--"))</f>
        <v>--</v>
      </c>
      <c r="R634" s="2301" t="str">
        <f>IF($G634=0,"--",IFERROR(_xll.ciqfunctions.udf.CIQ($G634,$I634,R106,Valuation_Date_GC,ReportType,DataMode,$H634,FXMode)*Scale,"--"))</f>
        <v>--</v>
      </c>
      <c r="S634" s="89" t="s">
        <v>807</v>
      </c>
      <c r="T634" s="2301" t="str">
        <f>IF(H106=0,O634,IF($G634=0,"--",IFERROR(_xll.ciqfunctions.udf.CIQ($G634,$S634,U106-1,Valuation_Date_GC,ReportType,DataMode,$H634)*Scale,"--")))</f>
        <v>--</v>
      </c>
      <c r="U634" s="2301" t="str">
        <f>IF($G634=0,"--",IFERROR(IF(_xll.ciqfunctions.udf.CIQ($G634,$S634,U106,Valuation_Date_GC,ReportType,DataMode,$H634)*Scale=0,"--",_xll.ciqfunctions.udf.CIQ($G634,$S634,U106,Valuation_Date_GC,ReportType,DataMode,$H634)*Scale),"--"))</f>
        <v>--</v>
      </c>
      <c r="V634" s="2301" t="str">
        <f>IF($G634=0,"--",IFERROR(IF(_xll.ciqfunctions.udf.CIQ($G634,$S634,V106,Valuation_Date_GC,ReportType,DataMode,$H634)*Scale=0,"--",_xll.ciqfunctions.udf.CIQ($G634,$S634,V106,Valuation_Date_GC,ReportType,DataMode,$H634)*Scale),"--"))</f>
        <v>--</v>
      </c>
      <c r="W634" s="2301" t="str">
        <f>IF($G634=0,"--",IFERROR(IF(_xll.ciqfunctions.udf.CIQ($G634,$S634,W106,Valuation_Date_GC,ReportType,DataMode,$H634)*Scale=0,"--",_xll.ciqfunctions.udf.CIQ($G634,$S634,W106,Valuation_Date_GC,ReportType,DataMode,$H634)*Scale),"--"))</f>
        <v>--</v>
      </c>
      <c r="X634" s="2301" t="str">
        <f>IF($G634=0,"--",IFERROR(IF(_xll.ciqfunctions.udf.CIQ($G634,$S634,X106,Valuation_Date_GC,ReportType,DataMode,$H634)*Scale=0,"--",_xll.ciqfunctions.udf.CIQ($G634,$S634,X106,Valuation_Date_GC,ReportType,DataMode,$H634)*Scale),"--"))</f>
        <v>--</v>
      </c>
      <c r="Y634" s="2301" t="str">
        <f>IF($G634=0,"--",IFERROR(IF(_xll.ciqfunctions.udf.CIQ($G634,$S634,Y106,Valuation_Date_GC,ReportType,DataMode,$H634)*Scale=0,"--",_xll.ciqfunctions.udf.CIQ($G634,$S634,Y106,Valuation_Date_GC,ReportType,DataMode,$H634)*Scale),"--"))</f>
        <v>--</v>
      </c>
      <c r="Z634" s="2078" t="str">
        <f t="shared" si="178"/>
        <v/>
      </c>
      <c r="AA634" s="2301">
        <f>_xll.ciqfunctions.udf.CIQ($G634,"IQ_REVENUE_NUM_EST",U$97,Valuation_Date_GC,"CON")</f>
        <v>0</v>
      </c>
      <c r="AB634" s="2301">
        <f>_xll.ciqfunctions.udf.CIQ($G634,"IQ_REVENUE_NUM_EST",V$97,Valuation_Date_GC,"CON")</f>
        <v>0</v>
      </c>
      <c r="AC634" s="2301">
        <f>_xll.ciqfunctions.udf.CIQ($G634,"IQ_REVENUE_NUM_EST",W$97,Valuation_Date_GC,"CON")</f>
        <v>0</v>
      </c>
      <c r="AD634" s="2301">
        <f>_xll.ciqfunctions.udf.CIQ($G634,"IQ_REVENUE_NUM_EST",X$97,Valuation_Date_GC,"CON")</f>
        <v>0</v>
      </c>
      <c r="AE634" s="2301">
        <f>_xll.ciqfunctions.udf.CIQ($G634,"IQ_REVENUE_NUM_EST",Y$97,Valuation_Date_GC,"CON")</f>
        <v>0</v>
      </c>
      <c r="AF634" s="2060"/>
      <c r="AG634" s="2060"/>
      <c r="AH634" s="2060"/>
    </row>
    <row r="635" spans="1:34" s="89" customFormat="1" ht="13.9">
      <c r="A635" s="269" t="str">
        <f t="shared" si="179"/>
        <v>n</v>
      </c>
      <c r="B635" s="2060"/>
      <c r="D635" s="801"/>
      <c r="E635" s="1505">
        <v>8</v>
      </c>
      <c r="F635" s="21" t="str">
        <f>F$136</f>
        <v>--</v>
      </c>
      <c r="G635" s="1441">
        <f>G$136</f>
        <v>0</v>
      </c>
      <c r="H635" s="1441" t="str">
        <f>H$136</f>
        <v>--</v>
      </c>
      <c r="I635" s="1513" t="s">
        <v>808</v>
      </c>
      <c r="J635" s="2301" t="str">
        <f>IF($G635=0,"--",IFERROR(_xll.ciqfunctions.udf.CIQ($G635,$I635,J107,Valuation_Date_GC,ReportType,DataMode,$H635,FXMode)*Scale,"--"))</f>
        <v>--</v>
      </c>
      <c r="K635" s="2301" t="str">
        <f>IF($G635=0,"--",IFERROR(_xll.ciqfunctions.udf.CIQ($G635,$I635,K107,Valuation_Date_GC,ReportType,DataMode,$H635,FXMode)*Scale,"--"))</f>
        <v>--</v>
      </c>
      <c r="L635" s="2301" t="str">
        <f>IF($G635=0,"--",IFERROR(_xll.ciqfunctions.udf.CIQ($G635,$I635,L107,Valuation_Date_GC,ReportType,DataMode,$H635,FXMode)*Scale,"--"))</f>
        <v>--</v>
      </c>
      <c r="M635" s="2301" t="str">
        <f>IF($G635=0,"--",IFERROR(_xll.ciqfunctions.udf.CIQ($G635,$I635,M107,Valuation_Date_GC,ReportType,DataMode,$H635,FXMode)*Scale,"--"))</f>
        <v>--</v>
      </c>
      <c r="N635" s="2301" t="str">
        <f>IF($G635=0,"--",IFERROR(_xll.ciqfunctions.udf.CIQ($G635,$I635,N107,Valuation_Date_GC,ReportType,DataMode,$H635,FXMode)*Scale,"--"))</f>
        <v>--</v>
      </c>
      <c r="O635" s="2317" t="str">
        <f>IF($G635=0,"--",IFERROR(IF(O107=1001,_xll.ciqfunctions.udf.CIQ($G635,$S635,O107,Valuation_Date_GC,ReportType,DataMode,$H635,FXMode),_xll.ciqfunctions.udf.CIQ($G635,$I635,O107,Valuation_Date_GC,ReportType,DataMode,$H635,FXMode))*Scale,"--"))</f>
        <v>--</v>
      </c>
      <c r="P635" s="2301" t="str">
        <f>IF($G635=0,"--",IFERROR(_xll.ciqfunctions.udf.CIQ($G635,$I635,P107,Valuation_Date_GC,ReportType,DataMode,$H635,FXMode)*Scale,"--"))</f>
        <v>--</v>
      </c>
      <c r="R635" s="2301" t="str">
        <f>IF($G635=0,"--",IFERROR(_xll.ciqfunctions.udf.CIQ($G635,$I635,R107,Valuation_Date_GC,ReportType,DataMode,$H635,FXMode)*Scale,"--"))</f>
        <v>--</v>
      </c>
      <c r="S635" s="89" t="s">
        <v>807</v>
      </c>
      <c r="T635" s="2301" t="str">
        <f>IF(H107=0,O635,IF($G635=0,"--",IFERROR(_xll.ciqfunctions.udf.CIQ($G635,$S635,U107-1,Valuation_Date_GC,ReportType,DataMode,$H635)*Scale,"--")))</f>
        <v>--</v>
      </c>
      <c r="U635" s="2301" t="str">
        <f>IF($G635=0,"--",IFERROR(IF(_xll.ciqfunctions.udf.CIQ($G635,$S635,U107,Valuation_Date_GC,ReportType,DataMode,$H635)*Scale=0,"--",_xll.ciqfunctions.udf.CIQ($G635,$S635,U107,Valuation_Date_GC,ReportType,DataMode,$H635)*Scale),"--"))</f>
        <v>--</v>
      </c>
      <c r="V635" s="2301" t="str">
        <f>IF($G635=0,"--",IFERROR(IF(_xll.ciqfunctions.udf.CIQ($G635,$S635,V107,Valuation_Date_GC,ReportType,DataMode,$H635)*Scale=0,"--",_xll.ciqfunctions.udf.CIQ($G635,$S635,V107,Valuation_Date_GC,ReportType,DataMode,$H635)*Scale),"--"))</f>
        <v>--</v>
      </c>
      <c r="W635" s="2301" t="str">
        <f>IF($G635=0,"--",IFERROR(IF(_xll.ciqfunctions.udf.CIQ($G635,$S635,W107,Valuation_Date_GC,ReportType,DataMode,$H635)*Scale=0,"--",_xll.ciqfunctions.udf.CIQ($G635,$S635,W107,Valuation_Date_GC,ReportType,DataMode,$H635)*Scale),"--"))</f>
        <v>--</v>
      </c>
      <c r="X635" s="2301" t="str">
        <f>IF($G635=0,"--",IFERROR(IF(_xll.ciqfunctions.udf.CIQ($G635,$S635,X107,Valuation_Date_GC,ReportType,DataMode,$H635)*Scale=0,"--",_xll.ciqfunctions.udf.CIQ($G635,$S635,X107,Valuation_Date_GC,ReportType,DataMode,$H635)*Scale),"--"))</f>
        <v>--</v>
      </c>
      <c r="Y635" s="2301" t="str">
        <f>IF($G635=0,"--",IFERROR(IF(_xll.ciqfunctions.udf.CIQ($G635,$S635,Y107,Valuation_Date_GC,ReportType,DataMode,$H635)*Scale=0,"--",_xll.ciqfunctions.udf.CIQ($G635,$S635,Y107,Valuation_Date_GC,ReportType,DataMode,$H635)*Scale),"--"))</f>
        <v>--</v>
      </c>
      <c r="Z635" s="2078" t="str">
        <f t="shared" si="178"/>
        <v/>
      </c>
      <c r="AA635" s="2301">
        <f>_xll.ciqfunctions.udf.CIQ($G635,"IQ_REVENUE_NUM_EST",U$97,Valuation_Date_GC,"CON")</f>
        <v>0</v>
      </c>
      <c r="AB635" s="2301">
        <f>_xll.ciqfunctions.udf.CIQ($G635,"IQ_REVENUE_NUM_EST",V$97,Valuation_Date_GC,"CON")</f>
        <v>0</v>
      </c>
      <c r="AC635" s="2301">
        <f>_xll.ciqfunctions.udf.CIQ($G635,"IQ_REVENUE_NUM_EST",W$97,Valuation_Date_GC,"CON")</f>
        <v>0</v>
      </c>
      <c r="AD635" s="2301">
        <f>_xll.ciqfunctions.udf.CIQ($G635,"IQ_REVENUE_NUM_EST",X$97,Valuation_Date_GC,"CON")</f>
        <v>0</v>
      </c>
      <c r="AE635" s="2301">
        <f>_xll.ciqfunctions.udf.CIQ($G635,"IQ_REVENUE_NUM_EST",Y$97,Valuation_Date_GC,"CON")</f>
        <v>0</v>
      </c>
      <c r="AF635" s="2060"/>
      <c r="AG635" s="2060"/>
      <c r="AH635" s="2060"/>
    </row>
    <row r="636" spans="1:34" s="89" customFormat="1" ht="13.9">
      <c r="A636" s="269" t="str">
        <f t="shared" si="179"/>
        <v>n</v>
      </c>
      <c r="B636" s="2060"/>
      <c r="D636" s="801"/>
      <c r="E636" s="1505">
        <v>9</v>
      </c>
      <c r="F636" s="21" t="str">
        <f>F$137</f>
        <v>--</v>
      </c>
      <c r="G636" s="1441">
        <f>G$137</f>
        <v>0</v>
      </c>
      <c r="H636" s="1441" t="str">
        <f>H$137</f>
        <v>--</v>
      </c>
      <c r="I636" s="1513" t="s">
        <v>808</v>
      </c>
      <c r="J636" s="2301" t="str">
        <f>IF($G636=0,"--",IFERROR(_xll.ciqfunctions.udf.CIQ($G636,$I636,J108,Valuation_Date_GC,ReportType,DataMode,$H636,FXMode)*Scale,"--"))</f>
        <v>--</v>
      </c>
      <c r="K636" s="2301" t="str">
        <f>IF($G636=0,"--",IFERROR(_xll.ciqfunctions.udf.CIQ($G636,$I636,K108,Valuation_Date_GC,ReportType,DataMode,$H636,FXMode)*Scale,"--"))</f>
        <v>--</v>
      </c>
      <c r="L636" s="2301" t="str">
        <f>IF($G636=0,"--",IFERROR(_xll.ciqfunctions.udf.CIQ($G636,$I636,L108,Valuation_Date_GC,ReportType,DataMode,$H636,FXMode)*Scale,"--"))</f>
        <v>--</v>
      </c>
      <c r="M636" s="2301" t="str">
        <f>IF($G636=0,"--",IFERROR(_xll.ciqfunctions.udf.CIQ($G636,$I636,M108,Valuation_Date_GC,ReportType,DataMode,$H636,FXMode)*Scale,"--"))</f>
        <v>--</v>
      </c>
      <c r="N636" s="2301" t="str">
        <f>IF($G636=0,"--",IFERROR(_xll.ciqfunctions.udf.CIQ($G636,$I636,N108,Valuation_Date_GC,ReportType,DataMode,$H636,FXMode)*Scale,"--"))</f>
        <v>--</v>
      </c>
      <c r="O636" s="2317" t="str">
        <f>IF($G636=0,"--",IFERROR(IF(O108=1001,_xll.ciqfunctions.udf.CIQ($G636,$S636,O108,Valuation_Date_GC,ReportType,DataMode,$H636,FXMode),_xll.ciqfunctions.udf.CIQ($G636,$I636,O108,Valuation_Date_GC,ReportType,DataMode,$H636,FXMode))*Scale,"--"))</f>
        <v>--</v>
      </c>
      <c r="P636" s="2301" t="str">
        <f>IF($G636=0,"--",IFERROR(_xll.ciqfunctions.udf.CIQ($G636,$I636,P108,Valuation_Date_GC,ReportType,DataMode,$H636,FXMode)*Scale,"--"))</f>
        <v>--</v>
      </c>
      <c r="R636" s="2301" t="str">
        <f>IF($G636=0,"--",IFERROR(_xll.ciqfunctions.udf.CIQ($G636,$I636,R108,Valuation_Date_GC,ReportType,DataMode,$H636,FXMode)*Scale,"--"))</f>
        <v>--</v>
      </c>
      <c r="S636" s="89" t="s">
        <v>807</v>
      </c>
      <c r="T636" s="2301" t="str">
        <f>IF(H108=0,O636,IF($G636=0,"--",IFERROR(_xll.ciqfunctions.udf.CIQ($G636,$S636,U108-1,Valuation_Date_GC,ReportType,DataMode,$H636)*Scale,"--")))</f>
        <v>--</v>
      </c>
      <c r="U636" s="2301" t="str">
        <f>IF($G636=0,"--",IFERROR(IF(_xll.ciqfunctions.udf.CIQ($G636,$S636,U108,Valuation_Date_GC,ReportType,DataMode,$H636)*Scale=0,"--",_xll.ciqfunctions.udf.CIQ($G636,$S636,U108,Valuation_Date_GC,ReportType,DataMode,$H636)*Scale),"--"))</f>
        <v>--</v>
      </c>
      <c r="V636" s="2301" t="str">
        <f>IF($G636=0,"--",IFERROR(IF(_xll.ciqfunctions.udf.CIQ($G636,$S636,V108,Valuation_Date_GC,ReportType,DataMode,$H636)*Scale=0,"--",_xll.ciqfunctions.udf.CIQ($G636,$S636,V108,Valuation_Date_GC,ReportType,DataMode,$H636)*Scale),"--"))</f>
        <v>--</v>
      </c>
      <c r="W636" s="2301" t="str">
        <f>IF($G636=0,"--",IFERROR(IF(_xll.ciqfunctions.udf.CIQ($G636,$S636,W108,Valuation_Date_GC,ReportType,DataMode,$H636)*Scale=0,"--",_xll.ciqfunctions.udf.CIQ($G636,$S636,W108,Valuation_Date_GC,ReportType,DataMode,$H636)*Scale),"--"))</f>
        <v>--</v>
      </c>
      <c r="X636" s="2301" t="str">
        <f>IF($G636=0,"--",IFERROR(IF(_xll.ciqfunctions.udf.CIQ($G636,$S636,X108,Valuation_Date_GC,ReportType,DataMode,$H636)*Scale=0,"--",_xll.ciqfunctions.udf.CIQ($G636,$S636,X108,Valuation_Date_GC,ReportType,DataMode,$H636)*Scale),"--"))</f>
        <v>--</v>
      </c>
      <c r="Y636" s="2301" t="str">
        <f>IF($G636=0,"--",IFERROR(IF(_xll.ciqfunctions.udf.CIQ($G636,$S636,Y108,Valuation_Date_GC,ReportType,DataMode,$H636)*Scale=0,"--",_xll.ciqfunctions.udf.CIQ($G636,$S636,Y108,Valuation_Date_GC,ReportType,DataMode,$H636)*Scale),"--"))</f>
        <v>--</v>
      </c>
      <c r="Z636" s="2078" t="str">
        <f t="shared" si="178"/>
        <v/>
      </c>
      <c r="AA636" s="2301">
        <f>_xll.ciqfunctions.udf.CIQ($G636,"IQ_REVENUE_NUM_EST",U$97,Valuation_Date_GC,"CON")</f>
        <v>0</v>
      </c>
      <c r="AB636" s="2301">
        <f>_xll.ciqfunctions.udf.CIQ($G636,"IQ_REVENUE_NUM_EST",V$97,Valuation_Date_GC,"CON")</f>
        <v>0</v>
      </c>
      <c r="AC636" s="2301">
        <f>_xll.ciqfunctions.udf.CIQ($G636,"IQ_REVENUE_NUM_EST",W$97,Valuation_Date_GC,"CON")</f>
        <v>0</v>
      </c>
      <c r="AD636" s="2301">
        <f>_xll.ciqfunctions.udf.CIQ($G636,"IQ_REVENUE_NUM_EST",X$97,Valuation_Date_GC,"CON")</f>
        <v>0</v>
      </c>
      <c r="AE636" s="2301">
        <f>_xll.ciqfunctions.udf.CIQ($G636,"IQ_REVENUE_NUM_EST",Y$97,Valuation_Date_GC,"CON")</f>
        <v>0</v>
      </c>
      <c r="AF636" s="2060"/>
      <c r="AG636" s="2060"/>
      <c r="AH636" s="2060"/>
    </row>
    <row r="637" spans="1:34" s="89" customFormat="1" ht="13.9">
      <c r="A637" s="269" t="str">
        <f t="shared" si="179"/>
        <v>n</v>
      </c>
      <c r="B637" s="2060"/>
      <c r="D637" s="801"/>
      <c r="E637" s="1505">
        <v>10</v>
      </c>
      <c r="F637" s="21" t="str">
        <f>F$138</f>
        <v>--</v>
      </c>
      <c r="G637" s="1441">
        <f>G$138</f>
        <v>0</v>
      </c>
      <c r="H637" s="1441" t="str">
        <f>H$138</f>
        <v>--</v>
      </c>
      <c r="I637" s="1513" t="s">
        <v>808</v>
      </c>
      <c r="J637" s="2301" t="str">
        <f>IF($G637=0,"--",IFERROR(_xll.ciqfunctions.udf.CIQ($G637,$I637,J109,Valuation_Date_GC,ReportType,DataMode,$H637,FXMode)*Scale,"--"))</f>
        <v>--</v>
      </c>
      <c r="K637" s="2301" t="str">
        <f>IF($G637=0,"--",IFERROR(_xll.ciqfunctions.udf.CIQ($G637,$I637,K109,Valuation_Date_GC,ReportType,DataMode,$H637,FXMode)*Scale,"--"))</f>
        <v>--</v>
      </c>
      <c r="L637" s="2301" t="str">
        <f>IF($G637=0,"--",IFERROR(_xll.ciqfunctions.udf.CIQ($G637,$I637,L109,Valuation_Date_GC,ReportType,DataMode,$H637,FXMode)*Scale,"--"))</f>
        <v>--</v>
      </c>
      <c r="M637" s="2301" t="str">
        <f>IF($G637=0,"--",IFERROR(_xll.ciqfunctions.udf.CIQ($G637,$I637,M109,Valuation_Date_GC,ReportType,DataMode,$H637,FXMode)*Scale,"--"))</f>
        <v>--</v>
      </c>
      <c r="N637" s="2301" t="str">
        <f>IF($G637=0,"--",IFERROR(_xll.ciqfunctions.udf.CIQ($G637,$I637,N109,Valuation_Date_GC,ReportType,DataMode,$H637,FXMode)*Scale,"--"))</f>
        <v>--</v>
      </c>
      <c r="O637" s="2317" t="str">
        <f>IF($G637=0,"--",IFERROR(IF(O109=1001,_xll.ciqfunctions.udf.CIQ($G637,$S637,O109,Valuation_Date_GC,ReportType,DataMode,$H637,FXMode),_xll.ciqfunctions.udf.CIQ($G637,$I637,O109,Valuation_Date_GC,ReportType,DataMode,$H637,FXMode))*Scale,"--"))</f>
        <v>--</v>
      </c>
      <c r="P637" s="2301" t="str">
        <f>IF($G637=0,"--",IFERROR(_xll.ciqfunctions.udf.CIQ($G637,$I637,P109,Valuation_Date_GC,ReportType,DataMode,$H637,FXMode)*Scale,"--"))</f>
        <v>--</v>
      </c>
      <c r="R637" s="2301" t="str">
        <f>IF($G637=0,"--",IFERROR(_xll.ciqfunctions.udf.CIQ($G637,$I637,R109,Valuation_Date_GC,ReportType,DataMode,$H637,FXMode)*Scale,"--"))</f>
        <v>--</v>
      </c>
      <c r="S637" s="89" t="s">
        <v>807</v>
      </c>
      <c r="T637" s="2301" t="str">
        <f>IF(H109=0,O637,IF($G637=0,"--",IFERROR(_xll.ciqfunctions.udf.CIQ($G637,$S637,U109-1,Valuation_Date_GC,ReportType,DataMode,$H637)*Scale,"--")))</f>
        <v>--</v>
      </c>
      <c r="U637" s="2301" t="str">
        <f>IF($G637=0,"--",IFERROR(IF(_xll.ciqfunctions.udf.CIQ($G637,$S637,U109,Valuation_Date_GC,ReportType,DataMode,$H637)*Scale=0,"--",_xll.ciqfunctions.udf.CIQ($G637,$S637,U109,Valuation_Date_GC,ReportType,DataMode,$H637)*Scale),"--"))</f>
        <v>--</v>
      </c>
      <c r="V637" s="2301" t="str">
        <f>IF($G637=0,"--",IFERROR(IF(_xll.ciqfunctions.udf.CIQ($G637,$S637,V109,Valuation_Date_GC,ReportType,DataMode,$H637)*Scale=0,"--",_xll.ciqfunctions.udf.CIQ($G637,$S637,V109,Valuation_Date_GC,ReportType,DataMode,$H637)*Scale),"--"))</f>
        <v>--</v>
      </c>
      <c r="W637" s="2301" t="str">
        <f>IF($G637=0,"--",IFERROR(IF(_xll.ciqfunctions.udf.CIQ($G637,$S637,W109,Valuation_Date_GC,ReportType,DataMode,$H637)*Scale=0,"--",_xll.ciqfunctions.udf.CIQ($G637,$S637,W109,Valuation_Date_GC,ReportType,DataMode,$H637)*Scale),"--"))</f>
        <v>--</v>
      </c>
      <c r="X637" s="2301" t="str">
        <f>IF($G637=0,"--",IFERROR(IF(_xll.ciqfunctions.udf.CIQ($G637,$S637,X109,Valuation_Date_GC,ReportType,DataMode,$H637)*Scale=0,"--",_xll.ciqfunctions.udf.CIQ($G637,$S637,X109,Valuation_Date_GC,ReportType,DataMode,$H637)*Scale),"--"))</f>
        <v>--</v>
      </c>
      <c r="Y637" s="2301" t="str">
        <f>IF($G637=0,"--",IFERROR(IF(_xll.ciqfunctions.udf.CIQ($G637,$S637,Y109,Valuation_Date_GC,ReportType,DataMode,$H637)*Scale=0,"--",_xll.ciqfunctions.udf.CIQ($G637,$S637,Y109,Valuation_Date_GC,ReportType,DataMode,$H637)*Scale),"--"))</f>
        <v>--</v>
      </c>
      <c r="Z637" s="2078" t="str">
        <f t="shared" si="178"/>
        <v/>
      </c>
      <c r="AA637" s="2301">
        <f>_xll.ciqfunctions.udf.CIQ($G637,"IQ_REVENUE_NUM_EST",U$97,Valuation_Date_GC,"CON")</f>
        <v>0</v>
      </c>
      <c r="AB637" s="2301">
        <f>_xll.ciqfunctions.udf.CIQ($G637,"IQ_REVENUE_NUM_EST",V$97,Valuation_Date_GC,"CON")</f>
        <v>0</v>
      </c>
      <c r="AC637" s="2301">
        <f>_xll.ciqfunctions.udf.CIQ($G637,"IQ_REVENUE_NUM_EST",W$97,Valuation_Date_GC,"CON")</f>
        <v>0</v>
      </c>
      <c r="AD637" s="2301">
        <f>_xll.ciqfunctions.udf.CIQ($G637,"IQ_REVENUE_NUM_EST",X$97,Valuation_Date_GC,"CON")</f>
        <v>0</v>
      </c>
      <c r="AE637" s="2301">
        <f>_xll.ciqfunctions.udf.CIQ($G637,"IQ_REVENUE_NUM_EST",Y$97,Valuation_Date_GC,"CON")</f>
        <v>0</v>
      </c>
      <c r="AF637" s="2060"/>
      <c r="AG637" s="2060"/>
      <c r="AH637" s="2060"/>
    </row>
    <row r="638" spans="1:34" s="89" customFormat="1" ht="13.9">
      <c r="A638" s="269" t="str">
        <f t="shared" si="179"/>
        <v>n</v>
      </c>
      <c r="B638" s="2060"/>
      <c r="D638" s="801"/>
      <c r="E638" s="1505">
        <v>11</v>
      </c>
      <c r="F638" s="21" t="str">
        <f>F$139</f>
        <v>--</v>
      </c>
      <c r="G638" s="1441">
        <f>G$139</f>
        <v>0</v>
      </c>
      <c r="H638" s="1441" t="str">
        <f>H$139</f>
        <v>--</v>
      </c>
      <c r="I638" s="1513" t="s">
        <v>808</v>
      </c>
      <c r="J638" s="2301" t="str">
        <f>IF($G638=0,"--",IFERROR(_xll.ciqfunctions.udf.CIQ($G638,$I638,J110,Valuation_Date_GC,ReportType,DataMode,$H638,FXMode)*Scale,"--"))</f>
        <v>--</v>
      </c>
      <c r="K638" s="2301" t="str">
        <f>IF($G638=0,"--",IFERROR(_xll.ciqfunctions.udf.CIQ($G638,$I638,K110,Valuation_Date_GC,ReportType,DataMode,$H638,FXMode)*Scale,"--"))</f>
        <v>--</v>
      </c>
      <c r="L638" s="2301" t="str">
        <f>IF($G638=0,"--",IFERROR(_xll.ciqfunctions.udf.CIQ($G638,$I638,L110,Valuation_Date_GC,ReportType,DataMode,$H638,FXMode)*Scale,"--"))</f>
        <v>--</v>
      </c>
      <c r="M638" s="2301" t="str">
        <f>IF($G638=0,"--",IFERROR(_xll.ciqfunctions.udf.CIQ($G638,$I638,M110,Valuation_Date_GC,ReportType,DataMode,$H638,FXMode)*Scale,"--"))</f>
        <v>--</v>
      </c>
      <c r="N638" s="2301" t="str">
        <f>IF($G638=0,"--",IFERROR(_xll.ciqfunctions.udf.CIQ($G638,$I638,N110,Valuation_Date_GC,ReportType,DataMode,$H638,FXMode)*Scale,"--"))</f>
        <v>--</v>
      </c>
      <c r="O638" s="2317" t="str">
        <f>IF($G638=0,"--",IFERROR(IF(O110=1001,_xll.ciqfunctions.udf.CIQ($G638,$S638,O110,Valuation_Date_GC,ReportType,DataMode,$H638,FXMode),_xll.ciqfunctions.udf.CIQ($G638,$I638,O110,Valuation_Date_GC,ReportType,DataMode,$H638,FXMode))*Scale,"--"))</f>
        <v>--</v>
      </c>
      <c r="P638" s="2301" t="str">
        <f>IF($G638=0,"--",IFERROR(_xll.ciqfunctions.udf.CIQ($G638,$I638,P110,Valuation_Date_GC,ReportType,DataMode,$H638,FXMode)*Scale,"--"))</f>
        <v>--</v>
      </c>
      <c r="R638" s="2301" t="str">
        <f>IF($G638=0,"--",IFERROR(_xll.ciqfunctions.udf.CIQ($G638,$I638,R110,Valuation_Date_GC,ReportType,DataMode,$H638,FXMode)*Scale,"--"))</f>
        <v>--</v>
      </c>
      <c r="S638" s="89" t="s">
        <v>807</v>
      </c>
      <c r="T638" s="2301" t="str">
        <f>IF(H110=0,O638,IF($G638=0,"--",IFERROR(_xll.ciqfunctions.udf.CIQ($G638,$S638,U110-1,Valuation_Date_GC,ReportType,DataMode,$H638)*Scale,"--")))</f>
        <v>--</v>
      </c>
      <c r="U638" s="2301" t="str">
        <f>IF($G638=0,"--",IFERROR(IF(_xll.ciqfunctions.udf.CIQ($G638,$S638,U110,Valuation_Date_GC,ReportType,DataMode,$H638)*Scale=0,"--",_xll.ciqfunctions.udf.CIQ($G638,$S638,U110,Valuation_Date_GC,ReportType,DataMode,$H638)*Scale),"--"))</f>
        <v>--</v>
      </c>
      <c r="V638" s="2301" t="str">
        <f>IF($G638=0,"--",IFERROR(IF(_xll.ciqfunctions.udf.CIQ($G638,$S638,V110,Valuation_Date_GC,ReportType,DataMode,$H638)*Scale=0,"--",_xll.ciqfunctions.udf.CIQ($G638,$S638,V110,Valuation_Date_GC,ReportType,DataMode,$H638)*Scale),"--"))</f>
        <v>--</v>
      </c>
      <c r="W638" s="2301" t="str">
        <f>IF($G638=0,"--",IFERROR(IF(_xll.ciqfunctions.udf.CIQ($G638,$S638,W110,Valuation_Date_GC,ReportType,DataMode,$H638)*Scale=0,"--",_xll.ciqfunctions.udf.CIQ($G638,$S638,W110,Valuation_Date_GC,ReportType,DataMode,$H638)*Scale),"--"))</f>
        <v>--</v>
      </c>
      <c r="X638" s="2301" t="str">
        <f>IF($G638=0,"--",IFERROR(IF(_xll.ciqfunctions.udf.CIQ($G638,$S638,X110,Valuation_Date_GC,ReportType,DataMode,$H638)*Scale=0,"--",_xll.ciqfunctions.udf.CIQ($G638,$S638,X110,Valuation_Date_GC,ReportType,DataMode,$H638)*Scale),"--"))</f>
        <v>--</v>
      </c>
      <c r="Y638" s="2301" t="str">
        <f>IF($G638=0,"--",IFERROR(IF(_xll.ciqfunctions.udf.CIQ($G638,$S638,Y110,Valuation_Date_GC,ReportType,DataMode,$H638)*Scale=0,"--",_xll.ciqfunctions.udf.CIQ($G638,$S638,Y110,Valuation_Date_GC,ReportType,DataMode,$H638)*Scale),"--"))</f>
        <v>--</v>
      </c>
      <c r="Z638" s="2078" t="str">
        <f t="shared" si="178"/>
        <v/>
      </c>
      <c r="AA638" s="2301">
        <f>_xll.ciqfunctions.udf.CIQ($G638,"IQ_REVENUE_NUM_EST",U$97,Valuation_Date_GC,"CON")</f>
        <v>0</v>
      </c>
      <c r="AB638" s="2301">
        <f>_xll.ciqfunctions.udf.CIQ($G638,"IQ_REVENUE_NUM_EST",V$97,Valuation_Date_GC,"CON")</f>
        <v>0</v>
      </c>
      <c r="AC638" s="2301">
        <f>_xll.ciqfunctions.udf.CIQ($G638,"IQ_REVENUE_NUM_EST",W$97,Valuation_Date_GC,"CON")</f>
        <v>0</v>
      </c>
      <c r="AD638" s="2301">
        <f>_xll.ciqfunctions.udf.CIQ($G638,"IQ_REVENUE_NUM_EST",X$97,Valuation_Date_GC,"CON")</f>
        <v>0</v>
      </c>
      <c r="AE638" s="2301">
        <f>_xll.ciqfunctions.udf.CIQ($G638,"IQ_REVENUE_NUM_EST",Y$97,Valuation_Date_GC,"CON")</f>
        <v>0</v>
      </c>
      <c r="AF638" s="2060"/>
      <c r="AG638" s="2060"/>
      <c r="AH638" s="2060"/>
    </row>
    <row r="639" spans="1:34" s="89" customFormat="1" ht="13.9">
      <c r="A639" s="269" t="str">
        <f t="shared" si="179"/>
        <v>n</v>
      </c>
      <c r="B639" s="2060"/>
      <c r="D639" s="801"/>
      <c r="E639" s="1505">
        <v>12</v>
      </c>
      <c r="F639" s="21" t="str">
        <f>F$140</f>
        <v>--</v>
      </c>
      <c r="G639" s="1441">
        <f>G$140</f>
        <v>0</v>
      </c>
      <c r="H639" s="1441" t="str">
        <f>H$140</f>
        <v>--</v>
      </c>
      <c r="I639" s="1513" t="s">
        <v>808</v>
      </c>
      <c r="J639" s="2301" t="str">
        <f>IF($G639=0,"--",IFERROR(_xll.ciqfunctions.udf.CIQ($G639,$I639,J111,Valuation_Date_GC,ReportType,DataMode,$H639,FXMode)*Scale,"--"))</f>
        <v>--</v>
      </c>
      <c r="K639" s="2301" t="str">
        <f>IF($G639=0,"--",IFERROR(_xll.ciqfunctions.udf.CIQ($G639,$I639,K111,Valuation_Date_GC,ReportType,DataMode,$H639,FXMode)*Scale,"--"))</f>
        <v>--</v>
      </c>
      <c r="L639" s="2301" t="str">
        <f>IF($G639=0,"--",IFERROR(_xll.ciqfunctions.udf.CIQ($G639,$I639,L111,Valuation_Date_GC,ReportType,DataMode,$H639,FXMode)*Scale,"--"))</f>
        <v>--</v>
      </c>
      <c r="M639" s="2301" t="str">
        <f>IF($G639=0,"--",IFERROR(_xll.ciqfunctions.udf.CIQ($G639,$I639,M111,Valuation_Date_GC,ReportType,DataMode,$H639,FXMode)*Scale,"--"))</f>
        <v>--</v>
      </c>
      <c r="N639" s="2301" t="str">
        <f>IF($G639=0,"--",IFERROR(_xll.ciqfunctions.udf.CIQ($G639,$I639,N111,Valuation_Date_GC,ReportType,DataMode,$H639,FXMode)*Scale,"--"))</f>
        <v>--</v>
      </c>
      <c r="O639" s="2317" t="str">
        <f>IF($G639=0,"--",IFERROR(IF(O111=1001,_xll.ciqfunctions.udf.CIQ($G639,$S639,O111,Valuation_Date_GC,ReportType,DataMode,$H639,FXMode),_xll.ciqfunctions.udf.CIQ($G639,$I639,O111,Valuation_Date_GC,ReportType,DataMode,$H639,FXMode))*Scale,"--"))</f>
        <v>--</v>
      </c>
      <c r="P639" s="2301" t="str">
        <f>IF($G639=0,"--",IFERROR(_xll.ciqfunctions.udf.CIQ($G639,$I639,P111,Valuation_Date_GC,ReportType,DataMode,$H639,FXMode)*Scale,"--"))</f>
        <v>--</v>
      </c>
      <c r="R639" s="2301" t="str">
        <f>IF($G639=0,"--",IFERROR(_xll.ciqfunctions.udf.CIQ($G639,$I639,R111,Valuation_Date_GC,ReportType,DataMode,$H639,FXMode)*Scale,"--"))</f>
        <v>--</v>
      </c>
      <c r="S639" s="89" t="s">
        <v>807</v>
      </c>
      <c r="T639" s="2301" t="str">
        <f>IF(H111=0,O639,IF($G639=0,"--",IFERROR(_xll.ciqfunctions.udf.CIQ($G639,$S639,U111-1,Valuation_Date_GC,ReportType,DataMode,$H639)*Scale,"--")))</f>
        <v>--</v>
      </c>
      <c r="U639" s="2301" t="str">
        <f>IF($G639=0,"--",IFERROR(IF(_xll.ciqfunctions.udf.CIQ($G639,$S639,U111,Valuation_Date_GC,ReportType,DataMode,$H639)*Scale=0,"--",_xll.ciqfunctions.udf.CIQ($G639,$S639,U111,Valuation_Date_GC,ReportType,DataMode,$H639)*Scale),"--"))</f>
        <v>--</v>
      </c>
      <c r="V639" s="2301" t="str">
        <f>IF($G639=0,"--",IFERROR(IF(_xll.ciqfunctions.udf.CIQ($G639,$S639,V111,Valuation_Date_GC,ReportType,DataMode,$H639)*Scale=0,"--",_xll.ciqfunctions.udf.CIQ($G639,$S639,V111,Valuation_Date_GC,ReportType,DataMode,$H639)*Scale),"--"))</f>
        <v>--</v>
      </c>
      <c r="W639" s="2301" t="str">
        <f>IF($G639=0,"--",IFERROR(IF(_xll.ciqfunctions.udf.CIQ($G639,$S639,W111,Valuation_Date_GC,ReportType,DataMode,$H639)*Scale=0,"--",_xll.ciqfunctions.udf.CIQ($G639,$S639,W111,Valuation_Date_GC,ReportType,DataMode,$H639)*Scale),"--"))</f>
        <v>--</v>
      </c>
      <c r="X639" s="2301" t="str">
        <f>IF($G639=0,"--",IFERROR(IF(_xll.ciqfunctions.udf.CIQ($G639,$S639,X111,Valuation_Date_GC,ReportType,DataMode,$H639)*Scale=0,"--",_xll.ciqfunctions.udf.CIQ($G639,$S639,X111,Valuation_Date_GC,ReportType,DataMode,$H639)*Scale),"--"))</f>
        <v>--</v>
      </c>
      <c r="Y639" s="2301" t="str">
        <f>IF($G639=0,"--",IFERROR(IF(_xll.ciqfunctions.udf.CIQ($G639,$S639,Y111,Valuation_Date_GC,ReportType,DataMode,$H639)*Scale=0,"--",_xll.ciqfunctions.udf.CIQ($G639,$S639,Y111,Valuation_Date_GC,ReportType,DataMode,$H639)*Scale),"--"))</f>
        <v>--</v>
      </c>
      <c r="Z639" s="2078" t="str">
        <f t="shared" si="178"/>
        <v/>
      </c>
      <c r="AA639" s="2301">
        <f>_xll.ciqfunctions.udf.CIQ($G639,"IQ_REVENUE_NUM_EST",U$97,Valuation_Date_GC,"CON")</f>
        <v>0</v>
      </c>
      <c r="AB639" s="2301">
        <f>_xll.ciqfunctions.udf.CIQ($G639,"IQ_REVENUE_NUM_EST",V$97,Valuation_Date_GC,"CON")</f>
        <v>0</v>
      </c>
      <c r="AC639" s="2301">
        <f>_xll.ciqfunctions.udf.CIQ($G639,"IQ_REVENUE_NUM_EST",W$97,Valuation_Date_GC,"CON")</f>
        <v>0</v>
      </c>
      <c r="AD639" s="2301">
        <f>_xll.ciqfunctions.udf.CIQ($G639,"IQ_REVENUE_NUM_EST",X$97,Valuation_Date_GC,"CON")</f>
        <v>0</v>
      </c>
      <c r="AE639" s="2301">
        <f>_xll.ciqfunctions.udf.CIQ($G639,"IQ_REVENUE_NUM_EST",Y$97,Valuation_Date_GC,"CON")</f>
        <v>0</v>
      </c>
      <c r="AF639" s="2060"/>
      <c r="AG639" s="2060"/>
      <c r="AH639" s="2060"/>
    </row>
    <row r="640" spans="1:34" s="89" customFormat="1" ht="13.9">
      <c r="A640" s="269" t="str">
        <f t="shared" si="179"/>
        <v>n</v>
      </c>
      <c r="B640" s="2060"/>
      <c r="D640" s="801"/>
      <c r="E640" s="1505">
        <v>13</v>
      </c>
      <c r="F640" s="21" t="str">
        <f>F$141</f>
        <v>--</v>
      </c>
      <c r="G640" s="1441">
        <f>G$141</f>
        <v>0</v>
      </c>
      <c r="H640" s="1441" t="str">
        <f>H$141</f>
        <v>--</v>
      </c>
      <c r="I640" s="1513" t="s">
        <v>808</v>
      </c>
      <c r="J640" s="2301" t="str">
        <f>IF($G640=0,"--",IFERROR(_xll.ciqfunctions.udf.CIQ($G640,$I640,J112,Valuation_Date_GC,ReportType,DataMode,$H640,FXMode)*Scale,"--"))</f>
        <v>--</v>
      </c>
      <c r="K640" s="2301" t="str">
        <f>IF($G640=0,"--",IFERROR(_xll.ciqfunctions.udf.CIQ($G640,$I640,K112,Valuation_Date_GC,ReportType,DataMode,$H640,FXMode)*Scale,"--"))</f>
        <v>--</v>
      </c>
      <c r="L640" s="2301" t="str">
        <f>IF($G640=0,"--",IFERROR(_xll.ciqfunctions.udf.CIQ($G640,$I640,L112,Valuation_Date_GC,ReportType,DataMode,$H640,FXMode)*Scale,"--"))</f>
        <v>--</v>
      </c>
      <c r="M640" s="2301" t="str">
        <f>IF($G640=0,"--",IFERROR(_xll.ciqfunctions.udf.CIQ($G640,$I640,M112,Valuation_Date_GC,ReportType,DataMode,$H640,FXMode)*Scale,"--"))</f>
        <v>--</v>
      </c>
      <c r="N640" s="2301" t="str">
        <f>IF($G640=0,"--",IFERROR(_xll.ciqfunctions.udf.CIQ($G640,$I640,N112,Valuation_Date_GC,ReportType,DataMode,$H640,FXMode)*Scale,"--"))</f>
        <v>--</v>
      </c>
      <c r="O640" s="2317" t="str">
        <f>IF($G640=0,"--",IFERROR(IF(O112=1001,_xll.ciqfunctions.udf.CIQ($G640,$S640,O112,Valuation_Date_GC,ReportType,DataMode,$H640,FXMode),_xll.ciqfunctions.udf.CIQ($G640,$I640,O112,Valuation_Date_GC,ReportType,DataMode,$H640,FXMode))*Scale,"--"))</f>
        <v>--</v>
      </c>
      <c r="P640" s="2301" t="str">
        <f>IF($G640=0,"--",IFERROR(_xll.ciqfunctions.udf.CIQ($G640,$I640,P112,Valuation_Date_GC,ReportType,DataMode,$H640,FXMode)*Scale,"--"))</f>
        <v>--</v>
      </c>
      <c r="R640" s="2301" t="str">
        <f>IF($G640=0,"--",IFERROR(_xll.ciqfunctions.udf.CIQ($G640,$I640,R112,Valuation_Date_GC,ReportType,DataMode,$H640,FXMode)*Scale,"--"))</f>
        <v>--</v>
      </c>
      <c r="S640" s="89" t="s">
        <v>807</v>
      </c>
      <c r="T640" s="2301" t="str">
        <f>IF(H112=0,O640,IF($G640=0,"--",IFERROR(_xll.ciqfunctions.udf.CIQ($G640,$S640,U112-1,Valuation_Date_GC,ReportType,DataMode,$H640)*Scale,"--")))</f>
        <v>--</v>
      </c>
      <c r="U640" s="2301" t="str">
        <f>IF($G640=0,"--",IFERROR(IF(_xll.ciqfunctions.udf.CIQ($G640,$S640,U112,Valuation_Date_GC,ReportType,DataMode,$H640)*Scale=0,"--",_xll.ciqfunctions.udf.CIQ($G640,$S640,U112,Valuation_Date_GC,ReportType,DataMode,$H640)*Scale),"--"))</f>
        <v>--</v>
      </c>
      <c r="V640" s="2301" t="str">
        <f>IF($G640=0,"--",IFERROR(IF(_xll.ciqfunctions.udf.CIQ($G640,$S640,V112,Valuation_Date_GC,ReportType,DataMode,$H640)*Scale=0,"--",_xll.ciqfunctions.udf.CIQ($G640,$S640,V112,Valuation_Date_GC,ReportType,DataMode,$H640)*Scale),"--"))</f>
        <v>--</v>
      </c>
      <c r="W640" s="2301" t="str">
        <f>IF($G640=0,"--",IFERROR(IF(_xll.ciqfunctions.udf.CIQ($G640,$S640,W112,Valuation_Date_GC,ReportType,DataMode,$H640)*Scale=0,"--",_xll.ciqfunctions.udf.CIQ($G640,$S640,W112,Valuation_Date_GC,ReportType,DataMode,$H640)*Scale),"--"))</f>
        <v>--</v>
      </c>
      <c r="X640" s="2301" t="str">
        <f>IF($G640=0,"--",IFERROR(IF(_xll.ciqfunctions.udf.CIQ($G640,$S640,X112,Valuation_Date_GC,ReportType,DataMode,$H640)*Scale=0,"--",_xll.ciqfunctions.udf.CIQ($G640,$S640,X112,Valuation_Date_GC,ReportType,DataMode,$H640)*Scale),"--"))</f>
        <v>--</v>
      </c>
      <c r="Y640" s="2301" t="str">
        <f>IF($G640=0,"--",IFERROR(IF(_xll.ciqfunctions.udf.CIQ($G640,$S640,Y112,Valuation_Date_GC,ReportType,DataMode,$H640)*Scale=0,"--",_xll.ciqfunctions.udf.CIQ($G640,$S640,Y112,Valuation_Date_GC,ReportType,DataMode,$H640)*Scale),"--"))</f>
        <v>--</v>
      </c>
      <c r="Z640" s="2078" t="str">
        <f t="shared" si="178"/>
        <v/>
      </c>
      <c r="AA640" s="2301">
        <f>_xll.ciqfunctions.udf.CIQ($G640,"IQ_REVENUE_NUM_EST",U$97,Valuation_Date_GC,"CON")</f>
        <v>0</v>
      </c>
      <c r="AB640" s="2301">
        <f>_xll.ciqfunctions.udf.CIQ($G640,"IQ_REVENUE_NUM_EST",V$97,Valuation_Date_GC,"CON")</f>
        <v>0</v>
      </c>
      <c r="AC640" s="2301">
        <f>_xll.ciqfunctions.udf.CIQ($G640,"IQ_REVENUE_NUM_EST",W$97,Valuation_Date_GC,"CON")</f>
        <v>0</v>
      </c>
      <c r="AD640" s="2301">
        <f>_xll.ciqfunctions.udf.CIQ($G640,"IQ_REVENUE_NUM_EST",X$97,Valuation_Date_GC,"CON")</f>
        <v>0</v>
      </c>
      <c r="AE640" s="2301">
        <f>_xll.ciqfunctions.udf.CIQ($G640,"IQ_REVENUE_NUM_EST",Y$97,Valuation_Date_GC,"CON")</f>
        <v>0</v>
      </c>
      <c r="AF640" s="2060"/>
      <c r="AG640" s="2060"/>
      <c r="AH640" s="2060"/>
    </row>
    <row r="641" spans="1:34" s="89" customFormat="1" ht="13.9">
      <c r="A641" s="269" t="str">
        <f t="shared" si="179"/>
        <v>n</v>
      </c>
      <c r="B641" s="2060"/>
      <c r="D641" s="801"/>
      <c r="E641" s="1505">
        <v>14</v>
      </c>
      <c r="F641" s="21" t="str">
        <f>F$142</f>
        <v>--</v>
      </c>
      <c r="G641" s="1441">
        <f>G$142</f>
        <v>0</v>
      </c>
      <c r="H641" s="1441" t="str">
        <f>H$142</f>
        <v>--</v>
      </c>
      <c r="I641" s="1513" t="s">
        <v>808</v>
      </c>
      <c r="J641" s="2301" t="str">
        <f>IF($G641=0,"--",IFERROR(_xll.ciqfunctions.udf.CIQ($G641,$I641,J113,Valuation_Date_GC,ReportType,DataMode,$H641,FXMode)*Scale,"--"))</f>
        <v>--</v>
      </c>
      <c r="K641" s="2301" t="str">
        <f>IF($G641=0,"--",IFERROR(_xll.ciqfunctions.udf.CIQ($G641,$I641,K113,Valuation_Date_GC,ReportType,DataMode,$H641,FXMode)*Scale,"--"))</f>
        <v>--</v>
      </c>
      <c r="L641" s="2301" t="str">
        <f>IF($G641=0,"--",IFERROR(_xll.ciqfunctions.udf.CIQ($G641,$I641,L113,Valuation_Date_GC,ReportType,DataMode,$H641,FXMode)*Scale,"--"))</f>
        <v>--</v>
      </c>
      <c r="M641" s="2301" t="str">
        <f>IF($G641=0,"--",IFERROR(_xll.ciqfunctions.udf.CIQ($G641,$I641,M113,Valuation_Date_GC,ReportType,DataMode,$H641,FXMode)*Scale,"--"))</f>
        <v>--</v>
      </c>
      <c r="N641" s="2301" t="str">
        <f>IF($G641=0,"--",IFERROR(_xll.ciqfunctions.udf.CIQ($G641,$I641,N113,Valuation_Date_GC,ReportType,DataMode,$H641,FXMode)*Scale,"--"))</f>
        <v>--</v>
      </c>
      <c r="O641" s="2317" t="str">
        <f>IF($G641=0,"--",IFERROR(IF(O113=1001,_xll.ciqfunctions.udf.CIQ($G641,$S641,O113,Valuation_Date_GC,ReportType,DataMode,$H641,FXMode),_xll.ciqfunctions.udf.CIQ($G641,$I641,O113,Valuation_Date_GC,ReportType,DataMode,$H641,FXMode))*Scale,"--"))</f>
        <v>--</v>
      </c>
      <c r="P641" s="2301" t="str">
        <f>IF($G641=0,"--",IFERROR(_xll.ciqfunctions.udf.CIQ($G641,$I641,P113,Valuation_Date_GC,ReportType,DataMode,$H641,FXMode)*Scale,"--"))</f>
        <v>--</v>
      </c>
      <c r="R641" s="2301" t="str">
        <f>IF($G641=0,"--",IFERROR(_xll.ciqfunctions.udf.CIQ($G641,$I641,R113,Valuation_Date_GC,ReportType,DataMode,$H641,FXMode)*Scale,"--"))</f>
        <v>--</v>
      </c>
      <c r="S641" s="89" t="s">
        <v>807</v>
      </c>
      <c r="T641" s="2301" t="str">
        <f>IF(H113=0,O641,IF($G641=0,"--",IFERROR(_xll.ciqfunctions.udf.CIQ($G641,$S641,U113-1,Valuation_Date_GC,ReportType,DataMode,$H641)*Scale,"--")))</f>
        <v>--</v>
      </c>
      <c r="U641" s="2301" t="str">
        <f>IF($G641=0,"--",IFERROR(IF(_xll.ciqfunctions.udf.CIQ($G641,$S641,U113,Valuation_Date_GC,ReportType,DataMode,$H641)*Scale=0,"--",_xll.ciqfunctions.udf.CIQ($G641,$S641,U113,Valuation_Date_GC,ReportType,DataMode,$H641)*Scale),"--"))</f>
        <v>--</v>
      </c>
      <c r="V641" s="2301" t="str">
        <f>IF($G641=0,"--",IFERROR(IF(_xll.ciqfunctions.udf.CIQ($G641,$S641,V113,Valuation_Date_GC,ReportType,DataMode,$H641)*Scale=0,"--",_xll.ciqfunctions.udf.CIQ($G641,$S641,V113,Valuation_Date_GC,ReportType,DataMode,$H641)*Scale),"--"))</f>
        <v>--</v>
      </c>
      <c r="W641" s="2301" t="str">
        <f>IF($G641=0,"--",IFERROR(IF(_xll.ciqfunctions.udf.CIQ($G641,$S641,W113,Valuation_Date_GC,ReportType,DataMode,$H641)*Scale=0,"--",_xll.ciqfunctions.udf.CIQ($G641,$S641,W113,Valuation_Date_GC,ReportType,DataMode,$H641)*Scale),"--"))</f>
        <v>--</v>
      </c>
      <c r="X641" s="2301" t="str">
        <f>IF($G641=0,"--",IFERROR(IF(_xll.ciqfunctions.udf.CIQ($G641,$S641,X113,Valuation_Date_GC,ReportType,DataMode,$H641)*Scale=0,"--",_xll.ciqfunctions.udf.CIQ($G641,$S641,X113,Valuation_Date_GC,ReportType,DataMode,$H641)*Scale),"--"))</f>
        <v>--</v>
      </c>
      <c r="Y641" s="2301" t="str">
        <f>IF($G641=0,"--",IFERROR(IF(_xll.ciqfunctions.udf.CIQ($G641,$S641,Y113,Valuation_Date_GC,ReportType,DataMode,$H641)*Scale=0,"--",_xll.ciqfunctions.udf.CIQ($G641,$S641,Y113,Valuation_Date_GC,ReportType,DataMode,$H641)*Scale),"--"))</f>
        <v>--</v>
      </c>
      <c r="Z641" s="2078" t="str">
        <f t="shared" si="178"/>
        <v/>
      </c>
      <c r="AA641" s="2301">
        <f>_xll.ciqfunctions.udf.CIQ($G641,"IQ_REVENUE_NUM_EST",U$97,Valuation_Date_GC,"CON")</f>
        <v>0</v>
      </c>
      <c r="AB641" s="2301">
        <f>_xll.ciqfunctions.udf.CIQ($G641,"IQ_REVENUE_NUM_EST",V$97,Valuation_Date_GC,"CON")</f>
        <v>0</v>
      </c>
      <c r="AC641" s="2301">
        <f>_xll.ciqfunctions.udf.CIQ($G641,"IQ_REVENUE_NUM_EST",W$97,Valuation_Date_GC,"CON")</f>
        <v>0</v>
      </c>
      <c r="AD641" s="2301">
        <f>_xll.ciqfunctions.udf.CIQ($G641,"IQ_REVENUE_NUM_EST",X$97,Valuation_Date_GC,"CON")</f>
        <v>0</v>
      </c>
      <c r="AE641" s="2301">
        <f>_xll.ciqfunctions.udf.CIQ($G641,"IQ_REVENUE_NUM_EST",Y$97,Valuation_Date_GC,"CON")</f>
        <v>0</v>
      </c>
      <c r="AF641" s="2060"/>
      <c r="AG641" s="2060"/>
      <c r="AH641" s="2060"/>
    </row>
    <row r="642" spans="1:34" s="89" customFormat="1" ht="13.9">
      <c r="A642" s="269" t="str">
        <f t="shared" si="179"/>
        <v>n</v>
      </c>
      <c r="B642" s="2060"/>
      <c r="D642" s="801"/>
      <c r="E642" s="1505">
        <v>15</v>
      </c>
      <c r="F642" s="21" t="str">
        <f>F$143</f>
        <v>--</v>
      </c>
      <c r="G642" s="1441">
        <f>G$143</f>
        <v>0</v>
      </c>
      <c r="H642" s="1441" t="str">
        <f>H$143</f>
        <v>--</v>
      </c>
      <c r="I642" s="1513" t="s">
        <v>808</v>
      </c>
      <c r="J642" s="2301" t="str">
        <f>IF($G642=0,"--",IFERROR(_xll.ciqfunctions.udf.CIQ($G642,$I642,J114,Valuation_Date_GC,ReportType,DataMode,$H642,FXMode)*Scale,"--"))</f>
        <v>--</v>
      </c>
      <c r="K642" s="2301" t="str">
        <f>IF($G642=0,"--",IFERROR(_xll.ciqfunctions.udf.CIQ($G642,$I642,K114,Valuation_Date_GC,ReportType,DataMode,$H642,FXMode)*Scale,"--"))</f>
        <v>--</v>
      </c>
      <c r="L642" s="2301" t="str">
        <f>IF($G642=0,"--",IFERROR(_xll.ciqfunctions.udf.CIQ($G642,$I642,L114,Valuation_Date_GC,ReportType,DataMode,$H642,FXMode)*Scale,"--"))</f>
        <v>--</v>
      </c>
      <c r="M642" s="2301" t="str">
        <f>IF($G642=0,"--",IFERROR(_xll.ciqfunctions.udf.CIQ($G642,$I642,M114,Valuation_Date_GC,ReportType,DataMode,$H642,FXMode)*Scale,"--"))</f>
        <v>--</v>
      </c>
      <c r="N642" s="2301" t="str">
        <f>IF($G642=0,"--",IFERROR(_xll.ciqfunctions.udf.CIQ($G642,$I642,N114,Valuation_Date_GC,ReportType,DataMode,$H642,FXMode)*Scale,"--"))</f>
        <v>--</v>
      </c>
      <c r="O642" s="2317" t="str">
        <f>IF($G642=0,"--",IFERROR(IF(O114=1001,_xll.ciqfunctions.udf.CIQ($G642,$S642,O114,Valuation_Date_GC,ReportType,DataMode,$H642,FXMode),_xll.ciqfunctions.udf.CIQ($G642,$I642,O114,Valuation_Date_GC,ReportType,DataMode,$H642,FXMode))*Scale,"--"))</f>
        <v>--</v>
      </c>
      <c r="P642" s="2301" t="str">
        <f>IF($G642=0,"--",IFERROR(_xll.ciqfunctions.udf.CIQ($G642,$I642,P114,Valuation_Date_GC,ReportType,DataMode,$H642,FXMode)*Scale,"--"))</f>
        <v>--</v>
      </c>
      <c r="R642" s="2301" t="str">
        <f>IF($G642=0,"--",IFERROR(_xll.ciqfunctions.udf.CIQ($G642,$I642,R114,Valuation_Date_GC,ReportType,DataMode,$H642,FXMode)*Scale,"--"))</f>
        <v>--</v>
      </c>
      <c r="S642" s="89" t="s">
        <v>807</v>
      </c>
      <c r="T642" s="2301" t="str">
        <f>IF(H114=0,O642,IF($G642=0,"--",IFERROR(_xll.ciqfunctions.udf.CIQ($G642,$S642,U114-1,Valuation_Date_GC,ReportType,DataMode,$H642)*Scale,"--")))</f>
        <v>--</v>
      </c>
      <c r="U642" s="2301" t="str">
        <f>IF($G642=0,"--",IFERROR(IF(_xll.ciqfunctions.udf.CIQ($G642,$S642,U114,Valuation_Date_GC,ReportType,DataMode,$H642)*Scale=0,"--",_xll.ciqfunctions.udf.CIQ($G642,$S642,U114,Valuation_Date_GC,ReportType,DataMode,$H642)*Scale),"--"))</f>
        <v>--</v>
      </c>
      <c r="V642" s="2301" t="str">
        <f>IF($G642=0,"--",IFERROR(IF(_xll.ciqfunctions.udf.CIQ($G642,$S642,V114,Valuation_Date_GC,ReportType,DataMode,$H642)*Scale=0,"--",_xll.ciqfunctions.udf.CIQ($G642,$S642,V114,Valuation_Date_GC,ReportType,DataMode,$H642)*Scale),"--"))</f>
        <v>--</v>
      </c>
      <c r="W642" s="2301" t="str">
        <f>IF($G642=0,"--",IFERROR(IF(_xll.ciqfunctions.udf.CIQ($G642,$S642,W114,Valuation_Date_GC,ReportType,DataMode,$H642)*Scale=0,"--",_xll.ciqfunctions.udf.CIQ($G642,$S642,W114,Valuation_Date_GC,ReportType,DataMode,$H642)*Scale),"--"))</f>
        <v>--</v>
      </c>
      <c r="X642" s="2301" t="str">
        <f>IF($G642=0,"--",IFERROR(IF(_xll.ciqfunctions.udf.CIQ($G642,$S642,X114,Valuation_Date_GC,ReportType,DataMode,$H642)*Scale=0,"--",_xll.ciqfunctions.udf.CIQ($G642,$S642,X114,Valuation_Date_GC,ReportType,DataMode,$H642)*Scale),"--"))</f>
        <v>--</v>
      </c>
      <c r="Y642" s="2301" t="str">
        <f>IF($G642=0,"--",IFERROR(IF(_xll.ciqfunctions.udf.CIQ($G642,$S642,Y114,Valuation_Date_GC,ReportType,DataMode,$H642)*Scale=0,"--",_xll.ciqfunctions.udf.CIQ($G642,$S642,Y114,Valuation_Date_GC,ReportType,DataMode,$H642)*Scale),"--"))</f>
        <v>--</v>
      </c>
      <c r="Z642" s="2078" t="str">
        <f t="shared" si="178"/>
        <v/>
      </c>
      <c r="AA642" s="2301">
        <f>_xll.ciqfunctions.udf.CIQ($G642,"IQ_REVENUE_NUM_EST",U$97,Valuation_Date_GC,"CON")</f>
        <v>0</v>
      </c>
      <c r="AB642" s="2301">
        <f>_xll.ciqfunctions.udf.CIQ($G642,"IQ_REVENUE_NUM_EST",V$97,Valuation_Date_GC,"CON")</f>
        <v>0</v>
      </c>
      <c r="AC642" s="2301">
        <f>_xll.ciqfunctions.udf.CIQ($G642,"IQ_REVENUE_NUM_EST",W$97,Valuation_Date_GC,"CON")</f>
        <v>0</v>
      </c>
      <c r="AD642" s="2301">
        <f>_xll.ciqfunctions.udf.CIQ($G642,"IQ_REVENUE_NUM_EST",X$97,Valuation_Date_GC,"CON")</f>
        <v>0</v>
      </c>
      <c r="AE642" s="2301">
        <f>_xll.ciqfunctions.udf.CIQ($G642,"IQ_REVENUE_NUM_EST",Y$97,Valuation_Date_GC,"CON")</f>
        <v>0</v>
      </c>
      <c r="AF642" s="2060"/>
      <c r="AG642" s="2060"/>
      <c r="AH642" s="2060"/>
    </row>
    <row r="643" spans="1:34" s="89" customFormat="1" ht="13.9">
      <c r="A643" s="269" t="str">
        <f t="shared" si="179"/>
        <v>n</v>
      </c>
      <c r="B643" s="2060"/>
      <c r="D643" s="801"/>
      <c r="E643" s="1505">
        <v>16</v>
      </c>
      <c r="F643" s="21" t="str">
        <f>F$144</f>
        <v>--</v>
      </c>
      <c r="G643" s="1441">
        <f>G$144</f>
        <v>0</v>
      </c>
      <c r="H643" s="1441" t="str">
        <f>H$144</f>
        <v>--</v>
      </c>
      <c r="I643" s="1513" t="s">
        <v>808</v>
      </c>
      <c r="J643" s="2301" t="str">
        <f>IF($G643=0,"--",IFERROR(_xll.ciqfunctions.udf.CIQ($G643,$I643,J115,Valuation_Date_GC,ReportType,DataMode,$H643,FXMode)*Scale,"--"))</f>
        <v>--</v>
      </c>
      <c r="K643" s="2301" t="str">
        <f>IF($G643=0,"--",IFERROR(_xll.ciqfunctions.udf.CIQ($G643,$I643,K115,Valuation_Date_GC,ReportType,DataMode,$H643,FXMode)*Scale,"--"))</f>
        <v>--</v>
      </c>
      <c r="L643" s="2301" t="str">
        <f>IF($G643=0,"--",IFERROR(_xll.ciqfunctions.udf.CIQ($G643,$I643,L115,Valuation_Date_GC,ReportType,DataMode,$H643,FXMode)*Scale,"--"))</f>
        <v>--</v>
      </c>
      <c r="M643" s="2301" t="str">
        <f>IF($G643=0,"--",IFERROR(_xll.ciqfunctions.udf.CIQ($G643,$I643,M115,Valuation_Date_GC,ReportType,DataMode,$H643,FXMode)*Scale,"--"))</f>
        <v>--</v>
      </c>
      <c r="N643" s="2301" t="str">
        <f>IF($G643=0,"--",IFERROR(_xll.ciqfunctions.udf.CIQ($G643,$I643,N115,Valuation_Date_GC,ReportType,DataMode,$H643,FXMode)*Scale,"--"))</f>
        <v>--</v>
      </c>
      <c r="O643" s="2317" t="str">
        <f>IF($G643=0,"--",IFERROR(IF(O115=1001,_xll.ciqfunctions.udf.CIQ($G643,$S643,O115,Valuation_Date_GC,ReportType,DataMode,$H643,FXMode),_xll.ciqfunctions.udf.CIQ($G643,$I643,O115,Valuation_Date_GC,ReportType,DataMode,$H643,FXMode))*Scale,"--"))</f>
        <v>--</v>
      </c>
      <c r="P643" s="2301" t="str">
        <f>IF($G643=0,"--",IFERROR(_xll.ciqfunctions.udf.CIQ($G643,$I643,P115,Valuation_Date_GC,ReportType,DataMode,$H643,FXMode)*Scale,"--"))</f>
        <v>--</v>
      </c>
      <c r="R643" s="2301" t="str">
        <f>IF($G643=0,"--",IFERROR(_xll.ciqfunctions.udf.CIQ($G643,$I643,R115,Valuation_Date_GC,ReportType,DataMode,$H643,FXMode)*Scale,"--"))</f>
        <v>--</v>
      </c>
      <c r="S643" s="89" t="s">
        <v>807</v>
      </c>
      <c r="T643" s="2301" t="str">
        <f>IF(H115=0,O643,IF($G643=0,"--",IFERROR(_xll.ciqfunctions.udf.CIQ($G643,$S643,U115-1,Valuation_Date_GC,ReportType,DataMode,$H643)*Scale,"--")))</f>
        <v>--</v>
      </c>
      <c r="U643" s="2301" t="str">
        <f>IF($G643=0,"--",IFERROR(IF(_xll.ciqfunctions.udf.CIQ($G643,$S643,U115,Valuation_Date_GC,ReportType,DataMode,$H643)*Scale=0,"--",_xll.ciqfunctions.udf.CIQ($G643,$S643,U115,Valuation_Date_GC,ReportType,DataMode,$H643)*Scale),"--"))</f>
        <v>--</v>
      </c>
      <c r="V643" s="2301" t="str">
        <f>IF($G643=0,"--",IFERROR(IF(_xll.ciqfunctions.udf.CIQ($G643,$S643,V115,Valuation_Date_GC,ReportType,DataMode,$H643)*Scale=0,"--",_xll.ciqfunctions.udf.CIQ($G643,$S643,V115,Valuation_Date_GC,ReportType,DataMode,$H643)*Scale),"--"))</f>
        <v>--</v>
      </c>
      <c r="W643" s="2301" t="str">
        <f>IF($G643=0,"--",IFERROR(IF(_xll.ciqfunctions.udf.CIQ($G643,$S643,W115,Valuation_Date_GC,ReportType,DataMode,$H643)*Scale=0,"--",_xll.ciqfunctions.udf.CIQ($G643,$S643,W115,Valuation_Date_GC,ReportType,DataMode,$H643)*Scale),"--"))</f>
        <v>--</v>
      </c>
      <c r="X643" s="2301" t="str">
        <f>IF($G643=0,"--",IFERROR(IF(_xll.ciqfunctions.udf.CIQ($G643,$S643,X115,Valuation_Date_GC,ReportType,DataMode,$H643)*Scale=0,"--",_xll.ciqfunctions.udf.CIQ($G643,$S643,X115,Valuation_Date_GC,ReportType,DataMode,$H643)*Scale),"--"))</f>
        <v>--</v>
      </c>
      <c r="Y643" s="2301" t="str">
        <f>IF($G643=0,"--",IFERROR(IF(_xll.ciqfunctions.udf.CIQ($G643,$S643,Y115,Valuation_Date_GC,ReportType,DataMode,$H643)*Scale=0,"--",_xll.ciqfunctions.udf.CIQ($G643,$S643,Y115,Valuation_Date_GC,ReportType,DataMode,$H643)*Scale),"--"))</f>
        <v>--</v>
      </c>
      <c r="Z643" s="2078" t="str">
        <f t="shared" si="178"/>
        <v/>
      </c>
      <c r="AA643" s="2301">
        <f>_xll.ciqfunctions.udf.CIQ($G643,"IQ_REVENUE_NUM_EST",U$97,Valuation_Date_GC,"CON")</f>
        <v>0</v>
      </c>
      <c r="AB643" s="2301">
        <f>_xll.ciqfunctions.udf.CIQ($G643,"IQ_REVENUE_NUM_EST",V$97,Valuation_Date_GC,"CON")</f>
        <v>0</v>
      </c>
      <c r="AC643" s="2301">
        <f>_xll.ciqfunctions.udf.CIQ($G643,"IQ_REVENUE_NUM_EST",W$97,Valuation_Date_GC,"CON")</f>
        <v>0</v>
      </c>
      <c r="AD643" s="2301">
        <f>_xll.ciqfunctions.udf.CIQ($G643,"IQ_REVENUE_NUM_EST",X$97,Valuation_Date_GC,"CON")</f>
        <v>0</v>
      </c>
      <c r="AE643" s="2301">
        <f>_xll.ciqfunctions.udf.CIQ($G643,"IQ_REVENUE_NUM_EST",Y$97,Valuation_Date_GC,"CON")</f>
        <v>0</v>
      </c>
      <c r="AF643" s="2060"/>
      <c r="AG643" s="2060"/>
      <c r="AH643" s="2060"/>
    </row>
    <row r="644" spans="1:34" s="89" customFormat="1" ht="13.9">
      <c r="A644" s="269" t="str">
        <f t="shared" si="179"/>
        <v>n</v>
      </c>
      <c r="B644" s="2060"/>
      <c r="D644" s="801"/>
      <c r="E644" s="1505">
        <v>17</v>
      </c>
      <c r="F644" s="21" t="str">
        <f>F$145</f>
        <v>--</v>
      </c>
      <c r="G644" s="1441">
        <f>G$145</f>
        <v>0</v>
      </c>
      <c r="H644" s="1441" t="str">
        <f>H$145</f>
        <v>--</v>
      </c>
      <c r="I644" s="1513" t="s">
        <v>808</v>
      </c>
      <c r="J644" s="2301" t="str">
        <f>IF($G644=0,"--",IFERROR(_xll.ciqfunctions.udf.CIQ($G644,$I644,J116,Valuation_Date_GC,ReportType,DataMode,$H644,FXMode)*Scale,"--"))</f>
        <v>--</v>
      </c>
      <c r="K644" s="2301" t="str">
        <f>IF($G644=0,"--",IFERROR(_xll.ciqfunctions.udf.CIQ($G644,$I644,K116,Valuation_Date_GC,ReportType,DataMode,$H644,FXMode)*Scale,"--"))</f>
        <v>--</v>
      </c>
      <c r="L644" s="2301" t="str">
        <f>IF($G644=0,"--",IFERROR(_xll.ciqfunctions.udf.CIQ($G644,$I644,L116,Valuation_Date_GC,ReportType,DataMode,$H644,FXMode)*Scale,"--"))</f>
        <v>--</v>
      </c>
      <c r="M644" s="2301" t="str">
        <f>IF($G644=0,"--",IFERROR(_xll.ciqfunctions.udf.CIQ($G644,$I644,M116,Valuation_Date_GC,ReportType,DataMode,$H644,FXMode)*Scale,"--"))</f>
        <v>--</v>
      </c>
      <c r="N644" s="2301" t="str">
        <f>IF($G644=0,"--",IFERROR(_xll.ciqfunctions.udf.CIQ($G644,$I644,N116,Valuation_Date_GC,ReportType,DataMode,$H644,FXMode)*Scale,"--"))</f>
        <v>--</v>
      </c>
      <c r="O644" s="2317" t="str">
        <f>IF($G644=0,"--",IFERROR(IF(O116=1001,_xll.ciqfunctions.udf.CIQ($G644,$S644,O116,Valuation_Date_GC,ReportType,DataMode,$H644,FXMode),_xll.ciqfunctions.udf.CIQ($G644,$I644,O116,Valuation_Date_GC,ReportType,DataMode,$H644,FXMode))*Scale,"--"))</f>
        <v>--</v>
      </c>
      <c r="P644" s="2301" t="str">
        <f>IF($G644=0,"--",IFERROR(_xll.ciqfunctions.udf.CIQ($G644,$I644,P116,Valuation_Date_GC,ReportType,DataMode,$H644,FXMode)*Scale,"--"))</f>
        <v>--</v>
      </c>
      <c r="R644" s="2301" t="str">
        <f>IF($G644=0,"--",IFERROR(_xll.ciqfunctions.udf.CIQ($G644,$I644,R116,Valuation_Date_GC,ReportType,DataMode,$H644,FXMode)*Scale,"--"))</f>
        <v>--</v>
      </c>
      <c r="S644" s="89" t="s">
        <v>807</v>
      </c>
      <c r="T644" s="2301" t="str">
        <f>IF(H116=0,O644,IF($G644=0,"--",IFERROR(_xll.ciqfunctions.udf.CIQ($G644,$S644,U116-1,Valuation_Date_GC,ReportType,DataMode,$H644)*Scale,"--")))</f>
        <v>--</v>
      </c>
      <c r="U644" s="2301" t="str">
        <f>IF($G644=0,"--",IFERROR(IF(_xll.ciqfunctions.udf.CIQ($G644,$S644,U116,Valuation_Date_GC,ReportType,DataMode,$H644)*Scale=0,"--",_xll.ciqfunctions.udf.CIQ($G644,$S644,U116,Valuation_Date_GC,ReportType,DataMode,$H644)*Scale),"--"))</f>
        <v>--</v>
      </c>
      <c r="V644" s="2301" t="str">
        <f>IF($G644=0,"--",IFERROR(IF(_xll.ciqfunctions.udf.CIQ($G644,$S644,V116,Valuation_Date_GC,ReportType,DataMode,$H644)*Scale=0,"--",_xll.ciqfunctions.udf.CIQ($G644,$S644,V116,Valuation_Date_GC,ReportType,DataMode,$H644)*Scale),"--"))</f>
        <v>--</v>
      </c>
      <c r="W644" s="2301" t="str">
        <f>IF($G644=0,"--",IFERROR(IF(_xll.ciqfunctions.udf.CIQ($G644,$S644,W116,Valuation_Date_GC,ReportType,DataMode,$H644)*Scale=0,"--",_xll.ciqfunctions.udf.CIQ($G644,$S644,W116,Valuation_Date_GC,ReportType,DataMode,$H644)*Scale),"--"))</f>
        <v>--</v>
      </c>
      <c r="X644" s="2301" t="str">
        <f>IF($G644=0,"--",IFERROR(IF(_xll.ciqfunctions.udf.CIQ($G644,$S644,X116,Valuation_Date_GC,ReportType,DataMode,$H644)*Scale=0,"--",_xll.ciqfunctions.udf.CIQ($G644,$S644,X116,Valuation_Date_GC,ReportType,DataMode,$H644)*Scale),"--"))</f>
        <v>--</v>
      </c>
      <c r="Y644" s="2301" t="str">
        <f>IF($G644=0,"--",IFERROR(IF(_xll.ciqfunctions.udf.CIQ($G644,$S644,Y116,Valuation_Date_GC,ReportType,DataMode,$H644)*Scale=0,"--",_xll.ciqfunctions.udf.CIQ($G644,$S644,Y116,Valuation_Date_GC,ReportType,DataMode,$H644)*Scale),"--"))</f>
        <v>--</v>
      </c>
      <c r="Z644" s="2078" t="str">
        <f t="shared" si="178"/>
        <v/>
      </c>
      <c r="AA644" s="2301">
        <f>_xll.ciqfunctions.udf.CIQ($G644,"IQ_REVENUE_NUM_EST",U$97,Valuation_Date_GC,"CON")</f>
        <v>0</v>
      </c>
      <c r="AB644" s="2301">
        <f>_xll.ciqfunctions.udf.CIQ($G644,"IQ_REVENUE_NUM_EST",V$97,Valuation_Date_GC,"CON")</f>
        <v>0</v>
      </c>
      <c r="AC644" s="2301">
        <f>_xll.ciqfunctions.udf.CIQ($G644,"IQ_REVENUE_NUM_EST",W$97,Valuation_Date_GC,"CON")</f>
        <v>0</v>
      </c>
      <c r="AD644" s="2301">
        <f>_xll.ciqfunctions.udf.CIQ($G644,"IQ_REVENUE_NUM_EST",X$97,Valuation_Date_GC,"CON")</f>
        <v>0</v>
      </c>
      <c r="AE644" s="2301">
        <f>_xll.ciqfunctions.udf.CIQ($G644,"IQ_REVENUE_NUM_EST",Y$97,Valuation_Date_GC,"CON")</f>
        <v>0</v>
      </c>
      <c r="AF644" s="2060"/>
      <c r="AG644" s="2060"/>
      <c r="AH644" s="2060"/>
    </row>
    <row r="645" spans="1:34" s="89" customFormat="1" ht="13.9">
      <c r="A645" s="269" t="str">
        <f t="shared" si="179"/>
        <v>n</v>
      </c>
      <c r="B645" s="2060"/>
      <c r="D645" s="801"/>
      <c r="E645" s="1505">
        <v>18</v>
      </c>
      <c r="F645" s="21" t="str">
        <f>F$146</f>
        <v>--</v>
      </c>
      <c r="G645" s="1441">
        <f>G$146</f>
        <v>0</v>
      </c>
      <c r="H645" s="1441" t="str">
        <f>H$146</f>
        <v>--</v>
      </c>
      <c r="I645" s="1513" t="s">
        <v>808</v>
      </c>
      <c r="J645" s="2301" t="str">
        <f>IF($G645=0,"--",IFERROR(_xll.ciqfunctions.udf.CIQ($G645,$I645,J117,Valuation_Date_GC,ReportType,DataMode,$H645,FXMode)*Scale,"--"))</f>
        <v>--</v>
      </c>
      <c r="K645" s="2301" t="str">
        <f>IF($G645=0,"--",IFERROR(_xll.ciqfunctions.udf.CIQ($G645,$I645,K117,Valuation_Date_GC,ReportType,DataMode,$H645,FXMode)*Scale,"--"))</f>
        <v>--</v>
      </c>
      <c r="L645" s="2301" t="str">
        <f>IF($G645=0,"--",IFERROR(_xll.ciqfunctions.udf.CIQ($G645,$I645,L117,Valuation_Date_GC,ReportType,DataMode,$H645,FXMode)*Scale,"--"))</f>
        <v>--</v>
      </c>
      <c r="M645" s="2301" t="str">
        <f>IF($G645=0,"--",IFERROR(_xll.ciqfunctions.udf.CIQ($G645,$I645,M117,Valuation_Date_GC,ReportType,DataMode,$H645,FXMode)*Scale,"--"))</f>
        <v>--</v>
      </c>
      <c r="N645" s="2301" t="str">
        <f>IF($G645=0,"--",IFERROR(_xll.ciqfunctions.udf.CIQ($G645,$I645,N117,Valuation_Date_GC,ReportType,DataMode,$H645,FXMode)*Scale,"--"))</f>
        <v>--</v>
      </c>
      <c r="O645" s="2317" t="str">
        <f>IF($G645=0,"--",IFERROR(IF(O117=1001,_xll.ciqfunctions.udf.CIQ($G645,$S645,O117,Valuation_Date_GC,ReportType,DataMode,$H645,FXMode),_xll.ciqfunctions.udf.CIQ($G645,$I645,O117,Valuation_Date_GC,ReportType,DataMode,$H645,FXMode))*Scale,"--"))</f>
        <v>--</v>
      </c>
      <c r="P645" s="2301" t="str">
        <f>IF($G645=0,"--",IFERROR(_xll.ciqfunctions.udf.CIQ($G645,$I645,P117,Valuation_Date_GC,ReportType,DataMode,$H645,FXMode)*Scale,"--"))</f>
        <v>--</v>
      </c>
      <c r="R645" s="2301" t="str">
        <f>IF($G645=0,"--",IFERROR(_xll.ciqfunctions.udf.CIQ($G645,$I645,R117,Valuation_Date_GC,ReportType,DataMode,$H645,FXMode)*Scale,"--"))</f>
        <v>--</v>
      </c>
      <c r="S645" s="89" t="s">
        <v>807</v>
      </c>
      <c r="T645" s="2301" t="str">
        <f>IF(H117=0,O645,IF($G645=0,"--",IFERROR(_xll.ciqfunctions.udf.CIQ($G645,$S645,U117-1,Valuation_Date_GC,ReportType,DataMode,$H645)*Scale,"--")))</f>
        <v>--</v>
      </c>
      <c r="U645" s="2301" t="str">
        <f>IF($G645=0,"--",IFERROR(IF(_xll.ciqfunctions.udf.CIQ($G645,$S645,U117,Valuation_Date_GC,ReportType,DataMode,$H645)*Scale=0,"--",_xll.ciqfunctions.udf.CIQ($G645,$S645,U117,Valuation_Date_GC,ReportType,DataMode,$H645)*Scale),"--"))</f>
        <v>--</v>
      </c>
      <c r="V645" s="2301" t="str">
        <f>IF($G645=0,"--",IFERROR(IF(_xll.ciqfunctions.udf.CIQ($G645,$S645,V117,Valuation_Date_GC,ReportType,DataMode,$H645)*Scale=0,"--",_xll.ciqfunctions.udf.CIQ($G645,$S645,V117,Valuation_Date_GC,ReportType,DataMode,$H645)*Scale),"--"))</f>
        <v>--</v>
      </c>
      <c r="W645" s="2301" t="str">
        <f>IF($G645=0,"--",IFERROR(IF(_xll.ciqfunctions.udf.CIQ($G645,$S645,W117,Valuation_Date_GC,ReportType,DataMode,$H645)*Scale=0,"--",_xll.ciqfunctions.udf.CIQ($G645,$S645,W117,Valuation_Date_GC,ReportType,DataMode,$H645)*Scale),"--"))</f>
        <v>--</v>
      </c>
      <c r="X645" s="2301" t="str">
        <f>IF($G645=0,"--",IFERROR(IF(_xll.ciqfunctions.udf.CIQ($G645,$S645,X117,Valuation_Date_GC,ReportType,DataMode,$H645)*Scale=0,"--",_xll.ciqfunctions.udf.CIQ($G645,$S645,X117,Valuation_Date_GC,ReportType,DataMode,$H645)*Scale),"--"))</f>
        <v>--</v>
      </c>
      <c r="Y645" s="2301" t="str">
        <f>IF($G645=0,"--",IFERROR(IF(_xll.ciqfunctions.udf.CIQ($G645,$S645,Y117,Valuation_Date_GC,ReportType,DataMode,$H645)*Scale=0,"--",_xll.ciqfunctions.udf.CIQ($G645,$S645,Y117,Valuation_Date_GC,ReportType,DataMode,$H645)*Scale),"--"))</f>
        <v>--</v>
      </c>
      <c r="Z645" s="2078" t="str">
        <f t="shared" si="178"/>
        <v/>
      </c>
      <c r="AA645" s="2301">
        <f>_xll.ciqfunctions.udf.CIQ($G645,"IQ_REVENUE_NUM_EST",U$97,Valuation_Date_GC,"CON")</f>
        <v>0</v>
      </c>
      <c r="AB645" s="2301">
        <f>_xll.ciqfunctions.udf.CIQ($G645,"IQ_REVENUE_NUM_EST",V$97,Valuation_Date_GC,"CON")</f>
        <v>0</v>
      </c>
      <c r="AC645" s="2301">
        <f>_xll.ciqfunctions.udf.CIQ($G645,"IQ_REVENUE_NUM_EST",W$97,Valuation_Date_GC,"CON")</f>
        <v>0</v>
      </c>
      <c r="AD645" s="2301">
        <f>_xll.ciqfunctions.udf.CIQ($G645,"IQ_REVENUE_NUM_EST",X$97,Valuation_Date_GC,"CON")</f>
        <v>0</v>
      </c>
      <c r="AE645" s="2301">
        <f>_xll.ciqfunctions.udf.CIQ($G645,"IQ_REVENUE_NUM_EST",Y$97,Valuation_Date_GC,"CON")</f>
        <v>0</v>
      </c>
      <c r="AF645" s="2060"/>
      <c r="AG645" s="2060"/>
      <c r="AH645" s="2060"/>
    </row>
    <row r="646" spans="1:34" s="89" customFormat="1" ht="13.9">
      <c r="A646" s="269" t="str">
        <f t="shared" si="179"/>
        <v>n</v>
      </c>
      <c r="B646" s="2060"/>
      <c r="D646" s="801"/>
      <c r="E646" s="1505">
        <v>19</v>
      </c>
      <c r="F646" s="21" t="str">
        <f>F$147</f>
        <v>--</v>
      </c>
      <c r="G646" s="1441">
        <f>G$147</f>
        <v>0</v>
      </c>
      <c r="H646" s="1441" t="str">
        <f>H$147</f>
        <v>--</v>
      </c>
      <c r="I646" s="1513" t="s">
        <v>808</v>
      </c>
      <c r="J646" s="2301" t="str">
        <f>IF($G646=0,"--",IFERROR(_xll.ciqfunctions.udf.CIQ($G646,$I646,J118,Valuation_Date_GC,ReportType,DataMode,$H646,FXMode)*Scale,"--"))</f>
        <v>--</v>
      </c>
      <c r="K646" s="2301" t="str">
        <f>IF($G646=0,"--",IFERROR(_xll.ciqfunctions.udf.CIQ($G646,$I646,K118,Valuation_Date_GC,ReportType,DataMode,$H646,FXMode)*Scale,"--"))</f>
        <v>--</v>
      </c>
      <c r="L646" s="2301" t="str">
        <f>IF($G646=0,"--",IFERROR(_xll.ciqfunctions.udf.CIQ($G646,$I646,L118,Valuation_Date_GC,ReportType,DataMode,$H646,FXMode)*Scale,"--"))</f>
        <v>--</v>
      </c>
      <c r="M646" s="2301" t="str">
        <f>IF($G646=0,"--",IFERROR(_xll.ciqfunctions.udf.CIQ($G646,$I646,M118,Valuation_Date_GC,ReportType,DataMode,$H646,FXMode)*Scale,"--"))</f>
        <v>--</v>
      </c>
      <c r="N646" s="2301" t="str">
        <f>IF($G646=0,"--",IFERROR(_xll.ciqfunctions.udf.CIQ($G646,$I646,N118,Valuation_Date_GC,ReportType,DataMode,$H646,FXMode)*Scale,"--"))</f>
        <v>--</v>
      </c>
      <c r="O646" s="2317" t="str">
        <f>IF($G646=0,"--",IFERROR(IF(O118=1001,_xll.ciqfunctions.udf.CIQ($G646,$S646,O118,Valuation_Date_GC,ReportType,DataMode,$H646,FXMode),_xll.ciqfunctions.udf.CIQ($G646,$I646,O118,Valuation_Date_GC,ReportType,DataMode,$H646,FXMode))*Scale,"--"))</f>
        <v>--</v>
      </c>
      <c r="P646" s="2301" t="str">
        <f>IF($G646=0,"--",IFERROR(_xll.ciqfunctions.udf.CIQ($G646,$I646,P118,Valuation_Date_GC,ReportType,DataMode,$H646,FXMode)*Scale,"--"))</f>
        <v>--</v>
      </c>
      <c r="R646" s="2301" t="str">
        <f>IF($G646=0,"--",IFERROR(_xll.ciqfunctions.udf.CIQ($G646,$I646,R118,Valuation_Date_GC,ReportType,DataMode,$H646,FXMode)*Scale,"--"))</f>
        <v>--</v>
      </c>
      <c r="S646" s="89" t="s">
        <v>807</v>
      </c>
      <c r="T646" s="2301" t="str">
        <f>IF(H118=0,O646,IF($G646=0,"--",IFERROR(_xll.ciqfunctions.udf.CIQ($G646,$S646,U118-1,Valuation_Date_GC,ReportType,DataMode,$H646)*Scale,"--")))</f>
        <v>--</v>
      </c>
      <c r="U646" s="2301" t="str">
        <f>IF($G646=0,"--",IFERROR(IF(_xll.ciqfunctions.udf.CIQ($G646,$S646,U118,Valuation_Date_GC,ReportType,DataMode,$H646)*Scale=0,"--",_xll.ciqfunctions.udf.CIQ($G646,$S646,U118,Valuation_Date_GC,ReportType,DataMode,$H646)*Scale),"--"))</f>
        <v>--</v>
      </c>
      <c r="V646" s="2301" t="str">
        <f>IF($G646=0,"--",IFERROR(IF(_xll.ciqfunctions.udf.CIQ($G646,$S646,V118,Valuation_Date_GC,ReportType,DataMode,$H646)*Scale=0,"--",_xll.ciqfunctions.udf.CIQ($G646,$S646,V118,Valuation_Date_GC,ReportType,DataMode,$H646)*Scale),"--"))</f>
        <v>--</v>
      </c>
      <c r="W646" s="2301" t="str">
        <f>IF($G646=0,"--",IFERROR(IF(_xll.ciqfunctions.udf.CIQ($G646,$S646,W118,Valuation_Date_GC,ReportType,DataMode,$H646)*Scale=0,"--",_xll.ciqfunctions.udf.CIQ($G646,$S646,W118,Valuation_Date_GC,ReportType,DataMode,$H646)*Scale),"--"))</f>
        <v>--</v>
      </c>
      <c r="X646" s="2301" t="str">
        <f>IF($G646=0,"--",IFERROR(IF(_xll.ciqfunctions.udf.CIQ($G646,$S646,X118,Valuation_Date_GC,ReportType,DataMode,$H646)*Scale=0,"--",_xll.ciqfunctions.udf.CIQ($G646,$S646,X118,Valuation_Date_GC,ReportType,DataMode,$H646)*Scale),"--"))</f>
        <v>--</v>
      </c>
      <c r="Y646" s="2301" t="str">
        <f>IF($G646=0,"--",IFERROR(IF(_xll.ciqfunctions.udf.CIQ($G646,$S646,Y118,Valuation_Date_GC,ReportType,DataMode,$H646)*Scale=0,"--",_xll.ciqfunctions.udf.CIQ($G646,$S646,Y118,Valuation_Date_GC,ReportType,DataMode,$H646)*Scale),"--"))</f>
        <v>--</v>
      </c>
      <c r="Z646" s="2078" t="str">
        <f t="shared" si="178"/>
        <v/>
      </c>
      <c r="AA646" s="2301">
        <f>_xll.ciqfunctions.udf.CIQ($G646,"IQ_REVENUE_NUM_EST",U$97,Valuation_Date_GC,"CON")</f>
        <v>0</v>
      </c>
      <c r="AB646" s="2301">
        <f>_xll.ciqfunctions.udf.CIQ($G646,"IQ_REVENUE_NUM_EST",V$97,Valuation_Date_GC,"CON")</f>
        <v>0</v>
      </c>
      <c r="AC646" s="2301">
        <f>_xll.ciqfunctions.udf.CIQ($G646,"IQ_REVENUE_NUM_EST",W$97,Valuation_Date_GC,"CON")</f>
        <v>0</v>
      </c>
      <c r="AD646" s="2301">
        <f>_xll.ciqfunctions.udf.CIQ($G646,"IQ_REVENUE_NUM_EST",X$97,Valuation_Date_GC,"CON")</f>
        <v>0</v>
      </c>
      <c r="AE646" s="2301">
        <f>_xll.ciqfunctions.udf.CIQ($G646,"IQ_REVENUE_NUM_EST",Y$97,Valuation_Date_GC,"CON")</f>
        <v>0</v>
      </c>
      <c r="AF646" s="2060"/>
      <c r="AG646" s="2060"/>
      <c r="AH646" s="2060"/>
    </row>
    <row r="647" spans="1:34" s="89" customFormat="1" ht="13.9">
      <c r="A647" s="269" t="str">
        <f t="shared" si="179"/>
        <v>n</v>
      </c>
      <c r="B647" s="2060"/>
      <c r="D647" s="801"/>
      <c r="E647" s="1505">
        <v>20</v>
      </c>
      <c r="F647" s="21" t="str">
        <f>F$148</f>
        <v>--</v>
      </c>
      <c r="G647" s="1441">
        <f>G$148</f>
        <v>0</v>
      </c>
      <c r="H647" s="1441" t="str">
        <f>H$148</f>
        <v>--</v>
      </c>
      <c r="I647" s="1513" t="s">
        <v>808</v>
      </c>
      <c r="J647" s="2301" t="str">
        <f>IF($G647=0,"--",IFERROR(_xll.ciqfunctions.udf.CIQ($G647,$I647,J119,Valuation_Date_GC,ReportType,DataMode,$H647,FXMode)*Scale,"--"))</f>
        <v>--</v>
      </c>
      <c r="K647" s="2301" t="str">
        <f>IF($G647=0,"--",IFERROR(_xll.ciqfunctions.udf.CIQ($G647,$I647,K119,Valuation_Date_GC,ReportType,DataMode,$H647,FXMode)*Scale,"--"))</f>
        <v>--</v>
      </c>
      <c r="L647" s="2301" t="str">
        <f>IF($G647=0,"--",IFERROR(_xll.ciqfunctions.udf.CIQ($G647,$I647,L119,Valuation_Date_GC,ReportType,DataMode,$H647,FXMode)*Scale,"--"))</f>
        <v>--</v>
      </c>
      <c r="M647" s="2301" t="str">
        <f>IF($G647=0,"--",IFERROR(_xll.ciqfunctions.udf.CIQ($G647,$I647,M119,Valuation_Date_GC,ReportType,DataMode,$H647,FXMode)*Scale,"--"))</f>
        <v>--</v>
      </c>
      <c r="N647" s="2301" t="str">
        <f>IF($G647=0,"--",IFERROR(_xll.ciqfunctions.udf.CIQ($G647,$I647,N119,Valuation_Date_GC,ReportType,DataMode,$H647,FXMode)*Scale,"--"))</f>
        <v>--</v>
      </c>
      <c r="O647" s="2317" t="str">
        <f>IF($G647=0,"--",IFERROR(IF(O119=1001,_xll.ciqfunctions.udf.CIQ($G647,$S647,O119,Valuation_Date_GC,ReportType,DataMode,$H647,FXMode),_xll.ciqfunctions.udf.CIQ($G647,$I647,O119,Valuation_Date_GC,ReportType,DataMode,$H647,FXMode))*Scale,"--"))</f>
        <v>--</v>
      </c>
      <c r="P647" s="2301" t="str">
        <f>IF($G647=0,"--",IFERROR(_xll.ciqfunctions.udf.CIQ($G647,$I647,P119,Valuation_Date_GC,ReportType,DataMode,$H647,FXMode)*Scale,"--"))</f>
        <v>--</v>
      </c>
      <c r="R647" s="2301" t="str">
        <f>IF($G647=0,"--",IFERROR(_xll.ciqfunctions.udf.CIQ($G647,$I647,R119,Valuation_Date_GC,ReportType,DataMode,$H647,FXMode)*Scale,"--"))</f>
        <v>--</v>
      </c>
      <c r="S647" s="89" t="s">
        <v>807</v>
      </c>
      <c r="T647" s="2301" t="str">
        <f>IF(H119=0,O647,IF($G647=0,"--",IFERROR(_xll.ciqfunctions.udf.CIQ($G647,$S647,U119-1,Valuation_Date_GC,ReportType,DataMode,$H647)*Scale,"--")))</f>
        <v>--</v>
      </c>
      <c r="U647" s="2301" t="str">
        <f>IF($G647=0,"--",IFERROR(IF(_xll.ciqfunctions.udf.CIQ($G647,$S647,U119,Valuation_Date_GC,ReportType,DataMode,$H647)*Scale=0,"--",_xll.ciqfunctions.udf.CIQ($G647,$S647,U119,Valuation_Date_GC,ReportType,DataMode,$H647)*Scale),"--"))</f>
        <v>--</v>
      </c>
      <c r="V647" s="2301" t="str">
        <f>IF($G647=0,"--",IFERROR(IF(_xll.ciqfunctions.udf.CIQ($G647,$S647,V119,Valuation_Date_GC,ReportType,DataMode,$H647)*Scale=0,"--",_xll.ciqfunctions.udf.CIQ($G647,$S647,V119,Valuation_Date_GC,ReportType,DataMode,$H647)*Scale),"--"))</f>
        <v>--</v>
      </c>
      <c r="W647" s="2301" t="str">
        <f>IF($G647=0,"--",IFERROR(IF(_xll.ciqfunctions.udf.CIQ($G647,$S647,W119,Valuation_Date_GC,ReportType,DataMode,$H647)*Scale=0,"--",_xll.ciqfunctions.udf.CIQ($G647,$S647,W119,Valuation_Date_GC,ReportType,DataMode,$H647)*Scale),"--"))</f>
        <v>--</v>
      </c>
      <c r="X647" s="2301" t="str">
        <f>IF($G647=0,"--",IFERROR(IF(_xll.ciqfunctions.udf.CIQ($G647,$S647,X119,Valuation_Date_GC,ReportType,DataMode,$H647)*Scale=0,"--",_xll.ciqfunctions.udf.CIQ($G647,$S647,X119,Valuation_Date_GC,ReportType,DataMode,$H647)*Scale),"--"))</f>
        <v>--</v>
      </c>
      <c r="Y647" s="2301" t="str">
        <f>IF($G647=0,"--",IFERROR(IF(_xll.ciqfunctions.udf.CIQ($G647,$S647,Y119,Valuation_Date_GC,ReportType,DataMode,$H647)*Scale=0,"--",_xll.ciqfunctions.udf.CIQ($G647,$S647,Y119,Valuation_Date_GC,ReportType,DataMode,$H647)*Scale),"--"))</f>
        <v>--</v>
      </c>
      <c r="Z647" s="2078" t="str">
        <f t="shared" si="178"/>
        <v/>
      </c>
      <c r="AA647" s="2301">
        <f>_xll.ciqfunctions.udf.CIQ($G647,"IQ_REVENUE_NUM_EST",U$97,Valuation_Date_GC,"CON")</f>
        <v>0</v>
      </c>
      <c r="AB647" s="2301">
        <f>_xll.ciqfunctions.udf.CIQ($G647,"IQ_REVENUE_NUM_EST",V$97,Valuation_Date_GC,"CON")</f>
        <v>0</v>
      </c>
      <c r="AC647" s="2301">
        <f>_xll.ciqfunctions.udf.CIQ($G647,"IQ_REVENUE_NUM_EST",W$97,Valuation_Date_GC,"CON")</f>
        <v>0</v>
      </c>
      <c r="AD647" s="2301">
        <f>_xll.ciqfunctions.udf.CIQ($G647,"IQ_REVENUE_NUM_EST",X$97,Valuation_Date_GC,"CON")</f>
        <v>0</v>
      </c>
      <c r="AE647" s="2301">
        <f>_xll.ciqfunctions.udf.CIQ($G647,"IQ_REVENUE_NUM_EST",Y$97,Valuation_Date_GC,"CON")</f>
        <v>0</v>
      </c>
      <c r="AF647" s="2060"/>
      <c r="AG647" s="2060"/>
      <c r="AH647" s="2060"/>
    </row>
    <row r="648" spans="1:34" s="89" customFormat="1" ht="13.9">
      <c r="A648" s="269" t="str">
        <f t="shared" si="179"/>
        <v>n</v>
      </c>
      <c r="B648" s="2060"/>
      <c r="D648" s="801"/>
      <c r="E648" s="1505">
        <v>21</v>
      </c>
      <c r="F648" s="21" t="str">
        <f>F$149</f>
        <v>--</v>
      </c>
      <c r="G648" s="1441">
        <f>G$149</f>
        <v>0</v>
      </c>
      <c r="H648" s="1441" t="str">
        <f>H$149</f>
        <v>--</v>
      </c>
      <c r="I648" s="1513" t="s">
        <v>808</v>
      </c>
      <c r="J648" s="2301" t="str">
        <f>IF($G648=0,"--",IFERROR(_xll.ciqfunctions.udf.CIQ($G648,$I648,J120,Valuation_Date_GC,ReportType,DataMode,$H648,FXMode)*Scale,"--"))</f>
        <v>--</v>
      </c>
      <c r="K648" s="2301" t="str">
        <f>IF($G648=0,"--",IFERROR(_xll.ciqfunctions.udf.CIQ($G648,$I648,K120,Valuation_Date_GC,ReportType,DataMode,$H648,FXMode)*Scale,"--"))</f>
        <v>--</v>
      </c>
      <c r="L648" s="2301" t="str">
        <f>IF($G648=0,"--",IFERROR(_xll.ciqfunctions.udf.CIQ($G648,$I648,L120,Valuation_Date_GC,ReportType,DataMode,$H648,FXMode)*Scale,"--"))</f>
        <v>--</v>
      </c>
      <c r="M648" s="2301" t="str">
        <f>IF($G648=0,"--",IFERROR(_xll.ciqfunctions.udf.CIQ($G648,$I648,M120,Valuation_Date_GC,ReportType,DataMode,$H648,FXMode)*Scale,"--"))</f>
        <v>--</v>
      </c>
      <c r="N648" s="2301" t="str">
        <f>IF($G648=0,"--",IFERROR(_xll.ciqfunctions.udf.CIQ($G648,$I648,N120,Valuation_Date_GC,ReportType,DataMode,$H648,FXMode)*Scale,"--"))</f>
        <v>--</v>
      </c>
      <c r="O648" s="2317" t="str">
        <f>IF($G648=0,"--",IFERROR(IF(O120=1001,_xll.ciqfunctions.udf.CIQ($G648,$S648,O120,Valuation_Date_GC,ReportType,DataMode,$H648,FXMode),_xll.ciqfunctions.udf.CIQ($G648,$I648,O120,Valuation_Date_GC,ReportType,DataMode,$H648,FXMode))*Scale,"--"))</f>
        <v>--</v>
      </c>
      <c r="P648" s="2301" t="str">
        <f>IF($G648=0,"--",IFERROR(_xll.ciqfunctions.udf.CIQ($G648,$I648,P120,Valuation_Date_GC,ReportType,DataMode,$H648,FXMode)*Scale,"--"))</f>
        <v>--</v>
      </c>
      <c r="R648" s="2301" t="str">
        <f>IF($G648=0,"--",IFERROR(_xll.ciqfunctions.udf.CIQ($G648,$I648,R120,Valuation_Date_GC,ReportType,DataMode,$H648,FXMode)*Scale,"--"))</f>
        <v>--</v>
      </c>
      <c r="S648" s="89" t="s">
        <v>807</v>
      </c>
      <c r="T648" s="2301" t="str">
        <f>IF(H120=0,O648,IF($G648=0,"--",IFERROR(_xll.ciqfunctions.udf.CIQ($G648,$S648,U120-1,Valuation_Date_GC,ReportType,DataMode,$H648)*Scale,"--")))</f>
        <v>--</v>
      </c>
      <c r="U648" s="2301" t="str">
        <f>IF($G648=0,"--",IFERROR(IF(_xll.ciqfunctions.udf.CIQ($G648,$S648,U120,Valuation_Date_GC,ReportType,DataMode,$H648)*Scale=0,"--",_xll.ciqfunctions.udf.CIQ($G648,$S648,U120,Valuation_Date_GC,ReportType,DataMode,$H648)*Scale),"--"))</f>
        <v>--</v>
      </c>
      <c r="V648" s="2301" t="str">
        <f>IF($G648=0,"--",IFERROR(IF(_xll.ciqfunctions.udf.CIQ($G648,$S648,V120,Valuation_Date_GC,ReportType,DataMode,$H648)*Scale=0,"--",_xll.ciqfunctions.udf.CIQ($G648,$S648,V120,Valuation_Date_GC,ReportType,DataMode,$H648)*Scale),"--"))</f>
        <v>--</v>
      </c>
      <c r="W648" s="2301" t="str">
        <f>IF($G648=0,"--",IFERROR(IF(_xll.ciqfunctions.udf.CIQ($G648,$S648,W120,Valuation_Date_GC,ReportType,DataMode,$H648)*Scale=0,"--",_xll.ciqfunctions.udf.CIQ($G648,$S648,W120,Valuation_Date_GC,ReportType,DataMode,$H648)*Scale),"--"))</f>
        <v>--</v>
      </c>
      <c r="X648" s="2301" t="str">
        <f>IF($G648=0,"--",IFERROR(IF(_xll.ciqfunctions.udf.CIQ($G648,$S648,X120,Valuation_Date_GC,ReportType,DataMode,$H648)*Scale=0,"--",_xll.ciqfunctions.udf.CIQ($G648,$S648,X120,Valuation_Date_GC,ReportType,DataMode,$H648)*Scale),"--"))</f>
        <v>--</v>
      </c>
      <c r="Y648" s="2301" t="str">
        <f>IF($G648=0,"--",IFERROR(IF(_xll.ciqfunctions.udf.CIQ($G648,$S648,Y120,Valuation_Date_GC,ReportType,DataMode,$H648)*Scale=0,"--",_xll.ciqfunctions.udf.CIQ($G648,$S648,Y120,Valuation_Date_GC,ReportType,DataMode,$H648)*Scale),"--"))</f>
        <v>--</v>
      </c>
      <c r="Z648" s="2078" t="str">
        <f t="shared" si="178"/>
        <v/>
      </c>
      <c r="AA648" s="2301">
        <f>_xll.ciqfunctions.udf.CIQ($G648,"IQ_REVENUE_NUM_EST",U$97,Valuation_Date_GC,"CON")</f>
        <v>0</v>
      </c>
      <c r="AB648" s="2301">
        <f>_xll.ciqfunctions.udf.CIQ($G648,"IQ_REVENUE_NUM_EST",V$97,Valuation_Date_GC,"CON")</f>
        <v>0</v>
      </c>
      <c r="AC648" s="2301">
        <f>_xll.ciqfunctions.udf.CIQ($G648,"IQ_REVENUE_NUM_EST",W$97,Valuation_Date_GC,"CON")</f>
        <v>0</v>
      </c>
      <c r="AD648" s="2301">
        <f>_xll.ciqfunctions.udf.CIQ($G648,"IQ_REVENUE_NUM_EST",X$97,Valuation_Date_GC,"CON")</f>
        <v>0</v>
      </c>
      <c r="AE648" s="2301">
        <f>_xll.ciqfunctions.udf.CIQ($G648,"IQ_REVENUE_NUM_EST",Y$97,Valuation_Date_GC,"CON")</f>
        <v>0</v>
      </c>
      <c r="AF648" s="2060"/>
      <c r="AG648" s="2060"/>
      <c r="AH648" s="2060"/>
    </row>
    <row r="649" spans="1:34" s="89" customFormat="1" ht="13.9">
      <c r="A649" s="269" t="str">
        <f t="shared" si="179"/>
        <v>n</v>
      </c>
      <c r="B649" s="2060"/>
      <c r="D649" s="801"/>
      <c r="E649" s="1505">
        <v>22</v>
      </c>
      <c r="F649" s="21" t="str">
        <f>F$150</f>
        <v>--</v>
      </c>
      <c r="G649" s="1441">
        <f>G$150</f>
        <v>0</v>
      </c>
      <c r="H649" s="1441" t="str">
        <f>H$150</f>
        <v>--</v>
      </c>
      <c r="I649" s="1513" t="s">
        <v>808</v>
      </c>
      <c r="J649" s="2301" t="str">
        <f>IF($G649=0,"--",IFERROR(_xll.ciqfunctions.udf.CIQ($G649,$I649,J121,Valuation_Date_GC,ReportType,DataMode,$H649,FXMode)*Scale,"--"))</f>
        <v>--</v>
      </c>
      <c r="K649" s="2301" t="str">
        <f>IF($G649=0,"--",IFERROR(_xll.ciqfunctions.udf.CIQ($G649,$I649,K121,Valuation_Date_GC,ReportType,DataMode,$H649,FXMode)*Scale,"--"))</f>
        <v>--</v>
      </c>
      <c r="L649" s="2301" t="str">
        <f>IF($G649=0,"--",IFERROR(_xll.ciqfunctions.udf.CIQ($G649,$I649,L121,Valuation_Date_GC,ReportType,DataMode,$H649,FXMode)*Scale,"--"))</f>
        <v>--</v>
      </c>
      <c r="M649" s="2301" t="str">
        <f>IF($G649=0,"--",IFERROR(_xll.ciqfunctions.udf.CIQ($G649,$I649,M121,Valuation_Date_GC,ReportType,DataMode,$H649,FXMode)*Scale,"--"))</f>
        <v>--</v>
      </c>
      <c r="N649" s="2301" t="str">
        <f>IF($G649=0,"--",IFERROR(_xll.ciqfunctions.udf.CIQ($G649,$I649,N121,Valuation_Date_GC,ReportType,DataMode,$H649,FXMode)*Scale,"--"))</f>
        <v>--</v>
      </c>
      <c r="O649" s="2317" t="str">
        <f>IF($G649=0,"--",IFERROR(IF(O121=1001,_xll.ciqfunctions.udf.CIQ($G649,$S649,O121,Valuation_Date_GC,ReportType,DataMode,$H649,FXMode),_xll.ciqfunctions.udf.CIQ($G649,$I649,O121,Valuation_Date_GC,ReportType,DataMode,$H649,FXMode))*Scale,"--"))</f>
        <v>--</v>
      </c>
      <c r="P649" s="2301" t="str">
        <f>IF($G649=0,"--",IFERROR(_xll.ciqfunctions.udf.CIQ($G649,$I649,P121,Valuation_Date_GC,ReportType,DataMode,$H649,FXMode)*Scale,"--"))</f>
        <v>--</v>
      </c>
      <c r="R649" s="2301" t="str">
        <f>IF($G649=0,"--",IFERROR(_xll.ciqfunctions.udf.CIQ($G649,$I649,R121,Valuation_Date_GC,ReportType,DataMode,$H649,FXMode)*Scale,"--"))</f>
        <v>--</v>
      </c>
      <c r="S649" s="89" t="s">
        <v>807</v>
      </c>
      <c r="T649" s="2301" t="str">
        <f>IF(H121=0,O649,IF($G649=0,"--",IFERROR(_xll.ciqfunctions.udf.CIQ($G649,$S649,U121-1,Valuation_Date_GC,ReportType,DataMode,$H649)*Scale,"--")))</f>
        <v>--</v>
      </c>
      <c r="U649" s="2301" t="str">
        <f>IF($G649=0,"--",IFERROR(IF(_xll.ciqfunctions.udf.CIQ($G649,$S649,U121,Valuation_Date_GC,ReportType,DataMode,$H649)*Scale=0,"--",_xll.ciqfunctions.udf.CIQ($G649,$S649,U121,Valuation_Date_GC,ReportType,DataMode,$H649)*Scale),"--"))</f>
        <v>--</v>
      </c>
      <c r="V649" s="2301" t="str">
        <f>IF($G649=0,"--",IFERROR(IF(_xll.ciqfunctions.udf.CIQ($G649,$S649,V121,Valuation_Date_GC,ReportType,DataMode,$H649)*Scale=0,"--",_xll.ciqfunctions.udf.CIQ($G649,$S649,V121,Valuation_Date_GC,ReportType,DataMode,$H649)*Scale),"--"))</f>
        <v>--</v>
      </c>
      <c r="W649" s="2301" t="str">
        <f>IF($G649=0,"--",IFERROR(IF(_xll.ciqfunctions.udf.CIQ($G649,$S649,W121,Valuation_Date_GC,ReportType,DataMode,$H649)*Scale=0,"--",_xll.ciqfunctions.udf.CIQ($G649,$S649,W121,Valuation_Date_GC,ReportType,DataMode,$H649)*Scale),"--"))</f>
        <v>--</v>
      </c>
      <c r="X649" s="2301" t="str">
        <f>IF($G649=0,"--",IFERROR(IF(_xll.ciqfunctions.udf.CIQ($G649,$S649,X121,Valuation_Date_GC,ReportType,DataMode,$H649)*Scale=0,"--",_xll.ciqfunctions.udf.CIQ($G649,$S649,X121,Valuation_Date_GC,ReportType,DataMode,$H649)*Scale),"--"))</f>
        <v>--</v>
      </c>
      <c r="Y649" s="2301" t="str">
        <f>IF($G649=0,"--",IFERROR(IF(_xll.ciqfunctions.udf.CIQ($G649,$S649,Y121,Valuation_Date_GC,ReportType,DataMode,$H649)*Scale=0,"--",_xll.ciqfunctions.udf.CIQ($G649,$S649,Y121,Valuation_Date_GC,ReportType,DataMode,$H649)*Scale),"--"))</f>
        <v>--</v>
      </c>
      <c r="Z649" s="2078" t="str">
        <f t="shared" si="178"/>
        <v/>
      </c>
      <c r="AA649" s="2301">
        <f>_xll.ciqfunctions.udf.CIQ($G649,"IQ_REVENUE_NUM_EST",U$97,Valuation_Date_GC,"CON")</f>
        <v>0</v>
      </c>
      <c r="AB649" s="2301">
        <f>_xll.ciqfunctions.udf.CIQ($G649,"IQ_REVENUE_NUM_EST",V$97,Valuation_Date_GC,"CON")</f>
        <v>0</v>
      </c>
      <c r="AC649" s="2301">
        <f>_xll.ciqfunctions.udf.CIQ($G649,"IQ_REVENUE_NUM_EST",W$97,Valuation_Date_GC,"CON")</f>
        <v>0</v>
      </c>
      <c r="AD649" s="2301">
        <f>_xll.ciqfunctions.udf.CIQ($G649,"IQ_REVENUE_NUM_EST",X$97,Valuation_Date_GC,"CON")</f>
        <v>0</v>
      </c>
      <c r="AE649" s="2301">
        <f>_xll.ciqfunctions.udf.CIQ($G649,"IQ_REVENUE_NUM_EST",Y$97,Valuation_Date_GC,"CON")</f>
        <v>0</v>
      </c>
      <c r="AF649" s="2060"/>
      <c r="AG649" s="2060"/>
      <c r="AH649" s="2060"/>
    </row>
    <row r="650" spans="1:34" s="89" customFormat="1" ht="13.9">
      <c r="A650" s="269" t="str">
        <f t="shared" si="179"/>
        <v>n</v>
      </c>
      <c r="B650" s="2060"/>
      <c r="D650" s="801"/>
      <c r="E650" s="1505">
        <v>23</v>
      </c>
      <c r="F650" s="21" t="str">
        <f>F$151</f>
        <v>--</v>
      </c>
      <c r="G650" s="1441">
        <f>G$151</f>
        <v>0</v>
      </c>
      <c r="H650" s="1441" t="str">
        <f>H$151</f>
        <v>--</v>
      </c>
      <c r="I650" s="1513" t="s">
        <v>808</v>
      </c>
      <c r="J650" s="2301" t="str">
        <f>IF($G650=0,"--",IFERROR(_xll.ciqfunctions.udf.CIQ($G650,$I650,J122,Valuation_Date_GC,ReportType,DataMode,$H650,FXMode)*Scale,"--"))</f>
        <v>--</v>
      </c>
      <c r="K650" s="2301" t="str">
        <f>IF($G650=0,"--",IFERROR(_xll.ciqfunctions.udf.CIQ($G650,$I650,K122,Valuation_Date_GC,ReportType,DataMode,$H650,FXMode)*Scale,"--"))</f>
        <v>--</v>
      </c>
      <c r="L650" s="2301" t="str">
        <f>IF($G650=0,"--",IFERROR(_xll.ciqfunctions.udf.CIQ($G650,$I650,L122,Valuation_Date_GC,ReportType,DataMode,$H650,FXMode)*Scale,"--"))</f>
        <v>--</v>
      </c>
      <c r="M650" s="2301" t="str">
        <f>IF($G650=0,"--",IFERROR(_xll.ciqfunctions.udf.CIQ($G650,$I650,M122,Valuation_Date_GC,ReportType,DataMode,$H650,FXMode)*Scale,"--"))</f>
        <v>--</v>
      </c>
      <c r="N650" s="2301" t="str">
        <f>IF($G650=0,"--",IFERROR(_xll.ciqfunctions.udf.CIQ($G650,$I650,N122,Valuation_Date_GC,ReportType,DataMode,$H650,FXMode)*Scale,"--"))</f>
        <v>--</v>
      </c>
      <c r="O650" s="2317" t="str">
        <f>IF($G650=0,"--",IFERROR(IF(O122=1001,_xll.ciqfunctions.udf.CIQ($G650,$S650,O122,Valuation_Date_GC,ReportType,DataMode,$H650,FXMode),_xll.ciqfunctions.udf.CIQ($G650,$I650,O122,Valuation_Date_GC,ReportType,DataMode,$H650,FXMode))*Scale,"--"))</f>
        <v>--</v>
      </c>
      <c r="P650" s="2301" t="str">
        <f>IF($G650=0,"--",IFERROR(_xll.ciqfunctions.udf.CIQ($G650,$I650,P122,Valuation_Date_GC,ReportType,DataMode,$H650,FXMode)*Scale,"--"))</f>
        <v>--</v>
      </c>
      <c r="R650" s="2301" t="str">
        <f>IF($G650=0,"--",IFERROR(_xll.ciqfunctions.udf.CIQ($G650,$I650,R122,Valuation_Date_GC,ReportType,DataMode,$H650,FXMode)*Scale,"--"))</f>
        <v>--</v>
      </c>
      <c r="S650" s="89" t="s">
        <v>807</v>
      </c>
      <c r="T650" s="2301" t="str">
        <f>IF(H122=0,O650,IF($G650=0,"--",IFERROR(_xll.ciqfunctions.udf.CIQ($G650,$S650,U122-1,Valuation_Date_GC,ReportType,DataMode,$H650)*Scale,"--")))</f>
        <v>--</v>
      </c>
      <c r="U650" s="2301" t="str">
        <f>IF($G650=0,"--",IFERROR(IF(_xll.ciqfunctions.udf.CIQ($G650,$S650,U122,Valuation_Date_GC,ReportType,DataMode,$H650)*Scale=0,"--",_xll.ciqfunctions.udf.CIQ($G650,$S650,U122,Valuation_Date_GC,ReportType,DataMode,$H650)*Scale),"--"))</f>
        <v>--</v>
      </c>
      <c r="V650" s="2301" t="str">
        <f>IF($G650=0,"--",IFERROR(IF(_xll.ciqfunctions.udf.CIQ($G650,$S650,V122,Valuation_Date_GC,ReportType,DataMode,$H650)*Scale=0,"--",_xll.ciqfunctions.udf.CIQ($G650,$S650,V122,Valuation_Date_GC,ReportType,DataMode,$H650)*Scale),"--"))</f>
        <v>--</v>
      </c>
      <c r="W650" s="2301" t="str">
        <f>IF($G650=0,"--",IFERROR(IF(_xll.ciqfunctions.udf.CIQ($G650,$S650,W122,Valuation_Date_GC,ReportType,DataMode,$H650)*Scale=0,"--",_xll.ciqfunctions.udf.CIQ($G650,$S650,W122,Valuation_Date_GC,ReportType,DataMode,$H650)*Scale),"--"))</f>
        <v>--</v>
      </c>
      <c r="X650" s="2301" t="str">
        <f>IF($G650=0,"--",IFERROR(IF(_xll.ciqfunctions.udf.CIQ($G650,$S650,X122,Valuation_Date_GC,ReportType,DataMode,$H650)*Scale=0,"--",_xll.ciqfunctions.udf.CIQ($G650,$S650,X122,Valuation_Date_GC,ReportType,DataMode,$H650)*Scale),"--"))</f>
        <v>--</v>
      </c>
      <c r="Y650" s="2301" t="str">
        <f>IF($G650=0,"--",IFERROR(IF(_xll.ciqfunctions.udf.CIQ($G650,$S650,Y122,Valuation_Date_GC,ReportType,DataMode,$H650)*Scale=0,"--",_xll.ciqfunctions.udf.CIQ($G650,$S650,Y122,Valuation_Date_GC,ReportType,DataMode,$H650)*Scale),"--"))</f>
        <v>--</v>
      </c>
      <c r="Z650" s="2078" t="str">
        <f t="shared" si="178"/>
        <v/>
      </c>
      <c r="AA650" s="2301">
        <f>_xll.ciqfunctions.udf.CIQ($G650,"IQ_REVENUE_NUM_EST",U$97,Valuation_Date_GC,"CON")</f>
        <v>0</v>
      </c>
      <c r="AB650" s="2301">
        <f>_xll.ciqfunctions.udf.CIQ($G650,"IQ_REVENUE_NUM_EST",V$97,Valuation_Date_GC,"CON")</f>
        <v>0</v>
      </c>
      <c r="AC650" s="2301">
        <f>_xll.ciqfunctions.udf.CIQ($G650,"IQ_REVENUE_NUM_EST",W$97,Valuation_Date_GC,"CON")</f>
        <v>0</v>
      </c>
      <c r="AD650" s="2301">
        <f>_xll.ciqfunctions.udf.CIQ($G650,"IQ_REVENUE_NUM_EST",X$97,Valuation_Date_GC,"CON")</f>
        <v>0</v>
      </c>
      <c r="AE650" s="2301">
        <f>_xll.ciqfunctions.udf.CIQ($G650,"IQ_REVENUE_NUM_EST",Y$97,Valuation_Date_GC,"CON")</f>
        <v>0</v>
      </c>
      <c r="AF650" s="2060"/>
      <c r="AG650" s="2060"/>
      <c r="AH650" s="2060"/>
    </row>
    <row r="651" spans="1:34" s="89" customFormat="1" ht="13.9">
      <c r="A651" s="269" t="str">
        <f t="shared" si="179"/>
        <v>n</v>
      </c>
      <c r="B651" s="2060"/>
      <c r="D651" s="801"/>
      <c r="E651" s="1505">
        <v>24</v>
      </c>
      <c r="F651" s="21" t="str">
        <f>F$152</f>
        <v>--</v>
      </c>
      <c r="G651" s="1441">
        <f>G$152</f>
        <v>0</v>
      </c>
      <c r="H651" s="1441" t="str">
        <f>H$152</f>
        <v>--</v>
      </c>
      <c r="I651" s="1513" t="s">
        <v>808</v>
      </c>
      <c r="J651" s="2301" t="str">
        <f>IF($G651=0,"--",IFERROR(_xll.ciqfunctions.udf.CIQ($G651,$I651,J123,Valuation_Date_GC,ReportType,DataMode,$H651,FXMode)*Scale,"--"))</f>
        <v>--</v>
      </c>
      <c r="K651" s="2301" t="str">
        <f>IF($G651=0,"--",IFERROR(_xll.ciqfunctions.udf.CIQ($G651,$I651,K123,Valuation_Date_GC,ReportType,DataMode,$H651,FXMode)*Scale,"--"))</f>
        <v>--</v>
      </c>
      <c r="L651" s="2301" t="str">
        <f>IF($G651=0,"--",IFERROR(_xll.ciqfunctions.udf.CIQ($G651,$I651,L123,Valuation_Date_GC,ReportType,DataMode,$H651,FXMode)*Scale,"--"))</f>
        <v>--</v>
      </c>
      <c r="M651" s="2301" t="str">
        <f>IF($G651=0,"--",IFERROR(_xll.ciqfunctions.udf.CIQ($G651,$I651,M123,Valuation_Date_GC,ReportType,DataMode,$H651,FXMode)*Scale,"--"))</f>
        <v>--</v>
      </c>
      <c r="N651" s="2301" t="str">
        <f>IF($G651=0,"--",IFERROR(_xll.ciqfunctions.udf.CIQ($G651,$I651,N123,Valuation_Date_GC,ReportType,DataMode,$H651,FXMode)*Scale,"--"))</f>
        <v>--</v>
      </c>
      <c r="O651" s="2317" t="str">
        <f>IF($G651=0,"--",IFERROR(IF(O123=1001,_xll.ciqfunctions.udf.CIQ($G651,$S651,O123,Valuation_Date_GC,ReportType,DataMode,$H651,FXMode),_xll.ciqfunctions.udf.CIQ($G651,$I651,O123,Valuation_Date_GC,ReportType,DataMode,$H651,FXMode))*Scale,"--"))</f>
        <v>--</v>
      </c>
      <c r="P651" s="2301" t="str">
        <f>IF($G651=0,"--",IFERROR(_xll.ciqfunctions.udf.CIQ($G651,$I651,P123,Valuation_Date_GC,ReportType,DataMode,$H651,FXMode)*Scale,"--"))</f>
        <v>--</v>
      </c>
      <c r="R651" s="2301" t="str">
        <f>IF($G651=0,"--",IFERROR(_xll.ciqfunctions.udf.CIQ($G651,$I651,R123,Valuation_Date_GC,ReportType,DataMode,$H651,FXMode)*Scale,"--"))</f>
        <v>--</v>
      </c>
      <c r="S651" s="89" t="s">
        <v>807</v>
      </c>
      <c r="T651" s="2301" t="str">
        <f>IF(H123=0,O651,IF($G651=0,"--",IFERROR(_xll.ciqfunctions.udf.CIQ($G651,$S651,U123-1,Valuation_Date_GC,ReportType,DataMode,$H651)*Scale,"--")))</f>
        <v>--</v>
      </c>
      <c r="U651" s="2301" t="str">
        <f>IF($G651=0,"--",IFERROR(IF(_xll.ciqfunctions.udf.CIQ($G651,$S651,U123,Valuation_Date_GC,ReportType,DataMode,$H651)*Scale=0,"--",_xll.ciqfunctions.udf.CIQ($G651,$S651,U123,Valuation_Date_GC,ReportType,DataMode,$H651)*Scale),"--"))</f>
        <v>--</v>
      </c>
      <c r="V651" s="2301" t="str">
        <f>IF($G651=0,"--",IFERROR(IF(_xll.ciqfunctions.udf.CIQ($G651,$S651,V123,Valuation_Date_GC,ReportType,DataMode,$H651)*Scale=0,"--",_xll.ciqfunctions.udf.CIQ($G651,$S651,V123,Valuation_Date_GC,ReportType,DataMode,$H651)*Scale),"--"))</f>
        <v>--</v>
      </c>
      <c r="W651" s="2301" t="str">
        <f>IF($G651=0,"--",IFERROR(IF(_xll.ciqfunctions.udf.CIQ($G651,$S651,W123,Valuation_Date_GC,ReportType,DataMode,$H651)*Scale=0,"--",_xll.ciqfunctions.udf.CIQ($G651,$S651,W123,Valuation_Date_GC,ReportType,DataMode,$H651)*Scale),"--"))</f>
        <v>--</v>
      </c>
      <c r="X651" s="2301" t="str">
        <f>IF($G651=0,"--",IFERROR(IF(_xll.ciqfunctions.udf.CIQ($G651,$S651,X123,Valuation_Date_GC,ReportType,DataMode,$H651)*Scale=0,"--",_xll.ciqfunctions.udf.CIQ($G651,$S651,X123,Valuation_Date_GC,ReportType,DataMode,$H651)*Scale),"--"))</f>
        <v>--</v>
      </c>
      <c r="Y651" s="2301" t="str">
        <f>IF($G651=0,"--",IFERROR(IF(_xll.ciqfunctions.udf.CIQ($G651,$S651,Y123,Valuation_Date_GC,ReportType,DataMode,$H651)*Scale=0,"--",_xll.ciqfunctions.udf.CIQ($G651,$S651,Y123,Valuation_Date_GC,ReportType,DataMode,$H651)*Scale),"--"))</f>
        <v>--</v>
      </c>
      <c r="Z651" s="2078" t="str">
        <f t="shared" si="178"/>
        <v/>
      </c>
      <c r="AA651" s="2301">
        <f>_xll.ciqfunctions.udf.CIQ($G651,"IQ_REVENUE_NUM_EST",U$97,Valuation_Date_GC,"CON")</f>
        <v>0</v>
      </c>
      <c r="AB651" s="2301">
        <f>_xll.ciqfunctions.udf.CIQ($G651,"IQ_REVENUE_NUM_EST",V$97,Valuation_Date_GC,"CON")</f>
        <v>0</v>
      </c>
      <c r="AC651" s="2301">
        <f>_xll.ciqfunctions.udf.CIQ($G651,"IQ_REVENUE_NUM_EST",W$97,Valuation_Date_GC,"CON")</f>
        <v>0</v>
      </c>
      <c r="AD651" s="2301">
        <f>_xll.ciqfunctions.udf.CIQ($G651,"IQ_REVENUE_NUM_EST",X$97,Valuation_Date_GC,"CON")</f>
        <v>0</v>
      </c>
      <c r="AE651" s="2301">
        <f>_xll.ciqfunctions.udf.CIQ($G651,"IQ_REVENUE_NUM_EST",Y$97,Valuation_Date_GC,"CON")</f>
        <v>0</v>
      </c>
      <c r="AF651" s="2060"/>
      <c r="AG651" s="2060"/>
      <c r="AH651" s="2060"/>
    </row>
    <row r="652" spans="1:34" s="89" customFormat="1" ht="13.9">
      <c r="A652" s="269" t="str">
        <f t="shared" si="179"/>
        <v>n</v>
      </c>
      <c r="B652" s="2060"/>
      <c r="D652" s="801"/>
      <c r="E652" s="1505">
        <v>25</v>
      </c>
      <c r="F652" s="21" t="str">
        <f>F$153</f>
        <v>--</v>
      </c>
      <c r="G652" s="1441">
        <f>G$153</f>
        <v>0</v>
      </c>
      <c r="H652" s="1441" t="str">
        <f>H$153</f>
        <v>--</v>
      </c>
      <c r="I652" s="1513" t="s">
        <v>808</v>
      </c>
      <c r="J652" s="2301" t="str">
        <f>IF($G652=0,"--",IFERROR(_xll.ciqfunctions.udf.CIQ($G652,$I652,J124,Valuation_Date_GC,ReportType,DataMode,$H652,FXMode)*Scale,"--"))</f>
        <v>--</v>
      </c>
      <c r="K652" s="2301" t="str">
        <f>IF($G652=0,"--",IFERROR(_xll.ciqfunctions.udf.CIQ($G652,$I652,K124,Valuation_Date_GC,ReportType,DataMode,$H652,FXMode)*Scale,"--"))</f>
        <v>--</v>
      </c>
      <c r="L652" s="2301" t="str">
        <f>IF($G652=0,"--",IFERROR(_xll.ciqfunctions.udf.CIQ($G652,$I652,L124,Valuation_Date_GC,ReportType,DataMode,$H652,FXMode)*Scale,"--"))</f>
        <v>--</v>
      </c>
      <c r="M652" s="2301" t="str">
        <f>IF($G652=0,"--",IFERROR(_xll.ciqfunctions.udf.CIQ($G652,$I652,M124,Valuation_Date_GC,ReportType,DataMode,$H652,FXMode)*Scale,"--"))</f>
        <v>--</v>
      </c>
      <c r="N652" s="2301" t="str">
        <f>IF($G652=0,"--",IFERROR(_xll.ciqfunctions.udf.CIQ($G652,$I652,N124,Valuation_Date_GC,ReportType,DataMode,$H652,FXMode)*Scale,"--"))</f>
        <v>--</v>
      </c>
      <c r="O652" s="2317" t="str">
        <f>IF($G652=0,"--",IFERROR(IF(O124=1001,_xll.ciqfunctions.udf.CIQ($G652,$S652,O124,Valuation_Date_GC,ReportType,DataMode,$H652,FXMode),_xll.ciqfunctions.udf.CIQ($G652,$I652,O124,Valuation_Date_GC,ReportType,DataMode,$H652,FXMode))*Scale,"--"))</f>
        <v>--</v>
      </c>
      <c r="P652" s="2301" t="str">
        <f>IF($G652=0,"--",IFERROR(_xll.ciqfunctions.udf.CIQ($G652,$I652,P124,Valuation_Date_GC,ReportType,DataMode,$H652,FXMode)*Scale,"--"))</f>
        <v>--</v>
      </c>
      <c r="R652" s="2301" t="str">
        <f>IF($G652=0,"--",IFERROR(_xll.ciqfunctions.udf.CIQ($G652,$I652,R124,Valuation_Date_GC,ReportType,DataMode,$H652,FXMode)*Scale,"--"))</f>
        <v>--</v>
      </c>
      <c r="S652" s="89" t="s">
        <v>807</v>
      </c>
      <c r="T652" s="2301" t="str">
        <f>IF(H124=0,O652,IF($G652=0,"--",IFERROR(_xll.ciqfunctions.udf.CIQ($G652,$S652,U124-1,Valuation_Date_GC,ReportType,DataMode,$H652)*Scale,"--")))</f>
        <v>--</v>
      </c>
      <c r="U652" s="2301" t="str">
        <f>IF($G652=0,"--",IFERROR(IF(_xll.ciqfunctions.udf.CIQ($G652,$S652,U124,Valuation_Date_GC,ReportType,DataMode,$H652)*Scale=0,"--",_xll.ciqfunctions.udf.CIQ($G652,$S652,U124,Valuation_Date_GC,ReportType,DataMode,$H652)*Scale),"--"))</f>
        <v>--</v>
      </c>
      <c r="V652" s="2301" t="str">
        <f>IF($G652=0,"--",IFERROR(IF(_xll.ciqfunctions.udf.CIQ($G652,$S652,V124,Valuation_Date_GC,ReportType,DataMode,$H652)*Scale=0,"--",_xll.ciqfunctions.udf.CIQ($G652,$S652,V124,Valuation_Date_GC,ReportType,DataMode,$H652)*Scale),"--"))</f>
        <v>--</v>
      </c>
      <c r="W652" s="2301" t="str">
        <f>IF($G652=0,"--",IFERROR(IF(_xll.ciqfunctions.udf.CIQ($G652,$S652,W124,Valuation_Date_GC,ReportType,DataMode,$H652)*Scale=0,"--",_xll.ciqfunctions.udf.CIQ($G652,$S652,W124,Valuation_Date_GC,ReportType,DataMode,$H652)*Scale),"--"))</f>
        <v>--</v>
      </c>
      <c r="X652" s="2301" t="str">
        <f>IF($G652=0,"--",IFERROR(IF(_xll.ciqfunctions.udf.CIQ($G652,$S652,X124,Valuation_Date_GC,ReportType,DataMode,$H652)*Scale=0,"--",_xll.ciqfunctions.udf.CIQ($G652,$S652,X124,Valuation_Date_GC,ReportType,DataMode,$H652)*Scale),"--"))</f>
        <v>--</v>
      </c>
      <c r="Y652" s="2301" t="str">
        <f>IF($G652=0,"--",IFERROR(IF(_xll.ciqfunctions.udf.CIQ($G652,$S652,Y124,Valuation_Date_GC,ReportType,DataMode,$H652)*Scale=0,"--",_xll.ciqfunctions.udf.CIQ($G652,$S652,Y124,Valuation_Date_GC,ReportType,DataMode,$H652)*Scale),"--"))</f>
        <v>--</v>
      </c>
      <c r="Z652" s="2078" t="str">
        <f t="shared" si="178"/>
        <v/>
      </c>
      <c r="AA652" s="2301">
        <f>_xll.ciqfunctions.udf.CIQ($G652,"IQ_REVENUE_NUM_EST",U$97,Valuation_Date_GC,"CON")</f>
        <v>0</v>
      </c>
      <c r="AB652" s="2301">
        <f>_xll.ciqfunctions.udf.CIQ($G652,"IQ_REVENUE_NUM_EST",V$97,Valuation_Date_GC,"CON")</f>
        <v>0</v>
      </c>
      <c r="AC652" s="2301">
        <f>_xll.ciqfunctions.udf.CIQ($G652,"IQ_REVENUE_NUM_EST",W$97,Valuation_Date_GC,"CON")</f>
        <v>0</v>
      </c>
      <c r="AD652" s="2301">
        <f>_xll.ciqfunctions.udf.CIQ($G652,"IQ_REVENUE_NUM_EST",X$97,Valuation_Date_GC,"CON")</f>
        <v>0</v>
      </c>
      <c r="AE652" s="2301">
        <f>_xll.ciqfunctions.udf.CIQ($G652,"IQ_REVENUE_NUM_EST",Y$97,Valuation_Date_GC,"CON")</f>
        <v>0</v>
      </c>
      <c r="AF652" s="2060"/>
      <c r="AG652" s="2060"/>
      <c r="AH652" s="2060"/>
    </row>
    <row r="653" spans="1:34" s="89" customFormat="1" ht="13.9">
      <c r="A653" s="2060"/>
      <c r="B653" s="2060"/>
      <c r="D653" s="801"/>
      <c r="F653" s="57" t="s">
        <v>767</v>
      </c>
      <c r="G653" s="1442"/>
      <c r="H653" s="1442"/>
      <c r="I653" s="1442"/>
      <c r="J653" s="1443" t="str">
        <f t="shared" ref="J653:P653" si="180">IFERROR(MEDIAN(J628:J652),"--")</f>
        <v>--</v>
      </c>
      <c r="K653" s="1443" t="str">
        <f t="shared" si="180"/>
        <v>--</v>
      </c>
      <c r="L653" s="1443" t="str">
        <f t="shared" si="180"/>
        <v>--</v>
      </c>
      <c r="M653" s="1443" t="str">
        <f t="shared" si="180"/>
        <v>--</v>
      </c>
      <c r="N653" s="1443" t="str">
        <f t="shared" si="180"/>
        <v>--</v>
      </c>
      <c r="O653" s="1444" t="str">
        <f t="shared" si="180"/>
        <v>--</v>
      </c>
      <c r="P653" s="1443" t="str">
        <f t="shared" si="180"/>
        <v>--</v>
      </c>
      <c r="R653" s="1443" t="str">
        <f>IFERROR(MEDIAN(R628:R652),"--")</f>
        <v>--</v>
      </c>
      <c r="T653" s="1443" t="str">
        <f t="shared" ref="T653:Y653" si="181">IFERROR(MEDIAN(T628:T652),"--")</f>
        <v>--</v>
      </c>
      <c r="U653" s="1443" t="str">
        <f t="shared" si="181"/>
        <v>--</v>
      </c>
      <c r="V653" s="1443" t="str">
        <f t="shared" si="181"/>
        <v>--</v>
      </c>
      <c r="W653" s="1443" t="str">
        <f t="shared" si="181"/>
        <v>--</v>
      </c>
      <c r="X653" s="1443" t="str">
        <f t="shared" si="181"/>
        <v>--</v>
      </c>
      <c r="Y653" s="1443" t="str">
        <f t="shared" si="181"/>
        <v>--</v>
      </c>
      <c r="AF653" s="2060"/>
      <c r="AG653" s="2060"/>
      <c r="AH653" s="2060"/>
    </row>
    <row r="654" spans="1:34" s="89" customFormat="1" ht="13.9">
      <c r="A654" s="2060"/>
      <c r="B654" s="2060"/>
      <c r="D654" s="1436"/>
      <c r="E654" s="56"/>
      <c r="F654" s="21"/>
      <c r="O654" s="75"/>
      <c r="P654" s="76"/>
      <c r="AA654" s="2060"/>
      <c r="AB654" s="2060"/>
      <c r="AC654" s="2060"/>
      <c r="AD654" s="2060"/>
      <c r="AE654" s="2060"/>
      <c r="AF654" s="2060"/>
      <c r="AG654" s="2060"/>
      <c r="AH654" s="2060"/>
    </row>
    <row r="655" spans="1:34" s="89" customFormat="1" ht="13.9">
      <c r="A655" s="2060"/>
      <c r="B655" s="2060"/>
      <c r="D655" s="1436"/>
      <c r="E655" s="56"/>
      <c r="F655" s="21"/>
      <c r="P655" s="76"/>
      <c r="AA655" s="2060"/>
      <c r="AB655" s="2060"/>
      <c r="AC655" s="2060"/>
      <c r="AD655" s="2060"/>
      <c r="AE655" s="2060"/>
      <c r="AF655" s="2060"/>
      <c r="AG655" s="2060"/>
      <c r="AH655" s="2060"/>
    </row>
    <row r="656" spans="1:34" s="89" customFormat="1" ht="13.9">
      <c r="A656" s="2060"/>
      <c r="B656" s="2060"/>
      <c r="D656" s="802"/>
      <c r="E656" s="21"/>
      <c r="F656" s="756"/>
      <c r="G656" s="724"/>
      <c r="H656" s="724"/>
      <c r="I656" s="724"/>
      <c r="J656" s="724"/>
      <c r="K656" s="724"/>
      <c r="L656" s="724"/>
      <c r="M656" s="724"/>
      <c r="N656" s="724"/>
      <c r="O656" s="757" t="s">
        <v>768</v>
      </c>
      <c r="P656" s="724"/>
      <c r="R656" s="725"/>
      <c r="S656" s="724"/>
      <c r="T656" s="1029" t="s">
        <v>800</v>
      </c>
      <c r="U656" s="177"/>
      <c r="V656" s="177"/>
      <c r="W656" s="177"/>
      <c r="X656" s="177"/>
      <c r="AA656" s="1029" t="str">
        <f>"Number of estimates included in "&amp;F657&amp;" consensus"</f>
        <v>Number of estimates included in EBIT consensus</v>
      </c>
      <c r="AB656" s="2060"/>
      <c r="AC656" s="2060"/>
      <c r="AD656" s="2060"/>
      <c r="AE656" s="2060"/>
      <c r="AF656" s="2060"/>
      <c r="AG656" s="2060"/>
      <c r="AH656" s="2060"/>
    </row>
    <row r="657" spans="1:34" s="89" customFormat="1" ht="13.9">
      <c r="A657" s="2060"/>
      <c r="B657" s="2060"/>
      <c r="D657" s="778">
        <f ca="1">MAX(OFFSET(D657,-1,0,-ROW(D657)+1,-2),1)+0.01</f>
        <v>5.0399999999999991</v>
      </c>
      <c r="E657" s="125"/>
      <c r="F657" s="952" t="s">
        <v>211</v>
      </c>
      <c r="G657" s="724" t="s">
        <v>796</v>
      </c>
      <c r="H657" s="724"/>
      <c r="I657" s="724"/>
      <c r="J657" s="758" t="s">
        <v>699</v>
      </c>
      <c r="K657" s="758" t="s">
        <v>700</v>
      </c>
      <c r="L657" s="758" t="s">
        <v>701</v>
      </c>
      <c r="M657" s="758" t="s">
        <v>702</v>
      </c>
      <c r="N657" s="758" t="s">
        <v>703</v>
      </c>
      <c r="O657" s="759" t="s">
        <v>704</v>
      </c>
      <c r="P657" s="725" t="s">
        <v>705</v>
      </c>
      <c r="R657" s="725" t="s">
        <v>706</v>
      </c>
      <c r="S657" s="724" t="s">
        <v>809</v>
      </c>
      <c r="T657" s="725" t="s">
        <v>802</v>
      </c>
      <c r="U657" s="758" t="s">
        <v>707</v>
      </c>
      <c r="V657" s="758" t="s">
        <v>708</v>
      </c>
      <c r="W657" s="758" t="s">
        <v>709</v>
      </c>
      <c r="X657" s="758" t="s">
        <v>710</v>
      </c>
      <c r="Y657" s="758" t="s">
        <v>711</v>
      </c>
      <c r="AA657" s="725" t="str">
        <f>U657</f>
        <v>NFY</v>
      </c>
      <c r="AB657" s="725" t="str">
        <f>V657</f>
        <v>NFY+1</v>
      </c>
      <c r="AC657" s="725" t="str">
        <f>W657</f>
        <v>NFY+2</v>
      </c>
      <c r="AD657" s="725" t="str">
        <f>X657</f>
        <v>NFY+3</v>
      </c>
      <c r="AE657" s="725" t="str">
        <f>Y657</f>
        <v>NFY+4</v>
      </c>
      <c r="AF657" s="2060"/>
      <c r="AG657" s="2060"/>
      <c r="AH657" s="2060"/>
    </row>
    <row r="658" spans="1:34" s="89" customFormat="1" ht="13.9">
      <c r="A658" s="2060"/>
      <c r="B658" s="2060"/>
      <c r="D658" s="778"/>
      <c r="E658" s="1505">
        <v>0</v>
      </c>
      <c r="F658" s="1448" t="str">
        <f>F$128</f>
        <v/>
      </c>
      <c r="G658" s="1449">
        <f>G$128</f>
        <v>0</v>
      </c>
      <c r="H658" s="1449" t="str">
        <f>H$128</f>
        <v>USD</v>
      </c>
      <c r="I658" s="1450" t="s">
        <v>810</v>
      </c>
      <c r="J658" s="2304">
        <f>'INC STAT Hist Input'!E23</f>
        <v>0</v>
      </c>
      <c r="K658" s="2304">
        <f>'INC STAT Hist Input'!F23</f>
        <v>0</v>
      </c>
      <c r="L658" s="2304">
        <f>'INC STAT Hist Input'!G23</f>
        <v>0</v>
      </c>
      <c r="M658" s="2304">
        <f>'INC STAT Hist Input'!H23</f>
        <v>0</v>
      </c>
      <c r="N658" s="2304">
        <f>'INC STAT Hist Input'!I23</f>
        <v>0</v>
      </c>
      <c r="O658" s="2304">
        <f>'INC STAT Hist Input'!J23</f>
        <v>0</v>
      </c>
      <c r="P658" s="2304">
        <f>'INC STAT Hist Input'!K23</f>
        <v>0</v>
      </c>
      <c r="Q658" s="258"/>
      <c r="R658" s="2316" t="str">
        <f>IF($G658=0,"--",IFERROR(_xll.ciqfunctions.udf.CIQ($G658,$I658,R99,Valuation_Date_GC,ReportType,DataMode,$H658,FXMode)*Scale,"--"))</f>
        <v>--</v>
      </c>
      <c r="S658" s="258" t="s">
        <v>809</v>
      </c>
      <c r="T658" s="2316">
        <f>IFERROR(IF('PFI Inputs'!F79,'PFI Inputs'!F79,_xll.ciqfunctions.udf.CIQ($G658,$S658,T99,Valuation_Date_GC,ReportType,DataMode,$H658)*Scale),"--")</f>
        <v>0</v>
      </c>
      <c r="U658" s="2316" t="str">
        <f ca="1">IFERROR(IF('PFI Inputs'!G79,'PFI Inputs'!G79,_xll.ciqfunctions.udf.CIQ($G658,$S658,U99,Valuation_Date_GC,ReportType,DataMode,$H658)*Scale),"--")</f>
        <v>--</v>
      </c>
      <c r="V658" s="2316" t="str">
        <f ca="1">IFERROR(IF('PFI Inputs'!H79,'PFI Inputs'!H79,_xll.ciqfunctions.udf.CIQ($G658,$S658,V99,Valuation_Date_GC,ReportType,DataMode,$H658)*Scale),"--")</f>
        <v>--</v>
      </c>
      <c r="W658" s="2316" t="str">
        <f ca="1">IFERROR(IF('PFI Inputs'!I79,'PFI Inputs'!I79,_xll.ciqfunctions.udf.CIQ($G658,$S658,W99,Valuation_Date_GC,ReportType,DataMode,$H658)*Scale),"--")</f>
        <v>--</v>
      </c>
      <c r="X658" s="2316" t="str">
        <f ca="1">IFERROR(IF('PFI Inputs'!J79,'PFI Inputs'!J79,_xll.ciqfunctions.udf.CIQ($G658,$S658,X99,Valuation_Date_GC,ReportType,DataMode,$H658)*Scale),"--")</f>
        <v>--</v>
      </c>
      <c r="Y658" s="2316" t="str">
        <f ca="1">IFERROR(IF('PFI Inputs'!K79,'PFI Inputs'!K79,_xll.ciqfunctions.udf.CIQ($G658,$S658,Y99,Valuation_Date_GC,ReportType,DataMode,$H658)*Scale),"--")</f>
        <v>--</v>
      </c>
      <c r="AA658" s="2301">
        <f>_xll.ciqfunctions.udf.CIQ($G658,"IQ_REVENUE_NUM_EST",U$97,Valuation_Date_GC,"CON")</f>
        <v>0</v>
      </c>
      <c r="AB658" s="2301">
        <f>_xll.ciqfunctions.udf.CIQ($G658,"IQ_REVENUE_NUM_EST",V$97,Valuation_Date_GC,"CON")</f>
        <v>0</v>
      </c>
      <c r="AC658" s="2301">
        <f>_xll.ciqfunctions.udf.CIQ($G658,"IQ_REVENUE_NUM_EST",W$97,Valuation_Date_GC,"CON")</f>
        <v>0</v>
      </c>
      <c r="AD658" s="2301">
        <f>_xll.ciqfunctions.udf.CIQ($G658,"IQ_REVENUE_NUM_EST",X$97,Valuation_Date_GC,"CON")</f>
        <v>0</v>
      </c>
      <c r="AE658" s="2301">
        <f>_xll.ciqfunctions.udf.CIQ($G658,"IQ_REVENUE_NUM_EST",Y$97,Valuation_Date_GC,"CON")</f>
        <v>0</v>
      </c>
      <c r="AF658" s="2060"/>
      <c r="AG658" s="2060"/>
      <c r="AH658" s="2060"/>
    </row>
    <row r="659" spans="1:34" s="89" customFormat="1" ht="13.9">
      <c r="A659" s="269" t="str">
        <f>IF(F659="--","n","")</f>
        <v>n</v>
      </c>
      <c r="B659" s="2060"/>
      <c r="C659" s="72"/>
      <c r="D659" s="801"/>
      <c r="E659" s="1505">
        <v>1</v>
      </c>
      <c r="F659" s="21" t="str">
        <f>F$129</f>
        <v>--</v>
      </c>
      <c r="G659" s="1441">
        <f>G$129</f>
        <v>0</v>
      </c>
      <c r="H659" s="1441" t="str">
        <f>H$129</f>
        <v>--</v>
      </c>
      <c r="I659" s="1513" t="s">
        <v>810</v>
      </c>
      <c r="J659" s="2301" t="str">
        <f>IF($G659=0,"--",IFERROR(_xll.ciqfunctions.udf.CIQ($G659,$I659,J100,Valuation_Date_GC,ReportType,DataMode,$H659,FXMode)*Scale,"--"))</f>
        <v>--</v>
      </c>
      <c r="K659" s="2301" t="str">
        <f>IF($G659=0,"--",IFERROR(_xll.ciqfunctions.udf.CIQ($G659,$I659,K100,Valuation_Date_GC,ReportType,DataMode,$H659,FXMode)*Scale,"--"))</f>
        <v>--</v>
      </c>
      <c r="L659" s="2301" t="str">
        <f>IF($G659=0,"--",IFERROR(_xll.ciqfunctions.udf.CIQ($G659,$I659,L100,Valuation_Date_GC,ReportType,DataMode,$H659,FXMode)*Scale,"--"))</f>
        <v>--</v>
      </c>
      <c r="M659" s="2301" t="str">
        <f>IF($G659=0,"--",IFERROR(_xll.ciqfunctions.udf.CIQ($G659,$I659,M100,Valuation_Date_GC,ReportType,DataMode,$H659,FXMode)*Scale,"--"))</f>
        <v>--</v>
      </c>
      <c r="N659" s="2301" t="str">
        <f>IF($G659=0,"--",IFERROR(_xll.ciqfunctions.udf.CIQ($G659,$I659,N100,Valuation_Date_GC,ReportType,DataMode,$H659,FXMode)*Scale,"--"))</f>
        <v>--</v>
      </c>
      <c r="O659" s="2317" t="str">
        <f>IF($G659=0,"--",IFERROR(IF(O100=1001,_xll.ciqfunctions.udf.CIQ($G659,$S659,O100,Valuation_Date_GC,ReportType,DataMode,$H659,FXMode),_xll.ciqfunctions.udf.CIQ($G659,$I659,O100,Valuation_Date_GC,ReportType,DataMode,$H659,FXMode))*Scale,"--"))</f>
        <v>--</v>
      </c>
      <c r="P659" s="2301" t="str">
        <f>IF($G659=0,"--",IFERROR(_xll.ciqfunctions.udf.CIQ($G659,$I659,P100,Valuation_Date_GC,ReportType,DataMode,$H659,FXMode)*Scale,"--"))</f>
        <v>--</v>
      </c>
      <c r="R659" s="2301" t="str">
        <f>IF($G659=0,"--",IFERROR(_xll.ciqfunctions.udf.CIQ($G659,$I659,R100,Valuation_Date_GC,ReportType,DataMode,$H659,FXMode)*Scale,"--"))</f>
        <v>--</v>
      </c>
      <c r="S659" s="89" t="s">
        <v>809</v>
      </c>
      <c r="T659" s="2301" t="str">
        <f>IF(H100=0,O659,IF($G659=0,"--",IFERROR(_xll.ciqfunctions.udf.CIQ($G659,$S659,U100-1,Valuation_Date_GC,ReportType,DataMode,$H659)*Scale,"--")))</f>
        <v>--</v>
      </c>
      <c r="U659" s="2301" t="str">
        <f>IF($G659=0,"--",IFERROR(IF(_xll.ciqfunctions.udf.CIQ($G659,$S659,U100,Valuation_Date_GC,ReportType,DataMode,$H659)*Scale=0,"--",_xll.ciqfunctions.udf.CIQ($G659,$S659,U100,Valuation_Date_GC,ReportType,DataMode,$H659)*Scale),"--"))</f>
        <v>--</v>
      </c>
      <c r="V659" s="2301" t="str">
        <f>IF($G659=0,"--",IFERROR(IF(_xll.ciqfunctions.udf.CIQ($G659,$S659,V100,Valuation_Date_GC,ReportType,DataMode,$H659)*Scale=0,"--",_xll.ciqfunctions.udf.CIQ($G659,$S659,V100,Valuation_Date_GC,ReportType,DataMode,$H659)*Scale),"--"))</f>
        <v>--</v>
      </c>
      <c r="W659" s="2301" t="str">
        <f>IF($G659=0,"--",IFERROR(IF(_xll.ciqfunctions.udf.CIQ($G659,$S659,W100,Valuation_Date_GC,ReportType,DataMode,$H659)*Scale=0,"--",_xll.ciqfunctions.udf.CIQ($G659,$S659,W100,Valuation_Date_GC,ReportType,DataMode,$H659)*Scale),"--"))</f>
        <v>--</v>
      </c>
      <c r="X659" s="2301" t="str">
        <f>IF($G659=0,"--",IFERROR(IF(_xll.ciqfunctions.udf.CIQ($G659,$S659,X100,Valuation_Date_GC,ReportType,DataMode,$H659)*Scale=0,"--",_xll.ciqfunctions.udf.CIQ($G659,$S659,X100,Valuation_Date_GC,ReportType,DataMode,$H659)*Scale),"--"))</f>
        <v>--</v>
      </c>
      <c r="Y659" s="2301" t="str">
        <f>IF($G659=0,"--",IFERROR(IF(_xll.ciqfunctions.udf.CIQ($G659,$S659,Y100,Valuation_Date_GC,ReportType,DataMode,$H659)*Scale=0,"--",_xll.ciqfunctions.udf.CIQ($G659,$S659,Y100,Valuation_Date_GC,ReportType,DataMode,$H659)*Scale),"--"))</f>
        <v>--</v>
      </c>
      <c r="Z659" s="2078" t="str">
        <f t="shared" ref="Z659:Z683" si="182">T100</f>
        <v/>
      </c>
      <c r="AA659" s="2301">
        <f>_xll.ciqfunctions.udf.CIQ($G659,"IQ_REVENUE_NUM_EST",U$97,Valuation_Date_GC,"CON")</f>
        <v>0</v>
      </c>
      <c r="AB659" s="2301">
        <f>_xll.ciqfunctions.udf.CIQ($G659,"IQ_REVENUE_NUM_EST",V$97,Valuation_Date_GC,"CON")</f>
        <v>0</v>
      </c>
      <c r="AC659" s="2301">
        <f>_xll.ciqfunctions.udf.CIQ($G659,"IQ_REVENUE_NUM_EST",W$97,Valuation_Date_GC,"CON")</f>
        <v>0</v>
      </c>
      <c r="AD659" s="2301">
        <f>_xll.ciqfunctions.udf.CIQ($G659,"IQ_REVENUE_NUM_EST",X$97,Valuation_Date_GC,"CON")</f>
        <v>0</v>
      </c>
      <c r="AE659" s="2301">
        <f>_xll.ciqfunctions.udf.CIQ($G659,"IQ_REVENUE_NUM_EST",Y$97,Valuation_Date_GC,"CON")</f>
        <v>0</v>
      </c>
      <c r="AF659" s="2060"/>
      <c r="AG659" s="2060"/>
      <c r="AH659" s="2060"/>
    </row>
    <row r="660" spans="1:34" s="89" customFormat="1" ht="13.9">
      <c r="A660" s="269" t="str">
        <f t="shared" ref="A660:A683" si="183">IF(F660="--","n","")</f>
        <v>n</v>
      </c>
      <c r="B660" s="2060"/>
      <c r="D660" s="801"/>
      <c r="E660" s="1505">
        <v>2</v>
      </c>
      <c r="F660" s="21" t="str">
        <f>F$130</f>
        <v>--</v>
      </c>
      <c r="G660" s="1441">
        <f>G$130</f>
        <v>0</v>
      </c>
      <c r="H660" s="1441" t="str">
        <f>H$130</f>
        <v>--</v>
      </c>
      <c r="I660" s="1513" t="s">
        <v>810</v>
      </c>
      <c r="J660" s="2301" t="str">
        <f>IF($G660=0,"--",IFERROR(_xll.ciqfunctions.udf.CIQ($G660,$I660,J101,Valuation_Date_GC,ReportType,DataMode,$H660,FXMode)*Scale,"--"))</f>
        <v>--</v>
      </c>
      <c r="K660" s="2301" t="str">
        <f>IF($G660=0,"--",IFERROR(_xll.ciqfunctions.udf.CIQ($G660,$I660,K101,Valuation_Date_GC,ReportType,DataMode,$H660,FXMode)*Scale,"--"))</f>
        <v>--</v>
      </c>
      <c r="L660" s="2301" t="str">
        <f>IF($G660=0,"--",IFERROR(_xll.ciqfunctions.udf.CIQ($G660,$I660,L101,Valuation_Date_GC,ReportType,DataMode,$H660,FXMode)*Scale,"--"))</f>
        <v>--</v>
      </c>
      <c r="M660" s="2301" t="str">
        <f>IF($G660=0,"--",IFERROR(_xll.ciqfunctions.udf.CIQ($G660,$I660,M101,Valuation_Date_GC,ReportType,DataMode,$H660,FXMode)*Scale,"--"))</f>
        <v>--</v>
      </c>
      <c r="N660" s="2301" t="str">
        <f>IF($G660=0,"--",IFERROR(_xll.ciqfunctions.udf.CIQ($G660,$I660,N101,Valuation_Date_GC,ReportType,DataMode,$H660,FXMode)*Scale,"--"))</f>
        <v>--</v>
      </c>
      <c r="O660" s="2317" t="str">
        <f>IF($G660=0,"--",IFERROR(IF(O101=1001,_xll.ciqfunctions.udf.CIQ($G660,$S660,O101,Valuation_Date_GC,ReportType,DataMode,$H660,FXMode),_xll.ciqfunctions.udf.CIQ($G660,$I660,O101,Valuation_Date_GC,ReportType,DataMode,$H660,FXMode))*Scale,"--"))</f>
        <v>--</v>
      </c>
      <c r="P660" s="2301" t="str">
        <f>IF($G660=0,"--",IFERROR(_xll.ciqfunctions.udf.CIQ($G660,$I660,P101,Valuation_Date_GC,ReportType,DataMode,$H660,FXMode)*Scale,"--"))</f>
        <v>--</v>
      </c>
      <c r="R660" s="2301" t="str">
        <f>IF($G660=0,"--",IFERROR(_xll.ciqfunctions.udf.CIQ($G660,$I660,R101,Valuation_Date_GC,ReportType,DataMode,$H660,FXMode)*Scale,"--"))</f>
        <v>--</v>
      </c>
      <c r="S660" s="89" t="s">
        <v>809</v>
      </c>
      <c r="T660" s="2301" t="str">
        <f>IF(H101=0,O660,IF($G660=0,"--",IFERROR(_xll.ciqfunctions.udf.CIQ($G660,$S660,U101-1,Valuation_Date_GC,ReportType,DataMode,$H660)*Scale,"--")))</f>
        <v>--</v>
      </c>
      <c r="U660" s="2301" t="str">
        <f>IF($G660=0,"--",IFERROR(IF(_xll.ciqfunctions.udf.CIQ($G660,$S660,U101,Valuation_Date_GC,ReportType,DataMode,$H660)*Scale=0,"--",_xll.ciqfunctions.udf.CIQ($G660,$S660,U101,Valuation_Date_GC,ReportType,DataMode,$H660)*Scale),"--"))</f>
        <v>--</v>
      </c>
      <c r="V660" s="2301" t="str">
        <f>IF($G660=0,"--",IFERROR(IF(_xll.ciqfunctions.udf.CIQ($G660,$S660,V101,Valuation_Date_GC,ReportType,DataMode,$H660)*Scale=0,"--",_xll.ciqfunctions.udf.CIQ($G660,$S660,V101,Valuation_Date_GC,ReportType,DataMode,$H660)*Scale),"--"))</f>
        <v>--</v>
      </c>
      <c r="W660" s="2301" t="str">
        <f>IF($G660=0,"--",IFERROR(IF(_xll.ciqfunctions.udf.CIQ($G660,$S660,W101,Valuation_Date_GC,ReportType,DataMode,$H660)*Scale=0,"--",_xll.ciqfunctions.udf.CIQ($G660,$S660,W101,Valuation_Date_GC,ReportType,DataMode,$H660)*Scale),"--"))</f>
        <v>--</v>
      </c>
      <c r="X660" s="2301" t="str">
        <f>IF($G660=0,"--",IFERROR(IF(_xll.ciqfunctions.udf.CIQ($G660,$S660,X101,Valuation_Date_GC,ReportType,DataMode,$H660)*Scale=0,"--",_xll.ciqfunctions.udf.CIQ($G660,$S660,X101,Valuation_Date_GC,ReportType,DataMode,$H660)*Scale),"--"))</f>
        <v>--</v>
      </c>
      <c r="Y660" s="2301" t="str">
        <f>IF($G660=0,"--",IFERROR(IF(_xll.ciqfunctions.udf.CIQ($G660,$S660,Y101,Valuation_Date_GC,ReportType,DataMode,$H660)*Scale=0,"--",_xll.ciqfunctions.udf.CIQ($G660,$S660,Y101,Valuation_Date_GC,ReportType,DataMode,$H660)*Scale),"--"))</f>
        <v>--</v>
      </c>
      <c r="Z660" s="2078" t="str">
        <f t="shared" si="182"/>
        <v/>
      </c>
      <c r="AA660" s="2301">
        <f>_xll.ciqfunctions.udf.CIQ($G660,"IQ_REVENUE_NUM_EST",U$97,Valuation_Date_GC,"CON")</f>
        <v>0</v>
      </c>
      <c r="AB660" s="2301">
        <f>_xll.ciqfunctions.udf.CIQ($G660,"IQ_REVENUE_NUM_EST",V$97,Valuation_Date_GC,"CON")</f>
        <v>0</v>
      </c>
      <c r="AC660" s="2301">
        <f>_xll.ciqfunctions.udf.CIQ($G660,"IQ_REVENUE_NUM_EST",W$97,Valuation_Date_GC,"CON")</f>
        <v>0</v>
      </c>
      <c r="AD660" s="2301">
        <f>_xll.ciqfunctions.udf.CIQ($G660,"IQ_REVENUE_NUM_EST",X$97,Valuation_Date_GC,"CON")</f>
        <v>0</v>
      </c>
      <c r="AE660" s="2301">
        <f>_xll.ciqfunctions.udf.CIQ($G660,"IQ_REVENUE_NUM_EST",Y$97,Valuation_Date_GC,"CON")</f>
        <v>0</v>
      </c>
      <c r="AF660" s="2060"/>
      <c r="AG660" s="2060"/>
      <c r="AH660" s="2060"/>
    </row>
    <row r="661" spans="1:34" s="89" customFormat="1" ht="13.9">
      <c r="A661" s="269" t="str">
        <f t="shared" si="183"/>
        <v>n</v>
      </c>
      <c r="B661" s="2060"/>
      <c r="C661" s="72"/>
      <c r="D661" s="801"/>
      <c r="E661" s="1505">
        <v>3</v>
      </c>
      <c r="F661" s="21" t="str">
        <f>F$131</f>
        <v>--</v>
      </c>
      <c r="G661" s="1441">
        <f>G$131</f>
        <v>0</v>
      </c>
      <c r="H661" s="1441" t="str">
        <f>H$131</f>
        <v>--</v>
      </c>
      <c r="I661" s="1513" t="s">
        <v>810</v>
      </c>
      <c r="J661" s="2301" t="str">
        <f>IF($G661=0,"--",IFERROR(_xll.ciqfunctions.udf.CIQ($G661,$I661,J102,Valuation_Date_GC,ReportType,DataMode,$H661,FXMode)*Scale,"--"))</f>
        <v>--</v>
      </c>
      <c r="K661" s="2301" t="str">
        <f>IF($G661=0,"--",IFERROR(_xll.ciqfunctions.udf.CIQ($G661,$I661,K102,Valuation_Date_GC,ReportType,DataMode,$H661,FXMode)*Scale,"--"))</f>
        <v>--</v>
      </c>
      <c r="L661" s="2301" t="str">
        <f>IF($G661=0,"--",IFERROR(_xll.ciqfunctions.udf.CIQ($G661,$I661,L102,Valuation_Date_GC,ReportType,DataMode,$H661,FXMode)*Scale,"--"))</f>
        <v>--</v>
      </c>
      <c r="M661" s="2301" t="str">
        <f>IF($G661=0,"--",IFERROR(_xll.ciqfunctions.udf.CIQ($G661,$I661,M102,Valuation_Date_GC,ReportType,DataMode,$H661,FXMode)*Scale,"--"))</f>
        <v>--</v>
      </c>
      <c r="N661" s="2301" t="str">
        <f>IF($G661=0,"--",IFERROR(_xll.ciqfunctions.udf.CIQ($G661,$I661,N102,Valuation_Date_GC,ReportType,DataMode,$H661,FXMode)*Scale,"--"))</f>
        <v>--</v>
      </c>
      <c r="O661" s="2317" t="str">
        <f>IF($G661=0,"--",IFERROR(IF(O102=1001,_xll.ciqfunctions.udf.CIQ($G661,$S661,O102,Valuation_Date_GC,ReportType,DataMode,$H661,FXMode),_xll.ciqfunctions.udf.CIQ($G661,$I661,O102,Valuation_Date_GC,ReportType,DataMode,$H661,FXMode))*Scale,"--"))</f>
        <v>--</v>
      </c>
      <c r="P661" s="2301" t="str">
        <f>IF($G661=0,"--",IFERROR(_xll.ciqfunctions.udf.CIQ($G661,$I661,P102,Valuation_Date_GC,ReportType,DataMode,$H661,FXMode)*Scale,"--"))</f>
        <v>--</v>
      </c>
      <c r="R661" s="2301" t="str">
        <f>IF($G661=0,"--",IFERROR(_xll.ciqfunctions.udf.CIQ($G661,$I661,R102,Valuation_Date_GC,ReportType,DataMode,$H661,FXMode)*Scale,"--"))</f>
        <v>--</v>
      </c>
      <c r="S661" s="89" t="s">
        <v>809</v>
      </c>
      <c r="T661" s="2301" t="str">
        <f>IF(H102=0,O661,IF($G661=0,"--",IFERROR(_xll.ciqfunctions.udf.CIQ($G661,$S661,U102-1,Valuation_Date_GC,ReportType,DataMode,$H661)*Scale,"--")))</f>
        <v>--</v>
      </c>
      <c r="U661" s="2301" t="str">
        <f>IF($G661=0,"--",IFERROR(IF(_xll.ciqfunctions.udf.CIQ($G661,$S661,U102,Valuation_Date_GC,ReportType,DataMode,$H661)*Scale=0,"--",_xll.ciqfunctions.udf.CIQ($G661,$S661,U102,Valuation_Date_GC,ReportType,DataMode,$H661)*Scale),"--"))</f>
        <v>--</v>
      </c>
      <c r="V661" s="2301" t="str">
        <f>IF($G661=0,"--",IFERROR(IF(_xll.ciqfunctions.udf.CIQ($G661,$S661,V102,Valuation_Date_GC,ReportType,DataMode,$H661)*Scale=0,"--",_xll.ciqfunctions.udf.CIQ($G661,$S661,V102,Valuation_Date_GC,ReportType,DataMode,$H661)*Scale),"--"))</f>
        <v>--</v>
      </c>
      <c r="W661" s="2301" t="str">
        <f>IF($G661=0,"--",IFERROR(IF(_xll.ciqfunctions.udf.CIQ($G661,$S661,W102,Valuation_Date_GC,ReportType,DataMode,$H661)*Scale=0,"--",_xll.ciqfunctions.udf.CIQ($G661,$S661,W102,Valuation_Date_GC,ReportType,DataMode,$H661)*Scale),"--"))</f>
        <v>--</v>
      </c>
      <c r="X661" s="2301" t="str">
        <f>IF($G661=0,"--",IFERROR(IF(_xll.ciqfunctions.udf.CIQ($G661,$S661,X102,Valuation_Date_GC,ReportType,DataMode,$H661)*Scale=0,"--",_xll.ciqfunctions.udf.CIQ($G661,$S661,X102,Valuation_Date_GC,ReportType,DataMode,$H661)*Scale),"--"))</f>
        <v>--</v>
      </c>
      <c r="Y661" s="2301" t="str">
        <f>IF($G661=0,"--",IFERROR(IF(_xll.ciqfunctions.udf.CIQ($G661,$S661,Y102,Valuation_Date_GC,ReportType,DataMode,$H661)*Scale=0,"--",_xll.ciqfunctions.udf.CIQ($G661,$S661,Y102,Valuation_Date_GC,ReportType,DataMode,$H661)*Scale),"--"))</f>
        <v>--</v>
      </c>
      <c r="Z661" s="2078" t="str">
        <f t="shared" si="182"/>
        <v/>
      </c>
      <c r="AA661" s="2301">
        <f>_xll.ciqfunctions.udf.CIQ($G661,"IQ_REVENUE_NUM_EST",U$97,Valuation_Date_GC,"CON")</f>
        <v>0</v>
      </c>
      <c r="AB661" s="2301">
        <f>_xll.ciqfunctions.udf.CIQ($G661,"IQ_REVENUE_NUM_EST",V$97,Valuation_Date_GC,"CON")</f>
        <v>0</v>
      </c>
      <c r="AC661" s="2301">
        <f>_xll.ciqfunctions.udf.CIQ($G661,"IQ_REVENUE_NUM_EST",W$97,Valuation_Date_GC,"CON")</f>
        <v>0</v>
      </c>
      <c r="AD661" s="2301">
        <f>_xll.ciqfunctions.udf.CIQ($G661,"IQ_REVENUE_NUM_EST",X$97,Valuation_Date_GC,"CON")</f>
        <v>0</v>
      </c>
      <c r="AE661" s="2301">
        <f>_xll.ciqfunctions.udf.CIQ($G661,"IQ_REVENUE_NUM_EST",Y$97,Valuation_Date_GC,"CON")</f>
        <v>0</v>
      </c>
      <c r="AF661" s="2060"/>
      <c r="AG661" s="2060"/>
      <c r="AH661" s="2060"/>
    </row>
    <row r="662" spans="1:34" s="89" customFormat="1" ht="13.9">
      <c r="A662" s="269" t="str">
        <f t="shared" si="183"/>
        <v>n</v>
      </c>
      <c r="B662" s="2060"/>
      <c r="C662" s="72"/>
      <c r="D662" s="801"/>
      <c r="E662" s="1505">
        <v>4</v>
      </c>
      <c r="F662" s="21" t="str">
        <f>F$132</f>
        <v>--</v>
      </c>
      <c r="G662" s="1441">
        <f>G$132</f>
        <v>0</v>
      </c>
      <c r="H662" s="1441" t="str">
        <f>H$132</f>
        <v>--</v>
      </c>
      <c r="I662" s="1513" t="s">
        <v>810</v>
      </c>
      <c r="J662" s="2301" t="str">
        <f>IF($G662=0,"--",IFERROR(_xll.ciqfunctions.udf.CIQ($G662,$I662,J103,Valuation_Date_GC,ReportType,DataMode,$H662,FXMode)*Scale,"--"))</f>
        <v>--</v>
      </c>
      <c r="K662" s="2301" t="str">
        <f>IF($G662=0,"--",IFERROR(_xll.ciqfunctions.udf.CIQ($G662,$I662,K103,Valuation_Date_GC,ReportType,DataMode,$H662,FXMode)*Scale,"--"))</f>
        <v>--</v>
      </c>
      <c r="L662" s="2301" t="str">
        <f>IF($G662=0,"--",IFERROR(_xll.ciqfunctions.udf.CIQ($G662,$I662,L103,Valuation_Date_GC,ReportType,DataMode,$H662,FXMode)*Scale,"--"))</f>
        <v>--</v>
      </c>
      <c r="M662" s="2301" t="str">
        <f>IF($G662=0,"--",IFERROR(_xll.ciqfunctions.udf.CIQ($G662,$I662,M103,Valuation_Date_GC,ReportType,DataMode,$H662,FXMode)*Scale,"--"))</f>
        <v>--</v>
      </c>
      <c r="N662" s="2301" t="str">
        <f>IF($G662=0,"--",IFERROR(_xll.ciqfunctions.udf.CIQ($G662,$I662,N103,Valuation_Date_GC,ReportType,DataMode,$H662,FXMode)*Scale,"--"))</f>
        <v>--</v>
      </c>
      <c r="O662" s="2317" t="str">
        <f>IF($G662=0,"--",IFERROR(IF(O103=1001,_xll.ciqfunctions.udf.CIQ($G662,$S662,O103,Valuation_Date_GC,ReportType,DataMode,$H662,FXMode),_xll.ciqfunctions.udf.CIQ($G662,$I662,O103,Valuation_Date_GC,ReportType,DataMode,$H662,FXMode))*Scale,"--"))</f>
        <v>--</v>
      </c>
      <c r="P662" s="2301" t="str">
        <f>IF($G662=0,"--",IFERROR(_xll.ciqfunctions.udf.CIQ($G662,$I662,P103,Valuation_Date_GC,ReportType,DataMode,$H662,FXMode)*Scale,"--"))</f>
        <v>--</v>
      </c>
      <c r="R662" s="2301" t="str">
        <f>IF($G662=0,"--",IFERROR(_xll.ciqfunctions.udf.CIQ($G662,$I662,R103,Valuation_Date_GC,ReportType,DataMode,$H662,FXMode)*Scale,"--"))</f>
        <v>--</v>
      </c>
      <c r="S662" s="89" t="s">
        <v>809</v>
      </c>
      <c r="T662" s="2301" t="str">
        <f>IF(H103=0,O662,IF($G662=0,"--",IFERROR(_xll.ciqfunctions.udf.CIQ($G662,$S662,U103-1,Valuation_Date_GC,ReportType,DataMode,$H662)*Scale,"--")))</f>
        <v>--</v>
      </c>
      <c r="U662" s="2301" t="str">
        <f>IF($G662=0,"--",IFERROR(IF(_xll.ciqfunctions.udf.CIQ($G662,$S662,U103,Valuation_Date_GC,ReportType,DataMode,$H662)*Scale=0,"--",_xll.ciqfunctions.udf.CIQ($G662,$S662,U103,Valuation_Date_GC,ReportType,DataMode,$H662)*Scale),"--"))</f>
        <v>--</v>
      </c>
      <c r="V662" s="2301" t="str">
        <f>IF($G662=0,"--",IFERROR(IF(_xll.ciqfunctions.udf.CIQ($G662,$S662,V103,Valuation_Date_GC,ReportType,DataMode,$H662)*Scale=0,"--",_xll.ciqfunctions.udf.CIQ($G662,$S662,V103,Valuation_Date_GC,ReportType,DataMode,$H662)*Scale),"--"))</f>
        <v>--</v>
      </c>
      <c r="W662" s="2301" t="str">
        <f>IF($G662=0,"--",IFERROR(IF(_xll.ciqfunctions.udf.CIQ($G662,$S662,W103,Valuation_Date_GC,ReportType,DataMode,$H662)*Scale=0,"--",_xll.ciqfunctions.udf.CIQ($G662,$S662,W103,Valuation_Date_GC,ReportType,DataMode,$H662)*Scale),"--"))</f>
        <v>--</v>
      </c>
      <c r="X662" s="2301" t="str">
        <f>IF($G662=0,"--",IFERROR(IF(_xll.ciqfunctions.udf.CIQ($G662,$S662,X103,Valuation_Date_GC,ReportType,DataMode,$H662)*Scale=0,"--",_xll.ciqfunctions.udf.CIQ($G662,$S662,X103,Valuation_Date_GC,ReportType,DataMode,$H662)*Scale),"--"))</f>
        <v>--</v>
      </c>
      <c r="Y662" s="2301" t="str">
        <f>IF($G662=0,"--",IFERROR(IF(_xll.ciqfunctions.udf.CIQ($G662,$S662,Y103,Valuation_Date_GC,ReportType,DataMode,$H662)*Scale=0,"--",_xll.ciqfunctions.udf.CIQ($G662,$S662,Y103,Valuation_Date_GC,ReportType,DataMode,$H662)*Scale),"--"))</f>
        <v>--</v>
      </c>
      <c r="Z662" s="2078" t="str">
        <f t="shared" si="182"/>
        <v/>
      </c>
      <c r="AA662" s="2301">
        <f>_xll.ciqfunctions.udf.CIQ($G662,"IQ_REVENUE_NUM_EST",U$97,Valuation_Date_GC,"CON")</f>
        <v>0</v>
      </c>
      <c r="AB662" s="2301">
        <f>_xll.ciqfunctions.udf.CIQ($G662,"IQ_REVENUE_NUM_EST",V$97,Valuation_Date_GC,"CON")</f>
        <v>0</v>
      </c>
      <c r="AC662" s="2301">
        <f>_xll.ciqfunctions.udf.CIQ($G662,"IQ_REVENUE_NUM_EST",W$97,Valuation_Date_GC,"CON")</f>
        <v>0</v>
      </c>
      <c r="AD662" s="2301">
        <f>_xll.ciqfunctions.udf.CIQ($G662,"IQ_REVENUE_NUM_EST",X$97,Valuation_Date_GC,"CON")</f>
        <v>0</v>
      </c>
      <c r="AE662" s="2301">
        <f>_xll.ciqfunctions.udf.CIQ($G662,"IQ_REVENUE_NUM_EST",Y$97,Valuation_Date_GC,"CON")</f>
        <v>0</v>
      </c>
      <c r="AF662" s="2060"/>
      <c r="AG662" s="2060"/>
      <c r="AH662" s="2060"/>
    </row>
    <row r="663" spans="1:34" s="89" customFormat="1" ht="13.9">
      <c r="A663" s="269" t="str">
        <f t="shared" si="183"/>
        <v>n</v>
      </c>
      <c r="B663" s="2060"/>
      <c r="C663" s="72"/>
      <c r="D663" s="801"/>
      <c r="E663" s="1505">
        <v>5</v>
      </c>
      <c r="F663" s="21" t="str">
        <f>F$133</f>
        <v>--</v>
      </c>
      <c r="G663" s="1441">
        <f>G$133</f>
        <v>0</v>
      </c>
      <c r="H663" s="1441" t="str">
        <f>H$133</f>
        <v>--</v>
      </c>
      <c r="I663" s="1513" t="s">
        <v>810</v>
      </c>
      <c r="J663" s="2301" t="str">
        <f>IF($G663=0,"--",IFERROR(_xll.ciqfunctions.udf.CIQ($G663,$I663,J104,Valuation_Date_GC,ReportType,DataMode,$H663,FXMode)*Scale,"--"))</f>
        <v>--</v>
      </c>
      <c r="K663" s="2301" t="str">
        <f>IF($G663=0,"--",IFERROR(_xll.ciqfunctions.udf.CIQ($G663,$I663,K104,Valuation_Date_GC,ReportType,DataMode,$H663,FXMode)*Scale,"--"))</f>
        <v>--</v>
      </c>
      <c r="L663" s="2301" t="str">
        <f>IF($G663=0,"--",IFERROR(_xll.ciqfunctions.udf.CIQ($G663,$I663,L104,Valuation_Date_GC,ReportType,DataMode,$H663,FXMode)*Scale,"--"))</f>
        <v>--</v>
      </c>
      <c r="M663" s="2301" t="str">
        <f>IF($G663=0,"--",IFERROR(_xll.ciqfunctions.udf.CIQ($G663,$I663,M104,Valuation_Date_GC,ReportType,DataMode,$H663,FXMode)*Scale,"--"))</f>
        <v>--</v>
      </c>
      <c r="N663" s="2301" t="str">
        <f>IF($G663=0,"--",IFERROR(_xll.ciqfunctions.udf.CIQ($G663,$I663,N104,Valuation_Date_GC,ReportType,DataMode,$H663,FXMode)*Scale,"--"))</f>
        <v>--</v>
      </c>
      <c r="O663" s="2317" t="str">
        <f>IF($G663=0,"--",IFERROR(IF(O104=1001,_xll.ciqfunctions.udf.CIQ($G663,$S663,O104,Valuation_Date_GC,ReportType,DataMode,$H663,FXMode),_xll.ciqfunctions.udf.CIQ($G663,$I663,O104,Valuation_Date_GC,ReportType,DataMode,$H663,FXMode))*Scale,"--"))</f>
        <v>--</v>
      </c>
      <c r="P663" s="2301" t="str">
        <f>IF($G663=0,"--",IFERROR(_xll.ciqfunctions.udf.CIQ($G663,$I663,P104,Valuation_Date_GC,ReportType,DataMode,$H663,FXMode)*Scale,"--"))</f>
        <v>--</v>
      </c>
      <c r="R663" s="2301" t="str">
        <f>IF($G663=0,"--",IFERROR(_xll.ciqfunctions.udf.CIQ($G663,$I663,R104,Valuation_Date_GC,ReportType,DataMode,$H663,FXMode)*Scale,"--"))</f>
        <v>--</v>
      </c>
      <c r="S663" s="89" t="s">
        <v>809</v>
      </c>
      <c r="T663" s="2301" t="str">
        <f>IF(H104=0,O663,IF($G663=0,"--",IFERROR(_xll.ciqfunctions.udf.CIQ($G663,$S663,U104-1,Valuation_Date_GC,ReportType,DataMode,$H663)*Scale,"--")))</f>
        <v>--</v>
      </c>
      <c r="U663" s="2301" t="str">
        <f>IF($G663=0,"--",IFERROR(IF(_xll.ciqfunctions.udf.CIQ($G663,$S663,U104,Valuation_Date_GC,ReportType,DataMode,$H663)*Scale=0,"--",_xll.ciqfunctions.udf.CIQ($G663,$S663,U104,Valuation_Date_GC,ReportType,DataMode,$H663)*Scale),"--"))</f>
        <v>--</v>
      </c>
      <c r="V663" s="2301" t="str">
        <f>IF($G663=0,"--",IFERROR(IF(_xll.ciqfunctions.udf.CIQ($G663,$S663,V104,Valuation_Date_GC,ReportType,DataMode,$H663)*Scale=0,"--",_xll.ciqfunctions.udf.CIQ($G663,$S663,V104,Valuation_Date_GC,ReportType,DataMode,$H663)*Scale),"--"))</f>
        <v>--</v>
      </c>
      <c r="W663" s="2301" t="str">
        <f>IF($G663=0,"--",IFERROR(IF(_xll.ciqfunctions.udf.CIQ($G663,$S663,W104,Valuation_Date_GC,ReportType,DataMode,$H663)*Scale=0,"--",_xll.ciqfunctions.udf.CIQ($G663,$S663,W104,Valuation_Date_GC,ReportType,DataMode,$H663)*Scale),"--"))</f>
        <v>--</v>
      </c>
      <c r="X663" s="2301" t="str">
        <f>IF($G663=0,"--",IFERROR(IF(_xll.ciqfunctions.udf.CIQ($G663,$S663,X104,Valuation_Date_GC,ReportType,DataMode,$H663)*Scale=0,"--",_xll.ciqfunctions.udf.CIQ($G663,$S663,X104,Valuation_Date_GC,ReportType,DataMode,$H663)*Scale),"--"))</f>
        <v>--</v>
      </c>
      <c r="Y663" s="2301" t="str">
        <f>IF($G663=0,"--",IFERROR(IF(_xll.ciqfunctions.udf.CIQ($G663,$S663,Y104,Valuation_Date_GC,ReportType,DataMode,$H663)*Scale=0,"--",_xll.ciqfunctions.udf.CIQ($G663,$S663,Y104,Valuation_Date_GC,ReportType,DataMode,$H663)*Scale),"--"))</f>
        <v>--</v>
      </c>
      <c r="Z663" s="2078" t="str">
        <f t="shared" si="182"/>
        <v/>
      </c>
      <c r="AA663" s="2301">
        <f>_xll.ciqfunctions.udf.CIQ($G663,"IQ_REVENUE_NUM_EST",U$97,Valuation_Date_GC,"CON")</f>
        <v>0</v>
      </c>
      <c r="AB663" s="2301">
        <f>_xll.ciqfunctions.udf.CIQ($G663,"IQ_REVENUE_NUM_EST",V$97,Valuation_Date_GC,"CON")</f>
        <v>0</v>
      </c>
      <c r="AC663" s="2301">
        <f>_xll.ciqfunctions.udf.CIQ($G663,"IQ_REVENUE_NUM_EST",W$97,Valuation_Date_GC,"CON")</f>
        <v>0</v>
      </c>
      <c r="AD663" s="2301">
        <f>_xll.ciqfunctions.udf.CIQ($G663,"IQ_REVENUE_NUM_EST",X$97,Valuation_Date_GC,"CON")</f>
        <v>0</v>
      </c>
      <c r="AE663" s="2301">
        <f>_xll.ciqfunctions.udf.CIQ($G663,"IQ_REVENUE_NUM_EST",Y$97,Valuation_Date_GC,"CON")</f>
        <v>0</v>
      </c>
      <c r="AF663" s="2060"/>
      <c r="AG663" s="2060"/>
      <c r="AH663" s="2060"/>
    </row>
    <row r="664" spans="1:34" s="89" customFormat="1" ht="13.9">
      <c r="A664" s="269" t="str">
        <f t="shared" si="183"/>
        <v>n</v>
      </c>
      <c r="B664" s="2060"/>
      <c r="C664" s="72"/>
      <c r="D664" s="801"/>
      <c r="E664" s="1505">
        <v>6</v>
      </c>
      <c r="F664" s="21" t="str">
        <f>F$134</f>
        <v>--</v>
      </c>
      <c r="G664" s="1441">
        <f>G$134</f>
        <v>0</v>
      </c>
      <c r="H664" s="1441" t="str">
        <f>H$134</f>
        <v>--</v>
      </c>
      <c r="I664" s="1513" t="s">
        <v>810</v>
      </c>
      <c r="J664" s="2301" t="str">
        <f>IF($G664=0,"--",IFERROR(_xll.ciqfunctions.udf.CIQ($G664,$I664,J105,Valuation_Date_GC,ReportType,DataMode,$H664,FXMode)*Scale,"--"))</f>
        <v>--</v>
      </c>
      <c r="K664" s="2301" t="str">
        <f>IF($G664=0,"--",IFERROR(_xll.ciqfunctions.udf.CIQ($G664,$I664,K105,Valuation_Date_GC,ReportType,DataMode,$H664,FXMode)*Scale,"--"))</f>
        <v>--</v>
      </c>
      <c r="L664" s="2301" t="str">
        <f>IF($G664=0,"--",IFERROR(_xll.ciqfunctions.udf.CIQ($G664,$I664,L105,Valuation_Date_GC,ReportType,DataMode,$H664,FXMode)*Scale,"--"))</f>
        <v>--</v>
      </c>
      <c r="M664" s="2301" t="str">
        <f>IF($G664=0,"--",IFERROR(_xll.ciqfunctions.udf.CIQ($G664,$I664,M105,Valuation_Date_GC,ReportType,DataMode,$H664,FXMode)*Scale,"--"))</f>
        <v>--</v>
      </c>
      <c r="N664" s="2301" t="str">
        <f>IF($G664=0,"--",IFERROR(_xll.ciqfunctions.udf.CIQ($G664,$I664,N105,Valuation_Date_GC,ReportType,DataMode,$H664,FXMode)*Scale,"--"))</f>
        <v>--</v>
      </c>
      <c r="O664" s="2317" t="str">
        <f>IF($G664=0,"--",IFERROR(IF(O105=1001,_xll.ciqfunctions.udf.CIQ($G664,$S664,O105,Valuation_Date_GC,ReportType,DataMode,$H664,FXMode),_xll.ciqfunctions.udf.CIQ($G664,$I664,O105,Valuation_Date_GC,ReportType,DataMode,$H664,FXMode))*Scale,"--"))</f>
        <v>--</v>
      </c>
      <c r="P664" s="2301" t="str">
        <f>IF($G664=0,"--",IFERROR(_xll.ciqfunctions.udf.CIQ($G664,$I664,P105,Valuation_Date_GC,ReportType,DataMode,$H664,FXMode)*Scale,"--"))</f>
        <v>--</v>
      </c>
      <c r="R664" s="2301" t="str">
        <f>IF($G664=0,"--",IFERROR(_xll.ciqfunctions.udf.CIQ($G664,$I664,R105,Valuation_Date_GC,ReportType,DataMode,$H664,FXMode)*Scale,"--"))</f>
        <v>--</v>
      </c>
      <c r="S664" s="89" t="s">
        <v>809</v>
      </c>
      <c r="T664" s="2301" t="str">
        <f>IF(H105=0,O664,IF($G664=0,"--",IFERROR(_xll.ciqfunctions.udf.CIQ($G664,$S664,U105-1,Valuation_Date_GC,ReportType,DataMode,$H664)*Scale,"--")))</f>
        <v>--</v>
      </c>
      <c r="U664" s="2301" t="str">
        <f>IF($G664=0,"--",IFERROR(IF(_xll.ciqfunctions.udf.CIQ($G664,$S664,U105,Valuation_Date_GC,ReportType,DataMode,$H664)*Scale=0,"--",_xll.ciqfunctions.udf.CIQ($G664,$S664,U105,Valuation_Date_GC,ReportType,DataMode,$H664)*Scale),"--"))</f>
        <v>--</v>
      </c>
      <c r="V664" s="2301" t="str">
        <f>IF($G664=0,"--",IFERROR(IF(_xll.ciqfunctions.udf.CIQ($G664,$S664,V105,Valuation_Date_GC,ReportType,DataMode,$H664)*Scale=0,"--",_xll.ciqfunctions.udf.CIQ($G664,$S664,V105,Valuation_Date_GC,ReportType,DataMode,$H664)*Scale),"--"))</f>
        <v>--</v>
      </c>
      <c r="W664" s="2301" t="str">
        <f>IF($G664=0,"--",IFERROR(IF(_xll.ciqfunctions.udf.CIQ($G664,$S664,W105,Valuation_Date_GC,ReportType,DataMode,$H664)*Scale=0,"--",_xll.ciqfunctions.udf.CIQ($G664,$S664,W105,Valuation_Date_GC,ReportType,DataMode,$H664)*Scale),"--"))</f>
        <v>--</v>
      </c>
      <c r="X664" s="2301" t="str">
        <f>IF($G664=0,"--",IFERROR(IF(_xll.ciqfunctions.udf.CIQ($G664,$S664,X105,Valuation_Date_GC,ReportType,DataMode,$H664)*Scale=0,"--",_xll.ciqfunctions.udf.CIQ($G664,$S664,X105,Valuation_Date_GC,ReportType,DataMode,$H664)*Scale),"--"))</f>
        <v>--</v>
      </c>
      <c r="Y664" s="2301" t="str">
        <f>IF($G664=0,"--",IFERROR(IF(_xll.ciqfunctions.udf.CIQ($G664,$S664,Y105,Valuation_Date_GC,ReportType,DataMode,$H664)*Scale=0,"--",_xll.ciqfunctions.udf.CIQ($G664,$S664,Y105,Valuation_Date_GC,ReportType,DataMode,$H664)*Scale),"--"))</f>
        <v>--</v>
      </c>
      <c r="Z664" s="2078" t="str">
        <f t="shared" si="182"/>
        <v/>
      </c>
      <c r="AA664" s="2301">
        <f>_xll.ciqfunctions.udf.CIQ($G664,"IQ_REVENUE_NUM_EST",U$97,Valuation_Date_GC,"CON")</f>
        <v>0</v>
      </c>
      <c r="AB664" s="2301">
        <f>_xll.ciqfunctions.udf.CIQ($G664,"IQ_REVENUE_NUM_EST",V$97,Valuation_Date_GC,"CON")</f>
        <v>0</v>
      </c>
      <c r="AC664" s="2301">
        <f>_xll.ciqfunctions.udf.CIQ($G664,"IQ_REVENUE_NUM_EST",W$97,Valuation_Date_GC,"CON")</f>
        <v>0</v>
      </c>
      <c r="AD664" s="2301">
        <f>_xll.ciqfunctions.udf.CIQ($G664,"IQ_REVENUE_NUM_EST",X$97,Valuation_Date_GC,"CON")</f>
        <v>0</v>
      </c>
      <c r="AE664" s="2301">
        <f>_xll.ciqfunctions.udf.CIQ($G664,"IQ_REVENUE_NUM_EST",Y$97,Valuation_Date_GC,"CON")</f>
        <v>0</v>
      </c>
      <c r="AF664" s="2060"/>
      <c r="AG664" s="2060"/>
      <c r="AH664" s="2060"/>
    </row>
    <row r="665" spans="1:34" s="89" customFormat="1" ht="13.9">
      <c r="A665" s="269" t="str">
        <f t="shared" si="183"/>
        <v>n</v>
      </c>
      <c r="B665" s="2060"/>
      <c r="D665" s="801"/>
      <c r="E665" s="1505">
        <v>7</v>
      </c>
      <c r="F665" s="21" t="str">
        <f>F$135</f>
        <v>--</v>
      </c>
      <c r="G665" s="1441">
        <f>G$135</f>
        <v>0</v>
      </c>
      <c r="H665" s="1441" t="str">
        <f>H$135</f>
        <v>--</v>
      </c>
      <c r="I665" s="1513" t="s">
        <v>810</v>
      </c>
      <c r="J665" s="2301" t="str">
        <f>IF($G665=0,"--",IFERROR(_xll.ciqfunctions.udf.CIQ($G665,$I665,J106,Valuation_Date_GC,ReportType,DataMode,$H665,FXMode)*Scale,"--"))</f>
        <v>--</v>
      </c>
      <c r="K665" s="2301" t="str">
        <f>IF($G665=0,"--",IFERROR(_xll.ciqfunctions.udf.CIQ($G665,$I665,K106,Valuation_Date_GC,ReportType,DataMode,$H665,FXMode)*Scale,"--"))</f>
        <v>--</v>
      </c>
      <c r="L665" s="2301" t="str">
        <f>IF($G665=0,"--",IFERROR(_xll.ciqfunctions.udf.CIQ($G665,$I665,L106,Valuation_Date_GC,ReportType,DataMode,$H665,FXMode)*Scale,"--"))</f>
        <v>--</v>
      </c>
      <c r="M665" s="2301" t="str">
        <f>IF($G665=0,"--",IFERROR(_xll.ciqfunctions.udf.CIQ($G665,$I665,M106,Valuation_Date_GC,ReportType,DataMode,$H665,FXMode)*Scale,"--"))</f>
        <v>--</v>
      </c>
      <c r="N665" s="2301" t="str">
        <f>IF($G665=0,"--",IFERROR(_xll.ciqfunctions.udf.CIQ($G665,$I665,N106,Valuation_Date_GC,ReportType,DataMode,$H665,FXMode)*Scale,"--"))</f>
        <v>--</v>
      </c>
      <c r="O665" s="2317" t="str">
        <f>IF($G665=0,"--",IFERROR(IF(O106=1001,_xll.ciqfunctions.udf.CIQ($G665,$S665,O106,Valuation_Date_GC,ReportType,DataMode,$H665,FXMode),_xll.ciqfunctions.udf.CIQ($G665,$I665,O106,Valuation_Date_GC,ReportType,DataMode,$H665,FXMode))*Scale,"--"))</f>
        <v>--</v>
      </c>
      <c r="P665" s="2301" t="str">
        <f>IF($G665=0,"--",IFERROR(_xll.ciqfunctions.udf.CIQ($G665,$I665,P106,Valuation_Date_GC,ReportType,DataMode,$H665,FXMode)*Scale,"--"))</f>
        <v>--</v>
      </c>
      <c r="R665" s="2301" t="str">
        <f>IF($G665=0,"--",IFERROR(_xll.ciqfunctions.udf.CIQ($G665,$I665,R106,Valuation_Date_GC,ReportType,DataMode,$H665,FXMode)*Scale,"--"))</f>
        <v>--</v>
      </c>
      <c r="S665" s="89" t="s">
        <v>809</v>
      </c>
      <c r="T665" s="2301" t="str">
        <f>IF(H106=0,O665,IF($G665=0,"--",IFERROR(_xll.ciqfunctions.udf.CIQ($G665,$S665,U106-1,Valuation_Date_GC,ReportType,DataMode,$H665)*Scale,"--")))</f>
        <v>--</v>
      </c>
      <c r="U665" s="2301" t="str">
        <f>IF($G665=0,"--",IFERROR(IF(_xll.ciqfunctions.udf.CIQ($G665,$S665,U106,Valuation_Date_GC,ReportType,DataMode,$H665)*Scale=0,"--",_xll.ciqfunctions.udf.CIQ($G665,$S665,U106,Valuation_Date_GC,ReportType,DataMode,$H665)*Scale),"--"))</f>
        <v>--</v>
      </c>
      <c r="V665" s="2301" t="str">
        <f>IF($G665=0,"--",IFERROR(IF(_xll.ciqfunctions.udf.CIQ($G665,$S665,V106,Valuation_Date_GC,ReportType,DataMode,$H665)*Scale=0,"--",_xll.ciqfunctions.udf.CIQ($G665,$S665,V106,Valuation_Date_GC,ReportType,DataMode,$H665)*Scale),"--"))</f>
        <v>--</v>
      </c>
      <c r="W665" s="2301" t="str">
        <f>IF($G665=0,"--",IFERROR(IF(_xll.ciqfunctions.udf.CIQ($G665,$S665,W106,Valuation_Date_GC,ReportType,DataMode,$H665)*Scale=0,"--",_xll.ciqfunctions.udf.CIQ($G665,$S665,W106,Valuation_Date_GC,ReportType,DataMode,$H665)*Scale),"--"))</f>
        <v>--</v>
      </c>
      <c r="X665" s="2301" t="str">
        <f>IF($G665=0,"--",IFERROR(IF(_xll.ciqfunctions.udf.CIQ($G665,$S665,X106,Valuation_Date_GC,ReportType,DataMode,$H665)*Scale=0,"--",_xll.ciqfunctions.udf.CIQ($G665,$S665,X106,Valuation_Date_GC,ReportType,DataMode,$H665)*Scale),"--"))</f>
        <v>--</v>
      </c>
      <c r="Y665" s="2301" t="str">
        <f>IF($G665=0,"--",IFERROR(IF(_xll.ciqfunctions.udf.CIQ($G665,$S665,Y106,Valuation_Date_GC,ReportType,DataMode,$H665)*Scale=0,"--",_xll.ciqfunctions.udf.CIQ($G665,$S665,Y106,Valuation_Date_GC,ReportType,DataMode,$H665)*Scale),"--"))</f>
        <v>--</v>
      </c>
      <c r="Z665" s="2078" t="str">
        <f t="shared" si="182"/>
        <v/>
      </c>
      <c r="AA665" s="2301">
        <f>_xll.ciqfunctions.udf.CIQ($G665,"IQ_REVENUE_NUM_EST",U$97,Valuation_Date_GC,"CON")</f>
        <v>0</v>
      </c>
      <c r="AB665" s="2301">
        <f>_xll.ciqfunctions.udf.CIQ($G665,"IQ_REVENUE_NUM_EST",V$97,Valuation_Date_GC,"CON")</f>
        <v>0</v>
      </c>
      <c r="AC665" s="2301">
        <f>_xll.ciqfunctions.udf.CIQ($G665,"IQ_REVENUE_NUM_EST",W$97,Valuation_Date_GC,"CON")</f>
        <v>0</v>
      </c>
      <c r="AD665" s="2301">
        <f>_xll.ciqfunctions.udf.CIQ($G665,"IQ_REVENUE_NUM_EST",X$97,Valuation_Date_GC,"CON")</f>
        <v>0</v>
      </c>
      <c r="AE665" s="2301">
        <f>_xll.ciqfunctions.udf.CIQ($G665,"IQ_REVENUE_NUM_EST",Y$97,Valuation_Date_GC,"CON")</f>
        <v>0</v>
      </c>
      <c r="AF665" s="2060"/>
      <c r="AG665" s="2060"/>
      <c r="AH665" s="2060"/>
    </row>
    <row r="666" spans="1:34" s="89" customFormat="1" ht="13.9">
      <c r="A666" s="269" t="str">
        <f t="shared" si="183"/>
        <v>n</v>
      </c>
      <c r="B666" s="2060"/>
      <c r="D666" s="801"/>
      <c r="E666" s="1505">
        <v>8</v>
      </c>
      <c r="F666" s="21" t="str">
        <f>F$136</f>
        <v>--</v>
      </c>
      <c r="G666" s="1441">
        <f>G$136</f>
        <v>0</v>
      </c>
      <c r="H666" s="1441" t="str">
        <f>H$136</f>
        <v>--</v>
      </c>
      <c r="I666" s="1513" t="s">
        <v>810</v>
      </c>
      <c r="J666" s="2301" t="str">
        <f>IF($G666=0,"--",IFERROR(_xll.ciqfunctions.udf.CIQ($G666,$I666,J107,Valuation_Date_GC,ReportType,DataMode,$H666,FXMode)*Scale,"--"))</f>
        <v>--</v>
      </c>
      <c r="K666" s="2301" t="str">
        <f>IF($G666=0,"--",IFERROR(_xll.ciqfunctions.udf.CIQ($G666,$I666,K107,Valuation_Date_GC,ReportType,DataMode,$H666,FXMode)*Scale,"--"))</f>
        <v>--</v>
      </c>
      <c r="L666" s="2301" t="str">
        <f>IF($G666=0,"--",IFERROR(_xll.ciqfunctions.udf.CIQ($G666,$I666,L107,Valuation_Date_GC,ReportType,DataMode,$H666,FXMode)*Scale,"--"))</f>
        <v>--</v>
      </c>
      <c r="M666" s="2301" t="str">
        <f>IF($G666=0,"--",IFERROR(_xll.ciqfunctions.udf.CIQ($G666,$I666,M107,Valuation_Date_GC,ReportType,DataMode,$H666,FXMode)*Scale,"--"))</f>
        <v>--</v>
      </c>
      <c r="N666" s="2301" t="str">
        <f>IF($G666=0,"--",IFERROR(_xll.ciqfunctions.udf.CIQ($G666,$I666,N107,Valuation_Date_GC,ReportType,DataMode,$H666,FXMode)*Scale,"--"))</f>
        <v>--</v>
      </c>
      <c r="O666" s="2317" t="str">
        <f>IF($G666=0,"--",IFERROR(IF(O107=1001,_xll.ciqfunctions.udf.CIQ($G666,$S666,O107,Valuation_Date_GC,ReportType,DataMode,$H666,FXMode),_xll.ciqfunctions.udf.CIQ($G666,$I666,O107,Valuation_Date_GC,ReportType,DataMode,$H666,FXMode))*Scale,"--"))</f>
        <v>--</v>
      </c>
      <c r="P666" s="2301" t="str">
        <f>IF($G666=0,"--",IFERROR(_xll.ciqfunctions.udf.CIQ($G666,$I666,P107,Valuation_Date_GC,ReportType,DataMode,$H666,FXMode)*Scale,"--"))</f>
        <v>--</v>
      </c>
      <c r="R666" s="2301" t="str">
        <f>IF($G666=0,"--",IFERROR(_xll.ciqfunctions.udf.CIQ($G666,$I666,R107,Valuation_Date_GC,ReportType,DataMode,$H666,FXMode)*Scale,"--"))</f>
        <v>--</v>
      </c>
      <c r="S666" s="89" t="s">
        <v>809</v>
      </c>
      <c r="T666" s="2301" t="str">
        <f>IF(H107=0,O666,IF($G666=0,"--",IFERROR(_xll.ciqfunctions.udf.CIQ($G666,$S666,U107-1,Valuation_Date_GC,ReportType,DataMode,$H666)*Scale,"--")))</f>
        <v>--</v>
      </c>
      <c r="U666" s="2301" t="str">
        <f>IF($G666=0,"--",IFERROR(IF(_xll.ciqfunctions.udf.CIQ($G666,$S666,U107,Valuation_Date_GC,ReportType,DataMode,$H666)*Scale=0,"--",_xll.ciqfunctions.udf.CIQ($G666,$S666,U107,Valuation_Date_GC,ReportType,DataMode,$H666)*Scale),"--"))</f>
        <v>--</v>
      </c>
      <c r="V666" s="2301" t="str">
        <f>IF($G666=0,"--",IFERROR(IF(_xll.ciqfunctions.udf.CIQ($G666,$S666,V107,Valuation_Date_GC,ReportType,DataMode,$H666)*Scale=0,"--",_xll.ciqfunctions.udf.CIQ($G666,$S666,V107,Valuation_Date_GC,ReportType,DataMode,$H666)*Scale),"--"))</f>
        <v>--</v>
      </c>
      <c r="W666" s="2301" t="str">
        <f>IF($G666=0,"--",IFERROR(IF(_xll.ciqfunctions.udf.CIQ($G666,$S666,W107,Valuation_Date_GC,ReportType,DataMode,$H666)*Scale=0,"--",_xll.ciqfunctions.udf.CIQ($G666,$S666,W107,Valuation_Date_GC,ReportType,DataMode,$H666)*Scale),"--"))</f>
        <v>--</v>
      </c>
      <c r="X666" s="2301" t="str">
        <f>IF($G666=0,"--",IFERROR(IF(_xll.ciqfunctions.udf.CIQ($G666,$S666,X107,Valuation_Date_GC,ReportType,DataMode,$H666)*Scale=0,"--",_xll.ciqfunctions.udf.CIQ($G666,$S666,X107,Valuation_Date_GC,ReportType,DataMode,$H666)*Scale),"--"))</f>
        <v>--</v>
      </c>
      <c r="Y666" s="2301" t="str">
        <f>IF($G666=0,"--",IFERROR(IF(_xll.ciqfunctions.udf.CIQ($G666,$S666,Y107,Valuation_Date_GC,ReportType,DataMode,$H666)*Scale=0,"--",_xll.ciqfunctions.udf.CIQ($G666,$S666,Y107,Valuation_Date_GC,ReportType,DataMode,$H666)*Scale),"--"))</f>
        <v>--</v>
      </c>
      <c r="Z666" s="2078" t="str">
        <f t="shared" si="182"/>
        <v/>
      </c>
      <c r="AA666" s="2301">
        <f>_xll.ciqfunctions.udf.CIQ($G666,"IQ_REVENUE_NUM_EST",U$97,Valuation_Date_GC,"CON")</f>
        <v>0</v>
      </c>
      <c r="AB666" s="2301">
        <f>_xll.ciqfunctions.udf.CIQ($G666,"IQ_REVENUE_NUM_EST",V$97,Valuation_Date_GC,"CON")</f>
        <v>0</v>
      </c>
      <c r="AC666" s="2301">
        <f>_xll.ciqfunctions.udf.CIQ($G666,"IQ_REVENUE_NUM_EST",W$97,Valuation_Date_GC,"CON")</f>
        <v>0</v>
      </c>
      <c r="AD666" s="2301">
        <f>_xll.ciqfunctions.udf.CIQ($G666,"IQ_REVENUE_NUM_EST",X$97,Valuation_Date_GC,"CON")</f>
        <v>0</v>
      </c>
      <c r="AE666" s="2301">
        <f>_xll.ciqfunctions.udf.CIQ($G666,"IQ_REVENUE_NUM_EST",Y$97,Valuation_Date_GC,"CON")</f>
        <v>0</v>
      </c>
      <c r="AF666" s="2060"/>
      <c r="AG666" s="2060"/>
      <c r="AH666" s="2060"/>
    </row>
    <row r="667" spans="1:34" s="89" customFormat="1" ht="13.9">
      <c r="A667" s="269" t="str">
        <f t="shared" si="183"/>
        <v>n</v>
      </c>
      <c r="B667" s="2060"/>
      <c r="D667" s="801"/>
      <c r="E667" s="1505">
        <v>9</v>
      </c>
      <c r="F667" s="21" t="str">
        <f>F$137</f>
        <v>--</v>
      </c>
      <c r="G667" s="1441">
        <f>G$137</f>
        <v>0</v>
      </c>
      <c r="H667" s="1441" t="str">
        <f>H$137</f>
        <v>--</v>
      </c>
      <c r="I667" s="1513" t="s">
        <v>810</v>
      </c>
      <c r="J667" s="2301" t="str">
        <f>IF($G667=0,"--",IFERROR(_xll.ciqfunctions.udf.CIQ($G667,$I667,J108,Valuation_Date_GC,ReportType,DataMode,$H667,FXMode)*Scale,"--"))</f>
        <v>--</v>
      </c>
      <c r="K667" s="2301" t="str">
        <f>IF($G667=0,"--",IFERROR(_xll.ciqfunctions.udf.CIQ($G667,$I667,K108,Valuation_Date_GC,ReportType,DataMode,$H667,FXMode)*Scale,"--"))</f>
        <v>--</v>
      </c>
      <c r="L667" s="2301" t="str">
        <f>IF($G667=0,"--",IFERROR(_xll.ciqfunctions.udf.CIQ($G667,$I667,L108,Valuation_Date_GC,ReportType,DataMode,$H667,FXMode)*Scale,"--"))</f>
        <v>--</v>
      </c>
      <c r="M667" s="2301" t="str">
        <f>IF($G667=0,"--",IFERROR(_xll.ciqfunctions.udf.CIQ($G667,$I667,M108,Valuation_Date_GC,ReportType,DataMode,$H667,FXMode)*Scale,"--"))</f>
        <v>--</v>
      </c>
      <c r="N667" s="2301" t="str">
        <f>IF($G667=0,"--",IFERROR(_xll.ciqfunctions.udf.CIQ($G667,$I667,N108,Valuation_Date_GC,ReportType,DataMode,$H667,FXMode)*Scale,"--"))</f>
        <v>--</v>
      </c>
      <c r="O667" s="2317" t="str">
        <f>IF($G667=0,"--",IFERROR(IF(O108=1001,_xll.ciqfunctions.udf.CIQ($G667,$S667,O108,Valuation_Date_GC,ReportType,DataMode,$H667,FXMode),_xll.ciqfunctions.udf.CIQ($G667,$I667,O108,Valuation_Date_GC,ReportType,DataMode,$H667,FXMode))*Scale,"--"))</f>
        <v>--</v>
      </c>
      <c r="P667" s="2301" t="str">
        <f>IF($G667=0,"--",IFERROR(_xll.ciqfunctions.udf.CIQ($G667,$I667,P108,Valuation_Date_GC,ReportType,DataMode,$H667,FXMode)*Scale,"--"))</f>
        <v>--</v>
      </c>
      <c r="R667" s="2301" t="str">
        <f>IF($G667=0,"--",IFERROR(_xll.ciqfunctions.udf.CIQ($G667,$I667,R108,Valuation_Date_GC,ReportType,DataMode,$H667,FXMode)*Scale,"--"))</f>
        <v>--</v>
      </c>
      <c r="S667" s="89" t="s">
        <v>809</v>
      </c>
      <c r="T667" s="2301" t="str">
        <f>IF(H108=0,O667,IF($G667=0,"--",IFERROR(_xll.ciqfunctions.udf.CIQ($G667,$S667,U108-1,Valuation_Date_GC,ReportType,DataMode,$H667)*Scale,"--")))</f>
        <v>--</v>
      </c>
      <c r="U667" s="2301" t="str">
        <f>IF($G667=0,"--",IFERROR(IF(_xll.ciqfunctions.udf.CIQ($G667,$S667,U108,Valuation_Date_GC,ReportType,DataMode,$H667)*Scale=0,"--",_xll.ciqfunctions.udf.CIQ($G667,$S667,U108,Valuation_Date_GC,ReportType,DataMode,$H667)*Scale),"--"))</f>
        <v>--</v>
      </c>
      <c r="V667" s="2301" t="str">
        <f>IF($G667=0,"--",IFERROR(IF(_xll.ciqfunctions.udf.CIQ($G667,$S667,V108,Valuation_Date_GC,ReportType,DataMode,$H667)*Scale=0,"--",_xll.ciqfunctions.udf.CIQ($G667,$S667,V108,Valuation_Date_GC,ReportType,DataMode,$H667)*Scale),"--"))</f>
        <v>--</v>
      </c>
      <c r="W667" s="2301" t="str">
        <f>IF($G667=0,"--",IFERROR(IF(_xll.ciqfunctions.udf.CIQ($G667,$S667,W108,Valuation_Date_GC,ReportType,DataMode,$H667)*Scale=0,"--",_xll.ciqfunctions.udf.CIQ($G667,$S667,W108,Valuation_Date_GC,ReportType,DataMode,$H667)*Scale),"--"))</f>
        <v>--</v>
      </c>
      <c r="X667" s="2301" t="str">
        <f>IF($G667=0,"--",IFERROR(IF(_xll.ciqfunctions.udf.CIQ($G667,$S667,X108,Valuation_Date_GC,ReportType,DataMode,$H667)*Scale=0,"--",_xll.ciqfunctions.udf.CIQ($G667,$S667,X108,Valuation_Date_GC,ReportType,DataMode,$H667)*Scale),"--"))</f>
        <v>--</v>
      </c>
      <c r="Y667" s="2301" t="str">
        <f>IF($G667=0,"--",IFERROR(IF(_xll.ciqfunctions.udf.CIQ($G667,$S667,Y108,Valuation_Date_GC,ReportType,DataMode,$H667)*Scale=0,"--",_xll.ciqfunctions.udf.CIQ($G667,$S667,Y108,Valuation_Date_GC,ReportType,DataMode,$H667)*Scale),"--"))</f>
        <v>--</v>
      </c>
      <c r="Z667" s="2078" t="str">
        <f t="shared" si="182"/>
        <v/>
      </c>
      <c r="AA667" s="2301">
        <f>_xll.ciqfunctions.udf.CIQ($G667,"IQ_REVENUE_NUM_EST",U$97,Valuation_Date_GC,"CON")</f>
        <v>0</v>
      </c>
      <c r="AB667" s="2301">
        <f>_xll.ciqfunctions.udf.CIQ($G667,"IQ_REVENUE_NUM_EST",V$97,Valuation_Date_GC,"CON")</f>
        <v>0</v>
      </c>
      <c r="AC667" s="2301">
        <f>_xll.ciqfunctions.udf.CIQ($G667,"IQ_REVENUE_NUM_EST",W$97,Valuation_Date_GC,"CON")</f>
        <v>0</v>
      </c>
      <c r="AD667" s="2301">
        <f>_xll.ciqfunctions.udf.CIQ($G667,"IQ_REVENUE_NUM_EST",X$97,Valuation_Date_GC,"CON")</f>
        <v>0</v>
      </c>
      <c r="AE667" s="2301">
        <f>_xll.ciqfunctions.udf.CIQ($G667,"IQ_REVENUE_NUM_EST",Y$97,Valuation_Date_GC,"CON")</f>
        <v>0</v>
      </c>
      <c r="AF667" s="2060"/>
      <c r="AG667" s="2060"/>
      <c r="AH667" s="2060"/>
    </row>
    <row r="668" spans="1:34" s="89" customFormat="1" ht="13.9">
      <c r="A668" s="269" t="str">
        <f t="shared" si="183"/>
        <v>n</v>
      </c>
      <c r="B668" s="2060"/>
      <c r="D668" s="801"/>
      <c r="E668" s="1505">
        <v>10</v>
      </c>
      <c r="F668" s="21" t="str">
        <f>F$138</f>
        <v>--</v>
      </c>
      <c r="G668" s="1441">
        <f>G$138</f>
        <v>0</v>
      </c>
      <c r="H668" s="1441" t="str">
        <f>H$138</f>
        <v>--</v>
      </c>
      <c r="I668" s="1513" t="s">
        <v>810</v>
      </c>
      <c r="J668" s="2301" t="str">
        <f>IF($G668=0,"--",IFERROR(_xll.ciqfunctions.udf.CIQ($G668,$I668,J109,Valuation_Date_GC,ReportType,DataMode,$H668,FXMode)*Scale,"--"))</f>
        <v>--</v>
      </c>
      <c r="K668" s="2301" t="str">
        <f>IF($G668=0,"--",IFERROR(_xll.ciqfunctions.udf.CIQ($G668,$I668,K109,Valuation_Date_GC,ReportType,DataMode,$H668,FXMode)*Scale,"--"))</f>
        <v>--</v>
      </c>
      <c r="L668" s="2301" t="str">
        <f>IF($G668=0,"--",IFERROR(_xll.ciqfunctions.udf.CIQ($G668,$I668,L109,Valuation_Date_GC,ReportType,DataMode,$H668,FXMode)*Scale,"--"))</f>
        <v>--</v>
      </c>
      <c r="M668" s="2301" t="str">
        <f>IF($G668=0,"--",IFERROR(_xll.ciqfunctions.udf.CIQ($G668,$I668,M109,Valuation_Date_GC,ReportType,DataMode,$H668,FXMode)*Scale,"--"))</f>
        <v>--</v>
      </c>
      <c r="N668" s="2301" t="str">
        <f>IF($G668=0,"--",IFERROR(_xll.ciqfunctions.udf.CIQ($G668,$I668,N109,Valuation_Date_GC,ReportType,DataMode,$H668,FXMode)*Scale,"--"))</f>
        <v>--</v>
      </c>
      <c r="O668" s="2317" t="str">
        <f>IF($G668=0,"--",IFERROR(IF(O109=1001,_xll.ciqfunctions.udf.CIQ($G668,$S668,O109,Valuation_Date_GC,ReportType,DataMode,$H668,FXMode),_xll.ciqfunctions.udf.CIQ($G668,$I668,O109,Valuation_Date_GC,ReportType,DataMode,$H668,FXMode))*Scale,"--"))</f>
        <v>--</v>
      </c>
      <c r="P668" s="2301" t="str">
        <f>IF($G668=0,"--",IFERROR(_xll.ciqfunctions.udf.CIQ($G668,$I668,P109,Valuation_Date_GC,ReportType,DataMode,$H668,FXMode)*Scale,"--"))</f>
        <v>--</v>
      </c>
      <c r="R668" s="2301" t="str">
        <f>IF($G668=0,"--",IFERROR(_xll.ciqfunctions.udf.CIQ($G668,$I668,R109,Valuation_Date_GC,ReportType,DataMode,$H668,FXMode)*Scale,"--"))</f>
        <v>--</v>
      </c>
      <c r="S668" s="89" t="s">
        <v>809</v>
      </c>
      <c r="T668" s="2301" t="str">
        <f>IF(H109=0,O668,IF($G668=0,"--",IFERROR(_xll.ciqfunctions.udf.CIQ($G668,$S668,U109-1,Valuation_Date_GC,ReportType,DataMode,$H668)*Scale,"--")))</f>
        <v>--</v>
      </c>
      <c r="U668" s="2301" t="str">
        <f>IF($G668=0,"--",IFERROR(IF(_xll.ciqfunctions.udf.CIQ($G668,$S668,U109,Valuation_Date_GC,ReportType,DataMode,$H668)*Scale=0,"--",_xll.ciqfunctions.udf.CIQ($G668,$S668,U109,Valuation_Date_GC,ReportType,DataMode,$H668)*Scale),"--"))</f>
        <v>--</v>
      </c>
      <c r="V668" s="2301" t="str">
        <f>IF($G668=0,"--",IFERROR(IF(_xll.ciqfunctions.udf.CIQ($G668,$S668,V109,Valuation_Date_GC,ReportType,DataMode,$H668)*Scale=0,"--",_xll.ciqfunctions.udf.CIQ($G668,$S668,V109,Valuation_Date_GC,ReportType,DataMode,$H668)*Scale),"--"))</f>
        <v>--</v>
      </c>
      <c r="W668" s="2301" t="str">
        <f>IF($G668=0,"--",IFERROR(IF(_xll.ciqfunctions.udf.CIQ($G668,$S668,W109,Valuation_Date_GC,ReportType,DataMode,$H668)*Scale=0,"--",_xll.ciqfunctions.udf.CIQ($G668,$S668,W109,Valuation_Date_GC,ReportType,DataMode,$H668)*Scale),"--"))</f>
        <v>--</v>
      </c>
      <c r="X668" s="2301" t="str">
        <f>IF($G668=0,"--",IFERROR(IF(_xll.ciqfunctions.udf.CIQ($G668,$S668,X109,Valuation_Date_GC,ReportType,DataMode,$H668)*Scale=0,"--",_xll.ciqfunctions.udf.CIQ($G668,$S668,X109,Valuation_Date_GC,ReportType,DataMode,$H668)*Scale),"--"))</f>
        <v>--</v>
      </c>
      <c r="Y668" s="2301" t="str">
        <f>IF($G668=0,"--",IFERROR(IF(_xll.ciqfunctions.udf.CIQ($G668,$S668,Y109,Valuation_Date_GC,ReportType,DataMode,$H668)*Scale=0,"--",_xll.ciqfunctions.udf.CIQ($G668,$S668,Y109,Valuation_Date_GC,ReportType,DataMode,$H668)*Scale),"--"))</f>
        <v>--</v>
      </c>
      <c r="Z668" s="2078" t="str">
        <f t="shared" si="182"/>
        <v/>
      </c>
      <c r="AA668" s="2301">
        <f>_xll.ciqfunctions.udf.CIQ($G668,"IQ_REVENUE_NUM_EST",U$97,Valuation_Date_GC,"CON")</f>
        <v>0</v>
      </c>
      <c r="AB668" s="2301">
        <f>_xll.ciqfunctions.udf.CIQ($G668,"IQ_REVENUE_NUM_EST",V$97,Valuation_Date_GC,"CON")</f>
        <v>0</v>
      </c>
      <c r="AC668" s="2301">
        <f>_xll.ciqfunctions.udf.CIQ($G668,"IQ_REVENUE_NUM_EST",W$97,Valuation_Date_GC,"CON")</f>
        <v>0</v>
      </c>
      <c r="AD668" s="2301">
        <f>_xll.ciqfunctions.udf.CIQ($G668,"IQ_REVENUE_NUM_EST",X$97,Valuation_Date_GC,"CON")</f>
        <v>0</v>
      </c>
      <c r="AE668" s="2301">
        <f>_xll.ciqfunctions.udf.CIQ($G668,"IQ_REVENUE_NUM_EST",Y$97,Valuation_Date_GC,"CON")</f>
        <v>0</v>
      </c>
      <c r="AF668" s="2060"/>
      <c r="AG668" s="2060"/>
      <c r="AH668" s="2060"/>
    </row>
    <row r="669" spans="1:34" s="89" customFormat="1" ht="13.9">
      <c r="A669" s="269" t="str">
        <f t="shared" si="183"/>
        <v>n</v>
      </c>
      <c r="B669" s="2060"/>
      <c r="D669" s="801"/>
      <c r="E669" s="1505">
        <v>11</v>
      </c>
      <c r="F669" s="21" t="str">
        <f>F$139</f>
        <v>--</v>
      </c>
      <c r="G669" s="1441">
        <f>G$139</f>
        <v>0</v>
      </c>
      <c r="H669" s="1441" t="str">
        <f>H$139</f>
        <v>--</v>
      </c>
      <c r="I669" s="1513" t="s">
        <v>810</v>
      </c>
      <c r="J669" s="2301" t="str">
        <f>IF($G669=0,"--",IFERROR(_xll.ciqfunctions.udf.CIQ($G669,$I669,J110,Valuation_Date_GC,ReportType,DataMode,$H669,FXMode)*Scale,"--"))</f>
        <v>--</v>
      </c>
      <c r="K669" s="2301" t="str">
        <f>IF($G669=0,"--",IFERROR(_xll.ciqfunctions.udf.CIQ($G669,$I669,K110,Valuation_Date_GC,ReportType,DataMode,$H669,FXMode)*Scale,"--"))</f>
        <v>--</v>
      </c>
      <c r="L669" s="2301" t="str">
        <f>IF($G669=0,"--",IFERROR(_xll.ciqfunctions.udf.CIQ($G669,$I669,L110,Valuation_Date_GC,ReportType,DataMode,$H669,FXMode)*Scale,"--"))</f>
        <v>--</v>
      </c>
      <c r="M669" s="2301" t="str">
        <f>IF($G669=0,"--",IFERROR(_xll.ciqfunctions.udf.CIQ($G669,$I669,M110,Valuation_Date_GC,ReportType,DataMode,$H669,FXMode)*Scale,"--"))</f>
        <v>--</v>
      </c>
      <c r="N669" s="2301" t="str">
        <f>IF($G669=0,"--",IFERROR(_xll.ciqfunctions.udf.CIQ($G669,$I669,N110,Valuation_Date_GC,ReportType,DataMode,$H669,FXMode)*Scale,"--"))</f>
        <v>--</v>
      </c>
      <c r="O669" s="2317" t="str">
        <f>IF($G669=0,"--",IFERROR(IF(O110=1001,_xll.ciqfunctions.udf.CIQ($G669,$S669,O110,Valuation_Date_GC,ReportType,DataMode,$H669,FXMode),_xll.ciqfunctions.udf.CIQ($G669,$I669,O110,Valuation_Date_GC,ReportType,DataMode,$H669,FXMode))*Scale,"--"))</f>
        <v>--</v>
      </c>
      <c r="P669" s="2301" t="str">
        <f>IF($G669=0,"--",IFERROR(_xll.ciqfunctions.udf.CIQ($G669,$I669,P110,Valuation_Date_GC,ReportType,DataMode,$H669,FXMode)*Scale,"--"))</f>
        <v>--</v>
      </c>
      <c r="R669" s="2301" t="str">
        <f>IF($G669=0,"--",IFERROR(_xll.ciqfunctions.udf.CIQ($G669,$I669,R110,Valuation_Date_GC,ReportType,DataMode,$H669,FXMode)*Scale,"--"))</f>
        <v>--</v>
      </c>
      <c r="S669" s="89" t="s">
        <v>809</v>
      </c>
      <c r="T669" s="2301" t="str">
        <f>IF(H110=0,O669,IF($G669=0,"--",IFERROR(_xll.ciqfunctions.udf.CIQ($G669,$S669,U110-1,Valuation_Date_GC,ReportType,DataMode,$H669)*Scale,"--")))</f>
        <v>--</v>
      </c>
      <c r="U669" s="2301" t="str">
        <f>IF($G669=0,"--",IFERROR(IF(_xll.ciqfunctions.udf.CIQ($G669,$S669,U110,Valuation_Date_GC,ReportType,DataMode,$H669)*Scale=0,"--",_xll.ciqfunctions.udf.CIQ($G669,$S669,U110,Valuation_Date_GC,ReportType,DataMode,$H669)*Scale),"--"))</f>
        <v>--</v>
      </c>
      <c r="V669" s="2301" t="str">
        <f>IF($G669=0,"--",IFERROR(IF(_xll.ciqfunctions.udf.CIQ($G669,$S669,V110,Valuation_Date_GC,ReportType,DataMode,$H669)*Scale=0,"--",_xll.ciqfunctions.udf.CIQ($G669,$S669,V110,Valuation_Date_GC,ReportType,DataMode,$H669)*Scale),"--"))</f>
        <v>--</v>
      </c>
      <c r="W669" s="2301" t="str">
        <f>IF($G669=0,"--",IFERROR(IF(_xll.ciqfunctions.udf.CIQ($G669,$S669,W110,Valuation_Date_GC,ReportType,DataMode,$H669)*Scale=0,"--",_xll.ciqfunctions.udf.CIQ($G669,$S669,W110,Valuation_Date_GC,ReportType,DataMode,$H669)*Scale),"--"))</f>
        <v>--</v>
      </c>
      <c r="X669" s="2301" t="str">
        <f>IF($G669=0,"--",IFERROR(IF(_xll.ciqfunctions.udf.CIQ($G669,$S669,X110,Valuation_Date_GC,ReportType,DataMode,$H669)*Scale=0,"--",_xll.ciqfunctions.udf.CIQ($G669,$S669,X110,Valuation_Date_GC,ReportType,DataMode,$H669)*Scale),"--"))</f>
        <v>--</v>
      </c>
      <c r="Y669" s="2301" t="str">
        <f>IF($G669=0,"--",IFERROR(IF(_xll.ciqfunctions.udf.CIQ($G669,$S669,Y110,Valuation_Date_GC,ReportType,DataMode,$H669)*Scale=0,"--",_xll.ciqfunctions.udf.CIQ($G669,$S669,Y110,Valuation_Date_GC,ReportType,DataMode,$H669)*Scale),"--"))</f>
        <v>--</v>
      </c>
      <c r="Z669" s="2078" t="str">
        <f t="shared" si="182"/>
        <v/>
      </c>
      <c r="AA669" s="2301">
        <f>_xll.ciqfunctions.udf.CIQ($G669,"IQ_REVENUE_NUM_EST",U$97,Valuation_Date_GC,"CON")</f>
        <v>0</v>
      </c>
      <c r="AB669" s="2301">
        <f>_xll.ciqfunctions.udf.CIQ($G669,"IQ_REVENUE_NUM_EST",V$97,Valuation_Date_GC,"CON")</f>
        <v>0</v>
      </c>
      <c r="AC669" s="2301">
        <f>_xll.ciqfunctions.udf.CIQ($G669,"IQ_REVENUE_NUM_EST",W$97,Valuation_Date_GC,"CON")</f>
        <v>0</v>
      </c>
      <c r="AD669" s="2301">
        <f>_xll.ciqfunctions.udf.CIQ($G669,"IQ_REVENUE_NUM_EST",X$97,Valuation_Date_GC,"CON")</f>
        <v>0</v>
      </c>
      <c r="AE669" s="2301">
        <f>_xll.ciqfunctions.udf.CIQ($G669,"IQ_REVENUE_NUM_EST",Y$97,Valuation_Date_GC,"CON")</f>
        <v>0</v>
      </c>
      <c r="AF669" s="2060"/>
      <c r="AG669" s="2060"/>
      <c r="AH669" s="2060"/>
    </row>
    <row r="670" spans="1:34" s="89" customFormat="1" ht="13.9">
      <c r="A670" s="269" t="str">
        <f t="shared" si="183"/>
        <v>n</v>
      </c>
      <c r="B670" s="2060"/>
      <c r="D670" s="801"/>
      <c r="E670" s="1505">
        <v>12</v>
      </c>
      <c r="F670" s="21" t="str">
        <f>F$140</f>
        <v>--</v>
      </c>
      <c r="G670" s="1441">
        <f>G$140</f>
        <v>0</v>
      </c>
      <c r="H670" s="1441" t="str">
        <f>H$140</f>
        <v>--</v>
      </c>
      <c r="I670" s="1513" t="s">
        <v>810</v>
      </c>
      <c r="J670" s="2301" t="str">
        <f>IF($G670=0,"--",IFERROR(_xll.ciqfunctions.udf.CIQ($G670,$I670,J111,Valuation_Date_GC,ReportType,DataMode,$H670,FXMode)*Scale,"--"))</f>
        <v>--</v>
      </c>
      <c r="K670" s="2301" t="str">
        <f>IF($G670=0,"--",IFERROR(_xll.ciqfunctions.udf.CIQ($G670,$I670,K111,Valuation_Date_GC,ReportType,DataMode,$H670,FXMode)*Scale,"--"))</f>
        <v>--</v>
      </c>
      <c r="L670" s="2301" t="str">
        <f>IF($G670=0,"--",IFERROR(_xll.ciqfunctions.udf.CIQ($G670,$I670,L111,Valuation_Date_GC,ReportType,DataMode,$H670,FXMode)*Scale,"--"))</f>
        <v>--</v>
      </c>
      <c r="M670" s="2301" t="str">
        <f>IF($G670=0,"--",IFERROR(_xll.ciqfunctions.udf.CIQ($G670,$I670,M111,Valuation_Date_GC,ReportType,DataMode,$H670,FXMode)*Scale,"--"))</f>
        <v>--</v>
      </c>
      <c r="N670" s="2301" t="str">
        <f>IF($G670=0,"--",IFERROR(_xll.ciqfunctions.udf.CIQ($G670,$I670,N111,Valuation_Date_GC,ReportType,DataMode,$H670,FXMode)*Scale,"--"))</f>
        <v>--</v>
      </c>
      <c r="O670" s="2317" t="str">
        <f>IF($G670=0,"--",IFERROR(IF(O111=1001,_xll.ciqfunctions.udf.CIQ($G670,$S670,O111,Valuation_Date_GC,ReportType,DataMode,$H670,FXMode),_xll.ciqfunctions.udf.CIQ($G670,$I670,O111,Valuation_Date_GC,ReportType,DataMode,$H670,FXMode))*Scale,"--"))</f>
        <v>--</v>
      </c>
      <c r="P670" s="2301" t="str">
        <f>IF($G670=0,"--",IFERROR(_xll.ciqfunctions.udf.CIQ($G670,$I670,P111,Valuation_Date_GC,ReportType,DataMode,$H670,FXMode)*Scale,"--"))</f>
        <v>--</v>
      </c>
      <c r="R670" s="2301" t="str">
        <f>IF($G670=0,"--",IFERROR(_xll.ciqfunctions.udf.CIQ($G670,$I670,R111,Valuation_Date_GC,ReportType,DataMode,$H670,FXMode)*Scale,"--"))</f>
        <v>--</v>
      </c>
      <c r="S670" s="89" t="s">
        <v>809</v>
      </c>
      <c r="T670" s="2301" t="str">
        <f>IF(H111=0,O670,IF($G670=0,"--",IFERROR(_xll.ciqfunctions.udf.CIQ($G670,$S670,U111-1,Valuation_Date_GC,ReportType,DataMode,$H670)*Scale,"--")))</f>
        <v>--</v>
      </c>
      <c r="U670" s="2301" t="str">
        <f>IF($G670=0,"--",IFERROR(IF(_xll.ciqfunctions.udf.CIQ($G670,$S670,U111,Valuation_Date_GC,ReportType,DataMode,$H670)*Scale=0,"--",_xll.ciqfunctions.udf.CIQ($G670,$S670,U111,Valuation_Date_GC,ReportType,DataMode,$H670)*Scale),"--"))</f>
        <v>--</v>
      </c>
      <c r="V670" s="2301" t="str">
        <f>IF($G670=0,"--",IFERROR(IF(_xll.ciqfunctions.udf.CIQ($G670,$S670,V111,Valuation_Date_GC,ReportType,DataMode,$H670)*Scale=0,"--",_xll.ciqfunctions.udf.CIQ($G670,$S670,V111,Valuation_Date_GC,ReportType,DataMode,$H670)*Scale),"--"))</f>
        <v>--</v>
      </c>
      <c r="W670" s="2301" t="str">
        <f>IF($G670=0,"--",IFERROR(IF(_xll.ciqfunctions.udf.CIQ($G670,$S670,W111,Valuation_Date_GC,ReportType,DataMode,$H670)*Scale=0,"--",_xll.ciqfunctions.udf.CIQ($G670,$S670,W111,Valuation_Date_GC,ReportType,DataMode,$H670)*Scale),"--"))</f>
        <v>--</v>
      </c>
      <c r="X670" s="2301" t="str">
        <f>IF($G670=0,"--",IFERROR(IF(_xll.ciqfunctions.udf.CIQ($G670,$S670,X111,Valuation_Date_GC,ReportType,DataMode,$H670)*Scale=0,"--",_xll.ciqfunctions.udf.CIQ($G670,$S670,X111,Valuation_Date_GC,ReportType,DataMode,$H670)*Scale),"--"))</f>
        <v>--</v>
      </c>
      <c r="Y670" s="2301" t="str">
        <f>IF($G670=0,"--",IFERROR(IF(_xll.ciqfunctions.udf.CIQ($G670,$S670,Y111,Valuation_Date_GC,ReportType,DataMode,$H670)*Scale=0,"--",_xll.ciqfunctions.udf.CIQ($G670,$S670,Y111,Valuation_Date_GC,ReportType,DataMode,$H670)*Scale),"--"))</f>
        <v>--</v>
      </c>
      <c r="Z670" s="2078" t="str">
        <f t="shared" si="182"/>
        <v/>
      </c>
      <c r="AA670" s="2301">
        <f>_xll.ciqfunctions.udf.CIQ($G670,"IQ_REVENUE_NUM_EST",U$97,Valuation_Date_GC,"CON")</f>
        <v>0</v>
      </c>
      <c r="AB670" s="2301">
        <f>_xll.ciqfunctions.udf.CIQ($G670,"IQ_REVENUE_NUM_EST",V$97,Valuation_Date_GC,"CON")</f>
        <v>0</v>
      </c>
      <c r="AC670" s="2301">
        <f>_xll.ciqfunctions.udf.CIQ($G670,"IQ_REVENUE_NUM_EST",W$97,Valuation_Date_GC,"CON")</f>
        <v>0</v>
      </c>
      <c r="AD670" s="2301">
        <f>_xll.ciqfunctions.udf.CIQ($G670,"IQ_REVENUE_NUM_EST",X$97,Valuation_Date_GC,"CON")</f>
        <v>0</v>
      </c>
      <c r="AE670" s="2301">
        <f>_xll.ciqfunctions.udf.CIQ($G670,"IQ_REVENUE_NUM_EST",Y$97,Valuation_Date_GC,"CON")</f>
        <v>0</v>
      </c>
      <c r="AF670" s="2060"/>
      <c r="AG670" s="2060"/>
      <c r="AH670" s="2060"/>
    </row>
    <row r="671" spans="1:34" s="89" customFormat="1" ht="13.9">
      <c r="A671" s="269" t="str">
        <f t="shared" si="183"/>
        <v>n</v>
      </c>
      <c r="B671" s="2060"/>
      <c r="D671" s="801"/>
      <c r="E671" s="1505">
        <v>13</v>
      </c>
      <c r="F671" s="21" t="str">
        <f>F$141</f>
        <v>--</v>
      </c>
      <c r="G671" s="1441">
        <f>G$141</f>
        <v>0</v>
      </c>
      <c r="H671" s="1441" t="str">
        <f>H$141</f>
        <v>--</v>
      </c>
      <c r="I671" s="1513" t="s">
        <v>810</v>
      </c>
      <c r="J671" s="2301" t="str">
        <f>IF($G671=0,"--",IFERROR(_xll.ciqfunctions.udf.CIQ($G671,$I671,J112,Valuation_Date_GC,ReportType,DataMode,$H671,FXMode)*Scale,"--"))</f>
        <v>--</v>
      </c>
      <c r="K671" s="2301" t="str">
        <f>IF($G671=0,"--",IFERROR(_xll.ciqfunctions.udf.CIQ($G671,$I671,K112,Valuation_Date_GC,ReportType,DataMode,$H671,FXMode)*Scale,"--"))</f>
        <v>--</v>
      </c>
      <c r="L671" s="2301" t="str">
        <f>IF($G671=0,"--",IFERROR(_xll.ciqfunctions.udf.CIQ($G671,$I671,L112,Valuation_Date_GC,ReportType,DataMode,$H671,FXMode)*Scale,"--"))</f>
        <v>--</v>
      </c>
      <c r="M671" s="2301" t="str">
        <f>IF($G671=0,"--",IFERROR(_xll.ciqfunctions.udf.CIQ($G671,$I671,M112,Valuation_Date_GC,ReportType,DataMode,$H671,FXMode)*Scale,"--"))</f>
        <v>--</v>
      </c>
      <c r="N671" s="2301" t="str">
        <f>IF($G671=0,"--",IFERROR(_xll.ciqfunctions.udf.CIQ($G671,$I671,N112,Valuation_Date_GC,ReportType,DataMode,$H671,FXMode)*Scale,"--"))</f>
        <v>--</v>
      </c>
      <c r="O671" s="2317" t="str">
        <f>IF($G671=0,"--",IFERROR(IF(O112=1001,_xll.ciqfunctions.udf.CIQ($G671,$S671,O112,Valuation_Date_GC,ReportType,DataMode,$H671,FXMode),_xll.ciqfunctions.udf.CIQ($G671,$I671,O112,Valuation_Date_GC,ReportType,DataMode,$H671,FXMode))*Scale,"--"))</f>
        <v>--</v>
      </c>
      <c r="P671" s="2301" t="str">
        <f>IF($G671=0,"--",IFERROR(_xll.ciqfunctions.udf.CIQ($G671,$I671,P112,Valuation_Date_GC,ReportType,DataMode,$H671,FXMode)*Scale,"--"))</f>
        <v>--</v>
      </c>
      <c r="R671" s="2301" t="str">
        <f>IF($G671=0,"--",IFERROR(_xll.ciqfunctions.udf.CIQ($G671,$I671,R112,Valuation_Date_GC,ReportType,DataMode,$H671,FXMode)*Scale,"--"))</f>
        <v>--</v>
      </c>
      <c r="S671" s="89" t="s">
        <v>809</v>
      </c>
      <c r="T671" s="2301" t="str">
        <f>IF(H112=0,O671,IF($G671=0,"--",IFERROR(_xll.ciqfunctions.udf.CIQ($G671,$S671,U112-1,Valuation_Date_GC,ReportType,DataMode,$H671)*Scale,"--")))</f>
        <v>--</v>
      </c>
      <c r="U671" s="2301" t="str">
        <f>IF($G671=0,"--",IFERROR(IF(_xll.ciqfunctions.udf.CIQ($G671,$S671,U112,Valuation_Date_GC,ReportType,DataMode,$H671)*Scale=0,"--",_xll.ciqfunctions.udf.CIQ($G671,$S671,U112,Valuation_Date_GC,ReportType,DataMode,$H671)*Scale),"--"))</f>
        <v>--</v>
      </c>
      <c r="V671" s="2301" t="str">
        <f>IF($G671=0,"--",IFERROR(IF(_xll.ciqfunctions.udf.CIQ($G671,$S671,V112,Valuation_Date_GC,ReportType,DataMode,$H671)*Scale=0,"--",_xll.ciqfunctions.udf.CIQ($G671,$S671,V112,Valuation_Date_GC,ReportType,DataMode,$H671)*Scale),"--"))</f>
        <v>--</v>
      </c>
      <c r="W671" s="2301" t="str">
        <f>IF($G671=0,"--",IFERROR(IF(_xll.ciqfunctions.udf.CIQ($G671,$S671,W112,Valuation_Date_GC,ReportType,DataMode,$H671)*Scale=0,"--",_xll.ciqfunctions.udf.CIQ($G671,$S671,W112,Valuation_Date_GC,ReportType,DataMode,$H671)*Scale),"--"))</f>
        <v>--</v>
      </c>
      <c r="X671" s="2301" t="str">
        <f>IF($G671=0,"--",IFERROR(IF(_xll.ciqfunctions.udf.CIQ($G671,$S671,X112,Valuation_Date_GC,ReportType,DataMode,$H671)*Scale=0,"--",_xll.ciqfunctions.udf.CIQ($G671,$S671,X112,Valuation_Date_GC,ReportType,DataMode,$H671)*Scale),"--"))</f>
        <v>--</v>
      </c>
      <c r="Y671" s="2301" t="str">
        <f>IF($G671=0,"--",IFERROR(IF(_xll.ciqfunctions.udf.CIQ($G671,$S671,Y112,Valuation_Date_GC,ReportType,DataMode,$H671)*Scale=0,"--",_xll.ciqfunctions.udf.CIQ($G671,$S671,Y112,Valuation_Date_GC,ReportType,DataMode,$H671)*Scale),"--"))</f>
        <v>--</v>
      </c>
      <c r="Z671" s="2078" t="str">
        <f t="shared" si="182"/>
        <v/>
      </c>
      <c r="AA671" s="2301">
        <f>_xll.ciqfunctions.udf.CIQ($G671,"IQ_REVENUE_NUM_EST",U$97,Valuation_Date_GC,"CON")</f>
        <v>0</v>
      </c>
      <c r="AB671" s="2301">
        <f>_xll.ciqfunctions.udf.CIQ($G671,"IQ_REVENUE_NUM_EST",V$97,Valuation_Date_GC,"CON")</f>
        <v>0</v>
      </c>
      <c r="AC671" s="2301">
        <f>_xll.ciqfunctions.udf.CIQ($G671,"IQ_REVENUE_NUM_EST",W$97,Valuation_Date_GC,"CON")</f>
        <v>0</v>
      </c>
      <c r="AD671" s="2301">
        <f>_xll.ciqfunctions.udf.CIQ($G671,"IQ_REVENUE_NUM_EST",X$97,Valuation_Date_GC,"CON")</f>
        <v>0</v>
      </c>
      <c r="AE671" s="2301">
        <f>_xll.ciqfunctions.udf.CIQ($G671,"IQ_REVENUE_NUM_EST",Y$97,Valuation_Date_GC,"CON")</f>
        <v>0</v>
      </c>
      <c r="AF671" s="2060"/>
      <c r="AG671" s="2060"/>
      <c r="AH671" s="2060"/>
    </row>
    <row r="672" spans="1:34" s="89" customFormat="1" ht="13.9">
      <c r="A672" s="269" t="str">
        <f t="shared" si="183"/>
        <v>n</v>
      </c>
      <c r="B672" s="2060"/>
      <c r="D672" s="801"/>
      <c r="E672" s="1505">
        <v>14</v>
      </c>
      <c r="F672" s="21" t="str">
        <f>F$142</f>
        <v>--</v>
      </c>
      <c r="G672" s="1441">
        <f>G$142</f>
        <v>0</v>
      </c>
      <c r="H672" s="1441" t="str">
        <f>H$142</f>
        <v>--</v>
      </c>
      <c r="I672" s="1513" t="s">
        <v>810</v>
      </c>
      <c r="J672" s="2301" t="str">
        <f>IF($G672=0,"--",IFERROR(_xll.ciqfunctions.udf.CIQ($G672,$I672,J113,Valuation_Date_GC,ReportType,DataMode,$H672,FXMode)*Scale,"--"))</f>
        <v>--</v>
      </c>
      <c r="K672" s="2301" t="str">
        <f>IF($G672=0,"--",IFERROR(_xll.ciqfunctions.udf.CIQ($G672,$I672,K113,Valuation_Date_GC,ReportType,DataMode,$H672,FXMode)*Scale,"--"))</f>
        <v>--</v>
      </c>
      <c r="L672" s="2301" t="str">
        <f>IF($G672=0,"--",IFERROR(_xll.ciqfunctions.udf.CIQ($G672,$I672,L113,Valuation_Date_GC,ReportType,DataMode,$H672,FXMode)*Scale,"--"))</f>
        <v>--</v>
      </c>
      <c r="M672" s="2301" t="str">
        <f>IF($G672=0,"--",IFERROR(_xll.ciqfunctions.udf.CIQ($G672,$I672,M113,Valuation_Date_GC,ReportType,DataMode,$H672,FXMode)*Scale,"--"))</f>
        <v>--</v>
      </c>
      <c r="N672" s="2301" t="str">
        <f>IF($G672=0,"--",IFERROR(_xll.ciqfunctions.udf.CIQ($G672,$I672,N113,Valuation_Date_GC,ReportType,DataMode,$H672,FXMode)*Scale,"--"))</f>
        <v>--</v>
      </c>
      <c r="O672" s="2317" t="str">
        <f>IF($G672=0,"--",IFERROR(IF(O113=1001,_xll.ciqfunctions.udf.CIQ($G672,$S672,O113,Valuation_Date_GC,ReportType,DataMode,$H672,FXMode),_xll.ciqfunctions.udf.CIQ($G672,$I672,O113,Valuation_Date_GC,ReportType,DataMode,$H672,FXMode))*Scale,"--"))</f>
        <v>--</v>
      </c>
      <c r="P672" s="2301" t="str">
        <f>IF($G672=0,"--",IFERROR(_xll.ciqfunctions.udf.CIQ($G672,$I672,P113,Valuation_Date_GC,ReportType,DataMode,$H672,FXMode)*Scale,"--"))</f>
        <v>--</v>
      </c>
      <c r="R672" s="2301" t="str">
        <f>IF($G672=0,"--",IFERROR(_xll.ciqfunctions.udf.CIQ($G672,$I672,R113,Valuation_Date_GC,ReportType,DataMode,$H672,FXMode)*Scale,"--"))</f>
        <v>--</v>
      </c>
      <c r="S672" s="89" t="s">
        <v>809</v>
      </c>
      <c r="T672" s="2301" t="str">
        <f>IF(H113=0,O672,IF($G672=0,"--",IFERROR(_xll.ciqfunctions.udf.CIQ($G672,$S672,U113-1,Valuation_Date_GC,ReportType,DataMode,$H672)*Scale,"--")))</f>
        <v>--</v>
      </c>
      <c r="U672" s="2301" t="str">
        <f>IF($G672=0,"--",IFERROR(IF(_xll.ciqfunctions.udf.CIQ($G672,$S672,U113,Valuation_Date_GC,ReportType,DataMode,$H672)*Scale=0,"--",_xll.ciqfunctions.udf.CIQ($G672,$S672,U113,Valuation_Date_GC,ReportType,DataMode,$H672)*Scale),"--"))</f>
        <v>--</v>
      </c>
      <c r="V672" s="2301" t="str">
        <f>IF($G672=0,"--",IFERROR(IF(_xll.ciqfunctions.udf.CIQ($G672,$S672,V113,Valuation_Date_GC,ReportType,DataMode,$H672)*Scale=0,"--",_xll.ciqfunctions.udf.CIQ($G672,$S672,V113,Valuation_Date_GC,ReportType,DataMode,$H672)*Scale),"--"))</f>
        <v>--</v>
      </c>
      <c r="W672" s="2301" t="str">
        <f>IF($G672=0,"--",IFERROR(IF(_xll.ciqfunctions.udf.CIQ($G672,$S672,W113,Valuation_Date_GC,ReportType,DataMode,$H672)*Scale=0,"--",_xll.ciqfunctions.udf.CIQ($G672,$S672,W113,Valuation_Date_GC,ReportType,DataMode,$H672)*Scale),"--"))</f>
        <v>--</v>
      </c>
      <c r="X672" s="2301" t="str">
        <f>IF($G672=0,"--",IFERROR(IF(_xll.ciqfunctions.udf.CIQ($G672,$S672,X113,Valuation_Date_GC,ReportType,DataMode,$H672)*Scale=0,"--",_xll.ciqfunctions.udf.CIQ($G672,$S672,X113,Valuation_Date_GC,ReportType,DataMode,$H672)*Scale),"--"))</f>
        <v>--</v>
      </c>
      <c r="Y672" s="2301" t="str">
        <f>IF($G672=0,"--",IFERROR(IF(_xll.ciqfunctions.udf.CIQ($G672,$S672,Y113,Valuation_Date_GC,ReportType,DataMode,$H672)*Scale=0,"--",_xll.ciqfunctions.udf.CIQ($G672,$S672,Y113,Valuation_Date_GC,ReportType,DataMode,$H672)*Scale),"--"))</f>
        <v>--</v>
      </c>
      <c r="Z672" s="2078" t="str">
        <f t="shared" si="182"/>
        <v/>
      </c>
      <c r="AA672" s="2301">
        <f>_xll.ciqfunctions.udf.CIQ($G672,"IQ_REVENUE_NUM_EST",U$97,Valuation_Date_GC,"CON")</f>
        <v>0</v>
      </c>
      <c r="AB672" s="2301">
        <f>_xll.ciqfunctions.udf.CIQ($G672,"IQ_REVENUE_NUM_EST",V$97,Valuation_Date_GC,"CON")</f>
        <v>0</v>
      </c>
      <c r="AC672" s="2301">
        <f>_xll.ciqfunctions.udf.CIQ($G672,"IQ_REVENUE_NUM_EST",W$97,Valuation_Date_GC,"CON")</f>
        <v>0</v>
      </c>
      <c r="AD672" s="2301">
        <f>_xll.ciqfunctions.udf.CIQ($G672,"IQ_REVENUE_NUM_EST",X$97,Valuation_Date_GC,"CON")</f>
        <v>0</v>
      </c>
      <c r="AE672" s="2301">
        <f>_xll.ciqfunctions.udf.CIQ($G672,"IQ_REVENUE_NUM_EST",Y$97,Valuation_Date_GC,"CON")</f>
        <v>0</v>
      </c>
      <c r="AF672" s="2060"/>
      <c r="AG672" s="2060"/>
      <c r="AH672" s="2060"/>
    </row>
    <row r="673" spans="1:34" s="89" customFormat="1" ht="13.9">
      <c r="A673" s="269" t="str">
        <f t="shared" si="183"/>
        <v>n</v>
      </c>
      <c r="B673" s="2060"/>
      <c r="D673" s="801"/>
      <c r="E673" s="1505">
        <v>15</v>
      </c>
      <c r="F673" s="21" t="str">
        <f>F$143</f>
        <v>--</v>
      </c>
      <c r="G673" s="1441">
        <f>G$143</f>
        <v>0</v>
      </c>
      <c r="H673" s="1441" t="str">
        <f>H$143</f>
        <v>--</v>
      </c>
      <c r="I673" s="1513" t="s">
        <v>810</v>
      </c>
      <c r="J673" s="2301" t="str">
        <f>IF($G673=0,"--",IFERROR(_xll.ciqfunctions.udf.CIQ($G673,$I673,J114,Valuation_Date_GC,ReportType,DataMode,$H673,FXMode)*Scale,"--"))</f>
        <v>--</v>
      </c>
      <c r="K673" s="2301" t="str">
        <f>IF($G673=0,"--",IFERROR(_xll.ciqfunctions.udf.CIQ($G673,$I673,K114,Valuation_Date_GC,ReportType,DataMode,$H673,FXMode)*Scale,"--"))</f>
        <v>--</v>
      </c>
      <c r="L673" s="2301" t="str">
        <f>IF($G673=0,"--",IFERROR(_xll.ciqfunctions.udf.CIQ($G673,$I673,L114,Valuation_Date_GC,ReportType,DataMode,$H673,FXMode)*Scale,"--"))</f>
        <v>--</v>
      </c>
      <c r="M673" s="2301" t="str">
        <f>IF($G673=0,"--",IFERROR(_xll.ciqfunctions.udf.CIQ($G673,$I673,M114,Valuation_Date_GC,ReportType,DataMode,$H673,FXMode)*Scale,"--"))</f>
        <v>--</v>
      </c>
      <c r="N673" s="2301" t="str">
        <f>IF($G673=0,"--",IFERROR(_xll.ciqfunctions.udf.CIQ($G673,$I673,N114,Valuation_Date_GC,ReportType,DataMode,$H673,FXMode)*Scale,"--"))</f>
        <v>--</v>
      </c>
      <c r="O673" s="2317" t="str">
        <f>IF($G673=0,"--",IFERROR(IF(O114=1001,_xll.ciqfunctions.udf.CIQ($G673,$S673,O114,Valuation_Date_GC,ReportType,DataMode,$H673,FXMode),_xll.ciqfunctions.udf.CIQ($G673,$I673,O114,Valuation_Date_GC,ReportType,DataMode,$H673,FXMode))*Scale,"--"))</f>
        <v>--</v>
      </c>
      <c r="P673" s="2301" t="str">
        <f>IF($G673=0,"--",IFERROR(_xll.ciqfunctions.udf.CIQ($G673,$I673,P114,Valuation_Date_GC,ReportType,DataMode,$H673,FXMode)*Scale,"--"))</f>
        <v>--</v>
      </c>
      <c r="R673" s="2301" t="str">
        <f>IF($G673=0,"--",IFERROR(_xll.ciqfunctions.udf.CIQ($G673,$I673,R114,Valuation_Date_GC,ReportType,DataMode,$H673,FXMode)*Scale,"--"))</f>
        <v>--</v>
      </c>
      <c r="S673" s="89" t="s">
        <v>809</v>
      </c>
      <c r="T673" s="2301" t="str">
        <f>IF(H114=0,O673,IF($G673=0,"--",IFERROR(_xll.ciqfunctions.udf.CIQ($G673,$S673,U114-1,Valuation_Date_GC,ReportType,DataMode,$H673)*Scale,"--")))</f>
        <v>--</v>
      </c>
      <c r="U673" s="2301" t="str">
        <f>IF($G673=0,"--",IFERROR(IF(_xll.ciqfunctions.udf.CIQ($G673,$S673,U114,Valuation_Date_GC,ReportType,DataMode,$H673)*Scale=0,"--",_xll.ciqfunctions.udf.CIQ($G673,$S673,U114,Valuation_Date_GC,ReportType,DataMode,$H673)*Scale),"--"))</f>
        <v>--</v>
      </c>
      <c r="V673" s="2301" t="str">
        <f>IF($G673=0,"--",IFERROR(IF(_xll.ciqfunctions.udf.CIQ($G673,$S673,V114,Valuation_Date_GC,ReportType,DataMode,$H673)*Scale=0,"--",_xll.ciqfunctions.udf.CIQ($G673,$S673,V114,Valuation_Date_GC,ReportType,DataMode,$H673)*Scale),"--"))</f>
        <v>--</v>
      </c>
      <c r="W673" s="2301" t="str">
        <f>IF($G673=0,"--",IFERROR(IF(_xll.ciqfunctions.udf.CIQ($G673,$S673,W114,Valuation_Date_GC,ReportType,DataMode,$H673)*Scale=0,"--",_xll.ciqfunctions.udf.CIQ($G673,$S673,W114,Valuation_Date_GC,ReportType,DataMode,$H673)*Scale),"--"))</f>
        <v>--</v>
      </c>
      <c r="X673" s="2301" t="str">
        <f>IF($G673=0,"--",IFERROR(IF(_xll.ciqfunctions.udf.CIQ($G673,$S673,X114,Valuation_Date_GC,ReportType,DataMode,$H673)*Scale=0,"--",_xll.ciqfunctions.udf.CIQ($G673,$S673,X114,Valuation_Date_GC,ReportType,DataMode,$H673)*Scale),"--"))</f>
        <v>--</v>
      </c>
      <c r="Y673" s="2301" t="str">
        <f>IF($G673=0,"--",IFERROR(IF(_xll.ciqfunctions.udf.CIQ($G673,$S673,Y114,Valuation_Date_GC,ReportType,DataMode,$H673)*Scale=0,"--",_xll.ciqfunctions.udf.CIQ($G673,$S673,Y114,Valuation_Date_GC,ReportType,DataMode,$H673)*Scale),"--"))</f>
        <v>--</v>
      </c>
      <c r="Z673" s="2078" t="str">
        <f t="shared" si="182"/>
        <v/>
      </c>
      <c r="AA673" s="2301">
        <f>_xll.ciqfunctions.udf.CIQ($G673,"IQ_REVENUE_NUM_EST",U$97,Valuation_Date_GC,"CON")</f>
        <v>0</v>
      </c>
      <c r="AB673" s="2301">
        <f>_xll.ciqfunctions.udf.CIQ($G673,"IQ_REVENUE_NUM_EST",V$97,Valuation_Date_GC,"CON")</f>
        <v>0</v>
      </c>
      <c r="AC673" s="2301">
        <f>_xll.ciqfunctions.udf.CIQ($G673,"IQ_REVENUE_NUM_EST",W$97,Valuation_Date_GC,"CON")</f>
        <v>0</v>
      </c>
      <c r="AD673" s="2301">
        <f>_xll.ciqfunctions.udf.CIQ($G673,"IQ_REVENUE_NUM_EST",X$97,Valuation_Date_GC,"CON")</f>
        <v>0</v>
      </c>
      <c r="AE673" s="2301">
        <f>_xll.ciqfunctions.udf.CIQ($G673,"IQ_REVENUE_NUM_EST",Y$97,Valuation_Date_GC,"CON")</f>
        <v>0</v>
      </c>
      <c r="AF673" s="2060"/>
      <c r="AG673" s="2060"/>
      <c r="AH673" s="2060"/>
    </row>
    <row r="674" spans="1:34" s="89" customFormat="1" ht="13.9">
      <c r="A674" s="269" t="str">
        <f t="shared" si="183"/>
        <v>n</v>
      </c>
      <c r="B674" s="2060"/>
      <c r="D674" s="801"/>
      <c r="E674" s="1505">
        <v>16</v>
      </c>
      <c r="F674" s="21" t="str">
        <f>F$144</f>
        <v>--</v>
      </c>
      <c r="G674" s="1441">
        <f>G$144</f>
        <v>0</v>
      </c>
      <c r="H674" s="1441" t="str">
        <f>H$144</f>
        <v>--</v>
      </c>
      <c r="I674" s="1513" t="s">
        <v>810</v>
      </c>
      <c r="J674" s="2301" t="str">
        <f>IF($G674=0,"--",IFERROR(_xll.ciqfunctions.udf.CIQ($G674,$I674,J115,Valuation_Date_GC,ReportType,DataMode,$H674,FXMode)*Scale,"--"))</f>
        <v>--</v>
      </c>
      <c r="K674" s="2301" t="str">
        <f>IF($G674=0,"--",IFERROR(_xll.ciqfunctions.udf.CIQ($G674,$I674,K115,Valuation_Date_GC,ReportType,DataMode,$H674,FXMode)*Scale,"--"))</f>
        <v>--</v>
      </c>
      <c r="L674" s="2301" t="str">
        <f>IF($G674=0,"--",IFERROR(_xll.ciqfunctions.udf.CIQ($G674,$I674,L115,Valuation_Date_GC,ReportType,DataMode,$H674,FXMode)*Scale,"--"))</f>
        <v>--</v>
      </c>
      <c r="M674" s="2301" t="str">
        <f>IF($G674=0,"--",IFERROR(_xll.ciqfunctions.udf.CIQ($G674,$I674,M115,Valuation_Date_GC,ReportType,DataMode,$H674,FXMode)*Scale,"--"))</f>
        <v>--</v>
      </c>
      <c r="N674" s="2301" t="str">
        <f>IF($G674=0,"--",IFERROR(_xll.ciqfunctions.udf.CIQ($G674,$I674,N115,Valuation_Date_GC,ReportType,DataMode,$H674,FXMode)*Scale,"--"))</f>
        <v>--</v>
      </c>
      <c r="O674" s="2317" t="str">
        <f>IF($G674=0,"--",IFERROR(IF(O115=1001,_xll.ciqfunctions.udf.CIQ($G674,$S674,O115,Valuation_Date_GC,ReportType,DataMode,$H674,FXMode),_xll.ciqfunctions.udf.CIQ($G674,$I674,O115,Valuation_Date_GC,ReportType,DataMode,$H674,FXMode))*Scale,"--"))</f>
        <v>--</v>
      </c>
      <c r="P674" s="2301" t="str">
        <f>IF($G674=0,"--",IFERROR(_xll.ciqfunctions.udf.CIQ($G674,$I674,P115,Valuation_Date_GC,ReportType,DataMode,$H674,FXMode)*Scale,"--"))</f>
        <v>--</v>
      </c>
      <c r="R674" s="2301" t="str">
        <f>IF($G674=0,"--",IFERROR(_xll.ciqfunctions.udf.CIQ($G674,$I674,R115,Valuation_Date_GC,ReportType,DataMode,$H674,FXMode)*Scale,"--"))</f>
        <v>--</v>
      </c>
      <c r="S674" s="89" t="s">
        <v>809</v>
      </c>
      <c r="T674" s="2301" t="str">
        <f>IF(H115=0,O674,IF($G674=0,"--",IFERROR(_xll.ciqfunctions.udf.CIQ($G674,$S674,U115-1,Valuation_Date_GC,ReportType,DataMode,$H674)*Scale,"--")))</f>
        <v>--</v>
      </c>
      <c r="U674" s="2301" t="str">
        <f>IF($G674=0,"--",IFERROR(IF(_xll.ciqfunctions.udf.CIQ($G674,$S674,U115,Valuation_Date_GC,ReportType,DataMode,$H674)*Scale=0,"--",_xll.ciqfunctions.udf.CIQ($G674,$S674,U115,Valuation_Date_GC,ReportType,DataMode,$H674)*Scale),"--"))</f>
        <v>--</v>
      </c>
      <c r="V674" s="2301" t="str">
        <f>IF($G674=0,"--",IFERROR(IF(_xll.ciqfunctions.udf.CIQ($G674,$S674,V115,Valuation_Date_GC,ReportType,DataMode,$H674)*Scale=0,"--",_xll.ciqfunctions.udf.CIQ($G674,$S674,V115,Valuation_Date_GC,ReportType,DataMode,$H674)*Scale),"--"))</f>
        <v>--</v>
      </c>
      <c r="W674" s="2301" t="str">
        <f>IF($G674=0,"--",IFERROR(IF(_xll.ciqfunctions.udf.CIQ($G674,$S674,W115,Valuation_Date_GC,ReportType,DataMode,$H674)*Scale=0,"--",_xll.ciqfunctions.udf.CIQ($G674,$S674,W115,Valuation_Date_GC,ReportType,DataMode,$H674)*Scale),"--"))</f>
        <v>--</v>
      </c>
      <c r="X674" s="2301" t="str">
        <f>IF($G674=0,"--",IFERROR(IF(_xll.ciqfunctions.udf.CIQ($G674,$S674,X115,Valuation_Date_GC,ReportType,DataMode,$H674)*Scale=0,"--",_xll.ciqfunctions.udf.CIQ($G674,$S674,X115,Valuation_Date_GC,ReportType,DataMode,$H674)*Scale),"--"))</f>
        <v>--</v>
      </c>
      <c r="Y674" s="2301" t="str">
        <f>IF($G674=0,"--",IFERROR(IF(_xll.ciqfunctions.udf.CIQ($G674,$S674,Y115,Valuation_Date_GC,ReportType,DataMode,$H674)*Scale=0,"--",_xll.ciqfunctions.udf.CIQ($G674,$S674,Y115,Valuation_Date_GC,ReportType,DataMode,$H674)*Scale),"--"))</f>
        <v>--</v>
      </c>
      <c r="Z674" s="2078" t="str">
        <f t="shared" si="182"/>
        <v/>
      </c>
      <c r="AA674" s="2301">
        <f>_xll.ciqfunctions.udf.CIQ($G674,"IQ_REVENUE_NUM_EST",U$97,Valuation_Date_GC,"CON")</f>
        <v>0</v>
      </c>
      <c r="AB674" s="2301">
        <f>_xll.ciqfunctions.udf.CIQ($G674,"IQ_REVENUE_NUM_EST",V$97,Valuation_Date_GC,"CON")</f>
        <v>0</v>
      </c>
      <c r="AC674" s="2301">
        <f>_xll.ciqfunctions.udf.CIQ($G674,"IQ_REVENUE_NUM_EST",W$97,Valuation_Date_GC,"CON")</f>
        <v>0</v>
      </c>
      <c r="AD674" s="2301">
        <f>_xll.ciqfunctions.udf.CIQ($G674,"IQ_REVENUE_NUM_EST",X$97,Valuation_Date_GC,"CON")</f>
        <v>0</v>
      </c>
      <c r="AE674" s="2301">
        <f>_xll.ciqfunctions.udf.CIQ($G674,"IQ_REVENUE_NUM_EST",Y$97,Valuation_Date_GC,"CON")</f>
        <v>0</v>
      </c>
      <c r="AF674" s="2060"/>
      <c r="AG674" s="2060"/>
      <c r="AH674" s="2060"/>
    </row>
    <row r="675" spans="1:34" s="89" customFormat="1" ht="13.9">
      <c r="A675" s="269" t="str">
        <f t="shared" si="183"/>
        <v>n</v>
      </c>
      <c r="B675" s="2060"/>
      <c r="D675" s="801"/>
      <c r="E675" s="1505">
        <v>17</v>
      </c>
      <c r="F675" s="21" t="str">
        <f>F$145</f>
        <v>--</v>
      </c>
      <c r="G675" s="1441">
        <f>G$145</f>
        <v>0</v>
      </c>
      <c r="H675" s="1441" t="str">
        <f>H$145</f>
        <v>--</v>
      </c>
      <c r="I675" s="1513" t="s">
        <v>810</v>
      </c>
      <c r="J675" s="2301" t="str">
        <f>IF($G675=0,"--",IFERROR(_xll.ciqfunctions.udf.CIQ($G675,$I675,J116,Valuation_Date_GC,ReportType,DataMode,$H675,FXMode)*Scale,"--"))</f>
        <v>--</v>
      </c>
      <c r="K675" s="2301" t="str">
        <f>IF($G675=0,"--",IFERROR(_xll.ciqfunctions.udf.CIQ($G675,$I675,K116,Valuation_Date_GC,ReportType,DataMode,$H675,FXMode)*Scale,"--"))</f>
        <v>--</v>
      </c>
      <c r="L675" s="2301" t="str">
        <f>IF($G675=0,"--",IFERROR(_xll.ciqfunctions.udf.CIQ($G675,$I675,L116,Valuation_Date_GC,ReportType,DataMode,$H675,FXMode)*Scale,"--"))</f>
        <v>--</v>
      </c>
      <c r="M675" s="2301" t="str">
        <f>IF($G675=0,"--",IFERROR(_xll.ciqfunctions.udf.CIQ($G675,$I675,M116,Valuation_Date_GC,ReportType,DataMode,$H675,FXMode)*Scale,"--"))</f>
        <v>--</v>
      </c>
      <c r="N675" s="2301" t="str">
        <f>IF($G675=0,"--",IFERROR(_xll.ciqfunctions.udf.CIQ($G675,$I675,N116,Valuation_Date_GC,ReportType,DataMode,$H675,FXMode)*Scale,"--"))</f>
        <v>--</v>
      </c>
      <c r="O675" s="2317" t="str">
        <f>IF($G675=0,"--",IFERROR(IF(O116=1001,_xll.ciqfunctions.udf.CIQ($G675,$S675,O116,Valuation_Date_GC,ReportType,DataMode,$H675,FXMode),_xll.ciqfunctions.udf.CIQ($G675,$I675,O116,Valuation_Date_GC,ReportType,DataMode,$H675,FXMode))*Scale,"--"))</f>
        <v>--</v>
      </c>
      <c r="P675" s="2301" t="str">
        <f>IF($G675=0,"--",IFERROR(_xll.ciqfunctions.udf.CIQ($G675,$I675,P116,Valuation_Date_GC,ReportType,DataMode,$H675,FXMode)*Scale,"--"))</f>
        <v>--</v>
      </c>
      <c r="R675" s="2301" t="str">
        <f>IF($G675=0,"--",IFERROR(_xll.ciqfunctions.udf.CIQ($G675,$I675,R116,Valuation_Date_GC,ReportType,DataMode,$H675,FXMode)*Scale,"--"))</f>
        <v>--</v>
      </c>
      <c r="S675" s="89" t="s">
        <v>809</v>
      </c>
      <c r="T675" s="2301" t="str">
        <f>IF(H116=0,O675,IF($G675=0,"--",IFERROR(_xll.ciqfunctions.udf.CIQ($G675,$S675,U116-1,Valuation_Date_GC,ReportType,DataMode,$H675)*Scale,"--")))</f>
        <v>--</v>
      </c>
      <c r="U675" s="2301" t="str">
        <f>IF($G675=0,"--",IFERROR(IF(_xll.ciqfunctions.udf.CIQ($G675,$S675,U116,Valuation_Date_GC,ReportType,DataMode,$H675)*Scale=0,"--",_xll.ciqfunctions.udf.CIQ($G675,$S675,U116,Valuation_Date_GC,ReportType,DataMode,$H675)*Scale),"--"))</f>
        <v>--</v>
      </c>
      <c r="V675" s="2301" t="str">
        <f>IF($G675=0,"--",IFERROR(IF(_xll.ciqfunctions.udf.CIQ($G675,$S675,V116,Valuation_Date_GC,ReportType,DataMode,$H675)*Scale=0,"--",_xll.ciqfunctions.udf.CIQ($G675,$S675,V116,Valuation_Date_GC,ReportType,DataMode,$H675)*Scale),"--"))</f>
        <v>--</v>
      </c>
      <c r="W675" s="2301" t="str">
        <f>IF($G675=0,"--",IFERROR(IF(_xll.ciqfunctions.udf.CIQ($G675,$S675,W116,Valuation_Date_GC,ReportType,DataMode,$H675)*Scale=0,"--",_xll.ciqfunctions.udf.CIQ($G675,$S675,W116,Valuation_Date_GC,ReportType,DataMode,$H675)*Scale),"--"))</f>
        <v>--</v>
      </c>
      <c r="X675" s="2301" t="str">
        <f>IF($G675=0,"--",IFERROR(IF(_xll.ciqfunctions.udf.CIQ($G675,$S675,X116,Valuation_Date_GC,ReportType,DataMode,$H675)*Scale=0,"--",_xll.ciqfunctions.udf.CIQ($G675,$S675,X116,Valuation_Date_GC,ReportType,DataMode,$H675)*Scale),"--"))</f>
        <v>--</v>
      </c>
      <c r="Y675" s="2301" t="str">
        <f>IF($G675=0,"--",IFERROR(IF(_xll.ciqfunctions.udf.CIQ($G675,$S675,Y116,Valuation_Date_GC,ReportType,DataMode,$H675)*Scale=0,"--",_xll.ciqfunctions.udf.CIQ($G675,$S675,Y116,Valuation_Date_GC,ReportType,DataMode,$H675)*Scale),"--"))</f>
        <v>--</v>
      </c>
      <c r="Z675" s="2078" t="str">
        <f t="shared" si="182"/>
        <v/>
      </c>
      <c r="AA675" s="2301">
        <f>_xll.ciqfunctions.udf.CIQ($G675,"IQ_REVENUE_NUM_EST",U$97,Valuation_Date_GC,"CON")</f>
        <v>0</v>
      </c>
      <c r="AB675" s="2301">
        <f>_xll.ciqfunctions.udf.CIQ($G675,"IQ_REVENUE_NUM_EST",V$97,Valuation_Date_GC,"CON")</f>
        <v>0</v>
      </c>
      <c r="AC675" s="2301">
        <f>_xll.ciqfunctions.udf.CIQ($G675,"IQ_REVENUE_NUM_EST",W$97,Valuation_Date_GC,"CON")</f>
        <v>0</v>
      </c>
      <c r="AD675" s="2301">
        <f>_xll.ciqfunctions.udf.CIQ($G675,"IQ_REVENUE_NUM_EST",X$97,Valuation_Date_GC,"CON")</f>
        <v>0</v>
      </c>
      <c r="AE675" s="2301">
        <f>_xll.ciqfunctions.udf.CIQ($G675,"IQ_REVENUE_NUM_EST",Y$97,Valuation_Date_GC,"CON")</f>
        <v>0</v>
      </c>
      <c r="AF675" s="2060"/>
      <c r="AG675" s="2060"/>
      <c r="AH675" s="2060"/>
    </row>
    <row r="676" spans="1:34" s="89" customFormat="1" ht="13.9">
      <c r="A676" s="269" t="str">
        <f t="shared" si="183"/>
        <v>n</v>
      </c>
      <c r="B676" s="2060"/>
      <c r="D676" s="801"/>
      <c r="E676" s="1505">
        <v>18</v>
      </c>
      <c r="F676" s="21" t="str">
        <f>F$146</f>
        <v>--</v>
      </c>
      <c r="G676" s="1441">
        <f>G$146</f>
        <v>0</v>
      </c>
      <c r="H676" s="1441" t="str">
        <f>H$146</f>
        <v>--</v>
      </c>
      <c r="I676" s="1513" t="s">
        <v>810</v>
      </c>
      <c r="J676" s="2301" t="str">
        <f>IF($G676=0,"--",IFERROR(_xll.ciqfunctions.udf.CIQ($G676,$I676,J117,Valuation_Date_GC,ReportType,DataMode,$H676,FXMode)*Scale,"--"))</f>
        <v>--</v>
      </c>
      <c r="K676" s="2301" t="str">
        <f>IF($G676=0,"--",IFERROR(_xll.ciqfunctions.udf.CIQ($G676,$I676,K117,Valuation_Date_GC,ReportType,DataMode,$H676,FXMode)*Scale,"--"))</f>
        <v>--</v>
      </c>
      <c r="L676" s="2301" t="str">
        <f>IF($G676=0,"--",IFERROR(_xll.ciqfunctions.udf.CIQ($G676,$I676,L117,Valuation_Date_GC,ReportType,DataMode,$H676,FXMode)*Scale,"--"))</f>
        <v>--</v>
      </c>
      <c r="M676" s="2301" t="str">
        <f>IF($G676=0,"--",IFERROR(_xll.ciqfunctions.udf.CIQ($G676,$I676,M117,Valuation_Date_GC,ReportType,DataMode,$H676,FXMode)*Scale,"--"))</f>
        <v>--</v>
      </c>
      <c r="N676" s="2301" t="str">
        <f>IF($G676=0,"--",IFERROR(_xll.ciqfunctions.udf.CIQ($G676,$I676,N117,Valuation_Date_GC,ReportType,DataMode,$H676,FXMode)*Scale,"--"))</f>
        <v>--</v>
      </c>
      <c r="O676" s="2317" t="str">
        <f>IF($G676=0,"--",IFERROR(IF(O117=1001,_xll.ciqfunctions.udf.CIQ($G676,$S676,O117,Valuation_Date_GC,ReportType,DataMode,$H676,FXMode),_xll.ciqfunctions.udf.CIQ($G676,$I676,O117,Valuation_Date_GC,ReportType,DataMode,$H676,FXMode))*Scale,"--"))</f>
        <v>--</v>
      </c>
      <c r="P676" s="2301" t="str">
        <f>IF($G676=0,"--",IFERROR(_xll.ciqfunctions.udf.CIQ($G676,$I676,P117,Valuation_Date_GC,ReportType,DataMode,$H676,FXMode)*Scale,"--"))</f>
        <v>--</v>
      </c>
      <c r="R676" s="2301" t="str">
        <f>IF($G676=0,"--",IFERROR(_xll.ciqfunctions.udf.CIQ($G676,$I676,R117,Valuation_Date_GC,ReportType,DataMode,$H676,FXMode)*Scale,"--"))</f>
        <v>--</v>
      </c>
      <c r="S676" s="89" t="s">
        <v>809</v>
      </c>
      <c r="T676" s="2301" t="str">
        <f>IF(H117=0,O676,IF($G676=0,"--",IFERROR(_xll.ciqfunctions.udf.CIQ($G676,$S676,U117-1,Valuation_Date_GC,ReportType,DataMode,$H676)*Scale,"--")))</f>
        <v>--</v>
      </c>
      <c r="U676" s="2301" t="str">
        <f>IF($G676=0,"--",IFERROR(IF(_xll.ciqfunctions.udf.CIQ($G676,$S676,U117,Valuation_Date_GC,ReportType,DataMode,$H676)*Scale=0,"--",_xll.ciqfunctions.udf.CIQ($G676,$S676,U117,Valuation_Date_GC,ReportType,DataMode,$H676)*Scale),"--"))</f>
        <v>--</v>
      </c>
      <c r="V676" s="2301" t="str">
        <f>IF($G676=0,"--",IFERROR(IF(_xll.ciqfunctions.udf.CIQ($G676,$S676,V117,Valuation_Date_GC,ReportType,DataMode,$H676)*Scale=0,"--",_xll.ciqfunctions.udf.CIQ($G676,$S676,V117,Valuation_Date_GC,ReportType,DataMode,$H676)*Scale),"--"))</f>
        <v>--</v>
      </c>
      <c r="W676" s="2301" t="str">
        <f>IF($G676=0,"--",IFERROR(IF(_xll.ciqfunctions.udf.CIQ($G676,$S676,W117,Valuation_Date_GC,ReportType,DataMode,$H676)*Scale=0,"--",_xll.ciqfunctions.udf.CIQ($G676,$S676,W117,Valuation_Date_GC,ReportType,DataMode,$H676)*Scale),"--"))</f>
        <v>--</v>
      </c>
      <c r="X676" s="2301" t="str">
        <f>IF($G676=0,"--",IFERROR(IF(_xll.ciqfunctions.udf.CIQ($G676,$S676,X117,Valuation_Date_GC,ReportType,DataMode,$H676)*Scale=0,"--",_xll.ciqfunctions.udf.CIQ($G676,$S676,X117,Valuation_Date_GC,ReportType,DataMode,$H676)*Scale),"--"))</f>
        <v>--</v>
      </c>
      <c r="Y676" s="2301" t="str">
        <f>IF($G676=0,"--",IFERROR(IF(_xll.ciqfunctions.udf.CIQ($G676,$S676,Y117,Valuation_Date_GC,ReportType,DataMode,$H676)*Scale=0,"--",_xll.ciqfunctions.udf.CIQ($G676,$S676,Y117,Valuation_Date_GC,ReportType,DataMode,$H676)*Scale),"--"))</f>
        <v>--</v>
      </c>
      <c r="Z676" s="2078" t="str">
        <f t="shared" si="182"/>
        <v/>
      </c>
      <c r="AA676" s="2301">
        <f>_xll.ciqfunctions.udf.CIQ($G676,"IQ_REVENUE_NUM_EST",U$97,Valuation_Date_GC,"CON")</f>
        <v>0</v>
      </c>
      <c r="AB676" s="2301">
        <f>_xll.ciqfunctions.udf.CIQ($G676,"IQ_REVENUE_NUM_EST",V$97,Valuation_Date_GC,"CON")</f>
        <v>0</v>
      </c>
      <c r="AC676" s="2301">
        <f>_xll.ciqfunctions.udf.CIQ($G676,"IQ_REVENUE_NUM_EST",W$97,Valuation_Date_GC,"CON")</f>
        <v>0</v>
      </c>
      <c r="AD676" s="2301">
        <f>_xll.ciqfunctions.udf.CIQ($G676,"IQ_REVENUE_NUM_EST",X$97,Valuation_Date_GC,"CON")</f>
        <v>0</v>
      </c>
      <c r="AE676" s="2301">
        <f>_xll.ciqfunctions.udf.CIQ($G676,"IQ_REVENUE_NUM_EST",Y$97,Valuation_Date_GC,"CON")</f>
        <v>0</v>
      </c>
      <c r="AF676" s="2060"/>
      <c r="AG676" s="2060"/>
      <c r="AH676" s="2060"/>
    </row>
    <row r="677" spans="1:34" s="89" customFormat="1" ht="13.9">
      <c r="A677" s="269" t="str">
        <f t="shared" si="183"/>
        <v>n</v>
      </c>
      <c r="B677" s="2060"/>
      <c r="D677" s="801"/>
      <c r="E677" s="1505">
        <v>19</v>
      </c>
      <c r="F677" s="21" t="str">
        <f>F$147</f>
        <v>--</v>
      </c>
      <c r="G677" s="1441">
        <f>G$147</f>
        <v>0</v>
      </c>
      <c r="H677" s="1441" t="str">
        <f>H$147</f>
        <v>--</v>
      </c>
      <c r="I677" s="1513" t="s">
        <v>810</v>
      </c>
      <c r="J677" s="2301" t="str">
        <f>IF($G677=0,"--",IFERROR(_xll.ciqfunctions.udf.CIQ($G677,$I677,J118,Valuation_Date_GC,ReportType,DataMode,$H677,FXMode)*Scale,"--"))</f>
        <v>--</v>
      </c>
      <c r="K677" s="2301" t="str">
        <f>IF($G677=0,"--",IFERROR(_xll.ciqfunctions.udf.CIQ($G677,$I677,K118,Valuation_Date_GC,ReportType,DataMode,$H677,FXMode)*Scale,"--"))</f>
        <v>--</v>
      </c>
      <c r="L677" s="2301" t="str">
        <f>IF($G677=0,"--",IFERROR(_xll.ciqfunctions.udf.CIQ($G677,$I677,L118,Valuation_Date_GC,ReportType,DataMode,$H677,FXMode)*Scale,"--"))</f>
        <v>--</v>
      </c>
      <c r="M677" s="2301" t="str">
        <f>IF($G677=0,"--",IFERROR(_xll.ciqfunctions.udf.CIQ($G677,$I677,M118,Valuation_Date_GC,ReportType,DataMode,$H677,FXMode)*Scale,"--"))</f>
        <v>--</v>
      </c>
      <c r="N677" s="2301" t="str">
        <f>IF($G677=0,"--",IFERROR(_xll.ciqfunctions.udf.CIQ($G677,$I677,N118,Valuation_Date_GC,ReportType,DataMode,$H677,FXMode)*Scale,"--"))</f>
        <v>--</v>
      </c>
      <c r="O677" s="2317" t="str">
        <f>IF($G677=0,"--",IFERROR(IF(O118=1001,_xll.ciqfunctions.udf.CIQ($G677,$S677,O118,Valuation_Date_GC,ReportType,DataMode,$H677,FXMode),_xll.ciqfunctions.udf.CIQ($G677,$I677,O118,Valuation_Date_GC,ReportType,DataMode,$H677,FXMode))*Scale,"--"))</f>
        <v>--</v>
      </c>
      <c r="P677" s="2301" t="str">
        <f>IF($G677=0,"--",IFERROR(_xll.ciqfunctions.udf.CIQ($G677,$I677,P118,Valuation_Date_GC,ReportType,DataMode,$H677,FXMode)*Scale,"--"))</f>
        <v>--</v>
      </c>
      <c r="R677" s="2301" t="str">
        <f>IF($G677=0,"--",IFERROR(_xll.ciqfunctions.udf.CIQ($G677,$I677,R118,Valuation_Date_GC,ReportType,DataMode,$H677,FXMode)*Scale,"--"))</f>
        <v>--</v>
      </c>
      <c r="S677" s="89" t="s">
        <v>809</v>
      </c>
      <c r="T677" s="2301" t="str">
        <f>IF(H118=0,O677,IF($G677=0,"--",IFERROR(_xll.ciqfunctions.udf.CIQ($G677,$S677,U118-1,Valuation_Date_GC,ReportType,DataMode,$H677)*Scale,"--")))</f>
        <v>--</v>
      </c>
      <c r="U677" s="2301" t="str">
        <f>IF($G677=0,"--",IFERROR(IF(_xll.ciqfunctions.udf.CIQ($G677,$S677,U118,Valuation_Date_GC,ReportType,DataMode,$H677)*Scale=0,"--",_xll.ciqfunctions.udf.CIQ($G677,$S677,U118,Valuation_Date_GC,ReportType,DataMode,$H677)*Scale),"--"))</f>
        <v>--</v>
      </c>
      <c r="V677" s="2301" t="str">
        <f>IF($G677=0,"--",IFERROR(IF(_xll.ciqfunctions.udf.CIQ($G677,$S677,V118,Valuation_Date_GC,ReportType,DataMode,$H677)*Scale=0,"--",_xll.ciqfunctions.udf.CIQ($G677,$S677,V118,Valuation_Date_GC,ReportType,DataMode,$H677)*Scale),"--"))</f>
        <v>--</v>
      </c>
      <c r="W677" s="2301" t="str">
        <f>IF($G677=0,"--",IFERROR(IF(_xll.ciqfunctions.udf.CIQ($G677,$S677,W118,Valuation_Date_GC,ReportType,DataMode,$H677)*Scale=0,"--",_xll.ciqfunctions.udf.CIQ($G677,$S677,W118,Valuation_Date_GC,ReportType,DataMode,$H677)*Scale),"--"))</f>
        <v>--</v>
      </c>
      <c r="X677" s="2301" t="str">
        <f>IF($G677=0,"--",IFERROR(IF(_xll.ciqfunctions.udf.CIQ($G677,$S677,X118,Valuation_Date_GC,ReportType,DataMode,$H677)*Scale=0,"--",_xll.ciqfunctions.udf.CIQ($G677,$S677,X118,Valuation_Date_GC,ReportType,DataMode,$H677)*Scale),"--"))</f>
        <v>--</v>
      </c>
      <c r="Y677" s="2301" t="str">
        <f>IF($G677=0,"--",IFERROR(IF(_xll.ciqfunctions.udf.CIQ($G677,$S677,Y118,Valuation_Date_GC,ReportType,DataMode,$H677)*Scale=0,"--",_xll.ciqfunctions.udf.CIQ($G677,$S677,Y118,Valuation_Date_GC,ReportType,DataMode,$H677)*Scale),"--"))</f>
        <v>--</v>
      </c>
      <c r="Z677" s="2078" t="str">
        <f t="shared" si="182"/>
        <v/>
      </c>
      <c r="AA677" s="2301">
        <f>_xll.ciqfunctions.udf.CIQ($G677,"IQ_REVENUE_NUM_EST",U$97,Valuation_Date_GC,"CON")</f>
        <v>0</v>
      </c>
      <c r="AB677" s="2301">
        <f>_xll.ciqfunctions.udf.CIQ($G677,"IQ_REVENUE_NUM_EST",V$97,Valuation_Date_GC,"CON")</f>
        <v>0</v>
      </c>
      <c r="AC677" s="2301">
        <f>_xll.ciqfunctions.udf.CIQ($G677,"IQ_REVENUE_NUM_EST",W$97,Valuation_Date_GC,"CON")</f>
        <v>0</v>
      </c>
      <c r="AD677" s="2301">
        <f>_xll.ciqfunctions.udf.CIQ($G677,"IQ_REVENUE_NUM_EST",X$97,Valuation_Date_GC,"CON")</f>
        <v>0</v>
      </c>
      <c r="AE677" s="2301">
        <f>_xll.ciqfunctions.udf.CIQ($G677,"IQ_REVENUE_NUM_EST",Y$97,Valuation_Date_GC,"CON")</f>
        <v>0</v>
      </c>
      <c r="AF677" s="2060"/>
      <c r="AG677" s="2060"/>
      <c r="AH677" s="2060"/>
    </row>
    <row r="678" spans="1:34" s="89" customFormat="1" ht="13.9">
      <c r="A678" s="269" t="str">
        <f t="shared" si="183"/>
        <v>n</v>
      </c>
      <c r="B678" s="2060"/>
      <c r="D678" s="801"/>
      <c r="E678" s="1505">
        <v>20</v>
      </c>
      <c r="F678" s="21" t="str">
        <f>F$148</f>
        <v>--</v>
      </c>
      <c r="G678" s="1441">
        <f>G$148</f>
        <v>0</v>
      </c>
      <c r="H678" s="1441" t="str">
        <f>H$148</f>
        <v>--</v>
      </c>
      <c r="I678" s="1513" t="s">
        <v>810</v>
      </c>
      <c r="J678" s="2301" t="str">
        <f>IF($G678=0,"--",IFERROR(_xll.ciqfunctions.udf.CIQ($G678,$I678,J119,Valuation_Date_GC,ReportType,DataMode,$H678,FXMode)*Scale,"--"))</f>
        <v>--</v>
      </c>
      <c r="K678" s="2301" t="str">
        <f>IF($G678=0,"--",IFERROR(_xll.ciqfunctions.udf.CIQ($G678,$I678,K119,Valuation_Date_GC,ReportType,DataMode,$H678,FXMode)*Scale,"--"))</f>
        <v>--</v>
      </c>
      <c r="L678" s="2301" t="str">
        <f>IF($G678=0,"--",IFERROR(_xll.ciqfunctions.udf.CIQ($G678,$I678,L119,Valuation_Date_GC,ReportType,DataMode,$H678,FXMode)*Scale,"--"))</f>
        <v>--</v>
      </c>
      <c r="M678" s="2301" t="str">
        <f>IF($G678=0,"--",IFERROR(_xll.ciqfunctions.udf.CIQ($G678,$I678,M119,Valuation_Date_GC,ReportType,DataMode,$H678,FXMode)*Scale,"--"))</f>
        <v>--</v>
      </c>
      <c r="N678" s="2301" t="str">
        <f>IF($G678=0,"--",IFERROR(_xll.ciqfunctions.udf.CIQ($G678,$I678,N119,Valuation_Date_GC,ReportType,DataMode,$H678,FXMode)*Scale,"--"))</f>
        <v>--</v>
      </c>
      <c r="O678" s="2317" t="str">
        <f>IF($G678=0,"--",IFERROR(IF(O119=1001,_xll.ciqfunctions.udf.CIQ($G678,$S678,O119,Valuation_Date_GC,ReportType,DataMode,$H678,FXMode),_xll.ciqfunctions.udf.CIQ($G678,$I678,O119,Valuation_Date_GC,ReportType,DataMode,$H678,FXMode))*Scale,"--"))</f>
        <v>--</v>
      </c>
      <c r="P678" s="2301" t="str">
        <f>IF($G678=0,"--",IFERROR(_xll.ciqfunctions.udf.CIQ($G678,$I678,P119,Valuation_Date_GC,ReportType,DataMode,$H678,FXMode)*Scale,"--"))</f>
        <v>--</v>
      </c>
      <c r="R678" s="2301" t="str">
        <f>IF($G678=0,"--",IFERROR(_xll.ciqfunctions.udf.CIQ($G678,$I678,R119,Valuation_Date_GC,ReportType,DataMode,$H678,FXMode)*Scale,"--"))</f>
        <v>--</v>
      </c>
      <c r="S678" s="89" t="s">
        <v>809</v>
      </c>
      <c r="T678" s="2301" t="str">
        <f>IF(H119=0,O678,IF($G678=0,"--",IFERROR(_xll.ciqfunctions.udf.CIQ($G678,$S678,U119-1,Valuation_Date_GC,ReportType,DataMode,$H678)*Scale,"--")))</f>
        <v>--</v>
      </c>
      <c r="U678" s="2301" t="str">
        <f>IF($G678=0,"--",IFERROR(IF(_xll.ciqfunctions.udf.CIQ($G678,$S678,U119,Valuation_Date_GC,ReportType,DataMode,$H678)*Scale=0,"--",_xll.ciqfunctions.udf.CIQ($G678,$S678,U119,Valuation_Date_GC,ReportType,DataMode,$H678)*Scale),"--"))</f>
        <v>--</v>
      </c>
      <c r="V678" s="2301" t="str">
        <f>IF($G678=0,"--",IFERROR(IF(_xll.ciqfunctions.udf.CIQ($G678,$S678,V119,Valuation_Date_GC,ReportType,DataMode,$H678)*Scale=0,"--",_xll.ciqfunctions.udf.CIQ($G678,$S678,V119,Valuation_Date_GC,ReportType,DataMode,$H678)*Scale),"--"))</f>
        <v>--</v>
      </c>
      <c r="W678" s="2301" t="str">
        <f>IF($G678=0,"--",IFERROR(IF(_xll.ciqfunctions.udf.CIQ($G678,$S678,W119,Valuation_Date_GC,ReportType,DataMode,$H678)*Scale=0,"--",_xll.ciqfunctions.udf.CIQ($G678,$S678,W119,Valuation_Date_GC,ReportType,DataMode,$H678)*Scale),"--"))</f>
        <v>--</v>
      </c>
      <c r="X678" s="2301" t="str">
        <f>IF($G678=0,"--",IFERROR(IF(_xll.ciqfunctions.udf.CIQ($G678,$S678,X119,Valuation_Date_GC,ReportType,DataMode,$H678)*Scale=0,"--",_xll.ciqfunctions.udf.CIQ($G678,$S678,X119,Valuation_Date_GC,ReportType,DataMode,$H678)*Scale),"--"))</f>
        <v>--</v>
      </c>
      <c r="Y678" s="2301" t="str">
        <f>IF($G678=0,"--",IFERROR(IF(_xll.ciqfunctions.udf.CIQ($G678,$S678,Y119,Valuation_Date_GC,ReportType,DataMode,$H678)*Scale=0,"--",_xll.ciqfunctions.udf.CIQ($G678,$S678,Y119,Valuation_Date_GC,ReportType,DataMode,$H678)*Scale),"--"))</f>
        <v>--</v>
      </c>
      <c r="Z678" s="2078" t="str">
        <f t="shared" si="182"/>
        <v/>
      </c>
      <c r="AA678" s="2301">
        <f>_xll.ciqfunctions.udf.CIQ($G678,"IQ_REVENUE_NUM_EST",U$97,Valuation_Date_GC,"CON")</f>
        <v>0</v>
      </c>
      <c r="AB678" s="2301">
        <f>_xll.ciqfunctions.udf.CIQ($G678,"IQ_REVENUE_NUM_EST",V$97,Valuation_Date_GC,"CON")</f>
        <v>0</v>
      </c>
      <c r="AC678" s="2301">
        <f>_xll.ciqfunctions.udf.CIQ($G678,"IQ_REVENUE_NUM_EST",W$97,Valuation_Date_GC,"CON")</f>
        <v>0</v>
      </c>
      <c r="AD678" s="2301">
        <f>_xll.ciqfunctions.udf.CIQ($G678,"IQ_REVENUE_NUM_EST",X$97,Valuation_Date_GC,"CON")</f>
        <v>0</v>
      </c>
      <c r="AE678" s="2301">
        <f>_xll.ciqfunctions.udf.CIQ($G678,"IQ_REVENUE_NUM_EST",Y$97,Valuation_Date_GC,"CON")</f>
        <v>0</v>
      </c>
      <c r="AF678" s="2060"/>
      <c r="AG678" s="2060"/>
      <c r="AH678" s="2060"/>
    </row>
    <row r="679" spans="1:34" s="89" customFormat="1" ht="13.9">
      <c r="A679" s="269" t="str">
        <f t="shared" si="183"/>
        <v>n</v>
      </c>
      <c r="B679" s="2060"/>
      <c r="D679" s="801"/>
      <c r="E679" s="1505">
        <v>21</v>
      </c>
      <c r="F679" s="21" t="str">
        <f>F$149</f>
        <v>--</v>
      </c>
      <c r="G679" s="1441">
        <f>G$149</f>
        <v>0</v>
      </c>
      <c r="H679" s="1441" t="str">
        <f>H$149</f>
        <v>--</v>
      </c>
      <c r="I679" s="1513" t="s">
        <v>810</v>
      </c>
      <c r="J679" s="2301" t="str">
        <f>IF($G679=0,"--",IFERROR(_xll.ciqfunctions.udf.CIQ($G679,$I679,J120,Valuation_Date_GC,ReportType,DataMode,$H679,FXMode)*Scale,"--"))</f>
        <v>--</v>
      </c>
      <c r="K679" s="2301" t="str">
        <f>IF($G679=0,"--",IFERROR(_xll.ciqfunctions.udf.CIQ($G679,$I679,K120,Valuation_Date_GC,ReportType,DataMode,$H679,FXMode)*Scale,"--"))</f>
        <v>--</v>
      </c>
      <c r="L679" s="2301" t="str">
        <f>IF($G679=0,"--",IFERROR(_xll.ciqfunctions.udf.CIQ($G679,$I679,L120,Valuation_Date_GC,ReportType,DataMode,$H679,FXMode)*Scale,"--"))</f>
        <v>--</v>
      </c>
      <c r="M679" s="2301" t="str">
        <f>IF($G679=0,"--",IFERROR(_xll.ciqfunctions.udf.CIQ($G679,$I679,M120,Valuation_Date_GC,ReportType,DataMode,$H679,FXMode)*Scale,"--"))</f>
        <v>--</v>
      </c>
      <c r="N679" s="2301" t="str">
        <f>IF($G679=0,"--",IFERROR(_xll.ciqfunctions.udf.CIQ($G679,$I679,N120,Valuation_Date_GC,ReportType,DataMode,$H679,FXMode)*Scale,"--"))</f>
        <v>--</v>
      </c>
      <c r="O679" s="2317" t="str">
        <f>IF($G679=0,"--",IFERROR(IF(O120=1001,_xll.ciqfunctions.udf.CIQ($G679,$S679,O120,Valuation_Date_GC,ReportType,DataMode,$H679,FXMode),_xll.ciqfunctions.udf.CIQ($G679,$I679,O120,Valuation_Date_GC,ReportType,DataMode,$H679,FXMode))*Scale,"--"))</f>
        <v>--</v>
      </c>
      <c r="P679" s="2301" t="str">
        <f>IF($G679=0,"--",IFERROR(_xll.ciqfunctions.udf.CIQ($G679,$I679,P120,Valuation_Date_GC,ReportType,DataMode,$H679,FXMode)*Scale,"--"))</f>
        <v>--</v>
      </c>
      <c r="R679" s="2301" t="str">
        <f>IF($G679=0,"--",IFERROR(_xll.ciqfunctions.udf.CIQ($G679,$I679,R120,Valuation_Date_GC,ReportType,DataMode,$H679,FXMode)*Scale,"--"))</f>
        <v>--</v>
      </c>
      <c r="S679" s="89" t="s">
        <v>809</v>
      </c>
      <c r="T679" s="2301" t="str">
        <f>IF(H120=0,O679,IF($G679=0,"--",IFERROR(_xll.ciqfunctions.udf.CIQ($G679,$S679,U120-1,Valuation_Date_GC,ReportType,DataMode,$H679)*Scale,"--")))</f>
        <v>--</v>
      </c>
      <c r="U679" s="2301" t="str">
        <f>IF($G679=0,"--",IFERROR(IF(_xll.ciqfunctions.udf.CIQ($G679,$S679,U120,Valuation_Date_GC,ReportType,DataMode,$H679)*Scale=0,"--",_xll.ciqfunctions.udf.CIQ($G679,$S679,U120,Valuation_Date_GC,ReportType,DataMode,$H679)*Scale),"--"))</f>
        <v>--</v>
      </c>
      <c r="V679" s="2301" t="str">
        <f>IF($G679=0,"--",IFERROR(IF(_xll.ciqfunctions.udf.CIQ($G679,$S679,V120,Valuation_Date_GC,ReportType,DataMode,$H679)*Scale=0,"--",_xll.ciqfunctions.udf.CIQ($G679,$S679,V120,Valuation_Date_GC,ReportType,DataMode,$H679)*Scale),"--"))</f>
        <v>--</v>
      </c>
      <c r="W679" s="2301" t="str">
        <f>IF($G679=0,"--",IFERROR(IF(_xll.ciqfunctions.udf.CIQ($G679,$S679,W120,Valuation_Date_GC,ReportType,DataMode,$H679)*Scale=0,"--",_xll.ciqfunctions.udf.CIQ($G679,$S679,W120,Valuation_Date_GC,ReportType,DataMode,$H679)*Scale),"--"))</f>
        <v>--</v>
      </c>
      <c r="X679" s="2301" t="str">
        <f>IF($G679=0,"--",IFERROR(IF(_xll.ciqfunctions.udf.CIQ($G679,$S679,X120,Valuation_Date_GC,ReportType,DataMode,$H679)*Scale=0,"--",_xll.ciqfunctions.udf.CIQ($G679,$S679,X120,Valuation_Date_GC,ReportType,DataMode,$H679)*Scale),"--"))</f>
        <v>--</v>
      </c>
      <c r="Y679" s="2301" t="str">
        <f>IF($G679=0,"--",IFERROR(IF(_xll.ciqfunctions.udf.CIQ($G679,$S679,Y120,Valuation_Date_GC,ReportType,DataMode,$H679)*Scale=0,"--",_xll.ciqfunctions.udf.CIQ($G679,$S679,Y120,Valuation_Date_GC,ReportType,DataMode,$H679)*Scale),"--"))</f>
        <v>--</v>
      </c>
      <c r="Z679" s="2078" t="str">
        <f t="shared" si="182"/>
        <v/>
      </c>
      <c r="AA679" s="2301">
        <f>_xll.ciqfunctions.udf.CIQ($G679,"IQ_REVENUE_NUM_EST",U$97,Valuation_Date_GC,"CON")</f>
        <v>0</v>
      </c>
      <c r="AB679" s="2301">
        <f>_xll.ciqfunctions.udf.CIQ($G679,"IQ_REVENUE_NUM_EST",V$97,Valuation_Date_GC,"CON")</f>
        <v>0</v>
      </c>
      <c r="AC679" s="2301">
        <f>_xll.ciqfunctions.udf.CIQ($G679,"IQ_REVENUE_NUM_EST",W$97,Valuation_Date_GC,"CON")</f>
        <v>0</v>
      </c>
      <c r="AD679" s="2301">
        <f>_xll.ciqfunctions.udf.CIQ($G679,"IQ_REVENUE_NUM_EST",X$97,Valuation_Date_GC,"CON")</f>
        <v>0</v>
      </c>
      <c r="AE679" s="2301">
        <f>_xll.ciqfunctions.udf.CIQ($G679,"IQ_REVENUE_NUM_EST",Y$97,Valuation_Date_GC,"CON")</f>
        <v>0</v>
      </c>
      <c r="AF679" s="2060"/>
      <c r="AG679" s="2060"/>
      <c r="AH679" s="2060"/>
    </row>
    <row r="680" spans="1:34" s="89" customFormat="1" ht="13.9">
      <c r="A680" s="269" t="str">
        <f t="shared" si="183"/>
        <v>n</v>
      </c>
      <c r="B680" s="2060"/>
      <c r="D680" s="801"/>
      <c r="E680" s="1505">
        <v>22</v>
      </c>
      <c r="F680" s="21" t="str">
        <f>F$150</f>
        <v>--</v>
      </c>
      <c r="G680" s="1441">
        <f>G$150</f>
        <v>0</v>
      </c>
      <c r="H680" s="1441" t="str">
        <f>H$150</f>
        <v>--</v>
      </c>
      <c r="I680" s="1513" t="s">
        <v>810</v>
      </c>
      <c r="J680" s="2301" t="str">
        <f>IF($G680=0,"--",IFERROR(_xll.ciqfunctions.udf.CIQ($G680,$I680,J121,Valuation_Date_GC,ReportType,DataMode,$H680,FXMode)*Scale,"--"))</f>
        <v>--</v>
      </c>
      <c r="K680" s="2301" t="str">
        <f>IF($G680=0,"--",IFERROR(_xll.ciqfunctions.udf.CIQ($G680,$I680,K121,Valuation_Date_GC,ReportType,DataMode,$H680,FXMode)*Scale,"--"))</f>
        <v>--</v>
      </c>
      <c r="L680" s="2301" t="str">
        <f>IF($G680=0,"--",IFERROR(_xll.ciqfunctions.udf.CIQ($G680,$I680,L121,Valuation_Date_GC,ReportType,DataMode,$H680,FXMode)*Scale,"--"))</f>
        <v>--</v>
      </c>
      <c r="M680" s="2301" t="str">
        <f>IF($G680=0,"--",IFERROR(_xll.ciqfunctions.udf.CIQ($G680,$I680,M121,Valuation_Date_GC,ReportType,DataMode,$H680,FXMode)*Scale,"--"))</f>
        <v>--</v>
      </c>
      <c r="N680" s="2301" t="str">
        <f>IF($G680=0,"--",IFERROR(_xll.ciqfunctions.udf.CIQ($G680,$I680,N121,Valuation_Date_GC,ReportType,DataMode,$H680,FXMode)*Scale,"--"))</f>
        <v>--</v>
      </c>
      <c r="O680" s="2317" t="str">
        <f>IF($G680=0,"--",IFERROR(IF(O121=1001,_xll.ciqfunctions.udf.CIQ($G680,$S680,O121,Valuation_Date_GC,ReportType,DataMode,$H680,FXMode),_xll.ciqfunctions.udf.CIQ($G680,$I680,O121,Valuation_Date_GC,ReportType,DataMode,$H680,FXMode))*Scale,"--"))</f>
        <v>--</v>
      </c>
      <c r="P680" s="2301" t="str">
        <f>IF($G680=0,"--",IFERROR(_xll.ciqfunctions.udf.CIQ($G680,$I680,P121,Valuation_Date_GC,ReportType,DataMode,$H680,FXMode)*Scale,"--"))</f>
        <v>--</v>
      </c>
      <c r="R680" s="2301" t="str">
        <f>IF($G680=0,"--",IFERROR(_xll.ciqfunctions.udf.CIQ($G680,$I680,R121,Valuation_Date_GC,ReportType,DataMode,$H680,FXMode)*Scale,"--"))</f>
        <v>--</v>
      </c>
      <c r="S680" s="89" t="s">
        <v>809</v>
      </c>
      <c r="T680" s="2301" t="str">
        <f>IF(H121=0,O680,IF($G680=0,"--",IFERROR(_xll.ciqfunctions.udf.CIQ($G680,$S680,U121-1,Valuation_Date_GC,ReportType,DataMode,$H680)*Scale,"--")))</f>
        <v>--</v>
      </c>
      <c r="U680" s="2301" t="str">
        <f>IF($G680=0,"--",IFERROR(IF(_xll.ciqfunctions.udf.CIQ($G680,$S680,U121,Valuation_Date_GC,ReportType,DataMode,$H680)*Scale=0,"--",_xll.ciqfunctions.udf.CIQ($G680,$S680,U121,Valuation_Date_GC,ReportType,DataMode,$H680)*Scale),"--"))</f>
        <v>--</v>
      </c>
      <c r="V680" s="2301" t="str">
        <f>IF($G680=0,"--",IFERROR(IF(_xll.ciqfunctions.udf.CIQ($G680,$S680,V121,Valuation_Date_GC,ReportType,DataMode,$H680)*Scale=0,"--",_xll.ciqfunctions.udf.CIQ($G680,$S680,V121,Valuation_Date_GC,ReportType,DataMode,$H680)*Scale),"--"))</f>
        <v>--</v>
      </c>
      <c r="W680" s="2301" t="str">
        <f>IF($G680=0,"--",IFERROR(IF(_xll.ciqfunctions.udf.CIQ($G680,$S680,W121,Valuation_Date_GC,ReportType,DataMode,$H680)*Scale=0,"--",_xll.ciqfunctions.udf.CIQ($G680,$S680,W121,Valuation_Date_GC,ReportType,DataMode,$H680)*Scale),"--"))</f>
        <v>--</v>
      </c>
      <c r="X680" s="2301" t="str">
        <f>IF($G680=0,"--",IFERROR(IF(_xll.ciqfunctions.udf.CIQ($G680,$S680,X121,Valuation_Date_GC,ReportType,DataMode,$H680)*Scale=0,"--",_xll.ciqfunctions.udf.CIQ($G680,$S680,X121,Valuation_Date_GC,ReportType,DataMode,$H680)*Scale),"--"))</f>
        <v>--</v>
      </c>
      <c r="Y680" s="2301" t="str">
        <f>IF($G680=0,"--",IFERROR(IF(_xll.ciqfunctions.udf.CIQ($G680,$S680,Y121,Valuation_Date_GC,ReportType,DataMode,$H680)*Scale=0,"--",_xll.ciqfunctions.udf.CIQ($G680,$S680,Y121,Valuation_Date_GC,ReportType,DataMode,$H680)*Scale),"--"))</f>
        <v>--</v>
      </c>
      <c r="Z680" s="2078" t="str">
        <f t="shared" si="182"/>
        <v/>
      </c>
      <c r="AA680" s="2301">
        <f>_xll.ciqfunctions.udf.CIQ($G680,"IQ_REVENUE_NUM_EST",U$97,Valuation_Date_GC,"CON")</f>
        <v>0</v>
      </c>
      <c r="AB680" s="2301">
        <f>_xll.ciqfunctions.udf.CIQ($G680,"IQ_REVENUE_NUM_EST",V$97,Valuation_Date_GC,"CON")</f>
        <v>0</v>
      </c>
      <c r="AC680" s="2301">
        <f>_xll.ciqfunctions.udf.CIQ($G680,"IQ_REVENUE_NUM_EST",W$97,Valuation_Date_GC,"CON")</f>
        <v>0</v>
      </c>
      <c r="AD680" s="2301">
        <f>_xll.ciqfunctions.udf.CIQ($G680,"IQ_REVENUE_NUM_EST",X$97,Valuation_Date_GC,"CON")</f>
        <v>0</v>
      </c>
      <c r="AE680" s="2301">
        <f>_xll.ciqfunctions.udf.CIQ($G680,"IQ_REVENUE_NUM_EST",Y$97,Valuation_Date_GC,"CON")</f>
        <v>0</v>
      </c>
      <c r="AF680" s="2060"/>
      <c r="AG680" s="2060"/>
      <c r="AH680" s="2060"/>
    </row>
    <row r="681" spans="1:34" s="89" customFormat="1" ht="13.9">
      <c r="A681" s="269" t="str">
        <f t="shared" si="183"/>
        <v>n</v>
      </c>
      <c r="B681" s="2060"/>
      <c r="D681" s="801"/>
      <c r="E681" s="1505">
        <v>23</v>
      </c>
      <c r="F681" s="21" t="str">
        <f>F$151</f>
        <v>--</v>
      </c>
      <c r="G681" s="1441">
        <f>G$151</f>
        <v>0</v>
      </c>
      <c r="H681" s="1441" t="str">
        <f>H$151</f>
        <v>--</v>
      </c>
      <c r="I681" s="1513" t="s">
        <v>810</v>
      </c>
      <c r="J681" s="2301" t="str">
        <f>IF($G681=0,"--",IFERROR(_xll.ciqfunctions.udf.CIQ($G681,$I681,J122,Valuation_Date_GC,ReportType,DataMode,$H681,FXMode)*Scale,"--"))</f>
        <v>--</v>
      </c>
      <c r="K681" s="2301" t="str">
        <f>IF($G681=0,"--",IFERROR(_xll.ciqfunctions.udf.CIQ($G681,$I681,K122,Valuation_Date_GC,ReportType,DataMode,$H681,FXMode)*Scale,"--"))</f>
        <v>--</v>
      </c>
      <c r="L681" s="2301" t="str">
        <f>IF($G681=0,"--",IFERROR(_xll.ciqfunctions.udf.CIQ($G681,$I681,L122,Valuation_Date_GC,ReportType,DataMode,$H681,FXMode)*Scale,"--"))</f>
        <v>--</v>
      </c>
      <c r="M681" s="2301" t="str">
        <f>IF($G681=0,"--",IFERROR(_xll.ciqfunctions.udf.CIQ($G681,$I681,M122,Valuation_Date_GC,ReportType,DataMode,$H681,FXMode)*Scale,"--"))</f>
        <v>--</v>
      </c>
      <c r="N681" s="2301" t="str">
        <f>IF($G681=0,"--",IFERROR(_xll.ciqfunctions.udf.CIQ($G681,$I681,N122,Valuation_Date_GC,ReportType,DataMode,$H681,FXMode)*Scale,"--"))</f>
        <v>--</v>
      </c>
      <c r="O681" s="2317" t="str">
        <f>IF($G681=0,"--",IFERROR(IF(O122=1001,_xll.ciqfunctions.udf.CIQ($G681,$S681,O122,Valuation_Date_GC,ReportType,DataMode,$H681,FXMode),_xll.ciqfunctions.udf.CIQ($G681,$I681,O122,Valuation_Date_GC,ReportType,DataMode,$H681,FXMode))*Scale,"--"))</f>
        <v>--</v>
      </c>
      <c r="P681" s="2301" t="str">
        <f>IF($G681=0,"--",IFERROR(_xll.ciqfunctions.udf.CIQ($G681,$I681,P122,Valuation_Date_GC,ReportType,DataMode,$H681,FXMode)*Scale,"--"))</f>
        <v>--</v>
      </c>
      <c r="R681" s="2301" t="str">
        <f>IF($G681=0,"--",IFERROR(_xll.ciqfunctions.udf.CIQ($G681,$I681,R122,Valuation_Date_GC,ReportType,DataMode,$H681,FXMode)*Scale,"--"))</f>
        <v>--</v>
      </c>
      <c r="S681" s="89" t="s">
        <v>809</v>
      </c>
      <c r="T681" s="2301" t="str">
        <f>IF(H122=0,O681,IF($G681=0,"--",IFERROR(_xll.ciqfunctions.udf.CIQ($G681,$S681,U122-1,Valuation_Date_GC,ReportType,DataMode,$H681)*Scale,"--")))</f>
        <v>--</v>
      </c>
      <c r="U681" s="2301" t="str">
        <f>IF($G681=0,"--",IFERROR(IF(_xll.ciqfunctions.udf.CIQ($G681,$S681,U122,Valuation_Date_GC,ReportType,DataMode,$H681)*Scale=0,"--",_xll.ciqfunctions.udf.CIQ($G681,$S681,U122,Valuation_Date_GC,ReportType,DataMode,$H681)*Scale),"--"))</f>
        <v>--</v>
      </c>
      <c r="V681" s="2301" t="str">
        <f>IF($G681=0,"--",IFERROR(IF(_xll.ciqfunctions.udf.CIQ($G681,$S681,V122,Valuation_Date_GC,ReportType,DataMode,$H681)*Scale=0,"--",_xll.ciqfunctions.udf.CIQ($G681,$S681,V122,Valuation_Date_GC,ReportType,DataMode,$H681)*Scale),"--"))</f>
        <v>--</v>
      </c>
      <c r="W681" s="2301" t="str">
        <f>IF($G681=0,"--",IFERROR(IF(_xll.ciqfunctions.udf.CIQ($G681,$S681,W122,Valuation_Date_GC,ReportType,DataMode,$H681)*Scale=0,"--",_xll.ciqfunctions.udf.CIQ($G681,$S681,W122,Valuation_Date_GC,ReportType,DataMode,$H681)*Scale),"--"))</f>
        <v>--</v>
      </c>
      <c r="X681" s="2301" t="str">
        <f>IF($G681=0,"--",IFERROR(IF(_xll.ciqfunctions.udf.CIQ($G681,$S681,X122,Valuation_Date_GC,ReportType,DataMode,$H681)*Scale=0,"--",_xll.ciqfunctions.udf.CIQ($G681,$S681,X122,Valuation_Date_GC,ReportType,DataMode,$H681)*Scale),"--"))</f>
        <v>--</v>
      </c>
      <c r="Y681" s="2301" t="str">
        <f>IF($G681=0,"--",IFERROR(IF(_xll.ciqfunctions.udf.CIQ($G681,$S681,Y122,Valuation_Date_GC,ReportType,DataMode,$H681)*Scale=0,"--",_xll.ciqfunctions.udf.CIQ($G681,$S681,Y122,Valuation_Date_GC,ReportType,DataMode,$H681)*Scale),"--"))</f>
        <v>--</v>
      </c>
      <c r="Z681" s="2078" t="str">
        <f t="shared" si="182"/>
        <v/>
      </c>
      <c r="AA681" s="2301">
        <f>_xll.ciqfunctions.udf.CIQ($G681,"IQ_REVENUE_NUM_EST",U$97,Valuation_Date_GC,"CON")</f>
        <v>0</v>
      </c>
      <c r="AB681" s="2301">
        <f>_xll.ciqfunctions.udf.CIQ($G681,"IQ_REVENUE_NUM_EST",V$97,Valuation_Date_GC,"CON")</f>
        <v>0</v>
      </c>
      <c r="AC681" s="2301">
        <f>_xll.ciqfunctions.udf.CIQ($G681,"IQ_REVENUE_NUM_EST",W$97,Valuation_Date_GC,"CON")</f>
        <v>0</v>
      </c>
      <c r="AD681" s="2301">
        <f>_xll.ciqfunctions.udf.CIQ($G681,"IQ_REVENUE_NUM_EST",X$97,Valuation_Date_GC,"CON")</f>
        <v>0</v>
      </c>
      <c r="AE681" s="2301">
        <f>_xll.ciqfunctions.udf.CIQ($G681,"IQ_REVENUE_NUM_EST",Y$97,Valuation_Date_GC,"CON")</f>
        <v>0</v>
      </c>
      <c r="AF681" s="2060"/>
      <c r="AG681" s="2060"/>
      <c r="AH681" s="2060"/>
    </row>
    <row r="682" spans="1:34" s="89" customFormat="1" ht="13.9">
      <c r="A682" s="269" t="str">
        <f t="shared" si="183"/>
        <v>n</v>
      </c>
      <c r="B682" s="2060"/>
      <c r="D682" s="801"/>
      <c r="E682" s="1505">
        <v>24</v>
      </c>
      <c r="F682" s="21" t="str">
        <f>F$152</f>
        <v>--</v>
      </c>
      <c r="G682" s="1441">
        <f>G$152</f>
        <v>0</v>
      </c>
      <c r="H682" s="1441" t="str">
        <f>H$152</f>
        <v>--</v>
      </c>
      <c r="I682" s="1513" t="s">
        <v>810</v>
      </c>
      <c r="J682" s="2301" t="str">
        <f>IF($G682=0,"--",IFERROR(_xll.ciqfunctions.udf.CIQ($G682,$I682,J123,Valuation_Date_GC,ReportType,DataMode,$H682,FXMode)*Scale,"--"))</f>
        <v>--</v>
      </c>
      <c r="K682" s="2301" t="str">
        <f>IF($G682=0,"--",IFERROR(_xll.ciqfunctions.udf.CIQ($G682,$I682,K123,Valuation_Date_GC,ReportType,DataMode,$H682,FXMode)*Scale,"--"))</f>
        <v>--</v>
      </c>
      <c r="L682" s="2301" t="str">
        <f>IF($G682=0,"--",IFERROR(_xll.ciqfunctions.udf.CIQ($G682,$I682,L123,Valuation_Date_GC,ReportType,DataMode,$H682,FXMode)*Scale,"--"))</f>
        <v>--</v>
      </c>
      <c r="M682" s="2301" t="str">
        <f>IF($G682=0,"--",IFERROR(_xll.ciqfunctions.udf.CIQ($G682,$I682,M123,Valuation_Date_GC,ReportType,DataMode,$H682,FXMode)*Scale,"--"))</f>
        <v>--</v>
      </c>
      <c r="N682" s="2301" t="str">
        <f>IF($G682=0,"--",IFERROR(_xll.ciqfunctions.udf.CIQ($G682,$I682,N123,Valuation_Date_GC,ReportType,DataMode,$H682,FXMode)*Scale,"--"))</f>
        <v>--</v>
      </c>
      <c r="O682" s="2317" t="str">
        <f>IF($G682=0,"--",IFERROR(IF(O123=1001,_xll.ciqfunctions.udf.CIQ($G682,$S682,O123,Valuation_Date_GC,ReportType,DataMode,$H682,FXMode),_xll.ciqfunctions.udf.CIQ($G682,$I682,O123,Valuation_Date_GC,ReportType,DataMode,$H682,FXMode))*Scale,"--"))</f>
        <v>--</v>
      </c>
      <c r="P682" s="2301" t="str">
        <f>IF($G682=0,"--",IFERROR(_xll.ciqfunctions.udf.CIQ($G682,$I682,P123,Valuation_Date_GC,ReportType,DataMode,$H682,FXMode)*Scale,"--"))</f>
        <v>--</v>
      </c>
      <c r="R682" s="2301" t="str">
        <f>IF($G682=0,"--",IFERROR(_xll.ciqfunctions.udf.CIQ($G682,$I682,R123,Valuation_Date_GC,ReportType,DataMode,$H682,FXMode)*Scale,"--"))</f>
        <v>--</v>
      </c>
      <c r="S682" s="89" t="s">
        <v>809</v>
      </c>
      <c r="T682" s="2301" t="str">
        <f>IF(H123=0,O682,IF($G682=0,"--",IFERROR(_xll.ciqfunctions.udf.CIQ($G682,$S682,U123-1,Valuation_Date_GC,ReportType,DataMode,$H682)*Scale,"--")))</f>
        <v>--</v>
      </c>
      <c r="U682" s="2301" t="str">
        <f>IF($G682=0,"--",IFERROR(IF(_xll.ciqfunctions.udf.CIQ($G682,$S682,U123,Valuation_Date_GC,ReportType,DataMode,$H682)*Scale=0,"--",_xll.ciqfunctions.udf.CIQ($G682,$S682,U123,Valuation_Date_GC,ReportType,DataMode,$H682)*Scale),"--"))</f>
        <v>--</v>
      </c>
      <c r="V682" s="2301" t="str">
        <f>IF($G682=0,"--",IFERROR(IF(_xll.ciqfunctions.udf.CIQ($G682,$S682,V123,Valuation_Date_GC,ReportType,DataMode,$H682)*Scale=0,"--",_xll.ciqfunctions.udf.CIQ($G682,$S682,V123,Valuation_Date_GC,ReportType,DataMode,$H682)*Scale),"--"))</f>
        <v>--</v>
      </c>
      <c r="W682" s="2301" t="str">
        <f>IF($G682=0,"--",IFERROR(IF(_xll.ciqfunctions.udf.CIQ($G682,$S682,W123,Valuation_Date_GC,ReportType,DataMode,$H682)*Scale=0,"--",_xll.ciqfunctions.udf.CIQ($G682,$S682,W123,Valuation_Date_GC,ReportType,DataMode,$H682)*Scale),"--"))</f>
        <v>--</v>
      </c>
      <c r="X682" s="2301" t="str">
        <f>IF($G682=0,"--",IFERROR(IF(_xll.ciqfunctions.udf.CIQ($G682,$S682,X123,Valuation_Date_GC,ReportType,DataMode,$H682)*Scale=0,"--",_xll.ciqfunctions.udf.CIQ($G682,$S682,X123,Valuation_Date_GC,ReportType,DataMode,$H682)*Scale),"--"))</f>
        <v>--</v>
      </c>
      <c r="Y682" s="2301" t="str">
        <f>IF($G682=0,"--",IFERROR(IF(_xll.ciqfunctions.udf.CIQ($G682,$S682,Y123,Valuation_Date_GC,ReportType,DataMode,$H682)*Scale=0,"--",_xll.ciqfunctions.udf.CIQ($G682,$S682,Y123,Valuation_Date_GC,ReportType,DataMode,$H682)*Scale),"--"))</f>
        <v>--</v>
      </c>
      <c r="Z682" s="2078" t="str">
        <f t="shared" si="182"/>
        <v/>
      </c>
      <c r="AA682" s="2301">
        <f>_xll.ciqfunctions.udf.CIQ($G682,"IQ_REVENUE_NUM_EST",U$97,Valuation_Date_GC,"CON")</f>
        <v>0</v>
      </c>
      <c r="AB682" s="2301">
        <f>_xll.ciqfunctions.udf.CIQ($G682,"IQ_REVENUE_NUM_EST",V$97,Valuation_Date_GC,"CON")</f>
        <v>0</v>
      </c>
      <c r="AC682" s="2301">
        <f>_xll.ciqfunctions.udf.CIQ($G682,"IQ_REVENUE_NUM_EST",W$97,Valuation_Date_GC,"CON")</f>
        <v>0</v>
      </c>
      <c r="AD682" s="2301">
        <f>_xll.ciqfunctions.udf.CIQ($G682,"IQ_REVENUE_NUM_EST",X$97,Valuation_Date_GC,"CON")</f>
        <v>0</v>
      </c>
      <c r="AE682" s="2301">
        <f>_xll.ciqfunctions.udf.CIQ($G682,"IQ_REVENUE_NUM_EST",Y$97,Valuation_Date_GC,"CON")</f>
        <v>0</v>
      </c>
      <c r="AF682" s="2060"/>
      <c r="AG682" s="2060"/>
      <c r="AH682" s="2060"/>
    </row>
    <row r="683" spans="1:34" s="89" customFormat="1" ht="13.9">
      <c r="A683" s="269" t="str">
        <f t="shared" si="183"/>
        <v>n</v>
      </c>
      <c r="B683" s="2060"/>
      <c r="D683" s="801"/>
      <c r="E683" s="1505">
        <v>25</v>
      </c>
      <c r="F683" s="21" t="str">
        <f>F$153</f>
        <v>--</v>
      </c>
      <c r="G683" s="1441">
        <f>G$153</f>
        <v>0</v>
      </c>
      <c r="H683" s="1441" t="str">
        <f>H$153</f>
        <v>--</v>
      </c>
      <c r="I683" s="1513" t="s">
        <v>810</v>
      </c>
      <c r="J683" s="2301" t="str">
        <f>IF($G683=0,"--",IFERROR(_xll.ciqfunctions.udf.CIQ($G683,$I683,J124,Valuation_Date_GC,ReportType,DataMode,$H683,FXMode)*Scale,"--"))</f>
        <v>--</v>
      </c>
      <c r="K683" s="2301" t="str">
        <f>IF($G683=0,"--",IFERROR(_xll.ciqfunctions.udf.CIQ($G683,$I683,K124,Valuation_Date_GC,ReportType,DataMode,$H683,FXMode)*Scale,"--"))</f>
        <v>--</v>
      </c>
      <c r="L683" s="2301" t="str">
        <f>IF($G683=0,"--",IFERROR(_xll.ciqfunctions.udf.CIQ($G683,$I683,L124,Valuation_Date_GC,ReportType,DataMode,$H683,FXMode)*Scale,"--"))</f>
        <v>--</v>
      </c>
      <c r="M683" s="2301" t="str">
        <f>IF($G683=0,"--",IFERROR(_xll.ciqfunctions.udf.CIQ($G683,$I683,M124,Valuation_Date_GC,ReportType,DataMode,$H683,FXMode)*Scale,"--"))</f>
        <v>--</v>
      </c>
      <c r="N683" s="2301" t="str">
        <f>IF($G683=0,"--",IFERROR(_xll.ciqfunctions.udf.CIQ($G683,$I683,N124,Valuation_Date_GC,ReportType,DataMode,$H683,FXMode)*Scale,"--"))</f>
        <v>--</v>
      </c>
      <c r="O683" s="2317" t="str">
        <f>IF($G683=0,"--",IFERROR(IF(O124=1001,_xll.ciqfunctions.udf.CIQ($G683,$S683,O124,Valuation_Date_GC,ReportType,DataMode,$H683,FXMode),_xll.ciqfunctions.udf.CIQ($G683,$I683,O124,Valuation_Date_GC,ReportType,DataMode,$H683,FXMode))*Scale,"--"))</f>
        <v>--</v>
      </c>
      <c r="P683" s="2301" t="str">
        <f>IF($G683=0,"--",IFERROR(_xll.ciqfunctions.udf.CIQ($G683,$I683,P124,Valuation_Date_GC,ReportType,DataMode,$H683,FXMode)*Scale,"--"))</f>
        <v>--</v>
      </c>
      <c r="R683" s="2301" t="str">
        <f>IF($G683=0,"--",IFERROR(_xll.ciqfunctions.udf.CIQ($G683,$I683,R124,Valuation_Date_GC,ReportType,DataMode,$H683,FXMode)*Scale,"--"))</f>
        <v>--</v>
      </c>
      <c r="S683" s="89" t="s">
        <v>809</v>
      </c>
      <c r="T683" s="2301" t="str">
        <f>IF(H124=0,O683,IF($G683=0,"--",IFERROR(_xll.ciqfunctions.udf.CIQ($G683,$S683,U124-1,Valuation_Date_GC,ReportType,DataMode,$H683)*Scale,"--")))</f>
        <v>--</v>
      </c>
      <c r="U683" s="2301" t="str">
        <f>IF($G683=0,"--",IFERROR(IF(_xll.ciqfunctions.udf.CIQ($G683,$S683,U124,Valuation_Date_GC,ReportType,DataMode,$H683)*Scale=0,"--",_xll.ciqfunctions.udf.CIQ($G683,$S683,U124,Valuation_Date_GC,ReportType,DataMode,$H683)*Scale),"--"))</f>
        <v>--</v>
      </c>
      <c r="V683" s="2301" t="str">
        <f>IF($G683=0,"--",IFERROR(IF(_xll.ciqfunctions.udf.CIQ($G683,$S683,V124,Valuation_Date_GC,ReportType,DataMode,$H683)*Scale=0,"--",_xll.ciqfunctions.udf.CIQ($G683,$S683,V124,Valuation_Date_GC,ReportType,DataMode,$H683)*Scale),"--"))</f>
        <v>--</v>
      </c>
      <c r="W683" s="2301" t="str">
        <f>IF($G683=0,"--",IFERROR(IF(_xll.ciqfunctions.udf.CIQ($G683,$S683,W124,Valuation_Date_GC,ReportType,DataMode,$H683)*Scale=0,"--",_xll.ciqfunctions.udf.CIQ($G683,$S683,W124,Valuation_Date_GC,ReportType,DataMode,$H683)*Scale),"--"))</f>
        <v>--</v>
      </c>
      <c r="X683" s="2301" t="str">
        <f>IF($G683=0,"--",IFERROR(IF(_xll.ciqfunctions.udf.CIQ($G683,$S683,X124,Valuation_Date_GC,ReportType,DataMode,$H683)*Scale=0,"--",_xll.ciqfunctions.udf.CIQ($G683,$S683,X124,Valuation_Date_GC,ReportType,DataMode,$H683)*Scale),"--"))</f>
        <v>--</v>
      </c>
      <c r="Y683" s="2301" t="str">
        <f>IF($G683=0,"--",IFERROR(IF(_xll.ciqfunctions.udf.CIQ($G683,$S683,Y124,Valuation_Date_GC,ReportType,DataMode,$H683)*Scale=0,"--",_xll.ciqfunctions.udf.CIQ($G683,$S683,Y124,Valuation_Date_GC,ReportType,DataMode,$H683)*Scale),"--"))</f>
        <v>--</v>
      </c>
      <c r="Z683" s="2078" t="str">
        <f t="shared" si="182"/>
        <v/>
      </c>
      <c r="AA683" s="2301">
        <f>_xll.ciqfunctions.udf.CIQ($G683,"IQ_REVENUE_NUM_EST",U$97,Valuation_Date_GC,"CON")</f>
        <v>0</v>
      </c>
      <c r="AB683" s="2301">
        <f>_xll.ciqfunctions.udf.CIQ($G683,"IQ_REVENUE_NUM_EST",V$97,Valuation_Date_GC,"CON")</f>
        <v>0</v>
      </c>
      <c r="AC683" s="2301">
        <f>_xll.ciqfunctions.udf.CIQ($G683,"IQ_REVENUE_NUM_EST",W$97,Valuation_Date_GC,"CON")</f>
        <v>0</v>
      </c>
      <c r="AD683" s="2301">
        <f>_xll.ciqfunctions.udf.CIQ($G683,"IQ_REVENUE_NUM_EST",X$97,Valuation_Date_GC,"CON")</f>
        <v>0</v>
      </c>
      <c r="AE683" s="2301">
        <f>_xll.ciqfunctions.udf.CIQ($G683,"IQ_REVENUE_NUM_EST",Y$97,Valuation_Date_GC,"CON")</f>
        <v>0</v>
      </c>
      <c r="AF683" s="2060"/>
      <c r="AG683" s="2060"/>
      <c r="AH683" s="2060"/>
    </row>
    <row r="684" spans="1:34" s="89" customFormat="1" ht="13.9">
      <c r="A684" s="2060"/>
      <c r="B684" s="2060"/>
      <c r="D684" s="801"/>
      <c r="F684" s="57" t="s">
        <v>767</v>
      </c>
      <c r="G684" s="1442"/>
      <c r="H684" s="1442"/>
      <c r="I684" s="1442"/>
      <c r="J684" s="1443" t="str">
        <f t="shared" ref="J684:P684" si="184">IFERROR(MEDIAN(J659:J683),"--")</f>
        <v>--</v>
      </c>
      <c r="K684" s="1443" t="str">
        <f t="shared" si="184"/>
        <v>--</v>
      </c>
      <c r="L684" s="1443" t="str">
        <f t="shared" si="184"/>
        <v>--</v>
      </c>
      <c r="M684" s="1443" t="str">
        <f t="shared" si="184"/>
        <v>--</v>
      </c>
      <c r="N684" s="1443" t="str">
        <f t="shared" si="184"/>
        <v>--</v>
      </c>
      <c r="O684" s="1444" t="str">
        <f t="shared" si="184"/>
        <v>--</v>
      </c>
      <c r="P684" s="1443" t="str">
        <f t="shared" si="184"/>
        <v>--</v>
      </c>
      <c r="R684" s="1443" t="str">
        <f>IFERROR(MEDIAN(R659:R683),"--")</f>
        <v>--</v>
      </c>
      <c r="T684" s="1443" t="str">
        <f t="shared" ref="T684:Y684" si="185">IFERROR(MEDIAN(T659:T683),"--")</f>
        <v>--</v>
      </c>
      <c r="U684" s="1443" t="str">
        <f t="shared" si="185"/>
        <v>--</v>
      </c>
      <c r="V684" s="1443" t="str">
        <f t="shared" si="185"/>
        <v>--</v>
      </c>
      <c r="W684" s="1443" t="str">
        <f t="shared" si="185"/>
        <v>--</v>
      </c>
      <c r="X684" s="1443" t="str">
        <f t="shared" si="185"/>
        <v>--</v>
      </c>
      <c r="Y684" s="1443" t="str">
        <f t="shared" si="185"/>
        <v>--</v>
      </c>
      <c r="AA684" s="2060"/>
      <c r="AB684" s="2060"/>
      <c r="AC684" s="2060"/>
      <c r="AD684" s="2060"/>
      <c r="AE684" s="2060"/>
      <c r="AF684" s="2060"/>
      <c r="AG684" s="2060"/>
      <c r="AH684" s="2060"/>
    </row>
    <row r="685" spans="1:34" s="89" customFormat="1" ht="13.9">
      <c r="A685" s="2060"/>
      <c r="B685" s="2060"/>
      <c r="D685" s="778"/>
      <c r="E685" s="21"/>
      <c r="F685" s="446"/>
      <c r="G685" s="1441"/>
      <c r="H685" s="1441"/>
      <c r="I685" s="1441"/>
      <c r="J685" s="1441"/>
      <c r="K685" s="1441"/>
      <c r="O685" s="75"/>
      <c r="P685" s="76"/>
      <c r="T685" s="255"/>
      <c r="U685" s="255"/>
      <c r="V685" s="255"/>
      <c r="W685" s="255"/>
      <c r="X685" s="255"/>
      <c r="Y685" s="255"/>
      <c r="Z685" s="2060"/>
      <c r="AA685" s="2060"/>
      <c r="AB685" s="2060"/>
      <c r="AC685" s="2060"/>
      <c r="AD685" s="2060"/>
      <c r="AE685" s="2060"/>
      <c r="AF685" s="2060"/>
      <c r="AG685" s="2060"/>
      <c r="AH685" s="2060"/>
    </row>
    <row r="686" spans="1:34" s="89" customFormat="1" ht="13.9">
      <c r="A686" s="2060"/>
      <c r="B686" s="2060"/>
      <c r="D686" s="778"/>
      <c r="E686" s="21"/>
      <c r="F686" s="446"/>
      <c r="G686" s="1441"/>
      <c r="H686" s="1441"/>
      <c r="I686" s="1441"/>
      <c r="J686" s="1441"/>
      <c r="K686" s="1441"/>
      <c r="O686" s="75"/>
      <c r="P686" s="76"/>
      <c r="T686" s="255"/>
      <c r="U686" s="255"/>
      <c r="V686" s="255"/>
      <c r="W686" s="255"/>
      <c r="X686" s="255"/>
      <c r="Y686" s="255"/>
      <c r="Z686" s="2060"/>
      <c r="AA686" s="2060"/>
      <c r="AB686" s="2060"/>
      <c r="AC686" s="2060"/>
      <c r="AD686" s="2060"/>
      <c r="AE686" s="2060"/>
      <c r="AF686" s="2060"/>
      <c r="AG686" s="2060"/>
      <c r="AH686" s="2060"/>
    </row>
    <row r="687" spans="1:34" s="89" customFormat="1" ht="13.9">
      <c r="A687" s="2060"/>
      <c r="B687" s="2060"/>
      <c r="D687" s="778"/>
      <c r="E687" s="21"/>
      <c r="F687" s="446"/>
      <c r="G687" s="1441"/>
      <c r="H687" s="1441"/>
      <c r="I687" s="1441"/>
      <c r="J687" s="1441"/>
      <c r="K687" s="1441"/>
      <c r="O687" s="75"/>
      <c r="P687" s="76"/>
      <c r="R687" s="521"/>
      <c r="T687" s="255"/>
      <c r="U687" s="255"/>
      <c r="V687" s="255"/>
      <c r="W687" s="255"/>
      <c r="X687" s="255"/>
      <c r="Y687" s="255"/>
      <c r="Z687" s="2060"/>
      <c r="AA687" s="2060"/>
      <c r="AB687" s="2060"/>
      <c r="AC687" s="2060"/>
      <c r="AD687" s="2060"/>
      <c r="AE687" s="2060"/>
      <c r="AF687" s="2060"/>
      <c r="AG687" s="2060"/>
      <c r="AH687" s="2060"/>
    </row>
    <row r="688" spans="1:34" s="89" customFormat="1" ht="13.9">
      <c r="A688" s="2060"/>
      <c r="B688" s="2060"/>
      <c r="D688" s="778">
        <f ca="1">MAX(OFFSET(D688,-1,0,-ROW(D688)+1,-2),1)+0.01</f>
        <v>5.0499999999999989</v>
      </c>
      <c r="E688" s="125"/>
      <c r="F688" s="952" t="s">
        <v>202</v>
      </c>
      <c r="G688" s="724" t="s">
        <v>796</v>
      </c>
      <c r="H688" s="766"/>
      <c r="I688" s="766"/>
      <c r="J688" s="766"/>
      <c r="K688" s="725" t="s">
        <v>700</v>
      </c>
      <c r="L688" s="725" t="s">
        <v>701</v>
      </c>
      <c r="M688" s="725" t="s">
        <v>702</v>
      </c>
      <c r="N688" s="725" t="s">
        <v>703</v>
      </c>
      <c r="O688" s="759" t="s">
        <v>704</v>
      </c>
      <c r="P688" s="725" t="s">
        <v>705</v>
      </c>
      <c r="R688" s="255"/>
      <c r="T688" s="255"/>
      <c r="U688" s="255"/>
      <c r="V688" s="255"/>
      <c r="W688" s="255"/>
      <c r="X688" s="255"/>
      <c r="Y688" s="255"/>
      <c r="Z688" s="2060"/>
      <c r="AA688" s="2060"/>
      <c r="AB688" s="2060"/>
      <c r="AC688" s="2060"/>
      <c r="AD688" s="2060"/>
      <c r="AE688" s="2060"/>
      <c r="AF688" s="2060"/>
      <c r="AG688" s="2060"/>
      <c r="AH688" s="2060"/>
    </row>
    <row r="689" spans="1:34" s="89" customFormat="1" ht="13.9">
      <c r="A689" s="2060"/>
      <c r="B689" s="2060"/>
      <c r="D689" s="778"/>
      <c r="E689" s="1505">
        <v>0</v>
      </c>
      <c r="F689" s="1448" t="str">
        <f>F$128</f>
        <v/>
      </c>
      <c r="G689" s="1449">
        <f>G$128</f>
        <v>0</v>
      </c>
      <c r="H689" s="1449" t="str">
        <f>H$128</f>
        <v>USD</v>
      </c>
      <c r="I689" s="258" t="s">
        <v>811</v>
      </c>
      <c r="J689" s="258"/>
      <c r="K689" s="2304">
        <f>-'INC STAT Hist Input'!F21</f>
        <v>0</v>
      </c>
      <c r="L689" s="2304">
        <f>-'INC STAT Hist Input'!G21</f>
        <v>0</v>
      </c>
      <c r="M689" s="2304">
        <f>-'INC STAT Hist Input'!H21</f>
        <v>0</v>
      </c>
      <c r="N689" s="2304">
        <f>-'INC STAT Hist Input'!I21</f>
        <v>0</v>
      </c>
      <c r="O689" s="1469">
        <f>-'INC STAT Hist Input'!J21</f>
        <v>0</v>
      </c>
      <c r="P689" s="1470">
        <f>-'INC STAT Hist Input'!K21</f>
        <v>0</v>
      </c>
      <c r="R689" s="255"/>
      <c r="T689" s="255"/>
      <c r="U689" s="255"/>
      <c r="V689" s="255"/>
      <c r="W689" s="255"/>
      <c r="X689" s="255"/>
      <c r="Y689" s="255"/>
      <c r="Z689" s="2060"/>
      <c r="AA689" s="2060"/>
      <c r="AB689" s="2060"/>
      <c r="AC689" s="2060"/>
      <c r="AD689" s="2060"/>
      <c r="AE689" s="2060"/>
      <c r="AF689" s="2060"/>
      <c r="AG689" s="2060"/>
      <c r="AH689" s="2060"/>
    </row>
    <row r="690" spans="1:34" s="89" customFormat="1" ht="13.9">
      <c r="A690" s="269" t="str">
        <f>IF(F690="--","n","")</f>
        <v>n</v>
      </c>
      <c r="B690" s="2060"/>
      <c r="D690" s="801"/>
      <c r="E690" s="1505">
        <v>1</v>
      </c>
      <c r="F690" s="21" t="str">
        <f>F$129</f>
        <v>--</v>
      </c>
      <c r="G690" s="1441">
        <f>G$129</f>
        <v>0</v>
      </c>
      <c r="H690" s="1441" t="str">
        <f>H$129</f>
        <v>--</v>
      </c>
      <c r="I690" s="89" t="s">
        <v>811</v>
      </c>
      <c r="K690" s="2301" t="str">
        <f>IFERROR(_xll.ciqfunctions.udf.CIQ($G690,$I690,K100,Valuation_Date_GC,ReportType,DataMode,$H690,FXMode)*Scale,"--")</f>
        <v>--</v>
      </c>
      <c r="L690" s="2301" t="str">
        <f>IFERROR(_xll.ciqfunctions.udf.CIQ($G690,$I690,L100,Valuation_Date_GC,ReportType,DataMode,$H690,FXMode)*Scale,"--")</f>
        <v>--</v>
      </c>
      <c r="M690" s="2301" t="str">
        <f>IFERROR(_xll.ciqfunctions.udf.CIQ($G690,$I690,M100,Valuation_Date_GC,ReportType,DataMode,$H690,FXMode)*Scale,"--")</f>
        <v>--</v>
      </c>
      <c r="N690" s="2301" t="str">
        <f>IFERROR(_xll.ciqfunctions.udf.CIQ($G690,$I690,N100,Valuation_Date_GC,ReportType,DataMode,$H690,FXMode)*Scale,"--")</f>
        <v>--</v>
      </c>
      <c r="O690" s="1471" t="str">
        <f>IFERROR(_xll.ciqfunctions.udf.CIQ($G690,$I690,O100,Valuation_Date_GC,ReportType,DataMode,$H690,FXMode)*Scale,"--")</f>
        <v>--</v>
      </c>
      <c r="P690" s="1472" t="str">
        <f>IFERROR(_xll.ciqfunctions.udf.CIQ($G690,$I690,P100,Valuation_Date_GC,ReportType,DataMode,$H690,FXMode)*Scale,"--")</f>
        <v>--</v>
      </c>
      <c r="R690" s="255"/>
      <c r="T690" s="255"/>
      <c r="U690" s="255"/>
      <c r="V690" s="255"/>
      <c r="W690" s="255"/>
      <c r="X690" s="255"/>
      <c r="Y690" s="255"/>
      <c r="Z690" s="2060"/>
      <c r="AA690" s="2060"/>
      <c r="AB690" s="2060"/>
      <c r="AC690" s="2060"/>
      <c r="AD690" s="2060"/>
      <c r="AE690" s="2060"/>
      <c r="AF690" s="2060"/>
      <c r="AG690" s="2060"/>
      <c r="AH690" s="2060"/>
    </row>
    <row r="691" spans="1:34" s="89" customFormat="1" ht="13.9">
      <c r="A691" s="269" t="str">
        <f t="shared" ref="A691:A714" si="186">IF(F691="--","n","")</f>
        <v>n</v>
      </c>
      <c r="B691" s="2060"/>
      <c r="D691" s="801"/>
      <c r="E691" s="1505">
        <v>2</v>
      </c>
      <c r="F691" s="21" t="str">
        <f>F$130</f>
        <v>--</v>
      </c>
      <c r="G691" s="1441">
        <f>G$130</f>
        <v>0</v>
      </c>
      <c r="H691" s="1441" t="str">
        <f>H$130</f>
        <v>--</v>
      </c>
      <c r="I691" s="89" t="s">
        <v>811</v>
      </c>
      <c r="K691" s="2301" t="str">
        <f>IFERROR(_xll.ciqfunctions.udf.CIQ($G691,$I691,K101,Valuation_Date_GC,ReportType,DataMode,$H691,FXMode)*Scale,"--")</f>
        <v>--</v>
      </c>
      <c r="L691" s="2301" t="str">
        <f>IFERROR(_xll.ciqfunctions.udf.CIQ($G691,$I691,L101,Valuation_Date_GC,ReportType,DataMode,$H691,FXMode)*Scale,"--")</f>
        <v>--</v>
      </c>
      <c r="M691" s="2301" t="str">
        <f>IFERROR(_xll.ciqfunctions.udf.CIQ($G691,$I691,M101,Valuation_Date_GC,ReportType,DataMode,$H691,FXMode)*Scale,"--")</f>
        <v>--</v>
      </c>
      <c r="N691" s="2301" t="str">
        <f>IFERROR(_xll.ciqfunctions.udf.CIQ($G691,$I691,N101,Valuation_Date_GC,ReportType,DataMode,$H691,FXMode)*Scale,"--")</f>
        <v>--</v>
      </c>
      <c r="O691" s="1471" t="str">
        <f>IFERROR(_xll.ciqfunctions.udf.CIQ($G691,$I691,O101,Valuation_Date_GC,ReportType,DataMode,$H691,FXMode)*Scale,"--")</f>
        <v>--</v>
      </c>
      <c r="P691" s="2301" t="str">
        <f>IFERROR(_xll.ciqfunctions.udf.CIQ($G691,$I691,P101,Valuation_Date_GC,ReportType,DataMode,$H691,FXMode)*Scale,"--")</f>
        <v>--</v>
      </c>
      <c r="R691" s="255"/>
      <c r="T691" s="255"/>
      <c r="U691" s="255"/>
      <c r="V691" s="255"/>
      <c r="W691" s="255"/>
      <c r="X691" s="255"/>
      <c r="Y691" s="255"/>
      <c r="Z691" s="2060"/>
      <c r="AA691" s="2060"/>
      <c r="AB691" s="2060"/>
      <c r="AC691" s="2060"/>
      <c r="AD691" s="2060"/>
      <c r="AE691" s="2060"/>
      <c r="AF691" s="2060"/>
      <c r="AG691" s="2060"/>
      <c r="AH691" s="2060"/>
    </row>
    <row r="692" spans="1:34" s="89" customFormat="1" ht="13.9">
      <c r="A692" s="269" t="str">
        <f t="shared" si="186"/>
        <v>n</v>
      </c>
      <c r="B692" s="2060"/>
      <c r="D692" s="801"/>
      <c r="E692" s="1505">
        <v>3</v>
      </c>
      <c r="F692" s="21" t="str">
        <f>F$131</f>
        <v>--</v>
      </c>
      <c r="G692" s="1441">
        <f>G$131</f>
        <v>0</v>
      </c>
      <c r="H692" s="1441" t="str">
        <f>H$131</f>
        <v>--</v>
      </c>
      <c r="I692" s="89" t="s">
        <v>811</v>
      </c>
      <c r="K692" s="2301" t="str">
        <f>IFERROR(_xll.ciqfunctions.udf.CIQ($G692,$I692,K102,Valuation_Date_GC,ReportType,DataMode,$H692,FXMode)*Scale,"--")</f>
        <v>--</v>
      </c>
      <c r="L692" s="2301" t="str">
        <f>IFERROR(_xll.ciqfunctions.udf.CIQ($G692,$I692,L102,Valuation_Date_GC,ReportType,DataMode,$H692,FXMode)*Scale,"--")</f>
        <v>--</v>
      </c>
      <c r="M692" s="2301" t="str">
        <f>IFERROR(_xll.ciqfunctions.udf.CIQ($G692,$I692,M102,Valuation_Date_GC,ReportType,DataMode,$H692,FXMode)*Scale,"--")</f>
        <v>--</v>
      </c>
      <c r="N692" s="2301" t="str">
        <f>IFERROR(_xll.ciqfunctions.udf.CIQ($G692,$I692,N102,Valuation_Date_GC,ReportType,DataMode,$H692,FXMode)*Scale,"--")</f>
        <v>--</v>
      </c>
      <c r="O692" s="1471" t="str">
        <f>IFERROR(_xll.ciqfunctions.udf.CIQ($G692,$I692,O102,Valuation_Date_GC,ReportType,DataMode,$H692,FXMode)*Scale,"--")</f>
        <v>--</v>
      </c>
      <c r="P692" s="2301" t="str">
        <f>IFERROR(_xll.ciqfunctions.udf.CIQ($G692,$I692,P102,Valuation_Date_GC,ReportType,DataMode,$H692,FXMode)*Scale,"--")</f>
        <v>--</v>
      </c>
      <c r="R692" s="255"/>
      <c r="T692" s="255"/>
      <c r="U692" s="255"/>
      <c r="V692" s="255"/>
      <c r="W692" s="255"/>
      <c r="X692" s="255"/>
      <c r="Y692" s="255"/>
      <c r="Z692" s="2060"/>
      <c r="AA692" s="2060"/>
      <c r="AB692" s="2060"/>
      <c r="AC692" s="2060"/>
      <c r="AD692" s="2060"/>
      <c r="AE692" s="2060"/>
      <c r="AF692" s="2060"/>
      <c r="AG692" s="2060"/>
      <c r="AH692" s="2060"/>
    </row>
    <row r="693" spans="1:34" s="89" customFormat="1" ht="13.9">
      <c r="A693" s="269" t="str">
        <f t="shared" si="186"/>
        <v>n</v>
      </c>
      <c r="B693" s="2060"/>
      <c r="D693" s="801"/>
      <c r="E693" s="1505">
        <v>4</v>
      </c>
      <c r="F693" s="21" t="str">
        <f>F$132</f>
        <v>--</v>
      </c>
      <c r="G693" s="1441">
        <f>G$132</f>
        <v>0</v>
      </c>
      <c r="H693" s="1441" t="str">
        <f>H$132</f>
        <v>--</v>
      </c>
      <c r="I693" s="89" t="s">
        <v>811</v>
      </c>
      <c r="K693" s="2301" t="str">
        <f>IFERROR(_xll.ciqfunctions.udf.CIQ($G693,$I693,K103,Valuation_Date_GC,ReportType,DataMode,$H693,FXMode)*Scale,"--")</f>
        <v>--</v>
      </c>
      <c r="L693" s="2301" t="str">
        <f>IFERROR(_xll.ciqfunctions.udf.CIQ($G693,$I693,L103,Valuation_Date_GC,ReportType,DataMode,$H693,FXMode)*Scale,"--")</f>
        <v>--</v>
      </c>
      <c r="M693" s="2301" t="str">
        <f>IFERROR(_xll.ciqfunctions.udf.CIQ($G693,$I693,M103,Valuation_Date_GC,ReportType,DataMode,$H693,FXMode)*Scale,"--")</f>
        <v>--</v>
      </c>
      <c r="N693" s="2301" t="str">
        <f>IFERROR(_xll.ciqfunctions.udf.CIQ($G693,$I693,N103,Valuation_Date_GC,ReportType,DataMode,$H693,FXMode)*Scale,"--")</f>
        <v>--</v>
      </c>
      <c r="O693" s="1471" t="str">
        <f>IFERROR(_xll.ciqfunctions.udf.CIQ($G693,$I693,O103,Valuation_Date_GC,ReportType,DataMode,$H693,FXMode)*Scale,"--")</f>
        <v>--</v>
      </c>
      <c r="P693" s="2301" t="str">
        <f>IFERROR(_xll.ciqfunctions.udf.CIQ($G693,$I693,P103,Valuation_Date_GC,ReportType,DataMode,$H693,FXMode)*Scale,"--")</f>
        <v>--</v>
      </c>
      <c r="R693" s="255"/>
      <c r="T693" s="255"/>
      <c r="U693" s="255"/>
      <c r="V693" s="255"/>
      <c r="W693" s="255"/>
      <c r="X693" s="255"/>
      <c r="Y693" s="255"/>
      <c r="Z693" s="2060"/>
      <c r="AA693" s="2060"/>
      <c r="AB693" s="2060"/>
      <c r="AC693" s="2060"/>
      <c r="AD693" s="2060"/>
      <c r="AE693" s="2060"/>
      <c r="AF693" s="2060"/>
      <c r="AG693" s="2060"/>
      <c r="AH693" s="2060"/>
    </row>
    <row r="694" spans="1:34" s="89" customFormat="1" ht="13.9">
      <c r="A694" s="269" t="str">
        <f t="shared" si="186"/>
        <v>n</v>
      </c>
      <c r="B694" s="2060"/>
      <c r="D694" s="801"/>
      <c r="E694" s="1505">
        <v>5</v>
      </c>
      <c r="F694" s="21" t="str">
        <f>F$133</f>
        <v>--</v>
      </c>
      <c r="G694" s="1441">
        <f>G$133</f>
        <v>0</v>
      </c>
      <c r="H694" s="1441" t="str">
        <f>H$133</f>
        <v>--</v>
      </c>
      <c r="I694" s="89" t="s">
        <v>811</v>
      </c>
      <c r="K694" s="2301" t="str">
        <f>IFERROR(_xll.ciqfunctions.udf.CIQ($G694,$I694,K104,Valuation_Date_GC,ReportType,DataMode,$H694,FXMode)*Scale,"--")</f>
        <v>--</v>
      </c>
      <c r="L694" s="2301" t="str">
        <f>IFERROR(_xll.ciqfunctions.udf.CIQ($G694,$I694,L104,Valuation_Date_GC,ReportType,DataMode,$H694,FXMode)*Scale,"--")</f>
        <v>--</v>
      </c>
      <c r="M694" s="2301" t="str">
        <f>IFERROR(_xll.ciqfunctions.udf.CIQ($G694,$I694,M104,Valuation_Date_GC,ReportType,DataMode,$H694,FXMode)*Scale,"--")</f>
        <v>--</v>
      </c>
      <c r="N694" s="2301" t="str">
        <f>IFERROR(_xll.ciqfunctions.udf.CIQ($G694,$I694,N104,Valuation_Date_GC,ReportType,DataMode,$H694,FXMode)*Scale,"--")</f>
        <v>--</v>
      </c>
      <c r="O694" s="1471" t="str">
        <f>IFERROR(_xll.ciqfunctions.udf.CIQ($G694,$I694,O104,Valuation_Date_GC,ReportType,DataMode,$H694,FXMode)*Scale,"--")</f>
        <v>--</v>
      </c>
      <c r="P694" s="2301" t="str">
        <f>IFERROR(_xll.ciqfunctions.udf.CIQ($G694,$I694,P104,Valuation_Date_GC,ReportType,DataMode,$H694,FXMode)*Scale,"--")</f>
        <v>--</v>
      </c>
      <c r="R694" s="255"/>
      <c r="T694" s="255"/>
      <c r="U694" s="255"/>
      <c r="V694" s="255"/>
      <c r="W694" s="255"/>
      <c r="X694" s="255"/>
      <c r="Y694" s="255"/>
      <c r="Z694" s="2060"/>
      <c r="AA694" s="2060"/>
      <c r="AB694" s="2060"/>
      <c r="AC694" s="2060"/>
      <c r="AD694" s="2060"/>
      <c r="AE694" s="2060"/>
      <c r="AF694" s="2060"/>
      <c r="AG694" s="2060"/>
      <c r="AH694" s="2060"/>
    </row>
    <row r="695" spans="1:34" s="89" customFormat="1" ht="13.9">
      <c r="A695" s="269" t="str">
        <f t="shared" si="186"/>
        <v>n</v>
      </c>
      <c r="B695" s="2060"/>
      <c r="D695" s="801"/>
      <c r="E695" s="1505">
        <v>6</v>
      </c>
      <c r="F695" s="21" t="str">
        <f>F$134</f>
        <v>--</v>
      </c>
      <c r="G695" s="1441">
        <f>G$134</f>
        <v>0</v>
      </c>
      <c r="H695" s="1441" t="str">
        <f>H$134</f>
        <v>--</v>
      </c>
      <c r="I695" s="89" t="s">
        <v>811</v>
      </c>
      <c r="K695" s="2301" t="str">
        <f>IFERROR(_xll.ciqfunctions.udf.CIQ($G695,$I695,K105,Valuation_Date_GC,ReportType,DataMode,$H695,FXMode)*Scale,"--")</f>
        <v>--</v>
      </c>
      <c r="L695" s="2301" t="str">
        <f>IFERROR(_xll.ciqfunctions.udf.CIQ($G695,$I695,L105,Valuation_Date_GC,ReportType,DataMode,$H695,FXMode)*Scale,"--")</f>
        <v>--</v>
      </c>
      <c r="M695" s="2301" t="str">
        <f>IFERROR(_xll.ciqfunctions.udf.CIQ($G695,$I695,M105,Valuation_Date_GC,ReportType,DataMode,$H695,FXMode)*Scale,"--")</f>
        <v>--</v>
      </c>
      <c r="N695" s="2301" t="str">
        <f>IFERROR(_xll.ciqfunctions.udf.CIQ($G695,$I695,N105,Valuation_Date_GC,ReportType,DataMode,$H695,FXMode)*Scale,"--")</f>
        <v>--</v>
      </c>
      <c r="O695" s="1471" t="str">
        <f>IFERROR(_xll.ciqfunctions.udf.CIQ($G695,$I695,O105,Valuation_Date_GC,ReportType,DataMode,$H695,FXMode)*Scale,"--")</f>
        <v>--</v>
      </c>
      <c r="P695" s="2301" t="str">
        <f>IFERROR(_xll.ciqfunctions.udf.CIQ($G695,$I695,P105,Valuation_Date_GC,ReportType,DataMode,$H695,FXMode)*Scale,"--")</f>
        <v>--</v>
      </c>
      <c r="R695" s="255"/>
      <c r="T695" s="255"/>
      <c r="U695" s="255"/>
      <c r="V695" s="255"/>
      <c r="W695" s="255"/>
      <c r="X695" s="255"/>
      <c r="Y695" s="255"/>
      <c r="Z695" s="2060"/>
      <c r="AA695" s="2060"/>
      <c r="AB695" s="2060"/>
      <c r="AC695" s="2060"/>
      <c r="AD695" s="2060"/>
      <c r="AE695" s="2060"/>
      <c r="AF695" s="2060"/>
      <c r="AG695" s="2060"/>
      <c r="AH695" s="2060"/>
    </row>
    <row r="696" spans="1:34" s="89" customFormat="1" ht="13.9">
      <c r="A696" s="269" t="str">
        <f t="shared" si="186"/>
        <v>n</v>
      </c>
      <c r="B696" s="2060"/>
      <c r="D696" s="801"/>
      <c r="E696" s="1505">
        <v>7</v>
      </c>
      <c r="F696" s="21" t="str">
        <f>F$135</f>
        <v>--</v>
      </c>
      <c r="G696" s="1441">
        <f>G$135</f>
        <v>0</v>
      </c>
      <c r="H696" s="1441" t="str">
        <f>H$135</f>
        <v>--</v>
      </c>
      <c r="I696" s="89" t="s">
        <v>811</v>
      </c>
      <c r="K696" s="2301" t="str">
        <f>IFERROR(_xll.ciqfunctions.udf.CIQ($G696,$I696,K106,Valuation_Date_GC,ReportType,DataMode,$H696,FXMode)*Scale,"--")</f>
        <v>--</v>
      </c>
      <c r="L696" s="2301" t="str">
        <f>IFERROR(_xll.ciqfunctions.udf.CIQ($G696,$I696,L106,Valuation_Date_GC,ReportType,DataMode,$H696,FXMode)*Scale,"--")</f>
        <v>--</v>
      </c>
      <c r="M696" s="2301" t="str">
        <f>IFERROR(_xll.ciqfunctions.udf.CIQ($G696,$I696,M106,Valuation_Date_GC,ReportType,DataMode,$H696,FXMode)*Scale,"--")</f>
        <v>--</v>
      </c>
      <c r="N696" s="2301" t="str">
        <f>IFERROR(_xll.ciqfunctions.udf.CIQ($G696,$I696,N106,Valuation_Date_GC,ReportType,DataMode,$H696,FXMode)*Scale,"--")</f>
        <v>--</v>
      </c>
      <c r="O696" s="1471" t="str">
        <f>IFERROR(_xll.ciqfunctions.udf.CIQ($G696,$I696,O106,Valuation_Date_GC,ReportType,DataMode,$H696,FXMode)*Scale,"--")</f>
        <v>--</v>
      </c>
      <c r="P696" s="2301" t="str">
        <f>IFERROR(_xll.ciqfunctions.udf.CIQ($G696,$I696,P106,Valuation_Date_GC,ReportType,DataMode,$H696,FXMode)*Scale,"--")</f>
        <v>--</v>
      </c>
      <c r="R696" s="255"/>
      <c r="T696" s="255"/>
      <c r="U696" s="255"/>
      <c r="V696" s="255"/>
      <c r="W696" s="255"/>
      <c r="X696" s="255"/>
      <c r="Y696" s="255"/>
      <c r="Z696" s="2060"/>
      <c r="AA696" s="2060"/>
      <c r="AB696" s="2060"/>
      <c r="AC696" s="2060"/>
      <c r="AD696" s="2060"/>
      <c r="AE696" s="2060"/>
      <c r="AF696" s="2060"/>
      <c r="AG696" s="2060"/>
    </row>
    <row r="697" spans="1:34" s="89" customFormat="1" ht="13.9">
      <c r="A697" s="269" t="str">
        <f t="shared" si="186"/>
        <v>n</v>
      </c>
      <c r="B697" s="2060"/>
      <c r="D697" s="801"/>
      <c r="E697" s="1505">
        <v>8</v>
      </c>
      <c r="F697" s="21" t="str">
        <f>F$136</f>
        <v>--</v>
      </c>
      <c r="G697" s="1441">
        <f>G$136</f>
        <v>0</v>
      </c>
      <c r="H697" s="1441" t="str">
        <f>H$136</f>
        <v>--</v>
      </c>
      <c r="I697" s="89" t="s">
        <v>811</v>
      </c>
      <c r="K697" s="2301" t="str">
        <f>IFERROR(_xll.ciqfunctions.udf.CIQ($G697,$I697,K107,Valuation_Date_GC,ReportType,DataMode,$H697,FXMode)*Scale,"--")</f>
        <v>--</v>
      </c>
      <c r="L697" s="2301" t="str">
        <f>IFERROR(_xll.ciqfunctions.udf.CIQ($G697,$I697,L107,Valuation_Date_GC,ReportType,DataMode,$H697,FXMode)*Scale,"--")</f>
        <v>--</v>
      </c>
      <c r="M697" s="2301" t="str">
        <f>IFERROR(_xll.ciqfunctions.udf.CIQ($G697,$I697,M107,Valuation_Date_GC,ReportType,DataMode,$H697,FXMode)*Scale,"--")</f>
        <v>--</v>
      </c>
      <c r="N697" s="2301" t="str">
        <f>IFERROR(_xll.ciqfunctions.udf.CIQ($G697,$I697,N107,Valuation_Date_GC,ReportType,DataMode,$H697,FXMode)*Scale,"--")</f>
        <v>--</v>
      </c>
      <c r="O697" s="1471" t="str">
        <f>IFERROR(_xll.ciqfunctions.udf.CIQ($G697,$I697,O107,Valuation_Date_GC,ReportType,DataMode,$H697,FXMode)*Scale,"--")</f>
        <v>--</v>
      </c>
      <c r="P697" s="2301" t="str">
        <f>IFERROR(_xll.ciqfunctions.udf.CIQ($G697,$I697,P107,Valuation_Date_GC,ReportType,DataMode,$H697,FXMode)*Scale,"--")</f>
        <v>--</v>
      </c>
      <c r="R697" s="255"/>
      <c r="T697" s="255"/>
      <c r="U697" s="255"/>
      <c r="V697" s="255"/>
      <c r="W697" s="255"/>
      <c r="X697" s="255"/>
      <c r="Y697" s="255"/>
      <c r="Z697" s="2060"/>
      <c r="AA697" s="2060"/>
      <c r="AB697" s="2060"/>
      <c r="AC697" s="2060"/>
      <c r="AD697" s="2060"/>
      <c r="AE697" s="2060"/>
      <c r="AF697" s="2060"/>
    </row>
    <row r="698" spans="1:34" s="89" customFormat="1" ht="13.9">
      <c r="A698" s="269" t="str">
        <f t="shared" si="186"/>
        <v>n</v>
      </c>
      <c r="B698" s="2060"/>
      <c r="D698" s="801"/>
      <c r="E698" s="1505">
        <v>9</v>
      </c>
      <c r="F698" s="21" t="str">
        <f>F$137</f>
        <v>--</v>
      </c>
      <c r="G698" s="1441">
        <f>G$137</f>
        <v>0</v>
      </c>
      <c r="H698" s="1441" t="str">
        <f>H$137</f>
        <v>--</v>
      </c>
      <c r="I698" s="89" t="s">
        <v>811</v>
      </c>
      <c r="K698" s="2301" t="str">
        <f>IFERROR(_xll.ciqfunctions.udf.CIQ($G698,$I698,K108,Valuation_Date_GC,ReportType,DataMode,$H698,FXMode)*Scale,"--")</f>
        <v>--</v>
      </c>
      <c r="L698" s="2301" t="str">
        <f>IFERROR(_xll.ciqfunctions.udf.CIQ($G698,$I698,L108,Valuation_Date_GC,ReportType,DataMode,$H698,FXMode)*Scale,"--")</f>
        <v>--</v>
      </c>
      <c r="M698" s="2301" t="str">
        <f>IFERROR(_xll.ciqfunctions.udf.CIQ($G698,$I698,M108,Valuation_Date_GC,ReportType,DataMode,$H698,FXMode)*Scale,"--")</f>
        <v>--</v>
      </c>
      <c r="N698" s="2301" t="str">
        <f>IFERROR(_xll.ciqfunctions.udf.CIQ($G698,$I698,N108,Valuation_Date_GC,ReportType,DataMode,$H698,FXMode)*Scale,"--")</f>
        <v>--</v>
      </c>
      <c r="O698" s="1471" t="str">
        <f>IFERROR(_xll.ciqfunctions.udf.CIQ($G698,$I698,O108,Valuation_Date_GC,ReportType,DataMode,$H698,FXMode)*Scale,"--")</f>
        <v>--</v>
      </c>
      <c r="P698" s="2301" t="str">
        <f>IFERROR(_xll.ciqfunctions.udf.CIQ($G698,$I698,P108,Valuation_Date_GC,ReportType,DataMode,$H698,FXMode)*Scale,"--")</f>
        <v>--</v>
      </c>
      <c r="R698" s="255"/>
      <c r="T698" s="255"/>
      <c r="U698" s="255"/>
      <c r="V698" s="255"/>
      <c r="W698" s="255"/>
      <c r="X698" s="255"/>
      <c r="Y698" s="255"/>
      <c r="Z698" s="2060"/>
      <c r="AA698" s="2060"/>
      <c r="AB698" s="2060"/>
      <c r="AC698" s="2060"/>
      <c r="AD698" s="2060"/>
      <c r="AE698" s="2060"/>
      <c r="AF698" s="2060"/>
    </row>
    <row r="699" spans="1:34" s="89" customFormat="1" ht="13.9">
      <c r="A699" s="269" t="str">
        <f t="shared" si="186"/>
        <v>n</v>
      </c>
      <c r="B699" s="2060"/>
      <c r="D699" s="801"/>
      <c r="E699" s="1505">
        <v>10</v>
      </c>
      <c r="F699" s="21" t="str">
        <f>F$138</f>
        <v>--</v>
      </c>
      <c r="G699" s="1441">
        <f>G$138</f>
        <v>0</v>
      </c>
      <c r="H699" s="1441" t="str">
        <f>H$138</f>
        <v>--</v>
      </c>
      <c r="I699" s="89" t="s">
        <v>811</v>
      </c>
      <c r="K699" s="2301" t="str">
        <f>IFERROR(_xll.ciqfunctions.udf.CIQ($G699,$I699,K109,Valuation_Date_GC,ReportType,DataMode,$H699,FXMode)*Scale,"--")</f>
        <v>--</v>
      </c>
      <c r="L699" s="2301" t="str">
        <f>IFERROR(_xll.ciqfunctions.udf.CIQ($G699,$I699,L109,Valuation_Date_GC,ReportType,DataMode,$H699,FXMode)*Scale,"--")</f>
        <v>--</v>
      </c>
      <c r="M699" s="2301" t="str">
        <f>IFERROR(_xll.ciqfunctions.udf.CIQ($G699,$I699,M109,Valuation_Date_GC,ReportType,DataMode,$H699,FXMode)*Scale,"--")</f>
        <v>--</v>
      </c>
      <c r="N699" s="2301" t="str">
        <f>IFERROR(_xll.ciqfunctions.udf.CIQ($G699,$I699,N109,Valuation_Date_GC,ReportType,DataMode,$H699,FXMode)*Scale,"--")</f>
        <v>--</v>
      </c>
      <c r="O699" s="1471" t="str">
        <f>IFERROR(_xll.ciqfunctions.udf.CIQ($G699,$I699,O109,Valuation_Date_GC,ReportType,DataMode,$H699,FXMode)*Scale,"--")</f>
        <v>--</v>
      </c>
      <c r="P699" s="2301" t="str">
        <f>IFERROR(_xll.ciqfunctions.udf.CIQ($G699,$I699,P109,Valuation_Date_GC,ReportType,DataMode,$H699,FXMode)*Scale,"--")</f>
        <v>--</v>
      </c>
      <c r="R699" s="255"/>
      <c r="T699" s="255"/>
      <c r="U699" s="255"/>
      <c r="V699" s="255"/>
      <c r="W699" s="255"/>
      <c r="X699" s="255"/>
      <c r="Y699" s="255"/>
      <c r="Z699" s="2060"/>
      <c r="AA699" s="2060"/>
      <c r="AB699" s="2060"/>
      <c r="AC699" s="2060"/>
      <c r="AD699" s="2060"/>
      <c r="AE699" s="2060"/>
      <c r="AF699" s="2060"/>
    </row>
    <row r="700" spans="1:34" s="89" customFormat="1" ht="13.9">
      <c r="A700" s="269" t="str">
        <f t="shared" si="186"/>
        <v>n</v>
      </c>
      <c r="B700" s="2060"/>
      <c r="D700" s="801"/>
      <c r="E700" s="1505">
        <v>11</v>
      </c>
      <c r="F700" s="21" t="str">
        <f>F$139</f>
        <v>--</v>
      </c>
      <c r="G700" s="1441">
        <f>G$139</f>
        <v>0</v>
      </c>
      <c r="H700" s="1441" t="str">
        <f>H$139</f>
        <v>--</v>
      </c>
      <c r="I700" s="89" t="s">
        <v>811</v>
      </c>
      <c r="K700" s="2301" t="str">
        <f>IFERROR(_xll.ciqfunctions.udf.CIQ($G700,$I700,K110,Valuation_Date_GC,ReportType,DataMode,$H700,FXMode)*Scale,"--")</f>
        <v>--</v>
      </c>
      <c r="L700" s="2301" t="str">
        <f>IFERROR(_xll.ciqfunctions.udf.CIQ($G700,$I700,L110,Valuation_Date_GC,ReportType,DataMode,$H700,FXMode)*Scale,"--")</f>
        <v>--</v>
      </c>
      <c r="M700" s="2301" t="str">
        <f>IFERROR(_xll.ciqfunctions.udf.CIQ($G700,$I700,M110,Valuation_Date_GC,ReportType,DataMode,$H700,FXMode)*Scale,"--")</f>
        <v>--</v>
      </c>
      <c r="N700" s="2301" t="str">
        <f>IFERROR(_xll.ciqfunctions.udf.CIQ($G700,$I700,N110,Valuation_Date_GC,ReportType,DataMode,$H700,FXMode)*Scale,"--")</f>
        <v>--</v>
      </c>
      <c r="O700" s="1471" t="str">
        <f>IFERROR(_xll.ciqfunctions.udf.CIQ($G700,$I700,O110,Valuation_Date_GC,ReportType,DataMode,$H700,FXMode)*Scale,"--")</f>
        <v>--</v>
      </c>
      <c r="P700" s="2301" t="str">
        <f>IFERROR(_xll.ciqfunctions.udf.CIQ($G700,$I700,P110,Valuation_Date_GC,ReportType,DataMode,$H700,FXMode)*Scale,"--")</f>
        <v>--</v>
      </c>
      <c r="R700" s="255"/>
      <c r="T700" s="255"/>
      <c r="U700" s="255"/>
      <c r="V700" s="255"/>
      <c r="W700" s="255"/>
      <c r="X700" s="255"/>
      <c r="Y700" s="255"/>
      <c r="Z700" s="2060"/>
      <c r="AA700" s="2060"/>
      <c r="AB700" s="2060"/>
      <c r="AC700" s="2060"/>
      <c r="AD700" s="2060"/>
      <c r="AE700" s="2060"/>
      <c r="AF700" s="2060"/>
    </row>
    <row r="701" spans="1:34" s="89" customFormat="1" ht="13.9">
      <c r="A701" s="269" t="str">
        <f t="shared" si="186"/>
        <v>n</v>
      </c>
      <c r="B701" s="2060"/>
      <c r="D701" s="801"/>
      <c r="E701" s="1505">
        <v>12</v>
      </c>
      <c r="F701" s="21" t="str">
        <f>F$140</f>
        <v>--</v>
      </c>
      <c r="G701" s="1441">
        <f>G$140</f>
        <v>0</v>
      </c>
      <c r="H701" s="1441" t="str">
        <f>H$140</f>
        <v>--</v>
      </c>
      <c r="I701" s="89" t="s">
        <v>811</v>
      </c>
      <c r="K701" s="2301" t="str">
        <f>IFERROR(_xll.ciqfunctions.udf.CIQ($G701,$I701,K111,Valuation_Date_GC,ReportType,DataMode,$H701,FXMode)*Scale,"--")</f>
        <v>--</v>
      </c>
      <c r="L701" s="2301" t="str">
        <f>IFERROR(_xll.ciqfunctions.udf.CIQ($G701,$I701,L111,Valuation_Date_GC,ReportType,DataMode,$H701,FXMode)*Scale,"--")</f>
        <v>--</v>
      </c>
      <c r="M701" s="2301" t="str">
        <f>IFERROR(_xll.ciqfunctions.udf.CIQ($G701,$I701,M111,Valuation_Date_GC,ReportType,DataMode,$H701,FXMode)*Scale,"--")</f>
        <v>--</v>
      </c>
      <c r="N701" s="2301" t="str">
        <f>IFERROR(_xll.ciqfunctions.udf.CIQ($G701,$I701,N111,Valuation_Date_GC,ReportType,DataMode,$H701,FXMode)*Scale,"--")</f>
        <v>--</v>
      </c>
      <c r="O701" s="1471" t="str">
        <f>IFERROR(_xll.ciqfunctions.udf.CIQ($G701,$I701,O111,Valuation_Date_GC,ReportType,DataMode,$H701,FXMode)*Scale,"--")</f>
        <v>--</v>
      </c>
      <c r="P701" s="2301" t="str">
        <f>IFERROR(_xll.ciqfunctions.udf.CIQ($G701,$I701,P111,Valuation_Date_GC,ReportType,DataMode,$H701,FXMode)*Scale,"--")</f>
        <v>--</v>
      </c>
      <c r="R701" s="255"/>
      <c r="T701" s="255"/>
      <c r="U701" s="255"/>
      <c r="V701" s="255"/>
      <c r="W701" s="255"/>
      <c r="X701" s="255"/>
      <c r="Y701" s="255"/>
      <c r="Z701" s="2060"/>
      <c r="AA701" s="2060"/>
      <c r="AB701" s="2060"/>
      <c r="AC701" s="2060"/>
      <c r="AD701" s="2060"/>
      <c r="AE701" s="2060"/>
      <c r="AF701" s="2060"/>
    </row>
    <row r="702" spans="1:34" s="89" customFormat="1" ht="13.9">
      <c r="A702" s="269" t="str">
        <f t="shared" si="186"/>
        <v>n</v>
      </c>
      <c r="B702" s="2060"/>
      <c r="D702" s="801"/>
      <c r="E702" s="1505">
        <v>13</v>
      </c>
      <c r="F702" s="21" t="str">
        <f>F$141</f>
        <v>--</v>
      </c>
      <c r="G702" s="1441">
        <f>G$141</f>
        <v>0</v>
      </c>
      <c r="H702" s="1441" t="str">
        <f>H$141</f>
        <v>--</v>
      </c>
      <c r="I702" s="89" t="s">
        <v>811</v>
      </c>
      <c r="K702" s="2301" t="str">
        <f>IFERROR(_xll.ciqfunctions.udf.CIQ($G702,$I702,K112,Valuation_Date_GC,ReportType,DataMode,$H702,FXMode)*Scale,"--")</f>
        <v>--</v>
      </c>
      <c r="L702" s="2301" t="str">
        <f>IFERROR(_xll.ciqfunctions.udf.CIQ($G702,$I702,L112,Valuation_Date_GC,ReportType,DataMode,$H702,FXMode)*Scale,"--")</f>
        <v>--</v>
      </c>
      <c r="M702" s="2301" t="str">
        <f>IFERROR(_xll.ciqfunctions.udf.CIQ($G702,$I702,M112,Valuation_Date_GC,ReportType,DataMode,$H702,FXMode)*Scale,"--")</f>
        <v>--</v>
      </c>
      <c r="N702" s="2301" t="str">
        <f>IFERROR(_xll.ciqfunctions.udf.CIQ($G702,$I702,N112,Valuation_Date_GC,ReportType,DataMode,$H702,FXMode)*Scale,"--")</f>
        <v>--</v>
      </c>
      <c r="O702" s="1471" t="str">
        <f>IFERROR(_xll.ciqfunctions.udf.CIQ($G702,$I702,O112,Valuation_Date_GC,ReportType,DataMode,$H702,FXMode)*Scale,"--")</f>
        <v>--</v>
      </c>
      <c r="P702" s="2301" t="str">
        <f>IFERROR(_xll.ciqfunctions.udf.CIQ($G702,$I702,P112,Valuation_Date_GC,ReportType,DataMode,$H702,FXMode)*Scale,"--")</f>
        <v>--</v>
      </c>
      <c r="R702" s="255"/>
      <c r="T702" s="255"/>
      <c r="U702" s="255"/>
      <c r="V702" s="255"/>
      <c r="W702" s="255"/>
      <c r="X702" s="255"/>
      <c r="Y702" s="255"/>
      <c r="Z702" s="2060"/>
      <c r="AA702" s="2060"/>
      <c r="AB702" s="2060"/>
      <c r="AC702" s="2060"/>
      <c r="AD702" s="2060"/>
      <c r="AE702" s="2060"/>
      <c r="AF702" s="2060"/>
    </row>
    <row r="703" spans="1:34" s="89" customFormat="1" ht="13.9">
      <c r="A703" s="269" t="str">
        <f t="shared" si="186"/>
        <v>n</v>
      </c>
      <c r="B703" s="2060"/>
      <c r="D703" s="801"/>
      <c r="E703" s="1505">
        <v>14</v>
      </c>
      <c r="F703" s="21" t="str">
        <f>F$142</f>
        <v>--</v>
      </c>
      <c r="G703" s="1441">
        <f>G$142</f>
        <v>0</v>
      </c>
      <c r="H703" s="1441" t="str">
        <f>H$142</f>
        <v>--</v>
      </c>
      <c r="I703" s="89" t="s">
        <v>811</v>
      </c>
      <c r="K703" s="2301" t="str">
        <f>IFERROR(_xll.ciqfunctions.udf.CIQ($G703,$I703,K113,Valuation_Date_GC,ReportType,DataMode,$H703,FXMode)*Scale,"--")</f>
        <v>--</v>
      </c>
      <c r="L703" s="2301" t="str">
        <f>IFERROR(_xll.ciqfunctions.udf.CIQ($G703,$I703,L113,Valuation_Date_GC,ReportType,DataMode,$H703,FXMode)*Scale,"--")</f>
        <v>--</v>
      </c>
      <c r="M703" s="2301" t="str">
        <f>IFERROR(_xll.ciqfunctions.udf.CIQ($G703,$I703,M113,Valuation_Date_GC,ReportType,DataMode,$H703,FXMode)*Scale,"--")</f>
        <v>--</v>
      </c>
      <c r="N703" s="2301" t="str">
        <f>IFERROR(_xll.ciqfunctions.udf.CIQ($G703,$I703,N113,Valuation_Date_GC,ReportType,DataMode,$H703,FXMode)*Scale,"--")</f>
        <v>--</v>
      </c>
      <c r="O703" s="1471" t="str">
        <f>IFERROR(_xll.ciqfunctions.udf.CIQ($G703,$I703,O113,Valuation_Date_GC,ReportType,DataMode,$H703,FXMode)*Scale,"--")</f>
        <v>--</v>
      </c>
      <c r="P703" s="2301" t="str">
        <f>IFERROR(_xll.ciqfunctions.udf.CIQ($G703,$I703,P113,Valuation_Date_GC,ReportType,DataMode,$H703,FXMode)*Scale,"--")</f>
        <v>--</v>
      </c>
      <c r="R703" s="255"/>
      <c r="T703" s="255"/>
      <c r="U703" s="255"/>
      <c r="V703" s="255"/>
      <c r="W703" s="255"/>
      <c r="X703" s="255"/>
      <c r="Y703" s="255"/>
      <c r="Z703" s="2060"/>
      <c r="AA703" s="2060"/>
      <c r="AB703" s="2060"/>
      <c r="AC703" s="2060"/>
      <c r="AD703" s="2060"/>
      <c r="AE703" s="2060"/>
      <c r="AF703" s="2060"/>
    </row>
    <row r="704" spans="1:34" s="89" customFormat="1" ht="13.9">
      <c r="A704" s="269" t="str">
        <f t="shared" si="186"/>
        <v>n</v>
      </c>
      <c r="B704" s="2060"/>
      <c r="D704" s="801"/>
      <c r="E704" s="1505">
        <v>15</v>
      </c>
      <c r="F704" s="21" t="str">
        <f>F$143</f>
        <v>--</v>
      </c>
      <c r="G704" s="1441">
        <f>G$143</f>
        <v>0</v>
      </c>
      <c r="H704" s="1441" t="str">
        <f>H$143</f>
        <v>--</v>
      </c>
      <c r="I704" s="89" t="s">
        <v>811</v>
      </c>
      <c r="K704" s="2301" t="str">
        <f>IFERROR(_xll.ciqfunctions.udf.CIQ($G704,$I704,K114,Valuation_Date_GC,ReportType,DataMode,$H704,FXMode)*Scale,"--")</f>
        <v>--</v>
      </c>
      <c r="L704" s="2301" t="str">
        <f>IFERROR(_xll.ciqfunctions.udf.CIQ($G704,$I704,L114,Valuation_Date_GC,ReportType,DataMode,$H704,FXMode)*Scale,"--")</f>
        <v>--</v>
      </c>
      <c r="M704" s="2301" t="str">
        <f>IFERROR(_xll.ciqfunctions.udf.CIQ($G704,$I704,M114,Valuation_Date_GC,ReportType,DataMode,$H704,FXMode)*Scale,"--")</f>
        <v>--</v>
      </c>
      <c r="N704" s="2301" t="str">
        <f>IFERROR(_xll.ciqfunctions.udf.CIQ($G704,$I704,N114,Valuation_Date_GC,ReportType,DataMode,$H704,FXMode)*Scale,"--")</f>
        <v>--</v>
      </c>
      <c r="O704" s="1471" t="str">
        <f>IFERROR(_xll.ciqfunctions.udf.CIQ($G704,$I704,O114,Valuation_Date_GC,ReportType,DataMode,$H704,FXMode)*Scale,"--")</f>
        <v>--</v>
      </c>
      <c r="P704" s="2301" t="str">
        <f>IFERROR(_xll.ciqfunctions.udf.CIQ($G704,$I704,P114,Valuation_Date_GC,ReportType,DataMode,$H704,FXMode)*Scale,"--")</f>
        <v>--</v>
      </c>
      <c r="R704" s="255"/>
      <c r="T704" s="255"/>
      <c r="U704" s="255"/>
      <c r="V704" s="255"/>
      <c r="W704" s="255"/>
      <c r="X704" s="255"/>
      <c r="Y704" s="255"/>
      <c r="Z704" s="2060"/>
      <c r="AA704" s="2060"/>
      <c r="AB704" s="2060"/>
      <c r="AC704" s="2060"/>
      <c r="AD704" s="2060"/>
      <c r="AE704" s="2060"/>
      <c r="AF704" s="2060"/>
    </row>
    <row r="705" spans="1:32" s="89" customFormat="1" ht="13.9">
      <c r="A705" s="269" t="str">
        <f t="shared" si="186"/>
        <v>n</v>
      </c>
      <c r="B705" s="2060"/>
      <c r="D705" s="801"/>
      <c r="E705" s="1505">
        <v>16</v>
      </c>
      <c r="F705" s="21" t="str">
        <f>F$144</f>
        <v>--</v>
      </c>
      <c r="G705" s="1441">
        <f>G$144</f>
        <v>0</v>
      </c>
      <c r="H705" s="1441" t="str">
        <f>H$144</f>
        <v>--</v>
      </c>
      <c r="I705" s="89" t="s">
        <v>811</v>
      </c>
      <c r="K705" s="2301" t="str">
        <f>IFERROR(_xll.ciqfunctions.udf.CIQ($G705,$I705,K115,Valuation_Date_GC,ReportType,DataMode,$H705,FXMode)*Scale,"--")</f>
        <v>--</v>
      </c>
      <c r="L705" s="2301" t="str">
        <f>IFERROR(_xll.ciqfunctions.udf.CIQ($G705,$I705,L115,Valuation_Date_GC,ReportType,DataMode,$H705,FXMode)*Scale,"--")</f>
        <v>--</v>
      </c>
      <c r="M705" s="2301" t="str">
        <f>IFERROR(_xll.ciqfunctions.udf.CIQ($G705,$I705,M115,Valuation_Date_GC,ReportType,DataMode,$H705,FXMode)*Scale,"--")</f>
        <v>--</v>
      </c>
      <c r="N705" s="2301" t="str">
        <f>IFERROR(_xll.ciqfunctions.udf.CIQ($G705,$I705,N115,Valuation_Date_GC,ReportType,DataMode,$H705,FXMode)*Scale,"--")</f>
        <v>--</v>
      </c>
      <c r="O705" s="1471" t="str">
        <f>IFERROR(_xll.ciqfunctions.udf.CIQ($G705,$I705,O115,Valuation_Date_GC,ReportType,DataMode,$H705,FXMode)*Scale,"--")</f>
        <v>--</v>
      </c>
      <c r="P705" s="2301" t="str">
        <f>IFERROR(_xll.ciqfunctions.udf.CIQ($G705,$I705,P115,Valuation_Date_GC,ReportType,DataMode,$H705,FXMode)*Scale,"--")</f>
        <v>--</v>
      </c>
      <c r="R705" s="255"/>
      <c r="T705" s="255"/>
      <c r="U705" s="255"/>
      <c r="V705" s="255"/>
      <c r="W705" s="255"/>
      <c r="X705" s="255"/>
      <c r="Y705" s="255"/>
      <c r="Z705" s="2060"/>
      <c r="AA705" s="2060"/>
      <c r="AB705" s="2060"/>
      <c r="AC705" s="2060"/>
      <c r="AD705" s="2060"/>
      <c r="AE705" s="2060"/>
      <c r="AF705" s="2060"/>
    </row>
    <row r="706" spans="1:32" s="89" customFormat="1" ht="13.9">
      <c r="A706" s="269" t="str">
        <f t="shared" si="186"/>
        <v>n</v>
      </c>
      <c r="B706" s="2060"/>
      <c r="D706" s="801"/>
      <c r="E706" s="1505">
        <v>17</v>
      </c>
      <c r="F706" s="21" t="str">
        <f>F$145</f>
        <v>--</v>
      </c>
      <c r="G706" s="1441">
        <f>G$145</f>
        <v>0</v>
      </c>
      <c r="H706" s="1441" t="str">
        <f>H$145</f>
        <v>--</v>
      </c>
      <c r="I706" s="89" t="s">
        <v>811</v>
      </c>
      <c r="K706" s="2301" t="str">
        <f>IFERROR(_xll.ciqfunctions.udf.CIQ($G706,$I706,K116,Valuation_Date_GC,ReportType,DataMode,$H706,FXMode)*Scale,"--")</f>
        <v>--</v>
      </c>
      <c r="L706" s="2301" t="str">
        <f>IFERROR(_xll.ciqfunctions.udf.CIQ($G706,$I706,L116,Valuation_Date_GC,ReportType,DataMode,$H706,FXMode)*Scale,"--")</f>
        <v>--</v>
      </c>
      <c r="M706" s="2301" t="str">
        <f>IFERROR(_xll.ciqfunctions.udf.CIQ($G706,$I706,M116,Valuation_Date_GC,ReportType,DataMode,$H706,FXMode)*Scale,"--")</f>
        <v>--</v>
      </c>
      <c r="N706" s="2301" t="str">
        <f>IFERROR(_xll.ciqfunctions.udf.CIQ($G706,$I706,N116,Valuation_Date_GC,ReportType,DataMode,$H706,FXMode)*Scale,"--")</f>
        <v>--</v>
      </c>
      <c r="O706" s="1471" t="str">
        <f>IFERROR(_xll.ciqfunctions.udf.CIQ($G706,$I706,O116,Valuation_Date_GC,ReportType,DataMode,$H706,FXMode)*Scale,"--")</f>
        <v>--</v>
      </c>
      <c r="P706" s="2301" t="str">
        <f>IFERROR(_xll.ciqfunctions.udf.CIQ($G706,$I706,P116,Valuation_Date_GC,ReportType,DataMode,$H706,FXMode)*Scale,"--")</f>
        <v>--</v>
      </c>
      <c r="R706" s="255"/>
      <c r="T706" s="255"/>
      <c r="U706" s="255"/>
      <c r="V706" s="255"/>
      <c r="W706" s="255"/>
      <c r="X706" s="255"/>
      <c r="Y706" s="255"/>
      <c r="Z706" s="2060"/>
      <c r="AA706" s="2060"/>
      <c r="AB706" s="2060"/>
      <c r="AC706" s="2060"/>
      <c r="AD706" s="2060"/>
      <c r="AE706" s="2060"/>
      <c r="AF706" s="2060"/>
    </row>
    <row r="707" spans="1:32" s="89" customFormat="1" ht="13.9">
      <c r="A707" s="269" t="str">
        <f t="shared" si="186"/>
        <v>n</v>
      </c>
      <c r="B707" s="2060"/>
      <c r="D707" s="801"/>
      <c r="E707" s="1505">
        <v>18</v>
      </c>
      <c r="F707" s="21" t="str">
        <f>F$146</f>
        <v>--</v>
      </c>
      <c r="G707" s="1441">
        <f>G$146</f>
        <v>0</v>
      </c>
      <c r="H707" s="1441" t="str">
        <f>H$146</f>
        <v>--</v>
      </c>
      <c r="I707" s="89" t="s">
        <v>811</v>
      </c>
      <c r="K707" s="2301" t="str">
        <f>IFERROR(_xll.ciqfunctions.udf.CIQ($G707,$I707,K117,Valuation_Date_GC,ReportType,DataMode,$H707,FXMode)*Scale,"--")</f>
        <v>--</v>
      </c>
      <c r="L707" s="2301" t="str">
        <f>IFERROR(_xll.ciqfunctions.udf.CIQ($G707,$I707,L117,Valuation_Date_GC,ReportType,DataMode,$H707,FXMode)*Scale,"--")</f>
        <v>--</v>
      </c>
      <c r="M707" s="2301" t="str">
        <f>IFERROR(_xll.ciqfunctions.udf.CIQ($G707,$I707,M117,Valuation_Date_GC,ReportType,DataMode,$H707,FXMode)*Scale,"--")</f>
        <v>--</v>
      </c>
      <c r="N707" s="2301" t="str">
        <f>IFERROR(_xll.ciqfunctions.udf.CIQ($G707,$I707,N117,Valuation_Date_GC,ReportType,DataMode,$H707,FXMode)*Scale,"--")</f>
        <v>--</v>
      </c>
      <c r="O707" s="1471" t="str">
        <f>IFERROR(_xll.ciqfunctions.udf.CIQ($G707,$I707,O117,Valuation_Date_GC,ReportType,DataMode,$H707,FXMode)*Scale,"--")</f>
        <v>--</v>
      </c>
      <c r="P707" s="2301" t="str">
        <f>IFERROR(_xll.ciqfunctions.udf.CIQ($G707,$I707,P117,Valuation_Date_GC,ReportType,DataMode,$H707,FXMode)*Scale,"--")</f>
        <v>--</v>
      </c>
      <c r="R707" s="255"/>
      <c r="T707" s="255"/>
      <c r="U707" s="255"/>
      <c r="V707" s="255"/>
      <c r="W707" s="255"/>
      <c r="X707" s="255"/>
      <c r="Y707" s="255"/>
      <c r="Z707" s="2060"/>
      <c r="AA707" s="2060"/>
      <c r="AB707" s="2060"/>
      <c r="AC707" s="2060"/>
      <c r="AD707" s="2060"/>
      <c r="AE707" s="2060"/>
      <c r="AF707" s="2060"/>
    </row>
    <row r="708" spans="1:32" s="89" customFormat="1" ht="13.9">
      <c r="A708" s="269" t="str">
        <f t="shared" si="186"/>
        <v>n</v>
      </c>
      <c r="B708" s="2060"/>
      <c r="D708" s="801"/>
      <c r="E708" s="1505">
        <v>19</v>
      </c>
      <c r="F708" s="21" t="str">
        <f>F$147</f>
        <v>--</v>
      </c>
      <c r="G708" s="1441">
        <f>G$147</f>
        <v>0</v>
      </c>
      <c r="H708" s="1441" t="str">
        <f>H$147</f>
        <v>--</v>
      </c>
      <c r="I708" s="89" t="s">
        <v>811</v>
      </c>
      <c r="K708" s="2301" t="str">
        <f>IFERROR(_xll.ciqfunctions.udf.CIQ($G708,$I708,K118,Valuation_Date_GC,ReportType,DataMode,$H708,FXMode)*Scale,"--")</f>
        <v>--</v>
      </c>
      <c r="L708" s="2301" t="str">
        <f>IFERROR(_xll.ciqfunctions.udf.CIQ($G708,$I708,L118,Valuation_Date_GC,ReportType,DataMode,$H708,FXMode)*Scale,"--")</f>
        <v>--</v>
      </c>
      <c r="M708" s="2301" t="str">
        <f>IFERROR(_xll.ciqfunctions.udf.CIQ($G708,$I708,M118,Valuation_Date_GC,ReportType,DataMode,$H708,FXMode)*Scale,"--")</f>
        <v>--</v>
      </c>
      <c r="N708" s="2301" t="str">
        <f>IFERROR(_xll.ciqfunctions.udf.CIQ($G708,$I708,N118,Valuation_Date_GC,ReportType,DataMode,$H708,FXMode)*Scale,"--")</f>
        <v>--</v>
      </c>
      <c r="O708" s="1471" t="str">
        <f>IFERROR(_xll.ciqfunctions.udf.CIQ($G708,$I708,O118,Valuation_Date_GC,ReportType,DataMode,$H708,FXMode)*Scale,"--")</f>
        <v>--</v>
      </c>
      <c r="P708" s="2301" t="str">
        <f>IFERROR(_xll.ciqfunctions.udf.CIQ($G708,$I708,P118,Valuation_Date_GC,ReportType,DataMode,$H708,FXMode)*Scale,"--")</f>
        <v>--</v>
      </c>
      <c r="R708" s="255"/>
      <c r="T708" s="255"/>
      <c r="U708" s="255"/>
      <c r="V708" s="255"/>
      <c r="W708" s="255"/>
      <c r="X708" s="255"/>
      <c r="Y708" s="255"/>
      <c r="Z708" s="2060"/>
      <c r="AA708" s="2060"/>
      <c r="AB708" s="2060"/>
      <c r="AC708" s="2060"/>
      <c r="AD708" s="2060"/>
      <c r="AE708" s="2060"/>
      <c r="AF708" s="2060"/>
    </row>
    <row r="709" spans="1:32" s="89" customFormat="1" ht="13.9">
      <c r="A709" s="269" t="str">
        <f t="shared" si="186"/>
        <v>n</v>
      </c>
      <c r="B709" s="2060"/>
      <c r="D709" s="801"/>
      <c r="E709" s="1505">
        <v>20</v>
      </c>
      <c r="F709" s="21" t="str">
        <f>F$148</f>
        <v>--</v>
      </c>
      <c r="G709" s="1441">
        <f>G$148</f>
        <v>0</v>
      </c>
      <c r="H709" s="1441" t="str">
        <f>H$148</f>
        <v>--</v>
      </c>
      <c r="I709" s="89" t="s">
        <v>811</v>
      </c>
      <c r="K709" s="2301" t="str">
        <f>IFERROR(_xll.ciqfunctions.udf.CIQ($G709,$I709,K119,Valuation_Date_GC,ReportType,DataMode,$H709,FXMode)*Scale,"--")</f>
        <v>--</v>
      </c>
      <c r="L709" s="2301" t="str">
        <f>IFERROR(_xll.ciqfunctions.udf.CIQ($G709,$I709,L119,Valuation_Date_GC,ReportType,DataMode,$H709,FXMode)*Scale,"--")</f>
        <v>--</v>
      </c>
      <c r="M709" s="2301" t="str">
        <f>IFERROR(_xll.ciqfunctions.udf.CIQ($G709,$I709,M119,Valuation_Date_GC,ReportType,DataMode,$H709,FXMode)*Scale,"--")</f>
        <v>--</v>
      </c>
      <c r="N709" s="2301" t="str">
        <f>IFERROR(_xll.ciqfunctions.udf.CIQ($G709,$I709,N119,Valuation_Date_GC,ReportType,DataMode,$H709,FXMode)*Scale,"--")</f>
        <v>--</v>
      </c>
      <c r="O709" s="1471" t="str">
        <f>IFERROR(_xll.ciqfunctions.udf.CIQ($G709,$I709,O119,Valuation_Date_GC,ReportType,DataMode,$H709,FXMode)*Scale,"--")</f>
        <v>--</v>
      </c>
      <c r="P709" s="2301" t="str">
        <f>IFERROR(_xll.ciqfunctions.udf.CIQ($G709,$I709,P119,Valuation_Date_GC,ReportType,DataMode,$H709,FXMode)*Scale,"--")</f>
        <v>--</v>
      </c>
      <c r="R709" s="255"/>
      <c r="T709" s="255"/>
      <c r="U709" s="255"/>
      <c r="V709" s="255"/>
      <c r="W709" s="255"/>
      <c r="X709" s="255"/>
      <c r="Y709" s="255"/>
      <c r="Z709" s="2060"/>
      <c r="AA709" s="2060"/>
      <c r="AB709" s="2060"/>
      <c r="AC709" s="2060"/>
      <c r="AD709" s="2060"/>
      <c r="AE709" s="2060"/>
      <c r="AF709" s="2060"/>
    </row>
    <row r="710" spans="1:32" s="89" customFormat="1" ht="13.9">
      <c r="A710" s="269" t="str">
        <f t="shared" si="186"/>
        <v>n</v>
      </c>
      <c r="B710" s="2060"/>
      <c r="D710" s="801"/>
      <c r="E710" s="1505">
        <v>21</v>
      </c>
      <c r="F710" s="21" t="str">
        <f>F$149</f>
        <v>--</v>
      </c>
      <c r="G710" s="1441">
        <f>G$149</f>
        <v>0</v>
      </c>
      <c r="H710" s="1441" t="str">
        <f>H$149</f>
        <v>--</v>
      </c>
      <c r="I710" s="89" t="s">
        <v>811</v>
      </c>
      <c r="K710" s="2301" t="str">
        <f>IFERROR(_xll.ciqfunctions.udf.CIQ($G710,$I710,K120,Valuation_Date_GC,ReportType,DataMode,$H710,FXMode)*Scale,"--")</f>
        <v>--</v>
      </c>
      <c r="L710" s="2301" t="str">
        <f>IFERROR(_xll.ciqfunctions.udf.CIQ($G710,$I710,L120,Valuation_Date_GC,ReportType,DataMode,$H710,FXMode)*Scale,"--")</f>
        <v>--</v>
      </c>
      <c r="M710" s="2301" t="str">
        <f>IFERROR(_xll.ciqfunctions.udf.CIQ($G710,$I710,M120,Valuation_Date_GC,ReportType,DataMode,$H710,FXMode)*Scale,"--")</f>
        <v>--</v>
      </c>
      <c r="N710" s="2301" t="str">
        <f>IFERROR(_xll.ciqfunctions.udf.CIQ($G710,$I710,N120,Valuation_Date_GC,ReportType,DataMode,$H710,FXMode)*Scale,"--")</f>
        <v>--</v>
      </c>
      <c r="O710" s="1471" t="str">
        <f>IFERROR(_xll.ciqfunctions.udf.CIQ($G710,$I710,O120,Valuation_Date_GC,ReportType,DataMode,$H710,FXMode)*Scale,"--")</f>
        <v>--</v>
      </c>
      <c r="P710" s="2301" t="str">
        <f>IFERROR(_xll.ciqfunctions.udf.CIQ($G710,$I710,P120,Valuation_Date_GC,ReportType,DataMode,$H710,FXMode)*Scale,"--")</f>
        <v>--</v>
      </c>
      <c r="R710" s="255"/>
      <c r="T710" s="255"/>
      <c r="U710" s="255"/>
      <c r="V710" s="255"/>
      <c r="W710" s="255"/>
      <c r="X710" s="255"/>
      <c r="Y710" s="255"/>
      <c r="Z710" s="2060"/>
      <c r="AA710" s="2060"/>
      <c r="AB710" s="2060"/>
      <c r="AC710" s="2060"/>
      <c r="AD710" s="2060"/>
      <c r="AE710" s="2060"/>
      <c r="AF710" s="2060"/>
    </row>
    <row r="711" spans="1:32" s="89" customFormat="1" ht="13.9">
      <c r="A711" s="269" t="str">
        <f t="shared" si="186"/>
        <v>n</v>
      </c>
      <c r="B711" s="2060"/>
      <c r="D711" s="801"/>
      <c r="E711" s="1505">
        <v>22</v>
      </c>
      <c r="F711" s="21" t="str">
        <f>F$150</f>
        <v>--</v>
      </c>
      <c r="G711" s="1441">
        <f>G$150</f>
        <v>0</v>
      </c>
      <c r="H711" s="1441" t="str">
        <f>H$150</f>
        <v>--</v>
      </c>
      <c r="I711" s="89" t="s">
        <v>811</v>
      </c>
      <c r="K711" s="2301" t="str">
        <f>IFERROR(_xll.ciqfunctions.udf.CIQ($G711,$I711,K121,Valuation_Date_GC,ReportType,DataMode,$H711,FXMode)*Scale,"--")</f>
        <v>--</v>
      </c>
      <c r="L711" s="2301" t="str">
        <f>IFERROR(_xll.ciqfunctions.udf.CIQ($G711,$I711,L121,Valuation_Date_GC,ReportType,DataMode,$H711,FXMode)*Scale,"--")</f>
        <v>--</v>
      </c>
      <c r="M711" s="2301" t="str">
        <f>IFERROR(_xll.ciqfunctions.udf.CIQ($G711,$I711,M121,Valuation_Date_GC,ReportType,DataMode,$H711,FXMode)*Scale,"--")</f>
        <v>--</v>
      </c>
      <c r="N711" s="2301" t="str">
        <f>IFERROR(_xll.ciqfunctions.udf.CIQ($G711,$I711,N121,Valuation_Date_GC,ReportType,DataMode,$H711,FXMode)*Scale,"--")</f>
        <v>--</v>
      </c>
      <c r="O711" s="1471" t="str">
        <f>IFERROR(_xll.ciqfunctions.udf.CIQ($G711,$I711,O121,Valuation_Date_GC,ReportType,DataMode,$H711,FXMode)*Scale,"--")</f>
        <v>--</v>
      </c>
      <c r="P711" s="2301" t="str">
        <f>IFERROR(_xll.ciqfunctions.udf.CIQ($G711,$I711,P121,Valuation_Date_GC,ReportType,DataMode,$H711,FXMode)*Scale,"--")</f>
        <v>--</v>
      </c>
      <c r="R711" s="255"/>
      <c r="T711" s="255"/>
      <c r="U711" s="255"/>
      <c r="V711" s="255"/>
      <c r="W711" s="255"/>
      <c r="X711" s="255"/>
      <c r="Y711" s="255"/>
      <c r="Z711" s="2060"/>
      <c r="AA711" s="2060"/>
      <c r="AB711" s="2060"/>
      <c r="AC711" s="2060"/>
      <c r="AD711" s="2060"/>
      <c r="AE711" s="2060"/>
      <c r="AF711" s="2060"/>
    </row>
    <row r="712" spans="1:32" s="89" customFormat="1" ht="13.9">
      <c r="A712" s="269" t="str">
        <f t="shared" si="186"/>
        <v>n</v>
      </c>
      <c r="B712" s="2060"/>
      <c r="D712" s="801"/>
      <c r="E712" s="1505">
        <v>23</v>
      </c>
      <c r="F712" s="21" t="str">
        <f>F$151</f>
        <v>--</v>
      </c>
      <c r="G712" s="1441">
        <f>G$151</f>
        <v>0</v>
      </c>
      <c r="H712" s="1441" t="str">
        <f>H$151</f>
        <v>--</v>
      </c>
      <c r="I712" s="89" t="s">
        <v>811</v>
      </c>
      <c r="K712" s="2301" t="str">
        <f>IFERROR(_xll.ciqfunctions.udf.CIQ($G712,$I712,K122,Valuation_Date_GC,ReportType,DataMode,$H712,FXMode)*Scale,"--")</f>
        <v>--</v>
      </c>
      <c r="L712" s="2301" t="str">
        <f>IFERROR(_xll.ciqfunctions.udf.CIQ($G712,$I712,L122,Valuation_Date_GC,ReportType,DataMode,$H712,FXMode)*Scale,"--")</f>
        <v>--</v>
      </c>
      <c r="M712" s="2301" t="str">
        <f>IFERROR(_xll.ciqfunctions.udf.CIQ($G712,$I712,M122,Valuation_Date_GC,ReportType,DataMode,$H712,FXMode)*Scale,"--")</f>
        <v>--</v>
      </c>
      <c r="N712" s="2301" t="str">
        <f>IFERROR(_xll.ciqfunctions.udf.CIQ($G712,$I712,N122,Valuation_Date_GC,ReportType,DataMode,$H712,FXMode)*Scale,"--")</f>
        <v>--</v>
      </c>
      <c r="O712" s="1471" t="str">
        <f>IFERROR(_xll.ciqfunctions.udf.CIQ($G712,$I712,O122,Valuation_Date_GC,ReportType,DataMode,$H712,FXMode)*Scale,"--")</f>
        <v>--</v>
      </c>
      <c r="P712" s="2301" t="str">
        <f>IFERROR(_xll.ciqfunctions.udf.CIQ($G712,$I712,P122,Valuation_Date_GC,ReportType,DataMode,$H712,FXMode)*Scale,"--")</f>
        <v>--</v>
      </c>
      <c r="R712" s="255"/>
      <c r="T712" s="255"/>
      <c r="U712" s="255"/>
      <c r="V712" s="255"/>
      <c r="W712" s="255"/>
      <c r="X712" s="255"/>
      <c r="Y712" s="255"/>
      <c r="Z712" s="2060"/>
      <c r="AA712" s="2060"/>
      <c r="AB712" s="2060"/>
      <c r="AC712" s="2060"/>
      <c r="AD712" s="2060"/>
      <c r="AE712" s="2060"/>
      <c r="AF712" s="2060"/>
    </row>
    <row r="713" spans="1:32" s="89" customFormat="1" ht="13.9">
      <c r="A713" s="269" t="str">
        <f t="shared" si="186"/>
        <v>n</v>
      </c>
      <c r="B713" s="2060"/>
      <c r="D713" s="801"/>
      <c r="E713" s="1505">
        <v>24</v>
      </c>
      <c r="F713" s="21" t="str">
        <f>F$152</f>
        <v>--</v>
      </c>
      <c r="G713" s="1441">
        <f>G$152</f>
        <v>0</v>
      </c>
      <c r="H713" s="1441" t="str">
        <f>H$152</f>
        <v>--</v>
      </c>
      <c r="I713" s="89" t="s">
        <v>811</v>
      </c>
      <c r="K713" s="2301" t="str">
        <f>IFERROR(_xll.ciqfunctions.udf.CIQ($G713,$I713,K123,Valuation_Date_GC,ReportType,DataMode,$H713,FXMode)*Scale,"--")</f>
        <v>--</v>
      </c>
      <c r="L713" s="2301" t="str">
        <f>IFERROR(_xll.ciqfunctions.udf.CIQ($G713,$I713,L123,Valuation_Date_GC,ReportType,DataMode,$H713,FXMode)*Scale,"--")</f>
        <v>--</v>
      </c>
      <c r="M713" s="2301" t="str">
        <f>IFERROR(_xll.ciqfunctions.udf.CIQ($G713,$I713,M123,Valuation_Date_GC,ReportType,DataMode,$H713,FXMode)*Scale,"--")</f>
        <v>--</v>
      </c>
      <c r="N713" s="2301" t="str">
        <f>IFERROR(_xll.ciqfunctions.udf.CIQ($G713,$I713,N123,Valuation_Date_GC,ReportType,DataMode,$H713,FXMode)*Scale,"--")</f>
        <v>--</v>
      </c>
      <c r="O713" s="1471" t="str">
        <f>IFERROR(_xll.ciqfunctions.udf.CIQ($G713,$I713,O123,Valuation_Date_GC,ReportType,DataMode,$H713,FXMode)*Scale,"--")</f>
        <v>--</v>
      </c>
      <c r="P713" s="2301" t="str">
        <f>IFERROR(_xll.ciqfunctions.udf.CIQ($G713,$I713,P123,Valuation_Date_GC,ReportType,DataMode,$H713,FXMode)*Scale,"--")</f>
        <v>--</v>
      </c>
      <c r="R713" s="255"/>
      <c r="T713" s="255"/>
      <c r="U713" s="255"/>
      <c r="V713" s="255"/>
      <c r="W713" s="255"/>
      <c r="X713" s="255"/>
      <c r="Y713" s="255"/>
      <c r="Z713" s="2060"/>
      <c r="AA713" s="2060"/>
      <c r="AB713" s="2060"/>
      <c r="AC713" s="2060"/>
      <c r="AD713" s="2060"/>
      <c r="AE713" s="2060"/>
      <c r="AF713" s="2060"/>
    </row>
    <row r="714" spans="1:32" s="89" customFormat="1" ht="13.9">
      <c r="A714" s="269" t="str">
        <f t="shared" si="186"/>
        <v>n</v>
      </c>
      <c r="B714" s="2060"/>
      <c r="D714" s="801"/>
      <c r="E714" s="1505">
        <v>25</v>
      </c>
      <c r="F714" s="21" t="str">
        <f>F$153</f>
        <v>--</v>
      </c>
      <c r="G714" s="1441">
        <f>G$153</f>
        <v>0</v>
      </c>
      <c r="H714" s="1441" t="str">
        <f>H$153</f>
        <v>--</v>
      </c>
      <c r="I714" s="89" t="s">
        <v>811</v>
      </c>
      <c r="K714" s="2301" t="str">
        <f>IFERROR(_xll.ciqfunctions.udf.CIQ($G714,$I714,K124,Valuation_Date_GC,ReportType,DataMode,$H714,FXMode)*Scale,"--")</f>
        <v>--</v>
      </c>
      <c r="L714" s="2301" t="str">
        <f>IFERROR(_xll.ciqfunctions.udf.CIQ($G714,$I714,L124,Valuation_Date_GC,ReportType,DataMode,$H714,FXMode)*Scale,"--")</f>
        <v>--</v>
      </c>
      <c r="M714" s="2301" t="str">
        <f>IFERROR(_xll.ciqfunctions.udf.CIQ($G714,$I714,M124,Valuation_Date_GC,ReportType,DataMode,$H714,FXMode)*Scale,"--")</f>
        <v>--</v>
      </c>
      <c r="N714" s="2301" t="str">
        <f>IFERROR(_xll.ciqfunctions.udf.CIQ($G714,$I714,N124,Valuation_Date_GC,ReportType,DataMode,$H714,FXMode)*Scale,"--")</f>
        <v>--</v>
      </c>
      <c r="O714" s="1471" t="str">
        <f>IFERROR(_xll.ciqfunctions.udf.CIQ($G714,$I714,O124,Valuation_Date_GC,ReportType,DataMode,$H714,FXMode)*Scale,"--")</f>
        <v>--</v>
      </c>
      <c r="P714" s="2301" t="str">
        <f>IFERROR(_xll.ciqfunctions.udf.CIQ($G714,$I714,P124,Valuation_Date_GC,ReportType,DataMode,$H714,FXMode)*Scale,"--")</f>
        <v>--</v>
      </c>
      <c r="R714" s="255"/>
      <c r="T714" s="255"/>
      <c r="U714" s="255"/>
      <c r="V714" s="255"/>
      <c r="W714" s="255"/>
      <c r="X714" s="255"/>
      <c r="Y714" s="255"/>
      <c r="Z714" s="2060"/>
      <c r="AA714" s="2060"/>
      <c r="AB714" s="2060"/>
      <c r="AC714" s="2060"/>
      <c r="AD714" s="2060"/>
      <c r="AE714" s="2060"/>
      <c r="AF714" s="2060"/>
    </row>
    <row r="715" spans="1:32" s="89" customFormat="1" ht="13.9">
      <c r="A715" s="2060"/>
      <c r="B715" s="2060"/>
      <c r="D715" s="801"/>
      <c r="F715" s="57" t="s">
        <v>767</v>
      </c>
      <c r="G715" s="1442"/>
      <c r="H715" s="1442"/>
      <c r="I715" s="1442"/>
      <c r="J715" s="1442"/>
      <c r="K715" s="1443" t="str">
        <f t="shared" ref="K715:P715" si="187">IFERROR(MEDIAN(K690:K714),"--")</f>
        <v>--</v>
      </c>
      <c r="L715" s="1443" t="str">
        <f t="shared" si="187"/>
        <v>--</v>
      </c>
      <c r="M715" s="1443" t="str">
        <f t="shared" si="187"/>
        <v>--</v>
      </c>
      <c r="N715" s="1443" t="str">
        <f t="shared" si="187"/>
        <v>--</v>
      </c>
      <c r="O715" s="1444" t="str">
        <f t="shared" si="187"/>
        <v>--</v>
      </c>
      <c r="P715" s="1443" t="str">
        <f t="shared" si="187"/>
        <v>--</v>
      </c>
      <c r="R715" s="255"/>
      <c r="T715" s="255"/>
      <c r="U715" s="255"/>
      <c r="V715" s="255"/>
      <c r="W715" s="255"/>
      <c r="X715" s="255"/>
      <c r="Y715" s="255"/>
      <c r="Z715" s="2060"/>
      <c r="AA715" s="2060"/>
      <c r="AB715" s="2060"/>
      <c r="AC715" s="2060"/>
      <c r="AD715" s="2060"/>
      <c r="AE715" s="2060"/>
      <c r="AF715" s="2060"/>
    </row>
    <row r="716" spans="1:32" s="89" customFormat="1" ht="13.9">
      <c r="A716" s="2060"/>
      <c r="B716" s="2060"/>
      <c r="D716" s="778"/>
      <c r="E716" s="21"/>
      <c r="F716" s="446"/>
      <c r="G716" s="1441"/>
      <c r="H716" s="1441"/>
      <c r="I716" s="1441"/>
      <c r="J716" s="1441"/>
      <c r="K716" s="1441"/>
      <c r="O716" s="75"/>
      <c r="P716" s="76"/>
      <c r="T716" s="255"/>
      <c r="U716" s="255"/>
      <c r="V716" s="255"/>
      <c r="W716" s="255"/>
      <c r="X716" s="255"/>
      <c r="Y716" s="255"/>
      <c r="Z716" s="2060"/>
      <c r="AA716" s="2060"/>
      <c r="AB716" s="2060"/>
      <c r="AC716" s="2060"/>
      <c r="AD716" s="2060"/>
      <c r="AE716" s="2060"/>
      <c r="AF716" s="2060"/>
    </row>
    <row r="717" spans="1:32" s="89" customFormat="1" ht="13.9">
      <c r="A717" s="2060"/>
      <c r="B717" s="2060"/>
      <c r="D717" s="778"/>
      <c r="E717" s="21"/>
      <c r="F717" s="446"/>
      <c r="G717" s="1441"/>
      <c r="H717" s="1441"/>
      <c r="I717" s="1441"/>
      <c r="J717" s="1441"/>
      <c r="K717" s="1441"/>
      <c r="O717" s="75"/>
      <c r="P717" s="76"/>
      <c r="T717" s="255"/>
      <c r="U717" s="255"/>
      <c r="V717" s="255"/>
      <c r="W717" s="255"/>
      <c r="X717" s="255"/>
      <c r="Y717" s="255"/>
      <c r="Z717" s="2060"/>
      <c r="AA717" s="2060"/>
      <c r="AB717" s="2060"/>
      <c r="AC717" s="2060"/>
      <c r="AD717" s="2060"/>
      <c r="AE717" s="2060"/>
      <c r="AF717" s="2060"/>
    </row>
    <row r="718" spans="1:32" s="89" customFormat="1" ht="13.9">
      <c r="A718" s="2060"/>
      <c r="B718" s="2060"/>
      <c r="D718" s="778"/>
      <c r="E718" s="21"/>
      <c r="F718" s="446"/>
      <c r="G718" s="1441"/>
      <c r="H718" s="1441"/>
      <c r="I718" s="1441"/>
      <c r="J718" s="1441"/>
      <c r="K718" s="1441"/>
      <c r="O718" s="75"/>
      <c r="P718" s="76"/>
      <c r="R718" s="521"/>
      <c r="T718" s="255"/>
      <c r="U718" s="255"/>
      <c r="V718" s="255"/>
      <c r="W718" s="255"/>
      <c r="X718" s="255"/>
      <c r="Y718" s="255"/>
      <c r="Z718" s="2060"/>
      <c r="AA718" s="2060"/>
      <c r="AB718" s="2060"/>
      <c r="AC718" s="2060"/>
      <c r="AD718" s="2060"/>
      <c r="AE718" s="2060"/>
      <c r="AF718" s="2060"/>
    </row>
    <row r="719" spans="1:32" s="89" customFormat="1" ht="13.9">
      <c r="A719" s="2060"/>
      <c r="B719" s="2060"/>
      <c r="D719" s="778">
        <f ca="1">MAX(OFFSET(D719,-1,0,-ROW(D719)+1,-2),1)+0.01</f>
        <v>5.0599999999999987</v>
      </c>
      <c r="E719" s="125"/>
      <c r="F719" s="952" t="s">
        <v>88</v>
      </c>
      <c r="G719" s="724" t="s">
        <v>796</v>
      </c>
      <c r="H719" s="766"/>
      <c r="I719" s="766"/>
      <c r="J719" s="766"/>
      <c r="K719" s="725" t="s">
        <v>700</v>
      </c>
      <c r="L719" s="725" t="s">
        <v>701</v>
      </c>
      <c r="M719" s="725" t="s">
        <v>702</v>
      </c>
      <c r="N719" s="725" t="s">
        <v>703</v>
      </c>
      <c r="O719" s="759" t="s">
        <v>704</v>
      </c>
      <c r="P719" s="725" t="s">
        <v>705</v>
      </c>
      <c r="R719" s="255"/>
      <c r="T719" s="255"/>
      <c r="U719" s="255"/>
      <c r="V719" s="255"/>
      <c r="W719" s="255"/>
      <c r="X719" s="255"/>
      <c r="Y719" s="255"/>
      <c r="Z719" s="2060"/>
      <c r="AA719" s="2060"/>
      <c r="AB719" s="2060"/>
      <c r="AC719" s="2060"/>
      <c r="AD719" s="2060"/>
      <c r="AE719" s="2060"/>
      <c r="AF719" s="2060"/>
    </row>
    <row r="720" spans="1:32" s="89" customFormat="1" ht="13.9">
      <c r="A720" s="2060"/>
      <c r="B720" s="2060"/>
      <c r="D720" s="778"/>
      <c r="E720" s="1505">
        <v>0</v>
      </c>
      <c r="F720" s="1448" t="str">
        <f>F$128</f>
        <v/>
      </c>
      <c r="G720" s="1449">
        <f>G$128</f>
        <v>0</v>
      </c>
      <c r="H720" s="1449" t="str">
        <f>H$128</f>
        <v>USD</v>
      </c>
      <c r="I720" s="258" t="s">
        <v>812</v>
      </c>
      <c r="J720" s="258"/>
      <c r="K720" s="2304">
        <f>-'INC STAT Hist Input'!F22</f>
        <v>0</v>
      </c>
      <c r="L720" s="2304">
        <f>-'INC STAT Hist Input'!G22</f>
        <v>0</v>
      </c>
      <c r="M720" s="2304">
        <f>-'INC STAT Hist Input'!H22</f>
        <v>0</v>
      </c>
      <c r="N720" s="2304">
        <f>-'INC STAT Hist Input'!I22</f>
        <v>0</v>
      </c>
      <c r="O720" s="1469">
        <f>-'INC STAT Hist Input'!J22</f>
        <v>0</v>
      </c>
      <c r="P720" s="1470">
        <f>-'INC STAT Hist Input'!K22</f>
        <v>0</v>
      </c>
      <c r="R720" s="255"/>
      <c r="T720" s="255"/>
      <c r="U720" s="255"/>
      <c r="V720" s="255"/>
      <c r="W720" s="255"/>
      <c r="X720" s="255"/>
      <c r="Y720" s="255"/>
      <c r="Z720" s="2060"/>
      <c r="AA720" s="2060"/>
      <c r="AB720" s="2060"/>
      <c r="AC720" s="2060"/>
      <c r="AD720" s="2060"/>
      <c r="AE720" s="2060"/>
      <c r="AF720" s="2060"/>
    </row>
    <row r="721" spans="1:68" s="89" customFormat="1" ht="13.9">
      <c r="A721" s="269" t="str">
        <f>IF(F721="--","n","")</f>
        <v>n</v>
      </c>
      <c r="B721" s="2060"/>
      <c r="D721" s="801"/>
      <c r="E721" s="1505">
        <v>1</v>
      </c>
      <c r="F721" s="21" t="str">
        <f>F$129</f>
        <v>--</v>
      </c>
      <c r="G721" s="1441">
        <f>G$129</f>
        <v>0</v>
      </c>
      <c r="H721" s="1441" t="str">
        <f>H$129</f>
        <v>--</v>
      </c>
      <c r="I721" s="89" t="s">
        <v>812</v>
      </c>
      <c r="K721" s="2301" t="str">
        <f>IFERROR(_xll.ciqfunctions.udf.CIQ($G721,$I721,K100,Valuation_Date_GC,ReportType,DataMode,$H721,FXMode)*Scale,"--")</f>
        <v>--</v>
      </c>
      <c r="L721" s="2301" t="str">
        <f>IFERROR(_xll.ciqfunctions.udf.CIQ($G721,$I721,L100,Valuation_Date_GC,ReportType,DataMode,$H721,FXMode)*Scale,"--")</f>
        <v>--</v>
      </c>
      <c r="M721" s="2301" t="str">
        <f>IFERROR(_xll.ciqfunctions.udf.CIQ($G721,$I721,M100,Valuation_Date_GC,ReportType,DataMode,$H721,FXMode)*Scale,"--")</f>
        <v>--</v>
      </c>
      <c r="N721" s="2301" t="str">
        <f>IFERROR(_xll.ciqfunctions.udf.CIQ($G721,$I721,N100,Valuation_Date_GC,ReportType,DataMode,$H721,FXMode)*Scale,"--")</f>
        <v>--</v>
      </c>
      <c r="O721" s="2301" t="str">
        <f>IFERROR(_xll.ciqfunctions.udf.CIQ($G721,$I721,O100,Valuation_Date_GC,ReportType,DataMode,$H721,FXMode)*Scale,"--")</f>
        <v>--</v>
      </c>
      <c r="P721" s="2301" t="str">
        <f>IFERROR(_xll.ciqfunctions.udf.CIQ($G721,$I721,P100,Valuation_Date_GC,ReportType,DataMode,$H721,FXMode)*Scale,"--")</f>
        <v>--</v>
      </c>
      <c r="R721" s="255"/>
      <c r="T721" s="255"/>
      <c r="U721" s="255"/>
      <c r="V721" s="255"/>
      <c r="W721" s="255"/>
      <c r="X721" s="255"/>
      <c r="Y721" s="255"/>
      <c r="Z721" s="2060"/>
      <c r="AA721" s="2060"/>
      <c r="AB721" s="2060"/>
      <c r="AC721" s="2060"/>
      <c r="AD721" s="2060"/>
      <c r="AE721" s="2060"/>
      <c r="AF721" s="2060"/>
    </row>
    <row r="722" spans="1:68" s="89" customFormat="1" ht="13.9">
      <c r="A722" s="269" t="str">
        <f t="shared" ref="A722:A745" si="188">IF(F722="--","n","")</f>
        <v>n</v>
      </c>
      <c r="B722" s="2060"/>
      <c r="D722" s="801"/>
      <c r="E722" s="1505">
        <v>2</v>
      </c>
      <c r="F722" s="21" t="str">
        <f>F$130</f>
        <v>--</v>
      </c>
      <c r="G722" s="1441">
        <f>G$130</f>
        <v>0</v>
      </c>
      <c r="H722" s="1441" t="str">
        <f>H$130</f>
        <v>--</v>
      </c>
      <c r="I722" s="89" t="s">
        <v>812</v>
      </c>
      <c r="K722" s="2301" t="str">
        <f>IFERROR(_xll.ciqfunctions.udf.CIQ($G722,$I722,K101,Valuation_Date_GC,ReportType,DataMode,$H722,FXMode)*Scale,"--")</f>
        <v>--</v>
      </c>
      <c r="L722" s="2301" t="str">
        <f>IFERROR(_xll.ciqfunctions.udf.CIQ($G722,$I722,L101,Valuation_Date_GC,ReportType,DataMode,$H722,FXMode)*Scale,"--")</f>
        <v>--</v>
      </c>
      <c r="M722" s="2301" t="str">
        <f>IFERROR(_xll.ciqfunctions.udf.CIQ($G722,$I722,M101,Valuation_Date_GC,ReportType,DataMode,$H722,FXMode)*Scale,"--")</f>
        <v>--</v>
      </c>
      <c r="N722" s="2301" t="str">
        <f>IFERROR(_xll.ciqfunctions.udf.CIQ($G722,$I722,N101,Valuation_Date_GC,ReportType,DataMode,$H722,FXMode)*Scale,"--")</f>
        <v>--</v>
      </c>
      <c r="O722" s="2301" t="str">
        <f>IFERROR(_xll.ciqfunctions.udf.CIQ($G722,$I722,O101,Valuation_Date_GC,ReportType,DataMode,$H722,FXMode)*Scale,"--")</f>
        <v>--</v>
      </c>
      <c r="P722" s="2301" t="str">
        <f>IFERROR(_xll.ciqfunctions.udf.CIQ($G722,$I722,P101,Valuation_Date_GC,ReportType,DataMode,$H722,FXMode)*Scale,"--")</f>
        <v>--</v>
      </c>
      <c r="R722" s="255"/>
      <c r="T722" s="255"/>
      <c r="U722" s="255"/>
      <c r="V722" s="255"/>
      <c r="W722" s="255"/>
      <c r="X722" s="255"/>
      <c r="Y722" s="255"/>
      <c r="Z722" s="2060"/>
      <c r="AA722" s="2060"/>
      <c r="AB722" s="2060"/>
      <c r="AC722" s="2060"/>
      <c r="AD722" s="2060"/>
      <c r="AE722" s="2060"/>
      <c r="AF722" s="2060"/>
    </row>
    <row r="723" spans="1:68" s="89" customFormat="1" ht="13.9">
      <c r="A723" s="269" t="str">
        <f t="shared" si="188"/>
        <v>n</v>
      </c>
      <c r="B723" s="2060"/>
      <c r="D723" s="801"/>
      <c r="E723" s="1505">
        <v>3</v>
      </c>
      <c r="F723" s="21" t="str">
        <f>F$131</f>
        <v>--</v>
      </c>
      <c r="G723" s="1441">
        <f>G$131</f>
        <v>0</v>
      </c>
      <c r="H723" s="1441" t="str">
        <f>H$131</f>
        <v>--</v>
      </c>
      <c r="I723" s="89" t="s">
        <v>812</v>
      </c>
      <c r="K723" s="2301" t="str">
        <f>IFERROR(_xll.ciqfunctions.udf.CIQ($G723,$I723,K102,Valuation_Date_GC,ReportType,DataMode,$H723,FXMode)*Scale,"--")</f>
        <v>--</v>
      </c>
      <c r="L723" s="2301" t="str">
        <f>IFERROR(_xll.ciqfunctions.udf.CIQ($G723,$I723,L102,Valuation_Date_GC,ReportType,DataMode,$H723,FXMode)*Scale,"--")</f>
        <v>--</v>
      </c>
      <c r="M723" s="2301" t="str">
        <f>IFERROR(_xll.ciqfunctions.udf.CIQ($G723,$I723,M102,Valuation_Date_GC,ReportType,DataMode,$H723,FXMode)*Scale,"--")</f>
        <v>--</v>
      </c>
      <c r="N723" s="2301" t="str">
        <f>IFERROR(_xll.ciqfunctions.udf.CIQ($G723,$I723,N102,Valuation_Date_GC,ReportType,DataMode,$H723,FXMode)*Scale,"--")</f>
        <v>--</v>
      </c>
      <c r="O723" s="2301" t="str">
        <f>IFERROR(_xll.ciqfunctions.udf.CIQ($G723,$I723,O102,Valuation_Date_GC,ReportType,DataMode,$H723,FXMode)*Scale,"--")</f>
        <v>--</v>
      </c>
      <c r="P723" s="2301" t="str">
        <f>IFERROR(_xll.ciqfunctions.udf.CIQ($G723,$I723,P102,Valuation_Date_GC,ReportType,DataMode,$H723,FXMode)*Scale,"--")</f>
        <v>--</v>
      </c>
      <c r="R723" s="255"/>
      <c r="T723" s="255"/>
      <c r="U723" s="255"/>
      <c r="V723" s="255"/>
      <c r="W723" s="255"/>
      <c r="X723" s="255"/>
      <c r="Y723" s="255"/>
      <c r="Z723" s="2060"/>
      <c r="AA723" s="2060"/>
      <c r="AB723" s="2060"/>
      <c r="AC723" s="2060"/>
      <c r="AD723" s="2060"/>
      <c r="AE723" s="2060"/>
      <c r="AF723" s="2060"/>
    </row>
    <row r="724" spans="1:68" s="89" customFormat="1" ht="13.9">
      <c r="A724" s="269" t="str">
        <f t="shared" si="188"/>
        <v>n</v>
      </c>
      <c r="B724" s="2060"/>
      <c r="D724" s="801"/>
      <c r="E724" s="1505">
        <v>4</v>
      </c>
      <c r="F724" s="21" t="str">
        <f>F$132</f>
        <v>--</v>
      </c>
      <c r="G724" s="1441">
        <f>G$132</f>
        <v>0</v>
      </c>
      <c r="H724" s="1441" t="str">
        <f>H$132</f>
        <v>--</v>
      </c>
      <c r="I724" s="89" t="s">
        <v>812</v>
      </c>
      <c r="K724" s="2301" t="str">
        <f>IFERROR(_xll.ciqfunctions.udf.CIQ($G724,$I724,K103,Valuation_Date_GC,ReportType,DataMode,$H724,FXMode)*Scale,"--")</f>
        <v>--</v>
      </c>
      <c r="L724" s="2301" t="str">
        <f>IFERROR(_xll.ciqfunctions.udf.CIQ($G724,$I724,L103,Valuation_Date_GC,ReportType,DataMode,$H724,FXMode)*Scale,"--")</f>
        <v>--</v>
      </c>
      <c r="M724" s="2301" t="str">
        <f>IFERROR(_xll.ciqfunctions.udf.CIQ($G724,$I724,M103,Valuation_Date_GC,ReportType,DataMode,$H724,FXMode)*Scale,"--")</f>
        <v>--</v>
      </c>
      <c r="N724" s="2301" t="str">
        <f>IFERROR(_xll.ciqfunctions.udf.CIQ($G724,$I724,N103,Valuation_Date_GC,ReportType,DataMode,$H724,FXMode)*Scale,"--")</f>
        <v>--</v>
      </c>
      <c r="O724" s="2301" t="str">
        <f>IFERROR(_xll.ciqfunctions.udf.CIQ($G724,$I724,O103,Valuation_Date_GC,ReportType,DataMode,$H724,FXMode)*Scale,"--")</f>
        <v>--</v>
      </c>
      <c r="P724" s="2301" t="str">
        <f>IFERROR(_xll.ciqfunctions.udf.CIQ($G724,$I724,P103,Valuation_Date_GC,ReportType,DataMode,$H724,FXMode)*Scale,"--")</f>
        <v>--</v>
      </c>
      <c r="R724" s="255"/>
      <c r="T724" s="255"/>
      <c r="U724" s="255"/>
      <c r="V724" s="255"/>
      <c r="W724" s="255"/>
      <c r="X724" s="255"/>
      <c r="Y724" s="255"/>
      <c r="Z724" s="2060"/>
      <c r="AA724" s="2060"/>
      <c r="AB724" s="2060"/>
      <c r="AC724" s="2060"/>
      <c r="AD724" s="2060"/>
      <c r="AE724" s="2060"/>
      <c r="AF724" s="2060"/>
    </row>
    <row r="725" spans="1:68" s="89" customFormat="1" ht="13.9">
      <c r="A725" s="269" t="str">
        <f t="shared" si="188"/>
        <v>n</v>
      </c>
      <c r="B725" s="2060"/>
      <c r="D725" s="801"/>
      <c r="E725" s="1505">
        <v>5</v>
      </c>
      <c r="F725" s="21" t="str">
        <f>F$133</f>
        <v>--</v>
      </c>
      <c r="G725" s="1441">
        <f>G$133</f>
        <v>0</v>
      </c>
      <c r="H725" s="1441" t="str">
        <f>H$133</f>
        <v>--</v>
      </c>
      <c r="I725" s="89" t="s">
        <v>812</v>
      </c>
      <c r="K725" s="2301" t="str">
        <f>IFERROR(_xll.ciqfunctions.udf.CIQ($G725,$I725,K104,Valuation_Date_GC,ReportType,DataMode,$H725,FXMode)*Scale,"--")</f>
        <v>--</v>
      </c>
      <c r="L725" s="2301" t="str">
        <f>IFERROR(_xll.ciqfunctions.udf.CIQ($G725,$I725,L104,Valuation_Date_GC,ReportType,DataMode,$H725,FXMode)*Scale,"--")</f>
        <v>--</v>
      </c>
      <c r="M725" s="2301" t="str">
        <f>IFERROR(_xll.ciqfunctions.udf.CIQ($G725,$I725,M104,Valuation_Date_GC,ReportType,DataMode,$H725,FXMode)*Scale,"--")</f>
        <v>--</v>
      </c>
      <c r="N725" s="2301" t="str">
        <f>IFERROR(_xll.ciqfunctions.udf.CIQ($G725,$I725,N104,Valuation_Date_GC,ReportType,DataMode,$H725,FXMode)*Scale,"--")</f>
        <v>--</v>
      </c>
      <c r="O725" s="2301" t="str">
        <f>IFERROR(_xll.ciqfunctions.udf.CIQ($G725,$I725,O104,Valuation_Date_GC,ReportType,DataMode,$H725,FXMode)*Scale,"--")</f>
        <v>--</v>
      </c>
      <c r="P725" s="2301" t="str">
        <f>IFERROR(_xll.ciqfunctions.udf.CIQ($G725,$I725,P104,Valuation_Date_GC,ReportType,DataMode,$H725,FXMode)*Scale,"--")</f>
        <v>--</v>
      </c>
      <c r="R725" s="255"/>
      <c r="T725" s="255"/>
      <c r="U725" s="255"/>
      <c r="V725" s="255"/>
      <c r="W725" s="255"/>
      <c r="X725" s="255"/>
      <c r="Y725" s="255"/>
      <c r="Z725" s="2060"/>
      <c r="AA725" s="2060"/>
      <c r="AB725" s="2060"/>
      <c r="AC725" s="2060"/>
      <c r="AD725" s="2060"/>
      <c r="AE725" s="2060"/>
      <c r="AF725" s="2060"/>
    </row>
    <row r="726" spans="1:68" s="89" customFormat="1" ht="13.9">
      <c r="A726" s="269" t="str">
        <f t="shared" si="188"/>
        <v>n</v>
      </c>
      <c r="B726" s="2060"/>
      <c r="D726" s="801"/>
      <c r="E726" s="1505">
        <v>6</v>
      </c>
      <c r="F726" s="21" t="str">
        <f>F$134</f>
        <v>--</v>
      </c>
      <c r="G726" s="1441">
        <f>G$134</f>
        <v>0</v>
      </c>
      <c r="H726" s="1441" t="str">
        <f>H$134</f>
        <v>--</v>
      </c>
      <c r="I726" s="89" t="s">
        <v>812</v>
      </c>
      <c r="K726" s="2301" t="str">
        <f>IFERROR(_xll.ciqfunctions.udf.CIQ($G726,$I726,K105,Valuation_Date_GC,ReportType,DataMode,$H726,FXMode)*Scale,"--")</f>
        <v>--</v>
      </c>
      <c r="L726" s="2301" t="str">
        <f>IFERROR(_xll.ciqfunctions.udf.CIQ($G726,$I726,L105,Valuation_Date_GC,ReportType,DataMode,$H726,FXMode)*Scale,"--")</f>
        <v>--</v>
      </c>
      <c r="M726" s="2301" t="str">
        <f>IFERROR(_xll.ciqfunctions.udf.CIQ($G726,$I726,M105,Valuation_Date_GC,ReportType,DataMode,$H726,FXMode)*Scale,"--")</f>
        <v>--</v>
      </c>
      <c r="N726" s="2301" t="str">
        <f>IFERROR(_xll.ciqfunctions.udf.CIQ($G726,$I726,N105,Valuation_Date_GC,ReportType,DataMode,$H726,FXMode)*Scale,"--")</f>
        <v>--</v>
      </c>
      <c r="O726" s="2301" t="str">
        <f>IFERROR(_xll.ciqfunctions.udf.CIQ($G726,$I726,O105,Valuation_Date_GC,ReportType,DataMode,$H726,FXMode)*Scale,"--")</f>
        <v>--</v>
      </c>
      <c r="P726" s="2301" t="str">
        <f>IFERROR(_xll.ciqfunctions.udf.CIQ($G726,$I726,P105,Valuation_Date_GC,ReportType,DataMode,$H726,FXMode)*Scale,"--")</f>
        <v>--</v>
      </c>
      <c r="R726" s="255"/>
      <c r="T726" s="255"/>
      <c r="U726" s="255"/>
      <c r="V726" s="255"/>
      <c r="W726" s="255"/>
      <c r="X726" s="255"/>
      <c r="Y726" s="255"/>
      <c r="Z726" s="2060"/>
      <c r="AA726" s="2060"/>
      <c r="AB726" s="2060"/>
      <c r="AC726" s="2060"/>
      <c r="AD726" s="2060"/>
      <c r="AE726" s="2060"/>
      <c r="AF726" s="2060"/>
    </row>
    <row r="727" spans="1:68" s="89" customFormat="1" ht="13.9">
      <c r="A727" s="269" t="str">
        <f t="shared" si="188"/>
        <v>n</v>
      </c>
      <c r="B727" s="2060"/>
      <c r="D727" s="801"/>
      <c r="E727" s="1505">
        <v>7</v>
      </c>
      <c r="F727" s="21" t="str">
        <f>F$135</f>
        <v>--</v>
      </c>
      <c r="G727" s="1441">
        <f>G$135</f>
        <v>0</v>
      </c>
      <c r="H727" s="1441" t="str">
        <f>H$135</f>
        <v>--</v>
      </c>
      <c r="I727" s="89" t="s">
        <v>812</v>
      </c>
      <c r="K727" s="2301" t="str">
        <f>IFERROR(_xll.ciqfunctions.udf.CIQ($G727,$I727,K106,Valuation_Date_GC,ReportType,DataMode,$H727,FXMode)*Scale,"--")</f>
        <v>--</v>
      </c>
      <c r="L727" s="2301" t="str">
        <f>IFERROR(_xll.ciqfunctions.udf.CIQ($G727,$I727,L106,Valuation_Date_GC,ReportType,DataMode,$H727,FXMode)*Scale,"--")</f>
        <v>--</v>
      </c>
      <c r="M727" s="2301" t="str">
        <f>IFERROR(_xll.ciqfunctions.udf.CIQ($G727,$I727,M106,Valuation_Date_GC,ReportType,DataMode,$H727,FXMode)*Scale,"--")</f>
        <v>--</v>
      </c>
      <c r="N727" s="2301" t="str">
        <f>IFERROR(_xll.ciqfunctions.udf.CIQ($G727,$I727,N106,Valuation_Date_GC,ReportType,DataMode,$H727,FXMode)*Scale,"--")</f>
        <v>--</v>
      </c>
      <c r="O727" s="2301" t="str">
        <f>IFERROR(_xll.ciqfunctions.udf.CIQ($G727,$I727,O106,Valuation_Date_GC,ReportType,DataMode,$H727,FXMode)*Scale,"--")</f>
        <v>--</v>
      </c>
      <c r="P727" s="2301" t="str">
        <f>IFERROR(_xll.ciqfunctions.udf.CIQ($G727,$I727,P106,Valuation_Date_GC,ReportType,DataMode,$H727,FXMode)*Scale,"--")</f>
        <v>--</v>
      </c>
      <c r="R727" s="255"/>
      <c r="T727" s="255"/>
      <c r="U727" s="255"/>
      <c r="V727" s="255"/>
      <c r="W727" s="255"/>
      <c r="X727" s="255"/>
      <c r="Y727" s="255"/>
      <c r="Z727" s="2060"/>
      <c r="AA727" s="2060"/>
      <c r="AB727" s="2060"/>
      <c r="AC727" s="2060"/>
      <c r="AD727" s="2060"/>
      <c r="AE727" s="2060"/>
      <c r="AF727" s="2060"/>
    </row>
    <row r="728" spans="1:68" s="89" customFormat="1" ht="13.9">
      <c r="A728" s="269" t="str">
        <f t="shared" si="188"/>
        <v>n</v>
      </c>
      <c r="B728" s="2060"/>
      <c r="D728" s="801"/>
      <c r="E728" s="1505">
        <v>8</v>
      </c>
      <c r="F728" s="21" t="str">
        <f>F$136</f>
        <v>--</v>
      </c>
      <c r="G728" s="1441">
        <f>G$136</f>
        <v>0</v>
      </c>
      <c r="H728" s="1441" t="str">
        <f>H$136</f>
        <v>--</v>
      </c>
      <c r="I728" s="89" t="s">
        <v>812</v>
      </c>
      <c r="K728" s="2301" t="str">
        <f>IFERROR(_xll.ciqfunctions.udf.CIQ($G728,$I728,K107,Valuation_Date_GC,ReportType,DataMode,$H728,FXMode)*Scale,"--")</f>
        <v>--</v>
      </c>
      <c r="L728" s="2301" t="str">
        <f>IFERROR(_xll.ciqfunctions.udf.CIQ($G728,$I728,L107,Valuation_Date_GC,ReportType,DataMode,$H728,FXMode)*Scale,"--")</f>
        <v>--</v>
      </c>
      <c r="M728" s="2301" t="str">
        <f>IFERROR(_xll.ciqfunctions.udf.CIQ($G728,$I728,M107,Valuation_Date_GC,ReportType,DataMode,$H728,FXMode)*Scale,"--")</f>
        <v>--</v>
      </c>
      <c r="N728" s="2301" t="str">
        <f>IFERROR(_xll.ciqfunctions.udf.CIQ($G728,$I728,N107,Valuation_Date_GC,ReportType,DataMode,$H728,FXMode)*Scale,"--")</f>
        <v>--</v>
      </c>
      <c r="O728" s="2301" t="str">
        <f>IFERROR(_xll.ciqfunctions.udf.CIQ($G728,$I728,O107,Valuation_Date_GC,ReportType,DataMode,$H728,FXMode)*Scale,"--")</f>
        <v>--</v>
      </c>
      <c r="P728" s="2301" t="str">
        <f>IFERROR(_xll.ciqfunctions.udf.CIQ($G728,$I728,P107,Valuation_Date_GC,ReportType,DataMode,$H728,FXMode)*Scale,"--")</f>
        <v>--</v>
      </c>
      <c r="R728" s="255"/>
      <c r="T728" s="255"/>
      <c r="U728" s="255"/>
      <c r="V728" s="255"/>
      <c r="W728" s="255"/>
      <c r="X728" s="255"/>
      <c r="Y728" s="255"/>
      <c r="Z728" s="2060"/>
      <c r="AA728" s="2060"/>
      <c r="AB728" s="2060"/>
      <c r="AC728" s="2060"/>
      <c r="AD728" s="2060"/>
      <c r="AE728" s="2060"/>
      <c r="AF728" s="2060"/>
    </row>
    <row r="729" spans="1:68" s="89" customFormat="1" ht="13.9">
      <c r="A729" s="269" t="str">
        <f t="shared" si="188"/>
        <v>n</v>
      </c>
      <c r="B729" s="2060"/>
      <c r="D729" s="801"/>
      <c r="E729" s="1505">
        <v>9</v>
      </c>
      <c r="F729" s="21" t="str">
        <f>F$137</f>
        <v>--</v>
      </c>
      <c r="G729" s="1441">
        <f>G$137</f>
        <v>0</v>
      </c>
      <c r="H729" s="1441" t="str">
        <f>H$137</f>
        <v>--</v>
      </c>
      <c r="I729" s="89" t="s">
        <v>812</v>
      </c>
      <c r="K729" s="2301" t="str">
        <f>IFERROR(_xll.ciqfunctions.udf.CIQ($G729,$I729,K108,Valuation_Date_GC,ReportType,DataMode,$H729,FXMode)*Scale,"--")</f>
        <v>--</v>
      </c>
      <c r="L729" s="2301" t="str">
        <f>IFERROR(_xll.ciqfunctions.udf.CIQ($G729,$I729,L108,Valuation_Date_GC,ReportType,DataMode,$H729,FXMode)*Scale,"--")</f>
        <v>--</v>
      </c>
      <c r="M729" s="2301" t="str">
        <f>IFERROR(_xll.ciqfunctions.udf.CIQ($G729,$I729,M108,Valuation_Date_GC,ReportType,DataMode,$H729,FXMode)*Scale,"--")</f>
        <v>--</v>
      </c>
      <c r="N729" s="2301" t="str">
        <f>IFERROR(_xll.ciqfunctions.udf.CIQ($G729,$I729,N108,Valuation_Date_GC,ReportType,DataMode,$H729,FXMode)*Scale,"--")</f>
        <v>--</v>
      </c>
      <c r="O729" s="2301" t="str">
        <f>IFERROR(_xll.ciqfunctions.udf.CIQ($G729,$I729,O108,Valuation_Date_GC,ReportType,DataMode,$H729,FXMode)*Scale,"--")</f>
        <v>--</v>
      </c>
      <c r="P729" s="2301" t="str">
        <f>IFERROR(_xll.ciqfunctions.udf.CIQ($G729,$I729,P108,Valuation_Date_GC,ReportType,DataMode,$H729,FXMode)*Scale,"--")</f>
        <v>--</v>
      </c>
      <c r="R729" s="255"/>
      <c r="T729" s="255"/>
      <c r="U729" s="255"/>
      <c r="V729" s="255"/>
      <c r="W729" s="255"/>
      <c r="X729" s="255"/>
      <c r="Y729" s="255"/>
      <c r="Z729" s="2060"/>
      <c r="AA729" s="2060"/>
      <c r="AB729" s="2060"/>
      <c r="AC729" s="2060"/>
      <c r="AD729" s="2060"/>
      <c r="AE729" s="2060"/>
      <c r="AF729" s="2060"/>
    </row>
    <row r="730" spans="1:68" s="89" customFormat="1" ht="13.9">
      <c r="A730" s="269" t="str">
        <f t="shared" si="188"/>
        <v>n</v>
      </c>
      <c r="B730" s="2060"/>
      <c r="D730" s="801"/>
      <c r="E730" s="1505">
        <v>10</v>
      </c>
      <c r="F730" s="21" t="str">
        <f>F$138</f>
        <v>--</v>
      </c>
      <c r="G730" s="1441">
        <f>G$138</f>
        <v>0</v>
      </c>
      <c r="H730" s="1441" t="str">
        <f>H$138</f>
        <v>--</v>
      </c>
      <c r="I730" s="89" t="s">
        <v>812</v>
      </c>
      <c r="K730" s="2301" t="str">
        <f>IFERROR(_xll.ciqfunctions.udf.CIQ($G730,$I730,K109,Valuation_Date_GC,ReportType,DataMode,$H730,FXMode)*Scale,"--")</f>
        <v>--</v>
      </c>
      <c r="L730" s="2301" t="str">
        <f>IFERROR(_xll.ciqfunctions.udf.CIQ($G730,$I730,L109,Valuation_Date_GC,ReportType,DataMode,$H730,FXMode)*Scale,"--")</f>
        <v>--</v>
      </c>
      <c r="M730" s="2301" t="str">
        <f>IFERROR(_xll.ciqfunctions.udf.CIQ($G730,$I730,M109,Valuation_Date_GC,ReportType,DataMode,$H730,FXMode)*Scale,"--")</f>
        <v>--</v>
      </c>
      <c r="N730" s="2301" t="str">
        <f>IFERROR(_xll.ciqfunctions.udf.CIQ($G730,$I730,N109,Valuation_Date_GC,ReportType,DataMode,$H730,FXMode)*Scale,"--")</f>
        <v>--</v>
      </c>
      <c r="O730" s="2301" t="str">
        <f>IFERROR(_xll.ciqfunctions.udf.CIQ($G730,$I730,O109,Valuation_Date_GC,ReportType,DataMode,$H730,FXMode)*Scale,"--")</f>
        <v>--</v>
      </c>
      <c r="P730" s="2301" t="str">
        <f>IFERROR(_xll.ciqfunctions.udf.CIQ($G730,$I730,P109,Valuation_Date_GC,ReportType,DataMode,$H730,FXMode)*Scale,"--")</f>
        <v>--</v>
      </c>
      <c r="R730" s="255"/>
      <c r="T730" s="255"/>
      <c r="U730" s="255"/>
      <c r="V730" s="255"/>
      <c r="W730" s="255"/>
      <c r="X730" s="255"/>
      <c r="Y730" s="255"/>
      <c r="Z730" s="2060"/>
      <c r="AA730" s="2060"/>
      <c r="AB730" s="2060"/>
      <c r="AC730" s="2060"/>
      <c r="AD730" s="2060"/>
      <c r="AE730" s="2060"/>
      <c r="AF730" s="2060"/>
    </row>
    <row r="731" spans="1:68" s="89" customFormat="1" ht="13.9">
      <c r="A731" s="269" t="str">
        <f t="shared" si="188"/>
        <v>n</v>
      </c>
      <c r="B731" s="2060"/>
      <c r="D731" s="801"/>
      <c r="E731" s="1505">
        <v>11</v>
      </c>
      <c r="F731" s="21" t="str">
        <f>F$139</f>
        <v>--</v>
      </c>
      <c r="G731" s="1441">
        <f>G$139</f>
        <v>0</v>
      </c>
      <c r="H731" s="1441" t="str">
        <f>H$139</f>
        <v>--</v>
      </c>
      <c r="I731" s="89" t="s">
        <v>812</v>
      </c>
      <c r="K731" s="2301" t="str">
        <f>IFERROR(_xll.ciqfunctions.udf.CIQ($G731,$I731,K110,Valuation_Date_GC,ReportType,DataMode,$H731,FXMode)*Scale,"--")</f>
        <v>--</v>
      </c>
      <c r="L731" s="2301" t="str">
        <f>IFERROR(_xll.ciqfunctions.udf.CIQ($G731,$I731,L110,Valuation_Date_GC,ReportType,DataMode,$H731,FXMode)*Scale,"--")</f>
        <v>--</v>
      </c>
      <c r="M731" s="2301" t="str">
        <f>IFERROR(_xll.ciqfunctions.udf.CIQ($G731,$I731,M110,Valuation_Date_GC,ReportType,DataMode,$H731,FXMode)*Scale,"--")</f>
        <v>--</v>
      </c>
      <c r="N731" s="2301" t="str">
        <f>IFERROR(_xll.ciqfunctions.udf.CIQ($G731,$I731,N110,Valuation_Date_GC,ReportType,DataMode,$H731,FXMode)*Scale,"--")</f>
        <v>--</v>
      </c>
      <c r="O731" s="2301" t="str">
        <f>IFERROR(_xll.ciqfunctions.udf.CIQ($G731,$I731,O110,Valuation_Date_GC,ReportType,DataMode,$H731,FXMode)*Scale,"--")</f>
        <v>--</v>
      </c>
      <c r="P731" s="2301" t="str">
        <f>IFERROR(_xll.ciqfunctions.udf.CIQ($G731,$I731,P110,Valuation_Date_GC,ReportType,DataMode,$H731,FXMode)*Scale,"--")</f>
        <v>--</v>
      </c>
      <c r="R731" s="255"/>
      <c r="T731" s="255"/>
      <c r="U731" s="255"/>
      <c r="V731" s="255"/>
      <c r="W731" s="255"/>
      <c r="X731" s="255"/>
      <c r="Y731" s="255"/>
      <c r="Z731" s="2060"/>
      <c r="AA731" s="2060"/>
      <c r="AB731" s="2060"/>
      <c r="AC731" s="2060"/>
      <c r="AD731" s="2060"/>
      <c r="AE731" s="2060"/>
      <c r="AF731" s="2060"/>
    </row>
    <row r="732" spans="1:68" s="89" customFormat="1" ht="13.9">
      <c r="A732" s="269" t="str">
        <f t="shared" si="188"/>
        <v>n</v>
      </c>
      <c r="B732" s="2060"/>
      <c r="D732" s="801"/>
      <c r="E732" s="1505">
        <v>12</v>
      </c>
      <c r="F732" s="21" t="str">
        <f>F$140</f>
        <v>--</v>
      </c>
      <c r="G732" s="1441">
        <f>G$140</f>
        <v>0</v>
      </c>
      <c r="H732" s="1441" t="str">
        <f>H$140</f>
        <v>--</v>
      </c>
      <c r="I732" s="89" t="s">
        <v>812</v>
      </c>
      <c r="K732" s="2301" t="str">
        <f>IFERROR(_xll.ciqfunctions.udf.CIQ($G732,$I732,K111,Valuation_Date_GC,ReportType,DataMode,$H732,FXMode)*Scale,"--")</f>
        <v>--</v>
      </c>
      <c r="L732" s="2301" t="str">
        <f>IFERROR(_xll.ciqfunctions.udf.CIQ($G732,$I732,L111,Valuation_Date_GC,ReportType,DataMode,$H732,FXMode)*Scale,"--")</f>
        <v>--</v>
      </c>
      <c r="M732" s="2301" t="str">
        <f>IFERROR(_xll.ciqfunctions.udf.CIQ($G732,$I732,M111,Valuation_Date_GC,ReportType,DataMode,$H732,FXMode)*Scale,"--")</f>
        <v>--</v>
      </c>
      <c r="N732" s="2301" t="str">
        <f>IFERROR(_xll.ciqfunctions.udf.CIQ($G732,$I732,N111,Valuation_Date_GC,ReportType,DataMode,$H732,FXMode)*Scale,"--")</f>
        <v>--</v>
      </c>
      <c r="O732" s="2301" t="str">
        <f>IFERROR(_xll.ciqfunctions.udf.CIQ($G732,$I732,O111,Valuation_Date_GC,ReportType,DataMode,$H732,FXMode)*Scale,"--")</f>
        <v>--</v>
      </c>
      <c r="P732" s="2301" t="str">
        <f>IFERROR(_xll.ciqfunctions.udf.CIQ($G732,$I732,P111,Valuation_Date_GC,ReportType,DataMode,$H732,FXMode)*Scale,"--")</f>
        <v>--</v>
      </c>
      <c r="R732" s="255"/>
      <c r="T732" s="255"/>
      <c r="U732" s="255"/>
      <c r="V732" s="255"/>
      <c r="W732" s="255"/>
      <c r="X732" s="255"/>
      <c r="Y732" s="255"/>
      <c r="Z732" s="2060"/>
      <c r="AA732" s="2060"/>
      <c r="AB732" s="2060"/>
      <c r="AC732" s="2060"/>
      <c r="AD732" s="2060"/>
      <c r="AE732" s="2060"/>
      <c r="AF732" s="2060"/>
    </row>
    <row r="733" spans="1:68" s="89" customFormat="1" ht="13.9">
      <c r="A733" s="269" t="str">
        <f t="shared" si="188"/>
        <v>n</v>
      </c>
      <c r="B733" s="2060"/>
      <c r="D733" s="801"/>
      <c r="E733" s="1505">
        <v>13</v>
      </c>
      <c r="F733" s="21" t="str">
        <f>F$141</f>
        <v>--</v>
      </c>
      <c r="G733" s="1441">
        <f>G$141</f>
        <v>0</v>
      </c>
      <c r="H733" s="1441" t="str">
        <f>H$141</f>
        <v>--</v>
      </c>
      <c r="I733" s="89" t="s">
        <v>812</v>
      </c>
      <c r="K733" s="2301" t="str">
        <f>IFERROR(_xll.ciqfunctions.udf.CIQ($G733,$I733,K112,Valuation_Date_GC,ReportType,DataMode,$H733,FXMode)*Scale,"--")</f>
        <v>--</v>
      </c>
      <c r="L733" s="2301" t="str">
        <f>IFERROR(_xll.ciqfunctions.udf.CIQ($G733,$I733,L112,Valuation_Date_GC,ReportType,DataMode,$H733,FXMode)*Scale,"--")</f>
        <v>--</v>
      </c>
      <c r="M733" s="2301" t="str">
        <f>IFERROR(_xll.ciqfunctions.udf.CIQ($G733,$I733,M112,Valuation_Date_GC,ReportType,DataMode,$H733,FXMode)*Scale,"--")</f>
        <v>--</v>
      </c>
      <c r="N733" s="2301" t="str">
        <f>IFERROR(_xll.ciqfunctions.udf.CIQ($G733,$I733,N112,Valuation_Date_GC,ReportType,DataMode,$H733,FXMode)*Scale,"--")</f>
        <v>--</v>
      </c>
      <c r="O733" s="2301" t="str">
        <f>IFERROR(_xll.ciqfunctions.udf.CIQ($G733,$I733,O112,Valuation_Date_GC,ReportType,DataMode,$H733,FXMode)*Scale,"--")</f>
        <v>--</v>
      </c>
      <c r="P733" s="2301" t="str">
        <f>IFERROR(_xll.ciqfunctions.udf.CIQ($G733,$I733,P112,Valuation_Date_GC,ReportType,DataMode,$H733,FXMode)*Scale,"--")</f>
        <v>--</v>
      </c>
      <c r="R733" s="255"/>
      <c r="T733" s="255"/>
      <c r="U733" s="255"/>
      <c r="V733" s="255"/>
      <c r="W733" s="255"/>
      <c r="X733" s="255"/>
      <c r="Y733" s="255"/>
      <c r="Z733" s="2060"/>
      <c r="AA733" s="2060"/>
      <c r="AB733" s="2060"/>
      <c r="AC733" s="2060"/>
      <c r="AD733" s="2060"/>
      <c r="AE733" s="2060"/>
      <c r="AF733" s="2060"/>
    </row>
    <row r="734" spans="1:68" s="92" customFormat="1" ht="13.9">
      <c r="A734" s="269" t="str">
        <f t="shared" si="188"/>
        <v>n</v>
      </c>
      <c r="B734" s="2060"/>
      <c r="C734" s="89"/>
      <c r="D734" s="801"/>
      <c r="E734" s="1505">
        <v>14</v>
      </c>
      <c r="F734" s="21" t="str">
        <f>F$142</f>
        <v>--</v>
      </c>
      <c r="G734" s="1441">
        <f>G$142</f>
        <v>0</v>
      </c>
      <c r="H734" s="1441" t="str">
        <f>H$142</f>
        <v>--</v>
      </c>
      <c r="I734" s="89" t="s">
        <v>812</v>
      </c>
      <c r="J734" s="89"/>
      <c r="K734" s="2301" t="str">
        <f>IFERROR(_xll.ciqfunctions.udf.CIQ($G734,$I734,K113,Valuation_Date_GC,ReportType,DataMode,$H734,FXMode)*Scale,"--")</f>
        <v>--</v>
      </c>
      <c r="L734" s="2301" t="str">
        <f>IFERROR(_xll.ciqfunctions.udf.CIQ($G734,$I734,L113,Valuation_Date_GC,ReportType,DataMode,$H734,FXMode)*Scale,"--")</f>
        <v>--</v>
      </c>
      <c r="M734" s="2301" t="str">
        <f>IFERROR(_xll.ciqfunctions.udf.CIQ($G734,$I734,M113,Valuation_Date_GC,ReportType,DataMode,$H734,FXMode)*Scale,"--")</f>
        <v>--</v>
      </c>
      <c r="N734" s="2301" t="str">
        <f>IFERROR(_xll.ciqfunctions.udf.CIQ($G734,$I734,N113,Valuation_Date_GC,ReportType,DataMode,$H734,FXMode)*Scale,"--")</f>
        <v>--</v>
      </c>
      <c r="O734" s="2301" t="str">
        <f>IFERROR(_xll.ciqfunctions.udf.CIQ($G734,$I734,O113,Valuation_Date_GC,ReportType,DataMode,$H734,FXMode)*Scale,"--")</f>
        <v>--</v>
      </c>
      <c r="P734" s="2301" t="str">
        <f>IFERROR(_xll.ciqfunctions.udf.CIQ($G734,$I734,P113,Valuation_Date_GC,ReportType,DataMode,$H734,FXMode)*Scale,"--")</f>
        <v>--</v>
      </c>
      <c r="Q734" s="89"/>
      <c r="R734" s="255"/>
      <c r="S734" s="89"/>
      <c r="T734" s="255"/>
      <c r="U734" s="255"/>
      <c r="V734" s="255"/>
      <c r="W734" s="255"/>
      <c r="X734" s="255"/>
      <c r="Y734" s="255"/>
      <c r="Z734" s="2060"/>
      <c r="AA734" s="2060"/>
      <c r="AB734" s="2060"/>
      <c r="AC734" s="2060"/>
      <c r="AD734" s="2060"/>
      <c r="AE734" s="2060"/>
      <c r="AF734" s="2060"/>
      <c r="AG734" s="89"/>
      <c r="AH734" s="89"/>
      <c r="AI734" s="89"/>
      <c r="AJ734" s="89"/>
      <c r="AK734" s="89"/>
      <c r="AL734" s="89"/>
      <c r="AM734" s="89"/>
      <c r="AN734" s="89"/>
      <c r="AO734" s="89"/>
      <c r="AP734" s="89"/>
      <c r="AQ734" s="89"/>
      <c r="AR734" s="89"/>
      <c r="AS734" s="89"/>
      <c r="AT734" s="89"/>
      <c r="AU734" s="89"/>
      <c r="AV734" s="89"/>
      <c r="AW734" s="89"/>
      <c r="AX734" s="89"/>
      <c r="AY734" s="89"/>
      <c r="AZ734" s="89"/>
      <c r="BA734" s="89"/>
      <c r="BB734" s="89"/>
      <c r="BC734" s="89"/>
      <c r="BD734" s="89"/>
      <c r="BE734" s="89"/>
      <c r="BF734" s="89"/>
      <c r="BG734" s="89"/>
      <c r="BH734" s="89"/>
      <c r="BI734" s="89"/>
      <c r="BJ734" s="89"/>
      <c r="BK734" s="89"/>
      <c r="BL734" s="89"/>
      <c r="BM734" s="89"/>
      <c r="BN734" s="89"/>
      <c r="BO734" s="89"/>
      <c r="BP734" s="89"/>
    </row>
    <row r="735" spans="1:68" s="92" customFormat="1" ht="13.9">
      <c r="A735" s="269" t="str">
        <f t="shared" si="188"/>
        <v>n</v>
      </c>
      <c r="B735" s="2060"/>
      <c r="C735" s="89"/>
      <c r="D735" s="801"/>
      <c r="E735" s="1505">
        <v>15</v>
      </c>
      <c r="F735" s="21" t="str">
        <f>F$143</f>
        <v>--</v>
      </c>
      <c r="G735" s="1441">
        <f>G$143</f>
        <v>0</v>
      </c>
      <c r="H735" s="1441" t="str">
        <f>H$143</f>
        <v>--</v>
      </c>
      <c r="I735" s="89" t="s">
        <v>812</v>
      </c>
      <c r="J735" s="89"/>
      <c r="K735" s="2301" t="str">
        <f>IFERROR(_xll.ciqfunctions.udf.CIQ($G735,$I735,K114,Valuation_Date_GC,ReportType,DataMode,$H735,FXMode)*Scale,"--")</f>
        <v>--</v>
      </c>
      <c r="L735" s="2301" t="str">
        <f>IFERROR(_xll.ciqfunctions.udf.CIQ($G735,$I735,L114,Valuation_Date_GC,ReportType,DataMode,$H735,FXMode)*Scale,"--")</f>
        <v>--</v>
      </c>
      <c r="M735" s="2301" t="str">
        <f>IFERROR(_xll.ciqfunctions.udf.CIQ($G735,$I735,M114,Valuation_Date_GC,ReportType,DataMode,$H735,FXMode)*Scale,"--")</f>
        <v>--</v>
      </c>
      <c r="N735" s="2301" t="str">
        <f>IFERROR(_xll.ciqfunctions.udf.CIQ($G735,$I735,N114,Valuation_Date_GC,ReportType,DataMode,$H735,FXMode)*Scale,"--")</f>
        <v>--</v>
      </c>
      <c r="O735" s="2301" t="str">
        <f>IFERROR(_xll.ciqfunctions.udf.CIQ($G735,$I735,O114,Valuation_Date_GC,ReportType,DataMode,$H735,FXMode)*Scale,"--")</f>
        <v>--</v>
      </c>
      <c r="P735" s="2301" t="str">
        <f>IFERROR(_xll.ciqfunctions.udf.CIQ($G735,$I735,P114,Valuation_Date_GC,ReportType,DataMode,$H735,FXMode)*Scale,"--")</f>
        <v>--</v>
      </c>
      <c r="Q735" s="89"/>
      <c r="R735" s="255"/>
      <c r="S735" s="89"/>
      <c r="T735" s="255"/>
      <c r="U735" s="255"/>
      <c r="V735" s="255"/>
      <c r="W735" s="255"/>
      <c r="X735" s="255"/>
      <c r="Y735" s="255"/>
      <c r="Z735" s="2060"/>
      <c r="AA735" s="2060"/>
      <c r="AB735" s="2060"/>
      <c r="AC735" s="2060"/>
      <c r="AD735" s="2060"/>
      <c r="AE735" s="2060"/>
      <c r="AF735" s="2060"/>
      <c r="AG735" s="89"/>
      <c r="AH735" s="89"/>
      <c r="AI735" s="89"/>
      <c r="AJ735" s="89"/>
      <c r="AK735" s="89"/>
      <c r="AL735" s="89"/>
      <c r="AM735" s="89"/>
      <c r="AN735" s="89"/>
      <c r="AO735" s="89"/>
      <c r="AP735" s="89"/>
      <c r="AQ735" s="89"/>
      <c r="AR735" s="89"/>
      <c r="AS735" s="89"/>
      <c r="AT735" s="89"/>
      <c r="AU735" s="89"/>
      <c r="AV735" s="89"/>
      <c r="AW735" s="89"/>
      <c r="AX735" s="89"/>
      <c r="AY735" s="89"/>
      <c r="AZ735" s="89"/>
      <c r="BA735" s="89"/>
      <c r="BB735" s="89"/>
      <c r="BC735" s="89"/>
      <c r="BD735" s="89"/>
      <c r="BE735" s="89"/>
      <c r="BF735" s="89"/>
      <c r="BG735" s="89"/>
      <c r="BH735" s="89"/>
      <c r="BI735" s="89"/>
      <c r="BJ735" s="89"/>
      <c r="BK735" s="89"/>
      <c r="BL735" s="89"/>
      <c r="BM735" s="89"/>
      <c r="BN735" s="89"/>
      <c r="BO735" s="89"/>
      <c r="BP735" s="89"/>
    </row>
    <row r="736" spans="1:68" s="92" customFormat="1" ht="13.9">
      <c r="A736" s="269" t="str">
        <f t="shared" si="188"/>
        <v>n</v>
      </c>
      <c r="B736" s="2060"/>
      <c r="C736" s="89"/>
      <c r="D736" s="801"/>
      <c r="E736" s="1505">
        <v>16</v>
      </c>
      <c r="F736" s="21" t="str">
        <f>F$144</f>
        <v>--</v>
      </c>
      <c r="G736" s="1441">
        <f>G$144</f>
        <v>0</v>
      </c>
      <c r="H736" s="1441" t="str">
        <f>H$144</f>
        <v>--</v>
      </c>
      <c r="I736" s="89" t="s">
        <v>812</v>
      </c>
      <c r="J736" s="89"/>
      <c r="K736" s="2301" t="str">
        <f>IFERROR(_xll.ciqfunctions.udf.CIQ($G736,$I736,K115,Valuation_Date_GC,ReportType,DataMode,$H736,FXMode)*Scale,"--")</f>
        <v>--</v>
      </c>
      <c r="L736" s="2301" t="str">
        <f>IFERROR(_xll.ciqfunctions.udf.CIQ($G736,$I736,L115,Valuation_Date_GC,ReportType,DataMode,$H736,FXMode)*Scale,"--")</f>
        <v>--</v>
      </c>
      <c r="M736" s="2301" t="str">
        <f>IFERROR(_xll.ciqfunctions.udf.CIQ($G736,$I736,M115,Valuation_Date_GC,ReportType,DataMode,$H736,FXMode)*Scale,"--")</f>
        <v>--</v>
      </c>
      <c r="N736" s="2301" t="str">
        <f>IFERROR(_xll.ciqfunctions.udf.CIQ($G736,$I736,N115,Valuation_Date_GC,ReportType,DataMode,$H736,FXMode)*Scale,"--")</f>
        <v>--</v>
      </c>
      <c r="O736" s="2301" t="str">
        <f>IFERROR(_xll.ciqfunctions.udf.CIQ($G736,$I736,O115,Valuation_Date_GC,ReportType,DataMode,$H736,FXMode)*Scale,"--")</f>
        <v>--</v>
      </c>
      <c r="P736" s="2301" t="str">
        <f>IFERROR(_xll.ciqfunctions.udf.CIQ($G736,$I736,P115,Valuation_Date_GC,ReportType,DataMode,$H736,FXMode)*Scale,"--")</f>
        <v>--</v>
      </c>
      <c r="Q736" s="89"/>
      <c r="R736" s="255"/>
      <c r="S736" s="89"/>
      <c r="T736" s="255"/>
      <c r="U736" s="255"/>
      <c r="V736" s="255"/>
      <c r="W736" s="255"/>
      <c r="X736" s="255"/>
      <c r="Y736" s="255"/>
      <c r="Z736" s="2060"/>
      <c r="AA736" s="2060"/>
      <c r="AB736" s="2060"/>
      <c r="AC736" s="2060"/>
      <c r="AD736" s="2060"/>
      <c r="AE736" s="2060"/>
      <c r="AF736" s="2060"/>
      <c r="AG736" s="89"/>
      <c r="AH736" s="89"/>
      <c r="AI736" s="89"/>
      <c r="AJ736" s="89"/>
      <c r="AK736" s="89"/>
      <c r="AL736" s="89"/>
      <c r="AM736" s="89"/>
      <c r="AN736" s="89"/>
      <c r="AO736" s="89"/>
      <c r="AP736" s="89"/>
      <c r="AQ736" s="89"/>
      <c r="AR736" s="89"/>
      <c r="AS736" s="89"/>
      <c r="AT736" s="89"/>
      <c r="AU736" s="89"/>
      <c r="AV736" s="89"/>
      <c r="AW736" s="89"/>
      <c r="AX736" s="89"/>
      <c r="AY736" s="89"/>
      <c r="AZ736" s="89"/>
      <c r="BA736" s="89"/>
      <c r="BB736" s="89"/>
      <c r="BC736" s="89"/>
      <c r="BD736" s="89"/>
      <c r="BE736" s="89"/>
      <c r="BF736" s="89"/>
      <c r="BG736" s="89"/>
      <c r="BH736" s="89"/>
      <c r="BI736" s="89"/>
      <c r="BJ736" s="89"/>
      <c r="BK736" s="89"/>
      <c r="BL736" s="89"/>
      <c r="BM736" s="89"/>
      <c r="BN736" s="89"/>
      <c r="BO736" s="89"/>
      <c r="BP736" s="89"/>
    </row>
    <row r="737" spans="1:68" s="92" customFormat="1" ht="13.9">
      <c r="A737" s="269" t="str">
        <f t="shared" si="188"/>
        <v>n</v>
      </c>
      <c r="B737" s="2060"/>
      <c r="C737" s="89"/>
      <c r="D737" s="801"/>
      <c r="E737" s="1505">
        <v>17</v>
      </c>
      <c r="F737" s="21" t="str">
        <f>F$145</f>
        <v>--</v>
      </c>
      <c r="G737" s="1441">
        <f>G$145</f>
        <v>0</v>
      </c>
      <c r="H737" s="1441" t="str">
        <f>H$145</f>
        <v>--</v>
      </c>
      <c r="I737" s="89" t="s">
        <v>812</v>
      </c>
      <c r="J737" s="89"/>
      <c r="K737" s="2301" t="str">
        <f>IFERROR(_xll.ciqfunctions.udf.CIQ($G737,$I737,K116,Valuation_Date_GC,ReportType,DataMode,$H737,FXMode)*Scale,"--")</f>
        <v>--</v>
      </c>
      <c r="L737" s="2301" t="str">
        <f>IFERROR(_xll.ciqfunctions.udf.CIQ($G737,$I737,L116,Valuation_Date_GC,ReportType,DataMode,$H737,FXMode)*Scale,"--")</f>
        <v>--</v>
      </c>
      <c r="M737" s="2301" t="str">
        <f>IFERROR(_xll.ciqfunctions.udf.CIQ($G737,$I737,M116,Valuation_Date_GC,ReportType,DataMode,$H737,FXMode)*Scale,"--")</f>
        <v>--</v>
      </c>
      <c r="N737" s="2301" t="str">
        <f>IFERROR(_xll.ciqfunctions.udf.CIQ($G737,$I737,N116,Valuation_Date_GC,ReportType,DataMode,$H737,FXMode)*Scale,"--")</f>
        <v>--</v>
      </c>
      <c r="O737" s="2301" t="str">
        <f>IFERROR(_xll.ciqfunctions.udf.CIQ($G737,$I737,O116,Valuation_Date_GC,ReportType,DataMode,$H737,FXMode)*Scale,"--")</f>
        <v>--</v>
      </c>
      <c r="P737" s="2301" t="str">
        <f>IFERROR(_xll.ciqfunctions.udf.CIQ($G737,$I737,P116,Valuation_Date_GC,ReportType,DataMode,$H737,FXMode)*Scale,"--")</f>
        <v>--</v>
      </c>
      <c r="Q737" s="89"/>
      <c r="R737" s="255"/>
      <c r="S737" s="89"/>
      <c r="T737" s="255"/>
      <c r="U737" s="255"/>
      <c r="V737" s="255"/>
      <c r="W737" s="255"/>
      <c r="X737" s="255"/>
      <c r="Y737" s="255"/>
      <c r="Z737" s="2060"/>
      <c r="AA737" s="2060"/>
      <c r="AB737" s="2060"/>
      <c r="AC737" s="2060"/>
      <c r="AD737" s="2060"/>
      <c r="AE737" s="2060"/>
      <c r="AF737" s="2060"/>
      <c r="AG737" s="89"/>
      <c r="AH737" s="89"/>
      <c r="AI737" s="89"/>
      <c r="AJ737" s="89"/>
      <c r="AK737" s="89"/>
      <c r="AL737" s="89"/>
      <c r="AM737" s="89"/>
      <c r="AN737" s="89"/>
      <c r="AO737" s="89"/>
      <c r="AP737" s="89"/>
      <c r="AQ737" s="89"/>
      <c r="AR737" s="89"/>
      <c r="AS737" s="89"/>
      <c r="AT737" s="89"/>
      <c r="AU737" s="89"/>
      <c r="AV737" s="89"/>
      <c r="AW737" s="89"/>
      <c r="AX737" s="89"/>
      <c r="AY737" s="89"/>
      <c r="AZ737" s="89"/>
      <c r="BA737" s="89"/>
      <c r="BB737" s="89"/>
      <c r="BC737" s="89"/>
      <c r="BD737" s="89"/>
      <c r="BE737" s="89"/>
      <c r="BF737" s="89"/>
      <c r="BG737" s="89"/>
      <c r="BH737" s="89"/>
      <c r="BI737" s="89"/>
      <c r="BJ737" s="89"/>
      <c r="BK737" s="89"/>
      <c r="BL737" s="89"/>
      <c r="BM737" s="89"/>
      <c r="BN737" s="89"/>
      <c r="BO737" s="89"/>
      <c r="BP737" s="89"/>
    </row>
    <row r="738" spans="1:68" s="92" customFormat="1" ht="13.9">
      <c r="A738" s="269" t="str">
        <f t="shared" si="188"/>
        <v>n</v>
      </c>
      <c r="B738" s="2060"/>
      <c r="C738" s="89"/>
      <c r="D738" s="801"/>
      <c r="E738" s="1505">
        <v>18</v>
      </c>
      <c r="F738" s="21" t="str">
        <f>F$146</f>
        <v>--</v>
      </c>
      <c r="G738" s="1441">
        <f>G$146</f>
        <v>0</v>
      </c>
      <c r="H738" s="1441" t="str">
        <f>H$146</f>
        <v>--</v>
      </c>
      <c r="I738" s="89" t="s">
        <v>812</v>
      </c>
      <c r="J738" s="89"/>
      <c r="K738" s="2301" t="str">
        <f>IFERROR(_xll.ciqfunctions.udf.CIQ($G738,$I738,K117,Valuation_Date_GC,ReportType,DataMode,$H738,FXMode)*Scale,"--")</f>
        <v>--</v>
      </c>
      <c r="L738" s="2301" t="str">
        <f>IFERROR(_xll.ciqfunctions.udf.CIQ($G738,$I738,L117,Valuation_Date_GC,ReportType,DataMode,$H738,FXMode)*Scale,"--")</f>
        <v>--</v>
      </c>
      <c r="M738" s="2301" t="str">
        <f>IFERROR(_xll.ciqfunctions.udf.CIQ($G738,$I738,M117,Valuation_Date_GC,ReportType,DataMode,$H738,FXMode)*Scale,"--")</f>
        <v>--</v>
      </c>
      <c r="N738" s="2301" t="str">
        <f>IFERROR(_xll.ciqfunctions.udf.CIQ($G738,$I738,N117,Valuation_Date_GC,ReportType,DataMode,$H738,FXMode)*Scale,"--")</f>
        <v>--</v>
      </c>
      <c r="O738" s="2301" t="str">
        <f>IFERROR(_xll.ciqfunctions.udf.CIQ($G738,$I738,O117,Valuation_Date_GC,ReportType,DataMode,$H738,FXMode)*Scale,"--")</f>
        <v>--</v>
      </c>
      <c r="P738" s="2301" t="str">
        <f>IFERROR(_xll.ciqfunctions.udf.CIQ($G738,$I738,P117,Valuation_Date_GC,ReportType,DataMode,$H738,FXMode)*Scale,"--")</f>
        <v>--</v>
      </c>
      <c r="Q738" s="89"/>
      <c r="R738" s="255"/>
      <c r="S738" s="89"/>
      <c r="T738" s="255"/>
      <c r="U738" s="255"/>
      <c r="V738" s="255"/>
      <c r="W738" s="255"/>
      <c r="X738" s="255"/>
      <c r="Y738" s="255"/>
      <c r="Z738" s="2060"/>
      <c r="AA738" s="2060"/>
      <c r="AB738" s="2060"/>
      <c r="AC738" s="2060"/>
      <c r="AD738" s="2060"/>
      <c r="AE738" s="2060"/>
      <c r="AF738" s="2060"/>
      <c r="AG738" s="89"/>
      <c r="AH738" s="89"/>
      <c r="AI738" s="89"/>
      <c r="AJ738" s="89"/>
      <c r="AK738" s="89"/>
      <c r="AL738" s="89"/>
      <c r="AM738" s="89"/>
      <c r="AN738" s="89"/>
      <c r="AO738" s="89"/>
      <c r="AP738" s="89"/>
      <c r="AQ738" s="89"/>
      <c r="AR738" s="89"/>
      <c r="AS738" s="89"/>
      <c r="AT738" s="89"/>
      <c r="AU738" s="89"/>
      <c r="AV738" s="89"/>
      <c r="AW738" s="89"/>
      <c r="AX738" s="89"/>
      <c r="AY738" s="89"/>
      <c r="AZ738" s="89"/>
      <c r="BA738" s="89"/>
      <c r="BB738" s="89"/>
      <c r="BC738" s="89"/>
      <c r="BD738" s="89"/>
      <c r="BE738" s="89"/>
      <c r="BF738" s="89"/>
      <c r="BG738" s="89"/>
      <c r="BH738" s="89"/>
      <c r="BI738" s="89"/>
      <c r="BJ738" s="89"/>
      <c r="BK738" s="89"/>
      <c r="BL738" s="89"/>
      <c r="BM738" s="89"/>
      <c r="BN738" s="89"/>
      <c r="BO738" s="89"/>
      <c r="BP738" s="89"/>
    </row>
    <row r="739" spans="1:68" s="92" customFormat="1" ht="13.9">
      <c r="A739" s="269" t="str">
        <f t="shared" si="188"/>
        <v>n</v>
      </c>
      <c r="B739" s="2060"/>
      <c r="C739" s="89"/>
      <c r="D739" s="801"/>
      <c r="E739" s="1505">
        <v>19</v>
      </c>
      <c r="F739" s="21" t="str">
        <f>F$147</f>
        <v>--</v>
      </c>
      <c r="G739" s="1441">
        <f>G$147</f>
        <v>0</v>
      </c>
      <c r="H739" s="1441" t="str">
        <f>H$147</f>
        <v>--</v>
      </c>
      <c r="I739" s="89" t="s">
        <v>812</v>
      </c>
      <c r="J739" s="89"/>
      <c r="K739" s="2301" t="str">
        <f>IFERROR(_xll.ciqfunctions.udf.CIQ($G739,$I739,K118,Valuation_Date_GC,ReportType,DataMode,$H739,FXMode)*Scale,"--")</f>
        <v>--</v>
      </c>
      <c r="L739" s="2301" t="str">
        <f>IFERROR(_xll.ciqfunctions.udf.CIQ($G739,$I739,L118,Valuation_Date_GC,ReportType,DataMode,$H739,FXMode)*Scale,"--")</f>
        <v>--</v>
      </c>
      <c r="M739" s="2301" t="str">
        <f>IFERROR(_xll.ciqfunctions.udf.CIQ($G739,$I739,M118,Valuation_Date_GC,ReportType,DataMode,$H739,FXMode)*Scale,"--")</f>
        <v>--</v>
      </c>
      <c r="N739" s="2301" t="str">
        <f>IFERROR(_xll.ciqfunctions.udf.CIQ($G739,$I739,N118,Valuation_Date_GC,ReportType,DataMode,$H739,FXMode)*Scale,"--")</f>
        <v>--</v>
      </c>
      <c r="O739" s="2301" t="str">
        <f>IFERROR(_xll.ciqfunctions.udf.CIQ($G739,$I739,O118,Valuation_Date_GC,ReportType,DataMode,$H739,FXMode)*Scale,"--")</f>
        <v>--</v>
      </c>
      <c r="P739" s="2301" t="str">
        <f>IFERROR(_xll.ciqfunctions.udf.CIQ($G739,$I739,P118,Valuation_Date_GC,ReportType,DataMode,$H739,FXMode)*Scale,"--")</f>
        <v>--</v>
      </c>
      <c r="Q739" s="89"/>
      <c r="R739" s="255"/>
      <c r="S739" s="89"/>
      <c r="T739" s="255"/>
      <c r="U739" s="255"/>
      <c r="V739" s="255"/>
      <c r="W739" s="255"/>
      <c r="X739" s="255"/>
      <c r="Y739" s="255"/>
      <c r="Z739" s="2060"/>
      <c r="AA739" s="2060"/>
      <c r="AB739" s="2060"/>
      <c r="AC739" s="2060"/>
      <c r="AD739" s="2060"/>
      <c r="AE739" s="2060"/>
      <c r="AF739" s="2060"/>
      <c r="AG739" s="89"/>
      <c r="AH739" s="89"/>
      <c r="AI739" s="89"/>
      <c r="AJ739" s="89"/>
      <c r="AK739" s="89"/>
      <c r="AL739" s="89"/>
      <c r="AM739" s="89"/>
      <c r="AN739" s="89"/>
      <c r="AO739" s="89"/>
      <c r="AP739" s="89"/>
      <c r="AQ739" s="89"/>
      <c r="AR739" s="89"/>
      <c r="AS739" s="89"/>
      <c r="AT739" s="89"/>
      <c r="AU739" s="89"/>
      <c r="AV739" s="89"/>
      <c r="AW739" s="89"/>
      <c r="AX739" s="89"/>
      <c r="AY739" s="89"/>
      <c r="AZ739" s="89"/>
      <c r="BA739" s="89"/>
      <c r="BB739" s="89"/>
      <c r="BC739" s="89"/>
      <c r="BD739" s="89"/>
      <c r="BE739" s="89"/>
      <c r="BF739" s="89"/>
      <c r="BG739" s="89"/>
      <c r="BH739" s="89"/>
      <c r="BI739" s="89"/>
      <c r="BJ739" s="89"/>
      <c r="BK739" s="89"/>
      <c r="BL739" s="89"/>
      <c r="BM739" s="89"/>
      <c r="BN739" s="89"/>
      <c r="BO739" s="89"/>
      <c r="BP739" s="89"/>
    </row>
    <row r="740" spans="1:68" s="92" customFormat="1" ht="13.9">
      <c r="A740" s="269" t="str">
        <f t="shared" si="188"/>
        <v>n</v>
      </c>
      <c r="B740" s="2060"/>
      <c r="C740" s="89"/>
      <c r="D740" s="801"/>
      <c r="E740" s="1505">
        <v>20</v>
      </c>
      <c r="F740" s="21" t="str">
        <f>F$148</f>
        <v>--</v>
      </c>
      <c r="G740" s="1441">
        <f>G$148</f>
        <v>0</v>
      </c>
      <c r="H740" s="1441" t="str">
        <f>H$148</f>
        <v>--</v>
      </c>
      <c r="I740" s="89" t="s">
        <v>812</v>
      </c>
      <c r="J740" s="89"/>
      <c r="K740" s="2301" t="str">
        <f>IFERROR(_xll.ciqfunctions.udf.CIQ($G740,$I740,K119,Valuation_Date_GC,ReportType,DataMode,$H740,FXMode)*Scale,"--")</f>
        <v>--</v>
      </c>
      <c r="L740" s="2301" t="str">
        <f>IFERROR(_xll.ciqfunctions.udf.CIQ($G740,$I740,L119,Valuation_Date_GC,ReportType,DataMode,$H740,FXMode)*Scale,"--")</f>
        <v>--</v>
      </c>
      <c r="M740" s="2301" t="str">
        <f>IFERROR(_xll.ciqfunctions.udf.CIQ($G740,$I740,M119,Valuation_Date_GC,ReportType,DataMode,$H740,FXMode)*Scale,"--")</f>
        <v>--</v>
      </c>
      <c r="N740" s="2301" t="str">
        <f>IFERROR(_xll.ciqfunctions.udf.CIQ($G740,$I740,N119,Valuation_Date_GC,ReportType,DataMode,$H740,FXMode)*Scale,"--")</f>
        <v>--</v>
      </c>
      <c r="O740" s="2301" t="str">
        <f>IFERROR(_xll.ciqfunctions.udf.CIQ($G740,$I740,O119,Valuation_Date_GC,ReportType,DataMode,$H740,FXMode)*Scale,"--")</f>
        <v>--</v>
      </c>
      <c r="P740" s="2301" t="str">
        <f>IFERROR(_xll.ciqfunctions.udf.CIQ($G740,$I740,P119,Valuation_Date_GC,ReportType,DataMode,$H740,FXMode)*Scale,"--")</f>
        <v>--</v>
      </c>
      <c r="Q740" s="89"/>
      <c r="R740" s="255"/>
      <c r="S740" s="89"/>
      <c r="T740" s="255"/>
      <c r="U740" s="255"/>
      <c r="V740" s="255"/>
      <c r="W740" s="255"/>
      <c r="X740" s="255"/>
      <c r="Y740" s="255"/>
      <c r="Z740" s="2060"/>
      <c r="AA740" s="2060"/>
      <c r="AB740" s="2060"/>
      <c r="AC740" s="2060"/>
      <c r="AD740" s="2060"/>
      <c r="AE740" s="2060"/>
      <c r="AF740" s="2060"/>
      <c r="AG740" s="89"/>
      <c r="AH740" s="89"/>
      <c r="AI740" s="89"/>
      <c r="AJ740" s="89"/>
      <c r="AK740" s="89"/>
      <c r="AL740" s="89"/>
      <c r="AM740" s="89"/>
      <c r="AN740" s="89"/>
      <c r="AO740" s="89"/>
      <c r="AP740" s="89"/>
      <c r="AQ740" s="89"/>
      <c r="AR740" s="89"/>
      <c r="AS740" s="89"/>
      <c r="AT740" s="89"/>
      <c r="AU740" s="89"/>
      <c r="AV740" s="89"/>
      <c r="AW740" s="89"/>
      <c r="AX740" s="89"/>
      <c r="AY740" s="89"/>
      <c r="AZ740" s="89"/>
      <c r="BA740" s="89"/>
      <c r="BB740" s="89"/>
      <c r="BC740" s="89"/>
      <c r="BD740" s="89"/>
      <c r="BE740" s="89"/>
      <c r="BF740" s="89"/>
      <c r="BG740" s="89"/>
      <c r="BH740" s="89"/>
      <c r="BI740" s="89"/>
      <c r="BJ740" s="89"/>
      <c r="BK740" s="89"/>
      <c r="BL740" s="89"/>
      <c r="BM740" s="89"/>
      <c r="BN740" s="89"/>
      <c r="BO740" s="89"/>
      <c r="BP740" s="89"/>
    </row>
    <row r="741" spans="1:68" s="92" customFormat="1" ht="13.9">
      <c r="A741" s="269" t="str">
        <f t="shared" si="188"/>
        <v>n</v>
      </c>
      <c r="B741" s="2060"/>
      <c r="C741" s="89"/>
      <c r="D741" s="801"/>
      <c r="E741" s="1505">
        <v>21</v>
      </c>
      <c r="F741" s="21" t="str">
        <f>F$149</f>
        <v>--</v>
      </c>
      <c r="G741" s="1441">
        <f>G$149</f>
        <v>0</v>
      </c>
      <c r="H741" s="1441" t="str">
        <f>H$149</f>
        <v>--</v>
      </c>
      <c r="I741" s="89" t="s">
        <v>812</v>
      </c>
      <c r="J741" s="89"/>
      <c r="K741" s="2301" t="str">
        <f>IFERROR(_xll.ciqfunctions.udf.CIQ($G741,$I741,K120,Valuation_Date_GC,ReportType,DataMode,$H741,FXMode)*Scale,"--")</f>
        <v>--</v>
      </c>
      <c r="L741" s="2301" t="str">
        <f>IFERROR(_xll.ciqfunctions.udf.CIQ($G741,$I741,L120,Valuation_Date_GC,ReportType,DataMode,$H741,FXMode)*Scale,"--")</f>
        <v>--</v>
      </c>
      <c r="M741" s="2301" t="str">
        <f>IFERROR(_xll.ciqfunctions.udf.CIQ($G741,$I741,M120,Valuation_Date_GC,ReportType,DataMode,$H741,FXMode)*Scale,"--")</f>
        <v>--</v>
      </c>
      <c r="N741" s="2301" t="str">
        <f>IFERROR(_xll.ciqfunctions.udf.CIQ($G741,$I741,N120,Valuation_Date_GC,ReportType,DataMode,$H741,FXMode)*Scale,"--")</f>
        <v>--</v>
      </c>
      <c r="O741" s="2301" t="str">
        <f>IFERROR(_xll.ciqfunctions.udf.CIQ($G741,$I741,O120,Valuation_Date_GC,ReportType,DataMode,$H741,FXMode)*Scale,"--")</f>
        <v>--</v>
      </c>
      <c r="P741" s="2301" t="str">
        <f>IFERROR(_xll.ciqfunctions.udf.CIQ($G741,$I741,P120,Valuation_Date_GC,ReportType,DataMode,$H741,FXMode)*Scale,"--")</f>
        <v>--</v>
      </c>
      <c r="Q741" s="89"/>
      <c r="R741" s="255"/>
      <c r="S741" s="89"/>
      <c r="T741" s="255"/>
      <c r="U741" s="255"/>
      <c r="V741" s="255"/>
      <c r="W741" s="255"/>
      <c r="X741" s="255"/>
      <c r="Y741" s="255"/>
      <c r="Z741" s="2060"/>
      <c r="AA741" s="2060"/>
      <c r="AB741" s="2060"/>
      <c r="AC741" s="2060"/>
      <c r="AD741" s="2060"/>
      <c r="AE741" s="2060"/>
      <c r="AF741" s="2060"/>
      <c r="AG741" s="89"/>
      <c r="AH741" s="89"/>
      <c r="AI741" s="89"/>
      <c r="AJ741" s="89"/>
      <c r="AK741" s="89"/>
      <c r="AL741" s="89"/>
      <c r="AM741" s="89"/>
      <c r="AN741" s="89"/>
      <c r="AO741" s="89"/>
      <c r="AP741" s="89"/>
      <c r="AQ741" s="89"/>
      <c r="AR741" s="89"/>
      <c r="AS741" s="89"/>
      <c r="AT741" s="89"/>
      <c r="AU741" s="89"/>
      <c r="AV741" s="89"/>
      <c r="AW741" s="89"/>
      <c r="AX741" s="89"/>
      <c r="AY741" s="89"/>
      <c r="AZ741" s="89"/>
      <c r="BA741" s="89"/>
      <c r="BB741" s="89"/>
      <c r="BC741" s="89"/>
      <c r="BD741" s="89"/>
      <c r="BE741" s="89"/>
      <c r="BF741" s="89"/>
      <c r="BG741" s="89"/>
      <c r="BH741" s="89"/>
      <c r="BI741" s="89"/>
      <c r="BJ741" s="89"/>
      <c r="BK741" s="89"/>
      <c r="BL741" s="89"/>
      <c r="BM741" s="89"/>
      <c r="BN741" s="89"/>
      <c r="BO741" s="89"/>
      <c r="BP741" s="89"/>
    </row>
    <row r="742" spans="1:68" s="92" customFormat="1" ht="13.9">
      <c r="A742" s="269" t="str">
        <f t="shared" si="188"/>
        <v>n</v>
      </c>
      <c r="B742" s="2060"/>
      <c r="C742" s="89"/>
      <c r="D742" s="801"/>
      <c r="E742" s="1505">
        <v>22</v>
      </c>
      <c r="F742" s="21" t="str">
        <f>F$150</f>
        <v>--</v>
      </c>
      <c r="G742" s="1441">
        <f>G$150</f>
        <v>0</v>
      </c>
      <c r="H742" s="1441" t="str">
        <f>H$150</f>
        <v>--</v>
      </c>
      <c r="I742" s="89" t="s">
        <v>812</v>
      </c>
      <c r="J742" s="89"/>
      <c r="K742" s="2301" t="str">
        <f>IFERROR(_xll.ciqfunctions.udf.CIQ($G742,$I742,K121,Valuation_Date_GC,ReportType,DataMode,$H742,FXMode)*Scale,"--")</f>
        <v>--</v>
      </c>
      <c r="L742" s="2301" t="str">
        <f>IFERROR(_xll.ciqfunctions.udf.CIQ($G742,$I742,L121,Valuation_Date_GC,ReportType,DataMode,$H742,FXMode)*Scale,"--")</f>
        <v>--</v>
      </c>
      <c r="M742" s="2301" t="str">
        <f>IFERROR(_xll.ciqfunctions.udf.CIQ($G742,$I742,M121,Valuation_Date_GC,ReportType,DataMode,$H742,FXMode)*Scale,"--")</f>
        <v>--</v>
      </c>
      <c r="N742" s="2301" t="str">
        <f>IFERROR(_xll.ciqfunctions.udf.CIQ($G742,$I742,N121,Valuation_Date_GC,ReportType,DataMode,$H742,FXMode)*Scale,"--")</f>
        <v>--</v>
      </c>
      <c r="O742" s="2301" t="str">
        <f>IFERROR(_xll.ciqfunctions.udf.CIQ($G742,$I742,O121,Valuation_Date_GC,ReportType,DataMode,$H742,FXMode)*Scale,"--")</f>
        <v>--</v>
      </c>
      <c r="P742" s="2301" t="str">
        <f>IFERROR(_xll.ciqfunctions.udf.CIQ($G742,$I742,P121,Valuation_Date_GC,ReportType,DataMode,$H742,FXMode)*Scale,"--")</f>
        <v>--</v>
      </c>
      <c r="Q742" s="89"/>
      <c r="R742" s="255"/>
      <c r="S742" s="89"/>
      <c r="T742" s="255"/>
      <c r="U742" s="255"/>
      <c r="V742" s="255"/>
      <c r="W742" s="255"/>
      <c r="X742" s="255"/>
      <c r="Y742" s="255"/>
      <c r="Z742" s="2060"/>
      <c r="AA742" s="2060"/>
      <c r="AB742" s="2060"/>
      <c r="AC742" s="2060"/>
      <c r="AD742" s="2060"/>
      <c r="AE742" s="2060"/>
      <c r="AF742" s="2060"/>
      <c r="AG742" s="89"/>
      <c r="AH742" s="89"/>
      <c r="AI742" s="89"/>
      <c r="AJ742" s="89"/>
      <c r="AK742" s="89"/>
      <c r="AL742" s="89"/>
      <c r="AM742" s="89"/>
      <c r="AN742" s="89"/>
      <c r="AO742" s="89"/>
      <c r="AP742" s="89"/>
      <c r="AQ742" s="89"/>
      <c r="AR742" s="89"/>
      <c r="AS742" s="89"/>
      <c r="AT742" s="89"/>
      <c r="AU742" s="89"/>
      <c r="AV742" s="89"/>
      <c r="AW742" s="89"/>
      <c r="AX742" s="89"/>
      <c r="AY742" s="89"/>
      <c r="AZ742" s="89"/>
      <c r="BA742" s="89"/>
      <c r="BB742" s="89"/>
      <c r="BC742" s="89"/>
      <c r="BD742" s="89"/>
      <c r="BE742" s="89"/>
      <c r="BF742" s="89"/>
      <c r="BG742" s="89"/>
      <c r="BH742" s="89"/>
      <c r="BI742" s="89"/>
      <c r="BJ742" s="89"/>
      <c r="BK742" s="89"/>
      <c r="BL742" s="89"/>
      <c r="BM742" s="89"/>
      <c r="BN742" s="89"/>
      <c r="BO742" s="89"/>
      <c r="BP742" s="89"/>
    </row>
    <row r="743" spans="1:68" s="92" customFormat="1" ht="13.9">
      <c r="A743" s="269" t="str">
        <f t="shared" si="188"/>
        <v>n</v>
      </c>
      <c r="B743" s="2060"/>
      <c r="C743" s="89"/>
      <c r="D743" s="801"/>
      <c r="E743" s="1505">
        <v>23</v>
      </c>
      <c r="F743" s="21" t="str">
        <f>F$151</f>
        <v>--</v>
      </c>
      <c r="G743" s="1441">
        <f>G$151</f>
        <v>0</v>
      </c>
      <c r="H743" s="1441" t="str">
        <f>H$151</f>
        <v>--</v>
      </c>
      <c r="I743" s="89" t="s">
        <v>812</v>
      </c>
      <c r="J743" s="89"/>
      <c r="K743" s="2301" t="str">
        <f>IFERROR(_xll.ciqfunctions.udf.CIQ($G743,$I743,K122,Valuation_Date_GC,ReportType,DataMode,$H743,FXMode)*Scale,"--")</f>
        <v>--</v>
      </c>
      <c r="L743" s="2301" t="str">
        <f>IFERROR(_xll.ciqfunctions.udf.CIQ($G743,$I743,L122,Valuation_Date_GC,ReportType,DataMode,$H743,FXMode)*Scale,"--")</f>
        <v>--</v>
      </c>
      <c r="M743" s="2301" t="str">
        <f>IFERROR(_xll.ciqfunctions.udf.CIQ($G743,$I743,M122,Valuation_Date_GC,ReportType,DataMode,$H743,FXMode)*Scale,"--")</f>
        <v>--</v>
      </c>
      <c r="N743" s="2301" t="str">
        <f>IFERROR(_xll.ciqfunctions.udf.CIQ($G743,$I743,N122,Valuation_Date_GC,ReportType,DataMode,$H743,FXMode)*Scale,"--")</f>
        <v>--</v>
      </c>
      <c r="O743" s="2301" t="str">
        <f>IFERROR(_xll.ciqfunctions.udf.CIQ($G743,$I743,O122,Valuation_Date_GC,ReportType,DataMode,$H743,FXMode)*Scale,"--")</f>
        <v>--</v>
      </c>
      <c r="P743" s="2301" t="str">
        <f>IFERROR(_xll.ciqfunctions.udf.CIQ($G743,$I743,P122,Valuation_Date_GC,ReportType,DataMode,$H743,FXMode)*Scale,"--")</f>
        <v>--</v>
      </c>
      <c r="Q743" s="89"/>
      <c r="R743" s="255"/>
      <c r="S743" s="89"/>
      <c r="T743" s="255"/>
      <c r="U743" s="255"/>
      <c r="V743" s="255"/>
      <c r="W743" s="255"/>
      <c r="X743" s="255"/>
      <c r="Y743" s="255"/>
      <c r="Z743" s="2060"/>
      <c r="AA743" s="2060"/>
      <c r="AB743" s="2060"/>
      <c r="AC743" s="2060"/>
      <c r="AD743" s="2060"/>
      <c r="AE743" s="2060"/>
      <c r="AF743" s="2060"/>
      <c r="AG743" s="89"/>
      <c r="AH743" s="89"/>
      <c r="AI743" s="89"/>
      <c r="AJ743" s="89"/>
      <c r="AK743" s="89"/>
      <c r="AL743" s="89"/>
      <c r="AM743" s="89"/>
      <c r="AN743" s="89"/>
      <c r="AO743" s="89"/>
      <c r="AP743" s="89"/>
      <c r="AQ743" s="89"/>
      <c r="AR743" s="89"/>
      <c r="AS743" s="89"/>
      <c r="AT743" s="89"/>
      <c r="AU743" s="89"/>
      <c r="AV743" s="89"/>
      <c r="AW743" s="89"/>
      <c r="AX743" s="89"/>
      <c r="AY743" s="89"/>
      <c r="AZ743" s="89"/>
      <c r="BA743" s="89"/>
      <c r="BB743" s="89"/>
      <c r="BC743" s="89"/>
      <c r="BD743" s="89"/>
      <c r="BE743" s="89"/>
      <c r="BF743" s="89"/>
      <c r="BG743" s="89"/>
      <c r="BH743" s="89"/>
      <c r="BI743" s="89"/>
      <c r="BJ743" s="89"/>
      <c r="BK743" s="89"/>
      <c r="BL743" s="89"/>
      <c r="BM743" s="89"/>
      <c r="BN743" s="89"/>
      <c r="BO743" s="89"/>
      <c r="BP743" s="89"/>
    </row>
    <row r="744" spans="1:68" s="92" customFormat="1" ht="13.9">
      <c r="A744" s="269" t="str">
        <f t="shared" si="188"/>
        <v>n</v>
      </c>
      <c r="B744" s="2060"/>
      <c r="C744" s="89"/>
      <c r="D744" s="801"/>
      <c r="E744" s="1505">
        <v>24</v>
      </c>
      <c r="F744" s="21" t="str">
        <f>F$152</f>
        <v>--</v>
      </c>
      <c r="G744" s="1441">
        <f>G$152</f>
        <v>0</v>
      </c>
      <c r="H744" s="1441" t="str">
        <f>H$152</f>
        <v>--</v>
      </c>
      <c r="I744" s="89" t="s">
        <v>812</v>
      </c>
      <c r="J744" s="89"/>
      <c r="K744" s="2301" t="str">
        <f>IFERROR(_xll.ciqfunctions.udf.CIQ($G744,$I744,K123,Valuation_Date_GC,ReportType,DataMode,$H744,FXMode)*Scale,"--")</f>
        <v>--</v>
      </c>
      <c r="L744" s="2301" t="str">
        <f>IFERROR(_xll.ciqfunctions.udf.CIQ($G744,$I744,L123,Valuation_Date_GC,ReportType,DataMode,$H744,FXMode)*Scale,"--")</f>
        <v>--</v>
      </c>
      <c r="M744" s="2301" t="str">
        <f>IFERROR(_xll.ciqfunctions.udf.CIQ($G744,$I744,M123,Valuation_Date_GC,ReportType,DataMode,$H744,FXMode)*Scale,"--")</f>
        <v>--</v>
      </c>
      <c r="N744" s="2301" t="str">
        <f>IFERROR(_xll.ciqfunctions.udf.CIQ($G744,$I744,N123,Valuation_Date_GC,ReportType,DataMode,$H744,FXMode)*Scale,"--")</f>
        <v>--</v>
      </c>
      <c r="O744" s="2301" t="str">
        <f>IFERROR(_xll.ciqfunctions.udf.CIQ($G744,$I744,O123,Valuation_Date_GC,ReportType,DataMode,$H744,FXMode)*Scale,"--")</f>
        <v>--</v>
      </c>
      <c r="P744" s="2301" t="str">
        <f>IFERROR(_xll.ciqfunctions.udf.CIQ($G744,$I744,P123,Valuation_Date_GC,ReportType,DataMode,$H744,FXMode)*Scale,"--")</f>
        <v>--</v>
      </c>
      <c r="Q744" s="89"/>
      <c r="R744" s="255"/>
      <c r="S744" s="89"/>
      <c r="T744" s="255"/>
      <c r="U744" s="255"/>
      <c r="V744" s="255"/>
      <c r="W744" s="255"/>
      <c r="X744" s="255"/>
      <c r="Y744" s="255"/>
      <c r="Z744" s="2060"/>
      <c r="AA744" s="2060"/>
      <c r="AB744" s="2060"/>
      <c r="AC744" s="2060"/>
      <c r="AD744" s="2060"/>
      <c r="AE744" s="2060"/>
      <c r="AF744" s="2060"/>
      <c r="AG744" s="89"/>
      <c r="AH744" s="89"/>
      <c r="AI744" s="89"/>
      <c r="AJ744" s="89"/>
      <c r="AK744" s="89"/>
      <c r="AL744" s="89"/>
      <c r="AM744" s="89"/>
      <c r="AN744" s="89"/>
      <c r="AO744" s="89"/>
      <c r="AP744" s="89"/>
      <c r="AQ744" s="89"/>
      <c r="AR744" s="89"/>
      <c r="AS744" s="89"/>
      <c r="AT744" s="89"/>
      <c r="AU744" s="89"/>
      <c r="AV744" s="89"/>
      <c r="AW744" s="89"/>
      <c r="AX744" s="89"/>
      <c r="AY744" s="89"/>
      <c r="AZ744" s="89"/>
      <c r="BA744" s="89"/>
      <c r="BB744" s="89"/>
      <c r="BC744" s="89"/>
      <c r="BD744" s="89"/>
      <c r="BE744" s="89"/>
      <c r="BF744" s="89"/>
      <c r="BG744" s="89"/>
      <c r="BH744" s="89"/>
      <c r="BI744" s="89"/>
      <c r="BJ744" s="89"/>
      <c r="BK744" s="89"/>
      <c r="BL744" s="89"/>
      <c r="BM744" s="89"/>
      <c r="BN744" s="89"/>
      <c r="BO744" s="89"/>
      <c r="BP744" s="89"/>
    </row>
    <row r="745" spans="1:68" s="89" customFormat="1" ht="13.9">
      <c r="A745" s="269" t="str">
        <f t="shared" si="188"/>
        <v>n</v>
      </c>
      <c r="B745" s="2060"/>
      <c r="D745" s="801"/>
      <c r="E745" s="1505">
        <v>25</v>
      </c>
      <c r="F745" s="21" t="str">
        <f>F$153</f>
        <v>--</v>
      </c>
      <c r="G745" s="1441">
        <f>G$153</f>
        <v>0</v>
      </c>
      <c r="H745" s="1441" t="str">
        <f>H$153</f>
        <v>--</v>
      </c>
      <c r="I745" s="89" t="s">
        <v>812</v>
      </c>
      <c r="K745" s="2301" t="str">
        <f>IFERROR(_xll.ciqfunctions.udf.CIQ($G745,$I745,K124,Valuation_Date_GC,ReportType,DataMode,$H745,FXMode)*Scale,"--")</f>
        <v>--</v>
      </c>
      <c r="L745" s="2301" t="str">
        <f>IFERROR(_xll.ciqfunctions.udf.CIQ($G745,$I745,L124,Valuation_Date_GC,ReportType,DataMode,$H745,FXMode)*Scale,"--")</f>
        <v>--</v>
      </c>
      <c r="M745" s="2301" t="str">
        <f>IFERROR(_xll.ciqfunctions.udf.CIQ($G745,$I745,M124,Valuation_Date_GC,ReportType,DataMode,$H745,FXMode)*Scale,"--")</f>
        <v>--</v>
      </c>
      <c r="N745" s="2301" t="str">
        <f>IFERROR(_xll.ciqfunctions.udf.CIQ($G745,$I745,N124,Valuation_Date_GC,ReportType,DataMode,$H745,FXMode)*Scale,"--")</f>
        <v>--</v>
      </c>
      <c r="O745" s="2301" t="str">
        <f>IFERROR(_xll.ciqfunctions.udf.CIQ($G745,$I745,O124,Valuation_Date_GC,ReportType,DataMode,$H745,FXMode)*Scale,"--")</f>
        <v>--</v>
      </c>
      <c r="P745" s="2301" t="str">
        <f>IFERROR(_xll.ciqfunctions.udf.CIQ($G745,$I745,P124,Valuation_Date_GC,ReportType,DataMode,$H745,FXMode)*Scale,"--")</f>
        <v>--</v>
      </c>
      <c r="R745" s="255"/>
      <c r="T745" s="255"/>
      <c r="U745" s="255"/>
      <c r="V745" s="255"/>
      <c r="W745" s="255"/>
      <c r="X745" s="255"/>
      <c r="Y745" s="255"/>
      <c r="Z745" s="2060"/>
      <c r="AA745" s="2060"/>
      <c r="AB745" s="2060"/>
      <c r="AC745" s="2060"/>
      <c r="AD745" s="2060"/>
      <c r="AE745" s="2060"/>
      <c r="AF745" s="2060"/>
      <c r="AL745" s="92"/>
      <c r="AM745" s="92"/>
      <c r="AN745" s="92"/>
      <c r="AO745" s="92"/>
      <c r="AP745" s="92"/>
      <c r="AQ745" s="92"/>
      <c r="AR745" s="92"/>
      <c r="AS745" s="92"/>
      <c r="AT745" s="92"/>
      <c r="AU745" s="92"/>
    </row>
    <row r="746" spans="1:68" s="89" customFormat="1" ht="13.9">
      <c r="A746" s="2060"/>
      <c r="B746" s="2060"/>
      <c r="D746" s="801"/>
      <c r="F746" s="57" t="s">
        <v>767</v>
      </c>
      <c r="G746" s="1442"/>
      <c r="H746" s="1442"/>
      <c r="I746" s="1442"/>
      <c r="J746" s="1442"/>
      <c r="K746" s="1443" t="str">
        <f t="shared" ref="K746:P746" si="189">IFERROR(MEDIAN(K721:K745),"--")</f>
        <v>--</v>
      </c>
      <c r="L746" s="1443" t="str">
        <f t="shared" si="189"/>
        <v>--</v>
      </c>
      <c r="M746" s="1443" t="str">
        <f t="shared" si="189"/>
        <v>--</v>
      </c>
      <c r="N746" s="1443" t="str">
        <f t="shared" si="189"/>
        <v>--</v>
      </c>
      <c r="O746" s="1444" t="str">
        <f t="shared" si="189"/>
        <v>--</v>
      </c>
      <c r="P746" s="1443" t="str">
        <f t="shared" si="189"/>
        <v>--</v>
      </c>
      <c r="R746" s="255"/>
      <c r="T746" s="255"/>
      <c r="U746" s="255"/>
      <c r="V746" s="255"/>
      <c r="W746" s="255"/>
      <c r="X746" s="255"/>
      <c r="Y746" s="255"/>
      <c r="Z746" s="2060"/>
      <c r="AA746" s="2060"/>
      <c r="AB746" s="2060"/>
      <c r="AC746" s="2060"/>
      <c r="AD746" s="2060"/>
      <c r="AE746" s="2060"/>
      <c r="AF746" s="2060"/>
      <c r="AV746" s="92"/>
      <c r="AW746" s="92"/>
      <c r="AX746" s="92"/>
      <c r="AY746" s="92"/>
      <c r="AZ746" s="92"/>
      <c r="BA746" s="92"/>
      <c r="BB746" s="92"/>
      <c r="BC746" s="92"/>
      <c r="BD746" s="92"/>
      <c r="BE746" s="92"/>
      <c r="BF746" s="92"/>
      <c r="BG746" s="92"/>
      <c r="BH746" s="92"/>
      <c r="BI746" s="92"/>
      <c r="BJ746" s="92"/>
      <c r="BK746" s="92"/>
      <c r="BL746" s="92"/>
      <c r="BM746" s="92"/>
      <c r="BN746" s="92"/>
      <c r="BO746" s="92"/>
      <c r="BP746" s="92"/>
    </row>
    <row r="747" spans="1:68" s="89" customFormat="1" ht="13.9">
      <c r="A747" s="2060"/>
      <c r="B747" s="2060"/>
      <c r="D747" s="778"/>
      <c r="E747" s="21"/>
      <c r="F747" s="446"/>
      <c r="G747" s="1441"/>
      <c r="H747" s="1441"/>
      <c r="I747" s="1441"/>
      <c r="J747" s="1441"/>
      <c r="K747" s="1441"/>
      <c r="O747" s="75"/>
      <c r="P747" s="76"/>
      <c r="AA747" s="2060"/>
      <c r="AB747" s="2060"/>
      <c r="AC747" s="2060"/>
      <c r="AD747" s="2060"/>
      <c r="AE747" s="2060"/>
      <c r="AF747" s="2060"/>
    </row>
    <row r="748" spans="1:68" s="89" customFormat="1" ht="13.9">
      <c r="A748" s="2060"/>
      <c r="B748" s="2060"/>
      <c r="D748" s="778"/>
      <c r="E748" s="21"/>
      <c r="F748" s="446"/>
      <c r="G748" s="1441"/>
      <c r="H748" s="1441"/>
      <c r="I748" s="1441"/>
      <c r="J748" s="1441"/>
      <c r="K748" s="1441"/>
      <c r="O748" s="75"/>
      <c r="P748" s="76"/>
      <c r="AA748" s="2060"/>
      <c r="AB748" s="2060"/>
      <c r="AC748" s="2060"/>
      <c r="AD748" s="2060"/>
      <c r="AE748" s="2060"/>
      <c r="AF748" s="2060"/>
    </row>
    <row r="749" spans="1:68" s="89" customFormat="1" ht="13.9">
      <c r="A749" s="2060"/>
      <c r="B749" s="2060"/>
      <c r="D749" s="778"/>
      <c r="E749" s="21"/>
      <c r="F749" s="446"/>
      <c r="G749" s="1441"/>
      <c r="H749" s="1441"/>
      <c r="I749" s="1441"/>
      <c r="J749" s="1441"/>
      <c r="K749" s="1441"/>
      <c r="O749" s="75"/>
      <c r="P749" s="76"/>
      <c r="R749" s="521"/>
      <c r="AA749" s="2060"/>
      <c r="AB749" s="2060"/>
      <c r="AC749" s="2060"/>
      <c r="AD749" s="2060"/>
      <c r="AE749" s="2060"/>
      <c r="AF749" s="2060"/>
    </row>
    <row r="750" spans="1:68" s="89" customFormat="1" ht="13.9">
      <c r="A750" s="2060"/>
      <c r="B750" s="2060"/>
      <c r="D750" s="778">
        <f ca="1">MAX(OFFSET(D750,-1,0,-ROW(D750)+1,-2),1)+0.01</f>
        <v>5.0699999999999985</v>
      </c>
      <c r="E750" s="125"/>
      <c r="F750" s="952" t="s">
        <v>296</v>
      </c>
      <c r="G750" s="724" t="s">
        <v>796</v>
      </c>
      <c r="H750" s="766"/>
      <c r="I750" s="766"/>
      <c r="J750" s="766"/>
      <c r="K750" s="725" t="s">
        <v>700</v>
      </c>
      <c r="L750" s="725" t="s">
        <v>701</v>
      </c>
      <c r="M750" s="725" t="s">
        <v>702</v>
      </c>
      <c r="N750" s="725" t="s">
        <v>703</v>
      </c>
      <c r="O750" s="759" t="s">
        <v>704</v>
      </c>
      <c r="P750" s="725" t="s">
        <v>705</v>
      </c>
      <c r="R750" s="255"/>
      <c r="V750" s="255"/>
      <c r="AA750" s="2060"/>
      <c r="AB750" s="2060"/>
      <c r="AC750" s="2060"/>
      <c r="AD750" s="2060"/>
      <c r="AE750" s="2060"/>
      <c r="AF750" s="2060"/>
    </row>
    <row r="751" spans="1:68" s="89" customFormat="1" ht="13.9">
      <c r="A751" s="2060"/>
      <c r="B751" s="2060"/>
      <c r="D751" s="778"/>
      <c r="E751" s="1505">
        <v>0</v>
      </c>
      <c r="F751" s="1448" t="str">
        <f>F$128</f>
        <v/>
      </c>
      <c r="G751" s="1449">
        <f>G$128</f>
        <v>0</v>
      </c>
      <c r="H751" s="1449" t="str">
        <f>H$128</f>
        <v>USD</v>
      </c>
      <c r="I751" s="258" t="s">
        <v>813</v>
      </c>
      <c r="J751" s="258"/>
      <c r="K751" s="2304">
        <f>-'INC STAT Hist Input'!F24</f>
        <v>0</v>
      </c>
      <c r="L751" s="2304">
        <f>-'INC STAT Hist Input'!G24</f>
        <v>0</v>
      </c>
      <c r="M751" s="2304">
        <f>-'INC STAT Hist Input'!H24</f>
        <v>0</v>
      </c>
      <c r="N751" s="2304">
        <f>-'INC STAT Hist Input'!I24</f>
        <v>0</v>
      </c>
      <c r="O751" s="1469">
        <f>-'INC STAT Hist Input'!J24</f>
        <v>0</v>
      </c>
      <c r="P751" s="1470">
        <f>-'INC STAT Hist Input'!K24</f>
        <v>0</v>
      </c>
      <c r="R751" s="255"/>
      <c r="AA751" s="2060"/>
      <c r="AB751" s="2060"/>
      <c r="AC751" s="2060"/>
      <c r="AD751" s="2060"/>
      <c r="AE751" s="2060"/>
      <c r="AF751" s="2060"/>
    </row>
    <row r="752" spans="1:68" s="89" customFormat="1" ht="13.9">
      <c r="A752" s="269" t="str">
        <f>IF(F752="--","n","")</f>
        <v>n</v>
      </c>
      <c r="B752" s="2060"/>
      <c r="D752" s="801"/>
      <c r="E752" s="1505">
        <v>1</v>
      </c>
      <c r="F752" s="21" t="str">
        <f>F$129</f>
        <v>--</v>
      </c>
      <c r="G752" s="1441">
        <f>G$129</f>
        <v>0</v>
      </c>
      <c r="H752" s="1441" t="str">
        <f>H$129</f>
        <v>--</v>
      </c>
      <c r="I752" s="89" t="s">
        <v>813</v>
      </c>
      <c r="K752" s="2301" t="str">
        <f>IFERROR(-_xll.ciqfunctions.udf.CIQ($G752,$I752,K100,Valuation_Date_GC,ReportType,DataMode,$H752,FXMode)*Scale,"--")</f>
        <v>--</v>
      </c>
      <c r="L752" s="2301" t="str">
        <f>IFERROR(-_xll.ciqfunctions.udf.CIQ($G752,$I752,L100,Valuation_Date_GC,ReportType,DataMode,$H752,FXMode)*Scale,"--")</f>
        <v>--</v>
      </c>
      <c r="M752" s="2301" t="str">
        <f>IFERROR(-_xll.ciqfunctions.udf.CIQ($G752,$I752,M100,Valuation_Date_GC,ReportType,DataMode,$H752,FXMode)*Scale,"--")</f>
        <v>--</v>
      </c>
      <c r="N752" s="2301" t="str">
        <f>IFERROR(-_xll.ciqfunctions.udf.CIQ($G752,$I752,N100,Valuation_Date_GC,ReportType,DataMode,$H752,FXMode)*Scale,"--")</f>
        <v>--</v>
      </c>
      <c r="O752" s="1471" t="str">
        <f>IFERROR(-_xll.ciqfunctions.udf.CIQ($G752,$I752,O100,Valuation_Date_GC,ReportType,DataMode,$H752,FXMode)*Scale,"--")</f>
        <v>--</v>
      </c>
      <c r="P752" s="2301" t="str">
        <f>IFERROR(-_xll.ciqfunctions.udf.CIQ($G752,$I752,P100,Valuation_Date_GC,ReportType,DataMode,$H752,FXMode)*Scale,"--")</f>
        <v>--</v>
      </c>
      <c r="R752" s="255"/>
      <c r="AA752" s="2060"/>
      <c r="AB752" s="2060"/>
      <c r="AC752" s="2060"/>
      <c r="AD752" s="2060"/>
      <c r="AE752" s="2060"/>
      <c r="AF752" s="2060"/>
    </row>
    <row r="753" spans="1:68" s="89" customFormat="1" ht="13.9">
      <c r="A753" s="269" t="str">
        <f t="shared" ref="A753:A776" si="190">IF(F753="--","n","")</f>
        <v>n</v>
      </c>
      <c r="B753" s="2060"/>
      <c r="D753" s="801"/>
      <c r="E753" s="1505">
        <v>2</v>
      </c>
      <c r="F753" s="21" t="str">
        <f>F$130</f>
        <v>--</v>
      </c>
      <c r="G753" s="1441">
        <f>G$130</f>
        <v>0</v>
      </c>
      <c r="H753" s="1441" t="str">
        <f>H$130</f>
        <v>--</v>
      </c>
      <c r="I753" s="89" t="s">
        <v>813</v>
      </c>
      <c r="K753" s="2301" t="str">
        <f>IFERROR(-_xll.ciqfunctions.udf.CIQ($G753,$I753,K101,Valuation_Date_GC,ReportType,DataMode,$H753,FXMode)*Scale,"--")</f>
        <v>--</v>
      </c>
      <c r="L753" s="2301" t="str">
        <f>IFERROR(-_xll.ciqfunctions.udf.CIQ($G753,$I753,L101,Valuation_Date_GC,ReportType,DataMode,$H753,FXMode)*Scale,"--")</f>
        <v>--</v>
      </c>
      <c r="M753" s="2301" t="str">
        <f>IFERROR(-_xll.ciqfunctions.udf.CIQ($G753,$I753,M101,Valuation_Date_GC,ReportType,DataMode,$H753,FXMode)*Scale,"--")</f>
        <v>--</v>
      </c>
      <c r="N753" s="2301" t="str">
        <f>IFERROR(-_xll.ciqfunctions.udf.CIQ($G753,$I753,N101,Valuation_Date_GC,ReportType,DataMode,$H753,FXMode)*Scale,"--")</f>
        <v>--</v>
      </c>
      <c r="O753" s="1471" t="str">
        <f>IFERROR(-_xll.ciqfunctions.udf.CIQ($G753,$I753,O101,Valuation_Date_GC,ReportType,DataMode,$H753,FXMode)*Scale,"--")</f>
        <v>--</v>
      </c>
      <c r="P753" s="2301" t="str">
        <f>IFERROR(-_xll.ciqfunctions.udf.CIQ($G753,$I753,P101,Valuation_Date_GC,ReportType,DataMode,$H753,FXMode)*Scale,"--")</f>
        <v>--</v>
      </c>
      <c r="R753" s="255"/>
      <c r="AA753" s="2060"/>
      <c r="AB753" s="2060"/>
      <c r="AC753" s="2060"/>
      <c r="AD753" s="2060"/>
      <c r="AE753" s="2060"/>
      <c r="AF753" s="2060"/>
    </row>
    <row r="754" spans="1:68" s="89" customFormat="1" ht="13.9">
      <c r="A754" s="269" t="str">
        <f t="shared" si="190"/>
        <v>n</v>
      </c>
      <c r="B754" s="2060"/>
      <c r="D754" s="801"/>
      <c r="E754" s="1505">
        <v>3</v>
      </c>
      <c r="F754" s="21" t="str">
        <f>F$131</f>
        <v>--</v>
      </c>
      <c r="G754" s="1441">
        <f>G$131</f>
        <v>0</v>
      </c>
      <c r="H754" s="1441" t="str">
        <f>H$131</f>
        <v>--</v>
      </c>
      <c r="I754" s="89" t="s">
        <v>813</v>
      </c>
      <c r="K754" s="2301" t="str">
        <f>IFERROR(-_xll.ciqfunctions.udf.CIQ($G754,$I754,K102,Valuation_Date_GC,ReportType,DataMode,$H754,FXMode)*Scale,"--")</f>
        <v>--</v>
      </c>
      <c r="L754" s="2301" t="str">
        <f>IFERROR(-_xll.ciqfunctions.udf.CIQ($G754,$I754,L102,Valuation_Date_GC,ReportType,DataMode,$H754,FXMode)*Scale,"--")</f>
        <v>--</v>
      </c>
      <c r="M754" s="2301" t="str">
        <f>IFERROR(-_xll.ciqfunctions.udf.CIQ($G754,$I754,M102,Valuation_Date_GC,ReportType,DataMode,$H754,FXMode)*Scale,"--")</f>
        <v>--</v>
      </c>
      <c r="N754" s="2301" t="str">
        <f>IFERROR(-_xll.ciqfunctions.udf.CIQ($G754,$I754,N102,Valuation_Date_GC,ReportType,DataMode,$H754,FXMode)*Scale,"--")</f>
        <v>--</v>
      </c>
      <c r="O754" s="1471" t="str">
        <f>IFERROR(-_xll.ciqfunctions.udf.CIQ($G754,$I754,O102,Valuation_Date_GC,ReportType,DataMode,$H754,FXMode)*Scale,"--")</f>
        <v>--</v>
      </c>
      <c r="P754" s="2301" t="str">
        <f>IFERROR(-_xll.ciqfunctions.udf.CIQ($G754,$I754,P102,Valuation_Date_GC,ReportType,DataMode,$H754,FXMode)*Scale,"--")</f>
        <v>--</v>
      </c>
      <c r="R754" s="255"/>
      <c r="AA754" s="2060"/>
      <c r="AB754" s="2060"/>
      <c r="AC754" s="2060"/>
      <c r="AD754" s="2060"/>
      <c r="AE754" s="2060"/>
    </row>
    <row r="755" spans="1:68" s="89" customFormat="1" ht="13.9">
      <c r="A755" s="269" t="str">
        <f t="shared" si="190"/>
        <v>n</v>
      </c>
      <c r="B755" s="2060"/>
      <c r="D755" s="801"/>
      <c r="E755" s="1505">
        <v>4</v>
      </c>
      <c r="F755" s="21" t="str">
        <f>F$132</f>
        <v>--</v>
      </c>
      <c r="G755" s="1441">
        <f>G$132</f>
        <v>0</v>
      </c>
      <c r="H755" s="1441" t="str">
        <f>H$132</f>
        <v>--</v>
      </c>
      <c r="I755" s="89" t="s">
        <v>813</v>
      </c>
      <c r="K755" s="2301" t="str">
        <f>IFERROR(-_xll.ciqfunctions.udf.CIQ($G755,$I755,K103,Valuation_Date_GC,ReportType,DataMode,$H755,FXMode)*Scale,"--")</f>
        <v>--</v>
      </c>
      <c r="L755" s="2301" t="str">
        <f>IFERROR(-_xll.ciqfunctions.udf.CIQ($G755,$I755,L103,Valuation_Date_GC,ReportType,DataMode,$H755,FXMode)*Scale,"--")</f>
        <v>--</v>
      </c>
      <c r="M755" s="2301" t="str">
        <f>IFERROR(-_xll.ciqfunctions.udf.CIQ($G755,$I755,M103,Valuation_Date_GC,ReportType,DataMode,$H755,FXMode)*Scale,"--")</f>
        <v>--</v>
      </c>
      <c r="N755" s="2301" t="str">
        <f>IFERROR(-_xll.ciqfunctions.udf.CIQ($G755,$I755,N103,Valuation_Date_GC,ReportType,DataMode,$H755,FXMode)*Scale,"--")</f>
        <v>--</v>
      </c>
      <c r="O755" s="1471" t="str">
        <f>IFERROR(-_xll.ciqfunctions.udf.CIQ($G755,$I755,O103,Valuation_Date_GC,ReportType,DataMode,$H755,FXMode)*Scale,"--")</f>
        <v>--</v>
      </c>
      <c r="P755" s="2301" t="str">
        <f>IFERROR(-_xll.ciqfunctions.udf.CIQ($G755,$I755,P103,Valuation_Date_GC,ReportType,DataMode,$H755,FXMode)*Scale,"--")</f>
        <v>--</v>
      </c>
      <c r="R755" s="255"/>
    </row>
    <row r="756" spans="1:68" s="89" customFormat="1" ht="13.9">
      <c r="A756" s="269" t="str">
        <f t="shared" si="190"/>
        <v>n</v>
      </c>
      <c r="B756" s="2060"/>
      <c r="D756" s="801"/>
      <c r="E756" s="1505">
        <v>5</v>
      </c>
      <c r="F756" s="21" t="str">
        <f>F$133</f>
        <v>--</v>
      </c>
      <c r="G756" s="1441">
        <f>G$133</f>
        <v>0</v>
      </c>
      <c r="H756" s="1441" t="str">
        <f>H$133</f>
        <v>--</v>
      </c>
      <c r="I756" s="89" t="s">
        <v>813</v>
      </c>
      <c r="K756" s="2301" t="str">
        <f>IFERROR(-_xll.ciqfunctions.udf.CIQ($G756,$I756,K104,Valuation_Date_GC,ReportType,DataMode,$H756,FXMode)*Scale,"--")</f>
        <v>--</v>
      </c>
      <c r="L756" s="2301" t="str">
        <f>IFERROR(-_xll.ciqfunctions.udf.CIQ($G756,$I756,L104,Valuation_Date_GC,ReportType,DataMode,$H756,FXMode)*Scale,"--")</f>
        <v>--</v>
      </c>
      <c r="M756" s="2301" t="str">
        <f>IFERROR(-_xll.ciqfunctions.udf.CIQ($G756,$I756,M104,Valuation_Date_GC,ReportType,DataMode,$H756,FXMode)*Scale,"--")</f>
        <v>--</v>
      </c>
      <c r="N756" s="2301" t="str">
        <f>IFERROR(-_xll.ciqfunctions.udf.CIQ($G756,$I756,N104,Valuation_Date_GC,ReportType,DataMode,$H756,FXMode)*Scale,"--")</f>
        <v>--</v>
      </c>
      <c r="O756" s="1471" t="str">
        <f>IFERROR(-_xll.ciqfunctions.udf.CIQ($G756,$I756,O104,Valuation_Date_GC,ReportType,DataMode,$H756,FXMode)*Scale,"--")</f>
        <v>--</v>
      </c>
      <c r="P756" s="2301" t="str">
        <f>IFERROR(-_xll.ciqfunctions.udf.CIQ($G756,$I756,P104,Valuation_Date_GC,ReportType,DataMode,$H756,FXMode)*Scale,"--")</f>
        <v>--</v>
      </c>
      <c r="R756" s="255"/>
    </row>
    <row r="757" spans="1:68" s="89" customFormat="1" ht="13.9">
      <c r="A757" s="269" t="str">
        <f t="shared" si="190"/>
        <v>n</v>
      </c>
      <c r="B757" s="2060"/>
      <c r="D757" s="801"/>
      <c r="E757" s="1505">
        <v>6</v>
      </c>
      <c r="F757" s="21" t="str">
        <f>F$134</f>
        <v>--</v>
      </c>
      <c r="G757" s="1441">
        <f>G$134</f>
        <v>0</v>
      </c>
      <c r="H757" s="1441" t="str">
        <f>H$134</f>
        <v>--</v>
      </c>
      <c r="I757" s="89" t="s">
        <v>813</v>
      </c>
      <c r="K757" s="2301" t="str">
        <f>IFERROR(-_xll.ciqfunctions.udf.CIQ($G757,$I757,K105,Valuation_Date_GC,ReportType,DataMode,$H757,FXMode)*Scale,"--")</f>
        <v>--</v>
      </c>
      <c r="L757" s="2301" t="str">
        <f>IFERROR(-_xll.ciqfunctions.udf.CIQ($G757,$I757,L105,Valuation_Date_GC,ReportType,DataMode,$H757,FXMode)*Scale,"--")</f>
        <v>--</v>
      </c>
      <c r="M757" s="2301" t="str">
        <f>IFERROR(-_xll.ciqfunctions.udf.CIQ($G757,$I757,M105,Valuation_Date_GC,ReportType,DataMode,$H757,FXMode)*Scale,"--")</f>
        <v>--</v>
      </c>
      <c r="N757" s="2301" t="str">
        <f>IFERROR(-_xll.ciqfunctions.udf.CIQ($G757,$I757,N105,Valuation_Date_GC,ReportType,DataMode,$H757,FXMode)*Scale,"--")</f>
        <v>--</v>
      </c>
      <c r="O757" s="1471" t="str">
        <f>IFERROR(-_xll.ciqfunctions.udf.CIQ($G757,$I757,O105,Valuation_Date_GC,ReportType,DataMode,$H757,FXMode)*Scale,"--")</f>
        <v>--</v>
      </c>
      <c r="P757" s="2301" t="str">
        <f>IFERROR(-_xll.ciqfunctions.udf.CIQ($G757,$I757,P105,Valuation_Date_GC,ReportType,DataMode,$H757,FXMode)*Scale,"--")</f>
        <v>--</v>
      </c>
      <c r="R757" s="255"/>
    </row>
    <row r="758" spans="1:68" s="89" customFormat="1" ht="13.9">
      <c r="A758" s="269" t="str">
        <f t="shared" si="190"/>
        <v>n</v>
      </c>
      <c r="B758" s="2060"/>
      <c r="D758" s="801"/>
      <c r="E758" s="1505">
        <v>7</v>
      </c>
      <c r="F758" s="21" t="str">
        <f>F$135</f>
        <v>--</v>
      </c>
      <c r="G758" s="1441">
        <f>G$135</f>
        <v>0</v>
      </c>
      <c r="H758" s="1441" t="str">
        <f>H$135</f>
        <v>--</v>
      </c>
      <c r="I758" s="89" t="s">
        <v>813</v>
      </c>
      <c r="K758" s="2301" t="str">
        <f>IFERROR(-_xll.ciqfunctions.udf.CIQ($G758,$I758,K106,Valuation_Date_GC,ReportType,DataMode,$H758,FXMode)*Scale,"--")</f>
        <v>--</v>
      </c>
      <c r="L758" s="2301" t="str">
        <f>IFERROR(-_xll.ciqfunctions.udf.CIQ($G758,$I758,L106,Valuation_Date_GC,ReportType,DataMode,$H758,FXMode)*Scale,"--")</f>
        <v>--</v>
      </c>
      <c r="M758" s="2301" t="str">
        <f>IFERROR(-_xll.ciqfunctions.udf.CIQ($G758,$I758,M106,Valuation_Date_GC,ReportType,DataMode,$H758,FXMode)*Scale,"--")</f>
        <v>--</v>
      </c>
      <c r="N758" s="2301" t="str">
        <f>IFERROR(-_xll.ciqfunctions.udf.CIQ($G758,$I758,N106,Valuation_Date_GC,ReportType,DataMode,$H758,FXMode)*Scale,"--")</f>
        <v>--</v>
      </c>
      <c r="O758" s="1471" t="str">
        <f>IFERROR(-_xll.ciqfunctions.udf.CIQ($G758,$I758,O106,Valuation_Date_GC,ReportType,DataMode,$H758,FXMode)*Scale,"--")</f>
        <v>--</v>
      </c>
      <c r="P758" s="2301" t="str">
        <f>IFERROR(-_xll.ciqfunctions.udf.CIQ($G758,$I758,P106,Valuation_Date_GC,ReportType,DataMode,$H758,FXMode)*Scale,"--")</f>
        <v>--</v>
      </c>
      <c r="R758" s="255"/>
    </row>
    <row r="759" spans="1:68" s="89" customFormat="1" ht="13.9">
      <c r="A759" s="269" t="str">
        <f t="shared" si="190"/>
        <v>n</v>
      </c>
      <c r="B759" s="2060"/>
      <c r="D759" s="801"/>
      <c r="E759" s="1505">
        <v>8</v>
      </c>
      <c r="F759" s="21" t="str">
        <f>F$136</f>
        <v>--</v>
      </c>
      <c r="G759" s="1441">
        <f>G$136</f>
        <v>0</v>
      </c>
      <c r="H759" s="1441" t="str">
        <f>H$136</f>
        <v>--</v>
      </c>
      <c r="I759" s="89" t="s">
        <v>813</v>
      </c>
      <c r="K759" s="2301" t="str">
        <f>IFERROR(-_xll.ciqfunctions.udf.CIQ($G759,$I759,K107,Valuation_Date_GC,ReportType,DataMode,$H759,FXMode)*Scale,"--")</f>
        <v>--</v>
      </c>
      <c r="L759" s="2301" t="str">
        <f>IFERROR(-_xll.ciqfunctions.udf.CIQ($G759,$I759,L107,Valuation_Date_GC,ReportType,DataMode,$H759,FXMode)*Scale,"--")</f>
        <v>--</v>
      </c>
      <c r="M759" s="2301" t="str">
        <f>IFERROR(-_xll.ciqfunctions.udf.CIQ($G759,$I759,M107,Valuation_Date_GC,ReportType,DataMode,$H759,FXMode)*Scale,"--")</f>
        <v>--</v>
      </c>
      <c r="N759" s="2301" t="str">
        <f>IFERROR(-_xll.ciqfunctions.udf.CIQ($G759,$I759,N107,Valuation_Date_GC,ReportType,DataMode,$H759,FXMode)*Scale,"--")</f>
        <v>--</v>
      </c>
      <c r="O759" s="1471" t="str">
        <f>IFERROR(-_xll.ciqfunctions.udf.CIQ($G759,$I759,O107,Valuation_Date_GC,ReportType,DataMode,$H759,FXMode)*Scale,"--")</f>
        <v>--</v>
      </c>
      <c r="P759" s="2301" t="str">
        <f>IFERROR(-_xll.ciqfunctions.udf.CIQ($G759,$I759,P107,Valuation_Date_GC,ReportType,DataMode,$H759,FXMode)*Scale,"--")</f>
        <v>--</v>
      </c>
      <c r="R759" s="255"/>
    </row>
    <row r="760" spans="1:68" s="89" customFormat="1" ht="13.9">
      <c r="A760" s="269" t="str">
        <f t="shared" si="190"/>
        <v>n</v>
      </c>
      <c r="B760" s="2060"/>
      <c r="D760" s="801"/>
      <c r="E760" s="1505">
        <v>9</v>
      </c>
      <c r="F760" s="21" t="str">
        <f>F$137</f>
        <v>--</v>
      </c>
      <c r="G760" s="1441">
        <f>G$137</f>
        <v>0</v>
      </c>
      <c r="H760" s="1441" t="str">
        <f>H$137</f>
        <v>--</v>
      </c>
      <c r="I760" s="89" t="s">
        <v>813</v>
      </c>
      <c r="K760" s="2301" t="str">
        <f>IFERROR(-_xll.ciqfunctions.udf.CIQ($G760,$I760,K108,Valuation_Date_GC,ReportType,DataMode,$H760,FXMode)*Scale,"--")</f>
        <v>--</v>
      </c>
      <c r="L760" s="2301" t="str">
        <f>IFERROR(-_xll.ciqfunctions.udf.CIQ($G760,$I760,L108,Valuation_Date_GC,ReportType,DataMode,$H760,FXMode)*Scale,"--")</f>
        <v>--</v>
      </c>
      <c r="M760" s="2301" t="str">
        <f>IFERROR(-_xll.ciqfunctions.udf.CIQ($G760,$I760,M108,Valuation_Date_GC,ReportType,DataMode,$H760,FXMode)*Scale,"--")</f>
        <v>--</v>
      </c>
      <c r="N760" s="2301" t="str">
        <f>IFERROR(-_xll.ciqfunctions.udf.CIQ($G760,$I760,N108,Valuation_Date_GC,ReportType,DataMode,$H760,FXMode)*Scale,"--")</f>
        <v>--</v>
      </c>
      <c r="O760" s="1471" t="str">
        <f>IFERROR(-_xll.ciqfunctions.udf.CIQ($G760,$I760,O108,Valuation_Date_GC,ReportType,DataMode,$H760,FXMode)*Scale,"--")</f>
        <v>--</v>
      </c>
      <c r="P760" s="2301" t="str">
        <f>IFERROR(-_xll.ciqfunctions.udf.CIQ($G760,$I760,P108,Valuation_Date_GC,ReportType,DataMode,$H760,FXMode)*Scale,"--")</f>
        <v>--</v>
      </c>
      <c r="R760" s="255"/>
    </row>
    <row r="761" spans="1:68" s="89" customFormat="1" ht="13.9">
      <c r="A761" s="269" t="str">
        <f t="shared" si="190"/>
        <v>n</v>
      </c>
      <c r="B761" s="2060"/>
      <c r="D761" s="801"/>
      <c r="E761" s="1505">
        <v>10</v>
      </c>
      <c r="F761" s="21" t="str">
        <f>F$138</f>
        <v>--</v>
      </c>
      <c r="G761" s="1441">
        <f>G$138</f>
        <v>0</v>
      </c>
      <c r="H761" s="1441" t="str">
        <f>H$138</f>
        <v>--</v>
      </c>
      <c r="I761" s="89" t="s">
        <v>813</v>
      </c>
      <c r="K761" s="2301" t="str">
        <f>IFERROR(-_xll.ciqfunctions.udf.CIQ($G761,$I761,K109,Valuation_Date_GC,ReportType,DataMode,$H761,FXMode)*Scale,"--")</f>
        <v>--</v>
      </c>
      <c r="L761" s="2301" t="str">
        <f>IFERROR(-_xll.ciqfunctions.udf.CIQ($G761,$I761,L109,Valuation_Date_GC,ReportType,DataMode,$H761,FXMode)*Scale,"--")</f>
        <v>--</v>
      </c>
      <c r="M761" s="2301" t="str">
        <f>IFERROR(-_xll.ciqfunctions.udf.CIQ($G761,$I761,M109,Valuation_Date_GC,ReportType,DataMode,$H761,FXMode)*Scale,"--")</f>
        <v>--</v>
      </c>
      <c r="N761" s="2301" t="str">
        <f>IFERROR(-_xll.ciqfunctions.udf.CIQ($G761,$I761,N109,Valuation_Date_GC,ReportType,DataMode,$H761,FXMode)*Scale,"--")</f>
        <v>--</v>
      </c>
      <c r="O761" s="1471" t="str">
        <f>IFERROR(-_xll.ciqfunctions.udf.CIQ($G761,$I761,O109,Valuation_Date_GC,ReportType,DataMode,$H761,FXMode)*Scale,"--")</f>
        <v>--</v>
      </c>
      <c r="P761" s="2301" t="str">
        <f>IFERROR(-_xll.ciqfunctions.udf.CIQ($G761,$I761,P109,Valuation_Date_GC,ReportType,DataMode,$H761,FXMode)*Scale,"--")</f>
        <v>--</v>
      </c>
      <c r="R761" s="255"/>
    </row>
    <row r="762" spans="1:68" s="89" customFormat="1" ht="13.9">
      <c r="A762" s="269" t="str">
        <f t="shared" si="190"/>
        <v>n</v>
      </c>
      <c r="B762" s="2060"/>
      <c r="D762" s="801"/>
      <c r="E762" s="1505">
        <v>11</v>
      </c>
      <c r="F762" s="21" t="str">
        <f>F$139</f>
        <v>--</v>
      </c>
      <c r="G762" s="1441">
        <f>G$139</f>
        <v>0</v>
      </c>
      <c r="H762" s="1441" t="str">
        <f>H$139</f>
        <v>--</v>
      </c>
      <c r="I762" s="89" t="s">
        <v>813</v>
      </c>
      <c r="K762" s="2301" t="str">
        <f>IFERROR(-_xll.ciqfunctions.udf.CIQ($G762,$I762,K110,Valuation_Date_GC,ReportType,DataMode,$H762,FXMode)*Scale,"--")</f>
        <v>--</v>
      </c>
      <c r="L762" s="2301" t="str">
        <f>IFERROR(-_xll.ciqfunctions.udf.CIQ($G762,$I762,L110,Valuation_Date_GC,ReportType,DataMode,$H762,FXMode)*Scale,"--")</f>
        <v>--</v>
      </c>
      <c r="M762" s="2301" t="str">
        <f>IFERROR(-_xll.ciqfunctions.udf.CIQ($G762,$I762,M110,Valuation_Date_GC,ReportType,DataMode,$H762,FXMode)*Scale,"--")</f>
        <v>--</v>
      </c>
      <c r="N762" s="2301" t="str">
        <f>IFERROR(-_xll.ciqfunctions.udf.CIQ($G762,$I762,N110,Valuation_Date_GC,ReportType,DataMode,$H762,FXMode)*Scale,"--")</f>
        <v>--</v>
      </c>
      <c r="O762" s="1471" t="str">
        <f>IFERROR(-_xll.ciqfunctions.udf.CIQ($G762,$I762,O110,Valuation_Date_GC,ReportType,DataMode,$H762,FXMode)*Scale,"--")</f>
        <v>--</v>
      </c>
      <c r="P762" s="2301" t="str">
        <f>IFERROR(-_xll.ciqfunctions.udf.CIQ($G762,$I762,P110,Valuation_Date_GC,ReportType,DataMode,$H762,FXMode)*Scale,"--")</f>
        <v>--</v>
      </c>
      <c r="R762" s="255"/>
    </row>
    <row r="763" spans="1:68" s="89" customFormat="1" ht="13.9">
      <c r="A763" s="269" t="str">
        <f t="shared" si="190"/>
        <v>n</v>
      </c>
      <c r="B763" s="2060"/>
      <c r="D763" s="801"/>
      <c r="E763" s="1505">
        <v>12</v>
      </c>
      <c r="F763" s="21" t="str">
        <f>F$140</f>
        <v>--</v>
      </c>
      <c r="G763" s="1441">
        <f>G$140</f>
        <v>0</v>
      </c>
      <c r="H763" s="1441" t="str">
        <f>H$140</f>
        <v>--</v>
      </c>
      <c r="I763" s="89" t="s">
        <v>813</v>
      </c>
      <c r="K763" s="2301" t="str">
        <f>IFERROR(-_xll.ciqfunctions.udf.CIQ($G763,$I763,K111,Valuation_Date_GC,ReportType,DataMode,$H763,FXMode)*Scale,"--")</f>
        <v>--</v>
      </c>
      <c r="L763" s="2301" t="str">
        <f>IFERROR(-_xll.ciqfunctions.udf.CIQ($G763,$I763,L111,Valuation_Date_GC,ReportType,DataMode,$H763,FXMode)*Scale,"--")</f>
        <v>--</v>
      </c>
      <c r="M763" s="2301" t="str">
        <f>IFERROR(-_xll.ciqfunctions.udf.CIQ($G763,$I763,M111,Valuation_Date_GC,ReportType,DataMode,$H763,FXMode)*Scale,"--")</f>
        <v>--</v>
      </c>
      <c r="N763" s="2301" t="str">
        <f>IFERROR(-_xll.ciqfunctions.udf.CIQ($G763,$I763,N111,Valuation_Date_GC,ReportType,DataMode,$H763,FXMode)*Scale,"--")</f>
        <v>--</v>
      </c>
      <c r="O763" s="1471" t="str">
        <f>IFERROR(-_xll.ciqfunctions.udf.CIQ($G763,$I763,O111,Valuation_Date_GC,ReportType,DataMode,$H763,FXMode)*Scale,"--")</f>
        <v>--</v>
      </c>
      <c r="P763" s="2301" t="str">
        <f>IFERROR(-_xll.ciqfunctions.udf.CIQ($G763,$I763,P111,Valuation_Date_GC,ReportType,DataMode,$H763,FXMode)*Scale,"--")</f>
        <v>--</v>
      </c>
      <c r="R763" s="255"/>
    </row>
    <row r="764" spans="1:68" s="89" customFormat="1" ht="13.9">
      <c r="A764" s="269" t="str">
        <f t="shared" si="190"/>
        <v>n</v>
      </c>
      <c r="B764" s="2060"/>
      <c r="D764" s="801"/>
      <c r="E764" s="1505">
        <v>13</v>
      </c>
      <c r="F764" s="21" t="str">
        <f>F$141</f>
        <v>--</v>
      </c>
      <c r="G764" s="1441">
        <f>G$141</f>
        <v>0</v>
      </c>
      <c r="H764" s="1441" t="str">
        <f>H$141</f>
        <v>--</v>
      </c>
      <c r="I764" s="89" t="s">
        <v>813</v>
      </c>
      <c r="K764" s="2301" t="str">
        <f>IFERROR(-_xll.ciqfunctions.udf.CIQ($G764,$I764,K112,Valuation_Date_GC,ReportType,DataMode,$H764,FXMode)*Scale,"--")</f>
        <v>--</v>
      </c>
      <c r="L764" s="2301" t="str">
        <f>IFERROR(-_xll.ciqfunctions.udf.CIQ($G764,$I764,L112,Valuation_Date_GC,ReportType,DataMode,$H764,FXMode)*Scale,"--")</f>
        <v>--</v>
      </c>
      <c r="M764" s="2301" t="str">
        <f>IFERROR(-_xll.ciqfunctions.udf.CIQ($G764,$I764,M112,Valuation_Date_GC,ReportType,DataMode,$H764,FXMode)*Scale,"--")</f>
        <v>--</v>
      </c>
      <c r="N764" s="2301" t="str">
        <f>IFERROR(-_xll.ciqfunctions.udf.CIQ($G764,$I764,N112,Valuation_Date_GC,ReportType,DataMode,$H764,FXMode)*Scale,"--")</f>
        <v>--</v>
      </c>
      <c r="O764" s="1471" t="str">
        <f>IFERROR(-_xll.ciqfunctions.udf.CIQ($G764,$I764,O112,Valuation_Date_GC,ReportType,DataMode,$H764,FXMode)*Scale,"--")</f>
        <v>--</v>
      </c>
      <c r="P764" s="2301" t="str">
        <f>IFERROR(-_xll.ciqfunctions.udf.CIQ($G764,$I764,P112,Valuation_Date_GC,ReportType,DataMode,$H764,FXMode)*Scale,"--")</f>
        <v>--</v>
      </c>
      <c r="R764" s="255"/>
    </row>
    <row r="765" spans="1:68" s="92" customFormat="1" ht="13.9">
      <c r="A765" s="269" t="str">
        <f t="shared" si="190"/>
        <v>n</v>
      </c>
      <c r="B765" s="2060"/>
      <c r="C765" s="89"/>
      <c r="D765" s="801"/>
      <c r="E765" s="1505">
        <v>14</v>
      </c>
      <c r="F765" s="21" t="str">
        <f>F$142</f>
        <v>--</v>
      </c>
      <c r="G765" s="1441">
        <f>G$142</f>
        <v>0</v>
      </c>
      <c r="H765" s="1441" t="str">
        <f>H$142</f>
        <v>--</v>
      </c>
      <c r="I765" s="89" t="s">
        <v>813</v>
      </c>
      <c r="J765" s="89"/>
      <c r="K765" s="2301" t="str">
        <f>IFERROR(-_xll.ciqfunctions.udf.CIQ($G765,$I765,K113,Valuation_Date_GC,ReportType,DataMode,$H765,FXMode)*Scale,"--")</f>
        <v>--</v>
      </c>
      <c r="L765" s="2301" t="str">
        <f>IFERROR(-_xll.ciqfunctions.udf.CIQ($G765,$I765,L113,Valuation_Date_GC,ReportType,DataMode,$H765,FXMode)*Scale,"--")</f>
        <v>--</v>
      </c>
      <c r="M765" s="2301" t="str">
        <f>IFERROR(-_xll.ciqfunctions.udf.CIQ($G765,$I765,M113,Valuation_Date_GC,ReportType,DataMode,$H765,FXMode)*Scale,"--")</f>
        <v>--</v>
      </c>
      <c r="N765" s="2301" t="str">
        <f>IFERROR(-_xll.ciqfunctions.udf.CIQ($G765,$I765,N113,Valuation_Date_GC,ReportType,DataMode,$H765,FXMode)*Scale,"--")</f>
        <v>--</v>
      </c>
      <c r="O765" s="1471" t="str">
        <f>IFERROR(-_xll.ciqfunctions.udf.CIQ($G765,$I765,O113,Valuation_Date_GC,ReportType,DataMode,$H765,FXMode)*Scale,"--")</f>
        <v>--</v>
      </c>
      <c r="P765" s="2301" t="str">
        <f>IFERROR(-_xll.ciqfunctions.udf.CIQ($G765,$I765,P113,Valuation_Date_GC,ReportType,DataMode,$H765,FXMode)*Scale,"--")</f>
        <v>--</v>
      </c>
      <c r="Q765" s="89"/>
      <c r="R765" s="255"/>
      <c r="S765" s="89"/>
      <c r="T765" s="89"/>
      <c r="U765" s="89"/>
      <c r="V765" s="89"/>
      <c r="W765" s="89"/>
      <c r="X765" s="89"/>
      <c r="Y765" s="89"/>
      <c r="Z765" s="89"/>
      <c r="AA765" s="89"/>
      <c r="AB765" s="89"/>
      <c r="AC765" s="89"/>
      <c r="AD765" s="89"/>
      <c r="AE765" s="89"/>
      <c r="AF765" s="89"/>
      <c r="AG765" s="89"/>
      <c r="AH765" s="89"/>
      <c r="AI765" s="89"/>
      <c r="AJ765" s="89"/>
      <c r="AK765" s="89"/>
      <c r="AL765" s="89"/>
      <c r="AM765" s="89"/>
      <c r="AN765" s="89"/>
      <c r="AO765" s="89"/>
      <c r="AP765" s="89"/>
      <c r="AQ765" s="89"/>
      <c r="AR765" s="89"/>
      <c r="AS765" s="89"/>
      <c r="AT765" s="89"/>
      <c r="AU765" s="89"/>
      <c r="AV765" s="89"/>
      <c r="AW765" s="89"/>
      <c r="AX765" s="89"/>
      <c r="AY765" s="89"/>
      <c r="AZ765" s="89"/>
      <c r="BA765" s="89"/>
      <c r="BB765" s="89"/>
      <c r="BC765" s="89"/>
      <c r="BD765" s="89"/>
      <c r="BE765" s="89"/>
      <c r="BF765" s="89"/>
      <c r="BG765" s="89"/>
      <c r="BH765" s="89"/>
      <c r="BI765" s="89"/>
      <c r="BJ765" s="89"/>
      <c r="BK765" s="89"/>
      <c r="BL765" s="89"/>
      <c r="BM765" s="89"/>
      <c r="BN765" s="89"/>
      <c r="BO765" s="89"/>
      <c r="BP765" s="89"/>
    </row>
    <row r="766" spans="1:68" s="92" customFormat="1" ht="13.9">
      <c r="A766" s="269" t="str">
        <f t="shared" si="190"/>
        <v>n</v>
      </c>
      <c r="B766" s="2060"/>
      <c r="C766" s="89"/>
      <c r="D766" s="801"/>
      <c r="E766" s="1505">
        <v>15</v>
      </c>
      <c r="F766" s="21" t="str">
        <f>F$143</f>
        <v>--</v>
      </c>
      <c r="G766" s="1441">
        <f>G$143</f>
        <v>0</v>
      </c>
      <c r="H766" s="1441" t="str">
        <f>H$143</f>
        <v>--</v>
      </c>
      <c r="I766" s="89" t="s">
        <v>813</v>
      </c>
      <c r="J766" s="89"/>
      <c r="K766" s="2301" t="str">
        <f>IFERROR(-_xll.ciqfunctions.udf.CIQ($G766,$I766,K114,Valuation_Date_GC,ReportType,DataMode,$H766,FXMode)*Scale,"--")</f>
        <v>--</v>
      </c>
      <c r="L766" s="2301" t="str">
        <f>IFERROR(-_xll.ciqfunctions.udf.CIQ($G766,$I766,L114,Valuation_Date_GC,ReportType,DataMode,$H766,FXMode)*Scale,"--")</f>
        <v>--</v>
      </c>
      <c r="M766" s="2301" t="str">
        <f>IFERROR(-_xll.ciqfunctions.udf.CIQ($G766,$I766,M114,Valuation_Date_GC,ReportType,DataMode,$H766,FXMode)*Scale,"--")</f>
        <v>--</v>
      </c>
      <c r="N766" s="2301" t="str">
        <f>IFERROR(-_xll.ciqfunctions.udf.CIQ($G766,$I766,N114,Valuation_Date_GC,ReportType,DataMode,$H766,FXMode)*Scale,"--")</f>
        <v>--</v>
      </c>
      <c r="O766" s="1471" t="str">
        <f>IFERROR(-_xll.ciqfunctions.udf.CIQ($G766,$I766,O114,Valuation_Date_GC,ReportType,DataMode,$H766,FXMode)*Scale,"--")</f>
        <v>--</v>
      </c>
      <c r="P766" s="2301" t="str">
        <f>IFERROR(-_xll.ciqfunctions.udf.CIQ($G766,$I766,P114,Valuation_Date_GC,ReportType,DataMode,$H766,FXMode)*Scale,"--")</f>
        <v>--</v>
      </c>
      <c r="Q766" s="89"/>
      <c r="R766" s="255"/>
      <c r="S766" s="89"/>
      <c r="T766" s="89"/>
      <c r="U766" s="89"/>
      <c r="V766" s="89"/>
      <c r="W766" s="89"/>
      <c r="X766" s="89"/>
      <c r="Y766" s="89"/>
      <c r="Z766" s="89"/>
      <c r="AA766" s="89"/>
      <c r="AB766" s="89"/>
      <c r="AC766" s="89"/>
      <c r="AD766" s="89"/>
      <c r="AE766" s="89"/>
      <c r="AF766" s="89"/>
      <c r="AG766" s="89"/>
      <c r="AH766" s="89"/>
      <c r="AI766" s="89"/>
      <c r="AJ766" s="89"/>
      <c r="AK766" s="89"/>
      <c r="AL766" s="89"/>
      <c r="AM766" s="89"/>
      <c r="AN766" s="89"/>
      <c r="AO766" s="89"/>
      <c r="AP766" s="89"/>
      <c r="AQ766" s="89"/>
      <c r="AR766" s="89"/>
      <c r="AS766" s="89"/>
      <c r="AT766" s="89"/>
      <c r="AU766" s="89"/>
      <c r="AV766" s="89"/>
      <c r="AW766" s="89"/>
      <c r="AX766" s="89"/>
      <c r="AY766" s="89"/>
      <c r="AZ766" s="89"/>
      <c r="BA766" s="89"/>
      <c r="BB766" s="89"/>
      <c r="BC766" s="89"/>
      <c r="BD766" s="89"/>
      <c r="BE766" s="89"/>
      <c r="BF766" s="89"/>
      <c r="BG766" s="89"/>
      <c r="BH766" s="89"/>
      <c r="BI766" s="89"/>
      <c r="BJ766" s="89"/>
      <c r="BK766" s="89"/>
      <c r="BL766" s="89"/>
      <c r="BM766" s="89"/>
      <c r="BN766" s="89"/>
      <c r="BO766" s="89"/>
      <c r="BP766" s="89"/>
    </row>
    <row r="767" spans="1:68" s="92" customFormat="1" ht="13.9">
      <c r="A767" s="269" t="str">
        <f t="shared" si="190"/>
        <v>n</v>
      </c>
      <c r="B767" s="2060"/>
      <c r="C767" s="89"/>
      <c r="D767" s="801"/>
      <c r="E767" s="1505">
        <v>16</v>
      </c>
      <c r="F767" s="21" t="str">
        <f>F$144</f>
        <v>--</v>
      </c>
      <c r="G767" s="1441">
        <f>G$144</f>
        <v>0</v>
      </c>
      <c r="H767" s="1441" t="str">
        <f>H$144</f>
        <v>--</v>
      </c>
      <c r="I767" s="89" t="s">
        <v>813</v>
      </c>
      <c r="J767" s="89"/>
      <c r="K767" s="2301" t="str">
        <f>IFERROR(-_xll.ciqfunctions.udf.CIQ($G767,$I767,K115,Valuation_Date_GC,ReportType,DataMode,$H767,FXMode)*Scale,"--")</f>
        <v>--</v>
      </c>
      <c r="L767" s="2301" t="str">
        <f>IFERROR(-_xll.ciqfunctions.udf.CIQ($G767,$I767,L115,Valuation_Date_GC,ReportType,DataMode,$H767,FXMode)*Scale,"--")</f>
        <v>--</v>
      </c>
      <c r="M767" s="2301" t="str">
        <f>IFERROR(-_xll.ciqfunctions.udf.CIQ($G767,$I767,M115,Valuation_Date_GC,ReportType,DataMode,$H767,FXMode)*Scale,"--")</f>
        <v>--</v>
      </c>
      <c r="N767" s="2301" t="str">
        <f>IFERROR(-_xll.ciqfunctions.udf.CIQ($G767,$I767,N115,Valuation_Date_GC,ReportType,DataMode,$H767,FXMode)*Scale,"--")</f>
        <v>--</v>
      </c>
      <c r="O767" s="1471" t="str">
        <f>IFERROR(-_xll.ciqfunctions.udf.CIQ($G767,$I767,O115,Valuation_Date_GC,ReportType,DataMode,$H767,FXMode)*Scale,"--")</f>
        <v>--</v>
      </c>
      <c r="P767" s="2301" t="str">
        <f>IFERROR(-_xll.ciqfunctions.udf.CIQ($G767,$I767,P115,Valuation_Date_GC,ReportType,DataMode,$H767,FXMode)*Scale,"--")</f>
        <v>--</v>
      </c>
      <c r="Q767" s="89"/>
      <c r="R767" s="255"/>
      <c r="S767" s="89"/>
      <c r="T767" s="89"/>
      <c r="U767" s="89"/>
      <c r="V767" s="89"/>
      <c r="W767" s="89"/>
      <c r="X767" s="89"/>
      <c r="Y767" s="89"/>
      <c r="Z767" s="89"/>
      <c r="AA767" s="89"/>
      <c r="AB767" s="89"/>
      <c r="AC767" s="89"/>
      <c r="AD767" s="89"/>
      <c r="AE767" s="89"/>
      <c r="AF767" s="89"/>
      <c r="AG767" s="89"/>
      <c r="AH767" s="89"/>
      <c r="AI767" s="89"/>
      <c r="AJ767" s="89"/>
      <c r="AK767" s="89"/>
      <c r="AL767" s="89"/>
      <c r="AM767" s="89"/>
      <c r="AN767" s="89"/>
      <c r="AO767" s="89"/>
      <c r="AP767" s="89"/>
      <c r="AQ767" s="89"/>
      <c r="AR767" s="89"/>
      <c r="AS767" s="89"/>
      <c r="AT767" s="89"/>
      <c r="AU767" s="89"/>
      <c r="AV767" s="89"/>
      <c r="AW767" s="89"/>
      <c r="AX767" s="89"/>
      <c r="AY767" s="89"/>
      <c r="AZ767" s="89"/>
      <c r="BA767" s="89"/>
      <c r="BB767" s="89"/>
      <c r="BC767" s="89"/>
      <c r="BD767" s="89"/>
      <c r="BE767" s="89"/>
      <c r="BF767" s="89"/>
      <c r="BG767" s="89"/>
      <c r="BH767" s="89"/>
      <c r="BI767" s="89"/>
      <c r="BJ767" s="89"/>
      <c r="BK767" s="89"/>
      <c r="BL767" s="89"/>
      <c r="BM767" s="89"/>
      <c r="BN767" s="89"/>
      <c r="BO767" s="89"/>
      <c r="BP767" s="89"/>
    </row>
    <row r="768" spans="1:68" s="92" customFormat="1" ht="13.9">
      <c r="A768" s="269" t="str">
        <f t="shared" si="190"/>
        <v>n</v>
      </c>
      <c r="B768" s="2060"/>
      <c r="C768" s="89"/>
      <c r="D768" s="801"/>
      <c r="E768" s="1505">
        <v>17</v>
      </c>
      <c r="F768" s="21" t="str">
        <f>F$145</f>
        <v>--</v>
      </c>
      <c r="G768" s="1441">
        <f>G$145</f>
        <v>0</v>
      </c>
      <c r="H768" s="1441" t="str">
        <f>H$145</f>
        <v>--</v>
      </c>
      <c r="I768" s="89" t="s">
        <v>813</v>
      </c>
      <c r="J768" s="89"/>
      <c r="K768" s="2301" t="str">
        <f>IFERROR(-_xll.ciqfunctions.udf.CIQ($G768,$I768,K116,Valuation_Date_GC,ReportType,DataMode,$H768,FXMode)*Scale,"--")</f>
        <v>--</v>
      </c>
      <c r="L768" s="2301" t="str">
        <f>IFERROR(-_xll.ciqfunctions.udf.CIQ($G768,$I768,L116,Valuation_Date_GC,ReportType,DataMode,$H768,FXMode)*Scale,"--")</f>
        <v>--</v>
      </c>
      <c r="M768" s="2301" t="str">
        <f>IFERROR(-_xll.ciqfunctions.udf.CIQ($G768,$I768,M116,Valuation_Date_GC,ReportType,DataMode,$H768,FXMode)*Scale,"--")</f>
        <v>--</v>
      </c>
      <c r="N768" s="2301" t="str">
        <f>IFERROR(-_xll.ciqfunctions.udf.CIQ($G768,$I768,N116,Valuation_Date_GC,ReportType,DataMode,$H768,FXMode)*Scale,"--")</f>
        <v>--</v>
      </c>
      <c r="O768" s="1471" t="str">
        <f>IFERROR(-_xll.ciqfunctions.udf.CIQ($G768,$I768,O116,Valuation_Date_GC,ReportType,DataMode,$H768,FXMode)*Scale,"--")</f>
        <v>--</v>
      </c>
      <c r="P768" s="2301" t="str">
        <f>IFERROR(-_xll.ciqfunctions.udf.CIQ($G768,$I768,P116,Valuation_Date_GC,ReportType,DataMode,$H768,FXMode)*Scale,"--")</f>
        <v>--</v>
      </c>
      <c r="Q768" s="89"/>
      <c r="R768" s="255"/>
      <c r="S768" s="89"/>
      <c r="T768" s="89"/>
      <c r="U768" s="89"/>
      <c r="V768" s="89"/>
      <c r="W768" s="89"/>
      <c r="X768" s="89"/>
      <c r="Y768" s="89"/>
      <c r="Z768" s="89"/>
      <c r="AA768" s="89"/>
      <c r="AB768" s="89"/>
      <c r="AC768" s="89"/>
      <c r="AD768" s="89"/>
      <c r="AE768" s="89"/>
      <c r="AF768" s="89"/>
      <c r="AG768" s="89"/>
      <c r="AH768" s="89"/>
      <c r="AI768" s="89"/>
      <c r="AJ768" s="89"/>
      <c r="AK768" s="89"/>
      <c r="AL768" s="89"/>
      <c r="AM768" s="89"/>
      <c r="AN768" s="89"/>
      <c r="AO768" s="89"/>
      <c r="AP768" s="89"/>
      <c r="AQ768" s="89"/>
      <c r="AR768" s="89"/>
      <c r="AS768" s="89"/>
      <c r="AT768" s="89"/>
      <c r="AU768" s="89"/>
      <c r="AV768" s="89"/>
      <c r="AW768" s="89"/>
      <c r="AX768" s="89"/>
      <c r="AY768" s="89"/>
      <c r="AZ768" s="89"/>
      <c r="BA768" s="89"/>
      <c r="BB768" s="89"/>
      <c r="BC768" s="89"/>
      <c r="BD768" s="89"/>
      <c r="BE768" s="89"/>
      <c r="BF768" s="89"/>
      <c r="BG768" s="89"/>
      <c r="BH768" s="89"/>
      <c r="BI768" s="89"/>
      <c r="BJ768" s="89"/>
      <c r="BK768" s="89"/>
      <c r="BL768" s="89"/>
      <c r="BM768" s="89"/>
      <c r="BN768" s="89"/>
      <c r="BO768" s="89"/>
      <c r="BP768" s="89"/>
    </row>
    <row r="769" spans="1:68" s="92" customFormat="1" ht="13.9">
      <c r="A769" s="269" t="str">
        <f t="shared" si="190"/>
        <v>n</v>
      </c>
      <c r="B769" s="2060"/>
      <c r="C769" s="89"/>
      <c r="D769" s="801"/>
      <c r="E769" s="1505">
        <v>18</v>
      </c>
      <c r="F769" s="21" t="str">
        <f>F$146</f>
        <v>--</v>
      </c>
      <c r="G769" s="1441">
        <f>G$146</f>
        <v>0</v>
      </c>
      <c r="H769" s="1441" t="str">
        <f>H$146</f>
        <v>--</v>
      </c>
      <c r="I769" s="89" t="s">
        <v>813</v>
      </c>
      <c r="J769" s="89"/>
      <c r="K769" s="2301" t="str">
        <f>IFERROR(-_xll.ciqfunctions.udf.CIQ($G769,$I769,K117,Valuation_Date_GC,ReportType,DataMode,$H769,FXMode)*Scale,"--")</f>
        <v>--</v>
      </c>
      <c r="L769" s="2301" t="str">
        <f>IFERROR(-_xll.ciqfunctions.udf.CIQ($G769,$I769,L117,Valuation_Date_GC,ReportType,DataMode,$H769,FXMode)*Scale,"--")</f>
        <v>--</v>
      </c>
      <c r="M769" s="2301" t="str">
        <f>IFERROR(-_xll.ciqfunctions.udf.CIQ($G769,$I769,M117,Valuation_Date_GC,ReportType,DataMode,$H769,FXMode)*Scale,"--")</f>
        <v>--</v>
      </c>
      <c r="N769" s="2301" t="str">
        <f>IFERROR(-_xll.ciqfunctions.udf.CIQ($G769,$I769,N117,Valuation_Date_GC,ReportType,DataMode,$H769,FXMode)*Scale,"--")</f>
        <v>--</v>
      </c>
      <c r="O769" s="1471" t="str">
        <f>IFERROR(-_xll.ciqfunctions.udf.CIQ($G769,$I769,O117,Valuation_Date_GC,ReportType,DataMode,$H769,FXMode)*Scale,"--")</f>
        <v>--</v>
      </c>
      <c r="P769" s="2301" t="str">
        <f>IFERROR(-_xll.ciqfunctions.udf.CIQ($G769,$I769,P117,Valuation_Date_GC,ReportType,DataMode,$H769,FXMode)*Scale,"--")</f>
        <v>--</v>
      </c>
      <c r="Q769" s="89"/>
      <c r="R769" s="255"/>
      <c r="S769" s="89"/>
      <c r="T769" s="89"/>
      <c r="U769" s="89"/>
      <c r="V769" s="89"/>
      <c r="W769" s="89"/>
      <c r="X769" s="89"/>
      <c r="Y769" s="89"/>
      <c r="Z769" s="89"/>
      <c r="AA769" s="89"/>
      <c r="AB769" s="89"/>
      <c r="AC769" s="89"/>
      <c r="AD769" s="89"/>
      <c r="AE769" s="89"/>
      <c r="AF769" s="89"/>
      <c r="AG769" s="89"/>
      <c r="AH769" s="89"/>
      <c r="AI769" s="89"/>
      <c r="AJ769" s="89"/>
      <c r="AK769" s="89"/>
      <c r="AL769" s="89"/>
      <c r="AM769" s="89"/>
      <c r="AN769" s="89"/>
      <c r="AO769" s="89"/>
      <c r="AP769" s="89"/>
      <c r="AQ769" s="89"/>
      <c r="AR769" s="89"/>
      <c r="AS769" s="89"/>
      <c r="AT769" s="89"/>
      <c r="AU769" s="89"/>
      <c r="AV769" s="89"/>
      <c r="AW769" s="89"/>
      <c r="AX769" s="89"/>
      <c r="AY769" s="89"/>
      <c r="AZ769" s="89"/>
      <c r="BA769" s="89"/>
      <c r="BB769" s="89"/>
      <c r="BC769" s="89"/>
      <c r="BD769" s="89"/>
      <c r="BE769" s="89"/>
      <c r="BF769" s="89"/>
      <c r="BG769" s="89"/>
      <c r="BH769" s="89"/>
      <c r="BI769" s="89"/>
      <c r="BJ769" s="89"/>
      <c r="BK769" s="89"/>
      <c r="BL769" s="89"/>
      <c r="BM769" s="89"/>
      <c r="BN769" s="89"/>
      <c r="BO769" s="89"/>
      <c r="BP769" s="89"/>
    </row>
    <row r="770" spans="1:68" s="92" customFormat="1" ht="13.9">
      <c r="A770" s="269" t="str">
        <f t="shared" si="190"/>
        <v>n</v>
      </c>
      <c r="B770" s="2060"/>
      <c r="C770" s="89"/>
      <c r="D770" s="801"/>
      <c r="E770" s="1505">
        <v>19</v>
      </c>
      <c r="F770" s="21" t="str">
        <f>F$147</f>
        <v>--</v>
      </c>
      <c r="G770" s="1441">
        <f>G$147</f>
        <v>0</v>
      </c>
      <c r="H770" s="1441" t="str">
        <f>H$147</f>
        <v>--</v>
      </c>
      <c r="I770" s="89" t="s">
        <v>813</v>
      </c>
      <c r="J770" s="89"/>
      <c r="K770" s="2301" t="str">
        <f>IFERROR(-_xll.ciqfunctions.udf.CIQ($G770,$I770,K118,Valuation_Date_GC,ReportType,DataMode,$H770,FXMode)*Scale,"--")</f>
        <v>--</v>
      </c>
      <c r="L770" s="2301" t="str">
        <f>IFERROR(-_xll.ciqfunctions.udf.CIQ($G770,$I770,L118,Valuation_Date_GC,ReportType,DataMode,$H770,FXMode)*Scale,"--")</f>
        <v>--</v>
      </c>
      <c r="M770" s="2301" t="str">
        <f>IFERROR(-_xll.ciqfunctions.udf.CIQ($G770,$I770,M118,Valuation_Date_GC,ReportType,DataMode,$H770,FXMode)*Scale,"--")</f>
        <v>--</v>
      </c>
      <c r="N770" s="2301" t="str">
        <f>IFERROR(-_xll.ciqfunctions.udf.CIQ($G770,$I770,N118,Valuation_Date_GC,ReportType,DataMode,$H770,FXMode)*Scale,"--")</f>
        <v>--</v>
      </c>
      <c r="O770" s="1471" t="str">
        <f>IFERROR(-_xll.ciqfunctions.udf.CIQ($G770,$I770,O118,Valuation_Date_GC,ReportType,DataMode,$H770,FXMode)*Scale,"--")</f>
        <v>--</v>
      </c>
      <c r="P770" s="2301" t="str">
        <f>IFERROR(-_xll.ciqfunctions.udf.CIQ($G770,$I770,P118,Valuation_Date_GC,ReportType,DataMode,$H770,FXMode)*Scale,"--")</f>
        <v>--</v>
      </c>
      <c r="Q770" s="89"/>
      <c r="R770" s="255"/>
      <c r="S770" s="89"/>
      <c r="T770" s="89"/>
      <c r="U770" s="89"/>
      <c r="V770" s="89"/>
      <c r="W770" s="89"/>
      <c r="X770" s="89"/>
      <c r="Y770" s="89"/>
      <c r="Z770" s="89"/>
      <c r="AA770" s="89"/>
      <c r="AB770" s="89"/>
      <c r="AC770" s="89"/>
      <c r="AD770" s="89"/>
      <c r="AE770" s="89"/>
      <c r="AF770" s="89"/>
      <c r="AG770" s="89"/>
      <c r="AH770" s="89"/>
      <c r="AI770" s="89"/>
      <c r="AJ770" s="89"/>
      <c r="AK770" s="89"/>
      <c r="AL770" s="89"/>
      <c r="AM770" s="89"/>
      <c r="AN770" s="89"/>
      <c r="AO770" s="89"/>
      <c r="AP770" s="89"/>
      <c r="AQ770" s="89"/>
      <c r="AR770" s="89"/>
      <c r="AS770" s="89"/>
      <c r="AT770" s="89"/>
      <c r="AU770" s="89"/>
      <c r="AV770" s="89"/>
      <c r="AW770" s="89"/>
      <c r="AX770" s="89"/>
      <c r="AY770" s="89"/>
      <c r="AZ770" s="89"/>
      <c r="BA770" s="89"/>
      <c r="BB770" s="89"/>
      <c r="BC770" s="89"/>
      <c r="BD770" s="89"/>
      <c r="BE770" s="89"/>
      <c r="BF770" s="89"/>
      <c r="BG770" s="89"/>
      <c r="BH770" s="89"/>
      <c r="BI770" s="89"/>
      <c r="BJ770" s="89"/>
      <c r="BK770" s="89"/>
      <c r="BL770" s="89"/>
      <c r="BM770" s="89"/>
      <c r="BN770" s="89"/>
      <c r="BO770" s="89"/>
      <c r="BP770" s="89"/>
    </row>
    <row r="771" spans="1:68" s="92" customFormat="1" ht="13.9">
      <c r="A771" s="269" t="str">
        <f t="shared" si="190"/>
        <v>n</v>
      </c>
      <c r="B771" s="2060"/>
      <c r="C771" s="89"/>
      <c r="D771" s="801"/>
      <c r="E771" s="1505">
        <v>20</v>
      </c>
      <c r="F771" s="21" t="str">
        <f>F$148</f>
        <v>--</v>
      </c>
      <c r="G771" s="1441">
        <f>G$148</f>
        <v>0</v>
      </c>
      <c r="H771" s="1441" t="str">
        <f>H$148</f>
        <v>--</v>
      </c>
      <c r="I771" s="89" t="s">
        <v>813</v>
      </c>
      <c r="J771" s="89"/>
      <c r="K771" s="2301" t="str">
        <f>IFERROR(-_xll.ciqfunctions.udf.CIQ($G771,$I771,K119,Valuation_Date_GC,ReportType,DataMode,$H771,FXMode)*Scale,"--")</f>
        <v>--</v>
      </c>
      <c r="L771" s="2301" t="str">
        <f>IFERROR(-_xll.ciqfunctions.udf.CIQ($G771,$I771,L119,Valuation_Date_GC,ReportType,DataMode,$H771,FXMode)*Scale,"--")</f>
        <v>--</v>
      </c>
      <c r="M771" s="2301" t="str">
        <f>IFERROR(-_xll.ciqfunctions.udf.CIQ($G771,$I771,M119,Valuation_Date_GC,ReportType,DataMode,$H771,FXMode)*Scale,"--")</f>
        <v>--</v>
      </c>
      <c r="N771" s="2301" t="str">
        <f>IFERROR(-_xll.ciqfunctions.udf.CIQ($G771,$I771,N119,Valuation_Date_GC,ReportType,DataMode,$H771,FXMode)*Scale,"--")</f>
        <v>--</v>
      </c>
      <c r="O771" s="1471" t="str">
        <f>IFERROR(-_xll.ciqfunctions.udf.CIQ($G771,$I771,O119,Valuation_Date_GC,ReportType,DataMode,$H771,FXMode)*Scale,"--")</f>
        <v>--</v>
      </c>
      <c r="P771" s="2301" t="str">
        <f>IFERROR(-_xll.ciqfunctions.udf.CIQ($G771,$I771,P119,Valuation_Date_GC,ReportType,DataMode,$H771,FXMode)*Scale,"--")</f>
        <v>--</v>
      </c>
      <c r="Q771" s="89"/>
      <c r="R771" s="255"/>
      <c r="S771" s="89"/>
      <c r="T771" s="89"/>
      <c r="U771" s="89"/>
      <c r="V771" s="89"/>
      <c r="W771" s="89"/>
      <c r="X771" s="89"/>
      <c r="Y771" s="89"/>
      <c r="Z771" s="89"/>
      <c r="AA771" s="89"/>
      <c r="AB771" s="89"/>
      <c r="AC771" s="89"/>
      <c r="AD771" s="89"/>
      <c r="AE771" s="89"/>
      <c r="AF771" s="89"/>
      <c r="AG771" s="89"/>
      <c r="AH771" s="89"/>
      <c r="AI771" s="89"/>
      <c r="AJ771" s="89"/>
      <c r="AK771" s="89"/>
      <c r="AL771" s="89"/>
      <c r="AM771" s="89"/>
      <c r="AN771" s="89"/>
      <c r="AO771" s="89"/>
      <c r="AP771" s="89"/>
      <c r="AQ771" s="89"/>
      <c r="AR771" s="89"/>
      <c r="AS771" s="89"/>
      <c r="AT771" s="89"/>
      <c r="AU771" s="89"/>
      <c r="AV771" s="89"/>
      <c r="AW771" s="89"/>
      <c r="AX771" s="89"/>
      <c r="AY771" s="89"/>
      <c r="AZ771" s="89"/>
      <c r="BA771" s="89"/>
      <c r="BB771" s="89"/>
      <c r="BC771" s="89"/>
      <c r="BD771" s="89"/>
      <c r="BE771" s="89"/>
      <c r="BF771" s="89"/>
      <c r="BG771" s="89"/>
      <c r="BH771" s="89"/>
      <c r="BI771" s="89"/>
      <c r="BJ771" s="89"/>
      <c r="BK771" s="89"/>
      <c r="BL771" s="89"/>
      <c r="BM771" s="89"/>
      <c r="BN771" s="89"/>
      <c r="BO771" s="89"/>
      <c r="BP771" s="89"/>
    </row>
    <row r="772" spans="1:68" s="92" customFormat="1" ht="13.9">
      <c r="A772" s="269" t="str">
        <f t="shared" si="190"/>
        <v>n</v>
      </c>
      <c r="B772" s="2060"/>
      <c r="C772" s="89"/>
      <c r="D772" s="801"/>
      <c r="E772" s="1505">
        <v>21</v>
      </c>
      <c r="F772" s="21" t="str">
        <f>F$149</f>
        <v>--</v>
      </c>
      <c r="G772" s="1441">
        <f>G$149</f>
        <v>0</v>
      </c>
      <c r="H772" s="1441" t="str">
        <f>H$149</f>
        <v>--</v>
      </c>
      <c r="I772" s="89" t="s">
        <v>813</v>
      </c>
      <c r="J772" s="89"/>
      <c r="K772" s="2301" t="str">
        <f>IFERROR(-_xll.ciqfunctions.udf.CIQ($G772,$I772,K120,Valuation_Date_GC,ReportType,DataMode,$H772,FXMode)*Scale,"--")</f>
        <v>--</v>
      </c>
      <c r="L772" s="2301" t="str">
        <f>IFERROR(-_xll.ciqfunctions.udf.CIQ($G772,$I772,L120,Valuation_Date_GC,ReportType,DataMode,$H772,FXMode)*Scale,"--")</f>
        <v>--</v>
      </c>
      <c r="M772" s="2301" t="str">
        <f>IFERROR(-_xll.ciqfunctions.udf.CIQ($G772,$I772,M120,Valuation_Date_GC,ReportType,DataMode,$H772,FXMode)*Scale,"--")</f>
        <v>--</v>
      </c>
      <c r="N772" s="2301" t="str">
        <f>IFERROR(-_xll.ciqfunctions.udf.CIQ($G772,$I772,N120,Valuation_Date_GC,ReportType,DataMode,$H772,FXMode)*Scale,"--")</f>
        <v>--</v>
      </c>
      <c r="O772" s="1471" t="str">
        <f>IFERROR(-_xll.ciqfunctions.udf.CIQ($G772,$I772,O120,Valuation_Date_GC,ReportType,DataMode,$H772,FXMode)*Scale,"--")</f>
        <v>--</v>
      </c>
      <c r="P772" s="2301" t="str">
        <f>IFERROR(-_xll.ciqfunctions.udf.CIQ($G772,$I772,P120,Valuation_Date_GC,ReportType,DataMode,$H772,FXMode)*Scale,"--")</f>
        <v>--</v>
      </c>
      <c r="Q772" s="89"/>
      <c r="R772" s="255"/>
      <c r="S772" s="89"/>
      <c r="T772" s="89"/>
      <c r="U772" s="89"/>
      <c r="V772" s="89"/>
      <c r="W772" s="89"/>
      <c r="X772" s="89"/>
      <c r="Y772" s="89"/>
      <c r="Z772" s="89"/>
      <c r="AA772" s="89"/>
      <c r="AB772" s="89"/>
      <c r="AC772" s="89"/>
      <c r="AD772" s="89"/>
      <c r="AE772" s="89"/>
      <c r="AF772" s="89"/>
      <c r="AG772" s="89"/>
      <c r="AH772" s="89"/>
      <c r="AI772" s="89"/>
      <c r="AJ772" s="89"/>
      <c r="AK772" s="89"/>
      <c r="AL772" s="89"/>
      <c r="AM772" s="89"/>
      <c r="AN772" s="89"/>
      <c r="AO772" s="89"/>
      <c r="AP772" s="89"/>
      <c r="AQ772" s="89"/>
      <c r="AR772" s="89"/>
      <c r="AS772" s="89"/>
      <c r="AT772" s="89"/>
      <c r="AU772" s="89"/>
      <c r="AV772" s="89"/>
      <c r="AW772" s="89"/>
      <c r="AX772" s="89"/>
      <c r="AY772" s="89"/>
      <c r="AZ772" s="89"/>
      <c r="BA772" s="89"/>
      <c r="BB772" s="89"/>
      <c r="BC772" s="89"/>
      <c r="BD772" s="89"/>
      <c r="BE772" s="89"/>
      <c r="BF772" s="89"/>
      <c r="BG772" s="89"/>
      <c r="BH772" s="89"/>
      <c r="BI772" s="89"/>
      <c r="BJ772" s="89"/>
      <c r="BK772" s="89"/>
      <c r="BL772" s="89"/>
      <c r="BM772" s="89"/>
      <c r="BN772" s="89"/>
      <c r="BO772" s="89"/>
      <c r="BP772" s="89"/>
    </row>
    <row r="773" spans="1:68" s="92" customFormat="1" ht="13.9">
      <c r="A773" s="269" t="str">
        <f t="shared" si="190"/>
        <v>n</v>
      </c>
      <c r="B773" s="2060"/>
      <c r="C773" s="89"/>
      <c r="D773" s="801"/>
      <c r="E773" s="1505">
        <v>22</v>
      </c>
      <c r="F773" s="21" t="str">
        <f>F$150</f>
        <v>--</v>
      </c>
      <c r="G773" s="1441">
        <f>G$150</f>
        <v>0</v>
      </c>
      <c r="H773" s="1441" t="str">
        <f>H$150</f>
        <v>--</v>
      </c>
      <c r="I773" s="89" t="s">
        <v>813</v>
      </c>
      <c r="J773" s="89"/>
      <c r="K773" s="2301" t="str">
        <f>IFERROR(-_xll.ciqfunctions.udf.CIQ($G773,$I773,K121,Valuation_Date_GC,ReportType,DataMode,$H773,FXMode)*Scale,"--")</f>
        <v>--</v>
      </c>
      <c r="L773" s="2301" t="str">
        <f>IFERROR(-_xll.ciqfunctions.udf.CIQ($G773,$I773,L121,Valuation_Date_GC,ReportType,DataMode,$H773,FXMode)*Scale,"--")</f>
        <v>--</v>
      </c>
      <c r="M773" s="2301" t="str">
        <f>IFERROR(-_xll.ciqfunctions.udf.CIQ($G773,$I773,M121,Valuation_Date_GC,ReportType,DataMode,$H773,FXMode)*Scale,"--")</f>
        <v>--</v>
      </c>
      <c r="N773" s="2301" t="str">
        <f>IFERROR(-_xll.ciqfunctions.udf.CIQ($G773,$I773,N121,Valuation_Date_GC,ReportType,DataMode,$H773,FXMode)*Scale,"--")</f>
        <v>--</v>
      </c>
      <c r="O773" s="1471" t="str">
        <f>IFERROR(-_xll.ciqfunctions.udf.CIQ($G773,$I773,O121,Valuation_Date_GC,ReportType,DataMode,$H773,FXMode)*Scale,"--")</f>
        <v>--</v>
      </c>
      <c r="P773" s="2301" t="str">
        <f>IFERROR(-_xll.ciqfunctions.udf.CIQ($G773,$I773,P121,Valuation_Date_GC,ReportType,DataMode,$H773,FXMode)*Scale,"--")</f>
        <v>--</v>
      </c>
      <c r="Q773" s="89"/>
      <c r="R773" s="255"/>
      <c r="S773" s="89"/>
      <c r="T773" s="89"/>
      <c r="U773" s="89"/>
      <c r="V773" s="89"/>
      <c r="W773" s="89"/>
      <c r="X773" s="89"/>
      <c r="Y773" s="89"/>
      <c r="Z773" s="89"/>
      <c r="AA773" s="89"/>
      <c r="AB773" s="89"/>
      <c r="AC773" s="89"/>
      <c r="AD773" s="89"/>
      <c r="AE773" s="89"/>
      <c r="AF773" s="89"/>
      <c r="AG773" s="89"/>
      <c r="AH773" s="89"/>
      <c r="AI773" s="89"/>
      <c r="AJ773" s="89"/>
      <c r="AK773" s="89"/>
      <c r="AL773" s="89"/>
      <c r="AM773" s="89"/>
      <c r="AN773" s="89"/>
      <c r="AO773" s="89"/>
      <c r="AP773" s="89"/>
      <c r="AQ773" s="89"/>
      <c r="AR773" s="89"/>
      <c r="AS773" s="89"/>
      <c r="AT773" s="89"/>
      <c r="AU773" s="89"/>
      <c r="AV773" s="89"/>
      <c r="AW773" s="89"/>
      <c r="AX773" s="89"/>
      <c r="AY773" s="89"/>
      <c r="AZ773" s="89"/>
      <c r="BA773" s="89"/>
      <c r="BB773" s="89"/>
      <c r="BC773" s="89"/>
      <c r="BD773" s="89"/>
      <c r="BE773" s="89"/>
      <c r="BF773" s="89"/>
      <c r="BG773" s="89"/>
      <c r="BH773" s="89"/>
      <c r="BI773" s="89"/>
      <c r="BJ773" s="89"/>
      <c r="BK773" s="89"/>
      <c r="BL773" s="89"/>
      <c r="BM773" s="89"/>
      <c r="BN773" s="89"/>
      <c r="BO773" s="89"/>
      <c r="BP773" s="89"/>
    </row>
    <row r="774" spans="1:68" s="92" customFormat="1" ht="13.9">
      <c r="A774" s="269" t="str">
        <f t="shared" si="190"/>
        <v>n</v>
      </c>
      <c r="B774" s="2060"/>
      <c r="C774" s="89"/>
      <c r="D774" s="801"/>
      <c r="E774" s="1505">
        <v>23</v>
      </c>
      <c r="F774" s="21" t="str">
        <f>F$151</f>
        <v>--</v>
      </c>
      <c r="G774" s="1441">
        <f>G$151</f>
        <v>0</v>
      </c>
      <c r="H774" s="1441" t="str">
        <f>H$151</f>
        <v>--</v>
      </c>
      <c r="I774" s="89" t="s">
        <v>813</v>
      </c>
      <c r="J774" s="89"/>
      <c r="K774" s="2301" t="str">
        <f>IFERROR(-_xll.ciqfunctions.udf.CIQ($G774,$I774,K122,Valuation_Date_GC,ReportType,DataMode,$H774,FXMode)*Scale,"--")</f>
        <v>--</v>
      </c>
      <c r="L774" s="2301" t="str">
        <f>IFERROR(-_xll.ciqfunctions.udf.CIQ($G774,$I774,L122,Valuation_Date_GC,ReportType,DataMode,$H774,FXMode)*Scale,"--")</f>
        <v>--</v>
      </c>
      <c r="M774" s="2301" t="str">
        <f>IFERROR(-_xll.ciqfunctions.udf.CIQ($G774,$I774,M122,Valuation_Date_GC,ReportType,DataMode,$H774,FXMode)*Scale,"--")</f>
        <v>--</v>
      </c>
      <c r="N774" s="2301" t="str">
        <f>IFERROR(-_xll.ciqfunctions.udf.CIQ($G774,$I774,N122,Valuation_Date_GC,ReportType,DataMode,$H774,FXMode)*Scale,"--")</f>
        <v>--</v>
      </c>
      <c r="O774" s="1471" t="str">
        <f>IFERROR(-_xll.ciqfunctions.udf.CIQ($G774,$I774,O122,Valuation_Date_GC,ReportType,DataMode,$H774,FXMode)*Scale,"--")</f>
        <v>--</v>
      </c>
      <c r="P774" s="2301" t="str">
        <f>IFERROR(-_xll.ciqfunctions.udf.CIQ($G774,$I774,P122,Valuation_Date_GC,ReportType,DataMode,$H774,FXMode)*Scale,"--")</f>
        <v>--</v>
      </c>
      <c r="Q774" s="89"/>
      <c r="R774" s="255"/>
      <c r="S774" s="89"/>
      <c r="T774" s="89"/>
      <c r="U774" s="89"/>
      <c r="V774" s="89"/>
      <c r="W774" s="89"/>
      <c r="X774" s="89"/>
      <c r="Y774" s="89"/>
      <c r="Z774" s="89"/>
      <c r="AA774" s="89"/>
      <c r="AB774" s="89"/>
      <c r="AC774" s="89"/>
      <c r="AD774" s="89"/>
      <c r="AE774" s="89"/>
      <c r="AF774" s="89"/>
      <c r="AG774" s="89"/>
      <c r="AH774" s="89"/>
      <c r="AI774" s="89"/>
      <c r="AJ774" s="89"/>
      <c r="AK774" s="89"/>
      <c r="AL774" s="89"/>
      <c r="AM774" s="89"/>
      <c r="AN774" s="89"/>
      <c r="AO774" s="89"/>
      <c r="AP774" s="89"/>
      <c r="AQ774" s="89"/>
      <c r="AR774" s="89"/>
      <c r="AS774" s="89"/>
      <c r="AT774" s="89"/>
      <c r="AU774" s="89"/>
      <c r="AV774" s="89"/>
      <c r="AW774" s="89"/>
      <c r="AX774" s="89"/>
      <c r="AY774" s="89"/>
      <c r="AZ774" s="89"/>
      <c r="BA774" s="89"/>
      <c r="BB774" s="89"/>
      <c r="BC774" s="89"/>
      <c r="BD774" s="89"/>
      <c r="BE774" s="89"/>
      <c r="BF774" s="89"/>
      <c r="BG774" s="89"/>
      <c r="BH774" s="89"/>
      <c r="BI774" s="89"/>
      <c r="BJ774" s="89"/>
      <c r="BK774" s="89"/>
      <c r="BL774" s="89"/>
      <c r="BM774" s="89"/>
      <c r="BN774" s="89"/>
      <c r="BO774" s="89"/>
      <c r="BP774" s="89"/>
    </row>
    <row r="775" spans="1:68" s="92" customFormat="1" ht="13.9">
      <c r="A775" s="269" t="str">
        <f t="shared" si="190"/>
        <v>n</v>
      </c>
      <c r="B775" s="2060"/>
      <c r="C775" s="89"/>
      <c r="D775" s="801"/>
      <c r="E775" s="1505">
        <v>24</v>
      </c>
      <c r="F775" s="21" t="str">
        <f>F$152</f>
        <v>--</v>
      </c>
      <c r="G775" s="1441">
        <f>G$152</f>
        <v>0</v>
      </c>
      <c r="H775" s="1441" t="str">
        <f>H$152</f>
        <v>--</v>
      </c>
      <c r="I775" s="89" t="s">
        <v>813</v>
      </c>
      <c r="J775" s="89"/>
      <c r="K775" s="2301" t="str">
        <f>IFERROR(-_xll.ciqfunctions.udf.CIQ($G775,$I775,K123,Valuation_Date_GC,ReportType,DataMode,$H775,FXMode)*Scale,"--")</f>
        <v>--</v>
      </c>
      <c r="L775" s="2301" t="str">
        <f>IFERROR(-_xll.ciqfunctions.udf.CIQ($G775,$I775,L123,Valuation_Date_GC,ReportType,DataMode,$H775,FXMode)*Scale,"--")</f>
        <v>--</v>
      </c>
      <c r="M775" s="2301" t="str">
        <f>IFERROR(-_xll.ciqfunctions.udf.CIQ($G775,$I775,M123,Valuation_Date_GC,ReportType,DataMode,$H775,FXMode)*Scale,"--")</f>
        <v>--</v>
      </c>
      <c r="N775" s="2301" t="str">
        <f>IFERROR(-_xll.ciqfunctions.udf.CIQ($G775,$I775,N123,Valuation_Date_GC,ReportType,DataMode,$H775,FXMode)*Scale,"--")</f>
        <v>--</v>
      </c>
      <c r="O775" s="1471" t="str">
        <f>IFERROR(-_xll.ciqfunctions.udf.CIQ($G775,$I775,O123,Valuation_Date_GC,ReportType,DataMode,$H775,FXMode)*Scale,"--")</f>
        <v>--</v>
      </c>
      <c r="P775" s="2301" t="str">
        <f>IFERROR(-_xll.ciqfunctions.udf.CIQ($G775,$I775,P123,Valuation_Date_GC,ReportType,DataMode,$H775,FXMode)*Scale,"--")</f>
        <v>--</v>
      </c>
      <c r="Q775" s="89"/>
      <c r="R775" s="255"/>
      <c r="S775" s="89"/>
      <c r="T775" s="89"/>
      <c r="U775" s="89"/>
      <c r="V775" s="89"/>
      <c r="W775" s="89"/>
      <c r="X775" s="89"/>
      <c r="Y775" s="89"/>
      <c r="Z775" s="89"/>
      <c r="AA775" s="89"/>
      <c r="AB775" s="89"/>
      <c r="AC775" s="89"/>
      <c r="AD775" s="89"/>
      <c r="AE775" s="89"/>
      <c r="AF775" s="89"/>
      <c r="AG775" s="89"/>
      <c r="AH775" s="89"/>
      <c r="AI775" s="89"/>
      <c r="AJ775" s="89"/>
      <c r="AK775" s="89"/>
      <c r="AL775" s="89"/>
      <c r="AM775" s="89"/>
      <c r="AN775" s="89"/>
      <c r="AO775" s="89"/>
      <c r="AP775" s="89"/>
      <c r="AQ775" s="89"/>
      <c r="AR775" s="89"/>
      <c r="AS775" s="89"/>
      <c r="AT775" s="89"/>
      <c r="AU775" s="89"/>
      <c r="AV775" s="89"/>
      <c r="AW775" s="89"/>
      <c r="AX775" s="89"/>
      <c r="AY775" s="89"/>
      <c r="AZ775" s="89"/>
      <c r="BA775" s="89"/>
      <c r="BB775" s="89"/>
      <c r="BC775" s="89"/>
      <c r="BD775" s="89"/>
      <c r="BE775" s="89"/>
      <c r="BF775" s="89"/>
      <c r="BG775" s="89"/>
      <c r="BH775" s="89"/>
      <c r="BI775" s="89"/>
      <c r="BJ775" s="89"/>
      <c r="BK775" s="89"/>
      <c r="BL775" s="89"/>
      <c r="BM775" s="89"/>
      <c r="BN775" s="89"/>
      <c r="BO775" s="89"/>
      <c r="BP775" s="89"/>
    </row>
    <row r="776" spans="1:68" s="89" customFormat="1" ht="13.9">
      <c r="A776" s="269" t="str">
        <f t="shared" si="190"/>
        <v>n</v>
      </c>
      <c r="B776" s="2060"/>
      <c r="D776" s="801"/>
      <c r="E776" s="1505">
        <v>25</v>
      </c>
      <c r="F776" s="21" t="str">
        <f>F$153</f>
        <v>--</v>
      </c>
      <c r="G776" s="1441">
        <f>G$153</f>
        <v>0</v>
      </c>
      <c r="H776" s="1441" t="str">
        <f>H$153</f>
        <v>--</v>
      </c>
      <c r="I776" s="89" t="s">
        <v>813</v>
      </c>
      <c r="K776" s="2301" t="str">
        <f>IFERROR(-_xll.ciqfunctions.udf.CIQ($G776,$I776,K124,Valuation_Date_GC,ReportType,DataMode,$H776,FXMode)*Scale,"--")</f>
        <v>--</v>
      </c>
      <c r="L776" s="2301" t="str">
        <f>IFERROR(-_xll.ciqfunctions.udf.CIQ($G776,$I776,L124,Valuation_Date_GC,ReportType,DataMode,$H776,FXMode)*Scale,"--")</f>
        <v>--</v>
      </c>
      <c r="M776" s="2301" t="str">
        <f>IFERROR(-_xll.ciqfunctions.udf.CIQ($G776,$I776,M124,Valuation_Date_GC,ReportType,DataMode,$H776,FXMode)*Scale,"--")</f>
        <v>--</v>
      </c>
      <c r="N776" s="2301" t="str">
        <f>IFERROR(-_xll.ciqfunctions.udf.CIQ($G776,$I776,N124,Valuation_Date_GC,ReportType,DataMode,$H776,FXMode)*Scale,"--")</f>
        <v>--</v>
      </c>
      <c r="O776" s="1471" t="str">
        <f>IFERROR(-_xll.ciqfunctions.udf.CIQ($G776,$I776,O124,Valuation_Date_GC,ReportType,DataMode,$H776,FXMode)*Scale,"--")</f>
        <v>--</v>
      </c>
      <c r="P776" s="2301" t="str">
        <f>IFERROR(-_xll.ciqfunctions.udf.CIQ($G776,$I776,P124,Valuation_Date_GC,ReportType,DataMode,$H776,FXMode)*Scale,"--")</f>
        <v>--</v>
      </c>
      <c r="R776" s="255"/>
      <c r="AL776" s="92"/>
      <c r="AM776" s="92"/>
      <c r="AN776" s="92"/>
      <c r="AO776" s="92"/>
      <c r="AP776" s="92"/>
      <c r="AQ776" s="92"/>
      <c r="AR776" s="92"/>
      <c r="AS776" s="92"/>
      <c r="AT776" s="92"/>
      <c r="AU776" s="92"/>
    </row>
    <row r="777" spans="1:68" s="89" customFormat="1" ht="13.9">
      <c r="A777" s="2060"/>
      <c r="B777" s="2060"/>
      <c r="D777" s="801"/>
      <c r="F777" s="57" t="s">
        <v>767</v>
      </c>
      <c r="G777" s="1442"/>
      <c r="H777" s="1442"/>
      <c r="I777" s="1442"/>
      <c r="J777" s="1442"/>
      <c r="K777" s="1443" t="str">
        <f t="shared" ref="K777:P777" si="191">IFERROR(MEDIAN(K752:K776),"--")</f>
        <v>--</v>
      </c>
      <c r="L777" s="1443" t="str">
        <f t="shared" si="191"/>
        <v>--</v>
      </c>
      <c r="M777" s="1443" t="str">
        <f t="shared" si="191"/>
        <v>--</v>
      </c>
      <c r="N777" s="1443" t="str">
        <f t="shared" si="191"/>
        <v>--</v>
      </c>
      <c r="O777" s="1444" t="str">
        <f t="shared" si="191"/>
        <v>--</v>
      </c>
      <c r="P777" s="1443" t="str">
        <f t="shared" si="191"/>
        <v>--</v>
      </c>
      <c r="R777" s="255"/>
      <c r="AV777" s="92"/>
      <c r="AW777" s="92"/>
      <c r="AX777" s="92"/>
      <c r="AY777" s="92"/>
      <c r="AZ777" s="92"/>
      <c r="BA777" s="92"/>
      <c r="BB777" s="92"/>
      <c r="BC777" s="92"/>
      <c r="BD777" s="92"/>
      <c r="BE777" s="92"/>
      <c r="BF777" s="92"/>
      <c r="BG777" s="92"/>
      <c r="BH777" s="92"/>
      <c r="BI777" s="92"/>
      <c r="BJ777" s="92"/>
      <c r="BK777" s="92"/>
      <c r="BL777" s="92"/>
      <c r="BM777" s="92"/>
      <c r="BN777" s="92"/>
      <c r="BO777" s="92"/>
      <c r="BP777" s="92"/>
    </row>
    <row r="778" spans="1:68" s="89" customFormat="1" ht="13.9">
      <c r="A778" s="2060"/>
      <c r="B778" s="2060"/>
      <c r="D778" s="801"/>
      <c r="F778" s="446"/>
      <c r="G778" s="1441"/>
      <c r="H778" s="1441"/>
      <c r="I778" s="1441"/>
      <c r="J778" s="1441"/>
      <c r="K778" s="1441"/>
      <c r="O778" s="75"/>
      <c r="P778" s="76"/>
      <c r="R778" s="255"/>
    </row>
    <row r="779" spans="1:68" s="89" customFormat="1" ht="13.9">
      <c r="A779" s="2060"/>
      <c r="B779" s="2060"/>
      <c r="D779" s="1436"/>
      <c r="E779" s="56"/>
      <c r="F779" s="21"/>
      <c r="O779" s="75"/>
      <c r="P779" s="76"/>
    </row>
    <row r="780" spans="1:68" s="89" customFormat="1" ht="13.9">
      <c r="A780" s="2060"/>
      <c r="B780" s="2060"/>
      <c r="D780" s="802"/>
      <c r="E780" s="21"/>
      <c r="F780" s="756"/>
      <c r="G780" s="724"/>
      <c r="H780" s="724"/>
      <c r="I780" s="724"/>
      <c r="J780" s="724"/>
      <c r="K780" s="724"/>
      <c r="L780" s="724"/>
      <c r="M780" s="724"/>
      <c r="N780" s="724"/>
      <c r="O780" s="757" t="s">
        <v>768</v>
      </c>
      <c r="P780" s="724"/>
      <c r="Q780" s="724"/>
      <c r="R780" s="725"/>
      <c r="S780" s="724"/>
      <c r="T780" s="724"/>
      <c r="U780" s="177"/>
      <c r="V780" s="177"/>
      <c r="W780" s="177"/>
      <c r="X780" s="177"/>
    </row>
    <row r="781" spans="1:68" s="89" customFormat="1" ht="13.9">
      <c r="A781" s="2060"/>
      <c r="B781" s="2060"/>
      <c r="D781" s="778">
        <f ca="1">MAX(OFFSET(D781,-1,0,-ROW(D781)+1,-2),1)+0.01</f>
        <v>5.0799999999999983</v>
      </c>
      <c r="E781" s="125"/>
      <c r="F781" s="952" t="s">
        <v>395</v>
      </c>
      <c r="G781" s="724" t="s">
        <v>796</v>
      </c>
      <c r="H781" s="724"/>
      <c r="I781" s="724"/>
      <c r="J781" s="758" t="s">
        <v>699</v>
      </c>
      <c r="K781" s="758" t="s">
        <v>700</v>
      </c>
      <c r="L781" s="758" t="s">
        <v>701</v>
      </c>
      <c r="M781" s="758" t="s">
        <v>702</v>
      </c>
      <c r="N781" s="758" t="s">
        <v>703</v>
      </c>
      <c r="O781" s="759" t="s">
        <v>704</v>
      </c>
      <c r="P781" s="725" t="s">
        <v>705</v>
      </c>
      <c r="Q781" s="724"/>
      <c r="R781" s="724"/>
      <c r="S781" s="724" t="s">
        <v>814</v>
      </c>
      <c r="T781" s="725" t="s">
        <v>802</v>
      </c>
      <c r="U781" s="758" t="s">
        <v>707</v>
      </c>
      <c r="V781" s="758" t="s">
        <v>708</v>
      </c>
      <c r="W781" s="758" t="s">
        <v>709</v>
      </c>
      <c r="X781" s="758" t="s">
        <v>710</v>
      </c>
      <c r="Y781" s="758" t="s">
        <v>711</v>
      </c>
    </row>
    <row r="782" spans="1:68" s="89" customFormat="1" ht="13.9">
      <c r="A782" s="2060"/>
      <c r="B782" s="2060"/>
      <c r="D782" s="778"/>
      <c r="E782" s="1505">
        <v>0</v>
      </c>
      <c r="F782" s="1448" t="str">
        <f>F$128</f>
        <v/>
      </c>
      <c r="G782" s="1449">
        <f>G$128</f>
        <v>0</v>
      </c>
      <c r="H782" s="1449" t="str">
        <f>H$128</f>
        <v>USD</v>
      </c>
      <c r="I782" s="1450" t="s">
        <v>815</v>
      </c>
      <c r="J782" s="2304">
        <f>'INC STAT Hist Input'!E32</f>
        <v>0</v>
      </c>
      <c r="K782" s="2304">
        <f>'INC STAT Hist Input'!F32</f>
        <v>0</v>
      </c>
      <c r="L782" s="2304">
        <f>'INC STAT Hist Input'!G32</f>
        <v>0</v>
      </c>
      <c r="M782" s="2304">
        <f>'INC STAT Hist Input'!H32</f>
        <v>0</v>
      </c>
      <c r="N782" s="2304">
        <f>'INC STAT Hist Input'!I32</f>
        <v>0</v>
      </c>
      <c r="O782" s="2304">
        <f>'INC STAT Hist Input'!J32</f>
        <v>0</v>
      </c>
      <c r="P782" s="2304">
        <f>'INC STAT Hist Input'!K32</f>
        <v>0</v>
      </c>
      <c r="Q782" s="258"/>
      <c r="R782" s="1473"/>
      <c r="S782" s="258" t="s">
        <v>814</v>
      </c>
      <c r="T782" s="2316" t="str">
        <f>IF($G782=0,"--",IFERROR(IF(_xll.ciqfunctions.udf.CIQ($G782,$S782,T99,Valuation_Date_GC,ReportType,DataMode,$H782)*Scale=0,"--",_xll.ciqfunctions.udf.CIQ($G782,$S782,T99,Valuation_Date_GC,ReportType,DataMode,$H782)*Scale),"--"))</f>
        <v>--</v>
      </c>
      <c r="U782" s="2316" t="str">
        <f>IF($G782=0,"--",IFERROR(IF(_xll.ciqfunctions.udf.CIQ($G782,$S782,U99,Valuation_Date_GC,ReportType,DataMode,$H782)*Scale=0,"--",_xll.ciqfunctions.udf.CIQ($G782,$S782,U99,Valuation_Date_GC,ReportType,DataMode,$H782)*Scale),"--"))</f>
        <v>--</v>
      </c>
      <c r="V782" s="2316" t="str">
        <f>IF($G782=0,"--",IFERROR(IF(_xll.ciqfunctions.udf.CIQ($G782,$S782,V99,Valuation_Date_GC,ReportType,DataMode,$H782)*Scale=0,"--",_xll.ciqfunctions.udf.CIQ($G782,$S782,V99,Valuation_Date_GC,ReportType,DataMode,$H782)*Scale),"--"))</f>
        <v>--</v>
      </c>
      <c r="W782" s="2316" t="str">
        <f>IF($G782=0,"--",IFERROR(IF(_xll.ciqfunctions.udf.CIQ($G782,$S782,W99,Valuation_Date_GC,ReportType,DataMode,$H782)*Scale=0,"--",_xll.ciqfunctions.udf.CIQ($G782,$S782,W99,Valuation_Date_GC,ReportType,DataMode,$H782)*Scale),"--"))</f>
        <v>--</v>
      </c>
      <c r="X782" s="2316" t="str">
        <f>IF($G782=0,"--",IFERROR(IF(_xll.ciqfunctions.udf.CIQ($G782,$S782,X99,Valuation_Date_GC,ReportType,DataMode,$H782)*Scale=0,"--",_xll.ciqfunctions.udf.CIQ($G782,$S782,X99,Valuation_Date_GC,ReportType,DataMode,$H782)*Scale),"--"))</f>
        <v>--</v>
      </c>
      <c r="Y782" s="2316" t="str">
        <f>IF($G782=0,"--",IFERROR(IF(_xll.ciqfunctions.udf.CIQ($G782,$S782,Y99,Valuation_Date_GC,ReportType,DataMode,$H782)*Scale=0,"--",_xll.ciqfunctions.udf.CIQ($G782,$S782,Y99,Valuation_Date_GC,ReportType,DataMode,$H782)*Scale),"--"))</f>
        <v>--</v>
      </c>
    </row>
    <row r="783" spans="1:68" s="89" customFormat="1" ht="13.9">
      <c r="A783" s="269" t="str">
        <f>IF(F783="--","n","")</f>
        <v>n</v>
      </c>
      <c r="B783" s="2060"/>
      <c r="C783" s="72"/>
      <c r="D783" s="801"/>
      <c r="E783" s="1505">
        <v>1</v>
      </c>
      <c r="F783" s="21" t="str">
        <f>F$129</f>
        <v>--</v>
      </c>
      <c r="G783" s="1441">
        <f>G$129</f>
        <v>0</v>
      </c>
      <c r="H783" s="1441" t="str">
        <f>H$129</f>
        <v>--</v>
      </c>
      <c r="I783" s="1513" t="s">
        <v>815</v>
      </c>
      <c r="J783" s="2301" t="str">
        <f>IF($G783=0,"--",IFERROR(_xll.ciqfunctions.udf.CIQ($G783,$I783,J100,Valuation_Date_GC,ReportType,DataMode,$H783,FXMode)*Scale,"--"))</f>
        <v>--</v>
      </c>
      <c r="K783" s="2301" t="str">
        <f>IF($G783=0,"--",IFERROR(_xll.ciqfunctions.udf.CIQ($G783,$I783,K100,Valuation_Date_GC,ReportType,DataMode,$H783,FXMode)*Scale,"--"))</f>
        <v>--</v>
      </c>
      <c r="L783" s="2301" t="str">
        <f>IF($G783=0,"--",IFERROR(_xll.ciqfunctions.udf.CIQ($G783,$I783,L100,Valuation_Date_GC,ReportType,DataMode,$H783,FXMode)*Scale,"--"))</f>
        <v>--</v>
      </c>
      <c r="M783" s="2301" t="str">
        <f>IF($G783=0,"--",IFERROR(_xll.ciqfunctions.udf.CIQ($G783,$I783,M100,Valuation_Date_GC,ReportType,DataMode,$H783,FXMode)*Scale,"--"))</f>
        <v>--</v>
      </c>
      <c r="N783" s="2301" t="str">
        <f>IF($G783=0,"--",IFERROR(_xll.ciqfunctions.udf.CIQ($G783,$I783,N100,Valuation_Date_GC,ReportType,DataMode,$H783,FXMode)*Scale,"--"))</f>
        <v>--</v>
      </c>
      <c r="O783" s="2317" t="str">
        <f>IF($G783=0,"--",IFERROR(IF(O100=1001,_xll.ciqfunctions.udf.CIQ($G783,$S783,O100,Valuation_Date_GC,ReportType,DataMode,$H783,FXMode),_xll.ciqfunctions.udf.CIQ($G783,$I783,O100,Valuation_Date_GC,ReportType,DataMode,$H783,FXMode))*Scale,"--"))</f>
        <v>--</v>
      </c>
      <c r="P783" s="2301" t="str">
        <f>IF($G783=0,"--",IFERROR(_xll.ciqfunctions.udf.CIQ($G783,$I783,P100,Valuation_Date_GC,ReportType,DataMode,$H783,FXMode)*Scale,"--"))</f>
        <v>--</v>
      </c>
      <c r="R783" s="255"/>
      <c r="S783" s="89" t="s">
        <v>814</v>
      </c>
      <c r="T783" s="2301" t="str">
        <f>IF(H100=0,O783,IFERROR(_xll.ciqfunctions.udf.CIQ($G783,$S783,U100-1,Valuation_Date_GC,ReportType,DataMode,$H783)*Scale,"--"))</f>
        <v>--</v>
      </c>
      <c r="U783" s="2301" t="str">
        <f>IF($G783=0,"--",IFERROR(IF(_xll.ciqfunctions.udf.CIQ($G783,$S783,U100,Valuation_Date_GC,ReportType,DataMode,$H783)*Scale=0,"--",_xll.ciqfunctions.udf.CIQ($G783,$S783,U100,Valuation_Date_GC,ReportType,DataMode,$H783)*Scale),"--"))</f>
        <v>--</v>
      </c>
      <c r="V783" s="2301" t="str">
        <f>IF($G783=0,"--",IFERROR(IF(_xll.ciqfunctions.udf.CIQ($G783,$S783,V100,Valuation_Date_GC,ReportType,DataMode,$H783)*Scale=0,"--",_xll.ciqfunctions.udf.CIQ($G783,$S783,V100,Valuation_Date_GC,ReportType,DataMode,$H783)*Scale),"--"))</f>
        <v>--</v>
      </c>
      <c r="W783" s="2301" t="str">
        <f>IF($G783=0,"--",IFERROR(IF(_xll.ciqfunctions.udf.CIQ($G783,$S783,W100,Valuation_Date_GC,ReportType,DataMode,$H783)*Scale=0,"--",_xll.ciqfunctions.udf.CIQ($G783,$S783,W100,Valuation_Date_GC,ReportType,DataMode,$H783)*Scale),"--"))</f>
        <v>--</v>
      </c>
      <c r="X783" s="2301" t="str">
        <f>IF($G783=0,"--",IFERROR(IF(_xll.ciqfunctions.udf.CIQ($G783,$S783,X100,Valuation_Date_GC,ReportType,DataMode,$H783)*Scale=0,"--",_xll.ciqfunctions.udf.CIQ($G783,$S783,X100,Valuation_Date_GC,ReportType,DataMode,$H783)*Scale),"--"))</f>
        <v>--</v>
      </c>
      <c r="Y783" s="2301" t="str">
        <f>IF($G783=0,"--",IFERROR(IF(_xll.ciqfunctions.udf.CIQ($G783,$S783,Y100,Valuation_Date_GC,ReportType,DataMode,$H783)*Scale=0,"--",_xll.ciqfunctions.udf.CIQ($G783,$S783,Y100,Valuation_Date_GC,ReportType,DataMode,$H783)*Scale),"--"))</f>
        <v>--</v>
      </c>
      <c r="Z783" s="2078" t="str">
        <f t="shared" ref="Z783:Z807" si="192">T100</f>
        <v/>
      </c>
    </row>
    <row r="784" spans="1:68" s="89" customFormat="1" ht="13.9">
      <c r="A784" s="269" t="str">
        <f t="shared" ref="A784:A807" si="193">IF(F784="--","n","")</f>
        <v>n</v>
      </c>
      <c r="B784" s="2060"/>
      <c r="D784" s="801"/>
      <c r="E784" s="1505">
        <v>2</v>
      </c>
      <c r="F784" s="21" t="str">
        <f>F$130</f>
        <v>--</v>
      </c>
      <c r="G784" s="1441">
        <f>G$130</f>
        <v>0</v>
      </c>
      <c r="H784" s="1441" t="str">
        <f>H$130</f>
        <v>--</v>
      </c>
      <c r="I784" s="1513" t="s">
        <v>815</v>
      </c>
      <c r="J784" s="2301" t="str">
        <f>IF($G784=0,"--",IFERROR(_xll.ciqfunctions.udf.CIQ($G784,$I784,J101,Valuation_Date_GC,ReportType,DataMode,$H784,FXMode)*Scale,"--"))</f>
        <v>--</v>
      </c>
      <c r="K784" s="2301" t="str">
        <f>IF($G784=0,"--",IFERROR(_xll.ciqfunctions.udf.CIQ($G784,$I784,K101,Valuation_Date_GC,ReportType,DataMode,$H784,FXMode)*Scale,"--"))</f>
        <v>--</v>
      </c>
      <c r="L784" s="2301" t="str">
        <f>IF($G784=0,"--",IFERROR(_xll.ciqfunctions.udf.CIQ($G784,$I784,L101,Valuation_Date_GC,ReportType,DataMode,$H784,FXMode)*Scale,"--"))</f>
        <v>--</v>
      </c>
      <c r="M784" s="2301" t="str">
        <f>IF($G784=0,"--",IFERROR(_xll.ciqfunctions.udf.CIQ($G784,$I784,M101,Valuation_Date_GC,ReportType,DataMode,$H784,FXMode)*Scale,"--"))</f>
        <v>--</v>
      </c>
      <c r="N784" s="2301" t="str">
        <f>IF($G784=0,"--",IFERROR(_xll.ciqfunctions.udf.CIQ($G784,$I784,N101,Valuation_Date_GC,ReportType,DataMode,$H784,FXMode)*Scale,"--"))</f>
        <v>--</v>
      </c>
      <c r="O784" s="2317" t="str">
        <f>IF($G784=0,"--",IFERROR(IF(O101=1001,_xll.ciqfunctions.udf.CIQ($G784,$S784,O101,Valuation_Date_GC,ReportType,DataMode,$H784,FXMode),_xll.ciqfunctions.udf.CIQ($G784,$I784,O101,Valuation_Date_GC,ReportType,DataMode,$H784,FXMode))*Scale,"--"))</f>
        <v>--</v>
      </c>
      <c r="P784" s="2301" t="str">
        <f>IF($G784=0,"--",IFERROR(_xll.ciqfunctions.udf.CIQ($G784,$I784,P101,Valuation_Date_GC,ReportType,DataMode,$H784,FXMode)*Scale,"--"))</f>
        <v>--</v>
      </c>
      <c r="R784" s="255"/>
      <c r="S784" s="89" t="s">
        <v>814</v>
      </c>
      <c r="T784" s="2301" t="str">
        <f>IF(H101=0,O784,IFERROR(_xll.ciqfunctions.udf.CIQ($G784,$S784,U101-1,Valuation_Date_GC,ReportType,DataMode,$H784)*Scale,"--"))</f>
        <v>--</v>
      </c>
      <c r="U784" s="2301" t="str">
        <f>IF($G784=0,"--",IFERROR(IF(_xll.ciqfunctions.udf.CIQ($G784,$S784,U101,Valuation_Date_GC,ReportType,DataMode,$H784)*Scale=0,"--",_xll.ciqfunctions.udf.CIQ($G784,$S784,U101,Valuation_Date_GC,ReportType,DataMode,$H784)*Scale),"--"))</f>
        <v>--</v>
      </c>
      <c r="V784" s="2301" t="str">
        <f>IF($G784=0,"--",IFERROR(IF(_xll.ciqfunctions.udf.CIQ($G784,$S784,V101,Valuation_Date_GC,ReportType,DataMode,$H784)*Scale=0,"--",_xll.ciqfunctions.udf.CIQ($G784,$S784,V101,Valuation_Date_GC,ReportType,DataMode,$H784)*Scale),"--"))</f>
        <v>--</v>
      </c>
      <c r="W784" s="2301" t="str">
        <f>IF($G784=0,"--",IFERROR(IF(_xll.ciqfunctions.udf.CIQ($G784,$S784,W101,Valuation_Date_GC,ReportType,DataMode,$H784)*Scale=0,"--",_xll.ciqfunctions.udf.CIQ($G784,$S784,W101,Valuation_Date_GC,ReportType,DataMode,$H784)*Scale),"--"))</f>
        <v>--</v>
      </c>
      <c r="X784" s="2301" t="str">
        <f>IF($G784=0,"--",IFERROR(IF(_xll.ciqfunctions.udf.CIQ($G784,$S784,X101,Valuation_Date_GC,ReportType,DataMode,$H784)*Scale=0,"--",_xll.ciqfunctions.udf.CIQ($G784,$S784,X101,Valuation_Date_GC,ReportType,DataMode,$H784)*Scale),"--"))</f>
        <v>--</v>
      </c>
      <c r="Y784" s="2301" t="str">
        <f>IF($G784=0,"--",IFERROR(IF(_xll.ciqfunctions.udf.CIQ($G784,$S784,Y101,Valuation_Date_GC,ReportType,DataMode,$H784)*Scale=0,"--",_xll.ciqfunctions.udf.CIQ($G784,$S784,Y101,Valuation_Date_GC,ReportType,DataMode,$H784)*Scale),"--"))</f>
        <v>--</v>
      </c>
      <c r="Z784" s="2078" t="str">
        <f t="shared" si="192"/>
        <v/>
      </c>
    </row>
    <row r="785" spans="1:37" s="89" customFormat="1" ht="13.9">
      <c r="A785" s="269" t="str">
        <f t="shared" si="193"/>
        <v>n</v>
      </c>
      <c r="B785" s="2060"/>
      <c r="C785" s="72"/>
      <c r="D785" s="801"/>
      <c r="E785" s="1505">
        <v>3</v>
      </c>
      <c r="F785" s="21" t="str">
        <f>F$131</f>
        <v>--</v>
      </c>
      <c r="G785" s="1441">
        <f>G$131</f>
        <v>0</v>
      </c>
      <c r="H785" s="1441" t="str">
        <f>H$131</f>
        <v>--</v>
      </c>
      <c r="I785" s="1513" t="s">
        <v>815</v>
      </c>
      <c r="J785" s="2301" t="str">
        <f>IF($G785=0,"--",IFERROR(_xll.ciqfunctions.udf.CIQ($G785,$I785,J102,Valuation_Date_GC,ReportType,DataMode,$H785,FXMode)*Scale,"--"))</f>
        <v>--</v>
      </c>
      <c r="K785" s="2301" t="str">
        <f>IF($G785=0,"--",IFERROR(_xll.ciqfunctions.udf.CIQ($G785,$I785,K102,Valuation_Date_GC,ReportType,DataMode,$H785,FXMode)*Scale,"--"))</f>
        <v>--</v>
      </c>
      <c r="L785" s="2301" t="str">
        <f>IF($G785=0,"--",IFERROR(_xll.ciqfunctions.udf.CIQ($G785,$I785,L102,Valuation_Date_GC,ReportType,DataMode,$H785,FXMode)*Scale,"--"))</f>
        <v>--</v>
      </c>
      <c r="M785" s="2301" t="str">
        <f>IF($G785=0,"--",IFERROR(_xll.ciqfunctions.udf.CIQ($G785,$I785,M102,Valuation_Date_GC,ReportType,DataMode,$H785,FXMode)*Scale,"--"))</f>
        <v>--</v>
      </c>
      <c r="N785" s="2301" t="str">
        <f>IF($G785=0,"--",IFERROR(_xll.ciqfunctions.udf.CIQ($G785,$I785,N102,Valuation_Date_GC,ReportType,DataMode,$H785,FXMode)*Scale,"--"))</f>
        <v>--</v>
      </c>
      <c r="O785" s="2317" t="str">
        <f>IF($G785=0,"--",IFERROR(IF(O102=1001,_xll.ciqfunctions.udf.CIQ($G785,$S785,O102,Valuation_Date_GC,ReportType,DataMode,$H785,FXMode),_xll.ciqfunctions.udf.CIQ($G785,$I785,O102,Valuation_Date_GC,ReportType,DataMode,$H785,FXMode))*Scale,"--"))</f>
        <v>--</v>
      </c>
      <c r="P785" s="2301" t="str">
        <f>IF($G785=0,"--",IFERROR(_xll.ciqfunctions.udf.CIQ($G785,$I785,P102,Valuation_Date_GC,ReportType,DataMode,$H785,FXMode)*Scale,"--"))</f>
        <v>--</v>
      </c>
      <c r="R785" s="255"/>
      <c r="S785" s="89" t="s">
        <v>814</v>
      </c>
      <c r="T785" s="2301" t="str">
        <f>IF(H102=0,O785,IFERROR(_xll.ciqfunctions.udf.CIQ($G785,$S785,U102-1,Valuation_Date_GC,ReportType,DataMode,$H785)*Scale,"--"))</f>
        <v>--</v>
      </c>
      <c r="U785" s="2301" t="str">
        <f>IF($G785=0,"--",IFERROR(IF(_xll.ciqfunctions.udf.CIQ($G785,$S785,U102,Valuation_Date_GC,ReportType,DataMode,$H785)*Scale=0,"--",_xll.ciqfunctions.udf.CIQ($G785,$S785,U102,Valuation_Date_GC,ReportType,DataMode,$H785)*Scale),"--"))</f>
        <v>--</v>
      </c>
      <c r="V785" s="2301" t="str">
        <f>IF($G785=0,"--",IFERROR(IF(_xll.ciqfunctions.udf.CIQ($G785,$S785,V102,Valuation_Date_GC,ReportType,DataMode,$H785)*Scale=0,"--",_xll.ciqfunctions.udf.CIQ($G785,$S785,V102,Valuation_Date_GC,ReportType,DataMode,$H785)*Scale),"--"))</f>
        <v>--</v>
      </c>
      <c r="W785" s="2301" t="str">
        <f>IF($G785=0,"--",IFERROR(IF(_xll.ciqfunctions.udf.CIQ($G785,$S785,W102,Valuation_Date_GC,ReportType,DataMode,$H785)*Scale=0,"--",_xll.ciqfunctions.udf.CIQ($G785,$S785,W102,Valuation_Date_GC,ReportType,DataMode,$H785)*Scale),"--"))</f>
        <v>--</v>
      </c>
      <c r="X785" s="2301" t="str">
        <f>IF($G785=0,"--",IFERROR(IF(_xll.ciqfunctions.udf.CIQ($G785,$S785,X102,Valuation_Date_GC,ReportType,DataMode,$H785)*Scale=0,"--",_xll.ciqfunctions.udf.CIQ($G785,$S785,X102,Valuation_Date_GC,ReportType,DataMode,$H785)*Scale),"--"))</f>
        <v>--</v>
      </c>
      <c r="Y785" s="2301" t="str">
        <f>IF($G785=0,"--",IFERROR(IF(_xll.ciqfunctions.udf.CIQ($G785,$S785,Y102,Valuation_Date_GC,ReportType,DataMode,$H785)*Scale=0,"--",_xll.ciqfunctions.udf.CIQ($G785,$S785,Y102,Valuation_Date_GC,ReportType,DataMode,$H785)*Scale),"--"))</f>
        <v>--</v>
      </c>
      <c r="Z785" s="2078" t="str">
        <f t="shared" si="192"/>
        <v/>
      </c>
    </row>
    <row r="786" spans="1:37" s="89" customFormat="1" ht="13.9">
      <c r="A786" s="269" t="str">
        <f t="shared" si="193"/>
        <v>n</v>
      </c>
      <c r="B786" s="2060"/>
      <c r="C786" s="72"/>
      <c r="D786" s="801"/>
      <c r="E786" s="1505">
        <v>4</v>
      </c>
      <c r="F786" s="21" t="str">
        <f>F$132</f>
        <v>--</v>
      </c>
      <c r="G786" s="1441">
        <f>G$132</f>
        <v>0</v>
      </c>
      <c r="H786" s="1441" t="str">
        <f>H$132</f>
        <v>--</v>
      </c>
      <c r="I786" s="1513" t="s">
        <v>815</v>
      </c>
      <c r="J786" s="2301" t="str">
        <f>IF($G786=0,"--",IFERROR(_xll.ciqfunctions.udf.CIQ($G786,$I786,J103,Valuation_Date_GC,ReportType,DataMode,$H786,FXMode)*Scale,"--"))</f>
        <v>--</v>
      </c>
      <c r="K786" s="2301" t="str">
        <f>IF($G786=0,"--",IFERROR(_xll.ciqfunctions.udf.CIQ($G786,$I786,K103,Valuation_Date_GC,ReportType,DataMode,$H786,FXMode)*Scale,"--"))</f>
        <v>--</v>
      </c>
      <c r="L786" s="2301" t="str">
        <f>IF($G786=0,"--",IFERROR(_xll.ciqfunctions.udf.CIQ($G786,$I786,L103,Valuation_Date_GC,ReportType,DataMode,$H786,FXMode)*Scale,"--"))</f>
        <v>--</v>
      </c>
      <c r="M786" s="2301" t="str">
        <f>IF($G786=0,"--",IFERROR(_xll.ciqfunctions.udf.CIQ($G786,$I786,M103,Valuation_Date_GC,ReportType,DataMode,$H786,FXMode)*Scale,"--"))</f>
        <v>--</v>
      </c>
      <c r="N786" s="2301" t="str">
        <f>IF($G786=0,"--",IFERROR(_xll.ciqfunctions.udf.CIQ($G786,$I786,N103,Valuation_Date_GC,ReportType,DataMode,$H786,FXMode)*Scale,"--"))</f>
        <v>--</v>
      </c>
      <c r="O786" s="2317" t="str">
        <f>IF($G786=0,"--",IFERROR(IF(O103=1001,_xll.ciqfunctions.udf.CIQ($G786,$S786,O103,Valuation_Date_GC,ReportType,DataMode,$H786,FXMode),_xll.ciqfunctions.udf.CIQ($G786,$I786,O103,Valuation_Date_GC,ReportType,DataMode,$H786,FXMode))*Scale,"--"))</f>
        <v>--</v>
      </c>
      <c r="P786" s="2301" t="str">
        <f>IF($G786=0,"--",IFERROR(_xll.ciqfunctions.udf.CIQ($G786,$I786,P103,Valuation_Date_GC,ReportType,DataMode,$H786,FXMode)*Scale,"--"))</f>
        <v>--</v>
      </c>
      <c r="R786" s="255"/>
      <c r="S786" s="89" t="s">
        <v>814</v>
      </c>
      <c r="T786" s="2301" t="str">
        <f>IF(H103=0,O786,IFERROR(_xll.ciqfunctions.udf.CIQ($G786,$S786,U103-1,Valuation_Date_GC,ReportType,DataMode,$H786)*Scale,"--"))</f>
        <v>--</v>
      </c>
      <c r="U786" s="2301" t="str">
        <f>IF($G786=0,"--",IFERROR(IF(_xll.ciqfunctions.udf.CIQ($G786,$S786,U103,Valuation_Date_GC,ReportType,DataMode,$H786)*Scale=0,"--",_xll.ciqfunctions.udf.CIQ($G786,$S786,U103,Valuation_Date_GC,ReportType,DataMode,$H786)*Scale),"--"))</f>
        <v>--</v>
      </c>
      <c r="V786" s="2301" t="str">
        <f>IF($G786=0,"--",IFERROR(IF(_xll.ciqfunctions.udf.CIQ($G786,$S786,V103,Valuation_Date_GC,ReportType,DataMode,$H786)*Scale=0,"--",_xll.ciqfunctions.udf.CIQ($G786,$S786,V103,Valuation_Date_GC,ReportType,DataMode,$H786)*Scale),"--"))</f>
        <v>--</v>
      </c>
      <c r="W786" s="2301" t="str">
        <f>IF($G786=0,"--",IFERROR(IF(_xll.ciqfunctions.udf.CIQ($G786,$S786,W103,Valuation_Date_GC,ReportType,DataMode,$H786)*Scale=0,"--",_xll.ciqfunctions.udf.CIQ($G786,$S786,W103,Valuation_Date_GC,ReportType,DataMode,$H786)*Scale),"--"))</f>
        <v>--</v>
      </c>
      <c r="X786" s="2301" t="str">
        <f>IF($G786=0,"--",IFERROR(IF(_xll.ciqfunctions.udf.CIQ($G786,$S786,X103,Valuation_Date_GC,ReportType,DataMode,$H786)*Scale=0,"--",_xll.ciqfunctions.udf.CIQ($G786,$S786,X103,Valuation_Date_GC,ReportType,DataMode,$H786)*Scale),"--"))</f>
        <v>--</v>
      </c>
      <c r="Y786" s="2301" t="str">
        <f>IF($G786=0,"--",IFERROR(IF(_xll.ciqfunctions.udf.CIQ($G786,$S786,Y103,Valuation_Date_GC,ReportType,DataMode,$H786)*Scale=0,"--",_xll.ciqfunctions.udf.CIQ($G786,$S786,Y103,Valuation_Date_GC,ReportType,DataMode,$H786)*Scale),"--"))</f>
        <v>--</v>
      </c>
      <c r="Z786" s="2078" t="str">
        <f t="shared" si="192"/>
        <v/>
      </c>
    </row>
    <row r="787" spans="1:37" s="89" customFormat="1" ht="13.9">
      <c r="A787" s="269" t="str">
        <f t="shared" si="193"/>
        <v>n</v>
      </c>
      <c r="B787" s="2060"/>
      <c r="C787" s="72"/>
      <c r="D787" s="801"/>
      <c r="E787" s="1505">
        <v>5</v>
      </c>
      <c r="F787" s="21" t="str">
        <f>F$133</f>
        <v>--</v>
      </c>
      <c r="G787" s="1441">
        <f>G$133</f>
        <v>0</v>
      </c>
      <c r="H787" s="1441" t="str">
        <f>H$133</f>
        <v>--</v>
      </c>
      <c r="I787" s="1513" t="s">
        <v>815</v>
      </c>
      <c r="J787" s="2301" t="str">
        <f>IF($G787=0,"--",IFERROR(_xll.ciqfunctions.udf.CIQ($G787,$I787,J104,Valuation_Date_GC,ReportType,DataMode,$H787,FXMode)*Scale,"--"))</f>
        <v>--</v>
      </c>
      <c r="K787" s="2301" t="str">
        <f>IF($G787=0,"--",IFERROR(_xll.ciqfunctions.udf.CIQ($G787,$I787,K104,Valuation_Date_GC,ReportType,DataMode,$H787,FXMode)*Scale,"--"))</f>
        <v>--</v>
      </c>
      <c r="L787" s="2301" t="str">
        <f>IF($G787=0,"--",IFERROR(_xll.ciqfunctions.udf.CIQ($G787,$I787,L104,Valuation_Date_GC,ReportType,DataMode,$H787,FXMode)*Scale,"--"))</f>
        <v>--</v>
      </c>
      <c r="M787" s="2301" t="str">
        <f>IF($G787=0,"--",IFERROR(_xll.ciqfunctions.udf.CIQ($G787,$I787,M104,Valuation_Date_GC,ReportType,DataMode,$H787,FXMode)*Scale,"--"))</f>
        <v>--</v>
      </c>
      <c r="N787" s="2301" t="str">
        <f>IF($G787=0,"--",IFERROR(_xll.ciqfunctions.udf.CIQ($G787,$I787,N104,Valuation_Date_GC,ReportType,DataMode,$H787,FXMode)*Scale,"--"))</f>
        <v>--</v>
      </c>
      <c r="O787" s="2317" t="str">
        <f>IF($G787=0,"--",IFERROR(IF(O104=1001,_xll.ciqfunctions.udf.CIQ($G787,$S787,O104,Valuation_Date_GC,ReportType,DataMode,$H787,FXMode),_xll.ciqfunctions.udf.CIQ($G787,$I787,O104,Valuation_Date_GC,ReportType,DataMode,$H787,FXMode))*Scale,"--"))</f>
        <v>--</v>
      </c>
      <c r="P787" s="2301" t="str">
        <f>IF($G787=0,"--",IFERROR(_xll.ciqfunctions.udf.CIQ($G787,$I787,P104,Valuation_Date_GC,ReportType,DataMode,$H787,FXMode)*Scale,"--"))</f>
        <v>--</v>
      </c>
      <c r="R787" s="255"/>
      <c r="S787" s="89" t="s">
        <v>814</v>
      </c>
      <c r="T787" s="2301" t="str">
        <f>IF(H104=0,O787,IFERROR(_xll.ciqfunctions.udf.CIQ($G787,$S787,U104-1,Valuation_Date_GC,ReportType,DataMode,$H787)*Scale,"--"))</f>
        <v>--</v>
      </c>
      <c r="U787" s="2301" t="str">
        <f>IF($G787=0,"--",IFERROR(IF(_xll.ciqfunctions.udf.CIQ($G787,$S787,U104,Valuation_Date_GC,ReportType,DataMode,$H787)*Scale=0,"--",_xll.ciqfunctions.udf.CIQ($G787,$S787,U104,Valuation_Date_GC,ReportType,DataMode,$H787)*Scale),"--"))</f>
        <v>--</v>
      </c>
      <c r="V787" s="2301" t="str">
        <f>IF($G787=0,"--",IFERROR(IF(_xll.ciqfunctions.udf.CIQ($G787,$S787,V104,Valuation_Date_GC,ReportType,DataMode,$H787)*Scale=0,"--",_xll.ciqfunctions.udf.CIQ($G787,$S787,V104,Valuation_Date_GC,ReportType,DataMode,$H787)*Scale),"--"))</f>
        <v>--</v>
      </c>
      <c r="W787" s="2301" t="str">
        <f>IF($G787=0,"--",IFERROR(IF(_xll.ciqfunctions.udf.CIQ($G787,$S787,W104,Valuation_Date_GC,ReportType,DataMode,$H787)*Scale=0,"--",_xll.ciqfunctions.udf.CIQ($G787,$S787,W104,Valuation_Date_GC,ReportType,DataMode,$H787)*Scale),"--"))</f>
        <v>--</v>
      </c>
      <c r="X787" s="2301" t="str">
        <f>IF($G787=0,"--",IFERROR(IF(_xll.ciqfunctions.udf.CIQ($G787,$S787,X104,Valuation_Date_GC,ReportType,DataMode,$H787)*Scale=0,"--",_xll.ciqfunctions.udf.CIQ($G787,$S787,X104,Valuation_Date_GC,ReportType,DataMode,$H787)*Scale),"--"))</f>
        <v>--</v>
      </c>
      <c r="Y787" s="2301" t="str">
        <f>IF($G787=0,"--",IFERROR(IF(_xll.ciqfunctions.udf.CIQ($G787,$S787,Y104,Valuation_Date_GC,ReportType,DataMode,$H787)*Scale=0,"--",_xll.ciqfunctions.udf.CIQ($G787,$S787,Y104,Valuation_Date_GC,ReportType,DataMode,$H787)*Scale),"--"))</f>
        <v>--</v>
      </c>
      <c r="Z787" s="2078" t="str">
        <f t="shared" si="192"/>
        <v/>
      </c>
    </row>
    <row r="788" spans="1:37" s="89" customFormat="1" ht="13.9">
      <c r="A788" s="269" t="str">
        <f t="shared" si="193"/>
        <v>n</v>
      </c>
      <c r="B788" s="2060"/>
      <c r="C788" s="72"/>
      <c r="D788" s="801"/>
      <c r="E788" s="1505">
        <v>6</v>
      </c>
      <c r="F788" s="21" t="str">
        <f>F$134</f>
        <v>--</v>
      </c>
      <c r="G788" s="1441">
        <f>G$134</f>
        <v>0</v>
      </c>
      <c r="H788" s="1441" t="str">
        <f>H$134</f>
        <v>--</v>
      </c>
      <c r="I788" s="1513" t="s">
        <v>815</v>
      </c>
      <c r="J788" s="2301" t="str">
        <f>IF($G788=0,"--",IFERROR(_xll.ciqfunctions.udf.CIQ($G788,$I788,J105,Valuation_Date_GC,ReportType,DataMode,$H788,FXMode)*Scale,"--"))</f>
        <v>--</v>
      </c>
      <c r="K788" s="2301" t="str">
        <f>IF($G788=0,"--",IFERROR(_xll.ciqfunctions.udf.CIQ($G788,$I788,K105,Valuation_Date_GC,ReportType,DataMode,$H788,FXMode)*Scale,"--"))</f>
        <v>--</v>
      </c>
      <c r="L788" s="2301" t="str">
        <f>IF($G788=0,"--",IFERROR(_xll.ciqfunctions.udf.CIQ($G788,$I788,L105,Valuation_Date_GC,ReportType,DataMode,$H788,FXMode)*Scale,"--"))</f>
        <v>--</v>
      </c>
      <c r="M788" s="2301" t="str">
        <f>IF($G788=0,"--",IFERROR(_xll.ciqfunctions.udf.CIQ($G788,$I788,M105,Valuation_Date_GC,ReportType,DataMode,$H788,FXMode)*Scale,"--"))</f>
        <v>--</v>
      </c>
      <c r="N788" s="2301" t="str">
        <f>IF($G788=0,"--",IFERROR(_xll.ciqfunctions.udf.CIQ($G788,$I788,N105,Valuation_Date_GC,ReportType,DataMode,$H788,FXMode)*Scale,"--"))</f>
        <v>--</v>
      </c>
      <c r="O788" s="2317" t="str">
        <f>IF($G788=0,"--",IFERROR(IF(O105=1001,_xll.ciqfunctions.udf.CIQ($G788,$S788,O105,Valuation_Date_GC,ReportType,DataMode,$H788,FXMode),_xll.ciqfunctions.udf.CIQ($G788,$I788,O105,Valuation_Date_GC,ReportType,DataMode,$H788,FXMode))*Scale,"--"))</f>
        <v>--</v>
      </c>
      <c r="P788" s="2301" t="str">
        <f>IF($G788=0,"--",IFERROR(_xll.ciqfunctions.udf.CIQ($G788,$I788,P105,Valuation_Date_GC,ReportType,DataMode,$H788,FXMode)*Scale,"--"))</f>
        <v>--</v>
      </c>
      <c r="R788" s="255"/>
      <c r="S788" s="89" t="s">
        <v>814</v>
      </c>
      <c r="T788" s="2301" t="str">
        <f>IF(H105=0,O788,IFERROR(_xll.ciqfunctions.udf.CIQ($G788,$S788,U105-1,Valuation_Date_GC,ReportType,DataMode,$H788)*Scale,"--"))</f>
        <v>--</v>
      </c>
      <c r="U788" s="2301" t="str">
        <f>IF($G788=0,"--",IFERROR(IF(_xll.ciqfunctions.udf.CIQ($G788,$S788,U105,Valuation_Date_GC,ReportType,DataMode,$H788)*Scale=0,"--",_xll.ciqfunctions.udf.CIQ($G788,$S788,U105,Valuation_Date_GC,ReportType,DataMode,$H788)*Scale),"--"))</f>
        <v>--</v>
      </c>
      <c r="V788" s="2301" t="str">
        <f>IF($G788=0,"--",IFERROR(IF(_xll.ciqfunctions.udf.CIQ($G788,$S788,V105,Valuation_Date_GC,ReportType,DataMode,$H788)*Scale=0,"--",_xll.ciqfunctions.udf.CIQ($G788,$S788,V105,Valuation_Date_GC,ReportType,DataMode,$H788)*Scale),"--"))</f>
        <v>--</v>
      </c>
      <c r="W788" s="2301" t="str">
        <f>IF($G788=0,"--",IFERROR(IF(_xll.ciqfunctions.udf.CIQ($G788,$S788,W105,Valuation_Date_GC,ReportType,DataMode,$H788)*Scale=0,"--",_xll.ciqfunctions.udf.CIQ($G788,$S788,W105,Valuation_Date_GC,ReportType,DataMode,$H788)*Scale),"--"))</f>
        <v>--</v>
      </c>
      <c r="X788" s="2301" t="str">
        <f>IF($G788=0,"--",IFERROR(IF(_xll.ciqfunctions.udf.CIQ($G788,$S788,X105,Valuation_Date_GC,ReportType,DataMode,$H788)*Scale=0,"--",_xll.ciqfunctions.udf.CIQ($G788,$S788,X105,Valuation_Date_GC,ReportType,DataMode,$H788)*Scale),"--"))</f>
        <v>--</v>
      </c>
      <c r="Y788" s="2301" t="str">
        <f>IF($G788=0,"--",IFERROR(IF(_xll.ciqfunctions.udf.CIQ($G788,$S788,Y105,Valuation_Date_GC,ReportType,DataMode,$H788)*Scale=0,"--",_xll.ciqfunctions.udf.CIQ($G788,$S788,Y105,Valuation_Date_GC,ReportType,DataMode,$H788)*Scale),"--"))</f>
        <v>--</v>
      </c>
      <c r="Z788" s="2078" t="str">
        <f t="shared" si="192"/>
        <v/>
      </c>
    </row>
    <row r="789" spans="1:37" s="89" customFormat="1" ht="13.9">
      <c r="A789" s="269" t="str">
        <f t="shared" si="193"/>
        <v>n</v>
      </c>
      <c r="B789" s="2060"/>
      <c r="D789" s="801"/>
      <c r="E789" s="1505">
        <v>7</v>
      </c>
      <c r="F789" s="21" t="str">
        <f>F$135</f>
        <v>--</v>
      </c>
      <c r="G789" s="1441">
        <f>G$135</f>
        <v>0</v>
      </c>
      <c r="H789" s="1441" t="str">
        <f>H$135</f>
        <v>--</v>
      </c>
      <c r="I789" s="1513" t="s">
        <v>815</v>
      </c>
      <c r="J789" s="2301" t="str">
        <f>IF($G789=0,"--",IFERROR(_xll.ciqfunctions.udf.CIQ($G789,$I789,J106,Valuation_Date_GC,ReportType,DataMode,$H789,FXMode)*Scale,"--"))</f>
        <v>--</v>
      </c>
      <c r="K789" s="2301" t="str">
        <f>IF($G789=0,"--",IFERROR(_xll.ciqfunctions.udf.CIQ($G789,$I789,K106,Valuation_Date_GC,ReportType,DataMode,$H789,FXMode)*Scale,"--"))</f>
        <v>--</v>
      </c>
      <c r="L789" s="2301" t="str">
        <f>IF($G789=0,"--",IFERROR(_xll.ciqfunctions.udf.CIQ($G789,$I789,L106,Valuation_Date_GC,ReportType,DataMode,$H789,FXMode)*Scale,"--"))</f>
        <v>--</v>
      </c>
      <c r="M789" s="2301" t="str">
        <f>IF($G789=0,"--",IFERROR(_xll.ciqfunctions.udf.CIQ($G789,$I789,M106,Valuation_Date_GC,ReportType,DataMode,$H789,FXMode)*Scale,"--"))</f>
        <v>--</v>
      </c>
      <c r="N789" s="2301" t="str">
        <f>IF($G789=0,"--",IFERROR(_xll.ciqfunctions.udf.CIQ($G789,$I789,N106,Valuation_Date_GC,ReportType,DataMode,$H789,FXMode)*Scale,"--"))</f>
        <v>--</v>
      </c>
      <c r="O789" s="2317" t="str">
        <f>IF($G789=0,"--",IFERROR(IF(O106=1001,_xll.ciqfunctions.udf.CIQ($G789,$S789,O106,Valuation_Date_GC,ReportType,DataMode,$H789,FXMode),_xll.ciqfunctions.udf.CIQ($G789,$I789,O106,Valuation_Date_GC,ReportType,DataMode,$H789,FXMode))*Scale,"--"))</f>
        <v>--</v>
      </c>
      <c r="P789" s="2301" t="str">
        <f>IF($G789=0,"--",IFERROR(_xll.ciqfunctions.udf.CIQ($G789,$I789,P106,Valuation_Date_GC,ReportType,DataMode,$H789,FXMode)*Scale,"--"))</f>
        <v>--</v>
      </c>
      <c r="R789" s="255"/>
      <c r="S789" s="89" t="s">
        <v>814</v>
      </c>
      <c r="T789" s="2301" t="str">
        <f>IF(H106=0,O789,IFERROR(_xll.ciqfunctions.udf.CIQ($G789,$S789,U106-1,Valuation_Date_GC,ReportType,DataMode,$H789)*Scale,"--"))</f>
        <v>--</v>
      </c>
      <c r="U789" s="2301" t="str">
        <f>IF($G789=0,"--",IFERROR(IF(_xll.ciqfunctions.udf.CIQ($G789,$S789,U106,Valuation_Date_GC,ReportType,DataMode,$H789)*Scale=0,"--",_xll.ciqfunctions.udf.CIQ($G789,$S789,U106,Valuation_Date_GC,ReportType,DataMode,$H789)*Scale),"--"))</f>
        <v>--</v>
      </c>
      <c r="V789" s="2301" t="str">
        <f>IF($G789=0,"--",IFERROR(IF(_xll.ciqfunctions.udf.CIQ($G789,$S789,V106,Valuation_Date_GC,ReportType,DataMode,$H789)*Scale=0,"--",_xll.ciqfunctions.udf.CIQ($G789,$S789,V106,Valuation_Date_GC,ReportType,DataMode,$H789)*Scale),"--"))</f>
        <v>--</v>
      </c>
      <c r="W789" s="2301" t="str">
        <f>IF($G789=0,"--",IFERROR(IF(_xll.ciqfunctions.udf.CIQ($G789,$S789,W106,Valuation_Date_GC,ReportType,DataMode,$H789)*Scale=0,"--",_xll.ciqfunctions.udf.CIQ($G789,$S789,W106,Valuation_Date_GC,ReportType,DataMode,$H789)*Scale),"--"))</f>
        <v>--</v>
      </c>
      <c r="X789" s="2301" t="str">
        <f>IF($G789=0,"--",IFERROR(IF(_xll.ciqfunctions.udf.CIQ($G789,$S789,X106,Valuation_Date_GC,ReportType,DataMode,$H789)*Scale=0,"--",_xll.ciqfunctions.udf.CIQ($G789,$S789,X106,Valuation_Date_GC,ReportType,DataMode,$H789)*Scale),"--"))</f>
        <v>--</v>
      </c>
      <c r="Y789" s="2301" t="str">
        <f>IF($G789=0,"--",IFERROR(IF(_xll.ciqfunctions.udf.CIQ($G789,$S789,Y106,Valuation_Date_GC,ReportType,DataMode,$H789)*Scale=0,"--",_xll.ciqfunctions.udf.CIQ($G789,$S789,Y106,Valuation_Date_GC,ReportType,DataMode,$H789)*Scale),"--"))</f>
        <v>--</v>
      </c>
      <c r="Z789" s="2078" t="str">
        <f t="shared" si="192"/>
        <v/>
      </c>
      <c r="AH789" s="92"/>
      <c r="AI789" s="92"/>
      <c r="AJ789" s="92"/>
      <c r="AK789" s="92"/>
    </row>
    <row r="790" spans="1:37" s="89" customFormat="1" ht="13.9">
      <c r="A790" s="269" t="str">
        <f t="shared" si="193"/>
        <v>n</v>
      </c>
      <c r="B790" s="2060"/>
      <c r="D790" s="801"/>
      <c r="E790" s="1505">
        <v>8</v>
      </c>
      <c r="F790" s="21" t="str">
        <f>F$136</f>
        <v>--</v>
      </c>
      <c r="G790" s="1441">
        <f>G$136</f>
        <v>0</v>
      </c>
      <c r="H790" s="1441" t="str">
        <f>H$136</f>
        <v>--</v>
      </c>
      <c r="I790" s="1513" t="s">
        <v>815</v>
      </c>
      <c r="J790" s="2301" t="str">
        <f>IF($G790=0,"--",IFERROR(_xll.ciqfunctions.udf.CIQ($G790,$I790,J107,Valuation_Date_GC,ReportType,DataMode,$H790,FXMode)*Scale,"--"))</f>
        <v>--</v>
      </c>
      <c r="K790" s="2301" t="str">
        <f>IF($G790=0,"--",IFERROR(_xll.ciqfunctions.udf.CIQ($G790,$I790,K107,Valuation_Date_GC,ReportType,DataMode,$H790,FXMode)*Scale,"--"))</f>
        <v>--</v>
      </c>
      <c r="L790" s="2301" t="str">
        <f>IF($G790=0,"--",IFERROR(_xll.ciqfunctions.udf.CIQ($G790,$I790,L107,Valuation_Date_GC,ReportType,DataMode,$H790,FXMode)*Scale,"--"))</f>
        <v>--</v>
      </c>
      <c r="M790" s="2301" t="str">
        <f>IF($G790=0,"--",IFERROR(_xll.ciqfunctions.udf.CIQ($G790,$I790,M107,Valuation_Date_GC,ReportType,DataMode,$H790,FXMode)*Scale,"--"))</f>
        <v>--</v>
      </c>
      <c r="N790" s="2301" t="str">
        <f>IF($G790=0,"--",IFERROR(_xll.ciqfunctions.udf.CIQ($G790,$I790,N107,Valuation_Date_GC,ReportType,DataMode,$H790,FXMode)*Scale,"--"))</f>
        <v>--</v>
      </c>
      <c r="O790" s="2317" t="str">
        <f>IF($G790=0,"--",IFERROR(IF(O107=1001,_xll.ciqfunctions.udf.CIQ($G790,$S790,O107,Valuation_Date_GC,ReportType,DataMode,$H790,FXMode),_xll.ciqfunctions.udf.CIQ($G790,$I790,O107,Valuation_Date_GC,ReportType,DataMode,$H790,FXMode))*Scale,"--"))</f>
        <v>--</v>
      </c>
      <c r="P790" s="2301" t="str">
        <f>IF($G790=0,"--",IFERROR(_xll.ciqfunctions.udf.CIQ($G790,$I790,P107,Valuation_Date_GC,ReportType,DataMode,$H790,FXMode)*Scale,"--"))</f>
        <v>--</v>
      </c>
      <c r="R790" s="255"/>
      <c r="S790" s="89" t="s">
        <v>814</v>
      </c>
      <c r="T790" s="2301" t="str">
        <f>IF(H107=0,O790,IFERROR(_xll.ciqfunctions.udf.CIQ($G790,$S790,U107-1,Valuation_Date_GC,ReportType,DataMode,$H790)*Scale,"--"))</f>
        <v>--</v>
      </c>
      <c r="U790" s="2301" t="str">
        <f>IF($G790=0,"--",IFERROR(IF(_xll.ciqfunctions.udf.CIQ($G790,$S790,U107,Valuation_Date_GC,ReportType,DataMode,$H790)*Scale=0,"--",_xll.ciqfunctions.udf.CIQ($G790,$S790,U107,Valuation_Date_GC,ReportType,DataMode,$H790)*Scale),"--"))</f>
        <v>--</v>
      </c>
      <c r="V790" s="2301" t="str">
        <f>IF($G790=0,"--",IFERROR(IF(_xll.ciqfunctions.udf.CIQ($G790,$S790,V107,Valuation_Date_GC,ReportType,DataMode,$H790)*Scale=0,"--",_xll.ciqfunctions.udf.CIQ($G790,$S790,V107,Valuation_Date_GC,ReportType,DataMode,$H790)*Scale),"--"))</f>
        <v>--</v>
      </c>
      <c r="W790" s="2301" t="str">
        <f>IF($G790=0,"--",IFERROR(IF(_xll.ciqfunctions.udf.CIQ($G790,$S790,W107,Valuation_Date_GC,ReportType,DataMode,$H790)*Scale=0,"--",_xll.ciqfunctions.udf.CIQ($G790,$S790,W107,Valuation_Date_GC,ReportType,DataMode,$H790)*Scale),"--"))</f>
        <v>--</v>
      </c>
      <c r="X790" s="2301" t="str">
        <f>IF($G790=0,"--",IFERROR(IF(_xll.ciqfunctions.udf.CIQ($G790,$S790,X107,Valuation_Date_GC,ReportType,DataMode,$H790)*Scale=0,"--",_xll.ciqfunctions.udf.CIQ($G790,$S790,X107,Valuation_Date_GC,ReportType,DataMode,$H790)*Scale),"--"))</f>
        <v>--</v>
      </c>
      <c r="Y790" s="2301" t="str">
        <f>IF($G790=0,"--",IFERROR(IF(_xll.ciqfunctions.udf.CIQ($G790,$S790,Y107,Valuation_Date_GC,ReportType,DataMode,$H790)*Scale=0,"--",_xll.ciqfunctions.udf.CIQ($G790,$S790,Y107,Valuation_Date_GC,ReportType,DataMode,$H790)*Scale),"--"))</f>
        <v>--</v>
      </c>
      <c r="Z790" s="2078" t="str">
        <f t="shared" si="192"/>
        <v/>
      </c>
      <c r="AG790" s="92"/>
    </row>
    <row r="791" spans="1:37" s="89" customFormat="1" ht="13.9">
      <c r="A791" s="269" t="str">
        <f t="shared" si="193"/>
        <v>n</v>
      </c>
      <c r="B791" s="2060"/>
      <c r="D791" s="801"/>
      <c r="E791" s="1505">
        <v>9</v>
      </c>
      <c r="F791" s="21" t="str">
        <f>F$137</f>
        <v>--</v>
      </c>
      <c r="G791" s="1441">
        <f>G$137</f>
        <v>0</v>
      </c>
      <c r="H791" s="1441" t="str">
        <f>H$137</f>
        <v>--</v>
      </c>
      <c r="I791" s="1513" t="s">
        <v>815</v>
      </c>
      <c r="J791" s="2301" t="str">
        <f>IF($G791=0,"--",IFERROR(_xll.ciqfunctions.udf.CIQ($G791,$I791,J108,Valuation_Date_GC,ReportType,DataMode,$H791,FXMode)*Scale,"--"))</f>
        <v>--</v>
      </c>
      <c r="K791" s="2301" t="str">
        <f>IF($G791=0,"--",IFERROR(_xll.ciqfunctions.udf.CIQ($G791,$I791,K108,Valuation_Date_GC,ReportType,DataMode,$H791,FXMode)*Scale,"--"))</f>
        <v>--</v>
      </c>
      <c r="L791" s="2301" t="str">
        <f>IF($G791=0,"--",IFERROR(_xll.ciqfunctions.udf.CIQ($G791,$I791,L108,Valuation_Date_GC,ReportType,DataMode,$H791,FXMode)*Scale,"--"))</f>
        <v>--</v>
      </c>
      <c r="M791" s="2301" t="str">
        <f>IF($G791=0,"--",IFERROR(_xll.ciqfunctions.udf.CIQ($G791,$I791,M108,Valuation_Date_GC,ReportType,DataMode,$H791,FXMode)*Scale,"--"))</f>
        <v>--</v>
      </c>
      <c r="N791" s="2301" t="str">
        <f>IF($G791=0,"--",IFERROR(_xll.ciqfunctions.udf.CIQ($G791,$I791,N108,Valuation_Date_GC,ReportType,DataMode,$H791,FXMode)*Scale,"--"))</f>
        <v>--</v>
      </c>
      <c r="O791" s="2317" t="str">
        <f>IF($G791=0,"--",IFERROR(IF(O108=1001,_xll.ciqfunctions.udf.CIQ($G791,$S791,O108,Valuation_Date_GC,ReportType,DataMode,$H791,FXMode),_xll.ciqfunctions.udf.CIQ($G791,$I791,O108,Valuation_Date_GC,ReportType,DataMode,$H791,FXMode))*Scale,"--"))</f>
        <v>--</v>
      </c>
      <c r="P791" s="2301" t="str">
        <f>IF($G791=0,"--",IFERROR(_xll.ciqfunctions.udf.CIQ($G791,$I791,P108,Valuation_Date_GC,ReportType,DataMode,$H791,FXMode)*Scale,"--"))</f>
        <v>--</v>
      </c>
      <c r="R791" s="255"/>
      <c r="S791" s="89" t="s">
        <v>814</v>
      </c>
      <c r="T791" s="2301" t="str">
        <f>IF(H108=0,O791,IFERROR(_xll.ciqfunctions.udf.CIQ($G791,$S791,U108-1,Valuation_Date_GC,ReportType,DataMode,$H791)*Scale,"--"))</f>
        <v>--</v>
      </c>
      <c r="U791" s="2301" t="str">
        <f>IF($G791=0,"--",IFERROR(IF(_xll.ciqfunctions.udf.CIQ($G791,$S791,U108,Valuation_Date_GC,ReportType,DataMode,$H791)*Scale=0,"--",_xll.ciqfunctions.udf.CIQ($G791,$S791,U108,Valuation_Date_GC,ReportType,DataMode,$H791)*Scale),"--"))</f>
        <v>--</v>
      </c>
      <c r="V791" s="2301" t="str">
        <f>IF($G791=0,"--",IFERROR(IF(_xll.ciqfunctions.udf.CIQ($G791,$S791,V108,Valuation_Date_GC,ReportType,DataMode,$H791)*Scale=0,"--",_xll.ciqfunctions.udf.CIQ($G791,$S791,V108,Valuation_Date_GC,ReportType,DataMode,$H791)*Scale),"--"))</f>
        <v>--</v>
      </c>
      <c r="W791" s="2301" t="str">
        <f>IF($G791=0,"--",IFERROR(IF(_xll.ciqfunctions.udf.CIQ($G791,$S791,W108,Valuation_Date_GC,ReportType,DataMode,$H791)*Scale=0,"--",_xll.ciqfunctions.udf.CIQ($G791,$S791,W108,Valuation_Date_GC,ReportType,DataMode,$H791)*Scale),"--"))</f>
        <v>--</v>
      </c>
      <c r="X791" s="2301" t="str">
        <f>IF($G791=0,"--",IFERROR(IF(_xll.ciqfunctions.udf.CIQ($G791,$S791,X108,Valuation_Date_GC,ReportType,DataMode,$H791)*Scale=0,"--",_xll.ciqfunctions.udf.CIQ($G791,$S791,X108,Valuation_Date_GC,ReportType,DataMode,$H791)*Scale),"--"))</f>
        <v>--</v>
      </c>
      <c r="Y791" s="2301" t="str">
        <f>IF($G791=0,"--",IFERROR(IF(_xll.ciqfunctions.udf.CIQ($G791,$S791,Y108,Valuation_Date_GC,ReportType,DataMode,$H791)*Scale=0,"--",_xll.ciqfunctions.udf.CIQ($G791,$S791,Y108,Valuation_Date_GC,ReportType,DataMode,$H791)*Scale),"--"))</f>
        <v>--</v>
      </c>
      <c r="Z791" s="2078" t="str">
        <f t="shared" si="192"/>
        <v/>
      </c>
    </row>
    <row r="792" spans="1:37" s="89" customFormat="1" ht="13.9">
      <c r="A792" s="269" t="str">
        <f t="shared" si="193"/>
        <v>n</v>
      </c>
      <c r="B792" s="2060"/>
      <c r="D792" s="801"/>
      <c r="E792" s="1505">
        <v>10</v>
      </c>
      <c r="F792" s="21" t="str">
        <f>F$138</f>
        <v>--</v>
      </c>
      <c r="G792" s="1441">
        <f>G$138</f>
        <v>0</v>
      </c>
      <c r="H792" s="1441" t="str">
        <f>H$138</f>
        <v>--</v>
      </c>
      <c r="I792" s="1513" t="s">
        <v>815</v>
      </c>
      <c r="J792" s="2301" t="str">
        <f>IF($G792=0,"--",IFERROR(_xll.ciqfunctions.udf.CIQ($G792,$I792,J109,Valuation_Date_GC,ReportType,DataMode,$H792,FXMode)*Scale,"--"))</f>
        <v>--</v>
      </c>
      <c r="K792" s="2301" t="str">
        <f>IF($G792=0,"--",IFERROR(_xll.ciqfunctions.udf.CIQ($G792,$I792,K109,Valuation_Date_GC,ReportType,DataMode,$H792,FXMode)*Scale,"--"))</f>
        <v>--</v>
      </c>
      <c r="L792" s="2301" t="str">
        <f>IF($G792=0,"--",IFERROR(_xll.ciqfunctions.udf.CIQ($G792,$I792,L109,Valuation_Date_GC,ReportType,DataMode,$H792,FXMode)*Scale,"--"))</f>
        <v>--</v>
      </c>
      <c r="M792" s="2301" t="str">
        <f>IF($G792=0,"--",IFERROR(_xll.ciqfunctions.udf.CIQ($G792,$I792,M109,Valuation_Date_GC,ReportType,DataMode,$H792,FXMode)*Scale,"--"))</f>
        <v>--</v>
      </c>
      <c r="N792" s="2301" t="str">
        <f>IF($G792=0,"--",IFERROR(_xll.ciqfunctions.udf.CIQ($G792,$I792,N109,Valuation_Date_GC,ReportType,DataMode,$H792,FXMode)*Scale,"--"))</f>
        <v>--</v>
      </c>
      <c r="O792" s="2317" t="str">
        <f>IF($G792=0,"--",IFERROR(IF(O109=1001,_xll.ciqfunctions.udf.CIQ($G792,$S792,O109,Valuation_Date_GC,ReportType,DataMode,$H792,FXMode),_xll.ciqfunctions.udf.CIQ($G792,$I792,O109,Valuation_Date_GC,ReportType,DataMode,$H792,FXMode))*Scale,"--"))</f>
        <v>--</v>
      </c>
      <c r="P792" s="2301" t="str">
        <f>IF($G792=0,"--",IFERROR(_xll.ciqfunctions.udf.CIQ($G792,$I792,P109,Valuation_Date_GC,ReportType,DataMode,$H792,FXMode)*Scale,"--"))</f>
        <v>--</v>
      </c>
      <c r="R792" s="255"/>
      <c r="S792" s="89" t="s">
        <v>814</v>
      </c>
      <c r="T792" s="2301" t="str">
        <f>IF(H109=0,O792,IFERROR(_xll.ciqfunctions.udf.CIQ($G792,$S792,U109-1,Valuation_Date_GC,ReportType,DataMode,$H792)*Scale,"--"))</f>
        <v>--</v>
      </c>
      <c r="U792" s="2301" t="str">
        <f>IF($G792=0,"--",IFERROR(IF(_xll.ciqfunctions.udf.CIQ($G792,$S792,U109,Valuation_Date_GC,ReportType,DataMode,$H792)*Scale=0,"--",_xll.ciqfunctions.udf.CIQ($G792,$S792,U109,Valuation_Date_GC,ReportType,DataMode,$H792)*Scale),"--"))</f>
        <v>--</v>
      </c>
      <c r="V792" s="2301" t="str">
        <f>IF($G792=0,"--",IFERROR(IF(_xll.ciqfunctions.udf.CIQ($G792,$S792,V109,Valuation_Date_GC,ReportType,DataMode,$H792)*Scale=0,"--",_xll.ciqfunctions.udf.CIQ($G792,$S792,V109,Valuation_Date_GC,ReportType,DataMode,$H792)*Scale),"--"))</f>
        <v>--</v>
      </c>
      <c r="W792" s="2301" t="str">
        <f>IF($G792=0,"--",IFERROR(IF(_xll.ciqfunctions.udf.CIQ($G792,$S792,W109,Valuation_Date_GC,ReportType,DataMode,$H792)*Scale=0,"--",_xll.ciqfunctions.udf.CIQ($G792,$S792,W109,Valuation_Date_GC,ReportType,DataMode,$H792)*Scale),"--"))</f>
        <v>--</v>
      </c>
      <c r="X792" s="2301" t="str">
        <f>IF($G792=0,"--",IFERROR(IF(_xll.ciqfunctions.udf.CIQ($G792,$S792,X109,Valuation_Date_GC,ReportType,DataMode,$H792)*Scale=0,"--",_xll.ciqfunctions.udf.CIQ($G792,$S792,X109,Valuation_Date_GC,ReportType,DataMode,$H792)*Scale),"--"))</f>
        <v>--</v>
      </c>
      <c r="Y792" s="2301" t="str">
        <f>IF($G792=0,"--",IFERROR(IF(_xll.ciqfunctions.udf.CIQ($G792,$S792,Y109,Valuation_Date_GC,ReportType,DataMode,$H792)*Scale=0,"--",_xll.ciqfunctions.udf.CIQ($G792,$S792,Y109,Valuation_Date_GC,ReportType,DataMode,$H792)*Scale),"--"))</f>
        <v>--</v>
      </c>
      <c r="Z792" s="2078" t="str">
        <f t="shared" si="192"/>
        <v/>
      </c>
    </row>
    <row r="793" spans="1:37" s="89" customFormat="1" ht="13.9">
      <c r="A793" s="269" t="str">
        <f t="shared" si="193"/>
        <v>n</v>
      </c>
      <c r="B793" s="2060"/>
      <c r="D793" s="801"/>
      <c r="E793" s="1505">
        <v>11</v>
      </c>
      <c r="F793" s="21" t="str">
        <f>F$139</f>
        <v>--</v>
      </c>
      <c r="G793" s="1441">
        <f>G$139</f>
        <v>0</v>
      </c>
      <c r="H793" s="1441" t="str">
        <f>H$139</f>
        <v>--</v>
      </c>
      <c r="I793" s="1513" t="s">
        <v>815</v>
      </c>
      <c r="J793" s="2301" t="str">
        <f>IF($G793=0,"--",IFERROR(_xll.ciqfunctions.udf.CIQ($G793,$I793,J110,Valuation_Date_GC,ReportType,DataMode,$H793,FXMode)*Scale,"--"))</f>
        <v>--</v>
      </c>
      <c r="K793" s="2301" t="str">
        <f>IF($G793=0,"--",IFERROR(_xll.ciqfunctions.udf.CIQ($G793,$I793,K110,Valuation_Date_GC,ReportType,DataMode,$H793,FXMode)*Scale,"--"))</f>
        <v>--</v>
      </c>
      <c r="L793" s="2301" t="str">
        <f>IF($G793=0,"--",IFERROR(_xll.ciqfunctions.udf.CIQ($G793,$I793,L110,Valuation_Date_GC,ReportType,DataMode,$H793,FXMode)*Scale,"--"))</f>
        <v>--</v>
      </c>
      <c r="M793" s="2301" t="str">
        <f>IF($G793=0,"--",IFERROR(_xll.ciqfunctions.udf.CIQ($G793,$I793,M110,Valuation_Date_GC,ReportType,DataMode,$H793,FXMode)*Scale,"--"))</f>
        <v>--</v>
      </c>
      <c r="N793" s="2301" t="str">
        <f>IF($G793=0,"--",IFERROR(_xll.ciqfunctions.udf.CIQ($G793,$I793,N110,Valuation_Date_GC,ReportType,DataMode,$H793,FXMode)*Scale,"--"))</f>
        <v>--</v>
      </c>
      <c r="O793" s="2317" t="str">
        <f>IF($G793=0,"--",IFERROR(IF(O110=1001,_xll.ciqfunctions.udf.CIQ($G793,$S793,O110,Valuation_Date_GC,ReportType,DataMode,$H793,FXMode),_xll.ciqfunctions.udf.CIQ($G793,$I793,O110,Valuation_Date_GC,ReportType,DataMode,$H793,FXMode))*Scale,"--"))</f>
        <v>--</v>
      </c>
      <c r="P793" s="2301" t="str">
        <f>IF($G793=0,"--",IFERROR(_xll.ciqfunctions.udf.CIQ($G793,$I793,P110,Valuation_Date_GC,ReportType,DataMode,$H793,FXMode)*Scale,"--"))</f>
        <v>--</v>
      </c>
      <c r="R793" s="255"/>
      <c r="S793" s="89" t="s">
        <v>814</v>
      </c>
      <c r="T793" s="2301" t="str">
        <f>IF(H110=0,O793,IFERROR(_xll.ciqfunctions.udf.CIQ($G793,$S793,U110-1,Valuation_Date_GC,ReportType,DataMode,$H793)*Scale,"--"))</f>
        <v>--</v>
      </c>
      <c r="U793" s="2301" t="str">
        <f>IF($G793=0,"--",IFERROR(IF(_xll.ciqfunctions.udf.CIQ($G793,$S793,U110,Valuation_Date_GC,ReportType,DataMode,$H793)*Scale=0,"--",_xll.ciqfunctions.udf.CIQ($G793,$S793,U110,Valuation_Date_GC,ReportType,DataMode,$H793)*Scale),"--"))</f>
        <v>--</v>
      </c>
      <c r="V793" s="2301" t="str">
        <f>IF($G793=0,"--",IFERROR(IF(_xll.ciqfunctions.udf.CIQ($G793,$S793,V110,Valuation_Date_GC,ReportType,DataMode,$H793)*Scale=0,"--",_xll.ciqfunctions.udf.CIQ($G793,$S793,V110,Valuation_Date_GC,ReportType,DataMode,$H793)*Scale),"--"))</f>
        <v>--</v>
      </c>
      <c r="W793" s="2301" t="str">
        <f>IF($G793=0,"--",IFERROR(IF(_xll.ciqfunctions.udf.CIQ($G793,$S793,W110,Valuation_Date_GC,ReportType,DataMode,$H793)*Scale=0,"--",_xll.ciqfunctions.udf.CIQ($G793,$S793,W110,Valuation_Date_GC,ReportType,DataMode,$H793)*Scale),"--"))</f>
        <v>--</v>
      </c>
      <c r="X793" s="2301" t="str">
        <f>IF($G793=0,"--",IFERROR(IF(_xll.ciqfunctions.udf.CIQ($G793,$S793,X110,Valuation_Date_GC,ReportType,DataMode,$H793)*Scale=0,"--",_xll.ciqfunctions.udf.CIQ($G793,$S793,X110,Valuation_Date_GC,ReportType,DataMode,$H793)*Scale),"--"))</f>
        <v>--</v>
      </c>
      <c r="Y793" s="2301" t="str">
        <f>IF($G793=0,"--",IFERROR(IF(_xll.ciqfunctions.udf.CIQ($G793,$S793,Y110,Valuation_Date_GC,ReportType,DataMode,$H793)*Scale=0,"--",_xll.ciqfunctions.udf.CIQ($G793,$S793,Y110,Valuation_Date_GC,ReportType,DataMode,$H793)*Scale),"--"))</f>
        <v>--</v>
      </c>
      <c r="Z793" s="2078" t="str">
        <f t="shared" si="192"/>
        <v/>
      </c>
    </row>
    <row r="794" spans="1:37" s="89" customFormat="1" ht="13.9">
      <c r="A794" s="269" t="str">
        <f t="shared" si="193"/>
        <v>n</v>
      </c>
      <c r="B794" s="2060"/>
      <c r="D794" s="801"/>
      <c r="E794" s="1505">
        <v>12</v>
      </c>
      <c r="F794" s="21" t="str">
        <f>F$140</f>
        <v>--</v>
      </c>
      <c r="G794" s="1441">
        <f>G$140</f>
        <v>0</v>
      </c>
      <c r="H794" s="1441" t="str">
        <f>H$140</f>
        <v>--</v>
      </c>
      <c r="I794" s="1513" t="s">
        <v>815</v>
      </c>
      <c r="J794" s="2301" t="str">
        <f>IF($G794=0,"--",IFERROR(_xll.ciqfunctions.udf.CIQ($G794,$I794,J111,Valuation_Date_GC,ReportType,DataMode,$H794,FXMode)*Scale,"--"))</f>
        <v>--</v>
      </c>
      <c r="K794" s="2301" t="str">
        <f>IF($G794=0,"--",IFERROR(_xll.ciqfunctions.udf.CIQ($G794,$I794,K111,Valuation_Date_GC,ReportType,DataMode,$H794,FXMode)*Scale,"--"))</f>
        <v>--</v>
      </c>
      <c r="L794" s="2301" t="str">
        <f>IF($G794=0,"--",IFERROR(_xll.ciqfunctions.udf.CIQ($G794,$I794,L111,Valuation_Date_GC,ReportType,DataMode,$H794,FXMode)*Scale,"--"))</f>
        <v>--</v>
      </c>
      <c r="M794" s="2301" t="str">
        <f>IF($G794=0,"--",IFERROR(_xll.ciqfunctions.udf.CIQ($G794,$I794,M111,Valuation_Date_GC,ReportType,DataMode,$H794,FXMode)*Scale,"--"))</f>
        <v>--</v>
      </c>
      <c r="N794" s="2301" t="str">
        <f>IF($G794=0,"--",IFERROR(_xll.ciqfunctions.udf.CIQ($G794,$I794,N111,Valuation_Date_GC,ReportType,DataMode,$H794,FXMode)*Scale,"--"))</f>
        <v>--</v>
      </c>
      <c r="O794" s="2317" t="str">
        <f>IF($G794=0,"--",IFERROR(IF(O111=1001,_xll.ciqfunctions.udf.CIQ($G794,$S794,O111,Valuation_Date_GC,ReportType,DataMode,$H794,FXMode),_xll.ciqfunctions.udf.CIQ($G794,$I794,O111,Valuation_Date_GC,ReportType,DataMode,$H794,FXMode))*Scale,"--"))</f>
        <v>--</v>
      </c>
      <c r="P794" s="2301" t="str">
        <f>IF($G794=0,"--",IFERROR(_xll.ciqfunctions.udf.CIQ($G794,$I794,P111,Valuation_Date_GC,ReportType,DataMode,$H794,FXMode)*Scale,"--"))</f>
        <v>--</v>
      </c>
      <c r="R794" s="255"/>
      <c r="S794" s="89" t="s">
        <v>814</v>
      </c>
      <c r="T794" s="2301" t="str">
        <f>IF(H111=0,O794,IFERROR(_xll.ciqfunctions.udf.CIQ($G794,$S794,U111-1,Valuation_Date_GC,ReportType,DataMode,$H794)*Scale,"--"))</f>
        <v>--</v>
      </c>
      <c r="U794" s="2301" t="str">
        <f>IF($G794=0,"--",IFERROR(IF(_xll.ciqfunctions.udf.CIQ($G794,$S794,U111,Valuation_Date_GC,ReportType,DataMode,$H794)*Scale=0,"--",_xll.ciqfunctions.udf.CIQ($G794,$S794,U111,Valuation_Date_GC,ReportType,DataMode,$H794)*Scale),"--"))</f>
        <v>--</v>
      </c>
      <c r="V794" s="2301" t="str">
        <f>IF($G794=0,"--",IFERROR(IF(_xll.ciqfunctions.udf.CIQ($G794,$S794,V111,Valuation_Date_GC,ReportType,DataMode,$H794)*Scale=0,"--",_xll.ciqfunctions.udf.CIQ($G794,$S794,V111,Valuation_Date_GC,ReportType,DataMode,$H794)*Scale),"--"))</f>
        <v>--</v>
      </c>
      <c r="W794" s="2301" t="str">
        <f>IF($G794=0,"--",IFERROR(IF(_xll.ciqfunctions.udf.CIQ($G794,$S794,W111,Valuation_Date_GC,ReportType,DataMode,$H794)*Scale=0,"--",_xll.ciqfunctions.udf.CIQ($G794,$S794,W111,Valuation_Date_GC,ReportType,DataMode,$H794)*Scale),"--"))</f>
        <v>--</v>
      </c>
      <c r="X794" s="2301" t="str">
        <f>IF($G794=0,"--",IFERROR(IF(_xll.ciqfunctions.udf.CIQ($G794,$S794,X111,Valuation_Date_GC,ReportType,DataMode,$H794)*Scale=0,"--",_xll.ciqfunctions.udf.CIQ($G794,$S794,X111,Valuation_Date_GC,ReportType,DataMode,$H794)*Scale),"--"))</f>
        <v>--</v>
      </c>
      <c r="Y794" s="2301" t="str">
        <f>IF($G794=0,"--",IFERROR(IF(_xll.ciqfunctions.udf.CIQ($G794,$S794,Y111,Valuation_Date_GC,ReportType,DataMode,$H794)*Scale=0,"--",_xll.ciqfunctions.udf.CIQ($G794,$S794,Y111,Valuation_Date_GC,ReportType,DataMode,$H794)*Scale),"--"))</f>
        <v>--</v>
      </c>
      <c r="Z794" s="2078" t="str">
        <f t="shared" si="192"/>
        <v/>
      </c>
    </row>
    <row r="795" spans="1:37" s="89" customFormat="1" ht="13.9">
      <c r="A795" s="269" t="str">
        <f t="shared" si="193"/>
        <v>n</v>
      </c>
      <c r="B795" s="2060"/>
      <c r="D795" s="801"/>
      <c r="E795" s="1505">
        <v>13</v>
      </c>
      <c r="F795" s="21" t="str">
        <f>F$141</f>
        <v>--</v>
      </c>
      <c r="G795" s="1441">
        <f>G$141</f>
        <v>0</v>
      </c>
      <c r="H795" s="1441" t="str">
        <f>H$141</f>
        <v>--</v>
      </c>
      <c r="I795" s="1513" t="s">
        <v>815</v>
      </c>
      <c r="J795" s="2301" t="str">
        <f>IF($G795=0,"--",IFERROR(_xll.ciqfunctions.udf.CIQ($G795,$I795,J112,Valuation_Date_GC,ReportType,DataMode,$H795,FXMode)*Scale,"--"))</f>
        <v>--</v>
      </c>
      <c r="K795" s="2301" t="str">
        <f>IF($G795=0,"--",IFERROR(_xll.ciqfunctions.udf.CIQ($G795,$I795,K112,Valuation_Date_GC,ReportType,DataMode,$H795,FXMode)*Scale,"--"))</f>
        <v>--</v>
      </c>
      <c r="L795" s="2301" t="str">
        <f>IF($G795=0,"--",IFERROR(_xll.ciqfunctions.udf.CIQ($G795,$I795,L112,Valuation_Date_GC,ReportType,DataMode,$H795,FXMode)*Scale,"--"))</f>
        <v>--</v>
      </c>
      <c r="M795" s="2301" t="str">
        <f>IF($G795=0,"--",IFERROR(_xll.ciqfunctions.udf.CIQ($G795,$I795,M112,Valuation_Date_GC,ReportType,DataMode,$H795,FXMode)*Scale,"--"))</f>
        <v>--</v>
      </c>
      <c r="N795" s="2301" t="str">
        <f>IF($G795=0,"--",IFERROR(_xll.ciqfunctions.udf.CIQ($G795,$I795,N112,Valuation_Date_GC,ReportType,DataMode,$H795,FXMode)*Scale,"--"))</f>
        <v>--</v>
      </c>
      <c r="O795" s="2317" t="str">
        <f>IF($G795=0,"--",IFERROR(IF(O112=1001,_xll.ciqfunctions.udf.CIQ($G795,$S795,O112,Valuation_Date_GC,ReportType,DataMode,$H795,FXMode),_xll.ciqfunctions.udf.CIQ($G795,$I795,O112,Valuation_Date_GC,ReportType,DataMode,$H795,FXMode))*Scale,"--"))</f>
        <v>--</v>
      </c>
      <c r="P795" s="2301" t="str">
        <f>IF($G795=0,"--",IFERROR(_xll.ciqfunctions.udf.CIQ($G795,$I795,P112,Valuation_Date_GC,ReportType,DataMode,$H795,FXMode)*Scale,"--"))</f>
        <v>--</v>
      </c>
      <c r="R795" s="255"/>
      <c r="S795" s="89" t="s">
        <v>814</v>
      </c>
      <c r="T795" s="2301" t="str">
        <f>IF(H112=0,O795,IFERROR(_xll.ciqfunctions.udf.CIQ($G795,$S795,U112-1,Valuation_Date_GC,ReportType,DataMode,$H795)*Scale,"--"))</f>
        <v>--</v>
      </c>
      <c r="U795" s="2301" t="str">
        <f>IF($G795=0,"--",IFERROR(IF(_xll.ciqfunctions.udf.CIQ($G795,$S795,U112,Valuation_Date_GC,ReportType,DataMode,$H795)*Scale=0,"--",_xll.ciqfunctions.udf.CIQ($G795,$S795,U112,Valuation_Date_GC,ReportType,DataMode,$H795)*Scale),"--"))</f>
        <v>--</v>
      </c>
      <c r="V795" s="2301" t="str">
        <f>IF($G795=0,"--",IFERROR(IF(_xll.ciqfunctions.udf.CIQ($G795,$S795,V112,Valuation_Date_GC,ReportType,DataMode,$H795)*Scale=0,"--",_xll.ciqfunctions.udf.CIQ($G795,$S795,V112,Valuation_Date_GC,ReportType,DataMode,$H795)*Scale),"--"))</f>
        <v>--</v>
      </c>
      <c r="W795" s="2301" t="str">
        <f>IF($G795=0,"--",IFERROR(IF(_xll.ciqfunctions.udf.CIQ($G795,$S795,W112,Valuation_Date_GC,ReportType,DataMode,$H795)*Scale=0,"--",_xll.ciqfunctions.udf.CIQ($G795,$S795,W112,Valuation_Date_GC,ReportType,DataMode,$H795)*Scale),"--"))</f>
        <v>--</v>
      </c>
      <c r="X795" s="2301" t="str">
        <f>IF($G795=0,"--",IFERROR(IF(_xll.ciqfunctions.udf.CIQ($G795,$S795,X112,Valuation_Date_GC,ReportType,DataMode,$H795)*Scale=0,"--",_xll.ciqfunctions.udf.CIQ($G795,$S795,X112,Valuation_Date_GC,ReportType,DataMode,$H795)*Scale),"--"))</f>
        <v>--</v>
      </c>
      <c r="Y795" s="2301" t="str">
        <f>IF($G795=0,"--",IFERROR(IF(_xll.ciqfunctions.udf.CIQ($G795,$S795,Y112,Valuation_Date_GC,ReportType,DataMode,$H795)*Scale=0,"--",_xll.ciqfunctions.udf.CIQ($G795,$S795,Y112,Valuation_Date_GC,ReportType,DataMode,$H795)*Scale),"--"))</f>
        <v>--</v>
      </c>
      <c r="Z795" s="2078" t="str">
        <f t="shared" si="192"/>
        <v/>
      </c>
    </row>
    <row r="796" spans="1:37" s="89" customFormat="1" ht="13.9">
      <c r="A796" s="269" t="str">
        <f t="shared" si="193"/>
        <v>n</v>
      </c>
      <c r="B796" s="2060"/>
      <c r="D796" s="801"/>
      <c r="E796" s="1505">
        <v>14</v>
      </c>
      <c r="F796" s="21" t="str">
        <f>F$142</f>
        <v>--</v>
      </c>
      <c r="G796" s="1441">
        <f>G$142</f>
        <v>0</v>
      </c>
      <c r="H796" s="1441" t="str">
        <f>H$142</f>
        <v>--</v>
      </c>
      <c r="I796" s="1513" t="s">
        <v>815</v>
      </c>
      <c r="J796" s="2301" t="str">
        <f>IF($G796=0,"--",IFERROR(_xll.ciqfunctions.udf.CIQ($G796,$I796,J113,Valuation_Date_GC,ReportType,DataMode,$H796,FXMode)*Scale,"--"))</f>
        <v>--</v>
      </c>
      <c r="K796" s="2301" t="str">
        <f>IF($G796=0,"--",IFERROR(_xll.ciqfunctions.udf.CIQ($G796,$I796,K113,Valuation_Date_GC,ReportType,DataMode,$H796,FXMode)*Scale,"--"))</f>
        <v>--</v>
      </c>
      <c r="L796" s="2301" t="str">
        <f>IF($G796=0,"--",IFERROR(_xll.ciqfunctions.udf.CIQ($G796,$I796,L113,Valuation_Date_GC,ReportType,DataMode,$H796,FXMode)*Scale,"--"))</f>
        <v>--</v>
      </c>
      <c r="M796" s="2301" t="str">
        <f>IF($G796=0,"--",IFERROR(_xll.ciqfunctions.udf.CIQ($G796,$I796,M113,Valuation_Date_GC,ReportType,DataMode,$H796,FXMode)*Scale,"--"))</f>
        <v>--</v>
      </c>
      <c r="N796" s="2301" t="str">
        <f>IF($G796=0,"--",IFERROR(_xll.ciqfunctions.udf.CIQ($G796,$I796,N113,Valuation_Date_GC,ReportType,DataMode,$H796,FXMode)*Scale,"--"))</f>
        <v>--</v>
      </c>
      <c r="O796" s="2317" t="str">
        <f>IF($G796=0,"--",IFERROR(IF(O113=1001,_xll.ciqfunctions.udf.CIQ($G796,$S796,O113,Valuation_Date_GC,ReportType,DataMode,$H796,FXMode),_xll.ciqfunctions.udf.CIQ($G796,$I796,O113,Valuation_Date_GC,ReportType,DataMode,$H796,FXMode))*Scale,"--"))</f>
        <v>--</v>
      </c>
      <c r="P796" s="2301" t="str">
        <f>IF($G796=0,"--",IFERROR(_xll.ciqfunctions.udf.CIQ($G796,$I796,P113,Valuation_Date_GC,ReportType,DataMode,$H796,FXMode)*Scale,"--"))</f>
        <v>--</v>
      </c>
      <c r="R796" s="255"/>
      <c r="S796" s="89" t="s">
        <v>814</v>
      </c>
      <c r="T796" s="2301" t="str">
        <f>IF(H113=0,O796,IFERROR(_xll.ciqfunctions.udf.CIQ($G796,$S796,U113-1,Valuation_Date_GC,ReportType,DataMode,$H796)*Scale,"--"))</f>
        <v>--</v>
      </c>
      <c r="U796" s="2301" t="str">
        <f>IF($G796=0,"--",IFERROR(IF(_xll.ciqfunctions.udf.CIQ($G796,$S796,U113,Valuation_Date_GC,ReportType,DataMode,$H796)*Scale=0,"--",_xll.ciqfunctions.udf.CIQ($G796,$S796,U113,Valuation_Date_GC,ReportType,DataMode,$H796)*Scale),"--"))</f>
        <v>--</v>
      </c>
      <c r="V796" s="2301" t="str">
        <f>IF($G796=0,"--",IFERROR(IF(_xll.ciqfunctions.udf.CIQ($G796,$S796,V113,Valuation_Date_GC,ReportType,DataMode,$H796)*Scale=0,"--",_xll.ciqfunctions.udf.CIQ($G796,$S796,V113,Valuation_Date_GC,ReportType,DataMode,$H796)*Scale),"--"))</f>
        <v>--</v>
      </c>
      <c r="W796" s="2301" t="str">
        <f>IF($G796=0,"--",IFERROR(IF(_xll.ciqfunctions.udf.CIQ($G796,$S796,W113,Valuation_Date_GC,ReportType,DataMode,$H796)*Scale=0,"--",_xll.ciqfunctions.udf.CIQ($G796,$S796,W113,Valuation_Date_GC,ReportType,DataMode,$H796)*Scale),"--"))</f>
        <v>--</v>
      </c>
      <c r="X796" s="2301" t="str">
        <f>IF($G796=0,"--",IFERROR(IF(_xll.ciqfunctions.udf.CIQ($G796,$S796,X113,Valuation_Date_GC,ReportType,DataMode,$H796)*Scale=0,"--",_xll.ciqfunctions.udf.CIQ($G796,$S796,X113,Valuation_Date_GC,ReportType,DataMode,$H796)*Scale),"--"))</f>
        <v>--</v>
      </c>
      <c r="Y796" s="2301" t="str">
        <f>IF($G796=0,"--",IFERROR(IF(_xll.ciqfunctions.udf.CIQ($G796,$S796,Y113,Valuation_Date_GC,ReportType,DataMode,$H796)*Scale=0,"--",_xll.ciqfunctions.udf.CIQ($G796,$S796,Y113,Valuation_Date_GC,ReportType,DataMode,$H796)*Scale),"--"))</f>
        <v>--</v>
      </c>
      <c r="Z796" s="2078" t="str">
        <f t="shared" si="192"/>
        <v/>
      </c>
    </row>
    <row r="797" spans="1:37" s="89" customFormat="1" ht="13.9">
      <c r="A797" s="269" t="str">
        <f t="shared" si="193"/>
        <v>n</v>
      </c>
      <c r="B797" s="2060"/>
      <c r="D797" s="801"/>
      <c r="E797" s="1505">
        <v>15</v>
      </c>
      <c r="F797" s="21" t="str">
        <f>F$143</f>
        <v>--</v>
      </c>
      <c r="G797" s="1441">
        <f>G$143</f>
        <v>0</v>
      </c>
      <c r="H797" s="1441" t="str">
        <f>H$143</f>
        <v>--</v>
      </c>
      <c r="I797" s="1513" t="s">
        <v>815</v>
      </c>
      <c r="J797" s="2301" t="str">
        <f>IF($G797=0,"--",IFERROR(_xll.ciqfunctions.udf.CIQ($G797,$I797,J114,Valuation_Date_GC,ReportType,DataMode,$H797,FXMode)*Scale,"--"))</f>
        <v>--</v>
      </c>
      <c r="K797" s="2301" t="str">
        <f>IF($G797=0,"--",IFERROR(_xll.ciqfunctions.udf.CIQ($G797,$I797,K114,Valuation_Date_GC,ReportType,DataMode,$H797,FXMode)*Scale,"--"))</f>
        <v>--</v>
      </c>
      <c r="L797" s="2301" t="str">
        <f>IF($G797=0,"--",IFERROR(_xll.ciqfunctions.udf.CIQ($G797,$I797,L114,Valuation_Date_GC,ReportType,DataMode,$H797,FXMode)*Scale,"--"))</f>
        <v>--</v>
      </c>
      <c r="M797" s="2301" t="str">
        <f>IF($G797=0,"--",IFERROR(_xll.ciqfunctions.udf.CIQ($G797,$I797,M114,Valuation_Date_GC,ReportType,DataMode,$H797,FXMode)*Scale,"--"))</f>
        <v>--</v>
      </c>
      <c r="N797" s="2301" t="str">
        <f>IF($G797=0,"--",IFERROR(_xll.ciqfunctions.udf.CIQ($G797,$I797,N114,Valuation_Date_GC,ReportType,DataMode,$H797,FXMode)*Scale,"--"))</f>
        <v>--</v>
      </c>
      <c r="O797" s="2317" t="str">
        <f>IF($G797=0,"--",IFERROR(IF(O114=1001,_xll.ciqfunctions.udf.CIQ($G797,$S797,O114,Valuation_Date_GC,ReportType,DataMode,$H797,FXMode),_xll.ciqfunctions.udf.CIQ($G797,$I797,O114,Valuation_Date_GC,ReportType,DataMode,$H797,FXMode))*Scale,"--"))</f>
        <v>--</v>
      </c>
      <c r="P797" s="2301" t="str">
        <f>IF($G797=0,"--",IFERROR(_xll.ciqfunctions.udf.CIQ($G797,$I797,P114,Valuation_Date_GC,ReportType,DataMode,$H797,FXMode)*Scale,"--"))</f>
        <v>--</v>
      </c>
      <c r="R797" s="255"/>
      <c r="S797" s="89" t="s">
        <v>814</v>
      </c>
      <c r="T797" s="2301" t="str">
        <f>IF(H114=0,O797,IFERROR(_xll.ciqfunctions.udf.CIQ($G797,$S797,U114-1,Valuation_Date_GC,ReportType,DataMode,$H797)*Scale,"--"))</f>
        <v>--</v>
      </c>
      <c r="U797" s="2301" t="str">
        <f>IF($G797=0,"--",IFERROR(IF(_xll.ciqfunctions.udf.CIQ($G797,$S797,U114,Valuation_Date_GC,ReportType,DataMode,$H797)*Scale=0,"--",_xll.ciqfunctions.udf.CIQ($G797,$S797,U114,Valuation_Date_GC,ReportType,DataMode,$H797)*Scale),"--"))</f>
        <v>--</v>
      </c>
      <c r="V797" s="2301" t="str">
        <f>IF($G797=0,"--",IFERROR(IF(_xll.ciqfunctions.udf.CIQ($G797,$S797,V114,Valuation_Date_GC,ReportType,DataMode,$H797)*Scale=0,"--",_xll.ciqfunctions.udf.CIQ($G797,$S797,V114,Valuation_Date_GC,ReportType,DataMode,$H797)*Scale),"--"))</f>
        <v>--</v>
      </c>
      <c r="W797" s="2301" t="str">
        <f>IF($G797=0,"--",IFERROR(IF(_xll.ciqfunctions.udf.CIQ($G797,$S797,W114,Valuation_Date_GC,ReportType,DataMode,$H797)*Scale=0,"--",_xll.ciqfunctions.udf.CIQ($G797,$S797,W114,Valuation_Date_GC,ReportType,DataMode,$H797)*Scale),"--"))</f>
        <v>--</v>
      </c>
      <c r="X797" s="2301" t="str">
        <f>IF($G797=0,"--",IFERROR(IF(_xll.ciqfunctions.udf.CIQ($G797,$S797,X114,Valuation_Date_GC,ReportType,DataMode,$H797)*Scale=0,"--",_xll.ciqfunctions.udf.CIQ($G797,$S797,X114,Valuation_Date_GC,ReportType,DataMode,$H797)*Scale),"--"))</f>
        <v>--</v>
      </c>
      <c r="Y797" s="2301" t="str">
        <f>IF($G797=0,"--",IFERROR(IF(_xll.ciqfunctions.udf.CIQ($G797,$S797,Y114,Valuation_Date_GC,ReportType,DataMode,$H797)*Scale=0,"--",_xll.ciqfunctions.udf.CIQ($G797,$S797,Y114,Valuation_Date_GC,ReportType,DataMode,$H797)*Scale),"--"))</f>
        <v>--</v>
      </c>
      <c r="Z797" s="2078" t="str">
        <f t="shared" si="192"/>
        <v/>
      </c>
    </row>
    <row r="798" spans="1:37" s="89" customFormat="1" ht="13.9">
      <c r="A798" s="269" t="str">
        <f t="shared" si="193"/>
        <v>n</v>
      </c>
      <c r="B798" s="2060"/>
      <c r="D798" s="801"/>
      <c r="E798" s="1505">
        <v>16</v>
      </c>
      <c r="F798" s="21" t="str">
        <f>F$144</f>
        <v>--</v>
      </c>
      <c r="G798" s="1441">
        <f>G$144</f>
        <v>0</v>
      </c>
      <c r="H798" s="1441" t="str">
        <f>H$144</f>
        <v>--</v>
      </c>
      <c r="I798" s="1513" t="s">
        <v>815</v>
      </c>
      <c r="J798" s="2301" t="str">
        <f>IF($G798=0,"--",IFERROR(_xll.ciqfunctions.udf.CIQ($G798,$I798,J115,Valuation_Date_GC,ReportType,DataMode,$H798,FXMode)*Scale,"--"))</f>
        <v>--</v>
      </c>
      <c r="K798" s="2301" t="str">
        <f>IF($G798=0,"--",IFERROR(_xll.ciqfunctions.udf.CIQ($G798,$I798,K115,Valuation_Date_GC,ReportType,DataMode,$H798,FXMode)*Scale,"--"))</f>
        <v>--</v>
      </c>
      <c r="L798" s="2301" t="str">
        <f>IF($G798=0,"--",IFERROR(_xll.ciqfunctions.udf.CIQ($G798,$I798,L115,Valuation_Date_GC,ReportType,DataMode,$H798,FXMode)*Scale,"--"))</f>
        <v>--</v>
      </c>
      <c r="M798" s="2301" t="str">
        <f>IF($G798=0,"--",IFERROR(_xll.ciqfunctions.udf.CIQ($G798,$I798,M115,Valuation_Date_GC,ReportType,DataMode,$H798,FXMode)*Scale,"--"))</f>
        <v>--</v>
      </c>
      <c r="N798" s="2301" t="str">
        <f>IF($G798=0,"--",IFERROR(_xll.ciqfunctions.udf.CIQ($G798,$I798,N115,Valuation_Date_GC,ReportType,DataMode,$H798,FXMode)*Scale,"--"))</f>
        <v>--</v>
      </c>
      <c r="O798" s="2317" t="str">
        <f>IF($G798=0,"--",IFERROR(IF(O115=1001,_xll.ciqfunctions.udf.CIQ($G798,$S798,O115,Valuation_Date_GC,ReportType,DataMode,$H798,FXMode),_xll.ciqfunctions.udf.CIQ($G798,$I798,O115,Valuation_Date_GC,ReportType,DataMode,$H798,FXMode))*Scale,"--"))</f>
        <v>--</v>
      </c>
      <c r="P798" s="2301" t="str">
        <f>IF($G798=0,"--",IFERROR(_xll.ciqfunctions.udf.CIQ($G798,$I798,P115,Valuation_Date_GC,ReportType,DataMode,$H798,FXMode)*Scale,"--"))</f>
        <v>--</v>
      </c>
      <c r="R798" s="255"/>
      <c r="S798" s="89" t="s">
        <v>814</v>
      </c>
      <c r="T798" s="2301" t="str">
        <f>IF(H115=0,O798,IFERROR(_xll.ciqfunctions.udf.CIQ($G798,$S798,U115-1,Valuation_Date_GC,ReportType,DataMode,$H798)*Scale,"--"))</f>
        <v>--</v>
      </c>
      <c r="U798" s="2301" t="str">
        <f>IF($G798=0,"--",IFERROR(IF(_xll.ciqfunctions.udf.CIQ($G798,$S798,U115,Valuation_Date_GC,ReportType,DataMode,$H798)*Scale=0,"--",_xll.ciqfunctions.udf.CIQ($G798,$S798,U115,Valuation_Date_GC,ReportType,DataMode,$H798)*Scale),"--"))</f>
        <v>--</v>
      </c>
      <c r="V798" s="2301" t="str">
        <f>IF($G798=0,"--",IFERROR(IF(_xll.ciqfunctions.udf.CIQ($G798,$S798,V115,Valuation_Date_GC,ReportType,DataMode,$H798)*Scale=0,"--",_xll.ciqfunctions.udf.CIQ($G798,$S798,V115,Valuation_Date_GC,ReportType,DataMode,$H798)*Scale),"--"))</f>
        <v>--</v>
      </c>
      <c r="W798" s="2301" t="str">
        <f>IF($G798=0,"--",IFERROR(IF(_xll.ciqfunctions.udf.CIQ($G798,$S798,W115,Valuation_Date_GC,ReportType,DataMode,$H798)*Scale=0,"--",_xll.ciqfunctions.udf.CIQ($G798,$S798,W115,Valuation_Date_GC,ReportType,DataMode,$H798)*Scale),"--"))</f>
        <v>--</v>
      </c>
      <c r="X798" s="2301" t="str">
        <f>IF($G798=0,"--",IFERROR(IF(_xll.ciqfunctions.udf.CIQ($G798,$S798,X115,Valuation_Date_GC,ReportType,DataMode,$H798)*Scale=0,"--",_xll.ciqfunctions.udf.CIQ($G798,$S798,X115,Valuation_Date_GC,ReportType,DataMode,$H798)*Scale),"--"))</f>
        <v>--</v>
      </c>
      <c r="Y798" s="2301" t="str">
        <f>IF($G798=0,"--",IFERROR(IF(_xll.ciqfunctions.udf.CIQ($G798,$S798,Y115,Valuation_Date_GC,ReportType,DataMode,$H798)*Scale=0,"--",_xll.ciqfunctions.udf.CIQ($G798,$S798,Y115,Valuation_Date_GC,ReportType,DataMode,$H798)*Scale),"--"))</f>
        <v>--</v>
      </c>
      <c r="Z798" s="2078" t="str">
        <f t="shared" si="192"/>
        <v/>
      </c>
    </row>
    <row r="799" spans="1:37" s="89" customFormat="1" ht="13.9">
      <c r="A799" s="269" t="str">
        <f t="shared" si="193"/>
        <v>n</v>
      </c>
      <c r="B799" s="2060"/>
      <c r="D799" s="801"/>
      <c r="E799" s="1505">
        <v>17</v>
      </c>
      <c r="F799" s="21" t="str">
        <f>F$145</f>
        <v>--</v>
      </c>
      <c r="G799" s="1441">
        <f>G$145</f>
        <v>0</v>
      </c>
      <c r="H799" s="1441" t="str">
        <f>H$145</f>
        <v>--</v>
      </c>
      <c r="I799" s="1513" t="s">
        <v>815</v>
      </c>
      <c r="J799" s="2301" t="str">
        <f>IF($G799=0,"--",IFERROR(_xll.ciqfunctions.udf.CIQ($G799,$I799,J116,Valuation_Date_GC,ReportType,DataMode,$H799,FXMode)*Scale,"--"))</f>
        <v>--</v>
      </c>
      <c r="K799" s="2301" t="str">
        <f>IF($G799=0,"--",IFERROR(_xll.ciqfunctions.udf.CIQ($G799,$I799,K116,Valuation_Date_GC,ReportType,DataMode,$H799,FXMode)*Scale,"--"))</f>
        <v>--</v>
      </c>
      <c r="L799" s="2301" t="str">
        <f>IF($G799=0,"--",IFERROR(_xll.ciqfunctions.udf.CIQ($G799,$I799,L116,Valuation_Date_GC,ReportType,DataMode,$H799,FXMode)*Scale,"--"))</f>
        <v>--</v>
      </c>
      <c r="M799" s="2301" t="str">
        <f>IF($G799=0,"--",IFERROR(_xll.ciqfunctions.udf.CIQ($G799,$I799,M116,Valuation_Date_GC,ReportType,DataMode,$H799,FXMode)*Scale,"--"))</f>
        <v>--</v>
      </c>
      <c r="N799" s="2301" t="str">
        <f>IF($G799=0,"--",IFERROR(_xll.ciqfunctions.udf.CIQ($G799,$I799,N116,Valuation_Date_GC,ReportType,DataMode,$H799,FXMode)*Scale,"--"))</f>
        <v>--</v>
      </c>
      <c r="O799" s="2317" t="str">
        <f>IF($G799=0,"--",IFERROR(IF(O116=1001,_xll.ciqfunctions.udf.CIQ($G799,$S799,O116,Valuation_Date_GC,ReportType,DataMode,$H799,FXMode),_xll.ciqfunctions.udf.CIQ($G799,$I799,O116,Valuation_Date_GC,ReportType,DataMode,$H799,FXMode))*Scale,"--"))</f>
        <v>--</v>
      </c>
      <c r="P799" s="2301" t="str">
        <f>IF($G799=0,"--",IFERROR(_xll.ciqfunctions.udf.CIQ($G799,$I799,P116,Valuation_Date_GC,ReportType,DataMode,$H799,FXMode)*Scale,"--"))</f>
        <v>--</v>
      </c>
      <c r="R799" s="255"/>
      <c r="S799" s="89" t="s">
        <v>814</v>
      </c>
      <c r="T799" s="2301" t="str">
        <f>IF(H116=0,O799,IFERROR(_xll.ciqfunctions.udf.CIQ($G799,$S799,U116-1,Valuation_Date_GC,ReportType,DataMode,$H799)*Scale,"--"))</f>
        <v>--</v>
      </c>
      <c r="U799" s="2301" t="str">
        <f>IF($G799=0,"--",IFERROR(IF(_xll.ciqfunctions.udf.CIQ($G799,$S799,U116,Valuation_Date_GC,ReportType,DataMode,$H799)*Scale=0,"--",_xll.ciqfunctions.udf.CIQ($G799,$S799,U116,Valuation_Date_GC,ReportType,DataMode,$H799)*Scale),"--"))</f>
        <v>--</v>
      </c>
      <c r="V799" s="2301" t="str">
        <f>IF($G799=0,"--",IFERROR(IF(_xll.ciqfunctions.udf.CIQ($G799,$S799,V116,Valuation_Date_GC,ReportType,DataMode,$H799)*Scale=0,"--",_xll.ciqfunctions.udf.CIQ($G799,$S799,V116,Valuation_Date_GC,ReportType,DataMode,$H799)*Scale),"--"))</f>
        <v>--</v>
      </c>
      <c r="W799" s="2301" t="str">
        <f>IF($G799=0,"--",IFERROR(IF(_xll.ciqfunctions.udf.CIQ($G799,$S799,W116,Valuation_Date_GC,ReportType,DataMode,$H799)*Scale=0,"--",_xll.ciqfunctions.udf.CIQ($G799,$S799,W116,Valuation_Date_GC,ReportType,DataMode,$H799)*Scale),"--"))</f>
        <v>--</v>
      </c>
      <c r="X799" s="2301" t="str">
        <f>IF($G799=0,"--",IFERROR(IF(_xll.ciqfunctions.udf.CIQ($G799,$S799,X116,Valuation_Date_GC,ReportType,DataMode,$H799)*Scale=0,"--",_xll.ciqfunctions.udf.CIQ($G799,$S799,X116,Valuation_Date_GC,ReportType,DataMode,$H799)*Scale),"--"))</f>
        <v>--</v>
      </c>
      <c r="Y799" s="2301" t="str">
        <f>IF($G799=0,"--",IFERROR(IF(_xll.ciqfunctions.udf.CIQ($G799,$S799,Y116,Valuation_Date_GC,ReportType,DataMode,$H799)*Scale=0,"--",_xll.ciqfunctions.udf.CIQ($G799,$S799,Y116,Valuation_Date_GC,ReportType,DataMode,$H799)*Scale),"--"))</f>
        <v>--</v>
      </c>
      <c r="Z799" s="2078" t="str">
        <f t="shared" si="192"/>
        <v/>
      </c>
    </row>
    <row r="800" spans="1:37" s="89" customFormat="1" ht="13.9">
      <c r="A800" s="269" t="str">
        <f t="shared" si="193"/>
        <v>n</v>
      </c>
      <c r="B800" s="2060"/>
      <c r="D800" s="801"/>
      <c r="E800" s="1505">
        <v>18</v>
      </c>
      <c r="F800" s="21" t="str">
        <f>F$146</f>
        <v>--</v>
      </c>
      <c r="G800" s="1441">
        <f>G$146</f>
        <v>0</v>
      </c>
      <c r="H800" s="1441" t="str">
        <f>H$146</f>
        <v>--</v>
      </c>
      <c r="I800" s="1513" t="s">
        <v>815</v>
      </c>
      <c r="J800" s="2301" t="str">
        <f>IF($G800=0,"--",IFERROR(_xll.ciqfunctions.udf.CIQ($G800,$I800,J117,Valuation_Date_GC,ReportType,DataMode,$H800,FXMode)*Scale,"--"))</f>
        <v>--</v>
      </c>
      <c r="K800" s="2301" t="str">
        <f>IF($G800=0,"--",IFERROR(_xll.ciqfunctions.udf.CIQ($G800,$I800,K117,Valuation_Date_GC,ReportType,DataMode,$H800,FXMode)*Scale,"--"))</f>
        <v>--</v>
      </c>
      <c r="L800" s="2301" t="str">
        <f>IF($G800=0,"--",IFERROR(_xll.ciqfunctions.udf.CIQ($G800,$I800,L117,Valuation_Date_GC,ReportType,DataMode,$H800,FXMode)*Scale,"--"))</f>
        <v>--</v>
      </c>
      <c r="M800" s="2301" t="str">
        <f>IF($G800=0,"--",IFERROR(_xll.ciqfunctions.udf.CIQ($G800,$I800,M117,Valuation_Date_GC,ReportType,DataMode,$H800,FXMode)*Scale,"--"))</f>
        <v>--</v>
      </c>
      <c r="N800" s="2301" t="str">
        <f>IF($G800=0,"--",IFERROR(_xll.ciqfunctions.udf.CIQ($G800,$I800,N117,Valuation_Date_GC,ReportType,DataMode,$H800,FXMode)*Scale,"--"))</f>
        <v>--</v>
      </c>
      <c r="O800" s="2317" t="str">
        <f>IF($G800=0,"--",IFERROR(IF(O117=1001,_xll.ciqfunctions.udf.CIQ($G800,$S800,O117,Valuation_Date_GC,ReportType,DataMode,$H800,FXMode),_xll.ciqfunctions.udf.CIQ($G800,$I800,O117,Valuation_Date_GC,ReportType,DataMode,$H800,FXMode))*Scale,"--"))</f>
        <v>--</v>
      </c>
      <c r="P800" s="2301" t="str">
        <f>IF($G800=0,"--",IFERROR(_xll.ciqfunctions.udf.CIQ($G800,$I800,P117,Valuation_Date_GC,ReportType,DataMode,$H800,FXMode)*Scale,"--"))</f>
        <v>--</v>
      </c>
      <c r="R800" s="255"/>
      <c r="S800" s="89" t="s">
        <v>814</v>
      </c>
      <c r="T800" s="2301" t="str">
        <f>IF(H117=0,O800,IFERROR(_xll.ciqfunctions.udf.CIQ($G800,$S800,U117-1,Valuation_Date_GC,ReportType,DataMode,$H800)*Scale,"--"))</f>
        <v>--</v>
      </c>
      <c r="U800" s="2301" t="str">
        <f>IF($G800=0,"--",IFERROR(IF(_xll.ciqfunctions.udf.CIQ($G800,$S800,U117,Valuation_Date_GC,ReportType,DataMode,$H800)*Scale=0,"--",_xll.ciqfunctions.udf.CIQ($G800,$S800,U117,Valuation_Date_GC,ReportType,DataMode,$H800)*Scale),"--"))</f>
        <v>--</v>
      </c>
      <c r="V800" s="2301" t="str">
        <f>IF($G800=0,"--",IFERROR(IF(_xll.ciqfunctions.udf.CIQ($G800,$S800,V117,Valuation_Date_GC,ReportType,DataMode,$H800)*Scale=0,"--",_xll.ciqfunctions.udf.CIQ($G800,$S800,V117,Valuation_Date_GC,ReportType,DataMode,$H800)*Scale),"--"))</f>
        <v>--</v>
      </c>
      <c r="W800" s="2301" t="str">
        <f>IF($G800=0,"--",IFERROR(IF(_xll.ciqfunctions.udf.CIQ($G800,$S800,W117,Valuation_Date_GC,ReportType,DataMode,$H800)*Scale=0,"--",_xll.ciqfunctions.udf.CIQ($G800,$S800,W117,Valuation_Date_GC,ReportType,DataMode,$H800)*Scale),"--"))</f>
        <v>--</v>
      </c>
      <c r="X800" s="2301" t="str">
        <f>IF($G800=0,"--",IFERROR(IF(_xll.ciqfunctions.udf.CIQ($G800,$S800,X117,Valuation_Date_GC,ReportType,DataMode,$H800)*Scale=0,"--",_xll.ciqfunctions.udf.CIQ($G800,$S800,X117,Valuation_Date_GC,ReportType,DataMode,$H800)*Scale),"--"))</f>
        <v>--</v>
      </c>
      <c r="Y800" s="2301" t="str">
        <f>IF($G800=0,"--",IFERROR(IF(_xll.ciqfunctions.udf.CIQ($G800,$S800,Y117,Valuation_Date_GC,ReportType,DataMode,$H800)*Scale=0,"--",_xll.ciqfunctions.udf.CIQ($G800,$S800,Y117,Valuation_Date_GC,ReportType,DataMode,$H800)*Scale),"--"))</f>
        <v>--</v>
      </c>
      <c r="Z800" s="2078" t="str">
        <f t="shared" si="192"/>
        <v/>
      </c>
    </row>
    <row r="801" spans="1:26" s="89" customFormat="1" ht="13.9">
      <c r="A801" s="269" t="str">
        <f t="shared" si="193"/>
        <v>n</v>
      </c>
      <c r="B801" s="2060"/>
      <c r="D801" s="801"/>
      <c r="E801" s="1505">
        <v>19</v>
      </c>
      <c r="F801" s="21" t="str">
        <f>F$147</f>
        <v>--</v>
      </c>
      <c r="G801" s="1441">
        <f>G$147</f>
        <v>0</v>
      </c>
      <c r="H801" s="1441" t="str">
        <f>H$147</f>
        <v>--</v>
      </c>
      <c r="I801" s="1513" t="s">
        <v>815</v>
      </c>
      <c r="J801" s="2301" t="str">
        <f>IF($G801=0,"--",IFERROR(_xll.ciqfunctions.udf.CIQ($G801,$I801,J118,Valuation_Date_GC,ReportType,DataMode,$H801,FXMode)*Scale,"--"))</f>
        <v>--</v>
      </c>
      <c r="K801" s="2301" t="str">
        <f>IF($G801=0,"--",IFERROR(_xll.ciqfunctions.udf.CIQ($G801,$I801,K118,Valuation_Date_GC,ReportType,DataMode,$H801,FXMode)*Scale,"--"))</f>
        <v>--</v>
      </c>
      <c r="L801" s="2301" t="str">
        <f>IF($G801=0,"--",IFERROR(_xll.ciqfunctions.udf.CIQ($G801,$I801,L118,Valuation_Date_GC,ReportType,DataMode,$H801,FXMode)*Scale,"--"))</f>
        <v>--</v>
      </c>
      <c r="M801" s="2301" t="str">
        <f>IF($G801=0,"--",IFERROR(_xll.ciqfunctions.udf.CIQ($G801,$I801,M118,Valuation_Date_GC,ReportType,DataMode,$H801,FXMode)*Scale,"--"))</f>
        <v>--</v>
      </c>
      <c r="N801" s="2301" t="str">
        <f>IF($G801=0,"--",IFERROR(_xll.ciqfunctions.udf.CIQ($G801,$I801,N118,Valuation_Date_GC,ReportType,DataMode,$H801,FXMode)*Scale,"--"))</f>
        <v>--</v>
      </c>
      <c r="O801" s="2317" t="str">
        <f>IF($G801=0,"--",IFERROR(IF(O118=1001,_xll.ciqfunctions.udf.CIQ($G801,$S801,O118,Valuation_Date_GC,ReportType,DataMode,$H801,FXMode),_xll.ciqfunctions.udf.CIQ($G801,$I801,O118,Valuation_Date_GC,ReportType,DataMode,$H801,FXMode))*Scale,"--"))</f>
        <v>--</v>
      </c>
      <c r="P801" s="2301" t="str">
        <f>IF($G801=0,"--",IFERROR(_xll.ciqfunctions.udf.CIQ($G801,$I801,P118,Valuation_Date_GC,ReportType,DataMode,$H801,FXMode)*Scale,"--"))</f>
        <v>--</v>
      </c>
      <c r="R801" s="255"/>
      <c r="S801" s="89" t="s">
        <v>814</v>
      </c>
      <c r="T801" s="2301" t="str">
        <f>IF(H118=0,O801,IFERROR(_xll.ciqfunctions.udf.CIQ($G801,$S801,U118-1,Valuation_Date_GC,ReportType,DataMode,$H801)*Scale,"--"))</f>
        <v>--</v>
      </c>
      <c r="U801" s="2301" t="str">
        <f>IF($G801=0,"--",IFERROR(IF(_xll.ciqfunctions.udf.CIQ($G801,$S801,U118,Valuation_Date_GC,ReportType,DataMode,$H801)*Scale=0,"--",_xll.ciqfunctions.udf.CIQ($G801,$S801,U118,Valuation_Date_GC,ReportType,DataMode,$H801)*Scale),"--"))</f>
        <v>--</v>
      </c>
      <c r="V801" s="2301" t="str">
        <f>IF($G801=0,"--",IFERROR(IF(_xll.ciqfunctions.udf.CIQ($G801,$S801,V118,Valuation_Date_GC,ReportType,DataMode,$H801)*Scale=0,"--",_xll.ciqfunctions.udf.CIQ($G801,$S801,V118,Valuation_Date_GC,ReportType,DataMode,$H801)*Scale),"--"))</f>
        <v>--</v>
      </c>
      <c r="W801" s="2301" t="str">
        <f>IF($G801=0,"--",IFERROR(IF(_xll.ciqfunctions.udf.CIQ($G801,$S801,W118,Valuation_Date_GC,ReportType,DataMode,$H801)*Scale=0,"--",_xll.ciqfunctions.udf.CIQ($G801,$S801,W118,Valuation_Date_GC,ReportType,DataMode,$H801)*Scale),"--"))</f>
        <v>--</v>
      </c>
      <c r="X801" s="2301" t="str">
        <f>IF($G801=0,"--",IFERROR(IF(_xll.ciqfunctions.udf.CIQ($G801,$S801,X118,Valuation_Date_GC,ReportType,DataMode,$H801)*Scale=0,"--",_xll.ciqfunctions.udf.CIQ($G801,$S801,X118,Valuation_Date_GC,ReportType,DataMode,$H801)*Scale),"--"))</f>
        <v>--</v>
      </c>
      <c r="Y801" s="2301" t="str">
        <f>IF($G801=0,"--",IFERROR(IF(_xll.ciqfunctions.udf.CIQ($G801,$S801,Y118,Valuation_Date_GC,ReportType,DataMode,$H801)*Scale=0,"--",_xll.ciqfunctions.udf.CIQ($G801,$S801,Y118,Valuation_Date_GC,ReportType,DataMode,$H801)*Scale),"--"))</f>
        <v>--</v>
      </c>
      <c r="Z801" s="2078" t="str">
        <f t="shared" si="192"/>
        <v/>
      </c>
    </row>
    <row r="802" spans="1:26" s="89" customFormat="1" ht="13.9">
      <c r="A802" s="269" t="str">
        <f t="shared" si="193"/>
        <v>n</v>
      </c>
      <c r="B802" s="2060"/>
      <c r="D802" s="801"/>
      <c r="E802" s="1505">
        <v>20</v>
      </c>
      <c r="F802" s="21" t="str">
        <f>F$148</f>
        <v>--</v>
      </c>
      <c r="G802" s="1441">
        <f>G$148</f>
        <v>0</v>
      </c>
      <c r="H802" s="1441" t="str">
        <f>H$148</f>
        <v>--</v>
      </c>
      <c r="I802" s="1513" t="s">
        <v>815</v>
      </c>
      <c r="J802" s="2301" t="str">
        <f>IF($G802=0,"--",IFERROR(_xll.ciqfunctions.udf.CIQ($G802,$I802,J119,Valuation_Date_GC,ReportType,DataMode,$H802,FXMode)*Scale,"--"))</f>
        <v>--</v>
      </c>
      <c r="K802" s="2301" t="str">
        <f>IF($G802=0,"--",IFERROR(_xll.ciqfunctions.udf.CIQ($G802,$I802,K119,Valuation_Date_GC,ReportType,DataMode,$H802,FXMode)*Scale,"--"))</f>
        <v>--</v>
      </c>
      <c r="L802" s="2301" t="str">
        <f>IF($G802=0,"--",IFERROR(_xll.ciqfunctions.udf.CIQ($G802,$I802,L119,Valuation_Date_GC,ReportType,DataMode,$H802,FXMode)*Scale,"--"))</f>
        <v>--</v>
      </c>
      <c r="M802" s="2301" t="str">
        <f>IF($G802=0,"--",IFERROR(_xll.ciqfunctions.udf.CIQ($G802,$I802,M119,Valuation_Date_GC,ReportType,DataMode,$H802,FXMode)*Scale,"--"))</f>
        <v>--</v>
      </c>
      <c r="N802" s="2301" t="str">
        <f>IF($G802=0,"--",IFERROR(_xll.ciqfunctions.udf.CIQ($G802,$I802,N119,Valuation_Date_GC,ReportType,DataMode,$H802,FXMode)*Scale,"--"))</f>
        <v>--</v>
      </c>
      <c r="O802" s="2317" t="str">
        <f>IF($G802=0,"--",IFERROR(IF(O119=1001,_xll.ciqfunctions.udf.CIQ($G802,$S802,O119,Valuation_Date_GC,ReportType,DataMode,$H802,FXMode),_xll.ciqfunctions.udf.CIQ($G802,$I802,O119,Valuation_Date_GC,ReportType,DataMode,$H802,FXMode))*Scale,"--"))</f>
        <v>--</v>
      </c>
      <c r="P802" s="2301" t="str">
        <f>IF($G802=0,"--",IFERROR(_xll.ciqfunctions.udf.CIQ($G802,$I802,P119,Valuation_Date_GC,ReportType,DataMode,$H802,FXMode)*Scale,"--"))</f>
        <v>--</v>
      </c>
      <c r="R802" s="255"/>
      <c r="S802" s="89" t="s">
        <v>814</v>
      </c>
      <c r="T802" s="2301" t="str">
        <f>IF(H119=0,O802,IFERROR(_xll.ciqfunctions.udf.CIQ($G802,$S802,U119-1,Valuation_Date_GC,ReportType,DataMode,$H802)*Scale,"--"))</f>
        <v>--</v>
      </c>
      <c r="U802" s="2301" t="str">
        <f>IF($G802=0,"--",IFERROR(IF(_xll.ciqfunctions.udf.CIQ($G802,$S802,U119,Valuation_Date_GC,ReportType,DataMode,$H802)*Scale=0,"--",_xll.ciqfunctions.udf.CIQ($G802,$S802,U119,Valuation_Date_GC,ReportType,DataMode,$H802)*Scale),"--"))</f>
        <v>--</v>
      </c>
      <c r="V802" s="2301" t="str">
        <f>IF($G802=0,"--",IFERROR(IF(_xll.ciqfunctions.udf.CIQ($G802,$S802,V119,Valuation_Date_GC,ReportType,DataMode,$H802)*Scale=0,"--",_xll.ciqfunctions.udf.CIQ($G802,$S802,V119,Valuation_Date_GC,ReportType,DataMode,$H802)*Scale),"--"))</f>
        <v>--</v>
      </c>
      <c r="W802" s="2301" t="str">
        <f>IF($G802=0,"--",IFERROR(IF(_xll.ciqfunctions.udf.CIQ($G802,$S802,W119,Valuation_Date_GC,ReportType,DataMode,$H802)*Scale=0,"--",_xll.ciqfunctions.udf.CIQ($G802,$S802,W119,Valuation_Date_GC,ReportType,DataMode,$H802)*Scale),"--"))</f>
        <v>--</v>
      </c>
      <c r="X802" s="2301" t="str">
        <f>IF($G802=0,"--",IFERROR(IF(_xll.ciqfunctions.udf.CIQ($G802,$S802,X119,Valuation_Date_GC,ReportType,DataMode,$H802)*Scale=0,"--",_xll.ciqfunctions.udf.CIQ($G802,$S802,X119,Valuation_Date_GC,ReportType,DataMode,$H802)*Scale),"--"))</f>
        <v>--</v>
      </c>
      <c r="Y802" s="2301" t="str">
        <f>IF($G802=0,"--",IFERROR(IF(_xll.ciqfunctions.udf.CIQ($G802,$S802,Y119,Valuation_Date_GC,ReportType,DataMode,$H802)*Scale=0,"--",_xll.ciqfunctions.udf.CIQ($G802,$S802,Y119,Valuation_Date_GC,ReportType,DataMode,$H802)*Scale),"--"))</f>
        <v>--</v>
      </c>
      <c r="Z802" s="2078" t="str">
        <f t="shared" si="192"/>
        <v/>
      </c>
    </row>
    <row r="803" spans="1:26" s="89" customFormat="1" ht="13.9">
      <c r="A803" s="269" t="str">
        <f t="shared" si="193"/>
        <v>n</v>
      </c>
      <c r="B803" s="2060"/>
      <c r="D803" s="801"/>
      <c r="E803" s="1505">
        <v>21</v>
      </c>
      <c r="F803" s="21" t="str">
        <f>F$149</f>
        <v>--</v>
      </c>
      <c r="G803" s="1441">
        <f>G$149</f>
        <v>0</v>
      </c>
      <c r="H803" s="1441" t="str">
        <f>H$149</f>
        <v>--</v>
      </c>
      <c r="I803" s="1513" t="s">
        <v>815</v>
      </c>
      <c r="J803" s="2301" t="str">
        <f>IF($G803=0,"--",IFERROR(_xll.ciqfunctions.udf.CIQ($G803,$I803,J120,Valuation_Date_GC,ReportType,DataMode,$H803,FXMode)*Scale,"--"))</f>
        <v>--</v>
      </c>
      <c r="K803" s="2301" t="str">
        <f>IF($G803=0,"--",IFERROR(_xll.ciqfunctions.udf.CIQ($G803,$I803,K120,Valuation_Date_GC,ReportType,DataMode,$H803,FXMode)*Scale,"--"))</f>
        <v>--</v>
      </c>
      <c r="L803" s="2301" t="str">
        <f>IF($G803=0,"--",IFERROR(_xll.ciqfunctions.udf.CIQ($G803,$I803,L120,Valuation_Date_GC,ReportType,DataMode,$H803,FXMode)*Scale,"--"))</f>
        <v>--</v>
      </c>
      <c r="M803" s="2301" t="str">
        <f>IF($G803=0,"--",IFERROR(_xll.ciqfunctions.udf.CIQ($G803,$I803,M120,Valuation_Date_GC,ReportType,DataMode,$H803,FXMode)*Scale,"--"))</f>
        <v>--</v>
      </c>
      <c r="N803" s="2301" t="str">
        <f>IF($G803=0,"--",IFERROR(_xll.ciqfunctions.udf.CIQ($G803,$I803,N120,Valuation_Date_GC,ReportType,DataMode,$H803,FXMode)*Scale,"--"))</f>
        <v>--</v>
      </c>
      <c r="O803" s="2317" t="str">
        <f>IF($G803=0,"--",IFERROR(IF(O120=1001,_xll.ciqfunctions.udf.CIQ($G803,$S803,O120,Valuation_Date_GC,ReportType,DataMode,$H803,FXMode),_xll.ciqfunctions.udf.CIQ($G803,$I803,O120,Valuation_Date_GC,ReportType,DataMode,$H803,FXMode))*Scale,"--"))</f>
        <v>--</v>
      </c>
      <c r="P803" s="2301" t="str">
        <f>IF($G803=0,"--",IFERROR(_xll.ciqfunctions.udf.CIQ($G803,$I803,P120,Valuation_Date_GC,ReportType,DataMode,$H803,FXMode)*Scale,"--"))</f>
        <v>--</v>
      </c>
      <c r="R803" s="255"/>
      <c r="S803" s="89" t="s">
        <v>814</v>
      </c>
      <c r="T803" s="2301" t="str">
        <f>IF(H120=0,O803,IFERROR(_xll.ciqfunctions.udf.CIQ($G803,$S803,U120-1,Valuation_Date_GC,ReportType,DataMode,$H803)*Scale,"--"))</f>
        <v>--</v>
      </c>
      <c r="U803" s="2301" t="str">
        <f>IF($G803=0,"--",IFERROR(IF(_xll.ciqfunctions.udf.CIQ($G803,$S803,U120,Valuation_Date_GC,ReportType,DataMode,$H803)*Scale=0,"--",_xll.ciqfunctions.udf.CIQ($G803,$S803,U120,Valuation_Date_GC,ReportType,DataMode,$H803)*Scale),"--"))</f>
        <v>--</v>
      </c>
      <c r="V803" s="2301" t="str">
        <f>IF($G803=0,"--",IFERROR(IF(_xll.ciqfunctions.udf.CIQ($G803,$S803,V120,Valuation_Date_GC,ReportType,DataMode,$H803)*Scale=0,"--",_xll.ciqfunctions.udf.CIQ($G803,$S803,V120,Valuation_Date_GC,ReportType,DataMode,$H803)*Scale),"--"))</f>
        <v>--</v>
      </c>
      <c r="W803" s="2301" t="str">
        <f>IF($G803=0,"--",IFERROR(IF(_xll.ciqfunctions.udf.CIQ($G803,$S803,W120,Valuation_Date_GC,ReportType,DataMode,$H803)*Scale=0,"--",_xll.ciqfunctions.udf.CIQ($G803,$S803,W120,Valuation_Date_GC,ReportType,DataMode,$H803)*Scale),"--"))</f>
        <v>--</v>
      </c>
      <c r="X803" s="2301" t="str">
        <f>IF($G803=0,"--",IFERROR(IF(_xll.ciqfunctions.udf.CIQ($G803,$S803,X120,Valuation_Date_GC,ReportType,DataMode,$H803)*Scale=0,"--",_xll.ciqfunctions.udf.CIQ($G803,$S803,X120,Valuation_Date_GC,ReportType,DataMode,$H803)*Scale),"--"))</f>
        <v>--</v>
      </c>
      <c r="Y803" s="2301" t="str">
        <f>IF($G803=0,"--",IFERROR(IF(_xll.ciqfunctions.udf.CIQ($G803,$S803,Y120,Valuation_Date_GC,ReportType,DataMode,$H803)*Scale=0,"--",_xll.ciqfunctions.udf.CIQ($G803,$S803,Y120,Valuation_Date_GC,ReportType,DataMode,$H803)*Scale),"--"))</f>
        <v>--</v>
      </c>
      <c r="Z803" s="2078" t="str">
        <f t="shared" si="192"/>
        <v/>
      </c>
    </row>
    <row r="804" spans="1:26" s="89" customFormat="1" ht="13.9">
      <c r="A804" s="269" t="str">
        <f t="shared" si="193"/>
        <v>n</v>
      </c>
      <c r="B804" s="2060"/>
      <c r="D804" s="801"/>
      <c r="E804" s="1505">
        <v>22</v>
      </c>
      <c r="F804" s="21" t="str">
        <f>F$150</f>
        <v>--</v>
      </c>
      <c r="G804" s="1441">
        <f>G$150</f>
        <v>0</v>
      </c>
      <c r="H804" s="1441" t="str">
        <f>H$150</f>
        <v>--</v>
      </c>
      <c r="I804" s="1513" t="s">
        <v>815</v>
      </c>
      <c r="J804" s="2301" t="str">
        <f>IF($G804=0,"--",IFERROR(_xll.ciqfunctions.udf.CIQ($G804,$I804,J121,Valuation_Date_GC,ReportType,DataMode,$H804,FXMode)*Scale,"--"))</f>
        <v>--</v>
      </c>
      <c r="K804" s="2301" t="str">
        <f>IF($G804=0,"--",IFERROR(_xll.ciqfunctions.udf.CIQ($G804,$I804,K121,Valuation_Date_GC,ReportType,DataMode,$H804,FXMode)*Scale,"--"))</f>
        <v>--</v>
      </c>
      <c r="L804" s="2301" t="str">
        <f>IF($G804=0,"--",IFERROR(_xll.ciqfunctions.udf.CIQ($G804,$I804,L121,Valuation_Date_GC,ReportType,DataMode,$H804,FXMode)*Scale,"--"))</f>
        <v>--</v>
      </c>
      <c r="M804" s="2301" t="str">
        <f>IF($G804=0,"--",IFERROR(_xll.ciqfunctions.udf.CIQ($G804,$I804,M121,Valuation_Date_GC,ReportType,DataMode,$H804,FXMode)*Scale,"--"))</f>
        <v>--</v>
      </c>
      <c r="N804" s="2301" t="str">
        <f>IF($G804=0,"--",IFERROR(_xll.ciqfunctions.udf.CIQ($G804,$I804,N121,Valuation_Date_GC,ReportType,DataMode,$H804,FXMode)*Scale,"--"))</f>
        <v>--</v>
      </c>
      <c r="O804" s="2317" t="str">
        <f>IF($G804=0,"--",IFERROR(IF(O121=1001,_xll.ciqfunctions.udf.CIQ($G804,$S804,O121,Valuation_Date_GC,ReportType,DataMode,$H804,FXMode),_xll.ciqfunctions.udf.CIQ($G804,$I804,O121,Valuation_Date_GC,ReportType,DataMode,$H804,FXMode))*Scale,"--"))</f>
        <v>--</v>
      </c>
      <c r="P804" s="2301" t="str">
        <f>IF($G804=0,"--",IFERROR(_xll.ciqfunctions.udf.CIQ($G804,$I804,P121,Valuation_Date_GC,ReportType,DataMode,$H804,FXMode)*Scale,"--"))</f>
        <v>--</v>
      </c>
      <c r="R804" s="255"/>
      <c r="S804" s="89" t="s">
        <v>814</v>
      </c>
      <c r="T804" s="2301" t="str">
        <f>IF(H121=0,O804,IFERROR(_xll.ciqfunctions.udf.CIQ($G804,$S804,U121-1,Valuation_Date_GC,ReportType,DataMode,$H804)*Scale,"--"))</f>
        <v>--</v>
      </c>
      <c r="U804" s="2301" t="str">
        <f>IF($G804=0,"--",IFERROR(IF(_xll.ciqfunctions.udf.CIQ($G804,$S804,U121,Valuation_Date_GC,ReportType,DataMode,$H804)*Scale=0,"--",_xll.ciqfunctions.udf.CIQ($G804,$S804,U121,Valuation_Date_GC,ReportType,DataMode,$H804)*Scale),"--"))</f>
        <v>--</v>
      </c>
      <c r="V804" s="2301" t="str">
        <f>IF($G804=0,"--",IFERROR(IF(_xll.ciqfunctions.udf.CIQ($G804,$S804,V121,Valuation_Date_GC,ReportType,DataMode,$H804)*Scale=0,"--",_xll.ciqfunctions.udf.CIQ($G804,$S804,V121,Valuation_Date_GC,ReportType,DataMode,$H804)*Scale),"--"))</f>
        <v>--</v>
      </c>
      <c r="W804" s="2301" t="str">
        <f>IF($G804=0,"--",IFERROR(IF(_xll.ciqfunctions.udf.CIQ($G804,$S804,W121,Valuation_Date_GC,ReportType,DataMode,$H804)*Scale=0,"--",_xll.ciqfunctions.udf.CIQ($G804,$S804,W121,Valuation_Date_GC,ReportType,DataMode,$H804)*Scale),"--"))</f>
        <v>--</v>
      </c>
      <c r="X804" s="2301" t="str">
        <f>IF($G804=0,"--",IFERROR(IF(_xll.ciqfunctions.udf.CIQ($G804,$S804,X121,Valuation_Date_GC,ReportType,DataMode,$H804)*Scale=0,"--",_xll.ciqfunctions.udf.CIQ($G804,$S804,X121,Valuation_Date_GC,ReportType,DataMode,$H804)*Scale),"--"))</f>
        <v>--</v>
      </c>
      <c r="Y804" s="2301" t="str">
        <f>IF($G804=0,"--",IFERROR(IF(_xll.ciqfunctions.udf.CIQ($G804,$S804,Y121,Valuation_Date_GC,ReportType,DataMode,$H804)*Scale=0,"--",_xll.ciqfunctions.udf.CIQ($G804,$S804,Y121,Valuation_Date_GC,ReportType,DataMode,$H804)*Scale),"--"))</f>
        <v>--</v>
      </c>
      <c r="Z804" s="2078" t="str">
        <f t="shared" si="192"/>
        <v/>
      </c>
    </row>
    <row r="805" spans="1:26" s="89" customFormat="1" ht="13.9">
      <c r="A805" s="269" t="str">
        <f t="shared" si="193"/>
        <v>n</v>
      </c>
      <c r="B805" s="2060"/>
      <c r="D805" s="801"/>
      <c r="E805" s="1505">
        <v>23</v>
      </c>
      <c r="F805" s="21" t="str">
        <f>F$151</f>
        <v>--</v>
      </c>
      <c r="G805" s="1441">
        <f>G$151</f>
        <v>0</v>
      </c>
      <c r="H805" s="1441" t="str">
        <f>H$151</f>
        <v>--</v>
      </c>
      <c r="I805" s="1513" t="s">
        <v>815</v>
      </c>
      <c r="J805" s="2301" t="str">
        <f>IF($G805=0,"--",IFERROR(_xll.ciqfunctions.udf.CIQ($G805,$I805,J122,Valuation_Date_GC,ReportType,DataMode,$H805,FXMode)*Scale,"--"))</f>
        <v>--</v>
      </c>
      <c r="K805" s="2301" t="str">
        <f>IF($G805=0,"--",IFERROR(_xll.ciqfunctions.udf.CIQ($G805,$I805,K122,Valuation_Date_GC,ReportType,DataMode,$H805,FXMode)*Scale,"--"))</f>
        <v>--</v>
      </c>
      <c r="L805" s="2301" t="str">
        <f>IF($G805=0,"--",IFERROR(_xll.ciqfunctions.udf.CIQ($G805,$I805,L122,Valuation_Date_GC,ReportType,DataMode,$H805,FXMode)*Scale,"--"))</f>
        <v>--</v>
      </c>
      <c r="M805" s="2301" t="str">
        <f>IF($G805=0,"--",IFERROR(_xll.ciqfunctions.udf.CIQ($G805,$I805,M122,Valuation_Date_GC,ReportType,DataMode,$H805,FXMode)*Scale,"--"))</f>
        <v>--</v>
      </c>
      <c r="N805" s="2301" t="str">
        <f>IF($G805=0,"--",IFERROR(_xll.ciqfunctions.udf.CIQ($G805,$I805,N122,Valuation_Date_GC,ReportType,DataMode,$H805,FXMode)*Scale,"--"))</f>
        <v>--</v>
      </c>
      <c r="O805" s="2317" t="str">
        <f>IF($G805=0,"--",IFERROR(IF(O122=1001,_xll.ciqfunctions.udf.CIQ($G805,$S805,O122,Valuation_Date_GC,ReportType,DataMode,$H805,FXMode),_xll.ciqfunctions.udf.CIQ($G805,$I805,O122,Valuation_Date_GC,ReportType,DataMode,$H805,FXMode))*Scale,"--"))</f>
        <v>--</v>
      </c>
      <c r="P805" s="2301" t="str">
        <f>IF($G805=0,"--",IFERROR(_xll.ciqfunctions.udf.CIQ($G805,$I805,P122,Valuation_Date_GC,ReportType,DataMode,$H805,FXMode)*Scale,"--"))</f>
        <v>--</v>
      </c>
      <c r="R805" s="255"/>
      <c r="S805" s="89" t="s">
        <v>814</v>
      </c>
      <c r="T805" s="2301" t="str">
        <f>IF(H122=0,O805,IFERROR(_xll.ciqfunctions.udf.CIQ($G805,$S805,U122-1,Valuation_Date_GC,ReportType,DataMode,$H805)*Scale,"--"))</f>
        <v>--</v>
      </c>
      <c r="U805" s="2301" t="str">
        <f>IF($G805=0,"--",IFERROR(IF(_xll.ciqfunctions.udf.CIQ($G805,$S805,U122,Valuation_Date_GC,ReportType,DataMode,$H805)*Scale=0,"--",_xll.ciqfunctions.udf.CIQ($G805,$S805,U122,Valuation_Date_GC,ReportType,DataMode,$H805)*Scale),"--"))</f>
        <v>--</v>
      </c>
      <c r="V805" s="2301" t="str">
        <f>IF($G805=0,"--",IFERROR(IF(_xll.ciqfunctions.udf.CIQ($G805,$S805,V122,Valuation_Date_GC,ReportType,DataMode,$H805)*Scale=0,"--",_xll.ciqfunctions.udf.CIQ($G805,$S805,V122,Valuation_Date_GC,ReportType,DataMode,$H805)*Scale),"--"))</f>
        <v>--</v>
      </c>
      <c r="W805" s="2301" t="str">
        <f>IF($G805=0,"--",IFERROR(IF(_xll.ciqfunctions.udf.CIQ($G805,$S805,W122,Valuation_Date_GC,ReportType,DataMode,$H805)*Scale=0,"--",_xll.ciqfunctions.udf.CIQ($G805,$S805,W122,Valuation_Date_GC,ReportType,DataMode,$H805)*Scale),"--"))</f>
        <v>--</v>
      </c>
      <c r="X805" s="2301" t="str">
        <f>IF($G805=0,"--",IFERROR(IF(_xll.ciqfunctions.udf.CIQ($G805,$S805,X122,Valuation_Date_GC,ReportType,DataMode,$H805)*Scale=0,"--",_xll.ciqfunctions.udf.CIQ($G805,$S805,X122,Valuation_Date_GC,ReportType,DataMode,$H805)*Scale),"--"))</f>
        <v>--</v>
      </c>
      <c r="Y805" s="2301" t="str">
        <f>IF($G805=0,"--",IFERROR(IF(_xll.ciqfunctions.udf.CIQ($G805,$S805,Y122,Valuation_Date_GC,ReportType,DataMode,$H805)*Scale=0,"--",_xll.ciqfunctions.udf.CIQ($G805,$S805,Y122,Valuation_Date_GC,ReportType,DataMode,$H805)*Scale),"--"))</f>
        <v>--</v>
      </c>
      <c r="Z805" s="2078" t="str">
        <f t="shared" si="192"/>
        <v/>
      </c>
    </row>
    <row r="806" spans="1:26" s="89" customFormat="1" ht="13.9">
      <c r="A806" s="269" t="str">
        <f t="shared" si="193"/>
        <v>n</v>
      </c>
      <c r="B806" s="2060"/>
      <c r="D806" s="801"/>
      <c r="E806" s="1505">
        <v>24</v>
      </c>
      <c r="F806" s="21" t="str">
        <f>F$152</f>
        <v>--</v>
      </c>
      <c r="G806" s="1441">
        <f>G$152</f>
        <v>0</v>
      </c>
      <c r="H806" s="1441" t="str">
        <f>H$152</f>
        <v>--</v>
      </c>
      <c r="I806" s="1513" t="s">
        <v>815</v>
      </c>
      <c r="J806" s="2301" t="str">
        <f>IF($G806=0,"--",IFERROR(_xll.ciqfunctions.udf.CIQ($G806,$I806,J123,Valuation_Date_GC,ReportType,DataMode,$H806,FXMode)*Scale,"--"))</f>
        <v>--</v>
      </c>
      <c r="K806" s="2301" t="str">
        <f>IF($G806=0,"--",IFERROR(_xll.ciqfunctions.udf.CIQ($G806,$I806,K123,Valuation_Date_GC,ReportType,DataMode,$H806,FXMode)*Scale,"--"))</f>
        <v>--</v>
      </c>
      <c r="L806" s="2301" t="str">
        <f>IF($G806=0,"--",IFERROR(_xll.ciqfunctions.udf.CIQ($G806,$I806,L123,Valuation_Date_GC,ReportType,DataMode,$H806,FXMode)*Scale,"--"))</f>
        <v>--</v>
      </c>
      <c r="M806" s="2301" t="str">
        <f>IF($G806=0,"--",IFERROR(_xll.ciqfunctions.udf.CIQ($G806,$I806,M123,Valuation_Date_GC,ReportType,DataMode,$H806,FXMode)*Scale,"--"))</f>
        <v>--</v>
      </c>
      <c r="N806" s="2301" t="str">
        <f>IF($G806=0,"--",IFERROR(_xll.ciqfunctions.udf.CIQ($G806,$I806,N123,Valuation_Date_GC,ReportType,DataMode,$H806,FXMode)*Scale,"--"))</f>
        <v>--</v>
      </c>
      <c r="O806" s="2317" t="str">
        <f>IF($G806=0,"--",IFERROR(IF(O123=1001,_xll.ciqfunctions.udf.CIQ($G806,$S806,O123,Valuation_Date_GC,ReportType,DataMode,$H806,FXMode),_xll.ciqfunctions.udf.CIQ($G806,$I806,O123,Valuation_Date_GC,ReportType,DataMode,$H806,FXMode))*Scale,"--"))</f>
        <v>--</v>
      </c>
      <c r="P806" s="2301" t="str">
        <f>IF($G806=0,"--",IFERROR(_xll.ciqfunctions.udf.CIQ($G806,$I806,P123,Valuation_Date_GC,ReportType,DataMode,$H806,FXMode)*Scale,"--"))</f>
        <v>--</v>
      </c>
      <c r="R806" s="255"/>
      <c r="S806" s="89" t="s">
        <v>814</v>
      </c>
      <c r="T806" s="2301" t="str">
        <f>IF(H123=0,O806,IFERROR(_xll.ciqfunctions.udf.CIQ($G806,$S806,U123-1,Valuation_Date_GC,ReportType,DataMode,$H806)*Scale,"--"))</f>
        <v>--</v>
      </c>
      <c r="U806" s="2301" t="str">
        <f>IF($G806=0,"--",IFERROR(IF(_xll.ciqfunctions.udf.CIQ($G806,$S806,U123,Valuation_Date_GC,ReportType,DataMode,$H806)*Scale=0,"--",_xll.ciqfunctions.udf.CIQ($G806,$S806,U123,Valuation_Date_GC,ReportType,DataMode,$H806)*Scale),"--"))</f>
        <v>--</v>
      </c>
      <c r="V806" s="2301" t="str">
        <f>IF($G806=0,"--",IFERROR(IF(_xll.ciqfunctions.udf.CIQ($G806,$S806,V123,Valuation_Date_GC,ReportType,DataMode,$H806)*Scale=0,"--",_xll.ciqfunctions.udf.CIQ($G806,$S806,V123,Valuation_Date_GC,ReportType,DataMode,$H806)*Scale),"--"))</f>
        <v>--</v>
      </c>
      <c r="W806" s="2301" t="str">
        <f>IF($G806=0,"--",IFERROR(IF(_xll.ciqfunctions.udf.CIQ($G806,$S806,W123,Valuation_Date_GC,ReportType,DataMode,$H806)*Scale=0,"--",_xll.ciqfunctions.udf.CIQ($G806,$S806,W123,Valuation_Date_GC,ReportType,DataMode,$H806)*Scale),"--"))</f>
        <v>--</v>
      </c>
      <c r="X806" s="2301" t="str">
        <f>IF($G806=0,"--",IFERROR(IF(_xll.ciqfunctions.udf.CIQ($G806,$S806,X123,Valuation_Date_GC,ReportType,DataMode,$H806)*Scale=0,"--",_xll.ciqfunctions.udf.CIQ($G806,$S806,X123,Valuation_Date_GC,ReportType,DataMode,$H806)*Scale),"--"))</f>
        <v>--</v>
      </c>
      <c r="Y806" s="2301" t="str">
        <f>IF($G806=0,"--",IFERROR(IF(_xll.ciqfunctions.udf.CIQ($G806,$S806,Y123,Valuation_Date_GC,ReportType,DataMode,$H806)*Scale=0,"--",_xll.ciqfunctions.udf.CIQ($G806,$S806,Y123,Valuation_Date_GC,ReportType,DataMode,$H806)*Scale),"--"))</f>
        <v>--</v>
      </c>
      <c r="Z806" s="2078" t="str">
        <f t="shared" si="192"/>
        <v/>
      </c>
    </row>
    <row r="807" spans="1:26" s="89" customFormat="1" ht="13.9">
      <c r="A807" s="269" t="str">
        <f t="shared" si="193"/>
        <v>n</v>
      </c>
      <c r="B807" s="2060"/>
      <c r="D807" s="801"/>
      <c r="E807" s="1505">
        <v>25</v>
      </c>
      <c r="F807" s="21" t="str">
        <f>F$153</f>
        <v>--</v>
      </c>
      <c r="G807" s="1441">
        <f>G$153</f>
        <v>0</v>
      </c>
      <c r="H807" s="1441" t="str">
        <f>H$153</f>
        <v>--</v>
      </c>
      <c r="I807" s="1513" t="s">
        <v>815</v>
      </c>
      <c r="J807" s="2301" t="str">
        <f>IF($G807=0,"--",IFERROR(_xll.ciqfunctions.udf.CIQ($G807,$I807,J124,Valuation_Date_GC,ReportType,DataMode,$H807,FXMode)*Scale,"--"))</f>
        <v>--</v>
      </c>
      <c r="K807" s="2301" t="str">
        <f>IF($G807=0,"--",IFERROR(_xll.ciqfunctions.udf.CIQ($G807,$I807,K124,Valuation_Date_GC,ReportType,DataMode,$H807,FXMode)*Scale,"--"))</f>
        <v>--</v>
      </c>
      <c r="L807" s="2301" t="str">
        <f>IF($G807=0,"--",IFERROR(_xll.ciqfunctions.udf.CIQ($G807,$I807,L124,Valuation_Date_GC,ReportType,DataMode,$H807,FXMode)*Scale,"--"))</f>
        <v>--</v>
      </c>
      <c r="M807" s="2301" t="str">
        <f>IF($G807=0,"--",IFERROR(_xll.ciqfunctions.udf.CIQ($G807,$I807,M124,Valuation_Date_GC,ReportType,DataMode,$H807,FXMode)*Scale,"--"))</f>
        <v>--</v>
      </c>
      <c r="N807" s="2301" t="str">
        <f>IF($G807=0,"--",IFERROR(_xll.ciqfunctions.udf.CIQ($G807,$I807,N124,Valuation_Date_GC,ReportType,DataMode,$H807,FXMode)*Scale,"--"))</f>
        <v>--</v>
      </c>
      <c r="O807" s="2317" t="str">
        <f>IF($G807=0,"--",IFERROR(IF(O124=1001,_xll.ciqfunctions.udf.CIQ($G807,$S807,O124,Valuation_Date_GC,ReportType,DataMode,$H807,FXMode),_xll.ciqfunctions.udf.CIQ($G807,$I807,O124,Valuation_Date_GC,ReportType,DataMode,$H807,FXMode))*Scale,"--"))</f>
        <v>--</v>
      </c>
      <c r="P807" s="2301" t="str">
        <f>IF($G807=0,"--",IFERROR(_xll.ciqfunctions.udf.CIQ($G807,$I807,P124,Valuation_Date_GC,ReportType,DataMode,$H807,FXMode)*Scale,"--"))</f>
        <v>--</v>
      </c>
      <c r="R807" s="255"/>
      <c r="S807" s="89" t="s">
        <v>814</v>
      </c>
      <c r="T807" s="2301" t="str">
        <f>IF(H124=0,O807,IFERROR(_xll.ciqfunctions.udf.CIQ($G807,$S807,U124-1,Valuation_Date_GC,ReportType,DataMode,$H807)*Scale,"--"))</f>
        <v>--</v>
      </c>
      <c r="U807" s="2301" t="str">
        <f>IF($G807=0,"--",IFERROR(IF(_xll.ciqfunctions.udf.CIQ($G807,$S807,U124,Valuation_Date_GC,ReportType,DataMode,$H807)*Scale=0,"--",_xll.ciqfunctions.udf.CIQ($G807,$S807,U124,Valuation_Date_GC,ReportType,DataMode,$H807)*Scale),"--"))</f>
        <v>--</v>
      </c>
      <c r="V807" s="2301" t="str">
        <f>IF($G807=0,"--",IFERROR(IF(_xll.ciqfunctions.udf.CIQ($G807,$S807,V124,Valuation_Date_GC,ReportType,DataMode,$H807)*Scale=0,"--",_xll.ciqfunctions.udf.CIQ($G807,$S807,V124,Valuation_Date_GC,ReportType,DataMode,$H807)*Scale),"--"))</f>
        <v>--</v>
      </c>
      <c r="W807" s="2301" t="str">
        <f>IF($G807=0,"--",IFERROR(IF(_xll.ciqfunctions.udf.CIQ($G807,$S807,W124,Valuation_Date_GC,ReportType,DataMode,$H807)*Scale=0,"--",_xll.ciqfunctions.udf.CIQ($G807,$S807,W124,Valuation_Date_GC,ReportType,DataMode,$H807)*Scale),"--"))</f>
        <v>--</v>
      </c>
      <c r="X807" s="2301" t="str">
        <f>IF($G807=0,"--",IFERROR(IF(_xll.ciqfunctions.udf.CIQ($G807,$S807,X124,Valuation_Date_GC,ReportType,DataMode,$H807)*Scale=0,"--",_xll.ciqfunctions.udf.CIQ($G807,$S807,X124,Valuation_Date_GC,ReportType,DataMode,$H807)*Scale),"--"))</f>
        <v>--</v>
      </c>
      <c r="Y807" s="2301" t="str">
        <f>IF($G807=0,"--",IFERROR(IF(_xll.ciqfunctions.udf.CIQ($G807,$S807,Y124,Valuation_Date_GC,ReportType,DataMode,$H807)*Scale=0,"--",_xll.ciqfunctions.udf.CIQ($G807,$S807,Y124,Valuation_Date_GC,ReportType,DataMode,$H807)*Scale),"--"))</f>
        <v>--</v>
      </c>
      <c r="Z807" s="2078" t="str">
        <f t="shared" si="192"/>
        <v/>
      </c>
    </row>
    <row r="808" spans="1:26" s="89" customFormat="1" ht="13.9">
      <c r="A808" s="2060"/>
      <c r="B808" s="2060"/>
      <c r="D808" s="801"/>
      <c r="F808" s="57" t="s">
        <v>767</v>
      </c>
      <c r="G808" s="1442"/>
      <c r="H808" s="1442"/>
      <c r="I808" s="1442"/>
      <c r="J808" s="1443" t="str">
        <f t="shared" ref="J808:P808" si="194">IFERROR(MEDIAN(J783:J807),"--")</f>
        <v>--</v>
      </c>
      <c r="K808" s="1443" t="str">
        <f t="shared" si="194"/>
        <v>--</v>
      </c>
      <c r="L808" s="1443" t="str">
        <f t="shared" si="194"/>
        <v>--</v>
      </c>
      <c r="M808" s="1443" t="str">
        <f t="shared" si="194"/>
        <v>--</v>
      </c>
      <c r="N808" s="1443" t="str">
        <f t="shared" si="194"/>
        <v>--</v>
      </c>
      <c r="O808" s="1444" t="str">
        <f t="shared" si="194"/>
        <v>--</v>
      </c>
      <c r="P808" s="1443" t="str">
        <f t="shared" si="194"/>
        <v>--</v>
      </c>
      <c r="R808" s="255"/>
      <c r="T808" s="1443" t="str">
        <f t="shared" ref="T808:Y808" si="195">IFERROR(MEDIAN(T783:T807),"--")</f>
        <v>--</v>
      </c>
      <c r="U808" s="1443" t="str">
        <f t="shared" si="195"/>
        <v>--</v>
      </c>
      <c r="V808" s="1443" t="str">
        <f t="shared" si="195"/>
        <v>--</v>
      </c>
      <c r="W808" s="1443" t="str">
        <f t="shared" si="195"/>
        <v>--</v>
      </c>
      <c r="X808" s="1443" t="str">
        <f t="shared" si="195"/>
        <v>--</v>
      </c>
      <c r="Y808" s="1443" t="str">
        <f t="shared" si="195"/>
        <v>--</v>
      </c>
    </row>
    <row r="809" spans="1:26" s="89" customFormat="1" ht="13.9">
      <c r="A809" s="2060"/>
      <c r="B809" s="2060"/>
      <c r="D809" s="801"/>
      <c r="F809" s="21"/>
      <c r="G809" s="1441"/>
      <c r="H809" s="1441"/>
      <c r="I809" s="1441"/>
      <c r="J809" s="1441"/>
      <c r="K809" s="1441"/>
      <c r="L809" s="1474"/>
      <c r="M809" s="1474"/>
      <c r="N809" s="1474"/>
      <c r="O809" s="1475"/>
      <c r="P809" s="1474"/>
    </row>
    <row r="810" spans="1:26" s="89" customFormat="1" ht="13.9">
      <c r="A810" s="2060"/>
      <c r="B810" s="2060"/>
      <c r="D810" s="801"/>
      <c r="F810" s="21"/>
      <c r="G810" s="1441"/>
      <c r="H810" s="1441"/>
      <c r="I810" s="1441"/>
      <c r="J810" s="1441"/>
      <c r="K810" s="1441"/>
      <c r="L810" s="1474"/>
      <c r="M810" s="1474"/>
      <c r="N810" s="1474"/>
      <c r="O810" s="1475"/>
      <c r="P810" s="1474"/>
    </row>
    <row r="811" spans="1:26" s="89" customFormat="1" ht="13.9">
      <c r="A811" s="2060"/>
      <c r="B811" s="2060"/>
      <c r="D811" s="801"/>
      <c r="F811" s="21"/>
      <c r="G811" s="1441"/>
      <c r="H811" s="1441"/>
      <c r="I811" s="1441"/>
      <c r="J811" s="1441"/>
      <c r="K811" s="1441"/>
      <c r="L811" s="1474"/>
      <c r="M811" s="1474"/>
      <c r="N811" s="1474"/>
      <c r="O811" s="1475"/>
      <c r="P811" s="1474"/>
    </row>
    <row r="812" spans="1:26" s="89" customFormat="1" ht="13.9">
      <c r="A812" s="2060"/>
      <c r="B812" s="2060"/>
      <c r="D812" s="778">
        <f ca="1">MAX(OFFSET(D812,-1,0,-ROW(D812)+1,-2),1)+0.01</f>
        <v>5.0899999999999981</v>
      </c>
      <c r="E812" s="125"/>
      <c r="F812" s="952" t="s">
        <v>126</v>
      </c>
      <c r="G812" s="724" t="s">
        <v>796</v>
      </c>
      <c r="H812" s="724"/>
      <c r="I812" s="724"/>
      <c r="J812" s="758" t="s">
        <v>699</v>
      </c>
      <c r="K812" s="758" t="s">
        <v>700</v>
      </c>
      <c r="L812" s="758" t="s">
        <v>701</v>
      </c>
      <c r="M812" s="758" t="s">
        <v>702</v>
      </c>
      <c r="N812" s="758" t="s">
        <v>703</v>
      </c>
      <c r="O812" s="759" t="s">
        <v>704</v>
      </c>
      <c r="P812" s="725" t="s">
        <v>705</v>
      </c>
      <c r="Q812" s="724"/>
      <c r="R812" s="724"/>
      <c r="S812" s="724"/>
      <c r="T812" s="724" t="s">
        <v>816</v>
      </c>
      <c r="U812" s="521" t="s">
        <v>707</v>
      </c>
      <c r="V812" s="521" t="s">
        <v>708</v>
      </c>
      <c r="W812" s="521" t="s">
        <v>709</v>
      </c>
      <c r="X812" s="521" t="s">
        <v>710</v>
      </c>
      <c r="Y812" s="521" t="s">
        <v>711</v>
      </c>
    </row>
    <row r="813" spans="1:26" s="89" customFormat="1" ht="13.9">
      <c r="A813" s="2060"/>
      <c r="B813" s="2060"/>
      <c r="D813" s="778"/>
      <c r="E813" s="1505">
        <v>0</v>
      </c>
      <c r="F813" s="1448" t="str">
        <f>F$128</f>
        <v/>
      </c>
      <c r="G813" s="1449">
        <f>G$128</f>
        <v>0</v>
      </c>
      <c r="H813" s="1449" t="str">
        <f>H$129</f>
        <v>--</v>
      </c>
      <c r="I813" s="1450" t="s">
        <v>817</v>
      </c>
      <c r="J813" s="2304">
        <f>'INC STAT Hist Input'!E34</f>
        <v>0</v>
      </c>
      <c r="K813" s="2304">
        <f>'INC STAT Hist Input'!F34</f>
        <v>0</v>
      </c>
      <c r="L813" s="2304">
        <f>'INC STAT Hist Input'!G34</f>
        <v>0</v>
      </c>
      <c r="M813" s="2304">
        <f>'INC STAT Hist Input'!H34</f>
        <v>0</v>
      </c>
      <c r="N813" s="2304">
        <f>'INC STAT Hist Input'!I34</f>
        <v>0</v>
      </c>
      <c r="O813" s="2304">
        <f>'INC STAT Hist Input'!J34</f>
        <v>0</v>
      </c>
      <c r="P813" s="2304">
        <f>'INC STAT Hist Input'!K34</f>
        <v>0</v>
      </c>
      <c r="Q813" s="258"/>
      <c r="R813" s="1473"/>
      <c r="S813" s="258"/>
      <c r="T813" s="258" t="s">
        <v>816</v>
      </c>
      <c r="U813" s="2316" t="str">
        <f>IFERROR(IF('PFI Inputs'!G95,'PFI Inputs'!G95,_xll.ciqfunctions.udf.CIQ($G813,$T813,U99,Valuation_Date_GC,ReportType,DataMode,$H813)*Scale),"--")</f>
        <v>--</v>
      </c>
      <c r="V813" s="2316" t="str">
        <f>IFERROR(IF('PFI Inputs'!H95,'PFI Inputs'!H95,_xll.ciqfunctions.udf.CIQ($G813,$T813,V99,Valuation_Date_GC,ReportType,DataMode,$H813)*Scale),"--")</f>
        <v>--</v>
      </c>
      <c r="W813" s="2316" t="str">
        <f>IFERROR(IF('PFI Inputs'!I95,'PFI Inputs'!I95,_xll.ciqfunctions.udf.CIQ($G813,$T813,W99,Valuation_Date_GC,ReportType,DataMode,$H813)*Scale),"--")</f>
        <v>--</v>
      </c>
      <c r="X813" s="2316" t="str">
        <f>IFERROR(IF('PFI Inputs'!J95,'PFI Inputs'!J95,_xll.ciqfunctions.udf.CIQ($G813,$T813,X99,Valuation_Date_GC,ReportType,DataMode,$H813)*Scale),"--")</f>
        <v>--</v>
      </c>
      <c r="Y813" s="2316" t="str">
        <f>IFERROR(IF('PFI Inputs'!K95,'PFI Inputs'!K95,_xll.ciqfunctions.udf.CIQ($G813,$T813,Y99,Valuation_Date_GC,ReportType,DataMode,$H813)*Scale),"--")</f>
        <v>--</v>
      </c>
    </row>
    <row r="814" spans="1:26" s="89" customFormat="1" ht="13.9">
      <c r="A814" s="269" t="str">
        <f>IF(F814="--","n","")</f>
        <v>n</v>
      </c>
      <c r="B814" s="2060"/>
      <c r="C814" s="72"/>
      <c r="D814" s="801"/>
      <c r="E814" s="1505">
        <v>1</v>
      </c>
      <c r="F814" s="21" t="str">
        <f>F$129</f>
        <v>--</v>
      </c>
      <c r="G814" s="1441">
        <f>G$129</f>
        <v>0</v>
      </c>
      <c r="H814" s="1441" t="str">
        <f>H$129</f>
        <v>--</v>
      </c>
      <c r="I814" s="1513" t="s">
        <v>817</v>
      </c>
      <c r="J814" s="2301" t="str">
        <f>IF($G814=0,"--",IFERROR(-_xll.ciqfunctions.udf.CIQ($G814,$I814,J100,Valuation_Date_GC,ReportType,DataMode,$H814,FXMode)*Scale,"--"))</f>
        <v>--</v>
      </c>
      <c r="K814" s="2301" t="str">
        <f>IF($G814=0,"--",IFERROR(-_xll.ciqfunctions.udf.CIQ($G814,$I814,K100,Valuation_Date_GC,ReportType,DataMode,$H814,FXMode)*Scale,"--"))</f>
        <v>--</v>
      </c>
      <c r="L814" s="2301" t="str">
        <f>IF($G814=0,"--",IFERROR(-_xll.ciqfunctions.udf.CIQ($G814,$I814,L100,Valuation_Date_GC,ReportType,DataMode,$H814,FXMode)*Scale,"--"))</f>
        <v>--</v>
      </c>
      <c r="M814" s="2301" t="str">
        <f>IF($G814=0,"--",IFERROR(-_xll.ciqfunctions.udf.CIQ($G814,$I814,M100,Valuation_Date_GC,ReportType,DataMode,$H814,FXMode)*Scale,"--"))</f>
        <v>--</v>
      </c>
      <c r="N814" s="2301" t="str">
        <f>IF($G814=0,"--",IFERROR(-_xll.ciqfunctions.udf.CIQ($G814,$I814,N100,Valuation_Date_GC,ReportType,DataMode,$H814,FXMode)*Scale,"--"))</f>
        <v>--</v>
      </c>
      <c r="O814" s="2317" t="str">
        <f>IF($G814=0,"--",IFERROR(-_xll.ciqfunctions.udf.CIQ($G814,$I814,O100,Valuation_Date_GC,ReportType,DataMode,$H814,FXMode)*Scale,"--"))</f>
        <v>--</v>
      </c>
      <c r="P814" s="2301" t="str">
        <f>IF($G814=0,"--",IFERROR(-_xll.ciqfunctions.udf.CIQ($G814,$I814,P100,Valuation_Date_GC,ReportType,DataMode,$H814,FXMode)*Scale,"--"))</f>
        <v>--</v>
      </c>
      <c r="R814" s="255"/>
      <c r="T814" s="89" t="s">
        <v>816</v>
      </c>
      <c r="U814" s="2301" t="str">
        <f>IF($G814=0,"--",IFERROR(IF(_xll.ciqfunctions.udf.CIQ($G814,$T814,U100,Valuation_Date_GC,ReportType,DataMode,$H814)*Scale=0,"--",_xll.ciqfunctions.udf.CIQ($G814,$T814,U100,Valuation_Date_GC,ReportType,DataMode,$H814)*Scale),"--"))</f>
        <v>--</v>
      </c>
      <c r="V814" s="2301" t="str">
        <f>IF($G814=0,"--",IFERROR(IF(_xll.ciqfunctions.udf.CIQ($G814,$T814,V100,Valuation_Date_GC,ReportType,DataMode,$H814)*Scale=0,"--",_xll.ciqfunctions.udf.CIQ($G814,$T814,V100,Valuation_Date_GC,ReportType,DataMode,$H814)*Scale),"--"))</f>
        <v>--</v>
      </c>
      <c r="W814" s="2301" t="str">
        <f>IF($G814=0,"--",IFERROR(IF(_xll.ciqfunctions.udf.CIQ($G814,$T814,W100,Valuation_Date_GC,ReportType,DataMode,$H814)*Scale=0,"--",_xll.ciqfunctions.udf.CIQ($G814,$T814,W100,Valuation_Date_GC,ReportType,DataMode,$H814)*Scale),"--"))</f>
        <v>--</v>
      </c>
      <c r="X814" s="2301" t="str">
        <f>IF($G814=0,"--",IFERROR(IF(_xll.ciqfunctions.udf.CIQ($G814,$T814,X100,Valuation_Date_GC,ReportType,DataMode,$H814)*Scale=0,"--",_xll.ciqfunctions.udf.CIQ($G814,$T814,X100,Valuation_Date_GC,ReportType,DataMode,$H814)*Scale),"--"))</f>
        <v>--</v>
      </c>
      <c r="Y814" s="2301" t="str">
        <f>IF($G814=0,"--",IFERROR(IF(_xll.ciqfunctions.udf.CIQ($G814,$T814,Y100,Valuation_Date_GC,ReportType,DataMode,$H814)*Scale=0,"--",_xll.ciqfunctions.udf.CIQ($G814,$T814,Y100,Valuation_Date_GC,ReportType,DataMode,$H814)*Scale),"--"))</f>
        <v>--</v>
      </c>
    </row>
    <row r="815" spans="1:26" s="89" customFormat="1" ht="13.9">
      <c r="A815" s="269" t="str">
        <f t="shared" ref="A815:A838" si="196">IF(F815="--","n","")</f>
        <v>n</v>
      </c>
      <c r="B815" s="2060"/>
      <c r="D815" s="801"/>
      <c r="E815" s="1505">
        <v>2</v>
      </c>
      <c r="F815" s="21" t="str">
        <f>F$130</f>
        <v>--</v>
      </c>
      <c r="G815" s="1441">
        <f>G$130</f>
        <v>0</v>
      </c>
      <c r="H815" s="1441" t="str">
        <f>H$130</f>
        <v>--</v>
      </c>
      <c r="I815" s="1513" t="s">
        <v>817</v>
      </c>
      <c r="J815" s="2301" t="str">
        <f>IF($G815=0,"--",IFERROR(-_xll.ciqfunctions.udf.CIQ($G815,$I815,J101,Valuation_Date_GC,ReportType,DataMode,$H815,FXMode)*Scale,"--"))</f>
        <v>--</v>
      </c>
      <c r="K815" s="2301" t="str">
        <f>IF($G815=0,"--",IFERROR(-_xll.ciqfunctions.udf.CIQ($G815,$I815,K101,Valuation_Date_GC,ReportType,DataMode,$H815,FXMode)*Scale,"--"))</f>
        <v>--</v>
      </c>
      <c r="L815" s="2301" t="str">
        <f>IF($G815=0,"--",IFERROR(-_xll.ciqfunctions.udf.CIQ($G815,$I815,L101,Valuation_Date_GC,ReportType,DataMode,$H815,FXMode)*Scale,"--"))</f>
        <v>--</v>
      </c>
      <c r="M815" s="2301" t="str">
        <f>IF($G815=0,"--",IFERROR(-_xll.ciqfunctions.udf.CIQ($G815,$I815,M101,Valuation_Date_GC,ReportType,DataMode,$H815,FXMode)*Scale,"--"))</f>
        <v>--</v>
      </c>
      <c r="N815" s="2301" t="str">
        <f>IF($G815=0,"--",IFERROR(-_xll.ciqfunctions.udf.CIQ($G815,$I815,N101,Valuation_Date_GC,ReportType,DataMode,$H815,FXMode)*Scale,"--"))</f>
        <v>--</v>
      </c>
      <c r="O815" s="2317" t="str">
        <f>IF($G815=0,"--",IFERROR(-_xll.ciqfunctions.udf.CIQ($G815,$I815,O101,Valuation_Date_GC,ReportType,DataMode,$H815,FXMode)*Scale,"--"))</f>
        <v>--</v>
      </c>
      <c r="P815" s="2301" t="str">
        <f>IF($G815=0,"--",IFERROR(-_xll.ciqfunctions.udf.CIQ($G815,$I815,P101,Valuation_Date_GC,ReportType,DataMode,$H815,FXMode)*Scale,"--"))</f>
        <v>--</v>
      </c>
      <c r="R815" s="255"/>
      <c r="T815" s="89" t="s">
        <v>816</v>
      </c>
      <c r="U815" s="2301" t="str">
        <f>IF($G815=0,"--",IFERROR(IF(_xll.ciqfunctions.udf.CIQ($G815,$T815,U101,Valuation_Date_GC,ReportType,DataMode,$H815)*Scale=0,"--",_xll.ciqfunctions.udf.CIQ($G815,$T815,U101,Valuation_Date_GC,ReportType,DataMode,$H815)*Scale),"--"))</f>
        <v>--</v>
      </c>
      <c r="V815" s="2301" t="str">
        <f>IF($G815=0,"--",IFERROR(IF(_xll.ciqfunctions.udf.CIQ($G815,$T815,V101,Valuation_Date_GC,ReportType,DataMode,$H815)*Scale=0,"--",_xll.ciqfunctions.udf.CIQ($G815,$T815,V101,Valuation_Date_GC,ReportType,DataMode,$H815)*Scale),"--"))</f>
        <v>--</v>
      </c>
      <c r="W815" s="2301" t="str">
        <f>IF($G815=0,"--",IFERROR(IF(_xll.ciqfunctions.udf.CIQ($G815,$T815,W101,Valuation_Date_GC,ReportType,DataMode,$H815)*Scale=0,"--",_xll.ciqfunctions.udf.CIQ($G815,$T815,W101,Valuation_Date_GC,ReportType,DataMode,$H815)*Scale),"--"))</f>
        <v>--</v>
      </c>
      <c r="X815" s="2301" t="str">
        <f>IF($G815=0,"--",IFERROR(IF(_xll.ciqfunctions.udf.CIQ($G815,$T815,X101,Valuation_Date_GC,ReportType,DataMode,$H815)*Scale=0,"--",_xll.ciqfunctions.udf.CIQ($G815,$T815,X101,Valuation_Date_GC,ReportType,DataMode,$H815)*Scale),"--"))</f>
        <v>--</v>
      </c>
      <c r="Y815" s="2301" t="str">
        <f>IF($G815=0,"--",IFERROR(IF(_xll.ciqfunctions.udf.CIQ($G815,$T815,Y101,Valuation_Date_GC,ReportType,DataMode,$H815)*Scale=0,"--",_xll.ciqfunctions.udf.CIQ($G815,$T815,Y101,Valuation_Date_GC,ReportType,DataMode,$H815)*Scale),"--"))</f>
        <v>--</v>
      </c>
    </row>
    <row r="816" spans="1:26" s="89" customFormat="1" ht="13.9">
      <c r="A816" s="269" t="str">
        <f t="shared" si="196"/>
        <v>n</v>
      </c>
      <c r="B816" s="2060"/>
      <c r="C816" s="72"/>
      <c r="D816" s="801"/>
      <c r="E816" s="1505">
        <v>3</v>
      </c>
      <c r="F816" s="21" t="str">
        <f>F$131</f>
        <v>--</v>
      </c>
      <c r="G816" s="1441">
        <f>G$131</f>
        <v>0</v>
      </c>
      <c r="H816" s="1441" t="str">
        <f>H$131</f>
        <v>--</v>
      </c>
      <c r="I816" s="1513" t="s">
        <v>817</v>
      </c>
      <c r="J816" s="2301" t="str">
        <f>IF($G816=0,"--",IFERROR(-_xll.ciqfunctions.udf.CIQ($G816,$I816,J102,Valuation_Date_GC,ReportType,DataMode,$H816,FXMode)*Scale,"--"))</f>
        <v>--</v>
      </c>
      <c r="K816" s="2301" t="str">
        <f>IF($G816=0,"--",IFERROR(-_xll.ciqfunctions.udf.CIQ($G816,$I816,K102,Valuation_Date_GC,ReportType,DataMode,$H816,FXMode)*Scale,"--"))</f>
        <v>--</v>
      </c>
      <c r="L816" s="2301" t="str">
        <f>IF($G816=0,"--",IFERROR(-_xll.ciqfunctions.udf.CIQ($G816,$I816,L102,Valuation_Date_GC,ReportType,DataMode,$H816,FXMode)*Scale,"--"))</f>
        <v>--</v>
      </c>
      <c r="M816" s="2301" t="str">
        <f>IF($G816=0,"--",IFERROR(-_xll.ciqfunctions.udf.CIQ($G816,$I816,M102,Valuation_Date_GC,ReportType,DataMode,$H816,FXMode)*Scale,"--"))</f>
        <v>--</v>
      </c>
      <c r="N816" s="2301" t="str">
        <f>IF($G816=0,"--",IFERROR(-_xll.ciqfunctions.udf.CIQ($G816,$I816,N102,Valuation_Date_GC,ReportType,DataMode,$H816,FXMode)*Scale,"--"))</f>
        <v>--</v>
      </c>
      <c r="O816" s="2317" t="str">
        <f>IF($G816=0,"--",IFERROR(-_xll.ciqfunctions.udf.CIQ($G816,$I816,O102,Valuation_Date_GC,ReportType,DataMode,$H816,FXMode)*Scale,"--"))</f>
        <v>--</v>
      </c>
      <c r="P816" s="2301" t="str">
        <f>IF($G816=0,"--",IFERROR(-_xll.ciqfunctions.udf.CIQ($G816,$I816,P102,Valuation_Date_GC,ReportType,DataMode,$H816,FXMode)*Scale,"--"))</f>
        <v>--</v>
      </c>
      <c r="R816" s="255"/>
      <c r="T816" s="89" t="s">
        <v>816</v>
      </c>
      <c r="U816" s="2301" t="str">
        <f>IF($G816=0,"--",IFERROR(IF(_xll.ciqfunctions.udf.CIQ($G816,$T816,U102,Valuation_Date_GC,ReportType,DataMode,$H816)*Scale=0,"--",_xll.ciqfunctions.udf.CIQ($G816,$T816,U102,Valuation_Date_GC,ReportType,DataMode,$H816)*Scale),"--"))</f>
        <v>--</v>
      </c>
      <c r="V816" s="2301" t="str">
        <f>IF($G816=0,"--",IFERROR(IF(_xll.ciqfunctions.udf.CIQ($G816,$T816,V102,Valuation_Date_GC,ReportType,DataMode,$H816)*Scale=0,"--",_xll.ciqfunctions.udf.CIQ($G816,$T816,V102,Valuation_Date_GC,ReportType,DataMode,$H816)*Scale),"--"))</f>
        <v>--</v>
      </c>
      <c r="W816" s="2301" t="str">
        <f>IF($G816=0,"--",IFERROR(IF(_xll.ciqfunctions.udf.CIQ($G816,$T816,W102,Valuation_Date_GC,ReportType,DataMode,$H816)*Scale=0,"--",_xll.ciqfunctions.udf.CIQ($G816,$T816,W102,Valuation_Date_GC,ReportType,DataMode,$H816)*Scale),"--"))</f>
        <v>--</v>
      </c>
      <c r="X816" s="2301" t="str">
        <f>IF($G816=0,"--",IFERROR(IF(_xll.ciqfunctions.udf.CIQ($G816,$T816,X102,Valuation_Date_GC,ReportType,DataMode,$H816)*Scale=0,"--",_xll.ciqfunctions.udf.CIQ($G816,$T816,X102,Valuation_Date_GC,ReportType,DataMode,$H816)*Scale),"--"))</f>
        <v>--</v>
      </c>
      <c r="Y816" s="2301" t="str">
        <f>IF($G816=0,"--",IFERROR(IF(_xll.ciqfunctions.udf.CIQ($G816,$T816,Y102,Valuation_Date_GC,ReportType,DataMode,$H816)*Scale=0,"--",_xll.ciqfunctions.udf.CIQ($G816,$T816,Y102,Valuation_Date_GC,ReportType,DataMode,$H816)*Scale),"--"))</f>
        <v>--</v>
      </c>
    </row>
    <row r="817" spans="1:25" s="89" customFormat="1" ht="13.9">
      <c r="A817" s="269" t="str">
        <f t="shared" si="196"/>
        <v>n</v>
      </c>
      <c r="B817" s="2060"/>
      <c r="C817" s="72"/>
      <c r="D817" s="801"/>
      <c r="E817" s="1505">
        <v>4</v>
      </c>
      <c r="F817" s="21" t="str">
        <f>F$132</f>
        <v>--</v>
      </c>
      <c r="G817" s="1441">
        <f>G$132</f>
        <v>0</v>
      </c>
      <c r="H817" s="1441" t="str">
        <f>H$132</f>
        <v>--</v>
      </c>
      <c r="I817" s="1513" t="s">
        <v>817</v>
      </c>
      <c r="J817" s="2301" t="str">
        <f>IF($G817=0,"--",IFERROR(-_xll.ciqfunctions.udf.CIQ($G817,$I817,J103,Valuation_Date_GC,ReportType,DataMode,$H817,FXMode)*Scale,"--"))</f>
        <v>--</v>
      </c>
      <c r="K817" s="2301" t="str">
        <f>IF($G817=0,"--",IFERROR(-_xll.ciqfunctions.udf.CIQ($G817,$I817,K103,Valuation_Date_GC,ReportType,DataMode,$H817,FXMode)*Scale,"--"))</f>
        <v>--</v>
      </c>
      <c r="L817" s="2301" t="str">
        <f>IF($G817=0,"--",IFERROR(-_xll.ciqfunctions.udf.CIQ($G817,$I817,L103,Valuation_Date_GC,ReportType,DataMode,$H817,FXMode)*Scale,"--"))</f>
        <v>--</v>
      </c>
      <c r="M817" s="2301" t="str">
        <f>IF($G817=0,"--",IFERROR(-_xll.ciqfunctions.udf.CIQ($G817,$I817,M103,Valuation_Date_GC,ReportType,DataMode,$H817,FXMode)*Scale,"--"))</f>
        <v>--</v>
      </c>
      <c r="N817" s="2301" t="str">
        <f>IF($G817=0,"--",IFERROR(-_xll.ciqfunctions.udf.CIQ($G817,$I817,N103,Valuation_Date_GC,ReportType,DataMode,$H817,FXMode)*Scale,"--"))</f>
        <v>--</v>
      </c>
      <c r="O817" s="2317" t="str">
        <f>IF($G817=0,"--",IFERROR(-_xll.ciqfunctions.udf.CIQ($G817,$I817,O103,Valuation_Date_GC,ReportType,DataMode,$H817,FXMode)*Scale,"--"))</f>
        <v>--</v>
      </c>
      <c r="P817" s="2301" t="str">
        <f>IF($G817=0,"--",IFERROR(-_xll.ciqfunctions.udf.CIQ($G817,$I817,P103,Valuation_Date_GC,ReportType,DataMode,$H817,FXMode)*Scale,"--"))</f>
        <v>--</v>
      </c>
      <c r="R817" s="255"/>
      <c r="T817" s="89" t="s">
        <v>816</v>
      </c>
      <c r="U817" s="2301" t="str">
        <f>IF($G817=0,"--",IFERROR(IF(_xll.ciqfunctions.udf.CIQ($G817,$T817,U103,Valuation_Date_GC,ReportType,DataMode,$H817)*Scale=0,"--",_xll.ciqfunctions.udf.CIQ($G817,$T817,U103,Valuation_Date_GC,ReportType,DataMode,$H817)*Scale),"--"))</f>
        <v>--</v>
      </c>
      <c r="V817" s="2301" t="str">
        <f>IF($G817=0,"--",IFERROR(IF(_xll.ciqfunctions.udf.CIQ($G817,$T817,V103,Valuation_Date_GC,ReportType,DataMode,$H817)*Scale=0,"--",_xll.ciqfunctions.udf.CIQ($G817,$T817,V103,Valuation_Date_GC,ReportType,DataMode,$H817)*Scale),"--"))</f>
        <v>--</v>
      </c>
      <c r="W817" s="2301" t="str">
        <f>IF($G817=0,"--",IFERROR(IF(_xll.ciqfunctions.udf.CIQ($G817,$T817,W103,Valuation_Date_GC,ReportType,DataMode,$H817)*Scale=0,"--",_xll.ciqfunctions.udf.CIQ($G817,$T817,W103,Valuation_Date_GC,ReportType,DataMode,$H817)*Scale),"--"))</f>
        <v>--</v>
      </c>
      <c r="X817" s="2301" t="str">
        <f>IF($G817=0,"--",IFERROR(IF(_xll.ciqfunctions.udf.CIQ($G817,$T817,X103,Valuation_Date_GC,ReportType,DataMode,$H817)*Scale=0,"--",_xll.ciqfunctions.udf.CIQ($G817,$T817,X103,Valuation_Date_GC,ReportType,DataMode,$H817)*Scale),"--"))</f>
        <v>--</v>
      </c>
      <c r="Y817" s="2301" t="str">
        <f>IF($G817=0,"--",IFERROR(IF(_xll.ciqfunctions.udf.CIQ($G817,$T817,Y103,Valuation_Date_GC,ReportType,DataMode,$H817)*Scale=0,"--",_xll.ciqfunctions.udf.CIQ($G817,$T817,Y103,Valuation_Date_GC,ReportType,DataMode,$H817)*Scale),"--"))</f>
        <v>--</v>
      </c>
    </row>
    <row r="818" spans="1:25" s="89" customFormat="1" ht="13.9">
      <c r="A818" s="269" t="str">
        <f t="shared" si="196"/>
        <v>n</v>
      </c>
      <c r="B818" s="2060"/>
      <c r="C818" s="72"/>
      <c r="D818" s="801"/>
      <c r="E818" s="1505">
        <v>5</v>
      </c>
      <c r="F818" s="21" t="str">
        <f>F$133</f>
        <v>--</v>
      </c>
      <c r="G818" s="1441">
        <f>G$133</f>
        <v>0</v>
      </c>
      <c r="H818" s="1441" t="str">
        <f>H$133</f>
        <v>--</v>
      </c>
      <c r="I818" s="1513" t="s">
        <v>817</v>
      </c>
      <c r="J818" s="2301" t="str">
        <f>IF($G818=0,"--",IFERROR(-_xll.ciqfunctions.udf.CIQ($G818,$I818,J104,Valuation_Date_GC,ReportType,DataMode,$H818,FXMode)*Scale,"--"))</f>
        <v>--</v>
      </c>
      <c r="K818" s="2301" t="str">
        <f>IF($G818=0,"--",IFERROR(-_xll.ciqfunctions.udf.CIQ($G818,$I818,K104,Valuation_Date_GC,ReportType,DataMode,$H818,FXMode)*Scale,"--"))</f>
        <v>--</v>
      </c>
      <c r="L818" s="2301" t="str">
        <f>IF($G818=0,"--",IFERROR(-_xll.ciqfunctions.udf.CIQ($G818,$I818,L104,Valuation_Date_GC,ReportType,DataMode,$H818,FXMode)*Scale,"--"))</f>
        <v>--</v>
      </c>
      <c r="M818" s="2301" t="str">
        <f>IF($G818=0,"--",IFERROR(-_xll.ciqfunctions.udf.CIQ($G818,$I818,M104,Valuation_Date_GC,ReportType,DataMode,$H818,FXMode)*Scale,"--"))</f>
        <v>--</v>
      </c>
      <c r="N818" s="2301" t="str">
        <f>IF($G818=0,"--",IFERROR(-_xll.ciqfunctions.udf.CIQ($G818,$I818,N104,Valuation_Date_GC,ReportType,DataMode,$H818,FXMode)*Scale,"--"))</f>
        <v>--</v>
      </c>
      <c r="O818" s="2317" t="str">
        <f>IF($G818=0,"--",IFERROR(-_xll.ciqfunctions.udf.CIQ($G818,$I818,O104,Valuation_Date_GC,ReportType,DataMode,$H818,FXMode)*Scale,"--"))</f>
        <v>--</v>
      </c>
      <c r="P818" s="2301" t="str">
        <f>IF($G818=0,"--",IFERROR(-_xll.ciqfunctions.udf.CIQ($G818,$I818,P104,Valuation_Date_GC,ReportType,DataMode,$H818,FXMode)*Scale,"--"))</f>
        <v>--</v>
      </c>
      <c r="R818" s="255"/>
      <c r="T818" s="89" t="s">
        <v>816</v>
      </c>
      <c r="U818" s="2301" t="str">
        <f>IF($G818=0,"--",IFERROR(IF(_xll.ciqfunctions.udf.CIQ($G818,$T818,U104,Valuation_Date_GC,ReportType,DataMode,$H818)*Scale=0,"--",_xll.ciqfunctions.udf.CIQ($G818,$T818,U104,Valuation_Date_GC,ReportType,DataMode,$H818)*Scale),"--"))</f>
        <v>--</v>
      </c>
      <c r="V818" s="2301" t="str">
        <f>IF($G818=0,"--",IFERROR(IF(_xll.ciqfunctions.udf.CIQ($G818,$T818,V104,Valuation_Date_GC,ReportType,DataMode,$H818)*Scale=0,"--",_xll.ciqfunctions.udf.CIQ($G818,$T818,V104,Valuation_Date_GC,ReportType,DataMode,$H818)*Scale),"--"))</f>
        <v>--</v>
      </c>
      <c r="W818" s="2301" t="str">
        <f>IF($G818=0,"--",IFERROR(IF(_xll.ciqfunctions.udf.CIQ($G818,$T818,W104,Valuation_Date_GC,ReportType,DataMode,$H818)*Scale=0,"--",_xll.ciqfunctions.udf.CIQ($G818,$T818,W104,Valuation_Date_GC,ReportType,DataMode,$H818)*Scale),"--"))</f>
        <v>--</v>
      </c>
      <c r="X818" s="2301" t="str">
        <f>IF($G818=0,"--",IFERROR(IF(_xll.ciqfunctions.udf.CIQ($G818,$T818,X104,Valuation_Date_GC,ReportType,DataMode,$H818)*Scale=0,"--",_xll.ciqfunctions.udf.CIQ($G818,$T818,X104,Valuation_Date_GC,ReportType,DataMode,$H818)*Scale),"--"))</f>
        <v>--</v>
      </c>
      <c r="Y818" s="2301" t="str">
        <f>IF($G818=0,"--",IFERROR(IF(_xll.ciqfunctions.udf.CIQ($G818,$T818,Y104,Valuation_Date_GC,ReportType,DataMode,$H818)*Scale=0,"--",_xll.ciqfunctions.udf.CIQ($G818,$T818,Y104,Valuation_Date_GC,ReportType,DataMode,$H818)*Scale),"--"))</f>
        <v>--</v>
      </c>
    </row>
    <row r="819" spans="1:25" s="89" customFormat="1" ht="13.9">
      <c r="A819" s="269" t="str">
        <f t="shared" si="196"/>
        <v>n</v>
      </c>
      <c r="B819" s="2060"/>
      <c r="C819" s="72"/>
      <c r="D819" s="801"/>
      <c r="E819" s="1505">
        <v>6</v>
      </c>
      <c r="F819" s="21" t="str">
        <f>F$134</f>
        <v>--</v>
      </c>
      <c r="G819" s="1441">
        <f>G$134</f>
        <v>0</v>
      </c>
      <c r="H819" s="1441" t="str">
        <f>H$134</f>
        <v>--</v>
      </c>
      <c r="I819" s="1513" t="s">
        <v>817</v>
      </c>
      <c r="J819" s="2301" t="str">
        <f>IF($G819=0,"--",IFERROR(-_xll.ciqfunctions.udf.CIQ($G819,$I819,J105,Valuation_Date_GC,ReportType,DataMode,$H819,FXMode)*Scale,"--"))</f>
        <v>--</v>
      </c>
      <c r="K819" s="2301" t="str">
        <f>IF($G819=0,"--",IFERROR(-_xll.ciqfunctions.udf.CIQ($G819,$I819,K105,Valuation_Date_GC,ReportType,DataMode,$H819,FXMode)*Scale,"--"))</f>
        <v>--</v>
      </c>
      <c r="L819" s="2301" t="str">
        <f>IF($G819=0,"--",IFERROR(-_xll.ciqfunctions.udf.CIQ($G819,$I819,L105,Valuation_Date_GC,ReportType,DataMode,$H819,FXMode)*Scale,"--"))</f>
        <v>--</v>
      </c>
      <c r="M819" s="2301" t="str">
        <f>IF($G819=0,"--",IFERROR(-_xll.ciqfunctions.udf.CIQ($G819,$I819,M105,Valuation_Date_GC,ReportType,DataMode,$H819,FXMode)*Scale,"--"))</f>
        <v>--</v>
      </c>
      <c r="N819" s="2301" t="str">
        <f>IF($G819=0,"--",IFERROR(-_xll.ciqfunctions.udf.CIQ($G819,$I819,N105,Valuation_Date_GC,ReportType,DataMode,$H819,FXMode)*Scale,"--"))</f>
        <v>--</v>
      </c>
      <c r="O819" s="2317" t="str">
        <f>IF($G819=0,"--",IFERROR(-_xll.ciqfunctions.udf.CIQ($G819,$I819,O105,Valuation_Date_GC,ReportType,DataMode,$H819,FXMode)*Scale,"--"))</f>
        <v>--</v>
      </c>
      <c r="P819" s="2301" t="str">
        <f>IF($G819=0,"--",IFERROR(-_xll.ciqfunctions.udf.CIQ($G819,$I819,P105,Valuation_Date_GC,ReportType,DataMode,$H819,FXMode)*Scale,"--"))</f>
        <v>--</v>
      </c>
      <c r="R819" s="255"/>
      <c r="T819" s="89" t="s">
        <v>816</v>
      </c>
      <c r="U819" s="2301" t="str">
        <f>IF($G819=0,"--",IFERROR(IF(_xll.ciqfunctions.udf.CIQ($G819,$T819,U105,Valuation_Date_GC,ReportType,DataMode,$H819)*Scale=0,"--",_xll.ciqfunctions.udf.CIQ($G819,$T819,U105,Valuation_Date_GC,ReportType,DataMode,$H819)*Scale),"--"))</f>
        <v>--</v>
      </c>
      <c r="V819" s="2301" t="str">
        <f>IF($G819=0,"--",IFERROR(IF(_xll.ciqfunctions.udf.CIQ($G819,$T819,V105,Valuation_Date_GC,ReportType,DataMode,$H819)*Scale=0,"--",_xll.ciqfunctions.udf.CIQ($G819,$T819,V105,Valuation_Date_GC,ReportType,DataMode,$H819)*Scale),"--"))</f>
        <v>--</v>
      </c>
      <c r="W819" s="2301" t="str">
        <f>IF($G819=0,"--",IFERROR(IF(_xll.ciqfunctions.udf.CIQ($G819,$T819,W105,Valuation_Date_GC,ReportType,DataMode,$H819)*Scale=0,"--",_xll.ciqfunctions.udf.CIQ($G819,$T819,W105,Valuation_Date_GC,ReportType,DataMode,$H819)*Scale),"--"))</f>
        <v>--</v>
      </c>
      <c r="X819" s="2301" t="str">
        <f>IF($G819=0,"--",IFERROR(IF(_xll.ciqfunctions.udf.CIQ($G819,$T819,X105,Valuation_Date_GC,ReportType,DataMode,$H819)*Scale=0,"--",_xll.ciqfunctions.udf.CIQ($G819,$T819,X105,Valuation_Date_GC,ReportType,DataMode,$H819)*Scale),"--"))</f>
        <v>--</v>
      </c>
      <c r="Y819" s="2301" t="str">
        <f>IF($G819=0,"--",IFERROR(IF(_xll.ciqfunctions.udf.CIQ($G819,$T819,Y105,Valuation_Date_GC,ReportType,DataMode,$H819)*Scale=0,"--",_xll.ciqfunctions.udf.CIQ($G819,$T819,Y105,Valuation_Date_GC,ReportType,DataMode,$H819)*Scale),"--"))</f>
        <v>--</v>
      </c>
    </row>
    <row r="820" spans="1:25" s="89" customFormat="1" ht="13.9">
      <c r="A820" s="269" t="str">
        <f t="shared" si="196"/>
        <v>n</v>
      </c>
      <c r="B820" s="2060"/>
      <c r="D820" s="801"/>
      <c r="E820" s="1505">
        <v>7</v>
      </c>
      <c r="F820" s="21" t="str">
        <f>F$135</f>
        <v>--</v>
      </c>
      <c r="G820" s="1441">
        <f>G$135</f>
        <v>0</v>
      </c>
      <c r="H820" s="1441" t="str">
        <f>H$135</f>
        <v>--</v>
      </c>
      <c r="I820" s="1513" t="s">
        <v>817</v>
      </c>
      <c r="J820" s="2301" t="str">
        <f>IF($G820=0,"--",IFERROR(-_xll.ciqfunctions.udf.CIQ($G820,$I820,J106,Valuation_Date_GC,ReportType,DataMode,$H820,FXMode)*Scale,"--"))</f>
        <v>--</v>
      </c>
      <c r="K820" s="2301" t="str">
        <f>IF($G820=0,"--",IFERROR(-_xll.ciqfunctions.udf.CIQ($G820,$I820,K106,Valuation_Date_GC,ReportType,DataMode,$H820,FXMode)*Scale,"--"))</f>
        <v>--</v>
      </c>
      <c r="L820" s="2301" t="str">
        <f>IF($G820=0,"--",IFERROR(-_xll.ciqfunctions.udf.CIQ($G820,$I820,L106,Valuation_Date_GC,ReportType,DataMode,$H820,FXMode)*Scale,"--"))</f>
        <v>--</v>
      </c>
      <c r="M820" s="2301" t="str">
        <f>IF($G820=0,"--",IFERROR(-_xll.ciqfunctions.udf.CIQ($G820,$I820,M106,Valuation_Date_GC,ReportType,DataMode,$H820,FXMode)*Scale,"--"))</f>
        <v>--</v>
      </c>
      <c r="N820" s="2301" t="str">
        <f>IF($G820=0,"--",IFERROR(-_xll.ciqfunctions.udf.CIQ($G820,$I820,N106,Valuation_Date_GC,ReportType,DataMode,$H820,FXMode)*Scale,"--"))</f>
        <v>--</v>
      </c>
      <c r="O820" s="2317" t="str">
        <f>IF($G820=0,"--",IFERROR(-_xll.ciqfunctions.udf.CIQ($G820,$I820,O106,Valuation_Date_GC,ReportType,DataMode,$H820,FXMode)*Scale,"--"))</f>
        <v>--</v>
      </c>
      <c r="P820" s="2301" t="str">
        <f>IF($G820=0,"--",IFERROR(-_xll.ciqfunctions.udf.CIQ($G820,$I820,P106,Valuation_Date_GC,ReportType,DataMode,$H820,FXMode)*Scale,"--"))</f>
        <v>--</v>
      </c>
      <c r="R820" s="255"/>
      <c r="T820" s="89" t="s">
        <v>816</v>
      </c>
      <c r="U820" s="2301" t="str">
        <f>IF($G820=0,"--",IFERROR(IF(_xll.ciqfunctions.udf.CIQ($G820,$T820,U106,Valuation_Date_GC,ReportType,DataMode,$H820)*Scale=0,"--",_xll.ciqfunctions.udf.CIQ($G820,$T820,U106,Valuation_Date_GC,ReportType,DataMode,$H820)*Scale),"--"))</f>
        <v>--</v>
      </c>
      <c r="V820" s="2301" t="str">
        <f>IF($G820=0,"--",IFERROR(IF(_xll.ciqfunctions.udf.CIQ($G820,$T820,V106,Valuation_Date_GC,ReportType,DataMode,$H820)*Scale=0,"--",_xll.ciqfunctions.udf.CIQ($G820,$T820,V106,Valuation_Date_GC,ReportType,DataMode,$H820)*Scale),"--"))</f>
        <v>--</v>
      </c>
      <c r="W820" s="2301" t="str">
        <f>IF($G820=0,"--",IFERROR(IF(_xll.ciqfunctions.udf.CIQ($G820,$T820,W106,Valuation_Date_GC,ReportType,DataMode,$H820)*Scale=0,"--",_xll.ciqfunctions.udf.CIQ($G820,$T820,W106,Valuation_Date_GC,ReportType,DataMode,$H820)*Scale),"--"))</f>
        <v>--</v>
      </c>
      <c r="X820" s="2301" t="str">
        <f>IF($G820=0,"--",IFERROR(IF(_xll.ciqfunctions.udf.CIQ($G820,$T820,X106,Valuation_Date_GC,ReportType,DataMode,$H820)*Scale=0,"--",_xll.ciqfunctions.udf.CIQ($G820,$T820,X106,Valuation_Date_GC,ReportType,DataMode,$H820)*Scale),"--"))</f>
        <v>--</v>
      </c>
      <c r="Y820" s="2301" t="str">
        <f>IF($G820=0,"--",IFERROR(IF(_xll.ciqfunctions.udf.CIQ($G820,$T820,Y106,Valuation_Date_GC,ReportType,DataMode,$H820)*Scale=0,"--",_xll.ciqfunctions.udf.CIQ($G820,$T820,Y106,Valuation_Date_GC,ReportType,DataMode,$H820)*Scale),"--"))</f>
        <v>--</v>
      </c>
    </row>
    <row r="821" spans="1:25" s="89" customFormat="1" ht="13.9">
      <c r="A821" s="269" t="str">
        <f t="shared" si="196"/>
        <v>n</v>
      </c>
      <c r="B821" s="2060"/>
      <c r="D821" s="801"/>
      <c r="E821" s="1505">
        <v>8</v>
      </c>
      <c r="F821" s="21" t="str">
        <f>F$136</f>
        <v>--</v>
      </c>
      <c r="G821" s="1441">
        <f>G$136</f>
        <v>0</v>
      </c>
      <c r="H821" s="1441" t="str">
        <f>H$136</f>
        <v>--</v>
      </c>
      <c r="I821" s="1513" t="s">
        <v>817</v>
      </c>
      <c r="J821" s="2301" t="str">
        <f>IF($G821=0,"--",IFERROR(-_xll.ciqfunctions.udf.CIQ($G821,$I821,J107,Valuation_Date_GC,ReportType,DataMode,$H821,FXMode)*Scale,"--"))</f>
        <v>--</v>
      </c>
      <c r="K821" s="2301" t="str">
        <f>IF($G821=0,"--",IFERROR(-_xll.ciqfunctions.udf.CIQ($G821,$I821,K107,Valuation_Date_GC,ReportType,DataMode,$H821,FXMode)*Scale,"--"))</f>
        <v>--</v>
      </c>
      <c r="L821" s="2301" t="str">
        <f>IF($G821=0,"--",IFERROR(-_xll.ciqfunctions.udf.CIQ($G821,$I821,L107,Valuation_Date_GC,ReportType,DataMode,$H821,FXMode)*Scale,"--"))</f>
        <v>--</v>
      </c>
      <c r="M821" s="2301" t="str">
        <f>IF($G821=0,"--",IFERROR(-_xll.ciqfunctions.udf.CIQ($G821,$I821,M107,Valuation_Date_GC,ReportType,DataMode,$H821,FXMode)*Scale,"--"))</f>
        <v>--</v>
      </c>
      <c r="N821" s="2301" t="str">
        <f>IF($G821=0,"--",IFERROR(-_xll.ciqfunctions.udf.CIQ($G821,$I821,N107,Valuation_Date_GC,ReportType,DataMode,$H821,FXMode)*Scale,"--"))</f>
        <v>--</v>
      </c>
      <c r="O821" s="2317" t="str">
        <f>IF($G821=0,"--",IFERROR(-_xll.ciqfunctions.udf.CIQ($G821,$I821,O107,Valuation_Date_GC,ReportType,DataMode,$H821,FXMode)*Scale,"--"))</f>
        <v>--</v>
      </c>
      <c r="P821" s="2301" t="str">
        <f>IF($G821=0,"--",IFERROR(-_xll.ciqfunctions.udf.CIQ($G821,$I821,P107,Valuation_Date_GC,ReportType,DataMode,$H821,FXMode)*Scale,"--"))</f>
        <v>--</v>
      </c>
      <c r="R821" s="255"/>
      <c r="T821" s="89" t="s">
        <v>816</v>
      </c>
      <c r="U821" s="2301" t="str">
        <f>IF($G821=0,"--",IFERROR(IF(_xll.ciqfunctions.udf.CIQ($G821,$T821,U107,Valuation_Date_GC,ReportType,DataMode,$H821)*Scale=0,"--",_xll.ciqfunctions.udf.CIQ($G821,$T821,U107,Valuation_Date_GC,ReportType,DataMode,$H821)*Scale),"--"))</f>
        <v>--</v>
      </c>
      <c r="V821" s="2301" t="str">
        <f>IF($G821=0,"--",IFERROR(IF(_xll.ciqfunctions.udf.CIQ($G821,$T821,V107,Valuation_Date_GC,ReportType,DataMode,$H821)*Scale=0,"--",_xll.ciqfunctions.udf.CIQ($G821,$T821,V107,Valuation_Date_GC,ReportType,DataMode,$H821)*Scale),"--"))</f>
        <v>--</v>
      </c>
      <c r="W821" s="2301" t="str">
        <f>IF($G821=0,"--",IFERROR(IF(_xll.ciqfunctions.udf.CIQ($G821,$T821,W107,Valuation_Date_GC,ReportType,DataMode,$H821)*Scale=0,"--",_xll.ciqfunctions.udf.CIQ($G821,$T821,W107,Valuation_Date_GC,ReportType,DataMode,$H821)*Scale),"--"))</f>
        <v>--</v>
      </c>
      <c r="X821" s="2301" t="str">
        <f>IF($G821=0,"--",IFERROR(IF(_xll.ciqfunctions.udf.CIQ($G821,$T821,X107,Valuation_Date_GC,ReportType,DataMode,$H821)*Scale=0,"--",_xll.ciqfunctions.udf.CIQ($G821,$T821,X107,Valuation_Date_GC,ReportType,DataMode,$H821)*Scale),"--"))</f>
        <v>--</v>
      </c>
      <c r="Y821" s="2301" t="str">
        <f>IF($G821=0,"--",IFERROR(IF(_xll.ciqfunctions.udf.CIQ($G821,$T821,Y107,Valuation_Date_GC,ReportType,DataMode,$H821)*Scale=0,"--",_xll.ciqfunctions.udf.CIQ($G821,$T821,Y107,Valuation_Date_GC,ReportType,DataMode,$H821)*Scale),"--"))</f>
        <v>--</v>
      </c>
    </row>
    <row r="822" spans="1:25" s="89" customFormat="1" ht="13.9">
      <c r="A822" s="269" t="str">
        <f t="shared" si="196"/>
        <v>n</v>
      </c>
      <c r="B822" s="2060"/>
      <c r="D822" s="801"/>
      <c r="E822" s="1505">
        <v>9</v>
      </c>
      <c r="F822" s="21" t="str">
        <f>F$137</f>
        <v>--</v>
      </c>
      <c r="G822" s="1441">
        <f>G$137</f>
        <v>0</v>
      </c>
      <c r="H822" s="1441" t="str">
        <f>H$137</f>
        <v>--</v>
      </c>
      <c r="I822" s="1513" t="s">
        <v>817</v>
      </c>
      <c r="J822" s="2301" t="str">
        <f>IF($G822=0,"--",IFERROR(-_xll.ciqfunctions.udf.CIQ($G822,$I822,J108,Valuation_Date_GC,ReportType,DataMode,$H822,FXMode)*Scale,"--"))</f>
        <v>--</v>
      </c>
      <c r="K822" s="2301" t="str">
        <f>IF($G822=0,"--",IFERROR(-_xll.ciqfunctions.udf.CIQ($G822,$I822,K108,Valuation_Date_GC,ReportType,DataMode,$H822,FXMode)*Scale,"--"))</f>
        <v>--</v>
      </c>
      <c r="L822" s="2301" t="str">
        <f>IF($G822=0,"--",IFERROR(-_xll.ciqfunctions.udf.CIQ($G822,$I822,L108,Valuation_Date_GC,ReportType,DataMode,$H822,FXMode)*Scale,"--"))</f>
        <v>--</v>
      </c>
      <c r="M822" s="2301" t="str">
        <f>IF($G822=0,"--",IFERROR(-_xll.ciqfunctions.udf.CIQ($G822,$I822,M108,Valuation_Date_GC,ReportType,DataMode,$H822,FXMode)*Scale,"--"))</f>
        <v>--</v>
      </c>
      <c r="N822" s="2301" t="str">
        <f>IF($G822=0,"--",IFERROR(-_xll.ciqfunctions.udf.CIQ($G822,$I822,N108,Valuation_Date_GC,ReportType,DataMode,$H822,FXMode)*Scale,"--"))</f>
        <v>--</v>
      </c>
      <c r="O822" s="2317" t="str">
        <f>IF($G822=0,"--",IFERROR(-_xll.ciqfunctions.udf.CIQ($G822,$I822,O108,Valuation_Date_GC,ReportType,DataMode,$H822,FXMode)*Scale,"--"))</f>
        <v>--</v>
      </c>
      <c r="P822" s="2301" t="str">
        <f>IF($G822=0,"--",IFERROR(-_xll.ciqfunctions.udf.CIQ($G822,$I822,P108,Valuation_Date_GC,ReportType,DataMode,$H822,FXMode)*Scale,"--"))</f>
        <v>--</v>
      </c>
      <c r="R822" s="255"/>
      <c r="T822" s="89" t="s">
        <v>816</v>
      </c>
      <c r="U822" s="2301" t="str">
        <f>IF($G822=0,"--",IFERROR(IF(_xll.ciqfunctions.udf.CIQ($G822,$T822,U108,Valuation_Date_GC,ReportType,DataMode,$H822)*Scale=0,"--",_xll.ciqfunctions.udf.CIQ($G822,$T822,U108,Valuation_Date_GC,ReportType,DataMode,$H822)*Scale),"--"))</f>
        <v>--</v>
      </c>
      <c r="V822" s="2301" t="str">
        <f>IF($G822=0,"--",IFERROR(IF(_xll.ciqfunctions.udf.CIQ($G822,$T822,V108,Valuation_Date_GC,ReportType,DataMode,$H822)*Scale=0,"--",_xll.ciqfunctions.udf.CIQ($G822,$T822,V108,Valuation_Date_GC,ReportType,DataMode,$H822)*Scale),"--"))</f>
        <v>--</v>
      </c>
      <c r="W822" s="2301" t="str">
        <f>IF($G822=0,"--",IFERROR(IF(_xll.ciqfunctions.udf.CIQ($G822,$T822,W108,Valuation_Date_GC,ReportType,DataMode,$H822)*Scale=0,"--",_xll.ciqfunctions.udf.CIQ($G822,$T822,W108,Valuation_Date_GC,ReportType,DataMode,$H822)*Scale),"--"))</f>
        <v>--</v>
      </c>
      <c r="X822" s="2301" t="str">
        <f>IF($G822=0,"--",IFERROR(IF(_xll.ciqfunctions.udf.CIQ($G822,$T822,X108,Valuation_Date_GC,ReportType,DataMode,$H822)*Scale=0,"--",_xll.ciqfunctions.udf.CIQ($G822,$T822,X108,Valuation_Date_GC,ReportType,DataMode,$H822)*Scale),"--"))</f>
        <v>--</v>
      </c>
      <c r="Y822" s="2301" t="str">
        <f>IF($G822=0,"--",IFERROR(IF(_xll.ciqfunctions.udf.CIQ($G822,$T822,Y108,Valuation_Date_GC,ReportType,DataMode,$H822)*Scale=0,"--",_xll.ciqfunctions.udf.CIQ($G822,$T822,Y108,Valuation_Date_GC,ReportType,DataMode,$H822)*Scale),"--"))</f>
        <v>--</v>
      </c>
    </row>
    <row r="823" spans="1:25" s="89" customFormat="1" ht="13.9">
      <c r="A823" s="269" t="str">
        <f t="shared" si="196"/>
        <v>n</v>
      </c>
      <c r="B823" s="2060"/>
      <c r="D823" s="801"/>
      <c r="E823" s="1505">
        <v>10</v>
      </c>
      <c r="F823" s="21" t="str">
        <f>F$138</f>
        <v>--</v>
      </c>
      <c r="G823" s="1441">
        <f>G$138</f>
        <v>0</v>
      </c>
      <c r="H823" s="1441" t="str">
        <f>H$138</f>
        <v>--</v>
      </c>
      <c r="I823" s="1513" t="s">
        <v>817</v>
      </c>
      <c r="J823" s="2301" t="str">
        <f>IF($G823=0,"--",IFERROR(-_xll.ciqfunctions.udf.CIQ($G823,$I823,J109,Valuation_Date_GC,ReportType,DataMode,$H823,FXMode)*Scale,"--"))</f>
        <v>--</v>
      </c>
      <c r="K823" s="2301" t="str">
        <f>IF($G823=0,"--",IFERROR(-_xll.ciqfunctions.udf.CIQ($G823,$I823,K109,Valuation_Date_GC,ReportType,DataMode,$H823,FXMode)*Scale,"--"))</f>
        <v>--</v>
      </c>
      <c r="L823" s="2301" t="str">
        <f>IF($G823=0,"--",IFERROR(-_xll.ciqfunctions.udf.CIQ($G823,$I823,L109,Valuation_Date_GC,ReportType,DataMode,$H823,FXMode)*Scale,"--"))</f>
        <v>--</v>
      </c>
      <c r="M823" s="2301" t="str">
        <f>IF($G823=0,"--",IFERROR(-_xll.ciqfunctions.udf.CIQ($G823,$I823,M109,Valuation_Date_GC,ReportType,DataMode,$H823,FXMode)*Scale,"--"))</f>
        <v>--</v>
      </c>
      <c r="N823" s="2301" t="str">
        <f>IF($G823=0,"--",IFERROR(-_xll.ciqfunctions.udf.CIQ($G823,$I823,N109,Valuation_Date_GC,ReportType,DataMode,$H823,FXMode)*Scale,"--"))</f>
        <v>--</v>
      </c>
      <c r="O823" s="2317" t="str">
        <f>IF($G823=0,"--",IFERROR(-_xll.ciqfunctions.udf.CIQ($G823,$I823,O109,Valuation_Date_GC,ReportType,DataMode,$H823,FXMode)*Scale,"--"))</f>
        <v>--</v>
      </c>
      <c r="P823" s="2301" t="str">
        <f>IF($G823=0,"--",IFERROR(-_xll.ciqfunctions.udf.CIQ($G823,$I823,P109,Valuation_Date_GC,ReportType,DataMode,$H823,FXMode)*Scale,"--"))</f>
        <v>--</v>
      </c>
      <c r="R823" s="255"/>
      <c r="T823" s="89" t="s">
        <v>816</v>
      </c>
      <c r="U823" s="2301" t="str">
        <f>IF($G823=0,"--",IFERROR(IF(_xll.ciqfunctions.udf.CIQ($G823,$T823,U109,Valuation_Date_GC,ReportType,DataMode,$H823)*Scale=0,"--",_xll.ciqfunctions.udf.CIQ($G823,$T823,U109,Valuation_Date_GC,ReportType,DataMode,$H823)*Scale),"--"))</f>
        <v>--</v>
      </c>
      <c r="V823" s="2301" t="str">
        <f>IF($G823=0,"--",IFERROR(IF(_xll.ciqfunctions.udf.CIQ($G823,$T823,V109,Valuation_Date_GC,ReportType,DataMode,$H823)*Scale=0,"--",_xll.ciqfunctions.udf.CIQ($G823,$T823,V109,Valuation_Date_GC,ReportType,DataMode,$H823)*Scale),"--"))</f>
        <v>--</v>
      </c>
      <c r="W823" s="2301" t="str">
        <f>IF($G823=0,"--",IFERROR(IF(_xll.ciqfunctions.udf.CIQ($G823,$T823,W109,Valuation_Date_GC,ReportType,DataMode,$H823)*Scale=0,"--",_xll.ciqfunctions.udf.CIQ($G823,$T823,W109,Valuation_Date_GC,ReportType,DataMode,$H823)*Scale),"--"))</f>
        <v>--</v>
      </c>
      <c r="X823" s="2301" t="str">
        <f>IF($G823=0,"--",IFERROR(IF(_xll.ciqfunctions.udf.CIQ($G823,$T823,X109,Valuation_Date_GC,ReportType,DataMode,$H823)*Scale=0,"--",_xll.ciqfunctions.udf.CIQ($G823,$T823,X109,Valuation_Date_GC,ReportType,DataMode,$H823)*Scale),"--"))</f>
        <v>--</v>
      </c>
      <c r="Y823" s="2301" t="str">
        <f>IF($G823=0,"--",IFERROR(IF(_xll.ciqfunctions.udf.CIQ($G823,$T823,Y109,Valuation_Date_GC,ReportType,DataMode,$H823)*Scale=0,"--",_xll.ciqfunctions.udf.CIQ($G823,$T823,Y109,Valuation_Date_GC,ReportType,DataMode,$H823)*Scale),"--"))</f>
        <v>--</v>
      </c>
    </row>
    <row r="824" spans="1:25" s="89" customFormat="1" ht="13.9">
      <c r="A824" s="269" t="str">
        <f t="shared" si="196"/>
        <v>n</v>
      </c>
      <c r="B824" s="2060"/>
      <c r="D824" s="801"/>
      <c r="E824" s="1505">
        <v>11</v>
      </c>
      <c r="F824" s="21" t="str">
        <f>F$139</f>
        <v>--</v>
      </c>
      <c r="G824" s="1441">
        <f>G$139</f>
        <v>0</v>
      </c>
      <c r="H824" s="1441" t="str">
        <f>H$139</f>
        <v>--</v>
      </c>
      <c r="I824" s="1513" t="s">
        <v>817</v>
      </c>
      <c r="J824" s="2301" t="str">
        <f>IF($G824=0,"--",IFERROR(-_xll.ciqfunctions.udf.CIQ($G824,$I824,J110,Valuation_Date_GC,ReportType,DataMode,$H824,FXMode)*Scale,"--"))</f>
        <v>--</v>
      </c>
      <c r="K824" s="2301" t="str">
        <f>IF($G824=0,"--",IFERROR(-_xll.ciqfunctions.udf.CIQ($G824,$I824,K110,Valuation_Date_GC,ReportType,DataMode,$H824,FXMode)*Scale,"--"))</f>
        <v>--</v>
      </c>
      <c r="L824" s="2301" t="str">
        <f>IF($G824=0,"--",IFERROR(-_xll.ciqfunctions.udf.CIQ($G824,$I824,L110,Valuation_Date_GC,ReportType,DataMode,$H824,FXMode)*Scale,"--"))</f>
        <v>--</v>
      </c>
      <c r="M824" s="2301" t="str">
        <f>IF($G824=0,"--",IFERROR(-_xll.ciqfunctions.udf.CIQ($G824,$I824,M110,Valuation_Date_GC,ReportType,DataMode,$H824,FXMode)*Scale,"--"))</f>
        <v>--</v>
      </c>
      <c r="N824" s="2301" t="str">
        <f>IF($G824=0,"--",IFERROR(-_xll.ciqfunctions.udf.CIQ($G824,$I824,N110,Valuation_Date_GC,ReportType,DataMode,$H824,FXMode)*Scale,"--"))</f>
        <v>--</v>
      </c>
      <c r="O824" s="2317" t="str">
        <f>IF($G824=0,"--",IFERROR(-_xll.ciqfunctions.udf.CIQ($G824,$I824,O110,Valuation_Date_GC,ReportType,DataMode,$H824,FXMode)*Scale,"--"))</f>
        <v>--</v>
      </c>
      <c r="P824" s="2301" t="str">
        <f>IF($G824=0,"--",IFERROR(-_xll.ciqfunctions.udf.CIQ($G824,$I824,P110,Valuation_Date_GC,ReportType,DataMode,$H824,FXMode)*Scale,"--"))</f>
        <v>--</v>
      </c>
      <c r="R824" s="255"/>
      <c r="T824" s="89" t="s">
        <v>816</v>
      </c>
      <c r="U824" s="2301" t="str">
        <f>IF($G824=0,"--",IFERROR(IF(_xll.ciqfunctions.udf.CIQ($G824,$T824,U110,Valuation_Date_GC,ReportType,DataMode,$H824)*Scale=0,"--",_xll.ciqfunctions.udf.CIQ($G824,$T824,U110,Valuation_Date_GC,ReportType,DataMode,$H824)*Scale),"--"))</f>
        <v>--</v>
      </c>
      <c r="V824" s="2301" t="str">
        <f>IF($G824=0,"--",IFERROR(IF(_xll.ciqfunctions.udf.CIQ($G824,$T824,V110,Valuation_Date_GC,ReportType,DataMode,$H824)*Scale=0,"--",_xll.ciqfunctions.udf.CIQ($G824,$T824,V110,Valuation_Date_GC,ReportType,DataMode,$H824)*Scale),"--"))</f>
        <v>--</v>
      </c>
      <c r="W824" s="2301" t="str">
        <f>IF($G824=0,"--",IFERROR(IF(_xll.ciqfunctions.udf.CIQ($G824,$T824,W110,Valuation_Date_GC,ReportType,DataMode,$H824)*Scale=0,"--",_xll.ciqfunctions.udf.CIQ($G824,$T824,W110,Valuation_Date_GC,ReportType,DataMode,$H824)*Scale),"--"))</f>
        <v>--</v>
      </c>
      <c r="X824" s="2301" t="str">
        <f>IF($G824=0,"--",IFERROR(IF(_xll.ciqfunctions.udf.CIQ($G824,$T824,X110,Valuation_Date_GC,ReportType,DataMode,$H824)*Scale=0,"--",_xll.ciqfunctions.udf.CIQ($G824,$T824,X110,Valuation_Date_GC,ReportType,DataMode,$H824)*Scale),"--"))</f>
        <v>--</v>
      </c>
      <c r="Y824" s="2301" t="str">
        <f>IF($G824=0,"--",IFERROR(IF(_xll.ciqfunctions.udf.CIQ($G824,$T824,Y110,Valuation_Date_GC,ReportType,DataMode,$H824)*Scale=0,"--",_xll.ciqfunctions.udf.CIQ($G824,$T824,Y110,Valuation_Date_GC,ReportType,DataMode,$H824)*Scale),"--"))</f>
        <v>--</v>
      </c>
    </row>
    <row r="825" spans="1:25" s="89" customFormat="1" ht="13.9">
      <c r="A825" s="269" t="str">
        <f t="shared" si="196"/>
        <v>n</v>
      </c>
      <c r="B825" s="2060"/>
      <c r="D825" s="801"/>
      <c r="E825" s="1505">
        <v>12</v>
      </c>
      <c r="F825" s="21" t="str">
        <f>F$140</f>
        <v>--</v>
      </c>
      <c r="G825" s="1441">
        <f>G$140</f>
        <v>0</v>
      </c>
      <c r="H825" s="1441" t="str">
        <f>H$140</f>
        <v>--</v>
      </c>
      <c r="I825" s="1513" t="s">
        <v>817</v>
      </c>
      <c r="J825" s="2301" t="str">
        <f>IF($G825=0,"--",IFERROR(-_xll.ciqfunctions.udf.CIQ($G825,$I825,J111,Valuation_Date_GC,ReportType,DataMode,$H825,FXMode)*Scale,"--"))</f>
        <v>--</v>
      </c>
      <c r="K825" s="2301" t="str">
        <f>IF($G825=0,"--",IFERROR(-_xll.ciqfunctions.udf.CIQ($G825,$I825,K111,Valuation_Date_GC,ReportType,DataMode,$H825,FXMode)*Scale,"--"))</f>
        <v>--</v>
      </c>
      <c r="L825" s="2301" t="str">
        <f>IF($G825=0,"--",IFERROR(-_xll.ciqfunctions.udf.CIQ($G825,$I825,L111,Valuation_Date_GC,ReportType,DataMode,$H825,FXMode)*Scale,"--"))</f>
        <v>--</v>
      </c>
      <c r="M825" s="2301" t="str">
        <f>IF($G825=0,"--",IFERROR(-_xll.ciqfunctions.udf.CIQ($G825,$I825,M111,Valuation_Date_GC,ReportType,DataMode,$H825,FXMode)*Scale,"--"))</f>
        <v>--</v>
      </c>
      <c r="N825" s="2301" t="str">
        <f>IF($G825=0,"--",IFERROR(-_xll.ciqfunctions.udf.CIQ($G825,$I825,N111,Valuation_Date_GC,ReportType,DataMode,$H825,FXMode)*Scale,"--"))</f>
        <v>--</v>
      </c>
      <c r="O825" s="2317" t="str">
        <f>IF($G825=0,"--",IFERROR(-_xll.ciqfunctions.udf.CIQ($G825,$I825,O111,Valuation_Date_GC,ReportType,DataMode,$H825,FXMode)*Scale,"--"))</f>
        <v>--</v>
      </c>
      <c r="P825" s="2301" t="str">
        <f>IF($G825=0,"--",IFERROR(-_xll.ciqfunctions.udf.CIQ($G825,$I825,P111,Valuation_Date_GC,ReportType,DataMode,$H825,FXMode)*Scale,"--"))</f>
        <v>--</v>
      </c>
      <c r="R825" s="255"/>
      <c r="T825" s="89" t="s">
        <v>816</v>
      </c>
      <c r="U825" s="2301" t="str">
        <f>IF($G825=0,"--",IFERROR(IF(_xll.ciqfunctions.udf.CIQ($G825,$T825,U111,Valuation_Date_GC,ReportType,DataMode,$H825)*Scale=0,"--",_xll.ciqfunctions.udf.CIQ($G825,$T825,U111,Valuation_Date_GC,ReportType,DataMode,$H825)*Scale),"--"))</f>
        <v>--</v>
      </c>
      <c r="V825" s="2301" t="str">
        <f>IF($G825=0,"--",IFERROR(IF(_xll.ciqfunctions.udf.CIQ($G825,$T825,V111,Valuation_Date_GC,ReportType,DataMode,$H825)*Scale=0,"--",_xll.ciqfunctions.udf.CIQ($G825,$T825,V111,Valuation_Date_GC,ReportType,DataMode,$H825)*Scale),"--"))</f>
        <v>--</v>
      </c>
      <c r="W825" s="2301" t="str">
        <f>IF($G825=0,"--",IFERROR(IF(_xll.ciqfunctions.udf.CIQ($G825,$T825,W111,Valuation_Date_GC,ReportType,DataMode,$H825)*Scale=0,"--",_xll.ciqfunctions.udf.CIQ($G825,$T825,W111,Valuation_Date_GC,ReportType,DataMode,$H825)*Scale),"--"))</f>
        <v>--</v>
      </c>
      <c r="X825" s="2301" t="str">
        <f>IF($G825=0,"--",IFERROR(IF(_xll.ciqfunctions.udf.CIQ($G825,$T825,X111,Valuation_Date_GC,ReportType,DataMode,$H825)*Scale=0,"--",_xll.ciqfunctions.udf.CIQ($G825,$T825,X111,Valuation_Date_GC,ReportType,DataMode,$H825)*Scale),"--"))</f>
        <v>--</v>
      </c>
      <c r="Y825" s="2301" t="str">
        <f>IF($G825=0,"--",IFERROR(IF(_xll.ciqfunctions.udf.CIQ($G825,$T825,Y111,Valuation_Date_GC,ReportType,DataMode,$H825)*Scale=0,"--",_xll.ciqfunctions.udf.CIQ($G825,$T825,Y111,Valuation_Date_GC,ReportType,DataMode,$H825)*Scale),"--"))</f>
        <v>--</v>
      </c>
    </row>
    <row r="826" spans="1:25" s="89" customFormat="1" ht="13.9">
      <c r="A826" s="269" t="str">
        <f t="shared" si="196"/>
        <v>n</v>
      </c>
      <c r="B826" s="2060"/>
      <c r="D826" s="801"/>
      <c r="E826" s="1505">
        <v>13</v>
      </c>
      <c r="F826" s="21" t="str">
        <f>F$141</f>
        <v>--</v>
      </c>
      <c r="G826" s="1441">
        <f>G$141</f>
        <v>0</v>
      </c>
      <c r="H826" s="1441" t="str">
        <f>H$141</f>
        <v>--</v>
      </c>
      <c r="I826" s="1513" t="s">
        <v>817</v>
      </c>
      <c r="J826" s="2301" t="str">
        <f>IF($G826=0,"--",IFERROR(-_xll.ciqfunctions.udf.CIQ($G826,$I826,J112,Valuation_Date_GC,ReportType,DataMode,$H826,FXMode)*Scale,"--"))</f>
        <v>--</v>
      </c>
      <c r="K826" s="2301" t="str">
        <f>IF($G826=0,"--",IFERROR(-_xll.ciqfunctions.udf.CIQ($G826,$I826,K112,Valuation_Date_GC,ReportType,DataMode,$H826,FXMode)*Scale,"--"))</f>
        <v>--</v>
      </c>
      <c r="L826" s="2301" t="str">
        <f>IF($G826=0,"--",IFERROR(-_xll.ciqfunctions.udf.CIQ($G826,$I826,L112,Valuation_Date_GC,ReportType,DataMode,$H826,FXMode)*Scale,"--"))</f>
        <v>--</v>
      </c>
      <c r="M826" s="2301" t="str">
        <f>IF($G826=0,"--",IFERROR(-_xll.ciqfunctions.udf.CIQ($G826,$I826,M112,Valuation_Date_GC,ReportType,DataMode,$H826,FXMode)*Scale,"--"))</f>
        <v>--</v>
      </c>
      <c r="N826" s="2301" t="str">
        <f>IF($G826=0,"--",IFERROR(-_xll.ciqfunctions.udf.CIQ($G826,$I826,N112,Valuation_Date_GC,ReportType,DataMode,$H826,FXMode)*Scale,"--"))</f>
        <v>--</v>
      </c>
      <c r="O826" s="2317" t="str">
        <f>IF($G826=0,"--",IFERROR(-_xll.ciqfunctions.udf.CIQ($G826,$I826,O112,Valuation_Date_GC,ReportType,DataMode,$H826,FXMode)*Scale,"--"))</f>
        <v>--</v>
      </c>
      <c r="P826" s="2301" t="str">
        <f>IF($G826=0,"--",IFERROR(-_xll.ciqfunctions.udf.CIQ($G826,$I826,P112,Valuation_Date_GC,ReportType,DataMode,$H826,FXMode)*Scale,"--"))</f>
        <v>--</v>
      </c>
      <c r="R826" s="255"/>
      <c r="T826" s="89" t="s">
        <v>816</v>
      </c>
      <c r="U826" s="2301" t="str">
        <f>IF($G826=0,"--",IFERROR(IF(_xll.ciqfunctions.udf.CIQ($G826,$T826,U112,Valuation_Date_GC,ReportType,DataMode,$H826)*Scale=0,"--",_xll.ciqfunctions.udf.CIQ($G826,$T826,U112,Valuation_Date_GC,ReportType,DataMode,$H826)*Scale),"--"))</f>
        <v>--</v>
      </c>
      <c r="V826" s="2301" t="str">
        <f>IF($G826=0,"--",IFERROR(IF(_xll.ciqfunctions.udf.CIQ($G826,$T826,V112,Valuation_Date_GC,ReportType,DataMode,$H826)*Scale=0,"--",_xll.ciqfunctions.udf.CIQ($G826,$T826,V112,Valuation_Date_GC,ReportType,DataMode,$H826)*Scale),"--"))</f>
        <v>--</v>
      </c>
      <c r="W826" s="2301" t="str">
        <f>IF($G826=0,"--",IFERROR(IF(_xll.ciqfunctions.udf.CIQ($G826,$T826,W112,Valuation_Date_GC,ReportType,DataMode,$H826)*Scale=0,"--",_xll.ciqfunctions.udf.CIQ($G826,$T826,W112,Valuation_Date_GC,ReportType,DataMode,$H826)*Scale),"--"))</f>
        <v>--</v>
      </c>
      <c r="X826" s="2301" t="str">
        <f>IF($G826=0,"--",IFERROR(IF(_xll.ciqfunctions.udf.CIQ($G826,$T826,X112,Valuation_Date_GC,ReportType,DataMode,$H826)*Scale=0,"--",_xll.ciqfunctions.udf.CIQ($G826,$T826,X112,Valuation_Date_GC,ReportType,DataMode,$H826)*Scale),"--"))</f>
        <v>--</v>
      </c>
      <c r="Y826" s="2301" t="str">
        <f>IF($G826=0,"--",IFERROR(IF(_xll.ciqfunctions.udf.CIQ($G826,$T826,Y112,Valuation_Date_GC,ReportType,DataMode,$H826)*Scale=0,"--",_xll.ciqfunctions.udf.CIQ($G826,$T826,Y112,Valuation_Date_GC,ReportType,DataMode,$H826)*Scale),"--"))</f>
        <v>--</v>
      </c>
    </row>
    <row r="827" spans="1:25" s="89" customFormat="1" ht="13.9">
      <c r="A827" s="269" t="str">
        <f t="shared" si="196"/>
        <v>n</v>
      </c>
      <c r="B827" s="2060"/>
      <c r="D827" s="801"/>
      <c r="E827" s="1505">
        <v>14</v>
      </c>
      <c r="F827" s="21" t="str">
        <f>F$142</f>
        <v>--</v>
      </c>
      <c r="G827" s="1441">
        <f>G$142</f>
        <v>0</v>
      </c>
      <c r="H827" s="1441" t="str">
        <f>H$142</f>
        <v>--</v>
      </c>
      <c r="I827" s="1513" t="s">
        <v>817</v>
      </c>
      <c r="J827" s="2301" t="str">
        <f>IF($G827=0,"--",IFERROR(-_xll.ciqfunctions.udf.CIQ($G827,$I827,J113,Valuation_Date_GC,ReportType,DataMode,$H827,FXMode)*Scale,"--"))</f>
        <v>--</v>
      </c>
      <c r="K827" s="2301" t="str">
        <f>IF($G827=0,"--",IFERROR(-_xll.ciqfunctions.udf.CIQ($G827,$I827,K113,Valuation_Date_GC,ReportType,DataMode,$H827,FXMode)*Scale,"--"))</f>
        <v>--</v>
      </c>
      <c r="L827" s="2301" t="str">
        <f>IF($G827=0,"--",IFERROR(-_xll.ciqfunctions.udf.CIQ($G827,$I827,L113,Valuation_Date_GC,ReportType,DataMode,$H827,FXMode)*Scale,"--"))</f>
        <v>--</v>
      </c>
      <c r="M827" s="2301" t="str">
        <f>IF($G827=0,"--",IFERROR(-_xll.ciqfunctions.udf.CIQ($G827,$I827,M113,Valuation_Date_GC,ReportType,DataMode,$H827,FXMode)*Scale,"--"))</f>
        <v>--</v>
      </c>
      <c r="N827" s="2301" t="str">
        <f>IF($G827=0,"--",IFERROR(-_xll.ciqfunctions.udf.CIQ($G827,$I827,N113,Valuation_Date_GC,ReportType,DataMode,$H827,FXMode)*Scale,"--"))</f>
        <v>--</v>
      </c>
      <c r="O827" s="2317" t="str">
        <f>IF($G827=0,"--",IFERROR(-_xll.ciqfunctions.udf.CIQ($G827,$I827,O113,Valuation_Date_GC,ReportType,DataMode,$H827,FXMode)*Scale,"--"))</f>
        <v>--</v>
      </c>
      <c r="P827" s="2301" t="str">
        <f>IF($G827=0,"--",IFERROR(-_xll.ciqfunctions.udf.CIQ($G827,$I827,P113,Valuation_Date_GC,ReportType,DataMode,$H827,FXMode)*Scale,"--"))</f>
        <v>--</v>
      </c>
      <c r="R827" s="255"/>
      <c r="T827" s="89" t="s">
        <v>816</v>
      </c>
      <c r="U827" s="2301" t="str">
        <f>IF($G827=0,"--",IFERROR(IF(_xll.ciqfunctions.udf.CIQ($G827,$T827,U113,Valuation_Date_GC,ReportType,DataMode,$H827)*Scale=0,"--",_xll.ciqfunctions.udf.CIQ($G827,$T827,U113,Valuation_Date_GC,ReportType,DataMode,$H827)*Scale),"--"))</f>
        <v>--</v>
      </c>
      <c r="V827" s="2301" t="str">
        <f>IF($G827=0,"--",IFERROR(IF(_xll.ciqfunctions.udf.CIQ($G827,$T827,V113,Valuation_Date_GC,ReportType,DataMode,$H827)*Scale=0,"--",_xll.ciqfunctions.udf.CIQ($G827,$T827,V113,Valuation_Date_GC,ReportType,DataMode,$H827)*Scale),"--"))</f>
        <v>--</v>
      </c>
      <c r="W827" s="2301" t="str">
        <f>IF($G827=0,"--",IFERROR(IF(_xll.ciqfunctions.udf.CIQ($G827,$T827,W113,Valuation_Date_GC,ReportType,DataMode,$H827)*Scale=0,"--",_xll.ciqfunctions.udf.CIQ($G827,$T827,W113,Valuation_Date_GC,ReportType,DataMode,$H827)*Scale),"--"))</f>
        <v>--</v>
      </c>
      <c r="X827" s="2301" t="str">
        <f>IF($G827=0,"--",IFERROR(IF(_xll.ciqfunctions.udf.CIQ($G827,$T827,X113,Valuation_Date_GC,ReportType,DataMode,$H827)*Scale=0,"--",_xll.ciqfunctions.udf.CIQ($G827,$T827,X113,Valuation_Date_GC,ReportType,DataMode,$H827)*Scale),"--"))</f>
        <v>--</v>
      </c>
      <c r="Y827" s="2301" t="str">
        <f>IF($G827=0,"--",IFERROR(IF(_xll.ciqfunctions.udf.CIQ($G827,$T827,Y113,Valuation_Date_GC,ReportType,DataMode,$H827)*Scale=0,"--",_xll.ciqfunctions.udf.CIQ($G827,$T827,Y113,Valuation_Date_GC,ReportType,DataMode,$H827)*Scale),"--"))</f>
        <v>--</v>
      </c>
    </row>
    <row r="828" spans="1:25" s="89" customFormat="1" ht="13.9">
      <c r="A828" s="269" t="str">
        <f t="shared" si="196"/>
        <v>n</v>
      </c>
      <c r="B828" s="2060"/>
      <c r="D828" s="801"/>
      <c r="E828" s="1505">
        <v>15</v>
      </c>
      <c r="F828" s="21" t="str">
        <f>F$143</f>
        <v>--</v>
      </c>
      <c r="G828" s="1441">
        <f>G$143</f>
        <v>0</v>
      </c>
      <c r="H828" s="1441" t="str">
        <f>H$143</f>
        <v>--</v>
      </c>
      <c r="I828" s="1513" t="s">
        <v>817</v>
      </c>
      <c r="J828" s="2301" t="str">
        <f>IF($G828=0,"--",IFERROR(-_xll.ciqfunctions.udf.CIQ($G828,$I828,J114,Valuation_Date_GC,ReportType,DataMode,$H828,FXMode)*Scale,"--"))</f>
        <v>--</v>
      </c>
      <c r="K828" s="2301" t="str">
        <f>IF($G828=0,"--",IFERROR(-_xll.ciqfunctions.udf.CIQ($G828,$I828,K114,Valuation_Date_GC,ReportType,DataMode,$H828,FXMode)*Scale,"--"))</f>
        <v>--</v>
      </c>
      <c r="L828" s="2301" t="str">
        <f>IF($G828=0,"--",IFERROR(-_xll.ciqfunctions.udf.CIQ($G828,$I828,L114,Valuation_Date_GC,ReportType,DataMode,$H828,FXMode)*Scale,"--"))</f>
        <v>--</v>
      </c>
      <c r="M828" s="2301" t="str">
        <f>IF($G828=0,"--",IFERROR(-_xll.ciqfunctions.udf.CIQ($G828,$I828,M114,Valuation_Date_GC,ReportType,DataMode,$H828,FXMode)*Scale,"--"))</f>
        <v>--</v>
      </c>
      <c r="N828" s="2301" t="str">
        <f>IF($G828=0,"--",IFERROR(-_xll.ciqfunctions.udf.CIQ($G828,$I828,N114,Valuation_Date_GC,ReportType,DataMode,$H828,FXMode)*Scale,"--"))</f>
        <v>--</v>
      </c>
      <c r="O828" s="2317" t="str">
        <f>IF($G828=0,"--",IFERROR(-_xll.ciqfunctions.udf.CIQ($G828,$I828,O114,Valuation_Date_GC,ReportType,DataMode,$H828,FXMode)*Scale,"--"))</f>
        <v>--</v>
      </c>
      <c r="P828" s="2301" t="str">
        <f>IF($G828=0,"--",IFERROR(-_xll.ciqfunctions.udf.CIQ($G828,$I828,P114,Valuation_Date_GC,ReportType,DataMode,$H828,FXMode)*Scale,"--"))</f>
        <v>--</v>
      </c>
      <c r="R828" s="255"/>
      <c r="T828" s="89" t="s">
        <v>816</v>
      </c>
      <c r="U828" s="2301" t="str">
        <f>IF($G828=0,"--",IFERROR(IF(_xll.ciqfunctions.udf.CIQ($G828,$T828,U114,Valuation_Date_GC,ReportType,DataMode,$H828)*Scale=0,"--",_xll.ciqfunctions.udf.CIQ($G828,$T828,U114,Valuation_Date_GC,ReportType,DataMode,$H828)*Scale),"--"))</f>
        <v>--</v>
      </c>
      <c r="V828" s="2301" t="str">
        <f>IF($G828=0,"--",IFERROR(IF(_xll.ciqfunctions.udf.CIQ($G828,$T828,V114,Valuation_Date_GC,ReportType,DataMode,$H828)*Scale=0,"--",_xll.ciqfunctions.udf.CIQ($G828,$T828,V114,Valuation_Date_GC,ReportType,DataMode,$H828)*Scale),"--"))</f>
        <v>--</v>
      </c>
      <c r="W828" s="2301" t="str">
        <f>IF($G828=0,"--",IFERROR(IF(_xll.ciqfunctions.udf.CIQ($G828,$T828,W114,Valuation_Date_GC,ReportType,DataMode,$H828)*Scale=0,"--",_xll.ciqfunctions.udf.CIQ($G828,$T828,W114,Valuation_Date_GC,ReportType,DataMode,$H828)*Scale),"--"))</f>
        <v>--</v>
      </c>
      <c r="X828" s="2301" t="str">
        <f>IF($G828=0,"--",IFERROR(IF(_xll.ciqfunctions.udf.CIQ($G828,$T828,X114,Valuation_Date_GC,ReportType,DataMode,$H828)*Scale=0,"--",_xll.ciqfunctions.udf.CIQ($G828,$T828,X114,Valuation_Date_GC,ReportType,DataMode,$H828)*Scale),"--"))</f>
        <v>--</v>
      </c>
      <c r="Y828" s="2301" t="str">
        <f>IF($G828=0,"--",IFERROR(IF(_xll.ciqfunctions.udf.CIQ($G828,$T828,Y114,Valuation_Date_GC,ReportType,DataMode,$H828)*Scale=0,"--",_xll.ciqfunctions.udf.CIQ($G828,$T828,Y114,Valuation_Date_GC,ReportType,DataMode,$H828)*Scale),"--"))</f>
        <v>--</v>
      </c>
    </row>
    <row r="829" spans="1:25" s="89" customFormat="1" ht="13.9">
      <c r="A829" s="269" t="str">
        <f t="shared" si="196"/>
        <v>n</v>
      </c>
      <c r="B829" s="2060"/>
      <c r="D829" s="801"/>
      <c r="E829" s="1505">
        <v>16</v>
      </c>
      <c r="F829" s="21" t="str">
        <f>F$144</f>
        <v>--</v>
      </c>
      <c r="G829" s="1441">
        <f>G$144</f>
        <v>0</v>
      </c>
      <c r="H829" s="1441" t="str">
        <f>H$144</f>
        <v>--</v>
      </c>
      <c r="I829" s="1513" t="s">
        <v>817</v>
      </c>
      <c r="J829" s="2301" t="str">
        <f>IF($G829=0,"--",IFERROR(-_xll.ciqfunctions.udf.CIQ($G829,$I829,J115,Valuation_Date_GC,ReportType,DataMode,$H829,FXMode)*Scale,"--"))</f>
        <v>--</v>
      </c>
      <c r="K829" s="2301" t="str">
        <f>IF($G829=0,"--",IFERROR(-_xll.ciqfunctions.udf.CIQ($G829,$I829,K115,Valuation_Date_GC,ReportType,DataMode,$H829,FXMode)*Scale,"--"))</f>
        <v>--</v>
      </c>
      <c r="L829" s="2301" t="str">
        <f>IF($G829=0,"--",IFERROR(-_xll.ciqfunctions.udf.CIQ($G829,$I829,L115,Valuation_Date_GC,ReportType,DataMode,$H829,FXMode)*Scale,"--"))</f>
        <v>--</v>
      </c>
      <c r="M829" s="2301" t="str">
        <f>IF($G829=0,"--",IFERROR(-_xll.ciqfunctions.udf.CIQ($G829,$I829,M115,Valuation_Date_GC,ReportType,DataMode,$H829,FXMode)*Scale,"--"))</f>
        <v>--</v>
      </c>
      <c r="N829" s="2301" t="str">
        <f>IF($G829=0,"--",IFERROR(-_xll.ciqfunctions.udf.CIQ($G829,$I829,N115,Valuation_Date_GC,ReportType,DataMode,$H829,FXMode)*Scale,"--"))</f>
        <v>--</v>
      </c>
      <c r="O829" s="2317" t="str">
        <f>IF($G829=0,"--",IFERROR(-_xll.ciqfunctions.udf.CIQ($G829,$I829,O115,Valuation_Date_GC,ReportType,DataMode,$H829,FXMode)*Scale,"--"))</f>
        <v>--</v>
      </c>
      <c r="P829" s="2301" t="str">
        <f>IF($G829=0,"--",IFERROR(-_xll.ciqfunctions.udf.CIQ($G829,$I829,P115,Valuation_Date_GC,ReportType,DataMode,$H829,FXMode)*Scale,"--"))</f>
        <v>--</v>
      </c>
      <c r="R829" s="255"/>
      <c r="T829" s="89" t="s">
        <v>816</v>
      </c>
      <c r="U829" s="2301" t="str">
        <f>IF($G829=0,"--",IFERROR(IF(_xll.ciqfunctions.udf.CIQ($G829,$T829,U115,Valuation_Date_GC,ReportType,DataMode,$H829)*Scale=0,"--",_xll.ciqfunctions.udf.CIQ($G829,$T829,U115,Valuation_Date_GC,ReportType,DataMode,$H829)*Scale),"--"))</f>
        <v>--</v>
      </c>
      <c r="V829" s="2301" t="str">
        <f>IF($G829=0,"--",IFERROR(IF(_xll.ciqfunctions.udf.CIQ($G829,$T829,V115,Valuation_Date_GC,ReportType,DataMode,$H829)*Scale=0,"--",_xll.ciqfunctions.udf.CIQ($G829,$T829,V115,Valuation_Date_GC,ReportType,DataMode,$H829)*Scale),"--"))</f>
        <v>--</v>
      </c>
      <c r="W829" s="2301" t="str">
        <f>IF($G829=0,"--",IFERROR(IF(_xll.ciqfunctions.udf.CIQ($G829,$T829,W115,Valuation_Date_GC,ReportType,DataMode,$H829)*Scale=0,"--",_xll.ciqfunctions.udf.CIQ($G829,$T829,W115,Valuation_Date_GC,ReportType,DataMode,$H829)*Scale),"--"))</f>
        <v>--</v>
      </c>
      <c r="X829" s="2301" t="str">
        <f>IF($G829=0,"--",IFERROR(IF(_xll.ciqfunctions.udf.CIQ($G829,$T829,X115,Valuation_Date_GC,ReportType,DataMode,$H829)*Scale=0,"--",_xll.ciqfunctions.udf.CIQ($G829,$T829,X115,Valuation_Date_GC,ReportType,DataMode,$H829)*Scale),"--"))</f>
        <v>--</v>
      </c>
      <c r="Y829" s="2301" t="str">
        <f>IF($G829=0,"--",IFERROR(IF(_xll.ciqfunctions.udf.CIQ($G829,$T829,Y115,Valuation_Date_GC,ReportType,DataMode,$H829)*Scale=0,"--",_xll.ciqfunctions.udf.CIQ($G829,$T829,Y115,Valuation_Date_GC,ReportType,DataMode,$H829)*Scale),"--"))</f>
        <v>--</v>
      </c>
    </row>
    <row r="830" spans="1:25" s="89" customFormat="1" ht="13.9">
      <c r="A830" s="269" t="str">
        <f t="shared" si="196"/>
        <v>n</v>
      </c>
      <c r="B830" s="2060"/>
      <c r="D830" s="801"/>
      <c r="E830" s="1505">
        <v>17</v>
      </c>
      <c r="F830" s="21" t="str">
        <f>F$145</f>
        <v>--</v>
      </c>
      <c r="G830" s="1441">
        <f>G$145</f>
        <v>0</v>
      </c>
      <c r="H830" s="1441" t="str">
        <f>H$145</f>
        <v>--</v>
      </c>
      <c r="I830" s="1513" t="s">
        <v>817</v>
      </c>
      <c r="J830" s="2301" t="str">
        <f>IF($G830=0,"--",IFERROR(-_xll.ciqfunctions.udf.CIQ($G830,$I830,J116,Valuation_Date_GC,ReportType,DataMode,$H830,FXMode)*Scale,"--"))</f>
        <v>--</v>
      </c>
      <c r="K830" s="2301" t="str">
        <f>IF($G830=0,"--",IFERROR(-_xll.ciqfunctions.udf.CIQ($G830,$I830,K116,Valuation_Date_GC,ReportType,DataMode,$H830,FXMode)*Scale,"--"))</f>
        <v>--</v>
      </c>
      <c r="L830" s="2301" t="str">
        <f>IF($G830=0,"--",IFERROR(-_xll.ciqfunctions.udf.CIQ($G830,$I830,L116,Valuation_Date_GC,ReportType,DataMode,$H830,FXMode)*Scale,"--"))</f>
        <v>--</v>
      </c>
      <c r="M830" s="2301" t="str">
        <f>IF($G830=0,"--",IFERROR(-_xll.ciqfunctions.udf.CIQ($G830,$I830,M116,Valuation_Date_GC,ReportType,DataMode,$H830,FXMode)*Scale,"--"))</f>
        <v>--</v>
      </c>
      <c r="N830" s="2301" t="str">
        <f>IF($G830=0,"--",IFERROR(-_xll.ciqfunctions.udf.CIQ($G830,$I830,N116,Valuation_Date_GC,ReportType,DataMode,$H830,FXMode)*Scale,"--"))</f>
        <v>--</v>
      </c>
      <c r="O830" s="2317" t="str">
        <f>IF($G830=0,"--",IFERROR(-_xll.ciqfunctions.udf.CIQ($G830,$I830,O116,Valuation_Date_GC,ReportType,DataMode,$H830,FXMode)*Scale,"--"))</f>
        <v>--</v>
      </c>
      <c r="P830" s="2301" t="str">
        <f>IF($G830=0,"--",IFERROR(-_xll.ciqfunctions.udf.CIQ($G830,$I830,P116,Valuation_Date_GC,ReportType,DataMode,$H830,FXMode)*Scale,"--"))</f>
        <v>--</v>
      </c>
      <c r="R830" s="255"/>
      <c r="T830" s="89" t="s">
        <v>816</v>
      </c>
      <c r="U830" s="2301" t="str">
        <f>IF($G830=0,"--",IFERROR(IF(_xll.ciqfunctions.udf.CIQ($G830,$T830,U116,Valuation_Date_GC,ReportType,DataMode,$H830)*Scale=0,"--",_xll.ciqfunctions.udf.CIQ($G830,$T830,U116,Valuation_Date_GC,ReportType,DataMode,$H830)*Scale),"--"))</f>
        <v>--</v>
      </c>
      <c r="V830" s="2301" t="str">
        <f>IF($G830=0,"--",IFERROR(IF(_xll.ciqfunctions.udf.CIQ($G830,$T830,V116,Valuation_Date_GC,ReportType,DataMode,$H830)*Scale=0,"--",_xll.ciqfunctions.udf.CIQ($G830,$T830,V116,Valuation_Date_GC,ReportType,DataMode,$H830)*Scale),"--"))</f>
        <v>--</v>
      </c>
      <c r="W830" s="2301" t="str">
        <f>IF($G830=0,"--",IFERROR(IF(_xll.ciqfunctions.udf.CIQ($G830,$T830,W116,Valuation_Date_GC,ReportType,DataMode,$H830)*Scale=0,"--",_xll.ciqfunctions.udf.CIQ($G830,$T830,W116,Valuation_Date_GC,ReportType,DataMode,$H830)*Scale),"--"))</f>
        <v>--</v>
      </c>
      <c r="X830" s="2301" t="str">
        <f>IF($G830=0,"--",IFERROR(IF(_xll.ciqfunctions.udf.CIQ($G830,$T830,X116,Valuation_Date_GC,ReportType,DataMode,$H830)*Scale=0,"--",_xll.ciqfunctions.udf.CIQ($G830,$T830,X116,Valuation_Date_GC,ReportType,DataMode,$H830)*Scale),"--"))</f>
        <v>--</v>
      </c>
      <c r="Y830" s="2301" t="str">
        <f>IF($G830=0,"--",IFERROR(IF(_xll.ciqfunctions.udf.CIQ($G830,$T830,Y116,Valuation_Date_GC,ReportType,DataMode,$H830)*Scale=0,"--",_xll.ciqfunctions.udf.CIQ($G830,$T830,Y116,Valuation_Date_GC,ReportType,DataMode,$H830)*Scale),"--"))</f>
        <v>--</v>
      </c>
    </row>
    <row r="831" spans="1:25" s="89" customFormat="1" ht="13.9">
      <c r="A831" s="269" t="str">
        <f t="shared" si="196"/>
        <v>n</v>
      </c>
      <c r="B831" s="2060"/>
      <c r="D831" s="801"/>
      <c r="E831" s="1505">
        <v>18</v>
      </c>
      <c r="F831" s="21" t="str">
        <f>F$146</f>
        <v>--</v>
      </c>
      <c r="G831" s="1441">
        <f>G$146</f>
        <v>0</v>
      </c>
      <c r="H831" s="1441" t="str">
        <f>H$146</f>
        <v>--</v>
      </c>
      <c r="I831" s="1513" t="s">
        <v>817</v>
      </c>
      <c r="J831" s="2301" t="str">
        <f>IF($G831=0,"--",IFERROR(-_xll.ciqfunctions.udf.CIQ($G831,$I831,J117,Valuation_Date_GC,ReportType,DataMode,$H831,FXMode)*Scale,"--"))</f>
        <v>--</v>
      </c>
      <c r="K831" s="2301" t="str">
        <f>IF($G831=0,"--",IFERROR(-_xll.ciqfunctions.udf.CIQ($G831,$I831,K117,Valuation_Date_GC,ReportType,DataMode,$H831,FXMode)*Scale,"--"))</f>
        <v>--</v>
      </c>
      <c r="L831" s="2301" t="str">
        <f>IF($G831=0,"--",IFERROR(-_xll.ciqfunctions.udf.CIQ($G831,$I831,L117,Valuation_Date_GC,ReportType,DataMode,$H831,FXMode)*Scale,"--"))</f>
        <v>--</v>
      </c>
      <c r="M831" s="2301" t="str">
        <f>IF($G831=0,"--",IFERROR(-_xll.ciqfunctions.udf.CIQ($G831,$I831,M117,Valuation_Date_GC,ReportType,DataMode,$H831,FXMode)*Scale,"--"))</f>
        <v>--</v>
      </c>
      <c r="N831" s="2301" t="str">
        <f>IF($G831=0,"--",IFERROR(-_xll.ciqfunctions.udf.CIQ($G831,$I831,N117,Valuation_Date_GC,ReportType,DataMode,$H831,FXMode)*Scale,"--"))</f>
        <v>--</v>
      </c>
      <c r="O831" s="2317" t="str">
        <f>IF($G831=0,"--",IFERROR(-_xll.ciqfunctions.udf.CIQ($G831,$I831,O117,Valuation_Date_GC,ReportType,DataMode,$H831,FXMode)*Scale,"--"))</f>
        <v>--</v>
      </c>
      <c r="P831" s="2301" t="str">
        <f>IF($G831=0,"--",IFERROR(-_xll.ciqfunctions.udf.CIQ($G831,$I831,P117,Valuation_Date_GC,ReportType,DataMode,$H831,FXMode)*Scale,"--"))</f>
        <v>--</v>
      </c>
      <c r="R831" s="255"/>
      <c r="T831" s="89" t="s">
        <v>816</v>
      </c>
      <c r="U831" s="2301" t="str">
        <f>IF($G831=0,"--",IFERROR(IF(_xll.ciqfunctions.udf.CIQ($G831,$T831,U117,Valuation_Date_GC,ReportType,DataMode,$H831)*Scale=0,"--",_xll.ciqfunctions.udf.CIQ($G831,$T831,U117,Valuation_Date_GC,ReportType,DataMode,$H831)*Scale),"--"))</f>
        <v>--</v>
      </c>
      <c r="V831" s="2301" t="str">
        <f>IF($G831=0,"--",IFERROR(IF(_xll.ciqfunctions.udf.CIQ($G831,$T831,V117,Valuation_Date_GC,ReportType,DataMode,$H831)*Scale=0,"--",_xll.ciqfunctions.udf.CIQ($G831,$T831,V117,Valuation_Date_GC,ReportType,DataMode,$H831)*Scale),"--"))</f>
        <v>--</v>
      </c>
      <c r="W831" s="2301" t="str">
        <f>IF($G831=0,"--",IFERROR(IF(_xll.ciqfunctions.udf.CIQ($G831,$T831,W117,Valuation_Date_GC,ReportType,DataMode,$H831)*Scale=0,"--",_xll.ciqfunctions.udf.CIQ($G831,$T831,W117,Valuation_Date_GC,ReportType,DataMode,$H831)*Scale),"--"))</f>
        <v>--</v>
      </c>
      <c r="X831" s="2301" t="str">
        <f>IF($G831=0,"--",IFERROR(IF(_xll.ciqfunctions.udf.CIQ($G831,$T831,X117,Valuation_Date_GC,ReportType,DataMode,$H831)*Scale=0,"--",_xll.ciqfunctions.udf.CIQ($G831,$T831,X117,Valuation_Date_GC,ReportType,DataMode,$H831)*Scale),"--"))</f>
        <v>--</v>
      </c>
      <c r="Y831" s="2301" t="str">
        <f>IF($G831=0,"--",IFERROR(IF(_xll.ciqfunctions.udf.CIQ($G831,$T831,Y117,Valuation_Date_GC,ReportType,DataMode,$H831)*Scale=0,"--",_xll.ciqfunctions.udf.CIQ($G831,$T831,Y117,Valuation_Date_GC,ReportType,DataMode,$H831)*Scale),"--"))</f>
        <v>--</v>
      </c>
    </row>
    <row r="832" spans="1:25" s="89" customFormat="1" ht="13.9">
      <c r="A832" s="269" t="str">
        <f t="shared" si="196"/>
        <v>n</v>
      </c>
      <c r="B832" s="2060"/>
      <c r="D832" s="801"/>
      <c r="E832" s="1505">
        <v>19</v>
      </c>
      <c r="F832" s="21" t="str">
        <f>F$147</f>
        <v>--</v>
      </c>
      <c r="G832" s="1441">
        <f>G$147</f>
        <v>0</v>
      </c>
      <c r="H832" s="1441" t="str">
        <f>H$147</f>
        <v>--</v>
      </c>
      <c r="I832" s="1513" t="s">
        <v>817</v>
      </c>
      <c r="J832" s="2301" t="str">
        <f>IF($G832=0,"--",IFERROR(-_xll.ciqfunctions.udf.CIQ($G832,$I832,J118,Valuation_Date_GC,ReportType,DataMode,$H832,FXMode)*Scale,"--"))</f>
        <v>--</v>
      </c>
      <c r="K832" s="2301" t="str">
        <f>IF($G832=0,"--",IFERROR(-_xll.ciqfunctions.udf.CIQ($G832,$I832,K118,Valuation_Date_GC,ReportType,DataMode,$H832,FXMode)*Scale,"--"))</f>
        <v>--</v>
      </c>
      <c r="L832" s="2301" t="str">
        <f>IF($G832=0,"--",IFERROR(-_xll.ciqfunctions.udf.CIQ($G832,$I832,L118,Valuation_Date_GC,ReportType,DataMode,$H832,FXMode)*Scale,"--"))</f>
        <v>--</v>
      </c>
      <c r="M832" s="2301" t="str">
        <f>IF($G832=0,"--",IFERROR(-_xll.ciqfunctions.udf.CIQ($G832,$I832,M118,Valuation_Date_GC,ReportType,DataMode,$H832,FXMode)*Scale,"--"))</f>
        <v>--</v>
      </c>
      <c r="N832" s="2301" t="str">
        <f>IF($G832=0,"--",IFERROR(-_xll.ciqfunctions.udf.CIQ($G832,$I832,N118,Valuation_Date_GC,ReportType,DataMode,$H832,FXMode)*Scale,"--"))</f>
        <v>--</v>
      </c>
      <c r="O832" s="2317" t="str">
        <f>IF($G832=0,"--",IFERROR(-_xll.ciqfunctions.udf.CIQ($G832,$I832,O118,Valuation_Date_GC,ReportType,DataMode,$H832,FXMode)*Scale,"--"))</f>
        <v>--</v>
      </c>
      <c r="P832" s="2301" t="str">
        <f>IF($G832=0,"--",IFERROR(-_xll.ciqfunctions.udf.CIQ($G832,$I832,P118,Valuation_Date_GC,ReportType,DataMode,$H832,FXMode)*Scale,"--"))</f>
        <v>--</v>
      </c>
      <c r="R832" s="255"/>
      <c r="T832" s="89" t="s">
        <v>816</v>
      </c>
      <c r="U832" s="2301" t="str">
        <f>IF($G832=0,"--",IFERROR(IF(_xll.ciqfunctions.udf.CIQ($G832,$T832,U118,Valuation_Date_GC,ReportType,DataMode,$H832)*Scale=0,"--",_xll.ciqfunctions.udf.CIQ($G832,$T832,U118,Valuation_Date_GC,ReportType,DataMode,$H832)*Scale),"--"))</f>
        <v>--</v>
      </c>
      <c r="V832" s="2301" t="str">
        <f>IF($G832=0,"--",IFERROR(IF(_xll.ciqfunctions.udf.CIQ($G832,$T832,V118,Valuation_Date_GC,ReportType,DataMode,$H832)*Scale=0,"--",_xll.ciqfunctions.udf.CIQ($G832,$T832,V118,Valuation_Date_GC,ReportType,DataMode,$H832)*Scale),"--"))</f>
        <v>--</v>
      </c>
      <c r="W832" s="2301" t="str">
        <f>IF($G832=0,"--",IFERROR(IF(_xll.ciqfunctions.udf.CIQ($G832,$T832,W118,Valuation_Date_GC,ReportType,DataMode,$H832)*Scale=0,"--",_xll.ciqfunctions.udf.CIQ($G832,$T832,W118,Valuation_Date_GC,ReportType,DataMode,$H832)*Scale),"--"))</f>
        <v>--</v>
      </c>
      <c r="X832" s="2301" t="str">
        <f>IF($G832=0,"--",IFERROR(IF(_xll.ciqfunctions.udf.CIQ($G832,$T832,X118,Valuation_Date_GC,ReportType,DataMode,$H832)*Scale=0,"--",_xll.ciqfunctions.udf.CIQ($G832,$T832,X118,Valuation_Date_GC,ReportType,DataMode,$H832)*Scale),"--"))</f>
        <v>--</v>
      </c>
      <c r="Y832" s="2301" t="str">
        <f>IF($G832=0,"--",IFERROR(IF(_xll.ciqfunctions.udf.CIQ($G832,$T832,Y118,Valuation_Date_GC,ReportType,DataMode,$H832)*Scale=0,"--",_xll.ciqfunctions.udf.CIQ($G832,$T832,Y118,Valuation_Date_GC,ReportType,DataMode,$H832)*Scale),"--"))</f>
        <v>--</v>
      </c>
    </row>
    <row r="833" spans="1:32" s="89" customFormat="1" ht="13.9">
      <c r="A833" s="269" t="str">
        <f t="shared" si="196"/>
        <v>n</v>
      </c>
      <c r="B833" s="2060"/>
      <c r="D833" s="801"/>
      <c r="E833" s="1505">
        <v>20</v>
      </c>
      <c r="F833" s="21" t="str">
        <f>F$148</f>
        <v>--</v>
      </c>
      <c r="G833" s="1441">
        <f>G$148</f>
        <v>0</v>
      </c>
      <c r="H833" s="1441" t="str">
        <f>H$148</f>
        <v>--</v>
      </c>
      <c r="I833" s="1513" t="s">
        <v>817</v>
      </c>
      <c r="J833" s="2301" t="str">
        <f>IF($G833=0,"--",IFERROR(-_xll.ciqfunctions.udf.CIQ($G833,$I833,J119,Valuation_Date_GC,ReportType,DataMode,$H833,FXMode)*Scale,"--"))</f>
        <v>--</v>
      </c>
      <c r="K833" s="2301" t="str">
        <f>IF($G833=0,"--",IFERROR(-_xll.ciqfunctions.udf.CIQ($G833,$I833,K119,Valuation_Date_GC,ReportType,DataMode,$H833,FXMode)*Scale,"--"))</f>
        <v>--</v>
      </c>
      <c r="L833" s="2301" t="str">
        <f>IF($G833=0,"--",IFERROR(-_xll.ciqfunctions.udf.CIQ($G833,$I833,L119,Valuation_Date_GC,ReportType,DataMode,$H833,FXMode)*Scale,"--"))</f>
        <v>--</v>
      </c>
      <c r="M833" s="2301" t="str">
        <f>IF($G833=0,"--",IFERROR(-_xll.ciqfunctions.udf.CIQ($G833,$I833,M119,Valuation_Date_GC,ReportType,DataMode,$H833,FXMode)*Scale,"--"))</f>
        <v>--</v>
      </c>
      <c r="N833" s="2301" t="str">
        <f>IF($G833=0,"--",IFERROR(-_xll.ciqfunctions.udf.CIQ($G833,$I833,N119,Valuation_Date_GC,ReportType,DataMode,$H833,FXMode)*Scale,"--"))</f>
        <v>--</v>
      </c>
      <c r="O833" s="2317" t="str">
        <f>IF($G833=0,"--",IFERROR(-_xll.ciqfunctions.udf.CIQ($G833,$I833,O119,Valuation_Date_GC,ReportType,DataMode,$H833,FXMode)*Scale,"--"))</f>
        <v>--</v>
      </c>
      <c r="P833" s="2301" t="str">
        <f>IF($G833=0,"--",IFERROR(-_xll.ciqfunctions.udf.CIQ($G833,$I833,P119,Valuation_Date_GC,ReportType,DataMode,$H833,FXMode)*Scale,"--"))</f>
        <v>--</v>
      </c>
      <c r="R833" s="255"/>
      <c r="T833" s="89" t="s">
        <v>816</v>
      </c>
      <c r="U833" s="2301" t="str">
        <f>IF($G833=0,"--",IFERROR(IF(_xll.ciqfunctions.udf.CIQ($G833,$T833,U119,Valuation_Date_GC,ReportType,DataMode,$H833)*Scale=0,"--",_xll.ciqfunctions.udf.CIQ($G833,$T833,U119,Valuation_Date_GC,ReportType,DataMode,$H833)*Scale),"--"))</f>
        <v>--</v>
      </c>
      <c r="V833" s="2301" t="str">
        <f>IF($G833=0,"--",IFERROR(IF(_xll.ciqfunctions.udf.CIQ($G833,$T833,V119,Valuation_Date_GC,ReportType,DataMode,$H833)*Scale=0,"--",_xll.ciqfunctions.udf.CIQ($G833,$T833,V119,Valuation_Date_GC,ReportType,DataMode,$H833)*Scale),"--"))</f>
        <v>--</v>
      </c>
      <c r="W833" s="2301" t="str">
        <f>IF($G833=0,"--",IFERROR(IF(_xll.ciqfunctions.udf.CIQ($G833,$T833,W119,Valuation_Date_GC,ReportType,DataMode,$H833)*Scale=0,"--",_xll.ciqfunctions.udf.CIQ($G833,$T833,W119,Valuation_Date_GC,ReportType,DataMode,$H833)*Scale),"--"))</f>
        <v>--</v>
      </c>
      <c r="X833" s="2301" t="str">
        <f>IF($G833=0,"--",IFERROR(IF(_xll.ciqfunctions.udf.CIQ($G833,$T833,X119,Valuation_Date_GC,ReportType,DataMode,$H833)*Scale=0,"--",_xll.ciqfunctions.udf.CIQ($G833,$T833,X119,Valuation_Date_GC,ReportType,DataMode,$H833)*Scale),"--"))</f>
        <v>--</v>
      </c>
      <c r="Y833" s="2301" t="str">
        <f>IF($G833=0,"--",IFERROR(IF(_xll.ciqfunctions.udf.CIQ($G833,$T833,Y119,Valuation_Date_GC,ReportType,DataMode,$H833)*Scale=0,"--",_xll.ciqfunctions.udf.CIQ($G833,$T833,Y119,Valuation_Date_GC,ReportType,DataMode,$H833)*Scale),"--"))</f>
        <v>--</v>
      </c>
    </row>
    <row r="834" spans="1:32" s="89" customFormat="1" ht="13.9">
      <c r="A834" s="269" t="str">
        <f t="shared" si="196"/>
        <v>n</v>
      </c>
      <c r="B834" s="2060"/>
      <c r="D834" s="801"/>
      <c r="E834" s="1505">
        <v>21</v>
      </c>
      <c r="F834" s="21" t="str">
        <f>F$149</f>
        <v>--</v>
      </c>
      <c r="G834" s="1441">
        <f>G$149</f>
        <v>0</v>
      </c>
      <c r="H834" s="1441" t="str">
        <f>H$149</f>
        <v>--</v>
      </c>
      <c r="I834" s="1513" t="s">
        <v>817</v>
      </c>
      <c r="J834" s="2301" t="str">
        <f>IF($G834=0,"--",IFERROR(-_xll.ciqfunctions.udf.CIQ($G834,$I834,J120,Valuation_Date_GC,ReportType,DataMode,$H834,FXMode)*Scale,"--"))</f>
        <v>--</v>
      </c>
      <c r="K834" s="2301" t="str">
        <f>IF($G834=0,"--",IFERROR(-_xll.ciqfunctions.udf.CIQ($G834,$I834,K120,Valuation_Date_GC,ReportType,DataMode,$H834,FXMode)*Scale,"--"))</f>
        <v>--</v>
      </c>
      <c r="L834" s="2301" t="str">
        <f>IF($G834=0,"--",IFERROR(-_xll.ciqfunctions.udf.CIQ($G834,$I834,L120,Valuation_Date_GC,ReportType,DataMode,$H834,FXMode)*Scale,"--"))</f>
        <v>--</v>
      </c>
      <c r="M834" s="2301" t="str">
        <f>IF($G834=0,"--",IFERROR(-_xll.ciqfunctions.udf.CIQ($G834,$I834,M120,Valuation_Date_GC,ReportType,DataMode,$H834,FXMode)*Scale,"--"))</f>
        <v>--</v>
      </c>
      <c r="N834" s="2301" t="str">
        <f>IF($G834=0,"--",IFERROR(-_xll.ciqfunctions.udf.CIQ($G834,$I834,N120,Valuation_Date_GC,ReportType,DataMode,$H834,FXMode)*Scale,"--"))</f>
        <v>--</v>
      </c>
      <c r="O834" s="2317" t="str">
        <f>IF($G834=0,"--",IFERROR(-_xll.ciqfunctions.udf.CIQ($G834,$I834,O120,Valuation_Date_GC,ReportType,DataMode,$H834,FXMode)*Scale,"--"))</f>
        <v>--</v>
      </c>
      <c r="P834" s="2301" t="str">
        <f>IF($G834=0,"--",IFERROR(-_xll.ciqfunctions.udf.CIQ($G834,$I834,P120,Valuation_Date_GC,ReportType,DataMode,$H834,FXMode)*Scale,"--"))</f>
        <v>--</v>
      </c>
      <c r="R834" s="255"/>
      <c r="T834" s="89" t="s">
        <v>816</v>
      </c>
      <c r="U834" s="2301" t="str">
        <f>IF($G834=0,"--",IFERROR(IF(_xll.ciqfunctions.udf.CIQ($G834,$T834,U120,Valuation_Date_GC,ReportType,DataMode,$H834)*Scale=0,"--",_xll.ciqfunctions.udf.CIQ($G834,$T834,U120,Valuation_Date_GC,ReportType,DataMode,$H834)*Scale),"--"))</f>
        <v>--</v>
      </c>
      <c r="V834" s="2301" t="str">
        <f>IF($G834=0,"--",IFERROR(IF(_xll.ciqfunctions.udf.CIQ($G834,$T834,V120,Valuation_Date_GC,ReportType,DataMode,$H834)*Scale=0,"--",_xll.ciqfunctions.udf.CIQ($G834,$T834,V120,Valuation_Date_GC,ReportType,DataMode,$H834)*Scale),"--"))</f>
        <v>--</v>
      </c>
      <c r="W834" s="2301" t="str">
        <f>IF($G834=0,"--",IFERROR(IF(_xll.ciqfunctions.udf.CIQ($G834,$T834,W120,Valuation_Date_GC,ReportType,DataMode,$H834)*Scale=0,"--",_xll.ciqfunctions.udf.CIQ($G834,$T834,W120,Valuation_Date_GC,ReportType,DataMode,$H834)*Scale),"--"))</f>
        <v>--</v>
      </c>
      <c r="X834" s="2301" t="str">
        <f>IF($G834=0,"--",IFERROR(IF(_xll.ciqfunctions.udf.CIQ($G834,$T834,X120,Valuation_Date_GC,ReportType,DataMode,$H834)*Scale=0,"--",_xll.ciqfunctions.udf.CIQ($G834,$T834,X120,Valuation_Date_GC,ReportType,DataMode,$H834)*Scale),"--"))</f>
        <v>--</v>
      </c>
      <c r="Y834" s="2301" t="str">
        <f>IF($G834=0,"--",IFERROR(IF(_xll.ciqfunctions.udf.CIQ($G834,$T834,Y120,Valuation_Date_GC,ReportType,DataMode,$H834)*Scale=0,"--",_xll.ciqfunctions.udf.CIQ($G834,$T834,Y120,Valuation_Date_GC,ReportType,DataMode,$H834)*Scale),"--"))</f>
        <v>--</v>
      </c>
    </row>
    <row r="835" spans="1:32" s="89" customFormat="1" ht="13.9">
      <c r="A835" s="269" t="str">
        <f t="shared" si="196"/>
        <v>n</v>
      </c>
      <c r="B835" s="2060"/>
      <c r="D835" s="801"/>
      <c r="E835" s="1505">
        <v>22</v>
      </c>
      <c r="F835" s="21" t="str">
        <f>F$150</f>
        <v>--</v>
      </c>
      <c r="G835" s="1441">
        <f>G$150</f>
        <v>0</v>
      </c>
      <c r="H835" s="1441" t="str">
        <f>H$150</f>
        <v>--</v>
      </c>
      <c r="I835" s="1513" t="s">
        <v>817</v>
      </c>
      <c r="J835" s="2301" t="str">
        <f>IF($G835=0,"--",IFERROR(-_xll.ciqfunctions.udf.CIQ($G835,$I835,J121,Valuation_Date_GC,ReportType,DataMode,$H835,FXMode)*Scale,"--"))</f>
        <v>--</v>
      </c>
      <c r="K835" s="2301" t="str">
        <f>IF($G835=0,"--",IFERROR(-_xll.ciqfunctions.udf.CIQ($G835,$I835,K121,Valuation_Date_GC,ReportType,DataMode,$H835,FXMode)*Scale,"--"))</f>
        <v>--</v>
      </c>
      <c r="L835" s="2301" t="str">
        <f>IF($G835=0,"--",IFERROR(-_xll.ciqfunctions.udf.CIQ($G835,$I835,L121,Valuation_Date_GC,ReportType,DataMode,$H835,FXMode)*Scale,"--"))</f>
        <v>--</v>
      </c>
      <c r="M835" s="2301" t="str">
        <f>IF($G835=0,"--",IFERROR(-_xll.ciqfunctions.udf.CIQ($G835,$I835,M121,Valuation_Date_GC,ReportType,DataMode,$H835,FXMode)*Scale,"--"))</f>
        <v>--</v>
      </c>
      <c r="N835" s="2301" t="str">
        <f>IF($G835=0,"--",IFERROR(-_xll.ciqfunctions.udf.CIQ($G835,$I835,N121,Valuation_Date_GC,ReportType,DataMode,$H835,FXMode)*Scale,"--"))</f>
        <v>--</v>
      </c>
      <c r="O835" s="2317" t="str">
        <f>IF($G835=0,"--",IFERROR(-_xll.ciqfunctions.udf.CIQ($G835,$I835,O121,Valuation_Date_GC,ReportType,DataMode,$H835,FXMode)*Scale,"--"))</f>
        <v>--</v>
      </c>
      <c r="P835" s="2301" t="str">
        <f>IF($G835=0,"--",IFERROR(-_xll.ciqfunctions.udf.CIQ($G835,$I835,P121,Valuation_Date_GC,ReportType,DataMode,$H835,FXMode)*Scale,"--"))</f>
        <v>--</v>
      </c>
      <c r="R835" s="255"/>
      <c r="T835" s="89" t="s">
        <v>816</v>
      </c>
      <c r="U835" s="2301" t="str">
        <f>IF($G835=0,"--",IFERROR(IF(_xll.ciqfunctions.udf.CIQ($G835,$T835,U121,Valuation_Date_GC,ReportType,DataMode,$H835)*Scale=0,"--",_xll.ciqfunctions.udf.CIQ($G835,$T835,U121,Valuation_Date_GC,ReportType,DataMode,$H835)*Scale),"--"))</f>
        <v>--</v>
      </c>
      <c r="V835" s="2301" t="str">
        <f>IF($G835=0,"--",IFERROR(IF(_xll.ciqfunctions.udf.CIQ($G835,$T835,V121,Valuation_Date_GC,ReportType,DataMode,$H835)*Scale=0,"--",_xll.ciqfunctions.udf.CIQ($G835,$T835,V121,Valuation_Date_GC,ReportType,DataMode,$H835)*Scale),"--"))</f>
        <v>--</v>
      </c>
      <c r="W835" s="2301" t="str">
        <f>IF($G835=0,"--",IFERROR(IF(_xll.ciqfunctions.udf.CIQ($G835,$T835,W121,Valuation_Date_GC,ReportType,DataMode,$H835)*Scale=0,"--",_xll.ciqfunctions.udf.CIQ($G835,$T835,W121,Valuation_Date_GC,ReportType,DataMode,$H835)*Scale),"--"))</f>
        <v>--</v>
      </c>
      <c r="X835" s="2301" t="str">
        <f>IF($G835=0,"--",IFERROR(IF(_xll.ciqfunctions.udf.CIQ($G835,$T835,X121,Valuation_Date_GC,ReportType,DataMode,$H835)*Scale=0,"--",_xll.ciqfunctions.udf.CIQ($G835,$T835,X121,Valuation_Date_GC,ReportType,DataMode,$H835)*Scale),"--"))</f>
        <v>--</v>
      </c>
      <c r="Y835" s="2301" t="str">
        <f>IF($G835=0,"--",IFERROR(IF(_xll.ciqfunctions.udf.CIQ($G835,$T835,Y121,Valuation_Date_GC,ReportType,DataMode,$H835)*Scale=0,"--",_xll.ciqfunctions.udf.CIQ($G835,$T835,Y121,Valuation_Date_GC,ReportType,DataMode,$H835)*Scale),"--"))</f>
        <v>--</v>
      </c>
    </row>
    <row r="836" spans="1:32" s="89" customFormat="1" ht="13.9">
      <c r="A836" s="269" t="str">
        <f t="shared" si="196"/>
        <v>n</v>
      </c>
      <c r="B836" s="2060"/>
      <c r="D836" s="801"/>
      <c r="E836" s="1505">
        <v>23</v>
      </c>
      <c r="F836" s="21" t="str">
        <f>F$151</f>
        <v>--</v>
      </c>
      <c r="G836" s="1441">
        <f>G$151</f>
        <v>0</v>
      </c>
      <c r="H836" s="1441" t="str">
        <f>H$151</f>
        <v>--</v>
      </c>
      <c r="I836" s="1513" t="s">
        <v>817</v>
      </c>
      <c r="J836" s="2301" t="str">
        <f>IF($G836=0,"--",IFERROR(-_xll.ciqfunctions.udf.CIQ($G836,$I836,J122,Valuation_Date_GC,ReportType,DataMode,$H836,FXMode)*Scale,"--"))</f>
        <v>--</v>
      </c>
      <c r="K836" s="2301" t="str">
        <f>IF($G836=0,"--",IFERROR(-_xll.ciqfunctions.udf.CIQ($G836,$I836,K122,Valuation_Date_GC,ReportType,DataMode,$H836,FXMode)*Scale,"--"))</f>
        <v>--</v>
      </c>
      <c r="L836" s="2301" t="str">
        <f>IF($G836=0,"--",IFERROR(-_xll.ciqfunctions.udf.CIQ($G836,$I836,L122,Valuation_Date_GC,ReportType,DataMode,$H836,FXMode)*Scale,"--"))</f>
        <v>--</v>
      </c>
      <c r="M836" s="2301" t="str">
        <f>IF($G836=0,"--",IFERROR(-_xll.ciqfunctions.udf.CIQ($G836,$I836,M122,Valuation_Date_GC,ReportType,DataMode,$H836,FXMode)*Scale,"--"))</f>
        <v>--</v>
      </c>
      <c r="N836" s="2301" t="str">
        <f>IF($G836=0,"--",IFERROR(-_xll.ciqfunctions.udf.CIQ($G836,$I836,N122,Valuation_Date_GC,ReportType,DataMode,$H836,FXMode)*Scale,"--"))</f>
        <v>--</v>
      </c>
      <c r="O836" s="2317" t="str">
        <f>IF($G836=0,"--",IFERROR(-_xll.ciqfunctions.udf.CIQ($G836,$I836,O122,Valuation_Date_GC,ReportType,DataMode,$H836,FXMode)*Scale,"--"))</f>
        <v>--</v>
      </c>
      <c r="P836" s="2301" t="str">
        <f>IF($G836=0,"--",IFERROR(-_xll.ciqfunctions.udf.CIQ($G836,$I836,P122,Valuation_Date_GC,ReportType,DataMode,$H836,FXMode)*Scale,"--"))</f>
        <v>--</v>
      </c>
      <c r="R836" s="255"/>
      <c r="T836" s="89" t="s">
        <v>816</v>
      </c>
      <c r="U836" s="2301" t="str">
        <f>IF($G836=0,"--",IFERROR(IF(_xll.ciqfunctions.udf.CIQ($G836,$T836,U122,Valuation_Date_GC,ReportType,DataMode,$H836)*Scale=0,"--",_xll.ciqfunctions.udf.CIQ($G836,$T836,U122,Valuation_Date_GC,ReportType,DataMode,$H836)*Scale),"--"))</f>
        <v>--</v>
      </c>
      <c r="V836" s="2301" t="str">
        <f>IF($G836=0,"--",IFERROR(IF(_xll.ciqfunctions.udf.CIQ($G836,$T836,V122,Valuation_Date_GC,ReportType,DataMode,$H836)*Scale=0,"--",_xll.ciqfunctions.udf.CIQ($G836,$T836,V122,Valuation_Date_GC,ReportType,DataMode,$H836)*Scale),"--"))</f>
        <v>--</v>
      </c>
      <c r="W836" s="2301" t="str">
        <f>IF($G836=0,"--",IFERROR(IF(_xll.ciqfunctions.udf.CIQ($G836,$T836,W122,Valuation_Date_GC,ReportType,DataMode,$H836)*Scale=0,"--",_xll.ciqfunctions.udf.CIQ($G836,$T836,W122,Valuation_Date_GC,ReportType,DataMode,$H836)*Scale),"--"))</f>
        <v>--</v>
      </c>
      <c r="X836" s="2301" t="str">
        <f>IF($G836=0,"--",IFERROR(IF(_xll.ciqfunctions.udf.CIQ($G836,$T836,X122,Valuation_Date_GC,ReportType,DataMode,$H836)*Scale=0,"--",_xll.ciqfunctions.udf.CIQ($G836,$T836,X122,Valuation_Date_GC,ReportType,DataMode,$H836)*Scale),"--"))</f>
        <v>--</v>
      </c>
      <c r="Y836" s="2301" t="str">
        <f>IF($G836=0,"--",IFERROR(IF(_xll.ciqfunctions.udf.CIQ($G836,$T836,Y122,Valuation_Date_GC,ReportType,DataMode,$H836)*Scale=0,"--",_xll.ciqfunctions.udf.CIQ($G836,$T836,Y122,Valuation_Date_GC,ReportType,DataMode,$H836)*Scale),"--"))</f>
        <v>--</v>
      </c>
    </row>
    <row r="837" spans="1:32" s="89" customFormat="1" ht="13.9">
      <c r="A837" s="269" t="str">
        <f t="shared" si="196"/>
        <v>n</v>
      </c>
      <c r="B837" s="2060"/>
      <c r="D837" s="801"/>
      <c r="E837" s="1505">
        <v>24</v>
      </c>
      <c r="F837" s="21" t="str">
        <f>F$152</f>
        <v>--</v>
      </c>
      <c r="G837" s="1441">
        <f>G$152</f>
        <v>0</v>
      </c>
      <c r="H837" s="1441" t="str">
        <f>H$152</f>
        <v>--</v>
      </c>
      <c r="I837" s="1513" t="s">
        <v>817</v>
      </c>
      <c r="J837" s="2301" t="str">
        <f>IF($G837=0,"--",IFERROR(-_xll.ciqfunctions.udf.CIQ($G837,$I837,J123,Valuation_Date_GC,ReportType,DataMode,$H837,FXMode)*Scale,"--"))</f>
        <v>--</v>
      </c>
      <c r="K837" s="2301" t="str">
        <f>IF($G837=0,"--",IFERROR(-_xll.ciqfunctions.udf.CIQ($G837,$I837,K123,Valuation_Date_GC,ReportType,DataMode,$H837,FXMode)*Scale,"--"))</f>
        <v>--</v>
      </c>
      <c r="L837" s="2301" t="str">
        <f>IF($G837=0,"--",IFERROR(-_xll.ciqfunctions.udf.CIQ($G837,$I837,L123,Valuation_Date_GC,ReportType,DataMode,$H837,FXMode)*Scale,"--"))</f>
        <v>--</v>
      </c>
      <c r="M837" s="2301" t="str">
        <f>IF($G837=0,"--",IFERROR(-_xll.ciqfunctions.udf.CIQ($G837,$I837,M123,Valuation_Date_GC,ReportType,DataMode,$H837,FXMode)*Scale,"--"))</f>
        <v>--</v>
      </c>
      <c r="N837" s="2301" t="str">
        <f>IF($G837=0,"--",IFERROR(-_xll.ciqfunctions.udf.CIQ($G837,$I837,N123,Valuation_Date_GC,ReportType,DataMode,$H837,FXMode)*Scale,"--"))</f>
        <v>--</v>
      </c>
      <c r="O837" s="2317" t="str">
        <f>IF($G837=0,"--",IFERROR(-_xll.ciqfunctions.udf.CIQ($G837,$I837,O123,Valuation_Date_GC,ReportType,DataMode,$H837,FXMode)*Scale,"--"))</f>
        <v>--</v>
      </c>
      <c r="P837" s="2301" t="str">
        <f>IF($G837=0,"--",IFERROR(-_xll.ciqfunctions.udf.CIQ($G837,$I837,P123,Valuation_Date_GC,ReportType,DataMode,$H837,FXMode)*Scale,"--"))</f>
        <v>--</v>
      </c>
      <c r="R837" s="255"/>
      <c r="T837" s="89" t="s">
        <v>816</v>
      </c>
      <c r="U837" s="2301" t="str">
        <f>IF($G837=0,"--",IFERROR(IF(_xll.ciqfunctions.udf.CIQ($G837,$T837,U123,Valuation_Date_GC,ReportType,DataMode,$H837)*Scale=0,"--",_xll.ciqfunctions.udf.CIQ($G837,$T837,U123,Valuation_Date_GC,ReportType,DataMode,$H837)*Scale),"--"))</f>
        <v>--</v>
      </c>
      <c r="V837" s="2301" t="str">
        <f>IF($G837=0,"--",IFERROR(IF(_xll.ciqfunctions.udf.CIQ($G837,$T837,V123,Valuation_Date_GC,ReportType,DataMode,$H837)*Scale=0,"--",_xll.ciqfunctions.udf.CIQ($G837,$T837,V123,Valuation_Date_GC,ReportType,DataMode,$H837)*Scale),"--"))</f>
        <v>--</v>
      </c>
      <c r="W837" s="2301" t="str">
        <f>IF($G837=0,"--",IFERROR(IF(_xll.ciqfunctions.udf.CIQ($G837,$T837,W123,Valuation_Date_GC,ReportType,DataMode,$H837)*Scale=0,"--",_xll.ciqfunctions.udf.CIQ($G837,$T837,W123,Valuation_Date_GC,ReportType,DataMode,$H837)*Scale),"--"))</f>
        <v>--</v>
      </c>
      <c r="X837" s="2301" t="str">
        <f>IF($G837=0,"--",IFERROR(IF(_xll.ciqfunctions.udf.CIQ($G837,$T837,X123,Valuation_Date_GC,ReportType,DataMode,$H837)*Scale=0,"--",_xll.ciqfunctions.udf.CIQ($G837,$T837,X123,Valuation_Date_GC,ReportType,DataMode,$H837)*Scale),"--"))</f>
        <v>--</v>
      </c>
      <c r="Y837" s="2301" t="str">
        <f>IF($G837=0,"--",IFERROR(IF(_xll.ciqfunctions.udf.CIQ($G837,$T837,Y123,Valuation_Date_GC,ReportType,DataMode,$H837)*Scale=0,"--",_xll.ciqfunctions.udf.CIQ($G837,$T837,Y123,Valuation_Date_GC,ReportType,DataMode,$H837)*Scale),"--"))</f>
        <v>--</v>
      </c>
    </row>
    <row r="838" spans="1:32" s="89" customFormat="1" ht="13.9">
      <c r="A838" s="269" t="str">
        <f t="shared" si="196"/>
        <v>n</v>
      </c>
      <c r="B838" s="2060"/>
      <c r="D838" s="801"/>
      <c r="E838" s="1505">
        <v>25</v>
      </c>
      <c r="F838" s="21" t="str">
        <f>F$153</f>
        <v>--</v>
      </c>
      <c r="G838" s="1441">
        <f>G$153</f>
        <v>0</v>
      </c>
      <c r="H838" s="1441" t="str">
        <f>H$153</f>
        <v>--</v>
      </c>
      <c r="I838" s="1513" t="s">
        <v>817</v>
      </c>
      <c r="J838" s="2301" t="str">
        <f>IF($G838=0,"--",IFERROR(-_xll.ciqfunctions.udf.CIQ($G838,$I838,J124,Valuation_Date_GC,ReportType,DataMode,$H838,FXMode)*Scale,"--"))</f>
        <v>--</v>
      </c>
      <c r="K838" s="2301" t="str">
        <f>IF($G838=0,"--",IFERROR(-_xll.ciqfunctions.udf.CIQ($G838,$I838,K124,Valuation_Date_GC,ReportType,DataMode,$H838,FXMode)*Scale,"--"))</f>
        <v>--</v>
      </c>
      <c r="L838" s="2301" t="str">
        <f>IF($G838=0,"--",IFERROR(-_xll.ciqfunctions.udf.CIQ($G838,$I838,L124,Valuation_Date_GC,ReportType,DataMode,$H838,FXMode)*Scale,"--"))</f>
        <v>--</v>
      </c>
      <c r="M838" s="2301" t="str">
        <f>IF($G838=0,"--",IFERROR(-_xll.ciqfunctions.udf.CIQ($G838,$I838,M124,Valuation_Date_GC,ReportType,DataMode,$H838,FXMode)*Scale,"--"))</f>
        <v>--</v>
      </c>
      <c r="N838" s="2301" t="str">
        <f>IF($G838=0,"--",IFERROR(-_xll.ciqfunctions.udf.CIQ($G838,$I838,N124,Valuation_Date_GC,ReportType,DataMode,$H838,FXMode)*Scale,"--"))</f>
        <v>--</v>
      </c>
      <c r="O838" s="2317" t="str">
        <f>IF($G838=0,"--",IFERROR(-_xll.ciqfunctions.udf.CIQ($G838,$I838,O124,Valuation_Date_GC,ReportType,DataMode,$H838,FXMode)*Scale,"--"))</f>
        <v>--</v>
      </c>
      <c r="P838" s="2301" t="str">
        <f>IF($G838=0,"--",IFERROR(-_xll.ciqfunctions.udf.CIQ($G838,$I838,P124,Valuation_Date_GC,ReportType,DataMode,$H838,FXMode)*Scale,"--"))</f>
        <v>--</v>
      </c>
      <c r="R838" s="255"/>
      <c r="T838" s="89" t="s">
        <v>816</v>
      </c>
      <c r="U838" s="2301" t="str">
        <f>IF($G838=0,"--",IFERROR(IF(_xll.ciqfunctions.udf.CIQ($G838,$T838,U124,Valuation_Date_GC,ReportType,DataMode,$H838)*Scale=0,"--",_xll.ciqfunctions.udf.CIQ($G838,$T838,U124,Valuation_Date_GC,ReportType,DataMode,$H838)*Scale),"--"))</f>
        <v>--</v>
      </c>
      <c r="V838" s="2301" t="str">
        <f>IF($G838=0,"--",IFERROR(IF(_xll.ciqfunctions.udf.CIQ($G838,$T838,V124,Valuation_Date_GC,ReportType,DataMode,$H838)*Scale=0,"--",_xll.ciqfunctions.udf.CIQ($G838,$T838,V124,Valuation_Date_GC,ReportType,DataMode,$H838)*Scale),"--"))</f>
        <v>--</v>
      </c>
      <c r="W838" s="2301" t="str">
        <f>IF($G838=0,"--",IFERROR(IF(_xll.ciqfunctions.udf.CIQ($G838,$T838,W124,Valuation_Date_GC,ReportType,DataMode,$H838)*Scale=0,"--",_xll.ciqfunctions.udf.CIQ($G838,$T838,W124,Valuation_Date_GC,ReportType,DataMode,$H838)*Scale),"--"))</f>
        <v>--</v>
      </c>
      <c r="X838" s="2301" t="str">
        <f>IF($G838=0,"--",IFERROR(IF(_xll.ciqfunctions.udf.CIQ($G838,$T838,X124,Valuation_Date_GC,ReportType,DataMode,$H838)*Scale=0,"--",_xll.ciqfunctions.udf.CIQ($G838,$T838,X124,Valuation_Date_GC,ReportType,DataMode,$H838)*Scale),"--"))</f>
        <v>--</v>
      </c>
      <c r="Y838" s="2301" t="str">
        <f>IF($G838=0,"--",IFERROR(IF(_xll.ciqfunctions.udf.CIQ($G838,$T838,Y124,Valuation_Date_GC,ReportType,DataMode,$H838)*Scale=0,"--",_xll.ciqfunctions.udf.CIQ($G838,$T838,Y124,Valuation_Date_GC,ReportType,DataMode,$H838)*Scale),"--"))</f>
        <v>--</v>
      </c>
    </row>
    <row r="839" spans="1:32" s="89" customFormat="1" ht="13.9">
      <c r="A839" s="2060"/>
      <c r="B839" s="2060"/>
      <c r="D839" s="801"/>
      <c r="F839" s="57" t="s">
        <v>767</v>
      </c>
      <c r="G839" s="1442"/>
      <c r="H839" s="1442"/>
      <c r="I839" s="1442"/>
      <c r="J839" s="1443" t="str">
        <f t="shared" ref="J839:P839" si="197">IFERROR(MEDIAN(J814:J838),"--")</f>
        <v>--</v>
      </c>
      <c r="K839" s="1443" t="str">
        <f t="shared" si="197"/>
        <v>--</v>
      </c>
      <c r="L839" s="1443" t="str">
        <f t="shared" si="197"/>
        <v>--</v>
      </c>
      <c r="M839" s="1443" t="str">
        <f t="shared" si="197"/>
        <v>--</v>
      </c>
      <c r="N839" s="1443" t="str">
        <f t="shared" si="197"/>
        <v>--</v>
      </c>
      <c r="O839" s="1444" t="str">
        <f t="shared" si="197"/>
        <v>--</v>
      </c>
      <c r="P839" s="1443" t="str">
        <f t="shared" si="197"/>
        <v>--</v>
      </c>
      <c r="R839" s="255"/>
      <c r="U839" s="1443" t="str">
        <f>IFERROR(MEDIAN(U814:U838),"--")</f>
        <v>--</v>
      </c>
      <c r="V839" s="1443" t="str">
        <f>IFERROR(MEDIAN(V814:V838),"--")</f>
        <v>--</v>
      </c>
      <c r="W839" s="1443" t="str">
        <f>IFERROR(MEDIAN(W814:W838),"--")</f>
        <v>--</v>
      </c>
      <c r="X839" s="1443" t="str">
        <f>IFERROR(MEDIAN(X814:X838),"--")</f>
        <v>--</v>
      </c>
      <c r="Y839" s="1443" t="str">
        <f>IFERROR(MEDIAN(Y814:Y838),"--")</f>
        <v>--</v>
      </c>
    </row>
    <row r="840" spans="1:32" s="89" customFormat="1" ht="13.9">
      <c r="A840" s="2060"/>
      <c r="B840" s="2060"/>
      <c r="D840" s="801"/>
      <c r="F840" s="21"/>
      <c r="G840" s="1441"/>
      <c r="H840" s="1441"/>
      <c r="I840" s="1441"/>
      <c r="J840" s="1441"/>
      <c r="K840" s="1441"/>
      <c r="L840" s="1474"/>
      <c r="M840" s="1474"/>
      <c r="N840" s="1474"/>
      <c r="O840" s="1475"/>
      <c r="P840" s="1474"/>
    </row>
    <row r="841" spans="1:32" s="89" customFormat="1" ht="13.9">
      <c r="A841" s="2060"/>
      <c r="B841" s="2060"/>
      <c r="D841" s="801"/>
      <c r="F841" s="21"/>
      <c r="G841" s="1441"/>
      <c r="H841" s="1441"/>
      <c r="I841" s="1441"/>
      <c r="J841" s="1441"/>
      <c r="K841" s="1441"/>
      <c r="L841" s="1474"/>
      <c r="M841" s="1474"/>
      <c r="N841" s="1474"/>
      <c r="O841" s="1475"/>
      <c r="P841" s="1474"/>
      <c r="AF841" s="92"/>
    </row>
    <row r="842" spans="1:32" s="89" customFormat="1" ht="13.9">
      <c r="A842" s="2060"/>
      <c r="B842" s="2060"/>
      <c r="C842" s="62"/>
      <c r="D842" s="804"/>
      <c r="E842" s="60"/>
      <c r="F842" s="60"/>
      <c r="G842" s="62"/>
      <c r="H842" s="62"/>
      <c r="I842" s="62"/>
      <c r="J842" s="62"/>
      <c r="K842" s="62"/>
      <c r="L842" s="62"/>
      <c r="M842" s="62"/>
      <c r="N842" s="62"/>
      <c r="O842" s="86"/>
      <c r="P842" s="62"/>
      <c r="Q842" s="62"/>
      <c r="R842" s="62"/>
      <c r="S842" s="62"/>
      <c r="T842" s="62"/>
      <c r="U842" s="62"/>
      <c r="V842" s="62"/>
      <c r="W842" s="62"/>
      <c r="X842" s="62"/>
      <c r="Y842" s="62"/>
      <c r="Z842" s="62"/>
      <c r="AA842" s="62"/>
      <c r="AB842" s="62"/>
      <c r="AC842" s="62"/>
      <c r="AD842" s="92"/>
      <c r="AE842" s="92"/>
    </row>
    <row r="843" spans="1:32" s="89" customFormat="1" ht="18">
      <c r="A843" s="2060"/>
      <c r="B843" s="2060"/>
      <c r="C843" s="1437">
        <f ca="1">MAX(OFFSET(C843,-1,0,-ROW(C843)+1,1))+1</f>
        <v>6</v>
      </c>
      <c r="D843" s="1438" t="s">
        <v>818</v>
      </c>
      <c r="E843" s="799"/>
      <c r="F843" s="1451"/>
      <c r="G843" s="800"/>
      <c r="H843" s="800"/>
      <c r="I843" s="800"/>
      <c r="J843" s="800"/>
      <c r="K843" s="800"/>
      <c r="L843" s="1464"/>
      <c r="M843" s="1464"/>
      <c r="N843" s="1464"/>
      <c r="O843" s="86"/>
      <c r="P843" s="62"/>
      <c r="Q843" s="1464"/>
      <c r="R843" s="1464"/>
      <c r="S843" s="1464"/>
      <c r="T843" s="1464"/>
      <c r="U843" s="1464"/>
      <c r="V843" s="1464"/>
      <c r="W843" s="1464"/>
      <c r="X843" s="1464"/>
      <c r="Y843" s="1464"/>
      <c r="Z843" s="797"/>
      <c r="AA843" s="797"/>
      <c r="AB843" s="797"/>
      <c r="AC843" s="797"/>
    </row>
    <row r="844" spans="1:32" s="89" customFormat="1" ht="13.9">
      <c r="A844" s="2060"/>
      <c r="B844" s="2060"/>
      <c r="C844" s="2060"/>
      <c r="D844" s="2060"/>
      <c r="E844" s="2060"/>
      <c r="F844" s="255"/>
      <c r="G844" s="255"/>
      <c r="H844" s="800"/>
      <c r="I844" s="800"/>
      <c r="J844" s="800"/>
      <c r="K844" s="800"/>
      <c r="L844" s="1464"/>
      <c r="M844" s="1464"/>
      <c r="N844" s="1464"/>
      <c r="O844" s="86"/>
      <c r="P844" s="62"/>
      <c r="Q844" s="1464"/>
      <c r="R844" s="1464"/>
      <c r="S844" s="1464"/>
      <c r="T844" s="1464"/>
      <c r="U844" s="1464"/>
      <c r="V844" s="1464"/>
      <c r="W844" s="1464"/>
      <c r="X844" s="1464"/>
      <c r="Y844" s="1464"/>
      <c r="Z844" s="797"/>
      <c r="AA844" s="797"/>
      <c r="AB844" s="797"/>
      <c r="AC844" s="797"/>
    </row>
    <row r="845" spans="1:32" s="89" customFormat="1" ht="13.9">
      <c r="A845" s="2060"/>
      <c r="B845" s="2060"/>
      <c r="D845" s="778">
        <f ca="1">MAX(OFFSET(D845,-1,0,-ROW(D845)+1,-2),1)+0.01</f>
        <v>6.01</v>
      </c>
      <c r="E845" s="125"/>
      <c r="F845" s="952" t="s">
        <v>819</v>
      </c>
      <c r="G845" s="724" t="s">
        <v>777</v>
      </c>
      <c r="H845" s="724"/>
      <c r="I845" s="724"/>
      <c r="J845" s="725" t="s">
        <v>699</v>
      </c>
      <c r="K845" s="725" t="s">
        <v>700</v>
      </c>
      <c r="L845" s="725" t="s">
        <v>701</v>
      </c>
      <c r="M845" s="725" t="s">
        <v>702</v>
      </c>
      <c r="N845" s="725" t="s">
        <v>703</v>
      </c>
      <c r="O845" s="759" t="s">
        <v>704</v>
      </c>
      <c r="P845" s="725" t="s">
        <v>780</v>
      </c>
      <c r="R845" s="255"/>
    </row>
    <row r="846" spans="1:32" s="89" customFormat="1" ht="13.9">
      <c r="A846" s="2060"/>
      <c r="B846" s="2060"/>
      <c r="D846" s="778"/>
      <c r="E846" s="1505">
        <v>0</v>
      </c>
      <c r="F846" s="1448" t="str">
        <f>F$128</f>
        <v/>
      </c>
      <c r="G846" s="1449">
        <f>G$128</f>
        <v>0</v>
      </c>
      <c r="H846" s="1449" t="str">
        <f>H$129</f>
        <v>--</v>
      </c>
      <c r="I846" s="258" t="s">
        <v>820</v>
      </c>
      <c r="J846" s="2304">
        <f>'BAL SHEET Hist Input'!F12</f>
        <v>0</v>
      </c>
      <c r="K846" s="2304">
        <f>'BAL SHEET Hist Input'!G12</f>
        <v>0</v>
      </c>
      <c r="L846" s="2304">
        <f>'BAL SHEET Hist Input'!H12</f>
        <v>0</v>
      </c>
      <c r="M846" s="2304">
        <f>'BAL SHEET Hist Input'!I12</f>
        <v>0</v>
      </c>
      <c r="N846" s="2304">
        <f>'BAL SHEET Hist Input'!J12</f>
        <v>0</v>
      </c>
      <c r="O846" s="1469">
        <f>'BAL SHEET Hist Input'!J12</f>
        <v>0</v>
      </c>
      <c r="P846" s="1470">
        <f>'BAL SHEET Hist Input'!K12</f>
        <v>0</v>
      </c>
      <c r="R846" s="255"/>
    </row>
    <row r="847" spans="1:32" s="89" customFormat="1" ht="13.9">
      <c r="A847" s="269" t="str">
        <f>IF(F847="--","n","")</f>
        <v>n</v>
      </c>
      <c r="B847" s="2060"/>
      <c r="C847" s="72"/>
      <c r="D847" s="801"/>
      <c r="E847" s="1505">
        <v>1</v>
      </c>
      <c r="F847" s="21" t="str">
        <f>F$129</f>
        <v>--</v>
      </c>
      <c r="G847" s="1441">
        <f>G$129</f>
        <v>0</v>
      </c>
      <c r="H847" s="1441" t="str">
        <f>H$129</f>
        <v>--</v>
      </c>
      <c r="I847" s="89" t="s">
        <v>820</v>
      </c>
      <c r="J847" s="2301" t="str">
        <f>IF($G847=0,"--",IFERROR(_xll.ciqfunctions.udf.CIQ($G847,$I847,J100,Valuation_Date_GC,ReportType,DataMode,$H847,FXMode)*Scale,"--"))</f>
        <v>--</v>
      </c>
      <c r="K847" s="2301" t="str">
        <f>IF($G847=0,"--",IFERROR(_xll.ciqfunctions.udf.CIQ($G847,$I847,K100,Valuation_Date_GC,ReportType,DataMode,$H847,FXMode)*Scale,"--"))</f>
        <v>--</v>
      </c>
      <c r="L847" s="2301" t="str">
        <f>IF($G847=0,"--",IFERROR(_xll.ciqfunctions.udf.CIQ($G847,$I847,L100,Valuation_Date_GC,ReportType,DataMode,$H847,FXMode)*Scale,"--"))</f>
        <v>--</v>
      </c>
      <c r="M847" s="2301" t="str">
        <f>IF($G847=0,"--",IFERROR(_xll.ciqfunctions.udf.CIQ($G847,$I847,M100,Valuation_Date_GC,ReportType,DataMode,$H847,FXMode)*Scale,"--"))</f>
        <v>--</v>
      </c>
      <c r="N847" s="2301" t="str">
        <f>IF($G847=0,"--",IFERROR(_xll.ciqfunctions.udf.CIQ($G847,$I847,N100,Valuation_Date_GC,ReportType,DataMode,$H847,FXMode)*Scale,"--"))</f>
        <v>--</v>
      </c>
      <c r="O847" s="1471" t="str">
        <f>IF($G847=0,"--",IFERROR(_xll.ciqfunctions.udf.CIQ($G847,$I847,O100,Valuation_Date_GC,ReportType,DataMode,$H847,FXMode)*Scale,"--"))</f>
        <v>--</v>
      </c>
      <c r="P847" s="2301" t="str">
        <f>IF($G847=0,"--",IFERROR(_xll.ciqfunctions.udf.CIQ($G847,$I847,P100,Valuation_Date_GC,ReportType,DataMode,$H847,FXMode)*Scale,"--"))</f>
        <v>--</v>
      </c>
      <c r="R847" s="255"/>
    </row>
    <row r="848" spans="1:32" s="89" customFormat="1" ht="13.9">
      <c r="A848" s="269" t="str">
        <f t="shared" ref="A848:A871" si="198">IF(F848="--","n","")</f>
        <v>n</v>
      </c>
      <c r="B848" s="2060"/>
      <c r="D848" s="801"/>
      <c r="E848" s="1505">
        <v>2</v>
      </c>
      <c r="F848" s="21" t="str">
        <f>F$130</f>
        <v>--</v>
      </c>
      <c r="G848" s="1441">
        <f>G$130</f>
        <v>0</v>
      </c>
      <c r="H848" s="1441" t="str">
        <f>H$130</f>
        <v>--</v>
      </c>
      <c r="I848" s="89" t="s">
        <v>820</v>
      </c>
      <c r="J848" s="2301" t="str">
        <f>IF($G848=0,"--",IFERROR(_xll.ciqfunctions.udf.CIQ($G848,$I848,J101,Valuation_Date_GC,ReportType,DataMode,$H848,FXMode)*Scale,"--"))</f>
        <v>--</v>
      </c>
      <c r="K848" s="2301" t="str">
        <f>IF($G848=0,"--",IFERROR(_xll.ciqfunctions.udf.CIQ($G848,$I848,K101,Valuation_Date_GC,ReportType,DataMode,$H848,FXMode)*Scale,"--"))</f>
        <v>--</v>
      </c>
      <c r="L848" s="2301" t="str">
        <f>IF($G848=0,"--",IFERROR(_xll.ciqfunctions.udf.CIQ($G848,$I848,L101,Valuation_Date_GC,ReportType,DataMode,$H848,FXMode)*Scale,"--"))</f>
        <v>--</v>
      </c>
      <c r="M848" s="2301" t="str">
        <f>IF($G848=0,"--",IFERROR(_xll.ciqfunctions.udf.CIQ($G848,$I848,M101,Valuation_Date_GC,ReportType,DataMode,$H848,FXMode)*Scale,"--"))</f>
        <v>--</v>
      </c>
      <c r="N848" s="2301" t="str">
        <f>IF($G848=0,"--",IFERROR(_xll.ciqfunctions.udf.CIQ($G848,$I848,N101,Valuation_Date_GC,ReportType,DataMode,$H848,FXMode)*Scale,"--"))</f>
        <v>--</v>
      </c>
      <c r="O848" s="1471" t="str">
        <f>IF($G848=0,"--",IFERROR(_xll.ciqfunctions.udf.CIQ($G848,$I848,O101,Valuation_Date_GC,ReportType,DataMode,$H848,FXMode)*Scale,"--"))</f>
        <v>--</v>
      </c>
      <c r="P848" s="2301" t="str">
        <f>IF($G848=0,"--",IFERROR(_xll.ciqfunctions.udf.CIQ($G848,$I848,P101,Valuation_Date_GC,ReportType,DataMode,$H848,FXMode)*Scale,"--"))</f>
        <v>--</v>
      </c>
      <c r="R848" s="255"/>
    </row>
    <row r="849" spans="1:18" s="89" customFormat="1" ht="13.9">
      <c r="A849" s="269" t="str">
        <f t="shared" si="198"/>
        <v>n</v>
      </c>
      <c r="B849" s="2060"/>
      <c r="C849" s="72"/>
      <c r="D849" s="801"/>
      <c r="E849" s="1505">
        <v>3</v>
      </c>
      <c r="F849" s="21" t="str">
        <f>F$131</f>
        <v>--</v>
      </c>
      <c r="G849" s="1441">
        <f>G$131</f>
        <v>0</v>
      </c>
      <c r="H849" s="1441" t="str">
        <f>H$131</f>
        <v>--</v>
      </c>
      <c r="I849" s="89" t="s">
        <v>820</v>
      </c>
      <c r="J849" s="2301" t="str">
        <f>IF($G849=0,"--",IFERROR(_xll.ciqfunctions.udf.CIQ($G849,$I849,J102,Valuation_Date_GC,ReportType,DataMode,$H849,FXMode)*Scale,"--"))</f>
        <v>--</v>
      </c>
      <c r="K849" s="2301" t="str">
        <f>IF($G849=0,"--",IFERROR(_xll.ciqfunctions.udf.CIQ($G849,$I849,K102,Valuation_Date_GC,ReportType,DataMode,$H849,FXMode)*Scale,"--"))</f>
        <v>--</v>
      </c>
      <c r="L849" s="2301" t="str">
        <f>IF($G849=0,"--",IFERROR(_xll.ciqfunctions.udf.CIQ($G849,$I849,L102,Valuation_Date_GC,ReportType,DataMode,$H849,FXMode)*Scale,"--"))</f>
        <v>--</v>
      </c>
      <c r="M849" s="2301" t="str">
        <f>IF($G849=0,"--",IFERROR(_xll.ciqfunctions.udf.CIQ($G849,$I849,M102,Valuation_Date_GC,ReportType,DataMode,$H849,FXMode)*Scale,"--"))</f>
        <v>--</v>
      </c>
      <c r="N849" s="2301" t="str">
        <f>IF($G849=0,"--",IFERROR(_xll.ciqfunctions.udf.CIQ($G849,$I849,N102,Valuation_Date_GC,ReportType,DataMode,$H849,FXMode)*Scale,"--"))</f>
        <v>--</v>
      </c>
      <c r="O849" s="1471" t="str">
        <f>IF($G849=0,"--",IFERROR(_xll.ciqfunctions.udf.CIQ($G849,$I849,O102,Valuation_Date_GC,ReportType,DataMode,$H849,FXMode)*Scale,"--"))</f>
        <v>--</v>
      </c>
      <c r="P849" s="2301" t="str">
        <f>IF($G849=0,"--",IFERROR(_xll.ciqfunctions.udf.CIQ($G849,$I849,P102,Valuation_Date_GC,ReportType,DataMode,$H849,FXMode)*Scale,"--"))</f>
        <v>--</v>
      </c>
      <c r="R849" s="255"/>
    </row>
    <row r="850" spans="1:18" s="89" customFormat="1" ht="13.9">
      <c r="A850" s="269" t="str">
        <f t="shared" si="198"/>
        <v>n</v>
      </c>
      <c r="B850" s="2060"/>
      <c r="C850" s="72"/>
      <c r="D850" s="801"/>
      <c r="E850" s="1505">
        <v>4</v>
      </c>
      <c r="F850" s="21" t="str">
        <f>F$132</f>
        <v>--</v>
      </c>
      <c r="G850" s="1441">
        <f>G$132</f>
        <v>0</v>
      </c>
      <c r="H850" s="1441" t="str">
        <f>H$132</f>
        <v>--</v>
      </c>
      <c r="I850" s="89" t="s">
        <v>820</v>
      </c>
      <c r="J850" s="2301" t="str">
        <f>IF($G850=0,"--",IFERROR(_xll.ciqfunctions.udf.CIQ($G850,$I850,J103,Valuation_Date_GC,ReportType,DataMode,$H850,FXMode)*Scale,"--"))</f>
        <v>--</v>
      </c>
      <c r="K850" s="2301" t="str">
        <f>IF($G850=0,"--",IFERROR(_xll.ciqfunctions.udf.CIQ($G850,$I850,K103,Valuation_Date_GC,ReportType,DataMode,$H850,FXMode)*Scale,"--"))</f>
        <v>--</v>
      </c>
      <c r="L850" s="2301" t="str">
        <f>IF($G850=0,"--",IFERROR(_xll.ciqfunctions.udf.CIQ($G850,$I850,L103,Valuation_Date_GC,ReportType,DataMode,$H850,FXMode)*Scale,"--"))</f>
        <v>--</v>
      </c>
      <c r="M850" s="2301" t="str">
        <f>IF($G850=0,"--",IFERROR(_xll.ciqfunctions.udf.CIQ($G850,$I850,M103,Valuation_Date_GC,ReportType,DataMode,$H850,FXMode)*Scale,"--"))</f>
        <v>--</v>
      </c>
      <c r="N850" s="2301" t="str">
        <f>IF($G850=0,"--",IFERROR(_xll.ciqfunctions.udf.CIQ($G850,$I850,N103,Valuation_Date_GC,ReportType,DataMode,$H850,FXMode)*Scale,"--"))</f>
        <v>--</v>
      </c>
      <c r="O850" s="1471" t="str">
        <f>IF($G850=0,"--",IFERROR(_xll.ciqfunctions.udf.CIQ($G850,$I850,O103,Valuation_Date_GC,ReportType,DataMode,$H850,FXMode)*Scale,"--"))</f>
        <v>--</v>
      </c>
      <c r="P850" s="2301" t="str">
        <f>IF($G850=0,"--",IFERROR(_xll.ciqfunctions.udf.CIQ($G850,$I850,P103,Valuation_Date_GC,ReportType,DataMode,$H850,FXMode)*Scale,"--"))</f>
        <v>--</v>
      </c>
      <c r="R850" s="255"/>
    </row>
    <row r="851" spans="1:18" s="89" customFormat="1" ht="13.9">
      <c r="A851" s="269" t="str">
        <f t="shared" si="198"/>
        <v>n</v>
      </c>
      <c r="B851" s="2060"/>
      <c r="C851" s="72"/>
      <c r="D851" s="801"/>
      <c r="E851" s="1505">
        <v>5</v>
      </c>
      <c r="F851" s="21" t="str">
        <f>F$133</f>
        <v>--</v>
      </c>
      <c r="G851" s="1441">
        <f>G$133</f>
        <v>0</v>
      </c>
      <c r="H851" s="1441" t="str">
        <f>H$133</f>
        <v>--</v>
      </c>
      <c r="I851" s="89" t="s">
        <v>820</v>
      </c>
      <c r="J851" s="2301" t="str">
        <f>IF($G851=0,"--",IFERROR(_xll.ciqfunctions.udf.CIQ($G851,$I851,J104,Valuation_Date_GC,ReportType,DataMode,$H851,FXMode)*Scale,"--"))</f>
        <v>--</v>
      </c>
      <c r="K851" s="2301" t="str">
        <f>IF($G851=0,"--",IFERROR(_xll.ciqfunctions.udf.CIQ($G851,$I851,K104,Valuation_Date_GC,ReportType,DataMode,$H851,FXMode)*Scale,"--"))</f>
        <v>--</v>
      </c>
      <c r="L851" s="2301" t="str">
        <f>IF($G851=0,"--",IFERROR(_xll.ciqfunctions.udf.CIQ($G851,$I851,L104,Valuation_Date_GC,ReportType,DataMode,$H851,FXMode)*Scale,"--"))</f>
        <v>--</v>
      </c>
      <c r="M851" s="2301" t="str">
        <f>IF($G851=0,"--",IFERROR(_xll.ciqfunctions.udf.CIQ($G851,$I851,M104,Valuation_Date_GC,ReportType,DataMode,$H851,FXMode)*Scale,"--"))</f>
        <v>--</v>
      </c>
      <c r="N851" s="2301" t="str">
        <f>IF($G851=0,"--",IFERROR(_xll.ciqfunctions.udf.CIQ($G851,$I851,N104,Valuation_Date_GC,ReportType,DataMode,$H851,FXMode)*Scale,"--"))</f>
        <v>--</v>
      </c>
      <c r="O851" s="1471" t="str">
        <f>IF($G851=0,"--",IFERROR(_xll.ciqfunctions.udf.CIQ($G851,$I851,O104,Valuation_Date_GC,ReportType,DataMode,$H851,FXMode)*Scale,"--"))</f>
        <v>--</v>
      </c>
      <c r="P851" s="2301" t="str">
        <f>IF($G851=0,"--",IFERROR(_xll.ciqfunctions.udf.CIQ($G851,$I851,P104,Valuation_Date_GC,ReportType,DataMode,$H851,FXMode)*Scale,"--"))</f>
        <v>--</v>
      </c>
      <c r="R851" s="255"/>
    </row>
    <row r="852" spans="1:18" s="89" customFormat="1" ht="13.9">
      <c r="A852" s="269" t="str">
        <f t="shared" si="198"/>
        <v>n</v>
      </c>
      <c r="B852" s="2060"/>
      <c r="C852" s="72"/>
      <c r="D852" s="801"/>
      <c r="E852" s="1505">
        <v>6</v>
      </c>
      <c r="F852" s="21" t="str">
        <f>F$134</f>
        <v>--</v>
      </c>
      <c r="G852" s="1441">
        <f>G$134</f>
        <v>0</v>
      </c>
      <c r="H852" s="1441" t="str">
        <f>H$134</f>
        <v>--</v>
      </c>
      <c r="I852" s="89" t="s">
        <v>820</v>
      </c>
      <c r="J852" s="2301" t="str">
        <f>IF($G852=0,"--",IFERROR(_xll.ciqfunctions.udf.CIQ($G852,$I852,J105,Valuation_Date_GC,ReportType,DataMode,$H852,FXMode)*Scale,"--"))</f>
        <v>--</v>
      </c>
      <c r="K852" s="2301" t="str">
        <f>IF($G852=0,"--",IFERROR(_xll.ciqfunctions.udf.CIQ($G852,$I852,K105,Valuation_Date_GC,ReportType,DataMode,$H852,FXMode)*Scale,"--"))</f>
        <v>--</v>
      </c>
      <c r="L852" s="2301" t="str">
        <f>IF($G852=0,"--",IFERROR(_xll.ciqfunctions.udf.CIQ($G852,$I852,L105,Valuation_Date_GC,ReportType,DataMode,$H852,FXMode)*Scale,"--"))</f>
        <v>--</v>
      </c>
      <c r="M852" s="2301" t="str">
        <f>IF($G852=0,"--",IFERROR(_xll.ciqfunctions.udf.CIQ($G852,$I852,M105,Valuation_Date_GC,ReportType,DataMode,$H852,FXMode)*Scale,"--"))</f>
        <v>--</v>
      </c>
      <c r="N852" s="2301" t="str">
        <f>IF($G852=0,"--",IFERROR(_xll.ciqfunctions.udf.CIQ($G852,$I852,N105,Valuation_Date_GC,ReportType,DataMode,$H852,FXMode)*Scale,"--"))</f>
        <v>--</v>
      </c>
      <c r="O852" s="1471" t="str">
        <f>IF($G852=0,"--",IFERROR(_xll.ciqfunctions.udf.CIQ($G852,$I852,O105,Valuation_Date_GC,ReportType,DataMode,$H852,FXMode)*Scale,"--"))</f>
        <v>--</v>
      </c>
      <c r="P852" s="2301" t="str">
        <f>IF($G852=0,"--",IFERROR(_xll.ciqfunctions.udf.CIQ($G852,$I852,P105,Valuation_Date_GC,ReportType,DataMode,$H852,FXMode)*Scale,"--"))</f>
        <v>--</v>
      </c>
      <c r="R852" s="255"/>
    </row>
    <row r="853" spans="1:18" s="89" customFormat="1" ht="13.9">
      <c r="A853" s="269" t="str">
        <f t="shared" si="198"/>
        <v>n</v>
      </c>
      <c r="B853" s="2060"/>
      <c r="D853" s="801"/>
      <c r="E853" s="1505">
        <v>7</v>
      </c>
      <c r="F853" s="21" t="str">
        <f>F$135</f>
        <v>--</v>
      </c>
      <c r="G853" s="1441">
        <f>G$135</f>
        <v>0</v>
      </c>
      <c r="H853" s="1441" t="str">
        <f>H$135</f>
        <v>--</v>
      </c>
      <c r="I853" s="89" t="s">
        <v>820</v>
      </c>
      <c r="J853" s="2301" t="str">
        <f>IF($G853=0,"--",IFERROR(_xll.ciqfunctions.udf.CIQ($G853,$I853,J106,Valuation_Date_GC,ReportType,DataMode,$H853,FXMode)*Scale,"--"))</f>
        <v>--</v>
      </c>
      <c r="K853" s="2301" t="str">
        <f>IF($G853=0,"--",IFERROR(_xll.ciqfunctions.udf.CIQ($G853,$I853,K106,Valuation_Date_GC,ReportType,DataMode,$H853,FXMode)*Scale,"--"))</f>
        <v>--</v>
      </c>
      <c r="L853" s="2301" t="str">
        <f>IF($G853=0,"--",IFERROR(_xll.ciqfunctions.udf.CIQ($G853,$I853,L106,Valuation_Date_GC,ReportType,DataMode,$H853,FXMode)*Scale,"--"))</f>
        <v>--</v>
      </c>
      <c r="M853" s="2301" t="str">
        <f>IF($G853=0,"--",IFERROR(_xll.ciqfunctions.udf.CIQ($G853,$I853,M106,Valuation_Date_GC,ReportType,DataMode,$H853,FXMode)*Scale,"--"))</f>
        <v>--</v>
      </c>
      <c r="N853" s="2301" t="str">
        <f>IF($G853=0,"--",IFERROR(_xll.ciqfunctions.udf.CIQ($G853,$I853,N106,Valuation_Date_GC,ReportType,DataMode,$H853,FXMode)*Scale,"--"))</f>
        <v>--</v>
      </c>
      <c r="O853" s="1471" t="str">
        <f>IF($G853=0,"--",IFERROR(_xll.ciqfunctions.udf.CIQ($G853,$I853,O106,Valuation_Date_GC,ReportType,DataMode,$H853,FXMode)*Scale,"--"))</f>
        <v>--</v>
      </c>
      <c r="P853" s="2301" t="str">
        <f>IF($G853=0,"--",IFERROR(_xll.ciqfunctions.udf.CIQ($G853,$I853,P106,Valuation_Date_GC,ReportType,DataMode,$H853,FXMode)*Scale,"--"))</f>
        <v>--</v>
      </c>
      <c r="R853" s="255"/>
    </row>
    <row r="854" spans="1:18" s="89" customFormat="1" ht="13.9">
      <c r="A854" s="269" t="str">
        <f t="shared" si="198"/>
        <v>n</v>
      </c>
      <c r="B854" s="2060"/>
      <c r="D854" s="801"/>
      <c r="E854" s="1505">
        <v>8</v>
      </c>
      <c r="F854" s="21" t="str">
        <f>F$136</f>
        <v>--</v>
      </c>
      <c r="G854" s="1441">
        <f>G$136</f>
        <v>0</v>
      </c>
      <c r="H854" s="1441" t="str">
        <f>H$136</f>
        <v>--</v>
      </c>
      <c r="I854" s="89" t="s">
        <v>820</v>
      </c>
      <c r="J854" s="2301" t="str">
        <f>IF($G854=0,"--",IFERROR(_xll.ciqfunctions.udf.CIQ($G854,$I854,J107,Valuation_Date_GC,ReportType,DataMode,$H854,FXMode)*Scale,"--"))</f>
        <v>--</v>
      </c>
      <c r="K854" s="2301" t="str">
        <f>IF($G854=0,"--",IFERROR(_xll.ciqfunctions.udf.CIQ($G854,$I854,K107,Valuation_Date_GC,ReportType,DataMode,$H854,FXMode)*Scale,"--"))</f>
        <v>--</v>
      </c>
      <c r="L854" s="2301" t="str">
        <f>IF($G854=0,"--",IFERROR(_xll.ciqfunctions.udf.CIQ($G854,$I854,L107,Valuation_Date_GC,ReportType,DataMode,$H854,FXMode)*Scale,"--"))</f>
        <v>--</v>
      </c>
      <c r="M854" s="2301" t="str">
        <f>IF($G854=0,"--",IFERROR(_xll.ciqfunctions.udf.CIQ($G854,$I854,M107,Valuation_Date_GC,ReportType,DataMode,$H854,FXMode)*Scale,"--"))</f>
        <v>--</v>
      </c>
      <c r="N854" s="2301" t="str">
        <f>IF($G854=0,"--",IFERROR(_xll.ciqfunctions.udf.CIQ($G854,$I854,N107,Valuation_Date_GC,ReportType,DataMode,$H854,FXMode)*Scale,"--"))</f>
        <v>--</v>
      </c>
      <c r="O854" s="1471" t="str">
        <f>IF($G854=0,"--",IFERROR(_xll.ciqfunctions.udf.CIQ($G854,$I854,O107,Valuation_Date_GC,ReportType,DataMode,$H854,FXMode)*Scale,"--"))</f>
        <v>--</v>
      </c>
      <c r="P854" s="2301" t="str">
        <f>IF($G854=0,"--",IFERROR(_xll.ciqfunctions.udf.CIQ($G854,$I854,P107,Valuation_Date_GC,ReportType,DataMode,$H854,FXMode)*Scale,"--"))</f>
        <v>--</v>
      </c>
      <c r="R854" s="255"/>
    </row>
    <row r="855" spans="1:18" s="89" customFormat="1" ht="13.9">
      <c r="A855" s="269" t="str">
        <f t="shared" si="198"/>
        <v>n</v>
      </c>
      <c r="B855" s="2060"/>
      <c r="D855" s="801"/>
      <c r="E855" s="1505">
        <v>9</v>
      </c>
      <c r="F855" s="21" t="str">
        <f>F$137</f>
        <v>--</v>
      </c>
      <c r="G855" s="1441">
        <f>G$137</f>
        <v>0</v>
      </c>
      <c r="H855" s="1441" t="str">
        <f>H$137</f>
        <v>--</v>
      </c>
      <c r="I855" s="89" t="s">
        <v>820</v>
      </c>
      <c r="J855" s="2301" t="str">
        <f>IF($G855=0,"--",IFERROR(_xll.ciqfunctions.udf.CIQ($G855,$I855,J108,Valuation_Date_GC,ReportType,DataMode,$H855,FXMode)*Scale,"--"))</f>
        <v>--</v>
      </c>
      <c r="K855" s="2301" t="str">
        <f>IF($G855=0,"--",IFERROR(_xll.ciqfunctions.udf.CIQ($G855,$I855,K108,Valuation_Date_GC,ReportType,DataMode,$H855,FXMode)*Scale,"--"))</f>
        <v>--</v>
      </c>
      <c r="L855" s="2301" t="str">
        <f>IF($G855=0,"--",IFERROR(_xll.ciqfunctions.udf.CIQ($G855,$I855,L108,Valuation_Date_GC,ReportType,DataMode,$H855,FXMode)*Scale,"--"))</f>
        <v>--</v>
      </c>
      <c r="M855" s="2301" t="str">
        <f>IF($G855=0,"--",IFERROR(_xll.ciqfunctions.udf.CIQ($G855,$I855,M108,Valuation_Date_GC,ReportType,DataMode,$H855,FXMode)*Scale,"--"))</f>
        <v>--</v>
      </c>
      <c r="N855" s="2301" t="str">
        <f>IF($G855=0,"--",IFERROR(_xll.ciqfunctions.udf.CIQ($G855,$I855,N108,Valuation_Date_GC,ReportType,DataMode,$H855,FXMode)*Scale,"--"))</f>
        <v>--</v>
      </c>
      <c r="O855" s="1471" t="str">
        <f>IF($G855=0,"--",IFERROR(_xll.ciqfunctions.udf.CIQ($G855,$I855,O108,Valuation_Date_GC,ReportType,DataMode,$H855,FXMode)*Scale,"--"))</f>
        <v>--</v>
      </c>
      <c r="P855" s="2301" t="str">
        <f>IF($G855=0,"--",IFERROR(_xll.ciqfunctions.udf.CIQ($G855,$I855,P108,Valuation_Date_GC,ReportType,DataMode,$H855,FXMode)*Scale,"--"))</f>
        <v>--</v>
      </c>
      <c r="R855" s="255"/>
    </row>
    <row r="856" spans="1:18" s="89" customFormat="1" ht="13.9">
      <c r="A856" s="269" t="str">
        <f t="shared" si="198"/>
        <v>n</v>
      </c>
      <c r="B856" s="2060"/>
      <c r="D856" s="801"/>
      <c r="E856" s="1505">
        <v>10</v>
      </c>
      <c r="F856" s="21" t="str">
        <f>F$138</f>
        <v>--</v>
      </c>
      <c r="G856" s="1441">
        <f>G$138</f>
        <v>0</v>
      </c>
      <c r="H856" s="1441" t="str">
        <f>H$138</f>
        <v>--</v>
      </c>
      <c r="I856" s="89" t="s">
        <v>820</v>
      </c>
      <c r="J856" s="2301" t="str">
        <f>IF($G856=0,"--",IFERROR(_xll.ciqfunctions.udf.CIQ($G856,$I856,J109,Valuation_Date_GC,ReportType,DataMode,$H856,FXMode)*Scale,"--"))</f>
        <v>--</v>
      </c>
      <c r="K856" s="2301" t="str">
        <f>IF($G856=0,"--",IFERROR(_xll.ciqfunctions.udf.CIQ($G856,$I856,K109,Valuation_Date_GC,ReportType,DataMode,$H856,FXMode)*Scale,"--"))</f>
        <v>--</v>
      </c>
      <c r="L856" s="2301" t="str">
        <f>IF($G856=0,"--",IFERROR(_xll.ciqfunctions.udf.CIQ($G856,$I856,L109,Valuation_Date_GC,ReportType,DataMode,$H856,FXMode)*Scale,"--"))</f>
        <v>--</v>
      </c>
      <c r="M856" s="2301" t="str">
        <f>IF($G856=0,"--",IFERROR(_xll.ciqfunctions.udf.CIQ($G856,$I856,M109,Valuation_Date_GC,ReportType,DataMode,$H856,FXMode)*Scale,"--"))</f>
        <v>--</v>
      </c>
      <c r="N856" s="2301" t="str">
        <f>IF($G856=0,"--",IFERROR(_xll.ciqfunctions.udf.CIQ($G856,$I856,N109,Valuation_Date_GC,ReportType,DataMode,$H856,FXMode)*Scale,"--"))</f>
        <v>--</v>
      </c>
      <c r="O856" s="1471" t="str">
        <f>IF($G856=0,"--",IFERROR(_xll.ciqfunctions.udf.CIQ($G856,$I856,O109,Valuation_Date_GC,ReportType,DataMode,$H856,FXMode)*Scale,"--"))</f>
        <v>--</v>
      </c>
      <c r="P856" s="2301" t="str">
        <f>IF($G856=0,"--",IFERROR(_xll.ciqfunctions.udf.CIQ($G856,$I856,P109,Valuation_Date_GC,ReportType,DataMode,$H856,FXMode)*Scale,"--"))</f>
        <v>--</v>
      </c>
      <c r="R856" s="255"/>
    </row>
    <row r="857" spans="1:18" s="89" customFormat="1" ht="13.9">
      <c r="A857" s="269" t="str">
        <f t="shared" si="198"/>
        <v>n</v>
      </c>
      <c r="B857" s="2060"/>
      <c r="D857" s="801"/>
      <c r="E857" s="1505">
        <v>11</v>
      </c>
      <c r="F857" s="21" t="str">
        <f>F$139</f>
        <v>--</v>
      </c>
      <c r="G857" s="1441">
        <f>G$139</f>
        <v>0</v>
      </c>
      <c r="H857" s="1441" t="str">
        <f>H$139</f>
        <v>--</v>
      </c>
      <c r="I857" s="89" t="s">
        <v>820</v>
      </c>
      <c r="J857" s="2301" t="str">
        <f>IF($G857=0,"--",IFERROR(_xll.ciqfunctions.udf.CIQ($G857,$I857,J110,Valuation_Date_GC,ReportType,DataMode,$H857,FXMode)*Scale,"--"))</f>
        <v>--</v>
      </c>
      <c r="K857" s="2301" t="str">
        <f>IF($G857=0,"--",IFERROR(_xll.ciqfunctions.udf.CIQ($G857,$I857,K110,Valuation_Date_GC,ReportType,DataMode,$H857,FXMode)*Scale,"--"))</f>
        <v>--</v>
      </c>
      <c r="L857" s="2301" t="str">
        <f>IF($G857=0,"--",IFERROR(_xll.ciqfunctions.udf.CIQ($G857,$I857,L110,Valuation_Date_GC,ReportType,DataMode,$H857,FXMode)*Scale,"--"))</f>
        <v>--</v>
      </c>
      <c r="M857" s="2301" t="str">
        <f>IF($G857=0,"--",IFERROR(_xll.ciqfunctions.udf.CIQ($G857,$I857,M110,Valuation_Date_GC,ReportType,DataMode,$H857,FXMode)*Scale,"--"))</f>
        <v>--</v>
      </c>
      <c r="N857" s="2301" t="str">
        <f>IF($G857=0,"--",IFERROR(_xll.ciqfunctions.udf.CIQ($G857,$I857,N110,Valuation_Date_GC,ReportType,DataMode,$H857,FXMode)*Scale,"--"))</f>
        <v>--</v>
      </c>
      <c r="O857" s="1471" t="str">
        <f>IF($G857=0,"--",IFERROR(_xll.ciqfunctions.udf.CIQ($G857,$I857,O110,Valuation_Date_GC,ReportType,DataMode,$H857,FXMode)*Scale,"--"))</f>
        <v>--</v>
      </c>
      <c r="P857" s="2301" t="str">
        <f>IF($G857=0,"--",IFERROR(_xll.ciqfunctions.udf.CIQ($G857,$I857,P110,Valuation_Date_GC,ReportType,DataMode,$H857,FXMode)*Scale,"--"))</f>
        <v>--</v>
      </c>
      <c r="R857" s="255"/>
    </row>
    <row r="858" spans="1:18" s="89" customFormat="1" ht="13.9">
      <c r="A858" s="269" t="str">
        <f t="shared" si="198"/>
        <v>n</v>
      </c>
      <c r="B858" s="2060"/>
      <c r="D858" s="801"/>
      <c r="E858" s="1505">
        <v>12</v>
      </c>
      <c r="F858" s="21" t="str">
        <f>F$140</f>
        <v>--</v>
      </c>
      <c r="G858" s="1441">
        <f>G$140</f>
        <v>0</v>
      </c>
      <c r="H858" s="1441" t="str">
        <f>H$140</f>
        <v>--</v>
      </c>
      <c r="I858" s="89" t="s">
        <v>820</v>
      </c>
      <c r="J858" s="2301" t="str">
        <f>IF($G858=0,"--",IFERROR(_xll.ciqfunctions.udf.CIQ($G858,$I858,J111,Valuation_Date_GC,ReportType,DataMode,$H858,FXMode)*Scale,"--"))</f>
        <v>--</v>
      </c>
      <c r="K858" s="2301" t="str">
        <f>IF($G858=0,"--",IFERROR(_xll.ciqfunctions.udf.CIQ($G858,$I858,K111,Valuation_Date_GC,ReportType,DataMode,$H858,FXMode)*Scale,"--"))</f>
        <v>--</v>
      </c>
      <c r="L858" s="2301" t="str">
        <f>IF($G858=0,"--",IFERROR(_xll.ciqfunctions.udf.CIQ($G858,$I858,L111,Valuation_Date_GC,ReportType,DataMode,$H858,FXMode)*Scale,"--"))</f>
        <v>--</v>
      </c>
      <c r="M858" s="2301" t="str">
        <f>IF($G858=0,"--",IFERROR(_xll.ciqfunctions.udf.CIQ($G858,$I858,M111,Valuation_Date_GC,ReportType,DataMode,$H858,FXMode)*Scale,"--"))</f>
        <v>--</v>
      </c>
      <c r="N858" s="2301" t="str">
        <f>IF($G858=0,"--",IFERROR(_xll.ciqfunctions.udf.CIQ($G858,$I858,N111,Valuation_Date_GC,ReportType,DataMode,$H858,FXMode)*Scale,"--"))</f>
        <v>--</v>
      </c>
      <c r="O858" s="1471" t="str">
        <f>IF($G858=0,"--",IFERROR(_xll.ciqfunctions.udf.CIQ($G858,$I858,O111,Valuation_Date_GC,ReportType,DataMode,$H858,FXMode)*Scale,"--"))</f>
        <v>--</v>
      </c>
      <c r="P858" s="2301" t="str">
        <f>IF($G858=0,"--",IFERROR(_xll.ciqfunctions.udf.CIQ($G858,$I858,P111,Valuation_Date_GC,ReportType,DataMode,$H858,FXMode)*Scale,"--"))</f>
        <v>--</v>
      </c>
      <c r="R858" s="255"/>
    </row>
    <row r="859" spans="1:18" s="89" customFormat="1" ht="13.9">
      <c r="A859" s="269" t="str">
        <f t="shared" si="198"/>
        <v>n</v>
      </c>
      <c r="B859" s="2060"/>
      <c r="D859" s="801"/>
      <c r="E859" s="1505">
        <v>13</v>
      </c>
      <c r="F859" s="21" t="str">
        <f>F$141</f>
        <v>--</v>
      </c>
      <c r="G859" s="1441">
        <f>G$141</f>
        <v>0</v>
      </c>
      <c r="H859" s="1441" t="str">
        <f>H$141</f>
        <v>--</v>
      </c>
      <c r="I859" s="89" t="s">
        <v>820</v>
      </c>
      <c r="J859" s="2301" t="str">
        <f>IF($G859=0,"--",IFERROR(_xll.ciqfunctions.udf.CIQ($G859,$I859,J112,Valuation_Date_GC,ReportType,DataMode,$H859,FXMode)*Scale,"--"))</f>
        <v>--</v>
      </c>
      <c r="K859" s="2301" t="str">
        <f>IF($G859=0,"--",IFERROR(_xll.ciqfunctions.udf.CIQ($G859,$I859,K112,Valuation_Date_GC,ReportType,DataMode,$H859,FXMode)*Scale,"--"))</f>
        <v>--</v>
      </c>
      <c r="L859" s="2301" t="str">
        <f>IF($G859=0,"--",IFERROR(_xll.ciqfunctions.udf.CIQ($G859,$I859,L112,Valuation_Date_GC,ReportType,DataMode,$H859,FXMode)*Scale,"--"))</f>
        <v>--</v>
      </c>
      <c r="M859" s="2301" t="str">
        <f>IF($G859=0,"--",IFERROR(_xll.ciqfunctions.udf.CIQ($G859,$I859,M112,Valuation_Date_GC,ReportType,DataMode,$H859,FXMode)*Scale,"--"))</f>
        <v>--</v>
      </c>
      <c r="N859" s="2301" t="str">
        <f>IF($G859=0,"--",IFERROR(_xll.ciqfunctions.udf.CIQ($G859,$I859,N112,Valuation_Date_GC,ReportType,DataMode,$H859,FXMode)*Scale,"--"))</f>
        <v>--</v>
      </c>
      <c r="O859" s="1471" t="str">
        <f>IF($G859=0,"--",IFERROR(_xll.ciqfunctions.udf.CIQ($G859,$I859,O112,Valuation_Date_GC,ReportType,DataMode,$H859,FXMode)*Scale,"--"))</f>
        <v>--</v>
      </c>
      <c r="P859" s="2301" t="str">
        <f>IF($G859=0,"--",IFERROR(_xll.ciqfunctions.udf.CIQ($G859,$I859,P112,Valuation_Date_GC,ReportType,DataMode,$H859,FXMode)*Scale,"--"))</f>
        <v>--</v>
      </c>
      <c r="R859" s="255"/>
    </row>
    <row r="860" spans="1:18" s="89" customFormat="1" ht="13.9">
      <c r="A860" s="269" t="str">
        <f t="shared" si="198"/>
        <v>n</v>
      </c>
      <c r="B860" s="2060"/>
      <c r="D860" s="801"/>
      <c r="E860" s="1505">
        <v>14</v>
      </c>
      <c r="F860" s="21" t="str">
        <f>F$142</f>
        <v>--</v>
      </c>
      <c r="G860" s="1441">
        <f>G$142</f>
        <v>0</v>
      </c>
      <c r="H860" s="1441" t="str">
        <f>H$142</f>
        <v>--</v>
      </c>
      <c r="I860" s="89" t="s">
        <v>820</v>
      </c>
      <c r="J860" s="2301" t="str">
        <f>IF($G860=0,"--",IFERROR(_xll.ciqfunctions.udf.CIQ($G860,$I860,J113,Valuation_Date_GC,ReportType,DataMode,$H860,FXMode)*Scale,"--"))</f>
        <v>--</v>
      </c>
      <c r="K860" s="2301" t="str">
        <f>IF($G860=0,"--",IFERROR(_xll.ciqfunctions.udf.CIQ($G860,$I860,K113,Valuation_Date_GC,ReportType,DataMode,$H860,FXMode)*Scale,"--"))</f>
        <v>--</v>
      </c>
      <c r="L860" s="2301" t="str">
        <f>IF($G860=0,"--",IFERROR(_xll.ciqfunctions.udf.CIQ($G860,$I860,L113,Valuation_Date_GC,ReportType,DataMode,$H860,FXMode)*Scale,"--"))</f>
        <v>--</v>
      </c>
      <c r="M860" s="2301" t="str">
        <f>IF($G860=0,"--",IFERROR(_xll.ciqfunctions.udf.CIQ($G860,$I860,M113,Valuation_Date_GC,ReportType,DataMode,$H860,FXMode)*Scale,"--"))</f>
        <v>--</v>
      </c>
      <c r="N860" s="2301" t="str">
        <f>IF($G860=0,"--",IFERROR(_xll.ciqfunctions.udf.CIQ($G860,$I860,N113,Valuation_Date_GC,ReportType,DataMode,$H860,FXMode)*Scale,"--"))</f>
        <v>--</v>
      </c>
      <c r="O860" s="1471" t="str">
        <f>IF($G860=0,"--",IFERROR(_xll.ciqfunctions.udf.CIQ($G860,$I860,O113,Valuation_Date_GC,ReportType,DataMode,$H860,FXMode)*Scale,"--"))</f>
        <v>--</v>
      </c>
      <c r="P860" s="2301" t="str">
        <f>IF($G860=0,"--",IFERROR(_xll.ciqfunctions.udf.CIQ($G860,$I860,P113,Valuation_Date_GC,ReportType,DataMode,$H860,FXMode)*Scale,"--"))</f>
        <v>--</v>
      </c>
      <c r="R860" s="255"/>
    </row>
    <row r="861" spans="1:18" s="89" customFormat="1" ht="13.9">
      <c r="A861" s="269" t="str">
        <f t="shared" si="198"/>
        <v>n</v>
      </c>
      <c r="B861" s="2060"/>
      <c r="D861" s="801"/>
      <c r="E861" s="1505">
        <v>15</v>
      </c>
      <c r="F861" s="21" t="str">
        <f>F$143</f>
        <v>--</v>
      </c>
      <c r="G861" s="1441">
        <f>G$143</f>
        <v>0</v>
      </c>
      <c r="H861" s="1441" t="str">
        <f>H$143</f>
        <v>--</v>
      </c>
      <c r="I861" s="89" t="s">
        <v>820</v>
      </c>
      <c r="J861" s="2301" t="str">
        <f>IF($G861=0,"--",IFERROR(_xll.ciqfunctions.udf.CIQ($G861,$I861,J114,Valuation_Date_GC,ReportType,DataMode,$H861,FXMode)*Scale,"--"))</f>
        <v>--</v>
      </c>
      <c r="K861" s="2301" t="str">
        <f>IF($G861=0,"--",IFERROR(_xll.ciqfunctions.udf.CIQ($G861,$I861,K114,Valuation_Date_GC,ReportType,DataMode,$H861,FXMode)*Scale,"--"))</f>
        <v>--</v>
      </c>
      <c r="L861" s="2301" t="str">
        <f>IF($G861=0,"--",IFERROR(_xll.ciqfunctions.udf.CIQ($G861,$I861,L114,Valuation_Date_GC,ReportType,DataMode,$H861,FXMode)*Scale,"--"))</f>
        <v>--</v>
      </c>
      <c r="M861" s="2301" t="str">
        <f>IF($G861=0,"--",IFERROR(_xll.ciqfunctions.udf.CIQ($G861,$I861,M114,Valuation_Date_GC,ReportType,DataMode,$H861,FXMode)*Scale,"--"))</f>
        <v>--</v>
      </c>
      <c r="N861" s="2301" t="str">
        <f>IF($G861=0,"--",IFERROR(_xll.ciqfunctions.udf.CIQ($G861,$I861,N114,Valuation_Date_GC,ReportType,DataMode,$H861,FXMode)*Scale,"--"))</f>
        <v>--</v>
      </c>
      <c r="O861" s="1471" t="str">
        <f>IF($G861=0,"--",IFERROR(_xll.ciqfunctions.udf.CIQ($G861,$I861,O114,Valuation_Date_GC,ReportType,DataMode,$H861,FXMode)*Scale,"--"))</f>
        <v>--</v>
      </c>
      <c r="P861" s="2301" t="str">
        <f>IF($G861=0,"--",IFERROR(_xll.ciqfunctions.udf.CIQ($G861,$I861,P114,Valuation_Date_GC,ReportType,DataMode,$H861,FXMode)*Scale,"--"))</f>
        <v>--</v>
      </c>
      <c r="R861" s="255"/>
    </row>
    <row r="862" spans="1:18" s="89" customFormat="1" ht="13.9">
      <c r="A862" s="269" t="str">
        <f t="shared" si="198"/>
        <v>n</v>
      </c>
      <c r="B862" s="2060"/>
      <c r="D862" s="801"/>
      <c r="E862" s="1505">
        <v>16</v>
      </c>
      <c r="F862" s="21" t="str">
        <f>F$144</f>
        <v>--</v>
      </c>
      <c r="G862" s="1441">
        <f>G$144</f>
        <v>0</v>
      </c>
      <c r="H862" s="1441" t="str">
        <f>H$144</f>
        <v>--</v>
      </c>
      <c r="I862" s="89" t="s">
        <v>820</v>
      </c>
      <c r="J862" s="2301" t="str">
        <f>IF($G862=0,"--",IFERROR(_xll.ciqfunctions.udf.CIQ($G862,$I862,J115,Valuation_Date_GC,ReportType,DataMode,$H862,FXMode)*Scale,"--"))</f>
        <v>--</v>
      </c>
      <c r="K862" s="2301" t="str">
        <f>IF($G862=0,"--",IFERROR(_xll.ciqfunctions.udf.CIQ($G862,$I862,K115,Valuation_Date_GC,ReportType,DataMode,$H862,FXMode)*Scale,"--"))</f>
        <v>--</v>
      </c>
      <c r="L862" s="2301" t="str">
        <f>IF($G862=0,"--",IFERROR(_xll.ciqfunctions.udf.CIQ($G862,$I862,L115,Valuation_Date_GC,ReportType,DataMode,$H862,FXMode)*Scale,"--"))</f>
        <v>--</v>
      </c>
      <c r="M862" s="2301" t="str">
        <f>IF($G862=0,"--",IFERROR(_xll.ciqfunctions.udf.CIQ($G862,$I862,M115,Valuation_Date_GC,ReportType,DataMode,$H862,FXMode)*Scale,"--"))</f>
        <v>--</v>
      </c>
      <c r="N862" s="2301" t="str">
        <f>IF($G862=0,"--",IFERROR(_xll.ciqfunctions.udf.CIQ($G862,$I862,N115,Valuation_Date_GC,ReportType,DataMode,$H862,FXMode)*Scale,"--"))</f>
        <v>--</v>
      </c>
      <c r="O862" s="1471" t="str">
        <f>IF($G862=0,"--",IFERROR(_xll.ciqfunctions.udf.CIQ($G862,$I862,O115,Valuation_Date_GC,ReportType,DataMode,$H862,FXMode)*Scale,"--"))</f>
        <v>--</v>
      </c>
      <c r="P862" s="2301" t="str">
        <f>IF($G862=0,"--",IFERROR(_xll.ciqfunctions.udf.CIQ($G862,$I862,P115,Valuation_Date_GC,ReportType,DataMode,$H862,FXMode)*Scale,"--"))</f>
        <v>--</v>
      </c>
      <c r="R862" s="255"/>
    </row>
    <row r="863" spans="1:18" s="89" customFormat="1" ht="13.9">
      <c r="A863" s="269" t="str">
        <f t="shared" si="198"/>
        <v>n</v>
      </c>
      <c r="B863" s="2060"/>
      <c r="D863" s="801"/>
      <c r="E863" s="1505">
        <v>17</v>
      </c>
      <c r="F863" s="21" t="str">
        <f>F$145</f>
        <v>--</v>
      </c>
      <c r="G863" s="1441">
        <f>G$145</f>
        <v>0</v>
      </c>
      <c r="H863" s="1441" t="str">
        <f>H$145</f>
        <v>--</v>
      </c>
      <c r="I863" s="89" t="s">
        <v>820</v>
      </c>
      <c r="J863" s="2301" t="str">
        <f>IF($G863=0,"--",IFERROR(_xll.ciqfunctions.udf.CIQ($G863,$I863,J116,Valuation_Date_GC,ReportType,DataMode,$H863,FXMode)*Scale,"--"))</f>
        <v>--</v>
      </c>
      <c r="K863" s="2301" t="str">
        <f>IF($G863=0,"--",IFERROR(_xll.ciqfunctions.udf.CIQ($G863,$I863,K116,Valuation_Date_GC,ReportType,DataMode,$H863,FXMode)*Scale,"--"))</f>
        <v>--</v>
      </c>
      <c r="L863" s="2301" t="str">
        <f>IF($G863=0,"--",IFERROR(_xll.ciqfunctions.udf.CIQ($G863,$I863,L116,Valuation_Date_GC,ReportType,DataMode,$H863,FXMode)*Scale,"--"))</f>
        <v>--</v>
      </c>
      <c r="M863" s="2301" t="str">
        <f>IF($G863=0,"--",IFERROR(_xll.ciqfunctions.udf.CIQ($G863,$I863,M116,Valuation_Date_GC,ReportType,DataMode,$H863,FXMode)*Scale,"--"))</f>
        <v>--</v>
      </c>
      <c r="N863" s="2301" t="str">
        <f>IF($G863=0,"--",IFERROR(_xll.ciqfunctions.udf.CIQ($G863,$I863,N116,Valuation_Date_GC,ReportType,DataMode,$H863,FXMode)*Scale,"--"))</f>
        <v>--</v>
      </c>
      <c r="O863" s="1471" t="str">
        <f>IF($G863=0,"--",IFERROR(_xll.ciqfunctions.udf.CIQ($G863,$I863,O116,Valuation_Date_GC,ReportType,DataMode,$H863,FXMode)*Scale,"--"))</f>
        <v>--</v>
      </c>
      <c r="P863" s="2301" t="str">
        <f>IF($G863=0,"--",IFERROR(_xll.ciqfunctions.udf.CIQ($G863,$I863,P116,Valuation_Date_GC,ReportType,DataMode,$H863,FXMode)*Scale,"--"))</f>
        <v>--</v>
      </c>
      <c r="R863" s="255"/>
    </row>
    <row r="864" spans="1:18" s="89" customFormat="1" ht="13.9">
      <c r="A864" s="269" t="str">
        <f t="shared" si="198"/>
        <v>n</v>
      </c>
      <c r="B864" s="2060"/>
      <c r="D864" s="801"/>
      <c r="E864" s="1505">
        <v>18</v>
      </c>
      <c r="F864" s="21" t="str">
        <f>F$146</f>
        <v>--</v>
      </c>
      <c r="G864" s="1441">
        <f>G$146</f>
        <v>0</v>
      </c>
      <c r="H864" s="1441" t="str">
        <f>H$146</f>
        <v>--</v>
      </c>
      <c r="I864" s="89" t="s">
        <v>820</v>
      </c>
      <c r="J864" s="2301" t="str">
        <f>IF($G864=0,"--",IFERROR(_xll.ciqfunctions.udf.CIQ($G864,$I864,J117,Valuation_Date_GC,ReportType,DataMode,$H864,FXMode)*Scale,"--"))</f>
        <v>--</v>
      </c>
      <c r="K864" s="2301" t="str">
        <f>IF($G864=0,"--",IFERROR(_xll.ciqfunctions.udf.CIQ($G864,$I864,K117,Valuation_Date_GC,ReportType,DataMode,$H864,FXMode)*Scale,"--"))</f>
        <v>--</v>
      </c>
      <c r="L864" s="2301" t="str">
        <f>IF($G864=0,"--",IFERROR(_xll.ciqfunctions.udf.CIQ($G864,$I864,L117,Valuation_Date_GC,ReportType,DataMode,$H864,FXMode)*Scale,"--"))</f>
        <v>--</v>
      </c>
      <c r="M864" s="2301" t="str">
        <f>IF($G864=0,"--",IFERROR(_xll.ciqfunctions.udf.CIQ($G864,$I864,M117,Valuation_Date_GC,ReportType,DataMode,$H864,FXMode)*Scale,"--"))</f>
        <v>--</v>
      </c>
      <c r="N864" s="2301" t="str">
        <f>IF($G864=0,"--",IFERROR(_xll.ciqfunctions.udf.CIQ($G864,$I864,N117,Valuation_Date_GC,ReportType,DataMode,$H864,FXMode)*Scale,"--"))</f>
        <v>--</v>
      </c>
      <c r="O864" s="1471" t="str">
        <f>IF($G864=0,"--",IFERROR(_xll.ciqfunctions.udf.CIQ($G864,$I864,O117,Valuation_Date_GC,ReportType,DataMode,$H864,FXMode)*Scale,"--"))</f>
        <v>--</v>
      </c>
      <c r="P864" s="2301" t="str">
        <f>IF($G864=0,"--",IFERROR(_xll.ciqfunctions.udf.CIQ($G864,$I864,P117,Valuation_Date_GC,ReportType,DataMode,$H864,FXMode)*Scale,"--"))</f>
        <v>--</v>
      </c>
      <c r="R864" s="255"/>
    </row>
    <row r="865" spans="1:20" s="89" customFormat="1" ht="13.9">
      <c r="A865" s="269" t="str">
        <f t="shared" si="198"/>
        <v>n</v>
      </c>
      <c r="B865" s="2060"/>
      <c r="D865" s="801"/>
      <c r="E865" s="1505">
        <v>19</v>
      </c>
      <c r="F865" s="21" t="str">
        <f>F$147</f>
        <v>--</v>
      </c>
      <c r="G865" s="1441">
        <f>G$147</f>
        <v>0</v>
      </c>
      <c r="H865" s="1441" t="str">
        <f>H$147</f>
        <v>--</v>
      </c>
      <c r="I865" s="89" t="s">
        <v>820</v>
      </c>
      <c r="J865" s="2301" t="str">
        <f>IF($G865=0,"--",IFERROR(_xll.ciqfunctions.udf.CIQ($G865,$I865,J118,Valuation_Date_GC,ReportType,DataMode,$H865,FXMode)*Scale,"--"))</f>
        <v>--</v>
      </c>
      <c r="K865" s="2301" t="str">
        <f>IF($G865=0,"--",IFERROR(_xll.ciqfunctions.udf.CIQ($G865,$I865,K118,Valuation_Date_GC,ReportType,DataMode,$H865,FXMode)*Scale,"--"))</f>
        <v>--</v>
      </c>
      <c r="L865" s="2301" t="str">
        <f>IF($G865=0,"--",IFERROR(_xll.ciqfunctions.udf.CIQ($G865,$I865,L118,Valuation_Date_GC,ReportType,DataMode,$H865,FXMode)*Scale,"--"))</f>
        <v>--</v>
      </c>
      <c r="M865" s="2301" t="str">
        <f>IF($G865=0,"--",IFERROR(_xll.ciqfunctions.udf.CIQ($G865,$I865,M118,Valuation_Date_GC,ReportType,DataMode,$H865,FXMode)*Scale,"--"))</f>
        <v>--</v>
      </c>
      <c r="N865" s="2301" t="str">
        <f>IF($G865=0,"--",IFERROR(_xll.ciqfunctions.udf.CIQ($G865,$I865,N118,Valuation_Date_GC,ReportType,DataMode,$H865,FXMode)*Scale,"--"))</f>
        <v>--</v>
      </c>
      <c r="O865" s="1471" t="str">
        <f>IF($G865=0,"--",IFERROR(_xll.ciqfunctions.udf.CIQ($G865,$I865,O118,Valuation_Date_GC,ReportType,DataMode,$H865,FXMode)*Scale,"--"))</f>
        <v>--</v>
      </c>
      <c r="P865" s="2301" t="str">
        <f>IF($G865=0,"--",IFERROR(_xll.ciqfunctions.udf.CIQ($G865,$I865,P118,Valuation_Date_GC,ReportType,DataMode,$H865,FXMode)*Scale,"--"))</f>
        <v>--</v>
      </c>
      <c r="R865" s="255"/>
    </row>
    <row r="866" spans="1:20" s="89" customFormat="1" ht="13.9">
      <c r="A866" s="269" t="str">
        <f t="shared" si="198"/>
        <v>n</v>
      </c>
      <c r="B866" s="2060"/>
      <c r="D866" s="801"/>
      <c r="E866" s="1505">
        <v>20</v>
      </c>
      <c r="F866" s="21" t="str">
        <f>F$148</f>
        <v>--</v>
      </c>
      <c r="G866" s="1441">
        <f>G$148</f>
        <v>0</v>
      </c>
      <c r="H866" s="1441" t="str">
        <f>H$148</f>
        <v>--</v>
      </c>
      <c r="I866" s="89" t="s">
        <v>820</v>
      </c>
      <c r="J866" s="2301" t="str">
        <f>IF($G866=0,"--",IFERROR(_xll.ciqfunctions.udf.CIQ($G866,$I866,J119,Valuation_Date_GC,ReportType,DataMode,$H866,FXMode)*Scale,"--"))</f>
        <v>--</v>
      </c>
      <c r="K866" s="2301" t="str">
        <f>IF($G866=0,"--",IFERROR(_xll.ciqfunctions.udf.CIQ($G866,$I866,K119,Valuation_Date_GC,ReportType,DataMode,$H866,FXMode)*Scale,"--"))</f>
        <v>--</v>
      </c>
      <c r="L866" s="2301" t="str">
        <f>IF($G866=0,"--",IFERROR(_xll.ciqfunctions.udf.CIQ($G866,$I866,L119,Valuation_Date_GC,ReportType,DataMode,$H866,FXMode)*Scale,"--"))</f>
        <v>--</v>
      </c>
      <c r="M866" s="2301" t="str">
        <f>IF($G866=0,"--",IFERROR(_xll.ciqfunctions.udf.CIQ($G866,$I866,M119,Valuation_Date_GC,ReportType,DataMode,$H866,FXMode)*Scale,"--"))</f>
        <v>--</v>
      </c>
      <c r="N866" s="2301" t="str">
        <f>IF($G866=0,"--",IFERROR(_xll.ciqfunctions.udf.CIQ($G866,$I866,N119,Valuation_Date_GC,ReportType,DataMode,$H866,FXMode)*Scale,"--"))</f>
        <v>--</v>
      </c>
      <c r="O866" s="1471" t="str">
        <f>IF($G866=0,"--",IFERROR(_xll.ciqfunctions.udf.CIQ($G866,$I866,O119,Valuation_Date_GC,ReportType,DataMode,$H866,FXMode)*Scale,"--"))</f>
        <v>--</v>
      </c>
      <c r="P866" s="2301" t="str">
        <f>IF($G866=0,"--",IFERROR(_xll.ciqfunctions.udf.CIQ($G866,$I866,P119,Valuation_Date_GC,ReportType,DataMode,$H866,FXMode)*Scale,"--"))</f>
        <v>--</v>
      </c>
      <c r="R866" s="255"/>
    </row>
    <row r="867" spans="1:20" s="89" customFormat="1" ht="13.9">
      <c r="A867" s="269" t="str">
        <f t="shared" si="198"/>
        <v>n</v>
      </c>
      <c r="B867" s="2060"/>
      <c r="D867" s="801"/>
      <c r="E867" s="1505">
        <v>21</v>
      </c>
      <c r="F867" s="21" t="str">
        <f>F$149</f>
        <v>--</v>
      </c>
      <c r="G867" s="1441">
        <f>G$149</f>
        <v>0</v>
      </c>
      <c r="H867" s="1441" t="str">
        <f>H$149</f>
        <v>--</v>
      </c>
      <c r="I867" s="89" t="s">
        <v>820</v>
      </c>
      <c r="J867" s="2301" t="str">
        <f>IF($G867=0,"--",IFERROR(_xll.ciqfunctions.udf.CIQ($G867,$I867,J120,Valuation_Date_GC,ReportType,DataMode,$H867,FXMode)*Scale,"--"))</f>
        <v>--</v>
      </c>
      <c r="K867" s="2301" t="str">
        <f>IF($G867=0,"--",IFERROR(_xll.ciqfunctions.udf.CIQ($G867,$I867,K120,Valuation_Date_GC,ReportType,DataMode,$H867,FXMode)*Scale,"--"))</f>
        <v>--</v>
      </c>
      <c r="L867" s="2301" t="str">
        <f>IF($G867=0,"--",IFERROR(_xll.ciqfunctions.udf.CIQ($G867,$I867,L120,Valuation_Date_GC,ReportType,DataMode,$H867,FXMode)*Scale,"--"))</f>
        <v>--</v>
      </c>
      <c r="M867" s="2301" t="str">
        <f>IF($G867=0,"--",IFERROR(_xll.ciqfunctions.udf.CIQ($G867,$I867,M120,Valuation_Date_GC,ReportType,DataMode,$H867,FXMode)*Scale,"--"))</f>
        <v>--</v>
      </c>
      <c r="N867" s="2301" t="str">
        <f>IF($G867=0,"--",IFERROR(_xll.ciqfunctions.udf.CIQ($G867,$I867,N120,Valuation_Date_GC,ReportType,DataMode,$H867,FXMode)*Scale,"--"))</f>
        <v>--</v>
      </c>
      <c r="O867" s="1471" t="str">
        <f>IF($G867=0,"--",IFERROR(_xll.ciqfunctions.udf.CIQ($G867,$I867,O120,Valuation_Date_GC,ReportType,DataMode,$H867,FXMode)*Scale,"--"))</f>
        <v>--</v>
      </c>
      <c r="P867" s="2301" t="str">
        <f>IF($G867=0,"--",IFERROR(_xll.ciqfunctions.udf.CIQ($G867,$I867,P120,Valuation_Date_GC,ReportType,DataMode,$H867,FXMode)*Scale,"--"))</f>
        <v>--</v>
      </c>
      <c r="R867" s="255"/>
    </row>
    <row r="868" spans="1:20" s="89" customFormat="1" ht="13.9">
      <c r="A868" s="269" t="str">
        <f t="shared" si="198"/>
        <v>n</v>
      </c>
      <c r="B868" s="2060"/>
      <c r="D868" s="801"/>
      <c r="E868" s="1505">
        <v>22</v>
      </c>
      <c r="F868" s="21" t="str">
        <f>F$150</f>
        <v>--</v>
      </c>
      <c r="G868" s="1441">
        <f>G$150</f>
        <v>0</v>
      </c>
      <c r="H868" s="1441" t="str">
        <f>H$150</f>
        <v>--</v>
      </c>
      <c r="I868" s="89" t="s">
        <v>820</v>
      </c>
      <c r="J868" s="2301" t="str">
        <f>IF($G868=0,"--",IFERROR(_xll.ciqfunctions.udf.CIQ($G868,$I868,J121,Valuation_Date_GC,ReportType,DataMode,$H868,FXMode)*Scale,"--"))</f>
        <v>--</v>
      </c>
      <c r="K868" s="2301" t="str">
        <f>IF($G868=0,"--",IFERROR(_xll.ciqfunctions.udf.CIQ($G868,$I868,K121,Valuation_Date_GC,ReportType,DataMode,$H868,FXMode)*Scale,"--"))</f>
        <v>--</v>
      </c>
      <c r="L868" s="2301" t="str">
        <f>IF($G868=0,"--",IFERROR(_xll.ciqfunctions.udf.CIQ($G868,$I868,L121,Valuation_Date_GC,ReportType,DataMode,$H868,FXMode)*Scale,"--"))</f>
        <v>--</v>
      </c>
      <c r="M868" s="2301" t="str">
        <f>IF($G868=0,"--",IFERROR(_xll.ciqfunctions.udf.CIQ($G868,$I868,M121,Valuation_Date_GC,ReportType,DataMode,$H868,FXMode)*Scale,"--"))</f>
        <v>--</v>
      </c>
      <c r="N868" s="2301" t="str">
        <f>IF($G868=0,"--",IFERROR(_xll.ciqfunctions.udf.CIQ($G868,$I868,N121,Valuation_Date_GC,ReportType,DataMode,$H868,FXMode)*Scale,"--"))</f>
        <v>--</v>
      </c>
      <c r="O868" s="1471" t="str">
        <f>IF($G868=0,"--",IFERROR(_xll.ciqfunctions.udf.CIQ($G868,$I868,O121,Valuation_Date_GC,ReportType,DataMode,$H868,FXMode)*Scale,"--"))</f>
        <v>--</v>
      </c>
      <c r="P868" s="2301" t="str">
        <f>IF($G868=0,"--",IFERROR(_xll.ciqfunctions.udf.CIQ($G868,$I868,P121,Valuation_Date_GC,ReportType,DataMode,$H868,FXMode)*Scale,"--"))</f>
        <v>--</v>
      </c>
      <c r="R868" s="255"/>
    </row>
    <row r="869" spans="1:20" s="89" customFormat="1" ht="13.9">
      <c r="A869" s="269" t="str">
        <f t="shared" si="198"/>
        <v>n</v>
      </c>
      <c r="B869" s="2060"/>
      <c r="D869" s="801"/>
      <c r="E869" s="1505">
        <v>23</v>
      </c>
      <c r="F869" s="21" t="str">
        <f>F$151</f>
        <v>--</v>
      </c>
      <c r="G869" s="1441">
        <f>G$151</f>
        <v>0</v>
      </c>
      <c r="H869" s="1441" t="str">
        <f>H$151</f>
        <v>--</v>
      </c>
      <c r="I869" s="89" t="s">
        <v>820</v>
      </c>
      <c r="J869" s="2301" t="str">
        <f>IF($G869=0,"--",IFERROR(_xll.ciqfunctions.udf.CIQ($G869,$I869,J122,Valuation_Date_GC,ReportType,DataMode,$H869,FXMode)*Scale,"--"))</f>
        <v>--</v>
      </c>
      <c r="K869" s="2301" t="str">
        <f>IF($G869=0,"--",IFERROR(_xll.ciqfunctions.udf.CIQ($G869,$I869,K122,Valuation_Date_GC,ReportType,DataMode,$H869,FXMode)*Scale,"--"))</f>
        <v>--</v>
      </c>
      <c r="L869" s="2301" t="str">
        <f>IF($G869=0,"--",IFERROR(_xll.ciqfunctions.udf.CIQ($G869,$I869,L122,Valuation_Date_GC,ReportType,DataMode,$H869,FXMode)*Scale,"--"))</f>
        <v>--</v>
      </c>
      <c r="M869" s="2301" t="str">
        <f>IF($G869=0,"--",IFERROR(_xll.ciqfunctions.udf.CIQ($G869,$I869,M122,Valuation_Date_GC,ReportType,DataMode,$H869,FXMode)*Scale,"--"))</f>
        <v>--</v>
      </c>
      <c r="N869" s="2301" t="str">
        <f>IF($G869=0,"--",IFERROR(_xll.ciqfunctions.udf.CIQ($G869,$I869,N122,Valuation_Date_GC,ReportType,DataMode,$H869,FXMode)*Scale,"--"))</f>
        <v>--</v>
      </c>
      <c r="O869" s="1471" t="str">
        <f>IF($G869=0,"--",IFERROR(_xll.ciqfunctions.udf.CIQ($G869,$I869,O122,Valuation_Date_GC,ReportType,DataMode,$H869,FXMode)*Scale,"--"))</f>
        <v>--</v>
      </c>
      <c r="P869" s="2301" t="str">
        <f>IF($G869=0,"--",IFERROR(_xll.ciqfunctions.udf.CIQ($G869,$I869,P122,Valuation_Date_GC,ReportType,DataMode,$H869,FXMode)*Scale,"--"))</f>
        <v>--</v>
      </c>
      <c r="R869" s="255"/>
    </row>
    <row r="870" spans="1:20" s="89" customFormat="1" ht="13.9">
      <c r="A870" s="269" t="str">
        <f t="shared" si="198"/>
        <v>n</v>
      </c>
      <c r="B870" s="2060"/>
      <c r="D870" s="801"/>
      <c r="E870" s="1505">
        <v>24</v>
      </c>
      <c r="F870" s="21" t="str">
        <f>F$152</f>
        <v>--</v>
      </c>
      <c r="G870" s="1441">
        <f>G$152</f>
        <v>0</v>
      </c>
      <c r="H870" s="1441" t="str">
        <f>H$152</f>
        <v>--</v>
      </c>
      <c r="I870" s="89" t="s">
        <v>820</v>
      </c>
      <c r="J870" s="2301" t="str">
        <f>IF($G870=0,"--",IFERROR(_xll.ciqfunctions.udf.CIQ($G870,$I870,J123,Valuation_Date_GC,ReportType,DataMode,$H870,FXMode)*Scale,"--"))</f>
        <v>--</v>
      </c>
      <c r="K870" s="2301" t="str">
        <f>IF($G870=0,"--",IFERROR(_xll.ciqfunctions.udf.CIQ($G870,$I870,K123,Valuation_Date_GC,ReportType,DataMode,$H870,FXMode)*Scale,"--"))</f>
        <v>--</v>
      </c>
      <c r="L870" s="2301" t="str">
        <f>IF($G870=0,"--",IFERROR(_xll.ciqfunctions.udf.CIQ($G870,$I870,L123,Valuation_Date_GC,ReportType,DataMode,$H870,FXMode)*Scale,"--"))</f>
        <v>--</v>
      </c>
      <c r="M870" s="2301" t="str">
        <f>IF($G870=0,"--",IFERROR(_xll.ciqfunctions.udf.CIQ($G870,$I870,M123,Valuation_Date_GC,ReportType,DataMode,$H870,FXMode)*Scale,"--"))</f>
        <v>--</v>
      </c>
      <c r="N870" s="2301" t="str">
        <f>IF($G870=0,"--",IFERROR(_xll.ciqfunctions.udf.CIQ($G870,$I870,N123,Valuation_Date_GC,ReportType,DataMode,$H870,FXMode)*Scale,"--"))</f>
        <v>--</v>
      </c>
      <c r="O870" s="1471" t="str">
        <f>IF($G870=0,"--",IFERROR(_xll.ciqfunctions.udf.CIQ($G870,$I870,O123,Valuation_Date_GC,ReportType,DataMode,$H870,FXMode)*Scale,"--"))</f>
        <v>--</v>
      </c>
      <c r="P870" s="2301" t="str">
        <f>IF($G870=0,"--",IFERROR(_xll.ciqfunctions.udf.CIQ($G870,$I870,P123,Valuation_Date_GC,ReportType,DataMode,$H870,FXMode)*Scale,"--"))</f>
        <v>--</v>
      </c>
      <c r="R870" s="255"/>
    </row>
    <row r="871" spans="1:20" s="89" customFormat="1" ht="13.9">
      <c r="A871" s="269" t="str">
        <f t="shared" si="198"/>
        <v>n</v>
      </c>
      <c r="B871" s="2060"/>
      <c r="D871" s="801"/>
      <c r="E871" s="1505">
        <v>25</v>
      </c>
      <c r="F871" s="21" t="str">
        <f>F$153</f>
        <v>--</v>
      </c>
      <c r="G871" s="1441">
        <f>G$153</f>
        <v>0</v>
      </c>
      <c r="H871" s="1441" t="str">
        <f>H$153</f>
        <v>--</v>
      </c>
      <c r="I871" s="89" t="s">
        <v>820</v>
      </c>
      <c r="J871" s="2301" t="str">
        <f>IF($G871=0,"--",IFERROR(_xll.ciqfunctions.udf.CIQ($G871,$I871,J124,Valuation_Date_GC,ReportType,DataMode,$H871,FXMode)*Scale,"--"))</f>
        <v>--</v>
      </c>
      <c r="K871" s="2301" t="str">
        <f>IF($G871=0,"--",IFERROR(_xll.ciqfunctions.udf.CIQ($G871,$I871,K124,Valuation_Date_GC,ReportType,DataMode,$H871,FXMode)*Scale,"--"))</f>
        <v>--</v>
      </c>
      <c r="L871" s="2301" t="str">
        <f>IF($G871=0,"--",IFERROR(_xll.ciqfunctions.udf.CIQ($G871,$I871,L124,Valuation_Date_GC,ReportType,DataMode,$H871,FXMode)*Scale,"--"))</f>
        <v>--</v>
      </c>
      <c r="M871" s="2301" t="str">
        <f>IF($G871=0,"--",IFERROR(_xll.ciqfunctions.udf.CIQ($G871,$I871,M124,Valuation_Date_GC,ReportType,DataMode,$H871,FXMode)*Scale,"--"))</f>
        <v>--</v>
      </c>
      <c r="N871" s="2301" t="str">
        <f>IF($G871=0,"--",IFERROR(_xll.ciqfunctions.udf.CIQ($G871,$I871,N124,Valuation_Date_GC,ReportType,DataMode,$H871,FXMode)*Scale,"--"))</f>
        <v>--</v>
      </c>
      <c r="O871" s="1471" t="str">
        <f>IF($G871=0,"--",IFERROR(_xll.ciqfunctions.udf.CIQ($G871,$I871,O124,Valuation_Date_GC,ReportType,DataMode,$H871,FXMode)*Scale,"--"))</f>
        <v>--</v>
      </c>
      <c r="P871" s="2301" t="str">
        <f>IF($G871=0,"--",IFERROR(_xll.ciqfunctions.udf.CIQ($G871,$I871,P124,Valuation_Date_GC,ReportType,DataMode,$H871,FXMode)*Scale,"--"))</f>
        <v>--</v>
      </c>
      <c r="R871" s="255"/>
    </row>
    <row r="872" spans="1:20" s="89" customFormat="1" ht="13.9">
      <c r="A872" s="2060"/>
      <c r="B872" s="2060"/>
      <c r="D872" s="801"/>
      <c r="F872" s="57" t="s">
        <v>767</v>
      </c>
      <c r="G872" s="1442"/>
      <c r="H872" s="1442"/>
      <c r="I872" s="1442"/>
      <c r="J872" s="1443" t="str">
        <f t="shared" ref="J872:P872" si="199">IFERROR(MEDIAN(J847:J871),"--")</f>
        <v>--</v>
      </c>
      <c r="K872" s="1443" t="str">
        <f t="shared" si="199"/>
        <v>--</v>
      </c>
      <c r="L872" s="1443" t="str">
        <f t="shared" si="199"/>
        <v>--</v>
      </c>
      <c r="M872" s="1443" t="str">
        <f t="shared" si="199"/>
        <v>--</v>
      </c>
      <c r="N872" s="1443" t="str">
        <f t="shared" si="199"/>
        <v>--</v>
      </c>
      <c r="O872" s="1444" t="str">
        <f t="shared" si="199"/>
        <v>--</v>
      </c>
      <c r="P872" s="1443" t="str">
        <f t="shared" si="199"/>
        <v>--</v>
      </c>
      <c r="R872" s="255"/>
      <c r="T872" s="1513"/>
    </row>
    <row r="873" spans="1:20" s="89" customFormat="1" ht="13.9">
      <c r="A873" s="2060"/>
      <c r="B873" s="2060"/>
      <c r="D873" s="801"/>
      <c r="O873" s="75"/>
      <c r="P873" s="2060"/>
      <c r="R873" s="255"/>
    </row>
    <row r="874" spans="1:20" s="89" customFormat="1" ht="13.9">
      <c r="A874" s="2060"/>
      <c r="B874" s="2060"/>
      <c r="D874" s="801"/>
      <c r="O874" s="75"/>
      <c r="P874" s="76"/>
    </row>
    <row r="875" spans="1:20" s="89" customFormat="1" ht="13.9">
      <c r="A875" s="2060"/>
      <c r="B875" s="2060"/>
      <c r="D875" s="801"/>
      <c r="O875" s="75"/>
      <c r="P875" s="76"/>
    </row>
    <row r="876" spans="1:20" s="89" customFormat="1" ht="13.9">
      <c r="A876" s="2060"/>
      <c r="B876" s="2060"/>
      <c r="D876" s="778">
        <f ca="1">MAX(OFFSET(D876,-1,0,-ROW(D876)+1,-2),1)+0.01</f>
        <v>6.02</v>
      </c>
      <c r="E876" s="125"/>
      <c r="F876" s="952" t="s">
        <v>306</v>
      </c>
      <c r="G876" s="724" t="s">
        <v>777</v>
      </c>
      <c r="H876" s="724"/>
      <c r="I876" s="724"/>
      <c r="J876" s="725" t="s">
        <v>699</v>
      </c>
      <c r="K876" s="725" t="s">
        <v>700</v>
      </c>
      <c r="L876" s="725" t="s">
        <v>701</v>
      </c>
      <c r="M876" s="725" t="s">
        <v>702</v>
      </c>
      <c r="N876" s="725" t="s">
        <v>703</v>
      </c>
      <c r="O876" s="759" t="s">
        <v>704</v>
      </c>
      <c r="P876" s="725" t="s">
        <v>780</v>
      </c>
      <c r="R876" s="255"/>
    </row>
    <row r="877" spans="1:20" s="89" customFormat="1" ht="13.9">
      <c r="A877" s="2060"/>
      <c r="B877" s="2060"/>
      <c r="D877" s="778"/>
      <c r="E877" s="1505">
        <v>0</v>
      </c>
      <c r="F877" s="1448" t="str">
        <f>F$128</f>
        <v/>
      </c>
      <c r="G877" s="1449">
        <f>G$128</f>
        <v>0</v>
      </c>
      <c r="H877" s="1449" t="str">
        <f>H$128</f>
        <v>USD</v>
      </c>
      <c r="I877" s="258" t="s">
        <v>821</v>
      </c>
      <c r="J877" s="2304">
        <f>'BAL SHEET Hist Input'!F13</f>
        <v>0</v>
      </c>
      <c r="K877" s="2304">
        <f>'BAL SHEET Hist Input'!G13</f>
        <v>0</v>
      </c>
      <c r="L877" s="2304">
        <f>'BAL SHEET Hist Input'!H13</f>
        <v>0</v>
      </c>
      <c r="M877" s="2304">
        <f>'BAL SHEET Hist Input'!I13</f>
        <v>0</v>
      </c>
      <c r="N877" s="2304">
        <f>'BAL SHEET Hist Input'!J13</f>
        <v>0</v>
      </c>
      <c r="O877" s="1469">
        <f>'BAL SHEET Hist Input'!K13</f>
        <v>0</v>
      </c>
      <c r="P877" s="1470">
        <f>'BAL SHEET Hist Input'!L13</f>
        <v>0</v>
      </c>
      <c r="R877" s="255"/>
    </row>
    <row r="878" spans="1:20" s="89" customFormat="1" ht="13.9">
      <c r="A878" s="269" t="str">
        <f>IF(F878="--","n","")</f>
        <v>n</v>
      </c>
      <c r="B878" s="2060"/>
      <c r="C878" s="72"/>
      <c r="D878" s="801"/>
      <c r="E878" s="1505">
        <v>1</v>
      </c>
      <c r="F878" s="21" t="str">
        <f>F$129</f>
        <v>--</v>
      </c>
      <c r="G878" s="1441">
        <f>G$129</f>
        <v>0</v>
      </c>
      <c r="H878" s="1441" t="str">
        <f>H$129</f>
        <v>--</v>
      </c>
      <c r="I878" s="89" t="s">
        <v>821</v>
      </c>
      <c r="J878" s="2301" t="str">
        <f>IF($G878=0,"--",IFERROR(_xll.ciqfunctions.udf.CIQ($G878,$I878,J100,Valuation_Date_GC,ReportType,DataMode,$H878,FXMode)*Scale,"--"))</f>
        <v>--</v>
      </c>
      <c r="K878" s="2301" t="str">
        <f>IF($G878=0,"--",IFERROR(_xll.ciqfunctions.udf.CIQ($G878,$I878,K100,Valuation_Date_GC,ReportType,DataMode,$H878,FXMode)*Scale,"--"))</f>
        <v>--</v>
      </c>
      <c r="L878" s="2301" t="str">
        <f>IF($G878=0,"--",IFERROR(_xll.ciqfunctions.udf.CIQ($G878,$I878,L100,Valuation_Date_GC,ReportType,DataMode,$H878,FXMode)*Scale,"--"))</f>
        <v>--</v>
      </c>
      <c r="M878" s="2301" t="str">
        <f>IF($G878=0,"--",IFERROR(_xll.ciqfunctions.udf.CIQ($G878,$I878,M100,Valuation_Date_GC,ReportType,DataMode,$H878,FXMode)*Scale,"--"))</f>
        <v>--</v>
      </c>
      <c r="N878" s="2301" t="str">
        <f>IF($G878=0,"--",IFERROR(_xll.ciqfunctions.udf.CIQ($G878,$I878,N100,Valuation_Date_GC,ReportType,DataMode,$H878,FXMode)*Scale,"--"))</f>
        <v>--</v>
      </c>
      <c r="O878" s="1471" t="str">
        <f>IF($G878=0,"--",IFERROR(_xll.ciqfunctions.udf.CIQ($G878,$I878,O100,Valuation_Date_GC,ReportType,DataMode,$H878,FXMode)*Scale,"--"))</f>
        <v>--</v>
      </c>
      <c r="P878" s="2301" t="str">
        <f>IF($G878=0,"--",IFERROR(_xll.ciqfunctions.udf.CIQ($G878,$I878,P100,Valuation_Date_GC,ReportType,DataMode,$H878,FXMode)*Scale,"--"))</f>
        <v>--</v>
      </c>
      <c r="R878" s="255"/>
    </row>
    <row r="879" spans="1:20" s="89" customFormat="1" ht="13.9">
      <c r="A879" s="269" t="str">
        <f t="shared" ref="A879:A902" si="200">IF(F879="--","n","")</f>
        <v>n</v>
      </c>
      <c r="B879" s="2060"/>
      <c r="D879" s="801"/>
      <c r="E879" s="1505">
        <v>2</v>
      </c>
      <c r="F879" s="21" t="str">
        <f>F$130</f>
        <v>--</v>
      </c>
      <c r="G879" s="1441">
        <f>G$130</f>
        <v>0</v>
      </c>
      <c r="H879" s="1441" t="str">
        <f>H$130</f>
        <v>--</v>
      </c>
      <c r="I879" s="89" t="s">
        <v>821</v>
      </c>
      <c r="J879" s="2301" t="str">
        <f>IF($G879=0,"--",IFERROR(_xll.ciqfunctions.udf.CIQ($G879,$I879,J101,Valuation_Date_GC,ReportType,DataMode,$H879,FXMode)*Scale,"--"))</f>
        <v>--</v>
      </c>
      <c r="K879" s="2301" t="str">
        <f>IF($G879=0,"--",IFERROR(_xll.ciqfunctions.udf.CIQ($G879,$I879,K101,Valuation_Date_GC,ReportType,DataMode,$H879,FXMode)*Scale,"--"))</f>
        <v>--</v>
      </c>
      <c r="L879" s="2301" t="str">
        <f>IF($G879=0,"--",IFERROR(_xll.ciqfunctions.udf.CIQ($G879,$I879,L101,Valuation_Date_GC,ReportType,DataMode,$H879,FXMode)*Scale,"--"))</f>
        <v>--</v>
      </c>
      <c r="M879" s="2301" t="str">
        <f>IF($G879=0,"--",IFERROR(_xll.ciqfunctions.udf.CIQ($G879,$I879,M101,Valuation_Date_GC,ReportType,DataMode,$H879,FXMode)*Scale,"--"))</f>
        <v>--</v>
      </c>
      <c r="N879" s="2301" t="str">
        <f>IF($G879=0,"--",IFERROR(_xll.ciqfunctions.udf.CIQ($G879,$I879,N101,Valuation_Date_GC,ReportType,DataMode,$H879,FXMode)*Scale,"--"))</f>
        <v>--</v>
      </c>
      <c r="O879" s="1471" t="str">
        <f>IF($G879=0,"--",IFERROR(_xll.ciqfunctions.udf.CIQ($G879,$I879,O101,Valuation_Date_GC,ReportType,DataMode,$H879,FXMode)*Scale,"--"))</f>
        <v>--</v>
      </c>
      <c r="P879" s="2301" t="str">
        <f>IF($G879=0,"--",IFERROR(_xll.ciqfunctions.udf.CIQ($G879,$I879,P101,Valuation_Date_GC,ReportType,DataMode,$H879,FXMode)*Scale,"--"))</f>
        <v>--</v>
      </c>
      <c r="R879" s="255"/>
    </row>
    <row r="880" spans="1:20" s="89" customFormat="1" ht="13.9">
      <c r="A880" s="269" t="str">
        <f t="shared" si="200"/>
        <v>n</v>
      </c>
      <c r="B880" s="2060"/>
      <c r="C880" s="72"/>
      <c r="D880" s="801"/>
      <c r="E880" s="1505">
        <v>3</v>
      </c>
      <c r="F880" s="21" t="str">
        <f>F$131</f>
        <v>--</v>
      </c>
      <c r="G880" s="1441">
        <f>G$131</f>
        <v>0</v>
      </c>
      <c r="H880" s="1441" t="str">
        <f>H$131</f>
        <v>--</v>
      </c>
      <c r="I880" s="89" t="s">
        <v>821</v>
      </c>
      <c r="J880" s="2301" t="str">
        <f>IF($G880=0,"--",IFERROR(_xll.ciqfunctions.udf.CIQ($G880,$I880,J102,Valuation_Date_GC,ReportType,DataMode,$H880,FXMode)*Scale,"--"))</f>
        <v>--</v>
      </c>
      <c r="K880" s="2301" t="str">
        <f>IF($G880=0,"--",IFERROR(_xll.ciqfunctions.udf.CIQ($G880,$I880,K102,Valuation_Date_GC,ReportType,DataMode,$H880,FXMode)*Scale,"--"))</f>
        <v>--</v>
      </c>
      <c r="L880" s="2301" t="str">
        <f>IF($G880=0,"--",IFERROR(_xll.ciqfunctions.udf.CIQ($G880,$I880,L102,Valuation_Date_GC,ReportType,DataMode,$H880,FXMode)*Scale,"--"))</f>
        <v>--</v>
      </c>
      <c r="M880" s="2301" t="str">
        <f>IF($G880=0,"--",IFERROR(_xll.ciqfunctions.udf.CIQ($G880,$I880,M102,Valuation_Date_GC,ReportType,DataMode,$H880,FXMode)*Scale,"--"))</f>
        <v>--</v>
      </c>
      <c r="N880" s="2301" t="str">
        <f>IF($G880=0,"--",IFERROR(_xll.ciqfunctions.udf.CIQ($G880,$I880,N102,Valuation_Date_GC,ReportType,DataMode,$H880,FXMode)*Scale,"--"))</f>
        <v>--</v>
      </c>
      <c r="O880" s="1471" t="str">
        <f>IF($G880=0,"--",IFERROR(_xll.ciqfunctions.udf.CIQ($G880,$I880,O102,Valuation_Date_GC,ReportType,DataMode,$H880,FXMode)*Scale,"--"))</f>
        <v>--</v>
      </c>
      <c r="P880" s="2301" t="str">
        <f>IF($G880=0,"--",IFERROR(_xll.ciqfunctions.udf.CIQ($G880,$I880,P102,Valuation_Date_GC,ReportType,DataMode,$H880,FXMode)*Scale,"--"))</f>
        <v>--</v>
      </c>
      <c r="R880" s="255"/>
    </row>
    <row r="881" spans="1:18" s="89" customFormat="1" ht="13.9">
      <c r="A881" s="269" t="str">
        <f t="shared" si="200"/>
        <v>n</v>
      </c>
      <c r="B881" s="2060"/>
      <c r="C881" s="72"/>
      <c r="D881" s="801"/>
      <c r="E881" s="1505">
        <v>4</v>
      </c>
      <c r="F881" s="21" t="str">
        <f>F$132</f>
        <v>--</v>
      </c>
      <c r="G881" s="1441">
        <f>G$132</f>
        <v>0</v>
      </c>
      <c r="H881" s="1441" t="str">
        <f>H$132</f>
        <v>--</v>
      </c>
      <c r="I881" s="89" t="s">
        <v>821</v>
      </c>
      <c r="J881" s="2301" t="str">
        <f>IF($G881=0,"--",IFERROR(_xll.ciqfunctions.udf.CIQ($G881,$I881,J103,Valuation_Date_GC,ReportType,DataMode,$H881,FXMode)*Scale,"--"))</f>
        <v>--</v>
      </c>
      <c r="K881" s="2301" t="str">
        <f>IF($G881=0,"--",IFERROR(_xll.ciqfunctions.udf.CIQ($G881,$I881,K103,Valuation_Date_GC,ReportType,DataMode,$H881,FXMode)*Scale,"--"))</f>
        <v>--</v>
      </c>
      <c r="L881" s="2301" t="str">
        <f>IF($G881=0,"--",IFERROR(_xll.ciqfunctions.udf.CIQ($G881,$I881,L103,Valuation_Date_GC,ReportType,DataMode,$H881,FXMode)*Scale,"--"))</f>
        <v>--</v>
      </c>
      <c r="M881" s="2301" t="str">
        <f>IF($G881=0,"--",IFERROR(_xll.ciqfunctions.udf.CIQ($G881,$I881,M103,Valuation_Date_GC,ReportType,DataMode,$H881,FXMode)*Scale,"--"))</f>
        <v>--</v>
      </c>
      <c r="N881" s="2301" t="str">
        <f>IF($G881=0,"--",IFERROR(_xll.ciqfunctions.udf.CIQ($G881,$I881,N103,Valuation_Date_GC,ReportType,DataMode,$H881,FXMode)*Scale,"--"))</f>
        <v>--</v>
      </c>
      <c r="O881" s="1471" t="str">
        <f>IF($G881=0,"--",IFERROR(_xll.ciqfunctions.udf.CIQ($G881,$I881,O103,Valuation_Date_GC,ReportType,DataMode,$H881,FXMode)*Scale,"--"))</f>
        <v>--</v>
      </c>
      <c r="P881" s="2301" t="str">
        <f>IF($G881=0,"--",IFERROR(_xll.ciqfunctions.udf.CIQ($G881,$I881,P103,Valuation_Date_GC,ReportType,DataMode,$H881,FXMode)*Scale,"--"))</f>
        <v>--</v>
      </c>
      <c r="R881" s="255"/>
    </row>
    <row r="882" spans="1:18" s="89" customFormat="1" ht="13.9">
      <c r="A882" s="269" t="str">
        <f t="shared" si="200"/>
        <v>n</v>
      </c>
      <c r="B882" s="2060"/>
      <c r="C882" s="72"/>
      <c r="D882" s="801"/>
      <c r="E882" s="1505">
        <v>5</v>
      </c>
      <c r="F882" s="21" t="str">
        <f>F$133</f>
        <v>--</v>
      </c>
      <c r="G882" s="1441">
        <f>G$133</f>
        <v>0</v>
      </c>
      <c r="H882" s="1441" t="str">
        <f>H$133</f>
        <v>--</v>
      </c>
      <c r="I882" s="89" t="s">
        <v>821</v>
      </c>
      <c r="J882" s="2301" t="str">
        <f>IF($G882=0,"--",IFERROR(_xll.ciqfunctions.udf.CIQ($G882,$I882,J104,Valuation_Date_GC,ReportType,DataMode,$H882,FXMode)*Scale,"--"))</f>
        <v>--</v>
      </c>
      <c r="K882" s="2301" t="str">
        <f>IF($G882=0,"--",IFERROR(_xll.ciqfunctions.udf.CIQ($G882,$I882,K104,Valuation_Date_GC,ReportType,DataMode,$H882,FXMode)*Scale,"--"))</f>
        <v>--</v>
      </c>
      <c r="L882" s="2301" t="str">
        <f>IF($G882=0,"--",IFERROR(_xll.ciqfunctions.udf.CIQ($G882,$I882,L104,Valuation_Date_GC,ReportType,DataMode,$H882,FXMode)*Scale,"--"))</f>
        <v>--</v>
      </c>
      <c r="M882" s="2301" t="str">
        <f>IF($G882=0,"--",IFERROR(_xll.ciqfunctions.udf.CIQ($G882,$I882,M104,Valuation_Date_GC,ReportType,DataMode,$H882,FXMode)*Scale,"--"))</f>
        <v>--</v>
      </c>
      <c r="N882" s="2301" t="str">
        <f>IF($G882=0,"--",IFERROR(_xll.ciqfunctions.udf.CIQ($G882,$I882,N104,Valuation_Date_GC,ReportType,DataMode,$H882,FXMode)*Scale,"--"))</f>
        <v>--</v>
      </c>
      <c r="O882" s="1471" t="str">
        <f>IF($G882=0,"--",IFERROR(_xll.ciqfunctions.udf.CIQ($G882,$I882,O104,Valuation_Date_GC,ReportType,DataMode,$H882,FXMode)*Scale,"--"))</f>
        <v>--</v>
      </c>
      <c r="P882" s="2301" t="str">
        <f>IF($G882=0,"--",IFERROR(_xll.ciqfunctions.udf.CIQ($G882,$I882,P104,Valuation_Date_GC,ReportType,DataMode,$H882,FXMode)*Scale,"--"))</f>
        <v>--</v>
      </c>
      <c r="R882" s="255"/>
    </row>
    <row r="883" spans="1:18" s="89" customFormat="1" ht="13.9">
      <c r="A883" s="269" t="str">
        <f t="shared" si="200"/>
        <v>n</v>
      </c>
      <c r="B883" s="2060"/>
      <c r="C883" s="72"/>
      <c r="D883" s="801"/>
      <c r="E883" s="1505">
        <v>6</v>
      </c>
      <c r="F883" s="21" t="str">
        <f>F$134</f>
        <v>--</v>
      </c>
      <c r="G883" s="1441">
        <f>G$134</f>
        <v>0</v>
      </c>
      <c r="H883" s="1441" t="str">
        <f>H$134</f>
        <v>--</v>
      </c>
      <c r="I883" s="89" t="s">
        <v>821</v>
      </c>
      <c r="J883" s="2301" t="str">
        <f>IF($G883=0,"--",IFERROR(_xll.ciqfunctions.udf.CIQ($G883,$I883,J105,Valuation_Date_GC,ReportType,DataMode,$H883,FXMode)*Scale,"--"))</f>
        <v>--</v>
      </c>
      <c r="K883" s="2301" t="str">
        <f>IF($G883=0,"--",IFERROR(_xll.ciqfunctions.udf.CIQ($G883,$I883,K105,Valuation_Date_GC,ReportType,DataMode,$H883,FXMode)*Scale,"--"))</f>
        <v>--</v>
      </c>
      <c r="L883" s="2301" t="str">
        <f>IF($G883=0,"--",IFERROR(_xll.ciqfunctions.udf.CIQ($G883,$I883,L105,Valuation_Date_GC,ReportType,DataMode,$H883,FXMode)*Scale,"--"))</f>
        <v>--</v>
      </c>
      <c r="M883" s="2301" t="str">
        <f>IF($G883=0,"--",IFERROR(_xll.ciqfunctions.udf.CIQ($G883,$I883,M105,Valuation_Date_GC,ReportType,DataMode,$H883,FXMode)*Scale,"--"))</f>
        <v>--</v>
      </c>
      <c r="N883" s="2301" t="str">
        <f>IF($G883=0,"--",IFERROR(_xll.ciqfunctions.udf.CIQ($G883,$I883,N105,Valuation_Date_GC,ReportType,DataMode,$H883,FXMode)*Scale,"--"))</f>
        <v>--</v>
      </c>
      <c r="O883" s="1471" t="str">
        <f>IF($G883=0,"--",IFERROR(_xll.ciqfunctions.udf.CIQ($G883,$I883,O105,Valuation_Date_GC,ReportType,DataMode,$H883,FXMode)*Scale,"--"))</f>
        <v>--</v>
      </c>
      <c r="P883" s="2301" t="str">
        <f>IF($G883=0,"--",IFERROR(_xll.ciqfunctions.udf.CIQ($G883,$I883,P105,Valuation_Date_GC,ReportType,DataMode,$H883,FXMode)*Scale,"--"))</f>
        <v>--</v>
      </c>
      <c r="R883" s="255"/>
    </row>
    <row r="884" spans="1:18" s="89" customFormat="1" ht="13.9">
      <c r="A884" s="269" t="str">
        <f t="shared" si="200"/>
        <v>n</v>
      </c>
      <c r="B884" s="2060"/>
      <c r="D884" s="801"/>
      <c r="E884" s="1505">
        <v>7</v>
      </c>
      <c r="F884" s="21" t="str">
        <f>F$135</f>
        <v>--</v>
      </c>
      <c r="G884" s="1441">
        <f>G$135</f>
        <v>0</v>
      </c>
      <c r="H884" s="1441" t="str">
        <f>H$135</f>
        <v>--</v>
      </c>
      <c r="I884" s="89" t="s">
        <v>821</v>
      </c>
      <c r="J884" s="2301" t="str">
        <f>IF($G884=0,"--",IFERROR(_xll.ciqfunctions.udf.CIQ($G884,$I884,J106,Valuation_Date_GC,ReportType,DataMode,$H884,FXMode)*Scale,"--"))</f>
        <v>--</v>
      </c>
      <c r="K884" s="2301" t="str">
        <f>IF($G884=0,"--",IFERROR(_xll.ciqfunctions.udf.CIQ($G884,$I884,K106,Valuation_Date_GC,ReportType,DataMode,$H884,FXMode)*Scale,"--"))</f>
        <v>--</v>
      </c>
      <c r="L884" s="2301" t="str">
        <f>IF($G884=0,"--",IFERROR(_xll.ciqfunctions.udf.CIQ($G884,$I884,L106,Valuation_Date_GC,ReportType,DataMode,$H884,FXMode)*Scale,"--"))</f>
        <v>--</v>
      </c>
      <c r="M884" s="2301" t="str">
        <f>IF($G884=0,"--",IFERROR(_xll.ciqfunctions.udf.CIQ($G884,$I884,M106,Valuation_Date_GC,ReportType,DataMode,$H884,FXMode)*Scale,"--"))</f>
        <v>--</v>
      </c>
      <c r="N884" s="2301" t="str">
        <f>IF($G884=0,"--",IFERROR(_xll.ciqfunctions.udf.CIQ($G884,$I884,N106,Valuation_Date_GC,ReportType,DataMode,$H884,FXMode)*Scale,"--"))</f>
        <v>--</v>
      </c>
      <c r="O884" s="1471" t="str">
        <f>IF($G884=0,"--",IFERROR(_xll.ciqfunctions.udf.CIQ($G884,$I884,O106,Valuation_Date_GC,ReportType,DataMode,$H884,FXMode)*Scale,"--"))</f>
        <v>--</v>
      </c>
      <c r="P884" s="2301" t="str">
        <f>IF($G884=0,"--",IFERROR(_xll.ciqfunctions.udf.CIQ($G884,$I884,P106,Valuation_Date_GC,ReportType,DataMode,$H884,FXMode)*Scale,"--"))</f>
        <v>--</v>
      </c>
      <c r="R884" s="255"/>
    </row>
    <row r="885" spans="1:18" s="89" customFormat="1" ht="13.9">
      <c r="A885" s="269" t="str">
        <f t="shared" si="200"/>
        <v>n</v>
      </c>
      <c r="B885" s="2060"/>
      <c r="D885" s="801"/>
      <c r="E885" s="1505">
        <v>8</v>
      </c>
      <c r="F885" s="21" t="str">
        <f>F$136</f>
        <v>--</v>
      </c>
      <c r="G885" s="1441">
        <f>G$136</f>
        <v>0</v>
      </c>
      <c r="H885" s="1441" t="str">
        <f>H$136</f>
        <v>--</v>
      </c>
      <c r="I885" s="89" t="s">
        <v>821</v>
      </c>
      <c r="J885" s="2301" t="str">
        <f>IF($G885=0,"--",IFERROR(_xll.ciqfunctions.udf.CIQ($G885,$I885,J107,Valuation_Date_GC,ReportType,DataMode,$H885,FXMode)*Scale,"--"))</f>
        <v>--</v>
      </c>
      <c r="K885" s="2301" t="str">
        <f>IF($G885=0,"--",IFERROR(_xll.ciqfunctions.udf.CIQ($G885,$I885,K107,Valuation_Date_GC,ReportType,DataMode,$H885,FXMode)*Scale,"--"))</f>
        <v>--</v>
      </c>
      <c r="L885" s="2301" t="str">
        <f>IF($G885=0,"--",IFERROR(_xll.ciqfunctions.udf.CIQ($G885,$I885,L107,Valuation_Date_GC,ReportType,DataMode,$H885,FXMode)*Scale,"--"))</f>
        <v>--</v>
      </c>
      <c r="M885" s="2301" t="str">
        <f>IF($G885=0,"--",IFERROR(_xll.ciqfunctions.udf.CIQ($G885,$I885,M107,Valuation_Date_GC,ReportType,DataMode,$H885,FXMode)*Scale,"--"))</f>
        <v>--</v>
      </c>
      <c r="N885" s="2301" t="str">
        <f>IF($G885=0,"--",IFERROR(_xll.ciqfunctions.udf.CIQ($G885,$I885,N107,Valuation_Date_GC,ReportType,DataMode,$H885,FXMode)*Scale,"--"))</f>
        <v>--</v>
      </c>
      <c r="O885" s="1471" t="str">
        <f>IF($G885=0,"--",IFERROR(_xll.ciqfunctions.udf.CIQ($G885,$I885,O107,Valuation_Date_GC,ReportType,DataMode,$H885,FXMode)*Scale,"--"))</f>
        <v>--</v>
      </c>
      <c r="P885" s="2301" t="str">
        <f>IF($G885=0,"--",IFERROR(_xll.ciqfunctions.udf.CIQ($G885,$I885,P107,Valuation_Date_GC,ReportType,DataMode,$H885,FXMode)*Scale,"--"))</f>
        <v>--</v>
      </c>
      <c r="R885" s="255"/>
    </row>
    <row r="886" spans="1:18" s="89" customFormat="1" ht="13.9">
      <c r="A886" s="269" t="str">
        <f t="shared" si="200"/>
        <v>n</v>
      </c>
      <c r="B886" s="2060"/>
      <c r="D886" s="801"/>
      <c r="E886" s="1505">
        <v>9</v>
      </c>
      <c r="F886" s="21" t="str">
        <f>F$137</f>
        <v>--</v>
      </c>
      <c r="G886" s="1441">
        <f>G$137</f>
        <v>0</v>
      </c>
      <c r="H886" s="1441" t="str">
        <f>H$137</f>
        <v>--</v>
      </c>
      <c r="I886" s="89" t="s">
        <v>821</v>
      </c>
      <c r="J886" s="2301" t="str">
        <f>IF($G886=0,"--",IFERROR(_xll.ciqfunctions.udf.CIQ($G886,$I886,J108,Valuation_Date_GC,ReportType,DataMode,$H886,FXMode)*Scale,"--"))</f>
        <v>--</v>
      </c>
      <c r="K886" s="2301" t="str">
        <f>IF($G886=0,"--",IFERROR(_xll.ciqfunctions.udf.CIQ($G886,$I886,K108,Valuation_Date_GC,ReportType,DataMode,$H886,FXMode)*Scale,"--"))</f>
        <v>--</v>
      </c>
      <c r="L886" s="2301" t="str">
        <f>IF($G886=0,"--",IFERROR(_xll.ciqfunctions.udf.CIQ($G886,$I886,L108,Valuation_Date_GC,ReportType,DataMode,$H886,FXMode)*Scale,"--"))</f>
        <v>--</v>
      </c>
      <c r="M886" s="2301" t="str">
        <f>IF($G886=0,"--",IFERROR(_xll.ciqfunctions.udf.CIQ($G886,$I886,M108,Valuation_Date_GC,ReportType,DataMode,$H886,FXMode)*Scale,"--"))</f>
        <v>--</v>
      </c>
      <c r="N886" s="2301" t="str">
        <f>IF($G886=0,"--",IFERROR(_xll.ciqfunctions.udf.CIQ($G886,$I886,N108,Valuation_Date_GC,ReportType,DataMode,$H886,FXMode)*Scale,"--"))</f>
        <v>--</v>
      </c>
      <c r="O886" s="1471" t="str">
        <f>IF($G886=0,"--",IFERROR(_xll.ciqfunctions.udf.CIQ($G886,$I886,O108,Valuation_Date_GC,ReportType,DataMode,$H886,FXMode)*Scale,"--"))</f>
        <v>--</v>
      </c>
      <c r="P886" s="2301" t="str">
        <f>IF($G886=0,"--",IFERROR(_xll.ciqfunctions.udf.CIQ($G886,$I886,P108,Valuation_Date_GC,ReportType,DataMode,$H886,FXMode)*Scale,"--"))</f>
        <v>--</v>
      </c>
      <c r="R886" s="255"/>
    </row>
    <row r="887" spans="1:18" s="89" customFormat="1" ht="13.9">
      <c r="A887" s="269" t="str">
        <f t="shared" si="200"/>
        <v>n</v>
      </c>
      <c r="B887" s="2060"/>
      <c r="D887" s="801"/>
      <c r="E887" s="1505">
        <v>10</v>
      </c>
      <c r="F887" s="21" t="str">
        <f>F$138</f>
        <v>--</v>
      </c>
      <c r="G887" s="1441">
        <f>G$138</f>
        <v>0</v>
      </c>
      <c r="H887" s="1441" t="str">
        <f>H$138</f>
        <v>--</v>
      </c>
      <c r="I887" s="89" t="s">
        <v>821</v>
      </c>
      <c r="J887" s="2301" t="str">
        <f>IF($G887=0,"--",IFERROR(_xll.ciqfunctions.udf.CIQ($G887,$I887,J109,Valuation_Date_GC,ReportType,DataMode,$H887,FXMode)*Scale,"--"))</f>
        <v>--</v>
      </c>
      <c r="K887" s="2301" t="str">
        <f>IF($G887=0,"--",IFERROR(_xll.ciqfunctions.udf.CIQ($G887,$I887,K109,Valuation_Date_GC,ReportType,DataMode,$H887,FXMode)*Scale,"--"))</f>
        <v>--</v>
      </c>
      <c r="L887" s="2301" t="str">
        <f>IF($G887=0,"--",IFERROR(_xll.ciqfunctions.udf.CIQ($G887,$I887,L109,Valuation_Date_GC,ReportType,DataMode,$H887,FXMode)*Scale,"--"))</f>
        <v>--</v>
      </c>
      <c r="M887" s="2301" t="str">
        <f>IF($G887=0,"--",IFERROR(_xll.ciqfunctions.udf.CIQ($G887,$I887,M109,Valuation_Date_GC,ReportType,DataMode,$H887,FXMode)*Scale,"--"))</f>
        <v>--</v>
      </c>
      <c r="N887" s="2301" t="str">
        <f>IF($G887=0,"--",IFERROR(_xll.ciqfunctions.udf.CIQ($G887,$I887,N109,Valuation_Date_GC,ReportType,DataMode,$H887,FXMode)*Scale,"--"))</f>
        <v>--</v>
      </c>
      <c r="O887" s="1471" t="str">
        <f>IF($G887=0,"--",IFERROR(_xll.ciqfunctions.udf.CIQ($G887,$I887,O109,Valuation_Date_GC,ReportType,DataMode,$H887,FXMode)*Scale,"--"))</f>
        <v>--</v>
      </c>
      <c r="P887" s="2301" t="str">
        <f>IF($G887=0,"--",IFERROR(_xll.ciqfunctions.udf.CIQ($G887,$I887,P109,Valuation_Date_GC,ReportType,DataMode,$H887,FXMode)*Scale,"--"))</f>
        <v>--</v>
      </c>
      <c r="R887" s="255"/>
    </row>
    <row r="888" spans="1:18" s="89" customFormat="1" ht="13.9">
      <c r="A888" s="269" t="str">
        <f t="shared" si="200"/>
        <v>n</v>
      </c>
      <c r="B888" s="2060"/>
      <c r="D888" s="801"/>
      <c r="E888" s="1505">
        <v>11</v>
      </c>
      <c r="F888" s="21" t="str">
        <f>F$139</f>
        <v>--</v>
      </c>
      <c r="G888" s="1441">
        <f>G$139</f>
        <v>0</v>
      </c>
      <c r="H888" s="1441" t="str">
        <f>H$139</f>
        <v>--</v>
      </c>
      <c r="I888" s="89" t="s">
        <v>821</v>
      </c>
      <c r="J888" s="2301" t="str">
        <f>IF($G888=0,"--",IFERROR(_xll.ciqfunctions.udf.CIQ($G888,$I888,J110,Valuation_Date_GC,ReportType,DataMode,$H888,FXMode)*Scale,"--"))</f>
        <v>--</v>
      </c>
      <c r="K888" s="2301" t="str">
        <f>IF($G888=0,"--",IFERROR(_xll.ciqfunctions.udf.CIQ($G888,$I888,K110,Valuation_Date_GC,ReportType,DataMode,$H888,FXMode)*Scale,"--"))</f>
        <v>--</v>
      </c>
      <c r="L888" s="2301" t="str">
        <f>IF($G888=0,"--",IFERROR(_xll.ciqfunctions.udf.CIQ($G888,$I888,L110,Valuation_Date_GC,ReportType,DataMode,$H888,FXMode)*Scale,"--"))</f>
        <v>--</v>
      </c>
      <c r="M888" s="2301" t="str">
        <f>IF($G888=0,"--",IFERROR(_xll.ciqfunctions.udf.CIQ($G888,$I888,M110,Valuation_Date_GC,ReportType,DataMode,$H888,FXMode)*Scale,"--"))</f>
        <v>--</v>
      </c>
      <c r="N888" s="2301" t="str">
        <f>IF($G888=0,"--",IFERROR(_xll.ciqfunctions.udf.CIQ($G888,$I888,N110,Valuation_Date_GC,ReportType,DataMode,$H888,FXMode)*Scale,"--"))</f>
        <v>--</v>
      </c>
      <c r="O888" s="1471" t="str">
        <f>IF($G888=0,"--",IFERROR(_xll.ciqfunctions.udf.CIQ($G888,$I888,O110,Valuation_Date_GC,ReportType,DataMode,$H888,FXMode)*Scale,"--"))</f>
        <v>--</v>
      </c>
      <c r="P888" s="2301" t="str">
        <f>IF($G888=0,"--",IFERROR(_xll.ciqfunctions.udf.CIQ($G888,$I888,P110,Valuation_Date_GC,ReportType,DataMode,$H888,FXMode)*Scale,"--"))</f>
        <v>--</v>
      </c>
      <c r="R888" s="255"/>
    </row>
    <row r="889" spans="1:18" s="89" customFormat="1" ht="13.9">
      <c r="A889" s="269" t="str">
        <f t="shared" si="200"/>
        <v>n</v>
      </c>
      <c r="B889" s="2060"/>
      <c r="D889" s="801"/>
      <c r="E889" s="1505">
        <v>12</v>
      </c>
      <c r="F889" s="21" t="str">
        <f>F$140</f>
        <v>--</v>
      </c>
      <c r="G889" s="1441">
        <f>G$140</f>
        <v>0</v>
      </c>
      <c r="H889" s="1441" t="str">
        <f>H$140</f>
        <v>--</v>
      </c>
      <c r="I889" s="89" t="s">
        <v>821</v>
      </c>
      <c r="J889" s="2301" t="str">
        <f>IF($G889=0,"--",IFERROR(_xll.ciqfunctions.udf.CIQ($G889,$I889,J111,Valuation_Date_GC,ReportType,DataMode,$H889,FXMode)*Scale,"--"))</f>
        <v>--</v>
      </c>
      <c r="K889" s="2301" t="str">
        <f>IF($G889=0,"--",IFERROR(_xll.ciqfunctions.udf.CIQ($G889,$I889,K111,Valuation_Date_GC,ReportType,DataMode,$H889,FXMode)*Scale,"--"))</f>
        <v>--</v>
      </c>
      <c r="L889" s="2301" t="str">
        <f>IF($G889=0,"--",IFERROR(_xll.ciqfunctions.udf.CIQ($G889,$I889,L111,Valuation_Date_GC,ReportType,DataMode,$H889,FXMode)*Scale,"--"))</f>
        <v>--</v>
      </c>
      <c r="M889" s="2301" t="str">
        <f>IF($G889=0,"--",IFERROR(_xll.ciqfunctions.udf.CIQ($G889,$I889,M111,Valuation_Date_GC,ReportType,DataMode,$H889,FXMode)*Scale,"--"))</f>
        <v>--</v>
      </c>
      <c r="N889" s="2301" t="str">
        <f>IF($G889=0,"--",IFERROR(_xll.ciqfunctions.udf.CIQ($G889,$I889,N111,Valuation_Date_GC,ReportType,DataMode,$H889,FXMode)*Scale,"--"))</f>
        <v>--</v>
      </c>
      <c r="O889" s="1471" t="str">
        <f>IF($G889=0,"--",IFERROR(_xll.ciqfunctions.udf.CIQ($G889,$I889,O111,Valuation_Date_GC,ReportType,DataMode,$H889,FXMode)*Scale,"--"))</f>
        <v>--</v>
      </c>
      <c r="P889" s="2301" t="str">
        <f>IF($G889=0,"--",IFERROR(_xll.ciqfunctions.udf.CIQ($G889,$I889,P111,Valuation_Date_GC,ReportType,DataMode,$H889,FXMode)*Scale,"--"))</f>
        <v>--</v>
      </c>
      <c r="R889" s="255"/>
    </row>
    <row r="890" spans="1:18" s="89" customFormat="1" ht="13.9">
      <c r="A890" s="269" t="str">
        <f t="shared" si="200"/>
        <v>n</v>
      </c>
      <c r="B890" s="2060"/>
      <c r="D890" s="801"/>
      <c r="E890" s="1505">
        <v>13</v>
      </c>
      <c r="F890" s="21" t="str">
        <f>F$141</f>
        <v>--</v>
      </c>
      <c r="G890" s="1441">
        <f>G$141</f>
        <v>0</v>
      </c>
      <c r="H890" s="1441" t="str">
        <f>H$141</f>
        <v>--</v>
      </c>
      <c r="I890" s="89" t="s">
        <v>821</v>
      </c>
      <c r="J890" s="2301" t="str">
        <f>IF($G890=0,"--",IFERROR(_xll.ciqfunctions.udf.CIQ($G890,$I890,J112,Valuation_Date_GC,ReportType,DataMode,$H890,FXMode)*Scale,"--"))</f>
        <v>--</v>
      </c>
      <c r="K890" s="2301" t="str">
        <f>IF($G890=0,"--",IFERROR(_xll.ciqfunctions.udf.CIQ($G890,$I890,K112,Valuation_Date_GC,ReportType,DataMode,$H890,FXMode)*Scale,"--"))</f>
        <v>--</v>
      </c>
      <c r="L890" s="2301" t="str">
        <f>IF($G890=0,"--",IFERROR(_xll.ciqfunctions.udf.CIQ($G890,$I890,L112,Valuation_Date_GC,ReportType,DataMode,$H890,FXMode)*Scale,"--"))</f>
        <v>--</v>
      </c>
      <c r="M890" s="2301" t="str">
        <f>IF($G890=0,"--",IFERROR(_xll.ciqfunctions.udf.CIQ($G890,$I890,M112,Valuation_Date_GC,ReportType,DataMode,$H890,FXMode)*Scale,"--"))</f>
        <v>--</v>
      </c>
      <c r="N890" s="2301" t="str">
        <f>IF($G890=0,"--",IFERROR(_xll.ciqfunctions.udf.CIQ($G890,$I890,N112,Valuation_Date_GC,ReportType,DataMode,$H890,FXMode)*Scale,"--"))</f>
        <v>--</v>
      </c>
      <c r="O890" s="1471" t="str">
        <f>IF($G890=0,"--",IFERROR(_xll.ciqfunctions.udf.CIQ($G890,$I890,O112,Valuation_Date_GC,ReportType,DataMode,$H890,FXMode)*Scale,"--"))</f>
        <v>--</v>
      </c>
      <c r="P890" s="2301" t="str">
        <f>IF($G890=0,"--",IFERROR(_xll.ciqfunctions.udf.CIQ($G890,$I890,P112,Valuation_Date_GC,ReportType,DataMode,$H890,FXMode)*Scale,"--"))</f>
        <v>--</v>
      </c>
      <c r="R890" s="255"/>
    </row>
    <row r="891" spans="1:18" s="89" customFormat="1" ht="13.9">
      <c r="A891" s="269" t="str">
        <f t="shared" si="200"/>
        <v>n</v>
      </c>
      <c r="B891" s="2060"/>
      <c r="D891" s="801"/>
      <c r="E891" s="1505">
        <v>14</v>
      </c>
      <c r="F891" s="21" t="str">
        <f>F$142</f>
        <v>--</v>
      </c>
      <c r="G891" s="1441">
        <f>G$142</f>
        <v>0</v>
      </c>
      <c r="H891" s="1441" t="str">
        <f>H$142</f>
        <v>--</v>
      </c>
      <c r="I891" s="89" t="s">
        <v>821</v>
      </c>
      <c r="J891" s="2301" t="str">
        <f>IF($G891=0,"--",IFERROR(_xll.ciqfunctions.udf.CIQ($G891,$I891,J113,Valuation_Date_GC,ReportType,DataMode,$H891,FXMode)*Scale,"--"))</f>
        <v>--</v>
      </c>
      <c r="K891" s="2301" t="str">
        <f>IF($G891=0,"--",IFERROR(_xll.ciqfunctions.udf.CIQ($G891,$I891,K113,Valuation_Date_GC,ReportType,DataMode,$H891,FXMode)*Scale,"--"))</f>
        <v>--</v>
      </c>
      <c r="L891" s="2301" t="str">
        <f>IF($G891=0,"--",IFERROR(_xll.ciqfunctions.udf.CIQ($G891,$I891,L113,Valuation_Date_GC,ReportType,DataMode,$H891,FXMode)*Scale,"--"))</f>
        <v>--</v>
      </c>
      <c r="M891" s="2301" t="str">
        <f>IF($G891=0,"--",IFERROR(_xll.ciqfunctions.udf.CIQ($G891,$I891,M113,Valuation_Date_GC,ReportType,DataMode,$H891,FXMode)*Scale,"--"))</f>
        <v>--</v>
      </c>
      <c r="N891" s="2301" t="str">
        <f>IF($G891=0,"--",IFERROR(_xll.ciqfunctions.udf.CIQ($G891,$I891,N113,Valuation_Date_GC,ReportType,DataMode,$H891,FXMode)*Scale,"--"))</f>
        <v>--</v>
      </c>
      <c r="O891" s="1471" t="str">
        <f>IF($G891=0,"--",IFERROR(_xll.ciqfunctions.udf.CIQ($G891,$I891,O113,Valuation_Date_GC,ReportType,DataMode,$H891,FXMode)*Scale,"--"))</f>
        <v>--</v>
      </c>
      <c r="P891" s="2301" t="str">
        <f>IF($G891=0,"--",IFERROR(_xll.ciqfunctions.udf.CIQ($G891,$I891,P113,Valuation_Date_GC,ReportType,DataMode,$H891,FXMode)*Scale,"--"))</f>
        <v>--</v>
      </c>
      <c r="R891" s="255"/>
    </row>
    <row r="892" spans="1:18" s="89" customFormat="1" ht="13.9">
      <c r="A892" s="269" t="str">
        <f t="shared" si="200"/>
        <v>n</v>
      </c>
      <c r="B892" s="2060"/>
      <c r="D892" s="801"/>
      <c r="E892" s="1505">
        <v>15</v>
      </c>
      <c r="F892" s="21" t="str">
        <f>F$143</f>
        <v>--</v>
      </c>
      <c r="G892" s="1441">
        <f>G$143</f>
        <v>0</v>
      </c>
      <c r="H892" s="1441" t="str">
        <f>H$143</f>
        <v>--</v>
      </c>
      <c r="I892" s="89" t="s">
        <v>821</v>
      </c>
      <c r="J892" s="2301" t="str">
        <f>IF($G892=0,"--",IFERROR(_xll.ciqfunctions.udf.CIQ($G892,$I892,J114,Valuation_Date_GC,ReportType,DataMode,$H892,FXMode)*Scale,"--"))</f>
        <v>--</v>
      </c>
      <c r="K892" s="2301" t="str">
        <f>IF($G892=0,"--",IFERROR(_xll.ciqfunctions.udf.CIQ($G892,$I892,K114,Valuation_Date_GC,ReportType,DataMode,$H892,FXMode)*Scale,"--"))</f>
        <v>--</v>
      </c>
      <c r="L892" s="2301" t="str">
        <f>IF($G892=0,"--",IFERROR(_xll.ciqfunctions.udf.CIQ($G892,$I892,L114,Valuation_Date_GC,ReportType,DataMode,$H892,FXMode)*Scale,"--"))</f>
        <v>--</v>
      </c>
      <c r="M892" s="2301" t="str">
        <f>IF($G892=0,"--",IFERROR(_xll.ciqfunctions.udf.CIQ($G892,$I892,M114,Valuation_Date_GC,ReportType,DataMode,$H892,FXMode)*Scale,"--"))</f>
        <v>--</v>
      </c>
      <c r="N892" s="2301" t="str">
        <f>IF($G892=0,"--",IFERROR(_xll.ciqfunctions.udf.CIQ($G892,$I892,N114,Valuation_Date_GC,ReportType,DataMode,$H892,FXMode)*Scale,"--"))</f>
        <v>--</v>
      </c>
      <c r="O892" s="1471" t="str">
        <f>IF($G892=0,"--",IFERROR(_xll.ciqfunctions.udf.CIQ($G892,$I892,O114,Valuation_Date_GC,ReportType,DataMode,$H892,FXMode)*Scale,"--"))</f>
        <v>--</v>
      </c>
      <c r="P892" s="2301" t="str">
        <f>IF($G892=0,"--",IFERROR(_xll.ciqfunctions.udf.CIQ($G892,$I892,P114,Valuation_Date_GC,ReportType,DataMode,$H892,FXMode)*Scale,"--"))</f>
        <v>--</v>
      </c>
      <c r="R892" s="255"/>
    </row>
    <row r="893" spans="1:18" s="89" customFormat="1" ht="13.9">
      <c r="A893" s="269" t="str">
        <f t="shared" si="200"/>
        <v>n</v>
      </c>
      <c r="B893" s="2060"/>
      <c r="D893" s="801"/>
      <c r="E893" s="1505">
        <v>16</v>
      </c>
      <c r="F893" s="21" t="str">
        <f>F$144</f>
        <v>--</v>
      </c>
      <c r="G893" s="1441">
        <f>G$144</f>
        <v>0</v>
      </c>
      <c r="H893" s="1441" t="str">
        <f>H$144</f>
        <v>--</v>
      </c>
      <c r="I893" s="89" t="s">
        <v>821</v>
      </c>
      <c r="J893" s="2301" t="str">
        <f>IF($G893=0,"--",IFERROR(_xll.ciqfunctions.udf.CIQ($G893,$I893,J115,Valuation_Date_GC,ReportType,DataMode,$H893,FXMode)*Scale,"--"))</f>
        <v>--</v>
      </c>
      <c r="K893" s="2301" t="str">
        <f>IF($G893=0,"--",IFERROR(_xll.ciqfunctions.udf.CIQ($G893,$I893,K115,Valuation_Date_GC,ReportType,DataMode,$H893,FXMode)*Scale,"--"))</f>
        <v>--</v>
      </c>
      <c r="L893" s="2301" t="str">
        <f>IF($G893=0,"--",IFERROR(_xll.ciqfunctions.udf.CIQ($G893,$I893,L115,Valuation_Date_GC,ReportType,DataMode,$H893,FXMode)*Scale,"--"))</f>
        <v>--</v>
      </c>
      <c r="M893" s="2301" t="str">
        <f>IF($G893=0,"--",IFERROR(_xll.ciqfunctions.udf.CIQ($G893,$I893,M115,Valuation_Date_GC,ReportType,DataMode,$H893,FXMode)*Scale,"--"))</f>
        <v>--</v>
      </c>
      <c r="N893" s="2301" t="str">
        <f>IF($G893=0,"--",IFERROR(_xll.ciqfunctions.udf.CIQ($G893,$I893,N115,Valuation_Date_GC,ReportType,DataMode,$H893,FXMode)*Scale,"--"))</f>
        <v>--</v>
      </c>
      <c r="O893" s="1471" t="str">
        <f>IF($G893=0,"--",IFERROR(_xll.ciqfunctions.udf.CIQ($G893,$I893,O115,Valuation_Date_GC,ReportType,DataMode,$H893,FXMode)*Scale,"--"))</f>
        <v>--</v>
      </c>
      <c r="P893" s="2301" t="str">
        <f>IF($G893=0,"--",IFERROR(_xll.ciqfunctions.udf.CIQ($G893,$I893,P115,Valuation_Date_GC,ReportType,DataMode,$H893,FXMode)*Scale,"--"))</f>
        <v>--</v>
      </c>
      <c r="R893" s="255"/>
    </row>
    <row r="894" spans="1:18" s="89" customFormat="1" ht="13.9">
      <c r="A894" s="269" t="str">
        <f t="shared" si="200"/>
        <v>n</v>
      </c>
      <c r="B894" s="2060"/>
      <c r="D894" s="801"/>
      <c r="E894" s="1505">
        <v>17</v>
      </c>
      <c r="F894" s="21" t="str">
        <f>F$145</f>
        <v>--</v>
      </c>
      <c r="G894" s="1441">
        <f>G$145</f>
        <v>0</v>
      </c>
      <c r="H894" s="1441" t="str">
        <f>H$145</f>
        <v>--</v>
      </c>
      <c r="I894" s="89" t="s">
        <v>821</v>
      </c>
      <c r="J894" s="2301" t="str">
        <f>IF($G894=0,"--",IFERROR(_xll.ciqfunctions.udf.CIQ($G894,$I894,J116,Valuation_Date_GC,ReportType,DataMode,$H894,FXMode)*Scale,"--"))</f>
        <v>--</v>
      </c>
      <c r="K894" s="2301" t="str">
        <f>IF($G894=0,"--",IFERROR(_xll.ciqfunctions.udf.CIQ($G894,$I894,K116,Valuation_Date_GC,ReportType,DataMode,$H894,FXMode)*Scale,"--"))</f>
        <v>--</v>
      </c>
      <c r="L894" s="2301" t="str">
        <f>IF($G894=0,"--",IFERROR(_xll.ciqfunctions.udf.CIQ($G894,$I894,L116,Valuation_Date_GC,ReportType,DataMode,$H894,FXMode)*Scale,"--"))</f>
        <v>--</v>
      </c>
      <c r="M894" s="2301" t="str">
        <f>IF($G894=0,"--",IFERROR(_xll.ciqfunctions.udf.CIQ($G894,$I894,M116,Valuation_Date_GC,ReportType,DataMode,$H894,FXMode)*Scale,"--"))</f>
        <v>--</v>
      </c>
      <c r="N894" s="2301" t="str">
        <f>IF($G894=0,"--",IFERROR(_xll.ciqfunctions.udf.CIQ($G894,$I894,N116,Valuation_Date_GC,ReportType,DataMode,$H894,FXMode)*Scale,"--"))</f>
        <v>--</v>
      </c>
      <c r="O894" s="1471" t="str">
        <f>IF($G894=0,"--",IFERROR(_xll.ciqfunctions.udf.CIQ($G894,$I894,O116,Valuation_Date_GC,ReportType,DataMode,$H894,FXMode)*Scale,"--"))</f>
        <v>--</v>
      </c>
      <c r="P894" s="2301" t="str">
        <f>IF($G894=0,"--",IFERROR(_xll.ciqfunctions.udf.CIQ($G894,$I894,P116,Valuation_Date_GC,ReportType,DataMode,$H894,FXMode)*Scale,"--"))</f>
        <v>--</v>
      </c>
      <c r="R894" s="255"/>
    </row>
    <row r="895" spans="1:18" s="89" customFormat="1" ht="13.9">
      <c r="A895" s="269" t="str">
        <f t="shared" si="200"/>
        <v>n</v>
      </c>
      <c r="B895" s="2060"/>
      <c r="D895" s="801"/>
      <c r="E895" s="1505">
        <v>18</v>
      </c>
      <c r="F895" s="21" t="str">
        <f>F$146</f>
        <v>--</v>
      </c>
      <c r="G895" s="1441">
        <f>G$146</f>
        <v>0</v>
      </c>
      <c r="H895" s="1441" t="str">
        <f>H$146</f>
        <v>--</v>
      </c>
      <c r="I895" s="89" t="s">
        <v>821</v>
      </c>
      <c r="J895" s="2301" t="str">
        <f>IF($G895=0,"--",IFERROR(_xll.ciqfunctions.udf.CIQ($G895,$I895,J117,Valuation_Date_GC,ReportType,DataMode,$H895,FXMode)*Scale,"--"))</f>
        <v>--</v>
      </c>
      <c r="K895" s="2301" t="str">
        <f>IF($G895=0,"--",IFERROR(_xll.ciqfunctions.udf.CIQ($G895,$I895,K117,Valuation_Date_GC,ReportType,DataMode,$H895,FXMode)*Scale,"--"))</f>
        <v>--</v>
      </c>
      <c r="L895" s="2301" t="str">
        <f>IF($G895=0,"--",IFERROR(_xll.ciqfunctions.udf.CIQ($G895,$I895,L117,Valuation_Date_GC,ReportType,DataMode,$H895,FXMode)*Scale,"--"))</f>
        <v>--</v>
      </c>
      <c r="M895" s="2301" t="str">
        <f>IF($G895=0,"--",IFERROR(_xll.ciqfunctions.udf.CIQ($G895,$I895,M117,Valuation_Date_GC,ReportType,DataMode,$H895,FXMode)*Scale,"--"))</f>
        <v>--</v>
      </c>
      <c r="N895" s="2301" t="str">
        <f>IF($G895=0,"--",IFERROR(_xll.ciqfunctions.udf.CIQ($G895,$I895,N117,Valuation_Date_GC,ReportType,DataMode,$H895,FXMode)*Scale,"--"))</f>
        <v>--</v>
      </c>
      <c r="O895" s="1471" t="str">
        <f>IF($G895=0,"--",IFERROR(_xll.ciqfunctions.udf.CIQ($G895,$I895,O117,Valuation_Date_GC,ReportType,DataMode,$H895,FXMode)*Scale,"--"))</f>
        <v>--</v>
      </c>
      <c r="P895" s="2301" t="str">
        <f>IF($G895=0,"--",IFERROR(_xll.ciqfunctions.udf.CIQ($G895,$I895,P117,Valuation_Date_GC,ReportType,DataMode,$H895,FXMode)*Scale,"--"))</f>
        <v>--</v>
      </c>
      <c r="R895" s="255"/>
    </row>
    <row r="896" spans="1:18" s="89" customFormat="1" ht="13.9">
      <c r="A896" s="269" t="str">
        <f t="shared" si="200"/>
        <v>n</v>
      </c>
      <c r="B896" s="2060"/>
      <c r="D896" s="801"/>
      <c r="E896" s="1505">
        <v>19</v>
      </c>
      <c r="F896" s="21" t="str">
        <f>F$147</f>
        <v>--</v>
      </c>
      <c r="G896" s="1441">
        <f>G$147</f>
        <v>0</v>
      </c>
      <c r="H896" s="1441" t="str">
        <f>H$147</f>
        <v>--</v>
      </c>
      <c r="I896" s="89" t="s">
        <v>821</v>
      </c>
      <c r="J896" s="2301" t="str">
        <f>IF($G896=0,"--",IFERROR(_xll.ciqfunctions.udf.CIQ($G896,$I896,J118,Valuation_Date_GC,ReportType,DataMode,$H896,FXMode)*Scale,"--"))</f>
        <v>--</v>
      </c>
      <c r="K896" s="2301" t="str">
        <f>IF($G896=0,"--",IFERROR(_xll.ciqfunctions.udf.CIQ($G896,$I896,K118,Valuation_Date_GC,ReportType,DataMode,$H896,FXMode)*Scale,"--"))</f>
        <v>--</v>
      </c>
      <c r="L896" s="2301" t="str">
        <f>IF($G896=0,"--",IFERROR(_xll.ciqfunctions.udf.CIQ($G896,$I896,L118,Valuation_Date_GC,ReportType,DataMode,$H896,FXMode)*Scale,"--"))</f>
        <v>--</v>
      </c>
      <c r="M896" s="2301" t="str">
        <f>IF($G896=0,"--",IFERROR(_xll.ciqfunctions.udf.CIQ($G896,$I896,M118,Valuation_Date_GC,ReportType,DataMode,$H896,FXMode)*Scale,"--"))</f>
        <v>--</v>
      </c>
      <c r="N896" s="2301" t="str">
        <f>IF($G896=0,"--",IFERROR(_xll.ciqfunctions.udf.CIQ($G896,$I896,N118,Valuation_Date_GC,ReportType,DataMode,$H896,FXMode)*Scale,"--"))</f>
        <v>--</v>
      </c>
      <c r="O896" s="1471" t="str">
        <f>IF($G896=0,"--",IFERROR(_xll.ciqfunctions.udf.CIQ($G896,$I896,O118,Valuation_Date_GC,ReportType,DataMode,$H896,FXMode)*Scale,"--"))</f>
        <v>--</v>
      </c>
      <c r="P896" s="2301" t="str">
        <f>IF($G896=0,"--",IFERROR(_xll.ciqfunctions.udf.CIQ($G896,$I896,P118,Valuation_Date_GC,ReportType,DataMode,$H896,FXMode)*Scale,"--"))</f>
        <v>--</v>
      </c>
      <c r="R896" s="255"/>
    </row>
    <row r="897" spans="1:20" s="89" customFormat="1" ht="13.9">
      <c r="A897" s="269" t="str">
        <f t="shared" si="200"/>
        <v>n</v>
      </c>
      <c r="B897" s="2060"/>
      <c r="D897" s="801"/>
      <c r="E897" s="1505">
        <v>20</v>
      </c>
      <c r="F897" s="21" t="str">
        <f>F$148</f>
        <v>--</v>
      </c>
      <c r="G897" s="1441">
        <f>G$148</f>
        <v>0</v>
      </c>
      <c r="H897" s="1441" t="str">
        <f>H$148</f>
        <v>--</v>
      </c>
      <c r="I897" s="89" t="s">
        <v>821</v>
      </c>
      <c r="J897" s="2301" t="str">
        <f>IF($G897=0,"--",IFERROR(_xll.ciqfunctions.udf.CIQ($G897,$I897,J119,Valuation_Date_GC,ReportType,DataMode,$H897,FXMode)*Scale,"--"))</f>
        <v>--</v>
      </c>
      <c r="K897" s="2301" t="str">
        <f>IF($G897=0,"--",IFERROR(_xll.ciqfunctions.udf.CIQ($G897,$I897,K119,Valuation_Date_GC,ReportType,DataMode,$H897,FXMode)*Scale,"--"))</f>
        <v>--</v>
      </c>
      <c r="L897" s="2301" t="str">
        <f>IF($G897=0,"--",IFERROR(_xll.ciqfunctions.udf.CIQ($G897,$I897,L119,Valuation_Date_GC,ReportType,DataMode,$H897,FXMode)*Scale,"--"))</f>
        <v>--</v>
      </c>
      <c r="M897" s="2301" t="str">
        <f>IF($G897=0,"--",IFERROR(_xll.ciqfunctions.udf.CIQ($G897,$I897,M119,Valuation_Date_GC,ReportType,DataMode,$H897,FXMode)*Scale,"--"))</f>
        <v>--</v>
      </c>
      <c r="N897" s="2301" t="str">
        <f>IF($G897=0,"--",IFERROR(_xll.ciqfunctions.udf.CIQ($G897,$I897,N119,Valuation_Date_GC,ReportType,DataMode,$H897,FXMode)*Scale,"--"))</f>
        <v>--</v>
      </c>
      <c r="O897" s="1471" t="str">
        <f>IF($G897=0,"--",IFERROR(_xll.ciqfunctions.udf.CIQ($G897,$I897,O119,Valuation_Date_GC,ReportType,DataMode,$H897,FXMode)*Scale,"--"))</f>
        <v>--</v>
      </c>
      <c r="P897" s="2301" t="str">
        <f>IF($G897=0,"--",IFERROR(_xll.ciqfunctions.udf.CIQ($G897,$I897,P119,Valuation_Date_GC,ReportType,DataMode,$H897,FXMode)*Scale,"--"))</f>
        <v>--</v>
      </c>
      <c r="R897" s="255"/>
    </row>
    <row r="898" spans="1:20" s="89" customFormat="1" ht="13.9">
      <c r="A898" s="269" t="str">
        <f t="shared" si="200"/>
        <v>n</v>
      </c>
      <c r="B898" s="2060"/>
      <c r="D898" s="801"/>
      <c r="E898" s="1505">
        <v>21</v>
      </c>
      <c r="F898" s="21" t="str">
        <f>F$149</f>
        <v>--</v>
      </c>
      <c r="G898" s="1441">
        <f>G$149</f>
        <v>0</v>
      </c>
      <c r="H898" s="1441" t="str">
        <f>H$149</f>
        <v>--</v>
      </c>
      <c r="I898" s="89" t="s">
        <v>821</v>
      </c>
      <c r="J898" s="2301" t="str">
        <f>IF($G898=0,"--",IFERROR(_xll.ciqfunctions.udf.CIQ($G898,$I898,J120,Valuation_Date_GC,ReportType,DataMode,$H898,FXMode)*Scale,"--"))</f>
        <v>--</v>
      </c>
      <c r="K898" s="2301" t="str">
        <f>IF($G898=0,"--",IFERROR(_xll.ciqfunctions.udf.CIQ($G898,$I898,K120,Valuation_Date_GC,ReportType,DataMode,$H898,FXMode)*Scale,"--"))</f>
        <v>--</v>
      </c>
      <c r="L898" s="2301" t="str">
        <f>IF($G898=0,"--",IFERROR(_xll.ciqfunctions.udf.CIQ($G898,$I898,L120,Valuation_Date_GC,ReportType,DataMode,$H898,FXMode)*Scale,"--"))</f>
        <v>--</v>
      </c>
      <c r="M898" s="2301" t="str">
        <f>IF($G898=0,"--",IFERROR(_xll.ciqfunctions.udf.CIQ($G898,$I898,M120,Valuation_Date_GC,ReportType,DataMode,$H898,FXMode)*Scale,"--"))</f>
        <v>--</v>
      </c>
      <c r="N898" s="2301" t="str">
        <f>IF($G898=0,"--",IFERROR(_xll.ciqfunctions.udf.CIQ($G898,$I898,N120,Valuation_Date_GC,ReportType,DataMode,$H898,FXMode)*Scale,"--"))</f>
        <v>--</v>
      </c>
      <c r="O898" s="1471" t="str">
        <f>IF($G898=0,"--",IFERROR(_xll.ciqfunctions.udf.CIQ($G898,$I898,O120,Valuation_Date_GC,ReportType,DataMode,$H898,FXMode)*Scale,"--"))</f>
        <v>--</v>
      </c>
      <c r="P898" s="2301" t="str">
        <f>IF($G898=0,"--",IFERROR(_xll.ciqfunctions.udf.CIQ($G898,$I898,P120,Valuation_Date_GC,ReportType,DataMode,$H898,FXMode)*Scale,"--"))</f>
        <v>--</v>
      </c>
      <c r="R898" s="255"/>
    </row>
    <row r="899" spans="1:20" s="89" customFormat="1" ht="13.9">
      <c r="A899" s="269" t="str">
        <f t="shared" si="200"/>
        <v>n</v>
      </c>
      <c r="B899" s="2060"/>
      <c r="D899" s="801"/>
      <c r="E899" s="1505">
        <v>22</v>
      </c>
      <c r="F899" s="21" t="str">
        <f>F$150</f>
        <v>--</v>
      </c>
      <c r="G899" s="1441">
        <f>G$150</f>
        <v>0</v>
      </c>
      <c r="H899" s="1441" t="str">
        <f>H$150</f>
        <v>--</v>
      </c>
      <c r="I899" s="89" t="s">
        <v>821</v>
      </c>
      <c r="J899" s="2301" t="str">
        <f>IF($G899=0,"--",IFERROR(_xll.ciqfunctions.udf.CIQ($G899,$I899,J121,Valuation_Date_GC,ReportType,DataMode,$H899,FXMode)*Scale,"--"))</f>
        <v>--</v>
      </c>
      <c r="K899" s="2301" t="str">
        <f>IF($G899=0,"--",IFERROR(_xll.ciqfunctions.udf.CIQ($G899,$I899,K121,Valuation_Date_GC,ReportType,DataMode,$H899,FXMode)*Scale,"--"))</f>
        <v>--</v>
      </c>
      <c r="L899" s="2301" t="str">
        <f>IF($G899=0,"--",IFERROR(_xll.ciqfunctions.udf.CIQ($G899,$I899,L121,Valuation_Date_GC,ReportType,DataMode,$H899,FXMode)*Scale,"--"))</f>
        <v>--</v>
      </c>
      <c r="M899" s="2301" t="str">
        <f>IF($G899=0,"--",IFERROR(_xll.ciqfunctions.udf.CIQ($G899,$I899,M121,Valuation_Date_GC,ReportType,DataMode,$H899,FXMode)*Scale,"--"))</f>
        <v>--</v>
      </c>
      <c r="N899" s="2301" t="str">
        <f>IF($G899=0,"--",IFERROR(_xll.ciqfunctions.udf.CIQ($G899,$I899,N121,Valuation_Date_GC,ReportType,DataMode,$H899,FXMode)*Scale,"--"))</f>
        <v>--</v>
      </c>
      <c r="O899" s="1471" t="str">
        <f>IF($G899=0,"--",IFERROR(_xll.ciqfunctions.udf.CIQ($G899,$I899,O121,Valuation_Date_GC,ReportType,DataMode,$H899,FXMode)*Scale,"--"))</f>
        <v>--</v>
      </c>
      <c r="P899" s="2301" t="str">
        <f>IF($G899=0,"--",IFERROR(_xll.ciqfunctions.udf.CIQ($G899,$I899,P121,Valuation_Date_GC,ReportType,DataMode,$H899,FXMode)*Scale,"--"))</f>
        <v>--</v>
      </c>
      <c r="R899" s="255"/>
    </row>
    <row r="900" spans="1:20" s="89" customFormat="1" ht="13.9">
      <c r="A900" s="269" t="str">
        <f t="shared" si="200"/>
        <v>n</v>
      </c>
      <c r="B900" s="2060"/>
      <c r="D900" s="801"/>
      <c r="E900" s="1505">
        <v>23</v>
      </c>
      <c r="F900" s="21" t="str">
        <f>F$151</f>
        <v>--</v>
      </c>
      <c r="G900" s="1441">
        <f>G$151</f>
        <v>0</v>
      </c>
      <c r="H900" s="1441" t="str">
        <f>H$151</f>
        <v>--</v>
      </c>
      <c r="I900" s="89" t="s">
        <v>821</v>
      </c>
      <c r="J900" s="2301" t="str">
        <f>IF($G900=0,"--",IFERROR(_xll.ciqfunctions.udf.CIQ($G900,$I900,J122,Valuation_Date_GC,ReportType,DataMode,$H900,FXMode)*Scale,"--"))</f>
        <v>--</v>
      </c>
      <c r="K900" s="2301" t="str">
        <f>IF($G900=0,"--",IFERROR(_xll.ciqfunctions.udf.CIQ($G900,$I900,K122,Valuation_Date_GC,ReportType,DataMode,$H900,FXMode)*Scale,"--"))</f>
        <v>--</v>
      </c>
      <c r="L900" s="2301" t="str">
        <f>IF($G900=0,"--",IFERROR(_xll.ciqfunctions.udf.CIQ($G900,$I900,L122,Valuation_Date_GC,ReportType,DataMode,$H900,FXMode)*Scale,"--"))</f>
        <v>--</v>
      </c>
      <c r="M900" s="2301" t="str">
        <f>IF($G900=0,"--",IFERROR(_xll.ciqfunctions.udf.CIQ($G900,$I900,M122,Valuation_Date_GC,ReportType,DataMode,$H900,FXMode)*Scale,"--"))</f>
        <v>--</v>
      </c>
      <c r="N900" s="2301" t="str">
        <f>IF($G900=0,"--",IFERROR(_xll.ciqfunctions.udf.CIQ($G900,$I900,N122,Valuation_Date_GC,ReportType,DataMode,$H900,FXMode)*Scale,"--"))</f>
        <v>--</v>
      </c>
      <c r="O900" s="1471" t="str">
        <f>IF($G900=0,"--",IFERROR(_xll.ciqfunctions.udf.CIQ($G900,$I900,O122,Valuation_Date_GC,ReportType,DataMode,$H900,FXMode)*Scale,"--"))</f>
        <v>--</v>
      </c>
      <c r="P900" s="2301" t="str">
        <f>IF($G900=0,"--",IFERROR(_xll.ciqfunctions.udf.CIQ($G900,$I900,P122,Valuation_Date_GC,ReportType,DataMode,$H900,FXMode)*Scale,"--"))</f>
        <v>--</v>
      </c>
      <c r="R900" s="255"/>
    </row>
    <row r="901" spans="1:20" s="89" customFormat="1" ht="13.9">
      <c r="A901" s="269" t="str">
        <f t="shared" si="200"/>
        <v>n</v>
      </c>
      <c r="B901" s="2060"/>
      <c r="D901" s="801"/>
      <c r="E901" s="1505">
        <v>24</v>
      </c>
      <c r="F901" s="21" t="str">
        <f>F$152</f>
        <v>--</v>
      </c>
      <c r="G901" s="1441">
        <f>G$152</f>
        <v>0</v>
      </c>
      <c r="H901" s="1441" t="str">
        <f>H$152</f>
        <v>--</v>
      </c>
      <c r="I901" s="89" t="s">
        <v>821</v>
      </c>
      <c r="J901" s="2301" t="str">
        <f>IF($G901=0,"--",IFERROR(_xll.ciqfunctions.udf.CIQ($G901,$I901,J123,Valuation_Date_GC,ReportType,DataMode,$H901,FXMode)*Scale,"--"))</f>
        <v>--</v>
      </c>
      <c r="K901" s="2301" t="str">
        <f>IF($G901=0,"--",IFERROR(_xll.ciqfunctions.udf.CIQ($G901,$I901,K123,Valuation_Date_GC,ReportType,DataMode,$H901,FXMode)*Scale,"--"))</f>
        <v>--</v>
      </c>
      <c r="L901" s="2301" t="str">
        <f>IF($G901=0,"--",IFERROR(_xll.ciqfunctions.udf.CIQ($G901,$I901,L123,Valuation_Date_GC,ReportType,DataMode,$H901,FXMode)*Scale,"--"))</f>
        <v>--</v>
      </c>
      <c r="M901" s="2301" t="str">
        <f>IF($G901=0,"--",IFERROR(_xll.ciqfunctions.udf.CIQ($G901,$I901,M123,Valuation_Date_GC,ReportType,DataMode,$H901,FXMode)*Scale,"--"))</f>
        <v>--</v>
      </c>
      <c r="N901" s="2301" t="str">
        <f>IF($G901=0,"--",IFERROR(_xll.ciqfunctions.udf.CIQ($G901,$I901,N123,Valuation_Date_GC,ReportType,DataMode,$H901,FXMode)*Scale,"--"))</f>
        <v>--</v>
      </c>
      <c r="O901" s="1471" t="str">
        <f>IF($G901=0,"--",IFERROR(_xll.ciqfunctions.udf.CIQ($G901,$I901,O123,Valuation_Date_GC,ReportType,DataMode,$H901,FXMode)*Scale,"--"))</f>
        <v>--</v>
      </c>
      <c r="P901" s="2301" t="str">
        <f>IF($G901=0,"--",IFERROR(_xll.ciqfunctions.udf.CIQ($G901,$I901,P123,Valuation_Date_GC,ReportType,DataMode,$H901,FXMode)*Scale,"--"))</f>
        <v>--</v>
      </c>
      <c r="R901" s="255"/>
    </row>
    <row r="902" spans="1:20" s="89" customFormat="1" ht="13.9">
      <c r="A902" s="269" t="str">
        <f t="shared" si="200"/>
        <v>n</v>
      </c>
      <c r="B902" s="2060"/>
      <c r="D902" s="801"/>
      <c r="E902" s="1505">
        <v>25</v>
      </c>
      <c r="F902" s="21" t="str">
        <f>F$153</f>
        <v>--</v>
      </c>
      <c r="G902" s="1441">
        <f>G$153</f>
        <v>0</v>
      </c>
      <c r="H902" s="1441" t="str">
        <f>H$153</f>
        <v>--</v>
      </c>
      <c r="I902" s="89" t="s">
        <v>821</v>
      </c>
      <c r="J902" s="2301" t="str">
        <f>IF($G902=0,"--",IFERROR(_xll.ciqfunctions.udf.CIQ($G902,$I902,J124,Valuation_Date_GC,ReportType,DataMode,$H902,FXMode)*Scale,"--"))</f>
        <v>--</v>
      </c>
      <c r="K902" s="2301" t="str">
        <f>IF($G902=0,"--",IFERROR(_xll.ciqfunctions.udf.CIQ($G902,$I902,K124,Valuation_Date_GC,ReportType,DataMode,$H902,FXMode)*Scale,"--"))</f>
        <v>--</v>
      </c>
      <c r="L902" s="2301" t="str">
        <f>IF($G902=0,"--",IFERROR(_xll.ciqfunctions.udf.CIQ($G902,$I902,L124,Valuation_Date_GC,ReportType,DataMode,$H902,FXMode)*Scale,"--"))</f>
        <v>--</v>
      </c>
      <c r="M902" s="2301" t="str">
        <f>IF($G902=0,"--",IFERROR(_xll.ciqfunctions.udf.CIQ($G902,$I902,M124,Valuation_Date_GC,ReportType,DataMode,$H902,FXMode)*Scale,"--"))</f>
        <v>--</v>
      </c>
      <c r="N902" s="2301" t="str">
        <f>IF($G902=0,"--",IFERROR(_xll.ciqfunctions.udf.CIQ($G902,$I902,N124,Valuation_Date_GC,ReportType,DataMode,$H902,FXMode)*Scale,"--"))</f>
        <v>--</v>
      </c>
      <c r="O902" s="1471" t="str">
        <f>IF($G902=0,"--",IFERROR(_xll.ciqfunctions.udf.CIQ($G902,$I902,O124,Valuation_Date_GC,ReportType,DataMode,$H902,FXMode)*Scale,"--"))</f>
        <v>--</v>
      </c>
      <c r="P902" s="2301" t="str">
        <f>IF($G902=0,"--",IFERROR(_xll.ciqfunctions.udf.CIQ($G902,$I902,P124,Valuation_Date_GC,ReportType,DataMode,$H902,FXMode)*Scale,"--"))</f>
        <v>--</v>
      </c>
      <c r="R902" s="255"/>
    </row>
    <row r="903" spans="1:20" s="89" customFormat="1" ht="13.9">
      <c r="A903" s="2060"/>
      <c r="B903" s="2060"/>
      <c r="D903" s="801"/>
      <c r="F903" s="57" t="s">
        <v>767</v>
      </c>
      <c r="G903" s="1442"/>
      <c r="H903" s="1442"/>
      <c r="I903" s="1442"/>
      <c r="J903" s="1443" t="str">
        <f t="shared" ref="J903:P903" si="201">IFERROR(MEDIAN(J878:J902),"--")</f>
        <v>--</v>
      </c>
      <c r="K903" s="1443" t="str">
        <f t="shared" si="201"/>
        <v>--</v>
      </c>
      <c r="L903" s="1443" t="str">
        <f t="shared" si="201"/>
        <v>--</v>
      </c>
      <c r="M903" s="1443" t="str">
        <f t="shared" si="201"/>
        <v>--</v>
      </c>
      <c r="N903" s="1443" t="str">
        <f t="shared" si="201"/>
        <v>--</v>
      </c>
      <c r="O903" s="1444" t="str">
        <f t="shared" si="201"/>
        <v>--</v>
      </c>
      <c r="P903" s="1443" t="str">
        <f t="shared" si="201"/>
        <v>--</v>
      </c>
      <c r="R903" s="255"/>
      <c r="T903" s="1513"/>
    </row>
    <row r="904" spans="1:20" s="89" customFormat="1" ht="13.9">
      <c r="A904" s="2060"/>
      <c r="B904" s="2060"/>
      <c r="D904" s="801"/>
      <c r="O904" s="75"/>
      <c r="P904" s="76"/>
      <c r="R904" s="255"/>
    </row>
    <row r="905" spans="1:20" s="89" customFormat="1" ht="13.9">
      <c r="A905" s="2060"/>
      <c r="B905" s="2060"/>
      <c r="D905" s="801"/>
      <c r="O905" s="75"/>
      <c r="P905" s="76"/>
    </row>
    <row r="906" spans="1:20" s="89" customFormat="1" ht="13.9">
      <c r="A906" s="2060"/>
      <c r="B906" s="2060"/>
      <c r="D906" s="801"/>
      <c r="O906" s="75"/>
      <c r="P906" s="76"/>
    </row>
    <row r="907" spans="1:20" s="89" customFormat="1" ht="13.9">
      <c r="A907" s="2060"/>
      <c r="B907" s="2060"/>
      <c r="D907" s="778">
        <f ca="1">MAX(OFFSET(D907,-1,0,-ROW(D907)+1,-2),1)+0.01</f>
        <v>6.0299999999999994</v>
      </c>
      <c r="E907" s="125"/>
      <c r="F907" s="952" t="s">
        <v>822</v>
      </c>
      <c r="G907" s="724" t="s">
        <v>777</v>
      </c>
      <c r="H907" s="724"/>
      <c r="I907" s="724"/>
      <c r="J907" s="725" t="s">
        <v>699</v>
      </c>
      <c r="K907" s="725" t="s">
        <v>700</v>
      </c>
      <c r="L907" s="725" t="s">
        <v>701</v>
      </c>
      <c r="M907" s="725" t="s">
        <v>702</v>
      </c>
      <c r="N907" s="725" t="s">
        <v>703</v>
      </c>
      <c r="O907" s="759" t="s">
        <v>704</v>
      </c>
      <c r="P907" s="725" t="s">
        <v>780</v>
      </c>
      <c r="R907" s="255"/>
    </row>
    <row r="908" spans="1:20" s="89" customFormat="1" ht="13.9">
      <c r="A908" s="2060"/>
      <c r="B908" s="2060"/>
      <c r="D908" s="778"/>
      <c r="E908" s="1505">
        <v>0</v>
      </c>
      <c r="F908" s="1448" t="str">
        <f>F$128</f>
        <v/>
      </c>
      <c r="G908" s="1449">
        <f>G$128</f>
        <v>0</v>
      </c>
      <c r="H908" s="1449" t="str">
        <f>H$128</f>
        <v>USD</v>
      </c>
      <c r="I908" s="258" t="s">
        <v>823</v>
      </c>
      <c r="J908" s="2304">
        <f>'BAL SHEET Hist Input'!F31</f>
        <v>0</v>
      </c>
      <c r="K908" s="2304">
        <f>'BAL SHEET Hist Input'!G31</f>
        <v>0</v>
      </c>
      <c r="L908" s="2304">
        <f>'BAL SHEET Hist Input'!H31</f>
        <v>0</v>
      </c>
      <c r="M908" s="2304">
        <f>'BAL SHEET Hist Input'!I31</f>
        <v>0</v>
      </c>
      <c r="N908" s="2304">
        <f>'BAL SHEET Hist Input'!J31</f>
        <v>0</v>
      </c>
      <c r="O908" s="1469">
        <f>'BAL SHEET Hist Input'!K31</f>
        <v>0</v>
      </c>
      <c r="P908" s="1470">
        <f>'BAL SHEET Hist Input'!L31</f>
        <v>0</v>
      </c>
      <c r="R908" s="255"/>
    </row>
    <row r="909" spans="1:20" s="89" customFormat="1" ht="13.9">
      <c r="A909" s="269" t="str">
        <f>IF(F909="--","n","")</f>
        <v>n</v>
      </c>
      <c r="B909" s="2060"/>
      <c r="C909" s="72"/>
      <c r="D909" s="801"/>
      <c r="E909" s="1505">
        <v>1</v>
      </c>
      <c r="F909" s="21" t="str">
        <f>F$129</f>
        <v>--</v>
      </c>
      <c r="G909" s="1441">
        <f>G$129</f>
        <v>0</v>
      </c>
      <c r="H909" s="1441" t="str">
        <f>H$129</f>
        <v>--</v>
      </c>
      <c r="I909" s="89" t="s">
        <v>823</v>
      </c>
      <c r="J909" s="2301" t="str">
        <f>IF($G909=0,"--",IFERROR(_xll.ciqfunctions.udf.CIQ($G909,$I909,J100,Valuation_Date_GC,ReportType,DataMode,$H909,FXMode)*Scale,"--"))</f>
        <v>--</v>
      </c>
      <c r="K909" s="2301" t="str">
        <f>IF($G909=0,"--",IFERROR(_xll.ciqfunctions.udf.CIQ($G909,$I909,K100,Valuation_Date_GC,ReportType,DataMode,$H909,FXMode)*Scale,"--"))</f>
        <v>--</v>
      </c>
      <c r="L909" s="2301" t="str">
        <f>IF($G909=0,"--",IFERROR(_xll.ciqfunctions.udf.CIQ($G909,$I909,L100,Valuation_Date_GC,ReportType,DataMode,$H909,FXMode)*Scale,"--"))</f>
        <v>--</v>
      </c>
      <c r="M909" s="2301" t="str">
        <f>IF($G909=0,"--",IFERROR(_xll.ciqfunctions.udf.CIQ($G909,$I909,M100,Valuation_Date_GC,ReportType,DataMode,$H909,FXMode)*Scale,"--"))</f>
        <v>--</v>
      </c>
      <c r="N909" s="2301" t="str">
        <f>IF($G909=0,"--",IFERROR(_xll.ciqfunctions.udf.CIQ($G909,$I909,N100,Valuation_Date_GC,ReportType,DataMode,$H909,FXMode)*Scale,"--"))</f>
        <v>--</v>
      </c>
      <c r="O909" s="1471" t="str">
        <f>IF($G909=0,"--",IFERROR(_xll.ciqfunctions.udf.CIQ($G909,$I909,O100,Valuation_Date_GC,ReportType,DataMode,$H909,FXMode)*Scale,"--"))</f>
        <v>--</v>
      </c>
      <c r="P909" s="2301" t="str">
        <f>IF($G909=0,"--",IFERROR(_xll.ciqfunctions.udf.CIQ($G909,$I909,P100,Valuation_Date_GC,ReportType,DataMode,$H909,FXMode)*Scale,"--"))</f>
        <v>--</v>
      </c>
      <c r="R909" s="255"/>
    </row>
    <row r="910" spans="1:20" s="89" customFormat="1" ht="13.9">
      <c r="A910" s="269" t="str">
        <f t="shared" ref="A910:A933" si="202">IF(F910="--","n","")</f>
        <v>n</v>
      </c>
      <c r="B910" s="2060"/>
      <c r="D910" s="801"/>
      <c r="E910" s="1505">
        <v>2</v>
      </c>
      <c r="F910" s="21" t="str">
        <f>F$130</f>
        <v>--</v>
      </c>
      <c r="G910" s="1441">
        <f>G$130</f>
        <v>0</v>
      </c>
      <c r="H910" s="1441" t="str">
        <f>H$130</f>
        <v>--</v>
      </c>
      <c r="I910" s="89" t="s">
        <v>823</v>
      </c>
      <c r="J910" s="2301" t="str">
        <f>IF($G910=0,"--",IFERROR(_xll.ciqfunctions.udf.CIQ($G910,$I910,J101,Valuation_Date_GC,ReportType,DataMode,$H910,FXMode)*Scale,"--"))</f>
        <v>--</v>
      </c>
      <c r="K910" s="2301" t="str">
        <f>IF($G910=0,"--",IFERROR(_xll.ciqfunctions.udf.CIQ($G910,$I910,K101,Valuation_Date_GC,ReportType,DataMode,$H910,FXMode)*Scale,"--"))</f>
        <v>--</v>
      </c>
      <c r="L910" s="2301" t="str">
        <f>IF($G910=0,"--",IFERROR(_xll.ciqfunctions.udf.CIQ($G910,$I910,L101,Valuation_Date_GC,ReportType,DataMode,$H910,FXMode)*Scale,"--"))</f>
        <v>--</v>
      </c>
      <c r="M910" s="2301" t="str">
        <f>IF($G910=0,"--",IFERROR(_xll.ciqfunctions.udf.CIQ($G910,$I910,M101,Valuation_Date_GC,ReportType,DataMode,$H910,FXMode)*Scale,"--"))</f>
        <v>--</v>
      </c>
      <c r="N910" s="2301" t="str">
        <f>IF($G910=0,"--",IFERROR(_xll.ciqfunctions.udf.CIQ($G910,$I910,N101,Valuation_Date_GC,ReportType,DataMode,$H910,FXMode)*Scale,"--"))</f>
        <v>--</v>
      </c>
      <c r="O910" s="1471" t="str">
        <f>IF($G910=0,"--",IFERROR(_xll.ciqfunctions.udf.CIQ($G910,$I910,O101,Valuation_Date_GC,ReportType,DataMode,$H910,FXMode)*Scale,"--"))</f>
        <v>--</v>
      </c>
      <c r="P910" s="2301" t="str">
        <f>IF($G910=0,"--",IFERROR(_xll.ciqfunctions.udf.CIQ($G910,$I910,P101,Valuation_Date_GC,ReportType,DataMode,$H910,FXMode)*Scale,"--"))</f>
        <v>--</v>
      </c>
      <c r="R910" s="255"/>
    </row>
    <row r="911" spans="1:20" s="89" customFormat="1" ht="13.9">
      <c r="A911" s="269" t="str">
        <f t="shared" si="202"/>
        <v>n</v>
      </c>
      <c r="B911" s="2060"/>
      <c r="C911" s="72"/>
      <c r="D911" s="801"/>
      <c r="E911" s="1505">
        <v>3</v>
      </c>
      <c r="F911" s="21" t="str">
        <f>F$131</f>
        <v>--</v>
      </c>
      <c r="G911" s="1441">
        <f>G$131</f>
        <v>0</v>
      </c>
      <c r="H911" s="1441" t="str">
        <f>H$131</f>
        <v>--</v>
      </c>
      <c r="I911" s="89" t="s">
        <v>823</v>
      </c>
      <c r="J911" s="2301" t="str">
        <f>IF($G911=0,"--",IFERROR(_xll.ciqfunctions.udf.CIQ($G911,$I911,J102,Valuation_Date_GC,ReportType,DataMode,$H911,FXMode)*Scale,"--"))</f>
        <v>--</v>
      </c>
      <c r="K911" s="2301" t="str">
        <f>IF($G911=0,"--",IFERROR(_xll.ciqfunctions.udf.CIQ($G911,$I911,K102,Valuation_Date_GC,ReportType,DataMode,$H911,FXMode)*Scale,"--"))</f>
        <v>--</v>
      </c>
      <c r="L911" s="2301" t="str">
        <f>IF($G911=0,"--",IFERROR(_xll.ciqfunctions.udf.CIQ($G911,$I911,L102,Valuation_Date_GC,ReportType,DataMode,$H911,FXMode)*Scale,"--"))</f>
        <v>--</v>
      </c>
      <c r="M911" s="2301" t="str">
        <f>IF($G911=0,"--",IFERROR(_xll.ciqfunctions.udf.CIQ($G911,$I911,M102,Valuation_Date_GC,ReportType,DataMode,$H911,FXMode)*Scale,"--"))</f>
        <v>--</v>
      </c>
      <c r="N911" s="2301" t="str">
        <f>IF($G911=0,"--",IFERROR(_xll.ciqfunctions.udf.CIQ($G911,$I911,N102,Valuation_Date_GC,ReportType,DataMode,$H911,FXMode)*Scale,"--"))</f>
        <v>--</v>
      </c>
      <c r="O911" s="1471" t="str">
        <f>IF($G911=0,"--",IFERROR(_xll.ciqfunctions.udf.CIQ($G911,$I911,O102,Valuation_Date_GC,ReportType,DataMode,$H911,FXMode)*Scale,"--"))</f>
        <v>--</v>
      </c>
      <c r="P911" s="2301" t="str">
        <f>IF($G911=0,"--",IFERROR(_xll.ciqfunctions.udf.CIQ($G911,$I911,P102,Valuation_Date_GC,ReportType,DataMode,$H911,FXMode)*Scale,"--"))</f>
        <v>--</v>
      </c>
      <c r="R911" s="255"/>
    </row>
    <row r="912" spans="1:20" s="89" customFormat="1" ht="13.9">
      <c r="A912" s="269" t="str">
        <f t="shared" si="202"/>
        <v>n</v>
      </c>
      <c r="B912" s="2060"/>
      <c r="C912" s="72"/>
      <c r="D912" s="801"/>
      <c r="E912" s="1505">
        <v>4</v>
      </c>
      <c r="F912" s="21" t="str">
        <f>F$132</f>
        <v>--</v>
      </c>
      <c r="G912" s="1441">
        <f>G$132</f>
        <v>0</v>
      </c>
      <c r="H912" s="1441" t="str">
        <f>H$132</f>
        <v>--</v>
      </c>
      <c r="I912" s="89" t="s">
        <v>823</v>
      </c>
      <c r="J912" s="2301" t="str">
        <f>IF($G912=0,"--",IFERROR(_xll.ciqfunctions.udf.CIQ($G912,$I912,J103,Valuation_Date_GC,ReportType,DataMode,$H912,FXMode)*Scale,"--"))</f>
        <v>--</v>
      </c>
      <c r="K912" s="2301" t="str">
        <f>IF($G912=0,"--",IFERROR(_xll.ciqfunctions.udf.CIQ($G912,$I912,K103,Valuation_Date_GC,ReportType,DataMode,$H912,FXMode)*Scale,"--"))</f>
        <v>--</v>
      </c>
      <c r="L912" s="2301" t="str">
        <f>IF($G912=0,"--",IFERROR(_xll.ciqfunctions.udf.CIQ($G912,$I912,L103,Valuation_Date_GC,ReportType,DataMode,$H912,FXMode)*Scale,"--"))</f>
        <v>--</v>
      </c>
      <c r="M912" s="2301" t="str">
        <f>IF($G912=0,"--",IFERROR(_xll.ciqfunctions.udf.CIQ($G912,$I912,M103,Valuation_Date_GC,ReportType,DataMode,$H912,FXMode)*Scale,"--"))</f>
        <v>--</v>
      </c>
      <c r="N912" s="2301" t="str">
        <f>IF($G912=0,"--",IFERROR(_xll.ciqfunctions.udf.CIQ($G912,$I912,N103,Valuation_Date_GC,ReportType,DataMode,$H912,FXMode)*Scale,"--"))</f>
        <v>--</v>
      </c>
      <c r="O912" s="1471" t="str">
        <f>IF($G912=0,"--",IFERROR(_xll.ciqfunctions.udf.CIQ($G912,$I912,O103,Valuation_Date_GC,ReportType,DataMode,$H912,FXMode)*Scale,"--"))</f>
        <v>--</v>
      </c>
      <c r="P912" s="2301" t="str">
        <f>IF($G912=0,"--",IFERROR(_xll.ciqfunctions.udf.CIQ($G912,$I912,P103,Valuation_Date_GC,ReportType,DataMode,$H912,FXMode)*Scale,"--"))</f>
        <v>--</v>
      </c>
      <c r="R912" s="255"/>
    </row>
    <row r="913" spans="1:18" s="89" customFormat="1" ht="13.9">
      <c r="A913" s="269" t="str">
        <f t="shared" si="202"/>
        <v>n</v>
      </c>
      <c r="B913" s="2060"/>
      <c r="C913" s="72"/>
      <c r="D913" s="801"/>
      <c r="E913" s="1505">
        <v>5</v>
      </c>
      <c r="F913" s="21" t="str">
        <f>F$133</f>
        <v>--</v>
      </c>
      <c r="G913" s="1441">
        <f>G$133</f>
        <v>0</v>
      </c>
      <c r="H913" s="1441" t="str">
        <f>H$133</f>
        <v>--</v>
      </c>
      <c r="I913" s="89" t="s">
        <v>823</v>
      </c>
      <c r="J913" s="2301" t="str">
        <f>IF($G913=0,"--",IFERROR(_xll.ciqfunctions.udf.CIQ($G913,$I913,J104,Valuation_Date_GC,ReportType,DataMode,$H913,FXMode)*Scale,"--"))</f>
        <v>--</v>
      </c>
      <c r="K913" s="2301" t="str">
        <f>IF($G913=0,"--",IFERROR(_xll.ciqfunctions.udf.CIQ($G913,$I913,K104,Valuation_Date_GC,ReportType,DataMode,$H913,FXMode)*Scale,"--"))</f>
        <v>--</v>
      </c>
      <c r="L913" s="2301" t="str">
        <f>IF($G913=0,"--",IFERROR(_xll.ciqfunctions.udf.CIQ($G913,$I913,L104,Valuation_Date_GC,ReportType,DataMode,$H913,FXMode)*Scale,"--"))</f>
        <v>--</v>
      </c>
      <c r="M913" s="2301" t="str">
        <f>IF($G913=0,"--",IFERROR(_xll.ciqfunctions.udf.CIQ($G913,$I913,M104,Valuation_Date_GC,ReportType,DataMode,$H913,FXMode)*Scale,"--"))</f>
        <v>--</v>
      </c>
      <c r="N913" s="2301" t="str">
        <f>IF($G913=0,"--",IFERROR(_xll.ciqfunctions.udf.CIQ($G913,$I913,N104,Valuation_Date_GC,ReportType,DataMode,$H913,FXMode)*Scale,"--"))</f>
        <v>--</v>
      </c>
      <c r="O913" s="1471" t="str">
        <f>IF($G913=0,"--",IFERROR(_xll.ciqfunctions.udf.CIQ($G913,$I913,O104,Valuation_Date_GC,ReportType,DataMode,$H913,FXMode)*Scale,"--"))</f>
        <v>--</v>
      </c>
      <c r="P913" s="2301" t="str">
        <f>IF($G913=0,"--",IFERROR(_xll.ciqfunctions.udf.CIQ($G913,$I913,P104,Valuation_Date_GC,ReportType,DataMode,$H913,FXMode)*Scale,"--"))</f>
        <v>--</v>
      </c>
      <c r="R913" s="255"/>
    </row>
    <row r="914" spans="1:18" s="89" customFormat="1" ht="13.9">
      <c r="A914" s="269" t="str">
        <f t="shared" si="202"/>
        <v>n</v>
      </c>
      <c r="B914" s="2060"/>
      <c r="C914" s="72"/>
      <c r="D914" s="801"/>
      <c r="E914" s="1505">
        <v>6</v>
      </c>
      <c r="F914" s="21" t="str">
        <f>F$134</f>
        <v>--</v>
      </c>
      <c r="G914" s="1441">
        <f>G$134</f>
        <v>0</v>
      </c>
      <c r="H914" s="1441" t="str">
        <f>H$134</f>
        <v>--</v>
      </c>
      <c r="I914" s="89" t="s">
        <v>823</v>
      </c>
      <c r="J914" s="2301" t="str">
        <f>IF($G914=0,"--",IFERROR(_xll.ciqfunctions.udf.CIQ($G914,$I914,J105,Valuation_Date_GC,ReportType,DataMode,$H914,FXMode)*Scale,"--"))</f>
        <v>--</v>
      </c>
      <c r="K914" s="2301" t="str">
        <f>IF($G914=0,"--",IFERROR(_xll.ciqfunctions.udf.CIQ($G914,$I914,K105,Valuation_Date_GC,ReportType,DataMode,$H914,FXMode)*Scale,"--"))</f>
        <v>--</v>
      </c>
      <c r="L914" s="2301" t="str">
        <f>IF($G914=0,"--",IFERROR(_xll.ciqfunctions.udf.CIQ($G914,$I914,L105,Valuation_Date_GC,ReportType,DataMode,$H914,FXMode)*Scale,"--"))</f>
        <v>--</v>
      </c>
      <c r="M914" s="2301" t="str">
        <f>IF($G914=0,"--",IFERROR(_xll.ciqfunctions.udf.CIQ($G914,$I914,M105,Valuation_Date_GC,ReportType,DataMode,$H914,FXMode)*Scale,"--"))</f>
        <v>--</v>
      </c>
      <c r="N914" s="2301" t="str">
        <f>IF($G914=0,"--",IFERROR(_xll.ciqfunctions.udf.CIQ($G914,$I914,N105,Valuation_Date_GC,ReportType,DataMode,$H914,FXMode)*Scale,"--"))</f>
        <v>--</v>
      </c>
      <c r="O914" s="1471" t="str">
        <f>IF($G914=0,"--",IFERROR(_xll.ciqfunctions.udf.CIQ($G914,$I914,O105,Valuation_Date_GC,ReportType,DataMode,$H914,FXMode)*Scale,"--"))</f>
        <v>--</v>
      </c>
      <c r="P914" s="2301" t="str">
        <f>IF($G914=0,"--",IFERROR(_xll.ciqfunctions.udf.CIQ($G914,$I914,P105,Valuation_Date_GC,ReportType,DataMode,$H914,FXMode)*Scale,"--"))</f>
        <v>--</v>
      </c>
      <c r="R914" s="255"/>
    </row>
    <row r="915" spans="1:18" s="89" customFormat="1" ht="13.9">
      <c r="A915" s="269" t="str">
        <f t="shared" si="202"/>
        <v>n</v>
      </c>
      <c r="B915" s="2060"/>
      <c r="D915" s="801"/>
      <c r="E915" s="1505">
        <v>7</v>
      </c>
      <c r="F915" s="21" t="str">
        <f>F$135</f>
        <v>--</v>
      </c>
      <c r="G915" s="1441">
        <f>G$135</f>
        <v>0</v>
      </c>
      <c r="H915" s="1441" t="str">
        <f>H$135</f>
        <v>--</v>
      </c>
      <c r="I915" s="89" t="s">
        <v>823</v>
      </c>
      <c r="J915" s="2301" t="str">
        <f>IF($G915=0,"--",IFERROR(_xll.ciqfunctions.udf.CIQ($G915,$I915,J106,Valuation_Date_GC,ReportType,DataMode,$H915,FXMode)*Scale,"--"))</f>
        <v>--</v>
      </c>
      <c r="K915" s="2301" t="str">
        <f>IF($G915=0,"--",IFERROR(_xll.ciqfunctions.udf.CIQ($G915,$I915,K106,Valuation_Date_GC,ReportType,DataMode,$H915,FXMode)*Scale,"--"))</f>
        <v>--</v>
      </c>
      <c r="L915" s="2301" t="str">
        <f>IF($G915=0,"--",IFERROR(_xll.ciqfunctions.udf.CIQ($G915,$I915,L106,Valuation_Date_GC,ReportType,DataMode,$H915,FXMode)*Scale,"--"))</f>
        <v>--</v>
      </c>
      <c r="M915" s="2301" t="str">
        <f>IF($G915=0,"--",IFERROR(_xll.ciqfunctions.udf.CIQ($G915,$I915,M106,Valuation_Date_GC,ReportType,DataMode,$H915,FXMode)*Scale,"--"))</f>
        <v>--</v>
      </c>
      <c r="N915" s="2301" t="str">
        <f>IF($G915=0,"--",IFERROR(_xll.ciqfunctions.udf.CIQ($G915,$I915,N106,Valuation_Date_GC,ReportType,DataMode,$H915,FXMode)*Scale,"--"))</f>
        <v>--</v>
      </c>
      <c r="O915" s="1471" t="str">
        <f>IF($G915=0,"--",IFERROR(_xll.ciqfunctions.udf.CIQ($G915,$I915,O106,Valuation_Date_GC,ReportType,DataMode,$H915,FXMode)*Scale,"--"))</f>
        <v>--</v>
      </c>
      <c r="P915" s="2301" t="str">
        <f>IF($G915=0,"--",IFERROR(_xll.ciqfunctions.udf.CIQ($G915,$I915,P106,Valuation_Date_GC,ReportType,DataMode,$H915,FXMode)*Scale,"--"))</f>
        <v>--</v>
      </c>
      <c r="R915" s="255"/>
    </row>
    <row r="916" spans="1:18" s="89" customFormat="1" ht="13.9">
      <c r="A916" s="269" t="str">
        <f t="shared" si="202"/>
        <v>n</v>
      </c>
      <c r="B916" s="2060"/>
      <c r="D916" s="801"/>
      <c r="E916" s="1505">
        <v>8</v>
      </c>
      <c r="F916" s="21" t="str">
        <f>F$136</f>
        <v>--</v>
      </c>
      <c r="G916" s="1441">
        <f>G$136</f>
        <v>0</v>
      </c>
      <c r="H916" s="1441" t="str">
        <f>H$136</f>
        <v>--</v>
      </c>
      <c r="I916" s="89" t="s">
        <v>823</v>
      </c>
      <c r="J916" s="2301" t="str">
        <f>IF($G916=0,"--",IFERROR(_xll.ciqfunctions.udf.CIQ($G916,$I916,J107,Valuation_Date_GC,ReportType,DataMode,$H916,FXMode)*Scale,"--"))</f>
        <v>--</v>
      </c>
      <c r="K916" s="2301" t="str">
        <f>IF($G916=0,"--",IFERROR(_xll.ciqfunctions.udf.CIQ($G916,$I916,K107,Valuation_Date_GC,ReportType,DataMode,$H916,FXMode)*Scale,"--"))</f>
        <v>--</v>
      </c>
      <c r="L916" s="2301" t="str">
        <f>IF($G916=0,"--",IFERROR(_xll.ciqfunctions.udf.CIQ($G916,$I916,L107,Valuation_Date_GC,ReportType,DataMode,$H916,FXMode)*Scale,"--"))</f>
        <v>--</v>
      </c>
      <c r="M916" s="2301" t="str">
        <f>IF($G916=0,"--",IFERROR(_xll.ciqfunctions.udf.CIQ($G916,$I916,M107,Valuation_Date_GC,ReportType,DataMode,$H916,FXMode)*Scale,"--"))</f>
        <v>--</v>
      </c>
      <c r="N916" s="2301" t="str">
        <f>IF($G916=0,"--",IFERROR(_xll.ciqfunctions.udf.CIQ($G916,$I916,N107,Valuation_Date_GC,ReportType,DataMode,$H916,FXMode)*Scale,"--"))</f>
        <v>--</v>
      </c>
      <c r="O916" s="1471" t="str">
        <f>IF($G916=0,"--",IFERROR(_xll.ciqfunctions.udf.CIQ($G916,$I916,O107,Valuation_Date_GC,ReportType,DataMode,$H916,FXMode)*Scale,"--"))</f>
        <v>--</v>
      </c>
      <c r="P916" s="2301" t="str">
        <f>IF($G916=0,"--",IFERROR(_xll.ciqfunctions.udf.CIQ($G916,$I916,P107,Valuation_Date_GC,ReportType,DataMode,$H916,FXMode)*Scale,"--"))</f>
        <v>--</v>
      </c>
      <c r="R916" s="255"/>
    </row>
    <row r="917" spans="1:18" s="89" customFormat="1" ht="13.9">
      <c r="A917" s="269" t="str">
        <f t="shared" si="202"/>
        <v>n</v>
      </c>
      <c r="B917" s="2060"/>
      <c r="D917" s="801"/>
      <c r="E917" s="1505">
        <v>9</v>
      </c>
      <c r="F917" s="21" t="str">
        <f>F$137</f>
        <v>--</v>
      </c>
      <c r="G917" s="1441">
        <f>G$137</f>
        <v>0</v>
      </c>
      <c r="H917" s="1441" t="str">
        <f>H$137</f>
        <v>--</v>
      </c>
      <c r="I917" s="89" t="s">
        <v>823</v>
      </c>
      <c r="J917" s="2301" t="str">
        <f>IF($G917=0,"--",IFERROR(_xll.ciqfunctions.udf.CIQ($G917,$I917,J108,Valuation_Date_GC,ReportType,DataMode,$H917,FXMode)*Scale,"--"))</f>
        <v>--</v>
      </c>
      <c r="K917" s="2301" t="str">
        <f>IF($G917=0,"--",IFERROR(_xll.ciqfunctions.udf.CIQ($G917,$I917,K108,Valuation_Date_GC,ReportType,DataMode,$H917,FXMode)*Scale,"--"))</f>
        <v>--</v>
      </c>
      <c r="L917" s="2301" t="str">
        <f>IF($G917=0,"--",IFERROR(_xll.ciqfunctions.udf.CIQ($G917,$I917,L108,Valuation_Date_GC,ReportType,DataMode,$H917,FXMode)*Scale,"--"))</f>
        <v>--</v>
      </c>
      <c r="M917" s="2301" t="str">
        <f>IF($G917=0,"--",IFERROR(_xll.ciqfunctions.udf.CIQ($G917,$I917,M108,Valuation_Date_GC,ReportType,DataMode,$H917,FXMode)*Scale,"--"))</f>
        <v>--</v>
      </c>
      <c r="N917" s="2301" t="str">
        <f>IF($G917=0,"--",IFERROR(_xll.ciqfunctions.udf.CIQ($G917,$I917,N108,Valuation_Date_GC,ReportType,DataMode,$H917,FXMode)*Scale,"--"))</f>
        <v>--</v>
      </c>
      <c r="O917" s="1471" t="str">
        <f>IF($G917=0,"--",IFERROR(_xll.ciqfunctions.udf.CIQ($G917,$I917,O108,Valuation_Date_GC,ReportType,DataMode,$H917,FXMode)*Scale,"--"))</f>
        <v>--</v>
      </c>
      <c r="P917" s="2301" t="str">
        <f>IF($G917=0,"--",IFERROR(_xll.ciqfunctions.udf.CIQ($G917,$I917,P108,Valuation_Date_GC,ReportType,DataMode,$H917,FXMode)*Scale,"--"))</f>
        <v>--</v>
      </c>
      <c r="R917" s="255"/>
    </row>
    <row r="918" spans="1:18" s="89" customFormat="1" ht="13.9">
      <c r="A918" s="269" t="str">
        <f t="shared" si="202"/>
        <v>n</v>
      </c>
      <c r="B918" s="2060"/>
      <c r="D918" s="801"/>
      <c r="E918" s="1505">
        <v>10</v>
      </c>
      <c r="F918" s="21" t="str">
        <f>F$138</f>
        <v>--</v>
      </c>
      <c r="G918" s="1441">
        <f>G$138</f>
        <v>0</v>
      </c>
      <c r="H918" s="1441" t="str">
        <f>H$138</f>
        <v>--</v>
      </c>
      <c r="I918" s="89" t="s">
        <v>823</v>
      </c>
      <c r="J918" s="2301" t="str">
        <f>IF($G918=0,"--",IFERROR(_xll.ciqfunctions.udf.CIQ($G918,$I918,J109,Valuation_Date_GC,ReportType,DataMode,$H918,FXMode)*Scale,"--"))</f>
        <v>--</v>
      </c>
      <c r="K918" s="2301" t="str">
        <f>IF($G918=0,"--",IFERROR(_xll.ciqfunctions.udf.CIQ($G918,$I918,K109,Valuation_Date_GC,ReportType,DataMode,$H918,FXMode)*Scale,"--"))</f>
        <v>--</v>
      </c>
      <c r="L918" s="2301" t="str">
        <f>IF($G918=0,"--",IFERROR(_xll.ciqfunctions.udf.CIQ($G918,$I918,L109,Valuation_Date_GC,ReportType,DataMode,$H918,FXMode)*Scale,"--"))</f>
        <v>--</v>
      </c>
      <c r="M918" s="2301" t="str">
        <f>IF($G918=0,"--",IFERROR(_xll.ciqfunctions.udf.CIQ($G918,$I918,M109,Valuation_Date_GC,ReportType,DataMode,$H918,FXMode)*Scale,"--"))</f>
        <v>--</v>
      </c>
      <c r="N918" s="2301" t="str">
        <f>IF($G918=0,"--",IFERROR(_xll.ciqfunctions.udf.CIQ($G918,$I918,N109,Valuation_Date_GC,ReportType,DataMode,$H918,FXMode)*Scale,"--"))</f>
        <v>--</v>
      </c>
      <c r="O918" s="1471" t="str">
        <f>IF($G918=0,"--",IFERROR(_xll.ciqfunctions.udf.CIQ($G918,$I918,O109,Valuation_Date_GC,ReportType,DataMode,$H918,FXMode)*Scale,"--"))</f>
        <v>--</v>
      </c>
      <c r="P918" s="2301" t="str">
        <f>IF($G918=0,"--",IFERROR(_xll.ciqfunctions.udf.CIQ($G918,$I918,P109,Valuation_Date_GC,ReportType,DataMode,$H918,FXMode)*Scale,"--"))</f>
        <v>--</v>
      </c>
      <c r="R918" s="255"/>
    </row>
    <row r="919" spans="1:18" s="89" customFormat="1" ht="13.9">
      <c r="A919" s="269" t="str">
        <f t="shared" si="202"/>
        <v>n</v>
      </c>
      <c r="B919" s="2060"/>
      <c r="D919" s="801"/>
      <c r="E919" s="1505">
        <v>11</v>
      </c>
      <c r="F919" s="21" t="str">
        <f>F$139</f>
        <v>--</v>
      </c>
      <c r="G919" s="1441">
        <f>G$139</f>
        <v>0</v>
      </c>
      <c r="H919" s="1441" t="str">
        <f>H$139</f>
        <v>--</v>
      </c>
      <c r="I919" s="89" t="s">
        <v>823</v>
      </c>
      <c r="J919" s="2301" t="str">
        <f>IF($G919=0,"--",IFERROR(_xll.ciqfunctions.udf.CIQ($G919,$I919,J110,Valuation_Date_GC,ReportType,DataMode,$H919,FXMode)*Scale,"--"))</f>
        <v>--</v>
      </c>
      <c r="K919" s="2301" t="str">
        <f>IF($G919=0,"--",IFERROR(_xll.ciqfunctions.udf.CIQ($G919,$I919,K110,Valuation_Date_GC,ReportType,DataMode,$H919,FXMode)*Scale,"--"))</f>
        <v>--</v>
      </c>
      <c r="L919" s="2301" t="str">
        <f>IF($G919=0,"--",IFERROR(_xll.ciqfunctions.udf.CIQ($G919,$I919,L110,Valuation_Date_GC,ReportType,DataMode,$H919,FXMode)*Scale,"--"))</f>
        <v>--</v>
      </c>
      <c r="M919" s="2301" t="str">
        <f>IF($G919=0,"--",IFERROR(_xll.ciqfunctions.udf.CIQ($G919,$I919,M110,Valuation_Date_GC,ReportType,DataMode,$H919,FXMode)*Scale,"--"))</f>
        <v>--</v>
      </c>
      <c r="N919" s="2301" t="str">
        <f>IF($G919=0,"--",IFERROR(_xll.ciqfunctions.udf.CIQ($G919,$I919,N110,Valuation_Date_GC,ReportType,DataMode,$H919,FXMode)*Scale,"--"))</f>
        <v>--</v>
      </c>
      <c r="O919" s="1471" t="str">
        <f>IF($G919=0,"--",IFERROR(_xll.ciqfunctions.udf.CIQ($G919,$I919,O110,Valuation_Date_GC,ReportType,DataMode,$H919,FXMode)*Scale,"--"))</f>
        <v>--</v>
      </c>
      <c r="P919" s="2301" t="str">
        <f>IF($G919=0,"--",IFERROR(_xll.ciqfunctions.udf.CIQ($G919,$I919,P110,Valuation_Date_GC,ReportType,DataMode,$H919,FXMode)*Scale,"--"))</f>
        <v>--</v>
      </c>
      <c r="R919" s="255"/>
    </row>
    <row r="920" spans="1:18" s="89" customFormat="1" ht="13.9">
      <c r="A920" s="269" t="str">
        <f t="shared" si="202"/>
        <v>n</v>
      </c>
      <c r="B920" s="2060"/>
      <c r="D920" s="801"/>
      <c r="E920" s="1505">
        <v>12</v>
      </c>
      <c r="F920" s="21" t="str">
        <f>F$140</f>
        <v>--</v>
      </c>
      <c r="G920" s="1441">
        <f>G$140</f>
        <v>0</v>
      </c>
      <c r="H920" s="1441" t="str">
        <f>H$140</f>
        <v>--</v>
      </c>
      <c r="I920" s="89" t="s">
        <v>823</v>
      </c>
      <c r="J920" s="2301" t="str">
        <f>IF($G920=0,"--",IFERROR(_xll.ciqfunctions.udf.CIQ($G920,$I920,J111,Valuation_Date_GC,ReportType,DataMode,$H920,FXMode)*Scale,"--"))</f>
        <v>--</v>
      </c>
      <c r="K920" s="2301" t="str">
        <f>IF($G920=0,"--",IFERROR(_xll.ciqfunctions.udf.CIQ($G920,$I920,K111,Valuation_Date_GC,ReportType,DataMode,$H920,FXMode)*Scale,"--"))</f>
        <v>--</v>
      </c>
      <c r="L920" s="2301" t="str">
        <f>IF($G920=0,"--",IFERROR(_xll.ciqfunctions.udf.CIQ($G920,$I920,L111,Valuation_Date_GC,ReportType,DataMode,$H920,FXMode)*Scale,"--"))</f>
        <v>--</v>
      </c>
      <c r="M920" s="2301" t="str">
        <f>IF($G920=0,"--",IFERROR(_xll.ciqfunctions.udf.CIQ($G920,$I920,M111,Valuation_Date_GC,ReportType,DataMode,$H920,FXMode)*Scale,"--"))</f>
        <v>--</v>
      </c>
      <c r="N920" s="2301" t="str">
        <f>IF($G920=0,"--",IFERROR(_xll.ciqfunctions.udf.CIQ($G920,$I920,N111,Valuation_Date_GC,ReportType,DataMode,$H920,FXMode)*Scale,"--"))</f>
        <v>--</v>
      </c>
      <c r="O920" s="1471" t="str">
        <f>IF($G920=0,"--",IFERROR(_xll.ciqfunctions.udf.CIQ($G920,$I920,O111,Valuation_Date_GC,ReportType,DataMode,$H920,FXMode)*Scale,"--"))</f>
        <v>--</v>
      </c>
      <c r="P920" s="2301" t="str">
        <f>IF($G920=0,"--",IFERROR(_xll.ciqfunctions.udf.CIQ($G920,$I920,P111,Valuation_Date_GC,ReportType,DataMode,$H920,FXMode)*Scale,"--"))</f>
        <v>--</v>
      </c>
      <c r="R920" s="255"/>
    </row>
    <row r="921" spans="1:18" s="89" customFormat="1" ht="13.9">
      <c r="A921" s="269" t="str">
        <f t="shared" si="202"/>
        <v>n</v>
      </c>
      <c r="B921" s="2060"/>
      <c r="D921" s="801"/>
      <c r="E921" s="1505">
        <v>13</v>
      </c>
      <c r="F921" s="21" t="str">
        <f>F$141</f>
        <v>--</v>
      </c>
      <c r="G921" s="1441">
        <f>G$141</f>
        <v>0</v>
      </c>
      <c r="H921" s="1441" t="str">
        <f>H$141</f>
        <v>--</v>
      </c>
      <c r="I921" s="89" t="s">
        <v>823</v>
      </c>
      <c r="J921" s="2301" t="str">
        <f>IF($G921=0,"--",IFERROR(_xll.ciqfunctions.udf.CIQ($G921,$I921,J112,Valuation_Date_GC,ReportType,DataMode,$H921,FXMode)*Scale,"--"))</f>
        <v>--</v>
      </c>
      <c r="K921" s="2301" t="str">
        <f>IF($G921=0,"--",IFERROR(_xll.ciqfunctions.udf.CIQ($G921,$I921,K112,Valuation_Date_GC,ReportType,DataMode,$H921,FXMode)*Scale,"--"))</f>
        <v>--</v>
      </c>
      <c r="L921" s="2301" t="str">
        <f>IF($G921=0,"--",IFERROR(_xll.ciqfunctions.udf.CIQ($G921,$I921,L112,Valuation_Date_GC,ReportType,DataMode,$H921,FXMode)*Scale,"--"))</f>
        <v>--</v>
      </c>
      <c r="M921" s="2301" t="str">
        <f>IF($G921=0,"--",IFERROR(_xll.ciqfunctions.udf.CIQ($G921,$I921,M112,Valuation_Date_GC,ReportType,DataMode,$H921,FXMode)*Scale,"--"))</f>
        <v>--</v>
      </c>
      <c r="N921" s="2301" t="str">
        <f>IF($G921=0,"--",IFERROR(_xll.ciqfunctions.udf.CIQ($G921,$I921,N112,Valuation_Date_GC,ReportType,DataMode,$H921,FXMode)*Scale,"--"))</f>
        <v>--</v>
      </c>
      <c r="O921" s="1471" t="str">
        <f>IF($G921=0,"--",IFERROR(_xll.ciqfunctions.udf.CIQ($G921,$I921,O112,Valuation_Date_GC,ReportType,DataMode,$H921,FXMode)*Scale,"--"))</f>
        <v>--</v>
      </c>
      <c r="P921" s="2301" t="str">
        <f>IF($G921=0,"--",IFERROR(_xll.ciqfunctions.udf.CIQ($G921,$I921,P112,Valuation_Date_GC,ReportType,DataMode,$H921,FXMode)*Scale,"--"))</f>
        <v>--</v>
      </c>
      <c r="R921" s="255"/>
    </row>
    <row r="922" spans="1:18" s="89" customFormat="1" ht="13.9">
      <c r="A922" s="269" t="str">
        <f t="shared" si="202"/>
        <v>n</v>
      </c>
      <c r="B922" s="2060"/>
      <c r="D922" s="801"/>
      <c r="E922" s="1505">
        <v>14</v>
      </c>
      <c r="F922" s="21" t="str">
        <f>F$142</f>
        <v>--</v>
      </c>
      <c r="G922" s="1441">
        <f>G$142</f>
        <v>0</v>
      </c>
      <c r="H922" s="1441" t="str">
        <f>H$142</f>
        <v>--</v>
      </c>
      <c r="I922" s="89" t="s">
        <v>823</v>
      </c>
      <c r="J922" s="2301" t="str">
        <f>IF($G922=0,"--",IFERROR(_xll.ciqfunctions.udf.CIQ($G922,$I922,J113,Valuation_Date_GC,ReportType,DataMode,$H922,FXMode)*Scale,"--"))</f>
        <v>--</v>
      </c>
      <c r="K922" s="2301" t="str">
        <f>IF($G922=0,"--",IFERROR(_xll.ciqfunctions.udf.CIQ($G922,$I922,K113,Valuation_Date_GC,ReportType,DataMode,$H922,FXMode)*Scale,"--"))</f>
        <v>--</v>
      </c>
      <c r="L922" s="2301" t="str">
        <f>IF($G922=0,"--",IFERROR(_xll.ciqfunctions.udf.CIQ($G922,$I922,L113,Valuation_Date_GC,ReportType,DataMode,$H922,FXMode)*Scale,"--"))</f>
        <v>--</v>
      </c>
      <c r="M922" s="2301" t="str">
        <f>IF($G922=0,"--",IFERROR(_xll.ciqfunctions.udf.CIQ($G922,$I922,M113,Valuation_Date_GC,ReportType,DataMode,$H922,FXMode)*Scale,"--"))</f>
        <v>--</v>
      </c>
      <c r="N922" s="2301" t="str">
        <f>IF($G922=0,"--",IFERROR(_xll.ciqfunctions.udf.CIQ($G922,$I922,N113,Valuation_Date_GC,ReportType,DataMode,$H922,FXMode)*Scale,"--"))</f>
        <v>--</v>
      </c>
      <c r="O922" s="1471" t="str">
        <f>IF($G922=0,"--",IFERROR(_xll.ciqfunctions.udf.CIQ($G922,$I922,O113,Valuation_Date_GC,ReportType,DataMode,$H922,FXMode)*Scale,"--"))</f>
        <v>--</v>
      </c>
      <c r="P922" s="2301" t="str">
        <f>IF($G922=0,"--",IFERROR(_xll.ciqfunctions.udf.CIQ($G922,$I922,P113,Valuation_Date_GC,ReportType,DataMode,$H922,FXMode)*Scale,"--"))</f>
        <v>--</v>
      </c>
      <c r="R922" s="255"/>
    </row>
    <row r="923" spans="1:18" s="89" customFormat="1" ht="13.9">
      <c r="A923" s="269" t="str">
        <f t="shared" si="202"/>
        <v>n</v>
      </c>
      <c r="B923" s="2060"/>
      <c r="D923" s="801"/>
      <c r="E923" s="1505">
        <v>15</v>
      </c>
      <c r="F923" s="21" t="str">
        <f>F$143</f>
        <v>--</v>
      </c>
      <c r="G923" s="1441">
        <f>G$143</f>
        <v>0</v>
      </c>
      <c r="H923" s="1441" t="str">
        <f>H$143</f>
        <v>--</v>
      </c>
      <c r="I923" s="89" t="s">
        <v>823</v>
      </c>
      <c r="J923" s="2301" t="str">
        <f>IF($G923=0,"--",IFERROR(_xll.ciqfunctions.udf.CIQ($G923,$I923,J114,Valuation_Date_GC,ReportType,DataMode,$H923,FXMode)*Scale,"--"))</f>
        <v>--</v>
      </c>
      <c r="K923" s="2301" t="str">
        <f>IF($G923=0,"--",IFERROR(_xll.ciqfunctions.udf.CIQ($G923,$I923,K114,Valuation_Date_GC,ReportType,DataMode,$H923,FXMode)*Scale,"--"))</f>
        <v>--</v>
      </c>
      <c r="L923" s="2301" t="str">
        <f>IF($G923=0,"--",IFERROR(_xll.ciqfunctions.udf.CIQ($G923,$I923,L114,Valuation_Date_GC,ReportType,DataMode,$H923,FXMode)*Scale,"--"))</f>
        <v>--</v>
      </c>
      <c r="M923" s="2301" t="str">
        <f>IF($G923=0,"--",IFERROR(_xll.ciqfunctions.udf.CIQ($G923,$I923,M114,Valuation_Date_GC,ReportType,DataMode,$H923,FXMode)*Scale,"--"))</f>
        <v>--</v>
      </c>
      <c r="N923" s="2301" t="str">
        <f>IF($G923=0,"--",IFERROR(_xll.ciqfunctions.udf.CIQ($G923,$I923,N114,Valuation_Date_GC,ReportType,DataMode,$H923,FXMode)*Scale,"--"))</f>
        <v>--</v>
      </c>
      <c r="O923" s="1471" t="str">
        <f>IF($G923=0,"--",IFERROR(_xll.ciqfunctions.udf.CIQ($G923,$I923,O114,Valuation_Date_GC,ReportType,DataMode,$H923,FXMode)*Scale,"--"))</f>
        <v>--</v>
      </c>
      <c r="P923" s="2301" t="str">
        <f>IF($G923=0,"--",IFERROR(_xll.ciqfunctions.udf.CIQ($G923,$I923,P114,Valuation_Date_GC,ReportType,DataMode,$H923,FXMode)*Scale,"--"))</f>
        <v>--</v>
      </c>
      <c r="R923" s="255"/>
    </row>
    <row r="924" spans="1:18" s="89" customFormat="1" ht="13.9">
      <c r="A924" s="269" t="str">
        <f t="shared" si="202"/>
        <v>n</v>
      </c>
      <c r="B924" s="2060"/>
      <c r="D924" s="801"/>
      <c r="E924" s="1505">
        <v>16</v>
      </c>
      <c r="F924" s="21" t="str">
        <f>F$144</f>
        <v>--</v>
      </c>
      <c r="G924" s="1441">
        <f>G$144</f>
        <v>0</v>
      </c>
      <c r="H924" s="1441" t="str">
        <f>H$144</f>
        <v>--</v>
      </c>
      <c r="I924" s="89" t="s">
        <v>823</v>
      </c>
      <c r="J924" s="2301" t="str">
        <f>IF($G924=0,"--",IFERROR(_xll.ciqfunctions.udf.CIQ($G924,$I924,J115,Valuation_Date_GC,ReportType,DataMode,$H924,FXMode)*Scale,"--"))</f>
        <v>--</v>
      </c>
      <c r="K924" s="2301" t="str">
        <f>IF($G924=0,"--",IFERROR(_xll.ciqfunctions.udf.CIQ($G924,$I924,K115,Valuation_Date_GC,ReportType,DataMode,$H924,FXMode)*Scale,"--"))</f>
        <v>--</v>
      </c>
      <c r="L924" s="2301" t="str">
        <f>IF($G924=0,"--",IFERROR(_xll.ciqfunctions.udf.CIQ($G924,$I924,L115,Valuation_Date_GC,ReportType,DataMode,$H924,FXMode)*Scale,"--"))</f>
        <v>--</v>
      </c>
      <c r="M924" s="2301" t="str">
        <f>IF($G924=0,"--",IFERROR(_xll.ciqfunctions.udf.CIQ($G924,$I924,M115,Valuation_Date_GC,ReportType,DataMode,$H924,FXMode)*Scale,"--"))</f>
        <v>--</v>
      </c>
      <c r="N924" s="2301" t="str">
        <f>IF($G924=0,"--",IFERROR(_xll.ciqfunctions.udf.CIQ($G924,$I924,N115,Valuation_Date_GC,ReportType,DataMode,$H924,FXMode)*Scale,"--"))</f>
        <v>--</v>
      </c>
      <c r="O924" s="1471" t="str">
        <f>IF($G924=0,"--",IFERROR(_xll.ciqfunctions.udf.CIQ($G924,$I924,O115,Valuation_Date_GC,ReportType,DataMode,$H924,FXMode)*Scale,"--"))</f>
        <v>--</v>
      </c>
      <c r="P924" s="2301" t="str">
        <f>IF($G924=0,"--",IFERROR(_xll.ciqfunctions.udf.CIQ($G924,$I924,P115,Valuation_Date_GC,ReportType,DataMode,$H924,FXMode)*Scale,"--"))</f>
        <v>--</v>
      </c>
      <c r="R924" s="255"/>
    </row>
    <row r="925" spans="1:18" s="89" customFormat="1" ht="13.9">
      <c r="A925" s="269" t="str">
        <f t="shared" si="202"/>
        <v>n</v>
      </c>
      <c r="B925" s="2060"/>
      <c r="D925" s="801"/>
      <c r="E925" s="1505">
        <v>17</v>
      </c>
      <c r="F925" s="21" t="str">
        <f>F$145</f>
        <v>--</v>
      </c>
      <c r="G925" s="1441">
        <f>G$145</f>
        <v>0</v>
      </c>
      <c r="H925" s="1441" t="str">
        <f>H$145</f>
        <v>--</v>
      </c>
      <c r="I925" s="89" t="s">
        <v>823</v>
      </c>
      <c r="J925" s="2301" t="str">
        <f>IF($G925=0,"--",IFERROR(_xll.ciqfunctions.udf.CIQ($G925,$I925,J116,Valuation_Date_GC,ReportType,DataMode,$H925,FXMode)*Scale,"--"))</f>
        <v>--</v>
      </c>
      <c r="K925" s="2301" t="str">
        <f>IF($G925=0,"--",IFERROR(_xll.ciqfunctions.udf.CIQ($G925,$I925,K116,Valuation_Date_GC,ReportType,DataMode,$H925,FXMode)*Scale,"--"))</f>
        <v>--</v>
      </c>
      <c r="L925" s="2301" t="str">
        <f>IF($G925=0,"--",IFERROR(_xll.ciqfunctions.udf.CIQ($G925,$I925,L116,Valuation_Date_GC,ReportType,DataMode,$H925,FXMode)*Scale,"--"))</f>
        <v>--</v>
      </c>
      <c r="M925" s="2301" t="str">
        <f>IF($G925=0,"--",IFERROR(_xll.ciqfunctions.udf.CIQ($G925,$I925,M116,Valuation_Date_GC,ReportType,DataMode,$H925,FXMode)*Scale,"--"))</f>
        <v>--</v>
      </c>
      <c r="N925" s="2301" t="str">
        <f>IF($G925=0,"--",IFERROR(_xll.ciqfunctions.udf.CIQ($G925,$I925,N116,Valuation_Date_GC,ReportType,DataMode,$H925,FXMode)*Scale,"--"))</f>
        <v>--</v>
      </c>
      <c r="O925" s="1471" t="str">
        <f>IF($G925=0,"--",IFERROR(_xll.ciqfunctions.udf.CIQ($G925,$I925,O116,Valuation_Date_GC,ReportType,DataMode,$H925,FXMode)*Scale,"--"))</f>
        <v>--</v>
      </c>
      <c r="P925" s="2301" t="str">
        <f>IF($G925=0,"--",IFERROR(_xll.ciqfunctions.udf.CIQ($G925,$I925,P116,Valuation_Date_GC,ReportType,DataMode,$H925,FXMode)*Scale,"--"))</f>
        <v>--</v>
      </c>
      <c r="R925" s="255"/>
    </row>
    <row r="926" spans="1:18" s="89" customFormat="1" ht="13.9">
      <c r="A926" s="269" t="str">
        <f t="shared" si="202"/>
        <v>n</v>
      </c>
      <c r="B926" s="2060"/>
      <c r="D926" s="801"/>
      <c r="E926" s="1505">
        <v>18</v>
      </c>
      <c r="F926" s="21" t="str">
        <f>F$146</f>
        <v>--</v>
      </c>
      <c r="G926" s="1441">
        <f>G$146</f>
        <v>0</v>
      </c>
      <c r="H926" s="1441" t="str">
        <f>H$146</f>
        <v>--</v>
      </c>
      <c r="I926" s="89" t="s">
        <v>823</v>
      </c>
      <c r="J926" s="2301" t="str">
        <f>IF($G926=0,"--",IFERROR(_xll.ciqfunctions.udf.CIQ($G926,$I926,J117,Valuation_Date_GC,ReportType,DataMode,$H926,FXMode)*Scale,"--"))</f>
        <v>--</v>
      </c>
      <c r="K926" s="2301" t="str">
        <f>IF($G926=0,"--",IFERROR(_xll.ciqfunctions.udf.CIQ($G926,$I926,K117,Valuation_Date_GC,ReportType,DataMode,$H926,FXMode)*Scale,"--"))</f>
        <v>--</v>
      </c>
      <c r="L926" s="2301" t="str">
        <f>IF($G926=0,"--",IFERROR(_xll.ciqfunctions.udf.CIQ($G926,$I926,L117,Valuation_Date_GC,ReportType,DataMode,$H926,FXMode)*Scale,"--"))</f>
        <v>--</v>
      </c>
      <c r="M926" s="2301" t="str">
        <f>IF($G926=0,"--",IFERROR(_xll.ciqfunctions.udf.CIQ($G926,$I926,M117,Valuation_Date_GC,ReportType,DataMode,$H926,FXMode)*Scale,"--"))</f>
        <v>--</v>
      </c>
      <c r="N926" s="2301" t="str">
        <f>IF($G926=0,"--",IFERROR(_xll.ciqfunctions.udf.CIQ($G926,$I926,N117,Valuation_Date_GC,ReportType,DataMode,$H926,FXMode)*Scale,"--"))</f>
        <v>--</v>
      </c>
      <c r="O926" s="1471" t="str">
        <f>IF($G926=0,"--",IFERROR(_xll.ciqfunctions.udf.CIQ($G926,$I926,O117,Valuation_Date_GC,ReportType,DataMode,$H926,FXMode)*Scale,"--"))</f>
        <v>--</v>
      </c>
      <c r="P926" s="2301" t="str">
        <f>IF($G926=0,"--",IFERROR(_xll.ciqfunctions.udf.CIQ($G926,$I926,P117,Valuation_Date_GC,ReportType,DataMode,$H926,FXMode)*Scale,"--"))</f>
        <v>--</v>
      </c>
      <c r="R926" s="255"/>
    </row>
    <row r="927" spans="1:18" s="89" customFormat="1" ht="13.9">
      <c r="A927" s="269" t="str">
        <f t="shared" si="202"/>
        <v>n</v>
      </c>
      <c r="B927" s="2060"/>
      <c r="D927" s="801"/>
      <c r="E927" s="1505">
        <v>19</v>
      </c>
      <c r="F927" s="21" t="str">
        <f>F$147</f>
        <v>--</v>
      </c>
      <c r="G927" s="1441">
        <f>G$147</f>
        <v>0</v>
      </c>
      <c r="H927" s="1441" t="str">
        <f>H$147</f>
        <v>--</v>
      </c>
      <c r="I927" s="89" t="s">
        <v>823</v>
      </c>
      <c r="J927" s="2301" t="str">
        <f>IF($G927=0,"--",IFERROR(_xll.ciqfunctions.udf.CIQ($G927,$I927,J118,Valuation_Date_GC,ReportType,DataMode,$H927,FXMode)*Scale,"--"))</f>
        <v>--</v>
      </c>
      <c r="K927" s="2301" t="str">
        <f>IF($G927=0,"--",IFERROR(_xll.ciqfunctions.udf.CIQ($G927,$I927,K118,Valuation_Date_GC,ReportType,DataMode,$H927,FXMode)*Scale,"--"))</f>
        <v>--</v>
      </c>
      <c r="L927" s="2301" t="str">
        <f>IF($G927=0,"--",IFERROR(_xll.ciqfunctions.udf.CIQ($G927,$I927,L118,Valuation_Date_GC,ReportType,DataMode,$H927,FXMode)*Scale,"--"))</f>
        <v>--</v>
      </c>
      <c r="M927" s="2301" t="str">
        <f>IF($G927=0,"--",IFERROR(_xll.ciqfunctions.udf.CIQ($G927,$I927,M118,Valuation_Date_GC,ReportType,DataMode,$H927,FXMode)*Scale,"--"))</f>
        <v>--</v>
      </c>
      <c r="N927" s="2301" t="str">
        <f>IF($G927=0,"--",IFERROR(_xll.ciqfunctions.udf.CIQ($G927,$I927,N118,Valuation_Date_GC,ReportType,DataMode,$H927,FXMode)*Scale,"--"))</f>
        <v>--</v>
      </c>
      <c r="O927" s="1471" t="str">
        <f>IF($G927=0,"--",IFERROR(_xll.ciqfunctions.udf.CIQ($G927,$I927,O118,Valuation_Date_GC,ReportType,DataMode,$H927,FXMode)*Scale,"--"))</f>
        <v>--</v>
      </c>
      <c r="P927" s="2301" t="str">
        <f>IF($G927=0,"--",IFERROR(_xll.ciqfunctions.udf.CIQ($G927,$I927,P118,Valuation_Date_GC,ReportType,DataMode,$H927,FXMode)*Scale,"--"))</f>
        <v>--</v>
      </c>
      <c r="R927" s="255"/>
    </row>
    <row r="928" spans="1:18" s="89" customFormat="1" ht="13.9">
      <c r="A928" s="269" t="str">
        <f t="shared" si="202"/>
        <v>n</v>
      </c>
      <c r="B928" s="2060"/>
      <c r="D928" s="801"/>
      <c r="E928" s="1505">
        <v>20</v>
      </c>
      <c r="F928" s="21" t="str">
        <f>F$148</f>
        <v>--</v>
      </c>
      <c r="G928" s="1441">
        <f>G$148</f>
        <v>0</v>
      </c>
      <c r="H928" s="1441" t="str">
        <f>H$148</f>
        <v>--</v>
      </c>
      <c r="I928" s="89" t="s">
        <v>823</v>
      </c>
      <c r="J928" s="2301" t="str">
        <f>IF($G928=0,"--",IFERROR(_xll.ciqfunctions.udf.CIQ($G928,$I928,J119,Valuation_Date_GC,ReportType,DataMode,$H928,FXMode)*Scale,"--"))</f>
        <v>--</v>
      </c>
      <c r="K928" s="2301" t="str">
        <f>IF($G928=0,"--",IFERROR(_xll.ciqfunctions.udf.CIQ($G928,$I928,K119,Valuation_Date_GC,ReportType,DataMode,$H928,FXMode)*Scale,"--"))</f>
        <v>--</v>
      </c>
      <c r="L928" s="2301" t="str">
        <f>IF($G928=0,"--",IFERROR(_xll.ciqfunctions.udf.CIQ($G928,$I928,L119,Valuation_Date_GC,ReportType,DataMode,$H928,FXMode)*Scale,"--"))</f>
        <v>--</v>
      </c>
      <c r="M928" s="2301" t="str">
        <f>IF($G928=0,"--",IFERROR(_xll.ciqfunctions.udf.CIQ($G928,$I928,M119,Valuation_Date_GC,ReportType,DataMode,$H928,FXMode)*Scale,"--"))</f>
        <v>--</v>
      </c>
      <c r="N928" s="2301" t="str">
        <f>IF($G928=0,"--",IFERROR(_xll.ciqfunctions.udf.CIQ($G928,$I928,N119,Valuation_Date_GC,ReportType,DataMode,$H928,FXMode)*Scale,"--"))</f>
        <v>--</v>
      </c>
      <c r="O928" s="1471" t="str">
        <f>IF($G928=0,"--",IFERROR(_xll.ciqfunctions.udf.CIQ($G928,$I928,O119,Valuation_Date_GC,ReportType,DataMode,$H928,FXMode)*Scale,"--"))</f>
        <v>--</v>
      </c>
      <c r="P928" s="2301" t="str">
        <f>IF($G928=0,"--",IFERROR(_xll.ciqfunctions.udf.CIQ($G928,$I928,P119,Valuation_Date_GC,ReportType,DataMode,$H928,FXMode)*Scale,"--"))</f>
        <v>--</v>
      </c>
      <c r="R928" s="255"/>
    </row>
    <row r="929" spans="1:20" s="89" customFormat="1" ht="13.9">
      <c r="A929" s="269" t="str">
        <f t="shared" si="202"/>
        <v>n</v>
      </c>
      <c r="B929" s="2060"/>
      <c r="D929" s="801"/>
      <c r="E929" s="1505">
        <v>21</v>
      </c>
      <c r="F929" s="21" t="str">
        <f>F$149</f>
        <v>--</v>
      </c>
      <c r="G929" s="1441">
        <f>G$149</f>
        <v>0</v>
      </c>
      <c r="H929" s="1441" t="str">
        <f>H$149</f>
        <v>--</v>
      </c>
      <c r="I929" s="89" t="s">
        <v>823</v>
      </c>
      <c r="J929" s="2301" t="str">
        <f>IF($G929=0,"--",IFERROR(_xll.ciqfunctions.udf.CIQ($G929,$I929,J120,Valuation_Date_GC,ReportType,DataMode,$H929,FXMode)*Scale,"--"))</f>
        <v>--</v>
      </c>
      <c r="K929" s="2301" t="str">
        <f>IF($G929=0,"--",IFERROR(_xll.ciqfunctions.udf.CIQ($G929,$I929,K120,Valuation_Date_GC,ReportType,DataMode,$H929,FXMode)*Scale,"--"))</f>
        <v>--</v>
      </c>
      <c r="L929" s="2301" t="str">
        <f>IF($G929=0,"--",IFERROR(_xll.ciqfunctions.udf.CIQ($G929,$I929,L120,Valuation_Date_GC,ReportType,DataMode,$H929,FXMode)*Scale,"--"))</f>
        <v>--</v>
      </c>
      <c r="M929" s="2301" t="str">
        <f>IF($G929=0,"--",IFERROR(_xll.ciqfunctions.udf.CIQ($G929,$I929,M120,Valuation_Date_GC,ReportType,DataMode,$H929,FXMode)*Scale,"--"))</f>
        <v>--</v>
      </c>
      <c r="N929" s="2301" t="str">
        <f>IF($G929=0,"--",IFERROR(_xll.ciqfunctions.udf.CIQ($G929,$I929,N120,Valuation_Date_GC,ReportType,DataMode,$H929,FXMode)*Scale,"--"))</f>
        <v>--</v>
      </c>
      <c r="O929" s="1471" t="str">
        <f>IF($G929=0,"--",IFERROR(_xll.ciqfunctions.udf.CIQ($G929,$I929,O120,Valuation_Date_GC,ReportType,DataMode,$H929,FXMode)*Scale,"--"))</f>
        <v>--</v>
      </c>
      <c r="P929" s="2301" t="str">
        <f>IF($G929=0,"--",IFERROR(_xll.ciqfunctions.udf.CIQ($G929,$I929,P120,Valuation_Date_GC,ReportType,DataMode,$H929,FXMode)*Scale,"--"))</f>
        <v>--</v>
      </c>
      <c r="R929" s="255"/>
    </row>
    <row r="930" spans="1:20" s="89" customFormat="1" ht="13.9">
      <c r="A930" s="269" t="str">
        <f t="shared" si="202"/>
        <v>n</v>
      </c>
      <c r="B930" s="2060"/>
      <c r="D930" s="801"/>
      <c r="E930" s="1505">
        <v>22</v>
      </c>
      <c r="F930" s="21" t="str">
        <f>F$150</f>
        <v>--</v>
      </c>
      <c r="G930" s="1441">
        <f>G$150</f>
        <v>0</v>
      </c>
      <c r="H930" s="1441" t="str">
        <f>H$150</f>
        <v>--</v>
      </c>
      <c r="I930" s="89" t="s">
        <v>823</v>
      </c>
      <c r="J930" s="2301" t="str">
        <f>IF($G930=0,"--",IFERROR(_xll.ciqfunctions.udf.CIQ($G930,$I930,J121,Valuation_Date_GC,ReportType,DataMode,$H930,FXMode)*Scale,"--"))</f>
        <v>--</v>
      </c>
      <c r="K930" s="2301" t="str">
        <f>IF($G930=0,"--",IFERROR(_xll.ciqfunctions.udf.CIQ($G930,$I930,K121,Valuation_Date_GC,ReportType,DataMode,$H930,FXMode)*Scale,"--"))</f>
        <v>--</v>
      </c>
      <c r="L930" s="2301" t="str">
        <f>IF($G930=0,"--",IFERROR(_xll.ciqfunctions.udf.CIQ($G930,$I930,L121,Valuation_Date_GC,ReportType,DataMode,$H930,FXMode)*Scale,"--"))</f>
        <v>--</v>
      </c>
      <c r="M930" s="2301" t="str">
        <f>IF($G930=0,"--",IFERROR(_xll.ciqfunctions.udf.CIQ($G930,$I930,M121,Valuation_Date_GC,ReportType,DataMode,$H930,FXMode)*Scale,"--"))</f>
        <v>--</v>
      </c>
      <c r="N930" s="2301" t="str">
        <f>IF($G930=0,"--",IFERROR(_xll.ciqfunctions.udf.CIQ($G930,$I930,N121,Valuation_Date_GC,ReportType,DataMode,$H930,FXMode)*Scale,"--"))</f>
        <v>--</v>
      </c>
      <c r="O930" s="1471" t="str">
        <f>IF($G930=0,"--",IFERROR(_xll.ciqfunctions.udf.CIQ($G930,$I930,O121,Valuation_Date_GC,ReportType,DataMode,$H930,FXMode)*Scale,"--"))</f>
        <v>--</v>
      </c>
      <c r="P930" s="2301" t="str">
        <f>IF($G930=0,"--",IFERROR(_xll.ciqfunctions.udf.CIQ($G930,$I930,P121,Valuation_Date_GC,ReportType,DataMode,$H930,FXMode)*Scale,"--"))</f>
        <v>--</v>
      </c>
      <c r="R930" s="255"/>
    </row>
    <row r="931" spans="1:20" s="89" customFormat="1" ht="13.9">
      <c r="A931" s="269" t="str">
        <f t="shared" si="202"/>
        <v>n</v>
      </c>
      <c r="B931" s="2060"/>
      <c r="D931" s="801"/>
      <c r="E931" s="1505">
        <v>23</v>
      </c>
      <c r="F931" s="21" t="str">
        <f>F$151</f>
        <v>--</v>
      </c>
      <c r="G931" s="1441">
        <f>G$151</f>
        <v>0</v>
      </c>
      <c r="H931" s="1441" t="str">
        <f>H$151</f>
        <v>--</v>
      </c>
      <c r="I931" s="89" t="s">
        <v>823</v>
      </c>
      <c r="J931" s="2301" t="str">
        <f>IF($G931=0,"--",IFERROR(_xll.ciqfunctions.udf.CIQ($G931,$I931,J122,Valuation_Date_GC,ReportType,DataMode,$H931,FXMode)*Scale,"--"))</f>
        <v>--</v>
      </c>
      <c r="K931" s="2301" t="str">
        <f>IF($G931=0,"--",IFERROR(_xll.ciqfunctions.udf.CIQ($G931,$I931,K122,Valuation_Date_GC,ReportType,DataMode,$H931,FXMode)*Scale,"--"))</f>
        <v>--</v>
      </c>
      <c r="L931" s="2301" t="str">
        <f>IF($G931=0,"--",IFERROR(_xll.ciqfunctions.udf.CIQ($G931,$I931,L122,Valuation_Date_GC,ReportType,DataMode,$H931,FXMode)*Scale,"--"))</f>
        <v>--</v>
      </c>
      <c r="M931" s="2301" t="str">
        <f>IF($G931=0,"--",IFERROR(_xll.ciqfunctions.udf.CIQ($G931,$I931,M122,Valuation_Date_GC,ReportType,DataMode,$H931,FXMode)*Scale,"--"))</f>
        <v>--</v>
      </c>
      <c r="N931" s="2301" t="str">
        <f>IF($G931=0,"--",IFERROR(_xll.ciqfunctions.udf.CIQ($G931,$I931,N122,Valuation_Date_GC,ReportType,DataMode,$H931,FXMode)*Scale,"--"))</f>
        <v>--</v>
      </c>
      <c r="O931" s="1471" t="str">
        <f>IF($G931=0,"--",IFERROR(_xll.ciqfunctions.udf.CIQ($G931,$I931,O122,Valuation_Date_GC,ReportType,DataMode,$H931,FXMode)*Scale,"--"))</f>
        <v>--</v>
      </c>
      <c r="P931" s="2301" t="str">
        <f>IF($G931=0,"--",IFERROR(_xll.ciqfunctions.udf.CIQ($G931,$I931,P122,Valuation_Date_GC,ReportType,DataMode,$H931,FXMode)*Scale,"--"))</f>
        <v>--</v>
      </c>
      <c r="R931" s="255"/>
    </row>
    <row r="932" spans="1:20" s="89" customFormat="1" ht="13.9">
      <c r="A932" s="269" t="str">
        <f t="shared" si="202"/>
        <v>n</v>
      </c>
      <c r="B932" s="2060"/>
      <c r="D932" s="801"/>
      <c r="E932" s="1505">
        <v>24</v>
      </c>
      <c r="F932" s="21" t="str">
        <f>F$152</f>
        <v>--</v>
      </c>
      <c r="G932" s="1441">
        <f>G$152</f>
        <v>0</v>
      </c>
      <c r="H932" s="1441" t="str">
        <f>H$152</f>
        <v>--</v>
      </c>
      <c r="I932" s="89" t="s">
        <v>823</v>
      </c>
      <c r="J932" s="2301" t="str">
        <f>IF($G932=0,"--",IFERROR(_xll.ciqfunctions.udf.CIQ($G932,$I932,J123,Valuation_Date_GC,ReportType,DataMode,$H932,FXMode)*Scale,"--"))</f>
        <v>--</v>
      </c>
      <c r="K932" s="2301" t="str">
        <f>IF($G932=0,"--",IFERROR(_xll.ciqfunctions.udf.CIQ($G932,$I932,K123,Valuation_Date_GC,ReportType,DataMode,$H932,FXMode)*Scale,"--"))</f>
        <v>--</v>
      </c>
      <c r="L932" s="2301" t="str">
        <f>IF($G932=0,"--",IFERROR(_xll.ciqfunctions.udf.CIQ($G932,$I932,L123,Valuation_Date_GC,ReportType,DataMode,$H932,FXMode)*Scale,"--"))</f>
        <v>--</v>
      </c>
      <c r="M932" s="2301" t="str">
        <f>IF($G932=0,"--",IFERROR(_xll.ciqfunctions.udf.CIQ($G932,$I932,M123,Valuation_Date_GC,ReportType,DataMode,$H932,FXMode)*Scale,"--"))</f>
        <v>--</v>
      </c>
      <c r="N932" s="2301" t="str">
        <f>IF($G932=0,"--",IFERROR(_xll.ciqfunctions.udf.CIQ($G932,$I932,N123,Valuation_Date_GC,ReportType,DataMode,$H932,FXMode)*Scale,"--"))</f>
        <v>--</v>
      </c>
      <c r="O932" s="1471" t="str">
        <f>IF($G932=0,"--",IFERROR(_xll.ciqfunctions.udf.CIQ($G932,$I932,O123,Valuation_Date_GC,ReportType,DataMode,$H932,FXMode)*Scale,"--"))</f>
        <v>--</v>
      </c>
      <c r="P932" s="2301" t="str">
        <f>IF($G932=0,"--",IFERROR(_xll.ciqfunctions.udf.CIQ($G932,$I932,P123,Valuation_Date_GC,ReportType,DataMode,$H932,FXMode)*Scale,"--"))</f>
        <v>--</v>
      </c>
      <c r="R932" s="255"/>
    </row>
    <row r="933" spans="1:20" s="89" customFormat="1" ht="13.9">
      <c r="A933" s="269" t="str">
        <f t="shared" si="202"/>
        <v>n</v>
      </c>
      <c r="B933" s="2060"/>
      <c r="D933" s="801"/>
      <c r="E933" s="1505">
        <v>25</v>
      </c>
      <c r="F933" s="21" t="str">
        <f>F$153</f>
        <v>--</v>
      </c>
      <c r="G933" s="1441">
        <f>G$153</f>
        <v>0</v>
      </c>
      <c r="H933" s="1441" t="str">
        <f>H$153</f>
        <v>--</v>
      </c>
      <c r="I933" s="89" t="s">
        <v>823</v>
      </c>
      <c r="J933" s="2301" t="str">
        <f>IF($G933=0,"--",IFERROR(_xll.ciqfunctions.udf.CIQ($G933,$I933,J124,Valuation_Date_GC,ReportType,DataMode,$H933,FXMode)*Scale,"--"))</f>
        <v>--</v>
      </c>
      <c r="K933" s="2301" t="str">
        <f>IF($G933=0,"--",IFERROR(_xll.ciqfunctions.udf.CIQ($G933,$I933,K124,Valuation_Date_GC,ReportType,DataMode,$H933,FXMode)*Scale,"--"))</f>
        <v>--</v>
      </c>
      <c r="L933" s="2301" t="str">
        <f>IF($G933=0,"--",IFERROR(_xll.ciqfunctions.udf.CIQ($G933,$I933,L124,Valuation_Date_GC,ReportType,DataMode,$H933,FXMode)*Scale,"--"))</f>
        <v>--</v>
      </c>
      <c r="M933" s="2301" t="str">
        <f>IF($G933=0,"--",IFERROR(_xll.ciqfunctions.udf.CIQ($G933,$I933,M124,Valuation_Date_GC,ReportType,DataMode,$H933,FXMode)*Scale,"--"))</f>
        <v>--</v>
      </c>
      <c r="N933" s="2301" t="str">
        <f>IF($G933=0,"--",IFERROR(_xll.ciqfunctions.udf.CIQ($G933,$I933,N124,Valuation_Date_GC,ReportType,DataMode,$H933,FXMode)*Scale,"--"))</f>
        <v>--</v>
      </c>
      <c r="O933" s="1471" t="str">
        <f>IF($G933=0,"--",IFERROR(_xll.ciqfunctions.udf.CIQ($G933,$I933,O124,Valuation_Date_GC,ReportType,DataMode,$H933,FXMode)*Scale,"--"))</f>
        <v>--</v>
      </c>
      <c r="P933" s="2301" t="str">
        <f>IF($G933=0,"--",IFERROR(_xll.ciqfunctions.udf.CIQ($G933,$I933,P124,Valuation_Date_GC,ReportType,DataMode,$H933,FXMode)*Scale,"--"))</f>
        <v>--</v>
      </c>
      <c r="R933" s="255"/>
    </row>
    <row r="934" spans="1:20" s="89" customFormat="1" ht="13.9">
      <c r="A934" s="2060"/>
      <c r="B934" s="2060"/>
      <c r="D934" s="801"/>
      <c r="F934" s="57" t="s">
        <v>767</v>
      </c>
      <c r="G934" s="1442"/>
      <c r="H934" s="1442"/>
      <c r="I934" s="1442"/>
      <c r="J934" s="1443" t="str">
        <f t="shared" ref="J934:P934" si="203">IFERROR(MEDIAN(J909:J933),"--")</f>
        <v>--</v>
      </c>
      <c r="K934" s="1443" t="str">
        <f t="shared" si="203"/>
        <v>--</v>
      </c>
      <c r="L934" s="1443" t="str">
        <f t="shared" si="203"/>
        <v>--</v>
      </c>
      <c r="M934" s="1443" t="str">
        <f t="shared" si="203"/>
        <v>--</v>
      </c>
      <c r="N934" s="1443" t="str">
        <f t="shared" si="203"/>
        <v>--</v>
      </c>
      <c r="O934" s="1444" t="str">
        <f t="shared" si="203"/>
        <v>--</v>
      </c>
      <c r="P934" s="1443" t="str">
        <f t="shared" si="203"/>
        <v>--</v>
      </c>
      <c r="R934" s="255"/>
      <c r="T934" s="1513"/>
    </row>
    <row r="935" spans="1:20" s="89" customFormat="1" ht="13.9">
      <c r="A935" s="2060"/>
      <c r="B935" s="2060"/>
      <c r="D935" s="801"/>
      <c r="O935" s="75"/>
      <c r="P935" s="76"/>
      <c r="R935" s="255"/>
    </row>
    <row r="936" spans="1:20" s="89" customFormat="1" ht="13.9">
      <c r="A936" s="2060"/>
      <c r="B936" s="2060"/>
      <c r="D936" s="801"/>
      <c r="O936" s="75"/>
      <c r="P936" s="76"/>
    </row>
    <row r="937" spans="1:20" s="89" customFormat="1" ht="13.9">
      <c r="A937" s="2060"/>
      <c r="B937" s="2060"/>
      <c r="D937" s="801"/>
      <c r="O937" s="75"/>
      <c r="P937" s="76"/>
    </row>
    <row r="938" spans="1:20" s="89" customFormat="1" ht="13.9">
      <c r="A938" s="2060"/>
      <c r="B938" s="2060"/>
      <c r="D938" s="778">
        <f ca="1">MAX(OFFSET(D938,-1,0,-ROW(D938)+1,-2),1)+0.01</f>
        <v>6.0399999999999991</v>
      </c>
      <c r="E938" s="125"/>
      <c r="F938" s="952" t="s">
        <v>413</v>
      </c>
      <c r="G938" s="724" t="s">
        <v>777</v>
      </c>
      <c r="H938" s="724"/>
      <c r="I938" s="724"/>
      <c r="J938" s="725" t="s">
        <v>699</v>
      </c>
      <c r="K938" s="725" t="s">
        <v>700</v>
      </c>
      <c r="L938" s="725" t="s">
        <v>701</v>
      </c>
      <c r="M938" s="725" t="s">
        <v>702</v>
      </c>
      <c r="N938" s="725" t="s">
        <v>703</v>
      </c>
      <c r="O938" s="759" t="s">
        <v>704</v>
      </c>
      <c r="P938" s="725" t="s">
        <v>780</v>
      </c>
      <c r="R938" s="255"/>
    </row>
    <row r="939" spans="1:20" s="89" customFormat="1" ht="13.9">
      <c r="A939" s="2060"/>
      <c r="B939" s="2060"/>
      <c r="D939" s="778"/>
      <c r="E939" s="1505">
        <v>0</v>
      </c>
      <c r="F939" s="1448" t="str">
        <f>F$128</f>
        <v/>
      </c>
      <c r="G939" s="1449">
        <f>G$128</f>
        <v>0</v>
      </c>
      <c r="H939" s="1449" t="str">
        <f>H$128</f>
        <v>USD</v>
      </c>
      <c r="I939" s="258" t="s">
        <v>824</v>
      </c>
      <c r="J939" s="2304">
        <f>'BAL SHEET Hist Input'!E59</f>
        <v>0</v>
      </c>
      <c r="K939" s="2304">
        <f>'BAL SHEET Hist Input'!F59</f>
        <v>0</v>
      </c>
      <c r="L939" s="2304">
        <f>'BAL SHEET Hist Input'!G59</f>
        <v>0</v>
      </c>
      <c r="M939" s="2304">
        <f>'BAL SHEET Hist Input'!H59</f>
        <v>0</v>
      </c>
      <c r="N939" s="2304">
        <f>'BAL SHEET Hist Input'!I59</f>
        <v>0</v>
      </c>
      <c r="O939" s="1469">
        <f>'BAL SHEET Hist Input'!J59</f>
        <v>0</v>
      </c>
      <c r="P939" s="1470">
        <f>'BAL SHEET Hist Input'!K59</f>
        <v>0</v>
      </c>
      <c r="R939" s="255"/>
    </row>
    <row r="940" spans="1:20" s="89" customFormat="1" ht="13.9">
      <c r="A940" s="269" t="str">
        <f>IF(F940="--","n","")</f>
        <v>n</v>
      </c>
      <c r="B940" s="2060"/>
      <c r="C940" s="72"/>
      <c r="D940" s="801"/>
      <c r="E940" s="1505">
        <v>1</v>
      </c>
      <c r="F940" s="21" t="str">
        <f>F$129</f>
        <v>--</v>
      </c>
      <c r="G940" s="1441">
        <f>G$129</f>
        <v>0</v>
      </c>
      <c r="H940" s="1441" t="str">
        <f>H$129</f>
        <v>--</v>
      </c>
      <c r="I940" s="89" t="s">
        <v>824</v>
      </c>
      <c r="J940" s="2301" t="str">
        <f>IF($G940=0,"--",IFERROR(_xll.ciqfunctions.udf.CIQ($G940,$I940,J100,Valuation_Date_GC,ReportType,DataMode,$H940,FXMode)*Scale,"--"))</f>
        <v>--</v>
      </c>
      <c r="K940" s="2301" t="str">
        <f>IF($G940=0,"--",IFERROR(_xll.ciqfunctions.udf.CIQ($G940,$I940,K100,Valuation_Date_GC,ReportType,DataMode,$H940,FXMode)*Scale,"--"))</f>
        <v>--</v>
      </c>
      <c r="L940" s="2301" t="str">
        <f>IF($G940=0,"--",IFERROR(_xll.ciqfunctions.udf.CIQ($G940,$I940,L100,Valuation_Date_GC,ReportType,DataMode,$H940,FXMode)*Scale,"--"))</f>
        <v>--</v>
      </c>
      <c r="M940" s="2301" t="str">
        <f>IF($G940=0,"--",IFERROR(_xll.ciqfunctions.udf.CIQ($G940,$I940,M100,Valuation_Date_GC,ReportType,DataMode,$H940,FXMode)*Scale,"--"))</f>
        <v>--</v>
      </c>
      <c r="N940" s="2301" t="str">
        <f>IF($G940=0,"--",IFERROR(_xll.ciqfunctions.udf.CIQ($G940,$I940,N100,Valuation_Date_GC,ReportType,DataMode,$H940,FXMode)*Scale,"--"))</f>
        <v>--</v>
      </c>
      <c r="O940" s="1471" t="str">
        <f>IF($G940=0,"--",IFERROR(_xll.ciqfunctions.udf.CIQ($G940,$I940,O100,Valuation_Date_GC,ReportType,DataMode,$H940,FXMode)*Scale,"--"))</f>
        <v>--</v>
      </c>
      <c r="P940" s="2301" t="str">
        <f>IF($G940=0,"--",IFERROR(_xll.ciqfunctions.udf.CIQ($G940,$I940,P100,Valuation_Date_GC,ReportType,DataMode,$H940,FXMode)*Scale,"--"))</f>
        <v>--</v>
      </c>
      <c r="R940" s="255"/>
    </row>
    <row r="941" spans="1:20" s="89" customFormat="1" ht="13.9">
      <c r="A941" s="269" t="str">
        <f t="shared" ref="A941:A964" si="204">IF(F941="--","n","")</f>
        <v>n</v>
      </c>
      <c r="B941" s="2060"/>
      <c r="D941" s="801"/>
      <c r="E941" s="1505">
        <v>2</v>
      </c>
      <c r="F941" s="21" t="str">
        <f>F$130</f>
        <v>--</v>
      </c>
      <c r="G941" s="1441">
        <f>G$130</f>
        <v>0</v>
      </c>
      <c r="H941" s="1441" t="str">
        <f>H$130</f>
        <v>--</v>
      </c>
      <c r="I941" s="89" t="s">
        <v>824</v>
      </c>
      <c r="J941" s="2301" t="str">
        <f>IF($G941=0,"--",IFERROR(_xll.ciqfunctions.udf.CIQ($G941,$I941,J101,Valuation_Date_GC,ReportType,DataMode,$H941,FXMode)*Scale,"--"))</f>
        <v>--</v>
      </c>
      <c r="K941" s="2301" t="str">
        <f>IF($G941=0,"--",IFERROR(_xll.ciqfunctions.udf.CIQ($G941,$I941,K101,Valuation_Date_GC,ReportType,DataMode,$H941,FXMode)*Scale,"--"))</f>
        <v>--</v>
      </c>
      <c r="L941" s="2301" t="str">
        <f>IF($G941=0,"--",IFERROR(_xll.ciqfunctions.udf.CIQ($G941,$I941,L101,Valuation_Date_GC,ReportType,DataMode,$H941,FXMode)*Scale,"--"))</f>
        <v>--</v>
      </c>
      <c r="M941" s="2301" t="str">
        <f>IF($G941=0,"--",IFERROR(_xll.ciqfunctions.udf.CIQ($G941,$I941,M101,Valuation_Date_GC,ReportType,DataMode,$H941,FXMode)*Scale,"--"))</f>
        <v>--</v>
      </c>
      <c r="N941" s="2301" t="str">
        <f>IF($G941=0,"--",IFERROR(_xll.ciqfunctions.udf.CIQ($G941,$I941,N101,Valuation_Date_GC,ReportType,DataMode,$H941,FXMode)*Scale,"--"))</f>
        <v>--</v>
      </c>
      <c r="O941" s="1471" t="str">
        <f>IF($G941=0,"--",IFERROR(_xll.ciqfunctions.udf.CIQ($G941,$I941,O101,Valuation_Date_GC,ReportType,DataMode,$H941,FXMode)*Scale,"--"))</f>
        <v>--</v>
      </c>
      <c r="P941" s="2301" t="str">
        <f>IF($G941=0,"--",IFERROR(_xll.ciqfunctions.udf.CIQ($G941,$I941,P101,Valuation_Date_GC,ReportType,DataMode,$H941,FXMode)*Scale,"--"))</f>
        <v>--</v>
      </c>
      <c r="R941" s="255"/>
    </row>
    <row r="942" spans="1:20" s="89" customFormat="1" ht="13.9">
      <c r="A942" s="269" t="str">
        <f t="shared" si="204"/>
        <v>n</v>
      </c>
      <c r="B942" s="2060"/>
      <c r="C942" s="72"/>
      <c r="D942" s="801"/>
      <c r="E942" s="1505">
        <v>3</v>
      </c>
      <c r="F942" s="21" t="str">
        <f>F$131</f>
        <v>--</v>
      </c>
      <c r="G942" s="1441">
        <f>G$131</f>
        <v>0</v>
      </c>
      <c r="H942" s="1441" t="str">
        <f>H$131</f>
        <v>--</v>
      </c>
      <c r="I942" s="89" t="s">
        <v>824</v>
      </c>
      <c r="J942" s="2301" t="str">
        <f>IF($G942=0,"--",IFERROR(_xll.ciqfunctions.udf.CIQ($G942,$I942,J102,Valuation_Date_GC,ReportType,DataMode,$H942,FXMode)*Scale,"--"))</f>
        <v>--</v>
      </c>
      <c r="K942" s="2301" t="str">
        <f>IF($G942=0,"--",IFERROR(_xll.ciqfunctions.udf.CIQ($G942,$I942,K102,Valuation_Date_GC,ReportType,DataMode,$H942,FXMode)*Scale,"--"))</f>
        <v>--</v>
      </c>
      <c r="L942" s="2301" t="str">
        <f>IF($G942=0,"--",IFERROR(_xll.ciqfunctions.udf.CIQ($G942,$I942,L102,Valuation_Date_GC,ReportType,DataMode,$H942,FXMode)*Scale,"--"))</f>
        <v>--</v>
      </c>
      <c r="M942" s="2301" t="str">
        <f>IF($G942=0,"--",IFERROR(_xll.ciqfunctions.udf.CIQ($G942,$I942,M102,Valuation_Date_GC,ReportType,DataMode,$H942,FXMode)*Scale,"--"))</f>
        <v>--</v>
      </c>
      <c r="N942" s="2301" t="str">
        <f>IF($G942=0,"--",IFERROR(_xll.ciqfunctions.udf.CIQ($G942,$I942,N102,Valuation_Date_GC,ReportType,DataMode,$H942,FXMode)*Scale,"--"))</f>
        <v>--</v>
      </c>
      <c r="O942" s="1471" t="str">
        <f>IF($G942=0,"--",IFERROR(_xll.ciqfunctions.udf.CIQ($G942,$I942,O102,Valuation_Date_GC,ReportType,DataMode,$H942,FXMode)*Scale,"--"))</f>
        <v>--</v>
      </c>
      <c r="P942" s="2301" t="str">
        <f>IF($G942=0,"--",IFERROR(_xll.ciqfunctions.udf.CIQ($G942,$I942,P102,Valuation_Date_GC,ReportType,DataMode,$H942,FXMode)*Scale,"--"))</f>
        <v>--</v>
      </c>
      <c r="R942" s="255"/>
    </row>
    <row r="943" spans="1:20" s="89" customFormat="1" ht="13.9">
      <c r="A943" s="269" t="str">
        <f t="shared" si="204"/>
        <v>n</v>
      </c>
      <c r="B943" s="2060"/>
      <c r="C943" s="72"/>
      <c r="D943" s="801"/>
      <c r="E943" s="1505">
        <v>4</v>
      </c>
      <c r="F943" s="21" t="str">
        <f>F$132</f>
        <v>--</v>
      </c>
      <c r="G943" s="1441">
        <f>G$132</f>
        <v>0</v>
      </c>
      <c r="H943" s="1441" t="str">
        <f>H$132</f>
        <v>--</v>
      </c>
      <c r="I943" s="89" t="s">
        <v>824</v>
      </c>
      <c r="J943" s="2301" t="str">
        <f>IF($G943=0,"--",IFERROR(_xll.ciqfunctions.udf.CIQ($G943,$I943,J103,Valuation_Date_GC,ReportType,DataMode,$H943,FXMode)*Scale,"--"))</f>
        <v>--</v>
      </c>
      <c r="K943" s="2301" t="str">
        <f>IF($G943=0,"--",IFERROR(_xll.ciqfunctions.udf.CIQ($G943,$I943,K103,Valuation_Date_GC,ReportType,DataMode,$H943,FXMode)*Scale,"--"))</f>
        <v>--</v>
      </c>
      <c r="L943" s="2301" t="str">
        <f>IF($G943=0,"--",IFERROR(_xll.ciqfunctions.udf.CIQ($G943,$I943,L103,Valuation_Date_GC,ReportType,DataMode,$H943,FXMode)*Scale,"--"))</f>
        <v>--</v>
      </c>
      <c r="M943" s="2301" t="str">
        <f>IF($G943=0,"--",IFERROR(_xll.ciqfunctions.udf.CIQ($G943,$I943,M103,Valuation_Date_GC,ReportType,DataMode,$H943,FXMode)*Scale,"--"))</f>
        <v>--</v>
      </c>
      <c r="N943" s="2301" t="str">
        <f>IF($G943=0,"--",IFERROR(_xll.ciqfunctions.udf.CIQ($G943,$I943,N103,Valuation_Date_GC,ReportType,DataMode,$H943,FXMode)*Scale,"--"))</f>
        <v>--</v>
      </c>
      <c r="O943" s="1471" t="str">
        <f>IF($G943=0,"--",IFERROR(_xll.ciqfunctions.udf.CIQ($G943,$I943,O103,Valuation_Date_GC,ReportType,DataMode,$H943,FXMode)*Scale,"--"))</f>
        <v>--</v>
      </c>
      <c r="P943" s="2301" t="str">
        <f>IF($G943=0,"--",IFERROR(_xll.ciqfunctions.udf.CIQ($G943,$I943,P103,Valuation_Date_GC,ReportType,DataMode,$H943,FXMode)*Scale,"--"))</f>
        <v>--</v>
      </c>
      <c r="R943" s="255"/>
    </row>
    <row r="944" spans="1:20" s="89" customFormat="1" ht="13.9">
      <c r="A944" s="269" t="str">
        <f t="shared" si="204"/>
        <v>n</v>
      </c>
      <c r="B944" s="2060"/>
      <c r="C944" s="72"/>
      <c r="D944" s="801"/>
      <c r="E944" s="1505">
        <v>5</v>
      </c>
      <c r="F944" s="21" t="str">
        <f>F$133</f>
        <v>--</v>
      </c>
      <c r="G944" s="1441">
        <f>G$133</f>
        <v>0</v>
      </c>
      <c r="H944" s="1441" t="str">
        <f>H$133</f>
        <v>--</v>
      </c>
      <c r="I944" s="89" t="s">
        <v>824</v>
      </c>
      <c r="J944" s="2301" t="str">
        <f>IF($G944=0,"--",IFERROR(_xll.ciqfunctions.udf.CIQ($G944,$I944,J104,Valuation_Date_GC,ReportType,DataMode,$H944,FXMode)*Scale,"--"))</f>
        <v>--</v>
      </c>
      <c r="K944" s="2301" t="str">
        <f>IF($G944=0,"--",IFERROR(_xll.ciqfunctions.udf.CIQ($G944,$I944,K104,Valuation_Date_GC,ReportType,DataMode,$H944,FXMode)*Scale,"--"))</f>
        <v>--</v>
      </c>
      <c r="L944" s="2301" t="str">
        <f>IF($G944=0,"--",IFERROR(_xll.ciqfunctions.udf.CIQ($G944,$I944,L104,Valuation_Date_GC,ReportType,DataMode,$H944,FXMode)*Scale,"--"))</f>
        <v>--</v>
      </c>
      <c r="M944" s="2301" t="str">
        <f>IF($G944=0,"--",IFERROR(_xll.ciqfunctions.udf.CIQ($G944,$I944,M104,Valuation_Date_GC,ReportType,DataMode,$H944,FXMode)*Scale,"--"))</f>
        <v>--</v>
      </c>
      <c r="N944" s="2301" t="str">
        <f>IF($G944=0,"--",IFERROR(_xll.ciqfunctions.udf.CIQ($G944,$I944,N104,Valuation_Date_GC,ReportType,DataMode,$H944,FXMode)*Scale,"--"))</f>
        <v>--</v>
      </c>
      <c r="O944" s="1471" t="str">
        <f>IF($G944=0,"--",IFERROR(_xll.ciqfunctions.udf.CIQ($G944,$I944,O104,Valuation_Date_GC,ReportType,DataMode,$H944,FXMode)*Scale,"--"))</f>
        <v>--</v>
      </c>
      <c r="P944" s="2301" t="str">
        <f>IF($G944=0,"--",IFERROR(_xll.ciqfunctions.udf.CIQ($G944,$I944,P104,Valuation_Date_GC,ReportType,DataMode,$H944,FXMode)*Scale,"--"))</f>
        <v>--</v>
      </c>
      <c r="R944" s="255"/>
    </row>
    <row r="945" spans="1:18" s="89" customFormat="1" ht="13.9">
      <c r="A945" s="269" t="str">
        <f t="shared" si="204"/>
        <v>n</v>
      </c>
      <c r="B945" s="2060"/>
      <c r="C945" s="72"/>
      <c r="D945" s="801"/>
      <c r="E945" s="1505">
        <v>6</v>
      </c>
      <c r="F945" s="21" t="str">
        <f>F$134</f>
        <v>--</v>
      </c>
      <c r="G945" s="1441">
        <f>G$134</f>
        <v>0</v>
      </c>
      <c r="H945" s="1441" t="str">
        <f>H$134</f>
        <v>--</v>
      </c>
      <c r="I945" s="89" t="s">
        <v>824</v>
      </c>
      <c r="J945" s="2301" t="str">
        <f>IF($G945=0,"--",IFERROR(_xll.ciqfunctions.udf.CIQ($G945,$I945,J105,Valuation_Date_GC,ReportType,DataMode,$H945,FXMode)*Scale,"--"))</f>
        <v>--</v>
      </c>
      <c r="K945" s="2301" t="str">
        <f>IF($G945=0,"--",IFERROR(_xll.ciqfunctions.udf.CIQ($G945,$I945,K105,Valuation_Date_GC,ReportType,DataMode,$H945,FXMode)*Scale,"--"))</f>
        <v>--</v>
      </c>
      <c r="L945" s="2301" t="str">
        <f>IF($G945=0,"--",IFERROR(_xll.ciqfunctions.udf.CIQ($G945,$I945,L105,Valuation_Date_GC,ReportType,DataMode,$H945,FXMode)*Scale,"--"))</f>
        <v>--</v>
      </c>
      <c r="M945" s="2301" t="str">
        <f>IF($G945=0,"--",IFERROR(_xll.ciqfunctions.udf.CIQ($G945,$I945,M105,Valuation_Date_GC,ReportType,DataMode,$H945,FXMode)*Scale,"--"))</f>
        <v>--</v>
      </c>
      <c r="N945" s="2301" t="str">
        <f>IF($G945=0,"--",IFERROR(_xll.ciqfunctions.udf.CIQ($G945,$I945,N105,Valuation_Date_GC,ReportType,DataMode,$H945,FXMode)*Scale,"--"))</f>
        <v>--</v>
      </c>
      <c r="O945" s="1471" t="str">
        <f>IF($G945=0,"--",IFERROR(_xll.ciqfunctions.udf.CIQ($G945,$I945,O105,Valuation_Date_GC,ReportType,DataMode,$H945,FXMode)*Scale,"--"))</f>
        <v>--</v>
      </c>
      <c r="P945" s="2301" t="str">
        <f>IF($G945=0,"--",IFERROR(_xll.ciqfunctions.udf.CIQ($G945,$I945,P105,Valuation_Date_GC,ReportType,DataMode,$H945,FXMode)*Scale,"--"))</f>
        <v>--</v>
      </c>
      <c r="R945" s="255"/>
    </row>
    <row r="946" spans="1:18" s="89" customFormat="1" ht="13.9">
      <c r="A946" s="269" t="str">
        <f t="shared" si="204"/>
        <v>n</v>
      </c>
      <c r="B946" s="2060"/>
      <c r="D946" s="801"/>
      <c r="E946" s="1505">
        <v>7</v>
      </c>
      <c r="F946" s="21" t="str">
        <f>F$135</f>
        <v>--</v>
      </c>
      <c r="G946" s="1441">
        <f>G$135</f>
        <v>0</v>
      </c>
      <c r="H946" s="1441" t="str">
        <f>H$135</f>
        <v>--</v>
      </c>
      <c r="I946" s="89" t="s">
        <v>824</v>
      </c>
      <c r="J946" s="2301" t="str">
        <f>IF($G946=0,"--",IFERROR(_xll.ciqfunctions.udf.CIQ($G946,$I946,J106,Valuation_Date_GC,ReportType,DataMode,$H946,FXMode)*Scale,"--"))</f>
        <v>--</v>
      </c>
      <c r="K946" s="2301" t="str">
        <f>IF($G946=0,"--",IFERROR(_xll.ciqfunctions.udf.CIQ($G946,$I946,K106,Valuation_Date_GC,ReportType,DataMode,$H946,FXMode)*Scale,"--"))</f>
        <v>--</v>
      </c>
      <c r="L946" s="2301" t="str">
        <f>IF($G946=0,"--",IFERROR(_xll.ciqfunctions.udf.CIQ($G946,$I946,L106,Valuation_Date_GC,ReportType,DataMode,$H946,FXMode)*Scale,"--"))</f>
        <v>--</v>
      </c>
      <c r="M946" s="2301" t="str">
        <f>IF($G946=0,"--",IFERROR(_xll.ciqfunctions.udf.CIQ($G946,$I946,M106,Valuation_Date_GC,ReportType,DataMode,$H946,FXMode)*Scale,"--"))</f>
        <v>--</v>
      </c>
      <c r="N946" s="2301" t="str">
        <f>IF($G946=0,"--",IFERROR(_xll.ciqfunctions.udf.CIQ($G946,$I946,N106,Valuation_Date_GC,ReportType,DataMode,$H946,FXMode)*Scale,"--"))</f>
        <v>--</v>
      </c>
      <c r="O946" s="1471" t="str">
        <f>IF($G946=0,"--",IFERROR(_xll.ciqfunctions.udf.CIQ($G946,$I946,O106,Valuation_Date_GC,ReportType,DataMode,$H946,FXMode)*Scale,"--"))</f>
        <v>--</v>
      </c>
      <c r="P946" s="2301" t="str">
        <f>IF($G946=0,"--",IFERROR(_xll.ciqfunctions.udf.CIQ($G946,$I946,P106,Valuation_Date_GC,ReportType,DataMode,$H946,FXMode)*Scale,"--"))</f>
        <v>--</v>
      </c>
      <c r="R946" s="255"/>
    </row>
    <row r="947" spans="1:18" s="89" customFormat="1" ht="13.9">
      <c r="A947" s="269" t="str">
        <f t="shared" si="204"/>
        <v>n</v>
      </c>
      <c r="B947" s="2060"/>
      <c r="D947" s="801"/>
      <c r="E947" s="1505">
        <v>8</v>
      </c>
      <c r="F947" s="21" t="str">
        <f>F$136</f>
        <v>--</v>
      </c>
      <c r="G947" s="1441">
        <f>G$136</f>
        <v>0</v>
      </c>
      <c r="H947" s="1441" t="str">
        <f>H$136</f>
        <v>--</v>
      </c>
      <c r="I947" s="89" t="s">
        <v>824</v>
      </c>
      <c r="J947" s="2301" t="str">
        <f>IF($G947=0,"--",IFERROR(_xll.ciqfunctions.udf.CIQ($G947,$I947,J107,Valuation_Date_GC,ReportType,DataMode,$H947,FXMode)*Scale,"--"))</f>
        <v>--</v>
      </c>
      <c r="K947" s="2301" t="str">
        <f>IF($G947=0,"--",IFERROR(_xll.ciqfunctions.udf.CIQ($G947,$I947,K107,Valuation_Date_GC,ReportType,DataMode,$H947,FXMode)*Scale,"--"))</f>
        <v>--</v>
      </c>
      <c r="L947" s="2301" t="str">
        <f>IF($G947=0,"--",IFERROR(_xll.ciqfunctions.udf.CIQ($G947,$I947,L107,Valuation_Date_GC,ReportType,DataMode,$H947,FXMode)*Scale,"--"))</f>
        <v>--</v>
      </c>
      <c r="M947" s="2301" t="str">
        <f>IF($G947=0,"--",IFERROR(_xll.ciqfunctions.udf.CIQ($G947,$I947,M107,Valuation_Date_GC,ReportType,DataMode,$H947,FXMode)*Scale,"--"))</f>
        <v>--</v>
      </c>
      <c r="N947" s="2301" t="str">
        <f>IF($G947=0,"--",IFERROR(_xll.ciqfunctions.udf.CIQ($G947,$I947,N107,Valuation_Date_GC,ReportType,DataMode,$H947,FXMode)*Scale,"--"))</f>
        <v>--</v>
      </c>
      <c r="O947" s="1471" t="str">
        <f>IF($G947=0,"--",IFERROR(_xll.ciqfunctions.udf.CIQ($G947,$I947,O107,Valuation_Date_GC,ReportType,DataMode,$H947,FXMode)*Scale,"--"))</f>
        <v>--</v>
      </c>
      <c r="P947" s="2301" t="str">
        <f>IF($G947=0,"--",IFERROR(_xll.ciqfunctions.udf.CIQ($G947,$I947,P107,Valuation_Date_GC,ReportType,DataMode,$H947,FXMode)*Scale,"--"))</f>
        <v>--</v>
      </c>
      <c r="R947" s="255"/>
    </row>
    <row r="948" spans="1:18" s="89" customFormat="1" ht="13.9">
      <c r="A948" s="269" t="str">
        <f t="shared" si="204"/>
        <v>n</v>
      </c>
      <c r="B948" s="2060"/>
      <c r="D948" s="801"/>
      <c r="E948" s="1505">
        <v>9</v>
      </c>
      <c r="F948" s="21" t="str">
        <f>F$137</f>
        <v>--</v>
      </c>
      <c r="G948" s="1441">
        <f>G$137</f>
        <v>0</v>
      </c>
      <c r="H948" s="1441" t="str">
        <f>H$137</f>
        <v>--</v>
      </c>
      <c r="I948" s="89" t="s">
        <v>824</v>
      </c>
      <c r="J948" s="2301" t="str">
        <f>IF($G948=0,"--",IFERROR(_xll.ciqfunctions.udf.CIQ($G948,$I948,J108,Valuation_Date_GC,ReportType,DataMode,$H948,FXMode)*Scale,"--"))</f>
        <v>--</v>
      </c>
      <c r="K948" s="2301" t="str">
        <f>IF($G948=0,"--",IFERROR(_xll.ciqfunctions.udf.CIQ($G948,$I948,K108,Valuation_Date_GC,ReportType,DataMode,$H948,FXMode)*Scale,"--"))</f>
        <v>--</v>
      </c>
      <c r="L948" s="2301" t="str">
        <f>IF($G948=0,"--",IFERROR(_xll.ciqfunctions.udf.CIQ($G948,$I948,L108,Valuation_Date_GC,ReportType,DataMode,$H948,FXMode)*Scale,"--"))</f>
        <v>--</v>
      </c>
      <c r="M948" s="2301" t="str">
        <f>IF($G948=0,"--",IFERROR(_xll.ciqfunctions.udf.CIQ($G948,$I948,M108,Valuation_Date_GC,ReportType,DataMode,$H948,FXMode)*Scale,"--"))</f>
        <v>--</v>
      </c>
      <c r="N948" s="2301" t="str">
        <f>IF($G948=0,"--",IFERROR(_xll.ciqfunctions.udf.CIQ($G948,$I948,N108,Valuation_Date_GC,ReportType,DataMode,$H948,FXMode)*Scale,"--"))</f>
        <v>--</v>
      </c>
      <c r="O948" s="1471" t="str">
        <f>IF($G948=0,"--",IFERROR(_xll.ciqfunctions.udf.CIQ($G948,$I948,O108,Valuation_Date_GC,ReportType,DataMode,$H948,FXMode)*Scale,"--"))</f>
        <v>--</v>
      </c>
      <c r="P948" s="2301" t="str">
        <f>IF($G948=0,"--",IFERROR(_xll.ciqfunctions.udf.CIQ($G948,$I948,P108,Valuation_Date_GC,ReportType,DataMode,$H948,FXMode)*Scale,"--"))</f>
        <v>--</v>
      </c>
      <c r="R948" s="255"/>
    </row>
    <row r="949" spans="1:18" s="89" customFormat="1" ht="13.9">
      <c r="A949" s="269" t="str">
        <f t="shared" si="204"/>
        <v>n</v>
      </c>
      <c r="B949" s="2060"/>
      <c r="D949" s="801"/>
      <c r="E949" s="1505">
        <v>10</v>
      </c>
      <c r="F949" s="21" t="str">
        <f>F$138</f>
        <v>--</v>
      </c>
      <c r="G949" s="1441">
        <f>G$138</f>
        <v>0</v>
      </c>
      <c r="H949" s="1441" t="str">
        <f>H$138</f>
        <v>--</v>
      </c>
      <c r="I949" s="89" t="s">
        <v>824</v>
      </c>
      <c r="J949" s="2301" t="str">
        <f>IF($G949=0,"--",IFERROR(_xll.ciqfunctions.udf.CIQ($G949,$I949,J109,Valuation_Date_GC,ReportType,DataMode,$H949,FXMode)*Scale,"--"))</f>
        <v>--</v>
      </c>
      <c r="K949" s="2301" t="str">
        <f>IF($G949=0,"--",IFERROR(_xll.ciqfunctions.udf.CIQ($G949,$I949,K109,Valuation_Date_GC,ReportType,DataMode,$H949,FXMode)*Scale,"--"))</f>
        <v>--</v>
      </c>
      <c r="L949" s="2301" t="str">
        <f>IF($G949=0,"--",IFERROR(_xll.ciqfunctions.udf.CIQ($G949,$I949,L109,Valuation_Date_GC,ReportType,DataMode,$H949,FXMode)*Scale,"--"))</f>
        <v>--</v>
      </c>
      <c r="M949" s="2301" t="str">
        <f>IF($G949=0,"--",IFERROR(_xll.ciqfunctions.udf.CIQ($G949,$I949,M109,Valuation_Date_GC,ReportType,DataMode,$H949,FXMode)*Scale,"--"))</f>
        <v>--</v>
      </c>
      <c r="N949" s="2301" t="str">
        <f>IF($G949=0,"--",IFERROR(_xll.ciqfunctions.udf.CIQ($G949,$I949,N109,Valuation_Date_GC,ReportType,DataMode,$H949,FXMode)*Scale,"--"))</f>
        <v>--</v>
      </c>
      <c r="O949" s="1471" t="str">
        <f>IF($G949=0,"--",IFERROR(_xll.ciqfunctions.udf.CIQ($G949,$I949,O109,Valuation_Date_GC,ReportType,DataMode,$H949,FXMode)*Scale,"--"))</f>
        <v>--</v>
      </c>
      <c r="P949" s="2301" t="str">
        <f>IF($G949=0,"--",IFERROR(_xll.ciqfunctions.udf.CIQ($G949,$I949,P109,Valuation_Date_GC,ReportType,DataMode,$H949,FXMode)*Scale,"--"))</f>
        <v>--</v>
      </c>
      <c r="R949" s="255"/>
    </row>
    <row r="950" spans="1:18" s="89" customFormat="1" ht="13.9">
      <c r="A950" s="269" t="str">
        <f t="shared" si="204"/>
        <v>n</v>
      </c>
      <c r="B950" s="2060"/>
      <c r="D950" s="801"/>
      <c r="E950" s="1505">
        <v>11</v>
      </c>
      <c r="F950" s="21" t="str">
        <f>F$139</f>
        <v>--</v>
      </c>
      <c r="G950" s="1441">
        <f>G$139</f>
        <v>0</v>
      </c>
      <c r="H950" s="1441" t="str">
        <f>H$139</f>
        <v>--</v>
      </c>
      <c r="I950" s="89" t="s">
        <v>824</v>
      </c>
      <c r="J950" s="2301" t="str">
        <f>IF($G950=0,"--",IFERROR(_xll.ciqfunctions.udf.CIQ($G950,$I950,J110,Valuation_Date_GC,ReportType,DataMode,$H950,FXMode)*Scale,"--"))</f>
        <v>--</v>
      </c>
      <c r="K950" s="2301" t="str">
        <f>IF($G950=0,"--",IFERROR(_xll.ciqfunctions.udf.CIQ($G950,$I950,K110,Valuation_Date_GC,ReportType,DataMode,$H950,FXMode)*Scale,"--"))</f>
        <v>--</v>
      </c>
      <c r="L950" s="2301" t="str">
        <f>IF($G950=0,"--",IFERROR(_xll.ciqfunctions.udf.CIQ($G950,$I950,L110,Valuation_Date_GC,ReportType,DataMode,$H950,FXMode)*Scale,"--"))</f>
        <v>--</v>
      </c>
      <c r="M950" s="2301" t="str">
        <f>IF($G950=0,"--",IFERROR(_xll.ciqfunctions.udf.CIQ($G950,$I950,M110,Valuation_Date_GC,ReportType,DataMode,$H950,FXMode)*Scale,"--"))</f>
        <v>--</v>
      </c>
      <c r="N950" s="2301" t="str">
        <f>IF($G950=0,"--",IFERROR(_xll.ciqfunctions.udf.CIQ($G950,$I950,N110,Valuation_Date_GC,ReportType,DataMode,$H950,FXMode)*Scale,"--"))</f>
        <v>--</v>
      </c>
      <c r="O950" s="1471" t="str">
        <f>IF($G950=0,"--",IFERROR(_xll.ciqfunctions.udf.CIQ($G950,$I950,O110,Valuation_Date_GC,ReportType,DataMode,$H950,FXMode)*Scale,"--"))</f>
        <v>--</v>
      </c>
      <c r="P950" s="2301" t="str">
        <f>IF($G950=0,"--",IFERROR(_xll.ciqfunctions.udf.CIQ($G950,$I950,P110,Valuation_Date_GC,ReportType,DataMode,$H950,FXMode)*Scale,"--"))</f>
        <v>--</v>
      </c>
      <c r="R950" s="255"/>
    </row>
    <row r="951" spans="1:18" s="89" customFormat="1" ht="13.9">
      <c r="A951" s="269" t="str">
        <f t="shared" si="204"/>
        <v>n</v>
      </c>
      <c r="B951" s="2060"/>
      <c r="D951" s="801"/>
      <c r="E951" s="1505">
        <v>12</v>
      </c>
      <c r="F951" s="21" t="str">
        <f>F$140</f>
        <v>--</v>
      </c>
      <c r="G951" s="1441">
        <f>G$140</f>
        <v>0</v>
      </c>
      <c r="H951" s="1441" t="str">
        <f>H$140</f>
        <v>--</v>
      </c>
      <c r="I951" s="89" t="s">
        <v>824</v>
      </c>
      <c r="J951" s="2301" t="str">
        <f>IF($G951=0,"--",IFERROR(_xll.ciqfunctions.udf.CIQ($G951,$I951,J111,Valuation_Date_GC,ReportType,DataMode,$H951,FXMode)*Scale,"--"))</f>
        <v>--</v>
      </c>
      <c r="K951" s="2301" t="str">
        <f>IF($G951=0,"--",IFERROR(_xll.ciqfunctions.udf.CIQ($G951,$I951,K111,Valuation_Date_GC,ReportType,DataMode,$H951,FXMode)*Scale,"--"))</f>
        <v>--</v>
      </c>
      <c r="L951" s="2301" t="str">
        <f>IF($G951=0,"--",IFERROR(_xll.ciqfunctions.udf.CIQ($G951,$I951,L111,Valuation_Date_GC,ReportType,DataMode,$H951,FXMode)*Scale,"--"))</f>
        <v>--</v>
      </c>
      <c r="M951" s="2301" t="str">
        <f>IF($G951=0,"--",IFERROR(_xll.ciqfunctions.udf.CIQ($G951,$I951,M111,Valuation_Date_GC,ReportType,DataMode,$H951,FXMode)*Scale,"--"))</f>
        <v>--</v>
      </c>
      <c r="N951" s="2301" t="str">
        <f>IF($G951=0,"--",IFERROR(_xll.ciqfunctions.udf.CIQ($G951,$I951,N111,Valuation_Date_GC,ReportType,DataMode,$H951,FXMode)*Scale,"--"))</f>
        <v>--</v>
      </c>
      <c r="O951" s="1471" t="str">
        <f>IF($G951=0,"--",IFERROR(_xll.ciqfunctions.udf.CIQ($G951,$I951,O111,Valuation_Date_GC,ReportType,DataMode,$H951,FXMode)*Scale,"--"))</f>
        <v>--</v>
      </c>
      <c r="P951" s="2301" t="str">
        <f>IF($G951=0,"--",IFERROR(_xll.ciqfunctions.udf.CIQ($G951,$I951,P111,Valuation_Date_GC,ReportType,DataMode,$H951,FXMode)*Scale,"--"))</f>
        <v>--</v>
      </c>
      <c r="R951" s="255"/>
    </row>
    <row r="952" spans="1:18" s="89" customFormat="1" ht="13.9">
      <c r="A952" s="269" t="str">
        <f t="shared" si="204"/>
        <v>n</v>
      </c>
      <c r="B952" s="2060"/>
      <c r="D952" s="801"/>
      <c r="E952" s="1505">
        <v>13</v>
      </c>
      <c r="F952" s="21" t="str">
        <f>F$141</f>
        <v>--</v>
      </c>
      <c r="G952" s="1441">
        <f>G$141</f>
        <v>0</v>
      </c>
      <c r="H952" s="1441" t="str">
        <f>H$141</f>
        <v>--</v>
      </c>
      <c r="I952" s="89" t="s">
        <v>824</v>
      </c>
      <c r="J952" s="2301" t="str">
        <f>IF($G952=0,"--",IFERROR(_xll.ciqfunctions.udf.CIQ($G952,$I952,J112,Valuation_Date_GC,ReportType,DataMode,$H952,FXMode)*Scale,"--"))</f>
        <v>--</v>
      </c>
      <c r="K952" s="2301" t="str">
        <f>IF($G952=0,"--",IFERROR(_xll.ciqfunctions.udf.CIQ($G952,$I952,K112,Valuation_Date_GC,ReportType,DataMode,$H952,FXMode)*Scale,"--"))</f>
        <v>--</v>
      </c>
      <c r="L952" s="2301" t="str">
        <f>IF($G952=0,"--",IFERROR(_xll.ciqfunctions.udf.CIQ($G952,$I952,L112,Valuation_Date_GC,ReportType,DataMode,$H952,FXMode)*Scale,"--"))</f>
        <v>--</v>
      </c>
      <c r="M952" s="2301" t="str">
        <f>IF($G952=0,"--",IFERROR(_xll.ciqfunctions.udf.CIQ($G952,$I952,M112,Valuation_Date_GC,ReportType,DataMode,$H952,FXMode)*Scale,"--"))</f>
        <v>--</v>
      </c>
      <c r="N952" s="2301" t="str">
        <f>IF($G952=0,"--",IFERROR(_xll.ciqfunctions.udf.CIQ($G952,$I952,N112,Valuation_Date_GC,ReportType,DataMode,$H952,FXMode)*Scale,"--"))</f>
        <v>--</v>
      </c>
      <c r="O952" s="1471" t="str">
        <f>IF($G952=0,"--",IFERROR(_xll.ciqfunctions.udf.CIQ($G952,$I952,O112,Valuation_Date_GC,ReportType,DataMode,$H952,FXMode)*Scale,"--"))</f>
        <v>--</v>
      </c>
      <c r="P952" s="2301" t="str">
        <f>IF($G952=0,"--",IFERROR(_xll.ciqfunctions.udf.CIQ($G952,$I952,P112,Valuation_Date_GC,ReportType,DataMode,$H952,FXMode)*Scale,"--"))</f>
        <v>--</v>
      </c>
      <c r="R952" s="255"/>
    </row>
    <row r="953" spans="1:18" s="89" customFormat="1" ht="13.9">
      <c r="A953" s="269" t="str">
        <f t="shared" si="204"/>
        <v>n</v>
      </c>
      <c r="B953" s="2060"/>
      <c r="D953" s="801"/>
      <c r="E953" s="1505">
        <v>14</v>
      </c>
      <c r="F953" s="21" t="str">
        <f>F$142</f>
        <v>--</v>
      </c>
      <c r="G953" s="1441">
        <f>G$142</f>
        <v>0</v>
      </c>
      <c r="H953" s="1441" t="str">
        <f>H$142</f>
        <v>--</v>
      </c>
      <c r="I953" s="89" t="s">
        <v>824</v>
      </c>
      <c r="J953" s="2301" t="str">
        <f>IF($G953=0,"--",IFERROR(_xll.ciqfunctions.udf.CIQ($G953,$I953,J113,Valuation_Date_GC,ReportType,DataMode,$H953,FXMode)*Scale,"--"))</f>
        <v>--</v>
      </c>
      <c r="K953" s="2301" t="str">
        <f>IF($G953=0,"--",IFERROR(_xll.ciqfunctions.udf.CIQ($G953,$I953,K113,Valuation_Date_GC,ReportType,DataMode,$H953,FXMode)*Scale,"--"))</f>
        <v>--</v>
      </c>
      <c r="L953" s="2301" t="str">
        <f>IF($G953=0,"--",IFERROR(_xll.ciqfunctions.udf.CIQ($G953,$I953,L113,Valuation_Date_GC,ReportType,DataMode,$H953,FXMode)*Scale,"--"))</f>
        <v>--</v>
      </c>
      <c r="M953" s="2301" t="str">
        <f>IF($G953=0,"--",IFERROR(_xll.ciqfunctions.udf.CIQ($G953,$I953,M113,Valuation_Date_GC,ReportType,DataMode,$H953,FXMode)*Scale,"--"))</f>
        <v>--</v>
      </c>
      <c r="N953" s="2301" t="str">
        <f>IF($G953=0,"--",IFERROR(_xll.ciqfunctions.udf.CIQ($G953,$I953,N113,Valuation_Date_GC,ReportType,DataMode,$H953,FXMode)*Scale,"--"))</f>
        <v>--</v>
      </c>
      <c r="O953" s="1471" t="str">
        <f>IF($G953=0,"--",IFERROR(_xll.ciqfunctions.udf.CIQ($G953,$I953,O113,Valuation_Date_GC,ReportType,DataMode,$H953,FXMode)*Scale,"--"))</f>
        <v>--</v>
      </c>
      <c r="P953" s="2301" t="str">
        <f>IF($G953=0,"--",IFERROR(_xll.ciqfunctions.udf.CIQ($G953,$I953,P113,Valuation_Date_GC,ReportType,DataMode,$H953,FXMode)*Scale,"--"))</f>
        <v>--</v>
      </c>
      <c r="R953" s="255"/>
    </row>
    <row r="954" spans="1:18" s="89" customFormat="1" ht="13.9">
      <c r="A954" s="269" t="str">
        <f t="shared" si="204"/>
        <v>n</v>
      </c>
      <c r="B954" s="2060"/>
      <c r="D954" s="801"/>
      <c r="E954" s="1505">
        <v>15</v>
      </c>
      <c r="F954" s="21" t="str">
        <f>F$143</f>
        <v>--</v>
      </c>
      <c r="G954" s="1441">
        <f>G$143</f>
        <v>0</v>
      </c>
      <c r="H954" s="1441" t="str">
        <f>H$143</f>
        <v>--</v>
      </c>
      <c r="I954" s="89" t="s">
        <v>824</v>
      </c>
      <c r="J954" s="2301" t="str">
        <f>IF($G954=0,"--",IFERROR(_xll.ciqfunctions.udf.CIQ($G954,$I954,J114,Valuation_Date_GC,ReportType,DataMode,$H954,FXMode)*Scale,"--"))</f>
        <v>--</v>
      </c>
      <c r="K954" s="2301" t="str">
        <f>IF($G954=0,"--",IFERROR(_xll.ciqfunctions.udf.CIQ($G954,$I954,K114,Valuation_Date_GC,ReportType,DataMode,$H954,FXMode)*Scale,"--"))</f>
        <v>--</v>
      </c>
      <c r="L954" s="2301" t="str">
        <f>IF($G954=0,"--",IFERROR(_xll.ciqfunctions.udf.CIQ($G954,$I954,L114,Valuation_Date_GC,ReportType,DataMode,$H954,FXMode)*Scale,"--"))</f>
        <v>--</v>
      </c>
      <c r="M954" s="2301" t="str">
        <f>IF($G954=0,"--",IFERROR(_xll.ciqfunctions.udf.CIQ($G954,$I954,M114,Valuation_Date_GC,ReportType,DataMode,$H954,FXMode)*Scale,"--"))</f>
        <v>--</v>
      </c>
      <c r="N954" s="2301" t="str">
        <f>IF($G954=0,"--",IFERROR(_xll.ciqfunctions.udf.CIQ($G954,$I954,N114,Valuation_Date_GC,ReportType,DataMode,$H954,FXMode)*Scale,"--"))</f>
        <v>--</v>
      </c>
      <c r="O954" s="1471" t="str">
        <f>IF($G954=0,"--",IFERROR(_xll.ciqfunctions.udf.CIQ($G954,$I954,O114,Valuation_Date_GC,ReportType,DataMode,$H954,FXMode)*Scale,"--"))</f>
        <v>--</v>
      </c>
      <c r="P954" s="2301" t="str">
        <f>IF($G954=0,"--",IFERROR(_xll.ciqfunctions.udf.CIQ($G954,$I954,P114,Valuation_Date_GC,ReportType,DataMode,$H954,FXMode)*Scale,"--"))</f>
        <v>--</v>
      </c>
      <c r="R954" s="255"/>
    </row>
    <row r="955" spans="1:18" s="89" customFormat="1" ht="13.9">
      <c r="A955" s="269" t="str">
        <f t="shared" si="204"/>
        <v>n</v>
      </c>
      <c r="B955" s="2060"/>
      <c r="D955" s="801"/>
      <c r="E955" s="1505">
        <v>16</v>
      </c>
      <c r="F955" s="21" t="str">
        <f>F$144</f>
        <v>--</v>
      </c>
      <c r="G955" s="1441">
        <f>G$144</f>
        <v>0</v>
      </c>
      <c r="H955" s="1441" t="str">
        <f>H$144</f>
        <v>--</v>
      </c>
      <c r="I955" s="89" t="s">
        <v>824</v>
      </c>
      <c r="J955" s="2301" t="str">
        <f>IF($G955=0,"--",IFERROR(_xll.ciqfunctions.udf.CIQ($G955,$I955,J115,Valuation_Date_GC,ReportType,DataMode,$H955,FXMode)*Scale,"--"))</f>
        <v>--</v>
      </c>
      <c r="K955" s="2301" t="str">
        <f>IF($G955=0,"--",IFERROR(_xll.ciqfunctions.udf.CIQ($G955,$I955,K115,Valuation_Date_GC,ReportType,DataMode,$H955,FXMode)*Scale,"--"))</f>
        <v>--</v>
      </c>
      <c r="L955" s="2301" t="str">
        <f>IF($G955=0,"--",IFERROR(_xll.ciqfunctions.udf.CIQ($G955,$I955,L115,Valuation_Date_GC,ReportType,DataMode,$H955,FXMode)*Scale,"--"))</f>
        <v>--</v>
      </c>
      <c r="M955" s="2301" t="str">
        <f>IF($G955=0,"--",IFERROR(_xll.ciqfunctions.udf.CIQ($G955,$I955,M115,Valuation_Date_GC,ReportType,DataMode,$H955,FXMode)*Scale,"--"))</f>
        <v>--</v>
      </c>
      <c r="N955" s="2301" t="str">
        <f>IF($G955=0,"--",IFERROR(_xll.ciqfunctions.udf.CIQ($G955,$I955,N115,Valuation_Date_GC,ReportType,DataMode,$H955,FXMode)*Scale,"--"))</f>
        <v>--</v>
      </c>
      <c r="O955" s="1471" t="str">
        <f>IF($G955=0,"--",IFERROR(_xll.ciqfunctions.udf.CIQ($G955,$I955,O115,Valuation_Date_GC,ReportType,DataMode,$H955,FXMode)*Scale,"--"))</f>
        <v>--</v>
      </c>
      <c r="P955" s="2301" t="str">
        <f>IF($G955=0,"--",IFERROR(_xll.ciqfunctions.udf.CIQ($G955,$I955,P115,Valuation_Date_GC,ReportType,DataMode,$H955,FXMode)*Scale,"--"))</f>
        <v>--</v>
      </c>
      <c r="R955" s="255"/>
    </row>
    <row r="956" spans="1:18" s="89" customFormat="1" ht="13.9">
      <c r="A956" s="269" t="str">
        <f t="shared" si="204"/>
        <v>n</v>
      </c>
      <c r="B956" s="2060"/>
      <c r="D956" s="801"/>
      <c r="E956" s="1505">
        <v>17</v>
      </c>
      <c r="F956" s="21" t="str">
        <f>F$145</f>
        <v>--</v>
      </c>
      <c r="G956" s="1441">
        <f>G$145</f>
        <v>0</v>
      </c>
      <c r="H956" s="1441" t="str">
        <f>H$145</f>
        <v>--</v>
      </c>
      <c r="I956" s="89" t="s">
        <v>824</v>
      </c>
      <c r="J956" s="2301" t="str">
        <f>IF($G956=0,"--",IFERROR(_xll.ciqfunctions.udf.CIQ($G956,$I956,J116,Valuation_Date_GC,ReportType,DataMode,$H956,FXMode)*Scale,"--"))</f>
        <v>--</v>
      </c>
      <c r="K956" s="2301" t="str">
        <f>IF($G956=0,"--",IFERROR(_xll.ciqfunctions.udf.CIQ($G956,$I956,K116,Valuation_Date_GC,ReportType,DataMode,$H956,FXMode)*Scale,"--"))</f>
        <v>--</v>
      </c>
      <c r="L956" s="2301" t="str">
        <f>IF($G956=0,"--",IFERROR(_xll.ciqfunctions.udf.CIQ($G956,$I956,L116,Valuation_Date_GC,ReportType,DataMode,$H956,FXMode)*Scale,"--"))</f>
        <v>--</v>
      </c>
      <c r="M956" s="2301" t="str">
        <f>IF($G956=0,"--",IFERROR(_xll.ciqfunctions.udf.CIQ($G956,$I956,M116,Valuation_Date_GC,ReportType,DataMode,$H956,FXMode)*Scale,"--"))</f>
        <v>--</v>
      </c>
      <c r="N956" s="2301" t="str">
        <f>IF($G956=0,"--",IFERROR(_xll.ciqfunctions.udf.CIQ($G956,$I956,N116,Valuation_Date_GC,ReportType,DataMode,$H956,FXMode)*Scale,"--"))</f>
        <v>--</v>
      </c>
      <c r="O956" s="1471" t="str">
        <f>IF($G956=0,"--",IFERROR(_xll.ciqfunctions.udf.CIQ($G956,$I956,O116,Valuation_Date_GC,ReportType,DataMode,$H956,FXMode)*Scale,"--"))</f>
        <v>--</v>
      </c>
      <c r="P956" s="2301" t="str">
        <f>IF($G956=0,"--",IFERROR(_xll.ciqfunctions.udf.CIQ($G956,$I956,P116,Valuation_Date_GC,ReportType,DataMode,$H956,FXMode)*Scale,"--"))</f>
        <v>--</v>
      </c>
      <c r="R956" s="255"/>
    </row>
    <row r="957" spans="1:18" s="89" customFormat="1" ht="13.9">
      <c r="A957" s="269" t="str">
        <f t="shared" si="204"/>
        <v>n</v>
      </c>
      <c r="B957" s="2060"/>
      <c r="D957" s="801"/>
      <c r="E957" s="1505">
        <v>18</v>
      </c>
      <c r="F957" s="21" t="str">
        <f>F$146</f>
        <v>--</v>
      </c>
      <c r="G957" s="1441">
        <f>G$146</f>
        <v>0</v>
      </c>
      <c r="H957" s="1441" t="str">
        <f>H$146</f>
        <v>--</v>
      </c>
      <c r="I957" s="89" t="s">
        <v>824</v>
      </c>
      <c r="J957" s="2301" t="str">
        <f>IF($G957=0,"--",IFERROR(_xll.ciqfunctions.udf.CIQ($G957,$I957,J117,Valuation_Date_GC,ReportType,DataMode,$H957,FXMode)*Scale,"--"))</f>
        <v>--</v>
      </c>
      <c r="K957" s="2301" t="str">
        <f>IF($G957=0,"--",IFERROR(_xll.ciqfunctions.udf.CIQ($G957,$I957,K117,Valuation_Date_GC,ReportType,DataMode,$H957,FXMode)*Scale,"--"))</f>
        <v>--</v>
      </c>
      <c r="L957" s="2301" t="str">
        <f>IF($G957=0,"--",IFERROR(_xll.ciqfunctions.udf.CIQ($G957,$I957,L117,Valuation_Date_GC,ReportType,DataMode,$H957,FXMode)*Scale,"--"))</f>
        <v>--</v>
      </c>
      <c r="M957" s="2301" t="str">
        <f>IF($G957=0,"--",IFERROR(_xll.ciqfunctions.udf.CIQ($G957,$I957,M117,Valuation_Date_GC,ReportType,DataMode,$H957,FXMode)*Scale,"--"))</f>
        <v>--</v>
      </c>
      <c r="N957" s="2301" t="str">
        <f>IF($G957=0,"--",IFERROR(_xll.ciqfunctions.udf.CIQ($G957,$I957,N117,Valuation_Date_GC,ReportType,DataMode,$H957,FXMode)*Scale,"--"))</f>
        <v>--</v>
      </c>
      <c r="O957" s="1471" t="str">
        <f>IF($G957=0,"--",IFERROR(_xll.ciqfunctions.udf.CIQ($G957,$I957,O117,Valuation_Date_GC,ReportType,DataMode,$H957,FXMode)*Scale,"--"))</f>
        <v>--</v>
      </c>
      <c r="P957" s="2301" t="str">
        <f>IF($G957=0,"--",IFERROR(_xll.ciqfunctions.udf.CIQ($G957,$I957,P117,Valuation_Date_GC,ReportType,DataMode,$H957,FXMode)*Scale,"--"))</f>
        <v>--</v>
      </c>
      <c r="R957" s="255"/>
    </row>
    <row r="958" spans="1:18" s="89" customFormat="1" ht="13.9">
      <c r="A958" s="269" t="str">
        <f t="shared" si="204"/>
        <v>n</v>
      </c>
      <c r="B958" s="2060"/>
      <c r="D958" s="801"/>
      <c r="E958" s="1505">
        <v>19</v>
      </c>
      <c r="F958" s="21" t="str">
        <f>F$147</f>
        <v>--</v>
      </c>
      <c r="G958" s="1441">
        <f>G$147</f>
        <v>0</v>
      </c>
      <c r="H958" s="1441" t="str">
        <f>H$147</f>
        <v>--</v>
      </c>
      <c r="I958" s="89" t="s">
        <v>824</v>
      </c>
      <c r="J958" s="2301" t="str">
        <f>IF($G958=0,"--",IFERROR(_xll.ciqfunctions.udf.CIQ($G958,$I958,J118,Valuation_Date_GC,ReportType,DataMode,$H958,FXMode)*Scale,"--"))</f>
        <v>--</v>
      </c>
      <c r="K958" s="2301" t="str">
        <f>IF($G958=0,"--",IFERROR(_xll.ciqfunctions.udf.CIQ($G958,$I958,K118,Valuation_Date_GC,ReportType,DataMode,$H958,FXMode)*Scale,"--"))</f>
        <v>--</v>
      </c>
      <c r="L958" s="2301" t="str">
        <f>IF($G958=0,"--",IFERROR(_xll.ciqfunctions.udf.CIQ($G958,$I958,L118,Valuation_Date_GC,ReportType,DataMode,$H958,FXMode)*Scale,"--"))</f>
        <v>--</v>
      </c>
      <c r="M958" s="2301" t="str">
        <f>IF($G958=0,"--",IFERROR(_xll.ciqfunctions.udf.CIQ($G958,$I958,M118,Valuation_Date_GC,ReportType,DataMode,$H958,FXMode)*Scale,"--"))</f>
        <v>--</v>
      </c>
      <c r="N958" s="2301" t="str">
        <f>IF($G958=0,"--",IFERROR(_xll.ciqfunctions.udf.CIQ($G958,$I958,N118,Valuation_Date_GC,ReportType,DataMode,$H958,FXMode)*Scale,"--"))</f>
        <v>--</v>
      </c>
      <c r="O958" s="1471" t="str">
        <f>IF($G958=0,"--",IFERROR(_xll.ciqfunctions.udf.CIQ($G958,$I958,O118,Valuation_Date_GC,ReportType,DataMode,$H958,FXMode)*Scale,"--"))</f>
        <v>--</v>
      </c>
      <c r="P958" s="2301" t="str">
        <f>IF($G958=0,"--",IFERROR(_xll.ciqfunctions.udf.CIQ($G958,$I958,P118,Valuation_Date_GC,ReportType,DataMode,$H958,FXMode)*Scale,"--"))</f>
        <v>--</v>
      </c>
      <c r="R958" s="255"/>
    </row>
    <row r="959" spans="1:18" s="89" customFormat="1" ht="13.9">
      <c r="A959" s="269" t="str">
        <f t="shared" si="204"/>
        <v>n</v>
      </c>
      <c r="B959" s="2060"/>
      <c r="D959" s="801"/>
      <c r="E959" s="1505">
        <v>20</v>
      </c>
      <c r="F959" s="21" t="str">
        <f>F$148</f>
        <v>--</v>
      </c>
      <c r="G959" s="1441">
        <f>G$148</f>
        <v>0</v>
      </c>
      <c r="H959" s="1441" t="str">
        <f>H$148</f>
        <v>--</v>
      </c>
      <c r="I959" s="89" t="s">
        <v>824</v>
      </c>
      <c r="J959" s="2301" t="str">
        <f>IF($G959=0,"--",IFERROR(_xll.ciqfunctions.udf.CIQ($G959,$I959,J119,Valuation_Date_GC,ReportType,DataMode,$H959,FXMode)*Scale,"--"))</f>
        <v>--</v>
      </c>
      <c r="K959" s="2301" t="str">
        <f>IF($G959=0,"--",IFERROR(_xll.ciqfunctions.udf.CIQ($G959,$I959,K119,Valuation_Date_GC,ReportType,DataMode,$H959,FXMode)*Scale,"--"))</f>
        <v>--</v>
      </c>
      <c r="L959" s="2301" t="str">
        <f>IF($G959=0,"--",IFERROR(_xll.ciqfunctions.udf.CIQ($G959,$I959,L119,Valuation_Date_GC,ReportType,DataMode,$H959,FXMode)*Scale,"--"))</f>
        <v>--</v>
      </c>
      <c r="M959" s="2301" t="str">
        <f>IF($G959=0,"--",IFERROR(_xll.ciqfunctions.udf.CIQ($G959,$I959,M119,Valuation_Date_GC,ReportType,DataMode,$H959,FXMode)*Scale,"--"))</f>
        <v>--</v>
      </c>
      <c r="N959" s="2301" t="str">
        <f>IF($G959=0,"--",IFERROR(_xll.ciqfunctions.udf.CIQ($G959,$I959,N119,Valuation_Date_GC,ReportType,DataMode,$H959,FXMode)*Scale,"--"))</f>
        <v>--</v>
      </c>
      <c r="O959" s="1471" t="str">
        <f>IF($G959=0,"--",IFERROR(_xll.ciqfunctions.udf.CIQ($G959,$I959,O119,Valuation_Date_GC,ReportType,DataMode,$H959,FXMode)*Scale,"--"))</f>
        <v>--</v>
      </c>
      <c r="P959" s="2301" t="str">
        <f>IF($G959=0,"--",IFERROR(_xll.ciqfunctions.udf.CIQ($G959,$I959,P119,Valuation_Date_GC,ReportType,DataMode,$H959,FXMode)*Scale,"--"))</f>
        <v>--</v>
      </c>
      <c r="R959" s="255"/>
    </row>
    <row r="960" spans="1:18" s="89" customFormat="1" ht="13.9">
      <c r="A960" s="269" t="str">
        <f t="shared" si="204"/>
        <v>n</v>
      </c>
      <c r="B960" s="2060"/>
      <c r="D960" s="801"/>
      <c r="E960" s="1505">
        <v>21</v>
      </c>
      <c r="F960" s="21" t="str">
        <f>F$149</f>
        <v>--</v>
      </c>
      <c r="G960" s="1441">
        <f>G$149</f>
        <v>0</v>
      </c>
      <c r="H960" s="1441" t="str">
        <f>H$149</f>
        <v>--</v>
      </c>
      <c r="I960" s="89" t="s">
        <v>824</v>
      </c>
      <c r="J960" s="2301" t="str">
        <f>IF($G960=0,"--",IFERROR(_xll.ciqfunctions.udf.CIQ($G960,$I960,J120,Valuation_Date_GC,ReportType,DataMode,$H960,FXMode)*Scale,"--"))</f>
        <v>--</v>
      </c>
      <c r="K960" s="2301" t="str">
        <f>IF($G960=0,"--",IFERROR(_xll.ciqfunctions.udf.CIQ($G960,$I960,K120,Valuation_Date_GC,ReportType,DataMode,$H960,FXMode)*Scale,"--"))</f>
        <v>--</v>
      </c>
      <c r="L960" s="2301" t="str">
        <f>IF($G960=0,"--",IFERROR(_xll.ciqfunctions.udf.CIQ($G960,$I960,L120,Valuation_Date_GC,ReportType,DataMode,$H960,FXMode)*Scale,"--"))</f>
        <v>--</v>
      </c>
      <c r="M960" s="2301" t="str">
        <f>IF($G960=0,"--",IFERROR(_xll.ciqfunctions.udf.CIQ($G960,$I960,M120,Valuation_Date_GC,ReportType,DataMode,$H960,FXMode)*Scale,"--"))</f>
        <v>--</v>
      </c>
      <c r="N960" s="2301" t="str">
        <f>IF($G960=0,"--",IFERROR(_xll.ciqfunctions.udf.CIQ($G960,$I960,N120,Valuation_Date_GC,ReportType,DataMode,$H960,FXMode)*Scale,"--"))</f>
        <v>--</v>
      </c>
      <c r="O960" s="1471" t="str">
        <f>IF($G960=0,"--",IFERROR(_xll.ciqfunctions.udf.CIQ($G960,$I960,O120,Valuation_Date_GC,ReportType,DataMode,$H960,FXMode)*Scale,"--"))</f>
        <v>--</v>
      </c>
      <c r="P960" s="2301" t="str">
        <f>IF($G960=0,"--",IFERROR(_xll.ciqfunctions.udf.CIQ($G960,$I960,P120,Valuation_Date_GC,ReportType,DataMode,$H960,FXMode)*Scale,"--"))</f>
        <v>--</v>
      </c>
      <c r="R960" s="255"/>
    </row>
    <row r="961" spans="1:20" s="89" customFormat="1" ht="13.9">
      <c r="A961" s="269" t="str">
        <f t="shared" si="204"/>
        <v>n</v>
      </c>
      <c r="B961" s="2060"/>
      <c r="D961" s="801"/>
      <c r="E961" s="1505">
        <v>22</v>
      </c>
      <c r="F961" s="21" t="str">
        <f>F$150</f>
        <v>--</v>
      </c>
      <c r="G961" s="1441">
        <f>G$150</f>
        <v>0</v>
      </c>
      <c r="H961" s="1441" t="str">
        <f>H$150</f>
        <v>--</v>
      </c>
      <c r="I961" s="89" t="s">
        <v>824</v>
      </c>
      <c r="J961" s="2301" t="str">
        <f>IF($G961=0,"--",IFERROR(_xll.ciqfunctions.udf.CIQ($G961,$I961,J121,Valuation_Date_GC,ReportType,DataMode,$H961,FXMode)*Scale,"--"))</f>
        <v>--</v>
      </c>
      <c r="K961" s="2301" t="str">
        <f>IF($G961=0,"--",IFERROR(_xll.ciqfunctions.udf.CIQ($G961,$I961,K121,Valuation_Date_GC,ReportType,DataMode,$H961,FXMode)*Scale,"--"))</f>
        <v>--</v>
      </c>
      <c r="L961" s="2301" t="str">
        <f>IF($G961=0,"--",IFERROR(_xll.ciqfunctions.udf.CIQ($G961,$I961,L121,Valuation_Date_GC,ReportType,DataMode,$H961,FXMode)*Scale,"--"))</f>
        <v>--</v>
      </c>
      <c r="M961" s="2301" t="str">
        <f>IF($G961=0,"--",IFERROR(_xll.ciqfunctions.udf.CIQ($G961,$I961,M121,Valuation_Date_GC,ReportType,DataMode,$H961,FXMode)*Scale,"--"))</f>
        <v>--</v>
      </c>
      <c r="N961" s="2301" t="str">
        <f>IF($G961=0,"--",IFERROR(_xll.ciqfunctions.udf.CIQ($G961,$I961,N121,Valuation_Date_GC,ReportType,DataMode,$H961,FXMode)*Scale,"--"))</f>
        <v>--</v>
      </c>
      <c r="O961" s="1471" t="str">
        <f>IF($G961=0,"--",IFERROR(_xll.ciqfunctions.udf.CIQ($G961,$I961,O121,Valuation_Date_GC,ReportType,DataMode,$H961,FXMode)*Scale,"--"))</f>
        <v>--</v>
      </c>
      <c r="P961" s="2301" t="str">
        <f>IF($G961=0,"--",IFERROR(_xll.ciqfunctions.udf.CIQ($G961,$I961,P121,Valuation_Date_GC,ReportType,DataMode,$H961,FXMode)*Scale,"--"))</f>
        <v>--</v>
      </c>
      <c r="R961" s="255"/>
    </row>
    <row r="962" spans="1:20" s="89" customFormat="1" ht="13.9">
      <c r="A962" s="269" t="str">
        <f t="shared" si="204"/>
        <v>n</v>
      </c>
      <c r="B962" s="2060"/>
      <c r="D962" s="801"/>
      <c r="E962" s="1505">
        <v>23</v>
      </c>
      <c r="F962" s="21" t="str">
        <f>F$151</f>
        <v>--</v>
      </c>
      <c r="G962" s="1441">
        <f>G$151</f>
        <v>0</v>
      </c>
      <c r="H962" s="1441" t="str">
        <f>H$151</f>
        <v>--</v>
      </c>
      <c r="I962" s="89" t="s">
        <v>824</v>
      </c>
      <c r="J962" s="2301" t="str">
        <f>IF($G962=0,"--",IFERROR(_xll.ciqfunctions.udf.CIQ($G962,$I962,J122,Valuation_Date_GC,ReportType,DataMode,$H962,FXMode)*Scale,"--"))</f>
        <v>--</v>
      </c>
      <c r="K962" s="2301" t="str">
        <f>IF($G962=0,"--",IFERROR(_xll.ciqfunctions.udf.CIQ($G962,$I962,K122,Valuation_Date_GC,ReportType,DataMode,$H962,FXMode)*Scale,"--"))</f>
        <v>--</v>
      </c>
      <c r="L962" s="2301" t="str">
        <f>IF($G962=0,"--",IFERROR(_xll.ciqfunctions.udf.CIQ($G962,$I962,L122,Valuation_Date_GC,ReportType,DataMode,$H962,FXMode)*Scale,"--"))</f>
        <v>--</v>
      </c>
      <c r="M962" s="2301" t="str">
        <f>IF($G962=0,"--",IFERROR(_xll.ciqfunctions.udf.CIQ($G962,$I962,M122,Valuation_Date_GC,ReportType,DataMode,$H962,FXMode)*Scale,"--"))</f>
        <v>--</v>
      </c>
      <c r="N962" s="2301" t="str">
        <f>IF($G962=0,"--",IFERROR(_xll.ciqfunctions.udf.CIQ($G962,$I962,N122,Valuation_Date_GC,ReportType,DataMode,$H962,FXMode)*Scale,"--"))</f>
        <v>--</v>
      </c>
      <c r="O962" s="1471" t="str">
        <f>IF($G962=0,"--",IFERROR(_xll.ciqfunctions.udf.CIQ($G962,$I962,O122,Valuation_Date_GC,ReportType,DataMode,$H962,FXMode)*Scale,"--"))</f>
        <v>--</v>
      </c>
      <c r="P962" s="2301" t="str">
        <f>IF($G962=0,"--",IFERROR(_xll.ciqfunctions.udf.CIQ($G962,$I962,P122,Valuation_Date_GC,ReportType,DataMode,$H962,FXMode)*Scale,"--"))</f>
        <v>--</v>
      </c>
      <c r="R962" s="255"/>
    </row>
    <row r="963" spans="1:20" s="89" customFormat="1" ht="13.9">
      <c r="A963" s="269" t="str">
        <f t="shared" si="204"/>
        <v>n</v>
      </c>
      <c r="B963" s="2060"/>
      <c r="D963" s="801"/>
      <c r="E963" s="1505">
        <v>24</v>
      </c>
      <c r="F963" s="21" t="str">
        <f>F$152</f>
        <v>--</v>
      </c>
      <c r="G963" s="1441">
        <f>G$152</f>
        <v>0</v>
      </c>
      <c r="H963" s="1441" t="str">
        <f>H$152</f>
        <v>--</v>
      </c>
      <c r="I963" s="89" t="s">
        <v>824</v>
      </c>
      <c r="J963" s="2301" t="str">
        <f>IF($G963=0,"--",IFERROR(_xll.ciqfunctions.udf.CIQ($G963,$I963,J123,Valuation_Date_GC,ReportType,DataMode,$H963,FXMode)*Scale,"--"))</f>
        <v>--</v>
      </c>
      <c r="K963" s="2301" t="str">
        <f>IF($G963=0,"--",IFERROR(_xll.ciqfunctions.udf.CIQ($G963,$I963,K123,Valuation_Date_GC,ReportType,DataMode,$H963,FXMode)*Scale,"--"))</f>
        <v>--</v>
      </c>
      <c r="L963" s="2301" t="str">
        <f>IF($G963=0,"--",IFERROR(_xll.ciqfunctions.udf.CIQ($G963,$I963,L123,Valuation_Date_GC,ReportType,DataMode,$H963,FXMode)*Scale,"--"))</f>
        <v>--</v>
      </c>
      <c r="M963" s="2301" t="str">
        <f>IF($G963=0,"--",IFERROR(_xll.ciqfunctions.udf.CIQ($G963,$I963,M123,Valuation_Date_GC,ReportType,DataMode,$H963,FXMode)*Scale,"--"))</f>
        <v>--</v>
      </c>
      <c r="N963" s="2301" t="str">
        <f>IF($G963=0,"--",IFERROR(_xll.ciqfunctions.udf.CIQ($G963,$I963,N123,Valuation_Date_GC,ReportType,DataMode,$H963,FXMode)*Scale,"--"))</f>
        <v>--</v>
      </c>
      <c r="O963" s="1471" t="str">
        <f>IF($G963=0,"--",IFERROR(_xll.ciqfunctions.udf.CIQ($G963,$I963,O123,Valuation_Date_GC,ReportType,DataMode,$H963,FXMode)*Scale,"--"))</f>
        <v>--</v>
      </c>
      <c r="P963" s="2301" t="str">
        <f>IF($G963=0,"--",IFERROR(_xll.ciqfunctions.udf.CIQ($G963,$I963,P123,Valuation_Date_GC,ReportType,DataMode,$H963,FXMode)*Scale,"--"))</f>
        <v>--</v>
      </c>
      <c r="R963" s="255"/>
    </row>
    <row r="964" spans="1:20" s="89" customFormat="1" ht="13.9">
      <c r="A964" s="269" t="str">
        <f t="shared" si="204"/>
        <v>n</v>
      </c>
      <c r="B964" s="2060"/>
      <c r="D964" s="801"/>
      <c r="E964" s="1505">
        <v>25</v>
      </c>
      <c r="F964" s="21" t="str">
        <f>F$153</f>
        <v>--</v>
      </c>
      <c r="G964" s="1441">
        <f>G$153</f>
        <v>0</v>
      </c>
      <c r="H964" s="1441" t="str">
        <f>H$153</f>
        <v>--</v>
      </c>
      <c r="I964" s="89" t="s">
        <v>824</v>
      </c>
      <c r="J964" s="2301" t="str">
        <f>IF($G964=0,"--",IFERROR(_xll.ciqfunctions.udf.CIQ($G964,$I964,J124,Valuation_Date_GC,ReportType,DataMode,$H964,FXMode)*Scale,"--"))</f>
        <v>--</v>
      </c>
      <c r="K964" s="2301" t="str">
        <f>IF($G964=0,"--",IFERROR(_xll.ciqfunctions.udf.CIQ($G964,$I964,K124,Valuation_Date_GC,ReportType,DataMode,$H964,FXMode)*Scale,"--"))</f>
        <v>--</v>
      </c>
      <c r="L964" s="2301" t="str">
        <f>IF($G964=0,"--",IFERROR(_xll.ciqfunctions.udf.CIQ($G964,$I964,L124,Valuation_Date_GC,ReportType,DataMode,$H964,FXMode)*Scale,"--"))</f>
        <v>--</v>
      </c>
      <c r="M964" s="2301" t="str">
        <f>IF($G964=0,"--",IFERROR(_xll.ciqfunctions.udf.CIQ($G964,$I964,M124,Valuation_Date_GC,ReportType,DataMode,$H964,FXMode)*Scale,"--"))</f>
        <v>--</v>
      </c>
      <c r="N964" s="2301" t="str">
        <f>IF($G964=0,"--",IFERROR(_xll.ciqfunctions.udf.CIQ($G964,$I964,N124,Valuation_Date_GC,ReportType,DataMode,$H964,FXMode)*Scale,"--"))</f>
        <v>--</v>
      </c>
      <c r="O964" s="1471" t="str">
        <f>IF($G964=0,"--",IFERROR(_xll.ciqfunctions.udf.CIQ($G964,$I964,O124,Valuation_Date_GC,ReportType,DataMode,$H964,FXMode)*Scale,"--"))</f>
        <v>--</v>
      </c>
      <c r="P964" s="2301" t="str">
        <f>IF($G964=0,"--",IFERROR(_xll.ciqfunctions.udf.CIQ($G964,$I964,P124,Valuation_Date_GC,ReportType,DataMode,$H964,FXMode)*Scale,"--"))</f>
        <v>--</v>
      </c>
      <c r="R964" s="255"/>
    </row>
    <row r="965" spans="1:20" s="89" customFormat="1" ht="13.9">
      <c r="A965" s="2060"/>
      <c r="B965" s="2060"/>
      <c r="D965" s="801"/>
      <c r="F965" s="57" t="s">
        <v>767</v>
      </c>
      <c r="G965" s="1442"/>
      <c r="H965" s="1442"/>
      <c r="I965" s="1442"/>
      <c r="J965" s="1443" t="str">
        <f t="shared" ref="J965:P965" si="205">IFERROR(MEDIAN(J940:J964),"--")</f>
        <v>--</v>
      </c>
      <c r="K965" s="1443" t="str">
        <f t="shared" si="205"/>
        <v>--</v>
      </c>
      <c r="L965" s="1443" t="str">
        <f t="shared" si="205"/>
        <v>--</v>
      </c>
      <c r="M965" s="1443" t="str">
        <f t="shared" si="205"/>
        <v>--</v>
      </c>
      <c r="N965" s="1443" t="str">
        <f t="shared" si="205"/>
        <v>--</v>
      </c>
      <c r="O965" s="1444" t="str">
        <f t="shared" si="205"/>
        <v>--</v>
      </c>
      <c r="P965" s="1443" t="str">
        <f t="shared" si="205"/>
        <v>--</v>
      </c>
      <c r="R965" s="255"/>
      <c r="T965" s="1513"/>
    </row>
    <row r="966" spans="1:20" s="89" customFormat="1" ht="13.9">
      <c r="A966" s="2060"/>
      <c r="B966" s="2060"/>
      <c r="D966" s="801"/>
      <c r="O966" s="75"/>
      <c r="P966" s="76"/>
      <c r="R966" s="255"/>
    </row>
    <row r="967" spans="1:20" s="89" customFormat="1" ht="13.9">
      <c r="A967" s="2060"/>
      <c r="B967" s="2060"/>
      <c r="D967" s="801"/>
      <c r="O967" s="75"/>
      <c r="P967" s="76"/>
    </row>
    <row r="968" spans="1:20" s="89" customFormat="1" ht="13.9">
      <c r="A968" s="2060"/>
      <c r="B968" s="2060"/>
      <c r="D968" s="801"/>
      <c r="O968" s="75"/>
      <c r="P968" s="76"/>
    </row>
    <row r="969" spans="1:20" s="89" customFormat="1" ht="13.9">
      <c r="A969" s="2060"/>
      <c r="B969" s="2060"/>
      <c r="D969" s="778">
        <f ca="1">MAX(OFFSET(D969,-1,0,-ROW(D969)+1,-2),1)+0.01</f>
        <v>6.0499999999999989</v>
      </c>
      <c r="E969" s="125"/>
      <c r="F969" s="952" t="s">
        <v>418</v>
      </c>
      <c r="G969" s="724" t="s">
        <v>795</v>
      </c>
      <c r="H969" s="724"/>
      <c r="I969" s="724"/>
      <c r="J969" s="725" t="s">
        <v>699</v>
      </c>
      <c r="K969" s="725" t="s">
        <v>700</v>
      </c>
      <c r="L969" s="725" t="s">
        <v>701</v>
      </c>
      <c r="M969" s="725" t="s">
        <v>702</v>
      </c>
      <c r="N969" s="725" t="s">
        <v>703</v>
      </c>
      <c r="O969" s="759" t="s">
        <v>704</v>
      </c>
      <c r="P969" s="725" t="s">
        <v>780</v>
      </c>
      <c r="R969" s="255"/>
    </row>
    <row r="970" spans="1:20" s="89" customFormat="1" ht="13.9">
      <c r="A970" s="2060"/>
      <c r="B970" s="2060"/>
      <c r="D970" s="778"/>
      <c r="E970" s="1505">
        <v>0</v>
      </c>
      <c r="F970" s="1448" t="str">
        <f>F$128</f>
        <v/>
      </c>
      <c r="G970" s="1449">
        <f>G$128</f>
        <v>0</v>
      </c>
      <c r="H970" s="1449" t="str">
        <f>H$128</f>
        <v>USD</v>
      </c>
      <c r="I970" s="258" t="s">
        <v>824</v>
      </c>
      <c r="J970" s="2318" t="str">
        <f t="shared" ref="J970:P983" si="206">IFERROR(J939/J565,"--")</f>
        <v>--</v>
      </c>
      <c r="K970" s="2318" t="str">
        <f t="shared" si="206"/>
        <v>--</v>
      </c>
      <c r="L970" s="2318" t="str">
        <f t="shared" si="206"/>
        <v>--</v>
      </c>
      <c r="M970" s="2318" t="str">
        <f t="shared" si="206"/>
        <v>--</v>
      </c>
      <c r="N970" s="2318" t="str">
        <f t="shared" si="206"/>
        <v>--</v>
      </c>
      <c r="O970" s="2319" t="str">
        <f t="shared" si="206"/>
        <v>--</v>
      </c>
      <c r="P970" s="2318" t="str">
        <f t="shared" si="206"/>
        <v>--</v>
      </c>
      <c r="R970" s="255"/>
    </row>
    <row r="971" spans="1:20" s="89" customFormat="1" ht="13.9">
      <c r="A971" s="269" t="str">
        <f>IF(F971="--","n","")</f>
        <v>n</v>
      </c>
      <c r="B971" s="2060"/>
      <c r="C971" s="72"/>
      <c r="D971" s="801"/>
      <c r="E971" s="1505">
        <v>1</v>
      </c>
      <c r="F971" s="21" t="str">
        <f>F$129</f>
        <v>--</v>
      </c>
      <c r="G971" s="1441">
        <f>G$129</f>
        <v>0</v>
      </c>
      <c r="H971" s="1441" t="str">
        <f>H$129</f>
        <v>--</v>
      </c>
      <c r="I971" s="89" t="s">
        <v>824</v>
      </c>
      <c r="J971" s="2310" t="str">
        <f t="shared" si="206"/>
        <v>--</v>
      </c>
      <c r="K971" s="2310" t="str">
        <f t="shared" si="206"/>
        <v>--</v>
      </c>
      <c r="L971" s="2310" t="str">
        <f t="shared" si="206"/>
        <v>--</v>
      </c>
      <c r="M971" s="2310" t="str">
        <f t="shared" si="206"/>
        <v>--</v>
      </c>
      <c r="N971" s="2310" t="str">
        <f t="shared" si="206"/>
        <v>--</v>
      </c>
      <c r="O971" s="2138" t="str">
        <f t="shared" si="206"/>
        <v>--</v>
      </c>
      <c r="P971" s="2310" t="str">
        <f t="shared" si="206"/>
        <v>--</v>
      </c>
      <c r="R971" s="255"/>
    </row>
    <row r="972" spans="1:20" s="89" customFormat="1" ht="13.9">
      <c r="A972" s="269" t="str">
        <f t="shared" ref="A972:A995" si="207">IF(F972="--","n","")</f>
        <v>n</v>
      </c>
      <c r="B972" s="2060"/>
      <c r="D972" s="801"/>
      <c r="E972" s="1505">
        <v>2</v>
      </c>
      <c r="F972" s="21" t="str">
        <f>F$130</f>
        <v>--</v>
      </c>
      <c r="G972" s="1441">
        <f>G$130</f>
        <v>0</v>
      </c>
      <c r="H972" s="1441" t="str">
        <f>H$130</f>
        <v>--</v>
      </c>
      <c r="I972" s="89" t="s">
        <v>824</v>
      </c>
      <c r="J972" s="2310" t="str">
        <f t="shared" si="206"/>
        <v>--</v>
      </c>
      <c r="K972" s="2310" t="str">
        <f t="shared" si="206"/>
        <v>--</v>
      </c>
      <c r="L972" s="2310" t="str">
        <f t="shared" si="206"/>
        <v>--</v>
      </c>
      <c r="M972" s="2310" t="str">
        <f t="shared" si="206"/>
        <v>--</v>
      </c>
      <c r="N972" s="2310" t="str">
        <f t="shared" si="206"/>
        <v>--</v>
      </c>
      <c r="O972" s="2138" t="str">
        <f t="shared" si="206"/>
        <v>--</v>
      </c>
      <c r="P972" s="2310" t="str">
        <f t="shared" si="206"/>
        <v>--</v>
      </c>
      <c r="R972" s="255"/>
    </row>
    <row r="973" spans="1:20" s="89" customFormat="1" ht="13.9">
      <c r="A973" s="269" t="str">
        <f t="shared" si="207"/>
        <v>n</v>
      </c>
      <c r="B973" s="2060"/>
      <c r="C973" s="72"/>
      <c r="D973" s="801"/>
      <c r="E973" s="1505">
        <v>3</v>
      </c>
      <c r="F973" s="21" t="str">
        <f>F$131</f>
        <v>--</v>
      </c>
      <c r="G973" s="1441">
        <f>G$131</f>
        <v>0</v>
      </c>
      <c r="H973" s="1441" t="str">
        <f>H$131</f>
        <v>--</v>
      </c>
      <c r="I973" s="89" t="s">
        <v>824</v>
      </c>
      <c r="J973" s="2310" t="str">
        <f t="shared" si="206"/>
        <v>--</v>
      </c>
      <c r="K973" s="2310" t="str">
        <f t="shared" si="206"/>
        <v>--</v>
      </c>
      <c r="L973" s="2310" t="str">
        <f t="shared" si="206"/>
        <v>--</v>
      </c>
      <c r="M973" s="2310" t="str">
        <f t="shared" si="206"/>
        <v>--</v>
      </c>
      <c r="N973" s="2310" t="str">
        <f t="shared" si="206"/>
        <v>--</v>
      </c>
      <c r="O973" s="2138" t="str">
        <f t="shared" si="206"/>
        <v>--</v>
      </c>
      <c r="P973" s="2310" t="str">
        <f t="shared" si="206"/>
        <v>--</v>
      </c>
      <c r="R973" s="255"/>
    </row>
    <row r="974" spans="1:20" s="89" customFormat="1" ht="13.9">
      <c r="A974" s="269" t="str">
        <f t="shared" si="207"/>
        <v>n</v>
      </c>
      <c r="B974" s="2060"/>
      <c r="C974" s="72"/>
      <c r="D974" s="801"/>
      <c r="E974" s="1505">
        <v>4</v>
      </c>
      <c r="F974" s="21" t="str">
        <f>F$132</f>
        <v>--</v>
      </c>
      <c r="G974" s="1441">
        <f>G$132</f>
        <v>0</v>
      </c>
      <c r="H974" s="1441" t="str">
        <f>H$132</f>
        <v>--</v>
      </c>
      <c r="I974" s="89" t="s">
        <v>824</v>
      </c>
      <c r="J974" s="2310" t="str">
        <f t="shared" si="206"/>
        <v>--</v>
      </c>
      <c r="K974" s="2310" t="str">
        <f t="shared" si="206"/>
        <v>--</v>
      </c>
      <c r="L974" s="2310" t="str">
        <f t="shared" si="206"/>
        <v>--</v>
      </c>
      <c r="M974" s="2310" t="str">
        <f t="shared" si="206"/>
        <v>--</v>
      </c>
      <c r="N974" s="2310" t="str">
        <f t="shared" si="206"/>
        <v>--</v>
      </c>
      <c r="O974" s="2138" t="str">
        <f t="shared" si="206"/>
        <v>--</v>
      </c>
      <c r="P974" s="2310" t="str">
        <f t="shared" si="206"/>
        <v>--</v>
      </c>
      <c r="R974" s="255"/>
    </row>
    <row r="975" spans="1:20" s="89" customFormat="1" ht="13.9">
      <c r="A975" s="269" t="str">
        <f t="shared" si="207"/>
        <v>n</v>
      </c>
      <c r="B975" s="2060"/>
      <c r="C975" s="72"/>
      <c r="D975" s="801"/>
      <c r="E975" s="1505">
        <v>5</v>
      </c>
      <c r="F975" s="21" t="str">
        <f>F$133</f>
        <v>--</v>
      </c>
      <c r="G975" s="1441">
        <f>G$133</f>
        <v>0</v>
      </c>
      <c r="H975" s="1441" t="str">
        <f>H$133</f>
        <v>--</v>
      </c>
      <c r="I975" s="89" t="s">
        <v>824</v>
      </c>
      <c r="J975" s="2310" t="str">
        <f t="shared" si="206"/>
        <v>--</v>
      </c>
      <c r="K975" s="2310" t="str">
        <f t="shared" si="206"/>
        <v>--</v>
      </c>
      <c r="L975" s="2310" t="str">
        <f t="shared" si="206"/>
        <v>--</v>
      </c>
      <c r="M975" s="2310" t="str">
        <f t="shared" si="206"/>
        <v>--</v>
      </c>
      <c r="N975" s="2310" t="str">
        <f t="shared" si="206"/>
        <v>--</v>
      </c>
      <c r="O975" s="2138" t="str">
        <f t="shared" si="206"/>
        <v>--</v>
      </c>
      <c r="P975" s="2310" t="str">
        <f t="shared" si="206"/>
        <v>--</v>
      </c>
      <c r="R975" s="255"/>
    </row>
    <row r="976" spans="1:20" s="89" customFormat="1" ht="13.9">
      <c r="A976" s="269" t="str">
        <f t="shared" si="207"/>
        <v>n</v>
      </c>
      <c r="B976" s="2060"/>
      <c r="C976" s="72"/>
      <c r="D976" s="801"/>
      <c r="E976" s="1505">
        <v>6</v>
      </c>
      <c r="F976" s="21" t="str">
        <f>F$134</f>
        <v>--</v>
      </c>
      <c r="G976" s="1441">
        <f>G$134</f>
        <v>0</v>
      </c>
      <c r="H976" s="1441" t="str">
        <f>H$134</f>
        <v>--</v>
      </c>
      <c r="I976" s="89" t="s">
        <v>824</v>
      </c>
      <c r="J976" s="2310" t="str">
        <f t="shared" si="206"/>
        <v>--</v>
      </c>
      <c r="K976" s="2310" t="str">
        <f t="shared" si="206"/>
        <v>--</v>
      </c>
      <c r="L976" s="2310" t="str">
        <f t="shared" si="206"/>
        <v>--</v>
      </c>
      <c r="M976" s="2310" t="str">
        <f t="shared" si="206"/>
        <v>--</v>
      </c>
      <c r="N976" s="2310" t="str">
        <f t="shared" si="206"/>
        <v>--</v>
      </c>
      <c r="O976" s="2138" t="str">
        <f t="shared" si="206"/>
        <v>--</v>
      </c>
      <c r="P976" s="2310" t="str">
        <f t="shared" si="206"/>
        <v>--</v>
      </c>
      <c r="R976" s="255"/>
    </row>
    <row r="977" spans="1:18" s="89" customFormat="1" ht="13.9">
      <c r="A977" s="269" t="str">
        <f t="shared" si="207"/>
        <v>n</v>
      </c>
      <c r="B977" s="2060"/>
      <c r="D977" s="801"/>
      <c r="E977" s="1505">
        <v>7</v>
      </c>
      <c r="F977" s="21" t="str">
        <f>F$135</f>
        <v>--</v>
      </c>
      <c r="G977" s="1441">
        <f>G$135</f>
        <v>0</v>
      </c>
      <c r="H977" s="1441" t="str">
        <f>H$135</f>
        <v>--</v>
      </c>
      <c r="I977" s="89" t="s">
        <v>824</v>
      </c>
      <c r="J977" s="2310" t="str">
        <f t="shared" si="206"/>
        <v>--</v>
      </c>
      <c r="K977" s="2310" t="str">
        <f t="shared" si="206"/>
        <v>--</v>
      </c>
      <c r="L977" s="2310" t="str">
        <f t="shared" si="206"/>
        <v>--</v>
      </c>
      <c r="M977" s="2310" t="str">
        <f t="shared" si="206"/>
        <v>--</v>
      </c>
      <c r="N977" s="2310" t="str">
        <f t="shared" si="206"/>
        <v>--</v>
      </c>
      <c r="O977" s="2138" t="str">
        <f t="shared" si="206"/>
        <v>--</v>
      </c>
      <c r="P977" s="2310" t="str">
        <f t="shared" si="206"/>
        <v>--</v>
      </c>
      <c r="R977" s="255"/>
    </row>
    <row r="978" spans="1:18" s="89" customFormat="1" ht="13.9">
      <c r="A978" s="269" t="str">
        <f t="shared" si="207"/>
        <v>n</v>
      </c>
      <c r="B978" s="2060"/>
      <c r="D978" s="801"/>
      <c r="E978" s="1505">
        <v>8</v>
      </c>
      <c r="F978" s="21" t="str">
        <f>F$136</f>
        <v>--</v>
      </c>
      <c r="G978" s="1441">
        <f>G$136</f>
        <v>0</v>
      </c>
      <c r="H978" s="1441" t="str">
        <f>H$136</f>
        <v>--</v>
      </c>
      <c r="I978" s="89" t="s">
        <v>824</v>
      </c>
      <c r="J978" s="2310" t="str">
        <f t="shared" si="206"/>
        <v>--</v>
      </c>
      <c r="K978" s="2310" t="str">
        <f t="shared" si="206"/>
        <v>--</v>
      </c>
      <c r="L978" s="2310" t="str">
        <f t="shared" si="206"/>
        <v>--</v>
      </c>
      <c r="M978" s="2310" t="str">
        <f t="shared" si="206"/>
        <v>--</v>
      </c>
      <c r="N978" s="2310" t="str">
        <f t="shared" si="206"/>
        <v>--</v>
      </c>
      <c r="O978" s="2138" t="str">
        <f t="shared" si="206"/>
        <v>--</v>
      </c>
      <c r="P978" s="2310" t="str">
        <f t="shared" si="206"/>
        <v>--</v>
      </c>
      <c r="R978" s="255"/>
    </row>
    <row r="979" spans="1:18" s="89" customFormat="1" ht="13.9">
      <c r="A979" s="269" t="str">
        <f t="shared" si="207"/>
        <v>n</v>
      </c>
      <c r="B979" s="2060"/>
      <c r="D979" s="801"/>
      <c r="E979" s="1505">
        <v>9</v>
      </c>
      <c r="F979" s="21" t="str">
        <f>F$137</f>
        <v>--</v>
      </c>
      <c r="G979" s="1441">
        <f>G$137</f>
        <v>0</v>
      </c>
      <c r="H979" s="1441" t="str">
        <f>H$137</f>
        <v>--</v>
      </c>
      <c r="I979" s="89" t="s">
        <v>824</v>
      </c>
      <c r="J979" s="2310" t="str">
        <f t="shared" si="206"/>
        <v>--</v>
      </c>
      <c r="K979" s="2310" t="str">
        <f t="shared" si="206"/>
        <v>--</v>
      </c>
      <c r="L979" s="2310" t="str">
        <f t="shared" si="206"/>
        <v>--</v>
      </c>
      <c r="M979" s="2310" t="str">
        <f t="shared" si="206"/>
        <v>--</v>
      </c>
      <c r="N979" s="2310" t="str">
        <f t="shared" si="206"/>
        <v>--</v>
      </c>
      <c r="O979" s="2138" t="str">
        <f t="shared" si="206"/>
        <v>--</v>
      </c>
      <c r="P979" s="2310" t="str">
        <f t="shared" si="206"/>
        <v>--</v>
      </c>
      <c r="R979" s="255"/>
    </row>
    <row r="980" spans="1:18" s="89" customFormat="1" ht="13.9">
      <c r="A980" s="269" t="str">
        <f t="shared" si="207"/>
        <v>n</v>
      </c>
      <c r="B980" s="2060"/>
      <c r="D980" s="801"/>
      <c r="E980" s="1505">
        <v>10</v>
      </c>
      <c r="F980" s="21" t="str">
        <f>F$138</f>
        <v>--</v>
      </c>
      <c r="G980" s="1441">
        <f>G$138</f>
        <v>0</v>
      </c>
      <c r="H980" s="1441" t="str">
        <f>H$138</f>
        <v>--</v>
      </c>
      <c r="I980" s="89" t="s">
        <v>824</v>
      </c>
      <c r="J980" s="2310" t="str">
        <f t="shared" si="206"/>
        <v>--</v>
      </c>
      <c r="K980" s="2310" t="str">
        <f t="shared" si="206"/>
        <v>--</v>
      </c>
      <c r="L980" s="2310" t="str">
        <f t="shared" si="206"/>
        <v>--</v>
      </c>
      <c r="M980" s="2310" t="str">
        <f t="shared" si="206"/>
        <v>--</v>
      </c>
      <c r="N980" s="2310" t="str">
        <f t="shared" si="206"/>
        <v>--</v>
      </c>
      <c r="O980" s="2138" t="str">
        <f t="shared" si="206"/>
        <v>--</v>
      </c>
      <c r="P980" s="2310" t="str">
        <f t="shared" si="206"/>
        <v>--</v>
      </c>
      <c r="R980" s="255"/>
    </row>
    <row r="981" spans="1:18" s="89" customFormat="1" ht="13.9">
      <c r="A981" s="269" t="str">
        <f t="shared" si="207"/>
        <v>n</v>
      </c>
      <c r="B981" s="2060"/>
      <c r="D981" s="801"/>
      <c r="E981" s="1505">
        <v>11</v>
      </c>
      <c r="F981" s="21" t="str">
        <f>F$139</f>
        <v>--</v>
      </c>
      <c r="G981" s="1441">
        <f>G$139</f>
        <v>0</v>
      </c>
      <c r="H981" s="1441" t="str">
        <f>H$139</f>
        <v>--</v>
      </c>
      <c r="I981" s="89" t="s">
        <v>824</v>
      </c>
      <c r="J981" s="2310" t="str">
        <f t="shared" si="206"/>
        <v>--</v>
      </c>
      <c r="K981" s="2310" t="str">
        <f t="shared" si="206"/>
        <v>--</v>
      </c>
      <c r="L981" s="2310" t="str">
        <f t="shared" si="206"/>
        <v>--</v>
      </c>
      <c r="M981" s="2310" t="str">
        <f t="shared" si="206"/>
        <v>--</v>
      </c>
      <c r="N981" s="2310" t="str">
        <f t="shared" si="206"/>
        <v>--</v>
      </c>
      <c r="O981" s="2138" t="str">
        <f t="shared" si="206"/>
        <v>--</v>
      </c>
      <c r="P981" s="2310" t="str">
        <f t="shared" si="206"/>
        <v>--</v>
      </c>
      <c r="R981" s="255"/>
    </row>
    <row r="982" spans="1:18" s="89" customFormat="1" ht="13.9">
      <c r="A982" s="269" t="str">
        <f t="shared" si="207"/>
        <v>n</v>
      </c>
      <c r="B982" s="2060"/>
      <c r="D982" s="801"/>
      <c r="E982" s="1505">
        <v>12</v>
      </c>
      <c r="F982" s="21" t="str">
        <f>F$140</f>
        <v>--</v>
      </c>
      <c r="G982" s="1441">
        <f>G$140</f>
        <v>0</v>
      </c>
      <c r="H982" s="1441" t="str">
        <f>H$140</f>
        <v>--</v>
      </c>
      <c r="I982" s="89" t="s">
        <v>824</v>
      </c>
      <c r="J982" s="2310" t="str">
        <f t="shared" si="206"/>
        <v>--</v>
      </c>
      <c r="K982" s="2310" t="str">
        <f t="shared" si="206"/>
        <v>--</v>
      </c>
      <c r="L982" s="2310" t="str">
        <f t="shared" si="206"/>
        <v>--</v>
      </c>
      <c r="M982" s="2310" t="str">
        <f t="shared" si="206"/>
        <v>--</v>
      </c>
      <c r="N982" s="2310" t="str">
        <f t="shared" si="206"/>
        <v>--</v>
      </c>
      <c r="O982" s="2138" t="str">
        <f t="shared" si="206"/>
        <v>--</v>
      </c>
      <c r="P982" s="2310" t="str">
        <f t="shared" si="206"/>
        <v>--</v>
      </c>
      <c r="R982" s="255"/>
    </row>
    <row r="983" spans="1:18" s="89" customFormat="1" ht="13.9">
      <c r="A983" s="269" t="str">
        <f t="shared" si="207"/>
        <v>n</v>
      </c>
      <c r="B983" s="2060"/>
      <c r="D983" s="801"/>
      <c r="E983" s="1505">
        <v>13</v>
      </c>
      <c r="F983" s="21" t="str">
        <f>F$141</f>
        <v>--</v>
      </c>
      <c r="G983" s="1441">
        <f>G$141</f>
        <v>0</v>
      </c>
      <c r="H983" s="1441" t="str">
        <f>H$141</f>
        <v>--</v>
      </c>
      <c r="I983" s="89" t="s">
        <v>824</v>
      </c>
      <c r="J983" s="2310" t="str">
        <f t="shared" si="206"/>
        <v>--</v>
      </c>
      <c r="K983" s="2310" t="str">
        <f t="shared" si="206"/>
        <v>--</v>
      </c>
      <c r="L983" s="2310" t="str">
        <f t="shared" si="206"/>
        <v>--</v>
      </c>
      <c r="M983" s="2310" t="str">
        <f t="shared" si="206"/>
        <v>--</v>
      </c>
      <c r="N983" s="2310" t="str">
        <f t="shared" si="206"/>
        <v>--</v>
      </c>
      <c r="O983" s="2138" t="str">
        <f t="shared" si="206"/>
        <v>--</v>
      </c>
      <c r="P983" s="2310" t="str">
        <f t="shared" si="206"/>
        <v>--</v>
      </c>
      <c r="R983" s="255"/>
    </row>
    <row r="984" spans="1:18" s="89" customFormat="1" ht="13.9">
      <c r="A984" s="269" t="str">
        <f t="shared" si="207"/>
        <v>n</v>
      </c>
      <c r="B984" s="2060"/>
      <c r="D984" s="801"/>
      <c r="E984" s="1505">
        <v>14</v>
      </c>
      <c r="F984" s="21" t="str">
        <f>F$142</f>
        <v>--</v>
      </c>
      <c r="G984" s="1441">
        <f>G$142</f>
        <v>0</v>
      </c>
      <c r="H984" s="1441" t="str">
        <f>H$142</f>
        <v>--</v>
      </c>
      <c r="I984" s="89" t="s">
        <v>824</v>
      </c>
      <c r="J984" s="2310" t="str">
        <f t="shared" ref="J984:P984" si="208">IFERROR(J953/J579,"--")</f>
        <v>--</v>
      </c>
      <c r="K984" s="2310" t="str">
        <f t="shared" si="208"/>
        <v>--</v>
      </c>
      <c r="L984" s="2310" t="str">
        <f t="shared" si="208"/>
        <v>--</v>
      </c>
      <c r="M984" s="2310" t="str">
        <f t="shared" si="208"/>
        <v>--</v>
      </c>
      <c r="N984" s="2310" t="str">
        <f t="shared" si="208"/>
        <v>--</v>
      </c>
      <c r="O984" s="2138" t="str">
        <f t="shared" si="208"/>
        <v>--</v>
      </c>
      <c r="P984" s="2310" t="str">
        <f t="shared" si="208"/>
        <v>--</v>
      </c>
      <c r="R984" s="255"/>
    </row>
    <row r="985" spans="1:18" s="89" customFormat="1" ht="13.9">
      <c r="A985" s="269" t="str">
        <f t="shared" si="207"/>
        <v>n</v>
      </c>
      <c r="B985" s="2060"/>
      <c r="D985" s="801"/>
      <c r="E985" s="1505">
        <v>15</v>
      </c>
      <c r="F985" s="21" t="str">
        <f>F$143</f>
        <v>--</v>
      </c>
      <c r="G985" s="1441">
        <f>G$143</f>
        <v>0</v>
      </c>
      <c r="H985" s="1441" t="str">
        <f>H$143</f>
        <v>--</v>
      </c>
      <c r="I985" s="89" t="s">
        <v>824</v>
      </c>
      <c r="J985" s="2310" t="str">
        <f t="shared" ref="J985:P985" si="209">IFERROR(J954/J580,"--")</f>
        <v>--</v>
      </c>
      <c r="K985" s="2310" t="str">
        <f t="shared" si="209"/>
        <v>--</v>
      </c>
      <c r="L985" s="2310" t="str">
        <f t="shared" si="209"/>
        <v>--</v>
      </c>
      <c r="M985" s="2310" t="str">
        <f t="shared" si="209"/>
        <v>--</v>
      </c>
      <c r="N985" s="2310" t="str">
        <f t="shared" si="209"/>
        <v>--</v>
      </c>
      <c r="O985" s="2138" t="str">
        <f t="shared" si="209"/>
        <v>--</v>
      </c>
      <c r="P985" s="2310" t="str">
        <f t="shared" si="209"/>
        <v>--</v>
      </c>
      <c r="R985" s="255"/>
    </row>
    <row r="986" spans="1:18" s="89" customFormat="1" ht="13.9">
      <c r="A986" s="269" t="str">
        <f t="shared" si="207"/>
        <v>n</v>
      </c>
      <c r="B986" s="2060"/>
      <c r="D986" s="801"/>
      <c r="E986" s="1505">
        <v>16</v>
      </c>
      <c r="F986" s="21" t="str">
        <f>F$144</f>
        <v>--</v>
      </c>
      <c r="G986" s="1441">
        <f>G$144</f>
        <v>0</v>
      </c>
      <c r="H986" s="1441" t="str">
        <f>H$144</f>
        <v>--</v>
      </c>
      <c r="I986" s="89" t="s">
        <v>824</v>
      </c>
      <c r="J986" s="2310" t="str">
        <f t="shared" ref="J986:P986" si="210">IFERROR(J955/J581,"--")</f>
        <v>--</v>
      </c>
      <c r="K986" s="2310" t="str">
        <f t="shared" si="210"/>
        <v>--</v>
      </c>
      <c r="L986" s="2310" t="str">
        <f t="shared" si="210"/>
        <v>--</v>
      </c>
      <c r="M986" s="2310" t="str">
        <f t="shared" si="210"/>
        <v>--</v>
      </c>
      <c r="N986" s="2310" t="str">
        <f t="shared" si="210"/>
        <v>--</v>
      </c>
      <c r="O986" s="2138" t="str">
        <f t="shared" si="210"/>
        <v>--</v>
      </c>
      <c r="P986" s="2310" t="str">
        <f t="shared" si="210"/>
        <v>--</v>
      </c>
      <c r="R986" s="255"/>
    </row>
    <row r="987" spans="1:18" s="89" customFormat="1" ht="13.9">
      <c r="A987" s="269" t="str">
        <f t="shared" si="207"/>
        <v>n</v>
      </c>
      <c r="B987" s="2060"/>
      <c r="D987" s="801"/>
      <c r="E987" s="1505">
        <v>17</v>
      </c>
      <c r="F987" s="21" t="str">
        <f>F$145</f>
        <v>--</v>
      </c>
      <c r="G987" s="1441">
        <f>G$145</f>
        <v>0</v>
      </c>
      <c r="H987" s="1441" t="str">
        <f>H$145</f>
        <v>--</v>
      </c>
      <c r="I987" s="89" t="s">
        <v>824</v>
      </c>
      <c r="J987" s="2310" t="str">
        <f t="shared" ref="J987:P987" si="211">IFERROR(J956/J582,"--")</f>
        <v>--</v>
      </c>
      <c r="K987" s="2310" t="str">
        <f t="shared" si="211"/>
        <v>--</v>
      </c>
      <c r="L987" s="2310" t="str">
        <f t="shared" si="211"/>
        <v>--</v>
      </c>
      <c r="M987" s="2310" t="str">
        <f t="shared" si="211"/>
        <v>--</v>
      </c>
      <c r="N987" s="2310" t="str">
        <f t="shared" si="211"/>
        <v>--</v>
      </c>
      <c r="O987" s="2138" t="str">
        <f t="shared" si="211"/>
        <v>--</v>
      </c>
      <c r="P987" s="2310" t="str">
        <f t="shared" si="211"/>
        <v>--</v>
      </c>
      <c r="R987" s="255"/>
    </row>
    <row r="988" spans="1:18" s="89" customFormat="1" ht="13.9">
      <c r="A988" s="269" t="str">
        <f t="shared" si="207"/>
        <v>n</v>
      </c>
      <c r="B988" s="2060"/>
      <c r="D988" s="801"/>
      <c r="E988" s="1505">
        <v>18</v>
      </c>
      <c r="F988" s="21" t="str">
        <f>F$146</f>
        <v>--</v>
      </c>
      <c r="G988" s="1441">
        <f>G$146</f>
        <v>0</v>
      </c>
      <c r="H988" s="1441" t="str">
        <f>H$146</f>
        <v>--</v>
      </c>
      <c r="I988" s="89" t="s">
        <v>824</v>
      </c>
      <c r="J988" s="2310" t="str">
        <f t="shared" ref="J988:P988" si="212">IFERROR(J957/J583,"--")</f>
        <v>--</v>
      </c>
      <c r="K988" s="2310" t="str">
        <f t="shared" si="212"/>
        <v>--</v>
      </c>
      <c r="L988" s="2310" t="str">
        <f t="shared" si="212"/>
        <v>--</v>
      </c>
      <c r="M988" s="2310" t="str">
        <f t="shared" si="212"/>
        <v>--</v>
      </c>
      <c r="N988" s="2310" t="str">
        <f t="shared" si="212"/>
        <v>--</v>
      </c>
      <c r="O988" s="2138" t="str">
        <f t="shared" si="212"/>
        <v>--</v>
      </c>
      <c r="P988" s="2310" t="str">
        <f t="shared" si="212"/>
        <v>--</v>
      </c>
      <c r="R988" s="255"/>
    </row>
    <row r="989" spans="1:18" s="89" customFormat="1" ht="13.9">
      <c r="A989" s="269" t="str">
        <f t="shared" si="207"/>
        <v>n</v>
      </c>
      <c r="B989" s="2060"/>
      <c r="D989" s="801"/>
      <c r="E989" s="1505">
        <v>19</v>
      </c>
      <c r="F989" s="21" t="str">
        <f>F$147</f>
        <v>--</v>
      </c>
      <c r="G989" s="1441">
        <f>G$147</f>
        <v>0</v>
      </c>
      <c r="H989" s="1441" t="str">
        <f>H$147</f>
        <v>--</v>
      </c>
      <c r="I989" s="89" t="s">
        <v>824</v>
      </c>
      <c r="J989" s="2310" t="str">
        <f t="shared" ref="J989:P989" si="213">IFERROR(J958/J584,"--")</f>
        <v>--</v>
      </c>
      <c r="K989" s="2310" t="str">
        <f t="shared" si="213"/>
        <v>--</v>
      </c>
      <c r="L989" s="2310" t="str">
        <f t="shared" si="213"/>
        <v>--</v>
      </c>
      <c r="M989" s="2310" t="str">
        <f t="shared" si="213"/>
        <v>--</v>
      </c>
      <c r="N989" s="2310" t="str">
        <f t="shared" si="213"/>
        <v>--</v>
      </c>
      <c r="O989" s="2138" t="str">
        <f t="shared" si="213"/>
        <v>--</v>
      </c>
      <c r="P989" s="2310" t="str">
        <f t="shared" si="213"/>
        <v>--</v>
      </c>
      <c r="R989" s="255"/>
    </row>
    <row r="990" spans="1:18" s="89" customFormat="1" ht="13.9">
      <c r="A990" s="269" t="str">
        <f t="shared" si="207"/>
        <v>n</v>
      </c>
      <c r="B990" s="2060"/>
      <c r="D990" s="801"/>
      <c r="E990" s="1505">
        <v>20</v>
      </c>
      <c r="F990" s="21" t="str">
        <f>F$148</f>
        <v>--</v>
      </c>
      <c r="G990" s="1441">
        <f>G$148</f>
        <v>0</v>
      </c>
      <c r="H990" s="1441" t="str">
        <f>H$148</f>
        <v>--</v>
      </c>
      <c r="I990" s="89" t="s">
        <v>824</v>
      </c>
      <c r="J990" s="2310" t="str">
        <f t="shared" ref="J990:P990" si="214">IFERROR(J959/J585,"--")</f>
        <v>--</v>
      </c>
      <c r="K990" s="2310" t="str">
        <f t="shared" si="214"/>
        <v>--</v>
      </c>
      <c r="L990" s="2310" t="str">
        <f t="shared" si="214"/>
        <v>--</v>
      </c>
      <c r="M990" s="2310" t="str">
        <f t="shared" si="214"/>
        <v>--</v>
      </c>
      <c r="N990" s="2310" t="str">
        <f t="shared" si="214"/>
        <v>--</v>
      </c>
      <c r="O990" s="2138" t="str">
        <f t="shared" si="214"/>
        <v>--</v>
      </c>
      <c r="P990" s="2310" t="str">
        <f t="shared" si="214"/>
        <v>--</v>
      </c>
      <c r="R990" s="255"/>
    </row>
    <row r="991" spans="1:18" s="89" customFormat="1" ht="13.9">
      <c r="A991" s="269" t="str">
        <f t="shared" si="207"/>
        <v>n</v>
      </c>
      <c r="B991" s="2060"/>
      <c r="D991" s="801"/>
      <c r="E991" s="1505">
        <v>21</v>
      </c>
      <c r="F991" s="21" t="str">
        <f>F$149</f>
        <v>--</v>
      </c>
      <c r="G991" s="1441">
        <f>G$149</f>
        <v>0</v>
      </c>
      <c r="H991" s="1441" t="str">
        <f>H$149</f>
        <v>--</v>
      </c>
      <c r="I991" s="89" t="s">
        <v>824</v>
      </c>
      <c r="J991" s="2310" t="str">
        <f t="shared" ref="J991:P991" si="215">IFERROR(J960/J586,"--")</f>
        <v>--</v>
      </c>
      <c r="K991" s="2310" t="str">
        <f t="shared" si="215"/>
        <v>--</v>
      </c>
      <c r="L991" s="2310" t="str">
        <f t="shared" si="215"/>
        <v>--</v>
      </c>
      <c r="M991" s="2310" t="str">
        <f t="shared" si="215"/>
        <v>--</v>
      </c>
      <c r="N991" s="2310" t="str">
        <f t="shared" si="215"/>
        <v>--</v>
      </c>
      <c r="O991" s="2138" t="str">
        <f t="shared" si="215"/>
        <v>--</v>
      </c>
      <c r="P991" s="2310" t="str">
        <f t="shared" si="215"/>
        <v>--</v>
      </c>
      <c r="R991" s="255"/>
    </row>
    <row r="992" spans="1:18" s="89" customFormat="1" ht="13.9">
      <c r="A992" s="269" t="str">
        <f t="shared" si="207"/>
        <v>n</v>
      </c>
      <c r="B992" s="2060"/>
      <c r="D992" s="801"/>
      <c r="E992" s="1505">
        <v>22</v>
      </c>
      <c r="F992" s="21" t="str">
        <f>F$150</f>
        <v>--</v>
      </c>
      <c r="G992" s="1441">
        <f>G$150</f>
        <v>0</v>
      </c>
      <c r="H992" s="1441" t="str">
        <f>H$150</f>
        <v>--</v>
      </c>
      <c r="I992" s="89" t="s">
        <v>824</v>
      </c>
      <c r="J992" s="2310" t="str">
        <f t="shared" ref="J992:P992" si="216">IFERROR(J961/J587,"--")</f>
        <v>--</v>
      </c>
      <c r="K992" s="2310" t="str">
        <f t="shared" si="216"/>
        <v>--</v>
      </c>
      <c r="L992" s="2310" t="str">
        <f t="shared" si="216"/>
        <v>--</v>
      </c>
      <c r="M992" s="2310" t="str">
        <f t="shared" si="216"/>
        <v>--</v>
      </c>
      <c r="N992" s="2310" t="str">
        <f t="shared" si="216"/>
        <v>--</v>
      </c>
      <c r="O992" s="2138" t="str">
        <f t="shared" si="216"/>
        <v>--</v>
      </c>
      <c r="P992" s="2310" t="str">
        <f t="shared" si="216"/>
        <v>--</v>
      </c>
      <c r="R992" s="255"/>
    </row>
    <row r="993" spans="1:20" s="89" customFormat="1" ht="13.9">
      <c r="A993" s="269" t="str">
        <f t="shared" si="207"/>
        <v>n</v>
      </c>
      <c r="B993" s="2060"/>
      <c r="D993" s="801"/>
      <c r="E993" s="1505">
        <v>23</v>
      </c>
      <c r="F993" s="21" t="str">
        <f>F$151</f>
        <v>--</v>
      </c>
      <c r="G993" s="1441">
        <f>G$151</f>
        <v>0</v>
      </c>
      <c r="H993" s="1441" t="str">
        <f>H$151</f>
        <v>--</v>
      </c>
      <c r="I993" s="89" t="s">
        <v>824</v>
      </c>
      <c r="J993" s="2310" t="str">
        <f t="shared" ref="J993:P993" si="217">IFERROR(J962/J588,"--")</f>
        <v>--</v>
      </c>
      <c r="K993" s="2310" t="str">
        <f t="shared" si="217"/>
        <v>--</v>
      </c>
      <c r="L993" s="2310" t="str">
        <f t="shared" si="217"/>
        <v>--</v>
      </c>
      <c r="M993" s="2310" t="str">
        <f t="shared" si="217"/>
        <v>--</v>
      </c>
      <c r="N993" s="2310" t="str">
        <f t="shared" si="217"/>
        <v>--</v>
      </c>
      <c r="O993" s="2138" t="str">
        <f t="shared" si="217"/>
        <v>--</v>
      </c>
      <c r="P993" s="2310" t="str">
        <f t="shared" si="217"/>
        <v>--</v>
      </c>
      <c r="R993" s="255"/>
    </row>
    <row r="994" spans="1:20" s="89" customFormat="1" ht="13.9">
      <c r="A994" s="269" t="str">
        <f t="shared" si="207"/>
        <v>n</v>
      </c>
      <c r="B994" s="2060"/>
      <c r="D994" s="801"/>
      <c r="E994" s="1505">
        <v>24</v>
      </c>
      <c r="F994" s="21" t="str">
        <f>F$152</f>
        <v>--</v>
      </c>
      <c r="G994" s="1441">
        <f>G$152</f>
        <v>0</v>
      </c>
      <c r="H994" s="1441" t="str">
        <f>H$152</f>
        <v>--</v>
      </c>
      <c r="I994" s="89" t="s">
        <v>824</v>
      </c>
      <c r="J994" s="2310" t="str">
        <f t="shared" ref="J994:P994" si="218">IFERROR(J963/J589,"--")</f>
        <v>--</v>
      </c>
      <c r="K994" s="2310" t="str">
        <f t="shared" si="218"/>
        <v>--</v>
      </c>
      <c r="L994" s="2310" t="str">
        <f t="shared" si="218"/>
        <v>--</v>
      </c>
      <c r="M994" s="2310" t="str">
        <f t="shared" si="218"/>
        <v>--</v>
      </c>
      <c r="N994" s="2310" t="str">
        <f t="shared" si="218"/>
        <v>--</v>
      </c>
      <c r="O994" s="2138" t="str">
        <f t="shared" si="218"/>
        <v>--</v>
      </c>
      <c r="P994" s="2310" t="str">
        <f t="shared" si="218"/>
        <v>--</v>
      </c>
      <c r="R994" s="255"/>
    </row>
    <row r="995" spans="1:20" s="89" customFormat="1" ht="13.9">
      <c r="A995" s="269" t="str">
        <f t="shared" si="207"/>
        <v>n</v>
      </c>
      <c r="B995" s="2060"/>
      <c r="D995" s="801"/>
      <c r="E995" s="1505">
        <v>25</v>
      </c>
      <c r="F995" s="21" t="str">
        <f>F$153</f>
        <v>--</v>
      </c>
      <c r="G995" s="1441">
        <f>G$153</f>
        <v>0</v>
      </c>
      <c r="H995" s="1441" t="str">
        <f>H$153</f>
        <v>--</v>
      </c>
      <c r="I995" s="89" t="s">
        <v>824</v>
      </c>
      <c r="J995" s="2310" t="str">
        <f t="shared" ref="J995:P995" si="219">IFERROR(J964/J590,"--")</f>
        <v>--</v>
      </c>
      <c r="K995" s="2310" t="str">
        <f t="shared" si="219"/>
        <v>--</v>
      </c>
      <c r="L995" s="2310" t="str">
        <f t="shared" si="219"/>
        <v>--</v>
      </c>
      <c r="M995" s="2310" t="str">
        <f t="shared" si="219"/>
        <v>--</v>
      </c>
      <c r="N995" s="2310" t="str">
        <f t="shared" si="219"/>
        <v>--</v>
      </c>
      <c r="O995" s="2138" t="str">
        <f t="shared" si="219"/>
        <v>--</v>
      </c>
      <c r="P995" s="2310" t="str">
        <f t="shared" si="219"/>
        <v>--</v>
      </c>
      <c r="R995" s="255"/>
    </row>
    <row r="996" spans="1:20" s="89" customFormat="1" ht="13.9">
      <c r="A996" s="2060"/>
      <c r="B996" s="2060"/>
      <c r="D996" s="801"/>
      <c r="F996" s="57" t="s">
        <v>767</v>
      </c>
      <c r="G996" s="1442"/>
      <c r="H996" s="1442"/>
      <c r="I996" s="1442"/>
      <c r="J996" s="504" t="str">
        <f t="shared" ref="J996:P996" si="220">IFERROR(MEDIAN(J971:J995),"--")</f>
        <v>--</v>
      </c>
      <c r="K996" s="504" t="str">
        <f t="shared" si="220"/>
        <v>--</v>
      </c>
      <c r="L996" s="504" t="str">
        <f t="shared" si="220"/>
        <v>--</v>
      </c>
      <c r="M996" s="504" t="str">
        <f t="shared" si="220"/>
        <v>--</v>
      </c>
      <c r="N996" s="504" t="str">
        <f t="shared" si="220"/>
        <v>--</v>
      </c>
      <c r="O996" s="1468" t="str">
        <f t="shared" si="220"/>
        <v>--</v>
      </c>
      <c r="P996" s="504" t="str">
        <f t="shared" si="220"/>
        <v>--</v>
      </c>
      <c r="R996" s="255"/>
      <c r="T996" s="1513"/>
    </row>
    <row r="997" spans="1:20" s="89" customFormat="1" ht="13.9">
      <c r="A997" s="2060"/>
      <c r="B997" s="2060"/>
      <c r="D997" s="801"/>
      <c r="O997" s="75"/>
      <c r="P997" s="76"/>
      <c r="R997" s="255"/>
    </row>
    <row r="998" spans="1:20" s="89" customFormat="1" ht="13.9">
      <c r="A998" s="2060"/>
      <c r="B998" s="2060"/>
      <c r="D998" s="801"/>
      <c r="O998" s="75"/>
      <c r="P998" s="76"/>
    </row>
    <row r="999" spans="1:20" s="89" customFormat="1" ht="13.9">
      <c r="A999" s="2060"/>
      <c r="B999" s="2060"/>
      <c r="D999" s="801"/>
      <c r="O999" s="75"/>
      <c r="P999" s="76"/>
    </row>
    <row r="1000" spans="1:20" s="89" customFormat="1" ht="13.9">
      <c r="A1000" s="2060"/>
      <c r="B1000" s="2060"/>
      <c r="D1000" s="778">
        <f ca="1">MAX(OFFSET(D1000,-1,0,-ROW(D1000)+1,-2),1)+0.01</f>
        <v>6.0599999999999987</v>
      </c>
      <c r="E1000" s="125"/>
      <c r="F1000" s="952" t="s">
        <v>101</v>
      </c>
      <c r="G1000" s="724" t="s">
        <v>777</v>
      </c>
      <c r="H1000" s="724"/>
      <c r="I1000" s="724"/>
      <c r="J1000" s="725" t="s">
        <v>699</v>
      </c>
      <c r="K1000" s="725" t="s">
        <v>700</v>
      </c>
      <c r="L1000" s="725" t="s">
        <v>701</v>
      </c>
      <c r="M1000" s="725" t="s">
        <v>702</v>
      </c>
      <c r="N1000" s="725" t="s">
        <v>703</v>
      </c>
      <c r="O1000" s="759" t="s">
        <v>704</v>
      </c>
      <c r="P1000" s="725" t="s">
        <v>780</v>
      </c>
      <c r="R1000" s="255"/>
    </row>
    <row r="1001" spans="1:20" s="89" customFormat="1" ht="13.9">
      <c r="A1001" s="2060"/>
      <c r="B1001" s="2060"/>
      <c r="D1001" s="778"/>
      <c r="E1001" s="1505">
        <v>0</v>
      </c>
      <c r="F1001" s="1448" t="str">
        <f>F$128</f>
        <v/>
      </c>
      <c r="G1001" s="1449">
        <f>G$128</f>
        <v>0</v>
      </c>
      <c r="H1001" s="1449" t="str">
        <f>H$128</f>
        <v>USD</v>
      </c>
      <c r="I1001" s="258" t="s">
        <v>825</v>
      </c>
      <c r="J1001" s="2304">
        <f>'BAL SHEET Hist Input'!E28</f>
        <v>0</v>
      </c>
      <c r="K1001" s="2304">
        <f>'BAL SHEET Hist Input'!F28</f>
        <v>0</v>
      </c>
      <c r="L1001" s="2304">
        <f>'BAL SHEET Hist Input'!G28</f>
        <v>0</v>
      </c>
      <c r="M1001" s="2304">
        <f>'BAL SHEET Hist Input'!H28</f>
        <v>0</v>
      </c>
      <c r="N1001" s="2304">
        <f>'BAL SHEET Hist Input'!I28</f>
        <v>0</v>
      </c>
      <c r="O1001" s="1469">
        <f>'BAL SHEET Hist Input'!J28</f>
        <v>0</v>
      </c>
      <c r="P1001" s="1470">
        <f>'BAL SHEET Hist Input'!K28</f>
        <v>0</v>
      </c>
      <c r="R1001" s="255"/>
    </row>
    <row r="1002" spans="1:20" s="89" customFormat="1" ht="13.9">
      <c r="A1002" s="269" t="str">
        <f>IF(F1002="--","n","")</f>
        <v>n</v>
      </c>
      <c r="B1002" s="2060"/>
      <c r="C1002" s="72"/>
      <c r="D1002" s="801"/>
      <c r="E1002" s="1505">
        <v>1</v>
      </c>
      <c r="F1002" s="21" t="str">
        <f>F$129</f>
        <v>--</v>
      </c>
      <c r="G1002" s="1441">
        <f>G$129</f>
        <v>0</v>
      </c>
      <c r="H1002" s="1441" t="str">
        <f>H$129</f>
        <v>--</v>
      </c>
      <c r="I1002" s="89" t="s">
        <v>825</v>
      </c>
      <c r="J1002" s="2301" t="str">
        <f>IF($G1002=0,"--",IFERROR(_xll.ciqfunctions.udf.CIQ($G1002,$I1002,J100,Valuation_Date_GC,ReportType,DataMode,$H1002,FXMode)*Scale,"--"))</f>
        <v>--</v>
      </c>
      <c r="K1002" s="2301" t="str">
        <f>IF($G1002=0,"--",IFERROR(_xll.ciqfunctions.udf.CIQ($G1002,$I1002,K100,Valuation_Date_GC,ReportType,DataMode,$H1002,FXMode)*Scale,"--"))</f>
        <v>--</v>
      </c>
      <c r="L1002" s="2301" t="str">
        <f>IF($G1002=0,"--",IFERROR(_xll.ciqfunctions.udf.CIQ($G1002,$I1002,L100,Valuation_Date_GC,ReportType,DataMode,$H1002,FXMode)*Scale,"--"))</f>
        <v>--</v>
      </c>
      <c r="M1002" s="2301" t="str">
        <f>IF($G1002=0,"--",IFERROR(_xll.ciqfunctions.udf.CIQ($G1002,$I1002,M100,Valuation_Date_GC,ReportType,DataMode,$H1002,FXMode)*Scale,"--"))</f>
        <v>--</v>
      </c>
      <c r="N1002" s="2301" t="str">
        <f>IF($G1002=0,"--",IFERROR(_xll.ciqfunctions.udf.CIQ($G1002,$I1002,N100,Valuation_Date_GC,ReportType,DataMode,$H1002,FXMode)*Scale,"--"))</f>
        <v>--</v>
      </c>
      <c r="O1002" s="1471" t="str">
        <f>IF($G1002=0,"--",IFERROR(_xll.ciqfunctions.udf.CIQ($G1002,$I1002,O100,Valuation_Date_GC,ReportType,DataMode,$H1002,FXMode)*Scale,"--"))</f>
        <v>--</v>
      </c>
      <c r="P1002" s="2301" t="str">
        <f>IF($G1002=0,"--",IFERROR(_xll.ciqfunctions.udf.CIQ($G1002,$I1002,P100,Valuation_Date_GC,ReportType,DataMode,$H1002,FXMode)*Scale,"--"))</f>
        <v>--</v>
      </c>
      <c r="R1002" s="255"/>
    </row>
    <row r="1003" spans="1:20" s="89" customFormat="1" ht="13.9">
      <c r="A1003" s="269" t="str">
        <f t="shared" ref="A1003:A1026" si="221">IF(F1003="--","n","")</f>
        <v>n</v>
      </c>
      <c r="B1003" s="2060"/>
      <c r="D1003" s="801"/>
      <c r="E1003" s="1505">
        <v>2</v>
      </c>
      <c r="F1003" s="21" t="str">
        <f>F$130</f>
        <v>--</v>
      </c>
      <c r="G1003" s="1441">
        <f>G$130</f>
        <v>0</v>
      </c>
      <c r="H1003" s="1441" t="str">
        <f>H$130</f>
        <v>--</v>
      </c>
      <c r="I1003" s="89" t="s">
        <v>825</v>
      </c>
      <c r="J1003" s="2301" t="str">
        <f>IF($G1003=0,"--",IFERROR(_xll.ciqfunctions.udf.CIQ($G1003,$I1003,J101,Valuation_Date_GC,ReportType,DataMode,$H1003,FXMode)*Scale,"--"))</f>
        <v>--</v>
      </c>
      <c r="K1003" s="2301" t="str">
        <f>IF($G1003=0,"--",IFERROR(_xll.ciqfunctions.udf.CIQ($G1003,$I1003,K101,Valuation_Date_GC,ReportType,DataMode,$H1003,FXMode)*Scale,"--"))</f>
        <v>--</v>
      </c>
      <c r="L1003" s="2301" t="str">
        <f>IF($G1003=0,"--",IFERROR(_xll.ciqfunctions.udf.CIQ($G1003,$I1003,L101,Valuation_Date_GC,ReportType,DataMode,$H1003,FXMode)*Scale,"--"))</f>
        <v>--</v>
      </c>
      <c r="M1003" s="2301" t="str">
        <f>IF($G1003=0,"--",IFERROR(_xll.ciqfunctions.udf.CIQ($G1003,$I1003,M101,Valuation_Date_GC,ReportType,DataMode,$H1003,FXMode)*Scale,"--"))</f>
        <v>--</v>
      </c>
      <c r="N1003" s="2301" t="str">
        <f>IF($G1003=0,"--",IFERROR(_xll.ciqfunctions.udf.CIQ($G1003,$I1003,N101,Valuation_Date_GC,ReportType,DataMode,$H1003,FXMode)*Scale,"--"))</f>
        <v>--</v>
      </c>
      <c r="O1003" s="1471" t="str">
        <f>IF($G1003=0,"--",IFERROR(_xll.ciqfunctions.udf.CIQ($G1003,$I1003,O101,Valuation_Date_GC,ReportType,DataMode,$H1003,FXMode)*Scale,"--"))</f>
        <v>--</v>
      </c>
      <c r="P1003" s="2301" t="str">
        <f>IF($G1003=0,"--",IFERROR(_xll.ciqfunctions.udf.CIQ($G1003,$I1003,P101,Valuation_Date_GC,ReportType,DataMode,$H1003,FXMode)*Scale,"--"))</f>
        <v>--</v>
      </c>
      <c r="R1003" s="255"/>
    </row>
    <row r="1004" spans="1:20" s="89" customFormat="1" ht="13.9">
      <c r="A1004" s="269" t="str">
        <f t="shared" si="221"/>
        <v>n</v>
      </c>
      <c r="B1004" s="2060"/>
      <c r="C1004" s="72"/>
      <c r="D1004" s="801"/>
      <c r="E1004" s="1505">
        <v>3</v>
      </c>
      <c r="F1004" s="21" t="str">
        <f>F$131</f>
        <v>--</v>
      </c>
      <c r="G1004" s="1441">
        <f>G$131</f>
        <v>0</v>
      </c>
      <c r="H1004" s="1441" t="str">
        <f>H$131</f>
        <v>--</v>
      </c>
      <c r="I1004" s="89" t="s">
        <v>825</v>
      </c>
      <c r="J1004" s="2301" t="str">
        <f>IF($G1004=0,"--",IFERROR(_xll.ciqfunctions.udf.CIQ($G1004,$I1004,J102,Valuation_Date_GC,ReportType,DataMode,$H1004,FXMode)*Scale,"--"))</f>
        <v>--</v>
      </c>
      <c r="K1004" s="2301" t="str">
        <f>IF($G1004=0,"--",IFERROR(_xll.ciqfunctions.udf.CIQ($G1004,$I1004,K102,Valuation_Date_GC,ReportType,DataMode,$H1004,FXMode)*Scale,"--"))</f>
        <v>--</v>
      </c>
      <c r="L1004" s="2301" t="str">
        <f>IF($G1004=0,"--",IFERROR(_xll.ciqfunctions.udf.CIQ($G1004,$I1004,L102,Valuation_Date_GC,ReportType,DataMode,$H1004,FXMode)*Scale,"--"))</f>
        <v>--</v>
      </c>
      <c r="M1004" s="2301" t="str">
        <f>IF($G1004=0,"--",IFERROR(_xll.ciqfunctions.udf.CIQ($G1004,$I1004,M102,Valuation_Date_GC,ReportType,DataMode,$H1004,FXMode)*Scale,"--"))</f>
        <v>--</v>
      </c>
      <c r="N1004" s="2301" t="str">
        <f>IF($G1004=0,"--",IFERROR(_xll.ciqfunctions.udf.CIQ($G1004,$I1004,N102,Valuation_Date_GC,ReportType,DataMode,$H1004,FXMode)*Scale,"--"))</f>
        <v>--</v>
      </c>
      <c r="O1004" s="1471" t="str">
        <f>IF($G1004=0,"--",IFERROR(_xll.ciqfunctions.udf.CIQ($G1004,$I1004,O102,Valuation_Date_GC,ReportType,DataMode,$H1004,FXMode)*Scale,"--"))</f>
        <v>--</v>
      </c>
      <c r="P1004" s="2301" t="str">
        <f>IF($G1004=0,"--",IFERROR(_xll.ciqfunctions.udf.CIQ($G1004,$I1004,P102,Valuation_Date_GC,ReportType,DataMode,$H1004,FXMode)*Scale,"--"))</f>
        <v>--</v>
      </c>
      <c r="R1004" s="255"/>
    </row>
    <row r="1005" spans="1:20" s="89" customFormat="1" ht="13.9">
      <c r="A1005" s="269" t="str">
        <f t="shared" si="221"/>
        <v>n</v>
      </c>
      <c r="B1005" s="2060"/>
      <c r="C1005" s="72"/>
      <c r="D1005" s="801"/>
      <c r="E1005" s="1505">
        <v>4</v>
      </c>
      <c r="F1005" s="21" t="str">
        <f>F$132</f>
        <v>--</v>
      </c>
      <c r="G1005" s="1441">
        <f>G$132</f>
        <v>0</v>
      </c>
      <c r="H1005" s="1441" t="str">
        <f>H$132</f>
        <v>--</v>
      </c>
      <c r="I1005" s="89" t="s">
        <v>825</v>
      </c>
      <c r="J1005" s="2301" t="str">
        <f>IF($G1005=0,"--",IFERROR(_xll.ciqfunctions.udf.CIQ($G1005,$I1005,J103,Valuation_Date_GC,ReportType,DataMode,$H1005,FXMode)*Scale,"--"))</f>
        <v>--</v>
      </c>
      <c r="K1005" s="2301" t="str">
        <f>IF($G1005=0,"--",IFERROR(_xll.ciqfunctions.udf.CIQ($G1005,$I1005,K103,Valuation_Date_GC,ReportType,DataMode,$H1005,FXMode)*Scale,"--"))</f>
        <v>--</v>
      </c>
      <c r="L1005" s="2301" t="str">
        <f>IF($G1005=0,"--",IFERROR(_xll.ciqfunctions.udf.CIQ($G1005,$I1005,L103,Valuation_Date_GC,ReportType,DataMode,$H1005,FXMode)*Scale,"--"))</f>
        <v>--</v>
      </c>
      <c r="M1005" s="2301" t="str">
        <f>IF($G1005=0,"--",IFERROR(_xll.ciqfunctions.udf.CIQ($G1005,$I1005,M103,Valuation_Date_GC,ReportType,DataMode,$H1005,FXMode)*Scale,"--"))</f>
        <v>--</v>
      </c>
      <c r="N1005" s="2301" t="str">
        <f>IF($G1005=0,"--",IFERROR(_xll.ciqfunctions.udf.CIQ($G1005,$I1005,N103,Valuation_Date_GC,ReportType,DataMode,$H1005,FXMode)*Scale,"--"))</f>
        <v>--</v>
      </c>
      <c r="O1005" s="1471" t="str">
        <f>IF($G1005=0,"--",IFERROR(_xll.ciqfunctions.udf.CIQ($G1005,$I1005,O103,Valuation_Date_GC,ReportType,DataMode,$H1005,FXMode)*Scale,"--"))</f>
        <v>--</v>
      </c>
      <c r="P1005" s="2301" t="str">
        <f>IF($G1005=0,"--",IFERROR(_xll.ciqfunctions.udf.CIQ($G1005,$I1005,P103,Valuation_Date_GC,ReportType,DataMode,$H1005,FXMode)*Scale,"--"))</f>
        <v>--</v>
      </c>
      <c r="R1005" s="255"/>
    </row>
    <row r="1006" spans="1:20" s="89" customFormat="1" ht="13.9">
      <c r="A1006" s="269" t="str">
        <f t="shared" si="221"/>
        <v>n</v>
      </c>
      <c r="B1006" s="2060"/>
      <c r="C1006" s="72"/>
      <c r="D1006" s="801"/>
      <c r="E1006" s="1505">
        <v>5</v>
      </c>
      <c r="F1006" s="21" t="str">
        <f>F$133</f>
        <v>--</v>
      </c>
      <c r="G1006" s="1441">
        <f>G$133</f>
        <v>0</v>
      </c>
      <c r="H1006" s="1441" t="str">
        <f>H$133</f>
        <v>--</v>
      </c>
      <c r="I1006" s="89" t="s">
        <v>825</v>
      </c>
      <c r="J1006" s="2301" t="str">
        <f>IF($G1006=0,"--",IFERROR(_xll.ciqfunctions.udf.CIQ($G1006,$I1006,J104,Valuation_Date_GC,ReportType,DataMode,$H1006,FXMode)*Scale,"--"))</f>
        <v>--</v>
      </c>
      <c r="K1006" s="2301" t="str">
        <f>IF($G1006=0,"--",IFERROR(_xll.ciqfunctions.udf.CIQ($G1006,$I1006,K104,Valuation_Date_GC,ReportType,DataMode,$H1006,FXMode)*Scale,"--"))</f>
        <v>--</v>
      </c>
      <c r="L1006" s="2301" t="str">
        <f>IF($G1006=0,"--",IFERROR(_xll.ciqfunctions.udf.CIQ($G1006,$I1006,L104,Valuation_Date_GC,ReportType,DataMode,$H1006,FXMode)*Scale,"--"))</f>
        <v>--</v>
      </c>
      <c r="M1006" s="2301" t="str">
        <f>IF($G1006=0,"--",IFERROR(_xll.ciqfunctions.udf.CIQ($G1006,$I1006,M104,Valuation_Date_GC,ReportType,DataMode,$H1006,FXMode)*Scale,"--"))</f>
        <v>--</v>
      </c>
      <c r="N1006" s="2301" t="str">
        <f>IF($G1006=0,"--",IFERROR(_xll.ciqfunctions.udf.CIQ($G1006,$I1006,N104,Valuation_Date_GC,ReportType,DataMode,$H1006,FXMode)*Scale,"--"))</f>
        <v>--</v>
      </c>
      <c r="O1006" s="1471" t="str">
        <f>IF($G1006=0,"--",IFERROR(_xll.ciqfunctions.udf.CIQ($G1006,$I1006,O104,Valuation_Date_GC,ReportType,DataMode,$H1006,FXMode)*Scale,"--"))</f>
        <v>--</v>
      </c>
      <c r="P1006" s="2301" t="str">
        <f>IF($G1006=0,"--",IFERROR(_xll.ciqfunctions.udf.CIQ($G1006,$I1006,P104,Valuation_Date_GC,ReportType,DataMode,$H1006,FXMode)*Scale,"--"))</f>
        <v>--</v>
      </c>
      <c r="R1006" s="255"/>
    </row>
    <row r="1007" spans="1:20" s="89" customFormat="1" ht="13.9">
      <c r="A1007" s="269" t="str">
        <f t="shared" si="221"/>
        <v>n</v>
      </c>
      <c r="B1007" s="2060"/>
      <c r="C1007" s="72"/>
      <c r="D1007" s="801"/>
      <c r="E1007" s="1505">
        <v>6</v>
      </c>
      <c r="F1007" s="21" t="str">
        <f>F$134</f>
        <v>--</v>
      </c>
      <c r="G1007" s="1441">
        <f>G$134</f>
        <v>0</v>
      </c>
      <c r="H1007" s="1441" t="str">
        <f>H$134</f>
        <v>--</v>
      </c>
      <c r="I1007" s="89" t="s">
        <v>825</v>
      </c>
      <c r="J1007" s="2301" t="str">
        <f>IF($G1007=0,"--",IFERROR(_xll.ciqfunctions.udf.CIQ($G1007,$I1007,J105,Valuation_Date_GC,ReportType,DataMode,$H1007,FXMode)*Scale,"--"))</f>
        <v>--</v>
      </c>
      <c r="K1007" s="2301" t="str">
        <f>IF($G1007=0,"--",IFERROR(_xll.ciqfunctions.udf.CIQ($G1007,$I1007,K105,Valuation_Date_GC,ReportType,DataMode,$H1007,FXMode)*Scale,"--"))</f>
        <v>--</v>
      </c>
      <c r="L1007" s="2301" t="str">
        <f>IF($G1007=0,"--",IFERROR(_xll.ciqfunctions.udf.CIQ($G1007,$I1007,L105,Valuation_Date_GC,ReportType,DataMode,$H1007,FXMode)*Scale,"--"))</f>
        <v>--</v>
      </c>
      <c r="M1007" s="2301" t="str">
        <f>IF($G1007=0,"--",IFERROR(_xll.ciqfunctions.udf.CIQ($G1007,$I1007,M105,Valuation_Date_GC,ReportType,DataMode,$H1007,FXMode)*Scale,"--"))</f>
        <v>--</v>
      </c>
      <c r="N1007" s="2301" t="str">
        <f>IF($G1007=0,"--",IFERROR(_xll.ciqfunctions.udf.CIQ($G1007,$I1007,N105,Valuation_Date_GC,ReportType,DataMode,$H1007,FXMode)*Scale,"--"))</f>
        <v>--</v>
      </c>
      <c r="O1007" s="1471" t="str">
        <f>IF($G1007=0,"--",IFERROR(_xll.ciqfunctions.udf.CIQ($G1007,$I1007,O105,Valuation_Date_GC,ReportType,DataMode,$H1007,FXMode)*Scale,"--"))</f>
        <v>--</v>
      </c>
      <c r="P1007" s="2301" t="str">
        <f>IF($G1007=0,"--",IFERROR(_xll.ciqfunctions.udf.CIQ($G1007,$I1007,P105,Valuation_Date_GC,ReportType,DataMode,$H1007,FXMode)*Scale,"--"))</f>
        <v>--</v>
      </c>
      <c r="R1007" s="255"/>
    </row>
    <row r="1008" spans="1:20" s="89" customFormat="1" ht="13.9">
      <c r="A1008" s="269" t="str">
        <f t="shared" si="221"/>
        <v>n</v>
      </c>
      <c r="B1008" s="2060"/>
      <c r="D1008" s="801"/>
      <c r="E1008" s="1505">
        <v>7</v>
      </c>
      <c r="F1008" s="21" t="str">
        <f>F$135</f>
        <v>--</v>
      </c>
      <c r="G1008" s="1441">
        <f>G$135</f>
        <v>0</v>
      </c>
      <c r="H1008" s="1441" t="str">
        <f>H$135</f>
        <v>--</v>
      </c>
      <c r="I1008" s="89" t="s">
        <v>825</v>
      </c>
      <c r="J1008" s="2301" t="str">
        <f>IF($G1008=0,"--",IFERROR(_xll.ciqfunctions.udf.CIQ($G1008,$I1008,J106,Valuation_Date_GC,ReportType,DataMode,$H1008,FXMode)*Scale,"--"))</f>
        <v>--</v>
      </c>
      <c r="K1008" s="2301" t="str">
        <f>IF($G1008=0,"--",IFERROR(_xll.ciqfunctions.udf.CIQ($G1008,$I1008,K106,Valuation_Date_GC,ReportType,DataMode,$H1008,FXMode)*Scale,"--"))</f>
        <v>--</v>
      </c>
      <c r="L1008" s="2301" t="str">
        <f>IF($G1008=0,"--",IFERROR(_xll.ciqfunctions.udf.CIQ($G1008,$I1008,L106,Valuation_Date_GC,ReportType,DataMode,$H1008,FXMode)*Scale,"--"))</f>
        <v>--</v>
      </c>
      <c r="M1008" s="2301" t="str">
        <f>IF($G1008=0,"--",IFERROR(_xll.ciqfunctions.udf.CIQ($G1008,$I1008,M106,Valuation_Date_GC,ReportType,DataMode,$H1008,FXMode)*Scale,"--"))</f>
        <v>--</v>
      </c>
      <c r="N1008" s="2301" t="str">
        <f>IF($G1008=0,"--",IFERROR(_xll.ciqfunctions.udf.CIQ($G1008,$I1008,N106,Valuation_Date_GC,ReportType,DataMode,$H1008,FXMode)*Scale,"--"))</f>
        <v>--</v>
      </c>
      <c r="O1008" s="1471" t="str">
        <f>IF($G1008=0,"--",IFERROR(_xll.ciqfunctions.udf.CIQ($G1008,$I1008,O106,Valuation_Date_GC,ReportType,DataMode,$H1008,FXMode)*Scale,"--"))</f>
        <v>--</v>
      </c>
      <c r="P1008" s="2301" t="str">
        <f>IF($G1008=0,"--",IFERROR(_xll.ciqfunctions.udf.CIQ($G1008,$I1008,P106,Valuation_Date_GC,ReportType,DataMode,$H1008,FXMode)*Scale,"--"))</f>
        <v>--</v>
      </c>
      <c r="R1008" s="255"/>
    </row>
    <row r="1009" spans="1:18" s="89" customFormat="1" ht="13.9">
      <c r="A1009" s="269" t="str">
        <f t="shared" si="221"/>
        <v>n</v>
      </c>
      <c r="B1009" s="2060"/>
      <c r="D1009" s="801"/>
      <c r="E1009" s="1505">
        <v>8</v>
      </c>
      <c r="F1009" s="21" t="str">
        <f>F$136</f>
        <v>--</v>
      </c>
      <c r="G1009" s="1441">
        <f>G$136</f>
        <v>0</v>
      </c>
      <c r="H1009" s="1441" t="str">
        <f>H$136</f>
        <v>--</v>
      </c>
      <c r="I1009" s="89" t="s">
        <v>825</v>
      </c>
      <c r="J1009" s="2301" t="str">
        <f>IF($G1009=0,"--",IFERROR(_xll.ciqfunctions.udf.CIQ($G1009,$I1009,J107,Valuation_Date_GC,ReportType,DataMode,$H1009,FXMode)*Scale,"--"))</f>
        <v>--</v>
      </c>
      <c r="K1009" s="2301" t="str">
        <f>IF($G1009=0,"--",IFERROR(_xll.ciqfunctions.udf.CIQ($G1009,$I1009,K107,Valuation_Date_GC,ReportType,DataMode,$H1009,FXMode)*Scale,"--"))</f>
        <v>--</v>
      </c>
      <c r="L1009" s="2301" t="str">
        <f>IF($G1009=0,"--",IFERROR(_xll.ciqfunctions.udf.CIQ($G1009,$I1009,L107,Valuation_Date_GC,ReportType,DataMode,$H1009,FXMode)*Scale,"--"))</f>
        <v>--</v>
      </c>
      <c r="M1009" s="2301" t="str">
        <f>IF($G1009=0,"--",IFERROR(_xll.ciqfunctions.udf.CIQ($G1009,$I1009,M107,Valuation_Date_GC,ReportType,DataMode,$H1009,FXMode)*Scale,"--"))</f>
        <v>--</v>
      </c>
      <c r="N1009" s="2301" t="str">
        <f>IF($G1009=0,"--",IFERROR(_xll.ciqfunctions.udf.CIQ($G1009,$I1009,N107,Valuation_Date_GC,ReportType,DataMode,$H1009,FXMode)*Scale,"--"))</f>
        <v>--</v>
      </c>
      <c r="O1009" s="1471" t="str">
        <f>IF($G1009=0,"--",IFERROR(_xll.ciqfunctions.udf.CIQ($G1009,$I1009,O107,Valuation_Date_GC,ReportType,DataMode,$H1009,FXMode)*Scale,"--"))</f>
        <v>--</v>
      </c>
      <c r="P1009" s="2301" t="str">
        <f>IF($G1009=0,"--",IFERROR(_xll.ciqfunctions.udf.CIQ($G1009,$I1009,P107,Valuation_Date_GC,ReportType,DataMode,$H1009,FXMode)*Scale,"--"))</f>
        <v>--</v>
      </c>
      <c r="R1009" s="255"/>
    </row>
    <row r="1010" spans="1:18" s="89" customFormat="1" ht="13.9">
      <c r="A1010" s="269" t="str">
        <f t="shared" si="221"/>
        <v>n</v>
      </c>
      <c r="B1010" s="2060"/>
      <c r="D1010" s="801"/>
      <c r="E1010" s="1505">
        <v>9</v>
      </c>
      <c r="F1010" s="21" t="str">
        <f>F$137</f>
        <v>--</v>
      </c>
      <c r="G1010" s="1441">
        <f>G$137</f>
        <v>0</v>
      </c>
      <c r="H1010" s="1441" t="str">
        <f>H$137</f>
        <v>--</v>
      </c>
      <c r="I1010" s="89" t="s">
        <v>825</v>
      </c>
      <c r="J1010" s="2301" t="str">
        <f>IF($G1010=0,"--",IFERROR(_xll.ciqfunctions.udf.CIQ($G1010,$I1010,J108,Valuation_Date_GC,ReportType,DataMode,$H1010,FXMode)*Scale,"--"))</f>
        <v>--</v>
      </c>
      <c r="K1010" s="2301" t="str">
        <f>IF($G1010=0,"--",IFERROR(_xll.ciqfunctions.udf.CIQ($G1010,$I1010,K108,Valuation_Date_GC,ReportType,DataMode,$H1010,FXMode)*Scale,"--"))</f>
        <v>--</v>
      </c>
      <c r="L1010" s="2301" t="str">
        <f>IF($G1010=0,"--",IFERROR(_xll.ciqfunctions.udf.CIQ($G1010,$I1010,L108,Valuation_Date_GC,ReportType,DataMode,$H1010,FXMode)*Scale,"--"))</f>
        <v>--</v>
      </c>
      <c r="M1010" s="2301" t="str">
        <f>IF($G1010=0,"--",IFERROR(_xll.ciqfunctions.udf.CIQ($G1010,$I1010,M108,Valuation_Date_GC,ReportType,DataMode,$H1010,FXMode)*Scale,"--"))</f>
        <v>--</v>
      </c>
      <c r="N1010" s="2301" t="str">
        <f>IF($G1010=0,"--",IFERROR(_xll.ciqfunctions.udf.CIQ($G1010,$I1010,N108,Valuation_Date_GC,ReportType,DataMode,$H1010,FXMode)*Scale,"--"))</f>
        <v>--</v>
      </c>
      <c r="O1010" s="1471" t="str">
        <f>IF($G1010=0,"--",IFERROR(_xll.ciqfunctions.udf.CIQ($G1010,$I1010,O108,Valuation_Date_GC,ReportType,DataMode,$H1010,FXMode)*Scale,"--"))</f>
        <v>--</v>
      </c>
      <c r="P1010" s="2301" t="str">
        <f>IF($G1010=0,"--",IFERROR(_xll.ciqfunctions.udf.CIQ($G1010,$I1010,P108,Valuation_Date_GC,ReportType,DataMode,$H1010,FXMode)*Scale,"--"))</f>
        <v>--</v>
      </c>
      <c r="R1010" s="255"/>
    </row>
    <row r="1011" spans="1:18" s="89" customFormat="1" ht="13.9">
      <c r="A1011" s="269" t="str">
        <f t="shared" si="221"/>
        <v>n</v>
      </c>
      <c r="B1011" s="2060"/>
      <c r="D1011" s="801"/>
      <c r="E1011" s="1505">
        <v>10</v>
      </c>
      <c r="F1011" s="21" t="str">
        <f>F$138</f>
        <v>--</v>
      </c>
      <c r="G1011" s="1441">
        <f>G$138</f>
        <v>0</v>
      </c>
      <c r="H1011" s="1441" t="str">
        <f>H$138</f>
        <v>--</v>
      </c>
      <c r="I1011" s="89" t="s">
        <v>825</v>
      </c>
      <c r="J1011" s="2301" t="str">
        <f>IF($G1011=0,"--",IFERROR(_xll.ciqfunctions.udf.CIQ($G1011,$I1011,J109,Valuation_Date_GC,ReportType,DataMode,$H1011,FXMode)*Scale,"--"))</f>
        <v>--</v>
      </c>
      <c r="K1011" s="2301" t="str">
        <f>IF($G1011=0,"--",IFERROR(_xll.ciqfunctions.udf.CIQ($G1011,$I1011,K109,Valuation_Date_GC,ReportType,DataMode,$H1011,FXMode)*Scale,"--"))</f>
        <v>--</v>
      </c>
      <c r="L1011" s="2301" t="str">
        <f>IF($G1011=0,"--",IFERROR(_xll.ciqfunctions.udf.CIQ($G1011,$I1011,L109,Valuation_Date_GC,ReportType,DataMode,$H1011,FXMode)*Scale,"--"))</f>
        <v>--</v>
      </c>
      <c r="M1011" s="2301" t="str">
        <f>IF($G1011=0,"--",IFERROR(_xll.ciqfunctions.udf.CIQ($G1011,$I1011,M109,Valuation_Date_GC,ReportType,DataMode,$H1011,FXMode)*Scale,"--"))</f>
        <v>--</v>
      </c>
      <c r="N1011" s="2301" t="str">
        <f>IF($G1011=0,"--",IFERROR(_xll.ciqfunctions.udf.CIQ($G1011,$I1011,N109,Valuation_Date_GC,ReportType,DataMode,$H1011,FXMode)*Scale,"--"))</f>
        <v>--</v>
      </c>
      <c r="O1011" s="1471" t="str">
        <f>IF($G1011=0,"--",IFERROR(_xll.ciqfunctions.udf.CIQ($G1011,$I1011,O109,Valuation_Date_GC,ReportType,DataMode,$H1011,FXMode)*Scale,"--"))</f>
        <v>--</v>
      </c>
      <c r="P1011" s="2301" t="str">
        <f>IF($G1011=0,"--",IFERROR(_xll.ciqfunctions.udf.CIQ($G1011,$I1011,P109,Valuation_Date_GC,ReportType,DataMode,$H1011,FXMode)*Scale,"--"))</f>
        <v>--</v>
      </c>
      <c r="R1011" s="255"/>
    </row>
    <row r="1012" spans="1:18" s="89" customFormat="1" ht="13.9">
      <c r="A1012" s="269" t="str">
        <f t="shared" si="221"/>
        <v>n</v>
      </c>
      <c r="B1012" s="2060"/>
      <c r="D1012" s="801"/>
      <c r="E1012" s="1505">
        <v>11</v>
      </c>
      <c r="F1012" s="21" t="str">
        <f>F$139</f>
        <v>--</v>
      </c>
      <c r="G1012" s="1441">
        <f>G$139</f>
        <v>0</v>
      </c>
      <c r="H1012" s="1441" t="str">
        <f>H$139</f>
        <v>--</v>
      </c>
      <c r="I1012" s="89" t="s">
        <v>825</v>
      </c>
      <c r="J1012" s="2301" t="str">
        <f>IF($G1012=0,"--",IFERROR(_xll.ciqfunctions.udf.CIQ($G1012,$I1012,J110,Valuation_Date_GC,ReportType,DataMode,$H1012,FXMode)*Scale,"--"))</f>
        <v>--</v>
      </c>
      <c r="K1012" s="2301" t="str">
        <f>IF($G1012=0,"--",IFERROR(_xll.ciqfunctions.udf.CIQ($G1012,$I1012,K110,Valuation_Date_GC,ReportType,DataMode,$H1012,FXMode)*Scale,"--"))</f>
        <v>--</v>
      </c>
      <c r="L1012" s="2301" t="str">
        <f>IF($G1012=0,"--",IFERROR(_xll.ciqfunctions.udf.CIQ($G1012,$I1012,L110,Valuation_Date_GC,ReportType,DataMode,$H1012,FXMode)*Scale,"--"))</f>
        <v>--</v>
      </c>
      <c r="M1012" s="2301" t="str">
        <f>IF($G1012=0,"--",IFERROR(_xll.ciqfunctions.udf.CIQ($G1012,$I1012,M110,Valuation_Date_GC,ReportType,DataMode,$H1012,FXMode)*Scale,"--"))</f>
        <v>--</v>
      </c>
      <c r="N1012" s="2301" t="str">
        <f>IF($G1012=0,"--",IFERROR(_xll.ciqfunctions.udf.CIQ($G1012,$I1012,N110,Valuation_Date_GC,ReportType,DataMode,$H1012,FXMode)*Scale,"--"))</f>
        <v>--</v>
      </c>
      <c r="O1012" s="1471" t="str">
        <f>IF($G1012=0,"--",IFERROR(_xll.ciqfunctions.udf.CIQ($G1012,$I1012,O110,Valuation_Date_GC,ReportType,DataMode,$H1012,FXMode)*Scale,"--"))</f>
        <v>--</v>
      </c>
      <c r="P1012" s="2301" t="str">
        <f>IF($G1012=0,"--",IFERROR(_xll.ciqfunctions.udf.CIQ($G1012,$I1012,P110,Valuation_Date_GC,ReportType,DataMode,$H1012,FXMode)*Scale,"--"))</f>
        <v>--</v>
      </c>
      <c r="R1012" s="255"/>
    </row>
    <row r="1013" spans="1:18" s="89" customFormat="1" ht="13.9">
      <c r="A1013" s="269" t="str">
        <f t="shared" si="221"/>
        <v>n</v>
      </c>
      <c r="B1013" s="2060"/>
      <c r="D1013" s="801"/>
      <c r="E1013" s="1505">
        <v>12</v>
      </c>
      <c r="F1013" s="21" t="str">
        <f>F$140</f>
        <v>--</v>
      </c>
      <c r="G1013" s="1441">
        <f>G$140</f>
        <v>0</v>
      </c>
      <c r="H1013" s="1441" t="str">
        <f>H$140</f>
        <v>--</v>
      </c>
      <c r="I1013" s="89" t="s">
        <v>825</v>
      </c>
      <c r="J1013" s="2301" t="str">
        <f>IF($G1013=0,"--",IFERROR(_xll.ciqfunctions.udf.CIQ($G1013,$I1013,J111,Valuation_Date_GC,ReportType,DataMode,$H1013,FXMode)*Scale,"--"))</f>
        <v>--</v>
      </c>
      <c r="K1013" s="2301" t="str">
        <f>IF($G1013=0,"--",IFERROR(_xll.ciqfunctions.udf.CIQ($G1013,$I1013,K111,Valuation_Date_GC,ReportType,DataMode,$H1013,FXMode)*Scale,"--"))</f>
        <v>--</v>
      </c>
      <c r="L1013" s="2301" t="str">
        <f>IF($G1013=0,"--",IFERROR(_xll.ciqfunctions.udf.CIQ($G1013,$I1013,L111,Valuation_Date_GC,ReportType,DataMode,$H1013,FXMode)*Scale,"--"))</f>
        <v>--</v>
      </c>
      <c r="M1013" s="2301" t="str">
        <f>IF($G1013=0,"--",IFERROR(_xll.ciqfunctions.udf.CIQ($G1013,$I1013,M111,Valuation_Date_GC,ReportType,DataMode,$H1013,FXMode)*Scale,"--"))</f>
        <v>--</v>
      </c>
      <c r="N1013" s="2301" t="str">
        <f>IF($G1013=0,"--",IFERROR(_xll.ciqfunctions.udf.CIQ($G1013,$I1013,N111,Valuation_Date_GC,ReportType,DataMode,$H1013,FXMode)*Scale,"--"))</f>
        <v>--</v>
      </c>
      <c r="O1013" s="1471" t="str">
        <f>IF($G1013=0,"--",IFERROR(_xll.ciqfunctions.udf.CIQ($G1013,$I1013,O111,Valuation_Date_GC,ReportType,DataMode,$H1013,FXMode)*Scale,"--"))</f>
        <v>--</v>
      </c>
      <c r="P1013" s="2301" t="str">
        <f>IF($G1013=0,"--",IFERROR(_xll.ciqfunctions.udf.CIQ($G1013,$I1013,P111,Valuation_Date_GC,ReportType,DataMode,$H1013,FXMode)*Scale,"--"))</f>
        <v>--</v>
      </c>
      <c r="R1013" s="255"/>
    </row>
    <row r="1014" spans="1:18" s="89" customFormat="1" ht="13.9">
      <c r="A1014" s="269" t="str">
        <f t="shared" si="221"/>
        <v>n</v>
      </c>
      <c r="B1014" s="2060"/>
      <c r="D1014" s="801"/>
      <c r="E1014" s="1505">
        <v>13</v>
      </c>
      <c r="F1014" s="21" t="str">
        <f>F$141</f>
        <v>--</v>
      </c>
      <c r="G1014" s="1441">
        <f>G$141</f>
        <v>0</v>
      </c>
      <c r="H1014" s="1441" t="str">
        <f>H$141</f>
        <v>--</v>
      </c>
      <c r="I1014" s="89" t="s">
        <v>825</v>
      </c>
      <c r="J1014" s="2301" t="str">
        <f>IF($G1014=0,"--",IFERROR(_xll.ciqfunctions.udf.CIQ($G1014,$I1014,J112,Valuation_Date_GC,ReportType,DataMode,$H1014,FXMode)*Scale,"--"))</f>
        <v>--</v>
      </c>
      <c r="K1014" s="2301" t="str">
        <f>IF($G1014=0,"--",IFERROR(_xll.ciqfunctions.udf.CIQ($G1014,$I1014,K112,Valuation_Date_GC,ReportType,DataMode,$H1014,FXMode)*Scale,"--"))</f>
        <v>--</v>
      </c>
      <c r="L1014" s="2301" t="str">
        <f>IF($G1014=0,"--",IFERROR(_xll.ciqfunctions.udf.CIQ($G1014,$I1014,L112,Valuation_Date_GC,ReportType,DataMode,$H1014,FXMode)*Scale,"--"))</f>
        <v>--</v>
      </c>
      <c r="M1014" s="2301" t="str">
        <f>IF($G1014=0,"--",IFERROR(_xll.ciqfunctions.udf.CIQ($G1014,$I1014,M112,Valuation_Date_GC,ReportType,DataMode,$H1014,FXMode)*Scale,"--"))</f>
        <v>--</v>
      </c>
      <c r="N1014" s="2301" t="str">
        <f>IF($G1014=0,"--",IFERROR(_xll.ciqfunctions.udf.CIQ($G1014,$I1014,N112,Valuation_Date_GC,ReportType,DataMode,$H1014,FXMode)*Scale,"--"))</f>
        <v>--</v>
      </c>
      <c r="O1014" s="1471" t="str">
        <f>IF($G1014=0,"--",IFERROR(_xll.ciqfunctions.udf.CIQ($G1014,$I1014,O112,Valuation_Date_GC,ReportType,DataMode,$H1014,FXMode)*Scale,"--"))</f>
        <v>--</v>
      </c>
      <c r="P1014" s="2301" t="str">
        <f>IF($G1014=0,"--",IFERROR(_xll.ciqfunctions.udf.CIQ($G1014,$I1014,P112,Valuation_Date_GC,ReportType,DataMode,$H1014,FXMode)*Scale,"--"))</f>
        <v>--</v>
      </c>
      <c r="R1014" s="255"/>
    </row>
    <row r="1015" spans="1:18" s="89" customFormat="1" ht="13.9">
      <c r="A1015" s="269" t="str">
        <f t="shared" si="221"/>
        <v>n</v>
      </c>
      <c r="B1015" s="2060"/>
      <c r="D1015" s="801"/>
      <c r="E1015" s="1505">
        <v>14</v>
      </c>
      <c r="F1015" s="21" t="str">
        <f>F$142</f>
        <v>--</v>
      </c>
      <c r="G1015" s="1441">
        <f>G$142</f>
        <v>0</v>
      </c>
      <c r="H1015" s="1441" t="str">
        <f>H$142</f>
        <v>--</v>
      </c>
      <c r="I1015" s="89" t="s">
        <v>825</v>
      </c>
      <c r="J1015" s="2301" t="str">
        <f>IF($G1015=0,"--",IFERROR(_xll.ciqfunctions.udf.CIQ($G1015,$I1015,J113,Valuation_Date_GC,ReportType,DataMode,$H1015,FXMode)*Scale,"--"))</f>
        <v>--</v>
      </c>
      <c r="K1015" s="2301" t="str">
        <f>IF($G1015=0,"--",IFERROR(_xll.ciqfunctions.udf.CIQ($G1015,$I1015,K113,Valuation_Date_GC,ReportType,DataMode,$H1015,FXMode)*Scale,"--"))</f>
        <v>--</v>
      </c>
      <c r="L1015" s="2301" t="str">
        <f>IF($G1015=0,"--",IFERROR(_xll.ciqfunctions.udf.CIQ($G1015,$I1015,L113,Valuation_Date_GC,ReportType,DataMode,$H1015,FXMode)*Scale,"--"))</f>
        <v>--</v>
      </c>
      <c r="M1015" s="2301" t="str">
        <f>IF($G1015=0,"--",IFERROR(_xll.ciqfunctions.udf.CIQ($G1015,$I1015,M113,Valuation_Date_GC,ReportType,DataMode,$H1015,FXMode)*Scale,"--"))</f>
        <v>--</v>
      </c>
      <c r="N1015" s="2301" t="str">
        <f>IF($G1015=0,"--",IFERROR(_xll.ciqfunctions.udf.CIQ($G1015,$I1015,N113,Valuation_Date_GC,ReportType,DataMode,$H1015,FXMode)*Scale,"--"))</f>
        <v>--</v>
      </c>
      <c r="O1015" s="1471" t="str">
        <f>IF($G1015=0,"--",IFERROR(_xll.ciqfunctions.udf.CIQ($G1015,$I1015,O113,Valuation_Date_GC,ReportType,DataMode,$H1015,FXMode)*Scale,"--"))</f>
        <v>--</v>
      </c>
      <c r="P1015" s="2301" t="str">
        <f>IF($G1015=0,"--",IFERROR(_xll.ciqfunctions.udf.CIQ($G1015,$I1015,P113,Valuation_Date_GC,ReportType,DataMode,$H1015,FXMode)*Scale,"--"))</f>
        <v>--</v>
      </c>
      <c r="R1015" s="255"/>
    </row>
    <row r="1016" spans="1:18" s="89" customFormat="1" ht="13.9">
      <c r="A1016" s="269" t="str">
        <f t="shared" si="221"/>
        <v>n</v>
      </c>
      <c r="B1016" s="2060"/>
      <c r="D1016" s="801"/>
      <c r="E1016" s="1505">
        <v>15</v>
      </c>
      <c r="F1016" s="21" t="str">
        <f>F$143</f>
        <v>--</v>
      </c>
      <c r="G1016" s="1441">
        <f>G$143</f>
        <v>0</v>
      </c>
      <c r="H1016" s="1441" t="str">
        <f>H$143</f>
        <v>--</v>
      </c>
      <c r="I1016" s="89" t="s">
        <v>825</v>
      </c>
      <c r="J1016" s="2301" t="str">
        <f>IF($G1016=0,"--",IFERROR(_xll.ciqfunctions.udf.CIQ($G1016,$I1016,J114,Valuation_Date_GC,ReportType,DataMode,$H1016,FXMode)*Scale,"--"))</f>
        <v>--</v>
      </c>
      <c r="K1016" s="2301" t="str">
        <f>IF($G1016=0,"--",IFERROR(_xll.ciqfunctions.udf.CIQ($G1016,$I1016,K114,Valuation_Date_GC,ReportType,DataMode,$H1016,FXMode)*Scale,"--"))</f>
        <v>--</v>
      </c>
      <c r="L1016" s="2301" t="str">
        <f>IF($G1016=0,"--",IFERROR(_xll.ciqfunctions.udf.CIQ($G1016,$I1016,L114,Valuation_Date_GC,ReportType,DataMode,$H1016,FXMode)*Scale,"--"))</f>
        <v>--</v>
      </c>
      <c r="M1016" s="2301" t="str">
        <f>IF($G1016=0,"--",IFERROR(_xll.ciqfunctions.udf.CIQ($G1016,$I1016,M114,Valuation_Date_GC,ReportType,DataMode,$H1016,FXMode)*Scale,"--"))</f>
        <v>--</v>
      </c>
      <c r="N1016" s="2301" t="str">
        <f>IF($G1016=0,"--",IFERROR(_xll.ciqfunctions.udf.CIQ($G1016,$I1016,N114,Valuation_Date_GC,ReportType,DataMode,$H1016,FXMode)*Scale,"--"))</f>
        <v>--</v>
      </c>
      <c r="O1016" s="1471" t="str">
        <f>IF($G1016=0,"--",IFERROR(_xll.ciqfunctions.udf.CIQ($G1016,$I1016,O114,Valuation_Date_GC,ReportType,DataMode,$H1016,FXMode)*Scale,"--"))</f>
        <v>--</v>
      </c>
      <c r="P1016" s="2301" t="str">
        <f>IF($G1016=0,"--",IFERROR(_xll.ciqfunctions.udf.CIQ($G1016,$I1016,P114,Valuation_Date_GC,ReportType,DataMode,$H1016,FXMode)*Scale,"--"))</f>
        <v>--</v>
      </c>
      <c r="R1016" s="255"/>
    </row>
    <row r="1017" spans="1:18" s="89" customFormat="1" ht="13.9">
      <c r="A1017" s="269" t="str">
        <f t="shared" si="221"/>
        <v>n</v>
      </c>
      <c r="B1017" s="2060"/>
      <c r="D1017" s="801"/>
      <c r="E1017" s="1505">
        <v>16</v>
      </c>
      <c r="F1017" s="21" t="str">
        <f>F$144</f>
        <v>--</v>
      </c>
      <c r="G1017" s="1441">
        <f>G$144</f>
        <v>0</v>
      </c>
      <c r="H1017" s="1441" t="str">
        <f>H$144</f>
        <v>--</v>
      </c>
      <c r="I1017" s="89" t="s">
        <v>825</v>
      </c>
      <c r="J1017" s="2301" t="str">
        <f>IF($G1017=0,"--",IFERROR(_xll.ciqfunctions.udf.CIQ($G1017,$I1017,J115,Valuation_Date_GC,ReportType,DataMode,$H1017,FXMode)*Scale,"--"))</f>
        <v>--</v>
      </c>
      <c r="K1017" s="2301" t="str">
        <f>IF($G1017=0,"--",IFERROR(_xll.ciqfunctions.udf.CIQ($G1017,$I1017,K115,Valuation_Date_GC,ReportType,DataMode,$H1017,FXMode)*Scale,"--"))</f>
        <v>--</v>
      </c>
      <c r="L1017" s="2301" t="str">
        <f>IF($G1017=0,"--",IFERROR(_xll.ciqfunctions.udf.CIQ($G1017,$I1017,L115,Valuation_Date_GC,ReportType,DataMode,$H1017,FXMode)*Scale,"--"))</f>
        <v>--</v>
      </c>
      <c r="M1017" s="2301" t="str">
        <f>IF($G1017=0,"--",IFERROR(_xll.ciqfunctions.udf.CIQ($G1017,$I1017,M115,Valuation_Date_GC,ReportType,DataMode,$H1017,FXMode)*Scale,"--"))</f>
        <v>--</v>
      </c>
      <c r="N1017" s="2301" t="str">
        <f>IF($G1017=0,"--",IFERROR(_xll.ciqfunctions.udf.CIQ($G1017,$I1017,N115,Valuation_Date_GC,ReportType,DataMode,$H1017,FXMode)*Scale,"--"))</f>
        <v>--</v>
      </c>
      <c r="O1017" s="1471" t="str">
        <f>IF($G1017=0,"--",IFERROR(_xll.ciqfunctions.udf.CIQ($G1017,$I1017,O115,Valuation_Date_GC,ReportType,DataMode,$H1017,FXMode)*Scale,"--"))</f>
        <v>--</v>
      </c>
      <c r="P1017" s="2301" t="str">
        <f>IF($G1017=0,"--",IFERROR(_xll.ciqfunctions.udf.CIQ($G1017,$I1017,P115,Valuation_Date_GC,ReportType,DataMode,$H1017,FXMode)*Scale,"--"))</f>
        <v>--</v>
      </c>
      <c r="R1017" s="255"/>
    </row>
    <row r="1018" spans="1:18" s="89" customFormat="1" ht="13.9">
      <c r="A1018" s="269" t="str">
        <f t="shared" si="221"/>
        <v>n</v>
      </c>
      <c r="B1018" s="2060"/>
      <c r="D1018" s="801"/>
      <c r="E1018" s="1505">
        <v>17</v>
      </c>
      <c r="F1018" s="21" t="str">
        <f>F$145</f>
        <v>--</v>
      </c>
      <c r="G1018" s="1441">
        <f>G$145</f>
        <v>0</v>
      </c>
      <c r="H1018" s="1441" t="str">
        <f>H$145</f>
        <v>--</v>
      </c>
      <c r="I1018" s="89" t="s">
        <v>825</v>
      </c>
      <c r="J1018" s="2301" t="str">
        <f>IF($G1018=0,"--",IFERROR(_xll.ciqfunctions.udf.CIQ($G1018,$I1018,J116,Valuation_Date_GC,ReportType,DataMode,$H1018,FXMode)*Scale,"--"))</f>
        <v>--</v>
      </c>
      <c r="K1018" s="2301" t="str">
        <f>IF($G1018=0,"--",IFERROR(_xll.ciqfunctions.udf.CIQ($G1018,$I1018,K116,Valuation_Date_GC,ReportType,DataMode,$H1018,FXMode)*Scale,"--"))</f>
        <v>--</v>
      </c>
      <c r="L1018" s="2301" t="str">
        <f>IF($G1018=0,"--",IFERROR(_xll.ciqfunctions.udf.CIQ($G1018,$I1018,L116,Valuation_Date_GC,ReportType,DataMode,$H1018,FXMode)*Scale,"--"))</f>
        <v>--</v>
      </c>
      <c r="M1018" s="2301" t="str">
        <f>IF($G1018=0,"--",IFERROR(_xll.ciqfunctions.udf.CIQ($G1018,$I1018,M116,Valuation_Date_GC,ReportType,DataMode,$H1018,FXMode)*Scale,"--"))</f>
        <v>--</v>
      </c>
      <c r="N1018" s="2301" t="str">
        <f>IF($G1018=0,"--",IFERROR(_xll.ciqfunctions.udf.CIQ($G1018,$I1018,N116,Valuation_Date_GC,ReportType,DataMode,$H1018,FXMode)*Scale,"--"))</f>
        <v>--</v>
      </c>
      <c r="O1018" s="1471" t="str">
        <f>IF($G1018=0,"--",IFERROR(_xll.ciqfunctions.udf.CIQ($G1018,$I1018,O116,Valuation_Date_GC,ReportType,DataMode,$H1018,FXMode)*Scale,"--"))</f>
        <v>--</v>
      </c>
      <c r="P1018" s="2301" t="str">
        <f>IF($G1018=0,"--",IFERROR(_xll.ciqfunctions.udf.CIQ($G1018,$I1018,P116,Valuation_Date_GC,ReportType,DataMode,$H1018,FXMode)*Scale,"--"))</f>
        <v>--</v>
      </c>
      <c r="R1018" s="255"/>
    </row>
    <row r="1019" spans="1:18" s="89" customFormat="1" ht="13.9">
      <c r="A1019" s="269" t="str">
        <f t="shared" si="221"/>
        <v>n</v>
      </c>
      <c r="B1019" s="2060"/>
      <c r="D1019" s="801"/>
      <c r="E1019" s="1505">
        <v>18</v>
      </c>
      <c r="F1019" s="21" t="str">
        <f>F$146</f>
        <v>--</v>
      </c>
      <c r="G1019" s="1441">
        <f>G$146</f>
        <v>0</v>
      </c>
      <c r="H1019" s="1441" t="str">
        <f>H$146</f>
        <v>--</v>
      </c>
      <c r="I1019" s="89" t="s">
        <v>825</v>
      </c>
      <c r="J1019" s="2301" t="str">
        <f>IF($G1019=0,"--",IFERROR(_xll.ciqfunctions.udf.CIQ($G1019,$I1019,J117,Valuation_Date_GC,ReportType,DataMode,$H1019,FXMode)*Scale,"--"))</f>
        <v>--</v>
      </c>
      <c r="K1019" s="2301" t="str">
        <f>IF($G1019=0,"--",IFERROR(_xll.ciqfunctions.udf.CIQ($G1019,$I1019,K117,Valuation_Date_GC,ReportType,DataMode,$H1019,FXMode)*Scale,"--"))</f>
        <v>--</v>
      </c>
      <c r="L1019" s="2301" t="str">
        <f>IF($G1019=0,"--",IFERROR(_xll.ciqfunctions.udf.CIQ($G1019,$I1019,L117,Valuation_Date_GC,ReportType,DataMode,$H1019,FXMode)*Scale,"--"))</f>
        <v>--</v>
      </c>
      <c r="M1019" s="2301" t="str">
        <f>IF($G1019=0,"--",IFERROR(_xll.ciqfunctions.udf.CIQ($G1019,$I1019,M117,Valuation_Date_GC,ReportType,DataMode,$H1019,FXMode)*Scale,"--"))</f>
        <v>--</v>
      </c>
      <c r="N1019" s="2301" t="str">
        <f>IF($G1019=0,"--",IFERROR(_xll.ciqfunctions.udf.CIQ($G1019,$I1019,N117,Valuation_Date_GC,ReportType,DataMode,$H1019,FXMode)*Scale,"--"))</f>
        <v>--</v>
      </c>
      <c r="O1019" s="1471" t="str">
        <f>IF($G1019=0,"--",IFERROR(_xll.ciqfunctions.udf.CIQ($G1019,$I1019,O117,Valuation_Date_GC,ReportType,DataMode,$H1019,FXMode)*Scale,"--"))</f>
        <v>--</v>
      </c>
      <c r="P1019" s="2301" t="str">
        <f>IF($G1019=0,"--",IFERROR(_xll.ciqfunctions.udf.CIQ($G1019,$I1019,P117,Valuation_Date_GC,ReportType,DataMode,$H1019,FXMode)*Scale,"--"))</f>
        <v>--</v>
      </c>
      <c r="R1019" s="255"/>
    </row>
    <row r="1020" spans="1:18" s="89" customFormat="1" ht="13.9">
      <c r="A1020" s="269" t="str">
        <f t="shared" si="221"/>
        <v>n</v>
      </c>
      <c r="B1020" s="2060"/>
      <c r="D1020" s="801"/>
      <c r="E1020" s="1505">
        <v>19</v>
      </c>
      <c r="F1020" s="21" t="str">
        <f>F$147</f>
        <v>--</v>
      </c>
      <c r="G1020" s="1441">
        <f>G$147</f>
        <v>0</v>
      </c>
      <c r="H1020" s="1441" t="str">
        <f>H$147</f>
        <v>--</v>
      </c>
      <c r="I1020" s="89" t="s">
        <v>825</v>
      </c>
      <c r="J1020" s="2301" t="str">
        <f>IF($G1020=0,"--",IFERROR(_xll.ciqfunctions.udf.CIQ($G1020,$I1020,J118,Valuation_Date_GC,ReportType,DataMode,$H1020,FXMode)*Scale,"--"))</f>
        <v>--</v>
      </c>
      <c r="K1020" s="2301" t="str">
        <f>IF($G1020=0,"--",IFERROR(_xll.ciqfunctions.udf.CIQ($G1020,$I1020,K118,Valuation_Date_GC,ReportType,DataMode,$H1020,FXMode)*Scale,"--"))</f>
        <v>--</v>
      </c>
      <c r="L1020" s="2301" t="str">
        <f>IF($G1020=0,"--",IFERROR(_xll.ciqfunctions.udf.CIQ($G1020,$I1020,L118,Valuation_Date_GC,ReportType,DataMode,$H1020,FXMode)*Scale,"--"))</f>
        <v>--</v>
      </c>
      <c r="M1020" s="2301" t="str">
        <f>IF($G1020=0,"--",IFERROR(_xll.ciqfunctions.udf.CIQ($G1020,$I1020,M118,Valuation_Date_GC,ReportType,DataMode,$H1020,FXMode)*Scale,"--"))</f>
        <v>--</v>
      </c>
      <c r="N1020" s="2301" t="str">
        <f>IF($G1020=0,"--",IFERROR(_xll.ciqfunctions.udf.CIQ($G1020,$I1020,N118,Valuation_Date_GC,ReportType,DataMode,$H1020,FXMode)*Scale,"--"))</f>
        <v>--</v>
      </c>
      <c r="O1020" s="1471" t="str">
        <f>IF($G1020=0,"--",IFERROR(_xll.ciqfunctions.udf.CIQ($G1020,$I1020,O118,Valuation_Date_GC,ReportType,DataMode,$H1020,FXMode)*Scale,"--"))</f>
        <v>--</v>
      </c>
      <c r="P1020" s="2301" t="str">
        <f>IF($G1020=0,"--",IFERROR(_xll.ciqfunctions.udf.CIQ($G1020,$I1020,P118,Valuation_Date_GC,ReportType,DataMode,$H1020,FXMode)*Scale,"--"))</f>
        <v>--</v>
      </c>
      <c r="R1020" s="255"/>
    </row>
    <row r="1021" spans="1:18" s="89" customFormat="1" ht="13.9">
      <c r="A1021" s="269" t="str">
        <f t="shared" si="221"/>
        <v>n</v>
      </c>
      <c r="B1021" s="2060"/>
      <c r="D1021" s="801"/>
      <c r="E1021" s="1505">
        <v>20</v>
      </c>
      <c r="F1021" s="21" t="str">
        <f>F$148</f>
        <v>--</v>
      </c>
      <c r="G1021" s="1441">
        <f>G$148</f>
        <v>0</v>
      </c>
      <c r="H1021" s="1441" t="str">
        <f>H$148</f>
        <v>--</v>
      </c>
      <c r="I1021" s="89" t="s">
        <v>825</v>
      </c>
      <c r="J1021" s="2301" t="str">
        <f>IF($G1021=0,"--",IFERROR(_xll.ciqfunctions.udf.CIQ($G1021,$I1021,J119,Valuation_Date_GC,ReportType,DataMode,$H1021,FXMode)*Scale,"--"))</f>
        <v>--</v>
      </c>
      <c r="K1021" s="2301" t="str">
        <f>IF($G1021=0,"--",IFERROR(_xll.ciqfunctions.udf.CIQ($G1021,$I1021,K119,Valuation_Date_GC,ReportType,DataMode,$H1021,FXMode)*Scale,"--"))</f>
        <v>--</v>
      </c>
      <c r="L1021" s="2301" t="str">
        <f>IF($G1021=0,"--",IFERROR(_xll.ciqfunctions.udf.CIQ($G1021,$I1021,L119,Valuation_Date_GC,ReportType,DataMode,$H1021,FXMode)*Scale,"--"))</f>
        <v>--</v>
      </c>
      <c r="M1021" s="2301" t="str">
        <f>IF($G1021=0,"--",IFERROR(_xll.ciqfunctions.udf.CIQ($G1021,$I1021,M119,Valuation_Date_GC,ReportType,DataMode,$H1021,FXMode)*Scale,"--"))</f>
        <v>--</v>
      </c>
      <c r="N1021" s="2301" t="str">
        <f>IF($G1021=0,"--",IFERROR(_xll.ciqfunctions.udf.CIQ($G1021,$I1021,N119,Valuation_Date_GC,ReportType,DataMode,$H1021,FXMode)*Scale,"--"))</f>
        <v>--</v>
      </c>
      <c r="O1021" s="1471" t="str">
        <f>IF($G1021=0,"--",IFERROR(_xll.ciqfunctions.udf.CIQ($G1021,$I1021,O119,Valuation_Date_GC,ReportType,DataMode,$H1021,FXMode)*Scale,"--"))</f>
        <v>--</v>
      </c>
      <c r="P1021" s="2301" t="str">
        <f>IF($G1021=0,"--",IFERROR(_xll.ciqfunctions.udf.CIQ($G1021,$I1021,P119,Valuation_Date_GC,ReportType,DataMode,$H1021,FXMode)*Scale,"--"))</f>
        <v>--</v>
      </c>
      <c r="R1021" s="255"/>
    </row>
    <row r="1022" spans="1:18" s="89" customFormat="1" ht="13.9">
      <c r="A1022" s="269" t="str">
        <f t="shared" si="221"/>
        <v>n</v>
      </c>
      <c r="B1022" s="2060"/>
      <c r="D1022" s="801"/>
      <c r="E1022" s="1505">
        <v>21</v>
      </c>
      <c r="F1022" s="21" t="str">
        <f>F$149</f>
        <v>--</v>
      </c>
      <c r="G1022" s="1441">
        <f>G$149</f>
        <v>0</v>
      </c>
      <c r="H1022" s="1441" t="str">
        <f>H$149</f>
        <v>--</v>
      </c>
      <c r="I1022" s="89" t="s">
        <v>825</v>
      </c>
      <c r="J1022" s="2301" t="str">
        <f>IF($G1022=0,"--",IFERROR(_xll.ciqfunctions.udf.CIQ($G1022,$I1022,J120,Valuation_Date_GC,ReportType,DataMode,$H1022,FXMode)*Scale,"--"))</f>
        <v>--</v>
      </c>
      <c r="K1022" s="2301" t="str">
        <f>IF($G1022=0,"--",IFERROR(_xll.ciqfunctions.udf.CIQ($G1022,$I1022,K120,Valuation_Date_GC,ReportType,DataMode,$H1022,FXMode)*Scale,"--"))</f>
        <v>--</v>
      </c>
      <c r="L1022" s="2301" t="str">
        <f>IF($G1022=0,"--",IFERROR(_xll.ciqfunctions.udf.CIQ($G1022,$I1022,L120,Valuation_Date_GC,ReportType,DataMode,$H1022,FXMode)*Scale,"--"))</f>
        <v>--</v>
      </c>
      <c r="M1022" s="2301" t="str">
        <f>IF($G1022=0,"--",IFERROR(_xll.ciqfunctions.udf.CIQ($G1022,$I1022,M120,Valuation_Date_GC,ReportType,DataMode,$H1022,FXMode)*Scale,"--"))</f>
        <v>--</v>
      </c>
      <c r="N1022" s="2301" t="str">
        <f>IF($G1022=0,"--",IFERROR(_xll.ciqfunctions.udf.CIQ($G1022,$I1022,N120,Valuation_Date_GC,ReportType,DataMode,$H1022,FXMode)*Scale,"--"))</f>
        <v>--</v>
      </c>
      <c r="O1022" s="1471" t="str">
        <f>IF($G1022=0,"--",IFERROR(_xll.ciqfunctions.udf.CIQ($G1022,$I1022,O120,Valuation_Date_GC,ReportType,DataMode,$H1022,FXMode)*Scale,"--"))</f>
        <v>--</v>
      </c>
      <c r="P1022" s="2301" t="str">
        <f>IF($G1022=0,"--",IFERROR(_xll.ciqfunctions.udf.CIQ($G1022,$I1022,P120,Valuation_Date_GC,ReportType,DataMode,$H1022,FXMode)*Scale,"--"))</f>
        <v>--</v>
      </c>
      <c r="R1022" s="255"/>
    </row>
    <row r="1023" spans="1:18" s="89" customFormat="1" ht="13.9">
      <c r="A1023" s="269" t="str">
        <f t="shared" si="221"/>
        <v>n</v>
      </c>
      <c r="B1023" s="2060"/>
      <c r="D1023" s="801"/>
      <c r="E1023" s="1505">
        <v>22</v>
      </c>
      <c r="F1023" s="21" t="str">
        <f>F$150</f>
        <v>--</v>
      </c>
      <c r="G1023" s="1441">
        <f>G$150</f>
        <v>0</v>
      </c>
      <c r="H1023" s="1441" t="str">
        <f>H$150</f>
        <v>--</v>
      </c>
      <c r="I1023" s="89" t="s">
        <v>825</v>
      </c>
      <c r="J1023" s="2301" t="str">
        <f>IF($G1023=0,"--",IFERROR(_xll.ciqfunctions.udf.CIQ($G1023,$I1023,J121,Valuation_Date_GC,ReportType,DataMode,$H1023,FXMode)*Scale,"--"))</f>
        <v>--</v>
      </c>
      <c r="K1023" s="2301" t="str">
        <f>IF($G1023=0,"--",IFERROR(_xll.ciqfunctions.udf.CIQ($G1023,$I1023,K121,Valuation_Date_GC,ReportType,DataMode,$H1023,FXMode)*Scale,"--"))</f>
        <v>--</v>
      </c>
      <c r="L1023" s="2301" t="str">
        <f>IF($G1023=0,"--",IFERROR(_xll.ciqfunctions.udf.CIQ($G1023,$I1023,L121,Valuation_Date_GC,ReportType,DataMode,$H1023,FXMode)*Scale,"--"))</f>
        <v>--</v>
      </c>
      <c r="M1023" s="2301" t="str">
        <f>IF($G1023=0,"--",IFERROR(_xll.ciqfunctions.udf.CIQ($G1023,$I1023,M121,Valuation_Date_GC,ReportType,DataMode,$H1023,FXMode)*Scale,"--"))</f>
        <v>--</v>
      </c>
      <c r="N1023" s="2301" t="str">
        <f>IF($G1023=0,"--",IFERROR(_xll.ciqfunctions.udf.CIQ($G1023,$I1023,N121,Valuation_Date_GC,ReportType,DataMode,$H1023,FXMode)*Scale,"--"))</f>
        <v>--</v>
      </c>
      <c r="O1023" s="1471" t="str">
        <f>IF($G1023=0,"--",IFERROR(_xll.ciqfunctions.udf.CIQ($G1023,$I1023,O121,Valuation_Date_GC,ReportType,DataMode,$H1023,FXMode)*Scale,"--"))</f>
        <v>--</v>
      </c>
      <c r="P1023" s="2301" t="str">
        <f>IF($G1023=0,"--",IFERROR(_xll.ciqfunctions.udf.CIQ($G1023,$I1023,P121,Valuation_Date_GC,ReportType,DataMode,$H1023,FXMode)*Scale,"--"))</f>
        <v>--</v>
      </c>
      <c r="R1023" s="255"/>
    </row>
    <row r="1024" spans="1:18" s="89" customFormat="1" ht="13.9">
      <c r="A1024" s="269" t="str">
        <f t="shared" si="221"/>
        <v>n</v>
      </c>
      <c r="B1024" s="2060"/>
      <c r="D1024" s="801"/>
      <c r="E1024" s="1505">
        <v>23</v>
      </c>
      <c r="F1024" s="21" t="str">
        <f>F$151</f>
        <v>--</v>
      </c>
      <c r="G1024" s="1441">
        <f>G$151</f>
        <v>0</v>
      </c>
      <c r="H1024" s="1441" t="str">
        <f>H$151</f>
        <v>--</v>
      </c>
      <c r="I1024" s="89" t="s">
        <v>825</v>
      </c>
      <c r="J1024" s="2301" t="str">
        <f>IF($G1024=0,"--",IFERROR(_xll.ciqfunctions.udf.CIQ($G1024,$I1024,J122,Valuation_Date_GC,ReportType,DataMode,$H1024,FXMode)*Scale,"--"))</f>
        <v>--</v>
      </c>
      <c r="K1024" s="2301" t="str">
        <f>IF($G1024=0,"--",IFERROR(_xll.ciqfunctions.udf.CIQ($G1024,$I1024,K122,Valuation_Date_GC,ReportType,DataMode,$H1024,FXMode)*Scale,"--"))</f>
        <v>--</v>
      </c>
      <c r="L1024" s="2301" t="str">
        <f>IF($G1024=0,"--",IFERROR(_xll.ciqfunctions.udf.CIQ($G1024,$I1024,L122,Valuation_Date_GC,ReportType,DataMode,$H1024,FXMode)*Scale,"--"))</f>
        <v>--</v>
      </c>
      <c r="M1024" s="2301" t="str">
        <f>IF($G1024=0,"--",IFERROR(_xll.ciqfunctions.udf.CIQ($G1024,$I1024,M122,Valuation_Date_GC,ReportType,DataMode,$H1024,FXMode)*Scale,"--"))</f>
        <v>--</v>
      </c>
      <c r="N1024" s="2301" t="str">
        <f>IF($G1024=0,"--",IFERROR(_xll.ciqfunctions.udf.CIQ($G1024,$I1024,N122,Valuation_Date_GC,ReportType,DataMode,$H1024,FXMode)*Scale,"--"))</f>
        <v>--</v>
      </c>
      <c r="O1024" s="1471" t="str">
        <f>IF($G1024=0,"--",IFERROR(_xll.ciqfunctions.udf.CIQ($G1024,$I1024,O122,Valuation_Date_GC,ReportType,DataMode,$H1024,FXMode)*Scale,"--"))</f>
        <v>--</v>
      </c>
      <c r="P1024" s="2301" t="str">
        <f>IF($G1024=0,"--",IFERROR(_xll.ciqfunctions.udf.CIQ($G1024,$I1024,P122,Valuation_Date_GC,ReportType,DataMode,$H1024,FXMode)*Scale,"--"))</f>
        <v>--</v>
      </c>
      <c r="R1024" s="255"/>
    </row>
    <row r="1025" spans="1:20" s="89" customFormat="1" ht="13.9">
      <c r="A1025" s="269" t="str">
        <f t="shared" si="221"/>
        <v>n</v>
      </c>
      <c r="B1025" s="2060"/>
      <c r="D1025" s="801"/>
      <c r="E1025" s="1505">
        <v>24</v>
      </c>
      <c r="F1025" s="21" t="str">
        <f>F$152</f>
        <v>--</v>
      </c>
      <c r="G1025" s="1441">
        <f>G$152</f>
        <v>0</v>
      </c>
      <c r="H1025" s="1441" t="str">
        <f>H$152</f>
        <v>--</v>
      </c>
      <c r="I1025" s="89" t="s">
        <v>825</v>
      </c>
      <c r="J1025" s="2301" t="str">
        <f>IF($G1025=0,"--",IFERROR(_xll.ciqfunctions.udf.CIQ($G1025,$I1025,J123,Valuation_Date_GC,ReportType,DataMode,$H1025,FXMode)*Scale,"--"))</f>
        <v>--</v>
      </c>
      <c r="K1025" s="2301" t="str">
        <f>IF($G1025=0,"--",IFERROR(_xll.ciqfunctions.udf.CIQ($G1025,$I1025,K123,Valuation_Date_GC,ReportType,DataMode,$H1025,FXMode)*Scale,"--"))</f>
        <v>--</v>
      </c>
      <c r="L1025" s="2301" t="str">
        <f>IF($G1025=0,"--",IFERROR(_xll.ciqfunctions.udf.CIQ($G1025,$I1025,L123,Valuation_Date_GC,ReportType,DataMode,$H1025,FXMode)*Scale,"--"))</f>
        <v>--</v>
      </c>
      <c r="M1025" s="2301" t="str">
        <f>IF($G1025=0,"--",IFERROR(_xll.ciqfunctions.udf.CIQ($G1025,$I1025,M123,Valuation_Date_GC,ReportType,DataMode,$H1025,FXMode)*Scale,"--"))</f>
        <v>--</v>
      </c>
      <c r="N1025" s="2301" t="str">
        <f>IF($G1025=0,"--",IFERROR(_xll.ciqfunctions.udf.CIQ($G1025,$I1025,N123,Valuation_Date_GC,ReportType,DataMode,$H1025,FXMode)*Scale,"--"))</f>
        <v>--</v>
      </c>
      <c r="O1025" s="1471" t="str">
        <f>IF($G1025=0,"--",IFERROR(_xll.ciqfunctions.udf.CIQ($G1025,$I1025,O123,Valuation_Date_GC,ReportType,DataMode,$H1025,FXMode)*Scale,"--"))</f>
        <v>--</v>
      </c>
      <c r="P1025" s="2301" t="str">
        <f>IF($G1025=0,"--",IFERROR(_xll.ciqfunctions.udf.CIQ($G1025,$I1025,P123,Valuation_Date_GC,ReportType,DataMode,$H1025,FXMode)*Scale,"--"))</f>
        <v>--</v>
      </c>
      <c r="R1025" s="255"/>
    </row>
    <row r="1026" spans="1:20" s="89" customFormat="1" ht="13.9">
      <c r="A1026" s="269" t="str">
        <f t="shared" si="221"/>
        <v>n</v>
      </c>
      <c r="B1026" s="2060"/>
      <c r="D1026" s="801"/>
      <c r="E1026" s="1505">
        <v>25</v>
      </c>
      <c r="F1026" s="21" t="str">
        <f>F$153</f>
        <v>--</v>
      </c>
      <c r="G1026" s="1441">
        <f>G$153</f>
        <v>0</v>
      </c>
      <c r="H1026" s="1441" t="str">
        <f>H$153</f>
        <v>--</v>
      </c>
      <c r="I1026" s="89" t="s">
        <v>825</v>
      </c>
      <c r="J1026" s="2301" t="str">
        <f>IF($G1026=0,"--",IFERROR(_xll.ciqfunctions.udf.CIQ($G1026,$I1026,J124,Valuation_Date_GC,ReportType,DataMode,$H1026,FXMode)*Scale,"--"))</f>
        <v>--</v>
      </c>
      <c r="K1026" s="2301" t="str">
        <f>IF($G1026=0,"--",IFERROR(_xll.ciqfunctions.udf.CIQ($G1026,$I1026,K124,Valuation_Date_GC,ReportType,DataMode,$H1026,FXMode)*Scale,"--"))</f>
        <v>--</v>
      </c>
      <c r="L1026" s="2301" t="str">
        <f>IF($G1026=0,"--",IFERROR(_xll.ciqfunctions.udf.CIQ($G1026,$I1026,L124,Valuation_Date_GC,ReportType,DataMode,$H1026,FXMode)*Scale,"--"))</f>
        <v>--</v>
      </c>
      <c r="M1026" s="2301" t="str">
        <f>IF($G1026=0,"--",IFERROR(_xll.ciqfunctions.udf.CIQ($G1026,$I1026,M124,Valuation_Date_GC,ReportType,DataMode,$H1026,FXMode)*Scale,"--"))</f>
        <v>--</v>
      </c>
      <c r="N1026" s="2301" t="str">
        <f>IF($G1026=0,"--",IFERROR(_xll.ciqfunctions.udf.CIQ($G1026,$I1026,N124,Valuation_Date_GC,ReportType,DataMode,$H1026,FXMode)*Scale,"--"))</f>
        <v>--</v>
      </c>
      <c r="O1026" s="1471" t="str">
        <f>IF($G1026=0,"--",IFERROR(_xll.ciqfunctions.udf.CIQ($G1026,$I1026,O124,Valuation_Date_GC,ReportType,DataMode,$H1026,FXMode)*Scale,"--"))</f>
        <v>--</v>
      </c>
      <c r="P1026" s="2301" t="str">
        <f>IF($G1026=0,"--",IFERROR(_xll.ciqfunctions.udf.CIQ($G1026,$I1026,P124,Valuation_Date_GC,ReportType,DataMode,$H1026,FXMode)*Scale,"--"))</f>
        <v>--</v>
      </c>
      <c r="R1026" s="255"/>
    </row>
    <row r="1027" spans="1:20" s="89" customFormat="1" ht="13.9">
      <c r="A1027" s="2060"/>
      <c r="B1027" s="2060"/>
      <c r="D1027" s="801"/>
      <c r="F1027" s="57" t="s">
        <v>767</v>
      </c>
      <c r="G1027" s="1442"/>
      <c r="H1027" s="1442"/>
      <c r="I1027" s="1442"/>
      <c r="J1027" s="1443" t="str">
        <f t="shared" ref="J1027:P1027" si="222">IFERROR(MEDIAN(J1002:J1026),"--")</f>
        <v>--</v>
      </c>
      <c r="K1027" s="1443" t="str">
        <f t="shared" si="222"/>
        <v>--</v>
      </c>
      <c r="L1027" s="1443" t="str">
        <f t="shared" si="222"/>
        <v>--</v>
      </c>
      <c r="M1027" s="1443" t="str">
        <f t="shared" si="222"/>
        <v>--</v>
      </c>
      <c r="N1027" s="1443" t="str">
        <f t="shared" si="222"/>
        <v>--</v>
      </c>
      <c r="O1027" s="1444" t="str">
        <f t="shared" si="222"/>
        <v>--</v>
      </c>
      <c r="P1027" s="1443" t="str">
        <f t="shared" si="222"/>
        <v>--</v>
      </c>
      <c r="R1027" s="255"/>
      <c r="T1027" s="1513"/>
    </row>
    <row r="1028" spans="1:20" s="89" customFormat="1" ht="13.9">
      <c r="A1028" s="2060"/>
      <c r="B1028" s="2060"/>
      <c r="D1028" s="801"/>
      <c r="O1028" s="75"/>
      <c r="P1028" s="76"/>
      <c r="R1028" s="255"/>
    </row>
    <row r="1029" spans="1:20" s="89" customFormat="1" ht="13.9">
      <c r="A1029" s="2060"/>
      <c r="B1029" s="2060"/>
      <c r="D1029" s="801"/>
      <c r="O1029" s="75"/>
      <c r="P1029" s="76"/>
    </row>
    <row r="1030" spans="1:20" s="89" customFormat="1" ht="13.9">
      <c r="A1030" s="2060"/>
      <c r="B1030" s="2060"/>
      <c r="D1030" s="801"/>
      <c r="O1030" s="75"/>
      <c r="P1030" s="76"/>
    </row>
    <row r="1031" spans="1:20" s="89" customFormat="1" ht="13.9">
      <c r="A1031" s="2060"/>
      <c r="B1031" s="2060"/>
      <c r="D1031" s="778">
        <f ca="1">MAX(OFFSET(D1031,-1,0,-ROW(D1031)+1,-2),1)+0.01</f>
        <v>6.0699999999999985</v>
      </c>
      <c r="E1031" s="125"/>
      <c r="F1031" s="952" t="s">
        <v>345</v>
      </c>
      <c r="G1031" s="724" t="s">
        <v>777</v>
      </c>
      <c r="H1031" s="724"/>
      <c r="I1031" s="724"/>
      <c r="J1031" s="724"/>
      <c r="K1031" s="724"/>
      <c r="L1031" s="725"/>
      <c r="M1031" s="725" t="s">
        <v>702</v>
      </c>
      <c r="N1031" s="725" t="s">
        <v>703</v>
      </c>
      <c r="O1031" s="759" t="s">
        <v>704</v>
      </c>
      <c r="P1031" s="725" t="s">
        <v>780</v>
      </c>
      <c r="R1031" s="255"/>
    </row>
    <row r="1032" spans="1:20" s="89" customFormat="1" ht="13.9">
      <c r="A1032" s="2060"/>
      <c r="B1032" s="2060"/>
      <c r="D1032" s="778"/>
      <c r="E1032" s="1505">
        <v>0</v>
      </c>
      <c r="F1032" s="1448" t="str">
        <f>F$128</f>
        <v/>
      </c>
      <c r="G1032" s="1449">
        <f>G$128</f>
        <v>0</v>
      </c>
      <c r="H1032" s="1449" t="str">
        <f>H$128</f>
        <v>USD</v>
      </c>
      <c r="I1032" s="258" t="s">
        <v>793</v>
      </c>
      <c r="J1032" s="258"/>
      <c r="K1032" s="2304">
        <f>'BAL SHEET Hist Input'!F52</f>
        <v>0</v>
      </c>
      <c r="L1032" s="2304">
        <f>'BAL SHEET Hist Input'!G52</f>
        <v>0</v>
      </c>
      <c r="M1032" s="2304">
        <f>'BAL SHEET Hist Input'!H52</f>
        <v>0</v>
      </c>
      <c r="N1032" s="2304">
        <f>'BAL SHEET Hist Input'!I52</f>
        <v>0</v>
      </c>
      <c r="O1032" s="1469">
        <f>'BAL SHEET Hist Input'!J52</f>
        <v>0</v>
      </c>
      <c r="P1032" s="2304">
        <f>'BAL SHEET Hist Input'!K52</f>
        <v>0</v>
      </c>
      <c r="R1032" s="255"/>
    </row>
    <row r="1033" spans="1:20" s="89" customFormat="1" ht="13.9">
      <c r="A1033" s="269" t="str">
        <f>IF(F1033="--","n","")</f>
        <v>n</v>
      </c>
      <c r="B1033" s="2060"/>
      <c r="C1033" s="72"/>
      <c r="D1033" s="801"/>
      <c r="E1033" s="1505">
        <v>1</v>
      </c>
      <c r="F1033" s="21" t="str">
        <f>F$129</f>
        <v>--</v>
      </c>
      <c r="G1033" s="1441">
        <f>G$129</f>
        <v>0</v>
      </c>
      <c r="H1033" s="1441" t="str">
        <f>H$129</f>
        <v>--</v>
      </c>
      <c r="I1033" s="89" t="s">
        <v>793</v>
      </c>
      <c r="K1033" s="2301" t="str">
        <f>IF($G1033=0,"--",IFERROR(_xll.ciqfunctions.udf.CIQ($G1033,$I1033,K100,Valuation_Date_GC,ReportType,DataMode,$H1033,FXMode)*Scale,"--"))</f>
        <v>--</v>
      </c>
      <c r="L1033" s="2301" t="str">
        <f>IF($G1033=0,"--",IFERROR(_xll.ciqfunctions.udf.CIQ($G1033,$I1033,L100,Valuation_Date_GC,ReportType,DataMode,$H1033,FXMode)*Scale,"--"))</f>
        <v>--</v>
      </c>
      <c r="M1033" s="2301" t="str">
        <f>IF($G1033=0,"--",IFERROR(_xll.ciqfunctions.udf.CIQ($G1033,$I1033,M100,Valuation_Date_GC,ReportType,DataMode,$H1033,FXMode)*Scale,"--"))</f>
        <v>--</v>
      </c>
      <c r="N1033" s="2301" t="str">
        <f>IF($G1033=0,"--",IFERROR(_xll.ciqfunctions.udf.CIQ($G1033,$I1033,N100,Valuation_Date_GC,ReportType,DataMode,$H1033,FXMode)*Scale,"--"))</f>
        <v>--</v>
      </c>
      <c r="O1033" s="1471" t="str">
        <f>IF($G1033=0,"--",IFERROR(_xll.ciqfunctions.udf.CIQ($G1033,$I1033,O100,Valuation_Date_GC,ReportType,DataMode,$H1033,FXMode)*Scale,"--"))</f>
        <v>--</v>
      </c>
      <c r="P1033" s="2301" t="str">
        <f>IF($G1033=0,"--",IFERROR(_xll.ciqfunctions.udf.CIQ($G1033,$I1033,P100,Valuation_Date_GC,ReportType,DataMode,$H1033,FXMode)*Scale,"--"))</f>
        <v>--</v>
      </c>
      <c r="R1033" s="255"/>
    </row>
    <row r="1034" spans="1:20" s="89" customFormat="1" ht="13.9">
      <c r="A1034" s="269" t="str">
        <f t="shared" ref="A1034:A1057" si="223">IF(F1034="--","n","")</f>
        <v>n</v>
      </c>
      <c r="B1034" s="2060"/>
      <c r="D1034" s="801"/>
      <c r="E1034" s="1505">
        <v>2</v>
      </c>
      <c r="F1034" s="21" t="str">
        <f>F$130</f>
        <v>--</v>
      </c>
      <c r="G1034" s="1441">
        <f>G$130</f>
        <v>0</v>
      </c>
      <c r="H1034" s="1441" t="str">
        <f>H$130</f>
        <v>--</v>
      </c>
      <c r="I1034" s="89" t="s">
        <v>793</v>
      </c>
      <c r="K1034" s="2301" t="str">
        <f>IF($G1034=0,"--",IFERROR(_xll.ciqfunctions.udf.CIQ($G1034,$I1034,K101,Valuation_Date_GC,ReportType,DataMode,$H1034,FXMode)*Scale,"--"))</f>
        <v>--</v>
      </c>
      <c r="L1034" s="2301" t="str">
        <f>IF($G1034=0,"--",IFERROR(_xll.ciqfunctions.udf.CIQ($G1034,$I1034,L101,Valuation_Date_GC,ReportType,DataMode,$H1034,FXMode)*Scale,"--"))</f>
        <v>--</v>
      </c>
      <c r="M1034" s="2301" t="str">
        <f>IF($G1034=0,"--",IFERROR(_xll.ciqfunctions.udf.CIQ($G1034,$I1034,M101,Valuation_Date_GC,ReportType,DataMode,$H1034,FXMode)*Scale,"--"))</f>
        <v>--</v>
      </c>
      <c r="N1034" s="2301" t="str">
        <f>IF($G1034=0,"--",IFERROR(_xll.ciqfunctions.udf.CIQ($G1034,$I1034,N101,Valuation_Date_GC,ReportType,DataMode,$H1034,FXMode)*Scale,"--"))</f>
        <v>--</v>
      </c>
      <c r="O1034" s="1471" t="str">
        <f>IF($G1034=0,"--",IFERROR(_xll.ciqfunctions.udf.CIQ($G1034,$I1034,O101,Valuation_Date_GC,ReportType,DataMode,$H1034,FXMode)*Scale,"--"))</f>
        <v>--</v>
      </c>
      <c r="P1034" s="2301" t="str">
        <f>IF($G1034=0,"--",IFERROR(_xll.ciqfunctions.udf.CIQ($G1034,$I1034,P101,Valuation_Date_GC,ReportType,DataMode,$H1034,FXMode)*Scale,"--"))</f>
        <v>--</v>
      </c>
      <c r="R1034" s="255"/>
    </row>
    <row r="1035" spans="1:20" s="89" customFormat="1" ht="13.9">
      <c r="A1035" s="269" t="str">
        <f t="shared" si="223"/>
        <v>n</v>
      </c>
      <c r="B1035" s="2060"/>
      <c r="C1035" s="72"/>
      <c r="D1035" s="801"/>
      <c r="E1035" s="1505">
        <v>3</v>
      </c>
      <c r="F1035" s="21" t="str">
        <f>F$131</f>
        <v>--</v>
      </c>
      <c r="G1035" s="1441">
        <f>G$131</f>
        <v>0</v>
      </c>
      <c r="H1035" s="1441" t="str">
        <f>H$131</f>
        <v>--</v>
      </c>
      <c r="I1035" s="89" t="s">
        <v>793</v>
      </c>
      <c r="K1035" s="2301" t="str">
        <f>IF($G1035=0,"--",IFERROR(_xll.ciqfunctions.udf.CIQ($G1035,$I1035,K102,Valuation_Date_GC,ReportType,DataMode,$H1035,FXMode)*Scale,"--"))</f>
        <v>--</v>
      </c>
      <c r="L1035" s="2301" t="str">
        <f>IF($G1035=0,"--",IFERROR(_xll.ciqfunctions.udf.CIQ($G1035,$I1035,L102,Valuation_Date_GC,ReportType,DataMode,$H1035,FXMode)*Scale,"--"))</f>
        <v>--</v>
      </c>
      <c r="M1035" s="2301" t="str">
        <f>IF($G1035=0,"--",IFERROR(_xll.ciqfunctions.udf.CIQ($G1035,$I1035,M102,Valuation_Date_GC,ReportType,DataMode,$H1035,FXMode)*Scale,"--"))</f>
        <v>--</v>
      </c>
      <c r="N1035" s="2301" t="str">
        <f>IF($G1035=0,"--",IFERROR(_xll.ciqfunctions.udf.CIQ($G1035,$I1035,N102,Valuation_Date_GC,ReportType,DataMode,$H1035,FXMode)*Scale,"--"))</f>
        <v>--</v>
      </c>
      <c r="O1035" s="1471" t="str">
        <f>IF($G1035=0,"--",IFERROR(_xll.ciqfunctions.udf.CIQ($G1035,$I1035,O102,Valuation_Date_GC,ReportType,DataMode,$H1035,FXMode)*Scale,"--"))</f>
        <v>--</v>
      </c>
      <c r="P1035" s="2301" t="str">
        <f>IF($G1035=0,"--",IFERROR(_xll.ciqfunctions.udf.CIQ($G1035,$I1035,P102,Valuation_Date_GC,ReportType,DataMode,$H1035,FXMode)*Scale,"--"))</f>
        <v>--</v>
      </c>
      <c r="R1035" s="255"/>
    </row>
    <row r="1036" spans="1:20" s="89" customFormat="1" ht="13.9">
      <c r="A1036" s="269" t="str">
        <f t="shared" si="223"/>
        <v>n</v>
      </c>
      <c r="B1036" s="2060"/>
      <c r="C1036" s="72"/>
      <c r="D1036" s="801"/>
      <c r="E1036" s="1505">
        <v>4</v>
      </c>
      <c r="F1036" s="21" t="str">
        <f>F$132</f>
        <v>--</v>
      </c>
      <c r="G1036" s="1441">
        <f>G$132</f>
        <v>0</v>
      </c>
      <c r="H1036" s="1441" t="str">
        <f>H$132</f>
        <v>--</v>
      </c>
      <c r="I1036" s="89" t="s">
        <v>793</v>
      </c>
      <c r="K1036" s="2301" t="str">
        <f>IF($G1036=0,"--",IFERROR(_xll.ciqfunctions.udf.CIQ($G1036,$I1036,K103,Valuation_Date_GC,ReportType,DataMode,$H1036,FXMode)*Scale,"--"))</f>
        <v>--</v>
      </c>
      <c r="L1036" s="2301" t="str">
        <f>IF($G1036=0,"--",IFERROR(_xll.ciqfunctions.udf.CIQ($G1036,$I1036,L103,Valuation_Date_GC,ReportType,DataMode,$H1036,FXMode)*Scale,"--"))</f>
        <v>--</v>
      </c>
      <c r="M1036" s="2301" t="str">
        <f>IF($G1036=0,"--",IFERROR(_xll.ciqfunctions.udf.CIQ($G1036,$I1036,M103,Valuation_Date_GC,ReportType,DataMode,$H1036,FXMode)*Scale,"--"))</f>
        <v>--</v>
      </c>
      <c r="N1036" s="2301" t="str">
        <f>IF($G1036=0,"--",IFERROR(_xll.ciqfunctions.udf.CIQ($G1036,$I1036,N103,Valuation_Date_GC,ReportType,DataMode,$H1036,FXMode)*Scale,"--"))</f>
        <v>--</v>
      </c>
      <c r="O1036" s="1471" t="str">
        <f>IF($G1036=0,"--",IFERROR(_xll.ciqfunctions.udf.CIQ($G1036,$I1036,O103,Valuation_Date_GC,ReportType,DataMode,$H1036,FXMode)*Scale,"--"))</f>
        <v>--</v>
      </c>
      <c r="P1036" s="2301" t="str">
        <f>IF($G1036=0,"--",IFERROR(_xll.ciqfunctions.udf.CIQ($G1036,$I1036,P103,Valuation_Date_GC,ReportType,DataMode,$H1036,FXMode)*Scale,"--"))</f>
        <v>--</v>
      </c>
      <c r="R1036" s="255"/>
    </row>
    <row r="1037" spans="1:20" s="89" customFormat="1" ht="13.9">
      <c r="A1037" s="269" t="str">
        <f t="shared" si="223"/>
        <v>n</v>
      </c>
      <c r="B1037" s="2060"/>
      <c r="C1037" s="72"/>
      <c r="D1037" s="801"/>
      <c r="E1037" s="1505">
        <v>5</v>
      </c>
      <c r="F1037" s="21" t="str">
        <f>F$133</f>
        <v>--</v>
      </c>
      <c r="G1037" s="1441">
        <f>G$133</f>
        <v>0</v>
      </c>
      <c r="H1037" s="1441" t="str">
        <f>H$133</f>
        <v>--</v>
      </c>
      <c r="I1037" s="89" t="s">
        <v>793</v>
      </c>
      <c r="K1037" s="2301" t="str">
        <f>IF($G1037=0,"--",IFERROR(_xll.ciqfunctions.udf.CIQ($G1037,$I1037,K104,Valuation_Date_GC,ReportType,DataMode,$H1037,FXMode)*Scale,"--"))</f>
        <v>--</v>
      </c>
      <c r="L1037" s="2301" t="str">
        <f>IF($G1037=0,"--",IFERROR(_xll.ciqfunctions.udf.CIQ($G1037,$I1037,L104,Valuation_Date_GC,ReportType,DataMode,$H1037,FXMode)*Scale,"--"))</f>
        <v>--</v>
      </c>
      <c r="M1037" s="2301" t="str">
        <f>IF($G1037=0,"--",IFERROR(_xll.ciqfunctions.udf.CIQ($G1037,$I1037,M104,Valuation_Date_GC,ReportType,DataMode,$H1037,FXMode)*Scale,"--"))</f>
        <v>--</v>
      </c>
      <c r="N1037" s="2301" t="str">
        <f>IF($G1037=0,"--",IFERROR(_xll.ciqfunctions.udf.CIQ($G1037,$I1037,N104,Valuation_Date_GC,ReportType,DataMode,$H1037,FXMode)*Scale,"--"))</f>
        <v>--</v>
      </c>
      <c r="O1037" s="1471" t="str">
        <f>IF($G1037=0,"--",IFERROR(_xll.ciqfunctions.udf.CIQ($G1037,$I1037,O104,Valuation_Date_GC,ReportType,DataMode,$H1037,FXMode)*Scale,"--"))</f>
        <v>--</v>
      </c>
      <c r="P1037" s="2301" t="str">
        <f>IF($G1037=0,"--",IFERROR(_xll.ciqfunctions.udf.CIQ($G1037,$I1037,P104,Valuation_Date_GC,ReportType,DataMode,$H1037,FXMode)*Scale,"--"))</f>
        <v>--</v>
      </c>
      <c r="R1037" s="255"/>
    </row>
    <row r="1038" spans="1:20" s="89" customFormat="1" ht="13.9">
      <c r="A1038" s="269" t="str">
        <f t="shared" si="223"/>
        <v>n</v>
      </c>
      <c r="B1038" s="2060"/>
      <c r="C1038" s="72"/>
      <c r="D1038" s="801"/>
      <c r="E1038" s="1505">
        <v>6</v>
      </c>
      <c r="F1038" s="21" t="str">
        <f>F$134</f>
        <v>--</v>
      </c>
      <c r="G1038" s="1441">
        <f>G$134</f>
        <v>0</v>
      </c>
      <c r="H1038" s="1441" t="str">
        <f>H$134</f>
        <v>--</v>
      </c>
      <c r="I1038" s="89" t="s">
        <v>793</v>
      </c>
      <c r="K1038" s="2301" t="str">
        <f>IF($G1038=0,"--",IFERROR(_xll.ciqfunctions.udf.CIQ($G1038,$I1038,K105,Valuation_Date_GC,ReportType,DataMode,$H1038,FXMode)*Scale,"--"))</f>
        <v>--</v>
      </c>
      <c r="L1038" s="2301" t="str">
        <f>IF($G1038=0,"--",IFERROR(_xll.ciqfunctions.udf.CIQ($G1038,$I1038,L105,Valuation_Date_GC,ReportType,DataMode,$H1038,FXMode)*Scale,"--"))</f>
        <v>--</v>
      </c>
      <c r="M1038" s="2301" t="str">
        <f>IF($G1038=0,"--",IFERROR(_xll.ciqfunctions.udf.CIQ($G1038,$I1038,M105,Valuation_Date_GC,ReportType,DataMode,$H1038,FXMode)*Scale,"--"))</f>
        <v>--</v>
      </c>
      <c r="N1038" s="2301" t="str">
        <f>IF($G1038=0,"--",IFERROR(_xll.ciqfunctions.udf.CIQ($G1038,$I1038,N105,Valuation_Date_GC,ReportType,DataMode,$H1038,FXMode)*Scale,"--"))</f>
        <v>--</v>
      </c>
      <c r="O1038" s="1471" t="str">
        <f>IF($G1038=0,"--",IFERROR(_xll.ciqfunctions.udf.CIQ($G1038,$I1038,O105,Valuation_Date_GC,ReportType,DataMode,$H1038,FXMode)*Scale,"--"))</f>
        <v>--</v>
      </c>
      <c r="P1038" s="2301" t="str">
        <f>IF($G1038=0,"--",IFERROR(_xll.ciqfunctions.udf.CIQ($G1038,$I1038,P105,Valuation_Date_GC,ReportType,DataMode,$H1038,FXMode)*Scale,"--"))</f>
        <v>--</v>
      </c>
      <c r="R1038" s="255"/>
    </row>
    <row r="1039" spans="1:20" s="89" customFormat="1" ht="13.9">
      <c r="A1039" s="269" t="str">
        <f t="shared" si="223"/>
        <v>n</v>
      </c>
      <c r="B1039" s="2060"/>
      <c r="D1039" s="801"/>
      <c r="E1039" s="1505">
        <v>7</v>
      </c>
      <c r="F1039" s="21" t="str">
        <f>F$135</f>
        <v>--</v>
      </c>
      <c r="G1039" s="1441">
        <f>G$135</f>
        <v>0</v>
      </c>
      <c r="H1039" s="1441" t="str">
        <f>H$135</f>
        <v>--</v>
      </c>
      <c r="I1039" s="89" t="s">
        <v>793</v>
      </c>
      <c r="K1039" s="2301" t="str">
        <f>IF($G1039=0,"--",IFERROR(_xll.ciqfunctions.udf.CIQ($G1039,$I1039,K106,Valuation_Date_GC,ReportType,DataMode,$H1039,FXMode)*Scale,"--"))</f>
        <v>--</v>
      </c>
      <c r="L1039" s="2301" t="str">
        <f>IF($G1039=0,"--",IFERROR(_xll.ciqfunctions.udf.CIQ($G1039,$I1039,L106,Valuation_Date_GC,ReportType,DataMode,$H1039,FXMode)*Scale,"--"))</f>
        <v>--</v>
      </c>
      <c r="M1039" s="2301" t="str">
        <f>IF($G1039=0,"--",IFERROR(_xll.ciqfunctions.udf.CIQ($G1039,$I1039,M106,Valuation_Date_GC,ReportType,DataMode,$H1039,FXMode)*Scale,"--"))</f>
        <v>--</v>
      </c>
      <c r="N1039" s="2301" t="str">
        <f>IF($G1039=0,"--",IFERROR(_xll.ciqfunctions.udf.CIQ($G1039,$I1039,N106,Valuation_Date_GC,ReportType,DataMode,$H1039,FXMode)*Scale,"--"))</f>
        <v>--</v>
      </c>
      <c r="O1039" s="1471" t="str">
        <f>IF($G1039=0,"--",IFERROR(_xll.ciqfunctions.udf.CIQ($G1039,$I1039,O106,Valuation_Date_GC,ReportType,DataMode,$H1039,FXMode)*Scale,"--"))</f>
        <v>--</v>
      </c>
      <c r="P1039" s="2301" t="str">
        <f>IF($G1039=0,"--",IFERROR(_xll.ciqfunctions.udf.CIQ($G1039,$I1039,P106,Valuation_Date_GC,ReportType,DataMode,$H1039,FXMode)*Scale,"--"))</f>
        <v>--</v>
      </c>
      <c r="R1039" s="255"/>
    </row>
    <row r="1040" spans="1:20" s="89" customFormat="1" ht="13.9">
      <c r="A1040" s="269" t="str">
        <f t="shared" si="223"/>
        <v>n</v>
      </c>
      <c r="B1040" s="2060"/>
      <c r="D1040" s="801"/>
      <c r="E1040" s="1505">
        <v>8</v>
      </c>
      <c r="F1040" s="21" t="str">
        <f>F$136</f>
        <v>--</v>
      </c>
      <c r="G1040" s="1441">
        <f>G$136</f>
        <v>0</v>
      </c>
      <c r="H1040" s="1441" t="str">
        <f>H$136</f>
        <v>--</v>
      </c>
      <c r="I1040" s="89" t="s">
        <v>793</v>
      </c>
      <c r="K1040" s="2301" t="str">
        <f>IF($G1040=0,"--",IFERROR(_xll.ciqfunctions.udf.CIQ($G1040,$I1040,K107,Valuation_Date_GC,ReportType,DataMode,$H1040,FXMode)*Scale,"--"))</f>
        <v>--</v>
      </c>
      <c r="L1040" s="2301" t="str">
        <f>IF($G1040=0,"--",IFERROR(_xll.ciqfunctions.udf.CIQ($G1040,$I1040,L107,Valuation_Date_GC,ReportType,DataMode,$H1040,FXMode)*Scale,"--"))</f>
        <v>--</v>
      </c>
      <c r="M1040" s="2301" t="str">
        <f>IF($G1040=0,"--",IFERROR(_xll.ciqfunctions.udf.CIQ($G1040,$I1040,M107,Valuation_Date_GC,ReportType,DataMode,$H1040,FXMode)*Scale,"--"))</f>
        <v>--</v>
      </c>
      <c r="N1040" s="2301" t="str">
        <f>IF($G1040=0,"--",IFERROR(_xll.ciqfunctions.udf.CIQ($G1040,$I1040,N107,Valuation_Date_GC,ReportType,DataMode,$H1040,FXMode)*Scale,"--"))</f>
        <v>--</v>
      </c>
      <c r="O1040" s="1471" t="str">
        <f>IF($G1040=0,"--",IFERROR(_xll.ciqfunctions.udf.CIQ($G1040,$I1040,O107,Valuation_Date_GC,ReportType,DataMode,$H1040,FXMode)*Scale,"--"))</f>
        <v>--</v>
      </c>
      <c r="P1040" s="2301" t="str">
        <f>IF($G1040=0,"--",IFERROR(_xll.ciqfunctions.udf.CIQ($G1040,$I1040,P107,Valuation_Date_GC,ReportType,DataMode,$H1040,FXMode)*Scale,"--"))</f>
        <v>--</v>
      </c>
      <c r="R1040" s="255"/>
    </row>
    <row r="1041" spans="1:18" s="89" customFormat="1" ht="13.9">
      <c r="A1041" s="269" t="str">
        <f t="shared" si="223"/>
        <v>n</v>
      </c>
      <c r="B1041" s="2060"/>
      <c r="D1041" s="801"/>
      <c r="E1041" s="1505">
        <v>9</v>
      </c>
      <c r="F1041" s="21" t="str">
        <f>F$137</f>
        <v>--</v>
      </c>
      <c r="G1041" s="1441">
        <f>G$137</f>
        <v>0</v>
      </c>
      <c r="H1041" s="1441" t="str">
        <f>H$137</f>
        <v>--</v>
      </c>
      <c r="I1041" s="89" t="s">
        <v>793</v>
      </c>
      <c r="K1041" s="2301" t="str">
        <f>IF($G1041=0,"--",IFERROR(_xll.ciqfunctions.udf.CIQ($G1041,$I1041,K108,Valuation_Date_GC,ReportType,DataMode,$H1041,FXMode)*Scale,"--"))</f>
        <v>--</v>
      </c>
      <c r="L1041" s="2301" t="str">
        <f>IF($G1041=0,"--",IFERROR(_xll.ciqfunctions.udf.CIQ($G1041,$I1041,L108,Valuation_Date_GC,ReportType,DataMode,$H1041,FXMode)*Scale,"--"))</f>
        <v>--</v>
      </c>
      <c r="M1041" s="2301" t="str">
        <f>IF($G1041=0,"--",IFERROR(_xll.ciqfunctions.udf.CIQ($G1041,$I1041,M108,Valuation_Date_GC,ReportType,DataMode,$H1041,FXMode)*Scale,"--"))</f>
        <v>--</v>
      </c>
      <c r="N1041" s="2301" t="str">
        <f>IF($G1041=0,"--",IFERROR(_xll.ciqfunctions.udf.CIQ($G1041,$I1041,N108,Valuation_Date_GC,ReportType,DataMode,$H1041,FXMode)*Scale,"--"))</f>
        <v>--</v>
      </c>
      <c r="O1041" s="1471" t="str">
        <f>IF($G1041=0,"--",IFERROR(_xll.ciqfunctions.udf.CIQ($G1041,$I1041,O108,Valuation_Date_GC,ReportType,DataMode,$H1041,FXMode)*Scale,"--"))</f>
        <v>--</v>
      </c>
      <c r="P1041" s="2301" t="str">
        <f>IF($G1041=0,"--",IFERROR(_xll.ciqfunctions.udf.CIQ($G1041,$I1041,P108,Valuation_Date_GC,ReportType,DataMode,$H1041,FXMode)*Scale,"--"))</f>
        <v>--</v>
      </c>
      <c r="R1041" s="255"/>
    </row>
    <row r="1042" spans="1:18" s="89" customFormat="1" ht="13.9">
      <c r="A1042" s="269" t="str">
        <f t="shared" si="223"/>
        <v>n</v>
      </c>
      <c r="B1042" s="2060"/>
      <c r="D1042" s="801"/>
      <c r="E1042" s="1505">
        <v>10</v>
      </c>
      <c r="F1042" s="21" t="str">
        <f>F$138</f>
        <v>--</v>
      </c>
      <c r="G1042" s="1441">
        <f>G$138</f>
        <v>0</v>
      </c>
      <c r="H1042" s="1441" t="str">
        <f>H$138</f>
        <v>--</v>
      </c>
      <c r="I1042" s="89" t="s">
        <v>793</v>
      </c>
      <c r="K1042" s="2301" t="str">
        <f>IF($G1042=0,"--",IFERROR(_xll.ciqfunctions.udf.CIQ($G1042,$I1042,K109,Valuation_Date_GC,ReportType,DataMode,$H1042,FXMode)*Scale,"--"))</f>
        <v>--</v>
      </c>
      <c r="L1042" s="2301" t="str">
        <f>IF($G1042=0,"--",IFERROR(_xll.ciqfunctions.udf.CIQ($G1042,$I1042,L109,Valuation_Date_GC,ReportType,DataMode,$H1042,FXMode)*Scale,"--"))</f>
        <v>--</v>
      </c>
      <c r="M1042" s="2301" t="str">
        <f>IF($G1042=0,"--",IFERROR(_xll.ciqfunctions.udf.CIQ($G1042,$I1042,M109,Valuation_Date_GC,ReportType,DataMode,$H1042,FXMode)*Scale,"--"))</f>
        <v>--</v>
      </c>
      <c r="N1042" s="2301" t="str">
        <f>IF($G1042=0,"--",IFERROR(_xll.ciqfunctions.udf.CIQ($G1042,$I1042,N109,Valuation_Date_GC,ReportType,DataMode,$H1042,FXMode)*Scale,"--"))</f>
        <v>--</v>
      </c>
      <c r="O1042" s="1471" t="str">
        <f>IF($G1042=0,"--",IFERROR(_xll.ciqfunctions.udf.CIQ($G1042,$I1042,O109,Valuation_Date_GC,ReportType,DataMode,$H1042,FXMode)*Scale,"--"))</f>
        <v>--</v>
      </c>
      <c r="P1042" s="2301" t="str">
        <f>IF($G1042=0,"--",IFERROR(_xll.ciqfunctions.udf.CIQ($G1042,$I1042,P109,Valuation_Date_GC,ReportType,DataMode,$H1042,FXMode)*Scale,"--"))</f>
        <v>--</v>
      </c>
      <c r="R1042" s="255"/>
    </row>
    <row r="1043" spans="1:18" s="89" customFormat="1" ht="13.9">
      <c r="A1043" s="269" t="str">
        <f t="shared" si="223"/>
        <v>n</v>
      </c>
      <c r="B1043" s="2060"/>
      <c r="D1043" s="801"/>
      <c r="E1043" s="1505">
        <v>11</v>
      </c>
      <c r="F1043" s="21" t="str">
        <f>F$139</f>
        <v>--</v>
      </c>
      <c r="G1043" s="1441">
        <f>G$139</f>
        <v>0</v>
      </c>
      <c r="H1043" s="1441" t="str">
        <f>H$139</f>
        <v>--</v>
      </c>
      <c r="I1043" s="89" t="s">
        <v>793</v>
      </c>
      <c r="K1043" s="2301" t="str">
        <f>IF($G1043=0,"--",IFERROR(_xll.ciqfunctions.udf.CIQ($G1043,$I1043,K110,Valuation_Date_GC,ReportType,DataMode,$H1043,FXMode)*Scale,"--"))</f>
        <v>--</v>
      </c>
      <c r="L1043" s="2301" t="str">
        <f>IF($G1043=0,"--",IFERROR(_xll.ciqfunctions.udf.CIQ($G1043,$I1043,L110,Valuation_Date_GC,ReportType,DataMode,$H1043,FXMode)*Scale,"--"))</f>
        <v>--</v>
      </c>
      <c r="M1043" s="2301" t="str">
        <f>IF($G1043=0,"--",IFERROR(_xll.ciqfunctions.udf.CIQ($G1043,$I1043,M110,Valuation_Date_GC,ReportType,DataMode,$H1043,FXMode)*Scale,"--"))</f>
        <v>--</v>
      </c>
      <c r="N1043" s="2301" t="str">
        <f>IF($G1043=0,"--",IFERROR(_xll.ciqfunctions.udf.CIQ($G1043,$I1043,N110,Valuation_Date_GC,ReportType,DataMode,$H1043,FXMode)*Scale,"--"))</f>
        <v>--</v>
      </c>
      <c r="O1043" s="1471" t="str">
        <f>IF($G1043=0,"--",IFERROR(_xll.ciqfunctions.udf.CIQ($G1043,$I1043,O110,Valuation_Date_GC,ReportType,DataMode,$H1043,FXMode)*Scale,"--"))</f>
        <v>--</v>
      </c>
      <c r="P1043" s="2301" t="str">
        <f>IF($G1043=0,"--",IFERROR(_xll.ciqfunctions.udf.CIQ($G1043,$I1043,P110,Valuation_Date_GC,ReportType,DataMode,$H1043,FXMode)*Scale,"--"))</f>
        <v>--</v>
      </c>
      <c r="R1043" s="255"/>
    </row>
    <row r="1044" spans="1:18" s="89" customFormat="1" ht="13.9">
      <c r="A1044" s="269" t="str">
        <f t="shared" si="223"/>
        <v>n</v>
      </c>
      <c r="B1044" s="2060"/>
      <c r="D1044" s="801"/>
      <c r="E1044" s="1505">
        <v>12</v>
      </c>
      <c r="F1044" s="21" t="str">
        <f>F$140</f>
        <v>--</v>
      </c>
      <c r="G1044" s="1441">
        <f>G$140</f>
        <v>0</v>
      </c>
      <c r="H1044" s="1441" t="str">
        <f>H$140</f>
        <v>--</v>
      </c>
      <c r="I1044" s="89" t="s">
        <v>793</v>
      </c>
      <c r="K1044" s="2301" t="str">
        <f>IF($G1044=0,"--",IFERROR(_xll.ciqfunctions.udf.CIQ($G1044,$I1044,K111,Valuation_Date_GC,ReportType,DataMode,$H1044,FXMode)*Scale,"--"))</f>
        <v>--</v>
      </c>
      <c r="L1044" s="2301" t="str">
        <f>IF($G1044=0,"--",IFERROR(_xll.ciqfunctions.udf.CIQ($G1044,$I1044,L111,Valuation_Date_GC,ReportType,DataMode,$H1044,FXMode)*Scale,"--"))</f>
        <v>--</v>
      </c>
      <c r="M1044" s="2301" t="str">
        <f>IF($G1044=0,"--",IFERROR(_xll.ciqfunctions.udf.CIQ($G1044,$I1044,M111,Valuation_Date_GC,ReportType,DataMode,$H1044,FXMode)*Scale,"--"))</f>
        <v>--</v>
      </c>
      <c r="N1044" s="2301" t="str">
        <f>IF($G1044=0,"--",IFERROR(_xll.ciqfunctions.udf.CIQ($G1044,$I1044,N111,Valuation_Date_GC,ReportType,DataMode,$H1044,FXMode)*Scale,"--"))</f>
        <v>--</v>
      </c>
      <c r="O1044" s="1471" t="str">
        <f>IF($G1044=0,"--",IFERROR(_xll.ciqfunctions.udf.CIQ($G1044,$I1044,O111,Valuation_Date_GC,ReportType,DataMode,$H1044,FXMode)*Scale,"--"))</f>
        <v>--</v>
      </c>
      <c r="P1044" s="2301" t="str">
        <f>IF($G1044=0,"--",IFERROR(_xll.ciqfunctions.udf.CIQ($G1044,$I1044,P111,Valuation_Date_GC,ReportType,DataMode,$H1044,FXMode)*Scale,"--"))</f>
        <v>--</v>
      </c>
      <c r="R1044" s="255"/>
    </row>
    <row r="1045" spans="1:18" s="89" customFormat="1" ht="13.9">
      <c r="A1045" s="269" t="str">
        <f t="shared" si="223"/>
        <v>n</v>
      </c>
      <c r="B1045" s="2060"/>
      <c r="D1045" s="801"/>
      <c r="E1045" s="1505">
        <v>13</v>
      </c>
      <c r="F1045" s="21" t="str">
        <f>F$141</f>
        <v>--</v>
      </c>
      <c r="G1045" s="1441">
        <f>G$141</f>
        <v>0</v>
      </c>
      <c r="H1045" s="1441" t="str">
        <f>H$141</f>
        <v>--</v>
      </c>
      <c r="I1045" s="89" t="s">
        <v>793</v>
      </c>
      <c r="K1045" s="2301" t="str">
        <f>IF($G1045=0,"--",IFERROR(_xll.ciqfunctions.udf.CIQ($G1045,$I1045,K112,Valuation_Date_GC,ReportType,DataMode,$H1045,FXMode)*Scale,"--"))</f>
        <v>--</v>
      </c>
      <c r="L1045" s="2301" t="str">
        <f>IF($G1045=0,"--",IFERROR(_xll.ciqfunctions.udf.CIQ($G1045,$I1045,L112,Valuation_Date_GC,ReportType,DataMode,$H1045,FXMode)*Scale,"--"))</f>
        <v>--</v>
      </c>
      <c r="M1045" s="2301" t="str">
        <f>IF($G1045=0,"--",IFERROR(_xll.ciqfunctions.udf.CIQ($G1045,$I1045,M112,Valuation_Date_GC,ReportType,DataMode,$H1045,FXMode)*Scale,"--"))</f>
        <v>--</v>
      </c>
      <c r="N1045" s="2301" t="str">
        <f>IF($G1045=0,"--",IFERROR(_xll.ciqfunctions.udf.CIQ($G1045,$I1045,N112,Valuation_Date_GC,ReportType,DataMode,$H1045,FXMode)*Scale,"--"))</f>
        <v>--</v>
      </c>
      <c r="O1045" s="1471" t="str">
        <f>IF($G1045=0,"--",IFERROR(_xll.ciqfunctions.udf.CIQ($G1045,$I1045,O112,Valuation_Date_GC,ReportType,DataMode,$H1045,FXMode)*Scale,"--"))</f>
        <v>--</v>
      </c>
      <c r="P1045" s="2301" t="str">
        <f>IF($G1045=0,"--",IFERROR(_xll.ciqfunctions.udf.CIQ($G1045,$I1045,P112,Valuation_Date_GC,ReportType,DataMode,$H1045,FXMode)*Scale,"--"))</f>
        <v>--</v>
      </c>
      <c r="R1045" s="255"/>
    </row>
    <row r="1046" spans="1:18" s="89" customFormat="1" ht="13.9">
      <c r="A1046" s="269" t="str">
        <f t="shared" si="223"/>
        <v>n</v>
      </c>
      <c r="B1046" s="2060"/>
      <c r="D1046" s="801"/>
      <c r="E1046" s="1505">
        <v>14</v>
      </c>
      <c r="F1046" s="21" t="str">
        <f>F$142</f>
        <v>--</v>
      </c>
      <c r="G1046" s="1441">
        <f>G$142</f>
        <v>0</v>
      </c>
      <c r="H1046" s="1441" t="str">
        <f>H$142</f>
        <v>--</v>
      </c>
      <c r="I1046" s="89" t="s">
        <v>793</v>
      </c>
      <c r="K1046" s="2301" t="str">
        <f>IF($G1046=0,"--",IFERROR(_xll.ciqfunctions.udf.CIQ($G1046,$I1046,K113,Valuation_Date_GC,ReportType,DataMode,$H1046,FXMode)*Scale,"--"))</f>
        <v>--</v>
      </c>
      <c r="L1046" s="2301" t="str">
        <f>IF($G1046=0,"--",IFERROR(_xll.ciqfunctions.udf.CIQ($G1046,$I1046,L113,Valuation_Date_GC,ReportType,DataMode,$H1046,FXMode)*Scale,"--"))</f>
        <v>--</v>
      </c>
      <c r="M1046" s="2301" t="str">
        <f>IF($G1046=0,"--",IFERROR(_xll.ciqfunctions.udf.CIQ($G1046,$I1046,M113,Valuation_Date_GC,ReportType,DataMode,$H1046,FXMode)*Scale,"--"))</f>
        <v>--</v>
      </c>
      <c r="N1046" s="2301" t="str">
        <f>IF($G1046=0,"--",IFERROR(_xll.ciqfunctions.udf.CIQ($G1046,$I1046,N113,Valuation_Date_GC,ReportType,DataMode,$H1046,FXMode)*Scale,"--"))</f>
        <v>--</v>
      </c>
      <c r="O1046" s="1471" t="str">
        <f>IF($G1046=0,"--",IFERROR(_xll.ciqfunctions.udf.CIQ($G1046,$I1046,O113,Valuation_Date_GC,ReportType,DataMode,$H1046,FXMode)*Scale,"--"))</f>
        <v>--</v>
      </c>
      <c r="P1046" s="2301" t="str">
        <f>IF($G1046=0,"--",IFERROR(_xll.ciqfunctions.udf.CIQ($G1046,$I1046,P113,Valuation_Date_GC,ReportType,DataMode,$H1046,FXMode)*Scale,"--"))</f>
        <v>--</v>
      </c>
      <c r="R1046" s="255"/>
    </row>
    <row r="1047" spans="1:18" s="89" customFormat="1" ht="13.9">
      <c r="A1047" s="269" t="str">
        <f t="shared" si="223"/>
        <v>n</v>
      </c>
      <c r="B1047" s="2060"/>
      <c r="D1047" s="801"/>
      <c r="E1047" s="1505">
        <v>15</v>
      </c>
      <c r="F1047" s="21" t="str">
        <f>F$143</f>
        <v>--</v>
      </c>
      <c r="G1047" s="1441">
        <f>G$143</f>
        <v>0</v>
      </c>
      <c r="H1047" s="1441" t="str">
        <f>H$143</f>
        <v>--</v>
      </c>
      <c r="I1047" s="89" t="s">
        <v>793</v>
      </c>
      <c r="K1047" s="2301" t="str">
        <f>IF($G1047=0,"--",IFERROR(_xll.ciqfunctions.udf.CIQ($G1047,$I1047,K114,Valuation_Date_GC,ReportType,DataMode,$H1047,FXMode)*Scale,"--"))</f>
        <v>--</v>
      </c>
      <c r="L1047" s="2301" t="str">
        <f>IF($G1047=0,"--",IFERROR(_xll.ciqfunctions.udf.CIQ($G1047,$I1047,L114,Valuation_Date_GC,ReportType,DataMode,$H1047,FXMode)*Scale,"--"))</f>
        <v>--</v>
      </c>
      <c r="M1047" s="2301" t="str">
        <f>IF($G1047=0,"--",IFERROR(_xll.ciqfunctions.udf.CIQ($G1047,$I1047,M114,Valuation_Date_GC,ReportType,DataMode,$H1047,FXMode)*Scale,"--"))</f>
        <v>--</v>
      </c>
      <c r="N1047" s="2301" t="str">
        <f>IF($G1047=0,"--",IFERROR(_xll.ciqfunctions.udf.CIQ($G1047,$I1047,N114,Valuation_Date_GC,ReportType,DataMode,$H1047,FXMode)*Scale,"--"))</f>
        <v>--</v>
      </c>
      <c r="O1047" s="1471" t="str">
        <f>IF($G1047=0,"--",IFERROR(_xll.ciqfunctions.udf.CIQ($G1047,$I1047,O114,Valuation_Date_GC,ReportType,DataMode,$H1047,FXMode)*Scale,"--"))</f>
        <v>--</v>
      </c>
      <c r="P1047" s="2301" t="str">
        <f>IF($G1047=0,"--",IFERROR(_xll.ciqfunctions.udf.CIQ($G1047,$I1047,P114,Valuation_Date_GC,ReportType,DataMode,$H1047,FXMode)*Scale,"--"))</f>
        <v>--</v>
      </c>
      <c r="R1047" s="255"/>
    </row>
    <row r="1048" spans="1:18" s="89" customFormat="1" ht="13.9">
      <c r="A1048" s="269" t="str">
        <f t="shared" si="223"/>
        <v>n</v>
      </c>
      <c r="B1048" s="2060"/>
      <c r="D1048" s="801"/>
      <c r="E1048" s="1505">
        <v>16</v>
      </c>
      <c r="F1048" s="21" t="str">
        <f>F$144</f>
        <v>--</v>
      </c>
      <c r="G1048" s="1441">
        <f>G$144</f>
        <v>0</v>
      </c>
      <c r="H1048" s="1441" t="str">
        <f>H$144</f>
        <v>--</v>
      </c>
      <c r="I1048" s="89" t="s">
        <v>793</v>
      </c>
      <c r="K1048" s="2301" t="str">
        <f>IF($G1048=0,"--",IFERROR(_xll.ciqfunctions.udf.CIQ($G1048,$I1048,K115,Valuation_Date_GC,ReportType,DataMode,$H1048,FXMode)*Scale,"--"))</f>
        <v>--</v>
      </c>
      <c r="L1048" s="2301" t="str">
        <f>IF($G1048=0,"--",IFERROR(_xll.ciqfunctions.udf.CIQ($G1048,$I1048,L115,Valuation_Date_GC,ReportType,DataMode,$H1048,FXMode)*Scale,"--"))</f>
        <v>--</v>
      </c>
      <c r="M1048" s="2301" t="str">
        <f>IF($G1048=0,"--",IFERROR(_xll.ciqfunctions.udf.CIQ($G1048,$I1048,M115,Valuation_Date_GC,ReportType,DataMode,$H1048,FXMode)*Scale,"--"))</f>
        <v>--</v>
      </c>
      <c r="N1048" s="2301" t="str">
        <f>IF($G1048=0,"--",IFERROR(_xll.ciqfunctions.udf.CIQ($G1048,$I1048,N115,Valuation_Date_GC,ReportType,DataMode,$H1048,FXMode)*Scale,"--"))</f>
        <v>--</v>
      </c>
      <c r="O1048" s="1471" t="str">
        <f>IF($G1048=0,"--",IFERROR(_xll.ciqfunctions.udf.CIQ($G1048,$I1048,O115,Valuation_Date_GC,ReportType,DataMode,$H1048,FXMode)*Scale,"--"))</f>
        <v>--</v>
      </c>
      <c r="P1048" s="2301" t="str">
        <f>IF($G1048=0,"--",IFERROR(_xll.ciqfunctions.udf.CIQ($G1048,$I1048,P115,Valuation_Date_GC,ReportType,DataMode,$H1048,FXMode)*Scale,"--"))</f>
        <v>--</v>
      </c>
      <c r="R1048" s="255"/>
    </row>
    <row r="1049" spans="1:18" s="89" customFormat="1" ht="13.9">
      <c r="A1049" s="269" t="str">
        <f t="shared" si="223"/>
        <v>n</v>
      </c>
      <c r="B1049" s="2060"/>
      <c r="D1049" s="801"/>
      <c r="E1049" s="1505">
        <v>17</v>
      </c>
      <c r="F1049" s="21" t="str">
        <f>F$145</f>
        <v>--</v>
      </c>
      <c r="G1049" s="1441">
        <f>G$145</f>
        <v>0</v>
      </c>
      <c r="H1049" s="1441" t="str">
        <f>H$145</f>
        <v>--</v>
      </c>
      <c r="I1049" s="89" t="s">
        <v>793</v>
      </c>
      <c r="K1049" s="2301" t="str">
        <f>IF($G1049=0,"--",IFERROR(_xll.ciqfunctions.udf.CIQ($G1049,$I1049,K116,Valuation_Date_GC,ReportType,DataMode,$H1049,FXMode)*Scale,"--"))</f>
        <v>--</v>
      </c>
      <c r="L1049" s="2301" t="str">
        <f>IF($G1049=0,"--",IFERROR(_xll.ciqfunctions.udf.CIQ($G1049,$I1049,L116,Valuation_Date_GC,ReportType,DataMode,$H1049,FXMode)*Scale,"--"))</f>
        <v>--</v>
      </c>
      <c r="M1049" s="2301" t="str">
        <f>IF($G1049=0,"--",IFERROR(_xll.ciqfunctions.udf.CIQ($G1049,$I1049,M116,Valuation_Date_GC,ReportType,DataMode,$H1049,FXMode)*Scale,"--"))</f>
        <v>--</v>
      </c>
      <c r="N1049" s="2301" t="str">
        <f>IF($G1049=0,"--",IFERROR(_xll.ciqfunctions.udf.CIQ($G1049,$I1049,N116,Valuation_Date_GC,ReportType,DataMode,$H1049,FXMode)*Scale,"--"))</f>
        <v>--</v>
      </c>
      <c r="O1049" s="1471" t="str">
        <f>IF($G1049=0,"--",IFERROR(_xll.ciqfunctions.udf.CIQ($G1049,$I1049,O116,Valuation_Date_GC,ReportType,DataMode,$H1049,FXMode)*Scale,"--"))</f>
        <v>--</v>
      </c>
      <c r="P1049" s="2301" t="str">
        <f>IF($G1049=0,"--",IFERROR(_xll.ciqfunctions.udf.CIQ($G1049,$I1049,P116,Valuation_Date_GC,ReportType,DataMode,$H1049,FXMode)*Scale,"--"))</f>
        <v>--</v>
      </c>
      <c r="R1049" s="255"/>
    </row>
    <row r="1050" spans="1:18" s="89" customFormat="1" ht="13.9">
      <c r="A1050" s="269" t="str">
        <f t="shared" si="223"/>
        <v>n</v>
      </c>
      <c r="B1050" s="2060"/>
      <c r="D1050" s="801"/>
      <c r="E1050" s="1505">
        <v>18</v>
      </c>
      <c r="F1050" s="21" t="str">
        <f>F$146</f>
        <v>--</v>
      </c>
      <c r="G1050" s="1441">
        <f>G$146</f>
        <v>0</v>
      </c>
      <c r="H1050" s="1441" t="str">
        <f>H$146</f>
        <v>--</v>
      </c>
      <c r="I1050" s="89" t="s">
        <v>793</v>
      </c>
      <c r="K1050" s="2301" t="str">
        <f>IF($G1050=0,"--",IFERROR(_xll.ciqfunctions.udf.CIQ($G1050,$I1050,K117,Valuation_Date_GC,ReportType,DataMode,$H1050,FXMode)*Scale,"--"))</f>
        <v>--</v>
      </c>
      <c r="L1050" s="2301" t="str">
        <f>IF($G1050=0,"--",IFERROR(_xll.ciqfunctions.udf.CIQ($G1050,$I1050,L117,Valuation_Date_GC,ReportType,DataMode,$H1050,FXMode)*Scale,"--"))</f>
        <v>--</v>
      </c>
      <c r="M1050" s="2301" t="str">
        <f>IF($G1050=0,"--",IFERROR(_xll.ciqfunctions.udf.CIQ($G1050,$I1050,M117,Valuation_Date_GC,ReportType,DataMode,$H1050,FXMode)*Scale,"--"))</f>
        <v>--</v>
      </c>
      <c r="N1050" s="2301" t="str">
        <f>IF($G1050=0,"--",IFERROR(_xll.ciqfunctions.udf.CIQ($G1050,$I1050,N117,Valuation_Date_GC,ReportType,DataMode,$H1050,FXMode)*Scale,"--"))</f>
        <v>--</v>
      </c>
      <c r="O1050" s="1471" t="str">
        <f>IF($G1050=0,"--",IFERROR(_xll.ciqfunctions.udf.CIQ($G1050,$I1050,O117,Valuation_Date_GC,ReportType,DataMode,$H1050,FXMode)*Scale,"--"))</f>
        <v>--</v>
      </c>
      <c r="P1050" s="2301" t="str">
        <f>IF($G1050=0,"--",IFERROR(_xll.ciqfunctions.udf.CIQ($G1050,$I1050,P117,Valuation_Date_GC,ReportType,DataMode,$H1050,FXMode)*Scale,"--"))</f>
        <v>--</v>
      </c>
      <c r="R1050" s="255"/>
    </row>
    <row r="1051" spans="1:18" s="89" customFormat="1" ht="13.9">
      <c r="A1051" s="269" t="str">
        <f t="shared" si="223"/>
        <v>n</v>
      </c>
      <c r="B1051" s="2060"/>
      <c r="D1051" s="801"/>
      <c r="E1051" s="1505">
        <v>19</v>
      </c>
      <c r="F1051" s="21" t="str">
        <f>F$147</f>
        <v>--</v>
      </c>
      <c r="G1051" s="1441">
        <f>G$147</f>
        <v>0</v>
      </c>
      <c r="H1051" s="1441" t="str">
        <f>H$147</f>
        <v>--</v>
      </c>
      <c r="I1051" s="89" t="s">
        <v>793</v>
      </c>
      <c r="K1051" s="2301" t="str">
        <f>IF($G1051=0,"--",IFERROR(_xll.ciqfunctions.udf.CIQ($G1051,$I1051,K118,Valuation_Date_GC,ReportType,DataMode,$H1051,FXMode)*Scale,"--"))</f>
        <v>--</v>
      </c>
      <c r="L1051" s="2301" t="str">
        <f>IF($G1051=0,"--",IFERROR(_xll.ciqfunctions.udf.CIQ($G1051,$I1051,L118,Valuation_Date_GC,ReportType,DataMode,$H1051,FXMode)*Scale,"--"))</f>
        <v>--</v>
      </c>
      <c r="M1051" s="2301" t="str">
        <f>IF($G1051=0,"--",IFERROR(_xll.ciqfunctions.udf.CIQ($G1051,$I1051,M118,Valuation_Date_GC,ReportType,DataMode,$H1051,FXMode)*Scale,"--"))</f>
        <v>--</v>
      </c>
      <c r="N1051" s="2301" t="str">
        <f>IF($G1051=0,"--",IFERROR(_xll.ciqfunctions.udf.CIQ($G1051,$I1051,N118,Valuation_Date_GC,ReportType,DataMode,$H1051,FXMode)*Scale,"--"))</f>
        <v>--</v>
      </c>
      <c r="O1051" s="1471" t="str">
        <f>IF($G1051=0,"--",IFERROR(_xll.ciqfunctions.udf.CIQ($G1051,$I1051,O118,Valuation_Date_GC,ReportType,DataMode,$H1051,FXMode)*Scale,"--"))</f>
        <v>--</v>
      </c>
      <c r="P1051" s="2301" t="str">
        <f>IF($G1051=0,"--",IFERROR(_xll.ciqfunctions.udf.CIQ($G1051,$I1051,P118,Valuation_Date_GC,ReportType,DataMode,$H1051,FXMode)*Scale,"--"))</f>
        <v>--</v>
      </c>
      <c r="R1051" s="255"/>
    </row>
    <row r="1052" spans="1:18" s="89" customFormat="1" ht="13.9">
      <c r="A1052" s="269" t="str">
        <f t="shared" si="223"/>
        <v>n</v>
      </c>
      <c r="B1052" s="2060"/>
      <c r="D1052" s="801"/>
      <c r="E1052" s="1505">
        <v>20</v>
      </c>
      <c r="F1052" s="21" t="str">
        <f>F$148</f>
        <v>--</v>
      </c>
      <c r="G1052" s="1441">
        <f>G$148</f>
        <v>0</v>
      </c>
      <c r="H1052" s="1441" t="str">
        <f>H$148</f>
        <v>--</v>
      </c>
      <c r="I1052" s="89" t="s">
        <v>793</v>
      </c>
      <c r="K1052" s="2301" t="str">
        <f>IF($G1052=0,"--",IFERROR(_xll.ciqfunctions.udf.CIQ($G1052,$I1052,K119,Valuation_Date_GC,ReportType,DataMode,$H1052,FXMode)*Scale,"--"))</f>
        <v>--</v>
      </c>
      <c r="L1052" s="2301" t="str">
        <f>IF($G1052=0,"--",IFERROR(_xll.ciqfunctions.udf.CIQ($G1052,$I1052,L119,Valuation_Date_GC,ReportType,DataMode,$H1052,FXMode)*Scale,"--"))</f>
        <v>--</v>
      </c>
      <c r="M1052" s="2301" t="str">
        <f>IF($G1052=0,"--",IFERROR(_xll.ciqfunctions.udf.CIQ($G1052,$I1052,M119,Valuation_Date_GC,ReportType,DataMode,$H1052,FXMode)*Scale,"--"))</f>
        <v>--</v>
      </c>
      <c r="N1052" s="2301" t="str">
        <f>IF($G1052=0,"--",IFERROR(_xll.ciqfunctions.udf.CIQ($G1052,$I1052,N119,Valuation_Date_GC,ReportType,DataMode,$H1052,FXMode)*Scale,"--"))</f>
        <v>--</v>
      </c>
      <c r="O1052" s="1471" t="str">
        <f>IF($G1052=0,"--",IFERROR(_xll.ciqfunctions.udf.CIQ($G1052,$I1052,O119,Valuation_Date_GC,ReportType,DataMode,$H1052,FXMode)*Scale,"--"))</f>
        <v>--</v>
      </c>
      <c r="P1052" s="2301" t="str">
        <f>IF($G1052=0,"--",IFERROR(_xll.ciqfunctions.udf.CIQ($G1052,$I1052,P119,Valuation_Date_GC,ReportType,DataMode,$H1052,FXMode)*Scale,"--"))</f>
        <v>--</v>
      </c>
      <c r="R1052" s="255"/>
    </row>
    <row r="1053" spans="1:18" s="89" customFormat="1" ht="13.9">
      <c r="A1053" s="269" t="str">
        <f t="shared" si="223"/>
        <v>n</v>
      </c>
      <c r="B1053" s="2060"/>
      <c r="D1053" s="801"/>
      <c r="E1053" s="1505">
        <v>21</v>
      </c>
      <c r="F1053" s="21" t="str">
        <f>F$149</f>
        <v>--</v>
      </c>
      <c r="G1053" s="1441">
        <f>G$149</f>
        <v>0</v>
      </c>
      <c r="H1053" s="1441" t="str">
        <f>H$149</f>
        <v>--</v>
      </c>
      <c r="I1053" s="89" t="s">
        <v>793</v>
      </c>
      <c r="K1053" s="2301" t="str">
        <f>IF($G1053=0,"--",IFERROR(_xll.ciqfunctions.udf.CIQ($G1053,$I1053,K120,Valuation_Date_GC,ReportType,DataMode,$H1053,FXMode)*Scale,"--"))</f>
        <v>--</v>
      </c>
      <c r="L1053" s="2301" t="str">
        <f>IF($G1053=0,"--",IFERROR(_xll.ciqfunctions.udf.CIQ($G1053,$I1053,L120,Valuation_Date_GC,ReportType,DataMode,$H1053,FXMode)*Scale,"--"))</f>
        <v>--</v>
      </c>
      <c r="M1053" s="2301" t="str">
        <f>IF($G1053=0,"--",IFERROR(_xll.ciqfunctions.udf.CIQ($G1053,$I1053,M120,Valuation_Date_GC,ReportType,DataMode,$H1053,FXMode)*Scale,"--"))</f>
        <v>--</v>
      </c>
      <c r="N1053" s="2301" t="str">
        <f>IF($G1053=0,"--",IFERROR(_xll.ciqfunctions.udf.CIQ($G1053,$I1053,N120,Valuation_Date_GC,ReportType,DataMode,$H1053,FXMode)*Scale,"--"))</f>
        <v>--</v>
      </c>
      <c r="O1053" s="1471" t="str">
        <f>IF($G1053=0,"--",IFERROR(_xll.ciqfunctions.udf.CIQ($G1053,$I1053,O120,Valuation_Date_GC,ReportType,DataMode,$H1053,FXMode)*Scale,"--"))</f>
        <v>--</v>
      </c>
      <c r="P1053" s="2301" t="str">
        <f>IF($G1053=0,"--",IFERROR(_xll.ciqfunctions.udf.CIQ($G1053,$I1053,P120,Valuation_Date_GC,ReportType,DataMode,$H1053,FXMode)*Scale,"--"))</f>
        <v>--</v>
      </c>
      <c r="R1053" s="255"/>
    </row>
    <row r="1054" spans="1:18" s="89" customFormat="1" ht="13.9">
      <c r="A1054" s="269" t="str">
        <f t="shared" si="223"/>
        <v>n</v>
      </c>
      <c r="B1054" s="2060"/>
      <c r="D1054" s="801"/>
      <c r="E1054" s="1505">
        <v>22</v>
      </c>
      <c r="F1054" s="21" t="str">
        <f>F$150</f>
        <v>--</v>
      </c>
      <c r="G1054" s="1441">
        <f>G$150</f>
        <v>0</v>
      </c>
      <c r="H1054" s="1441" t="str">
        <f>H$150</f>
        <v>--</v>
      </c>
      <c r="I1054" s="89" t="s">
        <v>793</v>
      </c>
      <c r="K1054" s="2301" t="str">
        <f>IF($G1054=0,"--",IFERROR(_xll.ciqfunctions.udf.CIQ($G1054,$I1054,K121,Valuation_Date_GC,ReportType,DataMode,$H1054,FXMode)*Scale,"--"))</f>
        <v>--</v>
      </c>
      <c r="L1054" s="2301" t="str">
        <f>IF($G1054=0,"--",IFERROR(_xll.ciqfunctions.udf.CIQ($G1054,$I1054,L121,Valuation_Date_GC,ReportType,DataMode,$H1054,FXMode)*Scale,"--"))</f>
        <v>--</v>
      </c>
      <c r="M1054" s="2301" t="str">
        <f>IF($G1054=0,"--",IFERROR(_xll.ciqfunctions.udf.CIQ($G1054,$I1054,M121,Valuation_Date_GC,ReportType,DataMode,$H1054,FXMode)*Scale,"--"))</f>
        <v>--</v>
      </c>
      <c r="N1054" s="2301" t="str">
        <f>IF($G1054=0,"--",IFERROR(_xll.ciqfunctions.udf.CIQ($G1054,$I1054,N121,Valuation_Date_GC,ReportType,DataMode,$H1054,FXMode)*Scale,"--"))</f>
        <v>--</v>
      </c>
      <c r="O1054" s="1471" t="str">
        <f>IF($G1054=0,"--",IFERROR(_xll.ciqfunctions.udf.CIQ($G1054,$I1054,O121,Valuation_Date_GC,ReportType,DataMode,$H1054,FXMode)*Scale,"--"))</f>
        <v>--</v>
      </c>
      <c r="P1054" s="2301" t="str">
        <f>IF($G1054=0,"--",IFERROR(_xll.ciqfunctions.udf.CIQ($G1054,$I1054,P121,Valuation_Date_GC,ReportType,DataMode,$H1054,FXMode)*Scale,"--"))</f>
        <v>--</v>
      </c>
      <c r="R1054" s="255"/>
    </row>
    <row r="1055" spans="1:18" s="89" customFormat="1" ht="13.9">
      <c r="A1055" s="269" t="str">
        <f t="shared" si="223"/>
        <v>n</v>
      </c>
      <c r="B1055" s="2060"/>
      <c r="D1055" s="801"/>
      <c r="E1055" s="1505">
        <v>23</v>
      </c>
      <c r="F1055" s="21" t="str">
        <f>F$151</f>
        <v>--</v>
      </c>
      <c r="G1055" s="1441">
        <f>G$151</f>
        <v>0</v>
      </c>
      <c r="H1055" s="1441" t="str">
        <f>H$151</f>
        <v>--</v>
      </c>
      <c r="I1055" s="89" t="s">
        <v>793</v>
      </c>
      <c r="K1055" s="2301" t="str">
        <f>IF($G1055=0,"--",IFERROR(_xll.ciqfunctions.udf.CIQ($G1055,$I1055,K122,Valuation_Date_GC,ReportType,DataMode,$H1055,FXMode)*Scale,"--"))</f>
        <v>--</v>
      </c>
      <c r="L1055" s="2301" t="str">
        <f>IF($G1055=0,"--",IFERROR(_xll.ciqfunctions.udf.CIQ($G1055,$I1055,L122,Valuation_Date_GC,ReportType,DataMode,$H1055,FXMode)*Scale,"--"))</f>
        <v>--</v>
      </c>
      <c r="M1055" s="2301" t="str">
        <f>IF($G1055=0,"--",IFERROR(_xll.ciqfunctions.udf.CIQ($G1055,$I1055,M122,Valuation_Date_GC,ReportType,DataMode,$H1055,FXMode)*Scale,"--"))</f>
        <v>--</v>
      </c>
      <c r="N1055" s="2301" t="str">
        <f>IF($G1055=0,"--",IFERROR(_xll.ciqfunctions.udf.CIQ($G1055,$I1055,N122,Valuation_Date_GC,ReportType,DataMode,$H1055,FXMode)*Scale,"--"))</f>
        <v>--</v>
      </c>
      <c r="O1055" s="1471" t="str">
        <f>IF($G1055=0,"--",IFERROR(_xll.ciqfunctions.udf.CIQ($G1055,$I1055,O122,Valuation_Date_GC,ReportType,DataMode,$H1055,FXMode)*Scale,"--"))</f>
        <v>--</v>
      </c>
      <c r="P1055" s="2301" t="str">
        <f>IF($G1055=0,"--",IFERROR(_xll.ciqfunctions.udf.CIQ($G1055,$I1055,P122,Valuation_Date_GC,ReportType,DataMode,$H1055,FXMode)*Scale,"--"))</f>
        <v>--</v>
      </c>
      <c r="R1055" s="255"/>
    </row>
    <row r="1056" spans="1:18" s="89" customFormat="1" ht="13.9">
      <c r="A1056" s="269" t="str">
        <f t="shared" si="223"/>
        <v>n</v>
      </c>
      <c r="B1056" s="2060"/>
      <c r="D1056" s="801"/>
      <c r="E1056" s="1505">
        <v>24</v>
      </c>
      <c r="F1056" s="21" t="str">
        <f>F$152</f>
        <v>--</v>
      </c>
      <c r="G1056" s="1441">
        <f>G$152</f>
        <v>0</v>
      </c>
      <c r="H1056" s="1441" t="str">
        <f>H$152</f>
        <v>--</v>
      </c>
      <c r="I1056" s="89" t="s">
        <v>793</v>
      </c>
      <c r="K1056" s="2301" t="str">
        <f>IF($G1056=0,"--",IFERROR(_xll.ciqfunctions.udf.CIQ($G1056,$I1056,K123,Valuation_Date_GC,ReportType,DataMode,$H1056,FXMode)*Scale,"--"))</f>
        <v>--</v>
      </c>
      <c r="L1056" s="2301" t="str">
        <f>IF($G1056=0,"--",IFERROR(_xll.ciqfunctions.udf.CIQ($G1056,$I1056,L123,Valuation_Date_GC,ReportType,DataMode,$H1056,FXMode)*Scale,"--"))</f>
        <v>--</v>
      </c>
      <c r="M1056" s="2301" t="str">
        <f>IF($G1056=0,"--",IFERROR(_xll.ciqfunctions.udf.CIQ($G1056,$I1056,M123,Valuation_Date_GC,ReportType,DataMode,$H1056,FXMode)*Scale,"--"))</f>
        <v>--</v>
      </c>
      <c r="N1056" s="2301" t="str">
        <f>IF($G1056=0,"--",IFERROR(_xll.ciqfunctions.udf.CIQ($G1056,$I1056,N123,Valuation_Date_GC,ReportType,DataMode,$H1056,FXMode)*Scale,"--"))</f>
        <v>--</v>
      </c>
      <c r="O1056" s="1471" t="str">
        <f>IF($G1056=0,"--",IFERROR(_xll.ciqfunctions.udf.CIQ($G1056,$I1056,O123,Valuation_Date_GC,ReportType,DataMode,$H1056,FXMode)*Scale,"--"))</f>
        <v>--</v>
      </c>
      <c r="P1056" s="2301" t="str">
        <f>IF($G1056=0,"--",IFERROR(_xll.ciqfunctions.udf.CIQ($G1056,$I1056,P123,Valuation_Date_GC,ReportType,DataMode,$H1056,FXMode)*Scale,"--"))</f>
        <v>--</v>
      </c>
      <c r="R1056" s="255"/>
    </row>
    <row r="1057" spans="1:34" s="89" customFormat="1" ht="13.9">
      <c r="A1057" s="269" t="str">
        <f t="shared" si="223"/>
        <v>n</v>
      </c>
      <c r="B1057" s="2060"/>
      <c r="D1057" s="801"/>
      <c r="E1057" s="1505">
        <v>25</v>
      </c>
      <c r="F1057" s="21" t="str">
        <f>F$153</f>
        <v>--</v>
      </c>
      <c r="G1057" s="1441">
        <f>G$153</f>
        <v>0</v>
      </c>
      <c r="H1057" s="1441" t="str">
        <f>H$153</f>
        <v>--</v>
      </c>
      <c r="I1057" s="89" t="s">
        <v>793</v>
      </c>
      <c r="K1057" s="2301" t="str">
        <f>IF($G1057=0,"--",IFERROR(_xll.ciqfunctions.udf.CIQ($G1057,$I1057,K124,Valuation_Date_GC,ReportType,DataMode,$H1057,FXMode)*Scale,"--"))</f>
        <v>--</v>
      </c>
      <c r="L1057" s="2301" t="str">
        <f>IF($G1057=0,"--",IFERROR(_xll.ciqfunctions.udf.CIQ($G1057,$I1057,L124,Valuation_Date_GC,ReportType,DataMode,$H1057,FXMode)*Scale,"--"))</f>
        <v>--</v>
      </c>
      <c r="M1057" s="2301" t="str">
        <f>IF($G1057=0,"--",IFERROR(_xll.ciqfunctions.udf.CIQ($G1057,$I1057,M124,Valuation_Date_GC,ReportType,DataMode,$H1057,FXMode)*Scale,"--"))</f>
        <v>--</v>
      </c>
      <c r="N1057" s="2301" t="str">
        <f>IF($G1057=0,"--",IFERROR(_xll.ciqfunctions.udf.CIQ($G1057,$I1057,N124,Valuation_Date_GC,ReportType,DataMode,$H1057,FXMode)*Scale,"--"))</f>
        <v>--</v>
      </c>
      <c r="O1057" s="1471" t="str">
        <f>IF($G1057=0,"--",IFERROR(_xll.ciqfunctions.udf.CIQ($G1057,$I1057,O124,Valuation_Date_GC,ReportType,DataMode,$H1057,FXMode)*Scale,"--"))</f>
        <v>--</v>
      </c>
      <c r="P1057" s="2301" t="str">
        <f>IF($G1057=0,"--",IFERROR(_xll.ciqfunctions.udf.CIQ($G1057,$I1057,P124,Valuation_Date_GC,ReportType,DataMode,$H1057,FXMode)*Scale,"--"))</f>
        <v>--</v>
      </c>
      <c r="R1057" s="255"/>
    </row>
    <row r="1058" spans="1:34" s="89" customFormat="1" ht="13.9">
      <c r="A1058" s="2060"/>
      <c r="B1058" s="2060"/>
      <c r="D1058" s="801"/>
      <c r="F1058" s="57" t="s">
        <v>767</v>
      </c>
      <c r="G1058" s="1442"/>
      <c r="H1058" s="1442"/>
      <c r="I1058" s="1442"/>
      <c r="J1058" s="1442"/>
      <c r="K1058" s="1443" t="str">
        <f t="shared" ref="K1058:P1058" si="224">IFERROR(MEDIAN(K1033:K1057),"--")</f>
        <v>--</v>
      </c>
      <c r="L1058" s="1443" t="str">
        <f t="shared" si="224"/>
        <v>--</v>
      </c>
      <c r="M1058" s="1443" t="str">
        <f t="shared" si="224"/>
        <v>--</v>
      </c>
      <c r="N1058" s="1443" t="str">
        <f t="shared" si="224"/>
        <v>--</v>
      </c>
      <c r="O1058" s="1444" t="str">
        <f t="shared" si="224"/>
        <v>--</v>
      </c>
      <c r="P1058" s="1443" t="str">
        <f t="shared" si="224"/>
        <v>--</v>
      </c>
      <c r="R1058" s="255"/>
      <c r="T1058" s="1513"/>
    </row>
    <row r="1059" spans="1:34" s="89" customFormat="1" ht="13.9">
      <c r="A1059" s="2060"/>
      <c r="B1059" s="2060"/>
      <c r="D1059" s="801"/>
      <c r="F1059" s="446"/>
      <c r="G1059" s="1441"/>
      <c r="H1059" s="1441"/>
      <c r="I1059" s="1441"/>
      <c r="J1059" s="1441"/>
      <c r="K1059" s="1441"/>
      <c r="O1059" s="75"/>
      <c r="P1059" s="76"/>
      <c r="R1059" s="255"/>
      <c r="T1059" s="1513"/>
    </row>
    <row r="1060" spans="1:34" s="89" customFormat="1" ht="13.9">
      <c r="A1060" s="2060"/>
      <c r="B1060" s="2060"/>
      <c r="D1060" s="801"/>
      <c r="O1060" s="75"/>
      <c r="P1060" s="76"/>
    </row>
    <row r="1061" spans="1:34" s="89" customFormat="1" ht="13.9">
      <c r="A1061" s="2060"/>
      <c r="B1061" s="2060"/>
      <c r="D1061" s="801"/>
      <c r="O1061" s="75"/>
      <c r="P1061" s="76"/>
    </row>
    <row r="1062" spans="1:34" s="89" customFormat="1" ht="13.9">
      <c r="A1062" s="2060"/>
      <c r="B1062" s="2060"/>
      <c r="D1062" s="778">
        <f ca="1">MAX(OFFSET(D1062,-1,0,-ROW(D1062)+1,-2),1)+0.01</f>
        <v>6.0799999999999983</v>
      </c>
      <c r="E1062" s="125"/>
      <c r="F1062" s="952" t="s">
        <v>826</v>
      </c>
      <c r="G1062" s="724" t="s">
        <v>777</v>
      </c>
      <c r="H1062" s="724"/>
      <c r="I1062" s="724"/>
      <c r="J1062" s="724"/>
      <c r="K1062" s="725" t="s">
        <v>700</v>
      </c>
      <c r="L1062" s="725" t="s">
        <v>701</v>
      </c>
      <c r="M1062" s="725" t="s">
        <v>702</v>
      </c>
      <c r="N1062" s="725" t="s">
        <v>703</v>
      </c>
      <c r="O1062" s="759" t="s">
        <v>704</v>
      </c>
      <c r="P1062" s="725" t="s">
        <v>780</v>
      </c>
      <c r="R1062" s="255"/>
    </row>
    <row r="1063" spans="1:34" s="89" customFormat="1" ht="13.9">
      <c r="A1063" s="2060"/>
      <c r="B1063" s="2060"/>
      <c r="D1063" s="778"/>
      <c r="E1063" s="1505">
        <v>0</v>
      </c>
      <c r="F1063" s="1448" t="str">
        <f>F$128</f>
        <v/>
      </c>
      <c r="G1063" s="1449">
        <f>G$128</f>
        <v>0</v>
      </c>
      <c r="H1063" s="1449" t="str">
        <f>H$128</f>
        <v>USD</v>
      </c>
      <c r="I1063" s="258" t="s">
        <v>827</v>
      </c>
      <c r="J1063" s="2316"/>
      <c r="K1063" s="2304">
        <f>'BAL SHEET Hist Input'!F54</f>
        <v>0</v>
      </c>
      <c r="L1063" s="2304">
        <f>'BAL SHEET Hist Input'!G54</f>
        <v>0</v>
      </c>
      <c r="M1063" s="2304">
        <f>'BAL SHEET Hist Input'!H54</f>
        <v>0</v>
      </c>
      <c r="N1063" s="2304">
        <f>'BAL SHEET Hist Input'!I54</f>
        <v>0</v>
      </c>
      <c r="O1063" s="1469">
        <f>'BAL SHEET Hist Input'!J54</f>
        <v>0</v>
      </c>
      <c r="P1063" s="1470">
        <f>'BAL SHEET Hist Input'!K54</f>
        <v>0</v>
      </c>
      <c r="R1063" s="255"/>
    </row>
    <row r="1064" spans="1:34" s="89" customFormat="1" ht="13.9">
      <c r="A1064" s="269" t="str">
        <f>IF(F1064="--","n","")</f>
        <v>n</v>
      </c>
      <c r="B1064" s="2060"/>
      <c r="C1064" s="72"/>
      <c r="D1064" s="801"/>
      <c r="E1064" s="1505">
        <v>1</v>
      </c>
      <c r="F1064" s="21" t="str">
        <f>F$129</f>
        <v>--</v>
      </c>
      <c r="G1064" s="1441">
        <f>G$129</f>
        <v>0</v>
      </c>
      <c r="H1064" s="1441" t="str">
        <f>H$129</f>
        <v>--</v>
      </c>
      <c r="I1064" s="89" t="s">
        <v>827</v>
      </c>
      <c r="K1064" s="2301" t="str">
        <f>IF($G1064=0,"--",IFERROR(_xll.ciqfunctions.udf.CIQ($G1064,$I1064,K100,Valuation_Date_GC,ReportType,DataMode,$H1064,FXMode)*Scale-K1033,"--"))</f>
        <v>--</v>
      </c>
      <c r="L1064" s="2301" t="str">
        <f>IF($G1064=0,"--",IFERROR(_xll.ciqfunctions.udf.CIQ($G1064,$I1064,L100,Valuation_Date_GC,ReportType,DataMode,$H1064,FXMode)*Scale-L1033,"--"))</f>
        <v>--</v>
      </c>
      <c r="M1064" s="2301" t="str">
        <f>IF($G1064=0,"--",IFERROR(_xll.ciqfunctions.udf.CIQ($G1064,$I1064,M100,Valuation_Date_GC,ReportType,DataMode,$H1064,FXMode)*Scale-M1033,"--"))</f>
        <v>--</v>
      </c>
      <c r="N1064" s="2301" t="str">
        <f>IF($G1064=0,"--",IFERROR(_xll.ciqfunctions.udf.CIQ($G1064,$I1064,N100,Valuation_Date_GC,ReportType,DataMode,$H1064,FXMode)*Scale-N1033,"--"))</f>
        <v>--</v>
      </c>
      <c r="O1064" s="1471" t="str">
        <f>IF($G1064=0,"--",IFERROR(_xll.ciqfunctions.udf.CIQ($G1064,$I1064,O100,Valuation_Date_GC,ReportType,DataMode,$H1064,FXMode)*Scale-O1033,"--"))</f>
        <v>--</v>
      </c>
      <c r="P1064" s="2301" t="str">
        <f>IF($G1064=0,"--",IFERROR(_xll.ciqfunctions.udf.CIQ($G1064,$I1064,P100,Valuation_Date_GC,ReportType,DataMode,$H1064,FXMode)*Scale-P1033,"--"))</f>
        <v>--</v>
      </c>
      <c r="R1064" s="255"/>
    </row>
    <row r="1065" spans="1:34" s="89" customFormat="1" ht="13.9">
      <c r="A1065" s="269" t="str">
        <f t="shared" ref="A1065:A1088" si="225">IF(F1065="--","n","")</f>
        <v>n</v>
      </c>
      <c r="B1065" s="2060"/>
      <c r="D1065" s="801"/>
      <c r="E1065" s="1505">
        <v>2</v>
      </c>
      <c r="F1065" s="21" t="str">
        <f>F$130</f>
        <v>--</v>
      </c>
      <c r="G1065" s="1441">
        <f>G$130</f>
        <v>0</v>
      </c>
      <c r="H1065" s="1441" t="str">
        <f>H$130</f>
        <v>--</v>
      </c>
      <c r="I1065" s="89" t="s">
        <v>827</v>
      </c>
      <c r="K1065" s="2301" t="str">
        <f>IF($G1065=0,"--",IFERROR(_xll.ciqfunctions.udf.CIQ($G1065,$I1065,K101,Valuation_Date_GC,ReportType,DataMode,$H1065,FXMode)*Scale-K1034,"--"))</f>
        <v>--</v>
      </c>
      <c r="L1065" s="2301" t="str">
        <f>IF($G1065=0,"--",IFERROR(_xll.ciqfunctions.udf.CIQ($G1065,$I1065,L101,Valuation_Date_GC,ReportType,DataMode,$H1065,FXMode)*Scale-L1034,"--"))</f>
        <v>--</v>
      </c>
      <c r="M1065" s="2301" t="str">
        <f>IF($G1065=0,"--",IFERROR(_xll.ciqfunctions.udf.CIQ($G1065,$I1065,M101,Valuation_Date_GC,ReportType,DataMode,$H1065,FXMode)*Scale-M1034,"--"))</f>
        <v>--</v>
      </c>
      <c r="N1065" s="2301" t="str">
        <f>IF($G1065=0,"--",IFERROR(_xll.ciqfunctions.udf.CIQ($G1065,$I1065,N101,Valuation_Date_GC,ReportType,DataMode,$H1065,FXMode)*Scale-N1034,"--"))</f>
        <v>--</v>
      </c>
      <c r="O1065" s="1471" t="str">
        <f>IF($G1065=0,"--",IFERROR(_xll.ciqfunctions.udf.CIQ($G1065,$I1065,O101,Valuation_Date_GC,ReportType,DataMode,$H1065,FXMode)*Scale-O1034,"--"))</f>
        <v>--</v>
      </c>
      <c r="P1065" s="2301" t="str">
        <f>IF($G1065=0,"--",IFERROR(_xll.ciqfunctions.udf.CIQ($G1065,$I1065,P101,Valuation_Date_GC,ReportType,DataMode,$H1065,FXMode)*Scale-P1034,"--"))</f>
        <v>--</v>
      </c>
      <c r="R1065" s="255"/>
      <c r="AH1065" s="2060"/>
    </row>
    <row r="1066" spans="1:34" s="89" customFormat="1" ht="13.9">
      <c r="A1066" s="269" t="str">
        <f t="shared" si="225"/>
        <v>n</v>
      </c>
      <c r="B1066" s="2060"/>
      <c r="C1066" s="72"/>
      <c r="D1066" s="801"/>
      <c r="E1066" s="1505">
        <v>3</v>
      </c>
      <c r="F1066" s="21" t="str">
        <f>F$131</f>
        <v>--</v>
      </c>
      <c r="G1066" s="1441">
        <f>G$131</f>
        <v>0</v>
      </c>
      <c r="H1066" s="1441" t="str">
        <f>H$131</f>
        <v>--</v>
      </c>
      <c r="I1066" s="89" t="s">
        <v>827</v>
      </c>
      <c r="K1066" s="2301" t="str">
        <f>IF($G1066=0,"--",IFERROR(_xll.ciqfunctions.udf.CIQ($G1066,$I1066,K102,Valuation_Date_GC,ReportType,DataMode,$H1066,FXMode)*Scale-K1035,"--"))</f>
        <v>--</v>
      </c>
      <c r="L1066" s="2301" t="str">
        <f>IF($G1066=0,"--",IFERROR(_xll.ciqfunctions.udf.CIQ($G1066,$I1066,L102,Valuation_Date_GC,ReportType,DataMode,$H1066,FXMode)*Scale-L1035,"--"))</f>
        <v>--</v>
      </c>
      <c r="M1066" s="2301" t="str">
        <f>IF($G1066=0,"--",IFERROR(_xll.ciqfunctions.udf.CIQ($G1066,$I1066,M102,Valuation_Date_GC,ReportType,DataMode,$H1066,FXMode)*Scale-M1035,"--"))</f>
        <v>--</v>
      </c>
      <c r="N1066" s="2301" t="str">
        <f>IF($G1066=0,"--",IFERROR(_xll.ciqfunctions.udf.CIQ($G1066,$I1066,N102,Valuation_Date_GC,ReportType,DataMode,$H1066,FXMode)*Scale-N1035,"--"))</f>
        <v>--</v>
      </c>
      <c r="O1066" s="1471" t="str">
        <f>IF($G1066=0,"--",IFERROR(_xll.ciqfunctions.udf.CIQ($G1066,$I1066,O102,Valuation_Date_GC,ReportType,DataMode,$H1066,FXMode)*Scale-O1035,"--"))</f>
        <v>--</v>
      </c>
      <c r="P1066" s="2301" t="str">
        <f>IF($G1066=0,"--",IFERROR(_xll.ciqfunctions.udf.CIQ($G1066,$I1066,P102,Valuation_Date_GC,ReportType,DataMode,$H1066,FXMode)*Scale-P1035,"--"))</f>
        <v>--</v>
      </c>
      <c r="R1066" s="255"/>
      <c r="AG1066" s="2060"/>
      <c r="AH1066" s="2060"/>
    </row>
    <row r="1067" spans="1:34" s="89" customFormat="1" ht="13.9">
      <c r="A1067" s="269" t="str">
        <f t="shared" si="225"/>
        <v>n</v>
      </c>
      <c r="B1067" s="2060"/>
      <c r="C1067" s="72"/>
      <c r="D1067" s="801"/>
      <c r="E1067" s="1505">
        <v>4</v>
      </c>
      <c r="F1067" s="21" t="str">
        <f>F$132</f>
        <v>--</v>
      </c>
      <c r="G1067" s="1441">
        <f>G$132</f>
        <v>0</v>
      </c>
      <c r="H1067" s="1441" t="str">
        <f>H$132</f>
        <v>--</v>
      </c>
      <c r="I1067" s="89" t="s">
        <v>827</v>
      </c>
      <c r="K1067" s="2301" t="str">
        <f>IF($G1067=0,"--",IFERROR(_xll.ciqfunctions.udf.CIQ($G1067,$I1067,K103,Valuation_Date_GC,ReportType,DataMode,$H1067,FXMode)*Scale-K1036,"--"))</f>
        <v>--</v>
      </c>
      <c r="L1067" s="2301" t="str">
        <f>IF($G1067=0,"--",IFERROR(_xll.ciqfunctions.udf.CIQ($G1067,$I1067,L103,Valuation_Date_GC,ReportType,DataMode,$H1067,FXMode)*Scale-L1036,"--"))</f>
        <v>--</v>
      </c>
      <c r="M1067" s="2301" t="str">
        <f>IF($G1067=0,"--",IFERROR(_xll.ciqfunctions.udf.CIQ($G1067,$I1067,M103,Valuation_Date_GC,ReportType,DataMode,$H1067,FXMode)*Scale-M1036,"--"))</f>
        <v>--</v>
      </c>
      <c r="N1067" s="2301" t="str">
        <f>IF($G1067=0,"--",IFERROR(_xll.ciqfunctions.udf.CIQ($G1067,$I1067,N103,Valuation_Date_GC,ReportType,DataMode,$H1067,FXMode)*Scale-N1036,"--"))</f>
        <v>--</v>
      </c>
      <c r="O1067" s="1471" t="str">
        <f>IF($G1067=0,"--",IFERROR(_xll.ciqfunctions.udf.CIQ($G1067,$I1067,O103,Valuation_Date_GC,ReportType,DataMode,$H1067,FXMode)*Scale-O1036,"--"))</f>
        <v>--</v>
      </c>
      <c r="P1067" s="2301" t="str">
        <f>IF($G1067=0,"--",IFERROR(_xll.ciqfunctions.udf.CIQ($G1067,$I1067,P103,Valuation_Date_GC,ReportType,DataMode,$H1067,FXMode)*Scale-P1036,"--"))</f>
        <v>--</v>
      </c>
      <c r="R1067" s="255"/>
      <c r="AG1067" s="2060"/>
      <c r="AH1067" s="2060"/>
    </row>
    <row r="1068" spans="1:34" s="89" customFormat="1" ht="13.9">
      <c r="A1068" s="269" t="str">
        <f t="shared" si="225"/>
        <v>n</v>
      </c>
      <c r="B1068" s="2060"/>
      <c r="C1068" s="72"/>
      <c r="D1068" s="801"/>
      <c r="E1068" s="1505">
        <v>5</v>
      </c>
      <c r="F1068" s="21" t="str">
        <f>F$133</f>
        <v>--</v>
      </c>
      <c r="G1068" s="1441">
        <f>G$133</f>
        <v>0</v>
      </c>
      <c r="H1068" s="1441" t="str">
        <f>H$133</f>
        <v>--</v>
      </c>
      <c r="I1068" s="89" t="s">
        <v>827</v>
      </c>
      <c r="K1068" s="2301" t="str">
        <f>IF($G1068=0,"--",IFERROR(_xll.ciqfunctions.udf.CIQ($G1068,$I1068,K104,Valuation_Date_GC,ReportType,DataMode,$H1068,FXMode)*Scale-K1037,"--"))</f>
        <v>--</v>
      </c>
      <c r="L1068" s="2301" t="str">
        <f>IF($G1068=0,"--",IFERROR(_xll.ciqfunctions.udf.CIQ($G1068,$I1068,L104,Valuation_Date_GC,ReportType,DataMode,$H1068,FXMode)*Scale-L1037,"--"))</f>
        <v>--</v>
      </c>
      <c r="M1068" s="2301" t="str">
        <f>IF($G1068=0,"--",IFERROR(_xll.ciqfunctions.udf.CIQ($G1068,$I1068,M104,Valuation_Date_GC,ReportType,DataMode,$H1068,FXMode)*Scale-M1037,"--"))</f>
        <v>--</v>
      </c>
      <c r="N1068" s="2301" t="str">
        <f>IF($G1068=0,"--",IFERROR(_xll.ciqfunctions.udf.CIQ($G1068,$I1068,N104,Valuation_Date_GC,ReportType,DataMode,$H1068,FXMode)*Scale-N1037,"--"))</f>
        <v>--</v>
      </c>
      <c r="O1068" s="1471" t="str">
        <f>IF($G1068=0,"--",IFERROR(_xll.ciqfunctions.udf.CIQ($G1068,$I1068,O104,Valuation_Date_GC,ReportType,DataMode,$H1068,FXMode)*Scale-O1037,"--"))</f>
        <v>--</v>
      </c>
      <c r="P1068" s="2301" t="str">
        <f>IF($G1068=0,"--",IFERROR(_xll.ciqfunctions.udf.CIQ($G1068,$I1068,P104,Valuation_Date_GC,ReportType,DataMode,$H1068,FXMode)*Scale-P1037,"--"))</f>
        <v>--</v>
      </c>
      <c r="R1068" s="255"/>
      <c r="AG1068" s="2060"/>
      <c r="AH1068" s="2060"/>
    </row>
    <row r="1069" spans="1:34" s="89" customFormat="1" ht="13.9">
      <c r="A1069" s="269" t="str">
        <f t="shared" si="225"/>
        <v>n</v>
      </c>
      <c r="B1069" s="2060"/>
      <c r="C1069" s="72"/>
      <c r="D1069" s="801"/>
      <c r="E1069" s="1505">
        <v>6</v>
      </c>
      <c r="F1069" s="21" t="str">
        <f>F$134</f>
        <v>--</v>
      </c>
      <c r="G1069" s="1441">
        <f>G$134</f>
        <v>0</v>
      </c>
      <c r="H1069" s="1441" t="str">
        <f>H$134</f>
        <v>--</v>
      </c>
      <c r="I1069" s="89" t="s">
        <v>827</v>
      </c>
      <c r="K1069" s="2301" t="str">
        <f>IF($G1069=0,"--",IFERROR(_xll.ciqfunctions.udf.CIQ($G1069,$I1069,K105,Valuation_Date_GC,ReportType,DataMode,$H1069,FXMode)*Scale-K1038,"--"))</f>
        <v>--</v>
      </c>
      <c r="L1069" s="2301" t="str">
        <f>IF($G1069=0,"--",IFERROR(_xll.ciqfunctions.udf.CIQ($G1069,$I1069,L105,Valuation_Date_GC,ReportType,DataMode,$H1069,FXMode)*Scale-L1038,"--"))</f>
        <v>--</v>
      </c>
      <c r="M1069" s="2301" t="str">
        <f>IF($G1069=0,"--",IFERROR(_xll.ciqfunctions.udf.CIQ($G1069,$I1069,M105,Valuation_Date_GC,ReportType,DataMode,$H1069,FXMode)*Scale-M1038,"--"))</f>
        <v>--</v>
      </c>
      <c r="N1069" s="2301" t="str">
        <f>IF($G1069=0,"--",IFERROR(_xll.ciqfunctions.udf.CIQ($G1069,$I1069,N105,Valuation_Date_GC,ReportType,DataMode,$H1069,FXMode)*Scale-N1038,"--"))</f>
        <v>--</v>
      </c>
      <c r="O1069" s="1471" t="str">
        <f>IF($G1069=0,"--",IFERROR(_xll.ciqfunctions.udf.CIQ($G1069,$I1069,O105,Valuation_Date_GC,ReportType,DataMode,$H1069,FXMode)*Scale-O1038,"--"))</f>
        <v>--</v>
      </c>
      <c r="P1069" s="2301" t="str">
        <f>IF($G1069=0,"--",IFERROR(_xll.ciqfunctions.udf.CIQ($G1069,$I1069,P105,Valuation_Date_GC,ReportType,DataMode,$H1069,FXMode)*Scale-P1038,"--"))</f>
        <v>--</v>
      </c>
      <c r="R1069" s="255"/>
      <c r="AG1069" s="2060"/>
      <c r="AH1069" s="2060"/>
    </row>
    <row r="1070" spans="1:34" s="89" customFormat="1" ht="13.9">
      <c r="A1070" s="269" t="str">
        <f t="shared" si="225"/>
        <v>n</v>
      </c>
      <c r="B1070" s="2060"/>
      <c r="D1070" s="801"/>
      <c r="E1070" s="1505">
        <v>7</v>
      </c>
      <c r="F1070" s="21" t="str">
        <f>F$135</f>
        <v>--</v>
      </c>
      <c r="G1070" s="1441">
        <f>G$135</f>
        <v>0</v>
      </c>
      <c r="H1070" s="1441" t="str">
        <f>H$135</f>
        <v>--</v>
      </c>
      <c r="I1070" s="89" t="s">
        <v>827</v>
      </c>
      <c r="K1070" s="2301" t="str">
        <f>IF($G1070=0,"--",IFERROR(_xll.ciqfunctions.udf.CIQ($G1070,$I1070,K106,Valuation_Date_GC,ReportType,DataMode,$H1070,FXMode)*Scale-K1039,"--"))</f>
        <v>--</v>
      </c>
      <c r="L1070" s="2301" t="str">
        <f>IF($G1070=0,"--",IFERROR(_xll.ciqfunctions.udf.CIQ($G1070,$I1070,L106,Valuation_Date_GC,ReportType,DataMode,$H1070,FXMode)*Scale-L1039,"--"))</f>
        <v>--</v>
      </c>
      <c r="M1070" s="2301" t="str">
        <f>IF($G1070=0,"--",IFERROR(_xll.ciqfunctions.udf.CIQ($G1070,$I1070,M106,Valuation_Date_GC,ReportType,DataMode,$H1070,FXMode)*Scale-M1039,"--"))</f>
        <v>--</v>
      </c>
      <c r="N1070" s="2301" t="str">
        <f>IF($G1070=0,"--",IFERROR(_xll.ciqfunctions.udf.CIQ($G1070,$I1070,N106,Valuation_Date_GC,ReportType,DataMode,$H1070,FXMode)*Scale-N1039,"--"))</f>
        <v>--</v>
      </c>
      <c r="O1070" s="1471" t="str">
        <f>IF($G1070=0,"--",IFERROR(_xll.ciqfunctions.udf.CIQ($G1070,$I1070,O106,Valuation_Date_GC,ReportType,DataMode,$H1070,FXMode)*Scale-O1039,"--"))</f>
        <v>--</v>
      </c>
      <c r="P1070" s="2301" t="str">
        <f>IF($G1070=0,"--",IFERROR(_xll.ciqfunctions.udf.CIQ($G1070,$I1070,P106,Valuation_Date_GC,ReportType,DataMode,$H1070,FXMode)*Scale-P1039,"--"))</f>
        <v>--</v>
      </c>
      <c r="R1070" s="255"/>
      <c r="AG1070" s="2060"/>
      <c r="AH1070" s="2060"/>
    </row>
    <row r="1071" spans="1:34" s="89" customFormat="1" ht="13.9">
      <c r="A1071" s="269" t="str">
        <f t="shared" si="225"/>
        <v>n</v>
      </c>
      <c r="B1071" s="2060"/>
      <c r="D1071" s="801"/>
      <c r="E1071" s="1505">
        <v>8</v>
      </c>
      <c r="F1071" s="21" t="str">
        <f>F$136</f>
        <v>--</v>
      </c>
      <c r="G1071" s="1441">
        <f>G$136</f>
        <v>0</v>
      </c>
      <c r="H1071" s="1441" t="str">
        <f>H$136</f>
        <v>--</v>
      </c>
      <c r="I1071" s="89" t="s">
        <v>827</v>
      </c>
      <c r="K1071" s="2301" t="str">
        <f>IF($G1071=0,"--",IFERROR(_xll.ciqfunctions.udf.CIQ($G1071,$I1071,K107,Valuation_Date_GC,ReportType,DataMode,$H1071,FXMode)*Scale-K1040,"--"))</f>
        <v>--</v>
      </c>
      <c r="L1071" s="2301" t="str">
        <f>IF($G1071=0,"--",IFERROR(_xll.ciqfunctions.udf.CIQ($G1071,$I1071,L107,Valuation_Date_GC,ReportType,DataMode,$H1071,FXMode)*Scale-L1040,"--"))</f>
        <v>--</v>
      </c>
      <c r="M1071" s="2301" t="str">
        <f>IF($G1071=0,"--",IFERROR(_xll.ciqfunctions.udf.CIQ($G1071,$I1071,M107,Valuation_Date_GC,ReportType,DataMode,$H1071,FXMode)*Scale-M1040,"--"))</f>
        <v>--</v>
      </c>
      <c r="N1071" s="2301" t="str">
        <f>IF($G1071=0,"--",IFERROR(_xll.ciqfunctions.udf.CIQ($G1071,$I1071,N107,Valuation_Date_GC,ReportType,DataMode,$H1071,FXMode)*Scale-N1040,"--"))</f>
        <v>--</v>
      </c>
      <c r="O1071" s="1471" t="str">
        <f>IF($G1071=0,"--",IFERROR(_xll.ciqfunctions.udf.CIQ($G1071,$I1071,O107,Valuation_Date_GC,ReportType,DataMode,$H1071,FXMode)*Scale-O1040,"--"))</f>
        <v>--</v>
      </c>
      <c r="P1071" s="2301" t="str">
        <f>IF($G1071=0,"--",IFERROR(_xll.ciqfunctions.udf.CIQ($G1071,$I1071,P107,Valuation_Date_GC,ReportType,DataMode,$H1071,FXMode)*Scale-P1040,"--"))</f>
        <v>--</v>
      </c>
      <c r="R1071" s="255"/>
      <c r="AG1071" s="2060"/>
      <c r="AH1071" s="2060"/>
    </row>
    <row r="1072" spans="1:34" s="89" customFormat="1" ht="13.9">
      <c r="A1072" s="269" t="str">
        <f t="shared" si="225"/>
        <v>n</v>
      </c>
      <c r="B1072" s="2060"/>
      <c r="D1072" s="801"/>
      <c r="E1072" s="1505">
        <v>9</v>
      </c>
      <c r="F1072" s="21" t="str">
        <f>F$137</f>
        <v>--</v>
      </c>
      <c r="G1072" s="1441">
        <f>G$137</f>
        <v>0</v>
      </c>
      <c r="H1072" s="1441" t="str">
        <f>H$137</f>
        <v>--</v>
      </c>
      <c r="I1072" s="89" t="s">
        <v>827</v>
      </c>
      <c r="K1072" s="2301" t="str">
        <f>IF($G1072=0,"--",IFERROR(_xll.ciqfunctions.udf.CIQ($G1072,$I1072,K108,Valuation_Date_GC,ReportType,DataMode,$H1072,FXMode)*Scale-K1041,"--"))</f>
        <v>--</v>
      </c>
      <c r="L1072" s="2301" t="str">
        <f>IF($G1072=0,"--",IFERROR(_xll.ciqfunctions.udf.CIQ($G1072,$I1072,L108,Valuation_Date_GC,ReportType,DataMode,$H1072,FXMode)*Scale-L1041,"--"))</f>
        <v>--</v>
      </c>
      <c r="M1072" s="2301" t="str">
        <f>IF($G1072=0,"--",IFERROR(_xll.ciqfunctions.udf.CIQ($G1072,$I1072,M108,Valuation_Date_GC,ReportType,DataMode,$H1072,FXMode)*Scale-M1041,"--"))</f>
        <v>--</v>
      </c>
      <c r="N1072" s="2301" t="str">
        <f>IF($G1072=0,"--",IFERROR(_xll.ciqfunctions.udf.CIQ($G1072,$I1072,N108,Valuation_Date_GC,ReportType,DataMode,$H1072,FXMode)*Scale-N1041,"--"))</f>
        <v>--</v>
      </c>
      <c r="O1072" s="1471" t="str">
        <f>IF($G1072=0,"--",IFERROR(_xll.ciqfunctions.udf.CIQ($G1072,$I1072,O108,Valuation_Date_GC,ReportType,DataMode,$H1072,FXMode)*Scale-O1041,"--"))</f>
        <v>--</v>
      </c>
      <c r="P1072" s="2301" t="str">
        <f>IF($G1072=0,"--",IFERROR(_xll.ciqfunctions.udf.CIQ($G1072,$I1072,P108,Valuation_Date_GC,ReportType,DataMode,$H1072,FXMode)*Scale-P1041,"--"))</f>
        <v>--</v>
      </c>
      <c r="R1072" s="255"/>
      <c r="AG1072" s="2060"/>
      <c r="AH1072" s="2060"/>
    </row>
    <row r="1073" spans="1:34" s="89" customFormat="1" ht="13.9">
      <c r="A1073" s="269" t="str">
        <f t="shared" si="225"/>
        <v>n</v>
      </c>
      <c r="B1073" s="2060"/>
      <c r="D1073" s="801"/>
      <c r="E1073" s="1505">
        <v>10</v>
      </c>
      <c r="F1073" s="21" t="str">
        <f>F$138</f>
        <v>--</v>
      </c>
      <c r="G1073" s="1441">
        <f>G$138</f>
        <v>0</v>
      </c>
      <c r="H1073" s="1441" t="str">
        <f>H$138</f>
        <v>--</v>
      </c>
      <c r="I1073" s="89" t="s">
        <v>827</v>
      </c>
      <c r="K1073" s="2301" t="str">
        <f>IF($G1073=0,"--",IFERROR(_xll.ciqfunctions.udf.CIQ($G1073,$I1073,K109,Valuation_Date_GC,ReportType,DataMode,$H1073,FXMode)*Scale-K1042,"--"))</f>
        <v>--</v>
      </c>
      <c r="L1073" s="2301" t="str">
        <f>IF($G1073=0,"--",IFERROR(_xll.ciqfunctions.udf.CIQ($G1073,$I1073,L109,Valuation_Date_GC,ReportType,DataMode,$H1073,FXMode)*Scale-L1042,"--"))</f>
        <v>--</v>
      </c>
      <c r="M1073" s="2301" t="str">
        <f>IF($G1073=0,"--",IFERROR(_xll.ciqfunctions.udf.CIQ($G1073,$I1073,M109,Valuation_Date_GC,ReportType,DataMode,$H1073,FXMode)*Scale-M1042,"--"))</f>
        <v>--</v>
      </c>
      <c r="N1073" s="2301" t="str">
        <f>IF($G1073=0,"--",IFERROR(_xll.ciqfunctions.udf.CIQ($G1073,$I1073,N109,Valuation_Date_GC,ReportType,DataMode,$H1073,FXMode)*Scale-N1042,"--"))</f>
        <v>--</v>
      </c>
      <c r="O1073" s="1471" t="str">
        <f>IF($G1073=0,"--",IFERROR(_xll.ciqfunctions.udf.CIQ($G1073,$I1073,O109,Valuation_Date_GC,ReportType,DataMode,$H1073,FXMode)*Scale-O1042,"--"))</f>
        <v>--</v>
      </c>
      <c r="P1073" s="2301" t="str">
        <f>IF($G1073=0,"--",IFERROR(_xll.ciqfunctions.udf.CIQ($G1073,$I1073,P109,Valuation_Date_GC,ReportType,DataMode,$H1073,FXMode)*Scale-P1042,"--"))</f>
        <v>--</v>
      </c>
      <c r="R1073" s="255"/>
      <c r="AG1073" s="2060"/>
      <c r="AH1073" s="2060"/>
    </row>
    <row r="1074" spans="1:34" s="89" customFormat="1" ht="13.9">
      <c r="A1074" s="269" t="str">
        <f t="shared" si="225"/>
        <v>n</v>
      </c>
      <c r="B1074" s="2060"/>
      <c r="D1074" s="801"/>
      <c r="E1074" s="1505">
        <v>11</v>
      </c>
      <c r="F1074" s="21" t="str">
        <f>F$139</f>
        <v>--</v>
      </c>
      <c r="G1074" s="1441">
        <f>G$139</f>
        <v>0</v>
      </c>
      <c r="H1074" s="1441" t="str">
        <f>H$139</f>
        <v>--</v>
      </c>
      <c r="I1074" s="89" t="s">
        <v>827</v>
      </c>
      <c r="K1074" s="2301" t="str">
        <f>IF($G1074=0,"--",IFERROR(_xll.ciqfunctions.udf.CIQ($G1074,$I1074,K110,Valuation_Date_GC,ReportType,DataMode,$H1074,FXMode)*Scale-K1043,"--"))</f>
        <v>--</v>
      </c>
      <c r="L1074" s="2301" t="str">
        <f>IF($G1074=0,"--",IFERROR(_xll.ciqfunctions.udf.CIQ($G1074,$I1074,L110,Valuation_Date_GC,ReportType,DataMode,$H1074,FXMode)*Scale-L1043,"--"))</f>
        <v>--</v>
      </c>
      <c r="M1074" s="2301" t="str">
        <f>IF($G1074=0,"--",IFERROR(_xll.ciqfunctions.udf.CIQ($G1074,$I1074,M110,Valuation_Date_GC,ReportType,DataMode,$H1074,FXMode)*Scale-M1043,"--"))</f>
        <v>--</v>
      </c>
      <c r="N1074" s="2301" t="str">
        <f>IF($G1074=0,"--",IFERROR(_xll.ciqfunctions.udf.CIQ($G1074,$I1074,N110,Valuation_Date_GC,ReportType,DataMode,$H1074,FXMode)*Scale-N1043,"--"))</f>
        <v>--</v>
      </c>
      <c r="O1074" s="1471" t="str">
        <f>IF($G1074=0,"--",IFERROR(_xll.ciqfunctions.udf.CIQ($G1074,$I1074,O110,Valuation_Date_GC,ReportType,DataMode,$H1074,FXMode)*Scale-O1043,"--"))</f>
        <v>--</v>
      </c>
      <c r="P1074" s="2301" t="str">
        <f>IF($G1074=0,"--",IFERROR(_xll.ciqfunctions.udf.CIQ($G1074,$I1074,P110,Valuation_Date_GC,ReportType,DataMode,$H1074,FXMode)*Scale-P1043,"--"))</f>
        <v>--</v>
      </c>
      <c r="R1074" s="255"/>
      <c r="AG1074" s="2060"/>
      <c r="AH1074" s="2060"/>
    </row>
    <row r="1075" spans="1:34" s="89" customFormat="1" ht="13.9">
      <c r="A1075" s="269" t="str">
        <f t="shared" si="225"/>
        <v>n</v>
      </c>
      <c r="B1075" s="2060"/>
      <c r="D1075" s="801"/>
      <c r="E1075" s="1505">
        <v>12</v>
      </c>
      <c r="F1075" s="21" t="str">
        <f>F$140</f>
        <v>--</v>
      </c>
      <c r="G1075" s="1441">
        <f>G$140</f>
        <v>0</v>
      </c>
      <c r="H1075" s="1441" t="str">
        <f>H$140</f>
        <v>--</v>
      </c>
      <c r="I1075" s="89" t="s">
        <v>827</v>
      </c>
      <c r="K1075" s="2301" t="str">
        <f>IF($G1075=0,"--",IFERROR(_xll.ciqfunctions.udf.CIQ($G1075,$I1075,K111,Valuation_Date_GC,ReportType,DataMode,$H1075,FXMode)*Scale-K1044,"--"))</f>
        <v>--</v>
      </c>
      <c r="L1075" s="2301" t="str">
        <f>IF($G1075=0,"--",IFERROR(_xll.ciqfunctions.udf.CIQ($G1075,$I1075,L111,Valuation_Date_GC,ReportType,DataMode,$H1075,FXMode)*Scale-L1044,"--"))</f>
        <v>--</v>
      </c>
      <c r="M1075" s="2301" t="str">
        <f>IF($G1075=0,"--",IFERROR(_xll.ciqfunctions.udf.CIQ($G1075,$I1075,M111,Valuation_Date_GC,ReportType,DataMode,$H1075,FXMode)*Scale-M1044,"--"))</f>
        <v>--</v>
      </c>
      <c r="N1075" s="2301" t="str">
        <f>IF($G1075=0,"--",IFERROR(_xll.ciqfunctions.udf.CIQ($G1075,$I1075,N111,Valuation_Date_GC,ReportType,DataMode,$H1075,FXMode)*Scale-N1044,"--"))</f>
        <v>--</v>
      </c>
      <c r="O1075" s="1471" t="str">
        <f>IF($G1075=0,"--",IFERROR(_xll.ciqfunctions.udf.CIQ($G1075,$I1075,O111,Valuation_Date_GC,ReportType,DataMode,$H1075,FXMode)*Scale-O1044,"--"))</f>
        <v>--</v>
      </c>
      <c r="P1075" s="2301" t="str">
        <f>IF($G1075=0,"--",IFERROR(_xll.ciqfunctions.udf.CIQ($G1075,$I1075,P111,Valuation_Date_GC,ReportType,DataMode,$H1075,FXMode)*Scale-P1044,"--"))</f>
        <v>--</v>
      </c>
      <c r="R1075" s="255"/>
      <c r="AG1075" s="2060"/>
      <c r="AH1075" s="2060"/>
    </row>
    <row r="1076" spans="1:34" s="89" customFormat="1" ht="13.9">
      <c r="A1076" s="269" t="str">
        <f t="shared" si="225"/>
        <v>n</v>
      </c>
      <c r="B1076" s="2060"/>
      <c r="D1076" s="801"/>
      <c r="E1076" s="1505">
        <v>13</v>
      </c>
      <c r="F1076" s="21" t="str">
        <f>F$141</f>
        <v>--</v>
      </c>
      <c r="G1076" s="1441">
        <f>G$141</f>
        <v>0</v>
      </c>
      <c r="H1076" s="1441" t="str">
        <f>H$141</f>
        <v>--</v>
      </c>
      <c r="I1076" s="89" t="s">
        <v>827</v>
      </c>
      <c r="K1076" s="2301" t="str">
        <f>IF($G1076=0,"--",IFERROR(_xll.ciqfunctions.udf.CIQ($G1076,$I1076,K112,Valuation_Date_GC,ReportType,DataMode,$H1076,FXMode)*Scale-K1045,"--"))</f>
        <v>--</v>
      </c>
      <c r="L1076" s="2301" t="str">
        <f>IF($G1076=0,"--",IFERROR(_xll.ciqfunctions.udf.CIQ($G1076,$I1076,L112,Valuation_Date_GC,ReportType,DataMode,$H1076,FXMode)*Scale-L1045,"--"))</f>
        <v>--</v>
      </c>
      <c r="M1076" s="2301" t="str">
        <f>IF($G1076=0,"--",IFERROR(_xll.ciqfunctions.udf.CIQ($G1076,$I1076,M112,Valuation_Date_GC,ReportType,DataMode,$H1076,FXMode)*Scale-M1045,"--"))</f>
        <v>--</v>
      </c>
      <c r="N1076" s="2301" t="str">
        <f>IF($G1076=0,"--",IFERROR(_xll.ciqfunctions.udf.CIQ($G1076,$I1076,N112,Valuation_Date_GC,ReportType,DataMode,$H1076,FXMode)*Scale-N1045,"--"))</f>
        <v>--</v>
      </c>
      <c r="O1076" s="1471" t="str">
        <f>IF($G1076=0,"--",IFERROR(_xll.ciqfunctions.udf.CIQ($G1076,$I1076,O112,Valuation_Date_GC,ReportType,DataMode,$H1076,FXMode)*Scale-O1045,"--"))</f>
        <v>--</v>
      </c>
      <c r="P1076" s="2301" t="str">
        <f>IF($G1076=0,"--",IFERROR(_xll.ciqfunctions.udf.CIQ($G1076,$I1076,P112,Valuation_Date_GC,ReportType,DataMode,$H1076,FXMode)*Scale-P1045,"--"))</f>
        <v>--</v>
      </c>
      <c r="R1076" s="255"/>
      <c r="AG1076" s="2060"/>
      <c r="AH1076" s="2060"/>
    </row>
    <row r="1077" spans="1:34" s="89" customFormat="1" ht="13.9">
      <c r="A1077" s="269" t="str">
        <f t="shared" si="225"/>
        <v>n</v>
      </c>
      <c r="B1077" s="2060"/>
      <c r="D1077" s="801"/>
      <c r="E1077" s="1505">
        <v>14</v>
      </c>
      <c r="F1077" s="21" t="str">
        <f>F$142</f>
        <v>--</v>
      </c>
      <c r="G1077" s="1441">
        <f>G$142</f>
        <v>0</v>
      </c>
      <c r="H1077" s="1441" t="str">
        <f>H$142</f>
        <v>--</v>
      </c>
      <c r="I1077" s="89" t="s">
        <v>827</v>
      </c>
      <c r="K1077" s="2301" t="str">
        <f>IF($G1077=0,"--",IFERROR(_xll.ciqfunctions.udf.CIQ($G1077,$I1077,K113,Valuation_Date_GC,ReportType,DataMode,$H1077,FXMode)*Scale-K1046,"--"))</f>
        <v>--</v>
      </c>
      <c r="L1077" s="2301" t="str">
        <f>IF($G1077=0,"--",IFERROR(_xll.ciqfunctions.udf.CIQ($G1077,$I1077,L113,Valuation_Date_GC,ReportType,DataMode,$H1077,FXMode)*Scale-L1046,"--"))</f>
        <v>--</v>
      </c>
      <c r="M1077" s="2301" t="str">
        <f>IF($G1077=0,"--",IFERROR(_xll.ciqfunctions.udf.CIQ($G1077,$I1077,M113,Valuation_Date_GC,ReportType,DataMode,$H1077,FXMode)*Scale-M1046,"--"))</f>
        <v>--</v>
      </c>
      <c r="N1077" s="2301" t="str">
        <f>IF($G1077=0,"--",IFERROR(_xll.ciqfunctions.udf.CIQ($G1077,$I1077,N113,Valuation_Date_GC,ReportType,DataMode,$H1077,FXMode)*Scale-N1046,"--"))</f>
        <v>--</v>
      </c>
      <c r="O1077" s="1471" t="str">
        <f>IF($G1077=0,"--",IFERROR(_xll.ciqfunctions.udf.CIQ($G1077,$I1077,O113,Valuation_Date_GC,ReportType,DataMode,$H1077,FXMode)*Scale-O1046,"--"))</f>
        <v>--</v>
      </c>
      <c r="P1077" s="2301" t="str">
        <f>IF($G1077=0,"--",IFERROR(_xll.ciqfunctions.udf.CIQ($G1077,$I1077,P113,Valuation_Date_GC,ReportType,DataMode,$H1077,FXMode)*Scale-P1046,"--"))</f>
        <v>--</v>
      </c>
      <c r="R1077" s="255"/>
      <c r="AG1077" s="2060"/>
      <c r="AH1077" s="2060"/>
    </row>
    <row r="1078" spans="1:34" s="89" customFormat="1" ht="13.9">
      <c r="A1078" s="269" t="str">
        <f t="shared" si="225"/>
        <v>n</v>
      </c>
      <c r="B1078" s="2060"/>
      <c r="D1078" s="801"/>
      <c r="E1078" s="1505">
        <v>15</v>
      </c>
      <c r="F1078" s="21" t="str">
        <f>F$143</f>
        <v>--</v>
      </c>
      <c r="G1078" s="1441">
        <f>G$143</f>
        <v>0</v>
      </c>
      <c r="H1078" s="1441" t="str">
        <f>H$143</f>
        <v>--</v>
      </c>
      <c r="I1078" s="89" t="s">
        <v>827</v>
      </c>
      <c r="K1078" s="2301" t="str">
        <f>IF($G1078=0,"--",IFERROR(_xll.ciqfunctions.udf.CIQ($G1078,$I1078,K114,Valuation_Date_GC,ReportType,DataMode,$H1078,FXMode)*Scale-K1047,"--"))</f>
        <v>--</v>
      </c>
      <c r="L1078" s="2301" t="str">
        <f>IF($G1078=0,"--",IFERROR(_xll.ciqfunctions.udf.CIQ($G1078,$I1078,L114,Valuation_Date_GC,ReportType,DataMode,$H1078,FXMode)*Scale-L1047,"--"))</f>
        <v>--</v>
      </c>
      <c r="M1078" s="2301" t="str">
        <f>IF($G1078=0,"--",IFERROR(_xll.ciqfunctions.udf.CIQ($G1078,$I1078,M114,Valuation_Date_GC,ReportType,DataMode,$H1078,FXMode)*Scale-M1047,"--"))</f>
        <v>--</v>
      </c>
      <c r="N1078" s="2301" t="str">
        <f>IF($G1078=0,"--",IFERROR(_xll.ciqfunctions.udf.CIQ($G1078,$I1078,N114,Valuation_Date_GC,ReportType,DataMode,$H1078,FXMode)*Scale-N1047,"--"))</f>
        <v>--</v>
      </c>
      <c r="O1078" s="1471" t="str">
        <f>IF($G1078=0,"--",IFERROR(_xll.ciqfunctions.udf.CIQ($G1078,$I1078,O114,Valuation_Date_GC,ReportType,DataMode,$H1078,FXMode)*Scale-O1047,"--"))</f>
        <v>--</v>
      </c>
      <c r="P1078" s="2301" t="str">
        <f>IF($G1078=0,"--",IFERROR(_xll.ciqfunctions.udf.CIQ($G1078,$I1078,P114,Valuation_Date_GC,ReportType,DataMode,$H1078,FXMode)*Scale-P1047,"--"))</f>
        <v>--</v>
      </c>
      <c r="R1078" s="255"/>
      <c r="AG1078" s="2060"/>
      <c r="AH1078" s="2060"/>
    </row>
    <row r="1079" spans="1:34" s="89" customFormat="1" ht="13.9">
      <c r="A1079" s="269" t="str">
        <f t="shared" si="225"/>
        <v>n</v>
      </c>
      <c r="B1079" s="2060"/>
      <c r="D1079" s="801"/>
      <c r="E1079" s="1505">
        <v>16</v>
      </c>
      <c r="F1079" s="21" t="str">
        <f>F$144</f>
        <v>--</v>
      </c>
      <c r="G1079" s="1441">
        <f>G$144</f>
        <v>0</v>
      </c>
      <c r="H1079" s="1441" t="str">
        <f>H$144</f>
        <v>--</v>
      </c>
      <c r="I1079" s="89" t="s">
        <v>827</v>
      </c>
      <c r="K1079" s="2301" t="str">
        <f>IF($G1079=0,"--",IFERROR(_xll.ciqfunctions.udf.CIQ($G1079,$I1079,K115,Valuation_Date_GC,ReportType,DataMode,$H1079,FXMode)*Scale-K1048,"--"))</f>
        <v>--</v>
      </c>
      <c r="L1079" s="2301" t="str">
        <f>IF($G1079=0,"--",IFERROR(_xll.ciqfunctions.udf.CIQ($G1079,$I1079,L115,Valuation_Date_GC,ReportType,DataMode,$H1079,FXMode)*Scale-L1048,"--"))</f>
        <v>--</v>
      </c>
      <c r="M1079" s="2301" t="str">
        <f>IF($G1079=0,"--",IFERROR(_xll.ciqfunctions.udf.CIQ($G1079,$I1079,M115,Valuation_Date_GC,ReportType,DataMode,$H1079,FXMode)*Scale-M1048,"--"))</f>
        <v>--</v>
      </c>
      <c r="N1079" s="2301" t="str">
        <f>IF($G1079=0,"--",IFERROR(_xll.ciqfunctions.udf.CIQ($G1079,$I1079,N115,Valuation_Date_GC,ReportType,DataMode,$H1079,FXMode)*Scale-N1048,"--"))</f>
        <v>--</v>
      </c>
      <c r="O1079" s="1471" t="str">
        <f>IF($G1079=0,"--",IFERROR(_xll.ciqfunctions.udf.CIQ($G1079,$I1079,O115,Valuation_Date_GC,ReportType,DataMode,$H1079,FXMode)*Scale-O1048,"--"))</f>
        <v>--</v>
      </c>
      <c r="P1079" s="2301" t="str">
        <f>IF($G1079=0,"--",IFERROR(_xll.ciqfunctions.udf.CIQ($G1079,$I1079,P115,Valuation_Date_GC,ReportType,DataMode,$H1079,FXMode)*Scale-P1048,"--"))</f>
        <v>--</v>
      </c>
      <c r="R1079" s="255"/>
      <c r="AG1079" s="2060"/>
      <c r="AH1079" s="2060"/>
    </row>
    <row r="1080" spans="1:34" s="89" customFormat="1" ht="13.9">
      <c r="A1080" s="269" t="str">
        <f t="shared" si="225"/>
        <v>n</v>
      </c>
      <c r="B1080" s="2060"/>
      <c r="D1080" s="801"/>
      <c r="E1080" s="1505">
        <v>17</v>
      </c>
      <c r="F1080" s="21" t="str">
        <f>F$145</f>
        <v>--</v>
      </c>
      <c r="G1080" s="1441">
        <f>G$145</f>
        <v>0</v>
      </c>
      <c r="H1080" s="1441" t="str">
        <f>H$145</f>
        <v>--</v>
      </c>
      <c r="I1080" s="89" t="s">
        <v>827</v>
      </c>
      <c r="K1080" s="2301" t="str">
        <f>IF($G1080=0,"--",IFERROR(_xll.ciqfunctions.udf.CIQ($G1080,$I1080,K116,Valuation_Date_GC,ReportType,DataMode,$H1080,FXMode)*Scale-K1049,"--"))</f>
        <v>--</v>
      </c>
      <c r="L1080" s="2301" t="str">
        <f>IF($G1080=0,"--",IFERROR(_xll.ciqfunctions.udf.CIQ($G1080,$I1080,L116,Valuation_Date_GC,ReportType,DataMode,$H1080,FXMode)*Scale-L1049,"--"))</f>
        <v>--</v>
      </c>
      <c r="M1080" s="2301" t="str">
        <f>IF($G1080=0,"--",IFERROR(_xll.ciqfunctions.udf.CIQ($G1080,$I1080,M116,Valuation_Date_GC,ReportType,DataMode,$H1080,FXMode)*Scale-M1049,"--"))</f>
        <v>--</v>
      </c>
      <c r="N1080" s="2301" t="str">
        <f>IF($G1080=0,"--",IFERROR(_xll.ciqfunctions.udf.CIQ($G1080,$I1080,N116,Valuation_Date_GC,ReportType,DataMode,$H1080,FXMode)*Scale-N1049,"--"))</f>
        <v>--</v>
      </c>
      <c r="O1080" s="1471" t="str">
        <f>IF($G1080=0,"--",IFERROR(_xll.ciqfunctions.udf.CIQ($G1080,$I1080,O116,Valuation_Date_GC,ReportType,DataMode,$H1080,FXMode)*Scale-O1049,"--"))</f>
        <v>--</v>
      </c>
      <c r="P1080" s="2301" t="str">
        <f>IF($G1080=0,"--",IFERROR(_xll.ciqfunctions.udf.CIQ($G1080,$I1080,P116,Valuation_Date_GC,ReportType,DataMode,$H1080,FXMode)*Scale-P1049,"--"))</f>
        <v>--</v>
      </c>
      <c r="R1080" s="255"/>
      <c r="AG1080" s="2060"/>
      <c r="AH1080" s="2060"/>
    </row>
    <row r="1081" spans="1:34" s="89" customFormat="1" ht="13.9">
      <c r="A1081" s="269" t="str">
        <f t="shared" si="225"/>
        <v>n</v>
      </c>
      <c r="B1081" s="2060"/>
      <c r="D1081" s="801"/>
      <c r="E1081" s="1505">
        <v>18</v>
      </c>
      <c r="F1081" s="21" t="str">
        <f>F$146</f>
        <v>--</v>
      </c>
      <c r="G1081" s="1441">
        <f>G$146</f>
        <v>0</v>
      </c>
      <c r="H1081" s="1441" t="str">
        <f>H$146</f>
        <v>--</v>
      </c>
      <c r="I1081" s="89" t="s">
        <v>827</v>
      </c>
      <c r="K1081" s="2301" t="str">
        <f>IF($G1081=0,"--",IFERROR(_xll.ciqfunctions.udf.CIQ($G1081,$I1081,K117,Valuation_Date_GC,ReportType,DataMode,$H1081,FXMode)*Scale-K1050,"--"))</f>
        <v>--</v>
      </c>
      <c r="L1081" s="2301" t="str">
        <f>IF($G1081=0,"--",IFERROR(_xll.ciqfunctions.udf.CIQ($G1081,$I1081,L117,Valuation_Date_GC,ReportType,DataMode,$H1081,FXMode)*Scale-L1050,"--"))</f>
        <v>--</v>
      </c>
      <c r="M1081" s="2301" t="str">
        <f>IF($G1081=0,"--",IFERROR(_xll.ciqfunctions.udf.CIQ($G1081,$I1081,M117,Valuation_Date_GC,ReportType,DataMode,$H1081,FXMode)*Scale-M1050,"--"))</f>
        <v>--</v>
      </c>
      <c r="N1081" s="2301" t="str">
        <f>IF($G1081=0,"--",IFERROR(_xll.ciqfunctions.udf.CIQ($G1081,$I1081,N117,Valuation_Date_GC,ReportType,DataMode,$H1081,FXMode)*Scale-N1050,"--"))</f>
        <v>--</v>
      </c>
      <c r="O1081" s="1471" t="str">
        <f>IF($G1081=0,"--",IFERROR(_xll.ciqfunctions.udf.CIQ($G1081,$I1081,O117,Valuation_Date_GC,ReportType,DataMode,$H1081,FXMode)*Scale-O1050,"--"))</f>
        <v>--</v>
      </c>
      <c r="P1081" s="2301" t="str">
        <f>IF($G1081=0,"--",IFERROR(_xll.ciqfunctions.udf.CIQ($G1081,$I1081,P117,Valuation_Date_GC,ReportType,DataMode,$H1081,FXMode)*Scale-P1050,"--"))</f>
        <v>--</v>
      </c>
      <c r="R1081" s="255"/>
      <c r="AG1081" s="2060"/>
      <c r="AH1081" s="2060"/>
    </row>
    <row r="1082" spans="1:34" s="89" customFormat="1" ht="13.9">
      <c r="A1082" s="269" t="str">
        <f t="shared" si="225"/>
        <v>n</v>
      </c>
      <c r="B1082" s="2060"/>
      <c r="D1082" s="801"/>
      <c r="E1082" s="1505">
        <v>19</v>
      </c>
      <c r="F1082" s="21" t="str">
        <f>F$147</f>
        <v>--</v>
      </c>
      <c r="G1082" s="1441">
        <f>G$147</f>
        <v>0</v>
      </c>
      <c r="H1082" s="1441" t="str">
        <f>H$147</f>
        <v>--</v>
      </c>
      <c r="I1082" s="89" t="s">
        <v>827</v>
      </c>
      <c r="K1082" s="2301" t="str">
        <f>IF($G1082=0,"--",IFERROR(_xll.ciqfunctions.udf.CIQ($G1082,$I1082,K118,Valuation_Date_GC,ReportType,DataMode,$H1082,FXMode)*Scale-K1051,"--"))</f>
        <v>--</v>
      </c>
      <c r="L1082" s="2301" t="str">
        <f>IF($G1082=0,"--",IFERROR(_xll.ciqfunctions.udf.CIQ($G1082,$I1082,L118,Valuation_Date_GC,ReportType,DataMode,$H1082,FXMode)*Scale-L1051,"--"))</f>
        <v>--</v>
      </c>
      <c r="M1082" s="2301" t="str">
        <f>IF($G1082=0,"--",IFERROR(_xll.ciqfunctions.udf.CIQ($G1082,$I1082,M118,Valuation_Date_GC,ReportType,DataMode,$H1082,FXMode)*Scale-M1051,"--"))</f>
        <v>--</v>
      </c>
      <c r="N1082" s="2301" t="str">
        <f>IF($G1082=0,"--",IFERROR(_xll.ciqfunctions.udf.CIQ($G1082,$I1082,N118,Valuation_Date_GC,ReportType,DataMode,$H1082,FXMode)*Scale-N1051,"--"))</f>
        <v>--</v>
      </c>
      <c r="O1082" s="1471" t="str">
        <f>IF($G1082=0,"--",IFERROR(_xll.ciqfunctions.udf.CIQ($G1082,$I1082,O118,Valuation_Date_GC,ReportType,DataMode,$H1082,FXMode)*Scale-O1051,"--"))</f>
        <v>--</v>
      </c>
      <c r="P1082" s="2301" t="str">
        <f>IF($G1082=0,"--",IFERROR(_xll.ciqfunctions.udf.CIQ($G1082,$I1082,P118,Valuation_Date_GC,ReportType,DataMode,$H1082,FXMode)*Scale-P1051,"--"))</f>
        <v>--</v>
      </c>
      <c r="R1082" s="255"/>
      <c r="AG1082" s="2060"/>
      <c r="AH1082" s="2060"/>
    </row>
    <row r="1083" spans="1:34" s="89" customFormat="1" ht="13.9">
      <c r="A1083" s="269" t="str">
        <f t="shared" si="225"/>
        <v>n</v>
      </c>
      <c r="B1083" s="2060"/>
      <c r="D1083" s="801"/>
      <c r="E1083" s="1505">
        <v>20</v>
      </c>
      <c r="F1083" s="21" t="str">
        <f>F$148</f>
        <v>--</v>
      </c>
      <c r="G1083" s="1441">
        <f>G$148</f>
        <v>0</v>
      </c>
      <c r="H1083" s="1441" t="str">
        <f>H$148</f>
        <v>--</v>
      </c>
      <c r="I1083" s="89" t="s">
        <v>827</v>
      </c>
      <c r="K1083" s="2301" t="str">
        <f>IF($G1083=0,"--",IFERROR(_xll.ciqfunctions.udf.CIQ($G1083,$I1083,K119,Valuation_Date_GC,ReportType,DataMode,$H1083,FXMode)*Scale-K1052,"--"))</f>
        <v>--</v>
      </c>
      <c r="L1083" s="2301" t="str">
        <f>IF($G1083=0,"--",IFERROR(_xll.ciqfunctions.udf.CIQ($G1083,$I1083,L119,Valuation_Date_GC,ReportType,DataMode,$H1083,FXMode)*Scale-L1052,"--"))</f>
        <v>--</v>
      </c>
      <c r="M1083" s="2301" t="str">
        <f>IF($G1083=0,"--",IFERROR(_xll.ciqfunctions.udf.CIQ($G1083,$I1083,M119,Valuation_Date_GC,ReportType,DataMode,$H1083,FXMode)*Scale-M1052,"--"))</f>
        <v>--</v>
      </c>
      <c r="N1083" s="2301" t="str">
        <f>IF($G1083=0,"--",IFERROR(_xll.ciqfunctions.udf.CIQ($G1083,$I1083,N119,Valuation_Date_GC,ReportType,DataMode,$H1083,FXMode)*Scale-N1052,"--"))</f>
        <v>--</v>
      </c>
      <c r="O1083" s="1471" t="str">
        <f>IF($G1083=0,"--",IFERROR(_xll.ciqfunctions.udf.CIQ($G1083,$I1083,O119,Valuation_Date_GC,ReportType,DataMode,$H1083,FXMode)*Scale-O1052,"--"))</f>
        <v>--</v>
      </c>
      <c r="P1083" s="2301" t="str">
        <f>IF($G1083=0,"--",IFERROR(_xll.ciqfunctions.udf.CIQ($G1083,$I1083,P119,Valuation_Date_GC,ReportType,DataMode,$H1083,FXMode)*Scale-P1052,"--"))</f>
        <v>--</v>
      </c>
      <c r="R1083" s="255"/>
      <c r="AG1083" s="2060"/>
      <c r="AH1083" s="2060"/>
    </row>
    <row r="1084" spans="1:34" s="89" customFormat="1" ht="13.9">
      <c r="A1084" s="269" t="str">
        <f t="shared" si="225"/>
        <v>n</v>
      </c>
      <c r="B1084" s="2060"/>
      <c r="D1084" s="801"/>
      <c r="E1084" s="1505">
        <v>21</v>
      </c>
      <c r="F1084" s="21" t="str">
        <f>F$149</f>
        <v>--</v>
      </c>
      <c r="G1084" s="1441">
        <f>G$149</f>
        <v>0</v>
      </c>
      <c r="H1084" s="1441" t="str">
        <f>H$149</f>
        <v>--</v>
      </c>
      <c r="I1084" s="89" t="s">
        <v>827</v>
      </c>
      <c r="K1084" s="2301" t="str">
        <f>IF($G1084=0,"--",IFERROR(_xll.ciqfunctions.udf.CIQ($G1084,$I1084,K120,Valuation_Date_GC,ReportType,DataMode,$H1084,FXMode)*Scale-K1053,"--"))</f>
        <v>--</v>
      </c>
      <c r="L1084" s="2301" t="str">
        <f>IF($G1084=0,"--",IFERROR(_xll.ciqfunctions.udf.CIQ($G1084,$I1084,L120,Valuation_Date_GC,ReportType,DataMode,$H1084,FXMode)*Scale-L1053,"--"))</f>
        <v>--</v>
      </c>
      <c r="M1084" s="2301" t="str">
        <f>IF($G1084=0,"--",IFERROR(_xll.ciqfunctions.udf.CIQ($G1084,$I1084,M120,Valuation_Date_GC,ReportType,DataMode,$H1084,FXMode)*Scale-M1053,"--"))</f>
        <v>--</v>
      </c>
      <c r="N1084" s="2301" t="str">
        <f>IF($G1084=0,"--",IFERROR(_xll.ciqfunctions.udf.CIQ($G1084,$I1084,N120,Valuation_Date_GC,ReportType,DataMode,$H1084,FXMode)*Scale-N1053,"--"))</f>
        <v>--</v>
      </c>
      <c r="O1084" s="1471" t="str">
        <f>IF($G1084=0,"--",IFERROR(_xll.ciqfunctions.udf.CIQ($G1084,$I1084,O120,Valuation_Date_GC,ReportType,DataMode,$H1084,FXMode)*Scale-O1053,"--"))</f>
        <v>--</v>
      </c>
      <c r="P1084" s="2301" t="str">
        <f>IF($G1084=0,"--",IFERROR(_xll.ciqfunctions.udf.CIQ($G1084,$I1084,P120,Valuation_Date_GC,ReportType,DataMode,$H1084,FXMode)*Scale-P1053,"--"))</f>
        <v>--</v>
      </c>
      <c r="R1084" s="255"/>
      <c r="AG1084" s="2060"/>
      <c r="AH1084" s="2060"/>
    </row>
    <row r="1085" spans="1:34" s="89" customFormat="1" ht="13.9">
      <c r="A1085" s="269" t="str">
        <f t="shared" si="225"/>
        <v>n</v>
      </c>
      <c r="B1085" s="2060"/>
      <c r="D1085" s="801"/>
      <c r="E1085" s="1505">
        <v>22</v>
      </c>
      <c r="F1085" s="21" t="str">
        <f>F$150</f>
        <v>--</v>
      </c>
      <c r="G1085" s="1441">
        <f>G$150</f>
        <v>0</v>
      </c>
      <c r="H1085" s="1441" t="str">
        <f>H$150</f>
        <v>--</v>
      </c>
      <c r="I1085" s="89" t="s">
        <v>827</v>
      </c>
      <c r="K1085" s="2301" t="str">
        <f>IF($G1085=0,"--",IFERROR(_xll.ciqfunctions.udf.CIQ($G1085,$I1085,K121,Valuation_Date_GC,ReportType,DataMode,$H1085,FXMode)*Scale-K1054,"--"))</f>
        <v>--</v>
      </c>
      <c r="L1085" s="2301" t="str">
        <f>IF($G1085=0,"--",IFERROR(_xll.ciqfunctions.udf.CIQ($G1085,$I1085,L121,Valuation_Date_GC,ReportType,DataMode,$H1085,FXMode)*Scale-L1054,"--"))</f>
        <v>--</v>
      </c>
      <c r="M1085" s="2301" t="str">
        <f>IF($G1085=0,"--",IFERROR(_xll.ciqfunctions.udf.CIQ($G1085,$I1085,M121,Valuation_Date_GC,ReportType,DataMode,$H1085,FXMode)*Scale-M1054,"--"))</f>
        <v>--</v>
      </c>
      <c r="N1085" s="2301" t="str">
        <f>IF($G1085=0,"--",IFERROR(_xll.ciqfunctions.udf.CIQ($G1085,$I1085,N121,Valuation_Date_GC,ReportType,DataMode,$H1085,FXMode)*Scale-N1054,"--"))</f>
        <v>--</v>
      </c>
      <c r="O1085" s="1471" t="str">
        <f>IF($G1085=0,"--",IFERROR(_xll.ciqfunctions.udf.CIQ($G1085,$I1085,O121,Valuation_Date_GC,ReportType,DataMode,$H1085,FXMode)*Scale-O1054,"--"))</f>
        <v>--</v>
      </c>
      <c r="P1085" s="2301" t="str">
        <f>IF($G1085=0,"--",IFERROR(_xll.ciqfunctions.udf.CIQ($G1085,$I1085,P121,Valuation_Date_GC,ReportType,DataMode,$H1085,FXMode)*Scale-P1054,"--"))</f>
        <v>--</v>
      </c>
      <c r="R1085" s="255"/>
      <c r="AG1085" s="2060"/>
      <c r="AH1085" s="2060"/>
    </row>
    <row r="1086" spans="1:34" s="89" customFormat="1" ht="13.9">
      <c r="A1086" s="269" t="str">
        <f t="shared" si="225"/>
        <v>n</v>
      </c>
      <c r="B1086" s="2060"/>
      <c r="D1086" s="801"/>
      <c r="E1086" s="1505">
        <v>23</v>
      </c>
      <c r="F1086" s="21" t="str">
        <f>F$151</f>
        <v>--</v>
      </c>
      <c r="G1086" s="1441">
        <f>G$151</f>
        <v>0</v>
      </c>
      <c r="H1086" s="1441" t="str">
        <f>H$151</f>
        <v>--</v>
      </c>
      <c r="I1086" s="89" t="s">
        <v>827</v>
      </c>
      <c r="K1086" s="2301" t="str">
        <f>IF($G1086=0,"--",IFERROR(_xll.ciqfunctions.udf.CIQ($G1086,$I1086,K122,Valuation_Date_GC,ReportType,DataMode,$H1086,FXMode)*Scale-K1055,"--"))</f>
        <v>--</v>
      </c>
      <c r="L1086" s="2301" t="str">
        <f>IF($G1086=0,"--",IFERROR(_xll.ciqfunctions.udf.CIQ($G1086,$I1086,L122,Valuation_Date_GC,ReportType,DataMode,$H1086,FXMode)*Scale-L1055,"--"))</f>
        <v>--</v>
      </c>
      <c r="M1086" s="2301" t="str">
        <f>IF($G1086=0,"--",IFERROR(_xll.ciqfunctions.udf.CIQ($G1086,$I1086,M122,Valuation_Date_GC,ReportType,DataMode,$H1086,FXMode)*Scale-M1055,"--"))</f>
        <v>--</v>
      </c>
      <c r="N1086" s="2301" t="str">
        <f>IF($G1086=0,"--",IFERROR(_xll.ciqfunctions.udf.CIQ($G1086,$I1086,N122,Valuation_Date_GC,ReportType,DataMode,$H1086,FXMode)*Scale-N1055,"--"))</f>
        <v>--</v>
      </c>
      <c r="O1086" s="1471" t="str">
        <f>IF($G1086=0,"--",IFERROR(_xll.ciqfunctions.udf.CIQ($G1086,$I1086,O122,Valuation_Date_GC,ReportType,DataMode,$H1086,FXMode)*Scale-O1055,"--"))</f>
        <v>--</v>
      </c>
      <c r="P1086" s="2301" t="str">
        <f>IF($G1086=0,"--",IFERROR(_xll.ciqfunctions.udf.CIQ($G1086,$I1086,P122,Valuation_Date_GC,ReportType,DataMode,$H1086,FXMode)*Scale-P1055,"--"))</f>
        <v>--</v>
      </c>
      <c r="R1086" s="255"/>
      <c r="AG1086" s="2060"/>
      <c r="AH1086" s="2060"/>
    </row>
    <row r="1087" spans="1:34" s="89" customFormat="1" ht="13.9">
      <c r="A1087" s="269" t="str">
        <f t="shared" si="225"/>
        <v>n</v>
      </c>
      <c r="B1087" s="2060"/>
      <c r="D1087" s="801"/>
      <c r="E1087" s="1505">
        <v>24</v>
      </c>
      <c r="F1087" s="21" t="str">
        <f>F$152</f>
        <v>--</v>
      </c>
      <c r="G1087" s="1441">
        <f>G$152</f>
        <v>0</v>
      </c>
      <c r="H1087" s="1441" t="str">
        <f>H$152</f>
        <v>--</v>
      </c>
      <c r="I1087" s="89" t="s">
        <v>827</v>
      </c>
      <c r="K1087" s="2301" t="str">
        <f>IF($G1087=0,"--",IFERROR(_xll.ciqfunctions.udf.CIQ($G1087,$I1087,K123,Valuation_Date_GC,ReportType,DataMode,$H1087,FXMode)*Scale-K1056,"--"))</f>
        <v>--</v>
      </c>
      <c r="L1087" s="2301" t="str">
        <f>IF($G1087=0,"--",IFERROR(_xll.ciqfunctions.udf.CIQ($G1087,$I1087,L123,Valuation_Date_GC,ReportType,DataMode,$H1087,FXMode)*Scale-L1056,"--"))</f>
        <v>--</v>
      </c>
      <c r="M1087" s="2301" t="str">
        <f>IF($G1087=0,"--",IFERROR(_xll.ciqfunctions.udf.CIQ($G1087,$I1087,M123,Valuation_Date_GC,ReportType,DataMode,$H1087,FXMode)*Scale-M1056,"--"))</f>
        <v>--</v>
      </c>
      <c r="N1087" s="2301" t="str">
        <f>IF($G1087=0,"--",IFERROR(_xll.ciqfunctions.udf.CIQ($G1087,$I1087,N123,Valuation_Date_GC,ReportType,DataMode,$H1087,FXMode)*Scale-N1056,"--"))</f>
        <v>--</v>
      </c>
      <c r="O1087" s="1471" t="str">
        <f>IF($G1087=0,"--",IFERROR(_xll.ciqfunctions.udf.CIQ($G1087,$I1087,O123,Valuation_Date_GC,ReportType,DataMode,$H1087,FXMode)*Scale-O1056,"--"))</f>
        <v>--</v>
      </c>
      <c r="P1087" s="2301" t="str">
        <f>IF($G1087=0,"--",IFERROR(_xll.ciqfunctions.udf.CIQ($G1087,$I1087,P123,Valuation_Date_GC,ReportType,DataMode,$H1087,FXMode)*Scale-P1056,"--"))</f>
        <v>--</v>
      </c>
      <c r="R1087" s="255"/>
      <c r="AG1087" s="2060"/>
      <c r="AH1087" s="2060"/>
    </row>
    <row r="1088" spans="1:34" s="89" customFormat="1" ht="13.9">
      <c r="A1088" s="269" t="str">
        <f t="shared" si="225"/>
        <v>n</v>
      </c>
      <c r="B1088" s="2060"/>
      <c r="D1088" s="801"/>
      <c r="E1088" s="1505">
        <v>25</v>
      </c>
      <c r="F1088" s="21" t="str">
        <f>F$153</f>
        <v>--</v>
      </c>
      <c r="G1088" s="1441">
        <f>G$153</f>
        <v>0</v>
      </c>
      <c r="H1088" s="1441" t="str">
        <f>H$153</f>
        <v>--</v>
      </c>
      <c r="I1088" s="89" t="s">
        <v>827</v>
      </c>
      <c r="K1088" s="2301" t="str">
        <f>IF($G1088=0,"--",IFERROR(_xll.ciqfunctions.udf.CIQ($G1088,$I1088,K124,Valuation_Date_GC,ReportType,DataMode,$H1088,FXMode)*Scale-K1057,"--"))</f>
        <v>--</v>
      </c>
      <c r="L1088" s="2301" t="str">
        <f>IF($G1088=0,"--",IFERROR(_xll.ciqfunctions.udf.CIQ($G1088,$I1088,L124,Valuation_Date_GC,ReportType,DataMode,$H1088,FXMode)*Scale-L1057,"--"))</f>
        <v>--</v>
      </c>
      <c r="M1088" s="2301" t="str">
        <f>IF($G1088=0,"--",IFERROR(_xll.ciqfunctions.udf.CIQ($G1088,$I1088,M124,Valuation_Date_GC,ReportType,DataMode,$H1088,FXMode)*Scale-M1057,"--"))</f>
        <v>--</v>
      </c>
      <c r="N1088" s="2301" t="str">
        <f>IF($G1088=0,"--",IFERROR(_xll.ciqfunctions.udf.CIQ($G1088,$I1088,N124,Valuation_Date_GC,ReportType,DataMode,$H1088,FXMode)*Scale-N1057,"--"))</f>
        <v>--</v>
      </c>
      <c r="O1088" s="1471" t="str">
        <f>IF($G1088=0,"--",IFERROR(_xll.ciqfunctions.udf.CIQ($G1088,$I1088,O124,Valuation_Date_GC,ReportType,DataMode,$H1088,FXMode)*Scale-O1057,"--"))</f>
        <v>--</v>
      </c>
      <c r="P1088" s="2301" t="str">
        <f>IF($G1088=0,"--",IFERROR(_xll.ciqfunctions.udf.CIQ($G1088,$I1088,P124,Valuation_Date_GC,ReportType,DataMode,$H1088,FXMode)*Scale-P1057,"--"))</f>
        <v>--</v>
      </c>
      <c r="R1088" s="255"/>
      <c r="AG1088" s="2060"/>
      <c r="AH1088" s="2060"/>
    </row>
    <row r="1089" spans="1:34" s="89" customFormat="1" ht="13.9">
      <c r="A1089" s="2060"/>
      <c r="B1089" s="2060"/>
      <c r="D1089" s="801"/>
      <c r="F1089" s="57" t="s">
        <v>767</v>
      </c>
      <c r="G1089" s="1442"/>
      <c r="H1089" s="1442"/>
      <c r="I1089" s="1442"/>
      <c r="J1089" s="1442"/>
      <c r="K1089" s="1443" t="str">
        <f t="shared" ref="K1089:P1089" si="226">IFERROR(MEDIAN(K1064:K1088),"--")</f>
        <v>--</v>
      </c>
      <c r="L1089" s="1443" t="str">
        <f t="shared" si="226"/>
        <v>--</v>
      </c>
      <c r="M1089" s="1443" t="str">
        <f t="shared" si="226"/>
        <v>--</v>
      </c>
      <c r="N1089" s="1443" t="str">
        <f t="shared" si="226"/>
        <v>--</v>
      </c>
      <c r="O1089" s="1444" t="str">
        <f t="shared" si="226"/>
        <v>--</v>
      </c>
      <c r="P1089" s="1443" t="str">
        <f t="shared" si="226"/>
        <v>--</v>
      </c>
      <c r="R1089" s="255"/>
      <c r="T1089" s="1513"/>
      <c r="AG1089" s="2060"/>
      <c r="AH1089" s="2060"/>
    </row>
    <row r="1090" spans="1:34" s="89" customFormat="1" ht="13.9">
      <c r="A1090" s="2060"/>
      <c r="B1090" s="2060"/>
      <c r="D1090" s="801"/>
      <c r="O1090" s="75"/>
      <c r="P1090" s="76"/>
      <c r="R1090" s="255"/>
      <c r="AG1090" s="2060"/>
      <c r="AH1090" s="2060"/>
    </row>
    <row r="1091" spans="1:34" s="89" customFormat="1" ht="13.9">
      <c r="A1091" s="2060"/>
      <c r="B1091" s="2060"/>
      <c r="D1091" s="801"/>
      <c r="O1091" s="75"/>
      <c r="P1091" s="76"/>
      <c r="R1091" s="255"/>
      <c r="AG1091" s="2060"/>
      <c r="AH1091" s="2060"/>
    </row>
    <row r="1092" spans="1:34" s="89" customFormat="1" ht="13.9">
      <c r="A1092" s="2060"/>
      <c r="B1092" s="2060"/>
      <c r="D1092" s="801"/>
      <c r="O1092" s="75"/>
      <c r="P1092" s="76"/>
      <c r="R1092" s="255"/>
      <c r="AG1092" s="2060"/>
      <c r="AH1092" s="2060"/>
    </row>
    <row r="1093" spans="1:34" s="89" customFormat="1" ht="13.9">
      <c r="A1093" s="2060"/>
      <c r="B1093" s="2060"/>
      <c r="D1093" s="778">
        <f ca="1">MAX(OFFSET(D1093,-1,0,-ROW(D1093)+1,-2),1)+0.01</f>
        <v>6.0899999999999981</v>
      </c>
      <c r="E1093" s="125"/>
      <c r="F1093" s="952" t="s">
        <v>490</v>
      </c>
      <c r="G1093" s="724" t="s">
        <v>795</v>
      </c>
      <c r="H1093" s="724"/>
      <c r="I1093" s="724"/>
      <c r="J1093" s="724"/>
      <c r="K1093" s="725" t="s">
        <v>700</v>
      </c>
      <c r="L1093" s="725" t="s">
        <v>701</v>
      </c>
      <c r="M1093" s="725" t="s">
        <v>702</v>
      </c>
      <c r="N1093" s="725" t="s">
        <v>703</v>
      </c>
      <c r="O1093" s="759" t="s">
        <v>704</v>
      </c>
      <c r="P1093" s="725" t="s">
        <v>780</v>
      </c>
      <c r="R1093" s="255"/>
      <c r="AG1093" s="2060"/>
      <c r="AH1093" s="2060"/>
    </row>
    <row r="1094" spans="1:34" s="89" customFormat="1" ht="13.9">
      <c r="A1094" s="2060"/>
      <c r="B1094" s="2060"/>
      <c r="D1094" s="778"/>
      <c r="E1094" s="1505">
        <v>0</v>
      </c>
      <c r="F1094" s="1448" t="str">
        <f>F$128</f>
        <v/>
      </c>
      <c r="G1094" s="1449">
        <f>G$128</f>
        <v>0</v>
      </c>
      <c r="H1094" s="1449" t="str">
        <f>H$128</f>
        <v>USD</v>
      </c>
      <c r="I1094" s="258" t="s">
        <v>828</v>
      </c>
      <c r="J1094" s="258"/>
      <c r="K1094" s="2316">
        <f>K1063-'BAL SHEET Hist Input'!F21-'BAL SHEET Hist Input'!F22</f>
        <v>0</v>
      </c>
      <c r="L1094" s="2316">
        <f>L1063-'BAL SHEET Hist Input'!G21-'BAL SHEET Hist Input'!G22</f>
        <v>0</v>
      </c>
      <c r="M1094" s="2316">
        <f>M1063-'BAL SHEET Hist Input'!H21-'BAL SHEET Hist Input'!H22</f>
        <v>0</v>
      </c>
      <c r="N1094" s="2316">
        <f>N1063-'BAL SHEET Hist Input'!I21-'BAL SHEET Hist Input'!I22</f>
        <v>0</v>
      </c>
      <c r="O1094" s="2320">
        <f>O1063-'BAL SHEET Hist Input'!J21-'BAL SHEET Hist Input'!J22</f>
        <v>0</v>
      </c>
      <c r="P1094" s="2316">
        <f>P1063-'BAL SHEET Hist Input'!K21-'BAL SHEET Hist Input'!K22</f>
        <v>0</v>
      </c>
      <c r="R1094" s="255"/>
      <c r="AG1094" s="2060"/>
      <c r="AH1094" s="2060"/>
    </row>
    <row r="1095" spans="1:34" s="89" customFormat="1" ht="13.9">
      <c r="A1095" s="269" t="str">
        <f>IF(F1095="--","n","")</f>
        <v>n</v>
      </c>
      <c r="B1095" s="2060"/>
      <c r="C1095" s="72"/>
      <c r="D1095" s="801"/>
      <c r="E1095" s="1505">
        <v>1</v>
      </c>
      <c r="F1095" s="21" t="str">
        <f>F$129</f>
        <v>--</v>
      </c>
      <c r="G1095" s="1441">
        <f>G$129</f>
        <v>0</v>
      </c>
      <c r="H1095" s="1441" t="str">
        <f>H$129</f>
        <v>--</v>
      </c>
      <c r="I1095" s="89" t="s">
        <v>828</v>
      </c>
      <c r="K1095" s="2301" t="str">
        <f>IF($G1095=0,"--",IFERROR(_xll.ciqfunctions.udf.CIQ($G1095,$I1095,K100,Valuation_Date_GC,ReportType,DataMode,$H1095,FXMode)*Scale-K1033,"--"))</f>
        <v>--</v>
      </c>
      <c r="L1095" s="2301" t="str">
        <f>IF($G1095=0,"--",IFERROR(_xll.ciqfunctions.udf.CIQ($G1095,$I1095,L100,Valuation_Date_GC,ReportType,DataMode,$H1095,FXMode)*Scale-L1033,"--"))</f>
        <v>--</v>
      </c>
      <c r="M1095" s="2301" t="str">
        <f>IF($G1095=0,"--",IFERROR(_xll.ciqfunctions.udf.CIQ($G1095,$I1095,M100,Valuation_Date_GC,ReportType,DataMode,$H1095,FXMode)*Scale-M1033,"--"))</f>
        <v>--</v>
      </c>
      <c r="N1095" s="2301" t="str">
        <f>IF($G1095=0,"--",IFERROR(_xll.ciqfunctions.udf.CIQ($G1095,$I1095,N100,Valuation_Date_GC,ReportType,DataMode,$H1095,FXMode)*Scale-N1033,"--"))</f>
        <v>--</v>
      </c>
      <c r="O1095" s="1471" t="str">
        <f>IF($G1095=0,"--",IFERROR(_xll.ciqfunctions.udf.CIQ($G1095,$I1095,O100,Valuation_Date_GC,ReportType,DataMode,$H1095,FXMode)*Scale-O1033,"--"))</f>
        <v>--</v>
      </c>
      <c r="P1095" s="2301" t="str">
        <f>IF($G1095=0,"--",IFERROR(_xll.ciqfunctions.udf.CIQ($G1095,$I1095,P100,Valuation_Date_GC,ReportType,DataMode,$H1095,FXMode)*Scale-P1033,"--"))</f>
        <v>--</v>
      </c>
      <c r="R1095" s="255"/>
      <c r="AG1095" s="2060"/>
      <c r="AH1095" s="2060"/>
    </row>
    <row r="1096" spans="1:34" s="89" customFormat="1" ht="13.9">
      <c r="A1096" s="269" t="str">
        <f t="shared" ref="A1096:A1119" si="227">IF(F1096="--","n","")</f>
        <v>n</v>
      </c>
      <c r="B1096" s="2060"/>
      <c r="D1096" s="801"/>
      <c r="E1096" s="1505">
        <v>2</v>
      </c>
      <c r="F1096" s="21" t="str">
        <f>F$130</f>
        <v>--</v>
      </c>
      <c r="G1096" s="1441">
        <f>G$130</f>
        <v>0</v>
      </c>
      <c r="H1096" s="1441" t="str">
        <f>H$130</f>
        <v>--</v>
      </c>
      <c r="I1096" s="89" t="s">
        <v>828</v>
      </c>
      <c r="K1096" s="2301" t="str">
        <f>IF($G1096=0,"--",IFERROR(_xll.ciqfunctions.udf.CIQ($G1096,$I1096,K101,Valuation_Date_GC,ReportType,DataMode,$H1096,FXMode)*Scale-K1034,"--"))</f>
        <v>--</v>
      </c>
      <c r="L1096" s="2301" t="str">
        <f>IF($G1096=0,"--",IFERROR(_xll.ciqfunctions.udf.CIQ($G1096,$I1096,L101,Valuation_Date_GC,ReportType,DataMode,$H1096,FXMode)*Scale-L1034,"--"))</f>
        <v>--</v>
      </c>
      <c r="M1096" s="2301" t="str">
        <f>IF($G1096=0,"--",IFERROR(_xll.ciqfunctions.udf.CIQ($G1096,$I1096,M101,Valuation_Date_GC,ReportType,DataMode,$H1096,FXMode)*Scale-M1034,"--"))</f>
        <v>--</v>
      </c>
      <c r="N1096" s="2301" t="str">
        <f>IF($G1096=0,"--",IFERROR(_xll.ciqfunctions.udf.CIQ($G1096,$I1096,N101,Valuation_Date_GC,ReportType,DataMode,$H1096,FXMode)*Scale-N1034,"--"))</f>
        <v>--</v>
      </c>
      <c r="O1096" s="1471" t="str">
        <f>IF($G1096=0,"--",IFERROR(_xll.ciqfunctions.udf.CIQ($G1096,$I1096,O101,Valuation_Date_GC,ReportType,DataMode,$H1096,FXMode)*Scale-O1034,"--"))</f>
        <v>--</v>
      </c>
      <c r="P1096" s="2301" t="str">
        <f>IF($G1096=0,"--",IFERROR(_xll.ciqfunctions.udf.CIQ($G1096,$I1096,P101,Valuation_Date_GC,ReportType,DataMode,$H1096,FXMode)*Scale-P1034,"--"))</f>
        <v>--</v>
      </c>
      <c r="R1096" s="255"/>
      <c r="AG1096" s="2060"/>
      <c r="AH1096" s="2060"/>
    </row>
    <row r="1097" spans="1:34" s="89" customFormat="1" ht="13.9">
      <c r="A1097" s="269" t="str">
        <f t="shared" si="227"/>
        <v>n</v>
      </c>
      <c r="B1097" s="2060"/>
      <c r="C1097" s="72"/>
      <c r="D1097" s="801"/>
      <c r="E1097" s="1505">
        <v>3</v>
      </c>
      <c r="F1097" s="21" t="str">
        <f>F$131</f>
        <v>--</v>
      </c>
      <c r="G1097" s="1441">
        <f>G$131</f>
        <v>0</v>
      </c>
      <c r="H1097" s="1441" t="str">
        <f>H$131</f>
        <v>--</v>
      </c>
      <c r="I1097" s="89" t="s">
        <v>828</v>
      </c>
      <c r="K1097" s="2301" t="str">
        <f>IF($G1097=0,"--",IFERROR(_xll.ciqfunctions.udf.CIQ($G1097,$I1097,K102,Valuation_Date_GC,ReportType,DataMode,$H1097,FXMode)*Scale-K1035,"--"))</f>
        <v>--</v>
      </c>
      <c r="L1097" s="2301" t="str">
        <f>IF($G1097=0,"--",IFERROR(_xll.ciqfunctions.udf.CIQ($G1097,$I1097,L102,Valuation_Date_GC,ReportType,DataMode,$H1097,FXMode)*Scale-L1035,"--"))</f>
        <v>--</v>
      </c>
      <c r="M1097" s="2301" t="str">
        <f>IF($G1097=0,"--",IFERROR(_xll.ciqfunctions.udf.CIQ($G1097,$I1097,M102,Valuation_Date_GC,ReportType,DataMode,$H1097,FXMode)*Scale-M1035,"--"))</f>
        <v>--</v>
      </c>
      <c r="N1097" s="2301" t="str">
        <f>IF($G1097=0,"--",IFERROR(_xll.ciqfunctions.udf.CIQ($G1097,$I1097,N102,Valuation_Date_GC,ReportType,DataMode,$H1097,FXMode)*Scale-N1035,"--"))</f>
        <v>--</v>
      </c>
      <c r="O1097" s="1471" t="str">
        <f>IF($G1097=0,"--",IFERROR(_xll.ciqfunctions.udf.CIQ($G1097,$I1097,O102,Valuation_Date_GC,ReportType,DataMode,$H1097,FXMode)*Scale-O1035,"--"))</f>
        <v>--</v>
      </c>
      <c r="P1097" s="2301" t="str">
        <f>IF($G1097=0,"--",IFERROR(_xll.ciqfunctions.udf.CIQ($G1097,$I1097,P102,Valuation_Date_GC,ReportType,DataMode,$H1097,FXMode)*Scale-P1035,"--"))</f>
        <v>--</v>
      </c>
      <c r="R1097" s="255"/>
      <c r="AG1097" s="2060"/>
      <c r="AH1097" s="2060"/>
    </row>
    <row r="1098" spans="1:34" s="89" customFormat="1" ht="13.9">
      <c r="A1098" s="269" t="str">
        <f t="shared" si="227"/>
        <v>n</v>
      </c>
      <c r="B1098" s="2060"/>
      <c r="C1098" s="72"/>
      <c r="D1098" s="801"/>
      <c r="E1098" s="1505">
        <v>4</v>
      </c>
      <c r="F1098" s="21" t="str">
        <f>F$132</f>
        <v>--</v>
      </c>
      <c r="G1098" s="1441">
        <f>G$132</f>
        <v>0</v>
      </c>
      <c r="H1098" s="1441" t="str">
        <f>H$132</f>
        <v>--</v>
      </c>
      <c r="I1098" s="89" t="s">
        <v>828</v>
      </c>
      <c r="K1098" s="2301" t="str">
        <f>IF($G1098=0,"--",IFERROR(_xll.ciqfunctions.udf.CIQ($G1098,$I1098,K103,Valuation_Date_GC,ReportType,DataMode,$H1098,FXMode)*Scale-K1036,"--"))</f>
        <v>--</v>
      </c>
      <c r="L1098" s="2301" t="str">
        <f>IF($G1098=0,"--",IFERROR(_xll.ciqfunctions.udf.CIQ($G1098,$I1098,L103,Valuation_Date_GC,ReportType,DataMode,$H1098,FXMode)*Scale-L1036,"--"))</f>
        <v>--</v>
      </c>
      <c r="M1098" s="2301" t="str">
        <f>IF($G1098=0,"--",IFERROR(_xll.ciqfunctions.udf.CIQ($G1098,$I1098,M103,Valuation_Date_GC,ReportType,DataMode,$H1098,FXMode)*Scale-M1036,"--"))</f>
        <v>--</v>
      </c>
      <c r="N1098" s="2301" t="str">
        <f>IF($G1098=0,"--",IFERROR(_xll.ciqfunctions.udf.CIQ($G1098,$I1098,N103,Valuation_Date_GC,ReportType,DataMode,$H1098,FXMode)*Scale-N1036,"--"))</f>
        <v>--</v>
      </c>
      <c r="O1098" s="1471" t="str">
        <f>IF($G1098=0,"--",IFERROR(_xll.ciqfunctions.udf.CIQ($G1098,$I1098,O103,Valuation_Date_GC,ReportType,DataMode,$H1098,FXMode)*Scale-O1036,"--"))</f>
        <v>--</v>
      </c>
      <c r="P1098" s="2301" t="str">
        <f>IF($G1098=0,"--",IFERROR(_xll.ciqfunctions.udf.CIQ($G1098,$I1098,P103,Valuation_Date_GC,ReportType,DataMode,$H1098,FXMode)*Scale-P1036,"--"))</f>
        <v>--</v>
      </c>
      <c r="R1098" s="255"/>
      <c r="AG1098" s="2060"/>
      <c r="AH1098" s="2060"/>
    </row>
    <row r="1099" spans="1:34" s="89" customFormat="1" ht="13.9">
      <c r="A1099" s="269" t="str">
        <f t="shared" si="227"/>
        <v>n</v>
      </c>
      <c r="B1099" s="2060"/>
      <c r="C1099" s="72"/>
      <c r="D1099" s="801"/>
      <c r="E1099" s="1505">
        <v>5</v>
      </c>
      <c r="F1099" s="21" t="str">
        <f>F$133</f>
        <v>--</v>
      </c>
      <c r="G1099" s="1441">
        <f>G$133</f>
        <v>0</v>
      </c>
      <c r="H1099" s="1441" t="str">
        <f>H$133</f>
        <v>--</v>
      </c>
      <c r="I1099" s="89" t="s">
        <v>828</v>
      </c>
      <c r="K1099" s="2301" t="str">
        <f>IF($G1099=0,"--",IFERROR(_xll.ciqfunctions.udf.CIQ($G1099,$I1099,K104,Valuation_Date_GC,ReportType,DataMode,$H1099,FXMode)*Scale-K1037,"--"))</f>
        <v>--</v>
      </c>
      <c r="L1099" s="2301" t="str">
        <f>IF($G1099=0,"--",IFERROR(_xll.ciqfunctions.udf.CIQ($G1099,$I1099,L104,Valuation_Date_GC,ReportType,DataMode,$H1099,FXMode)*Scale-L1037,"--"))</f>
        <v>--</v>
      </c>
      <c r="M1099" s="2301" t="str">
        <f>IF($G1099=0,"--",IFERROR(_xll.ciqfunctions.udf.CIQ($G1099,$I1099,M104,Valuation_Date_GC,ReportType,DataMode,$H1099,FXMode)*Scale-M1037,"--"))</f>
        <v>--</v>
      </c>
      <c r="N1099" s="2301" t="str">
        <f>IF($G1099=0,"--",IFERROR(_xll.ciqfunctions.udf.CIQ($G1099,$I1099,N104,Valuation_Date_GC,ReportType,DataMode,$H1099,FXMode)*Scale-N1037,"--"))</f>
        <v>--</v>
      </c>
      <c r="O1099" s="1471" t="str">
        <f>IF($G1099=0,"--",IFERROR(_xll.ciqfunctions.udf.CIQ($G1099,$I1099,O104,Valuation_Date_GC,ReportType,DataMode,$H1099,FXMode)*Scale-O1037,"--"))</f>
        <v>--</v>
      </c>
      <c r="P1099" s="2301" t="str">
        <f>IF($G1099=0,"--",IFERROR(_xll.ciqfunctions.udf.CIQ($G1099,$I1099,P104,Valuation_Date_GC,ReportType,DataMode,$H1099,FXMode)*Scale-P1037,"--"))</f>
        <v>--</v>
      </c>
      <c r="R1099" s="255"/>
      <c r="AG1099" s="2060"/>
      <c r="AH1099" s="2060"/>
    </row>
    <row r="1100" spans="1:34" s="89" customFormat="1" ht="13.9">
      <c r="A1100" s="269" t="str">
        <f t="shared" si="227"/>
        <v>n</v>
      </c>
      <c r="B1100" s="2060"/>
      <c r="C1100" s="72"/>
      <c r="D1100" s="801"/>
      <c r="E1100" s="1505">
        <v>6</v>
      </c>
      <c r="F1100" s="21" t="str">
        <f>F$134</f>
        <v>--</v>
      </c>
      <c r="G1100" s="1441">
        <f>G$134</f>
        <v>0</v>
      </c>
      <c r="H1100" s="1441" t="str">
        <f>H$134</f>
        <v>--</v>
      </c>
      <c r="I1100" s="89" t="s">
        <v>828</v>
      </c>
      <c r="K1100" s="2301" t="str">
        <f>IF($G1100=0,"--",IFERROR(_xll.ciqfunctions.udf.CIQ($G1100,$I1100,K105,Valuation_Date_GC,ReportType,DataMode,$H1100,FXMode)*Scale-K1038,"--"))</f>
        <v>--</v>
      </c>
      <c r="L1100" s="2301" t="str">
        <f>IF($G1100=0,"--",IFERROR(_xll.ciqfunctions.udf.CIQ($G1100,$I1100,L105,Valuation_Date_GC,ReportType,DataMode,$H1100,FXMode)*Scale-L1038,"--"))</f>
        <v>--</v>
      </c>
      <c r="M1100" s="2301" t="str">
        <f>IF($G1100=0,"--",IFERROR(_xll.ciqfunctions.udf.CIQ($G1100,$I1100,M105,Valuation_Date_GC,ReportType,DataMode,$H1100,FXMode)*Scale-M1038,"--"))</f>
        <v>--</v>
      </c>
      <c r="N1100" s="2301" t="str">
        <f>IF($G1100=0,"--",IFERROR(_xll.ciqfunctions.udf.CIQ($G1100,$I1100,N105,Valuation_Date_GC,ReportType,DataMode,$H1100,FXMode)*Scale-N1038,"--"))</f>
        <v>--</v>
      </c>
      <c r="O1100" s="1471" t="str">
        <f>IF($G1100=0,"--",IFERROR(_xll.ciqfunctions.udf.CIQ($G1100,$I1100,O105,Valuation_Date_GC,ReportType,DataMode,$H1100,FXMode)*Scale-O1038,"--"))</f>
        <v>--</v>
      </c>
      <c r="P1100" s="2301" t="str">
        <f>IF($G1100=0,"--",IFERROR(_xll.ciqfunctions.udf.CIQ($G1100,$I1100,P105,Valuation_Date_GC,ReportType,DataMode,$H1100,FXMode)*Scale-P1038,"--"))</f>
        <v>--</v>
      </c>
      <c r="R1100" s="255"/>
      <c r="AG1100" s="2060"/>
      <c r="AH1100" s="2060"/>
    </row>
    <row r="1101" spans="1:34" s="89" customFormat="1" ht="13.9">
      <c r="A1101" s="269" t="str">
        <f t="shared" si="227"/>
        <v>n</v>
      </c>
      <c r="B1101" s="2060"/>
      <c r="D1101" s="801"/>
      <c r="E1101" s="1505">
        <v>7</v>
      </c>
      <c r="F1101" s="21" t="str">
        <f>F$135</f>
        <v>--</v>
      </c>
      <c r="G1101" s="1441">
        <f>G$135</f>
        <v>0</v>
      </c>
      <c r="H1101" s="1441" t="str">
        <f>H$135</f>
        <v>--</v>
      </c>
      <c r="I1101" s="89" t="s">
        <v>828</v>
      </c>
      <c r="K1101" s="2301" t="str">
        <f>IF($G1101=0,"--",IFERROR(_xll.ciqfunctions.udf.CIQ($G1101,$I1101,K106,Valuation_Date_GC,ReportType,DataMode,$H1101,FXMode)*Scale-K1039,"--"))</f>
        <v>--</v>
      </c>
      <c r="L1101" s="2301" t="str">
        <f>IF($G1101=0,"--",IFERROR(_xll.ciqfunctions.udf.CIQ($G1101,$I1101,L106,Valuation_Date_GC,ReportType,DataMode,$H1101,FXMode)*Scale-L1039,"--"))</f>
        <v>--</v>
      </c>
      <c r="M1101" s="2301" t="str">
        <f>IF($G1101=0,"--",IFERROR(_xll.ciqfunctions.udf.CIQ($G1101,$I1101,M106,Valuation_Date_GC,ReportType,DataMode,$H1101,FXMode)*Scale-M1039,"--"))</f>
        <v>--</v>
      </c>
      <c r="N1101" s="2301" t="str">
        <f>IF($G1101=0,"--",IFERROR(_xll.ciqfunctions.udf.CIQ($G1101,$I1101,N106,Valuation_Date_GC,ReportType,DataMode,$H1101,FXMode)*Scale-N1039,"--"))</f>
        <v>--</v>
      </c>
      <c r="O1101" s="1471" t="str">
        <f>IF($G1101=0,"--",IFERROR(_xll.ciqfunctions.udf.CIQ($G1101,$I1101,O106,Valuation_Date_GC,ReportType,DataMode,$H1101,FXMode)*Scale-O1039,"--"))</f>
        <v>--</v>
      </c>
      <c r="P1101" s="2301" t="str">
        <f>IF($G1101=0,"--",IFERROR(_xll.ciqfunctions.udf.CIQ($G1101,$I1101,P106,Valuation_Date_GC,ReportType,DataMode,$H1101,FXMode)*Scale-P1039,"--"))</f>
        <v>--</v>
      </c>
      <c r="R1101" s="255"/>
      <c r="AG1101" s="2060"/>
      <c r="AH1101" s="2060"/>
    </row>
    <row r="1102" spans="1:34" s="89" customFormat="1" ht="13.9">
      <c r="A1102" s="269" t="str">
        <f t="shared" si="227"/>
        <v>n</v>
      </c>
      <c r="B1102" s="2060"/>
      <c r="D1102" s="801"/>
      <c r="E1102" s="1505">
        <v>8</v>
      </c>
      <c r="F1102" s="21" t="str">
        <f>F$136</f>
        <v>--</v>
      </c>
      <c r="G1102" s="1441">
        <f>G$136</f>
        <v>0</v>
      </c>
      <c r="H1102" s="1441" t="str">
        <f>H$136</f>
        <v>--</v>
      </c>
      <c r="I1102" s="89" t="s">
        <v>828</v>
      </c>
      <c r="K1102" s="2301" t="str">
        <f>IF($G1102=0,"--",IFERROR(_xll.ciqfunctions.udf.CIQ($G1102,$I1102,K107,Valuation_Date_GC,ReportType,DataMode,$H1102,FXMode)*Scale-K1040,"--"))</f>
        <v>--</v>
      </c>
      <c r="L1102" s="2301" t="str">
        <f>IF($G1102=0,"--",IFERROR(_xll.ciqfunctions.udf.CIQ($G1102,$I1102,L107,Valuation_Date_GC,ReportType,DataMode,$H1102,FXMode)*Scale-L1040,"--"))</f>
        <v>--</v>
      </c>
      <c r="M1102" s="2301" t="str">
        <f>IF($G1102=0,"--",IFERROR(_xll.ciqfunctions.udf.CIQ($G1102,$I1102,M107,Valuation_Date_GC,ReportType,DataMode,$H1102,FXMode)*Scale-M1040,"--"))</f>
        <v>--</v>
      </c>
      <c r="N1102" s="2301" t="str">
        <f>IF($G1102=0,"--",IFERROR(_xll.ciqfunctions.udf.CIQ($G1102,$I1102,N107,Valuation_Date_GC,ReportType,DataMode,$H1102,FXMode)*Scale-N1040,"--"))</f>
        <v>--</v>
      </c>
      <c r="O1102" s="1471" t="str">
        <f>IF($G1102=0,"--",IFERROR(_xll.ciqfunctions.udf.CIQ($G1102,$I1102,O107,Valuation_Date_GC,ReportType,DataMode,$H1102,FXMode)*Scale-O1040,"--"))</f>
        <v>--</v>
      </c>
      <c r="P1102" s="2301" t="str">
        <f>IF($G1102=0,"--",IFERROR(_xll.ciqfunctions.udf.CIQ($G1102,$I1102,P107,Valuation_Date_GC,ReportType,DataMode,$H1102,FXMode)*Scale-P1040,"--"))</f>
        <v>--</v>
      </c>
      <c r="R1102" s="255"/>
      <c r="AG1102" s="2060"/>
      <c r="AH1102" s="2060"/>
    </row>
    <row r="1103" spans="1:34" s="89" customFormat="1" ht="13.9">
      <c r="A1103" s="269" t="str">
        <f t="shared" si="227"/>
        <v>n</v>
      </c>
      <c r="B1103" s="2060"/>
      <c r="D1103" s="801"/>
      <c r="E1103" s="1505">
        <v>9</v>
      </c>
      <c r="F1103" s="21" t="str">
        <f>F$137</f>
        <v>--</v>
      </c>
      <c r="G1103" s="1441">
        <f>G$137</f>
        <v>0</v>
      </c>
      <c r="H1103" s="1441" t="str">
        <f>H$137</f>
        <v>--</v>
      </c>
      <c r="I1103" s="89" t="s">
        <v>828</v>
      </c>
      <c r="K1103" s="2301" t="str">
        <f>IF($G1103=0,"--",IFERROR(_xll.ciqfunctions.udf.CIQ($G1103,$I1103,K108,Valuation_Date_GC,ReportType,DataMode,$H1103,FXMode)*Scale-K1041,"--"))</f>
        <v>--</v>
      </c>
      <c r="L1103" s="2301" t="str">
        <f>IF($G1103=0,"--",IFERROR(_xll.ciqfunctions.udf.CIQ($G1103,$I1103,L108,Valuation_Date_GC,ReportType,DataMode,$H1103,FXMode)*Scale-L1041,"--"))</f>
        <v>--</v>
      </c>
      <c r="M1103" s="2301" t="str">
        <f>IF($G1103=0,"--",IFERROR(_xll.ciqfunctions.udf.CIQ($G1103,$I1103,M108,Valuation_Date_GC,ReportType,DataMode,$H1103,FXMode)*Scale-M1041,"--"))</f>
        <v>--</v>
      </c>
      <c r="N1103" s="2301" t="str">
        <f>IF($G1103=0,"--",IFERROR(_xll.ciqfunctions.udf.CIQ($G1103,$I1103,N108,Valuation_Date_GC,ReportType,DataMode,$H1103,FXMode)*Scale-N1041,"--"))</f>
        <v>--</v>
      </c>
      <c r="O1103" s="1471" t="str">
        <f>IF($G1103=0,"--",IFERROR(_xll.ciqfunctions.udf.CIQ($G1103,$I1103,O108,Valuation_Date_GC,ReportType,DataMode,$H1103,FXMode)*Scale-O1041,"--"))</f>
        <v>--</v>
      </c>
      <c r="P1103" s="2301" t="str">
        <f>IF($G1103=0,"--",IFERROR(_xll.ciqfunctions.udf.CIQ($G1103,$I1103,P108,Valuation_Date_GC,ReportType,DataMode,$H1103,FXMode)*Scale-P1041,"--"))</f>
        <v>--</v>
      </c>
      <c r="R1103" s="255"/>
      <c r="AG1103" s="2060"/>
      <c r="AH1103" s="2060"/>
    </row>
    <row r="1104" spans="1:34" s="89" customFormat="1" ht="13.9">
      <c r="A1104" s="269" t="str">
        <f t="shared" si="227"/>
        <v>n</v>
      </c>
      <c r="B1104" s="2060"/>
      <c r="D1104" s="801"/>
      <c r="E1104" s="1505">
        <v>10</v>
      </c>
      <c r="F1104" s="21" t="str">
        <f>F$138</f>
        <v>--</v>
      </c>
      <c r="G1104" s="1441">
        <f>G$138</f>
        <v>0</v>
      </c>
      <c r="H1104" s="1441" t="str">
        <f>H$138</f>
        <v>--</v>
      </c>
      <c r="I1104" s="89" t="s">
        <v>828</v>
      </c>
      <c r="K1104" s="2301" t="str">
        <f>IF($G1104=0,"--",IFERROR(_xll.ciqfunctions.udf.CIQ($G1104,$I1104,K109,Valuation_Date_GC,ReportType,DataMode,$H1104,FXMode)*Scale-K1042,"--"))</f>
        <v>--</v>
      </c>
      <c r="L1104" s="2301" t="str">
        <f>IF($G1104=0,"--",IFERROR(_xll.ciqfunctions.udf.CIQ($G1104,$I1104,L109,Valuation_Date_GC,ReportType,DataMode,$H1104,FXMode)*Scale-L1042,"--"))</f>
        <v>--</v>
      </c>
      <c r="M1104" s="2301" t="str">
        <f>IF($G1104=0,"--",IFERROR(_xll.ciqfunctions.udf.CIQ($G1104,$I1104,M109,Valuation_Date_GC,ReportType,DataMode,$H1104,FXMode)*Scale-M1042,"--"))</f>
        <v>--</v>
      </c>
      <c r="N1104" s="2301" t="str">
        <f>IF($G1104=0,"--",IFERROR(_xll.ciqfunctions.udf.CIQ($G1104,$I1104,N109,Valuation_Date_GC,ReportType,DataMode,$H1104,FXMode)*Scale-N1042,"--"))</f>
        <v>--</v>
      </c>
      <c r="O1104" s="1471" t="str">
        <f>IF($G1104=0,"--",IFERROR(_xll.ciqfunctions.udf.CIQ($G1104,$I1104,O109,Valuation_Date_GC,ReportType,DataMode,$H1104,FXMode)*Scale-O1042,"--"))</f>
        <v>--</v>
      </c>
      <c r="P1104" s="2301" t="str">
        <f>IF($G1104=0,"--",IFERROR(_xll.ciqfunctions.udf.CIQ($G1104,$I1104,P109,Valuation_Date_GC,ReportType,DataMode,$H1104,FXMode)*Scale-P1042,"--"))</f>
        <v>--</v>
      </c>
      <c r="R1104" s="255"/>
      <c r="AG1104" s="2060"/>
      <c r="AH1104" s="2060"/>
    </row>
    <row r="1105" spans="1:34" s="89" customFormat="1" ht="13.9">
      <c r="A1105" s="269" t="str">
        <f t="shared" si="227"/>
        <v>n</v>
      </c>
      <c r="B1105" s="2060"/>
      <c r="D1105" s="801"/>
      <c r="E1105" s="1505">
        <v>11</v>
      </c>
      <c r="F1105" s="21" t="str">
        <f>F$139</f>
        <v>--</v>
      </c>
      <c r="G1105" s="1441">
        <f>G$139</f>
        <v>0</v>
      </c>
      <c r="H1105" s="1441" t="str">
        <f>H$139</f>
        <v>--</v>
      </c>
      <c r="I1105" s="89" t="s">
        <v>828</v>
      </c>
      <c r="K1105" s="2301" t="str">
        <f>IF($G1105=0,"--",IFERROR(_xll.ciqfunctions.udf.CIQ($G1105,$I1105,K110,Valuation_Date_GC,ReportType,DataMode,$H1105,FXMode)*Scale-K1043,"--"))</f>
        <v>--</v>
      </c>
      <c r="L1105" s="2301" t="str">
        <f>IF($G1105=0,"--",IFERROR(_xll.ciqfunctions.udf.CIQ($G1105,$I1105,L110,Valuation_Date_GC,ReportType,DataMode,$H1105,FXMode)*Scale-L1043,"--"))</f>
        <v>--</v>
      </c>
      <c r="M1105" s="2301" t="str">
        <f>IF($G1105=0,"--",IFERROR(_xll.ciqfunctions.udf.CIQ($G1105,$I1105,M110,Valuation_Date_GC,ReportType,DataMode,$H1105,FXMode)*Scale-M1043,"--"))</f>
        <v>--</v>
      </c>
      <c r="N1105" s="2301" t="str">
        <f>IF($G1105=0,"--",IFERROR(_xll.ciqfunctions.udf.CIQ($G1105,$I1105,N110,Valuation_Date_GC,ReportType,DataMode,$H1105,FXMode)*Scale-N1043,"--"))</f>
        <v>--</v>
      </c>
      <c r="O1105" s="1471" t="str">
        <f>IF($G1105=0,"--",IFERROR(_xll.ciqfunctions.udf.CIQ($G1105,$I1105,O110,Valuation_Date_GC,ReportType,DataMode,$H1105,FXMode)*Scale-O1043,"--"))</f>
        <v>--</v>
      </c>
      <c r="P1105" s="2301" t="str">
        <f>IF($G1105=0,"--",IFERROR(_xll.ciqfunctions.udf.CIQ($G1105,$I1105,P110,Valuation_Date_GC,ReportType,DataMode,$H1105,FXMode)*Scale-P1043,"--"))</f>
        <v>--</v>
      </c>
      <c r="R1105" s="255"/>
      <c r="AG1105" s="2060"/>
      <c r="AH1105" s="2060"/>
    </row>
    <row r="1106" spans="1:34" s="89" customFormat="1" ht="13.9">
      <c r="A1106" s="269" t="str">
        <f t="shared" si="227"/>
        <v>n</v>
      </c>
      <c r="B1106" s="2060"/>
      <c r="D1106" s="801"/>
      <c r="E1106" s="1505">
        <v>12</v>
      </c>
      <c r="F1106" s="21" t="str">
        <f>F$140</f>
        <v>--</v>
      </c>
      <c r="G1106" s="1441">
        <f>G$140</f>
        <v>0</v>
      </c>
      <c r="H1106" s="1441" t="str">
        <f>H$140</f>
        <v>--</v>
      </c>
      <c r="I1106" s="89" t="s">
        <v>828</v>
      </c>
      <c r="K1106" s="2301" t="str">
        <f>IF($G1106=0,"--",IFERROR(_xll.ciqfunctions.udf.CIQ($G1106,$I1106,K111,Valuation_Date_GC,ReportType,DataMode,$H1106,FXMode)*Scale-K1044,"--"))</f>
        <v>--</v>
      </c>
      <c r="L1106" s="2301" t="str">
        <f>IF($G1106=0,"--",IFERROR(_xll.ciqfunctions.udf.CIQ($G1106,$I1106,L111,Valuation_Date_GC,ReportType,DataMode,$H1106,FXMode)*Scale-L1044,"--"))</f>
        <v>--</v>
      </c>
      <c r="M1106" s="2301" t="str">
        <f>IF($G1106=0,"--",IFERROR(_xll.ciqfunctions.udf.CIQ($G1106,$I1106,M111,Valuation_Date_GC,ReportType,DataMode,$H1106,FXMode)*Scale-M1044,"--"))</f>
        <v>--</v>
      </c>
      <c r="N1106" s="2301" t="str">
        <f>IF($G1106=0,"--",IFERROR(_xll.ciqfunctions.udf.CIQ($G1106,$I1106,N111,Valuation_Date_GC,ReportType,DataMode,$H1106,FXMode)*Scale-N1044,"--"))</f>
        <v>--</v>
      </c>
      <c r="O1106" s="1471" t="str">
        <f>IF($G1106=0,"--",IFERROR(_xll.ciqfunctions.udf.CIQ($G1106,$I1106,O111,Valuation_Date_GC,ReportType,DataMode,$H1106,FXMode)*Scale-O1044,"--"))</f>
        <v>--</v>
      </c>
      <c r="P1106" s="2301" t="str">
        <f>IF($G1106=0,"--",IFERROR(_xll.ciqfunctions.udf.CIQ($G1106,$I1106,P111,Valuation_Date_GC,ReportType,DataMode,$H1106,FXMode)*Scale-P1044,"--"))</f>
        <v>--</v>
      </c>
      <c r="R1106" s="255"/>
      <c r="AG1106" s="2060"/>
      <c r="AH1106" s="2060"/>
    </row>
    <row r="1107" spans="1:34" s="89" customFormat="1" ht="13.9">
      <c r="A1107" s="269" t="str">
        <f t="shared" si="227"/>
        <v>n</v>
      </c>
      <c r="B1107" s="2060"/>
      <c r="D1107" s="801"/>
      <c r="E1107" s="1505">
        <v>13</v>
      </c>
      <c r="F1107" s="21" t="str">
        <f>F$141</f>
        <v>--</v>
      </c>
      <c r="G1107" s="1441">
        <f>G$141</f>
        <v>0</v>
      </c>
      <c r="H1107" s="1441" t="str">
        <f>H$141</f>
        <v>--</v>
      </c>
      <c r="I1107" s="89" t="s">
        <v>828</v>
      </c>
      <c r="K1107" s="2301" t="str">
        <f>IF($G1107=0,"--",IFERROR(_xll.ciqfunctions.udf.CIQ($G1107,$I1107,K112,Valuation_Date_GC,ReportType,DataMode,$H1107,FXMode)*Scale-K1045,"--"))</f>
        <v>--</v>
      </c>
      <c r="L1107" s="2301" t="str">
        <f>IF($G1107=0,"--",IFERROR(_xll.ciqfunctions.udf.CIQ($G1107,$I1107,L112,Valuation_Date_GC,ReportType,DataMode,$H1107,FXMode)*Scale-L1045,"--"))</f>
        <v>--</v>
      </c>
      <c r="M1107" s="2301" t="str">
        <f>IF($G1107=0,"--",IFERROR(_xll.ciqfunctions.udf.CIQ($G1107,$I1107,M112,Valuation_Date_GC,ReportType,DataMode,$H1107,FXMode)*Scale-M1045,"--"))</f>
        <v>--</v>
      </c>
      <c r="N1107" s="2301" t="str">
        <f>IF($G1107=0,"--",IFERROR(_xll.ciqfunctions.udf.CIQ($G1107,$I1107,N112,Valuation_Date_GC,ReportType,DataMode,$H1107,FXMode)*Scale-N1045,"--"))</f>
        <v>--</v>
      </c>
      <c r="O1107" s="1471" t="str">
        <f>IF($G1107=0,"--",IFERROR(_xll.ciqfunctions.udf.CIQ($G1107,$I1107,O112,Valuation_Date_GC,ReportType,DataMode,$H1107,FXMode)*Scale-O1045,"--"))</f>
        <v>--</v>
      </c>
      <c r="P1107" s="2301" t="str">
        <f>IF($G1107=0,"--",IFERROR(_xll.ciqfunctions.udf.CIQ($G1107,$I1107,P112,Valuation_Date_GC,ReportType,DataMode,$H1107,FXMode)*Scale-P1045,"--"))</f>
        <v>--</v>
      </c>
      <c r="R1107" s="255"/>
      <c r="AG1107" s="2060"/>
      <c r="AH1107" s="2060"/>
    </row>
    <row r="1108" spans="1:34" s="89" customFormat="1" ht="13.9">
      <c r="A1108" s="269" t="str">
        <f t="shared" si="227"/>
        <v>n</v>
      </c>
      <c r="B1108" s="2060"/>
      <c r="D1108" s="801"/>
      <c r="E1108" s="1505">
        <v>14</v>
      </c>
      <c r="F1108" s="21" t="str">
        <f>F$142</f>
        <v>--</v>
      </c>
      <c r="G1108" s="1441">
        <f>G$142</f>
        <v>0</v>
      </c>
      <c r="H1108" s="1441" t="str">
        <f>H$142</f>
        <v>--</v>
      </c>
      <c r="I1108" s="89" t="s">
        <v>828</v>
      </c>
      <c r="K1108" s="2301" t="str">
        <f>IF($G1108=0,"--",IFERROR(_xll.ciqfunctions.udf.CIQ($G1108,$I1108,K113,Valuation_Date_GC,ReportType,DataMode,$H1108,FXMode)*Scale-K1046,"--"))</f>
        <v>--</v>
      </c>
      <c r="L1108" s="2301" t="str">
        <f>IF($G1108=0,"--",IFERROR(_xll.ciqfunctions.udf.CIQ($G1108,$I1108,L113,Valuation_Date_GC,ReportType,DataMode,$H1108,FXMode)*Scale-L1046,"--"))</f>
        <v>--</v>
      </c>
      <c r="M1108" s="2301" t="str">
        <f>IF($G1108=0,"--",IFERROR(_xll.ciqfunctions.udf.CIQ($G1108,$I1108,M113,Valuation_Date_GC,ReportType,DataMode,$H1108,FXMode)*Scale-M1046,"--"))</f>
        <v>--</v>
      </c>
      <c r="N1108" s="2301" t="str">
        <f>IF($G1108=0,"--",IFERROR(_xll.ciqfunctions.udf.CIQ($G1108,$I1108,N113,Valuation_Date_GC,ReportType,DataMode,$H1108,FXMode)*Scale-N1046,"--"))</f>
        <v>--</v>
      </c>
      <c r="O1108" s="1471" t="str">
        <f>IF($G1108=0,"--",IFERROR(_xll.ciqfunctions.udf.CIQ($G1108,$I1108,O113,Valuation_Date_GC,ReportType,DataMode,$H1108,FXMode)*Scale-O1046,"--"))</f>
        <v>--</v>
      </c>
      <c r="P1108" s="2301" t="str">
        <f>IF($G1108=0,"--",IFERROR(_xll.ciqfunctions.udf.CIQ($G1108,$I1108,P113,Valuation_Date_GC,ReportType,DataMode,$H1108,FXMode)*Scale-P1046,"--"))</f>
        <v>--</v>
      </c>
      <c r="R1108" s="255"/>
      <c r="AG1108" s="2060"/>
      <c r="AH1108" s="2060"/>
    </row>
    <row r="1109" spans="1:34" s="89" customFormat="1" ht="13.9">
      <c r="A1109" s="269" t="str">
        <f t="shared" si="227"/>
        <v>n</v>
      </c>
      <c r="B1109" s="2060"/>
      <c r="D1109" s="801"/>
      <c r="E1109" s="1505">
        <v>15</v>
      </c>
      <c r="F1109" s="21" t="str">
        <f>F$143</f>
        <v>--</v>
      </c>
      <c r="G1109" s="1441">
        <f>G$143</f>
        <v>0</v>
      </c>
      <c r="H1109" s="1441" t="str">
        <f>H$143</f>
        <v>--</v>
      </c>
      <c r="I1109" s="89" t="s">
        <v>828</v>
      </c>
      <c r="K1109" s="2301" t="str">
        <f>IF($G1109=0,"--",IFERROR(_xll.ciqfunctions.udf.CIQ($G1109,$I1109,K114,Valuation_Date_GC,ReportType,DataMode,$H1109,FXMode)*Scale-K1047,"--"))</f>
        <v>--</v>
      </c>
      <c r="L1109" s="2301" t="str">
        <f>IF($G1109=0,"--",IFERROR(_xll.ciqfunctions.udf.CIQ($G1109,$I1109,L114,Valuation_Date_GC,ReportType,DataMode,$H1109,FXMode)*Scale-L1047,"--"))</f>
        <v>--</v>
      </c>
      <c r="M1109" s="2301" t="str">
        <f>IF($G1109=0,"--",IFERROR(_xll.ciqfunctions.udf.CIQ($G1109,$I1109,M114,Valuation_Date_GC,ReportType,DataMode,$H1109,FXMode)*Scale-M1047,"--"))</f>
        <v>--</v>
      </c>
      <c r="N1109" s="2301" t="str">
        <f>IF($G1109=0,"--",IFERROR(_xll.ciqfunctions.udf.CIQ($G1109,$I1109,N114,Valuation_Date_GC,ReportType,DataMode,$H1109,FXMode)*Scale-N1047,"--"))</f>
        <v>--</v>
      </c>
      <c r="O1109" s="1471" t="str">
        <f>IF($G1109=0,"--",IFERROR(_xll.ciqfunctions.udf.CIQ($G1109,$I1109,O114,Valuation_Date_GC,ReportType,DataMode,$H1109,FXMode)*Scale-O1047,"--"))</f>
        <v>--</v>
      </c>
      <c r="P1109" s="2301" t="str">
        <f>IF($G1109=0,"--",IFERROR(_xll.ciqfunctions.udf.CIQ($G1109,$I1109,P114,Valuation_Date_GC,ReportType,DataMode,$H1109,FXMode)*Scale-P1047,"--"))</f>
        <v>--</v>
      </c>
      <c r="R1109" s="255"/>
      <c r="AG1109" s="2060"/>
      <c r="AH1109" s="2060"/>
    </row>
    <row r="1110" spans="1:34" s="89" customFormat="1" ht="13.9">
      <c r="A1110" s="269" t="str">
        <f t="shared" si="227"/>
        <v>n</v>
      </c>
      <c r="B1110" s="2060"/>
      <c r="D1110" s="801"/>
      <c r="E1110" s="1505">
        <v>16</v>
      </c>
      <c r="F1110" s="21" t="str">
        <f>F$144</f>
        <v>--</v>
      </c>
      <c r="G1110" s="1441">
        <f>G$144</f>
        <v>0</v>
      </c>
      <c r="H1110" s="1441" t="str">
        <f>H$144</f>
        <v>--</v>
      </c>
      <c r="I1110" s="89" t="s">
        <v>828</v>
      </c>
      <c r="K1110" s="2301" t="str">
        <f>IF($G1110=0,"--",IFERROR(_xll.ciqfunctions.udf.CIQ($G1110,$I1110,K115,Valuation_Date_GC,ReportType,DataMode,$H1110,FXMode)*Scale-K1048,"--"))</f>
        <v>--</v>
      </c>
      <c r="L1110" s="2301" t="str">
        <f>IF($G1110=0,"--",IFERROR(_xll.ciqfunctions.udf.CIQ($G1110,$I1110,L115,Valuation_Date_GC,ReportType,DataMode,$H1110,FXMode)*Scale-L1048,"--"))</f>
        <v>--</v>
      </c>
      <c r="M1110" s="2301" t="str">
        <f>IF($G1110=0,"--",IFERROR(_xll.ciqfunctions.udf.CIQ($G1110,$I1110,M115,Valuation_Date_GC,ReportType,DataMode,$H1110,FXMode)*Scale-M1048,"--"))</f>
        <v>--</v>
      </c>
      <c r="N1110" s="2301" t="str">
        <f>IF($G1110=0,"--",IFERROR(_xll.ciqfunctions.udf.CIQ($G1110,$I1110,N115,Valuation_Date_GC,ReportType,DataMode,$H1110,FXMode)*Scale-N1048,"--"))</f>
        <v>--</v>
      </c>
      <c r="O1110" s="1471" t="str">
        <f>IF($G1110=0,"--",IFERROR(_xll.ciqfunctions.udf.CIQ($G1110,$I1110,O115,Valuation_Date_GC,ReportType,DataMode,$H1110,FXMode)*Scale-O1048,"--"))</f>
        <v>--</v>
      </c>
      <c r="P1110" s="2301" t="str">
        <f>IF($G1110=0,"--",IFERROR(_xll.ciqfunctions.udf.CIQ($G1110,$I1110,P115,Valuation_Date_GC,ReportType,DataMode,$H1110,FXMode)*Scale-P1048,"--"))</f>
        <v>--</v>
      </c>
      <c r="R1110" s="255"/>
      <c r="AG1110" s="2060"/>
      <c r="AH1110" s="2060"/>
    </row>
    <row r="1111" spans="1:34" s="89" customFormat="1" ht="13.9">
      <c r="A1111" s="269" t="str">
        <f t="shared" si="227"/>
        <v>n</v>
      </c>
      <c r="B1111" s="2060"/>
      <c r="D1111" s="801"/>
      <c r="E1111" s="1505">
        <v>17</v>
      </c>
      <c r="F1111" s="21" t="str">
        <f>F$145</f>
        <v>--</v>
      </c>
      <c r="G1111" s="1441">
        <f>G$145</f>
        <v>0</v>
      </c>
      <c r="H1111" s="1441" t="str">
        <f>H$145</f>
        <v>--</v>
      </c>
      <c r="I1111" s="89" t="s">
        <v>828</v>
      </c>
      <c r="K1111" s="2301" t="str">
        <f>IF($G1111=0,"--",IFERROR(_xll.ciqfunctions.udf.CIQ($G1111,$I1111,K116,Valuation_Date_GC,ReportType,DataMode,$H1111,FXMode)*Scale-K1049,"--"))</f>
        <v>--</v>
      </c>
      <c r="L1111" s="2301" t="str">
        <f>IF($G1111=0,"--",IFERROR(_xll.ciqfunctions.udf.CIQ($G1111,$I1111,L116,Valuation_Date_GC,ReportType,DataMode,$H1111,FXMode)*Scale-L1049,"--"))</f>
        <v>--</v>
      </c>
      <c r="M1111" s="2301" t="str">
        <f>IF($G1111=0,"--",IFERROR(_xll.ciqfunctions.udf.CIQ($G1111,$I1111,M116,Valuation_Date_GC,ReportType,DataMode,$H1111,FXMode)*Scale-M1049,"--"))</f>
        <v>--</v>
      </c>
      <c r="N1111" s="2301" t="str">
        <f>IF($G1111=0,"--",IFERROR(_xll.ciqfunctions.udf.CIQ($G1111,$I1111,N116,Valuation_Date_GC,ReportType,DataMode,$H1111,FXMode)*Scale-N1049,"--"))</f>
        <v>--</v>
      </c>
      <c r="O1111" s="1471" t="str">
        <f>IF($G1111=0,"--",IFERROR(_xll.ciqfunctions.udf.CIQ($G1111,$I1111,O116,Valuation_Date_GC,ReportType,DataMode,$H1111,FXMode)*Scale-O1049,"--"))</f>
        <v>--</v>
      </c>
      <c r="P1111" s="2301" t="str">
        <f>IF($G1111=0,"--",IFERROR(_xll.ciqfunctions.udf.CIQ($G1111,$I1111,P116,Valuation_Date_GC,ReportType,DataMode,$H1111,FXMode)*Scale-P1049,"--"))</f>
        <v>--</v>
      </c>
      <c r="R1111" s="255"/>
      <c r="AG1111" s="2060"/>
      <c r="AH1111" s="2060"/>
    </row>
    <row r="1112" spans="1:34" s="89" customFormat="1" ht="13.9">
      <c r="A1112" s="269" t="str">
        <f t="shared" si="227"/>
        <v>n</v>
      </c>
      <c r="B1112" s="2060"/>
      <c r="D1112" s="801"/>
      <c r="E1112" s="1505">
        <v>18</v>
      </c>
      <c r="F1112" s="21" t="str">
        <f>F$146</f>
        <v>--</v>
      </c>
      <c r="G1112" s="1441">
        <f>G$146</f>
        <v>0</v>
      </c>
      <c r="H1112" s="1441" t="str">
        <f>H$146</f>
        <v>--</v>
      </c>
      <c r="I1112" s="89" t="s">
        <v>828</v>
      </c>
      <c r="K1112" s="2301" t="str">
        <f>IF($G1112=0,"--",IFERROR(_xll.ciqfunctions.udf.CIQ($G1112,$I1112,K117,Valuation_Date_GC,ReportType,DataMode,$H1112,FXMode)*Scale-K1050,"--"))</f>
        <v>--</v>
      </c>
      <c r="L1112" s="2301" t="str">
        <f>IF($G1112=0,"--",IFERROR(_xll.ciqfunctions.udf.CIQ($G1112,$I1112,L117,Valuation_Date_GC,ReportType,DataMode,$H1112,FXMode)*Scale-L1050,"--"))</f>
        <v>--</v>
      </c>
      <c r="M1112" s="2301" t="str">
        <f>IF($G1112=0,"--",IFERROR(_xll.ciqfunctions.udf.CIQ($G1112,$I1112,M117,Valuation_Date_GC,ReportType,DataMode,$H1112,FXMode)*Scale-M1050,"--"))</f>
        <v>--</v>
      </c>
      <c r="N1112" s="2301" t="str">
        <f>IF($G1112=0,"--",IFERROR(_xll.ciqfunctions.udf.CIQ($G1112,$I1112,N117,Valuation_Date_GC,ReportType,DataMode,$H1112,FXMode)*Scale-N1050,"--"))</f>
        <v>--</v>
      </c>
      <c r="O1112" s="1471" t="str">
        <f>IF($G1112=0,"--",IFERROR(_xll.ciqfunctions.udf.CIQ($G1112,$I1112,O117,Valuation_Date_GC,ReportType,DataMode,$H1112,FXMode)*Scale-O1050,"--"))</f>
        <v>--</v>
      </c>
      <c r="P1112" s="2301" t="str">
        <f>IF($G1112=0,"--",IFERROR(_xll.ciqfunctions.udf.CIQ($G1112,$I1112,P117,Valuation_Date_GC,ReportType,DataMode,$H1112,FXMode)*Scale-P1050,"--"))</f>
        <v>--</v>
      </c>
      <c r="R1112" s="255"/>
      <c r="AG1112" s="2060"/>
      <c r="AH1112" s="2060"/>
    </row>
    <row r="1113" spans="1:34" s="89" customFormat="1" ht="13.9">
      <c r="A1113" s="269" t="str">
        <f t="shared" si="227"/>
        <v>n</v>
      </c>
      <c r="B1113" s="2060"/>
      <c r="D1113" s="801"/>
      <c r="E1113" s="1505">
        <v>19</v>
      </c>
      <c r="F1113" s="21" t="str">
        <f>F$147</f>
        <v>--</v>
      </c>
      <c r="G1113" s="1441">
        <f>G$147</f>
        <v>0</v>
      </c>
      <c r="H1113" s="1441" t="str">
        <f>H$147</f>
        <v>--</v>
      </c>
      <c r="I1113" s="89" t="s">
        <v>828</v>
      </c>
      <c r="K1113" s="2301" t="str">
        <f>IF($G1113=0,"--",IFERROR(_xll.ciqfunctions.udf.CIQ($G1113,$I1113,K118,Valuation_Date_GC,ReportType,DataMode,$H1113,FXMode)*Scale-K1051,"--"))</f>
        <v>--</v>
      </c>
      <c r="L1113" s="2301" t="str">
        <f>IF($G1113=0,"--",IFERROR(_xll.ciqfunctions.udf.CIQ($G1113,$I1113,L118,Valuation_Date_GC,ReportType,DataMode,$H1113,FXMode)*Scale-L1051,"--"))</f>
        <v>--</v>
      </c>
      <c r="M1113" s="2301" t="str">
        <f>IF($G1113=0,"--",IFERROR(_xll.ciqfunctions.udf.CIQ($G1113,$I1113,M118,Valuation_Date_GC,ReportType,DataMode,$H1113,FXMode)*Scale-M1051,"--"))</f>
        <v>--</v>
      </c>
      <c r="N1113" s="2301" t="str">
        <f>IF($G1113=0,"--",IFERROR(_xll.ciqfunctions.udf.CIQ($G1113,$I1113,N118,Valuation_Date_GC,ReportType,DataMode,$H1113,FXMode)*Scale-N1051,"--"))</f>
        <v>--</v>
      </c>
      <c r="O1113" s="1471" t="str">
        <f>IF($G1113=0,"--",IFERROR(_xll.ciqfunctions.udf.CIQ($G1113,$I1113,O118,Valuation_Date_GC,ReportType,DataMode,$H1113,FXMode)*Scale-O1051,"--"))</f>
        <v>--</v>
      </c>
      <c r="P1113" s="2301" t="str">
        <f>IF($G1113=0,"--",IFERROR(_xll.ciqfunctions.udf.CIQ($G1113,$I1113,P118,Valuation_Date_GC,ReportType,DataMode,$H1113,FXMode)*Scale-P1051,"--"))</f>
        <v>--</v>
      </c>
      <c r="R1113" s="255"/>
      <c r="AG1113" s="2060"/>
      <c r="AH1113" s="2060"/>
    </row>
    <row r="1114" spans="1:34" s="89" customFormat="1" ht="13.9">
      <c r="A1114" s="269" t="str">
        <f t="shared" si="227"/>
        <v>n</v>
      </c>
      <c r="B1114" s="2060"/>
      <c r="D1114" s="801"/>
      <c r="E1114" s="1505">
        <v>20</v>
      </c>
      <c r="F1114" s="21" t="str">
        <f>F$148</f>
        <v>--</v>
      </c>
      <c r="G1114" s="1441">
        <f>G$148</f>
        <v>0</v>
      </c>
      <c r="H1114" s="1441" t="str">
        <f>H$148</f>
        <v>--</v>
      </c>
      <c r="I1114" s="89" t="s">
        <v>828</v>
      </c>
      <c r="K1114" s="2301" t="str">
        <f>IF($G1114=0,"--",IFERROR(_xll.ciqfunctions.udf.CIQ($G1114,$I1114,K119,Valuation_Date_GC,ReportType,DataMode,$H1114,FXMode)*Scale-K1052,"--"))</f>
        <v>--</v>
      </c>
      <c r="L1114" s="2301" t="str">
        <f>IF($G1114=0,"--",IFERROR(_xll.ciqfunctions.udf.CIQ($G1114,$I1114,L119,Valuation_Date_GC,ReportType,DataMode,$H1114,FXMode)*Scale-L1052,"--"))</f>
        <v>--</v>
      </c>
      <c r="M1114" s="2301" t="str">
        <f>IF($G1114=0,"--",IFERROR(_xll.ciqfunctions.udf.CIQ($G1114,$I1114,M119,Valuation_Date_GC,ReportType,DataMode,$H1114,FXMode)*Scale-M1052,"--"))</f>
        <v>--</v>
      </c>
      <c r="N1114" s="2301" t="str">
        <f>IF($G1114=0,"--",IFERROR(_xll.ciqfunctions.udf.CIQ($G1114,$I1114,N119,Valuation_Date_GC,ReportType,DataMode,$H1114,FXMode)*Scale-N1052,"--"))</f>
        <v>--</v>
      </c>
      <c r="O1114" s="1471" t="str">
        <f>IF($G1114=0,"--",IFERROR(_xll.ciqfunctions.udf.CIQ($G1114,$I1114,O119,Valuation_Date_GC,ReportType,DataMode,$H1114,FXMode)*Scale-O1052,"--"))</f>
        <v>--</v>
      </c>
      <c r="P1114" s="2301" t="str">
        <f>IF($G1114=0,"--",IFERROR(_xll.ciqfunctions.udf.CIQ($G1114,$I1114,P119,Valuation_Date_GC,ReportType,DataMode,$H1114,FXMode)*Scale-P1052,"--"))</f>
        <v>--</v>
      </c>
      <c r="R1114" s="255"/>
      <c r="AG1114" s="2060"/>
      <c r="AH1114" s="2060"/>
    </row>
    <row r="1115" spans="1:34" s="89" customFormat="1" ht="13.9">
      <c r="A1115" s="269" t="str">
        <f t="shared" si="227"/>
        <v>n</v>
      </c>
      <c r="B1115" s="2060"/>
      <c r="D1115" s="801"/>
      <c r="E1115" s="1505">
        <v>21</v>
      </c>
      <c r="F1115" s="21" t="str">
        <f>F$149</f>
        <v>--</v>
      </c>
      <c r="G1115" s="1441">
        <f>G$149</f>
        <v>0</v>
      </c>
      <c r="H1115" s="1441" t="str">
        <f>H$149</f>
        <v>--</v>
      </c>
      <c r="I1115" s="89" t="s">
        <v>828</v>
      </c>
      <c r="K1115" s="2301" t="str">
        <f>IF($G1115=0,"--",IFERROR(_xll.ciqfunctions.udf.CIQ($G1115,$I1115,K120,Valuation_Date_GC,ReportType,DataMode,$H1115,FXMode)*Scale-K1053,"--"))</f>
        <v>--</v>
      </c>
      <c r="L1115" s="2301" t="str">
        <f>IF($G1115=0,"--",IFERROR(_xll.ciqfunctions.udf.CIQ($G1115,$I1115,L120,Valuation_Date_GC,ReportType,DataMode,$H1115,FXMode)*Scale-L1053,"--"))</f>
        <v>--</v>
      </c>
      <c r="M1115" s="2301" t="str">
        <f>IF($G1115=0,"--",IFERROR(_xll.ciqfunctions.udf.CIQ($G1115,$I1115,M120,Valuation_Date_GC,ReportType,DataMode,$H1115,FXMode)*Scale-M1053,"--"))</f>
        <v>--</v>
      </c>
      <c r="N1115" s="2301" t="str">
        <f>IF($G1115=0,"--",IFERROR(_xll.ciqfunctions.udf.CIQ($G1115,$I1115,N120,Valuation_Date_GC,ReportType,DataMode,$H1115,FXMode)*Scale-N1053,"--"))</f>
        <v>--</v>
      </c>
      <c r="O1115" s="1471" t="str">
        <f>IF($G1115=0,"--",IFERROR(_xll.ciqfunctions.udf.CIQ($G1115,$I1115,O120,Valuation_Date_GC,ReportType,DataMode,$H1115,FXMode)*Scale-O1053,"--"))</f>
        <v>--</v>
      </c>
      <c r="P1115" s="2301" t="str">
        <f>IF($G1115=0,"--",IFERROR(_xll.ciqfunctions.udf.CIQ($G1115,$I1115,P120,Valuation_Date_GC,ReportType,DataMode,$H1115,FXMode)*Scale-P1053,"--"))</f>
        <v>--</v>
      </c>
      <c r="R1115" s="255"/>
      <c r="AG1115" s="2060"/>
      <c r="AH1115" s="2060"/>
    </row>
    <row r="1116" spans="1:34" s="89" customFormat="1" ht="13.9">
      <c r="A1116" s="269" t="str">
        <f t="shared" si="227"/>
        <v>n</v>
      </c>
      <c r="B1116" s="2060"/>
      <c r="D1116" s="801"/>
      <c r="E1116" s="1505">
        <v>22</v>
      </c>
      <c r="F1116" s="21" t="str">
        <f>F$150</f>
        <v>--</v>
      </c>
      <c r="G1116" s="1441">
        <f>G$150</f>
        <v>0</v>
      </c>
      <c r="H1116" s="1441" t="str">
        <f>H$150</f>
        <v>--</v>
      </c>
      <c r="I1116" s="89" t="s">
        <v>828</v>
      </c>
      <c r="K1116" s="2301" t="str">
        <f>IF($G1116=0,"--",IFERROR(_xll.ciqfunctions.udf.CIQ($G1116,$I1116,K121,Valuation_Date_GC,ReportType,DataMode,$H1116,FXMode)*Scale-K1054,"--"))</f>
        <v>--</v>
      </c>
      <c r="L1116" s="2301" t="str">
        <f>IF($G1116=0,"--",IFERROR(_xll.ciqfunctions.udf.CIQ($G1116,$I1116,L121,Valuation_Date_GC,ReportType,DataMode,$H1116,FXMode)*Scale-L1054,"--"))</f>
        <v>--</v>
      </c>
      <c r="M1116" s="2301" t="str">
        <f>IF($G1116=0,"--",IFERROR(_xll.ciqfunctions.udf.CIQ($G1116,$I1116,M121,Valuation_Date_GC,ReportType,DataMode,$H1116,FXMode)*Scale-M1054,"--"))</f>
        <v>--</v>
      </c>
      <c r="N1116" s="2301" t="str">
        <f>IF($G1116=0,"--",IFERROR(_xll.ciqfunctions.udf.CIQ($G1116,$I1116,N121,Valuation_Date_GC,ReportType,DataMode,$H1116,FXMode)*Scale-N1054,"--"))</f>
        <v>--</v>
      </c>
      <c r="O1116" s="1471" t="str">
        <f>IF($G1116=0,"--",IFERROR(_xll.ciqfunctions.udf.CIQ($G1116,$I1116,O121,Valuation_Date_GC,ReportType,DataMode,$H1116,FXMode)*Scale-O1054,"--"))</f>
        <v>--</v>
      </c>
      <c r="P1116" s="2301" t="str">
        <f>IF($G1116=0,"--",IFERROR(_xll.ciqfunctions.udf.CIQ($G1116,$I1116,P121,Valuation_Date_GC,ReportType,DataMode,$H1116,FXMode)*Scale-P1054,"--"))</f>
        <v>--</v>
      </c>
      <c r="R1116" s="255"/>
      <c r="AG1116" s="2060"/>
      <c r="AH1116" s="2060"/>
    </row>
    <row r="1117" spans="1:34" s="89" customFormat="1" ht="13.9">
      <c r="A1117" s="269" t="str">
        <f t="shared" si="227"/>
        <v>n</v>
      </c>
      <c r="B1117" s="2060"/>
      <c r="D1117" s="801"/>
      <c r="E1117" s="1505">
        <v>23</v>
      </c>
      <c r="F1117" s="21" t="str">
        <f>F$151</f>
        <v>--</v>
      </c>
      <c r="G1117" s="1441">
        <f>G$151</f>
        <v>0</v>
      </c>
      <c r="H1117" s="1441" t="str">
        <f>H$151</f>
        <v>--</v>
      </c>
      <c r="I1117" s="89" t="s">
        <v>828</v>
      </c>
      <c r="K1117" s="2301" t="str">
        <f>IF($G1117=0,"--",IFERROR(_xll.ciqfunctions.udf.CIQ($G1117,$I1117,K122,Valuation_Date_GC,ReportType,DataMode,$H1117,FXMode)*Scale-K1055,"--"))</f>
        <v>--</v>
      </c>
      <c r="L1117" s="2301" t="str">
        <f>IF($G1117=0,"--",IFERROR(_xll.ciqfunctions.udf.CIQ($G1117,$I1117,L122,Valuation_Date_GC,ReportType,DataMode,$H1117,FXMode)*Scale-L1055,"--"))</f>
        <v>--</v>
      </c>
      <c r="M1117" s="2301" t="str">
        <f>IF($G1117=0,"--",IFERROR(_xll.ciqfunctions.udf.CIQ($G1117,$I1117,M122,Valuation_Date_GC,ReportType,DataMode,$H1117,FXMode)*Scale-M1055,"--"))</f>
        <v>--</v>
      </c>
      <c r="N1117" s="2301" t="str">
        <f>IF($G1117=0,"--",IFERROR(_xll.ciqfunctions.udf.CIQ($G1117,$I1117,N122,Valuation_Date_GC,ReportType,DataMode,$H1117,FXMode)*Scale-N1055,"--"))</f>
        <v>--</v>
      </c>
      <c r="O1117" s="1471" t="str">
        <f>IF($G1117=0,"--",IFERROR(_xll.ciqfunctions.udf.CIQ($G1117,$I1117,O122,Valuation_Date_GC,ReportType,DataMode,$H1117,FXMode)*Scale-O1055,"--"))</f>
        <v>--</v>
      </c>
      <c r="P1117" s="2301" t="str">
        <f>IF($G1117=0,"--",IFERROR(_xll.ciqfunctions.udf.CIQ($G1117,$I1117,P122,Valuation_Date_GC,ReportType,DataMode,$H1117,FXMode)*Scale-P1055,"--"))</f>
        <v>--</v>
      </c>
      <c r="R1117" s="255"/>
      <c r="AG1117" s="2060"/>
      <c r="AH1117" s="2060"/>
    </row>
    <row r="1118" spans="1:34" s="89" customFormat="1" ht="13.9">
      <c r="A1118" s="269" t="str">
        <f t="shared" si="227"/>
        <v>n</v>
      </c>
      <c r="B1118" s="2060"/>
      <c r="D1118" s="801"/>
      <c r="E1118" s="1505">
        <v>24</v>
      </c>
      <c r="F1118" s="21" t="str">
        <f>F$152</f>
        <v>--</v>
      </c>
      <c r="G1118" s="1441">
        <f>G$152</f>
        <v>0</v>
      </c>
      <c r="H1118" s="1441" t="str">
        <f>H$152</f>
        <v>--</v>
      </c>
      <c r="I1118" s="89" t="s">
        <v>828</v>
      </c>
      <c r="K1118" s="2301" t="str">
        <f>IF($G1118=0,"--",IFERROR(_xll.ciqfunctions.udf.CIQ($G1118,$I1118,K123,Valuation_Date_GC,ReportType,DataMode,$H1118,FXMode)*Scale-K1056,"--"))</f>
        <v>--</v>
      </c>
      <c r="L1118" s="2301" t="str">
        <f>IF($G1118=0,"--",IFERROR(_xll.ciqfunctions.udf.CIQ($G1118,$I1118,L123,Valuation_Date_GC,ReportType,DataMode,$H1118,FXMode)*Scale-L1056,"--"))</f>
        <v>--</v>
      </c>
      <c r="M1118" s="2301" t="str">
        <f>IF($G1118=0,"--",IFERROR(_xll.ciqfunctions.udf.CIQ($G1118,$I1118,M123,Valuation_Date_GC,ReportType,DataMode,$H1118,FXMode)*Scale-M1056,"--"))</f>
        <v>--</v>
      </c>
      <c r="N1118" s="2301" t="str">
        <f>IF($G1118=0,"--",IFERROR(_xll.ciqfunctions.udf.CIQ($G1118,$I1118,N123,Valuation_Date_GC,ReportType,DataMode,$H1118,FXMode)*Scale-N1056,"--"))</f>
        <v>--</v>
      </c>
      <c r="O1118" s="1471" t="str">
        <f>IF($G1118=0,"--",IFERROR(_xll.ciqfunctions.udf.CIQ($G1118,$I1118,O123,Valuation_Date_GC,ReportType,DataMode,$H1118,FXMode)*Scale-O1056,"--"))</f>
        <v>--</v>
      </c>
      <c r="P1118" s="2301" t="str">
        <f>IF($G1118=0,"--",IFERROR(_xll.ciqfunctions.udf.CIQ($G1118,$I1118,P123,Valuation_Date_GC,ReportType,DataMode,$H1118,FXMode)*Scale-P1056,"--"))</f>
        <v>--</v>
      </c>
      <c r="R1118" s="255"/>
      <c r="AG1118" s="2060"/>
      <c r="AH1118" s="2060"/>
    </row>
    <row r="1119" spans="1:34" s="89" customFormat="1" ht="13.9">
      <c r="A1119" s="269" t="str">
        <f t="shared" si="227"/>
        <v>n</v>
      </c>
      <c r="B1119" s="2060"/>
      <c r="D1119" s="801"/>
      <c r="E1119" s="1505">
        <v>25</v>
      </c>
      <c r="F1119" s="21" t="str">
        <f>F$153</f>
        <v>--</v>
      </c>
      <c r="G1119" s="1441">
        <f>G$153</f>
        <v>0</v>
      </c>
      <c r="H1119" s="1441" t="str">
        <f>H$153</f>
        <v>--</v>
      </c>
      <c r="I1119" s="89" t="s">
        <v>828</v>
      </c>
      <c r="K1119" s="2301" t="str">
        <f>IF($G1119=0,"--",IFERROR(_xll.ciqfunctions.udf.CIQ($G1119,$I1119,K124,Valuation_Date_GC,ReportType,DataMode,$H1119,FXMode)*Scale-K1057,"--"))</f>
        <v>--</v>
      </c>
      <c r="L1119" s="2301" t="str">
        <f>IF($G1119=0,"--",IFERROR(_xll.ciqfunctions.udf.CIQ($G1119,$I1119,L124,Valuation_Date_GC,ReportType,DataMode,$H1119,FXMode)*Scale-L1057,"--"))</f>
        <v>--</v>
      </c>
      <c r="M1119" s="2301" t="str">
        <f>IF($G1119=0,"--",IFERROR(_xll.ciqfunctions.udf.CIQ($G1119,$I1119,M124,Valuation_Date_GC,ReportType,DataMode,$H1119,FXMode)*Scale-M1057,"--"))</f>
        <v>--</v>
      </c>
      <c r="N1119" s="2301" t="str">
        <f>IF($G1119=0,"--",IFERROR(_xll.ciqfunctions.udf.CIQ($G1119,$I1119,N124,Valuation_Date_GC,ReportType,DataMode,$H1119,FXMode)*Scale-N1057,"--"))</f>
        <v>--</v>
      </c>
      <c r="O1119" s="1471" t="str">
        <f>IF($G1119=0,"--",IFERROR(_xll.ciqfunctions.udf.CIQ($G1119,$I1119,O124,Valuation_Date_GC,ReportType,DataMode,$H1119,FXMode)*Scale-O1057,"--"))</f>
        <v>--</v>
      </c>
      <c r="P1119" s="2301" t="str">
        <f>IF($G1119=0,"--",IFERROR(_xll.ciqfunctions.udf.CIQ($G1119,$I1119,P124,Valuation_Date_GC,ReportType,DataMode,$H1119,FXMode)*Scale-P1057,"--"))</f>
        <v>--</v>
      </c>
      <c r="R1119" s="255"/>
      <c r="AG1119" s="2060"/>
      <c r="AH1119" s="2060"/>
    </row>
    <row r="1120" spans="1:34" s="89" customFormat="1" ht="13.9">
      <c r="A1120" s="2060"/>
      <c r="B1120" s="2060"/>
      <c r="D1120" s="801"/>
      <c r="F1120" s="57" t="s">
        <v>767</v>
      </c>
      <c r="G1120" s="1442"/>
      <c r="H1120" s="1442"/>
      <c r="I1120" s="1442"/>
      <c r="J1120" s="1442"/>
      <c r="K1120" s="1443" t="str">
        <f t="shared" ref="K1120:P1120" si="228">IFERROR(MEDIAN(K1095:K1119),"--")</f>
        <v>--</v>
      </c>
      <c r="L1120" s="1443" t="str">
        <f t="shared" si="228"/>
        <v>--</v>
      </c>
      <c r="M1120" s="1443" t="str">
        <f t="shared" si="228"/>
        <v>--</v>
      </c>
      <c r="N1120" s="1443" t="str">
        <f t="shared" si="228"/>
        <v>--</v>
      </c>
      <c r="O1120" s="1444" t="str">
        <f t="shared" si="228"/>
        <v>--</v>
      </c>
      <c r="P1120" s="1443" t="str">
        <f t="shared" si="228"/>
        <v>--</v>
      </c>
      <c r="R1120" s="255"/>
      <c r="T1120" s="1513"/>
      <c r="AG1120" s="2060"/>
      <c r="AH1120" s="2060"/>
    </row>
    <row r="1121" spans="1:35" s="89" customFormat="1" ht="13.9">
      <c r="A1121" s="2060"/>
      <c r="B1121" s="2060"/>
      <c r="D1121" s="802"/>
      <c r="E1121" s="21"/>
      <c r="F1121" s="21"/>
      <c r="O1121" s="75"/>
      <c r="P1121" s="76"/>
      <c r="AG1121" s="2060"/>
      <c r="AH1121" s="2060"/>
    </row>
    <row r="1122" spans="1:35" s="89" customFormat="1" ht="18">
      <c r="A1122" s="2060"/>
      <c r="B1122" s="2060"/>
      <c r="C1122" s="1437">
        <f ca="1">MAX(OFFSET(C1122,-1,0,-ROW(C1122)+1,1))+1</f>
        <v>7</v>
      </c>
      <c r="D1122" s="1438" t="s">
        <v>829</v>
      </c>
      <c r="E1122" s="799"/>
      <c r="F1122" s="1451"/>
      <c r="G1122" s="800"/>
      <c r="H1122" s="800"/>
      <c r="I1122" s="800"/>
      <c r="J1122" s="800"/>
      <c r="K1122" s="800"/>
      <c r="L1122" s="1464"/>
      <c r="M1122" s="1464"/>
      <c r="N1122" s="1464"/>
      <c r="O1122" s="75"/>
      <c r="P1122" s="76"/>
      <c r="Q1122" s="1464"/>
      <c r="R1122" s="1464"/>
      <c r="S1122" s="1464"/>
      <c r="T1122" s="1464"/>
      <c r="U1122" s="1464"/>
      <c r="V1122" s="1464"/>
      <c r="W1122" s="1464"/>
      <c r="X1122" s="1464"/>
      <c r="Y1122" s="1464"/>
      <c r="Z1122" s="797"/>
      <c r="AA1122" s="797"/>
      <c r="AB1122" s="797"/>
      <c r="AC1122" s="797"/>
      <c r="AG1122" s="2060"/>
      <c r="AH1122" s="2060"/>
    </row>
    <row r="1123" spans="1:35" s="89" customFormat="1" ht="13.9">
      <c r="A1123" s="2060"/>
      <c r="B1123" s="2060"/>
      <c r="C1123" s="2060"/>
      <c r="D1123" s="2060"/>
      <c r="E1123" s="2060"/>
      <c r="F1123" s="255"/>
      <c r="G1123" s="255"/>
      <c r="H1123" s="255"/>
      <c r="I1123" s="255"/>
      <c r="J1123" s="255"/>
      <c r="K1123" s="255"/>
      <c r="L1123" s="255"/>
      <c r="M1123" s="255"/>
      <c r="N1123" s="255"/>
      <c r="O1123" s="75"/>
      <c r="P1123" s="76"/>
      <c r="Q1123" s="1464"/>
      <c r="R1123" s="1464"/>
      <c r="S1123" s="1464"/>
      <c r="T1123" s="1464"/>
      <c r="U1123" s="1464"/>
      <c r="V1123" s="1464"/>
      <c r="W1123" s="1464"/>
      <c r="X1123" s="1464"/>
      <c r="Y1123" s="1464"/>
      <c r="Z1123" s="797"/>
      <c r="AA1123" s="797"/>
      <c r="AB1123" s="797"/>
      <c r="AC1123" s="797"/>
      <c r="AF1123" s="2060"/>
      <c r="AG1123" s="2060"/>
      <c r="AH1123" s="2060"/>
    </row>
    <row r="1124" spans="1:35" s="89" customFormat="1" ht="13.9">
      <c r="A1124" s="2060"/>
      <c r="B1124" s="2060"/>
      <c r="D1124" s="778">
        <f ca="1">MAX(OFFSET(D1124,-1,0,-ROW(D1124)+1,-2),1)+0.01</f>
        <v>7.01</v>
      </c>
      <c r="E1124" s="125"/>
      <c r="F1124" s="952" t="s">
        <v>466</v>
      </c>
      <c r="G1124" s="724" t="s">
        <v>795</v>
      </c>
      <c r="H1124" s="758" t="s">
        <v>830</v>
      </c>
      <c r="I1124" s="758" t="s">
        <v>831</v>
      </c>
      <c r="J1124" s="758" t="s">
        <v>699</v>
      </c>
      <c r="K1124" s="758" t="s">
        <v>700</v>
      </c>
      <c r="L1124" s="758" t="s">
        <v>701</v>
      </c>
      <c r="M1124" s="758" t="s">
        <v>702</v>
      </c>
      <c r="N1124" s="758" t="s">
        <v>703</v>
      </c>
      <c r="O1124" s="759" t="s">
        <v>704</v>
      </c>
      <c r="P1124" s="725" t="s">
        <v>705</v>
      </c>
      <c r="Q1124" s="255"/>
      <c r="R1124" s="731"/>
      <c r="S1124" s="724"/>
      <c r="T1124" s="724"/>
      <c r="U1124" s="725" t="s">
        <v>707</v>
      </c>
      <c r="V1124" s="725" t="s">
        <v>708</v>
      </c>
      <c r="W1124" s="725" t="s">
        <v>709</v>
      </c>
      <c r="X1124" s="725" t="s">
        <v>710</v>
      </c>
      <c r="Y1124" s="725" t="s">
        <v>711</v>
      </c>
      <c r="AA1124" s="2060"/>
      <c r="AB1124" s="2060"/>
      <c r="AC1124" s="2060"/>
      <c r="AD1124" s="2060"/>
      <c r="AE1124" s="2060"/>
      <c r="AF1124" s="2060"/>
      <c r="AG1124" s="2060"/>
      <c r="AH1124" s="2060"/>
    </row>
    <row r="1125" spans="1:35" s="89" customFormat="1" ht="13.9">
      <c r="A1125" s="2060"/>
      <c r="B1125" s="2060"/>
      <c r="D1125" s="778"/>
      <c r="E1125" s="1505">
        <v>0</v>
      </c>
      <c r="F1125" s="1448" t="str">
        <f>F$128</f>
        <v/>
      </c>
      <c r="G1125" s="1449">
        <f>G$128</f>
        <v>0</v>
      </c>
      <c r="H1125" s="1448" t="s">
        <v>832</v>
      </c>
      <c r="I1125" s="258"/>
      <c r="J1125" s="2321" t="str">
        <f t="shared" ref="J1125:P1125" si="229">IFERROR((J565-I565)/ABS(I565),"n/a")</f>
        <v>n/a</v>
      </c>
      <c r="K1125" s="2321" t="str">
        <f t="shared" si="229"/>
        <v>n/a</v>
      </c>
      <c r="L1125" s="2321" t="str">
        <f t="shared" si="229"/>
        <v>n/a</v>
      </c>
      <c r="M1125" s="2321" t="str">
        <f t="shared" si="229"/>
        <v>n/a</v>
      </c>
      <c r="N1125" s="2321" t="str">
        <f t="shared" si="229"/>
        <v>n/a</v>
      </c>
      <c r="O1125" s="2321" t="str">
        <f t="shared" si="229"/>
        <v>n/a</v>
      </c>
      <c r="P1125" s="2322" t="str">
        <f t="shared" si="229"/>
        <v>n/a</v>
      </c>
      <c r="Q1125" s="255"/>
      <c r="R1125" s="1459"/>
      <c r="U1125" s="2318" t="str">
        <f>IFERROR((U565-O565)/ABS(O565),"--")</f>
        <v>--</v>
      </c>
      <c r="V1125" s="2318" t="str">
        <f t="shared" ref="V1125:Y1150" si="230">IFERROR((V565-U565)/ABS(U565),"--")</f>
        <v>--</v>
      </c>
      <c r="W1125" s="2318" t="str">
        <f t="shared" si="230"/>
        <v>--</v>
      </c>
      <c r="X1125" s="2318" t="str">
        <f t="shared" si="230"/>
        <v>--</v>
      </c>
      <c r="Y1125" s="2318" t="str">
        <f t="shared" si="230"/>
        <v>--</v>
      </c>
      <c r="AA1125" s="2060"/>
      <c r="AB1125" s="2060"/>
      <c r="AC1125" s="2060"/>
      <c r="AD1125" s="2060"/>
      <c r="AE1125" s="2060"/>
      <c r="AF1125" s="2060"/>
      <c r="AG1125" s="2060"/>
      <c r="AH1125" s="2060"/>
    </row>
    <row r="1126" spans="1:35" s="89" customFormat="1" ht="13.9">
      <c r="A1126" s="269" t="str">
        <f>IF(F1126="--","n","")</f>
        <v>n</v>
      </c>
      <c r="B1126" s="2060"/>
      <c r="C1126" s="72"/>
      <c r="D1126" s="801"/>
      <c r="E1126" s="1505">
        <v>1</v>
      </c>
      <c r="F1126" s="21" t="str">
        <f>F$129</f>
        <v>--</v>
      </c>
      <c r="G1126" s="1441">
        <f>G$129</f>
        <v>0</v>
      </c>
      <c r="H1126" s="2314" t="str">
        <f t="shared" ref="H1126:H1150" si="231">IFERROR(($O566/$J566)^(1/5)-1,"--")</f>
        <v>--</v>
      </c>
      <c r="I1126" s="2314" t="str">
        <f t="shared" ref="I1126:I1150" si="232">IFERROR(($O566/$L566)^(1/3)-1,"--")</f>
        <v>--</v>
      </c>
      <c r="J1126" s="2314" t="str">
        <f t="shared" ref="J1126:O1138" si="233">IFERROR((J566-I566)/ABS(I566),"--")</f>
        <v>--</v>
      </c>
      <c r="K1126" s="2314" t="str">
        <f t="shared" si="233"/>
        <v>--</v>
      </c>
      <c r="L1126" s="2314" t="str">
        <f t="shared" si="233"/>
        <v>--</v>
      </c>
      <c r="M1126" s="2314" t="str">
        <f t="shared" si="233"/>
        <v>--</v>
      </c>
      <c r="N1126" s="2314" t="str">
        <f t="shared" si="233"/>
        <v>--</v>
      </c>
      <c r="O1126" s="2323" t="str">
        <f t="shared" si="233"/>
        <v>--</v>
      </c>
      <c r="P1126" s="2314" t="str">
        <f t="shared" ref="P1126:P1150" si="234">IFERROR((P566-R566)/R566,"--")</f>
        <v>--</v>
      </c>
      <c r="Q1126" s="255"/>
      <c r="T1126" s="1513"/>
      <c r="U1126" s="2310" t="str">
        <f t="shared" ref="U1126:U1150" si="235">IFERROR((U566-T566)/ABS(T566),"--")</f>
        <v>--</v>
      </c>
      <c r="V1126" s="2310" t="str">
        <f t="shared" si="230"/>
        <v>--</v>
      </c>
      <c r="W1126" s="2310" t="str">
        <f t="shared" si="230"/>
        <v>--</v>
      </c>
      <c r="X1126" s="2310" t="str">
        <f t="shared" si="230"/>
        <v>--</v>
      </c>
      <c r="Y1126" s="2310" t="str">
        <f t="shared" si="230"/>
        <v>--</v>
      </c>
      <c r="AA1126" s="2060"/>
      <c r="AB1126" s="2060"/>
      <c r="AC1126" s="2060"/>
      <c r="AD1126" s="2060"/>
      <c r="AE1126" s="2060"/>
      <c r="AF1126" s="2060"/>
      <c r="AG1126" s="2060"/>
      <c r="AH1126" s="2060"/>
    </row>
    <row r="1127" spans="1:35" s="89" customFormat="1" ht="13.9">
      <c r="A1127" s="269" t="str">
        <f t="shared" ref="A1127:A1150" si="236">IF(F1127="--","n","")</f>
        <v>n</v>
      </c>
      <c r="B1127" s="2060"/>
      <c r="D1127" s="801"/>
      <c r="E1127" s="1505">
        <v>2</v>
      </c>
      <c r="F1127" s="21" t="str">
        <f>F$130</f>
        <v>--</v>
      </c>
      <c r="G1127" s="1441">
        <f>G$130</f>
        <v>0</v>
      </c>
      <c r="H1127" s="2314" t="str">
        <f t="shared" si="231"/>
        <v>--</v>
      </c>
      <c r="I1127" s="2314" t="str">
        <f t="shared" si="232"/>
        <v>--</v>
      </c>
      <c r="J1127" s="2314" t="str">
        <f t="shared" si="233"/>
        <v>--</v>
      </c>
      <c r="K1127" s="2314" t="str">
        <f t="shared" si="233"/>
        <v>--</v>
      </c>
      <c r="L1127" s="2314" t="str">
        <f t="shared" si="233"/>
        <v>--</v>
      </c>
      <c r="M1127" s="2314" t="str">
        <f t="shared" si="233"/>
        <v>--</v>
      </c>
      <c r="N1127" s="2314" t="str">
        <f t="shared" si="233"/>
        <v>--</v>
      </c>
      <c r="O1127" s="2323" t="str">
        <f t="shared" si="233"/>
        <v>--</v>
      </c>
      <c r="P1127" s="2314" t="str">
        <f t="shared" si="234"/>
        <v>--</v>
      </c>
      <c r="Q1127" s="255"/>
      <c r="T1127" s="1513"/>
      <c r="U1127" s="2310" t="str">
        <f t="shared" si="235"/>
        <v>--</v>
      </c>
      <c r="V1127" s="2310" t="str">
        <f t="shared" si="230"/>
        <v>--</v>
      </c>
      <c r="W1127" s="2310" t="str">
        <f t="shared" si="230"/>
        <v>--</v>
      </c>
      <c r="X1127" s="2310" t="str">
        <f t="shared" si="230"/>
        <v>--</v>
      </c>
      <c r="Y1127" s="2310" t="str">
        <f t="shared" si="230"/>
        <v>--</v>
      </c>
      <c r="AA1127" s="2060"/>
      <c r="AB1127" s="2060"/>
      <c r="AC1127" s="2060"/>
      <c r="AD1127" s="2060"/>
      <c r="AE1127" s="2060"/>
      <c r="AF1127" s="2060"/>
      <c r="AG1127" s="2060"/>
      <c r="AH1127" s="2060"/>
      <c r="AI1127" s="52"/>
    </row>
    <row r="1128" spans="1:35" s="89" customFormat="1" ht="13.9">
      <c r="A1128" s="269" t="str">
        <f t="shared" si="236"/>
        <v>n</v>
      </c>
      <c r="B1128" s="2060"/>
      <c r="C1128" s="72"/>
      <c r="D1128" s="802"/>
      <c r="E1128" s="1505">
        <v>3</v>
      </c>
      <c r="F1128" s="21" t="str">
        <f>F$131</f>
        <v>--</v>
      </c>
      <c r="G1128" s="1441">
        <f>G$131</f>
        <v>0</v>
      </c>
      <c r="H1128" s="2314" t="str">
        <f t="shared" si="231"/>
        <v>--</v>
      </c>
      <c r="I1128" s="2314" t="str">
        <f t="shared" si="232"/>
        <v>--</v>
      </c>
      <c r="J1128" s="2314" t="str">
        <f t="shared" si="233"/>
        <v>--</v>
      </c>
      <c r="K1128" s="2314" t="str">
        <f t="shared" si="233"/>
        <v>--</v>
      </c>
      <c r="L1128" s="2314" t="str">
        <f t="shared" si="233"/>
        <v>--</v>
      </c>
      <c r="M1128" s="2314" t="str">
        <f t="shared" si="233"/>
        <v>--</v>
      </c>
      <c r="N1128" s="2314" t="str">
        <f t="shared" si="233"/>
        <v>--</v>
      </c>
      <c r="O1128" s="2323" t="str">
        <f t="shared" si="233"/>
        <v>--</v>
      </c>
      <c r="P1128" s="2314" t="str">
        <f t="shared" si="234"/>
        <v>--</v>
      </c>
      <c r="Q1128" s="255"/>
      <c r="T1128" s="1513"/>
      <c r="U1128" s="2310" t="str">
        <f t="shared" si="235"/>
        <v>--</v>
      </c>
      <c r="V1128" s="2310" t="str">
        <f t="shared" si="230"/>
        <v>--</v>
      </c>
      <c r="W1128" s="2310" t="str">
        <f t="shared" si="230"/>
        <v>--</v>
      </c>
      <c r="X1128" s="2310" t="str">
        <f t="shared" si="230"/>
        <v>--</v>
      </c>
      <c r="Y1128" s="2310" t="str">
        <f t="shared" si="230"/>
        <v>--</v>
      </c>
      <c r="AA1128" s="2060"/>
      <c r="AB1128" s="2060"/>
      <c r="AC1128" s="2060"/>
      <c r="AD1128" s="2060"/>
      <c r="AE1128" s="2060"/>
      <c r="AF1128" s="2060"/>
      <c r="AG1128" s="2060"/>
      <c r="AH1128" s="2060"/>
      <c r="AI1128" s="15"/>
    </row>
    <row r="1129" spans="1:35" s="89" customFormat="1" ht="13.9">
      <c r="A1129" s="269" t="str">
        <f t="shared" si="236"/>
        <v>n</v>
      </c>
      <c r="B1129" s="2060"/>
      <c r="C1129" s="72"/>
      <c r="D1129" s="801"/>
      <c r="E1129" s="1505">
        <v>4</v>
      </c>
      <c r="F1129" s="21" t="str">
        <f>F$132</f>
        <v>--</v>
      </c>
      <c r="G1129" s="1441">
        <f>G$132</f>
        <v>0</v>
      </c>
      <c r="H1129" s="2314" t="str">
        <f t="shared" si="231"/>
        <v>--</v>
      </c>
      <c r="I1129" s="2314" t="str">
        <f t="shared" si="232"/>
        <v>--</v>
      </c>
      <c r="J1129" s="2314" t="str">
        <f t="shared" si="233"/>
        <v>--</v>
      </c>
      <c r="K1129" s="2314" t="str">
        <f t="shared" si="233"/>
        <v>--</v>
      </c>
      <c r="L1129" s="2314" t="str">
        <f t="shared" si="233"/>
        <v>--</v>
      </c>
      <c r="M1129" s="2314" t="str">
        <f t="shared" si="233"/>
        <v>--</v>
      </c>
      <c r="N1129" s="2314" t="str">
        <f t="shared" si="233"/>
        <v>--</v>
      </c>
      <c r="O1129" s="2323" t="str">
        <f t="shared" si="233"/>
        <v>--</v>
      </c>
      <c r="P1129" s="2314" t="str">
        <f t="shared" si="234"/>
        <v>--</v>
      </c>
      <c r="Q1129" s="255"/>
      <c r="T1129" s="1513"/>
      <c r="U1129" s="2310" t="str">
        <f t="shared" si="235"/>
        <v>--</v>
      </c>
      <c r="V1129" s="2310" t="str">
        <f t="shared" si="230"/>
        <v>--</v>
      </c>
      <c r="W1129" s="2310" t="str">
        <f t="shared" si="230"/>
        <v>--</v>
      </c>
      <c r="X1129" s="2310" t="str">
        <f t="shared" si="230"/>
        <v>--</v>
      </c>
      <c r="Y1129" s="2310" t="str">
        <f t="shared" si="230"/>
        <v>--</v>
      </c>
      <c r="AA1129" s="2060"/>
      <c r="AB1129" s="2060"/>
      <c r="AC1129" s="2060"/>
      <c r="AD1129" s="2060"/>
      <c r="AE1129" s="2060"/>
      <c r="AF1129" s="2060"/>
      <c r="AG1129" s="2060"/>
      <c r="AH1129" s="2060"/>
      <c r="AI1129" s="15"/>
    </row>
    <row r="1130" spans="1:35" s="89" customFormat="1" ht="13.9">
      <c r="A1130" s="269" t="str">
        <f t="shared" si="236"/>
        <v>n</v>
      </c>
      <c r="B1130" s="2060"/>
      <c r="C1130" s="72"/>
      <c r="D1130" s="801"/>
      <c r="E1130" s="1505">
        <v>5</v>
      </c>
      <c r="F1130" s="21" t="str">
        <f>F$133</f>
        <v>--</v>
      </c>
      <c r="G1130" s="1441">
        <f>G$133</f>
        <v>0</v>
      </c>
      <c r="H1130" s="2314" t="str">
        <f t="shared" si="231"/>
        <v>--</v>
      </c>
      <c r="I1130" s="2314" t="str">
        <f t="shared" si="232"/>
        <v>--</v>
      </c>
      <c r="J1130" s="2314" t="str">
        <f t="shared" si="233"/>
        <v>--</v>
      </c>
      <c r="K1130" s="2314" t="str">
        <f t="shared" si="233"/>
        <v>--</v>
      </c>
      <c r="L1130" s="2314" t="str">
        <f t="shared" si="233"/>
        <v>--</v>
      </c>
      <c r="M1130" s="2314" t="str">
        <f t="shared" si="233"/>
        <v>--</v>
      </c>
      <c r="N1130" s="2314" t="str">
        <f t="shared" si="233"/>
        <v>--</v>
      </c>
      <c r="O1130" s="2323" t="str">
        <f t="shared" si="233"/>
        <v>--</v>
      </c>
      <c r="P1130" s="2314" t="str">
        <f t="shared" si="234"/>
        <v>--</v>
      </c>
      <c r="Q1130" s="255"/>
      <c r="T1130" s="1513"/>
      <c r="U1130" s="2310" t="str">
        <f t="shared" si="235"/>
        <v>--</v>
      </c>
      <c r="V1130" s="2310" t="str">
        <f t="shared" si="230"/>
        <v>--</v>
      </c>
      <c r="W1130" s="2310" t="str">
        <f t="shared" si="230"/>
        <v>--</v>
      </c>
      <c r="X1130" s="2310" t="str">
        <f t="shared" si="230"/>
        <v>--</v>
      </c>
      <c r="Y1130" s="2310" t="str">
        <f t="shared" si="230"/>
        <v>--</v>
      </c>
      <c r="AA1130" s="2060"/>
      <c r="AB1130" s="2060"/>
      <c r="AC1130" s="2060"/>
      <c r="AD1130" s="2060"/>
      <c r="AE1130" s="2060"/>
      <c r="AF1130" s="2060"/>
      <c r="AG1130" s="2060"/>
      <c r="AH1130" s="2060"/>
      <c r="AI1130" s="15"/>
    </row>
    <row r="1131" spans="1:35" s="89" customFormat="1" ht="13.9">
      <c r="A1131" s="269" t="str">
        <f t="shared" si="236"/>
        <v>n</v>
      </c>
      <c r="B1131" s="2060"/>
      <c r="C1131" s="72"/>
      <c r="D1131" s="801"/>
      <c r="E1131" s="1505">
        <v>6</v>
      </c>
      <c r="F1131" s="21" t="str">
        <f>F$134</f>
        <v>--</v>
      </c>
      <c r="G1131" s="1441">
        <f>G$134</f>
        <v>0</v>
      </c>
      <c r="H1131" s="2314" t="str">
        <f t="shared" si="231"/>
        <v>--</v>
      </c>
      <c r="I1131" s="2314" t="str">
        <f t="shared" si="232"/>
        <v>--</v>
      </c>
      <c r="J1131" s="2314" t="str">
        <f t="shared" si="233"/>
        <v>--</v>
      </c>
      <c r="K1131" s="2314" t="str">
        <f t="shared" si="233"/>
        <v>--</v>
      </c>
      <c r="L1131" s="2314" t="str">
        <f t="shared" si="233"/>
        <v>--</v>
      </c>
      <c r="M1131" s="2314" t="str">
        <f t="shared" si="233"/>
        <v>--</v>
      </c>
      <c r="N1131" s="2314" t="str">
        <f t="shared" si="233"/>
        <v>--</v>
      </c>
      <c r="O1131" s="2323" t="str">
        <f t="shared" si="233"/>
        <v>--</v>
      </c>
      <c r="P1131" s="2314" t="str">
        <f t="shared" si="234"/>
        <v>--</v>
      </c>
      <c r="Q1131" s="255"/>
      <c r="T1131" s="1513"/>
      <c r="U1131" s="2310" t="str">
        <f t="shared" si="235"/>
        <v>--</v>
      </c>
      <c r="V1131" s="2310" t="str">
        <f t="shared" si="230"/>
        <v>--</v>
      </c>
      <c r="W1131" s="2310" t="str">
        <f t="shared" si="230"/>
        <v>--</v>
      </c>
      <c r="X1131" s="2310" t="str">
        <f t="shared" si="230"/>
        <v>--</v>
      </c>
      <c r="Y1131" s="2310" t="str">
        <f t="shared" si="230"/>
        <v>--</v>
      </c>
      <c r="AA1131" s="2060"/>
      <c r="AB1131" s="2060"/>
      <c r="AC1131" s="2060"/>
      <c r="AD1131" s="2060"/>
      <c r="AE1131" s="2060"/>
      <c r="AF1131" s="2060"/>
      <c r="AG1131" s="2060"/>
      <c r="AH1131" s="2060"/>
      <c r="AI1131" s="15"/>
    </row>
    <row r="1132" spans="1:35" s="89" customFormat="1" ht="13.9">
      <c r="A1132" s="269" t="str">
        <f t="shared" si="236"/>
        <v>n</v>
      </c>
      <c r="B1132" s="2060"/>
      <c r="D1132" s="801"/>
      <c r="E1132" s="1505">
        <v>7</v>
      </c>
      <c r="F1132" s="21" t="str">
        <f>F$135</f>
        <v>--</v>
      </c>
      <c r="G1132" s="1441">
        <f>G$135</f>
        <v>0</v>
      </c>
      <c r="H1132" s="2314" t="str">
        <f t="shared" si="231"/>
        <v>--</v>
      </c>
      <c r="I1132" s="2314" t="str">
        <f t="shared" si="232"/>
        <v>--</v>
      </c>
      <c r="J1132" s="2314" t="str">
        <f t="shared" si="233"/>
        <v>--</v>
      </c>
      <c r="K1132" s="2314" t="str">
        <f t="shared" si="233"/>
        <v>--</v>
      </c>
      <c r="L1132" s="2314" t="str">
        <f t="shared" si="233"/>
        <v>--</v>
      </c>
      <c r="M1132" s="2314" t="str">
        <f t="shared" si="233"/>
        <v>--</v>
      </c>
      <c r="N1132" s="2314" t="str">
        <f t="shared" si="233"/>
        <v>--</v>
      </c>
      <c r="O1132" s="2323" t="str">
        <f t="shared" si="233"/>
        <v>--</v>
      </c>
      <c r="P1132" s="2314" t="str">
        <f t="shared" si="234"/>
        <v>--</v>
      </c>
      <c r="Q1132" s="255"/>
      <c r="T1132" s="1513"/>
      <c r="U1132" s="2310" t="str">
        <f t="shared" si="235"/>
        <v>--</v>
      </c>
      <c r="V1132" s="2310" t="str">
        <f t="shared" si="230"/>
        <v>--</v>
      </c>
      <c r="W1132" s="2310" t="str">
        <f t="shared" si="230"/>
        <v>--</v>
      </c>
      <c r="X1132" s="2310" t="str">
        <f t="shared" si="230"/>
        <v>--</v>
      </c>
      <c r="Y1132" s="2310" t="str">
        <f t="shared" si="230"/>
        <v>--</v>
      </c>
      <c r="AA1132" s="2060"/>
      <c r="AB1132" s="2060"/>
      <c r="AC1132" s="2060"/>
      <c r="AD1132" s="2060"/>
      <c r="AE1132" s="2060"/>
      <c r="AF1132" s="2060"/>
      <c r="AG1132" s="2060"/>
      <c r="AH1132" s="2060"/>
      <c r="AI1132" s="15"/>
    </row>
    <row r="1133" spans="1:35" s="89" customFormat="1" ht="13.9">
      <c r="A1133" s="269" t="str">
        <f t="shared" si="236"/>
        <v>n</v>
      </c>
      <c r="B1133" s="2060"/>
      <c r="D1133" s="801"/>
      <c r="E1133" s="1505">
        <v>8</v>
      </c>
      <c r="F1133" s="21" t="str">
        <f>F$136</f>
        <v>--</v>
      </c>
      <c r="G1133" s="1441">
        <f>G$136</f>
        <v>0</v>
      </c>
      <c r="H1133" s="2314" t="str">
        <f t="shared" si="231"/>
        <v>--</v>
      </c>
      <c r="I1133" s="2314" t="str">
        <f t="shared" si="232"/>
        <v>--</v>
      </c>
      <c r="J1133" s="2314" t="str">
        <f t="shared" si="233"/>
        <v>--</v>
      </c>
      <c r="K1133" s="2314" t="str">
        <f t="shared" si="233"/>
        <v>--</v>
      </c>
      <c r="L1133" s="2314" t="str">
        <f t="shared" si="233"/>
        <v>--</v>
      </c>
      <c r="M1133" s="2314" t="str">
        <f t="shared" si="233"/>
        <v>--</v>
      </c>
      <c r="N1133" s="2314" t="str">
        <f t="shared" si="233"/>
        <v>--</v>
      </c>
      <c r="O1133" s="2323" t="str">
        <f t="shared" si="233"/>
        <v>--</v>
      </c>
      <c r="P1133" s="2314" t="str">
        <f t="shared" si="234"/>
        <v>--</v>
      </c>
      <c r="Q1133" s="255"/>
      <c r="T1133" s="1513"/>
      <c r="U1133" s="2310" t="str">
        <f t="shared" si="235"/>
        <v>--</v>
      </c>
      <c r="V1133" s="2310" t="str">
        <f t="shared" si="230"/>
        <v>--</v>
      </c>
      <c r="W1133" s="2310" t="str">
        <f t="shared" si="230"/>
        <v>--</v>
      </c>
      <c r="X1133" s="2310" t="str">
        <f t="shared" si="230"/>
        <v>--</v>
      </c>
      <c r="Y1133" s="2310" t="str">
        <f t="shared" si="230"/>
        <v>--</v>
      </c>
      <c r="AA1133" s="2060"/>
      <c r="AB1133" s="2060"/>
      <c r="AC1133" s="2060"/>
      <c r="AD1133" s="2060"/>
      <c r="AE1133" s="2060"/>
      <c r="AF1133" s="2060"/>
      <c r="AG1133" s="2060"/>
      <c r="AH1133" s="2060"/>
      <c r="AI1133" s="15"/>
    </row>
    <row r="1134" spans="1:35" s="89" customFormat="1" ht="13.9">
      <c r="A1134" s="269" t="str">
        <f t="shared" si="236"/>
        <v>n</v>
      </c>
      <c r="B1134" s="2060"/>
      <c r="D1134" s="801"/>
      <c r="E1134" s="1505">
        <v>9</v>
      </c>
      <c r="F1134" s="21" t="str">
        <f>F$137</f>
        <v>--</v>
      </c>
      <c r="G1134" s="1441">
        <f>G$137</f>
        <v>0</v>
      </c>
      <c r="H1134" s="2314" t="str">
        <f t="shared" si="231"/>
        <v>--</v>
      </c>
      <c r="I1134" s="2314" t="str">
        <f t="shared" si="232"/>
        <v>--</v>
      </c>
      <c r="J1134" s="2314" t="str">
        <f t="shared" si="233"/>
        <v>--</v>
      </c>
      <c r="K1134" s="2314" t="str">
        <f t="shared" si="233"/>
        <v>--</v>
      </c>
      <c r="L1134" s="2314" t="str">
        <f t="shared" si="233"/>
        <v>--</v>
      </c>
      <c r="M1134" s="2314" t="str">
        <f t="shared" si="233"/>
        <v>--</v>
      </c>
      <c r="N1134" s="2314" t="str">
        <f t="shared" si="233"/>
        <v>--</v>
      </c>
      <c r="O1134" s="2323" t="str">
        <f t="shared" si="233"/>
        <v>--</v>
      </c>
      <c r="P1134" s="2314" t="str">
        <f t="shared" si="234"/>
        <v>--</v>
      </c>
      <c r="Q1134" s="255"/>
      <c r="T1134" s="1513"/>
      <c r="U1134" s="2310" t="str">
        <f t="shared" si="235"/>
        <v>--</v>
      </c>
      <c r="V1134" s="2310" t="str">
        <f t="shared" si="230"/>
        <v>--</v>
      </c>
      <c r="W1134" s="2310" t="str">
        <f t="shared" si="230"/>
        <v>--</v>
      </c>
      <c r="X1134" s="2310" t="str">
        <f t="shared" si="230"/>
        <v>--</v>
      </c>
      <c r="Y1134" s="2310" t="str">
        <f t="shared" si="230"/>
        <v>--</v>
      </c>
      <c r="AA1134" s="2060"/>
      <c r="AB1134" s="2060"/>
      <c r="AC1134" s="2060"/>
      <c r="AD1134" s="2060"/>
      <c r="AE1134" s="2060"/>
      <c r="AF1134" s="2060"/>
      <c r="AG1134" s="2060"/>
      <c r="AH1134" s="2060"/>
      <c r="AI1134" s="15"/>
    </row>
    <row r="1135" spans="1:35" s="89" customFormat="1" ht="13.9">
      <c r="A1135" s="269" t="str">
        <f t="shared" si="236"/>
        <v>n</v>
      </c>
      <c r="B1135" s="2060"/>
      <c r="D1135" s="801"/>
      <c r="E1135" s="1505">
        <v>10</v>
      </c>
      <c r="F1135" s="21" t="str">
        <f>F$138</f>
        <v>--</v>
      </c>
      <c r="G1135" s="1441">
        <f>G$138</f>
        <v>0</v>
      </c>
      <c r="H1135" s="2314" t="str">
        <f t="shared" si="231"/>
        <v>--</v>
      </c>
      <c r="I1135" s="2314" t="str">
        <f t="shared" si="232"/>
        <v>--</v>
      </c>
      <c r="J1135" s="2314" t="str">
        <f t="shared" si="233"/>
        <v>--</v>
      </c>
      <c r="K1135" s="2314" t="str">
        <f t="shared" si="233"/>
        <v>--</v>
      </c>
      <c r="L1135" s="2314" t="str">
        <f t="shared" si="233"/>
        <v>--</v>
      </c>
      <c r="M1135" s="2314" t="str">
        <f t="shared" si="233"/>
        <v>--</v>
      </c>
      <c r="N1135" s="2314" t="str">
        <f t="shared" si="233"/>
        <v>--</v>
      </c>
      <c r="O1135" s="2323" t="str">
        <f t="shared" si="233"/>
        <v>--</v>
      </c>
      <c r="P1135" s="2314" t="str">
        <f t="shared" si="234"/>
        <v>--</v>
      </c>
      <c r="Q1135" s="255"/>
      <c r="T1135" s="1513"/>
      <c r="U1135" s="2310" t="str">
        <f t="shared" si="235"/>
        <v>--</v>
      </c>
      <c r="V1135" s="2310" t="str">
        <f t="shared" si="230"/>
        <v>--</v>
      </c>
      <c r="W1135" s="2310" t="str">
        <f t="shared" si="230"/>
        <v>--</v>
      </c>
      <c r="X1135" s="2310" t="str">
        <f t="shared" si="230"/>
        <v>--</v>
      </c>
      <c r="Y1135" s="2310" t="str">
        <f t="shared" si="230"/>
        <v>--</v>
      </c>
      <c r="AA1135" s="2060"/>
      <c r="AB1135" s="2060"/>
      <c r="AC1135" s="2060"/>
      <c r="AD1135" s="2060"/>
      <c r="AE1135" s="2060"/>
      <c r="AF1135" s="2060"/>
      <c r="AG1135" s="2060"/>
      <c r="AH1135" s="2060"/>
      <c r="AI1135" s="15"/>
    </row>
    <row r="1136" spans="1:35" s="89" customFormat="1" ht="13.9">
      <c r="A1136" s="269" t="str">
        <f t="shared" si="236"/>
        <v>n</v>
      </c>
      <c r="B1136" s="2060"/>
      <c r="D1136" s="801"/>
      <c r="E1136" s="1505">
        <v>11</v>
      </c>
      <c r="F1136" s="21" t="str">
        <f>F$139</f>
        <v>--</v>
      </c>
      <c r="G1136" s="1441">
        <f>G$139</f>
        <v>0</v>
      </c>
      <c r="H1136" s="2314" t="str">
        <f t="shared" si="231"/>
        <v>--</v>
      </c>
      <c r="I1136" s="2314" t="str">
        <f t="shared" si="232"/>
        <v>--</v>
      </c>
      <c r="J1136" s="2314" t="str">
        <f t="shared" si="233"/>
        <v>--</v>
      </c>
      <c r="K1136" s="2314" t="str">
        <f t="shared" si="233"/>
        <v>--</v>
      </c>
      <c r="L1136" s="2314" t="str">
        <f t="shared" si="233"/>
        <v>--</v>
      </c>
      <c r="M1136" s="2314" t="str">
        <f t="shared" si="233"/>
        <v>--</v>
      </c>
      <c r="N1136" s="2314" t="str">
        <f t="shared" si="233"/>
        <v>--</v>
      </c>
      <c r="O1136" s="2323" t="str">
        <f t="shared" si="233"/>
        <v>--</v>
      </c>
      <c r="P1136" s="2314" t="str">
        <f t="shared" si="234"/>
        <v>--</v>
      </c>
      <c r="Q1136" s="255"/>
      <c r="R1136" s="1466"/>
      <c r="T1136" s="53"/>
      <c r="U1136" s="2310" t="str">
        <f t="shared" si="235"/>
        <v>--</v>
      </c>
      <c r="V1136" s="2310" t="str">
        <f t="shared" si="230"/>
        <v>--</v>
      </c>
      <c r="W1136" s="2310" t="str">
        <f t="shared" si="230"/>
        <v>--</v>
      </c>
      <c r="X1136" s="2310" t="str">
        <f t="shared" si="230"/>
        <v>--</v>
      </c>
      <c r="Y1136" s="2310" t="str">
        <f t="shared" si="230"/>
        <v>--</v>
      </c>
      <c r="AA1136" s="2060"/>
      <c r="AB1136" s="2060"/>
      <c r="AC1136" s="2060"/>
      <c r="AD1136" s="2060"/>
      <c r="AE1136" s="2060"/>
      <c r="AF1136" s="2060"/>
      <c r="AG1136" s="2060"/>
      <c r="AH1136" s="2060"/>
      <c r="AI1136" s="15"/>
    </row>
    <row r="1137" spans="1:35" s="89" customFormat="1" ht="13.9">
      <c r="A1137" s="269" t="str">
        <f t="shared" si="236"/>
        <v>n</v>
      </c>
      <c r="B1137" s="2060"/>
      <c r="D1137" s="801"/>
      <c r="E1137" s="1505">
        <v>12</v>
      </c>
      <c r="F1137" s="21" t="str">
        <f>F$140</f>
        <v>--</v>
      </c>
      <c r="G1137" s="1441">
        <f>G$140</f>
        <v>0</v>
      </c>
      <c r="H1137" s="2314" t="str">
        <f t="shared" si="231"/>
        <v>--</v>
      </c>
      <c r="I1137" s="2314" t="str">
        <f t="shared" si="232"/>
        <v>--</v>
      </c>
      <c r="J1137" s="2314" t="str">
        <f t="shared" si="233"/>
        <v>--</v>
      </c>
      <c r="K1137" s="2314" t="str">
        <f t="shared" si="233"/>
        <v>--</v>
      </c>
      <c r="L1137" s="2314" t="str">
        <f t="shared" si="233"/>
        <v>--</v>
      </c>
      <c r="M1137" s="2314" t="str">
        <f t="shared" si="233"/>
        <v>--</v>
      </c>
      <c r="N1137" s="2314" t="str">
        <f t="shared" si="233"/>
        <v>--</v>
      </c>
      <c r="O1137" s="2323" t="str">
        <f t="shared" si="233"/>
        <v>--</v>
      </c>
      <c r="P1137" s="2314" t="str">
        <f t="shared" si="234"/>
        <v>--</v>
      </c>
      <c r="Q1137" s="255"/>
      <c r="R1137" s="1466"/>
      <c r="T1137" s="53"/>
      <c r="U1137" s="2310" t="str">
        <f t="shared" si="235"/>
        <v>--</v>
      </c>
      <c r="V1137" s="2310" t="str">
        <f t="shared" si="230"/>
        <v>--</v>
      </c>
      <c r="W1137" s="2310" t="str">
        <f t="shared" si="230"/>
        <v>--</v>
      </c>
      <c r="X1137" s="2310" t="str">
        <f t="shared" si="230"/>
        <v>--</v>
      </c>
      <c r="Y1137" s="2310" t="str">
        <f t="shared" si="230"/>
        <v>--</v>
      </c>
      <c r="AA1137" s="2060"/>
      <c r="AB1137" s="2060"/>
      <c r="AC1137" s="2060"/>
      <c r="AD1137" s="2060"/>
      <c r="AE1137" s="2060"/>
      <c r="AF1137" s="2060"/>
      <c r="AG1137" s="2060"/>
      <c r="AH1137" s="2060"/>
      <c r="AI1137" s="15"/>
    </row>
    <row r="1138" spans="1:35" s="89" customFormat="1" ht="13.9">
      <c r="A1138" s="269" t="str">
        <f t="shared" si="236"/>
        <v>n</v>
      </c>
      <c r="B1138" s="2060"/>
      <c r="D1138" s="801"/>
      <c r="E1138" s="1505">
        <v>13</v>
      </c>
      <c r="F1138" s="21" t="str">
        <f>F$141</f>
        <v>--</v>
      </c>
      <c r="G1138" s="1441">
        <f>G$141</f>
        <v>0</v>
      </c>
      <c r="H1138" s="2314" t="str">
        <f t="shared" si="231"/>
        <v>--</v>
      </c>
      <c r="I1138" s="2314" t="str">
        <f t="shared" si="232"/>
        <v>--</v>
      </c>
      <c r="J1138" s="2314" t="str">
        <f t="shared" si="233"/>
        <v>--</v>
      </c>
      <c r="K1138" s="2314" t="str">
        <f t="shared" si="233"/>
        <v>--</v>
      </c>
      <c r="L1138" s="2314" t="str">
        <f t="shared" si="233"/>
        <v>--</v>
      </c>
      <c r="M1138" s="2314" t="str">
        <f t="shared" si="233"/>
        <v>--</v>
      </c>
      <c r="N1138" s="2314" t="str">
        <f t="shared" si="233"/>
        <v>--</v>
      </c>
      <c r="O1138" s="2323" t="str">
        <f t="shared" si="233"/>
        <v>--</v>
      </c>
      <c r="P1138" s="2314" t="str">
        <f t="shared" si="234"/>
        <v>--</v>
      </c>
      <c r="Q1138" s="255"/>
      <c r="R1138" s="1466"/>
      <c r="T1138" s="53"/>
      <c r="U1138" s="2310" t="str">
        <f t="shared" si="235"/>
        <v>--</v>
      </c>
      <c r="V1138" s="2310" t="str">
        <f t="shared" si="230"/>
        <v>--</v>
      </c>
      <c r="W1138" s="2310" t="str">
        <f t="shared" si="230"/>
        <v>--</v>
      </c>
      <c r="X1138" s="2310" t="str">
        <f t="shared" si="230"/>
        <v>--</v>
      </c>
      <c r="Y1138" s="2310" t="str">
        <f t="shared" si="230"/>
        <v>--</v>
      </c>
      <c r="AA1138" s="2060"/>
      <c r="AB1138" s="2060"/>
      <c r="AC1138" s="2060"/>
      <c r="AD1138" s="2060"/>
      <c r="AE1138" s="2060"/>
      <c r="AF1138" s="2060"/>
      <c r="AG1138" s="2060"/>
      <c r="AH1138" s="2060"/>
      <c r="AI1138" s="15"/>
    </row>
    <row r="1139" spans="1:35" s="89" customFormat="1" ht="13.9">
      <c r="A1139" s="269" t="str">
        <f t="shared" si="236"/>
        <v>n</v>
      </c>
      <c r="B1139" s="2060"/>
      <c r="D1139" s="801"/>
      <c r="E1139" s="1505">
        <v>14</v>
      </c>
      <c r="F1139" s="21" t="str">
        <f>F$142</f>
        <v>--</v>
      </c>
      <c r="G1139" s="1441">
        <f>G$142</f>
        <v>0</v>
      </c>
      <c r="H1139" s="2314" t="str">
        <f t="shared" si="231"/>
        <v>--</v>
      </c>
      <c r="I1139" s="2314" t="str">
        <f t="shared" si="232"/>
        <v>--</v>
      </c>
      <c r="J1139" s="2314" t="str">
        <f t="shared" ref="J1139:O1139" si="237">IFERROR((J579-I579)/ABS(I579),"--")</f>
        <v>--</v>
      </c>
      <c r="K1139" s="2314" t="str">
        <f t="shared" si="237"/>
        <v>--</v>
      </c>
      <c r="L1139" s="2314" t="str">
        <f t="shared" si="237"/>
        <v>--</v>
      </c>
      <c r="M1139" s="2314" t="str">
        <f t="shared" si="237"/>
        <v>--</v>
      </c>
      <c r="N1139" s="2314" t="str">
        <f t="shared" si="237"/>
        <v>--</v>
      </c>
      <c r="O1139" s="2323" t="str">
        <f t="shared" si="237"/>
        <v>--</v>
      </c>
      <c r="P1139" s="2314" t="str">
        <f t="shared" si="234"/>
        <v>--</v>
      </c>
      <c r="Q1139" s="255"/>
      <c r="R1139" s="1466"/>
      <c r="T1139" s="53"/>
      <c r="U1139" s="2310" t="str">
        <f t="shared" si="235"/>
        <v>--</v>
      </c>
      <c r="V1139" s="2310" t="str">
        <f t="shared" si="230"/>
        <v>--</v>
      </c>
      <c r="W1139" s="2310" t="str">
        <f t="shared" si="230"/>
        <v>--</v>
      </c>
      <c r="X1139" s="2310" t="str">
        <f t="shared" si="230"/>
        <v>--</v>
      </c>
      <c r="Y1139" s="2310" t="str">
        <f t="shared" si="230"/>
        <v>--</v>
      </c>
      <c r="AA1139" s="2060"/>
      <c r="AB1139" s="2060"/>
      <c r="AC1139" s="2060"/>
      <c r="AD1139" s="2060"/>
      <c r="AE1139" s="2060"/>
      <c r="AF1139" s="2060"/>
      <c r="AG1139" s="2060"/>
      <c r="AH1139" s="2060"/>
    </row>
    <row r="1140" spans="1:35" s="89" customFormat="1" ht="13.9">
      <c r="A1140" s="269" t="str">
        <f t="shared" si="236"/>
        <v>n</v>
      </c>
      <c r="B1140" s="2060"/>
      <c r="D1140" s="801"/>
      <c r="E1140" s="1505">
        <v>15</v>
      </c>
      <c r="F1140" s="21" t="str">
        <f>F$143</f>
        <v>--</v>
      </c>
      <c r="G1140" s="1441">
        <f>G$143</f>
        <v>0</v>
      </c>
      <c r="H1140" s="2314" t="str">
        <f t="shared" si="231"/>
        <v>--</v>
      </c>
      <c r="I1140" s="2314" t="str">
        <f t="shared" si="232"/>
        <v>--</v>
      </c>
      <c r="J1140" s="2314" t="str">
        <f t="shared" ref="J1140:O1140" si="238">IFERROR((J580-I580)/ABS(I580),"--")</f>
        <v>--</v>
      </c>
      <c r="K1140" s="2314" t="str">
        <f t="shared" si="238"/>
        <v>--</v>
      </c>
      <c r="L1140" s="2314" t="str">
        <f t="shared" si="238"/>
        <v>--</v>
      </c>
      <c r="M1140" s="2314" t="str">
        <f t="shared" si="238"/>
        <v>--</v>
      </c>
      <c r="N1140" s="2314" t="str">
        <f t="shared" si="238"/>
        <v>--</v>
      </c>
      <c r="O1140" s="2323" t="str">
        <f t="shared" si="238"/>
        <v>--</v>
      </c>
      <c r="P1140" s="2314" t="str">
        <f t="shared" si="234"/>
        <v>--</v>
      </c>
      <c r="Q1140" s="255"/>
      <c r="R1140" s="1466"/>
      <c r="T1140" s="53"/>
      <c r="U1140" s="2310" t="str">
        <f t="shared" si="235"/>
        <v>--</v>
      </c>
      <c r="V1140" s="2310" t="str">
        <f t="shared" si="230"/>
        <v>--</v>
      </c>
      <c r="W1140" s="2310" t="str">
        <f t="shared" si="230"/>
        <v>--</v>
      </c>
      <c r="X1140" s="2310" t="str">
        <f t="shared" si="230"/>
        <v>--</v>
      </c>
      <c r="Y1140" s="2310" t="str">
        <f t="shared" si="230"/>
        <v>--</v>
      </c>
      <c r="AA1140" s="2060"/>
      <c r="AB1140" s="2060"/>
      <c r="AC1140" s="2060"/>
      <c r="AD1140" s="2060"/>
      <c r="AE1140" s="2060"/>
      <c r="AF1140" s="2060"/>
      <c r="AG1140" s="2060"/>
      <c r="AH1140" s="2060"/>
    </row>
    <row r="1141" spans="1:35" s="89" customFormat="1" ht="13.9">
      <c r="A1141" s="269" t="str">
        <f t="shared" si="236"/>
        <v>n</v>
      </c>
      <c r="B1141" s="2060"/>
      <c r="D1141" s="801"/>
      <c r="E1141" s="1505">
        <v>16</v>
      </c>
      <c r="F1141" s="21" t="str">
        <f>F$144</f>
        <v>--</v>
      </c>
      <c r="G1141" s="1441">
        <f>G$144</f>
        <v>0</v>
      </c>
      <c r="H1141" s="2314" t="str">
        <f t="shared" si="231"/>
        <v>--</v>
      </c>
      <c r="I1141" s="2314" t="str">
        <f t="shared" si="232"/>
        <v>--</v>
      </c>
      <c r="J1141" s="2314" t="str">
        <f t="shared" ref="J1141:O1141" si="239">IFERROR((J581-I581)/ABS(I581),"--")</f>
        <v>--</v>
      </c>
      <c r="K1141" s="2314" t="str">
        <f t="shared" si="239"/>
        <v>--</v>
      </c>
      <c r="L1141" s="2314" t="str">
        <f t="shared" si="239"/>
        <v>--</v>
      </c>
      <c r="M1141" s="2314" t="str">
        <f t="shared" si="239"/>
        <v>--</v>
      </c>
      <c r="N1141" s="2314" t="str">
        <f t="shared" si="239"/>
        <v>--</v>
      </c>
      <c r="O1141" s="2323" t="str">
        <f t="shared" si="239"/>
        <v>--</v>
      </c>
      <c r="P1141" s="2314" t="str">
        <f t="shared" si="234"/>
        <v>--</v>
      </c>
      <c r="Q1141" s="255"/>
      <c r="R1141" s="1466"/>
      <c r="T1141" s="53"/>
      <c r="U1141" s="2310" t="str">
        <f t="shared" si="235"/>
        <v>--</v>
      </c>
      <c r="V1141" s="2310" t="str">
        <f t="shared" si="230"/>
        <v>--</v>
      </c>
      <c r="W1141" s="2310" t="str">
        <f t="shared" si="230"/>
        <v>--</v>
      </c>
      <c r="X1141" s="2310" t="str">
        <f t="shared" si="230"/>
        <v>--</v>
      </c>
      <c r="Y1141" s="2310" t="str">
        <f t="shared" si="230"/>
        <v>--</v>
      </c>
      <c r="AA1141" s="2060"/>
      <c r="AB1141" s="2060"/>
      <c r="AC1141" s="2060"/>
      <c r="AD1141" s="2060"/>
      <c r="AE1141" s="2060"/>
      <c r="AF1141" s="2060"/>
      <c r="AG1141" s="2060"/>
      <c r="AH1141" s="2060"/>
    </row>
    <row r="1142" spans="1:35" s="89" customFormat="1" ht="13.9">
      <c r="A1142" s="269" t="str">
        <f t="shared" si="236"/>
        <v>n</v>
      </c>
      <c r="B1142" s="2060"/>
      <c r="D1142" s="801"/>
      <c r="E1142" s="1505">
        <v>17</v>
      </c>
      <c r="F1142" s="21" t="str">
        <f>F$145</f>
        <v>--</v>
      </c>
      <c r="G1142" s="1441">
        <f>G$145</f>
        <v>0</v>
      </c>
      <c r="H1142" s="2314" t="str">
        <f t="shared" si="231"/>
        <v>--</v>
      </c>
      <c r="I1142" s="2314" t="str">
        <f t="shared" si="232"/>
        <v>--</v>
      </c>
      <c r="J1142" s="2314" t="str">
        <f t="shared" ref="J1142:O1142" si="240">IFERROR((J582-I582)/ABS(I582),"--")</f>
        <v>--</v>
      </c>
      <c r="K1142" s="2314" t="str">
        <f t="shared" si="240"/>
        <v>--</v>
      </c>
      <c r="L1142" s="2314" t="str">
        <f t="shared" si="240"/>
        <v>--</v>
      </c>
      <c r="M1142" s="2314" t="str">
        <f t="shared" si="240"/>
        <v>--</v>
      </c>
      <c r="N1142" s="2314" t="str">
        <f t="shared" si="240"/>
        <v>--</v>
      </c>
      <c r="O1142" s="2323" t="str">
        <f t="shared" si="240"/>
        <v>--</v>
      </c>
      <c r="P1142" s="2314" t="str">
        <f t="shared" si="234"/>
        <v>--</v>
      </c>
      <c r="Q1142" s="255"/>
      <c r="R1142" s="1466"/>
      <c r="T1142" s="53"/>
      <c r="U1142" s="2310" t="str">
        <f t="shared" si="235"/>
        <v>--</v>
      </c>
      <c r="V1142" s="2310" t="str">
        <f t="shared" si="230"/>
        <v>--</v>
      </c>
      <c r="W1142" s="2310" t="str">
        <f t="shared" si="230"/>
        <v>--</v>
      </c>
      <c r="X1142" s="2310" t="str">
        <f t="shared" si="230"/>
        <v>--</v>
      </c>
      <c r="Y1142" s="2310" t="str">
        <f t="shared" si="230"/>
        <v>--</v>
      </c>
      <c r="AA1142" s="2060"/>
      <c r="AB1142" s="2060"/>
      <c r="AC1142" s="2060"/>
      <c r="AD1142" s="2060"/>
      <c r="AE1142" s="2060"/>
      <c r="AF1142" s="2060"/>
      <c r="AG1142" s="2060"/>
      <c r="AH1142" s="2060"/>
    </row>
    <row r="1143" spans="1:35" s="89" customFormat="1" ht="13.9">
      <c r="A1143" s="269" t="str">
        <f t="shared" si="236"/>
        <v>n</v>
      </c>
      <c r="B1143" s="2060"/>
      <c r="D1143" s="801"/>
      <c r="E1143" s="1505">
        <v>18</v>
      </c>
      <c r="F1143" s="21" t="str">
        <f>F$146</f>
        <v>--</v>
      </c>
      <c r="G1143" s="1441">
        <f>G$146</f>
        <v>0</v>
      </c>
      <c r="H1143" s="2314" t="str">
        <f t="shared" si="231"/>
        <v>--</v>
      </c>
      <c r="I1143" s="2314" t="str">
        <f t="shared" si="232"/>
        <v>--</v>
      </c>
      <c r="J1143" s="2314" t="str">
        <f t="shared" ref="J1143:O1143" si="241">IFERROR((J583-I583)/ABS(I583),"--")</f>
        <v>--</v>
      </c>
      <c r="K1143" s="2314" t="str">
        <f t="shared" si="241"/>
        <v>--</v>
      </c>
      <c r="L1143" s="2314" t="str">
        <f t="shared" si="241"/>
        <v>--</v>
      </c>
      <c r="M1143" s="2314" t="str">
        <f t="shared" si="241"/>
        <v>--</v>
      </c>
      <c r="N1143" s="2314" t="str">
        <f t="shared" si="241"/>
        <v>--</v>
      </c>
      <c r="O1143" s="2323" t="str">
        <f t="shared" si="241"/>
        <v>--</v>
      </c>
      <c r="P1143" s="2314" t="str">
        <f t="shared" si="234"/>
        <v>--</v>
      </c>
      <c r="Q1143" s="255"/>
      <c r="R1143" s="1466"/>
      <c r="T1143" s="53"/>
      <c r="U1143" s="2310" t="str">
        <f t="shared" si="235"/>
        <v>--</v>
      </c>
      <c r="V1143" s="2310" t="str">
        <f t="shared" si="230"/>
        <v>--</v>
      </c>
      <c r="W1143" s="2310" t="str">
        <f t="shared" si="230"/>
        <v>--</v>
      </c>
      <c r="X1143" s="2310" t="str">
        <f t="shared" si="230"/>
        <v>--</v>
      </c>
      <c r="Y1143" s="2310" t="str">
        <f t="shared" si="230"/>
        <v>--</v>
      </c>
      <c r="AA1143" s="2060"/>
      <c r="AB1143" s="2060"/>
      <c r="AC1143" s="2060"/>
      <c r="AD1143" s="2060"/>
      <c r="AE1143" s="2060"/>
      <c r="AF1143" s="2060"/>
      <c r="AG1143" s="2060"/>
      <c r="AH1143" s="2060"/>
    </row>
    <row r="1144" spans="1:35" s="89" customFormat="1" ht="13.9">
      <c r="A1144" s="269" t="str">
        <f t="shared" si="236"/>
        <v>n</v>
      </c>
      <c r="B1144" s="2060"/>
      <c r="D1144" s="801"/>
      <c r="E1144" s="1505">
        <v>19</v>
      </c>
      <c r="F1144" s="21" t="str">
        <f>F$147</f>
        <v>--</v>
      </c>
      <c r="G1144" s="1441">
        <f>G$147</f>
        <v>0</v>
      </c>
      <c r="H1144" s="2314" t="str">
        <f t="shared" si="231"/>
        <v>--</v>
      </c>
      <c r="I1144" s="2314" t="str">
        <f t="shared" si="232"/>
        <v>--</v>
      </c>
      <c r="J1144" s="2314" t="str">
        <f t="shared" ref="J1144:O1144" si="242">IFERROR((J584-I584)/ABS(I584),"--")</f>
        <v>--</v>
      </c>
      <c r="K1144" s="2314" t="str">
        <f t="shared" si="242"/>
        <v>--</v>
      </c>
      <c r="L1144" s="2314" t="str">
        <f t="shared" si="242"/>
        <v>--</v>
      </c>
      <c r="M1144" s="2314" t="str">
        <f t="shared" si="242"/>
        <v>--</v>
      </c>
      <c r="N1144" s="2314" t="str">
        <f t="shared" si="242"/>
        <v>--</v>
      </c>
      <c r="O1144" s="2323" t="str">
        <f t="shared" si="242"/>
        <v>--</v>
      </c>
      <c r="P1144" s="2314" t="str">
        <f t="shared" si="234"/>
        <v>--</v>
      </c>
      <c r="Q1144" s="255"/>
      <c r="R1144" s="1466"/>
      <c r="T1144" s="53"/>
      <c r="U1144" s="2310" t="str">
        <f t="shared" si="235"/>
        <v>--</v>
      </c>
      <c r="V1144" s="2310" t="str">
        <f t="shared" si="230"/>
        <v>--</v>
      </c>
      <c r="W1144" s="2310" t="str">
        <f t="shared" si="230"/>
        <v>--</v>
      </c>
      <c r="X1144" s="2310" t="str">
        <f t="shared" si="230"/>
        <v>--</v>
      </c>
      <c r="Y1144" s="2310" t="str">
        <f t="shared" si="230"/>
        <v>--</v>
      </c>
      <c r="AA1144" s="2060"/>
      <c r="AB1144" s="2060"/>
      <c r="AC1144" s="2060"/>
      <c r="AD1144" s="2060"/>
      <c r="AE1144" s="2060"/>
      <c r="AF1144" s="2060"/>
      <c r="AG1144" s="2060"/>
      <c r="AH1144" s="2060"/>
    </row>
    <row r="1145" spans="1:35" s="89" customFormat="1" ht="13.9">
      <c r="A1145" s="269" t="str">
        <f t="shared" si="236"/>
        <v>n</v>
      </c>
      <c r="B1145" s="2060"/>
      <c r="D1145" s="801"/>
      <c r="E1145" s="1505">
        <v>20</v>
      </c>
      <c r="F1145" s="21" t="str">
        <f>F$148</f>
        <v>--</v>
      </c>
      <c r="G1145" s="1441">
        <f>G$148</f>
        <v>0</v>
      </c>
      <c r="H1145" s="2314" t="str">
        <f t="shared" si="231"/>
        <v>--</v>
      </c>
      <c r="I1145" s="2314" t="str">
        <f t="shared" si="232"/>
        <v>--</v>
      </c>
      <c r="J1145" s="2314" t="str">
        <f t="shared" ref="J1145:O1145" si="243">IFERROR((J585-I585)/ABS(I585),"--")</f>
        <v>--</v>
      </c>
      <c r="K1145" s="2314" t="str">
        <f t="shared" si="243"/>
        <v>--</v>
      </c>
      <c r="L1145" s="2314" t="str">
        <f t="shared" si="243"/>
        <v>--</v>
      </c>
      <c r="M1145" s="2314" t="str">
        <f t="shared" si="243"/>
        <v>--</v>
      </c>
      <c r="N1145" s="2314" t="str">
        <f t="shared" si="243"/>
        <v>--</v>
      </c>
      <c r="O1145" s="2323" t="str">
        <f t="shared" si="243"/>
        <v>--</v>
      </c>
      <c r="P1145" s="2314" t="str">
        <f t="shared" si="234"/>
        <v>--</v>
      </c>
      <c r="Q1145" s="255"/>
      <c r="R1145" s="1466"/>
      <c r="T1145" s="53"/>
      <c r="U1145" s="2310" t="str">
        <f t="shared" si="235"/>
        <v>--</v>
      </c>
      <c r="V1145" s="2310" t="str">
        <f t="shared" si="230"/>
        <v>--</v>
      </c>
      <c r="W1145" s="2310" t="str">
        <f t="shared" si="230"/>
        <v>--</v>
      </c>
      <c r="X1145" s="2310" t="str">
        <f t="shared" si="230"/>
        <v>--</v>
      </c>
      <c r="Y1145" s="2310" t="str">
        <f t="shared" si="230"/>
        <v>--</v>
      </c>
      <c r="AA1145" s="2060"/>
      <c r="AB1145" s="2060"/>
      <c r="AC1145" s="2060"/>
      <c r="AD1145" s="2060"/>
      <c r="AE1145" s="2060"/>
      <c r="AF1145" s="2060"/>
      <c r="AG1145" s="2060"/>
      <c r="AH1145" s="2060"/>
    </row>
    <row r="1146" spans="1:35" s="89" customFormat="1" ht="13.9">
      <c r="A1146" s="269" t="str">
        <f t="shared" si="236"/>
        <v>n</v>
      </c>
      <c r="B1146" s="2060"/>
      <c r="D1146" s="801"/>
      <c r="E1146" s="1505">
        <v>21</v>
      </c>
      <c r="F1146" s="21" t="str">
        <f>F$149</f>
        <v>--</v>
      </c>
      <c r="G1146" s="1441">
        <f>G$149</f>
        <v>0</v>
      </c>
      <c r="H1146" s="2314" t="str">
        <f t="shared" si="231"/>
        <v>--</v>
      </c>
      <c r="I1146" s="2314" t="str">
        <f t="shared" si="232"/>
        <v>--</v>
      </c>
      <c r="J1146" s="2314" t="str">
        <f t="shared" ref="J1146:O1146" si="244">IFERROR((J586-I586)/ABS(I586),"--")</f>
        <v>--</v>
      </c>
      <c r="K1146" s="2314" t="str">
        <f t="shared" si="244"/>
        <v>--</v>
      </c>
      <c r="L1146" s="2314" t="str">
        <f t="shared" si="244"/>
        <v>--</v>
      </c>
      <c r="M1146" s="2314" t="str">
        <f t="shared" si="244"/>
        <v>--</v>
      </c>
      <c r="N1146" s="2314" t="str">
        <f t="shared" si="244"/>
        <v>--</v>
      </c>
      <c r="O1146" s="2323" t="str">
        <f t="shared" si="244"/>
        <v>--</v>
      </c>
      <c r="P1146" s="2314" t="str">
        <f t="shared" si="234"/>
        <v>--</v>
      </c>
      <c r="Q1146" s="255"/>
      <c r="R1146" s="1466"/>
      <c r="T1146" s="53"/>
      <c r="U1146" s="2310" t="str">
        <f t="shared" si="235"/>
        <v>--</v>
      </c>
      <c r="V1146" s="2310" t="str">
        <f t="shared" si="230"/>
        <v>--</v>
      </c>
      <c r="W1146" s="2310" t="str">
        <f t="shared" si="230"/>
        <v>--</v>
      </c>
      <c r="X1146" s="2310" t="str">
        <f t="shared" si="230"/>
        <v>--</v>
      </c>
      <c r="Y1146" s="2310" t="str">
        <f t="shared" si="230"/>
        <v>--</v>
      </c>
      <c r="AA1146" s="2060"/>
      <c r="AB1146" s="2060"/>
      <c r="AC1146" s="2060"/>
      <c r="AD1146" s="2060"/>
      <c r="AE1146" s="2060"/>
      <c r="AF1146" s="2060"/>
      <c r="AG1146" s="2060"/>
      <c r="AH1146" s="2060"/>
    </row>
    <row r="1147" spans="1:35" s="89" customFormat="1" ht="13.9">
      <c r="A1147" s="269" t="str">
        <f t="shared" si="236"/>
        <v>n</v>
      </c>
      <c r="B1147" s="2060"/>
      <c r="D1147" s="801"/>
      <c r="E1147" s="1505">
        <v>22</v>
      </c>
      <c r="F1147" s="21" t="str">
        <f>F$150</f>
        <v>--</v>
      </c>
      <c r="G1147" s="1441">
        <f>G$150</f>
        <v>0</v>
      </c>
      <c r="H1147" s="2314" t="str">
        <f t="shared" si="231"/>
        <v>--</v>
      </c>
      <c r="I1147" s="2314" t="str">
        <f t="shared" si="232"/>
        <v>--</v>
      </c>
      <c r="J1147" s="2314" t="str">
        <f t="shared" ref="J1147:O1147" si="245">IFERROR((J587-I587)/ABS(I587),"--")</f>
        <v>--</v>
      </c>
      <c r="K1147" s="2314" t="str">
        <f t="shared" si="245"/>
        <v>--</v>
      </c>
      <c r="L1147" s="2314" t="str">
        <f t="shared" si="245"/>
        <v>--</v>
      </c>
      <c r="M1147" s="2314" t="str">
        <f t="shared" si="245"/>
        <v>--</v>
      </c>
      <c r="N1147" s="2314" t="str">
        <f t="shared" si="245"/>
        <v>--</v>
      </c>
      <c r="O1147" s="2323" t="str">
        <f t="shared" si="245"/>
        <v>--</v>
      </c>
      <c r="P1147" s="2314" t="str">
        <f t="shared" si="234"/>
        <v>--</v>
      </c>
      <c r="Q1147" s="255"/>
      <c r="R1147" s="1466"/>
      <c r="T1147" s="53"/>
      <c r="U1147" s="2310" t="str">
        <f t="shared" si="235"/>
        <v>--</v>
      </c>
      <c r="V1147" s="2310" t="str">
        <f t="shared" si="230"/>
        <v>--</v>
      </c>
      <c r="W1147" s="2310" t="str">
        <f t="shared" si="230"/>
        <v>--</v>
      </c>
      <c r="X1147" s="2310" t="str">
        <f t="shared" si="230"/>
        <v>--</v>
      </c>
      <c r="Y1147" s="2310" t="str">
        <f t="shared" si="230"/>
        <v>--</v>
      </c>
      <c r="AA1147" s="2060"/>
      <c r="AB1147" s="2060"/>
      <c r="AC1147" s="2060"/>
      <c r="AD1147" s="2060"/>
      <c r="AE1147" s="2060"/>
      <c r="AF1147" s="2060"/>
      <c r="AG1147" s="2060"/>
      <c r="AH1147" s="2060"/>
    </row>
    <row r="1148" spans="1:35" s="89" customFormat="1" ht="13.9">
      <c r="A1148" s="269" t="str">
        <f t="shared" si="236"/>
        <v>n</v>
      </c>
      <c r="B1148" s="2060"/>
      <c r="D1148" s="801"/>
      <c r="E1148" s="1505">
        <v>23</v>
      </c>
      <c r="F1148" s="21" t="str">
        <f>F$151</f>
        <v>--</v>
      </c>
      <c r="G1148" s="1441">
        <f>G$151</f>
        <v>0</v>
      </c>
      <c r="H1148" s="2314" t="str">
        <f t="shared" si="231"/>
        <v>--</v>
      </c>
      <c r="I1148" s="2314" t="str">
        <f t="shared" si="232"/>
        <v>--</v>
      </c>
      <c r="J1148" s="2314" t="str">
        <f t="shared" ref="J1148:O1148" si="246">IFERROR((J588-I588)/ABS(I588),"--")</f>
        <v>--</v>
      </c>
      <c r="K1148" s="2314" t="str">
        <f t="shared" si="246"/>
        <v>--</v>
      </c>
      <c r="L1148" s="2314" t="str">
        <f t="shared" si="246"/>
        <v>--</v>
      </c>
      <c r="M1148" s="2314" t="str">
        <f t="shared" si="246"/>
        <v>--</v>
      </c>
      <c r="N1148" s="2314" t="str">
        <f t="shared" si="246"/>
        <v>--</v>
      </c>
      <c r="O1148" s="2323" t="str">
        <f t="shared" si="246"/>
        <v>--</v>
      </c>
      <c r="P1148" s="2314" t="str">
        <f t="shared" si="234"/>
        <v>--</v>
      </c>
      <c r="Q1148" s="255"/>
      <c r="R1148" s="1466"/>
      <c r="T1148" s="53"/>
      <c r="U1148" s="2310" t="str">
        <f t="shared" si="235"/>
        <v>--</v>
      </c>
      <c r="V1148" s="2310" t="str">
        <f t="shared" si="230"/>
        <v>--</v>
      </c>
      <c r="W1148" s="2310" t="str">
        <f t="shared" si="230"/>
        <v>--</v>
      </c>
      <c r="X1148" s="2310" t="str">
        <f t="shared" si="230"/>
        <v>--</v>
      </c>
      <c r="Y1148" s="2310" t="str">
        <f t="shared" si="230"/>
        <v>--</v>
      </c>
      <c r="AA1148" s="2060"/>
      <c r="AB1148" s="2060"/>
      <c r="AC1148" s="2060"/>
      <c r="AD1148" s="2060"/>
      <c r="AE1148" s="2060"/>
      <c r="AF1148" s="2060"/>
      <c r="AG1148" s="2060"/>
      <c r="AH1148" s="2060"/>
    </row>
    <row r="1149" spans="1:35" s="89" customFormat="1" ht="13.9">
      <c r="A1149" s="269" t="str">
        <f t="shared" si="236"/>
        <v>n</v>
      </c>
      <c r="B1149" s="2060"/>
      <c r="D1149" s="801"/>
      <c r="E1149" s="1505">
        <v>24</v>
      </c>
      <c r="F1149" s="21" t="str">
        <f>F$152</f>
        <v>--</v>
      </c>
      <c r="G1149" s="1441">
        <f>G$152</f>
        <v>0</v>
      </c>
      <c r="H1149" s="2314" t="str">
        <f t="shared" si="231"/>
        <v>--</v>
      </c>
      <c r="I1149" s="2314" t="str">
        <f t="shared" si="232"/>
        <v>--</v>
      </c>
      <c r="J1149" s="2314" t="str">
        <f t="shared" ref="J1149:O1149" si="247">IFERROR((J589-I589)/ABS(I589),"--")</f>
        <v>--</v>
      </c>
      <c r="K1149" s="2314" t="str">
        <f t="shared" si="247"/>
        <v>--</v>
      </c>
      <c r="L1149" s="2314" t="str">
        <f t="shared" si="247"/>
        <v>--</v>
      </c>
      <c r="M1149" s="2314" t="str">
        <f t="shared" si="247"/>
        <v>--</v>
      </c>
      <c r="N1149" s="2314" t="str">
        <f t="shared" si="247"/>
        <v>--</v>
      </c>
      <c r="O1149" s="2323" t="str">
        <f t="shared" si="247"/>
        <v>--</v>
      </c>
      <c r="P1149" s="2314" t="str">
        <f t="shared" si="234"/>
        <v>--</v>
      </c>
      <c r="Q1149" s="255"/>
      <c r="R1149" s="1466"/>
      <c r="T1149" s="53"/>
      <c r="U1149" s="2310" t="str">
        <f t="shared" si="235"/>
        <v>--</v>
      </c>
      <c r="V1149" s="2310" t="str">
        <f t="shared" si="230"/>
        <v>--</v>
      </c>
      <c r="W1149" s="2310" t="str">
        <f t="shared" si="230"/>
        <v>--</v>
      </c>
      <c r="X1149" s="2310" t="str">
        <f t="shared" si="230"/>
        <v>--</v>
      </c>
      <c r="Y1149" s="2310" t="str">
        <f t="shared" si="230"/>
        <v>--</v>
      </c>
      <c r="AA1149" s="2060"/>
      <c r="AB1149" s="2060"/>
      <c r="AC1149" s="2060"/>
      <c r="AD1149" s="2060"/>
      <c r="AE1149" s="2060"/>
      <c r="AF1149" s="2060"/>
      <c r="AG1149" s="2060"/>
      <c r="AH1149" s="2060"/>
    </row>
    <row r="1150" spans="1:35" s="89" customFormat="1" ht="13.9">
      <c r="A1150" s="269" t="str">
        <f t="shared" si="236"/>
        <v>n</v>
      </c>
      <c r="B1150" s="2060"/>
      <c r="D1150" s="801"/>
      <c r="E1150" s="1505">
        <v>25</v>
      </c>
      <c r="F1150" s="21" t="str">
        <f>F$153</f>
        <v>--</v>
      </c>
      <c r="G1150" s="1441">
        <f>G$153</f>
        <v>0</v>
      </c>
      <c r="H1150" s="2314" t="str">
        <f t="shared" si="231"/>
        <v>--</v>
      </c>
      <c r="I1150" s="2314" t="str">
        <f t="shared" si="232"/>
        <v>--</v>
      </c>
      <c r="J1150" s="2314" t="str">
        <f t="shared" ref="J1150:O1150" si="248">IFERROR((J590-I590)/ABS(I590),"--")</f>
        <v>--</v>
      </c>
      <c r="K1150" s="2314" t="str">
        <f t="shared" si="248"/>
        <v>--</v>
      </c>
      <c r="L1150" s="2314" t="str">
        <f t="shared" si="248"/>
        <v>--</v>
      </c>
      <c r="M1150" s="2314" t="str">
        <f t="shared" si="248"/>
        <v>--</v>
      </c>
      <c r="N1150" s="2314" t="str">
        <f t="shared" si="248"/>
        <v>--</v>
      </c>
      <c r="O1150" s="2323" t="str">
        <f t="shared" si="248"/>
        <v>--</v>
      </c>
      <c r="P1150" s="2314" t="str">
        <f t="shared" si="234"/>
        <v>--</v>
      </c>
      <c r="Q1150" s="255"/>
      <c r="R1150" s="1466"/>
      <c r="T1150" s="53"/>
      <c r="U1150" s="2310" t="str">
        <f t="shared" si="235"/>
        <v>--</v>
      </c>
      <c r="V1150" s="2310" t="str">
        <f t="shared" si="230"/>
        <v>--</v>
      </c>
      <c r="W1150" s="2310" t="str">
        <f t="shared" si="230"/>
        <v>--</v>
      </c>
      <c r="X1150" s="2310" t="str">
        <f t="shared" si="230"/>
        <v>--</v>
      </c>
      <c r="Y1150" s="2310" t="str">
        <f t="shared" si="230"/>
        <v>--</v>
      </c>
      <c r="AA1150" s="2060"/>
      <c r="AB1150" s="2060"/>
      <c r="AC1150" s="2060"/>
      <c r="AD1150" s="2060"/>
      <c r="AE1150" s="2060"/>
      <c r="AF1150" s="2060"/>
      <c r="AG1150" s="2060"/>
      <c r="AH1150" s="2060"/>
    </row>
    <row r="1151" spans="1:35" s="89" customFormat="1" ht="13.9">
      <c r="A1151" s="2060"/>
      <c r="B1151" s="2060"/>
      <c r="D1151" s="801"/>
      <c r="F1151" s="57" t="s">
        <v>767</v>
      </c>
      <c r="G1151" s="1442"/>
      <c r="H1151" s="277" t="str">
        <f t="shared" ref="H1151:P1151" si="249">IFERROR(MEDIAN(H1126:H1150),"--")</f>
        <v>--</v>
      </c>
      <c r="I1151" s="277" t="str">
        <f t="shared" si="249"/>
        <v>--</v>
      </c>
      <c r="J1151" s="277" t="str">
        <f t="shared" si="249"/>
        <v>--</v>
      </c>
      <c r="K1151" s="277" t="str">
        <f t="shared" si="249"/>
        <v>--</v>
      </c>
      <c r="L1151" s="277" t="str">
        <f t="shared" si="249"/>
        <v>--</v>
      </c>
      <c r="M1151" s="277" t="str">
        <f t="shared" si="249"/>
        <v>--</v>
      </c>
      <c r="N1151" s="277" t="str">
        <f t="shared" si="249"/>
        <v>--</v>
      </c>
      <c r="O1151" s="278" t="str">
        <f t="shared" si="249"/>
        <v>--</v>
      </c>
      <c r="P1151" s="277" t="str">
        <f t="shared" si="249"/>
        <v>--</v>
      </c>
      <c r="Q1151" s="255"/>
      <c r="T1151" s="1513"/>
      <c r="U1151" s="504" t="str">
        <f>IFERROR(MEDIAN(U1126:U1150),"--")</f>
        <v>--</v>
      </c>
      <c r="V1151" s="504" t="str">
        <f>IFERROR(MEDIAN(V1126:V1150),"--")</f>
        <v>--</v>
      </c>
      <c r="W1151" s="504" t="str">
        <f>IFERROR(MEDIAN(W1126:W1150),"--")</f>
        <v>--</v>
      </c>
      <c r="X1151" s="504" t="str">
        <f>IFERROR(MEDIAN(X1126:X1150),"--")</f>
        <v>--</v>
      </c>
      <c r="Y1151" s="504" t="str">
        <f>IFERROR(MEDIAN(Y1126:Y1150),"--")</f>
        <v>--</v>
      </c>
      <c r="AA1151" s="2060"/>
      <c r="AB1151" s="2060"/>
      <c r="AC1151" s="2060"/>
      <c r="AD1151" s="2060"/>
      <c r="AE1151" s="2060"/>
      <c r="AF1151" s="2060"/>
      <c r="AG1151" s="2060"/>
      <c r="AH1151" s="2060"/>
    </row>
    <row r="1152" spans="1:35" s="89" customFormat="1" ht="13.9">
      <c r="A1152" s="2060"/>
      <c r="B1152" s="2060"/>
      <c r="D1152" s="1436"/>
      <c r="E1152" s="56"/>
      <c r="F1152" s="21"/>
      <c r="O1152" s="75"/>
      <c r="P1152" s="76"/>
      <c r="Q1152" s="255"/>
      <c r="AA1152" s="2060"/>
      <c r="AB1152" s="2060"/>
      <c r="AC1152" s="2060"/>
      <c r="AD1152" s="2060"/>
      <c r="AE1152" s="2060"/>
      <c r="AF1152" s="2060"/>
      <c r="AG1152" s="2060"/>
      <c r="AH1152" s="2060"/>
    </row>
    <row r="1153" spans="1:34" s="89" customFormat="1" ht="13.9">
      <c r="A1153" s="2060"/>
      <c r="B1153" s="2060"/>
      <c r="D1153" s="1436"/>
      <c r="E1153" s="56"/>
      <c r="F1153" s="21"/>
      <c r="O1153" s="75"/>
      <c r="P1153" s="76"/>
      <c r="AA1153" s="2060"/>
      <c r="AB1153" s="2060"/>
      <c r="AC1153" s="2060"/>
      <c r="AD1153" s="2060"/>
      <c r="AE1153" s="2060"/>
      <c r="AF1153" s="2060"/>
      <c r="AG1153" s="2060"/>
      <c r="AH1153" s="2060"/>
    </row>
    <row r="1154" spans="1:34" s="89" customFormat="1" ht="13.9">
      <c r="A1154" s="2060"/>
      <c r="B1154" s="2060"/>
      <c r="D1154" s="802"/>
      <c r="E1154" s="21"/>
      <c r="F1154" s="21"/>
      <c r="O1154" s="75"/>
      <c r="P1154" s="76"/>
      <c r="R1154" s="521"/>
      <c r="AA1154" s="2060"/>
      <c r="AB1154" s="2060"/>
      <c r="AC1154" s="2060"/>
      <c r="AD1154" s="2060"/>
      <c r="AE1154" s="2060"/>
      <c r="AF1154" s="2060"/>
      <c r="AG1154" s="2060"/>
      <c r="AH1154" s="2060"/>
    </row>
    <row r="1155" spans="1:34" s="89" customFormat="1" ht="13.9">
      <c r="A1155" s="2060"/>
      <c r="B1155" s="2060"/>
      <c r="D1155" s="778">
        <f ca="1">MAX(OFFSET(D1155,-1,0,-ROW(D1155)+1,-2),1)+0.01</f>
        <v>7.02</v>
      </c>
      <c r="E1155" s="125"/>
      <c r="F1155" s="952" t="s">
        <v>258</v>
      </c>
      <c r="G1155" s="724" t="s">
        <v>795</v>
      </c>
      <c r="H1155" s="758" t="s">
        <v>830</v>
      </c>
      <c r="I1155" s="758" t="s">
        <v>831</v>
      </c>
      <c r="J1155" s="724"/>
      <c r="K1155" s="758" t="s">
        <v>700</v>
      </c>
      <c r="L1155" s="758" t="s">
        <v>701</v>
      </c>
      <c r="M1155" s="758" t="s">
        <v>702</v>
      </c>
      <c r="N1155" s="758" t="s">
        <v>703</v>
      </c>
      <c r="O1155" s="759" t="s">
        <v>704</v>
      </c>
      <c r="P1155" s="725" t="s">
        <v>705</v>
      </c>
      <c r="Q1155" s="724"/>
      <c r="R1155" s="731"/>
      <c r="S1155" s="724"/>
      <c r="T1155" s="724"/>
      <c r="U1155" s="725" t="s">
        <v>707</v>
      </c>
      <c r="V1155" s="725" t="s">
        <v>708</v>
      </c>
      <c r="W1155" s="725" t="s">
        <v>709</v>
      </c>
      <c r="X1155" s="725" t="s">
        <v>710</v>
      </c>
      <c r="Y1155" s="725" t="s">
        <v>711</v>
      </c>
      <c r="AA1155" s="2060"/>
      <c r="AB1155" s="2060"/>
      <c r="AC1155" s="2060"/>
      <c r="AD1155" s="2060"/>
      <c r="AE1155" s="2060"/>
      <c r="AF1155" s="2060"/>
      <c r="AG1155" s="2060"/>
      <c r="AH1155" s="2060"/>
    </row>
    <row r="1156" spans="1:34" s="89" customFormat="1" ht="13.9">
      <c r="A1156" s="2060"/>
      <c r="B1156" s="2060"/>
      <c r="D1156" s="778"/>
      <c r="E1156" s="1505">
        <v>0</v>
      </c>
      <c r="F1156" s="1448" t="str">
        <f>F$128</f>
        <v/>
      </c>
      <c r="G1156" s="1449">
        <f>G$128</f>
        <v>0</v>
      </c>
      <c r="H1156" s="1449"/>
      <c r="I1156" s="258"/>
      <c r="J1156" s="258"/>
      <c r="K1156" s="2322" t="str">
        <f>IFERROR((K627-J627)/ABS(J627),"n/a")</f>
        <v>n/a</v>
      </c>
      <c r="L1156" s="2322" t="str">
        <f>IFERROR((L627-K627)/ABS(K627),"n/a")</f>
        <v>n/a</v>
      </c>
      <c r="M1156" s="2322" t="str">
        <f>IFERROR((M627-L627)/ABS(L627),"n/a")</f>
        <v>n/a</v>
      </c>
      <c r="N1156" s="2322" t="str">
        <f>IFERROR((N627-M627)/ABS(M627),"n/a")</f>
        <v>n/a</v>
      </c>
      <c r="O1156" s="2324" t="str">
        <f>IFERROR((O627-N627)/ABS(N627),"n/a")</f>
        <v>n/a</v>
      </c>
      <c r="P1156" s="2322" t="str">
        <f>IFERROR((P627-R627)/R627,"n/a")</f>
        <v>n/a</v>
      </c>
      <c r="R1156" s="1459"/>
      <c r="U1156" s="2318" t="str">
        <f>IFERROR((U627-O627)/ABS(O627),"--")</f>
        <v>--</v>
      </c>
      <c r="V1156" s="2318" t="str">
        <f t="shared" ref="U1156:Y1181" si="250">IFERROR((V627-U627)/ABS(U627),"--")</f>
        <v>--</v>
      </c>
      <c r="W1156" s="2318" t="str">
        <f t="shared" si="250"/>
        <v>--</v>
      </c>
      <c r="X1156" s="2318" t="str">
        <f t="shared" si="250"/>
        <v>--</v>
      </c>
      <c r="Y1156" s="2318" t="str">
        <f t="shared" si="250"/>
        <v>--</v>
      </c>
      <c r="AA1156" s="2060"/>
      <c r="AB1156" s="2060"/>
      <c r="AC1156" s="2060"/>
      <c r="AD1156" s="2060"/>
      <c r="AE1156" s="2060"/>
      <c r="AF1156" s="2060"/>
      <c r="AG1156" s="2060"/>
      <c r="AH1156" s="2060"/>
    </row>
    <row r="1157" spans="1:34" s="89" customFormat="1" ht="13.9">
      <c r="A1157" s="269" t="str">
        <f>IF(F1157="--","n","")</f>
        <v>n</v>
      </c>
      <c r="B1157" s="2060"/>
      <c r="C1157" s="72"/>
      <c r="D1157" s="801"/>
      <c r="E1157" s="1505">
        <v>1</v>
      </c>
      <c r="F1157" s="21" t="str">
        <f>F$129</f>
        <v>--</v>
      </c>
      <c r="G1157" s="1441">
        <f>G$129</f>
        <v>0</v>
      </c>
      <c r="H1157" s="2314" t="str">
        <f>IFERROR(($O628/$J628)^(1/5)-1,"--")</f>
        <v>--</v>
      </c>
      <c r="I1157" s="2314" t="str">
        <f>IFERROR(($O628/$L628)^(1/3)-1,"--")</f>
        <v>--</v>
      </c>
      <c r="J1157" s="1441"/>
      <c r="K1157" s="2314" t="str">
        <f t="shared" ref="K1157:O1172" si="251">IFERROR((K628-J628)/ABS(J628),"--")</f>
        <v>--</v>
      </c>
      <c r="L1157" s="2314" t="str">
        <f t="shared" si="251"/>
        <v>--</v>
      </c>
      <c r="M1157" s="2314" t="str">
        <f t="shared" si="251"/>
        <v>--</v>
      </c>
      <c r="N1157" s="2314" t="str">
        <f t="shared" si="251"/>
        <v>--</v>
      </c>
      <c r="O1157" s="2315" t="str">
        <f t="shared" si="251"/>
        <v>--</v>
      </c>
      <c r="P1157" s="2314" t="str">
        <f>IFERROR((P628-R628)/ABS(R628),"--")</f>
        <v>--</v>
      </c>
      <c r="T1157" s="1513"/>
      <c r="U1157" s="2310" t="str">
        <f t="shared" si="250"/>
        <v>--</v>
      </c>
      <c r="V1157" s="2310" t="str">
        <f t="shared" si="250"/>
        <v>--</v>
      </c>
      <c r="W1157" s="2310" t="str">
        <f t="shared" si="250"/>
        <v>--</v>
      </c>
      <c r="X1157" s="2310" t="str">
        <f t="shared" si="250"/>
        <v>--</v>
      </c>
      <c r="Y1157" s="2310" t="str">
        <f t="shared" si="250"/>
        <v>--</v>
      </c>
      <c r="AA1157" s="2060"/>
      <c r="AB1157" s="2060"/>
      <c r="AC1157" s="2060"/>
      <c r="AD1157" s="2060"/>
      <c r="AE1157" s="2060"/>
      <c r="AF1157" s="2060"/>
      <c r="AG1157" s="2060"/>
      <c r="AH1157" s="2060"/>
    </row>
    <row r="1158" spans="1:34" s="89" customFormat="1" ht="13.9">
      <c r="A1158" s="269" t="str">
        <f t="shared" ref="A1158:A1181" si="252">IF(F1158="--","n","")</f>
        <v>n</v>
      </c>
      <c r="B1158" s="2060"/>
      <c r="D1158" s="801"/>
      <c r="E1158" s="1505">
        <v>2</v>
      </c>
      <c r="F1158" s="21" t="str">
        <f>F$130</f>
        <v>--</v>
      </c>
      <c r="G1158" s="1441">
        <f>G$130</f>
        <v>0</v>
      </c>
      <c r="H1158" s="2314" t="str">
        <f t="shared" ref="H1158:H1181" si="253">IFERROR(($O629/$J629)^(1/5)-1,"--")</f>
        <v>--</v>
      </c>
      <c r="I1158" s="2314" t="str">
        <f>IFERROR(($O629/$L629)^(1/3)-1,"--")</f>
        <v>--</v>
      </c>
      <c r="J1158" s="1441"/>
      <c r="K1158" s="2314" t="str">
        <f t="shared" si="251"/>
        <v>--</v>
      </c>
      <c r="L1158" s="2314" t="str">
        <f t="shared" si="251"/>
        <v>--</v>
      </c>
      <c r="M1158" s="2314" t="str">
        <f t="shared" si="251"/>
        <v>--</v>
      </c>
      <c r="N1158" s="2314" t="str">
        <f t="shared" si="251"/>
        <v>--</v>
      </c>
      <c r="O1158" s="2315" t="str">
        <f t="shared" si="251"/>
        <v>--</v>
      </c>
      <c r="P1158" s="2314" t="str">
        <f>IFERROR((P629-R629)/ABS(R629),"--")</f>
        <v>--</v>
      </c>
      <c r="T1158" s="1513"/>
      <c r="U1158" s="2310" t="str">
        <f t="shared" si="250"/>
        <v>--</v>
      </c>
      <c r="V1158" s="2310" t="str">
        <f t="shared" si="250"/>
        <v>--</v>
      </c>
      <c r="W1158" s="2310" t="str">
        <f t="shared" si="250"/>
        <v>--</v>
      </c>
      <c r="X1158" s="2310" t="str">
        <f t="shared" si="250"/>
        <v>--</v>
      </c>
      <c r="Y1158" s="2310" t="str">
        <f t="shared" si="250"/>
        <v>--</v>
      </c>
      <c r="AA1158" s="2060"/>
      <c r="AB1158" s="2060"/>
      <c r="AC1158" s="2060"/>
      <c r="AD1158" s="2060"/>
      <c r="AE1158" s="2060"/>
      <c r="AF1158" s="2060"/>
      <c r="AG1158" s="2060"/>
      <c r="AH1158" s="2060"/>
    </row>
    <row r="1159" spans="1:34" s="89" customFormat="1" ht="13.9">
      <c r="A1159" s="269" t="str">
        <f t="shared" si="252"/>
        <v>n</v>
      </c>
      <c r="B1159" s="2060"/>
      <c r="C1159" s="72"/>
      <c r="D1159" s="802"/>
      <c r="E1159" s="1505">
        <v>3</v>
      </c>
      <c r="F1159" s="21" t="str">
        <f>F$131</f>
        <v>--</v>
      </c>
      <c r="G1159" s="1441">
        <f>G$131</f>
        <v>0</v>
      </c>
      <c r="H1159" s="2314" t="str">
        <f t="shared" si="253"/>
        <v>--</v>
      </c>
      <c r="I1159" s="2314" t="str">
        <f t="shared" ref="I1159:I1181" si="254">IFERROR(($O630/$L630)^(1/3)-1,"--")</f>
        <v>--</v>
      </c>
      <c r="J1159" s="1441"/>
      <c r="K1159" s="2314" t="str">
        <f t="shared" si="251"/>
        <v>--</v>
      </c>
      <c r="L1159" s="2314" t="str">
        <f t="shared" si="251"/>
        <v>--</v>
      </c>
      <c r="M1159" s="2314" t="str">
        <f t="shared" si="251"/>
        <v>--</v>
      </c>
      <c r="N1159" s="2314" t="str">
        <f t="shared" si="251"/>
        <v>--</v>
      </c>
      <c r="O1159" s="2315" t="str">
        <f t="shared" si="251"/>
        <v>--</v>
      </c>
      <c r="P1159" s="2314" t="str">
        <f t="shared" ref="P1159:P1181" si="255">IFERROR((P630-R630)/ABS(R630),"--")</f>
        <v>--</v>
      </c>
      <c r="T1159" s="1513"/>
      <c r="U1159" s="2310" t="str">
        <f t="shared" si="250"/>
        <v>--</v>
      </c>
      <c r="V1159" s="2310" t="str">
        <f t="shared" si="250"/>
        <v>--</v>
      </c>
      <c r="W1159" s="2310" t="str">
        <f t="shared" si="250"/>
        <v>--</v>
      </c>
      <c r="X1159" s="2310" t="str">
        <f t="shared" si="250"/>
        <v>--</v>
      </c>
      <c r="Y1159" s="2310" t="str">
        <f t="shared" si="250"/>
        <v>--</v>
      </c>
      <c r="AA1159" s="2060"/>
      <c r="AB1159" s="2060"/>
      <c r="AC1159" s="2060"/>
      <c r="AD1159" s="2060"/>
      <c r="AE1159" s="2060"/>
      <c r="AF1159" s="2060"/>
      <c r="AG1159" s="2060"/>
      <c r="AH1159" s="2060"/>
    </row>
    <row r="1160" spans="1:34" s="89" customFormat="1" ht="13.9">
      <c r="A1160" s="269" t="str">
        <f t="shared" si="252"/>
        <v>n</v>
      </c>
      <c r="B1160" s="2060"/>
      <c r="C1160" s="72"/>
      <c r="D1160" s="801"/>
      <c r="E1160" s="1505">
        <v>4</v>
      </c>
      <c r="F1160" s="21" t="str">
        <f>F$132</f>
        <v>--</v>
      </c>
      <c r="G1160" s="1441">
        <f>G$132</f>
        <v>0</v>
      </c>
      <c r="H1160" s="2314" t="str">
        <f t="shared" si="253"/>
        <v>--</v>
      </c>
      <c r="I1160" s="2314" t="str">
        <f t="shared" si="254"/>
        <v>--</v>
      </c>
      <c r="J1160" s="1441"/>
      <c r="K1160" s="2314" t="str">
        <f t="shared" si="251"/>
        <v>--</v>
      </c>
      <c r="L1160" s="2314" t="str">
        <f t="shared" si="251"/>
        <v>--</v>
      </c>
      <c r="M1160" s="2314" t="str">
        <f t="shared" si="251"/>
        <v>--</v>
      </c>
      <c r="N1160" s="2314" t="str">
        <f t="shared" si="251"/>
        <v>--</v>
      </c>
      <c r="O1160" s="2315" t="str">
        <f t="shared" si="251"/>
        <v>--</v>
      </c>
      <c r="P1160" s="2314" t="str">
        <f t="shared" si="255"/>
        <v>--</v>
      </c>
      <c r="T1160" s="1513"/>
      <c r="U1160" s="2310" t="str">
        <f t="shared" si="250"/>
        <v>--</v>
      </c>
      <c r="V1160" s="2310" t="str">
        <f t="shared" si="250"/>
        <v>--</v>
      </c>
      <c r="W1160" s="2310" t="str">
        <f t="shared" si="250"/>
        <v>--</v>
      </c>
      <c r="X1160" s="2310" t="str">
        <f t="shared" si="250"/>
        <v>--</v>
      </c>
      <c r="Y1160" s="2310" t="str">
        <f t="shared" si="250"/>
        <v>--</v>
      </c>
      <c r="AA1160" s="2060"/>
      <c r="AB1160" s="2060"/>
      <c r="AC1160" s="2060"/>
      <c r="AD1160" s="2060"/>
      <c r="AE1160" s="2060"/>
      <c r="AF1160" s="2060"/>
      <c r="AG1160" s="2060"/>
      <c r="AH1160" s="2060"/>
    </row>
    <row r="1161" spans="1:34" s="89" customFormat="1" ht="13.9">
      <c r="A1161" s="269" t="str">
        <f t="shared" si="252"/>
        <v>n</v>
      </c>
      <c r="B1161" s="2060"/>
      <c r="C1161" s="72"/>
      <c r="D1161" s="801"/>
      <c r="E1161" s="1505">
        <v>5</v>
      </c>
      <c r="F1161" s="21" t="str">
        <f>F$133</f>
        <v>--</v>
      </c>
      <c r="G1161" s="1441">
        <f>G$133</f>
        <v>0</v>
      </c>
      <c r="H1161" s="2314" t="str">
        <f t="shared" si="253"/>
        <v>--</v>
      </c>
      <c r="I1161" s="2314" t="str">
        <f t="shared" si="254"/>
        <v>--</v>
      </c>
      <c r="J1161" s="1441"/>
      <c r="K1161" s="2314" t="str">
        <f t="shared" si="251"/>
        <v>--</v>
      </c>
      <c r="L1161" s="2314" t="str">
        <f t="shared" si="251"/>
        <v>--</v>
      </c>
      <c r="M1161" s="2314" t="str">
        <f t="shared" si="251"/>
        <v>--</v>
      </c>
      <c r="N1161" s="2314" t="str">
        <f t="shared" si="251"/>
        <v>--</v>
      </c>
      <c r="O1161" s="2315" t="str">
        <f t="shared" si="251"/>
        <v>--</v>
      </c>
      <c r="P1161" s="2314" t="str">
        <f t="shared" si="255"/>
        <v>--</v>
      </c>
      <c r="T1161" s="1513"/>
      <c r="U1161" s="2310" t="str">
        <f t="shared" si="250"/>
        <v>--</v>
      </c>
      <c r="V1161" s="2310" t="str">
        <f t="shared" si="250"/>
        <v>--</v>
      </c>
      <c r="W1161" s="2310" t="str">
        <f t="shared" si="250"/>
        <v>--</v>
      </c>
      <c r="X1161" s="2310" t="str">
        <f t="shared" si="250"/>
        <v>--</v>
      </c>
      <c r="Y1161" s="2310" t="str">
        <f t="shared" si="250"/>
        <v>--</v>
      </c>
      <c r="AA1161" s="2060"/>
      <c r="AB1161" s="2060"/>
      <c r="AC1161" s="2060"/>
      <c r="AD1161" s="2060"/>
      <c r="AE1161" s="2060"/>
      <c r="AF1161" s="2060"/>
      <c r="AG1161" s="2060"/>
      <c r="AH1161" s="2060"/>
    </row>
    <row r="1162" spans="1:34" s="89" customFormat="1" ht="13.9">
      <c r="A1162" s="269" t="str">
        <f t="shared" si="252"/>
        <v>n</v>
      </c>
      <c r="B1162" s="2060"/>
      <c r="C1162" s="72"/>
      <c r="D1162" s="801"/>
      <c r="E1162" s="1505">
        <v>6</v>
      </c>
      <c r="F1162" s="21" t="str">
        <f>F$134</f>
        <v>--</v>
      </c>
      <c r="G1162" s="1441">
        <f>G$134</f>
        <v>0</v>
      </c>
      <c r="H1162" s="2314" t="str">
        <f t="shared" si="253"/>
        <v>--</v>
      </c>
      <c r="I1162" s="2314" t="str">
        <f t="shared" si="254"/>
        <v>--</v>
      </c>
      <c r="J1162" s="1441"/>
      <c r="K1162" s="2314" t="str">
        <f t="shared" si="251"/>
        <v>--</v>
      </c>
      <c r="L1162" s="2314" t="str">
        <f t="shared" si="251"/>
        <v>--</v>
      </c>
      <c r="M1162" s="2314" t="str">
        <f t="shared" si="251"/>
        <v>--</v>
      </c>
      <c r="N1162" s="2314" t="str">
        <f t="shared" si="251"/>
        <v>--</v>
      </c>
      <c r="O1162" s="2315" t="str">
        <f t="shared" si="251"/>
        <v>--</v>
      </c>
      <c r="P1162" s="2314" t="str">
        <f t="shared" si="255"/>
        <v>--</v>
      </c>
      <c r="T1162" s="1513"/>
      <c r="U1162" s="2310" t="str">
        <f t="shared" si="250"/>
        <v>--</v>
      </c>
      <c r="V1162" s="2310" t="str">
        <f t="shared" si="250"/>
        <v>--</v>
      </c>
      <c r="W1162" s="2310" t="str">
        <f t="shared" si="250"/>
        <v>--</v>
      </c>
      <c r="X1162" s="2310" t="str">
        <f t="shared" si="250"/>
        <v>--</v>
      </c>
      <c r="Y1162" s="2310" t="str">
        <f t="shared" si="250"/>
        <v>--</v>
      </c>
      <c r="AA1162" s="2060"/>
      <c r="AB1162" s="2060"/>
      <c r="AC1162" s="2060"/>
      <c r="AD1162" s="2060"/>
      <c r="AE1162" s="2060"/>
      <c r="AF1162" s="2060"/>
      <c r="AG1162" s="2060"/>
      <c r="AH1162" s="2060"/>
    </row>
    <row r="1163" spans="1:34" s="89" customFormat="1" ht="13.9">
      <c r="A1163" s="269" t="str">
        <f t="shared" si="252"/>
        <v>n</v>
      </c>
      <c r="B1163" s="2060"/>
      <c r="D1163" s="801"/>
      <c r="E1163" s="1505">
        <v>7</v>
      </c>
      <c r="F1163" s="21" t="str">
        <f>F$135</f>
        <v>--</v>
      </c>
      <c r="G1163" s="1441">
        <f>G$135</f>
        <v>0</v>
      </c>
      <c r="H1163" s="2314" t="str">
        <f t="shared" si="253"/>
        <v>--</v>
      </c>
      <c r="I1163" s="2314" t="str">
        <f t="shared" si="254"/>
        <v>--</v>
      </c>
      <c r="J1163" s="1441"/>
      <c r="K1163" s="2314" t="str">
        <f t="shared" si="251"/>
        <v>--</v>
      </c>
      <c r="L1163" s="2314" t="str">
        <f t="shared" si="251"/>
        <v>--</v>
      </c>
      <c r="M1163" s="2314" t="str">
        <f t="shared" si="251"/>
        <v>--</v>
      </c>
      <c r="N1163" s="2314" t="str">
        <f t="shared" si="251"/>
        <v>--</v>
      </c>
      <c r="O1163" s="2315" t="str">
        <f t="shared" si="251"/>
        <v>--</v>
      </c>
      <c r="P1163" s="2314" t="str">
        <f t="shared" si="255"/>
        <v>--</v>
      </c>
      <c r="T1163" s="1513"/>
      <c r="U1163" s="2310" t="str">
        <f t="shared" si="250"/>
        <v>--</v>
      </c>
      <c r="V1163" s="2310" t="str">
        <f t="shared" si="250"/>
        <v>--</v>
      </c>
      <c r="W1163" s="2310" t="str">
        <f t="shared" si="250"/>
        <v>--</v>
      </c>
      <c r="X1163" s="2310" t="str">
        <f t="shared" si="250"/>
        <v>--</v>
      </c>
      <c r="Y1163" s="2310" t="str">
        <f t="shared" si="250"/>
        <v>--</v>
      </c>
      <c r="AA1163" s="2060"/>
      <c r="AB1163" s="2060"/>
      <c r="AC1163" s="2060"/>
      <c r="AD1163" s="2060"/>
      <c r="AE1163" s="2060"/>
      <c r="AF1163" s="2060"/>
      <c r="AG1163" s="2060"/>
      <c r="AH1163" s="2060"/>
    </row>
    <row r="1164" spans="1:34" s="89" customFormat="1" ht="13.9">
      <c r="A1164" s="269" t="str">
        <f t="shared" si="252"/>
        <v>n</v>
      </c>
      <c r="B1164" s="2060"/>
      <c r="D1164" s="801"/>
      <c r="E1164" s="1505">
        <v>8</v>
      </c>
      <c r="F1164" s="21" t="str">
        <f>F$136</f>
        <v>--</v>
      </c>
      <c r="G1164" s="1441">
        <f>G$136</f>
        <v>0</v>
      </c>
      <c r="H1164" s="2314" t="str">
        <f t="shared" si="253"/>
        <v>--</v>
      </c>
      <c r="I1164" s="2314" t="str">
        <f t="shared" si="254"/>
        <v>--</v>
      </c>
      <c r="J1164" s="1441"/>
      <c r="K1164" s="2314" t="str">
        <f t="shared" si="251"/>
        <v>--</v>
      </c>
      <c r="L1164" s="2314" t="str">
        <f t="shared" si="251"/>
        <v>--</v>
      </c>
      <c r="M1164" s="2314" t="str">
        <f t="shared" si="251"/>
        <v>--</v>
      </c>
      <c r="N1164" s="2314" t="str">
        <f t="shared" si="251"/>
        <v>--</v>
      </c>
      <c r="O1164" s="2315" t="str">
        <f t="shared" si="251"/>
        <v>--</v>
      </c>
      <c r="P1164" s="2314" t="str">
        <f t="shared" si="255"/>
        <v>--</v>
      </c>
      <c r="T1164" s="1513"/>
      <c r="U1164" s="2310" t="str">
        <f t="shared" si="250"/>
        <v>--</v>
      </c>
      <c r="V1164" s="2310" t="str">
        <f t="shared" si="250"/>
        <v>--</v>
      </c>
      <c r="W1164" s="2310" t="str">
        <f t="shared" si="250"/>
        <v>--</v>
      </c>
      <c r="X1164" s="2310" t="str">
        <f t="shared" si="250"/>
        <v>--</v>
      </c>
      <c r="Y1164" s="2310" t="str">
        <f t="shared" si="250"/>
        <v>--</v>
      </c>
      <c r="AA1164" s="2060"/>
      <c r="AB1164" s="2060"/>
      <c r="AC1164" s="2060"/>
      <c r="AD1164" s="2060"/>
      <c r="AE1164" s="2060"/>
      <c r="AF1164" s="2060"/>
      <c r="AG1164" s="2060"/>
      <c r="AH1164" s="2060"/>
    </row>
    <row r="1165" spans="1:34" s="89" customFormat="1" ht="13.9">
      <c r="A1165" s="269" t="str">
        <f t="shared" si="252"/>
        <v>n</v>
      </c>
      <c r="B1165" s="2060"/>
      <c r="D1165" s="801"/>
      <c r="E1165" s="1505">
        <v>9</v>
      </c>
      <c r="F1165" s="21" t="str">
        <f>F$137</f>
        <v>--</v>
      </c>
      <c r="G1165" s="1441">
        <f>G$137</f>
        <v>0</v>
      </c>
      <c r="H1165" s="2314" t="str">
        <f t="shared" si="253"/>
        <v>--</v>
      </c>
      <c r="I1165" s="2314" t="str">
        <f t="shared" si="254"/>
        <v>--</v>
      </c>
      <c r="J1165" s="1441"/>
      <c r="K1165" s="2314" t="str">
        <f t="shared" si="251"/>
        <v>--</v>
      </c>
      <c r="L1165" s="2314" t="str">
        <f t="shared" si="251"/>
        <v>--</v>
      </c>
      <c r="M1165" s="2314" t="str">
        <f t="shared" si="251"/>
        <v>--</v>
      </c>
      <c r="N1165" s="2314" t="str">
        <f t="shared" si="251"/>
        <v>--</v>
      </c>
      <c r="O1165" s="2315" t="str">
        <f t="shared" si="251"/>
        <v>--</v>
      </c>
      <c r="P1165" s="2314" t="str">
        <f t="shared" si="255"/>
        <v>--</v>
      </c>
      <c r="T1165" s="1513"/>
      <c r="U1165" s="2310" t="str">
        <f t="shared" si="250"/>
        <v>--</v>
      </c>
      <c r="V1165" s="2310" t="str">
        <f t="shared" si="250"/>
        <v>--</v>
      </c>
      <c r="W1165" s="2310" t="str">
        <f t="shared" si="250"/>
        <v>--</v>
      </c>
      <c r="X1165" s="2310" t="str">
        <f t="shared" si="250"/>
        <v>--</v>
      </c>
      <c r="Y1165" s="2310" t="str">
        <f t="shared" si="250"/>
        <v>--</v>
      </c>
      <c r="AA1165" s="2060"/>
      <c r="AB1165" s="2060"/>
      <c r="AC1165" s="2060"/>
      <c r="AD1165" s="2060"/>
      <c r="AE1165" s="2060"/>
      <c r="AF1165" s="2060"/>
      <c r="AG1165" s="2060"/>
      <c r="AH1165" s="2060"/>
    </row>
    <row r="1166" spans="1:34" s="89" customFormat="1" ht="13.9">
      <c r="A1166" s="269" t="str">
        <f t="shared" si="252"/>
        <v>n</v>
      </c>
      <c r="B1166" s="2060"/>
      <c r="D1166" s="801"/>
      <c r="E1166" s="1505">
        <v>10</v>
      </c>
      <c r="F1166" s="21" t="str">
        <f>F$138</f>
        <v>--</v>
      </c>
      <c r="G1166" s="1441">
        <f>G$138</f>
        <v>0</v>
      </c>
      <c r="H1166" s="2314" t="str">
        <f t="shared" si="253"/>
        <v>--</v>
      </c>
      <c r="I1166" s="2314" t="str">
        <f t="shared" si="254"/>
        <v>--</v>
      </c>
      <c r="J1166" s="1441"/>
      <c r="K1166" s="2314" t="str">
        <f t="shared" si="251"/>
        <v>--</v>
      </c>
      <c r="L1166" s="2314" t="str">
        <f t="shared" si="251"/>
        <v>--</v>
      </c>
      <c r="M1166" s="2314" t="str">
        <f t="shared" si="251"/>
        <v>--</v>
      </c>
      <c r="N1166" s="2314" t="str">
        <f t="shared" si="251"/>
        <v>--</v>
      </c>
      <c r="O1166" s="2315" t="str">
        <f t="shared" si="251"/>
        <v>--</v>
      </c>
      <c r="P1166" s="2314" t="str">
        <f t="shared" si="255"/>
        <v>--</v>
      </c>
      <c r="T1166" s="1513"/>
      <c r="U1166" s="2310" t="str">
        <f t="shared" si="250"/>
        <v>--</v>
      </c>
      <c r="V1166" s="2310" t="str">
        <f t="shared" si="250"/>
        <v>--</v>
      </c>
      <c r="W1166" s="2310" t="str">
        <f t="shared" si="250"/>
        <v>--</v>
      </c>
      <c r="X1166" s="2310" t="str">
        <f t="shared" si="250"/>
        <v>--</v>
      </c>
      <c r="Y1166" s="2310" t="str">
        <f t="shared" si="250"/>
        <v>--</v>
      </c>
      <c r="AA1166" s="2060"/>
      <c r="AB1166" s="2060"/>
      <c r="AC1166" s="2060"/>
      <c r="AD1166" s="2060"/>
      <c r="AE1166" s="2060"/>
      <c r="AF1166" s="2060"/>
      <c r="AG1166" s="2060"/>
      <c r="AH1166" s="2060"/>
    </row>
    <row r="1167" spans="1:34" s="89" customFormat="1" ht="13.9">
      <c r="A1167" s="269" t="str">
        <f t="shared" si="252"/>
        <v>n</v>
      </c>
      <c r="B1167" s="2060"/>
      <c r="D1167" s="801"/>
      <c r="E1167" s="1505">
        <v>11</v>
      </c>
      <c r="F1167" s="21" t="str">
        <f>F$139</f>
        <v>--</v>
      </c>
      <c r="G1167" s="1441">
        <f>G$139</f>
        <v>0</v>
      </c>
      <c r="H1167" s="2314" t="str">
        <f t="shared" si="253"/>
        <v>--</v>
      </c>
      <c r="I1167" s="2314" t="str">
        <f t="shared" si="254"/>
        <v>--</v>
      </c>
      <c r="J1167" s="1441"/>
      <c r="K1167" s="2314" t="str">
        <f t="shared" ref="K1167:O1181" si="256">IFERROR((K638-J638)/ABS(J638),"--")</f>
        <v>--</v>
      </c>
      <c r="L1167" s="2314" t="str">
        <f t="shared" si="256"/>
        <v>--</v>
      </c>
      <c r="M1167" s="2314" t="str">
        <f t="shared" si="256"/>
        <v>--</v>
      </c>
      <c r="N1167" s="2314" t="str">
        <f t="shared" si="251"/>
        <v>--</v>
      </c>
      <c r="O1167" s="2315" t="str">
        <f t="shared" si="256"/>
        <v>--</v>
      </c>
      <c r="P1167" s="2314" t="str">
        <f t="shared" si="255"/>
        <v>--</v>
      </c>
      <c r="R1167" s="1466"/>
      <c r="T1167" s="53"/>
      <c r="U1167" s="2310" t="str">
        <f t="shared" si="250"/>
        <v>--</v>
      </c>
      <c r="V1167" s="2310" t="str">
        <f t="shared" si="250"/>
        <v>--</v>
      </c>
      <c r="W1167" s="2310" t="str">
        <f t="shared" si="250"/>
        <v>--</v>
      </c>
      <c r="X1167" s="2310" t="str">
        <f t="shared" si="250"/>
        <v>--</v>
      </c>
      <c r="Y1167" s="2310" t="str">
        <f t="shared" si="250"/>
        <v>--</v>
      </c>
      <c r="AA1167" s="2060"/>
      <c r="AB1167" s="2060"/>
      <c r="AC1167" s="2060"/>
      <c r="AD1167" s="2060"/>
      <c r="AE1167" s="2060"/>
      <c r="AF1167" s="2060"/>
      <c r="AG1167" s="2060"/>
      <c r="AH1167" s="2060"/>
    </row>
    <row r="1168" spans="1:34" s="89" customFormat="1" ht="13.9">
      <c r="A1168" s="269" t="str">
        <f t="shared" si="252"/>
        <v>n</v>
      </c>
      <c r="B1168" s="2060"/>
      <c r="D1168" s="801"/>
      <c r="E1168" s="1505">
        <v>12</v>
      </c>
      <c r="F1168" s="21" t="str">
        <f>F$140</f>
        <v>--</v>
      </c>
      <c r="G1168" s="1441">
        <f>G$140</f>
        <v>0</v>
      </c>
      <c r="H1168" s="2314" t="str">
        <f t="shared" si="253"/>
        <v>--</v>
      </c>
      <c r="I1168" s="2314" t="str">
        <f t="shared" si="254"/>
        <v>--</v>
      </c>
      <c r="J1168" s="1441"/>
      <c r="K1168" s="2314" t="str">
        <f t="shared" si="256"/>
        <v>--</v>
      </c>
      <c r="L1168" s="2314" t="str">
        <f t="shared" si="256"/>
        <v>--</v>
      </c>
      <c r="M1168" s="2314" t="str">
        <f t="shared" si="256"/>
        <v>--</v>
      </c>
      <c r="N1168" s="2314" t="str">
        <f t="shared" si="251"/>
        <v>--</v>
      </c>
      <c r="O1168" s="2315" t="str">
        <f t="shared" si="256"/>
        <v>--</v>
      </c>
      <c r="P1168" s="2314" t="str">
        <f t="shared" si="255"/>
        <v>--</v>
      </c>
      <c r="R1168" s="1466"/>
      <c r="T1168" s="53"/>
      <c r="U1168" s="2310" t="str">
        <f t="shared" si="250"/>
        <v>--</v>
      </c>
      <c r="V1168" s="2310" t="str">
        <f t="shared" si="250"/>
        <v>--</v>
      </c>
      <c r="W1168" s="2310" t="str">
        <f t="shared" si="250"/>
        <v>--</v>
      </c>
      <c r="X1168" s="2310" t="str">
        <f t="shared" si="250"/>
        <v>--</v>
      </c>
      <c r="Y1168" s="2310" t="str">
        <f t="shared" si="250"/>
        <v>--</v>
      </c>
      <c r="AA1168" s="2060"/>
      <c r="AB1168" s="2060"/>
      <c r="AC1168" s="2060"/>
      <c r="AD1168" s="2060"/>
      <c r="AE1168" s="2060"/>
      <c r="AF1168" s="2060"/>
      <c r="AG1168" s="2060"/>
      <c r="AH1168" s="2060"/>
    </row>
    <row r="1169" spans="1:34" s="89" customFormat="1" ht="13.9">
      <c r="A1169" s="269" t="str">
        <f t="shared" si="252"/>
        <v>n</v>
      </c>
      <c r="B1169" s="2060"/>
      <c r="D1169" s="801"/>
      <c r="E1169" s="1505">
        <v>13</v>
      </c>
      <c r="F1169" s="21" t="str">
        <f>F$141</f>
        <v>--</v>
      </c>
      <c r="G1169" s="1441">
        <f>G$141</f>
        <v>0</v>
      </c>
      <c r="H1169" s="2314" t="str">
        <f t="shared" si="253"/>
        <v>--</v>
      </c>
      <c r="I1169" s="2314" t="str">
        <f t="shared" si="254"/>
        <v>--</v>
      </c>
      <c r="J1169" s="1441"/>
      <c r="K1169" s="2314" t="str">
        <f t="shared" si="256"/>
        <v>--</v>
      </c>
      <c r="L1169" s="2314" t="str">
        <f t="shared" si="256"/>
        <v>--</v>
      </c>
      <c r="M1169" s="2314" t="str">
        <f t="shared" si="256"/>
        <v>--</v>
      </c>
      <c r="N1169" s="2314" t="str">
        <f t="shared" si="251"/>
        <v>--</v>
      </c>
      <c r="O1169" s="2315" t="str">
        <f t="shared" si="256"/>
        <v>--</v>
      </c>
      <c r="P1169" s="2314" t="str">
        <f t="shared" si="255"/>
        <v>--</v>
      </c>
      <c r="R1169" s="1466"/>
      <c r="T1169" s="53"/>
      <c r="U1169" s="2310" t="str">
        <f t="shared" si="250"/>
        <v>--</v>
      </c>
      <c r="V1169" s="2310" t="str">
        <f t="shared" si="250"/>
        <v>--</v>
      </c>
      <c r="W1169" s="2310" t="str">
        <f t="shared" si="250"/>
        <v>--</v>
      </c>
      <c r="X1169" s="2310" t="str">
        <f t="shared" si="250"/>
        <v>--</v>
      </c>
      <c r="Y1169" s="2310" t="str">
        <f t="shared" si="250"/>
        <v>--</v>
      </c>
      <c r="AA1169" s="2060"/>
      <c r="AB1169" s="2060"/>
      <c r="AC1169" s="2060"/>
      <c r="AD1169" s="2060"/>
      <c r="AE1169" s="2060"/>
      <c r="AF1169" s="2060"/>
      <c r="AG1169" s="2060"/>
      <c r="AH1169" s="2060"/>
    </row>
    <row r="1170" spans="1:34" s="89" customFormat="1" ht="13.9">
      <c r="A1170" s="269" t="str">
        <f t="shared" si="252"/>
        <v>n</v>
      </c>
      <c r="B1170" s="2060"/>
      <c r="D1170" s="801"/>
      <c r="E1170" s="1505">
        <v>14</v>
      </c>
      <c r="F1170" s="21" t="str">
        <f>F$142</f>
        <v>--</v>
      </c>
      <c r="G1170" s="1441">
        <f>G$142</f>
        <v>0</v>
      </c>
      <c r="H1170" s="2314" t="str">
        <f t="shared" si="253"/>
        <v>--</v>
      </c>
      <c r="I1170" s="2314" t="str">
        <f t="shared" si="254"/>
        <v>--</v>
      </c>
      <c r="J1170" s="1441"/>
      <c r="K1170" s="2314" t="str">
        <f t="shared" si="256"/>
        <v>--</v>
      </c>
      <c r="L1170" s="2314" t="str">
        <f t="shared" si="256"/>
        <v>--</v>
      </c>
      <c r="M1170" s="2314" t="str">
        <f t="shared" si="256"/>
        <v>--</v>
      </c>
      <c r="N1170" s="2314" t="str">
        <f t="shared" si="251"/>
        <v>--</v>
      </c>
      <c r="O1170" s="2315" t="str">
        <f t="shared" si="256"/>
        <v>--</v>
      </c>
      <c r="P1170" s="2314" t="str">
        <f t="shared" si="255"/>
        <v>--</v>
      </c>
      <c r="R1170" s="1466"/>
      <c r="T1170" s="53"/>
      <c r="U1170" s="2310" t="str">
        <f t="shared" si="250"/>
        <v>--</v>
      </c>
      <c r="V1170" s="2310" t="str">
        <f t="shared" si="250"/>
        <v>--</v>
      </c>
      <c r="W1170" s="2310" t="str">
        <f t="shared" si="250"/>
        <v>--</v>
      </c>
      <c r="X1170" s="2310" t="str">
        <f t="shared" si="250"/>
        <v>--</v>
      </c>
      <c r="Y1170" s="2310" t="str">
        <f t="shared" si="250"/>
        <v>--</v>
      </c>
      <c r="AA1170" s="2060"/>
      <c r="AB1170" s="2060"/>
      <c r="AC1170" s="2060"/>
      <c r="AD1170" s="2060"/>
      <c r="AE1170" s="2060"/>
      <c r="AF1170" s="2060"/>
      <c r="AG1170" s="2060"/>
      <c r="AH1170" s="2060"/>
    </row>
    <row r="1171" spans="1:34" s="89" customFormat="1" ht="13.9">
      <c r="A1171" s="269" t="str">
        <f t="shared" si="252"/>
        <v>n</v>
      </c>
      <c r="B1171" s="2060"/>
      <c r="D1171" s="801"/>
      <c r="E1171" s="1505">
        <v>15</v>
      </c>
      <c r="F1171" s="21" t="str">
        <f>F$143</f>
        <v>--</v>
      </c>
      <c r="G1171" s="1441">
        <f>G$143</f>
        <v>0</v>
      </c>
      <c r="H1171" s="2314" t="str">
        <f t="shared" si="253"/>
        <v>--</v>
      </c>
      <c r="I1171" s="2314" t="str">
        <f t="shared" si="254"/>
        <v>--</v>
      </c>
      <c r="J1171" s="1441"/>
      <c r="K1171" s="2314" t="str">
        <f t="shared" si="256"/>
        <v>--</v>
      </c>
      <c r="L1171" s="2314" t="str">
        <f t="shared" si="256"/>
        <v>--</v>
      </c>
      <c r="M1171" s="2314" t="str">
        <f t="shared" si="256"/>
        <v>--</v>
      </c>
      <c r="N1171" s="2314" t="str">
        <f t="shared" si="251"/>
        <v>--</v>
      </c>
      <c r="O1171" s="2315" t="str">
        <f t="shared" si="256"/>
        <v>--</v>
      </c>
      <c r="P1171" s="2314" t="str">
        <f t="shared" si="255"/>
        <v>--</v>
      </c>
      <c r="R1171" s="1466"/>
      <c r="T1171" s="53"/>
      <c r="U1171" s="2310" t="str">
        <f t="shared" si="250"/>
        <v>--</v>
      </c>
      <c r="V1171" s="2310" t="str">
        <f t="shared" si="250"/>
        <v>--</v>
      </c>
      <c r="W1171" s="2310" t="str">
        <f t="shared" si="250"/>
        <v>--</v>
      </c>
      <c r="X1171" s="2310" t="str">
        <f t="shared" si="250"/>
        <v>--</v>
      </c>
      <c r="Y1171" s="2310" t="str">
        <f t="shared" si="250"/>
        <v>--</v>
      </c>
      <c r="AA1171" s="2060"/>
      <c r="AB1171" s="2060"/>
      <c r="AC1171" s="2060"/>
      <c r="AD1171" s="2060"/>
      <c r="AE1171" s="2060"/>
      <c r="AF1171" s="2060"/>
      <c r="AG1171" s="2060"/>
      <c r="AH1171" s="2060"/>
    </row>
    <row r="1172" spans="1:34" s="89" customFormat="1" ht="13.9">
      <c r="A1172" s="269" t="str">
        <f t="shared" si="252"/>
        <v>n</v>
      </c>
      <c r="B1172" s="2060"/>
      <c r="D1172" s="801"/>
      <c r="E1172" s="1505">
        <v>16</v>
      </c>
      <c r="F1172" s="21" t="str">
        <f>F$144</f>
        <v>--</v>
      </c>
      <c r="G1172" s="1441">
        <f>G$144</f>
        <v>0</v>
      </c>
      <c r="H1172" s="2314" t="str">
        <f t="shared" si="253"/>
        <v>--</v>
      </c>
      <c r="I1172" s="2314" t="str">
        <f t="shared" si="254"/>
        <v>--</v>
      </c>
      <c r="J1172" s="1441"/>
      <c r="K1172" s="2314" t="str">
        <f t="shared" si="256"/>
        <v>--</v>
      </c>
      <c r="L1172" s="2314" t="str">
        <f t="shared" si="256"/>
        <v>--</v>
      </c>
      <c r="M1172" s="2314" t="str">
        <f t="shared" si="256"/>
        <v>--</v>
      </c>
      <c r="N1172" s="2314" t="str">
        <f t="shared" si="251"/>
        <v>--</v>
      </c>
      <c r="O1172" s="2315" t="str">
        <f t="shared" si="256"/>
        <v>--</v>
      </c>
      <c r="P1172" s="2314" t="str">
        <f t="shared" si="255"/>
        <v>--</v>
      </c>
      <c r="R1172" s="1466"/>
      <c r="T1172" s="53"/>
      <c r="U1172" s="2310" t="str">
        <f t="shared" si="250"/>
        <v>--</v>
      </c>
      <c r="V1172" s="2310" t="str">
        <f t="shared" si="250"/>
        <v>--</v>
      </c>
      <c r="W1172" s="2310" t="str">
        <f t="shared" si="250"/>
        <v>--</v>
      </c>
      <c r="X1172" s="2310" t="str">
        <f t="shared" si="250"/>
        <v>--</v>
      </c>
      <c r="Y1172" s="2310" t="str">
        <f t="shared" si="250"/>
        <v>--</v>
      </c>
      <c r="AA1172" s="2060"/>
      <c r="AB1172" s="2060"/>
      <c r="AC1172" s="2060"/>
      <c r="AD1172" s="2060"/>
      <c r="AE1172" s="2060"/>
      <c r="AF1172" s="2060"/>
      <c r="AG1172" s="2060"/>
      <c r="AH1172" s="2060"/>
    </row>
    <row r="1173" spans="1:34" s="89" customFormat="1" ht="13.9">
      <c r="A1173" s="269" t="str">
        <f t="shared" si="252"/>
        <v>n</v>
      </c>
      <c r="B1173" s="2060"/>
      <c r="D1173" s="801"/>
      <c r="E1173" s="1505">
        <v>17</v>
      </c>
      <c r="F1173" s="21" t="str">
        <f>F$145</f>
        <v>--</v>
      </c>
      <c r="G1173" s="1441">
        <f>G$145</f>
        <v>0</v>
      </c>
      <c r="H1173" s="2314" t="str">
        <f t="shared" si="253"/>
        <v>--</v>
      </c>
      <c r="I1173" s="2314" t="str">
        <f t="shared" si="254"/>
        <v>--</v>
      </c>
      <c r="J1173" s="1441"/>
      <c r="K1173" s="2314" t="str">
        <f t="shared" si="256"/>
        <v>--</v>
      </c>
      <c r="L1173" s="2314" t="str">
        <f t="shared" si="256"/>
        <v>--</v>
      </c>
      <c r="M1173" s="2314" t="str">
        <f t="shared" si="256"/>
        <v>--</v>
      </c>
      <c r="N1173" s="2314" t="str">
        <f t="shared" si="256"/>
        <v>--</v>
      </c>
      <c r="O1173" s="2315" t="str">
        <f t="shared" si="256"/>
        <v>--</v>
      </c>
      <c r="P1173" s="2314" t="str">
        <f t="shared" si="255"/>
        <v>--</v>
      </c>
      <c r="R1173" s="1466"/>
      <c r="T1173" s="53"/>
      <c r="U1173" s="2310" t="str">
        <f t="shared" si="250"/>
        <v>--</v>
      </c>
      <c r="V1173" s="2310" t="str">
        <f t="shared" si="250"/>
        <v>--</v>
      </c>
      <c r="W1173" s="2310" t="str">
        <f t="shared" si="250"/>
        <v>--</v>
      </c>
      <c r="X1173" s="2310" t="str">
        <f t="shared" si="250"/>
        <v>--</v>
      </c>
      <c r="Y1173" s="2310" t="str">
        <f t="shared" si="250"/>
        <v>--</v>
      </c>
      <c r="AA1173" s="2060"/>
      <c r="AB1173" s="2060"/>
      <c r="AC1173" s="2060"/>
      <c r="AD1173" s="2060"/>
      <c r="AE1173" s="2060"/>
      <c r="AF1173" s="2060"/>
      <c r="AG1173" s="2060"/>
      <c r="AH1173" s="2060"/>
    </row>
    <row r="1174" spans="1:34" s="89" customFormat="1" ht="13.9">
      <c r="A1174" s="269" t="str">
        <f t="shared" si="252"/>
        <v>n</v>
      </c>
      <c r="B1174" s="2060"/>
      <c r="D1174" s="801"/>
      <c r="E1174" s="1505">
        <v>18</v>
      </c>
      <c r="F1174" s="21" t="str">
        <f>F$146</f>
        <v>--</v>
      </c>
      <c r="G1174" s="1441">
        <f>G$146</f>
        <v>0</v>
      </c>
      <c r="H1174" s="2314" t="str">
        <f t="shared" si="253"/>
        <v>--</v>
      </c>
      <c r="I1174" s="2314" t="str">
        <f t="shared" si="254"/>
        <v>--</v>
      </c>
      <c r="J1174" s="1441"/>
      <c r="K1174" s="2314" t="str">
        <f t="shared" si="256"/>
        <v>--</v>
      </c>
      <c r="L1174" s="2314" t="str">
        <f t="shared" si="256"/>
        <v>--</v>
      </c>
      <c r="M1174" s="2314" t="str">
        <f t="shared" si="256"/>
        <v>--</v>
      </c>
      <c r="N1174" s="2314" t="str">
        <f t="shared" si="256"/>
        <v>--</v>
      </c>
      <c r="O1174" s="2315" t="str">
        <f t="shared" si="256"/>
        <v>--</v>
      </c>
      <c r="P1174" s="2314" t="str">
        <f t="shared" si="255"/>
        <v>--</v>
      </c>
      <c r="R1174" s="1466"/>
      <c r="T1174" s="53"/>
      <c r="U1174" s="2310" t="str">
        <f t="shared" si="250"/>
        <v>--</v>
      </c>
      <c r="V1174" s="2310" t="str">
        <f t="shared" si="250"/>
        <v>--</v>
      </c>
      <c r="W1174" s="2310" t="str">
        <f t="shared" si="250"/>
        <v>--</v>
      </c>
      <c r="X1174" s="2310" t="str">
        <f t="shared" si="250"/>
        <v>--</v>
      </c>
      <c r="Y1174" s="2310" t="str">
        <f t="shared" si="250"/>
        <v>--</v>
      </c>
      <c r="AA1174" s="2060"/>
      <c r="AB1174" s="2060"/>
      <c r="AC1174" s="2060"/>
      <c r="AD1174" s="2060"/>
      <c r="AE1174" s="2060"/>
      <c r="AF1174" s="2060"/>
      <c r="AG1174" s="2060"/>
      <c r="AH1174" s="2060"/>
    </row>
    <row r="1175" spans="1:34" s="89" customFormat="1" ht="13.9">
      <c r="A1175" s="269" t="str">
        <f t="shared" si="252"/>
        <v>n</v>
      </c>
      <c r="B1175" s="2060"/>
      <c r="D1175" s="801"/>
      <c r="E1175" s="1505">
        <v>19</v>
      </c>
      <c r="F1175" s="21" t="str">
        <f>F$147</f>
        <v>--</v>
      </c>
      <c r="G1175" s="1441">
        <f>G$147</f>
        <v>0</v>
      </c>
      <c r="H1175" s="2314" t="str">
        <f t="shared" si="253"/>
        <v>--</v>
      </c>
      <c r="I1175" s="2314" t="str">
        <f t="shared" si="254"/>
        <v>--</v>
      </c>
      <c r="J1175" s="1441"/>
      <c r="K1175" s="2314" t="str">
        <f t="shared" si="256"/>
        <v>--</v>
      </c>
      <c r="L1175" s="2314" t="str">
        <f t="shared" si="256"/>
        <v>--</v>
      </c>
      <c r="M1175" s="2314" t="str">
        <f t="shared" si="256"/>
        <v>--</v>
      </c>
      <c r="N1175" s="2314" t="str">
        <f t="shared" si="256"/>
        <v>--</v>
      </c>
      <c r="O1175" s="2315" t="str">
        <f t="shared" si="256"/>
        <v>--</v>
      </c>
      <c r="P1175" s="2314" t="str">
        <f t="shared" si="255"/>
        <v>--</v>
      </c>
      <c r="R1175" s="1466"/>
      <c r="T1175" s="53"/>
      <c r="U1175" s="2310" t="str">
        <f t="shared" si="250"/>
        <v>--</v>
      </c>
      <c r="V1175" s="2310" t="str">
        <f t="shared" si="250"/>
        <v>--</v>
      </c>
      <c r="W1175" s="2310" t="str">
        <f t="shared" si="250"/>
        <v>--</v>
      </c>
      <c r="X1175" s="2310" t="str">
        <f t="shared" si="250"/>
        <v>--</v>
      </c>
      <c r="Y1175" s="2310" t="str">
        <f t="shared" si="250"/>
        <v>--</v>
      </c>
      <c r="AA1175" s="2060"/>
      <c r="AB1175" s="2060"/>
      <c r="AC1175" s="2060"/>
      <c r="AD1175" s="2060"/>
      <c r="AE1175" s="2060"/>
      <c r="AF1175" s="2060"/>
      <c r="AG1175" s="2060"/>
      <c r="AH1175" s="2060"/>
    </row>
    <row r="1176" spans="1:34" s="89" customFormat="1" ht="13.9">
      <c r="A1176" s="269" t="str">
        <f t="shared" si="252"/>
        <v>n</v>
      </c>
      <c r="B1176" s="2060"/>
      <c r="D1176" s="801"/>
      <c r="E1176" s="1505">
        <v>20</v>
      </c>
      <c r="F1176" s="21" t="str">
        <f>F$148</f>
        <v>--</v>
      </c>
      <c r="G1176" s="1441">
        <f>G$148</f>
        <v>0</v>
      </c>
      <c r="H1176" s="2314" t="str">
        <f t="shared" si="253"/>
        <v>--</v>
      </c>
      <c r="I1176" s="2314" t="str">
        <f t="shared" si="254"/>
        <v>--</v>
      </c>
      <c r="J1176" s="1441"/>
      <c r="K1176" s="2314" t="str">
        <f t="shared" si="256"/>
        <v>--</v>
      </c>
      <c r="L1176" s="2314" t="str">
        <f t="shared" si="256"/>
        <v>--</v>
      </c>
      <c r="M1176" s="2314" t="str">
        <f t="shared" si="256"/>
        <v>--</v>
      </c>
      <c r="N1176" s="2314" t="str">
        <f t="shared" si="256"/>
        <v>--</v>
      </c>
      <c r="O1176" s="2315" t="str">
        <f t="shared" si="256"/>
        <v>--</v>
      </c>
      <c r="P1176" s="2314" t="str">
        <f t="shared" si="255"/>
        <v>--</v>
      </c>
      <c r="R1176" s="1466"/>
      <c r="T1176" s="53"/>
      <c r="U1176" s="2310" t="str">
        <f t="shared" si="250"/>
        <v>--</v>
      </c>
      <c r="V1176" s="2310" t="str">
        <f t="shared" si="250"/>
        <v>--</v>
      </c>
      <c r="W1176" s="2310" t="str">
        <f t="shared" si="250"/>
        <v>--</v>
      </c>
      <c r="X1176" s="2310" t="str">
        <f t="shared" si="250"/>
        <v>--</v>
      </c>
      <c r="Y1176" s="2310" t="str">
        <f t="shared" si="250"/>
        <v>--</v>
      </c>
      <c r="AA1176" s="2060"/>
      <c r="AB1176" s="2060"/>
      <c r="AC1176" s="2060"/>
      <c r="AD1176" s="2060"/>
      <c r="AE1176" s="2060"/>
      <c r="AF1176" s="2060"/>
      <c r="AG1176" s="2060"/>
      <c r="AH1176" s="2060"/>
    </row>
    <row r="1177" spans="1:34" s="89" customFormat="1" ht="13.9">
      <c r="A1177" s="269" t="str">
        <f t="shared" si="252"/>
        <v>n</v>
      </c>
      <c r="B1177" s="2060"/>
      <c r="D1177" s="801"/>
      <c r="E1177" s="1505">
        <v>21</v>
      </c>
      <c r="F1177" s="21" t="str">
        <f>F$149</f>
        <v>--</v>
      </c>
      <c r="G1177" s="1441">
        <f>G$149</f>
        <v>0</v>
      </c>
      <c r="H1177" s="2314" t="str">
        <f t="shared" si="253"/>
        <v>--</v>
      </c>
      <c r="I1177" s="2314" t="str">
        <f t="shared" si="254"/>
        <v>--</v>
      </c>
      <c r="J1177" s="1441"/>
      <c r="K1177" s="2314" t="str">
        <f t="shared" ref="K1177:O1181" si="257">IFERROR((K648-J648)/ABS(J648),"--")</f>
        <v>--</v>
      </c>
      <c r="L1177" s="2314" t="str">
        <f t="shared" si="257"/>
        <v>--</v>
      </c>
      <c r="M1177" s="2314" t="str">
        <f t="shared" si="257"/>
        <v>--</v>
      </c>
      <c r="N1177" s="2314" t="str">
        <f t="shared" si="256"/>
        <v>--</v>
      </c>
      <c r="O1177" s="2315" t="str">
        <f t="shared" si="257"/>
        <v>--</v>
      </c>
      <c r="P1177" s="2314" t="str">
        <f t="shared" si="255"/>
        <v>--</v>
      </c>
      <c r="R1177" s="1466"/>
      <c r="T1177" s="53"/>
      <c r="U1177" s="2310" t="str">
        <f t="shared" si="250"/>
        <v>--</v>
      </c>
      <c r="V1177" s="2310" t="str">
        <f t="shared" si="250"/>
        <v>--</v>
      </c>
      <c r="W1177" s="2310" t="str">
        <f t="shared" si="250"/>
        <v>--</v>
      </c>
      <c r="X1177" s="2310" t="str">
        <f t="shared" si="250"/>
        <v>--</v>
      </c>
      <c r="Y1177" s="2310" t="str">
        <f t="shared" si="250"/>
        <v>--</v>
      </c>
      <c r="AA1177" s="2060"/>
      <c r="AB1177" s="2060"/>
      <c r="AC1177" s="2060"/>
      <c r="AD1177" s="2060"/>
      <c r="AE1177" s="2060"/>
      <c r="AF1177" s="2060"/>
      <c r="AG1177" s="2060"/>
      <c r="AH1177" s="2060"/>
    </row>
    <row r="1178" spans="1:34" s="89" customFormat="1" ht="13.9">
      <c r="A1178" s="269" t="str">
        <f t="shared" si="252"/>
        <v>n</v>
      </c>
      <c r="B1178" s="2060"/>
      <c r="D1178" s="801"/>
      <c r="E1178" s="1505">
        <v>22</v>
      </c>
      <c r="F1178" s="21" t="str">
        <f>F$150</f>
        <v>--</v>
      </c>
      <c r="G1178" s="1441">
        <f>G$150</f>
        <v>0</v>
      </c>
      <c r="H1178" s="2314" t="str">
        <f t="shared" si="253"/>
        <v>--</v>
      </c>
      <c r="I1178" s="2314" t="str">
        <f t="shared" si="254"/>
        <v>--</v>
      </c>
      <c r="J1178" s="1441"/>
      <c r="K1178" s="2314" t="str">
        <f t="shared" si="257"/>
        <v>--</v>
      </c>
      <c r="L1178" s="2314" t="str">
        <f t="shared" si="257"/>
        <v>--</v>
      </c>
      <c r="M1178" s="2314" t="str">
        <f t="shared" si="257"/>
        <v>--</v>
      </c>
      <c r="N1178" s="2314" t="str">
        <f t="shared" si="256"/>
        <v>--</v>
      </c>
      <c r="O1178" s="2315" t="str">
        <f t="shared" si="257"/>
        <v>--</v>
      </c>
      <c r="P1178" s="2314" t="str">
        <f t="shared" si="255"/>
        <v>--</v>
      </c>
      <c r="R1178" s="1466"/>
      <c r="T1178" s="53"/>
      <c r="U1178" s="2310" t="str">
        <f t="shared" si="250"/>
        <v>--</v>
      </c>
      <c r="V1178" s="2310" t="str">
        <f t="shared" si="250"/>
        <v>--</v>
      </c>
      <c r="W1178" s="2310" t="str">
        <f t="shared" si="250"/>
        <v>--</v>
      </c>
      <c r="X1178" s="2310" t="str">
        <f t="shared" si="250"/>
        <v>--</v>
      </c>
      <c r="Y1178" s="2310" t="str">
        <f t="shared" si="250"/>
        <v>--</v>
      </c>
      <c r="AA1178" s="2060"/>
      <c r="AB1178" s="2060"/>
      <c r="AC1178" s="2060"/>
      <c r="AD1178" s="2060"/>
      <c r="AE1178" s="2060"/>
      <c r="AF1178" s="2060"/>
      <c r="AG1178" s="2060"/>
      <c r="AH1178" s="2060"/>
    </row>
    <row r="1179" spans="1:34" s="89" customFormat="1" ht="13.9">
      <c r="A1179" s="269" t="str">
        <f t="shared" si="252"/>
        <v>n</v>
      </c>
      <c r="B1179" s="2060"/>
      <c r="D1179" s="801"/>
      <c r="E1179" s="1505">
        <v>23</v>
      </c>
      <c r="F1179" s="21" t="str">
        <f>F$151</f>
        <v>--</v>
      </c>
      <c r="G1179" s="1441">
        <f>G$151</f>
        <v>0</v>
      </c>
      <c r="H1179" s="2314" t="str">
        <f t="shared" si="253"/>
        <v>--</v>
      </c>
      <c r="I1179" s="2314" t="str">
        <f t="shared" si="254"/>
        <v>--</v>
      </c>
      <c r="J1179" s="1441"/>
      <c r="K1179" s="2314" t="str">
        <f t="shared" si="257"/>
        <v>--</v>
      </c>
      <c r="L1179" s="2314" t="str">
        <f t="shared" si="257"/>
        <v>--</v>
      </c>
      <c r="M1179" s="2314" t="str">
        <f t="shared" si="257"/>
        <v>--</v>
      </c>
      <c r="N1179" s="2314" t="str">
        <f t="shared" si="256"/>
        <v>--</v>
      </c>
      <c r="O1179" s="2315" t="str">
        <f t="shared" si="257"/>
        <v>--</v>
      </c>
      <c r="P1179" s="2314" t="str">
        <f t="shared" si="255"/>
        <v>--</v>
      </c>
      <c r="R1179" s="1466"/>
      <c r="T1179" s="53"/>
      <c r="U1179" s="2310" t="str">
        <f t="shared" si="250"/>
        <v>--</v>
      </c>
      <c r="V1179" s="2310" t="str">
        <f t="shared" si="250"/>
        <v>--</v>
      </c>
      <c r="W1179" s="2310" t="str">
        <f t="shared" si="250"/>
        <v>--</v>
      </c>
      <c r="X1179" s="2310" t="str">
        <f t="shared" si="250"/>
        <v>--</v>
      </c>
      <c r="Y1179" s="2310" t="str">
        <f t="shared" si="250"/>
        <v>--</v>
      </c>
      <c r="AA1179" s="2060"/>
      <c r="AB1179" s="2060"/>
      <c r="AC1179" s="2060"/>
      <c r="AD1179" s="2060"/>
      <c r="AE1179" s="2060"/>
      <c r="AF1179" s="2060"/>
      <c r="AG1179" s="2060"/>
      <c r="AH1179" s="2060"/>
    </row>
    <row r="1180" spans="1:34" s="89" customFormat="1" ht="13.9">
      <c r="A1180" s="269" t="str">
        <f t="shared" si="252"/>
        <v>n</v>
      </c>
      <c r="B1180" s="2060"/>
      <c r="D1180" s="801"/>
      <c r="E1180" s="1505">
        <v>24</v>
      </c>
      <c r="F1180" s="21" t="str">
        <f>F$152</f>
        <v>--</v>
      </c>
      <c r="G1180" s="1441">
        <f>G$152</f>
        <v>0</v>
      </c>
      <c r="H1180" s="2314" t="str">
        <f t="shared" si="253"/>
        <v>--</v>
      </c>
      <c r="I1180" s="2314" t="str">
        <f t="shared" si="254"/>
        <v>--</v>
      </c>
      <c r="J1180" s="1441"/>
      <c r="K1180" s="2314" t="str">
        <f t="shared" si="257"/>
        <v>--</v>
      </c>
      <c r="L1180" s="2314" t="str">
        <f t="shared" si="257"/>
        <v>--</v>
      </c>
      <c r="M1180" s="2314" t="str">
        <f t="shared" si="257"/>
        <v>--</v>
      </c>
      <c r="N1180" s="2314" t="str">
        <f t="shared" si="256"/>
        <v>--</v>
      </c>
      <c r="O1180" s="2315" t="str">
        <f t="shared" si="257"/>
        <v>--</v>
      </c>
      <c r="P1180" s="2314" t="str">
        <f t="shared" si="255"/>
        <v>--</v>
      </c>
      <c r="R1180" s="1466"/>
      <c r="T1180" s="53"/>
      <c r="U1180" s="2310" t="str">
        <f t="shared" si="250"/>
        <v>--</v>
      </c>
      <c r="V1180" s="2310" t="str">
        <f t="shared" si="250"/>
        <v>--</v>
      </c>
      <c r="W1180" s="2310" t="str">
        <f t="shared" si="250"/>
        <v>--</v>
      </c>
      <c r="X1180" s="2310" t="str">
        <f t="shared" si="250"/>
        <v>--</v>
      </c>
      <c r="Y1180" s="2310" t="str">
        <f t="shared" si="250"/>
        <v>--</v>
      </c>
      <c r="AA1180" s="2060"/>
      <c r="AB1180" s="2060"/>
      <c r="AC1180" s="2060"/>
      <c r="AD1180" s="2060"/>
      <c r="AE1180" s="2060"/>
      <c r="AF1180" s="2060"/>
      <c r="AG1180" s="2060"/>
      <c r="AH1180" s="2060"/>
    </row>
    <row r="1181" spans="1:34" s="89" customFormat="1" ht="13.9">
      <c r="A1181" s="269" t="str">
        <f t="shared" si="252"/>
        <v>n</v>
      </c>
      <c r="B1181" s="2060"/>
      <c r="D1181" s="801"/>
      <c r="E1181" s="1505">
        <v>25</v>
      </c>
      <c r="F1181" s="21" t="str">
        <f>F$153</f>
        <v>--</v>
      </c>
      <c r="G1181" s="1441">
        <f>G$153</f>
        <v>0</v>
      </c>
      <c r="H1181" s="2314" t="str">
        <f t="shared" si="253"/>
        <v>--</v>
      </c>
      <c r="I1181" s="2314" t="str">
        <f t="shared" si="254"/>
        <v>--</v>
      </c>
      <c r="J1181" s="1441"/>
      <c r="K1181" s="2314" t="str">
        <f t="shared" si="257"/>
        <v>--</v>
      </c>
      <c r="L1181" s="2314" t="str">
        <f t="shared" si="257"/>
        <v>--</v>
      </c>
      <c r="M1181" s="2314" t="str">
        <f t="shared" si="257"/>
        <v>--</v>
      </c>
      <c r="N1181" s="2314" t="str">
        <f t="shared" si="256"/>
        <v>--</v>
      </c>
      <c r="O1181" s="2315" t="str">
        <f t="shared" si="257"/>
        <v>--</v>
      </c>
      <c r="P1181" s="2314" t="str">
        <f t="shared" si="255"/>
        <v>--</v>
      </c>
      <c r="R1181" s="1466"/>
      <c r="T1181" s="53"/>
      <c r="U1181" s="2310" t="str">
        <f t="shared" si="250"/>
        <v>--</v>
      </c>
      <c r="V1181" s="2310" t="str">
        <f t="shared" si="250"/>
        <v>--</v>
      </c>
      <c r="W1181" s="2310" t="str">
        <f t="shared" si="250"/>
        <v>--</v>
      </c>
      <c r="X1181" s="2310" t="str">
        <f t="shared" si="250"/>
        <v>--</v>
      </c>
      <c r="Y1181" s="2310" t="str">
        <f t="shared" si="250"/>
        <v>--</v>
      </c>
      <c r="AA1181" s="2060"/>
      <c r="AB1181" s="2060"/>
      <c r="AC1181" s="2060"/>
      <c r="AD1181" s="2060"/>
      <c r="AE1181" s="2060"/>
      <c r="AF1181" s="2060"/>
      <c r="AG1181" s="2060"/>
      <c r="AH1181" s="2060"/>
    </row>
    <row r="1182" spans="1:34" s="89" customFormat="1" ht="13.9">
      <c r="A1182" s="2060"/>
      <c r="B1182" s="2060"/>
      <c r="D1182" s="801"/>
      <c r="F1182" s="57" t="s">
        <v>767</v>
      </c>
      <c r="G1182" s="1442"/>
      <c r="H1182" s="277" t="str">
        <f>IFERROR(MEDIAN(H1157:H1181),"--")</f>
        <v>--</v>
      </c>
      <c r="I1182" s="277" t="str">
        <f>IFERROR(MEDIAN(I1157:I1181),"--")</f>
        <v>--</v>
      </c>
      <c r="J1182" s="1442"/>
      <c r="K1182" s="277" t="str">
        <f t="shared" ref="K1182:P1182" si="258">IFERROR(MEDIAN(K1157:K1181),"--")</f>
        <v>--</v>
      </c>
      <c r="L1182" s="277" t="str">
        <f t="shared" si="258"/>
        <v>--</v>
      </c>
      <c r="M1182" s="277" t="str">
        <f t="shared" si="258"/>
        <v>--</v>
      </c>
      <c r="N1182" s="277" t="str">
        <f t="shared" si="258"/>
        <v>--</v>
      </c>
      <c r="O1182" s="278" t="str">
        <f t="shared" si="258"/>
        <v>--</v>
      </c>
      <c r="P1182" s="277" t="str">
        <f t="shared" si="258"/>
        <v>--</v>
      </c>
      <c r="T1182" s="1513"/>
      <c r="U1182" s="504" t="str">
        <f>IFERROR(MEDIAN(U1157:U1181),"--")</f>
        <v>--</v>
      </c>
      <c r="V1182" s="504" t="str">
        <f>IFERROR(MEDIAN(V1157:V1181),"--")</f>
        <v>--</v>
      </c>
      <c r="W1182" s="504" t="str">
        <f>IFERROR(MEDIAN(W1157:W1181),"--")</f>
        <v>--</v>
      </c>
      <c r="X1182" s="504" t="str">
        <f>IFERROR(MEDIAN(X1157:X1181),"--")</f>
        <v>--</v>
      </c>
      <c r="Y1182" s="504" t="str">
        <f>IFERROR(MEDIAN(Y1157:Y1181),"--")</f>
        <v>--</v>
      </c>
      <c r="AA1182" s="2060"/>
      <c r="AB1182" s="2060"/>
      <c r="AC1182" s="2060"/>
      <c r="AD1182" s="2060"/>
      <c r="AE1182" s="2060"/>
      <c r="AF1182" s="2060"/>
      <c r="AG1182" s="2060"/>
      <c r="AH1182" s="2060"/>
    </row>
    <row r="1183" spans="1:34" s="89" customFormat="1" ht="13.9">
      <c r="A1183" s="2060"/>
      <c r="B1183" s="2060"/>
      <c r="D1183" s="1436"/>
      <c r="E1183" s="56"/>
      <c r="F1183" s="21"/>
      <c r="O1183" s="75"/>
      <c r="P1183" s="76"/>
      <c r="AA1183" s="2060"/>
      <c r="AB1183" s="2060"/>
      <c r="AC1183" s="2060"/>
      <c r="AD1183" s="2060"/>
      <c r="AE1183" s="2060"/>
      <c r="AF1183" s="2060"/>
      <c r="AG1183" s="2060"/>
      <c r="AH1183" s="2060"/>
    </row>
    <row r="1184" spans="1:34" s="89" customFormat="1" ht="13.9">
      <c r="A1184" s="2060"/>
      <c r="B1184" s="2060"/>
      <c r="D1184" s="1436"/>
      <c r="E1184" s="56"/>
      <c r="F1184" s="21"/>
      <c r="O1184" s="75"/>
      <c r="P1184" s="76"/>
      <c r="AA1184" s="2060"/>
      <c r="AB1184" s="2060"/>
      <c r="AC1184" s="2060"/>
      <c r="AD1184" s="2060"/>
      <c r="AE1184" s="2060"/>
      <c r="AF1184" s="2060"/>
      <c r="AG1184" s="2060"/>
      <c r="AH1184" s="2060"/>
    </row>
    <row r="1185" spans="1:34" s="89" customFormat="1" ht="13.9">
      <c r="A1185" s="2060"/>
      <c r="B1185" s="2060"/>
      <c r="D1185" s="802"/>
      <c r="E1185" s="21"/>
      <c r="F1185" s="21"/>
      <c r="O1185" s="75"/>
      <c r="P1185" s="76"/>
      <c r="R1185" s="521"/>
      <c r="AA1185" s="2060"/>
      <c r="AB1185" s="2060"/>
      <c r="AC1185" s="2060"/>
      <c r="AD1185" s="2060"/>
      <c r="AE1185" s="2060"/>
      <c r="AF1185" s="2060"/>
      <c r="AG1185" s="2060"/>
      <c r="AH1185" s="2060"/>
    </row>
    <row r="1186" spans="1:34" s="89" customFormat="1" ht="13.9">
      <c r="A1186" s="2060"/>
      <c r="B1186" s="2060"/>
      <c r="D1186" s="778">
        <f ca="1">MAX(OFFSET(D1186,-1,0,-ROW(D1186)+1,-2),1)+0.01</f>
        <v>7.0299999999999994</v>
      </c>
      <c r="E1186" s="125"/>
      <c r="F1186" s="952" t="s">
        <v>226</v>
      </c>
      <c r="G1186" s="724" t="s">
        <v>795</v>
      </c>
      <c r="H1186" s="758" t="s">
        <v>830</v>
      </c>
      <c r="I1186" s="758" t="s">
        <v>831</v>
      </c>
      <c r="J1186" s="724"/>
      <c r="K1186" s="758" t="s">
        <v>700</v>
      </c>
      <c r="L1186" s="758" t="s">
        <v>701</v>
      </c>
      <c r="M1186" s="758" t="s">
        <v>702</v>
      </c>
      <c r="N1186" s="758" t="s">
        <v>703</v>
      </c>
      <c r="O1186" s="759" t="s">
        <v>704</v>
      </c>
      <c r="P1186" s="725" t="s">
        <v>705</v>
      </c>
      <c r="Q1186" s="724"/>
      <c r="R1186" s="731"/>
      <c r="S1186" s="724"/>
      <c r="T1186" s="724"/>
      <c r="U1186" s="725" t="s">
        <v>707</v>
      </c>
      <c r="V1186" s="725" t="s">
        <v>708</v>
      </c>
      <c r="W1186" s="725" t="s">
        <v>709</v>
      </c>
      <c r="X1186" s="725" t="s">
        <v>710</v>
      </c>
      <c r="Y1186" s="725" t="s">
        <v>711</v>
      </c>
      <c r="AA1186" s="2060"/>
      <c r="AB1186" s="2060"/>
      <c r="AC1186" s="2060"/>
      <c r="AD1186" s="2060"/>
      <c r="AE1186" s="2060"/>
      <c r="AF1186" s="2060"/>
      <c r="AG1186" s="2060"/>
      <c r="AH1186" s="2060"/>
    </row>
    <row r="1187" spans="1:34" s="89" customFormat="1" ht="13.9">
      <c r="A1187" s="2060"/>
      <c r="B1187" s="2060"/>
      <c r="D1187" s="778"/>
      <c r="E1187" s="1505">
        <v>0</v>
      </c>
      <c r="F1187" s="1448" t="str">
        <f>F$128</f>
        <v/>
      </c>
      <c r="G1187" s="1449">
        <f>G$128</f>
        <v>0</v>
      </c>
      <c r="H1187" s="1449"/>
      <c r="I1187" s="258"/>
      <c r="J1187" s="258"/>
      <c r="K1187" s="2322" t="str">
        <f>IFERROR((K658-J658)/ABS(J658),"n/a")</f>
        <v>n/a</v>
      </c>
      <c r="L1187" s="2322" t="str">
        <f>IFERROR((L658-K658)/ABS(K658),"n/a")</f>
        <v>n/a</v>
      </c>
      <c r="M1187" s="2322" t="str">
        <f>IFERROR((M658-L658)/ABS(L658),"n/a")</f>
        <v>n/a</v>
      </c>
      <c r="N1187" s="2322" t="str">
        <f>IFERROR((N658-M658)/ABS(M658),"n/a")</f>
        <v>n/a</v>
      </c>
      <c r="O1187" s="2324" t="str">
        <f>IFERROR((O658-N658)/ABS(N658),"n/a")</f>
        <v>n/a</v>
      </c>
      <c r="P1187" s="2322" t="str">
        <f>IFERROR((P658-R658)/R658,"n/a")</f>
        <v>n/a</v>
      </c>
      <c r="R1187" s="1459"/>
      <c r="U1187" s="2318" t="str">
        <f ca="1">IFERROR((U658-O658)/ABS(O658),"--")</f>
        <v>--</v>
      </c>
      <c r="V1187" s="2318" t="str">
        <f ca="1">IFERROR((V658-U658)/ABS(U658),"--")</f>
        <v>--</v>
      </c>
      <c r="W1187" s="2318" t="str">
        <f ca="1">IFERROR((W658-V658)/ABS(V658),"--")</f>
        <v>--</v>
      </c>
      <c r="X1187" s="2318" t="str">
        <f ca="1">IFERROR((X658-W658)/ABS(W658),"--")</f>
        <v>--</v>
      </c>
      <c r="Y1187" s="2318" t="str">
        <f ca="1">IFERROR((Y658-X658)/ABS(X658),"--")</f>
        <v>--</v>
      </c>
      <c r="AA1187" s="2060"/>
      <c r="AB1187" s="2060"/>
      <c r="AC1187" s="2060"/>
      <c r="AD1187" s="2060"/>
      <c r="AE1187" s="2060"/>
      <c r="AF1187" s="2060"/>
      <c r="AG1187" s="2060"/>
      <c r="AH1187" s="2060"/>
    </row>
    <row r="1188" spans="1:34" s="89" customFormat="1" ht="13.9">
      <c r="A1188" s="269" t="str">
        <f>IF(F1188="--","n","")</f>
        <v>n</v>
      </c>
      <c r="B1188" s="2060"/>
      <c r="C1188" s="72"/>
      <c r="D1188" s="801"/>
      <c r="E1188" s="1505">
        <v>1</v>
      </c>
      <c r="F1188" s="21" t="str">
        <f>F$129</f>
        <v>--</v>
      </c>
      <c r="G1188" s="1441">
        <f>G$129</f>
        <v>0</v>
      </c>
      <c r="H1188" s="2314" t="str">
        <f>IFERROR(($O659/$J659)^(1/5)-1,"--")</f>
        <v>--</v>
      </c>
      <c r="I1188" s="2314" t="str">
        <f>IFERROR(($O659/$L659)^(1/3)-1,"--")</f>
        <v>--</v>
      </c>
      <c r="J1188" s="1441"/>
      <c r="K1188" s="2314" t="str">
        <f t="shared" ref="K1188:O1197" si="259">IFERROR((K659-J659)/ABS(J659),"--")</f>
        <v>--</v>
      </c>
      <c r="L1188" s="2314" t="str">
        <f t="shared" si="259"/>
        <v>--</v>
      </c>
      <c r="M1188" s="2314" t="str">
        <f t="shared" si="259"/>
        <v>--</v>
      </c>
      <c r="N1188" s="2314" t="str">
        <f t="shared" si="259"/>
        <v>--</v>
      </c>
      <c r="O1188" s="2315" t="str">
        <f t="shared" si="259"/>
        <v>--</v>
      </c>
      <c r="P1188" s="2314" t="str">
        <f t="shared" ref="P1188:P1212" si="260">IFERROR((P659-R659)/R659,"--")</f>
        <v>--</v>
      </c>
      <c r="U1188" s="2310" t="str">
        <f t="shared" ref="U1188:Y1212" si="261">IFERROR((U659-T659)/ABS(T659),"--")</f>
        <v>--</v>
      </c>
      <c r="V1188" s="2310" t="str">
        <f t="shared" si="261"/>
        <v>--</v>
      </c>
      <c r="W1188" s="2310" t="str">
        <f t="shared" si="261"/>
        <v>--</v>
      </c>
      <c r="X1188" s="2310" t="str">
        <f t="shared" si="261"/>
        <v>--</v>
      </c>
      <c r="Y1188" s="2310" t="str">
        <f t="shared" si="261"/>
        <v>--</v>
      </c>
      <c r="AA1188" s="2060"/>
      <c r="AB1188" s="2060"/>
      <c r="AC1188" s="2060"/>
      <c r="AD1188" s="2060"/>
      <c r="AE1188" s="2060"/>
      <c r="AF1188" s="2060"/>
      <c r="AG1188" s="2060"/>
      <c r="AH1188" s="2060"/>
    </row>
    <row r="1189" spans="1:34" s="89" customFormat="1" ht="13.9">
      <c r="A1189" s="269" t="str">
        <f t="shared" ref="A1189:A1212" si="262">IF(F1189="--","n","")</f>
        <v>n</v>
      </c>
      <c r="B1189" s="2060"/>
      <c r="D1189" s="801"/>
      <c r="E1189" s="1505">
        <v>2</v>
      </c>
      <c r="F1189" s="21" t="str">
        <f>F$130</f>
        <v>--</v>
      </c>
      <c r="G1189" s="1441">
        <f>G$130</f>
        <v>0</v>
      </c>
      <c r="H1189" s="2314" t="str">
        <f t="shared" ref="H1189:H1212" si="263">IFERROR(($O660/$J660)^(1/5)-1,"--")</f>
        <v>--</v>
      </c>
      <c r="I1189" s="2314" t="str">
        <f t="shared" ref="I1189:I1212" si="264">IFERROR(($O660/$L660)^(1/3)-1,"--")</f>
        <v>--</v>
      </c>
      <c r="J1189" s="1441"/>
      <c r="K1189" s="2314" t="str">
        <f t="shared" si="259"/>
        <v>--</v>
      </c>
      <c r="L1189" s="2314" t="str">
        <f t="shared" si="259"/>
        <v>--</v>
      </c>
      <c r="M1189" s="2314" t="str">
        <f t="shared" si="259"/>
        <v>--</v>
      </c>
      <c r="N1189" s="2314" t="str">
        <f t="shared" si="259"/>
        <v>--</v>
      </c>
      <c r="O1189" s="2315" t="str">
        <f t="shared" si="259"/>
        <v>--</v>
      </c>
      <c r="P1189" s="2314" t="str">
        <f t="shared" si="260"/>
        <v>--</v>
      </c>
      <c r="U1189" s="2310" t="str">
        <f t="shared" si="261"/>
        <v>--</v>
      </c>
      <c r="V1189" s="2310" t="str">
        <f t="shared" si="261"/>
        <v>--</v>
      </c>
      <c r="W1189" s="2310" t="str">
        <f t="shared" si="261"/>
        <v>--</v>
      </c>
      <c r="X1189" s="2310" t="str">
        <f t="shared" si="261"/>
        <v>--</v>
      </c>
      <c r="Y1189" s="2310" t="str">
        <f t="shared" si="261"/>
        <v>--</v>
      </c>
      <c r="AA1189" s="2060"/>
      <c r="AB1189" s="2060"/>
      <c r="AC1189" s="2060"/>
      <c r="AD1189" s="2060"/>
      <c r="AE1189" s="2060"/>
      <c r="AF1189" s="2060"/>
      <c r="AG1189" s="2060"/>
      <c r="AH1189" s="2060"/>
    </row>
    <row r="1190" spans="1:34" s="89" customFormat="1" ht="13.9">
      <c r="A1190" s="269" t="str">
        <f t="shared" si="262"/>
        <v>n</v>
      </c>
      <c r="B1190" s="2060"/>
      <c r="C1190" s="72"/>
      <c r="D1190" s="802"/>
      <c r="E1190" s="1505">
        <v>3</v>
      </c>
      <c r="F1190" s="21" t="str">
        <f>F$131</f>
        <v>--</v>
      </c>
      <c r="G1190" s="1441">
        <f>G$131</f>
        <v>0</v>
      </c>
      <c r="H1190" s="2314" t="str">
        <f t="shared" si="263"/>
        <v>--</v>
      </c>
      <c r="I1190" s="2314" t="str">
        <f t="shared" si="264"/>
        <v>--</v>
      </c>
      <c r="J1190" s="1441"/>
      <c r="K1190" s="2314" t="str">
        <f t="shared" si="259"/>
        <v>--</v>
      </c>
      <c r="L1190" s="2314" t="str">
        <f t="shared" si="259"/>
        <v>--</v>
      </c>
      <c r="M1190" s="2314" t="str">
        <f t="shared" si="259"/>
        <v>--</v>
      </c>
      <c r="N1190" s="2314" t="str">
        <f t="shared" si="259"/>
        <v>--</v>
      </c>
      <c r="O1190" s="2315" t="str">
        <f t="shared" si="259"/>
        <v>--</v>
      </c>
      <c r="P1190" s="2314" t="str">
        <f t="shared" si="260"/>
        <v>--</v>
      </c>
      <c r="U1190" s="2310" t="str">
        <f t="shared" si="261"/>
        <v>--</v>
      </c>
      <c r="V1190" s="2310" t="str">
        <f t="shared" si="261"/>
        <v>--</v>
      </c>
      <c r="W1190" s="2310" t="str">
        <f t="shared" si="261"/>
        <v>--</v>
      </c>
      <c r="X1190" s="2310" t="str">
        <f t="shared" si="261"/>
        <v>--</v>
      </c>
      <c r="Y1190" s="2310" t="str">
        <f t="shared" si="261"/>
        <v>--</v>
      </c>
      <c r="AA1190" s="2060"/>
      <c r="AB1190" s="2060"/>
      <c r="AC1190" s="2060"/>
      <c r="AD1190" s="2060"/>
      <c r="AE1190" s="2060"/>
      <c r="AF1190" s="2060"/>
      <c r="AG1190" s="2060"/>
      <c r="AH1190" s="2060"/>
    </row>
    <row r="1191" spans="1:34" s="89" customFormat="1" ht="13.9">
      <c r="A1191" s="269" t="str">
        <f t="shared" si="262"/>
        <v>n</v>
      </c>
      <c r="B1191" s="2060"/>
      <c r="C1191" s="72"/>
      <c r="D1191" s="801"/>
      <c r="E1191" s="1505">
        <v>4</v>
      </c>
      <c r="F1191" s="21" t="str">
        <f>F$132</f>
        <v>--</v>
      </c>
      <c r="G1191" s="1441">
        <f>G$132</f>
        <v>0</v>
      </c>
      <c r="H1191" s="2314" t="str">
        <f t="shared" si="263"/>
        <v>--</v>
      </c>
      <c r="I1191" s="2314" t="str">
        <f t="shared" si="264"/>
        <v>--</v>
      </c>
      <c r="J1191" s="1441"/>
      <c r="K1191" s="2314" t="str">
        <f t="shared" si="259"/>
        <v>--</v>
      </c>
      <c r="L1191" s="2314" t="str">
        <f t="shared" si="259"/>
        <v>--</v>
      </c>
      <c r="M1191" s="2314" t="str">
        <f t="shared" si="259"/>
        <v>--</v>
      </c>
      <c r="N1191" s="2314" t="str">
        <f t="shared" si="259"/>
        <v>--</v>
      </c>
      <c r="O1191" s="2315" t="str">
        <f t="shared" si="259"/>
        <v>--</v>
      </c>
      <c r="P1191" s="2314" t="str">
        <f t="shared" si="260"/>
        <v>--</v>
      </c>
      <c r="U1191" s="2310" t="str">
        <f t="shared" si="261"/>
        <v>--</v>
      </c>
      <c r="V1191" s="2310" t="str">
        <f t="shared" si="261"/>
        <v>--</v>
      </c>
      <c r="W1191" s="2310" t="str">
        <f t="shared" si="261"/>
        <v>--</v>
      </c>
      <c r="X1191" s="2310" t="str">
        <f t="shared" si="261"/>
        <v>--</v>
      </c>
      <c r="Y1191" s="2310" t="str">
        <f t="shared" si="261"/>
        <v>--</v>
      </c>
      <c r="AA1191" s="2060"/>
      <c r="AB1191" s="2060"/>
      <c r="AC1191" s="2060"/>
      <c r="AD1191" s="2060"/>
      <c r="AE1191" s="2060"/>
      <c r="AF1191" s="2060"/>
      <c r="AG1191" s="2060"/>
      <c r="AH1191" s="2060"/>
    </row>
    <row r="1192" spans="1:34" s="89" customFormat="1" ht="13.9">
      <c r="A1192" s="269" t="str">
        <f t="shared" si="262"/>
        <v>n</v>
      </c>
      <c r="B1192" s="2060"/>
      <c r="C1192" s="72"/>
      <c r="D1192" s="801"/>
      <c r="E1192" s="1505">
        <v>5</v>
      </c>
      <c r="F1192" s="21" t="str">
        <f>F$133</f>
        <v>--</v>
      </c>
      <c r="G1192" s="1441">
        <f>G$133</f>
        <v>0</v>
      </c>
      <c r="H1192" s="2314" t="str">
        <f t="shared" si="263"/>
        <v>--</v>
      </c>
      <c r="I1192" s="2314" t="str">
        <f t="shared" si="264"/>
        <v>--</v>
      </c>
      <c r="J1192" s="1441"/>
      <c r="K1192" s="2314" t="str">
        <f t="shared" si="259"/>
        <v>--</v>
      </c>
      <c r="L1192" s="2314" t="str">
        <f t="shared" si="259"/>
        <v>--</v>
      </c>
      <c r="M1192" s="2314" t="str">
        <f t="shared" si="259"/>
        <v>--</v>
      </c>
      <c r="N1192" s="2314" t="str">
        <f t="shared" si="259"/>
        <v>--</v>
      </c>
      <c r="O1192" s="2315" t="str">
        <f t="shared" si="259"/>
        <v>--</v>
      </c>
      <c r="P1192" s="2314" t="str">
        <f t="shared" si="260"/>
        <v>--</v>
      </c>
      <c r="U1192" s="2310" t="str">
        <f t="shared" si="261"/>
        <v>--</v>
      </c>
      <c r="V1192" s="2310" t="str">
        <f t="shared" si="261"/>
        <v>--</v>
      </c>
      <c r="W1192" s="2310" t="str">
        <f t="shared" si="261"/>
        <v>--</v>
      </c>
      <c r="X1192" s="2310" t="str">
        <f t="shared" si="261"/>
        <v>--</v>
      </c>
      <c r="Y1192" s="2310" t="str">
        <f t="shared" si="261"/>
        <v>--</v>
      </c>
      <c r="AA1192" s="2060"/>
      <c r="AB1192" s="2060"/>
      <c r="AC1192" s="2060"/>
      <c r="AD1192" s="2060"/>
      <c r="AE1192" s="2060"/>
      <c r="AF1192" s="2060"/>
      <c r="AG1192" s="2060"/>
      <c r="AH1192" s="2060"/>
    </row>
    <row r="1193" spans="1:34" s="89" customFormat="1" ht="13.9">
      <c r="A1193" s="269" t="str">
        <f t="shared" si="262"/>
        <v>n</v>
      </c>
      <c r="B1193" s="2060"/>
      <c r="C1193" s="72"/>
      <c r="D1193" s="801"/>
      <c r="E1193" s="1505">
        <v>6</v>
      </c>
      <c r="F1193" s="21" t="str">
        <f>F$134</f>
        <v>--</v>
      </c>
      <c r="G1193" s="1441">
        <f>G$134</f>
        <v>0</v>
      </c>
      <c r="H1193" s="2314" t="str">
        <f t="shared" si="263"/>
        <v>--</v>
      </c>
      <c r="I1193" s="2314" t="str">
        <f t="shared" si="264"/>
        <v>--</v>
      </c>
      <c r="J1193" s="1441"/>
      <c r="K1193" s="2314" t="str">
        <f t="shared" si="259"/>
        <v>--</v>
      </c>
      <c r="L1193" s="2314" t="str">
        <f t="shared" si="259"/>
        <v>--</v>
      </c>
      <c r="M1193" s="2314" t="str">
        <f t="shared" si="259"/>
        <v>--</v>
      </c>
      <c r="N1193" s="2314" t="str">
        <f t="shared" si="259"/>
        <v>--</v>
      </c>
      <c r="O1193" s="2315" t="str">
        <f t="shared" si="259"/>
        <v>--</v>
      </c>
      <c r="P1193" s="2314" t="str">
        <f t="shared" si="260"/>
        <v>--</v>
      </c>
      <c r="U1193" s="2310" t="str">
        <f t="shared" si="261"/>
        <v>--</v>
      </c>
      <c r="V1193" s="2310" t="str">
        <f t="shared" si="261"/>
        <v>--</v>
      </c>
      <c r="W1193" s="2310" t="str">
        <f t="shared" si="261"/>
        <v>--</v>
      </c>
      <c r="X1193" s="2310" t="str">
        <f t="shared" si="261"/>
        <v>--</v>
      </c>
      <c r="Y1193" s="2310" t="str">
        <f t="shared" si="261"/>
        <v>--</v>
      </c>
      <c r="AA1193" s="2060"/>
      <c r="AB1193" s="2060"/>
      <c r="AC1193" s="2060"/>
      <c r="AD1193" s="2060"/>
      <c r="AE1193" s="2060"/>
      <c r="AF1193" s="2060"/>
      <c r="AG1193" s="2060"/>
      <c r="AH1193" s="2060"/>
    </row>
    <row r="1194" spans="1:34" s="89" customFormat="1" ht="13.9">
      <c r="A1194" s="269" t="str">
        <f t="shared" si="262"/>
        <v>n</v>
      </c>
      <c r="B1194" s="2060"/>
      <c r="D1194" s="801"/>
      <c r="E1194" s="1505">
        <v>7</v>
      </c>
      <c r="F1194" s="21" t="str">
        <f>F$135</f>
        <v>--</v>
      </c>
      <c r="G1194" s="1441">
        <f>G$135</f>
        <v>0</v>
      </c>
      <c r="H1194" s="2314" t="str">
        <f t="shared" si="263"/>
        <v>--</v>
      </c>
      <c r="I1194" s="2314" t="str">
        <f t="shared" si="264"/>
        <v>--</v>
      </c>
      <c r="J1194" s="1441"/>
      <c r="K1194" s="2314" t="str">
        <f t="shared" si="259"/>
        <v>--</v>
      </c>
      <c r="L1194" s="2314" t="str">
        <f t="shared" si="259"/>
        <v>--</v>
      </c>
      <c r="M1194" s="2314" t="str">
        <f t="shared" si="259"/>
        <v>--</v>
      </c>
      <c r="N1194" s="2314" t="str">
        <f t="shared" si="259"/>
        <v>--</v>
      </c>
      <c r="O1194" s="2315" t="str">
        <f t="shared" si="259"/>
        <v>--</v>
      </c>
      <c r="P1194" s="2314" t="str">
        <f t="shared" si="260"/>
        <v>--</v>
      </c>
      <c r="U1194" s="2310" t="str">
        <f t="shared" si="261"/>
        <v>--</v>
      </c>
      <c r="V1194" s="2310" t="str">
        <f t="shared" si="261"/>
        <v>--</v>
      </c>
      <c r="W1194" s="2310" t="str">
        <f t="shared" si="261"/>
        <v>--</v>
      </c>
      <c r="X1194" s="2310" t="str">
        <f t="shared" si="261"/>
        <v>--</v>
      </c>
      <c r="Y1194" s="2310" t="str">
        <f t="shared" si="261"/>
        <v>--</v>
      </c>
      <c r="AA1194" s="2060"/>
      <c r="AB1194" s="2060"/>
      <c r="AC1194" s="2060"/>
      <c r="AD1194" s="2060"/>
      <c r="AE1194" s="2060"/>
      <c r="AF1194" s="2060"/>
      <c r="AG1194" s="2060"/>
      <c r="AH1194" s="2060"/>
    </row>
    <row r="1195" spans="1:34" s="89" customFormat="1" ht="13.9">
      <c r="A1195" s="269" t="str">
        <f t="shared" si="262"/>
        <v>n</v>
      </c>
      <c r="B1195" s="2060"/>
      <c r="D1195" s="801"/>
      <c r="E1195" s="1505">
        <v>8</v>
      </c>
      <c r="F1195" s="21" t="str">
        <f>F$136</f>
        <v>--</v>
      </c>
      <c r="G1195" s="1441">
        <f>G$136</f>
        <v>0</v>
      </c>
      <c r="H1195" s="2314" t="str">
        <f t="shared" si="263"/>
        <v>--</v>
      </c>
      <c r="I1195" s="2314" t="str">
        <f t="shared" si="264"/>
        <v>--</v>
      </c>
      <c r="J1195" s="1441"/>
      <c r="K1195" s="2314" t="str">
        <f t="shared" si="259"/>
        <v>--</v>
      </c>
      <c r="L1195" s="2314" t="str">
        <f t="shared" si="259"/>
        <v>--</v>
      </c>
      <c r="M1195" s="2314" t="str">
        <f t="shared" si="259"/>
        <v>--</v>
      </c>
      <c r="N1195" s="2314" t="str">
        <f t="shared" si="259"/>
        <v>--</v>
      </c>
      <c r="O1195" s="2315" t="str">
        <f t="shared" si="259"/>
        <v>--</v>
      </c>
      <c r="P1195" s="2314" t="str">
        <f t="shared" si="260"/>
        <v>--</v>
      </c>
      <c r="U1195" s="2310" t="str">
        <f t="shared" si="261"/>
        <v>--</v>
      </c>
      <c r="V1195" s="2310" t="str">
        <f t="shared" si="261"/>
        <v>--</v>
      </c>
      <c r="W1195" s="2310" t="str">
        <f t="shared" si="261"/>
        <v>--</v>
      </c>
      <c r="X1195" s="2310" t="str">
        <f t="shared" si="261"/>
        <v>--</v>
      </c>
      <c r="Y1195" s="2310" t="str">
        <f t="shared" si="261"/>
        <v>--</v>
      </c>
      <c r="AA1195" s="2060"/>
      <c r="AB1195" s="2060"/>
      <c r="AC1195" s="2060"/>
      <c r="AD1195" s="2060"/>
      <c r="AE1195" s="2060"/>
      <c r="AF1195" s="2060"/>
      <c r="AG1195" s="2060"/>
      <c r="AH1195" s="2060"/>
    </row>
    <row r="1196" spans="1:34" s="89" customFormat="1" ht="13.9">
      <c r="A1196" s="269" t="str">
        <f t="shared" si="262"/>
        <v>n</v>
      </c>
      <c r="B1196" s="2060"/>
      <c r="D1196" s="801"/>
      <c r="E1196" s="1505">
        <v>9</v>
      </c>
      <c r="F1196" s="21" t="str">
        <f>F$137</f>
        <v>--</v>
      </c>
      <c r="G1196" s="1441">
        <f>G$137</f>
        <v>0</v>
      </c>
      <c r="H1196" s="2314" t="str">
        <f t="shared" si="263"/>
        <v>--</v>
      </c>
      <c r="I1196" s="2314" t="str">
        <f t="shared" si="264"/>
        <v>--</v>
      </c>
      <c r="J1196" s="1441"/>
      <c r="K1196" s="2314" t="str">
        <f t="shared" si="259"/>
        <v>--</v>
      </c>
      <c r="L1196" s="2314" t="str">
        <f t="shared" si="259"/>
        <v>--</v>
      </c>
      <c r="M1196" s="2314" t="str">
        <f t="shared" si="259"/>
        <v>--</v>
      </c>
      <c r="N1196" s="2314" t="str">
        <f t="shared" si="259"/>
        <v>--</v>
      </c>
      <c r="O1196" s="2315" t="str">
        <f t="shared" si="259"/>
        <v>--</v>
      </c>
      <c r="P1196" s="2314" t="str">
        <f t="shared" si="260"/>
        <v>--</v>
      </c>
      <c r="U1196" s="2310" t="str">
        <f t="shared" si="261"/>
        <v>--</v>
      </c>
      <c r="V1196" s="2310" t="str">
        <f t="shared" si="261"/>
        <v>--</v>
      </c>
      <c r="W1196" s="2310" t="str">
        <f t="shared" si="261"/>
        <v>--</v>
      </c>
      <c r="X1196" s="2310" t="str">
        <f t="shared" si="261"/>
        <v>--</v>
      </c>
      <c r="Y1196" s="2310" t="str">
        <f t="shared" si="261"/>
        <v>--</v>
      </c>
      <c r="AA1196" s="2060"/>
      <c r="AB1196" s="2060"/>
      <c r="AC1196" s="2060"/>
      <c r="AD1196" s="2060"/>
      <c r="AE1196" s="2060"/>
      <c r="AF1196" s="2060"/>
      <c r="AG1196" s="2060"/>
      <c r="AH1196" s="2060"/>
    </row>
    <row r="1197" spans="1:34" s="89" customFormat="1" ht="13.9">
      <c r="A1197" s="269" t="str">
        <f t="shared" si="262"/>
        <v>n</v>
      </c>
      <c r="B1197" s="2060"/>
      <c r="D1197" s="801"/>
      <c r="E1197" s="1505">
        <v>10</v>
      </c>
      <c r="F1197" s="21" t="str">
        <f>F$138</f>
        <v>--</v>
      </c>
      <c r="G1197" s="1441">
        <f>G$138</f>
        <v>0</v>
      </c>
      <c r="H1197" s="2314" t="str">
        <f t="shared" si="263"/>
        <v>--</v>
      </c>
      <c r="I1197" s="2314" t="str">
        <f t="shared" si="264"/>
        <v>--</v>
      </c>
      <c r="J1197" s="1441"/>
      <c r="K1197" s="2314" t="str">
        <f t="shared" si="259"/>
        <v>--</v>
      </c>
      <c r="L1197" s="2314" t="str">
        <f t="shared" si="259"/>
        <v>--</v>
      </c>
      <c r="M1197" s="2314" t="str">
        <f t="shared" si="259"/>
        <v>--</v>
      </c>
      <c r="N1197" s="2314" t="str">
        <f t="shared" si="259"/>
        <v>--</v>
      </c>
      <c r="O1197" s="2315" t="str">
        <f t="shared" si="259"/>
        <v>--</v>
      </c>
      <c r="P1197" s="2314" t="str">
        <f t="shared" si="260"/>
        <v>--</v>
      </c>
      <c r="U1197" s="2310" t="str">
        <f t="shared" si="261"/>
        <v>--</v>
      </c>
      <c r="V1197" s="2310" t="str">
        <f t="shared" si="261"/>
        <v>--</v>
      </c>
      <c r="W1197" s="2310" t="str">
        <f t="shared" si="261"/>
        <v>--</v>
      </c>
      <c r="X1197" s="2310" t="str">
        <f t="shared" si="261"/>
        <v>--</v>
      </c>
      <c r="Y1197" s="2310" t="str">
        <f t="shared" si="261"/>
        <v>--</v>
      </c>
      <c r="AA1197" s="2060"/>
      <c r="AB1197" s="2060"/>
      <c r="AC1197" s="2060"/>
      <c r="AD1197" s="2060"/>
      <c r="AE1197" s="2060"/>
      <c r="AF1197" s="2060"/>
      <c r="AG1197" s="2060"/>
      <c r="AH1197" s="2060"/>
    </row>
    <row r="1198" spans="1:34" s="89" customFormat="1" ht="13.9">
      <c r="A1198" s="269" t="str">
        <f t="shared" si="262"/>
        <v>n</v>
      </c>
      <c r="B1198" s="2060"/>
      <c r="D1198" s="801"/>
      <c r="E1198" s="1505">
        <v>11</v>
      </c>
      <c r="F1198" s="21" t="str">
        <f>F$139</f>
        <v>--</v>
      </c>
      <c r="G1198" s="1441">
        <f>G$139</f>
        <v>0</v>
      </c>
      <c r="H1198" s="2314" t="str">
        <f t="shared" si="263"/>
        <v>--</v>
      </c>
      <c r="I1198" s="2314" t="str">
        <f t="shared" si="264"/>
        <v>--</v>
      </c>
      <c r="J1198" s="1441"/>
      <c r="K1198" s="2314" t="str">
        <f t="shared" ref="K1198:O1207" si="265">IFERROR((K669-J669)/ABS(J669),"--")</f>
        <v>--</v>
      </c>
      <c r="L1198" s="2314" t="str">
        <f t="shared" si="265"/>
        <v>--</v>
      </c>
      <c r="M1198" s="2314" t="str">
        <f t="shared" si="265"/>
        <v>--</v>
      </c>
      <c r="N1198" s="2314" t="str">
        <f t="shared" si="265"/>
        <v>--</v>
      </c>
      <c r="O1198" s="2315" t="str">
        <f t="shared" si="265"/>
        <v>--</v>
      </c>
      <c r="P1198" s="2314" t="str">
        <f t="shared" si="260"/>
        <v>--</v>
      </c>
      <c r="R1198" s="1466"/>
      <c r="U1198" s="2310" t="str">
        <f t="shared" si="261"/>
        <v>--</v>
      </c>
      <c r="V1198" s="2310" t="str">
        <f t="shared" si="261"/>
        <v>--</v>
      </c>
      <c r="W1198" s="2310" t="str">
        <f t="shared" si="261"/>
        <v>--</v>
      </c>
      <c r="X1198" s="2310" t="str">
        <f t="shared" si="261"/>
        <v>--</v>
      </c>
      <c r="Y1198" s="2310" t="str">
        <f t="shared" si="261"/>
        <v>--</v>
      </c>
      <c r="AA1198" s="2060"/>
      <c r="AB1198" s="2060"/>
      <c r="AC1198" s="2060"/>
      <c r="AD1198" s="2060"/>
      <c r="AE1198" s="2060"/>
      <c r="AF1198" s="2060"/>
      <c r="AG1198" s="2060"/>
      <c r="AH1198" s="2060"/>
    </row>
    <row r="1199" spans="1:34" s="89" customFormat="1" ht="13.9">
      <c r="A1199" s="269" t="str">
        <f t="shared" si="262"/>
        <v>n</v>
      </c>
      <c r="B1199" s="2060"/>
      <c r="D1199" s="801"/>
      <c r="E1199" s="1505">
        <v>12</v>
      </c>
      <c r="F1199" s="21" t="str">
        <f>F$140</f>
        <v>--</v>
      </c>
      <c r="G1199" s="1441">
        <f>G$140</f>
        <v>0</v>
      </c>
      <c r="H1199" s="2314" t="str">
        <f t="shared" si="263"/>
        <v>--</v>
      </c>
      <c r="I1199" s="2314" t="str">
        <f t="shared" si="264"/>
        <v>--</v>
      </c>
      <c r="J1199" s="1441"/>
      <c r="K1199" s="2314" t="str">
        <f t="shared" si="265"/>
        <v>--</v>
      </c>
      <c r="L1199" s="2314" t="str">
        <f t="shared" si="265"/>
        <v>--</v>
      </c>
      <c r="M1199" s="2314" t="str">
        <f t="shared" si="265"/>
        <v>--</v>
      </c>
      <c r="N1199" s="2314" t="str">
        <f t="shared" si="265"/>
        <v>--</v>
      </c>
      <c r="O1199" s="2315" t="str">
        <f t="shared" si="265"/>
        <v>--</v>
      </c>
      <c r="P1199" s="2314" t="str">
        <f t="shared" si="260"/>
        <v>--</v>
      </c>
      <c r="R1199" s="1466"/>
      <c r="U1199" s="2310" t="str">
        <f t="shared" si="261"/>
        <v>--</v>
      </c>
      <c r="V1199" s="2310" t="str">
        <f t="shared" si="261"/>
        <v>--</v>
      </c>
      <c r="W1199" s="2310" t="str">
        <f t="shared" si="261"/>
        <v>--</v>
      </c>
      <c r="X1199" s="2310" t="str">
        <f t="shared" si="261"/>
        <v>--</v>
      </c>
      <c r="Y1199" s="2310" t="str">
        <f t="shared" si="261"/>
        <v>--</v>
      </c>
      <c r="AA1199" s="2060"/>
      <c r="AB1199" s="2060"/>
      <c r="AC1199" s="2060"/>
      <c r="AD1199" s="2060"/>
      <c r="AE1199" s="2060"/>
      <c r="AF1199" s="2060"/>
      <c r="AG1199" s="2060"/>
      <c r="AH1199" s="2060"/>
    </row>
    <row r="1200" spans="1:34" s="89" customFormat="1" ht="13.9">
      <c r="A1200" s="269" t="str">
        <f t="shared" si="262"/>
        <v>n</v>
      </c>
      <c r="B1200" s="2060"/>
      <c r="D1200" s="801"/>
      <c r="E1200" s="1505">
        <v>13</v>
      </c>
      <c r="F1200" s="21" t="str">
        <f>F$141</f>
        <v>--</v>
      </c>
      <c r="G1200" s="1441">
        <f>G$141</f>
        <v>0</v>
      </c>
      <c r="H1200" s="2314" t="str">
        <f t="shared" si="263"/>
        <v>--</v>
      </c>
      <c r="I1200" s="2314" t="str">
        <f t="shared" si="264"/>
        <v>--</v>
      </c>
      <c r="J1200" s="1441"/>
      <c r="K1200" s="2314" t="str">
        <f t="shared" si="265"/>
        <v>--</v>
      </c>
      <c r="L1200" s="2314" t="str">
        <f t="shared" si="265"/>
        <v>--</v>
      </c>
      <c r="M1200" s="2314" t="str">
        <f t="shared" si="265"/>
        <v>--</v>
      </c>
      <c r="N1200" s="2314" t="str">
        <f t="shared" si="265"/>
        <v>--</v>
      </c>
      <c r="O1200" s="2315" t="str">
        <f t="shared" si="265"/>
        <v>--</v>
      </c>
      <c r="P1200" s="2314" t="str">
        <f t="shared" si="260"/>
        <v>--</v>
      </c>
      <c r="R1200" s="1466"/>
      <c r="U1200" s="2310" t="str">
        <f t="shared" si="261"/>
        <v>--</v>
      </c>
      <c r="V1200" s="2310" t="str">
        <f t="shared" si="261"/>
        <v>--</v>
      </c>
      <c r="W1200" s="2310" t="str">
        <f t="shared" si="261"/>
        <v>--</v>
      </c>
      <c r="X1200" s="2310" t="str">
        <f t="shared" si="261"/>
        <v>--</v>
      </c>
      <c r="Y1200" s="2310" t="str">
        <f t="shared" si="261"/>
        <v>--</v>
      </c>
      <c r="AA1200" s="2060"/>
      <c r="AB1200" s="2060"/>
      <c r="AC1200" s="2060"/>
      <c r="AD1200" s="2060"/>
      <c r="AE1200" s="2060"/>
      <c r="AF1200" s="2060"/>
      <c r="AG1200" s="2060"/>
      <c r="AH1200" s="2060"/>
    </row>
    <row r="1201" spans="1:34" s="89" customFormat="1" ht="13.9">
      <c r="A1201" s="269" t="str">
        <f t="shared" si="262"/>
        <v>n</v>
      </c>
      <c r="B1201" s="2060"/>
      <c r="D1201" s="801"/>
      <c r="E1201" s="1505">
        <v>14</v>
      </c>
      <c r="F1201" s="21" t="str">
        <f>F$142</f>
        <v>--</v>
      </c>
      <c r="G1201" s="1441">
        <f>G$142</f>
        <v>0</v>
      </c>
      <c r="H1201" s="2314" t="str">
        <f t="shared" si="263"/>
        <v>--</v>
      </c>
      <c r="I1201" s="2314" t="str">
        <f t="shared" si="264"/>
        <v>--</v>
      </c>
      <c r="J1201" s="1441"/>
      <c r="K1201" s="2314" t="str">
        <f t="shared" si="265"/>
        <v>--</v>
      </c>
      <c r="L1201" s="2314" t="str">
        <f t="shared" si="265"/>
        <v>--</v>
      </c>
      <c r="M1201" s="2314" t="str">
        <f t="shared" si="265"/>
        <v>--</v>
      </c>
      <c r="N1201" s="2314" t="str">
        <f t="shared" si="265"/>
        <v>--</v>
      </c>
      <c r="O1201" s="2315" t="str">
        <f t="shared" si="265"/>
        <v>--</v>
      </c>
      <c r="P1201" s="2314" t="str">
        <f t="shared" si="260"/>
        <v>--</v>
      </c>
      <c r="R1201" s="1466"/>
      <c r="U1201" s="2310" t="str">
        <f t="shared" si="261"/>
        <v>--</v>
      </c>
      <c r="V1201" s="2310" t="str">
        <f t="shared" si="261"/>
        <v>--</v>
      </c>
      <c r="W1201" s="2310" t="str">
        <f t="shared" si="261"/>
        <v>--</v>
      </c>
      <c r="X1201" s="2310" t="str">
        <f t="shared" si="261"/>
        <v>--</v>
      </c>
      <c r="Y1201" s="2310" t="str">
        <f t="shared" si="261"/>
        <v>--</v>
      </c>
      <c r="AA1201" s="2060"/>
      <c r="AB1201" s="2060"/>
      <c r="AC1201" s="2060"/>
      <c r="AD1201" s="2060"/>
      <c r="AE1201" s="2060"/>
      <c r="AF1201" s="2060"/>
      <c r="AG1201" s="2060"/>
      <c r="AH1201" s="2060"/>
    </row>
    <row r="1202" spans="1:34" s="89" customFormat="1" ht="13.9">
      <c r="A1202" s="269" t="str">
        <f t="shared" si="262"/>
        <v>n</v>
      </c>
      <c r="B1202" s="2060"/>
      <c r="D1202" s="801"/>
      <c r="E1202" s="1505">
        <v>15</v>
      </c>
      <c r="F1202" s="21" t="str">
        <f>F$143</f>
        <v>--</v>
      </c>
      <c r="G1202" s="1441">
        <f>G$143</f>
        <v>0</v>
      </c>
      <c r="H1202" s="2314" t="str">
        <f t="shared" si="263"/>
        <v>--</v>
      </c>
      <c r="I1202" s="2314" t="str">
        <f t="shared" si="264"/>
        <v>--</v>
      </c>
      <c r="J1202" s="1441"/>
      <c r="K1202" s="2314" t="str">
        <f t="shared" si="265"/>
        <v>--</v>
      </c>
      <c r="L1202" s="2314" t="str">
        <f t="shared" si="265"/>
        <v>--</v>
      </c>
      <c r="M1202" s="2314" t="str">
        <f t="shared" si="265"/>
        <v>--</v>
      </c>
      <c r="N1202" s="2314" t="str">
        <f t="shared" si="265"/>
        <v>--</v>
      </c>
      <c r="O1202" s="2315" t="str">
        <f t="shared" si="265"/>
        <v>--</v>
      </c>
      <c r="P1202" s="2314" t="str">
        <f t="shared" si="260"/>
        <v>--</v>
      </c>
      <c r="R1202" s="1466"/>
      <c r="U1202" s="2310" t="str">
        <f t="shared" si="261"/>
        <v>--</v>
      </c>
      <c r="V1202" s="2310" t="str">
        <f t="shared" si="261"/>
        <v>--</v>
      </c>
      <c r="W1202" s="2310" t="str">
        <f t="shared" si="261"/>
        <v>--</v>
      </c>
      <c r="X1202" s="2310" t="str">
        <f t="shared" si="261"/>
        <v>--</v>
      </c>
      <c r="Y1202" s="2310" t="str">
        <f t="shared" si="261"/>
        <v>--</v>
      </c>
      <c r="AA1202" s="2060"/>
      <c r="AB1202" s="2060"/>
      <c r="AC1202" s="2060"/>
      <c r="AD1202" s="2060"/>
      <c r="AE1202" s="2060"/>
      <c r="AF1202" s="2060"/>
      <c r="AG1202" s="2060"/>
      <c r="AH1202" s="2060"/>
    </row>
    <row r="1203" spans="1:34" s="89" customFormat="1" ht="13.9">
      <c r="A1203" s="269" t="str">
        <f t="shared" si="262"/>
        <v>n</v>
      </c>
      <c r="B1203" s="2060"/>
      <c r="D1203" s="801"/>
      <c r="E1203" s="1505">
        <v>16</v>
      </c>
      <c r="F1203" s="21" t="str">
        <f>F$144</f>
        <v>--</v>
      </c>
      <c r="G1203" s="1441">
        <f>G$144</f>
        <v>0</v>
      </c>
      <c r="H1203" s="2314" t="str">
        <f t="shared" si="263"/>
        <v>--</v>
      </c>
      <c r="I1203" s="2314" t="str">
        <f t="shared" si="264"/>
        <v>--</v>
      </c>
      <c r="J1203" s="1441"/>
      <c r="K1203" s="2314" t="str">
        <f t="shared" si="265"/>
        <v>--</v>
      </c>
      <c r="L1203" s="2314" t="str">
        <f t="shared" si="265"/>
        <v>--</v>
      </c>
      <c r="M1203" s="2314" t="str">
        <f t="shared" si="265"/>
        <v>--</v>
      </c>
      <c r="N1203" s="2314" t="str">
        <f t="shared" si="265"/>
        <v>--</v>
      </c>
      <c r="O1203" s="2315" t="str">
        <f t="shared" si="265"/>
        <v>--</v>
      </c>
      <c r="P1203" s="2314" t="str">
        <f t="shared" si="260"/>
        <v>--</v>
      </c>
      <c r="R1203" s="1466"/>
      <c r="U1203" s="2310" t="str">
        <f t="shared" si="261"/>
        <v>--</v>
      </c>
      <c r="V1203" s="2310" t="str">
        <f t="shared" si="261"/>
        <v>--</v>
      </c>
      <c r="W1203" s="2310" t="str">
        <f t="shared" si="261"/>
        <v>--</v>
      </c>
      <c r="X1203" s="2310" t="str">
        <f t="shared" si="261"/>
        <v>--</v>
      </c>
      <c r="Y1203" s="2310" t="str">
        <f t="shared" si="261"/>
        <v>--</v>
      </c>
      <c r="AA1203" s="2060"/>
      <c r="AB1203" s="2060"/>
      <c r="AC1203" s="2060"/>
      <c r="AD1203" s="2060"/>
      <c r="AE1203" s="2060"/>
      <c r="AF1203" s="2060"/>
      <c r="AG1203" s="2060"/>
      <c r="AH1203" s="2060"/>
    </row>
    <row r="1204" spans="1:34" s="89" customFormat="1" ht="13.9">
      <c r="A1204" s="269" t="str">
        <f t="shared" si="262"/>
        <v>n</v>
      </c>
      <c r="B1204" s="2060"/>
      <c r="D1204" s="801"/>
      <c r="E1204" s="1505">
        <v>17</v>
      </c>
      <c r="F1204" s="21" t="str">
        <f>F$145</f>
        <v>--</v>
      </c>
      <c r="G1204" s="1441">
        <f>G$145</f>
        <v>0</v>
      </c>
      <c r="H1204" s="2314" t="str">
        <f t="shared" si="263"/>
        <v>--</v>
      </c>
      <c r="I1204" s="2314" t="str">
        <f t="shared" si="264"/>
        <v>--</v>
      </c>
      <c r="J1204" s="1441"/>
      <c r="K1204" s="2314" t="str">
        <f t="shared" si="265"/>
        <v>--</v>
      </c>
      <c r="L1204" s="2314" t="str">
        <f t="shared" si="265"/>
        <v>--</v>
      </c>
      <c r="M1204" s="2314" t="str">
        <f t="shared" si="265"/>
        <v>--</v>
      </c>
      <c r="N1204" s="2314" t="str">
        <f t="shared" si="265"/>
        <v>--</v>
      </c>
      <c r="O1204" s="2315" t="str">
        <f t="shared" si="265"/>
        <v>--</v>
      </c>
      <c r="P1204" s="2314" t="str">
        <f t="shared" si="260"/>
        <v>--</v>
      </c>
      <c r="R1204" s="1466"/>
      <c r="U1204" s="2310" t="str">
        <f t="shared" si="261"/>
        <v>--</v>
      </c>
      <c r="V1204" s="2310" t="str">
        <f t="shared" si="261"/>
        <v>--</v>
      </c>
      <c r="W1204" s="2310" t="str">
        <f t="shared" si="261"/>
        <v>--</v>
      </c>
      <c r="X1204" s="2310" t="str">
        <f t="shared" si="261"/>
        <v>--</v>
      </c>
      <c r="Y1204" s="2310" t="str">
        <f t="shared" si="261"/>
        <v>--</v>
      </c>
      <c r="AA1204" s="2060"/>
      <c r="AB1204" s="2060"/>
      <c r="AC1204" s="2060"/>
      <c r="AD1204" s="2060"/>
      <c r="AE1204" s="2060"/>
      <c r="AF1204" s="2060"/>
      <c r="AG1204" s="2060"/>
      <c r="AH1204" s="2060"/>
    </row>
    <row r="1205" spans="1:34" s="89" customFormat="1" ht="13.9">
      <c r="A1205" s="269" t="str">
        <f t="shared" si="262"/>
        <v>n</v>
      </c>
      <c r="B1205" s="2060"/>
      <c r="D1205" s="801"/>
      <c r="E1205" s="1505">
        <v>18</v>
      </c>
      <c r="F1205" s="21" t="str">
        <f>F$146</f>
        <v>--</v>
      </c>
      <c r="G1205" s="1441">
        <f>G$146</f>
        <v>0</v>
      </c>
      <c r="H1205" s="2314" t="str">
        <f t="shared" si="263"/>
        <v>--</v>
      </c>
      <c r="I1205" s="2314" t="str">
        <f t="shared" si="264"/>
        <v>--</v>
      </c>
      <c r="J1205" s="1441"/>
      <c r="K1205" s="2314" t="str">
        <f t="shared" si="265"/>
        <v>--</v>
      </c>
      <c r="L1205" s="2314" t="str">
        <f t="shared" si="265"/>
        <v>--</v>
      </c>
      <c r="M1205" s="2314" t="str">
        <f t="shared" si="265"/>
        <v>--</v>
      </c>
      <c r="N1205" s="2314" t="str">
        <f t="shared" si="265"/>
        <v>--</v>
      </c>
      <c r="O1205" s="2315" t="str">
        <f t="shared" si="265"/>
        <v>--</v>
      </c>
      <c r="P1205" s="2314" t="str">
        <f t="shared" si="260"/>
        <v>--</v>
      </c>
      <c r="R1205" s="1466"/>
      <c r="U1205" s="2310" t="str">
        <f t="shared" si="261"/>
        <v>--</v>
      </c>
      <c r="V1205" s="2310" t="str">
        <f t="shared" si="261"/>
        <v>--</v>
      </c>
      <c r="W1205" s="2310" t="str">
        <f t="shared" si="261"/>
        <v>--</v>
      </c>
      <c r="X1205" s="2310" t="str">
        <f t="shared" si="261"/>
        <v>--</v>
      </c>
      <c r="Y1205" s="2310" t="str">
        <f t="shared" si="261"/>
        <v>--</v>
      </c>
      <c r="AA1205" s="2060"/>
      <c r="AB1205" s="2060"/>
      <c r="AC1205" s="2060"/>
      <c r="AD1205" s="2060"/>
      <c r="AE1205" s="2060"/>
      <c r="AF1205" s="2060"/>
      <c r="AG1205" s="2060"/>
      <c r="AH1205" s="2060"/>
    </row>
    <row r="1206" spans="1:34" s="89" customFormat="1" ht="13.9">
      <c r="A1206" s="269" t="str">
        <f t="shared" si="262"/>
        <v>n</v>
      </c>
      <c r="B1206" s="2060"/>
      <c r="D1206" s="801"/>
      <c r="E1206" s="1505">
        <v>19</v>
      </c>
      <c r="F1206" s="21" t="str">
        <f>F$147</f>
        <v>--</v>
      </c>
      <c r="G1206" s="1441">
        <f>G$147</f>
        <v>0</v>
      </c>
      <c r="H1206" s="2314" t="str">
        <f t="shared" si="263"/>
        <v>--</v>
      </c>
      <c r="I1206" s="2314" t="str">
        <f t="shared" si="264"/>
        <v>--</v>
      </c>
      <c r="J1206" s="1441"/>
      <c r="K1206" s="2314" t="str">
        <f t="shared" si="265"/>
        <v>--</v>
      </c>
      <c r="L1206" s="2314" t="str">
        <f t="shared" si="265"/>
        <v>--</v>
      </c>
      <c r="M1206" s="2314" t="str">
        <f t="shared" si="265"/>
        <v>--</v>
      </c>
      <c r="N1206" s="2314" t="str">
        <f t="shared" si="265"/>
        <v>--</v>
      </c>
      <c r="O1206" s="2315" t="str">
        <f t="shared" si="265"/>
        <v>--</v>
      </c>
      <c r="P1206" s="2314" t="str">
        <f t="shared" si="260"/>
        <v>--</v>
      </c>
      <c r="R1206" s="1466"/>
      <c r="U1206" s="2310" t="str">
        <f t="shared" si="261"/>
        <v>--</v>
      </c>
      <c r="V1206" s="2310" t="str">
        <f t="shared" si="261"/>
        <v>--</v>
      </c>
      <c r="W1206" s="2310" t="str">
        <f t="shared" si="261"/>
        <v>--</v>
      </c>
      <c r="X1206" s="2310" t="str">
        <f t="shared" si="261"/>
        <v>--</v>
      </c>
      <c r="Y1206" s="2310" t="str">
        <f t="shared" si="261"/>
        <v>--</v>
      </c>
      <c r="AA1206" s="2060"/>
      <c r="AB1206" s="2060"/>
      <c r="AC1206" s="2060"/>
      <c r="AD1206" s="2060"/>
      <c r="AE1206" s="2060"/>
      <c r="AF1206" s="2060"/>
      <c r="AG1206" s="2060"/>
      <c r="AH1206" s="2060"/>
    </row>
    <row r="1207" spans="1:34" s="89" customFormat="1" ht="13.9">
      <c r="A1207" s="269" t="str">
        <f t="shared" si="262"/>
        <v>n</v>
      </c>
      <c r="B1207" s="2060"/>
      <c r="D1207" s="801"/>
      <c r="E1207" s="1505">
        <v>20</v>
      </c>
      <c r="F1207" s="21" t="str">
        <f>F$148</f>
        <v>--</v>
      </c>
      <c r="G1207" s="1441">
        <f>G$148</f>
        <v>0</v>
      </c>
      <c r="H1207" s="2314" t="str">
        <f t="shared" si="263"/>
        <v>--</v>
      </c>
      <c r="I1207" s="2314" t="str">
        <f t="shared" si="264"/>
        <v>--</v>
      </c>
      <c r="J1207" s="1441"/>
      <c r="K1207" s="2314" t="str">
        <f t="shared" si="265"/>
        <v>--</v>
      </c>
      <c r="L1207" s="2314" t="str">
        <f t="shared" si="265"/>
        <v>--</v>
      </c>
      <c r="M1207" s="2314" t="str">
        <f t="shared" si="265"/>
        <v>--</v>
      </c>
      <c r="N1207" s="2314" t="str">
        <f t="shared" si="265"/>
        <v>--</v>
      </c>
      <c r="O1207" s="2315" t="str">
        <f t="shared" si="265"/>
        <v>--</v>
      </c>
      <c r="P1207" s="2314" t="str">
        <f t="shared" si="260"/>
        <v>--</v>
      </c>
      <c r="R1207" s="1466"/>
      <c r="U1207" s="2310" t="str">
        <f t="shared" si="261"/>
        <v>--</v>
      </c>
      <c r="V1207" s="2310" t="str">
        <f t="shared" si="261"/>
        <v>--</v>
      </c>
      <c r="W1207" s="2310" t="str">
        <f t="shared" si="261"/>
        <v>--</v>
      </c>
      <c r="X1207" s="2310" t="str">
        <f t="shared" si="261"/>
        <v>--</v>
      </c>
      <c r="Y1207" s="2310" t="str">
        <f t="shared" si="261"/>
        <v>--</v>
      </c>
      <c r="AA1207" s="2060"/>
      <c r="AB1207" s="2060"/>
      <c r="AC1207" s="2060"/>
      <c r="AD1207" s="2060"/>
      <c r="AE1207" s="2060"/>
      <c r="AF1207" s="2060"/>
      <c r="AG1207" s="2060"/>
      <c r="AH1207" s="2060"/>
    </row>
    <row r="1208" spans="1:34" s="89" customFormat="1" ht="13.9">
      <c r="A1208" s="269" t="str">
        <f t="shared" si="262"/>
        <v>n</v>
      </c>
      <c r="B1208" s="2060"/>
      <c r="D1208" s="801"/>
      <c r="E1208" s="1505">
        <v>21</v>
      </c>
      <c r="F1208" s="21" t="str">
        <f>F$149</f>
        <v>--</v>
      </c>
      <c r="G1208" s="1441">
        <f>G$149</f>
        <v>0</v>
      </c>
      <c r="H1208" s="2314" t="str">
        <f t="shared" si="263"/>
        <v>--</v>
      </c>
      <c r="I1208" s="2314" t="str">
        <f t="shared" si="264"/>
        <v>--</v>
      </c>
      <c r="J1208" s="1441"/>
      <c r="K1208" s="2314" t="str">
        <f t="shared" ref="K1208:O1212" si="266">IFERROR((K679-J679)/ABS(J679),"--")</f>
        <v>--</v>
      </c>
      <c r="L1208" s="2314" t="str">
        <f t="shared" si="266"/>
        <v>--</v>
      </c>
      <c r="M1208" s="2314" t="str">
        <f t="shared" si="266"/>
        <v>--</v>
      </c>
      <c r="N1208" s="2314" t="str">
        <f t="shared" si="266"/>
        <v>--</v>
      </c>
      <c r="O1208" s="2315" t="str">
        <f t="shared" si="266"/>
        <v>--</v>
      </c>
      <c r="P1208" s="2314" t="str">
        <f t="shared" si="260"/>
        <v>--</v>
      </c>
      <c r="R1208" s="1466"/>
      <c r="U1208" s="2310" t="str">
        <f t="shared" si="261"/>
        <v>--</v>
      </c>
      <c r="V1208" s="2310" t="str">
        <f t="shared" si="261"/>
        <v>--</v>
      </c>
      <c r="W1208" s="2310" t="str">
        <f t="shared" si="261"/>
        <v>--</v>
      </c>
      <c r="X1208" s="2310" t="str">
        <f t="shared" si="261"/>
        <v>--</v>
      </c>
      <c r="Y1208" s="2310" t="str">
        <f t="shared" si="261"/>
        <v>--</v>
      </c>
      <c r="AA1208" s="2060"/>
      <c r="AB1208" s="2060"/>
      <c r="AC1208" s="2060"/>
      <c r="AD1208" s="2060"/>
      <c r="AE1208" s="2060"/>
      <c r="AF1208" s="2060"/>
      <c r="AG1208" s="2060"/>
      <c r="AH1208" s="2060"/>
    </row>
    <row r="1209" spans="1:34" s="89" customFormat="1" ht="13.9">
      <c r="A1209" s="269" t="str">
        <f t="shared" si="262"/>
        <v>n</v>
      </c>
      <c r="B1209" s="2060"/>
      <c r="D1209" s="801"/>
      <c r="E1209" s="1505">
        <v>22</v>
      </c>
      <c r="F1209" s="21" t="str">
        <f>F$150</f>
        <v>--</v>
      </c>
      <c r="G1209" s="1441">
        <f>G$150</f>
        <v>0</v>
      </c>
      <c r="H1209" s="2314" t="str">
        <f t="shared" si="263"/>
        <v>--</v>
      </c>
      <c r="I1209" s="2314" t="str">
        <f t="shared" si="264"/>
        <v>--</v>
      </c>
      <c r="J1209" s="1441"/>
      <c r="K1209" s="2314" t="str">
        <f t="shared" si="266"/>
        <v>--</v>
      </c>
      <c r="L1209" s="2314" t="str">
        <f t="shared" si="266"/>
        <v>--</v>
      </c>
      <c r="M1209" s="2314" t="str">
        <f t="shared" si="266"/>
        <v>--</v>
      </c>
      <c r="N1209" s="2314" t="str">
        <f t="shared" si="266"/>
        <v>--</v>
      </c>
      <c r="O1209" s="2315" t="str">
        <f t="shared" si="266"/>
        <v>--</v>
      </c>
      <c r="P1209" s="2314" t="str">
        <f t="shared" si="260"/>
        <v>--</v>
      </c>
      <c r="R1209" s="1466"/>
      <c r="U1209" s="2310" t="str">
        <f t="shared" si="261"/>
        <v>--</v>
      </c>
      <c r="V1209" s="2310" t="str">
        <f t="shared" si="261"/>
        <v>--</v>
      </c>
      <c r="W1209" s="2310" t="str">
        <f t="shared" si="261"/>
        <v>--</v>
      </c>
      <c r="X1209" s="2310" t="str">
        <f t="shared" si="261"/>
        <v>--</v>
      </c>
      <c r="Y1209" s="2310" t="str">
        <f t="shared" si="261"/>
        <v>--</v>
      </c>
      <c r="AA1209" s="2060"/>
      <c r="AB1209" s="2060"/>
      <c r="AC1209" s="2060"/>
      <c r="AD1209" s="2060"/>
      <c r="AE1209" s="2060"/>
      <c r="AF1209" s="2060"/>
      <c r="AG1209" s="2060"/>
      <c r="AH1209" s="2060"/>
    </row>
    <row r="1210" spans="1:34" s="89" customFormat="1" ht="13.9">
      <c r="A1210" s="269" t="str">
        <f t="shared" si="262"/>
        <v>n</v>
      </c>
      <c r="B1210" s="2060"/>
      <c r="D1210" s="801"/>
      <c r="E1210" s="1505">
        <v>23</v>
      </c>
      <c r="F1210" s="21" t="str">
        <f>F$151</f>
        <v>--</v>
      </c>
      <c r="G1210" s="1441">
        <f>G$151</f>
        <v>0</v>
      </c>
      <c r="H1210" s="2314" t="str">
        <f t="shared" si="263"/>
        <v>--</v>
      </c>
      <c r="I1210" s="2314" t="str">
        <f t="shared" si="264"/>
        <v>--</v>
      </c>
      <c r="J1210" s="1441"/>
      <c r="K1210" s="2314" t="str">
        <f t="shared" si="266"/>
        <v>--</v>
      </c>
      <c r="L1210" s="2314" t="str">
        <f t="shared" si="266"/>
        <v>--</v>
      </c>
      <c r="M1210" s="2314" t="str">
        <f t="shared" si="266"/>
        <v>--</v>
      </c>
      <c r="N1210" s="2314" t="str">
        <f t="shared" si="266"/>
        <v>--</v>
      </c>
      <c r="O1210" s="2315" t="str">
        <f t="shared" si="266"/>
        <v>--</v>
      </c>
      <c r="P1210" s="2314" t="str">
        <f t="shared" si="260"/>
        <v>--</v>
      </c>
      <c r="R1210" s="1466"/>
      <c r="U1210" s="2310" t="str">
        <f t="shared" si="261"/>
        <v>--</v>
      </c>
      <c r="V1210" s="2310" t="str">
        <f t="shared" si="261"/>
        <v>--</v>
      </c>
      <c r="W1210" s="2310" t="str">
        <f t="shared" si="261"/>
        <v>--</v>
      </c>
      <c r="X1210" s="2310" t="str">
        <f t="shared" si="261"/>
        <v>--</v>
      </c>
      <c r="Y1210" s="2310" t="str">
        <f t="shared" si="261"/>
        <v>--</v>
      </c>
      <c r="AA1210" s="2060"/>
      <c r="AB1210" s="2060"/>
      <c r="AC1210" s="2060"/>
      <c r="AD1210" s="2060"/>
      <c r="AE1210" s="2060"/>
      <c r="AF1210" s="2060"/>
      <c r="AG1210" s="2060"/>
      <c r="AH1210" s="2060"/>
    </row>
    <row r="1211" spans="1:34" s="89" customFormat="1" ht="13.9">
      <c r="A1211" s="269" t="str">
        <f t="shared" si="262"/>
        <v>n</v>
      </c>
      <c r="B1211" s="2060"/>
      <c r="D1211" s="801"/>
      <c r="E1211" s="1505">
        <v>24</v>
      </c>
      <c r="F1211" s="21" t="str">
        <f>F$152</f>
        <v>--</v>
      </c>
      <c r="G1211" s="1441">
        <f>G$152</f>
        <v>0</v>
      </c>
      <c r="H1211" s="2314" t="str">
        <f t="shared" si="263"/>
        <v>--</v>
      </c>
      <c r="I1211" s="2314" t="str">
        <f t="shared" si="264"/>
        <v>--</v>
      </c>
      <c r="J1211" s="1441"/>
      <c r="K1211" s="2314" t="str">
        <f t="shared" si="266"/>
        <v>--</v>
      </c>
      <c r="L1211" s="2314" t="str">
        <f t="shared" si="266"/>
        <v>--</v>
      </c>
      <c r="M1211" s="2314" t="str">
        <f t="shared" si="266"/>
        <v>--</v>
      </c>
      <c r="N1211" s="2314" t="str">
        <f t="shared" si="266"/>
        <v>--</v>
      </c>
      <c r="O1211" s="2315" t="str">
        <f t="shared" si="266"/>
        <v>--</v>
      </c>
      <c r="P1211" s="2314" t="str">
        <f t="shared" si="260"/>
        <v>--</v>
      </c>
      <c r="R1211" s="1466"/>
      <c r="U1211" s="2310" t="str">
        <f t="shared" si="261"/>
        <v>--</v>
      </c>
      <c r="V1211" s="2310" t="str">
        <f t="shared" si="261"/>
        <v>--</v>
      </c>
      <c r="W1211" s="2310" t="str">
        <f t="shared" si="261"/>
        <v>--</v>
      </c>
      <c r="X1211" s="2310" t="str">
        <f t="shared" si="261"/>
        <v>--</v>
      </c>
      <c r="Y1211" s="2310" t="str">
        <f t="shared" si="261"/>
        <v>--</v>
      </c>
      <c r="AA1211" s="2060"/>
      <c r="AB1211" s="2060"/>
      <c r="AC1211" s="2060"/>
      <c r="AD1211" s="2060"/>
      <c r="AE1211" s="2060"/>
      <c r="AF1211" s="2060"/>
      <c r="AG1211" s="2060"/>
      <c r="AH1211" s="2060"/>
    </row>
    <row r="1212" spans="1:34" s="89" customFormat="1" ht="13.9">
      <c r="A1212" s="269" t="str">
        <f t="shared" si="262"/>
        <v>n</v>
      </c>
      <c r="B1212" s="2060"/>
      <c r="D1212" s="801"/>
      <c r="E1212" s="1505">
        <v>25</v>
      </c>
      <c r="F1212" s="21" t="str">
        <f>F$153</f>
        <v>--</v>
      </c>
      <c r="G1212" s="1441">
        <f>G$153</f>
        <v>0</v>
      </c>
      <c r="H1212" s="2314" t="str">
        <f t="shared" si="263"/>
        <v>--</v>
      </c>
      <c r="I1212" s="2314" t="str">
        <f t="shared" si="264"/>
        <v>--</v>
      </c>
      <c r="J1212" s="1441"/>
      <c r="K1212" s="2314" t="str">
        <f t="shared" si="266"/>
        <v>--</v>
      </c>
      <c r="L1212" s="2314" t="str">
        <f t="shared" si="266"/>
        <v>--</v>
      </c>
      <c r="M1212" s="2314" t="str">
        <f t="shared" si="266"/>
        <v>--</v>
      </c>
      <c r="N1212" s="2314" t="str">
        <f t="shared" si="266"/>
        <v>--</v>
      </c>
      <c r="O1212" s="2315" t="str">
        <f t="shared" si="266"/>
        <v>--</v>
      </c>
      <c r="P1212" s="2314" t="str">
        <f t="shared" si="260"/>
        <v>--</v>
      </c>
      <c r="R1212" s="1466"/>
      <c r="U1212" s="2310" t="str">
        <f t="shared" si="261"/>
        <v>--</v>
      </c>
      <c r="V1212" s="2310" t="str">
        <f t="shared" si="261"/>
        <v>--</v>
      </c>
      <c r="W1212" s="2310" t="str">
        <f t="shared" si="261"/>
        <v>--</v>
      </c>
      <c r="X1212" s="2310" t="str">
        <f t="shared" si="261"/>
        <v>--</v>
      </c>
      <c r="Y1212" s="2310" t="str">
        <f t="shared" si="261"/>
        <v>--</v>
      </c>
      <c r="AA1212" s="2060"/>
      <c r="AB1212" s="2060"/>
      <c r="AC1212" s="2060"/>
      <c r="AD1212" s="2060"/>
      <c r="AE1212" s="2060"/>
      <c r="AF1212" s="2060"/>
      <c r="AG1212" s="2060"/>
      <c r="AH1212" s="2060"/>
    </row>
    <row r="1213" spans="1:34" s="89" customFormat="1" ht="13.9">
      <c r="A1213" s="2060"/>
      <c r="B1213" s="2060"/>
      <c r="D1213" s="801"/>
      <c r="F1213" s="57" t="s">
        <v>767</v>
      </c>
      <c r="G1213" s="1442"/>
      <c r="H1213" s="277" t="str">
        <f>IFERROR(MEDIAN(H1188:H1212),"--")</f>
        <v>--</v>
      </c>
      <c r="I1213" s="277" t="str">
        <f>IFERROR(MEDIAN(I1188:I1212),"--")</f>
        <v>--</v>
      </c>
      <c r="J1213" s="1442"/>
      <c r="K1213" s="277" t="str">
        <f t="shared" ref="K1213:P1213" si="267">IFERROR(MEDIAN(K1188:K1212),"--")</f>
        <v>--</v>
      </c>
      <c r="L1213" s="277" t="str">
        <f t="shared" si="267"/>
        <v>--</v>
      </c>
      <c r="M1213" s="277" t="str">
        <f t="shared" si="267"/>
        <v>--</v>
      </c>
      <c r="N1213" s="277" t="str">
        <f>IFERROR(MEDIAN(N1188:N1212),"--")</f>
        <v>--</v>
      </c>
      <c r="O1213" s="278" t="str">
        <f t="shared" si="267"/>
        <v>--</v>
      </c>
      <c r="P1213" s="277" t="str">
        <f t="shared" si="267"/>
        <v>--</v>
      </c>
      <c r="U1213" s="504" t="str">
        <f>IFERROR(MEDIAN(U1188:U1212),"--")</f>
        <v>--</v>
      </c>
      <c r="V1213" s="504" t="str">
        <f>IFERROR(MEDIAN(V1188:V1212),"--")</f>
        <v>--</v>
      </c>
      <c r="W1213" s="504" t="str">
        <f>IFERROR(MEDIAN(W1188:W1212),"--")</f>
        <v>--</v>
      </c>
      <c r="X1213" s="504" t="str">
        <f>IFERROR(MEDIAN(X1188:X1212),"--")</f>
        <v>--</v>
      </c>
      <c r="Y1213" s="504" t="str">
        <f>IFERROR(MEDIAN(Y1188:Y1212),"--")</f>
        <v>--</v>
      </c>
      <c r="AA1213" s="2060"/>
      <c r="AB1213" s="2060"/>
      <c r="AC1213" s="2060"/>
      <c r="AD1213" s="2060"/>
      <c r="AE1213" s="2060"/>
      <c r="AF1213" s="2060"/>
      <c r="AG1213" s="2060"/>
      <c r="AH1213" s="2060"/>
    </row>
    <row r="1214" spans="1:34" s="89" customFormat="1" ht="13.9">
      <c r="A1214" s="2060"/>
      <c r="B1214" s="2060"/>
      <c r="D1214" s="1436"/>
      <c r="E1214" s="56"/>
      <c r="F1214" s="21"/>
      <c r="O1214" s="75"/>
      <c r="P1214" s="76"/>
      <c r="AA1214" s="2060"/>
      <c r="AB1214" s="2060"/>
      <c r="AC1214" s="2060"/>
      <c r="AD1214" s="2060"/>
      <c r="AE1214" s="2060"/>
      <c r="AF1214" s="2060"/>
      <c r="AG1214" s="2060"/>
      <c r="AH1214" s="2060"/>
    </row>
    <row r="1215" spans="1:34" s="89" customFormat="1" ht="13.9">
      <c r="A1215" s="2060"/>
      <c r="B1215" s="2060"/>
      <c r="D1215" s="1436"/>
      <c r="E1215" s="56"/>
      <c r="F1215" s="21"/>
      <c r="O1215" s="75"/>
      <c r="P1215" s="76"/>
      <c r="AA1215" s="2060"/>
      <c r="AB1215" s="2060"/>
      <c r="AC1215" s="2060"/>
      <c r="AD1215" s="2060"/>
      <c r="AE1215" s="2060"/>
      <c r="AF1215" s="2060"/>
      <c r="AG1215" s="2060"/>
      <c r="AH1215" s="2060"/>
    </row>
    <row r="1216" spans="1:34" s="89" customFormat="1" ht="13.9">
      <c r="A1216" s="2060"/>
      <c r="B1216" s="2060"/>
      <c r="D1216" s="802"/>
      <c r="E1216" s="21"/>
      <c r="F1216" s="756"/>
      <c r="G1216" s="724"/>
      <c r="H1216" s="724"/>
      <c r="I1216" s="724"/>
      <c r="J1216" s="724"/>
      <c r="K1216" s="724"/>
      <c r="L1216" s="724"/>
      <c r="M1216" s="724"/>
      <c r="N1216" s="724"/>
      <c r="O1216" s="757"/>
      <c r="P1216" s="724"/>
      <c r="Q1216" s="724"/>
      <c r="R1216" s="725" t="s">
        <v>788</v>
      </c>
      <c r="S1216" s="725" t="s">
        <v>788</v>
      </c>
      <c r="T1216" s="724"/>
      <c r="U1216" s="724"/>
      <c r="V1216" s="724"/>
      <c r="W1216" s="724"/>
      <c r="X1216" s="724"/>
      <c r="Y1216" s="724"/>
      <c r="AA1216" s="2060"/>
      <c r="AB1216" s="2060"/>
      <c r="AC1216" s="2060"/>
      <c r="AD1216" s="2060"/>
      <c r="AE1216" s="2060"/>
      <c r="AF1216" s="2060"/>
      <c r="AG1216" s="2060"/>
      <c r="AH1216" s="2060"/>
    </row>
    <row r="1217" spans="1:34" s="89" customFormat="1" ht="13.9">
      <c r="A1217" s="2060"/>
      <c r="B1217" s="2060"/>
      <c r="D1217" s="778">
        <f ca="1">MAX(OFFSET(D1217,-1,0,-ROW(D1217)+1,-2),1)+0.01</f>
        <v>7.0399999999999991</v>
      </c>
      <c r="E1217" s="125"/>
      <c r="F1217" s="952" t="s">
        <v>278</v>
      </c>
      <c r="G1217" s="724" t="s">
        <v>795</v>
      </c>
      <c r="H1217" s="724"/>
      <c r="I1217" s="724"/>
      <c r="J1217" s="724"/>
      <c r="K1217" s="758" t="s">
        <v>700</v>
      </c>
      <c r="L1217" s="758" t="s">
        <v>701</v>
      </c>
      <c r="M1217" s="758" t="s">
        <v>702</v>
      </c>
      <c r="N1217" s="758" t="s">
        <v>703</v>
      </c>
      <c r="O1217" s="759" t="s">
        <v>704</v>
      </c>
      <c r="P1217" s="725" t="s">
        <v>705</v>
      </c>
      <c r="Q1217" s="724"/>
      <c r="R1217" s="731" t="s">
        <v>789</v>
      </c>
      <c r="S1217" s="731" t="s">
        <v>791</v>
      </c>
      <c r="T1217" s="724"/>
      <c r="U1217" s="725" t="s">
        <v>707</v>
      </c>
      <c r="V1217" s="725" t="s">
        <v>708</v>
      </c>
      <c r="W1217" s="725" t="s">
        <v>709</v>
      </c>
      <c r="X1217" s="725" t="s">
        <v>710</v>
      </c>
      <c r="Y1217" s="725" t="s">
        <v>711</v>
      </c>
      <c r="AA1217" s="2060"/>
      <c r="AB1217" s="2060"/>
      <c r="AC1217" s="2060"/>
      <c r="AD1217" s="2060"/>
      <c r="AE1217" s="2060"/>
      <c r="AF1217" s="2060"/>
      <c r="AG1217" s="2060"/>
      <c r="AH1217" s="2060"/>
    </row>
    <row r="1218" spans="1:34" s="89" customFormat="1" ht="13.9">
      <c r="A1218" s="2060"/>
      <c r="B1218" s="2060"/>
      <c r="D1218" s="778"/>
      <c r="E1218" s="1505">
        <v>0</v>
      </c>
      <c r="F1218" s="1448" t="str">
        <f>F$128</f>
        <v/>
      </c>
      <c r="G1218" s="1449">
        <f>G$128</f>
        <v>0</v>
      </c>
      <c r="H1218" s="1449"/>
      <c r="I1218" s="258"/>
      <c r="J1218" s="258"/>
      <c r="K1218" s="2322" t="str">
        <f t="shared" ref="K1218:P1231" si="268">IFERROR(K627/K565,"--")</f>
        <v>--</v>
      </c>
      <c r="L1218" s="2322" t="str">
        <f t="shared" si="268"/>
        <v>--</v>
      </c>
      <c r="M1218" s="2322" t="str">
        <f t="shared" si="268"/>
        <v>--</v>
      </c>
      <c r="N1218" s="2322" t="str">
        <f t="shared" si="268"/>
        <v>--</v>
      </c>
      <c r="O1218" s="2324" t="str">
        <f t="shared" si="268"/>
        <v>--</v>
      </c>
      <c r="P1218" s="2322" t="str">
        <f t="shared" si="268"/>
        <v>--</v>
      </c>
      <c r="R1218" s="2322" t="str">
        <f>IFERROR(AVERAGE(K1218:$O1218),"")</f>
        <v/>
      </c>
      <c r="S1218" s="2322" t="str">
        <f>IFERROR(AVERAGE(M1218:$O1218),"")</f>
        <v/>
      </c>
      <c r="U1218" s="2322" t="str">
        <f t="shared" ref="U1218:Y1227" si="269">IFERROR(U627/U565,"--")</f>
        <v>--</v>
      </c>
      <c r="V1218" s="2322" t="str">
        <f t="shared" si="269"/>
        <v>--</v>
      </c>
      <c r="W1218" s="2322" t="str">
        <f t="shared" si="269"/>
        <v>--</v>
      </c>
      <c r="X1218" s="2322" t="str">
        <f t="shared" si="269"/>
        <v>--</v>
      </c>
      <c r="Y1218" s="2322" t="str">
        <f t="shared" si="269"/>
        <v>--</v>
      </c>
      <c r="AA1218" s="2060"/>
      <c r="AB1218" s="2060"/>
      <c r="AC1218" s="2060"/>
      <c r="AD1218" s="2060"/>
      <c r="AE1218" s="2060"/>
      <c r="AF1218" s="2060"/>
      <c r="AG1218" s="2060"/>
      <c r="AH1218" s="2060"/>
    </row>
    <row r="1219" spans="1:34" s="89" customFormat="1" ht="13.9">
      <c r="A1219" s="269" t="str">
        <f>IF(F1219="--","n","")</f>
        <v>n</v>
      </c>
      <c r="B1219" s="2060"/>
      <c r="C1219" s="72"/>
      <c r="D1219" s="801"/>
      <c r="E1219" s="1505">
        <v>1</v>
      </c>
      <c r="F1219" s="21" t="str">
        <f>F$129</f>
        <v>--</v>
      </c>
      <c r="G1219" s="1441">
        <f>G$129</f>
        <v>0</v>
      </c>
      <c r="H1219" s="1441"/>
      <c r="I1219" s="1441"/>
      <c r="J1219" s="1441"/>
      <c r="K1219" s="2314" t="str">
        <f t="shared" si="268"/>
        <v>--</v>
      </c>
      <c r="L1219" s="2314" t="str">
        <f t="shared" si="268"/>
        <v>--</v>
      </c>
      <c r="M1219" s="2314" t="str">
        <f t="shared" si="268"/>
        <v>--</v>
      </c>
      <c r="N1219" s="2314" t="str">
        <f t="shared" si="268"/>
        <v>--</v>
      </c>
      <c r="O1219" s="2315" t="str">
        <f t="shared" si="268"/>
        <v>--</v>
      </c>
      <c r="P1219" s="2314" t="str">
        <f t="shared" si="268"/>
        <v>--</v>
      </c>
      <c r="R1219" s="2310" t="str">
        <f>IFERROR(AVERAGE(K1219:$O1219),"")</f>
        <v/>
      </c>
      <c r="S1219" s="2310" t="str">
        <f>IFERROR(AVERAGE(M1219:$O1219),"")</f>
        <v/>
      </c>
      <c r="U1219" s="2314" t="str">
        <f t="shared" si="269"/>
        <v>--</v>
      </c>
      <c r="V1219" s="2314" t="str">
        <f t="shared" si="269"/>
        <v>--</v>
      </c>
      <c r="W1219" s="2314" t="str">
        <f t="shared" si="269"/>
        <v>--</v>
      </c>
      <c r="X1219" s="2314" t="str">
        <f t="shared" si="269"/>
        <v>--</v>
      </c>
      <c r="Y1219" s="2314" t="str">
        <f t="shared" si="269"/>
        <v>--</v>
      </c>
      <c r="AA1219" s="2060"/>
      <c r="AB1219" s="2060"/>
      <c r="AC1219" s="2060"/>
      <c r="AD1219" s="2060"/>
      <c r="AE1219" s="2060"/>
      <c r="AF1219" s="2060"/>
      <c r="AG1219" s="2060"/>
      <c r="AH1219" s="2060"/>
    </row>
    <row r="1220" spans="1:34" s="89" customFormat="1" ht="13.9">
      <c r="A1220" s="269" t="str">
        <f t="shared" ref="A1220:A1243" si="270">IF(F1220="--","n","")</f>
        <v>n</v>
      </c>
      <c r="B1220" s="2060"/>
      <c r="D1220" s="801"/>
      <c r="E1220" s="1505">
        <v>2</v>
      </c>
      <c r="F1220" s="21" t="str">
        <f>F$130</f>
        <v>--</v>
      </c>
      <c r="G1220" s="1441">
        <f>G$130</f>
        <v>0</v>
      </c>
      <c r="H1220" s="1441"/>
      <c r="I1220" s="1441"/>
      <c r="J1220" s="1441"/>
      <c r="K1220" s="2314" t="str">
        <f t="shared" si="268"/>
        <v>--</v>
      </c>
      <c r="L1220" s="2314" t="str">
        <f t="shared" si="268"/>
        <v>--</v>
      </c>
      <c r="M1220" s="2314" t="str">
        <f t="shared" si="268"/>
        <v>--</v>
      </c>
      <c r="N1220" s="2314" t="str">
        <f t="shared" si="268"/>
        <v>--</v>
      </c>
      <c r="O1220" s="2315" t="str">
        <f t="shared" si="268"/>
        <v>--</v>
      </c>
      <c r="P1220" s="2314" t="str">
        <f t="shared" si="268"/>
        <v>--</v>
      </c>
      <c r="R1220" s="2310" t="str">
        <f>IFERROR(AVERAGE(K1220:$O1220),"")</f>
        <v/>
      </c>
      <c r="S1220" s="2310" t="str">
        <f>IFERROR(AVERAGE(M1220:$O1220),"")</f>
        <v/>
      </c>
      <c r="U1220" s="2314" t="str">
        <f t="shared" si="269"/>
        <v>--</v>
      </c>
      <c r="V1220" s="2314" t="str">
        <f t="shared" si="269"/>
        <v>--</v>
      </c>
      <c r="W1220" s="2314" t="str">
        <f t="shared" si="269"/>
        <v>--</v>
      </c>
      <c r="X1220" s="2314" t="str">
        <f t="shared" si="269"/>
        <v>--</v>
      </c>
      <c r="Y1220" s="2314" t="str">
        <f t="shared" si="269"/>
        <v>--</v>
      </c>
      <c r="AA1220" s="2060"/>
      <c r="AB1220" s="2060"/>
      <c r="AC1220" s="2060"/>
      <c r="AD1220" s="2060"/>
      <c r="AE1220" s="2060"/>
      <c r="AF1220" s="2060"/>
      <c r="AG1220" s="2060"/>
      <c r="AH1220" s="2060"/>
    </row>
    <row r="1221" spans="1:34" s="89" customFormat="1" ht="13.9">
      <c r="A1221" s="269" t="str">
        <f t="shared" si="270"/>
        <v>n</v>
      </c>
      <c r="B1221" s="2060"/>
      <c r="C1221" s="72"/>
      <c r="D1221" s="802"/>
      <c r="E1221" s="1505">
        <v>3</v>
      </c>
      <c r="F1221" s="21" t="str">
        <f>F$131</f>
        <v>--</v>
      </c>
      <c r="G1221" s="1441">
        <f>G$131</f>
        <v>0</v>
      </c>
      <c r="H1221" s="1441"/>
      <c r="I1221" s="1441"/>
      <c r="J1221" s="1441"/>
      <c r="K1221" s="2314" t="str">
        <f t="shared" si="268"/>
        <v>--</v>
      </c>
      <c r="L1221" s="2314" t="str">
        <f t="shared" si="268"/>
        <v>--</v>
      </c>
      <c r="M1221" s="2314" t="str">
        <f t="shared" si="268"/>
        <v>--</v>
      </c>
      <c r="N1221" s="2314" t="str">
        <f t="shared" si="268"/>
        <v>--</v>
      </c>
      <c r="O1221" s="2315" t="str">
        <f t="shared" si="268"/>
        <v>--</v>
      </c>
      <c r="P1221" s="2314" t="str">
        <f t="shared" si="268"/>
        <v>--</v>
      </c>
      <c r="R1221" s="2310" t="str">
        <f>IFERROR(AVERAGE(K1221:$O1221),"")</f>
        <v/>
      </c>
      <c r="S1221" s="2310" t="str">
        <f>IFERROR(AVERAGE(M1221:$O1221),"")</f>
        <v/>
      </c>
      <c r="U1221" s="2314" t="str">
        <f t="shared" si="269"/>
        <v>--</v>
      </c>
      <c r="V1221" s="2314" t="str">
        <f t="shared" si="269"/>
        <v>--</v>
      </c>
      <c r="W1221" s="2314" t="str">
        <f t="shared" si="269"/>
        <v>--</v>
      </c>
      <c r="X1221" s="2314" t="str">
        <f t="shared" si="269"/>
        <v>--</v>
      </c>
      <c r="Y1221" s="2314" t="str">
        <f t="shared" si="269"/>
        <v>--</v>
      </c>
      <c r="AA1221" s="2060"/>
      <c r="AB1221" s="2060"/>
      <c r="AC1221" s="2060"/>
      <c r="AD1221" s="2060"/>
      <c r="AE1221" s="2060"/>
      <c r="AF1221" s="2060"/>
      <c r="AG1221" s="2060"/>
      <c r="AH1221" s="2060"/>
    </row>
    <row r="1222" spans="1:34" s="89" customFormat="1" ht="13.9">
      <c r="A1222" s="269" t="str">
        <f t="shared" si="270"/>
        <v>n</v>
      </c>
      <c r="B1222" s="2060"/>
      <c r="C1222" s="72"/>
      <c r="D1222" s="801"/>
      <c r="E1222" s="1505">
        <v>4</v>
      </c>
      <c r="F1222" s="21" t="str">
        <f>F$132</f>
        <v>--</v>
      </c>
      <c r="G1222" s="1441">
        <f>G$132</f>
        <v>0</v>
      </c>
      <c r="H1222" s="1441"/>
      <c r="I1222" s="1441"/>
      <c r="J1222" s="1441"/>
      <c r="K1222" s="2314" t="str">
        <f t="shared" si="268"/>
        <v>--</v>
      </c>
      <c r="L1222" s="2314" t="str">
        <f t="shared" si="268"/>
        <v>--</v>
      </c>
      <c r="M1222" s="2314" t="str">
        <f t="shared" si="268"/>
        <v>--</v>
      </c>
      <c r="N1222" s="2314" t="str">
        <f t="shared" si="268"/>
        <v>--</v>
      </c>
      <c r="O1222" s="2315" t="str">
        <f t="shared" si="268"/>
        <v>--</v>
      </c>
      <c r="P1222" s="2314" t="str">
        <f t="shared" si="268"/>
        <v>--</v>
      </c>
      <c r="R1222" s="2310" t="str">
        <f>IFERROR(AVERAGE(K1222:$O1222),"")</f>
        <v/>
      </c>
      <c r="S1222" s="2310" t="str">
        <f>IFERROR(AVERAGE(M1222:$O1222),"")</f>
        <v/>
      </c>
      <c r="U1222" s="2314" t="str">
        <f t="shared" si="269"/>
        <v>--</v>
      </c>
      <c r="V1222" s="2314" t="str">
        <f t="shared" si="269"/>
        <v>--</v>
      </c>
      <c r="W1222" s="2314" t="str">
        <f t="shared" si="269"/>
        <v>--</v>
      </c>
      <c r="X1222" s="2314" t="str">
        <f t="shared" si="269"/>
        <v>--</v>
      </c>
      <c r="Y1222" s="2314" t="str">
        <f t="shared" si="269"/>
        <v>--</v>
      </c>
      <c r="AA1222" s="2060"/>
      <c r="AB1222" s="2060"/>
      <c r="AC1222" s="2060"/>
      <c r="AD1222" s="2060"/>
      <c r="AE1222" s="2060"/>
      <c r="AF1222" s="2060"/>
      <c r="AG1222" s="2060"/>
      <c r="AH1222" s="2060"/>
    </row>
    <row r="1223" spans="1:34" s="89" customFormat="1" ht="13.9">
      <c r="A1223" s="269" t="str">
        <f t="shared" si="270"/>
        <v>n</v>
      </c>
      <c r="B1223" s="2060"/>
      <c r="C1223" s="72"/>
      <c r="D1223" s="801"/>
      <c r="E1223" s="1505">
        <v>5</v>
      </c>
      <c r="F1223" s="21" t="str">
        <f>F$133</f>
        <v>--</v>
      </c>
      <c r="G1223" s="1441">
        <f>G$133</f>
        <v>0</v>
      </c>
      <c r="H1223" s="1441"/>
      <c r="I1223" s="1441"/>
      <c r="J1223" s="1441"/>
      <c r="K1223" s="2314" t="str">
        <f t="shared" si="268"/>
        <v>--</v>
      </c>
      <c r="L1223" s="2314" t="str">
        <f t="shared" si="268"/>
        <v>--</v>
      </c>
      <c r="M1223" s="2314" t="str">
        <f t="shared" si="268"/>
        <v>--</v>
      </c>
      <c r="N1223" s="2314" t="str">
        <f t="shared" si="268"/>
        <v>--</v>
      </c>
      <c r="O1223" s="2315" t="str">
        <f t="shared" si="268"/>
        <v>--</v>
      </c>
      <c r="P1223" s="2314" t="str">
        <f t="shared" si="268"/>
        <v>--</v>
      </c>
      <c r="R1223" s="2310" t="str">
        <f>IFERROR(AVERAGE(K1223:$O1223),"")</f>
        <v/>
      </c>
      <c r="S1223" s="2310" t="str">
        <f>IFERROR(AVERAGE(M1223:$O1223),"")</f>
        <v/>
      </c>
      <c r="U1223" s="2314" t="str">
        <f t="shared" si="269"/>
        <v>--</v>
      </c>
      <c r="V1223" s="2314" t="str">
        <f t="shared" si="269"/>
        <v>--</v>
      </c>
      <c r="W1223" s="2314" t="str">
        <f t="shared" si="269"/>
        <v>--</v>
      </c>
      <c r="X1223" s="2314" t="str">
        <f t="shared" si="269"/>
        <v>--</v>
      </c>
      <c r="Y1223" s="2314" t="str">
        <f t="shared" si="269"/>
        <v>--</v>
      </c>
      <c r="AA1223" s="2060"/>
      <c r="AB1223" s="2060"/>
      <c r="AC1223" s="2060"/>
      <c r="AD1223" s="2060"/>
      <c r="AE1223" s="2060"/>
      <c r="AF1223" s="2060"/>
      <c r="AG1223" s="2060"/>
      <c r="AH1223" s="2060"/>
    </row>
    <row r="1224" spans="1:34" s="89" customFormat="1" ht="13.9">
      <c r="A1224" s="269" t="str">
        <f t="shared" si="270"/>
        <v>n</v>
      </c>
      <c r="B1224" s="2060"/>
      <c r="C1224" s="72"/>
      <c r="D1224" s="801"/>
      <c r="E1224" s="1505">
        <v>6</v>
      </c>
      <c r="F1224" s="21" t="str">
        <f>F$134</f>
        <v>--</v>
      </c>
      <c r="G1224" s="1441">
        <f>G$134</f>
        <v>0</v>
      </c>
      <c r="H1224" s="1441"/>
      <c r="I1224" s="1441"/>
      <c r="J1224" s="1441"/>
      <c r="K1224" s="2314" t="str">
        <f t="shared" si="268"/>
        <v>--</v>
      </c>
      <c r="L1224" s="2314" t="str">
        <f t="shared" si="268"/>
        <v>--</v>
      </c>
      <c r="M1224" s="2314" t="str">
        <f t="shared" si="268"/>
        <v>--</v>
      </c>
      <c r="N1224" s="2314" t="str">
        <f t="shared" si="268"/>
        <v>--</v>
      </c>
      <c r="O1224" s="2315" t="str">
        <f t="shared" si="268"/>
        <v>--</v>
      </c>
      <c r="P1224" s="2314" t="str">
        <f t="shared" si="268"/>
        <v>--</v>
      </c>
      <c r="R1224" s="2310" t="str">
        <f>IFERROR(AVERAGE(K1224:$O1224),"")</f>
        <v/>
      </c>
      <c r="S1224" s="2310" t="str">
        <f>IFERROR(AVERAGE(M1224:$O1224),"")</f>
        <v/>
      </c>
      <c r="U1224" s="2314" t="str">
        <f t="shared" si="269"/>
        <v>--</v>
      </c>
      <c r="V1224" s="2314" t="str">
        <f t="shared" si="269"/>
        <v>--</v>
      </c>
      <c r="W1224" s="2314" t="str">
        <f t="shared" si="269"/>
        <v>--</v>
      </c>
      <c r="X1224" s="2314" t="str">
        <f t="shared" si="269"/>
        <v>--</v>
      </c>
      <c r="Y1224" s="2314" t="str">
        <f t="shared" si="269"/>
        <v>--</v>
      </c>
      <c r="AA1224" s="2060"/>
      <c r="AB1224" s="2060"/>
      <c r="AC1224" s="2060"/>
      <c r="AD1224" s="2060"/>
      <c r="AE1224" s="2060"/>
      <c r="AF1224" s="2060"/>
      <c r="AG1224" s="2060"/>
      <c r="AH1224" s="2060"/>
    </row>
    <row r="1225" spans="1:34" s="89" customFormat="1" ht="13.9">
      <c r="A1225" s="269" t="str">
        <f t="shared" si="270"/>
        <v>n</v>
      </c>
      <c r="B1225" s="2060"/>
      <c r="D1225" s="801"/>
      <c r="E1225" s="1505">
        <v>7</v>
      </c>
      <c r="F1225" s="21" t="str">
        <f>F$135</f>
        <v>--</v>
      </c>
      <c r="G1225" s="1441">
        <f>G$135</f>
        <v>0</v>
      </c>
      <c r="H1225" s="1441"/>
      <c r="I1225" s="1441"/>
      <c r="J1225" s="1441"/>
      <c r="K1225" s="2314" t="str">
        <f t="shared" si="268"/>
        <v>--</v>
      </c>
      <c r="L1225" s="2314" t="str">
        <f t="shared" si="268"/>
        <v>--</v>
      </c>
      <c r="M1225" s="2314" t="str">
        <f t="shared" si="268"/>
        <v>--</v>
      </c>
      <c r="N1225" s="2314" t="str">
        <f t="shared" si="268"/>
        <v>--</v>
      </c>
      <c r="O1225" s="2315" t="str">
        <f t="shared" si="268"/>
        <v>--</v>
      </c>
      <c r="P1225" s="2314" t="str">
        <f t="shared" si="268"/>
        <v>--</v>
      </c>
      <c r="R1225" s="2310" t="str">
        <f>IFERROR(AVERAGE(K1225:$O1225),"")</f>
        <v/>
      </c>
      <c r="S1225" s="2310" t="str">
        <f>IFERROR(AVERAGE(M1225:$O1225),"")</f>
        <v/>
      </c>
      <c r="U1225" s="2314" t="str">
        <f t="shared" si="269"/>
        <v>--</v>
      </c>
      <c r="V1225" s="2314" t="str">
        <f t="shared" si="269"/>
        <v>--</v>
      </c>
      <c r="W1225" s="2314" t="str">
        <f t="shared" si="269"/>
        <v>--</v>
      </c>
      <c r="X1225" s="2314" t="str">
        <f t="shared" si="269"/>
        <v>--</v>
      </c>
      <c r="Y1225" s="2314" t="str">
        <f t="shared" si="269"/>
        <v>--</v>
      </c>
      <c r="AA1225" s="2060"/>
      <c r="AB1225" s="2060"/>
      <c r="AC1225" s="2060"/>
      <c r="AD1225" s="2060"/>
      <c r="AE1225" s="2060"/>
      <c r="AF1225" s="2060"/>
      <c r="AG1225" s="2060"/>
      <c r="AH1225" s="2060"/>
    </row>
    <row r="1226" spans="1:34" s="89" customFormat="1" ht="13.9">
      <c r="A1226" s="269" t="str">
        <f t="shared" si="270"/>
        <v>n</v>
      </c>
      <c r="B1226" s="2060"/>
      <c r="D1226" s="801"/>
      <c r="E1226" s="1505">
        <v>8</v>
      </c>
      <c r="F1226" s="21" t="str">
        <f>F$136</f>
        <v>--</v>
      </c>
      <c r="G1226" s="1441">
        <f>G$136</f>
        <v>0</v>
      </c>
      <c r="H1226" s="1441"/>
      <c r="I1226" s="1441"/>
      <c r="J1226" s="1441"/>
      <c r="K1226" s="2314" t="str">
        <f t="shared" si="268"/>
        <v>--</v>
      </c>
      <c r="L1226" s="2314" t="str">
        <f t="shared" si="268"/>
        <v>--</v>
      </c>
      <c r="M1226" s="2314" t="str">
        <f t="shared" si="268"/>
        <v>--</v>
      </c>
      <c r="N1226" s="2314" t="str">
        <f t="shared" si="268"/>
        <v>--</v>
      </c>
      <c r="O1226" s="2315" t="str">
        <f t="shared" si="268"/>
        <v>--</v>
      </c>
      <c r="P1226" s="2314" t="str">
        <f t="shared" si="268"/>
        <v>--</v>
      </c>
      <c r="R1226" s="2310" t="str">
        <f>IFERROR(AVERAGE(K1226:$O1226),"")</f>
        <v/>
      </c>
      <c r="S1226" s="2310" t="str">
        <f>IFERROR(AVERAGE(M1226:$O1226),"")</f>
        <v/>
      </c>
      <c r="U1226" s="2314" t="str">
        <f t="shared" si="269"/>
        <v>--</v>
      </c>
      <c r="V1226" s="2314" t="str">
        <f t="shared" si="269"/>
        <v>--</v>
      </c>
      <c r="W1226" s="2314" t="str">
        <f t="shared" si="269"/>
        <v>--</v>
      </c>
      <c r="X1226" s="2314" t="str">
        <f t="shared" si="269"/>
        <v>--</v>
      </c>
      <c r="Y1226" s="2314" t="str">
        <f t="shared" si="269"/>
        <v>--</v>
      </c>
      <c r="AA1226" s="2060"/>
      <c r="AB1226" s="2060"/>
      <c r="AC1226" s="2060"/>
      <c r="AD1226" s="2060"/>
      <c r="AE1226" s="2060"/>
      <c r="AF1226" s="2060"/>
      <c r="AG1226" s="2060"/>
      <c r="AH1226" s="2060"/>
    </row>
    <row r="1227" spans="1:34" s="89" customFormat="1" ht="13.9">
      <c r="A1227" s="269" t="str">
        <f t="shared" si="270"/>
        <v>n</v>
      </c>
      <c r="B1227" s="2060"/>
      <c r="D1227" s="801"/>
      <c r="E1227" s="1505">
        <v>9</v>
      </c>
      <c r="F1227" s="21" t="str">
        <f>F$137</f>
        <v>--</v>
      </c>
      <c r="G1227" s="1441">
        <f>G$137</f>
        <v>0</v>
      </c>
      <c r="H1227" s="1441"/>
      <c r="I1227" s="1441"/>
      <c r="J1227" s="1441"/>
      <c r="K1227" s="2314" t="str">
        <f t="shared" si="268"/>
        <v>--</v>
      </c>
      <c r="L1227" s="2314" t="str">
        <f t="shared" si="268"/>
        <v>--</v>
      </c>
      <c r="M1227" s="2314" t="str">
        <f t="shared" si="268"/>
        <v>--</v>
      </c>
      <c r="N1227" s="2314" t="str">
        <f t="shared" si="268"/>
        <v>--</v>
      </c>
      <c r="O1227" s="2315" t="str">
        <f t="shared" si="268"/>
        <v>--</v>
      </c>
      <c r="P1227" s="2314" t="str">
        <f t="shared" si="268"/>
        <v>--</v>
      </c>
      <c r="R1227" s="2310" t="str">
        <f>IFERROR(AVERAGE(K1227:$O1227),"")</f>
        <v/>
      </c>
      <c r="S1227" s="2310" t="str">
        <f>IFERROR(AVERAGE(M1227:$O1227),"")</f>
        <v/>
      </c>
      <c r="U1227" s="2314" t="str">
        <f t="shared" si="269"/>
        <v>--</v>
      </c>
      <c r="V1227" s="2314" t="str">
        <f t="shared" si="269"/>
        <v>--</v>
      </c>
      <c r="W1227" s="2314" t="str">
        <f t="shared" si="269"/>
        <v>--</v>
      </c>
      <c r="X1227" s="2314" t="str">
        <f t="shared" si="269"/>
        <v>--</v>
      </c>
      <c r="Y1227" s="2314" t="str">
        <f t="shared" si="269"/>
        <v>--</v>
      </c>
      <c r="AA1227" s="2060"/>
      <c r="AB1227" s="2060"/>
      <c r="AC1227" s="2060"/>
      <c r="AD1227" s="2060"/>
      <c r="AE1227" s="2060"/>
      <c r="AF1227" s="2060"/>
      <c r="AG1227" s="2060"/>
      <c r="AH1227" s="2060"/>
    </row>
    <row r="1228" spans="1:34" s="89" customFormat="1" ht="13.9">
      <c r="A1228" s="269" t="str">
        <f t="shared" si="270"/>
        <v>n</v>
      </c>
      <c r="B1228" s="2060"/>
      <c r="D1228" s="801"/>
      <c r="E1228" s="1505">
        <v>10</v>
      </c>
      <c r="F1228" s="21" t="str">
        <f>F$138</f>
        <v>--</v>
      </c>
      <c r="G1228" s="1441">
        <f>G$138</f>
        <v>0</v>
      </c>
      <c r="H1228" s="1441"/>
      <c r="I1228" s="1441"/>
      <c r="J1228" s="1441"/>
      <c r="K1228" s="2314" t="str">
        <f t="shared" si="268"/>
        <v>--</v>
      </c>
      <c r="L1228" s="2314" t="str">
        <f t="shared" si="268"/>
        <v>--</v>
      </c>
      <c r="M1228" s="2314" t="str">
        <f t="shared" si="268"/>
        <v>--</v>
      </c>
      <c r="N1228" s="2314" t="str">
        <f t="shared" si="268"/>
        <v>--</v>
      </c>
      <c r="O1228" s="2315" t="str">
        <f t="shared" si="268"/>
        <v>--</v>
      </c>
      <c r="P1228" s="2314" t="str">
        <f t="shared" si="268"/>
        <v>--</v>
      </c>
      <c r="R1228" s="2310" t="str">
        <f>IFERROR(AVERAGE(K1228:$O1228),"")</f>
        <v/>
      </c>
      <c r="S1228" s="2310" t="str">
        <f>IFERROR(AVERAGE(M1228:$O1228),"")</f>
        <v/>
      </c>
      <c r="U1228" s="2314" t="str">
        <f t="shared" ref="U1228:Y1237" si="271">IFERROR(U637/U575,"--")</f>
        <v>--</v>
      </c>
      <c r="V1228" s="2314" t="str">
        <f t="shared" si="271"/>
        <v>--</v>
      </c>
      <c r="W1228" s="2314" t="str">
        <f t="shared" si="271"/>
        <v>--</v>
      </c>
      <c r="X1228" s="2314" t="str">
        <f t="shared" si="271"/>
        <v>--</v>
      </c>
      <c r="Y1228" s="2314" t="str">
        <f t="shared" si="271"/>
        <v>--</v>
      </c>
      <c r="AA1228" s="2060"/>
      <c r="AB1228" s="2060"/>
      <c r="AC1228" s="2060"/>
      <c r="AD1228" s="2060"/>
      <c r="AE1228" s="2060"/>
      <c r="AF1228" s="2060"/>
      <c r="AG1228" s="2060"/>
      <c r="AH1228" s="2060"/>
    </row>
    <row r="1229" spans="1:34" s="89" customFormat="1" ht="13.9">
      <c r="A1229" s="269" t="str">
        <f t="shared" si="270"/>
        <v>n</v>
      </c>
      <c r="B1229" s="2060"/>
      <c r="D1229" s="801"/>
      <c r="E1229" s="1505">
        <v>11</v>
      </c>
      <c r="F1229" s="21" t="str">
        <f>F$139</f>
        <v>--</v>
      </c>
      <c r="G1229" s="1441">
        <f>G$139</f>
        <v>0</v>
      </c>
      <c r="H1229" s="1441"/>
      <c r="I1229" s="1441"/>
      <c r="J1229" s="1441"/>
      <c r="K1229" s="2314" t="str">
        <f t="shared" si="268"/>
        <v>--</v>
      </c>
      <c r="L1229" s="2314" t="str">
        <f t="shared" si="268"/>
        <v>--</v>
      </c>
      <c r="M1229" s="2314" t="str">
        <f t="shared" si="268"/>
        <v>--</v>
      </c>
      <c r="N1229" s="2314" t="str">
        <f t="shared" si="268"/>
        <v>--</v>
      </c>
      <c r="O1229" s="2315" t="str">
        <f t="shared" si="268"/>
        <v>--</v>
      </c>
      <c r="P1229" s="2314" t="str">
        <f t="shared" si="268"/>
        <v>--</v>
      </c>
      <c r="R1229" s="2310" t="str">
        <f>IFERROR(AVERAGE(K1229:$O1229),"")</f>
        <v/>
      </c>
      <c r="S1229" s="2310" t="str">
        <f>IFERROR(AVERAGE(M1229:$O1229),"")</f>
        <v/>
      </c>
      <c r="U1229" s="2314" t="str">
        <f t="shared" si="271"/>
        <v>--</v>
      </c>
      <c r="V1229" s="2314" t="str">
        <f t="shared" si="271"/>
        <v>--</v>
      </c>
      <c r="W1229" s="2314" t="str">
        <f t="shared" si="271"/>
        <v>--</v>
      </c>
      <c r="X1229" s="2314" t="str">
        <f t="shared" si="271"/>
        <v>--</v>
      </c>
      <c r="Y1229" s="2314" t="str">
        <f t="shared" si="271"/>
        <v>--</v>
      </c>
      <c r="AA1229" s="2060"/>
      <c r="AB1229" s="2060"/>
      <c r="AC1229" s="2060"/>
      <c r="AD1229" s="2060"/>
      <c r="AE1229" s="2060"/>
      <c r="AF1229" s="2060"/>
      <c r="AG1229" s="2060"/>
      <c r="AH1229" s="2060"/>
    </row>
    <row r="1230" spans="1:34" s="89" customFormat="1" ht="13.9">
      <c r="A1230" s="269" t="str">
        <f t="shared" si="270"/>
        <v>n</v>
      </c>
      <c r="B1230" s="2060"/>
      <c r="D1230" s="801"/>
      <c r="E1230" s="1505">
        <v>12</v>
      </c>
      <c r="F1230" s="21" t="str">
        <f>F$140</f>
        <v>--</v>
      </c>
      <c r="G1230" s="1441">
        <f>G$140</f>
        <v>0</v>
      </c>
      <c r="H1230" s="1441"/>
      <c r="I1230" s="1441"/>
      <c r="J1230" s="1441"/>
      <c r="K1230" s="2314" t="str">
        <f t="shared" si="268"/>
        <v>--</v>
      </c>
      <c r="L1230" s="2314" t="str">
        <f t="shared" si="268"/>
        <v>--</v>
      </c>
      <c r="M1230" s="2314" t="str">
        <f t="shared" si="268"/>
        <v>--</v>
      </c>
      <c r="N1230" s="2314" t="str">
        <f t="shared" si="268"/>
        <v>--</v>
      </c>
      <c r="O1230" s="2315" t="str">
        <f t="shared" si="268"/>
        <v>--</v>
      </c>
      <c r="P1230" s="2314" t="str">
        <f t="shared" si="268"/>
        <v>--</v>
      </c>
      <c r="R1230" s="2310" t="str">
        <f>IFERROR(AVERAGE(K1230:$O1230),"")</f>
        <v/>
      </c>
      <c r="S1230" s="2310" t="str">
        <f>IFERROR(AVERAGE(M1230:$O1230),"")</f>
        <v/>
      </c>
      <c r="U1230" s="2314" t="str">
        <f t="shared" si="271"/>
        <v>--</v>
      </c>
      <c r="V1230" s="2314" t="str">
        <f t="shared" si="271"/>
        <v>--</v>
      </c>
      <c r="W1230" s="2314" t="str">
        <f t="shared" si="271"/>
        <v>--</v>
      </c>
      <c r="X1230" s="2314" t="str">
        <f t="shared" si="271"/>
        <v>--</v>
      </c>
      <c r="Y1230" s="2314" t="str">
        <f t="shared" si="271"/>
        <v>--</v>
      </c>
      <c r="AA1230" s="2060"/>
      <c r="AB1230" s="2060"/>
      <c r="AC1230" s="2060"/>
      <c r="AD1230" s="2060"/>
      <c r="AE1230" s="2060"/>
      <c r="AF1230" s="2060"/>
      <c r="AG1230" s="2060"/>
      <c r="AH1230" s="2060"/>
    </row>
    <row r="1231" spans="1:34" s="89" customFormat="1" ht="13.9">
      <c r="A1231" s="269" t="str">
        <f t="shared" si="270"/>
        <v>n</v>
      </c>
      <c r="B1231" s="2060"/>
      <c r="D1231" s="801"/>
      <c r="E1231" s="1505">
        <v>13</v>
      </c>
      <c r="F1231" s="21" t="str">
        <f>F$141</f>
        <v>--</v>
      </c>
      <c r="G1231" s="1441">
        <f>G$141</f>
        <v>0</v>
      </c>
      <c r="H1231" s="1441"/>
      <c r="I1231" s="1441"/>
      <c r="J1231" s="1441"/>
      <c r="K1231" s="2314" t="str">
        <f t="shared" si="268"/>
        <v>--</v>
      </c>
      <c r="L1231" s="2314" t="str">
        <f t="shared" si="268"/>
        <v>--</v>
      </c>
      <c r="M1231" s="2314" t="str">
        <f t="shared" si="268"/>
        <v>--</v>
      </c>
      <c r="N1231" s="2314" t="str">
        <f t="shared" si="268"/>
        <v>--</v>
      </c>
      <c r="O1231" s="2315" t="str">
        <f t="shared" si="268"/>
        <v>--</v>
      </c>
      <c r="P1231" s="2314" t="str">
        <f t="shared" si="268"/>
        <v>--</v>
      </c>
      <c r="R1231" s="2310" t="str">
        <f>IFERROR(AVERAGE(K1231:$O1231),"")</f>
        <v/>
      </c>
      <c r="S1231" s="2310" t="str">
        <f>IFERROR(AVERAGE(M1231:$O1231),"")</f>
        <v/>
      </c>
      <c r="U1231" s="2314" t="str">
        <f t="shared" si="271"/>
        <v>--</v>
      </c>
      <c r="V1231" s="2314" t="str">
        <f t="shared" si="271"/>
        <v>--</v>
      </c>
      <c r="W1231" s="2314" t="str">
        <f t="shared" si="271"/>
        <v>--</v>
      </c>
      <c r="X1231" s="2314" t="str">
        <f t="shared" si="271"/>
        <v>--</v>
      </c>
      <c r="Y1231" s="2314" t="str">
        <f t="shared" si="271"/>
        <v>--</v>
      </c>
      <c r="AA1231" s="2060"/>
      <c r="AB1231" s="2060"/>
      <c r="AC1231" s="2060"/>
      <c r="AD1231" s="2060"/>
      <c r="AE1231" s="2060"/>
      <c r="AF1231" s="2060"/>
      <c r="AG1231" s="2060"/>
      <c r="AH1231" s="2060"/>
    </row>
    <row r="1232" spans="1:34" s="89" customFormat="1" ht="13.9">
      <c r="A1232" s="269" t="str">
        <f t="shared" si="270"/>
        <v>n</v>
      </c>
      <c r="B1232" s="2060"/>
      <c r="D1232" s="801"/>
      <c r="E1232" s="1505">
        <v>14</v>
      </c>
      <c r="F1232" s="21" t="str">
        <f>F$142</f>
        <v>--</v>
      </c>
      <c r="G1232" s="1441">
        <f>G$142</f>
        <v>0</v>
      </c>
      <c r="H1232" s="1441"/>
      <c r="I1232" s="1441"/>
      <c r="J1232" s="1441"/>
      <c r="K1232" s="2314" t="str">
        <f t="shared" ref="K1232:P1232" si="272">IFERROR(K641/K579,"--")</f>
        <v>--</v>
      </c>
      <c r="L1232" s="2314" t="str">
        <f t="shared" si="272"/>
        <v>--</v>
      </c>
      <c r="M1232" s="2314" t="str">
        <f t="shared" si="272"/>
        <v>--</v>
      </c>
      <c r="N1232" s="2314" t="str">
        <f t="shared" ref="N1232:N1243" si="273">IFERROR(N641/N579,"--")</f>
        <v>--</v>
      </c>
      <c r="O1232" s="2315" t="str">
        <f t="shared" si="272"/>
        <v>--</v>
      </c>
      <c r="P1232" s="2314" t="str">
        <f t="shared" si="272"/>
        <v>--</v>
      </c>
      <c r="R1232" s="2310" t="str">
        <f>IFERROR(AVERAGE(K1232:$O1232),"")</f>
        <v/>
      </c>
      <c r="S1232" s="2310" t="str">
        <f>IFERROR(AVERAGE(M1232:$O1232),"")</f>
        <v/>
      </c>
      <c r="U1232" s="2314" t="str">
        <f t="shared" si="271"/>
        <v>--</v>
      </c>
      <c r="V1232" s="2314" t="str">
        <f t="shared" si="271"/>
        <v>--</v>
      </c>
      <c r="W1232" s="2314" t="str">
        <f t="shared" si="271"/>
        <v>--</v>
      </c>
      <c r="X1232" s="2314" t="str">
        <f t="shared" si="271"/>
        <v>--</v>
      </c>
      <c r="Y1232" s="2314" t="str">
        <f t="shared" si="271"/>
        <v>--</v>
      </c>
      <c r="AA1232" s="2060"/>
      <c r="AB1232" s="2060"/>
      <c r="AC1232" s="2060"/>
      <c r="AD1232" s="2060"/>
      <c r="AE1232" s="2060"/>
      <c r="AF1232" s="2060"/>
      <c r="AG1232" s="2060"/>
      <c r="AH1232" s="2060"/>
    </row>
    <row r="1233" spans="1:34" s="89" customFormat="1" ht="13.9">
      <c r="A1233" s="269" t="str">
        <f t="shared" si="270"/>
        <v>n</v>
      </c>
      <c r="B1233" s="2060"/>
      <c r="D1233" s="801"/>
      <c r="E1233" s="1505">
        <v>15</v>
      </c>
      <c r="F1233" s="21" t="str">
        <f>F$143</f>
        <v>--</v>
      </c>
      <c r="G1233" s="1441">
        <f>G$143</f>
        <v>0</v>
      </c>
      <c r="H1233" s="1441"/>
      <c r="I1233" s="1441"/>
      <c r="J1233" s="1441"/>
      <c r="K1233" s="2314" t="str">
        <f t="shared" ref="K1233:P1233" si="274">IFERROR(K642/K580,"--")</f>
        <v>--</v>
      </c>
      <c r="L1233" s="2314" t="str">
        <f t="shared" si="274"/>
        <v>--</v>
      </c>
      <c r="M1233" s="2314" t="str">
        <f t="shared" si="274"/>
        <v>--</v>
      </c>
      <c r="N1233" s="2314" t="str">
        <f t="shared" si="273"/>
        <v>--</v>
      </c>
      <c r="O1233" s="2315" t="str">
        <f t="shared" si="274"/>
        <v>--</v>
      </c>
      <c r="P1233" s="2314" t="str">
        <f t="shared" si="274"/>
        <v>--</v>
      </c>
      <c r="R1233" s="2310" t="str">
        <f>IFERROR(AVERAGE(K1233:$O1233),"")</f>
        <v/>
      </c>
      <c r="S1233" s="2310" t="str">
        <f>IFERROR(AVERAGE(M1233:$O1233),"")</f>
        <v/>
      </c>
      <c r="U1233" s="2314" t="str">
        <f t="shared" si="271"/>
        <v>--</v>
      </c>
      <c r="V1233" s="2314" t="str">
        <f t="shared" si="271"/>
        <v>--</v>
      </c>
      <c r="W1233" s="2314" t="str">
        <f t="shared" si="271"/>
        <v>--</v>
      </c>
      <c r="X1233" s="2314" t="str">
        <f t="shared" si="271"/>
        <v>--</v>
      </c>
      <c r="Y1233" s="2314" t="str">
        <f t="shared" si="271"/>
        <v>--</v>
      </c>
      <c r="AA1233" s="2060"/>
      <c r="AB1233" s="2060"/>
      <c r="AC1233" s="2060"/>
      <c r="AD1233" s="2060"/>
      <c r="AE1233" s="2060"/>
      <c r="AF1233" s="2060"/>
      <c r="AG1233" s="2060"/>
      <c r="AH1233" s="2060"/>
    </row>
    <row r="1234" spans="1:34" s="89" customFormat="1" ht="13.9">
      <c r="A1234" s="269" t="str">
        <f t="shared" si="270"/>
        <v>n</v>
      </c>
      <c r="B1234" s="2060"/>
      <c r="D1234" s="801"/>
      <c r="E1234" s="1505">
        <v>16</v>
      </c>
      <c r="F1234" s="21" t="str">
        <f>F$144</f>
        <v>--</v>
      </c>
      <c r="G1234" s="1441">
        <f>G$144</f>
        <v>0</v>
      </c>
      <c r="H1234" s="1441"/>
      <c r="I1234" s="1441"/>
      <c r="J1234" s="1441"/>
      <c r="K1234" s="2314" t="str">
        <f t="shared" ref="K1234:P1234" si="275">IFERROR(K643/K581,"--")</f>
        <v>--</v>
      </c>
      <c r="L1234" s="2314" t="str">
        <f t="shared" si="275"/>
        <v>--</v>
      </c>
      <c r="M1234" s="2314" t="str">
        <f t="shared" si="275"/>
        <v>--</v>
      </c>
      <c r="N1234" s="2314" t="str">
        <f t="shared" si="273"/>
        <v>--</v>
      </c>
      <c r="O1234" s="2315" t="str">
        <f t="shared" si="275"/>
        <v>--</v>
      </c>
      <c r="P1234" s="2314" t="str">
        <f t="shared" si="275"/>
        <v>--</v>
      </c>
      <c r="R1234" s="2310" t="str">
        <f>IFERROR(AVERAGE(K1234:$O1234),"")</f>
        <v/>
      </c>
      <c r="S1234" s="2310" t="str">
        <f>IFERROR(AVERAGE(M1234:$O1234),"")</f>
        <v/>
      </c>
      <c r="U1234" s="2314" t="str">
        <f t="shared" si="271"/>
        <v>--</v>
      </c>
      <c r="V1234" s="2314" t="str">
        <f t="shared" si="271"/>
        <v>--</v>
      </c>
      <c r="W1234" s="2314" t="str">
        <f t="shared" si="271"/>
        <v>--</v>
      </c>
      <c r="X1234" s="2314" t="str">
        <f t="shared" si="271"/>
        <v>--</v>
      </c>
      <c r="Y1234" s="2314" t="str">
        <f t="shared" si="271"/>
        <v>--</v>
      </c>
      <c r="AA1234" s="2060"/>
      <c r="AB1234" s="2060"/>
      <c r="AC1234" s="2060"/>
      <c r="AD1234" s="2060"/>
      <c r="AE1234" s="2060"/>
      <c r="AF1234" s="2060"/>
      <c r="AG1234" s="2060"/>
      <c r="AH1234" s="2060"/>
    </row>
    <row r="1235" spans="1:34" s="89" customFormat="1" ht="13.9">
      <c r="A1235" s="269" t="str">
        <f t="shared" si="270"/>
        <v>n</v>
      </c>
      <c r="B1235" s="2060"/>
      <c r="D1235" s="801"/>
      <c r="E1235" s="1505">
        <v>17</v>
      </c>
      <c r="F1235" s="21" t="str">
        <f>F$145</f>
        <v>--</v>
      </c>
      <c r="G1235" s="1441">
        <f>G$145</f>
        <v>0</v>
      </c>
      <c r="H1235" s="1441"/>
      <c r="I1235" s="1441"/>
      <c r="J1235" s="1441"/>
      <c r="K1235" s="2314" t="str">
        <f t="shared" ref="K1235:P1235" si="276">IFERROR(K644/K582,"--")</f>
        <v>--</v>
      </c>
      <c r="L1235" s="2314" t="str">
        <f t="shared" si="276"/>
        <v>--</v>
      </c>
      <c r="M1235" s="2314" t="str">
        <f t="shared" si="276"/>
        <v>--</v>
      </c>
      <c r="N1235" s="2314" t="str">
        <f t="shared" si="273"/>
        <v>--</v>
      </c>
      <c r="O1235" s="2315" t="str">
        <f t="shared" si="276"/>
        <v>--</v>
      </c>
      <c r="P1235" s="2314" t="str">
        <f t="shared" si="276"/>
        <v>--</v>
      </c>
      <c r="R1235" s="2310" t="str">
        <f>IFERROR(AVERAGE(K1235:$O1235),"")</f>
        <v/>
      </c>
      <c r="S1235" s="2310" t="str">
        <f>IFERROR(AVERAGE(M1235:$O1235),"")</f>
        <v/>
      </c>
      <c r="U1235" s="2314" t="str">
        <f t="shared" si="271"/>
        <v>--</v>
      </c>
      <c r="V1235" s="2314" t="str">
        <f t="shared" si="271"/>
        <v>--</v>
      </c>
      <c r="W1235" s="2314" t="str">
        <f t="shared" si="271"/>
        <v>--</v>
      </c>
      <c r="X1235" s="2314" t="str">
        <f t="shared" si="271"/>
        <v>--</v>
      </c>
      <c r="Y1235" s="2314" t="str">
        <f t="shared" si="271"/>
        <v>--</v>
      </c>
      <c r="AA1235" s="2060"/>
      <c r="AB1235" s="2060"/>
      <c r="AC1235" s="2060"/>
      <c r="AD1235" s="2060"/>
      <c r="AE1235" s="2060"/>
      <c r="AF1235" s="2060"/>
      <c r="AG1235" s="2060"/>
      <c r="AH1235" s="2060"/>
    </row>
    <row r="1236" spans="1:34" s="89" customFormat="1" ht="13.9">
      <c r="A1236" s="269" t="str">
        <f t="shared" si="270"/>
        <v>n</v>
      </c>
      <c r="B1236" s="2060"/>
      <c r="D1236" s="801"/>
      <c r="E1236" s="1505">
        <v>18</v>
      </c>
      <c r="F1236" s="21" t="str">
        <f>F$146</f>
        <v>--</v>
      </c>
      <c r="G1236" s="1441">
        <f>G$146</f>
        <v>0</v>
      </c>
      <c r="H1236" s="1441"/>
      <c r="I1236" s="1441"/>
      <c r="J1236" s="1441"/>
      <c r="K1236" s="2314" t="str">
        <f t="shared" ref="K1236:P1236" si="277">IFERROR(K645/K583,"--")</f>
        <v>--</v>
      </c>
      <c r="L1236" s="2314" t="str">
        <f t="shared" si="277"/>
        <v>--</v>
      </c>
      <c r="M1236" s="2314" t="str">
        <f t="shared" si="277"/>
        <v>--</v>
      </c>
      <c r="N1236" s="2314" t="str">
        <f t="shared" si="273"/>
        <v>--</v>
      </c>
      <c r="O1236" s="2315" t="str">
        <f t="shared" si="277"/>
        <v>--</v>
      </c>
      <c r="P1236" s="2314" t="str">
        <f t="shared" si="277"/>
        <v>--</v>
      </c>
      <c r="R1236" s="2310" t="str">
        <f>IFERROR(AVERAGE(K1236:$O1236),"")</f>
        <v/>
      </c>
      <c r="S1236" s="2310" t="str">
        <f>IFERROR(AVERAGE(M1236:$O1236),"")</f>
        <v/>
      </c>
      <c r="U1236" s="2314" t="str">
        <f t="shared" si="271"/>
        <v>--</v>
      </c>
      <c r="V1236" s="2314" t="str">
        <f t="shared" si="271"/>
        <v>--</v>
      </c>
      <c r="W1236" s="2314" t="str">
        <f t="shared" si="271"/>
        <v>--</v>
      </c>
      <c r="X1236" s="2314" t="str">
        <f t="shared" si="271"/>
        <v>--</v>
      </c>
      <c r="Y1236" s="2314" t="str">
        <f t="shared" si="271"/>
        <v>--</v>
      </c>
      <c r="AA1236" s="2060"/>
      <c r="AB1236" s="2060"/>
      <c r="AC1236" s="2060"/>
      <c r="AD1236" s="2060"/>
      <c r="AE1236" s="2060"/>
      <c r="AF1236" s="2060"/>
      <c r="AG1236" s="2060"/>
      <c r="AH1236" s="2060"/>
    </row>
    <row r="1237" spans="1:34" s="89" customFormat="1" ht="13.9">
      <c r="A1237" s="269" t="str">
        <f t="shared" si="270"/>
        <v>n</v>
      </c>
      <c r="B1237" s="2060"/>
      <c r="D1237" s="801"/>
      <c r="E1237" s="1505">
        <v>19</v>
      </c>
      <c r="F1237" s="21" t="str">
        <f>F$147</f>
        <v>--</v>
      </c>
      <c r="G1237" s="1441">
        <f>G$147</f>
        <v>0</v>
      </c>
      <c r="H1237" s="1441"/>
      <c r="I1237" s="1441"/>
      <c r="J1237" s="1441"/>
      <c r="K1237" s="2314" t="str">
        <f t="shared" ref="K1237:P1237" si="278">IFERROR(K646/K584,"--")</f>
        <v>--</v>
      </c>
      <c r="L1237" s="2314" t="str">
        <f t="shared" si="278"/>
        <v>--</v>
      </c>
      <c r="M1237" s="2314" t="str">
        <f t="shared" si="278"/>
        <v>--</v>
      </c>
      <c r="N1237" s="2314" t="str">
        <f t="shared" si="273"/>
        <v>--</v>
      </c>
      <c r="O1237" s="2315" t="str">
        <f t="shared" si="278"/>
        <v>--</v>
      </c>
      <c r="P1237" s="2314" t="str">
        <f t="shared" si="278"/>
        <v>--</v>
      </c>
      <c r="R1237" s="2310" t="str">
        <f>IFERROR(AVERAGE(K1237:$O1237),"")</f>
        <v/>
      </c>
      <c r="S1237" s="2310" t="str">
        <f>IFERROR(AVERAGE(M1237:$O1237),"")</f>
        <v/>
      </c>
      <c r="U1237" s="2314" t="str">
        <f t="shared" si="271"/>
        <v>--</v>
      </c>
      <c r="V1237" s="2314" t="str">
        <f t="shared" si="271"/>
        <v>--</v>
      </c>
      <c r="W1237" s="2314" t="str">
        <f t="shared" si="271"/>
        <v>--</v>
      </c>
      <c r="X1237" s="2314" t="str">
        <f t="shared" si="271"/>
        <v>--</v>
      </c>
      <c r="Y1237" s="2314" t="str">
        <f t="shared" si="271"/>
        <v>--</v>
      </c>
      <c r="AA1237" s="2060"/>
      <c r="AB1237" s="2060"/>
      <c r="AC1237" s="2060"/>
      <c r="AD1237" s="2060"/>
      <c r="AE1237" s="2060"/>
      <c r="AF1237" s="2060"/>
      <c r="AG1237" s="2060"/>
      <c r="AH1237" s="2060"/>
    </row>
    <row r="1238" spans="1:34" s="89" customFormat="1" ht="13.9">
      <c r="A1238" s="269" t="str">
        <f t="shared" si="270"/>
        <v>n</v>
      </c>
      <c r="B1238" s="2060"/>
      <c r="D1238" s="801"/>
      <c r="E1238" s="1505">
        <v>20</v>
      </c>
      <c r="F1238" s="21" t="str">
        <f>F$148</f>
        <v>--</v>
      </c>
      <c r="G1238" s="1441">
        <f>G$148</f>
        <v>0</v>
      </c>
      <c r="H1238" s="1441"/>
      <c r="I1238" s="1441"/>
      <c r="J1238" s="1441"/>
      <c r="K1238" s="2314" t="str">
        <f t="shared" ref="K1238:P1238" si="279">IFERROR(K647/K585,"--")</f>
        <v>--</v>
      </c>
      <c r="L1238" s="2314" t="str">
        <f t="shared" si="279"/>
        <v>--</v>
      </c>
      <c r="M1238" s="2314" t="str">
        <f t="shared" si="279"/>
        <v>--</v>
      </c>
      <c r="N1238" s="2314" t="str">
        <f t="shared" si="273"/>
        <v>--</v>
      </c>
      <c r="O1238" s="2315" t="str">
        <f t="shared" si="279"/>
        <v>--</v>
      </c>
      <c r="P1238" s="2314" t="str">
        <f t="shared" si="279"/>
        <v>--</v>
      </c>
      <c r="R1238" s="2310" t="str">
        <f>IFERROR(AVERAGE(K1238:$O1238),"")</f>
        <v/>
      </c>
      <c r="S1238" s="2310" t="str">
        <f>IFERROR(AVERAGE(M1238:$O1238),"")</f>
        <v/>
      </c>
      <c r="U1238" s="2314" t="str">
        <f t="shared" ref="U1238:Y1243" si="280">IFERROR(U647/U585,"--")</f>
        <v>--</v>
      </c>
      <c r="V1238" s="2314" t="str">
        <f t="shared" si="280"/>
        <v>--</v>
      </c>
      <c r="W1238" s="2314" t="str">
        <f t="shared" si="280"/>
        <v>--</v>
      </c>
      <c r="X1238" s="2314" t="str">
        <f t="shared" si="280"/>
        <v>--</v>
      </c>
      <c r="Y1238" s="2314" t="str">
        <f t="shared" si="280"/>
        <v>--</v>
      </c>
      <c r="AA1238" s="2060"/>
      <c r="AB1238" s="2060"/>
      <c r="AC1238" s="2060"/>
      <c r="AD1238" s="2060"/>
      <c r="AE1238" s="2060"/>
      <c r="AF1238" s="2060"/>
      <c r="AG1238" s="2060"/>
      <c r="AH1238" s="2060"/>
    </row>
    <row r="1239" spans="1:34" s="89" customFormat="1" ht="13.9">
      <c r="A1239" s="269" t="str">
        <f t="shared" si="270"/>
        <v>n</v>
      </c>
      <c r="B1239" s="2060"/>
      <c r="D1239" s="801"/>
      <c r="E1239" s="1505">
        <v>21</v>
      </c>
      <c r="F1239" s="21" t="str">
        <f>F$149</f>
        <v>--</v>
      </c>
      <c r="G1239" s="1441">
        <f>G$149</f>
        <v>0</v>
      </c>
      <c r="H1239" s="1441"/>
      <c r="I1239" s="1441"/>
      <c r="J1239" s="1441"/>
      <c r="K1239" s="2314" t="str">
        <f t="shared" ref="K1239:P1239" si="281">IFERROR(K648/K586,"--")</f>
        <v>--</v>
      </c>
      <c r="L1239" s="2314" t="str">
        <f t="shared" si="281"/>
        <v>--</v>
      </c>
      <c r="M1239" s="2314" t="str">
        <f t="shared" si="281"/>
        <v>--</v>
      </c>
      <c r="N1239" s="2314" t="str">
        <f t="shared" si="273"/>
        <v>--</v>
      </c>
      <c r="O1239" s="2315" t="str">
        <f t="shared" si="281"/>
        <v>--</v>
      </c>
      <c r="P1239" s="2314" t="str">
        <f t="shared" si="281"/>
        <v>--</v>
      </c>
      <c r="R1239" s="2310" t="str">
        <f>IFERROR(AVERAGE(K1239:$O1239),"")</f>
        <v/>
      </c>
      <c r="S1239" s="2310" t="str">
        <f>IFERROR(AVERAGE(M1239:$O1239),"")</f>
        <v/>
      </c>
      <c r="U1239" s="2314" t="str">
        <f t="shared" si="280"/>
        <v>--</v>
      </c>
      <c r="V1239" s="2314" t="str">
        <f t="shared" si="280"/>
        <v>--</v>
      </c>
      <c r="W1239" s="2314" t="str">
        <f t="shared" si="280"/>
        <v>--</v>
      </c>
      <c r="X1239" s="2314" t="str">
        <f t="shared" si="280"/>
        <v>--</v>
      </c>
      <c r="Y1239" s="2314" t="str">
        <f t="shared" si="280"/>
        <v>--</v>
      </c>
      <c r="AA1239" s="2060"/>
      <c r="AB1239" s="2060"/>
      <c r="AC1239" s="2060"/>
      <c r="AD1239" s="2060"/>
      <c r="AE1239" s="2060"/>
      <c r="AF1239" s="2060"/>
      <c r="AG1239" s="2060"/>
      <c r="AH1239" s="2060"/>
    </row>
    <row r="1240" spans="1:34" s="89" customFormat="1" ht="13.9">
      <c r="A1240" s="269" t="str">
        <f t="shared" si="270"/>
        <v>n</v>
      </c>
      <c r="B1240" s="2060"/>
      <c r="D1240" s="801"/>
      <c r="E1240" s="1505">
        <v>22</v>
      </c>
      <c r="F1240" s="21" t="str">
        <f>F$150</f>
        <v>--</v>
      </c>
      <c r="G1240" s="1441">
        <f>G$150</f>
        <v>0</v>
      </c>
      <c r="H1240" s="1441"/>
      <c r="I1240" s="1441"/>
      <c r="J1240" s="1441"/>
      <c r="K1240" s="2314" t="str">
        <f t="shared" ref="K1240:P1240" si="282">IFERROR(K649/K587,"--")</f>
        <v>--</v>
      </c>
      <c r="L1240" s="2314" t="str">
        <f t="shared" si="282"/>
        <v>--</v>
      </c>
      <c r="M1240" s="2314" t="str">
        <f t="shared" si="282"/>
        <v>--</v>
      </c>
      <c r="N1240" s="2314" t="str">
        <f t="shared" si="273"/>
        <v>--</v>
      </c>
      <c r="O1240" s="2315" t="str">
        <f t="shared" si="282"/>
        <v>--</v>
      </c>
      <c r="P1240" s="2314" t="str">
        <f t="shared" si="282"/>
        <v>--</v>
      </c>
      <c r="R1240" s="2310" t="str">
        <f>IFERROR(AVERAGE(K1240:$O1240),"")</f>
        <v/>
      </c>
      <c r="S1240" s="2310" t="str">
        <f>IFERROR(AVERAGE(M1240:$O1240),"")</f>
        <v/>
      </c>
      <c r="U1240" s="2314" t="str">
        <f t="shared" si="280"/>
        <v>--</v>
      </c>
      <c r="V1240" s="2314" t="str">
        <f t="shared" si="280"/>
        <v>--</v>
      </c>
      <c r="W1240" s="2314" t="str">
        <f t="shared" si="280"/>
        <v>--</v>
      </c>
      <c r="X1240" s="2314" t="str">
        <f t="shared" si="280"/>
        <v>--</v>
      </c>
      <c r="Y1240" s="2314" t="str">
        <f t="shared" si="280"/>
        <v>--</v>
      </c>
      <c r="AA1240" s="2060"/>
      <c r="AB1240" s="2060"/>
      <c r="AC1240" s="2060"/>
      <c r="AD1240" s="2060"/>
      <c r="AE1240" s="2060"/>
      <c r="AF1240" s="2060"/>
      <c r="AG1240" s="2060"/>
      <c r="AH1240" s="2060"/>
    </row>
    <row r="1241" spans="1:34" s="89" customFormat="1" ht="13.9">
      <c r="A1241" s="269" t="str">
        <f t="shared" si="270"/>
        <v>n</v>
      </c>
      <c r="B1241" s="2060"/>
      <c r="D1241" s="801"/>
      <c r="E1241" s="1505">
        <v>23</v>
      </c>
      <c r="F1241" s="21" t="str">
        <f>F$151</f>
        <v>--</v>
      </c>
      <c r="G1241" s="1441">
        <f>G$151</f>
        <v>0</v>
      </c>
      <c r="H1241" s="1441"/>
      <c r="I1241" s="1441"/>
      <c r="J1241" s="1441"/>
      <c r="K1241" s="2314" t="str">
        <f t="shared" ref="K1241:P1241" si="283">IFERROR(K650/K588,"--")</f>
        <v>--</v>
      </c>
      <c r="L1241" s="2314" t="str">
        <f t="shared" si="283"/>
        <v>--</v>
      </c>
      <c r="M1241" s="2314" t="str">
        <f t="shared" si="283"/>
        <v>--</v>
      </c>
      <c r="N1241" s="2314" t="str">
        <f t="shared" si="273"/>
        <v>--</v>
      </c>
      <c r="O1241" s="2315" t="str">
        <f t="shared" si="283"/>
        <v>--</v>
      </c>
      <c r="P1241" s="2314" t="str">
        <f t="shared" si="283"/>
        <v>--</v>
      </c>
      <c r="R1241" s="2310" t="str">
        <f>IFERROR(AVERAGE(K1241:$O1241),"")</f>
        <v/>
      </c>
      <c r="S1241" s="2310" t="str">
        <f>IFERROR(AVERAGE(M1241:$O1241),"")</f>
        <v/>
      </c>
      <c r="U1241" s="2314" t="str">
        <f t="shared" si="280"/>
        <v>--</v>
      </c>
      <c r="V1241" s="2314" t="str">
        <f t="shared" si="280"/>
        <v>--</v>
      </c>
      <c r="W1241" s="2314" t="str">
        <f t="shared" si="280"/>
        <v>--</v>
      </c>
      <c r="X1241" s="2314" t="str">
        <f t="shared" si="280"/>
        <v>--</v>
      </c>
      <c r="Y1241" s="2314" t="str">
        <f t="shared" si="280"/>
        <v>--</v>
      </c>
      <c r="AA1241" s="2060"/>
      <c r="AB1241" s="2060"/>
      <c r="AC1241" s="2060"/>
      <c r="AD1241" s="2060"/>
      <c r="AE1241" s="2060"/>
      <c r="AF1241" s="2060"/>
      <c r="AG1241" s="2060"/>
      <c r="AH1241" s="2060"/>
    </row>
    <row r="1242" spans="1:34" s="89" customFormat="1" ht="13.9">
      <c r="A1242" s="269" t="str">
        <f t="shared" si="270"/>
        <v>n</v>
      </c>
      <c r="B1242" s="2060"/>
      <c r="D1242" s="801"/>
      <c r="E1242" s="1505">
        <v>24</v>
      </c>
      <c r="F1242" s="21" t="str">
        <f>F$152</f>
        <v>--</v>
      </c>
      <c r="G1242" s="1441">
        <f>G$152</f>
        <v>0</v>
      </c>
      <c r="H1242" s="1441"/>
      <c r="I1242" s="1441"/>
      <c r="J1242" s="1441"/>
      <c r="K1242" s="2314" t="str">
        <f t="shared" ref="K1242:P1242" si="284">IFERROR(K651/K589,"--")</f>
        <v>--</v>
      </c>
      <c r="L1242" s="2314" t="str">
        <f t="shared" si="284"/>
        <v>--</v>
      </c>
      <c r="M1242" s="2314" t="str">
        <f t="shared" si="284"/>
        <v>--</v>
      </c>
      <c r="N1242" s="2314" t="str">
        <f t="shared" si="273"/>
        <v>--</v>
      </c>
      <c r="O1242" s="2315" t="str">
        <f t="shared" si="284"/>
        <v>--</v>
      </c>
      <c r="P1242" s="2314" t="str">
        <f t="shared" si="284"/>
        <v>--</v>
      </c>
      <c r="R1242" s="2310" t="str">
        <f>IFERROR(AVERAGE(K1242:$O1242),"")</f>
        <v/>
      </c>
      <c r="S1242" s="2310" t="str">
        <f>IFERROR(AVERAGE(M1242:$O1242),"")</f>
        <v/>
      </c>
      <c r="U1242" s="2314" t="str">
        <f t="shared" si="280"/>
        <v>--</v>
      </c>
      <c r="V1242" s="2314" t="str">
        <f t="shared" si="280"/>
        <v>--</v>
      </c>
      <c r="W1242" s="2314" t="str">
        <f t="shared" si="280"/>
        <v>--</v>
      </c>
      <c r="X1242" s="2314" t="str">
        <f t="shared" si="280"/>
        <v>--</v>
      </c>
      <c r="Y1242" s="2314" t="str">
        <f t="shared" si="280"/>
        <v>--</v>
      </c>
      <c r="AA1242" s="2060"/>
      <c r="AB1242" s="2060"/>
      <c r="AC1242" s="2060"/>
      <c r="AD1242" s="2060"/>
      <c r="AE1242" s="2060"/>
      <c r="AF1242" s="2060"/>
      <c r="AG1242" s="2060"/>
      <c r="AH1242" s="2060"/>
    </row>
    <row r="1243" spans="1:34" s="89" customFormat="1" ht="13.9">
      <c r="A1243" s="269" t="str">
        <f t="shared" si="270"/>
        <v>n</v>
      </c>
      <c r="B1243" s="2060"/>
      <c r="D1243" s="801"/>
      <c r="E1243" s="1505">
        <v>25</v>
      </c>
      <c r="F1243" s="21" t="str">
        <f>F$153</f>
        <v>--</v>
      </c>
      <c r="G1243" s="1441">
        <f>G$153</f>
        <v>0</v>
      </c>
      <c r="H1243" s="1441"/>
      <c r="I1243" s="1441"/>
      <c r="J1243" s="1441"/>
      <c r="K1243" s="2314" t="str">
        <f t="shared" ref="K1243:P1243" si="285">IFERROR(K652/K590,"--")</f>
        <v>--</v>
      </c>
      <c r="L1243" s="2314" t="str">
        <f t="shared" si="285"/>
        <v>--</v>
      </c>
      <c r="M1243" s="2314" t="str">
        <f t="shared" si="285"/>
        <v>--</v>
      </c>
      <c r="N1243" s="2314" t="str">
        <f t="shared" si="273"/>
        <v>--</v>
      </c>
      <c r="O1243" s="2315" t="str">
        <f t="shared" si="285"/>
        <v>--</v>
      </c>
      <c r="P1243" s="2314" t="str">
        <f t="shared" si="285"/>
        <v>--</v>
      </c>
      <c r="R1243" s="2310" t="str">
        <f>IFERROR(AVERAGE(K1243:$O1243),"")</f>
        <v/>
      </c>
      <c r="S1243" s="2310" t="str">
        <f>IFERROR(AVERAGE(M1243:$O1243),"")</f>
        <v/>
      </c>
      <c r="U1243" s="2314" t="str">
        <f t="shared" si="280"/>
        <v>--</v>
      </c>
      <c r="V1243" s="2314" t="str">
        <f t="shared" si="280"/>
        <v>--</v>
      </c>
      <c r="W1243" s="2314" t="str">
        <f t="shared" si="280"/>
        <v>--</v>
      </c>
      <c r="X1243" s="2314" t="str">
        <f t="shared" si="280"/>
        <v>--</v>
      </c>
      <c r="Y1243" s="2314" t="str">
        <f t="shared" si="280"/>
        <v>--</v>
      </c>
      <c r="AA1243" s="2060"/>
      <c r="AB1243" s="2060"/>
      <c r="AC1243" s="2060"/>
      <c r="AD1243" s="2060"/>
      <c r="AE1243" s="2060"/>
      <c r="AF1243" s="2060"/>
      <c r="AG1243" s="2060"/>
      <c r="AH1243" s="2060"/>
    </row>
    <row r="1244" spans="1:34" s="89" customFormat="1" ht="13.9">
      <c r="A1244" s="2060"/>
      <c r="B1244" s="2060"/>
      <c r="D1244" s="801"/>
      <c r="F1244" s="57" t="s">
        <v>767</v>
      </c>
      <c r="G1244" s="1442"/>
      <c r="H1244" s="1442"/>
      <c r="I1244" s="1442"/>
      <c r="J1244" s="1442"/>
      <c r="K1244" s="277" t="str">
        <f t="shared" ref="K1244:P1244" si="286">IFERROR(MEDIAN(K1219:K1243),"--")</f>
        <v>--</v>
      </c>
      <c r="L1244" s="277" t="str">
        <f t="shared" si="286"/>
        <v>--</v>
      </c>
      <c r="M1244" s="277" t="str">
        <f t="shared" si="286"/>
        <v>--</v>
      </c>
      <c r="N1244" s="277" t="str">
        <f>IFERROR(MEDIAN(N1219:N1243),"--")</f>
        <v>--</v>
      </c>
      <c r="O1244" s="278" t="str">
        <f t="shared" si="286"/>
        <v>--</v>
      </c>
      <c r="P1244" s="277" t="str">
        <f t="shared" si="286"/>
        <v>--</v>
      </c>
      <c r="R1244" s="504" t="str">
        <f>IFERROR(MEDIAN(R1219:R1243),"--")</f>
        <v>--</v>
      </c>
      <c r="S1244" s="504" t="str">
        <f>IFERROR(MEDIAN(S1219:S1243),"--")</f>
        <v>--</v>
      </c>
      <c r="U1244" s="504" t="str">
        <f>IFERROR(MEDIAN(U1219:U1243),"--")</f>
        <v>--</v>
      </c>
      <c r="V1244" s="504" t="str">
        <f>IFERROR(MEDIAN(V1219:V1243),"--")</f>
        <v>--</v>
      </c>
      <c r="W1244" s="504" t="str">
        <f>IFERROR(MEDIAN(W1219:W1243),"--")</f>
        <v>--</v>
      </c>
      <c r="X1244" s="504" t="str">
        <f>IFERROR(MEDIAN(X1219:X1243),"--")</f>
        <v>--</v>
      </c>
      <c r="Y1244" s="504" t="str">
        <f>IFERROR(MEDIAN(Y1219:Y1243),"--")</f>
        <v>--</v>
      </c>
      <c r="AA1244" s="2060"/>
      <c r="AB1244" s="2060"/>
      <c r="AC1244" s="2060"/>
      <c r="AD1244" s="2060"/>
      <c r="AE1244" s="2060"/>
      <c r="AF1244" s="2060"/>
      <c r="AG1244" s="2060"/>
      <c r="AH1244" s="2060"/>
    </row>
    <row r="1245" spans="1:34" s="89" customFormat="1" ht="13.9">
      <c r="A1245" s="2060"/>
      <c r="B1245" s="2060"/>
      <c r="D1245" s="1436"/>
      <c r="E1245" s="56"/>
      <c r="F1245" s="21"/>
      <c r="O1245" s="75"/>
      <c r="P1245" s="76"/>
      <c r="AA1245" s="2060"/>
      <c r="AB1245" s="2060"/>
      <c r="AC1245" s="2060"/>
      <c r="AD1245" s="2060"/>
      <c r="AE1245" s="2060"/>
      <c r="AF1245" s="2060"/>
      <c r="AG1245" s="2060"/>
      <c r="AH1245" s="2060"/>
    </row>
    <row r="1246" spans="1:34" s="89" customFormat="1" ht="13.9">
      <c r="A1246" s="2060"/>
      <c r="B1246" s="2060"/>
      <c r="D1246" s="1436"/>
      <c r="E1246" s="56"/>
      <c r="F1246" s="21"/>
      <c r="O1246" s="75"/>
      <c r="P1246" s="76"/>
      <c r="AA1246" s="2060"/>
      <c r="AB1246" s="2060"/>
      <c r="AC1246" s="2060"/>
      <c r="AD1246" s="2060"/>
      <c r="AE1246" s="2060"/>
      <c r="AF1246" s="2060"/>
      <c r="AG1246" s="2060"/>
      <c r="AH1246" s="2060"/>
    </row>
    <row r="1247" spans="1:34" s="89" customFormat="1" ht="13.9">
      <c r="A1247" s="2060"/>
      <c r="B1247" s="2060"/>
      <c r="D1247" s="802"/>
      <c r="E1247" s="21"/>
      <c r="F1247" s="756"/>
      <c r="G1247" s="724"/>
      <c r="H1247" s="724"/>
      <c r="I1247" s="724"/>
      <c r="J1247" s="724"/>
      <c r="K1247" s="724"/>
      <c r="L1247" s="724"/>
      <c r="M1247" s="724"/>
      <c r="N1247" s="724"/>
      <c r="O1247" s="757"/>
      <c r="P1247" s="724"/>
      <c r="Q1247" s="724"/>
      <c r="R1247" s="725" t="s">
        <v>788</v>
      </c>
      <c r="S1247" s="725" t="s">
        <v>788</v>
      </c>
      <c r="T1247" s="724"/>
      <c r="U1247" s="724"/>
      <c r="V1247" s="724"/>
      <c r="W1247" s="724"/>
      <c r="X1247" s="724"/>
      <c r="Y1247" s="724"/>
      <c r="AA1247" s="2060"/>
      <c r="AB1247" s="2060"/>
      <c r="AC1247" s="2060"/>
      <c r="AD1247" s="2060"/>
      <c r="AE1247" s="2060"/>
      <c r="AF1247" s="2060"/>
      <c r="AG1247" s="2060"/>
      <c r="AH1247" s="2060"/>
    </row>
    <row r="1248" spans="1:34" s="89" customFormat="1" ht="13.9">
      <c r="A1248" s="2060"/>
      <c r="B1248" s="2060"/>
      <c r="D1248" s="778">
        <f ca="1">MAX(OFFSET(D1248,-1,0,-ROW(D1248)+1,-2),1)+0.01</f>
        <v>7.0499999999999989</v>
      </c>
      <c r="E1248" s="125"/>
      <c r="F1248" s="952" t="s">
        <v>240</v>
      </c>
      <c r="G1248" s="724" t="s">
        <v>795</v>
      </c>
      <c r="H1248" s="724"/>
      <c r="I1248" s="724"/>
      <c r="J1248" s="724"/>
      <c r="K1248" s="758" t="str">
        <f>K1217</f>
        <v>LFY-4</v>
      </c>
      <c r="L1248" s="758" t="str">
        <f>L1217</f>
        <v>LFY-3</v>
      </c>
      <c r="M1248" s="758" t="str">
        <f>M1217</f>
        <v>LFY-2</v>
      </c>
      <c r="N1248" s="758" t="str">
        <f>N1217</f>
        <v>LFY-1</v>
      </c>
      <c r="O1248" s="759" t="s">
        <v>704</v>
      </c>
      <c r="P1248" s="725" t="s">
        <v>705</v>
      </c>
      <c r="Q1248" s="724"/>
      <c r="R1248" s="731" t="s">
        <v>789</v>
      </c>
      <c r="S1248" s="731" t="s">
        <v>791</v>
      </c>
      <c r="T1248" s="724"/>
      <c r="U1248" s="725" t="s">
        <v>707</v>
      </c>
      <c r="V1248" s="725" t="s">
        <v>708</v>
      </c>
      <c r="W1248" s="725" t="s">
        <v>709</v>
      </c>
      <c r="X1248" s="725" t="s">
        <v>710</v>
      </c>
      <c r="Y1248" s="725" t="s">
        <v>711</v>
      </c>
      <c r="AA1248" s="2060"/>
      <c r="AB1248" s="2060"/>
      <c r="AC1248" s="2060"/>
      <c r="AD1248" s="2060"/>
      <c r="AE1248" s="2060"/>
      <c r="AF1248" s="2060"/>
      <c r="AG1248" s="2060"/>
      <c r="AH1248" s="2060"/>
    </row>
    <row r="1249" spans="1:34" s="89" customFormat="1" ht="13.9">
      <c r="A1249" s="2060"/>
      <c r="B1249" s="2060"/>
      <c r="D1249" s="778"/>
      <c r="E1249" s="1505">
        <v>0</v>
      </c>
      <c r="F1249" s="1448" t="str">
        <f>F$128</f>
        <v/>
      </c>
      <c r="G1249" s="1449">
        <f>G$128</f>
        <v>0</v>
      </c>
      <c r="H1249" s="1449"/>
      <c r="I1249" s="258"/>
      <c r="J1249" s="258"/>
      <c r="K1249" s="2322" t="str">
        <f t="shared" ref="K1249:P1261" si="287">IFERROR(K658/K565,"--")</f>
        <v>--</v>
      </c>
      <c r="L1249" s="2322" t="str">
        <f t="shared" si="287"/>
        <v>--</v>
      </c>
      <c r="M1249" s="2322" t="str">
        <f t="shared" si="287"/>
        <v>--</v>
      </c>
      <c r="N1249" s="2322" t="str">
        <f t="shared" si="287"/>
        <v>--</v>
      </c>
      <c r="O1249" s="2324" t="str">
        <f t="shared" si="287"/>
        <v>--</v>
      </c>
      <c r="P1249" s="2322" t="str">
        <f t="shared" si="287"/>
        <v>--</v>
      </c>
      <c r="R1249" s="2322" t="str">
        <f>IFERROR(AVERAGE(K1249:$O1249),"")</f>
        <v/>
      </c>
      <c r="S1249" s="2322" t="str">
        <f>IFERROR(AVERAGE(M1249:$O1249),"")</f>
        <v/>
      </c>
      <c r="U1249" s="2322" t="str">
        <f t="shared" ref="U1249:Y1258" ca="1" si="288">IFERROR(U658/U565,"--")</f>
        <v>--</v>
      </c>
      <c r="V1249" s="2322" t="str">
        <f t="shared" ca="1" si="288"/>
        <v>--</v>
      </c>
      <c r="W1249" s="2322" t="str">
        <f t="shared" ca="1" si="288"/>
        <v>--</v>
      </c>
      <c r="X1249" s="2322" t="str">
        <f t="shared" ca="1" si="288"/>
        <v>--</v>
      </c>
      <c r="Y1249" s="2322" t="str">
        <f t="shared" ca="1" si="288"/>
        <v>--</v>
      </c>
      <c r="AA1249" s="2060"/>
      <c r="AB1249" s="2060"/>
      <c r="AC1249" s="2060"/>
      <c r="AD1249" s="2060"/>
      <c r="AE1249" s="2060"/>
      <c r="AF1249" s="2060"/>
      <c r="AG1249" s="2060"/>
      <c r="AH1249" s="2060"/>
    </row>
    <row r="1250" spans="1:34" s="89" customFormat="1" ht="13.9">
      <c r="A1250" s="269" t="str">
        <f>IF(F1250="--","n","")</f>
        <v>n</v>
      </c>
      <c r="B1250" s="2060"/>
      <c r="C1250" s="72"/>
      <c r="D1250" s="801"/>
      <c r="E1250" s="1505">
        <v>1</v>
      </c>
      <c r="F1250" s="21" t="str">
        <f>F$129</f>
        <v>--</v>
      </c>
      <c r="G1250" s="1441">
        <f>G$129</f>
        <v>0</v>
      </c>
      <c r="H1250" s="1441"/>
      <c r="I1250" s="1441"/>
      <c r="J1250" s="1441"/>
      <c r="K1250" s="2314" t="str">
        <f t="shared" si="287"/>
        <v>--</v>
      </c>
      <c r="L1250" s="2314" t="str">
        <f t="shared" si="287"/>
        <v>--</v>
      </c>
      <c r="M1250" s="2314" t="str">
        <f t="shared" si="287"/>
        <v>--</v>
      </c>
      <c r="N1250" s="2314" t="str">
        <f t="shared" si="287"/>
        <v>--</v>
      </c>
      <c r="O1250" s="2315" t="str">
        <f t="shared" si="287"/>
        <v>--</v>
      </c>
      <c r="P1250" s="2314" t="str">
        <f t="shared" si="287"/>
        <v>--</v>
      </c>
      <c r="R1250" s="2310" t="str">
        <f>IFERROR(AVERAGE(K1250:$O1250),"")</f>
        <v/>
      </c>
      <c r="S1250" s="2310" t="str">
        <f>IFERROR(AVERAGE(M1250:$O1250),"")</f>
        <v/>
      </c>
      <c r="T1250" s="1513"/>
      <c r="U1250" s="2314" t="str">
        <f t="shared" si="288"/>
        <v>--</v>
      </c>
      <c r="V1250" s="2314" t="str">
        <f t="shared" si="288"/>
        <v>--</v>
      </c>
      <c r="W1250" s="2314" t="str">
        <f t="shared" si="288"/>
        <v>--</v>
      </c>
      <c r="X1250" s="2314" t="str">
        <f t="shared" si="288"/>
        <v>--</v>
      </c>
      <c r="Y1250" s="2314" t="str">
        <f t="shared" si="288"/>
        <v>--</v>
      </c>
      <c r="AA1250" s="2060"/>
      <c r="AB1250" s="2060"/>
      <c r="AC1250" s="2060"/>
      <c r="AD1250" s="2060"/>
      <c r="AE1250" s="2060"/>
      <c r="AF1250" s="2060"/>
      <c r="AG1250" s="2060"/>
      <c r="AH1250" s="2060"/>
    </row>
    <row r="1251" spans="1:34" s="89" customFormat="1" ht="13.9">
      <c r="A1251" s="269" t="str">
        <f t="shared" ref="A1251:A1274" si="289">IF(F1251="--","n","")</f>
        <v>n</v>
      </c>
      <c r="B1251" s="2060"/>
      <c r="D1251" s="801"/>
      <c r="E1251" s="1505">
        <v>2</v>
      </c>
      <c r="F1251" s="21" t="str">
        <f>F$130</f>
        <v>--</v>
      </c>
      <c r="G1251" s="1441">
        <f>G$130</f>
        <v>0</v>
      </c>
      <c r="H1251" s="1441"/>
      <c r="I1251" s="1441"/>
      <c r="J1251" s="1441"/>
      <c r="K1251" s="2314" t="str">
        <f t="shared" si="287"/>
        <v>--</v>
      </c>
      <c r="L1251" s="2314" t="str">
        <f t="shared" si="287"/>
        <v>--</v>
      </c>
      <c r="M1251" s="2314" t="str">
        <f t="shared" si="287"/>
        <v>--</v>
      </c>
      <c r="N1251" s="2314" t="str">
        <f t="shared" si="287"/>
        <v>--</v>
      </c>
      <c r="O1251" s="2315" t="str">
        <f t="shared" si="287"/>
        <v>--</v>
      </c>
      <c r="P1251" s="2314" t="str">
        <f t="shared" si="287"/>
        <v>--</v>
      </c>
      <c r="R1251" s="2310" t="str">
        <f>IFERROR(AVERAGE(K1251:$O1251),"")</f>
        <v/>
      </c>
      <c r="S1251" s="2310" t="str">
        <f>IFERROR(AVERAGE(M1251:$O1251),"")</f>
        <v/>
      </c>
      <c r="T1251" s="1513"/>
      <c r="U1251" s="2314" t="str">
        <f t="shared" si="288"/>
        <v>--</v>
      </c>
      <c r="V1251" s="2314" t="str">
        <f t="shared" si="288"/>
        <v>--</v>
      </c>
      <c r="W1251" s="2314" t="str">
        <f t="shared" si="288"/>
        <v>--</v>
      </c>
      <c r="X1251" s="2314" t="str">
        <f t="shared" si="288"/>
        <v>--</v>
      </c>
      <c r="Y1251" s="2314" t="str">
        <f t="shared" si="288"/>
        <v>--</v>
      </c>
      <c r="AA1251" s="2060"/>
      <c r="AB1251" s="2060"/>
      <c r="AC1251" s="2060"/>
      <c r="AD1251" s="2060"/>
      <c r="AE1251" s="2060"/>
      <c r="AF1251" s="2060"/>
      <c r="AG1251" s="2060"/>
      <c r="AH1251" s="2060"/>
    </row>
    <row r="1252" spans="1:34" s="89" customFormat="1" ht="13.9">
      <c r="A1252" s="269" t="str">
        <f t="shared" si="289"/>
        <v>n</v>
      </c>
      <c r="B1252" s="2060"/>
      <c r="C1252" s="72"/>
      <c r="D1252" s="802"/>
      <c r="E1252" s="1505">
        <v>3</v>
      </c>
      <c r="F1252" s="21" t="str">
        <f>F$131</f>
        <v>--</v>
      </c>
      <c r="G1252" s="1441">
        <f>G$131</f>
        <v>0</v>
      </c>
      <c r="H1252" s="1441"/>
      <c r="I1252" s="1441"/>
      <c r="J1252" s="1441"/>
      <c r="K1252" s="2314" t="str">
        <f t="shared" si="287"/>
        <v>--</v>
      </c>
      <c r="L1252" s="2314" t="str">
        <f t="shared" si="287"/>
        <v>--</v>
      </c>
      <c r="M1252" s="2314" t="str">
        <f t="shared" si="287"/>
        <v>--</v>
      </c>
      <c r="N1252" s="2314" t="str">
        <f t="shared" si="287"/>
        <v>--</v>
      </c>
      <c r="O1252" s="2315" t="str">
        <f t="shared" si="287"/>
        <v>--</v>
      </c>
      <c r="P1252" s="2314" t="str">
        <f t="shared" si="287"/>
        <v>--</v>
      </c>
      <c r="R1252" s="2310" t="str">
        <f>IFERROR(AVERAGE(K1252:$O1252),"")</f>
        <v/>
      </c>
      <c r="S1252" s="2310" t="str">
        <f>IFERROR(AVERAGE(M1252:$O1252),"")</f>
        <v/>
      </c>
      <c r="T1252" s="1513"/>
      <c r="U1252" s="2314" t="str">
        <f t="shared" si="288"/>
        <v>--</v>
      </c>
      <c r="V1252" s="2314" t="str">
        <f t="shared" si="288"/>
        <v>--</v>
      </c>
      <c r="W1252" s="2314" t="str">
        <f t="shared" si="288"/>
        <v>--</v>
      </c>
      <c r="X1252" s="2314" t="str">
        <f t="shared" si="288"/>
        <v>--</v>
      </c>
      <c r="Y1252" s="2314" t="str">
        <f t="shared" si="288"/>
        <v>--</v>
      </c>
      <c r="AA1252" s="2060"/>
      <c r="AB1252" s="2060"/>
      <c r="AC1252" s="2060"/>
      <c r="AD1252" s="2060"/>
      <c r="AE1252" s="2060"/>
      <c r="AF1252" s="2060"/>
      <c r="AG1252" s="2060"/>
      <c r="AH1252" s="2060"/>
    </row>
    <row r="1253" spans="1:34" s="89" customFormat="1" ht="13.9">
      <c r="A1253" s="269" t="str">
        <f t="shared" si="289"/>
        <v>n</v>
      </c>
      <c r="B1253" s="2060"/>
      <c r="C1253" s="72"/>
      <c r="D1253" s="801"/>
      <c r="E1253" s="1505">
        <v>4</v>
      </c>
      <c r="F1253" s="21" t="str">
        <f>F$132</f>
        <v>--</v>
      </c>
      <c r="G1253" s="1441">
        <f>G$132</f>
        <v>0</v>
      </c>
      <c r="H1253" s="1441"/>
      <c r="I1253" s="1441"/>
      <c r="J1253" s="1441"/>
      <c r="K1253" s="2314" t="str">
        <f t="shared" si="287"/>
        <v>--</v>
      </c>
      <c r="L1253" s="2314" t="str">
        <f t="shared" si="287"/>
        <v>--</v>
      </c>
      <c r="M1253" s="2314" t="str">
        <f t="shared" si="287"/>
        <v>--</v>
      </c>
      <c r="N1253" s="2314" t="str">
        <f t="shared" si="287"/>
        <v>--</v>
      </c>
      <c r="O1253" s="2315" t="str">
        <f t="shared" si="287"/>
        <v>--</v>
      </c>
      <c r="P1253" s="2314" t="str">
        <f t="shared" si="287"/>
        <v>--</v>
      </c>
      <c r="R1253" s="2310" t="str">
        <f>IFERROR(AVERAGE(K1253:$O1253),"")</f>
        <v/>
      </c>
      <c r="S1253" s="2310" t="str">
        <f>IFERROR(AVERAGE(M1253:$O1253),"")</f>
        <v/>
      </c>
      <c r="T1253" s="1513"/>
      <c r="U1253" s="2314" t="str">
        <f t="shared" si="288"/>
        <v>--</v>
      </c>
      <c r="V1253" s="2314" t="str">
        <f t="shared" si="288"/>
        <v>--</v>
      </c>
      <c r="W1253" s="2314" t="str">
        <f t="shared" si="288"/>
        <v>--</v>
      </c>
      <c r="X1253" s="2314" t="str">
        <f t="shared" si="288"/>
        <v>--</v>
      </c>
      <c r="Y1253" s="2314" t="str">
        <f t="shared" si="288"/>
        <v>--</v>
      </c>
      <c r="AA1253" s="2060"/>
      <c r="AB1253" s="2060"/>
      <c r="AC1253" s="2060"/>
      <c r="AD1253" s="2060"/>
      <c r="AE1253" s="2060"/>
      <c r="AF1253" s="2060"/>
      <c r="AG1253" s="2060"/>
      <c r="AH1253" s="2060"/>
    </row>
    <row r="1254" spans="1:34" s="89" customFormat="1" ht="13.9">
      <c r="A1254" s="269" t="str">
        <f t="shared" si="289"/>
        <v>n</v>
      </c>
      <c r="B1254" s="2060"/>
      <c r="C1254" s="72"/>
      <c r="D1254" s="801"/>
      <c r="E1254" s="1505">
        <v>5</v>
      </c>
      <c r="F1254" s="21" t="str">
        <f>F$133</f>
        <v>--</v>
      </c>
      <c r="G1254" s="1441">
        <f>G$133</f>
        <v>0</v>
      </c>
      <c r="H1254" s="1441"/>
      <c r="I1254" s="1441"/>
      <c r="J1254" s="1441"/>
      <c r="K1254" s="2314" t="str">
        <f t="shared" si="287"/>
        <v>--</v>
      </c>
      <c r="L1254" s="2314" t="str">
        <f t="shared" si="287"/>
        <v>--</v>
      </c>
      <c r="M1254" s="2314" t="str">
        <f t="shared" si="287"/>
        <v>--</v>
      </c>
      <c r="N1254" s="2314" t="str">
        <f t="shared" si="287"/>
        <v>--</v>
      </c>
      <c r="O1254" s="2315" t="str">
        <f t="shared" si="287"/>
        <v>--</v>
      </c>
      <c r="P1254" s="2314" t="str">
        <f t="shared" si="287"/>
        <v>--</v>
      </c>
      <c r="R1254" s="2310" t="str">
        <f>IFERROR(AVERAGE(K1254:$O1254),"")</f>
        <v/>
      </c>
      <c r="S1254" s="2310" t="str">
        <f>IFERROR(AVERAGE(M1254:$O1254),"")</f>
        <v/>
      </c>
      <c r="T1254" s="1513"/>
      <c r="U1254" s="2314" t="str">
        <f t="shared" si="288"/>
        <v>--</v>
      </c>
      <c r="V1254" s="2314" t="str">
        <f t="shared" si="288"/>
        <v>--</v>
      </c>
      <c r="W1254" s="2314" t="str">
        <f t="shared" si="288"/>
        <v>--</v>
      </c>
      <c r="X1254" s="2314" t="str">
        <f t="shared" si="288"/>
        <v>--</v>
      </c>
      <c r="Y1254" s="2314" t="str">
        <f t="shared" si="288"/>
        <v>--</v>
      </c>
      <c r="AA1254" s="2060"/>
      <c r="AB1254" s="2060"/>
      <c r="AC1254" s="2060"/>
      <c r="AD1254" s="2060"/>
      <c r="AE1254" s="2060"/>
      <c r="AF1254" s="2060"/>
      <c r="AG1254" s="2060"/>
      <c r="AH1254" s="2060"/>
    </row>
    <row r="1255" spans="1:34" s="89" customFormat="1" ht="13.9">
      <c r="A1255" s="269" t="str">
        <f t="shared" si="289"/>
        <v>n</v>
      </c>
      <c r="B1255" s="2060"/>
      <c r="C1255" s="72"/>
      <c r="D1255" s="801"/>
      <c r="E1255" s="1505">
        <v>6</v>
      </c>
      <c r="F1255" s="21" t="str">
        <f>F$134</f>
        <v>--</v>
      </c>
      <c r="G1255" s="1441">
        <f>G$134</f>
        <v>0</v>
      </c>
      <c r="H1255" s="1441"/>
      <c r="I1255" s="1441"/>
      <c r="J1255" s="1441"/>
      <c r="K1255" s="2314" t="str">
        <f t="shared" si="287"/>
        <v>--</v>
      </c>
      <c r="L1255" s="2314" t="str">
        <f t="shared" si="287"/>
        <v>--</v>
      </c>
      <c r="M1255" s="2314" t="str">
        <f t="shared" si="287"/>
        <v>--</v>
      </c>
      <c r="N1255" s="2314" t="str">
        <f t="shared" si="287"/>
        <v>--</v>
      </c>
      <c r="O1255" s="2315" t="str">
        <f t="shared" si="287"/>
        <v>--</v>
      </c>
      <c r="P1255" s="2314" t="str">
        <f t="shared" si="287"/>
        <v>--</v>
      </c>
      <c r="R1255" s="2310" t="str">
        <f>IFERROR(AVERAGE(K1255:$O1255),"")</f>
        <v/>
      </c>
      <c r="S1255" s="2310" t="str">
        <f>IFERROR(AVERAGE(M1255:$O1255),"")</f>
        <v/>
      </c>
      <c r="T1255" s="1513"/>
      <c r="U1255" s="2314" t="str">
        <f t="shared" si="288"/>
        <v>--</v>
      </c>
      <c r="V1255" s="2314" t="str">
        <f t="shared" si="288"/>
        <v>--</v>
      </c>
      <c r="W1255" s="2314" t="str">
        <f t="shared" si="288"/>
        <v>--</v>
      </c>
      <c r="X1255" s="2314" t="str">
        <f t="shared" si="288"/>
        <v>--</v>
      </c>
      <c r="Y1255" s="2314" t="str">
        <f t="shared" si="288"/>
        <v>--</v>
      </c>
      <c r="AA1255" s="2060"/>
      <c r="AB1255" s="2060"/>
      <c r="AC1255" s="2060"/>
      <c r="AD1255" s="2060"/>
      <c r="AE1255" s="2060"/>
      <c r="AF1255" s="2060"/>
      <c r="AG1255" s="2060"/>
      <c r="AH1255" s="2060"/>
    </row>
    <row r="1256" spans="1:34" s="89" customFormat="1" ht="13.9">
      <c r="A1256" s="269" t="str">
        <f t="shared" si="289"/>
        <v>n</v>
      </c>
      <c r="B1256" s="2060"/>
      <c r="D1256" s="801"/>
      <c r="E1256" s="1505">
        <v>7</v>
      </c>
      <c r="F1256" s="21" t="str">
        <f>F$135</f>
        <v>--</v>
      </c>
      <c r="G1256" s="1441">
        <f>G$135</f>
        <v>0</v>
      </c>
      <c r="H1256" s="1441"/>
      <c r="I1256" s="1441"/>
      <c r="J1256" s="1441"/>
      <c r="K1256" s="2314" t="str">
        <f t="shared" si="287"/>
        <v>--</v>
      </c>
      <c r="L1256" s="2314" t="str">
        <f t="shared" si="287"/>
        <v>--</v>
      </c>
      <c r="M1256" s="2314" t="str">
        <f t="shared" si="287"/>
        <v>--</v>
      </c>
      <c r="N1256" s="2314" t="str">
        <f t="shared" si="287"/>
        <v>--</v>
      </c>
      <c r="O1256" s="2315" t="str">
        <f t="shared" si="287"/>
        <v>--</v>
      </c>
      <c r="P1256" s="2314" t="str">
        <f t="shared" si="287"/>
        <v>--</v>
      </c>
      <c r="R1256" s="2310" t="str">
        <f>IFERROR(AVERAGE(K1256:$O1256),"")</f>
        <v/>
      </c>
      <c r="S1256" s="2310" t="str">
        <f>IFERROR(AVERAGE(M1256:$O1256),"")</f>
        <v/>
      </c>
      <c r="T1256" s="1513"/>
      <c r="U1256" s="2314" t="str">
        <f t="shared" si="288"/>
        <v>--</v>
      </c>
      <c r="V1256" s="2314" t="str">
        <f t="shared" si="288"/>
        <v>--</v>
      </c>
      <c r="W1256" s="2314" t="str">
        <f t="shared" si="288"/>
        <v>--</v>
      </c>
      <c r="X1256" s="2314" t="str">
        <f t="shared" si="288"/>
        <v>--</v>
      </c>
      <c r="Y1256" s="2314" t="str">
        <f t="shared" si="288"/>
        <v>--</v>
      </c>
      <c r="AA1256" s="2060"/>
      <c r="AB1256" s="2060"/>
      <c r="AC1256" s="2060"/>
      <c r="AD1256" s="2060"/>
      <c r="AE1256" s="2060"/>
      <c r="AF1256" s="2060"/>
      <c r="AG1256" s="2060"/>
    </row>
    <row r="1257" spans="1:34" s="89" customFormat="1" ht="13.9">
      <c r="A1257" s="269" t="str">
        <f t="shared" si="289"/>
        <v>n</v>
      </c>
      <c r="B1257" s="2060"/>
      <c r="D1257" s="801"/>
      <c r="E1257" s="1505">
        <v>8</v>
      </c>
      <c r="F1257" s="21" t="str">
        <f>F$136</f>
        <v>--</v>
      </c>
      <c r="G1257" s="1441">
        <f>G$136</f>
        <v>0</v>
      </c>
      <c r="H1257" s="1441"/>
      <c r="I1257" s="1441"/>
      <c r="J1257" s="1441"/>
      <c r="K1257" s="2314" t="str">
        <f t="shared" si="287"/>
        <v>--</v>
      </c>
      <c r="L1257" s="2314" t="str">
        <f t="shared" si="287"/>
        <v>--</v>
      </c>
      <c r="M1257" s="2314" t="str">
        <f t="shared" si="287"/>
        <v>--</v>
      </c>
      <c r="N1257" s="2314" t="str">
        <f t="shared" si="287"/>
        <v>--</v>
      </c>
      <c r="O1257" s="2315" t="str">
        <f t="shared" si="287"/>
        <v>--</v>
      </c>
      <c r="P1257" s="2314" t="str">
        <f t="shared" si="287"/>
        <v>--</v>
      </c>
      <c r="R1257" s="2310" t="str">
        <f>IFERROR(AVERAGE(K1257:$O1257),"")</f>
        <v/>
      </c>
      <c r="S1257" s="2310" t="str">
        <f>IFERROR(AVERAGE(M1257:$O1257),"")</f>
        <v/>
      </c>
      <c r="T1257" s="1513"/>
      <c r="U1257" s="2314" t="str">
        <f t="shared" si="288"/>
        <v>--</v>
      </c>
      <c r="V1257" s="2314" t="str">
        <f t="shared" si="288"/>
        <v>--</v>
      </c>
      <c r="W1257" s="2314" t="str">
        <f t="shared" si="288"/>
        <v>--</v>
      </c>
      <c r="X1257" s="2314" t="str">
        <f t="shared" si="288"/>
        <v>--</v>
      </c>
      <c r="Y1257" s="2314" t="str">
        <f t="shared" si="288"/>
        <v>--</v>
      </c>
      <c r="AA1257" s="2060"/>
      <c r="AB1257" s="2060"/>
      <c r="AC1257" s="2060"/>
      <c r="AD1257" s="2060"/>
      <c r="AE1257" s="2060"/>
      <c r="AF1257" s="2060"/>
    </row>
    <row r="1258" spans="1:34" s="89" customFormat="1" ht="13.9">
      <c r="A1258" s="269" t="str">
        <f t="shared" si="289"/>
        <v>n</v>
      </c>
      <c r="B1258" s="2060"/>
      <c r="D1258" s="801"/>
      <c r="E1258" s="1505">
        <v>9</v>
      </c>
      <c r="F1258" s="21" t="str">
        <f>F$137</f>
        <v>--</v>
      </c>
      <c r="G1258" s="1441">
        <f>G$137</f>
        <v>0</v>
      </c>
      <c r="H1258" s="1441"/>
      <c r="I1258" s="1441"/>
      <c r="J1258" s="1441"/>
      <c r="K1258" s="2314" t="str">
        <f t="shared" si="287"/>
        <v>--</v>
      </c>
      <c r="L1258" s="2314" t="str">
        <f t="shared" si="287"/>
        <v>--</v>
      </c>
      <c r="M1258" s="2314" t="str">
        <f t="shared" si="287"/>
        <v>--</v>
      </c>
      <c r="N1258" s="2314" t="str">
        <f t="shared" si="287"/>
        <v>--</v>
      </c>
      <c r="O1258" s="2315" t="str">
        <f t="shared" si="287"/>
        <v>--</v>
      </c>
      <c r="P1258" s="2314" t="str">
        <f t="shared" si="287"/>
        <v>--</v>
      </c>
      <c r="R1258" s="2310" t="str">
        <f>IFERROR(AVERAGE(K1258:$O1258),"")</f>
        <v/>
      </c>
      <c r="S1258" s="2310" t="str">
        <f>IFERROR(AVERAGE(M1258:$O1258),"")</f>
        <v/>
      </c>
      <c r="T1258" s="1513"/>
      <c r="U1258" s="2314" t="str">
        <f t="shared" si="288"/>
        <v>--</v>
      </c>
      <c r="V1258" s="2314" t="str">
        <f t="shared" si="288"/>
        <v>--</v>
      </c>
      <c r="W1258" s="2314" t="str">
        <f t="shared" si="288"/>
        <v>--</v>
      </c>
      <c r="X1258" s="2314" t="str">
        <f t="shared" si="288"/>
        <v>--</v>
      </c>
      <c r="Y1258" s="2314" t="str">
        <f t="shared" si="288"/>
        <v>--</v>
      </c>
      <c r="AA1258" s="2060"/>
      <c r="AB1258" s="2060"/>
      <c r="AC1258" s="2060"/>
      <c r="AD1258" s="2060"/>
      <c r="AE1258" s="2060"/>
      <c r="AF1258" s="2060"/>
    </row>
    <row r="1259" spans="1:34" s="89" customFormat="1" ht="13.9">
      <c r="A1259" s="269" t="str">
        <f t="shared" si="289"/>
        <v>n</v>
      </c>
      <c r="B1259" s="2060"/>
      <c r="D1259" s="801"/>
      <c r="E1259" s="1505">
        <v>10</v>
      </c>
      <c r="F1259" s="21" t="str">
        <f>F$138</f>
        <v>--</v>
      </c>
      <c r="G1259" s="1441">
        <f>G$138</f>
        <v>0</v>
      </c>
      <c r="H1259" s="1441"/>
      <c r="I1259" s="1441"/>
      <c r="J1259" s="1441"/>
      <c r="K1259" s="2314" t="str">
        <f t="shared" si="287"/>
        <v>--</v>
      </c>
      <c r="L1259" s="2314" t="str">
        <f t="shared" si="287"/>
        <v>--</v>
      </c>
      <c r="M1259" s="2314" t="str">
        <f t="shared" si="287"/>
        <v>--</v>
      </c>
      <c r="N1259" s="2314" t="str">
        <f t="shared" si="287"/>
        <v>--</v>
      </c>
      <c r="O1259" s="2315" t="str">
        <f t="shared" si="287"/>
        <v>--</v>
      </c>
      <c r="P1259" s="2314" t="str">
        <f t="shared" si="287"/>
        <v>--</v>
      </c>
      <c r="R1259" s="2310" t="str">
        <f>IFERROR(AVERAGE(K1259:$O1259),"")</f>
        <v/>
      </c>
      <c r="S1259" s="2310" t="str">
        <f>IFERROR(AVERAGE(M1259:$O1259),"")</f>
        <v/>
      </c>
      <c r="T1259" s="1513"/>
      <c r="U1259" s="2314" t="str">
        <f t="shared" ref="U1259:Y1268" si="290">IFERROR(U668/U575,"--")</f>
        <v>--</v>
      </c>
      <c r="V1259" s="2314" t="str">
        <f t="shared" si="290"/>
        <v>--</v>
      </c>
      <c r="W1259" s="2314" t="str">
        <f t="shared" si="290"/>
        <v>--</v>
      </c>
      <c r="X1259" s="2314" t="str">
        <f t="shared" si="290"/>
        <v>--</v>
      </c>
      <c r="Y1259" s="2314" t="str">
        <f t="shared" si="290"/>
        <v>--</v>
      </c>
      <c r="AA1259" s="2060"/>
      <c r="AB1259" s="2060"/>
      <c r="AC1259" s="2060"/>
      <c r="AD1259" s="2060"/>
      <c r="AE1259" s="2060"/>
      <c r="AF1259" s="2060"/>
    </row>
    <row r="1260" spans="1:34" s="89" customFormat="1" ht="13.9">
      <c r="A1260" s="269" t="str">
        <f t="shared" si="289"/>
        <v>n</v>
      </c>
      <c r="B1260" s="2060"/>
      <c r="D1260" s="801"/>
      <c r="E1260" s="1505">
        <v>11</v>
      </c>
      <c r="F1260" s="21" t="str">
        <f>F$139</f>
        <v>--</v>
      </c>
      <c r="G1260" s="1441">
        <f>G$139</f>
        <v>0</v>
      </c>
      <c r="H1260" s="1441"/>
      <c r="I1260" s="1441"/>
      <c r="J1260" s="1441"/>
      <c r="K1260" s="2314" t="str">
        <f t="shared" si="287"/>
        <v>--</v>
      </c>
      <c r="L1260" s="2314" t="str">
        <f t="shared" si="287"/>
        <v>--</v>
      </c>
      <c r="M1260" s="2314" t="str">
        <f t="shared" si="287"/>
        <v>--</v>
      </c>
      <c r="N1260" s="2314" t="str">
        <f t="shared" si="287"/>
        <v>--</v>
      </c>
      <c r="O1260" s="2315" t="str">
        <f t="shared" si="287"/>
        <v>--</v>
      </c>
      <c r="P1260" s="2314" t="str">
        <f t="shared" si="287"/>
        <v>--</v>
      </c>
      <c r="R1260" s="2310" t="str">
        <f>IFERROR(AVERAGE(K1260:$O1260),"")</f>
        <v/>
      </c>
      <c r="S1260" s="2310" t="str">
        <f>IFERROR(AVERAGE(M1260:$O1260),"")</f>
        <v/>
      </c>
      <c r="T1260" s="53"/>
      <c r="U1260" s="2314" t="str">
        <f t="shared" si="290"/>
        <v>--</v>
      </c>
      <c r="V1260" s="2314" t="str">
        <f t="shared" si="290"/>
        <v>--</v>
      </c>
      <c r="W1260" s="2314" t="str">
        <f t="shared" si="290"/>
        <v>--</v>
      </c>
      <c r="X1260" s="2314" t="str">
        <f t="shared" si="290"/>
        <v>--</v>
      </c>
      <c r="Y1260" s="2314" t="str">
        <f t="shared" si="290"/>
        <v>--</v>
      </c>
      <c r="AA1260" s="2060"/>
      <c r="AB1260" s="2060"/>
      <c r="AC1260" s="2060"/>
      <c r="AD1260" s="2060"/>
      <c r="AE1260" s="2060"/>
      <c r="AF1260" s="2060"/>
    </row>
    <row r="1261" spans="1:34" s="89" customFormat="1" ht="13.9">
      <c r="A1261" s="269" t="str">
        <f t="shared" si="289"/>
        <v>n</v>
      </c>
      <c r="B1261" s="2060"/>
      <c r="D1261" s="801"/>
      <c r="E1261" s="1505">
        <v>12</v>
      </c>
      <c r="F1261" s="21" t="str">
        <f>F$140</f>
        <v>--</v>
      </c>
      <c r="G1261" s="1441">
        <f>G$140</f>
        <v>0</v>
      </c>
      <c r="H1261" s="1441"/>
      <c r="I1261" s="1441"/>
      <c r="J1261" s="1441"/>
      <c r="K1261" s="2314" t="str">
        <f t="shared" si="287"/>
        <v>--</v>
      </c>
      <c r="L1261" s="2314" t="str">
        <f t="shared" si="287"/>
        <v>--</v>
      </c>
      <c r="M1261" s="2314" t="str">
        <f t="shared" si="287"/>
        <v>--</v>
      </c>
      <c r="N1261" s="2314" t="str">
        <f t="shared" si="287"/>
        <v>--</v>
      </c>
      <c r="O1261" s="2315" t="str">
        <f t="shared" si="287"/>
        <v>--</v>
      </c>
      <c r="P1261" s="2314" t="str">
        <f t="shared" si="287"/>
        <v>--</v>
      </c>
      <c r="R1261" s="2310" t="str">
        <f>IFERROR(AVERAGE(K1261:$O1261),"")</f>
        <v/>
      </c>
      <c r="S1261" s="2310" t="str">
        <f>IFERROR(AVERAGE(M1261:$O1261),"")</f>
        <v/>
      </c>
      <c r="T1261" s="53"/>
      <c r="U1261" s="2314" t="str">
        <f t="shared" si="290"/>
        <v>--</v>
      </c>
      <c r="V1261" s="2314" t="str">
        <f t="shared" si="290"/>
        <v>--</v>
      </c>
      <c r="W1261" s="2314" t="str">
        <f t="shared" si="290"/>
        <v>--</v>
      </c>
      <c r="X1261" s="2314" t="str">
        <f t="shared" si="290"/>
        <v>--</v>
      </c>
      <c r="Y1261" s="2314" t="str">
        <f t="shared" si="290"/>
        <v>--</v>
      </c>
      <c r="AA1261" s="2060"/>
      <c r="AB1261" s="2060"/>
      <c r="AC1261" s="2060"/>
      <c r="AD1261" s="2060"/>
      <c r="AE1261" s="2060"/>
      <c r="AF1261" s="2060"/>
    </row>
    <row r="1262" spans="1:34" s="89" customFormat="1" ht="13.9">
      <c r="A1262" s="269" t="str">
        <f t="shared" si="289"/>
        <v>n</v>
      </c>
      <c r="B1262" s="2060"/>
      <c r="D1262" s="801"/>
      <c r="E1262" s="1505">
        <v>13</v>
      </c>
      <c r="F1262" s="21" t="str">
        <f>F$141</f>
        <v>--</v>
      </c>
      <c r="G1262" s="1441">
        <f>G$141</f>
        <v>0</v>
      </c>
      <c r="H1262" s="1441"/>
      <c r="I1262" s="1441"/>
      <c r="J1262" s="1441"/>
      <c r="K1262" s="2314" t="str">
        <f t="shared" ref="K1262:P1262" si="291">IFERROR(K671/K578,"--")</f>
        <v>--</v>
      </c>
      <c r="L1262" s="2314" t="str">
        <f t="shared" si="291"/>
        <v>--</v>
      </c>
      <c r="M1262" s="2314" t="str">
        <f t="shared" si="291"/>
        <v>--</v>
      </c>
      <c r="N1262" s="2314" t="str">
        <f t="shared" ref="N1262:N1274" si="292">IFERROR(N671/N578,"--")</f>
        <v>--</v>
      </c>
      <c r="O1262" s="2315" t="str">
        <f t="shared" si="291"/>
        <v>--</v>
      </c>
      <c r="P1262" s="2314" t="str">
        <f t="shared" si="291"/>
        <v>--</v>
      </c>
      <c r="R1262" s="2310" t="str">
        <f>IFERROR(AVERAGE(K1262:$O1262),"")</f>
        <v/>
      </c>
      <c r="S1262" s="2310" t="str">
        <f>IFERROR(AVERAGE(M1262:$O1262),"")</f>
        <v/>
      </c>
      <c r="T1262" s="53"/>
      <c r="U1262" s="2314" t="str">
        <f t="shared" si="290"/>
        <v>--</v>
      </c>
      <c r="V1262" s="2314" t="str">
        <f t="shared" si="290"/>
        <v>--</v>
      </c>
      <c r="W1262" s="2314" t="str">
        <f t="shared" si="290"/>
        <v>--</v>
      </c>
      <c r="X1262" s="2314" t="str">
        <f t="shared" si="290"/>
        <v>--</v>
      </c>
      <c r="Y1262" s="2314" t="str">
        <f t="shared" si="290"/>
        <v>--</v>
      </c>
      <c r="AA1262" s="2060"/>
      <c r="AB1262" s="2060"/>
      <c r="AC1262" s="2060"/>
      <c r="AD1262" s="2060"/>
      <c r="AE1262" s="2060"/>
      <c r="AF1262" s="2060"/>
    </row>
    <row r="1263" spans="1:34" s="89" customFormat="1" ht="13.9">
      <c r="A1263" s="269" t="str">
        <f t="shared" si="289"/>
        <v>n</v>
      </c>
      <c r="B1263" s="2060"/>
      <c r="D1263" s="801"/>
      <c r="E1263" s="1505">
        <v>14</v>
      </c>
      <c r="F1263" s="21" t="str">
        <f>F$142</f>
        <v>--</v>
      </c>
      <c r="G1263" s="1441">
        <f>G$142</f>
        <v>0</v>
      </c>
      <c r="H1263" s="1441"/>
      <c r="I1263" s="1441"/>
      <c r="J1263" s="1441"/>
      <c r="K1263" s="2314" t="str">
        <f t="shared" ref="K1263:P1263" si="293">IFERROR(K672/K579,"--")</f>
        <v>--</v>
      </c>
      <c r="L1263" s="2314" t="str">
        <f t="shared" si="293"/>
        <v>--</v>
      </c>
      <c r="M1263" s="2314" t="str">
        <f t="shared" si="293"/>
        <v>--</v>
      </c>
      <c r="N1263" s="2314" t="str">
        <f t="shared" si="292"/>
        <v>--</v>
      </c>
      <c r="O1263" s="2315" t="str">
        <f t="shared" si="293"/>
        <v>--</v>
      </c>
      <c r="P1263" s="2314" t="str">
        <f t="shared" si="293"/>
        <v>--</v>
      </c>
      <c r="R1263" s="2310" t="str">
        <f>IFERROR(AVERAGE(K1263:$O1263),"")</f>
        <v/>
      </c>
      <c r="S1263" s="2310" t="str">
        <f>IFERROR(AVERAGE(M1263:$O1263),"")</f>
        <v/>
      </c>
      <c r="T1263" s="53"/>
      <c r="U1263" s="2314" t="str">
        <f t="shared" si="290"/>
        <v>--</v>
      </c>
      <c r="V1263" s="2314" t="str">
        <f t="shared" si="290"/>
        <v>--</v>
      </c>
      <c r="W1263" s="2314" t="str">
        <f t="shared" si="290"/>
        <v>--</v>
      </c>
      <c r="X1263" s="2314" t="str">
        <f t="shared" si="290"/>
        <v>--</v>
      </c>
      <c r="Y1263" s="2314" t="str">
        <f t="shared" si="290"/>
        <v>--</v>
      </c>
      <c r="AA1263" s="2060"/>
      <c r="AB1263" s="2060"/>
      <c r="AC1263" s="2060"/>
      <c r="AD1263" s="2060"/>
      <c r="AE1263" s="2060"/>
      <c r="AF1263" s="2060"/>
    </row>
    <row r="1264" spans="1:34" s="89" customFormat="1" ht="13.9">
      <c r="A1264" s="269" t="str">
        <f t="shared" si="289"/>
        <v>n</v>
      </c>
      <c r="B1264" s="2060"/>
      <c r="D1264" s="801"/>
      <c r="E1264" s="1505">
        <v>15</v>
      </c>
      <c r="F1264" s="21" t="str">
        <f>F$143</f>
        <v>--</v>
      </c>
      <c r="G1264" s="1441">
        <f>G$143</f>
        <v>0</v>
      </c>
      <c r="H1264" s="1441"/>
      <c r="I1264" s="1441"/>
      <c r="J1264" s="1441"/>
      <c r="K1264" s="2314" t="str">
        <f t="shared" ref="K1264:P1264" si="294">IFERROR(K673/K580,"--")</f>
        <v>--</v>
      </c>
      <c r="L1264" s="2314" t="str">
        <f t="shared" si="294"/>
        <v>--</v>
      </c>
      <c r="M1264" s="2314" t="str">
        <f t="shared" si="294"/>
        <v>--</v>
      </c>
      <c r="N1264" s="2314" t="str">
        <f t="shared" si="292"/>
        <v>--</v>
      </c>
      <c r="O1264" s="2315" t="str">
        <f t="shared" si="294"/>
        <v>--</v>
      </c>
      <c r="P1264" s="2314" t="str">
        <f t="shared" si="294"/>
        <v>--</v>
      </c>
      <c r="R1264" s="2310" t="str">
        <f>IFERROR(AVERAGE(K1264:$O1264),"")</f>
        <v/>
      </c>
      <c r="S1264" s="2310" t="str">
        <f>IFERROR(AVERAGE(M1264:$O1264),"")</f>
        <v/>
      </c>
      <c r="T1264" s="53"/>
      <c r="U1264" s="2314" t="str">
        <f t="shared" si="290"/>
        <v>--</v>
      </c>
      <c r="V1264" s="2314" t="str">
        <f t="shared" si="290"/>
        <v>--</v>
      </c>
      <c r="W1264" s="2314" t="str">
        <f t="shared" si="290"/>
        <v>--</v>
      </c>
      <c r="X1264" s="2314" t="str">
        <f t="shared" si="290"/>
        <v>--</v>
      </c>
      <c r="Y1264" s="2314" t="str">
        <f t="shared" si="290"/>
        <v>--</v>
      </c>
      <c r="AA1264" s="2060"/>
      <c r="AB1264" s="2060"/>
      <c r="AC1264" s="2060"/>
      <c r="AD1264" s="2060"/>
      <c r="AE1264" s="2060"/>
      <c r="AF1264" s="2060"/>
    </row>
    <row r="1265" spans="1:32" s="89" customFormat="1" ht="13.9">
      <c r="A1265" s="269" t="str">
        <f t="shared" si="289"/>
        <v>n</v>
      </c>
      <c r="B1265" s="2060"/>
      <c r="D1265" s="801"/>
      <c r="E1265" s="1505">
        <v>16</v>
      </c>
      <c r="F1265" s="21" t="str">
        <f>F$144</f>
        <v>--</v>
      </c>
      <c r="G1265" s="1441">
        <f>G$144</f>
        <v>0</v>
      </c>
      <c r="H1265" s="1441"/>
      <c r="I1265" s="1441"/>
      <c r="J1265" s="1441"/>
      <c r="K1265" s="2314" t="str">
        <f t="shared" ref="K1265:P1265" si="295">IFERROR(K674/K581,"--")</f>
        <v>--</v>
      </c>
      <c r="L1265" s="2314" t="str">
        <f t="shared" si="295"/>
        <v>--</v>
      </c>
      <c r="M1265" s="2314" t="str">
        <f t="shared" si="295"/>
        <v>--</v>
      </c>
      <c r="N1265" s="2314" t="str">
        <f t="shared" si="292"/>
        <v>--</v>
      </c>
      <c r="O1265" s="2315" t="str">
        <f t="shared" si="295"/>
        <v>--</v>
      </c>
      <c r="P1265" s="2314" t="str">
        <f t="shared" si="295"/>
        <v>--</v>
      </c>
      <c r="R1265" s="2310" t="str">
        <f>IFERROR(AVERAGE(K1265:$O1265),"")</f>
        <v/>
      </c>
      <c r="S1265" s="2310" t="str">
        <f>IFERROR(AVERAGE(M1265:$O1265),"")</f>
        <v/>
      </c>
      <c r="T1265" s="53"/>
      <c r="U1265" s="2314" t="str">
        <f t="shared" si="290"/>
        <v>--</v>
      </c>
      <c r="V1265" s="2314" t="str">
        <f t="shared" si="290"/>
        <v>--</v>
      </c>
      <c r="W1265" s="2314" t="str">
        <f t="shared" si="290"/>
        <v>--</v>
      </c>
      <c r="X1265" s="2314" t="str">
        <f t="shared" si="290"/>
        <v>--</v>
      </c>
      <c r="Y1265" s="2314" t="str">
        <f t="shared" si="290"/>
        <v>--</v>
      </c>
      <c r="AA1265" s="2060"/>
      <c r="AB1265" s="2060"/>
      <c r="AC1265" s="2060"/>
      <c r="AD1265" s="2060"/>
      <c r="AE1265" s="2060"/>
      <c r="AF1265" s="2060"/>
    </row>
    <row r="1266" spans="1:32" s="89" customFormat="1" ht="13.9">
      <c r="A1266" s="269" t="str">
        <f t="shared" si="289"/>
        <v>n</v>
      </c>
      <c r="B1266" s="2060"/>
      <c r="D1266" s="801"/>
      <c r="E1266" s="1505">
        <v>17</v>
      </c>
      <c r="F1266" s="21" t="str">
        <f>F$145</f>
        <v>--</v>
      </c>
      <c r="G1266" s="1441">
        <f>G$145</f>
        <v>0</v>
      </c>
      <c r="H1266" s="1441"/>
      <c r="I1266" s="1441"/>
      <c r="J1266" s="1441"/>
      <c r="K1266" s="2314" t="str">
        <f t="shared" ref="K1266:P1266" si="296">IFERROR(K675/K582,"--")</f>
        <v>--</v>
      </c>
      <c r="L1266" s="2314" t="str">
        <f t="shared" si="296"/>
        <v>--</v>
      </c>
      <c r="M1266" s="2314" t="str">
        <f t="shared" si="296"/>
        <v>--</v>
      </c>
      <c r="N1266" s="2314" t="str">
        <f t="shared" si="292"/>
        <v>--</v>
      </c>
      <c r="O1266" s="2315" t="str">
        <f t="shared" si="296"/>
        <v>--</v>
      </c>
      <c r="P1266" s="2314" t="str">
        <f t="shared" si="296"/>
        <v>--</v>
      </c>
      <c r="R1266" s="2310" t="str">
        <f>IFERROR(AVERAGE(K1266:$O1266),"")</f>
        <v/>
      </c>
      <c r="S1266" s="2310" t="str">
        <f>IFERROR(AVERAGE(M1266:$O1266),"")</f>
        <v/>
      </c>
      <c r="T1266" s="53"/>
      <c r="U1266" s="2314" t="str">
        <f t="shared" si="290"/>
        <v>--</v>
      </c>
      <c r="V1266" s="2314" t="str">
        <f t="shared" si="290"/>
        <v>--</v>
      </c>
      <c r="W1266" s="2314" t="str">
        <f t="shared" si="290"/>
        <v>--</v>
      </c>
      <c r="X1266" s="2314" t="str">
        <f t="shared" si="290"/>
        <v>--</v>
      </c>
      <c r="Y1266" s="2314" t="str">
        <f t="shared" si="290"/>
        <v>--</v>
      </c>
      <c r="AA1266" s="2060"/>
      <c r="AB1266" s="2060"/>
      <c r="AC1266" s="2060"/>
      <c r="AD1266" s="2060"/>
      <c r="AE1266" s="2060"/>
      <c r="AF1266" s="2060"/>
    </row>
    <row r="1267" spans="1:32" s="89" customFormat="1" ht="13.9">
      <c r="A1267" s="269" t="str">
        <f t="shared" si="289"/>
        <v>n</v>
      </c>
      <c r="B1267" s="2060"/>
      <c r="D1267" s="801"/>
      <c r="E1267" s="1505">
        <v>18</v>
      </c>
      <c r="F1267" s="21" t="str">
        <f>F$146</f>
        <v>--</v>
      </c>
      <c r="G1267" s="1441">
        <f>G$146</f>
        <v>0</v>
      </c>
      <c r="H1267" s="1441"/>
      <c r="I1267" s="1441"/>
      <c r="J1267" s="1441"/>
      <c r="K1267" s="2314" t="str">
        <f t="shared" ref="K1267:P1267" si="297">IFERROR(K676/K583,"--")</f>
        <v>--</v>
      </c>
      <c r="L1267" s="2314" t="str">
        <f t="shared" si="297"/>
        <v>--</v>
      </c>
      <c r="M1267" s="2314" t="str">
        <f t="shared" si="297"/>
        <v>--</v>
      </c>
      <c r="N1267" s="2314" t="str">
        <f t="shared" si="292"/>
        <v>--</v>
      </c>
      <c r="O1267" s="2315" t="str">
        <f t="shared" si="297"/>
        <v>--</v>
      </c>
      <c r="P1267" s="2314" t="str">
        <f t="shared" si="297"/>
        <v>--</v>
      </c>
      <c r="R1267" s="2310" t="str">
        <f>IFERROR(AVERAGE(K1267:$O1267),"")</f>
        <v/>
      </c>
      <c r="S1267" s="2310" t="str">
        <f>IFERROR(AVERAGE(M1267:$O1267),"")</f>
        <v/>
      </c>
      <c r="T1267" s="53"/>
      <c r="U1267" s="2314" t="str">
        <f t="shared" si="290"/>
        <v>--</v>
      </c>
      <c r="V1267" s="2314" t="str">
        <f t="shared" si="290"/>
        <v>--</v>
      </c>
      <c r="W1267" s="2314" t="str">
        <f t="shared" si="290"/>
        <v>--</v>
      </c>
      <c r="X1267" s="2314" t="str">
        <f t="shared" si="290"/>
        <v>--</v>
      </c>
      <c r="Y1267" s="2314" t="str">
        <f t="shared" si="290"/>
        <v>--</v>
      </c>
      <c r="AA1267" s="2060"/>
      <c r="AB1267" s="2060"/>
      <c r="AC1267" s="2060"/>
      <c r="AD1267" s="2060"/>
      <c r="AE1267" s="2060"/>
      <c r="AF1267" s="2060"/>
    </row>
    <row r="1268" spans="1:32" s="89" customFormat="1" ht="13.9">
      <c r="A1268" s="269" t="str">
        <f t="shared" si="289"/>
        <v>n</v>
      </c>
      <c r="B1268" s="2060"/>
      <c r="D1268" s="801"/>
      <c r="E1268" s="1505">
        <v>19</v>
      </c>
      <c r="F1268" s="21" t="str">
        <f>F$147</f>
        <v>--</v>
      </c>
      <c r="G1268" s="1441">
        <f>G$147</f>
        <v>0</v>
      </c>
      <c r="H1268" s="1441"/>
      <c r="I1268" s="1441"/>
      <c r="J1268" s="1441"/>
      <c r="K1268" s="2314" t="str">
        <f t="shared" ref="K1268:P1268" si="298">IFERROR(K677/K584,"--")</f>
        <v>--</v>
      </c>
      <c r="L1268" s="2314" t="str">
        <f t="shared" si="298"/>
        <v>--</v>
      </c>
      <c r="M1268" s="2314" t="str">
        <f t="shared" si="298"/>
        <v>--</v>
      </c>
      <c r="N1268" s="2314" t="str">
        <f t="shared" si="292"/>
        <v>--</v>
      </c>
      <c r="O1268" s="2315" t="str">
        <f t="shared" si="298"/>
        <v>--</v>
      </c>
      <c r="P1268" s="2314" t="str">
        <f t="shared" si="298"/>
        <v>--</v>
      </c>
      <c r="R1268" s="2310" t="str">
        <f>IFERROR(AVERAGE(K1268:$O1268),"")</f>
        <v/>
      </c>
      <c r="S1268" s="2310" t="str">
        <f>IFERROR(AVERAGE(M1268:$O1268),"")</f>
        <v/>
      </c>
      <c r="T1268" s="53"/>
      <c r="U1268" s="2314" t="str">
        <f t="shared" si="290"/>
        <v>--</v>
      </c>
      <c r="V1268" s="2314" t="str">
        <f t="shared" si="290"/>
        <v>--</v>
      </c>
      <c r="W1268" s="2314" t="str">
        <f t="shared" si="290"/>
        <v>--</v>
      </c>
      <c r="X1268" s="2314" t="str">
        <f t="shared" si="290"/>
        <v>--</v>
      </c>
      <c r="Y1268" s="2314" t="str">
        <f t="shared" si="290"/>
        <v>--</v>
      </c>
      <c r="AA1268" s="2060"/>
      <c r="AB1268" s="2060"/>
      <c r="AC1268" s="2060"/>
      <c r="AD1268" s="2060"/>
      <c r="AE1268" s="2060"/>
      <c r="AF1268" s="2060"/>
    </row>
    <row r="1269" spans="1:32" s="89" customFormat="1" ht="13.9">
      <c r="A1269" s="269" t="str">
        <f t="shared" si="289"/>
        <v>n</v>
      </c>
      <c r="B1269" s="2060"/>
      <c r="D1269" s="801"/>
      <c r="E1269" s="1505">
        <v>20</v>
      </c>
      <c r="F1269" s="21" t="str">
        <f>F$148</f>
        <v>--</v>
      </c>
      <c r="G1269" s="1441">
        <f>G$148</f>
        <v>0</v>
      </c>
      <c r="H1269" s="1441"/>
      <c r="I1269" s="1441"/>
      <c r="J1269" s="1441"/>
      <c r="K1269" s="2314" t="str">
        <f t="shared" ref="K1269:P1269" si="299">IFERROR(K678/K585,"--")</f>
        <v>--</v>
      </c>
      <c r="L1269" s="2314" t="str">
        <f t="shared" si="299"/>
        <v>--</v>
      </c>
      <c r="M1269" s="2314" t="str">
        <f t="shared" si="299"/>
        <v>--</v>
      </c>
      <c r="N1269" s="2314" t="str">
        <f t="shared" si="292"/>
        <v>--</v>
      </c>
      <c r="O1269" s="2315" t="str">
        <f t="shared" si="299"/>
        <v>--</v>
      </c>
      <c r="P1269" s="2314" t="str">
        <f t="shared" si="299"/>
        <v>--</v>
      </c>
      <c r="R1269" s="2310" t="str">
        <f>IFERROR(AVERAGE(K1269:$O1269),"")</f>
        <v/>
      </c>
      <c r="S1269" s="2310" t="str">
        <f>IFERROR(AVERAGE(M1269:$O1269),"")</f>
        <v/>
      </c>
      <c r="T1269" s="53"/>
      <c r="U1269" s="2314" t="str">
        <f t="shared" ref="U1269:Y1274" si="300">IFERROR(U678/U585,"--")</f>
        <v>--</v>
      </c>
      <c r="V1269" s="2314" t="str">
        <f t="shared" si="300"/>
        <v>--</v>
      </c>
      <c r="W1269" s="2314" t="str">
        <f t="shared" si="300"/>
        <v>--</v>
      </c>
      <c r="X1269" s="2314" t="str">
        <f t="shared" si="300"/>
        <v>--</v>
      </c>
      <c r="Y1269" s="2314" t="str">
        <f t="shared" si="300"/>
        <v>--</v>
      </c>
      <c r="AA1269" s="2060"/>
      <c r="AB1269" s="2060"/>
      <c r="AC1269" s="2060"/>
      <c r="AD1269" s="2060"/>
      <c r="AE1269" s="2060"/>
      <c r="AF1269" s="2060"/>
    </row>
    <row r="1270" spans="1:32" s="89" customFormat="1" ht="13.9">
      <c r="A1270" s="269" t="str">
        <f t="shared" si="289"/>
        <v>n</v>
      </c>
      <c r="B1270" s="2060"/>
      <c r="D1270" s="801"/>
      <c r="E1270" s="1505">
        <v>21</v>
      </c>
      <c r="F1270" s="21" t="str">
        <f>F$149</f>
        <v>--</v>
      </c>
      <c r="G1270" s="1441">
        <f>G$149</f>
        <v>0</v>
      </c>
      <c r="H1270" s="1441"/>
      <c r="I1270" s="1441"/>
      <c r="J1270" s="1441"/>
      <c r="K1270" s="2314" t="str">
        <f t="shared" ref="K1270:P1270" si="301">IFERROR(K679/K586,"--")</f>
        <v>--</v>
      </c>
      <c r="L1270" s="2314" t="str">
        <f t="shared" si="301"/>
        <v>--</v>
      </c>
      <c r="M1270" s="2314" t="str">
        <f t="shared" si="301"/>
        <v>--</v>
      </c>
      <c r="N1270" s="2314" t="str">
        <f t="shared" si="292"/>
        <v>--</v>
      </c>
      <c r="O1270" s="2315" t="str">
        <f t="shared" si="301"/>
        <v>--</v>
      </c>
      <c r="P1270" s="2314" t="str">
        <f t="shared" si="301"/>
        <v>--</v>
      </c>
      <c r="R1270" s="2310" t="str">
        <f>IFERROR(AVERAGE(K1270:$O1270),"")</f>
        <v/>
      </c>
      <c r="S1270" s="2310" t="str">
        <f>IFERROR(AVERAGE(M1270:$O1270),"")</f>
        <v/>
      </c>
      <c r="T1270" s="53"/>
      <c r="U1270" s="2314" t="str">
        <f t="shared" si="300"/>
        <v>--</v>
      </c>
      <c r="V1270" s="2314" t="str">
        <f t="shared" si="300"/>
        <v>--</v>
      </c>
      <c r="W1270" s="2314" t="str">
        <f t="shared" si="300"/>
        <v>--</v>
      </c>
      <c r="X1270" s="2314" t="str">
        <f t="shared" si="300"/>
        <v>--</v>
      </c>
      <c r="Y1270" s="2314" t="str">
        <f t="shared" si="300"/>
        <v>--</v>
      </c>
      <c r="AA1270" s="2060"/>
      <c r="AB1270" s="2060"/>
      <c r="AC1270" s="2060"/>
      <c r="AD1270" s="2060"/>
      <c r="AE1270" s="2060"/>
      <c r="AF1270" s="2060"/>
    </row>
    <row r="1271" spans="1:32" s="89" customFormat="1" ht="13.9">
      <c r="A1271" s="269" t="str">
        <f t="shared" si="289"/>
        <v>n</v>
      </c>
      <c r="B1271" s="2060"/>
      <c r="D1271" s="801"/>
      <c r="E1271" s="1505">
        <v>22</v>
      </c>
      <c r="F1271" s="21" t="str">
        <f>F$150</f>
        <v>--</v>
      </c>
      <c r="G1271" s="1441">
        <f>G$150</f>
        <v>0</v>
      </c>
      <c r="H1271" s="1441"/>
      <c r="I1271" s="1441"/>
      <c r="J1271" s="1441"/>
      <c r="K1271" s="2314" t="str">
        <f t="shared" ref="K1271:P1271" si="302">IFERROR(K680/K587,"--")</f>
        <v>--</v>
      </c>
      <c r="L1271" s="2314" t="str">
        <f t="shared" si="302"/>
        <v>--</v>
      </c>
      <c r="M1271" s="2314" t="str">
        <f t="shared" si="302"/>
        <v>--</v>
      </c>
      <c r="N1271" s="2314" t="str">
        <f t="shared" si="292"/>
        <v>--</v>
      </c>
      <c r="O1271" s="2315" t="str">
        <f t="shared" si="302"/>
        <v>--</v>
      </c>
      <c r="P1271" s="2314" t="str">
        <f t="shared" si="302"/>
        <v>--</v>
      </c>
      <c r="R1271" s="2310" t="str">
        <f>IFERROR(AVERAGE(K1271:$O1271),"")</f>
        <v/>
      </c>
      <c r="S1271" s="2310" t="str">
        <f>IFERROR(AVERAGE(M1271:$O1271),"")</f>
        <v/>
      </c>
      <c r="T1271" s="53"/>
      <c r="U1271" s="2314" t="str">
        <f t="shared" si="300"/>
        <v>--</v>
      </c>
      <c r="V1271" s="2314" t="str">
        <f t="shared" si="300"/>
        <v>--</v>
      </c>
      <c r="W1271" s="2314" t="str">
        <f t="shared" si="300"/>
        <v>--</v>
      </c>
      <c r="X1271" s="2314" t="str">
        <f t="shared" si="300"/>
        <v>--</v>
      </c>
      <c r="Y1271" s="2314" t="str">
        <f t="shared" si="300"/>
        <v>--</v>
      </c>
      <c r="AA1271" s="2060"/>
      <c r="AB1271" s="2060"/>
      <c r="AC1271" s="2060"/>
      <c r="AD1271" s="2060"/>
      <c r="AE1271" s="2060"/>
      <c r="AF1271" s="2060"/>
    </row>
    <row r="1272" spans="1:32" s="89" customFormat="1" ht="13.9">
      <c r="A1272" s="269" t="str">
        <f t="shared" si="289"/>
        <v>n</v>
      </c>
      <c r="B1272" s="2060"/>
      <c r="D1272" s="801"/>
      <c r="E1272" s="1505">
        <v>23</v>
      </c>
      <c r="F1272" s="21" t="str">
        <f>F$151</f>
        <v>--</v>
      </c>
      <c r="G1272" s="1441">
        <f>G$151</f>
        <v>0</v>
      </c>
      <c r="H1272" s="1441"/>
      <c r="I1272" s="1441"/>
      <c r="J1272" s="1441"/>
      <c r="K1272" s="2314" t="str">
        <f t="shared" ref="K1272:P1272" si="303">IFERROR(K681/K588,"--")</f>
        <v>--</v>
      </c>
      <c r="L1272" s="2314" t="str">
        <f t="shared" si="303"/>
        <v>--</v>
      </c>
      <c r="M1272" s="2314" t="str">
        <f t="shared" si="303"/>
        <v>--</v>
      </c>
      <c r="N1272" s="2314" t="str">
        <f t="shared" si="292"/>
        <v>--</v>
      </c>
      <c r="O1272" s="2315" t="str">
        <f t="shared" si="303"/>
        <v>--</v>
      </c>
      <c r="P1272" s="2314" t="str">
        <f t="shared" si="303"/>
        <v>--</v>
      </c>
      <c r="R1272" s="2310" t="str">
        <f>IFERROR(AVERAGE(K1272:$O1272),"")</f>
        <v/>
      </c>
      <c r="S1272" s="2310" t="str">
        <f>IFERROR(AVERAGE(M1272:$O1272),"")</f>
        <v/>
      </c>
      <c r="T1272" s="53"/>
      <c r="U1272" s="2314" t="str">
        <f t="shared" si="300"/>
        <v>--</v>
      </c>
      <c r="V1272" s="2314" t="str">
        <f t="shared" si="300"/>
        <v>--</v>
      </c>
      <c r="W1272" s="2314" t="str">
        <f t="shared" si="300"/>
        <v>--</v>
      </c>
      <c r="X1272" s="2314" t="str">
        <f t="shared" si="300"/>
        <v>--</v>
      </c>
      <c r="Y1272" s="2314" t="str">
        <f t="shared" si="300"/>
        <v>--</v>
      </c>
      <c r="AA1272" s="2060"/>
      <c r="AB1272" s="2060"/>
      <c r="AC1272" s="2060"/>
      <c r="AD1272" s="2060"/>
      <c r="AE1272" s="2060"/>
      <c r="AF1272" s="2060"/>
    </row>
    <row r="1273" spans="1:32" s="89" customFormat="1" ht="13.9">
      <c r="A1273" s="269" t="str">
        <f t="shared" si="289"/>
        <v>n</v>
      </c>
      <c r="B1273" s="2060"/>
      <c r="D1273" s="801"/>
      <c r="E1273" s="1505">
        <v>24</v>
      </c>
      <c r="F1273" s="21" t="str">
        <f>F$152</f>
        <v>--</v>
      </c>
      <c r="G1273" s="1441">
        <f>G$152</f>
        <v>0</v>
      </c>
      <c r="H1273" s="1441"/>
      <c r="I1273" s="1441"/>
      <c r="J1273" s="1441"/>
      <c r="K1273" s="2314" t="str">
        <f t="shared" ref="K1273:P1273" si="304">IFERROR(K682/K589,"--")</f>
        <v>--</v>
      </c>
      <c r="L1273" s="2314" t="str">
        <f t="shared" si="304"/>
        <v>--</v>
      </c>
      <c r="M1273" s="2314" t="str">
        <f t="shared" si="304"/>
        <v>--</v>
      </c>
      <c r="N1273" s="2314" t="str">
        <f t="shared" si="292"/>
        <v>--</v>
      </c>
      <c r="O1273" s="2315" t="str">
        <f t="shared" si="304"/>
        <v>--</v>
      </c>
      <c r="P1273" s="2314" t="str">
        <f t="shared" si="304"/>
        <v>--</v>
      </c>
      <c r="R1273" s="2310" t="str">
        <f>IFERROR(AVERAGE(K1273:$O1273),"")</f>
        <v/>
      </c>
      <c r="S1273" s="2310" t="str">
        <f>IFERROR(AVERAGE(M1273:$O1273),"")</f>
        <v/>
      </c>
      <c r="T1273" s="53"/>
      <c r="U1273" s="2314" t="str">
        <f t="shared" si="300"/>
        <v>--</v>
      </c>
      <c r="V1273" s="2314" t="str">
        <f t="shared" si="300"/>
        <v>--</v>
      </c>
      <c r="W1273" s="2314" t="str">
        <f t="shared" si="300"/>
        <v>--</v>
      </c>
      <c r="X1273" s="2314" t="str">
        <f t="shared" si="300"/>
        <v>--</v>
      </c>
      <c r="Y1273" s="2314" t="str">
        <f t="shared" si="300"/>
        <v>--</v>
      </c>
      <c r="AA1273" s="2060"/>
      <c r="AB1273" s="2060"/>
      <c r="AC1273" s="2060"/>
      <c r="AD1273" s="2060"/>
      <c r="AE1273" s="2060"/>
      <c r="AF1273" s="2060"/>
    </row>
    <row r="1274" spans="1:32" s="89" customFormat="1" ht="13.9">
      <c r="A1274" s="269" t="str">
        <f t="shared" si="289"/>
        <v>n</v>
      </c>
      <c r="B1274" s="2060"/>
      <c r="D1274" s="801"/>
      <c r="E1274" s="1505">
        <v>25</v>
      </c>
      <c r="F1274" s="21" t="str">
        <f>F$153</f>
        <v>--</v>
      </c>
      <c r="G1274" s="1441">
        <f>G$153</f>
        <v>0</v>
      </c>
      <c r="H1274" s="1441"/>
      <c r="I1274" s="1441"/>
      <c r="J1274" s="1441"/>
      <c r="K1274" s="2314" t="str">
        <f t="shared" ref="K1274:P1274" si="305">IFERROR(K683/K590,"--")</f>
        <v>--</v>
      </c>
      <c r="L1274" s="2314" t="str">
        <f t="shared" si="305"/>
        <v>--</v>
      </c>
      <c r="M1274" s="2314" t="str">
        <f t="shared" si="305"/>
        <v>--</v>
      </c>
      <c r="N1274" s="2314" t="str">
        <f t="shared" si="292"/>
        <v>--</v>
      </c>
      <c r="O1274" s="2315" t="str">
        <f t="shared" si="305"/>
        <v>--</v>
      </c>
      <c r="P1274" s="2314" t="str">
        <f t="shared" si="305"/>
        <v>--</v>
      </c>
      <c r="R1274" s="2310" t="str">
        <f>IFERROR(AVERAGE(K1274:$O1274),"")</f>
        <v/>
      </c>
      <c r="S1274" s="2310" t="str">
        <f>IFERROR(AVERAGE(M1274:$O1274),"")</f>
        <v/>
      </c>
      <c r="T1274" s="53"/>
      <c r="U1274" s="2314" t="str">
        <f t="shared" si="300"/>
        <v>--</v>
      </c>
      <c r="V1274" s="2314" t="str">
        <f t="shared" si="300"/>
        <v>--</v>
      </c>
      <c r="W1274" s="2314" t="str">
        <f t="shared" si="300"/>
        <v>--</v>
      </c>
      <c r="X1274" s="2314" t="str">
        <f t="shared" si="300"/>
        <v>--</v>
      </c>
      <c r="Y1274" s="2314" t="str">
        <f t="shared" si="300"/>
        <v>--</v>
      </c>
      <c r="AA1274" s="2060"/>
      <c r="AB1274" s="2060"/>
      <c r="AC1274" s="2060"/>
      <c r="AD1274" s="2060"/>
      <c r="AE1274" s="2060"/>
      <c r="AF1274" s="2060"/>
    </row>
    <row r="1275" spans="1:32" s="89" customFormat="1" ht="13.9">
      <c r="A1275" s="2060"/>
      <c r="B1275" s="2060"/>
      <c r="D1275" s="801"/>
      <c r="F1275" s="57" t="s">
        <v>767</v>
      </c>
      <c r="G1275" s="1442"/>
      <c r="H1275" s="1442"/>
      <c r="I1275" s="1442"/>
      <c r="J1275" s="1442"/>
      <c r="K1275" s="277" t="str">
        <f t="shared" ref="K1275:P1275" si="306">IFERROR(MEDIAN(K1250:K1274),"--")</f>
        <v>--</v>
      </c>
      <c r="L1275" s="277" t="str">
        <f t="shared" si="306"/>
        <v>--</v>
      </c>
      <c r="M1275" s="277" t="str">
        <f t="shared" si="306"/>
        <v>--</v>
      </c>
      <c r="N1275" s="277" t="str">
        <f>IFERROR(MEDIAN(N1250:N1274),"--")</f>
        <v>--</v>
      </c>
      <c r="O1275" s="278" t="str">
        <f t="shared" si="306"/>
        <v>--</v>
      </c>
      <c r="P1275" s="277" t="str">
        <f t="shared" si="306"/>
        <v>--</v>
      </c>
      <c r="R1275" s="504" t="str">
        <f>IFERROR(MEDIAN(R1250:R1274),"--")</f>
        <v>--</v>
      </c>
      <c r="S1275" s="504" t="str">
        <f>IFERROR(MEDIAN(S1250:S1274),"--")</f>
        <v>--</v>
      </c>
      <c r="T1275" s="1513"/>
      <c r="U1275" s="504" t="str">
        <f>IFERROR(MEDIAN(U1250:U1274),"--")</f>
        <v>--</v>
      </c>
      <c r="V1275" s="504" t="str">
        <f>IFERROR(MEDIAN(V1250:V1274),"--")</f>
        <v>--</v>
      </c>
      <c r="W1275" s="504" t="str">
        <f>IFERROR(MEDIAN(W1250:W1274),"--")</f>
        <v>--</v>
      </c>
      <c r="X1275" s="504" t="str">
        <f>IFERROR(MEDIAN(X1250:X1274),"--")</f>
        <v>--</v>
      </c>
      <c r="Y1275" s="504" t="str">
        <f>IFERROR(MEDIAN(Y1250:Y1274),"--")</f>
        <v>--</v>
      </c>
      <c r="AA1275" s="2060"/>
      <c r="AB1275" s="2060"/>
      <c r="AC1275" s="2060"/>
      <c r="AD1275" s="2060"/>
      <c r="AE1275" s="2060"/>
      <c r="AF1275" s="2060"/>
    </row>
    <row r="1276" spans="1:32" s="89" customFormat="1" ht="13.9">
      <c r="A1276" s="2060"/>
      <c r="B1276" s="2060"/>
      <c r="D1276" s="1436"/>
      <c r="E1276" s="56"/>
      <c r="F1276" s="21"/>
      <c r="O1276" s="75"/>
      <c r="P1276" s="76"/>
      <c r="AA1276" s="2060"/>
      <c r="AB1276" s="2060"/>
      <c r="AC1276" s="2060"/>
      <c r="AD1276" s="2060"/>
      <c r="AE1276" s="2060"/>
      <c r="AF1276" s="2060"/>
    </row>
    <row r="1277" spans="1:32" s="89" customFormat="1" ht="13.9">
      <c r="A1277" s="2060"/>
      <c r="B1277" s="2060"/>
      <c r="D1277" s="1436"/>
      <c r="E1277" s="56"/>
      <c r="F1277" s="21"/>
      <c r="O1277" s="75"/>
      <c r="P1277" s="76"/>
      <c r="AA1277" s="2060"/>
      <c r="AB1277" s="2060"/>
      <c r="AC1277" s="2060"/>
      <c r="AD1277" s="2060"/>
      <c r="AE1277" s="2060"/>
      <c r="AF1277" s="2060"/>
    </row>
    <row r="1278" spans="1:32" s="89" customFormat="1" ht="13.9">
      <c r="A1278" s="2060"/>
      <c r="B1278" s="2060"/>
      <c r="D1278" s="802"/>
      <c r="E1278" s="21"/>
      <c r="F1278" s="21"/>
      <c r="O1278" s="75"/>
      <c r="P1278" s="76"/>
      <c r="R1278" s="521"/>
      <c r="AA1278" s="2060"/>
      <c r="AB1278" s="2060"/>
      <c r="AC1278" s="2060"/>
      <c r="AD1278" s="2060"/>
      <c r="AE1278" s="2060"/>
      <c r="AF1278" s="2060"/>
    </row>
    <row r="1279" spans="1:32" s="89" customFormat="1" ht="13.9">
      <c r="A1279" s="2060"/>
      <c r="B1279" s="2060"/>
      <c r="D1279" s="778">
        <f ca="1">MAX(OFFSET(D1279,-1,0,-ROW(D1279)+1,-2),1)+0.01</f>
        <v>7.0599999999999987</v>
      </c>
      <c r="E1279" s="125"/>
      <c r="F1279" s="952" t="s">
        <v>409</v>
      </c>
      <c r="G1279" s="724" t="s">
        <v>795</v>
      </c>
      <c r="H1279" s="724"/>
      <c r="I1279" s="724"/>
      <c r="J1279" s="758"/>
      <c r="K1279" s="758" t="s">
        <v>700</v>
      </c>
      <c r="L1279" s="758" t="s">
        <v>701</v>
      </c>
      <c r="M1279" s="758" t="s">
        <v>702</v>
      </c>
      <c r="N1279" s="758" t="s">
        <v>703</v>
      </c>
      <c r="O1279" s="759" t="s">
        <v>704</v>
      </c>
      <c r="P1279" s="725" t="s">
        <v>705</v>
      </c>
      <c r="R1279" s="1459"/>
      <c r="AA1279" s="2060"/>
      <c r="AB1279" s="2060"/>
      <c r="AC1279" s="2060"/>
      <c r="AD1279" s="2060"/>
      <c r="AE1279" s="2060"/>
      <c r="AF1279" s="2060"/>
    </row>
    <row r="1280" spans="1:32" s="89" customFormat="1" ht="13.9">
      <c r="A1280" s="2060"/>
      <c r="B1280" s="2060"/>
      <c r="D1280" s="778"/>
      <c r="E1280" s="1505">
        <v>0</v>
      </c>
      <c r="F1280" s="1448" t="str">
        <f>F$128</f>
        <v/>
      </c>
      <c r="G1280" s="1449">
        <f>G$128</f>
        <v>0</v>
      </c>
      <c r="H1280" s="1449"/>
      <c r="I1280" s="258"/>
      <c r="J1280" s="258"/>
      <c r="K1280" s="2322" t="str">
        <f t="shared" ref="K1280:P1289" si="307">IFERROR(K782/K565,"--")</f>
        <v>--</v>
      </c>
      <c r="L1280" s="2322" t="str">
        <f t="shared" si="307"/>
        <v>--</v>
      </c>
      <c r="M1280" s="2322" t="str">
        <f t="shared" si="307"/>
        <v>--</v>
      </c>
      <c r="N1280" s="2322" t="str">
        <f t="shared" si="307"/>
        <v>--</v>
      </c>
      <c r="O1280" s="2324" t="str">
        <f t="shared" si="307"/>
        <v>--</v>
      </c>
      <c r="P1280" s="2322" t="str">
        <f t="shared" si="307"/>
        <v>--</v>
      </c>
      <c r="R1280" s="1459"/>
      <c r="AA1280" s="2060"/>
      <c r="AB1280" s="2060"/>
      <c r="AC1280" s="2060"/>
      <c r="AD1280" s="2060"/>
      <c r="AE1280" s="2060"/>
      <c r="AF1280" s="2060"/>
    </row>
    <row r="1281" spans="1:32" s="89" customFormat="1" ht="13.9">
      <c r="A1281" s="269" t="str">
        <f>IF(F1281="--","n","")</f>
        <v>n</v>
      </c>
      <c r="B1281" s="2060"/>
      <c r="C1281" s="72"/>
      <c r="D1281" s="801"/>
      <c r="E1281" s="1505">
        <v>1</v>
      </c>
      <c r="F1281" s="21" t="str">
        <f>F$129</f>
        <v>--</v>
      </c>
      <c r="G1281" s="1441">
        <f>G$129</f>
        <v>0</v>
      </c>
      <c r="H1281" s="1441"/>
      <c r="I1281" s="1441"/>
      <c r="J1281" s="1441"/>
      <c r="K1281" s="2314" t="str">
        <f t="shared" si="307"/>
        <v>--</v>
      </c>
      <c r="L1281" s="2314" t="str">
        <f t="shared" si="307"/>
        <v>--</v>
      </c>
      <c r="M1281" s="2314" t="str">
        <f t="shared" si="307"/>
        <v>--</v>
      </c>
      <c r="N1281" s="2314" t="str">
        <f t="shared" si="307"/>
        <v>--</v>
      </c>
      <c r="O1281" s="2315" t="str">
        <f t="shared" si="307"/>
        <v>--</v>
      </c>
      <c r="P1281" s="2314" t="str">
        <f t="shared" si="307"/>
        <v>--</v>
      </c>
      <c r="T1281" s="1513"/>
      <c r="AA1281" s="2060"/>
      <c r="AB1281" s="2060"/>
      <c r="AC1281" s="2060"/>
      <c r="AD1281" s="2060"/>
      <c r="AE1281" s="2060"/>
      <c r="AF1281" s="2060"/>
    </row>
    <row r="1282" spans="1:32" s="89" customFormat="1" ht="13.9">
      <c r="A1282" s="269" t="str">
        <f t="shared" ref="A1282:A1305" si="308">IF(F1282="--","n","")</f>
        <v>n</v>
      </c>
      <c r="B1282" s="2060"/>
      <c r="D1282" s="801"/>
      <c r="E1282" s="1505">
        <v>2</v>
      </c>
      <c r="F1282" s="21" t="str">
        <f>F$130</f>
        <v>--</v>
      </c>
      <c r="G1282" s="1441">
        <f>G$130</f>
        <v>0</v>
      </c>
      <c r="H1282" s="1441"/>
      <c r="I1282" s="1441"/>
      <c r="J1282" s="1441"/>
      <c r="K1282" s="2314" t="str">
        <f t="shared" si="307"/>
        <v>--</v>
      </c>
      <c r="L1282" s="2314" t="str">
        <f t="shared" si="307"/>
        <v>--</v>
      </c>
      <c r="M1282" s="2314" t="str">
        <f t="shared" si="307"/>
        <v>--</v>
      </c>
      <c r="N1282" s="2314" t="str">
        <f t="shared" si="307"/>
        <v>--</v>
      </c>
      <c r="O1282" s="2315" t="str">
        <f t="shared" si="307"/>
        <v>--</v>
      </c>
      <c r="P1282" s="2314" t="str">
        <f t="shared" si="307"/>
        <v>--</v>
      </c>
      <c r="T1282" s="1513"/>
      <c r="AA1282" s="2060"/>
      <c r="AB1282" s="2060"/>
      <c r="AC1282" s="2060"/>
      <c r="AD1282" s="2060"/>
      <c r="AE1282" s="2060"/>
      <c r="AF1282" s="2060"/>
    </row>
    <row r="1283" spans="1:32" s="89" customFormat="1" ht="13.9">
      <c r="A1283" s="269" t="str">
        <f t="shared" si="308"/>
        <v>n</v>
      </c>
      <c r="B1283" s="2060"/>
      <c r="C1283" s="72"/>
      <c r="D1283" s="802"/>
      <c r="E1283" s="1505">
        <v>3</v>
      </c>
      <c r="F1283" s="21" t="str">
        <f>F$131</f>
        <v>--</v>
      </c>
      <c r="G1283" s="1441">
        <f>G$131</f>
        <v>0</v>
      </c>
      <c r="H1283" s="1441"/>
      <c r="I1283" s="1441"/>
      <c r="J1283" s="1441"/>
      <c r="K1283" s="2314" t="str">
        <f t="shared" si="307"/>
        <v>--</v>
      </c>
      <c r="L1283" s="2314" t="str">
        <f t="shared" si="307"/>
        <v>--</v>
      </c>
      <c r="M1283" s="2314" t="str">
        <f t="shared" si="307"/>
        <v>--</v>
      </c>
      <c r="N1283" s="2314" t="str">
        <f t="shared" si="307"/>
        <v>--</v>
      </c>
      <c r="O1283" s="2315" t="str">
        <f t="shared" si="307"/>
        <v>--</v>
      </c>
      <c r="P1283" s="2314" t="str">
        <f t="shared" si="307"/>
        <v>--</v>
      </c>
      <c r="T1283" s="1513"/>
      <c r="AA1283" s="2060"/>
      <c r="AB1283" s="2060"/>
      <c r="AC1283" s="2060"/>
      <c r="AD1283" s="2060"/>
      <c r="AE1283" s="2060"/>
      <c r="AF1283" s="2060"/>
    </row>
    <row r="1284" spans="1:32" s="89" customFormat="1" ht="13.9">
      <c r="A1284" s="269" t="str">
        <f t="shared" si="308"/>
        <v>n</v>
      </c>
      <c r="B1284" s="2060"/>
      <c r="C1284" s="72"/>
      <c r="D1284" s="801"/>
      <c r="E1284" s="1505">
        <v>4</v>
      </c>
      <c r="F1284" s="21" t="str">
        <f>F$132</f>
        <v>--</v>
      </c>
      <c r="G1284" s="1441">
        <f>G$132</f>
        <v>0</v>
      </c>
      <c r="H1284" s="1441"/>
      <c r="I1284" s="1441"/>
      <c r="J1284" s="1441"/>
      <c r="K1284" s="2314" t="str">
        <f t="shared" si="307"/>
        <v>--</v>
      </c>
      <c r="L1284" s="2314" t="str">
        <f t="shared" si="307"/>
        <v>--</v>
      </c>
      <c r="M1284" s="2314" t="str">
        <f t="shared" si="307"/>
        <v>--</v>
      </c>
      <c r="N1284" s="2314" t="str">
        <f t="shared" si="307"/>
        <v>--</v>
      </c>
      <c r="O1284" s="2315" t="str">
        <f t="shared" si="307"/>
        <v>--</v>
      </c>
      <c r="P1284" s="2314" t="str">
        <f t="shared" si="307"/>
        <v>--</v>
      </c>
      <c r="T1284" s="1513"/>
      <c r="AA1284" s="2060"/>
      <c r="AB1284" s="2060"/>
      <c r="AC1284" s="2060"/>
      <c r="AD1284" s="2060"/>
      <c r="AE1284" s="2060"/>
      <c r="AF1284" s="2060"/>
    </row>
    <row r="1285" spans="1:32" s="89" customFormat="1" ht="13.9">
      <c r="A1285" s="269" t="str">
        <f t="shared" si="308"/>
        <v>n</v>
      </c>
      <c r="B1285" s="2060"/>
      <c r="C1285" s="72"/>
      <c r="D1285" s="801"/>
      <c r="E1285" s="1505">
        <v>5</v>
      </c>
      <c r="F1285" s="21" t="str">
        <f>F$133</f>
        <v>--</v>
      </c>
      <c r="G1285" s="1441">
        <f>G$133</f>
        <v>0</v>
      </c>
      <c r="H1285" s="1441"/>
      <c r="I1285" s="1441"/>
      <c r="J1285" s="1441"/>
      <c r="K1285" s="2314" t="str">
        <f t="shared" si="307"/>
        <v>--</v>
      </c>
      <c r="L1285" s="2314" t="str">
        <f t="shared" si="307"/>
        <v>--</v>
      </c>
      <c r="M1285" s="2314" t="str">
        <f t="shared" si="307"/>
        <v>--</v>
      </c>
      <c r="N1285" s="2314" t="str">
        <f t="shared" si="307"/>
        <v>--</v>
      </c>
      <c r="O1285" s="2315" t="str">
        <f t="shared" si="307"/>
        <v>--</v>
      </c>
      <c r="P1285" s="2314" t="str">
        <f t="shared" si="307"/>
        <v>--</v>
      </c>
      <c r="T1285" s="1513"/>
      <c r="AA1285" s="2060"/>
      <c r="AB1285" s="2060"/>
      <c r="AC1285" s="2060"/>
      <c r="AD1285" s="2060"/>
      <c r="AE1285" s="2060"/>
      <c r="AF1285" s="2060"/>
    </row>
    <row r="1286" spans="1:32" s="89" customFormat="1" ht="13.9">
      <c r="A1286" s="269" t="str">
        <f t="shared" si="308"/>
        <v>n</v>
      </c>
      <c r="B1286" s="2060"/>
      <c r="C1286" s="72"/>
      <c r="D1286" s="801"/>
      <c r="E1286" s="1505">
        <v>6</v>
      </c>
      <c r="F1286" s="21" t="str">
        <f>F$134</f>
        <v>--</v>
      </c>
      <c r="G1286" s="1441">
        <f>G$134</f>
        <v>0</v>
      </c>
      <c r="H1286" s="1441"/>
      <c r="I1286" s="1441"/>
      <c r="J1286" s="1441"/>
      <c r="K1286" s="2314" t="str">
        <f t="shared" si="307"/>
        <v>--</v>
      </c>
      <c r="L1286" s="2314" t="str">
        <f t="shared" si="307"/>
        <v>--</v>
      </c>
      <c r="M1286" s="2314" t="str">
        <f t="shared" si="307"/>
        <v>--</v>
      </c>
      <c r="N1286" s="2314" t="str">
        <f t="shared" si="307"/>
        <v>--</v>
      </c>
      <c r="O1286" s="2315" t="str">
        <f t="shared" si="307"/>
        <v>--</v>
      </c>
      <c r="P1286" s="2314" t="str">
        <f t="shared" si="307"/>
        <v>--</v>
      </c>
      <c r="T1286" s="1513"/>
      <c r="AA1286" s="2060"/>
      <c r="AB1286" s="2060"/>
      <c r="AC1286" s="2060"/>
      <c r="AD1286" s="2060"/>
      <c r="AE1286" s="2060"/>
      <c r="AF1286" s="2060"/>
    </row>
    <row r="1287" spans="1:32" s="89" customFormat="1" ht="13.9">
      <c r="A1287" s="269" t="str">
        <f t="shared" si="308"/>
        <v>n</v>
      </c>
      <c r="B1287" s="2060"/>
      <c r="D1287" s="801"/>
      <c r="E1287" s="1505">
        <v>7</v>
      </c>
      <c r="F1287" s="21" t="str">
        <f>F$135</f>
        <v>--</v>
      </c>
      <c r="G1287" s="1441">
        <f>G$135</f>
        <v>0</v>
      </c>
      <c r="H1287" s="1441"/>
      <c r="I1287" s="1441"/>
      <c r="J1287" s="1441"/>
      <c r="K1287" s="2314" t="str">
        <f t="shared" si="307"/>
        <v>--</v>
      </c>
      <c r="L1287" s="2314" t="str">
        <f t="shared" si="307"/>
        <v>--</v>
      </c>
      <c r="M1287" s="2314" t="str">
        <f t="shared" si="307"/>
        <v>--</v>
      </c>
      <c r="N1287" s="2314" t="str">
        <f t="shared" si="307"/>
        <v>--</v>
      </c>
      <c r="O1287" s="2315" t="str">
        <f t="shared" si="307"/>
        <v>--</v>
      </c>
      <c r="P1287" s="2314" t="str">
        <f t="shared" si="307"/>
        <v>--</v>
      </c>
      <c r="T1287" s="1513"/>
      <c r="AA1287" s="2060"/>
      <c r="AB1287" s="2060"/>
      <c r="AC1287" s="2060"/>
      <c r="AD1287" s="2060"/>
      <c r="AE1287" s="2060"/>
      <c r="AF1287" s="2060"/>
    </row>
    <row r="1288" spans="1:32" s="89" customFormat="1" ht="13.9">
      <c r="A1288" s="269" t="str">
        <f t="shared" si="308"/>
        <v>n</v>
      </c>
      <c r="B1288" s="2060"/>
      <c r="D1288" s="801"/>
      <c r="E1288" s="1505">
        <v>8</v>
      </c>
      <c r="F1288" s="21" t="str">
        <f>F$136</f>
        <v>--</v>
      </c>
      <c r="G1288" s="1441">
        <f>G$136</f>
        <v>0</v>
      </c>
      <c r="H1288" s="1441"/>
      <c r="I1288" s="1441"/>
      <c r="J1288" s="1441"/>
      <c r="K1288" s="2314" t="str">
        <f t="shared" si="307"/>
        <v>--</v>
      </c>
      <c r="L1288" s="2314" t="str">
        <f t="shared" si="307"/>
        <v>--</v>
      </c>
      <c r="M1288" s="2314" t="str">
        <f t="shared" si="307"/>
        <v>--</v>
      </c>
      <c r="N1288" s="2314" t="str">
        <f t="shared" si="307"/>
        <v>--</v>
      </c>
      <c r="O1288" s="2315" t="str">
        <f t="shared" si="307"/>
        <v>--</v>
      </c>
      <c r="P1288" s="2314" t="str">
        <f t="shared" si="307"/>
        <v>--</v>
      </c>
      <c r="T1288" s="1513"/>
      <c r="AA1288" s="2060"/>
      <c r="AB1288" s="2060"/>
      <c r="AC1288" s="2060"/>
      <c r="AD1288" s="2060"/>
      <c r="AE1288" s="2060"/>
      <c r="AF1288" s="2060"/>
    </row>
    <row r="1289" spans="1:32" s="89" customFormat="1" ht="13.9">
      <c r="A1289" s="269" t="str">
        <f t="shared" si="308"/>
        <v>n</v>
      </c>
      <c r="B1289" s="2060"/>
      <c r="D1289" s="801"/>
      <c r="E1289" s="1505">
        <v>9</v>
      </c>
      <c r="F1289" s="21" t="str">
        <f>F$137</f>
        <v>--</v>
      </c>
      <c r="G1289" s="1441">
        <f>G$137</f>
        <v>0</v>
      </c>
      <c r="H1289" s="1441"/>
      <c r="I1289" s="1441"/>
      <c r="J1289" s="1441"/>
      <c r="K1289" s="2314" t="str">
        <f t="shared" si="307"/>
        <v>--</v>
      </c>
      <c r="L1289" s="2314" t="str">
        <f t="shared" si="307"/>
        <v>--</v>
      </c>
      <c r="M1289" s="2314" t="str">
        <f t="shared" si="307"/>
        <v>--</v>
      </c>
      <c r="N1289" s="2314" t="str">
        <f t="shared" si="307"/>
        <v>--</v>
      </c>
      <c r="O1289" s="2315" t="str">
        <f t="shared" si="307"/>
        <v>--</v>
      </c>
      <c r="P1289" s="2314" t="str">
        <f t="shared" si="307"/>
        <v>--</v>
      </c>
      <c r="T1289" s="1513"/>
      <c r="AA1289" s="2060"/>
      <c r="AB1289" s="2060"/>
      <c r="AC1289" s="2060"/>
      <c r="AD1289" s="2060"/>
      <c r="AE1289" s="2060"/>
      <c r="AF1289" s="2060"/>
    </row>
    <row r="1290" spans="1:32" s="89" customFormat="1" ht="13.9">
      <c r="A1290" s="269" t="str">
        <f t="shared" si="308"/>
        <v>n</v>
      </c>
      <c r="B1290" s="2060"/>
      <c r="D1290" s="801"/>
      <c r="E1290" s="1505">
        <v>10</v>
      </c>
      <c r="F1290" s="21" t="str">
        <f>F$138</f>
        <v>--</v>
      </c>
      <c r="G1290" s="1441">
        <f>G$138</f>
        <v>0</v>
      </c>
      <c r="H1290" s="1441"/>
      <c r="I1290" s="1441"/>
      <c r="J1290" s="1441"/>
      <c r="K1290" s="2314" t="str">
        <f t="shared" ref="K1290:P1290" si="309">IFERROR(K792/K575,"--")</f>
        <v>--</v>
      </c>
      <c r="L1290" s="2314" t="str">
        <f t="shared" si="309"/>
        <v>--</v>
      </c>
      <c r="M1290" s="2314" t="str">
        <f t="shared" si="309"/>
        <v>--</v>
      </c>
      <c r="N1290" s="2314" t="str">
        <f t="shared" ref="N1290:N1305" si="310">IFERROR(N792/N575,"--")</f>
        <v>--</v>
      </c>
      <c r="O1290" s="2315" t="str">
        <f t="shared" si="309"/>
        <v>--</v>
      </c>
      <c r="P1290" s="2314" t="str">
        <f t="shared" si="309"/>
        <v>--</v>
      </c>
      <c r="T1290" s="1513"/>
      <c r="AA1290" s="2060"/>
      <c r="AB1290" s="2060"/>
      <c r="AC1290" s="2060"/>
      <c r="AD1290" s="2060"/>
      <c r="AE1290" s="2060"/>
      <c r="AF1290" s="2060"/>
    </row>
    <row r="1291" spans="1:32" s="89" customFormat="1" ht="13.9">
      <c r="A1291" s="269" t="str">
        <f t="shared" si="308"/>
        <v>n</v>
      </c>
      <c r="B1291" s="2060"/>
      <c r="D1291" s="801"/>
      <c r="E1291" s="1505">
        <v>11</v>
      </c>
      <c r="F1291" s="21" t="str">
        <f>F$139</f>
        <v>--</v>
      </c>
      <c r="G1291" s="1441">
        <f>G$139</f>
        <v>0</v>
      </c>
      <c r="H1291" s="1441"/>
      <c r="I1291" s="1441"/>
      <c r="J1291" s="1441"/>
      <c r="K1291" s="2314" t="str">
        <f t="shared" ref="K1291:P1291" si="311">IFERROR(K793/K576,"--")</f>
        <v>--</v>
      </c>
      <c r="L1291" s="2314" t="str">
        <f t="shared" si="311"/>
        <v>--</v>
      </c>
      <c r="M1291" s="2314" t="str">
        <f t="shared" si="311"/>
        <v>--</v>
      </c>
      <c r="N1291" s="2314" t="str">
        <f t="shared" si="310"/>
        <v>--</v>
      </c>
      <c r="O1291" s="2315" t="str">
        <f t="shared" si="311"/>
        <v>--</v>
      </c>
      <c r="P1291" s="2314" t="str">
        <f t="shared" si="311"/>
        <v>--</v>
      </c>
      <c r="T1291" s="53"/>
      <c r="AA1291" s="2060"/>
      <c r="AB1291" s="2060"/>
      <c r="AC1291" s="2060"/>
      <c r="AD1291" s="2060"/>
      <c r="AE1291" s="2060"/>
      <c r="AF1291" s="2060"/>
    </row>
    <row r="1292" spans="1:32" s="89" customFormat="1" ht="13.9">
      <c r="A1292" s="269" t="str">
        <f t="shared" si="308"/>
        <v>n</v>
      </c>
      <c r="B1292" s="2060"/>
      <c r="D1292" s="801"/>
      <c r="E1292" s="1505">
        <v>12</v>
      </c>
      <c r="F1292" s="21" t="str">
        <f>F$140</f>
        <v>--</v>
      </c>
      <c r="G1292" s="1441">
        <f>G$140</f>
        <v>0</v>
      </c>
      <c r="H1292" s="1441"/>
      <c r="I1292" s="1441"/>
      <c r="J1292" s="1441"/>
      <c r="K1292" s="2314" t="str">
        <f t="shared" ref="K1292:P1292" si="312">IFERROR(K794/K577,"--")</f>
        <v>--</v>
      </c>
      <c r="L1292" s="2314" t="str">
        <f t="shared" si="312"/>
        <v>--</v>
      </c>
      <c r="M1292" s="2314" t="str">
        <f t="shared" si="312"/>
        <v>--</v>
      </c>
      <c r="N1292" s="2314" t="str">
        <f t="shared" si="310"/>
        <v>--</v>
      </c>
      <c r="O1292" s="2315" t="str">
        <f t="shared" si="312"/>
        <v>--</v>
      </c>
      <c r="P1292" s="2314" t="str">
        <f t="shared" si="312"/>
        <v>--</v>
      </c>
      <c r="T1292" s="53"/>
      <c r="AA1292" s="2060"/>
      <c r="AB1292" s="2060"/>
      <c r="AC1292" s="2060"/>
      <c r="AD1292" s="2060"/>
      <c r="AE1292" s="2060"/>
      <c r="AF1292" s="2060"/>
    </row>
    <row r="1293" spans="1:32" s="89" customFormat="1" ht="13.9">
      <c r="A1293" s="269" t="str">
        <f t="shared" si="308"/>
        <v>n</v>
      </c>
      <c r="B1293" s="2060"/>
      <c r="D1293" s="801"/>
      <c r="E1293" s="1505">
        <v>13</v>
      </c>
      <c r="F1293" s="21" t="str">
        <f>F$141</f>
        <v>--</v>
      </c>
      <c r="G1293" s="1441">
        <f>G$141</f>
        <v>0</v>
      </c>
      <c r="H1293" s="1441"/>
      <c r="I1293" s="1441"/>
      <c r="J1293" s="1441"/>
      <c r="K1293" s="2314" t="str">
        <f t="shared" ref="K1293:P1293" si="313">IFERROR(K795/K578,"--")</f>
        <v>--</v>
      </c>
      <c r="L1293" s="2314" t="str">
        <f t="shared" si="313"/>
        <v>--</v>
      </c>
      <c r="M1293" s="2314" t="str">
        <f t="shared" si="313"/>
        <v>--</v>
      </c>
      <c r="N1293" s="2314" t="str">
        <f t="shared" si="310"/>
        <v>--</v>
      </c>
      <c r="O1293" s="2315" t="str">
        <f t="shared" si="313"/>
        <v>--</v>
      </c>
      <c r="P1293" s="2314" t="str">
        <f t="shared" si="313"/>
        <v>--</v>
      </c>
      <c r="T1293" s="53"/>
      <c r="AA1293" s="2060"/>
      <c r="AB1293" s="2060"/>
      <c r="AC1293" s="2060"/>
      <c r="AD1293" s="2060"/>
      <c r="AE1293" s="2060"/>
      <c r="AF1293" s="2060"/>
    </row>
    <row r="1294" spans="1:32" s="89" customFormat="1" ht="13.9">
      <c r="A1294" s="269" t="str">
        <f t="shared" si="308"/>
        <v>n</v>
      </c>
      <c r="B1294" s="2060"/>
      <c r="D1294" s="801"/>
      <c r="E1294" s="1505">
        <v>14</v>
      </c>
      <c r="F1294" s="21" t="str">
        <f>F$142</f>
        <v>--</v>
      </c>
      <c r="G1294" s="1441">
        <f>G$142</f>
        <v>0</v>
      </c>
      <c r="H1294" s="1441"/>
      <c r="I1294" s="1441"/>
      <c r="J1294" s="1441"/>
      <c r="K1294" s="2314" t="str">
        <f t="shared" ref="K1294:P1294" si="314">IFERROR(K796/K579,"--")</f>
        <v>--</v>
      </c>
      <c r="L1294" s="2314" t="str">
        <f t="shared" si="314"/>
        <v>--</v>
      </c>
      <c r="M1294" s="2314" t="str">
        <f t="shared" si="314"/>
        <v>--</v>
      </c>
      <c r="N1294" s="2314" t="str">
        <f t="shared" si="310"/>
        <v>--</v>
      </c>
      <c r="O1294" s="2315" t="str">
        <f t="shared" si="314"/>
        <v>--</v>
      </c>
      <c r="P1294" s="2314" t="str">
        <f t="shared" si="314"/>
        <v>--</v>
      </c>
      <c r="T1294" s="53"/>
      <c r="AA1294" s="2060"/>
      <c r="AB1294" s="2060"/>
      <c r="AC1294" s="2060"/>
      <c r="AD1294" s="2060"/>
      <c r="AE1294" s="2060"/>
      <c r="AF1294" s="2060"/>
    </row>
    <row r="1295" spans="1:32" s="89" customFormat="1" ht="13.9">
      <c r="A1295" s="269" t="str">
        <f t="shared" si="308"/>
        <v>n</v>
      </c>
      <c r="B1295" s="2060"/>
      <c r="D1295" s="801"/>
      <c r="E1295" s="1505">
        <v>15</v>
      </c>
      <c r="F1295" s="21" t="str">
        <f>F$143</f>
        <v>--</v>
      </c>
      <c r="G1295" s="1441">
        <f>G$143</f>
        <v>0</v>
      </c>
      <c r="H1295" s="1441"/>
      <c r="I1295" s="1441"/>
      <c r="J1295" s="1441"/>
      <c r="K1295" s="2314" t="str">
        <f t="shared" ref="K1295:P1295" si="315">IFERROR(K797/K580,"--")</f>
        <v>--</v>
      </c>
      <c r="L1295" s="2314" t="str">
        <f t="shared" si="315"/>
        <v>--</v>
      </c>
      <c r="M1295" s="2314" t="str">
        <f t="shared" si="315"/>
        <v>--</v>
      </c>
      <c r="N1295" s="2314" t="str">
        <f t="shared" si="310"/>
        <v>--</v>
      </c>
      <c r="O1295" s="2315" t="str">
        <f t="shared" si="315"/>
        <v>--</v>
      </c>
      <c r="P1295" s="2314" t="str">
        <f t="shared" si="315"/>
        <v>--</v>
      </c>
      <c r="T1295" s="53"/>
      <c r="AA1295" s="2060"/>
      <c r="AB1295" s="2060"/>
      <c r="AC1295" s="2060"/>
      <c r="AD1295" s="2060"/>
      <c r="AE1295" s="2060"/>
      <c r="AF1295" s="2060"/>
    </row>
    <row r="1296" spans="1:32" s="89" customFormat="1" ht="13.9">
      <c r="A1296" s="269" t="str">
        <f t="shared" si="308"/>
        <v>n</v>
      </c>
      <c r="B1296" s="2060"/>
      <c r="D1296" s="801"/>
      <c r="E1296" s="1505">
        <v>16</v>
      </c>
      <c r="F1296" s="21" t="str">
        <f>F$144</f>
        <v>--</v>
      </c>
      <c r="G1296" s="1441">
        <f>G$144</f>
        <v>0</v>
      </c>
      <c r="H1296" s="1441"/>
      <c r="I1296" s="1441"/>
      <c r="J1296" s="1441"/>
      <c r="K1296" s="2314" t="str">
        <f t="shared" ref="K1296:P1296" si="316">IFERROR(K798/K581,"--")</f>
        <v>--</v>
      </c>
      <c r="L1296" s="2314" t="str">
        <f t="shared" si="316"/>
        <v>--</v>
      </c>
      <c r="M1296" s="2314" t="str">
        <f t="shared" si="316"/>
        <v>--</v>
      </c>
      <c r="N1296" s="2314" t="str">
        <f t="shared" si="310"/>
        <v>--</v>
      </c>
      <c r="O1296" s="2315" t="str">
        <f t="shared" si="316"/>
        <v>--</v>
      </c>
      <c r="P1296" s="2314" t="str">
        <f t="shared" si="316"/>
        <v>--</v>
      </c>
      <c r="T1296" s="53"/>
      <c r="AA1296" s="2060"/>
      <c r="AB1296" s="2060"/>
      <c r="AC1296" s="2060"/>
      <c r="AD1296" s="2060"/>
      <c r="AE1296" s="2060"/>
      <c r="AF1296" s="2060"/>
    </row>
    <row r="1297" spans="1:32" s="89" customFormat="1" ht="13.9">
      <c r="A1297" s="269" t="str">
        <f t="shared" si="308"/>
        <v>n</v>
      </c>
      <c r="B1297" s="2060"/>
      <c r="D1297" s="801"/>
      <c r="E1297" s="1505">
        <v>17</v>
      </c>
      <c r="F1297" s="21" t="str">
        <f>F$145</f>
        <v>--</v>
      </c>
      <c r="G1297" s="1441">
        <f>G$145</f>
        <v>0</v>
      </c>
      <c r="H1297" s="1441"/>
      <c r="I1297" s="1441"/>
      <c r="J1297" s="1441"/>
      <c r="K1297" s="2314" t="str">
        <f t="shared" ref="K1297:P1297" si="317">IFERROR(K799/K582,"--")</f>
        <v>--</v>
      </c>
      <c r="L1297" s="2314" t="str">
        <f t="shared" si="317"/>
        <v>--</v>
      </c>
      <c r="M1297" s="2314" t="str">
        <f t="shared" si="317"/>
        <v>--</v>
      </c>
      <c r="N1297" s="2314" t="str">
        <f t="shared" si="310"/>
        <v>--</v>
      </c>
      <c r="O1297" s="2315" t="str">
        <f t="shared" si="317"/>
        <v>--</v>
      </c>
      <c r="P1297" s="2314" t="str">
        <f t="shared" si="317"/>
        <v>--</v>
      </c>
      <c r="T1297" s="53"/>
      <c r="AA1297" s="2060"/>
      <c r="AB1297" s="2060"/>
      <c r="AC1297" s="2060"/>
      <c r="AD1297" s="2060"/>
      <c r="AE1297" s="2060"/>
      <c r="AF1297" s="2060"/>
    </row>
    <row r="1298" spans="1:32" s="89" customFormat="1" ht="13.9">
      <c r="A1298" s="269" t="str">
        <f t="shared" si="308"/>
        <v>n</v>
      </c>
      <c r="B1298" s="2060"/>
      <c r="D1298" s="801"/>
      <c r="E1298" s="1505">
        <v>18</v>
      </c>
      <c r="F1298" s="21" t="str">
        <f>F$146</f>
        <v>--</v>
      </c>
      <c r="G1298" s="1441">
        <f>G$146</f>
        <v>0</v>
      </c>
      <c r="H1298" s="1441"/>
      <c r="I1298" s="1441"/>
      <c r="J1298" s="1441"/>
      <c r="K1298" s="2314" t="str">
        <f t="shared" ref="K1298:P1298" si="318">IFERROR(K800/K583,"--")</f>
        <v>--</v>
      </c>
      <c r="L1298" s="2314" t="str">
        <f t="shared" si="318"/>
        <v>--</v>
      </c>
      <c r="M1298" s="2314" t="str">
        <f t="shared" si="318"/>
        <v>--</v>
      </c>
      <c r="N1298" s="2314" t="str">
        <f t="shared" si="310"/>
        <v>--</v>
      </c>
      <c r="O1298" s="2315" t="str">
        <f t="shared" si="318"/>
        <v>--</v>
      </c>
      <c r="P1298" s="2314" t="str">
        <f t="shared" si="318"/>
        <v>--</v>
      </c>
      <c r="T1298" s="53"/>
      <c r="AA1298" s="2060"/>
      <c r="AB1298" s="2060"/>
      <c r="AC1298" s="2060"/>
      <c r="AD1298" s="2060"/>
      <c r="AE1298" s="2060"/>
      <c r="AF1298" s="2060"/>
    </row>
    <row r="1299" spans="1:32" s="89" customFormat="1" ht="13.9">
      <c r="A1299" s="269" t="str">
        <f t="shared" si="308"/>
        <v>n</v>
      </c>
      <c r="B1299" s="2060"/>
      <c r="D1299" s="801"/>
      <c r="E1299" s="1505">
        <v>19</v>
      </c>
      <c r="F1299" s="21" t="str">
        <f>F$147</f>
        <v>--</v>
      </c>
      <c r="G1299" s="1441">
        <f>G$147</f>
        <v>0</v>
      </c>
      <c r="H1299" s="1441"/>
      <c r="I1299" s="1441"/>
      <c r="J1299" s="1441"/>
      <c r="K1299" s="2314" t="str">
        <f t="shared" ref="K1299:P1299" si="319">IFERROR(K801/K584,"--")</f>
        <v>--</v>
      </c>
      <c r="L1299" s="2314" t="str">
        <f t="shared" si="319"/>
        <v>--</v>
      </c>
      <c r="M1299" s="2314" t="str">
        <f t="shared" si="319"/>
        <v>--</v>
      </c>
      <c r="N1299" s="2314" t="str">
        <f t="shared" si="310"/>
        <v>--</v>
      </c>
      <c r="O1299" s="2315" t="str">
        <f t="shared" si="319"/>
        <v>--</v>
      </c>
      <c r="P1299" s="2314" t="str">
        <f t="shared" si="319"/>
        <v>--</v>
      </c>
      <c r="T1299" s="53"/>
      <c r="AA1299" s="2060"/>
      <c r="AB1299" s="2060"/>
      <c r="AC1299" s="2060"/>
      <c r="AD1299" s="2060"/>
      <c r="AE1299" s="2060"/>
      <c r="AF1299" s="2060"/>
    </row>
    <row r="1300" spans="1:32" s="89" customFormat="1" ht="13.9">
      <c r="A1300" s="269" t="str">
        <f t="shared" si="308"/>
        <v>n</v>
      </c>
      <c r="B1300" s="2060"/>
      <c r="D1300" s="801"/>
      <c r="E1300" s="1505">
        <v>20</v>
      </c>
      <c r="F1300" s="21" t="str">
        <f>F$148</f>
        <v>--</v>
      </c>
      <c r="G1300" s="1441">
        <f>G$148</f>
        <v>0</v>
      </c>
      <c r="H1300" s="1441"/>
      <c r="I1300" s="1441"/>
      <c r="J1300" s="1441"/>
      <c r="K1300" s="2314" t="str">
        <f t="shared" ref="K1300:P1300" si="320">IFERROR(K802/K585,"--")</f>
        <v>--</v>
      </c>
      <c r="L1300" s="2314" t="str">
        <f t="shared" si="320"/>
        <v>--</v>
      </c>
      <c r="M1300" s="2314" t="str">
        <f t="shared" si="320"/>
        <v>--</v>
      </c>
      <c r="N1300" s="2314" t="str">
        <f t="shared" si="310"/>
        <v>--</v>
      </c>
      <c r="O1300" s="2315" t="str">
        <f t="shared" si="320"/>
        <v>--</v>
      </c>
      <c r="P1300" s="2314" t="str">
        <f t="shared" si="320"/>
        <v>--</v>
      </c>
      <c r="T1300" s="53"/>
      <c r="AA1300" s="2060"/>
      <c r="AB1300" s="2060"/>
      <c r="AC1300" s="2060"/>
      <c r="AD1300" s="2060"/>
      <c r="AE1300" s="2060"/>
      <c r="AF1300" s="2060"/>
    </row>
    <row r="1301" spans="1:32" s="89" customFormat="1" ht="13.9">
      <c r="A1301" s="269" t="str">
        <f t="shared" si="308"/>
        <v>n</v>
      </c>
      <c r="B1301" s="2060"/>
      <c r="D1301" s="801"/>
      <c r="E1301" s="1505">
        <v>21</v>
      </c>
      <c r="F1301" s="21" t="str">
        <f>F$149</f>
        <v>--</v>
      </c>
      <c r="G1301" s="1441">
        <f>G$149</f>
        <v>0</v>
      </c>
      <c r="H1301" s="1441"/>
      <c r="I1301" s="1441"/>
      <c r="J1301" s="1441"/>
      <c r="K1301" s="2314" t="str">
        <f t="shared" ref="K1301:P1301" si="321">IFERROR(K803/K586,"--")</f>
        <v>--</v>
      </c>
      <c r="L1301" s="2314" t="str">
        <f t="shared" si="321"/>
        <v>--</v>
      </c>
      <c r="M1301" s="2314" t="str">
        <f t="shared" si="321"/>
        <v>--</v>
      </c>
      <c r="N1301" s="2314" t="str">
        <f t="shared" si="310"/>
        <v>--</v>
      </c>
      <c r="O1301" s="2315" t="str">
        <f t="shared" si="321"/>
        <v>--</v>
      </c>
      <c r="P1301" s="2314" t="str">
        <f t="shared" si="321"/>
        <v>--</v>
      </c>
      <c r="T1301" s="53"/>
      <c r="AA1301" s="2060"/>
      <c r="AB1301" s="2060"/>
      <c r="AC1301" s="2060"/>
      <c r="AD1301" s="2060"/>
      <c r="AE1301" s="2060"/>
      <c r="AF1301" s="2060"/>
    </row>
    <row r="1302" spans="1:32" s="89" customFormat="1" ht="13.9">
      <c r="A1302" s="269" t="str">
        <f t="shared" si="308"/>
        <v>n</v>
      </c>
      <c r="B1302" s="2060"/>
      <c r="D1302" s="801"/>
      <c r="E1302" s="1505">
        <v>22</v>
      </c>
      <c r="F1302" s="21" t="str">
        <f>F$150</f>
        <v>--</v>
      </c>
      <c r="G1302" s="1441">
        <f>G$150</f>
        <v>0</v>
      </c>
      <c r="H1302" s="1441"/>
      <c r="I1302" s="1441"/>
      <c r="J1302" s="1441"/>
      <c r="K1302" s="2314" t="str">
        <f t="shared" ref="K1302:P1302" si="322">IFERROR(K804/K587,"--")</f>
        <v>--</v>
      </c>
      <c r="L1302" s="2314" t="str">
        <f t="shared" si="322"/>
        <v>--</v>
      </c>
      <c r="M1302" s="2314" t="str">
        <f t="shared" si="322"/>
        <v>--</v>
      </c>
      <c r="N1302" s="2314" t="str">
        <f t="shared" si="310"/>
        <v>--</v>
      </c>
      <c r="O1302" s="2315" t="str">
        <f t="shared" si="322"/>
        <v>--</v>
      </c>
      <c r="P1302" s="2314" t="str">
        <f t="shared" si="322"/>
        <v>--</v>
      </c>
      <c r="T1302" s="53"/>
      <c r="AA1302" s="2060"/>
      <c r="AB1302" s="2060"/>
      <c r="AC1302" s="2060"/>
      <c r="AD1302" s="2060"/>
      <c r="AE1302" s="2060"/>
      <c r="AF1302" s="2060"/>
    </row>
    <row r="1303" spans="1:32" s="89" customFormat="1" ht="13.9">
      <c r="A1303" s="269" t="str">
        <f t="shared" si="308"/>
        <v>n</v>
      </c>
      <c r="B1303" s="2060"/>
      <c r="D1303" s="801"/>
      <c r="E1303" s="1505">
        <v>23</v>
      </c>
      <c r="F1303" s="21" t="str">
        <f>F$151</f>
        <v>--</v>
      </c>
      <c r="G1303" s="1441">
        <f>G$151</f>
        <v>0</v>
      </c>
      <c r="H1303" s="1441"/>
      <c r="I1303" s="1441"/>
      <c r="J1303" s="1441"/>
      <c r="K1303" s="2314" t="str">
        <f t="shared" ref="K1303:P1303" si="323">IFERROR(K805/K588,"--")</f>
        <v>--</v>
      </c>
      <c r="L1303" s="2314" t="str">
        <f t="shared" si="323"/>
        <v>--</v>
      </c>
      <c r="M1303" s="2314" t="str">
        <f t="shared" si="323"/>
        <v>--</v>
      </c>
      <c r="N1303" s="2314" t="str">
        <f t="shared" si="310"/>
        <v>--</v>
      </c>
      <c r="O1303" s="2315" t="str">
        <f t="shared" si="323"/>
        <v>--</v>
      </c>
      <c r="P1303" s="2314" t="str">
        <f t="shared" si="323"/>
        <v>--</v>
      </c>
      <c r="T1303" s="53"/>
      <c r="AA1303" s="2060"/>
      <c r="AB1303" s="2060"/>
      <c r="AC1303" s="2060"/>
      <c r="AD1303" s="2060"/>
      <c r="AE1303" s="2060"/>
      <c r="AF1303" s="2060"/>
    </row>
    <row r="1304" spans="1:32" s="89" customFormat="1" ht="13.9">
      <c r="A1304" s="269" t="str">
        <f t="shared" si="308"/>
        <v>n</v>
      </c>
      <c r="B1304" s="2060"/>
      <c r="D1304" s="801"/>
      <c r="E1304" s="1505">
        <v>24</v>
      </c>
      <c r="F1304" s="21" t="str">
        <f>F$152</f>
        <v>--</v>
      </c>
      <c r="G1304" s="1441">
        <f>G$152</f>
        <v>0</v>
      </c>
      <c r="H1304" s="1441"/>
      <c r="I1304" s="1441"/>
      <c r="J1304" s="1441"/>
      <c r="K1304" s="2314" t="str">
        <f t="shared" ref="K1304:P1304" si="324">IFERROR(K806/K589,"--")</f>
        <v>--</v>
      </c>
      <c r="L1304" s="2314" t="str">
        <f t="shared" si="324"/>
        <v>--</v>
      </c>
      <c r="M1304" s="2314" t="str">
        <f t="shared" si="324"/>
        <v>--</v>
      </c>
      <c r="N1304" s="2314" t="str">
        <f t="shared" si="310"/>
        <v>--</v>
      </c>
      <c r="O1304" s="2315" t="str">
        <f t="shared" si="324"/>
        <v>--</v>
      </c>
      <c r="P1304" s="2314" t="str">
        <f t="shared" si="324"/>
        <v>--</v>
      </c>
      <c r="T1304" s="53"/>
      <c r="AA1304" s="2060"/>
      <c r="AB1304" s="2060"/>
      <c r="AC1304" s="2060"/>
      <c r="AD1304" s="2060"/>
      <c r="AE1304" s="2060"/>
      <c r="AF1304" s="2060"/>
    </row>
    <row r="1305" spans="1:32" s="89" customFormat="1" ht="13.9">
      <c r="A1305" s="269" t="str">
        <f t="shared" si="308"/>
        <v>n</v>
      </c>
      <c r="B1305" s="2060"/>
      <c r="D1305" s="801"/>
      <c r="E1305" s="1505">
        <v>25</v>
      </c>
      <c r="F1305" s="21" t="str">
        <f>F$153</f>
        <v>--</v>
      </c>
      <c r="G1305" s="1441">
        <f>G$153</f>
        <v>0</v>
      </c>
      <c r="H1305" s="1441"/>
      <c r="I1305" s="1441"/>
      <c r="J1305" s="1441"/>
      <c r="K1305" s="2314" t="str">
        <f t="shared" ref="K1305:P1305" si="325">IFERROR(K807/K590,"--")</f>
        <v>--</v>
      </c>
      <c r="L1305" s="2314" t="str">
        <f t="shared" si="325"/>
        <v>--</v>
      </c>
      <c r="M1305" s="2314" t="str">
        <f t="shared" si="325"/>
        <v>--</v>
      </c>
      <c r="N1305" s="2314" t="str">
        <f t="shared" si="310"/>
        <v>--</v>
      </c>
      <c r="O1305" s="2315" t="str">
        <f t="shared" si="325"/>
        <v>--</v>
      </c>
      <c r="P1305" s="2314" t="str">
        <f t="shared" si="325"/>
        <v>--</v>
      </c>
      <c r="T1305" s="53"/>
      <c r="AA1305" s="2060"/>
      <c r="AB1305" s="2060"/>
      <c r="AC1305" s="2060"/>
      <c r="AD1305" s="2060"/>
      <c r="AE1305" s="2060"/>
      <c r="AF1305" s="2060"/>
    </row>
    <row r="1306" spans="1:32" s="89" customFormat="1" ht="13.9">
      <c r="A1306" s="2060"/>
      <c r="B1306" s="2060"/>
      <c r="D1306" s="801"/>
      <c r="F1306" s="57" t="s">
        <v>767</v>
      </c>
      <c r="G1306" s="1442"/>
      <c r="H1306" s="1442"/>
      <c r="I1306" s="1442"/>
      <c r="J1306" s="1442"/>
      <c r="K1306" s="277" t="str">
        <f t="shared" ref="K1306:P1306" si="326">IFERROR(MEDIAN(K1281:K1305),"--")</f>
        <v>--</v>
      </c>
      <c r="L1306" s="277" t="str">
        <f t="shared" si="326"/>
        <v>--</v>
      </c>
      <c r="M1306" s="277" t="str">
        <f t="shared" si="326"/>
        <v>--</v>
      </c>
      <c r="N1306" s="277" t="str">
        <f>IFERROR(MEDIAN(N1281:N1305),"--")</f>
        <v>--</v>
      </c>
      <c r="O1306" s="278" t="str">
        <f t="shared" si="326"/>
        <v>--</v>
      </c>
      <c r="P1306" s="277" t="str">
        <f t="shared" si="326"/>
        <v>--</v>
      </c>
      <c r="T1306" s="1513"/>
      <c r="AA1306" s="2060"/>
      <c r="AB1306" s="2060"/>
      <c r="AC1306" s="2060"/>
      <c r="AD1306" s="2060"/>
      <c r="AE1306" s="2060"/>
      <c r="AF1306" s="2060"/>
    </row>
    <row r="1307" spans="1:32" s="89" customFormat="1" ht="13.9">
      <c r="A1307" s="2060"/>
      <c r="B1307" s="2060"/>
      <c r="D1307" s="803"/>
      <c r="E1307" s="56"/>
      <c r="F1307" s="21"/>
      <c r="O1307" s="255"/>
      <c r="P1307" s="255"/>
      <c r="AA1307" s="2060"/>
      <c r="AB1307" s="2060"/>
      <c r="AC1307" s="2060"/>
      <c r="AD1307" s="2060"/>
      <c r="AE1307" s="2060"/>
      <c r="AF1307" s="2060"/>
    </row>
    <row r="1308" spans="1:32" s="89" customFormat="1" ht="13.9">
      <c r="A1308" s="2060"/>
      <c r="B1308" s="2060"/>
      <c r="D1308" s="802"/>
      <c r="E1308" s="21"/>
      <c r="F1308" s="21"/>
      <c r="O1308" s="255"/>
      <c r="P1308" s="255"/>
      <c r="R1308" s="521"/>
      <c r="AA1308" s="2060"/>
      <c r="AB1308" s="2060"/>
      <c r="AC1308" s="2060"/>
      <c r="AD1308" s="2060"/>
      <c r="AE1308" s="2060"/>
      <c r="AF1308" s="2060"/>
    </row>
    <row r="1309" spans="1:32" s="89" customFormat="1" ht="18">
      <c r="A1309" s="2060"/>
      <c r="B1309" s="2060"/>
      <c r="C1309" s="1437">
        <f ca="1">MAX(OFFSET(C1309,-1,0,-ROW(C1309)+1,1))+1</f>
        <v>8</v>
      </c>
      <c r="D1309" s="1438" t="s">
        <v>483</v>
      </c>
      <c r="E1309" s="799"/>
      <c r="F1309" s="1451"/>
      <c r="G1309" s="800"/>
      <c r="H1309" s="800"/>
      <c r="I1309" s="800"/>
      <c r="J1309" s="800"/>
      <c r="K1309" s="800"/>
      <c r="L1309" s="1464"/>
      <c r="M1309" s="1464"/>
      <c r="N1309" s="1464"/>
      <c r="O1309" s="1464"/>
      <c r="P1309" s="1464"/>
      <c r="Q1309" s="1464"/>
      <c r="R1309" s="1464"/>
      <c r="S1309" s="1464"/>
      <c r="T1309" s="1464"/>
      <c r="U1309" s="1464"/>
      <c r="V1309" s="1464"/>
      <c r="W1309" s="1464"/>
      <c r="X1309" s="1464"/>
      <c r="Y1309" s="1464"/>
      <c r="Z1309" s="797"/>
      <c r="AA1309" s="2060"/>
      <c r="AB1309" s="2060"/>
      <c r="AC1309" s="2060"/>
      <c r="AD1309" s="2060"/>
      <c r="AE1309" s="2060"/>
      <c r="AF1309" s="2060"/>
    </row>
    <row r="1310" spans="1:32" s="89" customFormat="1" ht="13.9">
      <c r="A1310" s="2060"/>
      <c r="B1310" s="2060"/>
      <c r="C1310" s="2060"/>
      <c r="D1310" s="2060"/>
      <c r="E1310" s="2060"/>
      <c r="F1310" s="255"/>
      <c r="G1310" s="255"/>
      <c r="H1310" s="255"/>
      <c r="I1310" s="255"/>
      <c r="J1310" s="800"/>
      <c r="K1310" s="800"/>
      <c r="L1310" s="1464"/>
      <c r="M1310" s="1464"/>
      <c r="N1310" s="1464"/>
      <c r="O1310" s="1464"/>
      <c r="P1310" s="1464"/>
      <c r="Q1310" s="1464"/>
      <c r="R1310" s="1464"/>
      <c r="S1310" s="1464"/>
      <c r="T1310" s="1464"/>
      <c r="U1310" s="1464"/>
      <c r="V1310" s="1464"/>
      <c r="W1310" s="1464"/>
      <c r="X1310" s="1464"/>
      <c r="Y1310" s="1464"/>
      <c r="Z1310" s="797"/>
      <c r="AA1310" s="2060"/>
      <c r="AB1310" s="2060"/>
      <c r="AC1310" s="2060"/>
      <c r="AD1310" s="2060"/>
      <c r="AE1310" s="2060"/>
      <c r="AF1310" s="2060"/>
    </row>
    <row r="1311" spans="1:32" s="89" customFormat="1" ht="13.9">
      <c r="A1311" s="2060"/>
      <c r="B1311" s="2060"/>
      <c r="D1311" s="778">
        <f ca="1">MAX(OFFSET(D1311,-1,0,-ROW(D1311)+1,-2),1)+0.01</f>
        <v>8.01</v>
      </c>
      <c r="E1311" s="125"/>
      <c r="F1311" s="952" t="s">
        <v>401</v>
      </c>
      <c r="G1311" s="724" t="s">
        <v>795</v>
      </c>
      <c r="H1311" s="724"/>
      <c r="I1311" s="724"/>
      <c r="J1311" s="758"/>
      <c r="K1311" s="758" t="s">
        <v>700</v>
      </c>
      <c r="L1311" s="758" t="s">
        <v>701</v>
      </c>
      <c r="M1311" s="758" t="s">
        <v>702</v>
      </c>
      <c r="N1311" s="758" t="s">
        <v>703</v>
      </c>
      <c r="O1311" s="759" t="s">
        <v>704</v>
      </c>
      <c r="P1311" s="725" t="s">
        <v>705</v>
      </c>
      <c r="R1311" s="1459"/>
      <c r="AA1311" s="2060"/>
      <c r="AB1311" s="2060"/>
      <c r="AC1311" s="2060"/>
      <c r="AD1311" s="2060"/>
      <c r="AE1311" s="2060"/>
      <c r="AF1311" s="2060"/>
    </row>
    <row r="1312" spans="1:32" s="89" customFormat="1" ht="13.9">
      <c r="A1312" s="2060"/>
      <c r="B1312" s="2060"/>
      <c r="D1312" s="778"/>
      <c r="E1312" s="1505">
        <v>0</v>
      </c>
      <c r="F1312" s="1448" t="str">
        <f>F$128</f>
        <v/>
      </c>
      <c r="G1312" s="1449">
        <f>G$128</f>
        <v>0</v>
      </c>
      <c r="H1312" s="1449"/>
      <c r="I1312" s="258"/>
      <c r="J1312" s="258"/>
      <c r="K1312" s="2322" t="str">
        <f t="shared" ref="K1312:P1325" si="327">IFERROR(K782/K471,"--")</f>
        <v>--</v>
      </c>
      <c r="L1312" s="2322" t="str">
        <f t="shared" si="327"/>
        <v>--</v>
      </c>
      <c r="M1312" s="2322" t="str">
        <f t="shared" si="327"/>
        <v>--</v>
      </c>
      <c r="N1312" s="2322" t="str">
        <f t="shared" si="327"/>
        <v>--</v>
      </c>
      <c r="O1312" s="2324" t="str">
        <f t="shared" si="327"/>
        <v>--</v>
      </c>
      <c r="P1312" s="2322" t="str">
        <f t="shared" si="327"/>
        <v>--</v>
      </c>
      <c r="R1312" s="1459"/>
      <c r="AA1312" s="2060"/>
      <c r="AB1312" s="2060"/>
      <c r="AC1312" s="2060"/>
      <c r="AD1312" s="2060"/>
      <c r="AE1312" s="2060"/>
      <c r="AF1312" s="2060"/>
    </row>
    <row r="1313" spans="1:32" s="89" customFormat="1" ht="13.9">
      <c r="A1313" s="269" t="str">
        <f>IF(F1313="--","n","")</f>
        <v>n</v>
      </c>
      <c r="B1313" s="2060"/>
      <c r="C1313" s="72"/>
      <c r="D1313" s="801"/>
      <c r="E1313" s="1505">
        <v>1</v>
      </c>
      <c r="F1313" s="21" t="str">
        <f>F$129</f>
        <v>--</v>
      </c>
      <c r="G1313" s="1441">
        <f>G$129</f>
        <v>0</v>
      </c>
      <c r="H1313" s="1441"/>
      <c r="I1313" s="1441"/>
      <c r="J1313" s="1441"/>
      <c r="K1313" s="2314" t="str">
        <f t="shared" si="327"/>
        <v>--</v>
      </c>
      <c r="L1313" s="2314" t="str">
        <f t="shared" si="327"/>
        <v>--</v>
      </c>
      <c r="M1313" s="2314" t="str">
        <f t="shared" si="327"/>
        <v>--</v>
      </c>
      <c r="N1313" s="2314" t="str">
        <f t="shared" si="327"/>
        <v>--</v>
      </c>
      <c r="O1313" s="2315" t="str">
        <f t="shared" si="327"/>
        <v>--</v>
      </c>
      <c r="P1313" s="2314" t="str">
        <f t="shared" si="327"/>
        <v>--</v>
      </c>
      <c r="T1313" s="1513"/>
      <c r="AA1313" s="2060"/>
      <c r="AB1313" s="2060"/>
      <c r="AC1313" s="2060"/>
      <c r="AD1313" s="2060"/>
      <c r="AE1313" s="2060"/>
      <c r="AF1313" s="2060"/>
    </row>
    <row r="1314" spans="1:32" s="89" customFormat="1" ht="13.9">
      <c r="A1314" s="269" t="str">
        <f t="shared" ref="A1314:A1337" si="328">IF(F1314="--","n","")</f>
        <v>n</v>
      </c>
      <c r="B1314" s="2060"/>
      <c r="D1314" s="801"/>
      <c r="E1314" s="1505">
        <v>2</v>
      </c>
      <c r="F1314" s="21" t="str">
        <f>F$130</f>
        <v>--</v>
      </c>
      <c r="G1314" s="1441">
        <f>G$130</f>
        <v>0</v>
      </c>
      <c r="H1314" s="1441"/>
      <c r="I1314" s="1441"/>
      <c r="J1314" s="1441"/>
      <c r="K1314" s="2314" t="str">
        <f t="shared" si="327"/>
        <v>--</v>
      </c>
      <c r="L1314" s="2314" t="str">
        <f t="shared" si="327"/>
        <v>--</v>
      </c>
      <c r="M1314" s="2314" t="str">
        <f t="shared" si="327"/>
        <v>--</v>
      </c>
      <c r="N1314" s="2314" t="str">
        <f t="shared" si="327"/>
        <v>--</v>
      </c>
      <c r="O1314" s="2315" t="str">
        <f t="shared" si="327"/>
        <v>--</v>
      </c>
      <c r="P1314" s="2314" t="str">
        <f t="shared" si="327"/>
        <v>--</v>
      </c>
      <c r="T1314" s="1513"/>
      <c r="AA1314" s="2060"/>
      <c r="AB1314" s="2060"/>
      <c r="AC1314" s="2060"/>
      <c r="AD1314" s="2060"/>
      <c r="AE1314" s="2060"/>
    </row>
    <row r="1315" spans="1:32" s="89" customFormat="1" ht="13.9">
      <c r="A1315" s="269" t="str">
        <f t="shared" si="328"/>
        <v>n</v>
      </c>
      <c r="B1315" s="2060"/>
      <c r="C1315" s="72"/>
      <c r="D1315" s="802"/>
      <c r="E1315" s="1505">
        <v>3</v>
      </c>
      <c r="F1315" s="21" t="str">
        <f>F$131</f>
        <v>--</v>
      </c>
      <c r="G1315" s="1441">
        <f>G$131</f>
        <v>0</v>
      </c>
      <c r="H1315" s="1441"/>
      <c r="I1315" s="1441"/>
      <c r="J1315" s="1441"/>
      <c r="K1315" s="2314" t="str">
        <f t="shared" si="327"/>
        <v>--</v>
      </c>
      <c r="L1315" s="2314" t="str">
        <f t="shared" si="327"/>
        <v>--</v>
      </c>
      <c r="M1315" s="2314" t="str">
        <f t="shared" si="327"/>
        <v>--</v>
      </c>
      <c r="N1315" s="2314" t="str">
        <f t="shared" si="327"/>
        <v>--</v>
      </c>
      <c r="O1315" s="2315" t="str">
        <f t="shared" si="327"/>
        <v>--</v>
      </c>
      <c r="P1315" s="2314" t="str">
        <f t="shared" si="327"/>
        <v>--</v>
      </c>
      <c r="T1315" s="1513"/>
    </row>
    <row r="1316" spans="1:32" s="89" customFormat="1" ht="13.9">
      <c r="A1316" s="269" t="str">
        <f t="shared" si="328"/>
        <v>n</v>
      </c>
      <c r="B1316" s="2060"/>
      <c r="C1316" s="72"/>
      <c r="D1316" s="801"/>
      <c r="E1316" s="1505">
        <v>4</v>
      </c>
      <c r="F1316" s="21" t="str">
        <f>F$132</f>
        <v>--</v>
      </c>
      <c r="G1316" s="1441">
        <f>G$132</f>
        <v>0</v>
      </c>
      <c r="H1316" s="1441"/>
      <c r="I1316" s="1441"/>
      <c r="J1316" s="1441"/>
      <c r="K1316" s="2314" t="str">
        <f t="shared" si="327"/>
        <v>--</v>
      </c>
      <c r="L1316" s="2314" t="str">
        <f t="shared" si="327"/>
        <v>--</v>
      </c>
      <c r="M1316" s="2314" t="str">
        <f t="shared" si="327"/>
        <v>--</v>
      </c>
      <c r="N1316" s="2314" t="str">
        <f t="shared" si="327"/>
        <v>--</v>
      </c>
      <c r="O1316" s="2315" t="str">
        <f t="shared" si="327"/>
        <v>--</v>
      </c>
      <c r="P1316" s="2314" t="str">
        <f t="shared" si="327"/>
        <v>--</v>
      </c>
      <c r="T1316" s="1513"/>
    </row>
    <row r="1317" spans="1:32" s="89" customFormat="1" ht="13.9">
      <c r="A1317" s="269" t="str">
        <f t="shared" si="328"/>
        <v>n</v>
      </c>
      <c r="B1317" s="2060"/>
      <c r="C1317" s="72"/>
      <c r="D1317" s="801"/>
      <c r="E1317" s="1505">
        <v>5</v>
      </c>
      <c r="F1317" s="21" t="str">
        <f>F$133</f>
        <v>--</v>
      </c>
      <c r="G1317" s="1441">
        <f>G$133</f>
        <v>0</v>
      </c>
      <c r="H1317" s="1441"/>
      <c r="I1317" s="1441"/>
      <c r="J1317" s="1441"/>
      <c r="K1317" s="2314" t="str">
        <f t="shared" si="327"/>
        <v>--</v>
      </c>
      <c r="L1317" s="2314" t="str">
        <f t="shared" si="327"/>
        <v>--</v>
      </c>
      <c r="M1317" s="2314" t="str">
        <f t="shared" si="327"/>
        <v>--</v>
      </c>
      <c r="N1317" s="2314" t="str">
        <f t="shared" si="327"/>
        <v>--</v>
      </c>
      <c r="O1317" s="2315" t="str">
        <f t="shared" si="327"/>
        <v>--</v>
      </c>
      <c r="P1317" s="2314" t="str">
        <f t="shared" si="327"/>
        <v>--</v>
      </c>
      <c r="T1317" s="1513"/>
    </row>
    <row r="1318" spans="1:32" s="89" customFormat="1" ht="13.9">
      <c r="A1318" s="269" t="str">
        <f t="shared" si="328"/>
        <v>n</v>
      </c>
      <c r="B1318" s="2060"/>
      <c r="C1318" s="72"/>
      <c r="D1318" s="801"/>
      <c r="E1318" s="1505">
        <v>6</v>
      </c>
      <c r="F1318" s="21" t="str">
        <f>F$134</f>
        <v>--</v>
      </c>
      <c r="G1318" s="1441">
        <f>G$134</f>
        <v>0</v>
      </c>
      <c r="H1318" s="1441"/>
      <c r="I1318" s="1441"/>
      <c r="J1318" s="1441"/>
      <c r="K1318" s="2314" t="str">
        <f t="shared" si="327"/>
        <v>--</v>
      </c>
      <c r="L1318" s="2314" t="str">
        <f t="shared" si="327"/>
        <v>--</v>
      </c>
      <c r="M1318" s="2314" t="str">
        <f t="shared" si="327"/>
        <v>--</v>
      </c>
      <c r="N1318" s="2314" t="str">
        <f t="shared" si="327"/>
        <v>--</v>
      </c>
      <c r="O1318" s="2315" t="str">
        <f t="shared" si="327"/>
        <v>--</v>
      </c>
      <c r="P1318" s="2314" t="str">
        <f t="shared" si="327"/>
        <v>--</v>
      </c>
      <c r="T1318" s="1513"/>
    </row>
    <row r="1319" spans="1:32" s="89" customFormat="1" ht="13.9">
      <c r="A1319" s="269" t="str">
        <f t="shared" si="328"/>
        <v>n</v>
      </c>
      <c r="B1319" s="2060"/>
      <c r="D1319" s="801"/>
      <c r="E1319" s="1505">
        <v>7</v>
      </c>
      <c r="F1319" s="21" t="str">
        <f>F$135</f>
        <v>--</v>
      </c>
      <c r="G1319" s="1441">
        <f>G$135</f>
        <v>0</v>
      </c>
      <c r="H1319" s="1441"/>
      <c r="I1319" s="1441"/>
      <c r="J1319" s="1441"/>
      <c r="K1319" s="2314" t="str">
        <f t="shared" si="327"/>
        <v>--</v>
      </c>
      <c r="L1319" s="2314" t="str">
        <f t="shared" si="327"/>
        <v>--</v>
      </c>
      <c r="M1319" s="2314" t="str">
        <f t="shared" si="327"/>
        <v>--</v>
      </c>
      <c r="N1319" s="2314" t="str">
        <f t="shared" si="327"/>
        <v>--</v>
      </c>
      <c r="O1319" s="2315" t="str">
        <f t="shared" si="327"/>
        <v>--</v>
      </c>
      <c r="P1319" s="2314" t="str">
        <f t="shared" si="327"/>
        <v>--</v>
      </c>
      <c r="T1319" s="1513"/>
    </row>
    <row r="1320" spans="1:32" s="89" customFormat="1" ht="13.9">
      <c r="A1320" s="269" t="str">
        <f t="shared" si="328"/>
        <v>n</v>
      </c>
      <c r="B1320" s="2060"/>
      <c r="D1320" s="801"/>
      <c r="E1320" s="1505">
        <v>8</v>
      </c>
      <c r="F1320" s="21" t="str">
        <f>F$136</f>
        <v>--</v>
      </c>
      <c r="G1320" s="1441">
        <f>G$136</f>
        <v>0</v>
      </c>
      <c r="H1320" s="1441"/>
      <c r="I1320" s="1441"/>
      <c r="J1320" s="1441"/>
      <c r="K1320" s="2314" t="str">
        <f t="shared" si="327"/>
        <v>--</v>
      </c>
      <c r="L1320" s="2314" t="str">
        <f t="shared" si="327"/>
        <v>--</v>
      </c>
      <c r="M1320" s="2314" t="str">
        <f t="shared" si="327"/>
        <v>--</v>
      </c>
      <c r="N1320" s="2314" t="str">
        <f t="shared" si="327"/>
        <v>--</v>
      </c>
      <c r="O1320" s="2315" t="str">
        <f t="shared" si="327"/>
        <v>--</v>
      </c>
      <c r="P1320" s="2314" t="str">
        <f t="shared" si="327"/>
        <v>--</v>
      </c>
      <c r="T1320" s="1513"/>
    </row>
    <row r="1321" spans="1:32" s="89" customFormat="1" ht="13.9">
      <c r="A1321" s="269" t="str">
        <f t="shared" si="328"/>
        <v>n</v>
      </c>
      <c r="B1321" s="2060"/>
      <c r="D1321" s="801"/>
      <c r="E1321" s="1505">
        <v>9</v>
      </c>
      <c r="F1321" s="21" t="str">
        <f>F$137</f>
        <v>--</v>
      </c>
      <c r="G1321" s="1441">
        <f>G$137</f>
        <v>0</v>
      </c>
      <c r="H1321" s="1441"/>
      <c r="I1321" s="1441"/>
      <c r="J1321" s="1441"/>
      <c r="K1321" s="2314" t="str">
        <f t="shared" si="327"/>
        <v>--</v>
      </c>
      <c r="L1321" s="2314" t="str">
        <f t="shared" si="327"/>
        <v>--</v>
      </c>
      <c r="M1321" s="2314" t="str">
        <f t="shared" si="327"/>
        <v>--</v>
      </c>
      <c r="N1321" s="2314" t="str">
        <f t="shared" si="327"/>
        <v>--</v>
      </c>
      <c r="O1321" s="2315" t="str">
        <f t="shared" si="327"/>
        <v>--</v>
      </c>
      <c r="P1321" s="2314" t="str">
        <f t="shared" si="327"/>
        <v>--</v>
      </c>
      <c r="T1321" s="1513"/>
    </row>
    <row r="1322" spans="1:32" s="89" customFormat="1" ht="13.9">
      <c r="A1322" s="269" t="str">
        <f t="shared" si="328"/>
        <v>n</v>
      </c>
      <c r="B1322" s="2060"/>
      <c r="D1322" s="801"/>
      <c r="E1322" s="1505">
        <v>10</v>
      </c>
      <c r="F1322" s="21" t="str">
        <f>F$138</f>
        <v>--</v>
      </c>
      <c r="G1322" s="1441">
        <f>G$138</f>
        <v>0</v>
      </c>
      <c r="H1322" s="1441"/>
      <c r="I1322" s="1441"/>
      <c r="J1322" s="1441"/>
      <c r="K1322" s="2314" t="str">
        <f t="shared" si="327"/>
        <v>--</v>
      </c>
      <c r="L1322" s="2314" t="str">
        <f t="shared" si="327"/>
        <v>--</v>
      </c>
      <c r="M1322" s="2314" t="str">
        <f t="shared" si="327"/>
        <v>--</v>
      </c>
      <c r="N1322" s="2314" t="str">
        <f t="shared" si="327"/>
        <v>--</v>
      </c>
      <c r="O1322" s="2315" t="str">
        <f t="shared" si="327"/>
        <v>--</v>
      </c>
      <c r="P1322" s="2314" t="str">
        <f t="shared" si="327"/>
        <v>--</v>
      </c>
      <c r="T1322" s="1513"/>
    </row>
    <row r="1323" spans="1:32" s="89" customFormat="1" ht="13.9">
      <c r="A1323" s="269" t="str">
        <f t="shared" si="328"/>
        <v>n</v>
      </c>
      <c r="B1323" s="2060"/>
      <c r="D1323" s="801"/>
      <c r="E1323" s="1505">
        <v>11</v>
      </c>
      <c r="F1323" s="21" t="str">
        <f>F$139</f>
        <v>--</v>
      </c>
      <c r="G1323" s="1441">
        <f>G$139</f>
        <v>0</v>
      </c>
      <c r="H1323" s="1441"/>
      <c r="I1323" s="1441"/>
      <c r="J1323" s="1441"/>
      <c r="K1323" s="2314" t="str">
        <f t="shared" si="327"/>
        <v>--</v>
      </c>
      <c r="L1323" s="2314" t="str">
        <f t="shared" si="327"/>
        <v>--</v>
      </c>
      <c r="M1323" s="2314" t="str">
        <f t="shared" si="327"/>
        <v>--</v>
      </c>
      <c r="N1323" s="2314" t="str">
        <f t="shared" si="327"/>
        <v>--</v>
      </c>
      <c r="O1323" s="2315" t="str">
        <f t="shared" si="327"/>
        <v>--</v>
      </c>
      <c r="P1323" s="2314" t="str">
        <f t="shared" si="327"/>
        <v>--</v>
      </c>
      <c r="R1323" s="1466"/>
      <c r="T1323" s="53"/>
    </row>
    <row r="1324" spans="1:32" s="89" customFormat="1" ht="13.9">
      <c r="A1324" s="269" t="str">
        <f t="shared" si="328"/>
        <v>n</v>
      </c>
      <c r="B1324" s="2060"/>
      <c r="D1324" s="801"/>
      <c r="E1324" s="1505">
        <v>12</v>
      </c>
      <c r="F1324" s="21" t="str">
        <f>F$140</f>
        <v>--</v>
      </c>
      <c r="G1324" s="1441">
        <f>G$140</f>
        <v>0</v>
      </c>
      <c r="H1324" s="1441"/>
      <c r="I1324" s="1441"/>
      <c r="J1324" s="1441"/>
      <c r="K1324" s="2314" t="str">
        <f t="shared" si="327"/>
        <v>--</v>
      </c>
      <c r="L1324" s="2314" t="str">
        <f t="shared" si="327"/>
        <v>--</v>
      </c>
      <c r="M1324" s="2314" t="str">
        <f t="shared" si="327"/>
        <v>--</v>
      </c>
      <c r="N1324" s="2314" t="str">
        <f t="shared" si="327"/>
        <v>--</v>
      </c>
      <c r="O1324" s="2315" t="str">
        <f t="shared" si="327"/>
        <v>--</v>
      </c>
      <c r="P1324" s="2314" t="str">
        <f t="shared" si="327"/>
        <v>--</v>
      </c>
      <c r="R1324" s="1466"/>
      <c r="T1324" s="53"/>
    </row>
    <row r="1325" spans="1:32" s="89" customFormat="1" ht="13.9">
      <c r="A1325" s="269" t="str">
        <f t="shared" si="328"/>
        <v>n</v>
      </c>
      <c r="B1325" s="2060"/>
      <c r="D1325" s="801"/>
      <c r="E1325" s="1505">
        <v>13</v>
      </c>
      <c r="F1325" s="21" t="str">
        <f>F$141</f>
        <v>--</v>
      </c>
      <c r="G1325" s="1441">
        <f>G$141</f>
        <v>0</v>
      </c>
      <c r="H1325" s="1441"/>
      <c r="I1325" s="1441"/>
      <c r="J1325" s="1441"/>
      <c r="K1325" s="2314" t="str">
        <f t="shared" si="327"/>
        <v>--</v>
      </c>
      <c r="L1325" s="2314" t="str">
        <f t="shared" si="327"/>
        <v>--</v>
      </c>
      <c r="M1325" s="2314" t="str">
        <f t="shared" si="327"/>
        <v>--</v>
      </c>
      <c r="N1325" s="2314" t="str">
        <f t="shared" si="327"/>
        <v>--</v>
      </c>
      <c r="O1325" s="2315" t="str">
        <f t="shared" si="327"/>
        <v>--</v>
      </c>
      <c r="P1325" s="2314" t="str">
        <f t="shared" si="327"/>
        <v>--</v>
      </c>
      <c r="R1325" s="1466"/>
      <c r="T1325" s="53"/>
    </row>
    <row r="1326" spans="1:32" s="89" customFormat="1" ht="13.9">
      <c r="A1326" s="269" t="str">
        <f t="shared" si="328"/>
        <v>n</v>
      </c>
      <c r="B1326" s="2060"/>
      <c r="D1326" s="801"/>
      <c r="E1326" s="1505">
        <v>14</v>
      </c>
      <c r="F1326" s="21" t="str">
        <f>F$142</f>
        <v>--</v>
      </c>
      <c r="G1326" s="1441">
        <f>G$142</f>
        <v>0</v>
      </c>
      <c r="H1326" s="1441"/>
      <c r="I1326" s="1441"/>
      <c r="J1326" s="1441"/>
      <c r="K1326" s="2314" t="str">
        <f t="shared" ref="K1326:P1326" si="329">IFERROR(K796/K485,"--")</f>
        <v>--</v>
      </c>
      <c r="L1326" s="2314" t="str">
        <f t="shared" si="329"/>
        <v>--</v>
      </c>
      <c r="M1326" s="2314" t="str">
        <f t="shared" si="329"/>
        <v>--</v>
      </c>
      <c r="N1326" s="2314" t="str">
        <f t="shared" ref="N1326:N1337" si="330">IFERROR(N796/N485,"--")</f>
        <v>--</v>
      </c>
      <c r="O1326" s="2315" t="str">
        <f t="shared" si="329"/>
        <v>--</v>
      </c>
      <c r="P1326" s="2314" t="str">
        <f t="shared" si="329"/>
        <v>--</v>
      </c>
      <c r="R1326" s="1466"/>
      <c r="T1326" s="53"/>
    </row>
    <row r="1327" spans="1:32" s="89" customFormat="1" ht="13.9">
      <c r="A1327" s="269" t="str">
        <f t="shared" si="328"/>
        <v>n</v>
      </c>
      <c r="B1327" s="2060"/>
      <c r="D1327" s="801"/>
      <c r="E1327" s="1505">
        <v>15</v>
      </c>
      <c r="F1327" s="21" t="str">
        <f>F$143</f>
        <v>--</v>
      </c>
      <c r="G1327" s="1441">
        <f>G$143</f>
        <v>0</v>
      </c>
      <c r="H1327" s="1441"/>
      <c r="I1327" s="1441"/>
      <c r="J1327" s="1441"/>
      <c r="K1327" s="2314" t="str">
        <f t="shared" ref="K1327:P1327" si="331">IFERROR(K797/K486,"--")</f>
        <v>--</v>
      </c>
      <c r="L1327" s="2314" t="str">
        <f t="shared" si="331"/>
        <v>--</v>
      </c>
      <c r="M1327" s="2314" t="str">
        <f t="shared" si="331"/>
        <v>--</v>
      </c>
      <c r="N1327" s="2314" t="str">
        <f t="shared" si="330"/>
        <v>--</v>
      </c>
      <c r="O1327" s="2315" t="str">
        <f t="shared" si="331"/>
        <v>--</v>
      </c>
      <c r="P1327" s="2314" t="str">
        <f t="shared" si="331"/>
        <v>--</v>
      </c>
      <c r="R1327" s="1466"/>
      <c r="T1327" s="53"/>
    </row>
    <row r="1328" spans="1:32" s="89" customFormat="1" ht="13.9">
      <c r="A1328" s="269" t="str">
        <f t="shared" si="328"/>
        <v>n</v>
      </c>
      <c r="B1328" s="2060"/>
      <c r="D1328" s="801"/>
      <c r="E1328" s="1505">
        <v>16</v>
      </c>
      <c r="F1328" s="21" t="str">
        <f>F$144</f>
        <v>--</v>
      </c>
      <c r="G1328" s="1441">
        <f>G$144</f>
        <v>0</v>
      </c>
      <c r="H1328" s="1441"/>
      <c r="I1328" s="1441"/>
      <c r="J1328" s="1441"/>
      <c r="K1328" s="2314" t="str">
        <f t="shared" ref="K1328:P1328" si="332">IFERROR(K798/K487,"--")</f>
        <v>--</v>
      </c>
      <c r="L1328" s="2314" t="str">
        <f t="shared" si="332"/>
        <v>--</v>
      </c>
      <c r="M1328" s="2314" t="str">
        <f t="shared" si="332"/>
        <v>--</v>
      </c>
      <c r="N1328" s="2314" t="str">
        <f t="shared" si="330"/>
        <v>--</v>
      </c>
      <c r="O1328" s="2315" t="str">
        <f t="shared" si="332"/>
        <v>--</v>
      </c>
      <c r="P1328" s="2314" t="str">
        <f t="shared" si="332"/>
        <v>--</v>
      </c>
      <c r="R1328" s="1466"/>
      <c r="T1328" s="53"/>
    </row>
    <row r="1329" spans="1:20" s="89" customFormat="1" ht="13.9">
      <c r="A1329" s="269" t="str">
        <f t="shared" si="328"/>
        <v>n</v>
      </c>
      <c r="B1329" s="2060"/>
      <c r="D1329" s="801"/>
      <c r="E1329" s="1505">
        <v>17</v>
      </c>
      <c r="F1329" s="21" t="str">
        <f>F$145</f>
        <v>--</v>
      </c>
      <c r="G1329" s="1441">
        <f>G$145</f>
        <v>0</v>
      </c>
      <c r="H1329" s="1441"/>
      <c r="I1329" s="1441"/>
      <c r="J1329" s="1441"/>
      <c r="K1329" s="2314" t="str">
        <f t="shared" ref="K1329:P1329" si="333">IFERROR(K799/K488,"--")</f>
        <v>--</v>
      </c>
      <c r="L1329" s="2314" t="str">
        <f t="shared" si="333"/>
        <v>--</v>
      </c>
      <c r="M1329" s="2314" t="str">
        <f t="shared" si="333"/>
        <v>--</v>
      </c>
      <c r="N1329" s="2314" t="str">
        <f t="shared" si="330"/>
        <v>--</v>
      </c>
      <c r="O1329" s="2315" t="str">
        <f t="shared" si="333"/>
        <v>--</v>
      </c>
      <c r="P1329" s="2314" t="str">
        <f t="shared" si="333"/>
        <v>--</v>
      </c>
      <c r="R1329" s="1466"/>
      <c r="T1329" s="53"/>
    </row>
    <row r="1330" spans="1:20" s="89" customFormat="1" ht="13.9">
      <c r="A1330" s="269" t="str">
        <f t="shared" si="328"/>
        <v>n</v>
      </c>
      <c r="B1330" s="2060"/>
      <c r="D1330" s="801"/>
      <c r="E1330" s="1505">
        <v>18</v>
      </c>
      <c r="F1330" s="21" t="str">
        <f>F$146</f>
        <v>--</v>
      </c>
      <c r="G1330" s="1441">
        <f>G$146</f>
        <v>0</v>
      </c>
      <c r="H1330" s="1441"/>
      <c r="I1330" s="1441"/>
      <c r="J1330" s="1441"/>
      <c r="K1330" s="2314" t="str">
        <f t="shared" ref="K1330:P1330" si="334">IFERROR(K800/K489,"--")</f>
        <v>--</v>
      </c>
      <c r="L1330" s="2314" t="str">
        <f t="shared" si="334"/>
        <v>--</v>
      </c>
      <c r="M1330" s="2314" t="str">
        <f t="shared" si="334"/>
        <v>--</v>
      </c>
      <c r="N1330" s="2314" t="str">
        <f t="shared" si="330"/>
        <v>--</v>
      </c>
      <c r="O1330" s="2315" t="str">
        <f t="shared" si="334"/>
        <v>--</v>
      </c>
      <c r="P1330" s="2314" t="str">
        <f t="shared" si="334"/>
        <v>--</v>
      </c>
      <c r="R1330" s="1466"/>
      <c r="T1330" s="53"/>
    </row>
    <row r="1331" spans="1:20" s="89" customFormat="1" ht="13.9">
      <c r="A1331" s="269" t="str">
        <f t="shared" si="328"/>
        <v>n</v>
      </c>
      <c r="B1331" s="2060"/>
      <c r="D1331" s="801"/>
      <c r="E1331" s="1505">
        <v>19</v>
      </c>
      <c r="F1331" s="21" t="str">
        <f>F$147</f>
        <v>--</v>
      </c>
      <c r="G1331" s="1441">
        <f>G$147</f>
        <v>0</v>
      </c>
      <c r="H1331" s="1441"/>
      <c r="I1331" s="1441"/>
      <c r="J1331" s="1441"/>
      <c r="K1331" s="2314" t="str">
        <f t="shared" ref="K1331:P1331" si="335">IFERROR(K801/K490,"--")</f>
        <v>--</v>
      </c>
      <c r="L1331" s="2314" t="str">
        <f t="shared" si="335"/>
        <v>--</v>
      </c>
      <c r="M1331" s="2314" t="str">
        <f t="shared" si="335"/>
        <v>--</v>
      </c>
      <c r="N1331" s="2314" t="str">
        <f t="shared" si="330"/>
        <v>--</v>
      </c>
      <c r="O1331" s="2315" t="str">
        <f t="shared" si="335"/>
        <v>--</v>
      </c>
      <c r="P1331" s="2314" t="str">
        <f t="shared" si="335"/>
        <v>--</v>
      </c>
      <c r="R1331" s="1466"/>
      <c r="T1331" s="53"/>
    </row>
    <row r="1332" spans="1:20" s="89" customFormat="1" ht="13.9">
      <c r="A1332" s="269" t="str">
        <f t="shared" si="328"/>
        <v>n</v>
      </c>
      <c r="B1332" s="2060"/>
      <c r="D1332" s="801"/>
      <c r="E1332" s="1505">
        <v>20</v>
      </c>
      <c r="F1332" s="21" t="str">
        <f>F$148</f>
        <v>--</v>
      </c>
      <c r="G1332" s="1441">
        <f>G$148</f>
        <v>0</v>
      </c>
      <c r="H1332" s="1441"/>
      <c r="I1332" s="1441"/>
      <c r="J1332" s="1441"/>
      <c r="K1332" s="2314" t="str">
        <f t="shared" ref="K1332:P1332" si="336">IFERROR(K802/K491,"--")</f>
        <v>--</v>
      </c>
      <c r="L1332" s="2314" t="str">
        <f t="shared" si="336"/>
        <v>--</v>
      </c>
      <c r="M1332" s="2314" t="str">
        <f t="shared" si="336"/>
        <v>--</v>
      </c>
      <c r="N1332" s="2314" t="str">
        <f t="shared" si="330"/>
        <v>--</v>
      </c>
      <c r="O1332" s="2315" t="str">
        <f t="shared" si="336"/>
        <v>--</v>
      </c>
      <c r="P1332" s="2314" t="str">
        <f t="shared" si="336"/>
        <v>--</v>
      </c>
      <c r="R1332" s="1466"/>
      <c r="T1332" s="53"/>
    </row>
    <row r="1333" spans="1:20" s="89" customFormat="1" ht="13.9">
      <c r="A1333" s="269" t="str">
        <f t="shared" si="328"/>
        <v>n</v>
      </c>
      <c r="B1333" s="2060"/>
      <c r="D1333" s="801"/>
      <c r="E1333" s="1505">
        <v>21</v>
      </c>
      <c r="F1333" s="21" t="str">
        <f>F$149</f>
        <v>--</v>
      </c>
      <c r="G1333" s="1441">
        <f>G$149</f>
        <v>0</v>
      </c>
      <c r="H1333" s="1441"/>
      <c r="I1333" s="1441"/>
      <c r="J1333" s="1441"/>
      <c r="K1333" s="2314" t="str">
        <f t="shared" ref="K1333:P1333" si="337">IFERROR(K803/K492,"--")</f>
        <v>--</v>
      </c>
      <c r="L1333" s="2314" t="str">
        <f t="shared" si="337"/>
        <v>--</v>
      </c>
      <c r="M1333" s="2314" t="str">
        <f t="shared" si="337"/>
        <v>--</v>
      </c>
      <c r="N1333" s="2314" t="str">
        <f t="shared" si="330"/>
        <v>--</v>
      </c>
      <c r="O1333" s="2315" t="str">
        <f t="shared" si="337"/>
        <v>--</v>
      </c>
      <c r="P1333" s="2314" t="str">
        <f t="shared" si="337"/>
        <v>--</v>
      </c>
      <c r="R1333" s="1466"/>
      <c r="T1333" s="53"/>
    </row>
    <row r="1334" spans="1:20" s="89" customFormat="1" ht="13.9">
      <c r="A1334" s="269" t="str">
        <f t="shared" si="328"/>
        <v>n</v>
      </c>
      <c r="B1334" s="2060"/>
      <c r="D1334" s="801"/>
      <c r="E1334" s="1505">
        <v>22</v>
      </c>
      <c r="F1334" s="21" t="str">
        <f>F$150</f>
        <v>--</v>
      </c>
      <c r="G1334" s="1441">
        <f>G$150</f>
        <v>0</v>
      </c>
      <c r="H1334" s="1441"/>
      <c r="I1334" s="1441"/>
      <c r="J1334" s="1441"/>
      <c r="K1334" s="2314" t="str">
        <f t="shared" ref="K1334:P1334" si="338">IFERROR(K804/K493,"--")</f>
        <v>--</v>
      </c>
      <c r="L1334" s="2314" t="str">
        <f t="shared" si="338"/>
        <v>--</v>
      </c>
      <c r="M1334" s="2314" t="str">
        <f t="shared" si="338"/>
        <v>--</v>
      </c>
      <c r="N1334" s="2314" t="str">
        <f t="shared" si="330"/>
        <v>--</v>
      </c>
      <c r="O1334" s="2315" t="str">
        <f t="shared" si="338"/>
        <v>--</v>
      </c>
      <c r="P1334" s="2314" t="str">
        <f t="shared" si="338"/>
        <v>--</v>
      </c>
      <c r="R1334" s="1466"/>
      <c r="T1334" s="53"/>
    </row>
    <row r="1335" spans="1:20" s="89" customFormat="1" ht="13.9">
      <c r="A1335" s="269" t="str">
        <f t="shared" si="328"/>
        <v>n</v>
      </c>
      <c r="B1335" s="2060"/>
      <c r="D1335" s="801"/>
      <c r="E1335" s="1505">
        <v>23</v>
      </c>
      <c r="F1335" s="21" t="str">
        <f>F$151</f>
        <v>--</v>
      </c>
      <c r="G1335" s="1441">
        <f>G$151</f>
        <v>0</v>
      </c>
      <c r="H1335" s="1441"/>
      <c r="I1335" s="1441"/>
      <c r="J1335" s="1441"/>
      <c r="K1335" s="2314" t="str">
        <f t="shared" ref="K1335:P1335" si="339">IFERROR(K805/K494,"--")</f>
        <v>--</v>
      </c>
      <c r="L1335" s="2314" t="str">
        <f t="shared" si="339"/>
        <v>--</v>
      </c>
      <c r="M1335" s="2314" t="str">
        <f t="shared" si="339"/>
        <v>--</v>
      </c>
      <c r="N1335" s="2314" t="str">
        <f t="shared" si="330"/>
        <v>--</v>
      </c>
      <c r="O1335" s="2315" t="str">
        <f t="shared" si="339"/>
        <v>--</v>
      </c>
      <c r="P1335" s="2314" t="str">
        <f t="shared" si="339"/>
        <v>--</v>
      </c>
      <c r="R1335" s="1466"/>
      <c r="T1335" s="53"/>
    </row>
    <row r="1336" spans="1:20" s="89" customFormat="1" ht="13.9">
      <c r="A1336" s="269" t="str">
        <f t="shared" si="328"/>
        <v>n</v>
      </c>
      <c r="B1336" s="2060"/>
      <c r="D1336" s="801"/>
      <c r="E1336" s="1505">
        <v>24</v>
      </c>
      <c r="F1336" s="21" t="str">
        <f>F$152</f>
        <v>--</v>
      </c>
      <c r="G1336" s="1441">
        <f>G$152</f>
        <v>0</v>
      </c>
      <c r="H1336" s="1441"/>
      <c r="I1336" s="1441"/>
      <c r="J1336" s="1441"/>
      <c r="K1336" s="2314" t="str">
        <f t="shared" ref="K1336:P1336" si="340">IFERROR(K806/K495,"--")</f>
        <v>--</v>
      </c>
      <c r="L1336" s="2314" t="str">
        <f t="shared" si="340"/>
        <v>--</v>
      </c>
      <c r="M1336" s="2314" t="str">
        <f t="shared" si="340"/>
        <v>--</v>
      </c>
      <c r="N1336" s="2314" t="str">
        <f t="shared" si="330"/>
        <v>--</v>
      </c>
      <c r="O1336" s="2315" t="str">
        <f t="shared" si="340"/>
        <v>--</v>
      </c>
      <c r="P1336" s="2314" t="str">
        <f t="shared" si="340"/>
        <v>--</v>
      </c>
      <c r="R1336" s="1466"/>
      <c r="T1336" s="53"/>
    </row>
    <row r="1337" spans="1:20" s="89" customFormat="1" ht="13.9">
      <c r="A1337" s="269" t="str">
        <f t="shared" si="328"/>
        <v>n</v>
      </c>
      <c r="B1337" s="2060"/>
      <c r="D1337" s="801"/>
      <c r="E1337" s="1505">
        <v>25</v>
      </c>
      <c r="F1337" s="21" t="str">
        <f>F$153</f>
        <v>--</v>
      </c>
      <c r="G1337" s="1441">
        <f>G$153</f>
        <v>0</v>
      </c>
      <c r="H1337" s="1441"/>
      <c r="I1337" s="1441"/>
      <c r="J1337" s="1441"/>
      <c r="K1337" s="2314" t="str">
        <f t="shared" ref="K1337:P1337" si="341">IFERROR(K807/K496,"--")</f>
        <v>--</v>
      </c>
      <c r="L1337" s="2314" t="str">
        <f t="shared" si="341"/>
        <v>--</v>
      </c>
      <c r="M1337" s="2314" t="str">
        <f t="shared" si="341"/>
        <v>--</v>
      </c>
      <c r="N1337" s="2314" t="str">
        <f t="shared" si="330"/>
        <v>--</v>
      </c>
      <c r="O1337" s="2315" t="str">
        <f t="shared" si="341"/>
        <v>--</v>
      </c>
      <c r="P1337" s="2314" t="str">
        <f t="shared" si="341"/>
        <v>--</v>
      </c>
      <c r="R1337" s="1466"/>
      <c r="T1337" s="53"/>
    </row>
    <row r="1338" spans="1:20" s="89" customFormat="1" ht="13.9">
      <c r="A1338" s="2060"/>
      <c r="B1338" s="2060"/>
      <c r="D1338" s="801"/>
      <c r="F1338" s="57" t="s">
        <v>767</v>
      </c>
      <c r="G1338" s="1442"/>
      <c r="H1338" s="1442"/>
      <c r="I1338" s="1442"/>
      <c r="J1338" s="1442"/>
      <c r="K1338" s="1476" t="str">
        <f t="shared" ref="K1338:P1338" si="342">IFERROR(MEDIAN(K1313:K1337),"--")</f>
        <v>--</v>
      </c>
      <c r="L1338" s="277" t="str">
        <f t="shared" si="342"/>
        <v>--</v>
      </c>
      <c r="M1338" s="277" t="str">
        <f t="shared" si="342"/>
        <v>--</v>
      </c>
      <c r="N1338" s="277" t="str">
        <f>IFERROR(MEDIAN(N1313:N1337),"--")</f>
        <v>--</v>
      </c>
      <c r="O1338" s="278" t="str">
        <f t="shared" si="342"/>
        <v>--</v>
      </c>
      <c r="P1338" s="277" t="str">
        <f t="shared" si="342"/>
        <v>--</v>
      </c>
      <c r="T1338" s="1513"/>
    </row>
    <row r="1339" spans="1:20" s="89" customFormat="1" ht="13.9">
      <c r="A1339" s="2060"/>
      <c r="B1339" s="2060"/>
      <c r="D1339" s="1436"/>
      <c r="E1339" s="56"/>
      <c r="F1339" s="21"/>
      <c r="O1339" s="75"/>
      <c r="P1339" s="76"/>
    </row>
    <row r="1340" spans="1:20" s="89" customFormat="1" ht="13.9">
      <c r="A1340" s="2060"/>
      <c r="B1340" s="2060"/>
      <c r="D1340" s="1436"/>
      <c r="E1340" s="56"/>
      <c r="F1340" s="21"/>
      <c r="O1340" s="75"/>
      <c r="P1340" s="76"/>
    </row>
    <row r="1341" spans="1:20" s="89" customFormat="1" ht="13.9">
      <c r="A1341" s="2060"/>
      <c r="B1341" s="2060"/>
      <c r="D1341" s="778">
        <f ca="1">MAX(OFFSET(D1341,-1,0,-ROW(D1341)+1,-2),1)+0.01</f>
        <v>8.02</v>
      </c>
      <c r="E1341" s="125"/>
      <c r="F1341" s="952" t="s">
        <v>456</v>
      </c>
      <c r="G1341" s="724" t="s">
        <v>795</v>
      </c>
      <c r="H1341" s="724"/>
      <c r="I1341" s="724"/>
      <c r="J1341" s="758"/>
      <c r="K1341" s="758" t="s">
        <v>700</v>
      </c>
      <c r="L1341" s="758" t="s">
        <v>701</v>
      </c>
      <c r="M1341" s="758" t="s">
        <v>702</v>
      </c>
      <c r="N1341" s="758" t="s">
        <v>703</v>
      </c>
      <c r="O1341" s="759" t="s">
        <v>704</v>
      </c>
      <c r="P1341" s="725" t="s">
        <v>705</v>
      </c>
      <c r="R1341" s="1459"/>
    </row>
    <row r="1342" spans="1:20" s="89" customFormat="1" ht="13.9">
      <c r="A1342" s="2060"/>
      <c r="B1342" s="2060"/>
      <c r="D1342" s="778"/>
      <c r="E1342" s="1505">
        <v>0</v>
      </c>
      <c r="F1342" s="1448" t="str">
        <f>F$128</f>
        <v/>
      </c>
      <c r="G1342" s="1449">
        <f>G$128</f>
        <v>0</v>
      </c>
      <c r="H1342" s="1449"/>
      <c r="I1342" s="258"/>
      <c r="J1342" s="258"/>
      <c r="K1342" s="2322" t="str">
        <f t="shared" ref="K1342:P1355" si="343">IFERROR(K471/K658,"--")</f>
        <v>--</v>
      </c>
      <c r="L1342" s="2322" t="str">
        <f t="shared" si="343"/>
        <v>--</v>
      </c>
      <c r="M1342" s="2322" t="str">
        <f t="shared" si="343"/>
        <v>--</v>
      </c>
      <c r="N1342" s="2322" t="str">
        <f t="shared" si="343"/>
        <v>--</v>
      </c>
      <c r="O1342" s="2324" t="str">
        <f t="shared" si="343"/>
        <v>--</v>
      </c>
      <c r="P1342" s="2322" t="str">
        <f t="shared" si="343"/>
        <v>--</v>
      </c>
      <c r="R1342" s="1459"/>
    </row>
    <row r="1343" spans="1:20" s="89" customFormat="1" ht="13.9">
      <c r="A1343" s="269" t="str">
        <f>IF(F1343="--","n","")</f>
        <v>n</v>
      </c>
      <c r="B1343" s="2060"/>
      <c r="C1343" s="72"/>
      <c r="D1343" s="801"/>
      <c r="E1343" s="1505">
        <v>1</v>
      </c>
      <c r="F1343" s="21" t="str">
        <f>F$129</f>
        <v>--</v>
      </c>
      <c r="G1343" s="1441">
        <f>G$129</f>
        <v>0</v>
      </c>
      <c r="H1343" s="1441"/>
      <c r="I1343" s="1441"/>
      <c r="J1343" s="1441"/>
      <c r="K1343" s="2314" t="str">
        <f t="shared" si="343"/>
        <v>--</v>
      </c>
      <c r="L1343" s="2314" t="str">
        <f t="shared" si="343"/>
        <v>--</v>
      </c>
      <c r="M1343" s="2314" t="str">
        <f t="shared" si="343"/>
        <v>--</v>
      </c>
      <c r="N1343" s="2314" t="str">
        <f t="shared" si="343"/>
        <v>--</v>
      </c>
      <c r="O1343" s="2315" t="str">
        <f t="shared" si="343"/>
        <v>--</v>
      </c>
      <c r="P1343" s="2314" t="str">
        <f t="shared" si="343"/>
        <v>--</v>
      </c>
      <c r="T1343" s="1513"/>
    </row>
    <row r="1344" spans="1:20" s="89" customFormat="1" ht="13.9">
      <c r="A1344" s="269" t="str">
        <f t="shared" ref="A1344:A1367" si="344">IF(F1344="--","n","")</f>
        <v>n</v>
      </c>
      <c r="B1344" s="2060"/>
      <c r="D1344" s="801"/>
      <c r="E1344" s="1505">
        <v>2</v>
      </c>
      <c r="F1344" s="21" t="str">
        <f>F$130</f>
        <v>--</v>
      </c>
      <c r="G1344" s="1441">
        <f>G$130</f>
        <v>0</v>
      </c>
      <c r="H1344" s="1441"/>
      <c r="I1344" s="1441"/>
      <c r="J1344" s="1441"/>
      <c r="K1344" s="2314" t="str">
        <f t="shared" si="343"/>
        <v>--</v>
      </c>
      <c r="L1344" s="2314" t="str">
        <f t="shared" si="343"/>
        <v>--</v>
      </c>
      <c r="M1344" s="2314" t="str">
        <f t="shared" si="343"/>
        <v>--</v>
      </c>
      <c r="N1344" s="2314" t="str">
        <f t="shared" si="343"/>
        <v>--</v>
      </c>
      <c r="O1344" s="2315" t="str">
        <f t="shared" si="343"/>
        <v>--</v>
      </c>
      <c r="P1344" s="2314" t="str">
        <f t="shared" si="343"/>
        <v>--</v>
      </c>
      <c r="T1344" s="1513"/>
    </row>
    <row r="1345" spans="1:20" s="89" customFormat="1" ht="13.9">
      <c r="A1345" s="269" t="str">
        <f t="shared" si="344"/>
        <v>n</v>
      </c>
      <c r="B1345" s="2060"/>
      <c r="C1345" s="72"/>
      <c r="D1345" s="802"/>
      <c r="E1345" s="1505">
        <v>3</v>
      </c>
      <c r="F1345" s="21" t="str">
        <f>F$131</f>
        <v>--</v>
      </c>
      <c r="G1345" s="1441">
        <f>G$131</f>
        <v>0</v>
      </c>
      <c r="H1345" s="1441"/>
      <c r="I1345" s="1441"/>
      <c r="J1345" s="1441"/>
      <c r="K1345" s="2314" t="str">
        <f t="shared" si="343"/>
        <v>--</v>
      </c>
      <c r="L1345" s="2314" t="str">
        <f t="shared" si="343"/>
        <v>--</v>
      </c>
      <c r="M1345" s="2314" t="str">
        <f t="shared" si="343"/>
        <v>--</v>
      </c>
      <c r="N1345" s="2314" t="str">
        <f t="shared" si="343"/>
        <v>--</v>
      </c>
      <c r="O1345" s="2315" t="str">
        <f t="shared" si="343"/>
        <v>--</v>
      </c>
      <c r="P1345" s="2314" t="str">
        <f t="shared" si="343"/>
        <v>--</v>
      </c>
      <c r="T1345" s="1513"/>
    </row>
    <row r="1346" spans="1:20" s="89" customFormat="1" ht="13.9">
      <c r="A1346" s="269" t="str">
        <f t="shared" si="344"/>
        <v>n</v>
      </c>
      <c r="B1346" s="2060"/>
      <c r="C1346" s="72"/>
      <c r="D1346" s="801"/>
      <c r="E1346" s="1505">
        <v>4</v>
      </c>
      <c r="F1346" s="21" t="str">
        <f>F$132</f>
        <v>--</v>
      </c>
      <c r="G1346" s="1441">
        <f>G$132</f>
        <v>0</v>
      </c>
      <c r="H1346" s="1441"/>
      <c r="I1346" s="1441"/>
      <c r="J1346" s="1441"/>
      <c r="K1346" s="2314" t="str">
        <f t="shared" si="343"/>
        <v>--</v>
      </c>
      <c r="L1346" s="2314" t="str">
        <f t="shared" si="343"/>
        <v>--</v>
      </c>
      <c r="M1346" s="2314" t="str">
        <f t="shared" si="343"/>
        <v>--</v>
      </c>
      <c r="N1346" s="2314" t="str">
        <f t="shared" si="343"/>
        <v>--</v>
      </c>
      <c r="O1346" s="2315" t="str">
        <f t="shared" si="343"/>
        <v>--</v>
      </c>
      <c r="P1346" s="2314" t="str">
        <f t="shared" si="343"/>
        <v>--</v>
      </c>
      <c r="T1346" s="1513"/>
    </row>
    <row r="1347" spans="1:20" s="89" customFormat="1" ht="13.9">
      <c r="A1347" s="269" t="str">
        <f t="shared" si="344"/>
        <v>n</v>
      </c>
      <c r="B1347" s="2060"/>
      <c r="C1347" s="72"/>
      <c r="D1347" s="801"/>
      <c r="E1347" s="1505">
        <v>5</v>
      </c>
      <c r="F1347" s="21" t="str">
        <f>F$133</f>
        <v>--</v>
      </c>
      <c r="G1347" s="1441">
        <f>G$133</f>
        <v>0</v>
      </c>
      <c r="H1347" s="1441"/>
      <c r="I1347" s="1441"/>
      <c r="J1347" s="1441"/>
      <c r="K1347" s="2314" t="str">
        <f t="shared" si="343"/>
        <v>--</v>
      </c>
      <c r="L1347" s="2314" t="str">
        <f t="shared" si="343"/>
        <v>--</v>
      </c>
      <c r="M1347" s="2314" t="str">
        <f t="shared" si="343"/>
        <v>--</v>
      </c>
      <c r="N1347" s="2314" t="str">
        <f t="shared" si="343"/>
        <v>--</v>
      </c>
      <c r="O1347" s="2315" t="str">
        <f t="shared" si="343"/>
        <v>--</v>
      </c>
      <c r="P1347" s="2314" t="str">
        <f t="shared" si="343"/>
        <v>--</v>
      </c>
      <c r="T1347" s="1513"/>
    </row>
    <row r="1348" spans="1:20" s="89" customFormat="1" ht="13.9">
      <c r="A1348" s="269" t="str">
        <f t="shared" si="344"/>
        <v>n</v>
      </c>
      <c r="B1348" s="2060"/>
      <c r="C1348" s="72"/>
      <c r="D1348" s="801"/>
      <c r="E1348" s="1505">
        <v>6</v>
      </c>
      <c r="F1348" s="21" t="str">
        <f>F$134</f>
        <v>--</v>
      </c>
      <c r="G1348" s="1441">
        <f>G$134</f>
        <v>0</v>
      </c>
      <c r="H1348" s="1441"/>
      <c r="I1348" s="1441"/>
      <c r="J1348" s="1441"/>
      <c r="K1348" s="2314" t="str">
        <f t="shared" si="343"/>
        <v>--</v>
      </c>
      <c r="L1348" s="2314" t="str">
        <f t="shared" si="343"/>
        <v>--</v>
      </c>
      <c r="M1348" s="2314" t="str">
        <f t="shared" si="343"/>
        <v>--</v>
      </c>
      <c r="N1348" s="2314" t="str">
        <f t="shared" si="343"/>
        <v>--</v>
      </c>
      <c r="O1348" s="2315" t="str">
        <f t="shared" si="343"/>
        <v>--</v>
      </c>
      <c r="P1348" s="2314" t="str">
        <f t="shared" si="343"/>
        <v>--</v>
      </c>
      <c r="T1348" s="1513"/>
    </row>
    <row r="1349" spans="1:20" s="89" customFormat="1" ht="13.9">
      <c r="A1349" s="269" t="str">
        <f t="shared" si="344"/>
        <v>n</v>
      </c>
      <c r="B1349" s="2060"/>
      <c r="D1349" s="801"/>
      <c r="E1349" s="1505">
        <v>7</v>
      </c>
      <c r="F1349" s="21" t="str">
        <f>F$135</f>
        <v>--</v>
      </c>
      <c r="G1349" s="1441">
        <f>G$135</f>
        <v>0</v>
      </c>
      <c r="H1349" s="1441"/>
      <c r="I1349" s="1441"/>
      <c r="J1349" s="1441"/>
      <c r="K1349" s="2314" t="str">
        <f t="shared" si="343"/>
        <v>--</v>
      </c>
      <c r="L1349" s="2314" t="str">
        <f t="shared" si="343"/>
        <v>--</v>
      </c>
      <c r="M1349" s="2314" t="str">
        <f t="shared" si="343"/>
        <v>--</v>
      </c>
      <c r="N1349" s="2314" t="str">
        <f t="shared" si="343"/>
        <v>--</v>
      </c>
      <c r="O1349" s="2315" t="str">
        <f t="shared" si="343"/>
        <v>--</v>
      </c>
      <c r="P1349" s="2314" t="str">
        <f t="shared" si="343"/>
        <v>--</v>
      </c>
      <c r="T1349" s="1513"/>
    </row>
    <row r="1350" spans="1:20" s="89" customFormat="1" ht="13.9">
      <c r="A1350" s="269" t="str">
        <f t="shared" si="344"/>
        <v>n</v>
      </c>
      <c r="B1350" s="2060"/>
      <c r="D1350" s="801"/>
      <c r="E1350" s="1505">
        <v>8</v>
      </c>
      <c r="F1350" s="21" t="str">
        <f>F$136</f>
        <v>--</v>
      </c>
      <c r="G1350" s="1441">
        <f>G$136</f>
        <v>0</v>
      </c>
      <c r="H1350" s="1441"/>
      <c r="I1350" s="1441"/>
      <c r="J1350" s="1441"/>
      <c r="K1350" s="2314" t="str">
        <f t="shared" si="343"/>
        <v>--</v>
      </c>
      <c r="L1350" s="2314" t="str">
        <f t="shared" si="343"/>
        <v>--</v>
      </c>
      <c r="M1350" s="2314" t="str">
        <f t="shared" si="343"/>
        <v>--</v>
      </c>
      <c r="N1350" s="2314" t="str">
        <f t="shared" si="343"/>
        <v>--</v>
      </c>
      <c r="O1350" s="2315" t="str">
        <f t="shared" si="343"/>
        <v>--</v>
      </c>
      <c r="P1350" s="2314" t="str">
        <f t="shared" si="343"/>
        <v>--</v>
      </c>
      <c r="T1350" s="1513"/>
    </row>
    <row r="1351" spans="1:20" s="89" customFormat="1" ht="13.9">
      <c r="A1351" s="269" t="str">
        <f t="shared" si="344"/>
        <v>n</v>
      </c>
      <c r="B1351" s="2060"/>
      <c r="D1351" s="801"/>
      <c r="E1351" s="1505">
        <v>9</v>
      </c>
      <c r="F1351" s="21" t="str">
        <f>F$137</f>
        <v>--</v>
      </c>
      <c r="G1351" s="1441">
        <f>G$137</f>
        <v>0</v>
      </c>
      <c r="H1351" s="1441"/>
      <c r="I1351" s="1441"/>
      <c r="J1351" s="1441"/>
      <c r="K1351" s="2314" t="str">
        <f t="shared" si="343"/>
        <v>--</v>
      </c>
      <c r="L1351" s="2314" t="str">
        <f t="shared" si="343"/>
        <v>--</v>
      </c>
      <c r="M1351" s="2314" t="str">
        <f t="shared" si="343"/>
        <v>--</v>
      </c>
      <c r="N1351" s="2314" t="str">
        <f t="shared" si="343"/>
        <v>--</v>
      </c>
      <c r="O1351" s="2315" t="str">
        <f t="shared" si="343"/>
        <v>--</v>
      </c>
      <c r="P1351" s="2314" t="str">
        <f t="shared" si="343"/>
        <v>--</v>
      </c>
      <c r="T1351" s="1513"/>
    </row>
    <row r="1352" spans="1:20" s="89" customFormat="1" ht="13.9">
      <c r="A1352" s="269" t="str">
        <f t="shared" si="344"/>
        <v>n</v>
      </c>
      <c r="B1352" s="2060"/>
      <c r="D1352" s="801"/>
      <c r="E1352" s="1505">
        <v>10</v>
      </c>
      <c r="F1352" s="21" t="str">
        <f>F$138</f>
        <v>--</v>
      </c>
      <c r="G1352" s="1441">
        <f>G$138</f>
        <v>0</v>
      </c>
      <c r="H1352" s="1441"/>
      <c r="I1352" s="1441"/>
      <c r="J1352" s="1441"/>
      <c r="K1352" s="2314" t="str">
        <f t="shared" si="343"/>
        <v>--</v>
      </c>
      <c r="L1352" s="2314" t="str">
        <f t="shared" si="343"/>
        <v>--</v>
      </c>
      <c r="M1352" s="2314" t="str">
        <f t="shared" si="343"/>
        <v>--</v>
      </c>
      <c r="N1352" s="2314" t="str">
        <f t="shared" si="343"/>
        <v>--</v>
      </c>
      <c r="O1352" s="2315" t="str">
        <f t="shared" si="343"/>
        <v>--</v>
      </c>
      <c r="P1352" s="2314" t="str">
        <f t="shared" si="343"/>
        <v>--</v>
      </c>
      <c r="T1352" s="1513"/>
    </row>
    <row r="1353" spans="1:20" s="89" customFormat="1" ht="13.9">
      <c r="A1353" s="269" t="str">
        <f t="shared" si="344"/>
        <v>n</v>
      </c>
      <c r="B1353" s="2060"/>
      <c r="D1353" s="801"/>
      <c r="E1353" s="1505">
        <v>11</v>
      </c>
      <c r="F1353" s="21" t="str">
        <f>F$139</f>
        <v>--</v>
      </c>
      <c r="G1353" s="1441">
        <f>G$139</f>
        <v>0</v>
      </c>
      <c r="H1353" s="1441"/>
      <c r="I1353" s="1441"/>
      <c r="J1353" s="1441"/>
      <c r="K1353" s="2314" t="str">
        <f t="shared" si="343"/>
        <v>--</v>
      </c>
      <c r="L1353" s="2314" t="str">
        <f t="shared" si="343"/>
        <v>--</v>
      </c>
      <c r="M1353" s="2314" t="str">
        <f t="shared" si="343"/>
        <v>--</v>
      </c>
      <c r="N1353" s="2314" t="str">
        <f t="shared" si="343"/>
        <v>--</v>
      </c>
      <c r="O1353" s="2315" t="str">
        <f t="shared" si="343"/>
        <v>--</v>
      </c>
      <c r="P1353" s="2314" t="str">
        <f t="shared" si="343"/>
        <v>--</v>
      </c>
      <c r="R1353" s="1466"/>
      <c r="T1353" s="53"/>
    </row>
    <row r="1354" spans="1:20" s="89" customFormat="1" ht="13.9">
      <c r="A1354" s="269" t="str">
        <f t="shared" si="344"/>
        <v>n</v>
      </c>
      <c r="B1354" s="2060"/>
      <c r="D1354" s="801"/>
      <c r="E1354" s="1505">
        <v>12</v>
      </c>
      <c r="F1354" s="21" t="str">
        <f>F$140</f>
        <v>--</v>
      </c>
      <c r="G1354" s="1441">
        <f>G$140</f>
        <v>0</v>
      </c>
      <c r="H1354" s="1441"/>
      <c r="I1354" s="1441"/>
      <c r="J1354" s="1441"/>
      <c r="K1354" s="2314" t="str">
        <f t="shared" si="343"/>
        <v>--</v>
      </c>
      <c r="L1354" s="2314" t="str">
        <f t="shared" si="343"/>
        <v>--</v>
      </c>
      <c r="M1354" s="2314" t="str">
        <f t="shared" si="343"/>
        <v>--</v>
      </c>
      <c r="N1354" s="2314" t="str">
        <f t="shared" si="343"/>
        <v>--</v>
      </c>
      <c r="O1354" s="2315" t="str">
        <f t="shared" si="343"/>
        <v>--</v>
      </c>
      <c r="P1354" s="2314" t="str">
        <f t="shared" si="343"/>
        <v>--</v>
      </c>
      <c r="R1354" s="1466"/>
      <c r="T1354" s="53"/>
    </row>
    <row r="1355" spans="1:20" s="89" customFormat="1" ht="13.9">
      <c r="A1355" s="269" t="str">
        <f t="shared" si="344"/>
        <v>n</v>
      </c>
      <c r="B1355" s="2060"/>
      <c r="D1355" s="801"/>
      <c r="E1355" s="1505">
        <v>13</v>
      </c>
      <c r="F1355" s="21" t="str">
        <f>F$141</f>
        <v>--</v>
      </c>
      <c r="G1355" s="1441">
        <f>G$141</f>
        <v>0</v>
      </c>
      <c r="H1355" s="1441"/>
      <c r="I1355" s="1441"/>
      <c r="J1355" s="1441"/>
      <c r="K1355" s="2314" t="str">
        <f t="shared" si="343"/>
        <v>--</v>
      </c>
      <c r="L1355" s="2314" t="str">
        <f t="shared" si="343"/>
        <v>--</v>
      </c>
      <c r="M1355" s="2314" t="str">
        <f t="shared" si="343"/>
        <v>--</v>
      </c>
      <c r="N1355" s="2314" t="str">
        <f t="shared" si="343"/>
        <v>--</v>
      </c>
      <c r="O1355" s="2315" t="str">
        <f t="shared" si="343"/>
        <v>--</v>
      </c>
      <c r="P1355" s="2314" t="str">
        <f t="shared" si="343"/>
        <v>--</v>
      </c>
      <c r="R1355" s="1466"/>
      <c r="T1355" s="53"/>
    </row>
    <row r="1356" spans="1:20" s="89" customFormat="1" ht="13.9">
      <c r="A1356" s="269" t="str">
        <f t="shared" si="344"/>
        <v>n</v>
      </c>
      <c r="B1356" s="2060"/>
      <c r="D1356" s="801"/>
      <c r="E1356" s="1505">
        <v>14</v>
      </c>
      <c r="F1356" s="21" t="str">
        <f>F$142</f>
        <v>--</v>
      </c>
      <c r="G1356" s="1441">
        <f>G$142</f>
        <v>0</v>
      </c>
      <c r="H1356" s="1441"/>
      <c r="I1356" s="1441"/>
      <c r="J1356" s="1441"/>
      <c r="K1356" s="2314" t="str">
        <f t="shared" ref="K1356:P1356" si="345">IFERROR(K485/K672,"--")</f>
        <v>--</v>
      </c>
      <c r="L1356" s="2314" t="str">
        <f t="shared" si="345"/>
        <v>--</v>
      </c>
      <c r="M1356" s="2314" t="str">
        <f t="shared" si="345"/>
        <v>--</v>
      </c>
      <c r="N1356" s="2314" t="str">
        <f t="shared" si="345"/>
        <v>--</v>
      </c>
      <c r="O1356" s="2315" t="str">
        <f t="shared" si="345"/>
        <v>--</v>
      </c>
      <c r="P1356" s="2314" t="str">
        <f t="shared" si="345"/>
        <v>--</v>
      </c>
      <c r="R1356" s="1466"/>
      <c r="T1356" s="53"/>
    </row>
    <row r="1357" spans="1:20" s="89" customFormat="1" ht="13.9">
      <c r="A1357" s="269" t="str">
        <f t="shared" si="344"/>
        <v>n</v>
      </c>
      <c r="B1357" s="2060"/>
      <c r="D1357" s="801"/>
      <c r="E1357" s="1505">
        <v>15</v>
      </c>
      <c r="F1357" s="21" t="str">
        <f>F$143</f>
        <v>--</v>
      </c>
      <c r="G1357" s="1441">
        <f>G$143</f>
        <v>0</v>
      </c>
      <c r="H1357" s="1441"/>
      <c r="I1357" s="1441"/>
      <c r="J1357" s="1441"/>
      <c r="K1357" s="2314" t="str">
        <f t="shared" ref="K1357:P1357" si="346">IFERROR(K486/K673,"--")</f>
        <v>--</v>
      </c>
      <c r="L1357" s="2314" t="str">
        <f t="shared" si="346"/>
        <v>--</v>
      </c>
      <c r="M1357" s="2314" t="str">
        <f t="shared" si="346"/>
        <v>--</v>
      </c>
      <c r="N1357" s="2314" t="str">
        <f t="shared" si="346"/>
        <v>--</v>
      </c>
      <c r="O1357" s="2315" t="str">
        <f t="shared" si="346"/>
        <v>--</v>
      </c>
      <c r="P1357" s="2314" t="str">
        <f t="shared" si="346"/>
        <v>--</v>
      </c>
      <c r="R1357" s="1466"/>
      <c r="T1357" s="53"/>
    </row>
    <row r="1358" spans="1:20" s="89" customFormat="1" ht="13.9">
      <c r="A1358" s="269" t="str">
        <f t="shared" si="344"/>
        <v>n</v>
      </c>
      <c r="B1358" s="2060"/>
      <c r="D1358" s="801"/>
      <c r="E1358" s="1505">
        <v>16</v>
      </c>
      <c r="F1358" s="21" t="str">
        <f>F$144</f>
        <v>--</v>
      </c>
      <c r="G1358" s="1441">
        <f>G$144</f>
        <v>0</v>
      </c>
      <c r="H1358" s="1441"/>
      <c r="I1358" s="1441"/>
      <c r="J1358" s="1441"/>
      <c r="K1358" s="2314" t="str">
        <f t="shared" ref="K1358:P1358" si="347">IFERROR(K487/K674,"--")</f>
        <v>--</v>
      </c>
      <c r="L1358" s="2314" t="str">
        <f t="shared" si="347"/>
        <v>--</v>
      </c>
      <c r="M1358" s="2314" t="str">
        <f t="shared" si="347"/>
        <v>--</v>
      </c>
      <c r="N1358" s="2314" t="str">
        <f t="shared" si="347"/>
        <v>--</v>
      </c>
      <c r="O1358" s="2315" t="str">
        <f t="shared" si="347"/>
        <v>--</v>
      </c>
      <c r="P1358" s="2314" t="str">
        <f t="shared" si="347"/>
        <v>--</v>
      </c>
      <c r="R1358" s="1466"/>
      <c r="T1358" s="53"/>
    </row>
    <row r="1359" spans="1:20" s="89" customFormat="1" ht="13.9">
      <c r="A1359" s="269" t="str">
        <f t="shared" si="344"/>
        <v>n</v>
      </c>
      <c r="B1359" s="2060"/>
      <c r="D1359" s="801"/>
      <c r="E1359" s="1505">
        <v>17</v>
      </c>
      <c r="F1359" s="21" t="str">
        <f>F$145</f>
        <v>--</v>
      </c>
      <c r="G1359" s="1441">
        <f>G$145</f>
        <v>0</v>
      </c>
      <c r="H1359" s="1441"/>
      <c r="I1359" s="1441"/>
      <c r="J1359" s="1441"/>
      <c r="K1359" s="2314" t="str">
        <f t="shared" ref="K1359:P1359" si="348">IFERROR(K488/K675,"--")</f>
        <v>--</v>
      </c>
      <c r="L1359" s="2314" t="str">
        <f t="shared" si="348"/>
        <v>--</v>
      </c>
      <c r="M1359" s="2314" t="str">
        <f t="shared" si="348"/>
        <v>--</v>
      </c>
      <c r="N1359" s="2314" t="str">
        <f t="shared" si="348"/>
        <v>--</v>
      </c>
      <c r="O1359" s="2315" t="str">
        <f t="shared" si="348"/>
        <v>--</v>
      </c>
      <c r="P1359" s="2314" t="str">
        <f t="shared" si="348"/>
        <v>--</v>
      </c>
      <c r="R1359" s="1466"/>
      <c r="T1359" s="53"/>
    </row>
    <row r="1360" spans="1:20" s="89" customFormat="1" ht="13.9">
      <c r="A1360" s="269" t="str">
        <f t="shared" si="344"/>
        <v>n</v>
      </c>
      <c r="B1360" s="2060"/>
      <c r="D1360" s="801"/>
      <c r="E1360" s="1505">
        <v>18</v>
      </c>
      <c r="F1360" s="21" t="str">
        <f>F$146</f>
        <v>--</v>
      </c>
      <c r="G1360" s="1441">
        <f>G$146</f>
        <v>0</v>
      </c>
      <c r="H1360" s="1441"/>
      <c r="I1360" s="1441"/>
      <c r="J1360" s="1441"/>
      <c r="K1360" s="2314" t="str">
        <f t="shared" ref="K1360:P1360" si="349">IFERROR(K489/K676,"--")</f>
        <v>--</v>
      </c>
      <c r="L1360" s="2314" t="str">
        <f t="shared" si="349"/>
        <v>--</v>
      </c>
      <c r="M1360" s="2314" t="str">
        <f t="shared" si="349"/>
        <v>--</v>
      </c>
      <c r="N1360" s="2314" t="str">
        <f t="shared" si="349"/>
        <v>--</v>
      </c>
      <c r="O1360" s="2315" t="str">
        <f t="shared" si="349"/>
        <v>--</v>
      </c>
      <c r="P1360" s="2314" t="str">
        <f t="shared" si="349"/>
        <v>--</v>
      </c>
      <c r="R1360" s="1466"/>
      <c r="T1360" s="53"/>
    </row>
    <row r="1361" spans="1:20" s="89" customFormat="1" ht="13.9">
      <c r="A1361" s="269" t="str">
        <f t="shared" si="344"/>
        <v>n</v>
      </c>
      <c r="B1361" s="2060"/>
      <c r="D1361" s="801"/>
      <c r="E1361" s="1505">
        <v>19</v>
      </c>
      <c r="F1361" s="21" t="str">
        <f>F$147</f>
        <v>--</v>
      </c>
      <c r="G1361" s="1441">
        <f>G$147</f>
        <v>0</v>
      </c>
      <c r="H1361" s="1441"/>
      <c r="I1361" s="1441"/>
      <c r="J1361" s="1441"/>
      <c r="K1361" s="2314" t="str">
        <f t="shared" ref="K1361:P1361" si="350">IFERROR(K490/K677,"--")</f>
        <v>--</v>
      </c>
      <c r="L1361" s="2314" t="str">
        <f t="shared" si="350"/>
        <v>--</v>
      </c>
      <c r="M1361" s="2314" t="str">
        <f t="shared" si="350"/>
        <v>--</v>
      </c>
      <c r="N1361" s="2314" t="str">
        <f t="shared" si="350"/>
        <v>--</v>
      </c>
      <c r="O1361" s="2315" t="str">
        <f t="shared" si="350"/>
        <v>--</v>
      </c>
      <c r="P1361" s="2314" t="str">
        <f t="shared" si="350"/>
        <v>--</v>
      </c>
      <c r="R1361" s="1466"/>
      <c r="T1361" s="53"/>
    </row>
    <row r="1362" spans="1:20" s="89" customFormat="1" ht="13.9">
      <c r="A1362" s="269" t="str">
        <f t="shared" si="344"/>
        <v>n</v>
      </c>
      <c r="B1362" s="2060"/>
      <c r="D1362" s="801"/>
      <c r="E1362" s="1505">
        <v>20</v>
      </c>
      <c r="F1362" s="21" t="str">
        <f>F$148</f>
        <v>--</v>
      </c>
      <c r="G1362" s="1441">
        <f>G$148</f>
        <v>0</v>
      </c>
      <c r="H1362" s="1441"/>
      <c r="I1362" s="1441"/>
      <c r="J1362" s="1441"/>
      <c r="K1362" s="2314" t="str">
        <f t="shared" ref="K1362:P1362" si="351">IFERROR(K491/K678,"--")</f>
        <v>--</v>
      </c>
      <c r="L1362" s="2314" t="str">
        <f t="shared" si="351"/>
        <v>--</v>
      </c>
      <c r="M1362" s="2314" t="str">
        <f t="shared" si="351"/>
        <v>--</v>
      </c>
      <c r="N1362" s="2314" t="str">
        <f t="shared" si="351"/>
        <v>--</v>
      </c>
      <c r="O1362" s="2315" t="str">
        <f t="shared" si="351"/>
        <v>--</v>
      </c>
      <c r="P1362" s="2314" t="str">
        <f t="shared" si="351"/>
        <v>--</v>
      </c>
      <c r="R1362" s="1466"/>
      <c r="T1362" s="53"/>
    </row>
    <row r="1363" spans="1:20" s="89" customFormat="1" ht="13.9">
      <c r="A1363" s="269" t="str">
        <f t="shared" si="344"/>
        <v>n</v>
      </c>
      <c r="B1363" s="2060"/>
      <c r="D1363" s="801"/>
      <c r="E1363" s="1505">
        <v>21</v>
      </c>
      <c r="F1363" s="21" t="str">
        <f>F$149</f>
        <v>--</v>
      </c>
      <c r="G1363" s="1441">
        <f>G$149</f>
        <v>0</v>
      </c>
      <c r="H1363" s="1441"/>
      <c r="I1363" s="1441"/>
      <c r="J1363" s="1441"/>
      <c r="K1363" s="2314" t="str">
        <f t="shared" ref="K1363:P1363" si="352">IFERROR(K492/K679,"--")</f>
        <v>--</v>
      </c>
      <c r="L1363" s="2314" t="str">
        <f t="shared" si="352"/>
        <v>--</v>
      </c>
      <c r="M1363" s="2314" t="str">
        <f t="shared" si="352"/>
        <v>--</v>
      </c>
      <c r="N1363" s="2314" t="str">
        <f t="shared" si="352"/>
        <v>--</v>
      </c>
      <c r="O1363" s="2315" t="str">
        <f t="shared" si="352"/>
        <v>--</v>
      </c>
      <c r="P1363" s="2314" t="str">
        <f t="shared" si="352"/>
        <v>--</v>
      </c>
      <c r="R1363" s="1466"/>
      <c r="T1363" s="53"/>
    </row>
    <row r="1364" spans="1:20" s="89" customFormat="1" ht="13.9">
      <c r="A1364" s="269" t="str">
        <f t="shared" si="344"/>
        <v>n</v>
      </c>
      <c r="B1364" s="2060"/>
      <c r="D1364" s="801"/>
      <c r="E1364" s="1505">
        <v>22</v>
      </c>
      <c r="F1364" s="21" t="str">
        <f>F$150</f>
        <v>--</v>
      </c>
      <c r="G1364" s="1441">
        <f>G$150</f>
        <v>0</v>
      </c>
      <c r="H1364" s="1441"/>
      <c r="I1364" s="1441"/>
      <c r="J1364" s="1441"/>
      <c r="K1364" s="2314" t="str">
        <f t="shared" ref="K1364:P1364" si="353">IFERROR(K493/K680,"--")</f>
        <v>--</v>
      </c>
      <c r="L1364" s="2314" t="str">
        <f t="shared" si="353"/>
        <v>--</v>
      </c>
      <c r="M1364" s="2314" t="str">
        <f t="shared" si="353"/>
        <v>--</v>
      </c>
      <c r="N1364" s="2314" t="str">
        <f t="shared" si="353"/>
        <v>--</v>
      </c>
      <c r="O1364" s="2315" t="str">
        <f t="shared" si="353"/>
        <v>--</v>
      </c>
      <c r="P1364" s="2314" t="str">
        <f t="shared" si="353"/>
        <v>--</v>
      </c>
      <c r="R1364" s="1466"/>
      <c r="T1364" s="53"/>
    </row>
    <row r="1365" spans="1:20" s="89" customFormat="1" ht="13.9">
      <c r="A1365" s="269" t="str">
        <f t="shared" si="344"/>
        <v>n</v>
      </c>
      <c r="B1365" s="2060"/>
      <c r="D1365" s="801"/>
      <c r="E1365" s="1505">
        <v>23</v>
      </c>
      <c r="F1365" s="21" t="str">
        <f>F$151</f>
        <v>--</v>
      </c>
      <c r="G1365" s="1441">
        <f>G$151</f>
        <v>0</v>
      </c>
      <c r="H1365" s="1441"/>
      <c r="I1365" s="1441"/>
      <c r="J1365" s="1441"/>
      <c r="K1365" s="2314" t="str">
        <f t="shared" ref="K1365:P1365" si="354">IFERROR(K494/K681,"--")</f>
        <v>--</v>
      </c>
      <c r="L1365" s="2314" t="str">
        <f t="shared" si="354"/>
        <v>--</v>
      </c>
      <c r="M1365" s="2314" t="str">
        <f t="shared" si="354"/>
        <v>--</v>
      </c>
      <c r="N1365" s="2314" t="str">
        <f t="shared" si="354"/>
        <v>--</v>
      </c>
      <c r="O1365" s="2315" t="str">
        <f t="shared" si="354"/>
        <v>--</v>
      </c>
      <c r="P1365" s="2314" t="str">
        <f t="shared" si="354"/>
        <v>--</v>
      </c>
      <c r="R1365" s="1466"/>
      <c r="T1365" s="53"/>
    </row>
    <row r="1366" spans="1:20" s="89" customFormat="1" ht="13.9">
      <c r="A1366" s="269" t="str">
        <f t="shared" si="344"/>
        <v>n</v>
      </c>
      <c r="B1366" s="2060"/>
      <c r="D1366" s="801"/>
      <c r="E1366" s="1505">
        <v>24</v>
      </c>
      <c r="F1366" s="21" t="str">
        <f>F$152</f>
        <v>--</v>
      </c>
      <c r="G1366" s="1441">
        <f>G$152</f>
        <v>0</v>
      </c>
      <c r="H1366" s="1441"/>
      <c r="I1366" s="1441"/>
      <c r="J1366" s="1441"/>
      <c r="K1366" s="2314" t="str">
        <f t="shared" ref="K1366:P1366" si="355">IFERROR(K495/K682,"--")</f>
        <v>--</v>
      </c>
      <c r="L1366" s="2314" t="str">
        <f t="shared" si="355"/>
        <v>--</v>
      </c>
      <c r="M1366" s="2314" t="str">
        <f t="shared" si="355"/>
        <v>--</v>
      </c>
      <c r="N1366" s="2314" t="str">
        <f t="shared" si="355"/>
        <v>--</v>
      </c>
      <c r="O1366" s="2315" t="str">
        <f t="shared" si="355"/>
        <v>--</v>
      </c>
      <c r="P1366" s="2314" t="str">
        <f t="shared" si="355"/>
        <v>--</v>
      </c>
      <c r="R1366" s="1466"/>
      <c r="T1366" s="53"/>
    </row>
    <row r="1367" spans="1:20" s="89" customFormat="1" ht="13.9">
      <c r="A1367" s="269" t="str">
        <f t="shared" si="344"/>
        <v>n</v>
      </c>
      <c r="B1367" s="2060"/>
      <c r="D1367" s="801"/>
      <c r="E1367" s="1505">
        <v>25</v>
      </c>
      <c r="F1367" s="21" t="str">
        <f>F$153</f>
        <v>--</v>
      </c>
      <c r="G1367" s="1441">
        <f>G$153</f>
        <v>0</v>
      </c>
      <c r="H1367" s="1441"/>
      <c r="I1367" s="1441"/>
      <c r="J1367" s="1441"/>
      <c r="K1367" s="2314" t="str">
        <f t="shared" ref="K1367:P1367" si="356">IFERROR(K496/K683,"--")</f>
        <v>--</v>
      </c>
      <c r="L1367" s="2314" t="str">
        <f t="shared" si="356"/>
        <v>--</v>
      </c>
      <c r="M1367" s="2314" t="str">
        <f t="shared" si="356"/>
        <v>--</v>
      </c>
      <c r="N1367" s="2314" t="str">
        <f t="shared" si="356"/>
        <v>--</v>
      </c>
      <c r="O1367" s="2315" t="str">
        <f t="shared" si="356"/>
        <v>--</v>
      </c>
      <c r="P1367" s="2314" t="str">
        <f t="shared" si="356"/>
        <v>--</v>
      </c>
      <c r="R1367" s="1466"/>
      <c r="T1367" s="53"/>
    </row>
    <row r="1368" spans="1:20" s="89" customFormat="1" ht="13.9">
      <c r="A1368" s="2060"/>
      <c r="B1368" s="2060"/>
      <c r="D1368" s="801"/>
      <c r="F1368" s="57" t="s">
        <v>767</v>
      </c>
      <c r="G1368" s="1442"/>
      <c r="H1368" s="1442"/>
      <c r="I1368" s="1442"/>
      <c r="J1368" s="1442"/>
      <c r="K1368" s="1476" t="str">
        <f t="shared" ref="K1368:P1368" si="357">IFERROR(MEDIAN(K1343:K1367),"--")</f>
        <v>--</v>
      </c>
      <c r="L1368" s="277" t="str">
        <f t="shared" si="357"/>
        <v>--</v>
      </c>
      <c r="M1368" s="277" t="str">
        <f t="shared" si="357"/>
        <v>--</v>
      </c>
      <c r="N1368" s="277" t="str">
        <f t="shared" si="357"/>
        <v>--</v>
      </c>
      <c r="O1368" s="278" t="str">
        <f t="shared" si="357"/>
        <v>--</v>
      </c>
      <c r="P1368" s="277" t="str">
        <f t="shared" si="357"/>
        <v>--</v>
      </c>
      <c r="T1368" s="1513"/>
    </row>
    <row r="1369" spans="1:20" s="89" customFormat="1" ht="13.9">
      <c r="A1369" s="2060"/>
      <c r="B1369" s="2060"/>
      <c r="D1369" s="1436"/>
      <c r="E1369" s="56"/>
      <c r="F1369" s="21"/>
      <c r="O1369" s="75"/>
      <c r="P1369" s="76"/>
    </row>
    <row r="1370" spans="1:20" s="89" customFormat="1" ht="13.9">
      <c r="A1370" s="2060"/>
      <c r="B1370" s="2060"/>
      <c r="D1370" s="1436"/>
      <c r="E1370" s="56"/>
      <c r="F1370" s="21"/>
      <c r="O1370" s="75"/>
      <c r="P1370" s="76"/>
    </row>
    <row r="1371" spans="1:20" s="89" customFormat="1" ht="13.9">
      <c r="A1371" s="2060"/>
      <c r="B1371" s="2060"/>
      <c r="D1371" s="778">
        <f ca="1">MAX(OFFSET(D1371,-1,0,-ROW(D1371)+1,-2),1)+0.01</f>
        <v>8.0299999999999994</v>
      </c>
      <c r="E1371" s="125"/>
      <c r="F1371" s="952" t="s">
        <v>218</v>
      </c>
      <c r="G1371" s="724" t="s">
        <v>795</v>
      </c>
      <c r="H1371" s="724"/>
      <c r="I1371" s="724"/>
      <c r="J1371" s="758"/>
      <c r="K1371" s="758" t="s">
        <v>700</v>
      </c>
      <c r="L1371" s="758" t="s">
        <v>701</v>
      </c>
      <c r="M1371" s="758" t="s">
        <v>702</v>
      </c>
      <c r="N1371" s="758" t="s">
        <v>703</v>
      </c>
      <c r="O1371" s="759" t="s">
        <v>704</v>
      </c>
      <c r="P1371" s="725" t="s">
        <v>705</v>
      </c>
      <c r="R1371" s="1459"/>
    </row>
    <row r="1372" spans="1:20" s="89" customFormat="1" ht="13.9">
      <c r="A1372" s="2060"/>
      <c r="B1372" s="2060"/>
      <c r="D1372" s="778"/>
      <c r="E1372" s="1505">
        <v>0</v>
      </c>
      <c r="F1372" s="1448" t="str">
        <f>F$128</f>
        <v/>
      </c>
      <c r="G1372" s="1449">
        <f>G$128</f>
        <v>0</v>
      </c>
      <c r="H1372" s="1449"/>
      <c r="I1372" s="258"/>
      <c r="J1372" s="258"/>
      <c r="K1372" s="2322" t="str">
        <f t="shared" ref="K1372:P1385" si="358">IFERROR(K658/K565,"--")</f>
        <v>--</v>
      </c>
      <c r="L1372" s="2322" t="str">
        <f t="shared" si="358"/>
        <v>--</v>
      </c>
      <c r="M1372" s="2322" t="str">
        <f t="shared" si="358"/>
        <v>--</v>
      </c>
      <c r="N1372" s="2322" t="str">
        <f t="shared" si="358"/>
        <v>--</v>
      </c>
      <c r="O1372" s="2324" t="str">
        <f t="shared" si="358"/>
        <v>--</v>
      </c>
      <c r="P1372" s="2322" t="str">
        <f t="shared" si="358"/>
        <v>--</v>
      </c>
      <c r="R1372" s="1459"/>
    </row>
    <row r="1373" spans="1:20" s="89" customFormat="1" ht="13.9">
      <c r="A1373" s="269" t="str">
        <f>IF(F1373="--","n","")</f>
        <v>n</v>
      </c>
      <c r="B1373" s="2060"/>
      <c r="C1373" s="72"/>
      <c r="D1373" s="801"/>
      <c r="E1373" s="1505">
        <v>1</v>
      </c>
      <c r="F1373" s="21" t="str">
        <f>F$129</f>
        <v>--</v>
      </c>
      <c r="G1373" s="1441">
        <f>G$129</f>
        <v>0</v>
      </c>
      <c r="H1373" s="1441"/>
      <c r="I1373" s="1441"/>
      <c r="J1373" s="1441"/>
      <c r="K1373" s="2314" t="str">
        <f t="shared" si="358"/>
        <v>--</v>
      </c>
      <c r="L1373" s="2314" t="str">
        <f t="shared" si="358"/>
        <v>--</v>
      </c>
      <c r="M1373" s="2314" t="str">
        <f t="shared" si="358"/>
        <v>--</v>
      </c>
      <c r="N1373" s="2314" t="str">
        <f t="shared" si="358"/>
        <v>--</v>
      </c>
      <c r="O1373" s="2315" t="str">
        <f t="shared" si="358"/>
        <v>--</v>
      </c>
      <c r="P1373" s="2314" t="str">
        <f t="shared" si="358"/>
        <v>--</v>
      </c>
      <c r="T1373" s="1513"/>
    </row>
    <row r="1374" spans="1:20" s="89" customFormat="1" ht="13.9">
      <c r="A1374" s="269" t="str">
        <f t="shared" ref="A1374:A1397" si="359">IF(F1374="--","n","")</f>
        <v>n</v>
      </c>
      <c r="B1374" s="2060"/>
      <c r="D1374" s="801"/>
      <c r="E1374" s="1505">
        <v>2</v>
      </c>
      <c r="F1374" s="21" t="str">
        <f>F$130</f>
        <v>--</v>
      </c>
      <c r="G1374" s="1441">
        <f>G$130</f>
        <v>0</v>
      </c>
      <c r="H1374" s="1441"/>
      <c r="I1374" s="1441"/>
      <c r="J1374" s="1441"/>
      <c r="K1374" s="2314" t="str">
        <f t="shared" si="358"/>
        <v>--</v>
      </c>
      <c r="L1374" s="2314" t="str">
        <f t="shared" si="358"/>
        <v>--</v>
      </c>
      <c r="M1374" s="2314" t="str">
        <f t="shared" si="358"/>
        <v>--</v>
      </c>
      <c r="N1374" s="2314" t="str">
        <f t="shared" si="358"/>
        <v>--</v>
      </c>
      <c r="O1374" s="2315" t="str">
        <f t="shared" si="358"/>
        <v>--</v>
      </c>
      <c r="P1374" s="2314" t="str">
        <f t="shared" si="358"/>
        <v>--</v>
      </c>
      <c r="T1374" s="1513"/>
    </row>
    <row r="1375" spans="1:20" s="89" customFormat="1" ht="13.9">
      <c r="A1375" s="269" t="str">
        <f t="shared" si="359"/>
        <v>n</v>
      </c>
      <c r="B1375" s="2060"/>
      <c r="C1375" s="72"/>
      <c r="D1375" s="802"/>
      <c r="E1375" s="1505">
        <v>3</v>
      </c>
      <c r="F1375" s="21" t="str">
        <f>F$131</f>
        <v>--</v>
      </c>
      <c r="G1375" s="1441">
        <f>G$131</f>
        <v>0</v>
      </c>
      <c r="H1375" s="1441"/>
      <c r="I1375" s="1441"/>
      <c r="J1375" s="1441"/>
      <c r="K1375" s="2314" t="str">
        <f t="shared" si="358"/>
        <v>--</v>
      </c>
      <c r="L1375" s="2314" t="str">
        <f t="shared" si="358"/>
        <v>--</v>
      </c>
      <c r="M1375" s="2314" t="str">
        <f t="shared" si="358"/>
        <v>--</v>
      </c>
      <c r="N1375" s="2314" t="str">
        <f t="shared" si="358"/>
        <v>--</v>
      </c>
      <c r="O1375" s="2315" t="str">
        <f t="shared" si="358"/>
        <v>--</v>
      </c>
      <c r="P1375" s="2314" t="str">
        <f t="shared" si="358"/>
        <v>--</v>
      </c>
      <c r="T1375" s="1513"/>
    </row>
    <row r="1376" spans="1:20" s="89" customFormat="1" ht="13.9">
      <c r="A1376" s="269" t="str">
        <f t="shared" si="359"/>
        <v>n</v>
      </c>
      <c r="B1376" s="2060"/>
      <c r="C1376" s="72"/>
      <c r="D1376" s="801"/>
      <c r="E1376" s="1505">
        <v>4</v>
      </c>
      <c r="F1376" s="21" t="str">
        <f>F$132</f>
        <v>--</v>
      </c>
      <c r="G1376" s="1441">
        <f>G$132</f>
        <v>0</v>
      </c>
      <c r="H1376" s="1441"/>
      <c r="I1376" s="1441"/>
      <c r="J1376" s="1441"/>
      <c r="K1376" s="2314" t="str">
        <f t="shared" si="358"/>
        <v>--</v>
      </c>
      <c r="L1376" s="2314" t="str">
        <f t="shared" si="358"/>
        <v>--</v>
      </c>
      <c r="M1376" s="2314" t="str">
        <f t="shared" si="358"/>
        <v>--</v>
      </c>
      <c r="N1376" s="2314" t="str">
        <f t="shared" si="358"/>
        <v>--</v>
      </c>
      <c r="O1376" s="2315" t="str">
        <f t="shared" si="358"/>
        <v>--</v>
      </c>
      <c r="P1376" s="2314" t="str">
        <f t="shared" si="358"/>
        <v>--</v>
      </c>
      <c r="T1376" s="1513"/>
    </row>
    <row r="1377" spans="1:20" s="89" customFormat="1" ht="13.9">
      <c r="A1377" s="269" t="str">
        <f t="shared" si="359"/>
        <v>n</v>
      </c>
      <c r="B1377" s="2060"/>
      <c r="C1377" s="72"/>
      <c r="D1377" s="801"/>
      <c r="E1377" s="1505">
        <v>5</v>
      </c>
      <c r="F1377" s="21" t="str">
        <f>F$133</f>
        <v>--</v>
      </c>
      <c r="G1377" s="1441">
        <f>G$133</f>
        <v>0</v>
      </c>
      <c r="H1377" s="1441"/>
      <c r="I1377" s="1441"/>
      <c r="J1377" s="1441"/>
      <c r="K1377" s="2314" t="str">
        <f t="shared" si="358"/>
        <v>--</v>
      </c>
      <c r="L1377" s="2314" t="str">
        <f t="shared" si="358"/>
        <v>--</v>
      </c>
      <c r="M1377" s="2314" t="str">
        <f t="shared" si="358"/>
        <v>--</v>
      </c>
      <c r="N1377" s="2314" t="str">
        <f t="shared" si="358"/>
        <v>--</v>
      </c>
      <c r="O1377" s="2315" t="str">
        <f t="shared" si="358"/>
        <v>--</v>
      </c>
      <c r="P1377" s="2314" t="str">
        <f t="shared" si="358"/>
        <v>--</v>
      </c>
      <c r="T1377" s="1513"/>
    </row>
    <row r="1378" spans="1:20" s="89" customFormat="1" ht="13.9">
      <c r="A1378" s="269" t="str">
        <f t="shared" si="359"/>
        <v>n</v>
      </c>
      <c r="B1378" s="2060"/>
      <c r="C1378" s="72"/>
      <c r="D1378" s="801"/>
      <c r="E1378" s="1505">
        <v>6</v>
      </c>
      <c r="F1378" s="21" t="str">
        <f>F$134</f>
        <v>--</v>
      </c>
      <c r="G1378" s="1441">
        <f>G$134</f>
        <v>0</v>
      </c>
      <c r="H1378" s="1441"/>
      <c r="I1378" s="1441"/>
      <c r="J1378" s="1441"/>
      <c r="K1378" s="2314" t="str">
        <f t="shared" si="358"/>
        <v>--</v>
      </c>
      <c r="L1378" s="2314" t="str">
        <f t="shared" si="358"/>
        <v>--</v>
      </c>
      <c r="M1378" s="2314" t="str">
        <f t="shared" si="358"/>
        <v>--</v>
      </c>
      <c r="N1378" s="2314" t="str">
        <f t="shared" si="358"/>
        <v>--</v>
      </c>
      <c r="O1378" s="2315" t="str">
        <f t="shared" si="358"/>
        <v>--</v>
      </c>
      <c r="P1378" s="2314" t="str">
        <f t="shared" si="358"/>
        <v>--</v>
      </c>
      <c r="T1378" s="1513"/>
    </row>
    <row r="1379" spans="1:20" s="89" customFormat="1" ht="13.9">
      <c r="A1379" s="269" t="str">
        <f t="shared" si="359"/>
        <v>n</v>
      </c>
      <c r="B1379" s="2060"/>
      <c r="D1379" s="801"/>
      <c r="E1379" s="1505">
        <v>7</v>
      </c>
      <c r="F1379" s="21" t="str">
        <f>F$135</f>
        <v>--</v>
      </c>
      <c r="G1379" s="1441">
        <f>G$135</f>
        <v>0</v>
      </c>
      <c r="H1379" s="1441"/>
      <c r="I1379" s="1441"/>
      <c r="J1379" s="1441"/>
      <c r="K1379" s="2314" t="str">
        <f t="shared" si="358"/>
        <v>--</v>
      </c>
      <c r="L1379" s="2314" t="str">
        <f t="shared" si="358"/>
        <v>--</v>
      </c>
      <c r="M1379" s="2314" t="str">
        <f t="shared" si="358"/>
        <v>--</v>
      </c>
      <c r="N1379" s="2314" t="str">
        <f t="shared" si="358"/>
        <v>--</v>
      </c>
      <c r="O1379" s="2315" t="str">
        <f t="shared" si="358"/>
        <v>--</v>
      </c>
      <c r="P1379" s="2314" t="str">
        <f t="shared" si="358"/>
        <v>--</v>
      </c>
      <c r="T1379" s="1513"/>
    </row>
    <row r="1380" spans="1:20" s="89" customFormat="1" ht="13.9">
      <c r="A1380" s="269" t="str">
        <f t="shared" si="359"/>
        <v>n</v>
      </c>
      <c r="B1380" s="2060"/>
      <c r="D1380" s="801"/>
      <c r="E1380" s="1505">
        <v>8</v>
      </c>
      <c r="F1380" s="21" t="str">
        <f>F$136</f>
        <v>--</v>
      </c>
      <c r="G1380" s="1441">
        <f>G$136</f>
        <v>0</v>
      </c>
      <c r="H1380" s="1441"/>
      <c r="I1380" s="1441"/>
      <c r="J1380" s="1441"/>
      <c r="K1380" s="2314" t="str">
        <f t="shared" si="358"/>
        <v>--</v>
      </c>
      <c r="L1380" s="2314" t="str">
        <f t="shared" si="358"/>
        <v>--</v>
      </c>
      <c r="M1380" s="2314" t="str">
        <f t="shared" si="358"/>
        <v>--</v>
      </c>
      <c r="N1380" s="2314" t="str">
        <f t="shared" si="358"/>
        <v>--</v>
      </c>
      <c r="O1380" s="2315" t="str">
        <f t="shared" si="358"/>
        <v>--</v>
      </c>
      <c r="P1380" s="2314" t="str">
        <f t="shared" si="358"/>
        <v>--</v>
      </c>
      <c r="T1380" s="1513"/>
    </row>
    <row r="1381" spans="1:20" s="89" customFormat="1" ht="13.9">
      <c r="A1381" s="269" t="str">
        <f t="shared" si="359"/>
        <v>n</v>
      </c>
      <c r="B1381" s="2060"/>
      <c r="D1381" s="801"/>
      <c r="E1381" s="1505">
        <v>9</v>
      </c>
      <c r="F1381" s="21" t="str">
        <f>F$137</f>
        <v>--</v>
      </c>
      <c r="G1381" s="1441">
        <f>G$137</f>
        <v>0</v>
      </c>
      <c r="H1381" s="1441"/>
      <c r="I1381" s="1441"/>
      <c r="J1381" s="1441"/>
      <c r="K1381" s="2314" t="str">
        <f t="shared" si="358"/>
        <v>--</v>
      </c>
      <c r="L1381" s="2314" t="str">
        <f t="shared" si="358"/>
        <v>--</v>
      </c>
      <c r="M1381" s="2314" t="str">
        <f t="shared" si="358"/>
        <v>--</v>
      </c>
      <c r="N1381" s="2314" t="str">
        <f t="shared" si="358"/>
        <v>--</v>
      </c>
      <c r="O1381" s="2315" t="str">
        <f t="shared" si="358"/>
        <v>--</v>
      </c>
      <c r="P1381" s="2314" t="str">
        <f t="shared" si="358"/>
        <v>--</v>
      </c>
      <c r="T1381" s="1513"/>
    </row>
    <row r="1382" spans="1:20" s="89" customFormat="1" ht="13.9">
      <c r="A1382" s="269" t="str">
        <f t="shared" si="359"/>
        <v>n</v>
      </c>
      <c r="B1382" s="2060"/>
      <c r="D1382" s="801"/>
      <c r="E1382" s="1505">
        <v>10</v>
      </c>
      <c r="F1382" s="21" t="str">
        <f>F$138</f>
        <v>--</v>
      </c>
      <c r="G1382" s="1441">
        <f>G$138</f>
        <v>0</v>
      </c>
      <c r="H1382" s="1441"/>
      <c r="I1382" s="1441"/>
      <c r="J1382" s="1441"/>
      <c r="K1382" s="2314" t="str">
        <f t="shared" si="358"/>
        <v>--</v>
      </c>
      <c r="L1382" s="2314" t="str">
        <f t="shared" si="358"/>
        <v>--</v>
      </c>
      <c r="M1382" s="2314" t="str">
        <f t="shared" si="358"/>
        <v>--</v>
      </c>
      <c r="N1382" s="2314" t="str">
        <f t="shared" si="358"/>
        <v>--</v>
      </c>
      <c r="O1382" s="2315" t="str">
        <f t="shared" si="358"/>
        <v>--</v>
      </c>
      <c r="P1382" s="2314" t="str">
        <f t="shared" si="358"/>
        <v>--</v>
      </c>
      <c r="T1382" s="1513"/>
    </row>
    <row r="1383" spans="1:20" s="89" customFormat="1" ht="13.9">
      <c r="A1383" s="269" t="str">
        <f t="shared" si="359"/>
        <v>n</v>
      </c>
      <c r="B1383" s="2060"/>
      <c r="D1383" s="801"/>
      <c r="E1383" s="1505">
        <v>11</v>
      </c>
      <c r="F1383" s="21" t="str">
        <f>F$139</f>
        <v>--</v>
      </c>
      <c r="G1383" s="1441">
        <f>G$139</f>
        <v>0</v>
      </c>
      <c r="H1383" s="1441"/>
      <c r="I1383" s="1441"/>
      <c r="J1383" s="1441"/>
      <c r="K1383" s="2314" t="str">
        <f t="shared" si="358"/>
        <v>--</v>
      </c>
      <c r="L1383" s="2314" t="str">
        <f t="shared" si="358"/>
        <v>--</v>
      </c>
      <c r="M1383" s="2314" t="str">
        <f t="shared" si="358"/>
        <v>--</v>
      </c>
      <c r="N1383" s="2314" t="str">
        <f t="shared" si="358"/>
        <v>--</v>
      </c>
      <c r="O1383" s="2315" t="str">
        <f t="shared" si="358"/>
        <v>--</v>
      </c>
      <c r="P1383" s="2314" t="str">
        <f t="shared" si="358"/>
        <v>--</v>
      </c>
      <c r="R1383" s="1466"/>
      <c r="T1383" s="53"/>
    </row>
    <row r="1384" spans="1:20" s="89" customFormat="1" ht="13.9">
      <c r="A1384" s="269" t="str">
        <f t="shared" si="359"/>
        <v>n</v>
      </c>
      <c r="B1384" s="2060"/>
      <c r="D1384" s="801"/>
      <c r="E1384" s="1505">
        <v>12</v>
      </c>
      <c r="F1384" s="21" t="str">
        <f>F$140</f>
        <v>--</v>
      </c>
      <c r="G1384" s="1441">
        <f>G$140</f>
        <v>0</v>
      </c>
      <c r="H1384" s="1441"/>
      <c r="I1384" s="1441"/>
      <c r="J1384" s="1441"/>
      <c r="K1384" s="2314" t="str">
        <f t="shared" si="358"/>
        <v>--</v>
      </c>
      <c r="L1384" s="2314" t="str">
        <f t="shared" si="358"/>
        <v>--</v>
      </c>
      <c r="M1384" s="2314" t="str">
        <f t="shared" si="358"/>
        <v>--</v>
      </c>
      <c r="N1384" s="2314" t="str">
        <f t="shared" si="358"/>
        <v>--</v>
      </c>
      <c r="O1384" s="2315" t="str">
        <f t="shared" si="358"/>
        <v>--</v>
      </c>
      <c r="P1384" s="2314" t="str">
        <f t="shared" si="358"/>
        <v>--</v>
      </c>
      <c r="R1384" s="1466"/>
      <c r="T1384" s="53"/>
    </row>
    <row r="1385" spans="1:20" s="89" customFormat="1" ht="13.9">
      <c r="A1385" s="269" t="str">
        <f t="shared" si="359"/>
        <v>n</v>
      </c>
      <c r="B1385" s="2060"/>
      <c r="D1385" s="801"/>
      <c r="E1385" s="1505">
        <v>13</v>
      </c>
      <c r="F1385" s="21" t="str">
        <f>F$141</f>
        <v>--</v>
      </c>
      <c r="G1385" s="1441">
        <f>G$141</f>
        <v>0</v>
      </c>
      <c r="H1385" s="1441"/>
      <c r="I1385" s="1441"/>
      <c r="J1385" s="1441"/>
      <c r="K1385" s="2314" t="str">
        <f t="shared" si="358"/>
        <v>--</v>
      </c>
      <c r="L1385" s="2314" t="str">
        <f t="shared" si="358"/>
        <v>--</v>
      </c>
      <c r="M1385" s="2314" t="str">
        <f t="shared" si="358"/>
        <v>--</v>
      </c>
      <c r="N1385" s="2314" t="str">
        <f t="shared" si="358"/>
        <v>--</v>
      </c>
      <c r="O1385" s="2315" t="str">
        <f t="shared" si="358"/>
        <v>--</v>
      </c>
      <c r="P1385" s="2314" t="str">
        <f t="shared" si="358"/>
        <v>--</v>
      </c>
      <c r="R1385" s="1466"/>
      <c r="T1385" s="53"/>
    </row>
    <row r="1386" spans="1:20" s="89" customFormat="1" ht="13.9">
      <c r="A1386" s="269" t="str">
        <f t="shared" si="359"/>
        <v>n</v>
      </c>
      <c r="B1386" s="2060"/>
      <c r="D1386" s="801"/>
      <c r="E1386" s="1505">
        <v>14</v>
      </c>
      <c r="F1386" s="21" t="str">
        <f>F$142</f>
        <v>--</v>
      </c>
      <c r="G1386" s="1441">
        <f>G$142</f>
        <v>0</v>
      </c>
      <c r="H1386" s="1441"/>
      <c r="I1386" s="1441"/>
      <c r="J1386" s="1441"/>
      <c r="K1386" s="2314" t="str">
        <f t="shared" ref="K1386:P1386" si="360">IFERROR(K672/K579,"--")</f>
        <v>--</v>
      </c>
      <c r="L1386" s="2314" t="str">
        <f t="shared" si="360"/>
        <v>--</v>
      </c>
      <c r="M1386" s="2314" t="str">
        <f t="shared" si="360"/>
        <v>--</v>
      </c>
      <c r="N1386" s="2314" t="str">
        <f t="shared" si="360"/>
        <v>--</v>
      </c>
      <c r="O1386" s="2315" t="str">
        <f t="shared" si="360"/>
        <v>--</v>
      </c>
      <c r="P1386" s="2314" t="str">
        <f t="shared" si="360"/>
        <v>--</v>
      </c>
      <c r="R1386" s="1466"/>
      <c r="T1386" s="53"/>
    </row>
    <row r="1387" spans="1:20" s="89" customFormat="1" ht="13.9">
      <c r="A1387" s="269" t="str">
        <f t="shared" si="359"/>
        <v>n</v>
      </c>
      <c r="B1387" s="2060"/>
      <c r="D1387" s="801"/>
      <c r="E1387" s="1505">
        <v>15</v>
      </c>
      <c r="F1387" s="21" t="str">
        <f>F$143</f>
        <v>--</v>
      </c>
      <c r="G1387" s="1441">
        <f>G$143</f>
        <v>0</v>
      </c>
      <c r="H1387" s="1441"/>
      <c r="I1387" s="1441"/>
      <c r="J1387" s="1441"/>
      <c r="K1387" s="2314" t="str">
        <f t="shared" ref="K1387:P1387" si="361">IFERROR(K673/K580,"--")</f>
        <v>--</v>
      </c>
      <c r="L1387" s="2314" t="str">
        <f t="shared" si="361"/>
        <v>--</v>
      </c>
      <c r="M1387" s="2314" t="str">
        <f t="shared" si="361"/>
        <v>--</v>
      </c>
      <c r="N1387" s="2314" t="str">
        <f t="shared" si="361"/>
        <v>--</v>
      </c>
      <c r="O1387" s="2315" t="str">
        <f t="shared" si="361"/>
        <v>--</v>
      </c>
      <c r="P1387" s="2314" t="str">
        <f t="shared" si="361"/>
        <v>--</v>
      </c>
      <c r="R1387" s="1466"/>
      <c r="T1387" s="53"/>
    </row>
    <row r="1388" spans="1:20" s="89" customFormat="1" ht="13.9">
      <c r="A1388" s="269" t="str">
        <f t="shared" si="359"/>
        <v>n</v>
      </c>
      <c r="B1388" s="2060"/>
      <c r="D1388" s="801"/>
      <c r="E1388" s="1505">
        <v>16</v>
      </c>
      <c r="F1388" s="21" t="str">
        <f>F$144</f>
        <v>--</v>
      </c>
      <c r="G1388" s="1441">
        <f>G$144</f>
        <v>0</v>
      </c>
      <c r="H1388" s="1441"/>
      <c r="I1388" s="1441"/>
      <c r="J1388" s="1441"/>
      <c r="K1388" s="2314" t="str">
        <f t="shared" ref="K1388:P1388" si="362">IFERROR(K674/K581,"--")</f>
        <v>--</v>
      </c>
      <c r="L1388" s="2314" t="str">
        <f t="shared" si="362"/>
        <v>--</v>
      </c>
      <c r="M1388" s="2314" t="str">
        <f t="shared" si="362"/>
        <v>--</v>
      </c>
      <c r="N1388" s="2314" t="str">
        <f t="shared" si="362"/>
        <v>--</v>
      </c>
      <c r="O1388" s="2315" t="str">
        <f t="shared" si="362"/>
        <v>--</v>
      </c>
      <c r="P1388" s="2314" t="str">
        <f t="shared" si="362"/>
        <v>--</v>
      </c>
      <c r="R1388" s="1466"/>
      <c r="T1388" s="53"/>
    </row>
    <row r="1389" spans="1:20" s="89" customFormat="1" ht="13.9">
      <c r="A1389" s="269" t="str">
        <f t="shared" si="359"/>
        <v>n</v>
      </c>
      <c r="B1389" s="2060"/>
      <c r="D1389" s="801"/>
      <c r="E1389" s="1505">
        <v>17</v>
      </c>
      <c r="F1389" s="21" t="str">
        <f>F$145</f>
        <v>--</v>
      </c>
      <c r="G1389" s="1441">
        <f>G$145</f>
        <v>0</v>
      </c>
      <c r="H1389" s="1441"/>
      <c r="I1389" s="1441"/>
      <c r="J1389" s="1441"/>
      <c r="K1389" s="2314" t="str">
        <f t="shared" ref="K1389:P1389" si="363">IFERROR(K675/K582,"--")</f>
        <v>--</v>
      </c>
      <c r="L1389" s="2314" t="str">
        <f t="shared" si="363"/>
        <v>--</v>
      </c>
      <c r="M1389" s="2314" t="str">
        <f t="shared" si="363"/>
        <v>--</v>
      </c>
      <c r="N1389" s="2314" t="str">
        <f t="shared" si="363"/>
        <v>--</v>
      </c>
      <c r="O1389" s="2315" t="str">
        <f t="shared" si="363"/>
        <v>--</v>
      </c>
      <c r="P1389" s="2314" t="str">
        <f t="shared" si="363"/>
        <v>--</v>
      </c>
      <c r="R1389" s="1466"/>
      <c r="T1389" s="53"/>
    </row>
    <row r="1390" spans="1:20" s="89" customFormat="1" ht="13.9">
      <c r="A1390" s="269" t="str">
        <f t="shared" si="359"/>
        <v>n</v>
      </c>
      <c r="B1390" s="2060"/>
      <c r="D1390" s="801"/>
      <c r="E1390" s="1505">
        <v>18</v>
      </c>
      <c r="F1390" s="21" t="str">
        <f>F$146</f>
        <v>--</v>
      </c>
      <c r="G1390" s="1441">
        <f>G$146</f>
        <v>0</v>
      </c>
      <c r="H1390" s="1441"/>
      <c r="I1390" s="1441"/>
      <c r="J1390" s="1441"/>
      <c r="K1390" s="2314" t="str">
        <f t="shared" ref="K1390:P1390" si="364">IFERROR(K676/K583,"--")</f>
        <v>--</v>
      </c>
      <c r="L1390" s="2314" t="str">
        <f t="shared" si="364"/>
        <v>--</v>
      </c>
      <c r="M1390" s="2314" t="str">
        <f t="shared" si="364"/>
        <v>--</v>
      </c>
      <c r="N1390" s="2314" t="str">
        <f t="shared" si="364"/>
        <v>--</v>
      </c>
      <c r="O1390" s="2315" t="str">
        <f t="shared" si="364"/>
        <v>--</v>
      </c>
      <c r="P1390" s="2314" t="str">
        <f t="shared" si="364"/>
        <v>--</v>
      </c>
      <c r="R1390" s="1466"/>
      <c r="T1390" s="53"/>
    </row>
    <row r="1391" spans="1:20" s="89" customFormat="1" ht="13.9">
      <c r="A1391" s="269" t="str">
        <f t="shared" si="359"/>
        <v>n</v>
      </c>
      <c r="B1391" s="2060"/>
      <c r="D1391" s="801"/>
      <c r="E1391" s="1505">
        <v>19</v>
      </c>
      <c r="F1391" s="21" t="str">
        <f>F$147</f>
        <v>--</v>
      </c>
      <c r="G1391" s="1441">
        <f>G$147</f>
        <v>0</v>
      </c>
      <c r="H1391" s="1441"/>
      <c r="I1391" s="1441"/>
      <c r="J1391" s="1441"/>
      <c r="K1391" s="2314" t="str">
        <f t="shared" ref="K1391:P1391" si="365">IFERROR(K677/K584,"--")</f>
        <v>--</v>
      </c>
      <c r="L1391" s="2314" t="str">
        <f t="shared" si="365"/>
        <v>--</v>
      </c>
      <c r="M1391" s="2314" t="str">
        <f t="shared" si="365"/>
        <v>--</v>
      </c>
      <c r="N1391" s="2314" t="str">
        <f t="shared" si="365"/>
        <v>--</v>
      </c>
      <c r="O1391" s="2315" t="str">
        <f t="shared" si="365"/>
        <v>--</v>
      </c>
      <c r="P1391" s="2314" t="str">
        <f t="shared" si="365"/>
        <v>--</v>
      </c>
      <c r="R1391" s="1466"/>
      <c r="T1391" s="53"/>
    </row>
    <row r="1392" spans="1:20" s="89" customFormat="1" ht="13.9">
      <c r="A1392" s="269" t="str">
        <f t="shared" si="359"/>
        <v>n</v>
      </c>
      <c r="B1392" s="2060"/>
      <c r="D1392" s="801"/>
      <c r="E1392" s="1505">
        <v>20</v>
      </c>
      <c r="F1392" s="21" t="str">
        <f>F$148</f>
        <v>--</v>
      </c>
      <c r="G1392" s="1441">
        <f>G$148</f>
        <v>0</v>
      </c>
      <c r="H1392" s="1441"/>
      <c r="I1392" s="1441"/>
      <c r="J1392" s="1441"/>
      <c r="K1392" s="2314" t="str">
        <f t="shared" ref="K1392:P1392" si="366">IFERROR(K678/K585,"--")</f>
        <v>--</v>
      </c>
      <c r="L1392" s="2314" t="str">
        <f t="shared" si="366"/>
        <v>--</v>
      </c>
      <c r="M1392" s="2314" t="str">
        <f t="shared" si="366"/>
        <v>--</v>
      </c>
      <c r="N1392" s="2314" t="str">
        <f t="shared" si="366"/>
        <v>--</v>
      </c>
      <c r="O1392" s="2315" t="str">
        <f t="shared" si="366"/>
        <v>--</v>
      </c>
      <c r="P1392" s="2314" t="str">
        <f t="shared" si="366"/>
        <v>--</v>
      </c>
      <c r="R1392" s="1466"/>
      <c r="T1392" s="53"/>
    </row>
    <row r="1393" spans="1:20" s="89" customFormat="1" ht="13.9">
      <c r="A1393" s="269" t="str">
        <f t="shared" si="359"/>
        <v>n</v>
      </c>
      <c r="B1393" s="2060"/>
      <c r="D1393" s="801"/>
      <c r="E1393" s="1505">
        <v>21</v>
      </c>
      <c r="F1393" s="21" t="str">
        <f>F$149</f>
        <v>--</v>
      </c>
      <c r="G1393" s="1441">
        <f>G$149</f>
        <v>0</v>
      </c>
      <c r="H1393" s="1441"/>
      <c r="I1393" s="1441"/>
      <c r="J1393" s="1441"/>
      <c r="K1393" s="2314" t="str">
        <f t="shared" ref="K1393:P1393" si="367">IFERROR(K679/K586,"--")</f>
        <v>--</v>
      </c>
      <c r="L1393" s="2314" t="str">
        <f t="shared" si="367"/>
        <v>--</v>
      </c>
      <c r="M1393" s="2314" t="str">
        <f t="shared" si="367"/>
        <v>--</v>
      </c>
      <c r="N1393" s="2314" t="str">
        <f t="shared" si="367"/>
        <v>--</v>
      </c>
      <c r="O1393" s="2315" t="str">
        <f t="shared" si="367"/>
        <v>--</v>
      </c>
      <c r="P1393" s="2314" t="str">
        <f t="shared" si="367"/>
        <v>--</v>
      </c>
      <c r="R1393" s="1466"/>
      <c r="T1393" s="53"/>
    </row>
    <row r="1394" spans="1:20" s="89" customFormat="1" ht="13.9">
      <c r="A1394" s="269" t="str">
        <f t="shared" si="359"/>
        <v>n</v>
      </c>
      <c r="B1394" s="2060"/>
      <c r="D1394" s="801"/>
      <c r="E1394" s="1505">
        <v>22</v>
      </c>
      <c r="F1394" s="21" t="str">
        <f>F$150</f>
        <v>--</v>
      </c>
      <c r="G1394" s="1441">
        <f>G$150</f>
        <v>0</v>
      </c>
      <c r="H1394" s="1441"/>
      <c r="I1394" s="1441"/>
      <c r="J1394" s="1441"/>
      <c r="K1394" s="2314" t="str">
        <f t="shared" ref="K1394:P1394" si="368">IFERROR(K680/K587,"--")</f>
        <v>--</v>
      </c>
      <c r="L1394" s="2314" t="str">
        <f t="shared" si="368"/>
        <v>--</v>
      </c>
      <c r="M1394" s="2314" t="str">
        <f t="shared" si="368"/>
        <v>--</v>
      </c>
      <c r="N1394" s="2314" t="str">
        <f t="shared" si="368"/>
        <v>--</v>
      </c>
      <c r="O1394" s="2315" t="str">
        <f t="shared" si="368"/>
        <v>--</v>
      </c>
      <c r="P1394" s="2314" t="str">
        <f t="shared" si="368"/>
        <v>--</v>
      </c>
      <c r="R1394" s="1466"/>
      <c r="T1394" s="53"/>
    </row>
    <row r="1395" spans="1:20" s="89" customFormat="1" ht="13.9">
      <c r="A1395" s="269" t="str">
        <f t="shared" si="359"/>
        <v>n</v>
      </c>
      <c r="B1395" s="2060"/>
      <c r="D1395" s="801"/>
      <c r="E1395" s="1505">
        <v>23</v>
      </c>
      <c r="F1395" s="21" t="str">
        <f>F$151</f>
        <v>--</v>
      </c>
      <c r="G1395" s="1441">
        <f>G$151</f>
        <v>0</v>
      </c>
      <c r="H1395" s="1441"/>
      <c r="I1395" s="1441"/>
      <c r="J1395" s="1441"/>
      <c r="K1395" s="2314" t="str">
        <f t="shared" ref="K1395:P1395" si="369">IFERROR(K681/K588,"--")</f>
        <v>--</v>
      </c>
      <c r="L1395" s="2314" t="str">
        <f t="shared" si="369"/>
        <v>--</v>
      </c>
      <c r="M1395" s="2314" t="str">
        <f t="shared" si="369"/>
        <v>--</v>
      </c>
      <c r="N1395" s="2314" t="str">
        <f t="shared" si="369"/>
        <v>--</v>
      </c>
      <c r="O1395" s="2315" t="str">
        <f t="shared" si="369"/>
        <v>--</v>
      </c>
      <c r="P1395" s="2314" t="str">
        <f t="shared" si="369"/>
        <v>--</v>
      </c>
      <c r="R1395" s="1466"/>
      <c r="T1395" s="53"/>
    </row>
    <row r="1396" spans="1:20" s="89" customFormat="1" ht="13.9">
      <c r="A1396" s="269" t="str">
        <f t="shared" si="359"/>
        <v>n</v>
      </c>
      <c r="B1396" s="2060"/>
      <c r="D1396" s="801"/>
      <c r="E1396" s="1505">
        <v>24</v>
      </c>
      <c r="F1396" s="21" t="str">
        <f>F$152</f>
        <v>--</v>
      </c>
      <c r="G1396" s="1441">
        <f>G$152</f>
        <v>0</v>
      </c>
      <c r="H1396" s="1441"/>
      <c r="I1396" s="1441"/>
      <c r="J1396" s="1441"/>
      <c r="K1396" s="2314" t="str">
        <f t="shared" ref="K1396:P1396" si="370">IFERROR(K682/K589,"--")</f>
        <v>--</v>
      </c>
      <c r="L1396" s="2314" t="str">
        <f t="shared" si="370"/>
        <v>--</v>
      </c>
      <c r="M1396" s="2314" t="str">
        <f t="shared" si="370"/>
        <v>--</v>
      </c>
      <c r="N1396" s="2314" t="str">
        <f t="shared" si="370"/>
        <v>--</v>
      </c>
      <c r="O1396" s="2315" t="str">
        <f t="shared" si="370"/>
        <v>--</v>
      </c>
      <c r="P1396" s="2314" t="str">
        <f t="shared" si="370"/>
        <v>--</v>
      </c>
      <c r="R1396" s="1466"/>
      <c r="T1396" s="53"/>
    </row>
    <row r="1397" spans="1:20" s="89" customFormat="1" ht="13.9">
      <c r="A1397" s="269" t="str">
        <f t="shared" si="359"/>
        <v>n</v>
      </c>
      <c r="B1397" s="2060"/>
      <c r="D1397" s="801"/>
      <c r="E1397" s="1505">
        <v>25</v>
      </c>
      <c r="F1397" s="21" t="str">
        <f>F$153</f>
        <v>--</v>
      </c>
      <c r="G1397" s="1441">
        <f>G$153</f>
        <v>0</v>
      </c>
      <c r="H1397" s="1441"/>
      <c r="I1397" s="1441"/>
      <c r="J1397" s="1441"/>
      <c r="K1397" s="2314" t="str">
        <f t="shared" ref="K1397:P1397" si="371">IFERROR(K683/K590,"--")</f>
        <v>--</v>
      </c>
      <c r="L1397" s="2314" t="str">
        <f t="shared" si="371"/>
        <v>--</v>
      </c>
      <c r="M1397" s="2314" t="str">
        <f t="shared" si="371"/>
        <v>--</v>
      </c>
      <c r="N1397" s="2314" t="str">
        <f t="shared" si="371"/>
        <v>--</v>
      </c>
      <c r="O1397" s="2315" t="str">
        <f t="shared" si="371"/>
        <v>--</v>
      </c>
      <c r="P1397" s="2314" t="str">
        <f t="shared" si="371"/>
        <v>--</v>
      </c>
      <c r="R1397" s="1466"/>
      <c r="T1397" s="53"/>
    </row>
    <row r="1398" spans="1:20" s="89" customFormat="1" ht="13.9">
      <c r="A1398" s="2060"/>
      <c r="B1398" s="2060"/>
      <c r="D1398" s="801"/>
      <c r="F1398" s="57" t="s">
        <v>767</v>
      </c>
      <c r="G1398" s="1442"/>
      <c r="H1398" s="1442"/>
      <c r="I1398" s="1442"/>
      <c r="J1398" s="1442"/>
      <c r="K1398" s="504" t="str">
        <f t="shared" ref="K1398:P1398" si="372">IFERROR(MEDIAN(K1373:K1397),"--")</f>
        <v>--</v>
      </c>
      <c r="L1398" s="277" t="str">
        <f t="shared" si="372"/>
        <v>--</v>
      </c>
      <c r="M1398" s="277" t="str">
        <f t="shared" si="372"/>
        <v>--</v>
      </c>
      <c r="N1398" s="277" t="str">
        <f t="shared" si="372"/>
        <v>--</v>
      </c>
      <c r="O1398" s="278" t="str">
        <f t="shared" si="372"/>
        <v>--</v>
      </c>
      <c r="P1398" s="277" t="str">
        <f t="shared" si="372"/>
        <v>--</v>
      </c>
      <c r="T1398" s="1513"/>
    </row>
    <row r="1399" spans="1:20" s="89" customFormat="1" ht="13.9">
      <c r="A1399" s="2060"/>
      <c r="B1399" s="2060"/>
      <c r="D1399" s="1436"/>
      <c r="E1399" s="56"/>
      <c r="F1399" s="21"/>
      <c r="O1399" s="75"/>
      <c r="P1399" s="76"/>
    </row>
    <row r="1400" spans="1:20" s="89" customFormat="1" ht="13.9">
      <c r="A1400" s="2060"/>
      <c r="B1400" s="2060"/>
      <c r="D1400" s="1436"/>
      <c r="E1400" s="56"/>
      <c r="F1400" s="21"/>
      <c r="O1400" s="75"/>
      <c r="P1400" s="76"/>
    </row>
    <row r="1401" spans="1:20" s="89" customFormat="1" ht="13.9">
      <c r="A1401" s="2060"/>
      <c r="B1401" s="2060"/>
      <c r="D1401" s="778">
        <f ca="1">MAX(OFFSET(D1401,-1,0,-ROW(D1401)+1,-2),1)+0.01</f>
        <v>8.0399999999999991</v>
      </c>
      <c r="E1401" s="125"/>
      <c r="F1401" s="952" t="s">
        <v>473</v>
      </c>
      <c r="G1401" s="724" t="s">
        <v>795</v>
      </c>
      <c r="H1401" s="724"/>
      <c r="I1401" s="724"/>
      <c r="J1401" s="758"/>
      <c r="K1401" s="758" t="s">
        <v>700</v>
      </c>
      <c r="L1401" s="758" t="s">
        <v>701</v>
      </c>
      <c r="M1401" s="758" t="s">
        <v>702</v>
      </c>
      <c r="N1401" s="758" t="s">
        <v>703</v>
      </c>
      <c r="O1401" s="759" t="s">
        <v>704</v>
      </c>
      <c r="P1401" s="725" t="s">
        <v>705</v>
      </c>
      <c r="R1401" s="1459"/>
    </row>
    <row r="1402" spans="1:20" s="89" customFormat="1" ht="13.9">
      <c r="A1402" s="2060"/>
      <c r="B1402" s="2060"/>
      <c r="D1402" s="778"/>
      <c r="E1402" s="1505">
        <v>0</v>
      </c>
      <c r="F1402" s="1448" t="str">
        <f>F$128</f>
        <v/>
      </c>
      <c r="G1402" s="1449">
        <f>G$128</f>
        <v>0</v>
      </c>
      <c r="H1402" s="1449"/>
      <c r="I1402" s="258"/>
      <c r="J1402" s="258"/>
      <c r="K1402" s="2325" t="str">
        <f t="shared" ref="K1402:P1414" si="373">IFERROR(IF(K565/K1001&lt;0,"n/a",K565/K1001),"--")</f>
        <v>--</v>
      </c>
      <c r="L1402" s="2325" t="str">
        <f t="shared" si="373"/>
        <v>--</v>
      </c>
      <c r="M1402" s="2325" t="str">
        <f t="shared" si="373"/>
        <v>--</v>
      </c>
      <c r="N1402" s="2325" t="str">
        <f t="shared" si="373"/>
        <v>--</v>
      </c>
      <c r="O1402" s="2326" t="str">
        <f t="shared" si="373"/>
        <v>--</v>
      </c>
      <c r="P1402" s="2325" t="str">
        <f t="shared" si="373"/>
        <v>--</v>
      </c>
      <c r="R1402" s="1459"/>
    </row>
    <row r="1403" spans="1:20" s="89" customFormat="1" ht="13.9">
      <c r="A1403" s="269" t="str">
        <f>IF(F1403="--","n","")</f>
        <v>n</v>
      </c>
      <c r="B1403" s="2060"/>
      <c r="C1403" s="72"/>
      <c r="D1403" s="801"/>
      <c r="E1403" s="1505">
        <v>1</v>
      </c>
      <c r="F1403" s="21" t="str">
        <f>F$129</f>
        <v>--</v>
      </c>
      <c r="G1403" s="1441">
        <f>G$129</f>
        <v>0</v>
      </c>
      <c r="H1403" s="1441"/>
      <c r="I1403" s="1441"/>
      <c r="J1403" s="1441"/>
      <c r="K1403" s="2327" t="str">
        <f t="shared" si="373"/>
        <v>--</v>
      </c>
      <c r="L1403" s="2327" t="str">
        <f t="shared" si="373"/>
        <v>--</v>
      </c>
      <c r="M1403" s="2327" t="str">
        <f t="shared" si="373"/>
        <v>--</v>
      </c>
      <c r="N1403" s="2327" t="str">
        <f t="shared" si="373"/>
        <v>--</v>
      </c>
      <c r="O1403" s="2328" t="str">
        <f t="shared" si="373"/>
        <v>--</v>
      </c>
      <c r="P1403" s="2327" t="str">
        <f t="shared" si="373"/>
        <v>--</v>
      </c>
      <c r="T1403" s="1513"/>
    </row>
    <row r="1404" spans="1:20" s="89" customFormat="1" ht="13.9">
      <c r="A1404" s="269" t="str">
        <f t="shared" ref="A1404:A1427" si="374">IF(F1404="--","n","")</f>
        <v>n</v>
      </c>
      <c r="B1404" s="2060"/>
      <c r="D1404" s="801"/>
      <c r="E1404" s="1505">
        <v>2</v>
      </c>
      <c r="F1404" s="21" t="str">
        <f>F$130</f>
        <v>--</v>
      </c>
      <c r="G1404" s="1441">
        <f>G$130</f>
        <v>0</v>
      </c>
      <c r="H1404" s="1441"/>
      <c r="I1404" s="1441"/>
      <c r="J1404" s="1441"/>
      <c r="K1404" s="2327" t="str">
        <f t="shared" si="373"/>
        <v>--</v>
      </c>
      <c r="L1404" s="2327" t="str">
        <f t="shared" si="373"/>
        <v>--</v>
      </c>
      <c r="M1404" s="2327" t="str">
        <f t="shared" si="373"/>
        <v>--</v>
      </c>
      <c r="N1404" s="2327" t="str">
        <f t="shared" si="373"/>
        <v>--</v>
      </c>
      <c r="O1404" s="2328" t="str">
        <f t="shared" si="373"/>
        <v>--</v>
      </c>
      <c r="P1404" s="2327" t="str">
        <f t="shared" si="373"/>
        <v>--</v>
      </c>
      <c r="T1404" s="1513"/>
    </row>
    <row r="1405" spans="1:20" s="89" customFormat="1" ht="13.9">
      <c r="A1405" s="269" t="str">
        <f t="shared" si="374"/>
        <v>n</v>
      </c>
      <c r="B1405" s="2060"/>
      <c r="C1405" s="72"/>
      <c r="D1405" s="802"/>
      <c r="E1405" s="1505">
        <v>3</v>
      </c>
      <c r="F1405" s="21" t="str">
        <f>F$131</f>
        <v>--</v>
      </c>
      <c r="G1405" s="1441">
        <f>G$131</f>
        <v>0</v>
      </c>
      <c r="H1405" s="1441"/>
      <c r="I1405" s="1441"/>
      <c r="J1405" s="1441"/>
      <c r="K1405" s="2327" t="str">
        <f t="shared" si="373"/>
        <v>--</v>
      </c>
      <c r="L1405" s="2327" t="str">
        <f t="shared" si="373"/>
        <v>--</v>
      </c>
      <c r="M1405" s="2327" t="str">
        <f t="shared" si="373"/>
        <v>--</v>
      </c>
      <c r="N1405" s="2327" t="str">
        <f t="shared" si="373"/>
        <v>--</v>
      </c>
      <c r="O1405" s="2328" t="str">
        <f t="shared" si="373"/>
        <v>--</v>
      </c>
      <c r="P1405" s="2327" t="str">
        <f t="shared" si="373"/>
        <v>--</v>
      </c>
      <c r="T1405" s="1513"/>
    </row>
    <row r="1406" spans="1:20" s="89" customFormat="1" ht="13.9">
      <c r="A1406" s="269" t="str">
        <f t="shared" si="374"/>
        <v>n</v>
      </c>
      <c r="B1406" s="2060"/>
      <c r="C1406" s="72"/>
      <c r="D1406" s="801"/>
      <c r="E1406" s="1505">
        <v>4</v>
      </c>
      <c r="F1406" s="21" t="str">
        <f>F$132</f>
        <v>--</v>
      </c>
      <c r="G1406" s="1441">
        <f>G$132</f>
        <v>0</v>
      </c>
      <c r="H1406" s="1441"/>
      <c r="I1406" s="1441"/>
      <c r="J1406" s="1441"/>
      <c r="K1406" s="2327" t="str">
        <f t="shared" si="373"/>
        <v>--</v>
      </c>
      <c r="L1406" s="2327" t="str">
        <f t="shared" si="373"/>
        <v>--</v>
      </c>
      <c r="M1406" s="2327" t="str">
        <f t="shared" si="373"/>
        <v>--</v>
      </c>
      <c r="N1406" s="2327" t="str">
        <f t="shared" si="373"/>
        <v>--</v>
      </c>
      <c r="O1406" s="2328" t="str">
        <f t="shared" si="373"/>
        <v>--</v>
      </c>
      <c r="P1406" s="2327" t="str">
        <f t="shared" si="373"/>
        <v>--</v>
      </c>
      <c r="T1406" s="1513"/>
    </row>
    <row r="1407" spans="1:20" s="89" customFormat="1" ht="13.9">
      <c r="A1407" s="269" t="str">
        <f t="shared" si="374"/>
        <v>n</v>
      </c>
      <c r="B1407" s="2060"/>
      <c r="C1407" s="72"/>
      <c r="D1407" s="801"/>
      <c r="E1407" s="1505">
        <v>5</v>
      </c>
      <c r="F1407" s="21" t="str">
        <f>F$133</f>
        <v>--</v>
      </c>
      <c r="G1407" s="1441">
        <f>G$133</f>
        <v>0</v>
      </c>
      <c r="H1407" s="1441"/>
      <c r="I1407" s="1441"/>
      <c r="J1407" s="1441"/>
      <c r="K1407" s="2327" t="str">
        <f t="shared" si="373"/>
        <v>--</v>
      </c>
      <c r="L1407" s="2327" t="str">
        <f t="shared" si="373"/>
        <v>--</v>
      </c>
      <c r="M1407" s="2327" t="str">
        <f t="shared" si="373"/>
        <v>--</v>
      </c>
      <c r="N1407" s="2327" t="str">
        <f t="shared" si="373"/>
        <v>--</v>
      </c>
      <c r="O1407" s="2328" t="str">
        <f t="shared" si="373"/>
        <v>--</v>
      </c>
      <c r="P1407" s="2327" t="str">
        <f t="shared" si="373"/>
        <v>--</v>
      </c>
      <c r="T1407" s="1513"/>
    </row>
    <row r="1408" spans="1:20" s="89" customFormat="1" ht="13.9">
      <c r="A1408" s="269" t="str">
        <f t="shared" si="374"/>
        <v>n</v>
      </c>
      <c r="B1408" s="2060"/>
      <c r="C1408" s="72"/>
      <c r="D1408" s="801"/>
      <c r="E1408" s="1505">
        <v>6</v>
      </c>
      <c r="F1408" s="21" t="str">
        <f>F$134</f>
        <v>--</v>
      </c>
      <c r="G1408" s="1441">
        <f>G$134</f>
        <v>0</v>
      </c>
      <c r="H1408" s="1441"/>
      <c r="I1408" s="1441"/>
      <c r="J1408" s="1441"/>
      <c r="K1408" s="2327" t="str">
        <f t="shared" si="373"/>
        <v>--</v>
      </c>
      <c r="L1408" s="2327" t="str">
        <f t="shared" si="373"/>
        <v>--</v>
      </c>
      <c r="M1408" s="2327" t="str">
        <f t="shared" si="373"/>
        <v>--</v>
      </c>
      <c r="N1408" s="2327" t="str">
        <f t="shared" si="373"/>
        <v>--</v>
      </c>
      <c r="O1408" s="2328" t="str">
        <f t="shared" si="373"/>
        <v>--</v>
      </c>
      <c r="P1408" s="2327" t="str">
        <f t="shared" si="373"/>
        <v>--</v>
      </c>
      <c r="T1408" s="1513"/>
    </row>
    <row r="1409" spans="1:20" s="89" customFormat="1" ht="13.9">
      <c r="A1409" s="269" t="str">
        <f t="shared" si="374"/>
        <v>n</v>
      </c>
      <c r="B1409" s="2060"/>
      <c r="D1409" s="801"/>
      <c r="E1409" s="1505">
        <v>7</v>
      </c>
      <c r="F1409" s="21" t="str">
        <f>F$135</f>
        <v>--</v>
      </c>
      <c r="G1409" s="1441">
        <f>G$135</f>
        <v>0</v>
      </c>
      <c r="H1409" s="1441"/>
      <c r="I1409" s="1441"/>
      <c r="J1409" s="1441"/>
      <c r="K1409" s="2327" t="str">
        <f t="shared" si="373"/>
        <v>--</v>
      </c>
      <c r="L1409" s="2327" t="str">
        <f t="shared" si="373"/>
        <v>--</v>
      </c>
      <c r="M1409" s="2327" t="str">
        <f t="shared" si="373"/>
        <v>--</v>
      </c>
      <c r="N1409" s="2327" t="str">
        <f t="shared" si="373"/>
        <v>--</v>
      </c>
      <c r="O1409" s="2328" t="str">
        <f t="shared" si="373"/>
        <v>--</v>
      </c>
      <c r="P1409" s="2327" t="str">
        <f t="shared" si="373"/>
        <v>--</v>
      </c>
      <c r="T1409" s="1513"/>
    </row>
    <row r="1410" spans="1:20" s="89" customFormat="1" ht="13.9">
      <c r="A1410" s="269" t="str">
        <f t="shared" si="374"/>
        <v>n</v>
      </c>
      <c r="B1410" s="2060"/>
      <c r="D1410" s="801"/>
      <c r="E1410" s="1505">
        <v>8</v>
      </c>
      <c r="F1410" s="21" t="str">
        <f>F$136</f>
        <v>--</v>
      </c>
      <c r="G1410" s="1441">
        <f>G$136</f>
        <v>0</v>
      </c>
      <c r="H1410" s="1441"/>
      <c r="I1410" s="1441"/>
      <c r="J1410" s="1441"/>
      <c r="K1410" s="2327" t="str">
        <f t="shared" si="373"/>
        <v>--</v>
      </c>
      <c r="L1410" s="2327" t="str">
        <f t="shared" si="373"/>
        <v>--</v>
      </c>
      <c r="M1410" s="2327" t="str">
        <f t="shared" si="373"/>
        <v>--</v>
      </c>
      <c r="N1410" s="2327" t="str">
        <f t="shared" si="373"/>
        <v>--</v>
      </c>
      <c r="O1410" s="2328" t="str">
        <f t="shared" si="373"/>
        <v>--</v>
      </c>
      <c r="P1410" s="2327" t="str">
        <f t="shared" si="373"/>
        <v>--</v>
      </c>
      <c r="T1410" s="1513"/>
    </row>
    <row r="1411" spans="1:20" s="89" customFormat="1" ht="13.9">
      <c r="A1411" s="269" t="str">
        <f t="shared" si="374"/>
        <v>n</v>
      </c>
      <c r="B1411" s="2060"/>
      <c r="D1411" s="801"/>
      <c r="E1411" s="1505">
        <v>9</v>
      </c>
      <c r="F1411" s="21" t="str">
        <f>F$137</f>
        <v>--</v>
      </c>
      <c r="G1411" s="1441">
        <f>G$137</f>
        <v>0</v>
      </c>
      <c r="H1411" s="1441"/>
      <c r="I1411" s="1441"/>
      <c r="J1411" s="1441"/>
      <c r="K1411" s="2327" t="str">
        <f t="shared" si="373"/>
        <v>--</v>
      </c>
      <c r="L1411" s="2327" t="str">
        <f t="shared" si="373"/>
        <v>--</v>
      </c>
      <c r="M1411" s="2327" t="str">
        <f t="shared" si="373"/>
        <v>--</v>
      </c>
      <c r="N1411" s="2327" t="str">
        <f t="shared" si="373"/>
        <v>--</v>
      </c>
      <c r="O1411" s="2328" t="str">
        <f t="shared" si="373"/>
        <v>--</v>
      </c>
      <c r="P1411" s="2327" t="str">
        <f t="shared" si="373"/>
        <v>--</v>
      </c>
      <c r="T1411" s="1513"/>
    </row>
    <row r="1412" spans="1:20" s="89" customFormat="1" ht="13.9">
      <c r="A1412" s="269" t="str">
        <f t="shared" si="374"/>
        <v>n</v>
      </c>
      <c r="B1412" s="2060"/>
      <c r="D1412" s="801"/>
      <c r="E1412" s="1505">
        <v>10</v>
      </c>
      <c r="F1412" s="21" t="str">
        <f>F$138</f>
        <v>--</v>
      </c>
      <c r="G1412" s="1441">
        <f>G$138</f>
        <v>0</v>
      </c>
      <c r="H1412" s="1441"/>
      <c r="I1412" s="1441"/>
      <c r="J1412" s="1441"/>
      <c r="K1412" s="2327" t="str">
        <f t="shared" si="373"/>
        <v>--</v>
      </c>
      <c r="L1412" s="2327" t="str">
        <f t="shared" si="373"/>
        <v>--</v>
      </c>
      <c r="M1412" s="2327" t="str">
        <f t="shared" si="373"/>
        <v>--</v>
      </c>
      <c r="N1412" s="2327" t="str">
        <f t="shared" si="373"/>
        <v>--</v>
      </c>
      <c r="O1412" s="2328" t="str">
        <f t="shared" si="373"/>
        <v>--</v>
      </c>
      <c r="P1412" s="2327" t="str">
        <f t="shared" si="373"/>
        <v>--</v>
      </c>
      <c r="T1412" s="1513"/>
    </row>
    <row r="1413" spans="1:20" s="89" customFormat="1" ht="13.9">
      <c r="A1413" s="269" t="str">
        <f t="shared" si="374"/>
        <v>n</v>
      </c>
      <c r="B1413" s="2060"/>
      <c r="D1413" s="801"/>
      <c r="E1413" s="1505">
        <v>11</v>
      </c>
      <c r="F1413" s="21" t="str">
        <f>F$139</f>
        <v>--</v>
      </c>
      <c r="G1413" s="1441">
        <f>G$139</f>
        <v>0</v>
      </c>
      <c r="H1413" s="1441"/>
      <c r="I1413" s="1441"/>
      <c r="J1413" s="1441"/>
      <c r="K1413" s="2327" t="str">
        <f t="shared" si="373"/>
        <v>--</v>
      </c>
      <c r="L1413" s="2327" t="str">
        <f t="shared" si="373"/>
        <v>--</v>
      </c>
      <c r="M1413" s="2327" t="str">
        <f t="shared" si="373"/>
        <v>--</v>
      </c>
      <c r="N1413" s="2327" t="str">
        <f t="shared" si="373"/>
        <v>--</v>
      </c>
      <c r="O1413" s="2328" t="str">
        <f t="shared" si="373"/>
        <v>--</v>
      </c>
      <c r="P1413" s="2327" t="str">
        <f t="shared" si="373"/>
        <v>--</v>
      </c>
      <c r="R1413" s="1466"/>
      <c r="T1413" s="53"/>
    </row>
    <row r="1414" spans="1:20" s="89" customFormat="1" ht="13.9">
      <c r="A1414" s="269" t="str">
        <f t="shared" si="374"/>
        <v>n</v>
      </c>
      <c r="B1414" s="2060"/>
      <c r="D1414" s="801"/>
      <c r="E1414" s="1505">
        <v>12</v>
      </c>
      <c r="F1414" s="21" t="str">
        <f>F$140</f>
        <v>--</v>
      </c>
      <c r="G1414" s="1441">
        <f>G$140</f>
        <v>0</v>
      </c>
      <c r="H1414" s="1441"/>
      <c r="I1414" s="1441"/>
      <c r="J1414" s="1441"/>
      <c r="K1414" s="2327" t="str">
        <f t="shared" si="373"/>
        <v>--</v>
      </c>
      <c r="L1414" s="2327" t="str">
        <f t="shared" si="373"/>
        <v>--</v>
      </c>
      <c r="M1414" s="2327" t="str">
        <f t="shared" si="373"/>
        <v>--</v>
      </c>
      <c r="N1414" s="2327" t="str">
        <f t="shared" si="373"/>
        <v>--</v>
      </c>
      <c r="O1414" s="2328" t="str">
        <f t="shared" si="373"/>
        <v>--</v>
      </c>
      <c r="P1414" s="2327" t="str">
        <f t="shared" si="373"/>
        <v>--</v>
      </c>
      <c r="R1414" s="1466"/>
      <c r="T1414" s="53"/>
    </row>
    <row r="1415" spans="1:20" s="89" customFormat="1" ht="13.9">
      <c r="A1415" s="269" t="str">
        <f t="shared" si="374"/>
        <v>n</v>
      </c>
      <c r="B1415" s="2060"/>
      <c r="D1415" s="801"/>
      <c r="E1415" s="1505">
        <v>13</v>
      </c>
      <c r="F1415" s="21" t="str">
        <f>F$141</f>
        <v>--</v>
      </c>
      <c r="G1415" s="1441">
        <f>G$141</f>
        <v>0</v>
      </c>
      <c r="H1415" s="1441"/>
      <c r="I1415" s="1441"/>
      <c r="J1415" s="1441"/>
      <c r="K1415" s="2327" t="str">
        <f t="shared" ref="K1415:P1415" si="375">IFERROR(IF(K578/K1014&lt;0,"n/a",K578/K1014),"--")</f>
        <v>--</v>
      </c>
      <c r="L1415" s="2327" t="str">
        <f t="shared" si="375"/>
        <v>--</v>
      </c>
      <c r="M1415" s="2327" t="str">
        <f t="shared" si="375"/>
        <v>--</v>
      </c>
      <c r="N1415" s="2327" t="str">
        <f t="shared" si="375"/>
        <v>--</v>
      </c>
      <c r="O1415" s="2328" t="str">
        <f t="shared" si="375"/>
        <v>--</v>
      </c>
      <c r="P1415" s="2327" t="str">
        <f t="shared" si="375"/>
        <v>--</v>
      </c>
      <c r="R1415" s="1466"/>
      <c r="T1415" s="53"/>
    </row>
    <row r="1416" spans="1:20" s="89" customFormat="1" ht="13.9">
      <c r="A1416" s="269" t="str">
        <f t="shared" si="374"/>
        <v>n</v>
      </c>
      <c r="B1416" s="2060"/>
      <c r="D1416" s="801"/>
      <c r="E1416" s="1505">
        <v>14</v>
      </c>
      <c r="F1416" s="21" t="str">
        <f>F$142</f>
        <v>--</v>
      </c>
      <c r="G1416" s="1441">
        <f>G$142</f>
        <v>0</v>
      </c>
      <c r="H1416" s="1441"/>
      <c r="I1416" s="1441"/>
      <c r="J1416" s="1441"/>
      <c r="K1416" s="2327" t="str">
        <f t="shared" ref="K1416:P1416" si="376">IFERROR(IF(K579/K1015&lt;0,"n/a",K579/K1015),"--")</f>
        <v>--</v>
      </c>
      <c r="L1416" s="2327" t="str">
        <f t="shared" si="376"/>
        <v>--</v>
      </c>
      <c r="M1416" s="2327" t="str">
        <f t="shared" si="376"/>
        <v>--</v>
      </c>
      <c r="N1416" s="2327" t="str">
        <f t="shared" si="376"/>
        <v>--</v>
      </c>
      <c r="O1416" s="2328" t="str">
        <f t="shared" si="376"/>
        <v>--</v>
      </c>
      <c r="P1416" s="2327" t="str">
        <f t="shared" si="376"/>
        <v>--</v>
      </c>
      <c r="R1416" s="1466"/>
      <c r="T1416" s="53"/>
    </row>
    <row r="1417" spans="1:20" s="89" customFormat="1" ht="13.9">
      <c r="A1417" s="269" t="str">
        <f t="shared" si="374"/>
        <v>n</v>
      </c>
      <c r="B1417" s="2060"/>
      <c r="D1417" s="801"/>
      <c r="E1417" s="1505">
        <v>15</v>
      </c>
      <c r="F1417" s="21" t="str">
        <f>F$143</f>
        <v>--</v>
      </c>
      <c r="G1417" s="1441">
        <f>G$143</f>
        <v>0</v>
      </c>
      <c r="H1417" s="1441"/>
      <c r="I1417" s="1441"/>
      <c r="J1417" s="1441"/>
      <c r="K1417" s="2327" t="str">
        <f t="shared" ref="K1417:P1417" si="377">IFERROR(IF(K580/K1016&lt;0,"n/a",K580/K1016),"--")</f>
        <v>--</v>
      </c>
      <c r="L1417" s="2327" t="str">
        <f t="shared" si="377"/>
        <v>--</v>
      </c>
      <c r="M1417" s="2327" t="str">
        <f t="shared" si="377"/>
        <v>--</v>
      </c>
      <c r="N1417" s="2327" t="str">
        <f t="shared" si="377"/>
        <v>--</v>
      </c>
      <c r="O1417" s="2328" t="str">
        <f t="shared" si="377"/>
        <v>--</v>
      </c>
      <c r="P1417" s="2327" t="str">
        <f t="shared" si="377"/>
        <v>--</v>
      </c>
      <c r="R1417" s="1466"/>
      <c r="T1417" s="53"/>
    </row>
    <row r="1418" spans="1:20" s="89" customFormat="1" ht="13.9">
      <c r="A1418" s="269" t="str">
        <f t="shared" si="374"/>
        <v>n</v>
      </c>
      <c r="B1418" s="2060"/>
      <c r="D1418" s="801"/>
      <c r="E1418" s="1505">
        <v>16</v>
      </c>
      <c r="F1418" s="21" t="str">
        <f>F$144</f>
        <v>--</v>
      </c>
      <c r="G1418" s="1441">
        <f>G$144</f>
        <v>0</v>
      </c>
      <c r="H1418" s="1441"/>
      <c r="I1418" s="1441"/>
      <c r="J1418" s="1441"/>
      <c r="K1418" s="2327" t="str">
        <f t="shared" ref="K1418:P1418" si="378">IFERROR(IF(K581/K1017&lt;0,"n/a",K581/K1017),"--")</f>
        <v>--</v>
      </c>
      <c r="L1418" s="2327" t="str">
        <f t="shared" si="378"/>
        <v>--</v>
      </c>
      <c r="M1418" s="2327" t="str">
        <f t="shared" si="378"/>
        <v>--</v>
      </c>
      <c r="N1418" s="2327" t="str">
        <f t="shared" si="378"/>
        <v>--</v>
      </c>
      <c r="O1418" s="2328" t="str">
        <f t="shared" si="378"/>
        <v>--</v>
      </c>
      <c r="P1418" s="2327" t="str">
        <f t="shared" si="378"/>
        <v>--</v>
      </c>
      <c r="R1418" s="1466"/>
      <c r="T1418" s="53"/>
    </row>
    <row r="1419" spans="1:20" s="89" customFormat="1" ht="13.9">
      <c r="A1419" s="269" t="str">
        <f t="shared" si="374"/>
        <v>n</v>
      </c>
      <c r="B1419" s="2060"/>
      <c r="D1419" s="801"/>
      <c r="E1419" s="1505">
        <v>17</v>
      </c>
      <c r="F1419" s="21" t="str">
        <f>F$145</f>
        <v>--</v>
      </c>
      <c r="G1419" s="1441">
        <f>G$145</f>
        <v>0</v>
      </c>
      <c r="H1419" s="1441"/>
      <c r="I1419" s="1441"/>
      <c r="J1419" s="1441"/>
      <c r="K1419" s="2327" t="str">
        <f t="shared" ref="K1419:P1419" si="379">IFERROR(IF(K582/K1018&lt;0,"n/a",K582/K1018),"--")</f>
        <v>--</v>
      </c>
      <c r="L1419" s="2327" t="str">
        <f t="shared" si="379"/>
        <v>--</v>
      </c>
      <c r="M1419" s="2327" t="str">
        <f t="shared" si="379"/>
        <v>--</v>
      </c>
      <c r="N1419" s="2327" t="str">
        <f t="shared" si="379"/>
        <v>--</v>
      </c>
      <c r="O1419" s="2328" t="str">
        <f t="shared" si="379"/>
        <v>--</v>
      </c>
      <c r="P1419" s="2327" t="str">
        <f t="shared" si="379"/>
        <v>--</v>
      </c>
      <c r="R1419" s="1466"/>
      <c r="T1419" s="53"/>
    </row>
    <row r="1420" spans="1:20" s="89" customFormat="1" ht="13.9">
      <c r="A1420" s="269" t="str">
        <f t="shared" si="374"/>
        <v>n</v>
      </c>
      <c r="B1420" s="2060"/>
      <c r="D1420" s="801"/>
      <c r="E1420" s="1505">
        <v>18</v>
      </c>
      <c r="F1420" s="21" t="str">
        <f>F$146</f>
        <v>--</v>
      </c>
      <c r="G1420" s="1441">
        <f>G$146</f>
        <v>0</v>
      </c>
      <c r="H1420" s="1441"/>
      <c r="I1420" s="1441"/>
      <c r="J1420" s="1441"/>
      <c r="K1420" s="2327" t="str">
        <f t="shared" ref="K1420:P1420" si="380">IFERROR(IF(K583/K1019&lt;0,"n/a",K583/K1019),"--")</f>
        <v>--</v>
      </c>
      <c r="L1420" s="2327" t="str">
        <f t="shared" si="380"/>
        <v>--</v>
      </c>
      <c r="M1420" s="2327" t="str">
        <f t="shared" si="380"/>
        <v>--</v>
      </c>
      <c r="N1420" s="2327" t="str">
        <f t="shared" si="380"/>
        <v>--</v>
      </c>
      <c r="O1420" s="2328" t="str">
        <f t="shared" si="380"/>
        <v>--</v>
      </c>
      <c r="P1420" s="2327" t="str">
        <f t="shared" si="380"/>
        <v>--</v>
      </c>
      <c r="R1420" s="1466"/>
      <c r="T1420" s="53"/>
    </row>
    <row r="1421" spans="1:20" s="89" customFormat="1" ht="13.9">
      <c r="A1421" s="269" t="str">
        <f t="shared" si="374"/>
        <v>n</v>
      </c>
      <c r="B1421" s="2060"/>
      <c r="D1421" s="801"/>
      <c r="E1421" s="1505">
        <v>19</v>
      </c>
      <c r="F1421" s="21" t="str">
        <f>F$147</f>
        <v>--</v>
      </c>
      <c r="G1421" s="1441">
        <f>G$147</f>
        <v>0</v>
      </c>
      <c r="H1421" s="1441"/>
      <c r="I1421" s="1441"/>
      <c r="J1421" s="1441"/>
      <c r="K1421" s="2327" t="str">
        <f t="shared" ref="K1421:P1421" si="381">IFERROR(IF(K584/K1020&lt;0,"n/a",K584/K1020),"--")</f>
        <v>--</v>
      </c>
      <c r="L1421" s="2327" t="str">
        <f t="shared" si="381"/>
        <v>--</v>
      </c>
      <c r="M1421" s="2327" t="str">
        <f t="shared" si="381"/>
        <v>--</v>
      </c>
      <c r="N1421" s="2327" t="str">
        <f t="shared" si="381"/>
        <v>--</v>
      </c>
      <c r="O1421" s="2328" t="str">
        <f t="shared" si="381"/>
        <v>--</v>
      </c>
      <c r="P1421" s="2327" t="str">
        <f t="shared" si="381"/>
        <v>--</v>
      </c>
      <c r="R1421" s="1466"/>
      <c r="T1421" s="53"/>
    </row>
    <row r="1422" spans="1:20" s="89" customFormat="1" ht="13.9">
      <c r="A1422" s="269" t="str">
        <f t="shared" si="374"/>
        <v>n</v>
      </c>
      <c r="B1422" s="2060"/>
      <c r="D1422" s="801"/>
      <c r="E1422" s="1505">
        <v>20</v>
      </c>
      <c r="F1422" s="21" t="str">
        <f>F$148</f>
        <v>--</v>
      </c>
      <c r="G1422" s="1441">
        <f>G$148</f>
        <v>0</v>
      </c>
      <c r="H1422" s="1441"/>
      <c r="I1422" s="1441"/>
      <c r="J1422" s="1441"/>
      <c r="K1422" s="2327" t="str">
        <f t="shared" ref="K1422:P1422" si="382">IFERROR(IF(K585/K1021&lt;0,"n/a",K585/K1021),"--")</f>
        <v>--</v>
      </c>
      <c r="L1422" s="2327" t="str">
        <f t="shared" si="382"/>
        <v>--</v>
      </c>
      <c r="M1422" s="2327" t="str">
        <f t="shared" si="382"/>
        <v>--</v>
      </c>
      <c r="N1422" s="2327" t="str">
        <f t="shared" si="382"/>
        <v>--</v>
      </c>
      <c r="O1422" s="2328" t="str">
        <f t="shared" si="382"/>
        <v>--</v>
      </c>
      <c r="P1422" s="2327" t="str">
        <f t="shared" si="382"/>
        <v>--</v>
      </c>
      <c r="R1422" s="1466"/>
      <c r="T1422" s="53"/>
    </row>
    <row r="1423" spans="1:20" s="89" customFormat="1" ht="13.9">
      <c r="A1423" s="269" t="str">
        <f t="shared" si="374"/>
        <v>n</v>
      </c>
      <c r="B1423" s="2060"/>
      <c r="D1423" s="801"/>
      <c r="E1423" s="1505">
        <v>21</v>
      </c>
      <c r="F1423" s="21" t="str">
        <f>F$149</f>
        <v>--</v>
      </c>
      <c r="G1423" s="1441">
        <f>G$149</f>
        <v>0</v>
      </c>
      <c r="H1423" s="1441"/>
      <c r="I1423" s="1441"/>
      <c r="J1423" s="1441"/>
      <c r="K1423" s="2327" t="str">
        <f t="shared" ref="K1423:P1423" si="383">IFERROR(IF(K586/K1022&lt;0,"n/a",K586/K1022),"--")</f>
        <v>--</v>
      </c>
      <c r="L1423" s="2327" t="str">
        <f t="shared" si="383"/>
        <v>--</v>
      </c>
      <c r="M1423" s="2327" t="str">
        <f t="shared" si="383"/>
        <v>--</v>
      </c>
      <c r="N1423" s="2327" t="str">
        <f t="shared" si="383"/>
        <v>--</v>
      </c>
      <c r="O1423" s="2328" t="str">
        <f t="shared" si="383"/>
        <v>--</v>
      </c>
      <c r="P1423" s="2327" t="str">
        <f t="shared" si="383"/>
        <v>--</v>
      </c>
      <c r="R1423" s="1466"/>
      <c r="T1423" s="53"/>
    </row>
    <row r="1424" spans="1:20" s="89" customFormat="1" ht="13.9">
      <c r="A1424" s="269" t="str">
        <f t="shared" si="374"/>
        <v>n</v>
      </c>
      <c r="B1424" s="2060"/>
      <c r="D1424" s="801"/>
      <c r="E1424" s="1505">
        <v>22</v>
      </c>
      <c r="F1424" s="21" t="str">
        <f>F$150</f>
        <v>--</v>
      </c>
      <c r="G1424" s="1441">
        <f>G$150</f>
        <v>0</v>
      </c>
      <c r="H1424" s="1441"/>
      <c r="I1424" s="1441"/>
      <c r="J1424" s="1441"/>
      <c r="K1424" s="2327" t="str">
        <f t="shared" ref="K1424:P1424" si="384">IFERROR(IF(K587/K1023&lt;0,"n/a",K587/K1023),"--")</f>
        <v>--</v>
      </c>
      <c r="L1424" s="2327" t="str">
        <f t="shared" si="384"/>
        <v>--</v>
      </c>
      <c r="M1424" s="2327" t="str">
        <f t="shared" si="384"/>
        <v>--</v>
      </c>
      <c r="N1424" s="2327" t="str">
        <f t="shared" si="384"/>
        <v>--</v>
      </c>
      <c r="O1424" s="2328" t="str">
        <f t="shared" si="384"/>
        <v>--</v>
      </c>
      <c r="P1424" s="2327" t="str">
        <f t="shared" si="384"/>
        <v>--</v>
      </c>
      <c r="R1424" s="1466"/>
      <c r="T1424" s="53"/>
    </row>
    <row r="1425" spans="1:20" s="89" customFormat="1" ht="13.9">
      <c r="A1425" s="269" t="str">
        <f t="shared" si="374"/>
        <v>n</v>
      </c>
      <c r="B1425" s="2060"/>
      <c r="D1425" s="801"/>
      <c r="E1425" s="1505">
        <v>23</v>
      </c>
      <c r="F1425" s="21" t="str">
        <f>F$151</f>
        <v>--</v>
      </c>
      <c r="G1425" s="1441">
        <f>G$151</f>
        <v>0</v>
      </c>
      <c r="H1425" s="1441"/>
      <c r="I1425" s="1441"/>
      <c r="J1425" s="1441"/>
      <c r="K1425" s="2327" t="str">
        <f t="shared" ref="K1425:P1425" si="385">IFERROR(IF(K588/K1024&lt;0,"n/a",K588/K1024),"--")</f>
        <v>--</v>
      </c>
      <c r="L1425" s="2327" t="str">
        <f t="shared" si="385"/>
        <v>--</v>
      </c>
      <c r="M1425" s="2327" t="str">
        <f t="shared" si="385"/>
        <v>--</v>
      </c>
      <c r="N1425" s="2327" t="str">
        <f t="shared" si="385"/>
        <v>--</v>
      </c>
      <c r="O1425" s="2328" t="str">
        <f t="shared" si="385"/>
        <v>--</v>
      </c>
      <c r="P1425" s="2327" t="str">
        <f t="shared" si="385"/>
        <v>--</v>
      </c>
      <c r="R1425" s="1466"/>
      <c r="T1425" s="53"/>
    </row>
    <row r="1426" spans="1:20" s="89" customFormat="1" ht="13.9">
      <c r="A1426" s="269" t="str">
        <f t="shared" si="374"/>
        <v>n</v>
      </c>
      <c r="B1426" s="2060"/>
      <c r="D1426" s="801"/>
      <c r="E1426" s="1505">
        <v>24</v>
      </c>
      <c r="F1426" s="21" t="str">
        <f>F$152</f>
        <v>--</v>
      </c>
      <c r="G1426" s="1441">
        <f>G$152</f>
        <v>0</v>
      </c>
      <c r="H1426" s="1441"/>
      <c r="I1426" s="1441"/>
      <c r="J1426" s="1441"/>
      <c r="K1426" s="2327" t="str">
        <f t="shared" ref="K1426:P1426" si="386">IFERROR(IF(K589/K1025&lt;0,"n/a",K589/K1025),"--")</f>
        <v>--</v>
      </c>
      <c r="L1426" s="2327" t="str">
        <f t="shared" si="386"/>
        <v>--</v>
      </c>
      <c r="M1426" s="2327" t="str">
        <f t="shared" si="386"/>
        <v>--</v>
      </c>
      <c r="N1426" s="2327" t="str">
        <f t="shared" si="386"/>
        <v>--</v>
      </c>
      <c r="O1426" s="2328" t="str">
        <f t="shared" si="386"/>
        <v>--</v>
      </c>
      <c r="P1426" s="2327" t="str">
        <f t="shared" si="386"/>
        <v>--</v>
      </c>
      <c r="R1426" s="1466"/>
      <c r="T1426" s="53"/>
    </row>
    <row r="1427" spans="1:20" s="89" customFormat="1" ht="13.9">
      <c r="A1427" s="269" t="str">
        <f t="shared" si="374"/>
        <v>n</v>
      </c>
      <c r="B1427" s="2060"/>
      <c r="D1427" s="801"/>
      <c r="E1427" s="1505">
        <v>25</v>
      </c>
      <c r="F1427" s="21" t="str">
        <f>F$153</f>
        <v>--</v>
      </c>
      <c r="G1427" s="1441">
        <f>G$153</f>
        <v>0</v>
      </c>
      <c r="H1427" s="1441"/>
      <c r="I1427" s="1441"/>
      <c r="J1427" s="1441"/>
      <c r="K1427" s="2327" t="str">
        <f t="shared" ref="K1427:P1427" si="387">IFERROR(IF(K590/K1026&lt;0,"n/a",K590/K1026),"--")</f>
        <v>--</v>
      </c>
      <c r="L1427" s="2327" t="str">
        <f t="shared" si="387"/>
        <v>--</v>
      </c>
      <c r="M1427" s="2327" t="str">
        <f t="shared" si="387"/>
        <v>--</v>
      </c>
      <c r="N1427" s="2327" t="str">
        <f t="shared" si="387"/>
        <v>--</v>
      </c>
      <c r="O1427" s="2328" t="str">
        <f t="shared" si="387"/>
        <v>--</v>
      </c>
      <c r="P1427" s="2327" t="str">
        <f t="shared" si="387"/>
        <v>--</v>
      </c>
      <c r="R1427" s="1466"/>
      <c r="T1427" s="53"/>
    </row>
    <row r="1428" spans="1:20" s="89" customFormat="1" ht="13.5" customHeight="1">
      <c r="A1428" s="2060"/>
      <c r="B1428" s="2060"/>
      <c r="D1428" s="801"/>
      <c r="F1428" s="57" t="s">
        <v>767</v>
      </c>
      <c r="G1428" s="1442"/>
      <c r="H1428" s="1442"/>
      <c r="I1428" s="1442"/>
      <c r="J1428" s="1442"/>
      <c r="K1428" s="1477" t="str">
        <f t="shared" ref="K1428:P1428" si="388">IFERROR(MEDIAN(K1403:K1427),"--")</f>
        <v>--</v>
      </c>
      <c r="L1428" s="470" t="str">
        <f t="shared" si="388"/>
        <v>--</v>
      </c>
      <c r="M1428" s="470" t="str">
        <f t="shared" si="388"/>
        <v>--</v>
      </c>
      <c r="N1428" s="470" t="str">
        <f t="shared" si="388"/>
        <v>--</v>
      </c>
      <c r="O1428" s="471" t="str">
        <f t="shared" si="388"/>
        <v>--</v>
      </c>
      <c r="P1428" s="470" t="str">
        <f t="shared" si="388"/>
        <v>--</v>
      </c>
      <c r="T1428" s="1513"/>
    </row>
    <row r="1429" spans="1:20" s="89" customFormat="1" ht="13.9">
      <c r="A1429" s="2060"/>
      <c r="B1429" s="2060"/>
      <c r="D1429" s="1436"/>
      <c r="E1429" s="56"/>
      <c r="F1429" s="21"/>
      <c r="O1429" s="75"/>
      <c r="P1429" s="76"/>
    </row>
    <row r="1430" spans="1:20" s="89" customFormat="1" ht="13.9">
      <c r="A1430" s="2060"/>
      <c r="B1430" s="2060"/>
      <c r="D1430" s="1436"/>
      <c r="E1430" s="56"/>
      <c r="F1430" s="21"/>
      <c r="O1430" s="75"/>
      <c r="P1430" s="76"/>
    </row>
    <row r="1431" spans="1:20" s="89" customFormat="1" ht="13.9">
      <c r="A1431" s="2060"/>
      <c r="B1431" s="2060"/>
      <c r="D1431" s="778">
        <f ca="1">MAX(OFFSET(D1431,-1,0,-ROW(D1431)+1,-2),1)+0.01</f>
        <v>8.0499999999999989</v>
      </c>
      <c r="E1431" s="125"/>
      <c r="F1431" s="952" t="s">
        <v>104</v>
      </c>
      <c r="G1431" s="724" t="s">
        <v>795</v>
      </c>
      <c r="H1431" s="724"/>
      <c r="I1431" s="724"/>
      <c r="J1431" s="758"/>
      <c r="K1431" s="758" t="s">
        <v>700</v>
      </c>
      <c r="L1431" s="758" t="s">
        <v>701</v>
      </c>
      <c r="M1431" s="758" t="s">
        <v>702</v>
      </c>
      <c r="N1431" s="758" t="s">
        <v>703</v>
      </c>
      <c r="O1431" s="759" t="s">
        <v>704</v>
      </c>
      <c r="P1431" s="725" t="s">
        <v>705</v>
      </c>
      <c r="R1431" s="1459"/>
    </row>
    <row r="1432" spans="1:20" s="89" customFormat="1" ht="13.9">
      <c r="A1432" s="2060"/>
      <c r="B1432" s="2060"/>
      <c r="D1432" s="778"/>
      <c r="E1432" s="1505">
        <v>0</v>
      </c>
      <c r="F1432" s="1448" t="str">
        <f>F$128</f>
        <v/>
      </c>
      <c r="G1432" s="1449">
        <f>G$128</f>
        <v>0</v>
      </c>
      <c r="H1432" s="1449"/>
      <c r="I1432" s="258"/>
      <c r="J1432" s="258"/>
      <c r="K1432" s="2325" t="str">
        <f t="shared" ref="K1432:P1444" si="389">IFERROR(IF(K1001/K1063&lt;0,"n/a",K1001/K1063),"--")</f>
        <v>--</v>
      </c>
      <c r="L1432" s="2325" t="str">
        <f t="shared" si="389"/>
        <v>--</v>
      </c>
      <c r="M1432" s="2325" t="str">
        <f t="shared" si="389"/>
        <v>--</v>
      </c>
      <c r="N1432" s="2325" t="str">
        <f t="shared" si="389"/>
        <v>--</v>
      </c>
      <c r="O1432" s="2326" t="str">
        <f t="shared" si="389"/>
        <v>--</v>
      </c>
      <c r="P1432" s="2325" t="str">
        <f t="shared" si="389"/>
        <v>--</v>
      </c>
      <c r="R1432" s="1459"/>
    </row>
    <row r="1433" spans="1:20" s="89" customFormat="1" ht="13.9">
      <c r="A1433" s="269" t="str">
        <f>IF(F1433="--","n","")</f>
        <v>n</v>
      </c>
      <c r="B1433" s="2060"/>
      <c r="C1433" s="72"/>
      <c r="D1433" s="801"/>
      <c r="E1433" s="1505">
        <v>1</v>
      </c>
      <c r="F1433" s="21" t="str">
        <f>F$129</f>
        <v>--</v>
      </c>
      <c r="G1433" s="1441">
        <f>G$129</f>
        <v>0</v>
      </c>
      <c r="H1433" s="1441"/>
      <c r="I1433" s="1441"/>
      <c r="J1433" s="1441"/>
      <c r="K1433" s="2327" t="str">
        <f t="shared" si="389"/>
        <v>--</v>
      </c>
      <c r="L1433" s="2327" t="str">
        <f t="shared" si="389"/>
        <v>--</v>
      </c>
      <c r="M1433" s="2327" t="str">
        <f t="shared" si="389"/>
        <v>--</v>
      </c>
      <c r="N1433" s="2327" t="str">
        <f t="shared" si="389"/>
        <v>--</v>
      </c>
      <c r="O1433" s="2328" t="str">
        <f t="shared" si="389"/>
        <v>--</v>
      </c>
      <c r="P1433" s="2327" t="str">
        <f t="shared" si="389"/>
        <v>--</v>
      </c>
      <c r="T1433" s="1513"/>
    </row>
    <row r="1434" spans="1:20" s="89" customFormat="1" ht="13.9">
      <c r="A1434" s="269" t="str">
        <f t="shared" ref="A1434:A1457" si="390">IF(F1434="--","n","")</f>
        <v>n</v>
      </c>
      <c r="B1434" s="2060"/>
      <c r="D1434" s="801"/>
      <c r="E1434" s="1505">
        <v>2</v>
      </c>
      <c r="F1434" s="21" t="str">
        <f>F$130</f>
        <v>--</v>
      </c>
      <c r="G1434" s="1441">
        <f>G$130</f>
        <v>0</v>
      </c>
      <c r="H1434" s="1441"/>
      <c r="I1434" s="1441"/>
      <c r="J1434" s="1441"/>
      <c r="K1434" s="2327" t="str">
        <f t="shared" si="389"/>
        <v>--</v>
      </c>
      <c r="L1434" s="2327" t="str">
        <f t="shared" si="389"/>
        <v>--</v>
      </c>
      <c r="M1434" s="2327" t="str">
        <f t="shared" si="389"/>
        <v>--</v>
      </c>
      <c r="N1434" s="2327" t="str">
        <f t="shared" si="389"/>
        <v>--</v>
      </c>
      <c r="O1434" s="2328" t="str">
        <f t="shared" si="389"/>
        <v>--</v>
      </c>
      <c r="P1434" s="2327" t="str">
        <f t="shared" si="389"/>
        <v>--</v>
      </c>
      <c r="T1434" s="1513"/>
    </row>
    <row r="1435" spans="1:20" s="89" customFormat="1" ht="13.9">
      <c r="A1435" s="269" t="str">
        <f t="shared" si="390"/>
        <v>n</v>
      </c>
      <c r="B1435" s="2060"/>
      <c r="C1435" s="72"/>
      <c r="D1435" s="802"/>
      <c r="E1435" s="1505">
        <v>3</v>
      </c>
      <c r="F1435" s="21" t="str">
        <f>F$131</f>
        <v>--</v>
      </c>
      <c r="G1435" s="1441">
        <f>G$131</f>
        <v>0</v>
      </c>
      <c r="H1435" s="1441"/>
      <c r="I1435" s="1441"/>
      <c r="J1435" s="1441"/>
      <c r="K1435" s="2327" t="str">
        <f t="shared" si="389"/>
        <v>--</v>
      </c>
      <c r="L1435" s="2327" t="str">
        <f t="shared" si="389"/>
        <v>--</v>
      </c>
      <c r="M1435" s="2327" t="str">
        <f t="shared" si="389"/>
        <v>--</v>
      </c>
      <c r="N1435" s="2327" t="str">
        <f t="shared" si="389"/>
        <v>--</v>
      </c>
      <c r="O1435" s="2328" t="str">
        <f t="shared" si="389"/>
        <v>--</v>
      </c>
      <c r="P1435" s="2327" t="str">
        <f t="shared" si="389"/>
        <v>--</v>
      </c>
      <c r="T1435" s="1513"/>
    </row>
    <row r="1436" spans="1:20" s="89" customFormat="1" ht="13.9">
      <c r="A1436" s="269" t="str">
        <f t="shared" si="390"/>
        <v>n</v>
      </c>
      <c r="B1436" s="2060"/>
      <c r="C1436" s="72"/>
      <c r="D1436" s="801"/>
      <c r="E1436" s="1505">
        <v>4</v>
      </c>
      <c r="F1436" s="21" t="str">
        <f>F$132</f>
        <v>--</v>
      </c>
      <c r="G1436" s="1441">
        <f>G$132</f>
        <v>0</v>
      </c>
      <c r="H1436" s="1441"/>
      <c r="I1436" s="1441"/>
      <c r="J1436" s="1441"/>
      <c r="K1436" s="2327" t="str">
        <f t="shared" si="389"/>
        <v>--</v>
      </c>
      <c r="L1436" s="2327" t="str">
        <f t="shared" si="389"/>
        <v>--</v>
      </c>
      <c r="M1436" s="2327" t="str">
        <f t="shared" si="389"/>
        <v>--</v>
      </c>
      <c r="N1436" s="2327" t="str">
        <f t="shared" si="389"/>
        <v>--</v>
      </c>
      <c r="O1436" s="2328" t="str">
        <f t="shared" si="389"/>
        <v>--</v>
      </c>
      <c r="P1436" s="2327" t="str">
        <f t="shared" si="389"/>
        <v>--</v>
      </c>
      <c r="T1436" s="1513"/>
    </row>
    <row r="1437" spans="1:20" s="89" customFormat="1" ht="13.9">
      <c r="A1437" s="269" t="str">
        <f t="shared" si="390"/>
        <v>n</v>
      </c>
      <c r="B1437" s="2060"/>
      <c r="C1437" s="72"/>
      <c r="D1437" s="801"/>
      <c r="E1437" s="1505">
        <v>5</v>
      </c>
      <c r="F1437" s="21" t="str">
        <f>F$133</f>
        <v>--</v>
      </c>
      <c r="G1437" s="1441">
        <f>G$133</f>
        <v>0</v>
      </c>
      <c r="H1437" s="1441"/>
      <c r="I1437" s="1441"/>
      <c r="J1437" s="1441"/>
      <c r="K1437" s="2327" t="str">
        <f t="shared" si="389"/>
        <v>--</v>
      </c>
      <c r="L1437" s="2327" t="str">
        <f t="shared" si="389"/>
        <v>--</v>
      </c>
      <c r="M1437" s="2327" t="str">
        <f t="shared" si="389"/>
        <v>--</v>
      </c>
      <c r="N1437" s="2327" t="str">
        <f t="shared" si="389"/>
        <v>--</v>
      </c>
      <c r="O1437" s="2328" t="str">
        <f t="shared" si="389"/>
        <v>--</v>
      </c>
      <c r="P1437" s="2327" t="str">
        <f t="shared" si="389"/>
        <v>--</v>
      </c>
      <c r="T1437" s="1513"/>
    </row>
    <row r="1438" spans="1:20" s="89" customFormat="1" ht="13.9">
      <c r="A1438" s="269" t="str">
        <f t="shared" si="390"/>
        <v>n</v>
      </c>
      <c r="B1438" s="2060"/>
      <c r="C1438" s="72"/>
      <c r="D1438" s="801"/>
      <c r="E1438" s="1505">
        <v>6</v>
      </c>
      <c r="F1438" s="21" t="str">
        <f>F$134</f>
        <v>--</v>
      </c>
      <c r="G1438" s="1441">
        <f>G$134</f>
        <v>0</v>
      </c>
      <c r="H1438" s="1441"/>
      <c r="I1438" s="1441"/>
      <c r="J1438" s="1441"/>
      <c r="K1438" s="2327" t="str">
        <f t="shared" si="389"/>
        <v>--</v>
      </c>
      <c r="L1438" s="2327" t="str">
        <f t="shared" si="389"/>
        <v>--</v>
      </c>
      <c r="M1438" s="2327" t="str">
        <f t="shared" si="389"/>
        <v>--</v>
      </c>
      <c r="N1438" s="2327" t="str">
        <f t="shared" si="389"/>
        <v>--</v>
      </c>
      <c r="O1438" s="2328" t="str">
        <f t="shared" si="389"/>
        <v>--</v>
      </c>
      <c r="P1438" s="2327" t="str">
        <f t="shared" si="389"/>
        <v>--</v>
      </c>
      <c r="T1438" s="1513"/>
    </row>
    <row r="1439" spans="1:20" s="89" customFormat="1" ht="13.9">
      <c r="A1439" s="269" t="str">
        <f t="shared" si="390"/>
        <v>n</v>
      </c>
      <c r="B1439" s="2060"/>
      <c r="D1439" s="801"/>
      <c r="E1439" s="1505">
        <v>7</v>
      </c>
      <c r="F1439" s="21" t="str">
        <f>F$135</f>
        <v>--</v>
      </c>
      <c r="G1439" s="1441">
        <f>G$135</f>
        <v>0</v>
      </c>
      <c r="H1439" s="1441"/>
      <c r="I1439" s="1441"/>
      <c r="J1439" s="1441"/>
      <c r="K1439" s="2327" t="str">
        <f t="shared" si="389"/>
        <v>--</v>
      </c>
      <c r="L1439" s="2327" t="str">
        <f t="shared" si="389"/>
        <v>--</v>
      </c>
      <c r="M1439" s="2327" t="str">
        <f t="shared" si="389"/>
        <v>--</v>
      </c>
      <c r="N1439" s="2327" t="str">
        <f t="shared" si="389"/>
        <v>--</v>
      </c>
      <c r="O1439" s="2328" t="str">
        <f t="shared" si="389"/>
        <v>--</v>
      </c>
      <c r="P1439" s="2327" t="str">
        <f t="shared" si="389"/>
        <v>--</v>
      </c>
      <c r="T1439" s="1513"/>
    </row>
    <row r="1440" spans="1:20" s="89" customFormat="1" ht="13.9">
      <c r="A1440" s="269" t="str">
        <f t="shared" si="390"/>
        <v>n</v>
      </c>
      <c r="B1440" s="2060"/>
      <c r="D1440" s="801"/>
      <c r="E1440" s="1505">
        <v>8</v>
      </c>
      <c r="F1440" s="21" t="str">
        <f>F$136</f>
        <v>--</v>
      </c>
      <c r="G1440" s="1441">
        <f>G$136</f>
        <v>0</v>
      </c>
      <c r="H1440" s="1441"/>
      <c r="I1440" s="1441"/>
      <c r="J1440" s="1441"/>
      <c r="K1440" s="2327" t="str">
        <f t="shared" si="389"/>
        <v>--</v>
      </c>
      <c r="L1440" s="2327" t="str">
        <f t="shared" si="389"/>
        <v>--</v>
      </c>
      <c r="M1440" s="2327" t="str">
        <f t="shared" si="389"/>
        <v>--</v>
      </c>
      <c r="N1440" s="2327" t="str">
        <f t="shared" si="389"/>
        <v>--</v>
      </c>
      <c r="O1440" s="2328" t="str">
        <f t="shared" si="389"/>
        <v>--</v>
      </c>
      <c r="P1440" s="2327" t="str">
        <f t="shared" si="389"/>
        <v>--</v>
      </c>
      <c r="T1440" s="1513"/>
    </row>
    <row r="1441" spans="1:20" s="89" customFormat="1" ht="13.9">
      <c r="A1441" s="269" t="str">
        <f t="shared" si="390"/>
        <v>n</v>
      </c>
      <c r="B1441" s="2060"/>
      <c r="D1441" s="801"/>
      <c r="E1441" s="1505">
        <v>9</v>
      </c>
      <c r="F1441" s="21" t="str">
        <f>F$137</f>
        <v>--</v>
      </c>
      <c r="G1441" s="1441">
        <f>G$137</f>
        <v>0</v>
      </c>
      <c r="H1441" s="1441"/>
      <c r="I1441" s="1441"/>
      <c r="J1441" s="1441"/>
      <c r="K1441" s="2327" t="str">
        <f t="shared" si="389"/>
        <v>--</v>
      </c>
      <c r="L1441" s="2327" t="str">
        <f t="shared" si="389"/>
        <v>--</v>
      </c>
      <c r="M1441" s="2327" t="str">
        <f t="shared" si="389"/>
        <v>--</v>
      </c>
      <c r="N1441" s="2327" t="str">
        <f t="shared" si="389"/>
        <v>--</v>
      </c>
      <c r="O1441" s="2328" t="str">
        <f t="shared" si="389"/>
        <v>--</v>
      </c>
      <c r="P1441" s="2327" t="str">
        <f t="shared" si="389"/>
        <v>--</v>
      </c>
      <c r="T1441" s="1513"/>
    </row>
    <row r="1442" spans="1:20" s="89" customFormat="1" ht="13.9">
      <c r="A1442" s="269" t="str">
        <f t="shared" si="390"/>
        <v>n</v>
      </c>
      <c r="B1442" s="2060"/>
      <c r="D1442" s="801"/>
      <c r="E1442" s="1505">
        <v>10</v>
      </c>
      <c r="F1442" s="21" t="str">
        <f>F$138</f>
        <v>--</v>
      </c>
      <c r="G1442" s="1441">
        <f>G$138</f>
        <v>0</v>
      </c>
      <c r="H1442" s="1441"/>
      <c r="I1442" s="1441"/>
      <c r="J1442" s="1441"/>
      <c r="K1442" s="2327" t="str">
        <f t="shared" si="389"/>
        <v>--</v>
      </c>
      <c r="L1442" s="2327" t="str">
        <f t="shared" si="389"/>
        <v>--</v>
      </c>
      <c r="M1442" s="2327" t="str">
        <f t="shared" si="389"/>
        <v>--</v>
      </c>
      <c r="N1442" s="2327" t="str">
        <f t="shared" si="389"/>
        <v>--</v>
      </c>
      <c r="O1442" s="2328" t="str">
        <f t="shared" si="389"/>
        <v>--</v>
      </c>
      <c r="P1442" s="2327" t="str">
        <f t="shared" si="389"/>
        <v>--</v>
      </c>
      <c r="T1442" s="1513"/>
    </row>
    <row r="1443" spans="1:20" s="89" customFormat="1" ht="13.9">
      <c r="A1443" s="269" t="str">
        <f t="shared" si="390"/>
        <v>n</v>
      </c>
      <c r="B1443" s="2060"/>
      <c r="D1443" s="801"/>
      <c r="E1443" s="1505">
        <v>11</v>
      </c>
      <c r="F1443" s="21" t="str">
        <f>F$139</f>
        <v>--</v>
      </c>
      <c r="G1443" s="1441">
        <f>G$139</f>
        <v>0</v>
      </c>
      <c r="H1443" s="1441"/>
      <c r="I1443" s="1441"/>
      <c r="J1443" s="1441"/>
      <c r="K1443" s="2327" t="str">
        <f t="shared" si="389"/>
        <v>--</v>
      </c>
      <c r="L1443" s="2327" t="str">
        <f t="shared" si="389"/>
        <v>--</v>
      </c>
      <c r="M1443" s="2327" t="str">
        <f t="shared" si="389"/>
        <v>--</v>
      </c>
      <c r="N1443" s="2327" t="str">
        <f t="shared" si="389"/>
        <v>--</v>
      </c>
      <c r="O1443" s="2328" t="str">
        <f t="shared" si="389"/>
        <v>--</v>
      </c>
      <c r="P1443" s="2327" t="str">
        <f t="shared" si="389"/>
        <v>--</v>
      </c>
      <c r="R1443" s="1466"/>
      <c r="T1443" s="53"/>
    </row>
    <row r="1444" spans="1:20" s="89" customFormat="1" ht="13.9">
      <c r="A1444" s="269" t="str">
        <f t="shared" si="390"/>
        <v>n</v>
      </c>
      <c r="B1444" s="2060"/>
      <c r="D1444" s="801"/>
      <c r="E1444" s="1505">
        <v>12</v>
      </c>
      <c r="F1444" s="21" t="str">
        <f>F$140</f>
        <v>--</v>
      </c>
      <c r="G1444" s="1441">
        <f>G$140</f>
        <v>0</v>
      </c>
      <c r="H1444" s="1441"/>
      <c r="I1444" s="1441"/>
      <c r="J1444" s="1441"/>
      <c r="K1444" s="2327" t="str">
        <f t="shared" si="389"/>
        <v>--</v>
      </c>
      <c r="L1444" s="2327" t="str">
        <f t="shared" si="389"/>
        <v>--</v>
      </c>
      <c r="M1444" s="2327" t="str">
        <f t="shared" si="389"/>
        <v>--</v>
      </c>
      <c r="N1444" s="2327" t="str">
        <f t="shared" si="389"/>
        <v>--</v>
      </c>
      <c r="O1444" s="2328" t="str">
        <f t="shared" si="389"/>
        <v>--</v>
      </c>
      <c r="P1444" s="2327" t="str">
        <f t="shared" si="389"/>
        <v>--</v>
      </c>
      <c r="R1444" s="1466"/>
      <c r="T1444" s="53"/>
    </row>
    <row r="1445" spans="1:20" s="89" customFormat="1" ht="13.9">
      <c r="A1445" s="269" t="str">
        <f t="shared" si="390"/>
        <v>n</v>
      </c>
      <c r="B1445" s="2060"/>
      <c r="D1445" s="801"/>
      <c r="E1445" s="1505">
        <v>13</v>
      </c>
      <c r="F1445" s="21" t="str">
        <f>F$141</f>
        <v>--</v>
      </c>
      <c r="G1445" s="1441">
        <f>G$141</f>
        <v>0</v>
      </c>
      <c r="H1445" s="1441"/>
      <c r="I1445" s="1441"/>
      <c r="J1445" s="1441"/>
      <c r="K1445" s="2327" t="str">
        <f t="shared" ref="K1445:P1445" si="391">IFERROR(IF(K1014/K1076&lt;0,"n/a",K1014/K1076),"--")</f>
        <v>--</v>
      </c>
      <c r="L1445" s="2327" t="str">
        <f t="shared" si="391"/>
        <v>--</v>
      </c>
      <c r="M1445" s="2327" t="str">
        <f t="shared" si="391"/>
        <v>--</v>
      </c>
      <c r="N1445" s="2327" t="str">
        <f t="shared" si="391"/>
        <v>--</v>
      </c>
      <c r="O1445" s="2328" t="str">
        <f t="shared" si="391"/>
        <v>--</v>
      </c>
      <c r="P1445" s="2327" t="str">
        <f t="shared" si="391"/>
        <v>--</v>
      </c>
      <c r="R1445" s="1466"/>
      <c r="T1445" s="53"/>
    </row>
    <row r="1446" spans="1:20" s="89" customFormat="1" ht="13.9">
      <c r="A1446" s="269" t="str">
        <f t="shared" si="390"/>
        <v>n</v>
      </c>
      <c r="B1446" s="2060"/>
      <c r="D1446" s="801"/>
      <c r="E1446" s="1505">
        <v>14</v>
      </c>
      <c r="F1446" s="21" t="str">
        <f>F$142</f>
        <v>--</v>
      </c>
      <c r="G1446" s="1441">
        <f>G$142</f>
        <v>0</v>
      </c>
      <c r="H1446" s="1441"/>
      <c r="I1446" s="1441"/>
      <c r="J1446" s="1441"/>
      <c r="K1446" s="2327" t="str">
        <f t="shared" ref="K1446:P1446" si="392">IFERROR(IF(K1015/K1077&lt;0,"n/a",K1015/K1077),"--")</f>
        <v>--</v>
      </c>
      <c r="L1446" s="2327" t="str">
        <f t="shared" si="392"/>
        <v>--</v>
      </c>
      <c r="M1446" s="2327" t="str">
        <f t="shared" si="392"/>
        <v>--</v>
      </c>
      <c r="N1446" s="2327" t="str">
        <f t="shared" si="392"/>
        <v>--</v>
      </c>
      <c r="O1446" s="2328" t="str">
        <f t="shared" si="392"/>
        <v>--</v>
      </c>
      <c r="P1446" s="2327" t="str">
        <f t="shared" si="392"/>
        <v>--</v>
      </c>
      <c r="R1446" s="1466"/>
      <c r="T1446" s="53"/>
    </row>
    <row r="1447" spans="1:20" s="89" customFormat="1" ht="13.9">
      <c r="A1447" s="269" t="str">
        <f t="shared" si="390"/>
        <v>n</v>
      </c>
      <c r="B1447" s="2060"/>
      <c r="D1447" s="801"/>
      <c r="E1447" s="1505">
        <v>15</v>
      </c>
      <c r="F1447" s="21" t="str">
        <f>F$143</f>
        <v>--</v>
      </c>
      <c r="G1447" s="1441">
        <f>G$143</f>
        <v>0</v>
      </c>
      <c r="H1447" s="1441"/>
      <c r="I1447" s="1441"/>
      <c r="J1447" s="1441"/>
      <c r="K1447" s="2327" t="str">
        <f t="shared" ref="K1447:P1447" si="393">IFERROR(IF(K1016/K1078&lt;0,"n/a",K1016/K1078),"--")</f>
        <v>--</v>
      </c>
      <c r="L1447" s="2327" t="str">
        <f t="shared" si="393"/>
        <v>--</v>
      </c>
      <c r="M1447" s="2327" t="str">
        <f t="shared" si="393"/>
        <v>--</v>
      </c>
      <c r="N1447" s="2327" t="str">
        <f t="shared" si="393"/>
        <v>--</v>
      </c>
      <c r="O1447" s="2328" t="str">
        <f t="shared" si="393"/>
        <v>--</v>
      </c>
      <c r="P1447" s="2327" t="str">
        <f t="shared" si="393"/>
        <v>--</v>
      </c>
      <c r="R1447" s="1466"/>
      <c r="T1447" s="53"/>
    </row>
    <row r="1448" spans="1:20" s="89" customFormat="1" ht="13.9">
      <c r="A1448" s="269" t="str">
        <f t="shared" si="390"/>
        <v>n</v>
      </c>
      <c r="B1448" s="2060"/>
      <c r="D1448" s="801"/>
      <c r="E1448" s="1505">
        <v>16</v>
      </c>
      <c r="F1448" s="21" t="str">
        <f>F$144</f>
        <v>--</v>
      </c>
      <c r="G1448" s="1441">
        <f>G$144</f>
        <v>0</v>
      </c>
      <c r="H1448" s="1441"/>
      <c r="I1448" s="1441"/>
      <c r="J1448" s="1441"/>
      <c r="K1448" s="2327" t="str">
        <f t="shared" ref="K1448:P1448" si="394">IFERROR(IF(K1017/K1079&lt;0,"n/a",K1017/K1079),"--")</f>
        <v>--</v>
      </c>
      <c r="L1448" s="2327" t="str">
        <f t="shared" si="394"/>
        <v>--</v>
      </c>
      <c r="M1448" s="2327" t="str">
        <f t="shared" si="394"/>
        <v>--</v>
      </c>
      <c r="N1448" s="2327" t="str">
        <f t="shared" si="394"/>
        <v>--</v>
      </c>
      <c r="O1448" s="2328" t="str">
        <f t="shared" si="394"/>
        <v>--</v>
      </c>
      <c r="P1448" s="2327" t="str">
        <f t="shared" si="394"/>
        <v>--</v>
      </c>
      <c r="R1448" s="1466"/>
      <c r="T1448" s="53"/>
    </row>
    <row r="1449" spans="1:20" s="89" customFormat="1" ht="13.9">
      <c r="A1449" s="269" t="str">
        <f t="shared" si="390"/>
        <v>n</v>
      </c>
      <c r="B1449" s="2060"/>
      <c r="D1449" s="801"/>
      <c r="E1449" s="1505">
        <v>17</v>
      </c>
      <c r="F1449" s="21" t="str">
        <f>F$145</f>
        <v>--</v>
      </c>
      <c r="G1449" s="1441">
        <f>G$145</f>
        <v>0</v>
      </c>
      <c r="H1449" s="1441"/>
      <c r="I1449" s="1441"/>
      <c r="J1449" s="1441"/>
      <c r="K1449" s="2327" t="str">
        <f t="shared" ref="K1449:P1449" si="395">IFERROR(IF(K1018/K1080&lt;0,"n/a",K1018/K1080),"--")</f>
        <v>--</v>
      </c>
      <c r="L1449" s="2327" t="str">
        <f t="shared" si="395"/>
        <v>--</v>
      </c>
      <c r="M1449" s="2327" t="str">
        <f t="shared" si="395"/>
        <v>--</v>
      </c>
      <c r="N1449" s="2327" t="str">
        <f t="shared" si="395"/>
        <v>--</v>
      </c>
      <c r="O1449" s="2328" t="str">
        <f t="shared" si="395"/>
        <v>--</v>
      </c>
      <c r="P1449" s="2327" t="str">
        <f t="shared" si="395"/>
        <v>--</v>
      </c>
      <c r="R1449" s="1466"/>
      <c r="T1449" s="53"/>
    </row>
    <row r="1450" spans="1:20" s="89" customFormat="1" ht="13.9">
      <c r="A1450" s="269" t="str">
        <f t="shared" si="390"/>
        <v>n</v>
      </c>
      <c r="B1450" s="2060"/>
      <c r="D1450" s="801"/>
      <c r="E1450" s="1505">
        <v>18</v>
      </c>
      <c r="F1450" s="21" t="str">
        <f>F$146</f>
        <v>--</v>
      </c>
      <c r="G1450" s="1441">
        <f>G$146</f>
        <v>0</v>
      </c>
      <c r="H1450" s="1441"/>
      <c r="I1450" s="1441"/>
      <c r="J1450" s="1441"/>
      <c r="K1450" s="2327" t="str">
        <f t="shared" ref="K1450:P1450" si="396">IFERROR(IF(K1019/K1081&lt;0,"n/a",K1019/K1081),"--")</f>
        <v>--</v>
      </c>
      <c r="L1450" s="2327" t="str">
        <f t="shared" si="396"/>
        <v>--</v>
      </c>
      <c r="M1450" s="2327" t="str">
        <f t="shared" si="396"/>
        <v>--</v>
      </c>
      <c r="N1450" s="2327" t="str">
        <f t="shared" si="396"/>
        <v>--</v>
      </c>
      <c r="O1450" s="2328" t="str">
        <f t="shared" si="396"/>
        <v>--</v>
      </c>
      <c r="P1450" s="2327" t="str">
        <f t="shared" si="396"/>
        <v>--</v>
      </c>
      <c r="R1450" s="1466"/>
      <c r="T1450" s="53"/>
    </row>
    <row r="1451" spans="1:20" s="89" customFormat="1" ht="13.9">
      <c r="A1451" s="269" t="str">
        <f t="shared" si="390"/>
        <v>n</v>
      </c>
      <c r="B1451" s="2060"/>
      <c r="D1451" s="801"/>
      <c r="E1451" s="1505">
        <v>19</v>
      </c>
      <c r="F1451" s="21" t="str">
        <f>F$147</f>
        <v>--</v>
      </c>
      <c r="G1451" s="1441">
        <f>G$147</f>
        <v>0</v>
      </c>
      <c r="H1451" s="1441"/>
      <c r="I1451" s="1441"/>
      <c r="J1451" s="1441"/>
      <c r="K1451" s="2327" t="str">
        <f t="shared" ref="K1451:P1451" si="397">IFERROR(IF(K1020/K1082&lt;0,"n/a",K1020/K1082),"--")</f>
        <v>--</v>
      </c>
      <c r="L1451" s="2327" t="str">
        <f t="shared" si="397"/>
        <v>--</v>
      </c>
      <c r="M1451" s="2327" t="str">
        <f t="shared" si="397"/>
        <v>--</v>
      </c>
      <c r="N1451" s="2327" t="str">
        <f t="shared" si="397"/>
        <v>--</v>
      </c>
      <c r="O1451" s="2328" t="str">
        <f t="shared" si="397"/>
        <v>--</v>
      </c>
      <c r="P1451" s="2327" t="str">
        <f t="shared" si="397"/>
        <v>--</v>
      </c>
      <c r="R1451" s="1466"/>
      <c r="T1451" s="53"/>
    </row>
    <row r="1452" spans="1:20" s="89" customFormat="1" ht="13.9">
      <c r="A1452" s="269" t="str">
        <f t="shared" si="390"/>
        <v>n</v>
      </c>
      <c r="B1452" s="2060"/>
      <c r="D1452" s="801"/>
      <c r="E1452" s="1505">
        <v>20</v>
      </c>
      <c r="F1452" s="21" t="str">
        <f>F$148</f>
        <v>--</v>
      </c>
      <c r="G1452" s="1441">
        <f>G$148</f>
        <v>0</v>
      </c>
      <c r="H1452" s="1441"/>
      <c r="I1452" s="1441"/>
      <c r="J1452" s="1441"/>
      <c r="K1452" s="2327" t="str">
        <f t="shared" ref="K1452:P1452" si="398">IFERROR(IF(K1021/K1083&lt;0,"n/a",K1021/K1083),"--")</f>
        <v>--</v>
      </c>
      <c r="L1452" s="2327" t="str">
        <f t="shared" si="398"/>
        <v>--</v>
      </c>
      <c r="M1452" s="2327" t="str">
        <f t="shared" si="398"/>
        <v>--</v>
      </c>
      <c r="N1452" s="2327" t="str">
        <f t="shared" si="398"/>
        <v>--</v>
      </c>
      <c r="O1452" s="2328" t="str">
        <f t="shared" si="398"/>
        <v>--</v>
      </c>
      <c r="P1452" s="2327" t="str">
        <f t="shared" si="398"/>
        <v>--</v>
      </c>
      <c r="R1452" s="1466"/>
      <c r="T1452" s="53"/>
    </row>
    <row r="1453" spans="1:20" s="89" customFormat="1" ht="13.9">
      <c r="A1453" s="269" t="str">
        <f t="shared" si="390"/>
        <v>n</v>
      </c>
      <c r="B1453" s="2060"/>
      <c r="D1453" s="801"/>
      <c r="E1453" s="1505">
        <v>21</v>
      </c>
      <c r="F1453" s="21" t="str">
        <f>F$149</f>
        <v>--</v>
      </c>
      <c r="G1453" s="1441">
        <f>G$149</f>
        <v>0</v>
      </c>
      <c r="H1453" s="1441"/>
      <c r="I1453" s="1441"/>
      <c r="J1453" s="1441"/>
      <c r="K1453" s="2327" t="str">
        <f t="shared" ref="K1453:P1453" si="399">IFERROR(IF(K1022/K1084&lt;0,"n/a",K1022/K1084),"--")</f>
        <v>--</v>
      </c>
      <c r="L1453" s="2327" t="str">
        <f t="shared" si="399"/>
        <v>--</v>
      </c>
      <c r="M1453" s="2327" t="str">
        <f t="shared" si="399"/>
        <v>--</v>
      </c>
      <c r="N1453" s="2327" t="str">
        <f t="shared" si="399"/>
        <v>--</v>
      </c>
      <c r="O1453" s="2328" t="str">
        <f t="shared" si="399"/>
        <v>--</v>
      </c>
      <c r="P1453" s="2327" t="str">
        <f t="shared" si="399"/>
        <v>--</v>
      </c>
      <c r="R1453" s="1466"/>
      <c r="T1453" s="53"/>
    </row>
    <row r="1454" spans="1:20" s="89" customFormat="1" ht="13.9">
      <c r="A1454" s="269" t="str">
        <f t="shared" si="390"/>
        <v>n</v>
      </c>
      <c r="B1454" s="2060"/>
      <c r="D1454" s="801"/>
      <c r="E1454" s="1505">
        <v>22</v>
      </c>
      <c r="F1454" s="21" t="str">
        <f>F$150</f>
        <v>--</v>
      </c>
      <c r="G1454" s="1441">
        <f>G$150</f>
        <v>0</v>
      </c>
      <c r="H1454" s="1441"/>
      <c r="I1454" s="1441"/>
      <c r="J1454" s="1441"/>
      <c r="K1454" s="2327" t="str">
        <f t="shared" ref="K1454:P1454" si="400">IFERROR(IF(K1023/K1085&lt;0,"n/a",K1023/K1085),"--")</f>
        <v>--</v>
      </c>
      <c r="L1454" s="2327" t="str">
        <f t="shared" si="400"/>
        <v>--</v>
      </c>
      <c r="M1454" s="2327" t="str">
        <f t="shared" si="400"/>
        <v>--</v>
      </c>
      <c r="N1454" s="2327" t="str">
        <f t="shared" si="400"/>
        <v>--</v>
      </c>
      <c r="O1454" s="2328" t="str">
        <f t="shared" si="400"/>
        <v>--</v>
      </c>
      <c r="P1454" s="2327" t="str">
        <f t="shared" si="400"/>
        <v>--</v>
      </c>
      <c r="R1454" s="1466"/>
      <c r="T1454" s="53"/>
    </row>
    <row r="1455" spans="1:20" s="89" customFormat="1" ht="13.9">
      <c r="A1455" s="269" t="str">
        <f t="shared" si="390"/>
        <v>n</v>
      </c>
      <c r="B1455" s="2060"/>
      <c r="D1455" s="801"/>
      <c r="E1455" s="1505">
        <v>23</v>
      </c>
      <c r="F1455" s="21" t="str">
        <f>F$151</f>
        <v>--</v>
      </c>
      <c r="G1455" s="1441">
        <f>G$151</f>
        <v>0</v>
      </c>
      <c r="H1455" s="1441"/>
      <c r="I1455" s="1441"/>
      <c r="J1455" s="1441"/>
      <c r="K1455" s="2327" t="str">
        <f t="shared" ref="K1455:P1455" si="401">IFERROR(IF(K1024/K1086&lt;0,"n/a",K1024/K1086),"--")</f>
        <v>--</v>
      </c>
      <c r="L1455" s="2327" t="str">
        <f t="shared" si="401"/>
        <v>--</v>
      </c>
      <c r="M1455" s="2327" t="str">
        <f t="shared" si="401"/>
        <v>--</v>
      </c>
      <c r="N1455" s="2327" t="str">
        <f t="shared" si="401"/>
        <v>--</v>
      </c>
      <c r="O1455" s="2328" t="str">
        <f t="shared" si="401"/>
        <v>--</v>
      </c>
      <c r="P1455" s="2327" t="str">
        <f t="shared" si="401"/>
        <v>--</v>
      </c>
      <c r="R1455" s="1466"/>
      <c r="T1455" s="53"/>
    </row>
    <row r="1456" spans="1:20" s="89" customFormat="1" ht="13.9">
      <c r="A1456" s="269" t="str">
        <f t="shared" si="390"/>
        <v>n</v>
      </c>
      <c r="B1456" s="2060"/>
      <c r="D1456" s="801"/>
      <c r="E1456" s="1505">
        <v>24</v>
      </c>
      <c r="F1456" s="21" t="str">
        <f>F$152</f>
        <v>--</v>
      </c>
      <c r="G1456" s="1441">
        <f>G$152</f>
        <v>0</v>
      </c>
      <c r="H1456" s="1441"/>
      <c r="I1456" s="1441"/>
      <c r="J1456" s="1441"/>
      <c r="K1456" s="2327" t="str">
        <f t="shared" ref="K1456:P1456" si="402">IFERROR(IF(K1025/K1087&lt;0,"n/a",K1025/K1087),"--")</f>
        <v>--</v>
      </c>
      <c r="L1456" s="2327" t="str">
        <f t="shared" si="402"/>
        <v>--</v>
      </c>
      <c r="M1456" s="2327" t="str">
        <f t="shared" si="402"/>
        <v>--</v>
      </c>
      <c r="N1456" s="2327" t="str">
        <f t="shared" si="402"/>
        <v>--</v>
      </c>
      <c r="O1456" s="2328" t="str">
        <f t="shared" si="402"/>
        <v>--</v>
      </c>
      <c r="P1456" s="2327" t="str">
        <f t="shared" si="402"/>
        <v>--</v>
      </c>
      <c r="R1456" s="1466"/>
      <c r="T1456" s="53"/>
    </row>
    <row r="1457" spans="1:320" s="89" customFormat="1" ht="13.9">
      <c r="A1457" s="269" t="str">
        <f t="shared" si="390"/>
        <v>n</v>
      </c>
      <c r="B1457" s="2060"/>
      <c r="D1457" s="801"/>
      <c r="E1457" s="1505">
        <v>25</v>
      </c>
      <c r="F1457" s="21" t="str">
        <f>F$153</f>
        <v>--</v>
      </c>
      <c r="G1457" s="1441">
        <f>G$153</f>
        <v>0</v>
      </c>
      <c r="H1457" s="1441"/>
      <c r="I1457" s="1441"/>
      <c r="J1457" s="1441"/>
      <c r="K1457" s="2327" t="str">
        <f t="shared" ref="K1457:P1457" si="403">IFERROR(IF(K1026/K1088&lt;0,"n/a",K1026/K1088),"--")</f>
        <v>--</v>
      </c>
      <c r="L1457" s="2327" t="str">
        <f t="shared" si="403"/>
        <v>--</v>
      </c>
      <c r="M1457" s="2327" t="str">
        <f t="shared" si="403"/>
        <v>--</v>
      </c>
      <c r="N1457" s="2327" t="str">
        <f t="shared" si="403"/>
        <v>--</v>
      </c>
      <c r="O1457" s="2328" t="str">
        <f t="shared" si="403"/>
        <v>--</v>
      </c>
      <c r="P1457" s="2327" t="str">
        <f t="shared" si="403"/>
        <v>--</v>
      </c>
      <c r="R1457" s="1466"/>
      <c r="T1457" s="53"/>
    </row>
    <row r="1458" spans="1:320" s="449" customFormat="1" ht="13.9">
      <c r="A1458" s="2060"/>
      <c r="B1458" s="2060"/>
      <c r="C1458" s="89"/>
      <c r="D1458" s="801"/>
      <c r="E1458" s="89"/>
      <c r="F1458" s="57" t="s">
        <v>767</v>
      </c>
      <c r="G1458" s="1442"/>
      <c r="H1458" s="1442"/>
      <c r="I1458" s="1442"/>
      <c r="J1458" s="1442"/>
      <c r="K1458" s="1477" t="str">
        <f t="shared" ref="K1458:P1458" si="404">IFERROR(MEDIAN(K1433:K1457),"--")</f>
        <v>--</v>
      </c>
      <c r="L1458" s="470" t="str">
        <f t="shared" si="404"/>
        <v>--</v>
      </c>
      <c r="M1458" s="470" t="str">
        <f t="shared" si="404"/>
        <v>--</v>
      </c>
      <c r="N1458" s="470" t="str">
        <f t="shared" si="404"/>
        <v>--</v>
      </c>
      <c r="O1458" s="471" t="str">
        <f t="shared" si="404"/>
        <v>--</v>
      </c>
      <c r="P1458" s="470" t="str">
        <f t="shared" si="404"/>
        <v>--</v>
      </c>
      <c r="Q1458" s="89"/>
      <c r="R1458" s="89"/>
      <c r="S1458" s="89"/>
      <c r="T1458" s="1513"/>
      <c r="U1458" s="89"/>
      <c r="V1458" s="89"/>
      <c r="W1458" s="89"/>
      <c r="X1458" s="89"/>
      <c r="Y1458" s="89"/>
      <c r="Z1458" s="89"/>
      <c r="AA1458" s="89"/>
      <c r="AB1458" s="89"/>
      <c r="AC1458" s="89"/>
      <c r="AD1458" s="89"/>
      <c r="AE1458" s="89"/>
      <c r="AF1458" s="89"/>
      <c r="AG1458" s="89"/>
      <c r="AH1458" s="89"/>
      <c r="AI1458" s="89"/>
      <c r="AJ1458" s="89"/>
      <c r="AK1458" s="89"/>
      <c r="AL1458" s="89"/>
      <c r="AM1458" s="89"/>
      <c r="AN1458" s="89"/>
      <c r="AO1458" s="89"/>
      <c r="AP1458" s="89"/>
      <c r="AQ1458" s="89"/>
      <c r="AR1458" s="89"/>
      <c r="AS1458" s="89"/>
      <c r="AT1458" s="89"/>
      <c r="AU1458" s="89"/>
      <c r="AV1458" s="89"/>
      <c r="AW1458" s="89"/>
      <c r="AX1458" s="89"/>
      <c r="AY1458" s="89"/>
      <c r="AZ1458" s="89"/>
      <c r="BA1458" s="89"/>
      <c r="BB1458" s="89"/>
      <c r="BC1458" s="89"/>
      <c r="BD1458" s="89"/>
      <c r="BE1458" s="89"/>
      <c r="BF1458" s="89"/>
      <c r="BG1458" s="89"/>
      <c r="BH1458" s="89"/>
      <c r="BI1458" s="89"/>
      <c r="BJ1458" s="89"/>
      <c r="BK1458" s="89"/>
      <c r="BL1458" s="89"/>
      <c r="BM1458" s="89"/>
      <c r="BN1458" s="89"/>
      <c r="BO1458" s="89"/>
      <c r="BP1458" s="89"/>
      <c r="BQ1458" s="2060"/>
      <c r="BR1458" s="2060"/>
      <c r="BS1458" s="2060"/>
      <c r="BT1458" s="2060"/>
      <c r="BU1458" s="2060"/>
      <c r="BV1458" s="2060"/>
      <c r="BW1458" s="2060"/>
      <c r="BX1458" s="2060"/>
      <c r="BY1458" s="2060"/>
      <c r="BZ1458" s="2060"/>
      <c r="CA1458" s="2060"/>
      <c r="CB1458" s="2060"/>
      <c r="CC1458" s="2060"/>
      <c r="CD1458" s="2060"/>
      <c r="CE1458" s="2060"/>
      <c r="CF1458" s="2060"/>
      <c r="CG1458" s="2060"/>
      <c r="CH1458" s="2060"/>
      <c r="CI1458" s="2060"/>
      <c r="CJ1458" s="2060"/>
      <c r="CK1458" s="2060"/>
      <c r="CL1458" s="2060"/>
      <c r="CM1458" s="2060"/>
      <c r="CN1458" s="2060"/>
      <c r="CO1458" s="2060"/>
      <c r="CP1458" s="2060"/>
      <c r="CQ1458" s="2060"/>
      <c r="CR1458" s="2060"/>
      <c r="CS1458" s="2060"/>
      <c r="CT1458" s="2060"/>
      <c r="CU1458" s="2060"/>
      <c r="CV1458" s="2060"/>
      <c r="CW1458" s="2060"/>
      <c r="CX1458" s="2060"/>
      <c r="CY1458" s="2060"/>
      <c r="CZ1458" s="2060"/>
      <c r="DA1458" s="2060"/>
      <c r="DB1458" s="2060"/>
      <c r="DC1458" s="2060"/>
      <c r="DD1458" s="2060"/>
      <c r="DE1458" s="2060"/>
      <c r="DF1458" s="2060"/>
      <c r="DG1458" s="2060"/>
      <c r="DH1458" s="2060"/>
      <c r="DI1458" s="2060"/>
      <c r="DJ1458" s="2060"/>
      <c r="DK1458" s="2060"/>
      <c r="DL1458" s="2060"/>
      <c r="DM1458" s="2060"/>
      <c r="DN1458" s="2060"/>
      <c r="DO1458" s="2060"/>
      <c r="DP1458" s="2060"/>
      <c r="DQ1458" s="2060"/>
      <c r="DR1458" s="2060"/>
      <c r="DS1458" s="2060"/>
      <c r="DT1458" s="2060"/>
      <c r="DU1458" s="2060"/>
      <c r="DV1458" s="2060"/>
      <c r="DW1458" s="2060"/>
      <c r="DX1458" s="2060"/>
      <c r="DY1458" s="2060"/>
      <c r="DZ1458" s="2060"/>
      <c r="EA1458" s="2060"/>
      <c r="EB1458" s="2060"/>
      <c r="EC1458" s="2060"/>
      <c r="ED1458" s="2060"/>
      <c r="EE1458" s="2060"/>
      <c r="EF1458" s="2060"/>
      <c r="EG1458" s="2060"/>
      <c r="EH1458" s="2060"/>
      <c r="EI1458" s="2060"/>
      <c r="EJ1458" s="2060"/>
      <c r="EK1458" s="2060"/>
      <c r="EL1458" s="2060"/>
      <c r="EM1458" s="2060"/>
      <c r="EN1458" s="2060"/>
      <c r="EO1458" s="2060"/>
      <c r="EP1458" s="2060"/>
      <c r="EQ1458" s="2060"/>
      <c r="ER1458" s="2060"/>
      <c r="ES1458" s="2060"/>
      <c r="ET1458" s="2060"/>
      <c r="EU1458" s="2060"/>
      <c r="EV1458" s="2060"/>
      <c r="EW1458" s="2060"/>
      <c r="EX1458" s="2060"/>
      <c r="EY1458" s="2060"/>
      <c r="EZ1458" s="2060"/>
      <c r="FA1458" s="2060"/>
      <c r="FB1458" s="2060"/>
      <c r="FC1458" s="2060"/>
      <c r="FD1458" s="2060"/>
      <c r="FE1458" s="2060"/>
      <c r="FF1458" s="2060"/>
      <c r="FG1458" s="2060"/>
      <c r="FH1458" s="2060"/>
      <c r="FI1458" s="2060"/>
      <c r="FJ1458" s="2060"/>
      <c r="FK1458" s="2060"/>
      <c r="FL1458" s="2060"/>
      <c r="FM1458" s="2060"/>
      <c r="FN1458" s="2060"/>
      <c r="FO1458" s="2060"/>
      <c r="FP1458" s="2060"/>
      <c r="FQ1458" s="2060"/>
      <c r="FR1458" s="2060"/>
      <c r="FS1458" s="2060"/>
      <c r="FT1458" s="2060"/>
      <c r="FU1458" s="2060"/>
      <c r="FV1458" s="2060"/>
      <c r="FW1458" s="2060"/>
      <c r="FX1458" s="2060"/>
      <c r="FY1458" s="2060"/>
      <c r="FZ1458" s="2060"/>
      <c r="GA1458" s="2060"/>
      <c r="GB1458" s="2060"/>
      <c r="GC1458" s="2060"/>
      <c r="GD1458" s="2060"/>
      <c r="GE1458" s="2060"/>
      <c r="GF1458" s="2060"/>
      <c r="GG1458" s="2060"/>
      <c r="GH1458" s="2060"/>
      <c r="GI1458" s="2060"/>
      <c r="GJ1458" s="2060"/>
      <c r="GK1458" s="2060"/>
      <c r="GL1458" s="2060"/>
      <c r="GM1458" s="2060"/>
      <c r="GN1458" s="2060"/>
      <c r="GO1458" s="2060"/>
      <c r="GP1458" s="2060"/>
      <c r="GQ1458" s="2060"/>
      <c r="GR1458" s="2060"/>
      <c r="GS1458" s="2060"/>
      <c r="GT1458" s="2060"/>
      <c r="GU1458" s="2060"/>
      <c r="GV1458" s="2060"/>
      <c r="GW1458" s="2060"/>
      <c r="GX1458" s="2060"/>
      <c r="GY1458" s="2060"/>
      <c r="GZ1458" s="2060"/>
      <c r="HA1458" s="2060"/>
      <c r="HB1458" s="2060"/>
      <c r="HC1458" s="2060"/>
      <c r="HD1458" s="2060"/>
      <c r="HE1458" s="2060"/>
      <c r="HF1458" s="2060"/>
      <c r="HG1458" s="2060"/>
      <c r="HH1458" s="2060"/>
      <c r="HI1458" s="2060"/>
      <c r="HJ1458" s="2060"/>
      <c r="HK1458" s="2060"/>
      <c r="HL1458" s="2060"/>
      <c r="HM1458" s="2060"/>
      <c r="HN1458" s="2060"/>
      <c r="HO1458" s="2060"/>
      <c r="HP1458" s="2060"/>
      <c r="HQ1458" s="2060"/>
      <c r="HR1458" s="2060"/>
      <c r="HS1458" s="2060"/>
      <c r="HT1458" s="2060"/>
      <c r="HU1458" s="2060"/>
      <c r="HV1458" s="2060"/>
      <c r="HW1458" s="2060"/>
      <c r="HX1458" s="2060"/>
      <c r="HY1458" s="2060"/>
      <c r="HZ1458" s="2060"/>
      <c r="IA1458" s="2060"/>
      <c r="IB1458" s="2060"/>
      <c r="IC1458" s="2060"/>
      <c r="ID1458" s="2060"/>
      <c r="IE1458" s="2060"/>
      <c r="IF1458" s="2060"/>
      <c r="IG1458" s="2060"/>
      <c r="IH1458" s="2060"/>
      <c r="II1458" s="2060"/>
      <c r="IJ1458" s="2060"/>
      <c r="IK1458" s="2060"/>
      <c r="IL1458" s="2060"/>
      <c r="IM1458" s="2060"/>
      <c r="IN1458" s="2060"/>
      <c r="IO1458" s="2060"/>
      <c r="IP1458" s="2060"/>
      <c r="IQ1458" s="2060"/>
      <c r="IR1458" s="2060"/>
      <c r="IS1458" s="2060"/>
      <c r="IT1458" s="2060"/>
      <c r="IU1458" s="2060"/>
      <c r="IV1458" s="2060"/>
      <c r="IW1458" s="2060"/>
      <c r="IX1458" s="2060"/>
      <c r="IY1458" s="2060"/>
      <c r="IZ1458" s="2060"/>
      <c r="JA1458" s="2060"/>
      <c r="JB1458" s="2060"/>
      <c r="JC1458" s="2060"/>
      <c r="JD1458" s="2060"/>
      <c r="JE1458" s="2060"/>
      <c r="JF1458" s="2060"/>
      <c r="JG1458" s="2060"/>
      <c r="JH1458" s="2060"/>
      <c r="JI1458" s="2060"/>
      <c r="JJ1458" s="2060"/>
      <c r="JK1458" s="2060"/>
      <c r="JL1458" s="2060"/>
      <c r="JM1458" s="2060"/>
      <c r="JN1458" s="2060"/>
      <c r="JO1458" s="2060"/>
      <c r="JP1458" s="2060"/>
      <c r="JQ1458" s="2060"/>
      <c r="JR1458" s="2060"/>
      <c r="JS1458" s="2060"/>
      <c r="JT1458" s="2060"/>
      <c r="JU1458" s="2060"/>
      <c r="JV1458" s="2060"/>
      <c r="JW1458" s="2060"/>
      <c r="JX1458" s="2060"/>
      <c r="JY1458" s="2060"/>
      <c r="JZ1458" s="2060"/>
      <c r="KA1458" s="2060"/>
      <c r="KB1458" s="2060"/>
      <c r="KC1458" s="2060"/>
      <c r="KD1458" s="2060"/>
      <c r="KE1458" s="2060"/>
      <c r="KF1458" s="2060"/>
      <c r="KG1458" s="2060"/>
      <c r="KH1458" s="2060"/>
      <c r="KI1458" s="2060"/>
      <c r="KJ1458" s="2060"/>
      <c r="KK1458" s="2060"/>
      <c r="KL1458" s="2060"/>
      <c r="KM1458" s="2060"/>
      <c r="KN1458" s="2060"/>
      <c r="KO1458" s="2060"/>
      <c r="KP1458" s="2060"/>
      <c r="KQ1458" s="2060"/>
      <c r="KR1458" s="2060"/>
      <c r="KS1458" s="2060"/>
      <c r="KT1458" s="2060"/>
      <c r="KU1458" s="2060"/>
      <c r="KV1458" s="2060"/>
      <c r="KW1458" s="2060"/>
      <c r="KX1458" s="2060"/>
      <c r="KY1458" s="2060"/>
      <c r="KZ1458" s="2060"/>
      <c r="LA1458" s="2060"/>
      <c r="LB1458" s="2060"/>
      <c r="LC1458" s="2060"/>
      <c r="LD1458" s="2060"/>
      <c r="LE1458" s="2060"/>
      <c r="LF1458" s="2060"/>
      <c r="LG1458" s="2060"/>
      <c r="LH1458" s="2060"/>
    </row>
    <row r="1459" spans="1:320" s="449" customFormat="1" ht="13.9">
      <c r="A1459" s="2060"/>
      <c r="B1459" s="2060"/>
      <c r="C1459" s="89"/>
      <c r="D1459" s="1436"/>
      <c r="E1459" s="56"/>
      <c r="F1459" s="21"/>
      <c r="G1459" s="89"/>
      <c r="H1459" s="89"/>
      <c r="I1459" s="89"/>
      <c r="J1459" s="89"/>
      <c r="K1459" s="89"/>
      <c r="L1459" s="89"/>
      <c r="M1459" s="89"/>
      <c r="N1459" s="89"/>
      <c r="O1459" s="75"/>
      <c r="P1459" s="76"/>
      <c r="Q1459" s="89"/>
      <c r="R1459" s="89"/>
      <c r="S1459" s="89"/>
      <c r="T1459" s="89"/>
      <c r="U1459" s="89"/>
      <c r="V1459" s="89"/>
      <c r="W1459" s="89"/>
      <c r="X1459" s="89"/>
      <c r="Y1459" s="89"/>
      <c r="Z1459" s="89"/>
      <c r="AA1459" s="89"/>
      <c r="AB1459" s="89"/>
      <c r="AC1459" s="89"/>
      <c r="AD1459" s="89"/>
      <c r="AE1459" s="89"/>
      <c r="AF1459" s="89"/>
      <c r="AG1459" s="89"/>
      <c r="AH1459" s="89"/>
      <c r="AI1459" s="89"/>
      <c r="AJ1459" s="89"/>
      <c r="AK1459" s="89"/>
      <c r="AL1459" s="2060"/>
      <c r="AM1459" s="2060"/>
      <c r="AN1459" s="2060"/>
      <c r="AO1459" s="2060"/>
      <c r="AP1459" s="2060"/>
      <c r="AQ1459" s="2060"/>
      <c r="AR1459" s="2060"/>
      <c r="AS1459" s="2060"/>
      <c r="AT1459" s="2060"/>
      <c r="AU1459" s="2060"/>
      <c r="AV1459" s="89"/>
      <c r="AW1459" s="89"/>
      <c r="AX1459" s="89"/>
      <c r="AY1459" s="89"/>
      <c r="AZ1459" s="89"/>
      <c r="BA1459" s="89"/>
      <c r="BB1459" s="89"/>
      <c r="BC1459" s="89"/>
      <c r="BD1459" s="89"/>
      <c r="BE1459" s="89"/>
      <c r="BF1459" s="89"/>
      <c r="BG1459" s="89"/>
      <c r="BH1459" s="89"/>
      <c r="BI1459" s="89"/>
      <c r="BJ1459" s="89"/>
      <c r="BK1459" s="89"/>
      <c r="BL1459" s="89"/>
      <c r="BM1459" s="89"/>
      <c r="BN1459" s="89"/>
      <c r="BO1459" s="89"/>
      <c r="BP1459" s="89"/>
      <c r="BQ1459" s="2060"/>
      <c r="BR1459" s="2060"/>
      <c r="BS1459" s="2060"/>
      <c r="BT1459" s="2060"/>
      <c r="BU1459" s="2060"/>
      <c r="BV1459" s="2060"/>
      <c r="BW1459" s="2060"/>
      <c r="BX1459" s="2060"/>
      <c r="BY1459" s="2060"/>
      <c r="BZ1459" s="2060"/>
      <c r="CA1459" s="2060"/>
      <c r="CB1459" s="2060"/>
      <c r="CC1459" s="2060"/>
      <c r="CD1459" s="2060"/>
      <c r="CE1459" s="2060"/>
      <c r="CF1459" s="2060"/>
      <c r="CG1459" s="2060"/>
      <c r="CH1459" s="2060"/>
      <c r="CI1459" s="2060"/>
      <c r="CJ1459" s="2060"/>
      <c r="CK1459" s="2060"/>
      <c r="CL1459" s="2060"/>
      <c r="CM1459" s="2060"/>
      <c r="CN1459" s="2060"/>
      <c r="CO1459" s="2060"/>
      <c r="CP1459" s="2060"/>
      <c r="CQ1459" s="2060"/>
      <c r="CR1459" s="2060"/>
      <c r="CS1459" s="2060"/>
      <c r="CT1459" s="2060"/>
      <c r="CU1459" s="2060"/>
      <c r="CV1459" s="2060"/>
      <c r="CW1459" s="2060"/>
      <c r="CX1459" s="2060"/>
      <c r="CY1459" s="2060"/>
      <c r="CZ1459" s="2060"/>
      <c r="DA1459" s="2060"/>
      <c r="DB1459" s="2060"/>
      <c r="DC1459" s="2060"/>
      <c r="DD1459" s="2060"/>
      <c r="DE1459" s="2060"/>
      <c r="DF1459" s="2060"/>
      <c r="DG1459" s="2060"/>
      <c r="DH1459" s="2060"/>
      <c r="DI1459" s="2060"/>
      <c r="DJ1459" s="2060"/>
      <c r="DK1459" s="2060"/>
      <c r="DL1459" s="2060"/>
      <c r="DM1459" s="2060"/>
      <c r="DN1459" s="2060"/>
      <c r="DO1459" s="2060"/>
      <c r="DP1459" s="2060"/>
      <c r="DQ1459" s="2060"/>
      <c r="DR1459" s="2060"/>
      <c r="DS1459" s="2060"/>
      <c r="DT1459" s="2060"/>
      <c r="DU1459" s="2060"/>
      <c r="DV1459" s="2060"/>
      <c r="DW1459" s="2060"/>
      <c r="DX1459" s="2060"/>
      <c r="DY1459" s="2060"/>
      <c r="DZ1459" s="2060"/>
      <c r="EA1459" s="2060"/>
      <c r="EB1459" s="2060"/>
      <c r="EC1459" s="2060"/>
      <c r="ED1459" s="2060"/>
      <c r="EE1459" s="2060"/>
      <c r="EF1459" s="2060"/>
      <c r="EG1459" s="2060"/>
      <c r="EH1459" s="2060"/>
      <c r="EI1459" s="2060"/>
      <c r="EJ1459" s="2060"/>
      <c r="EK1459" s="2060"/>
      <c r="EL1459" s="2060"/>
      <c r="EM1459" s="2060"/>
      <c r="EN1459" s="2060"/>
      <c r="EO1459" s="2060"/>
      <c r="EP1459" s="2060"/>
      <c r="EQ1459" s="2060"/>
      <c r="ER1459" s="2060"/>
      <c r="ES1459" s="2060"/>
      <c r="ET1459" s="2060"/>
      <c r="EU1459" s="2060"/>
      <c r="EV1459" s="2060"/>
      <c r="EW1459" s="2060"/>
      <c r="EX1459" s="2060"/>
      <c r="EY1459" s="2060"/>
      <c r="EZ1459" s="2060"/>
      <c r="FA1459" s="2060"/>
      <c r="FB1459" s="2060"/>
      <c r="FC1459" s="2060"/>
      <c r="FD1459" s="2060"/>
      <c r="FE1459" s="2060"/>
      <c r="FF1459" s="2060"/>
      <c r="FG1459" s="2060"/>
      <c r="FH1459" s="2060"/>
      <c r="FI1459" s="2060"/>
      <c r="FJ1459" s="2060"/>
      <c r="FK1459" s="2060"/>
      <c r="FL1459" s="2060"/>
      <c r="FM1459" s="2060"/>
      <c r="FN1459" s="2060"/>
      <c r="FO1459" s="2060"/>
      <c r="FP1459" s="2060"/>
      <c r="FQ1459" s="2060"/>
      <c r="FR1459" s="2060"/>
      <c r="FS1459" s="2060"/>
      <c r="FT1459" s="2060"/>
      <c r="FU1459" s="2060"/>
      <c r="FV1459" s="2060"/>
      <c r="FW1459" s="2060"/>
      <c r="FX1459" s="2060"/>
      <c r="FY1459" s="2060"/>
      <c r="FZ1459" s="2060"/>
      <c r="GA1459" s="2060"/>
      <c r="GB1459" s="2060"/>
      <c r="GC1459" s="2060"/>
      <c r="GD1459" s="2060"/>
      <c r="GE1459" s="2060"/>
      <c r="GF1459" s="2060"/>
      <c r="GG1459" s="2060"/>
      <c r="GH1459" s="2060"/>
      <c r="GI1459" s="2060"/>
      <c r="GJ1459" s="2060"/>
      <c r="GK1459" s="2060"/>
      <c r="GL1459" s="2060"/>
      <c r="GM1459" s="2060"/>
      <c r="GN1459" s="2060"/>
      <c r="GO1459" s="2060"/>
      <c r="GP1459" s="2060"/>
      <c r="GQ1459" s="2060"/>
      <c r="GR1459" s="2060"/>
      <c r="GS1459" s="2060"/>
      <c r="GT1459" s="2060"/>
      <c r="GU1459" s="2060"/>
      <c r="GV1459" s="2060"/>
      <c r="GW1459" s="2060"/>
      <c r="GX1459" s="2060"/>
      <c r="GY1459" s="2060"/>
      <c r="GZ1459" s="2060"/>
      <c r="HA1459" s="2060"/>
      <c r="HB1459" s="2060"/>
      <c r="HC1459" s="2060"/>
      <c r="HD1459" s="2060"/>
      <c r="HE1459" s="2060"/>
      <c r="HF1459" s="2060"/>
      <c r="HG1459" s="2060"/>
      <c r="HH1459" s="2060"/>
      <c r="HI1459" s="2060"/>
      <c r="HJ1459" s="2060"/>
      <c r="HK1459" s="2060"/>
      <c r="HL1459" s="2060"/>
      <c r="HM1459" s="2060"/>
      <c r="HN1459" s="2060"/>
      <c r="HO1459" s="2060"/>
      <c r="HP1459" s="2060"/>
      <c r="HQ1459" s="2060"/>
      <c r="HR1459" s="2060"/>
      <c r="HS1459" s="2060"/>
      <c r="HT1459" s="2060"/>
      <c r="HU1459" s="2060"/>
      <c r="HV1459" s="2060"/>
      <c r="HW1459" s="2060"/>
      <c r="HX1459" s="2060"/>
      <c r="HY1459" s="2060"/>
      <c r="HZ1459" s="2060"/>
      <c r="IA1459" s="2060"/>
      <c r="IB1459" s="2060"/>
      <c r="IC1459" s="2060"/>
      <c r="ID1459" s="2060"/>
      <c r="IE1459" s="2060"/>
      <c r="IF1459" s="2060"/>
      <c r="IG1459" s="2060"/>
      <c r="IH1459" s="2060"/>
      <c r="II1459" s="2060"/>
      <c r="IJ1459" s="2060"/>
      <c r="IK1459" s="2060"/>
      <c r="IL1459" s="2060"/>
      <c r="IM1459" s="2060"/>
      <c r="IN1459" s="2060"/>
      <c r="IO1459" s="2060"/>
      <c r="IP1459" s="2060"/>
      <c r="IQ1459" s="2060"/>
      <c r="IR1459" s="2060"/>
      <c r="IS1459" s="2060"/>
      <c r="IT1459" s="2060"/>
      <c r="IU1459" s="2060"/>
      <c r="IV1459" s="2060"/>
      <c r="IW1459" s="2060"/>
      <c r="IX1459" s="2060"/>
      <c r="IY1459" s="2060"/>
      <c r="IZ1459" s="2060"/>
      <c r="JA1459" s="2060"/>
      <c r="JB1459" s="2060"/>
      <c r="JC1459" s="2060"/>
      <c r="JD1459" s="2060"/>
      <c r="JE1459" s="2060"/>
      <c r="JF1459" s="2060"/>
      <c r="JG1459" s="2060"/>
      <c r="JH1459" s="2060"/>
      <c r="JI1459" s="2060"/>
      <c r="JJ1459" s="2060"/>
      <c r="JK1459" s="2060"/>
      <c r="JL1459" s="2060"/>
      <c r="JM1459" s="2060"/>
      <c r="JN1459" s="2060"/>
      <c r="JO1459" s="2060"/>
      <c r="JP1459" s="2060"/>
      <c r="JQ1459" s="2060"/>
      <c r="JR1459" s="2060"/>
      <c r="JS1459" s="2060"/>
      <c r="JT1459" s="2060"/>
      <c r="JU1459" s="2060"/>
      <c r="JV1459" s="2060"/>
      <c r="JW1459" s="2060"/>
      <c r="JX1459" s="2060"/>
      <c r="JY1459" s="2060"/>
      <c r="JZ1459" s="2060"/>
      <c r="KA1459" s="2060"/>
      <c r="KB1459" s="2060"/>
      <c r="KC1459" s="2060"/>
      <c r="KD1459" s="2060"/>
      <c r="KE1459" s="2060"/>
      <c r="KF1459" s="2060"/>
      <c r="KG1459" s="2060"/>
      <c r="KH1459" s="2060"/>
      <c r="KI1459" s="2060"/>
      <c r="KJ1459" s="2060"/>
      <c r="KK1459" s="2060"/>
      <c r="KL1459" s="2060"/>
      <c r="KM1459" s="2060"/>
      <c r="KN1459" s="2060"/>
      <c r="KO1459" s="2060"/>
      <c r="KP1459" s="2060"/>
      <c r="KQ1459" s="2060"/>
      <c r="KR1459" s="2060"/>
      <c r="KS1459" s="2060"/>
      <c r="KT1459" s="2060"/>
      <c r="KU1459" s="2060"/>
      <c r="KV1459" s="2060"/>
      <c r="KW1459" s="2060"/>
      <c r="KX1459" s="2060"/>
      <c r="KY1459" s="2060"/>
      <c r="KZ1459" s="2060"/>
      <c r="LA1459" s="2060"/>
      <c r="LB1459" s="2060"/>
      <c r="LC1459" s="2060"/>
      <c r="LD1459" s="2060"/>
      <c r="LE1459" s="2060"/>
      <c r="LF1459" s="2060"/>
      <c r="LG1459" s="2060"/>
      <c r="LH1459" s="2060"/>
    </row>
    <row r="1460" spans="1:320" s="449" customFormat="1" ht="13.9">
      <c r="A1460" s="2060"/>
      <c r="B1460" s="2060"/>
      <c r="C1460" s="89"/>
      <c r="D1460" s="1436"/>
      <c r="E1460" s="56"/>
      <c r="F1460" s="21"/>
      <c r="G1460" s="89"/>
      <c r="H1460" s="89"/>
      <c r="I1460" s="89"/>
      <c r="J1460" s="89"/>
      <c r="K1460" s="89"/>
      <c r="L1460" s="89"/>
      <c r="M1460" s="89"/>
      <c r="N1460" s="89"/>
      <c r="O1460" s="75"/>
      <c r="P1460" s="76"/>
      <c r="Q1460" s="89"/>
      <c r="R1460" s="89"/>
      <c r="S1460" s="89"/>
      <c r="T1460" s="89"/>
      <c r="U1460" s="89"/>
      <c r="V1460" s="89"/>
      <c r="W1460" s="89"/>
      <c r="X1460" s="89"/>
      <c r="Y1460" s="89"/>
      <c r="Z1460" s="89"/>
      <c r="AA1460" s="89"/>
      <c r="AB1460" s="89"/>
      <c r="AC1460" s="89"/>
      <c r="AD1460" s="89"/>
      <c r="AE1460" s="89"/>
      <c r="AF1460" s="89"/>
      <c r="AG1460" s="89"/>
      <c r="AH1460" s="89"/>
      <c r="AI1460" s="89"/>
      <c r="AJ1460" s="89"/>
      <c r="AK1460" s="89"/>
      <c r="AL1460" s="2060"/>
      <c r="AM1460" s="2060"/>
      <c r="AN1460" s="2060"/>
      <c r="AO1460" s="2060"/>
      <c r="AP1460" s="2060"/>
      <c r="AQ1460" s="2060"/>
      <c r="AR1460" s="2060"/>
      <c r="AS1460" s="2060"/>
      <c r="AT1460" s="2060"/>
      <c r="AU1460" s="2060"/>
      <c r="AV1460" s="2060"/>
      <c r="AW1460" s="2060"/>
      <c r="AX1460" s="2060"/>
      <c r="AY1460" s="2060"/>
      <c r="AZ1460" s="2060"/>
      <c r="BA1460" s="2060"/>
      <c r="BB1460" s="2060"/>
      <c r="BC1460" s="2060"/>
      <c r="BD1460" s="2060"/>
      <c r="BE1460" s="2060"/>
      <c r="BF1460" s="2060"/>
      <c r="BG1460" s="2060"/>
      <c r="BH1460" s="2060"/>
      <c r="BI1460" s="2060"/>
      <c r="BJ1460" s="2060"/>
      <c r="BK1460" s="2060"/>
      <c r="BL1460" s="2060"/>
      <c r="BM1460" s="2060"/>
      <c r="BN1460" s="2060"/>
      <c r="BO1460" s="2060"/>
      <c r="BP1460" s="2060"/>
      <c r="BQ1460" s="2060"/>
      <c r="BR1460" s="2060"/>
      <c r="BS1460" s="2060"/>
      <c r="BT1460" s="2060"/>
      <c r="BU1460" s="2060"/>
      <c r="BV1460" s="2060"/>
      <c r="BW1460" s="2060"/>
      <c r="BX1460" s="2060"/>
      <c r="BY1460" s="2060"/>
      <c r="BZ1460" s="2060"/>
      <c r="CA1460" s="2060"/>
      <c r="CB1460" s="2060"/>
      <c r="CC1460" s="2060"/>
      <c r="CD1460" s="2060"/>
      <c r="CE1460" s="2060"/>
      <c r="CF1460" s="2060"/>
      <c r="CG1460" s="2060"/>
      <c r="CH1460" s="2060"/>
      <c r="CI1460" s="2060"/>
      <c r="CJ1460" s="2060"/>
      <c r="CK1460" s="2060"/>
      <c r="CL1460" s="2060"/>
      <c r="CM1460" s="2060"/>
      <c r="CN1460" s="2060"/>
      <c r="CO1460" s="2060"/>
      <c r="CP1460" s="2060"/>
      <c r="CQ1460" s="2060"/>
      <c r="CR1460" s="2060"/>
      <c r="CS1460" s="2060"/>
      <c r="CT1460" s="2060"/>
      <c r="CU1460" s="2060"/>
      <c r="CV1460" s="2060"/>
      <c r="CW1460" s="2060"/>
      <c r="CX1460" s="2060"/>
      <c r="CY1460" s="2060"/>
      <c r="CZ1460" s="2060"/>
      <c r="DA1460" s="2060"/>
      <c r="DB1460" s="2060"/>
      <c r="DC1460" s="2060"/>
      <c r="DD1460" s="2060"/>
      <c r="DE1460" s="2060"/>
      <c r="DF1460" s="2060"/>
      <c r="DG1460" s="2060"/>
      <c r="DH1460" s="2060"/>
      <c r="DI1460" s="2060"/>
      <c r="DJ1460" s="2060"/>
      <c r="DK1460" s="2060"/>
      <c r="DL1460" s="2060"/>
      <c r="DM1460" s="2060"/>
      <c r="DN1460" s="2060"/>
      <c r="DO1460" s="2060"/>
      <c r="DP1460" s="2060"/>
      <c r="DQ1460" s="2060"/>
      <c r="DR1460" s="2060"/>
      <c r="DS1460" s="2060"/>
      <c r="DT1460" s="2060"/>
      <c r="DU1460" s="2060"/>
      <c r="DV1460" s="2060"/>
      <c r="DW1460" s="2060"/>
      <c r="DX1460" s="2060"/>
      <c r="DY1460" s="2060"/>
      <c r="DZ1460" s="2060"/>
      <c r="EA1460" s="2060"/>
      <c r="EB1460" s="2060"/>
      <c r="EC1460" s="2060"/>
      <c r="ED1460" s="2060"/>
      <c r="EE1460" s="2060"/>
      <c r="EF1460" s="2060"/>
      <c r="EG1460" s="2060"/>
      <c r="EH1460" s="2060"/>
      <c r="EI1460" s="2060"/>
      <c r="EJ1460" s="2060"/>
      <c r="EK1460" s="2060"/>
      <c r="EL1460" s="2060"/>
      <c r="EM1460" s="2060"/>
      <c r="EN1460" s="2060"/>
      <c r="EO1460" s="2060"/>
      <c r="EP1460" s="2060"/>
      <c r="EQ1460" s="2060"/>
      <c r="ER1460" s="2060"/>
      <c r="ES1460" s="2060"/>
      <c r="ET1460" s="2060"/>
      <c r="EU1460" s="2060"/>
      <c r="EV1460" s="2060"/>
      <c r="EW1460" s="2060"/>
      <c r="EX1460" s="2060"/>
      <c r="EY1460" s="2060"/>
      <c r="EZ1460" s="2060"/>
      <c r="FA1460" s="2060"/>
      <c r="FB1460" s="2060"/>
      <c r="FC1460" s="2060"/>
      <c r="FD1460" s="2060"/>
      <c r="FE1460" s="2060"/>
      <c r="FF1460" s="2060"/>
      <c r="FG1460" s="2060"/>
      <c r="FH1460" s="2060"/>
      <c r="FI1460" s="2060"/>
      <c r="FJ1460" s="2060"/>
      <c r="FK1460" s="2060"/>
      <c r="FL1460" s="2060"/>
      <c r="FM1460" s="2060"/>
      <c r="FN1460" s="2060"/>
      <c r="FO1460" s="2060"/>
      <c r="FP1460" s="2060"/>
      <c r="FQ1460" s="2060"/>
      <c r="FR1460" s="2060"/>
      <c r="FS1460" s="2060"/>
      <c r="FT1460" s="2060"/>
      <c r="FU1460" s="2060"/>
      <c r="FV1460" s="2060"/>
      <c r="FW1460" s="2060"/>
      <c r="FX1460" s="2060"/>
      <c r="FY1460" s="2060"/>
      <c r="FZ1460" s="2060"/>
      <c r="GA1460" s="2060"/>
      <c r="GB1460" s="2060"/>
      <c r="GC1460" s="2060"/>
      <c r="GD1460" s="2060"/>
      <c r="GE1460" s="2060"/>
      <c r="GF1460" s="2060"/>
      <c r="GG1460" s="2060"/>
      <c r="GH1460" s="2060"/>
      <c r="GI1460" s="2060"/>
      <c r="GJ1460" s="2060"/>
      <c r="GK1460" s="2060"/>
      <c r="GL1460" s="2060"/>
      <c r="GM1460" s="2060"/>
      <c r="GN1460" s="2060"/>
      <c r="GO1460" s="2060"/>
      <c r="GP1460" s="2060"/>
      <c r="GQ1460" s="2060"/>
      <c r="GR1460" s="2060"/>
      <c r="GS1460" s="2060"/>
      <c r="GT1460" s="2060"/>
      <c r="GU1460" s="2060"/>
      <c r="GV1460" s="2060"/>
      <c r="GW1460" s="2060"/>
      <c r="GX1460" s="2060"/>
      <c r="GY1460" s="2060"/>
      <c r="GZ1460" s="2060"/>
      <c r="HA1460" s="2060"/>
      <c r="HB1460" s="2060"/>
      <c r="HC1460" s="2060"/>
      <c r="HD1460" s="2060"/>
      <c r="HE1460" s="2060"/>
      <c r="HF1460" s="2060"/>
      <c r="HG1460" s="2060"/>
      <c r="HH1460" s="2060"/>
      <c r="HI1460" s="2060"/>
      <c r="HJ1460" s="2060"/>
      <c r="HK1460" s="2060"/>
      <c r="HL1460" s="2060"/>
      <c r="HM1460" s="2060"/>
      <c r="HN1460" s="2060"/>
      <c r="HO1460" s="2060"/>
      <c r="HP1460" s="2060"/>
      <c r="HQ1460" s="2060"/>
      <c r="HR1460" s="2060"/>
      <c r="HS1460" s="2060"/>
      <c r="HT1460" s="2060"/>
      <c r="HU1460" s="2060"/>
      <c r="HV1460" s="2060"/>
      <c r="HW1460" s="2060"/>
      <c r="HX1460" s="2060"/>
      <c r="HY1460" s="2060"/>
      <c r="HZ1460" s="2060"/>
      <c r="IA1460" s="2060"/>
      <c r="IB1460" s="2060"/>
      <c r="IC1460" s="2060"/>
      <c r="ID1460" s="2060"/>
      <c r="IE1460" s="2060"/>
      <c r="IF1460" s="2060"/>
      <c r="IG1460" s="2060"/>
      <c r="IH1460" s="2060"/>
      <c r="II1460" s="2060"/>
      <c r="IJ1460" s="2060"/>
      <c r="IK1460" s="2060"/>
      <c r="IL1460" s="2060"/>
      <c r="IM1460" s="2060"/>
      <c r="IN1460" s="2060"/>
      <c r="IO1460" s="2060"/>
      <c r="IP1460" s="2060"/>
      <c r="IQ1460" s="2060"/>
      <c r="IR1460" s="2060"/>
      <c r="IS1460" s="2060"/>
      <c r="IT1460" s="2060"/>
      <c r="IU1460" s="2060"/>
      <c r="IV1460" s="2060"/>
      <c r="IW1460" s="2060"/>
      <c r="IX1460" s="2060"/>
      <c r="IY1460" s="2060"/>
      <c r="IZ1460" s="2060"/>
      <c r="JA1460" s="2060"/>
      <c r="JB1460" s="2060"/>
      <c r="JC1460" s="2060"/>
      <c r="JD1460" s="2060"/>
      <c r="JE1460" s="2060"/>
      <c r="JF1460" s="2060"/>
      <c r="JG1460" s="2060"/>
      <c r="JH1460" s="2060"/>
      <c r="JI1460" s="2060"/>
      <c r="JJ1460" s="2060"/>
      <c r="JK1460" s="2060"/>
      <c r="JL1460" s="2060"/>
      <c r="JM1460" s="2060"/>
      <c r="JN1460" s="2060"/>
      <c r="JO1460" s="2060"/>
      <c r="JP1460" s="2060"/>
      <c r="JQ1460" s="2060"/>
      <c r="JR1460" s="2060"/>
      <c r="JS1460" s="2060"/>
      <c r="JT1460" s="2060"/>
      <c r="JU1460" s="2060"/>
      <c r="JV1460" s="2060"/>
      <c r="JW1460" s="2060"/>
      <c r="JX1460" s="2060"/>
      <c r="JY1460" s="2060"/>
      <c r="JZ1460" s="2060"/>
      <c r="KA1460" s="2060"/>
      <c r="KB1460" s="2060"/>
      <c r="KC1460" s="2060"/>
      <c r="KD1460" s="2060"/>
      <c r="KE1460" s="2060"/>
      <c r="KF1460" s="2060"/>
      <c r="KG1460" s="2060"/>
      <c r="KH1460" s="2060"/>
      <c r="KI1460" s="2060"/>
      <c r="KJ1460" s="2060"/>
      <c r="KK1460" s="2060"/>
      <c r="KL1460" s="2060"/>
      <c r="KM1460" s="2060"/>
      <c r="KN1460" s="2060"/>
      <c r="KO1460" s="2060"/>
      <c r="KP1460" s="2060"/>
      <c r="KQ1460" s="2060"/>
      <c r="KR1460" s="2060"/>
      <c r="KS1460" s="2060"/>
      <c r="KT1460" s="2060"/>
      <c r="KU1460" s="2060"/>
      <c r="KV1460" s="2060"/>
      <c r="KW1460" s="2060"/>
      <c r="KX1460" s="2060"/>
      <c r="KY1460" s="2060"/>
      <c r="KZ1460" s="2060"/>
      <c r="LA1460" s="2060"/>
      <c r="LB1460" s="2060"/>
      <c r="LC1460" s="2060"/>
      <c r="LD1460" s="2060"/>
      <c r="LE1460" s="2060"/>
      <c r="LF1460" s="2060"/>
      <c r="LG1460" s="2060"/>
      <c r="LH1460" s="2060"/>
    </row>
    <row r="1461" spans="1:320" s="449" customFormat="1" ht="13.9">
      <c r="A1461" s="2060"/>
      <c r="B1461" s="2060"/>
      <c r="C1461" s="89"/>
      <c r="D1461" s="778">
        <f ca="1">MAX(OFFSET(D1461,-1,0,-ROW(D1461)+1,-2),1)+0.01</f>
        <v>8.0599999999999987</v>
      </c>
      <c r="E1461" s="125"/>
      <c r="F1461" s="952" t="s">
        <v>483</v>
      </c>
      <c r="G1461" s="724" t="s">
        <v>795</v>
      </c>
      <c r="H1461" s="724"/>
      <c r="I1461" s="724"/>
      <c r="J1461" s="758"/>
      <c r="K1461" s="758" t="s">
        <v>700</v>
      </c>
      <c r="L1461" s="758" t="s">
        <v>701</v>
      </c>
      <c r="M1461" s="758" t="s">
        <v>702</v>
      </c>
      <c r="N1461" s="758" t="s">
        <v>703</v>
      </c>
      <c r="O1461" s="759" t="s">
        <v>704</v>
      </c>
      <c r="P1461" s="725" t="s">
        <v>705</v>
      </c>
      <c r="Q1461" s="89"/>
      <c r="R1461" s="1459"/>
      <c r="S1461" s="89"/>
      <c r="T1461" s="89"/>
      <c r="U1461" s="89"/>
      <c r="V1461" s="89"/>
      <c r="W1461" s="89"/>
      <c r="X1461" s="89"/>
      <c r="Y1461" s="89"/>
      <c r="Z1461" s="89"/>
      <c r="AA1461" s="89"/>
      <c r="AB1461" s="89"/>
      <c r="AC1461" s="89"/>
      <c r="AD1461" s="89"/>
      <c r="AE1461" s="89"/>
      <c r="AF1461" s="89"/>
      <c r="AG1461" s="89"/>
      <c r="AH1461" s="89"/>
      <c r="AI1461" s="89"/>
      <c r="AJ1461" s="89"/>
      <c r="AK1461" s="89"/>
      <c r="AL1461" s="2060"/>
      <c r="AM1461" s="2060"/>
      <c r="AN1461" s="2060"/>
      <c r="AO1461" s="2060"/>
      <c r="AP1461" s="2060"/>
      <c r="AQ1461" s="2060"/>
      <c r="AR1461" s="2060"/>
      <c r="AS1461" s="2060"/>
      <c r="AT1461" s="2060"/>
      <c r="AU1461" s="2060"/>
      <c r="AV1461" s="2060"/>
      <c r="AW1461" s="2060"/>
      <c r="AX1461" s="2060"/>
      <c r="AY1461" s="2060"/>
      <c r="AZ1461" s="2060"/>
      <c r="BA1461" s="2060"/>
      <c r="BB1461" s="2060"/>
      <c r="BC1461" s="2060"/>
      <c r="BD1461" s="2060"/>
      <c r="BE1461" s="2060"/>
      <c r="BF1461" s="2060"/>
      <c r="BG1461" s="2060"/>
      <c r="BH1461" s="2060"/>
      <c r="BI1461" s="2060"/>
      <c r="BJ1461" s="2060"/>
      <c r="BK1461" s="2060"/>
      <c r="BL1461" s="2060"/>
      <c r="BM1461" s="2060"/>
      <c r="BN1461" s="2060"/>
      <c r="BO1461" s="2060"/>
      <c r="BP1461" s="2060"/>
      <c r="BQ1461" s="2060"/>
      <c r="BR1461" s="2060"/>
      <c r="BS1461" s="2060"/>
      <c r="BT1461" s="2060"/>
      <c r="BU1461" s="2060"/>
      <c r="BV1461" s="2060"/>
      <c r="BW1461" s="2060"/>
      <c r="BX1461" s="2060"/>
      <c r="BY1461" s="2060"/>
      <c r="BZ1461" s="2060"/>
      <c r="CA1461" s="2060"/>
      <c r="CB1461" s="2060"/>
      <c r="CC1461" s="2060"/>
      <c r="CD1461" s="2060"/>
      <c r="CE1461" s="2060"/>
      <c r="CF1461" s="2060"/>
      <c r="CG1461" s="2060"/>
      <c r="CH1461" s="2060"/>
      <c r="CI1461" s="2060"/>
      <c r="CJ1461" s="2060"/>
      <c r="CK1461" s="2060"/>
      <c r="CL1461" s="2060"/>
      <c r="CM1461" s="2060"/>
      <c r="CN1461" s="2060"/>
      <c r="CO1461" s="2060"/>
      <c r="CP1461" s="2060"/>
      <c r="CQ1461" s="2060"/>
      <c r="CR1461" s="2060"/>
      <c r="CS1461" s="2060"/>
      <c r="CT1461" s="2060"/>
      <c r="CU1461" s="2060"/>
      <c r="CV1461" s="2060"/>
      <c r="CW1461" s="2060"/>
      <c r="CX1461" s="2060"/>
      <c r="CY1461" s="2060"/>
      <c r="CZ1461" s="2060"/>
      <c r="DA1461" s="2060"/>
      <c r="DB1461" s="2060"/>
      <c r="DC1461" s="2060"/>
      <c r="DD1461" s="2060"/>
      <c r="DE1461" s="2060"/>
      <c r="DF1461" s="2060"/>
      <c r="DG1461" s="2060"/>
      <c r="DH1461" s="2060"/>
      <c r="DI1461" s="2060"/>
      <c r="DJ1461" s="2060"/>
      <c r="DK1461" s="2060"/>
      <c r="DL1461" s="2060"/>
      <c r="DM1461" s="2060"/>
      <c r="DN1461" s="2060"/>
      <c r="DO1461" s="2060"/>
      <c r="DP1461" s="2060"/>
      <c r="DQ1461" s="2060"/>
      <c r="DR1461" s="2060"/>
      <c r="DS1461" s="2060"/>
      <c r="DT1461" s="2060"/>
      <c r="DU1461" s="2060"/>
      <c r="DV1461" s="2060"/>
      <c r="DW1461" s="2060"/>
      <c r="DX1461" s="2060"/>
      <c r="DY1461" s="2060"/>
      <c r="DZ1461" s="2060"/>
      <c r="EA1461" s="2060"/>
      <c r="EB1461" s="2060"/>
      <c r="EC1461" s="2060"/>
      <c r="ED1461" s="2060"/>
      <c r="EE1461" s="2060"/>
      <c r="EF1461" s="2060"/>
      <c r="EG1461" s="2060"/>
      <c r="EH1461" s="2060"/>
      <c r="EI1461" s="2060"/>
      <c r="EJ1461" s="2060"/>
      <c r="EK1461" s="2060"/>
      <c r="EL1461" s="2060"/>
      <c r="EM1461" s="2060"/>
      <c r="EN1461" s="2060"/>
      <c r="EO1461" s="2060"/>
      <c r="EP1461" s="2060"/>
      <c r="EQ1461" s="2060"/>
      <c r="ER1461" s="2060"/>
      <c r="ES1461" s="2060"/>
      <c r="ET1461" s="2060"/>
      <c r="EU1461" s="2060"/>
      <c r="EV1461" s="2060"/>
      <c r="EW1461" s="2060"/>
      <c r="EX1461" s="2060"/>
      <c r="EY1461" s="2060"/>
      <c r="EZ1461" s="2060"/>
      <c r="FA1461" s="2060"/>
      <c r="FB1461" s="2060"/>
      <c r="FC1461" s="2060"/>
      <c r="FD1461" s="2060"/>
      <c r="FE1461" s="2060"/>
      <c r="FF1461" s="2060"/>
      <c r="FG1461" s="2060"/>
      <c r="FH1461" s="2060"/>
      <c r="FI1461" s="2060"/>
      <c r="FJ1461" s="2060"/>
      <c r="FK1461" s="2060"/>
      <c r="FL1461" s="2060"/>
      <c r="FM1461" s="2060"/>
      <c r="FN1461" s="2060"/>
      <c r="FO1461" s="2060"/>
      <c r="FP1461" s="2060"/>
      <c r="FQ1461" s="2060"/>
      <c r="FR1461" s="2060"/>
      <c r="FS1461" s="2060"/>
      <c r="FT1461" s="2060"/>
      <c r="FU1461" s="2060"/>
      <c r="FV1461" s="2060"/>
      <c r="FW1461" s="2060"/>
      <c r="FX1461" s="2060"/>
      <c r="FY1461" s="2060"/>
      <c r="FZ1461" s="2060"/>
      <c r="GA1461" s="2060"/>
      <c r="GB1461" s="2060"/>
      <c r="GC1461" s="2060"/>
      <c r="GD1461" s="2060"/>
      <c r="GE1461" s="2060"/>
      <c r="GF1461" s="2060"/>
      <c r="GG1461" s="2060"/>
      <c r="GH1461" s="2060"/>
      <c r="GI1461" s="2060"/>
      <c r="GJ1461" s="2060"/>
      <c r="GK1461" s="2060"/>
      <c r="GL1461" s="2060"/>
      <c r="GM1461" s="2060"/>
      <c r="GN1461" s="2060"/>
      <c r="GO1461" s="2060"/>
      <c r="GP1461" s="2060"/>
      <c r="GQ1461" s="2060"/>
      <c r="GR1461" s="2060"/>
      <c r="GS1461" s="2060"/>
      <c r="GT1461" s="2060"/>
      <c r="GU1461" s="2060"/>
      <c r="GV1461" s="2060"/>
      <c r="GW1461" s="2060"/>
      <c r="GX1461" s="2060"/>
      <c r="GY1461" s="2060"/>
      <c r="GZ1461" s="2060"/>
      <c r="HA1461" s="2060"/>
      <c r="HB1461" s="2060"/>
      <c r="HC1461" s="2060"/>
      <c r="HD1461" s="2060"/>
      <c r="HE1461" s="2060"/>
      <c r="HF1461" s="2060"/>
      <c r="HG1461" s="2060"/>
      <c r="HH1461" s="2060"/>
      <c r="HI1461" s="2060"/>
      <c r="HJ1461" s="2060"/>
      <c r="HK1461" s="2060"/>
      <c r="HL1461" s="2060"/>
      <c r="HM1461" s="2060"/>
      <c r="HN1461" s="2060"/>
      <c r="HO1461" s="2060"/>
      <c r="HP1461" s="2060"/>
      <c r="HQ1461" s="2060"/>
      <c r="HR1461" s="2060"/>
      <c r="HS1461" s="2060"/>
      <c r="HT1461" s="2060"/>
      <c r="HU1461" s="2060"/>
      <c r="HV1461" s="2060"/>
      <c r="HW1461" s="2060"/>
      <c r="HX1461" s="2060"/>
      <c r="HY1461" s="2060"/>
      <c r="HZ1461" s="2060"/>
      <c r="IA1461" s="2060"/>
      <c r="IB1461" s="2060"/>
      <c r="IC1461" s="2060"/>
      <c r="ID1461" s="2060"/>
      <c r="IE1461" s="2060"/>
      <c r="IF1461" s="2060"/>
      <c r="IG1461" s="2060"/>
      <c r="IH1461" s="2060"/>
      <c r="II1461" s="2060"/>
      <c r="IJ1461" s="2060"/>
      <c r="IK1461" s="2060"/>
      <c r="IL1461" s="2060"/>
      <c r="IM1461" s="2060"/>
      <c r="IN1461" s="2060"/>
      <c r="IO1461" s="2060"/>
      <c r="IP1461" s="2060"/>
      <c r="IQ1461" s="2060"/>
      <c r="IR1461" s="2060"/>
      <c r="IS1461" s="2060"/>
      <c r="IT1461" s="2060"/>
      <c r="IU1461" s="2060"/>
      <c r="IV1461" s="2060"/>
      <c r="IW1461" s="2060"/>
      <c r="IX1461" s="2060"/>
      <c r="IY1461" s="2060"/>
      <c r="IZ1461" s="2060"/>
      <c r="JA1461" s="2060"/>
      <c r="JB1461" s="2060"/>
      <c r="JC1461" s="2060"/>
      <c r="JD1461" s="2060"/>
      <c r="JE1461" s="2060"/>
      <c r="JF1461" s="2060"/>
      <c r="JG1461" s="2060"/>
      <c r="JH1461" s="2060"/>
      <c r="JI1461" s="2060"/>
      <c r="JJ1461" s="2060"/>
      <c r="JK1461" s="2060"/>
      <c r="JL1461" s="2060"/>
      <c r="JM1461" s="2060"/>
      <c r="JN1461" s="2060"/>
      <c r="JO1461" s="2060"/>
      <c r="JP1461" s="2060"/>
      <c r="JQ1461" s="2060"/>
      <c r="JR1461" s="2060"/>
      <c r="JS1461" s="2060"/>
      <c r="JT1461" s="2060"/>
      <c r="JU1461" s="2060"/>
      <c r="JV1461" s="2060"/>
      <c r="JW1461" s="2060"/>
      <c r="JX1461" s="2060"/>
      <c r="JY1461" s="2060"/>
      <c r="JZ1461" s="2060"/>
      <c r="KA1461" s="2060"/>
      <c r="KB1461" s="2060"/>
      <c r="KC1461" s="2060"/>
      <c r="KD1461" s="2060"/>
      <c r="KE1461" s="2060"/>
      <c r="KF1461" s="2060"/>
      <c r="KG1461" s="2060"/>
      <c r="KH1461" s="2060"/>
      <c r="KI1461" s="2060"/>
      <c r="KJ1461" s="2060"/>
      <c r="KK1461" s="2060"/>
      <c r="KL1461" s="2060"/>
      <c r="KM1461" s="2060"/>
      <c r="KN1461" s="2060"/>
      <c r="KO1461" s="2060"/>
      <c r="KP1461" s="2060"/>
      <c r="KQ1461" s="2060"/>
      <c r="KR1461" s="2060"/>
      <c r="KS1461" s="2060"/>
      <c r="KT1461" s="2060"/>
      <c r="KU1461" s="2060"/>
      <c r="KV1461" s="2060"/>
      <c r="KW1461" s="2060"/>
      <c r="KX1461" s="2060"/>
      <c r="KY1461" s="2060"/>
      <c r="KZ1461" s="2060"/>
      <c r="LA1461" s="2060"/>
      <c r="LB1461" s="2060"/>
      <c r="LC1461" s="2060"/>
      <c r="LD1461" s="2060"/>
      <c r="LE1461" s="2060"/>
      <c r="LF1461" s="2060"/>
      <c r="LG1461" s="2060"/>
      <c r="LH1461" s="2060"/>
    </row>
    <row r="1462" spans="1:320" s="449" customFormat="1" ht="13.9">
      <c r="A1462" s="2060"/>
      <c r="B1462" s="2060"/>
      <c r="C1462" s="89"/>
      <c r="D1462" s="778"/>
      <c r="E1462" s="1505">
        <v>0</v>
      </c>
      <c r="F1462" s="1448" t="str">
        <f>F$128</f>
        <v/>
      </c>
      <c r="G1462" s="1449">
        <f>G$128</f>
        <v>0</v>
      </c>
      <c r="H1462" s="1449"/>
      <c r="I1462" s="258"/>
      <c r="J1462" s="258"/>
      <c r="K1462" s="2322" t="str">
        <f t="shared" ref="K1462:P1475" si="405">IFERROR(K782/K1063,"--")</f>
        <v>--</v>
      </c>
      <c r="L1462" s="2322" t="str">
        <f t="shared" si="405"/>
        <v>--</v>
      </c>
      <c r="M1462" s="2322" t="str">
        <f t="shared" si="405"/>
        <v>--</v>
      </c>
      <c r="N1462" s="2322" t="str">
        <f t="shared" si="405"/>
        <v>--</v>
      </c>
      <c r="O1462" s="2322" t="str">
        <f t="shared" si="405"/>
        <v>--</v>
      </c>
      <c r="P1462" s="2322" t="str">
        <f t="shared" si="405"/>
        <v>--</v>
      </c>
      <c r="Q1462" s="89"/>
      <c r="R1462" s="1459"/>
      <c r="S1462" s="89"/>
      <c r="T1462" s="89"/>
      <c r="U1462" s="89"/>
      <c r="V1462" s="89"/>
      <c r="W1462" s="89"/>
      <c r="X1462" s="89"/>
      <c r="Y1462" s="89"/>
      <c r="Z1462" s="89"/>
      <c r="AA1462" s="89"/>
      <c r="AB1462" s="89"/>
      <c r="AC1462" s="89"/>
      <c r="AD1462" s="89"/>
      <c r="AE1462" s="89"/>
      <c r="AF1462" s="89"/>
      <c r="AG1462" s="89"/>
      <c r="AH1462" s="89"/>
      <c r="AI1462" s="89"/>
      <c r="AJ1462" s="89"/>
      <c r="AK1462" s="89"/>
      <c r="AL1462" s="2060"/>
      <c r="AM1462" s="2060"/>
      <c r="AN1462" s="2060"/>
      <c r="AO1462" s="2060"/>
      <c r="AP1462" s="2060"/>
      <c r="AQ1462" s="2060"/>
      <c r="AR1462" s="2060"/>
      <c r="AS1462" s="2060"/>
      <c r="AT1462" s="2060"/>
      <c r="AU1462" s="2060"/>
      <c r="AV1462" s="2060"/>
      <c r="AW1462" s="2060"/>
      <c r="AX1462" s="2060"/>
      <c r="AY1462" s="2060"/>
      <c r="AZ1462" s="2060"/>
      <c r="BA1462" s="2060"/>
      <c r="BB1462" s="2060"/>
      <c r="BC1462" s="2060"/>
      <c r="BD1462" s="2060"/>
      <c r="BE1462" s="2060"/>
      <c r="BF1462" s="2060"/>
      <c r="BG1462" s="2060"/>
      <c r="BH1462" s="2060"/>
      <c r="BI1462" s="2060"/>
      <c r="BJ1462" s="2060"/>
      <c r="BK1462" s="2060"/>
      <c r="BL1462" s="2060"/>
      <c r="BM1462" s="2060"/>
      <c r="BN1462" s="2060"/>
      <c r="BO1462" s="2060"/>
      <c r="BP1462" s="2060"/>
      <c r="BQ1462" s="2060"/>
      <c r="BR1462" s="2060"/>
      <c r="BS1462" s="2060"/>
      <c r="BT1462" s="2060"/>
      <c r="BU1462" s="2060"/>
      <c r="BV1462" s="2060"/>
      <c r="BW1462" s="2060"/>
      <c r="BX1462" s="2060"/>
      <c r="BY1462" s="2060"/>
      <c r="BZ1462" s="2060"/>
      <c r="CA1462" s="2060"/>
      <c r="CB1462" s="2060"/>
      <c r="CC1462" s="2060"/>
      <c r="CD1462" s="2060"/>
      <c r="CE1462" s="2060"/>
      <c r="CF1462" s="2060"/>
      <c r="CG1462" s="2060"/>
      <c r="CH1462" s="2060"/>
      <c r="CI1462" s="2060"/>
      <c r="CJ1462" s="2060"/>
      <c r="CK1462" s="2060"/>
      <c r="CL1462" s="2060"/>
      <c r="CM1462" s="2060"/>
      <c r="CN1462" s="2060"/>
      <c r="CO1462" s="2060"/>
      <c r="CP1462" s="2060"/>
      <c r="CQ1462" s="2060"/>
      <c r="CR1462" s="2060"/>
      <c r="CS1462" s="2060"/>
      <c r="CT1462" s="2060"/>
      <c r="CU1462" s="2060"/>
      <c r="CV1462" s="2060"/>
      <c r="CW1462" s="2060"/>
      <c r="CX1462" s="2060"/>
      <c r="CY1462" s="2060"/>
      <c r="CZ1462" s="2060"/>
      <c r="DA1462" s="2060"/>
      <c r="DB1462" s="2060"/>
      <c r="DC1462" s="2060"/>
      <c r="DD1462" s="2060"/>
      <c r="DE1462" s="2060"/>
      <c r="DF1462" s="2060"/>
      <c r="DG1462" s="2060"/>
      <c r="DH1462" s="2060"/>
      <c r="DI1462" s="2060"/>
      <c r="DJ1462" s="2060"/>
      <c r="DK1462" s="2060"/>
      <c r="DL1462" s="2060"/>
      <c r="DM1462" s="2060"/>
      <c r="DN1462" s="2060"/>
      <c r="DO1462" s="2060"/>
      <c r="DP1462" s="2060"/>
      <c r="DQ1462" s="2060"/>
      <c r="DR1462" s="2060"/>
      <c r="DS1462" s="2060"/>
      <c r="DT1462" s="2060"/>
      <c r="DU1462" s="2060"/>
      <c r="DV1462" s="2060"/>
      <c r="DW1462" s="2060"/>
      <c r="DX1462" s="2060"/>
      <c r="DY1462" s="2060"/>
      <c r="DZ1462" s="2060"/>
      <c r="EA1462" s="2060"/>
      <c r="EB1462" s="2060"/>
      <c r="EC1462" s="2060"/>
      <c r="ED1462" s="2060"/>
      <c r="EE1462" s="2060"/>
      <c r="EF1462" s="2060"/>
      <c r="EG1462" s="2060"/>
      <c r="EH1462" s="2060"/>
      <c r="EI1462" s="2060"/>
      <c r="EJ1462" s="2060"/>
      <c r="EK1462" s="2060"/>
      <c r="EL1462" s="2060"/>
      <c r="EM1462" s="2060"/>
      <c r="EN1462" s="2060"/>
      <c r="EO1462" s="2060"/>
      <c r="EP1462" s="2060"/>
      <c r="EQ1462" s="2060"/>
      <c r="ER1462" s="2060"/>
      <c r="ES1462" s="2060"/>
      <c r="ET1462" s="2060"/>
      <c r="EU1462" s="2060"/>
      <c r="EV1462" s="2060"/>
      <c r="EW1462" s="2060"/>
      <c r="EX1462" s="2060"/>
      <c r="EY1462" s="2060"/>
      <c r="EZ1462" s="2060"/>
      <c r="FA1462" s="2060"/>
      <c r="FB1462" s="2060"/>
      <c r="FC1462" s="2060"/>
      <c r="FD1462" s="2060"/>
      <c r="FE1462" s="2060"/>
      <c r="FF1462" s="2060"/>
      <c r="FG1462" s="2060"/>
      <c r="FH1462" s="2060"/>
      <c r="FI1462" s="2060"/>
      <c r="FJ1462" s="2060"/>
      <c r="FK1462" s="2060"/>
      <c r="FL1462" s="2060"/>
      <c r="FM1462" s="2060"/>
      <c r="FN1462" s="2060"/>
      <c r="FO1462" s="2060"/>
      <c r="FP1462" s="2060"/>
      <c r="FQ1462" s="2060"/>
      <c r="FR1462" s="2060"/>
      <c r="FS1462" s="2060"/>
      <c r="FT1462" s="2060"/>
      <c r="FU1462" s="2060"/>
      <c r="FV1462" s="2060"/>
      <c r="FW1462" s="2060"/>
      <c r="FX1462" s="2060"/>
      <c r="FY1462" s="2060"/>
      <c r="FZ1462" s="2060"/>
      <c r="GA1462" s="2060"/>
      <c r="GB1462" s="2060"/>
      <c r="GC1462" s="2060"/>
      <c r="GD1462" s="2060"/>
      <c r="GE1462" s="2060"/>
      <c r="GF1462" s="2060"/>
      <c r="GG1462" s="2060"/>
      <c r="GH1462" s="2060"/>
      <c r="GI1462" s="2060"/>
      <c r="GJ1462" s="2060"/>
      <c r="GK1462" s="2060"/>
      <c r="GL1462" s="2060"/>
      <c r="GM1462" s="2060"/>
      <c r="GN1462" s="2060"/>
      <c r="GO1462" s="2060"/>
      <c r="GP1462" s="2060"/>
      <c r="GQ1462" s="2060"/>
      <c r="GR1462" s="2060"/>
      <c r="GS1462" s="2060"/>
      <c r="GT1462" s="2060"/>
      <c r="GU1462" s="2060"/>
      <c r="GV1462" s="2060"/>
      <c r="GW1462" s="2060"/>
      <c r="GX1462" s="2060"/>
      <c r="GY1462" s="2060"/>
      <c r="GZ1462" s="2060"/>
      <c r="HA1462" s="2060"/>
      <c r="HB1462" s="2060"/>
      <c r="HC1462" s="2060"/>
      <c r="HD1462" s="2060"/>
      <c r="HE1462" s="2060"/>
      <c r="HF1462" s="2060"/>
      <c r="HG1462" s="2060"/>
      <c r="HH1462" s="2060"/>
      <c r="HI1462" s="2060"/>
      <c r="HJ1462" s="2060"/>
      <c r="HK1462" s="2060"/>
      <c r="HL1462" s="2060"/>
      <c r="HM1462" s="2060"/>
      <c r="HN1462" s="2060"/>
      <c r="HO1462" s="2060"/>
      <c r="HP1462" s="2060"/>
      <c r="HQ1462" s="2060"/>
      <c r="HR1462" s="2060"/>
      <c r="HS1462" s="2060"/>
      <c r="HT1462" s="2060"/>
      <c r="HU1462" s="2060"/>
      <c r="HV1462" s="2060"/>
      <c r="HW1462" s="2060"/>
      <c r="HX1462" s="2060"/>
      <c r="HY1462" s="2060"/>
      <c r="HZ1462" s="2060"/>
      <c r="IA1462" s="2060"/>
      <c r="IB1462" s="2060"/>
      <c r="IC1462" s="2060"/>
      <c r="ID1462" s="2060"/>
      <c r="IE1462" s="2060"/>
      <c r="IF1462" s="2060"/>
      <c r="IG1462" s="2060"/>
      <c r="IH1462" s="2060"/>
      <c r="II1462" s="2060"/>
      <c r="IJ1462" s="2060"/>
      <c r="IK1462" s="2060"/>
      <c r="IL1462" s="2060"/>
      <c r="IM1462" s="2060"/>
      <c r="IN1462" s="2060"/>
      <c r="IO1462" s="2060"/>
      <c r="IP1462" s="2060"/>
      <c r="IQ1462" s="2060"/>
      <c r="IR1462" s="2060"/>
      <c r="IS1462" s="2060"/>
      <c r="IT1462" s="2060"/>
      <c r="IU1462" s="2060"/>
      <c r="IV1462" s="2060"/>
      <c r="IW1462" s="2060"/>
      <c r="IX1462" s="2060"/>
      <c r="IY1462" s="2060"/>
      <c r="IZ1462" s="2060"/>
      <c r="JA1462" s="2060"/>
      <c r="JB1462" s="2060"/>
      <c r="JC1462" s="2060"/>
      <c r="JD1462" s="2060"/>
      <c r="JE1462" s="2060"/>
      <c r="JF1462" s="2060"/>
      <c r="JG1462" s="2060"/>
      <c r="JH1462" s="2060"/>
      <c r="JI1462" s="2060"/>
      <c r="JJ1462" s="2060"/>
      <c r="JK1462" s="2060"/>
      <c r="JL1462" s="2060"/>
      <c r="JM1462" s="2060"/>
      <c r="JN1462" s="2060"/>
      <c r="JO1462" s="2060"/>
      <c r="JP1462" s="2060"/>
      <c r="JQ1462" s="2060"/>
      <c r="JR1462" s="2060"/>
      <c r="JS1462" s="2060"/>
      <c r="JT1462" s="2060"/>
      <c r="JU1462" s="2060"/>
      <c r="JV1462" s="2060"/>
      <c r="JW1462" s="2060"/>
      <c r="JX1462" s="2060"/>
      <c r="JY1462" s="2060"/>
      <c r="JZ1462" s="2060"/>
      <c r="KA1462" s="2060"/>
      <c r="KB1462" s="2060"/>
      <c r="KC1462" s="2060"/>
      <c r="KD1462" s="2060"/>
      <c r="KE1462" s="2060"/>
      <c r="KF1462" s="2060"/>
      <c r="KG1462" s="2060"/>
      <c r="KH1462" s="2060"/>
      <c r="KI1462" s="2060"/>
      <c r="KJ1462" s="2060"/>
      <c r="KK1462" s="2060"/>
      <c r="KL1462" s="2060"/>
      <c r="KM1462" s="2060"/>
      <c r="KN1462" s="2060"/>
      <c r="KO1462" s="2060"/>
      <c r="KP1462" s="2060"/>
      <c r="KQ1462" s="2060"/>
      <c r="KR1462" s="2060"/>
      <c r="KS1462" s="2060"/>
      <c r="KT1462" s="2060"/>
      <c r="KU1462" s="2060"/>
      <c r="KV1462" s="2060"/>
      <c r="KW1462" s="2060"/>
      <c r="KX1462" s="2060"/>
      <c r="KY1462" s="2060"/>
      <c r="KZ1462" s="2060"/>
      <c r="LA1462" s="2060"/>
      <c r="LB1462" s="2060"/>
      <c r="LC1462" s="2060"/>
      <c r="LD1462" s="2060"/>
      <c r="LE1462" s="2060"/>
      <c r="LF1462" s="2060"/>
      <c r="LG1462" s="2060"/>
      <c r="LH1462" s="2060"/>
    </row>
    <row r="1463" spans="1:320" s="449" customFormat="1" ht="13.9">
      <c r="A1463" s="269" t="str">
        <f>IF(F1463="--","n","")</f>
        <v>n</v>
      </c>
      <c r="B1463" s="2060"/>
      <c r="C1463" s="72"/>
      <c r="D1463" s="801"/>
      <c r="E1463" s="1505">
        <v>1</v>
      </c>
      <c r="F1463" s="21" t="str">
        <f>F$129</f>
        <v>--</v>
      </c>
      <c r="G1463" s="1441">
        <f>G$129</f>
        <v>0</v>
      </c>
      <c r="H1463" s="1441"/>
      <c r="I1463" s="1441"/>
      <c r="J1463" s="1441"/>
      <c r="K1463" s="2314" t="str">
        <f t="shared" si="405"/>
        <v>--</v>
      </c>
      <c r="L1463" s="2314" t="str">
        <f t="shared" si="405"/>
        <v>--</v>
      </c>
      <c r="M1463" s="2314" t="str">
        <f t="shared" si="405"/>
        <v>--</v>
      </c>
      <c r="N1463" s="2314" t="str">
        <f t="shared" si="405"/>
        <v>--</v>
      </c>
      <c r="O1463" s="2315" t="str">
        <f t="shared" si="405"/>
        <v>--</v>
      </c>
      <c r="P1463" s="2314" t="str">
        <f t="shared" si="405"/>
        <v>--</v>
      </c>
      <c r="Q1463" s="89"/>
      <c r="R1463" s="89"/>
      <c r="S1463" s="89"/>
      <c r="T1463" s="1513"/>
      <c r="U1463" s="89"/>
      <c r="V1463" s="89"/>
      <c r="W1463" s="89"/>
      <c r="X1463" s="89"/>
      <c r="Y1463" s="89"/>
      <c r="Z1463" s="89"/>
      <c r="AA1463" s="89"/>
      <c r="AB1463" s="89"/>
      <c r="AC1463" s="89"/>
      <c r="AD1463" s="89"/>
      <c r="AE1463" s="89"/>
      <c r="AF1463" s="89"/>
      <c r="AG1463" s="89"/>
      <c r="AH1463" s="89"/>
      <c r="AI1463" s="89"/>
      <c r="AJ1463" s="89"/>
      <c r="AK1463" s="89"/>
      <c r="AL1463" s="2060"/>
      <c r="AM1463" s="2060"/>
      <c r="AN1463" s="2060"/>
      <c r="AO1463" s="2060"/>
      <c r="AP1463" s="2060"/>
      <c r="AQ1463" s="2060"/>
      <c r="AR1463" s="2060"/>
      <c r="AS1463" s="2060"/>
      <c r="AT1463" s="2060"/>
      <c r="AU1463" s="2060"/>
      <c r="AV1463" s="2060"/>
      <c r="AW1463" s="2060"/>
      <c r="AX1463" s="2060"/>
      <c r="AY1463" s="2060"/>
      <c r="AZ1463" s="2060"/>
      <c r="BA1463" s="2060"/>
      <c r="BB1463" s="2060"/>
      <c r="BC1463" s="2060"/>
      <c r="BD1463" s="2060"/>
      <c r="BE1463" s="2060"/>
      <c r="BF1463" s="2060"/>
      <c r="BG1463" s="2060"/>
      <c r="BH1463" s="2060"/>
      <c r="BI1463" s="2060"/>
      <c r="BJ1463" s="2060"/>
      <c r="BK1463" s="2060"/>
      <c r="BL1463" s="2060"/>
      <c r="BM1463" s="2060"/>
      <c r="BN1463" s="2060"/>
      <c r="BO1463" s="2060"/>
      <c r="BP1463" s="2060"/>
      <c r="BQ1463" s="2060"/>
      <c r="BR1463" s="2060"/>
      <c r="BS1463" s="2060"/>
      <c r="BT1463" s="2060"/>
      <c r="BU1463" s="2060"/>
      <c r="BV1463" s="2060"/>
      <c r="BW1463" s="2060"/>
      <c r="BX1463" s="2060"/>
      <c r="BY1463" s="2060"/>
      <c r="BZ1463" s="2060"/>
      <c r="CA1463" s="2060"/>
      <c r="CB1463" s="2060"/>
      <c r="CC1463" s="2060"/>
      <c r="CD1463" s="2060"/>
      <c r="CE1463" s="2060"/>
      <c r="CF1463" s="2060"/>
      <c r="CG1463" s="2060"/>
      <c r="CH1463" s="2060"/>
      <c r="CI1463" s="2060"/>
      <c r="CJ1463" s="2060"/>
      <c r="CK1463" s="2060"/>
      <c r="CL1463" s="2060"/>
      <c r="CM1463" s="2060"/>
      <c r="CN1463" s="2060"/>
      <c r="CO1463" s="2060"/>
      <c r="CP1463" s="2060"/>
      <c r="CQ1463" s="2060"/>
      <c r="CR1463" s="2060"/>
      <c r="CS1463" s="2060"/>
      <c r="CT1463" s="2060"/>
      <c r="CU1463" s="2060"/>
      <c r="CV1463" s="2060"/>
      <c r="CW1463" s="2060"/>
      <c r="CX1463" s="2060"/>
      <c r="CY1463" s="2060"/>
      <c r="CZ1463" s="2060"/>
      <c r="DA1463" s="2060"/>
      <c r="DB1463" s="2060"/>
      <c r="DC1463" s="2060"/>
      <c r="DD1463" s="2060"/>
      <c r="DE1463" s="2060"/>
      <c r="DF1463" s="2060"/>
      <c r="DG1463" s="2060"/>
      <c r="DH1463" s="2060"/>
      <c r="DI1463" s="2060"/>
      <c r="DJ1463" s="2060"/>
      <c r="DK1463" s="2060"/>
      <c r="DL1463" s="2060"/>
      <c r="DM1463" s="2060"/>
      <c r="DN1463" s="2060"/>
      <c r="DO1463" s="2060"/>
      <c r="DP1463" s="2060"/>
      <c r="DQ1463" s="2060"/>
      <c r="DR1463" s="2060"/>
      <c r="DS1463" s="2060"/>
      <c r="DT1463" s="2060"/>
      <c r="DU1463" s="2060"/>
      <c r="DV1463" s="2060"/>
      <c r="DW1463" s="2060"/>
      <c r="DX1463" s="2060"/>
      <c r="DY1463" s="2060"/>
      <c r="DZ1463" s="2060"/>
      <c r="EA1463" s="2060"/>
      <c r="EB1463" s="2060"/>
      <c r="EC1463" s="2060"/>
      <c r="ED1463" s="2060"/>
      <c r="EE1463" s="2060"/>
      <c r="EF1463" s="2060"/>
      <c r="EG1463" s="2060"/>
      <c r="EH1463" s="2060"/>
      <c r="EI1463" s="2060"/>
      <c r="EJ1463" s="2060"/>
      <c r="EK1463" s="2060"/>
      <c r="EL1463" s="2060"/>
      <c r="EM1463" s="2060"/>
      <c r="EN1463" s="2060"/>
      <c r="EO1463" s="2060"/>
      <c r="EP1463" s="2060"/>
      <c r="EQ1463" s="2060"/>
      <c r="ER1463" s="2060"/>
      <c r="ES1463" s="2060"/>
      <c r="ET1463" s="2060"/>
      <c r="EU1463" s="2060"/>
      <c r="EV1463" s="2060"/>
      <c r="EW1463" s="2060"/>
      <c r="EX1463" s="2060"/>
      <c r="EY1463" s="2060"/>
      <c r="EZ1463" s="2060"/>
      <c r="FA1463" s="2060"/>
      <c r="FB1463" s="2060"/>
      <c r="FC1463" s="2060"/>
      <c r="FD1463" s="2060"/>
      <c r="FE1463" s="2060"/>
      <c r="FF1463" s="2060"/>
      <c r="FG1463" s="2060"/>
      <c r="FH1463" s="2060"/>
      <c r="FI1463" s="2060"/>
      <c r="FJ1463" s="2060"/>
      <c r="FK1463" s="2060"/>
      <c r="FL1463" s="2060"/>
      <c r="FM1463" s="2060"/>
      <c r="FN1463" s="2060"/>
      <c r="FO1463" s="2060"/>
      <c r="FP1463" s="2060"/>
      <c r="FQ1463" s="2060"/>
      <c r="FR1463" s="2060"/>
      <c r="FS1463" s="2060"/>
      <c r="FT1463" s="2060"/>
      <c r="FU1463" s="2060"/>
      <c r="FV1463" s="2060"/>
      <c r="FW1463" s="2060"/>
      <c r="FX1463" s="2060"/>
      <c r="FY1463" s="2060"/>
      <c r="FZ1463" s="2060"/>
      <c r="GA1463" s="2060"/>
      <c r="GB1463" s="2060"/>
      <c r="GC1463" s="2060"/>
      <c r="GD1463" s="2060"/>
      <c r="GE1463" s="2060"/>
      <c r="GF1463" s="2060"/>
      <c r="GG1463" s="2060"/>
      <c r="GH1463" s="2060"/>
      <c r="GI1463" s="2060"/>
      <c r="GJ1463" s="2060"/>
      <c r="GK1463" s="2060"/>
      <c r="GL1463" s="2060"/>
      <c r="GM1463" s="2060"/>
      <c r="GN1463" s="2060"/>
      <c r="GO1463" s="2060"/>
      <c r="GP1463" s="2060"/>
      <c r="GQ1463" s="2060"/>
      <c r="GR1463" s="2060"/>
      <c r="GS1463" s="2060"/>
      <c r="GT1463" s="2060"/>
      <c r="GU1463" s="2060"/>
      <c r="GV1463" s="2060"/>
      <c r="GW1463" s="2060"/>
      <c r="GX1463" s="2060"/>
      <c r="GY1463" s="2060"/>
      <c r="GZ1463" s="2060"/>
      <c r="HA1463" s="2060"/>
      <c r="HB1463" s="2060"/>
      <c r="HC1463" s="2060"/>
      <c r="HD1463" s="2060"/>
      <c r="HE1463" s="2060"/>
      <c r="HF1463" s="2060"/>
      <c r="HG1463" s="2060"/>
      <c r="HH1463" s="2060"/>
      <c r="HI1463" s="2060"/>
      <c r="HJ1463" s="2060"/>
      <c r="HK1463" s="2060"/>
      <c r="HL1463" s="2060"/>
      <c r="HM1463" s="2060"/>
      <c r="HN1463" s="2060"/>
      <c r="HO1463" s="2060"/>
      <c r="HP1463" s="2060"/>
      <c r="HQ1463" s="2060"/>
      <c r="HR1463" s="2060"/>
      <c r="HS1463" s="2060"/>
      <c r="HT1463" s="2060"/>
      <c r="HU1463" s="2060"/>
      <c r="HV1463" s="2060"/>
      <c r="HW1463" s="2060"/>
      <c r="HX1463" s="2060"/>
      <c r="HY1463" s="2060"/>
      <c r="HZ1463" s="2060"/>
      <c r="IA1463" s="2060"/>
      <c r="IB1463" s="2060"/>
      <c r="IC1463" s="2060"/>
      <c r="ID1463" s="2060"/>
      <c r="IE1463" s="2060"/>
      <c r="IF1463" s="2060"/>
      <c r="IG1463" s="2060"/>
      <c r="IH1463" s="2060"/>
      <c r="II1463" s="2060"/>
      <c r="IJ1463" s="2060"/>
      <c r="IK1463" s="2060"/>
      <c r="IL1463" s="2060"/>
      <c r="IM1463" s="2060"/>
      <c r="IN1463" s="2060"/>
      <c r="IO1463" s="2060"/>
      <c r="IP1463" s="2060"/>
      <c r="IQ1463" s="2060"/>
      <c r="IR1463" s="2060"/>
      <c r="IS1463" s="2060"/>
      <c r="IT1463" s="2060"/>
      <c r="IU1463" s="2060"/>
      <c r="IV1463" s="2060"/>
      <c r="IW1463" s="2060"/>
      <c r="IX1463" s="2060"/>
      <c r="IY1463" s="2060"/>
      <c r="IZ1463" s="2060"/>
      <c r="JA1463" s="2060"/>
      <c r="JB1463" s="2060"/>
      <c r="JC1463" s="2060"/>
      <c r="JD1463" s="2060"/>
      <c r="JE1463" s="2060"/>
      <c r="JF1463" s="2060"/>
      <c r="JG1463" s="2060"/>
      <c r="JH1463" s="2060"/>
      <c r="JI1463" s="2060"/>
      <c r="JJ1463" s="2060"/>
      <c r="JK1463" s="2060"/>
      <c r="JL1463" s="2060"/>
      <c r="JM1463" s="2060"/>
      <c r="JN1463" s="2060"/>
      <c r="JO1463" s="2060"/>
      <c r="JP1463" s="2060"/>
      <c r="JQ1463" s="2060"/>
      <c r="JR1463" s="2060"/>
      <c r="JS1463" s="2060"/>
      <c r="JT1463" s="2060"/>
      <c r="JU1463" s="2060"/>
      <c r="JV1463" s="2060"/>
      <c r="JW1463" s="2060"/>
      <c r="JX1463" s="2060"/>
      <c r="JY1463" s="2060"/>
      <c r="JZ1463" s="2060"/>
      <c r="KA1463" s="2060"/>
      <c r="KB1463" s="2060"/>
      <c r="KC1463" s="2060"/>
      <c r="KD1463" s="2060"/>
      <c r="KE1463" s="2060"/>
      <c r="KF1463" s="2060"/>
      <c r="KG1463" s="2060"/>
      <c r="KH1463" s="2060"/>
      <c r="KI1463" s="2060"/>
      <c r="KJ1463" s="2060"/>
      <c r="KK1463" s="2060"/>
      <c r="KL1463" s="2060"/>
      <c r="KM1463" s="2060"/>
      <c r="KN1463" s="2060"/>
      <c r="KO1463" s="2060"/>
      <c r="KP1463" s="2060"/>
      <c r="KQ1463" s="2060"/>
      <c r="KR1463" s="2060"/>
      <c r="KS1463" s="2060"/>
      <c r="KT1463" s="2060"/>
      <c r="KU1463" s="2060"/>
      <c r="KV1463" s="2060"/>
      <c r="KW1463" s="2060"/>
      <c r="KX1463" s="2060"/>
      <c r="KY1463" s="2060"/>
      <c r="KZ1463" s="2060"/>
      <c r="LA1463" s="2060"/>
      <c r="LB1463" s="2060"/>
      <c r="LC1463" s="2060"/>
      <c r="LD1463" s="2060"/>
      <c r="LE1463" s="2060"/>
      <c r="LF1463" s="2060"/>
      <c r="LG1463" s="2060"/>
      <c r="LH1463" s="2060"/>
    </row>
    <row r="1464" spans="1:320" s="449" customFormat="1" ht="13.9">
      <c r="A1464" s="269" t="str">
        <f t="shared" ref="A1464:A1487" si="406">IF(F1464="--","n","")</f>
        <v>n</v>
      </c>
      <c r="B1464" s="2060"/>
      <c r="C1464" s="89"/>
      <c r="D1464" s="801"/>
      <c r="E1464" s="1505">
        <v>2</v>
      </c>
      <c r="F1464" s="21" t="str">
        <f>F$130</f>
        <v>--</v>
      </c>
      <c r="G1464" s="1441">
        <f>G$130</f>
        <v>0</v>
      </c>
      <c r="H1464" s="1441"/>
      <c r="I1464" s="1441"/>
      <c r="J1464" s="1441"/>
      <c r="K1464" s="2314" t="str">
        <f t="shared" si="405"/>
        <v>--</v>
      </c>
      <c r="L1464" s="2314" t="str">
        <f t="shared" si="405"/>
        <v>--</v>
      </c>
      <c r="M1464" s="2314" t="str">
        <f t="shared" si="405"/>
        <v>--</v>
      </c>
      <c r="N1464" s="2314" t="str">
        <f t="shared" si="405"/>
        <v>--</v>
      </c>
      <c r="O1464" s="2315" t="str">
        <f t="shared" si="405"/>
        <v>--</v>
      </c>
      <c r="P1464" s="2314" t="str">
        <f t="shared" si="405"/>
        <v>--</v>
      </c>
      <c r="Q1464" s="89"/>
      <c r="R1464" s="89"/>
      <c r="S1464" s="89"/>
      <c r="T1464" s="1513"/>
      <c r="U1464" s="89"/>
      <c r="V1464" s="89"/>
      <c r="W1464" s="89"/>
      <c r="X1464" s="89"/>
      <c r="Y1464" s="89"/>
      <c r="Z1464" s="89"/>
      <c r="AA1464" s="89"/>
      <c r="AB1464" s="89"/>
      <c r="AC1464" s="89"/>
      <c r="AD1464" s="89"/>
      <c r="AE1464" s="89"/>
      <c r="AF1464" s="89"/>
      <c r="AG1464" s="89"/>
      <c r="AH1464" s="89"/>
      <c r="AI1464" s="89"/>
      <c r="AJ1464" s="89"/>
      <c r="AK1464" s="89"/>
      <c r="AL1464" s="2060"/>
      <c r="AM1464" s="2060"/>
      <c r="AN1464" s="2060"/>
      <c r="AO1464" s="2060"/>
      <c r="AP1464" s="2060"/>
      <c r="AQ1464" s="2060"/>
      <c r="AR1464" s="2060"/>
      <c r="AS1464" s="2060"/>
      <c r="AT1464" s="2060"/>
      <c r="AU1464" s="2060"/>
      <c r="AV1464" s="2060"/>
      <c r="AW1464" s="2060"/>
      <c r="AX1464" s="2060"/>
      <c r="AY1464" s="2060"/>
      <c r="AZ1464" s="2060"/>
      <c r="BA1464" s="2060"/>
      <c r="BB1464" s="2060"/>
      <c r="BC1464" s="2060"/>
      <c r="BD1464" s="2060"/>
      <c r="BE1464" s="2060"/>
      <c r="BF1464" s="2060"/>
      <c r="BG1464" s="2060"/>
      <c r="BH1464" s="2060"/>
      <c r="BI1464" s="2060"/>
      <c r="BJ1464" s="2060"/>
      <c r="BK1464" s="2060"/>
      <c r="BL1464" s="2060"/>
      <c r="BM1464" s="2060"/>
      <c r="BN1464" s="2060"/>
      <c r="BO1464" s="2060"/>
      <c r="BP1464" s="2060"/>
      <c r="BQ1464" s="2060"/>
      <c r="BR1464" s="2060"/>
      <c r="BS1464" s="2060"/>
      <c r="BT1464" s="2060"/>
      <c r="BU1464" s="2060"/>
      <c r="BV1464" s="2060"/>
      <c r="BW1464" s="2060"/>
      <c r="BX1464" s="2060"/>
      <c r="BY1464" s="2060"/>
      <c r="BZ1464" s="2060"/>
      <c r="CA1464" s="2060"/>
      <c r="CB1464" s="2060"/>
      <c r="CC1464" s="2060"/>
      <c r="CD1464" s="2060"/>
      <c r="CE1464" s="2060"/>
      <c r="CF1464" s="2060"/>
      <c r="CG1464" s="2060"/>
      <c r="CH1464" s="2060"/>
      <c r="CI1464" s="2060"/>
      <c r="CJ1464" s="2060"/>
      <c r="CK1464" s="2060"/>
      <c r="CL1464" s="2060"/>
      <c r="CM1464" s="2060"/>
      <c r="CN1464" s="2060"/>
      <c r="CO1464" s="2060"/>
      <c r="CP1464" s="2060"/>
      <c r="CQ1464" s="2060"/>
      <c r="CR1464" s="2060"/>
      <c r="CS1464" s="2060"/>
      <c r="CT1464" s="2060"/>
      <c r="CU1464" s="2060"/>
      <c r="CV1464" s="2060"/>
      <c r="CW1464" s="2060"/>
      <c r="CX1464" s="2060"/>
      <c r="CY1464" s="2060"/>
      <c r="CZ1464" s="2060"/>
      <c r="DA1464" s="2060"/>
      <c r="DB1464" s="2060"/>
      <c r="DC1464" s="2060"/>
      <c r="DD1464" s="2060"/>
      <c r="DE1464" s="2060"/>
      <c r="DF1464" s="2060"/>
      <c r="DG1464" s="2060"/>
      <c r="DH1464" s="2060"/>
      <c r="DI1464" s="2060"/>
      <c r="DJ1464" s="2060"/>
      <c r="DK1464" s="2060"/>
      <c r="DL1464" s="2060"/>
      <c r="DM1464" s="2060"/>
      <c r="DN1464" s="2060"/>
      <c r="DO1464" s="2060"/>
      <c r="DP1464" s="2060"/>
      <c r="DQ1464" s="2060"/>
      <c r="DR1464" s="2060"/>
      <c r="DS1464" s="2060"/>
      <c r="DT1464" s="2060"/>
      <c r="DU1464" s="2060"/>
      <c r="DV1464" s="2060"/>
      <c r="DW1464" s="2060"/>
      <c r="DX1464" s="2060"/>
      <c r="DY1464" s="2060"/>
      <c r="DZ1464" s="2060"/>
      <c r="EA1464" s="2060"/>
      <c r="EB1464" s="2060"/>
      <c r="EC1464" s="2060"/>
      <c r="ED1464" s="2060"/>
      <c r="EE1464" s="2060"/>
      <c r="EF1464" s="2060"/>
      <c r="EG1464" s="2060"/>
      <c r="EH1464" s="2060"/>
      <c r="EI1464" s="2060"/>
      <c r="EJ1464" s="2060"/>
      <c r="EK1464" s="2060"/>
      <c r="EL1464" s="2060"/>
      <c r="EM1464" s="2060"/>
      <c r="EN1464" s="2060"/>
      <c r="EO1464" s="2060"/>
      <c r="EP1464" s="2060"/>
      <c r="EQ1464" s="2060"/>
      <c r="ER1464" s="2060"/>
      <c r="ES1464" s="2060"/>
      <c r="ET1464" s="2060"/>
      <c r="EU1464" s="2060"/>
      <c r="EV1464" s="2060"/>
      <c r="EW1464" s="2060"/>
      <c r="EX1464" s="2060"/>
      <c r="EY1464" s="2060"/>
      <c r="EZ1464" s="2060"/>
      <c r="FA1464" s="2060"/>
      <c r="FB1464" s="2060"/>
      <c r="FC1464" s="2060"/>
      <c r="FD1464" s="2060"/>
      <c r="FE1464" s="2060"/>
      <c r="FF1464" s="2060"/>
      <c r="FG1464" s="2060"/>
      <c r="FH1464" s="2060"/>
      <c r="FI1464" s="2060"/>
      <c r="FJ1464" s="2060"/>
      <c r="FK1464" s="2060"/>
      <c r="FL1464" s="2060"/>
      <c r="FM1464" s="2060"/>
      <c r="FN1464" s="2060"/>
      <c r="FO1464" s="2060"/>
      <c r="FP1464" s="2060"/>
      <c r="FQ1464" s="2060"/>
      <c r="FR1464" s="2060"/>
      <c r="FS1464" s="2060"/>
      <c r="FT1464" s="2060"/>
      <c r="FU1464" s="2060"/>
      <c r="FV1464" s="2060"/>
      <c r="FW1464" s="2060"/>
      <c r="FX1464" s="2060"/>
      <c r="FY1464" s="2060"/>
      <c r="FZ1464" s="2060"/>
      <c r="GA1464" s="2060"/>
      <c r="GB1464" s="2060"/>
      <c r="GC1464" s="2060"/>
      <c r="GD1464" s="2060"/>
      <c r="GE1464" s="2060"/>
      <c r="GF1464" s="2060"/>
      <c r="GG1464" s="2060"/>
      <c r="GH1464" s="2060"/>
      <c r="GI1464" s="2060"/>
      <c r="GJ1464" s="2060"/>
      <c r="GK1464" s="2060"/>
      <c r="GL1464" s="2060"/>
      <c r="GM1464" s="2060"/>
      <c r="GN1464" s="2060"/>
      <c r="GO1464" s="2060"/>
      <c r="GP1464" s="2060"/>
      <c r="GQ1464" s="2060"/>
      <c r="GR1464" s="2060"/>
      <c r="GS1464" s="2060"/>
      <c r="GT1464" s="2060"/>
      <c r="GU1464" s="2060"/>
      <c r="GV1464" s="2060"/>
      <c r="GW1464" s="2060"/>
      <c r="GX1464" s="2060"/>
      <c r="GY1464" s="2060"/>
      <c r="GZ1464" s="2060"/>
      <c r="HA1464" s="2060"/>
      <c r="HB1464" s="2060"/>
      <c r="HC1464" s="2060"/>
      <c r="HD1464" s="2060"/>
      <c r="HE1464" s="2060"/>
      <c r="HF1464" s="2060"/>
      <c r="HG1464" s="2060"/>
      <c r="HH1464" s="2060"/>
      <c r="HI1464" s="2060"/>
      <c r="HJ1464" s="2060"/>
      <c r="HK1464" s="2060"/>
      <c r="HL1464" s="2060"/>
      <c r="HM1464" s="2060"/>
      <c r="HN1464" s="2060"/>
      <c r="HO1464" s="2060"/>
      <c r="HP1464" s="2060"/>
      <c r="HQ1464" s="2060"/>
      <c r="HR1464" s="2060"/>
      <c r="HS1464" s="2060"/>
      <c r="HT1464" s="2060"/>
      <c r="HU1464" s="2060"/>
      <c r="HV1464" s="2060"/>
      <c r="HW1464" s="2060"/>
      <c r="HX1464" s="2060"/>
      <c r="HY1464" s="2060"/>
      <c r="HZ1464" s="2060"/>
      <c r="IA1464" s="2060"/>
      <c r="IB1464" s="2060"/>
      <c r="IC1464" s="2060"/>
      <c r="ID1464" s="2060"/>
      <c r="IE1464" s="2060"/>
      <c r="IF1464" s="2060"/>
      <c r="IG1464" s="2060"/>
      <c r="IH1464" s="2060"/>
      <c r="II1464" s="2060"/>
      <c r="IJ1464" s="2060"/>
      <c r="IK1464" s="2060"/>
      <c r="IL1464" s="2060"/>
      <c r="IM1464" s="2060"/>
      <c r="IN1464" s="2060"/>
      <c r="IO1464" s="2060"/>
      <c r="IP1464" s="2060"/>
      <c r="IQ1464" s="2060"/>
      <c r="IR1464" s="2060"/>
      <c r="IS1464" s="2060"/>
      <c r="IT1464" s="2060"/>
      <c r="IU1464" s="2060"/>
      <c r="IV1464" s="2060"/>
      <c r="IW1464" s="2060"/>
      <c r="IX1464" s="2060"/>
      <c r="IY1464" s="2060"/>
      <c r="IZ1464" s="2060"/>
      <c r="JA1464" s="2060"/>
      <c r="JB1464" s="2060"/>
      <c r="JC1464" s="2060"/>
      <c r="JD1464" s="2060"/>
      <c r="JE1464" s="2060"/>
      <c r="JF1464" s="2060"/>
      <c r="JG1464" s="2060"/>
      <c r="JH1464" s="2060"/>
      <c r="JI1464" s="2060"/>
      <c r="JJ1464" s="2060"/>
      <c r="JK1464" s="2060"/>
      <c r="JL1464" s="2060"/>
      <c r="JM1464" s="2060"/>
      <c r="JN1464" s="2060"/>
      <c r="JO1464" s="2060"/>
      <c r="JP1464" s="2060"/>
      <c r="JQ1464" s="2060"/>
      <c r="JR1464" s="2060"/>
      <c r="JS1464" s="2060"/>
      <c r="JT1464" s="2060"/>
      <c r="JU1464" s="2060"/>
      <c r="JV1464" s="2060"/>
      <c r="JW1464" s="2060"/>
      <c r="JX1464" s="2060"/>
      <c r="JY1464" s="2060"/>
      <c r="JZ1464" s="2060"/>
      <c r="KA1464" s="2060"/>
      <c r="KB1464" s="2060"/>
      <c r="KC1464" s="2060"/>
      <c r="KD1464" s="2060"/>
      <c r="KE1464" s="2060"/>
      <c r="KF1464" s="2060"/>
      <c r="KG1464" s="2060"/>
      <c r="KH1464" s="2060"/>
      <c r="KI1464" s="2060"/>
      <c r="KJ1464" s="2060"/>
      <c r="KK1464" s="2060"/>
      <c r="KL1464" s="2060"/>
      <c r="KM1464" s="2060"/>
      <c r="KN1464" s="2060"/>
      <c r="KO1464" s="2060"/>
      <c r="KP1464" s="2060"/>
      <c r="KQ1464" s="2060"/>
      <c r="KR1464" s="2060"/>
      <c r="KS1464" s="2060"/>
      <c r="KT1464" s="2060"/>
      <c r="KU1464" s="2060"/>
      <c r="KV1464" s="2060"/>
      <c r="KW1464" s="2060"/>
      <c r="KX1464" s="2060"/>
      <c r="KY1464" s="2060"/>
      <c r="KZ1464" s="2060"/>
      <c r="LA1464" s="2060"/>
      <c r="LB1464" s="2060"/>
      <c r="LC1464" s="2060"/>
      <c r="LD1464" s="2060"/>
      <c r="LE1464" s="2060"/>
      <c r="LF1464" s="2060"/>
      <c r="LG1464" s="2060"/>
      <c r="LH1464" s="2060"/>
    </row>
    <row r="1465" spans="1:320" s="449" customFormat="1" ht="13.9">
      <c r="A1465" s="269" t="str">
        <f t="shared" si="406"/>
        <v>n</v>
      </c>
      <c r="B1465" s="2060"/>
      <c r="C1465" s="72"/>
      <c r="D1465" s="802"/>
      <c r="E1465" s="1505">
        <v>3</v>
      </c>
      <c r="F1465" s="21" t="str">
        <f>F$131</f>
        <v>--</v>
      </c>
      <c r="G1465" s="1441">
        <f>G$131</f>
        <v>0</v>
      </c>
      <c r="H1465" s="1441"/>
      <c r="I1465" s="1441"/>
      <c r="J1465" s="1441"/>
      <c r="K1465" s="2314" t="str">
        <f t="shared" si="405"/>
        <v>--</v>
      </c>
      <c r="L1465" s="2314" t="str">
        <f t="shared" si="405"/>
        <v>--</v>
      </c>
      <c r="M1465" s="2314" t="str">
        <f t="shared" si="405"/>
        <v>--</v>
      </c>
      <c r="N1465" s="2314" t="str">
        <f t="shared" si="405"/>
        <v>--</v>
      </c>
      <c r="O1465" s="2315" t="str">
        <f t="shared" si="405"/>
        <v>--</v>
      </c>
      <c r="P1465" s="2314" t="str">
        <f t="shared" si="405"/>
        <v>--</v>
      </c>
      <c r="Q1465" s="89"/>
      <c r="R1465" s="89"/>
      <c r="S1465" s="89"/>
      <c r="T1465" s="1513"/>
      <c r="U1465" s="89"/>
      <c r="V1465" s="89"/>
      <c r="W1465" s="89"/>
      <c r="X1465" s="89"/>
      <c r="Y1465" s="89"/>
      <c r="Z1465" s="89"/>
      <c r="AA1465" s="89"/>
      <c r="AB1465" s="89"/>
      <c r="AC1465" s="89"/>
      <c r="AD1465" s="89"/>
      <c r="AE1465" s="89"/>
      <c r="AF1465" s="89"/>
      <c r="AG1465" s="89"/>
      <c r="AH1465" s="89"/>
      <c r="AI1465" s="89"/>
      <c r="AJ1465" s="89"/>
      <c r="AK1465" s="89"/>
      <c r="AL1465" s="2060"/>
      <c r="AM1465" s="2060"/>
      <c r="AN1465" s="2060"/>
      <c r="AO1465" s="2060"/>
      <c r="AP1465" s="2060"/>
      <c r="AQ1465" s="2060"/>
      <c r="AR1465" s="2060"/>
      <c r="AS1465" s="2060"/>
      <c r="AT1465" s="2060"/>
      <c r="AU1465" s="2060"/>
      <c r="AV1465" s="2060"/>
      <c r="AW1465" s="2060"/>
      <c r="AX1465" s="2060"/>
      <c r="AY1465" s="2060"/>
      <c r="AZ1465" s="2060"/>
      <c r="BA1465" s="2060"/>
      <c r="BB1465" s="2060"/>
      <c r="BC1465" s="2060"/>
      <c r="BD1465" s="2060"/>
      <c r="BE1465" s="2060"/>
      <c r="BF1465" s="2060"/>
      <c r="BG1465" s="2060"/>
      <c r="BH1465" s="2060"/>
      <c r="BI1465" s="2060"/>
      <c r="BJ1465" s="2060"/>
      <c r="BK1465" s="2060"/>
      <c r="BL1465" s="2060"/>
      <c r="BM1465" s="2060"/>
      <c r="BN1465" s="2060"/>
      <c r="BO1465" s="2060"/>
      <c r="BP1465" s="2060"/>
      <c r="BQ1465" s="2060"/>
      <c r="BR1465" s="2060"/>
      <c r="BS1465" s="2060"/>
      <c r="BT1465" s="2060"/>
      <c r="BU1465" s="2060"/>
      <c r="BV1465" s="2060"/>
      <c r="BW1465" s="2060"/>
      <c r="BX1465" s="2060"/>
      <c r="BY1465" s="2060"/>
      <c r="BZ1465" s="2060"/>
      <c r="CA1465" s="2060"/>
      <c r="CB1465" s="2060"/>
      <c r="CC1465" s="2060"/>
      <c r="CD1465" s="2060"/>
      <c r="CE1465" s="2060"/>
      <c r="CF1465" s="2060"/>
      <c r="CG1465" s="2060"/>
      <c r="CH1465" s="2060"/>
      <c r="CI1465" s="2060"/>
      <c r="CJ1465" s="2060"/>
      <c r="CK1465" s="2060"/>
      <c r="CL1465" s="2060"/>
      <c r="CM1465" s="2060"/>
      <c r="CN1465" s="2060"/>
      <c r="CO1465" s="2060"/>
      <c r="CP1465" s="2060"/>
      <c r="CQ1465" s="2060"/>
      <c r="CR1465" s="2060"/>
      <c r="CS1465" s="2060"/>
      <c r="CT1465" s="2060"/>
      <c r="CU1465" s="2060"/>
      <c r="CV1465" s="2060"/>
      <c r="CW1465" s="2060"/>
      <c r="CX1465" s="2060"/>
      <c r="CY1465" s="2060"/>
      <c r="CZ1465" s="2060"/>
      <c r="DA1465" s="2060"/>
      <c r="DB1465" s="2060"/>
      <c r="DC1465" s="2060"/>
      <c r="DD1465" s="2060"/>
      <c r="DE1465" s="2060"/>
      <c r="DF1465" s="2060"/>
      <c r="DG1465" s="2060"/>
      <c r="DH1465" s="2060"/>
      <c r="DI1465" s="2060"/>
      <c r="DJ1465" s="2060"/>
      <c r="DK1465" s="2060"/>
      <c r="DL1465" s="2060"/>
      <c r="DM1465" s="2060"/>
      <c r="DN1465" s="2060"/>
      <c r="DO1465" s="2060"/>
      <c r="DP1465" s="2060"/>
      <c r="DQ1465" s="2060"/>
      <c r="DR1465" s="2060"/>
      <c r="DS1465" s="2060"/>
      <c r="DT1465" s="2060"/>
      <c r="DU1465" s="2060"/>
      <c r="DV1465" s="2060"/>
      <c r="DW1465" s="2060"/>
      <c r="DX1465" s="2060"/>
      <c r="DY1465" s="2060"/>
      <c r="DZ1465" s="2060"/>
      <c r="EA1465" s="2060"/>
      <c r="EB1465" s="2060"/>
      <c r="EC1465" s="2060"/>
      <c r="ED1465" s="2060"/>
      <c r="EE1465" s="2060"/>
      <c r="EF1465" s="2060"/>
      <c r="EG1465" s="2060"/>
      <c r="EH1465" s="2060"/>
      <c r="EI1465" s="2060"/>
      <c r="EJ1465" s="2060"/>
      <c r="EK1465" s="2060"/>
      <c r="EL1465" s="2060"/>
      <c r="EM1465" s="2060"/>
      <c r="EN1465" s="2060"/>
      <c r="EO1465" s="2060"/>
      <c r="EP1465" s="2060"/>
      <c r="EQ1465" s="2060"/>
      <c r="ER1465" s="2060"/>
      <c r="ES1465" s="2060"/>
      <c r="ET1465" s="2060"/>
      <c r="EU1465" s="2060"/>
      <c r="EV1465" s="2060"/>
      <c r="EW1465" s="2060"/>
      <c r="EX1465" s="2060"/>
      <c r="EY1465" s="2060"/>
      <c r="EZ1465" s="2060"/>
      <c r="FA1465" s="2060"/>
      <c r="FB1465" s="2060"/>
      <c r="FC1465" s="2060"/>
      <c r="FD1465" s="2060"/>
      <c r="FE1465" s="2060"/>
      <c r="FF1465" s="2060"/>
      <c r="FG1465" s="2060"/>
      <c r="FH1465" s="2060"/>
      <c r="FI1465" s="2060"/>
      <c r="FJ1465" s="2060"/>
      <c r="FK1465" s="2060"/>
      <c r="FL1465" s="2060"/>
      <c r="FM1465" s="2060"/>
      <c r="FN1465" s="2060"/>
      <c r="FO1465" s="2060"/>
      <c r="FP1465" s="2060"/>
      <c r="FQ1465" s="2060"/>
      <c r="FR1465" s="2060"/>
      <c r="FS1465" s="2060"/>
      <c r="FT1465" s="2060"/>
      <c r="FU1465" s="2060"/>
      <c r="FV1465" s="2060"/>
      <c r="FW1465" s="2060"/>
      <c r="FX1465" s="2060"/>
      <c r="FY1465" s="2060"/>
      <c r="FZ1465" s="2060"/>
      <c r="GA1465" s="2060"/>
      <c r="GB1465" s="2060"/>
      <c r="GC1465" s="2060"/>
      <c r="GD1465" s="2060"/>
      <c r="GE1465" s="2060"/>
      <c r="GF1465" s="2060"/>
      <c r="GG1465" s="2060"/>
      <c r="GH1465" s="2060"/>
      <c r="GI1465" s="2060"/>
      <c r="GJ1465" s="2060"/>
      <c r="GK1465" s="2060"/>
      <c r="GL1465" s="2060"/>
      <c r="GM1465" s="2060"/>
      <c r="GN1465" s="2060"/>
      <c r="GO1465" s="2060"/>
      <c r="GP1465" s="2060"/>
      <c r="GQ1465" s="2060"/>
      <c r="GR1465" s="2060"/>
      <c r="GS1465" s="2060"/>
      <c r="GT1465" s="2060"/>
      <c r="GU1465" s="2060"/>
      <c r="GV1465" s="2060"/>
      <c r="GW1465" s="2060"/>
      <c r="GX1465" s="2060"/>
      <c r="GY1465" s="2060"/>
      <c r="GZ1465" s="2060"/>
      <c r="HA1465" s="2060"/>
      <c r="HB1465" s="2060"/>
      <c r="HC1465" s="2060"/>
      <c r="HD1465" s="2060"/>
      <c r="HE1465" s="2060"/>
      <c r="HF1465" s="2060"/>
      <c r="HG1465" s="2060"/>
      <c r="HH1465" s="2060"/>
      <c r="HI1465" s="2060"/>
      <c r="HJ1465" s="2060"/>
      <c r="HK1465" s="2060"/>
      <c r="HL1465" s="2060"/>
      <c r="HM1465" s="2060"/>
      <c r="HN1465" s="2060"/>
      <c r="HO1465" s="2060"/>
      <c r="HP1465" s="2060"/>
      <c r="HQ1465" s="2060"/>
      <c r="HR1465" s="2060"/>
      <c r="HS1465" s="2060"/>
      <c r="HT1465" s="2060"/>
      <c r="HU1465" s="2060"/>
      <c r="HV1465" s="2060"/>
      <c r="HW1465" s="2060"/>
      <c r="HX1465" s="2060"/>
      <c r="HY1465" s="2060"/>
      <c r="HZ1465" s="2060"/>
      <c r="IA1465" s="2060"/>
      <c r="IB1465" s="2060"/>
      <c r="IC1465" s="2060"/>
      <c r="ID1465" s="2060"/>
      <c r="IE1465" s="2060"/>
      <c r="IF1465" s="2060"/>
      <c r="IG1465" s="2060"/>
      <c r="IH1465" s="2060"/>
      <c r="II1465" s="2060"/>
      <c r="IJ1465" s="2060"/>
      <c r="IK1465" s="2060"/>
      <c r="IL1465" s="2060"/>
      <c r="IM1465" s="2060"/>
      <c r="IN1465" s="2060"/>
      <c r="IO1465" s="2060"/>
      <c r="IP1465" s="2060"/>
      <c r="IQ1465" s="2060"/>
      <c r="IR1465" s="2060"/>
      <c r="IS1465" s="2060"/>
      <c r="IT1465" s="2060"/>
      <c r="IU1465" s="2060"/>
      <c r="IV1465" s="2060"/>
      <c r="IW1465" s="2060"/>
      <c r="IX1465" s="2060"/>
      <c r="IY1465" s="2060"/>
      <c r="IZ1465" s="2060"/>
      <c r="JA1465" s="2060"/>
      <c r="JB1465" s="2060"/>
      <c r="JC1465" s="2060"/>
      <c r="JD1465" s="2060"/>
      <c r="JE1465" s="2060"/>
      <c r="JF1465" s="2060"/>
      <c r="JG1465" s="2060"/>
      <c r="JH1465" s="2060"/>
      <c r="JI1465" s="2060"/>
      <c r="JJ1465" s="2060"/>
      <c r="JK1465" s="2060"/>
      <c r="JL1465" s="2060"/>
      <c r="JM1465" s="2060"/>
      <c r="JN1465" s="2060"/>
      <c r="JO1465" s="2060"/>
      <c r="JP1465" s="2060"/>
      <c r="JQ1465" s="2060"/>
      <c r="JR1465" s="2060"/>
      <c r="JS1465" s="2060"/>
      <c r="JT1465" s="2060"/>
      <c r="JU1465" s="2060"/>
      <c r="JV1465" s="2060"/>
      <c r="JW1465" s="2060"/>
      <c r="JX1465" s="2060"/>
      <c r="JY1465" s="2060"/>
      <c r="JZ1465" s="2060"/>
      <c r="KA1465" s="2060"/>
      <c r="KB1465" s="2060"/>
      <c r="KC1465" s="2060"/>
      <c r="KD1465" s="2060"/>
      <c r="KE1465" s="2060"/>
      <c r="KF1465" s="2060"/>
      <c r="KG1465" s="2060"/>
      <c r="KH1465" s="2060"/>
      <c r="KI1465" s="2060"/>
      <c r="KJ1465" s="2060"/>
      <c r="KK1465" s="2060"/>
      <c r="KL1465" s="2060"/>
      <c r="KM1465" s="2060"/>
      <c r="KN1465" s="2060"/>
      <c r="KO1465" s="2060"/>
      <c r="KP1465" s="2060"/>
      <c r="KQ1465" s="2060"/>
      <c r="KR1465" s="2060"/>
      <c r="KS1465" s="2060"/>
      <c r="KT1465" s="2060"/>
      <c r="KU1465" s="2060"/>
      <c r="KV1465" s="2060"/>
      <c r="KW1465" s="2060"/>
      <c r="KX1465" s="2060"/>
      <c r="KY1465" s="2060"/>
      <c r="KZ1465" s="2060"/>
      <c r="LA1465" s="2060"/>
      <c r="LB1465" s="2060"/>
      <c r="LC1465" s="2060"/>
      <c r="LD1465" s="2060"/>
      <c r="LE1465" s="2060"/>
      <c r="LF1465" s="2060"/>
      <c r="LG1465" s="2060"/>
      <c r="LH1465" s="2060"/>
    </row>
    <row r="1466" spans="1:320" s="449" customFormat="1" ht="13.9">
      <c r="A1466" s="269" t="str">
        <f t="shared" si="406"/>
        <v>n</v>
      </c>
      <c r="B1466" s="2060"/>
      <c r="C1466" s="72"/>
      <c r="D1466" s="801"/>
      <c r="E1466" s="1505">
        <v>4</v>
      </c>
      <c r="F1466" s="21" t="str">
        <f>F$132</f>
        <v>--</v>
      </c>
      <c r="G1466" s="1441">
        <f>G$132</f>
        <v>0</v>
      </c>
      <c r="H1466" s="1441"/>
      <c r="I1466" s="1441"/>
      <c r="J1466" s="1441"/>
      <c r="K1466" s="2314" t="str">
        <f t="shared" si="405"/>
        <v>--</v>
      </c>
      <c r="L1466" s="2314" t="str">
        <f t="shared" si="405"/>
        <v>--</v>
      </c>
      <c r="M1466" s="2314" t="str">
        <f t="shared" si="405"/>
        <v>--</v>
      </c>
      <c r="N1466" s="2314" t="str">
        <f t="shared" si="405"/>
        <v>--</v>
      </c>
      <c r="O1466" s="2315" t="str">
        <f t="shared" si="405"/>
        <v>--</v>
      </c>
      <c r="P1466" s="2314" t="str">
        <f t="shared" si="405"/>
        <v>--</v>
      </c>
      <c r="Q1466" s="89"/>
      <c r="R1466" s="89"/>
      <c r="S1466" s="89"/>
      <c r="T1466" s="1513"/>
      <c r="U1466" s="89"/>
      <c r="V1466" s="89"/>
      <c r="W1466" s="89"/>
      <c r="X1466" s="89"/>
      <c r="Y1466" s="89"/>
      <c r="Z1466" s="89"/>
      <c r="AA1466" s="89"/>
      <c r="AB1466" s="89"/>
      <c r="AC1466" s="89"/>
      <c r="AD1466" s="89"/>
      <c r="AE1466" s="89"/>
      <c r="AF1466" s="89"/>
      <c r="AG1466" s="89"/>
      <c r="AH1466" s="89"/>
      <c r="AI1466" s="89"/>
      <c r="AJ1466" s="89"/>
      <c r="AK1466" s="89"/>
      <c r="AL1466" s="2060"/>
      <c r="AM1466" s="2060"/>
      <c r="AN1466" s="2060"/>
      <c r="AO1466" s="2060"/>
      <c r="AP1466" s="2060"/>
      <c r="AQ1466" s="2060"/>
      <c r="AR1466" s="2060"/>
      <c r="AS1466" s="2060"/>
      <c r="AT1466" s="2060"/>
      <c r="AU1466" s="2060"/>
      <c r="AV1466" s="2060"/>
      <c r="AW1466" s="2060"/>
      <c r="AX1466" s="2060"/>
      <c r="AY1466" s="2060"/>
      <c r="AZ1466" s="2060"/>
      <c r="BA1466" s="2060"/>
      <c r="BB1466" s="2060"/>
      <c r="BC1466" s="2060"/>
      <c r="BD1466" s="2060"/>
      <c r="BE1466" s="2060"/>
      <c r="BF1466" s="2060"/>
      <c r="BG1466" s="2060"/>
      <c r="BH1466" s="2060"/>
      <c r="BI1466" s="2060"/>
      <c r="BJ1466" s="2060"/>
      <c r="BK1466" s="2060"/>
      <c r="BL1466" s="2060"/>
      <c r="BM1466" s="2060"/>
      <c r="BN1466" s="2060"/>
      <c r="BO1466" s="2060"/>
      <c r="BP1466" s="2060"/>
      <c r="BQ1466" s="2060"/>
      <c r="BR1466" s="2060"/>
      <c r="BS1466" s="2060"/>
      <c r="BT1466" s="2060"/>
      <c r="BU1466" s="2060"/>
      <c r="BV1466" s="2060"/>
      <c r="BW1466" s="2060"/>
      <c r="BX1466" s="2060"/>
      <c r="BY1466" s="2060"/>
      <c r="BZ1466" s="2060"/>
      <c r="CA1466" s="2060"/>
      <c r="CB1466" s="2060"/>
      <c r="CC1466" s="2060"/>
      <c r="CD1466" s="2060"/>
      <c r="CE1466" s="2060"/>
      <c r="CF1466" s="2060"/>
      <c r="CG1466" s="2060"/>
      <c r="CH1466" s="2060"/>
      <c r="CI1466" s="2060"/>
      <c r="CJ1466" s="2060"/>
      <c r="CK1466" s="2060"/>
      <c r="CL1466" s="2060"/>
      <c r="CM1466" s="2060"/>
      <c r="CN1466" s="2060"/>
      <c r="CO1466" s="2060"/>
      <c r="CP1466" s="2060"/>
      <c r="CQ1466" s="2060"/>
      <c r="CR1466" s="2060"/>
      <c r="CS1466" s="2060"/>
      <c r="CT1466" s="2060"/>
      <c r="CU1466" s="2060"/>
      <c r="CV1466" s="2060"/>
      <c r="CW1466" s="2060"/>
      <c r="CX1466" s="2060"/>
      <c r="CY1466" s="2060"/>
      <c r="CZ1466" s="2060"/>
      <c r="DA1466" s="2060"/>
      <c r="DB1466" s="2060"/>
      <c r="DC1466" s="2060"/>
      <c r="DD1466" s="2060"/>
      <c r="DE1466" s="2060"/>
      <c r="DF1466" s="2060"/>
      <c r="DG1466" s="2060"/>
      <c r="DH1466" s="2060"/>
      <c r="DI1466" s="2060"/>
      <c r="DJ1466" s="2060"/>
      <c r="DK1466" s="2060"/>
      <c r="DL1466" s="2060"/>
      <c r="DM1466" s="2060"/>
      <c r="DN1466" s="2060"/>
      <c r="DO1466" s="2060"/>
      <c r="DP1466" s="2060"/>
      <c r="DQ1466" s="2060"/>
      <c r="DR1466" s="2060"/>
      <c r="DS1466" s="2060"/>
      <c r="DT1466" s="2060"/>
      <c r="DU1466" s="2060"/>
      <c r="DV1466" s="2060"/>
      <c r="DW1466" s="2060"/>
      <c r="DX1466" s="2060"/>
      <c r="DY1466" s="2060"/>
      <c r="DZ1466" s="2060"/>
      <c r="EA1466" s="2060"/>
      <c r="EB1466" s="2060"/>
      <c r="EC1466" s="2060"/>
      <c r="ED1466" s="2060"/>
      <c r="EE1466" s="2060"/>
      <c r="EF1466" s="2060"/>
      <c r="EG1466" s="2060"/>
      <c r="EH1466" s="2060"/>
      <c r="EI1466" s="2060"/>
      <c r="EJ1466" s="2060"/>
      <c r="EK1466" s="2060"/>
      <c r="EL1466" s="2060"/>
      <c r="EM1466" s="2060"/>
      <c r="EN1466" s="2060"/>
      <c r="EO1466" s="2060"/>
      <c r="EP1466" s="2060"/>
      <c r="EQ1466" s="2060"/>
      <c r="ER1466" s="2060"/>
      <c r="ES1466" s="2060"/>
      <c r="ET1466" s="2060"/>
      <c r="EU1466" s="2060"/>
      <c r="EV1466" s="2060"/>
      <c r="EW1466" s="2060"/>
      <c r="EX1466" s="2060"/>
      <c r="EY1466" s="2060"/>
      <c r="EZ1466" s="2060"/>
      <c r="FA1466" s="2060"/>
      <c r="FB1466" s="2060"/>
      <c r="FC1466" s="2060"/>
      <c r="FD1466" s="2060"/>
      <c r="FE1466" s="2060"/>
      <c r="FF1466" s="2060"/>
      <c r="FG1466" s="2060"/>
      <c r="FH1466" s="2060"/>
      <c r="FI1466" s="2060"/>
      <c r="FJ1466" s="2060"/>
      <c r="FK1466" s="2060"/>
      <c r="FL1466" s="2060"/>
      <c r="FM1466" s="2060"/>
      <c r="FN1466" s="2060"/>
      <c r="FO1466" s="2060"/>
      <c r="FP1466" s="2060"/>
      <c r="FQ1466" s="2060"/>
      <c r="FR1466" s="2060"/>
      <c r="FS1466" s="2060"/>
      <c r="FT1466" s="2060"/>
      <c r="FU1466" s="2060"/>
      <c r="FV1466" s="2060"/>
      <c r="FW1466" s="2060"/>
      <c r="FX1466" s="2060"/>
      <c r="FY1466" s="2060"/>
      <c r="FZ1466" s="2060"/>
      <c r="GA1466" s="2060"/>
      <c r="GB1466" s="2060"/>
      <c r="GC1466" s="2060"/>
      <c r="GD1466" s="2060"/>
      <c r="GE1466" s="2060"/>
      <c r="GF1466" s="2060"/>
      <c r="GG1466" s="2060"/>
      <c r="GH1466" s="2060"/>
      <c r="GI1466" s="2060"/>
      <c r="GJ1466" s="2060"/>
      <c r="GK1466" s="2060"/>
      <c r="GL1466" s="2060"/>
      <c r="GM1466" s="2060"/>
      <c r="GN1466" s="2060"/>
      <c r="GO1466" s="2060"/>
      <c r="GP1466" s="2060"/>
      <c r="GQ1466" s="2060"/>
      <c r="GR1466" s="2060"/>
      <c r="GS1466" s="2060"/>
      <c r="GT1466" s="2060"/>
      <c r="GU1466" s="2060"/>
      <c r="GV1466" s="2060"/>
      <c r="GW1466" s="2060"/>
      <c r="GX1466" s="2060"/>
      <c r="GY1466" s="2060"/>
      <c r="GZ1466" s="2060"/>
      <c r="HA1466" s="2060"/>
      <c r="HB1466" s="2060"/>
      <c r="HC1466" s="2060"/>
      <c r="HD1466" s="2060"/>
      <c r="HE1466" s="2060"/>
      <c r="HF1466" s="2060"/>
      <c r="HG1466" s="2060"/>
      <c r="HH1466" s="2060"/>
      <c r="HI1466" s="2060"/>
      <c r="HJ1466" s="2060"/>
      <c r="HK1466" s="2060"/>
      <c r="HL1466" s="2060"/>
      <c r="HM1466" s="2060"/>
      <c r="HN1466" s="2060"/>
      <c r="HO1466" s="2060"/>
      <c r="HP1466" s="2060"/>
      <c r="HQ1466" s="2060"/>
      <c r="HR1466" s="2060"/>
      <c r="HS1466" s="2060"/>
      <c r="HT1466" s="2060"/>
      <c r="HU1466" s="2060"/>
      <c r="HV1466" s="2060"/>
      <c r="HW1466" s="2060"/>
      <c r="HX1466" s="2060"/>
      <c r="HY1466" s="2060"/>
      <c r="HZ1466" s="2060"/>
      <c r="IA1466" s="2060"/>
      <c r="IB1466" s="2060"/>
      <c r="IC1466" s="2060"/>
      <c r="ID1466" s="2060"/>
      <c r="IE1466" s="2060"/>
      <c r="IF1466" s="2060"/>
      <c r="IG1466" s="2060"/>
      <c r="IH1466" s="2060"/>
      <c r="II1466" s="2060"/>
      <c r="IJ1466" s="2060"/>
      <c r="IK1466" s="2060"/>
      <c r="IL1466" s="2060"/>
      <c r="IM1466" s="2060"/>
      <c r="IN1466" s="2060"/>
      <c r="IO1466" s="2060"/>
      <c r="IP1466" s="2060"/>
      <c r="IQ1466" s="2060"/>
      <c r="IR1466" s="2060"/>
      <c r="IS1466" s="2060"/>
      <c r="IT1466" s="2060"/>
      <c r="IU1466" s="2060"/>
      <c r="IV1466" s="2060"/>
      <c r="IW1466" s="2060"/>
      <c r="IX1466" s="2060"/>
      <c r="IY1466" s="2060"/>
      <c r="IZ1466" s="2060"/>
      <c r="JA1466" s="2060"/>
      <c r="JB1466" s="2060"/>
      <c r="JC1466" s="2060"/>
      <c r="JD1466" s="2060"/>
      <c r="JE1466" s="2060"/>
      <c r="JF1466" s="2060"/>
      <c r="JG1466" s="2060"/>
      <c r="JH1466" s="2060"/>
      <c r="JI1466" s="2060"/>
      <c r="JJ1466" s="2060"/>
      <c r="JK1466" s="2060"/>
      <c r="JL1466" s="2060"/>
      <c r="JM1466" s="2060"/>
      <c r="JN1466" s="2060"/>
      <c r="JO1466" s="2060"/>
      <c r="JP1466" s="2060"/>
      <c r="JQ1466" s="2060"/>
      <c r="JR1466" s="2060"/>
      <c r="JS1466" s="2060"/>
      <c r="JT1466" s="2060"/>
      <c r="JU1466" s="2060"/>
      <c r="JV1466" s="2060"/>
      <c r="JW1466" s="2060"/>
      <c r="JX1466" s="2060"/>
      <c r="JY1466" s="2060"/>
      <c r="JZ1466" s="2060"/>
      <c r="KA1466" s="2060"/>
      <c r="KB1466" s="2060"/>
      <c r="KC1466" s="2060"/>
      <c r="KD1466" s="2060"/>
      <c r="KE1466" s="2060"/>
      <c r="KF1466" s="2060"/>
      <c r="KG1466" s="2060"/>
      <c r="KH1466" s="2060"/>
      <c r="KI1466" s="2060"/>
      <c r="KJ1466" s="2060"/>
      <c r="KK1466" s="2060"/>
      <c r="KL1466" s="2060"/>
      <c r="KM1466" s="2060"/>
      <c r="KN1466" s="2060"/>
      <c r="KO1466" s="2060"/>
      <c r="KP1466" s="2060"/>
      <c r="KQ1466" s="2060"/>
      <c r="KR1466" s="2060"/>
      <c r="KS1466" s="2060"/>
      <c r="KT1466" s="2060"/>
      <c r="KU1466" s="2060"/>
      <c r="KV1466" s="2060"/>
      <c r="KW1466" s="2060"/>
      <c r="KX1466" s="2060"/>
      <c r="KY1466" s="2060"/>
      <c r="KZ1466" s="2060"/>
      <c r="LA1466" s="2060"/>
      <c r="LB1466" s="2060"/>
      <c r="LC1466" s="2060"/>
      <c r="LD1466" s="2060"/>
      <c r="LE1466" s="2060"/>
      <c r="LF1466" s="2060"/>
      <c r="LG1466" s="2060"/>
      <c r="LH1466" s="2060"/>
    </row>
    <row r="1467" spans="1:320" s="449" customFormat="1" ht="13.9">
      <c r="A1467" s="269" t="str">
        <f t="shared" si="406"/>
        <v>n</v>
      </c>
      <c r="B1467" s="2060"/>
      <c r="C1467" s="72"/>
      <c r="D1467" s="801"/>
      <c r="E1467" s="1505">
        <v>5</v>
      </c>
      <c r="F1467" s="21" t="str">
        <f>F$133</f>
        <v>--</v>
      </c>
      <c r="G1467" s="1441">
        <f>G$133</f>
        <v>0</v>
      </c>
      <c r="H1467" s="1441"/>
      <c r="I1467" s="1441"/>
      <c r="J1467" s="1441"/>
      <c r="K1467" s="2314" t="str">
        <f t="shared" si="405"/>
        <v>--</v>
      </c>
      <c r="L1467" s="2314" t="str">
        <f t="shared" si="405"/>
        <v>--</v>
      </c>
      <c r="M1467" s="2314" t="str">
        <f t="shared" si="405"/>
        <v>--</v>
      </c>
      <c r="N1467" s="2314" t="str">
        <f t="shared" si="405"/>
        <v>--</v>
      </c>
      <c r="O1467" s="2315" t="str">
        <f t="shared" si="405"/>
        <v>--</v>
      </c>
      <c r="P1467" s="2314" t="str">
        <f t="shared" si="405"/>
        <v>--</v>
      </c>
      <c r="Q1467" s="89"/>
      <c r="R1467" s="89"/>
      <c r="S1467" s="89"/>
      <c r="T1467" s="1513"/>
      <c r="U1467" s="89"/>
      <c r="V1467" s="89"/>
      <c r="W1467" s="89"/>
      <c r="X1467" s="89"/>
      <c r="Y1467" s="89"/>
      <c r="Z1467" s="89"/>
      <c r="AA1467" s="89"/>
      <c r="AB1467" s="89"/>
      <c r="AC1467" s="89"/>
      <c r="AD1467" s="89"/>
      <c r="AE1467" s="89"/>
      <c r="AF1467" s="89"/>
      <c r="AG1467" s="89"/>
      <c r="AH1467" s="89"/>
      <c r="AI1467" s="89"/>
      <c r="AJ1467" s="89"/>
      <c r="AK1467" s="89"/>
      <c r="AL1467" s="2060"/>
      <c r="AM1467" s="2060"/>
      <c r="AN1467" s="2060"/>
      <c r="AO1467" s="2060"/>
      <c r="AP1467" s="2060"/>
      <c r="AQ1467" s="2060"/>
      <c r="AR1467" s="2060"/>
      <c r="AS1467" s="2060"/>
      <c r="AT1467" s="2060"/>
      <c r="AU1467" s="2060"/>
      <c r="AV1467" s="2060"/>
      <c r="AW1467" s="2060"/>
      <c r="AX1467" s="2060"/>
      <c r="AY1467" s="2060"/>
      <c r="AZ1467" s="2060"/>
      <c r="BA1467" s="2060"/>
      <c r="BB1467" s="2060"/>
      <c r="BC1467" s="2060"/>
      <c r="BD1467" s="2060"/>
      <c r="BE1467" s="2060"/>
      <c r="BF1467" s="2060"/>
      <c r="BG1467" s="2060"/>
      <c r="BH1467" s="2060"/>
      <c r="BI1467" s="2060"/>
      <c r="BJ1467" s="2060"/>
      <c r="BK1467" s="2060"/>
      <c r="BL1467" s="2060"/>
      <c r="BM1467" s="2060"/>
      <c r="BN1467" s="2060"/>
      <c r="BO1467" s="2060"/>
      <c r="BP1467" s="2060"/>
      <c r="BQ1467" s="2060"/>
      <c r="BR1467" s="2060"/>
      <c r="BS1467" s="2060"/>
      <c r="BT1467" s="2060"/>
      <c r="BU1467" s="2060"/>
      <c r="BV1467" s="2060"/>
      <c r="BW1467" s="2060"/>
      <c r="BX1467" s="2060"/>
      <c r="BY1467" s="2060"/>
      <c r="BZ1467" s="2060"/>
      <c r="CA1467" s="2060"/>
      <c r="CB1467" s="2060"/>
      <c r="CC1467" s="2060"/>
      <c r="CD1467" s="2060"/>
      <c r="CE1467" s="2060"/>
      <c r="CF1467" s="2060"/>
      <c r="CG1467" s="2060"/>
      <c r="CH1467" s="2060"/>
      <c r="CI1467" s="2060"/>
      <c r="CJ1467" s="2060"/>
      <c r="CK1467" s="2060"/>
      <c r="CL1467" s="2060"/>
      <c r="CM1467" s="2060"/>
      <c r="CN1467" s="2060"/>
      <c r="CO1467" s="2060"/>
      <c r="CP1467" s="2060"/>
      <c r="CQ1467" s="2060"/>
      <c r="CR1467" s="2060"/>
      <c r="CS1467" s="2060"/>
      <c r="CT1467" s="2060"/>
      <c r="CU1467" s="2060"/>
      <c r="CV1467" s="2060"/>
      <c r="CW1467" s="2060"/>
      <c r="CX1467" s="2060"/>
      <c r="CY1467" s="2060"/>
      <c r="CZ1467" s="2060"/>
      <c r="DA1467" s="2060"/>
      <c r="DB1467" s="2060"/>
      <c r="DC1467" s="2060"/>
      <c r="DD1467" s="2060"/>
      <c r="DE1467" s="2060"/>
      <c r="DF1467" s="2060"/>
      <c r="DG1467" s="2060"/>
      <c r="DH1467" s="2060"/>
      <c r="DI1467" s="2060"/>
      <c r="DJ1467" s="2060"/>
      <c r="DK1467" s="2060"/>
      <c r="DL1467" s="2060"/>
      <c r="DM1467" s="2060"/>
      <c r="DN1467" s="2060"/>
      <c r="DO1467" s="2060"/>
      <c r="DP1467" s="2060"/>
      <c r="DQ1467" s="2060"/>
      <c r="DR1467" s="2060"/>
      <c r="DS1467" s="2060"/>
      <c r="DT1467" s="2060"/>
      <c r="DU1467" s="2060"/>
      <c r="DV1467" s="2060"/>
      <c r="DW1467" s="2060"/>
      <c r="DX1467" s="2060"/>
      <c r="DY1467" s="2060"/>
      <c r="DZ1467" s="2060"/>
      <c r="EA1467" s="2060"/>
      <c r="EB1467" s="2060"/>
      <c r="EC1467" s="2060"/>
      <c r="ED1467" s="2060"/>
      <c r="EE1467" s="2060"/>
      <c r="EF1467" s="2060"/>
      <c r="EG1467" s="2060"/>
      <c r="EH1467" s="2060"/>
      <c r="EI1467" s="2060"/>
      <c r="EJ1467" s="2060"/>
      <c r="EK1467" s="2060"/>
      <c r="EL1467" s="2060"/>
      <c r="EM1467" s="2060"/>
      <c r="EN1467" s="2060"/>
      <c r="EO1467" s="2060"/>
      <c r="EP1467" s="2060"/>
      <c r="EQ1467" s="2060"/>
      <c r="ER1467" s="2060"/>
      <c r="ES1467" s="2060"/>
      <c r="ET1467" s="2060"/>
      <c r="EU1467" s="2060"/>
      <c r="EV1467" s="2060"/>
      <c r="EW1467" s="2060"/>
      <c r="EX1467" s="2060"/>
      <c r="EY1467" s="2060"/>
      <c r="EZ1467" s="2060"/>
      <c r="FA1467" s="2060"/>
      <c r="FB1467" s="2060"/>
      <c r="FC1467" s="2060"/>
      <c r="FD1467" s="2060"/>
      <c r="FE1467" s="2060"/>
      <c r="FF1467" s="2060"/>
      <c r="FG1467" s="2060"/>
      <c r="FH1467" s="2060"/>
      <c r="FI1467" s="2060"/>
      <c r="FJ1467" s="2060"/>
      <c r="FK1467" s="2060"/>
      <c r="FL1467" s="2060"/>
      <c r="FM1467" s="2060"/>
      <c r="FN1467" s="2060"/>
      <c r="FO1467" s="2060"/>
      <c r="FP1467" s="2060"/>
      <c r="FQ1467" s="2060"/>
      <c r="FR1467" s="2060"/>
      <c r="FS1467" s="2060"/>
      <c r="FT1467" s="2060"/>
      <c r="FU1467" s="2060"/>
      <c r="FV1467" s="2060"/>
      <c r="FW1467" s="2060"/>
      <c r="FX1467" s="2060"/>
      <c r="FY1467" s="2060"/>
      <c r="FZ1467" s="2060"/>
      <c r="GA1467" s="2060"/>
      <c r="GB1467" s="2060"/>
      <c r="GC1467" s="2060"/>
      <c r="GD1467" s="2060"/>
      <c r="GE1467" s="2060"/>
      <c r="GF1467" s="2060"/>
      <c r="GG1467" s="2060"/>
      <c r="GH1467" s="2060"/>
      <c r="GI1467" s="2060"/>
      <c r="GJ1467" s="2060"/>
      <c r="GK1467" s="2060"/>
      <c r="GL1467" s="2060"/>
      <c r="GM1467" s="2060"/>
      <c r="GN1467" s="2060"/>
      <c r="GO1467" s="2060"/>
      <c r="GP1467" s="2060"/>
      <c r="GQ1467" s="2060"/>
      <c r="GR1467" s="2060"/>
      <c r="GS1467" s="2060"/>
      <c r="GT1467" s="2060"/>
      <c r="GU1467" s="2060"/>
      <c r="GV1467" s="2060"/>
      <c r="GW1467" s="2060"/>
      <c r="GX1467" s="2060"/>
      <c r="GY1467" s="2060"/>
      <c r="GZ1467" s="2060"/>
      <c r="HA1467" s="2060"/>
      <c r="HB1467" s="2060"/>
      <c r="HC1467" s="2060"/>
      <c r="HD1467" s="2060"/>
      <c r="HE1467" s="2060"/>
      <c r="HF1467" s="2060"/>
      <c r="HG1467" s="2060"/>
      <c r="HH1467" s="2060"/>
      <c r="HI1467" s="2060"/>
      <c r="HJ1467" s="2060"/>
      <c r="HK1467" s="2060"/>
      <c r="HL1467" s="2060"/>
      <c r="HM1467" s="2060"/>
      <c r="HN1467" s="2060"/>
      <c r="HO1467" s="2060"/>
      <c r="HP1467" s="2060"/>
      <c r="HQ1467" s="2060"/>
      <c r="HR1467" s="2060"/>
      <c r="HS1467" s="2060"/>
      <c r="HT1467" s="2060"/>
      <c r="HU1467" s="2060"/>
      <c r="HV1467" s="2060"/>
      <c r="HW1467" s="2060"/>
      <c r="HX1467" s="2060"/>
      <c r="HY1467" s="2060"/>
      <c r="HZ1467" s="2060"/>
      <c r="IA1467" s="2060"/>
      <c r="IB1467" s="2060"/>
      <c r="IC1467" s="2060"/>
      <c r="ID1467" s="2060"/>
      <c r="IE1467" s="2060"/>
      <c r="IF1467" s="2060"/>
      <c r="IG1467" s="2060"/>
      <c r="IH1467" s="2060"/>
      <c r="II1467" s="2060"/>
      <c r="IJ1467" s="2060"/>
      <c r="IK1467" s="2060"/>
      <c r="IL1467" s="2060"/>
      <c r="IM1467" s="2060"/>
      <c r="IN1467" s="2060"/>
      <c r="IO1467" s="2060"/>
      <c r="IP1467" s="2060"/>
      <c r="IQ1467" s="2060"/>
      <c r="IR1467" s="2060"/>
      <c r="IS1467" s="2060"/>
      <c r="IT1467" s="2060"/>
      <c r="IU1467" s="2060"/>
      <c r="IV1467" s="2060"/>
      <c r="IW1467" s="2060"/>
      <c r="IX1467" s="2060"/>
      <c r="IY1467" s="2060"/>
      <c r="IZ1467" s="2060"/>
      <c r="JA1467" s="2060"/>
      <c r="JB1467" s="2060"/>
      <c r="JC1467" s="2060"/>
      <c r="JD1467" s="2060"/>
      <c r="JE1467" s="2060"/>
      <c r="JF1467" s="2060"/>
      <c r="JG1467" s="2060"/>
      <c r="JH1467" s="2060"/>
      <c r="JI1467" s="2060"/>
      <c r="JJ1467" s="2060"/>
      <c r="JK1467" s="2060"/>
      <c r="JL1467" s="2060"/>
      <c r="JM1467" s="2060"/>
      <c r="JN1467" s="2060"/>
      <c r="JO1467" s="2060"/>
      <c r="JP1467" s="2060"/>
      <c r="JQ1467" s="2060"/>
      <c r="JR1467" s="2060"/>
      <c r="JS1467" s="2060"/>
      <c r="JT1467" s="2060"/>
      <c r="JU1467" s="2060"/>
      <c r="JV1467" s="2060"/>
      <c r="JW1467" s="2060"/>
      <c r="JX1467" s="2060"/>
      <c r="JY1467" s="2060"/>
      <c r="JZ1467" s="2060"/>
      <c r="KA1467" s="2060"/>
      <c r="KB1467" s="2060"/>
      <c r="KC1467" s="2060"/>
      <c r="KD1467" s="2060"/>
      <c r="KE1467" s="2060"/>
      <c r="KF1467" s="2060"/>
      <c r="KG1467" s="2060"/>
      <c r="KH1467" s="2060"/>
      <c r="KI1467" s="2060"/>
      <c r="KJ1467" s="2060"/>
      <c r="KK1467" s="2060"/>
      <c r="KL1467" s="2060"/>
      <c r="KM1467" s="2060"/>
      <c r="KN1467" s="2060"/>
      <c r="KO1467" s="2060"/>
      <c r="KP1467" s="2060"/>
      <c r="KQ1467" s="2060"/>
      <c r="KR1467" s="2060"/>
      <c r="KS1467" s="2060"/>
      <c r="KT1467" s="2060"/>
      <c r="KU1467" s="2060"/>
      <c r="KV1467" s="2060"/>
      <c r="KW1467" s="2060"/>
      <c r="KX1467" s="2060"/>
      <c r="KY1467" s="2060"/>
      <c r="KZ1467" s="2060"/>
      <c r="LA1467" s="2060"/>
      <c r="LB1467" s="2060"/>
      <c r="LC1467" s="2060"/>
      <c r="LD1467" s="2060"/>
      <c r="LE1467" s="2060"/>
      <c r="LF1467" s="2060"/>
      <c r="LG1467" s="2060"/>
      <c r="LH1467" s="2060"/>
    </row>
    <row r="1468" spans="1:320" s="449" customFormat="1" ht="13.9">
      <c r="A1468" s="269" t="str">
        <f t="shared" si="406"/>
        <v>n</v>
      </c>
      <c r="B1468" s="2060"/>
      <c r="C1468" s="72"/>
      <c r="D1468" s="801"/>
      <c r="E1468" s="1505">
        <v>6</v>
      </c>
      <c r="F1468" s="21" t="str">
        <f>F$134</f>
        <v>--</v>
      </c>
      <c r="G1468" s="1441">
        <f>G$134</f>
        <v>0</v>
      </c>
      <c r="H1468" s="1441"/>
      <c r="I1468" s="1441"/>
      <c r="J1468" s="1441"/>
      <c r="K1468" s="2314" t="str">
        <f t="shared" si="405"/>
        <v>--</v>
      </c>
      <c r="L1468" s="2314" t="str">
        <f t="shared" si="405"/>
        <v>--</v>
      </c>
      <c r="M1468" s="2314" t="str">
        <f t="shared" si="405"/>
        <v>--</v>
      </c>
      <c r="N1468" s="2314" t="str">
        <f t="shared" si="405"/>
        <v>--</v>
      </c>
      <c r="O1468" s="2315" t="str">
        <f t="shared" si="405"/>
        <v>--</v>
      </c>
      <c r="P1468" s="2314" t="str">
        <f t="shared" si="405"/>
        <v>--</v>
      </c>
      <c r="Q1468" s="89"/>
      <c r="R1468" s="89"/>
      <c r="S1468" s="89"/>
      <c r="T1468" s="1513"/>
      <c r="U1468" s="89"/>
      <c r="V1468" s="89"/>
      <c r="W1468" s="89"/>
      <c r="X1468" s="89"/>
      <c r="Y1468" s="89"/>
      <c r="Z1468" s="89"/>
      <c r="AA1468" s="89"/>
      <c r="AB1468" s="89"/>
      <c r="AC1468" s="89"/>
      <c r="AD1468" s="89"/>
      <c r="AE1468" s="89"/>
      <c r="AF1468" s="89"/>
      <c r="AG1468" s="89"/>
      <c r="AH1468" s="89"/>
      <c r="AI1468" s="89"/>
      <c r="AJ1468" s="89"/>
      <c r="AK1468" s="89"/>
      <c r="AL1468" s="2060"/>
      <c r="AM1468" s="2060"/>
      <c r="AN1468" s="2060"/>
      <c r="AO1468" s="2060"/>
      <c r="AP1468" s="2060"/>
      <c r="AQ1468" s="2060"/>
      <c r="AR1468" s="2060"/>
      <c r="AS1468" s="2060"/>
      <c r="AT1468" s="2060"/>
      <c r="AU1468" s="2060"/>
      <c r="AV1468" s="2060"/>
      <c r="AW1468" s="2060"/>
      <c r="AX1468" s="2060"/>
      <c r="AY1468" s="2060"/>
      <c r="AZ1468" s="2060"/>
      <c r="BA1468" s="2060"/>
      <c r="BB1468" s="2060"/>
      <c r="BC1468" s="2060"/>
      <c r="BD1468" s="2060"/>
      <c r="BE1468" s="2060"/>
      <c r="BF1468" s="2060"/>
      <c r="BG1468" s="2060"/>
      <c r="BH1468" s="2060"/>
      <c r="BI1468" s="2060"/>
      <c r="BJ1468" s="2060"/>
      <c r="BK1468" s="2060"/>
      <c r="BL1468" s="2060"/>
      <c r="BM1468" s="2060"/>
      <c r="BN1468" s="2060"/>
      <c r="BO1468" s="2060"/>
      <c r="BP1468" s="2060"/>
      <c r="BQ1468" s="2060"/>
      <c r="BR1468" s="2060"/>
      <c r="BS1468" s="2060"/>
      <c r="BT1468" s="2060"/>
      <c r="BU1468" s="2060"/>
      <c r="BV1468" s="2060"/>
      <c r="BW1468" s="2060"/>
      <c r="BX1468" s="2060"/>
      <c r="BY1468" s="2060"/>
      <c r="BZ1468" s="2060"/>
      <c r="CA1468" s="2060"/>
      <c r="CB1468" s="2060"/>
      <c r="CC1468" s="2060"/>
      <c r="CD1468" s="2060"/>
      <c r="CE1468" s="2060"/>
      <c r="CF1468" s="2060"/>
      <c r="CG1468" s="2060"/>
      <c r="CH1468" s="2060"/>
      <c r="CI1468" s="2060"/>
      <c r="CJ1468" s="2060"/>
      <c r="CK1468" s="2060"/>
      <c r="CL1468" s="2060"/>
      <c r="CM1468" s="2060"/>
      <c r="CN1468" s="2060"/>
      <c r="CO1468" s="2060"/>
      <c r="CP1468" s="2060"/>
      <c r="CQ1468" s="2060"/>
      <c r="CR1468" s="2060"/>
      <c r="CS1468" s="2060"/>
      <c r="CT1468" s="2060"/>
      <c r="CU1468" s="2060"/>
      <c r="CV1468" s="2060"/>
      <c r="CW1468" s="2060"/>
      <c r="CX1468" s="2060"/>
      <c r="CY1468" s="2060"/>
      <c r="CZ1468" s="2060"/>
      <c r="DA1468" s="2060"/>
      <c r="DB1468" s="2060"/>
      <c r="DC1468" s="2060"/>
      <c r="DD1468" s="2060"/>
      <c r="DE1468" s="2060"/>
      <c r="DF1468" s="2060"/>
      <c r="DG1468" s="2060"/>
      <c r="DH1468" s="2060"/>
      <c r="DI1468" s="2060"/>
      <c r="DJ1468" s="2060"/>
      <c r="DK1468" s="2060"/>
      <c r="DL1468" s="2060"/>
      <c r="DM1468" s="2060"/>
      <c r="DN1468" s="2060"/>
      <c r="DO1468" s="2060"/>
      <c r="DP1468" s="2060"/>
      <c r="DQ1468" s="2060"/>
      <c r="DR1468" s="2060"/>
      <c r="DS1468" s="2060"/>
      <c r="DT1468" s="2060"/>
      <c r="DU1468" s="2060"/>
      <c r="DV1468" s="2060"/>
      <c r="DW1468" s="2060"/>
      <c r="DX1468" s="2060"/>
      <c r="DY1468" s="2060"/>
      <c r="DZ1468" s="2060"/>
      <c r="EA1468" s="2060"/>
      <c r="EB1468" s="2060"/>
      <c r="EC1468" s="2060"/>
      <c r="ED1468" s="2060"/>
      <c r="EE1468" s="2060"/>
      <c r="EF1468" s="2060"/>
      <c r="EG1468" s="2060"/>
      <c r="EH1468" s="2060"/>
      <c r="EI1468" s="2060"/>
      <c r="EJ1468" s="2060"/>
      <c r="EK1468" s="2060"/>
      <c r="EL1468" s="2060"/>
      <c r="EM1468" s="2060"/>
      <c r="EN1468" s="2060"/>
      <c r="EO1468" s="2060"/>
      <c r="EP1468" s="2060"/>
      <c r="EQ1468" s="2060"/>
      <c r="ER1468" s="2060"/>
      <c r="ES1468" s="2060"/>
      <c r="ET1468" s="2060"/>
      <c r="EU1468" s="2060"/>
      <c r="EV1468" s="2060"/>
      <c r="EW1468" s="2060"/>
      <c r="EX1468" s="2060"/>
      <c r="EY1468" s="2060"/>
      <c r="EZ1468" s="2060"/>
      <c r="FA1468" s="2060"/>
      <c r="FB1468" s="2060"/>
      <c r="FC1468" s="2060"/>
      <c r="FD1468" s="2060"/>
      <c r="FE1468" s="2060"/>
      <c r="FF1468" s="2060"/>
      <c r="FG1468" s="2060"/>
      <c r="FH1468" s="2060"/>
      <c r="FI1468" s="2060"/>
      <c r="FJ1468" s="2060"/>
      <c r="FK1468" s="2060"/>
      <c r="FL1468" s="2060"/>
      <c r="FM1468" s="2060"/>
      <c r="FN1468" s="2060"/>
      <c r="FO1468" s="2060"/>
      <c r="FP1468" s="2060"/>
      <c r="FQ1468" s="2060"/>
      <c r="FR1468" s="2060"/>
      <c r="FS1468" s="2060"/>
      <c r="FT1468" s="2060"/>
      <c r="FU1468" s="2060"/>
      <c r="FV1468" s="2060"/>
      <c r="FW1468" s="2060"/>
      <c r="FX1468" s="2060"/>
      <c r="FY1468" s="2060"/>
      <c r="FZ1468" s="2060"/>
      <c r="GA1468" s="2060"/>
      <c r="GB1468" s="2060"/>
      <c r="GC1468" s="2060"/>
      <c r="GD1468" s="2060"/>
      <c r="GE1468" s="2060"/>
      <c r="GF1468" s="2060"/>
      <c r="GG1468" s="2060"/>
      <c r="GH1468" s="2060"/>
      <c r="GI1468" s="2060"/>
      <c r="GJ1468" s="2060"/>
      <c r="GK1468" s="2060"/>
      <c r="GL1468" s="2060"/>
      <c r="GM1468" s="2060"/>
      <c r="GN1468" s="2060"/>
      <c r="GO1468" s="2060"/>
      <c r="GP1468" s="2060"/>
      <c r="GQ1468" s="2060"/>
      <c r="GR1468" s="2060"/>
      <c r="GS1468" s="2060"/>
      <c r="GT1468" s="2060"/>
      <c r="GU1468" s="2060"/>
      <c r="GV1468" s="2060"/>
      <c r="GW1468" s="2060"/>
      <c r="GX1468" s="2060"/>
      <c r="GY1468" s="2060"/>
      <c r="GZ1468" s="2060"/>
      <c r="HA1468" s="2060"/>
      <c r="HB1468" s="2060"/>
      <c r="HC1468" s="2060"/>
      <c r="HD1468" s="2060"/>
      <c r="HE1468" s="2060"/>
      <c r="HF1468" s="2060"/>
      <c r="HG1468" s="2060"/>
      <c r="HH1468" s="2060"/>
      <c r="HI1468" s="2060"/>
      <c r="HJ1468" s="2060"/>
      <c r="HK1468" s="2060"/>
      <c r="HL1468" s="2060"/>
      <c r="HM1468" s="2060"/>
      <c r="HN1468" s="2060"/>
      <c r="HO1468" s="2060"/>
      <c r="HP1468" s="2060"/>
      <c r="HQ1468" s="2060"/>
      <c r="HR1468" s="2060"/>
      <c r="HS1468" s="2060"/>
      <c r="HT1468" s="2060"/>
      <c r="HU1468" s="2060"/>
      <c r="HV1468" s="2060"/>
      <c r="HW1468" s="2060"/>
      <c r="HX1468" s="2060"/>
      <c r="HY1468" s="2060"/>
      <c r="HZ1468" s="2060"/>
      <c r="IA1468" s="2060"/>
      <c r="IB1468" s="2060"/>
      <c r="IC1468" s="2060"/>
      <c r="ID1468" s="2060"/>
      <c r="IE1468" s="2060"/>
      <c r="IF1468" s="2060"/>
      <c r="IG1468" s="2060"/>
      <c r="IH1468" s="2060"/>
      <c r="II1468" s="2060"/>
      <c r="IJ1468" s="2060"/>
      <c r="IK1468" s="2060"/>
      <c r="IL1468" s="2060"/>
      <c r="IM1468" s="2060"/>
      <c r="IN1468" s="2060"/>
      <c r="IO1468" s="2060"/>
      <c r="IP1468" s="2060"/>
      <c r="IQ1468" s="2060"/>
      <c r="IR1468" s="2060"/>
      <c r="IS1468" s="2060"/>
      <c r="IT1468" s="2060"/>
      <c r="IU1468" s="2060"/>
      <c r="IV1468" s="2060"/>
      <c r="IW1468" s="2060"/>
      <c r="IX1468" s="2060"/>
      <c r="IY1468" s="2060"/>
      <c r="IZ1468" s="2060"/>
      <c r="JA1468" s="2060"/>
      <c r="JB1468" s="2060"/>
      <c r="JC1468" s="2060"/>
      <c r="JD1468" s="2060"/>
      <c r="JE1468" s="2060"/>
      <c r="JF1468" s="2060"/>
      <c r="JG1468" s="2060"/>
      <c r="JH1468" s="2060"/>
      <c r="JI1468" s="2060"/>
      <c r="JJ1468" s="2060"/>
      <c r="JK1468" s="2060"/>
      <c r="JL1468" s="2060"/>
      <c r="JM1468" s="2060"/>
      <c r="JN1468" s="2060"/>
      <c r="JO1468" s="2060"/>
      <c r="JP1468" s="2060"/>
      <c r="JQ1468" s="2060"/>
      <c r="JR1468" s="2060"/>
      <c r="JS1468" s="2060"/>
      <c r="JT1468" s="2060"/>
      <c r="JU1468" s="2060"/>
      <c r="JV1468" s="2060"/>
      <c r="JW1468" s="2060"/>
      <c r="JX1468" s="2060"/>
      <c r="JY1468" s="2060"/>
      <c r="JZ1468" s="2060"/>
      <c r="KA1468" s="2060"/>
      <c r="KB1468" s="2060"/>
      <c r="KC1468" s="2060"/>
      <c r="KD1468" s="2060"/>
      <c r="KE1468" s="2060"/>
      <c r="KF1468" s="2060"/>
      <c r="KG1468" s="2060"/>
      <c r="KH1468" s="2060"/>
      <c r="KI1468" s="2060"/>
      <c r="KJ1468" s="2060"/>
      <c r="KK1468" s="2060"/>
      <c r="KL1468" s="2060"/>
      <c r="KM1468" s="2060"/>
      <c r="KN1468" s="2060"/>
      <c r="KO1468" s="2060"/>
      <c r="KP1468" s="2060"/>
      <c r="KQ1468" s="2060"/>
      <c r="KR1468" s="2060"/>
      <c r="KS1468" s="2060"/>
      <c r="KT1468" s="2060"/>
      <c r="KU1468" s="2060"/>
      <c r="KV1468" s="2060"/>
      <c r="KW1468" s="2060"/>
      <c r="KX1468" s="2060"/>
      <c r="KY1468" s="2060"/>
      <c r="KZ1468" s="2060"/>
      <c r="LA1468" s="2060"/>
      <c r="LB1468" s="2060"/>
      <c r="LC1468" s="2060"/>
      <c r="LD1468" s="2060"/>
      <c r="LE1468" s="2060"/>
      <c r="LF1468" s="2060"/>
      <c r="LG1468" s="2060"/>
      <c r="LH1468" s="2060"/>
    </row>
    <row r="1469" spans="1:320" s="449" customFormat="1" ht="13.9">
      <c r="A1469" s="269" t="str">
        <f t="shared" si="406"/>
        <v>n</v>
      </c>
      <c r="B1469" s="2060"/>
      <c r="C1469" s="89"/>
      <c r="D1469" s="801"/>
      <c r="E1469" s="1505">
        <v>7</v>
      </c>
      <c r="F1469" s="21" t="str">
        <f>F$135</f>
        <v>--</v>
      </c>
      <c r="G1469" s="1441">
        <f>G$135</f>
        <v>0</v>
      </c>
      <c r="H1469" s="1441"/>
      <c r="I1469" s="1441"/>
      <c r="J1469" s="1441"/>
      <c r="K1469" s="2314" t="str">
        <f t="shared" si="405"/>
        <v>--</v>
      </c>
      <c r="L1469" s="2314" t="str">
        <f t="shared" si="405"/>
        <v>--</v>
      </c>
      <c r="M1469" s="2314" t="str">
        <f t="shared" si="405"/>
        <v>--</v>
      </c>
      <c r="N1469" s="2314" t="str">
        <f t="shared" si="405"/>
        <v>--</v>
      </c>
      <c r="O1469" s="2315" t="str">
        <f t="shared" si="405"/>
        <v>--</v>
      </c>
      <c r="P1469" s="2314" t="str">
        <f t="shared" si="405"/>
        <v>--</v>
      </c>
      <c r="Q1469" s="89"/>
      <c r="R1469" s="89"/>
      <c r="S1469" s="89"/>
      <c r="T1469" s="1513"/>
      <c r="U1469" s="89"/>
      <c r="V1469" s="89"/>
      <c r="W1469" s="89"/>
      <c r="X1469" s="89"/>
      <c r="Y1469" s="89"/>
      <c r="Z1469" s="89"/>
      <c r="AA1469" s="89"/>
      <c r="AB1469" s="89"/>
      <c r="AC1469" s="89"/>
      <c r="AD1469" s="89"/>
      <c r="AE1469" s="89"/>
      <c r="AF1469" s="89"/>
      <c r="AG1469" s="89"/>
      <c r="AH1469" s="89"/>
      <c r="AI1469" s="89"/>
      <c r="AJ1469" s="89"/>
      <c r="AK1469" s="89"/>
      <c r="AL1469" s="2060"/>
      <c r="AM1469" s="2060"/>
      <c r="AN1469" s="2060"/>
      <c r="AO1469" s="2060"/>
      <c r="AP1469" s="2060"/>
      <c r="AQ1469" s="2060"/>
      <c r="AR1469" s="2060"/>
      <c r="AS1469" s="2060"/>
      <c r="AT1469" s="2060"/>
      <c r="AU1469" s="2060"/>
      <c r="AV1469" s="2060"/>
      <c r="AW1469" s="2060"/>
      <c r="AX1469" s="2060"/>
      <c r="AY1469" s="2060"/>
      <c r="AZ1469" s="2060"/>
      <c r="BA1469" s="2060"/>
      <c r="BB1469" s="2060"/>
      <c r="BC1469" s="2060"/>
      <c r="BD1469" s="2060"/>
      <c r="BE1469" s="2060"/>
      <c r="BF1469" s="2060"/>
      <c r="BG1469" s="2060"/>
      <c r="BH1469" s="2060"/>
      <c r="BI1469" s="2060"/>
      <c r="BJ1469" s="2060"/>
      <c r="BK1469" s="2060"/>
      <c r="BL1469" s="2060"/>
      <c r="BM1469" s="2060"/>
      <c r="BN1469" s="2060"/>
      <c r="BO1469" s="2060"/>
      <c r="BP1469" s="2060"/>
      <c r="BQ1469" s="2060"/>
      <c r="BR1469" s="2060"/>
      <c r="BS1469" s="2060"/>
      <c r="BT1469" s="2060"/>
      <c r="BU1469" s="2060"/>
      <c r="BV1469" s="2060"/>
      <c r="BW1469" s="2060"/>
      <c r="BX1469" s="2060"/>
      <c r="BY1469" s="2060"/>
      <c r="BZ1469" s="2060"/>
      <c r="CA1469" s="2060"/>
      <c r="CB1469" s="2060"/>
      <c r="CC1469" s="2060"/>
      <c r="CD1469" s="2060"/>
      <c r="CE1469" s="2060"/>
      <c r="CF1469" s="2060"/>
      <c r="CG1469" s="2060"/>
      <c r="CH1469" s="2060"/>
      <c r="CI1469" s="2060"/>
      <c r="CJ1469" s="2060"/>
      <c r="CK1469" s="2060"/>
      <c r="CL1469" s="2060"/>
      <c r="CM1469" s="2060"/>
      <c r="CN1469" s="2060"/>
      <c r="CO1469" s="2060"/>
      <c r="CP1469" s="2060"/>
      <c r="CQ1469" s="2060"/>
      <c r="CR1469" s="2060"/>
      <c r="CS1469" s="2060"/>
      <c r="CT1469" s="2060"/>
      <c r="CU1469" s="2060"/>
      <c r="CV1469" s="2060"/>
      <c r="CW1469" s="2060"/>
      <c r="CX1469" s="2060"/>
      <c r="CY1469" s="2060"/>
      <c r="CZ1469" s="2060"/>
      <c r="DA1469" s="2060"/>
      <c r="DB1469" s="2060"/>
      <c r="DC1469" s="2060"/>
      <c r="DD1469" s="2060"/>
      <c r="DE1469" s="2060"/>
      <c r="DF1469" s="2060"/>
      <c r="DG1469" s="2060"/>
      <c r="DH1469" s="2060"/>
      <c r="DI1469" s="2060"/>
      <c r="DJ1469" s="2060"/>
      <c r="DK1469" s="2060"/>
      <c r="DL1469" s="2060"/>
      <c r="DM1469" s="2060"/>
      <c r="DN1469" s="2060"/>
      <c r="DO1469" s="2060"/>
      <c r="DP1469" s="2060"/>
      <c r="DQ1469" s="2060"/>
      <c r="DR1469" s="2060"/>
      <c r="DS1469" s="2060"/>
      <c r="DT1469" s="2060"/>
      <c r="DU1469" s="2060"/>
      <c r="DV1469" s="2060"/>
      <c r="DW1469" s="2060"/>
      <c r="DX1469" s="2060"/>
      <c r="DY1469" s="2060"/>
      <c r="DZ1469" s="2060"/>
      <c r="EA1469" s="2060"/>
      <c r="EB1469" s="2060"/>
      <c r="EC1469" s="2060"/>
      <c r="ED1469" s="2060"/>
      <c r="EE1469" s="2060"/>
      <c r="EF1469" s="2060"/>
      <c r="EG1469" s="2060"/>
      <c r="EH1469" s="2060"/>
      <c r="EI1469" s="2060"/>
      <c r="EJ1469" s="2060"/>
      <c r="EK1469" s="2060"/>
      <c r="EL1469" s="2060"/>
      <c r="EM1469" s="2060"/>
      <c r="EN1469" s="2060"/>
      <c r="EO1469" s="2060"/>
      <c r="EP1469" s="2060"/>
      <c r="EQ1469" s="2060"/>
      <c r="ER1469" s="2060"/>
      <c r="ES1469" s="2060"/>
      <c r="ET1469" s="2060"/>
      <c r="EU1469" s="2060"/>
      <c r="EV1469" s="2060"/>
      <c r="EW1469" s="2060"/>
      <c r="EX1469" s="2060"/>
      <c r="EY1469" s="2060"/>
      <c r="EZ1469" s="2060"/>
      <c r="FA1469" s="2060"/>
      <c r="FB1469" s="2060"/>
      <c r="FC1469" s="2060"/>
      <c r="FD1469" s="2060"/>
      <c r="FE1469" s="2060"/>
      <c r="FF1469" s="2060"/>
      <c r="FG1469" s="2060"/>
      <c r="FH1469" s="2060"/>
      <c r="FI1469" s="2060"/>
      <c r="FJ1469" s="2060"/>
      <c r="FK1469" s="2060"/>
      <c r="FL1469" s="2060"/>
      <c r="FM1469" s="2060"/>
      <c r="FN1469" s="2060"/>
      <c r="FO1469" s="2060"/>
      <c r="FP1469" s="2060"/>
      <c r="FQ1469" s="2060"/>
      <c r="FR1469" s="2060"/>
      <c r="FS1469" s="2060"/>
      <c r="FT1469" s="2060"/>
      <c r="FU1469" s="2060"/>
      <c r="FV1469" s="2060"/>
      <c r="FW1469" s="2060"/>
      <c r="FX1469" s="2060"/>
      <c r="FY1469" s="2060"/>
      <c r="FZ1469" s="2060"/>
      <c r="GA1469" s="2060"/>
      <c r="GB1469" s="2060"/>
      <c r="GC1469" s="2060"/>
      <c r="GD1469" s="2060"/>
      <c r="GE1469" s="2060"/>
      <c r="GF1469" s="2060"/>
      <c r="GG1469" s="2060"/>
      <c r="GH1469" s="2060"/>
      <c r="GI1469" s="2060"/>
      <c r="GJ1469" s="2060"/>
      <c r="GK1469" s="2060"/>
      <c r="GL1469" s="2060"/>
      <c r="GM1469" s="2060"/>
      <c r="GN1469" s="2060"/>
      <c r="GO1469" s="2060"/>
      <c r="GP1469" s="2060"/>
      <c r="GQ1469" s="2060"/>
      <c r="GR1469" s="2060"/>
      <c r="GS1469" s="2060"/>
      <c r="GT1469" s="2060"/>
      <c r="GU1469" s="2060"/>
      <c r="GV1469" s="2060"/>
      <c r="GW1469" s="2060"/>
      <c r="GX1469" s="2060"/>
      <c r="GY1469" s="2060"/>
      <c r="GZ1469" s="2060"/>
      <c r="HA1469" s="2060"/>
      <c r="HB1469" s="2060"/>
      <c r="HC1469" s="2060"/>
      <c r="HD1469" s="2060"/>
      <c r="HE1469" s="2060"/>
      <c r="HF1469" s="2060"/>
      <c r="HG1469" s="2060"/>
      <c r="HH1469" s="2060"/>
      <c r="HI1469" s="2060"/>
      <c r="HJ1469" s="2060"/>
      <c r="HK1469" s="2060"/>
      <c r="HL1469" s="2060"/>
      <c r="HM1469" s="2060"/>
      <c r="HN1469" s="2060"/>
      <c r="HO1469" s="2060"/>
      <c r="HP1469" s="2060"/>
      <c r="HQ1469" s="2060"/>
      <c r="HR1469" s="2060"/>
      <c r="HS1469" s="2060"/>
      <c r="HT1469" s="2060"/>
      <c r="HU1469" s="2060"/>
      <c r="HV1469" s="2060"/>
      <c r="HW1469" s="2060"/>
      <c r="HX1469" s="2060"/>
      <c r="HY1469" s="2060"/>
      <c r="HZ1469" s="2060"/>
      <c r="IA1469" s="2060"/>
      <c r="IB1469" s="2060"/>
      <c r="IC1469" s="2060"/>
      <c r="ID1469" s="2060"/>
      <c r="IE1469" s="2060"/>
      <c r="IF1469" s="2060"/>
      <c r="IG1469" s="2060"/>
      <c r="IH1469" s="2060"/>
      <c r="II1469" s="2060"/>
      <c r="IJ1469" s="2060"/>
      <c r="IK1469" s="2060"/>
      <c r="IL1469" s="2060"/>
      <c r="IM1469" s="2060"/>
      <c r="IN1469" s="2060"/>
      <c r="IO1469" s="2060"/>
      <c r="IP1469" s="2060"/>
      <c r="IQ1469" s="2060"/>
      <c r="IR1469" s="2060"/>
      <c r="IS1469" s="2060"/>
      <c r="IT1469" s="2060"/>
      <c r="IU1469" s="2060"/>
      <c r="IV1469" s="2060"/>
      <c r="IW1469" s="2060"/>
      <c r="IX1469" s="2060"/>
      <c r="IY1469" s="2060"/>
      <c r="IZ1469" s="2060"/>
      <c r="JA1469" s="2060"/>
      <c r="JB1469" s="2060"/>
      <c r="JC1469" s="2060"/>
      <c r="JD1469" s="2060"/>
      <c r="JE1469" s="2060"/>
      <c r="JF1469" s="2060"/>
      <c r="JG1469" s="2060"/>
      <c r="JH1469" s="2060"/>
      <c r="JI1469" s="2060"/>
      <c r="JJ1469" s="2060"/>
      <c r="JK1469" s="2060"/>
      <c r="JL1469" s="2060"/>
      <c r="JM1469" s="2060"/>
      <c r="JN1469" s="2060"/>
      <c r="JO1469" s="2060"/>
      <c r="JP1469" s="2060"/>
      <c r="JQ1469" s="2060"/>
      <c r="JR1469" s="2060"/>
      <c r="JS1469" s="2060"/>
      <c r="JT1469" s="2060"/>
      <c r="JU1469" s="2060"/>
      <c r="JV1469" s="2060"/>
      <c r="JW1469" s="2060"/>
      <c r="JX1469" s="2060"/>
      <c r="JY1469" s="2060"/>
      <c r="JZ1469" s="2060"/>
      <c r="KA1469" s="2060"/>
      <c r="KB1469" s="2060"/>
      <c r="KC1469" s="2060"/>
      <c r="KD1469" s="2060"/>
      <c r="KE1469" s="2060"/>
      <c r="KF1469" s="2060"/>
      <c r="KG1469" s="2060"/>
      <c r="KH1469" s="2060"/>
      <c r="KI1469" s="2060"/>
      <c r="KJ1469" s="2060"/>
      <c r="KK1469" s="2060"/>
      <c r="KL1469" s="2060"/>
      <c r="KM1469" s="2060"/>
      <c r="KN1469" s="2060"/>
      <c r="KO1469" s="2060"/>
      <c r="KP1469" s="2060"/>
      <c r="KQ1469" s="2060"/>
      <c r="KR1469" s="2060"/>
      <c r="KS1469" s="2060"/>
      <c r="KT1469" s="2060"/>
      <c r="KU1469" s="2060"/>
      <c r="KV1469" s="2060"/>
      <c r="KW1469" s="2060"/>
      <c r="KX1469" s="2060"/>
      <c r="KY1469" s="2060"/>
      <c r="KZ1469" s="2060"/>
      <c r="LA1469" s="2060"/>
      <c r="LB1469" s="2060"/>
      <c r="LC1469" s="2060"/>
      <c r="LD1469" s="2060"/>
      <c r="LE1469" s="2060"/>
      <c r="LF1469" s="2060"/>
      <c r="LG1469" s="2060"/>
      <c r="LH1469" s="2060"/>
    </row>
    <row r="1470" spans="1:320" s="449" customFormat="1" ht="13.9">
      <c r="A1470" s="269" t="str">
        <f t="shared" si="406"/>
        <v>n</v>
      </c>
      <c r="B1470" s="2060"/>
      <c r="C1470" s="89"/>
      <c r="D1470" s="801"/>
      <c r="E1470" s="1505">
        <v>8</v>
      </c>
      <c r="F1470" s="21" t="str">
        <f>F$136</f>
        <v>--</v>
      </c>
      <c r="G1470" s="1441">
        <f>G$136</f>
        <v>0</v>
      </c>
      <c r="H1470" s="1441"/>
      <c r="I1470" s="1441"/>
      <c r="J1470" s="1441"/>
      <c r="K1470" s="2314" t="str">
        <f t="shared" si="405"/>
        <v>--</v>
      </c>
      <c r="L1470" s="2314" t="str">
        <f t="shared" si="405"/>
        <v>--</v>
      </c>
      <c r="M1470" s="2314" t="str">
        <f t="shared" si="405"/>
        <v>--</v>
      </c>
      <c r="N1470" s="2314" t="str">
        <f t="shared" si="405"/>
        <v>--</v>
      </c>
      <c r="O1470" s="2315" t="str">
        <f t="shared" si="405"/>
        <v>--</v>
      </c>
      <c r="P1470" s="2314" t="str">
        <f t="shared" si="405"/>
        <v>--</v>
      </c>
      <c r="Q1470" s="89"/>
      <c r="R1470" s="89"/>
      <c r="S1470" s="89"/>
      <c r="T1470" s="1513"/>
      <c r="U1470" s="89"/>
      <c r="V1470" s="89"/>
      <c r="W1470" s="89"/>
      <c r="X1470" s="89"/>
      <c r="Y1470" s="89"/>
      <c r="Z1470" s="89"/>
      <c r="AA1470" s="89"/>
      <c r="AB1470" s="89"/>
      <c r="AC1470" s="89"/>
      <c r="AD1470" s="89"/>
      <c r="AE1470" s="89"/>
      <c r="AF1470" s="89"/>
      <c r="AG1470" s="89"/>
      <c r="AH1470" s="89"/>
      <c r="AI1470" s="89"/>
      <c r="AJ1470" s="89"/>
      <c r="AK1470" s="89"/>
      <c r="AL1470" s="2060"/>
      <c r="AM1470" s="2060"/>
      <c r="AN1470" s="2060"/>
      <c r="AO1470" s="2060"/>
      <c r="AP1470" s="2060"/>
      <c r="AQ1470" s="2060"/>
      <c r="AR1470" s="2060"/>
      <c r="AS1470" s="2060"/>
      <c r="AT1470" s="2060"/>
      <c r="AU1470" s="2060"/>
      <c r="AV1470" s="2060"/>
      <c r="AW1470" s="2060"/>
      <c r="AX1470" s="2060"/>
      <c r="AY1470" s="2060"/>
      <c r="AZ1470" s="2060"/>
      <c r="BA1470" s="2060"/>
      <c r="BB1470" s="2060"/>
      <c r="BC1470" s="2060"/>
      <c r="BD1470" s="2060"/>
      <c r="BE1470" s="2060"/>
      <c r="BF1470" s="2060"/>
      <c r="BG1470" s="2060"/>
      <c r="BH1470" s="2060"/>
      <c r="BI1470" s="2060"/>
      <c r="BJ1470" s="2060"/>
      <c r="BK1470" s="2060"/>
      <c r="BL1470" s="2060"/>
      <c r="BM1470" s="2060"/>
      <c r="BN1470" s="2060"/>
      <c r="BO1470" s="2060"/>
      <c r="BP1470" s="2060"/>
      <c r="BQ1470" s="2060"/>
      <c r="BR1470" s="2060"/>
      <c r="BS1470" s="2060"/>
      <c r="BT1470" s="2060"/>
      <c r="BU1470" s="2060"/>
      <c r="BV1470" s="2060"/>
      <c r="BW1470" s="2060"/>
      <c r="BX1470" s="2060"/>
      <c r="BY1470" s="2060"/>
      <c r="BZ1470" s="2060"/>
      <c r="CA1470" s="2060"/>
      <c r="CB1470" s="2060"/>
      <c r="CC1470" s="2060"/>
      <c r="CD1470" s="2060"/>
      <c r="CE1470" s="2060"/>
      <c r="CF1470" s="2060"/>
      <c r="CG1470" s="2060"/>
      <c r="CH1470" s="2060"/>
      <c r="CI1470" s="2060"/>
      <c r="CJ1470" s="2060"/>
      <c r="CK1470" s="2060"/>
      <c r="CL1470" s="2060"/>
      <c r="CM1470" s="2060"/>
      <c r="CN1470" s="2060"/>
      <c r="CO1470" s="2060"/>
      <c r="CP1470" s="2060"/>
      <c r="CQ1470" s="2060"/>
      <c r="CR1470" s="2060"/>
      <c r="CS1470" s="2060"/>
      <c r="CT1470" s="2060"/>
      <c r="CU1470" s="2060"/>
      <c r="CV1470" s="2060"/>
      <c r="CW1470" s="2060"/>
      <c r="CX1470" s="2060"/>
      <c r="CY1470" s="2060"/>
      <c r="CZ1470" s="2060"/>
      <c r="DA1470" s="2060"/>
      <c r="DB1470" s="2060"/>
      <c r="DC1470" s="2060"/>
      <c r="DD1470" s="2060"/>
      <c r="DE1470" s="2060"/>
      <c r="DF1470" s="2060"/>
      <c r="DG1470" s="2060"/>
      <c r="DH1470" s="2060"/>
      <c r="DI1470" s="2060"/>
      <c r="DJ1470" s="2060"/>
      <c r="DK1470" s="2060"/>
      <c r="DL1470" s="2060"/>
      <c r="DM1470" s="2060"/>
      <c r="DN1470" s="2060"/>
      <c r="DO1470" s="2060"/>
      <c r="DP1470" s="2060"/>
      <c r="DQ1470" s="2060"/>
      <c r="DR1470" s="2060"/>
      <c r="DS1470" s="2060"/>
      <c r="DT1470" s="2060"/>
      <c r="DU1470" s="2060"/>
      <c r="DV1470" s="2060"/>
      <c r="DW1470" s="2060"/>
      <c r="DX1470" s="2060"/>
      <c r="DY1470" s="2060"/>
      <c r="DZ1470" s="2060"/>
      <c r="EA1470" s="2060"/>
      <c r="EB1470" s="2060"/>
      <c r="EC1470" s="2060"/>
      <c r="ED1470" s="2060"/>
      <c r="EE1470" s="2060"/>
      <c r="EF1470" s="2060"/>
      <c r="EG1470" s="2060"/>
      <c r="EH1470" s="2060"/>
      <c r="EI1470" s="2060"/>
      <c r="EJ1470" s="2060"/>
      <c r="EK1470" s="2060"/>
      <c r="EL1470" s="2060"/>
      <c r="EM1470" s="2060"/>
      <c r="EN1470" s="2060"/>
      <c r="EO1470" s="2060"/>
      <c r="EP1470" s="2060"/>
      <c r="EQ1470" s="2060"/>
      <c r="ER1470" s="2060"/>
      <c r="ES1470" s="2060"/>
      <c r="ET1470" s="2060"/>
      <c r="EU1470" s="2060"/>
      <c r="EV1470" s="2060"/>
      <c r="EW1470" s="2060"/>
      <c r="EX1470" s="2060"/>
      <c r="EY1470" s="2060"/>
      <c r="EZ1470" s="2060"/>
      <c r="FA1470" s="2060"/>
      <c r="FB1470" s="2060"/>
      <c r="FC1470" s="2060"/>
      <c r="FD1470" s="2060"/>
      <c r="FE1470" s="2060"/>
      <c r="FF1470" s="2060"/>
      <c r="FG1470" s="2060"/>
      <c r="FH1470" s="2060"/>
      <c r="FI1470" s="2060"/>
      <c r="FJ1470" s="2060"/>
      <c r="FK1470" s="2060"/>
      <c r="FL1470" s="2060"/>
      <c r="FM1470" s="2060"/>
      <c r="FN1470" s="2060"/>
      <c r="FO1470" s="2060"/>
      <c r="FP1470" s="2060"/>
      <c r="FQ1470" s="2060"/>
      <c r="FR1470" s="2060"/>
      <c r="FS1470" s="2060"/>
      <c r="FT1470" s="2060"/>
      <c r="FU1470" s="2060"/>
      <c r="FV1470" s="2060"/>
      <c r="FW1470" s="2060"/>
      <c r="FX1470" s="2060"/>
      <c r="FY1470" s="2060"/>
      <c r="FZ1470" s="2060"/>
      <c r="GA1470" s="2060"/>
      <c r="GB1470" s="2060"/>
      <c r="GC1470" s="2060"/>
      <c r="GD1470" s="2060"/>
      <c r="GE1470" s="2060"/>
      <c r="GF1470" s="2060"/>
      <c r="GG1470" s="2060"/>
      <c r="GH1470" s="2060"/>
      <c r="GI1470" s="2060"/>
      <c r="GJ1470" s="2060"/>
      <c r="GK1470" s="2060"/>
      <c r="GL1470" s="2060"/>
      <c r="GM1470" s="2060"/>
      <c r="GN1470" s="2060"/>
      <c r="GO1470" s="2060"/>
      <c r="GP1470" s="2060"/>
      <c r="GQ1470" s="2060"/>
      <c r="GR1470" s="2060"/>
      <c r="GS1470" s="2060"/>
      <c r="GT1470" s="2060"/>
      <c r="GU1470" s="2060"/>
      <c r="GV1470" s="2060"/>
      <c r="GW1470" s="2060"/>
      <c r="GX1470" s="2060"/>
      <c r="GY1470" s="2060"/>
      <c r="GZ1470" s="2060"/>
      <c r="HA1470" s="2060"/>
      <c r="HB1470" s="2060"/>
      <c r="HC1470" s="2060"/>
      <c r="HD1470" s="2060"/>
      <c r="HE1470" s="2060"/>
      <c r="HF1470" s="2060"/>
      <c r="HG1470" s="2060"/>
      <c r="HH1470" s="2060"/>
      <c r="HI1470" s="2060"/>
      <c r="HJ1470" s="2060"/>
      <c r="HK1470" s="2060"/>
      <c r="HL1470" s="2060"/>
      <c r="HM1470" s="2060"/>
      <c r="HN1470" s="2060"/>
      <c r="HO1470" s="2060"/>
      <c r="HP1470" s="2060"/>
      <c r="HQ1470" s="2060"/>
      <c r="HR1470" s="2060"/>
      <c r="HS1470" s="2060"/>
      <c r="HT1470" s="2060"/>
      <c r="HU1470" s="2060"/>
      <c r="HV1470" s="2060"/>
      <c r="HW1470" s="2060"/>
      <c r="HX1470" s="2060"/>
      <c r="HY1470" s="2060"/>
      <c r="HZ1470" s="2060"/>
      <c r="IA1470" s="2060"/>
      <c r="IB1470" s="2060"/>
      <c r="IC1470" s="2060"/>
      <c r="ID1470" s="2060"/>
      <c r="IE1470" s="2060"/>
      <c r="IF1470" s="2060"/>
      <c r="IG1470" s="2060"/>
      <c r="IH1470" s="2060"/>
      <c r="II1470" s="2060"/>
      <c r="IJ1470" s="2060"/>
      <c r="IK1470" s="2060"/>
      <c r="IL1470" s="2060"/>
      <c r="IM1470" s="2060"/>
      <c r="IN1470" s="2060"/>
      <c r="IO1470" s="2060"/>
      <c r="IP1470" s="2060"/>
      <c r="IQ1470" s="2060"/>
      <c r="IR1470" s="2060"/>
      <c r="IS1470" s="2060"/>
      <c r="IT1470" s="2060"/>
      <c r="IU1470" s="2060"/>
      <c r="IV1470" s="2060"/>
      <c r="IW1470" s="2060"/>
      <c r="IX1470" s="2060"/>
      <c r="IY1470" s="2060"/>
      <c r="IZ1470" s="2060"/>
      <c r="JA1470" s="2060"/>
      <c r="JB1470" s="2060"/>
      <c r="JC1470" s="2060"/>
      <c r="JD1470" s="2060"/>
      <c r="JE1470" s="2060"/>
      <c r="JF1470" s="2060"/>
      <c r="JG1470" s="2060"/>
      <c r="JH1470" s="2060"/>
      <c r="JI1470" s="2060"/>
      <c r="JJ1470" s="2060"/>
      <c r="JK1470" s="2060"/>
      <c r="JL1470" s="2060"/>
      <c r="JM1470" s="2060"/>
      <c r="JN1470" s="2060"/>
      <c r="JO1470" s="2060"/>
      <c r="JP1470" s="2060"/>
      <c r="JQ1470" s="2060"/>
      <c r="JR1470" s="2060"/>
      <c r="JS1470" s="2060"/>
      <c r="JT1470" s="2060"/>
      <c r="JU1470" s="2060"/>
      <c r="JV1470" s="2060"/>
      <c r="JW1470" s="2060"/>
      <c r="JX1470" s="2060"/>
      <c r="JY1470" s="2060"/>
      <c r="JZ1470" s="2060"/>
      <c r="KA1470" s="2060"/>
      <c r="KB1470" s="2060"/>
      <c r="KC1470" s="2060"/>
      <c r="KD1470" s="2060"/>
      <c r="KE1470" s="2060"/>
      <c r="KF1470" s="2060"/>
      <c r="KG1470" s="2060"/>
      <c r="KH1470" s="2060"/>
      <c r="KI1470" s="2060"/>
      <c r="KJ1470" s="2060"/>
      <c r="KK1470" s="2060"/>
      <c r="KL1470" s="2060"/>
      <c r="KM1470" s="2060"/>
      <c r="KN1470" s="2060"/>
      <c r="KO1470" s="2060"/>
      <c r="KP1470" s="2060"/>
      <c r="KQ1470" s="2060"/>
      <c r="KR1470" s="2060"/>
      <c r="KS1470" s="2060"/>
      <c r="KT1470" s="2060"/>
      <c r="KU1470" s="2060"/>
      <c r="KV1470" s="2060"/>
      <c r="KW1470" s="2060"/>
      <c r="KX1470" s="2060"/>
      <c r="KY1470" s="2060"/>
      <c r="KZ1470" s="2060"/>
      <c r="LA1470" s="2060"/>
      <c r="LB1470" s="2060"/>
      <c r="LC1470" s="2060"/>
      <c r="LD1470" s="2060"/>
      <c r="LE1470" s="2060"/>
      <c r="LF1470" s="2060"/>
      <c r="LG1470" s="2060"/>
      <c r="LH1470" s="2060"/>
    </row>
    <row r="1471" spans="1:320" s="449" customFormat="1" ht="13.9">
      <c r="A1471" s="269" t="str">
        <f t="shared" si="406"/>
        <v>n</v>
      </c>
      <c r="B1471" s="2060"/>
      <c r="C1471" s="89"/>
      <c r="D1471" s="801"/>
      <c r="E1471" s="1505">
        <v>9</v>
      </c>
      <c r="F1471" s="21" t="str">
        <f>F$137</f>
        <v>--</v>
      </c>
      <c r="G1471" s="1441">
        <f>G$137</f>
        <v>0</v>
      </c>
      <c r="H1471" s="1441"/>
      <c r="I1471" s="1441"/>
      <c r="J1471" s="1441"/>
      <c r="K1471" s="2314" t="str">
        <f t="shared" si="405"/>
        <v>--</v>
      </c>
      <c r="L1471" s="2314" t="str">
        <f t="shared" si="405"/>
        <v>--</v>
      </c>
      <c r="M1471" s="2314" t="str">
        <f t="shared" si="405"/>
        <v>--</v>
      </c>
      <c r="N1471" s="2314" t="str">
        <f t="shared" si="405"/>
        <v>--</v>
      </c>
      <c r="O1471" s="2315" t="str">
        <f t="shared" si="405"/>
        <v>--</v>
      </c>
      <c r="P1471" s="2314" t="str">
        <f t="shared" si="405"/>
        <v>--</v>
      </c>
      <c r="Q1471" s="89"/>
      <c r="R1471" s="89"/>
      <c r="S1471" s="89"/>
      <c r="T1471" s="1513"/>
      <c r="U1471" s="89"/>
      <c r="V1471" s="89"/>
      <c r="W1471" s="89"/>
      <c r="X1471" s="89"/>
      <c r="Y1471" s="89"/>
      <c r="Z1471" s="89"/>
      <c r="AA1471" s="89"/>
      <c r="AB1471" s="89"/>
      <c r="AC1471" s="89"/>
      <c r="AD1471" s="89"/>
      <c r="AE1471" s="89"/>
      <c r="AF1471" s="89"/>
      <c r="AG1471" s="89"/>
      <c r="AH1471" s="89"/>
      <c r="AI1471" s="89"/>
      <c r="AJ1471" s="89"/>
      <c r="AK1471" s="89"/>
      <c r="AL1471" s="2060"/>
      <c r="AM1471" s="2060"/>
      <c r="AN1471" s="2060"/>
      <c r="AO1471" s="2060"/>
      <c r="AP1471" s="2060"/>
      <c r="AQ1471" s="2060"/>
      <c r="AR1471" s="2060"/>
      <c r="AS1471" s="2060"/>
      <c r="AT1471" s="2060"/>
      <c r="AU1471" s="2060"/>
      <c r="AV1471" s="2060"/>
      <c r="AW1471" s="2060"/>
      <c r="AX1471" s="2060"/>
      <c r="AY1471" s="2060"/>
      <c r="AZ1471" s="2060"/>
      <c r="BA1471" s="2060"/>
      <c r="BB1471" s="2060"/>
      <c r="BC1471" s="2060"/>
      <c r="BD1471" s="2060"/>
      <c r="BE1471" s="2060"/>
      <c r="BF1471" s="2060"/>
      <c r="BG1471" s="2060"/>
      <c r="BH1471" s="2060"/>
      <c r="BI1471" s="2060"/>
      <c r="BJ1471" s="2060"/>
      <c r="BK1471" s="2060"/>
      <c r="BL1471" s="2060"/>
      <c r="BM1471" s="2060"/>
      <c r="BN1471" s="2060"/>
      <c r="BO1471" s="2060"/>
      <c r="BP1471" s="2060"/>
      <c r="BQ1471" s="2060"/>
      <c r="BR1471" s="2060"/>
      <c r="BS1471" s="2060"/>
      <c r="BT1471" s="2060"/>
      <c r="BU1471" s="2060"/>
      <c r="BV1471" s="2060"/>
      <c r="BW1471" s="2060"/>
      <c r="BX1471" s="2060"/>
      <c r="BY1471" s="2060"/>
      <c r="BZ1471" s="2060"/>
      <c r="CA1471" s="2060"/>
      <c r="CB1471" s="2060"/>
      <c r="CC1471" s="2060"/>
      <c r="CD1471" s="2060"/>
      <c r="CE1471" s="2060"/>
      <c r="CF1471" s="2060"/>
      <c r="CG1471" s="2060"/>
      <c r="CH1471" s="2060"/>
      <c r="CI1471" s="2060"/>
      <c r="CJ1471" s="2060"/>
      <c r="CK1471" s="2060"/>
      <c r="CL1471" s="2060"/>
      <c r="CM1471" s="2060"/>
      <c r="CN1471" s="2060"/>
      <c r="CO1471" s="2060"/>
      <c r="CP1471" s="2060"/>
      <c r="CQ1471" s="2060"/>
      <c r="CR1471" s="2060"/>
      <c r="CS1471" s="2060"/>
      <c r="CT1471" s="2060"/>
      <c r="CU1471" s="2060"/>
      <c r="CV1471" s="2060"/>
      <c r="CW1471" s="2060"/>
      <c r="CX1471" s="2060"/>
      <c r="CY1471" s="2060"/>
      <c r="CZ1471" s="2060"/>
      <c r="DA1471" s="2060"/>
      <c r="DB1471" s="2060"/>
      <c r="DC1471" s="2060"/>
      <c r="DD1471" s="2060"/>
      <c r="DE1471" s="2060"/>
      <c r="DF1471" s="2060"/>
      <c r="DG1471" s="2060"/>
      <c r="DH1471" s="2060"/>
      <c r="DI1471" s="2060"/>
      <c r="DJ1471" s="2060"/>
      <c r="DK1471" s="2060"/>
      <c r="DL1471" s="2060"/>
      <c r="DM1471" s="2060"/>
      <c r="DN1471" s="2060"/>
      <c r="DO1471" s="2060"/>
      <c r="DP1471" s="2060"/>
      <c r="DQ1471" s="2060"/>
      <c r="DR1471" s="2060"/>
      <c r="DS1471" s="2060"/>
      <c r="DT1471" s="2060"/>
      <c r="DU1471" s="2060"/>
      <c r="DV1471" s="2060"/>
      <c r="DW1471" s="2060"/>
      <c r="DX1471" s="2060"/>
      <c r="DY1471" s="2060"/>
      <c r="DZ1471" s="2060"/>
      <c r="EA1471" s="2060"/>
      <c r="EB1471" s="2060"/>
      <c r="EC1471" s="2060"/>
      <c r="ED1471" s="2060"/>
      <c r="EE1471" s="2060"/>
      <c r="EF1471" s="2060"/>
      <c r="EG1471" s="2060"/>
      <c r="EH1471" s="2060"/>
      <c r="EI1471" s="2060"/>
      <c r="EJ1471" s="2060"/>
      <c r="EK1471" s="2060"/>
      <c r="EL1471" s="2060"/>
      <c r="EM1471" s="2060"/>
      <c r="EN1471" s="2060"/>
      <c r="EO1471" s="2060"/>
      <c r="EP1471" s="2060"/>
      <c r="EQ1471" s="2060"/>
      <c r="ER1471" s="2060"/>
      <c r="ES1471" s="2060"/>
      <c r="ET1471" s="2060"/>
      <c r="EU1471" s="2060"/>
      <c r="EV1471" s="2060"/>
      <c r="EW1471" s="2060"/>
      <c r="EX1471" s="2060"/>
      <c r="EY1471" s="2060"/>
      <c r="EZ1471" s="2060"/>
      <c r="FA1471" s="2060"/>
      <c r="FB1471" s="2060"/>
      <c r="FC1471" s="2060"/>
      <c r="FD1471" s="2060"/>
      <c r="FE1471" s="2060"/>
      <c r="FF1471" s="2060"/>
      <c r="FG1471" s="2060"/>
      <c r="FH1471" s="2060"/>
      <c r="FI1471" s="2060"/>
      <c r="FJ1471" s="2060"/>
      <c r="FK1471" s="2060"/>
      <c r="FL1471" s="2060"/>
      <c r="FM1471" s="2060"/>
      <c r="FN1471" s="2060"/>
      <c r="FO1471" s="2060"/>
      <c r="FP1471" s="2060"/>
      <c r="FQ1471" s="2060"/>
      <c r="FR1471" s="2060"/>
      <c r="FS1471" s="2060"/>
      <c r="FT1471" s="2060"/>
      <c r="FU1471" s="2060"/>
      <c r="FV1471" s="2060"/>
      <c r="FW1471" s="2060"/>
      <c r="FX1471" s="2060"/>
      <c r="FY1471" s="2060"/>
      <c r="FZ1471" s="2060"/>
      <c r="GA1471" s="2060"/>
      <c r="GB1471" s="2060"/>
      <c r="GC1471" s="2060"/>
      <c r="GD1471" s="2060"/>
      <c r="GE1471" s="2060"/>
      <c r="GF1471" s="2060"/>
      <c r="GG1471" s="2060"/>
      <c r="GH1471" s="2060"/>
      <c r="GI1471" s="2060"/>
      <c r="GJ1471" s="2060"/>
      <c r="GK1471" s="2060"/>
      <c r="GL1471" s="2060"/>
      <c r="GM1471" s="2060"/>
      <c r="GN1471" s="2060"/>
      <c r="GO1471" s="2060"/>
      <c r="GP1471" s="2060"/>
      <c r="GQ1471" s="2060"/>
      <c r="GR1471" s="2060"/>
      <c r="GS1471" s="2060"/>
      <c r="GT1471" s="2060"/>
      <c r="GU1471" s="2060"/>
      <c r="GV1471" s="2060"/>
      <c r="GW1471" s="2060"/>
      <c r="GX1471" s="2060"/>
      <c r="GY1471" s="2060"/>
      <c r="GZ1471" s="2060"/>
      <c r="HA1471" s="2060"/>
      <c r="HB1471" s="2060"/>
      <c r="HC1471" s="2060"/>
      <c r="HD1471" s="2060"/>
      <c r="HE1471" s="2060"/>
      <c r="HF1471" s="2060"/>
      <c r="HG1471" s="2060"/>
      <c r="HH1471" s="2060"/>
      <c r="HI1471" s="2060"/>
      <c r="HJ1471" s="2060"/>
      <c r="HK1471" s="2060"/>
      <c r="HL1471" s="2060"/>
      <c r="HM1471" s="2060"/>
      <c r="HN1471" s="2060"/>
      <c r="HO1471" s="2060"/>
      <c r="HP1471" s="2060"/>
      <c r="HQ1471" s="2060"/>
      <c r="HR1471" s="2060"/>
      <c r="HS1471" s="2060"/>
      <c r="HT1471" s="2060"/>
      <c r="HU1471" s="2060"/>
      <c r="HV1471" s="2060"/>
      <c r="HW1471" s="2060"/>
      <c r="HX1471" s="2060"/>
      <c r="HY1471" s="2060"/>
      <c r="HZ1471" s="2060"/>
      <c r="IA1471" s="2060"/>
      <c r="IB1471" s="2060"/>
      <c r="IC1471" s="2060"/>
      <c r="ID1471" s="2060"/>
      <c r="IE1471" s="2060"/>
      <c r="IF1471" s="2060"/>
      <c r="IG1471" s="2060"/>
      <c r="IH1471" s="2060"/>
      <c r="II1471" s="2060"/>
      <c r="IJ1471" s="2060"/>
      <c r="IK1471" s="2060"/>
      <c r="IL1471" s="2060"/>
      <c r="IM1471" s="2060"/>
      <c r="IN1471" s="2060"/>
      <c r="IO1471" s="2060"/>
      <c r="IP1471" s="2060"/>
      <c r="IQ1471" s="2060"/>
      <c r="IR1471" s="2060"/>
      <c r="IS1471" s="2060"/>
      <c r="IT1471" s="2060"/>
      <c r="IU1471" s="2060"/>
      <c r="IV1471" s="2060"/>
      <c r="IW1471" s="2060"/>
      <c r="IX1471" s="2060"/>
      <c r="IY1471" s="2060"/>
      <c r="IZ1471" s="2060"/>
      <c r="JA1471" s="2060"/>
      <c r="JB1471" s="2060"/>
      <c r="JC1471" s="2060"/>
      <c r="JD1471" s="2060"/>
      <c r="JE1471" s="2060"/>
      <c r="JF1471" s="2060"/>
      <c r="JG1471" s="2060"/>
      <c r="JH1471" s="2060"/>
      <c r="JI1471" s="2060"/>
      <c r="JJ1471" s="2060"/>
      <c r="JK1471" s="2060"/>
      <c r="JL1471" s="2060"/>
      <c r="JM1471" s="2060"/>
      <c r="JN1471" s="2060"/>
      <c r="JO1471" s="2060"/>
      <c r="JP1471" s="2060"/>
      <c r="JQ1471" s="2060"/>
      <c r="JR1471" s="2060"/>
      <c r="JS1471" s="2060"/>
      <c r="JT1471" s="2060"/>
      <c r="JU1471" s="2060"/>
      <c r="JV1471" s="2060"/>
      <c r="JW1471" s="2060"/>
      <c r="JX1471" s="2060"/>
      <c r="JY1471" s="2060"/>
      <c r="JZ1471" s="2060"/>
      <c r="KA1471" s="2060"/>
      <c r="KB1471" s="2060"/>
      <c r="KC1471" s="2060"/>
      <c r="KD1471" s="2060"/>
      <c r="KE1471" s="2060"/>
      <c r="KF1471" s="2060"/>
      <c r="KG1471" s="2060"/>
      <c r="KH1471" s="2060"/>
      <c r="KI1471" s="2060"/>
      <c r="KJ1471" s="2060"/>
      <c r="KK1471" s="2060"/>
      <c r="KL1471" s="2060"/>
      <c r="KM1471" s="2060"/>
      <c r="KN1471" s="2060"/>
      <c r="KO1471" s="2060"/>
      <c r="KP1471" s="2060"/>
      <c r="KQ1471" s="2060"/>
      <c r="KR1471" s="2060"/>
      <c r="KS1471" s="2060"/>
      <c r="KT1471" s="2060"/>
      <c r="KU1471" s="2060"/>
      <c r="KV1471" s="2060"/>
      <c r="KW1471" s="2060"/>
      <c r="KX1471" s="2060"/>
      <c r="KY1471" s="2060"/>
      <c r="KZ1471" s="2060"/>
      <c r="LA1471" s="2060"/>
      <c r="LB1471" s="2060"/>
      <c r="LC1471" s="2060"/>
      <c r="LD1471" s="2060"/>
      <c r="LE1471" s="2060"/>
      <c r="LF1471" s="2060"/>
      <c r="LG1471" s="2060"/>
      <c r="LH1471" s="2060"/>
    </row>
    <row r="1472" spans="1:320" s="449" customFormat="1" ht="13.9">
      <c r="A1472" s="269" t="str">
        <f t="shared" si="406"/>
        <v>n</v>
      </c>
      <c r="B1472" s="2060"/>
      <c r="C1472" s="89"/>
      <c r="D1472" s="801"/>
      <c r="E1472" s="1505">
        <v>10</v>
      </c>
      <c r="F1472" s="21" t="str">
        <f>F$138</f>
        <v>--</v>
      </c>
      <c r="G1472" s="1441">
        <f>G$138</f>
        <v>0</v>
      </c>
      <c r="H1472" s="1441"/>
      <c r="I1472" s="1441"/>
      <c r="J1472" s="1441"/>
      <c r="K1472" s="2314" t="str">
        <f t="shared" si="405"/>
        <v>--</v>
      </c>
      <c r="L1472" s="2314" t="str">
        <f t="shared" si="405"/>
        <v>--</v>
      </c>
      <c r="M1472" s="2314" t="str">
        <f t="shared" si="405"/>
        <v>--</v>
      </c>
      <c r="N1472" s="2314" t="str">
        <f t="shared" si="405"/>
        <v>--</v>
      </c>
      <c r="O1472" s="2315" t="str">
        <f t="shared" si="405"/>
        <v>--</v>
      </c>
      <c r="P1472" s="2314" t="str">
        <f t="shared" si="405"/>
        <v>--</v>
      </c>
      <c r="Q1472" s="89"/>
      <c r="R1472" s="89"/>
      <c r="S1472" s="89"/>
      <c r="T1472" s="1513"/>
      <c r="U1472" s="89"/>
      <c r="V1472" s="89"/>
      <c r="W1472" s="89"/>
      <c r="X1472" s="89"/>
      <c r="Y1472" s="89"/>
      <c r="Z1472" s="89"/>
      <c r="AA1472" s="89"/>
      <c r="AB1472" s="89"/>
      <c r="AC1472" s="89"/>
      <c r="AD1472" s="89"/>
      <c r="AE1472" s="89"/>
      <c r="AF1472" s="89"/>
      <c r="AG1472" s="89"/>
      <c r="AH1472" s="89"/>
      <c r="AI1472" s="89"/>
      <c r="AJ1472" s="89"/>
      <c r="AK1472" s="89"/>
      <c r="AL1472" s="2060"/>
      <c r="AM1472" s="2060"/>
      <c r="AN1472" s="2060"/>
      <c r="AO1472" s="2060"/>
      <c r="AP1472" s="2060"/>
      <c r="AQ1472" s="2060"/>
      <c r="AR1472" s="2060"/>
      <c r="AS1472" s="2060"/>
      <c r="AT1472" s="2060"/>
      <c r="AU1472" s="2060"/>
      <c r="AV1472" s="2060"/>
      <c r="AW1472" s="2060"/>
      <c r="AX1472" s="2060"/>
      <c r="AY1472" s="2060"/>
      <c r="AZ1472" s="2060"/>
      <c r="BA1472" s="2060"/>
      <c r="BB1472" s="2060"/>
      <c r="BC1472" s="2060"/>
      <c r="BD1472" s="2060"/>
      <c r="BE1472" s="2060"/>
      <c r="BF1472" s="2060"/>
      <c r="BG1472" s="2060"/>
      <c r="BH1472" s="2060"/>
      <c r="BI1472" s="2060"/>
      <c r="BJ1472" s="2060"/>
      <c r="BK1472" s="2060"/>
      <c r="BL1472" s="2060"/>
      <c r="BM1472" s="2060"/>
      <c r="BN1472" s="2060"/>
      <c r="BO1472" s="2060"/>
      <c r="BP1472" s="2060"/>
      <c r="BQ1472" s="2060"/>
      <c r="BR1472" s="2060"/>
      <c r="BS1472" s="2060"/>
      <c r="BT1472" s="2060"/>
      <c r="BU1472" s="2060"/>
      <c r="BV1472" s="2060"/>
      <c r="BW1472" s="2060"/>
      <c r="BX1472" s="2060"/>
      <c r="BY1472" s="2060"/>
      <c r="BZ1472" s="2060"/>
      <c r="CA1472" s="2060"/>
      <c r="CB1472" s="2060"/>
      <c r="CC1472" s="2060"/>
      <c r="CD1472" s="2060"/>
      <c r="CE1472" s="2060"/>
      <c r="CF1472" s="2060"/>
      <c r="CG1472" s="2060"/>
      <c r="CH1472" s="2060"/>
      <c r="CI1472" s="2060"/>
      <c r="CJ1472" s="2060"/>
      <c r="CK1472" s="2060"/>
      <c r="CL1472" s="2060"/>
      <c r="CM1472" s="2060"/>
      <c r="CN1472" s="2060"/>
      <c r="CO1472" s="2060"/>
      <c r="CP1472" s="2060"/>
      <c r="CQ1472" s="2060"/>
      <c r="CR1472" s="2060"/>
      <c r="CS1472" s="2060"/>
      <c r="CT1472" s="2060"/>
      <c r="CU1472" s="2060"/>
      <c r="CV1472" s="2060"/>
      <c r="CW1472" s="2060"/>
      <c r="CX1472" s="2060"/>
      <c r="CY1472" s="2060"/>
      <c r="CZ1472" s="2060"/>
      <c r="DA1472" s="2060"/>
      <c r="DB1472" s="2060"/>
      <c r="DC1472" s="2060"/>
      <c r="DD1472" s="2060"/>
      <c r="DE1472" s="2060"/>
      <c r="DF1472" s="2060"/>
      <c r="DG1472" s="2060"/>
      <c r="DH1472" s="2060"/>
      <c r="DI1472" s="2060"/>
      <c r="DJ1472" s="2060"/>
      <c r="DK1472" s="2060"/>
      <c r="DL1472" s="2060"/>
      <c r="DM1472" s="2060"/>
      <c r="DN1472" s="2060"/>
      <c r="DO1472" s="2060"/>
      <c r="DP1472" s="2060"/>
      <c r="DQ1472" s="2060"/>
      <c r="DR1472" s="2060"/>
      <c r="DS1472" s="2060"/>
      <c r="DT1472" s="2060"/>
      <c r="DU1472" s="2060"/>
      <c r="DV1472" s="2060"/>
      <c r="DW1472" s="2060"/>
      <c r="DX1472" s="2060"/>
      <c r="DY1472" s="2060"/>
      <c r="DZ1472" s="2060"/>
      <c r="EA1472" s="2060"/>
      <c r="EB1472" s="2060"/>
      <c r="EC1472" s="2060"/>
      <c r="ED1472" s="2060"/>
      <c r="EE1472" s="2060"/>
      <c r="EF1472" s="2060"/>
      <c r="EG1472" s="2060"/>
      <c r="EH1472" s="2060"/>
      <c r="EI1472" s="2060"/>
      <c r="EJ1472" s="2060"/>
      <c r="EK1472" s="2060"/>
      <c r="EL1472" s="2060"/>
      <c r="EM1472" s="2060"/>
      <c r="EN1472" s="2060"/>
      <c r="EO1472" s="2060"/>
      <c r="EP1472" s="2060"/>
      <c r="EQ1472" s="2060"/>
      <c r="ER1472" s="2060"/>
      <c r="ES1472" s="2060"/>
      <c r="ET1472" s="2060"/>
      <c r="EU1472" s="2060"/>
      <c r="EV1472" s="2060"/>
      <c r="EW1472" s="2060"/>
      <c r="EX1472" s="2060"/>
      <c r="EY1472" s="2060"/>
      <c r="EZ1472" s="2060"/>
      <c r="FA1472" s="2060"/>
      <c r="FB1472" s="2060"/>
      <c r="FC1472" s="2060"/>
      <c r="FD1472" s="2060"/>
      <c r="FE1472" s="2060"/>
      <c r="FF1472" s="2060"/>
      <c r="FG1472" s="2060"/>
      <c r="FH1472" s="2060"/>
      <c r="FI1472" s="2060"/>
      <c r="FJ1472" s="2060"/>
      <c r="FK1472" s="2060"/>
      <c r="FL1472" s="2060"/>
      <c r="FM1472" s="2060"/>
      <c r="FN1472" s="2060"/>
      <c r="FO1472" s="2060"/>
      <c r="FP1472" s="2060"/>
      <c r="FQ1472" s="2060"/>
      <c r="FR1472" s="2060"/>
      <c r="FS1472" s="2060"/>
      <c r="FT1472" s="2060"/>
      <c r="FU1472" s="2060"/>
      <c r="FV1472" s="2060"/>
      <c r="FW1472" s="2060"/>
      <c r="FX1472" s="2060"/>
      <c r="FY1472" s="2060"/>
      <c r="FZ1472" s="2060"/>
      <c r="GA1472" s="2060"/>
      <c r="GB1472" s="2060"/>
      <c r="GC1472" s="2060"/>
      <c r="GD1472" s="2060"/>
      <c r="GE1472" s="2060"/>
      <c r="GF1472" s="2060"/>
      <c r="GG1472" s="2060"/>
      <c r="GH1472" s="2060"/>
      <c r="GI1472" s="2060"/>
      <c r="GJ1472" s="2060"/>
      <c r="GK1472" s="2060"/>
      <c r="GL1472" s="2060"/>
      <c r="GM1472" s="2060"/>
      <c r="GN1472" s="2060"/>
      <c r="GO1472" s="2060"/>
      <c r="GP1472" s="2060"/>
      <c r="GQ1472" s="2060"/>
      <c r="GR1472" s="2060"/>
      <c r="GS1472" s="2060"/>
      <c r="GT1472" s="2060"/>
      <c r="GU1472" s="2060"/>
      <c r="GV1472" s="2060"/>
      <c r="GW1472" s="2060"/>
      <c r="GX1472" s="2060"/>
      <c r="GY1472" s="2060"/>
      <c r="GZ1472" s="2060"/>
      <c r="HA1472" s="2060"/>
      <c r="HB1472" s="2060"/>
      <c r="HC1472" s="2060"/>
      <c r="HD1472" s="2060"/>
      <c r="HE1472" s="2060"/>
      <c r="HF1472" s="2060"/>
      <c r="HG1472" s="2060"/>
      <c r="HH1472" s="2060"/>
      <c r="HI1472" s="2060"/>
      <c r="HJ1472" s="2060"/>
      <c r="HK1472" s="2060"/>
      <c r="HL1472" s="2060"/>
      <c r="HM1472" s="2060"/>
      <c r="HN1472" s="2060"/>
      <c r="HO1472" s="2060"/>
      <c r="HP1472" s="2060"/>
      <c r="HQ1472" s="2060"/>
      <c r="HR1472" s="2060"/>
      <c r="HS1472" s="2060"/>
      <c r="HT1472" s="2060"/>
      <c r="HU1472" s="2060"/>
      <c r="HV1472" s="2060"/>
      <c r="HW1472" s="2060"/>
      <c r="HX1472" s="2060"/>
      <c r="HY1472" s="2060"/>
      <c r="HZ1472" s="2060"/>
      <c r="IA1472" s="2060"/>
      <c r="IB1472" s="2060"/>
      <c r="IC1472" s="2060"/>
      <c r="ID1472" s="2060"/>
      <c r="IE1472" s="2060"/>
      <c r="IF1472" s="2060"/>
      <c r="IG1472" s="2060"/>
      <c r="IH1472" s="2060"/>
      <c r="II1472" s="2060"/>
      <c r="IJ1472" s="2060"/>
      <c r="IK1472" s="2060"/>
      <c r="IL1472" s="2060"/>
      <c r="IM1472" s="2060"/>
      <c r="IN1472" s="2060"/>
      <c r="IO1472" s="2060"/>
      <c r="IP1472" s="2060"/>
      <c r="IQ1472" s="2060"/>
      <c r="IR1472" s="2060"/>
      <c r="IS1472" s="2060"/>
      <c r="IT1472" s="2060"/>
      <c r="IU1472" s="2060"/>
      <c r="IV1472" s="2060"/>
      <c r="IW1472" s="2060"/>
      <c r="IX1472" s="2060"/>
      <c r="IY1472" s="2060"/>
      <c r="IZ1472" s="2060"/>
      <c r="JA1472" s="2060"/>
      <c r="JB1472" s="2060"/>
      <c r="JC1472" s="2060"/>
      <c r="JD1472" s="2060"/>
      <c r="JE1472" s="2060"/>
      <c r="JF1472" s="2060"/>
      <c r="JG1472" s="2060"/>
      <c r="JH1472" s="2060"/>
      <c r="JI1472" s="2060"/>
      <c r="JJ1472" s="2060"/>
      <c r="JK1472" s="2060"/>
      <c r="JL1472" s="2060"/>
      <c r="JM1472" s="2060"/>
      <c r="JN1472" s="2060"/>
      <c r="JO1472" s="2060"/>
      <c r="JP1472" s="2060"/>
      <c r="JQ1472" s="2060"/>
      <c r="JR1472" s="2060"/>
      <c r="JS1472" s="2060"/>
      <c r="JT1472" s="2060"/>
      <c r="JU1472" s="2060"/>
      <c r="JV1472" s="2060"/>
      <c r="JW1472" s="2060"/>
      <c r="JX1472" s="2060"/>
      <c r="JY1472" s="2060"/>
      <c r="JZ1472" s="2060"/>
      <c r="KA1472" s="2060"/>
      <c r="KB1472" s="2060"/>
      <c r="KC1472" s="2060"/>
      <c r="KD1472" s="2060"/>
      <c r="KE1472" s="2060"/>
      <c r="KF1472" s="2060"/>
      <c r="KG1472" s="2060"/>
      <c r="KH1472" s="2060"/>
      <c r="KI1472" s="2060"/>
      <c r="KJ1472" s="2060"/>
      <c r="KK1472" s="2060"/>
      <c r="KL1472" s="2060"/>
      <c r="KM1472" s="2060"/>
      <c r="KN1472" s="2060"/>
      <c r="KO1472" s="2060"/>
      <c r="KP1472" s="2060"/>
      <c r="KQ1472" s="2060"/>
      <c r="KR1472" s="2060"/>
      <c r="KS1472" s="2060"/>
      <c r="KT1472" s="2060"/>
      <c r="KU1472" s="2060"/>
      <c r="KV1472" s="2060"/>
      <c r="KW1472" s="2060"/>
      <c r="KX1472" s="2060"/>
      <c r="KY1472" s="2060"/>
      <c r="KZ1472" s="2060"/>
      <c r="LA1472" s="2060"/>
      <c r="LB1472" s="2060"/>
      <c r="LC1472" s="2060"/>
      <c r="LD1472" s="2060"/>
      <c r="LE1472" s="2060"/>
      <c r="LF1472" s="2060"/>
      <c r="LG1472" s="2060"/>
      <c r="LH1472" s="2060"/>
    </row>
    <row r="1473" spans="1:320" s="449" customFormat="1" ht="13.9">
      <c r="A1473" s="269" t="str">
        <f t="shared" si="406"/>
        <v>n</v>
      </c>
      <c r="B1473" s="2060"/>
      <c r="C1473" s="89"/>
      <c r="D1473" s="801"/>
      <c r="E1473" s="1505">
        <v>11</v>
      </c>
      <c r="F1473" s="21" t="str">
        <f>F$139</f>
        <v>--</v>
      </c>
      <c r="G1473" s="1441">
        <f>G$139</f>
        <v>0</v>
      </c>
      <c r="H1473" s="1441"/>
      <c r="I1473" s="1441"/>
      <c r="J1473" s="1441"/>
      <c r="K1473" s="2314" t="str">
        <f t="shared" si="405"/>
        <v>--</v>
      </c>
      <c r="L1473" s="2314" t="str">
        <f t="shared" si="405"/>
        <v>--</v>
      </c>
      <c r="M1473" s="2314" t="str">
        <f t="shared" si="405"/>
        <v>--</v>
      </c>
      <c r="N1473" s="2314" t="str">
        <f t="shared" si="405"/>
        <v>--</v>
      </c>
      <c r="O1473" s="2315" t="str">
        <f t="shared" si="405"/>
        <v>--</v>
      </c>
      <c r="P1473" s="2314" t="str">
        <f t="shared" si="405"/>
        <v>--</v>
      </c>
      <c r="Q1473" s="89"/>
      <c r="R1473" s="1466"/>
      <c r="S1473" s="89"/>
      <c r="T1473" s="53"/>
      <c r="U1473" s="89"/>
      <c r="V1473" s="89"/>
      <c r="W1473" s="89"/>
      <c r="X1473" s="89"/>
      <c r="Y1473" s="89"/>
      <c r="Z1473" s="89"/>
      <c r="AA1473" s="89"/>
      <c r="AB1473" s="89"/>
      <c r="AC1473" s="89"/>
      <c r="AD1473" s="89"/>
      <c r="AE1473" s="89"/>
      <c r="AF1473" s="89"/>
      <c r="AG1473" s="89"/>
      <c r="AH1473" s="2060"/>
      <c r="AI1473" s="2060"/>
      <c r="AJ1473" s="2060"/>
      <c r="AK1473" s="2060"/>
      <c r="AL1473" s="2060"/>
      <c r="AM1473" s="2060"/>
      <c r="AN1473" s="2060"/>
      <c r="AO1473" s="2060"/>
      <c r="AP1473" s="2060"/>
      <c r="AQ1473" s="2060"/>
      <c r="AR1473" s="2060"/>
      <c r="AS1473" s="2060"/>
      <c r="AT1473" s="2060"/>
      <c r="AU1473" s="2060"/>
      <c r="AV1473" s="2060"/>
      <c r="AW1473" s="2060"/>
      <c r="AX1473" s="2060"/>
      <c r="AY1473" s="2060"/>
      <c r="AZ1473" s="2060"/>
      <c r="BA1473" s="2060"/>
      <c r="BB1473" s="2060"/>
      <c r="BC1473" s="2060"/>
      <c r="BD1473" s="2060"/>
      <c r="BE1473" s="2060"/>
      <c r="BF1473" s="2060"/>
      <c r="BG1473" s="2060"/>
      <c r="BH1473" s="2060"/>
      <c r="BI1473" s="2060"/>
      <c r="BJ1473" s="2060"/>
      <c r="BK1473" s="2060"/>
      <c r="BL1473" s="2060"/>
      <c r="BM1473" s="2060"/>
      <c r="BN1473" s="2060"/>
      <c r="BO1473" s="2060"/>
      <c r="BP1473" s="2060"/>
      <c r="BQ1473" s="2060"/>
      <c r="BR1473" s="2060"/>
      <c r="BS1473" s="2060"/>
      <c r="BT1473" s="2060"/>
      <c r="BU1473" s="2060"/>
      <c r="BV1473" s="2060"/>
      <c r="BW1473" s="2060"/>
      <c r="BX1473" s="2060"/>
      <c r="BY1473" s="2060"/>
      <c r="BZ1473" s="2060"/>
      <c r="CA1473" s="2060"/>
      <c r="CB1473" s="2060"/>
      <c r="CC1473" s="2060"/>
      <c r="CD1473" s="2060"/>
      <c r="CE1473" s="2060"/>
      <c r="CF1473" s="2060"/>
      <c r="CG1473" s="2060"/>
      <c r="CH1473" s="2060"/>
      <c r="CI1473" s="2060"/>
      <c r="CJ1473" s="2060"/>
      <c r="CK1473" s="2060"/>
      <c r="CL1473" s="2060"/>
      <c r="CM1473" s="2060"/>
      <c r="CN1473" s="2060"/>
      <c r="CO1473" s="2060"/>
      <c r="CP1473" s="2060"/>
      <c r="CQ1473" s="2060"/>
      <c r="CR1473" s="2060"/>
      <c r="CS1473" s="2060"/>
      <c r="CT1473" s="2060"/>
      <c r="CU1473" s="2060"/>
      <c r="CV1473" s="2060"/>
      <c r="CW1473" s="2060"/>
      <c r="CX1473" s="2060"/>
      <c r="CY1473" s="2060"/>
      <c r="CZ1473" s="2060"/>
      <c r="DA1473" s="2060"/>
      <c r="DB1473" s="2060"/>
      <c r="DC1473" s="2060"/>
      <c r="DD1473" s="2060"/>
      <c r="DE1473" s="2060"/>
      <c r="DF1473" s="2060"/>
      <c r="DG1473" s="2060"/>
      <c r="DH1473" s="2060"/>
      <c r="DI1473" s="2060"/>
      <c r="DJ1473" s="2060"/>
      <c r="DK1473" s="2060"/>
      <c r="DL1473" s="2060"/>
      <c r="DM1473" s="2060"/>
      <c r="DN1473" s="2060"/>
      <c r="DO1473" s="2060"/>
      <c r="DP1473" s="2060"/>
      <c r="DQ1473" s="2060"/>
      <c r="DR1473" s="2060"/>
      <c r="DS1473" s="2060"/>
      <c r="DT1473" s="2060"/>
      <c r="DU1473" s="2060"/>
      <c r="DV1473" s="2060"/>
      <c r="DW1473" s="2060"/>
      <c r="DX1473" s="2060"/>
      <c r="DY1473" s="2060"/>
      <c r="DZ1473" s="2060"/>
      <c r="EA1473" s="2060"/>
      <c r="EB1473" s="2060"/>
      <c r="EC1473" s="2060"/>
      <c r="ED1473" s="2060"/>
      <c r="EE1473" s="2060"/>
      <c r="EF1473" s="2060"/>
      <c r="EG1473" s="2060"/>
      <c r="EH1473" s="2060"/>
      <c r="EI1473" s="2060"/>
      <c r="EJ1473" s="2060"/>
      <c r="EK1473" s="2060"/>
      <c r="EL1473" s="2060"/>
      <c r="EM1473" s="2060"/>
      <c r="EN1473" s="2060"/>
      <c r="EO1473" s="2060"/>
      <c r="EP1473" s="2060"/>
      <c r="EQ1473" s="2060"/>
      <c r="ER1473" s="2060"/>
      <c r="ES1473" s="2060"/>
      <c r="ET1473" s="2060"/>
      <c r="EU1473" s="2060"/>
      <c r="EV1473" s="2060"/>
      <c r="EW1473" s="2060"/>
      <c r="EX1473" s="2060"/>
      <c r="EY1473" s="2060"/>
      <c r="EZ1473" s="2060"/>
      <c r="FA1473" s="2060"/>
      <c r="FB1473" s="2060"/>
      <c r="FC1473" s="2060"/>
      <c r="FD1473" s="2060"/>
      <c r="FE1473" s="2060"/>
      <c r="FF1473" s="2060"/>
      <c r="FG1473" s="2060"/>
      <c r="FH1473" s="2060"/>
      <c r="FI1473" s="2060"/>
      <c r="FJ1473" s="2060"/>
      <c r="FK1473" s="2060"/>
      <c r="FL1473" s="2060"/>
      <c r="FM1473" s="2060"/>
      <c r="FN1473" s="2060"/>
      <c r="FO1473" s="2060"/>
      <c r="FP1473" s="2060"/>
      <c r="FQ1473" s="2060"/>
      <c r="FR1473" s="2060"/>
      <c r="FS1473" s="2060"/>
      <c r="FT1473" s="2060"/>
      <c r="FU1473" s="2060"/>
      <c r="FV1473" s="2060"/>
      <c r="FW1473" s="2060"/>
      <c r="FX1473" s="2060"/>
      <c r="FY1473" s="2060"/>
      <c r="FZ1473" s="2060"/>
      <c r="GA1473" s="2060"/>
      <c r="GB1473" s="2060"/>
      <c r="GC1473" s="2060"/>
      <c r="GD1473" s="2060"/>
      <c r="GE1473" s="2060"/>
      <c r="GF1473" s="2060"/>
      <c r="GG1473" s="2060"/>
      <c r="GH1473" s="2060"/>
      <c r="GI1473" s="2060"/>
      <c r="GJ1473" s="2060"/>
      <c r="GK1473" s="2060"/>
      <c r="GL1473" s="2060"/>
      <c r="GM1473" s="2060"/>
      <c r="GN1473" s="2060"/>
      <c r="GO1473" s="2060"/>
      <c r="GP1473" s="2060"/>
      <c r="GQ1473" s="2060"/>
      <c r="GR1473" s="2060"/>
      <c r="GS1473" s="2060"/>
      <c r="GT1473" s="2060"/>
      <c r="GU1473" s="2060"/>
      <c r="GV1473" s="2060"/>
      <c r="GW1473" s="2060"/>
      <c r="GX1473" s="2060"/>
      <c r="GY1473" s="2060"/>
      <c r="GZ1473" s="2060"/>
      <c r="HA1473" s="2060"/>
      <c r="HB1473" s="2060"/>
      <c r="HC1473" s="2060"/>
      <c r="HD1473" s="2060"/>
      <c r="HE1473" s="2060"/>
      <c r="HF1473" s="2060"/>
      <c r="HG1473" s="2060"/>
      <c r="HH1473" s="2060"/>
      <c r="HI1473" s="2060"/>
      <c r="HJ1473" s="2060"/>
      <c r="HK1473" s="2060"/>
      <c r="HL1473" s="2060"/>
      <c r="HM1473" s="2060"/>
      <c r="HN1473" s="2060"/>
      <c r="HO1473" s="2060"/>
      <c r="HP1473" s="2060"/>
      <c r="HQ1473" s="2060"/>
      <c r="HR1473" s="2060"/>
      <c r="HS1473" s="2060"/>
      <c r="HT1473" s="2060"/>
      <c r="HU1473" s="2060"/>
      <c r="HV1473" s="2060"/>
      <c r="HW1473" s="2060"/>
      <c r="HX1473" s="2060"/>
      <c r="HY1473" s="2060"/>
      <c r="HZ1473" s="2060"/>
      <c r="IA1473" s="2060"/>
      <c r="IB1473" s="2060"/>
      <c r="IC1473" s="2060"/>
      <c r="ID1473" s="2060"/>
      <c r="IE1473" s="2060"/>
      <c r="IF1473" s="2060"/>
      <c r="IG1473" s="2060"/>
      <c r="IH1473" s="2060"/>
      <c r="II1473" s="2060"/>
      <c r="IJ1473" s="2060"/>
      <c r="IK1473" s="2060"/>
      <c r="IL1473" s="2060"/>
      <c r="IM1473" s="2060"/>
      <c r="IN1473" s="2060"/>
      <c r="IO1473" s="2060"/>
      <c r="IP1473" s="2060"/>
      <c r="IQ1473" s="2060"/>
      <c r="IR1473" s="2060"/>
      <c r="IS1473" s="2060"/>
      <c r="IT1473" s="2060"/>
      <c r="IU1473" s="2060"/>
      <c r="IV1473" s="2060"/>
      <c r="IW1473" s="2060"/>
      <c r="IX1473" s="2060"/>
      <c r="IY1473" s="2060"/>
      <c r="IZ1473" s="2060"/>
      <c r="JA1473" s="2060"/>
      <c r="JB1473" s="2060"/>
      <c r="JC1473" s="2060"/>
      <c r="JD1473" s="2060"/>
      <c r="JE1473" s="2060"/>
      <c r="JF1473" s="2060"/>
      <c r="JG1473" s="2060"/>
      <c r="JH1473" s="2060"/>
      <c r="JI1473" s="2060"/>
      <c r="JJ1473" s="2060"/>
      <c r="JK1473" s="2060"/>
      <c r="JL1473" s="2060"/>
      <c r="JM1473" s="2060"/>
      <c r="JN1473" s="2060"/>
      <c r="JO1473" s="2060"/>
      <c r="JP1473" s="2060"/>
      <c r="JQ1473" s="2060"/>
      <c r="JR1473" s="2060"/>
      <c r="JS1473" s="2060"/>
      <c r="JT1473" s="2060"/>
      <c r="JU1473" s="2060"/>
      <c r="JV1473" s="2060"/>
      <c r="JW1473" s="2060"/>
      <c r="JX1473" s="2060"/>
      <c r="JY1473" s="2060"/>
      <c r="JZ1473" s="2060"/>
      <c r="KA1473" s="2060"/>
      <c r="KB1473" s="2060"/>
      <c r="KC1473" s="2060"/>
      <c r="KD1473" s="2060"/>
      <c r="KE1473" s="2060"/>
      <c r="KF1473" s="2060"/>
      <c r="KG1473" s="2060"/>
      <c r="KH1473" s="2060"/>
      <c r="KI1473" s="2060"/>
      <c r="KJ1473" s="2060"/>
      <c r="KK1473" s="2060"/>
      <c r="KL1473" s="2060"/>
      <c r="KM1473" s="2060"/>
      <c r="KN1473" s="2060"/>
      <c r="KO1473" s="2060"/>
      <c r="KP1473" s="2060"/>
      <c r="KQ1473" s="2060"/>
      <c r="KR1473" s="2060"/>
      <c r="KS1473" s="2060"/>
      <c r="KT1473" s="2060"/>
      <c r="KU1473" s="2060"/>
      <c r="KV1473" s="2060"/>
      <c r="KW1473" s="2060"/>
      <c r="KX1473" s="2060"/>
      <c r="KY1473" s="2060"/>
      <c r="KZ1473" s="2060"/>
      <c r="LA1473" s="2060"/>
      <c r="LB1473" s="2060"/>
      <c r="LC1473" s="2060"/>
      <c r="LD1473" s="2060"/>
      <c r="LE1473" s="2060"/>
      <c r="LF1473" s="2060"/>
      <c r="LG1473" s="2060"/>
      <c r="LH1473" s="2060"/>
    </row>
    <row r="1474" spans="1:320" s="449" customFormat="1" ht="13.9">
      <c r="A1474" s="269" t="str">
        <f t="shared" si="406"/>
        <v>n</v>
      </c>
      <c r="B1474" s="2060"/>
      <c r="C1474" s="89"/>
      <c r="D1474" s="801"/>
      <c r="E1474" s="1505">
        <v>12</v>
      </c>
      <c r="F1474" s="21" t="str">
        <f>F$140</f>
        <v>--</v>
      </c>
      <c r="G1474" s="1441">
        <f>G$140</f>
        <v>0</v>
      </c>
      <c r="H1474" s="1441"/>
      <c r="I1474" s="1441"/>
      <c r="J1474" s="1441"/>
      <c r="K1474" s="2314" t="str">
        <f t="shared" si="405"/>
        <v>--</v>
      </c>
      <c r="L1474" s="2314" t="str">
        <f t="shared" si="405"/>
        <v>--</v>
      </c>
      <c r="M1474" s="2314" t="str">
        <f t="shared" si="405"/>
        <v>--</v>
      </c>
      <c r="N1474" s="2314" t="str">
        <f t="shared" si="405"/>
        <v>--</v>
      </c>
      <c r="O1474" s="2315" t="str">
        <f t="shared" si="405"/>
        <v>--</v>
      </c>
      <c r="P1474" s="2314" t="str">
        <f t="shared" si="405"/>
        <v>--</v>
      </c>
      <c r="Q1474" s="89"/>
      <c r="R1474" s="1466"/>
      <c r="S1474" s="89"/>
      <c r="T1474" s="53"/>
      <c r="U1474" s="89"/>
      <c r="V1474" s="89"/>
      <c r="W1474" s="89"/>
      <c r="X1474" s="89"/>
      <c r="Y1474" s="89"/>
      <c r="Z1474" s="89"/>
      <c r="AA1474" s="89"/>
      <c r="AB1474" s="89"/>
      <c r="AC1474" s="89"/>
      <c r="AD1474" s="89"/>
      <c r="AE1474" s="89"/>
      <c r="AF1474" s="89"/>
      <c r="AG1474" s="2060"/>
      <c r="AH1474" s="2060"/>
      <c r="AI1474" s="2060"/>
      <c r="AJ1474" s="2060"/>
      <c r="AK1474" s="2060"/>
      <c r="AL1474" s="2060"/>
      <c r="AM1474" s="2060"/>
      <c r="AN1474" s="2060"/>
      <c r="AO1474" s="2060"/>
      <c r="AP1474" s="2060"/>
      <c r="AQ1474" s="2060"/>
      <c r="AR1474" s="2060"/>
      <c r="AS1474" s="2060"/>
      <c r="AT1474" s="2060"/>
      <c r="AU1474" s="2060"/>
      <c r="AV1474" s="2060"/>
      <c r="AW1474" s="2060"/>
      <c r="AX1474" s="2060"/>
      <c r="AY1474" s="2060"/>
      <c r="AZ1474" s="2060"/>
      <c r="BA1474" s="2060"/>
      <c r="BB1474" s="2060"/>
      <c r="BC1474" s="2060"/>
      <c r="BD1474" s="2060"/>
      <c r="BE1474" s="2060"/>
      <c r="BF1474" s="2060"/>
      <c r="BG1474" s="2060"/>
      <c r="BH1474" s="2060"/>
      <c r="BI1474" s="2060"/>
      <c r="BJ1474" s="2060"/>
      <c r="BK1474" s="2060"/>
      <c r="BL1474" s="2060"/>
      <c r="BM1474" s="2060"/>
      <c r="BN1474" s="2060"/>
      <c r="BO1474" s="2060"/>
      <c r="BP1474" s="2060"/>
      <c r="BQ1474" s="2060"/>
      <c r="BR1474" s="2060"/>
      <c r="BS1474" s="2060"/>
      <c r="BT1474" s="2060"/>
      <c r="BU1474" s="2060"/>
      <c r="BV1474" s="2060"/>
      <c r="BW1474" s="2060"/>
      <c r="BX1474" s="2060"/>
      <c r="BY1474" s="2060"/>
      <c r="BZ1474" s="2060"/>
      <c r="CA1474" s="2060"/>
      <c r="CB1474" s="2060"/>
      <c r="CC1474" s="2060"/>
      <c r="CD1474" s="2060"/>
      <c r="CE1474" s="2060"/>
      <c r="CF1474" s="2060"/>
      <c r="CG1474" s="2060"/>
      <c r="CH1474" s="2060"/>
      <c r="CI1474" s="2060"/>
      <c r="CJ1474" s="2060"/>
      <c r="CK1474" s="2060"/>
      <c r="CL1474" s="2060"/>
      <c r="CM1474" s="2060"/>
      <c r="CN1474" s="2060"/>
      <c r="CO1474" s="2060"/>
      <c r="CP1474" s="2060"/>
      <c r="CQ1474" s="2060"/>
      <c r="CR1474" s="2060"/>
      <c r="CS1474" s="2060"/>
      <c r="CT1474" s="2060"/>
      <c r="CU1474" s="2060"/>
      <c r="CV1474" s="2060"/>
      <c r="CW1474" s="2060"/>
      <c r="CX1474" s="2060"/>
      <c r="CY1474" s="2060"/>
      <c r="CZ1474" s="2060"/>
      <c r="DA1474" s="2060"/>
      <c r="DB1474" s="2060"/>
      <c r="DC1474" s="2060"/>
      <c r="DD1474" s="2060"/>
      <c r="DE1474" s="2060"/>
      <c r="DF1474" s="2060"/>
      <c r="DG1474" s="2060"/>
      <c r="DH1474" s="2060"/>
      <c r="DI1474" s="2060"/>
      <c r="DJ1474" s="2060"/>
      <c r="DK1474" s="2060"/>
      <c r="DL1474" s="2060"/>
      <c r="DM1474" s="2060"/>
      <c r="DN1474" s="2060"/>
      <c r="DO1474" s="2060"/>
      <c r="DP1474" s="2060"/>
      <c r="DQ1474" s="2060"/>
      <c r="DR1474" s="2060"/>
      <c r="DS1474" s="2060"/>
      <c r="DT1474" s="2060"/>
      <c r="DU1474" s="2060"/>
      <c r="DV1474" s="2060"/>
      <c r="DW1474" s="2060"/>
      <c r="DX1474" s="2060"/>
      <c r="DY1474" s="2060"/>
      <c r="DZ1474" s="2060"/>
      <c r="EA1474" s="2060"/>
      <c r="EB1474" s="2060"/>
      <c r="EC1474" s="2060"/>
      <c r="ED1474" s="2060"/>
      <c r="EE1474" s="2060"/>
      <c r="EF1474" s="2060"/>
      <c r="EG1474" s="2060"/>
      <c r="EH1474" s="2060"/>
      <c r="EI1474" s="2060"/>
      <c r="EJ1474" s="2060"/>
      <c r="EK1474" s="2060"/>
      <c r="EL1474" s="2060"/>
      <c r="EM1474" s="2060"/>
      <c r="EN1474" s="2060"/>
      <c r="EO1474" s="2060"/>
      <c r="EP1474" s="2060"/>
      <c r="EQ1474" s="2060"/>
      <c r="ER1474" s="2060"/>
      <c r="ES1474" s="2060"/>
      <c r="ET1474" s="2060"/>
      <c r="EU1474" s="2060"/>
      <c r="EV1474" s="2060"/>
      <c r="EW1474" s="2060"/>
      <c r="EX1474" s="2060"/>
      <c r="EY1474" s="2060"/>
      <c r="EZ1474" s="2060"/>
      <c r="FA1474" s="2060"/>
      <c r="FB1474" s="2060"/>
      <c r="FC1474" s="2060"/>
      <c r="FD1474" s="2060"/>
      <c r="FE1474" s="2060"/>
      <c r="FF1474" s="2060"/>
      <c r="FG1474" s="2060"/>
      <c r="FH1474" s="2060"/>
      <c r="FI1474" s="2060"/>
      <c r="FJ1474" s="2060"/>
      <c r="FK1474" s="2060"/>
      <c r="FL1474" s="2060"/>
      <c r="FM1474" s="2060"/>
      <c r="FN1474" s="2060"/>
      <c r="FO1474" s="2060"/>
      <c r="FP1474" s="2060"/>
      <c r="FQ1474" s="2060"/>
      <c r="FR1474" s="2060"/>
      <c r="FS1474" s="2060"/>
      <c r="FT1474" s="2060"/>
      <c r="FU1474" s="2060"/>
      <c r="FV1474" s="2060"/>
      <c r="FW1474" s="2060"/>
      <c r="FX1474" s="2060"/>
      <c r="FY1474" s="2060"/>
      <c r="FZ1474" s="2060"/>
      <c r="GA1474" s="2060"/>
      <c r="GB1474" s="2060"/>
      <c r="GC1474" s="2060"/>
      <c r="GD1474" s="2060"/>
      <c r="GE1474" s="2060"/>
      <c r="GF1474" s="2060"/>
      <c r="GG1474" s="2060"/>
      <c r="GH1474" s="2060"/>
      <c r="GI1474" s="2060"/>
      <c r="GJ1474" s="2060"/>
      <c r="GK1474" s="2060"/>
      <c r="GL1474" s="2060"/>
      <c r="GM1474" s="2060"/>
      <c r="GN1474" s="2060"/>
      <c r="GO1474" s="2060"/>
      <c r="GP1474" s="2060"/>
      <c r="GQ1474" s="2060"/>
      <c r="GR1474" s="2060"/>
      <c r="GS1474" s="2060"/>
      <c r="GT1474" s="2060"/>
      <c r="GU1474" s="2060"/>
      <c r="GV1474" s="2060"/>
      <c r="GW1474" s="2060"/>
      <c r="GX1474" s="2060"/>
      <c r="GY1474" s="2060"/>
      <c r="GZ1474" s="2060"/>
      <c r="HA1474" s="2060"/>
      <c r="HB1474" s="2060"/>
      <c r="HC1474" s="2060"/>
      <c r="HD1474" s="2060"/>
      <c r="HE1474" s="2060"/>
      <c r="HF1474" s="2060"/>
      <c r="HG1474" s="2060"/>
      <c r="HH1474" s="2060"/>
      <c r="HI1474" s="2060"/>
      <c r="HJ1474" s="2060"/>
      <c r="HK1474" s="2060"/>
      <c r="HL1474" s="2060"/>
      <c r="HM1474" s="2060"/>
      <c r="HN1474" s="2060"/>
      <c r="HO1474" s="2060"/>
      <c r="HP1474" s="2060"/>
      <c r="HQ1474" s="2060"/>
      <c r="HR1474" s="2060"/>
      <c r="HS1474" s="2060"/>
      <c r="HT1474" s="2060"/>
      <c r="HU1474" s="2060"/>
      <c r="HV1474" s="2060"/>
      <c r="HW1474" s="2060"/>
      <c r="HX1474" s="2060"/>
      <c r="HY1474" s="2060"/>
      <c r="HZ1474" s="2060"/>
      <c r="IA1474" s="2060"/>
      <c r="IB1474" s="2060"/>
      <c r="IC1474" s="2060"/>
      <c r="ID1474" s="2060"/>
      <c r="IE1474" s="2060"/>
      <c r="IF1474" s="2060"/>
      <c r="IG1474" s="2060"/>
      <c r="IH1474" s="2060"/>
      <c r="II1474" s="2060"/>
      <c r="IJ1474" s="2060"/>
      <c r="IK1474" s="2060"/>
      <c r="IL1474" s="2060"/>
      <c r="IM1474" s="2060"/>
      <c r="IN1474" s="2060"/>
      <c r="IO1474" s="2060"/>
      <c r="IP1474" s="2060"/>
      <c r="IQ1474" s="2060"/>
      <c r="IR1474" s="2060"/>
      <c r="IS1474" s="2060"/>
      <c r="IT1474" s="2060"/>
      <c r="IU1474" s="2060"/>
      <c r="IV1474" s="2060"/>
      <c r="IW1474" s="2060"/>
      <c r="IX1474" s="2060"/>
      <c r="IY1474" s="2060"/>
      <c r="IZ1474" s="2060"/>
      <c r="JA1474" s="2060"/>
      <c r="JB1474" s="2060"/>
      <c r="JC1474" s="2060"/>
      <c r="JD1474" s="2060"/>
      <c r="JE1474" s="2060"/>
      <c r="JF1474" s="2060"/>
      <c r="JG1474" s="2060"/>
      <c r="JH1474" s="2060"/>
      <c r="JI1474" s="2060"/>
      <c r="JJ1474" s="2060"/>
      <c r="JK1474" s="2060"/>
      <c r="JL1474" s="2060"/>
      <c r="JM1474" s="2060"/>
      <c r="JN1474" s="2060"/>
      <c r="JO1474" s="2060"/>
      <c r="JP1474" s="2060"/>
      <c r="JQ1474" s="2060"/>
      <c r="JR1474" s="2060"/>
      <c r="JS1474" s="2060"/>
      <c r="JT1474" s="2060"/>
      <c r="JU1474" s="2060"/>
      <c r="JV1474" s="2060"/>
      <c r="JW1474" s="2060"/>
      <c r="JX1474" s="2060"/>
      <c r="JY1474" s="2060"/>
      <c r="JZ1474" s="2060"/>
      <c r="KA1474" s="2060"/>
      <c r="KB1474" s="2060"/>
      <c r="KC1474" s="2060"/>
      <c r="KD1474" s="2060"/>
      <c r="KE1474" s="2060"/>
      <c r="KF1474" s="2060"/>
      <c r="KG1474" s="2060"/>
      <c r="KH1474" s="2060"/>
      <c r="KI1474" s="2060"/>
      <c r="KJ1474" s="2060"/>
      <c r="KK1474" s="2060"/>
      <c r="KL1474" s="2060"/>
      <c r="KM1474" s="2060"/>
      <c r="KN1474" s="2060"/>
      <c r="KO1474" s="2060"/>
      <c r="KP1474" s="2060"/>
      <c r="KQ1474" s="2060"/>
      <c r="KR1474" s="2060"/>
      <c r="KS1474" s="2060"/>
      <c r="KT1474" s="2060"/>
      <c r="KU1474" s="2060"/>
      <c r="KV1474" s="2060"/>
      <c r="KW1474" s="2060"/>
      <c r="KX1474" s="2060"/>
      <c r="KY1474" s="2060"/>
      <c r="KZ1474" s="2060"/>
      <c r="LA1474" s="2060"/>
      <c r="LB1474" s="2060"/>
      <c r="LC1474" s="2060"/>
      <c r="LD1474" s="2060"/>
      <c r="LE1474" s="2060"/>
      <c r="LF1474" s="2060"/>
      <c r="LG1474" s="2060"/>
      <c r="LH1474" s="2060"/>
    </row>
    <row r="1475" spans="1:320" s="449" customFormat="1" ht="13.9">
      <c r="A1475" s="269" t="str">
        <f t="shared" si="406"/>
        <v>n</v>
      </c>
      <c r="B1475" s="2060"/>
      <c r="C1475" s="89"/>
      <c r="D1475" s="801"/>
      <c r="E1475" s="1505">
        <v>13</v>
      </c>
      <c r="F1475" s="21" t="str">
        <f>F$141</f>
        <v>--</v>
      </c>
      <c r="G1475" s="1441">
        <f>G$141</f>
        <v>0</v>
      </c>
      <c r="H1475" s="1441"/>
      <c r="I1475" s="1441"/>
      <c r="J1475" s="1441"/>
      <c r="K1475" s="2314" t="str">
        <f t="shared" si="405"/>
        <v>--</v>
      </c>
      <c r="L1475" s="2314" t="str">
        <f t="shared" si="405"/>
        <v>--</v>
      </c>
      <c r="M1475" s="2314" t="str">
        <f t="shared" si="405"/>
        <v>--</v>
      </c>
      <c r="N1475" s="2314" t="str">
        <f t="shared" si="405"/>
        <v>--</v>
      </c>
      <c r="O1475" s="2315" t="str">
        <f t="shared" si="405"/>
        <v>--</v>
      </c>
      <c r="P1475" s="2314" t="str">
        <f t="shared" si="405"/>
        <v>--</v>
      </c>
      <c r="Q1475" s="89"/>
      <c r="R1475" s="1466"/>
      <c r="S1475" s="89"/>
      <c r="T1475" s="53"/>
      <c r="U1475" s="89"/>
      <c r="V1475" s="89"/>
      <c r="W1475" s="89"/>
      <c r="X1475" s="89"/>
      <c r="Y1475" s="89"/>
      <c r="Z1475" s="89"/>
      <c r="AA1475" s="89"/>
      <c r="AB1475" s="89"/>
      <c r="AC1475" s="89"/>
      <c r="AD1475" s="89"/>
      <c r="AE1475" s="89"/>
      <c r="AF1475" s="89"/>
      <c r="AG1475" s="2060"/>
      <c r="AH1475" s="2060"/>
      <c r="AI1475" s="2060"/>
      <c r="AJ1475" s="2060"/>
      <c r="AK1475" s="2060"/>
      <c r="AL1475" s="2060"/>
      <c r="AM1475" s="2060"/>
      <c r="AN1475" s="2060"/>
      <c r="AO1475" s="2060"/>
      <c r="AP1475" s="2060"/>
      <c r="AQ1475" s="2060"/>
      <c r="AR1475" s="2060"/>
      <c r="AS1475" s="2060"/>
      <c r="AT1475" s="2060"/>
      <c r="AU1475" s="2060"/>
      <c r="AV1475" s="2060"/>
      <c r="AW1475" s="2060"/>
      <c r="AX1475" s="2060"/>
      <c r="AY1475" s="2060"/>
      <c r="AZ1475" s="2060"/>
      <c r="BA1475" s="2060"/>
      <c r="BB1475" s="2060"/>
      <c r="BC1475" s="2060"/>
      <c r="BD1475" s="2060"/>
      <c r="BE1475" s="2060"/>
      <c r="BF1475" s="2060"/>
      <c r="BG1475" s="2060"/>
      <c r="BH1475" s="2060"/>
      <c r="BI1475" s="2060"/>
      <c r="BJ1475" s="2060"/>
      <c r="BK1475" s="2060"/>
      <c r="BL1475" s="2060"/>
      <c r="BM1475" s="2060"/>
      <c r="BN1475" s="2060"/>
      <c r="BO1475" s="2060"/>
      <c r="BP1475" s="2060"/>
      <c r="BQ1475" s="2060"/>
      <c r="BR1475" s="2060"/>
      <c r="BS1475" s="2060"/>
      <c r="BT1475" s="2060"/>
      <c r="BU1475" s="2060"/>
      <c r="BV1475" s="2060"/>
      <c r="BW1475" s="2060"/>
      <c r="BX1475" s="2060"/>
      <c r="BY1475" s="2060"/>
      <c r="BZ1475" s="2060"/>
      <c r="CA1475" s="2060"/>
      <c r="CB1475" s="2060"/>
      <c r="CC1475" s="2060"/>
      <c r="CD1475" s="2060"/>
      <c r="CE1475" s="2060"/>
      <c r="CF1475" s="2060"/>
      <c r="CG1475" s="2060"/>
      <c r="CH1475" s="2060"/>
      <c r="CI1475" s="2060"/>
      <c r="CJ1475" s="2060"/>
      <c r="CK1475" s="2060"/>
      <c r="CL1475" s="2060"/>
      <c r="CM1475" s="2060"/>
      <c r="CN1475" s="2060"/>
      <c r="CO1475" s="2060"/>
      <c r="CP1475" s="2060"/>
      <c r="CQ1475" s="2060"/>
      <c r="CR1475" s="2060"/>
      <c r="CS1475" s="2060"/>
      <c r="CT1475" s="2060"/>
      <c r="CU1475" s="2060"/>
      <c r="CV1475" s="2060"/>
      <c r="CW1475" s="2060"/>
      <c r="CX1475" s="2060"/>
      <c r="CY1475" s="2060"/>
      <c r="CZ1475" s="2060"/>
      <c r="DA1475" s="2060"/>
      <c r="DB1475" s="2060"/>
      <c r="DC1475" s="2060"/>
      <c r="DD1475" s="2060"/>
      <c r="DE1475" s="2060"/>
      <c r="DF1475" s="2060"/>
      <c r="DG1475" s="2060"/>
      <c r="DH1475" s="2060"/>
      <c r="DI1475" s="2060"/>
      <c r="DJ1475" s="2060"/>
      <c r="DK1475" s="2060"/>
      <c r="DL1475" s="2060"/>
      <c r="DM1475" s="2060"/>
      <c r="DN1475" s="2060"/>
      <c r="DO1475" s="2060"/>
      <c r="DP1475" s="2060"/>
      <c r="DQ1475" s="2060"/>
      <c r="DR1475" s="2060"/>
      <c r="DS1475" s="2060"/>
      <c r="DT1475" s="2060"/>
      <c r="DU1475" s="2060"/>
      <c r="DV1475" s="2060"/>
      <c r="DW1475" s="2060"/>
      <c r="DX1475" s="2060"/>
      <c r="DY1475" s="2060"/>
      <c r="DZ1475" s="2060"/>
      <c r="EA1475" s="2060"/>
      <c r="EB1475" s="2060"/>
      <c r="EC1475" s="2060"/>
      <c r="ED1475" s="2060"/>
      <c r="EE1475" s="2060"/>
      <c r="EF1475" s="2060"/>
      <c r="EG1475" s="2060"/>
      <c r="EH1475" s="2060"/>
      <c r="EI1475" s="2060"/>
      <c r="EJ1475" s="2060"/>
      <c r="EK1475" s="2060"/>
      <c r="EL1475" s="2060"/>
      <c r="EM1475" s="2060"/>
      <c r="EN1475" s="2060"/>
      <c r="EO1475" s="2060"/>
      <c r="EP1475" s="2060"/>
      <c r="EQ1475" s="2060"/>
      <c r="ER1475" s="2060"/>
      <c r="ES1475" s="2060"/>
      <c r="ET1475" s="2060"/>
      <c r="EU1475" s="2060"/>
      <c r="EV1475" s="2060"/>
      <c r="EW1475" s="2060"/>
      <c r="EX1475" s="2060"/>
      <c r="EY1475" s="2060"/>
      <c r="EZ1475" s="2060"/>
      <c r="FA1475" s="2060"/>
      <c r="FB1475" s="2060"/>
      <c r="FC1475" s="2060"/>
      <c r="FD1475" s="2060"/>
      <c r="FE1475" s="2060"/>
      <c r="FF1475" s="2060"/>
      <c r="FG1475" s="2060"/>
      <c r="FH1475" s="2060"/>
      <c r="FI1475" s="2060"/>
      <c r="FJ1475" s="2060"/>
      <c r="FK1475" s="2060"/>
      <c r="FL1475" s="2060"/>
      <c r="FM1475" s="2060"/>
      <c r="FN1475" s="2060"/>
      <c r="FO1475" s="2060"/>
      <c r="FP1475" s="2060"/>
      <c r="FQ1475" s="2060"/>
      <c r="FR1475" s="2060"/>
      <c r="FS1475" s="2060"/>
      <c r="FT1475" s="2060"/>
      <c r="FU1475" s="2060"/>
      <c r="FV1475" s="2060"/>
      <c r="FW1475" s="2060"/>
      <c r="FX1475" s="2060"/>
      <c r="FY1475" s="2060"/>
      <c r="FZ1475" s="2060"/>
      <c r="GA1475" s="2060"/>
      <c r="GB1475" s="2060"/>
      <c r="GC1475" s="2060"/>
      <c r="GD1475" s="2060"/>
      <c r="GE1475" s="2060"/>
      <c r="GF1475" s="2060"/>
      <c r="GG1475" s="2060"/>
      <c r="GH1475" s="2060"/>
      <c r="GI1475" s="2060"/>
      <c r="GJ1475" s="2060"/>
      <c r="GK1475" s="2060"/>
      <c r="GL1475" s="2060"/>
      <c r="GM1475" s="2060"/>
      <c r="GN1475" s="2060"/>
      <c r="GO1475" s="2060"/>
      <c r="GP1475" s="2060"/>
      <c r="GQ1475" s="2060"/>
      <c r="GR1475" s="2060"/>
      <c r="GS1475" s="2060"/>
      <c r="GT1475" s="2060"/>
      <c r="GU1475" s="2060"/>
      <c r="GV1475" s="2060"/>
      <c r="GW1475" s="2060"/>
      <c r="GX1475" s="2060"/>
      <c r="GY1475" s="2060"/>
      <c r="GZ1475" s="2060"/>
      <c r="HA1475" s="2060"/>
      <c r="HB1475" s="2060"/>
      <c r="HC1475" s="2060"/>
      <c r="HD1475" s="2060"/>
      <c r="HE1475" s="2060"/>
      <c r="HF1475" s="2060"/>
      <c r="HG1475" s="2060"/>
      <c r="HH1475" s="2060"/>
      <c r="HI1475" s="2060"/>
      <c r="HJ1475" s="2060"/>
      <c r="HK1475" s="2060"/>
      <c r="HL1475" s="2060"/>
      <c r="HM1475" s="2060"/>
      <c r="HN1475" s="2060"/>
      <c r="HO1475" s="2060"/>
      <c r="HP1475" s="2060"/>
      <c r="HQ1475" s="2060"/>
      <c r="HR1475" s="2060"/>
      <c r="HS1475" s="2060"/>
      <c r="HT1475" s="2060"/>
      <c r="HU1475" s="2060"/>
      <c r="HV1475" s="2060"/>
      <c r="HW1475" s="2060"/>
      <c r="HX1475" s="2060"/>
      <c r="HY1475" s="2060"/>
      <c r="HZ1475" s="2060"/>
      <c r="IA1475" s="2060"/>
      <c r="IB1475" s="2060"/>
      <c r="IC1475" s="2060"/>
      <c r="ID1475" s="2060"/>
      <c r="IE1475" s="2060"/>
      <c r="IF1475" s="2060"/>
      <c r="IG1475" s="2060"/>
      <c r="IH1475" s="2060"/>
      <c r="II1475" s="2060"/>
      <c r="IJ1475" s="2060"/>
      <c r="IK1475" s="2060"/>
      <c r="IL1475" s="2060"/>
      <c r="IM1475" s="2060"/>
      <c r="IN1475" s="2060"/>
      <c r="IO1475" s="2060"/>
      <c r="IP1475" s="2060"/>
      <c r="IQ1475" s="2060"/>
      <c r="IR1475" s="2060"/>
      <c r="IS1475" s="2060"/>
      <c r="IT1475" s="2060"/>
      <c r="IU1475" s="2060"/>
      <c r="IV1475" s="2060"/>
      <c r="IW1475" s="2060"/>
      <c r="IX1475" s="2060"/>
      <c r="IY1475" s="2060"/>
      <c r="IZ1475" s="2060"/>
      <c r="JA1475" s="2060"/>
      <c r="JB1475" s="2060"/>
      <c r="JC1475" s="2060"/>
      <c r="JD1475" s="2060"/>
      <c r="JE1475" s="2060"/>
      <c r="JF1475" s="2060"/>
      <c r="JG1475" s="2060"/>
      <c r="JH1475" s="2060"/>
      <c r="JI1475" s="2060"/>
      <c r="JJ1475" s="2060"/>
      <c r="JK1475" s="2060"/>
      <c r="JL1475" s="2060"/>
      <c r="JM1475" s="2060"/>
      <c r="JN1475" s="2060"/>
      <c r="JO1475" s="2060"/>
      <c r="JP1475" s="2060"/>
      <c r="JQ1475" s="2060"/>
      <c r="JR1475" s="2060"/>
      <c r="JS1475" s="2060"/>
      <c r="JT1475" s="2060"/>
      <c r="JU1475" s="2060"/>
      <c r="JV1475" s="2060"/>
      <c r="JW1475" s="2060"/>
      <c r="JX1475" s="2060"/>
      <c r="JY1475" s="2060"/>
      <c r="JZ1475" s="2060"/>
      <c r="KA1475" s="2060"/>
      <c r="KB1475" s="2060"/>
      <c r="KC1475" s="2060"/>
      <c r="KD1475" s="2060"/>
      <c r="KE1475" s="2060"/>
      <c r="KF1475" s="2060"/>
      <c r="KG1475" s="2060"/>
      <c r="KH1475" s="2060"/>
      <c r="KI1475" s="2060"/>
      <c r="KJ1475" s="2060"/>
      <c r="KK1475" s="2060"/>
      <c r="KL1475" s="2060"/>
      <c r="KM1475" s="2060"/>
      <c r="KN1475" s="2060"/>
      <c r="KO1475" s="2060"/>
      <c r="KP1475" s="2060"/>
      <c r="KQ1475" s="2060"/>
      <c r="KR1475" s="2060"/>
      <c r="KS1475" s="2060"/>
      <c r="KT1475" s="2060"/>
      <c r="KU1475" s="2060"/>
      <c r="KV1475" s="2060"/>
      <c r="KW1475" s="2060"/>
      <c r="KX1475" s="2060"/>
      <c r="KY1475" s="2060"/>
      <c r="KZ1475" s="2060"/>
      <c r="LA1475" s="2060"/>
      <c r="LB1475" s="2060"/>
      <c r="LC1475" s="2060"/>
      <c r="LD1475" s="2060"/>
      <c r="LE1475" s="2060"/>
      <c r="LF1475" s="2060"/>
      <c r="LG1475" s="2060"/>
      <c r="LH1475" s="2060"/>
    </row>
    <row r="1476" spans="1:320" s="449" customFormat="1" ht="13.9">
      <c r="A1476" s="269" t="str">
        <f t="shared" si="406"/>
        <v>n</v>
      </c>
      <c r="B1476" s="2060"/>
      <c r="C1476" s="89"/>
      <c r="D1476" s="801"/>
      <c r="E1476" s="1505">
        <v>14</v>
      </c>
      <c r="F1476" s="21" t="str">
        <f>F$142</f>
        <v>--</v>
      </c>
      <c r="G1476" s="1441">
        <f>G$142</f>
        <v>0</v>
      </c>
      <c r="H1476" s="1441"/>
      <c r="I1476" s="1441"/>
      <c r="J1476" s="1441"/>
      <c r="K1476" s="2314" t="str">
        <f t="shared" ref="K1476:P1476" si="407">IFERROR(K796/K1077,"--")</f>
        <v>--</v>
      </c>
      <c r="L1476" s="2314" t="str">
        <f t="shared" si="407"/>
        <v>--</v>
      </c>
      <c r="M1476" s="2314" t="str">
        <f t="shared" si="407"/>
        <v>--</v>
      </c>
      <c r="N1476" s="2314" t="str">
        <f t="shared" si="407"/>
        <v>--</v>
      </c>
      <c r="O1476" s="2315" t="str">
        <f t="shared" si="407"/>
        <v>--</v>
      </c>
      <c r="P1476" s="2314" t="str">
        <f t="shared" si="407"/>
        <v>--</v>
      </c>
      <c r="Q1476" s="89"/>
      <c r="R1476" s="1466"/>
      <c r="S1476" s="89"/>
      <c r="T1476" s="53"/>
      <c r="U1476" s="89"/>
      <c r="V1476" s="89"/>
      <c r="W1476" s="89"/>
      <c r="X1476" s="89"/>
      <c r="Y1476" s="89"/>
      <c r="Z1476" s="89"/>
      <c r="AA1476" s="89"/>
      <c r="AB1476" s="89"/>
      <c r="AC1476" s="89"/>
      <c r="AD1476" s="89"/>
      <c r="AE1476" s="89"/>
      <c r="AF1476" s="89"/>
      <c r="AG1476" s="2060"/>
      <c r="AH1476" s="2060"/>
      <c r="AI1476" s="2060"/>
      <c r="AJ1476" s="2060"/>
      <c r="AK1476" s="2060"/>
      <c r="AL1476" s="2060"/>
      <c r="AM1476" s="2060"/>
      <c r="AN1476" s="2060"/>
      <c r="AO1476" s="2060"/>
      <c r="AP1476" s="2060"/>
      <c r="AQ1476" s="2060"/>
      <c r="AR1476" s="2060"/>
      <c r="AS1476" s="2060"/>
      <c r="AT1476" s="2060"/>
      <c r="AU1476" s="2060"/>
      <c r="AV1476" s="2060"/>
      <c r="AW1476" s="2060"/>
      <c r="AX1476" s="2060"/>
      <c r="AY1476" s="2060"/>
      <c r="AZ1476" s="2060"/>
      <c r="BA1476" s="2060"/>
      <c r="BB1476" s="2060"/>
      <c r="BC1476" s="2060"/>
      <c r="BD1476" s="2060"/>
      <c r="BE1476" s="2060"/>
      <c r="BF1476" s="2060"/>
      <c r="BG1476" s="2060"/>
      <c r="BH1476" s="2060"/>
      <c r="BI1476" s="2060"/>
      <c r="BJ1476" s="2060"/>
      <c r="BK1476" s="2060"/>
      <c r="BL1476" s="2060"/>
      <c r="BM1476" s="2060"/>
      <c r="BN1476" s="2060"/>
      <c r="BO1476" s="2060"/>
      <c r="BP1476" s="2060"/>
      <c r="BQ1476" s="2060"/>
      <c r="BR1476" s="2060"/>
      <c r="BS1476" s="2060"/>
      <c r="BT1476" s="2060"/>
      <c r="BU1476" s="2060"/>
      <c r="BV1476" s="2060"/>
      <c r="BW1476" s="2060"/>
      <c r="BX1476" s="2060"/>
      <c r="BY1476" s="2060"/>
      <c r="BZ1476" s="2060"/>
      <c r="CA1476" s="2060"/>
      <c r="CB1476" s="2060"/>
      <c r="CC1476" s="2060"/>
      <c r="CD1476" s="2060"/>
      <c r="CE1476" s="2060"/>
      <c r="CF1476" s="2060"/>
      <c r="CG1476" s="2060"/>
      <c r="CH1476" s="2060"/>
      <c r="CI1476" s="2060"/>
      <c r="CJ1476" s="2060"/>
      <c r="CK1476" s="2060"/>
      <c r="CL1476" s="2060"/>
      <c r="CM1476" s="2060"/>
      <c r="CN1476" s="2060"/>
      <c r="CO1476" s="2060"/>
      <c r="CP1476" s="2060"/>
      <c r="CQ1476" s="2060"/>
      <c r="CR1476" s="2060"/>
      <c r="CS1476" s="2060"/>
      <c r="CT1476" s="2060"/>
      <c r="CU1476" s="2060"/>
      <c r="CV1476" s="2060"/>
      <c r="CW1476" s="2060"/>
      <c r="CX1476" s="2060"/>
      <c r="CY1476" s="2060"/>
      <c r="CZ1476" s="2060"/>
      <c r="DA1476" s="2060"/>
      <c r="DB1476" s="2060"/>
      <c r="DC1476" s="2060"/>
      <c r="DD1476" s="2060"/>
      <c r="DE1476" s="2060"/>
      <c r="DF1476" s="2060"/>
      <c r="DG1476" s="2060"/>
      <c r="DH1476" s="2060"/>
      <c r="DI1476" s="2060"/>
      <c r="DJ1476" s="2060"/>
      <c r="DK1476" s="2060"/>
      <c r="DL1476" s="2060"/>
      <c r="DM1476" s="2060"/>
      <c r="DN1476" s="2060"/>
      <c r="DO1476" s="2060"/>
      <c r="DP1476" s="2060"/>
      <c r="DQ1476" s="2060"/>
      <c r="DR1476" s="2060"/>
      <c r="DS1476" s="2060"/>
      <c r="DT1476" s="2060"/>
      <c r="DU1476" s="2060"/>
      <c r="DV1476" s="2060"/>
      <c r="DW1476" s="2060"/>
      <c r="DX1476" s="2060"/>
      <c r="DY1476" s="2060"/>
      <c r="DZ1476" s="2060"/>
      <c r="EA1476" s="2060"/>
      <c r="EB1476" s="2060"/>
      <c r="EC1476" s="2060"/>
      <c r="ED1476" s="2060"/>
      <c r="EE1476" s="2060"/>
      <c r="EF1476" s="2060"/>
      <c r="EG1476" s="2060"/>
      <c r="EH1476" s="2060"/>
      <c r="EI1476" s="2060"/>
      <c r="EJ1476" s="2060"/>
      <c r="EK1476" s="2060"/>
      <c r="EL1476" s="2060"/>
      <c r="EM1476" s="2060"/>
      <c r="EN1476" s="2060"/>
      <c r="EO1476" s="2060"/>
      <c r="EP1476" s="2060"/>
      <c r="EQ1476" s="2060"/>
      <c r="ER1476" s="2060"/>
      <c r="ES1476" s="2060"/>
      <c r="ET1476" s="2060"/>
      <c r="EU1476" s="2060"/>
      <c r="EV1476" s="2060"/>
      <c r="EW1476" s="2060"/>
      <c r="EX1476" s="2060"/>
      <c r="EY1476" s="2060"/>
      <c r="EZ1476" s="2060"/>
      <c r="FA1476" s="2060"/>
      <c r="FB1476" s="2060"/>
      <c r="FC1476" s="2060"/>
      <c r="FD1476" s="2060"/>
      <c r="FE1476" s="2060"/>
      <c r="FF1476" s="2060"/>
      <c r="FG1476" s="2060"/>
      <c r="FH1476" s="2060"/>
      <c r="FI1476" s="2060"/>
      <c r="FJ1476" s="2060"/>
      <c r="FK1476" s="2060"/>
      <c r="FL1476" s="2060"/>
      <c r="FM1476" s="2060"/>
      <c r="FN1476" s="2060"/>
      <c r="FO1476" s="2060"/>
      <c r="FP1476" s="2060"/>
      <c r="FQ1476" s="2060"/>
      <c r="FR1476" s="2060"/>
      <c r="FS1476" s="2060"/>
      <c r="FT1476" s="2060"/>
      <c r="FU1476" s="2060"/>
      <c r="FV1476" s="2060"/>
      <c r="FW1476" s="2060"/>
      <c r="FX1476" s="2060"/>
      <c r="FY1476" s="2060"/>
      <c r="FZ1476" s="2060"/>
      <c r="GA1476" s="2060"/>
      <c r="GB1476" s="2060"/>
      <c r="GC1476" s="2060"/>
      <c r="GD1476" s="2060"/>
      <c r="GE1476" s="2060"/>
      <c r="GF1476" s="2060"/>
      <c r="GG1476" s="2060"/>
      <c r="GH1476" s="2060"/>
      <c r="GI1476" s="2060"/>
      <c r="GJ1476" s="2060"/>
      <c r="GK1476" s="2060"/>
      <c r="GL1476" s="2060"/>
      <c r="GM1476" s="2060"/>
      <c r="GN1476" s="2060"/>
      <c r="GO1476" s="2060"/>
      <c r="GP1476" s="2060"/>
      <c r="GQ1476" s="2060"/>
      <c r="GR1476" s="2060"/>
      <c r="GS1476" s="2060"/>
      <c r="GT1476" s="2060"/>
      <c r="GU1476" s="2060"/>
      <c r="GV1476" s="2060"/>
      <c r="GW1476" s="2060"/>
      <c r="GX1476" s="2060"/>
      <c r="GY1476" s="2060"/>
      <c r="GZ1476" s="2060"/>
      <c r="HA1476" s="2060"/>
      <c r="HB1476" s="2060"/>
      <c r="HC1476" s="2060"/>
      <c r="HD1476" s="2060"/>
      <c r="HE1476" s="2060"/>
      <c r="HF1476" s="2060"/>
      <c r="HG1476" s="2060"/>
      <c r="HH1476" s="2060"/>
      <c r="HI1476" s="2060"/>
      <c r="HJ1476" s="2060"/>
      <c r="HK1476" s="2060"/>
      <c r="HL1476" s="2060"/>
      <c r="HM1476" s="2060"/>
      <c r="HN1476" s="2060"/>
      <c r="HO1476" s="2060"/>
      <c r="HP1476" s="2060"/>
      <c r="HQ1476" s="2060"/>
      <c r="HR1476" s="2060"/>
      <c r="HS1476" s="2060"/>
      <c r="HT1476" s="2060"/>
      <c r="HU1476" s="2060"/>
      <c r="HV1476" s="2060"/>
      <c r="HW1476" s="2060"/>
      <c r="HX1476" s="2060"/>
      <c r="HY1476" s="2060"/>
      <c r="HZ1476" s="2060"/>
      <c r="IA1476" s="2060"/>
      <c r="IB1476" s="2060"/>
      <c r="IC1476" s="2060"/>
      <c r="ID1476" s="2060"/>
      <c r="IE1476" s="2060"/>
      <c r="IF1476" s="2060"/>
      <c r="IG1476" s="2060"/>
      <c r="IH1476" s="2060"/>
      <c r="II1476" s="2060"/>
      <c r="IJ1476" s="2060"/>
      <c r="IK1476" s="2060"/>
      <c r="IL1476" s="2060"/>
      <c r="IM1476" s="2060"/>
      <c r="IN1476" s="2060"/>
      <c r="IO1476" s="2060"/>
      <c r="IP1476" s="2060"/>
      <c r="IQ1476" s="2060"/>
      <c r="IR1476" s="2060"/>
      <c r="IS1476" s="2060"/>
      <c r="IT1476" s="2060"/>
      <c r="IU1476" s="2060"/>
      <c r="IV1476" s="2060"/>
      <c r="IW1476" s="2060"/>
      <c r="IX1476" s="2060"/>
      <c r="IY1476" s="2060"/>
      <c r="IZ1476" s="2060"/>
      <c r="JA1476" s="2060"/>
      <c r="JB1476" s="2060"/>
      <c r="JC1476" s="2060"/>
      <c r="JD1476" s="2060"/>
      <c r="JE1476" s="2060"/>
      <c r="JF1476" s="2060"/>
      <c r="JG1476" s="2060"/>
      <c r="JH1476" s="2060"/>
      <c r="JI1476" s="2060"/>
      <c r="JJ1476" s="2060"/>
      <c r="JK1476" s="2060"/>
      <c r="JL1476" s="2060"/>
      <c r="JM1476" s="2060"/>
      <c r="JN1476" s="2060"/>
      <c r="JO1476" s="2060"/>
      <c r="JP1476" s="2060"/>
      <c r="JQ1476" s="2060"/>
      <c r="JR1476" s="2060"/>
      <c r="JS1476" s="2060"/>
      <c r="JT1476" s="2060"/>
      <c r="JU1476" s="2060"/>
      <c r="JV1476" s="2060"/>
      <c r="JW1476" s="2060"/>
      <c r="JX1476" s="2060"/>
      <c r="JY1476" s="2060"/>
      <c r="JZ1476" s="2060"/>
      <c r="KA1476" s="2060"/>
      <c r="KB1476" s="2060"/>
      <c r="KC1476" s="2060"/>
      <c r="KD1476" s="2060"/>
      <c r="KE1476" s="2060"/>
      <c r="KF1476" s="2060"/>
      <c r="KG1476" s="2060"/>
      <c r="KH1476" s="2060"/>
      <c r="KI1476" s="2060"/>
      <c r="KJ1476" s="2060"/>
      <c r="KK1476" s="2060"/>
      <c r="KL1476" s="2060"/>
      <c r="KM1476" s="2060"/>
      <c r="KN1476" s="2060"/>
      <c r="KO1476" s="2060"/>
      <c r="KP1476" s="2060"/>
      <c r="KQ1476" s="2060"/>
      <c r="KR1476" s="2060"/>
      <c r="KS1476" s="2060"/>
      <c r="KT1476" s="2060"/>
      <c r="KU1476" s="2060"/>
      <c r="KV1476" s="2060"/>
      <c r="KW1476" s="2060"/>
      <c r="KX1476" s="2060"/>
      <c r="KY1476" s="2060"/>
      <c r="KZ1476" s="2060"/>
      <c r="LA1476" s="2060"/>
      <c r="LB1476" s="2060"/>
      <c r="LC1476" s="2060"/>
      <c r="LD1476" s="2060"/>
      <c r="LE1476" s="2060"/>
      <c r="LF1476" s="2060"/>
      <c r="LG1476" s="2060"/>
      <c r="LH1476" s="2060"/>
    </row>
    <row r="1477" spans="1:320" s="1499" customFormat="1" ht="13.9">
      <c r="A1477" s="269" t="str">
        <f t="shared" si="406"/>
        <v>n</v>
      </c>
      <c r="B1477" s="2060"/>
      <c r="C1477" s="89"/>
      <c r="D1477" s="801"/>
      <c r="E1477" s="1505">
        <v>15</v>
      </c>
      <c r="F1477" s="21" t="str">
        <f>F$143</f>
        <v>--</v>
      </c>
      <c r="G1477" s="1441">
        <f>G$143</f>
        <v>0</v>
      </c>
      <c r="H1477" s="1441"/>
      <c r="I1477" s="1441"/>
      <c r="J1477" s="1441"/>
      <c r="K1477" s="2314" t="str">
        <f t="shared" ref="K1477:P1477" si="408">IFERROR(K797/K1078,"--")</f>
        <v>--</v>
      </c>
      <c r="L1477" s="2314" t="str">
        <f t="shared" si="408"/>
        <v>--</v>
      </c>
      <c r="M1477" s="2314" t="str">
        <f t="shared" si="408"/>
        <v>--</v>
      </c>
      <c r="N1477" s="2314" t="str">
        <f t="shared" si="408"/>
        <v>--</v>
      </c>
      <c r="O1477" s="2315" t="str">
        <f t="shared" si="408"/>
        <v>--</v>
      </c>
      <c r="P1477" s="2314" t="str">
        <f t="shared" si="408"/>
        <v>--</v>
      </c>
      <c r="Q1477" s="89"/>
      <c r="R1477" s="1466"/>
      <c r="S1477" s="89"/>
      <c r="T1477" s="53"/>
      <c r="U1477" s="89"/>
      <c r="V1477" s="89"/>
      <c r="W1477" s="89"/>
      <c r="X1477" s="89"/>
      <c r="Y1477" s="89"/>
      <c r="Z1477" s="89"/>
      <c r="AA1477" s="89"/>
      <c r="AB1477" s="89"/>
      <c r="AC1477" s="89"/>
      <c r="AD1477" s="89"/>
      <c r="AE1477" s="89"/>
      <c r="AF1477" s="89"/>
      <c r="AG1477" s="2060"/>
      <c r="AH1477" s="2060"/>
      <c r="AI1477" s="2060"/>
      <c r="AJ1477" s="2060"/>
      <c r="AK1477" s="2060"/>
      <c r="AL1477" s="2060"/>
      <c r="AM1477" s="2060"/>
      <c r="AN1477" s="2060"/>
      <c r="AO1477" s="2060"/>
      <c r="AP1477" s="2060"/>
      <c r="AQ1477" s="2060"/>
      <c r="AR1477" s="2060"/>
      <c r="AS1477" s="2060"/>
      <c r="AT1477" s="2060"/>
      <c r="AU1477" s="2060"/>
      <c r="AV1477" s="2060"/>
      <c r="AW1477" s="2060"/>
      <c r="AX1477" s="2060"/>
      <c r="AY1477" s="2060"/>
      <c r="AZ1477" s="2060"/>
      <c r="BA1477" s="2060"/>
      <c r="BB1477" s="2060"/>
      <c r="BC1477" s="2060"/>
      <c r="BD1477" s="2060"/>
      <c r="BE1477" s="2060"/>
      <c r="BF1477" s="2060"/>
      <c r="BG1477" s="2060"/>
      <c r="BH1477" s="2060"/>
      <c r="BI1477" s="2060"/>
      <c r="BJ1477" s="2060"/>
      <c r="BK1477" s="2060"/>
      <c r="BL1477" s="2060"/>
      <c r="BM1477" s="2060"/>
      <c r="BN1477" s="2060"/>
      <c r="BO1477" s="2060"/>
      <c r="BP1477" s="2060"/>
      <c r="BQ1477" s="2060"/>
      <c r="BR1477" s="2060"/>
      <c r="BS1477" s="2060"/>
      <c r="BT1477" s="2060"/>
      <c r="BU1477" s="2060"/>
      <c r="BV1477" s="2060"/>
      <c r="BW1477" s="2060"/>
      <c r="BX1477" s="2060"/>
      <c r="BY1477" s="2060"/>
      <c r="BZ1477" s="2060"/>
      <c r="CA1477" s="2060"/>
      <c r="CB1477" s="2060"/>
      <c r="CC1477" s="2060"/>
      <c r="CD1477" s="2060"/>
      <c r="CE1477" s="2060"/>
      <c r="CF1477" s="2060"/>
      <c r="CG1477" s="2060"/>
      <c r="CH1477" s="2060"/>
      <c r="CI1477" s="2060"/>
      <c r="CJ1477" s="2060"/>
      <c r="CK1477" s="2060"/>
      <c r="CL1477" s="2060"/>
      <c r="CM1477" s="2060"/>
      <c r="CN1477" s="2060"/>
      <c r="CO1477" s="2060"/>
      <c r="CP1477" s="2060"/>
      <c r="CQ1477" s="2060"/>
      <c r="CR1477" s="2060"/>
      <c r="CS1477" s="2060"/>
      <c r="CT1477" s="2060"/>
      <c r="CU1477" s="2060"/>
      <c r="CV1477" s="2060"/>
      <c r="CW1477" s="2060"/>
      <c r="CX1477" s="2060"/>
      <c r="CY1477" s="2060"/>
      <c r="CZ1477" s="2060"/>
      <c r="DA1477" s="2060"/>
      <c r="DB1477" s="2060"/>
      <c r="DC1477" s="2060"/>
      <c r="DD1477" s="2060"/>
      <c r="DE1477" s="2060"/>
      <c r="DF1477" s="2060"/>
      <c r="DG1477" s="2060"/>
      <c r="DH1477" s="2060"/>
      <c r="DI1477" s="2060"/>
      <c r="DJ1477" s="2060"/>
      <c r="DK1477" s="2060"/>
      <c r="DL1477" s="2060"/>
      <c r="DM1477" s="2060"/>
      <c r="DN1477" s="2060"/>
      <c r="DO1477" s="2060"/>
      <c r="DP1477" s="2060"/>
      <c r="DQ1477" s="2060"/>
      <c r="DR1477" s="2060"/>
      <c r="DS1477" s="2060"/>
      <c r="DT1477" s="2060"/>
      <c r="DU1477" s="2060"/>
      <c r="DV1477" s="2060"/>
      <c r="DW1477" s="2060"/>
      <c r="DX1477" s="2060"/>
      <c r="DY1477" s="2060"/>
      <c r="DZ1477" s="2060"/>
      <c r="EA1477" s="2060"/>
      <c r="EB1477" s="2060"/>
      <c r="EC1477" s="2060"/>
      <c r="ED1477" s="2060"/>
      <c r="EE1477" s="2060"/>
      <c r="EF1477" s="2060"/>
      <c r="EG1477" s="2060"/>
      <c r="EH1477" s="2060"/>
      <c r="EI1477" s="2060"/>
      <c r="EJ1477" s="2060"/>
      <c r="EK1477" s="2060"/>
      <c r="EL1477" s="2060"/>
      <c r="EM1477" s="2060"/>
      <c r="EN1477" s="2060"/>
      <c r="EO1477" s="2060"/>
      <c r="EP1477" s="2060"/>
      <c r="EQ1477" s="2060"/>
      <c r="ER1477" s="2060"/>
      <c r="ES1477" s="2060"/>
      <c r="ET1477" s="2060"/>
      <c r="EU1477" s="2060"/>
      <c r="EV1477" s="2060"/>
      <c r="EW1477" s="2060"/>
      <c r="EX1477" s="2060"/>
      <c r="EY1477" s="2060"/>
      <c r="EZ1477" s="2060"/>
      <c r="FA1477" s="2060"/>
      <c r="FB1477" s="2060"/>
      <c r="FC1477" s="2060"/>
      <c r="FD1477" s="2060"/>
      <c r="FE1477" s="2060"/>
      <c r="FF1477" s="2060"/>
      <c r="FG1477" s="2060"/>
      <c r="FH1477" s="2060"/>
      <c r="FI1477" s="2060"/>
      <c r="FJ1477" s="2060"/>
      <c r="FK1477" s="2060"/>
      <c r="FL1477" s="2060"/>
      <c r="FM1477" s="2060"/>
      <c r="FN1477" s="2060"/>
      <c r="FO1477" s="2060"/>
      <c r="FP1477" s="2060"/>
      <c r="FQ1477" s="2060"/>
      <c r="FR1477" s="2060"/>
      <c r="FS1477" s="2060"/>
      <c r="FT1477" s="2060"/>
      <c r="FU1477" s="2060"/>
      <c r="FV1477" s="2060"/>
      <c r="FW1477" s="2060"/>
      <c r="FX1477" s="2060"/>
      <c r="FY1477" s="2060"/>
      <c r="FZ1477" s="2060"/>
      <c r="GA1477" s="2060"/>
      <c r="GB1477" s="2060"/>
      <c r="GC1477" s="2060"/>
      <c r="GD1477" s="2060"/>
      <c r="GE1477" s="2060"/>
      <c r="GF1477" s="2060"/>
      <c r="GG1477" s="2060"/>
      <c r="GH1477" s="2060"/>
      <c r="GI1477" s="2060"/>
      <c r="GJ1477" s="2060"/>
      <c r="GK1477" s="2060"/>
      <c r="GL1477" s="2060"/>
      <c r="GM1477" s="2060"/>
      <c r="GN1477" s="2060"/>
      <c r="GO1477" s="2060"/>
      <c r="GP1477" s="2060"/>
      <c r="GQ1477" s="2060"/>
      <c r="GR1477" s="2060"/>
      <c r="GS1477" s="2060"/>
      <c r="GT1477" s="2060"/>
      <c r="GU1477" s="2060"/>
      <c r="GV1477" s="2060"/>
      <c r="GW1477" s="2060"/>
      <c r="GX1477" s="2060"/>
      <c r="GY1477" s="2060"/>
      <c r="GZ1477" s="2060"/>
      <c r="HA1477" s="2060"/>
      <c r="HB1477" s="2060"/>
      <c r="HC1477" s="2060"/>
      <c r="HD1477" s="2060"/>
      <c r="HE1477" s="2060"/>
      <c r="HF1477" s="2060"/>
      <c r="HG1477" s="2060"/>
      <c r="HH1477" s="2060"/>
      <c r="HI1477" s="2060"/>
      <c r="HJ1477" s="2060"/>
      <c r="HK1477" s="2060"/>
      <c r="HL1477" s="2060"/>
      <c r="HM1477" s="2060"/>
      <c r="HN1477" s="2060"/>
      <c r="HO1477" s="2060"/>
      <c r="HP1477" s="2060"/>
      <c r="HQ1477" s="2060"/>
      <c r="HR1477" s="2060"/>
      <c r="HS1477" s="2060"/>
      <c r="HT1477" s="2060"/>
      <c r="HU1477" s="2060"/>
      <c r="HV1477" s="2060"/>
      <c r="HW1477" s="2060"/>
      <c r="HX1477" s="2060"/>
      <c r="HY1477" s="2060"/>
      <c r="HZ1477" s="2060"/>
      <c r="IA1477" s="2060"/>
      <c r="IB1477" s="2060"/>
      <c r="IC1477" s="2060"/>
      <c r="ID1477" s="2060"/>
      <c r="IE1477" s="2060"/>
      <c r="IF1477" s="2060"/>
      <c r="IG1477" s="2060"/>
      <c r="IH1477" s="2060"/>
      <c r="II1477" s="2060"/>
      <c r="IJ1477" s="2060"/>
      <c r="IK1477" s="2060"/>
      <c r="IL1477" s="2060"/>
      <c r="IM1477" s="2060"/>
      <c r="IN1477" s="2060"/>
      <c r="IO1477" s="2060"/>
      <c r="IP1477" s="2060"/>
      <c r="IQ1477" s="2060"/>
      <c r="IR1477" s="2060"/>
      <c r="IS1477" s="2060"/>
      <c r="IT1477" s="2060"/>
      <c r="IU1477" s="2060"/>
      <c r="IV1477" s="2060"/>
      <c r="IW1477" s="2060"/>
      <c r="IX1477" s="2060"/>
      <c r="IY1477" s="2060"/>
      <c r="IZ1477" s="2060"/>
      <c r="JA1477" s="2060"/>
      <c r="JB1477" s="2060"/>
      <c r="JC1477" s="2060"/>
      <c r="JD1477" s="2060"/>
      <c r="JE1477" s="2060"/>
      <c r="JF1477" s="2060"/>
      <c r="JG1477" s="2060"/>
      <c r="JH1477" s="2060"/>
      <c r="JI1477" s="2060"/>
      <c r="JJ1477" s="2060"/>
      <c r="JK1477" s="2060"/>
      <c r="JL1477" s="2060"/>
      <c r="JM1477" s="2060"/>
      <c r="JN1477" s="2060"/>
      <c r="JO1477" s="2060"/>
      <c r="JP1477" s="2060"/>
      <c r="JQ1477" s="2060"/>
      <c r="JR1477" s="2060"/>
      <c r="JS1477" s="2060"/>
      <c r="JT1477" s="2060"/>
      <c r="JU1477" s="2060"/>
      <c r="JV1477" s="2060"/>
      <c r="JW1477" s="2060"/>
      <c r="JX1477" s="2060"/>
      <c r="JY1477" s="2060"/>
      <c r="JZ1477" s="2060"/>
      <c r="KA1477" s="2060"/>
      <c r="KB1477" s="2060"/>
      <c r="KC1477" s="2060"/>
      <c r="KD1477" s="2060"/>
      <c r="KE1477" s="2060"/>
      <c r="KF1477" s="2060"/>
      <c r="KG1477" s="2060"/>
      <c r="KH1477" s="2060"/>
      <c r="KI1477" s="2060"/>
      <c r="KJ1477" s="2060"/>
      <c r="KK1477" s="2060"/>
      <c r="KL1477" s="2060"/>
      <c r="KM1477" s="2060"/>
      <c r="KN1477" s="2060"/>
      <c r="KO1477" s="2060"/>
      <c r="KP1477" s="2060"/>
      <c r="KQ1477" s="2060"/>
      <c r="KR1477" s="2060"/>
      <c r="KS1477" s="2060"/>
      <c r="KT1477" s="2060"/>
      <c r="KU1477" s="2060"/>
      <c r="KV1477" s="2060"/>
      <c r="KW1477" s="2060"/>
      <c r="KX1477" s="2060"/>
      <c r="KY1477" s="2060"/>
      <c r="KZ1477" s="2060"/>
      <c r="LA1477" s="2060"/>
      <c r="LB1477" s="2060"/>
      <c r="LC1477" s="2060"/>
      <c r="LD1477" s="2060"/>
      <c r="LE1477" s="2060"/>
      <c r="LF1477" s="2060"/>
      <c r="LG1477" s="2060"/>
      <c r="LH1477" s="2060"/>
    </row>
    <row r="1478" spans="1:320" s="1499" customFormat="1" ht="13.9">
      <c r="A1478" s="269" t="str">
        <f t="shared" si="406"/>
        <v>n</v>
      </c>
      <c r="B1478" s="2060"/>
      <c r="C1478" s="89"/>
      <c r="D1478" s="801"/>
      <c r="E1478" s="1505">
        <v>16</v>
      </c>
      <c r="F1478" s="21" t="str">
        <f>F$144</f>
        <v>--</v>
      </c>
      <c r="G1478" s="1441">
        <f>G$144</f>
        <v>0</v>
      </c>
      <c r="H1478" s="1441"/>
      <c r="I1478" s="1441"/>
      <c r="J1478" s="1441"/>
      <c r="K1478" s="2314" t="str">
        <f t="shared" ref="K1478:P1478" si="409">IFERROR(K798/K1079,"--")</f>
        <v>--</v>
      </c>
      <c r="L1478" s="2314" t="str">
        <f t="shared" si="409"/>
        <v>--</v>
      </c>
      <c r="M1478" s="2314" t="str">
        <f t="shared" si="409"/>
        <v>--</v>
      </c>
      <c r="N1478" s="2314" t="str">
        <f t="shared" si="409"/>
        <v>--</v>
      </c>
      <c r="O1478" s="2315" t="str">
        <f t="shared" si="409"/>
        <v>--</v>
      </c>
      <c r="P1478" s="2314" t="str">
        <f t="shared" si="409"/>
        <v>--</v>
      </c>
      <c r="Q1478" s="89"/>
      <c r="R1478" s="1466"/>
      <c r="S1478" s="89"/>
      <c r="T1478" s="53"/>
      <c r="U1478" s="89"/>
      <c r="V1478" s="89"/>
      <c r="W1478" s="89"/>
      <c r="X1478" s="89"/>
      <c r="Y1478" s="89"/>
      <c r="Z1478" s="89"/>
      <c r="AA1478" s="89"/>
      <c r="AB1478" s="89"/>
      <c r="AC1478" s="89"/>
      <c r="AD1478" s="89"/>
      <c r="AE1478" s="89"/>
      <c r="AF1478" s="89"/>
      <c r="AG1478" s="2060"/>
      <c r="AH1478" s="2060"/>
      <c r="AI1478" s="2060"/>
      <c r="AJ1478" s="2060"/>
      <c r="AK1478" s="2060"/>
      <c r="AL1478" s="2060"/>
      <c r="AM1478" s="2060"/>
      <c r="AN1478" s="2060"/>
      <c r="AO1478" s="2060"/>
      <c r="AP1478" s="2060"/>
      <c r="AQ1478" s="2060"/>
      <c r="AR1478" s="2060"/>
      <c r="AS1478" s="2060"/>
      <c r="AT1478" s="2060"/>
      <c r="AU1478" s="2060"/>
      <c r="AV1478" s="2060"/>
      <c r="AW1478" s="2060"/>
      <c r="AX1478" s="2060"/>
      <c r="AY1478" s="2060"/>
      <c r="AZ1478" s="2060"/>
      <c r="BA1478" s="2060"/>
      <c r="BB1478" s="2060"/>
      <c r="BC1478" s="2060"/>
      <c r="BD1478" s="2060"/>
      <c r="BE1478" s="2060"/>
      <c r="BF1478" s="2060"/>
      <c r="BG1478" s="2060"/>
      <c r="BH1478" s="2060"/>
      <c r="BI1478" s="2060"/>
      <c r="BJ1478" s="2060"/>
      <c r="BK1478" s="2060"/>
      <c r="BL1478" s="2060"/>
      <c r="BM1478" s="2060"/>
      <c r="BN1478" s="2060"/>
      <c r="BO1478" s="2060"/>
      <c r="BP1478" s="2060"/>
      <c r="BQ1478" s="2060"/>
      <c r="BR1478" s="2060"/>
      <c r="BS1478" s="2060"/>
      <c r="BT1478" s="2060"/>
      <c r="BU1478" s="2060"/>
      <c r="BV1478" s="2060"/>
      <c r="BW1478" s="2060"/>
      <c r="BX1478" s="2060"/>
      <c r="BY1478" s="2060"/>
      <c r="BZ1478" s="2060"/>
      <c r="CA1478" s="2060"/>
      <c r="CB1478" s="2060"/>
      <c r="CC1478" s="2060"/>
      <c r="CD1478" s="2060"/>
      <c r="CE1478" s="2060"/>
      <c r="CF1478" s="2060"/>
      <c r="CG1478" s="2060"/>
      <c r="CH1478" s="2060"/>
      <c r="CI1478" s="2060"/>
      <c r="CJ1478" s="2060"/>
      <c r="CK1478" s="2060"/>
      <c r="CL1478" s="2060"/>
      <c r="CM1478" s="2060"/>
      <c r="CN1478" s="2060"/>
      <c r="CO1478" s="2060"/>
      <c r="CP1478" s="2060"/>
      <c r="CQ1478" s="2060"/>
      <c r="CR1478" s="2060"/>
      <c r="CS1478" s="2060"/>
      <c r="CT1478" s="2060"/>
      <c r="CU1478" s="2060"/>
      <c r="CV1478" s="2060"/>
      <c r="CW1478" s="2060"/>
      <c r="CX1478" s="2060"/>
      <c r="CY1478" s="2060"/>
      <c r="CZ1478" s="2060"/>
      <c r="DA1478" s="2060"/>
      <c r="DB1478" s="2060"/>
      <c r="DC1478" s="2060"/>
      <c r="DD1478" s="2060"/>
      <c r="DE1478" s="2060"/>
      <c r="DF1478" s="2060"/>
      <c r="DG1478" s="2060"/>
      <c r="DH1478" s="2060"/>
      <c r="DI1478" s="2060"/>
      <c r="DJ1478" s="2060"/>
      <c r="DK1478" s="2060"/>
      <c r="DL1478" s="2060"/>
      <c r="DM1478" s="2060"/>
      <c r="DN1478" s="2060"/>
      <c r="DO1478" s="2060"/>
      <c r="DP1478" s="2060"/>
      <c r="DQ1478" s="2060"/>
      <c r="DR1478" s="2060"/>
      <c r="DS1478" s="2060"/>
      <c r="DT1478" s="2060"/>
      <c r="DU1478" s="2060"/>
      <c r="DV1478" s="2060"/>
      <c r="DW1478" s="2060"/>
      <c r="DX1478" s="2060"/>
      <c r="DY1478" s="2060"/>
      <c r="DZ1478" s="2060"/>
      <c r="EA1478" s="2060"/>
      <c r="EB1478" s="2060"/>
      <c r="EC1478" s="2060"/>
      <c r="ED1478" s="2060"/>
      <c r="EE1478" s="2060"/>
      <c r="EF1478" s="2060"/>
      <c r="EG1478" s="2060"/>
      <c r="EH1478" s="2060"/>
      <c r="EI1478" s="2060"/>
      <c r="EJ1478" s="2060"/>
      <c r="EK1478" s="2060"/>
      <c r="EL1478" s="2060"/>
      <c r="EM1478" s="2060"/>
      <c r="EN1478" s="2060"/>
      <c r="EO1478" s="2060"/>
      <c r="EP1478" s="2060"/>
      <c r="EQ1478" s="2060"/>
      <c r="ER1478" s="2060"/>
      <c r="ES1478" s="2060"/>
      <c r="ET1478" s="2060"/>
      <c r="EU1478" s="2060"/>
      <c r="EV1478" s="2060"/>
      <c r="EW1478" s="2060"/>
      <c r="EX1478" s="2060"/>
      <c r="EY1478" s="2060"/>
      <c r="EZ1478" s="2060"/>
      <c r="FA1478" s="2060"/>
      <c r="FB1478" s="2060"/>
      <c r="FC1478" s="2060"/>
      <c r="FD1478" s="2060"/>
      <c r="FE1478" s="2060"/>
      <c r="FF1478" s="2060"/>
      <c r="FG1478" s="2060"/>
      <c r="FH1478" s="2060"/>
      <c r="FI1478" s="2060"/>
      <c r="FJ1478" s="2060"/>
      <c r="FK1478" s="2060"/>
      <c r="FL1478" s="2060"/>
      <c r="FM1478" s="2060"/>
      <c r="FN1478" s="2060"/>
      <c r="FO1478" s="2060"/>
      <c r="FP1478" s="2060"/>
      <c r="FQ1478" s="2060"/>
      <c r="FR1478" s="2060"/>
      <c r="FS1478" s="2060"/>
      <c r="FT1478" s="2060"/>
      <c r="FU1478" s="2060"/>
      <c r="FV1478" s="2060"/>
      <c r="FW1478" s="2060"/>
      <c r="FX1478" s="2060"/>
      <c r="FY1478" s="2060"/>
      <c r="FZ1478" s="2060"/>
      <c r="GA1478" s="2060"/>
      <c r="GB1478" s="2060"/>
      <c r="GC1478" s="2060"/>
      <c r="GD1478" s="2060"/>
      <c r="GE1478" s="2060"/>
      <c r="GF1478" s="2060"/>
      <c r="GG1478" s="2060"/>
      <c r="GH1478" s="2060"/>
      <c r="GI1478" s="2060"/>
      <c r="GJ1478" s="2060"/>
      <c r="GK1478" s="2060"/>
      <c r="GL1478" s="2060"/>
      <c r="GM1478" s="2060"/>
      <c r="GN1478" s="2060"/>
      <c r="GO1478" s="2060"/>
      <c r="GP1478" s="2060"/>
      <c r="GQ1478" s="2060"/>
      <c r="GR1478" s="2060"/>
      <c r="GS1478" s="2060"/>
      <c r="GT1478" s="2060"/>
      <c r="GU1478" s="2060"/>
      <c r="GV1478" s="2060"/>
      <c r="GW1478" s="2060"/>
      <c r="GX1478" s="2060"/>
      <c r="GY1478" s="2060"/>
      <c r="GZ1478" s="2060"/>
      <c r="HA1478" s="2060"/>
      <c r="HB1478" s="2060"/>
      <c r="HC1478" s="2060"/>
      <c r="HD1478" s="2060"/>
      <c r="HE1478" s="2060"/>
      <c r="HF1478" s="2060"/>
      <c r="HG1478" s="2060"/>
      <c r="HH1478" s="2060"/>
      <c r="HI1478" s="2060"/>
      <c r="HJ1478" s="2060"/>
      <c r="HK1478" s="2060"/>
      <c r="HL1478" s="2060"/>
      <c r="HM1478" s="2060"/>
      <c r="HN1478" s="2060"/>
      <c r="HO1478" s="2060"/>
      <c r="HP1478" s="2060"/>
      <c r="HQ1478" s="2060"/>
      <c r="HR1478" s="2060"/>
      <c r="HS1478" s="2060"/>
      <c r="HT1478" s="2060"/>
      <c r="HU1478" s="2060"/>
      <c r="HV1478" s="2060"/>
      <c r="HW1478" s="2060"/>
      <c r="HX1478" s="2060"/>
      <c r="HY1478" s="2060"/>
      <c r="HZ1478" s="2060"/>
      <c r="IA1478" s="2060"/>
      <c r="IB1478" s="2060"/>
      <c r="IC1478" s="2060"/>
      <c r="ID1478" s="2060"/>
      <c r="IE1478" s="2060"/>
      <c r="IF1478" s="2060"/>
      <c r="IG1478" s="2060"/>
      <c r="IH1478" s="2060"/>
      <c r="II1478" s="2060"/>
      <c r="IJ1478" s="2060"/>
      <c r="IK1478" s="2060"/>
      <c r="IL1478" s="2060"/>
      <c r="IM1478" s="2060"/>
      <c r="IN1478" s="2060"/>
      <c r="IO1478" s="2060"/>
      <c r="IP1478" s="2060"/>
      <c r="IQ1478" s="2060"/>
      <c r="IR1478" s="2060"/>
      <c r="IS1478" s="2060"/>
      <c r="IT1478" s="2060"/>
      <c r="IU1478" s="2060"/>
      <c r="IV1478" s="2060"/>
      <c r="IW1478" s="2060"/>
      <c r="IX1478" s="2060"/>
      <c r="IY1478" s="2060"/>
      <c r="IZ1478" s="2060"/>
      <c r="JA1478" s="2060"/>
      <c r="JB1478" s="2060"/>
      <c r="JC1478" s="2060"/>
      <c r="JD1478" s="2060"/>
      <c r="JE1478" s="2060"/>
      <c r="JF1478" s="2060"/>
      <c r="JG1478" s="2060"/>
      <c r="JH1478" s="2060"/>
      <c r="JI1478" s="2060"/>
      <c r="JJ1478" s="2060"/>
      <c r="JK1478" s="2060"/>
      <c r="JL1478" s="2060"/>
      <c r="JM1478" s="2060"/>
      <c r="JN1478" s="2060"/>
      <c r="JO1478" s="2060"/>
      <c r="JP1478" s="2060"/>
      <c r="JQ1478" s="2060"/>
      <c r="JR1478" s="2060"/>
      <c r="JS1478" s="2060"/>
      <c r="JT1478" s="2060"/>
      <c r="JU1478" s="2060"/>
      <c r="JV1478" s="2060"/>
      <c r="JW1478" s="2060"/>
      <c r="JX1478" s="2060"/>
      <c r="JY1478" s="2060"/>
      <c r="JZ1478" s="2060"/>
      <c r="KA1478" s="2060"/>
      <c r="KB1478" s="2060"/>
      <c r="KC1478" s="2060"/>
      <c r="KD1478" s="2060"/>
      <c r="KE1478" s="2060"/>
      <c r="KF1478" s="2060"/>
      <c r="KG1478" s="2060"/>
      <c r="KH1478" s="2060"/>
      <c r="KI1478" s="2060"/>
      <c r="KJ1478" s="2060"/>
      <c r="KK1478" s="2060"/>
      <c r="KL1478" s="2060"/>
      <c r="KM1478" s="2060"/>
      <c r="KN1478" s="2060"/>
      <c r="KO1478" s="2060"/>
      <c r="KP1478" s="2060"/>
      <c r="KQ1478" s="2060"/>
      <c r="KR1478" s="2060"/>
      <c r="KS1478" s="2060"/>
      <c r="KT1478" s="2060"/>
      <c r="KU1478" s="2060"/>
      <c r="KV1478" s="2060"/>
      <c r="KW1478" s="2060"/>
      <c r="KX1478" s="2060"/>
      <c r="KY1478" s="2060"/>
      <c r="KZ1478" s="2060"/>
      <c r="LA1478" s="2060"/>
      <c r="LB1478" s="2060"/>
      <c r="LC1478" s="2060"/>
      <c r="LD1478" s="2060"/>
      <c r="LE1478" s="2060"/>
      <c r="LF1478" s="2060"/>
      <c r="LG1478" s="2060"/>
      <c r="LH1478" s="2060"/>
    </row>
    <row r="1479" spans="1:320" s="1499" customFormat="1" ht="13.9">
      <c r="A1479" s="269" t="str">
        <f t="shared" si="406"/>
        <v>n</v>
      </c>
      <c r="B1479" s="2060"/>
      <c r="C1479" s="89"/>
      <c r="D1479" s="801"/>
      <c r="E1479" s="1505">
        <v>17</v>
      </c>
      <c r="F1479" s="21" t="str">
        <f>F$145</f>
        <v>--</v>
      </c>
      <c r="G1479" s="1441">
        <f>G$145</f>
        <v>0</v>
      </c>
      <c r="H1479" s="1441"/>
      <c r="I1479" s="1441"/>
      <c r="J1479" s="1441"/>
      <c r="K1479" s="2314" t="str">
        <f t="shared" ref="K1479:P1479" si="410">IFERROR(K799/K1080,"--")</f>
        <v>--</v>
      </c>
      <c r="L1479" s="2314" t="str">
        <f t="shared" si="410"/>
        <v>--</v>
      </c>
      <c r="M1479" s="2314" t="str">
        <f t="shared" si="410"/>
        <v>--</v>
      </c>
      <c r="N1479" s="2314" t="str">
        <f t="shared" si="410"/>
        <v>--</v>
      </c>
      <c r="O1479" s="2315" t="str">
        <f t="shared" si="410"/>
        <v>--</v>
      </c>
      <c r="P1479" s="2314" t="str">
        <f t="shared" si="410"/>
        <v>--</v>
      </c>
      <c r="Q1479" s="89"/>
      <c r="R1479" s="1466"/>
      <c r="S1479" s="89"/>
      <c r="T1479" s="53"/>
      <c r="U1479" s="89"/>
      <c r="V1479" s="89"/>
      <c r="W1479" s="89"/>
      <c r="X1479" s="89"/>
      <c r="Y1479" s="89"/>
      <c r="Z1479" s="89"/>
      <c r="AA1479" s="89"/>
      <c r="AB1479" s="89"/>
      <c r="AC1479" s="89"/>
      <c r="AD1479" s="89"/>
      <c r="AE1479" s="89"/>
      <c r="AF1479" s="89"/>
      <c r="AG1479" s="2060"/>
      <c r="AH1479" s="2060"/>
      <c r="AI1479" s="2060"/>
      <c r="AJ1479" s="2060"/>
      <c r="AK1479" s="2060"/>
      <c r="AL1479" s="2060"/>
      <c r="AM1479" s="2060"/>
      <c r="AN1479" s="2060"/>
      <c r="AO1479" s="2060"/>
      <c r="AP1479" s="2060"/>
      <c r="AQ1479" s="2060"/>
      <c r="AR1479" s="2060"/>
      <c r="AS1479" s="2060"/>
      <c r="AT1479" s="2060"/>
      <c r="AU1479" s="2060"/>
      <c r="AV1479" s="2060"/>
      <c r="AW1479" s="2060"/>
      <c r="AX1479" s="2060"/>
      <c r="AY1479" s="2060"/>
      <c r="AZ1479" s="2060"/>
      <c r="BA1479" s="2060"/>
      <c r="BB1479" s="2060"/>
      <c r="BC1479" s="2060"/>
      <c r="BD1479" s="2060"/>
      <c r="BE1479" s="2060"/>
      <c r="BF1479" s="2060"/>
      <c r="BG1479" s="2060"/>
      <c r="BH1479" s="2060"/>
      <c r="BI1479" s="2060"/>
      <c r="BJ1479" s="2060"/>
      <c r="BK1479" s="2060"/>
      <c r="BL1479" s="2060"/>
      <c r="BM1479" s="2060"/>
      <c r="BN1479" s="2060"/>
      <c r="BO1479" s="2060"/>
      <c r="BP1479" s="2060"/>
      <c r="BQ1479" s="2060"/>
      <c r="BR1479" s="2060"/>
      <c r="BS1479" s="2060"/>
      <c r="BT1479" s="2060"/>
      <c r="BU1479" s="2060"/>
      <c r="BV1479" s="2060"/>
      <c r="BW1479" s="2060"/>
      <c r="BX1479" s="2060"/>
      <c r="BY1479" s="2060"/>
      <c r="BZ1479" s="2060"/>
      <c r="CA1479" s="2060"/>
      <c r="CB1479" s="2060"/>
      <c r="CC1479" s="2060"/>
      <c r="CD1479" s="2060"/>
      <c r="CE1479" s="2060"/>
      <c r="CF1479" s="2060"/>
      <c r="CG1479" s="2060"/>
      <c r="CH1479" s="2060"/>
      <c r="CI1479" s="2060"/>
      <c r="CJ1479" s="2060"/>
      <c r="CK1479" s="2060"/>
      <c r="CL1479" s="2060"/>
      <c r="CM1479" s="2060"/>
      <c r="CN1479" s="2060"/>
      <c r="CO1479" s="2060"/>
      <c r="CP1479" s="2060"/>
      <c r="CQ1479" s="2060"/>
      <c r="CR1479" s="2060"/>
      <c r="CS1479" s="2060"/>
      <c r="CT1479" s="2060"/>
      <c r="CU1479" s="2060"/>
      <c r="CV1479" s="2060"/>
      <c r="CW1479" s="2060"/>
      <c r="CX1479" s="2060"/>
      <c r="CY1479" s="2060"/>
      <c r="CZ1479" s="2060"/>
      <c r="DA1479" s="2060"/>
      <c r="DB1479" s="2060"/>
      <c r="DC1479" s="2060"/>
      <c r="DD1479" s="2060"/>
      <c r="DE1479" s="2060"/>
      <c r="DF1479" s="2060"/>
      <c r="DG1479" s="2060"/>
      <c r="DH1479" s="2060"/>
      <c r="DI1479" s="2060"/>
      <c r="DJ1479" s="2060"/>
      <c r="DK1479" s="2060"/>
      <c r="DL1479" s="2060"/>
      <c r="DM1479" s="2060"/>
      <c r="DN1479" s="2060"/>
      <c r="DO1479" s="2060"/>
      <c r="DP1479" s="2060"/>
      <c r="DQ1479" s="2060"/>
      <c r="DR1479" s="2060"/>
      <c r="DS1479" s="2060"/>
      <c r="DT1479" s="2060"/>
      <c r="DU1479" s="2060"/>
      <c r="DV1479" s="2060"/>
      <c r="DW1479" s="2060"/>
      <c r="DX1479" s="2060"/>
      <c r="DY1479" s="2060"/>
      <c r="DZ1479" s="2060"/>
      <c r="EA1479" s="2060"/>
      <c r="EB1479" s="2060"/>
      <c r="EC1479" s="2060"/>
      <c r="ED1479" s="2060"/>
      <c r="EE1479" s="2060"/>
      <c r="EF1479" s="2060"/>
      <c r="EG1479" s="2060"/>
      <c r="EH1479" s="2060"/>
      <c r="EI1479" s="2060"/>
      <c r="EJ1479" s="2060"/>
      <c r="EK1479" s="2060"/>
      <c r="EL1479" s="2060"/>
      <c r="EM1479" s="2060"/>
      <c r="EN1479" s="2060"/>
      <c r="EO1479" s="2060"/>
      <c r="EP1479" s="2060"/>
      <c r="EQ1479" s="2060"/>
      <c r="ER1479" s="2060"/>
      <c r="ES1479" s="2060"/>
      <c r="ET1479" s="2060"/>
      <c r="EU1479" s="2060"/>
      <c r="EV1479" s="2060"/>
      <c r="EW1479" s="2060"/>
      <c r="EX1479" s="2060"/>
      <c r="EY1479" s="2060"/>
      <c r="EZ1479" s="2060"/>
      <c r="FA1479" s="2060"/>
      <c r="FB1479" s="2060"/>
      <c r="FC1479" s="2060"/>
      <c r="FD1479" s="2060"/>
      <c r="FE1479" s="2060"/>
      <c r="FF1479" s="2060"/>
      <c r="FG1479" s="2060"/>
      <c r="FH1479" s="2060"/>
      <c r="FI1479" s="2060"/>
      <c r="FJ1479" s="2060"/>
      <c r="FK1479" s="2060"/>
      <c r="FL1479" s="2060"/>
      <c r="FM1479" s="2060"/>
      <c r="FN1479" s="2060"/>
      <c r="FO1479" s="2060"/>
      <c r="FP1479" s="2060"/>
      <c r="FQ1479" s="2060"/>
      <c r="FR1479" s="2060"/>
      <c r="FS1479" s="2060"/>
      <c r="FT1479" s="2060"/>
      <c r="FU1479" s="2060"/>
      <c r="FV1479" s="2060"/>
      <c r="FW1479" s="2060"/>
      <c r="FX1479" s="2060"/>
      <c r="FY1479" s="2060"/>
      <c r="FZ1479" s="2060"/>
      <c r="GA1479" s="2060"/>
      <c r="GB1479" s="2060"/>
      <c r="GC1479" s="2060"/>
      <c r="GD1479" s="2060"/>
      <c r="GE1479" s="2060"/>
      <c r="GF1479" s="2060"/>
      <c r="GG1479" s="2060"/>
      <c r="GH1479" s="2060"/>
      <c r="GI1479" s="2060"/>
      <c r="GJ1479" s="2060"/>
      <c r="GK1479" s="2060"/>
      <c r="GL1479" s="2060"/>
      <c r="GM1479" s="2060"/>
      <c r="GN1479" s="2060"/>
      <c r="GO1479" s="2060"/>
      <c r="GP1479" s="2060"/>
      <c r="GQ1479" s="2060"/>
      <c r="GR1479" s="2060"/>
      <c r="GS1479" s="2060"/>
      <c r="GT1479" s="2060"/>
      <c r="GU1479" s="2060"/>
      <c r="GV1479" s="2060"/>
      <c r="GW1479" s="2060"/>
      <c r="GX1479" s="2060"/>
      <c r="GY1479" s="2060"/>
      <c r="GZ1479" s="2060"/>
      <c r="HA1479" s="2060"/>
      <c r="HB1479" s="2060"/>
      <c r="HC1479" s="2060"/>
      <c r="HD1479" s="2060"/>
      <c r="HE1479" s="2060"/>
      <c r="HF1479" s="2060"/>
      <c r="HG1479" s="2060"/>
      <c r="HH1479" s="2060"/>
      <c r="HI1479" s="2060"/>
      <c r="HJ1479" s="2060"/>
      <c r="HK1479" s="2060"/>
      <c r="HL1479" s="2060"/>
      <c r="HM1479" s="2060"/>
      <c r="HN1479" s="2060"/>
      <c r="HO1479" s="2060"/>
      <c r="HP1479" s="2060"/>
      <c r="HQ1479" s="2060"/>
      <c r="HR1479" s="2060"/>
      <c r="HS1479" s="2060"/>
      <c r="HT1479" s="2060"/>
      <c r="HU1479" s="2060"/>
      <c r="HV1479" s="2060"/>
      <c r="HW1479" s="2060"/>
      <c r="HX1479" s="2060"/>
      <c r="HY1479" s="2060"/>
      <c r="HZ1479" s="2060"/>
      <c r="IA1479" s="2060"/>
      <c r="IB1479" s="2060"/>
      <c r="IC1479" s="2060"/>
      <c r="ID1479" s="2060"/>
      <c r="IE1479" s="2060"/>
      <c r="IF1479" s="2060"/>
      <c r="IG1479" s="2060"/>
      <c r="IH1479" s="2060"/>
      <c r="II1479" s="2060"/>
      <c r="IJ1479" s="2060"/>
      <c r="IK1479" s="2060"/>
      <c r="IL1479" s="2060"/>
      <c r="IM1479" s="2060"/>
      <c r="IN1479" s="2060"/>
      <c r="IO1479" s="2060"/>
      <c r="IP1479" s="2060"/>
      <c r="IQ1479" s="2060"/>
      <c r="IR1479" s="2060"/>
      <c r="IS1479" s="2060"/>
      <c r="IT1479" s="2060"/>
      <c r="IU1479" s="2060"/>
      <c r="IV1479" s="2060"/>
      <c r="IW1479" s="2060"/>
      <c r="IX1479" s="2060"/>
      <c r="IY1479" s="2060"/>
      <c r="IZ1479" s="2060"/>
      <c r="JA1479" s="2060"/>
      <c r="JB1479" s="2060"/>
      <c r="JC1479" s="2060"/>
      <c r="JD1479" s="2060"/>
      <c r="JE1479" s="2060"/>
      <c r="JF1479" s="2060"/>
      <c r="JG1479" s="2060"/>
      <c r="JH1479" s="2060"/>
      <c r="JI1479" s="2060"/>
      <c r="JJ1479" s="2060"/>
      <c r="JK1479" s="2060"/>
      <c r="JL1479" s="2060"/>
      <c r="JM1479" s="2060"/>
      <c r="JN1479" s="2060"/>
      <c r="JO1479" s="2060"/>
      <c r="JP1479" s="2060"/>
      <c r="JQ1479" s="2060"/>
      <c r="JR1479" s="2060"/>
      <c r="JS1479" s="2060"/>
      <c r="JT1479" s="2060"/>
      <c r="JU1479" s="2060"/>
      <c r="JV1479" s="2060"/>
      <c r="JW1479" s="2060"/>
      <c r="JX1479" s="2060"/>
      <c r="JY1479" s="2060"/>
      <c r="JZ1479" s="2060"/>
      <c r="KA1479" s="2060"/>
      <c r="KB1479" s="2060"/>
      <c r="KC1479" s="2060"/>
      <c r="KD1479" s="2060"/>
      <c r="KE1479" s="2060"/>
      <c r="KF1479" s="2060"/>
      <c r="KG1479" s="2060"/>
      <c r="KH1479" s="2060"/>
      <c r="KI1479" s="2060"/>
      <c r="KJ1479" s="2060"/>
      <c r="KK1479" s="2060"/>
      <c r="KL1479" s="2060"/>
      <c r="KM1479" s="2060"/>
      <c r="KN1479" s="2060"/>
      <c r="KO1479" s="2060"/>
      <c r="KP1479" s="2060"/>
      <c r="KQ1479" s="2060"/>
      <c r="KR1479" s="2060"/>
      <c r="KS1479" s="2060"/>
      <c r="KT1479" s="2060"/>
      <c r="KU1479" s="2060"/>
      <c r="KV1479" s="2060"/>
      <c r="KW1479" s="2060"/>
      <c r="KX1479" s="2060"/>
      <c r="KY1479" s="2060"/>
      <c r="KZ1479" s="2060"/>
      <c r="LA1479" s="2060"/>
      <c r="LB1479" s="2060"/>
      <c r="LC1479" s="2060"/>
      <c r="LD1479" s="2060"/>
      <c r="LE1479" s="2060"/>
      <c r="LF1479" s="2060"/>
      <c r="LG1479" s="2060"/>
      <c r="LH1479" s="2060"/>
    </row>
    <row r="1480" spans="1:320" s="1499" customFormat="1" ht="13.9">
      <c r="A1480" s="269" t="str">
        <f t="shared" si="406"/>
        <v>n</v>
      </c>
      <c r="B1480" s="2060"/>
      <c r="C1480" s="89"/>
      <c r="D1480" s="801"/>
      <c r="E1480" s="1505">
        <v>18</v>
      </c>
      <c r="F1480" s="21" t="str">
        <f>F$146</f>
        <v>--</v>
      </c>
      <c r="G1480" s="1441">
        <f>G$146</f>
        <v>0</v>
      </c>
      <c r="H1480" s="1441"/>
      <c r="I1480" s="1441"/>
      <c r="J1480" s="1441"/>
      <c r="K1480" s="2314" t="str">
        <f t="shared" ref="K1480:P1480" si="411">IFERROR(K800/K1081,"--")</f>
        <v>--</v>
      </c>
      <c r="L1480" s="2314" t="str">
        <f t="shared" si="411"/>
        <v>--</v>
      </c>
      <c r="M1480" s="2314" t="str">
        <f t="shared" si="411"/>
        <v>--</v>
      </c>
      <c r="N1480" s="2314" t="str">
        <f t="shared" si="411"/>
        <v>--</v>
      </c>
      <c r="O1480" s="2315" t="str">
        <f t="shared" si="411"/>
        <v>--</v>
      </c>
      <c r="P1480" s="2314" t="str">
        <f t="shared" si="411"/>
        <v>--</v>
      </c>
      <c r="Q1480" s="89"/>
      <c r="R1480" s="1466"/>
      <c r="S1480" s="89"/>
      <c r="T1480" s="53"/>
      <c r="U1480" s="89"/>
      <c r="V1480" s="89"/>
      <c r="W1480" s="89"/>
      <c r="X1480" s="89"/>
      <c r="Y1480" s="89"/>
      <c r="Z1480" s="89"/>
      <c r="AA1480" s="89"/>
      <c r="AB1480" s="89"/>
      <c r="AC1480" s="89"/>
      <c r="AD1480" s="89"/>
      <c r="AE1480" s="89"/>
      <c r="AF1480" s="89"/>
      <c r="AG1480" s="2060"/>
      <c r="AH1480" s="2060"/>
      <c r="AI1480" s="2060"/>
      <c r="AJ1480" s="2060"/>
      <c r="AK1480" s="2060"/>
      <c r="AL1480" s="2060"/>
      <c r="AM1480" s="2060"/>
      <c r="AN1480" s="2060"/>
      <c r="AO1480" s="2060"/>
      <c r="AP1480" s="2060"/>
      <c r="AQ1480" s="2060"/>
      <c r="AR1480" s="2060"/>
      <c r="AS1480" s="2060"/>
      <c r="AT1480" s="2060"/>
      <c r="AU1480" s="2060"/>
      <c r="AV1480" s="2060"/>
      <c r="AW1480" s="2060"/>
      <c r="AX1480" s="2060"/>
      <c r="AY1480" s="2060"/>
      <c r="AZ1480" s="2060"/>
      <c r="BA1480" s="2060"/>
      <c r="BB1480" s="2060"/>
      <c r="BC1480" s="2060"/>
      <c r="BD1480" s="2060"/>
      <c r="BE1480" s="2060"/>
      <c r="BF1480" s="2060"/>
      <c r="BG1480" s="2060"/>
      <c r="BH1480" s="2060"/>
      <c r="BI1480" s="2060"/>
      <c r="BJ1480" s="2060"/>
      <c r="BK1480" s="2060"/>
      <c r="BL1480" s="2060"/>
      <c r="BM1480" s="2060"/>
      <c r="BN1480" s="2060"/>
      <c r="BO1480" s="2060"/>
      <c r="BP1480" s="2060"/>
      <c r="BQ1480" s="2060"/>
      <c r="BR1480" s="2060"/>
      <c r="BS1480" s="2060"/>
      <c r="BT1480" s="2060"/>
      <c r="BU1480" s="2060"/>
      <c r="BV1480" s="2060"/>
      <c r="BW1480" s="2060"/>
      <c r="BX1480" s="2060"/>
      <c r="BY1480" s="2060"/>
      <c r="BZ1480" s="2060"/>
      <c r="CA1480" s="2060"/>
      <c r="CB1480" s="2060"/>
      <c r="CC1480" s="2060"/>
      <c r="CD1480" s="2060"/>
      <c r="CE1480" s="2060"/>
      <c r="CF1480" s="2060"/>
      <c r="CG1480" s="2060"/>
      <c r="CH1480" s="2060"/>
      <c r="CI1480" s="2060"/>
      <c r="CJ1480" s="2060"/>
      <c r="CK1480" s="2060"/>
      <c r="CL1480" s="2060"/>
      <c r="CM1480" s="2060"/>
      <c r="CN1480" s="2060"/>
      <c r="CO1480" s="2060"/>
      <c r="CP1480" s="2060"/>
      <c r="CQ1480" s="2060"/>
      <c r="CR1480" s="2060"/>
      <c r="CS1480" s="2060"/>
      <c r="CT1480" s="2060"/>
      <c r="CU1480" s="2060"/>
      <c r="CV1480" s="2060"/>
      <c r="CW1480" s="2060"/>
      <c r="CX1480" s="2060"/>
      <c r="CY1480" s="2060"/>
      <c r="CZ1480" s="2060"/>
      <c r="DA1480" s="2060"/>
      <c r="DB1480" s="2060"/>
      <c r="DC1480" s="2060"/>
      <c r="DD1480" s="2060"/>
      <c r="DE1480" s="2060"/>
      <c r="DF1480" s="2060"/>
      <c r="DG1480" s="2060"/>
      <c r="DH1480" s="2060"/>
      <c r="DI1480" s="2060"/>
      <c r="DJ1480" s="2060"/>
      <c r="DK1480" s="2060"/>
      <c r="DL1480" s="2060"/>
      <c r="DM1480" s="2060"/>
      <c r="DN1480" s="2060"/>
      <c r="DO1480" s="2060"/>
      <c r="DP1480" s="2060"/>
      <c r="DQ1480" s="2060"/>
      <c r="DR1480" s="2060"/>
      <c r="DS1480" s="2060"/>
      <c r="DT1480" s="2060"/>
      <c r="DU1480" s="2060"/>
      <c r="DV1480" s="2060"/>
      <c r="DW1480" s="2060"/>
      <c r="DX1480" s="2060"/>
      <c r="DY1480" s="2060"/>
      <c r="DZ1480" s="2060"/>
      <c r="EA1480" s="2060"/>
      <c r="EB1480" s="2060"/>
      <c r="EC1480" s="2060"/>
      <c r="ED1480" s="2060"/>
      <c r="EE1480" s="2060"/>
      <c r="EF1480" s="2060"/>
      <c r="EG1480" s="2060"/>
      <c r="EH1480" s="2060"/>
      <c r="EI1480" s="2060"/>
      <c r="EJ1480" s="2060"/>
      <c r="EK1480" s="2060"/>
      <c r="EL1480" s="2060"/>
      <c r="EM1480" s="2060"/>
      <c r="EN1480" s="2060"/>
      <c r="EO1480" s="2060"/>
      <c r="EP1480" s="2060"/>
      <c r="EQ1480" s="2060"/>
      <c r="ER1480" s="2060"/>
      <c r="ES1480" s="2060"/>
      <c r="ET1480" s="2060"/>
      <c r="EU1480" s="2060"/>
      <c r="EV1480" s="2060"/>
      <c r="EW1480" s="2060"/>
      <c r="EX1480" s="2060"/>
      <c r="EY1480" s="2060"/>
      <c r="EZ1480" s="2060"/>
      <c r="FA1480" s="2060"/>
      <c r="FB1480" s="2060"/>
      <c r="FC1480" s="2060"/>
      <c r="FD1480" s="2060"/>
      <c r="FE1480" s="2060"/>
      <c r="FF1480" s="2060"/>
      <c r="FG1480" s="2060"/>
      <c r="FH1480" s="2060"/>
      <c r="FI1480" s="2060"/>
      <c r="FJ1480" s="2060"/>
      <c r="FK1480" s="2060"/>
      <c r="FL1480" s="2060"/>
      <c r="FM1480" s="2060"/>
      <c r="FN1480" s="2060"/>
      <c r="FO1480" s="2060"/>
      <c r="FP1480" s="2060"/>
      <c r="FQ1480" s="2060"/>
      <c r="FR1480" s="2060"/>
      <c r="FS1480" s="2060"/>
      <c r="FT1480" s="2060"/>
      <c r="FU1480" s="2060"/>
      <c r="FV1480" s="2060"/>
      <c r="FW1480" s="2060"/>
      <c r="FX1480" s="2060"/>
      <c r="FY1480" s="2060"/>
      <c r="FZ1480" s="2060"/>
      <c r="GA1480" s="2060"/>
      <c r="GB1480" s="2060"/>
      <c r="GC1480" s="2060"/>
      <c r="GD1480" s="2060"/>
      <c r="GE1480" s="2060"/>
      <c r="GF1480" s="2060"/>
      <c r="GG1480" s="2060"/>
      <c r="GH1480" s="2060"/>
      <c r="GI1480" s="2060"/>
      <c r="GJ1480" s="2060"/>
      <c r="GK1480" s="2060"/>
      <c r="GL1480" s="2060"/>
      <c r="GM1480" s="2060"/>
      <c r="GN1480" s="2060"/>
      <c r="GO1480" s="2060"/>
      <c r="GP1480" s="2060"/>
      <c r="GQ1480" s="2060"/>
      <c r="GR1480" s="2060"/>
      <c r="GS1480" s="2060"/>
      <c r="GT1480" s="2060"/>
      <c r="GU1480" s="2060"/>
      <c r="GV1480" s="2060"/>
      <c r="GW1480" s="2060"/>
      <c r="GX1480" s="2060"/>
      <c r="GY1480" s="2060"/>
      <c r="GZ1480" s="2060"/>
      <c r="HA1480" s="2060"/>
      <c r="HB1480" s="2060"/>
      <c r="HC1480" s="2060"/>
      <c r="HD1480" s="2060"/>
      <c r="HE1480" s="2060"/>
      <c r="HF1480" s="2060"/>
      <c r="HG1480" s="2060"/>
      <c r="HH1480" s="2060"/>
      <c r="HI1480" s="2060"/>
      <c r="HJ1480" s="2060"/>
      <c r="HK1480" s="2060"/>
      <c r="HL1480" s="2060"/>
      <c r="HM1480" s="2060"/>
      <c r="HN1480" s="2060"/>
      <c r="HO1480" s="2060"/>
      <c r="HP1480" s="2060"/>
      <c r="HQ1480" s="2060"/>
      <c r="HR1480" s="2060"/>
      <c r="HS1480" s="2060"/>
      <c r="HT1480" s="2060"/>
      <c r="HU1480" s="2060"/>
      <c r="HV1480" s="2060"/>
      <c r="HW1480" s="2060"/>
      <c r="HX1480" s="2060"/>
      <c r="HY1480" s="2060"/>
      <c r="HZ1480" s="2060"/>
      <c r="IA1480" s="2060"/>
      <c r="IB1480" s="2060"/>
      <c r="IC1480" s="2060"/>
      <c r="ID1480" s="2060"/>
      <c r="IE1480" s="2060"/>
      <c r="IF1480" s="2060"/>
      <c r="IG1480" s="2060"/>
      <c r="IH1480" s="2060"/>
      <c r="II1480" s="2060"/>
      <c r="IJ1480" s="2060"/>
      <c r="IK1480" s="2060"/>
      <c r="IL1480" s="2060"/>
      <c r="IM1480" s="2060"/>
      <c r="IN1480" s="2060"/>
      <c r="IO1480" s="2060"/>
      <c r="IP1480" s="2060"/>
      <c r="IQ1480" s="2060"/>
      <c r="IR1480" s="2060"/>
      <c r="IS1480" s="2060"/>
      <c r="IT1480" s="2060"/>
      <c r="IU1480" s="2060"/>
      <c r="IV1480" s="2060"/>
      <c r="IW1480" s="2060"/>
      <c r="IX1480" s="2060"/>
      <c r="IY1480" s="2060"/>
      <c r="IZ1480" s="2060"/>
      <c r="JA1480" s="2060"/>
      <c r="JB1480" s="2060"/>
      <c r="JC1480" s="2060"/>
      <c r="JD1480" s="2060"/>
      <c r="JE1480" s="2060"/>
      <c r="JF1480" s="2060"/>
      <c r="JG1480" s="2060"/>
      <c r="JH1480" s="2060"/>
      <c r="JI1480" s="2060"/>
      <c r="JJ1480" s="2060"/>
      <c r="JK1480" s="2060"/>
      <c r="JL1480" s="2060"/>
      <c r="JM1480" s="2060"/>
      <c r="JN1480" s="2060"/>
      <c r="JO1480" s="2060"/>
      <c r="JP1480" s="2060"/>
      <c r="JQ1480" s="2060"/>
      <c r="JR1480" s="2060"/>
      <c r="JS1480" s="2060"/>
      <c r="JT1480" s="2060"/>
      <c r="JU1480" s="2060"/>
      <c r="JV1480" s="2060"/>
      <c r="JW1480" s="2060"/>
      <c r="JX1480" s="2060"/>
      <c r="JY1480" s="2060"/>
      <c r="JZ1480" s="2060"/>
      <c r="KA1480" s="2060"/>
      <c r="KB1480" s="2060"/>
      <c r="KC1480" s="2060"/>
      <c r="KD1480" s="2060"/>
      <c r="KE1480" s="2060"/>
      <c r="KF1480" s="2060"/>
      <c r="KG1480" s="2060"/>
      <c r="KH1480" s="2060"/>
      <c r="KI1480" s="2060"/>
      <c r="KJ1480" s="2060"/>
      <c r="KK1480" s="2060"/>
      <c r="KL1480" s="2060"/>
      <c r="KM1480" s="2060"/>
      <c r="KN1480" s="2060"/>
      <c r="KO1480" s="2060"/>
      <c r="KP1480" s="2060"/>
      <c r="KQ1480" s="2060"/>
      <c r="KR1480" s="2060"/>
      <c r="KS1480" s="2060"/>
      <c r="KT1480" s="2060"/>
      <c r="KU1480" s="2060"/>
      <c r="KV1480" s="2060"/>
      <c r="KW1480" s="2060"/>
      <c r="KX1480" s="2060"/>
      <c r="KY1480" s="2060"/>
      <c r="KZ1480" s="2060"/>
      <c r="LA1480" s="2060"/>
      <c r="LB1480" s="2060"/>
      <c r="LC1480" s="2060"/>
      <c r="LD1480" s="2060"/>
      <c r="LE1480" s="2060"/>
      <c r="LF1480" s="2060"/>
      <c r="LG1480" s="2060"/>
      <c r="LH1480" s="2060"/>
    </row>
    <row r="1481" spans="1:320" s="1499" customFormat="1" ht="13.9">
      <c r="A1481" s="269" t="str">
        <f t="shared" si="406"/>
        <v>n</v>
      </c>
      <c r="B1481" s="2060"/>
      <c r="C1481" s="89"/>
      <c r="D1481" s="801"/>
      <c r="E1481" s="1505">
        <v>19</v>
      </c>
      <c r="F1481" s="21" t="str">
        <f>F$147</f>
        <v>--</v>
      </c>
      <c r="G1481" s="1441">
        <f>G$147</f>
        <v>0</v>
      </c>
      <c r="H1481" s="1441"/>
      <c r="I1481" s="1441"/>
      <c r="J1481" s="1441"/>
      <c r="K1481" s="2314" t="str">
        <f t="shared" ref="K1481:P1481" si="412">IFERROR(K801/K1082,"--")</f>
        <v>--</v>
      </c>
      <c r="L1481" s="2314" t="str">
        <f t="shared" si="412"/>
        <v>--</v>
      </c>
      <c r="M1481" s="2314" t="str">
        <f t="shared" si="412"/>
        <v>--</v>
      </c>
      <c r="N1481" s="2314" t="str">
        <f t="shared" si="412"/>
        <v>--</v>
      </c>
      <c r="O1481" s="2315" t="str">
        <f t="shared" si="412"/>
        <v>--</v>
      </c>
      <c r="P1481" s="2314" t="str">
        <f t="shared" si="412"/>
        <v>--</v>
      </c>
      <c r="Q1481" s="89"/>
      <c r="R1481" s="1466"/>
      <c r="S1481" s="89"/>
      <c r="T1481" s="53"/>
      <c r="U1481" s="89"/>
      <c r="V1481" s="89"/>
      <c r="W1481" s="89"/>
      <c r="X1481" s="89"/>
      <c r="Y1481" s="89"/>
      <c r="Z1481" s="89"/>
      <c r="AA1481" s="89"/>
      <c r="AB1481" s="89"/>
      <c r="AC1481" s="89"/>
      <c r="AD1481" s="89"/>
      <c r="AE1481" s="89"/>
      <c r="AF1481" s="89"/>
      <c r="AG1481" s="2060"/>
      <c r="AH1481" s="2060"/>
      <c r="AI1481" s="2060"/>
      <c r="AJ1481" s="2060"/>
      <c r="AK1481" s="2060"/>
      <c r="AL1481" s="2060"/>
      <c r="AM1481" s="2060"/>
      <c r="AN1481" s="2060"/>
      <c r="AO1481" s="2060"/>
      <c r="AP1481" s="2060"/>
      <c r="AQ1481" s="2060"/>
      <c r="AR1481" s="2060"/>
      <c r="AS1481" s="2060"/>
      <c r="AT1481" s="2060"/>
      <c r="AU1481" s="2060"/>
      <c r="AV1481" s="2060"/>
      <c r="AW1481" s="2060"/>
      <c r="AX1481" s="2060"/>
      <c r="AY1481" s="2060"/>
      <c r="AZ1481" s="2060"/>
      <c r="BA1481" s="2060"/>
      <c r="BB1481" s="2060"/>
      <c r="BC1481" s="2060"/>
      <c r="BD1481" s="2060"/>
      <c r="BE1481" s="2060"/>
      <c r="BF1481" s="2060"/>
      <c r="BG1481" s="2060"/>
      <c r="BH1481" s="2060"/>
      <c r="BI1481" s="2060"/>
      <c r="BJ1481" s="2060"/>
      <c r="BK1481" s="2060"/>
      <c r="BL1481" s="2060"/>
      <c r="BM1481" s="2060"/>
      <c r="BN1481" s="2060"/>
      <c r="BO1481" s="2060"/>
      <c r="BP1481" s="2060"/>
      <c r="BQ1481" s="2060"/>
      <c r="BR1481" s="2060"/>
      <c r="BS1481" s="2060"/>
      <c r="BT1481" s="2060"/>
      <c r="BU1481" s="2060"/>
      <c r="BV1481" s="2060"/>
      <c r="BW1481" s="2060"/>
      <c r="BX1481" s="2060"/>
      <c r="BY1481" s="2060"/>
      <c r="BZ1481" s="2060"/>
      <c r="CA1481" s="2060"/>
      <c r="CB1481" s="2060"/>
      <c r="CC1481" s="2060"/>
      <c r="CD1481" s="2060"/>
      <c r="CE1481" s="2060"/>
      <c r="CF1481" s="2060"/>
      <c r="CG1481" s="2060"/>
      <c r="CH1481" s="2060"/>
      <c r="CI1481" s="2060"/>
      <c r="CJ1481" s="2060"/>
      <c r="CK1481" s="2060"/>
      <c r="CL1481" s="2060"/>
      <c r="CM1481" s="2060"/>
      <c r="CN1481" s="2060"/>
      <c r="CO1481" s="2060"/>
      <c r="CP1481" s="2060"/>
      <c r="CQ1481" s="2060"/>
      <c r="CR1481" s="2060"/>
      <c r="CS1481" s="2060"/>
      <c r="CT1481" s="2060"/>
      <c r="CU1481" s="2060"/>
      <c r="CV1481" s="2060"/>
      <c r="CW1481" s="2060"/>
      <c r="CX1481" s="2060"/>
      <c r="CY1481" s="2060"/>
      <c r="CZ1481" s="2060"/>
      <c r="DA1481" s="2060"/>
      <c r="DB1481" s="2060"/>
      <c r="DC1481" s="2060"/>
      <c r="DD1481" s="2060"/>
      <c r="DE1481" s="2060"/>
      <c r="DF1481" s="2060"/>
      <c r="DG1481" s="2060"/>
      <c r="DH1481" s="2060"/>
      <c r="DI1481" s="2060"/>
      <c r="DJ1481" s="2060"/>
      <c r="DK1481" s="2060"/>
      <c r="DL1481" s="2060"/>
      <c r="DM1481" s="2060"/>
      <c r="DN1481" s="2060"/>
      <c r="DO1481" s="2060"/>
      <c r="DP1481" s="2060"/>
      <c r="DQ1481" s="2060"/>
      <c r="DR1481" s="2060"/>
      <c r="DS1481" s="2060"/>
      <c r="DT1481" s="2060"/>
      <c r="DU1481" s="2060"/>
      <c r="DV1481" s="2060"/>
      <c r="DW1481" s="2060"/>
      <c r="DX1481" s="2060"/>
      <c r="DY1481" s="2060"/>
      <c r="DZ1481" s="2060"/>
      <c r="EA1481" s="2060"/>
      <c r="EB1481" s="2060"/>
      <c r="EC1481" s="2060"/>
      <c r="ED1481" s="2060"/>
      <c r="EE1481" s="2060"/>
      <c r="EF1481" s="2060"/>
      <c r="EG1481" s="2060"/>
      <c r="EH1481" s="2060"/>
      <c r="EI1481" s="2060"/>
      <c r="EJ1481" s="2060"/>
      <c r="EK1481" s="2060"/>
      <c r="EL1481" s="2060"/>
      <c r="EM1481" s="2060"/>
      <c r="EN1481" s="2060"/>
      <c r="EO1481" s="2060"/>
      <c r="EP1481" s="2060"/>
      <c r="EQ1481" s="2060"/>
      <c r="ER1481" s="2060"/>
      <c r="ES1481" s="2060"/>
      <c r="ET1481" s="2060"/>
      <c r="EU1481" s="2060"/>
      <c r="EV1481" s="2060"/>
      <c r="EW1481" s="2060"/>
      <c r="EX1481" s="2060"/>
      <c r="EY1481" s="2060"/>
      <c r="EZ1481" s="2060"/>
      <c r="FA1481" s="2060"/>
      <c r="FB1481" s="2060"/>
      <c r="FC1481" s="2060"/>
      <c r="FD1481" s="2060"/>
      <c r="FE1481" s="2060"/>
      <c r="FF1481" s="2060"/>
      <c r="FG1481" s="2060"/>
      <c r="FH1481" s="2060"/>
      <c r="FI1481" s="2060"/>
      <c r="FJ1481" s="2060"/>
      <c r="FK1481" s="2060"/>
      <c r="FL1481" s="2060"/>
      <c r="FM1481" s="2060"/>
      <c r="FN1481" s="2060"/>
      <c r="FO1481" s="2060"/>
      <c r="FP1481" s="2060"/>
      <c r="FQ1481" s="2060"/>
      <c r="FR1481" s="2060"/>
      <c r="FS1481" s="2060"/>
      <c r="FT1481" s="2060"/>
      <c r="FU1481" s="2060"/>
      <c r="FV1481" s="2060"/>
      <c r="FW1481" s="2060"/>
      <c r="FX1481" s="2060"/>
      <c r="FY1481" s="2060"/>
      <c r="FZ1481" s="2060"/>
      <c r="GA1481" s="2060"/>
      <c r="GB1481" s="2060"/>
      <c r="GC1481" s="2060"/>
      <c r="GD1481" s="2060"/>
      <c r="GE1481" s="2060"/>
      <c r="GF1481" s="2060"/>
      <c r="GG1481" s="2060"/>
      <c r="GH1481" s="2060"/>
      <c r="GI1481" s="2060"/>
      <c r="GJ1481" s="2060"/>
      <c r="GK1481" s="2060"/>
      <c r="GL1481" s="2060"/>
      <c r="GM1481" s="2060"/>
      <c r="GN1481" s="2060"/>
      <c r="GO1481" s="2060"/>
      <c r="GP1481" s="2060"/>
      <c r="GQ1481" s="2060"/>
      <c r="GR1481" s="2060"/>
      <c r="GS1481" s="2060"/>
      <c r="GT1481" s="2060"/>
      <c r="GU1481" s="2060"/>
      <c r="GV1481" s="2060"/>
      <c r="GW1481" s="2060"/>
      <c r="GX1481" s="2060"/>
      <c r="GY1481" s="2060"/>
      <c r="GZ1481" s="2060"/>
      <c r="HA1481" s="2060"/>
      <c r="HB1481" s="2060"/>
      <c r="HC1481" s="2060"/>
      <c r="HD1481" s="2060"/>
      <c r="HE1481" s="2060"/>
      <c r="HF1481" s="2060"/>
      <c r="HG1481" s="2060"/>
      <c r="HH1481" s="2060"/>
      <c r="HI1481" s="2060"/>
      <c r="HJ1481" s="2060"/>
      <c r="HK1481" s="2060"/>
      <c r="HL1481" s="2060"/>
      <c r="HM1481" s="2060"/>
      <c r="HN1481" s="2060"/>
      <c r="HO1481" s="2060"/>
      <c r="HP1481" s="2060"/>
      <c r="HQ1481" s="2060"/>
      <c r="HR1481" s="2060"/>
      <c r="HS1481" s="2060"/>
      <c r="HT1481" s="2060"/>
      <c r="HU1481" s="2060"/>
      <c r="HV1481" s="2060"/>
      <c r="HW1481" s="2060"/>
      <c r="HX1481" s="2060"/>
      <c r="HY1481" s="2060"/>
      <c r="HZ1481" s="2060"/>
      <c r="IA1481" s="2060"/>
      <c r="IB1481" s="2060"/>
      <c r="IC1481" s="2060"/>
      <c r="ID1481" s="2060"/>
      <c r="IE1481" s="2060"/>
      <c r="IF1481" s="2060"/>
      <c r="IG1481" s="2060"/>
      <c r="IH1481" s="2060"/>
      <c r="II1481" s="2060"/>
      <c r="IJ1481" s="2060"/>
      <c r="IK1481" s="2060"/>
      <c r="IL1481" s="2060"/>
      <c r="IM1481" s="2060"/>
      <c r="IN1481" s="2060"/>
      <c r="IO1481" s="2060"/>
      <c r="IP1481" s="2060"/>
      <c r="IQ1481" s="2060"/>
      <c r="IR1481" s="2060"/>
      <c r="IS1481" s="2060"/>
      <c r="IT1481" s="2060"/>
      <c r="IU1481" s="2060"/>
      <c r="IV1481" s="2060"/>
      <c r="IW1481" s="2060"/>
      <c r="IX1481" s="2060"/>
      <c r="IY1481" s="2060"/>
      <c r="IZ1481" s="2060"/>
      <c r="JA1481" s="2060"/>
      <c r="JB1481" s="2060"/>
      <c r="JC1481" s="2060"/>
      <c r="JD1481" s="2060"/>
      <c r="JE1481" s="2060"/>
      <c r="JF1481" s="2060"/>
      <c r="JG1481" s="2060"/>
      <c r="JH1481" s="2060"/>
      <c r="JI1481" s="2060"/>
      <c r="JJ1481" s="2060"/>
      <c r="JK1481" s="2060"/>
      <c r="JL1481" s="2060"/>
      <c r="JM1481" s="2060"/>
      <c r="JN1481" s="2060"/>
      <c r="JO1481" s="2060"/>
      <c r="JP1481" s="2060"/>
      <c r="JQ1481" s="2060"/>
      <c r="JR1481" s="2060"/>
      <c r="JS1481" s="2060"/>
      <c r="JT1481" s="2060"/>
      <c r="JU1481" s="2060"/>
      <c r="JV1481" s="2060"/>
      <c r="JW1481" s="2060"/>
      <c r="JX1481" s="2060"/>
      <c r="JY1481" s="2060"/>
      <c r="JZ1481" s="2060"/>
      <c r="KA1481" s="2060"/>
      <c r="KB1481" s="2060"/>
      <c r="KC1481" s="2060"/>
      <c r="KD1481" s="2060"/>
      <c r="KE1481" s="2060"/>
      <c r="KF1481" s="2060"/>
      <c r="KG1481" s="2060"/>
      <c r="KH1481" s="2060"/>
      <c r="KI1481" s="2060"/>
      <c r="KJ1481" s="2060"/>
      <c r="KK1481" s="2060"/>
      <c r="KL1481" s="2060"/>
      <c r="KM1481" s="2060"/>
      <c r="KN1481" s="2060"/>
      <c r="KO1481" s="2060"/>
      <c r="KP1481" s="2060"/>
      <c r="KQ1481" s="2060"/>
      <c r="KR1481" s="2060"/>
      <c r="KS1481" s="2060"/>
      <c r="KT1481" s="2060"/>
      <c r="KU1481" s="2060"/>
      <c r="KV1481" s="2060"/>
      <c r="KW1481" s="2060"/>
      <c r="KX1481" s="2060"/>
      <c r="KY1481" s="2060"/>
      <c r="KZ1481" s="2060"/>
      <c r="LA1481" s="2060"/>
      <c r="LB1481" s="2060"/>
      <c r="LC1481" s="2060"/>
      <c r="LD1481" s="2060"/>
      <c r="LE1481" s="2060"/>
      <c r="LF1481" s="2060"/>
      <c r="LG1481" s="2060"/>
      <c r="LH1481" s="2060"/>
    </row>
    <row r="1482" spans="1:320" s="1499" customFormat="1" ht="13.9">
      <c r="A1482" s="269" t="str">
        <f t="shared" si="406"/>
        <v>n</v>
      </c>
      <c r="B1482" s="2060"/>
      <c r="C1482" s="89"/>
      <c r="D1482" s="801"/>
      <c r="E1482" s="1505">
        <v>20</v>
      </c>
      <c r="F1482" s="21" t="str">
        <f>F$148</f>
        <v>--</v>
      </c>
      <c r="G1482" s="1441">
        <f>G$148</f>
        <v>0</v>
      </c>
      <c r="H1482" s="1441"/>
      <c r="I1482" s="1441"/>
      <c r="J1482" s="1441"/>
      <c r="K1482" s="2314" t="str">
        <f t="shared" ref="K1482:P1482" si="413">IFERROR(K802/K1083,"--")</f>
        <v>--</v>
      </c>
      <c r="L1482" s="2314" t="str">
        <f t="shared" si="413"/>
        <v>--</v>
      </c>
      <c r="M1482" s="2314" t="str">
        <f t="shared" si="413"/>
        <v>--</v>
      </c>
      <c r="N1482" s="2314" t="str">
        <f t="shared" si="413"/>
        <v>--</v>
      </c>
      <c r="O1482" s="2315" t="str">
        <f t="shared" si="413"/>
        <v>--</v>
      </c>
      <c r="P1482" s="2314" t="str">
        <f t="shared" si="413"/>
        <v>--</v>
      </c>
      <c r="Q1482" s="89"/>
      <c r="R1482" s="1466"/>
      <c r="S1482" s="89"/>
      <c r="T1482" s="53"/>
      <c r="U1482" s="89"/>
      <c r="V1482" s="89"/>
      <c r="W1482" s="89"/>
      <c r="X1482" s="89"/>
      <c r="Y1482" s="89"/>
      <c r="Z1482" s="89"/>
      <c r="AA1482" s="89"/>
      <c r="AB1482" s="89"/>
      <c r="AC1482" s="89"/>
      <c r="AD1482" s="89"/>
      <c r="AE1482" s="89"/>
      <c r="AF1482" s="89"/>
      <c r="AG1482" s="2060"/>
      <c r="AH1482" s="2060"/>
      <c r="AI1482" s="2060"/>
      <c r="AJ1482" s="2060"/>
      <c r="AK1482" s="2060"/>
      <c r="AL1482" s="2060"/>
      <c r="AM1482" s="2060"/>
      <c r="AN1482" s="2060"/>
      <c r="AO1482" s="2060"/>
      <c r="AP1482" s="2060"/>
      <c r="AQ1482" s="2060"/>
      <c r="AR1482" s="2060"/>
      <c r="AS1482" s="2060"/>
      <c r="AT1482" s="2060"/>
      <c r="AU1482" s="2060"/>
      <c r="AV1482" s="2060"/>
      <c r="AW1482" s="2060"/>
      <c r="AX1482" s="2060"/>
      <c r="AY1482" s="2060"/>
      <c r="AZ1482" s="2060"/>
      <c r="BA1482" s="2060"/>
      <c r="BB1482" s="2060"/>
      <c r="BC1482" s="2060"/>
      <c r="BD1482" s="2060"/>
      <c r="BE1482" s="2060"/>
      <c r="BF1482" s="2060"/>
      <c r="BG1482" s="2060"/>
      <c r="BH1482" s="2060"/>
      <c r="BI1482" s="2060"/>
      <c r="BJ1482" s="2060"/>
      <c r="BK1482" s="2060"/>
      <c r="BL1482" s="2060"/>
      <c r="BM1482" s="2060"/>
      <c r="BN1482" s="2060"/>
      <c r="BO1482" s="2060"/>
      <c r="BP1482" s="2060"/>
      <c r="BQ1482" s="2060"/>
      <c r="BR1482" s="2060"/>
      <c r="BS1482" s="2060"/>
      <c r="BT1482" s="2060"/>
      <c r="BU1482" s="2060"/>
      <c r="BV1482" s="2060"/>
      <c r="BW1482" s="2060"/>
      <c r="BX1482" s="2060"/>
      <c r="BY1482" s="2060"/>
      <c r="BZ1482" s="2060"/>
      <c r="CA1482" s="2060"/>
      <c r="CB1482" s="2060"/>
      <c r="CC1482" s="2060"/>
      <c r="CD1482" s="2060"/>
      <c r="CE1482" s="2060"/>
      <c r="CF1482" s="2060"/>
      <c r="CG1482" s="2060"/>
      <c r="CH1482" s="2060"/>
      <c r="CI1482" s="2060"/>
      <c r="CJ1482" s="2060"/>
      <c r="CK1482" s="2060"/>
      <c r="CL1482" s="2060"/>
      <c r="CM1482" s="2060"/>
      <c r="CN1482" s="2060"/>
      <c r="CO1482" s="2060"/>
      <c r="CP1482" s="2060"/>
      <c r="CQ1482" s="2060"/>
      <c r="CR1482" s="2060"/>
      <c r="CS1482" s="2060"/>
      <c r="CT1482" s="2060"/>
      <c r="CU1482" s="2060"/>
      <c r="CV1482" s="2060"/>
      <c r="CW1482" s="2060"/>
      <c r="CX1482" s="2060"/>
      <c r="CY1482" s="2060"/>
      <c r="CZ1482" s="2060"/>
      <c r="DA1482" s="2060"/>
      <c r="DB1482" s="2060"/>
      <c r="DC1482" s="2060"/>
      <c r="DD1482" s="2060"/>
      <c r="DE1482" s="2060"/>
      <c r="DF1482" s="2060"/>
      <c r="DG1482" s="2060"/>
      <c r="DH1482" s="2060"/>
      <c r="DI1482" s="2060"/>
      <c r="DJ1482" s="2060"/>
      <c r="DK1482" s="2060"/>
      <c r="DL1482" s="2060"/>
      <c r="DM1482" s="2060"/>
      <c r="DN1482" s="2060"/>
      <c r="DO1482" s="2060"/>
      <c r="DP1482" s="2060"/>
      <c r="DQ1482" s="2060"/>
      <c r="DR1482" s="2060"/>
      <c r="DS1482" s="2060"/>
      <c r="DT1482" s="2060"/>
      <c r="DU1482" s="2060"/>
      <c r="DV1482" s="2060"/>
      <c r="DW1482" s="2060"/>
      <c r="DX1482" s="2060"/>
      <c r="DY1482" s="2060"/>
      <c r="DZ1482" s="2060"/>
      <c r="EA1482" s="2060"/>
      <c r="EB1482" s="2060"/>
      <c r="EC1482" s="2060"/>
      <c r="ED1482" s="2060"/>
      <c r="EE1482" s="2060"/>
      <c r="EF1482" s="2060"/>
      <c r="EG1482" s="2060"/>
      <c r="EH1482" s="2060"/>
      <c r="EI1482" s="2060"/>
      <c r="EJ1482" s="2060"/>
      <c r="EK1482" s="2060"/>
      <c r="EL1482" s="2060"/>
      <c r="EM1482" s="2060"/>
      <c r="EN1482" s="2060"/>
      <c r="EO1482" s="2060"/>
      <c r="EP1482" s="2060"/>
      <c r="EQ1482" s="2060"/>
      <c r="ER1482" s="2060"/>
      <c r="ES1482" s="2060"/>
      <c r="ET1482" s="2060"/>
      <c r="EU1482" s="2060"/>
      <c r="EV1482" s="2060"/>
      <c r="EW1482" s="2060"/>
      <c r="EX1482" s="2060"/>
      <c r="EY1482" s="2060"/>
      <c r="EZ1482" s="2060"/>
      <c r="FA1482" s="2060"/>
      <c r="FB1482" s="2060"/>
      <c r="FC1482" s="2060"/>
      <c r="FD1482" s="2060"/>
      <c r="FE1482" s="2060"/>
      <c r="FF1482" s="2060"/>
      <c r="FG1482" s="2060"/>
      <c r="FH1482" s="2060"/>
      <c r="FI1482" s="2060"/>
      <c r="FJ1482" s="2060"/>
      <c r="FK1482" s="2060"/>
      <c r="FL1482" s="2060"/>
      <c r="FM1482" s="2060"/>
      <c r="FN1482" s="2060"/>
      <c r="FO1482" s="2060"/>
      <c r="FP1482" s="2060"/>
      <c r="FQ1482" s="2060"/>
      <c r="FR1482" s="2060"/>
      <c r="FS1482" s="2060"/>
      <c r="FT1482" s="2060"/>
      <c r="FU1482" s="2060"/>
      <c r="FV1482" s="2060"/>
      <c r="FW1482" s="2060"/>
      <c r="FX1482" s="2060"/>
      <c r="FY1482" s="2060"/>
      <c r="FZ1482" s="2060"/>
      <c r="GA1482" s="2060"/>
      <c r="GB1482" s="2060"/>
      <c r="GC1482" s="2060"/>
      <c r="GD1482" s="2060"/>
      <c r="GE1482" s="2060"/>
      <c r="GF1482" s="2060"/>
      <c r="GG1482" s="2060"/>
      <c r="GH1482" s="2060"/>
      <c r="GI1482" s="2060"/>
      <c r="GJ1482" s="2060"/>
      <c r="GK1482" s="2060"/>
      <c r="GL1482" s="2060"/>
      <c r="GM1482" s="2060"/>
      <c r="GN1482" s="2060"/>
      <c r="GO1482" s="2060"/>
      <c r="GP1482" s="2060"/>
      <c r="GQ1482" s="2060"/>
      <c r="GR1482" s="2060"/>
      <c r="GS1482" s="2060"/>
      <c r="GT1482" s="2060"/>
      <c r="GU1482" s="2060"/>
      <c r="GV1482" s="2060"/>
      <c r="GW1482" s="2060"/>
      <c r="GX1482" s="2060"/>
      <c r="GY1482" s="2060"/>
      <c r="GZ1482" s="2060"/>
      <c r="HA1482" s="2060"/>
      <c r="HB1482" s="2060"/>
      <c r="HC1482" s="2060"/>
      <c r="HD1482" s="2060"/>
      <c r="HE1482" s="2060"/>
      <c r="HF1482" s="2060"/>
      <c r="HG1482" s="2060"/>
      <c r="HH1482" s="2060"/>
      <c r="HI1482" s="2060"/>
      <c r="HJ1482" s="2060"/>
      <c r="HK1482" s="2060"/>
      <c r="HL1482" s="2060"/>
      <c r="HM1482" s="2060"/>
      <c r="HN1482" s="2060"/>
      <c r="HO1482" s="2060"/>
      <c r="HP1482" s="2060"/>
      <c r="HQ1482" s="2060"/>
      <c r="HR1482" s="2060"/>
      <c r="HS1482" s="2060"/>
      <c r="HT1482" s="2060"/>
      <c r="HU1482" s="2060"/>
      <c r="HV1482" s="2060"/>
      <c r="HW1482" s="2060"/>
      <c r="HX1482" s="2060"/>
      <c r="HY1482" s="2060"/>
      <c r="HZ1482" s="2060"/>
      <c r="IA1482" s="2060"/>
      <c r="IB1482" s="2060"/>
      <c r="IC1482" s="2060"/>
      <c r="ID1482" s="2060"/>
      <c r="IE1482" s="2060"/>
      <c r="IF1482" s="2060"/>
      <c r="IG1482" s="2060"/>
      <c r="IH1482" s="2060"/>
      <c r="II1482" s="2060"/>
      <c r="IJ1482" s="2060"/>
      <c r="IK1482" s="2060"/>
      <c r="IL1482" s="2060"/>
      <c r="IM1482" s="2060"/>
      <c r="IN1482" s="2060"/>
      <c r="IO1482" s="2060"/>
      <c r="IP1482" s="2060"/>
      <c r="IQ1482" s="2060"/>
      <c r="IR1482" s="2060"/>
      <c r="IS1482" s="2060"/>
      <c r="IT1482" s="2060"/>
      <c r="IU1482" s="2060"/>
      <c r="IV1482" s="2060"/>
      <c r="IW1482" s="2060"/>
      <c r="IX1482" s="2060"/>
      <c r="IY1482" s="2060"/>
      <c r="IZ1482" s="2060"/>
      <c r="JA1482" s="2060"/>
      <c r="JB1482" s="2060"/>
      <c r="JC1482" s="2060"/>
      <c r="JD1482" s="2060"/>
      <c r="JE1482" s="2060"/>
      <c r="JF1482" s="2060"/>
      <c r="JG1482" s="2060"/>
      <c r="JH1482" s="2060"/>
      <c r="JI1482" s="2060"/>
      <c r="JJ1482" s="2060"/>
      <c r="JK1482" s="2060"/>
      <c r="JL1482" s="2060"/>
      <c r="JM1482" s="2060"/>
      <c r="JN1482" s="2060"/>
      <c r="JO1482" s="2060"/>
      <c r="JP1482" s="2060"/>
      <c r="JQ1482" s="2060"/>
      <c r="JR1482" s="2060"/>
      <c r="JS1482" s="2060"/>
      <c r="JT1482" s="2060"/>
      <c r="JU1482" s="2060"/>
      <c r="JV1482" s="2060"/>
      <c r="JW1482" s="2060"/>
      <c r="JX1482" s="2060"/>
      <c r="JY1482" s="2060"/>
      <c r="JZ1482" s="2060"/>
      <c r="KA1482" s="2060"/>
      <c r="KB1482" s="2060"/>
      <c r="KC1482" s="2060"/>
      <c r="KD1482" s="2060"/>
      <c r="KE1482" s="2060"/>
      <c r="KF1482" s="2060"/>
      <c r="KG1482" s="2060"/>
      <c r="KH1482" s="2060"/>
      <c r="KI1482" s="2060"/>
      <c r="KJ1482" s="2060"/>
      <c r="KK1482" s="2060"/>
      <c r="KL1482" s="2060"/>
      <c r="KM1482" s="2060"/>
      <c r="KN1482" s="2060"/>
      <c r="KO1482" s="2060"/>
      <c r="KP1482" s="2060"/>
      <c r="KQ1482" s="2060"/>
      <c r="KR1482" s="2060"/>
      <c r="KS1482" s="2060"/>
      <c r="KT1482" s="2060"/>
      <c r="KU1482" s="2060"/>
      <c r="KV1482" s="2060"/>
      <c r="KW1482" s="2060"/>
      <c r="KX1482" s="2060"/>
      <c r="KY1482" s="2060"/>
      <c r="KZ1482" s="2060"/>
      <c r="LA1482" s="2060"/>
      <c r="LB1482" s="2060"/>
      <c r="LC1482" s="2060"/>
      <c r="LD1482" s="2060"/>
      <c r="LE1482" s="2060"/>
      <c r="LF1482" s="2060"/>
      <c r="LG1482" s="2060"/>
      <c r="LH1482" s="2060"/>
    </row>
    <row r="1483" spans="1:320" s="1499" customFormat="1" ht="13.9">
      <c r="A1483" s="269" t="str">
        <f t="shared" si="406"/>
        <v>n</v>
      </c>
      <c r="B1483" s="2060"/>
      <c r="C1483" s="89"/>
      <c r="D1483" s="801"/>
      <c r="E1483" s="1505">
        <v>21</v>
      </c>
      <c r="F1483" s="21" t="str">
        <f>F$149</f>
        <v>--</v>
      </c>
      <c r="G1483" s="1441">
        <f>G$149</f>
        <v>0</v>
      </c>
      <c r="H1483" s="1441"/>
      <c r="I1483" s="1441"/>
      <c r="J1483" s="1441"/>
      <c r="K1483" s="2314" t="str">
        <f t="shared" ref="K1483:P1483" si="414">IFERROR(K803/K1084,"--")</f>
        <v>--</v>
      </c>
      <c r="L1483" s="2314" t="str">
        <f t="shared" si="414"/>
        <v>--</v>
      </c>
      <c r="M1483" s="2314" t="str">
        <f t="shared" si="414"/>
        <v>--</v>
      </c>
      <c r="N1483" s="2314" t="str">
        <f t="shared" si="414"/>
        <v>--</v>
      </c>
      <c r="O1483" s="2315" t="str">
        <f t="shared" si="414"/>
        <v>--</v>
      </c>
      <c r="P1483" s="2314" t="str">
        <f t="shared" si="414"/>
        <v>--</v>
      </c>
      <c r="Q1483" s="89"/>
      <c r="R1483" s="1466"/>
      <c r="S1483" s="89"/>
      <c r="T1483" s="53"/>
      <c r="U1483" s="89"/>
      <c r="V1483" s="89"/>
      <c r="W1483" s="89"/>
      <c r="X1483" s="89"/>
      <c r="Y1483" s="89"/>
      <c r="Z1483" s="89"/>
      <c r="AA1483" s="89"/>
      <c r="AB1483" s="89"/>
      <c r="AC1483" s="89"/>
      <c r="AD1483" s="89"/>
      <c r="AE1483" s="89"/>
      <c r="AF1483" s="89"/>
      <c r="AG1483" s="2060"/>
      <c r="AH1483" s="2060"/>
      <c r="AI1483" s="2060"/>
      <c r="AJ1483" s="2060"/>
      <c r="AK1483" s="2060"/>
      <c r="AL1483" s="2060"/>
      <c r="AM1483" s="2060"/>
      <c r="AN1483" s="2060"/>
      <c r="AO1483" s="2060"/>
      <c r="AP1483" s="2060"/>
      <c r="AQ1483" s="2060"/>
      <c r="AR1483" s="2060"/>
      <c r="AS1483" s="2060"/>
      <c r="AT1483" s="2060"/>
      <c r="AU1483" s="2060"/>
      <c r="AV1483" s="2060"/>
      <c r="AW1483" s="2060"/>
      <c r="AX1483" s="2060"/>
      <c r="AY1483" s="2060"/>
      <c r="AZ1483" s="2060"/>
      <c r="BA1483" s="2060"/>
      <c r="BB1483" s="2060"/>
      <c r="BC1483" s="2060"/>
      <c r="BD1483" s="2060"/>
      <c r="BE1483" s="2060"/>
      <c r="BF1483" s="2060"/>
      <c r="BG1483" s="2060"/>
      <c r="BH1483" s="2060"/>
      <c r="BI1483" s="2060"/>
      <c r="BJ1483" s="2060"/>
      <c r="BK1483" s="2060"/>
      <c r="BL1483" s="2060"/>
      <c r="BM1483" s="2060"/>
      <c r="BN1483" s="2060"/>
      <c r="BO1483" s="2060"/>
      <c r="BP1483" s="2060"/>
      <c r="BQ1483" s="2060"/>
      <c r="BR1483" s="2060"/>
      <c r="BS1483" s="2060"/>
      <c r="BT1483" s="2060"/>
      <c r="BU1483" s="2060"/>
      <c r="BV1483" s="2060"/>
      <c r="BW1483" s="2060"/>
      <c r="BX1483" s="2060"/>
      <c r="BY1483" s="2060"/>
      <c r="BZ1483" s="2060"/>
      <c r="CA1483" s="2060"/>
      <c r="CB1483" s="2060"/>
      <c r="CC1483" s="2060"/>
      <c r="CD1483" s="2060"/>
      <c r="CE1483" s="2060"/>
      <c r="CF1483" s="2060"/>
      <c r="CG1483" s="2060"/>
      <c r="CH1483" s="2060"/>
      <c r="CI1483" s="2060"/>
      <c r="CJ1483" s="2060"/>
      <c r="CK1483" s="2060"/>
      <c r="CL1483" s="2060"/>
      <c r="CM1483" s="2060"/>
      <c r="CN1483" s="2060"/>
      <c r="CO1483" s="2060"/>
      <c r="CP1483" s="2060"/>
      <c r="CQ1483" s="2060"/>
      <c r="CR1483" s="2060"/>
      <c r="CS1483" s="2060"/>
      <c r="CT1483" s="2060"/>
      <c r="CU1483" s="2060"/>
      <c r="CV1483" s="2060"/>
      <c r="CW1483" s="2060"/>
      <c r="CX1483" s="2060"/>
      <c r="CY1483" s="2060"/>
      <c r="CZ1483" s="2060"/>
      <c r="DA1483" s="2060"/>
      <c r="DB1483" s="2060"/>
      <c r="DC1483" s="2060"/>
      <c r="DD1483" s="2060"/>
      <c r="DE1483" s="2060"/>
      <c r="DF1483" s="2060"/>
      <c r="DG1483" s="2060"/>
      <c r="DH1483" s="2060"/>
      <c r="DI1483" s="2060"/>
      <c r="DJ1483" s="2060"/>
      <c r="DK1483" s="2060"/>
      <c r="DL1483" s="2060"/>
      <c r="DM1483" s="2060"/>
      <c r="DN1483" s="2060"/>
      <c r="DO1483" s="2060"/>
      <c r="DP1483" s="2060"/>
      <c r="DQ1483" s="2060"/>
      <c r="DR1483" s="2060"/>
      <c r="DS1483" s="2060"/>
      <c r="DT1483" s="2060"/>
      <c r="DU1483" s="2060"/>
      <c r="DV1483" s="2060"/>
      <c r="DW1483" s="2060"/>
      <c r="DX1483" s="2060"/>
      <c r="DY1483" s="2060"/>
      <c r="DZ1483" s="2060"/>
      <c r="EA1483" s="2060"/>
      <c r="EB1483" s="2060"/>
      <c r="EC1483" s="2060"/>
      <c r="ED1483" s="2060"/>
      <c r="EE1483" s="2060"/>
      <c r="EF1483" s="2060"/>
      <c r="EG1483" s="2060"/>
      <c r="EH1483" s="2060"/>
      <c r="EI1483" s="2060"/>
      <c r="EJ1483" s="2060"/>
      <c r="EK1483" s="2060"/>
      <c r="EL1483" s="2060"/>
      <c r="EM1483" s="2060"/>
      <c r="EN1483" s="2060"/>
      <c r="EO1483" s="2060"/>
      <c r="EP1483" s="2060"/>
      <c r="EQ1483" s="2060"/>
      <c r="ER1483" s="2060"/>
      <c r="ES1483" s="2060"/>
      <c r="ET1483" s="2060"/>
      <c r="EU1483" s="2060"/>
      <c r="EV1483" s="2060"/>
      <c r="EW1483" s="2060"/>
      <c r="EX1483" s="2060"/>
      <c r="EY1483" s="2060"/>
      <c r="EZ1483" s="2060"/>
      <c r="FA1483" s="2060"/>
      <c r="FB1483" s="2060"/>
      <c r="FC1483" s="2060"/>
      <c r="FD1483" s="2060"/>
      <c r="FE1483" s="2060"/>
      <c r="FF1483" s="2060"/>
      <c r="FG1483" s="2060"/>
      <c r="FH1483" s="2060"/>
      <c r="FI1483" s="2060"/>
      <c r="FJ1483" s="2060"/>
      <c r="FK1483" s="2060"/>
      <c r="FL1483" s="2060"/>
      <c r="FM1483" s="2060"/>
      <c r="FN1483" s="2060"/>
      <c r="FO1483" s="2060"/>
      <c r="FP1483" s="2060"/>
      <c r="FQ1483" s="2060"/>
      <c r="FR1483" s="2060"/>
      <c r="FS1483" s="2060"/>
      <c r="FT1483" s="2060"/>
      <c r="FU1483" s="2060"/>
      <c r="FV1483" s="2060"/>
      <c r="FW1483" s="2060"/>
      <c r="FX1483" s="2060"/>
      <c r="FY1483" s="2060"/>
      <c r="FZ1483" s="2060"/>
      <c r="GA1483" s="2060"/>
      <c r="GB1483" s="2060"/>
      <c r="GC1483" s="2060"/>
      <c r="GD1483" s="2060"/>
      <c r="GE1483" s="2060"/>
      <c r="GF1483" s="2060"/>
      <c r="GG1483" s="2060"/>
      <c r="GH1483" s="2060"/>
      <c r="GI1483" s="2060"/>
      <c r="GJ1483" s="2060"/>
      <c r="GK1483" s="2060"/>
      <c r="GL1483" s="2060"/>
      <c r="GM1483" s="2060"/>
      <c r="GN1483" s="2060"/>
      <c r="GO1483" s="2060"/>
      <c r="GP1483" s="2060"/>
      <c r="GQ1483" s="2060"/>
      <c r="GR1483" s="2060"/>
      <c r="GS1483" s="2060"/>
      <c r="GT1483" s="2060"/>
      <c r="GU1483" s="2060"/>
      <c r="GV1483" s="2060"/>
      <c r="GW1483" s="2060"/>
      <c r="GX1483" s="2060"/>
      <c r="GY1483" s="2060"/>
      <c r="GZ1483" s="2060"/>
      <c r="HA1483" s="2060"/>
      <c r="HB1483" s="2060"/>
      <c r="HC1483" s="2060"/>
      <c r="HD1483" s="2060"/>
      <c r="HE1483" s="2060"/>
      <c r="HF1483" s="2060"/>
      <c r="HG1483" s="2060"/>
      <c r="HH1483" s="2060"/>
      <c r="HI1483" s="2060"/>
      <c r="HJ1483" s="2060"/>
      <c r="HK1483" s="2060"/>
      <c r="HL1483" s="2060"/>
      <c r="HM1483" s="2060"/>
      <c r="HN1483" s="2060"/>
      <c r="HO1483" s="2060"/>
      <c r="HP1483" s="2060"/>
      <c r="HQ1483" s="2060"/>
      <c r="HR1483" s="2060"/>
      <c r="HS1483" s="2060"/>
      <c r="HT1483" s="2060"/>
      <c r="HU1483" s="2060"/>
      <c r="HV1483" s="2060"/>
      <c r="HW1483" s="2060"/>
      <c r="HX1483" s="2060"/>
      <c r="HY1483" s="2060"/>
      <c r="HZ1483" s="2060"/>
      <c r="IA1483" s="2060"/>
      <c r="IB1483" s="2060"/>
      <c r="IC1483" s="2060"/>
      <c r="ID1483" s="2060"/>
      <c r="IE1483" s="2060"/>
      <c r="IF1483" s="2060"/>
      <c r="IG1483" s="2060"/>
      <c r="IH1483" s="2060"/>
      <c r="II1483" s="2060"/>
      <c r="IJ1483" s="2060"/>
      <c r="IK1483" s="2060"/>
      <c r="IL1483" s="2060"/>
      <c r="IM1483" s="2060"/>
      <c r="IN1483" s="2060"/>
      <c r="IO1483" s="2060"/>
      <c r="IP1483" s="2060"/>
      <c r="IQ1483" s="2060"/>
      <c r="IR1483" s="2060"/>
      <c r="IS1483" s="2060"/>
      <c r="IT1483" s="2060"/>
      <c r="IU1483" s="2060"/>
      <c r="IV1483" s="2060"/>
      <c r="IW1483" s="2060"/>
      <c r="IX1483" s="2060"/>
      <c r="IY1483" s="2060"/>
      <c r="IZ1483" s="2060"/>
      <c r="JA1483" s="2060"/>
      <c r="JB1483" s="2060"/>
      <c r="JC1483" s="2060"/>
      <c r="JD1483" s="2060"/>
      <c r="JE1483" s="2060"/>
      <c r="JF1483" s="2060"/>
      <c r="JG1483" s="2060"/>
      <c r="JH1483" s="2060"/>
      <c r="JI1483" s="2060"/>
      <c r="JJ1483" s="2060"/>
      <c r="JK1483" s="2060"/>
      <c r="JL1483" s="2060"/>
      <c r="JM1483" s="2060"/>
      <c r="JN1483" s="2060"/>
      <c r="JO1483" s="2060"/>
      <c r="JP1483" s="2060"/>
      <c r="JQ1483" s="2060"/>
      <c r="JR1483" s="2060"/>
      <c r="JS1483" s="2060"/>
      <c r="JT1483" s="2060"/>
      <c r="JU1483" s="2060"/>
      <c r="JV1483" s="2060"/>
      <c r="JW1483" s="2060"/>
      <c r="JX1483" s="2060"/>
      <c r="JY1483" s="2060"/>
      <c r="JZ1483" s="2060"/>
      <c r="KA1483" s="2060"/>
      <c r="KB1483" s="2060"/>
      <c r="KC1483" s="2060"/>
      <c r="KD1483" s="2060"/>
      <c r="KE1483" s="2060"/>
      <c r="KF1483" s="2060"/>
      <c r="KG1483" s="2060"/>
      <c r="KH1483" s="2060"/>
      <c r="KI1483" s="2060"/>
      <c r="KJ1483" s="2060"/>
      <c r="KK1483" s="2060"/>
      <c r="KL1483" s="2060"/>
      <c r="KM1483" s="2060"/>
      <c r="KN1483" s="2060"/>
      <c r="KO1483" s="2060"/>
      <c r="KP1483" s="2060"/>
      <c r="KQ1483" s="2060"/>
      <c r="KR1483" s="2060"/>
      <c r="KS1483" s="2060"/>
      <c r="KT1483" s="2060"/>
      <c r="KU1483" s="2060"/>
      <c r="KV1483" s="2060"/>
      <c r="KW1483" s="2060"/>
      <c r="KX1483" s="2060"/>
      <c r="KY1483" s="2060"/>
      <c r="KZ1483" s="2060"/>
      <c r="LA1483" s="2060"/>
      <c r="LB1483" s="2060"/>
      <c r="LC1483" s="2060"/>
      <c r="LD1483" s="2060"/>
      <c r="LE1483" s="2060"/>
      <c r="LF1483" s="2060"/>
      <c r="LG1483" s="2060"/>
      <c r="LH1483" s="2060"/>
    </row>
    <row r="1484" spans="1:320" s="1499" customFormat="1" ht="13.9">
      <c r="A1484" s="269" t="str">
        <f t="shared" si="406"/>
        <v>n</v>
      </c>
      <c r="B1484" s="2060"/>
      <c r="C1484" s="89"/>
      <c r="D1484" s="801"/>
      <c r="E1484" s="1505">
        <v>22</v>
      </c>
      <c r="F1484" s="21" t="str">
        <f>F$150</f>
        <v>--</v>
      </c>
      <c r="G1484" s="1441">
        <f>G$150</f>
        <v>0</v>
      </c>
      <c r="H1484" s="1441"/>
      <c r="I1484" s="1441"/>
      <c r="J1484" s="1441"/>
      <c r="K1484" s="2314" t="str">
        <f t="shared" ref="K1484:P1484" si="415">IFERROR(K804/K1085,"--")</f>
        <v>--</v>
      </c>
      <c r="L1484" s="2314" t="str">
        <f t="shared" si="415"/>
        <v>--</v>
      </c>
      <c r="M1484" s="2314" t="str">
        <f t="shared" si="415"/>
        <v>--</v>
      </c>
      <c r="N1484" s="2314" t="str">
        <f t="shared" si="415"/>
        <v>--</v>
      </c>
      <c r="O1484" s="2315" t="str">
        <f t="shared" si="415"/>
        <v>--</v>
      </c>
      <c r="P1484" s="2314" t="str">
        <f t="shared" si="415"/>
        <v>--</v>
      </c>
      <c r="Q1484" s="89"/>
      <c r="R1484" s="1466"/>
      <c r="S1484" s="89"/>
      <c r="T1484" s="53"/>
      <c r="U1484" s="89"/>
      <c r="V1484" s="89"/>
      <c r="W1484" s="89"/>
      <c r="X1484" s="89"/>
      <c r="Y1484" s="89"/>
      <c r="Z1484" s="89"/>
      <c r="AA1484" s="89"/>
      <c r="AB1484" s="89"/>
      <c r="AC1484" s="89"/>
      <c r="AD1484" s="89"/>
      <c r="AE1484" s="89"/>
      <c r="AF1484" s="89"/>
      <c r="AG1484" s="2060"/>
      <c r="AH1484" s="2060"/>
      <c r="AI1484" s="2060"/>
      <c r="AJ1484" s="2060"/>
      <c r="AK1484" s="2060"/>
      <c r="AL1484" s="2060"/>
      <c r="AM1484" s="2060"/>
      <c r="AN1484" s="2060"/>
      <c r="AO1484" s="2060"/>
      <c r="AP1484" s="2060"/>
      <c r="AQ1484" s="2060"/>
      <c r="AR1484" s="2060"/>
      <c r="AS1484" s="2060"/>
      <c r="AT1484" s="2060"/>
      <c r="AU1484" s="2060"/>
      <c r="AV1484" s="2060"/>
      <c r="AW1484" s="2060"/>
      <c r="AX1484" s="2060"/>
      <c r="AY1484" s="2060"/>
      <c r="AZ1484" s="2060"/>
      <c r="BA1484" s="2060"/>
      <c r="BB1484" s="2060"/>
      <c r="BC1484" s="2060"/>
      <c r="BD1484" s="2060"/>
      <c r="BE1484" s="2060"/>
      <c r="BF1484" s="2060"/>
      <c r="BG1484" s="2060"/>
      <c r="BH1484" s="2060"/>
      <c r="BI1484" s="2060"/>
      <c r="BJ1484" s="2060"/>
      <c r="BK1484" s="2060"/>
      <c r="BL1484" s="2060"/>
      <c r="BM1484" s="2060"/>
      <c r="BN1484" s="2060"/>
      <c r="BO1484" s="2060"/>
      <c r="BP1484" s="2060"/>
      <c r="BQ1484" s="2060"/>
      <c r="BR1484" s="2060"/>
      <c r="BS1484" s="2060"/>
      <c r="BT1484" s="2060"/>
      <c r="BU1484" s="2060"/>
      <c r="BV1484" s="2060"/>
      <c r="BW1484" s="2060"/>
      <c r="BX1484" s="2060"/>
      <c r="BY1484" s="2060"/>
      <c r="BZ1484" s="2060"/>
      <c r="CA1484" s="2060"/>
      <c r="CB1484" s="2060"/>
      <c r="CC1484" s="2060"/>
      <c r="CD1484" s="2060"/>
      <c r="CE1484" s="2060"/>
      <c r="CF1484" s="2060"/>
      <c r="CG1484" s="2060"/>
      <c r="CH1484" s="2060"/>
      <c r="CI1484" s="2060"/>
      <c r="CJ1484" s="2060"/>
      <c r="CK1484" s="2060"/>
      <c r="CL1484" s="2060"/>
      <c r="CM1484" s="2060"/>
      <c r="CN1484" s="2060"/>
      <c r="CO1484" s="2060"/>
      <c r="CP1484" s="2060"/>
      <c r="CQ1484" s="2060"/>
      <c r="CR1484" s="2060"/>
      <c r="CS1484" s="2060"/>
      <c r="CT1484" s="2060"/>
      <c r="CU1484" s="2060"/>
      <c r="CV1484" s="2060"/>
      <c r="CW1484" s="2060"/>
      <c r="CX1484" s="2060"/>
      <c r="CY1484" s="2060"/>
      <c r="CZ1484" s="2060"/>
      <c r="DA1484" s="2060"/>
      <c r="DB1484" s="2060"/>
      <c r="DC1484" s="2060"/>
      <c r="DD1484" s="2060"/>
      <c r="DE1484" s="2060"/>
      <c r="DF1484" s="2060"/>
      <c r="DG1484" s="2060"/>
      <c r="DH1484" s="2060"/>
      <c r="DI1484" s="2060"/>
      <c r="DJ1484" s="2060"/>
      <c r="DK1484" s="2060"/>
      <c r="DL1484" s="2060"/>
      <c r="DM1484" s="2060"/>
      <c r="DN1484" s="2060"/>
      <c r="DO1484" s="2060"/>
      <c r="DP1484" s="2060"/>
      <c r="DQ1484" s="2060"/>
      <c r="DR1484" s="2060"/>
      <c r="DS1484" s="2060"/>
      <c r="DT1484" s="2060"/>
      <c r="DU1484" s="2060"/>
      <c r="DV1484" s="2060"/>
      <c r="DW1484" s="2060"/>
      <c r="DX1484" s="2060"/>
      <c r="DY1484" s="2060"/>
      <c r="DZ1484" s="2060"/>
      <c r="EA1484" s="2060"/>
      <c r="EB1484" s="2060"/>
      <c r="EC1484" s="2060"/>
      <c r="ED1484" s="2060"/>
      <c r="EE1484" s="2060"/>
      <c r="EF1484" s="2060"/>
      <c r="EG1484" s="2060"/>
      <c r="EH1484" s="2060"/>
      <c r="EI1484" s="2060"/>
      <c r="EJ1484" s="2060"/>
      <c r="EK1484" s="2060"/>
      <c r="EL1484" s="2060"/>
      <c r="EM1484" s="2060"/>
      <c r="EN1484" s="2060"/>
      <c r="EO1484" s="2060"/>
      <c r="EP1484" s="2060"/>
      <c r="EQ1484" s="2060"/>
      <c r="ER1484" s="2060"/>
      <c r="ES1484" s="2060"/>
      <c r="ET1484" s="2060"/>
      <c r="EU1484" s="2060"/>
      <c r="EV1484" s="2060"/>
      <c r="EW1484" s="2060"/>
      <c r="EX1484" s="2060"/>
      <c r="EY1484" s="2060"/>
      <c r="EZ1484" s="2060"/>
      <c r="FA1484" s="2060"/>
      <c r="FB1484" s="2060"/>
      <c r="FC1484" s="2060"/>
      <c r="FD1484" s="2060"/>
      <c r="FE1484" s="2060"/>
      <c r="FF1484" s="2060"/>
      <c r="FG1484" s="2060"/>
      <c r="FH1484" s="2060"/>
      <c r="FI1484" s="2060"/>
      <c r="FJ1484" s="2060"/>
      <c r="FK1484" s="2060"/>
      <c r="FL1484" s="2060"/>
      <c r="FM1484" s="2060"/>
      <c r="FN1484" s="2060"/>
      <c r="FO1484" s="2060"/>
      <c r="FP1484" s="2060"/>
      <c r="FQ1484" s="2060"/>
      <c r="FR1484" s="2060"/>
      <c r="FS1484" s="2060"/>
      <c r="FT1484" s="2060"/>
      <c r="FU1484" s="2060"/>
      <c r="FV1484" s="2060"/>
      <c r="FW1484" s="2060"/>
      <c r="FX1484" s="2060"/>
      <c r="FY1484" s="2060"/>
      <c r="FZ1484" s="2060"/>
      <c r="GA1484" s="2060"/>
      <c r="GB1484" s="2060"/>
      <c r="GC1484" s="2060"/>
      <c r="GD1484" s="2060"/>
      <c r="GE1484" s="2060"/>
      <c r="GF1484" s="2060"/>
      <c r="GG1484" s="2060"/>
      <c r="GH1484" s="2060"/>
      <c r="GI1484" s="2060"/>
      <c r="GJ1484" s="2060"/>
      <c r="GK1484" s="2060"/>
      <c r="GL1484" s="2060"/>
      <c r="GM1484" s="2060"/>
      <c r="GN1484" s="2060"/>
      <c r="GO1484" s="2060"/>
      <c r="GP1484" s="2060"/>
      <c r="GQ1484" s="2060"/>
      <c r="GR1484" s="2060"/>
      <c r="GS1484" s="2060"/>
      <c r="GT1484" s="2060"/>
      <c r="GU1484" s="2060"/>
      <c r="GV1484" s="2060"/>
      <c r="GW1484" s="2060"/>
      <c r="GX1484" s="2060"/>
      <c r="GY1484" s="2060"/>
      <c r="GZ1484" s="2060"/>
      <c r="HA1484" s="2060"/>
      <c r="HB1484" s="2060"/>
      <c r="HC1484" s="2060"/>
      <c r="HD1484" s="2060"/>
      <c r="HE1484" s="2060"/>
      <c r="HF1484" s="2060"/>
      <c r="HG1484" s="2060"/>
      <c r="HH1484" s="2060"/>
      <c r="HI1484" s="2060"/>
      <c r="HJ1484" s="2060"/>
      <c r="HK1484" s="2060"/>
      <c r="HL1484" s="2060"/>
      <c r="HM1484" s="2060"/>
      <c r="HN1484" s="2060"/>
      <c r="HO1484" s="2060"/>
      <c r="HP1484" s="2060"/>
      <c r="HQ1484" s="2060"/>
      <c r="HR1484" s="2060"/>
      <c r="HS1484" s="2060"/>
      <c r="HT1484" s="2060"/>
      <c r="HU1484" s="2060"/>
      <c r="HV1484" s="2060"/>
      <c r="HW1484" s="2060"/>
      <c r="HX1484" s="2060"/>
      <c r="HY1484" s="2060"/>
      <c r="HZ1484" s="2060"/>
      <c r="IA1484" s="2060"/>
      <c r="IB1484" s="2060"/>
      <c r="IC1484" s="2060"/>
      <c r="ID1484" s="2060"/>
      <c r="IE1484" s="2060"/>
      <c r="IF1484" s="2060"/>
      <c r="IG1484" s="2060"/>
      <c r="IH1484" s="2060"/>
      <c r="II1484" s="2060"/>
      <c r="IJ1484" s="2060"/>
      <c r="IK1484" s="2060"/>
      <c r="IL1484" s="2060"/>
      <c r="IM1484" s="2060"/>
      <c r="IN1484" s="2060"/>
      <c r="IO1484" s="2060"/>
      <c r="IP1484" s="2060"/>
      <c r="IQ1484" s="2060"/>
      <c r="IR1484" s="2060"/>
      <c r="IS1484" s="2060"/>
      <c r="IT1484" s="2060"/>
      <c r="IU1484" s="2060"/>
      <c r="IV1484" s="2060"/>
      <c r="IW1484" s="2060"/>
      <c r="IX1484" s="2060"/>
      <c r="IY1484" s="2060"/>
      <c r="IZ1484" s="2060"/>
      <c r="JA1484" s="2060"/>
      <c r="JB1484" s="2060"/>
      <c r="JC1484" s="2060"/>
      <c r="JD1484" s="2060"/>
      <c r="JE1484" s="2060"/>
      <c r="JF1484" s="2060"/>
      <c r="JG1484" s="2060"/>
      <c r="JH1484" s="2060"/>
      <c r="JI1484" s="2060"/>
      <c r="JJ1484" s="2060"/>
      <c r="JK1484" s="2060"/>
      <c r="JL1484" s="2060"/>
      <c r="JM1484" s="2060"/>
      <c r="JN1484" s="2060"/>
      <c r="JO1484" s="2060"/>
      <c r="JP1484" s="2060"/>
      <c r="JQ1484" s="2060"/>
      <c r="JR1484" s="2060"/>
      <c r="JS1484" s="2060"/>
      <c r="JT1484" s="2060"/>
      <c r="JU1484" s="2060"/>
      <c r="JV1484" s="2060"/>
      <c r="JW1484" s="2060"/>
      <c r="JX1484" s="2060"/>
      <c r="JY1484" s="2060"/>
      <c r="JZ1484" s="2060"/>
      <c r="KA1484" s="2060"/>
      <c r="KB1484" s="2060"/>
      <c r="KC1484" s="2060"/>
      <c r="KD1484" s="2060"/>
      <c r="KE1484" s="2060"/>
      <c r="KF1484" s="2060"/>
      <c r="KG1484" s="2060"/>
      <c r="KH1484" s="2060"/>
      <c r="KI1484" s="2060"/>
      <c r="KJ1484" s="2060"/>
      <c r="KK1484" s="2060"/>
      <c r="KL1484" s="2060"/>
      <c r="KM1484" s="2060"/>
      <c r="KN1484" s="2060"/>
      <c r="KO1484" s="2060"/>
      <c r="KP1484" s="2060"/>
      <c r="KQ1484" s="2060"/>
      <c r="KR1484" s="2060"/>
      <c r="KS1484" s="2060"/>
      <c r="KT1484" s="2060"/>
      <c r="KU1484" s="2060"/>
      <c r="KV1484" s="2060"/>
      <c r="KW1484" s="2060"/>
      <c r="KX1484" s="2060"/>
      <c r="KY1484" s="2060"/>
      <c r="KZ1484" s="2060"/>
      <c r="LA1484" s="2060"/>
      <c r="LB1484" s="2060"/>
      <c r="LC1484" s="2060"/>
      <c r="LD1484" s="2060"/>
      <c r="LE1484" s="2060"/>
      <c r="LF1484" s="2060"/>
      <c r="LG1484" s="2060"/>
      <c r="LH1484" s="2060"/>
    </row>
    <row r="1485" spans="1:320" s="1499" customFormat="1" ht="13.9">
      <c r="A1485" s="269" t="str">
        <f t="shared" si="406"/>
        <v>n</v>
      </c>
      <c r="B1485" s="2060"/>
      <c r="C1485" s="89"/>
      <c r="D1485" s="801"/>
      <c r="E1485" s="1505">
        <v>23</v>
      </c>
      <c r="F1485" s="21" t="str">
        <f>F$151</f>
        <v>--</v>
      </c>
      <c r="G1485" s="1441">
        <f>G$151</f>
        <v>0</v>
      </c>
      <c r="H1485" s="1441"/>
      <c r="I1485" s="1441"/>
      <c r="J1485" s="1441"/>
      <c r="K1485" s="2314" t="str">
        <f t="shared" ref="K1485:P1485" si="416">IFERROR(K805/K1086,"--")</f>
        <v>--</v>
      </c>
      <c r="L1485" s="2314" t="str">
        <f t="shared" si="416"/>
        <v>--</v>
      </c>
      <c r="M1485" s="2314" t="str">
        <f t="shared" si="416"/>
        <v>--</v>
      </c>
      <c r="N1485" s="2314" t="str">
        <f t="shared" si="416"/>
        <v>--</v>
      </c>
      <c r="O1485" s="2315" t="str">
        <f t="shared" si="416"/>
        <v>--</v>
      </c>
      <c r="P1485" s="2314" t="str">
        <f t="shared" si="416"/>
        <v>--</v>
      </c>
      <c r="Q1485" s="89"/>
      <c r="R1485" s="1466"/>
      <c r="S1485" s="89"/>
      <c r="T1485" s="53"/>
      <c r="U1485" s="89"/>
      <c r="V1485" s="89"/>
      <c r="W1485" s="89"/>
      <c r="X1485" s="89"/>
      <c r="Y1485" s="89"/>
      <c r="Z1485" s="89"/>
      <c r="AA1485" s="89"/>
      <c r="AB1485" s="89"/>
      <c r="AC1485" s="89"/>
      <c r="AD1485" s="89"/>
      <c r="AE1485" s="89"/>
      <c r="AF1485" s="89"/>
      <c r="AG1485" s="2060"/>
      <c r="AH1485" s="2060"/>
      <c r="AI1485" s="2060"/>
      <c r="AJ1485" s="2060"/>
      <c r="AK1485" s="2060"/>
      <c r="AL1485" s="2060"/>
      <c r="AM1485" s="2060"/>
      <c r="AN1485" s="2060"/>
      <c r="AO1485" s="2060"/>
      <c r="AP1485" s="2060"/>
      <c r="AQ1485" s="2060"/>
      <c r="AR1485" s="2060"/>
      <c r="AS1485" s="2060"/>
      <c r="AT1485" s="2060"/>
      <c r="AU1485" s="2060"/>
      <c r="AV1485" s="2060"/>
      <c r="AW1485" s="2060"/>
      <c r="AX1485" s="2060"/>
      <c r="AY1485" s="2060"/>
      <c r="AZ1485" s="2060"/>
      <c r="BA1485" s="2060"/>
      <c r="BB1485" s="2060"/>
      <c r="BC1485" s="2060"/>
      <c r="BD1485" s="2060"/>
      <c r="BE1485" s="2060"/>
      <c r="BF1485" s="2060"/>
      <c r="BG1485" s="2060"/>
      <c r="BH1485" s="2060"/>
      <c r="BI1485" s="2060"/>
      <c r="BJ1485" s="2060"/>
      <c r="BK1485" s="2060"/>
      <c r="BL1485" s="2060"/>
      <c r="BM1485" s="2060"/>
      <c r="BN1485" s="2060"/>
      <c r="BO1485" s="2060"/>
      <c r="BP1485" s="2060"/>
      <c r="BQ1485" s="2060"/>
      <c r="BR1485" s="2060"/>
      <c r="BS1485" s="2060"/>
      <c r="BT1485" s="2060"/>
      <c r="BU1485" s="2060"/>
      <c r="BV1485" s="2060"/>
      <c r="BW1485" s="2060"/>
      <c r="BX1485" s="2060"/>
      <c r="BY1485" s="2060"/>
      <c r="BZ1485" s="2060"/>
      <c r="CA1485" s="2060"/>
      <c r="CB1485" s="2060"/>
      <c r="CC1485" s="2060"/>
      <c r="CD1485" s="2060"/>
      <c r="CE1485" s="2060"/>
      <c r="CF1485" s="2060"/>
      <c r="CG1485" s="2060"/>
      <c r="CH1485" s="2060"/>
      <c r="CI1485" s="2060"/>
      <c r="CJ1485" s="2060"/>
      <c r="CK1485" s="2060"/>
      <c r="CL1485" s="2060"/>
      <c r="CM1485" s="2060"/>
      <c r="CN1485" s="2060"/>
      <c r="CO1485" s="2060"/>
      <c r="CP1485" s="2060"/>
      <c r="CQ1485" s="2060"/>
      <c r="CR1485" s="2060"/>
      <c r="CS1485" s="2060"/>
      <c r="CT1485" s="2060"/>
      <c r="CU1485" s="2060"/>
      <c r="CV1485" s="2060"/>
      <c r="CW1485" s="2060"/>
      <c r="CX1485" s="2060"/>
      <c r="CY1485" s="2060"/>
      <c r="CZ1485" s="2060"/>
      <c r="DA1485" s="2060"/>
      <c r="DB1485" s="2060"/>
      <c r="DC1485" s="2060"/>
      <c r="DD1485" s="2060"/>
      <c r="DE1485" s="2060"/>
      <c r="DF1485" s="2060"/>
      <c r="DG1485" s="2060"/>
      <c r="DH1485" s="2060"/>
      <c r="DI1485" s="2060"/>
      <c r="DJ1485" s="2060"/>
      <c r="DK1485" s="2060"/>
      <c r="DL1485" s="2060"/>
      <c r="DM1485" s="2060"/>
      <c r="DN1485" s="2060"/>
      <c r="DO1485" s="2060"/>
      <c r="DP1485" s="2060"/>
      <c r="DQ1485" s="2060"/>
      <c r="DR1485" s="2060"/>
      <c r="DS1485" s="2060"/>
      <c r="DT1485" s="2060"/>
      <c r="DU1485" s="2060"/>
      <c r="DV1485" s="2060"/>
      <c r="DW1485" s="2060"/>
      <c r="DX1485" s="2060"/>
      <c r="DY1485" s="2060"/>
      <c r="DZ1485" s="2060"/>
      <c r="EA1485" s="2060"/>
      <c r="EB1485" s="2060"/>
      <c r="EC1485" s="2060"/>
      <c r="ED1485" s="2060"/>
      <c r="EE1485" s="2060"/>
      <c r="EF1485" s="2060"/>
      <c r="EG1485" s="2060"/>
      <c r="EH1485" s="2060"/>
      <c r="EI1485" s="2060"/>
      <c r="EJ1485" s="2060"/>
      <c r="EK1485" s="2060"/>
      <c r="EL1485" s="2060"/>
      <c r="EM1485" s="2060"/>
      <c r="EN1485" s="2060"/>
      <c r="EO1485" s="2060"/>
      <c r="EP1485" s="2060"/>
      <c r="EQ1485" s="2060"/>
      <c r="ER1485" s="2060"/>
      <c r="ES1485" s="2060"/>
      <c r="ET1485" s="2060"/>
      <c r="EU1485" s="2060"/>
      <c r="EV1485" s="2060"/>
      <c r="EW1485" s="2060"/>
      <c r="EX1485" s="2060"/>
      <c r="EY1485" s="2060"/>
      <c r="EZ1485" s="2060"/>
      <c r="FA1485" s="2060"/>
      <c r="FB1485" s="2060"/>
      <c r="FC1485" s="2060"/>
      <c r="FD1485" s="2060"/>
      <c r="FE1485" s="2060"/>
      <c r="FF1485" s="2060"/>
      <c r="FG1485" s="2060"/>
      <c r="FH1485" s="2060"/>
      <c r="FI1485" s="2060"/>
      <c r="FJ1485" s="2060"/>
      <c r="FK1485" s="2060"/>
      <c r="FL1485" s="2060"/>
      <c r="FM1485" s="2060"/>
      <c r="FN1485" s="2060"/>
      <c r="FO1485" s="2060"/>
      <c r="FP1485" s="2060"/>
      <c r="FQ1485" s="2060"/>
      <c r="FR1485" s="2060"/>
      <c r="FS1485" s="2060"/>
      <c r="FT1485" s="2060"/>
      <c r="FU1485" s="2060"/>
      <c r="FV1485" s="2060"/>
      <c r="FW1485" s="2060"/>
      <c r="FX1485" s="2060"/>
      <c r="FY1485" s="2060"/>
      <c r="FZ1485" s="2060"/>
      <c r="GA1485" s="2060"/>
      <c r="GB1485" s="2060"/>
      <c r="GC1485" s="2060"/>
      <c r="GD1485" s="2060"/>
      <c r="GE1485" s="2060"/>
      <c r="GF1485" s="2060"/>
      <c r="GG1485" s="2060"/>
      <c r="GH1485" s="2060"/>
      <c r="GI1485" s="2060"/>
      <c r="GJ1485" s="2060"/>
      <c r="GK1485" s="2060"/>
      <c r="GL1485" s="2060"/>
      <c r="GM1485" s="2060"/>
      <c r="GN1485" s="2060"/>
      <c r="GO1485" s="2060"/>
      <c r="GP1485" s="2060"/>
      <c r="GQ1485" s="2060"/>
      <c r="GR1485" s="2060"/>
      <c r="GS1485" s="2060"/>
      <c r="GT1485" s="2060"/>
      <c r="GU1485" s="2060"/>
      <c r="GV1485" s="2060"/>
      <c r="GW1485" s="2060"/>
      <c r="GX1485" s="2060"/>
      <c r="GY1485" s="2060"/>
      <c r="GZ1485" s="2060"/>
      <c r="HA1485" s="2060"/>
      <c r="HB1485" s="2060"/>
      <c r="HC1485" s="2060"/>
      <c r="HD1485" s="2060"/>
      <c r="HE1485" s="2060"/>
      <c r="HF1485" s="2060"/>
      <c r="HG1485" s="2060"/>
      <c r="HH1485" s="2060"/>
      <c r="HI1485" s="2060"/>
      <c r="HJ1485" s="2060"/>
      <c r="HK1485" s="2060"/>
      <c r="HL1485" s="2060"/>
      <c r="HM1485" s="2060"/>
      <c r="HN1485" s="2060"/>
      <c r="HO1485" s="2060"/>
      <c r="HP1485" s="2060"/>
      <c r="HQ1485" s="2060"/>
      <c r="HR1485" s="2060"/>
      <c r="HS1485" s="2060"/>
      <c r="HT1485" s="2060"/>
      <c r="HU1485" s="2060"/>
      <c r="HV1485" s="2060"/>
      <c r="HW1485" s="2060"/>
      <c r="HX1485" s="2060"/>
      <c r="HY1485" s="2060"/>
      <c r="HZ1485" s="2060"/>
      <c r="IA1485" s="2060"/>
      <c r="IB1485" s="2060"/>
      <c r="IC1485" s="2060"/>
      <c r="ID1485" s="2060"/>
      <c r="IE1485" s="2060"/>
      <c r="IF1485" s="2060"/>
      <c r="IG1485" s="2060"/>
      <c r="IH1485" s="2060"/>
      <c r="II1485" s="2060"/>
      <c r="IJ1485" s="2060"/>
      <c r="IK1485" s="2060"/>
      <c r="IL1485" s="2060"/>
      <c r="IM1485" s="2060"/>
      <c r="IN1485" s="2060"/>
      <c r="IO1485" s="2060"/>
      <c r="IP1485" s="2060"/>
      <c r="IQ1485" s="2060"/>
      <c r="IR1485" s="2060"/>
      <c r="IS1485" s="2060"/>
      <c r="IT1485" s="2060"/>
      <c r="IU1485" s="2060"/>
      <c r="IV1485" s="2060"/>
      <c r="IW1485" s="2060"/>
      <c r="IX1485" s="2060"/>
      <c r="IY1485" s="2060"/>
      <c r="IZ1485" s="2060"/>
      <c r="JA1485" s="2060"/>
      <c r="JB1485" s="2060"/>
      <c r="JC1485" s="2060"/>
      <c r="JD1485" s="2060"/>
      <c r="JE1485" s="2060"/>
      <c r="JF1485" s="2060"/>
      <c r="JG1485" s="2060"/>
      <c r="JH1485" s="2060"/>
      <c r="JI1485" s="2060"/>
      <c r="JJ1485" s="2060"/>
      <c r="JK1485" s="2060"/>
      <c r="JL1485" s="2060"/>
      <c r="JM1485" s="2060"/>
      <c r="JN1485" s="2060"/>
      <c r="JO1485" s="2060"/>
      <c r="JP1485" s="2060"/>
      <c r="JQ1485" s="2060"/>
      <c r="JR1485" s="2060"/>
      <c r="JS1485" s="2060"/>
      <c r="JT1485" s="2060"/>
      <c r="JU1485" s="2060"/>
      <c r="JV1485" s="2060"/>
      <c r="JW1485" s="2060"/>
      <c r="JX1485" s="2060"/>
      <c r="JY1485" s="2060"/>
      <c r="JZ1485" s="2060"/>
      <c r="KA1485" s="2060"/>
      <c r="KB1485" s="2060"/>
      <c r="KC1485" s="2060"/>
      <c r="KD1485" s="2060"/>
      <c r="KE1485" s="2060"/>
      <c r="KF1485" s="2060"/>
      <c r="KG1485" s="2060"/>
      <c r="KH1485" s="2060"/>
      <c r="KI1485" s="2060"/>
      <c r="KJ1485" s="2060"/>
      <c r="KK1485" s="2060"/>
      <c r="KL1485" s="2060"/>
      <c r="KM1485" s="2060"/>
      <c r="KN1485" s="2060"/>
      <c r="KO1485" s="2060"/>
      <c r="KP1485" s="2060"/>
      <c r="KQ1485" s="2060"/>
      <c r="KR1485" s="2060"/>
      <c r="KS1485" s="2060"/>
      <c r="KT1485" s="2060"/>
      <c r="KU1485" s="2060"/>
      <c r="KV1485" s="2060"/>
      <c r="KW1485" s="2060"/>
      <c r="KX1485" s="2060"/>
      <c r="KY1485" s="2060"/>
      <c r="KZ1485" s="2060"/>
      <c r="LA1485" s="2060"/>
      <c r="LB1485" s="2060"/>
      <c r="LC1485" s="2060"/>
      <c r="LD1485" s="2060"/>
      <c r="LE1485" s="2060"/>
      <c r="LF1485" s="2060"/>
      <c r="LG1485" s="2060"/>
      <c r="LH1485" s="2060"/>
    </row>
    <row r="1486" spans="1:320" s="1499" customFormat="1" ht="13.9">
      <c r="A1486" s="269" t="str">
        <f t="shared" si="406"/>
        <v>n</v>
      </c>
      <c r="B1486" s="2060"/>
      <c r="C1486" s="89"/>
      <c r="D1486" s="801"/>
      <c r="E1486" s="1505">
        <v>24</v>
      </c>
      <c r="F1486" s="21" t="str">
        <f>F$152</f>
        <v>--</v>
      </c>
      <c r="G1486" s="1441">
        <f>G$152</f>
        <v>0</v>
      </c>
      <c r="H1486" s="1441"/>
      <c r="I1486" s="1441"/>
      <c r="J1486" s="1441"/>
      <c r="K1486" s="2314" t="str">
        <f t="shared" ref="K1486:P1486" si="417">IFERROR(K806/K1087,"--")</f>
        <v>--</v>
      </c>
      <c r="L1486" s="2314" t="str">
        <f t="shared" si="417"/>
        <v>--</v>
      </c>
      <c r="M1486" s="2314" t="str">
        <f t="shared" si="417"/>
        <v>--</v>
      </c>
      <c r="N1486" s="2314" t="str">
        <f t="shared" si="417"/>
        <v>--</v>
      </c>
      <c r="O1486" s="2315" t="str">
        <f t="shared" si="417"/>
        <v>--</v>
      </c>
      <c r="P1486" s="2314" t="str">
        <f t="shared" si="417"/>
        <v>--</v>
      </c>
      <c r="Q1486" s="89"/>
      <c r="R1486" s="1466"/>
      <c r="S1486" s="89"/>
      <c r="T1486" s="53"/>
      <c r="U1486" s="89"/>
      <c r="V1486" s="89"/>
      <c r="W1486" s="89"/>
      <c r="X1486" s="89"/>
      <c r="Y1486" s="89"/>
      <c r="Z1486" s="89"/>
      <c r="AA1486" s="89"/>
      <c r="AB1486" s="89"/>
      <c r="AC1486" s="89"/>
      <c r="AD1486" s="89"/>
      <c r="AE1486" s="89"/>
      <c r="AF1486" s="89"/>
      <c r="AG1486" s="2060"/>
      <c r="AH1486" s="2060"/>
      <c r="AI1486" s="2060"/>
      <c r="AJ1486" s="2060"/>
      <c r="AK1486" s="2060"/>
      <c r="AL1486" s="2060"/>
      <c r="AM1486" s="2060"/>
      <c r="AN1486" s="2060"/>
      <c r="AO1486" s="2060"/>
      <c r="AP1486" s="2060"/>
      <c r="AQ1486" s="2060"/>
      <c r="AR1486" s="2060"/>
      <c r="AS1486" s="2060"/>
      <c r="AT1486" s="2060"/>
      <c r="AU1486" s="2060"/>
      <c r="AV1486" s="2060"/>
      <c r="AW1486" s="2060"/>
      <c r="AX1486" s="2060"/>
      <c r="AY1486" s="2060"/>
      <c r="AZ1486" s="2060"/>
      <c r="BA1486" s="2060"/>
      <c r="BB1486" s="2060"/>
      <c r="BC1486" s="2060"/>
      <c r="BD1486" s="2060"/>
      <c r="BE1486" s="2060"/>
      <c r="BF1486" s="2060"/>
      <c r="BG1486" s="2060"/>
      <c r="BH1486" s="2060"/>
      <c r="BI1486" s="2060"/>
      <c r="BJ1486" s="2060"/>
      <c r="BK1486" s="2060"/>
      <c r="BL1486" s="2060"/>
      <c r="BM1486" s="2060"/>
      <c r="BN1486" s="2060"/>
      <c r="BO1486" s="2060"/>
      <c r="BP1486" s="2060"/>
      <c r="BQ1486" s="2060"/>
      <c r="BR1486" s="2060"/>
      <c r="BS1486" s="2060"/>
      <c r="BT1486" s="2060"/>
      <c r="BU1486" s="2060"/>
      <c r="BV1486" s="2060"/>
      <c r="BW1486" s="2060"/>
      <c r="BX1486" s="2060"/>
      <c r="BY1486" s="2060"/>
      <c r="BZ1486" s="2060"/>
      <c r="CA1486" s="2060"/>
      <c r="CB1486" s="2060"/>
      <c r="CC1486" s="2060"/>
      <c r="CD1486" s="2060"/>
      <c r="CE1486" s="2060"/>
      <c r="CF1486" s="2060"/>
      <c r="CG1486" s="2060"/>
      <c r="CH1486" s="2060"/>
      <c r="CI1486" s="2060"/>
      <c r="CJ1486" s="2060"/>
      <c r="CK1486" s="2060"/>
      <c r="CL1486" s="2060"/>
      <c r="CM1486" s="2060"/>
      <c r="CN1486" s="2060"/>
      <c r="CO1486" s="2060"/>
      <c r="CP1486" s="2060"/>
      <c r="CQ1486" s="2060"/>
      <c r="CR1486" s="2060"/>
      <c r="CS1486" s="2060"/>
      <c r="CT1486" s="2060"/>
      <c r="CU1486" s="2060"/>
      <c r="CV1486" s="2060"/>
      <c r="CW1486" s="2060"/>
      <c r="CX1486" s="2060"/>
      <c r="CY1486" s="2060"/>
      <c r="CZ1486" s="2060"/>
      <c r="DA1486" s="2060"/>
      <c r="DB1486" s="2060"/>
      <c r="DC1486" s="2060"/>
      <c r="DD1486" s="2060"/>
      <c r="DE1486" s="2060"/>
      <c r="DF1486" s="2060"/>
      <c r="DG1486" s="2060"/>
      <c r="DH1486" s="2060"/>
      <c r="DI1486" s="2060"/>
      <c r="DJ1486" s="2060"/>
      <c r="DK1486" s="2060"/>
      <c r="DL1486" s="2060"/>
      <c r="DM1486" s="2060"/>
      <c r="DN1486" s="2060"/>
      <c r="DO1486" s="2060"/>
      <c r="DP1486" s="2060"/>
      <c r="DQ1486" s="2060"/>
      <c r="DR1486" s="2060"/>
      <c r="DS1486" s="2060"/>
      <c r="DT1486" s="2060"/>
      <c r="DU1486" s="2060"/>
      <c r="DV1486" s="2060"/>
      <c r="DW1486" s="2060"/>
      <c r="DX1486" s="2060"/>
      <c r="DY1486" s="2060"/>
      <c r="DZ1486" s="2060"/>
      <c r="EA1486" s="2060"/>
      <c r="EB1486" s="2060"/>
      <c r="EC1486" s="2060"/>
      <c r="ED1486" s="2060"/>
      <c r="EE1486" s="2060"/>
      <c r="EF1486" s="2060"/>
      <c r="EG1486" s="2060"/>
      <c r="EH1486" s="2060"/>
      <c r="EI1486" s="2060"/>
      <c r="EJ1486" s="2060"/>
      <c r="EK1486" s="2060"/>
      <c r="EL1486" s="2060"/>
      <c r="EM1486" s="2060"/>
      <c r="EN1486" s="2060"/>
      <c r="EO1486" s="2060"/>
      <c r="EP1486" s="2060"/>
      <c r="EQ1486" s="2060"/>
      <c r="ER1486" s="2060"/>
      <c r="ES1486" s="2060"/>
      <c r="ET1486" s="2060"/>
      <c r="EU1486" s="2060"/>
      <c r="EV1486" s="2060"/>
      <c r="EW1486" s="2060"/>
      <c r="EX1486" s="2060"/>
      <c r="EY1486" s="2060"/>
      <c r="EZ1486" s="2060"/>
      <c r="FA1486" s="2060"/>
      <c r="FB1486" s="2060"/>
      <c r="FC1486" s="2060"/>
      <c r="FD1486" s="2060"/>
      <c r="FE1486" s="2060"/>
      <c r="FF1486" s="2060"/>
      <c r="FG1486" s="2060"/>
      <c r="FH1486" s="2060"/>
      <c r="FI1486" s="2060"/>
      <c r="FJ1486" s="2060"/>
      <c r="FK1486" s="2060"/>
      <c r="FL1486" s="2060"/>
      <c r="FM1486" s="2060"/>
      <c r="FN1486" s="2060"/>
      <c r="FO1486" s="2060"/>
      <c r="FP1486" s="2060"/>
      <c r="FQ1486" s="2060"/>
      <c r="FR1486" s="2060"/>
      <c r="FS1486" s="2060"/>
      <c r="FT1486" s="2060"/>
      <c r="FU1486" s="2060"/>
      <c r="FV1486" s="2060"/>
      <c r="FW1486" s="2060"/>
      <c r="FX1486" s="2060"/>
      <c r="FY1486" s="2060"/>
      <c r="FZ1486" s="2060"/>
      <c r="GA1486" s="2060"/>
      <c r="GB1486" s="2060"/>
      <c r="GC1486" s="2060"/>
      <c r="GD1486" s="2060"/>
      <c r="GE1486" s="2060"/>
      <c r="GF1486" s="2060"/>
      <c r="GG1486" s="2060"/>
      <c r="GH1486" s="2060"/>
      <c r="GI1486" s="2060"/>
      <c r="GJ1486" s="2060"/>
      <c r="GK1486" s="2060"/>
      <c r="GL1486" s="2060"/>
      <c r="GM1486" s="2060"/>
      <c r="GN1486" s="2060"/>
      <c r="GO1486" s="2060"/>
      <c r="GP1486" s="2060"/>
      <c r="GQ1486" s="2060"/>
      <c r="GR1486" s="2060"/>
      <c r="GS1486" s="2060"/>
      <c r="GT1486" s="2060"/>
      <c r="GU1486" s="2060"/>
      <c r="GV1486" s="2060"/>
      <c r="GW1486" s="2060"/>
      <c r="GX1486" s="2060"/>
      <c r="GY1486" s="2060"/>
      <c r="GZ1486" s="2060"/>
      <c r="HA1486" s="2060"/>
      <c r="HB1486" s="2060"/>
      <c r="HC1486" s="2060"/>
      <c r="HD1486" s="2060"/>
      <c r="HE1486" s="2060"/>
      <c r="HF1486" s="2060"/>
      <c r="HG1486" s="2060"/>
      <c r="HH1486" s="2060"/>
      <c r="HI1486" s="2060"/>
      <c r="HJ1486" s="2060"/>
      <c r="HK1486" s="2060"/>
      <c r="HL1486" s="2060"/>
      <c r="HM1486" s="2060"/>
      <c r="HN1486" s="2060"/>
      <c r="HO1486" s="2060"/>
      <c r="HP1486" s="2060"/>
      <c r="HQ1486" s="2060"/>
      <c r="HR1486" s="2060"/>
      <c r="HS1486" s="2060"/>
      <c r="HT1486" s="2060"/>
      <c r="HU1486" s="2060"/>
      <c r="HV1486" s="2060"/>
      <c r="HW1486" s="2060"/>
      <c r="HX1486" s="2060"/>
      <c r="HY1486" s="2060"/>
      <c r="HZ1486" s="2060"/>
      <c r="IA1486" s="2060"/>
      <c r="IB1486" s="2060"/>
      <c r="IC1486" s="2060"/>
      <c r="ID1486" s="2060"/>
      <c r="IE1486" s="2060"/>
      <c r="IF1486" s="2060"/>
      <c r="IG1486" s="2060"/>
      <c r="IH1486" s="2060"/>
      <c r="II1486" s="2060"/>
      <c r="IJ1486" s="2060"/>
      <c r="IK1486" s="2060"/>
      <c r="IL1486" s="2060"/>
      <c r="IM1486" s="2060"/>
      <c r="IN1486" s="2060"/>
      <c r="IO1486" s="2060"/>
      <c r="IP1486" s="2060"/>
      <c r="IQ1486" s="2060"/>
      <c r="IR1486" s="2060"/>
      <c r="IS1486" s="2060"/>
      <c r="IT1486" s="2060"/>
      <c r="IU1486" s="2060"/>
      <c r="IV1486" s="2060"/>
      <c r="IW1486" s="2060"/>
      <c r="IX1486" s="2060"/>
      <c r="IY1486" s="2060"/>
      <c r="IZ1486" s="2060"/>
      <c r="JA1486" s="2060"/>
      <c r="JB1486" s="2060"/>
      <c r="JC1486" s="2060"/>
      <c r="JD1486" s="2060"/>
      <c r="JE1486" s="2060"/>
      <c r="JF1486" s="2060"/>
      <c r="JG1486" s="2060"/>
      <c r="JH1486" s="2060"/>
      <c r="JI1486" s="2060"/>
      <c r="JJ1486" s="2060"/>
      <c r="JK1486" s="2060"/>
      <c r="JL1486" s="2060"/>
      <c r="JM1486" s="2060"/>
      <c r="JN1486" s="2060"/>
      <c r="JO1486" s="2060"/>
      <c r="JP1486" s="2060"/>
      <c r="JQ1486" s="2060"/>
      <c r="JR1486" s="2060"/>
      <c r="JS1486" s="2060"/>
      <c r="JT1486" s="2060"/>
      <c r="JU1486" s="2060"/>
      <c r="JV1486" s="2060"/>
      <c r="JW1486" s="2060"/>
      <c r="JX1486" s="2060"/>
      <c r="JY1486" s="2060"/>
      <c r="JZ1486" s="2060"/>
      <c r="KA1486" s="2060"/>
      <c r="KB1486" s="2060"/>
      <c r="KC1486" s="2060"/>
      <c r="KD1486" s="2060"/>
      <c r="KE1486" s="2060"/>
      <c r="KF1486" s="2060"/>
      <c r="KG1486" s="2060"/>
      <c r="KH1486" s="2060"/>
      <c r="KI1486" s="2060"/>
      <c r="KJ1486" s="2060"/>
      <c r="KK1486" s="2060"/>
      <c r="KL1486" s="2060"/>
      <c r="KM1486" s="2060"/>
      <c r="KN1486" s="2060"/>
      <c r="KO1486" s="2060"/>
      <c r="KP1486" s="2060"/>
      <c r="KQ1486" s="2060"/>
      <c r="KR1486" s="2060"/>
      <c r="KS1486" s="2060"/>
      <c r="KT1486" s="2060"/>
      <c r="KU1486" s="2060"/>
      <c r="KV1486" s="2060"/>
      <c r="KW1486" s="2060"/>
      <c r="KX1486" s="2060"/>
      <c r="KY1486" s="2060"/>
      <c r="KZ1486" s="2060"/>
      <c r="LA1486" s="2060"/>
      <c r="LB1486" s="2060"/>
      <c r="LC1486" s="2060"/>
      <c r="LD1486" s="2060"/>
      <c r="LE1486" s="2060"/>
      <c r="LF1486" s="2060"/>
      <c r="LG1486" s="2060"/>
      <c r="LH1486" s="2060"/>
    </row>
    <row r="1487" spans="1:320" s="449" customFormat="1" ht="13.9">
      <c r="A1487" s="269" t="str">
        <f t="shared" si="406"/>
        <v>n</v>
      </c>
      <c r="B1487" s="2060"/>
      <c r="C1487" s="89"/>
      <c r="D1487" s="801"/>
      <c r="E1487" s="1505">
        <v>25</v>
      </c>
      <c r="F1487" s="21" t="str">
        <f>F$153</f>
        <v>--</v>
      </c>
      <c r="G1487" s="1441">
        <f>G$153</f>
        <v>0</v>
      </c>
      <c r="H1487" s="1441"/>
      <c r="I1487" s="1441"/>
      <c r="J1487" s="1441"/>
      <c r="K1487" s="2314" t="str">
        <f t="shared" ref="K1487:P1487" si="418">IFERROR(K807/K1088,"--")</f>
        <v>--</v>
      </c>
      <c r="L1487" s="2314" t="str">
        <f t="shared" si="418"/>
        <v>--</v>
      </c>
      <c r="M1487" s="2314" t="str">
        <f t="shared" si="418"/>
        <v>--</v>
      </c>
      <c r="N1487" s="2314" t="str">
        <f t="shared" si="418"/>
        <v>--</v>
      </c>
      <c r="O1487" s="2315" t="str">
        <f t="shared" si="418"/>
        <v>--</v>
      </c>
      <c r="P1487" s="2314" t="str">
        <f t="shared" si="418"/>
        <v>--</v>
      </c>
      <c r="Q1487" s="89"/>
      <c r="R1487" s="1466"/>
      <c r="S1487" s="89"/>
      <c r="T1487" s="53"/>
      <c r="U1487" s="89"/>
      <c r="V1487" s="89"/>
      <c r="W1487" s="89"/>
      <c r="X1487" s="89"/>
      <c r="Y1487" s="89"/>
      <c r="Z1487" s="89"/>
      <c r="AA1487" s="89"/>
      <c r="AB1487" s="89"/>
      <c r="AC1487" s="89"/>
      <c r="AD1487" s="89"/>
      <c r="AE1487" s="89"/>
      <c r="AF1487" s="89"/>
      <c r="AG1487" s="2060"/>
      <c r="AH1487" s="2060"/>
      <c r="AI1487" s="2060"/>
      <c r="AJ1487" s="2060"/>
      <c r="AK1487" s="2060"/>
      <c r="AL1487" s="2060"/>
      <c r="AM1487" s="2060"/>
      <c r="AN1487" s="2060"/>
      <c r="AO1487" s="2060"/>
      <c r="AP1487" s="2060"/>
      <c r="AQ1487" s="2060"/>
      <c r="AR1487" s="2060"/>
      <c r="AS1487" s="2060"/>
      <c r="AT1487" s="2060"/>
      <c r="AU1487" s="2060"/>
      <c r="AV1487" s="2060"/>
      <c r="AW1487" s="2060"/>
      <c r="AX1487" s="2060"/>
      <c r="AY1487" s="2060"/>
      <c r="AZ1487" s="2060"/>
      <c r="BA1487" s="2060"/>
      <c r="BB1487" s="2060"/>
      <c r="BC1487" s="2060"/>
      <c r="BD1487" s="2060"/>
      <c r="BE1487" s="2060"/>
      <c r="BF1487" s="2060"/>
      <c r="BG1487" s="2060"/>
      <c r="BH1487" s="2060"/>
      <c r="BI1487" s="2060"/>
      <c r="BJ1487" s="2060"/>
      <c r="BK1487" s="2060"/>
      <c r="BL1487" s="2060"/>
      <c r="BM1487" s="2060"/>
      <c r="BN1487" s="2060"/>
      <c r="BO1487" s="2060"/>
      <c r="BP1487" s="2060"/>
      <c r="BQ1487" s="2060"/>
      <c r="BR1487" s="2060"/>
      <c r="BS1487" s="2060"/>
      <c r="BT1487" s="2060"/>
      <c r="BU1487" s="2060"/>
      <c r="BV1487" s="2060"/>
      <c r="BW1487" s="2060"/>
      <c r="BX1487" s="2060"/>
      <c r="BY1487" s="2060"/>
      <c r="BZ1487" s="2060"/>
      <c r="CA1487" s="2060"/>
      <c r="CB1487" s="2060"/>
      <c r="CC1487" s="2060"/>
      <c r="CD1487" s="2060"/>
      <c r="CE1487" s="2060"/>
      <c r="CF1487" s="2060"/>
      <c r="CG1487" s="2060"/>
      <c r="CH1487" s="2060"/>
      <c r="CI1487" s="2060"/>
      <c r="CJ1487" s="2060"/>
      <c r="CK1487" s="2060"/>
      <c r="CL1487" s="2060"/>
      <c r="CM1487" s="2060"/>
      <c r="CN1487" s="2060"/>
      <c r="CO1487" s="2060"/>
      <c r="CP1487" s="2060"/>
      <c r="CQ1487" s="2060"/>
      <c r="CR1487" s="2060"/>
      <c r="CS1487" s="2060"/>
      <c r="CT1487" s="2060"/>
      <c r="CU1487" s="2060"/>
      <c r="CV1487" s="2060"/>
      <c r="CW1487" s="2060"/>
      <c r="CX1487" s="2060"/>
      <c r="CY1487" s="2060"/>
      <c r="CZ1487" s="2060"/>
      <c r="DA1487" s="2060"/>
      <c r="DB1487" s="2060"/>
      <c r="DC1487" s="2060"/>
      <c r="DD1487" s="2060"/>
      <c r="DE1487" s="2060"/>
      <c r="DF1487" s="2060"/>
      <c r="DG1487" s="2060"/>
      <c r="DH1487" s="2060"/>
      <c r="DI1487" s="2060"/>
      <c r="DJ1487" s="2060"/>
      <c r="DK1487" s="2060"/>
      <c r="DL1487" s="2060"/>
      <c r="DM1487" s="2060"/>
      <c r="DN1487" s="2060"/>
      <c r="DO1487" s="2060"/>
      <c r="DP1487" s="2060"/>
      <c r="DQ1487" s="2060"/>
      <c r="DR1487" s="2060"/>
      <c r="DS1487" s="2060"/>
      <c r="DT1487" s="2060"/>
      <c r="DU1487" s="2060"/>
      <c r="DV1487" s="2060"/>
      <c r="DW1487" s="2060"/>
      <c r="DX1487" s="2060"/>
      <c r="DY1487" s="2060"/>
      <c r="DZ1487" s="2060"/>
      <c r="EA1487" s="2060"/>
      <c r="EB1487" s="2060"/>
      <c r="EC1487" s="2060"/>
      <c r="ED1487" s="2060"/>
      <c r="EE1487" s="2060"/>
      <c r="EF1487" s="2060"/>
      <c r="EG1487" s="2060"/>
      <c r="EH1487" s="2060"/>
      <c r="EI1487" s="2060"/>
      <c r="EJ1487" s="2060"/>
      <c r="EK1487" s="2060"/>
      <c r="EL1487" s="2060"/>
      <c r="EM1487" s="2060"/>
      <c r="EN1487" s="2060"/>
      <c r="EO1487" s="2060"/>
      <c r="EP1487" s="2060"/>
      <c r="EQ1487" s="2060"/>
      <c r="ER1487" s="2060"/>
      <c r="ES1487" s="2060"/>
      <c r="ET1487" s="2060"/>
      <c r="EU1487" s="2060"/>
      <c r="EV1487" s="2060"/>
      <c r="EW1487" s="2060"/>
      <c r="EX1487" s="2060"/>
      <c r="EY1487" s="2060"/>
      <c r="EZ1487" s="2060"/>
      <c r="FA1487" s="2060"/>
      <c r="FB1487" s="2060"/>
      <c r="FC1487" s="2060"/>
      <c r="FD1487" s="2060"/>
      <c r="FE1487" s="2060"/>
      <c r="FF1487" s="2060"/>
      <c r="FG1487" s="2060"/>
      <c r="FH1487" s="2060"/>
      <c r="FI1487" s="2060"/>
      <c r="FJ1487" s="2060"/>
      <c r="FK1487" s="2060"/>
      <c r="FL1487" s="2060"/>
      <c r="FM1487" s="2060"/>
      <c r="FN1487" s="2060"/>
      <c r="FO1487" s="2060"/>
      <c r="FP1487" s="2060"/>
      <c r="FQ1487" s="2060"/>
      <c r="FR1487" s="2060"/>
      <c r="FS1487" s="2060"/>
      <c r="FT1487" s="2060"/>
      <c r="FU1487" s="2060"/>
      <c r="FV1487" s="2060"/>
      <c r="FW1487" s="2060"/>
      <c r="FX1487" s="2060"/>
      <c r="FY1487" s="2060"/>
      <c r="FZ1487" s="2060"/>
      <c r="GA1487" s="2060"/>
      <c r="GB1487" s="2060"/>
      <c r="GC1487" s="2060"/>
      <c r="GD1487" s="2060"/>
      <c r="GE1487" s="2060"/>
      <c r="GF1487" s="2060"/>
      <c r="GG1487" s="2060"/>
      <c r="GH1487" s="2060"/>
      <c r="GI1487" s="2060"/>
      <c r="GJ1487" s="2060"/>
      <c r="GK1487" s="2060"/>
      <c r="GL1487" s="2060"/>
      <c r="GM1487" s="2060"/>
      <c r="GN1487" s="2060"/>
      <c r="GO1487" s="2060"/>
      <c r="GP1487" s="2060"/>
      <c r="GQ1487" s="2060"/>
      <c r="GR1487" s="2060"/>
      <c r="GS1487" s="2060"/>
      <c r="GT1487" s="2060"/>
      <c r="GU1487" s="2060"/>
      <c r="GV1487" s="2060"/>
      <c r="GW1487" s="2060"/>
      <c r="GX1487" s="2060"/>
      <c r="GY1487" s="2060"/>
      <c r="GZ1487" s="2060"/>
      <c r="HA1487" s="2060"/>
      <c r="HB1487" s="2060"/>
      <c r="HC1487" s="2060"/>
      <c r="HD1487" s="2060"/>
      <c r="HE1487" s="2060"/>
      <c r="HF1487" s="2060"/>
      <c r="HG1487" s="2060"/>
      <c r="HH1487" s="2060"/>
      <c r="HI1487" s="2060"/>
      <c r="HJ1487" s="2060"/>
      <c r="HK1487" s="2060"/>
      <c r="HL1487" s="2060"/>
      <c r="HM1487" s="2060"/>
      <c r="HN1487" s="2060"/>
      <c r="HO1487" s="2060"/>
      <c r="HP1487" s="2060"/>
      <c r="HQ1487" s="2060"/>
      <c r="HR1487" s="2060"/>
      <c r="HS1487" s="2060"/>
      <c r="HT1487" s="2060"/>
      <c r="HU1487" s="2060"/>
      <c r="HV1487" s="2060"/>
      <c r="HW1487" s="2060"/>
      <c r="HX1487" s="2060"/>
      <c r="HY1487" s="2060"/>
      <c r="HZ1487" s="2060"/>
      <c r="IA1487" s="2060"/>
      <c r="IB1487" s="2060"/>
      <c r="IC1487" s="2060"/>
      <c r="ID1487" s="2060"/>
      <c r="IE1487" s="2060"/>
      <c r="IF1487" s="2060"/>
      <c r="IG1487" s="2060"/>
      <c r="IH1487" s="2060"/>
      <c r="II1487" s="2060"/>
      <c r="IJ1487" s="2060"/>
      <c r="IK1487" s="2060"/>
      <c r="IL1487" s="2060"/>
      <c r="IM1487" s="2060"/>
      <c r="IN1487" s="2060"/>
      <c r="IO1487" s="2060"/>
      <c r="IP1487" s="2060"/>
      <c r="IQ1487" s="2060"/>
      <c r="IR1487" s="2060"/>
      <c r="IS1487" s="2060"/>
      <c r="IT1487" s="2060"/>
      <c r="IU1487" s="2060"/>
      <c r="IV1487" s="2060"/>
      <c r="IW1487" s="2060"/>
      <c r="IX1487" s="2060"/>
      <c r="IY1487" s="2060"/>
      <c r="IZ1487" s="2060"/>
      <c r="JA1487" s="2060"/>
      <c r="JB1487" s="2060"/>
      <c r="JC1487" s="2060"/>
      <c r="JD1487" s="2060"/>
      <c r="JE1487" s="2060"/>
      <c r="JF1487" s="2060"/>
      <c r="JG1487" s="2060"/>
      <c r="JH1487" s="2060"/>
      <c r="JI1487" s="2060"/>
      <c r="JJ1487" s="2060"/>
      <c r="JK1487" s="2060"/>
      <c r="JL1487" s="2060"/>
      <c r="JM1487" s="2060"/>
      <c r="JN1487" s="2060"/>
      <c r="JO1487" s="2060"/>
      <c r="JP1487" s="2060"/>
      <c r="JQ1487" s="2060"/>
      <c r="JR1487" s="2060"/>
      <c r="JS1487" s="2060"/>
      <c r="JT1487" s="2060"/>
      <c r="JU1487" s="2060"/>
      <c r="JV1487" s="2060"/>
      <c r="JW1487" s="2060"/>
      <c r="JX1487" s="2060"/>
      <c r="JY1487" s="2060"/>
      <c r="JZ1487" s="2060"/>
      <c r="KA1487" s="2060"/>
      <c r="KB1487" s="2060"/>
      <c r="KC1487" s="2060"/>
      <c r="KD1487" s="2060"/>
      <c r="KE1487" s="2060"/>
      <c r="KF1487" s="2060"/>
      <c r="KG1487" s="2060"/>
      <c r="KH1487" s="2060"/>
      <c r="KI1487" s="2060"/>
      <c r="KJ1487" s="2060"/>
      <c r="KK1487" s="2060"/>
      <c r="KL1487" s="2060"/>
      <c r="KM1487" s="2060"/>
      <c r="KN1487" s="2060"/>
      <c r="KO1487" s="2060"/>
      <c r="KP1487" s="2060"/>
      <c r="KQ1487" s="2060"/>
      <c r="KR1487" s="2060"/>
      <c r="KS1487" s="2060"/>
      <c r="KT1487" s="2060"/>
      <c r="KU1487" s="2060"/>
      <c r="KV1487" s="2060"/>
      <c r="KW1487" s="2060"/>
      <c r="KX1487" s="2060"/>
      <c r="KY1487" s="2060"/>
      <c r="KZ1487" s="2060"/>
      <c r="LA1487" s="2060"/>
      <c r="LB1487" s="2060"/>
      <c r="LC1487" s="2060"/>
      <c r="LD1487" s="2060"/>
      <c r="LE1487" s="2060"/>
      <c r="LF1487" s="2060"/>
      <c r="LG1487" s="2060"/>
      <c r="LH1487" s="2060"/>
    </row>
    <row r="1488" spans="1:320" s="449" customFormat="1" ht="13.9">
      <c r="A1488" s="2060"/>
      <c r="B1488" s="2060"/>
      <c r="C1488" s="89"/>
      <c r="D1488" s="801"/>
      <c r="E1488" s="89"/>
      <c r="F1488" s="57" t="s">
        <v>767</v>
      </c>
      <c r="G1488" s="1442"/>
      <c r="H1488" s="1442"/>
      <c r="I1488" s="1442"/>
      <c r="J1488" s="1442"/>
      <c r="K1488" s="1476" t="str">
        <f t="shared" ref="K1488:P1488" si="419">IFERROR(MEDIAN(K1463:K1487),"--")</f>
        <v>--</v>
      </c>
      <c r="L1488" s="277" t="str">
        <f t="shared" si="419"/>
        <v>--</v>
      </c>
      <c r="M1488" s="277" t="str">
        <f t="shared" si="419"/>
        <v>--</v>
      </c>
      <c r="N1488" s="277" t="str">
        <f t="shared" si="419"/>
        <v>--</v>
      </c>
      <c r="O1488" s="278" t="str">
        <f t="shared" si="419"/>
        <v>--</v>
      </c>
      <c r="P1488" s="277" t="str">
        <f t="shared" si="419"/>
        <v>--</v>
      </c>
      <c r="Q1488" s="89"/>
      <c r="R1488" s="89"/>
      <c r="S1488" s="89"/>
      <c r="T1488" s="1513"/>
      <c r="U1488" s="89"/>
      <c r="V1488" s="89"/>
      <c r="W1488" s="89"/>
      <c r="X1488" s="89"/>
      <c r="Y1488" s="89"/>
      <c r="Z1488" s="89"/>
      <c r="AA1488" s="89"/>
      <c r="AB1488" s="89"/>
      <c r="AC1488" s="89"/>
      <c r="AD1488" s="89"/>
      <c r="AE1488" s="89"/>
      <c r="AF1488" s="89"/>
      <c r="AG1488" s="2060"/>
      <c r="AH1488" s="2060"/>
      <c r="AI1488" s="2060"/>
      <c r="AJ1488" s="2060"/>
      <c r="AK1488" s="2060"/>
      <c r="AL1488" s="2060"/>
      <c r="AM1488" s="2060"/>
      <c r="AN1488" s="2060"/>
      <c r="AO1488" s="2060"/>
      <c r="AP1488" s="2060"/>
      <c r="AQ1488" s="2060"/>
      <c r="AR1488" s="2060"/>
      <c r="AS1488" s="2060"/>
      <c r="AT1488" s="2060"/>
      <c r="AU1488" s="2060"/>
      <c r="AV1488" s="2060"/>
      <c r="AW1488" s="2060"/>
      <c r="AX1488" s="2060"/>
      <c r="AY1488" s="2060"/>
      <c r="AZ1488" s="2060"/>
      <c r="BA1488" s="2060"/>
      <c r="BB1488" s="2060"/>
      <c r="BC1488" s="2060"/>
      <c r="BD1488" s="2060"/>
      <c r="BE1488" s="2060"/>
      <c r="BF1488" s="2060"/>
      <c r="BG1488" s="2060"/>
      <c r="BH1488" s="2060"/>
      <c r="BI1488" s="2060"/>
      <c r="BJ1488" s="2060"/>
      <c r="BK1488" s="2060"/>
      <c r="BL1488" s="2060"/>
      <c r="BM1488" s="2060"/>
      <c r="BN1488" s="2060"/>
      <c r="BO1488" s="2060"/>
      <c r="BP1488" s="2060"/>
      <c r="BQ1488" s="2060"/>
      <c r="BR1488" s="2060"/>
      <c r="BS1488" s="2060"/>
      <c r="BT1488" s="2060"/>
      <c r="BU1488" s="2060"/>
      <c r="BV1488" s="2060"/>
      <c r="BW1488" s="2060"/>
      <c r="BX1488" s="2060"/>
      <c r="BY1488" s="2060"/>
      <c r="BZ1488" s="2060"/>
      <c r="CA1488" s="2060"/>
      <c r="CB1488" s="2060"/>
      <c r="CC1488" s="2060"/>
      <c r="CD1488" s="2060"/>
      <c r="CE1488" s="2060"/>
      <c r="CF1488" s="2060"/>
      <c r="CG1488" s="2060"/>
      <c r="CH1488" s="2060"/>
      <c r="CI1488" s="2060"/>
      <c r="CJ1488" s="2060"/>
      <c r="CK1488" s="2060"/>
      <c r="CL1488" s="2060"/>
      <c r="CM1488" s="2060"/>
      <c r="CN1488" s="2060"/>
      <c r="CO1488" s="2060"/>
      <c r="CP1488" s="2060"/>
      <c r="CQ1488" s="2060"/>
      <c r="CR1488" s="2060"/>
      <c r="CS1488" s="2060"/>
      <c r="CT1488" s="2060"/>
      <c r="CU1488" s="2060"/>
      <c r="CV1488" s="2060"/>
      <c r="CW1488" s="2060"/>
      <c r="CX1488" s="2060"/>
      <c r="CY1488" s="2060"/>
      <c r="CZ1488" s="2060"/>
      <c r="DA1488" s="2060"/>
      <c r="DB1488" s="2060"/>
      <c r="DC1488" s="2060"/>
      <c r="DD1488" s="2060"/>
      <c r="DE1488" s="2060"/>
      <c r="DF1488" s="2060"/>
      <c r="DG1488" s="2060"/>
      <c r="DH1488" s="2060"/>
      <c r="DI1488" s="2060"/>
      <c r="DJ1488" s="2060"/>
      <c r="DK1488" s="2060"/>
      <c r="DL1488" s="2060"/>
      <c r="DM1488" s="2060"/>
      <c r="DN1488" s="2060"/>
      <c r="DO1488" s="2060"/>
      <c r="DP1488" s="2060"/>
      <c r="DQ1488" s="2060"/>
      <c r="DR1488" s="2060"/>
      <c r="DS1488" s="2060"/>
      <c r="DT1488" s="2060"/>
      <c r="DU1488" s="2060"/>
      <c r="DV1488" s="2060"/>
      <c r="DW1488" s="2060"/>
      <c r="DX1488" s="2060"/>
      <c r="DY1488" s="2060"/>
      <c r="DZ1488" s="2060"/>
      <c r="EA1488" s="2060"/>
      <c r="EB1488" s="2060"/>
      <c r="EC1488" s="2060"/>
      <c r="ED1488" s="2060"/>
      <c r="EE1488" s="2060"/>
      <c r="EF1488" s="2060"/>
      <c r="EG1488" s="2060"/>
      <c r="EH1488" s="2060"/>
      <c r="EI1488" s="2060"/>
      <c r="EJ1488" s="2060"/>
      <c r="EK1488" s="2060"/>
      <c r="EL1488" s="2060"/>
      <c r="EM1488" s="2060"/>
      <c r="EN1488" s="2060"/>
      <c r="EO1488" s="2060"/>
      <c r="EP1488" s="2060"/>
      <c r="EQ1488" s="2060"/>
      <c r="ER1488" s="2060"/>
      <c r="ES1488" s="2060"/>
      <c r="ET1488" s="2060"/>
      <c r="EU1488" s="2060"/>
      <c r="EV1488" s="2060"/>
      <c r="EW1488" s="2060"/>
      <c r="EX1488" s="2060"/>
      <c r="EY1488" s="2060"/>
      <c r="EZ1488" s="2060"/>
      <c r="FA1488" s="2060"/>
      <c r="FB1488" s="2060"/>
      <c r="FC1488" s="2060"/>
      <c r="FD1488" s="2060"/>
      <c r="FE1488" s="2060"/>
      <c r="FF1488" s="2060"/>
      <c r="FG1488" s="2060"/>
      <c r="FH1488" s="2060"/>
      <c r="FI1488" s="2060"/>
      <c r="FJ1488" s="2060"/>
      <c r="FK1488" s="2060"/>
      <c r="FL1488" s="2060"/>
      <c r="FM1488" s="2060"/>
      <c r="FN1488" s="2060"/>
      <c r="FO1488" s="2060"/>
      <c r="FP1488" s="2060"/>
      <c r="FQ1488" s="2060"/>
      <c r="FR1488" s="2060"/>
      <c r="FS1488" s="2060"/>
      <c r="FT1488" s="2060"/>
      <c r="FU1488" s="2060"/>
      <c r="FV1488" s="2060"/>
      <c r="FW1488" s="2060"/>
      <c r="FX1488" s="2060"/>
      <c r="FY1488" s="2060"/>
      <c r="FZ1488" s="2060"/>
      <c r="GA1488" s="2060"/>
      <c r="GB1488" s="2060"/>
      <c r="GC1488" s="2060"/>
      <c r="GD1488" s="2060"/>
      <c r="GE1488" s="2060"/>
      <c r="GF1488" s="2060"/>
      <c r="GG1488" s="2060"/>
      <c r="GH1488" s="2060"/>
      <c r="GI1488" s="2060"/>
      <c r="GJ1488" s="2060"/>
      <c r="GK1488" s="2060"/>
      <c r="GL1488" s="2060"/>
      <c r="GM1488" s="2060"/>
      <c r="GN1488" s="2060"/>
      <c r="GO1488" s="2060"/>
      <c r="GP1488" s="2060"/>
      <c r="GQ1488" s="2060"/>
      <c r="GR1488" s="2060"/>
      <c r="GS1488" s="2060"/>
      <c r="GT1488" s="2060"/>
      <c r="GU1488" s="2060"/>
      <c r="GV1488" s="2060"/>
      <c r="GW1488" s="2060"/>
      <c r="GX1488" s="2060"/>
      <c r="GY1488" s="2060"/>
      <c r="GZ1488" s="2060"/>
      <c r="HA1488" s="2060"/>
      <c r="HB1488" s="2060"/>
      <c r="HC1488" s="2060"/>
      <c r="HD1488" s="2060"/>
      <c r="HE1488" s="2060"/>
      <c r="HF1488" s="2060"/>
      <c r="HG1488" s="2060"/>
      <c r="HH1488" s="2060"/>
      <c r="HI1488" s="2060"/>
      <c r="HJ1488" s="2060"/>
      <c r="HK1488" s="2060"/>
      <c r="HL1488" s="2060"/>
      <c r="HM1488" s="2060"/>
      <c r="HN1488" s="2060"/>
      <c r="HO1488" s="2060"/>
      <c r="HP1488" s="2060"/>
      <c r="HQ1488" s="2060"/>
      <c r="HR1488" s="2060"/>
      <c r="HS1488" s="2060"/>
      <c r="HT1488" s="2060"/>
      <c r="HU1488" s="2060"/>
      <c r="HV1488" s="2060"/>
      <c r="HW1488" s="2060"/>
      <c r="HX1488" s="2060"/>
      <c r="HY1488" s="2060"/>
      <c r="HZ1488" s="2060"/>
      <c r="IA1488" s="2060"/>
      <c r="IB1488" s="2060"/>
      <c r="IC1488" s="2060"/>
      <c r="ID1488" s="2060"/>
      <c r="IE1488" s="2060"/>
      <c r="IF1488" s="2060"/>
      <c r="IG1488" s="2060"/>
      <c r="IH1488" s="2060"/>
      <c r="II1488" s="2060"/>
      <c r="IJ1488" s="2060"/>
      <c r="IK1488" s="2060"/>
      <c r="IL1488" s="2060"/>
      <c r="IM1488" s="2060"/>
      <c r="IN1488" s="2060"/>
      <c r="IO1488" s="2060"/>
      <c r="IP1488" s="2060"/>
      <c r="IQ1488" s="2060"/>
      <c r="IR1488" s="2060"/>
      <c r="IS1488" s="2060"/>
      <c r="IT1488" s="2060"/>
      <c r="IU1488" s="2060"/>
      <c r="IV1488" s="2060"/>
      <c r="IW1488" s="2060"/>
      <c r="IX1488" s="2060"/>
      <c r="IY1488" s="2060"/>
      <c r="IZ1488" s="2060"/>
      <c r="JA1488" s="2060"/>
      <c r="JB1488" s="2060"/>
      <c r="JC1488" s="2060"/>
      <c r="JD1488" s="2060"/>
      <c r="JE1488" s="2060"/>
      <c r="JF1488" s="2060"/>
      <c r="JG1488" s="2060"/>
      <c r="JH1488" s="2060"/>
      <c r="JI1488" s="2060"/>
      <c r="JJ1488" s="2060"/>
      <c r="JK1488" s="2060"/>
      <c r="JL1488" s="2060"/>
      <c r="JM1488" s="2060"/>
      <c r="JN1488" s="2060"/>
      <c r="JO1488" s="2060"/>
      <c r="JP1488" s="2060"/>
      <c r="JQ1488" s="2060"/>
      <c r="JR1488" s="2060"/>
      <c r="JS1488" s="2060"/>
      <c r="JT1488" s="2060"/>
      <c r="JU1488" s="2060"/>
      <c r="JV1488" s="2060"/>
      <c r="JW1488" s="2060"/>
      <c r="JX1488" s="2060"/>
      <c r="JY1488" s="2060"/>
      <c r="JZ1488" s="2060"/>
      <c r="KA1488" s="2060"/>
      <c r="KB1488" s="2060"/>
      <c r="KC1488" s="2060"/>
      <c r="KD1488" s="2060"/>
      <c r="KE1488" s="2060"/>
      <c r="KF1488" s="2060"/>
      <c r="KG1488" s="2060"/>
      <c r="KH1488" s="2060"/>
      <c r="KI1488" s="2060"/>
      <c r="KJ1488" s="2060"/>
      <c r="KK1488" s="2060"/>
      <c r="KL1488" s="2060"/>
      <c r="KM1488" s="2060"/>
      <c r="KN1488" s="2060"/>
      <c r="KO1488" s="2060"/>
      <c r="KP1488" s="2060"/>
      <c r="KQ1488" s="2060"/>
      <c r="KR1488" s="2060"/>
      <c r="KS1488" s="2060"/>
      <c r="KT1488" s="2060"/>
      <c r="KU1488" s="2060"/>
      <c r="KV1488" s="2060"/>
      <c r="KW1488" s="2060"/>
      <c r="KX1488" s="2060"/>
      <c r="KY1488" s="2060"/>
      <c r="KZ1488" s="2060"/>
      <c r="LA1488" s="2060"/>
      <c r="LB1488" s="2060"/>
      <c r="LC1488" s="2060"/>
      <c r="LD1488" s="2060"/>
      <c r="LE1488" s="2060"/>
      <c r="LF1488" s="2060"/>
      <c r="LG1488" s="2060"/>
      <c r="LH1488" s="2060"/>
    </row>
    <row r="1489" spans="1:320" s="449" customFormat="1" ht="13.9">
      <c r="A1489" s="2060"/>
      <c r="B1489" s="2060"/>
      <c r="C1489" s="89"/>
      <c r="D1489" s="1436"/>
      <c r="E1489" s="56"/>
      <c r="F1489" s="21"/>
      <c r="G1489" s="89"/>
      <c r="H1489" s="89"/>
      <c r="I1489" s="89"/>
      <c r="J1489" s="89"/>
      <c r="K1489" s="89"/>
      <c r="L1489" s="89"/>
      <c r="M1489" s="89"/>
      <c r="N1489" s="89"/>
      <c r="O1489" s="75"/>
      <c r="P1489" s="76"/>
      <c r="Q1489" s="89"/>
      <c r="R1489" s="89"/>
      <c r="S1489" s="89"/>
      <c r="T1489" s="89"/>
      <c r="U1489" s="89"/>
      <c r="V1489" s="89"/>
      <c r="W1489" s="89"/>
      <c r="X1489" s="89"/>
      <c r="Y1489" s="89"/>
      <c r="Z1489" s="89"/>
      <c r="AA1489" s="89"/>
      <c r="AB1489" s="89"/>
      <c r="AC1489" s="89"/>
      <c r="AD1489" s="89"/>
      <c r="AE1489" s="89"/>
      <c r="AF1489" s="89"/>
      <c r="AG1489" s="2060"/>
      <c r="AH1489" s="2060"/>
      <c r="AI1489" s="2060"/>
      <c r="AJ1489" s="2060"/>
      <c r="AK1489" s="2060"/>
      <c r="AL1489" s="2060"/>
      <c r="AM1489" s="2060"/>
      <c r="AN1489" s="2060"/>
      <c r="AO1489" s="2060"/>
      <c r="AP1489" s="2060"/>
      <c r="AQ1489" s="2060"/>
      <c r="AR1489" s="2060"/>
      <c r="AS1489" s="2060"/>
      <c r="AT1489" s="2060"/>
      <c r="AU1489" s="2060"/>
      <c r="AV1489" s="2060"/>
      <c r="AW1489" s="2060"/>
      <c r="AX1489" s="2060"/>
      <c r="AY1489" s="2060"/>
      <c r="AZ1489" s="2060"/>
      <c r="BA1489" s="2060"/>
      <c r="BB1489" s="2060"/>
      <c r="BC1489" s="2060"/>
      <c r="BD1489" s="2060"/>
      <c r="BE1489" s="2060"/>
      <c r="BF1489" s="2060"/>
      <c r="BG1489" s="2060"/>
      <c r="BH1489" s="2060"/>
      <c r="BI1489" s="2060"/>
      <c r="BJ1489" s="2060"/>
      <c r="BK1489" s="2060"/>
      <c r="BL1489" s="2060"/>
      <c r="BM1489" s="2060"/>
      <c r="BN1489" s="2060"/>
      <c r="BO1489" s="2060"/>
      <c r="BP1489" s="2060"/>
      <c r="BQ1489" s="2060"/>
      <c r="BR1489" s="2060"/>
      <c r="BS1489" s="2060"/>
      <c r="BT1489" s="2060"/>
      <c r="BU1489" s="2060"/>
      <c r="BV1489" s="2060"/>
      <c r="BW1489" s="2060"/>
      <c r="BX1489" s="2060"/>
      <c r="BY1489" s="2060"/>
      <c r="BZ1489" s="2060"/>
      <c r="CA1489" s="2060"/>
      <c r="CB1489" s="2060"/>
      <c r="CC1489" s="2060"/>
      <c r="CD1489" s="2060"/>
      <c r="CE1489" s="2060"/>
      <c r="CF1489" s="2060"/>
      <c r="CG1489" s="2060"/>
      <c r="CH1489" s="2060"/>
      <c r="CI1489" s="2060"/>
      <c r="CJ1489" s="2060"/>
      <c r="CK1489" s="2060"/>
      <c r="CL1489" s="2060"/>
      <c r="CM1489" s="2060"/>
      <c r="CN1489" s="2060"/>
      <c r="CO1489" s="2060"/>
      <c r="CP1489" s="2060"/>
      <c r="CQ1489" s="2060"/>
      <c r="CR1489" s="2060"/>
      <c r="CS1489" s="2060"/>
      <c r="CT1489" s="2060"/>
      <c r="CU1489" s="2060"/>
      <c r="CV1489" s="2060"/>
      <c r="CW1489" s="2060"/>
      <c r="CX1489" s="2060"/>
      <c r="CY1489" s="2060"/>
      <c r="CZ1489" s="2060"/>
      <c r="DA1489" s="2060"/>
      <c r="DB1489" s="2060"/>
      <c r="DC1489" s="2060"/>
      <c r="DD1489" s="2060"/>
      <c r="DE1489" s="2060"/>
      <c r="DF1489" s="2060"/>
      <c r="DG1489" s="2060"/>
      <c r="DH1489" s="2060"/>
      <c r="DI1489" s="2060"/>
      <c r="DJ1489" s="2060"/>
      <c r="DK1489" s="2060"/>
      <c r="DL1489" s="2060"/>
      <c r="DM1489" s="2060"/>
      <c r="DN1489" s="2060"/>
      <c r="DO1489" s="2060"/>
      <c r="DP1489" s="2060"/>
      <c r="DQ1489" s="2060"/>
      <c r="DR1489" s="2060"/>
      <c r="DS1489" s="2060"/>
      <c r="DT1489" s="2060"/>
      <c r="DU1489" s="2060"/>
      <c r="DV1489" s="2060"/>
      <c r="DW1489" s="2060"/>
      <c r="DX1489" s="2060"/>
      <c r="DY1489" s="2060"/>
      <c r="DZ1489" s="2060"/>
      <c r="EA1489" s="2060"/>
      <c r="EB1489" s="2060"/>
      <c r="EC1489" s="2060"/>
      <c r="ED1489" s="2060"/>
      <c r="EE1489" s="2060"/>
      <c r="EF1489" s="2060"/>
      <c r="EG1489" s="2060"/>
      <c r="EH1489" s="2060"/>
      <c r="EI1489" s="2060"/>
      <c r="EJ1489" s="2060"/>
      <c r="EK1489" s="2060"/>
      <c r="EL1489" s="2060"/>
      <c r="EM1489" s="2060"/>
      <c r="EN1489" s="2060"/>
      <c r="EO1489" s="2060"/>
      <c r="EP1489" s="2060"/>
      <c r="EQ1489" s="2060"/>
      <c r="ER1489" s="2060"/>
      <c r="ES1489" s="2060"/>
      <c r="ET1489" s="2060"/>
      <c r="EU1489" s="2060"/>
      <c r="EV1489" s="2060"/>
      <c r="EW1489" s="2060"/>
      <c r="EX1489" s="2060"/>
      <c r="EY1489" s="2060"/>
      <c r="EZ1489" s="2060"/>
      <c r="FA1489" s="2060"/>
      <c r="FB1489" s="2060"/>
      <c r="FC1489" s="2060"/>
      <c r="FD1489" s="2060"/>
      <c r="FE1489" s="2060"/>
      <c r="FF1489" s="2060"/>
      <c r="FG1489" s="2060"/>
      <c r="FH1489" s="2060"/>
      <c r="FI1489" s="2060"/>
      <c r="FJ1489" s="2060"/>
      <c r="FK1489" s="2060"/>
      <c r="FL1489" s="2060"/>
      <c r="FM1489" s="2060"/>
      <c r="FN1489" s="2060"/>
      <c r="FO1489" s="2060"/>
      <c r="FP1489" s="2060"/>
      <c r="FQ1489" s="2060"/>
      <c r="FR1489" s="2060"/>
      <c r="FS1489" s="2060"/>
      <c r="FT1489" s="2060"/>
      <c r="FU1489" s="2060"/>
      <c r="FV1489" s="2060"/>
      <c r="FW1489" s="2060"/>
      <c r="FX1489" s="2060"/>
      <c r="FY1489" s="2060"/>
      <c r="FZ1489" s="2060"/>
      <c r="GA1489" s="2060"/>
      <c r="GB1489" s="2060"/>
      <c r="GC1489" s="2060"/>
      <c r="GD1489" s="2060"/>
      <c r="GE1489" s="2060"/>
      <c r="GF1489" s="2060"/>
      <c r="GG1489" s="2060"/>
      <c r="GH1489" s="2060"/>
      <c r="GI1489" s="2060"/>
      <c r="GJ1489" s="2060"/>
      <c r="GK1489" s="2060"/>
      <c r="GL1489" s="2060"/>
      <c r="GM1489" s="2060"/>
      <c r="GN1489" s="2060"/>
      <c r="GO1489" s="2060"/>
      <c r="GP1489" s="2060"/>
      <c r="GQ1489" s="2060"/>
      <c r="GR1489" s="2060"/>
      <c r="GS1489" s="2060"/>
      <c r="GT1489" s="2060"/>
      <c r="GU1489" s="2060"/>
      <c r="GV1489" s="2060"/>
      <c r="GW1489" s="2060"/>
      <c r="GX1489" s="2060"/>
      <c r="GY1489" s="2060"/>
      <c r="GZ1489" s="2060"/>
      <c r="HA1489" s="2060"/>
      <c r="HB1489" s="2060"/>
      <c r="HC1489" s="2060"/>
      <c r="HD1489" s="2060"/>
      <c r="HE1489" s="2060"/>
      <c r="HF1489" s="2060"/>
      <c r="HG1489" s="2060"/>
      <c r="HH1489" s="2060"/>
      <c r="HI1489" s="2060"/>
      <c r="HJ1489" s="2060"/>
      <c r="HK1489" s="2060"/>
      <c r="HL1489" s="2060"/>
      <c r="HM1489" s="2060"/>
      <c r="HN1489" s="2060"/>
      <c r="HO1489" s="2060"/>
      <c r="HP1489" s="2060"/>
      <c r="HQ1489" s="2060"/>
      <c r="HR1489" s="2060"/>
      <c r="HS1489" s="2060"/>
      <c r="HT1489" s="2060"/>
      <c r="HU1489" s="2060"/>
      <c r="HV1489" s="2060"/>
      <c r="HW1489" s="2060"/>
      <c r="HX1489" s="2060"/>
      <c r="HY1489" s="2060"/>
      <c r="HZ1489" s="2060"/>
      <c r="IA1489" s="2060"/>
      <c r="IB1489" s="2060"/>
      <c r="IC1489" s="2060"/>
      <c r="ID1489" s="2060"/>
      <c r="IE1489" s="2060"/>
      <c r="IF1489" s="2060"/>
      <c r="IG1489" s="2060"/>
      <c r="IH1489" s="2060"/>
      <c r="II1489" s="2060"/>
      <c r="IJ1489" s="2060"/>
      <c r="IK1489" s="2060"/>
      <c r="IL1489" s="2060"/>
      <c r="IM1489" s="2060"/>
      <c r="IN1489" s="2060"/>
      <c r="IO1489" s="2060"/>
      <c r="IP1489" s="2060"/>
      <c r="IQ1489" s="2060"/>
      <c r="IR1489" s="2060"/>
      <c r="IS1489" s="2060"/>
      <c r="IT1489" s="2060"/>
      <c r="IU1489" s="2060"/>
      <c r="IV1489" s="2060"/>
      <c r="IW1489" s="2060"/>
      <c r="IX1489" s="2060"/>
      <c r="IY1489" s="2060"/>
      <c r="IZ1489" s="2060"/>
      <c r="JA1489" s="2060"/>
      <c r="JB1489" s="2060"/>
      <c r="JC1489" s="2060"/>
      <c r="JD1489" s="2060"/>
      <c r="JE1489" s="2060"/>
      <c r="JF1489" s="2060"/>
      <c r="JG1489" s="2060"/>
      <c r="JH1489" s="2060"/>
      <c r="JI1489" s="2060"/>
      <c r="JJ1489" s="2060"/>
      <c r="JK1489" s="2060"/>
      <c r="JL1489" s="2060"/>
      <c r="JM1489" s="2060"/>
      <c r="JN1489" s="2060"/>
      <c r="JO1489" s="2060"/>
      <c r="JP1489" s="2060"/>
      <c r="JQ1489" s="2060"/>
      <c r="JR1489" s="2060"/>
      <c r="JS1489" s="2060"/>
      <c r="JT1489" s="2060"/>
      <c r="JU1489" s="2060"/>
      <c r="JV1489" s="2060"/>
      <c r="JW1489" s="2060"/>
      <c r="JX1489" s="2060"/>
      <c r="JY1489" s="2060"/>
      <c r="JZ1489" s="2060"/>
      <c r="KA1489" s="2060"/>
      <c r="KB1489" s="2060"/>
      <c r="KC1489" s="2060"/>
      <c r="KD1489" s="2060"/>
      <c r="KE1489" s="2060"/>
      <c r="KF1489" s="2060"/>
      <c r="KG1489" s="2060"/>
      <c r="KH1489" s="2060"/>
      <c r="KI1489" s="2060"/>
      <c r="KJ1489" s="2060"/>
      <c r="KK1489" s="2060"/>
      <c r="KL1489" s="2060"/>
      <c r="KM1489" s="2060"/>
      <c r="KN1489" s="2060"/>
      <c r="KO1489" s="2060"/>
      <c r="KP1489" s="2060"/>
      <c r="KQ1489" s="2060"/>
      <c r="KR1489" s="2060"/>
      <c r="KS1489" s="2060"/>
      <c r="KT1489" s="2060"/>
      <c r="KU1489" s="2060"/>
      <c r="KV1489" s="2060"/>
      <c r="KW1489" s="2060"/>
      <c r="KX1489" s="2060"/>
      <c r="KY1489" s="2060"/>
      <c r="KZ1489" s="2060"/>
      <c r="LA1489" s="2060"/>
      <c r="LB1489" s="2060"/>
      <c r="LC1489" s="2060"/>
      <c r="LD1489" s="2060"/>
      <c r="LE1489" s="2060"/>
      <c r="LF1489" s="2060"/>
      <c r="LG1489" s="2060"/>
      <c r="LH1489" s="2060"/>
    </row>
    <row r="1490" spans="1:320" s="449" customFormat="1" ht="13.9">
      <c r="A1490" s="2060"/>
      <c r="B1490" s="2060"/>
      <c r="C1490" s="89"/>
      <c r="D1490" s="803"/>
      <c r="E1490" s="56"/>
      <c r="F1490" s="21"/>
      <c r="G1490" s="89"/>
      <c r="H1490" s="89"/>
      <c r="I1490" s="89"/>
      <c r="J1490" s="89"/>
      <c r="K1490" s="89"/>
      <c r="L1490" s="89"/>
      <c r="M1490" s="89"/>
      <c r="N1490" s="89"/>
      <c r="O1490" s="75"/>
      <c r="P1490" s="76"/>
      <c r="Q1490" s="89"/>
      <c r="R1490" s="89"/>
      <c r="S1490" s="89"/>
      <c r="T1490" s="89"/>
      <c r="U1490" s="89"/>
      <c r="V1490" s="89"/>
      <c r="W1490" s="89"/>
      <c r="X1490" s="89"/>
      <c r="Y1490" s="89"/>
      <c r="Z1490" s="89"/>
      <c r="AA1490" s="89"/>
      <c r="AB1490" s="89"/>
      <c r="AC1490" s="89"/>
      <c r="AD1490" s="89"/>
      <c r="AE1490" s="89"/>
      <c r="AF1490" s="89"/>
      <c r="AG1490" s="2060"/>
      <c r="AH1490" s="2060"/>
      <c r="AI1490" s="2060"/>
      <c r="AJ1490" s="2060"/>
      <c r="AK1490" s="2060"/>
      <c r="AL1490" s="2060"/>
      <c r="AM1490" s="2060"/>
      <c r="AN1490" s="2060"/>
      <c r="AO1490" s="2060"/>
      <c r="AP1490" s="2060"/>
      <c r="AQ1490" s="2060"/>
      <c r="AR1490" s="2060"/>
      <c r="AS1490" s="2060"/>
      <c r="AT1490" s="2060"/>
      <c r="AU1490" s="2060"/>
      <c r="AV1490" s="2060"/>
      <c r="AW1490" s="2060"/>
      <c r="AX1490" s="2060"/>
      <c r="AY1490" s="2060"/>
      <c r="AZ1490" s="2060"/>
      <c r="BA1490" s="2060"/>
      <c r="BB1490" s="2060"/>
      <c r="BC1490" s="2060"/>
      <c r="BD1490" s="2060"/>
      <c r="BE1490" s="2060"/>
      <c r="BF1490" s="2060"/>
      <c r="BG1490" s="2060"/>
      <c r="BH1490" s="2060"/>
      <c r="BI1490" s="2060"/>
      <c r="BJ1490" s="2060"/>
      <c r="BK1490" s="2060"/>
      <c r="BL1490" s="2060"/>
      <c r="BM1490" s="2060"/>
      <c r="BN1490" s="2060"/>
      <c r="BO1490" s="2060"/>
      <c r="BP1490" s="2060"/>
      <c r="BQ1490" s="2060"/>
      <c r="BR1490" s="2060"/>
      <c r="BS1490" s="2060"/>
      <c r="BT1490" s="2060"/>
      <c r="BU1490" s="2060"/>
      <c r="BV1490" s="2060"/>
      <c r="BW1490" s="2060"/>
      <c r="BX1490" s="2060"/>
      <c r="BY1490" s="2060"/>
      <c r="BZ1490" s="2060"/>
      <c r="CA1490" s="2060"/>
      <c r="CB1490" s="2060"/>
      <c r="CC1490" s="2060"/>
      <c r="CD1490" s="2060"/>
      <c r="CE1490" s="2060"/>
      <c r="CF1490" s="2060"/>
      <c r="CG1490" s="2060"/>
      <c r="CH1490" s="2060"/>
      <c r="CI1490" s="2060"/>
      <c r="CJ1490" s="2060"/>
      <c r="CK1490" s="2060"/>
      <c r="CL1490" s="2060"/>
      <c r="CM1490" s="2060"/>
      <c r="CN1490" s="2060"/>
      <c r="CO1490" s="2060"/>
      <c r="CP1490" s="2060"/>
      <c r="CQ1490" s="2060"/>
      <c r="CR1490" s="2060"/>
      <c r="CS1490" s="2060"/>
      <c r="CT1490" s="2060"/>
      <c r="CU1490" s="2060"/>
      <c r="CV1490" s="2060"/>
      <c r="CW1490" s="2060"/>
      <c r="CX1490" s="2060"/>
      <c r="CY1490" s="2060"/>
      <c r="CZ1490" s="2060"/>
      <c r="DA1490" s="2060"/>
      <c r="DB1490" s="2060"/>
      <c r="DC1490" s="2060"/>
      <c r="DD1490" s="2060"/>
      <c r="DE1490" s="2060"/>
      <c r="DF1490" s="2060"/>
      <c r="DG1490" s="2060"/>
      <c r="DH1490" s="2060"/>
      <c r="DI1490" s="2060"/>
      <c r="DJ1490" s="2060"/>
      <c r="DK1490" s="2060"/>
      <c r="DL1490" s="2060"/>
      <c r="DM1490" s="2060"/>
      <c r="DN1490" s="2060"/>
      <c r="DO1490" s="2060"/>
      <c r="DP1490" s="2060"/>
      <c r="DQ1490" s="2060"/>
      <c r="DR1490" s="2060"/>
      <c r="DS1490" s="2060"/>
      <c r="DT1490" s="2060"/>
      <c r="DU1490" s="2060"/>
      <c r="DV1490" s="2060"/>
      <c r="DW1490" s="2060"/>
      <c r="DX1490" s="2060"/>
      <c r="DY1490" s="2060"/>
      <c r="DZ1490" s="2060"/>
      <c r="EA1490" s="2060"/>
      <c r="EB1490" s="2060"/>
      <c r="EC1490" s="2060"/>
      <c r="ED1490" s="2060"/>
      <c r="EE1490" s="2060"/>
      <c r="EF1490" s="2060"/>
      <c r="EG1490" s="2060"/>
      <c r="EH1490" s="2060"/>
      <c r="EI1490" s="2060"/>
      <c r="EJ1490" s="2060"/>
      <c r="EK1490" s="2060"/>
      <c r="EL1490" s="2060"/>
      <c r="EM1490" s="2060"/>
      <c r="EN1490" s="2060"/>
      <c r="EO1490" s="2060"/>
      <c r="EP1490" s="2060"/>
      <c r="EQ1490" s="2060"/>
      <c r="ER1490" s="2060"/>
      <c r="ES1490" s="2060"/>
      <c r="ET1490" s="2060"/>
      <c r="EU1490" s="2060"/>
      <c r="EV1490" s="2060"/>
      <c r="EW1490" s="2060"/>
      <c r="EX1490" s="2060"/>
      <c r="EY1490" s="2060"/>
      <c r="EZ1490" s="2060"/>
      <c r="FA1490" s="2060"/>
      <c r="FB1490" s="2060"/>
      <c r="FC1490" s="2060"/>
      <c r="FD1490" s="2060"/>
      <c r="FE1490" s="2060"/>
      <c r="FF1490" s="2060"/>
      <c r="FG1490" s="2060"/>
      <c r="FH1490" s="2060"/>
      <c r="FI1490" s="2060"/>
      <c r="FJ1490" s="2060"/>
      <c r="FK1490" s="2060"/>
      <c r="FL1490" s="2060"/>
      <c r="FM1490" s="2060"/>
      <c r="FN1490" s="2060"/>
      <c r="FO1490" s="2060"/>
      <c r="FP1490" s="2060"/>
      <c r="FQ1490" s="2060"/>
      <c r="FR1490" s="2060"/>
      <c r="FS1490" s="2060"/>
      <c r="FT1490" s="2060"/>
      <c r="FU1490" s="2060"/>
      <c r="FV1490" s="2060"/>
      <c r="FW1490" s="2060"/>
      <c r="FX1490" s="2060"/>
      <c r="FY1490" s="2060"/>
      <c r="FZ1490" s="2060"/>
      <c r="GA1490" s="2060"/>
      <c r="GB1490" s="2060"/>
      <c r="GC1490" s="2060"/>
      <c r="GD1490" s="2060"/>
      <c r="GE1490" s="2060"/>
      <c r="GF1490" s="2060"/>
      <c r="GG1490" s="2060"/>
      <c r="GH1490" s="2060"/>
      <c r="GI1490" s="2060"/>
      <c r="GJ1490" s="2060"/>
      <c r="GK1490" s="2060"/>
      <c r="GL1490" s="2060"/>
      <c r="GM1490" s="2060"/>
      <c r="GN1490" s="2060"/>
      <c r="GO1490" s="2060"/>
      <c r="GP1490" s="2060"/>
      <c r="GQ1490" s="2060"/>
      <c r="GR1490" s="2060"/>
      <c r="GS1490" s="2060"/>
      <c r="GT1490" s="2060"/>
      <c r="GU1490" s="2060"/>
      <c r="GV1490" s="2060"/>
      <c r="GW1490" s="2060"/>
      <c r="GX1490" s="2060"/>
      <c r="GY1490" s="2060"/>
      <c r="GZ1490" s="2060"/>
      <c r="HA1490" s="2060"/>
      <c r="HB1490" s="2060"/>
      <c r="HC1490" s="2060"/>
      <c r="HD1490" s="2060"/>
      <c r="HE1490" s="2060"/>
      <c r="HF1490" s="2060"/>
      <c r="HG1490" s="2060"/>
      <c r="HH1490" s="2060"/>
      <c r="HI1490" s="2060"/>
      <c r="HJ1490" s="2060"/>
      <c r="HK1490" s="2060"/>
      <c r="HL1490" s="2060"/>
      <c r="HM1490" s="2060"/>
      <c r="HN1490" s="2060"/>
      <c r="HO1490" s="2060"/>
      <c r="HP1490" s="2060"/>
      <c r="HQ1490" s="2060"/>
      <c r="HR1490" s="2060"/>
      <c r="HS1490" s="2060"/>
      <c r="HT1490" s="2060"/>
      <c r="HU1490" s="2060"/>
      <c r="HV1490" s="2060"/>
      <c r="HW1490" s="2060"/>
      <c r="HX1490" s="2060"/>
      <c r="HY1490" s="2060"/>
      <c r="HZ1490" s="2060"/>
      <c r="IA1490" s="2060"/>
      <c r="IB1490" s="2060"/>
      <c r="IC1490" s="2060"/>
      <c r="ID1490" s="2060"/>
      <c r="IE1490" s="2060"/>
      <c r="IF1490" s="2060"/>
      <c r="IG1490" s="2060"/>
      <c r="IH1490" s="2060"/>
      <c r="II1490" s="2060"/>
      <c r="IJ1490" s="2060"/>
      <c r="IK1490" s="2060"/>
      <c r="IL1490" s="2060"/>
      <c r="IM1490" s="2060"/>
      <c r="IN1490" s="2060"/>
      <c r="IO1490" s="2060"/>
      <c r="IP1490" s="2060"/>
      <c r="IQ1490" s="2060"/>
      <c r="IR1490" s="2060"/>
      <c r="IS1490" s="2060"/>
      <c r="IT1490" s="2060"/>
      <c r="IU1490" s="2060"/>
      <c r="IV1490" s="2060"/>
      <c r="IW1490" s="2060"/>
      <c r="IX1490" s="2060"/>
      <c r="IY1490" s="2060"/>
      <c r="IZ1490" s="2060"/>
      <c r="JA1490" s="2060"/>
      <c r="JB1490" s="2060"/>
      <c r="JC1490" s="2060"/>
      <c r="JD1490" s="2060"/>
      <c r="JE1490" s="2060"/>
      <c r="JF1490" s="2060"/>
      <c r="JG1490" s="2060"/>
      <c r="JH1490" s="2060"/>
      <c r="JI1490" s="2060"/>
      <c r="JJ1490" s="2060"/>
      <c r="JK1490" s="2060"/>
      <c r="JL1490" s="2060"/>
      <c r="JM1490" s="2060"/>
      <c r="JN1490" s="2060"/>
      <c r="JO1490" s="2060"/>
      <c r="JP1490" s="2060"/>
      <c r="JQ1490" s="2060"/>
      <c r="JR1490" s="2060"/>
      <c r="JS1490" s="2060"/>
      <c r="JT1490" s="2060"/>
      <c r="JU1490" s="2060"/>
      <c r="JV1490" s="2060"/>
      <c r="JW1490" s="2060"/>
      <c r="JX1490" s="2060"/>
      <c r="JY1490" s="2060"/>
      <c r="JZ1490" s="2060"/>
      <c r="KA1490" s="2060"/>
      <c r="KB1490" s="2060"/>
      <c r="KC1490" s="2060"/>
      <c r="KD1490" s="2060"/>
      <c r="KE1490" s="2060"/>
      <c r="KF1490" s="2060"/>
      <c r="KG1490" s="2060"/>
      <c r="KH1490" s="2060"/>
      <c r="KI1490" s="2060"/>
      <c r="KJ1490" s="2060"/>
      <c r="KK1490" s="2060"/>
      <c r="KL1490" s="2060"/>
      <c r="KM1490" s="2060"/>
      <c r="KN1490" s="2060"/>
      <c r="KO1490" s="2060"/>
      <c r="KP1490" s="2060"/>
      <c r="KQ1490" s="2060"/>
      <c r="KR1490" s="2060"/>
      <c r="KS1490" s="2060"/>
      <c r="KT1490" s="2060"/>
      <c r="KU1490" s="2060"/>
      <c r="KV1490" s="2060"/>
      <c r="KW1490" s="2060"/>
      <c r="KX1490" s="2060"/>
      <c r="KY1490" s="2060"/>
      <c r="KZ1490" s="2060"/>
      <c r="LA1490" s="2060"/>
      <c r="LB1490" s="2060"/>
      <c r="LC1490" s="2060"/>
      <c r="LD1490" s="2060"/>
      <c r="LE1490" s="2060"/>
      <c r="LF1490" s="2060"/>
      <c r="LG1490" s="2060"/>
      <c r="LH1490" s="2060"/>
    </row>
    <row r="1491" spans="1:320" s="449" customFormat="1" ht="18">
      <c r="A1491" s="2060"/>
      <c r="B1491" s="2060"/>
      <c r="C1491" s="1437">
        <f ca="1">MAX(OFFSET(C1491,-1,0,-ROW(C1491)+1,1))+1</f>
        <v>9</v>
      </c>
      <c r="D1491" s="1438" t="s">
        <v>833</v>
      </c>
      <c r="E1491" s="799"/>
      <c r="F1491" s="1451"/>
      <c r="G1491" s="800"/>
      <c r="H1491" s="800"/>
      <c r="I1491" s="800"/>
      <c r="J1491" s="800"/>
      <c r="K1491" s="800"/>
      <c r="L1491" s="1464"/>
      <c r="M1491" s="1464"/>
      <c r="N1491" s="1464"/>
      <c r="O1491" s="1464"/>
      <c r="P1491" s="1464"/>
      <c r="Q1491" s="1464"/>
      <c r="R1491" s="1464"/>
      <c r="S1491" s="1464"/>
      <c r="T1491" s="1464"/>
      <c r="U1491" s="1464"/>
      <c r="V1491" s="1464"/>
      <c r="W1491" s="1464"/>
      <c r="X1491" s="1464"/>
      <c r="Y1491" s="1464"/>
      <c r="Z1491" s="797"/>
      <c r="AA1491" s="797"/>
      <c r="AB1491" s="797"/>
      <c r="AC1491" s="797"/>
      <c r="AD1491" s="89"/>
      <c r="AE1491" s="89"/>
      <c r="AF1491" s="89"/>
      <c r="AG1491" s="2060"/>
      <c r="AH1491" s="2060"/>
      <c r="AI1491" s="2060"/>
      <c r="AJ1491" s="2060"/>
      <c r="AK1491" s="2060"/>
      <c r="AL1491" s="2060"/>
      <c r="AM1491" s="2060"/>
      <c r="AN1491" s="2060"/>
      <c r="AO1491" s="2060"/>
      <c r="AP1491" s="2060"/>
      <c r="AQ1491" s="2060"/>
      <c r="AR1491" s="2060"/>
      <c r="AS1491" s="2060"/>
      <c r="AT1491" s="2060"/>
      <c r="AU1491" s="2060"/>
      <c r="AV1491" s="2060"/>
      <c r="AW1491" s="2060"/>
      <c r="AX1491" s="2060"/>
      <c r="AY1491" s="2060"/>
      <c r="AZ1491" s="2060"/>
      <c r="BA1491" s="2060"/>
      <c r="BB1491" s="2060"/>
      <c r="BC1491" s="2060"/>
      <c r="BD1491" s="2060"/>
      <c r="BE1491" s="2060"/>
      <c r="BF1491" s="2060"/>
      <c r="BG1491" s="2060"/>
      <c r="BH1491" s="2060"/>
      <c r="BI1491" s="2060"/>
      <c r="BJ1491" s="2060"/>
      <c r="BK1491" s="2060"/>
      <c r="BL1491" s="2060"/>
      <c r="BM1491" s="2060"/>
      <c r="BN1491" s="2060"/>
      <c r="BO1491" s="2060"/>
      <c r="BP1491" s="2060"/>
      <c r="BQ1491" s="2060"/>
      <c r="BR1491" s="2060"/>
      <c r="BS1491" s="2060"/>
      <c r="BT1491" s="2060"/>
      <c r="BU1491" s="2060"/>
      <c r="BV1491" s="2060"/>
      <c r="BW1491" s="2060"/>
      <c r="BX1491" s="2060"/>
      <c r="BY1491" s="2060"/>
      <c r="BZ1491" s="2060"/>
      <c r="CA1491" s="2060"/>
      <c r="CB1491" s="2060"/>
      <c r="CC1491" s="2060"/>
      <c r="CD1491" s="2060"/>
      <c r="CE1491" s="2060"/>
      <c r="CF1491" s="2060"/>
      <c r="CG1491" s="2060"/>
      <c r="CH1491" s="2060"/>
      <c r="CI1491" s="2060"/>
      <c r="CJ1491" s="2060"/>
      <c r="CK1491" s="2060"/>
      <c r="CL1491" s="2060"/>
      <c r="CM1491" s="2060"/>
      <c r="CN1491" s="2060"/>
      <c r="CO1491" s="2060"/>
      <c r="CP1491" s="2060"/>
      <c r="CQ1491" s="2060"/>
      <c r="CR1491" s="2060"/>
      <c r="CS1491" s="2060"/>
      <c r="CT1491" s="2060"/>
      <c r="CU1491" s="2060"/>
      <c r="CV1491" s="2060"/>
      <c r="CW1491" s="2060"/>
      <c r="CX1491" s="2060"/>
      <c r="CY1491" s="2060"/>
      <c r="CZ1491" s="2060"/>
      <c r="DA1491" s="2060"/>
      <c r="DB1491" s="2060"/>
      <c r="DC1491" s="2060"/>
      <c r="DD1491" s="2060"/>
      <c r="DE1491" s="2060"/>
      <c r="DF1491" s="2060"/>
      <c r="DG1491" s="2060"/>
      <c r="DH1491" s="2060"/>
      <c r="DI1491" s="2060"/>
      <c r="DJ1491" s="2060"/>
      <c r="DK1491" s="2060"/>
      <c r="DL1491" s="2060"/>
      <c r="DM1491" s="2060"/>
      <c r="DN1491" s="2060"/>
      <c r="DO1491" s="2060"/>
      <c r="DP1491" s="2060"/>
      <c r="DQ1491" s="2060"/>
      <c r="DR1491" s="2060"/>
      <c r="DS1491" s="2060"/>
      <c r="DT1491" s="2060"/>
      <c r="DU1491" s="2060"/>
      <c r="DV1491" s="2060"/>
      <c r="DW1491" s="2060"/>
      <c r="DX1491" s="2060"/>
      <c r="DY1491" s="2060"/>
      <c r="DZ1491" s="2060"/>
      <c r="EA1491" s="2060"/>
      <c r="EB1491" s="2060"/>
      <c r="EC1491" s="2060"/>
      <c r="ED1491" s="2060"/>
      <c r="EE1491" s="2060"/>
      <c r="EF1491" s="2060"/>
      <c r="EG1491" s="2060"/>
      <c r="EH1491" s="2060"/>
      <c r="EI1491" s="2060"/>
      <c r="EJ1491" s="2060"/>
      <c r="EK1491" s="2060"/>
      <c r="EL1491" s="2060"/>
      <c r="EM1491" s="2060"/>
      <c r="EN1491" s="2060"/>
      <c r="EO1491" s="2060"/>
      <c r="EP1491" s="2060"/>
      <c r="EQ1491" s="2060"/>
      <c r="ER1491" s="2060"/>
      <c r="ES1491" s="2060"/>
      <c r="ET1491" s="2060"/>
      <c r="EU1491" s="2060"/>
      <c r="EV1491" s="2060"/>
      <c r="EW1491" s="2060"/>
      <c r="EX1491" s="2060"/>
      <c r="EY1491" s="2060"/>
      <c r="EZ1491" s="2060"/>
      <c r="FA1491" s="2060"/>
      <c r="FB1491" s="2060"/>
      <c r="FC1491" s="2060"/>
      <c r="FD1491" s="2060"/>
      <c r="FE1491" s="2060"/>
      <c r="FF1491" s="2060"/>
      <c r="FG1491" s="2060"/>
      <c r="FH1491" s="2060"/>
      <c r="FI1491" s="2060"/>
      <c r="FJ1491" s="2060"/>
      <c r="FK1491" s="2060"/>
      <c r="FL1491" s="2060"/>
      <c r="FM1491" s="2060"/>
      <c r="FN1491" s="2060"/>
      <c r="FO1491" s="2060"/>
      <c r="FP1491" s="2060"/>
      <c r="FQ1491" s="2060"/>
      <c r="FR1491" s="2060"/>
      <c r="FS1491" s="2060"/>
      <c r="FT1491" s="2060"/>
      <c r="FU1491" s="2060"/>
      <c r="FV1491" s="2060"/>
      <c r="FW1491" s="2060"/>
      <c r="FX1491" s="2060"/>
      <c r="FY1491" s="2060"/>
      <c r="FZ1491" s="2060"/>
      <c r="GA1491" s="2060"/>
      <c r="GB1491" s="2060"/>
      <c r="GC1491" s="2060"/>
      <c r="GD1491" s="2060"/>
      <c r="GE1491" s="2060"/>
      <c r="GF1491" s="2060"/>
      <c r="GG1491" s="2060"/>
      <c r="GH1491" s="2060"/>
      <c r="GI1491" s="2060"/>
      <c r="GJ1491" s="2060"/>
      <c r="GK1491" s="2060"/>
      <c r="GL1491" s="2060"/>
      <c r="GM1491" s="2060"/>
      <c r="GN1491" s="2060"/>
      <c r="GO1491" s="2060"/>
      <c r="GP1491" s="2060"/>
      <c r="GQ1491" s="2060"/>
      <c r="GR1491" s="2060"/>
      <c r="GS1491" s="2060"/>
      <c r="GT1491" s="2060"/>
      <c r="GU1491" s="2060"/>
      <c r="GV1491" s="2060"/>
      <c r="GW1491" s="2060"/>
      <c r="GX1491" s="2060"/>
      <c r="GY1491" s="2060"/>
      <c r="GZ1491" s="2060"/>
      <c r="HA1491" s="2060"/>
      <c r="HB1491" s="2060"/>
      <c r="HC1491" s="2060"/>
      <c r="HD1491" s="2060"/>
      <c r="HE1491" s="2060"/>
      <c r="HF1491" s="2060"/>
      <c r="HG1491" s="2060"/>
      <c r="HH1491" s="2060"/>
      <c r="HI1491" s="2060"/>
      <c r="HJ1491" s="2060"/>
      <c r="HK1491" s="2060"/>
      <c r="HL1491" s="2060"/>
      <c r="HM1491" s="2060"/>
      <c r="HN1491" s="2060"/>
      <c r="HO1491" s="2060"/>
      <c r="HP1491" s="2060"/>
      <c r="HQ1491" s="2060"/>
      <c r="HR1491" s="2060"/>
      <c r="HS1491" s="2060"/>
      <c r="HT1491" s="2060"/>
      <c r="HU1491" s="2060"/>
      <c r="HV1491" s="2060"/>
      <c r="HW1491" s="2060"/>
      <c r="HX1491" s="2060"/>
      <c r="HY1491" s="2060"/>
      <c r="HZ1491" s="2060"/>
      <c r="IA1491" s="2060"/>
      <c r="IB1491" s="2060"/>
      <c r="IC1491" s="2060"/>
      <c r="ID1491" s="2060"/>
      <c r="IE1491" s="2060"/>
      <c r="IF1491" s="2060"/>
      <c r="IG1491" s="2060"/>
      <c r="IH1491" s="2060"/>
      <c r="II1491" s="2060"/>
      <c r="IJ1491" s="2060"/>
      <c r="IK1491" s="2060"/>
      <c r="IL1491" s="2060"/>
      <c r="IM1491" s="2060"/>
      <c r="IN1491" s="2060"/>
      <c r="IO1491" s="2060"/>
      <c r="IP1491" s="2060"/>
      <c r="IQ1491" s="2060"/>
      <c r="IR1491" s="2060"/>
      <c r="IS1491" s="2060"/>
      <c r="IT1491" s="2060"/>
      <c r="IU1491" s="2060"/>
      <c r="IV1491" s="2060"/>
      <c r="IW1491" s="2060"/>
      <c r="IX1491" s="2060"/>
      <c r="IY1491" s="2060"/>
      <c r="IZ1491" s="2060"/>
      <c r="JA1491" s="2060"/>
      <c r="JB1491" s="2060"/>
      <c r="JC1491" s="2060"/>
      <c r="JD1491" s="2060"/>
      <c r="JE1491" s="2060"/>
      <c r="JF1491" s="2060"/>
      <c r="JG1491" s="2060"/>
      <c r="JH1491" s="2060"/>
      <c r="JI1491" s="2060"/>
      <c r="JJ1491" s="2060"/>
      <c r="JK1491" s="2060"/>
      <c r="JL1491" s="2060"/>
      <c r="JM1491" s="2060"/>
      <c r="JN1491" s="2060"/>
      <c r="JO1491" s="2060"/>
      <c r="JP1491" s="2060"/>
      <c r="JQ1491" s="2060"/>
      <c r="JR1491" s="2060"/>
      <c r="JS1491" s="2060"/>
      <c r="JT1491" s="2060"/>
      <c r="JU1491" s="2060"/>
      <c r="JV1491" s="2060"/>
      <c r="JW1491" s="2060"/>
      <c r="JX1491" s="2060"/>
      <c r="JY1491" s="2060"/>
      <c r="JZ1491" s="2060"/>
      <c r="KA1491" s="2060"/>
      <c r="KB1491" s="2060"/>
      <c r="KC1491" s="2060"/>
      <c r="KD1491" s="2060"/>
      <c r="KE1491" s="2060"/>
      <c r="KF1491" s="2060"/>
      <c r="KG1491" s="2060"/>
      <c r="KH1491" s="2060"/>
      <c r="KI1491" s="2060"/>
      <c r="KJ1491" s="2060"/>
      <c r="KK1491" s="2060"/>
      <c r="KL1491" s="2060"/>
      <c r="KM1491" s="2060"/>
      <c r="KN1491" s="2060"/>
      <c r="KO1491" s="2060"/>
      <c r="KP1491" s="2060"/>
      <c r="KQ1491" s="2060"/>
      <c r="KR1491" s="2060"/>
      <c r="KS1491" s="2060"/>
      <c r="KT1491" s="2060"/>
      <c r="KU1491" s="2060"/>
      <c r="KV1491" s="2060"/>
      <c r="KW1491" s="2060"/>
      <c r="KX1491" s="2060"/>
      <c r="KY1491" s="2060"/>
      <c r="KZ1491" s="2060"/>
      <c r="LA1491" s="2060"/>
      <c r="LB1491" s="2060"/>
      <c r="LC1491" s="2060"/>
      <c r="LD1491" s="2060"/>
      <c r="LE1491" s="2060"/>
      <c r="LF1491" s="2060"/>
      <c r="LG1491" s="2060"/>
      <c r="LH1491" s="2060"/>
    </row>
    <row r="1492" spans="1:320" s="449" customFormat="1" ht="13.9">
      <c r="A1492" s="2060"/>
      <c r="B1492" s="2060"/>
      <c r="C1492" s="2060"/>
      <c r="D1492" s="2060"/>
      <c r="E1492" s="2060"/>
      <c r="F1492" s="255"/>
      <c r="G1492" s="255"/>
      <c r="H1492" s="255"/>
      <c r="I1492" s="255"/>
      <c r="J1492" s="800"/>
      <c r="K1492" s="800"/>
      <c r="L1492" s="1464"/>
      <c r="M1492" s="1464"/>
      <c r="N1492" s="1464"/>
      <c r="O1492" s="1464"/>
      <c r="P1492" s="1464"/>
      <c r="Q1492" s="1464"/>
      <c r="R1492" s="1464"/>
      <c r="S1492" s="1464"/>
      <c r="T1492" s="1464"/>
      <c r="U1492" s="1464"/>
      <c r="V1492" s="1464"/>
      <c r="W1492" s="1464"/>
      <c r="X1492" s="1464"/>
      <c r="Y1492" s="1464"/>
      <c r="Z1492" s="797"/>
      <c r="AA1492" s="797"/>
      <c r="AB1492" s="797"/>
      <c r="AC1492" s="797"/>
      <c r="AD1492" s="89"/>
      <c r="AE1492" s="89"/>
      <c r="AF1492" s="89"/>
      <c r="AG1492" s="2060"/>
      <c r="AH1492" s="2060"/>
      <c r="AI1492" s="2060"/>
      <c r="AJ1492" s="2060"/>
      <c r="AK1492" s="2060"/>
      <c r="AL1492" s="2060"/>
      <c r="AM1492" s="2060"/>
      <c r="AN1492" s="2060"/>
      <c r="AO1492" s="2060"/>
      <c r="AP1492" s="2060"/>
      <c r="AQ1492" s="2060"/>
      <c r="AR1492" s="2060"/>
      <c r="AS1492" s="2060"/>
      <c r="AT1492" s="2060"/>
      <c r="AU1492" s="2060"/>
      <c r="AV1492" s="2060"/>
      <c r="AW1492" s="2060"/>
      <c r="AX1492" s="2060"/>
      <c r="AY1492" s="2060"/>
      <c r="AZ1492" s="2060"/>
      <c r="BA1492" s="2060"/>
      <c r="BB1492" s="2060"/>
      <c r="BC1492" s="2060"/>
      <c r="BD1492" s="2060"/>
      <c r="BE1492" s="2060"/>
      <c r="BF1492" s="2060"/>
      <c r="BG1492" s="2060"/>
      <c r="BH1492" s="2060"/>
      <c r="BI1492" s="2060"/>
      <c r="BJ1492" s="2060"/>
      <c r="BK1492" s="2060"/>
      <c r="BL1492" s="2060"/>
      <c r="BM1492" s="2060"/>
      <c r="BN1492" s="2060"/>
      <c r="BO1492" s="2060"/>
      <c r="BP1492" s="2060"/>
      <c r="BQ1492" s="2060"/>
      <c r="BR1492" s="2060"/>
      <c r="BS1492" s="2060"/>
      <c r="BT1492" s="2060"/>
      <c r="BU1492" s="2060"/>
      <c r="BV1492" s="2060"/>
      <c r="BW1492" s="2060"/>
      <c r="BX1492" s="2060"/>
      <c r="BY1492" s="2060"/>
      <c r="BZ1492" s="2060"/>
      <c r="CA1492" s="2060"/>
      <c r="CB1492" s="2060"/>
      <c r="CC1492" s="2060"/>
      <c r="CD1492" s="2060"/>
      <c r="CE1492" s="2060"/>
      <c r="CF1492" s="2060"/>
      <c r="CG1492" s="2060"/>
      <c r="CH1492" s="2060"/>
      <c r="CI1492" s="2060"/>
      <c r="CJ1492" s="2060"/>
      <c r="CK1492" s="2060"/>
      <c r="CL1492" s="2060"/>
      <c r="CM1492" s="2060"/>
      <c r="CN1492" s="2060"/>
      <c r="CO1492" s="2060"/>
      <c r="CP1492" s="2060"/>
      <c r="CQ1492" s="2060"/>
      <c r="CR1492" s="2060"/>
      <c r="CS1492" s="2060"/>
      <c r="CT1492" s="2060"/>
      <c r="CU1492" s="2060"/>
      <c r="CV1492" s="2060"/>
      <c r="CW1492" s="2060"/>
      <c r="CX1492" s="2060"/>
      <c r="CY1492" s="2060"/>
      <c r="CZ1492" s="2060"/>
      <c r="DA1492" s="2060"/>
      <c r="DB1492" s="2060"/>
      <c r="DC1492" s="2060"/>
      <c r="DD1492" s="2060"/>
      <c r="DE1492" s="2060"/>
      <c r="DF1492" s="2060"/>
      <c r="DG1492" s="2060"/>
      <c r="DH1492" s="2060"/>
      <c r="DI1492" s="2060"/>
      <c r="DJ1492" s="2060"/>
      <c r="DK1492" s="2060"/>
      <c r="DL1492" s="2060"/>
      <c r="DM1492" s="2060"/>
      <c r="DN1492" s="2060"/>
      <c r="DO1492" s="2060"/>
      <c r="DP1492" s="2060"/>
      <c r="DQ1492" s="2060"/>
      <c r="DR1492" s="2060"/>
      <c r="DS1492" s="2060"/>
      <c r="DT1492" s="2060"/>
      <c r="DU1492" s="2060"/>
      <c r="DV1492" s="2060"/>
      <c r="DW1492" s="2060"/>
      <c r="DX1492" s="2060"/>
      <c r="DY1492" s="2060"/>
      <c r="DZ1492" s="2060"/>
      <c r="EA1492" s="2060"/>
      <c r="EB1492" s="2060"/>
      <c r="EC1492" s="2060"/>
      <c r="ED1492" s="2060"/>
      <c r="EE1492" s="2060"/>
      <c r="EF1492" s="2060"/>
      <c r="EG1492" s="2060"/>
      <c r="EH1492" s="2060"/>
      <c r="EI1492" s="2060"/>
      <c r="EJ1492" s="2060"/>
      <c r="EK1492" s="2060"/>
      <c r="EL1492" s="2060"/>
      <c r="EM1492" s="2060"/>
      <c r="EN1492" s="2060"/>
      <c r="EO1492" s="2060"/>
      <c r="EP1492" s="2060"/>
      <c r="EQ1492" s="2060"/>
      <c r="ER1492" s="2060"/>
      <c r="ES1492" s="2060"/>
      <c r="ET1492" s="2060"/>
      <c r="EU1492" s="2060"/>
      <c r="EV1492" s="2060"/>
      <c r="EW1492" s="2060"/>
      <c r="EX1492" s="2060"/>
      <c r="EY1492" s="2060"/>
      <c r="EZ1492" s="2060"/>
      <c r="FA1492" s="2060"/>
      <c r="FB1492" s="2060"/>
      <c r="FC1492" s="2060"/>
      <c r="FD1492" s="2060"/>
      <c r="FE1492" s="2060"/>
      <c r="FF1492" s="2060"/>
      <c r="FG1492" s="2060"/>
      <c r="FH1492" s="2060"/>
      <c r="FI1492" s="2060"/>
      <c r="FJ1492" s="2060"/>
      <c r="FK1492" s="2060"/>
      <c r="FL1492" s="2060"/>
      <c r="FM1492" s="2060"/>
      <c r="FN1492" s="2060"/>
      <c r="FO1492" s="2060"/>
      <c r="FP1492" s="2060"/>
      <c r="FQ1492" s="2060"/>
      <c r="FR1492" s="2060"/>
      <c r="FS1492" s="2060"/>
      <c r="FT1492" s="2060"/>
      <c r="FU1492" s="2060"/>
      <c r="FV1492" s="2060"/>
      <c r="FW1492" s="2060"/>
      <c r="FX1492" s="2060"/>
      <c r="FY1492" s="2060"/>
      <c r="FZ1492" s="2060"/>
      <c r="GA1492" s="2060"/>
      <c r="GB1492" s="2060"/>
      <c r="GC1492" s="2060"/>
      <c r="GD1492" s="2060"/>
      <c r="GE1492" s="2060"/>
      <c r="GF1492" s="2060"/>
      <c r="GG1492" s="2060"/>
      <c r="GH1492" s="2060"/>
      <c r="GI1492" s="2060"/>
      <c r="GJ1492" s="2060"/>
      <c r="GK1492" s="2060"/>
      <c r="GL1492" s="2060"/>
      <c r="GM1492" s="2060"/>
      <c r="GN1492" s="2060"/>
      <c r="GO1492" s="2060"/>
      <c r="GP1492" s="2060"/>
      <c r="GQ1492" s="2060"/>
      <c r="GR1492" s="2060"/>
      <c r="GS1492" s="2060"/>
      <c r="GT1492" s="2060"/>
      <c r="GU1492" s="2060"/>
      <c r="GV1492" s="2060"/>
      <c r="GW1492" s="2060"/>
      <c r="GX1492" s="2060"/>
      <c r="GY1492" s="2060"/>
      <c r="GZ1492" s="2060"/>
      <c r="HA1492" s="2060"/>
      <c r="HB1492" s="2060"/>
      <c r="HC1492" s="2060"/>
      <c r="HD1492" s="2060"/>
      <c r="HE1492" s="2060"/>
      <c r="HF1492" s="2060"/>
      <c r="HG1492" s="2060"/>
      <c r="HH1492" s="2060"/>
      <c r="HI1492" s="2060"/>
      <c r="HJ1492" s="2060"/>
      <c r="HK1492" s="2060"/>
      <c r="HL1492" s="2060"/>
      <c r="HM1492" s="2060"/>
      <c r="HN1492" s="2060"/>
      <c r="HO1492" s="2060"/>
      <c r="HP1492" s="2060"/>
      <c r="HQ1492" s="2060"/>
      <c r="HR1492" s="2060"/>
      <c r="HS1492" s="2060"/>
      <c r="HT1492" s="2060"/>
      <c r="HU1492" s="2060"/>
      <c r="HV1492" s="2060"/>
      <c r="HW1492" s="2060"/>
      <c r="HX1492" s="2060"/>
      <c r="HY1492" s="2060"/>
      <c r="HZ1492" s="2060"/>
      <c r="IA1492" s="2060"/>
      <c r="IB1492" s="2060"/>
      <c r="IC1492" s="2060"/>
      <c r="ID1492" s="2060"/>
      <c r="IE1492" s="2060"/>
      <c r="IF1492" s="2060"/>
      <c r="IG1492" s="2060"/>
      <c r="IH1492" s="2060"/>
      <c r="II1492" s="2060"/>
      <c r="IJ1492" s="2060"/>
      <c r="IK1492" s="2060"/>
      <c r="IL1492" s="2060"/>
      <c r="IM1492" s="2060"/>
      <c r="IN1492" s="2060"/>
      <c r="IO1492" s="2060"/>
      <c r="IP1492" s="2060"/>
      <c r="IQ1492" s="2060"/>
      <c r="IR1492" s="2060"/>
      <c r="IS1492" s="2060"/>
      <c r="IT1492" s="2060"/>
      <c r="IU1492" s="2060"/>
      <c r="IV1492" s="2060"/>
      <c r="IW1492" s="2060"/>
      <c r="IX1492" s="2060"/>
      <c r="IY1492" s="2060"/>
      <c r="IZ1492" s="2060"/>
      <c r="JA1492" s="2060"/>
      <c r="JB1492" s="2060"/>
      <c r="JC1492" s="2060"/>
      <c r="JD1492" s="2060"/>
      <c r="JE1492" s="2060"/>
      <c r="JF1492" s="2060"/>
      <c r="JG1492" s="2060"/>
      <c r="JH1492" s="2060"/>
      <c r="JI1492" s="2060"/>
      <c r="JJ1492" s="2060"/>
      <c r="JK1492" s="2060"/>
      <c r="JL1492" s="2060"/>
      <c r="JM1492" s="2060"/>
      <c r="JN1492" s="2060"/>
      <c r="JO1492" s="2060"/>
      <c r="JP1492" s="2060"/>
      <c r="JQ1492" s="2060"/>
      <c r="JR1492" s="2060"/>
      <c r="JS1492" s="2060"/>
      <c r="JT1492" s="2060"/>
      <c r="JU1492" s="2060"/>
      <c r="JV1492" s="2060"/>
      <c r="JW1492" s="2060"/>
      <c r="JX1492" s="2060"/>
      <c r="JY1492" s="2060"/>
      <c r="JZ1492" s="2060"/>
      <c r="KA1492" s="2060"/>
      <c r="KB1492" s="2060"/>
      <c r="KC1492" s="2060"/>
      <c r="KD1492" s="2060"/>
      <c r="KE1492" s="2060"/>
      <c r="KF1492" s="2060"/>
      <c r="KG1492" s="2060"/>
      <c r="KH1492" s="2060"/>
      <c r="KI1492" s="2060"/>
      <c r="KJ1492" s="2060"/>
      <c r="KK1492" s="2060"/>
      <c r="KL1492" s="2060"/>
      <c r="KM1492" s="2060"/>
      <c r="KN1492" s="2060"/>
      <c r="KO1492" s="2060"/>
      <c r="KP1492" s="2060"/>
      <c r="KQ1492" s="2060"/>
      <c r="KR1492" s="2060"/>
      <c r="KS1492" s="2060"/>
      <c r="KT1492" s="2060"/>
      <c r="KU1492" s="2060"/>
      <c r="KV1492" s="2060"/>
      <c r="KW1492" s="2060"/>
      <c r="KX1492" s="2060"/>
      <c r="KY1492" s="2060"/>
      <c r="KZ1492" s="2060"/>
      <c r="LA1492" s="2060"/>
      <c r="LB1492" s="2060"/>
      <c r="LC1492" s="2060"/>
      <c r="LD1492" s="2060"/>
      <c r="LE1492" s="2060"/>
      <c r="LF1492" s="2060"/>
      <c r="LG1492" s="2060"/>
      <c r="LH1492" s="2060"/>
    </row>
    <row r="1493" spans="1:320" s="449" customFormat="1" ht="13.9">
      <c r="A1493" s="2060"/>
      <c r="B1493" s="2060"/>
      <c r="C1493" s="89"/>
      <c r="D1493" s="778">
        <f ca="1">MAX(OFFSET(D1493,-1,0,-ROW(D1493)+1,-2),1)+0.01</f>
        <v>9.01</v>
      </c>
      <c r="E1493" s="125"/>
      <c r="F1493" s="952" t="s">
        <v>476</v>
      </c>
      <c r="G1493" s="724" t="s">
        <v>795</v>
      </c>
      <c r="H1493" s="724"/>
      <c r="I1493" s="724"/>
      <c r="J1493" s="758"/>
      <c r="K1493" s="758" t="s">
        <v>700</v>
      </c>
      <c r="L1493" s="758" t="s">
        <v>701</v>
      </c>
      <c r="M1493" s="758" t="s">
        <v>702</v>
      </c>
      <c r="N1493" s="758" t="s">
        <v>703</v>
      </c>
      <c r="O1493" s="759" t="s">
        <v>704</v>
      </c>
      <c r="P1493" s="725" t="s">
        <v>705</v>
      </c>
      <c r="Q1493" s="89"/>
      <c r="R1493" s="1459"/>
      <c r="S1493" s="89"/>
      <c r="T1493" s="89"/>
      <c r="U1493" s="89"/>
      <c r="V1493" s="89"/>
      <c r="W1493" s="89"/>
      <c r="X1493" s="89"/>
      <c r="Y1493" s="89"/>
      <c r="Z1493" s="89"/>
      <c r="AA1493" s="89"/>
      <c r="AB1493" s="89"/>
      <c r="AC1493" s="89"/>
      <c r="AD1493" s="89"/>
      <c r="AE1493" s="89"/>
      <c r="AF1493" s="89"/>
      <c r="AG1493" s="2060"/>
      <c r="AH1493" s="2060"/>
      <c r="AI1493" s="2060"/>
      <c r="AJ1493" s="2060"/>
      <c r="AK1493" s="2060"/>
      <c r="AL1493" s="2060"/>
      <c r="AM1493" s="2060"/>
      <c r="AN1493" s="2060"/>
      <c r="AO1493" s="2060"/>
      <c r="AP1493" s="2060"/>
      <c r="AQ1493" s="2060"/>
      <c r="AR1493" s="2060"/>
      <c r="AS1493" s="2060"/>
      <c r="AT1493" s="2060"/>
      <c r="AU1493" s="2060"/>
      <c r="AV1493" s="2060"/>
      <c r="AW1493" s="2060"/>
      <c r="AX1493" s="2060"/>
      <c r="AY1493" s="2060"/>
      <c r="AZ1493" s="2060"/>
      <c r="BA1493" s="2060"/>
      <c r="BB1493" s="2060"/>
      <c r="BC1493" s="2060"/>
      <c r="BD1493" s="2060"/>
      <c r="BE1493" s="2060"/>
      <c r="BF1493" s="2060"/>
      <c r="BG1493" s="2060"/>
      <c r="BH1493" s="2060"/>
      <c r="BI1493" s="2060"/>
      <c r="BJ1493" s="2060"/>
      <c r="BK1493" s="2060"/>
      <c r="BL1493" s="2060"/>
      <c r="BM1493" s="2060"/>
      <c r="BN1493" s="2060"/>
      <c r="BO1493" s="2060"/>
      <c r="BP1493" s="2060"/>
      <c r="BQ1493" s="2060"/>
      <c r="BR1493" s="2060"/>
      <c r="BS1493" s="2060"/>
      <c r="BT1493" s="2060"/>
      <c r="BU1493" s="2060"/>
      <c r="BV1493" s="2060"/>
      <c r="BW1493" s="2060"/>
      <c r="BX1493" s="2060"/>
      <c r="BY1493" s="2060"/>
      <c r="BZ1493" s="2060"/>
      <c r="CA1493" s="2060"/>
      <c r="CB1493" s="2060"/>
      <c r="CC1493" s="2060"/>
      <c r="CD1493" s="2060"/>
      <c r="CE1493" s="2060"/>
      <c r="CF1493" s="2060"/>
      <c r="CG1493" s="2060"/>
      <c r="CH1493" s="2060"/>
      <c r="CI1493" s="2060"/>
      <c r="CJ1493" s="2060"/>
      <c r="CK1493" s="2060"/>
      <c r="CL1493" s="2060"/>
      <c r="CM1493" s="2060"/>
      <c r="CN1493" s="2060"/>
      <c r="CO1493" s="2060"/>
      <c r="CP1493" s="2060"/>
      <c r="CQ1493" s="2060"/>
      <c r="CR1493" s="2060"/>
      <c r="CS1493" s="2060"/>
      <c r="CT1493" s="2060"/>
      <c r="CU1493" s="2060"/>
      <c r="CV1493" s="2060"/>
      <c r="CW1493" s="2060"/>
      <c r="CX1493" s="2060"/>
      <c r="CY1493" s="2060"/>
      <c r="CZ1493" s="2060"/>
      <c r="DA1493" s="2060"/>
      <c r="DB1493" s="2060"/>
      <c r="DC1493" s="2060"/>
      <c r="DD1493" s="2060"/>
      <c r="DE1493" s="2060"/>
      <c r="DF1493" s="2060"/>
      <c r="DG1493" s="2060"/>
      <c r="DH1493" s="2060"/>
      <c r="DI1493" s="2060"/>
      <c r="DJ1493" s="2060"/>
      <c r="DK1493" s="2060"/>
      <c r="DL1493" s="2060"/>
      <c r="DM1493" s="2060"/>
      <c r="DN1493" s="2060"/>
      <c r="DO1493" s="2060"/>
      <c r="DP1493" s="2060"/>
      <c r="DQ1493" s="2060"/>
      <c r="DR1493" s="2060"/>
      <c r="DS1493" s="2060"/>
      <c r="DT1493" s="2060"/>
      <c r="DU1493" s="2060"/>
      <c r="DV1493" s="2060"/>
      <c r="DW1493" s="2060"/>
      <c r="DX1493" s="2060"/>
      <c r="DY1493" s="2060"/>
      <c r="DZ1493" s="2060"/>
      <c r="EA1493" s="2060"/>
      <c r="EB1493" s="2060"/>
      <c r="EC1493" s="2060"/>
      <c r="ED1493" s="2060"/>
      <c r="EE1493" s="2060"/>
      <c r="EF1493" s="2060"/>
      <c r="EG1493" s="2060"/>
      <c r="EH1493" s="2060"/>
      <c r="EI1493" s="2060"/>
      <c r="EJ1493" s="2060"/>
      <c r="EK1493" s="2060"/>
      <c r="EL1493" s="2060"/>
      <c r="EM1493" s="2060"/>
      <c r="EN1493" s="2060"/>
      <c r="EO1493" s="2060"/>
      <c r="EP1493" s="2060"/>
      <c r="EQ1493" s="2060"/>
      <c r="ER1493" s="2060"/>
      <c r="ES1493" s="2060"/>
      <c r="ET1493" s="2060"/>
      <c r="EU1493" s="2060"/>
      <c r="EV1493" s="2060"/>
      <c r="EW1493" s="2060"/>
      <c r="EX1493" s="2060"/>
      <c r="EY1493" s="2060"/>
      <c r="EZ1493" s="2060"/>
      <c r="FA1493" s="2060"/>
      <c r="FB1493" s="2060"/>
      <c r="FC1493" s="2060"/>
      <c r="FD1493" s="2060"/>
      <c r="FE1493" s="2060"/>
      <c r="FF1493" s="2060"/>
      <c r="FG1493" s="2060"/>
      <c r="FH1493" s="2060"/>
      <c r="FI1493" s="2060"/>
      <c r="FJ1493" s="2060"/>
      <c r="FK1493" s="2060"/>
      <c r="FL1493" s="2060"/>
      <c r="FM1493" s="2060"/>
      <c r="FN1493" s="2060"/>
      <c r="FO1493" s="2060"/>
      <c r="FP1493" s="2060"/>
      <c r="FQ1493" s="2060"/>
      <c r="FR1493" s="2060"/>
      <c r="FS1493" s="2060"/>
      <c r="FT1493" s="2060"/>
      <c r="FU1493" s="2060"/>
      <c r="FV1493" s="2060"/>
      <c r="FW1493" s="2060"/>
      <c r="FX1493" s="2060"/>
      <c r="FY1493" s="2060"/>
      <c r="FZ1493" s="2060"/>
      <c r="GA1493" s="2060"/>
      <c r="GB1493" s="2060"/>
      <c r="GC1493" s="2060"/>
      <c r="GD1493" s="2060"/>
      <c r="GE1493" s="2060"/>
      <c r="GF1493" s="2060"/>
      <c r="GG1493" s="2060"/>
      <c r="GH1493" s="2060"/>
      <c r="GI1493" s="2060"/>
      <c r="GJ1493" s="2060"/>
      <c r="GK1493" s="2060"/>
      <c r="GL1493" s="2060"/>
      <c r="GM1493" s="2060"/>
      <c r="GN1493" s="2060"/>
      <c r="GO1493" s="2060"/>
      <c r="GP1493" s="2060"/>
      <c r="GQ1493" s="2060"/>
      <c r="GR1493" s="2060"/>
      <c r="GS1493" s="2060"/>
      <c r="GT1493" s="2060"/>
      <c r="GU1493" s="2060"/>
      <c r="GV1493" s="2060"/>
      <c r="GW1493" s="2060"/>
      <c r="GX1493" s="2060"/>
      <c r="GY1493" s="2060"/>
      <c r="GZ1493" s="2060"/>
      <c r="HA1493" s="2060"/>
      <c r="HB1493" s="2060"/>
      <c r="HC1493" s="2060"/>
      <c r="HD1493" s="2060"/>
      <c r="HE1493" s="2060"/>
      <c r="HF1493" s="2060"/>
      <c r="HG1493" s="2060"/>
      <c r="HH1493" s="2060"/>
      <c r="HI1493" s="2060"/>
      <c r="HJ1493" s="2060"/>
      <c r="HK1493" s="2060"/>
      <c r="HL1493" s="2060"/>
      <c r="HM1493" s="2060"/>
      <c r="HN1493" s="2060"/>
      <c r="HO1493" s="2060"/>
      <c r="HP1493" s="2060"/>
      <c r="HQ1493" s="2060"/>
      <c r="HR1493" s="2060"/>
      <c r="HS1493" s="2060"/>
      <c r="HT1493" s="2060"/>
      <c r="HU1493" s="2060"/>
      <c r="HV1493" s="2060"/>
      <c r="HW1493" s="2060"/>
      <c r="HX1493" s="2060"/>
      <c r="HY1493" s="2060"/>
      <c r="HZ1493" s="2060"/>
      <c r="IA1493" s="2060"/>
      <c r="IB1493" s="2060"/>
      <c r="IC1493" s="2060"/>
      <c r="ID1493" s="2060"/>
      <c r="IE1493" s="2060"/>
      <c r="IF1493" s="2060"/>
      <c r="IG1493" s="2060"/>
      <c r="IH1493" s="2060"/>
      <c r="II1493" s="2060"/>
      <c r="IJ1493" s="2060"/>
      <c r="IK1493" s="2060"/>
      <c r="IL1493" s="2060"/>
      <c r="IM1493" s="2060"/>
      <c r="IN1493" s="2060"/>
      <c r="IO1493" s="2060"/>
      <c r="IP1493" s="2060"/>
      <c r="IQ1493" s="2060"/>
      <c r="IR1493" s="2060"/>
      <c r="IS1493" s="2060"/>
      <c r="IT1493" s="2060"/>
      <c r="IU1493" s="2060"/>
      <c r="IV1493" s="2060"/>
      <c r="IW1493" s="2060"/>
      <c r="IX1493" s="2060"/>
      <c r="IY1493" s="2060"/>
      <c r="IZ1493" s="2060"/>
      <c r="JA1493" s="2060"/>
      <c r="JB1493" s="2060"/>
      <c r="JC1493" s="2060"/>
      <c r="JD1493" s="2060"/>
      <c r="JE1493" s="2060"/>
      <c r="JF1493" s="2060"/>
      <c r="JG1493" s="2060"/>
      <c r="JH1493" s="2060"/>
      <c r="JI1493" s="2060"/>
      <c r="JJ1493" s="2060"/>
      <c r="JK1493" s="2060"/>
      <c r="JL1493" s="2060"/>
      <c r="JM1493" s="2060"/>
      <c r="JN1493" s="2060"/>
      <c r="JO1493" s="2060"/>
      <c r="JP1493" s="2060"/>
      <c r="JQ1493" s="2060"/>
      <c r="JR1493" s="2060"/>
      <c r="JS1493" s="2060"/>
      <c r="JT1493" s="2060"/>
      <c r="JU1493" s="2060"/>
      <c r="JV1493" s="2060"/>
      <c r="JW1493" s="2060"/>
      <c r="JX1493" s="2060"/>
      <c r="JY1493" s="2060"/>
      <c r="JZ1493" s="2060"/>
      <c r="KA1493" s="2060"/>
      <c r="KB1493" s="2060"/>
      <c r="KC1493" s="2060"/>
      <c r="KD1493" s="2060"/>
      <c r="KE1493" s="2060"/>
      <c r="KF1493" s="2060"/>
      <c r="KG1493" s="2060"/>
      <c r="KH1493" s="2060"/>
      <c r="KI1493" s="2060"/>
      <c r="KJ1493" s="2060"/>
      <c r="KK1493" s="2060"/>
      <c r="KL1493" s="2060"/>
      <c r="KM1493" s="2060"/>
      <c r="KN1493" s="2060"/>
      <c r="KO1493" s="2060"/>
      <c r="KP1493" s="2060"/>
      <c r="KQ1493" s="2060"/>
      <c r="KR1493" s="2060"/>
      <c r="KS1493" s="2060"/>
      <c r="KT1493" s="2060"/>
      <c r="KU1493" s="2060"/>
      <c r="KV1493" s="2060"/>
      <c r="KW1493" s="2060"/>
      <c r="KX1493" s="2060"/>
      <c r="KY1493" s="2060"/>
      <c r="KZ1493" s="2060"/>
      <c r="LA1493" s="2060"/>
      <c r="LB1493" s="2060"/>
      <c r="LC1493" s="2060"/>
      <c r="LD1493" s="2060"/>
      <c r="LE1493" s="2060"/>
      <c r="LF1493" s="2060"/>
      <c r="LG1493" s="2060"/>
      <c r="LH1493" s="2060"/>
    </row>
    <row r="1494" spans="1:320" s="449" customFormat="1" ht="13.9">
      <c r="A1494" s="269" t="str">
        <f>IF(F1494="--","n","")</f>
        <v/>
      </c>
      <c r="B1494" s="2060"/>
      <c r="C1494" s="89"/>
      <c r="D1494" s="778"/>
      <c r="E1494" s="1505">
        <v>0</v>
      </c>
      <c r="F1494" s="1448" t="str">
        <f>F$128</f>
        <v/>
      </c>
      <c r="G1494" s="1449">
        <f>G$128</f>
        <v>0</v>
      </c>
      <c r="H1494" s="1449"/>
      <c r="I1494" s="258"/>
      <c r="J1494" s="258"/>
      <c r="K1494" s="2322" t="str">
        <f t="shared" ref="K1494:P1506" si="420">IFERROR(K782/K1001,"--")</f>
        <v>--</v>
      </c>
      <c r="L1494" s="2322" t="str">
        <f t="shared" si="420"/>
        <v>--</v>
      </c>
      <c r="M1494" s="2322" t="str">
        <f t="shared" si="420"/>
        <v>--</v>
      </c>
      <c r="N1494" s="2322" t="str">
        <f t="shared" si="420"/>
        <v>--</v>
      </c>
      <c r="O1494" s="2324" t="str">
        <f t="shared" si="420"/>
        <v>--</v>
      </c>
      <c r="P1494" s="2322" t="str">
        <f t="shared" si="420"/>
        <v>--</v>
      </c>
      <c r="Q1494" s="89"/>
      <c r="R1494" s="1459"/>
      <c r="S1494" s="89"/>
      <c r="T1494" s="89"/>
      <c r="U1494" s="89"/>
      <c r="V1494" s="89"/>
      <c r="W1494" s="89"/>
      <c r="X1494" s="89"/>
      <c r="Y1494" s="89"/>
      <c r="Z1494" s="89"/>
      <c r="AA1494" s="89"/>
      <c r="AB1494" s="89"/>
      <c r="AC1494" s="89"/>
      <c r="AD1494" s="89"/>
      <c r="AE1494" s="89"/>
      <c r="AF1494" s="89"/>
      <c r="AG1494" s="2060"/>
      <c r="AH1494" s="2060"/>
      <c r="AI1494" s="2060"/>
      <c r="AJ1494" s="2060"/>
      <c r="AK1494" s="2060"/>
      <c r="AL1494" s="2060"/>
      <c r="AM1494" s="2060"/>
      <c r="AN1494" s="2060"/>
      <c r="AO1494" s="2060"/>
      <c r="AP1494" s="2060"/>
      <c r="AQ1494" s="2060"/>
      <c r="AR1494" s="2060"/>
      <c r="AS1494" s="2060"/>
      <c r="AT1494" s="2060"/>
      <c r="AU1494" s="2060"/>
      <c r="AV1494" s="2060"/>
      <c r="AW1494" s="2060"/>
      <c r="AX1494" s="2060"/>
      <c r="AY1494" s="2060"/>
      <c r="AZ1494" s="2060"/>
      <c r="BA1494" s="2060"/>
      <c r="BB1494" s="2060"/>
      <c r="BC1494" s="2060"/>
      <c r="BD1494" s="2060"/>
      <c r="BE1494" s="2060"/>
      <c r="BF1494" s="2060"/>
      <c r="BG1494" s="2060"/>
      <c r="BH1494" s="2060"/>
      <c r="BI1494" s="2060"/>
      <c r="BJ1494" s="2060"/>
      <c r="BK1494" s="2060"/>
      <c r="BL1494" s="2060"/>
      <c r="BM1494" s="2060"/>
      <c r="BN1494" s="2060"/>
      <c r="BO1494" s="2060"/>
      <c r="BP1494" s="2060"/>
      <c r="BQ1494" s="2060"/>
      <c r="BR1494" s="2060"/>
      <c r="BS1494" s="2060"/>
      <c r="BT1494" s="2060"/>
      <c r="BU1494" s="2060"/>
      <c r="BV1494" s="2060"/>
      <c r="BW1494" s="2060"/>
      <c r="BX1494" s="2060"/>
      <c r="BY1494" s="2060"/>
      <c r="BZ1494" s="2060"/>
      <c r="CA1494" s="2060"/>
      <c r="CB1494" s="2060"/>
      <c r="CC1494" s="2060"/>
      <c r="CD1494" s="2060"/>
      <c r="CE1494" s="2060"/>
      <c r="CF1494" s="2060"/>
      <c r="CG1494" s="2060"/>
      <c r="CH1494" s="2060"/>
      <c r="CI1494" s="2060"/>
      <c r="CJ1494" s="2060"/>
      <c r="CK1494" s="2060"/>
      <c r="CL1494" s="2060"/>
      <c r="CM1494" s="2060"/>
      <c r="CN1494" s="2060"/>
      <c r="CO1494" s="2060"/>
      <c r="CP1494" s="2060"/>
      <c r="CQ1494" s="2060"/>
      <c r="CR1494" s="2060"/>
      <c r="CS1494" s="2060"/>
      <c r="CT1494" s="2060"/>
      <c r="CU1494" s="2060"/>
      <c r="CV1494" s="2060"/>
      <c r="CW1494" s="2060"/>
      <c r="CX1494" s="2060"/>
      <c r="CY1494" s="2060"/>
      <c r="CZ1494" s="2060"/>
      <c r="DA1494" s="2060"/>
      <c r="DB1494" s="2060"/>
      <c r="DC1494" s="2060"/>
      <c r="DD1494" s="2060"/>
      <c r="DE1494" s="2060"/>
      <c r="DF1494" s="2060"/>
      <c r="DG1494" s="2060"/>
      <c r="DH1494" s="2060"/>
      <c r="DI1494" s="2060"/>
      <c r="DJ1494" s="2060"/>
      <c r="DK1494" s="2060"/>
      <c r="DL1494" s="2060"/>
      <c r="DM1494" s="2060"/>
      <c r="DN1494" s="2060"/>
      <c r="DO1494" s="2060"/>
      <c r="DP1494" s="2060"/>
      <c r="DQ1494" s="2060"/>
      <c r="DR1494" s="2060"/>
      <c r="DS1494" s="2060"/>
      <c r="DT1494" s="2060"/>
      <c r="DU1494" s="2060"/>
      <c r="DV1494" s="2060"/>
      <c r="DW1494" s="2060"/>
      <c r="DX1494" s="2060"/>
      <c r="DY1494" s="2060"/>
      <c r="DZ1494" s="2060"/>
      <c r="EA1494" s="2060"/>
      <c r="EB1494" s="2060"/>
      <c r="EC1494" s="2060"/>
      <c r="ED1494" s="2060"/>
      <c r="EE1494" s="2060"/>
      <c r="EF1494" s="2060"/>
      <c r="EG1494" s="2060"/>
      <c r="EH1494" s="2060"/>
      <c r="EI1494" s="2060"/>
      <c r="EJ1494" s="2060"/>
      <c r="EK1494" s="2060"/>
      <c r="EL1494" s="2060"/>
      <c r="EM1494" s="2060"/>
      <c r="EN1494" s="2060"/>
      <c r="EO1494" s="2060"/>
      <c r="EP1494" s="2060"/>
      <c r="EQ1494" s="2060"/>
      <c r="ER1494" s="2060"/>
      <c r="ES1494" s="2060"/>
      <c r="ET1494" s="2060"/>
      <c r="EU1494" s="2060"/>
      <c r="EV1494" s="2060"/>
      <c r="EW1494" s="2060"/>
      <c r="EX1494" s="2060"/>
      <c r="EY1494" s="2060"/>
      <c r="EZ1494" s="2060"/>
      <c r="FA1494" s="2060"/>
      <c r="FB1494" s="2060"/>
      <c r="FC1494" s="2060"/>
      <c r="FD1494" s="2060"/>
      <c r="FE1494" s="2060"/>
      <c r="FF1494" s="2060"/>
      <c r="FG1494" s="2060"/>
      <c r="FH1494" s="2060"/>
      <c r="FI1494" s="2060"/>
      <c r="FJ1494" s="2060"/>
      <c r="FK1494" s="2060"/>
      <c r="FL1494" s="2060"/>
      <c r="FM1494" s="2060"/>
      <c r="FN1494" s="2060"/>
      <c r="FO1494" s="2060"/>
      <c r="FP1494" s="2060"/>
      <c r="FQ1494" s="2060"/>
      <c r="FR1494" s="2060"/>
      <c r="FS1494" s="2060"/>
      <c r="FT1494" s="2060"/>
      <c r="FU1494" s="2060"/>
      <c r="FV1494" s="2060"/>
      <c r="FW1494" s="2060"/>
      <c r="FX1494" s="2060"/>
      <c r="FY1494" s="2060"/>
      <c r="FZ1494" s="2060"/>
      <c r="GA1494" s="2060"/>
      <c r="GB1494" s="2060"/>
      <c r="GC1494" s="2060"/>
      <c r="GD1494" s="2060"/>
      <c r="GE1494" s="2060"/>
      <c r="GF1494" s="2060"/>
      <c r="GG1494" s="2060"/>
      <c r="GH1494" s="2060"/>
      <c r="GI1494" s="2060"/>
      <c r="GJ1494" s="2060"/>
      <c r="GK1494" s="2060"/>
      <c r="GL1494" s="2060"/>
      <c r="GM1494" s="2060"/>
      <c r="GN1494" s="2060"/>
      <c r="GO1494" s="2060"/>
      <c r="GP1494" s="2060"/>
      <c r="GQ1494" s="2060"/>
      <c r="GR1494" s="2060"/>
      <c r="GS1494" s="2060"/>
      <c r="GT1494" s="2060"/>
      <c r="GU1494" s="2060"/>
      <c r="GV1494" s="2060"/>
      <c r="GW1494" s="2060"/>
      <c r="GX1494" s="2060"/>
      <c r="GY1494" s="2060"/>
      <c r="GZ1494" s="2060"/>
      <c r="HA1494" s="2060"/>
      <c r="HB1494" s="2060"/>
      <c r="HC1494" s="2060"/>
      <c r="HD1494" s="2060"/>
      <c r="HE1494" s="2060"/>
      <c r="HF1494" s="2060"/>
      <c r="HG1494" s="2060"/>
      <c r="HH1494" s="2060"/>
      <c r="HI1494" s="2060"/>
      <c r="HJ1494" s="2060"/>
      <c r="HK1494" s="2060"/>
      <c r="HL1494" s="2060"/>
      <c r="HM1494" s="2060"/>
      <c r="HN1494" s="2060"/>
      <c r="HO1494" s="2060"/>
      <c r="HP1494" s="2060"/>
      <c r="HQ1494" s="2060"/>
      <c r="HR1494" s="2060"/>
      <c r="HS1494" s="2060"/>
      <c r="HT1494" s="2060"/>
      <c r="HU1494" s="2060"/>
      <c r="HV1494" s="2060"/>
      <c r="HW1494" s="2060"/>
      <c r="HX1494" s="2060"/>
      <c r="HY1494" s="2060"/>
      <c r="HZ1494" s="2060"/>
      <c r="IA1494" s="2060"/>
      <c r="IB1494" s="2060"/>
      <c r="IC1494" s="2060"/>
      <c r="ID1494" s="2060"/>
      <c r="IE1494" s="2060"/>
      <c r="IF1494" s="2060"/>
      <c r="IG1494" s="2060"/>
      <c r="IH1494" s="2060"/>
      <c r="II1494" s="2060"/>
      <c r="IJ1494" s="2060"/>
      <c r="IK1494" s="2060"/>
      <c r="IL1494" s="2060"/>
      <c r="IM1494" s="2060"/>
      <c r="IN1494" s="2060"/>
      <c r="IO1494" s="2060"/>
      <c r="IP1494" s="2060"/>
      <c r="IQ1494" s="2060"/>
      <c r="IR1494" s="2060"/>
      <c r="IS1494" s="2060"/>
      <c r="IT1494" s="2060"/>
      <c r="IU1494" s="2060"/>
      <c r="IV1494" s="2060"/>
      <c r="IW1494" s="2060"/>
      <c r="IX1494" s="2060"/>
      <c r="IY1494" s="2060"/>
      <c r="IZ1494" s="2060"/>
      <c r="JA1494" s="2060"/>
      <c r="JB1494" s="2060"/>
      <c r="JC1494" s="2060"/>
      <c r="JD1494" s="2060"/>
      <c r="JE1494" s="2060"/>
      <c r="JF1494" s="2060"/>
      <c r="JG1494" s="2060"/>
      <c r="JH1494" s="2060"/>
      <c r="JI1494" s="2060"/>
      <c r="JJ1494" s="2060"/>
      <c r="JK1494" s="2060"/>
      <c r="JL1494" s="2060"/>
      <c r="JM1494" s="2060"/>
      <c r="JN1494" s="2060"/>
      <c r="JO1494" s="2060"/>
      <c r="JP1494" s="2060"/>
      <c r="JQ1494" s="2060"/>
      <c r="JR1494" s="2060"/>
      <c r="JS1494" s="2060"/>
      <c r="JT1494" s="2060"/>
      <c r="JU1494" s="2060"/>
      <c r="JV1494" s="2060"/>
      <c r="JW1494" s="2060"/>
      <c r="JX1494" s="2060"/>
      <c r="JY1494" s="2060"/>
      <c r="JZ1494" s="2060"/>
      <c r="KA1494" s="2060"/>
      <c r="KB1494" s="2060"/>
      <c r="KC1494" s="2060"/>
      <c r="KD1494" s="2060"/>
      <c r="KE1494" s="2060"/>
      <c r="KF1494" s="2060"/>
      <c r="KG1494" s="2060"/>
      <c r="KH1494" s="2060"/>
      <c r="KI1494" s="2060"/>
      <c r="KJ1494" s="2060"/>
      <c r="KK1494" s="2060"/>
      <c r="KL1494" s="2060"/>
      <c r="KM1494" s="2060"/>
      <c r="KN1494" s="2060"/>
      <c r="KO1494" s="2060"/>
      <c r="KP1494" s="2060"/>
      <c r="KQ1494" s="2060"/>
      <c r="KR1494" s="2060"/>
      <c r="KS1494" s="2060"/>
      <c r="KT1494" s="2060"/>
      <c r="KU1494" s="2060"/>
      <c r="KV1494" s="2060"/>
      <c r="KW1494" s="2060"/>
      <c r="KX1494" s="2060"/>
      <c r="KY1494" s="2060"/>
      <c r="KZ1494" s="2060"/>
      <c r="LA1494" s="2060"/>
      <c r="LB1494" s="2060"/>
      <c r="LC1494" s="2060"/>
      <c r="LD1494" s="2060"/>
      <c r="LE1494" s="2060"/>
      <c r="LF1494" s="2060"/>
      <c r="LG1494" s="2060"/>
      <c r="LH1494" s="2060"/>
    </row>
    <row r="1495" spans="1:320" s="449" customFormat="1" ht="13.9">
      <c r="A1495" s="269" t="str">
        <f t="shared" ref="A1495:A1518" si="421">IF(F1495="--","n","")</f>
        <v>n</v>
      </c>
      <c r="B1495" s="2060"/>
      <c r="C1495" s="72"/>
      <c r="D1495" s="801"/>
      <c r="E1495" s="1505">
        <v>1</v>
      </c>
      <c r="F1495" s="21" t="str">
        <f>F$129</f>
        <v>--</v>
      </c>
      <c r="G1495" s="1441">
        <f>G$129</f>
        <v>0</v>
      </c>
      <c r="H1495" s="1441"/>
      <c r="I1495" s="1441"/>
      <c r="J1495" s="1441"/>
      <c r="K1495" s="2314" t="str">
        <f t="shared" si="420"/>
        <v>--</v>
      </c>
      <c r="L1495" s="2314" t="str">
        <f t="shared" si="420"/>
        <v>--</v>
      </c>
      <c r="M1495" s="2314" t="str">
        <f t="shared" si="420"/>
        <v>--</v>
      </c>
      <c r="N1495" s="2314" t="str">
        <f t="shared" si="420"/>
        <v>--</v>
      </c>
      <c r="O1495" s="2315" t="str">
        <f t="shared" si="420"/>
        <v>--</v>
      </c>
      <c r="P1495" s="2314" t="str">
        <f t="shared" si="420"/>
        <v>--</v>
      </c>
      <c r="Q1495" s="89"/>
      <c r="R1495" s="89"/>
      <c r="S1495" s="89"/>
      <c r="T1495" s="1513"/>
      <c r="U1495" s="89"/>
      <c r="V1495" s="89"/>
      <c r="W1495" s="89"/>
      <c r="X1495" s="89"/>
      <c r="Y1495" s="89"/>
      <c r="Z1495" s="89"/>
      <c r="AA1495" s="89"/>
      <c r="AB1495" s="89"/>
      <c r="AC1495" s="89"/>
      <c r="AD1495" s="89"/>
      <c r="AE1495" s="89"/>
      <c r="AF1495" s="89"/>
      <c r="AG1495" s="2060"/>
      <c r="AH1495" s="2060"/>
      <c r="AI1495" s="2060"/>
      <c r="AJ1495" s="2060"/>
      <c r="AK1495" s="2060"/>
      <c r="AL1495" s="2060"/>
      <c r="AM1495" s="2060"/>
      <c r="AN1495" s="2060"/>
      <c r="AO1495" s="2060"/>
      <c r="AP1495" s="2060"/>
      <c r="AQ1495" s="2060"/>
      <c r="AR1495" s="2060"/>
      <c r="AS1495" s="2060"/>
      <c r="AT1495" s="2060"/>
      <c r="AU1495" s="2060"/>
      <c r="AV1495" s="2060"/>
      <c r="AW1495" s="2060"/>
      <c r="AX1495" s="2060"/>
      <c r="AY1495" s="2060"/>
      <c r="AZ1495" s="2060"/>
      <c r="BA1495" s="2060"/>
      <c r="BB1495" s="2060"/>
      <c r="BC1495" s="2060"/>
      <c r="BD1495" s="2060"/>
      <c r="BE1495" s="2060"/>
      <c r="BF1495" s="2060"/>
      <c r="BG1495" s="2060"/>
      <c r="BH1495" s="2060"/>
      <c r="BI1495" s="2060"/>
      <c r="BJ1495" s="2060"/>
      <c r="BK1495" s="2060"/>
      <c r="BL1495" s="2060"/>
      <c r="BM1495" s="2060"/>
      <c r="BN1495" s="2060"/>
      <c r="BO1495" s="2060"/>
      <c r="BP1495" s="2060"/>
      <c r="BQ1495" s="2060"/>
      <c r="BR1495" s="2060"/>
      <c r="BS1495" s="2060"/>
      <c r="BT1495" s="2060"/>
      <c r="BU1495" s="2060"/>
      <c r="BV1495" s="2060"/>
      <c r="BW1495" s="2060"/>
      <c r="BX1495" s="2060"/>
      <c r="BY1495" s="2060"/>
      <c r="BZ1495" s="2060"/>
      <c r="CA1495" s="2060"/>
      <c r="CB1495" s="2060"/>
      <c r="CC1495" s="2060"/>
      <c r="CD1495" s="2060"/>
      <c r="CE1495" s="2060"/>
      <c r="CF1495" s="2060"/>
      <c r="CG1495" s="2060"/>
      <c r="CH1495" s="2060"/>
      <c r="CI1495" s="2060"/>
      <c r="CJ1495" s="2060"/>
      <c r="CK1495" s="2060"/>
      <c r="CL1495" s="2060"/>
      <c r="CM1495" s="2060"/>
      <c r="CN1495" s="2060"/>
      <c r="CO1495" s="2060"/>
      <c r="CP1495" s="2060"/>
      <c r="CQ1495" s="2060"/>
      <c r="CR1495" s="2060"/>
      <c r="CS1495" s="2060"/>
      <c r="CT1495" s="2060"/>
      <c r="CU1495" s="2060"/>
      <c r="CV1495" s="2060"/>
      <c r="CW1495" s="2060"/>
      <c r="CX1495" s="2060"/>
      <c r="CY1495" s="2060"/>
      <c r="CZ1495" s="2060"/>
      <c r="DA1495" s="2060"/>
      <c r="DB1495" s="2060"/>
      <c r="DC1495" s="2060"/>
      <c r="DD1495" s="2060"/>
      <c r="DE1495" s="2060"/>
      <c r="DF1495" s="2060"/>
      <c r="DG1495" s="2060"/>
      <c r="DH1495" s="2060"/>
      <c r="DI1495" s="2060"/>
      <c r="DJ1495" s="2060"/>
      <c r="DK1495" s="2060"/>
      <c r="DL1495" s="2060"/>
      <c r="DM1495" s="2060"/>
      <c r="DN1495" s="2060"/>
      <c r="DO1495" s="2060"/>
      <c r="DP1495" s="2060"/>
      <c r="DQ1495" s="2060"/>
      <c r="DR1495" s="2060"/>
      <c r="DS1495" s="2060"/>
      <c r="DT1495" s="2060"/>
      <c r="DU1495" s="2060"/>
      <c r="DV1495" s="2060"/>
      <c r="DW1495" s="2060"/>
      <c r="DX1495" s="2060"/>
      <c r="DY1495" s="2060"/>
      <c r="DZ1495" s="2060"/>
      <c r="EA1495" s="2060"/>
      <c r="EB1495" s="2060"/>
      <c r="EC1495" s="2060"/>
      <c r="ED1495" s="2060"/>
      <c r="EE1495" s="2060"/>
      <c r="EF1495" s="2060"/>
      <c r="EG1495" s="2060"/>
      <c r="EH1495" s="2060"/>
      <c r="EI1495" s="2060"/>
      <c r="EJ1495" s="2060"/>
      <c r="EK1495" s="2060"/>
      <c r="EL1495" s="2060"/>
      <c r="EM1495" s="2060"/>
      <c r="EN1495" s="2060"/>
      <c r="EO1495" s="2060"/>
      <c r="EP1495" s="2060"/>
      <c r="EQ1495" s="2060"/>
      <c r="ER1495" s="2060"/>
      <c r="ES1495" s="2060"/>
      <c r="ET1495" s="2060"/>
      <c r="EU1495" s="2060"/>
      <c r="EV1495" s="2060"/>
      <c r="EW1495" s="2060"/>
      <c r="EX1495" s="2060"/>
      <c r="EY1495" s="2060"/>
      <c r="EZ1495" s="2060"/>
      <c r="FA1495" s="2060"/>
      <c r="FB1495" s="2060"/>
      <c r="FC1495" s="2060"/>
      <c r="FD1495" s="2060"/>
      <c r="FE1495" s="2060"/>
      <c r="FF1495" s="2060"/>
      <c r="FG1495" s="2060"/>
      <c r="FH1495" s="2060"/>
      <c r="FI1495" s="2060"/>
      <c r="FJ1495" s="2060"/>
      <c r="FK1495" s="2060"/>
      <c r="FL1495" s="2060"/>
      <c r="FM1495" s="2060"/>
      <c r="FN1495" s="2060"/>
      <c r="FO1495" s="2060"/>
      <c r="FP1495" s="2060"/>
      <c r="FQ1495" s="2060"/>
      <c r="FR1495" s="2060"/>
      <c r="FS1495" s="2060"/>
      <c r="FT1495" s="2060"/>
      <c r="FU1495" s="2060"/>
      <c r="FV1495" s="2060"/>
      <c r="FW1495" s="2060"/>
      <c r="FX1495" s="2060"/>
      <c r="FY1495" s="2060"/>
      <c r="FZ1495" s="2060"/>
      <c r="GA1495" s="2060"/>
      <c r="GB1495" s="2060"/>
      <c r="GC1495" s="2060"/>
      <c r="GD1495" s="2060"/>
      <c r="GE1495" s="2060"/>
      <c r="GF1495" s="2060"/>
      <c r="GG1495" s="2060"/>
      <c r="GH1495" s="2060"/>
      <c r="GI1495" s="2060"/>
      <c r="GJ1495" s="2060"/>
      <c r="GK1495" s="2060"/>
      <c r="GL1495" s="2060"/>
      <c r="GM1495" s="2060"/>
      <c r="GN1495" s="2060"/>
      <c r="GO1495" s="2060"/>
      <c r="GP1495" s="2060"/>
      <c r="GQ1495" s="2060"/>
      <c r="GR1495" s="2060"/>
      <c r="GS1495" s="2060"/>
      <c r="GT1495" s="2060"/>
      <c r="GU1495" s="2060"/>
      <c r="GV1495" s="2060"/>
      <c r="GW1495" s="2060"/>
      <c r="GX1495" s="2060"/>
      <c r="GY1495" s="2060"/>
      <c r="GZ1495" s="2060"/>
      <c r="HA1495" s="2060"/>
      <c r="HB1495" s="2060"/>
      <c r="HC1495" s="2060"/>
      <c r="HD1495" s="2060"/>
      <c r="HE1495" s="2060"/>
      <c r="HF1495" s="2060"/>
      <c r="HG1495" s="2060"/>
      <c r="HH1495" s="2060"/>
      <c r="HI1495" s="2060"/>
      <c r="HJ1495" s="2060"/>
      <c r="HK1495" s="2060"/>
      <c r="HL1495" s="2060"/>
      <c r="HM1495" s="2060"/>
      <c r="HN1495" s="2060"/>
      <c r="HO1495" s="2060"/>
      <c r="HP1495" s="2060"/>
      <c r="HQ1495" s="2060"/>
      <c r="HR1495" s="2060"/>
      <c r="HS1495" s="2060"/>
      <c r="HT1495" s="2060"/>
      <c r="HU1495" s="2060"/>
      <c r="HV1495" s="2060"/>
      <c r="HW1495" s="2060"/>
      <c r="HX1495" s="2060"/>
      <c r="HY1495" s="2060"/>
      <c r="HZ1495" s="2060"/>
      <c r="IA1495" s="2060"/>
      <c r="IB1495" s="2060"/>
      <c r="IC1495" s="2060"/>
      <c r="ID1495" s="2060"/>
      <c r="IE1495" s="2060"/>
      <c r="IF1495" s="2060"/>
      <c r="IG1495" s="2060"/>
      <c r="IH1495" s="2060"/>
      <c r="II1495" s="2060"/>
      <c r="IJ1495" s="2060"/>
      <c r="IK1495" s="2060"/>
      <c r="IL1495" s="2060"/>
      <c r="IM1495" s="2060"/>
      <c r="IN1495" s="2060"/>
      <c r="IO1495" s="2060"/>
      <c r="IP1495" s="2060"/>
      <c r="IQ1495" s="2060"/>
      <c r="IR1495" s="2060"/>
      <c r="IS1495" s="2060"/>
      <c r="IT1495" s="2060"/>
      <c r="IU1495" s="2060"/>
      <c r="IV1495" s="2060"/>
      <c r="IW1495" s="2060"/>
      <c r="IX1495" s="2060"/>
      <c r="IY1495" s="2060"/>
      <c r="IZ1495" s="2060"/>
      <c r="JA1495" s="2060"/>
      <c r="JB1495" s="2060"/>
      <c r="JC1495" s="2060"/>
      <c r="JD1495" s="2060"/>
      <c r="JE1495" s="2060"/>
      <c r="JF1495" s="2060"/>
      <c r="JG1495" s="2060"/>
      <c r="JH1495" s="2060"/>
      <c r="JI1495" s="2060"/>
      <c r="JJ1495" s="2060"/>
      <c r="JK1495" s="2060"/>
      <c r="JL1495" s="2060"/>
      <c r="JM1495" s="2060"/>
      <c r="JN1495" s="2060"/>
      <c r="JO1495" s="2060"/>
      <c r="JP1495" s="2060"/>
      <c r="JQ1495" s="2060"/>
      <c r="JR1495" s="2060"/>
      <c r="JS1495" s="2060"/>
      <c r="JT1495" s="2060"/>
      <c r="JU1495" s="2060"/>
      <c r="JV1495" s="2060"/>
      <c r="JW1495" s="2060"/>
      <c r="JX1495" s="2060"/>
      <c r="JY1495" s="2060"/>
      <c r="JZ1495" s="2060"/>
      <c r="KA1495" s="2060"/>
      <c r="KB1495" s="2060"/>
      <c r="KC1495" s="2060"/>
      <c r="KD1495" s="2060"/>
      <c r="KE1495" s="2060"/>
      <c r="KF1495" s="2060"/>
      <c r="KG1495" s="2060"/>
      <c r="KH1495" s="2060"/>
      <c r="KI1495" s="2060"/>
      <c r="KJ1495" s="2060"/>
      <c r="KK1495" s="2060"/>
      <c r="KL1495" s="2060"/>
      <c r="KM1495" s="2060"/>
      <c r="KN1495" s="2060"/>
      <c r="KO1495" s="2060"/>
      <c r="KP1495" s="2060"/>
      <c r="KQ1495" s="2060"/>
      <c r="KR1495" s="2060"/>
      <c r="KS1495" s="2060"/>
      <c r="KT1495" s="2060"/>
      <c r="KU1495" s="2060"/>
      <c r="KV1495" s="2060"/>
      <c r="KW1495" s="2060"/>
      <c r="KX1495" s="2060"/>
      <c r="KY1495" s="2060"/>
      <c r="KZ1495" s="2060"/>
      <c r="LA1495" s="2060"/>
      <c r="LB1495" s="2060"/>
      <c r="LC1495" s="2060"/>
      <c r="LD1495" s="2060"/>
      <c r="LE1495" s="2060"/>
      <c r="LF1495" s="2060"/>
      <c r="LG1495" s="2060"/>
      <c r="LH1495" s="2060"/>
    </row>
    <row r="1496" spans="1:320" s="449" customFormat="1" ht="13.9">
      <c r="A1496" s="269" t="str">
        <f t="shared" si="421"/>
        <v>n</v>
      </c>
      <c r="B1496" s="2060"/>
      <c r="C1496" s="89"/>
      <c r="D1496" s="801"/>
      <c r="E1496" s="1505">
        <v>2</v>
      </c>
      <c r="F1496" s="21" t="str">
        <f>F$130</f>
        <v>--</v>
      </c>
      <c r="G1496" s="1441">
        <f>G$130</f>
        <v>0</v>
      </c>
      <c r="H1496" s="1441"/>
      <c r="I1496" s="1441"/>
      <c r="J1496" s="1441"/>
      <c r="K1496" s="2314" t="str">
        <f t="shared" si="420"/>
        <v>--</v>
      </c>
      <c r="L1496" s="2314" t="str">
        <f t="shared" si="420"/>
        <v>--</v>
      </c>
      <c r="M1496" s="2314" t="str">
        <f t="shared" si="420"/>
        <v>--</v>
      </c>
      <c r="N1496" s="2314" t="str">
        <f t="shared" si="420"/>
        <v>--</v>
      </c>
      <c r="O1496" s="2315" t="str">
        <f t="shared" si="420"/>
        <v>--</v>
      </c>
      <c r="P1496" s="2314" t="str">
        <f t="shared" si="420"/>
        <v>--</v>
      </c>
      <c r="Q1496" s="89"/>
      <c r="R1496" s="89"/>
      <c r="S1496" s="89"/>
      <c r="T1496" s="1513"/>
      <c r="U1496" s="89"/>
      <c r="V1496" s="89"/>
      <c r="W1496" s="89"/>
      <c r="X1496" s="89"/>
      <c r="Y1496" s="89"/>
      <c r="Z1496" s="89"/>
      <c r="AA1496" s="89"/>
      <c r="AB1496" s="89"/>
      <c r="AC1496" s="89"/>
      <c r="AD1496" s="89"/>
      <c r="AE1496" s="89"/>
      <c r="AF1496" s="89"/>
      <c r="AG1496" s="2060"/>
      <c r="AH1496" s="2060"/>
      <c r="AI1496" s="2060"/>
      <c r="AJ1496" s="2060"/>
      <c r="AK1496" s="2060"/>
      <c r="AL1496" s="2060"/>
      <c r="AM1496" s="2060"/>
      <c r="AN1496" s="2060"/>
      <c r="AO1496" s="2060"/>
      <c r="AP1496" s="2060"/>
      <c r="AQ1496" s="2060"/>
      <c r="AR1496" s="2060"/>
      <c r="AS1496" s="2060"/>
      <c r="AT1496" s="2060"/>
      <c r="AU1496" s="2060"/>
      <c r="AV1496" s="2060"/>
      <c r="AW1496" s="2060"/>
      <c r="AX1496" s="2060"/>
      <c r="AY1496" s="2060"/>
      <c r="AZ1496" s="2060"/>
      <c r="BA1496" s="2060"/>
      <c r="BB1496" s="2060"/>
      <c r="BC1496" s="2060"/>
      <c r="BD1496" s="2060"/>
      <c r="BE1496" s="2060"/>
      <c r="BF1496" s="2060"/>
      <c r="BG1496" s="2060"/>
      <c r="BH1496" s="2060"/>
      <c r="BI1496" s="2060"/>
      <c r="BJ1496" s="2060"/>
      <c r="BK1496" s="2060"/>
      <c r="BL1496" s="2060"/>
      <c r="BM1496" s="2060"/>
      <c r="BN1496" s="2060"/>
      <c r="BO1496" s="2060"/>
      <c r="BP1496" s="2060"/>
      <c r="BQ1496" s="2060"/>
      <c r="BR1496" s="2060"/>
      <c r="BS1496" s="2060"/>
      <c r="BT1496" s="2060"/>
      <c r="BU1496" s="2060"/>
      <c r="BV1496" s="2060"/>
      <c r="BW1496" s="2060"/>
      <c r="BX1496" s="2060"/>
      <c r="BY1496" s="2060"/>
      <c r="BZ1496" s="2060"/>
      <c r="CA1496" s="2060"/>
      <c r="CB1496" s="2060"/>
      <c r="CC1496" s="2060"/>
      <c r="CD1496" s="2060"/>
      <c r="CE1496" s="2060"/>
      <c r="CF1496" s="2060"/>
      <c r="CG1496" s="2060"/>
      <c r="CH1496" s="2060"/>
      <c r="CI1496" s="2060"/>
      <c r="CJ1496" s="2060"/>
      <c r="CK1496" s="2060"/>
      <c r="CL1496" s="2060"/>
      <c r="CM1496" s="2060"/>
      <c r="CN1496" s="2060"/>
      <c r="CO1496" s="2060"/>
      <c r="CP1496" s="2060"/>
      <c r="CQ1496" s="2060"/>
      <c r="CR1496" s="2060"/>
      <c r="CS1496" s="2060"/>
      <c r="CT1496" s="2060"/>
      <c r="CU1496" s="2060"/>
      <c r="CV1496" s="2060"/>
      <c r="CW1496" s="2060"/>
      <c r="CX1496" s="2060"/>
      <c r="CY1496" s="2060"/>
      <c r="CZ1496" s="2060"/>
      <c r="DA1496" s="2060"/>
      <c r="DB1496" s="2060"/>
      <c r="DC1496" s="2060"/>
      <c r="DD1496" s="2060"/>
      <c r="DE1496" s="2060"/>
      <c r="DF1496" s="2060"/>
      <c r="DG1496" s="2060"/>
      <c r="DH1496" s="2060"/>
      <c r="DI1496" s="2060"/>
      <c r="DJ1496" s="2060"/>
      <c r="DK1496" s="2060"/>
      <c r="DL1496" s="2060"/>
      <c r="DM1496" s="2060"/>
      <c r="DN1496" s="2060"/>
      <c r="DO1496" s="2060"/>
      <c r="DP1496" s="2060"/>
      <c r="DQ1496" s="2060"/>
      <c r="DR1496" s="2060"/>
      <c r="DS1496" s="2060"/>
      <c r="DT1496" s="2060"/>
      <c r="DU1496" s="2060"/>
      <c r="DV1496" s="2060"/>
      <c r="DW1496" s="2060"/>
      <c r="DX1496" s="2060"/>
      <c r="DY1496" s="2060"/>
      <c r="DZ1496" s="2060"/>
      <c r="EA1496" s="2060"/>
      <c r="EB1496" s="2060"/>
      <c r="EC1496" s="2060"/>
      <c r="ED1496" s="2060"/>
      <c r="EE1496" s="2060"/>
      <c r="EF1496" s="2060"/>
      <c r="EG1496" s="2060"/>
      <c r="EH1496" s="2060"/>
      <c r="EI1496" s="2060"/>
      <c r="EJ1496" s="2060"/>
      <c r="EK1496" s="2060"/>
      <c r="EL1496" s="2060"/>
      <c r="EM1496" s="2060"/>
      <c r="EN1496" s="2060"/>
      <c r="EO1496" s="2060"/>
      <c r="EP1496" s="2060"/>
      <c r="EQ1496" s="2060"/>
      <c r="ER1496" s="2060"/>
      <c r="ES1496" s="2060"/>
      <c r="ET1496" s="2060"/>
      <c r="EU1496" s="2060"/>
      <c r="EV1496" s="2060"/>
      <c r="EW1496" s="2060"/>
      <c r="EX1496" s="2060"/>
      <c r="EY1496" s="2060"/>
      <c r="EZ1496" s="2060"/>
      <c r="FA1496" s="2060"/>
      <c r="FB1496" s="2060"/>
      <c r="FC1496" s="2060"/>
      <c r="FD1496" s="2060"/>
      <c r="FE1496" s="2060"/>
      <c r="FF1496" s="2060"/>
      <c r="FG1496" s="2060"/>
      <c r="FH1496" s="2060"/>
      <c r="FI1496" s="2060"/>
      <c r="FJ1496" s="2060"/>
      <c r="FK1496" s="2060"/>
      <c r="FL1496" s="2060"/>
      <c r="FM1496" s="2060"/>
      <c r="FN1496" s="2060"/>
      <c r="FO1496" s="2060"/>
      <c r="FP1496" s="2060"/>
      <c r="FQ1496" s="2060"/>
      <c r="FR1496" s="2060"/>
      <c r="FS1496" s="2060"/>
      <c r="FT1496" s="2060"/>
      <c r="FU1496" s="2060"/>
      <c r="FV1496" s="2060"/>
      <c r="FW1496" s="2060"/>
      <c r="FX1496" s="2060"/>
      <c r="FY1496" s="2060"/>
      <c r="FZ1496" s="2060"/>
      <c r="GA1496" s="2060"/>
      <c r="GB1496" s="2060"/>
      <c r="GC1496" s="2060"/>
      <c r="GD1496" s="2060"/>
      <c r="GE1496" s="2060"/>
      <c r="GF1496" s="2060"/>
      <c r="GG1496" s="2060"/>
      <c r="GH1496" s="2060"/>
      <c r="GI1496" s="2060"/>
      <c r="GJ1496" s="2060"/>
      <c r="GK1496" s="2060"/>
      <c r="GL1496" s="2060"/>
      <c r="GM1496" s="2060"/>
      <c r="GN1496" s="2060"/>
      <c r="GO1496" s="2060"/>
      <c r="GP1496" s="2060"/>
      <c r="GQ1496" s="2060"/>
      <c r="GR1496" s="2060"/>
      <c r="GS1496" s="2060"/>
      <c r="GT1496" s="2060"/>
      <c r="GU1496" s="2060"/>
      <c r="GV1496" s="2060"/>
      <c r="GW1496" s="2060"/>
      <c r="GX1496" s="2060"/>
      <c r="GY1496" s="2060"/>
      <c r="GZ1496" s="2060"/>
      <c r="HA1496" s="2060"/>
      <c r="HB1496" s="2060"/>
      <c r="HC1496" s="2060"/>
      <c r="HD1496" s="2060"/>
      <c r="HE1496" s="2060"/>
      <c r="HF1496" s="2060"/>
      <c r="HG1496" s="2060"/>
      <c r="HH1496" s="2060"/>
      <c r="HI1496" s="2060"/>
      <c r="HJ1496" s="2060"/>
      <c r="HK1496" s="2060"/>
      <c r="HL1496" s="2060"/>
      <c r="HM1496" s="2060"/>
      <c r="HN1496" s="2060"/>
      <c r="HO1496" s="2060"/>
      <c r="HP1496" s="2060"/>
      <c r="HQ1496" s="2060"/>
      <c r="HR1496" s="2060"/>
      <c r="HS1496" s="2060"/>
      <c r="HT1496" s="2060"/>
      <c r="HU1496" s="2060"/>
      <c r="HV1496" s="2060"/>
      <c r="HW1496" s="2060"/>
      <c r="HX1496" s="2060"/>
      <c r="HY1496" s="2060"/>
      <c r="HZ1496" s="2060"/>
      <c r="IA1496" s="2060"/>
      <c r="IB1496" s="2060"/>
      <c r="IC1496" s="2060"/>
      <c r="ID1496" s="2060"/>
      <c r="IE1496" s="2060"/>
      <c r="IF1496" s="2060"/>
      <c r="IG1496" s="2060"/>
      <c r="IH1496" s="2060"/>
      <c r="II1496" s="2060"/>
      <c r="IJ1496" s="2060"/>
      <c r="IK1496" s="2060"/>
      <c r="IL1496" s="2060"/>
      <c r="IM1496" s="2060"/>
      <c r="IN1496" s="2060"/>
      <c r="IO1496" s="2060"/>
      <c r="IP1496" s="2060"/>
      <c r="IQ1496" s="2060"/>
      <c r="IR1496" s="2060"/>
      <c r="IS1496" s="2060"/>
      <c r="IT1496" s="2060"/>
      <c r="IU1496" s="2060"/>
      <c r="IV1496" s="2060"/>
      <c r="IW1496" s="2060"/>
      <c r="IX1496" s="2060"/>
      <c r="IY1496" s="2060"/>
      <c r="IZ1496" s="2060"/>
      <c r="JA1496" s="2060"/>
      <c r="JB1496" s="2060"/>
      <c r="JC1496" s="2060"/>
      <c r="JD1496" s="2060"/>
      <c r="JE1496" s="2060"/>
      <c r="JF1496" s="2060"/>
      <c r="JG1496" s="2060"/>
      <c r="JH1496" s="2060"/>
      <c r="JI1496" s="2060"/>
      <c r="JJ1496" s="2060"/>
      <c r="JK1496" s="2060"/>
      <c r="JL1496" s="2060"/>
      <c r="JM1496" s="2060"/>
      <c r="JN1496" s="2060"/>
      <c r="JO1496" s="2060"/>
      <c r="JP1496" s="2060"/>
      <c r="JQ1496" s="2060"/>
      <c r="JR1496" s="2060"/>
      <c r="JS1496" s="2060"/>
      <c r="JT1496" s="2060"/>
      <c r="JU1496" s="2060"/>
      <c r="JV1496" s="2060"/>
      <c r="JW1496" s="2060"/>
      <c r="JX1496" s="2060"/>
      <c r="JY1496" s="2060"/>
      <c r="JZ1496" s="2060"/>
      <c r="KA1496" s="2060"/>
      <c r="KB1496" s="2060"/>
      <c r="KC1496" s="2060"/>
      <c r="KD1496" s="2060"/>
      <c r="KE1496" s="2060"/>
      <c r="KF1496" s="2060"/>
      <c r="KG1496" s="2060"/>
      <c r="KH1496" s="2060"/>
      <c r="KI1496" s="2060"/>
      <c r="KJ1496" s="2060"/>
      <c r="KK1496" s="2060"/>
      <c r="KL1496" s="2060"/>
      <c r="KM1496" s="2060"/>
      <c r="KN1496" s="2060"/>
      <c r="KO1496" s="2060"/>
      <c r="KP1496" s="2060"/>
      <c r="KQ1496" s="2060"/>
      <c r="KR1496" s="2060"/>
      <c r="KS1496" s="2060"/>
      <c r="KT1496" s="2060"/>
      <c r="KU1496" s="2060"/>
      <c r="KV1496" s="2060"/>
      <c r="KW1496" s="2060"/>
      <c r="KX1496" s="2060"/>
      <c r="KY1496" s="2060"/>
      <c r="KZ1496" s="2060"/>
      <c r="LA1496" s="2060"/>
      <c r="LB1496" s="2060"/>
      <c r="LC1496" s="2060"/>
      <c r="LD1496" s="2060"/>
      <c r="LE1496" s="2060"/>
      <c r="LF1496" s="2060"/>
      <c r="LG1496" s="2060"/>
      <c r="LH1496" s="2060"/>
    </row>
    <row r="1497" spans="1:320" s="449" customFormat="1" ht="13.9">
      <c r="A1497" s="269" t="str">
        <f t="shared" si="421"/>
        <v>n</v>
      </c>
      <c r="B1497" s="2060"/>
      <c r="C1497" s="72"/>
      <c r="D1497" s="802"/>
      <c r="E1497" s="1505">
        <v>3</v>
      </c>
      <c r="F1497" s="21" t="str">
        <f>F$131</f>
        <v>--</v>
      </c>
      <c r="G1497" s="1441">
        <f>G$131</f>
        <v>0</v>
      </c>
      <c r="H1497" s="1441"/>
      <c r="I1497" s="1441"/>
      <c r="J1497" s="1441"/>
      <c r="K1497" s="2314" t="str">
        <f t="shared" si="420"/>
        <v>--</v>
      </c>
      <c r="L1497" s="2314" t="str">
        <f t="shared" si="420"/>
        <v>--</v>
      </c>
      <c r="M1497" s="2314" t="str">
        <f t="shared" si="420"/>
        <v>--</v>
      </c>
      <c r="N1497" s="2314" t="str">
        <f t="shared" si="420"/>
        <v>--</v>
      </c>
      <c r="O1497" s="2315" t="str">
        <f t="shared" si="420"/>
        <v>--</v>
      </c>
      <c r="P1497" s="2314" t="str">
        <f t="shared" si="420"/>
        <v>--</v>
      </c>
      <c r="Q1497" s="89"/>
      <c r="R1497" s="89"/>
      <c r="S1497" s="89"/>
      <c r="T1497" s="1513"/>
      <c r="U1497" s="89"/>
      <c r="V1497" s="89"/>
      <c r="W1497" s="89"/>
      <c r="X1497" s="89"/>
      <c r="Y1497" s="89"/>
      <c r="Z1497" s="89"/>
      <c r="AA1497" s="89"/>
      <c r="AB1497" s="89"/>
      <c r="AC1497" s="89"/>
      <c r="AD1497" s="89"/>
      <c r="AE1497" s="89"/>
      <c r="AF1497" s="89"/>
      <c r="AG1497" s="2060"/>
      <c r="AH1497" s="2060"/>
      <c r="AI1497" s="2060"/>
      <c r="AJ1497" s="2060"/>
      <c r="AK1497" s="2060"/>
      <c r="AL1497" s="2060"/>
      <c r="AM1497" s="2060"/>
      <c r="AN1497" s="2060"/>
      <c r="AO1497" s="2060"/>
      <c r="AP1497" s="2060"/>
      <c r="AQ1497" s="2060"/>
      <c r="AR1497" s="2060"/>
      <c r="AS1497" s="2060"/>
      <c r="AT1497" s="2060"/>
      <c r="AU1497" s="2060"/>
      <c r="AV1497" s="2060"/>
      <c r="AW1497" s="2060"/>
      <c r="AX1497" s="2060"/>
      <c r="AY1497" s="2060"/>
      <c r="AZ1497" s="2060"/>
      <c r="BA1497" s="2060"/>
      <c r="BB1497" s="2060"/>
      <c r="BC1497" s="2060"/>
      <c r="BD1497" s="2060"/>
      <c r="BE1497" s="2060"/>
      <c r="BF1497" s="2060"/>
      <c r="BG1497" s="2060"/>
      <c r="BH1497" s="2060"/>
      <c r="BI1497" s="2060"/>
      <c r="BJ1497" s="2060"/>
      <c r="BK1497" s="2060"/>
      <c r="BL1497" s="2060"/>
      <c r="BM1497" s="2060"/>
      <c r="BN1497" s="2060"/>
      <c r="BO1497" s="2060"/>
      <c r="BP1497" s="2060"/>
      <c r="BQ1497" s="2060"/>
      <c r="BR1497" s="2060"/>
      <c r="BS1497" s="2060"/>
      <c r="BT1497" s="2060"/>
      <c r="BU1497" s="2060"/>
      <c r="BV1497" s="2060"/>
      <c r="BW1497" s="2060"/>
      <c r="BX1497" s="2060"/>
      <c r="BY1497" s="2060"/>
      <c r="BZ1497" s="2060"/>
      <c r="CA1497" s="2060"/>
      <c r="CB1497" s="2060"/>
      <c r="CC1497" s="2060"/>
      <c r="CD1497" s="2060"/>
      <c r="CE1497" s="2060"/>
      <c r="CF1497" s="2060"/>
      <c r="CG1497" s="2060"/>
      <c r="CH1497" s="2060"/>
      <c r="CI1497" s="2060"/>
      <c r="CJ1497" s="2060"/>
      <c r="CK1497" s="2060"/>
      <c r="CL1497" s="2060"/>
      <c r="CM1497" s="2060"/>
      <c r="CN1497" s="2060"/>
      <c r="CO1497" s="2060"/>
      <c r="CP1497" s="2060"/>
      <c r="CQ1497" s="2060"/>
      <c r="CR1497" s="2060"/>
      <c r="CS1497" s="2060"/>
      <c r="CT1497" s="2060"/>
      <c r="CU1497" s="2060"/>
      <c r="CV1497" s="2060"/>
      <c r="CW1497" s="2060"/>
      <c r="CX1497" s="2060"/>
      <c r="CY1497" s="2060"/>
      <c r="CZ1497" s="2060"/>
      <c r="DA1497" s="2060"/>
      <c r="DB1497" s="2060"/>
      <c r="DC1497" s="2060"/>
      <c r="DD1497" s="2060"/>
      <c r="DE1497" s="2060"/>
      <c r="DF1497" s="2060"/>
      <c r="DG1497" s="2060"/>
      <c r="DH1497" s="2060"/>
      <c r="DI1497" s="2060"/>
      <c r="DJ1497" s="2060"/>
      <c r="DK1497" s="2060"/>
      <c r="DL1497" s="2060"/>
      <c r="DM1497" s="2060"/>
      <c r="DN1497" s="2060"/>
      <c r="DO1497" s="2060"/>
      <c r="DP1497" s="2060"/>
      <c r="DQ1497" s="2060"/>
      <c r="DR1497" s="2060"/>
      <c r="DS1497" s="2060"/>
      <c r="DT1497" s="2060"/>
      <c r="DU1497" s="2060"/>
      <c r="DV1497" s="2060"/>
      <c r="DW1497" s="2060"/>
      <c r="DX1497" s="2060"/>
      <c r="DY1497" s="2060"/>
      <c r="DZ1497" s="2060"/>
      <c r="EA1497" s="2060"/>
      <c r="EB1497" s="2060"/>
      <c r="EC1497" s="2060"/>
      <c r="ED1497" s="2060"/>
      <c r="EE1497" s="2060"/>
      <c r="EF1497" s="2060"/>
      <c r="EG1497" s="2060"/>
      <c r="EH1497" s="2060"/>
      <c r="EI1497" s="2060"/>
      <c r="EJ1497" s="2060"/>
      <c r="EK1497" s="2060"/>
      <c r="EL1497" s="2060"/>
      <c r="EM1497" s="2060"/>
      <c r="EN1497" s="2060"/>
      <c r="EO1497" s="2060"/>
      <c r="EP1497" s="2060"/>
      <c r="EQ1497" s="2060"/>
      <c r="ER1497" s="2060"/>
      <c r="ES1497" s="2060"/>
      <c r="ET1497" s="2060"/>
      <c r="EU1497" s="2060"/>
      <c r="EV1497" s="2060"/>
      <c r="EW1497" s="2060"/>
      <c r="EX1497" s="2060"/>
      <c r="EY1497" s="2060"/>
      <c r="EZ1497" s="2060"/>
      <c r="FA1497" s="2060"/>
      <c r="FB1497" s="2060"/>
      <c r="FC1497" s="2060"/>
      <c r="FD1497" s="2060"/>
      <c r="FE1497" s="2060"/>
      <c r="FF1497" s="2060"/>
      <c r="FG1497" s="2060"/>
      <c r="FH1497" s="2060"/>
      <c r="FI1497" s="2060"/>
      <c r="FJ1497" s="2060"/>
      <c r="FK1497" s="2060"/>
      <c r="FL1497" s="2060"/>
      <c r="FM1497" s="2060"/>
      <c r="FN1497" s="2060"/>
      <c r="FO1497" s="2060"/>
      <c r="FP1497" s="2060"/>
      <c r="FQ1497" s="2060"/>
      <c r="FR1497" s="2060"/>
      <c r="FS1497" s="2060"/>
      <c r="FT1497" s="2060"/>
      <c r="FU1497" s="2060"/>
      <c r="FV1497" s="2060"/>
      <c r="FW1497" s="2060"/>
      <c r="FX1497" s="2060"/>
      <c r="FY1497" s="2060"/>
      <c r="FZ1497" s="2060"/>
      <c r="GA1497" s="2060"/>
      <c r="GB1497" s="2060"/>
      <c r="GC1497" s="2060"/>
      <c r="GD1497" s="2060"/>
      <c r="GE1497" s="2060"/>
      <c r="GF1497" s="2060"/>
      <c r="GG1497" s="2060"/>
      <c r="GH1497" s="2060"/>
      <c r="GI1497" s="2060"/>
      <c r="GJ1497" s="2060"/>
      <c r="GK1497" s="2060"/>
      <c r="GL1497" s="2060"/>
      <c r="GM1497" s="2060"/>
      <c r="GN1497" s="2060"/>
      <c r="GO1497" s="2060"/>
      <c r="GP1497" s="2060"/>
      <c r="GQ1497" s="2060"/>
      <c r="GR1497" s="2060"/>
      <c r="GS1497" s="2060"/>
      <c r="GT1497" s="2060"/>
      <c r="GU1497" s="2060"/>
      <c r="GV1497" s="2060"/>
      <c r="GW1497" s="2060"/>
      <c r="GX1497" s="2060"/>
      <c r="GY1497" s="2060"/>
      <c r="GZ1497" s="2060"/>
      <c r="HA1497" s="2060"/>
      <c r="HB1497" s="2060"/>
      <c r="HC1497" s="2060"/>
      <c r="HD1497" s="2060"/>
      <c r="HE1497" s="2060"/>
      <c r="HF1497" s="2060"/>
      <c r="HG1497" s="2060"/>
      <c r="HH1497" s="2060"/>
      <c r="HI1497" s="2060"/>
      <c r="HJ1497" s="2060"/>
      <c r="HK1497" s="2060"/>
      <c r="HL1497" s="2060"/>
      <c r="HM1497" s="2060"/>
      <c r="HN1497" s="2060"/>
      <c r="HO1497" s="2060"/>
      <c r="HP1497" s="2060"/>
      <c r="HQ1497" s="2060"/>
      <c r="HR1497" s="2060"/>
      <c r="HS1497" s="2060"/>
      <c r="HT1497" s="2060"/>
      <c r="HU1497" s="2060"/>
      <c r="HV1497" s="2060"/>
      <c r="HW1497" s="2060"/>
      <c r="HX1497" s="2060"/>
      <c r="HY1497" s="2060"/>
      <c r="HZ1497" s="2060"/>
      <c r="IA1497" s="2060"/>
      <c r="IB1497" s="2060"/>
      <c r="IC1497" s="2060"/>
      <c r="ID1497" s="2060"/>
      <c r="IE1497" s="2060"/>
      <c r="IF1497" s="2060"/>
      <c r="IG1497" s="2060"/>
      <c r="IH1497" s="2060"/>
      <c r="II1497" s="2060"/>
      <c r="IJ1497" s="2060"/>
      <c r="IK1497" s="2060"/>
      <c r="IL1497" s="2060"/>
      <c r="IM1497" s="2060"/>
      <c r="IN1497" s="2060"/>
      <c r="IO1497" s="2060"/>
      <c r="IP1497" s="2060"/>
      <c r="IQ1497" s="2060"/>
      <c r="IR1497" s="2060"/>
      <c r="IS1497" s="2060"/>
      <c r="IT1497" s="2060"/>
      <c r="IU1497" s="2060"/>
      <c r="IV1497" s="2060"/>
      <c r="IW1497" s="2060"/>
      <c r="IX1497" s="2060"/>
      <c r="IY1497" s="2060"/>
      <c r="IZ1497" s="2060"/>
      <c r="JA1497" s="2060"/>
      <c r="JB1497" s="2060"/>
      <c r="JC1497" s="2060"/>
      <c r="JD1497" s="2060"/>
      <c r="JE1497" s="2060"/>
      <c r="JF1497" s="2060"/>
      <c r="JG1497" s="2060"/>
      <c r="JH1497" s="2060"/>
      <c r="JI1497" s="2060"/>
      <c r="JJ1497" s="2060"/>
      <c r="JK1497" s="2060"/>
      <c r="JL1497" s="2060"/>
      <c r="JM1497" s="2060"/>
      <c r="JN1497" s="2060"/>
      <c r="JO1497" s="2060"/>
      <c r="JP1497" s="2060"/>
      <c r="JQ1497" s="2060"/>
      <c r="JR1497" s="2060"/>
      <c r="JS1497" s="2060"/>
      <c r="JT1497" s="2060"/>
      <c r="JU1497" s="2060"/>
      <c r="JV1497" s="2060"/>
      <c r="JW1497" s="2060"/>
      <c r="JX1497" s="2060"/>
      <c r="JY1497" s="2060"/>
      <c r="JZ1497" s="2060"/>
      <c r="KA1497" s="2060"/>
      <c r="KB1497" s="2060"/>
      <c r="KC1497" s="2060"/>
      <c r="KD1497" s="2060"/>
      <c r="KE1497" s="2060"/>
      <c r="KF1497" s="2060"/>
      <c r="KG1497" s="2060"/>
      <c r="KH1497" s="2060"/>
      <c r="KI1497" s="2060"/>
      <c r="KJ1497" s="2060"/>
      <c r="KK1497" s="2060"/>
      <c r="KL1497" s="2060"/>
      <c r="KM1497" s="2060"/>
      <c r="KN1497" s="2060"/>
      <c r="KO1497" s="2060"/>
      <c r="KP1497" s="2060"/>
      <c r="KQ1497" s="2060"/>
      <c r="KR1497" s="2060"/>
      <c r="KS1497" s="2060"/>
      <c r="KT1497" s="2060"/>
      <c r="KU1497" s="2060"/>
      <c r="KV1497" s="2060"/>
      <c r="KW1497" s="2060"/>
      <c r="KX1497" s="2060"/>
      <c r="KY1497" s="2060"/>
      <c r="KZ1497" s="2060"/>
      <c r="LA1497" s="2060"/>
      <c r="LB1497" s="2060"/>
      <c r="LC1497" s="2060"/>
      <c r="LD1497" s="2060"/>
      <c r="LE1497" s="2060"/>
      <c r="LF1497" s="2060"/>
      <c r="LG1497" s="2060"/>
      <c r="LH1497" s="2060"/>
    </row>
    <row r="1498" spans="1:320" s="449" customFormat="1" ht="13.9">
      <c r="A1498" s="269" t="str">
        <f t="shared" si="421"/>
        <v>n</v>
      </c>
      <c r="B1498" s="2060"/>
      <c r="C1498" s="72"/>
      <c r="D1498" s="801"/>
      <c r="E1498" s="1505">
        <v>4</v>
      </c>
      <c r="F1498" s="21" t="str">
        <f>F$132</f>
        <v>--</v>
      </c>
      <c r="G1498" s="1441">
        <f>G$132</f>
        <v>0</v>
      </c>
      <c r="H1498" s="1441"/>
      <c r="I1498" s="1441"/>
      <c r="J1498" s="1441"/>
      <c r="K1498" s="2314" t="str">
        <f t="shared" si="420"/>
        <v>--</v>
      </c>
      <c r="L1498" s="2314" t="str">
        <f t="shared" si="420"/>
        <v>--</v>
      </c>
      <c r="M1498" s="2314" t="str">
        <f t="shared" si="420"/>
        <v>--</v>
      </c>
      <c r="N1498" s="2314" t="str">
        <f t="shared" si="420"/>
        <v>--</v>
      </c>
      <c r="O1498" s="2315" t="str">
        <f t="shared" si="420"/>
        <v>--</v>
      </c>
      <c r="P1498" s="2314" t="str">
        <f t="shared" si="420"/>
        <v>--</v>
      </c>
      <c r="Q1498" s="89"/>
      <c r="R1498" s="89"/>
      <c r="S1498" s="89"/>
      <c r="T1498" s="1513"/>
      <c r="U1498" s="89"/>
      <c r="V1498" s="89"/>
      <c r="W1498" s="89"/>
      <c r="X1498" s="89"/>
      <c r="Y1498" s="89"/>
      <c r="Z1498" s="89"/>
      <c r="AA1498" s="89"/>
      <c r="AB1498" s="89"/>
      <c r="AC1498" s="89"/>
      <c r="AD1498" s="89"/>
      <c r="AE1498" s="89"/>
      <c r="AF1498" s="89"/>
      <c r="AG1498" s="2060"/>
      <c r="AH1498" s="2060"/>
      <c r="AI1498" s="2060"/>
      <c r="AJ1498" s="2060"/>
      <c r="AK1498" s="2060"/>
      <c r="AL1498" s="2060"/>
      <c r="AM1498" s="2060"/>
      <c r="AN1498" s="2060"/>
      <c r="AO1498" s="2060"/>
      <c r="AP1498" s="2060"/>
      <c r="AQ1498" s="2060"/>
      <c r="AR1498" s="2060"/>
      <c r="AS1498" s="2060"/>
      <c r="AT1498" s="2060"/>
      <c r="AU1498" s="2060"/>
      <c r="AV1498" s="2060"/>
      <c r="AW1498" s="2060"/>
      <c r="AX1498" s="2060"/>
      <c r="AY1498" s="2060"/>
      <c r="AZ1498" s="2060"/>
      <c r="BA1498" s="2060"/>
      <c r="BB1498" s="2060"/>
      <c r="BC1498" s="2060"/>
      <c r="BD1498" s="2060"/>
      <c r="BE1498" s="2060"/>
      <c r="BF1498" s="2060"/>
      <c r="BG1498" s="2060"/>
      <c r="BH1498" s="2060"/>
      <c r="BI1498" s="2060"/>
      <c r="BJ1498" s="2060"/>
      <c r="BK1498" s="2060"/>
      <c r="BL1498" s="2060"/>
      <c r="BM1498" s="2060"/>
      <c r="BN1498" s="2060"/>
      <c r="BO1498" s="2060"/>
      <c r="BP1498" s="2060"/>
      <c r="BQ1498" s="2060"/>
      <c r="BR1498" s="2060"/>
      <c r="BS1498" s="2060"/>
      <c r="BT1498" s="2060"/>
      <c r="BU1498" s="2060"/>
      <c r="BV1498" s="2060"/>
      <c r="BW1498" s="2060"/>
      <c r="BX1498" s="2060"/>
      <c r="BY1498" s="2060"/>
      <c r="BZ1498" s="2060"/>
      <c r="CA1498" s="2060"/>
      <c r="CB1498" s="2060"/>
      <c r="CC1498" s="2060"/>
      <c r="CD1498" s="2060"/>
      <c r="CE1498" s="2060"/>
      <c r="CF1498" s="2060"/>
      <c r="CG1498" s="2060"/>
      <c r="CH1498" s="2060"/>
      <c r="CI1498" s="2060"/>
      <c r="CJ1498" s="2060"/>
      <c r="CK1498" s="2060"/>
      <c r="CL1498" s="2060"/>
      <c r="CM1498" s="2060"/>
      <c r="CN1498" s="2060"/>
      <c r="CO1498" s="2060"/>
      <c r="CP1498" s="2060"/>
      <c r="CQ1498" s="2060"/>
      <c r="CR1498" s="2060"/>
      <c r="CS1498" s="2060"/>
      <c r="CT1498" s="2060"/>
      <c r="CU1498" s="2060"/>
      <c r="CV1498" s="2060"/>
      <c r="CW1498" s="2060"/>
      <c r="CX1498" s="2060"/>
      <c r="CY1498" s="2060"/>
      <c r="CZ1498" s="2060"/>
      <c r="DA1498" s="2060"/>
      <c r="DB1498" s="2060"/>
      <c r="DC1498" s="2060"/>
      <c r="DD1498" s="2060"/>
      <c r="DE1498" s="2060"/>
      <c r="DF1498" s="2060"/>
      <c r="DG1498" s="2060"/>
      <c r="DH1498" s="2060"/>
      <c r="DI1498" s="2060"/>
      <c r="DJ1498" s="2060"/>
      <c r="DK1498" s="2060"/>
      <c r="DL1498" s="2060"/>
      <c r="DM1498" s="2060"/>
      <c r="DN1498" s="2060"/>
      <c r="DO1498" s="2060"/>
      <c r="DP1498" s="2060"/>
      <c r="DQ1498" s="2060"/>
      <c r="DR1498" s="2060"/>
      <c r="DS1498" s="2060"/>
      <c r="DT1498" s="2060"/>
      <c r="DU1498" s="2060"/>
      <c r="DV1498" s="2060"/>
      <c r="DW1498" s="2060"/>
      <c r="DX1498" s="2060"/>
      <c r="DY1498" s="2060"/>
      <c r="DZ1498" s="2060"/>
      <c r="EA1498" s="2060"/>
      <c r="EB1498" s="2060"/>
      <c r="EC1498" s="2060"/>
      <c r="ED1498" s="2060"/>
      <c r="EE1498" s="2060"/>
      <c r="EF1498" s="2060"/>
      <c r="EG1498" s="2060"/>
      <c r="EH1498" s="2060"/>
      <c r="EI1498" s="2060"/>
      <c r="EJ1498" s="2060"/>
      <c r="EK1498" s="2060"/>
      <c r="EL1498" s="2060"/>
      <c r="EM1498" s="2060"/>
      <c r="EN1498" s="2060"/>
      <c r="EO1498" s="2060"/>
      <c r="EP1498" s="2060"/>
      <c r="EQ1498" s="2060"/>
      <c r="ER1498" s="2060"/>
      <c r="ES1498" s="2060"/>
      <c r="ET1498" s="2060"/>
      <c r="EU1498" s="2060"/>
      <c r="EV1498" s="2060"/>
      <c r="EW1498" s="2060"/>
      <c r="EX1498" s="2060"/>
      <c r="EY1498" s="2060"/>
      <c r="EZ1498" s="2060"/>
      <c r="FA1498" s="2060"/>
      <c r="FB1498" s="2060"/>
      <c r="FC1498" s="2060"/>
      <c r="FD1498" s="2060"/>
      <c r="FE1498" s="2060"/>
      <c r="FF1498" s="2060"/>
      <c r="FG1498" s="2060"/>
      <c r="FH1498" s="2060"/>
      <c r="FI1498" s="2060"/>
      <c r="FJ1498" s="2060"/>
      <c r="FK1498" s="2060"/>
      <c r="FL1498" s="2060"/>
      <c r="FM1498" s="2060"/>
      <c r="FN1498" s="2060"/>
      <c r="FO1498" s="2060"/>
      <c r="FP1498" s="2060"/>
      <c r="FQ1498" s="2060"/>
      <c r="FR1498" s="2060"/>
      <c r="FS1498" s="2060"/>
      <c r="FT1498" s="2060"/>
      <c r="FU1498" s="2060"/>
      <c r="FV1498" s="2060"/>
      <c r="FW1498" s="2060"/>
      <c r="FX1498" s="2060"/>
      <c r="FY1498" s="2060"/>
      <c r="FZ1498" s="2060"/>
      <c r="GA1498" s="2060"/>
      <c r="GB1498" s="2060"/>
      <c r="GC1498" s="2060"/>
      <c r="GD1498" s="2060"/>
      <c r="GE1498" s="2060"/>
      <c r="GF1498" s="2060"/>
      <c r="GG1498" s="2060"/>
      <c r="GH1498" s="2060"/>
      <c r="GI1498" s="2060"/>
      <c r="GJ1498" s="2060"/>
      <c r="GK1498" s="2060"/>
      <c r="GL1498" s="2060"/>
      <c r="GM1498" s="2060"/>
      <c r="GN1498" s="2060"/>
      <c r="GO1498" s="2060"/>
      <c r="GP1498" s="2060"/>
      <c r="GQ1498" s="2060"/>
      <c r="GR1498" s="2060"/>
      <c r="GS1498" s="2060"/>
      <c r="GT1498" s="2060"/>
      <c r="GU1498" s="2060"/>
      <c r="GV1498" s="2060"/>
      <c r="GW1498" s="2060"/>
      <c r="GX1498" s="2060"/>
      <c r="GY1498" s="2060"/>
      <c r="GZ1498" s="2060"/>
      <c r="HA1498" s="2060"/>
      <c r="HB1498" s="2060"/>
      <c r="HC1498" s="2060"/>
      <c r="HD1498" s="2060"/>
      <c r="HE1498" s="2060"/>
      <c r="HF1498" s="2060"/>
      <c r="HG1498" s="2060"/>
      <c r="HH1498" s="2060"/>
      <c r="HI1498" s="2060"/>
      <c r="HJ1498" s="2060"/>
      <c r="HK1498" s="2060"/>
      <c r="HL1498" s="2060"/>
      <c r="HM1498" s="2060"/>
      <c r="HN1498" s="2060"/>
      <c r="HO1498" s="2060"/>
      <c r="HP1498" s="2060"/>
      <c r="HQ1498" s="2060"/>
      <c r="HR1498" s="2060"/>
      <c r="HS1498" s="2060"/>
      <c r="HT1498" s="2060"/>
      <c r="HU1498" s="2060"/>
      <c r="HV1498" s="2060"/>
      <c r="HW1498" s="2060"/>
      <c r="HX1498" s="2060"/>
      <c r="HY1498" s="2060"/>
      <c r="HZ1498" s="2060"/>
      <c r="IA1498" s="2060"/>
      <c r="IB1498" s="2060"/>
      <c r="IC1498" s="2060"/>
      <c r="ID1498" s="2060"/>
      <c r="IE1498" s="2060"/>
      <c r="IF1498" s="2060"/>
      <c r="IG1498" s="2060"/>
      <c r="IH1498" s="2060"/>
      <c r="II1498" s="2060"/>
      <c r="IJ1498" s="2060"/>
      <c r="IK1498" s="2060"/>
      <c r="IL1498" s="2060"/>
      <c r="IM1498" s="2060"/>
      <c r="IN1498" s="2060"/>
      <c r="IO1498" s="2060"/>
      <c r="IP1498" s="2060"/>
      <c r="IQ1498" s="2060"/>
      <c r="IR1498" s="2060"/>
      <c r="IS1498" s="2060"/>
      <c r="IT1498" s="2060"/>
      <c r="IU1498" s="2060"/>
      <c r="IV1498" s="2060"/>
      <c r="IW1498" s="2060"/>
      <c r="IX1498" s="2060"/>
      <c r="IY1498" s="2060"/>
      <c r="IZ1498" s="2060"/>
      <c r="JA1498" s="2060"/>
      <c r="JB1498" s="2060"/>
      <c r="JC1498" s="2060"/>
      <c r="JD1498" s="2060"/>
      <c r="JE1498" s="2060"/>
      <c r="JF1498" s="2060"/>
      <c r="JG1498" s="2060"/>
      <c r="JH1498" s="2060"/>
      <c r="JI1498" s="2060"/>
      <c r="JJ1498" s="2060"/>
      <c r="JK1498" s="2060"/>
      <c r="JL1498" s="2060"/>
      <c r="JM1498" s="2060"/>
      <c r="JN1498" s="2060"/>
      <c r="JO1498" s="2060"/>
      <c r="JP1498" s="2060"/>
      <c r="JQ1498" s="2060"/>
      <c r="JR1498" s="2060"/>
      <c r="JS1498" s="2060"/>
      <c r="JT1498" s="2060"/>
      <c r="JU1498" s="2060"/>
      <c r="JV1498" s="2060"/>
      <c r="JW1498" s="2060"/>
      <c r="JX1498" s="2060"/>
      <c r="JY1498" s="2060"/>
      <c r="JZ1498" s="2060"/>
      <c r="KA1498" s="2060"/>
      <c r="KB1498" s="2060"/>
      <c r="KC1498" s="2060"/>
      <c r="KD1498" s="2060"/>
      <c r="KE1498" s="2060"/>
      <c r="KF1498" s="2060"/>
      <c r="KG1498" s="2060"/>
      <c r="KH1498" s="2060"/>
      <c r="KI1498" s="2060"/>
      <c r="KJ1498" s="2060"/>
      <c r="KK1498" s="2060"/>
      <c r="KL1498" s="2060"/>
      <c r="KM1498" s="2060"/>
      <c r="KN1498" s="2060"/>
      <c r="KO1498" s="2060"/>
      <c r="KP1498" s="2060"/>
      <c r="KQ1498" s="2060"/>
      <c r="KR1498" s="2060"/>
      <c r="KS1498" s="2060"/>
      <c r="KT1498" s="2060"/>
      <c r="KU1498" s="2060"/>
      <c r="KV1498" s="2060"/>
      <c r="KW1498" s="2060"/>
      <c r="KX1498" s="2060"/>
      <c r="KY1498" s="2060"/>
      <c r="KZ1498" s="2060"/>
      <c r="LA1498" s="2060"/>
      <c r="LB1498" s="2060"/>
      <c r="LC1498" s="2060"/>
      <c r="LD1498" s="2060"/>
      <c r="LE1498" s="2060"/>
      <c r="LF1498" s="2060"/>
      <c r="LG1498" s="2060"/>
      <c r="LH1498" s="2060"/>
    </row>
    <row r="1499" spans="1:320" s="449" customFormat="1" ht="13.9">
      <c r="A1499" s="269" t="str">
        <f t="shared" si="421"/>
        <v>n</v>
      </c>
      <c r="B1499" s="2060"/>
      <c r="C1499" s="72"/>
      <c r="D1499" s="801"/>
      <c r="E1499" s="1505">
        <v>5</v>
      </c>
      <c r="F1499" s="21" t="str">
        <f>F$133</f>
        <v>--</v>
      </c>
      <c r="G1499" s="1441">
        <f>G$133</f>
        <v>0</v>
      </c>
      <c r="H1499" s="1441"/>
      <c r="I1499" s="1441"/>
      <c r="J1499" s="1441"/>
      <c r="K1499" s="2314" t="str">
        <f t="shared" si="420"/>
        <v>--</v>
      </c>
      <c r="L1499" s="2314" t="str">
        <f t="shared" si="420"/>
        <v>--</v>
      </c>
      <c r="M1499" s="2314" t="str">
        <f t="shared" si="420"/>
        <v>--</v>
      </c>
      <c r="N1499" s="2314" t="str">
        <f t="shared" si="420"/>
        <v>--</v>
      </c>
      <c r="O1499" s="2315" t="str">
        <f t="shared" si="420"/>
        <v>--</v>
      </c>
      <c r="P1499" s="2314" t="str">
        <f t="shared" si="420"/>
        <v>--</v>
      </c>
      <c r="Q1499" s="89"/>
      <c r="R1499" s="89"/>
      <c r="S1499" s="89"/>
      <c r="T1499" s="1513"/>
      <c r="U1499" s="89"/>
      <c r="V1499" s="89"/>
      <c r="W1499" s="89"/>
      <c r="X1499" s="89"/>
      <c r="Y1499" s="89"/>
      <c r="Z1499" s="89"/>
      <c r="AA1499" s="89"/>
      <c r="AB1499" s="89"/>
      <c r="AC1499" s="89"/>
      <c r="AD1499" s="89"/>
      <c r="AE1499" s="89"/>
      <c r="AF1499" s="89"/>
      <c r="AG1499" s="2060"/>
      <c r="AH1499" s="2060"/>
      <c r="AI1499" s="2060"/>
      <c r="AJ1499" s="2060"/>
      <c r="AK1499" s="2060"/>
      <c r="AL1499" s="2060"/>
      <c r="AM1499" s="2060"/>
      <c r="AN1499" s="2060"/>
      <c r="AO1499" s="2060"/>
      <c r="AP1499" s="2060"/>
      <c r="AQ1499" s="2060"/>
      <c r="AR1499" s="2060"/>
      <c r="AS1499" s="2060"/>
      <c r="AT1499" s="2060"/>
      <c r="AU1499" s="2060"/>
      <c r="AV1499" s="2060"/>
      <c r="AW1499" s="2060"/>
      <c r="AX1499" s="2060"/>
      <c r="AY1499" s="2060"/>
      <c r="AZ1499" s="2060"/>
      <c r="BA1499" s="2060"/>
      <c r="BB1499" s="2060"/>
      <c r="BC1499" s="2060"/>
      <c r="BD1499" s="2060"/>
      <c r="BE1499" s="2060"/>
      <c r="BF1499" s="2060"/>
      <c r="BG1499" s="2060"/>
      <c r="BH1499" s="2060"/>
      <c r="BI1499" s="2060"/>
      <c r="BJ1499" s="2060"/>
      <c r="BK1499" s="2060"/>
      <c r="BL1499" s="2060"/>
      <c r="BM1499" s="2060"/>
      <c r="BN1499" s="2060"/>
      <c r="BO1499" s="2060"/>
      <c r="BP1499" s="2060"/>
      <c r="BQ1499" s="2060"/>
      <c r="BR1499" s="2060"/>
      <c r="BS1499" s="2060"/>
      <c r="BT1499" s="2060"/>
      <c r="BU1499" s="2060"/>
      <c r="BV1499" s="2060"/>
      <c r="BW1499" s="2060"/>
      <c r="BX1499" s="2060"/>
      <c r="BY1499" s="2060"/>
      <c r="BZ1499" s="2060"/>
      <c r="CA1499" s="2060"/>
      <c r="CB1499" s="2060"/>
      <c r="CC1499" s="2060"/>
      <c r="CD1499" s="2060"/>
      <c r="CE1499" s="2060"/>
      <c r="CF1499" s="2060"/>
      <c r="CG1499" s="2060"/>
      <c r="CH1499" s="2060"/>
      <c r="CI1499" s="2060"/>
      <c r="CJ1499" s="2060"/>
      <c r="CK1499" s="2060"/>
      <c r="CL1499" s="2060"/>
      <c r="CM1499" s="2060"/>
      <c r="CN1499" s="2060"/>
      <c r="CO1499" s="2060"/>
      <c r="CP1499" s="2060"/>
      <c r="CQ1499" s="2060"/>
      <c r="CR1499" s="2060"/>
      <c r="CS1499" s="2060"/>
      <c r="CT1499" s="2060"/>
      <c r="CU1499" s="2060"/>
      <c r="CV1499" s="2060"/>
      <c r="CW1499" s="2060"/>
      <c r="CX1499" s="2060"/>
      <c r="CY1499" s="2060"/>
      <c r="CZ1499" s="2060"/>
      <c r="DA1499" s="2060"/>
      <c r="DB1499" s="2060"/>
      <c r="DC1499" s="2060"/>
      <c r="DD1499" s="2060"/>
      <c r="DE1499" s="2060"/>
      <c r="DF1499" s="2060"/>
      <c r="DG1499" s="2060"/>
      <c r="DH1499" s="2060"/>
      <c r="DI1499" s="2060"/>
      <c r="DJ1499" s="2060"/>
      <c r="DK1499" s="2060"/>
      <c r="DL1499" s="2060"/>
      <c r="DM1499" s="2060"/>
      <c r="DN1499" s="2060"/>
      <c r="DO1499" s="2060"/>
      <c r="DP1499" s="2060"/>
      <c r="DQ1499" s="2060"/>
      <c r="DR1499" s="2060"/>
      <c r="DS1499" s="2060"/>
      <c r="DT1499" s="2060"/>
      <c r="DU1499" s="2060"/>
      <c r="DV1499" s="2060"/>
      <c r="DW1499" s="2060"/>
      <c r="DX1499" s="2060"/>
      <c r="DY1499" s="2060"/>
      <c r="DZ1499" s="2060"/>
      <c r="EA1499" s="2060"/>
      <c r="EB1499" s="2060"/>
      <c r="EC1499" s="2060"/>
      <c r="ED1499" s="2060"/>
      <c r="EE1499" s="2060"/>
      <c r="EF1499" s="2060"/>
      <c r="EG1499" s="2060"/>
      <c r="EH1499" s="2060"/>
      <c r="EI1499" s="2060"/>
      <c r="EJ1499" s="2060"/>
      <c r="EK1499" s="2060"/>
      <c r="EL1499" s="2060"/>
      <c r="EM1499" s="2060"/>
      <c r="EN1499" s="2060"/>
      <c r="EO1499" s="2060"/>
      <c r="EP1499" s="2060"/>
      <c r="EQ1499" s="2060"/>
      <c r="ER1499" s="2060"/>
      <c r="ES1499" s="2060"/>
      <c r="ET1499" s="2060"/>
      <c r="EU1499" s="2060"/>
      <c r="EV1499" s="2060"/>
      <c r="EW1499" s="2060"/>
      <c r="EX1499" s="2060"/>
      <c r="EY1499" s="2060"/>
      <c r="EZ1499" s="2060"/>
      <c r="FA1499" s="2060"/>
      <c r="FB1499" s="2060"/>
      <c r="FC1499" s="2060"/>
      <c r="FD1499" s="2060"/>
      <c r="FE1499" s="2060"/>
      <c r="FF1499" s="2060"/>
      <c r="FG1499" s="2060"/>
      <c r="FH1499" s="2060"/>
      <c r="FI1499" s="2060"/>
      <c r="FJ1499" s="2060"/>
      <c r="FK1499" s="2060"/>
      <c r="FL1499" s="2060"/>
      <c r="FM1499" s="2060"/>
      <c r="FN1499" s="2060"/>
      <c r="FO1499" s="2060"/>
      <c r="FP1499" s="2060"/>
      <c r="FQ1499" s="2060"/>
      <c r="FR1499" s="2060"/>
      <c r="FS1499" s="2060"/>
      <c r="FT1499" s="2060"/>
      <c r="FU1499" s="2060"/>
      <c r="FV1499" s="2060"/>
      <c r="FW1499" s="2060"/>
      <c r="FX1499" s="2060"/>
      <c r="FY1499" s="2060"/>
      <c r="FZ1499" s="2060"/>
      <c r="GA1499" s="2060"/>
      <c r="GB1499" s="2060"/>
      <c r="GC1499" s="2060"/>
      <c r="GD1499" s="2060"/>
      <c r="GE1499" s="2060"/>
      <c r="GF1499" s="2060"/>
      <c r="GG1499" s="2060"/>
      <c r="GH1499" s="2060"/>
      <c r="GI1499" s="2060"/>
      <c r="GJ1499" s="2060"/>
      <c r="GK1499" s="2060"/>
      <c r="GL1499" s="2060"/>
      <c r="GM1499" s="2060"/>
      <c r="GN1499" s="2060"/>
      <c r="GO1499" s="2060"/>
      <c r="GP1499" s="2060"/>
      <c r="GQ1499" s="2060"/>
      <c r="GR1499" s="2060"/>
      <c r="GS1499" s="2060"/>
      <c r="GT1499" s="2060"/>
      <c r="GU1499" s="2060"/>
      <c r="GV1499" s="2060"/>
      <c r="GW1499" s="2060"/>
      <c r="GX1499" s="2060"/>
      <c r="GY1499" s="2060"/>
      <c r="GZ1499" s="2060"/>
      <c r="HA1499" s="2060"/>
      <c r="HB1499" s="2060"/>
      <c r="HC1499" s="2060"/>
      <c r="HD1499" s="2060"/>
      <c r="HE1499" s="2060"/>
      <c r="HF1499" s="2060"/>
      <c r="HG1499" s="2060"/>
      <c r="HH1499" s="2060"/>
      <c r="HI1499" s="2060"/>
      <c r="HJ1499" s="2060"/>
      <c r="HK1499" s="2060"/>
      <c r="HL1499" s="2060"/>
      <c r="HM1499" s="2060"/>
      <c r="HN1499" s="2060"/>
      <c r="HO1499" s="2060"/>
      <c r="HP1499" s="2060"/>
      <c r="HQ1499" s="2060"/>
      <c r="HR1499" s="2060"/>
      <c r="HS1499" s="2060"/>
      <c r="HT1499" s="2060"/>
      <c r="HU1499" s="2060"/>
      <c r="HV1499" s="2060"/>
      <c r="HW1499" s="2060"/>
      <c r="HX1499" s="2060"/>
      <c r="HY1499" s="2060"/>
      <c r="HZ1499" s="2060"/>
      <c r="IA1499" s="2060"/>
      <c r="IB1499" s="2060"/>
      <c r="IC1499" s="2060"/>
      <c r="ID1499" s="2060"/>
      <c r="IE1499" s="2060"/>
      <c r="IF1499" s="2060"/>
      <c r="IG1499" s="2060"/>
      <c r="IH1499" s="2060"/>
      <c r="II1499" s="2060"/>
      <c r="IJ1499" s="2060"/>
      <c r="IK1499" s="2060"/>
      <c r="IL1499" s="2060"/>
      <c r="IM1499" s="2060"/>
      <c r="IN1499" s="2060"/>
      <c r="IO1499" s="2060"/>
      <c r="IP1499" s="2060"/>
      <c r="IQ1499" s="2060"/>
      <c r="IR1499" s="2060"/>
      <c r="IS1499" s="2060"/>
      <c r="IT1499" s="2060"/>
      <c r="IU1499" s="2060"/>
      <c r="IV1499" s="2060"/>
      <c r="IW1499" s="2060"/>
      <c r="IX1499" s="2060"/>
      <c r="IY1499" s="2060"/>
      <c r="IZ1499" s="2060"/>
      <c r="JA1499" s="2060"/>
      <c r="JB1499" s="2060"/>
      <c r="JC1499" s="2060"/>
      <c r="JD1499" s="2060"/>
      <c r="JE1499" s="2060"/>
      <c r="JF1499" s="2060"/>
      <c r="JG1499" s="2060"/>
      <c r="JH1499" s="2060"/>
      <c r="JI1499" s="2060"/>
      <c r="JJ1499" s="2060"/>
      <c r="JK1499" s="2060"/>
      <c r="JL1499" s="2060"/>
      <c r="JM1499" s="2060"/>
      <c r="JN1499" s="2060"/>
      <c r="JO1499" s="2060"/>
      <c r="JP1499" s="2060"/>
      <c r="JQ1499" s="2060"/>
      <c r="JR1499" s="2060"/>
      <c r="JS1499" s="2060"/>
      <c r="JT1499" s="2060"/>
      <c r="JU1499" s="2060"/>
      <c r="JV1499" s="2060"/>
      <c r="JW1499" s="2060"/>
      <c r="JX1499" s="2060"/>
      <c r="JY1499" s="2060"/>
      <c r="JZ1499" s="2060"/>
      <c r="KA1499" s="2060"/>
      <c r="KB1499" s="2060"/>
      <c r="KC1499" s="2060"/>
      <c r="KD1499" s="2060"/>
      <c r="KE1499" s="2060"/>
      <c r="KF1499" s="2060"/>
      <c r="KG1499" s="2060"/>
      <c r="KH1499" s="2060"/>
      <c r="KI1499" s="2060"/>
      <c r="KJ1499" s="2060"/>
      <c r="KK1499" s="2060"/>
      <c r="KL1499" s="2060"/>
      <c r="KM1499" s="2060"/>
      <c r="KN1499" s="2060"/>
      <c r="KO1499" s="2060"/>
      <c r="KP1499" s="2060"/>
      <c r="KQ1499" s="2060"/>
      <c r="KR1499" s="2060"/>
      <c r="KS1499" s="2060"/>
      <c r="KT1499" s="2060"/>
      <c r="KU1499" s="2060"/>
      <c r="KV1499" s="2060"/>
      <c r="KW1499" s="2060"/>
      <c r="KX1499" s="2060"/>
      <c r="KY1499" s="2060"/>
      <c r="KZ1499" s="2060"/>
      <c r="LA1499" s="2060"/>
      <c r="LB1499" s="2060"/>
      <c r="LC1499" s="2060"/>
      <c r="LD1499" s="2060"/>
      <c r="LE1499" s="2060"/>
      <c r="LF1499" s="2060"/>
      <c r="LG1499" s="2060"/>
      <c r="LH1499" s="2060"/>
    </row>
    <row r="1500" spans="1:320" s="449" customFormat="1" ht="13.9">
      <c r="A1500" s="269" t="str">
        <f t="shared" si="421"/>
        <v>n</v>
      </c>
      <c r="B1500" s="2060"/>
      <c r="C1500" s="72"/>
      <c r="D1500" s="801"/>
      <c r="E1500" s="1505">
        <v>6</v>
      </c>
      <c r="F1500" s="21" t="str">
        <f>F$134</f>
        <v>--</v>
      </c>
      <c r="G1500" s="1441">
        <f>G$134</f>
        <v>0</v>
      </c>
      <c r="H1500" s="1441"/>
      <c r="I1500" s="1441"/>
      <c r="J1500" s="1441"/>
      <c r="K1500" s="2314" t="str">
        <f t="shared" si="420"/>
        <v>--</v>
      </c>
      <c r="L1500" s="2314" t="str">
        <f t="shared" si="420"/>
        <v>--</v>
      </c>
      <c r="M1500" s="2314" t="str">
        <f t="shared" si="420"/>
        <v>--</v>
      </c>
      <c r="N1500" s="2314" t="str">
        <f t="shared" si="420"/>
        <v>--</v>
      </c>
      <c r="O1500" s="2315" t="str">
        <f t="shared" si="420"/>
        <v>--</v>
      </c>
      <c r="P1500" s="2314" t="str">
        <f t="shared" si="420"/>
        <v>--</v>
      </c>
      <c r="Q1500" s="89"/>
      <c r="R1500" s="89"/>
      <c r="S1500" s="89"/>
      <c r="T1500" s="1513"/>
      <c r="U1500" s="89"/>
      <c r="V1500" s="89"/>
      <c r="W1500" s="89"/>
      <c r="X1500" s="89"/>
      <c r="Y1500" s="89"/>
      <c r="Z1500" s="89"/>
      <c r="AA1500" s="89"/>
      <c r="AB1500" s="89"/>
      <c r="AC1500" s="89"/>
      <c r="AD1500" s="89"/>
      <c r="AE1500" s="89"/>
      <c r="AF1500" s="89"/>
      <c r="AG1500" s="2060"/>
      <c r="AH1500" s="2060"/>
      <c r="AI1500" s="2060"/>
      <c r="AJ1500" s="2060"/>
      <c r="AK1500" s="2060"/>
      <c r="AL1500" s="2060"/>
      <c r="AM1500" s="2060"/>
      <c r="AN1500" s="2060"/>
      <c r="AO1500" s="2060"/>
      <c r="AP1500" s="2060"/>
      <c r="AQ1500" s="2060"/>
      <c r="AR1500" s="2060"/>
      <c r="AS1500" s="2060"/>
      <c r="AT1500" s="2060"/>
      <c r="AU1500" s="2060"/>
      <c r="AV1500" s="2060"/>
      <c r="AW1500" s="2060"/>
      <c r="AX1500" s="2060"/>
      <c r="AY1500" s="2060"/>
      <c r="AZ1500" s="2060"/>
      <c r="BA1500" s="2060"/>
      <c r="BB1500" s="2060"/>
      <c r="BC1500" s="2060"/>
      <c r="BD1500" s="2060"/>
      <c r="BE1500" s="2060"/>
      <c r="BF1500" s="2060"/>
      <c r="BG1500" s="2060"/>
      <c r="BH1500" s="2060"/>
      <c r="BI1500" s="2060"/>
      <c r="BJ1500" s="2060"/>
      <c r="BK1500" s="2060"/>
      <c r="BL1500" s="2060"/>
      <c r="BM1500" s="2060"/>
      <c r="BN1500" s="2060"/>
      <c r="BO1500" s="2060"/>
      <c r="BP1500" s="2060"/>
      <c r="BQ1500" s="2060"/>
      <c r="BR1500" s="2060"/>
      <c r="BS1500" s="2060"/>
      <c r="BT1500" s="2060"/>
      <c r="BU1500" s="2060"/>
      <c r="BV1500" s="2060"/>
      <c r="BW1500" s="2060"/>
      <c r="BX1500" s="2060"/>
      <c r="BY1500" s="2060"/>
      <c r="BZ1500" s="2060"/>
      <c r="CA1500" s="2060"/>
      <c r="CB1500" s="2060"/>
      <c r="CC1500" s="2060"/>
      <c r="CD1500" s="2060"/>
      <c r="CE1500" s="2060"/>
      <c r="CF1500" s="2060"/>
      <c r="CG1500" s="2060"/>
      <c r="CH1500" s="2060"/>
      <c r="CI1500" s="2060"/>
      <c r="CJ1500" s="2060"/>
      <c r="CK1500" s="2060"/>
      <c r="CL1500" s="2060"/>
      <c r="CM1500" s="2060"/>
      <c r="CN1500" s="2060"/>
      <c r="CO1500" s="2060"/>
      <c r="CP1500" s="2060"/>
      <c r="CQ1500" s="2060"/>
      <c r="CR1500" s="2060"/>
      <c r="CS1500" s="2060"/>
      <c r="CT1500" s="2060"/>
      <c r="CU1500" s="2060"/>
      <c r="CV1500" s="2060"/>
      <c r="CW1500" s="2060"/>
      <c r="CX1500" s="2060"/>
      <c r="CY1500" s="2060"/>
      <c r="CZ1500" s="2060"/>
      <c r="DA1500" s="2060"/>
      <c r="DB1500" s="2060"/>
      <c r="DC1500" s="2060"/>
      <c r="DD1500" s="2060"/>
      <c r="DE1500" s="2060"/>
      <c r="DF1500" s="2060"/>
      <c r="DG1500" s="2060"/>
      <c r="DH1500" s="2060"/>
      <c r="DI1500" s="2060"/>
      <c r="DJ1500" s="2060"/>
      <c r="DK1500" s="2060"/>
      <c r="DL1500" s="2060"/>
      <c r="DM1500" s="2060"/>
      <c r="DN1500" s="2060"/>
      <c r="DO1500" s="2060"/>
      <c r="DP1500" s="2060"/>
      <c r="DQ1500" s="2060"/>
      <c r="DR1500" s="2060"/>
      <c r="DS1500" s="2060"/>
      <c r="DT1500" s="2060"/>
      <c r="DU1500" s="2060"/>
      <c r="DV1500" s="2060"/>
      <c r="DW1500" s="2060"/>
      <c r="DX1500" s="2060"/>
      <c r="DY1500" s="2060"/>
      <c r="DZ1500" s="2060"/>
      <c r="EA1500" s="2060"/>
      <c r="EB1500" s="2060"/>
      <c r="EC1500" s="2060"/>
      <c r="ED1500" s="2060"/>
      <c r="EE1500" s="2060"/>
      <c r="EF1500" s="2060"/>
      <c r="EG1500" s="2060"/>
      <c r="EH1500" s="2060"/>
      <c r="EI1500" s="2060"/>
      <c r="EJ1500" s="2060"/>
      <c r="EK1500" s="2060"/>
      <c r="EL1500" s="2060"/>
      <c r="EM1500" s="2060"/>
      <c r="EN1500" s="2060"/>
      <c r="EO1500" s="2060"/>
      <c r="EP1500" s="2060"/>
      <c r="EQ1500" s="2060"/>
      <c r="ER1500" s="2060"/>
      <c r="ES1500" s="2060"/>
      <c r="ET1500" s="2060"/>
      <c r="EU1500" s="2060"/>
      <c r="EV1500" s="2060"/>
      <c r="EW1500" s="2060"/>
      <c r="EX1500" s="2060"/>
      <c r="EY1500" s="2060"/>
      <c r="EZ1500" s="2060"/>
      <c r="FA1500" s="2060"/>
      <c r="FB1500" s="2060"/>
      <c r="FC1500" s="2060"/>
      <c r="FD1500" s="2060"/>
      <c r="FE1500" s="2060"/>
      <c r="FF1500" s="2060"/>
      <c r="FG1500" s="2060"/>
      <c r="FH1500" s="2060"/>
      <c r="FI1500" s="2060"/>
      <c r="FJ1500" s="2060"/>
      <c r="FK1500" s="2060"/>
      <c r="FL1500" s="2060"/>
      <c r="FM1500" s="2060"/>
      <c r="FN1500" s="2060"/>
      <c r="FO1500" s="2060"/>
      <c r="FP1500" s="2060"/>
      <c r="FQ1500" s="2060"/>
      <c r="FR1500" s="2060"/>
      <c r="FS1500" s="2060"/>
      <c r="FT1500" s="2060"/>
      <c r="FU1500" s="2060"/>
      <c r="FV1500" s="2060"/>
      <c r="FW1500" s="2060"/>
      <c r="FX1500" s="2060"/>
      <c r="FY1500" s="2060"/>
      <c r="FZ1500" s="2060"/>
      <c r="GA1500" s="2060"/>
      <c r="GB1500" s="2060"/>
      <c r="GC1500" s="2060"/>
      <c r="GD1500" s="2060"/>
      <c r="GE1500" s="2060"/>
      <c r="GF1500" s="2060"/>
      <c r="GG1500" s="2060"/>
      <c r="GH1500" s="2060"/>
      <c r="GI1500" s="2060"/>
      <c r="GJ1500" s="2060"/>
      <c r="GK1500" s="2060"/>
      <c r="GL1500" s="2060"/>
      <c r="GM1500" s="2060"/>
      <c r="GN1500" s="2060"/>
      <c r="GO1500" s="2060"/>
      <c r="GP1500" s="2060"/>
      <c r="GQ1500" s="2060"/>
      <c r="GR1500" s="2060"/>
      <c r="GS1500" s="2060"/>
      <c r="GT1500" s="2060"/>
      <c r="GU1500" s="2060"/>
      <c r="GV1500" s="2060"/>
      <c r="GW1500" s="2060"/>
      <c r="GX1500" s="2060"/>
      <c r="GY1500" s="2060"/>
      <c r="GZ1500" s="2060"/>
      <c r="HA1500" s="2060"/>
      <c r="HB1500" s="2060"/>
      <c r="HC1500" s="2060"/>
      <c r="HD1500" s="2060"/>
      <c r="HE1500" s="2060"/>
      <c r="HF1500" s="2060"/>
      <c r="HG1500" s="2060"/>
      <c r="HH1500" s="2060"/>
      <c r="HI1500" s="2060"/>
      <c r="HJ1500" s="2060"/>
      <c r="HK1500" s="2060"/>
      <c r="HL1500" s="2060"/>
      <c r="HM1500" s="2060"/>
      <c r="HN1500" s="2060"/>
      <c r="HO1500" s="2060"/>
      <c r="HP1500" s="2060"/>
      <c r="HQ1500" s="2060"/>
      <c r="HR1500" s="2060"/>
      <c r="HS1500" s="2060"/>
      <c r="HT1500" s="2060"/>
      <c r="HU1500" s="2060"/>
      <c r="HV1500" s="2060"/>
      <c r="HW1500" s="2060"/>
      <c r="HX1500" s="2060"/>
      <c r="HY1500" s="2060"/>
      <c r="HZ1500" s="2060"/>
      <c r="IA1500" s="2060"/>
      <c r="IB1500" s="2060"/>
      <c r="IC1500" s="2060"/>
      <c r="ID1500" s="2060"/>
      <c r="IE1500" s="2060"/>
      <c r="IF1500" s="2060"/>
      <c r="IG1500" s="2060"/>
      <c r="IH1500" s="2060"/>
      <c r="II1500" s="2060"/>
      <c r="IJ1500" s="2060"/>
      <c r="IK1500" s="2060"/>
      <c r="IL1500" s="2060"/>
      <c r="IM1500" s="2060"/>
      <c r="IN1500" s="2060"/>
      <c r="IO1500" s="2060"/>
      <c r="IP1500" s="2060"/>
      <c r="IQ1500" s="2060"/>
      <c r="IR1500" s="2060"/>
      <c r="IS1500" s="2060"/>
      <c r="IT1500" s="2060"/>
      <c r="IU1500" s="2060"/>
      <c r="IV1500" s="2060"/>
      <c r="IW1500" s="2060"/>
      <c r="IX1500" s="2060"/>
      <c r="IY1500" s="2060"/>
      <c r="IZ1500" s="2060"/>
      <c r="JA1500" s="2060"/>
      <c r="JB1500" s="2060"/>
      <c r="JC1500" s="2060"/>
      <c r="JD1500" s="2060"/>
      <c r="JE1500" s="2060"/>
      <c r="JF1500" s="2060"/>
      <c r="JG1500" s="2060"/>
      <c r="JH1500" s="2060"/>
      <c r="JI1500" s="2060"/>
      <c r="JJ1500" s="2060"/>
      <c r="JK1500" s="2060"/>
      <c r="JL1500" s="2060"/>
      <c r="JM1500" s="2060"/>
      <c r="JN1500" s="2060"/>
      <c r="JO1500" s="2060"/>
      <c r="JP1500" s="2060"/>
      <c r="JQ1500" s="2060"/>
      <c r="JR1500" s="2060"/>
      <c r="JS1500" s="2060"/>
      <c r="JT1500" s="2060"/>
      <c r="JU1500" s="2060"/>
      <c r="JV1500" s="2060"/>
      <c r="JW1500" s="2060"/>
      <c r="JX1500" s="2060"/>
      <c r="JY1500" s="2060"/>
      <c r="JZ1500" s="2060"/>
      <c r="KA1500" s="2060"/>
      <c r="KB1500" s="2060"/>
      <c r="KC1500" s="2060"/>
      <c r="KD1500" s="2060"/>
      <c r="KE1500" s="2060"/>
      <c r="KF1500" s="2060"/>
      <c r="KG1500" s="2060"/>
      <c r="KH1500" s="2060"/>
      <c r="KI1500" s="2060"/>
      <c r="KJ1500" s="2060"/>
      <c r="KK1500" s="2060"/>
      <c r="KL1500" s="2060"/>
      <c r="KM1500" s="2060"/>
      <c r="KN1500" s="2060"/>
      <c r="KO1500" s="2060"/>
      <c r="KP1500" s="2060"/>
      <c r="KQ1500" s="2060"/>
      <c r="KR1500" s="2060"/>
      <c r="KS1500" s="2060"/>
      <c r="KT1500" s="2060"/>
      <c r="KU1500" s="2060"/>
      <c r="KV1500" s="2060"/>
      <c r="KW1500" s="2060"/>
      <c r="KX1500" s="2060"/>
      <c r="KY1500" s="2060"/>
      <c r="KZ1500" s="2060"/>
      <c r="LA1500" s="2060"/>
      <c r="LB1500" s="2060"/>
      <c r="LC1500" s="2060"/>
      <c r="LD1500" s="2060"/>
      <c r="LE1500" s="2060"/>
      <c r="LF1500" s="2060"/>
      <c r="LG1500" s="2060"/>
      <c r="LH1500" s="2060"/>
    </row>
    <row r="1501" spans="1:320" s="449" customFormat="1" ht="13.9">
      <c r="A1501" s="269" t="str">
        <f t="shared" si="421"/>
        <v>n</v>
      </c>
      <c r="B1501" s="2060"/>
      <c r="C1501" s="89"/>
      <c r="D1501" s="801"/>
      <c r="E1501" s="1505">
        <v>7</v>
      </c>
      <c r="F1501" s="21" t="str">
        <f>F$135</f>
        <v>--</v>
      </c>
      <c r="G1501" s="1441">
        <f>G$135</f>
        <v>0</v>
      </c>
      <c r="H1501" s="1441"/>
      <c r="I1501" s="1441"/>
      <c r="J1501" s="1441"/>
      <c r="K1501" s="2314" t="str">
        <f t="shared" si="420"/>
        <v>--</v>
      </c>
      <c r="L1501" s="2314" t="str">
        <f t="shared" si="420"/>
        <v>--</v>
      </c>
      <c r="M1501" s="2314" t="str">
        <f t="shared" si="420"/>
        <v>--</v>
      </c>
      <c r="N1501" s="2314" t="str">
        <f t="shared" si="420"/>
        <v>--</v>
      </c>
      <c r="O1501" s="2315" t="str">
        <f t="shared" si="420"/>
        <v>--</v>
      </c>
      <c r="P1501" s="2314" t="str">
        <f t="shared" si="420"/>
        <v>--</v>
      </c>
      <c r="Q1501" s="89"/>
      <c r="R1501" s="89"/>
      <c r="S1501" s="89"/>
      <c r="T1501" s="1513"/>
      <c r="U1501" s="89"/>
      <c r="V1501" s="89"/>
      <c r="W1501" s="89"/>
      <c r="X1501" s="89"/>
      <c r="Y1501" s="89"/>
      <c r="Z1501" s="89"/>
      <c r="AA1501" s="89"/>
      <c r="AB1501" s="89"/>
      <c r="AC1501" s="89"/>
      <c r="AD1501" s="89"/>
      <c r="AE1501" s="89"/>
      <c r="AF1501" s="89"/>
      <c r="AG1501" s="2060"/>
      <c r="AH1501" s="2060"/>
      <c r="AI1501" s="2060"/>
      <c r="AJ1501" s="2060"/>
      <c r="AK1501" s="2060"/>
      <c r="AL1501" s="2060"/>
      <c r="AM1501" s="2060"/>
      <c r="AN1501" s="2060"/>
      <c r="AO1501" s="2060"/>
      <c r="AP1501" s="2060"/>
      <c r="AQ1501" s="2060"/>
      <c r="AR1501" s="2060"/>
      <c r="AS1501" s="2060"/>
      <c r="AT1501" s="2060"/>
      <c r="AU1501" s="2060"/>
      <c r="AV1501" s="2060"/>
      <c r="AW1501" s="2060"/>
      <c r="AX1501" s="2060"/>
      <c r="AY1501" s="2060"/>
      <c r="AZ1501" s="2060"/>
      <c r="BA1501" s="2060"/>
      <c r="BB1501" s="2060"/>
      <c r="BC1501" s="2060"/>
      <c r="BD1501" s="2060"/>
      <c r="BE1501" s="2060"/>
      <c r="BF1501" s="2060"/>
      <c r="BG1501" s="2060"/>
      <c r="BH1501" s="2060"/>
      <c r="BI1501" s="2060"/>
      <c r="BJ1501" s="2060"/>
      <c r="BK1501" s="2060"/>
      <c r="BL1501" s="2060"/>
      <c r="BM1501" s="2060"/>
      <c r="BN1501" s="2060"/>
      <c r="BO1501" s="2060"/>
      <c r="BP1501" s="2060"/>
      <c r="BQ1501" s="2060"/>
      <c r="BR1501" s="2060"/>
      <c r="BS1501" s="2060"/>
      <c r="BT1501" s="2060"/>
      <c r="BU1501" s="2060"/>
      <c r="BV1501" s="2060"/>
      <c r="BW1501" s="2060"/>
      <c r="BX1501" s="2060"/>
      <c r="BY1501" s="2060"/>
      <c r="BZ1501" s="2060"/>
      <c r="CA1501" s="2060"/>
      <c r="CB1501" s="2060"/>
      <c r="CC1501" s="2060"/>
      <c r="CD1501" s="2060"/>
      <c r="CE1501" s="2060"/>
      <c r="CF1501" s="2060"/>
      <c r="CG1501" s="2060"/>
      <c r="CH1501" s="2060"/>
      <c r="CI1501" s="2060"/>
      <c r="CJ1501" s="2060"/>
      <c r="CK1501" s="2060"/>
      <c r="CL1501" s="2060"/>
      <c r="CM1501" s="2060"/>
      <c r="CN1501" s="2060"/>
      <c r="CO1501" s="2060"/>
      <c r="CP1501" s="2060"/>
      <c r="CQ1501" s="2060"/>
      <c r="CR1501" s="2060"/>
      <c r="CS1501" s="2060"/>
      <c r="CT1501" s="2060"/>
      <c r="CU1501" s="2060"/>
      <c r="CV1501" s="2060"/>
      <c r="CW1501" s="2060"/>
      <c r="CX1501" s="2060"/>
      <c r="CY1501" s="2060"/>
      <c r="CZ1501" s="2060"/>
      <c r="DA1501" s="2060"/>
      <c r="DB1501" s="2060"/>
      <c r="DC1501" s="2060"/>
      <c r="DD1501" s="2060"/>
      <c r="DE1501" s="2060"/>
      <c r="DF1501" s="2060"/>
      <c r="DG1501" s="2060"/>
      <c r="DH1501" s="2060"/>
      <c r="DI1501" s="2060"/>
      <c r="DJ1501" s="2060"/>
      <c r="DK1501" s="2060"/>
      <c r="DL1501" s="2060"/>
      <c r="DM1501" s="2060"/>
      <c r="DN1501" s="2060"/>
      <c r="DO1501" s="2060"/>
      <c r="DP1501" s="2060"/>
      <c r="DQ1501" s="2060"/>
      <c r="DR1501" s="2060"/>
      <c r="DS1501" s="2060"/>
      <c r="DT1501" s="2060"/>
      <c r="DU1501" s="2060"/>
      <c r="DV1501" s="2060"/>
      <c r="DW1501" s="2060"/>
      <c r="DX1501" s="2060"/>
      <c r="DY1501" s="2060"/>
      <c r="DZ1501" s="2060"/>
      <c r="EA1501" s="2060"/>
      <c r="EB1501" s="2060"/>
      <c r="EC1501" s="2060"/>
      <c r="ED1501" s="2060"/>
      <c r="EE1501" s="2060"/>
      <c r="EF1501" s="2060"/>
      <c r="EG1501" s="2060"/>
      <c r="EH1501" s="2060"/>
      <c r="EI1501" s="2060"/>
      <c r="EJ1501" s="2060"/>
      <c r="EK1501" s="2060"/>
      <c r="EL1501" s="2060"/>
      <c r="EM1501" s="2060"/>
      <c r="EN1501" s="2060"/>
      <c r="EO1501" s="2060"/>
      <c r="EP1501" s="2060"/>
      <c r="EQ1501" s="2060"/>
      <c r="ER1501" s="2060"/>
      <c r="ES1501" s="2060"/>
      <c r="ET1501" s="2060"/>
      <c r="EU1501" s="2060"/>
      <c r="EV1501" s="2060"/>
      <c r="EW1501" s="2060"/>
      <c r="EX1501" s="2060"/>
      <c r="EY1501" s="2060"/>
      <c r="EZ1501" s="2060"/>
      <c r="FA1501" s="2060"/>
      <c r="FB1501" s="2060"/>
      <c r="FC1501" s="2060"/>
      <c r="FD1501" s="2060"/>
      <c r="FE1501" s="2060"/>
      <c r="FF1501" s="2060"/>
      <c r="FG1501" s="2060"/>
      <c r="FH1501" s="2060"/>
      <c r="FI1501" s="2060"/>
      <c r="FJ1501" s="2060"/>
      <c r="FK1501" s="2060"/>
      <c r="FL1501" s="2060"/>
      <c r="FM1501" s="2060"/>
      <c r="FN1501" s="2060"/>
      <c r="FO1501" s="2060"/>
      <c r="FP1501" s="2060"/>
      <c r="FQ1501" s="2060"/>
      <c r="FR1501" s="2060"/>
      <c r="FS1501" s="2060"/>
      <c r="FT1501" s="2060"/>
      <c r="FU1501" s="2060"/>
      <c r="FV1501" s="2060"/>
      <c r="FW1501" s="2060"/>
      <c r="FX1501" s="2060"/>
      <c r="FY1501" s="2060"/>
      <c r="FZ1501" s="2060"/>
      <c r="GA1501" s="2060"/>
      <c r="GB1501" s="2060"/>
      <c r="GC1501" s="2060"/>
      <c r="GD1501" s="2060"/>
      <c r="GE1501" s="2060"/>
      <c r="GF1501" s="2060"/>
      <c r="GG1501" s="2060"/>
      <c r="GH1501" s="2060"/>
      <c r="GI1501" s="2060"/>
      <c r="GJ1501" s="2060"/>
      <c r="GK1501" s="2060"/>
      <c r="GL1501" s="2060"/>
      <c r="GM1501" s="2060"/>
      <c r="GN1501" s="2060"/>
      <c r="GO1501" s="2060"/>
      <c r="GP1501" s="2060"/>
      <c r="GQ1501" s="2060"/>
      <c r="GR1501" s="2060"/>
      <c r="GS1501" s="2060"/>
      <c r="GT1501" s="2060"/>
      <c r="GU1501" s="2060"/>
      <c r="GV1501" s="2060"/>
      <c r="GW1501" s="2060"/>
      <c r="GX1501" s="2060"/>
      <c r="GY1501" s="2060"/>
      <c r="GZ1501" s="2060"/>
      <c r="HA1501" s="2060"/>
      <c r="HB1501" s="2060"/>
      <c r="HC1501" s="2060"/>
      <c r="HD1501" s="2060"/>
      <c r="HE1501" s="2060"/>
      <c r="HF1501" s="2060"/>
      <c r="HG1501" s="2060"/>
      <c r="HH1501" s="2060"/>
      <c r="HI1501" s="2060"/>
      <c r="HJ1501" s="2060"/>
      <c r="HK1501" s="2060"/>
      <c r="HL1501" s="2060"/>
      <c r="HM1501" s="2060"/>
      <c r="HN1501" s="2060"/>
      <c r="HO1501" s="2060"/>
      <c r="HP1501" s="2060"/>
      <c r="HQ1501" s="2060"/>
      <c r="HR1501" s="2060"/>
      <c r="HS1501" s="2060"/>
      <c r="HT1501" s="2060"/>
      <c r="HU1501" s="2060"/>
      <c r="HV1501" s="2060"/>
      <c r="HW1501" s="2060"/>
      <c r="HX1501" s="2060"/>
      <c r="HY1501" s="2060"/>
      <c r="HZ1501" s="2060"/>
      <c r="IA1501" s="2060"/>
      <c r="IB1501" s="2060"/>
      <c r="IC1501" s="2060"/>
      <c r="ID1501" s="2060"/>
      <c r="IE1501" s="2060"/>
      <c r="IF1501" s="2060"/>
      <c r="IG1501" s="2060"/>
      <c r="IH1501" s="2060"/>
      <c r="II1501" s="2060"/>
      <c r="IJ1501" s="2060"/>
      <c r="IK1501" s="2060"/>
      <c r="IL1501" s="2060"/>
      <c r="IM1501" s="2060"/>
      <c r="IN1501" s="2060"/>
      <c r="IO1501" s="2060"/>
      <c r="IP1501" s="2060"/>
      <c r="IQ1501" s="2060"/>
      <c r="IR1501" s="2060"/>
      <c r="IS1501" s="2060"/>
      <c r="IT1501" s="2060"/>
      <c r="IU1501" s="2060"/>
      <c r="IV1501" s="2060"/>
      <c r="IW1501" s="2060"/>
      <c r="IX1501" s="2060"/>
      <c r="IY1501" s="2060"/>
      <c r="IZ1501" s="2060"/>
      <c r="JA1501" s="2060"/>
      <c r="JB1501" s="2060"/>
      <c r="JC1501" s="2060"/>
      <c r="JD1501" s="2060"/>
      <c r="JE1501" s="2060"/>
      <c r="JF1501" s="2060"/>
      <c r="JG1501" s="2060"/>
      <c r="JH1501" s="2060"/>
      <c r="JI1501" s="2060"/>
      <c r="JJ1501" s="2060"/>
      <c r="JK1501" s="2060"/>
      <c r="JL1501" s="2060"/>
      <c r="JM1501" s="2060"/>
      <c r="JN1501" s="2060"/>
      <c r="JO1501" s="2060"/>
      <c r="JP1501" s="2060"/>
      <c r="JQ1501" s="2060"/>
      <c r="JR1501" s="2060"/>
      <c r="JS1501" s="2060"/>
      <c r="JT1501" s="2060"/>
      <c r="JU1501" s="2060"/>
      <c r="JV1501" s="2060"/>
      <c r="JW1501" s="2060"/>
      <c r="JX1501" s="2060"/>
      <c r="JY1501" s="2060"/>
      <c r="JZ1501" s="2060"/>
      <c r="KA1501" s="2060"/>
      <c r="KB1501" s="2060"/>
      <c r="KC1501" s="2060"/>
      <c r="KD1501" s="2060"/>
      <c r="KE1501" s="2060"/>
      <c r="KF1501" s="2060"/>
      <c r="KG1501" s="2060"/>
      <c r="KH1501" s="2060"/>
      <c r="KI1501" s="2060"/>
      <c r="KJ1501" s="2060"/>
      <c r="KK1501" s="2060"/>
      <c r="KL1501" s="2060"/>
      <c r="KM1501" s="2060"/>
      <c r="KN1501" s="2060"/>
      <c r="KO1501" s="2060"/>
      <c r="KP1501" s="2060"/>
      <c r="KQ1501" s="2060"/>
      <c r="KR1501" s="2060"/>
      <c r="KS1501" s="2060"/>
      <c r="KT1501" s="2060"/>
      <c r="KU1501" s="2060"/>
      <c r="KV1501" s="2060"/>
      <c r="KW1501" s="2060"/>
      <c r="KX1501" s="2060"/>
      <c r="KY1501" s="2060"/>
      <c r="KZ1501" s="2060"/>
      <c r="LA1501" s="2060"/>
      <c r="LB1501" s="2060"/>
      <c r="LC1501" s="2060"/>
      <c r="LD1501" s="2060"/>
      <c r="LE1501" s="2060"/>
      <c r="LF1501" s="2060"/>
      <c r="LG1501" s="2060"/>
      <c r="LH1501" s="2060"/>
    </row>
    <row r="1502" spans="1:320" s="449" customFormat="1" ht="13.9">
      <c r="A1502" s="269" t="str">
        <f t="shared" si="421"/>
        <v>n</v>
      </c>
      <c r="B1502" s="2060"/>
      <c r="C1502" s="89"/>
      <c r="D1502" s="801"/>
      <c r="E1502" s="1505">
        <v>8</v>
      </c>
      <c r="F1502" s="21" t="str">
        <f>F$136</f>
        <v>--</v>
      </c>
      <c r="G1502" s="1441">
        <f>G$136</f>
        <v>0</v>
      </c>
      <c r="H1502" s="1441"/>
      <c r="I1502" s="1441"/>
      <c r="J1502" s="1441"/>
      <c r="K1502" s="2314" t="str">
        <f t="shared" si="420"/>
        <v>--</v>
      </c>
      <c r="L1502" s="2314" t="str">
        <f t="shared" si="420"/>
        <v>--</v>
      </c>
      <c r="M1502" s="2314" t="str">
        <f t="shared" si="420"/>
        <v>--</v>
      </c>
      <c r="N1502" s="2314" t="str">
        <f t="shared" si="420"/>
        <v>--</v>
      </c>
      <c r="O1502" s="2315" t="str">
        <f t="shared" si="420"/>
        <v>--</v>
      </c>
      <c r="P1502" s="2314" t="str">
        <f t="shared" si="420"/>
        <v>--</v>
      </c>
      <c r="Q1502" s="89"/>
      <c r="R1502" s="89"/>
      <c r="S1502" s="89"/>
      <c r="T1502" s="1513"/>
      <c r="U1502" s="89"/>
      <c r="V1502" s="89"/>
      <c r="W1502" s="89"/>
      <c r="X1502" s="89"/>
      <c r="Y1502" s="89"/>
      <c r="Z1502" s="89"/>
      <c r="AA1502" s="89"/>
      <c r="AB1502" s="89"/>
      <c r="AC1502" s="89"/>
      <c r="AD1502" s="89"/>
      <c r="AE1502" s="89"/>
      <c r="AF1502" s="89"/>
      <c r="AG1502" s="2060"/>
      <c r="AH1502" s="2060"/>
      <c r="AI1502" s="2060"/>
      <c r="AJ1502" s="2060"/>
      <c r="AK1502" s="2060"/>
      <c r="AL1502" s="2060"/>
      <c r="AM1502" s="2060"/>
      <c r="AN1502" s="2060"/>
      <c r="AO1502" s="2060"/>
      <c r="AP1502" s="2060"/>
      <c r="AQ1502" s="2060"/>
      <c r="AR1502" s="2060"/>
      <c r="AS1502" s="2060"/>
      <c r="AT1502" s="2060"/>
      <c r="AU1502" s="2060"/>
      <c r="AV1502" s="2060"/>
      <c r="AW1502" s="2060"/>
      <c r="AX1502" s="2060"/>
      <c r="AY1502" s="2060"/>
      <c r="AZ1502" s="2060"/>
      <c r="BA1502" s="2060"/>
      <c r="BB1502" s="2060"/>
      <c r="BC1502" s="2060"/>
      <c r="BD1502" s="2060"/>
      <c r="BE1502" s="2060"/>
      <c r="BF1502" s="2060"/>
      <c r="BG1502" s="2060"/>
      <c r="BH1502" s="2060"/>
      <c r="BI1502" s="2060"/>
      <c r="BJ1502" s="2060"/>
      <c r="BK1502" s="2060"/>
      <c r="BL1502" s="2060"/>
      <c r="BM1502" s="2060"/>
      <c r="BN1502" s="2060"/>
      <c r="BO1502" s="2060"/>
      <c r="BP1502" s="2060"/>
      <c r="BQ1502" s="2060"/>
      <c r="BR1502" s="2060"/>
      <c r="BS1502" s="2060"/>
      <c r="BT1502" s="2060"/>
      <c r="BU1502" s="2060"/>
      <c r="BV1502" s="2060"/>
      <c r="BW1502" s="2060"/>
      <c r="BX1502" s="2060"/>
      <c r="BY1502" s="2060"/>
      <c r="BZ1502" s="2060"/>
      <c r="CA1502" s="2060"/>
      <c r="CB1502" s="2060"/>
      <c r="CC1502" s="2060"/>
      <c r="CD1502" s="2060"/>
      <c r="CE1502" s="2060"/>
      <c r="CF1502" s="2060"/>
      <c r="CG1502" s="2060"/>
      <c r="CH1502" s="2060"/>
      <c r="CI1502" s="2060"/>
      <c r="CJ1502" s="2060"/>
      <c r="CK1502" s="2060"/>
      <c r="CL1502" s="2060"/>
      <c r="CM1502" s="2060"/>
      <c r="CN1502" s="2060"/>
      <c r="CO1502" s="2060"/>
      <c r="CP1502" s="2060"/>
      <c r="CQ1502" s="2060"/>
      <c r="CR1502" s="2060"/>
      <c r="CS1502" s="2060"/>
      <c r="CT1502" s="2060"/>
      <c r="CU1502" s="2060"/>
      <c r="CV1502" s="2060"/>
      <c r="CW1502" s="2060"/>
      <c r="CX1502" s="2060"/>
      <c r="CY1502" s="2060"/>
      <c r="CZ1502" s="2060"/>
      <c r="DA1502" s="2060"/>
      <c r="DB1502" s="2060"/>
      <c r="DC1502" s="2060"/>
      <c r="DD1502" s="2060"/>
      <c r="DE1502" s="2060"/>
      <c r="DF1502" s="2060"/>
      <c r="DG1502" s="2060"/>
      <c r="DH1502" s="2060"/>
      <c r="DI1502" s="2060"/>
      <c r="DJ1502" s="2060"/>
      <c r="DK1502" s="2060"/>
      <c r="DL1502" s="2060"/>
      <c r="DM1502" s="2060"/>
      <c r="DN1502" s="2060"/>
      <c r="DO1502" s="2060"/>
      <c r="DP1502" s="2060"/>
      <c r="DQ1502" s="2060"/>
      <c r="DR1502" s="2060"/>
      <c r="DS1502" s="2060"/>
      <c r="DT1502" s="2060"/>
      <c r="DU1502" s="2060"/>
      <c r="DV1502" s="2060"/>
      <c r="DW1502" s="2060"/>
      <c r="DX1502" s="2060"/>
      <c r="DY1502" s="2060"/>
      <c r="DZ1502" s="2060"/>
      <c r="EA1502" s="2060"/>
      <c r="EB1502" s="2060"/>
      <c r="EC1502" s="2060"/>
      <c r="ED1502" s="2060"/>
      <c r="EE1502" s="2060"/>
      <c r="EF1502" s="2060"/>
      <c r="EG1502" s="2060"/>
      <c r="EH1502" s="2060"/>
      <c r="EI1502" s="2060"/>
      <c r="EJ1502" s="2060"/>
      <c r="EK1502" s="2060"/>
      <c r="EL1502" s="2060"/>
      <c r="EM1502" s="2060"/>
      <c r="EN1502" s="2060"/>
      <c r="EO1502" s="2060"/>
      <c r="EP1502" s="2060"/>
      <c r="EQ1502" s="2060"/>
      <c r="ER1502" s="2060"/>
      <c r="ES1502" s="2060"/>
      <c r="ET1502" s="2060"/>
      <c r="EU1502" s="2060"/>
      <c r="EV1502" s="2060"/>
      <c r="EW1502" s="2060"/>
      <c r="EX1502" s="2060"/>
      <c r="EY1502" s="2060"/>
      <c r="EZ1502" s="2060"/>
      <c r="FA1502" s="2060"/>
      <c r="FB1502" s="2060"/>
      <c r="FC1502" s="2060"/>
      <c r="FD1502" s="2060"/>
      <c r="FE1502" s="2060"/>
      <c r="FF1502" s="2060"/>
      <c r="FG1502" s="2060"/>
      <c r="FH1502" s="2060"/>
      <c r="FI1502" s="2060"/>
      <c r="FJ1502" s="2060"/>
      <c r="FK1502" s="2060"/>
      <c r="FL1502" s="2060"/>
      <c r="FM1502" s="2060"/>
      <c r="FN1502" s="2060"/>
      <c r="FO1502" s="2060"/>
      <c r="FP1502" s="2060"/>
      <c r="FQ1502" s="2060"/>
      <c r="FR1502" s="2060"/>
      <c r="FS1502" s="2060"/>
      <c r="FT1502" s="2060"/>
      <c r="FU1502" s="2060"/>
      <c r="FV1502" s="2060"/>
      <c r="FW1502" s="2060"/>
      <c r="FX1502" s="2060"/>
      <c r="FY1502" s="2060"/>
      <c r="FZ1502" s="2060"/>
      <c r="GA1502" s="2060"/>
      <c r="GB1502" s="2060"/>
      <c r="GC1502" s="2060"/>
      <c r="GD1502" s="2060"/>
      <c r="GE1502" s="2060"/>
      <c r="GF1502" s="2060"/>
      <c r="GG1502" s="2060"/>
      <c r="GH1502" s="2060"/>
      <c r="GI1502" s="2060"/>
      <c r="GJ1502" s="2060"/>
      <c r="GK1502" s="2060"/>
      <c r="GL1502" s="2060"/>
      <c r="GM1502" s="2060"/>
      <c r="GN1502" s="2060"/>
      <c r="GO1502" s="2060"/>
      <c r="GP1502" s="2060"/>
      <c r="GQ1502" s="2060"/>
      <c r="GR1502" s="2060"/>
      <c r="GS1502" s="2060"/>
      <c r="GT1502" s="2060"/>
      <c r="GU1502" s="2060"/>
      <c r="GV1502" s="2060"/>
      <c r="GW1502" s="2060"/>
      <c r="GX1502" s="2060"/>
      <c r="GY1502" s="2060"/>
      <c r="GZ1502" s="2060"/>
      <c r="HA1502" s="2060"/>
      <c r="HB1502" s="2060"/>
      <c r="HC1502" s="2060"/>
      <c r="HD1502" s="2060"/>
      <c r="HE1502" s="2060"/>
      <c r="HF1502" s="2060"/>
      <c r="HG1502" s="2060"/>
      <c r="HH1502" s="2060"/>
      <c r="HI1502" s="2060"/>
      <c r="HJ1502" s="2060"/>
      <c r="HK1502" s="2060"/>
      <c r="HL1502" s="2060"/>
      <c r="HM1502" s="2060"/>
      <c r="HN1502" s="2060"/>
      <c r="HO1502" s="2060"/>
      <c r="HP1502" s="2060"/>
      <c r="HQ1502" s="2060"/>
      <c r="HR1502" s="2060"/>
      <c r="HS1502" s="2060"/>
      <c r="HT1502" s="2060"/>
      <c r="HU1502" s="2060"/>
      <c r="HV1502" s="2060"/>
      <c r="HW1502" s="2060"/>
      <c r="HX1502" s="2060"/>
      <c r="HY1502" s="2060"/>
      <c r="HZ1502" s="2060"/>
      <c r="IA1502" s="2060"/>
      <c r="IB1502" s="2060"/>
      <c r="IC1502" s="2060"/>
      <c r="ID1502" s="2060"/>
      <c r="IE1502" s="2060"/>
      <c r="IF1502" s="2060"/>
      <c r="IG1502" s="2060"/>
      <c r="IH1502" s="2060"/>
      <c r="II1502" s="2060"/>
      <c r="IJ1502" s="2060"/>
      <c r="IK1502" s="2060"/>
      <c r="IL1502" s="2060"/>
      <c r="IM1502" s="2060"/>
      <c r="IN1502" s="2060"/>
      <c r="IO1502" s="2060"/>
      <c r="IP1502" s="2060"/>
      <c r="IQ1502" s="2060"/>
      <c r="IR1502" s="2060"/>
      <c r="IS1502" s="2060"/>
      <c r="IT1502" s="2060"/>
      <c r="IU1502" s="2060"/>
      <c r="IV1502" s="2060"/>
      <c r="IW1502" s="2060"/>
      <c r="IX1502" s="2060"/>
      <c r="IY1502" s="2060"/>
      <c r="IZ1502" s="2060"/>
      <c r="JA1502" s="2060"/>
      <c r="JB1502" s="2060"/>
      <c r="JC1502" s="2060"/>
      <c r="JD1502" s="2060"/>
      <c r="JE1502" s="2060"/>
      <c r="JF1502" s="2060"/>
      <c r="JG1502" s="2060"/>
      <c r="JH1502" s="2060"/>
      <c r="JI1502" s="2060"/>
      <c r="JJ1502" s="2060"/>
      <c r="JK1502" s="2060"/>
      <c r="JL1502" s="2060"/>
      <c r="JM1502" s="2060"/>
      <c r="JN1502" s="2060"/>
      <c r="JO1502" s="2060"/>
      <c r="JP1502" s="2060"/>
      <c r="JQ1502" s="2060"/>
      <c r="JR1502" s="2060"/>
      <c r="JS1502" s="2060"/>
      <c r="JT1502" s="2060"/>
      <c r="JU1502" s="2060"/>
      <c r="JV1502" s="2060"/>
      <c r="JW1502" s="2060"/>
      <c r="JX1502" s="2060"/>
      <c r="JY1502" s="2060"/>
      <c r="JZ1502" s="2060"/>
      <c r="KA1502" s="2060"/>
      <c r="KB1502" s="2060"/>
      <c r="KC1502" s="2060"/>
      <c r="KD1502" s="2060"/>
      <c r="KE1502" s="2060"/>
      <c r="KF1502" s="2060"/>
      <c r="KG1502" s="2060"/>
      <c r="KH1502" s="2060"/>
      <c r="KI1502" s="2060"/>
      <c r="KJ1502" s="2060"/>
      <c r="KK1502" s="2060"/>
      <c r="KL1502" s="2060"/>
      <c r="KM1502" s="2060"/>
      <c r="KN1502" s="2060"/>
      <c r="KO1502" s="2060"/>
      <c r="KP1502" s="2060"/>
      <c r="KQ1502" s="2060"/>
      <c r="KR1502" s="2060"/>
      <c r="KS1502" s="2060"/>
      <c r="KT1502" s="2060"/>
      <c r="KU1502" s="2060"/>
      <c r="KV1502" s="2060"/>
      <c r="KW1502" s="2060"/>
      <c r="KX1502" s="2060"/>
      <c r="KY1502" s="2060"/>
      <c r="KZ1502" s="2060"/>
      <c r="LA1502" s="2060"/>
      <c r="LB1502" s="2060"/>
      <c r="LC1502" s="2060"/>
      <c r="LD1502" s="2060"/>
      <c r="LE1502" s="2060"/>
      <c r="LF1502" s="2060"/>
      <c r="LG1502" s="2060"/>
      <c r="LH1502" s="2060"/>
    </row>
    <row r="1503" spans="1:320" s="449" customFormat="1" ht="13.9">
      <c r="A1503" s="269" t="str">
        <f t="shared" si="421"/>
        <v>n</v>
      </c>
      <c r="B1503" s="2060"/>
      <c r="C1503" s="89"/>
      <c r="D1503" s="801"/>
      <c r="E1503" s="1505">
        <v>9</v>
      </c>
      <c r="F1503" s="21" t="str">
        <f>F$137</f>
        <v>--</v>
      </c>
      <c r="G1503" s="1441">
        <f>G$137</f>
        <v>0</v>
      </c>
      <c r="H1503" s="1441"/>
      <c r="I1503" s="1441"/>
      <c r="J1503" s="1441"/>
      <c r="K1503" s="2314" t="str">
        <f t="shared" si="420"/>
        <v>--</v>
      </c>
      <c r="L1503" s="2314" t="str">
        <f t="shared" si="420"/>
        <v>--</v>
      </c>
      <c r="M1503" s="2314" t="str">
        <f t="shared" si="420"/>
        <v>--</v>
      </c>
      <c r="N1503" s="2314" t="str">
        <f t="shared" si="420"/>
        <v>--</v>
      </c>
      <c r="O1503" s="2315" t="str">
        <f t="shared" si="420"/>
        <v>--</v>
      </c>
      <c r="P1503" s="2314" t="str">
        <f t="shared" si="420"/>
        <v>--</v>
      </c>
      <c r="Q1503" s="89"/>
      <c r="R1503" s="89"/>
      <c r="S1503" s="89"/>
      <c r="T1503" s="1513"/>
      <c r="U1503" s="89"/>
      <c r="V1503" s="89"/>
      <c r="W1503" s="89"/>
      <c r="X1503" s="89"/>
      <c r="Y1503" s="89"/>
      <c r="Z1503" s="89"/>
      <c r="AA1503" s="89"/>
      <c r="AB1503" s="89"/>
      <c r="AC1503" s="89"/>
      <c r="AD1503" s="89"/>
      <c r="AE1503" s="89"/>
      <c r="AF1503" s="89"/>
      <c r="AG1503" s="2060"/>
      <c r="AH1503" s="2060"/>
      <c r="AI1503" s="2060"/>
      <c r="AJ1503" s="2060"/>
      <c r="AK1503" s="2060"/>
      <c r="AL1503" s="2060"/>
      <c r="AM1503" s="2060"/>
      <c r="AN1503" s="2060"/>
      <c r="AO1503" s="2060"/>
      <c r="AP1503" s="2060"/>
      <c r="AQ1503" s="2060"/>
      <c r="AR1503" s="2060"/>
      <c r="AS1503" s="2060"/>
      <c r="AT1503" s="2060"/>
      <c r="AU1503" s="2060"/>
      <c r="AV1503" s="2060"/>
      <c r="AW1503" s="2060"/>
      <c r="AX1503" s="2060"/>
      <c r="AY1503" s="2060"/>
      <c r="AZ1503" s="2060"/>
      <c r="BA1503" s="2060"/>
      <c r="BB1503" s="2060"/>
      <c r="BC1503" s="2060"/>
      <c r="BD1503" s="2060"/>
      <c r="BE1503" s="2060"/>
      <c r="BF1503" s="2060"/>
      <c r="BG1503" s="2060"/>
      <c r="BH1503" s="2060"/>
      <c r="BI1503" s="2060"/>
      <c r="BJ1503" s="2060"/>
      <c r="BK1503" s="2060"/>
      <c r="BL1503" s="2060"/>
      <c r="BM1503" s="2060"/>
      <c r="BN1503" s="2060"/>
      <c r="BO1503" s="2060"/>
      <c r="BP1503" s="2060"/>
      <c r="BQ1503" s="2060"/>
      <c r="BR1503" s="2060"/>
      <c r="BS1503" s="2060"/>
      <c r="BT1503" s="2060"/>
      <c r="BU1503" s="2060"/>
      <c r="BV1503" s="2060"/>
      <c r="BW1503" s="2060"/>
      <c r="BX1503" s="2060"/>
      <c r="BY1503" s="2060"/>
      <c r="BZ1503" s="2060"/>
      <c r="CA1503" s="2060"/>
      <c r="CB1503" s="2060"/>
      <c r="CC1503" s="2060"/>
      <c r="CD1503" s="2060"/>
      <c r="CE1503" s="2060"/>
      <c r="CF1503" s="2060"/>
      <c r="CG1503" s="2060"/>
      <c r="CH1503" s="2060"/>
      <c r="CI1503" s="2060"/>
      <c r="CJ1503" s="2060"/>
      <c r="CK1503" s="2060"/>
      <c r="CL1503" s="2060"/>
      <c r="CM1503" s="2060"/>
      <c r="CN1503" s="2060"/>
      <c r="CO1503" s="2060"/>
      <c r="CP1503" s="2060"/>
      <c r="CQ1503" s="2060"/>
      <c r="CR1503" s="2060"/>
      <c r="CS1503" s="2060"/>
      <c r="CT1503" s="2060"/>
      <c r="CU1503" s="2060"/>
      <c r="CV1503" s="2060"/>
      <c r="CW1503" s="2060"/>
      <c r="CX1503" s="2060"/>
      <c r="CY1503" s="2060"/>
      <c r="CZ1503" s="2060"/>
      <c r="DA1503" s="2060"/>
      <c r="DB1503" s="2060"/>
      <c r="DC1503" s="2060"/>
      <c r="DD1503" s="2060"/>
      <c r="DE1503" s="2060"/>
      <c r="DF1503" s="2060"/>
      <c r="DG1503" s="2060"/>
      <c r="DH1503" s="2060"/>
      <c r="DI1503" s="2060"/>
      <c r="DJ1503" s="2060"/>
      <c r="DK1503" s="2060"/>
      <c r="DL1503" s="2060"/>
      <c r="DM1503" s="2060"/>
      <c r="DN1503" s="2060"/>
      <c r="DO1503" s="2060"/>
      <c r="DP1503" s="2060"/>
      <c r="DQ1503" s="2060"/>
      <c r="DR1503" s="2060"/>
      <c r="DS1503" s="2060"/>
      <c r="DT1503" s="2060"/>
      <c r="DU1503" s="2060"/>
      <c r="DV1503" s="2060"/>
      <c r="DW1503" s="2060"/>
      <c r="DX1503" s="2060"/>
      <c r="DY1503" s="2060"/>
      <c r="DZ1503" s="2060"/>
      <c r="EA1503" s="2060"/>
      <c r="EB1503" s="2060"/>
      <c r="EC1503" s="2060"/>
      <c r="ED1503" s="2060"/>
      <c r="EE1503" s="2060"/>
      <c r="EF1503" s="2060"/>
      <c r="EG1503" s="2060"/>
      <c r="EH1503" s="2060"/>
      <c r="EI1503" s="2060"/>
      <c r="EJ1503" s="2060"/>
      <c r="EK1503" s="2060"/>
      <c r="EL1503" s="2060"/>
      <c r="EM1503" s="2060"/>
      <c r="EN1503" s="2060"/>
      <c r="EO1503" s="2060"/>
      <c r="EP1503" s="2060"/>
      <c r="EQ1503" s="2060"/>
      <c r="ER1503" s="2060"/>
      <c r="ES1503" s="2060"/>
      <c r="ET1503" s="2060"/>
      <c r="EU1503" s="2060"/>
      <c r="EV1503" s="2060"/>
      <c r="EW1503" s="2060"/>
      <c r="EX1503" s="2060"/>
      <c r="EY1503" s="2060"/>
      <c r="EZ1503" s="2060"/>
      <c r="FA1503" s="2060"/>
      <c r="FB1503" s="2060"/>
      <c r="FC1503" s="2060"/>
      <c r="FD1503" s="2060"/>
      <c r="FE1503" s="2060"/>
      <c r="FF1503" s="2060"/>
      <c r="FG1503" s="2060"/>
      <c r="FH1503" s="2060"/>
      <c r="FI1503" s="2060"/>
      <c r="FJ1503" s="2060"/>
      <c r="FK1503" s="2060"/>
      <c r="FL1503" s="2060"/>
      <c r="FM1503" s="2060"/>
      <c r="FN1503" s="2060"/>
      <c r="FO1503" s="2060"/>
      <c r="FP1503" s="2060"/>
      <c r="FQ1503" s="2060"/>
      <c r="FR1503" s="2060"/>
      <c r="FS1503" s="2060"/>
      <c r="FT1503" s="2060"/>
      <c r="FU1503" s="2060"/>
      <c r="FV1503" s="2060"/>
      <c r="FW1503" s="2060"/>
      <c r="FX1503" s="2060"/>
      <c r="FY1503" s="2060"/>
      <c r="FZ1503" s="2060"/>
      <c r="GA1503" s="2060"/>
      <c r="GB1503" s="2060"/>
      <c r="GC1503" s="2060"/>
      <c r="GD1503" s="2060"/>
      <c r="GE1503" s="2060"/>
      <c r="GF1503" s="2060"/>
      <c r="GG1503" s="2060"/>
      <c r="GH1503" s="2060"/>
      <c r="GI1503" s="2060"/>
      <c r="GJ1503" s="2060"/>
      <c r="GK1503" s="2060"/>
      <c r="GL1503" s="2060"/>
      <c r="GM1503" s="2060"/>
      <c r="GN1503" s="2060"/>
      <c r="GO1503" s="2060"/>
      <c r="GP1503" s="2060"/>
      <c r="GQ1503" s="2060"/>
      <c r="GR1503" s="2060"/>
      <c r="GS1503" s="2060"/>
      <c r="GT1503" s="2060"/>
      <c r="GU1503" s="2060"/>
      <c r="GV1503" s="2060"/>
      <c r="GW1503" s="2060"/>
      <c r="GX1503" s="2060"/>
      <c r="GY1503" s="2060"/>
      <c r="GZ1503" s="2060"/>
      <c r="HA1503" s="2060"/>
      <c r="HB1503" s="2060"/>
      <c r="HC1503" s="2060"/>
      <c r="HD1503" s="2060"/>
      <c r="HE1503" s="2060"/>
      <c r="HF1503" s="2060"/>
      <c r="HG1503" s="2060"/>
      <c r="HH1503" s="2060"/>
      <c r="HI1503" s="2060"/>
      <c r="HJ1503" s="2060"/>
      <c r="HK1503" s="2060"/>
      <c r="HL1503" s="2060"/>
      <c r="HM1503" s="2060"/>
      <c r="HN1503" s="2060"/>
      <c r="HO1503" s="2060"/>
      <c r="HP1503" s="2060"/>
      <c r="HQ1503" s="2060"/>
      <c r="HR1503" s="2060"/>
      <c r="HS1503" s="2060"/>
      <c r="HT1503" s="2060"/>
      <c r="HU1503" s="2060"/>
      <c r="HV1503" s="2060"/>
      <c r="HW1503" s="2060"/>
      <c r="HX1503" s="2060"/>
      <c r="HY1503" s="2060"/>
      <c r="HZ1503" s="2060"/>
      <c r="IA1503" s="2060"/>
      <c r="IB1503" s="2060"/>
      <c r="IC1503" s="2060"/>
      <c r="ID1503" s="2060"/>
      <c r="IE1503" s="2060"/>
      <c r="IF1503" s="2060"/>
      <c r="IG1503" s="2060"/>
      <c r="IH1503" s="2060"/>
      <c r="II1503" s="2060"/>
      <c r="IJ1503" s="2060"/>
      <c r="IK1503" s="2060"/>
      <c r="IL1503" s="2060"/>
      <c r="IM1503" s="2060"/>
      <c r="IN1503" s="2060"/>
      <c r="IO1503" s="2060"/>
      <c r="IP1503" s="2060"/>
      <c r="IQ1503" s="2060"/>
      <c r="IR1503" s="2060"/>
      <c r="IS1503" s="2060"/>
      <c r="IT1503" s="2060"/>
      <c r="IU1503" s="2060"/>
      <c r="IV1503" s="2060"/>
      <c r="IW1503" s="2060"/>
      <c r="IX1503" s="2060"/>
      <c r="IY1503" s="2060"/>
      <c r="IZ1503" s="2060"/>
      <c r="JA1503" s="2060"/>
      <c r="JB1503" s="2060"/>
      <c r="JC1503" s="2060"/>
      <c r="JD1503" s="2060"/>
      <c r="JE1503" s="2060"/>
      <c r="JF1503" s="2060"/>
      <c r="JG1503" s="2060"/>
      <c r="JH1503" s="2060"/>
      <c r="JI1503" s="2060"/>
      <c r="JJ1503" s="2060"/>
      <c r="JK1503" s="2060"/>
      <c r="JL1503" s="2060"/>
      <c r="JM1503" s="2060"/>
      <c r="JN1503" s="2060"/>
      <c r="JO1503" s="2060"/>
      <c r="JP1503" s="2060"/>
      <c r="JQ1503" s="2060"/>
      <c r="JR1503" s="2060"/>
      <c r="JS1503" s="2060"/>
      <c r="JT1503" s="2060"/>
      <c r="JU1503" s="2060"/>
      <c r="JV1503" s="2060"/>
      <c r="JW1503" s="2060"/>
      <c r="JX1503" s="2060"/>
      <c r="JY1503" s="2060"/>
      <c r="JZ1503" s="2060"/>
      <c r="KA1503" s="2060"/>
      <c r="KB1503" s="2060"/>
      <c r="KC1503" s="2060"/>
      <c r="KD1503" s="2060"/>
      <c r="KE1503" s="2060"/>
      <c r="KF1503" s="2060"/>
      <c r="KG1503" s="2060"/>
      <c r="KH1503" s="2060"/>
      <c r="KI1503" s="2060"/>
      <c r="KJ1503" s="2060"/>
      <c r="KK1503" s="2060"/>
      <c r="KL1503" s="2060"/>
      <c r="KM1503" s="2060"/>
      <c r="KN1503" s="2060"/>
      <c r="KO1503" s="2060"/>
      <c r="KP1503" s="2060"/>
      <c r="KQ1503" s="2060"/>
      <c r="KR1503" s="2060"/>
      <c r="KS1503" s="2060"/>
      <c r="KT1503" s="2060"/>
      <c r="KU1503" s="2060"/>
      <c r="KV1503" s="2060"/>
      <c r="KW1503" s="2060"/>
      <c r="KX1503" s="2060"/>
      <c r="KY1503" s="2060"/>
      <c r="KZ1503" s="2060"/>
      <c r="LA1503" s="2060"/>
      <c r="LB1503" s="2060"/>
      <c r="LC1503" s="2060"/>
      <c r="LD1503" s="2060"/>
      <c r="LE1503" s="2060"/>
      <c r="LF1503" s="2060"/>
      <c r="LG1503" s="2060"/>
      <c r="LH1503" s="2060"/>
    </row>
    <row r="1504" spans="1:320" s="449" customFormat="1" ht="13.9">
      <c r="A1504" s="269" t="str">
        <f t="shared" si="421"/>
        <v>n</v>
      </c>
      <c r="B1504" s="2060"/>
      <c r="C1504" s="89"/>
      <c r="D1504" s="801"/>
      <c r="E1504" s="1505">
        <v>10</v>
      </c>
      <c r="F1504" s="21" t="str">
        <f>F$138</f>
        <v>--</v>
      </c>
      <c r="G1504" s="1441">
        <f>G$138</f>
        <v>0</v>
      </c>
      <c r="H1504" s="1441"/>
      <c r="I1504" s="1441"/>
      <c r="J1504" s="1441"/>
      <c r="K1504" s="2314" t="str">
        <f t="shared" si="420"/>
        <v>--</v>
      </c>
      <c r="L1504" s="2314" t="str">
        <f t="shared" si="420"/>
        <v>--</v>
      </c>
      <c r="M1504" s="2314" t="str">
        <f t="shared" si="420"/>
        <v>--</v>
      </c>
      <c r="N1504" s="2314" t="str">
        <f t="shared" si="420"/>
        <v>--</v>
      </c>
      <c r="O1504" s="2315" t="str">
        <f t="shared" si="420"/>
        <v>--</v>
      </c>
      <c r="P1504" s="2314" t="str">
        <f t="shared" si="420"/>
        <v>--</v>
      </c>
      <c r="Q1504" s="89"/>
      <c r="R1504" s="89"/>
      <c r="S1504" s="89"/>
      <c r="T1504" s="1513"/>
      <c r="U1504" s="89"/>
      <c r="V1504" s="89"/>
      <c r="W1504" s="89"/>
      <c r="X1504" s="89"/>
      <c r="Y1504" s="89"/>
      <c r="Z1504" s="89"/>
      <c r="AA1504" s="89"/>
      <c r="AB1504" s="89"/>
      <c r="AC1504" s="89"/>
      <c r="AD1504" s="89"/>
      <c r="AE1504" s="89"/>
      <c r="AF1504" s="89"/>
      <c r="AG1504" s="2060"/>
      <c r="AH1504" s="2060"/>
      <c r="AI1504" s="2060"/>
      <c r="AJ1504" s="2060"/>
      <c r="AK1504" s="2060"/>
      <c r="AL1504" s="2060"/>
      <c r="AM1504" s="2060"/>
      <c r="AN1504" s="2060"/>
      <c r="AO1504" s="2060"/>
      <c r="AP1504" s="2060"/>
      <c r="AQ1504" s="2060"/>
      <c r="AR1504" s="2060"/>
      <c r="AS1504" s="2060"/>
      <c r="AT1504" s="2060"/>
      <c r="AU1504" s="2060"/>
      <c r="AV1504" s="2060"/>
      <c r="AW1504" s="2060"/>
      <c r="AX1504" s="2060"/>
      <c r="AY1504" s="2060"/>
      <c r="AZ1504" s="2060"/>
      <c r="BA1504" s="2060"/>
      <c r="BB1504" s="2060"/>
      <c r="BC1504" s="2060"/>
      <c r="BD1504" s="2060"/>
      <c r="BE1504" s="2060"/>
      <c r="BF1504" s="2060"/>
      <c r="BG1504" s="2060"/>
      <c r="BH1504" s="2060"/>
      <c r="BI1504" s="2060"/>
      <c r="BJ1504" s="2060"/>
      <c r="BK1504" s="2060"/>
      <c r="BL1504" s="2060"/>
      <c r="BM1504" s="2060"/>
      <c r="BN1504" s="2060"/>
      <c r="BO1504" s="2060"/>
      <c r="BP1504" s="2060"/>
      <c r="BQ1504" s="2060"/>
      <c r="BR1504" s="2060"/>
      <c r="BS1504" s="2060"/>
      <c r="BT1504" s="2060"/>
      <c r="BU1504" s="2060"/>
      <c r="BV1504" s="2060"/>
      <c r="BW1504" s="2060"/>
      <c r="BX1504" s="2060"/>
      <c r="BY1504" s="2060"/>
      <c r="BZ1504" s="2060"/>
      <c r="CA1504" s="2060"/>
      <c r="CB1504" s="2060"/>
      <c r="CC1504" s="2060"/>
      <c r="CD1504" s="2060"/>
      <c r="CE1504" s="2060"/>
      <c r="CF1504" s="2060"/>
      <c r="CG1504" s="2060"/>
      <c r="CH1504" s="2060"/>
      <c r="CI1504" s="2060"/>
      <c r="CJ1504" s="2060"/>
      <c r="CK1504" s="2060"/>
      <c r="CL1504" s="2060"/>
      <c r="CM1504" s="2060"/>
      <c r="CN1504" s="2060"/>
      <c r="CO1504" s="2060"/>
      <c r="CP1504" s="2060"/>
      <c r="CQ1504" s="2060"/>
      <c r="CR1504" s="2060"/>
      <c r="CS1504" s="2060"/>
      <c r="CT1504" s="2060"/>
      <c r="CU1504" s="2060"/>
      <c r="CV1504" s="2060"/>
      <c r="CW1504" s="2060"/>
      <c r="CX1504" s="2060"/>
      <c r="CY1504" s="2060"/>
      <c r="CZ1504" s="2060"/>
      <c r="DA1504" s="2060"/>
      <c r="DB1504" s="2060"/>
      <c r="DC1504" s="2060"/>
      <c r="DD1504" s="2060"/>
      <c r="DE1504" s="2060"/>
      <c r="DF1504" s="2060"/>
      <c r="DG1504" s="2060"/>
      <c r="DH1504" s="2060"/>
      <c r="DI1504" s="2060"/>
      <c r="DJ1504" s="2060"/>
      <c r="DK1504" s="2060"/>
      <c r="DL1504" s="2060"/>
      <c r="DM1504" s="2060"/>
      <c r="DN1504" s="2060"/>
      <c r="DO1504" s="2060"/>
      <c r="DP1504" s="2060"/>
      <c r="DQ1504" s="2060"/>
      <c r="DR1504" s="2060"/>
      <c r="DS1504" s="2060"/>
      <c r="DT1504" s="2060"/>
      <c r="DU1504" s="2060"/>
      <c r="DV1504" s="2060"/>
      <c r="DW1504" s="2060"/>
      <c r="DX1504" s="2060"/>
      <c r="DY1504" s="2060"/>
      <c r="DZ1504" s="2060"/>
      <c r="EA1504" s="2060"/>
      <c r="EB1504" s="2060"/>
      <c r="EC1504" s="2060"/>
      <c r="ED1504" s="2060"/>
      <c r="EE1504" s="2060"/>
      <c r="EF1504" s="2060"/>
      <c r="EG1504" s="2060"/>
      <c r="EH1504" s="2060"/>
      <c r="EI1504" s="2060"/>
      <c r="EJ1504" s="2060"/>
      <c r="EK1504" s="2060"/>
      <c r="EL1504" s="2060"/>
      <c r="EM1504" s="2060"/>
      <c r="EN1504" s="2060"/>
      <c r="EO1504" s="2060"/>
      <c r="EP1504" s="2060"/>
      <c r="EQ1504" s="2060"/>
      <c r="ER1504" s="2060"/>
      <c r="ES1504" s="2060"/>
      <c r="ET1504" s="2060"/>
      <c r="EU1504" s="2060"/>
      <c r="EV1504" s="2060"/>
      <c r="EW1504" s="2060"/>
      <c r="EX1504" s="2060"/>
      <c r="EY1504" s="2060"/>
      <c r="EZ1504" s="2060"/>
      <c r="FA1504" s="2060"/>
      <c r="FB1504" s="2060"/>
      <c r="FC1504" s="2060"/>
      <c r="FD1504" s="2060"/>
      <c r="FE1504" s="2060"/>
      <c r="FF1504" s="2060"/>
      <c r="FG1504" s="2060"/>
      <c r="FH1504" s="2060"/>
      <c r="FI1504" s="2060"/>
      <c r="FJ1504" s="2060"/>
      <c r="FK1504" s="2060"/>
      <c r="FL1504" s="2060"/>
      <c r="FM1504" s="2060"/>
      <c r="FN1504" s="2060"/>
      <c r="FO1504" s="2060"/>
      <c r="FP1504" s="2060"/>
      <c r="FQ1504" s="2060"/>
      <c r="FR1504" s="2060"/>
      <c r="FS1504" s="2060"/>
      <c r="FT1504" s="2060"/>
      <c r="FU1504" s="2060"/>
      <c r="FV1504" s="2060"/>
      <c r="FW1504" s="2060"/>
      <c r="FX1504" s="2060"/>
      <c r="FY1504" s="2060"/>
      <c r="FZ1504" s="2060"/>
      <c r="GA1504" s="2060"/>
      <c r="GB1504" s="2060"/>
      <c r="GC1504" s="2060"/>
      <c r="GD1504" s="2060"/>
      <c r="GE1504" s="2060"/>
      <c r="GF1504" s="2060"/>
      <c r="GG1504" s="2060"/>
      <c r="GH1504" s="2060"/>
      <c r="GI1504" s="2060"/>
      <c r="GJ1504" s="2060"/>
      <c r="GK1504" s="2060"/>
      <c r="GL1504" s="2060"/>
      <c r="GM1504" s="2060"/>
      <c r="GN1504" s="2060"/>
      <c r="GO1504" s="2060"/>
      <c r="GP1504" s="2060"/>
      <c r="GQ1504" s="2060"/>
      <c r="GR1504" s="2060"/>
      <c r="GS1504" s="2060"/>
      <c r="GT1504" s="2060"/>
      <c r="GU1504" s="2060"/>
      <c r="GV1504" s="2060"/>
      <c r="GW1504" s="2060"/>
      <c r="GX1504" s="2060"/>
      <c r="GY1504" s="2060"/>
      <c r="GZ1504" s="2060"/>
      <c r="HA1504" s="2060"/>
      <c r="HB1504" s="2060"/>
      <c r="HC1504" s="2060"/>
      <c r="HD1504" s="2060"/>
      <c r="HE1504" s="2060"/>
      <c r="HF1504" s="2060"/>
      <c r="HG1504" s="2060"/>
      <c r="HH1504" s="2060"/>
      <c r="HI1504" s="2060"/>
      <c r="HJ1504" s="2060"/>
      <c r="HK1504" s="2060"/>
      <c r="HL1504" s="2060"/>
      <c r="HM1504" s="2060"/>
      <c r="HN1504" s="2060"/>
      <c r="HO1504" s="2060"/>
      <c r="HP1504" s="2060"/>
      <c r="HQ1504" s="2060"/>
      <c r="HR1504" s="2060"/>
      <c r="HS1504" s="2060"/>
      <c r="HT1504" s="2060"/>
      <c r="HU1504" s="2060"/>
      <c r="HV1504" s="2060"/>
      <c r="HW1504" s="2060"/>
      <c r="HX1504" s="2060"/>
      <c r="HY1504" s="2060"/>
      <c r="HZ1504" s="2060"/>
      <c r="IA1504" s="2060"/>
      <c r="IB1504" s="2060"/>
      <c r="IC1504" s="2060"/>
      <c r="ID1504" s="2060"/>
      <c r="IE1504" s="2060"/>
      <c r="IF1504" s="2060"/>
      <c r="IG1504" s="2060"/>
      <c r="IH1504" s="2060"/>
      <c r="II1504" s="2060"/>
      <c r="IJ1504" s="2060"/>
      <c r="IK1504" s="2060"/>
      <c r="IL1504" s="2060"/>
      <c r="IM1504" s="2060"/>
      <c r="IN1504" s="2060"/>
      <c r="IO1504" s="2060"/>
      <c r="IP1504" s="2060"/>
      <c r="IQ1504" s="2060"/>
      <c r="IR1504" s="2060"/>
      <c r="IS1504" s="2060"/>
      <c r="IT1504" s="2060"/>
      <c r="IU1504" s="2060"/>
      <c r="IV1504" s="2060"/>
      <c r="IW1504" s="2060"/>
      <c r="IX1504" s="2060"/>
      <c r="IY1504" s="2060"/>
      <c r="IZ1504" s="2060"/>
      <c r="JA1504" s="2060"/>
      <c r="JB1504" s="2060"/>
      <c r="JC1504" s="2060"/>
      <c r="JD1504" s="2060"/>
      <c r="JE1504" s="2060"/>
      <c r="JF1504" s="2060"/>
      <c r="JG1504" s="2060"/>
      <c r="JH1504" s="2060"/>
      <c r="JI1504" s="2060"/>
      <c r="JJ1504" s="2060"/>
      <c r="JK1504" s="2060"/>
      <c r="JL1504" s="2060"/>
      <c r="JM1504" s="2060"/>
      <c r="JN1504" s="2060"/>
      <c r="JO1504" s="2060"/>
      <c r="JP1504" s="2060"/>
      <c r="JQ1504" s="2060"/>
      <c r="JR1504" s="2060"/>
      <c r="JS1504" s="2060"/>
      <c r="JT1504" s="2060"/>
      <c r="JU1504" s="2060"/>
      <c r="JV1504" s="2060"/>
      <c r="JW1504" s="2060"/>
      <c r="JX1504" s="2060"/>
      <c r="JY1504" s="2060"/>
      <c r="JZ1504" s="2060"/>
      <c r="KA1504" s="2060"/>
      <c r="KB1504" s="2060"/>
      <c r="KC1504" s="2060"/>
      <c r="KD1504" s="2060"/>
      <c r="KE1504" s="2060"/>
      <c r="KF1504" s="2060"/>
      <c r="KG1504" s="2060"/>
      <c r="KH1504" s="2060"/>
      <c r="KI1504" s="2060"/>
      <c r="KJ1504" s="2060"/>
      <c r="KK1504" s="2060"/>
      <c r="KL1504" s="2060"/>
      <c r="KM1504" s="2060"/>
      <c r="KN1504" s="2060"/>
      <c r="KO1504" s="2060"/>
      <c r="KP1504" s="2060"/>
      <c r="KQ1504" s="2060"/>
      <c r="KR1504" s="2060"/>
      <c r="KS1504" s="2060"/>
      <c r="KT1504" s="2060"/>
      <c r="KU1504" s="2060"/>
      <c r="KV1504" s="2060"/>
      <c r="KW1504" s="2060"/>
      <c r="KX1504" s="2060"/>
      <c r="KY1504" s="2060"/>
      <c r="KZ1504" s="2060"/>
      <c r="LA1504" s="2060"/>
      <c r="LB1504" s="2060"/>
      <c r="LC1504" s="2060"/>
      <c r="LD1504" s="2060"/>
      <c r="LE1504" s="2060"/>
      <c r="LF1504" s="2060"/>
      <c r="LG1504" s="2060"/>
      <c r="LH1504" s="2060"/>
    </row>
    <row r="1505" spans="1:320" s="449" customFormat="1" ht="13.9">
      <c r="A1505" s="269" t="str">
        <f t="shared" si="421"/>
        <v>n</v>
      </c>
      <c r="B1505" s="2060"/>
      <c r="C1505" s="89"/>
      <c r="D1505" s="801"/>
      <c r="E1505" s="1505">
        <v>11</v>
      </c>
      <c r="F1505" s="21" t="str">
        <f>F$139</f>
        <v>--</v>
      </c>
      <c r="G1505" s="1441">
        <f>G$139</f>
        <v>0</v>
      </c>
      <c r="H1505" s="1441"/>
      <c r="I1505" s="1441"/>
      <c r="J1505" s="1441"/>
      <c r="K1505" s="2314" t="str">
        <f t="shared" si="420"/>
        <v>--</v>
      </c>
      <c r="L1505" s="2314" t="str">
        <f t="shared" si="420"/>
        <v>--</v>
      </c>
      <c r="M1505" s="2314" t="str">
        <f t="shared" si="420"/>
        <v>--</v>
      </c>
      <c r="N1505" s="2314" t="str">
        <f t="shared" si="420"/>
        <v>--</v>
      </c>
      <c r="O1505" s="2315" t="str">
        <f t="shared" si="420"/>
        <v>--</v>
      </c>
      <c r="P1505" s="2314" t="str">
        <f t="shared" si="420"/>
        <v>--</v>
      </c>
      <c r="Q1505" s="89"/>
      <c r="R1505" s="1466"/>
      <c r="S1505" s="89"/>
      <c r="T1505" s="53"/>
      <c r="U1505" s="89"/>
      <c r="V1505" s="89"/>
      <c r="W1505" s="89"/>
      <c r="X1505" s="89"/>
      <c r="Y1505" s="89"/>
      <c r="Z1505" s="89"/>
      <c r="AA1505" s="89"/>
      <c r="AB1505" s="89"/>
      <c r="AC1505" s="89"/>
      <c r="AD1505" s="89"/>
      <c r="AE1505" s="89"/>
      <c r="AF1505" s="89"/>
      <c r="AG1505" s="2060"/>
      <c r="AH1505" s="2060"/>
      <c r="AI1505" s="2060"/>
      <c r="AJ1505" s="2060"/>
      <c r="AK1505" s="2060"/>
      <c r="AL1505" s="2060"/>
      <c r="AM1505" s="2060"/>
      <c r="AN1505" s="2060"/>
      <c r="AO1505" s="2060"/>
      <c r="AP1505" s="2060"/>
      <c r="AQ1505" s="2060"/>
      <c r="AR1505" s="2060"/>
      <c r="AS1505" s="2060"/>
      <c r="AT1505" s="2060"/>
      <c r="AU1505" s="2060"/>
      <c r="AV1505" s="2060"/>
      <c r="AW1505" s="2060"/>
      <c r="AX1505" s="2060"/>
      <c r="AY1505" s="2060"/>
      <c r="AZ1505" s="2060"/>
      <c r="BA1505" s="2060"/>
      <c r="BB1505" s="2060"/>
      <c r="BC1505" s="2060"/>
      <c r="BD1505" s="2060"/>
      <c r="BE1505" s="2060"/>
      <c r="BF1505" s="2060"/>
      <c r="BG1505" s="2060"/>
      <c r="BH1505" s="2060"/>
      <c r="BI1505" s="2060"/>
      <c r="BJ1505" s="2060"/>
      <c r="BK1505" s="2060"/>
      <c r="BL1505" s="2060"/>
      <c r="BM1505" s="2060"/>
      <c r="BN1505" s="2060"/>
      <c r="BO1505" s="2060"/>
      <c r="BP1505" s="2060"/>
      <c r="BQ1505" s="2060"/>
      <c r="BR1505" s="2060"/>
      <c r="BS1505" s="2060"/>
      <c r="BT1505" s="2060"/>
      <c r="BU1505" s="2060"/>
      <c r="BV1505" s="2060"/>
      <c r="BW1505" s="2060"/>
      <c r="BX1505" s="2060"/>
      <c r="BY1505" s="2060"/>
      <c r="BZ1505" s="2060"/>
      <c r="CA1505" s="2060"/>
      <c r="CB1505" s="2060"/>
      <c r="CC1505" s="2060"/>
      <c r="CD1505" s="2060"/>
      <c r="CE1505" s="2060"/>
      <c r="CF1505" s="2060"/>
      <c r="CG1505" s="2060"/>
      <c r="CH1505" s="2060"/>
      <c r="CI1505" s="2060"/>
      <c r="CJ1505" s="2060"/>
      <c r="CK1505" s="2060"/>
      <c r="CL1505" s="2060"/>
      <c r="CM1505" s="2060"/>
      <c r="CN1505" s="2060"/>
      <c r="CO1505" s="2060"/>
      <c r="CP1505" s="2060"/>
      <c r="CQ1505" s="2060"/>
      <c r="CR1505" s="2060"/>
      <c r="CS1505" s="2060"/>
      <c r="CT1505" s="2060"/>
      <c r="CU1505" s="2060"/>
      <c r="CV1505" s="2060"/>
      <c r="CW1505" s="2060"/>
      <c r="CX1505" s="2060"/>
      <c r="CY1505" s="2060"/>
      <c r="CZ1505" s="2060"/>
      <c r="DA1505" s="2060"/>
      <c r="DB1505" s="2060"/>
      <c r="DC1505" s="2060"/>
      <c r="DD1505" s="2060"/>
      <c r="DE1505" s="2060"/>
      <c r="DF1505" s="2060"/>
      <c r="DG1505" s="2060"/>
      <c r="DH1505" s="2060"/>
      <c r="DI1505" s="2060"/>
      <c r="DJ1505" s="2060"/>
      <c r="DK1505" s="2060"/>
      <c r="DL1505" s="2060"/>
      <c r="DM1505" s="2060"/>
      <c r="DN1505" s="2060"/>
      <c r="DO1505" s="2060"/>
      <c r="DP1505" s="2060"/>
      <c r="DQ1505" s="2060"/>
      <c r="DR1505" s="2060"/>
      <c r="DS1505" s="2060"/>
      <c r="DT1505" s="2060"/>
      <c r="DU1505" s="2060"/>
      <c r="DV1505" s="2060"/>
      <c r="DW1505" s="2060"/>
      <c r="DX1505" s="2060"/>
      <c r="DY1505" s="2060"/>
      <c r="DZ1505" s="2060"/>
      <c r="EA1505" s="2060"/>
      <c r="EB1505" s="2060"/>
      <c r="EC1505" s="2060"/>
      <c r="ED1505" s="2060"/>
      <c r="EE1505" s="2060"/>
      <c r="EF1505" s="2060"/>
      <c r="EG1505" s="2060"/>
      <c r="EH1505" s="2060"/>
      <c r="EI1505" s="2060"/>
      <c r="EJ1505" s="2060"/>
      <c r="EK1505" s="2060"/>
      <c r="EL1505" s="2060"/>
      <c r="EM1505" s="2060"/>
      <c r="EN1505" s="2060"/>
      <c r="EO1505" s="2060"/>
      <c r="EP1505" s="2060"/>
      <c r="EQ1505" s="2060"/>
      <c r="ER1505" s="2060"/>
      <c r="ES1505" s="2060"/>
      <c r="ET1505" s="2060"/>
      <c r="EU1505" s="2060"/>
      <c r="EV1505" s="2060"/>
      <c r="EW1505" s="2060"/>
      <c r="EX1505" s="2060"/>
      <c r="EY1505" s="2060"/>
      <c r="EZ1505" s="2060"/>
      <c r="FA1505" s="2060"/>
      <c r="FB1505" s="2060"/>
      <c r="FC1505" s="2060"/>
      <c r="FD1505" s="2060"/>
      <c r="FE1505" s="2060"/>
      <c r="FF1505" s="2060"/>
      <c r="FG1505" s="2060"/>
      <c r="FH1505" s="2060"/>
      <c r="FI1505" s="2060"/>
      <c r="FJ1505" s="2060"/>
      <c r="FK1505" s="2060"/>
      <c r="FL1505" s="2060"/>
      <c r="FM1505" s="2060"/>
      <c r="FN1505" s="2060"/>
      <c r="FO1505" s="2060"/>
      <c r="FP1505" s="2060"/>
      <c r="FQ1505" s="2060"/>
      <c r="FR1505" s="2060"/>
      <c r="FS1505" s="2060"/>
      <c r="FT1505" s="2060"/>
      <c r="FU1505" s="2060"/>
      <c r="FV1505" s="2060"/>
      <c r="FW1505" s="2060"/>
      <c r="FX1505" s="2060"/>
      <c r="FY1505" s="2060"/>
      <c r="FZ1505" s="2060"/>
      <c r="GA1505" s="2060"/>
      <c r="GB1505" s="2060"/>
      <c r="GC1505" s="2060"/>
      <c r="GD1505" s="2060"/>
      <c r="GE1505" s="2060"/>
      <c r="GF1505" s="2060"/>
      <c r="GG1505" s="2060"/>
      <c r="GH1505" s="2060"/>
      <c r="GI1505" s="2060"/>
      <c r="GJ1505" s="2060"/>
      <c r="GK1505" s="2060"/>
      <c r="GL1505" s="2060"/>
      <c r="GM1505" s="2060"/>
      <c r="GN1505" s="2060"/>
      <c r="GO1505" s="2060"/>
      <c r="GP1505" s="2060"/>
      <c r="GQ1505" s="2060"/>
      <c r="GR1505" s="2060"/>
      <c r="GS1505" s="2060"/>
      <c r="GT1505" s="2060"/>
      <c r="GU1505" s="2060"/>
      <c r="GV1505" s="2060"/>
      <c r="GW1505" s="2060"/>
      <c r="GX1505" s="2060"/>
      <c r="GY1505" s="2060"/>
      <c r="GZ1505" s="2060"/>
      <c r="HA1505" s="2060"/>
      <c r="HB1505" s="2060"/>
      <c r="HC1505" s="2060"/>
      <c r="HD1505" s="2060"/>
      <c r="HE1505" s="2060"/>
      <c r="HF1505" s="2060"/>
      <c r="HG1505" s="2060"/>
      <c r="HH1505" s="2060"/>
      <c r="HI1505" s="2060"/>
      <c r="HJ1505" s="2060"/>
      <c r="HK1505" s="2060"/>
      <c r="HL1505" s="2060"/>
      <c r="HM1505" s="2060"/>
      <c r="HN1505" s="2060"/>
      <c r="HO1505" s="2060"/>
      <c r="HP1505" s="2060"/>
      <c r="HQ1505" s="2060"/>
      <c r="HR1505" s="2060"/>
      <c r="HS1505" s="2060"/>
      <c r="HT1505" s="2060"/>
      <c r="HU1505" s="2060"/>
      <c r="HV1505" s="2060"/>
      <c r="HW1505" s="2060"/>
      <c r="HX1505" s="2060"/>
      <c r="HY1505" s="2060"/>
      <c r="HZ1505" s="2060"/>
      <c r="IA1505" s="2060"/>
      <c r="IB1505" s="2060"/>
      <c r="IC1505" s="2060"/>
      <c r="ID1505" s="2060"/>
      <c r="IE1505" s="2060"/>
      <c r="IF1505" s="2060"/>
      <c r="IG1505" s="2060"/>
      <c r="IH1505" s="2060"/>
      <c r="II1505" s="2060"/>
      <c r="IJ1505" s="2060"/>
      <c r="IK1505" s="2060"/>
      <c r="IL1505" s="2060"/>
      <c r="IM1505" s="2060"/>
      <c r="IN1505" s="2060"/>
      <c r="IO1505" s="2060"/>
      <c r="IP1505" s="2060"/>
      <c r="IQ1505" s="2060"/>
      <c r="IR1505" s="2060"/>
      <c r="IS1505" s="2060"/>
      <c r="IT1505" s="2060"/>
      <c r="IU1505" s="2060"/>
      <c r="IV1505" s="2060"/>
      <c r="IW1505" s="2060"/>
      <c r="IX1505" s="2060"/>
      <c r="IY1505" s="2060"/>
      <c r="IZ1505" s="2060"/>
      <c r="JA1505" s="2060"/>
      <c r="JB1505" s="2060"/>
      <c r="JC1505" s="2060"/>
      <c r="JD1505" s="2060"/>
      <c r="JE1505" s="2060"/>
      <c r="JF1505" s="2060"/>
      <c r="JG1505" s="2060"/>
      <c r="JH1505" s="2060"/>
      <c r="JI1505" s="2060"/>
      <c r="JJ1505" s="2060"/>
      <c r="JK1505" s="2060"/>
      <c r="JL1505" s="2060"/>
      <c r="JM1505" s="2060"/>
      <c r="JN1505" s="2060"/>
      <c r="JO1505" s="2060"/>
      <c r="JP1505" s="2060"/>
      <c r="JQ1505" s="2060"/>
      <c r="JR1505" s="2060"/>
      <c r="JS1505" s="2060"/>
      <c r="JT1505" s="2060"/>
      <c r="JU1505" s="2060"/>
      <c r="JV1505" s="2060"/>
      <c r="JW1505" s="2060"/>
      <c r="JX1505" s="2060"/>
      <c r="JY1505" s="2060"/>
      <c r="JZ1505" s="2060"/>
      <c r="KA1505" s="2060"/>
      <c r="KB1505" s="2060"/>
      <c r="KC1505" s="2060"/>
      <c r="KD1505" s="2060"/>
      <c r="KE1505" s="2060"/>
      <c r="KF1505" s="2060"/>
      <c r="KG1505" s="2060"/>
      <c r="KH1505" s="2060"/>
      <c r="KI1505" s="2060"/>
      <c r="KJ1505" s="2060"/>
      <c r="KK1505" s="2060"/>
      <c r="KL1505" s="2060"/>
      <c r="KM1505" s="2060"/>
      <c r="KN1505" s="2060"/>
      <c r="KO1505" s="2060"/>
      <c r="KP1505" s="2060"/>
      <c r="KQ1505" s="2060"/>
      <c r="KR1505" s="2060"/>
      <c r="KS1505" s="2060"/>
      <c r="KT1505" s="2060"/>
      <c r="KU1505" s="2060"/>
      <c r="KV1505" s="2060"/>
      <c r="KW1505" s="2060"/>
      <c r="KX1505" s="2060"/>
      <c r="KY1505" s="2060"/>
      <c r="KZ1505" s="2060"/>
      <c r="LA1505" s="2060"/>
      <c r="LB1505" s="2060"/>
      <c r="LC1505" s="2060"/>
      <c r="LD1505" s="2060"/>
      <c r="LE1505" s="2060"/>
      <c r="LF1505" s="2060"/>
      <c r="LG1505" s="2060"/>
      <c r="LH1505" s="2060"/>
    </row>
    <row r="1506" spans="1:320" s="449" customFormat="1" ht="13.9">
      <c r="A1506" s="269" t="str">
        <f t="shared" si="421"/>
        <v>n</v>
      </c>
      <c r="B1506" s="2060"/>
      <c r="C1506" s="89"/>
      <c r="D1506" s="801"/>
      <c r="E1506" s="1505">
        <v>12</v>
      </c>
      <c r="F1506" s="21" t="str">
        <f>F$140</f>
        <v>--</v>
      </c>
      <c r="G1506" s="1441">
        <f>G$140</f>
        <v>0</v>
      </c>
      <c r="H1506" s="1441"/>
      <c r="I1506" s="1441"/>
      <c r="J1506" s="1441"/>
      <c r="K1506" s="2314" t="str">
        <f t="shared" si="420"/>
        <v>--</v>
      </c>
      <c r="L1506" s="2314" t="str">
        <f t="shared" si="420"/>
        <v>--</v>
      </c>
      <c r="M1506" s="2314" t="str">
        <f t="shared" si="420"/>
        <v>--</v>
      </c>
      <c r="N1506" s="2314" t="str">
        <f t="shared" si="420"/>
        <v>--</v>
      </c>
      <c r="O1506" s="2315" t="str">
        <f t="shared" si="420"/>
        <v>--</v>
      </c>
      <c r="P1506" s="2314" t="str">
        <f t="shared" si="420"/>
        <v>--</v>
      </c>
      <c r="Q1506" s="89"/>
      <c r="R1506" s="1466"/>
      <c r="S1506" s="89"/>
      <c r="T1506" s="53"/>
      <c r="U1506" s="89"/>
      <c r="V1506" s="89"/>
      <c r="W1506" s="89"/>
      <c r="X1506" s="89"/>
      <c r="Y1506" s="89"/>
      <c r="Z1506" s="89"/>
      <c r="AA1506" s="89"/>
      <c r="AB1506" s="89"/>
      <c r="AC1506" s="89"/>
      <c r="AD1506" s="89"/>
      <c r="AE1506" s="89"/>
      <c r="AF1506" s="89"/>
      <c r="AG1506" s="2060"/>
      <c r="AH1506" s="2060"/>
      <c r="AI1506" s="2060"/>
      <c r="AJ1506" s="2060"/>
      <c r="AK1506" s="2060"/>
      <c r="AL1506" s="2060"/>
      <c r="AM1506" s="2060"/>
      <c r="AN1506" s="2060"/>
      <c r="AO1506" s="2060"/>
      <c r="AP1506" s="2060"/>
      <c r="AQ1506" s="2060"/>
      <c r="AR1506" s="2060"/>
      <c r="AS1506" s="2060"/>
      <c r="AT1506" s="2060"/>
      <c r="AU1506" s="2060"/>
      <c r="AV1506" s="2060"/>
      <c r="AW1506" s="2060"/>
      <c r="AX1506" s="2060"/>
      <c r="AY1506" s="2060"/>
      <c r="AZ1506" s="2060"/>
      <c r="BA1506" s="2060"/>
      <c r="BB1506" s="2060"/>
      <c r="BC1506" s="2060"/>
      <c r="BD1506" s="2060"/>
      <c r="BE1506" s="2060"/>
      <c r="BF1506" s="2060"/>
      <c r="BG1506" s="2060"/>
      <c r="BH1506" s="2060"/>
      <c r="BI1506" s="2060"/>
      <c r="BJ1506" s="2060"/>
      <c r="BK1506" s="2060"/>
      <c r="BL1506" s="2060"/>
      <c r="BM1506" s="2060"/>
      <c r="BN1506" s="2060"/>
      <c r="BO1506" s="2060"/>
      <c r="BP1506" s="2060"/>
      <c r="BQ1506" s="2060"/>
      <c r="BR1506" s="2060"/>
      <c r="BS1506" s="2060"/>
      <c r="BT1506" s="2060"/>
      <c r="BU1506" s="2060"/>
      <c r="BV1506" s="2060"/>
      <c r="BW1506" s="2060"/>
      <c r="BX1506" s="2060"/>
      <c r="BY1506" s="2060"/>
      <c r="BZ1506" s="2060"/>
      <c r="CA1506" s="2060"/>
      <c r="CB1506" s="2060"/>
      <c r="CC1506" s="2060"/>
      <c r="CD1506" s="2060"/>
      <c r="CE1506" s="2060"/>
      <c r="CF1506" s="2060"/>
      <c r="CG1506" s="2060"/>
      <c r="CH1506" s="2060"/>
      <c r="CI1506" s="2060"/>
      <c r="CJ1506" s="2060"/>
      <c r="CK1506" s="2060"/>
      <c r="CL1506" s="2060"/>
      <c r="CM1506" s="2060"/>
      <c r="CN1506" s="2060"/>
      <c r="CO1506" s="2060"/>
      <c r="CP1506" s="2060"/>
      <c r="CQ1506" s="2060"/>
      <c r="CR1506" s="2060"/>
      <c r="CS1506" s="2060"/>
      <c r="CT1506" s="2060"/>
      <c r="CU1506" s="2060"/>
      <c r="CV1506" s="2060"/>
      <c r="CW1506" s="2060"/>
      <c r="CX1506" s="2060"/>
      <c r="CY1506" s="2060"/>
      <c r="CZ1506" s="2060"/>
      <c r="DA1506" s="2060"/>
      <c r="DB1506" s="2060"/>
      <c r="DC1506" s="2060"/>
      <c r="DD1506" s="2060"/>
      <c r="DE1506" s="2060"/>
      <c r="DF1506" s="2060"/>
      <c r="DG1506" s="2060"/>
      <c r="DH1506" s="2060"/>
      <c r="DI1506" s="2060"/>
      <c r="DJ1506" s="2060"/>
      <c r="DK1506" s="2060"/>
      <c r="DL1506" s="2060"/>
      <c r="DM1506" s="2060"/>
      <c r="DN1506" s="2060"/>
      <c r="DO1506" s="2060"/>
      <c r="DP1506" s="2060"/>
      <c r="DQ1506" s="2060"/>
      <c r="DR1506" s="2060"/>
      <c r="DS1506" s="2060"/>
      <c r="DT1506" s="2060"/>
      <c r="DU1506" s="2060"/>
      <c r="DV1506" s="2060"/>
      <c r="DW1506" s="2060"/>
      <c r="DX1506" s="2060"/>
      <c r="DY1506" s="2060"/>
      <c r="DZ1506" s="2060"/>
      <c r="EA1506" s="2060"/>
      <c r="EB1506" s="2060"/>
      <c r="EC1506" s="2060"/>
      <c r="ED1506" s="2060"/>
      <c r="EE1506" s="2060"/>
      <c r="EF1506" s="2060"/>
      <c r="EG1506" s="2060"/>
      <c r="EH1506" s="2060"/>
      <c r="EI1506" s="2060"/>
      <c r="EJ1506" s="2060"/>
      <c r="EK1506" s="2060"/>
      <c r="EL1506" s="2060"/>
      <c r="EM1506" s="2060"/>
      <c r="EN1506" s="2060"/>
      <c r="EO1506" s="2060"/>
      <c r="EP1506" s="2060"/>
      <c r="EQ1506" s="2060"/>
      <c r="ER1506" s="2060"/>
      <c r="ES1506" s="2060"/>
      <c r="ET1506" s="2060"/>
      <c r="EU1506" s="2060"/>
      <c r="EV1506" s="2060"/>
      <c r="EW1506" s="2060"/>
      <c r="EX1506" s="2060"/>
      <c r="EY1506" s="2060"/>
      <c r="EZ1506" s="2060"/>
      <c r="FA1506" s="2060"/>
      <c r="FB1506" s="2060"/>
      <c r="FC1506" s="2060"/>
      <c r="FD1506" s="2060"/>
      <c r="FE1506" s="2060"/>
      <c r="FF1506" s="2060"/>
      <c r="FG1506" s="2060"/>
      <c r="FH1506" s="2060"/>
      <c r="FI1506" s="2060"/>
      <c r="FJ1506" s="2060"/>
      <c r="FK1506" s="2060"/>
      <c r="FL1506" s="2060"/>
      <c r="FM1506" s="2060"/>
      <c r="FN1506" s="2060"/>
      <c r="FO1506" s="2060"/>
      <c r="FP1506" s="2060"/>
      <c r="FQ1506" s="2060"/>
      <c r="FR1506" s="2060"/>
      <c r="FS1506" s="2060"/>
      <c r="FT1506" s="2060"/>
      <c r="FU1506" s="2060"/>
      <c r="FV1506" s="2060"/>
      <c r="FW1506" s="2060"/>
      <c r="FX1506" s="2060"/>
      <c r="FY1506" s="2060"/>
      <c r="FZ1506" s="2060"/>
      <c r="GA1506" s="2060"/>
      <c r="GB1506" s="2060"/>
      <c r="GC1506" s="2060"/>
      <c r="GD1506" s="2060"/>
      <c r="GE1506" s="2060"/>
      <c r="GF1506" s="2060"/>
      <c r="GG1506" s="2060"/>
      <c r="GH1506" s="2060"/>
      <c r="GI1506" s="2060"/>
      <c r="GJ1506" s="2060"/>
      <c r="GK1506" s="2060"/>
      <c r="GL1506" s="2060"/>
      <c r="GM1506" s="2060"/>
      <c r="GN1506" s="2060"/>
      <c r="GO1506" s="2060"/>
      <c r="GP1506" s="2060"/>
      <c r="GQ1506" s="2060"/>
      <c r="GR1506" s="2060"/>
      <c r="GS1506" s="2060"/>
      <c r="GT1506" s="2060"/>
      <c r="GU1506" s="2060"/>
      <c r="GV1506" s="2060"/>
      <c r="GW1506" s="2060"/>
      <c r="GX1506" s="2060"/>
      <c r="GY1506" s="2060"/>
      <c r="GZ1506" s="2060"/>
      <c r="HA1506" s="2060"/>
      <c r="HB1506" s="2060"/>
      <c r="HC1506" s="2060"/>
      <c r="HD1506" s="2060"/>
      <c r="HE1506" s="2060"/>
      <c r="HF1506" s="2060"/>
      <c r="HG1506" s="2060"/>
      <c r="HH1506" s="2060"/>
      <c r="HI1506" s="2060"/>
      <c r="HJ1506" s="2060"/>
      <c r="HK1506" s="2060"/>
      <c r="HL1506" s="2060"/>
      <c r="HM1506" s="2060"/>
      <c r="HN1506" s="2060"/>
      <c r="HO1506" s="2060"/>
      <c r="HP1506" s="2060"/>
      <c r="HQ1506" s="2060"/>
      <c r="HR1506" s="2060"/>
      <c r="HS1506" s="2060"/>
      <c r="HT1506" s="2060"/>
      <c r="HU1506" s="2060"/>
      <c r="HV1506" s="2060"/>
      <c r="HW1506" s="2060"/>
      <c r="HX1506" s="2060"/>
      <c r="HY1506" s="2060"/>
      <c r="HZ1506" s="2060"/>
      <c r="IA1506" s="2060"/>
      <c r="IB1506" s="2060"/>
      <c r="IC1506" s="2060"/>
      <c r="ID1506" s="2060"/>
      <c r="IE1506" s="2060"/>
      <c r="IF1506" s="2060"/>
      <c r="IG1506" s="2060"/>
      <c r="IH1506" s="2060"/>
      <c r="II1506" s="2060"/>
      <c r="IJ1506" s="2060"/>
      <c r="IK1506" s="2060"/>
      <c r="IL1506" s="2060"/>
      <c r="IM1506" s="2060"/>
      <c r="IN1506" s="2060"/>
      <c r="IO1506" s="2060"/>
      <c r="IP1506" s="2060"/>
      <c r="IQ1506" s="2060"/>
      <c r="IR1506" s="2060"/>
      <c r="IS1506" s="2060"/>
      <c r="IT1506" s="2060"/>
      <c r="IU1506" s="2060"/>
      <c r="IV1506" s="2060"/>
      <c r="IW1506" s="2060"/>
      <c r="IX1506" s="2060"/>
      <c r="IY1506" s="2060"/>
      <c r="IZ1506" s="2060"/>
      <c r="JA1506" s="2060"/>
      <c r="JB1506" s="2060"/>
      <c r="JC1506" s="2060"/>
      <c r="JD1506" s="2060"/>
      <c r="JE1506" s="2060"/>
      <c r="JF1506" s="2060"/>
      <c r="JG1506" s="2060"/>
      <c r="JH1506" s="2060"/>
      <c r="JI1506" s="2060"/>
      <c r="JJ1506" s="2060"/>
      <c r="JK1506" s="2060"/>
      <c r="JL1506" s="2060"/>
      <c r="JM1506" s="2060"/>
      <c r="JN1506" s="2060"/>
      <c r="JO1506" s="2060"/>
      <c r="JP1506" s="2060"/>
      <c r="JQ1506" s="2060"/>
      <c r="JR1506" s="2060"/>
      <c r="JS1506" s="2060"/>
      <c r="JT1506" s="2060"/>
      <c r="JU1506" s="2060"/>
      <c r="JV1506" s="2060"/>
      <c r="JW1506" s="2060"/>
      <c r="JX1506" s="2060"/>
      <c r="JY1506" s="2060"/>
      <c r="JZ1506" s="2060"/>
      <c r="KA1506" s="2060"/>
      <c r="KB1506" s="2060"/>
      <c r="KC1506" s="2060"/>
      <c r="KD1506" s="2060"/>
      <c r="KE1506" s="2060"/>
      <c r="KF1506" s="2060"/>
      <c r="KG1506" s="2060"/>
      <c r="KH1506" s="2060"/>
      <c r="KI1506" s="2060"/>
      <c r="KJ1506" s="2060"/>
      <c r="KK1506" s="2060"/>
      <c r="KL1506" s="2060"/>
      <c r="KM1506" s="2060"/>
      <c r="KN1506" s="2060"/>
      <c r="KO1506" s="2060"/>
      <c r="KP1506" s="2060"/>
      <c r="KQ1506" s="2060"/>
      <c r="KR1506" s="2060"/>
      <c r="KS1506" s="2060"/>
      <c r="KT1506" s="2060"/>
      <c r="KU1506" s="2060"/>
      <c r="KV1506" s="2060"/>
      <c r="KW1506" s="2060"/>
      <c r="KX1506" s="2060"/>
      <c r="KY1506" s="2060"/>
      <c r="KZ1506" s="2060"/>
      <c r="LA1506" s="2060"/>
      <c r="LB1506" s="2060"/>
      <c r="LC1506" s="2060"/>
      <c r="LD1506" s="2060"/>
      <c r="LE1506" s="2060"/>
      <c r="LF1506" s="2060"/>
      <c r="LG1506" s="2060"/>
      <c r="LH1506" s="2060"/>
    </row>
    <row r="1507" spans="1:320" s="449" customFormat="1" ht="13.9">
      <c r="A1507" s="269" t="str">
        <f t="shared" si="421"/>
        <v>n</v>
      </c>
      <c r="B1507" s="2060"/>
      <c r="C1507" s="89"/>
      <c r="D1507" s="801"/>
      <c r="E1507" s="1505">
        <v>13</v>
      </c>
      <c r="F1507" s="21" t="str">
        <f>F$141</f>
        <v>--</v>
      </c>
      <c r="G1507" s="1441">
        <f>G$141</f>
        <v>0</v>
      </c>
      <c r="H1507" s="1441"/>
      <c r="I1507" s="1441"/>
      <c r="J1507" s="1441"/>
      <c r="K1507" s="2314" t="str">
        <f t="shared" ref="K1507:P1507" si="422">IFERROR(K795/K1014,"--")</f>
        <v>--</v>
      </c>
      <c r="L1507" s="2314" t="str">
        <f t="shared" si="422"/>
        <v>--</v>
      </c>
      <c r="M1507" s="2314" t="str">
        <f t="shared" si="422"/>
        <v>--</v>
      </c>
      <c r="N1507" s="2314" t="str">
        <f t="shared" si="422"/>
        <v>--</v>
      </c>
      <c r="O1507" s="2315" t="str">
        <f t="shared" si="422"/>
        <v>--</v>
      </c>
      <c r="P1507" s="2314" t="str">
        <f t="shared" si="422"/>
        <v>--</v>
      </c>
      <c r="Q1507" s="89"/>
      <c r="R1507" s="1466"/>
      <c r="S1507" s="89"/>
      <c r="T1507" s="53"/>
      <c r="U1507" s="89"/>
      <c r="V1507" s="89"/>
      <c r="W1507" s="89"/>
      <c r="X1507" s="89"/>
      <c r="Y1507" s="89"/>
      <c r="Z1507" s="89"/>
      <c r="AA1507" s="89"/>
      <c r="AB1507" s="89"/>
      <c r="AC1507" s="89"/>
      <c r="AD1507" s="89"/>
      <c r="AE1507" s="89"/>
      <c r="AF1507" s="89"/>
      <c r="AG1507" s="2060"/>
      <c r="AH1507" s="2060"/>
      <c r="AI1507" s="2060"/>
      <c r="AJ1507" s="2060"/>
      <c r="AK1507" s="2060"/>
      <c r="AL1507" s="2060"/>
      <c r="AM1507" s="2060"/>
      <c r="AN1507" s="2060"/>
      <c r="AO1507" s="2060"/>
      <c r="AP1507" s="2060"/>
      <c r="AQ1507" s="2060"/>
      <c r="AR1507" s="2060"/>
      <c r="AS1507" s="2060"/>
      <c r="AT1507" s="2060"/>
      <c r="AU1507" s="2060"/>
      <c r="AV1507" s="2060"/>
      <c r="AW1507" s="2060"/>
      <c r="AX1507" s="2060"/>
      <c r="AY1507" s="2060"/>
      <c r="AZ1507" s="2060"/>
      <c r="BA1507" s="2060"/>
      <c r="BB1507" s="2060"/>
      <c r="BC1507" s="2060"/>
      <c r="BD1507" s="2060"/>
      <c r="BE1507" s="2060"/>
      <c r="BF1507" s="2060"/>
      <c r="BG1507" s="2060"/>
      <c r="BH1507" s="2060"/>
      <c r="BI1507" s="2060"/>
      <c r="BJ1507" s="2060"/>
      <c r="BK1507" s="2060"/>
      <c r="BL1507" s="2060"/>
      <c r="BM1507" s="2060"/>
      <c r="BN1507" s="2060"/>
      <c r="BO1507" s="2060"/>
      <c r="BP1507" s="2060"/>
      <c r="BQ1507" s="2060"/>
      <c r="BR1507" s="2060"/>
      <c r="BS1507" s="2060"/>
      <c r="BT1507" s="2060"/>
      <c r="BU1507" s="2060"/>
      <c r="BV1507" s="2060"/>
      <c r="BW1507" s="2060"/>
      <c r="BX1507" s="2060"/>
      <c r="BY1507" s="2060"/>
      <c r="BZ1507" s="2060"/>
      <c r="CA1507" s="2060"/>
      <c r="CB1507" s="2060"/>
      <c r="CC1507" s="2060"/>
      <c r="CD1507" s="2060"/>
      <c r="CE1507" s="2060"/>
      <c r="CF1507" s="2060"/>
      <c r="CG1507" s="2060"/>
      <c r="CH1507" s="2060"/>
      <c r="CI1507" s="2060"/>
      <c r="CJ1507" s="2060"/>
      <c r="CK1507" s="2060"/>
      <c r="CL1507" s="2060"/>
      <c r="CM1507" s="2060"/>
      <c r="CN1507" s="2060"/>
      <c r="CO1507" s="2060"/>
      <c r="CP1507" s="2060"/>
      <c r="CQ1507" s="2060"/>
      <c r="CR1507" s="2060"/>
      <c r="CS1507" s="2060"/>
      <c r="CT1507" s="2060"/>
      <c r="CU1507" s="2060"/>
      <c r="CV1507" s="2060"/>
      <c r="CW1507" s="2060"/>
      <c r="CX1507" s="2060"/>
      <c r="CY1507" s="2060"/>
      <c r="CZ1507" s="2060"/>
      <c r="DA1507" s="2060"/>
      <c r="DB1507" s="2060"/>
      <c r="DC1507" s="2060"/>
      <c r="DD1507" s="2060"/>
      <c r="DE1507" s="2060"/>
      <c r="DF1507" s="2060"/>
      <c r="DG1507" s="2060"/>
      <c r="DH1507" s="2060"/>
      <c r="DI1507" s="2060"/>
      <c r="DJ1507" s="2060"/>
      <c r="DK1507" s="2060"/>
      <c r="DL1507" s="2060"/>
      <c r="DM1507" s="2060"/>
      <c r="DN1507" s="2060"/>
      <c r="DO1507" s="2060"/>
      <c r="DP1507" s="2060"/>
      <c r="DQ1507" s="2060"/>
      <c r="DR1507" s="2060"/>
      <c r="DS1507" s="2060"/>
      <c r="DT1507" s="2060"/>
      <c r="DU1507" s="2060"/>
      <c r="DV1507" s="2060"/>
      <c r="DW1507" s="2060"/>
      <c r="DX1507" s="2060"/>
      <c r="DY1507" s="2060"/>
      <c r="DZ1507" s="2060"/>
      <c r="EA1507" s="2060"/>
      <c r="EB1507" s="2060"/>
      <c r="EC1507" s="2060"/>
      <c r="ED1507" s="2060"/>
      <c r="EE1507" s="2060"/>
      <c r="EF1507" s="2060"/>
      <c r="EG1507" s="2060"/>
      <c r="EH1507" s="2060"/>
      <c r="EI1507" s="2060"/>
      <c r="EJ1507" s="2060"/>
      <c r="EK1507" s="2060"/>
      <c r="EL1507" s="2060"/>
      <c r="EM1507" s="2060"/>
      <c r="EN1507" s="2060"/>
      <c r="EO1507" s="2060"/>
      <c r="EP1507" s="2060"/>
      <c r="EQ1507" s="2060"/>
      <c r="ER1507" s="2060"/>
      <c r="ES1507" s="2060"/>
      <c r="ET1507" s="2060"/>
      <c r="EU1507" s="2060"/>
      <c r="EV1507" s="2060"/>
      <c r="EW1507" s="2060"/>
      <c r="EX1507" s="2060"/>
      <c r="EY1507" s="2060"/>
      <c r="EZ1507" s="2060"/>
      <c r="FA1507" s="2060"/>
      <c r="FB1507" s="2060"/>
      <c r="FC1507" s="2060"/>
      <c r="FD1507" s="2060"/>
      <c r="FE1507" s="2060"/>
      <c r="FF1507" s="2060"/>
      <c r="FG1507" s="2060"/>
      <c r="FH1507" s="2060"/>
      <c r="FI1507" s="2060"/>
      <c r="FJ1507" s="2060"/>
      <c r="FK1507" s="2060"/>
      <c r="FL1507" s="2060"/>
      <c r="FM1507" s="2060"/>
      <c r="FN1507" s="2060"/>
      <c r="FO1507" s="2060"/>
      <c r="FP1507" s="2060"/>
      <c r="FQ1507" s="2060"/>
      <c r="FR1507" s="2060"/>
      <c r="FS1507" s="2060"/>
      <c r="FT1507" s="2060"/>
      <c r="FU1507" s="2060"/>
      <c r="FV1507" s="2060"/>
      <c r="FW1507" s="2060"/>
      <c r="FX1507" s="2060"/>
      <c r="FY1507" s="2060"/>
      <c r="FZ1507" s="2060"/>
      <c r="GA1507" s="2060"/>
      <c r="GB1507" s="2060"/>
      <c r="GC1507" s="2060"/>
      <c r="GD1507" s="2060"/>
      <c r="GE1507" s="2060"/>
      <c r="GF1507" s="2060"/>
      <c r="GG1507" s="2060"/>
      <c r="GH1507" s="2060"/>
      <c r="GI1507" s="2060"/>
      <c r="GJ1507" s="2060"/>
      <c r="GK1507" s="2060"/>
      <c r="GL1507" s="2060"/>
      <c r="GM1507" s="2060"/>
      <c r="GN1507" s="2060"/>
      <c r="GO1507" s="2060"/>
      <c r="GP1507" s="2060"/>
      <c r="GQ1507" s="2060"/>
      <c r="GR1507" s="2060"/>
      <c r="GS1507" s="2060"/>
      <c r="GT1507" s="2060"/>
      <c r="GU1507" s="2060"/>
      <c r="GV1507" s="2060"/>
      <c r="GW1507" s="2060"/>
      <c r="GX1507" s="2060"/>
      <c r="GY1507" s="2060"/>
      <c r="GZ1507" s="2060"/>
      <c r="HA1507" s="2060"/>
      <c r="HB1507" s="2060"/>
      <c r="HC1507" s="2060"/>
      <c r="HD1507" s="2060"/>
      <c r="HE1507" s="2060"/>
      <c r="HF1507" s="2060"/>
      <c r="HG1507" s="2060"/>
      <c r="HH1507" s="2060"/>
      <c r="HI1507" s="2060"/>
      <c r="HJ1507" s="2060"/>
      <c r="HK1507" s="2060"/>
      <c r="HL1507" s="2060"/>
      <c r="HM1507" s="2060"/>
      <c r="HN1507" s="2060"/>
      <c r="HO1507" s="2060"/>
      <c r="HP1507" s="2060"/>
      <c r="HQ1507" s="2060"/>
      <c r="HR1507" s="2060"/>
      <c r="HS1507" s="2060"/>
      <c r="HT1507" s="2060"/>
      <c r="HU1507" s="2060"/>
      <c r="HV1507" s="2060"/>
      <c r="HW1507" s="2060"/>
      <c r="HX1507" s="2060"/>
      <c r="HY1507" s="2060"/>
      <c r="HZ1507" s="2060"/>
      <c r="IA1507" s="2060"/>
      <c r="IB1507" s="2060"/>
      <c r="IC1507" s="2060"/>
      <c r="ID1507" s="2060"/>
      <c r="IE1507" s="2060"/>
      <c r="IF1507" s="2060"/>
      <c r="IG1507" s="2060"/>
      <c r="IH1507" s="2060"/>
      <c r="II1507" s="2060"/>
      <c r="IJ1507" s="2060"/>
      <c r="IK1507" s="2060"/>
      <c r="IL1507" s="2060"/>
      <c r="IM1507" s="2060"/>
      <c r="IN1507" s="2060"/>
      <c r="IO1507" s="2060"/>
      <c r="IP1507" s="2060"/>
      <c r="IQ1507" s="2060"/>
      <c r="IR1507" s="2060"/>
      <c r="IS1507" s="2060"/>
      <c r="IT1507" s="2060"/>
      <c r="IU1507" s="2060"/>
      <c r="IV1507" s="2060"/>
      <c r="IW1507" s="2060"/>
      <c r="IX1507" s="2060"/>
      <c r="IY1507" s="2060"/>
      <c r="IZ1507" s="2060"/>
      <c r="JA1507" s="2060"/>
      <c r="JB1507" s="2060"/>
      <c r="JC1507" s="2060"/>
      <c r="JD1507" s="2060"/>
      <c r="JE1507" s="2060"/>
      <c r="JF1507" s="2060"/>
      <c r="JG1507" s="2060"/>
      <c r="JH1507" s="2060"/>
      <c r="JI1507" s="2060"/>
      <c r="JJ1507" s="2060"/>
      <c r="JK1507" s="2060"/>
      <c r="JL1507" s="2060"/>
      <c r="JM1507" s="2060"/>
      <c r="JN1507" s="2060"/>
      <c r="JO1507" s="2060"/>
      <c r="JP1507" s="2060"/>
      <c r="JQ1507" s="2060"/>
      <c r="JR1507" s="2060"/>
      <c r="JS1507" s="2060"/>
      <c r="JT1507" s="2060"/>
      <c r="JU1507" s="2060"/>
      <c r="JV1507" s="2060"/>
      <c r="JW1507" s="2060"/>
      <c r="JX1507" s="2060"/>
      <c r="JY1507" s="2060"/>
      <c r="JZ1507" s="2060"/>
      <c r="KA1507" s="2060"/>
      <c r="KB1507" s="2060"/>
      <c r="KC1507" s="2060"/>
      <c r="KD1507" s="2060"/>
      <c r="KE1507" s="2060"/>
      <c r="KF1507" s="2060"/>
      <c r="KG1507" s="2060"/>
      <c r="KH1507" s="2060"/>
      <c r="KI1507" s="2060"/>
      <c r="KJ1507" s="2060"/>
      <c r="KK1507" s="2060"/>
      <c r="KL1507" s="2060"/>
      <c r="KM1507" s="2060"/>
      <c r="KN1507" s="2060"/>
      <c r="KO1507" s="2060"/>
      <c r="KP1507" s="2060"/>
      <c r="KQ1507" s="2060"/>
      <c r="KR1507" s="2060"/>
      <c r="KS1507" s="2060"/>
      <c r="KT1507" s="2060"/>
      <c r="KU1507" s="2060"/>
      <c r="KV1507" s="2060"/>
      <c r="KW1507" s="2060"/>
      <c r="KX1507" s="2060"/>
      <c r="KY1507" s="2060"/>
      <c r="KZ1507" s="2060"/>
      <c r="LA1507" s="2060"/>
      <c r="LB1507" s="2060"/>
      <c r="LC1507" s="2060"/>
      <c r="LD1507" s="2060"/>
      <c r="LE1507" s="2060"/>
      <c r="LF1507" s="2060"/>
      <c r="LG1507" s="2060"/>
      <c r="LH1507" s="2060"/>
    </row>
    <row r="1508" spans="1:320" s="449" customFormat="1" ht="13.9">
      <c r="A1508" s="269" t="str">
        <f t="shared" si="421"/>
        <v>n</v>
      </c>
      <c r="B1508" s="2060"/>
      <c r="C1508" s="89"/>
      <c r="D1508" s="801"/>
      <c r="E1508" s="1505">
        <v>14</v>
      </c>
      <c r="F1508" s="21" t="str">
        <f>F$142</f>
        <v>--</v>
      </c>
      <c r="G1508" s="1441">
        <f>G$142</f>
        <v>0</v>
      </c>
      <c r="H1508" s="1441"/>
      <c r="I1508" s="1441"/>
      <c r="J1508" s="1441"/>
      <c r="K1508" s="2314" t="str">
        <f t="shared" ref="K1508:P1508" si="423">IFERROR(K796/K1015,"--")</f>
        <v>--</v>
      </c>
      <c r="L1508" s="2314" t="str">
        <f t="shared" si="423"/>
        <v>--</v>
      </c>
      <c r="M1508" s="2314" t="str">
        <f t="shared" si="423"/>
        <v>--</v>
      </c>
      <c r="N1508" s="2314" t="str">
        <f t="shared" si="423"/>
        <v>--</v>
      </c>
      <c r="O1508" s="2315" t="str">
        <f t="shared" si="423"/>
        <v>--</v>
      </c>
      <c r="P1508" s="2314" t="str">
        <f t="shared" si="423"/>
        <v>--</v>
      </c>
      <c r="Q1508" s="89"/>
      <c r="R1508" s="1466"/>
      <c r="S1508" s="89"/>
      <c r="T1508" s="53"/>
      <c r="U1508" s="89"/>
      <c r="V1508" s="89"/>
      <c r="W1508" s="89"/>
      <c r="X1508" s="89"/>
      <c r="Y1508" s="89"/>
      <c r="Z1508" s="89"/>
      <c r="AA1508" s="89"/>
      <c r="AB1508" s="89"/>
      <c r="AC1508" s="89"/>
      <c r="AD1508" s="89"/>
      <c r="AE1508" s="89"/>
      <c r="AF1508" s="89"/>
      <c r="AG1508" s="2060"/>
      <c r="AH1508" s="2060"/>
      <c r="AI1508" s="2060"/>
      <c r="AJ1508" s="2060"/>
      <c r="AK1508" s="2060"/>
      <c r="AL1508" s="2060"/>
      <c r="AM1508" s="2060"/>
      <c r="AN1508" s="2060"/>
      <c r="AO1508" s="2060"/>
      <c r="AP1508" s="2060"/>
      <c r="AQ1508" s="2060"/>
      <c r="AR1508" s="2060"/>
      <c r="AS1508" s="2060"/>
      <c r="AT1508" s="2060"/>
      <c r="AU1508" s="2060"/>
      <c r="AV1508" s="2060"/>
      <c r="AW1508" s="2060"/>
      <c r="AX1508" s="2060"/>
      <c r="AY1508" s="2060"/>
      <c r="AZ1508" s="2060"/>
      <c r="BA1508" s="2060"/>
      <c r="BB1508" s="2060"/>
      <c r="BC1508" s="2060"/>
      <c r="BD1508" s="2060"/>
      <c r="BE1508" s="2060"/>
      <c r="BF1508" s="2060"/>
      <c r="BG1508" s="2060"/>
      <c r="BH1508" s="2060"/>
      <c r="BI1508" s="2060"/>
      <c r="BJ1508" s="2060"/>
      <c r="BK1508" s="2060"/>
      <c r="BL1508" s="2060"/>
      <c r="BM1508" s="2060"/>
      <c r="BN1508" s="2060"/>
      <c r="BO1508" s="2060"/>
      <c r="BP1508" s="2060"/>
      <c r="BQ1508" s="2060"/>
      <c r="BR1508" s="2060"/>
      <c r="BS1508" s="2060"/>
      <c r="BT1508" s="2060"/>
      <c r="BU1508" s="2060"/>
      <c r="BV1508" s="2060"/>
      <c r="BW1508" s="2060"/>
      <c r="BX1508" s="2060"/>
      <c r="BY1508" s="2060"/>
      <c r="BZ1508" s="2060"/>
      <c r="CA1508" s="2060"/>
      <c r="CB1508" s="2060"/>
      <c r="CC1508" s="2060"/>
      <c r="CD1508" s="2060"/>
      <c r="CE1508" s="2060"/>
      <c r="CF1508" s="2060"/>
      <c r="CG1508" s="2060"/>
      <c r="CH1508" s="2060"/>
      <c r="CI1508" s="2060"/>
      <c r="CJ1508" s="2060"/>
      <c r="CK1508" s="2060"/>
      <c r="CL1508" s="2060"/>
      <c r="CM1508" s="2060"/>
      <c r="CN1508" s="2060"/>
      <c r="CO1508" s="2060"/>
      <c r="CP1508" s="2060"/>
      <c r="CQ1508" s="2060"/>
      <c r="CR1508" s="2060"/>
      <c r="CS1508" s="2060"/>
      <c r="CT1508" s="2060"/>
      <c r="CU1508" s="2060"/>
      <c r="CV1508" s="2060"/>
      <c r="CW1508" s="2060"/>
      <c r="CX1508" s="2060"/>
      <c r="CY1508" s="2060"/>
      <c r="CZ1508" s="2060"/>
      <c r="DA1508" s="2060"/>
      <c r="DB1508" s="2060"/>
      <c r="DC1508" s="2060"/>
      <c r="DD1508" s="2060"/>
      <c r="DE1508" s="2060"/>
      <c r="DF1508" s="2060"/>
      <c r="DG1508" s="2060"/>
      <c r="DH1508" s="2060"/>
      <c r="DI1508" s="2060"/>
      <c r="DJ1508" s="2060"/>
      <c r="DK1508" s="2060"/>
      <c r="DL1508" s="2060"/>
      <c r="DM1508" s="2060"/>
      <c r="DN1508" s="2060"/>
      <c r="DO1508" s="2060"/>
      <c r="DP1508" s="2060"/>
      <c r="DQ1508" s="2060"/>
      <c r="DR1508" s="2060"/>
      <c r="DS1508" s="2060"/>
      <c r="DT1508" s="2060"/>
      <c r="DU1508" s="2060"/>
      <c r="DV1508" s="2060"/>
      <c r="DW1508" s="2060"/>
      <c r="DX1508" s="2060"/>
      <c r="DY1508" s="2060"/>
      <c r="DZ1508" s="2060"/>
      <c r="EA1508" s="2060"/>
      <c r="EB1508" s="2060"/>
      <c r="EC1508" s="2060"/>
      <c r="ED1508" s="2060"/>
      <c r="EE1508" s="2060"/>
      <c r="EF1508" s="2060"/>
      <c r="EG1508" s="2060"/>
      <c r="EH1508" s="2060"/>
      <c r="EI1508" s="2060"/>
      <c r="EJ1508" s="2060"/>
      <c r="EK1508" s="2060"/>
      <c r="EL1508" s="2060"/>
      <c r="EM1508" s="2060"/>
      <c r="EN1508" s="2060"/>
      <c r="EO1508" s="2060"/>
      <c r="EP1508" s="2060"/>
      <c r="EQ1508" s="2060"/>
      <c r="ER1508" s="2060"/>
      <c r="ES1508" s="2060"/>
      <c r="ET1508" s="2060"/>
      <c r="EU1508" s="2060"/>
      <c r="EV1508" s="2060"/>
      <c r="EW1508" s="2060"/>
      <c r="EX1508" s="2060"/>
      <c r="EY1508" s="2060"/>
      <c r="EZ1508" s="2060"/>
      <c r="FA1508" s="2060"/>
      <c r="FB1508" s="2060"/>
      <c r="FC1508" s="2060"/>
      <c r="FD1508" s="2060"/>
      <c r="FE1508" s="2060"/>
      <c r="FF1508" s="2060"/>
      <c r="FG1508" s="2060"/>
      <c r="FH1508" s="2060"/>
      <c r="FI1508" s="2060"/>
      <c r="FJ1508" s="2060"/>
      <c r="FK1508" s="2060"/>
      <c r="FL1508" s="2060"/>
      <c r="FM1508" s="2060"/>
      <c r="FN1508" s="2060"/>
      <c r="FO1508" s="2060"/>
      <c r="FP1508" s="2060"/>
      <c r="FQ1508" s="2060"/>
      <c r="FR1508" s="2060"/>
      <c r="FS1508" s="2060"/>
      <c r="FT1508" s="2060"/>
      <c r="FU1508" s="2060"/>
      <c r="FV1508" s="2060"/>
      <c r="FW1508" s="2060"/>
      <c r="FX1508" s="2060"/>
      <c r="FY1508" s="2060"/>
      <c r="FZ1508" s="2060"/>
      <c r="GA1508" s="2060"/>
      <c r="GB1508" s="2060"/>
      <c r="GC1508" s="2060"/>
      <c r="GD1508" s="2060"/>
      <c r="GE1508" s="2060"/>
      <c r="GF1508" s="2060"/>
      <c r="GG1508" s="2060"/>
      <c r="GH1508" s="2060"/>
      <c r="GI1508" s="2060"/>
      <c r="GJ1508" s="2060"/>
      <c r="GK1508" s="2060"/>
      <c r="GL1508" s="2060"/>
      <c r="GM1508" s="2060"/>
      <c r="GN1508" s="2060"/>
      <c r="GO1508" s="2060"/>
      <c r="GP1508" s="2060"/>
      <c r="GQ1508" s="2060"/>
      <c r="GR1508" s="2060"/>
      <c r="GS1508" s="2060"/>
      <c r="GT1508" s="2060"/>
      <c r="GU1508" s="2060"/>
      <c r="GV1508" s="2060"/>
      <c r="GW1508" s="2060"/>
      <c r="GX1508" s="2060"/>
      <c r="GY1508" s="2060"/>
      <c r="GZ1508" s="2060"/>
      <c r="HA1508" s="2060"/>
      <c r="HB1508" s="2060"/>
      <c r="HC1508" s="2060"/>
      <c r="HD1508" s="2060"/>
      <c r="HE1508" s="2060"/>
      <c r="HF1508" s="2060"/>
      <c r="HG1508" s="2060"/>
      <c r="HH1508" s="2060"/>
      <c r="HI1508" s="2060"/>
      <c r="HJ1508" s="2060"/>
      <c r="HK1508" s="2060"/>
      <c r="HL1508" s="2060"/>
      <c r="HM1508" s="2060"/>
      <c r="HN1508" s="2060"/>
      <c r="HO1508" s="2060"/>
      <c r="HP1508" s="2060"/>
      <c r="HQ1508" s="2060"/>
      <c r="HR1508" s="2060"/>
      <c r="HS1508" s="2060"/>
      <c r="HT1508" s="2060"/>
      <c r="HU1508" s="2060"/>
      <c r="HV1508" s="2060"/>
      <c r="HW1508" s="2060"/>
      <c r="HX1508" s="2060"/>
      <c r="HY1508" s="2060"/>
      <c r="HZ1508" s="2060"/>
      <c r="IA1508" s="2060"/>
      <c r="IB1508" s="2060"/>
      <c r="IC1508" s="2060"/>
      <c r="ID1508" s="2060"/>
      <c r="IE1508" s="2060"/>
      <c r="IF1508" s="2060"/>
      <c r="IG1508" s="2060"/>
      <c r="IH1508" s="2060"/>
      <c r="II1508" s="2060"/>
      <c r="IJ1508" s="2060"/>
      <c r="IK1508" s="2060"/>
      <c r="IL1508" s="2060"/>
      <c r="IM1508" s="2060"/>
      <c r="IN1508" s="2060"/>
      <c r="IO1508" s="2060"/>
      <c r="IP1508" s="2060"/>
      <c r="IQ1508" s="2060"/>
      <c r="IR1508" s="2060"/>
      <c r="IS1508" s="2060"/>
      <c r="IT1508" s="2060"/>
      <c r="IU1508" s="2060"/>
      <c r="IV1508" s="2060"/>
      <c r="IW1508" s="2060"/>
      <c r="IX1508" s="2060"/>
      <c r="IY1508" s="2060"/>
      <c r="IZ1508" s="2060"/>
      <c r="JA1508" s="2060"/>
      <c r="JB1508" s="2060"/>
      <c r="JC1508" s="2060"/>
      <c r="JD1508" s="2060"/>
      <c r="JE1508" s="2060"/>
      <c r="JF1508" s="2060"/>
      <c r="JG1508" s="2060"/>
      <c r="JH1508" s="2060"/>
      <c r="JI1508" s="2060"/>
      <c r="JJ1508" s="2060"/>
      <c r="JK1508" s="2060"/>
      <c r="JL1508" s="2060"/>
      <c r="JM1508" s="2060"/>
      <c r="JN1508" s="2060"/>
      <c r="JO1508" s="2060"/>
      <c r="JP1508" s="2060"/>
      <c r="JQ1508" s="2060"/>
      <c r="JR1508" s="2060"/>
      <c r="JS1508" s="2060"/>
      <c r="JT1508" s="2060"/>
      <c r="JU1508" s="2060"/>
      <c r="JV1508" s="2060"/>
      <c r="JW1508" s="2060"/>
      <c r="JX1508" s="2060"/>
      <c r="JY1508" s="2060"/>
      <c r="JZ1508" s="2060"/>
      <c r="KA1508" s="2060"/>
      <c r="KB1508" s="2060"/>
      <c r="KC1508" s="2060"/>
      <c r="KD1508" s="2060"/>
      <c r="KE1508" s="2060"/>
      <c r="KF1508" s="2060"/>
      <c r="KG1508" s="2060"/>
      <c r="KH1508" s="2060"/>
      <c r="KI1508" s="2060"/>
      <c r="KJ1508" s="2060"/>
      <c r="KK1508" s="2060"/>
      <c r="KL1508" s="2060"/>
      <c r="KM1508" s="2060"/>
      <c r="KN1508" s="2060"/>
      <c r="KO1508" s="2060"/>
      <c r="KP1508" s="2060"/>
      <c r="KQ1508" s="2060"/>
      <c r="KR1508" s="2060"/>
      <c r="KS1508" s="2060"/>
      <c r="KT1508" s="2060"/>
      <c r="KU1508" s="2060"/>
      <c r="KV1508" s="2060"/>
      <c r="KW1508" s="2060"/>
      <c r="KX1508" s="2060"/>
      <c r="KY1508" s="2060"/>
      <c r="KZ1508" s="2060"/>
      <c r="LA1508" s="2060"/>
      <c r="LB1508" s="2060"/>
      <c r="LC1508" s="2060"/>
      <c r="LD1508" s="2060"/>
      <c r="LE1508" s="2060"/>
      <c r="LF1508" s="2060"/>
      <c r="LG1508" s="2060"/>
      <c r="LH1508" s="2060"/>
    </row>
    <row r="1509" spans="1:320" s="1499" customFormat="1" ht="13.9">
      <c r="A1509" s="269" t="str">
        <f t="shared" si="421"/>
        <v>n</v>
      </c>
      <c r="B1509" s="2060"/>
      <c r="C1509" s="89"/>
      <c r="D1509" s="801"/>
      <c r="E1509" s="1505">
        <v>15</v>
      </c>
      <c r="F1509" s="21" t="str">
        <f>F$143</f>
        <v>--</v>
      </c>
      <c r="G1509" s="1441">
        <f>G$143</f>
        <v>0</v>
      </c>
      <c r="H1509" s="1441"/>
      <c r="I1509" s="1441"/>
      <c r="J1509" s="1441"/>
      <c r="K1509" s="2314" t="str">
        <f t="shared" ref="K1509:P1509" si="424">IFERROR(K797/K1016,"--")</f>
        <v>--</v>
      </c>
      <c r="L1509" s="2314" t="str">
        <f t="shared" si="424"/>
        <v>--</v>
      </c>
      <c r="M1509" s="2314" t="str">
        <f t="shared" si="424"/>
        <v>--</v>
      </c>
      <c r="N1509" s="2314" t="str">
        <f t="shared" si="424"/>
        <v>--</v>
      </c>
      <c r="O1509" s="2315" t="str">
        <f t="shared" si="424"/>
        <v>--</v>
      </c>
      <c r="P1509" s="2314" t="str">
        <f t="shared" si="424"/>
        <v>--</v>
      </c>
      <c r="Q1509" s="89"/>
      <c r="R1509" s="1466"/>
      <c r="S1509" s="89"/>
      <c r="T1509" s="53"/>
      <c r="U1509" s="89"/>
      <c r="V1509" s="89"/>
      <c r="W1509" s="89"/>
      <c r="X1509" s="89"/>
      <c r="Y1509" s="89"/>
      <c r="Z1509" s="89"/>
      <c r="AA1509" s="89"/>
      <c r="AB1509" s="89"/>
      <c r="AC1509" s="89"/>
      <c r="AD1509" s="89"/>
      <c r="AE1509" s="89"/>
      <c r="AF1509" s="89"/>
      <c r="AG1509" s="2060"/>
      <c r="AH1509" s="2060"/>
      <c r="AI1509" s="2060"/>
      <c r="AJ1509" s="2060"/>
      <c r="AK1509" s="2060"/>
      <c r="AL1509" s="2060"/>
      <c r="AM1509" s="2060"/>
      <c r="AN1509" s="2060"/>
      <c r="AO1509" s="2060"/>
      <c r="AP1509" s="2060"/>
      <c r="AQ1509" s="2060"/>
      <c r="AR1509" s="2060"/>
      <c r="AS1509" s="2060"/>
      <c r="AT1509" s="2060"/>
      <c r="AU1509" s="2060"/>
      <c r="AV1509" s="2060"/>
      <c r="AW1509" s="2060"/>
      <c r="AX1509" s="2060"/>
      <c r="AY1509" s="2060"/>
      <c r="AZ1509" s="2060"/>
      <c r="BA1509" s="2060"/>
      <c r="BB1509" s="2060"/>
      <c r="BC1509" s="2060"/>
      <c r="BD1509" s="2060"/>
      <c r="BE1509" s="2060"/>
      <c r="BF1509" s="2060"/>
      <c r="BG1509" s="2060"/>
      <c r="BH1509" s="2060"/>
      <c r="BI1509" s="2060"/>
      <c r="BJ1509" s="2060"/>
      <c r="BK1509" s="2060"/>
      <c r="BL1509" s="2060"/>
      <c r="BM1509" s="2060"/>
      <c r="BN1509" s="2060"/>
      <c r="BO1509" s="2060"/>
      <c r="BP1509" s="2060"/>
      <c r="BQ1509" s="2060"/>
      <c r="BR1509" s="2060"/>
      <c r="BS1509" s="2060"/>
      <c r="BT1509" s="2060"/>
      <c r="BU1509" s="2060"/>
      <c r="BV1509" s="2060"/>
      <c r="BW1509" s="2060"/>
      <c r="BX1509" s="2060"/>
      <c r="BY1509" s="2060"/>
      <c r="BZ1509" s="2060"/>
      <c r="CA1509" s="2060"/>
      <c r="CB1509" s="2060"/>
      <c r="CC1509" s="2060"/>
      <c r="CD1509" s="2060"/>
      <c r="CE1509" s="2060"/>
      <c r="CF1509" s="2060"/>
      <c r="CG1509" s="2060"/>
      <c r="CH1509" s="2060"/>
      <c r="CI1509" s="2060"/>
      <c r="CJ1509" s="2060"/>
      <c r="CK1509" s="2060"/>
      <c r="CL1509" s="2060"/>
      <c r="CM1509" s="2060"/>
      <c r="CN1509" s="2060"/>
      <c r="CO1509" s="2060"/>
      <c r="CP1509" s="2060"/>
      <c r="CQ1509" s="2060"/>
      <c r="CR1509" s="2060"/>
      <c r="CS1509" s="2060"/>
      <c r="CT1509" s="2060"/>
      <c r="CU1509" s="2060"/>
      <c r="CV1509" s="2060"/>
      <c r="CW1509" s="2060"/>
      <c r="CX1509" s="2060"/>
      <c r="CY1509" s="2060"/>
      <c r="CZ1509" s="2060"/>
      <c r="DA1509" s="2060"/>
      <c r="DB1509" s="2060"/>
      <c r="DC1509" s="2060"/>
      <c r="DD1509" s="2060"/>
      <c r="DE1509" s="2060"/>
      <c r="DF1509" s="2060"/>
      <c r="DG1509" s="2060"/>
      <c r="DH1509" s="2060"/>
      <c r="DI1509" s="2060"/>
      <c r="DJ1509" s="2060"/>
      <c r="DK1509" s="2060"/>
      <c r="DL1509" s="2060"/>
      <c r="DM1509" s="2060"/>
      <c r="DN1509" s="2060"/>
      <c r="DO1509" s="2060"/>
      <c r="DP1509" s="2060"/>
      <c r="DQ1509" s="2060"/>
      <c r="DR1509" s="2060"/>
      <c r="DS1509" s="2060"/>
      <c r="DT1509" s="2060"/>
      <c r="DU1509" s="2060"/>
      <c r="DV1509" s="2060"/>
      <c r="DW1509" s="2060"/>
      <c r="DX1509" s="2060"/>
      <c r="DY1509" s="2060"/>
      <c r="DZ1509" s="2060"/>
      <c r="EA1509" s="2060"/>
      <c r="EB1509" s="2060"/>
      <c r="EC1509" s="2060"/>
      <c r="ED1509" s="2060"/>
      <c r="EE1509" s="2060"/>
      <c r="EF1509" s="2060"/>
      <c r="EG1509" s="2060"/>
      <c r="EH1509" s="2060"/>
      <c r="EI1509" s="2060"/>
      <c r="EJ1509" s="2060"/>
      <c r="EK1509" s="2060"/>
      <c r="EL1509" s="2060"/>
      <c r="EM1509" s="2060"/>
      <c r="EN1509" s="2060"/>
      <c r="EO1509" s="2060"/>
      <c r="EP1509" s="2060"/>
      <c r="EQ1509" s="2060"/>
      <c r="ER1509" s="2060"/>
      <c r="ES1509" s="2060"/>
      <c r="ET1509" s="2060"/>
      <c r="EU1509" s="2060"/>
      <c r="EV1509" s="2060"/>
      <c r="EW1509" s="2060"/>
      <c r="EX1509" s="2060"/>
      <c r="EY1509" s="2060"/>
      <c r="EZ1509" s="2060"/>
      <c r="FA1509" s="2060"/>
      <c r="FB1509" s="2060"/>
      <c r="FC1509" s="2060"/>
      <c r="FD1509" s="2060"/>
      <c r="FE1509" s="2060"/>
      <c r="FF1509" s="2060"/>
      <c r="FG1509" s="2060"/>
      <c r="FH1509" s="2060"/>
      <c r="FI1509" s="2060"/>
      <c r="FJ1509" s="2060"/>
      <c r="FK1509" s="2060"/>
      <c r="FL1509" s="2060"/>
      <c r="FM1509" s="2060"/>
      <c r="FN1509" s="2060"/>
      <c r="FO1509" s="2060"/>
      <c r="FP1509" s="2060"/>
      <c r="FQ1509" s="2060"/>
      <c r="FR1509" s="2060"/>
      <c r="FS1509" s="2060"/>
      <c r="FT1509" s="2060"/>
      <c r="FU1509" s="2060"/>
      <c r="FV1509" s="2060"/>
      <c r="FW1509" s="2060"/>
      <c r="FX1509" s="2060"/>
      <c r="FY1509" s="2060"/>
      <c r="FZ1509" s="2060"/>
      <c r="GA1509" s="2060"/>
      <c r="GB1509" s="2060"/>
      <c r="GC1509" s="2060"/>
      <c r="GD1509" s="2060"/>
      <c r="GE1509" s="2060"/>
      <c r="GF1509" s="2060"/>
      <c r="GG1509" s="2060"/>
      <c r="GH1509" s="2060"/>
      <c r="GI1509" s="2060"/>
      <c r="GJ1509" s="2060"/>
      <c r="GK1509" s="2060"/>
      <c r="GL1509" s="2060"/>
      <c r="GM1509" s="2060"/>
      <c r="GN1509" s="2060"/>
      <c r="GO1509" s="2060"/>
      <c r="GP1509" s="2060"/>
      <c r="GQ1509" s="2060"/>
      <c r="GR1509" s="2060"/>
      <c r="GS1509" s="2060"/>
      <c r="GT1509" s="2060"/>
      <c r="GU1509" s="2060"/>
      <c r="GV1509" s="2060"/>
      <c r="GW1509" s="2060"/>
      <c r="GX1509" s="2060"/>
      <c r="GY1509" s="2060"/>
      <c r="GZ1509" s="2060"/>
      <c r="HA1509" s="2060"/>
      <c r="HB1509" s="2060"/>
      <c r="HC1509" s="2060"/>
      <c r="HD1509" s="2060"/>
      <c r="HE1509" s="2060"/>
      <c r="HF1509" s="2060"/>
      <c r="HG1509" s="2060"/>
      <c r="HH1509" s="2060"/>
      <c r="HI1509" s="2060"/>
      <c r="HJ1509" s="2060"/>
      <c r="HK1509" s="2060"/>
      <c r="HL1509" s="2060"/>
      <c r="HM1509" s="2060"/>
      <c r="HN1509" s="2060"/>
      <c r="HO1509" s="2060"/>
      <c r="HP1509" s="2060"/>
      <c r="HQ1509" s="2060"/>
      <c r="HR1509" s="2060"/>
      <c r="HS1509" s="2060"/>
      <c r="HT1509" s="2060"/>
      <c r="HU1509" s="2060"/>
      <c r="HV1509" s="2060"/>
      <c r="HW1509" s="2060"/>
      <c r="HX1509" s="2060"/>
      <c r="HY1509" s="2060"/>
      <c r="HZ1509" s="2060"/>
      <c r="IA1509" s="2060"/>
      <c r="IB1509" s="2060"/>
      <c r="IC1509" s="2060"/>
      <c r="ID1509" s="2060"/>
      <c r="IE1509" s="2060"/>
      <c r="IF1509" s="2060"/>
      <c r="IG1509" s="2060"/>
      <c r="IH1509" s="2060"/>
      <c r="II1509" s="2060"/>
      <c r="IJ1509" s="2060"/>
      <c r="IK1509" s="2060"/>
      <c r="IL1509" s="2060"/>
      <c r="IM1509" s="2060"/>
      <c r="IN1509" s="2060"/>
      <c r="IO1509" s="2060"/>
      <c r="IP1509" s="2060"/>
      <c r="IQ1509" s="2060"/>
      <c r="IR1509" s="2060"/>
      <c r="IS1509" s="2060"/>
      <c r="IT1509" s="2060"/>
      <c r="IU1509" s="2060"/>
      <c r="IV1509" s="2060"/>
      <c r="IW1509" s="2060"/>
      <c r="IX1509" s="2060"/>
      <c r="IY1509" s="2060"/>
      <c r="IZ1509" s="2060"/>
      <c r="JA1509" s="2060"/>
      <c r="JB1509" s="2060"/>
      <c r="JC1509" s="2060"/>
      <c r="JD1509" s="2060"/>
      <c r="JE1509" s="2060"/>
      <c r="JF1509" s="2060"/>
      <c r="JG1509" s="2060"/>
      <c r="JH1509" s="2060"/>
      <c r="JI1509" s="2060"/>
      <c r="JJ1509" s="2060"/>
      <c r="JK1509" s="2060"/>
      <c r="JL1509" s="2060"/>
      <c r="JM1509" s="2060"/>
      <c r="JN1509" s="2060"/>
      <c r="JO1509" s="2060"/>
      <c r="JP1509" s="2060"/>
      <c r="JQ1509" s="2060"/>
      <c r="JR1509" s="2060"/>
      <c r="JS1509" s="2060"/>
      <c r="JT1509" s="2060"/>
      <c r="JU1509" s="2060"/>
      <c r="JV1509" s="2060"/>
      <c r="JW1509" s="2060"/>
      <c r="JX1509" s="2060"/>
      <c r="JY1509" s="2060"/>
      <c r="JZ1509" s="2060"/>
      <c r="KA1509" s="2060"/>
      <c r="KB1509" s="2060"/>
      <c r="KC1509" s="2060"/>
      <c r="KD1509" s="2060"/>
      <c r="KE1509" s="2060"/>
      <c r="KF1509" s="2060"/>
      <c r="KG1509" s="2060"/>
      <c r="KH1509" s="2060"/>
      <c r="KI1509" s="2060"/>
      <c r="KJ1509" s="2060"/>
      <c r="KK1509" s="2060"/>
      <c r="KL1509" s="2060"/>
      <c r="KM1509" s="2060"/>
      <c r="KN1509" s="2060"/>
      <c r="KO1509" s="2060"/>
      <c r="KP1509" s="2060"/>
      <c r="KQ1509" s="2060"/>
      <c r="KR1509" s="2060"/>
      <c r="KS1509" s="2060"/>
      <c r="KT1509" s="2060"/>
      <c r="KU1509" s="2060"/>
      <c r="KV1509" s="2060"/>
      <c r="KW1509" s="2060"/>
      <c r="KX1509" s="2060"/>
      <c r="KY1509" s="2060"/>
      <c r="KZ1509" s="2060"/>
      <c r="LA1509" s="2060"/>
      <c r="LB1509" s="2060"/>
      <c r="LC1509" s="2060"/>
      <c r="LD1509" s="2060"/>
      <c r="LE1509" s="2060"/>
      <c r="LF1509" s="2060"/>
      <c r="LG1509" s="2060"/>
      <c r="LH1509" s="2060"/>
    </row>
    <row r="1510" spans="1:320" s="1499" customFormat="1" ht="13.9">
      <c r="A1510" s="269" t="str">
        <f t="shared" si="421"/>
        <v>n</v>
      </c>
      <c r="B1510" s="2060"/>
      <c r="C1510" s="89"/>
      <c r="D1510" s="801"/>
      <c r="E1510" s="1505">
        <v>16</v>
      </c>
      <c r="F1510" s="21" t="str">
        <f>F$144</f>
        <v>--</v>
      </c>
      <c r="G1510" s="1441">
        <f>G$144</f>
        <v>0</v>
      </c>
      <c r="H1510" s="1441"/>
      <c r="I1510" s="1441"/>
      <c r="J1510" s="1441"/>
      <c r="K1510" s="2314" t="str">
        <f t="shared" ref="K1510:P1510" si="425">IFERROR(K798/K1017,"--")</f>
        <v>--</v>
      </c>
      <c r="L1510" s="2314" t="str">
        <f t="shared" si="425"/>
        <v>--</v>
      </c>
      <c r="M1510" s="2314" t="str">
        <f t="shared" si="425"/>
        <v>--</v>
      </c>
      <c r="N1510" s="2314" t="str">
        <f t="shared" si="425"/>
        <v>--</v>
      </c>
      <c r="O1510" s="2315" t="str">
        <f t="shared" si="425"/>
        <v>--</v>
      </c>
      <c r="P1510" s="2314" t="str">
        <f t="shared" si="425"/>
        <v>--</v>
      </c>
      <c r="Q1510" s="89"/>
      <c r="R1510" s="1466"/>
      <c r="S1510" s="89"/>
      <c r="T1510" s="53"/>
      <c r="U1510" s="89"/>
      <c r="V1510" s="89"/>
      <c r="W1510" s="89"/>
      <c r="X1510" s="89"/>
      <c r="Y1510" s="89"/>
      <c r="Z1510" s="89"/>
      <c r="AA1510" s="89"/>
      <c r="AB1510" s="89"/>
      <c r="AC1510" s="89"/>
      <c r="AD1510" s="89"/>
      <c r="AE1510" s="89"/>
      <c r="AF1510" s="89"/>
      <c r="AG1510" s="2060"/>
      <c r="AH1510" s="2060"/>
      <c r="AI1510" s="2060"/>
      <c r="AJ1510" s="2060"/>
      <c r="AK1510" s="2060"/>
      <c r="AL1510" s="2060"/>
      <c r="AM1510" s="2060"/>
      <c r="AN1510" s="2060"/>
      <c r="AO1510" s="2060"/>
      <c r="AP1510" s="2060"/>
      <c r="AQ1510" s="2060"/>
      <c r="AR1510" s="2060"/>
      <c r="AS1510" s="2060"/>
      <c r="AT1510" s="2060"/>
      <c r="AU1510" s="2060"/>
      <c r="AV1510" s="2060"/>
      <c r="AW1510" s="2060"/>
      <c r="AX1510" s="2060"/>
      <c r="AY1510" s="2060"/>
      <c r="AZ1510" s="2060"/>
      <c r="BA1510" s="2060"/>
      <c r="BB1510" s="2060"/>
      <c r="BC1510" s="2060"/>
      <c r="BD1510" s="2060"/>
      <c r="BE1510" s="2060"/>
      <c r="BF1510" s="2060"/>
      <c r="BG1510" s="2060"/>
      <c r="BH1510" s="2060"/>
      <c r="BI1510" s="2060"/>
      <c r="BJ1510" s="2060"/>
      <c r="BK1510" s="2060"/>
      <c r="BL1510" s="2060"/>
      <c r="BM1510" s="2060"/>
      <c r="BN1510" s="2060"/>
      <c r="BO1510" s="2060"/>
      <c r="BP1510" s="2060"/>
      <c r="BQ1510" s="2060"/>
      <c r="BR1510" s="2060"/>
      <c r="BS1510" s="2060"/>
      <c r="BT1510" s="2060"/>
      <c r="BU1510" s="2060"/>
      <c r="BV1510" s="2060"/>
      <c r="BW1510" s="2060"/>
      <c r="BX1510" s="2060"/>
      <c r="BY1510" s="2060"/>
      <c r="BZ1510" s="2060"/>
      <c r="CA1510" s="2060"/>
      <c r="CB1510" s="2060"/>
      <c r="CC1510" s="2060"/>
      <c r="CD1510" s="2060"/>
      <c r="CE1510" s="2060"/>
      <c r="CF1510" s="2060"/>
      <c r="CG1510" s="2060"/>
      <c r="CH1510" s="2060"/>
      <c r="CI1510" s="2060"/>
      <c r="CJ1510" s="2060"/>
      <c r="CK1510" s="2060"/>
      <c r="CL1510" s="2060"/>
      <c r="CM1510" s="2060"/>
      <c r="CN1510" s="2060"/>
      <c r="CO1510" s="2060"/>
      <c r="CP1510" s="2060"/>
      <c r="CQ1510" s="2060"/>
      <c r="CR1510" s="2060"/>
      <c r="CS1510" s="2060"/>
      <c r="CT1510" s="2060"/>
      <c r="CU1510" s="2060"/>
      <c r="CV1510" s="2060"/>
      <c r="CW1510" s="2060"/>
      <c r="CX1510" s="2060"/>
      <c r="CY1510" s="2060"/>
      <c r="CZ1510" s="2060"/>
      <c r="DA1510" s="2060"/>
      <c r="DB1510" s="2060"/>
      <c r="DC1510" s="2060"/>
      <c r="DD1510" s="2060"/>
      <c r="DE1510" s="2060"/>
      <c r="DF1510" s="2060"/>
      <c r="DG1510" s="2060"/>
      <c r="DH1510" s="2060"/>
      <c r="DI1510" s="2060"/>
      <c r="DJ1510" s="2060"/>
      <c r="DK1510" s="2060"/>
      <c r="DL1510" s="2060"/>
      <c r="DM1510" s="2060"/>
      <c r="DN1510" s="2060"/>
      <c r="DO1510" s="2060"/>
      <c r="DP1510" s="2060"/>
      <c r="DQ1510" s="2060"/>
      <c r="DR1510" s="2060"/>
      <c r="DS1510" s="2060"/>
      <c r="DT1510" s="2060"/>
      <c r="DU1510" s="2060"/>
      <c r="DV1510" s="2060"/>
      <c r="DW1510" s="2060"/>
      <c r="DX1510" s="2060"/>
      <c r="DY1510" s="2060"/>
      <c r="DZ1510" s="2060"/>
      <c r="EA1510" s="2060"/>
      <c r="EB1510" s="2060"/>
      <c r="EC1510" s="2060"/>
      <c r="ED1510" s="2060"/>
      <c r="EE1510" s="2060"/>
      <c r="EF1510" s="2060"/>
      <c r="EG1510" s="2060"/>
      <c r="EH1510" s="2060"/>
      <c r="EI1510" s="2060"/>
      <c r="EJ1510" s="2060"/>
      <c r="EK1510" s="2060"/>
      <c r="EL1510" s="2060"/>
      <c r="EM1510" s="2060"/>
      <c r="EN1510" s="2060"/>
      <c r="EO1510" s="2060"/>
      <c r="EP1510" s="2060"/>
      <c r="EQ1510" s="2060"/>
      <c r="ER1510" s="2060"/>
      <c r="ES1510" s="2060"/>
      <c r="ET1510" s="2060"/>
      <c r="EU1510" s="2060"/>
      <c r="EV1510" s="2060"/>
      <c r="EW1510" s="2060"/>
      <c r="EX1510" s="2060"/>
      <c r="EY1510" s="2060"/>
      <c r="EZ1510" s="2060"/>
      <c r="FA1510" s="2060"/>
      <c r="FB1510" s="2060"/>
      <c r="FC1510" s="2060"/>
      <c r="FD1510" s="2060"/>
      <c r="FE1510" s="2060"/>
      <c r="FF1510" s="2060"/>
      <c r="FG1510" s="2060"/>
      <c r="FH1510" s="2060"/>
      <c r="FI1510" s="2060"/>
      <c r="FJ1510" s="2060"/>
      <c r="FK1510" s="2060"/>
      <c r="FL1510" s="2060"/>
      <c r="FM1510" s="2060"/>
      <c r="FN1510" s="2060"/>
      <c r="FO1510" s="2060"/>
      <c r="FP1510" s="2060"/>
      <c r="FQ1510" s="2060"/>
      <c r="FR1510" s="2060"/>
      <c r="FS1510" s="2060"/>
      <c r="FT1510" s="2060"/>
      <c r="FU1510" s="2060"/>
      <c r="FV1510" s="2060"/>
      <c r="FW1510" s="2060"/>
      <c r="FX1510" s="2060"/>
      <c r="FY1510" s="2060"/>
      <c r="FZ1510" s="2060"/>
      <c r="GA1510" s="2060"/>
      <c r="GB1510" s="2060"/>
      <c r="GC1510" s="2060"/>
      <c r="GD1510" s="2060"/>
      <c r="GE1510" s="2060"/>
      <c r="GF1510" s="2060"/>
      <c r="GG1510" s="2060"/>
      <c r="GH1510" s="2060"/>
      <c r="GI1510" s="2060"/>
      <c r="GJ1510" s="2060"/>
      <c r="GK1510" s="2060"/>
      <c r="GL1510" s="2060"/>
      <c r="GM1510" s="2060"/>
      <c r="GN1510" s="2060"/>
      <c r="GO1510" s="2060"/>
      <c r="GP1510" s="2060"/>
      <c r="GQ1510" s="2060"/>
      <c r="GR1510" s="2060"/>
      <c r="GS1510" s="2060"/>
      <c r="GT1510" s="2060"/>
      <c r="GU1510" s="2060"/>
      <c r="GV1510" s="2060"/>
      <c r="GW1510" s="2060"/>
      <c r="GX1510" s="2060"/>
      <c r="GY1510" s="2060"/>
      <c r="GZ1510" s="2060"/>
      <c r="HA1510" s="2060"/>
      <c r="HB1510" s="2060"/>
      <c r="HC1510" s="2060"/>
      <c r="HD1510" s="2060"/>
      <c r="HE1510" s="2060"/>
      <c r="HF1510" s="2060"/>
      <c r="HG1510" s="2060"/>
      <c r="HH1510" s="2060"/>
      <c r="HI1510" s="2060"/>
      <c r="HJ1510" s="2060"/>
      <c r="HK1510" s="2060"/>
      <c r="HL1510" s="2060"/>
      <c r="HM1510" s="2060"/>
      <c r="HN1510" s="2060"/>
      <c r="HO1510" s="2060"/>
      <c r="HP1510" s="2060"/>
      <c r="HQ1510" s="2060"/>
      <c r="HR1510" s="2060"/>
      <c r="HS1510" s="2060"/>
      <c r="HT1510" s="2060"/>
      <c r="HU1510" s="2060"/>
      <c r="HV1510" s="2060"/>
      <c r="HW1510" s="2060"/>
      <c r="HX1510" s="2060"/>
      <c r="HY1510" s="2060"/>
      <c r="HZ1510" s="2060"/>
      <c r="IA1510" s="2060"/>
      <c r="IB1510" s="2060"/>
      <c r="IC1510" s="2060"/>
      <c r="ID1510" s="2060"/>
      <c r="IE1510" s="2060"/>
      <c r="IF1510" s="2060"/>
      <c r="IG1510" s="2060"/>
      <c r="IH1510" s="2060"/>
      <c r="II1510" s="2060"/>
      <c r="IJ1510" s="2060"/>
      <c r="IK1510" s="2060"/>
      <c r="IL1510" s="2060"/>
      <c r="IM1510" s="2060"/>
      <c r="IN1510" s="2060"/>
      <c r="IO1510" s="2060"/>
      <c r="IP1510" s="2060"/>
      <c r="IQ1510" s="2060"/>
      <c r="IR1510" s="2060"/>
      <c r="IS1510" s="2060"/>
      <c r="IT1510" s="2060"/>
      <c r="IU1510" s="2060"/>
      <c r="IV1510" s="2060"/>
      <c r="IW1510" s="2060"/>
      <c r="IX1510" s="2060"/>
      <c r="IY1510" s="2060"/>
      <c r="IZ1510" s="2060"/>
      <c r="JA1510" s="2060"/>
      <c r="JB1510" s="2060"/>
      <c r="JC1510" s="2060"/>
      <c r="JD1510" s="2060"/>
      <c r="JE1510" s="2060"/>
      <c r="JF1510" s="2060"/>
      <c r="JG1510" s="2060"/>
      <c r="JH1510" s="2060"/>
      <c r="JI1510" s="2060"/>
      <c r="JJ1510" s="2060"/>
      <c r="JK1510" s="2060"/>
      <c r="JL1510" s="2060"/>
      <c r="JM1510" s="2060"/>
      <c r="JN1510" s="2060"/>
      <c r="JO1510" s="2060"/>
      <c r="JP1510" s="2060"/>
      <c r="JQ1510" s="2060"/>
      <c r="JR1510" s="2060"/>
      <c r="JS1510" s="2060"/>
      <c r="JT1510" s="2060"/>
      <c r="JU1510" s="2060"/>
      <c r="JV1510" s="2060"/>
      <c r="JW1510" s="2060"/>
      <c r="JX1510" s="2060"/>
      <c r="JY1510" s="2060"/>
      <c r="JZ1510" s="2060"/>
      <c r="KA1510" s="2060"/>
      <c r="KB1510" s="2060"/>
      <c r="KC1510" s="2060"/>
      <c r="KD1510" s="2060"/>
      <c r="KE1510" s="2060"/>
      <c r="KF1510" s="2060"/>
      <c r="KG1510" s="2060"/>
      <c r="KH1510" s="2060"/>
      <c r="KI1510" s="2060"/>
      <c r="KJ1510" s="2060"/>
      <c r="KK1510" s="2060"/>
      <c r="KL1510" s="2060"/>
      <c r="KM1510" s="2060"/>
      <c r="KN1510" s="2060"/>
      <c r="KO1510" s="2060"/>
      <c r="KP1510" s="2060"/>
      <c r="KQ1510" s="2060"/>
      <c r="KR1510" s="2060"/>
      <c r="KS1510" s="2060"/>
      <c r="KT1510" s="2060"/>
      <c r="KU1510" s="2060"/>
      <c r="KV1510" s="2060"/>
      <c r="KW1510" s="2060"/>
      <c r="KX1510" s="2060"/>
      <c r="KY1510" s="2060"/>
      <c r="KZ1510" s="2060"/>
      <c r="LA1510" s="2060"/>
      <c r="LB1510" s="2060"/>
      <c r="LC1510" s="2060"/>
      <c r="LD1510" s="2060"/>
      <c r="LE1510" s="2060"/>
      <c r="LF1510" s="2060"/>
      <c r="LG1510" s="2060"/>
      <c r="LH1510" s="2060"/>
    </row>
    <row r="1511" spans="1:320" s="1499" customFormat="1" ht="13.9">
      <c r="A1511" s="269" t="str">
        <f t="shared" si="421"/>
        <v>n</v>
      </c>
      <c r="B1511" s="2060"/>
      <c r="C1511" s="89"/>
      <c r="D1511" s="801"/>
      <c r="E1511" s="1505">
        <v>17</v>
      </c>
      <c r="F1511" s="21" t="str">
        <f>F$145</f>
        <v>--</v>
      </c>
      <c r="G1511" s="1441">
        <f>G$145</f>
        <v>0</v>
      </c>
      <c r="H1511" s="1441"/>
      <c r="I1511" s="1441"/>
      <c r="J1511" s="1441"/>
      <c r="K1511" s="2314" t="str">
        <f t="shared" ref="K1511:P1511" si="426">IFERROR(K799/K1018,"--")</f>
        <v>--</v>
      </c>
      <c r="L1511" s="2314" t="str">
        <f t="shared" si="426"/>
        <v>--</v>
      </c>
      <c r="M1511" s="2314" t="str">
        <f t="shared" si="426"/>
        <v>--</v>
      </c>
      <c r="N1511" s="2314" t="str">
        <f t="shared" si="426"/>
        <v>--</v>
      </c>
      <c r="O1511" s="2315" t="str">
        <f t="shared" si="426"/>
        <v>--</v>
      </c>
      <c r="P1511" s="2314" t="str">
        <f t="shared" si="426"/>
        <v>--</v>
      </c>
      <c r="Q1511" s="89"/>
      <c r="R1511" s="1466"/>
      <c r="S1511" s="89"/>
      <c r="T1511" s="53"/>
      <c r="U1511" s="89"/>
      <c r="V1511" s="89"/>
      <c r="W1511" s="89"/>
      <c r="X1511" s="89"/>
      <c r="Y1511" s="89"/>
      <c r="Z1511" s="89"/>
      <c r="AA1511" s="89"/>
      <c r="AB1511" s="89"/>
      <c r="AC1511" s="89"/>
      <c r="AD1511" s="89"/>
      <c r="AE1511" s="89"/>
      <c r="AF1511" s="89"/>
      <c r="AG1511" s="2060"/>
      <c r="AH1511" s="2060"/>
      <c r="AI1511" s="2060"/>
      <c r="AJ1511" s="2060"/>
      <c r="AK1511" s="2060"/>
      <c r="AL1511" s="2060"/>
      <c r="AM1511" s="2060"/>
      <c r="AN1511" s="2060"/>
      <c r="AO1511" s="2060"/>
      <c r="AP1511" s="2060"/>
      <c r="AQ1511" s="2060"/>
      <c r="AR1511" s="2060"/>
      <c r="AS1511" s="2060"/>
      <c r="AT1511" s="2060"/>
      <c r="AU1511" s="2060"/>
      <c r="AV1511" s="2060"/>
      <c r="AW1511" s="2060"/>
      <c r="AX1511" s="2060"/>
      <c r="AY1511" s="2060"/>
      <c r="AZ1511" s="2060"/>
      <c r="BA1511" s="2060"/>
      <c r="BB1511" s="2060"/>
      <c r="BC1511" s="2060"/>
      <c r="BD1511" s="2060"/>
      <c r="BE1511" s="2060"/>
      <c r="BF1511" s="2060"/>
      <c r="BG1511" s="2060"/>
      <c r="BH1511" s="2060"/>
      <c r="BI1511" s="2060"/>
      <c r="BJ1511" s="2060"/>
      <c r="BK1511" s="2060"/>
      <c r="BL1511" s="2060"/>
      <c r="BM1511" s="2060"/>
      <c r="BN1511" s="2060"/>
      <c r="BO1511" s="2060"/>
      <c r="BP1511" s="2060"/>
      <c r="BQ1511" s="2060"/>
      <c r="BR1511" s="2060"/>
      <c r="BS1511" s="2060"/>
      <c r="BT1511" s="2060"/>
      <c r="BU1511" s="2060"/>
      <c r="BV1511" s="2060"/>
      <c r="BW1511" s="2060"/>
      <c r="BX1511" s="2060"/>
      <c r="BY1511" s="2060"/>
      <c r="BZ1511" s="2060"/>
      <c r="CA1511" s="2060"/>
      <c r="CB1511" s="2060"/>
      <c r="CC1511" s="2060"/>
      <c r="CD1511" s="2060"/>
      <c r="CE1511" s="2060"/>
      <c r="CF1511" s="2060"/>
      <c r="CG1511" s="2060"/>
      <c r="CH1511" s="2060"/>
      <c r="CI1511" s="2060"/>
      <c r="CJ1511" s="2060"/>
      <c r="CK1511" s="2060"/>
      <c r="CL1511" s="2060"/>
      <c r="CM1511" s="2060"/>
      <c r="CN1511" s="2060"/>
      <c r="CO1511" s="2060"/>
      <c r="CP1511" s="2060"/>
      <c r="CQ1511" s="2060"/>
      <c r="CR1511" s="2060"/>
      <c r="CS1511" s="2060"/>
      <c r="CT1511" s="2060"/>
      <c r="CU1511" s="2060"/>
      <c r="CV1511" s="2060"/>
      <c r="CW1511" s="2060"/>
      <c r="CX1511" s="2060"/>
      <c r="CY1511" s="2060"/>
      <c r="CZ1511" s="2060"/>
      <c r="DA1511" s="2060"/>
      <c r="DB1511" s="2060"/>
      <c r="DC1511" s="2060"/>
      <c r="DD1511" s="2060"/>
      <c r="DE1511" s="2060"/>
      <c r="DF1511" s="2060"/>
      <c r="DG1511" s="2060"/>
      <c r="DH1511" s="2060"/>
      <c r="DI1511" s="2060"/>
      <c r="DJ1511" s="2060"/>
      <c r="DK1511" s="2060"/>
      <c r="DL1511" s="2060"/>
      <c r="DM1511" s="2060"/>
      <c r="DN1511" s="2060"/>
      <c r="DO1511" s="2060"/>
      <c r="DP1511" s="2060"/>
      <c r="DQ1511" s="2060"/>
      <c r="DR1511" s="2060"/>
      <c r="DS1511" s="2060"/>
      <c r="DT1511" s="2060"/>
      <c r="DU1511" s="2060"/>
      <c r="DV1511" s="2060"/>
      <c r="DW1511" s="2060"/>
      <c r="DX1511" s="2060"/>
      <c r="DY1511" s="2060"/>
      <c r="DZ1511" s="2060"/>
      <c r="EA1511" s="2060"/>
      <c r="EB1511" s="2060"/>
      <c r="EC1511" s="2060"/>
      <c r="ED1511" s="2060"/>
      <c r="EE1511" s="2060"/>
      <c r="EF1511" s="2060"/>
      <c r="EG1511" s="2060"/>
      <c r="EH1511" s="2060"/>
      <c r="EI1511" s="2060"/>
      <c r="EJ1511" s="2060"/>
      <c r="EK1511" s="2060"/>
      <c r="EL1511" s="2060"/>
      <c r="EM1511" s="2060"/>
      <c r="EN1511" s="2060"/>
      <c r="EO1511" s="2060"/>
      <c r="EP1511" s="2060"/>
      <c r="EQ1511" s="2060"/>
      <c r="ER1511" s="2060"/>
      <c r="ES1511" s="2060"/>
      <c r="ET1511" s="2060"/>
      <c r="EU1511" s="2060"/>
      <c r="EV1511" s="2060"/>
      <c r="EW1511" s="2060"/>
      <c r="EX1511" s="2060"/>
      <c r="EY1511" s="2060"/>
      <c r="EZ1511" s="2060"/>
      <c r="FA1511" s="2060"/>
      <c r="FB1511" s="2060"/>
      <c r="FC1511" s="2060"/>
      <c r="FD1511" s="2060"/>
      <c r="FE1511" s="2060"/>
      <c r="FF1511" s="2060"/>
      <c r="FG1511" s="2060"/>
      <c r="FH1511" s="2060"/>
      <c r="FI1511" s="2060"/>
      <c r="FJ1511" s="2060"/>
      <c r="FK1511" s="2060"/>
      <c r="FL1511" s="2060"/>
      <c r="FM1511" s="2060"/>
      <c r="FN1511" s="2060"/>
      <c r="FO1511" s="2060"/>
      <c r="FP1511" s="2060"/>
      <c r="FQ1511" s="2060"/>
      <c r="FR1511" s="2060"/>
      <c r="FS1511" s="2060"/>
      <c r="FT1511" s="2060"/>
      <c r="FU1511" s="2060"/>
      <c r="FV1511" s="2060"/>
      <c r="FW1511" s="2060"/>
      <c r="FX1511" s="2060"/>
      <c r="FY1511" s="2060"/>
      <c r="FZ1511" s="2060"/>
      <c r="GA1511" s="2060"/>
      <c r="GB1511" s="2060"/>
      <c r="GC1511" s="2060"/>
      <c r="GD1511" s="2060"/>
      <c r="GE1511" s="2060"/>
      <c r="GF1511" s="2060"/>
      <c r="GG1511" s="2060"/>
      <c r="GH1511" s="2060"/>
      <c r="GI1511" s="2060"/>
      <c r="GJ1511" s="2060"/>
      <c r="GK1511" s="2060"/>
      <c r="GL1511" s="2060"/>
      <c r="GM1511" s="2060"/>
      <c r="GN1511" s="2060"/>
      <c r="GO1511" s="2060"/>
      <c r="GP1511" s="2060"/>
      <c r="GQ1511" s="2060"/>
      <c r="GR1511" s="2060"/>
      <c r="GS1511" s="2060"/>
      <c r="GT1511" s="2060"/>
      <c r="GU1511" s="2060"/>
      <c r="GV1511" s="2060"/>
      <c r="GW1511" s="2060"/>
      <c r="GX1511" s="2060"/>
      <c r="GY1511" s="2060"/>
      <c r="GZ1511" s="2060"/>
      <c r="HA1511" s="2060"/>
      <c r="HB1511" s="2060"/>
      <c r="HC1511" s="2060"/>
      <c r="HD1511" s="2060"/>
      <c r="HE1511" s="2060"/>
      <c r="HF1511" s="2060"/>
      <c r="HG1511" s="2060"/>
      <c r="HH1511" s="2060"/>
      <c r="HI1511" s="2060"/>
      <c r="HJ1511" s="2060"/>
      <c r="HK1511" s="2060"/>
      <c r="HL1511" s="2060"/>
      <c r="HM1511" s="2060"/>
      <c r="HN1511" s="2060"/>
      <c r="HO1511" s="2060"/>
      <c r="HP1511" s="2060"/>
      <c r="HQ1511" s="2060"/>
      <c r="HR1511" s="2060"/>
      <c r="HS1511" s="2060"/>
      <c r="HT1511" s="2060"/>
      <c r="HU1511" s="2060"/>
      <c r="HV1511" s="2060"/>
      <c r="HW1511" s="2060"/>
      <c r="HX1511" s="2060"/>
      <c r="HY1511" s="2060"/>
      <c r="HZ1511" s="2060"/>
      <c r="IA1511" s="2060"/>
      <c r="IB1511" s="2060"/>
      <c r="IC1511" s="2060"/>
      <c r="ID1511" s="2060"/>
      <c r="IE1511" s="2060"/>
      <c r="IF1511" s="2060"/>
      <c r="IG1511" s="2060"/>
      <c r="IH1511" s="2060"/>
      <c r="II1511" s="2060"/>
      <c r="IJ1511" s="2060"/>
      <c r="IK1511" s="2060"/>
      <c r="IL1511" s="2060"/>
      <c r="IM1511" s="2060"/>
      <c r="IN1511" s="2060"/>
      <c r="IO1511" s="2060"/>
      <c r="IP1511" s="2060"/>
      <c r="IQ1511" s="2060"/>
      <c r="IR1511" s="2060"/>
      <c r="IS1511" s="2060"/>
      <c r="IT1511" s="2060"/>
      <c r="IU1511" s="2060"/>
      <c r="IV1511" s="2060"/>
      <c r="IW1511" s="2060"/>
      <c r="IX1511" s="2060"/>
      <c r="IY1511" s="2060"/>
      <c r="IZ1511" s="2060"/>
      <c r="JA1511" s="2060"/>
      <c r="JB1511" s="2060"/>
      <c r="JC1511" s="2060"/>
      <c r="JD1511" s="2060"/>
      <c r="JE1511" s="2060"/>
      <c r="JF1511" s="2060"/>
      <c r="JG1511" s="2060"/>
      <c r="JH1511" s="2060"/>
      <c r="JI1511" s="2060"/>
      <c r="JJ1511" s="2060"/>
      <c r="JK1511" s="2060"/>
      <c r="JL1511" s="2060"/>
      <c r="JM1511" s="2060"/>
      <c r="JN1511" s="2060"/>
      <c r="JO1511" s="2060"/>
      <c r="JP1511" s="2060"/>
      <c r="JQ1511" s="2060"/>
      <c r="JR1511" s="2060"/>
      <c r="JS1511" s="2060"/>
      <c r="JT1511" s="2060"/>
      <c r="JU1511" s="2060"/>
      <c r="JV1511" s="2060"/>
      <c r="JW1511" s="2060"/>
      <c r="JX1511" s="2060"/>
      <c r="JY1511" s="2060"/>
      <c r="JZ1511" s="2060"/>
      <c r="KA1511" s="2060"/>
      <c r="KB1511" s="2060"/>
      <c r="KC1511" s="2060"/>
      <c r="KD1511" s="2060"/>
      <c r="KE1511" s="2060"/>
      <c r="KF1511" s="2060"/>
      <c r="KG1511" s="2060"/>
      <c r="KH1511" s="2060"/>
      <c r="KI1511" s="2060"/>
      <c r="KJ1511" s="2060"/>
      <c r="KK1511" s="2060"/>
      <c r="KL1511" s="2060"/>
      <c r="KM1511" s="2060"/>
      <c r="KN1511" s="2060"/>
      <c r="KO1511" s="2060"/>
      <c r="KP1511" s="2060"/>
      <c r="KQ1511" s="2060"/>
      <c r="KR1511" s="2060"/>
      <c r="KS1511" s="2060"/>
      <c r="KT1511" s="2060"/>
      <c r="KU1511" s="2060"/>
      <c r="KV1511" s="2060"/>
      <c r="KW1511" s="2060"/>
      <c r="KX1511" s="2060"/>
      <c r="KY1511" s="2060"/>
      <c r="KZ1511" s="2060"/>
      <c r="LA1511" s="2060"/>
      <c r="LB1511" s="2060"/>
      <c r="LC1511" s="2060"/>
      <c r="LD1511" s="2060"/>
      <c r="LE1511" s="2060"/>
      <c r="LF1511" s="2060"/>
      <c r="LG1511" s="2060"/>
      <c r="LH1511" s="2060"/>
    </row>
    <row r="1512" spans="1:320" s="1499" customFormat="1" ht="13.9">
      <c r="A1512" s="269" t="str">
        <f t="shared" si="421"/>
        <v>n</v>
      </c>
      <c r="B1512" s="2060"/>
      <c r="C1512" s="89"/>
      <c r="D1512" s="801"/>
      <c r="E1512" s="1505">
        <v>18</v>
      </c>
      <c r="F1512" s="21" t="str">
        <f>F$146</f>
        <v>--</v>
      </c>
      <c r="G1512" s="1441">
        <f>G$146</f>
        <v>0</v>
      </c>
      <c r="H1512" s="1441"/>
      <c r="I1512" s="1441"/>
      <c r="J1512" s="1441"/>
      <c r="K1512" s="2314" t="str">
        <f t="shared" ref="K1512:P1512" si="427">IFERROR(K800/K1019,"--")</f>
        <v>--</v>
      </c>
      <c r="L1512" s="2314" t="str">
        <f t="shared" si="427"/>
        <v>--</v>
      </c>
      <c r="M1512" s="2314" t="str">
        <f t="shared" si="427"/>
        <v>--</v>
      </c>
      <c r="N1512" s="2314" t="str">
        <f t="shared" si="427"/>
        <v>--</v>
      </c>
      <c r="O1512" s="2315" t="str">
        <f t="shared" si="427"/>
        <v>--</v>
      </c>
      <c r="P1512" s="2314" t="str">
        <f t="shared" si="427"/>
        <v>--</v>
      </c>
      <c r="Q1512" s="89"/>
      <c r="R1512" s="1466"/>
      <c r="S1512" s="89"/>
      <c r="T1512" s="53"/>
      <c r="U1512" s="89"/>
      <c r="V1512" s="89"/>
      <c r="W1512" s="89"/>
      <c r="X1512" s="89"/>
      <c r="Y1512" s="89"/>
      <c r="Z1512" s="89"/>
      <c r="AA1512" s="89"/>
      <c r="AB1512" s="89"/>
      <c r="AC1512" s="89"/>
      <c r="AD1512" s="89"/>
      <c r="AE1512" s="89"/>
      <c r="AF1512" s="89"/>
      <c r="AG1512" s="2060"/>
      <c r="AH1512" s="2060"/>
      <c r="AI1512" s="2060"/>
      <c r="AJ1512" s="2060"/>
      <c r="AK1512" s="2060"/>
      <c r="AL1512" s="2060"/>
      <c r="AM1512" s="2060"/>
      <c r="AN1512" s="2060"/>
      <c r="AO1512" s="2060"/>
      <c r="AP1512" s="2060"/>
      <c r="AQ1512" s="2060"/>
      <c r="AR1512" s="2060"/>
      <c r="AS1512" s="2060"/>
      <c r="AT1512" s="2060"/>
      <c r="AU1512" s="2060"/>
      <c r="AV1512" s="2060"/>
      <c r="AW1512" s="2060"/>
      <c r="AX1512" s="2060"/>
      <c r="AY1512" s="2060"/>
      <c r="AZ1512" s="2060"/>
      <c r="BA1512" s="2060"/>
      <c r="BB1512" s="2060"/>
      <c r="BC1512" s="2060"/>
      <c r="BD1512" s="2060"/>
      <c r="BE1512" s="2060"/>
      <c r="BF1512" s="2060"/>
      <c r="BG1512" s="2060"/>
      <c r="BH1512" s="2060"/>
      <c r="BI1512" s="2060"/>
      <c r="BJ1512" s="2060"/>
      <c r="BK1512" s="2060"/>
      <c r="BL1512" s="2060"/>
      <c r="BM1512" s="2060"/>
      <c r="BN1512" s="2060"/>
      <c r="BO1512" s="2060"/>
      <c r="BP1512" s="2060"/>
      <c r="BQ1512" s="2060"/>
      <c r="BR1512" s="2060"/>
      <c r="BS1512" s="2060"/>
      <c r="BT1512" s="2060"/>
      <c r="BU1512" s="2060"/>
      <c r="BV1512" s="2060"/>
      <c r="BW1512" s="2060"/>
      <c r="BX1512" s="2060"/>
      <c r="BY1512" s="2060"/>
      <c r="BZ1512" s="2060"/>
      <c r="CA1512" s="2060"/>
      <c r="CB1512" s="2060"/>
      <c r="CC1512" s="2060"/>
      <c r="CD1512" s="2060"/>
      <c r="CE1512" s="2060"/>
      <c r="CF1512" s="2060"/>
      <c r="CG1512" s="2060"/>
      <c r="CH1512" s="2060"/>
      <c r="CI1512" s="2060"/>
      <c r="CJ1512" s="2060"/>
      <c r="CK1512" s="2060"/>
      <c r="CL1512" s="2060"/>
      <c r="CM1512" s="2060"/>
      <c r="CN1512" s="2060"/>
      <c r="CO1512" s="2060"/>
      <c r="CP1512" s="2060"/>
      <c r="CQ1512" s="2060"/>
      <c r="CR1512" s="2060"/>
      <c r="CS1512" s="2060"/>
      <c r="CT1512" s="2060"/>
      <c r="CU1512" s="2060"/>
      <c r="CV1512" s="2060"/>
      <c r="CW1512" s="2060"/>
      <c r="CX1512" s="2060"/>
      <c r="CY1512" s="2060"/>
      <c r="CZ1512" s="2060"/>
      <c r="DA1512" s="2060"/>
      <c r="DB1512" s="2060"/>
      <c r="DC1512" s="2060"/>
      <c r="DD1512" s="2060"/>
      <c r="DE1512" s="2060"/>
      <c r="DF1512" s="2060"/>
      <c r="DG1512" s="2060"/>
      <c r="DH1512" s="2060"/>
      <c r="DI1512" s="2060"/>
      <c r="DJ1512" s="2060"/>
      <c r="DK1512" s="2060"/>
      <c r="DL1512" s="2060"/>
      <c r="DM1512" s="2060"/>
      <c r="DN1512" s="2060"/>
      <c r="DO1512" s="2060"/>
      <c r="DP1512" s="2060"/>
      <c r="DQ1512" s="2060"/>
      <c r="DR1512" s="2060"/>
      <c r="DS1512" s="2060"/>
      <c r="DT1512" s="2060"/>
      <c r="DU1512" s="2060"/>
      <c r="DV1512" s="2060"/>
      <c r="DW1512" s="2060"/>
      <c r="DX1512" s="2060"/>
      <c r="DY1512" s="2060"/>
      <c r="DZ1512" s="2060"/>
      <c r="EA1512" s="2060"/>
      <c r="EB1512" s="2060"/>
      <c r="EC1512" s="2060"/>
      <c r="ED1512" s="2060"/>
      <c r="EE1512" s="2060"/>
      <c r="EF1512" s="2060"/>
      <c r="EG1512" s="2060"/>
      <c r="EH1512" s="2060"/>
      <c r="EI1512" s="2060"/>
      <c r="EJ1512" s="2060"/>
      <c r="EK1512" s="2060"/>
      <c r="EL1512" s="2060"/>
      <c r="EM1512" s="2060"/>
      <c r="EN1512" s="2060"/>
      <c r="EO1512" s="2060"/>
      <c r="EP1512" s="2060"/>
      <c r="EQ1512" s="2060"/>
      <c r="ER1512" s="2060"/>
      <c r="ES1512" s="2060"/>
      <c r="ET1512" s="2060"/>
      <c r="EU1512" s="2060"/>
      <c r="EV1512" s="2060"/>
      <c r="EW1512" s="2060"/>
      <c r="EX1512" s="2060"/>
      <c r="EY1512" s="2060"/>
      <c r="EZ1512" s="2060"/>
      <c r="FA1512" s="2060"/>
      <c r="FB1512" s="2060"/>
      <c r="FC1512" s="2060"/>
      <c r="FD1512" s="2060"/>
      <c r="FE1512" s="2060"/>
      <c r="FF1512" s="2060"/>
      <c r="FG1512" s="2060"/>
      <c r="FH1512" s="2060"/>
      <c r="FI1512" s="2060"/>
      <c r="FJ1512" s="2060"/>
      <c r="FK1512" s="2060"/>
      <c r="FL1512" s="2060"/>
      <c r="FM1512" s="2060"/>
      <c r="FN1512" s="2060"/>
      <c r="FO1512" s="2060"/>
      <c r="FP1512" s="2060"/>
      <c r="FQ1512" s="2060"/>
      <c r="FR1512" s="2060"/>
      <c r="FS1512" s="2060"/>
      <c r="FT1512" s="2060"/>
      <c r="FU1512" s="2060"/>
      <c r="FV1512" s="2060"/>
      <c r="FW1512" s="2060"/>
      <c r="FX1512" s="2060"/>
      <c r="FY1512" s="2060"/>
      <c r="FZ1512" s="2060"/>
      <c r="GA1512" s="2060"/>
      <c r="GB1512" s="2060"/>
      <c r="GC1512" s="2060"/>
      <c r="GD1512" s="2060"/>
      <c r="GE1512" s="2060"/>
      <c r="GF1512" s="2060"/>
      <c r="GG1512" s="2060"/>
      <c r="GH1512" s="2060"/>
      <c r="GI1512" s="2060"/>
      <c r="GJ1512" s="2060"/>
      <c r="GK1512" s="2060"/>
      <c r="GL1512" s="2060"/>
      <c r="GM1512" s="2060"/>
      <c r="GN1512" s="2060"/>
      <c r="GO1512" s="2060"/>
      <c r="GP1512" s="2060"/>
      <c r="GQ1512" s="2060"/>
      <c r="GR1512" s="2060"/>
      <c r="GS1512" s="2060"/>
      <c r="GT1512" s="2060"/>
      <c r="GU1512" s="2060"/>
      <c r="GV1512" s="2060"/>
      <c r="GW1512" s="2060"/>
      <c r="GX1512" s="2060"/>
      <c r="GY1512" s="2060"/>
      <c r="GZ1512" s="2060"/>
      <c r="HA1512" s="2060"/>
      <c r="HB1512" s="2060"/>
      <c r="HC1512" s="2060"/>
      <c r="HD1512" s="2060"/>
      <c r="HE1512" s="2060"/>
      <c r="HF1512" s="2060"/>
      <c r="HG1512" s="2060"/>
      <c r="HH1512" s="2060"/>
      <c r="HI1512" s="2060"/>
      <c r="HJ1512" s="2060"/>
      <c r="HK1512" s="2060"/>
      <c r="HL1512" s="2060"/>
      <c r="HM1512" s="2060"/>
      <c r="HN1512" s="2060"/>
      <c r="HO1512" s="2060"/>
      <c r="HP1512" s="2060"/>
      <c r="HQ1512" s="2060"/>
      <c r="HR1512" s="2060"/>
      <c r="HS1512" s="2060"/>
      <c r="HT1512" s="2060"/>
      <c r="HU1512" s="2060"/>
      <c r="HV1512" s="2060"/>
      <c r="HW1512" s="2060"/>
      <c r="HX1512" s="2060"/>
      <c r="HY1512" s="2060"/>
      <c r="HZ1512" s="2060"/>
      <c r="IA1512" s="2060"/>
      <c r="IB1512" s="2060"/>
      <c r="IC1512" s="2060"/>
      <c r="ID1512" s="2060"/>
      <c r="IE1512" s="2060"/>
      <c r="IF1512" s="2060"/>
      <c r="IG1512" s="2060"/>
      <c r="IH1512" s="2060"/>
      <c r="II1512" s="2060"/>
      <c r="IJ1512" s="2060"/>
      <c r="IK1512" s="2060"/>
      <c r="IL1512" s="2060"/>
      <c r="IM1512" s="2060"/>
      <c r="IN1512" s="2060"/>
      <c r="IO1512" s="2060"/>
      <c r="IP1512" s="2060"/>
      <c r="IQ1512" s="2060"/>
      <c r="IR1512" s="2060"/>
      <c r="IS1512" s="2060"/>
      <c r="IT1512" s="2060"/>
      <c r="IU1512" s="2060"/>
      <c r="IV1512" s="2060"/>
      <c r="IW1512" s="2060"/>
      <c r="IX1512" s="2060"/>
      <c r="IY1512" s="2060"/>
      <c r="IZ1512" s="2060"/>
      <c r="JA1512" s="2060"/>
      <c r="JB1512" s="2060"/>
      <c r="JC1512" s="2060"/>
      <c r="JD1512" s="2060"/>
      <c r="JE1512" s="2060"/>
      <c r="JF1512" s="2060"/>
      <c r="JG1512" s="2060"/>
      <c r="JH1512" s="2060"/>
      <c r="JI1512" s="2060"/>
      <c r="JJ1512" s="2060"/>
      <c r="JK1512" s="2060"/>
      <c r="JL1512" s="2060"/>
      <c r="JM1512" s="2060"/>
      <c r="JN1512" s="2060"/>
      <c r="JO1512" s="2060"/>
      <c r="JP1512" s="2060"/>
      <c r="JQ1512" s="2060"/>
      <c r="JR1512" s="2060"/>
      <c r="JS1512" s="2060"/>
      <c r="JT1512" s="2060"/>
      <c r="JU1512" s="2060"/>
      <c r="JV1512" s="2060"/>
      <c r="JW1512" s="2060"/>
      <c r="JX1512" s="2060"/>
      <c r="JY1512" s="2060"/>
      <c r="JZ1512" s="2060"/>
      <c r="KA1512" s="2060"/>
      <c r="KB1512" s="2060"/>
      <c r="KC1512" s="2060"/>
      <c r="KD1512" s="2060"/>
      <c r="KE1512" s="2060"/>
      <c r="KF1512" s="2060"/>
      <c r="KG1512" s="2060"/>
      <c r="KH1512" s="2060"/>
      <c r="KI1512" s="2060"/>
      <c r="KJ1512" s="2060"/>
      <c r="KK1512" s="2060"/>
      <c r="KL1512" s="2060"/>
      <c r="KM1512" s="2060"/>
      <c r="KN1512" s="2060"/>
      <c r="KO1512" s="2060"/>
      <c r="KP1512" s="2060"/>
      <c r="KQ1512" s="2060"/>
      <c r="KR1512" s="2060"/>
      <c r="KS1512" s="2060"/>
      <c r="KT1512" s="2060"/>
      <c r="KU1512" s="2060"/>
      <c r="KV1512" s="2060"/>
      <c r="KW1512" s="2060"/>
      <c r="KX1512" s="2060"/>
      <c r="KY1512" s="2060"/>
      <c r="KZ1512" s="2060"/>
      <c r="LA1512" s="2060"/>
      <c r="LB1512" s="2060"/>
      <c r="LC1512" s="2060"/>
      <c r="LD1512" s="2060"/>
      <c r="LE1512" s="2060"/>
      <c r="LF1512" s="2060"/>
      <c r="LG1512" s="2060"/>
      <c r="LH1512" s="2060"/>
    </row>
    <row r="1513" spans="1:320" s="1499" customFormat="1" ht="13.9">
      <c r="A1513" s="269" t="str">
        <f t="shared" si="421"/>
        <v>n</v>
      </c>
      <c r="B1513" s="2060"/>
      <c r="C1513" s="89"/>
      <c r="D1513" s="801"/>
      <c r="E1513" s="1505">
        <v>19</v>
      </c>
      <c r="F1513" s="21" t="str">
        <f>F$147</f>
        <v>--</v>
      </c>
      <c r="G1513" s="1441">
        <f>G$147</f>
        <v>0</v>
      </c>
      <c r="H1513" s="1441"/>
      <c r="I1513" s="1441"/>
      <c r="J1513" s="1441"/>
      <c r="K1513" s="2314" t="str">
        <f t="shared" ref="K1513:P1513" si="428">IFERROR(K801/K1020,"--")</f>
        <v>--</v>
      </c>
      <c r="L1513" s="2314" t="str">
        <f t="shared" si="428"/>
        <v>--</v>
      </c>
      <c r="M1513" s="2314" t="str">
        <f t="shared" si="428"/>
        <v>--</v>
      </c>
      <c r="N1513" s="2314" t="str">
        <f t="shared" si="428"/>
        <v>--</v>
      </c>
      <c r="O1513" s="2315" t="str">
        <f t="shared" si="428"/>
        <v>--</v>
      </c>
      <c r="P1513" s="2314" t="str">
        <f t="shared" si="428"/>
        <v>--</v>
      </c>
      <c r="Q1513" s="89"/>
      <c r="R1513" s="1466"/>
      <c r="S1513" s="89"/>
      <c r="T1513" s="53"/>
      <c r="U1513" s="89"/>
      <c r="V1513" s="89"/>
      <c r="W1513" s="89"/>
      <c r="X1513" s="89"/>
      <c r="Y1513" s="89"/>
      <c r="Z1513" s="89"/>
      <c r="AA1513" s="89"/>
      <c r="AB1513" s="89"/>
      <c r="AC1513" s="89"/>
      <c r="AD1513" s="89"/>
      <c r="AE1513" s="89"/>
      <c r="AF1513" s="89"/>
      <c r="AG1513" s="2060"/>
      <c r="AH1513" s="2060"/>
      <c r="AI1513" s="2060"/>
      <c r="AJ1513" s="2060"/>
      <c r="AK1513" s="2060"/>
      <c r="AL1513" s="2060"/>
      <c r="AM1513" s="2060"/>
      <c r="AN1513" s="2060"/>
      <c r="AO1513" s="2060"/>
      <c r="AP1513" s="2060"/>
      <c r="AQ1513" s="2060"/>
      <c r="AR1513" s="2060"/>
      <c r="AS1513" s="2060"/>
      <c r="AT1513" s="2060"/>
      <c r="AU1513" s="2060"/>
      <c r="AV1513" s="2060"/>
      <c r="AW1513" s="2060"/>
      <c r="AX1513" s="2060"/>
      <c r="AY1513" s="2060"/>
      <c r="AZ1513" s="2060"/>
      <c r="BA1513" s="2060"/>
      <c r="BB1513" s="2060"/>
      <c r="BC1513" s="2060"/>
      <c r="BD1513" s="2060"/>
      <c r="BE1513" s="2060"/>
      <c r="BF1513" s="2060"/>
      <c r="BG1513" s="2060"/>
      <c r="BH1513" s="2060"/>
      <c r="BI1513" s="2060"/>
      <c r="BJ1513" s="2060"/>
      <c r="BK1513" s="2060"/>
      <c r="BL1513" s="2060"/>
      <c r="BM1513" s="2060"/>
      <c r="BN1513" s="2060"/>
      <c r="BO1513" s="2060"/>
      <c r="BP1513" s="2060"/>
      <c r="BQ1513" s="2060"/>
      <c r="BR1513" s="2060"/>
      <c r="BS1513" s="2060"/>
      <c r="BT1513" s="2060"/>
      <c r="BU1513" s="2060"/>
      <c r="BV1513" s="2060"/>
      <c r="BW1513" s="2060"/>
      <c r="BX1513" s="2060"/>
      <c r="BY1513" s="2060"/>
      <c r="BZ1513" s="2060"/>
      <c r="CA1513" s="2060"/>
      <c r="CB1513" s="2060"/>
      <c r="CC1513" s="2060"/>
      <c r="CD1513" s="2060"/>
      <c r="CE1513" s="2060"/>
      <c r="CF1513" s="2060"/>
      <c r="CG1513" s="2060"/>
      <c r="CH1513" s="2060"/>
      <c r="CI1513" s="2060"/>
      <c r="CJ1513" s="2060"/>
      <c r="CK1513" s="2060"/>
      <c r="CL1513" s="2060"/>
      <c r="CM1513" s="2060"/>
      <c r="CN1513" s="2060"/>
      <c r="CO1513" s="2060"/>
      <c r="CP1513" s="2060"/>
      <c r="CQ1513" s="2060"/>
      <c r="CR1513" s="2060"/>
      <c r="CS1513" s="2060"/>
      <c r="CT1513" s="2060"/>
      <c r="CU1513" s="2060"/>
      <c r="CV1513" s="2060"/>
      <c r="CW1513" s="2060"/>
      <c r="CX1513" s="2060"/>
      <c r="CY1513" s="2060"/>
      <c r="CZ1513" s="2060"/>
      <c r="DA1513" s="2060"/>
      <c r="DB1513" s="2060"/>
      <c r="DC1513" s="2060"/>
      <c r="DD1513" s="2060"/>
      <c r="DE1513" s="2060"/>
      <c r="DF1513" s="2060"/>
      <c r="DG1513" s="2060"/>
      <c r="DH1513" s="2060"/>
      <c r="DI1513" s="2060"/>
      <c r="DJ1513" s="2060"/>
      <c r="DK1513" s="2060"/>
      <c r="DL1513" s="2060"/>
      <c r="DM1513" s="2060"/>
      <c r="DN1513" s="2060"/>
      <c r="DO1513" s="2060"/>
      <c r="DP1513" s="2060"/>
      <c r="DQ1513" s="2060"/>
      <c r="DR1513" s="2060"/>
      <c r="DS1513" s="2060"/>
      <c r="DT1513" s="2060"/>
      <c r="DU1513" s="2060"/>
      <c r="DV1513" s="2060"/>
      <c r="DW1513" s="2060"/>
      <c r="DX1513" s="2060"/>
      <c r="DY1513" s="2060"/>
      <c r="DZ1513" s="2060"/>
      <c r="EA1513" s="2060"/>
      <c r="EB1513" s="2060"/>
      <c r="EC1513" s="2060"/>
      <c r="ED1513" s="2060"/>
      <c r="EE1513" s="2060"/>
      <c r="EF1513" s="2060"/>
      <c r="EG1513" s="2060"/>
      <c r="EH1513" s="2060"/>
      <c r="EI1513" s="2060"/>
      <c r="EJ1513" s="2060"/>
      <c r="EK1513" s="2060"/>
      <c r="EL1513" s="2060"/>
      <c r="EM1513" s="2060"/>
      <c r="EN1513" s="2060"/>
      <c r="EO1513" s="2060"/>
      <c r="EP1513" s="2060"/>
      <c r="EQ1513" s="2060"/>
      <c r="ER1513" s="2060"/>
      <c r="ES1513" s="2060"/>
      <c r="ET1513" s="2060"/>
      <c r="EU1513" s="2060"/>
      <c r="EV1513" s="2060"/>
      <c r="EW1513" s="2060"/>
      <c r="EX1513" s="2060"/>
      <c r="EY1513" s="2060"/>
      <c r="EZ1513" s="2060"/>
      <c r="FA1513" s="2060"/>
      <c r="FB1513" s="2060"/>
      <c r="FC1513" s="2060"/>
      <c r="FD1513" s="2060"/>
      <c r="FE1513" s="2060"/>
      <c r="FF1513" s="2060"/>
      <c r="FG1513" s="2060"/>
      <c r="FH1513" s="2060"/>
      <c r="FI1513" s="2060"/>
      <c r="FJ1513" s="2060"/>
      <c r="FK1513" s="2060"/>
      <c r="FL1513" s="2060"/>
      <c r="FM1513" s="2060"/>
      <c r="FN1513" s="2060"/>
      <c r="FO1513" s="2060"/>
      <c r="FP1513" s="2060"/>
      <c r="FQ1513" s="2060"/>
      <c r="FR1513" s="2060"/>
      <c r="FS1513" s="2060"/>
      <c r="FT1513" s="2060"/>
      <c r="FU1513" s="2060"/>
      <c r="FV1513" s="2060"/>
      <c r="FW1513" s="2060"/>
      <c r="FX1513" s="2060"/>
      <c r="FY1513" s="2060"/>
      <c r="FZ1513" s="2060"/>
      <c r="GA1513" s="2060"/>
      <c r="GB1513" s="2060"/>
      <c r="GC1513" s="2060"/>
      <c r="GD1513" s="2060"/>
      <c r="GE1513" s="2060"/>
      <c r="GF1513" s="2060"/>
      <c r="GG1513" s="2060"/>
      <c r="GH1513" s="2060"/>
      <c r="GI1513" s="2060"/>
      <c r="GJ1513" s="2060"/>
      <c r="GK1513" s="2060"/>
      <c r="GL1513" s="2060"/>
      <c r="GM1513" s="2060"/>
      <c r="GN1513" s="2060"/>
      <c r="GO1513" s="2060"/>
      <c r="GP1513" s="2060"/>
      <c r="GQ1513" s="2060"/>
      <c r="GR1513" s="2060"/>
      <c r="GS1513" s="2060"/>
      <c r="GT1513" s="2060"/>
      <c r="GU1513" s="2060"/>
      <c r="GV1513" s="2060"/>
      <c r="GW1513" s="2060"/>
      <c r="GX1513" s="2060"/>
      <c r="GY1513" s="2060"/>
      <c r="GZ1513" s="2060"/>
      <c r="HA1513" s="2060"/>
      <c r="HB1513" s="2060"/>
      <c r="HC1513" s="2060"/>
      <c r="HD1513" s="2060"/>
      <c r="HE1513" s="2060"/>
      <c r="HF1513" s="2060"/>
      <c r="HG1513" s="2060"/>
      <c r="HH1513" s="2060"/>
      <c r="HI1513" s="2060"/>
      <c r="HJ1513" s="2060"/>
      <c r="HK1513" s="2060"/>
      <c r="HL1513" s="2060"/>
      <c r="HM1513" s="2060"/>
      <c r="HN1513" s="2060"/>
      <c r="HO1513" s="2060"/>
      <c r="HP1513" s="2060"/>
      <c r="HQ1513" s="2060"/>
      <c r="HR1513" s="2060"/>
      <c r="HS1513" s="2060"/>
      <c r="HT1513" s="2060"/>
      <c r="HU1513" s="2060"/>
      <c r="HV1513" s="2060"/>
      <c r="HW1513" s="2060"/>
      <c r="HX1513" s="2060"/>
      <c r="HY1513" s="2060"/>
      <c r="HZ1513" s="2060"/>
      <c r="IA1513" s="2060"/>
      <c r="IB1513" s="2060"/>
      <c r="IC1513" s="2060"/>
      <c r="ID1513" s="2060"/>
      <c r="IE1513" s="2060"/>
      <c r="IF1513" s="2060"/>
      <c r="IG1513" s="2060"/>
      <c r="IH1513" s="2060"/>
      <c r="II1513" s="2060"/>
      <c r="IJ1513" s="2060"/>
      <c r="IK1513" s="2060"/>
      <c r="IL1513" s="2060"/>
      <c r="IM1513" s="2060"/>
      <c r="IN1513" s="2060"/>
      <c r="IO1513" s="2060"/>
      <c r="IP1513" s="2060"/>
      <c r="IQ1513" s="2060"/>
      <c r="IR1513" s="2060"/>
      <c r="IS1513" s="2060"/>
      <c r="IT1513" s="2060"/>
      <c r="IU1513" s="2060"/>
      <c r="IV1513" s="2060"/>
      <c r="IW1513" s="2060"/>
      <c r="IX1513" s="2060"/>
      <c r="IY1513" s="2060"/>
      <c r="IZ1513" s="2060"/>
      <c r="JA1513" s="2060"/>
      <c r="JB1513" s="2060"/>
      <c r="JC1513" s="2060"/>
      <c r="JD1513" s="2060"/>
      <c r="JE1513" s="2060"/>
      <c r="JF1513" s="2060"/>
      <c r="JG1513" s="2060"/>
      <c r="JH1513" s="2060"/>
      <c r="JI1513" s="2060"/>
      <c r="JJ1513" s="2060"/>
      <c r="JK1513" s="2060"/>
      <c r="JL1513" s="2060"/>
      <c r="JM1513" s="2060"/>
      <c r="JN1513" s="2060"/>
      <c r="JO1513" s="2060"/>
      <c r="JP1513" s="2060"/>
      <c r="JQ1513" s="2060"/>
      <c r="JR1513" s="2060"/>
      <c r="JS1513" s="2060"/>
      <c r="JT1513" s="2060"/>
      <c r="JU1513" s="2060"/>
      <c r="JV1513" s="2060"/>
      <c r="JW1513" s="2060"/>
      <c r="JX1513" s="2060"/>
      <c r="JY1513" s="2060"/>
      <c r="JZ1513" s="2060"/>
      <c r="KA1513" s="2060"/>
      <c r="KB1513" s="2060"/>
      <c r="KC1513" s="2060"/>
      <c r="KD1513" s="2060"/>
      <c r="KE1513" s="2060"/>
      <c r="KF1513" s="2060"/>
      <c r="KG1513" s="2060"/>
      <c r="KH1513" s="2060"/>
      <c r="KI1513" s="2060"/>
      <c r="KJ1513" s="2060"/>
      <c r="KK1513" s="2060"/>
      <c r="KL1513" s="2060"/>
      <c r="KM1513" s="2060"/>
      <c r="KN1513" s="2060"/>
      <c r="KO1513" s="2060"/>
      <c r="KP1513" s="2060"/>
      <c r="KQ1513" s="2060"/>
      <c r="KR1513" s="2060"/>
      <c r="KS1513" s="2060"/>
      <c r="KT1513" s="2060"/>
      <c r="KU1513" s="2060"/>
      <c r="KV1513" s="2060"/>
      <c r="KW1513" s="2060"/>
      <c r="KX1513" s="2060"/>
      <c r="KY1513" s="2060"/>
      <c r="KZ1513" s="2060"/>
      <c r="LA1513" s="2060"/>
      <c r="LB1513" s="2060"/>
      <c r="LC1513" s="2060"/>
      <c r="LD1513" s="2060"/>
      <c r="LE1513" s="2060"/>
      <c r="LF1513" s="2060"/>
      <c r="LG1513" s="2060"/>
      <c r="LH1513" s="2060"/>
    </row>
    <row r="1514" spans="1:320" s="1499" customFormat="1" ht="13.9">
      <c r="A1514" s="269" t="str">
        <f t="shared" si="421"/>
        <v>n</v>
      </c>
      <c r="B1514" s="2060"/>
      <c r="C1514" s="89"/>
      <c r="D1514" s="801"/>
      <c r="E1514" s="1505">
        <v>20</v>
      </c>
      <c r="F1514" s="21" t="str">
        <f>F$148</f>
        <v>--</v>
      </c>
      <c r="G1514" s="1441">
        <f>G$148</f>
        <v>0</v>
      </c>
      <c r="H1514" s="1441"/>
      <c r="I1514" s="1441"/>
      <c r="J1514" s="1441"/>
      <c r="K1514" s="2314" t="str">
        <f t="shared" ref="K1514:P1514" si="429">IFERROR(K802/K1021,"--")</f>
        <v>--</v>
      </c>
      <c r="L1514" s="2314" t="str">
        <f t="shared" si="429"/>
        <v>--</v>
      </c>
      <c r="M1514" s="2314" t="str">
        <f t="shared" si="429"/>
        <v>--</v>
      </c>
      <c r="N1514" s="2314" t="str">
        <f t="shared" si="429"/>
        <v>--</v>
      </c>
      <c r="O1514" s="2315" t="str">
        <f t="shared" si="429"/>
        <v>--</v>
      </c>
      <c r="P1514" s="2314" t="str">
        <f t="shared" si="429"/>
        <v>--</v>
      </c>
      <c r="Q1514" s="89"/>
      <c r="R1514" s="1466"/>
      <c r="S1514" s="89"/>
      <c r="T1514" s="53"/>
      <c r="U1514" s="89"/>
      <c r="V1514" s="89"/>
      <c r="W1514" s="89"/>
      <c r="X1514" s="89"/>
      <c r="Y1514" s="89"/>
      <c r="Z1514" s="89"/>
      <c r="AA1514" s="89"/>
      <c r="AB1514" s="89"/>
      <c r="AC1514" s="89"/>
      <c r="AD1514" s="89"/>
      <c r="AE1514" s="89"/>
      <c r="AF1514" s="89"/>
      <c r="AG1514" s="2060"/>
      <c r="AH1514" s="2060"/>
      <c r="AI1514" s="2060"/>
      <c r="AJ1514" s="2060"/>
      <c r="AK1514" s="2060"/>
      <c r="AL1514" s="2060"/>
      <c r="AM1514" s="2060"/>
      <c r="AN1514" s="2060"/>
      <c r="AO1514" s="2060"/>
      <c r="AP1514" s="2060"/>
      <c r="AQ1514" s="2060"/>
      <c r="AR1514" s="2060"/>
      <c r="AS1514" s="2060"/>
      <c r="AT1514" s="2060"/>
      <c r="AU1514" s="2060"/>
      <c r="AV1514" s="2060"/>
      <c r="AW1514" s="2060"/>
      <c r="AX1514" s="2060"/>
      <c r="AY1514" s="2060"/>
      <c r="AZ1514" s="2060"/>
      <c r="BA1514" s="2060"/>
      <c r="BB1514" s="2060"/>
      <c r="BC1514" s="2060"/>
      <c r="BD1514" s="2060"/>
      <c r="BE1514" s="2060"/>
      <c r="BF1514" s="2060"/>
      <c r="BG1514" s="2060"/>
      <c r="BH1514" s="2060"/>
      <c r="BI1514" s="2060"/>
      <c r="BJ1514" s="2060"/>
      <c r="BK1514" s="2060"/>
      <c r="BL1514" s="2060"/>
      <c r="BM1514" s="2060"/>
      <c r="BN1514" s="2060"/>
      <c r="BO1514" s="2060"/>
      <c r="BP1514" s="2060"/>
      <c r="BQ1514" s="2060"/>
      <c r="BR1514" s="2060"/>
      <c r="BS1514" s="2060"/>
      <c r="BT1514" s="2060"/>
      <c r="BU1514" s="2060"/>
      <c r="BV1514" s="2060"/>
      <c r="BW1514" s="2060"/>
      <c r="BX1514" s="2060"/>
      <c r="BY1514" s="2060"/>
      <c r="BZ1514" s="2060"/>
      <c r="CA1514" s="2060"/>
      <c r="CB1514" s="2060"/>
      <c r="CC1514" s="2060"/>
      <c r="CD1514" s="2060"/>
      <c r="CE1514" s="2060"/>
      <c r="CF1514" s="2060"/>
      <c r="CG1514" s="2060"/>
      <c r="CH1514" s="2060"/>
      <c r="CI1514" s="2060"/>
      <c r="CJ1514" s="2060"/>
      <c r="CK1514" s="2060"/>
      <c r="CL1514" s="2060"/>
      <c r="CM1514" s="2060"/>
      <c r="CN1514" s="2060"/>
      <c r="CO1514" s="2060"/>
      <c r="CP1514" s="2060"/>
      <c r="CQ1514" s="2060"/>
      <c r="CR1514" s="2060"/>
      <c r="CS1514" s="2060"/>
      <c r="CT1514" s="2060"/>
      <c r="CU1514" s="2060"/>
      <c r="CV1514" s="2060"/>
      <c r="CW1514" s="2060"/>
      <c r="CX1514" s="2060"/>
      <c r="CY1514" s="2060"/>
      <c r="CZ1514" s="2060"/>
      <c r="DA1514" s="2060"/>
      <c r="DB1514" s="2060"/>
      <c r="DC1514" s="2060"/>
      <c r="DD1514" s="2060"/>
      <c r="DE1514" s="2060"/>
      <c r="DF1514" s="2060"/>
      <c r="DG1514" s="2060"/>
      <c r="DH1514" s="2060"/>
      <c r="DI1514" s="2060"/>
      <c r="DJ1514" s="2060"/>
      <c r="DK1514" s="2060"/>
      <c r="DL1514" s="2060"/>
      <c r="DM1514" s="2060"/>
      <c r="DN1514" s="2060"/>
      <c r="DO1514" s="2060"/>
      <c r="DP1514" s="2060"/>
      <c r="DQ1514" s="2060"/>
      <c r="DR1514" s="2060"/>
      <c r="DS1514" s="2060"/>
      <c r="DT1514" s="2060"/>
      <c r="DU1514" s="2060"/>
      <c r="DV1514" s="2060"/>
      <c r="DW1514" s="2060"/>
      <c r="DX1514" s="2060"/>
      <c r="DY1514" s="2060"/>
      <c r="DZ1514" s="2060"/>
      <c r="EA1514" s="2060"/>
      <c r="EB1514" s="2060"/>
      <c r="EC1514" s="2060"/>
      <c r="ED1514" s="2060"/>
      <c r="EE1514" s="2060"/>
      <c r="EF1514" s="2060"/>
      <c r="EG1514" s="2060"/>
      <c r="EH1514" s="2060"/>
      <c r="EI1514" s="2060"/>
      <c r="EJ1514" s="2060"/>
      <c r="EK1514" s="2060"/>
      <c r="EL1514" s="2060"/>
      <c r="EM1514" s="2060"/>
      <c r="EN1514" s="2060"/>
      <c r="EO1514" s="2060"/>
      <c r="EP1514" s="2060"/>
      <c r="EQ1514" s="2060"/>
      <c r="ER1514" s="2060"/>
      <c r="ES1514" s="2060"/>
      <c r="ET1514" s="2060"/>
      <c r="EU1514" s="2060"/>
      <c r="EV1514" s="2060"/>
      <c r="EW1514" s="2060"/>
      <c r="EX1514" s="2060"/>
      <c r="EY1514" s="2060"/>
      <c r="EZ1514" s="2060"/>
      <c r="FA1514" s="2060"/>
      <c r="FB1514" s="2060"/>
      <c r="FC1514" s="2060"/>
      <c r="FD1514" s="2060"/>
      <c r="FE1514" s="2060"/>
      <c r="FF1514" s="2060"/>
      <c r="FG1514" s="2060"/>
      <c r="FH1514" s="2060"/>
      <c r="FI1514" s="2060"/>
      <c r="FJ1514" s="2060"/>
      <c r="FK1514" s="2060"/>
      <c r="FL1514" s="2060"/>
      <c r="FM1514" s="2060"/>
      <c r="FN1514" s="2060"/>
      <c r="FO1514" s="2060"/>
      <c r="FP1514" s="2060"/>
      <c r="FQ1514" s="2060"/>
      <c r="FR1514" s="2060"/>
      <c r="FS1514" s="2060"/>
      <c r="FT1514" s="2060"/>
      <c r="FU1514" s="2060"/>
      <c r="FV1514" s="2060"/>
      <c r="FW1514" s="2060"/>
      <c r="FX1514" s="2060"/>
      <c r="FY1514" s="2060"/>
      <c r="FZ1514" s="2060"/>
      <c r="GA1514" s="2060"/>
      <c r="GB1514" s="2060"/>
      <c r="GC1514" s="2060"/>
      <c r="GD1514" s="2060"/>
      <c r="GE1514" s="2060"/>
      <c r="GF1514" s="2060"/>
      <c r="GG1514" s="2060"/>
      <c r="GH1514" s="2060"/>
      <c r="GI1514" s="2060"/>
      <c r="GJ1514" s="2060"/>
      <c r="GK1514" s="2060"/>
      <c r="GL1514" s="2060"/>
      <c r="GM1514" s="2060"/>
      <c r="GN1514" s="2060"/>
      <c r="GO1514" s="2060"/>
      <c r="GP1514" s="2060"/>
      <c r="GQ1514" s="2060"/>
      <c r="GR1514" s="2060"/>
      <c r="GS1514" s="2060"/>
      <c r="GT1514" s="2060"/>
      <c r="GU1514" s="2060"/>
      <c r="GV1514" s="2060"/>
      <c r="GW1514" s="2060"/>
      <c r="GX1514" s="2060"/>
      <c r="GY1514" s="2060"/>
      <c r="GZ1514" s="2060"/>
      <c r="HA1514" s="2060"/>
      <c r="HB1514" s="2060"/>
      <c r="HC1514" s="2060"/>
      <c r="HD1514" s="2060"/>
      <c r="HE1514" s="2060"/>
      <c r="HF1514" s="2060"/>
      <c r="HG1514" s="2060"/>
      <c r="HH1514" s="2060"/>
      <c r="HI1514" s="2060"/>
      <c r="HJ1514" s="2060"/>
      <c r="HK1514" s="2060"/>
      <c r="HL1514" s="2060"/>
      <c r="HM1514" s="2060"/>
      <c r="HN1514" s="2060"/>
      <c r="HO1514" s="2060"/>
      <c r="HP1514" s="2060"/>
      <c r="HQ1514" s="2060"/>
      <c r="HR1514" s="2060"/>
      <c r="HS1514" s="2060"/>
      <c r="HT1514" s="2060"/>
      <c r="HU1514" s="2060"/>
      <c r="HV1514" s="2060"/>
      <c r="HW1514" s="2060"/>
      <c r="HX1514" s="2060"/>
      <c r="HY1514" s="2060"/>
      <c r="HZ1514" s="2060"/>
      <c r="IA1514" s="2060"/>
      <c r="IB1514" s="2060"/>
      <c r="IC1514" s="2060"/>
      <c r="ID1514" s="2060"/>
      <c r="IE1514" s="2060"/>
      <c r="IF1514" s="2060"/>
      <c r="IG1514" s="2060"/>
      <c r="IH1514" s="2060"/>
      <c r="II1514" s="2060"/>
      <c r="IJ1514" s="2060"/>
      <c r="IK1514" s="2060"/>
      <c r="IL1514" s="2060"/>
      <c r="IM1514" s="2060"/>
      <c r="IN1514" s="2060"/>
      <c r="IO1514" s="2060"/>
      <c r="IP1514" s="2060"/>
      <c r="IQ1514" s="2060"/>
      <c r="IR1514" s="2060"/>
      <c r="IS1514" s="2060"/>
      <c r="IT1514" s="2060"/>
      <c r="IU1514" s="2060"/>
      <c r="IV1514" s="2060"/>
      <c r="IW1514" s="2060"/>
      <c r="IX1514" s="2060"/>
      <c r="IY1514" s="2060"/>
      <c r="IZ1514" s="2060"/>
      <c r="JA1514" s="2060"/>
      <c r="JB1514" s="2060"/>
      <c r="JC1514" s="2060"/>
      <c r="JD1514" s="2060"/>
      <c r="JE1514" s="2060"/>
      <c r="JF1514" s="2060"/>
      <c r="JG1514" s="2060"/>
      <c r="JH1514" s="2060"/>
      <c r="JI1514" s="2060"/>
      <c r="JJ1514" s="2060"/>
      <c r="JK1514" s="2060"/>
      <c r="JL1514" s="2060"/>
      <c r="JM1514" s="2060"/>
      <c r="JN1514" s="2060"/>
      <c r="JO1514" s="2060"/>
      <c r="JP1514" s="2060"/>
      <c r="JQ1514" s="2060"/>
      <c r="JR1514" s="2060"/>
      <c r="JS1514" s="2060"/>
      <c r="JT1514" s="2060"/>
      <c r="JU1514" s="2060"/>
      <c r="JV1514" s="2060"/>
      <c r="JW1514" s="2060"/>
      <c r="JX1514" s="2060"/>
      <c r="JY1514" s="2060"/>
      <c r="JZ1514" s="2060"/>
      <c r="KA1514" s="2060"/>
      <c r="KB1514" s="2060"/>
      <c r="KC1514" s="2060"/>
      <c r="KD1514" s="2060"/>
      <c r="KE1514" s="2060"/>
      <c r="KF1514" s="2060"/>
      <c r="KG1514" s="2060"/>
      <c r="KH1514" s="2060"/>
      <c r="KI1514" s="2060"/>
      <c r="KJ1514" s="2060"/>
      <c r="KK1514" s="2060"/>
      <c r="KL1514" s="2060"/>
      <c r="KM1514" s="2060"/>
      <c r="KN1514" s="2060"/>
      <c r="KO1514" s="2060"/>
      <c r="KP1514" s="2060"/>
      <c r="KQ1514" s="2060"/>
      <c r="KR1514" s="2060"/>
      <c r="KS1514" s="2060"/>
      <c r="KT1514" s="2060"/>
      <c r="KU1514" s="2060"/>
      <c r="KV1514" s="2060"/>
      <c r="KW1514" s="2060"/>
      <c r="KX1514" s="2060"/>
      <c r="KY1514" s="2060"/>
      <c r="KZ1514" s="2060"/>
      <c r="LA1514" s="2060"/>
      <c r="LB1514" s="2060"/>
      <c r="LC1514" s="2060"/>
      <c r="LD1514" s="2060"/>
      <c r="LE1514" s="2060"/>
      <c r="LF1514" s="2060"/>
      <c r="LG1514" s="2060"/>
      <c r="LH1514" s="2060"/>
    </row>
    <row r="1515" spans="1:320" s="1499" customFormat="1" ht="13.9">
      <c r="A1515" s="269" t="str">
        <f t="shared" si="421"/>
        <v>n</v>
      </c>
      <c r="B1515" s="2060"/>
      <c r="C1515" s="89"/>
      <c r="D1515" s="801"/>
      <c r="E1515" s="1505">
        <v>21</v>
      </c>
      <c r="F1515" s="21" t="str">
        <f>F$149</f>
        <v>--</v>
      </c>
      <c r="G1515" s="1441">
        <f>G$149</f>
        <v>0</v>
      </c>
      <c r="H1515" s="1441"/>
      <c r="I1515" s="1441"/>
      <c r="J1515" s="1441"/>
      <c r="K1515" s="2314" t="str">
        <f t="shared" ref="K1515:P1515" si="430">IFERROR(K803/K1022,"--")</f>
        <v>--</v>
      </c>
      <c r="L1515" s="2314" t="str">
        <f t="shared" si="430"/>
        <v>--</v>
      </c>
      <c r="M1515" s="2314" t="str">
        <f t="shared" si="430"/>
        <v>--</v>
      </c>
      <c r="N1515" s="2314" t="str">
        <f t="shared" si="430"/>
        <v>--</v>
      </c>
      <c r="O1515" s="2315" t="str">
        <f t="shared" si="430"/>
        <v>--</v>
      </c>
      <c r="P1515" s="2314" t="str">
        <f t="shared" si="430"/>
        <v>--</v>
      </c>
      <c r="Q1515" s="89"/>
      <c r="R1515" s="1466"/>
      <c r="S1515" s="89"/>
      <c r="T1515" s="53"/>
      <c r="U1515" s="89"/>
      <c r="V1515" s="89"/>
      <c r="W1515" s="89"/>
      <c r="X1515" s="89"/>
      <c r="Y1515" s="89"/>
      <c r="Z1515" s="89"/>
      <c r="AA1515" s="89"/>
      <c r="AB1515" s="89"/>
      <c r="AC1515" s="89"/>
      <c r="AD1515" s="89"/>
      <c r="AE1515" s="89"/>
      <c r="AF1515" s="89"/>
      <c r="AG1515" s="2060"/>
      <c r="AH1515" s="2060"/>
      <c r="AI1515" s="2060"/>
      <c r="AJ1515" s="2060"/>
      <c r="AK1515" s="2060"/>
      <c r="AL1515" s="2060"/>
      <c r="AM1515" s="2060"/>
      <c r="AN1515" s="2060"/>
      <c r="AO1515" s="2060"/>
      <c r="AP1515" s="2060"/>
      <c r="AQ1515" s="2060"/>
      <c r="AR1515" s="2060"/>
      <c r="AS1515" s="2060"/>
      <c r="AT1515" s="2060"/>
      <c r="AU1515" s="2060"/>
      <c r="AV1515" s="2060"/>
      <c r="AW1515" s="2060"/>
      <c r="AX1515" s="2060"/>
      <c r="AY1515" s="2060"/>
      <c r="AZ1515" s="2060"/>
      <c r="BA1515" s="2060"/>
      <c r="BB1515" s="2060"/>
      <c r="BC1515" s="2060"/>
      <c r="BD1515" s="2060"/>
      <c r="BE1515" s="2060"/>
      <c r="BF1515" s="2060"/>
      <c r="BG1515" s="2060"/>
      <c r="BH1515" s="2060"/>
      <c r="BI1515" s="2060"/>
      <c r="BJ1515" s="2060"/>
      <c r="BK1515" s="2060"/>
      <c r="BL1515" s="2060"/>
      <c r="BM1515" s="2060"/>
      <c r="BN1515" s="2060"/>
      <c r="BO1515" s="2060"/>
      <c r="BP1515" s="2060"/>
      <c r="BQ1515" s="2060"/>
      <c r="BR1515" s="2060"/>
      <c r="BS1515" s="2060"/>
      <c r="BT1515" s="2060"/>
      <c r="BU1515" s="2060"/>
      <c r="BV1515" s="2060"/>
      <c r="BW1515" s="2060"/>
      <c r="BX1515" s="2060"/>
      <c r="BY1515" s="2060"/>
      <c r="BZ1515" s="2060"/>
      <c r="CA1515" s="2060"/>
      <c r="CB1515" s="2060"/>
      <c r="CC1515" s="2060"/>
      <c r="CD1515" s="2060"/>
      <c r="CE1515" s="2060"/>
      <c r="CF1515" s="2060"/>
      <c r="CG1515" s="2060"/>
      <c r="CH1515" s="2060"/>
      <c r="CI1515" s="2060"/>
      <c r="CJ1515" s="2060"/>
      <c r="CK1515" s="2060"/>
      <c r="CL1515" s="2060"/>
      <c r="CM1515" s="2060"/>
      <c r="CN1515" s="2060"/>
      <c r="CO1515" s="2060"/>
      <c r="CP1515" s="2060"/>
      <c r="CQ1515" s="2060"/>
      <c r="CR1515" s="2060"/>
      <c r="CS1515" s="2060"/>
      <c r="CT1515" s="2060"/>
      <c r="CU1515" s="2060"/>
      <c r="CV1515" s="2060"/>
      <c r="CW1515" s="2060"/>
      <c r="CX1515" s="2060"/>
      <c r="CY1515" s="2060"/>
      <c r="CZ1515" s="2060"/>
      <c r="DA1515" s="2060"/>
      <c r="DB1515" s="2060"/>
      <c r="DC1515" s="2060"/>
      <c r="DD1515" s="2060"/>
      <c r="DE1515" s="2060"/>
      <c r="DF1515" s="2060"/>
      <c r="DG1515" s="2060"/>
      <c r="DH1515" s="2060"/>
      <c r="DI1515" s="2060"/>
      <c r="DJ1515" s="2060"/>
      <c r="DK1515" s="2060"/>
      <c r="DL1515" s="2060"/>
      <c r="DM1515" s="2060"/>
      <c r="DN1515" s="2060"/>
      <c r="DO1515" s="2060"/>
      <c r="DP1515" s="2060"/>
      <c r="DQ1515" s="2060"/>
      <c r="DR1515" s="2060"/>
      <c r="DS1515" s="2060"/>
      <c r="DT1515" s="2060"/>
      <c r="DU1515" s="2060"/>
      <c r="DV1515" s="2060"/>
      <c r="DW1515" s="2060"/>
      <c r="DX1515" s="2060"/>
      <c r="DY1515" s="2060"/>
      <c r="DZ1515" s="2060"/>
      <c r="EA1515" s="2060"/>
      <c r="EB1515" s="2060"/>
      <c r="EC1515" s="2060"/>
      <c r="ED1515" s="2060"/>
      <c r="EE1515" s="2060"/>
      <c r="EF1515" s="2060"/>
      <c r="EG1515" s="2060"/>
      <c r="EH1515" s="2060"/>
      <c r="EI1515" s="2060"/>
      <c r="EJ1515" s="2060"/>
      <c r="EK1515" s="2060"/>
      <c r="EL1515" s="2060"/>
      <c r="EM1515" s="2060"/>
      <c r="EN1515" s="2060"/>
      <c r="EO1515" s="2060"/>
      <c r="EP1515" s="2060"/>
      <c r="EQ1515" s="2060"/>
      <c r="ER1515" s="2060"/>
      <c r="ES1515" s="2060"/>
      <c r="ET1515" s="2060"/>
      <c r="EU1515" s="2060"/>
      <c r="EV1515" s="2060"/>
      <c r="EW1515" s="2060"/>
      <c r="EX1515" s="2060"/>
      <c r="EY1515" s="2060"/>
      <c r="EZ1515" s="2060"/>
      <c r="FA1515" s="2060"/>
      <c r="FB1515" s="2060"/>
      <c r="FC1515" s="2060"/>
      <c r="FD1515" s="2060"/>
      <c r="FE1515" s="2060"/>
      <c r="FF1515" s="2060"/>
      <c r="FG1515" s="2060"/>
      <c r="FH1515" s="2060"/>
      <c r="FI1515" s="2060"/>
      <c r="FJ1515" s="2060"/>
      <c r="FK1515" s="2060"/>
      <c r="FL1515" s="2060"/>
      <c r="FM1515" s="2060"/>
      <c r="FN1515" s="2060"/>
      <c r="FO1515" s="2060"/>
      <c r="FP1515" s="2060"/>
      <c r="FQ1515" s="2060"/>
      <c r="FR1515" s="2060"/>
      <c r="FS1515" s="2060"/>
      <c r="FT1515" s="2060"/>
      <c r="FU1515" s="2060"/>
      <c r="FV1515" s="2060"/>
      <c r="FW1515" s="2060"/>
      <c r="FX1515" s="2060"/>
      <c r="FY1515" s="2060"/>
      <c r="FZ1515" s="2060"/>
      <c r="GA1515" s="2060"/>
      <c r="GB1515" s="2060"/>
      <c r="GC1515" s="2060"/>
      <c r="GD1515" s="2060"/>
      <c r="GE1515" s="2060"/>
      <c r="GF1515" s="2060"/>
      <c r="GG1515" s="2060"/>
      <c r="GH1515" s="2060"/>
      <c r="GI1515" s="2060"/>
      <c r="GJ1515" s="2060"/>
      <c r="GK1515" s="2060"/>
      <c r="GL1515" s="2060"/>
      <c r="GM1515" s="2060"/>
      <c r="GN1515" s="2060"/>
      <c r="GO1515" s="2060"/>
      <c r="GP1515" s="2060"/>
      <c r="GQ1515" s="2060"/>
      <c r="GR1515" s="2060"/>
      <c r="GS1515" s="2060"/>
      <c r="GT1515" s="2060"/>
      <c r="GU1515" s="2060"/>
      <c r="GV1515" s="2060"/>
      <c r="GW1515" s="2060"/>
      <c r="GX1515" s="2060"/>
      <c r="GY1515" s="2060"/>
      <c r="GZ1515" s="2060"/>
      <c r="HA1515" s="2060"/>
      <c r="HB1515" s="2060"/>
      <c r="HC1515" s="2060"/>
      <c r="HD1515" s="2060"/>
      <c r="HE1515" s="2060"/>
      <c r="HF1515" s="2060"/>
      <c r="HG1515" s="2060"/>
      <c r="HH1515" s="2060"/>
      <c r="HI1515" s="2060"/>
      <c r="HJ1515" s="2060"/>
      <c r="HK1515" s="2060"/>
      <c r="HL1515" s="2060"/>
      <c r="HM1515" s="2060"/>
      <c r="HN1515" s="2060"/>
      <c r="HO1515" s="2060"/>
      <c r="HP1515" s="2060"/>
      <c r="HQ1515" s="2060"/>
      <c r="HR1515" s="2060"/>
      <c r="HS1515" s="2060"/>
      <c r="HT1515" s="2060"/>
      <c r="HU1515" s="2060"/>
      <c r="HV1515" s="2060"/>
      <c r="HW1515" s="2060"/>
      <c r="HX1515" s="2060"/>
      <c r="HY1515" s="2060"/>
      <c r="HZ1515" s="2060"/>
      <c r="IA1515" s="2060"/>
      <c r="IB1515" s="2060"/>
      <c r="IC1515" s="2060"/>
      <c r="ID1515" s="2060"/>
      <c r="IE1515" s="2060"/>
      <c r="IF1515" s="2060"/>
      <c r="IG1515" s="2060"/>
      <c r="IH1515" s="2060"/>
      <c r="II1515" s="2060"/>
      <c r="IJ1515" s="2060"/>
      <c r="IK1515" s="2060"/>
      <c r="IL1515" s="2060"/>
      <c r="IM1515" s="2060"/>
      <c r="IN1515" s="2060"/>
      <c r="IO1515" s="2060"/>
      <c r="IP1515" s="2060"/>
      <c r="IQ1515" s="2060"/>
      <c r="IR1515" s="2060"/>
      <c r="IS1515" s="2060"/>
      <c r="IT1515" s="2060"/>
      <c r="IU1515" s="2060"/>
      <c r="IV1515" s="2060"/>
      <c r="IW1515" s="2060"/>
      <c r="IX1515" s="2060"/>
      <c r="IY1515" s="2060"/>
      <c r="IZ1515" s="2060"/>
      <c r="JA1515" s="2060"/>
      <c r="JB1515" s="2060"/>
      <c r="JC1515" s="2060"/>
      <c r="JD1515" s="2060"/>
      <c r="JE1515" s="2060"/>
      <c r="JF1515" s="2060"/>
      <c r="JG1515" s="2060"/>
      <c r="JH1515" s="2060"/>
      <c r="JI1515" s="2060"/>
      <c r="JJ1515" s="2060"/>
      <c r="JK1515" s="2060"/>
      <c r="JL1515" s="2060"/>
      <c r="JM1515" s="2060"/>
      <c r="JN1515" s="2060"/>
      <c r="JO1515" s="2060"/>
      <c r="JP1515" s="2060"/>
      <c r="JQ1515" s="2060"/>
      <c r="JR1515" s="2060"/>
      <c r="JS1515" s="2060"/>
      <c r="JT1515" s="2060"/>
      <c r="JU1515" s="2060"/>
      <c r="JV1515" s="2060"/>
      <c r="JW1515" s="2060"/>
      <c r="JX1515" s="2060"/>
      <c r="JY1515" s="2060"/>
      <c r="JZ1515" s="2060"/>
      <c r="KA1515" s="2060"/>
      <c r="KB1515" s="2060"/>
      <c r="KC1515" s="2060"/>
      <c r="KD1515" s="2060"/>
      <c r="KE1515" s="2060"/>
      <c r="KF1515" s="2060"/>
      <c r="KG1515" s="2060"/>
      <c r="KH1515" s="2060"/>
      <c r="KI1515" s="2060"/>
      <c r="KJ1515" s="2060"/>
      <c r="KK1515" s="2060"/>
      <c r="KL1515" s="2060"/>
      <c r="KM1515" s="2060"/>
      <c r="KN1515" s="2060"/>
      <c r="KO1515" s="2060"/>
      <c r="KP1515" s="2060"/>
      <c r="KQ1515" s="2060"/>
      <c r="KR1515" s="2060"/>
      <c r="KS1515" s="2060"/>
      <c r="KT1515" s="2060"/>
      <c r="KU1515" s="2060"/>
      <c r="KV1515" s="2060"/>
      <c r="KW1515" s="2060"/>
      <c r="KX1515" s="2060"/>
      <c r="KY1515" s="2060"/>
      <c r="KZ1515" s="2060"/>
      <c r="LA1515" s="2060"/>
      <c r="LB1515" s="2060"/>
      <c r="LC1515" s="2060"/>
      <c r="LD1515" s="2060"/>
      <c r="LE1515" s="2060"/>
      <c r="LF1515" s="2060"/>
      <c r="LG1515" s="2060"/>
      <c r="LH1515" s="2060"/>
    </row>
    <row r="1516" spans="1:320" s="1499" customFormat="1" ht="13.9">
      <c r="A1516" s="269" t="str">
        <f t="shared" si="421"/>
        <v>n</v>
      </c>
      <c r="B1516" s="2060"/>
      <c r="C1516" s="89"/>
      <c r="D1516" s="801"/>
      <c r="E1516" s="1505">
        <v>22</v>
      </c>
      <c r="F1516" s="21" t="str">
        <f>F$150</f>
        <v>--</v>
      </c>
      <c r="G1516" s="1441">
        <f>G$150</f>
        <v>0</v>
      </c>
      <c r="H1516" s="1441"/>
      <c r="I1516" s="1441"/>
      <c r="J1516" s="1441"/>
      <c r="K1516" s="2314" t="str">
        <f t="shared" ref="K1516:P1516" si="431">IFERROR(K804/K1023,"--")</f>
        <v>--</v>
      </c>
      <c r="L1516" s="2314" t="str">
        <f t="shared" si="431"/>
        <v>--</v>
      </c>
      <c r="M1516" s="2314" t="str">
        <f t="shared" si="431"/>
        <v>--</v>
      </c>
      <c r="N1516" s="2314" t="str">
        <f t="shared" si="431"/>
        <v>--</v>
      </c>
      <c r="O1516" s="2315" t="str">
        <f t="shared" si="431"/>
        <v>--</v>
      </c>
      <c r="P1516" s="2314" t="str">
        <f t="shared" si="431"/>
        <v>--</v>
      </c>
      <c r="Q1516" s="89"/>
      <c r="R1516" s="1466"/>
      <c r="S1516" s="89"/>
      <c r="T1516" s="53"/>
      <c r="U1516" s="89"/>
      <c r="V1516" s="89"/>
      <c r="W1516" s="89"/>
      <c r="X1516" s="89"/>
      <c r="Y1516" s="89"/>
      <c r="Z1516" s="89"/>
      <c r="AA1516" s="89"/>
      <c r="AB1516" s="89"/>
      <c r="AC1516" s="89"/>
      <c r="AD1516" s="89"/>
      <c r="AE1516" s="89"/>
      <c r="AF1516" s="89"/>
      <c r="AG1516" s="2060"/>
      <c r="AH1516" s="2060"/>
      <c r="AI1516" s="2060"/>
      <c r="AJ1516" s="2060"/>
      <c r="AK1516" s="2060"/>
      <c r="AL1516" s="2060"/>
      <c r="AM1516" s="2060"/>
      <c r="AN1516" s="2060"/>
      <c r="AO1516" s="2060"/>
      <c r="AP1516" s="2060"/>
      <c r="AQ1516" s="2060"/>
      <c r="AR1516" s="2060"/>
      <c r="AS1516" s="2060"/>
      <c r="AT1516" s="2060"/>
      <c r="AU1516" s="2060"/>
      <c r="AV1516" s="2060"/>
      <c r="AW1516" s="2060"/>
      <c r="AX1516" s="2060"/>
      <c r="AY1516" s="2060"/>
      <c r="AZ1516" s="2060"/>
      <c r="BA1516" s="2060"/>
      <c r="BB1516" s="2060"/>
      <c r="BC1516" s="2060"/>
      <c r="BD1516" s="2060"/>
      <c r="BE1516" s="2060"/>
      <c r="BF1516" s="2060"/>
      <c r="BG1516" s="2060"/>
      <c r="BH1516" s="2060"/>
      <c r="BI1516" s="2060"/>
      <c r="BJ1516" s="2060"/>
      <c r="BK1516" s="2060"/>
      <c r="BL1516" s="2060"/>
      <c r="BM1516" s="2060"/>
      <c r="BN1516" s="2060"/>
      <c r="BO1516" s="2060"/>
      <c r="BP1516" s="2060"/>
      <c r="BQ1516" s="2060"/>
      <c r="BR1516" s="2060"/>
      <c r="BS1516" s="2060"/>
      <c r="BT1516" s="2060"/>
      <c r="BU1516" s="2060"/>
      <c r="BV1516" s="2060"/>
      <c r="BW1516" s="2060"/>
      <c r="BX1516" s="2060"/>
      <c r="BY1516" s="2060"/>
      <c r="BZ1516" s="2060"/>
      <c r="CA1516" s="2060"/>
      <c r="CB1516" s="2060"/>
      <c r="CC1516" s="2060"/>
      <c r="CD1516" s="2060"/>
      <c r="CE1516" s="2060"/>
      <c r="CF1516" s="2060"/>
      <c r="CG1516" s="2060"/>
      <c r="CH1516" s="2060"/>
      <c r="CI1516" s="2060"/>
      <c r="CJ1516" s="2060"/>
      <c r="CK1516" s="2060"/>
      <c r="CL1516" s="2060"/>
      <c r="CM1516" s="2060"/>
      <c r="CN1516" s="2060"/>
      <c r="CO1516" s="2060"/>
      <c r="CP1516" s="2060"/>
      <c r="CQ1516" s="2060"/>
      <c r="CR1516" s="2060"/>
      <c r="CS1516" s="2060"/>
      <c r="CT1516" s="2060"/>
      <c r="CU1516" s="2060"/>
      <c r="CV1516" s="2060"/>
      <c r="CW1516" s="2060"/>
      <c r="CX1516" s="2060"/>
      <c r="CY1516" s="2060"/>
      <c r="CZ1516" s="2060"/>
      <c r="DA1516" s="2060"/>
      <c r="DB1516" s="2060"/>
      <c r="DC1516" s="2060"/>
      <c r="DD1516" s="2060"/>
      <c r="DE1516" s="2060"/>
      <c r="DF1516" s="2060"/>
      <c r="DG1516" s="2060"/>
      <c r="DH1516" s="2060"/>
      <c r="DI1516" s="2060"/>
      <c r="DJ1516" s="2060"/>
      <c r="DK1516" s="2060"/>
      <c r="DL1516" s="2060"/>
      <c r="DM1516" s="2060"/>
      <c r="DN1516" s="2060"/>
      <c r="DO1516" s="2060"/>
      <c r="DP1516" s="2060"/>
      <c r="DQ1516" s="2060"/>
      <c r="DR1516" s="2060"/>
      <c r="DS1516" s="2060"/>
      <c r="DT1516" s="2060"/>
      <c r="DU1516" s="2060"/>
      <c r="DV1516" s="2060"/>
      <c r="DW1516" s="2060"/>
      <c r="DX1516" s="2060"/>
      <c r="DY1516" s="2060"/>
      <c r="DZ1516" s="2060"/>
      <c r="EA1516" s="2060"/>
      <c r="EB1516" s="2060"/>
      <c r="EC1516" s="2060"/>
      <c r="ED1516" s="2060"/>
      <c r="EE1516" s="2060"/>
      <c r="EF1516" s="2060"/>
      <c r="EG1516" s="2060"/>
      <c r="EH1516" s="2060"/>
      <c r="EI1516" s="2060"/>
      <c r="EJ1516" s="2060"/>
      <c r="EK1516" s="2060"/>
      <c r="EL1516" s="2060"/>
      <c r="EM1516" s="2060"/>
      <c r="EN1516" s="2060"/>
      <c r="EO1516" s="2060"/>
      <c r="EP1516" s="2060"/>
      <c r="EQ1516" s="2060"/>
      <c r="ER1516" s="2060"/>
      <c r="ES1516" s="2060"/>
      <c r="ET1516" s="2060"/>
      <c r="EU1516" s="2060"/>
      <c r="EV1516" s="2060"/>
      <c r="EW1516" s="2060"/>
      <c r="EX1516" s="2060"/>
      <c r="EY1516" s="2060"/>
      <c r="EZ1516" s="2060"/>
      <c r="FA1516" s="2060"/>
      <c r="FB1516" s="2060"/>
      <c r="FC1516" s="2060"/>
      <c r="FD1516" s="2060"/>
      <c r="FE1516" s="2060"/>
      <c r="FF1516" s="2060"/>
      <c r="FG1516" s="2060"/>
      <c r="FH1516" s="2060"/>
      <c r="FI1516" s="2060"/>
      <c r="FJ1516" s="2060"/>
      <c r="FK1516" s="2060"/>
      <c r="FL1516" s="2060"/>
      <c r="FM1516" s="2060"/>
      <c r="FN1516" s="2060"/>
      <c r="FO1516" s="2060"/>
      <c r="FP1516" s="2060"/>
      <c r="FQ1516" s="2060"/>
      <c r="FR1516" s="2060"/>
      <c r="FS1516" s="2060"/>
      <c r="FT1516" s="2060"/>
      <c r="FU1516" s="2060"/>
      <c r="FV1516" s="2060"/>
      <c r="FW1516" s="2060"/>
      <c r="FX1516" s="2060"/>
      <c r="FY1516" s="2060"/>
      <c r="FZ1516" s="2060"/>
      <c r="GA1516" s="2060"/>
      <c r="GB1516" s="2060"/>
      <c r="GC1516" s="2060"/>
      <c r="GD1516" s="2060"/>
      <c r="GE1516" s="2060"/>
      <c r="GF1516" s="2060"/>
      <c r="GG1516" s="2060"/>
      <c r="GH1516" s="2060"/>
      <c r="GI1516" s="2060"/>
      <c r="GJ1516" s="2060"/>
      <c r="GK1516" s="2060"/>
      <c r="GL1516" s="2060"/>
      <c r="GM1516" s="2060"/>
      <c r="GN1516" s="2060"/>
      <c r="GO1516" s="2060"/>
      <c r="GP1516" s="2060"/>
      <c r="GQ1516" s="2060"/>
      <c r="GR1516" s="2060"/>
      <c r="GS1516" s="2060"/>
      <c r="GT1516" s="2060"/>
      <c r="GU1516" s="2060"/>
      <c r="GV1516" s="2060"/>
      <c r="GW1516" s="2060"/>
      <c r="GX1516" s="2060"/>
      <c r="GY1516" s="2060"/>
      <c r="GZ1516" s="2060"/>
      <c r="HA1516" s="2060"/>
      <c r="HB1516" s="2060"/>
      <c r="HC1516" s="2060"/>
      <c r="HD1516" s="2060"/>
      <c r="HE1516" s="2060"/>
      <c r="HF1516" s="2060"/>
      <c r="HG1516" s="2060"/>
      <c r="HH1516" s="2060"/>
      <c r="HI1516" s="2060"/>
      <c r="HJ1516" s="2060"/>
      <c r="HK1516" s="2060"/>
      <c r="HL1516" s="2060"/>
      <c r="HM1516" s="2060"/>
      <c r="HN1516" s="2060"/>
      <c r="HO1516" s="2060"/>
      <c r="HP1516" s="2060"/>
      <c r="HQ1516" s="2060"/>
      <c r="HR1516" s="2060"/>
      <c r="HS1516" s="2060"/>
      <c r="HT1516" s="2060"/>
      <c r="HU1516" s="2060"/>
      <c r="HV1516" s="2060"/>
      <c r="HW1516" s="2060"/>
      <c r="HX1516" s="2060"/>
      <c r="HY1516" s="2060"/>
      <c r="HZ1516" s="2060"/>
      <c r="IA1516" s="2060"/>
      <c r="IB1516" s="2060"/>
      <c r="IC1516" s="2060"/>
      <c r="ID1516" s="2060"/>
      <c r="IE1516" s="2060"/>
      <c r="IF1516" s="2060"/>
      <c r="IG1516" s="2060"/>
      <c r="IH1516" s="2060"/>
      <c r="II1516" s="2060"/>
      <c r="IJ1516" s="2060"/>
      <c r="IK1516" s="2060"/>
      <c r="IL1516" s="2060"/>
      <c r="IM1516" s="2060"/>
      <c r="IN1516" s="2060"/>
      <c r="IO1516" s="2060"/>
      <c r="IP1516" s="2060"/>
      <c r="IQ1516" s="2060"/>
      <c r="IR1516" s="2060"/>
      <c r="IS1516" s="2060"/>
      <c r="IT1516" s="2060"/>
      <c r="IU1516" s="2060"/>
      <c r="IV1516" s="2060"/>
      <c r="IW1516" s="2060"/>
      <c r="IX1516" s="2060"/>
      <c r="IY1516" s="2060"/>
      <c r="IZ1516" s="2060"/>
      <c r="JA1516" s="2060"/>
      <c r="JB1516" s="2060"/>
      <c r="JC1516" s="2060"/>
      <c r="JD1516" s="2060"/>
      <c r="JE1516" s="2060"/>
      <c r="JF1516" s="2060"/>
      <c r="JG1516" s="2060"/>
      <c r="JH1516" s="2060"/>
      <c r="JI1516" s="2060"/>
      <c r="JJ1516" s="2060"/>
      <c r="JK1516" s="2060"/>
      <c r="JL1516" s="2060"/>
      <c r="JM1516" s="2060"/>
      <c r="JN1516" s="2060"/>
      <c r="JO1516" s="2060"/>
      <c r="JP1516" s="2060"/>
      <c r="JQ1516" s="2060"/>
      <c r="JR1516" s="2060"/>
      <c r="JS1516" s="2060"/>
      <c r="JT1516" s="2060"/>
      <c r="JU1516" s="2060"/>
      <c r="JV1516" s="2060"/>
      <c r="JW1516" s="2060"/>
      <c r="JX1516" s="2060"/>
      <c r="JY1516" s="2060"/>
      <c r="JZ1516" s="2060"/>
      <c r="KA1516" s="2060"/>
      <c r="KB1516" s="2060"/>
      <c r="KC1516" s="2060"/>
      <c r="KD1516" s="2060"/>
      <c r="KE1516" s="2060"/>
      <c r="KF1516" s="2060"/>
      <c r="KG1516" s="2060"/>
      <c r="KH1516" s="2060"/>
      <c r="KI1516" s="2060"/>
      <c r="KJ1516" s="2060"/>
      <c r="KK1516" s="2060"/>
      <c r="KL1516" s="2060"/>
      <c r="KM1516" s="2060"/>
      <c r="KN1516" s="2060"/>
      <c r="KO1516" s="2060"/>
      <c r="KP1516" s="2060"/>
      <c r="KQ1516" s="2060"/>
      <c r="KR1516" s="2060"/>
      <c r="KS1516" s="2060"/>
      <c r="KT1516" s="2060"/>
      <c r="KU1516" s="2060"/>
      <c r="KV1516" s="2060"/>
      <c r="KW1516" s="2060"/>
      <c r="KX1516" s="2060"/>
      <c r="KY1516" s="2060"/>
      <c r="KZ1516" s="2060"/>
      <c r="LA1516" s="2060"/>
      <c r="LB1516" s="2060"/>
      <c r="LC1516" s="2060"/>
      <c r="LD1516" s="2060"/>
      <c r="LE1516" s="2060"/>
      <c r="LF1516" s="2060"/>
      <c r="LG1516" s="2060"/>
      <c r="LH1516" s="2060"/>
    </row>
    <row r="1517" spans="1:320" s="1499" customFormat="1" ht="13.9">
      <c r="A1517" s="269" t="str">
        <f t="shared" si="421"/>
        <v>n</v>
      </c>
      <c r="B1517" s="2060"/>
      <c r="C1517" s="89"/>
      <c r="D1517" s="801"/>
      <c r="E1517" s="1505">
        <v>23</v>
      </c>
      <c r="F1517" s="21" t="str">
        <f>F$151</f>
        <v>--</v>
      </c>
      <c r="G1517" s="1441">
        <f>G$151</f>
        <v>0</v>
      </c>
      <c r="H1517" s="1441"/>
      <c r="I1517" s="1441"/>
      <c r="J1517" s="1441"/>
      <c r="K1517" s="2314" t="str">
        <f t="shared" ref="K1517:P1517" si="432">IFERROR(K805/K1024,"--")</f>
        <v>--</v>
      </c>
      <c r="L1517" s="2314" t="str">
        <f t="shared" si="432"/>
        <v>--</v>
      </c>
      <c r="M1517" s="2314" t="str">
        <f t="shared" si="432"/>
        <v>--</v>
      </c>
      <c r="N1517" s="2314" t="str">
        <f t="shared" si="432"/>
        <v>--</v>
      </c>
      <c r="O1517" s="2315" t="str">
        <f t="shared" si="432"/>
        <v>--</v>
      </c>
      <c r="P1517" s="2314" t="str">
        <f t="shared" si="432"/>
        <v>--</v>
      </c>
      <c r="Q1517" s="89"/>
      <c r="R1517" s="1466"/>
      <c r="S1517" s="89"/>
      <c r="T1517" s="53"/>
      <c r="U1517" s="89"/>
      <c r="V1517" s="89"/>
      <c r="W1517" s="89"/>
      <c r="X1517" s="89"/>
      <c r="Y1517" s="89"/>
      <c r="Z1517" s="89"/>
      <c r="AA1517" s="89"/>
      <c r="AB1517" s="89"/>
      <c r="AC1517" s="89"/>
      <c r="AD1517" s="89"/>
      <c r="AE1517" s="89"/>
      <c r="AF1517" s="89"/>
      <c r="AG1517" s="2060"/>
      <c r="AH1517" s="2060"/>
      <c r="AI1517" s="2060"/>
      <c r="AJ1517" s="2060"/>
      <c r="AK1517" s="2060"/>
      <c r="AL1517" s="2060"/>
      <c r="AM1517" s="2060"/>
      <c r="AN1517" s="2060"/>
      <c r="AO1517" s="2060"/>
      <c r="AP1517" s="2060"/>
      <c r="AQ1517" s="2060"/>
      <c r="AR1517" s="2060"/>
      <c r="AS1517" s="2060"/>
      <c r="AT1517" s="2060"/>
      <c r="AU1517" s="2060"/>
      <c r="AV1517" s="2060"/>
      <c r="AW1517" s="2060"/>
      <c r="AX1517" s="2060"/>
      <c r="AY1517" s="2060"/>
      <c r="AZ1517" s="2060"/>
      <c r="BA1517" s="2060"/>
      <c r="BB1517" s="2060"/>
      <c r="BC1517" s="2060"/>
      <c r="BD1517" s="2060"/>
      <c r="BE1517" s="2060"/>
      <c r="BF1517" s="2060"/>
      <c r="BG1517" s="2060"/>
      <c r="BH1517" s="2060"/>
      <c r="BI1517" s="2060"/>
      <c r="BJ1517" s="2060"/>
      <c r="BK1517" s="2060"/>
      <c r="BL1517" s="2060"/>
      <c r="BM1517" s="2060"/>
      <c r="BN1517" s="2060"/>
      <c r="BO1517" s="2060"/>
      <c r="BP1517" s="2060"/>
      <c r="BQ1517" s="2060"/>
      <c r="BR1517" s="2060"/>
      <c r="BS1517" s="2060"/>
      <c r="BT1517" s="2060"/>
      <c r="BU1517" s="2060"/>
      <c r="BV1517" s="2060"/>
      <c r="BW1517" s="2060"/>
      <c r="BX1517" s="2060"/>
      <c r="BY1517" s="2060"/>
      <c r="BZ1517" s="2060"/>
      <c r="CA1517" s="2060"/>
      <c r="CB1517" s="2060"/>
      <c r="CC1517" s="2060"/>
      <c r="CD1517" s="2060"/>
      <c r="CE1517" s="2060"/>
      <c r="CF1517" s="2060"/>
      <c r="CG1517" s="2060"/>
      <c r="CH1517" s="2060"/>
      <c r="CI1517" s="2060"/>
      <c r="CJ1517" s="2060"/>
      <c r="CK1517" s="2060"/>
      <c r="CL1517" s="2060"/>
      <c r="CM1517" s="2060"/>
      <c r="CN1517" s="2060"/>
      <c r="CO1517" s="2060"/>
      <c r="CP1517" s="2060"/>
      <c r="CQ1517" s="2060"/>
      <c r="CR1517" s="2060"/>
      <c r="CS1517" s="2060"/>
      <c r="CT1517" s="2060"/>
      <c r="CU1517" s="2060"/>
      <c r="CV1517" s="2060"/>
      <c r="CW1517" s="2060"/>
      <c r="CX1517" s="2060"/>
      <c r="CY1517" s="2060"/>
      <c r="CZ1517" s="2060"/>
      <c r="DA1517" s="2060"/>
      <c r="DB1517" s="2060"/>
      <c r="DC1517" s="2060"/>
      <c r="DD1517" s="2060"/>
      <c r="DE1517" s="2060"/>
      <c r="DF1517" s="2060"/>
      <c r="DG1517" s="2060"/>
      <c r="DH1517" s="2060"/>
      <c r="DI1517" s="2060"/>
      <c r="DJ1517" s="2060"/>
      <c r="DK1517" s="2060"/>
      <c r="DL1517" s="2060"/>
      <c r="DM1517" s="2060"/>
      <c r="DN1517" s="2060"/>
      <c r="DO1517" s="2060"/>
      <c r="DP1517" s="2060"/>
      <c r="DQ1517" s="2060"/>
      <c r="DR1517" s="2060"/>
      <c r="DS1517" s="2060"/>
      <c r="DT1517" s="2060"/>
      <c r="DU1517" s="2060"/>
      <c r="DV1517" s="2060"/>
      <c r="DW1517" s="2060"/>
      <c r="DX1517" s="2060"/>
      <c r="DY1517" s="2060"/>
      <c r="DZ1517" s="2060"/>
      <c r="EA1517" s="2060"/>
      <c r="EB1517" s="2060"/>
      <c r="EC1517" s="2060"/>
      <c r="ED1517" s="2060"/>
      <c r="EE1517" s="2060"/>
      <c r="EF1517" s="2060"/>
      <c r="EG1517" s="2060"/>
      <c r="EH1517" s="2060"/>
      <c r="EI1517" s="2060"/>
      <c r="EJ1517" s="2060"/>
      <c r="EK1517" s="2060"/>
      <c r="EL1517" s="2060"/>
      <c r="EM1517" s="2060"/>
      <c r="EN1517" s="2060"/>
      <c r="EO1517" s="2060"/>
      <c r="EP1517" s="2060"/>
      <c r="EQ1517" s="2060"/>
      <c r="ER1517" s="2060"/>
      <c r="ES1517" s="2060"/>
      <c r="ET1517" s="2060"/>
      <c r="EU1517" s="2060"/>
      <c r="EV1517" s="2060"/>
      <c r="EW1517" s="2060"/>
      <c r="EX1517" s="2060"/>
      <c r="EY1517" s="2060"/>
      <c r="EZ1517" s="2060"/>
      <c r="FA1517" s="2060"/>
      <c r="FB1517" s="2060"/>
      <c r="FC1517" s="2060"/>
      <c r="FD1517" s="2060"/>
      <c r="FE1517" s="2060"/>
      <c r="FF1517" s="2060"/>
      <c r="FG1517" s="2060"/>
      <c r="FH1517" s="2060"/>
      <c r="FI1517" s="2060"/>
      <c r="FJ1517" s="2060"/>
      <c r="FK1517" s="2060"/>
      <c r="FL1517" s="2060"/>
      <c r="FM1517" s="2060"/>
      <c r="FN1517" s="2060"/>
      <c r="FO1517" s="2060"/>
      <c r="FP1517" s="2060"/>
      <c r="FQ1517" s="2060"/>
      <c r="FR1517" s="2060"/>
      <c r="FS1517" s="2060"/>
      <c r="FT1517" s="2060"/>
      <c r="FU1517" s="2060"/>
      <c r="FV1517" s="2060"/>
      <c r="FW1517" s="2060"/>
      <c r="FX1517" s="2060"/>
      <c r="FY1517" s="2060"/>
      <c r="FZ1517" s="2060"/>
      <c r="GA1517" s="2060"/>
      <c r="GB1517" s="2060"/>
      <c r="GC1517" s="2060"/>
      <c r="GD1517" s="2060"/>
      <c r="GE1517" s="2060"/>
      <c r="GF1517" s="2060"/>
      <c r="GG1517" s="2060"/>
      <c r="GH1517" s="2060"/>
      <c r="GI1517" s="2060"/>
      <c r="GJ1517" s="2060"/>
      <c r="GK1517" s="2060"/>
      <c r="GL1517" s="2060"/>
      <c r="GM1517" s="2060"/>
      <c r="GN1517" s="2060"/>
      <c r="GO1517" s="2060"/>
      <c r="GP1517" s="2060"/>
      <c r="GQ1517" s="2060"/>
      <c r="GR1517" s="2060"/>
      <c r="GS1517" s="2060"/>
      <c r="GT1517" s="2060"/>
      <c r="GU1517" s="2060"/>
      <c r="GV1517" s="2060"/>
      <c r="GW1517" s="2060"/>
      <c r="GX1517" s="2060"/>
      <c r="GY1517" s="2060"/>
      <c r="GZ1517" s="2060"/>
      <c r="HA1517" s="2060"/>
      <c r="HB1517" s="2060"/>
      <c r="HC1517" s="2060"/>
      <c r="HD1517" s="2060"/>
      <c r="HE1517" s="2060"/>
      <c r="HF1517" s="2060"/>
      <c r="HG1517" s="2060"/>
      <c r="HH1517" s="2060"/>
      <c r="HI1517" s="2060"/>
      <c r="HJ1517" s="2060"/>
      <c r="HK1517" s="2060"/>
      <c r="HL1517" s="2060"/>
      <c r="HM1517" s="2060"/>
      <c r="HN1517" s="2060"/>
      <c r="HO1517" s="2060"/>
      <c r="HP1517" s="2060"/>
      <c r="HQ1517" s="2060"/>
      <c r="HR1517" s="2060"/>
      <c r="HS1517" s="2060"/>
      <c r="HT1517" s="2060"/>
      <c r="HU1517" s="2060"/>
      <c r="HV1517" s="2060"/>
      <c r="HW1517" s="2060"/>
      <c r="HX1517" s="2060"/>
      <c r="HY1517" s="2060"/>
      <c r="HZ1517" s="2060"/>
      <c r="IA1517" s="2060"/>
      <c r="IB1517" s="2060"/>
      <c r="IC1517" s="2060"/>
      <c r="ID1517" s="2060"/>
      <c r="IE1517" s="2060"/>
      <c r="IF1517" s="2060"/>
      <c r="IG1517" s="2060"/>
      <c r="IH1517" s="2060"/>
      <c r="II1517" s="2060"/>
      <c r="IJ1517" s="2060"/>
      <c r="IK1517" s="2060"/>
      <c r="IL1517" s="2060"/>
      <c r="IM1517" s="2060"/>
      <c r="IN1517" s="2060"/>
      <c r="IO1517" s="2060"/>
      <c r="IP1517" s="2060"/>
      <c r="IQ1517" s="2060"/>
      <c r="IR1517" s="2060"/>
      <c r="IS1517" s="2060"/>
      <c r="IT1517" s="2060"/>
      <c r="IU1517" s="2060"/>
      <c r="IV1517" s="2060"/>
      <c r="IW1517" s="2060"/>
      <c r="IX1517" s="2060"/>
      <c r="IY1517" s="2060"/>
      <c r="IZ1517" s="2060"/>
      <c r="JA1517" s="2060"/>
      <c r="JB1517" s="2060"/>
      <c r="JC1517" s="2060"/>
      <c r="JD1517" s="2060"/>
      <c r="JE1517" s="2060"/>
      <c r="JF1517" s="2060"/>
      <c r="JG1517" s="2060"/>
      <c r="JH1517" s="2060"/>
      <c r="JI1517" s="2060"/>
      <c r="JJ1517" s="2060"/>
      <c r="JK1517" s="2060"/>
      <c r="JL1517" s="2060"/>
      <c r="JM1517" s="2060"/>
      <c r="JN1517" s="2060"/>
      <c r="JO1517" s="2060"/>
      <c r="JP1517" s="2060"/>
      <c r="JQ1517" s="2060"/>
      <c r="JR1517" s="2060"/>
      <c r="JS1517" s="2060"/>
      <c r="JT1517" s="2060"/>
      <c r="JU1517" s="2060"/>
      <c r="JV1517" s="2060"/>
      <c r="JW1517" s="2060"/>
      <c r="JX1517" s="2060"/>
      <c r="JY1517" s="2060"/>
      <c r="JZ1517" s="2060"/>
      <c r="KA1517" s="2060"/>
      <c r="KB1517" s="2060"/>
      <c r="KC1517" s="2060"/>
      <c r="KD1517" s="2060"/>
      <c r="KE1517" s="2060"/>
      <c r="KF1517" s="2060"/>
      <c r="KG1517" s="2060"/>
      <c r="KH1517" s="2060"/>
      <c r="KI1517" s="2060"/>
      <c r="KJ1517" s="2060"/>
      <c r="KK1517" s="2060"/>
      <c r="KL1517" s="2060"/>
      <c r="KM1517" s="2060"/>
      <c r="KN1517" s="2060"/>
      <c r="KO1517" s="2060"/>
      <c r="KP1517" s="2060"/>
      <c r="KQ1517" s="2060"/>
      <c r="KR1517" s="2060"/>
      <c r="KS1517" s="2060"/>
      <c r="KT1517" s="2060"/>
      <c r="KU1517" s="2060"/>
      <c r="KV1517" s="2060"/>
      <c r="KW1517" s="2060"/>
      <c r="KX1517" s="2060"/>
      <c r="KY1517" s="2060"/>
      <c r="KZ1517" s="2060"/>
      <c r="LA1517" s="2060"/>
      <c r="LB1517" s="2060"/>
      <c r="LC1517" s="2060"/>
      <c r="LD1517" s="2060"/>
      <c r="LE1517" s="2060"/>
      <c r="LF1517" s="2060"/>
      <c r="LG1517" s="2060"/>
      <c r="LH1517" s="2060"/>
    </row>
    <row r="1518" spans="1:320" s="1499" customFormat="1" ht="13.9">
      <c r="A1518" s="269" t="str">
        <f t="shared" si="421"/>
        <v>n</v>
      </c>
      <c r="B1518" s="2060"/>
      <c r="C1518" s="89"/>
      <c r="D1518" s="801"/>
      <c r="E1518" s="1505">
        <v>24</v>
      </c>
      <c r="F1518" s="21" t="str">
        <f>F$152</f>
        <v>--</v>
      </c>
      <c r="G1518" s="1441">
        <f>G$152</f>
        <v>0</v>
      </c>
      <c r="H1518" s="1441"/>
      <c r="I1518" s="1441"/>
      <c r="J1518" s="1441"/>
      <c r="K1518" s="2314" t="str">
        <f t="shared" ref="K1518:P1518" si="433">IFERROR(K806/K1025,"--")</f>
        <v>--</v>
      </c>
      <c r="L1518" s="2314" t="str">
        <f t="shared" si="433"/>
        <v>--</v>
      </c>
      <c r="M1518" s="2314" t="str">
        <f t="shared" si="433"/>
        <v>--</v>
      </c>
      <c r="N1518" s="2314" t="str">
        <f t="shared" si="433"/>
        <v>--</v>
      </c>
      <c r="O1518" s="2315" t="str">
        <f t="shared" si="433"/>
        <v>--</v>
      </c>
      <c r="P1518" s="2314" t="str">
        <f t="shared" si="433"/>
        <v>--</v>
      </c>
      <c r="Q1518" s="89"/>
      <c r="R1518" s="1466"/>
      <c r="S1518" s="89"/>
      <c r="T1518" s="53"/>
      <c r="U1518" s="89"/>
      <c r="V1518" s="89"/>
      <c r="W1518" s="89"/>
      <c r="X1518" s="89"/>
      <c r="Y1518" s="89"/>
      <c r="Z1518" s="89"/>
      <c r="AA1518" s="89"/>
      <c r="AB1518" s="89"/>
      <c r="AC1518" s="89"/>
      <c r="AD1518" s="89"/>
      <c r="AE1518" s="89"/>
      <c r="AF1518" s="89"/>
      <c r="AG1518" s="2060"/>
      <c r="AH1518" s="2060"/>
      <c r="AI1518" s="2060"/>
      <c r="AJ1518" s="2060"/>
      <c r="AK1518" s="2060"/>
      <c r="AL1518" s="2060"/>
      <c r="AM1518" s="2060"/>
      <c r="AN1518" s="2060"/>
      <c r="AO1518" s="2060"/>
      <c r="AP1518" s="2060"/>
      <c r="AQ1518" s="2060"/>
      <c r="AR1518" s="2060"/>
      <c r="AS1518" s="2060"/>
      <c r="AT1518" s="2060"/>
      <c r="AU1518" s="2060"/>
      <c r="AV1518" s="2060"/>
      <c r="AW1518" s="2060"/>
      <c r="AX1518" s="2060"/>
      <c r="AY1518" s="2060"/>
      <c r="AZ1518" s="2060"/>
      <c r="BA1518" s="2060"/>
      <c r="BB1518" s="2060"/>
      <c r="BC1518" s="2060"/>
      <c r="BD1518" s="2060"/>
      <c r="BE1518" s="2060"/>
      <c r="BF1518" s="2060"/>
      <c r="BG1518" s="2060"/>
      <c r="BH1518" s="2060"/>
      <c r="BI1518" s="2060"/>
      <c r="BJ1518" s="2060"/>
      <c r="BK1518" s="2060"/>
      <c r="BL1518" s="2060"/>
      <c r="BM1518" s="2060"/>
      <c r="BN1518" s="2060"/>
      <c r="BO1518" s="2060"/>
      <c r="BP1518" s="2060"/>
      <c r="BQ1518" s="2060"/>
      <c r="BR1518" s="2060"/>
      <c r="BS1518" s="2060"/>
      <c r="BT1518" s="2060"/>
      <c r="BU1518" s="2060"/>
      <c r="BV1518" s="2060"/>
      <c r="BW1518" s="2060"/>
      <c r="BX1518" s="2060"/>
      <c r="BY1518" s="2060"/>
      <c r="BZ1518" s="2060"/>
      <c r="CA1518" s="2060"/>
      <c r="CB1518" s="2060"/>
      <c r="CC1518" s="2060"/>
      <c r="CD1518" s="2060"/>
      <c r="CE1518" s="2060"/>
      <c r="CF1518" s="2060"/>
      <c r="CG1518" s="2060"/>
      <c r="CH1518" s="2060"/>
      <c r="CI1518" s="2060"/>
      <c r="CJ1518" s="2060"/>
      <c r="CK1518" s="2060"/>
      <c r="CL1518" s="2060"/>
      <c r="CM1518" s="2060"/>
      <c r="CN1518" s="2060"/>
      <c r="CO1518" s="2060"/>
      <c r="CP1518" s="2060"/>
      <c r="CQ1518" s="2060"/>
      <c r="CR1518" s="2060"/>
      <c r="CS1518" s="2060"/>
      <c r="CT1518" s="2060"/>
      <c r="CU1518" s="2060"/>
      <c r="CV1518" s="2060"/>
      <c r="CW1518" s="2060"/>
      <c r="CX1518" s="2060"/>
      <c r="CY1518" s="2060"/>
      <c r="CZ1518" s="2060"/>
      <c r="DA1518" s="2060"/>
      <c r="DB1518" s="2060"/>
      <c r="DC1518" s="2060"/>
      <c r="DD1518" s="2060"/>
      <c r="DE1518" s="2060"/>
      <c r="DF1518" s="2060"/>
      <c r="DG1518" s="2060"/>
      <c r="DH1518" s="2060"/>
      <c r="DI1518" s="2060"/>
      <c r="DJ1518" s="2060"/>
      <c r="DK1518" s="2060"/>
      <c r="DL1518" s="2060"/>
      <c r="DM1518" s="2060"/>
      <c r="DN1518" s="2060"/>
      <c r="DO1518" s="2060"/>
      <c r="DP1518" s="2060"/>
      <c r="DQ1518" s="2060"/>
      <c r="DR1518" s="2060"/>
      <c r="DS1518" s="2060"/>
      <c r="DT1518" s="2060"/>
      <c r="DU1518" s="2060"/>
      <c r="DV1518" s="2060"/>
      <c r="DW1518" s="2060"/>
      <c r="DX1518" s="2060"/>
      <c r="DY1518" s="2060"/>
      <c r="DZ1518" s="2060"/>
      <c r="EA1518" s="2060"/>
      <c r="EB1518" s="2060"/>
      <c r="EC1518" s="2060"/>
      <c r="ED1518" s="2060"/>
      <c r="EE1518" s="2060"/>
      <c r="EF1518" s="2060"/>
      <c r="EG1518" s="2060"/>
      <c r="EH1518" s="2060"/>
      <c r="EI1518" s="2060"/>
      <c r="EJ1518" s="2060"/>
      <c r="EK1518" s="2060"/>
      <c r="EL1518" s="2060"/>
      <c r="EM1518" s="2060"/>
      <c r="EN1518" s="2060"/>
      <c r="EO1518" s="2060"/>
      <c r="EP1518" s="2060"/>
      <c r="EQ1518" s="2060"/>
      <c r="ER1518" s="2060"/>
      <c r="ES1518" s="2060"/>
      <c r="ET1518" s="2060"/>
      <c r="EU1518" s="2060"/>
      <c r="EV1518" s="2060"/>
      <c r="EW1518" s="2060"/>
      <c r="EX1518" s="2060"/>
      <c r="EY1518" s="2060"/>
      <c r="EZ1518" s="2060"/>
      <c r="FA1518" s="2060"/>
      <c r="FB1518" s="2060"/>
      <c r="FC1518" s="2060"/>
      <c r="FD1518" s="2060"/>
      <c r="FE1518" s="2060"/>
      <c r="FF1518" s="2060"/>
      <c r="FG1518" s="2060"/>
      <c r="FH1518" s="2060"/>
      <c r="FI1518" s="2060"/>
      <c r="FJ1518" s="2060"/>
      <c r="FK1518" s="2060"/>
      <c r="FL1518" s="2060"/>
      <c r="FM1518" s="2060"/>
      <c r="FN1518" s="2060"/>
      <c r="FO1518" s="2060"/>
      <c r="FP1518" s="2060"/>
      <c r="FQ1518" s="2060"/>
      <c r="FR1518" s="2060"/>
      <c r="FS1518" s="2060"/>
      <c r="FT1518" s="2060"/>
      <c r="FU1518" s="2060"/>
      <c r="FV1518" s="2060"/>
      <c r="FW1518" s="2060"/>
      <c r="FX1518" s="2060"/>
      <c r="FY1518" s="2060"/>
      <c r="FZ1518" s="2060"/>
      <c r="GA1518" s="2060"/>
      <c r="GB1518" s="2060"/>
      <c r="GC1518" s="2060"/>
      <c r="GD1518" s="2060"/>
      <c r="GE1518" s="2060"/>
      <c r="GF1518" s="2060"/>
      <c r="GG1518" s="2060"/>
      <c r="GH1518" s="2060"/>
      <c r="GI1518" s="2060"/>
      <c r="GJ1518" s="2060"/>
      <c r="GK1518" s="2060"/>
      <c r="GL1518" s="2060"/>
      <c r="GM1518" s="2060"/>
      <c r="GN1518" s="2060"/>
      <c r="GO1518" s="2060"/>
      <c r="GP1518" s="2060"/>
      <c r="GQ1518" s="2060"/>
      <c r="GR1518" s="2060"/>
      <c r="GS1518" s="2060"/>
      <c r="GT1518" s="2060"/>
      <c r="GU1518" s="2060"/>
      <c r="GV1518" s="2060"/>
      <c r="GW1518" s="2060"/>
      <c r="GX1518" s="2060"/>
      <c r="GY1518" s="2060"/>
      <c r="GZ1518" s="2060"/>
      <c r="HA1518" s="2060"/>
      <c r="HB1518" s="2060"/>
      <c r="HC1518" s="2060"/>
      <c r="HD1518" s="2060"/>
      <c r="HE1518" s="2060"/>
      <c r="HF1518" s="2060"/>
      <c r="HG1518" s="2060"/>
      <c r="HH1518" s="2060"/>
      <c r="HI1518" s="2060"/>
      <c r="HJ1518" s="2060"/>
      <c r="HK1518" s="2060"/>
      <c r="HL1518" s="2060"/>
      <c r="HM1518" s="2060"/>
      <c r="HN1518" s="2060"/>
      <c r="HO1518" s="2060"/>
      <c r="HP1518" s="2060"/>
      <c r="HQ1518" s="2060"/>
      <c r="HR1518" s="2060"/>
      <c r="HS1518" s="2060"/>
      <c r="HT1518" s="2060"/>
      <c r="HU1518" s="2060"/>
      <c r="HV1518" s="2060"/>
      <c r="HW1518" s="2060"/>
      <c r="HX1518" s="2060"/>
      <c r="HY1518" s="2060"/>
      <c r="HZ1518" s="2060"/>
      <c r="IA1518" s="2060"/>
      <c r="IB1518" s="2060"/>
      <c r="IC1518" s="2060"/>
      <c r="ID1518" s="2060"/>
      <c r="IE1518" s="2060"/>
      <c r="IF1518" s="2060"/>
      <c r="IG1518" s="2060"/>
      <c r="IH1518" s="2060"/>
      <c r="II1518" s="2060"/>
      <c r="IJ1518" s="2060"/>
      <c r="IK1518" s="2060"/>
      <c r="IL1518" s="2060"/>
      <c r="IM1518" s="2060"/>
      <c r="IN1518" s="2060"/>
      <c r="IO1518" s="2060"/>
      <c r="IP1518" s="2060"/>
      <c r="IQ1518" s="2060"/>
      <c r="IR1518" s="2060"/>
      <c r="IS1518" s="2060"/>
      <c r="IT1518" s="2060"/>
      <c r="IU1518" s="2060"/>
      <c r="IV1518" s="2060"/>
      <c r="IW1518" s="2060"/>
      <c r="IX1518" s="2060"/>
      <c r="IY1518" s="2060"/>
      <c r="IZ1518" s="2060"/>
      <c r="JA1518" s="2060"/>
      <c r="JB1518" s="2060"/>
      <c r="JC1518" s="2060"/>
      <c r="JD1518" s="2060"/>
      <c r="JE1518" s="2060"/>
      <c r="JF1518" s="2060"/>
      <c r="JG1518" s="2060"/>
      <c r="JH1518" s="2060"/>
      <c r="JI1518" s="2060"/>
      <c r="JJ1518" s="2060"/>
      <c r="JK1518" s="2060"/>
      <c r="JL1518" s="2060"/>
      <c r="JM1518" s="2060"/>
      <c r="JN1518" s="2060"/>
      <c r="JO1518" s="2060"/>
      <c r="JP1518" s="2060"/>
      <c r="JQ1518" s="2060"/>
      <c r="JR1518" s="2060"/>
      <c r="JS1518" s="2060"/>
      <c r="JT1518" s="2060"/>
      <c r="JU1518" s="2060"/>
      <c r="JV1518" s="2060"/>
      <c r="JW1518" s="2060"/>
      <c r="JX1518" s="2060"/>
      <c r="JY1518" s="2060"/>
      <c r="JZ1518" s="2060"/>
      <c r="KA1518" s="2060"/>
      <c r="KB1518" s="2060"/>
      <c r="KC1518" s="2060"/>
      <c r="KD1518" s="2060"/>
      <c r="KE1518" s="2060"/>
      <c r="KF1518" s="2060"/>
      <c r="KG1518" s="2060"/>
      <c r="KH1518" s="2060"/>
      <c r="KI1518" s="2060"/>
      <c r="KJ1518" s="2060"/>
      <c r="KK1518" s="2060"/>
      <c r="KL1518" s="2060"/>
      <c r="KM1518" s="2060"/>
      <c r="KN1518" s="2060"/>
      <c r="KO1518" s="2060"/>
      <c r="KP1518" s="2060"/>
      <c r="KQ1518" s="2060"/>
      <c r="KR1518" s="2060"/>
      <c r="KS1518" s="2060"/>
      <c r="KT1518" s="2060"/>
      <c r="KU1518" s="2060"/>
      <c r="KV1518" s="2060"/>
      <c r="KW1518" s="2060"/>
      <c r="KX1518" s="2060"/>
      <c r="KY1518" s="2060"/>
      <c r="KZ1518" s="2060"/>
      <c r="LA1518" s="2060"/>
      <c r="LB1518" s="2060"/>
      <c r="LC1518" s="2060"/>
      <c r="LD1518" s="2060"/>
      <c r="LE1518" s="2060"/>
      <c r="LF1518" s="2060"/>
      <c r="LG1518" s="2060"/>
      <c r="LH1518" s="2060"/>
    </row>
    <row r="1519" spans="1:320" s="449" customFormat="1" ht="13.9">
      <c r="A1519" s="2060"/>
      <c r="B1519" s="2060"/>
      <c r="C1519" s="89"/>
      <c r="D1519" s="89"/>
      <c r="E1519" s="1505">
        <v>25</v>
      </c>
      <c r="F1519" s="21" t="str">
        <f>F$153</f>
        <v>--</v>
      </c>
      <c r="G1519" s="1441">
        <f>G$153</f>
        <v>0</v>
      </c>
      <c r="H1519" s="1441"/>
      <c r="I1519" s="1441"/>
      <c r="J1519" s="1441"/>
      <c r="K1519" s="2314" t="str">
        <f t="shared" ref="K1519:P1519" si="434">IFERROR(K807/K1026,"--")</f>
        <v>--</v>
      </c>
      <c r="L1519" s="2314" t="str">
        <f t="shared" si="434"/>
        <v>--</v>
      </c>
      <c r="M1519" s="2314" t="str">
        <f t="shared" si="434"/>
        <v>--</v>
      </c>
      <c r="N1519" s="2314" t="str">
        <f t="shared" si="434"/>
        <v>--</v>
      </c>
      <c r="O1519" s="2315" t="str">
        <f t="shared" si="434"/>
        <v>--</v>
      </c>
      <c r="P1519" s="2314" t="str">
        <f t="shared" si="434"/>
        <v>--</v>
      </c>
      <c r="Q1519" s="89"/>
      <c r="R1519" s="1466"/>
      <c r="S1519" s="89"/>
      <c r="T1519" s="53"/>
      <c r="U1519" s="89"/>
      <c r="V1519" s="89"/>
      <c r="W1519" s="89"/>
      <c r="X1519" s="89"/>
      <c r="Y1519" s="89"/>
      <c r="Z1519" s="89"/>
      <c r="AA1519" s="89"/>
      <c r="AB1519" s="89"/>
      <c r="AC1519" s="89"/>
      <c r="AD1519" s="89"/>
      <c r="AE1519" s="89"/>
      <c r="AF1519" s="89"/>
      <c r="AG1519" s="2060"/>
      <c r="AH1519" s="2060"/>
      <c r="AI1519" s="2060"/>
      <c r="AJ1519" s="2060"/>
      <c r="AK1519" s="2060"/>
      <c r="AL1519" s="2060"/>
      <c r="AM1519" s="2060"/>
      <c r="AN1519" s="2060"/>
      <c r="AO1519" s="2060"/>
      <c r="AP1519" s="2060"/>
      <c r="AQ1519" s="2060"/>
      <c r="AR1519" s="2060"/>
      <c r="AS1519" s="2060"/>
      <c r="AT1519" s="2060"/>
      <c r="AU1519" s="2060"/>
      <c r="AV1519" s="2060"/>
      <c r="AW1519" s="2060"/>
      <c r="AX1519" s="2060"/>
      <c r="AY1519" s="2060"/>
      <c r="AZ1519" s="2060"/>
      <c r="BA1519" s="2060"/>
      <c r="BB1519" s="2060"/>
      <c r="BC1519" s="2060"/>
      <c r="BD1519" s="2060"/>
      <c r="BE1519" s="2060"/>
      <c r="BF1519" s="2060"/>
      <c r="BG1519" s="2060"/>
      <c r="BH1519" s="2060"/>
      <c r="BI1519" s="2060"/>
      <c r="BJ1519" s="2060"/>
      <c r="BK1519" s="2060"/>
      <c r="BL1519" s="2060"/>
      <c r="BM1519" s="2060"/>
      <c r="BN1519" s="2060"/>
      <c r="BO1519" s="2060"/>
      <c r="BP1519" s="2060"/>
      <c r="BQ1519" s="2060"/>
      <c r="BR1519" s="2060"/>
      <c r="BS1519" s="2060"/>
      <c r="BT1519" s="2060"/>
      <c r="BU1519" s="2060"/>
      <c r="BV1519" s="2060"/>
      <c r="BW1519" s="2060"/>
      <c r="BX1519" s="2060"/>
      <c r="BY1519" s="2060"/>
      <c r="BZ1519" s="2060"/>
      <c r="CA1519" s="2060"/>
      <c r="CB1519" s="2060"/>
      <c r="CC1519" s="2060"/>
      <c r="CD1519" s="2060"/>
      <c r="CE1519" s="2060"/>
      <c r="CF1519" s="2060"/>
      <c r="CG1519" s="2060"/>
      <c r="CH1519" s="2060"/>
      <c r="CI1519" s="2060"/>
      <c r="CJ1519" s="2060"/>
      <c r="CK1519" s="2060"/>
      <c r="CL1519" s="2060"/>
      <c r="CM1519" s="2060"/>
      <c r="CN1519" s="2060"/>
      <c r="CO1519" s="2060"/>
      <c r="CP1519" s="2060"/>
      <c r="CQ1519" s="2060"/>
      <c r="CR1519" s="2060"/>
      <c r="CS1519" s="2060"/>
      <c r="CT1519" s="2060"/>
      <c r="CU1519" s="2060"/>
      <c r="CV1519" s="2060"/>
      <c r="CW1519" s="2060"/>
      <c r="CX1519" s="2060"/>
      <c r="CY1519" s="2060"/>
      <c r="CZ1519" s="2060"/>
      <c r="DA1519" s="2060"/>
      <c r="DB1519" s="2060"/>
      <c r="DC1519" s="2060"/>
      <c r="DD1519" s="2060"/>
      <c r="DE1519" s="2060"/>
      <c r="DF1519" s="2060"/>
      <c r="DG1519" s="2060"/>
      <c r="DH1519" s="2060"/>
      <c r="DI1519" s="2060"/>
      <c r="DJ1519" s="2060"/>
      <c r="DK1519" s="2060"/>
      <c r="DL1519" s="2060"/>
      <c r="DM1519" s="2060"/>
      <c r="DN1519" s="2060"/>
      <c r="DO1519" s="2060"/>
      <c r="DP1519" s="2060"/>
      <c r="DQ1519" s="2060"/>
      <c r="DR1519" s="2060"/>
      <c r="DS1519" s="2060"/>
      <c r="DT1519" s="2060"/>
      <c r="DU1519" s="2060"/>
      <c r="DV1519" s="2060"/>
      <c r="DW1519" s="2060"/>
      <c r="DX1519" s="2060"/>
      <c r="DY1519" s="2060"/>
      <c r="DZ1519" s="2060"/>
      <c r="EA1519" s="2060"/>
      <c r="EB1519" s="2060"/>
      <c r="EC1519" s="2060"/>
      <c r="ED1519" s="2060"/>
      <c r="EE1519" s="2060"/>
      <c r="EF1519" s="2060"/>
      <c r="EG1519" s="2060"/>
      <c r="EH1519" s="2060"/>
      <c r="EI1519" s="2060"/>
      <c r="EJ1519" s="2060"/>
      <c r="EK1519" s="2060"/>
      <c r="EL1519" s="2060"/>
      <c r="EM1519" s="2060"/>
      <c r="EN1519" s="2060"/>
      <c r="EO1519" s="2060"/>
      <c r="EP1519" s="2060"/>
      <c r="EQ1519" s="2060"/>
      <c r="ER1519" s="2060"/>
      <c r="ES1519" s="2060"/>
      <c r="ET1519" s="2060"/>
      <c r="EU1519" s="2060"/>
      <c r="EV1519" s="2060"/>
      <c r="EW1519" s="2060"/>
      <c r="EX1519" s="2060"/>
      <c r="EY1519" s="2060"/>
      <c r="EZ1519" s="2060"/>
      <c r="FA1519" s="2060"/>
      <c r="FB1519" s="2060"/>
      <c r="FC1519" s="2060"/>
      <c r="FD1519" s="2060"/>
      <c r="FE1519" s="2060"/>
      <c r="FF1519" s="2060"/>
      <c r="FG1519" s="2060"/>
      <c r="FH1519" s="2060"/>
      <c r="FI1519" s="2060"/>
      <c r="FJ1519" s="2060"/>
      <c r="FK1519" s="2060"/>
      <c r="FL1519" s="2060"/>
      <c r="FM1519" s="2060"/>
      <c r="FN1519" s="2060"/>
      <c r="FO1519" s="2060"/>
      <c r="FP1519" s="2060"/>
      <c r="FQ1519" s="2060"/>
      <c r="FR1519" s="2060"/>
      <c r="FS1519" s="2060"/>
      <c r="FT1519" s="2060"/>
      <c r="FU1519" s="2060"/>
      <c r="FV1519" s="2060"/>
      <c r="FW1519" s="2060"/>
      <c r="FX1519" s="2060"/>
      <c r="FY1519" s="2060"/>
      <c r="FZ1519" s="2060"/>
      <c r="GA1519" s="2060"/>
      <c r="GB1519" s="2060"/>
      <c r="GC1519" s="2060"/>
      <c r="GD1519" s="2060"/>
      <c r="GE1519" s="2060"/>
      <c r="GF1519" s="2060"/>
      <c r="GG1519" s="2060"/>
      <c r="GH1519" s="2060"/>
      <c r="GI1519" s="2060"/>
      <c r="GJ1519" s="2060"/>
      <c r="GK1519" s="2060"/>
      <c r="GL1519" s="2060"/>
      <c r="GM1519" s="2060"/>
      <c r="GN1519" s="2060"/>
      <c r="GO1519" s="2060"/>
      <c r="GP1519" s="2060"/>
      <c r="GQ1519" s="2060"/>
      <c r="GR1519" s="2060"/>
      <c r="GS1519" s="2060"/>
      <c r="GT1519" s="2060"/>
      <c r="GU1519" s="2060"/>
      <c r="GV1519" s="2060"/>
      <c r="GW1519" s="2060"/>
      <c r="GX1519" s="2060"/>
      <c r="GY1519" s="2060"/>
      <c r="GZ1519" s="2060"/>
      <c r="HA1519" s="2060"/>
      <c r="HB1519" s="2060"/>
      <c r="HC1519" s="2060"/>
      <c r="HD1519" s="2060"/>
      <c r="HE1519" s="2060"/>
      <c r="HF1519" s="2060"/>
      <c r="HG1519" s="2060"/>
      <c r="HH1519" s="2060"/>
      <c r="HI1519" s="2060"/>
      <c r="HJ1519" s="2060"/>
      <c r="HK1519" s="2060"/>
      <c r="HL1519" s="2060"/>
      <c r="HM1519" s="2060"/>
      <c r="HN1519" s="2060"/>
      <c r="HO1519" s="2060"/>
      <c r="HP1519" s="2060"/>
      <c r="HQ1519" s="2060"/>
      <c r="HR1519" s="2060"/>
      <c r="HS1519" s="2060"/>
      <c r="HT1519" s="2060"/>
      <c r="HU1519" s="2060"/>
      <c r="HV1519" s="2060"/>
      <c r="HW1519" s="2060"/>
      <c r="HX1519" s="2060"/>
      <c r="HY1519" s="2060"/>
      <c r="HZ1519" s="2060"/>
      <c r="IA1519" s="2060"/>
      <c r="IB1519" s="2060"/>
      <c r="IC1519" s="2060"/>
      <c r="ID1519" s="2060"/>
      <c r="IE1519" s="2060"/>
      <c r="IF1519" s="2060"/>
      <c r="IG1519" s="2060"/>
      <c r="IH1519" s="2060"/>
      <c r="II1519" s="2060"/>
      <c r="IJ1519" s="2060"/>
      <c r="IK1519" s="2060"/>
      <c r="IL1519" s="2060"/>
      <c r="IM1519" s="2060"/>
      <c r="IN1519" s="2060"/>
      <c r="IO1519" s="2060"/>
      <c r="IP1519" s="2060"/>
      <c r="IQ1519" s="2060"/>
      <c r="IR1519" s="2060"/>
      <c r="IS1519" s="2060"/>
      <c r="IT1519" s="2060"/>
      <c r="IU1519" s="2060"/>
      <c r="IV1519" s="2060"/>
      <c r="IW1519" s="2060"/>
      <c r="IX1519" s="2060"/>
      <c r="IY1519" s="2060"/>
      <c r="IZ1519" s="2060"/>
      <c r="JA1519" s="2060"/>
      <c r="JB1519" s="2060"/>
      <c r="JC1519" s="2060"/>
      <c r="JD1519" s="2060"/>
      <c r="JE1519" s="2060"/>
      <c r="JF1519" s="2060"/>
      <c r="JG1519" s="2060"/>
      <c r="JH1519" s="2060"/>
      <c r="JI1519" s="2060"/>
      <c r="JJ1519" s="2060"/>
      <c r="JK1519" s="2060"/>
      <c r="JL1519" s="2060"/>
      <c r="JM1519" s="2060"/>
      <c r="JN1519" s="2060"/>
      <c r="JO1519" s="2060"/>
      <c r="JP1519" s="2060"/>
      <c r="JQ1519" s="2060"/>
      <c r="JR1519" s="2060"/>
      <c r="JS1519" s="2060"/>
      <c r="JT1519" s="2060"/>
      <c r="JU1519" s="2060"/>
      <c r="JV1519" s="2060"/>
      <c r="JW1519" s="2060"/>
      <c r="JX1519" s="2060"/>
      <c r="JY1519" s="2060"/>
      <c r="JZ1519" s="2060"/>
      <c r="KA1519" s="2060"/>
      <c r="KB1519" s="2060"/>
      <c r="KC1519" s="2060"/>
      <c r="KD1519" s="2060"/>
      <c r="KE1519" s="2060"/>
      <c r="KF1519" s="2060"/>
      <c r="KG1519" s="2060"/>
      <c r="KH1519" s="2060"/>
      <c r="KI1519" s="2060"/>
      <c r="KJ1519" s="2060"/>
      <c r="KK1519" s="2060"/>
      <c r="KL1519" s="2060"/>
      <c r="KM1519" s="2060"/>
      <c r="KN1519" s="2060"/>
      <c r="KO1519" s="2060"/>
      <c r="KP1519" s="2060"/>
      <c r="KQ1519" s="2060"/>
      <c r="KR1519" s="2060"/>
      <c r="KS1519" s="2060"/>
      <c r="KT1519" s="2060"/>
      <c r="KU1519" s="2060"/>
      <c r="KV1519" s="2060"/>
      <c r="KW1519" s="2060"/>
      <c r="KX1519" s="2060"/>
      <c r="KY1519" s="2060"/>
      <c r="KZ1519" s="2060"/>
      <c r="LA1519" s="2060"/>
      <c r="LB1519" s="2060"/>
      <c r="LC1519" s="2060"/>
      <c r="LD1519" s="2060"/>
      <c r="LE1519" s="2060"/>
      <c r="LF1519" s="2060"/>
      <c r="LG1519" s="2060"/>
      <c r="LH1519" s="2060"/>
    </row>
    <row r="1520" spans="1:320" s="449" customFormat="1" ht="13.9">
      <c r="A1520" s="2060"/>
      <c r="B1520" s="2060"/>
      <c r="C1520" s="89"/>
      <c r="D1520" s="89"/>
      <c r="E1520" s="89"/>
      <c r="F1520" s="57" t="s">
        <v>767</v>
      </c>
      <c r="G1520" s="1442"/>
      <c r="H1520" s="1442"/>
      <c r="I1520" s="1442"/>
      <c r="J1520" s="1442"/>
      <c r="K1520" s="1476" t="str">
        <f t="shared" ref="K1520:P1520" si="435">IFERROR(MEDIAN(K1495:K1519),"--")</f>
        <v>--</v>
      </c>
      <c r="L1520" s="277" t="str">
        <f t="shared" si="435"/>
        <v>--</v>
      </c>
      <c r="M1520" s="277" t="str">
        <f t="shared" si="435"/>
        <v>--</v>
      </c>
      <c r="N1520" s="277" t="str">
        <f t="shared" si="435"/>
        <v>--</v>
      </c>
      <c r="O1520" s="278" t="str">
        <f t="shared" si="435"/>
        <v>--</v>
      </c>
      <c r="P1520" s="277" t="str">
        <f t="shared" si="435"/>
        <v>--</v>
      </c>
      <c r="Q1520" s="89"/>
      <c r="R1520" s="89"/>
      <c r="S1520" s="89"/>
      <c r="T1520" s="1513"/>
      <c r="U1520" s="89"/>
      <c r="V1520" s="89"/>
      <c r="W1520" s="89"/>
      <c r="X1520" s="89"/>
      <c r="Y1520" s="89"/>
      <c r="Z1520" s="89"/>
      <c r="AA1520" s="89"/>
      <c r="AB1520" s="89"/>
      <c r="AC1520" s="89"/>
      <c r="AD1520" s="89"/>
      <c r="AE1520" s="89"/>
      <c r="AF1520" s="89"/>
      <c r="AG1520" s="2060"/>
      <c r="AH1520" s="2060"/>
      <c r="AI1520" s="2060"/>
      <c r="AJ1520" s="2060"/>
      <c r="AK1520" s="2060"/>
      <c r="AL1520" s="2060"/>
      <c r="AM1520" s="2060"/>
      <c r="AN1520" s="2060"/>
      <c r="AO1520" s="2060"/>
      <c r="AP1520" s="2060"/>
      <c r="AQ1520" s="2060"/>
      <c r="AR1520" s="2060"/>
      <c r="AS1520" s="2060"/>
      <c r="AT1520" s="2060"/>
      <c r="AU1520" s="2060"/>
      <c r="AV1520" s="2060"/>
      <c r="AW1520" s="2060"/>
      <c r="AX1520" s="2060"/>
      <c r="AY1520" s="2060"/>
      <c r="AZ1520" s="2060"/>
      <c r="BA1520" s="2060"/>
      <c r="BB1520" s="2060"/>
      <c r="BC1520" s="2060"/>
      <c r="BD1520" s="2060"/>
      <c r="BE1520" s="2060"/>
      <c r="BF1520" s="2060"/>
      <c r="BG1520" s="2060"/>
      <c r="BH1520" s="2060"/>
      <c r="BI1520" s="2060"/>
      <c r="BJ1520" s="2060"/>
      <c r="BK1520" s="2060"/>
      <c r="BL1520" s="2060"/>
      <c r="BM1520" s="2060"/>
      <c r="BN1520" s="2060"/>
      <c r="BO1520" s="2060"/>
      <c r="BP1520" s="2060"/>
      <c r="BQ1520" s="2060"/>
      <c r="BR1520" s="2060"/>
      <c r="BS1520" s="2060"/>
      <c r="BT1520" s="2060"/>
      <c r="BU1520" s="2060"/>
      <c r="BV1520" s="2060"/>
      <c r="BW1520" s="2060"/>
      <c r="BX1520" s="2060"/>
      <c r="BY1520" s="2060"/>
      <c r="BZ1520" s="2060"/>
      <c r="CA1520" s="2060"/>
      <c r="CB1520" s="2060"/>
      <c r="CC1520" s="2060"/>
      <c r="CD1520" s="2060"/>
      <c r="CE1520" s="2060"/>
      <c r="CF1520" s="2060"/>
      <c r="CG1520" s="2060"/>
      <c r="CH1520" s="2060"/>
      <c r="CI1520" s="2060"/>
      <c r="CJ1520" s="2060"/>
      <c r="CK1520" s="2060"/>
      <c r="CL1520" s="2060"/>
      <c r="CM1520" s="2060"/>
      <c r="CN1520" s="2060"/>
      <c r="CO1520" s="2060"/>
      <c r="CP1520" s="2060"/>
      <c r="CQ1520" s="2060"/>
      <c r="CR1520" s="2060"/>
      <c r="CS1520" s="2060"/>
      <c r="CT1520" s="2060"/>
      <c r="CU1520" s="2060"/>
      <c r="CV1520" s="2060"/>
      <c r="CW1520" s="2060"/>
      <c r="CX1520" s="2060"/>
      <c r="CY1520" s="2060"/>
      <c r="CZ1520" s="2060"/>
      <c r="DA1520" s="2060"/>
      <c r="DB1520" s="2060"/>
      <c r="DC1520" s="2060"/>
      <c r="DD1520" s="2060"/>
      <c r="DE1520" s="2060"/>
      <c r="DF1520" s="2060"/>
      <c r="DG1520" s="2060"/>
      <c r="DH1520" s="2060"/>
      <c r="DI1520" s="2060"/>
      <c r="DJ1520" s="2060"/>
      <c r="DK1520" s="2060"/>
      <c r="DL1520" s="2060"/>
      <c r="DM1520" s="2060"/>
      <c r="DN1520" s="2060"/>
      <c r="DO1520" s="2060"/>
      <c r="DP1520" s="2060"/>
      <c r="DQ1520" s="2060"/>
      <c r="DR1520" s="2060"/>
      <c r="DS1520" s="2060"/>
      <c r="DT1520" s="2060"/>
      <c r="DU1520" s="2060"/>
      <c r="DV1520" s="2060"/>
      <c r="DW1520" s="2060"/>
      <c r="DX1520" s="2060"/>
      <c r="DY1520" s="2060"/>
      <c r="DZ1520" s="2060"/>
      <c r="EA1520" s="2060"/>
      <c r="EB1520" s="2060"/>
      <c r="EC1520" s="2060"/>
      <c r="ED1520" s="2060"/>
      <c r="EE1520" s="2060"/>
      <c r="EF1520" s="2060"/>
      <c r="EG1520" s="2060"/>
      <c r="EH1520" s="2060"/>
      <c r="EI1520" s="2060"/>
      <c r="EJ1520" s="2060"/>
      <c r="EK1520" s="2060"/>
      <c r="EL1520" s="2060"/>
      <c r="EM1520" s="2060"/>
      <c r="EN1520" s="2060"/>
      <c r="EO1520" s="2060"/>
      <c r="EP1520" s="2060"/>
      <c r="EQ1520" s="2060"/>
      <c r="ER1520" s="2060"/>
      <c r="ES1520" s="2060"/>
      <c r="ET1520" s="2060"/>
      <c r="EU1520" s="2060"/>
      <c r="EV1520" s="2060"/>
      <c r="EW1520" s="2060"/>
      <c r="EX1520" s="2060"/>
      <c r="EY1520" s="2060"/>
      <c r="EZ1520" s="2060"/>
      <c r="FA1520" s="2060"/>
      <c r="FB1520" s="2060"/>
      <c r="FC1520" s="2060"/>
      <c r="FD1520" s="2060"/>
      <c r="FE1520" s="2060"/>
      <c r="FF1520" s="2060"/>
      <c r="FG1520" s="2060"/>
      <c r="FH1520" s="2060"/>
      <c r="FI1520" s="2060"/>
      <c r="FJ1520" s="2060"/>
      <c r="FK1520" s="2060"/>
      <c r="FL1520" s="2060"/>
      <c r="FM1520" s="2060"/>
      <c r="FN1520" s="2060"/>
      <c r="FO1520" s="2060"/>
      <c r="FP1520" s="2060"/>
      <c r="FQ1520" s="2060"/>
      <c r="FR1520" s="2060"/>
      <c r="FS1520" s="2060"/>
      <c r="FT1520" s="2060"/>
      <c r="FU1520" s="2060"/>
      <c r="FV1520" s="2060"/>
      <c r="FW1520" s="2060"/>
      <c r="FX1520" s="2060"/>
      <c r="FY1520" s="2060"/>
      <c r="FZ1520" s="2060"/>
      <c r="GA1520" s="2060"/>
      <c r="GB1520" s="2060"/>
      <c r="GC1520" s="2060"/>
      <c r="GD1520" s="2060"/>
      <c r="GE1520" s="2060"/>
      <c r="GF1520" s="2060"/>
      <c r="GG1520" s="2060"/>
      <c r="GH1520" s="2060"/>
      <c r="GI1520" s="2060"/>
      <c r="GJ1520" s="2060"/>
      <c r="GK1520" s="2060"/>
      <c r="GL1520" s="2060"/>
      <c r="GM1520" s="2060"/>
      <c r="GN1520" s="2060"/>
      <c r="GO1520" s="2060"/>
      <c r="GP1520" s="2060"/>
      <c r="GQ1520" s="2060"/>
      <c r="GR1520" s="2060"/>
      <c r="GS1520" s="2060"/>
      <c r="GT1520" s="2060"/>
      <c r="GU1520" s="2060"/>
      <c r="GV1520" s="2060"/>
      <c r="GW1520" s="2060"/>
      <c r="GX1520" s="2060"/>
      <c r="GY1520" s="2060"/>
      <c r="GZ1520" s="2060"/>
      <c r="HA1520" s="2060"/>
      <c r="HB1520" s="2060"/>
      <c r="HC1520" s="2060"/>
      <c r="HD1520" s="2060"/>
      <c r="HE1520" s="2060"/>
      <c r="HF1520" s="2060"/>
      <c r="HG1520" s="2060"/>
      <c r="HH1520" s="2060"/>
      <c r="HI1520" s="2060"/>
      <c r="HJ1520" s="2060"/>
      <c r="HK1520" s="2060"/>
      <c r="HL1520" s="2060"/>
      <c r="HM1520" s="2060"/>
      <c r="HN1520" s="2060"/>
      <c r="HO1520" s="2060"/>
      <c r="HP1520" s="2060"/>
      <c r="HQ1520" s="2060"/>
      <c r="HR1520" s="2060"/>
      <c r="HS1520" s="2060"/>
      <c r="HT1520" s="2060"/>
      <c r="HU1520" s="2060"/>
      <c r="HV1520" s="2060"/>
      <c r="HW1520" s="2060"/>
      <c r="HX1520" s="2060"/>
      <c r="HY1520" s="2060"/>
      <c r="HZ1520" s="2060"/>
      <c r="IA1520" s="2060"/>
      <c r="IB1520" s="2060"/>
      <c r="IC1520" s="2060"/>
      <c r="ID1520" s="2060"/>
      <c r="IE1520" s="2060"/>
      <c r="IF1520" s="2060"/>
      <c r="IG1520" s="2060"/>
      <c r="IH1520" s="2060"/>
      <c r="II1520" s="2060"/>
      <c r="IJ1520" s="2060"/>
      <c r="IK1520" s="2060"/>
      <c r="IL1520" s="2060"/>
      <c r="IM1520" s="2060"/>
      <c r="IN1520" s="2060"/>
      <c r="IO1520" s="2060"/>
      <c r="IP1520" s="2060"/>
      <c r="IQ1520" s="2060"/>
      <c r="IR1520" s="2060"/>
      <c r="IS1520" s="2060"/>
      <c r="IT1520" s="2060"/>
      <c r="IU1520" s="2060"/>
      <c r="IV1520" s="2060"/>
      <c r="IW1520" s="2060"/>
      <c r="IX1520" s="2060"/>
      <c r="IY1520" s="2060"/>
      <c r="IZ1520" s="2060"/>
      <c r="JA1520" s="2060"/>
      <c r="JB1520" s="2060"/>
      <c r="JC1520" s="2060"/>
      <c r="JD1520" s="2060"/>
      <c r="JE1520" s="2060"/>
      <c r="JF1520" s="2060"/>
      <c r="JG1520" s="2060"/>
      <c r="JH1520" s="2060"/>
      <c r="JI1520" s="2060"/>
      <c r="JJ1520" s="2060"/>
      <c r="JK1520" s="2060"/>
      <c r="JL1520" s="2060"/>
      <c r="JM1520" s="2060"/>
      <c r="JN1520" s="2060"/>
      <c r="JO1520" s="2060"/>
      <c r="JP1520" s="2060"/>
      <c r="JQ1520" s="2060"/>
      <c r="JR1520" s="2060"/>
      <c r="JS1520" s="2060"/>
      <c r="JT1520" s="2060"/>
      <c r="JU1520" s="2060"/>
      <c r="JV1520" s="2060"/>
      <c r="JW1520" s="2060"/>
      <c r="JX1520" s="2060"/>
      <c r="JY1520" s="2060"/>
      <c r="JZ1520" s="2060"/>
      <c r="KA1520" s="2060"/>
      <c r="KB1520" s="2060"/>
      <c r="KC1520" s="2060"/>
      <c r="KD1520" s="2060"/>
      <c r="KE1520" s="2060"/>
      <c r="KF1520" s="2060"/>
      <c r="KG1520" s="2060"/>
      <c r="KH1520" s="2060"/>
      <c r="KI1520" s="2060"/>
      <c r="KJ1520" s="2060"/>
      <c r="KK1520" s="2060"/>
      <c r="KL1520" s="2060"/>
      <c r="KM1520" s="2060"/>
      <c r="KN1520" s="2060"/>
      <c r="KO1520" s="2060"/>
      <c r="KP1520" s="2060"/>
      <c r="KQ1520" s="2060"/>
      <c r="KR1520" s="2060"/>
      <c r="KS1520" s="2060"/>
      <c r="KT1520" s="2060"/>
      <c r="KU1520" s="2060"/>
      <c r="KV1520" s="2060"/>
      <c r="KW1520" s="2060"/>
      <c r="KX1520" s="2060"/>
      <c r="KY1520" s="2060"/>
      <c r="KZ1520" s="2060"/>
      <c r="LA1520" s="2060"/>
      <c r="LB1520" s="2060"/>
      <c r="LC1520" s="2060"/>
      <c r="LD1520" s="2060"/>
      <c r="LE1520" s="2060"/>
      <c r="LF1520" s="2060"/>
      <c r="LG1520" s="2060"/>
      <c r="LH1520" s="2060"/>
    </row>
    <row r="1521" spans="1:320" s="449" customFormat="1" ht="13.9">
      <c r="A1521" s="2060"/>
      <c r="B1521" s="2060"/>
      <c r="C1521" s="89"/>
      <c r="D1521" s="21"/>
      <c r="E1521" s="21"/>
      <c r="F1521" s="21"/>
      <c r="G1521" s="89"/>
      <c r="H1521" s="89"/>
      <c r="I1521" s="89"/>
      <c r="J1521" s="89"/>
      <c r="K1521" s="89"/>
      <c r="L1521" s="89"/>
      <c r="M1521" s="89"/>
      <c r="N1521" s="89"/>
      <c r="O1521" s="75"/>
      <c r="P1521" s="76"/>
      <c r="Q1521" s="89"/>
      <c r="R1521" s="521"/>
      <c r="S1521" s="89"/>
      <c r="T1521" s="89"/>
      <c r="U1521" s="89"/>
      <c r="V1521" s="89"/>
      <c r="W1521" s="89"/>
      <c r="X1521" s="89"/>
      <c r="Y1521" s="89"/>
      <c r="Z1521" s="89"/>
      <c r="AA1521" s="89"/>
      <c r="AB1521" s="89"/>
      <c r="AC1521" s="89"/>
      <c r="AD1521" s="89"/>
      <c r="AE1521" s="89"/>
      <c r="AF1521" s="89"/>
      <c r="AG1521" s="2060"/>
      <c r="AH1521" s="2060"/>
      <c r="AI1521" s="2060"/>
      <c r="AJ1521" s="2060"/>
      <c r="AK1521" s="2060"/>
      <c r="AL1521" s="2060"/>
      <c r="AM1521" s="2060"/>
      <c r="AN1521" s="2060"/>
      <c r="AO1521" s="2060"/>
      <c r="AP1521" s="2060"/>
      <c r="AQ1521" s="2060"/>
      <c r="AR1521" s="2060"/>
      <c r="AS1521" s="2060"/>
      <c r="AT1521" s="2060"/>
      <c r="AU1521" s="2060"/>
      <c r="AV1521" s="2060"/>
      <c r="AW1521" s="2060"/>
      <c r="AX1521" s="2060"/>
      <c r="AY1521" s="2060"/>
      <c r="AZ1521" s="2060"/>
      <c r="BA1521" s="2060"/>
      <c r="BB1521" s="2060"/>
      <c r="BC1521" s="2060"/>
      <c r="BD1521" s="2060"/>
      <c r="BE1521" s="2060"/>
      <c r="BF1521" s="2060"/>
      <c r="BG1521" s="2060"/>
      <c r="BH1521" s="2060"/>
      <c r="BI1521" s="2060"/>
      <c r="BJ1521" s="2060"/>
      <c r="BK1521" s="2060"/>
      <c r="BL1521" s="2060"/>
      <c r="BM1521" s="2060"/>
      <c r="BN1521" s="2060"/>
      <c r="BO1521" s="2060"/>
      <c r="BP1521" s="2060"/>
      <c r="BQ1521" s="2060"/>
      <c r="BR1521" s="2060"/>
      <c r="BS1521" s="2060"/>
      <c r="BT1521" s="2060"/>
      <c r="BU1521" s="2060"/>
      <c r="BV1521" s="2060"/>
      <c r="BW1521" s="2060"/>
      <c r="BX1521" s="2060"/>
      <c r="BY1521" s="2060"/>
      <c r="BZ1521" s="2060"/>
      <c r="CA1521" s="2060"/>
      <c r="CB1521" s="2060"/>
      <c r="CC1521" s="2060"/>
      <c r="CD1521" s="2060"/>
      <c r="CE1521" s="2060"/>
      <c r="CF1521" s="2060"/>
      <c r="CG1521" s="2060"/>
      <c r="CH1521" s="2060"/>
      <c r="CI1521" s="2060"/>
      <c r="CJ1521" s="2060"/>
      <c r="CK1521" s="2060"/>
      <c r="CL1521" s="2060"/>
      <c r="CM1521" s="2060"/>
      <c r="CN1521" s="2060"/>
      <c r="CO1521" s="2060"/>
      <c r="CP1521" s="2060"/>
      <c r="CQ1521" s="2060"/>
      <c r="CR1521" s="2060"/>
      <c r="CS1521" s="2060"/>
      <c r="CT1521" s="2060"/>
      <c r="CU1521" s="2060"/>
      <c r="CV1521" s="2060"/>
      <c r="CW1521" s="2060"/>
      <c r="CX1521" s="2060"/>
      <c r="CY1521" s="2060"/>
      <c r="CZ1521" s="2060"/>
      <c r="DA1521" s="2060"/>
      <c r="DB1521" s="2060"/>
      <c r="DC1521" s="2060"/>
      <c r="DD1521" s="2060"/>
      <c r="DE1521" s="2060"/>
      <c r="DF1521" s="2060"/>
      <c r="DG1521" s="2060"/>
      <c r="DH1521" s="2060"/>
      <c r="DI1521" s="2060"/>
      <c r="DJ1521" s="2060"/>
      <c r="DK1521" s="2060"/>
      <c r="DL1521" s="2060"/>
      <c r="DM1521" s="2060"/>
      <c r="DN1521" s="2060"/>
      <c r="DO1521" s="2060"/>
      <c r="DP1521" s="2060"/>
      <c r="DQ1521" s="2060"/>
      <c r="DR1521" s="2060"/>
      <c r="DS1521" s="2060"/>
      <c r="DT1521" s="2060"/>
      <c r="DU1521" s="2060"/>
      <c r="DV1521" s="2060"/>
      <c r="DW1521" s="2060"/>
      <c r="DX1521" s="2060"/>
      <c r="DY1521" s="2060"/>
      <c r="DZ1521" s="2060"/>
      <c r="EA1521" s="2060"/>
      <c r="EB1521" s="2060"/>
      <c r="EC1521" s="2060"/>
      <c r="ED1521" s="2060"/>
      <c r="EE1521" s="2060"/>
      <c r="EF1521" s="2060"/>
      <c r="EG1521" s="2060"/>
      <c r="EH1521" s="2060"/>
      <c r="EI1521" s="2060"/>
      <c r="EJ1521" s="2060"/>
      <c r="EK1521" s="2060"/>
      <c r="EL1521" s="2060"/>
      <c r="EM1521" s="2060"/>
      <c r="EN1521" s="2060"/>
      <c r="EO1521" s="2060"/>
      <c r="EP1521" s="2060"/>
      <c r="EQ1521" s="2060"/>
      <c r="ER1521" s="2060"/>
      <c r="ES1521" s="2060"/>
      <c r="ET1521" s="2060"/>
      <c r="EU1521" s="2060"/>
      <c r="EV1521" s="2060"/>
      <c r="EW1521" s="2060"/>
      <c r="EX1521" s="2060"/>
      <c r="EY1521" s="2060"/>
      <c r="EZ1521" s="2060"/>
      <c r="FA1521" s="2060"/>
      <c r="FB1521" s="2060"/>
      <c r="FC1521" s="2060"/>
      <c r="FD1521" s="2060"/>
      <c r="FE1521" s="2060"/>
      <c r="FF1521" s="2060"/>
      <c r="FG1521" s="2060"/>
      <c r="FH1521" s="2060"/>
      <c r="FI1521" s="2060"/>
      <c r="FJ1521" s="2060"/>
      <c r="FK1521" s="2060"/>
      <c r="FL1521" s="2060"/>
      <c r="FM1521" s="2060"/>
      <c r="FN1521" s="2060"/>
      <c r="FO1521" s="2060"/>
      <c r="FP1521" s="2060"/>
      <c r="FQ1521" s="2060"/>
      <c r="FR1521" s="2060"/>
      <c r="FS1521" s="2060"/>
      <c r="FT1521" s="2060"/>
      <c r="FU1521" s="2060"/>
      <c r="FV1521" s="2060"/>
      <c r="FW1521" s="2060"/>
      <c r="FX1521" s="2060"/>
      <c r="FY1521" s="2060"/>
      <c r="FZ1521" s="2060"/>
      <c r="GA1521" s="2060"/>
      <c r="GB1521" s="2060"/>
      <c r="GC1521" s="2060"/>
      <c r="GD1521" s="2060"/>
      <c r="GE1521" s="2060"/>
      <c r="GF1521" s="2060"/>
      <c r="GG1521" s="2060"/>
      <c r="GH1521" s="2060"/>
      <c r="GI1521" s="2060"/>
      <c r="GJ1521" s="2060"/>
      <c r="GK1521" s="2060"/>
      <c r="GL1521" s="2060"/>
      <c r="GM1521" s="2060"/>
      <c r="GN1521" s="2060"/>
      <c r="GO1521" s="2060"/>
      <c r="GP1521" s="2060"/>
      <c r="GQ1521" s="2060"/>
      <c r="GR1521" s="2060"/>
      <c r="GS1521" s="2060"/>
      <c r="GT1521" s="2060"/>
      <c r="GU1521" s="2060"/>
      <c r="GV1521" s="2060"/>
      <c r="GW1521" s="2060"/>
      <c r="GX1521" s="2060"/>
      <c r="GY1521" s="2060"/>
      <c r="GZ1521" s="2060"/>
      <c r="HA1521" s="2060"/>
      <c r="HB1521" s="2060"/>
      <c r="HC1521" s="2060"/>
      <c r="HD1521" s="2060"/>
      <c r="HE1521" s="2060"/>
      <c r="HF1521" s="2060"/>
      <c r="HG1521" s="2060"/>
      <c r="HH1521" s="2060"/>
      <c r="HI1521" s="2060"/>
      <c r="HJ1521" s="2060"/>
      <c r="HK1521" s="2060"/>
      <c r="HL1521" s="2060"/>
      <c r="HM1521" s="2060"/>
      <c r="HN1521" s="2060"/>
      <c r="HO1521" s="2060"/>
      <c r="HP1521" s="2060"/>
      <c r="HQ1521" s="2060"/>
      <c r="HR1521" s="2060"/>
      <c r="HS1521" s="2060"/>
      <c r="HT1521" s="2060"/>
      <c r="HU1521" s="2060"/>
      <c r="HV1521" s="2060"/>
      <c r="HW1521" s="2060"/>
      <c r="HX1521" s="2060"/>
      <c r="HY1521" s="2060"/>
      <c r="HZ1521" s="2060"/>
      <c r="IA1521" s="2060"/>
      <c r="IB1521" s="2060"/>
      <c r="IC1521" s="2060"/>
      <c r="ID1521" s="2060"/>
      <c r="IE1521" s="2060"/>
      <c r="IF1521" s="2060"/>
      <c r="IG1521" s="2060"/>
      <c r="IH1521" s="2060"/>
      <c r="II1521" s="2060"/>
      <c r="IJ1521" s="2060"/>
      <c r="IK1521" s="2060"/>
      <c r="IL1521" s="2060"/>
      <c r="IM1521" s="2060"/>
      <c r="IN1521" s="2060"/>
      <c r="IO1521" s="2060"/>
      <c r="IP1521" s="2060"/>
      <c r="IQ1521" s="2060"/>
      <c r="IR1521" s="2060"/>
      <c r="IS1521" s="2060"/>
      <c r="IT1521" s="2060"/>
      <c r="IU1521" s="2060"/>
      <c r="IV1521" s="2060"/>
      <c r="IW1521" s="2060"/>
      <c r="IX1521" s="2060"/>
      <c r="IY1521" s="2060"/>
      <c r="IZ1521" s="2060"/>
      <c r="JA1521" s="2060"/>
      <c r="JB1521" s="2060"/>
      <c r="JC1521" s="2060"/>
      <c r="JD1521" s="2060"/>
      <c r="JE1521" s="2060"/>
      <c r="JF1521" s="2060"/>
      <c r="JG1521" s="2060"/>
      <c r="JH1521" s="2060"/>
      <c r="JI1521" s="2060"/>
      <c r="JJ1521" s="2060"/>
      <c r="JK1521" s="2060"/>
      <c r="JL1521" s="2060"/>
      <c r="JM1521" s="2060"/>
      <c r="JN1521" s="2060"/>
      <c r="JO1521" s="2060"/>
      <c r="JP1521" s="2060"/>
      <c r="JQ1521" s="2060"/>
      <c r="JR1521" s="2060"/>
      <c r="JS1521" s="2060"/>
      <c r="JT1521" s="2060"/>
      <c r="JU1521" s="2060"/>
      <c r="JV1521" s="2060"/>
      <c r="JW1521" s="2060"/>
      <c r="JX1521" s="2060"/>
      <c r="JY1521" s="2060"/>
      <c r="JZ1521" s="2060"/>
      <c r="KA1521" s="2060"/>
      <c r="KB1521" s="2060"/>
      <c r="KC1521" s="2060"/>
      <c r="KD1521" s="2060"/>
      <c r="KE1521" s="2060"/>
      <c r="KF1521" s="2060"/>
      <c r="KG1521" s="2060"/>
      <c r="KH1521" s="2060"/>
      <c r="KI1521" s="2060"/>
      <c r="KJ1521" s="2060"/>
      <c r="KK1521" s="2060"/>
      <c r="KL1521" s="2060"/>
      <c r="KM1521" s="2060"/>
      <c r="KN1521" s="2060"/>
      <c r="KO1521" s="2060"/>
      <c r="KP1521" s="2060"/>
      <c r="KQ1521" s="2060"/>
      <c r="KR1521" s="2060"/>
      <c r="KS1521" s="2060"/>
      <c r="KT1521" s="2060"/>
      <c r="KU1521" s="2060"/>
      <c r="KV1521" s="2060"/>
      <c r="KW1521" s="2060"/>
      <c r="KX1521" s="2060"/>
      <c r="KY1521" s="2060"/>
      <c r="KZ1521" s="2060"/>
      <c r="LA1521" s="2060"/>
      <c r="LB1521" s="2060"/>
      <c r="LC1521" s="2060"/>
      <c r="LD1521" s="2060"/>
      <c r="LE1521" s="2060"/>
      <c r="LF1521" s="2060"/>
      <c r="LG1521" s="2060"/>
      <c r="LH1521" s="2060"/>
    </row>
    <row r="1522" spans="1:320" s="1499" customFormat="1" ht="13.9">
      <c r="A1522" s="2060"/>
      <c r="B1522" s="2060"/>
      <c r="C1522" s="89"/>
      <c r="D1522" s="21"/>
      <c r="E1522" s="21"/>
      <c r="F1522" s="21"/>
      <c r="G1522" s="89"/>
      <c r="H1522" s="89"/>
      <c r="I1522" s="89"/>
      <c r="J1522" s="89"/>
      <c r="K1522" s="89"/>
      <c r="L1522" s="89"/>
      <c r="M1522" s="89"/>
      <c r="N1522" s="89"/>
      <c r="O1522" s="76"/>
      <c r="P1522" s="76"/>
      <c r="Q1522" s="2060"/>
      <c r="R1522" s="2060"/>
      <c r="S1522" s="2060"/>
      <c r="T1522" s="2060"/>
      <c r="U1522" s="2060"/>
      <c r="V1522" s="2060"/>
      <c r="W1522" s="2060"/>
      <c r="X1522" s="2060"/>
      <c r="Y1522" s="2060"/>
      <c r="Z1522" s="2060"/>
      <c r="AA1522" s="2060"/>
      <c r="AB1522" s="2060"/>
      <c r="AC1522" s="2060"/>
      <c r="AD1522" s="2060"/>
      <c r="AE1522" s="2060"/>
      <c r="AF1522" s="2060"/>
      <c r="AG1522" s="2060"/>
      <c r="AH1522" s="2060"/>
      <c r="AI1522" s="2060"/>
      <c r="AJ1522" s="2060"/>
      <c r="AK1522" s="2060"/>
      <c r="AL1522" s="2060"/>
      <c r="AM1522" s="2060"/>
      <c r="AN1522" s="2060"/>
      <c r="AO1522" s="2060"/>
      <c r="AP1522" s="2060"/>
      <c r="AQ1522" s="2060"/>
      <c r="AR1522" s="2060"/>
      <c r="AS1522" s="2060"/>
      <c r="AT1522" s="2060"/>
      <c r="AU1522" s="2060"/>
      <c r="AV1522" s="2060"/>
      <c r="AW1522" s="2060"/>
      <c r="AX1522" s="2060"/>
      <c r="AY1522" s="2060"/>
      <c r="AZ1522" s="2060"/>
      <c r="BA1522" s="2060"/>
      <c r="BB1522" s="2060"/>
      <c r="BC1522" s="2060"/>
      <c r="BD1522" s="2060"/>
      <c r="BE1522" s="2060"/>
      <c r="BF1522" s="2060"/>
      <c r="BG1522" s="2060"/>
      <c r="BH1522" s="2060"/>
      <c r="BI1522" s="2060"/>
      <c r="BJ1522" s="2060"/>
      <c r="BK1522" s="2060"/>
      <c r="BL1522" s="2060"/>
      <c r="BM1522" s="2060"/>
      <c r="BN1522" s="2060"/>
      <c r="BO1522" s="2060"/>
      <c r="BP1522" s="2060"/>
      <c r="BQ1522" s="2060"/>
      <c r="BR1522" s="2060"/>
      <c r="BS1522" s="2060"/>
      <c r="BT1522" s="2060"/>
      <c r="BU1522" s="2060"/>
      <c r="BV1522" s="2060"/>
      <c r="BW1522" s="2060"/>
      <c r="BX1522" s="2060"/>
      <c r="BY1522" s="2060"/>
      <c r="BZ1522" s="2060"/>
      <c r="CA1522" s="2060"/>
      <c r="CB1522" s="2060"/>
      <c r="CC1522" s="2060"/>
      <c r="CD1522" s="2060"/>
      <c r="CE1522" s="2060"/>
      <c r="CF1522" s="2060"/>
      <c r="CG1522" s="2060"/>
      <c r="CH1522" s="2060"/>
      <c r="CI1522" s="2060"/>
      <c r="CJ1522" s="2060"/>
      <c r="CK1522" s="2060"/>
      <c r="CL1522" s="2060"/>
      <c r="CM1522" s="2060"/>
      <c r="CN1522" s="2060"/>
      <c r="CO1522" s="2060"/>
      <c r="CP1522" s="2060"/>
      <c r="CQ1522" s="2060"/>
      <c r="CR1522" s="2060"/>
      <c r="CS1522" s="2060"/>
      <c r="CT1522" s="2060"/>
      <c r="CU1522" s="2060"/>
      <c r="CV1522" s="2060"/>
      <c r="CW1522" s="2060"/>
      <c r="CX1522" s="2060"/>
      <c r="CY1522" s="2060"/>
      <c r="CZ1522" s="2060"/>
      <c r="DA1522" s="2060"/>
      <c r="DB1522" s="2060"/>
      <c r="DC1522" s="2060"/>
      <c r="DD1522" s="2060"/>
      <c r="DE1522" s="2060"/>
      <c r="DF1522" s="2060"/>
      <c r="DG1522" s="2060"/>
      <c r="DH1522" s="2060"/>
      <c r="DI1522" s="2060"/>
      <c r="DJ1522" s="2060"/>
      <c r="DK1522" s="2060"/>
      <c r="DL1522" s="2060"/>
      <c r="DM1522" s="2060"/>
      <c r="DN1522" s="2060"/>
      <c r="DO1522" s="2060"/>
      <c r="DP1522" s="2060"/>
      <c r="DQ1522" s="2060"/>
      <c r="DR1522" s="2060"/>
      <c r="DS1522" s="2060"/>
      <c r="DT1522" s="2060"/>
      <c r="DU1522" s="2060"/>
      <c r="DV1522" s="2060"/>
      <c r="DW1522" s="2060"/>
      <c r="DX1522" s="2060"/>
      <c r="DY1522" s="2060"/>
      <c r="DZ1522" s="2060"/>
      <c r="EA1522" s="2060"/>
      <c r="EB1522" s="2060"/>
      <c r="EC1522" s="2060"/>
      <c r="ED1522" s="2060"/>
      <c r="EE1522" s="2060"/>
      <c r="EF1522" s="2060"/>
      <c r="EG1522" s="2060"/>
      <c r="EH1522" s="2060"/>
      <c r="EI1522" s="2060"/>
      <c r="EJ1522" s="2060"/>
      <c r="EK1522" s="2060"/>
      <c r="EL1522" s="2060"/>
      <c r="EM1522" s="2060"/>
      <c r="EN1522" s="2060"/>
      <c r="EO1522" s="2060"/>
      <c r="EP1522" s="2060"/>
      <c r="EQ1522" s="2060"/>
      <c r="ER1522" s="2060"/>
      <c r="ES1522" s="2060"/>
      <c r="ET1522" s="2060"/>
      <c r="EU1522" s="2060"/>
      <c r="EV1522" s="2060"/>
      <c r="EW1522" s="2060"/>
      <c r="EX1522" s="2060"/>
      <c r="EY1522" s="2060"/>
      <c r="EZ1522" s="2060"/>
      <c r="FA1522" s="2060"/>
      <c r="FB1522" s="2060"/>
      <c r="FC1522" s="2060"/>
      <c r="FD1522" s="2060"/>
      <c r="FE1522" s="2060"/>
      <c r="FF1522" s="2060"/>
      <c r="FG1522" s="2060"/>
      <c r="FH1522" s="2060"/>
      <c r="FI1522" s="2060"/>
      <c r="FJ1522" s="2060"/>
      <c r="FK1522" s="2060"/>
      <c r="FL1522" s="2060"/>
      <c r="FM1522" s="2060"/>
      <c r="FN1522" s="2060"/>
      <c r="FO1522" s="2060"/>
      <c r="FP1522" s="2060"/>
      <c r="FQ1522" s="2060"/>
      <c r="FR1522" s="2060"/>
      <c r="FS1522" s="2060"/>
      <c r="FT1522" s="2060"/>
      <c r="FU1522" s="2060"/>
      <c r="FV1522" s="2060"/>
      <c r="FW1522" s="2060"/>
      <c r="FX1522" s="2060"/>
      <c r="FY1522" s="2060"/>
      <c r="FZ1522" s="2060"/>
      <c r="GA1522" s="2060"/>
      <c r="GB1522" s="2060"/>
      <c r="GC1522" s="2060"/>
      <c r="GD1522" s="2060"/>
      <c r="GE1522" s="2060"/>
      <c r="GF1522" s="2060"/>
      <c r="GG1522" s="2060"/>
      <c r="GH1522" s="2060"/>
      <c r="GI1522" s="2060"/>
      <c r="GJ1522" s="2060"/>
      <c r="GK1522" s="2060"/>
      <c r="GL1522" s="2060"/>
      <c r="GM1522" s="2060"/>
      <c r="GN1522" s="2060"/>
      <c r="GO1522" s="2060"/>
      <c r="GP1522" s="2060"/>
      <c r="GQ1522" s="2060"/>
      <c r="GR1522" s="2060"/>
      <c r="GS1522" s="2060"/>
      <c r="GT1522" s="2060"/>
      <c r="GU1522" s="2060"/>
      <c r="GV1522" s="2060"/>
      <c r="GW1522" s="2060"/>
      <c r="GX1522" s="2060"/>
      <c r="GY1522" s="2060"/>
      <c r="GZ1522" s="2060"/>
      <c r="HA1522" s="2060"/>
      <c r="HB1522" s="2060"/>
      <c r="HC1522" s="2060"/>
      <c r="HD1522" s="2060"/>
      <c r="HE1522" s="2060"/>
      <c r="HF1522" s="2060"/>
      <c r="HG1522" s="2060"/>
      <c r="HH1522" s="2060"/>
      <c r="HI1522" s="2060"/>
      <c r="HJ1522" s="2060"/>
      <c r="HK1522" s="2060"/>
      <c r="HL1522" s="2060"/>
      <c r="HM1522" s="2060"/>
      <c r="HN1522" s="2060"/>
      <c r="HO1522" s="2060"/>
      <c r="HP1522" s="2060"/>
      <c r="HQ1522" s="2060"/>
      <c r="HR1522" s="2060"/>
      <c r="HS1522" s="2060"/>
      <c r="HT1522" s="2060"/>
      <c r="HU1522" s="2060"/>
      <c r="HV1522" s="2060"/>
      <c r="HW1522" s="2060"/>
      <c r="HX1522" s="2060"/>
      <c r="HY1522" s="2060"/>
      <c r="HZ1522" s="2060"/>
      <c r="IA1522" s="2060"/>
      <c r="IB1522" s="2060"/>
      <c r="IC1522" s="2060"/>
      <c r="ID1522" s="2060"/>
      <c r="IE1522" s="2060"/>
      <c r="IF1522" s="2060"/>
      <c r="IG1522" s="2060"/>
      <c r="IH1522" s="2060"/>
      <c r="II1522" s="2060"/>
      <c r="IJ1522" s="2060"/>
      <c r="IK1522" s="2060"/>
      <c r="IL1522" s="2060"/>
      <c r="IM1522" s="2060"/>
      <c r="IN1522" s="2060"/>
      <c r="IO1522" s="2060"/>
      <c r="IP1522" s="2060"/>
      <c r="IQ1522" s="2060"/>
      <c r="IR1522" s="2060"/>
      <c r="IS1522" s="2060"/>
      <c r="IT1522" s="2060"/>
      <c r="IU1522" s="2060"/>
      <c r="IV1522" s="2060"/>
      <c r="IW1522" s="2060"/>
      <c r="IX1522" s="2060"/>
      <c r="IY1522" s="2060"/>
      <c r="IZ1522" s="2060"/>
      <c r="JA1522" s="2060"/>
      <c r="JB1522" s="2060"/>
      <c r="JC1522" s="2060"/>
      <c r="JD1522" s="2060"/>
      <c r="JE1522" s="2060"/>
      <c r="JF1522" s="2060"/>
      <c r="JG1522" s="2060"/>
      <c r="JH1522" s="2060"/>
      <c r="JI1522" s="2060"/>
      <c r="JJ1522" s="2060"/>
      <c r="JK1522" s="2060"/>
      <c r="JL1522" s="2060"/>
      <c r="JM1522" s="2060"/>
      <c r="JN1522" s="2060"/>
      <c r="JO1522" s="2060"/>
      <c r="JP1522" s="2060"/>
      <c r="JQ1522" s="2060"/>
      <c r="JR1522" s="2060"/>
      <c r="JS1522" s="2060"/>
      <c r="JT1522" s="2060"/>
      <c r="JU1522" s="2060"/>
      <c r="JV1522" s="2060"/>
      <c r="JW1522" s="2060"/>
      <c r="JX1522" s="2060"/>
      <c r="JY1522" s="2060"/>
      <c r="JZ1522" s="2060"/>
      <c r="KA1522" s="2060"/>
      <c r="KB1522" s="2060"/>
      <c r="KC1522" s="2060"/>
      <c r="KD1522" s="2060"/>
      <c r="KE1522" s="2060"/>
      <c r="KF1522" s="2060"/>
      <c r="KG1522" s="2060"/>
      <c r="KH1522" s="2060"/>
      <c r="KI1522" s="2060"/>
      <c r="KJ1522" s="2060"/>
      <c r="KK1522" s="2060"/>
      <c r="KL1522" s="2060"/>
      <c r="KM1522" s="2060"/>
      <c r="KN1522" s="2060"/>
      <c r="KO1522" s="2060"/>
      <c r="KP1522" s="2060"/>
      <c r="KQ1522" s="2060"/>
      <c r="KR1522" s="2060"/>
      <c r="KS1522" s="2060"/>
      <c r="KT1522" s="2060"/>
      <c r="KU1522" s="2060"/>
      <c r="KV1522" s="2060"/>
      <c r="KW1522" s="2060"/>
      <c r="KX1522" s="2060"/>
      <c r="KY1522" s="2060"/>
      <c r="KZ1522" s="2060"/>
      <c r="LA1522" s="2060"/>
      <c r="LB1522" s="2060"/>
      <c r="LC1522" s="2060"/>
      <c r="LD1522" s="2060"/>
      <c r="LE1522" s="2060"/>
      <c r="LF1522" s="2060"/>
      <c r="LG1522" s="2060"/>
      <c r="LH1522" s="2060"/>
    </row>
    <row r="1523" spans="1:320" s="89" customFormat="1" ht="13.9">
      <c r="A1523" s="2060"/>
      <c r="B1523" s="2060"/>
      <c r="D1523" s="778">
        <f ca="1">MAX(OFFSET(D1523,-1,0,-ROW(D1523)+1,-2),1)+0.01</f>
        <v>9.02</v>
      </c>
      <c r="E1523" s="125"/>
      <c r="F1523" s="952" t="s">
        <v>161</v>
      </c>
      <c r="G1523" s="724" t="s">
        <v>796</v>
      </c>
      <c r="H1523" s="724"/>
      <c r="I1523" s="724"/>
      <c r="J1523" s="758" t="s">
        <v>699</v>
      </c>
      <c r="K1523" s="758" t="s">
        <v>700</v>
      </c>
      <c r="L1523" s="758" t="s">
        <v>701</v>
      </c>
      <c r="M1523" s="758" t="s">
        <v>702</v>
      </c>
      <c r="N1523" s="758" t="s">
        <v>703</v>
      </c>
      <c r="O1523" s="759" t="s">
        <v>704</v>
      </c>
      <c r="P1523" s="725" t="s">
        <v>705</v>
      </c>
      <c r="Q1523" s="2060"/>
      <c r="R1523" s="2060"/>
      <c r="S1523" s="2060"/>
      <c r="T1523" s="2060"/>
      <c r="U1523" s="2060"/>
      <c r="V1523" s="2060"/>
      <c r="W1523" s="2060"/>
      <c r="X1523" s="2060"/>
      <c r="Y1523" s="2060"/>
      <c r="Z1523" s="2060"/>
      <c r="AA1523" s="2060"/>
      <c r="AB1523" s="2060"/>
      <c r="AC1523" s="2060"/>
      <c r="AD1523" s="2060"/>
      <c r="AE1523" s="2060"/>
      <c r="AF1523" s="2060"/>
      <c r="AG1523" s="2060"/>
      <c r="AH1523" s="2060"/>
    </row>
    <row r="1524" spans="1:320" s="89" customFormat="1" ht="13.9">
      <c r="A1524" s="2060"/>
      <c r="B1524" s="2060"/>
      <c r="D1524" s="785"/>
      <c r="E1524" s="1505">
        <v>0</v>
      </c>
      <c r="F1524" s="1448" t="str">
        <f>F$128</f>
        <v/>
      </c>
      <c r="G1524" s="1449">
        <f>G$128</f>
        <v>0</v>
      </c>
      <c r="H1524" s="1449" t="str">
        <f>H$128</f>
        <v>USD</v>
      </c>
      <c r="I1524" s="1450" t="s">
        <v>803</v>
      </c>
      <c r="J1524" s="2304"/>
      <c r="K1524" s="2304"/>
      <c r="L1524" s="2304"/>
      <c r="M1524" s="2304"/>
      <c r="N1524" s="2304"/>
      <c r="O1524" s="2304"/>
      <c r="P1524" s="2304"/>
      <c r="Q1524" s="2060"/>
      <c r="R1524" s="2060"/>
      <c r="S1524" s="2060"/>
      <c r="T1524" s="2060"/>
      <c r="U1524" s="2060"/>
      <c r="V1524" s="2060"/>
      <c r="W1524" s="2060"/>
      <c r="X1524" s="2060"/>
      <c r="Y1524" s="2060"/>
      <c r="Z1524" s="2060"/>
      <c r="AA1524" s="2060"/>
      <c r="AB1524" s="2060"/>
      <c r="AC1524" s="2060"/>
      <c r="AD1524" s="2060"/>
      <c r="AE1524" s="2060"/>
      <c r="AF1524" s="2060"/>
      <c r="AG1524" s="2060"/>
      <c r="AH1524" s="2060"/>
    </row>
    <row r="1525" spans="1:320" s="89" customFormat="1" ht="13.9">
      <c r="A1525" s="269" t="str">
        <f>IF(F1525="--","n","")</f>
        <v>n</v>
      </c>
      <c r="B1525" s="2060"/>
      <c r="C1525" s="72"/>
      <c r="D1525" s="801"/>
      <c r="E1525" s="1505">
        <v>1</v>
      </c>
      <c r="F1525" s="21" t="str">
        <f>F$129</f>
        <v>--</v>
      </c>
      <c r="G1525" s="1441">
        <f>G$129</f>
        <v>0</v>
      </c>
      <c r="H1525" s="1441" t="str">
        <f>H$129</f>
        <v>--</v>
      </c>
      <c r="I1525" s="1513" t="s">
        <v>803</v>
      </c>
      <c r="J1525" s="2301" t="str">
        <f>IFERROR(_xll.ciqfunctions.udf.CIQ($G1525,$I1525,J100,Valuation_Date_GC,"LFR",DataMode,$H1525,FXMode)*Scale-J566,"--")</f>
        <v>--</v>
      </c>
      <c r="K1525" s="2301" t="str">
        <f>IFERROR(_xll.ciqfunctions.udf.CIQ($G1525,$I1525,K100,Valuation_Date_GC,"LFR",DataMode,$H1525,FXMode)*Scale-K566,"--")</f>
        <v>--</v>
      </c>
      <c r="L1525" s="2301" t="str">
        <f>IFERROR(_xll.ciqfunctions.udf.CIQ($G1525,$I1525,L100,Valuation_Date_GC,"LFR",DataMode,$H1525,FXMode)*Scale-L566,"--")</f>
        <v>--</v>
      </c>
      <c r="M1525" s="2301" t="str">
        <f>IFERROR(_xll.ciqfunctions.udf.CIQ($G1525,$I1525,M100,Valuation_Date_GC,"LFR",DataMode,$H1525,FXMode)*Scale-M566,"--")</f>
        <v>--</v>
      </c>
      <c r="N1525" s="2301" t="str">
        <f>IFERROR(_xll.ciqfunctions.udf.CIQ($G1525,$I1525,N100,Valuation_Date_GC,"LFR",DataMode,$H1525,FXMode)*Scale-N566,"--")</f>
        <v>--</v>
      </c>
      <c r="O1525" s="2317" t="str">
        <f>IFERROR(_xll.ciqfunctions.udf.CIQ($G1525,$I1525,O100,Valuation_Date_GC,"LFR",DataMode,$H1525,FXMode)*Scale-O566,"--")</f>
        <v>--</v>
      </c>
      <c r="P1525" s="2301" t="str">
        <f>IFERROR(_xll.ciqfunctions.udf.CIQ($G1525,$I1525,P100,Valuation_Date_GC,"LFR",DataMode,$H1525,FXMode)*Scale-P566,"--")</f>
        <v>--</v>
      </c>
      <c r="Q1525" s="2060"/>
      <c r="R1525" s="2060"/>
      <c r="S1525" s="2060"/>
      <c r="T1525" s="2060"/>
      <c r="U1525" s="2060"/>
      <c r="V1525" s="2060"/>
      <c r="W1525" s="2060"/>
      <c r="X1525" s="2060"/>
      <c r="Y1525" s="2060"/>
      <c r="Z1525" s="2060"/>
      <c r="AA1525" s="2060"/>
      <c r="AB1525" s="2060"/>
      <c r="AC1525" s="2060"/>
      <c r="AD1525" s="2060"/>
      <c r="AE1525" s="2060"/>
      <c r="AF1525" s="2060"/>
      <c r="AG1525" s="2060"/>
      <c r="AH1525" s="2060"/>
    </row>
    <row r="1526" spans="1:320" s="89" customFormat="1" ht="13.9">
      <c r="A1526" s="269" t="str">
        <f t="shared" ref="A1526:A1549" si="436">IF(F1526="--","n","")</f>
        <v>n</v>
      </c>
      <c r="B1526" s="2060"/>
      <c r="D1526" s="801"/>
      <c r="E1526" s="1505">
        <v>2</v>
      </c>
      <c r="F1526" s="21" t="str">
        <f>F$130</f>
        <v>--</v>
      </c>
      <c r="G1526" s="1441">
        <f>G$130</f>
        <v>0</v>
      </c>
      <c r="H1526" s="1441" t="str">
        <f>H$130</f>
        <v>--</v>
      </c>
      <c r="I1526" s="1513" t="s">
        <v>803</v>
      </c>
      <c r="J1526" s="2301" t="str">
        <f>IFERROR(_xll.ciqfunctions.udf.CIQ($G1526,$I1526,J101,Valuation_Date_GC,"LFR",DataMode,$H1526,FXMode)*Scale-J567,"--")</f>
        <v>--</v>
      </c>
      <c r="K1526" s="2301" t="str">
        <f>IFERROR(_xll.ciqfunctions.udf.CIQ($G1526,$I1526,K101,Valuation_Date_GC,"LFR",DataMode,$H1526,FXMode)*Scale-K567,"--")</f>
        <v>--</v>
      </c>
      <c r="L1526" s="2301" t="str">
        <f>IFERROR(_xll.ciqfunctions.udf.CIQ($G1526,$I1526,L101,Valuation_Date_GC,"LFR",DataMode,$H1526,FXMode)*Scale-L567,"--")</f>
        <v>--</v>
      </c>
      <c r="M1526" s="2301" t="str">
        <f>IFERROR(_xll.ciqfunctions.udf.CIQ($G1526,$I1526,M101,Valuation_Date_GC,"LFR",DataMode,$H1526,FXMode)*Scale-M567,"--")</f>
        <v>--</v>
      </c>
      <c r="N1526" s="2301" t="str">
        <f>IFERROR(_xll.ciqfunctions.udf.CIQ($G1526,$I1526,N101,Valuation_Date_GC,"LFR",DataMode,$H1526,FXMode)*Scale-N567,"--")</f>
        <v>--</v>
      </c>
      <c r="O1526" s="2317" t="str">
        <f>IFERROR(_xll.ciqfunctions.udf.CIQ($G1526,$I1526,O101,Valuation_Date_GC,"LFR",DataMode,$H1526,FXMode)*Scale-O567,"--")</f>
        <v>--</v>
      </c>
      <c r="P1526" s="2301" t="str">
        <f>IFERROR(_xll.ciqfunctions.udf.CIQ($G1526,$I1526,P101,Valuation_Date_GC,"LFR",DataMode,$H1526,FXMode)*Scale-P567,"--")</f>
        <v>--</v>
      </c>
      <c r="Q1526" s="2060"/>
      <c r="R1526" s="2060"/>
      <c r="S1526" s="2060"/>
      <c r="T1526" s="2060"/>
      <c r="U1526" s="2060"/>
      <c r="V1526" s="2060"/>
      <c r="W1526" s="2060"/>
      <c r="X1526" s="2060"/>
      <c r="Y1526" s="2060"/>
      <c r="Z1526" s="2060"/>
      <c r="AA1526" s="2060"/>
      <c r="AB1526" s="2060"/>
      <c r="AC1526" s="2060"/>
      <c r="AD1526" s="2060"/>
      <c r="AE1526" s="2060"/>
      <c r="AF1526" s="2060"/>
      <c r="AG1526" s="2060"/>
      <c r="AH1526" s="2060"/>
    </row>
    <row r="1527" spans="1:320" s="89" customFormat="1" ht="13.9">
      <c r="A1527" s="269" t="str">
        <f t="shared" si="436"/>
        <v>n</v>
      </c>
      <c r="B1527" s="2060"/>
      <c r="C1527" s="72"/>
      <c r="D1527" s="801"/>
      <c r="E1527" s="1505">
        <v>3</v>
      </c>
      <c r="F1527" s="21" t="str">
        <f>F$131</f>
        <v>--</v>
      </c>
      <c r="G1527" s="1441">
        <f>G$131</f>
        <v>0</v>
      </c>
      <c r="H1527" s="1441" t="str">
        <f>H$131</f>
        <v>--</v>
      </c>
      <c r="I1527" s="1513" t="s">
        <v>803</v>
      </c>
      <c r="J1527" s="2301" t="str">
        <f>IFERROR(_xll.ciqfunctions.udf.CIQ($G1527,$I1527,J102,Valuation_Date_GC,"LFR",DataMode,$H1527,FXMode)*Scale-J568,"--")</f>
        <v>--</v>
      </c>
      <c r="K1527" s="2301" t="str">
        <f>IFERROR(_xll.ciqfunctions.udf.CIQ($G1527,$I1527,K102,Valuation_Date_GC,"LFR",DataMode,$H1527,FXMode)*Scale-K568,"--")</f>
        <v>--</v>
      </c>
      <c r="L1527" s="2301" t="str">
        <f>IFERROR(_xll.ciqfunctions.udf.CIQ($G1527,$I1527,L102,Valuation_Date_GC,"LFR",DataMode,$H1527,FXMode)*Scale-L568,"--")</f>
        <v>--</v>
      </c>
      <c r="M1527" s="2301" t="str">
        <f>IFERROR(_xll.ciqfunctions.udf.CIQ($G1527,$I1527,M102,Valuation_Date_GC,"LFR",DataMode,$H1527,FXMode)*Scale-M568,"--")</f>
        <v>--</v>
      </c>
      <c r="N1527" s="2301" t="str">
        <f>IFERROR(_xll.ciqfunctions.udf.CIQ($G1527,$I1527,N102,Valuation_Date_GC,"LFR",DataMode,$H1527,FXMode)*Scale-N568,"--")</f>
        <v>--</v>
      </c>
      <c r="O1527" s="2317" t="str">
        <f>IFERROR(_xll.ciqfunctions.udf.CIQ($G1527,$I1527,O102,Valuation_Date_GC,"LFR",DataMode,$H1527,FXMode)*Scale-O568,"--")</f>
        <v>--</v>
      </c>
      <c r="P1527" s="2301" t="str">
        <f>IFERROR(_xll.ciqfunctions.udf.CIQ($G1527,$I1527,P102,Valuation_Date_GC,"LFR",DataMode,$H1527,FXMode)*Scale-P568,"--")</f>
        <v>--</v>
      </c>
      <c r="Q1527" s="2060"/>
      <c r="R1527" s="2060"/>
      <c r="S1527" s="2060"/>
      <c r="T1527" s="2060"/>
      <c r="U1527" s="2060"/>
      <c r="V1527" s="2060"/>
      <c r="W1527" s="2060"/>
      <c r="X1527" s="2060"/>
      <c r="Y1527" s="2060"/>
      <c r="Z1527" s="2060"/>
      <c r="AA1527" s="2060"/>
      <c r="AB1527" s="2060"/>
      <c r="AC1527" s="2060"/>
      <c r="AD1527" s="2060"/>
      <c r="AE1527" s="2060"/>
      <c r="AF1527" s="2060"/>
      <c r="AG1527" s="2060"/>
      <c r="AH1527" s="2060"/>
    </row>
    <row r="1528" spans="1:320" s="89" customFormat="1" ht="13.9">
      <c r="A1528" s="269" t="str">
        <f t="shared" si="436"/>
        <v>n</v>
      </c>
      <c r="B1528" s="2060"/>
      <c r="C1528" s="72"/>
      <c r="D1528" s="801"/>
      <c r="E1528" s="1505">
        <v>4</v>
      </c>
      <c r="F1528" s="21" t="str">
        <f>F$132</f>
        <v>--</v>
      </c>
      <c r="G1528" s="1441">
        <f>G$132</f>
        <v>0</v>
      </c>
      <c r="H1528" s="1441" t="str">
        <f>H$132</f>
        <v>--</v>
      </c>
      <c r="I1528" s="1513" t="s">
        <v>803</v>
      </c>
      <c r="J1528" s="2301" t="str">
        <f>IFERROR(_xll.ciqfunctions.udf.CIQ($G1528,$I1528,J103,Valuation_Date_GC,"LFR",DataMode,$H1528,FXMode)*Scale-J569,"--")</f>
        <v>--</v>
      </c>
      <c r="K1528" s="2301" t="str">
        <f>IFERROR(_xll.ciqfunctions.udf.CIQ($G1528,$I1528,K103,Valuation_Date_GC,"LFR",DataMode,$H1528,FXMode)*Scale-K569,"--")</f>
        <v>--</v>
      </c>
      <c r="L1528" s="2301" t="str">
        <f>IFERROR(_xll.ciqfunctions.udf.CIQ($G1528,$I1528,L103,Valuation_Date_GC,"LFR",DataMode,$H1528,FXMode)*Scale-L569,"--")</f>
        <v>--</v>
      </c>
      <c r="M1528" s="2301" t="str">
        <f>IFERROR(_xll.ciqfunctions.udf.CIQ($G1528,$I1528,M103,Valuation_Date_GC,"LFR",DataMode,$H1528,FXMode)*Scale-M569,"--")</f>
        <v>--</v>
      </c>
      <c r="N1528" s="2301" t="str">
        <f>IFERROR(_xll.ciqfunctions.udf.CIQ($G1528,$I1528,N103,Valuation_Date_GC,"LFR",DataMode,$H1528,FXMode)*Scale-N569,"--")</f>
        <v>--</v>
      </c>
      <c r="O1528" s="2317" t="str">
        <f>IFERROR(_xll.ciqfunctions.udf.CIQ($G1528,$I1528,O103,Valuation_Date_GC,"LFR",DataMode,$H1528,FXMode)*Scale-O569,"--")</f>
        <v>--</v>
      </c>
      <c r="P1528" s="2301" t="str">
        <f>IFERROR(_xll.ciqfunctions.udf.CIQ($G1528,$I1528,P103,Valuation_Date_GC,"LFR",DataMode,$H1528,FXMode)*Scale-P569,"--")</f>
        <v>--</v>
      </c>
      <c r="Q1528" s="2060"/>
      <c r="R1528" s="2060"/>
      <c r="S1528" s="2060"/>
      <c r="T1528" s="2060"/>
      <c r="U1528" s="2060"/>
      <c r="V1528" s="2060"/>
      <c r="W1528" s="2060"/>
      <c r="X1528" s="2060"/>
      <c r="Y1528" s="2060"/>
      <c r="Z1528" s="2060"/>
      <c r="AA1528" s="2060"/>
      <c r="AB1528" s="2060"/>
      <c r="AC1528" s="2060"/>
      <c r="AD1528" s="2060"/>
      <c r="AE1528" s="2060"/>
      <c r="AF1528" s="2060"/>
      <c r="AG1528" s="2060"/>
      <c r="AH1528" s="2060"/>
    </row>
    <row r="1529" spans="1:320" s="89" customFormat="1" ht="13.9">
      <c r="A1529" s="269" t="str">
        <f t="shared" si="436"/>
        <v>n</v>
      </c>
      <c r="B1529" s="2060"/>
      <c r="C1529" s="72"/>
      <c r="D1529" s="801"/>
      <c r="E1529" s="1505">
        <v>5</v>
      </c>
      <c r="F1529" s="21" t="str">
        <f>F$133</f>
        <v>--</v>
      </c>
      <c r="G1529" s="1441">
        <f>G$133</f>
        <v>0</v>
      </c>
      <c r="H1529" s="1441" t="str">
        <f>H$133</f>
        <v>--</v>
      </c>
      <c r="I1529" s="1513" t="s">
        <v>803</v>
      </c>
      <c r="J1529" s="2301" t="str">
        <f>IFERROR(_xll.ciqfunctions.udf.CIQ($G1529,$I1529,J104,Valuation_Date_GC,"LFR",DataMode,$H1529,FXMode)*Scale-J570,"--")</f>
        <v>--</v>
      </c>
      <c r="K1529" s="2301" t="str">
        <f>IFERROR(_xll.ciqfunctions.udf.CIQ($G1529,$I1529,K104,Valuation_Date_GC,"LFR",DataMode,$H1529,FXMode)*Scale-K570,"--")</f>
        <v>--</v>
      </c>
      <c r="L1529" s="2301" t="str">
        <f>IFERROR(_xll.ciqfunctions.udf.CIQ($G1529,$I1529,L104,Valuation_Date_GC,"LFR",DataMode,$H1529,FXMode)*Scale-L570,"--")</f>
        <v>--</v>
      </c>
      <c r="M1529" s="2301" t="str">
        <f>IFERROR(_xll.ciqfunctions.udf.CIQ($G1529,$I1529,M104,Valuation_Date_GC,"LFR",DataMode,$H1529,FXMode)*Scale-M570,"--")</f>
        <v>--</v>
      </c>
      <c r="N1529" s="2301" t="str">
        <f>IFERROR(_xll.ciqfunctions.udf.CIQ($G1529,$I1529,N104,Valuation_Date_GC,"LFR",DataMode,$H1529,FXMode)*Scale-N570,"--")</f>
        <v>--</v>
      </c>
      <c r="O1529" s="2317" t="str">
        <f>IFERROR(_xll.ciqfunctions.udf.CIQ($G1529,$I1529,O104,Valuation_Date_GC,"LFR",DataMode,$H1529,FXMode)*Scale-O570,"--")</f>
        <v>--</v>
      </c>
      <c r="P1529" s="2301" t="str">
        <f>IFERROR(_xll.ciqfunctions.udf.CIQ($G1529,$I1529,P104,Valuation_Date_GC,"LFR",DataMode,$H1529,FXMode)*Scale-P570,"--")</f>
        <v>--</v>
      </c>
      <c r="Q1529" s="2060"/>
      <c r="R1529" s="2060"/>
      <c r="S1529" s="2060"/>
      <c r="T1529" s="2060"/>
      <c r="U1529" s="2060"/>
      <c r="V1529" s="2060"/>
      <c r="W1529" s="2060"/>
      <c r="X1529" s="2060"/>
      <c r="Y1529" s="2060"/>
      <c r="Z1529" s="2060"/>
      <c r="AA1529" s="2060"/>
      <c r="AB1529" s="2060"/>
      <c r="AC1529" s="2060"/>
      <c r="AD1529" s="2060"/>
      <c r="AE1529" s="2060"/>
      <c r="AF1529" s="2060"/>
      <c r="AG1529" s="2060"/>
      <c r="AH1529" s="2060"/>
    </row>
    <row r="1530" spans="1:320" s="89" customFormat="1" ht="13.9">
      <c r="A1530" s="269" t="str">
        <f t="shared" si="436"/>
        <v>n</v>
      </c>
      <c r="B1530" s="2060"/>
      <c r="C1530" s="72"/>
      <c r="D1530" s="801"/>
      <c r="E1530" s="1505">
        <v>6</v>
      </c>
      <c r="F1530" s="21" t="str">
        <f>F$134</f>
        <v>--</v>
      </c>
      <c r="G1530" s="1441">
        <f>G$134</f>
        <v>0</v>
      </c>
      <c r="H1530" s="1441" t="str">
        <f>H$134</f>
        <v>--</v>
      </c>
      <c r="I1530" s="1513" t="s">
        <v>803</v>
      </c>
      <c r="J1530" s="2301" t="str">
        <f>IFERROR(_xll.ciqfunctions.udf.CIQ($G1530,$I1530,J105,Valuation_Date_GC,"LFR",DataMode,$H1530,FXMode)*Scale-J571,"--")</f>
        <v>--</v>
      </c>
      <c r="K1530" s="2301" t="str">
        <f>IFERROR(_xll.ciqfunctions.udf.CIQ($G1530,$I1530,K105,Valuation_Date_GC,"LFR",DataMode,$H1530,FXMode)*Scale-K571,"--")</f>
        <v>--</v>
      </c>
      <c r="L1530" s="2301" t="str">
        <f>IFERROR(_xll.ciqfunctions.udf.CIQ($G1530,$I1530,L105,Valuation_Date_GC,"LFR",DataMode,$H1530,FXMode)*Scale-L571,"--")</f>
        <v>--</v>
      </c>
      <c r="M1530" s="2301" t="str">
        <f>IFERROR(_xll.ciqfunctions.udf.CIQ($G1530,$I1530,M105,Valuation_Date_GC,"LFR",DataMode,$H1530,FXMode)*Scale-M571,"--")</f>
        <v>--</v>
      </c>
      <c r="N1530" s="2301" t="str">
        <f>IFERROR(_xll.ciqfunctions.udf.CIQ($G1530,$I1530,N105,Valuation_Date_GC,"LFR",DataMode,$H1530,FXMode)*Scale-N571,"--")</f>
        <v>--</v>
      </c>
      <c r="O1530" s="2317" t="str">
        <f>IFERROR(_xll.ciqfunctions.udf.CIQ($G1530,$I1530,O105,Valuation_Date_GC,"LFR",DataMode,$H1530,FXMode)*Scale-O571,"--")</f>
        <v>--</v>
      </c>
      <c r="P1530" s="2301" t="str">
        <f>IFERROR(_xll.ciqfunctions.udf.CIQ($G1530,$I1530,P105,Valuation_Date_GC,"LFR",DataMode,$H1530,FXMode)*Scale-P571,"--")</f>
        <v>--</v>
      </c>
      <c r="Q1530" s="2060"/>
      <c r="R1530" s="2060"/>
      <c r="S1530" s="2060"/>
      <c r="T1530" s="2060"/>
      <c r="U1530" s="2060"/>
      <c r="V1530" s="2060"/>
      <c r="W1530" s="2060"/>
      <c r="X1530" s="2060"/>
      <c r="Y1530" s="2060"/>
      <c r="Z1530" s="2060"/>
      <c r="AA1530" s="2060"/>
      <c r="AB1530" s="2060"/>
      <c r="AC1530" s="2060"/>
      <c r="AD1530" s="2060"/>
      <c r="AE1530" s="2060"/>
      <c r="AF1530" s="2060"/>
      <c r="AG1530" s="2060"/>
      <c r="AH1530" s="2060"/>
    </row>
    <row r="1531" spans="1:320" s="89" customFormat="1" ht="13.9">
      <c r="A1531" s="269" t="str">
        <f t="shared" si="436"/>
        <v>n</v>
      </c>
      <c r="B1531" s="2060"/>
      <c r="D1531" s="801"/>
      <c r="E1531" s="1505">
        <v>7</v>
      </c>
      <c r="F1531" s="21" t="str">
        <f>F$135</f>
        <v>--</v>
      </c>
      <c r="G1531" s="1441">
        <f>G$135</f>
        <v>0</v>
      </c>
      <c r="H1531" s="1441" t="str">
        <f>H$135</f>
        <v>--</v>
      </c>
      <c r="I1531" s="1513" t="s">
        <v>803</v>
      </c>
      <c r="J1531" s="2301" t="str">
        <f>IFERROR(_xll.ciqfunctions.udf.CIQ($G1531,$I1531,J106,Valuation_Date_GC,"LFR",DataMode,$H1531,FXMode)*Scale-J572,"--")</f>
        <v>--</v>
      </c>
      <c r="K1531" s="2301" t="str">
        <f>IFERROR(_xll.ciqfunctions.udf.CIQ($G1531,$I1531,K106,Valuation_Date_GC,"LFR",DataMode,$H1531,FXMode)*Scale-K572,"--")</f>
        <v>--</v>
      </c>
      <c r="L1531" s="2301" t="str">
        <f>IFERROR(_xll.ciqfunctions.udf.CIQ($G1531,$I1531,L106,Valuation_Date_GC,"LFR",DataMode,$H1531,FXMode)*Scale-L572,"--")</f>
        <v>--</v>
      </c>
      <c r="M1531" s="2301" t="str">
        <f>IFERROR(_xll.ciqfunctions.udf.CIQ($G1531,$I1531,M106,Valuation_Date_GC,"LFR",DataMode,$H1531,FXMode)*Scale-M572,"--")</f>
        <v>--</v>
      </c>
      <c r="N1531" s="2301" t="str">
        <f>IFERROR(_xll.ciqfunctions.udf.CIQ($G1531,$I1531,N106,Valuation_Date_GC,"LFR",DataMode,$H1531,FXMode)*Scale-N572,"--")</f>
        <v>--</v>
      </c>
      <c r="O1531" s="2317" t="str">
        <f>IFERROR(_xll.ciqfunctions.udf.CIQ($G1531,$I1531,O106,Valuation_Date_GC,"LFR",DataMode,$H1531,FXMode)*Scale-O572,"--")</f>
        <v>--</v>
      </c>
      <c r="P1531" s="2301" t="str">
        <f>IFERROR(_xll.ciqfunctions.udf.CIQ($G1531,$I1531,P106,Valuation_Date_GC,"LFR",DataMode,$H1531,FXMode)*Scale-P572,"--")</f>
        <v>--</v>
      </c>
      <c r="Q1531" s="2060"/>
      <c r="R1531" s="2060"/>
      <c r="S1531" s="2060"/>
      <c r="T1531" s="2060"/>
      <c r="U1531" s="2060"/>
      <c r="V1531" s="2060"/>
      <c r="W1531" s="2060"/>
      <c r="X1531" s="2060"/>
      <c r="Y1531" s="2060"/>
      <c r="Z1531" s="2060"/>
      <c r="AA1531" s="2060"/>
      <c r="AB1531" s="2060"/>
      <c r="AC1531" s="2060"/>
      <c r="AD1531" s="2060"/>
      <c r="AE1531" s="2060"/>
      <c r="AF1531" s="2060"/>
      <c r="AG1531" s="2060"/>
      <c r="AH1531" s="2060"/>
    </row>
    <row r="1532" spans="1:320" s="89" customFormat="1" ht="13.9">
      <c r="A1532" s="269" t="str">
        <f t="shared" si="436"/>
        <v>n</v>
      </c>
      <c r="B1532" s="2060"/>
      <c r="D1532" s="801"/>
      <c r="E1532" s="1505">
        <v>8</v>
      </c>
      <c r="F1532" s="21" t="str">
        <f>F$136</f>
        <v>--</v>
      </c>
      <c r="G1532" s="1441">
        <f>G$136</f>
        <v>0</v>
      </c>
      <c r="H1532" s="1441" t="str">
        <f>H$136</f>
        <v>--</v>
      </c>
      <c r="I1532" s="1513" t="s">
        <v>803</v>
      </c>
      <c r="J1532" s="2301" t="str">
        <f>IFERROR(_xll.ciqfunctions.udf.CIQ($G1532,$I1532,J107,Valuation_Date_GC,"LFR",DataMode,$H1532,FXMode)*Scale-J573,"--")</f>
        <v>--</v>
      </c>
      <c r="K1532" s="2301" t="str">
        <f>IFERROR(_xll.ciqfunctions.udf.CIQ($G1532,$I1532,K107,Valuation_Date_GC,"LFR",DataMode,$H1532,FXMode)*Scale-K573,"--")</f>
        <v>--</v>
      </c>
      <c r="L1532" s="2301" t="str">
        <f>IFERROR(_xll.ciqfunctions.udf.CIQ($G1532,$I1532,L107,Valuation_Date_GC,"LFR",DataMode,$H1532,FXMode)*Scale-L573,"--")</f>
        <v>--</v>
      </c>
      <c r="M1532" s="2301" t="str">
        <f>IFERROR(_xll.ciqfunctions.udf.CIQ($G1532,$I1532,M107,Valuation_Date_GC,"LFR",DataMode,$H1532,FXMode)*Scale-M573,"--")</f>
        <v>--</v>
      </c>
      <c r="N1532" s="2301" t="str">
        <f>IFERROR(_xll.ciqfunctions.udf.CIQ($G1532,$I1532,N107,Valuation_Date_GC,"LFR",DataMode,$H1532,FXMode)*Scale-N573,"--")</f>
        <v>--</v>
      </c>
      <c r="O1532" s="2317" t="str">
        <f>IFERROR(_xll.ciqfunctions.udf.CIQ($G1532,$I1532,O107,Valuation_Date_GC,"LFR",DataMode,$H1532,FXMode)*Scale-O573,"--")</f>
        <v>--</v>
      </c>
      <c r="P1532" s="2301" t="str">
        <f>IFERROR(_xll.ciqfunctions.udf.CIQ($G1532,$I1532,P107,Valuation_Date_GC,"LFR",DataMode,$H1532,FXMode)*Scale-P573,"--")</f>
        <v>--</v>
      </c>
      <c r="Q1532" s="2060"/>
      <c r="R1532" s="2060"/>
      <c r="S1532" s="2060"/>
      <c r="T1532" s="2060"/>
      <c r="U1532" s="2060"/>
      <c r="V1532" s="2060"/>
      <c r="W1532" s="2060"/>
      <c r="X1532" s="2060"/>
      <c r="Y1532" s="2060"/>
      <c r="Z1532" s="2060"/>
      <c r="AA1532" s="2060"/>
      <c r="AB1532" s="2060"/>
      <c r="AC1532" s="2060"/>
      <c r="AD1532" s="2060"/>
      <c r="AE1532" s="2060"/>
      <c r="AF1532" s="2060"/>
      <c r="AG1532" s="2060"/>
      <c r="AH1532" s="2060"/>
    </row>
    <row r="1533" spans="1:320" s="89" customFormat="1" ht="13.9">
      <c r="A1533" s="269" t="str">
        <f t="shared" si="436"/>
        <v>n</v>
      </c>
      <c r="B1533" s="2060"/>
      <c r="D1533" s="801"/>
      <c r="E1533" s="1505">
        <v>9</v>
      </c>
      <c r="F1533" s="21" t="str">
        <f>F$137</f>
        <v>--</v>
      </c>
      <c r="G1533" s="1441">
        <f>G$137</f>
        <v>0</v>
      </c>
      <c r="H1533" s="1441" t="str">
        <f>H$137</f>
        <v>--</v>
      </c>
      <c r="I1533" s="1513" t="s">
        <v>803</v>
      </c>
      <c r="J1533" s="2301" t="str">
        <f>IFERROR(_xll.ciqfunctions.udf.CIQ($G1533,$I1533,J108,Valuation_Date_GC,"LFR",DataMode,$H1533,FXMode)*Scale-J574,"--")</f>
        <v>--</v>
      </c>
      <c r="K1533" s="2301" t="str">
        <f>IFERROR(_xll.ciqfunctions.udf.CIQ($G1533,$I1533,K108,Valuation_Date_GC,"LFR",DataMode,$H1533,FXMode)*Scale-K574,"--")</f>
        <v>--</v>
      </c>
      <c r="L1533" s="2301" t="str">
        <f>IFERROR(_xll.ciqfunctions.udf.CIQ($G1533,$I1533,L108,Valuation_Date_GC,"LFR",DataMode,$H1533,FXMode)*Scale-L574,"--")</f>
        <v>--</v>
      </c>
      <c r="M1533" s="2301" t="str">
        <f>IFERROR(_xll.ciqfunctions.udf.CIQ($G1533,$I1533,M108,Valuation_Date_GC,"LFR",DataMode,$H1533,FXMode)*Scale-M574,"--")</f>
        <v>--</v>
      </c>
      <c r="N1533" s="2301" t="str">
        <f>IFERROR(_xll.ciqfunctions.udf.CIQ($G1533,$I1533,N108,Valuation_Date_GC,"LFR",DataMode,$H1533,FXMode)*Scale-N574,"--")</f>
        <v>--</v>
      </c>
      <c r="O1533" s="2317" t="str">
        <f>IFERROR(_xll.ciqfunctions.udf.CIQ($G1533,$I1533,O108,Valuation_Date_GC,"LFR",DataMode,$H1533,FXMode)*Scale-O574,"--")</f>
        <v>--</v>
      </c>
      <c r="P1533" s="2301" t="str">
        <f>IFERROR(_xll.ciqfunctions.udf.CIQ($G1533,$I1533,P108,Valuation_Date_GC,"LFR",DataMode,$H1533,FXMode)*Scale-P574,"--")</f>
        <v>--</v>
      </c>
      <c r="Q1533" s="2060"/>
      <c r="R1533" s="2060"/>
      <c r="S1533" s="2060"/>
      <c r="T1533" s="2060"/>
      <c r="U1533" s="2060"/>
      <c r="V1533" s="2060"/>
      <c r="W1533" s="2060"/>
      <c r="X1533" s="2060"/>
      <c r="Y1533" s="2060"/>
      <c r="Z1533" s="2060"/>
      <c r="AA1533" s="2060"/>
      <c r="AB1533" s="2060"/>
      <c r="AC1533" s="2060"/>
      <c r="AD1533" s="2060"/>
      <c r="AE1533" s="2060"/>
      <c r="AF1533" s="2060"/>
      <c r="AG1533" s="2060"/>
      <c r="AH1533" s="2060"/>
    </row>
    <row r="1534" spans="1:320" s="89" customFormat="1" ht="13.9">
      <c r="A1534" s="269" t="str">
        <f t="shared" si="436"/>
        <v>n</v>
      </c>
      <c r="B1534" s="2060"/>
      <c r="D1534" s="801"/>
      <c r="E1534" s="1505">
        <v>10</v>
      </c>
      <c r="F1534" s="21" t="str">
        <f>F$138</f>
        <v>--</v>
      </c>
      <c r="G1534" s="1441">
        <f>G$138</f>
        <v>0</v>
      </c>
      <c r="H1534" s="1441" t="str">
        <f>H$138</f>
        <v>--</v>
      </c>
      <c r="I1534" s="1513" t="s">
        <v>803</v>
      </c>
      <c r="J1534" s="2301" t="str">
        <f>IFERROR(_xll.ciqfunctions.udf.CIQ($G1534,$I1534,J109,Valuation_Date_GC,"LFR",DataMode,$H1534,FXMode)*Scale-J575,"--")</f>
        <v>--</v>
      </c>
      <c r="K1534" s="2301" t="str">
        <f>IFERROR(_xll.ciqfunctions.udf.CIQ($G1534,$I1534,K109,Valuation_Date_GC,"LFR",DataMode,$H1534,FXMode)*Scale-K575,"--")</f>
        <v>--</v>
      </c>
      <c r="L1534" s="2301" t="str">
        <f>IFERROR(_xll.ciqfunctions.udf.CIQ($G1534,$I1534,L109,Valuation_Date_GC,"LFR",DataMode,$H1534,FXMode)*Scale-L575,"--")</f>
        <v>--</v>
      </c>
      <c r="M1534" s="2301" t="str">
        <f>IFERROR(_xll.ciqfunctions.udf.CIQ($G1534,$I1534,M109,Valuation_Date_GC,"LFR",DataMode,$H1534,FXMode)*Scale-M575,"--")</f>
        <v>--</v>
      </c>
      <c r="N1534" s="2301" t="str">
        <f>IFERROR(_xll.ciqfunctions.udf.CIQ($G1534,$I1534,N109,Valuation_Date_GC,"LFR",DataMode,$H1534,FXMode)*Scale-N575,"--")</f>
        <v>--</v>
      </c>
      <c r="O1534" s="2317" t="str">
        <f>IFERROR(_xll.ciqfunctions.udf.CIQ($G1534,$I1534,O109,Valuation_Date_GC,"LFR",DataMode,$H1534,FXMode)*Scale-O575,"--")</f>
        <v>--</v>
      </c>
      <c r="P1534" s="2301" t="str">
        <f>IFERROR(_xll.ciqfunctions.udf.CIQ($G1534,$I1534,P109,Valuation_Date_GC,"LFR",DataMode,$H1534,FXMode)*Scale-P575,"--")</f>
        <v>--</v>
      </c>
      <c r="Q1534" s="2060"/>
      <c r="R1534" s="2060"/>
      <c r="S1534" s="2060"/>
      <c r="T1534" s="2060"/>
      <c r="U1534" s="2060"/>
      <c r="V1534" s="2060"/>
      <c r="W1534" s="2060"/>
      <c r="X1534" s="2060"/>
      <c r="Y1534" s="2060"/>
      <c r="Z1534" s="2060"/>
      <c r="AA1534" s="2060"/>
      <c r="AB1534" s="2060"/>
      <c r="AC1534" s="2060"/>
      <c r="AD1534" s="2060"/>
      <c r="AE1534" s="2060"/>
      <c r="AF1534" s="2060"/>
      <c r="AG1534" s="2060"/>
      <c r="AH1534" s="2060"/>
    </row>
    <row r="1535" spans="1:320" s="89" customFormat="1" ht="13.9">
      <c r="A1535" s="269" t="str">
        <f t="shared" si="436"/>
        <v>n</v>
      </c>
      <c r="B1535" s="2060"/>
      <c r="D1535" s="801"/>
      <c r="E1535" s="1505">
        <v>11</v>
      </c>
      <c r="F1535" s="21" t="str">
        <f>F$139</f>
        <v>--</v>
      </c>
      <c r="G1535" s="1441">
        <f>G$139</f>
        <v>0</v>
      </c>
      <c r="H1535" s="1441" t="str">
        <f>H$139</f>
        <v>--</v>
      </c>
      <c r="I1535" s="1513" t="s">
        <v>803</v>
      </c>
      <c r="J1535" s="2301" t="str">
        <f>IFERROR(_xll.ciqfunctions.udf.CIQ($G1535,$I1535,J110,Valuation_Date_GC,"LFR",DataMode,$H1535,FXMode)*Scale-J576,"--")</f>
        <v>--</v>
      </c>
      <c r="K1535" s="2301" t="str">
        <f>IFERROR(_xll.ciqfunctions.udf.CIQ($G1535,$I1535,K110,Valuation_Date_GC,"LFR",DataMode,$H1535,FXMode)*Scale-K576,"--")</f>
        <v>--</v>
      </c>
      <c r="L1535" s="2301" t="str">
        <f>IFERROR(_xll.ciqfunctions.udf.CIQ($G1535,$I1535,L110,Valuation_Date_GC,"LFR",DataMode,$H1535,FXMode)*Scale-L576,"--")</f>
        <v>--</v>
      </c>
      <c r="M1535" s="2301" t="str">
        <f>IFERROR(_xll.ciqfunctions.udf.CIQ($G1535,$I1535,M110,Valuation_Date_GC,"LFR",DataMode,$H1535,FXMode)*Scale-M576,"--")</f>
        <v>--</v>
      </c>
      <c r="N1535" s="2301" t="str">
        <f>IFERROR(_xll.ciqfunctions.udf.CIQ($G1535,$I1535,N110,Valuation_Date_GC,"LFR",DataMode,$H1535,FXMode)*Scale-N576,"--")</f>
        <v>--</v>
      </c>
      <c r="O1535" s="2317" t="str">
        <f>IFERROR(_xll.ciqfunctions.udf.CIQ($G1535,$I1535,O110,Valuation_Date_GC,"LFR",DataMode,$H1535,FXMode)*Scale-O576,"--")</f>
        <v>--</v>
      </c>
      <c r="P1535" s="2301" t="str">
        <f>IFERROR(_xll.ciqfunctions.udf.CIQ($G1535,$I1535,P110,Valuation_Date_GC,"LFR",DataMode,$H1535,FXMode)*Scale-P576,"--")</f>
        <v>--</v>
      </c>
      <c r="Q1535" s="2060"/>
      <c r="R1535" s="2060"/>
      <c r="S1535" s="2060"/>
      <c r="T1535" s="2060"/>
      <c r="U1535" s="2060"/>
      <c r="V1535" s="2060"/>
      <c r="W1535" s="2060"/>
      <c r="X1535" s="2060"/>
      <c r="Y1535" s="2060"/>
      <c r="Z1535" s="2060"/>
      <c r="AA1535" s="2060"/>
      <c r="AB1535" s="2060"/>
      <c r="AC1535" s="2060"/>
      <c r="AD1535" s="2060"/>
      <c r="AE1535" s="2060"/>
      <c r="AF1535" s="2060"/>
      <c r="AG1535" s="2060"/>
      <c r="AH1535" s="2060"/>
    </row>
    <row r="1536" spans="1:320" s="89" customFormat="1" ht="13.9">
      <c r="A1536" s="269" t="str">
        <f t="shared" si="436"/>
        <v>n</v>
      </c>
      <c r="B1536" s="2060"/>
      <c r="D1536" s="801"/>
      <c r="E1536" s="1505">
        <v>12</v>
      </c>
      <c r="F1536" s="21" t="str">
        <f>F$140</f>
        <v>--</v>
      </c>
      <c r="G1536" s="1441">
        <f>G$140</f>
        <v>0</v>
      </c>
      <c r="H1536" s="1441" t="str">
        <f>H$140</f>
        <v>--</v>
      </c>
      <c r="I1536" s="1513" t="s">
        <v>803</v>
      </c>
      <c r="J1536" s="2301" t="str">
        <f>IFERROR(_xll.ciqfunctions.udf.CIQ($G1536,$I1536,J111,Valuation_Date_GC,"LFR",DataMode,$H1536,FXMode)*Scale-J577,"--")</f>
        <v>--</v>
      </c>
      <c r="K1536" s="2301" t="str">
        <f>IFERROR(_xll.ciqfunctions.udf.CIQ($G1536,$I1536,K111,Valuation_Date_GC,"LFR",DataMode,$H1536,FXMode)*Scale-K577,"--")</f>
        <v>--</v>
      </c>
      <c r="L1536" s="2301" t="str">
        <f>IFERROR(_xll.ciqfunctions.udf.CIQ($G1536,$I1536,L111,Valuation_Date_GC,"LFR",DataMode,$H1536,FXMode)*Scale-L577,"--")</f>
        <v>--</v>
      </c>
      <c r="M1536" s="2301" t="str">
        <f>IFERROR(_xll.ciqfunctions.udf.CIQ($G1536,$I1536,M111,Valuation_Date_GC,"LFR",DataMode,$H1536,FXMode)*Scale-M577,"--")</f>
        <v>--</v>
      </c>
      <c r="N1536" s="2301" t="str">
        <f>IFERROR(_xll.ciqfunctions.udf.CIQ($G1536,$I1536,N111,Valuation_Date_GC,"LFR",DataMode,$H1536,FXMode)*Scale-N577,"--")</f>
        <v>--</v>
      </c>
      <c r="O1536" s="2317" t="str">
        <f>IFERROR(_xll.ciqfunctions.udf.CIQ($G1536,$I1536,O111,Valuation_Date_GC,"LFR",DataMode,$H1536,FXMode)*Scale-O577,"--")</f>
        <v>--</v>
      </c>
      <c r="P1536" s="2301" t="str">
        <f>IFERROR(_xll.ciqfunctions.udf.CIQ($G1536,$I1536,P111,Valuation_Date_GC,"LFR",DataMode,$H1536,FXMode)*Scale-P577,"--")</f>
        <v>--</v>
      </c>
      <c r="Q1536" s="2060"/>
      <c r="R1536" s="2060"/>
      <c r="S1536" s="2060"/>
      <c r="T1536" s="2060"/>
      <c r="U1536" s="2060"/>
      <c r="V1536" s="2060"/>
      <c r="W1536" s="2060"/>
      <c r="X1536" s="2060"/>
      <c r="Y1536" s="2060"/>
      <c r="Z1536" s="2060"/>
      <c r="AA1536" s="2060"/>
      <c r="AB1536" s="2060"/>
      <c r="AC1536" s="2060"/>
      <c r="AD1536" s="2060"/>
      <c r="AE1536" s="2060"/>
      <c r="AF1536" s="2060"/>
      <c r="AG1536" s="2060"/>
      <c r="AH1536" s="2060"/>
    </row>
    <row r="1537" spans="1:320" s="89" customFormat="1" ht="13.9">
      <c r="A1537" s="269" t="str">
        <f t="shared" si="436"/>
        <v>n</v>
      </c>
      <c r="B1537" s="2060"/>
      <c r="D1537" s="801"/>
      <c r="E1537" s="1505">
        <v>13</v>
      </c>
      <c r="F1537" s="21" t="str">
        <f>F$141</f>
        <v>--</v>
      </c>
      <c r="G1537" s="1441">
        <f>G$141</f>
        <v>0</v>
      </c>
      <c r="H1537" s="1441" t="str">
        <f>H$141</f>
        <v>--</v>
      </c>
      <c r="I1537" s="1513" t="s">
        <v>803</v>
      </c>
      <c r="J1537" s="2301" t="str">
        <f>IFERROR(_xll.ciqfunctions.udf.CIQ($G1537,$I1537,J112,Valuation_Date_GC,"LFR",DataMode,$H1537,FXMode)*Scale-J578,"--")</f>
        <v>--</v>
      </c>
      <c r="K1537" s="2301" t="str">
        <f>IFERROR(_xll.ciqfunctions.udf.CIQ($G1537,$I1537,K112,Valuation_Date_GC,"LFR",DataMode,$H1537,FXMode)*Scale-K578,"--")</f>
        <v>--</v>
      </c>
      <c r="L1537" s="2301" t="str">
        <f>IFERROR(_xll.ciqfunctions.udf.CIQ($G1537,$I1537,L112,Valuation_Date_GC,"LFR",DataMode,$H1537,FXMode)*Scale-L578,"--")</f>
        <v>--</v>
      </c>
      <c r="M1537" s="2301" t="str">
        <f>IFERROR(_xll.ciqfunctions.udf.CIQ($G1537,$I1537,M112,Valuation_Date_GC,"LFR",DataMode,$H1537,FXMode)*Scale-M578,"--")</f>
        <v>--</v>
      </c>
      <c r="N1537" s="2301" t="str">
        <f>IFERROR(_xll.ciqfunctions.udf.CIQ($G1537,$I1537,N112,Valuation_Date_GC,"LFR",DataMode,$H1537,FXMode)*Scale-N578,"--")</f>
        <v>--</v>
      </c>
      <c r="O1537" s="2317" t="str">
        <f>IFERROR(_xll.ciqfunctions.udf.CIQ($G1537,$I1537,O112,Valuation_Date_GC,"LFR",DataMode,$H1537,FXMode)*Scale-O578,"--")</f>
        <v>--</v>
      </c>
      <c r="P1537" s="2301" t="str">
        <f>IFERROR(_xll.ciqfunctions.udf.CIQ($G1537,$I1537,P112,Valuation_Date_GC,"LFR",DataMode,$H1537,FXMode)*Scale-P578,"--")</f>
        <v>--</v>
      </c>
      <c r="Q1537" s="2060"/>
      <c r="R1537" s="2060"/>
      <c r="S1537" s="2060"/>
      <c r="T1537" s="2060"/>
      <c r="U1537" s="2060"/>
      <c r="V1537" s="2060"/>
      <c r="W1537" s="2060"/>
      <c r="X1537" s="2060"/>
      <c r="Y1537" s="2060"/>
      <c r="Z1537" s="2060"/>
      <c r="AA1537" s="2060"/>
      <c r="AB1537" s="2060"/>
      <c r="AC1537" s="2060"/>
      <c r="AD1537" s="2060"/>
      <c r="AE1537" s="2060"/>
      <c r="AF1537" s="2060"/>
      <c r="AG1537" s="2060"/>
      <c r="AH1537" s="2060"/>
    </row>
    <row r="1538" spans="1:320" s="89" customFormat="1" ht="13.9">
      <c r="A1538" s="269" t="str">
        <f t="shared" si="436"/>
        <v>n</v>
      </c>
      <c r="B1538" s="2060"/>
      <c r="D1538" s="801"/>
      <c r="E1538" s="1505">
        <v>14</v>
      </c>
      <c r="F1538" s="21" t="str">
        <f>F$142</f>
        <v>--</v>
      </c>
      <c r="G1538" s="1441">
        <f>G$142</f>
        <v>0</v>
      </c>
      <c r="H1538" s="1441" t="str">
        <f>H$142</f>
        <v>--</v>
      </c>
      <c r="I1538" s="1513" t="s">
        <v>803</v>
      </c>
      <c r="J1538" s="2301" t="str">
        <f>IFERROR(_xll.ciqfunctions.udf.CIQ($G1538,$I1538,J113,Valuation_Date_GC,"LFR",DataMode,$H1538,FXMode)*Scale-J579,"--")</f>
        <v>--</v>
      </c>
      <c r="K1538" s="2301" t="str">
        <f>IFERROR(_xll.ciqfunctions.udf.CIQ($G1538,$I1538,K113,Valuation_Date_GC,"LFR",DataMode,$H1538,FXMode)*Scale-K579,"--")</f>
        <v>--</v>
      </c>
      <c r="L1538" s="2301" t="str">
        <f>IFERROR(_xll.ciqfunctions.udf.CIQ($G1538,$I1538,L113,Valuation_Date_GC,"LFR",DataMode,$H1538,FXMode)*Scale-L579,"--")</f>
        <v>--</v>
      </c>
      <c r="M1538" s="2301" t="str">
        <f>IFERROR(_xll.ciqfunctions.udf.CIQ($G1538,$I1538,M113,Valuation_Date_GC,"LFR",DataMode,$H1538,FXMode)*Scale-M579,"--")</f>
        <v>--</v>
      </c>
      <c r="N1538" s="2301" t="str">
        <f>IFERROR(_xll.ciqfunctions.udf.CIQ($G1538,$I1538,N113,Valuation_Date_GC,"LFR",DataMode,$H1538,FXMode)*Scale-N579,"--")</f>
        <v>--</v>
      </c>
      <c r="O1538" s="2317" t="str">
        <f>IFERROR(_xll.ciqfunctions.udf.CIQ($G1538,$I1538,O113,Valuation_Date_GC,"LFR",DataMode,$H1538,FXMode)*Scale-O579,"--")</f>
        <v>--</v>
      </c>
      <c r="P1538" s="2301" t="str">
        <f>IFERROR(_xll.ciqfunctions.udf.CIQ($G1538,$I1538,P113,Valuation_Date_GC,"LFR",DataMode,$H1538,FXMode)*Scale-P579,"--")</f>
        <v>--</v>
      </c>
      <c r="Q1538" s="2060"/>
      <c r="R1538" s="2060"/>
      <c r="S1538" s="2060"/>
      <c r="T1538" s="2060"/>
      <c r="U1538" s="2060"/>
      <c r="V1538" s="2060"/>
      <c r="W1538" s="2060"/>
      <c r="X1538" s="2060"/>
      <c r="Y1538" s="2060"/>
      <c r="Z1538" s="2060"/>
      <c r="AA1538" s="2060"/>
      <c r="AB1538" s="2060"/>
      <c r="AC1538" s="2060"/>
      <c r="AD1538" s="2060"/>
      <c r="AE1538" s="2060"/>
      <c r="AF1538" s="2060"/>
      <c r="AG1538" s="2060"/>
      <c r="AH1538" s="2060"/>
    </row>
    <row r="1539" spans="1:320" s="89" customFormat="1" ht="13.9">
      <c r="A1539" s="269" t="str">
        <f t="shared" si="436"/>
        <v>n</v>
      </c>
      <c r="B1539" s="2060"/>
      <c r="D1539" s="801"/>
      <c r="E1539" s="1505">
        <v>15</v>
      </c>
      <c r="F1539" s="21" t="str">
        <f>F$143</f>
        <v>--</v>
      </c>
      <c r="G1539" s="1441">
        <f>G$143</f>
        <v>0</v>
      </c>
      <c r="H1539" s="1441" t="str">
        <f>H$143</f>
        <v>--</v>
      </c>
      <c r="I1539" s="1513" t="s">
        <v>803</v>
      </c>
      <c r="J1539" s="2301" t="str">
        <f>IFERROR(_xll.ciqfunctions.udf.CIQ($G1539,$I1539,J114,Valuation_Date_GC,"LFR",DataMode,$H1539,FXMode)*Scale-J580,"--")</f>
        <v>--</v>
      </c>
      <c r="K1539" s="2301" t="str">
        <f>IFERROR(_xll.ciqfunctions.udf.CIQ($G1539,$I1539,K114,Valuation_Date_GC,"LFR",DataMode,$H1539,FXMode)*Scale-K580,"--")</f>
        <v>--</v>
      </c>
      <c r="L1539" s="2301" t="str">
        <f>IFERROR(_xll.ciqfunctions.udf.CIQ($G1539,$I1539,L114,Valuation_Date_GC,"LFR",DataMode,$H1539,FXMode)*Scale-L580,"--")</f>
        <v>--</v>
      </c>
      <c r="M1539" s="2301" t="str">
        <f>IFERROR(_xll.ciqfunctions.udf.CIQ($G1539,$I1539,M114,Valuation_Date_GC,"LFR",DataMode,$H1539,FXMode)*Scale-M580,"--")</f>
        <v>--</v>
      </c>
      <c r="N1539" s="2301" t="str">
        <f>IFERROR(_xll.ciqfunctions.udf.CIQ($G1539,$I1539,N114,Valuation_Date_GC,"LFR",DataMode,$H1539,FXMode)*Scale-N580,"--")</f>
        <v>--</v>
      </c>
      <c r="O1539" s="2317" t="str">
        <f>IFERROR(_xll.ciqfunctions.udf.CIQ($G1539,$I1539,O114,Valuation_Date_GC,"LFR",DataMode,$H1539,FXMode)*Scale-O580,"--")</f>
        <v>--</v>
      </c>
      <c r="P1539" s="2301" t="str">
        <f>IFERROR(_xll.ciqfunctions.udf.CIQ($G1539,$I1539,P114,Valuation_Date_GC,"LFR",DataMode,$H1539,FXMode)*Scale-P580,"--")</f>
        <v>--</v>
      </c>
      <c r="Q1539" s="2060"/>
      <c r="R1539" s="2060"/>
      <c r="S1539" s="2060"/>
      <c r="T1539" s="2060"/>
      <c r="U1539" s="2060"/>
      <c r="V1539" s="2060"/>
      <c r="W1539" s="2060"/>
      <c r="X1539" s="2060"/>
      <c r="Y1539" s="2060"/>
      <c r="Z1539" s="2060"/>
      <c r="AA1539" s="2060"/>
      <c r="AB1539" s="2060"/>
      <c r="AC1539" s="2060"/>
      <c r="AD1539" s="2060"/>
      <c r="AE1539" s="2060"/>
      <c r="AF1539" s="2060"/>
      <c r="AG1539" s="2060"/>
      <c r="AH1539" s="2060"/>
    </row>
    <row r="1540" spans="1:320" s="89" customFormat="1" ht="13.9">
      <c r="A1540" s="269" t="str">
        <f t="shared" si="436"/>
        <v>n</v>
      </c>
      <c r="B1540" s="2060"/>
      <c r="D1540" s="801"/>
      <c r="E1540" s="1505">
        <v>16</v>
      </c>
      <c r="F1540" s="21" t="str">
        <f>F$144</f>
        <v>--</v>
      </c>
      <c r="G1540" s="1441">
        <f>G$144</f>
        <v>0</v>
      </c>
      <c r="H1540" s="1441" t="str">
        <f>H$144</f>
        <v>--</v>
      </c>
      <c r="I1540" s="1513" t="s">
        <v>803</v>
      </c>
      <c r="J1540" s="2301" t="str">
        <f>IFERROR(_xll.ciqfunctions.udf.CIQ($G1540,$I1540,J115,Valuation_Date_GC,"LFR",DataMode,$H1540,FXMode)*Scale-J581,"--")</f>
        <v>--</v>
      </c>
      <c r="K1540" s="2301" t="str">
        <f>IFERROR(_xll.ciqfunctions.udf.CIQ($G1540,$I1540,K115,Valuation_Date_GC,"LFR",DataMode,$H1540,FXMode)*Scale-K581,"--")</f>
        <v>--</v>
      </c>
      <c r="L1540" s="2301" t="str">
        <f>IFERROR(_xll.ciqfunctions.udf.CIQ($G1540,$I1540,L115,Valuation_Date_GC,"LFR",DataMode,$H1540,FXMode)*Scale-L581,"--")</f>
        <v>--</v>
      </c>
      <c r="M1540" s="2301" t="str">
        <f>IFERROR(_xll.ciqfunctions.udf.CIQ($G1540,$I1540,M115,Valuation_Date_GC,"LFR",DataMode,$H1540,FXMode)*Scale-M581,"--")</f>
        <v>--</v>
      </c>
      <c r="N1540" s="2301" t="str">
        <f>IFERROR(_xll.ciqfunctions.udf.CIQ($G1540,$I1540,N115,Valuation_Date_GC,"LFR",DataMode,$H1540,FXMode)*Scale-N581,"--")</f>
        <v>--</v>
      </c>
      <c r="O1540" s="2317" t="str">
        <f>IFERROR(_xll.ciqfunctions.udf.CIQ($G1540,$I1540,O115,Valuation_Date_GC,"LFR",DataMode,$H1540,FXMode)*Scale-O581,"--")</f>
        <v>--</v>
      </c>
      <c r="P1540" s="2301" t="str">
        <f>IFERROR(_xll.ciqfunctions.udf.CIQ($G1540,$I1540,P115,Valuation_Date_GC,"LFR",DataMode,$H1540,FXMode)*Scale-P581,"--")</f>
        <v>--</v>
      </c>
      <c r="Q1540" s="2060"/>
      <c r="R1540" s="2060"/>
      <c r="S1540" s="2060"/>
      <c r="T1540" s="2060"/>
      <c r="U1540" s="2060"/>
      <c r="V1540" s="2060"/>
      <c r="W1540" s="2060"/>
      <c r="X1540" s="2060"/>
      <c r="Y1540" s="2060"/>
      <c r="Z1540" s="2060"/>
      <c r="AA1540" s="2060"/>
      <c r="AB1540" s="2060"/>
      <c r="AC1540" s="2060"/>
      <c r="AD1540" s="2060"/>
      <c r="AE1540" s="2060"/>
      <c r="AF1540" s="2060"/>
      <c r="AG1540" s="2060"/>
      <c r="AH1540" s="2060"/>
    </row>
    <row r="1541" spans="1:320" s="89" customFormat="1" ht="13.9">
      <c r="A1541" s="269" t="str">
        <f t="shared" si="436"/>
        <v>n</v>
      </c>
      <c r="B1541" s="2060"/>
      <c r="D1541" s="801"/>
      <c r="E1541" s="1505">
        <v>17</v>
      </c>
      <c r="F1541" s="21" t="str">
        <f>F$145</f>
        <v>--</v>
      </c>
      <c r="G1541" s="1441">
        <f>G$145</f>
        <v>0</v>
      </c>
      <c r="H1541" s="1441" t="str">
        <f>H$145</f>
        <v>--</v>
      </c>
      <c r="I1541" s="1513" t="s">
        <v>803</v>
      </c>
      <c r="J1541" s="2301" t="str">
        <f>IFERROR(_xll.ciqfunctions.udf.CIQ($G1541,$I1541,J116,Valuation_Date_GC,"LFR",DataMode,$H1541,FXMode)*Scale-J582,"--")</f>
        <v>--</v>
      </c>
      <c r="K1541" s="2301" t="str">
        <f>IFERROR(_xll.ciqfunctions.udf.CIQ($G1541,$I1541,K116,Valuation_Date_GC,"LFR",DataMode,$H1541,FXMode)*Scale-K582,"--")</f>
        <v>--</v>
      </c>
      <c r="L1541" s="2301" t="str">
        <f>IFERROR(_xll.ciqfunctions.udf.CIQ($G1541,$I1541,L116,Valuation_Date_GC,"LFR",DataMode,$H1541,FXMode)*Scale-L582,"--")</f>
        <v>--</v>
      </c>
      <c r="M1541" s="2301" t="str">
        <f>IFERROR(_xll.ciqfunctions.udf.CIQ($G1541,$I1541,M116,Valuation_Date_GC,"LFR",DataMode,$H1541,FXMode)*Scale-M582,"--")</f>
        <v>--</v>
      </c>
      <c r="N1541" s="2301" t="str">
        <f>IFERROR(_xll.ciqfunctions.udf.CIQ($G1541,$I1541,N116,Valuation_Date_GC,"LFR",DataMode,$H1541,FXMode)*Scale-N582,"--")</f>
        <v>--</v>
      </c>
      <c r="O1541" s="2317" t="str">
        <f>IFERROR(_xll.ciqfunctions.udf.CIQ($G1541,$I1541,O116,Valuation_Date_GC,"LFR",DataMode,$H1541,FXMode)*Scale-O582,"--")</f>
        <v>--</v>
      </c>
      <c r="P1541" s="2301" t="str">
        <f>IFERROR(_xll.ciqfunctions.udf.CIQ($G1541,$I1541,P116,Valuation_Date_GC,"LFR",DataMode,$H1541,FXMode)*Scale-P582,"--")</f>
        <v>--</v>
      </c>
      <c r="Q1541" s="2060"/>
      <c r="R1541" s="2060"/>
      <c r="S1541" s="2060"/>
      <c r="T1541" s="2060"/>
      <c r="U1541" s="2060"/>
      <c r="V1541" s="2060"/>
      <c r="W1541" s="2060"/>
      <c r="X1541" s="2060"/>
      <c r="Y1541" s="2060"/>
      <c r="Z1541" s="2060"/>
      <c r="AA1541" s="2060"/>
      <c r="AB1541" s="2060"/>
      <c r="AC1541" s="2060"/>
      <c r="AD1541" s="2060"/>
      <c r="AE1541" s="2060"/>
      <c r="AF1541" s="2060"/>
      <c r="AG1541" s="2060"/>
      <c r="AH1541" s="2060"/>
    </row>
    <row r="1542" spans="1:320" s="89" customFormat="1" ht="13.9">
      <c r="A1542" s="269" t="str">
        <f t="shared" si="436"/>
        <v>n</v>
      </c>
      <c r="B1542" s="2060"/>
      <c r="D1542" s="801"/>
      <c r="E1542" s="1505">
        <v>18</v>
      </c>
      <c r="F1542" s="21" t="str">
        <f>F$146</f>
        <v>--</v>
      </c>
      <c r="G1542" s="1441">
        <f>G$146</f>
        <v>0</v>
      </c>
      <c r="H1542" s="1441" t="str">
        <f>H$146</f>
        <v>--</v>
      </c>
      <c r="I1542" s="1513" t="s">
        <v>803</v>
      </c>
      <c r="J1542" s="2301" t="str">
        <f>IFERROR(_xll.ciqfunctions.udf.CIQ($G1542,$I1542,J117,Valuation_Date_GC,"LFR",DataMode,$H1542,FXMode)*Scale-J583,"--")</f>
        <v>--</v>
      </c>
      <c r="K1542" s="2301" t="str">
        <f>IFERROR(_xll.ciqfunctions.udf.CIQ($G1542,$I1542,K117,Valuation_Date_GC,"LFR",DataMode,$H1542,FXMode)*Scale-K583,"--")</f>
        <v>--</v>
      </c>
      <c r="L1542" s="2301" t="str">
        <f>IFERROR(_xll.ciqfunctions.udf.CIQ($G1542,$I1542,L117,Valuation_Date_GC,"LFR",DataMode,$H1542,FXMode)*Scale-L583,"--")</f>
        <v>--</v>
      </c>
      <c r="M1542" s="2301" t="str">
        <f>IFERROR(_xll.ciqfunctions.udf.CIQ($G1542,$I1542,M117,Valuation_Date_GC,"LFR",DataMode,$H1542,FXMode)*Scale-M583,"--")</f>
        <v>--</v>
      </c>
      <c r="N1542" s="2301" t="str">
        <f>IFERROR(_xll.ciqfunctions.udf.CIQ($G1542,$I1542,N117,Valuation_Date_GC,"LFR",DataMode,$H1542,FXMode)*Scale-N583,"--")</f>
        <v>--</v>
      </c>
      <c r="O1542" s="2317" t="str">
        <f>IFERROR(_xll.ciqfunctions.udf.CIQ($G1542,$I1542,O117,Valuation_Date_GC,"LFR",DataMode,$H1542,FXMode)*Scale-O583,"--")</f>
        <v>--</v>
      </c>
      <c r="P1542" s="2301" t="str">
        <f>IFERROR(_xll.ciqfunctions.udf.CIQ($G1542,$I1542,P117,Valuation_Date_GC,"LFR",DataMode,$H1542,FXMode)*Scale-P583,"--")</f>
        <v>--</v>
      </c>
      <c r="Q1542" s="2060"/>
      <c r="R1542" s="2060"/>
      <c r="S1542" s="2060"/>
      <c r="T1542" s="2060"/>
      <c r="U1542" s="2060"/>
      <c r="V1542" s="2060"/>
      <c r="W1542" s="2060"/>
      <c r="X1542" s="2060"/>
      <c r="Y1542" s="2060"/>
      <c r="Z1542" s="2060"/>
      <c r="AA1542" s="2060"/>
      <c r="AB1542" s="2060"/>
      <c r="AC1542" s="2060"/>
      <c r="AD1542" s="2060"/>
      <c r="AE1542" s="2060"/>
      <c r="AF1542" s="2060"/>
      <c r="AG1542" s="2060"/>
      <c r="AH1542" s="2060"/>
    </row>
    <row r="1543" spans="1:320" s="89" customFormat="1" ht="13.9">
      <c r="A1543" s="269" t="str">
        <f t="shared" si="436"/>
        <v>n</v>
      </c>
      <c r="B1543" s="2060"/>
      <c r="D1543" s="801"/>
      <c r="E1543" s="1505">
        <v>19</v>
      </c>
      <c r="F1543" s="21" t="str">
        <f>F$147</f>
        <v>--</v>
      </c>
      <c r="G1543" s="1441">
        <f>G$147</f>
        <v>0</v>
      </c>
      <c r="H1543" s="1441" t="str">
        <f>H$147</f>
        <v>--</v>
      </c>
      <c r="I1543" s="1513" t="s">
        <v>803</v>
      </c>
      <c r="J1543" s="2301" t="str">
        <f>IFERROR(_xll.ciqfunctions.udf.CIQ($G1543,$I1543,J118,Valuation_Date_GC,"LFR",DataMode,$H1543,FXMode)*Scale-J584,"--")</f>
        <v>--</v>
      </c>
      <c r="K1543" s="2301" t="str">
        <f>IFERROR(_xll.ciqfunctions.udf.CIQ($G1543,$I1543,K118,Valuation_Date_GC,"LFR",DataMode,$H1543,FXMode)*Scale-K584,"--")</f>
        <v>--</v>
      </c>
      <c r="L1543" s="2301" t="str">
        <f>IFERROR(_xll.ciqfunctions.udf.CIQ($G1543,$I1543,L118,Valuation_Date_GC,"LFR",DataMode,$H1543,FXMode)*Scale-L584,"--")</f>
        <v>--</v>
      </c>
      <c r="M1543" s="2301" t="str">
        <f>IFERROR(_xll.ciqfunctions.udf.CIQ($G1543,$I1543,M118,Valuation_Date_GC,"LFR",DataMode,$H1543,FXMode)*Scale-M584,"--")</f>
        <v>--</v>
      </c>
      <c r="N1543" s="2301" t="str">
        <f>IFERROR(_xll.ciqfunctions.udf.CIQ($G1543,$I1543,N118,Valuation_Date_GC,"LFR",DataMode,$H1543,FXMode)*Scale-N584,"--")</f>
        <v>--</v>
      </c>
      <c r="O1543" s="2317" t="str">
        <f>IFERROR(_xll.ciqfunctions.udf.CIQ($G1543,$I1543,O118,Valuation_Date_GC,"LFR",DataMode,$H1543,FXMode)*Scale-O584,"--")</f>
        <v>--</v>
      </c>
      <c r="P1543" s="2301" t="str">
        <f>IFERROR(_xll.ciqfunctions.udf.CIQ($G1543,$I1543,P118,Valuation_Date_GC,"LFR",DataMode,$H1543,FXMode)*Scale-P584,"--")</f>
        <v>--</v>
      </c>
      <c r="Q1543" s="2060"/>
      <c r="R1543" s="2060"/>
      <c r="S1543" s="2060"/>
      <c r="T1543" s="2060"/>
      <c r="U1543" s="2060"/>
      <c r="V1543" s="2060"/>
      <c r="W1543" s="2060"/>
      <c r="X1543" s="2060"/>
      <c r="Y1543" s="2060"/>
      <c r="Z1543" s="2060"/>
      <c r="AA1543" s="2060"/>
      <c r="AB1543" s="2060"/>
      <c r="AC1543" s="2060"/>
      <c r="AD1543" s="2060"/>
      <c r="AE1543" s="2060"/>
      <c r="AF1543" s="2060"/>
      <c r="AG1543" s="2060"/>
      <c r="AH1543" s="2060"/>
    </row>
    <row r="1544" spans="1:320" s="89" customFormat="1" ht="13.9">
      <c r="A1544" s="269" t="str">
        <f t="shared" si="436"/>
        <v>n</v>
      </c>
      <c r="B1544" s="2060"/>
      <c r="D1544" s="801"/>
      <c r="E1544" s="1505">
        <v>20</v>
      </c>
      <c r="F1544" s="21" t="str">
        <f>F$148</f>
        <v>--</v>
      </c>
      <c r="G1544" s="1441">
        <f>G$148</f>
        <v>0</v>
      </c>
      <c r="H1544" s="1441" t="str">
        <f>H$148</f>
        <v>--</v>
      </c>
      <c r="I1544" s="1513" t="s">
        <v>803</v>
      </c>
      <c r="J1544" s="2301" t="str">
        <f>IFERROR(_xll.ciqfunctions.udf.CIQ($G1544,$I1544,J119,Valuation_Date_GC,"LFR",DataMode,$H1544,FXMode)*Scale-J585,"--")</f>
        <v>--</v>
      </c>
      <c r="K1544" s="2301" t="str">
        <f>IFERROR(_xll.ciqfunctions.udf.CIQ($G1544,$I1544,K119,Valuation_Date_GC,"LFR",DataMode,$H1544,FXMode)*Scale-K585,"--")</f>
        <v>--</v>
      </c>
      <c r="L1544" s="2301" t="str">
        <f>IFERROR(_xll.ciqfunctions.udf.CIQ($G1544,$I1544,L119,Valuation_Date_GC,"LFR",DataMode,$H1544,FXMode)*Scale-L585,"--")</f>
        <v>--</v>
      </c>
      <c r="M1544" s="2301" t="str">
        <f>IFERROR(_xll.ciqfunctions.udf.CIQ($G1544,$I1544,M119,Valuation_Date_GC,"LFR",DataMode,$H1544,FXMode)*Scale-M585,"--")</f>
        <v>--</v>
      </c>
      <c r="N1544" s="2301" t="str">
        <f>IFERROR(_xll.ciqfunctions.udf.CIQ($G1544,$I1544,N119,Valuation_Date_GC,"LFR",DataMode,$H1544,FXMode)*Scale-N585,"--")</f>
        <v>--</v>
      </c>
      <c r="O1544" s="2317" t="str">
        <f>IFERROR(_xll.ciqfunctions.udf.CIQ($G1544,$I1544,O119,Valuation_Date_GC,"LFR",DataMode,$H1544,FXMode)*Scale-O585,"--")</f>
        <v>--</v>
      </c>
      <c r="P1544" s="2301" t="str">
        <f>IFERROR(_xll.ciqfunctions.udf.CIQ($G1544,$I1544,P119,Valuation_Date_GC,"LFR",DataMode,$H1544,FXMode)*Scale-P585,"--")</f>
        <v>--</v>
      </c>
      <c r="Q1544" s="2060"/>
      <c r="R1544" s="2060"/>
      <c r="S1544" s="2060"/>
      <c r="T1544" s="2060"/>
      <c r="U1544" s="2060"/>
      <c r="V1544" s="2060"/>
      <c r="W1544" s="2060"/>
      <c r="X1544" s="2060"/>
      <c r="Y1544" s="2060"/>
      <c r="Z1544" s="2060"/>
      <c r="AA1544" s="2060"/>
      <c r="AB1544" s="2060"/>
      <c r="AC1544" s="2060"/>
      <c r="AD1544" s="2060"/>
      <c r="AE1544" s="2060"/>
      <c r="AF1544" s="2060"/>
      <c r="AG1544" s="2060"/>
      <c r="AH1544" s="2060"/>
    </row>
    <row r="1545" spans="1:320" s="89" customFormat="1" ht="13.9">
      <c r="A1545" s="269" t="str">
        <f t="shared" si="436"/>
        <v>n</v>
      </c>
      <c r="B1545" s="2060"/>
      <c r="D1545" s="801"/>
      <c r="E1545" s="1505">
        <v>21</v>
      </c>
      <c r="F1545" s="21" t="str">
        <f>F$149</f>
        <v>--</v>
      </c>
      <c r="G1545" s="1441">
        <f>G$149</f>
        <v>0</v>
      </c>
      <c r="H1545" s="1441" t="str">
        <f>H$149</f>
        <v>--</v>
      </c>
      <c r="I1545" s="1513" t="s">
        <v>803</v>
      </c>
      <c r="J1545" s="2301" t="str">
        <f>IFERROR(_xll.ciqfunctions.udf.CIQ($G1545,$I1545,J120,Valuation_Date_GC,"LFR",DataMode,$H1545,FXMode)*Scale-J586,"--")</f>
        <v>--</v>
      </c>
      <c r="K1545" s="2301" t="str">
        <f>IFERROR(_xll.ciqfunctions.udf.CIQ($G1545,$I1545,K120,Valuation_Date_GC,"LFR",DataMode,$H1545,FXMode)*Scale-K586,"--")</f>
        <v>--</v>
      </c>
      <c r="L1545" s="2301" t="str">
        <f>IFERROR(_xll.ciqfunctions.udf.CIQ($G1545,$I1545,L120,Valuation_Date_GC,"LFR",DataMode,$H1545,FXMode)*Scale-L586,"--")</f>
        <v>--</v>
      </c>
      <c r="M1545" s="2301" t="str">
        <f>IFERROR(_xll.ciqfunctions.udf.CIQ($G1545,$I1545,M120,Valuation_Date_GC,"LFR",DataMode,$H1545,FXMode)*Scale-M586,"--")</f>
        <v>--</v>
      </c>
      <c r="N1545" s="2301" t="str">
        <f>IFERROR(_xll.ciqfunctions.udf.CIQ($G1545,$I1545,N120,Valuation_Date_GC,"LFR",DataMode,$H1545,FXMode)*Scale-N586,"--")</f>
        <v>--</v>
      </c>
      <c r="O1545" s="2317" t="str">
        <f>IFERROR(_xll.ciqfunctions.udf.CIQ($G1545,$I1545,O120,Valuation_Date_GC,"LFR",DataMode,$H1545,FXMode)*Scale-O586,"--")</f>
        <v>--</v>
      </c>
      <c r="P1545" s="2301" t="str">
        <f>IFERROR(_xll.ciqfunctions.udf.CIQ($G1545,$I1545,P120,Valuation_Date_GC,"LFR",DataMode,$H1545,FXMode)*Scale-P586,"--")</f>
        <v>--</v>
      </c>
      <c r="Q1545" s="2060"/>
      <c r="R1545" s="2060"/>
      <c r="S1545" s="2060"/>
      <c r="T1545" s="2060"/>
      <c r="U1545" s="2060"/>
      <c r="V1545" s="2060"/>
      <c r="W1545" s="2060"/>
      <c r="X1545" s="2060"/>
      <c r="Y1545" s="2060"/>
      <c r="Z1545" s="2060"/>
      <c r="AA1545" s="2060"/>
      <c r="AB1545" s="2060"/>
      <c r="AC1545" s="2060"/>
      <c r="AD1545" s="2060"/>
      <c r="AE1545" s="2060"/>
      <c r="AF1545" s="2060"/>
      <c r="AG1545" s="2060"/>
      <c r="AH1545" s="2060"/>
    </row>
    <row r="1546" spans="1:320" s="89" customFormat="1" ht="13.9">
      <c r="A1546" s="269" t="str">
        <f t="shared" si="436"/>
        <v>n</v>
      </c>
      <c r="B1546" s="2060"/>
      <c r="D1546" s="801"/>
      <c r="E1546" s="1505">
        <v>22</v>
      </c>
      <c r="F1546" s="21" t="str">
        <f>F$150</f>
        <v>--</v>
      </c>
      <c r="G1546" s="1441">
        <f>G$150</f>
        <v>0</v>
      </c>
      <c r="H1546" s="1441" t="str">
        <f>H$150</f>
        <v>--</v>
      </c>
      <c r="I1546" s="1513" t="s">
        <v>803</v>
      </c>
      <c r="J1546" s="2301" t="str">
        <f>IFERROR(_xll.ciqfunctions.udf.CIQ($G1546,$I1546,J121,Valuation_Date_GC,"LFR",DataMode,$H1546,FXMode)*Scale-J587,"--")</f>
        <v>--</v>
      </c>
      <c r="K1546" s="2301" t="str">
        <f>IFERROR(_xll.ciqfunctions.udf.CIQ($G1546,$I1546,K121,Valuation_Date_GC,"LFR",DataMode,$H1546,FXMode)*Scale-K587,"--")</f>
        <v>--</v>
      </c>
      <c r="L1546" s="2301" t="str">
        <f>IFERROR(_xll.ciqfunctions.udf.CIQ($G1546,$I1546,L121,Valuation_Date_GC,"LFR",DataMode,$H1546,FXMode)*Scale-L587,"--")</f>
        <v>--</v>
      </c>
      <c r="M1546" s="2301" t="str">
        <f>IFERROR(_xll.ciqfunctions.udf.CIQ($G1546,$I1546,M121,Valuation_Date_GC,"LFR",DataMode,$H1546,FXMode)*Scale-M587,"--")</f>
        <v>--</v>
      </c>
      <c r="N1546" s="2301" t="str">
        <f>IFERROR(_xll.ciqfunctions.udf.CIQ($G1546,$I1546,N121,Valuation_Date_GC,"LFR",DataMode,$H1546,FXMode)*Scale-N587,"--")</f>
        <v>--</v>
      </c>
      <c r="O1546" s="2317" t="str">
        <f>IFERROR(_xll.ciqfunctions.udf.CIQ($G1546,$I1546,O121,Valuation_Date_GC,"LFR",DataMode,$H1546,FXMode)*Scale-O587,"--")</f>
        <v>--</v>
      </c>
      <c r="P1546" s="2301" t="str">
        <f>IFERROR(_xll.ciqfunctions.udf.CIQ($G1546,$I1546,P121,Valuation_Date_GC,"LFR",DataMode,$H1546,FXMode)*Scale-P587,"--")</f>
        <v>--</v>
      </c>
      <c r="Q1546" s="2060"/>
      <c r="R1546" s="2060"/>
      <c r="S1546" s="2060"/>
      <c r="T1546" s="2060"/>
      <c r="U1546" s="2060"/>
      <c r="V1546" s="2060"/>
      <c r="W1546" s="2060"/>
      <c r="X1546" s="2060"/>
      <c r="Y1546" s="2060"/>
      <c r="Z1546" s="2060"/>
      <c r="AA1546" s="2060"/>
      <c r="AB1546" s="2060"/>
      <c r="AC1546" s="2060"/>
      <c r="AD1546" s="2060"/>
      <c r="AE1546" s="2060"/>
      <c r="AF1546" s="2060"/>
      <c r="AG1546" s="2060"/>
      <c r="AH1546" s="2060"/>
    </row>
    <row r="1547" spans="1:320" s="89" customFormat="1" ht="13.9">
      <c r="A1547" s="269" t="str">
        <f t="shared" si="436"/>
        <v>n</v>
      </c>
      <c r="B1547" s="2060"/>
      <c r="D1547" s="801"/>
      <c r="E1547" s="1505">
        <v>23</v>
      </c>
      <c r="F1547" s="21" t="str">
        <f>F$151</f>
        <v>--</v>
      </c>
      <c r="G1547" s="1441">
        <f>G$151</f>
        <v>0</v>
      </c>
      <c r="H1547" s="1441" t="str">
        <f>H$151</f>
        <v>--</v>
      </c>
      <c r="I1547" s="1513" t="s">
        <v>803</v>
      </c>
      <c r="J1547" s="2301" t="str">
        <f>IFERROR(_xll.ciqfunctions.udf.CIQ($G1547,$I1547,J122,Valuation_Date_GC,"LFR",DataMode,$H1547,FXMode)*Scale-J588,"--")</f>
        <v>--</v>
      </c>
      <c r="K1547" s="2301" t="str">
        <f>IFERROR(_xll.ciqfunctions.udf.CIQ($G1547,$I1547,K122,Valuation_Date_GC,"LFR",DataMode,$H1547,FXMode)*Scale-K588,"--")</f>
        <v>--</v>
      </c>
      <c r="L1547" s="2301" t="str">
        <f>IFERROR(_xll.ciqfunctions.udf.CIQ($G1547,$I1547,L122,Valuation_Date_GC,"LFR",DataMode,$H1547,FXMode)*Scale-L588,"--")</f>
        <v>--</v>
      </c>
      <c r="M1547" s="2301" t="str">
        <f>IFERROR(_xll.ciqfunctions.udf.CIQ($G1547,$I1547,M122,Valuation_Date_GC,"LFR",DataMode,$H1547,FXMode)*Scale-M588,"--")</f>
        <v>--</v>
      </c>
      <c r="N1547" s="2301" t="str">
        <f>IFERROR(_xll.ciqfunctions.udf.CIQ($G1547,$I1547,N122,Valuation_Date_GC,"LFR",DataMode,$H1547,FXMode)*Scale-N588,"--")</f>
        <v>--</v>
      </c>
      <c r="O1547" s="2317" t="str">
        <f>IFERROR(_xll.ciqfunctions.udf.CIQ($G1547,$I1547,O122,Valuation_Date_GC,"LFR",DataMode,$H1547,FXMode)*Scale-O588,"--")</f>
        <v>--</v>
      </c>
      <c r="P1547" s="2301" t="str">
        <f>IFERROR(_xll.ciqfunctions.udf.CIQ($G1547,$I1547,P122,Valuation_Date_GC,"LFR",DataMode,$H1547,FXMode)*Scale-P588,"--")</f>
        <v>--</v>
      </c>
      <c r="Q1547" s="2060"/>
      <c r="R1547" s="2060"/>
      <c r="S1547" s="2060"/>
      <c r="T1547" s="2060"/>
      <c r="U1547" s="2060"/>
      <c r="V1547" s="2060"/>
      <c r="W1547" s="2060"/>
      <c r="X1547" s="2060"/>
      <c r="Y1547" s="2060"/>
      <c r="Z1547" s="2060"/>
      <c r="AA1547" s="2060"/>
      <c r="AB1547" s="2060"/>
      <c r="AC1547" s="2060"/>
      <c r="AD1547" s="2060"/>
      <c r="AE1547" s="2060"/>
      <c r="AF1547" s="2060"/>
      <c r="AG1547" s="2060"/>
      <c r="AH1547" s="2060"/>
    </row>
    <row r="1548" spans="1:320" s="89" customFormat="1" ht="13.9">
      <c r="A1548" s="269" t="str">
        <f t="shared" si="436"/>
        <v>n</v>
      </c>
      <c r="B1548" s="2060"/>
      <c r="D1548" s="801"/>
      <c r="E1548" s="1505">
        <v>24</v>
      </c>
      <c r="F1548" s="21" t="str">
        <f>F$152</f>
        <v>--</v>
      </c>
      <c r="G1548" s="1441">
        <f>G$152</f>
        <v>0</v>
      </c>
      <c r="H1548" s="1441" t="str">
        <f>H$152</f>
        <v>--</v>
      </c>
      <c r="I1548" s="1513" t="s">
        <v>803</v>
      </c>
      <c r="J1548" s="2301" t="str">
        <f>IFERROR(_xll.ciqfunctions.udf.CIQ($G1548,$I1548,J123,Valuation_Date_GC,"LFR",DataMode,$H1548,FXMode)*Scale-J589,"--")</f>
        <v>--</v>
      </c>
      <c r="K1548" s="2301" t="str">
        <f>IFERROR(_xll.ciqfunctions.udf.CIQ($G1548,$I1548,K123,Valuation_Date_GC,"LFR",DataMode,$H1548,FXMode)*Scale-K589,"--")</f>
        <v>--</v>
      </c>
      <c r="L1548" s="2301" t="str">
        <f>IFERROR(_xll.ciqfunctions.udf.CIQ($G1548,$I1548,L123,Valuation_Date_GC,"LFR",DataMode,$H1548,FXMode)*Scale-L589,"--")</f>
        <v>--</v>
      </c>
      <c r="M1548" s="2301" t="str">
        <f>IFERROR(_xll.ciqfunctions.udf.CIQ($G1548,$I1548,M123,Valuation_Date_GC,"LFR",DataMode,$H1548,FXMode)*Scale-M589,"--")</f>
        <v>--</v>
      </c>
      <c r="N1548" s="2301" t="str">
        <f>IFERROR(_xll.ciqfunctions.udf.CIQ($G1548,$I1548,N123,Valuation_Date_GC,"LFR",DataMode,$H1548,FXMode)*Scale-N589,"--")</f>
        <v>--</v>
      </c>
      <c r="O1548" s="2317" t="str">
        <f>IFERROR(_xll.ciqfunctions.udf.CIQ($G1548,$I1548,O123,Valuation_Date_GC,"LFR",DataMode,$H1548,FXMode)*Scale-O589,"--")</f>
        <v>--</v>
      </c>
      <c r="P1548" s="2301" t="str">
        <f>IFERROR(_xll.ciqfunctions.udf.CIQ($G1548,$I1548,P123,Valuation_Date_GC,"LFR",DataMode,$H1548,FXMode)*Scale-P589,"--")</f>
        <v>--</v>
      </c>
      <c r="Q1548" s="2060"/>
      <c r="R1548" s="2060"/>
      <c r="S1548" s="2060"/>
      <c r="T1548" s="2060"/>
      <c r="U1548" s="2060"/>
      <c r="V1548" s="2060"/>
      <c r="W1548" s="2060"/>
      <c r="X1548" s="2060"/>
      <c r="Y1548" s="2060"/>
      <c r="Z1548" s="2060"/>
      <c r="AA1548" s="2060"/>
      <c r="AB1548" s="2060"/>
      <c r="AC1548" s="2060"/>
      <c r="AD1548" s="2060"/>
      <c r="AE1548" s="2060"/>
      <c r="AF1548" s="2060"/>
      <c r="AG1548" s="2060"/>
      <c r="AH1548" s="2060"/>
    </row>
    <row r="1549" spans="1:320" s="89" customFormat="1" ht="13.9">
      <c r="A1549" s="269" t="str">
        <f t="shared" si="436"/>
        <v>n</v>
      </c>
      <c r="B1549" s="2060"/>
      <c r="D1549" s="801"/>
      <c r="E1549" s="1505">
        <v>25</v>
      </c>
      <c r="F1549" s="21" t="str">
        <f>F$153</f>
        <v>--</v>
      </c>
      <c r="G1549" s="1441">
        <f>G$153</f>
        <v>0</v>
      </c>
      <c r="H1549" s="1441" t="str">
        <f>H$153</f>
        <v>--</v>
      </c>
      <c r="I1549" s="1513" t="s">
        <v>803</v>
      </c>
      <c r="J1549" s="2301" t="str">
        <f>IFERROR(_xll.ciqfunctions.udf.CIQ($G1549,$I1549,J124,Valuation_Date_GC,"LFR",DataMode,$H1549,FXMode)*Scale-J590,"--")</f>
        <v>--</v>
      </c>
      <c r="K1549" s="2301" t="str">
        <f>IFERROR(_xll.ciqfunctions.udf.CIQ($G1549,$I1549,K124,Valuation_Date_GC,"LFR",DataMode,$H1549,FXMode)*Scale-K590,"--")</f>
        <v>--</v>
      </c>
      <c r="L1549" s="2301" t="str">
        <f>IFERROR(_xll.ciqfunctions.udf.CIQ($G1549,$I1549,L124,Valuation_Date_GC,"LFR",DataMode,$H1549,FXMode)*Scale-L590,"--")</f>
        <v>--</v>
      </c>
      <c r="M1549" s="2301" t="str">
        <f>IFERROR(_xll.ciqfunctions.udf.CIQ($G1549,$I1549,M124,Valuation_Date_GC,"LFR",DataMode,$H1549,FXMode)*Scale-M590,"--")</f>
        <v>--</v>
      </c>
      <c r="N1549" s="2301" t="str">
        <f>IFERROR(_xll.ciqfunctions.udf.CIQ($G1549,$I1549,N124,Valuation_Date_GC,"LFR",DataMode,$H1549,FXMode)*Scale-N590,"--")</f>
        <v>--</v>
      </c>
      <c r="O1549" s="2317" t="str">
        <f>IFERROR(_xll.ciqfunctions.udf.CIQ($G1549,$I1549,O124,Valuation_Date_GC,"LFR",DataMode,$H1549,FXMode)*Scale-O590,"--")</f>
        <v>--</v>
      </c>
      <c r="P1549" s="2301" t="str">
        <f>IFERROR(_xll.ciqfunctions.udf.CIQ($G1549,$I1549,P124,Valuation_Date_GC,"LFR",DataMode,$H1549,FXMode)*Scale-P590,"--")</f>
        <v>--</v>
      </c>
      <c r="Q1549" s="2060"/>
      <c r="R1549" s="2060"/>
      <c r="S1549" s="2060"/>
      <c r="T1549" s="2060"/>
      <c r="U1549" s="2060"/>
      <c r="V1549" s="2060"/>
      <c r="W1549" s="2060"/>
      <c r="X1549" s="2060"/>
      <c r="Y1549" s="2060"/>
      <c r="Z1549" s="2060"/>
      <c r="AA1549" s="2060"/>
      <c r="AB1549" s="2060"/>
      <c r="AC1549" s="2060"/>
      <c r="AD1549" s="2060"/>
      <c r="AE1549" s="2060"/>
      <c r="AF1549" s="2060"/>
      <c r="AG1549" s="2060"/>
      <c r="AH1549" s="2060"/>
    </row>
    <row r="1550" spans="1:320" s="89" customFormat="1" ht="13.9">
      <c r="A1550" s="2060"/>
      <c r="B1550" s="2060"/>
      <c r="D1550" s="801"/>
      <c r="F1550" s="57" t="s">
        <v>834</v>
      </c>
      <c r="G1550" s="1442"/>
      <c r="H1550" s="1442"/>
      <c r="I1550" s="1442">
        <f>(SUM(J1525:P1549)&lt;&gt;0)*1</f>
        <v>0</v>
      </c>
      <c r="J1550" s="1443">
        <f t="shared" ref="J1550:P1550" si="437">IF(SUM(J1525:J1549),J1523,0)</f>
        <v>0</v>
      </c>
      <c r="K1550" s="1443">
        <f t="shared" si="437"/>
        <v>0</v>
      </c>
      <c r="L1550" s="1443">
        <f t="shared" si="437"/>
        <v>0</v>
      </c>
      <c r="M1550" s="1443">
        <f>IF(SUM(M1525:M1549),M1523,0)</f>
        <v>0</v>
      </c>
      <c r="N1550" s="1443">
        <f t="shared" si="437"/>
        <v>0</v>
      </c>
      <c r="O1550" s="1443">
        <f t="shared" si="437"/>
        <v>0</v>
      </c>
      <c r="P1550" s="1443">
        <f t="shared" si="437"/>
        <v>0</v>
      </c>
      <c r="Q1550" s="2060"/>
      <c r="R1550" s="2060"/>
      <c r="S1550" s="2060"/>
      <c r="T1550" s="2060"/>
      <c r="U1550" s="2060"/>
      <c r="V1550" s="2060"/>
      <c r="W1550" s="2060"/>
      <c r="X1550" s="2060"/>
      <c r="Y1550" s="2060"/>
      <c r="Z1550" s="2060"/>
      <c r="AA1550" s="2060"/>
      <c r="AB1550" s="2060"/>
      <c r="AC1550" s="2060"/>
      <c r="AD1550" s="2060"/>
      <c r="AE1550" s="2060"/>
      <c r="AF1550" s="2060"/>
      <c r="AG1550" s="2060"/>
      <c r="AH1550" s="2060"/>
    </row>
    <row r="1551" spans="1:320" s="89" customFormat="1" ht="13.9">
      <c r="A1551" s="2060"/>
      <c r="B1551" s="2060"/>
      <c r="D1551" s="803"/>
      <c r="E1551" s="56"/>
      <c r="F1551" s="21"/>
      <c r="O1551" s="75"/>
      <c r="P1551" s="76"/>
      <c r="Q1551" s="2060"/>
      <c r="R1551" s="2060"/>
      <c r="S1551" s="2060"/>
      <c r="T1551" s="2060"/>
      <c r="U1551" s="2060"/>
      <c r="V1551" s="2060"/>
      <c r="W1551" s="2060"/>
      <c r="X1551" s="2060"/>
      <c r="Y1551" s="2060"/>
      <c r="Z1551" s="2060"/>
      <c r="AA1551" s="2060"/>
      <c r="AB1551" s="2060"/>
      <c r="AC1551" s="2060"/>
      <c r="AD1551" s="2060"/>
      <c r="AE1551" s="2060"/>
      <c r="AF1551" s="2060"/>
      <c r="AG1551" s="2060"/>
      <c r="AH1551" s="2060"/>
    </row>
    <row r="1552" spans="1:320" s="449" customFormat="1" ht="13.9">
      <c r="A1552" s="2060"/>
      <c r="B1552" s="2060"/>
      <c r="C1552" s="89"/>
      <c r="D1552" s="21"/>
      <c r="E1552" s="21"/>
      <c r="F1552" s="21"/>
      <c r="G1552" s="89"/>
      <c r="H1552" s="89"/>
      <c r="I1552" s="89"/>
      <c r="J1552" s="89"/>
      <c r="K1552" s="89"/>
      <c r="L1552" s="89"/>
      <c r="M1552" s="89"/>
      <c r="N1552" s="89"/>
      <c r="O1552" s="76"/>
      <c r="P1552" s="76"/>
      <c r="Q1552" s="89"/>
      <c r="R1552" s="521"/>
      <c r="S1552" s="89"/>
      <c r="T1552" s="89"/>
      <c r="U1552" s="89"/>
      <c r="V1552" s="89"/>
      <c r="W1552" s="89"/>
      <c r="X1552" s="89"/>
      <c r="Y1552" s="89"/>
      <c r="Z1552" s="89"/>
      <c r="AA1552" s="89"/>
      <c r="AB1552" s="89"/>
      <c r="AC1552" s="89"/>
      <c r="AD1552" s="89"/>
      <c r="AE1552" s="89"/>
      <c r="AF1552" s="89"/>
      <c r="AG1552" s="2060"/>
      <c r="AH1552" s="2060"/>
      <c r="AI1552" s="2060"/>
      <c r="AJ1552" s="2060"/>
      <c r="AK1552" s="2060"/>
      <c r="AL1552" s="2060"/>
      <c r="AM1552" s="2060"/>
      <c r="AN1552" s="2060"/>
      <c r="AO1552" s="2060"/>
      <c r="AP1552" s="2060"/>
      <c r="AQ1552" s="2060"/>
      <c r="AR1552" s="2060"/>
      <c r="AS1552" s="2060"/>
      <c r="AT1552" s="2060"/>
      <c r="AU1552" s="2060"/>
      <c r="AV1552" s="2060"/>
      <c r="AW1552" s="2060"/>
      <c r="AX1552" s="2060"/>
      <c r="AY1552" s="2060"/>
      <c r="AZ1552" s="2060"/>
      <c r="BA1552" s="2060"/>
      <c r="BB1552" s="2060"/>
      <c r="BC1552" s="2060"/>
      <c r="BD1552" s="2060"/>
      <c r="BE1552" s="2060"/>
      <c r="BF1552" s="2060"/>
      <c r="BG1552" s="2060"/>
      <c r="BH1552" s="2060"/>
      <c r="BI1552" s="2060"/>
      <c r="BJ1552" s="2060"/>
      <c r="BK1552" s="2060"/>
      <c r="BL1552" s="2060"/>
      <c r="BM1552" s="2060"/>
      <c r="BN1552" s="2060"/>
      <c r="BO1552" s="2060"/>
      <c r="BP1552" s="2060"/>
      <c r="BQ1552" s="2060"/>
      <c r="BR1552" s="2060"/>
      <c r="BS1552" s="2060"/>
      <c r="BT1552" s="2060"/>
      <c r="BU1552" s="2060"/>
      <c r="BV1552" s="2060"/>
      <c r="BW1552" s="2060"/>
      <c r="BX1552" s="2060"/>
      <c r="BY1552" s="2060"/>
      <c r="BZ1552" s="2060"/>
      <c r="CA1552" s="2060"/>
      <c r="CB1552" s="2060"/>
      <c r="CC1552" s="2060"/>
      <c r="CD1552" s="2060"/>
      <c r="CE1552" s="2060"/>
      <c r="CF1552" s="2060"/>
      <c r="CG1552" s="2060"/>
      <c r="CH1552" s="2060"/>
      <c r="CI1552" s="2060"/>
      <c r="CJ1552" s="2060"/>
      <c r="CK1552" s="2060"/>
      <c r="CL1552" s="2060"/>
      <c r="CM1552" s="2060"/>
      <c r="CN1552" s="2060"/>
      <c r="CO1552" s="2060"/>
      <c r="CP1552" s="2060"/>
      <c r="CQ1552" s="2060"/>
      <c r="CR1552" s="2060"/>
      <c r="CS1552" s="2060"/>
      <c r="CT1552" s="2060"/>
      <c r="CU1552" s="2060"/>
      <c r="CV1552" s="2060"/>
      <c r="CW1552" s="2060"/>
      <c r="CX1552" s="2060"/>
      <c r="CY1552" s="2060"/>
      <c r="CZ1552" s="2060"/>
      <c r="DA1552" s="2060"/>
      <c r="DB1552" s="2060"/>
      <c r="DC1552" s="2060"/>
      <c r="DD1552" s="2060"/>
      <c r="DE1552" s="2060"/>
      <c r="DF1552" s="2060"/>
      <c r="DG1552" s="2060"/>
      <c r="DH1552" s="2060"/>
      <c r="DI1552" s="2060"/>
      <c r="DJ1552" s="2060"/>
      <c r="DK1552" s="2060"/>
      <c r="DL1552" s="2060"/>
      <c r="DM1552" s="2060"/>
      <c r="DN1552" s="2060"/>
      <c r="DO1552" s="2060"/>
      <c r="DP1552" s="2060"/>
      <c r="DQ1552" s="2060"/>
      <c r="DR1552" s="2060"/>
      <c r="DS1552" s="2060"/>
      <c r="DT1552" s="2060"/>
      <c r="DU1552" s="2060"/>
      <c r="DV1552" s="2060"/>
      <c r="DW1552" s="2060"/>
      <c r="DX1552" s="2060"/>
      <c r="DY1552" s="2060"/>
      <c r="DZ1552" s="2060"/>
      <c r="EA1552" s="2060"/>
      <c r="EB1552" s="2060"/>
      <c r="EC1552" s="2060"/>
      <c r="ED1552" s="2060"/>
      <c r="EE1552" s="2060"/>
      <c r="EF1552" s="2060"/>
      <c r="EG1552" s="2060"/>
      <c r="EH1552" s="2060"/>
      <c r="EI1552" s="2060"/>
      <c r="EJ1552" s="2060"/>
      <c r="EK1552" s="2060"/>
      <c r="EL1552" s="2060"/>
      <c r="EM1552" s="2060"/>
      <c r="EN1552" s="2060"/>
      <c r="EO1552" s="2060"/>
      <c r="EP1552" s="2060"/>
      <c r="EQ1552" s="2060"/>
      <c r="ER1552" s="2060"/>
      <c r="ES1552" s="2060"/>
      <c r="ET1552" s="2060"/>
      <c r="EU1552" s="2060"/>
      <c r="EV1552" s="2060"/>
      <c r="EW1552" s="2060"/>
      <c r="EX1552" s="2060"/>
      <c r="EY1552" s="2060"/>
      <c r="EZ1552" s="2060"/>
      <c r="FA1552" s="2060"/>
      <c r="FB1552" s="2060"/>
      <c r="FC1552" s="2060"/>
      <c r="FD1552" s="2060"/>
      <c r="FE1552" s="2060"/>
      <c r="FF1552" s="2060"/>
      <c r="FG1552" s="2060"/>
      <c r="FH1552" s="2060"/>
      <c r="FI1552" s="2060"/>
      <c r="FJ1552" s="2060"/>
      <c r="FK1552" s="2060"/>
      <c r="FL1552" s="2060"/>
      <c r="FM1552" s="2060"/>
      <c r="FN1552" s="2060"/>
      <c r="FO1552" s="2060"/>
      <c r="FP1552" s="2060"/>
      <c r="FQ1552" s="2060"/>
      <c r="FR1552" s="2060"/>
      <c r="FS1552" s="2060"/>
      <c r="FT1552" s="2060"/>
      <c r="FU1552" s="2060"/>
      <c r="FV1552" s="2060"/>
      <c r="FW1552" s="2060"/>
      <c r="FX1552" s="2060"/>
      <c r="FY1552" s="2060"/>
      <c r="FZ1552" s="2060"/>
      <c r="GA1552" s="2060"/>
      <c r="GB1552" s="2060"/>
      <c r="GC1552" s="2060"/>
      <c r="GD1552" s="2060"/>
      <c r="GE1552" s="2060"/>
      <c r="GF1552" s="2060"/>
      <c r="GG1552" s="2060"/>
      <c r="GH1552" s="2060"/>
      <c r="GI1552" s="2060"/>
      <c r="GJ1552" s="2060"/>
      <c r="GK1552" s="2060"/>
      <c r="GL1552" s="2060"/>
      <c r="GM1552" s="2060"/>
      <c r="GN1552" s="2060"/>
      <c r="GO1552" s="2060"/>
      <c r="GP1552" s="2060"/>
      <c r="GQ1552" s="2060"/>
      <c r="GR1552" s="2060"/>
      <c r="GS1552" s="2060"/>
      <c r="GT1552" s="2060"/>
      <c r="GU1552" s="2060"/>
      <c r="GV1552" s="2060"/>
      <c r="GW1552" s="2060"/>
      <c r="GX1552" s="2060"/>
      <c r="GY1552" s="2060"/>
      <c r="GZ1552" s="2060"/>
      <c r="HA1552" s="2060"/>
      <c r="HB1552" s="2060"/>
      <c r="HC1552" s="2060"/>
      <c r="HD1552" s="2060"/>
      <c r="HE1552" s="2060"/>
      <c r="HF1552" s="2060"/>
      <c r="HG1552" s="2060"/>
      <c r="HH1552" s="2060"/>
      <c r="HI1552" s="2060"/>
      <c r="HJ1552" s="2060"/>
      <c r="HK1552" s="2060"/>
      <c r="HL1552" s="2060"/>
      <c r="HM1552" s="2060"/>
      <c r="HN1552" s="2060"/>
      <c r="HO1552" s="2060"/>
      <c r="HP1552" s="2060"/>
      <c r="HQ1552" s="2060"/>
      <c r="HR1552" s="2060"/>
      <c r="HS1552" s="2060"/>
      <c r="HT1552" s="2060"/>
      <c r="HU1552" s="2060"/>
      <c r="HV1552" s="2060"/>
      <c r="HW1552" s="2060"/>
      <c r="HX1552" s="2060"/>
      <c r="HY1552" s="2060"/>
      <c r="HZ1552" s="2060"/>
      <c r="IA1552" s="2060"/>
      <c r="IB1552" s="2060"/>
      <c r="IC1552" s="2060"/>
      <c r="ID1552" s="2060"/>
      <c r="IE1552" s="2060"/>
      <c r="IF1552" s="2060"/>
      <c r="IG1552" s="2060"/>
      <c r="IH1552" s="2060"/>
      <c r="II1552" s="2060"/>
      <c r="IJ1552" s="2060"/>
      <c r="IK1552" s="2060"/>
      <c r="IL1552" s="2060"/>
      <c r="IM1552" s="2060"/>
      <c r="IN1552" s="2060"/>
      <c r="IO1552" s="2060"/>
      <c r="IP1552" s="2060"/>
      <c r="IQ1552" s="2060"/>
      <c r="IR1552" s="2060"/>
      <c r="IS1552" s="2060"/>
      <c r="IT1552" s="2060"/>
      <c r="IU1552" s="2060"/>
      <c r="IV1552" s="2060"/>
      <c r="IW1552" s="2060"/>
      <c r="IX1552" s="2060"/>
      <c r="IY1552" s="2060"/>
      <c r="IZ1552" s="2060"/>
      <c r="JA1552" s="2060"/>
      <c r="JB1552" s="2060"/>
      <c r="JC1552" s="2060"/>
      <c r="JD1552" s="2060"/>
      <c r="JE1552" s="2060"/>
      <c r="JF1552" s="2060"/>
      <c r="JG1552" s="2060"/>
      <c r="JH1552" s="2060"/>
      <c r="JI1552" s="2060"/>
      <c r="JJ1552" s="2060"/>
      <c r="JK1552" s="2060"/>
      <c r="JL1552" s="2060"/>
      <c r="JM1552" s="2060"/>
      <c r="JN1552" s="2060"/>
      <c r="JO1552" s="2060"/>
      <c r="JP1552" s="2060"/>
      <c r="JQ1552" s="2060"/>
      <c r="JR1552" s="2060"/>
      <c r="JS1552" s="2060"/>
      <c r="JT1552" s="2060"/>
      <c r="JU1552" s="2060"/>
      <c r="JV1552" s="2060"/>
      <c r="JW1552" s="2060"/>
      <c r="JX1552" s="2060"/>
      <c r="JY1552" s="2060"/>
      <c r="JZ1552" s="2060"/>
      <c r="KA1552" s="2060"/>
      <c r="KB1552" s="2060"/>
      <c r="KC1552" s="2060"/>
      <c r="KD1552" s="2060"/>
      <c r="KE1552" s="2060"/>
      <c r="KF1552" s="2060"/>
      <c r="KG1552" s="2060"/>
      <c r="KH1552" s="2060"/>
      <c r="KI1552" s="2060"/>
      <c r="KJ1552" s="2060"/>
      <c r="KK1552" s="2060"/>
      <c r="KL1552" s="2060"/>
      <c r="KM1552" s="2060"/>
      <c r="KN1552" s="2060"/>
      <c r="KO1552" s="2060"/>
      <c r="KP1552" s="2060"/>
      <c r="KQ1552" s="2060"/>
      <c r="KR1552" s="2060"/>
      <c r="KS1552" s="2060"/>
      <c r="KT1552" s="2060"/>
      <c r="KU1552" s="2060"/>
      <c r="KV1552" s="2060"/>
      <c r="KW1552" s="2060"/>
      <c r="KX1552" s="2060"/>
      <c r="KY1552" s="2060"/>
      <c r="KZ1552" s="2060"/>
      <c r="LA1552" s="2060"/>
      <c r="LB1552" s="2060"/>
      <c r="LC1552" s="2060"/>
      <c r="LD1552" s="2060"/>
      <c r="LE1552" s="2060"/>
      <c r="LF1552" s="2060"/>
      <c r="LG1552" s="2060"/>
      <c r="LH1552" s="2060"/>
    </row>
    <row r="1553" spans="1:320" s="449" customFormat="1" ht="18">
      <c r="A1553" s="2060"/>
      <c r="B1553" s="2060"/>
      <c r="C1553" s="1437">
        <f ca="1">MAX(OFFSET(C1553,-1,0,-ROW(C1553)+1,1))+1</f>
        <v>10</v>
      </c>
      <c r="D1553" s="1438" t="s">
        <v>835</v>
      </c>
      <c r="E1553" s="1438"/>
      <c r="F1553" s="1451"/>
      <c r="G1553" s="800"/>
      <c r="H1553" s="1451" t="s">
        <v>836</v>
      </c>
      <c r="I1553" s="800"/>
      <c r="J1553" s="800"/>
      <c r="K1553" s="800"/>
      <c r="L1553" s="1464"/>
      <c r="M1553" s="1464"/>
      <c r="N1553" s="1464"/>
      <c r="O1553" s="1464"/>
      <c r="P1553" s="1464"/>
      <c r="Q1553" s="1464"/>
      <c r="R1553" s="1464"/>
      <c r="S1553" s="1464"/>
      <c r="T1553" s="1464"/>
      <c r="U1553" s="1464"/>
      <c r="V1553" s="1464"/>
      <c r="W1553" s="1464"/>
      <c r="X1553" s="1464"/>
      <c r="Y1553" s="1464"/>
      <c r="Z1553" s="797"/>
      <c r="AA1553" s="797"/>
      <c r="AB1553" s="797"/>
      <c r="AC1553" s="797"/>
      <c r="AD1553" s="89"/>
      <c r="AE1553" s="89"/>
      <c r="AF1553" s="2060"/>
      <c r="AG1553" s="2060"/>
      <c r="AH1553" s="2060"/>
      <c r="AI1553" s="2060"/>
      <c r="AJ1553" s="2060"/>
      <c r="AK1553" s="2060"/>
      <c r="AL1553" s="2060"/>
      <c r="AM1553" s="2060"/>
      <c r="AN1553" s="2060"/>
      <c r="AO1553" s="2060"/>
      <c r="AP1553" s="2060"/>
      <c r="AQ1553" s="2060"/>
      <c r="AR1553" s="2060"/>
      <c r="AS1553" s="2060"/>
      <c r="AT1553" s="2060"/>
      <c r="AU1553" s="2060"/>
      <c r="AV1553" s="2060"/>
      <c r="AW1553" s="2060"/>
      <c r="AX1553" s="2060"/>
      <c r="AY1553" s="2060"/>
      <c r="AZ1553" s="2060"/>
      <c r="BA1553" s="2060"/>
      <c r="BB1553" s="2060"/>
      <c r="BC1553" s="2060"/>
      <c r="BD1553" s="2060"/>
      <c r="BE1553" s="2060"/>
      <c r="BF1553" s="2060"/>
      <c r="BG1553" s="2060"/>
      <c r="BH1553" s="2060"/>
      <c r="BI1553" s="2060"/>
      <c r="BJ1553" s="2060"/>
      <c r="BK1553" s="2060"/>
      <c r="BL1553" s="2060"/>
      <c r="BM1553" s="2060"/>
      <c r="BN1553" s="2060"/>
      <c r="BO1553" s="2060"/>
      <c r="BP1553" s="2060"/>
      <c r="BQ1553" s="2060"/>
      <c r="BR1553" s="2060"/>
      <c r="BS1553" s="2060"/>
      <c r="BT1553" s="2060"/>
      <c r="BU1553" s="2060"/>
      <c r="BV1553" s="2060"/>
      <c r="BW1553" s="2060"/>
      <c r="BX1553" s="2060"/>
      <c r="BY1553" s="2060"/>
      <c r="BZ1553" s="2060"/>
      <c r="CA1553" s="2060"/>
      <c r="CB1553" s="2060"/>
      <c r="CC1553" s="2060"/>
      <c r="CD1553" s="2060"/>
      <c r="CE1553" s="2060"/>
      <c r="CF1553" s="2060"/>
      <c r="CG1553" s="2060"/>
      <c r="CH1553" s="2060"/>
      <c r="CI1553" s="2060"/>
      <c r="CJ1553" s="2060"/>
      <c r="CK1553" s="2060"/>
      <c r="CL1553" s="2060"/>
      <c r="CM1553" s="2060"/>
      <c r="CN1553" s="2060"/>
      <c r="CO1553" s="2060"/>
      <c r="CP1553" s="2060"/>
      <c r="CQ1553" s="2060"/>
      <c r="CR1553" s="2060"/>
      <c r="CS1553" s="2060"/>
      <c r="CT1553" s="2060"/>
      <c r="CU1553" s="2060"/>
      <c r="CV1553" s="2060"/>
      <c r="CW1553" s="2060"/>
      <c r="CX1553" s="2060"/>
      <c r="CY1553" s="2060"/>
      <c r="CZ1553" s="2060"/>
      <c r="DA1553" s="2060"/>
      <c r="DB1553" s="2060"/>
      <c r="DC1553" s="2060"/>
      <c r="DD1553" s="2060"/>
      <c r="DE1553" s="2060"/>
      <c r="DF1553" s="2060"/>
      <c r="DG1553" s="2060"/>
      <c r="DH1553" s="2060"/>
      <c r="DI1553" s="2060"/>
      <c r="DJ1553" s="2060"/>
      <c r="DK1553" s="2060"/>
      <c r="DL1553" s="2060"/>
      <c r="DM1553" s="2060"/>
      <c r="DN1553" s="2060"/>
      <c r="DO1553" s="2060"/>
      <c r="DP1553" s="2060"/>
      <c r="DQ1553" s="2060"/>
      <c r="DR1553" s="2060"/>
      <c r="DS1553" s="2060"/>
      <c r="DT1553" s="2060"/>
      <c r="DU1553" s="2060"/>
      <c r="DV1553" s="2060"/>
      <c r="DW1553" s="2060"/>
      <c r="DX1553" s="2060"/>
      <c r="DY1553" s="2060"/>
      <c r="DZ1553" s="2060"/>
      <c r="EA1553" s="2060"/>
      <c r="EB1553" s="2060"/>
      <c r="EC1553" s="2060"/>
      <c r="ED1553" s="2060"/>
      <c r="EE1553" s="2060"/>
      <c r="EF1553" s="2060"/>
      <c r="EG1553" s="2060"/>
      <c r="EH1553" s="2060"/>
      <c r="EI1553" s="2060"/>
      <c r="EJ1553" s="2060"/>
      <c r="EK1553" s="2060"/>
      <c r="EL1553" s="2060"/>
      <c r="EM1553" s="2060"/>
      <c r="EN1553" s="2060"/>
      <c r="EO1553" s="2060"/>
      <c r="EP1553" s="2060"/>
      <c r="EQ1553" s="2060"/>
      <c r="ER1553" s="2060"/>
      <c r="ES1553" s="2060"/>
      <c r="ET1553" s="2060"/>
      <c r="EU1553" s="2060"/>
      <c r="EV1553" s="2060"/>
      <c r="EW1553" s="2060"/>
      <c r="EX1553" s="2060"/>
      <c r="EY1553" s="2060"/>
      <c r="EZ1553" s="2060"/>
      <c r="FA1553" s="2060"/>
      <c r="FB1553" s="2060"/>
      <c r="FC1553" s="2060"/>
      <c r="FD1553" s="2060"/>
      <c r="FE1553" s="2060"/>
      <c r="FF1553" s="2060"/>
      <c r="FG1553" s="2060"/>
      <c r="FH1553" s="2060"/>
      <c r="FI1553" s="2060"/>
      <c r="FJ1553" s="2060"/>
      <c r="FK1553" s="2060"/>
      <c r="FL1553" s="2060"/>
      <c r="FM1553" s="2060"/>
      <c r="FN1553" s="2060"/>
      <c r="FO1553" s="2060"/>
      <c r="FP1553" s="2060"/>
      <c r="FQ1553" s="2060"/>
      <c r="FR1553" s="2060"/>
      <c r="FS1553" s="2060"/>
      <c r="FT1553" s="2060"/>
      <c r="FU1553" s="2060"/>
      <c r="FV1553" s="2060"/>
      <c r="FW1553" s="2060"/>
      <c r="FX1553" s="2060"/>
      <c r="FY1553" s="2060"/>
      <c r="FZ1553" s="2060"/>
      <c r="GA1553" s="2060"/>
      <c r="GB1553" s="2060"/>
      <c r="GC1553" s="2060"/>
      <c r="GD1553" s="2060"/>
      <c r="GE1553" s="2060"/>
      <c r="GF1553" s="2060"/>
      <c r="GG1553" s="2060"/>
      <c r="GH1553" s="2060"/>
      <c r="GI1553" s="2060"/>
      <c r="GJ1553" s="2060"/>
      <c r="GK1553" s="2060"/>
      <c r="GL1553" s="2060"/>
      <c r="GM1553" s="2060"/>
      <c r="GN1553" s="2060"/>
      <c r="GO1553" s="2060"/>
      <c r="GP1553" s="2060"/>
      <c r="GQ1553" s="2060"/>
      <c r="GR1553" s="2060"/>
      <c r="GS1553" s="2060"/>
      <c r="GT1553" s="2060"/>
      <c r="GU1553" s="2060"/>
      <c r="GV1553" s="2060"/>
      <c r="GW1553" s="2060"/>
      <c r="GX1553" s="2060"/>
      <c r="GY1553" s="2060"/>
      <c r="GZ1553" s="2060"/>
      <c r="HA1553" s="2060"/>
      <c r="HB1553" s="2060"/>
      <c r="HC1553" s="2060"/>
      <c r="HD1553" s="2060"/>
      <c r="HE1553" s="2060"/>
      <c r="HF1553" s="2060"/>
      <c r="HG1553" s="2060"/>
      <c r="HH1553" s="2060"/>
      <c r="HI1553" s="2060"/>
      <c r="HJ1553" s="2060"/>
      <c r="HK1553" s="2060"/>
      <c r="HL1553" s="2060"/>
      <c r="HM1553" s="2060"/>
      <c r="HN1553" s="2060"/>
      <c r="HO1553" s="2060"/>
      <c r="HP1553" s="2060"/>
      <c r="HQ1553" s="2060"/>
      <c r="HR1553" s="2060"/>
      <c r="HS1553" s="2060"/>
      <c r="HT1553" s="2060"/>
      <c r="HU1553" s="2060"/>
      <c r="HV1553" s="2060"/>
      <c r="HW1553" s="2060"/>
      <c r="HX1553" s="2060"/>
      <c r="HY1553" s="2060"/>
      <c r="HZ1553" s="2060"/>
      <c r="IA1553" s="2060"/>
      <c r="IB1553" s="2060"/>
      <c r="IC1553" s="2060"/>
      <c r="ID1553" s="2060"/>
      <c r="IE1553" s="2060"/>
      <c r="IF1553" s="2060"/>
      <c r="IG1553" s="2060"/>
      <c r="IH1553" s="2060"/>
      <c r="II1553" s="2060"/>
      <c r="IJ1553" s="2060"/>
      <c r="IK1553" s="2060"/>
      <c r="IL1553" s="2060"/>
      <c r="IM1553" s="2060"/>
      <c r="IN1553" s="2060"/>
      <c r="IO1553" s="2060"/>
      <c r="IP1553" s="2060"/>
      <c r="IQ1553" s="2060"/>
      <c r="IR1553" s="2060"/>
      <c r="IS1553" s="2060"/>
      <c r="IT1553" s="2060"/>
      <c r="IU1553" s="2060"/>
      <c r="IV1553" s="2060"/>
      <c r="IW1553" s="2060"/>
      <c r="IX1553" s="2060"/>
      <c r="IY1553" s="2060"/>
      <c r="IZ1553" s="2060"/>
      <c r="JA1553" s="2060"/>
      <c r="JB1553" s="2060"/>
      <c r="JC1553" s="2060"/>
      <c r="JD1553" s="2060"/>
      <c r="JE1553" s="2060"/>
      <c r="JF1553" s="2060"/>
      <c r="JG1553" s="2060"/>
      <c r="JH1553" s="2060"/>
      <c r="JI1553" s="2060"/>
      <c r="JJ1553" s="2060"/>
      <c r="JK1553" s="2060"/>
      <c r="JL1553" s="2060"/>
      <c r="JM1553" s="2060"/>
      <c r="JN1553" s="2060"/>
      <c r="JO1553" s="2060"/>
      <c r="JP1553" s="2060"/>
      <c r="JQ1553" s="2060"/>
      <c r="JR1553" s="2060"/>
      <c r="JS1553" s="2060"/>
      <c r="JT1553" s="2060"/>
      <c r="JU1553" s="2060"/>
      <c r="JV1553" s="2060"/>
      <c r="JW1553" s="2060"/>
      <c r="JX1553" s="2060"/>
      <c r="JY1553" s="2060"/>
      <c r="JZ1553" s="2060"/>
      <c r="KA1553" s="2060"/>
      <c r="KB1553" s="2060"/>
      <c r="KC1553" s="2060"/>
      <c r="KD1553" s="2060"/>
      <c r="KE1553" s="2060"/>
      <c r="KF1553" s="2060"/>
      <c r="KG1553" s="2060"/>
      <c r="KH1553" s="2060"/>
      <c r="KI1553" s="2060"/>
      <c r="KJ1553" s="2060"/>
      <c r="KK1553" s="2060"/>
      <c r="KL1553" s="2060"/>
      <c r="KM1553" s="2060"/>
      <c r="KN1553" s="2060"/>
      <c r="KO1553" s="2060"/>
      <c r="KP1553" s="2060"/>
      <c r="KQ1553" s="2060"/>
      <c r="KR1553" s="2060"/>
      <c r="KS1553" s="2060"/>
      <c r="KT1553" s="2060"/>
      <c r="KU1553" s="2060"/>
      <c r="KV1553" s="2060"/>
      <c r="KW1553" s="2060"/>
      <c r="KX1553" s="2060"/>
      <c r="KY1553" s="2060"/>
      <c r="KZ1553" s="2060"/>
      <c r="LA1553" s="2060"/>
      <c r="LB1553" s="2060"/>
      <c r="LC1553" s="2060"/>
      <c r="LD1553" s="2060"/>
      <c r="LE1553" s="2060"/>
      <c r="LF1553" s="2060"/>
      <c r="LG1553" s="2060"/>
      <c r="LH1553" s="2060"/>
    </row>
    <row r="1554" spans="1:320" s="449" customFormat="1" ht="13.9">
      <c r="A1554" s="2060"/>
      <c r="B1554" s="2060"/>
      <c r="C1554" s="2060"/>
      <c r="D1554" s="2060"/>
      <c r="E1554" s="2060"/>
      <c r="F1554" s="255"/>
      <c r="G1554" s="255"/>
      <c r="H1554" s="255"/>
      <c r="I1554" s="255"/>
      <c r="J1554" s="255"/>
      <c r="K1554" s="255"/>
      <c r="L1554" s="255"/>
      <c r="M1554" s="255"/>
      <c r="N1554" s="255"/>
      <c r="O1554" s="255"/>
      <c r="P1554" s="255"/>
      <c r="Q1554" s="255"/>
      <c r="R1554" s="255"/>
      <c r="S1554" s="255"/>
      <c r="T1554" s="255"/>
      <c r="U1554" s="255"/>
      <c r="V1554" s="255"/>
      <c r="W1554" s="255"/>
      <c r="X1554" s="255"/>
      <c r="Y1554" s="255"/>
      <c r="Z1554" s="2060"/>
      <c r="AA1554" s="2060"/>
      <c r="AB1554" s="2060"/>
      <c r="AC1554" s="2060"/>
      <c r="AD1554" s="2060"/>
      <c r="AE1554" s="2060"/>
      <c r="AF1554" s="2060"/>
      <c r="AG1554" s="2060"/>
      <c r="AH1554" s="2060"/>
      <c r="AI1554" s="2060"/>
      <c r="AJ1554" s="2060"/>
      <c r="AK1554" s="2060"/>
      <c r="AL1554" s="2060"/>
      <c r="AM1554" s="2060"/>
      <c r="AN1554" s="2060"/>
      <c r="AO1554" s="2060"/>
      <c r="AP1554" s="2060"/>
      <c r="AQ1554" s="2060"/>
      <c r="AR1554" s="2060"/>
      <c r="AS1554" s="2060"/>
      <c r="AT1554" s="2060"/>
      <c r="AU1554" s="2060"/>
      <c r="AV1554" s="2060"/>
      <c r="AW1554" s="2060"/>
      <c r="AX1554" s="2060"/>
      <c r="AY1554" s="2060"/>
      <c r="AZ1554" s="2060"/>
      <c r="BA1554" s="2060"/>
      <c r="BB1554" s="2060"/>
      <c r="BC1554" s="2060"/>
      <c r="BD1554" s="2060"/>
      <c r="BE1554" s="2060"/>
      <c r="BF1554" s="2060"/>
      <c r="BG1554" s="2060"/>
      <c r="BH1554" s="2060"/>
      <c r="BI1554" s="2060"/>
      <c r="BJ1554" s="2060"/>
      <c r="BK1554" s="2060"/>
      <c r="BL1554" s="2060"/>
      <c r="BM1554" s="2060"/>
      <c r="BN1554" s="2060"/>
      <c r="BO1554" s="2060"/>
      <c r="BP1554" s="2060"/>
      <c r="BQ1554" s="2060"/>
      <c r="BR1554" s="2060"/>
      <c r="BS1554" s="2060"/>
      <c r="BT1554" s="2060"/>
      <c r="BU1554" s="2060"/>
      <c r="BV1554" s="2060"/>
      <c r="BW1554" s="2060"/>
      <c r="BX1554" s="2060"/>
      <c r="BY1554" s="2060"/>
      <c r="BZ1554" s="2060"/>
      <c r="CA1554" s="2060"/>
      <c r="CB1554" s="2060"/>
      <c r="CC1554" s="2060"/>
      <c r="CD1554" s="2060"/>
      <c r="CE1554" s="2060"/>
      <c r="CF1554" s="2060"/>
      <c r="CG1554" s="2060"/>
      <c r="CH1554" s="2060"/>
      <c r="CI1554" s="2060"/>
      <c r="CJ1554" s="2060"/>
      <c r="CK1554" s="2060"/>
      <c r="CL1554" s="2060"/>
      <c r="CM1554" s="2060"/>
      <c r="CN1554" s="2060"/>
      <c r="CO1554" s="2060"/>
      <c r="CP1554" s="2060"/>
      <c r="CQ1554" s="2060"/>
      <c r="CR1554" s="2060"/>
      <c r="CS1554" s="2060"/>
      <c r="CT1554" s="2060"/>
      <c r="CU1554" s="2060"/>
      <c r="CV1554" s="2060"/>
      <c r="CW1554" s="2060"/>
      <c r="CX1554" s="2060"/>
      <c r="CY1554" s="2060"/>
      <c r="CZ1554" s="2060"/>
      <c r="DA1554" s="2060"/>
      <c r="DB1554" s="2060"/>
      <c r="DC1554" s="2060"/>
      <c r="DD1554" s="2060"/>
      <c r="DE1554" s="2060"/>
      <c r="DF1554" s="2060"/>
      <c r="DG1554" s="2060"/>
      <c r="DH1554" s="2060"/>
      <c r="DI1554" s="2060"/>
      <c r="DJ1554" s="2060"/>
      <c r="DK1554" s="2060"/>
      <c r="DL1554" s="2060"/>
      <c r="DM1554" s="2060"/>
      <c r="DN1554" s="2060"/>
      <c r="DO1554" s="2060"/>
      <c r="DP1554" s="2060"/>
      <c r="DQ1554" s="2060"/>
      <c r="DR1554" s="2060"/>
      <c r="DS1554" s="2060"/>
      <c r="DT1554" s="2060"/>
      <c r="DU1554" s="2060"/>
      <c r="DV1554" s="2060"/>
      <c r="DW1554" s="2060"/>
      <c r="DX1554" s="2060"/>
      <c r="DY1554" s="2060"/>
      <c r="DZ1554" s="2060"/>
      <c r="EA1554" s="2060"/>
      <c r="EB1554" s="2060"/>
      <c r="EC1554" s="2060"/>
      <c r="ED1554" s="2060"/>
      <c r="EE1554" s="2060"/>
      <c r="EF1554" s="2060"/>
      <c r="EG1554" s="2060"/>
      <c r="EH1554" s="2060"/>
      <c r="EI1554" s="2060"/>
      <c r="EJ1554" s="2060"/>
      <c r="EK1554" s="2060"/>
      <c r="EL1554" s="2060"/>
      <c r="EM1554" s="2060"/>
      <c r="EN1554" s="2060"/>
      <c r="EO1554" s="2060"/>
      <c r="EP1554" s="2060"/>
      <c r="EQ1554" s="2060"/>
      <c r="ER1554" s="2060"/>
      <c r="ES1554" s="2060"/>
      <c r="ET1554" s="2060"/>
      <c r="EU1554" s="2060"/>
      <c r="EV1554" s="2060"/>
      <c r="EW1554" s="2060"/>
      <c r="EX1554" s="2060"/>
      <c r="EY1554" s="2060"/>
      <c r="EZ1554" s="2060"/>
      <c r="FA1554" s="2060"/>
      <c r="FB1554" s="2060"/>
      <c r="FC1554" s="2060"/>
      <c r="FD1554" s="2060"/>
      <c r="FE1554" s="2060"/>
      <c r="FF1554" s="2060"/>
      <c r="FG1554" s="2060"/>
      <c r="FH1554" s="2060"/>
      <c r="FI1554" s="2060"/>
      <c r="FJ1554" s="2060"/>
      <c r="FK1554" s="2060"/>
      <c r="FL1554" s="2060"/>
      <c r="FM1554" s="2060"/>
      <c r="FN1554" s="2060"/>
      <c r="FO1554" s="2060"/>
      <c r="FP1554" s="2060"/>
      <c r="FQ1554" s="2060"/>
      <c r="FR1554" s="2060"/>
      <c r="FS1554" s="2060"/>
      <c r="FT1554" s="2060"/>
      <c r="FU1554" s="2060"/>
      <c r="FV1554" s="2060"/>
      <c r="FW1554" s="2060"/>
      <c r="FX1554" s="2060"/>
      <c r="FY1554" s="2060"/>
      <c r="FZ1554" s="2060"/>
      <c r="GA1554" s="2060"/>
      <c r="GB1554" s="2060"/>
      <c r="GC1554" s="2060"/>
      <c r="GD1554" s="2060"/>
      <c r="GE1554" s="2060"/>
      <c r="GF1554" s="2060"/>
      <c r="GG1554" s="2060"/>
      <c r="GH1554" s="2060"/>
      <c r="GI1554" s="2060"/>
      <c r="GJ1554" s="2060"/>
      <c r="GK1554" s="2060"/>
      <c r="GL1554" s="2060"/>
      <c r="GM1554" s="2060"/>
      <c r="GN1554" s="2060"/>
      <c r="GO1554" s="2060"/>
      <c r="GP1554" s="2060"/>
      <c r="GQ1554" s="2060"/>
      <c r="GR1554" s="2060"/>
      <c r="GS1554" s="2060"/>
      <c r="GT1554" s="2060"/>
      <c r="GU1554" s="2060"/>
      <c r="GV1554" s="2060"/>
      <c r="GW1554" s="2060"/>
      <c r="GX1554" s="2060"/>
      <c r="GY1554" s="2060"/>
      <c r="GZ1554" s="2060"/>
      <c r="HA1554" s="2060"/>
      <c r="HB1554" s="2060"/>
      <c r="HC1554" s="2060"/>
      <c r="HD1554" s="2060"/>
      <c r="HE1554" s="2060"/>
      <c r="HF1554" s="2060"/>
      <c r="HG1554" s="2060"/>
      <c r="HH1554" s="2060"/>
      <c r="HI1554" s="2060"/>
      <c r="HJ1554" s="2060"/>
      <c r="HK1554" s="2060"/>
      <c r="HL1554" s="2060"/>
      <c r="HM1554" s="2060"/>
      <c r="HN1554" s="2060"/>
      <c r="HO1554" s="2060"/>
      <c r="HP1554" s="2060"/>
      <c r="HQ1554" s="2060"/>
      <c r="HR1554" s="2060"/>
      <c r="HS1554" s="2060"/>
      <c r="HT1554" s="2060"/>
      <c r="HU1554" s="2060"/>
      <c r="HV1554" s="2060"/>
      <c r="HW1554" s="2060"/>
      <c r="HX1554" s="2060"/>
      <c r="HY1554" s="2060"/>
      <c r="HZ1554" s="2060"/>
      <c r="IA1554" s="2060"/>
      <c r="IB1554" s="2060"/>
      <c r="IC1554" s="2060"/>
      <c r="ID1554" s="2060"/>
      <c r="IE1554" s="2060"/>
      <c r="IF1554" s="2060"/>
      <c r="IG1554" s="2060"/>
      <c r="IH1554" s="2060"/>
      <c r="II1554" s="2060"/>
      <c r="IJ1554" s="2060"/>
      <c r="IK1554" s="2060"/>
      <c r="IL1554" s="2060"/>
      <c r="IM1554" s="2060"/>
      <c r="IN1554" s="2060"/>
      <c r="IO1554" s="2060"/>
      <c r="IP1554" s="2060"/>
      <c r="IQ1554" s="2060"/>
      <c r="IR1554" s="2060"/>
      <c r="IS1554" s="2060"/>
      <c r="IT1554" s="2060"/>
      <c r="IU1554" s="2060"/>
      <c r="IV1554" s="2060"/>
      <c r="IW1554" s="2060"/>
      <c r="IX1554" s="2060"/>
      <c r="IY1554" s="2060"/>
      <c r="IZ1554" s="2060"/>
      <c r="JA1554" s="2060"/>
      <c r="JB1554" s="2060"/>
      <c r="JC1554" s="2060"/>
      <c r="JD1554" s="2060"/>
      <c r="JE1554" s="2060"/>
      <c r="JF1554" s="2060"/>
      <c r="JG1554" s="2060"/>
      <c r="JH1554" s="2060"/>
      <c r="JI1554" s="2060"/>
      <c r="JJ1554" s="2060"/>
      <c r="JK1554" s="2060"/>
      <c r="JL1554" s="2060"/>
      <c r="JM1554" s="2060"/>
      <c r="JN1554" s="2060"/>
      <c r="JO1554" s="2060"/>
      <c r="JP1554" s="2060"/>
      <c r="JQ1554" s="2060"/>
      <c r="JR1554" s="2060"/>
      <c r="JS1554" s="2060"/>
      <c r="JT1554" s="2060"/>
      <c r="JU1554" s="2060"/>
      <c r="JV1554" s="2060"/>
      <c r="JW1554" s="2060"/>
      <c r="JX1554" s="2060"/>
      <c r="JY1554" s="2060"/>
      <c r="JZ1554" s="2060"/>
      <c r="KA1554" s="2060"/>
      <c r="KB1554" s="2060"/>
      <c r="KC1554" s="2060"/>
      <c r="KD1554" s="2060"/>
      <c r="KE1554" s="2060"/>
      <c r="KF1554" s="2060"/>
      <c r="KG1554" s="2060"/>
      <c r="KH1554" s="2060"/>
      <c r="KI1554" s="2060"/>
      <c r="KJ1554" s="2060"/>
      <c r="KK1554" s="2060"/>
      <c r="KL1554" s="2060"/>
      <c r="KM1554" s="2060"/>
      <c r="KN1554" s="2060"/>
      <c r="KO1554" s="2060"/>
      <c r="KP1554" s="2060"/>
      <c r="KQ1554" s="2060"/>
      <c r="KR1554" s="2060"/>
      <c r="KS1554" s="2060"/>
      <c r="KT1554" s="2060"/>
      <c r="KU1554" s="2060"/>
      <c r="KV1554" s="2060"/>
      <c r="KW1554" s="2060"/>
      <c r="KX1554" s="2060"/>
      <c r="KY1554" s="2060"/>
      <c r="KZ1554" s="2060"/>
      <c r="LA1554" s="2060"/>
      <c r="LB1554" s="2060"/>
      <c r="LC1554" s="2060"/>
      <c r="LD1554" s="2060"/>
      <c r="LE1554" s="2060"/>
      <c r="LF1554" s="2060"/>
      <c r="LG1554" s="2060"/>
      <c r="LH1554" s="2060"/>
    </row>
    <row r="1555" spans="1:320" s="449" customFormat="1" ht="13.9">
      <c r="A1555" s="2060"/>
      <c r="B1555" s="2060"/>
      <c r="C1555" s="2060"/>
      <c r="D1555" s="2060"/>
      <c r="E1555" s="634"/>
      <c r="F1555" s="1452"/>
      <c r="G1555" s="1452"/>
      <c r="H1555" s="1452"/>
      <c r="I1555" s="1452"/>
      <c r="J1555" s="1452"/>
      <c r="K1555" s="1452"/>
      <c r="L1555" s="1452"/>
      <c r="M1555" s="1452"/>
      <c r="N1555" s="1452"/>
      <c r="O1555" s="1452"/>
      <c r="P1555" s="1452"/>
      <c r="Q1555" s="1452"/>
      <c r="R1555" s="1452"/>
      <c r="S1555" s="1452"/>
      <c r="T1555" s="1452"/>
      <c r="U1555" s="1452"/>
      <c r="V1555" s="1452"/>
      <c r="W1555" s="1478"/>
      <c r="X1555" s="255"/>
      <c r="Y1555" s="89"/>
      <c r="Z1555" s="2060"/>
      <c r="AA1555" s="2060"/>
      <c r="AB1555" s="2060"/>
      <c r="AC1555" s="2060"/>
      <c r="AD1555" s="2060"/>
      <c r="AE1555" s="2060"/>
      <c r="AF1555" s="2060"/>
      <c r="AG1555" s="2060"/>
      <c r="AH1555" s="2060"/>
      <c r="AI1555" s="2060"/>
      <c r="AJ1555" s="2060"/>
      <c r="AK1555" s="2060"/>
      <c r="AL1555" s="2060"/>
      <c r="AM1555" s="2060"/>
      <c r="AN1555" s="2060"/>
      <c r="AO1555" s="2060"/>
      <c r="AP1555" s="2060"/>
      <c r="AQ1555" s="2060"/>
      <c r="AR1555" s="2060"/>
      <c r="AS1555" s="2060"/>
      <c r="AT1555" s="2060"/>
      <c r="AU1555" s="2060"/>
      <c r="AV1555" s="2060"/>
      <c r="AW1555" s="2060"/>
      <c r="AX1555" s="2060"/>
      <c r="AY1555" s="2060"/>
      <c r="AZ1555" s="2060"/>
      <c r="BA1555" s="2060"/>
      <c r="BB1555" s="2060"/>
      <c r="BC1555" s="2060"/>
      <c r="BD1555" s="2060"/>
      <c r="BE1555" s="2060"/>
      <c r="BF1555" s="2060"/>
      <c r="BG1555" s="2060"/>
      <c r="BH1555" s="2060"/>
      <c r="BI1555" s="2060"/>
      <c r="BJ1555" s="2060"/>
      <c r="BK1555" s="2060"/>
      <c r="BL1555" s="2060"/>
      <c r="BM1555" s="2060"/>
      <c r="BN1555" s="2060"/>
      <c r="BO1555" s="2060"/>
      <c r="BP1555" s="2060"/>
      <c r="BQ1555" s="2060"/>
      <c r="BR1555" s="2060"/>
      <c r="BS1555" s="2060"/>
      <c r="BT1555" s="2060"/>
      <c r="BU1555" s="2060"/>
      <c r="BV1555" s="2060"/>
      <c r="BW1555" s="2060"/>
      <c r="BX1555" s="2060"/>
      <c r="BY1555" s="2060"/>
      <c r="BZ1555" s="2060"/>
      <c r="CA1555" s="2060"/>
      <c r="CB1555" s="2060"/>
      <c r="CC1555" s="2060"/>
      <c r="CD1555" s="2060"/>
      <c r="CE1555" s="2060"/>
      <c r="CF1555" s="2060"/>
      <c r="CG1555" s="2060"/>
      <c r="CH1555" s="2060"/>
      <c r="CI1555" s="2060"/>
      <c r="CJ1555" s="2060"/>
      <c r="CK1555" s="2060"/>
      <c r="CL1555" s="2060"/>
      <c r="CM1555" s="2060"/>
      <c r="CN1555" s="2060"/>
      <c r="CO1555" s="2060"/>
      <c r="CP1555" s="2060"/>
      <c r="CQ1555" s="2060"/>
      <c r="CR1555" s="2060"/>
      <c r="CS1555" s="2060"/>
      <c r="CT1555" s="2060"/>
      <c r="CU1555" s="2060"/>
      <c r="CV1555" s="2060"/>
      <c r="CW1555" s="2060"/>
      <c r="CX1555" s="2060"/>
      <c r="CY1555" s="2060"/>
      <c r="CZ1555" s="2060"/>
      <c r="DA1555" s="2060"/>
      <c r="DB1555" s="2060"/>
      <c r="DC1555" s="2060"/>
      <c r="DD1555" s="2060"/>
      <c r="DE1555" s="2060"/>
      <c r="DF1555" s="2060"/>
      <c r="DG1555" s="2060"/>
      <c r="DH1555" s="2060"/>
      <c r="DI1555" s="2060"/>
      <c r="DJ1555" s="2060"/>
      <c r="DK1555" s="2060"/>
      <c r="DL1555" s="2060"/>
      <c r="DM1555" s="2060"/>
      <c r="DN1555" s="2060"/>
      <c r="DO1555" s="2060"/>
      <c r="DP1555" s="2060"/>
      <c r="DQ1555" s="2060"/>
      <c r="DR1555" s="2060"/>
      <c r="DS1555" s="2060"/>
      <c r="DT1555" s="2060"/>
      <c r="DU1555" s="2060"/>
      <c r="DV1555" s="2060"/>
      <c r="DW1555" s="2060"/>
      <c r="DX1555" s="2060"/>
      <c r="DY1555" s="2060"/>
      <c r="DZ1555" s="2060"/>
      <c r="EA1555" s="2060"/>
      <c r="EB1555" s="2060"/>
      <c r="EC1555" s="2060"/>
      <c r="ED1555" s="2060"/>
      <c r="EE1555" s="2060"/>
      <c r="EF1555" s="2060"/>
      <c r="EG1555" s="2060"/>
      <c r="EH1555" s="2060"/>
      <c r="EI1555" s="2060"/>
      <c r="EJ1555" s="2060"/>
      <c r="EK1555" s="2060"/>
      <c r="EL1555" s="2060"/>
      <c r="EM1555" s="2060"/>
      <c r="EN1555" s="2060"/>
      <c r="EO1555" s="2060"/>
      <c r="EP1555" s="2060"/>
      <c r="EQ1555" s="2060"/>
      <c r="ER1555" s="2060"/>
      <c r="ES1555" s="2060"/>
      <c r="ET1555" s="2060"/>
      <c r="EU1555" s="2060"/>
      <c r="EV1555" s="2060"/>
      <c r="EW1555" s="2060"/>
      <c r="EX1555" s="2060"/>
      <c r="EY1555" s="2060"/>
      <c r="EZ1555" s="2060"/>
      <c r="FA1555" s="2060"/>
      <c r="FB1555" s="2060"/>
      <c r="FC1555" s="2060"/>
      <c r="FD1555" s="2060"/>
      <c r="FE1555" s="2060"/>
      <c r="FF1555" s="2060"/>
      <c r="FG1555" s="2060"/>
      <c r="FH1555" s="2060"/>
      <c r="FI1555" s="2060"/>
      <c r="FJ1555" s="2060"/>
      <c r="FK1555" s="2060"/>
      <c r="FL1555" s="2060"/>
      <c r="FM1555" s="2060"/>
      <c r="FN1555" s="2060"/>
      <c r="FO1555" s="2060"/>
      <c r="FP1555" s="2060"/>
      <c r="FQ1555" s="2060"/>
      <c r="FR1555" s="2060"/>
      <c r="FS1555" s="2060"/>
      <c r="FT1555" s="2060"/>
      <c r="FU1555" s="2060"/>
      <c r="FV1555" s="2060"/>
      <c r="FW1555" s="2060"/>
      <c r="FX1555" s="2060"/>
      <c r="FY1555" s="2060"/>
      <c r="FZ1555" s="2060"/>
      <c r="GA1555" s="2060"/>
      <c r="GB1555" s="2060"/>
      <c r="GC1555" s="2060"/>
      <c r="GD1555" s="2060"/>
      <c r="GE1555" s="2060"/>
      <c r="GF1555" s="2060"/>
      <c r="GG1555" s="2060"/>
      <c r="GH1555" s="2060"/>
      <c r="GI1555" s="2060"/>
      <c r="GJ1555" s="2060"/>
      <c r="GK1555" s="2060"/>
      <c r="GL1555" s="2060"/>
      <c r="GM1555" s="2060"/>
      <c r="GN1555" s="2060"/>
      <c r="GO1555" s="2060"/>
      <c r="GP1555" s="2060"/>
      <c r="GQ1555" s="2060"/>
      <c r="GR1555" s="2060"/>
      <c r="GS1555" s="2060"/>
      <c r="GT1555" s="2060"/>
      <c r="GU1555" s="2060"/>
      <c r="GV1555" s="2060"/>
      <c r="GW1555" s="2060"/>
      <c r="GX1555" s="2060"/>
      <c r="GY1555" s="2060"/>
      <c r="GZ1555" s="2060"/>
      <c r="HA1555" s="2060"/>
      <c r="HB1555" s="2060"/>
      <c r="HC1555" s="2060"/>
      <c r="HD1555" s="2060"/>
      <c r="HE1555" s="2060"/>
      <c r="HF1555" s="2060"/>
      <c r="HG1555" s="2060"/>
      <c r="HH1555" s="2060"/>
      <c r="HI1555" s="2060"/>
      <c r="HJ1555" s="2060"/>
      <c r="HK1555" s="2060"/>
      <c r="HL1555" s="2060"/>
      <c r="HM1555" s="2060"/>
      <c r="HN1555" s="2060"/>
      <c r="HO1555" s="2060"/>
      <c r="HP1555" s="2060"/>
      <c r="HQ1555" s="2060"/>
      <c r="HR1555" s="2060"/>
      <c r="HS1555" s="2060"/>
      <c r="HT1555" s="2060"/>
      <c r="HU1555" s="2060"/>
      <c r="HV1555" s="2060"/>
      <c r="HW1555" s="2060"/>
      <c r="HX1555" s="2060"/>
      <c r="HY1555" s="2060"/>
      <c r="HZ1555" s="2060"/>
      <c r="IA1555" s="2060"/>
      <c r="IB1555" s="2060"/>
      <c r="IC1555" s="2060"/>
      <c r="ID1555" s="2060"/>
      <c r="IE1555" s="2060"/>
      <c r="IF1555" s="2060"/>
      <c r="IG1555" s="2060"/>
      <c r="IH1555" s="2060"/>
      <c r="II1555" s="2060"/>
      <c r="IJ1555" s="2060"/>
      <c r="IK1555" s="2060"/>
      <c r="IL1555" s="2060"/>
      <c r="IM1555" s="2060"/>
      <c r="IN1555" s="2060"/>
      <c r="IO1555" s="2060"/>
      <c r="IP1555" s="2060"/>
      <c r="IQ1555" s="2060"/>
      <c r="IR1555" s="2060"/>
      <c r="IS1555" s="2060"/>
      <c r="IT1555" s="2060"/>
      <c r="IU1555" s="2060"/>
      <c r="IV1555" s="2060"/>
      <c r="IW1555" s="2060"/>
      <c r="IX1555" s="2060"/>
      <c r="IY1555" s="2060"/>
      <c r="IZ1555" s="2060"/>
      <c r="JA1555" s="2060"/>
      <c r="JB1555" s="2060"/>
      <c r="JC1555" s="2060"/>
      <c r="JD1555" s="2060"/>
      <c r="JE1555" s="2060"/>
      <c r="JF1555" s="2060"/>
      <c r="JG1555" s="2060"/>
      <c r="JH1555" s="2060"/>
      <c r="JI1555" s="2060"/>
      <c r="JJ1555" s="2060"/>
      <c r="JK1555" s="2060"/>
      <c r="JL1555" s="2060"/>
      <c r="JM1555" s="2060"/>
      <c r="JN1555" s="2060"/>
      <c r="JO1555" s="2060"/>
      <c r="JP1555" s="2060"/>
      <c r="JQ1555" s="2060"/>
      <c r="JR1555" s="2060"/>
      <c r="JS1555" s="2060"/>
      <c r="JT1555" s="2060"/>
      <c r="JU1555" s="2060"/>
      <c r="JV1555" s="2060"/>
      <c r="JW1555" s="2060"/>
      <c r="JX1555" s="2060"/>
      <c r="JY1555" s="2060"/>
      <c r="JZ1555" s="2060"/>
      <c r="KA1555" s="2060"/>
      <c r="KB1555" s="2060"/>
      <c r="KC1555" s="2060"/>
      <c r="KD1555" s="2060"/>
      <c r="KE1555" s="2060"/>
      <c r="KF1555" s="2060"/>
      <c r="KG1555" s="2060"/>
      <c r="KH1555" s="2060"/>
      <c r="KI1555" s="2060"/>
      <c r="KJ1555" s="2060"/>
      <c r="KK1555" s="2060"/>
      <c r="KL1555" s="2060"/>
      <c r="KM1555" s="2060"/>
      <c r="KN1555" s="2060"/>
      <c r="KO1555" s="2060"/>
      <c r="KP1555" s="2060"/>
      <c r="KQ1555" s="2060"/>
      <c r="KR1555" s="2060"/>
      <c r="KS1555" s="2060"/>
      <c r="KT1555" s="2060"/>
      <c r="KU1555" s="2060"/>
      <c r="KV1555" s="2060"/>
      <c r="KW1555" s="2060"/>
      <c r="KX1555" s="2060"/>
      <c r="KY1555" s="2060"/>
      <c r="KZ1555" s="2060"/>
      <c r="LA1555" s="2060"/>
      <c r="LB1555" s="2060"/>
      <c r="LC1555" s="2060"/>
      <c r="LD1555" s="2060"/>
      <c r="LE1555" s="2060"/>
      <c r="LF1555" s="2060"/>
      <c r="LG1555" s="2060"/>
      <c r="LH1555" s="2060"/>
    </row>
    <row r="1556" spans="1:320" s="449" customFormat="1" ht="13.9">
      <c r="A1556" s="2060"/>
      <c r="B1556" s="2060"/>
      <c r="C1556" s="2060"/>
      <c r="D1556" s="2060"/>
      <c r="E1556" s="505"/>
      <c r="F1556" s="741" t="str">
        <f>$F$315&amp;"/Market capital quarterly ratios"</f>
        <v>Total debt/Market capital quarterly ratios</v>
      </c>
      <c r="G1556" s="741"/>
      <c r="H1556" s="741"/>
      <c r="I1556" s="724"/>
      <c r="J1556" s="726"/>
      <c r="K1556" s="741"/>
      <c r="L1556" s="741"/>
      <c r="M1556" s="741"/>
      <c r="N1556" s="741"/>
      <c r="O1556" s="741"/>
      <c r="P1556" s="741"/>
      <c r="Q1556" s="741"/>
      <c r="R1556" s="741"/>
      <c r="S1556" s="741"/>
      <c r="T1556" s="741"/>
      <c r="U1556" s="741"/>
      <c r="V1556" s="741"/>
      <c r="W1556" s="1479"/>
      <c r="X1556" s="255"/>
      <c r="Y1556" s="89"/>
      <c r="Z1556" s="2060"/>
      <c r="AA1556" s="2060"/>
      <c r="AB1556" s="2060"/>
      <c r="AC1556" s="2060"/>
      <c r="AD1556" s="2060"/>
      <c r="AE1556" s="2060"/>
      <c r="AF1556" s="2060"/>
      <c r="AG1556" s="2060"/>
      <c r="AH1556" s="2060"/>
      <c r="AI1556" s="2060"/>
      <c r="AJ1556" s="2060"/>
      <c r="AK1556" s="2060"/>
      <c r="AL1556" s="2060"/>
      <c r="AM1556" s="2060"/>
      <c r="AN1556" s="2060"/>
      <c r="AO1556" s="2060"/>
      <c r="AP1556" s="2060"/>
      <c r="AQ1556" s="2060"/>
      <c r="AR1556" s="2060"/>
      <c r="AS1556" s="2060"/>
      <c r="AT1556" s="2060"/>
      <c r="AU1556" s="2060"/>
      <c r="AV1556" s="2060"/>
      <c r="AW1556" s="2060"/>
      <c r="AX1556" s="2060"/>
      <c r="AY1556" s="2060"/>
      <c r="AZ1556" s="2060"/>
      <c r="BA1556" s="2060"/>
      <c r="BB1556" s="2060"/>
      <c r="BC1556" s="2060"/>
      <c r="BD1556" s="2060"/>
      <c r="BE1556" s="2060"/>
      <c r="BF1556" s="2060"/>
      <c r="BG1556" s="2060"/>
      <c r="BH1556" s="2060"/>
      <c r="BI1556" s="2060"/>
      <c r="BJ1556" s="2060"/>
      <c r="BK1556" s="2060"/>
      <c r="BL1556" s="2060"/>
      <c r="BM1556" s="2060"/>
      <c r="BN1556" s="2060"/>
      <c r="BO1556" s="2060"/>
      <c r="BP1556" s="2060"/>
      <c r="BQ1556" s="2060"/>
      <c r="BR1556" s="2060"/>
      <c r="BS1556" s="2060"/>
      <c r="BT1556" s="2060"/>
      <c r="BU1556" s="2060"/>
      <c r="BV1556" s="2060"/>
      <c r="BW1556" s="2060"/>
      <c r="BX1556" s="2060"/>
      <c r="BY1556" s="2060"/>
      <c r="BZ1556" s="2060"/>
      <c r="CA1556" s="2060"/>
      <c r="CB1556" s="2060"/>
      <c r="CC1556" s="2060"/>
      <c r="CD1556" s="2060"/>
      <c r="CE1556" s="2060"/>
      <c r="CF1556" s="2060"/>
      <c r="CG1556" s="2060"/>
      <c r="CH1556" s="2060"/>
      <c r="CI1556" s="2060"/>
      <c r="CJ1556" s="2060"/>
      <c r="CK1556" s="2060"/>
      <c r="CL1556" s="2060"/>
      <c r="CM1556" s="2060"/>
      <c r="CN1556" s="2060"/>
      <c r="CO1556" s="2060"/>
      <c r="CP1556" s="2060"/>
      <c r="CQ1556" s="2060"/>
      <c r="CR1556" s="2060"/>
      <c r="CS1556" s="2060"/>
      <c r="CT1556" s="2060"/>
      <c r="CU1556" s="2060"/>
      <c r="CV1556" s="2060"/>
      <c r="CW1556" s="2060"/>
      <c r="CX1556" s="2060"/>
      <c r="CY1556" s="2060"/>
      <c r="CZ1556" s="2060"/>
      <c r="DA1556" s="2060"/>
      <c r="DB1556" s="2060"/>
      <c r="DC1556" s="2060"/>
      <c r="DD1556" s="2060"/>
      <c r="DE1556" s="2060"/>
      <c r="DF1556" s="2060"/>
      <c r="DG1556" s="2060"/>
      <c r="DH1556" s="2060"/>
      <c r="DI1556" s="2060"/>
      <c r="DJ1556" s="2060"/>
      <c r="DK1556" s="2060"/>
      <c r="DL1556" s="2060"/>
      <c r="DM1556" s="2060"/>
      <c r="DN1556" s="2060"/>
      <c r="DO1556" s="2060"/>
      <c r="DP1556" s="2060"/>
      <c r="DQ1556" s="2060"/>
      <c r="DR1556" s="2060"/>
      <c r="DS1556" s="2060"/>
      <c r="DT1556" s="2060"/>
      <c r="DU1556" s="2060"/>
      <c r="DV1556" s="2060"/>
      <c r="DW1556" s="2060"/>
      <c r="DX1556" s="2060"/>
      <c r="DY1556" s="2060"/>
      <c r="DZ1556" s="2060"/>
      <c r="EA1556" s="2060"/>
      <c r="EB1556" s="2060"/>
      <c r="EC1556" s="2060"/>
      <c r="ED1556" s="2060"/>
      <c r="EE1556" s="2060"/>
      <c r="EF1556" s="2060"/>
      <c r="EG1556" s="2060"/>
      <c r="EH1556" s="2060"/>
      <c r="EI1556" s="2060"/>
      <c r="EJ1556" s="2060"/>
      <c r="EK1556" s="2060"/>
      <c r="EL1556" s="2060"/>
      <c r="EM1556" s="2060"/>
      <c r="EN1556" s="2060"/>
      <c r="EO1556" s="2060"/>
      <c r="EP1556" s="2060"/>
      <c r="EQ1556" s="2060"/>
      <c r="ER1556" s="2060"/>
      <c r="ES1556" s="2060"/>
      <c r="ET1556" s="2060"/>
      <c r="EU1556" s="2060"/>
      <c r="EV1556" s="2060"/>
      <c r="EW1556" s="2060"/>
      <c r="EX1556" s="2060"/>
      <c r="EY1556" s="2060"/>
      <c r="EZ1556" s="2060"/>
      <c r="FA1556" s="2060"/>
      <c r="FB1556" s="2060"/>
      <c r="FC1556" s="2060"/>
      <c r="FD1556" s="2060"/>
      <c r="FE1556" s="2060"/>
      <c r="FF1556" s="2060"/>
      <c r="FG1556" s="2060"/>
      <c r="FH1556" s="2060"/>
      <c r="FI1556" s="2060"/>
      <c r="FJ1556" s="2060"/>
      <c r="FK1556" s="2060"/>
      <c r="FL1556" s="2060"/>
      <c r="FM1556" s="2060"/>
      <c r="FN1556" s="2060"/>
      <c r="FO1556" s="2060"/>
      <c r="FP1556" s="2060"/>
      <c r="FQ1556" s="2060"/>
      <c r="FR1556" s="2060"/>
      <c r="FS1556" s="2060"/>
      <c r="FT1556" s="2060"/>
      <c r="FU1556" s="2060"/>
      <c r="FV1556" s="2060"/>
      <c r="FW1556" s="2060"/>
      <c r="FX1556" s="2060"/>
      <c r="FY1556" s="2060"/>
      <c r="FZ1556" s="2060"/>
      <c r="GA1556" s="2060"/>
      <c r="GB1556" s="2060"/>
      <c r="GC1556" s="2060"/>
      <c r="GD1556" s="2060"/>
      <c r="GE1556" s="2060"/>
      <c r="GF1556" s="2060"/>
      <c r="GG1556" s="2060"/>
      <c r="GH1556" s="2060"/>
      <c r="GI1556" s="2060"/>
      <c r="GJ1556" s="2060"/>
      <c r="GK1556" s="2060"/>
      <c r="GL1556" s="2060"/>
      <c r="GM1556" s="2060"/>
      <c r="GN1556" s="2060"/>
      <c r="GO1556" s="2060"/>
      <c r="GP1556" s="2060"/>
      <c r="GQ1556" s="2060"/>
      <c r="GR1556" s="2060"/>
      <c r="GS1556" s="2060"/>
      <c r="GT1556" s="2060"/>
      <c r="GU1556" s="2060"/>
      <c r="GV1556" s="2060"/>
      <c r="GW1556" s="2060"/>
      <c r="GX1556" s="2060"/>
      <c r="GY1556" s="2060"/>
      <c r="GZ1556" s="2060"/>
      <c r="HA1556" s="2060"/>
      <c r="HB1556" s="2060"/>
      <c r="HC1556" s="2060"/>
      <c r="HD1556" s="2060"/>
      <c r="HE1556" s="2060"/>
      <c r="HF1556" s="2060"/>
      <c r="HG1556" s="2060"/>
      <c r="HH1556" s="2060"/>
      <c r="HI1556" s="2060"/>
      <c r="HJ1556" s="2060"/>
      <c r="HK1556" s="2060"/>
      <c r="HL1556" s="2060"/>
      <c r="HM1556" s="2060"/>
      <c r="HN1556" s="2060"/>
      <c r="HO1556" s="2060"/>
      <c r="HP1556" s="2060"/>
      <c r="HQ1556" s="2060"/>
      <c r="HR1556" s="2060"/>
      <c r="HS1556" s="2060"/>
      <c r="HT1556" s="2060"/>
      <c r="HU1556" s="2060"/>
      <c r="HV1556" s="2060"/>
      <c r="HW1556" s="2060"/>
      <c r="HX1556" s="2060"/>
      <c r="HY1556" s="2060"/>
      <c r="HZ1556" s="2060"/>
      <c r="IA1556" s="2060"/>
      <c r="IB1556" s="2060"/>
      <c r="IC1556" s="2060"/>
      <c r="ID1556" s="2060"/>
      <c r="IE1556" s="2060"/>
      <c r="IF1556" s="2060"/>
      <c r="IG1556" s="2060"/>
      <c r="IH1556" s="2060"/>
      <c r="II1556" s="2060"/>
      <c r="IJ1556" s="2060"/>
      <c r="IK1556" s="2060"/>
      <c r="IL1556" s="2060"/>
      <c r="IM1556" s="2060"/>
      <c r="IN1556" s="2060"/>
      <c r="IO1556" s="2060"/>
      <c r="IP1556" s="2060"/>
      <c r="IQ1556" s="2060"/>
      <c r="IR1556" s="2060"/>
      <c r="IS1556" s="2060"/>
      <c r="IT1556" s="2060"/>
      <c r="IU1556" s="2060"/>
      <c r="IV1556" s="2060"/>
      <c r="IW1556" s="2060"/>
      <c r="IX1556" s="2060"/>
      <c r="IY1556" s="2060"/>
      <c r="IZ1556" s="2060"/>
      <c r="JA1556" s="2060"/>
      <c r="JB1556" s="2060"/>
      <c r="JC1556" s="2060"/>
      <c r="JD1556" s="2060"/>
      <c r="JE1556" s="2060"/>
      <c r="JF1556" s="2060"/>
      <c r="JG1556" s="2060"/>
      <c r="JH1556" s="2060"/>
      <c r="JI1556" s="2060"/>
      <c r="JJ1556" s="2060"/>
      <c r="JK1556" s="2060"/>
      <c r="JL1556" s="2060"/>
      <c r="JM1556" s="2060"/>
      <c r="JN1556" s="2060"/>
      <c r="JO1556" s="2060"/>
      <c r="JP1556" s="2060"/>
      <c r="JQ1556" s="2060"/>
      <c r="JR1556" s="2060"/>
      <c r="JS1556" s="2060"/>
      <c r="JT1556" s="2060"/>
      <c r="JU1556" s="2060"/>
      <c r="JV1556" s="2060"/>
      <c r="JW1556" s="2060"/>
      <c r="JX1556" s="2060"/>
      <c r="JY1556" s="2060"/>
      <c r="JZ1556" s="2060"/>
      <c r="KA1556" s="2060"/>
      <c r="KB1556" s="2060"/>
      <c r="KC1556" s="2060"/>
      <c r="KD1556" s="2060"/>
      <c r="KE1556" s="2060"/>
      <c r="KF1556" s="2060"/>
      <c r="KG1556" s="2060"/>
      <c r="KH1556" s="2060"/>
      <c r="KI1556" s="2060"/>
      <c r="KJ1556" s="2060"/>
      <c r="KK1556" s="2060"/>
      <c r="KL1556" s="2060"/>
      <c r="KM1556" s="2060"/>
      <c r="KN1556" s="2060"/>
      <c r="KO1556" s="2060"/>
      <c r="KP1556" s="2060"/>
      <c r="KQ1556" s="2060"/>
      <c r="KR1556" s="2060"/>
      <c r="KS1556" s="2060"/>
      <c r="KT1556" s="2060"/>
      <c r="KU1556" s="2060"/>
      <c r="KV1556" s="2060"/>
      <c r="KW1556" s="2060"/>
      <c r="KX1556" s="2060"/>
      <c r="KY1556" s="2060"/>
      <c r="KZ1556" s="2060"/>
      <c r="LA1556" s="2060"/>
      <c r="LB1556" s="2060"/>
      <c r="LC1556" s="2060"/>
      <c r="LD1556" s="2060"/>
      <c r="LE1556" s="2060"/>
      <c r="LF1556" s="2060"/>
      <c r="LG1556" s="2060"/>
      <c r="LH1556" s="2060"/>
    </row>
    <row r="1557" spans="1:320" s="449" customFormat="1" ht="13.9">
      <c r="A1557" s="2060"/>
      <c r="B1557" s="2060"/>
      <c r="C1557" s="2060"/>
      <c r="D1557" s="2060"/>
      <c r="E1557" s="505"/>
      <c r="F1557" s="741"/>
      <c r="G1557" s="741"/>
      <c r="H1557" s="741"/>
      <c r="I1557" s="724"/>
      <c r="J1557" s="767">
        <v>1988</v>
      </c>
      <c r="K1557" s="767">
        <v>1989</v>
      </c>
      <c r="L1557" s="767">
        <v>1990</v>
      </c>
      <c r="M1557" s="767">
        <v>1991</v>
      </c>
      <c r="N1557" s="767">
        <v>1992</v>
      </c>
      <c r="O1557" s="767">
        <v>1993</v>
      </c>
      <c r="P1557" s="767">
        <v>1994</v>
      </c>
      <c r="Q1557" s="767">
        <v>1995</v>
      </c>
      <c r="R1557" s="767">
        <v>1996</v>
      </c>
      <c r="S1557" s="767">
        <v>1997</v>
      </c>
      <c r="T1557" s="767">
        <v>1998</v>
      </c>
      <c r="U1557" s="767">
        <v>1999</v>
      </c>
      <c r="V1557" s="767">
        <v>2000</v>
      </c>
      <c r="W1557" s="1480"/>
      <c r="X1557" s="255"/>
      <c r="Y1557" s="89"/>
      <c r="Z1557" s="2060"/>
      <c r="AA1557" s="2060"/>
      <c r="AB1557" s="2060"/>
      <c r="AC1557" s="2060"/>
      <c r="AD1557" s="2060"/>
      <c r="AE1557" s="2060"/>
      <c r="AF1557" s="2060"/>
      <c r="AG1557" s="2060"/>
      <c r="AH1557" s="2060"/>
      <c r="AI1557" s="2060"/>
      <c r="AJ1557" s="2060"/>
      <c r="AK1557" s="2060"/>
      <c r="AL1557" s="2060"/>
      <c r="AM1557" s="2060"/>
      <c r="AN1557" s="2060"/>
      <c r="AO1557" s="2060"/>
      <c r="AP1557" s="2060"/>
      <c r="AQ1557" s="2060"/>
      <c r="AR1557" s="2060"/>
      <c r="AS1557" s="2060"/>
      <c r="AT1557" s="2060"/>
      <c r="AU1557" s="2060"/>
      <c r="AV1557" s="2060"/>
      <c r="AW1557" s="2060"/>
      <c r="AX1557" s="2060"/>
      <c r="AY1557" s="2060"/>
      <c r="AZ1557" s="2060"/>
      <c r="BA1557" s="2060"/>
      <c r="BB1557" s="2060"/>
      <c r="BC1557" s="2060"/>
      <c r="BD1557" s="2060"/>
      <c r="BE1557" s="2060"/>
      <c r="BF1557" s="2060"/>
      <c r="BG1557" s="2060"/>
      <c r="BH1557" s="2060"/>
      <c r="BI1557" s="2060"/>
      <c r="BJ1557" s="2060"/>
      <c r="BK1557" s="2060"/>
      <c r="BL1557" s="2060"/>
      <c r="BM1557" s="2060"/>
      <c r="BN1557" s="2060"/>
      <c r="BO1557" s="2060"/>
      <c r="BP1557" s="2060"/>
      <c r="BQ1557" s="2060"/>
      <c r="BR1557" s="2060"/>
      <c r="BS1557" s="2060"/>
      <c r="BT1557" s="2060"/>
      <c r="BU1557" s="2060"/>
      <c r="BV1557" s="2060"/>
      <c r="BW1557" s="2060"/>
      <c r="BX1557" s="2060"/>
      <c r="BY1557" s="2060"/>
      <c r="BZ1557" s="2060"/>
      <c r="CA1557" s="2060"/>
      <c r="CB1557" s="2060"/>
      <c r="CC1557" s="2060"/>
      <c r="CD1557" s="2060"/>
      <c r="CE1557" s="2060"/>
      <c r="CF1557" s="2060"/>
      <c r="CG1557" s="2060"/>
      <c r="CH1557" s="2060"/>
      <c r="CI1557" s="2060"/>
      <c r="CJ1557" s="2060"/>
      <c r="CK1557" s="2060"/>
      <c r="CL1557" s="2060"/>
      <c r="CM1557" s="2060"/>
      <c r="CN1557" s="2060"/>
      <c r="CO1557" s="2060"/>
      <c r="CP1557" s="2060"/>
      <c r="CQ1557" s="2060"/>
      <c r="CR1557" s="2060"/>
      <c r="CS1557" s="2060"/>
      <c r="CT1557" s="2060"/>
      <c r="CU1557" s="2060"/>
      <c r="CV1557" s="2060"/>
      <c r="CW1557" s="2060"/>
      <c r="CX1557" s="2060"/>
      <c r="CY1557" s="2060"/>
      <c r="CZ1557" s="2060"/>
      <c r="DA1557" s="2060"/>
      <c r="DB1557" s="2060"/>
      <c r="DC1557" s="2060"/>
      <c r="DD1557" s="2060"/>
      <c r="DE1557" s="2060"/>
      <c r="DF1557" s="2060"/>
      <c r="DG1557" s="2060"/>
      <c r="DH1557" s="2060"/>
      <c r="DI1557" s="2060"/>
      <c r="DJ1557" s="2060"/>
      <c r="DK1557" s="2060"/>
      <c r="DL1557" s="2060"/>
      <c r="DM1557" s="2060"/>
      <c r="DN1557" s="2060"/>
      <c r="DO1557" s="2060"/>
      <c r="DP1557" s="2060"/>
      <c r="DQ1557" s="2060"/>
      <c r="DR1557" s="2060"/>
      <c r="DS1557" s="2060"/>
      <c r="DT1557" s="2060"/>
      <c r="DU1557" s="2060"/>
      <c r="DV1557" s="2060"/>
      <c r="DW1557" s="2060"/>
      <c r="DX1557" s="2060"/>
      <c r="DY1557" s="2060"/>
      <c r="DZ1557" s="2060"/>
      <c r="EA1557" s="2060"/>
      <c r="EB1557" s="2060"/>
      <c r="EC1557" s="2060"/>
      <c r="ED1557" s="2060"/>
      <c r="EE1557" s="2060"/>
      <c r="EF1557" s="2060"/>
      <c r="EG1557" s="2060"/>
      <c r="EH1557" s="2060"/>
      <c r="EI1557" s="2060"/>
      <c r="EJ1557" s="2060"/>
      <c r="EK1557" s="2060"/>
      <c r="EL1557" s="2060"/>
      <c r="EM1557" s="2060"/>
      <c r="EN1557" s="2060"/>
      <c r="EO1557" s="2060"/>
      <c r="EP1557" s="2060"/>
      <c r="EQ1557" s="2060"/>
      <c r="ER1557" s="2060"/>
      <c r="ES1557" s="2060"/>
      <c r="ET1557" s="2060"/>
      <c r="EU1557" s="2060"/>
      <c r="EV1557" s="2060"/>
      <c r="EW1557" s="2060"/>
      <c r="EX1557" s="2060"/>
      <c r="EY1557" s="2060"/>
      <c r="EZ1557" s="2060"/>
      <c r="FA1557" s="2060"/>
      <c r="FB1557" s="2060"/>
      <c r="FC1557" s="2060"/>
      <c r="FD1557" s="2060"/>
      <c r="FE1557" s="2060"/>
      <c r="FF1557" s="2060"/>
      <c r="FG1557" s="2060"/>
      <c r="FH1557" s="2060"/>
      <c r="FI1557" s="2060"/>
      <c r="FJ1557" s="2060"/>
      <c r="FK1557" s="2060"/>
      <c r="FL1557" s="2060"/>
      <c r="FM1557" s="2060"/>
      <c r="FN1557" s="2060"/>
      <c r="FO1557" s="2060"/>
      <c r="FP1557" s="2060"/>
      <c r="FQ1557" s="2060"/>
      <c r="FR1557" s="2060"/>
      <c r="FS1557" s="2060"/>
      <c r="FT1557" s="2060"/>
      <c r="FU1557" s="2060"/>
      <c r="FV1557" s="2060"/>
      <c r="FW1557" s="2060"/>
      <c r="FX1557" s="2060"/>
      <c r="FY1557" s="2060"/>
      <c r="FZ1557" s="2060"/>
      <c r="GA1557" s="2060"/>
      <c r="GB1557" s="2060"/>
      <c r="GC1557" s="2060"/>
      <c r="GD1557" s="2060"/>
      <c r="GE1557" s="2060"/>
      <c r="GF1557" s="2060"/>
      <c r="GG1557" s="2060"/>
      <c r="GH1557" s="2060"/>
      <c r="GI1557" s="2060"/>
      <c r="GJ1557" s="2060"/>
      <c r="GK1557" s="2060"/>
      <c r="GL1557" s="2060"/>
      <c r="GM1557" s="2060"/>
      <c r="GN1557" s="2060"/>
      <c r="GO1557" s="2060"/>
      <c r="GP1557" s="2060"/>
      <c r="GQ1557" s="2060"/>
      <c r="GR1557" s="2060"/>
      <c r="GS1557" s="2060"/>
      <c r="GT1557" s="2060"/>
      <c r="GU1557" s="2060"/>
      <c r="GV1557" s="2060"/>
      <c r="GW1557" s="2060"/>
      <c r="GX1557" s="2060"/>
      <c r="GY1557" s="2060"/>
      <c r="GZ1557" s="2060"/>
      <c r="HA1557" s="2060"/>
      <c r="HB1557" s="2060"/>
      <c r="HC1557" s="2060"/>
      <c r="HD1557" s="2060"/>
      <c r="HE1557" s="2060"/>
      <c r="HF1557" s="2060"/>
      <c r="HG1557" s="2060"/>
      <c r="HH1557" s="2060"/>
      <c r="HI1557" s="2060"/>
      <c r="HJ1557" s="2060"/>
      <c r="HK1557" s="2060"/>
      <c r="HL1557" s="2060"/>
      <c r="HM1557" s="2060"/>
      <c r="HN1557" s="2060"/>
      <c r="HO1557" s="2060"/>
      <c r="HP1557" s="2060"/>
      <c r="HQ1557" s="2060"/>
      <c r="HR1557" s="2060"/>
      <c r="HS1557" s="2060"/>
      <c r="HT1557" s="2060"/>
      <c r="HU1557" s="2060"/>
      <c r="HV1557" s="2060"/>
      <c r="HW1557" s="2060"/>
      <c r="HX1557" s="2060"/>
      <c r="HY1557" s="2060"/>
      <c r="HZ1557" s="2060"/>
      <c r="IA1557" s="2060"/>
      <c r="IB1557" s="2060"/>
      <c r="IC1557" s="2060"/>
      <c r="ID1557" s="2060"/>
      <c r="IE1557" s="2060"/>
      <c r="IF1557" s="2060"/>
      <c r="IG1557" s="2060"/>
      <c r="IH1557" s="2060"/>
      <c r="II1557" s="2060"/>
      <c r="IJ1557" s="2060"/>
      <c r="IK1557" s="2060"/>
      <c r="IL1557" s="2060"/>
      <c r="IM1557" s="2060"/>
      <c r="IN1557" s="2060"/>
      <c r="IO1557" s="2060"/>
      <c r="IP1557" s="2060"/>
      <c r="IQ1557" s="2060"/>
      <c r="IR1557" s="2060"/>
      <c r="IS1557" s="2060"/>
      <c r="IT1557" s="2060"/>
      <c r="IU1557" s="2060"/>
      <c r="IV1557" s="2060"/>
      <c r="IW1557" s="2060"/>
      <c r="IX1557" s="2060"/>
      <c r="IY1557" s="2060"/>
      <c r="IZ1557" s="2060"/>
      <c r="JA1557" s="2060"/>
      <c r="JB1557" s="2060"/>
      <c r="JC1557" s="2060"/>
      <c r="JD1557" s="2060"/>
      <c r="JE1557" s="2060"/>
      <c r="JF1557" s="2060"/>
      <c r="JG1557" s="2060"/>
      <c r="JH1557" s="2060"/>
      <c r="JI1557" s="2060"/>
      <c r="JJ1557" s="2060"/>
      <c r="JK1557" s="2060"/>
      <c r="JL1557" s="2060"/>
      <c r="JM1557" s="2060"/>
      <c r="JN1557" s="2060"/>
      <c r="JO1557" s="2060"/>
      <c r="JP1557" s="2060"/>
      <c r="JQ1557" s="2060"/>
      <c r="JR1557" s="2060"/>
      <c r="JS1557" s="2060"/>
      <c r="JT1557" s="2060"/>
      <c r="JU1557" s="2060"/>
      <c r="JV1557" s="2060"/>
      <c r="JW1557" s="2060"/>
      <c r="JX1557" s="2060"/>
      <c r="JY1557" s="2060"/>
      <c r="JZ1557" s="2060"/>
      <c r="KA1557" s="2060"/>
      <c r="KB1557" s="2060"/>
      <c r="KC1557" s="2060"/>
      <c r="KD1557" s="2060"/>
      <c r="KE1557" s="2060"/>
      <c r="KF1557" s="2060"/>
      <c r="KG1557" s="2060"/>
      <c r="KH1557" s="2060"/>
      <c r="KI1557" s="2060"/>
      <c r="KJ1557" s="2060"/>
      <c r="KK1557" s="2060"/>
      <c r="KL1557" s="2060"/>
      <c r="KM1557" s="2060"/>
      <c r="KN1557" s="2060"/>
      <c r="KO1557" s="2060"/>
      <c r="KP1557" s="2060"/>
      <c r="KQ1557" s="2060"/>
      <c r="KR1557" s="2060"/>
      <c r="KS1557" s="2060"/>
      <c r="KT1557" s="2060"/>
      <c r="KU1557" s="2060"/>
      <c r="KV1557" s="2060"/>
      <c r="KW1557" s="2060"/>
      <c r="KX1557" s="2060"/>
      <c r="KY1557" s="2060"/>
      <c r="KZ1557" s="2060"/>
      <c r="LA1557" s="2060"/>
      <c r="LB1557" s="2060"/>
      <c r="LC1557" s="2060"/>
      <c r="LD1557" s="2060"/>
      <c r="LE1557" s="2060"/>
      <c r="LF1557" s="2060"/>
      <c r="LG1557" s="2060"/>
      <c r="LH1557" s="2060"/>
    </row>
    <row r="1558" spans="1:320" s="449" customFormat="1" ht="13.9">
      <c r="A1558" s="2060"/>
      <c r="B1558" s="2060"/>
      <c r="C1558" s="2060"/>
      <c r="D1558" s="2060"/>
      <c r="E1558" s="505"/>
      <c r="F1558" s="953" t="s">
        <v>172</v>
      </c>
      <c r="G1558" s="737" t="s">
        <v>125</v>
      </c>
      <c r="H1558" s="741"/>
      <c r="I1558" s="724"/>
      <c r="J1558" s="726" t="s">
        <v>837</v>
      </c>
      <c r="K1558" s="726" t="s">
        <v>838</v>
      </c>
      <c r="L1558" s="726" t="s">
        <v>839</v>
      </c>
      <c r="M1558" s="726" t="s">
        <v>840</v>
      </c>
      <c r="N1558" s="726" t="s">
        <v>841</v>
      </c>
      <c r="O1558" s="726" t="s">
        <v>842</v>
      </c>
      <c r="P1558" s="726" t="s">
        <v>843</v>
      </c>
      <c r="Q1558" s="726" t="s">
        <v>844</v>
      </c>
      <c r="R1558" s="726" t="s">
        <v>845</v>
      </c>
      <c r="S1558" s="726" t="s">
        <v>846</v>
      </c>
      <c r="T1558" s="726" t="s">
        <v>847</v>
      </c>
      <c r="U1558" s="726" t="s">
        <v>848</v>
      </c>
      <c r="V1558" s="726" t="s">
        <v>849</v>
      </c>
      <c r="W1558" s="1479"/>
      <c r="X1558" s="255"/>
      <c r="Y1558" s="89"/>
      <c r="Z1558" s="2060"/>
      <c r="AA1558" s="2060"/>
      <c r="AB1558" s="2060"/>
      <c r="AC1558" s="2060"/>
      <c r="AD1558" s="2060"/>
      <c r="AE1558" s="2060"/>
      <c r="AF1558" s="2060"/>
      <c r="AG1558" s="2060"/>
      <c r="AH1558" s="2060"/>
      <c r="AI1558" s="2060"/>
      <c r="AJ1558" s="2060"/>
      <c r="AK1558" s="2060"/>
      <c r="AL1558" s="2060"/>
      <c r="AM1558" s="2060"/>
      <c r="AN1558" s="2060"/>
      <c r="AO1558" s="2060"/>
      <c r="AP1558" s="2060"/>
      <c r="AQ1558" s="2060"/>
      <c r="AR1558" s="2060"/>
      <c r="AS1558" s="2060"/>
      <c r="AT1558" s="2060"/>
      <c r="AU1558" s="2060"/>
      <c r="AV1558" s="2060"/>
      <c r="AW1558" s="2060"/>
      <c r="AX1558" s="2060"/>
      <c r="AY1558" s="2060"/>
      <c r="AZ1558" s="2060"/>
      <c r="BA1558" s="2060"/>
      <c r="BB1558" s="2060"/>
      <c r="BC1558" s="2060"/>
      <c r="BD1558" s="2060"/>
      <c r="BE1558" s="2060"/>
      <c r="BF1558" s="2060"/>
      <c r="BG1558" s="2060"/>
      <c r="BH1558" s="2060"/>
      <c r="BI1558" s="2060"/>
      <c r="BJ1558" s="2060"/>
      <c r="BK1558" s="2060"/>
      <c r="BL1558" s="2060"/>
      <c r="BM1558" s="2060"/>
      <c r="BN1558" s="2060"/>
      <c r="BO1558" s="2060"/>
      <c r="BP1558" s="2060"/>
      <c r="BQ1558" s="2060"/>
      <c r="BR1558" s="2060"/>
      <c r="BS1558" s="2060"/>
      <c r="BT1558" s="2060"/>
      <c r="BU1558" s="2060"/>
      <c r="BV1558" s="2060"/>
      <c r="BW1558" s="2060"/>
      <c r="BX1558" s="2060"/>
      <c r="BY1558" s="2060"/>
      <c r="BZ1558" s="2060"/>
      <c r="CA1558" s="2060"/>
      <c r="CB1558" s="2060"/>
      <c r="CC1558" s="2060"/>
      <c r="CD1558" s="2060"/>
      <c r="CE1558" s="2060"/>
      <c r="CF1558" s="2060"/>
      <c r="CG1558" s="2060"/>
      <c r="CH1558" s="2060"/>
      <c r="CI1558" s="2060"/>
      <c r="CJ1558" s="2060"/>
      <c r="CK1558" s="2060"/>
      <c r="CL1558" s="2060"/>
      <c r="CM1558" s="2060"/>
      <c r="CN1558" s="2060"/>
      <c r="CO1558" s="2060"/>
      <c r="CP1558" s="2060"/>
      <c r="CQ1558" s="2060"/>
      <c r="CR1558" s="2060"/>
      <c r="CS1558" s="2060"/>
      <c r="CT1558" s="2060"/>
      <c r="CU1558" s="2060"/>
      <c r="CV1558" s="2060"/>
      <c r="CW1558" s="2060"/>
      <c r="CX1558" s="2060"/>
      <c r="CY1558" s="2060"/>
      <c r="CZ1558" s="2060"/>
      <c r="DA1558" s="2060"/>
      <c r="DB1558" s="2060"/>
      <c r="DC1558" s="2060"/>
      <c r="DD1558" s="2060"/>
      <c r="DE1558" s="2060"/>
      <c r="DF1558" s="2060"/>
      <c r="DG1558" s="2060"/>
      <c r="DH1558" s="2060"/>
      <c r="DI1558" s="2060"/>
      <c r="DJ1558" s="2060"/>
      <c r="DK1558" s="2060"/>
      <c r="DL1558" s="2060"/>
      <c r="DM1558" s="2060"/>
      <c r="DN1558" s="2060"/>
      <c r="DO1558" s="2060"/>
      <c r="DP1558" s="2060"/>
      <c r="DQ1558" s="2060"/>
      <c r="DR1558" s="2060"/>
      <c r="DS1558" s="2060"/>
      <c r="DT1558" s="2060"/>
      <c r="DU1558" s="2060"/>
      <c r="DV1558" s="2060"/>
      <c r="DW1558" s="2060"/>
      <c r="DX1558" s="2060"/>
      <c r="DY1558" s="2060"/>
      <c r="DZ1558" s="2060"/>
      <c r="EA1558" s="2060"/>
      <c r="EB1558" s="2060"/>
      <c r="EC1558" s="2060"/>
      <c r="ED1558" s="2060"/>
      <c r="EE1558" s="2060"/>
      <c r="EF1558" s="2060"/>
      <c r="EG1558" s="2060"/>
      <c r="EH1558" s="2060"/>
      <c r="EI1558" s="2060"/>
      <c r="EJ1558" s="2060"/>
      <c r="EK1558" s="2060"/>
      <c r="EL1558" s="2060"/>
      <c r="EM1558" s="2060"/>
      <c r="EN1558" s="2060"/>
      <c r="EO1558" s="2060"/>
      <c r="EP1558" s="2060"/>
      <c r="EQ1558" s="2060"/>
      <c r="ER1558" s="2060"/>
      <c r="ES1558" s="2060"/>
      <c r="ET1558" s="2060"/>
      <c r="EU1558" s="2060"/>
      <c r="EV1558" s="2060"/>
      <c r="EW1558" s="2060"/>
      <c r="EX1558" s="2060"/>
      <c r="EY1558" s="2060"/>
      <c r="EZ1558" s="2060"/>
      <c r="FA1558" s="2060"/>
      <c r="FB1558" s="2060"/>
      <c r="FC1558" s="2060"/>
      <c r="FD1558" s="2060"/>
      <c r="FE1558" s="2060"/>
      <c r="FF1558" s="2060"/>
      <c r="FG1558" s="2060"/>
      <c r="FH1558" s="2060"/>
      <c r="FI1558" s="2060"/>
      <c r="FJ1558" s="2060"/>
      <c r="FK1558" s="2060"/>
      <c r="FL1558" s="2060"/>
      <c r="FM1558" s="2060"/>
      <c r="FN1558" s="2060"/>
      <c r="FO1558" s="2060"/>
      <c r="FP1558" s="2060"/>
      <c r="FQ1558" s="2060"/>
      <c r="FR1558" s="2060"/>
      <c r="FS1558" s="2060"/>
      <c r="FT1558" s="2060"/>
      <c r="FU1558" s="2060"/>
      <c r="FV1558" s="2060"/>
      <c r="FW1558" s="2060"/>
      <c r="FX1558" s="2060"/>
      <c r="FY1558" s="2060"/>
      <c r="FZ1558" s="2060"/>
      <c r="GA1558" s="2060"/>
      <c r="GB1558" s="2060"/>
      <c r="GC1558" s="2060"/>
      <c r="GD1558" s="2060"/>
      <c r="GE1558" s="2060"/>
      <c r="GF1558" s="2060"/>
      <c r="GG1558" s="2060"/>
      <c r="GH1558" s="2060"/>
      <c r="GI1558" s="2060"/>
      <c r="GJ1558" s="2060"/>
      <c r="GK1558" s="2060"/>
      <c r="GL1558" s="2060"/>
      <c r="GM1558" s="2060"/>
      <c r="GN1558" s="2060"/>
      <c r="GO1558" s="2060"/>
      <c r="GP1558" s="2060"/>
      <c r="GQ1558" s="2060"/>
      <c r="GR1558" s="2060"/>
      <c r="GS1558" s="2060"/>
      <c r="GT1558" s="2060"/>
      <c r="GU1558" s="2060"/>
      <c r="GV1558" s="2060"/>
      <c r="GW1558" s="2060"/>
      <c r="GX1558" s="2060"/>
      <c r="GY1558" s="2060"/>
      <c r="GZ1558" s="2060"/>
      <c r="HA1558" s="2060"/>
      <c r="HB1558" s="2060"/>
      <c r="HC1558" s="2060"/>
      <c r="HD1558" s="2060"/>
      <c r="HE1558" s="2060"/>
      <c r="HF1558" s="2060"/>
      <c r="HG1558" s="2060"/>
      <c r="HH1558" s="2060"/>
      <c r="HI1558" s="2060"/>
      <c r="HJ1558" s="2060"/>
      <c r="HK1558" s="2060"/>
      <c r="HL1558" s="2060"/>
      <c r="HM1558" s="2060"/>
      <c r="HN1558" s="2060"/>
      <c r="HO1558" s="2060"/>
      <c r="HP1558" s="2060"/>
      <c r="HQ1558" s="2060"/>
      <c r="HR1558" s="2060"/>
      <c r="HS1558" s="2060"/>
      <c r="HT1558" s="2060"/>
      <c r="HU1558" s="2060"/>
      <c r="HV1558" s="2060"/>
      <c r="HW1558" s="2060"/>
      <c r="HX1558" s="2060"/>
      <c r="HY1558" s="2060"/>
      <c r="HZ1558" s="2060"/>
      <c r="IA1558" s="2060"/>
      <c r="IB1558" s="2060"/>
      <c r="IC1558" s="2060"/>
      <c r="ID1558" s="2060"/>
      <c r="IE1558" s="2060"/>
      <c r="IF1558" s="2060"/>
      <c r="IG1558" s="2060"/>
      <c r="IH1558" s="2060"/>
      <c r="II1558" s="2060"/>
      <c r="IJ1558" s="2060"/>
      <c r="IK1558" s="2060"/>
      <c r="IL1558" s="2060"/>
      <c r="IM1558" s="2060"/>
      <c r="IN1558" s="2060"/>
      <c r="IO1558" s="2060"/>
      <c r="IP1558" s="2060"/>
      <c r="IQ1558" s="2060"/>
      <c r="IR1558" s="2060"/>
      <c r="IS1558" s="2060"/>
      <c r="IT1558" s="2060"/>
      <c r="IU1558" s="2060"/>
      <c r="IV1558" s="2060"/>
      <c r="IW1558" s="2060"/>
      <c r="IX1558" s="2060"/>
      <c r="IY1558" s="2060"/>
      <c r="IZ1558" s="2060"/>
      <c r="JA1558" s="2060"/>
      <c r="JB1558" s="2060"/>
      <c r="JC1558" s="2060"/>
      <c r="JD1558" s="2060"/>
      <c r="JE1558" s="2060"/>
      <c r="JF1558" s="2060"/>
      <c r="JG1558" s="2060"/>
      <c r="JH1558" s="2060"/>
      <c r="JI1558" s="2060"/>
      <c r="JJ1558" s="2060"/>
      <c r="JK1558" s="2060"/>
      <c r="JL1558" s="2060"/>
      <c r="JM1558" s="2060"/>
      <c r="JN1558" s="2060"/>
      <c r="JO1558" s="2060"/>
      <c r="JP1558" s="2060"/>
      <c r="JQ1558" s="2060"/>
      <c r="JR1558" s="2060"/>
      <c r="JS1558" s="2060"/>
      <c r="JT1558" s="2060"/>
      <c r="JU1558" s="2060"/>
      <c r="JV1558" s="2060"/>
      <c r="JW1558" s="2060"/>
      <c r="JX1558" s="2060"/>
      <c r="JY1558" s="2060"/>
      <c r="JZ1558" s="2060"/>
      <c r="KA1558" s="2060"/>
      <c r="KB1558" s="2060"/>
      <c r="KC1558" s="2060"/>
      <c r="KD1558" s="2060"/>
      <c r="KE1558" s="2060"/>
      <c r="KF1558" s="2060"/>
      <c r="KG1558" s="2060"/>
      <c r="KH1558" s="2060"/>
      <c r="KI1558" s="2060"/>
      <c r="KJ1558" s="2060"/>
      <c r="KK1558" s="2060"/>
      <c r="KL1558" s="2060"/>
      <c r="KM1558" s="2060"/>
      <c r="KN1558" s="2060"/>
      <c r="KO1558" s="2060"/>
      <c r="KP1558" s="2060"/>
      <c r="KQ1558" s="2060"/>
      <c r="KR1558" s="2060"/>
      <c r="KS1558" s="2060"/>
      <c r="KT1558" s="2060"/>
      <c r="KU1558" s="2060"/>
      <c r="KV1558" s="2060"/>
      <c r="KW1558" s="2060"/>
      <c r="KX1558" s="2060"/>
      <c r="KY1558" s="2060"/>
      <c r="KZ1558" s="2060"/>
      <c r="LA1558" s="2060"/>
      <c r="LB1558" s="2060"/>
      <c r="LC1558" s="2060"/>
      <c r="LD1558" s="2060"/>
      <c r="LE1558" s="2060"/>
      <c r="LF1558" s="2060"/>
      <c r="LG1558" s="2060"/>
      <c r="LH1558" s="2060"/>
    </row>
    <row r="1559" spans="1:320" s="449" customFormat="1" ht="13.9">
      <c r="A1559" s="2060"/>
      <c r="B1559" s="2060"/>
      <c r="C1559" s="2060"/>
      <c r="D1559" s="2060"/>
      <c r="E1559" s="508">
        <v>0</v>
      </c>
      <c r="F1559" s="1453" t="str">
        <f>F$128</f>
        <v/>
      </c>
      <c r="G1559" s="1454">
        <f>G$128</f>
        <v>0</v>
      </c>
      <c r="H1559" s="1455"/>
      <c r="I1559" s="507" t="s">
        <v>850</v>
      </c>
      <c r="J1559" s="1456">
        <f t="shared" ref="J1559:S1559" si="438">EOMONTH(K1559,-3)</f>
        <v>41547</v>
      </c>
      <c r="K1559" s="1456">
        <f t="shared" si="438"/>
        <v>41639</v>
      </c>
      <c r="L1559" s="1456">
        <f t="shared" si="438"/>
        <v>41729</v>
      </c>
      <c r="M1559" s="1456">
        <f t="shared" si="438"/>
        <v>41820</v>
      </c>
      <c r="N1559" s="1456">
        <f t="shared" si="438"/>
        <v>41912</v>
      </c>
      <c r="O1559" s="1456">
        <f t="shared" si="438"/>
        <v>42004</v>
      </c>
      <c r="P1559" s="1456">
        <f t="shared" si="438"/>
        <v>42094</v>
      </c>
      <c r="Q1559" s="1456">
        <f t="shared" si="438"/>
        <v>42185</v>
      </c>
      <c r="R1559" s="1456">
        <f t="shared" si="438"/>
        <v>42277</v>
      </c>
      <c r="S1559" s="1456">
        <f t="shared" si="438"/>
        <v>42369</v>
      </c>
      <c r="T1559" s="1456">
        <f>EOMONTH(U1559,-3)</f>
        <v>42460</v>
      </c>
      <c r="U1559" s="1456">
        <f>EOMONTH(V1559,-3)</f>
        <v>42551</v>
      </c>
      <c r="V1559" s="1456">
        <f>FQtr</f>
        <v>42643</v>
      </c>
      <c r="W1559" s="1479"/>
      <c r="X1559" s="255"/>
      <c r="Y1559" s="89"/>
      <c r="Z1559" s="2060"/>
      <c r="AA1559" s="2060"/>
      <c r="AB1559" s="2060"/>
      <c r="AC1559" s="2060"/>
      <c r="AD1559" s="2060"/>
      <c r="AE1559" s="2060"/>
      <c r="AF1559" s="2060"/>
      <c r="AG1559" s="2060"/>
      <c r="AH1559" s="2060"/>
      <c r="AI1559" s="2060"/>
      <c r="AJ1559" s="2060"/>
      <c r="AK1559" s="2060"/>
      <c r="AL1559" s="2060"/>
      <c r="AM1559" s="2060"/>
      <c r="AN1559" s="2060"/>
      <c r="AO1559" s="2060"/>
      <c r="AP1559" s="2060"/>
      <c r="AQ1559" s="2060"/>
      <c r="AR1559" s="2060"/>
      <c r="AS1559" s="2060"/>
      <c r="AT1559" s="2060"/>
      <c r="AU1559" s="2060"/>
      <c r="AV1559" s="2060"/>
      <c r="AW1559" s="2060"/>
      <c r="AX1559" s="2060"/>
      <c r="AY1559" s="2060"/>
      <c r="AZ1559" s="2060"/>
      <c r="BA1559" s="2060"/>
      <c r="BB1559" s="2060"/>
      <c r="BC1559" s="2060"/>
      <c r="BD1559" s="2060"/>
      <c r="BE1559" s="2060"/>
      <c r="BF1559" s="2060"/>
      <c r="BG1559" s="2060"/>
      <c r="BH1559" s="2060"/>
      <c r="BI1559" s="2060"/>
      <c r="BJ1559" s="2060"/>
      <c r="BK1559" s="2060"/>
      <c r="BL1559" s="2060"/>
      <c r="BM1559" s="2060"/>
      <c r="BN1559" s="2060"/>
      <c r="BO1559" s="2060"/>
      <c r="BP1559" s="2060"/>
      <c r="BQ1559" s="2060"/>
      <c r="BR1559" s="2060"/>
      <c r="BS1559" s="2060"/>
      <c r="BT1559" s="2060"/>
      <c r="BU1559" s="2060"/>
      <c r="BV1559" s="2060"/>
      <c r="BW1559" s="2060"/>
      <c r="BX1559" s="2060"/>
      <c r="BY1559" s="2060"/>
      <c r="BZ1559" s="2060"/>
      <c r="CA1559" s="2060"/>
      <c r="CB1559" s="2060"/>
      <c r="CC1559" s="2060"/>
      <c r="CD1559" s="2060"/>
      <c r="CE1559" s="2060"/>
      <c r="CF1559" s="2060"/>
      <c r="CG1559" s="2060"/>
      <c r="CH1559" s="2060"/>
      <c r="CI1559" s="2060"/>
      <c r="CJ1559" s="2060"/>
      <c r="CK1559" s="2060"/>
      <c r="CL1559" s="2060"/>
      <c r="CM1559" s="2060"/>
      <c r="CN1559" s="2060"/>
      <c r="CO1559" s="2060"/>
      <c r="CP1559" s="2060"/>
      <c r="CQ1559" s="2060"/>
      <c r="CR1559" s="2060"/>
      <c r="CS1559" s="2060"/>
      <c r="CT1559" s="2060"/>
      <c r="CU1559" s="2060"/>
      <c r="CV1559" s="2060"/>
      <c r="CW1559" s="2060"/>
      <c r="CX1559" s="2060"/>
      <c r="CY1559" s="2060"/>
      <c r="CZ1559" s="2060"/>
      <c r="DA1559" s="2060"/>
      <c r="DB1559" s="2060"/>
      <c r="DC1559" s="2060"/>
      <c r="DD1559" s="2060"/>
      <c r="DE1559" s="2060"/>
      <c r="DF1559" s="2060"/>
      <c r="DG1559" s="2060"/>
      <c r="DH1559" s="2060"/>
      <c r="DI1559" s="2060"/>
      <c r="DJ1559" s="2060"/>
      <c r="DK1559" s="2060"/>
      <c r="DL1559" s="2060"/>
      <c r="DM1559" s="2060"/>
      <c r="DN1559" s="2060"/>
      <c r="DO1559" s="2060"/>
      <c r="DP1559" s="2060"/>
      <c r="DQ1559" s="2060"/>
      <c r="DR1559" s="2060"/>
      <c r="DS1559" s="2060"/>
      <c r="DT1559" s="2060"/>
      <c r="DU1559" s="2060"/>
      <c r="DV1559" s="2060"/>
      <c r="DW1559" s="2060"/>
      <c r="DX1559" s="2060"/>
      <c r="DY1559" s="2060"/>
      <c r="DZ1559" s="2060"/>
      <c r="EA1559" s="2060"/>
      <c r="EB1559" s="2060"/>
      <c r="EC1559" s="2060"/>
      <c r="ED1559" s="2060"/>
      <c r="EE1559" s="2060"/>
      <c r="EF1559" s="2060"/>
      <c r="EG1559" s="2060"/>
      <c r="EH1559" s="2060"/>
      <c r="EI1559" s="2060"/>
      <c r="EJ1559" s="2060"/>
      <c r="EK1559" s="2060"/>
      <c r="EL1559" s="2060"/>
      <c r="EM1559" s="2060"/>
      <c r="EN1559" s="2060"/>
      <c r="EO1559" s="2060"/>
      <c r="EP1559" s="2060"/>
      <c r="EQ1559" s="2060"/>
      <c r="ER1559" s="2060"/>
      <c r="ES1559" s="2060"/>
      <c r="ET1559" s="2060"/>
      <c r="EU1559" s="2060"/>
      <c r="EV1559" s="2060"/>
      <c r="EW1559" s="2060"/>
      <c r="EX1559" s="2060"/>
      <c r="EY1559" s="2060"/>
      <c r="EZ1559" s="2060"/>
      <c r="FA1559" s="2060"/>
      <c r="FB1559" s="2060"/>
      <c r="FC1559" s="2060"/>
      <c r="FD1559" s="2060"/>
      <c r="FE1559" s="2060"/>
      <c r="FF1559" s="2060"/>
      <c r="FG1559" s="2060"/>
      <c r="FH1559" s="2060"/>
      <c r="FI1559" s="2060"/>
      <c r="FJ1559" s="2060"/>
      <c r="FK1559" s="2060"/>
      <c r="FL1559" s="2060"/>
      <c r="FM1559" s="2060"/>
      <c r="FN1559" s="2060"/>
      <c r="FO1559" s="2060"/>
      <c r="FP1559" s="2060"/>
      <c r="FQ1559" s="2060"/>
      <c r="FR1559" s="2060"/>
      <c r="FS1559" s="2060"/>
      <c r="FT1559" s="2060"/>
      <c r="FU1559" s="2060"/>
      <c r="FV1559" s="2060"/>
      <c r="FW1559" s="2060"/>
      <c r="FX1559" s="2060"/>
      <c r="FY1559" s="2060"/>
      <c r="FZ1559" s="2060"/>
      <c r="GA1559" s="2060"/>
      <c r="GB1559" s="2060"/>
      <c r="GC1559" s="2060"/>
      <c r="GD1559" s="2060"/>
      <c r="GE1559" s="2060"/>
      <c r="GF1559" s="2060"/>
      <c r="GG1559" s="2060"/>
      <c r="GH1559" s="2060"/>
      <c r="GI1559" s="2060"/>
      <c r="GJ1559" s="2060"/>
      <c r="GK1559" s="2060"/>
      <c r="GL1559" s="2060"/>
      <c r="GM1559" s="2060"/>
      <c r="GN1559" s="2060"/>
      <c r="GO1559" s="2060"/>
      <c r="GP1559" s="2060"/>
      <c r="GQ1559" s="2060"/>
      <c r="GR1559" s="2060"/>
      <c r="GS1559" s="2060"/>
      <c r="GT1559" s="2060"/>
      <c r="GU1559" s="2060"/>
      <c r="GV1559" s="2060"/>
      <c r="GW1559" s="2060"/>
      <c r="GX1559" s="2060"/>
      <c r="GY1559" s="2060"/>
      <c r="GZ1559" s="2060"/>
      <c r="HA1559" s="2060"/>
      <c r="HB1559" s="2060"/>
      <c r="HC1559" s="2060"/>
      <c r="HD1559" s="2060"/>
      <c r="HE1559" s="2060"/>
      <c r="HF1559" s="2060"/>
      <c r="HG1559" s="2060"/>
      <c r="HH1559" s="2060"/>
      <c r="HI1559" s="2060"/>
      <c r="HJ1559" s="2060"/>
      <c r="HK1559" s="2060"/>
      <c r="HL1559" s="2060"/>
      <c r="HM1559" s="2060"/>
      <c r="HN1559" s="2060"/>
      <c r="HO1559" s="2060"/>
      <c r="HP1559" s="2060"/>
      <c r="HQ1559" s="2060"/>
      <c r="HR1559" s="2060"/>
      <c r="HS1559" s="2060"/>
      <c r="HT1559" s="2060"/>
      <c r="HU1559" s="2060"/>
      <c r="HV1559" s="2060"/>
      <c r="HW1559" s="2060"/>
      <c r="HX1559" s="2060"/>
      <c r="HY1559" s="2060"/>
      <c r="HZ1559" s="2060"/>
      <c r="IA1559" s="2060"/>
      <c r="IB1559" s="2060"/>
      <c r="IC1559" s="2060"/>
      <c r="ID1559" s="2060"/>
      <c r="IE1559" s="2060"/>
      <c r="IF1559" s="2060"/>
      <c r="IG1559" s="2060"/>
      <c r="IH1559" s="2060"/>
      <c r="II1559" s="2060"/>
      <c r="IJ1559" s="2060"/>
      <c r="IK1559" s="2060"/>
      <c r="IL1559" s="2060"/>
      <c r="IM1559" s="2060"/>
      <c r="IN1559" s="2060"/>
      <c r="IO1559" s="2060"/>
      <c r="IP1559" s="2060"/>
      <c r="IQ1559" s="2060"/>
      <c r="IR1559" s="2060"/>
      <c r="IS1559" s="2060"/>
      <c r="IT1559" s="2060"/>
      <c r="IU1559" s="2060"/>
      <c r="IV1559" s="2060"/>
      <c r="IW1559" s="2060"/>
      <c r="IX1559" s="2060"/>
      <c r="IY1559" s="2060"/>
      <c r="IZ1559" s="2060"/>
      <c r="JA1559" s="2060"/>
      <c r="JB1559" s="2060"/>
      <c r="JC1559" s="2060"/>
      <c r="JD1559" s="2060"/>
      <c r="JE1559" s="2060"/>
      <c r="JF1559" s="2060"/>
      <c r="JG1559" s="2060"/>
      <c r="JH1559" s="2060"/>
      <c r="JI1559" s="2060"/>
      <c r="JJ1559" s="2060"/>
      <c r="JK1559" s="2060"/>
      <c r="JL1559" s="2060"/>
      <c r="JM1559" s="2060"/>
      <c r="JN1559" s="2060"/>
      <c r="JO1559" s="2060"/>
      <c r="JP1559" s="2060"/>
      <c r="JQ1559" s="2060"/>
      <c r="JR1559" s="2060"/>
      <c r="JS1559" s="2060"/>
      <c r="JT1559" s="2060"/>
      <c r="JU1559" s="2060"/>
      <c r="JV1559" s="2060"/>
      <c r="JW1559" s="2060"/>
      <c r="JX1559" s="2060"/>
      <c r="JY1559" s="2060"/>
      <c r="JZ1559" s="2060"/>
      <c r="KA1559" s="2060"/>
      <c r="KB1559" s="2060"/>
      <c r="KC1559" s="2060"/>
      <c r="KD1559" s="2060"/>
      <c r="KE1559" s="2060"/>
      <c r="KF1559" s="2060"/>
      <c r="KG1559" s="2060"/>
      <c r="KH1559" s="2060"/>
      <c r="KI1559" s="2060"/>
      <c r="KJ1559" s="2060"/>
      <c r="KK1559" s="2060"/>
      <c r="KL1559" s="2060"/>
      <c r="KM1559" s="2060"/>
      <c r="KN1559" s="2060"/>
      <c r="KO1559" s="2060"/>
      <c r="KP1559" s="2060"/>
      <c r="KQ1559" s="2060"/>
      <c r="KR1559" s="2060"/>
      <c r="KS1559" s="2060"/>
      <c r="KT1559" s="2060"/>
      <c r="KU1559" s="2060"/>
      <c r="KV1559" s="2060"/>
      <c r="KW1559" s="2060"/>
      <c r="KX1559" s="2060"/>
      <c r="KY1559" s="2060"/>
      <c r="KZ1559" s="2060"/>
      <c r="LA1559" s="2060"/>
      <c r="LB1559" s="2060"/>
      <c r="LC1559" s="2060"/>
      <c r="LD1559" s="2060"/>
      <c r="LE1559" s="2060"/>
      <c r="LF1559" s="2060"/>
      <c r="LG1559" s="2060"/>
      <c r="LH1559" s="2060"/>
    </row>
    <row r="1560" spans="1:320" s="449" customFormat="1" ht="13.9">
      <c r="A1560" s="269" t="str">
        <f>IF(F1560="--","n","")</f>
        <v>n</v>
      </c>
      <c r="B1560" s="2060"/>
      <c r="C1560" s="2060"/>
      <c r="D1560" s="2060"/>
      <c r="E1560" s="1661">
        <v>1</v>
      </c>
      <c r="F1560" s="1353" t="str">
        <f>F$129</f>
        <v>--</v>
      </c>
      <c r="G1560" s="1349">
        <f>G$129</f>
        <v>0</v>
      </c>
      <c r="H1560" s="1349"/>
      <c r="I1560" s="89" t="s">
        <v>850</v>
      </c>
      <c r="J1560" s="1457" t="str">
        <f>IF($G1560=0,"",IFERROR(_xll.ciqfunctions.udf.CIQ($G1560,$I1560,J$1557,Valuation_Date_GC,ReportType,DataMode),"n/a"))</f>
        <v/>
      </c>
      <c r="K1560" s="1457" t="str">
        <f>IF($G1560=0,"",IFERROR(_xll.ciqfunctions.udf.CIQ($G1560,$I1560,K$1557,Valuation_Date_GC,ReportType,DataMode),"n/a"))</f>
        <v/>
      </c>
      <c r="L1560" s="1457" t="str">
        <f>IF($G1560=0,"",IFERROR(_xll.ciqfunctions.udf.CIQ($G1560,$I1560,L$1557,Valuation_Date_GC,ReportType,DataMode),"n/a"))</f>
        <v/>
      </c>
      <c r="M1560" s="1457" t="str">
        <f>IF($G1560=0,"",IFERROR(_xll.ciqfunctions.udf.CIQ($G1560,$I1560,M$1557,Valuation_Date_GC,ReportType,DataMode),"n/a"))</f>
        <v/>
      </c>
      <c r="N1560" s="1457" t="str">
        <f>IF($G1560=0,"",IFERROR(_xll.ciqfunctions.udf.CIQ($G1560,$I1560,N$1557,Valuation_Date_GC,ReportType,DataMode),"n/a"))</f>
        <v/>
      </c>
      <c r="O1560" s="1457" t="str">
        <f>IF($G1560=0,"",IFERROR(_xll.ciqfunctions.udf.CIQ($G1560,$I1560,O$1557,Valuation_Date_GC,ReportType,DataMode),"n/a"))</f>
        <v/>
      </c>
      <c r="P1560" s="1457" t="str">
        <f>IF($G1560=0,"",IFERROR(_xll.ciqfunctions.udf.CIQ($G1560,$I1560,P$1557,Valuation_Date_GC,ReportType,DataMode),"n/a"))</f>
        <v/>
      </c>
      <c r="Q1560" s="1457" t="str">
        <f>IF($G1560=0,"",IFERROR(_xll.ciqfunctions.udf.CIQ($G1560,$I1560,Q$1557,Valuation_Date_GC,ReportType,DataMode),"n/a"))</f>
        <v/>
      </c>
      <c r="R1560" s="1457" t="str">
        <f>IF($G1560=0,"",IFERROR(_xll.ciqfunctions.udf.CIQ($G1560,$I1560,R$1557,Valuation_Date_GC,ReportType,DataMode),"n/a"))</f>
        <v/>
      </c>
      <c r="S1560" s="1457" t="str">
        <f>IF($G1560=0,"",IFERROR(_xll.ciqfunctions.udf.CIQ($G1560,$I1560,S$1557,Valuation_Date_GC,ReportType,DataMode),"n/a"))</f>
        <v/>
      </c>
      <c r="T1560" s="1457" t="str">
        <f>IF($G1560=0,"",IFERROR(_xll.ciqfunctions.udf.CIQ($G1560,$I1560,T$1557,Valuation_Date_GC,ReportType,DataMode),"n/a"))</f>
        <v/>
      </c>
      <c r="U1560" s="1457" t="str">
        <f>IF($G1560=0,"",IFERROR(_xll.ciqfunctions.udf.CIQ($G1560,$I1560,U$1557,Valuation_Date_GC,ReportType,DataMode),"n/a"))</f>
        <v/>
      </c>
      <c r="V1560" s="1457" t="str">
        <f>IF($G1560=0,"",IFERROR(_xll.ciqfunctions.udf.CIQ($G1560,$I1560,V$1557,Valuation_Date_GC,ReportType,DataMode),"n/a"))</f>
        <v/>
      </c>
      <c r="W1560" s="1479"/>
      <c r="X1560" s="255"/>
      <c r="Y1560" s="89"/>
      <c r="Z1560" s="2060"/>
      <c r="AA1560" s="2060"/>
      <c r="AB1560" s="2060"/>
      <c r="AC1560" s="2060"/>
      <c r="AD1560" s="2060"/>
      <c r="AE1560" s="2060"/>
      <c r="AF1560" s="2060"/>
      <c r="AG1560" s="2060"/>
      <c r="AH1560" s="2060"/>
      <c r="AI1560" s="2060"/>
      <c r="AJ1560" s="2060"/>
      <c r="AK1560" s="2060"/>
      <c r="AL1560" s="2060"/>
      <c r="AM1560" s="2060"/>
      <c r="AN1560" s="2060"/>
      <c r="AO1560" s="2060"/>
      <c r="AP1560" s="2060"/>
      <c r="AQ1560" s="2060"/>
      <c r="AR1560" s="2060"/>
      <c r="AS1560" s="2060"/>
      <c r="AT1560" s="2060"/>
      <c r="AU1560" s="2060"/>
      <c r="AV1560" s="2060"/>
      <c r="AW1560" s="2060"/>
      <c r="AX1560" s="2060"/>
      <c r="AY1560" s="2060"/>
      <c r="AZ1560" s="2060"/>
      <c r="BA1560" s="2060"/>
      <c r="BB1560" s="2060"/>
      <c r="BC1560" s="2060"/>
      <c r="BD1560" s="2060"/>
      <c r="BE1560" s="2060"/>
      <c r="BF1560" s="2060"/>
      <c r="BG1560" s="2060"/>
      <c r="BH1560" s="2060"/>
      <c r="BI1560" s="2060"/>
      <c r="BJ1560" s="2060"/>
      <c r="BK1560" s="2060"/>
      <c r="BL1560" s="2060"/>
      <c r="BM1560" s="2060"/>
      <c r="BN1560" s="2060"/>
      <c r="BO1560" s="2060"/>
      <c r="BP1560" s="2060"/>
      <c r="BQ1560" s="2060"/>
      <c r="BR1560" s="2060"/>
      <c r="BS1560" s="2060"/>
      <c r="BT1560" s="2060"/>
      <c r="BU1560" s="2060"/>
      <c r="BV1560" s="2060"/>
      <c r="BW1560" s="2060"/>
      <c r="BX1560" s="2060"/>
      <c r="BY1560" s="2060"/>
      <c r="BZ1560" s="2060"/>
      <c r="CA1560" s="2060"/>
      <c r="CB1560" s="2060"/>
      <c r="CC1560" s="2060"/>
      <c r="CD1560" s="2060"/>
      <c r="CE1560" s="2060"/>
      <c r="CF1560" s="2060"/>
      <c r="CG1560" s="2060"/>
      <c r="CH1560" s="2060"/>
      <c r="CI1560" s="2060"/>
      <c r="CJ1560" s="2060"/>
      <c r="CK1560" s="2060"/>
      <c r="CL1560" s="2060"/>
      <c r="CM1560" s="2060"/>
      <c r="CN1560" s="2060"/>
      <c r="CO1560" s="2060"/>
      <c r="CP1560" s="2060"/>
      <c r="CQ1560" s="2060"/>
      <c r="CR1560" s="2060"/>
      <c r="CS1560" s="2060"/>
      <c r="CT1560" s="2060"/>
      <c r="CU1560" s="2060"/>
      <c r="CV1560" s="2060"/>
      <c r="CW1560" s="2060"/>
      <c r="CX1560" s="2060"/>
      <c r="CY1560" s="2060"/>
      <c r="CZ1560" s="2060"/>
      <c r="DA1560" s="2060"/>
      <c r="DB1560" s="2060"/>
      <c r="DC1560" s="2060"/>
      <c r="DD1560" s="2060"/>
      <c r="DE1560" s="2060"/>
      <c r="DF1560" s="2060"/>
      <c r="DG1560" s="2060"/>
      <c r="DH1560" s="2060"/>
      <c r="DI1560" s="2060"/>
      <c r="DJ1560" s="2060"/>
      <c r="DK1560" s="2060"/>
      <c r="DL1560" s="2060"/>
      <c r="DM1560" s="2060"/>
      <c r="DN1560" s="2060"/>
      <c r="DO1560" s="2060"/>
      <c r="DP1560" s="2060"/>
      <c r="DQ1560" s="2060"/>
      <c r="DR1560" s="2060"/>
      <c r="DS1560" s="2060"/>
      <c r="DT1560" s="2060"/>
      <c r="DU1560" s="2060"/>
      <c r="DV1560" s="2060"/>
      <c r="DW1560" s="2060"/>
      <c r="DX1560" s="2060"/>
      <c r="DY1560" s="2060"/>
      <c r="DZ1560" s="2060"/>
      <c r="EA1560" s="2060"/>
      <c r="EB1560" s="2060"/>
      <c r="EC1560" s="2060"/>
      <c r="ED1560" s="2060"/>
      <c r="EE1560" s="2060"/>
      <c r="EF1560" s="2060"/>
      <c r="EG1560" s="2060"/>
      <c r="EH1560" s="2060"/>
      <c r="EI1560" s="2060"/>
      <c r="EJ1560" s="2060"/>
      <c r="EK1560" s="2060"/>
      <c r="EL1560" s="2060"/>
      <c r="EM1560" s="2060"/>
      <c r="EN1560" s="2060"/>
      <c r="EO1560" s="2060"/>
      <c r="EP1560" s="2060"/>
      <c r="EQ1560" s="2060"/>
      <c r="ER1560" s="2060"/>
      <c r="ES1560" s="2060"/>
      <c r="ET1560" s="2060"/>
      <c r="EU1560" s="2060"/>
      <c r="EV1560" s="2060"/>
      <c r="EW1560" s="2060"/>
      <c r="EX1560" s="2060"/>
      <c r="EY1560" s="2060"/>
      <c r="EZ1560" s="2060"/>
      <c r="FA1560" s="2060"/>
      <c r="FB1560" s="2060"/>
      <c r="FC1560" s="2060"/>
      <c r="FD1560" s="2060"/>
      <c r="FE1560" s="2060"/>
      <c r="FF1560" s="2060"/>
      <c r="FG1560" s="2060"/>
      <c r="FH1560" s="2060"/>
      <c r="FI1560" s="2060"/>
      <c r="FJ1560" s="2060"/>
      <c r="FK1560" s="2060"/>
      <c r="FL1560" s="2060"/>
      <c r="FM1560" s="2060"/>
      <c r="FN1560" s="2060"/>
      <c r="FO1560" s="2060"/>
      <c r="FP1560" s="2060"/>
      <c r="FQ1560" s="2060"/>
      <c r="FR1560" s="2060"/>
      <c r="FS1560" s="2060"/>
      <c r="FT1560" s="2060"/>
      <c r="FU1560" s="2060"/>
      <c r="FV1560" s="2060"/>
      <c r="FW1560" s="2060"/>
      <c r="FX1560" s="2060"/>
      <c r="FY1560" s="2060"/>
      <c r="FZ1560" s="2060"/>
      <c r="GA1560" s="2060"/>
      <c r="GB1560" s="2060"/>
      <c r="GC1560" s="2060"/>
      <c r="GD1560" s="2060"/>
      <c r="GE1560" s="2060"/>
      <c r="GF1560" s="2060"/>
      <c r="GG1560" s="2060"/>
      <c r="GH1560" s="2060"/>
      <c r="GI1560" s="2060"/>
      <c r="GJ1560" s="2060"/>
      <c r="GK1560" s="2060"/>
      <c r="GL1560" s="2060"/>
      <c r="GM1560" s="2060"/>
      <c r="GN1560" s="2060"/>
      <c r="GO1560" s="2060"/>
      <c r="GP1560" s="2060"/>
      <c r="GQ1560" s="2060"/>
      <c r="GR1560" s="2060"/>
      <c r="GS1560" s="2060"/>
      <c r="GT1560" s="2060"/>
      <c r="GU1560" s="2060"/>
      <c r="GV1560" s="2060"/>
      <c r="GW1560" s="2060"/>
      <c r="GX1560" s="2060"/>
      <c r="GY1560" s="2060"/>
      <c r="GZ1560" s="2060"/>
      <c r="HA1560" s="2060"/>
      <c r="HB1560" s="2060"/>
      <c r="HC1560" s="2060"/>
      <c r="HD1560" s="2060"/>
      <c r="HE1560" s="2060"/>
      <c r="HF1560" s="2060"/>
      <c r="HG1560" s="2060"/>
      <c r="HH1560" s="2060"/>
      <c r="HI1560" s="2060"/>
      <c r="HJ1560" s="2060"/>
      <c r="HK1560" s="2060"/>
      <c r="HL1560" s="2060"/>
      <c r="HM1560" s="2060"/>
      <c r="HN1560" s="2060"/>
      <c r="HO1560" s="2060"/>
      <c r="HP1560" s="2060"/>
      <c r="HQ1560" s="2060"/>
      <c r="HR1560" s="2060"/>
      <c r="HS1560" s="2060"/>
      <c r="HT1560" s="2060"/>
      <c r="HU1560" s="2060"/>
      <c r="HV1560" s="2060"/>
      <c r="HW1560" s="2060"/>
      <c r="HX1560" s="2060"/>
      <c r="HY1560" s="2060"/>
      <c r="HZ1560" s="2060"/>
      <c r="IA1560" s="2060"/>
      <c r="IB1560" s="2060"/>
      <c r="IC1560" s="2060"/>
      <c r="ID1560" s="2060"/>
      <c r="IE1560" s="2060"/>
      <c r="IF1560" s="2060"/>
      <c r="IG1560" s="2060"/>
      <c r="IH1560" s="2060"/>
      <c r="II1560" s="2060"/>
      <c r="IJ1560" s="2060"/>
      <c r="IK1560" s="2060"/>
      <c r="IL1560" s="2060"/>
      <c r="IM1560" s="2060"/>
      <c r="IN1560" s="2060"/>
      <c r="IO1560" s="2060"/>
      <c r="IP1560" s="2060"/>
      <c r="IQ1560" s="2060"/>
      <c r="IR1560" s="2060"/>
      <c r="IS1560" s="2060"/>
      <c r="IT1560" s="2060"/>
      <c r="IU1560" s="2060"/>
      <c r="IV1560" s="2060"/>
      <c r="IW1560" s="2060"/>
      <c r="IX1560" s="2060"/>
      <c r="IY1560" s="2060"/>
      <c r="IZ1560" s="2060"/>
      <c r="JA1560" s="2060"/>
      <c r="JB1560" s="2060"/>
      <c r="JC1560" s="2060"/>
      <c r="JD1560" s="2060"/>
      <c r="JE1560" s="2060"/>
      <c r="JF1560" s="2060"/>
      <c r="JG1560" s="2060"/>
      <c r="JH1560" s="2060"/>
      <c r="JI1560" s="2060"/>
      <c r="JJ1560" s="2060"/>
      <c r="JK1560" s="2060"/>
      <c r="JL1560" s="2060"/>
      <c r="JM1560" s="2060"/>
      <c r="JN1560" s="2060"/>
      <c r="JO1560" s="2060"/>
      <c r="JP1560" s="2060"/>
      <c r="JQ1560" s="2060"/>
      <c r="JR1560" s="2060"/>
      <c r="JS1560" s="2060"/>
      <c r="JT1560" s="2060"/>
      <c r="JU1560" s="2060"/>
      <c r="JV1560" s="2060"/>
      <c r="JW1560" s="2060"/>
      <c r="JX1560" s="2060"/>
      <c r="JY1560" s="2060"/>
      <c r="JZ1560" s="2060"/>
      <c r="KA1560" s="2060"/>
      <c r="KB1560" s="2060"/>
      <c r="KC1560" s="2060"/>
      <c r="KD1560" s="2060"/>
      <c r="KE1560" s="2060"/>
      <c r="KF1560" s="2060"/>
      <c r="KG1560" s="2060"/>
      <c r="KH1560" s="2060"/>
      <c r="KI1560" s="2060"/>
      <c r="KJ1560" s="2060"/>
      <c r="KK1560" s="2060"/>
      <c r="KL1560" s="2060"/>
      <c r="KM1560" s="2060"/>
      <c r="KN1560" s="2060"/>
      <c r="KO1560" s="2060"/>
      <c r="KP1560" s="2060"/>
      <c r="KQ1560" s="2060"/>
      <c r="KR1560" s="2060"/>
      <c r="KS1560" s="2060"/>
      <c r="KT1560" s="2060"/>
      <c r="KU1560" s="2060"/>
      <c r="KV1560" s="2060"/>
      <c r="KW1560" s="2060"/>
      <c r="KX1560" s="2060"/>
      <c r="KY1560" s="2060"/>
      <c r="KZ1560" s="2060"/>
      <c r="LA1560" s="2060"/>
      <c r="LB1560" s="2060"/>
      <c r="LC1560" s="2060"/>
      <c r="LD1560" s="2060"/>
      <c r="LE1560" s="2060"/>
      <c r="LF1560" s="2060"/>
      <c r="LG1560" s="2060"/>
      <c r="LH1560" s="2060"/>
    </row>
    <row r="1561" spans="1:320" s="449" customFormat="1" ht="13.9">
      <c r="A1561" s="269" t="str">
        <f t="shared" ref="A1561:A1584" si="439">IF(F1561="--","n","")</f>
        <v>n</v>
      </c>
      <c r="B1561" s="2060"/>
      <c r="C1561" s="2060"/>
      <c r="D1561" s="2060"/>
      <c r="E1561" s="1661">
        <v>2</v>
      </c>
      <c r="F1561" s="1353" t="str">
        <f>F$130</f>
        <v>--</v>
      </c>
      <c r="G1561" s="1349">
        <f>G$130</f>
        <v>0</v>
      </c>
      <c r="H1561" s="1349"/>
      <c r="I1561" s="89" t="s">
        <v>850</v>
      </c>
      <c r="J1561" s="1457" t="str">
        <f>IF($G1561=0,"",IFERROR(_xll.ciqfunctions.udf.CIQ($G1561,$I1561,J$1557,Valuation_Date_GC,ReportType,DataMode),"n/a"))</f>
        <v/>
      </c>
      <c r="K1561" s="1457" t="str">
        <f>IF($G1561=0,"",IFERROR(_xll.ciqfunctions.udf.CIQ($G1561,$I1561,K$1557,Valuation_Date_GC,ReportType,DataMode),"n/a"))</f>
        <v/>
      </c>
      <c r="L1561" s="1457" t="str">
        <f>IF($G1561=0,"",IFERROR(_xll.ciqfunctions.udf.CIQ($G1561,$I1561,L$1557,Valuation_Date_GC,ReportType,DataMode),"n/a"))</f>
        <v/>
      </c>
      <c r="M1561" s="1457" t="str">
        <f>IF($G1561=0,"",IFERROR(_xll.ciqfunctions.udf.CIQ($G1561,$I1561,M$1557,Valuation_Date_GC,ReportType,DataMode),"n/a"))</f>
        <v/>
      </c>
      <c r="N1561" s="1457" t="str">
        <f>IF($G1561=0,"",IFERROR(_xll.ciqfunctions.udf.CIQ($G1561,$I1561,N$1557,Valuation_Date_GC,ReportType,DataMode),"n/a"))</f>
        <v/>
      </c>
      <c r="O1561" s="1457" t="str">
        <f>IF($G1561=0,"",IFERROR(_xll.ciqfunctions.udf.CIQ($G1561,$I1561,O$1557,Valuation_Date_GC,ReportType,DataMode),"n/a"))</f>
        <v/>
      </c>
      <c r="P1561" s="1457" t="str">
        <f>IF($G1561=0,"",IFERROR(_xll.ciqfunctions.udf.CIQ($G1561,$I1561,P$1557,Valuation_Date_GC,ReportType,DataMode),"n/a"))</f>
        <v/>
      </c>
      <c r="Q1561" s="1457" t="str">
        <f>IF($G1561=0,"",IFERROR(_xll.ciqfunctions.udf.CIQ($G1561,$I1561,Q$1557,Valuation_Date_GC,ReportType,DataMode),"n/a"))</f>
        <v/>
      </c>
      <c r="R1561" s="1457" t="str">
        <f>IF($G1561=0,"",IFERROR(_xll.ciqfunctions.udf.CIQ($G1561,$I1561,R$1557,Valuation_Date_GC,ReportType,DataMode),"n/a"))</f>
        <v/>
      </c>
      <c r="S1561" s="1457" t="str">
        <f>IF($G1561=0,"",IFERROR(_xll.ciqfunctions.udf.CIQ($G1561,$I1561,S$1557,Valuation_Date_GC,ReportType,DataMode),"n/a"))</f>
        <v/>
      </c>
      <c r="T1561" s="1457" t="str">
        <f>IF($G1561=0,"",IFERROR(_xll.ciqfunctions.udf.CIQ($G1561,$I1561,T$1557,Valuation_Date_GC,ReportType,DataMode),"n/a"))</f>
        <v/>
      </c>
      <c r="U1561" s="1457" t="str">
        <f>IF($G1561=0,"",IFERROR(_xll.ciqfunctions.udf.CIQ($G1561,$I1561,U$1557,Valuation_Date_GC,ReportType,DataMode),"n/a"))</f>
        <v/>
      </c>
      <c r="V1561" s="1457" t="str">
        <f>IF($G1561=0,"",IFERROR(_xll.ciqfunctions.udf.CIQ($G1561,$I1561,V$1557,Valuation_Date_GC,ReportType,DataMode),"n/a"))</f>
        <v/>
      </c>
      <c r="W1561" s="1479"/>
      <c r="X1561" s="255"/>
      <c r="Y1561" s="89"/>
      <c r="Z1561" s="2060"/>
      <c r="AA1561" s="2060"/>
      <c r="AB1561" s="2060"/>
      <c r="AC1561" s="2060"/>
      <c r="AD1561" s="2060"/>
      <c r="AE1561" s="2060"/>
      <c r="AF1561" s="2060"/>
      <c r="AG1561" s="2060"/>
      <c r="AH1561" s="2060"/>
      <c r="AI1561" s="2060"/>
      <c r="AJ1561" s="2060"/>
      <c r="AK1561" s="2060"/>
      <c r="AL1561" s="2060"/>
      <c r="AM1561" s="2060"/>
      <c r="AN1561" s="2060"/>
      <c r="AO1561" s="2060"/>
      <c r="AP1561" s="2060"/>
      <c r="AQ1561" s="2060"/>
      <c r="AR1561" s="2060"/>
      <c r="AS1561" s="2060"/>
      <c r="AT1561" s="2060"/>
      <c r="AU1561" s="2060"/>
      <c r="AV1561" s="2060"/>
      <c r="AW1561" s="2060"/>
      <c r="AX1561" s="2060"/>
      <c r="AY1561" s="2060"/>
      <c r="AZ1561" s="2060"/>
      <c r="BA1561" s="2060"/>
      <c r="BB1561" s="2060"/>
      <c r="BC1561" s="2060"/>
      <c r="BD1561" s="2060"/>
      <c r="BE1561" s="2060"/>
      <c r="BF1561" s="2060"/>
      <c r="BG1561" s="2060"/>
      <c r="BH1561" s="2060"/>
      <c r="BI1561" s="2060"/>
      <c r="BJ1561" s="2060"/>
      <c r="BK1561" s="2060"/>
      <c r="BL1561" s="2060"/>
      <c r="BM1561" s="2060"/>
      <c r="BN1561" s="2060"/>
      <c r="BO1561" s="2060"/>
      <c r="BP1561" s="2060"/>
      <c r="BQ1561" s="2060"/>
      <c r="BR1561" s="2060"/>
      <c r="BS1561" s="2060"/>
      <c r="BT1561" s="2060"/>
      <c r="BU1561" s="2060"/>
      <c r="BV1561" s="2060"/>
      <c r="BW1561" s="2060"/>
      <c r="BX1561" s="2060"/>
      <c r="BY1561" s="2060"/>
      <c r="BZ1561" s="2060"/>
      <c r="CA1561" s="2060"/>
      <c r="CB1561" s="2060"/>
      <c r="CC1561" s="2060"/>
      <c r="CD1561" s="2060"/>
      <c r="CE1561" s="2060"/>
      <c r="CF1561" s="2060"/>
      <c r="CG1561" s="2060"/>
      <c r="CH1561" s="2060"/>
      <c r="CI1561" s="2060"/>
      <c r="CJ1561" s="2060"/>
      <c r="CK1561" s="2060"/>
      <c r="CL1561" s="2060"/>
      <c r="CM1561" s="2060"/>
      <c r="CN1561" s="2060"/>
      <c r="CO1561" s="2060"/>
      <c r="CP1561" s="2060"/>
      <c r="CQ1561" s="2060"/>
      <c r="CR1561" s="2060"/>
      <c r="CS1561" s="2060"/>
      <c r="CT1561" s="2060"/>
      <c r="CU1561" s="2060"/>
      <c r="CV1561" s="2060"/>
      <c r="CW1561" s="2060"/>
      <c r="CX1561" s="2060"/>
      <c r="CY1561" s="2060"/>
      <c r="CZ1561" s="2060"/>
      <c r="DA1561" s="2060"/>
      <c r="DB1561" s="2060"/>
      <c r="DC1561" s="2060"/>
      <c r="DD1561" s="2060"/>
      <c r="DE1561" s="2060"/>
      <c r="DF1561" s="2060"/>
      <c r="DG1561" s="2060"/>
      <c r="DH1561" s="2060"/>
      <c r="DI1561" s="2060"/>
      <c r="DJ1561" s="2060"/>
      <c r="DK1561" s="2060"/>
      <c r="DL1561" s="2060"/>
      <c r="DM1561" s="2060"/>
      <c r="DN1561" s="2060"/>
      <c r="DO1561" s="2060"/>
      <c r="DP1561" s="2060"/>
      <c r="DQ1561" s="2060"/>
      <c r="DR1561" s="2060"/>
      <c r="DS1561" s="2060"/>
      <c r="DT1561" s="2060"/>
      <c r="DU1561" s="2060"/>
      <c r="DV1561" s="2060"/>
      <c r="DW1561" s="2060"/>
      <c r="DX1561" s="2060"/>
      <c r="DY1561" s="2060"/>
      <c r="DZ1561" s="2060"/>
      <c r="EA1561" s="2060"/>
      <c r="EB1561" s="2060"/>
      <c r="EC1561" s="2060"/>
      <c r="ED1561" s="2060"/>
      <c r="EE1561" s="2060"/>
      <c r="EF1561" s="2060"/>
      <c r="EG1561" s="2060"/>
      <c r="EH1561" s="2060"/>
      <c r="EI1561" s="2060"/>
      <c r="EJ1561" s="2060"/>
      <c r="EK1561" s="2060"/>
      <c r="EL1561" s="2060"/>
      <c r="EM1561" s="2060"/>
      <c r="EN1561" s="2060"/>
      <c r="EO1561" s="2060"/>
      <c r="EP1561" s="2060"/>
      <c r="EQ1561" s="2060"/>
      <c r="ER1561" s="2060"/>
      <c r="ES1561" s="2060"/>
      <c r="ET1561" s="2060"/>
      <c r="EU1561" s="2060"/>
      <c r="EV1561" s="2060"/>
      <c r="EW1561" s="2060"/>
      <c r="EX1561" s="2060"/>
      <c r="EY1561" s="2060"/>
      <c r="EZ1561" s="2060"/>
      <c r="FA1561" s="2060"/>
      <c r="FB1561" s="2060"/>
      <c r="FC1561" s="2060"/>
      <c r="FD1561" s="2060"/>
      <c r="FE1561" s="2060"/>
      <c r="FF1561" s="2060"/>
      <c r="FG1561" s="2060"/>
      <c r="FH1561" s="2060"/>
      <c r="FI1561" s="2060"/>
      <c r="FJ1561" s="2060"/>
      <c r="FK1561" s="2060"/>
      <c r="FL1561" s="2060"/>
      <c r="FM1561" s="2060"/>
      <c r="FN1561" s="2060"/>
      <c r="FO1561" s="2060"/>
      <c r="FP1561" s="2060"/>
      <c r="FQ1561" s="2060"/>
      <c r="FR1561" s="2060"/>
      <c r="FS1561" s="2060"/>
      <c r="FT1561" s="2060"/>
      <c r="FU1561" s="2060"/>
      <c r="FV1561" s="2060"/>
      <c r="FW1561" s="2060"/>
      <c r="FX1561" s="2060"/>
      <c r="FY1561" s="2060"/>
      <c r="FZ1561" s="2060"/>
      <c r="GA1561" s="2060"/>
      <c r="GB1561" s="2060"/>
      <c r="GC1561" s="2060"/>
      <c r="GD1561" s="2060"/>
      <c r="GE1561" s="2060"/>
      <c r="GF1561" s="2060"/>
      <c r="GG1561" s="2060"/>
      <c r="GH1561" s="2060"/>
      <c r="GI1561" s="2060"/>
      <c r="GJ1561" s="2060"/>
      <c r="GK1561" s="2060"/>
      <c r="GL1561" s="2060"/>
      <c r="GM1561" s="2060"/>
      <c r="GN1561" s="2060"/>
      <c r="GO1561" s="2060"/>
      <c r="GP1561" s="2060"/>
      <c r="GQ1561" s="2060"/>
      <c r="GR1561" s="2060"/>
      <c r="GS1561" s="2060"/>
      <c r="GT1561" s="2060"/>
      <c r="GU1561" s="2060"/>
      <c r="GV1561" s="2060"/>
      <c r="GW1561" s="2060"/>
      <c r="GX1561" s="2060"/>
      <c r="GY1561" s="2060"/>
      <c r="GZ1561" s="2060"/>
      <c r="HA1561" s="2060"/>
      <c r="HB1561" s="2060"/>
      <c r="HC1561" s="2060"/>
      <c r="HD1561" s="2060"/>
      <c r="HE1561" s="2060"/>
      <c r="HF1561" s="2060"/>
      <c r="HG1561" s="2060"/>
      <c r="HH1561" s="2060"/>
      <c r="HI1561" s="2060"/>
      <c r="HJ1561" s="2060"/>
      <c r="HK1561" s="2060"/>
      <c r="HL1561" s="2060"/>
      <c r="HM1561" s="2060"/>
      <c r="HN1561" s="2060"/>
      <c r="HO1561" s="2060"/>
      <c r="HP1561" s="2060"/>
      <c r="HQ1561" s="2060"/>
      <c r="HR1561" s="2060"/>
      <c r="HS1561" s="2060"/>
      <c r="HT1561" s="2060"/>
      <c r="HU1561" s="2060"/>
      <c r="HV1561" s="2060"/>
      <c r="HW1561" s="2060"/>
      <c r="HX1561" s="2060"/>
      <c r="HY1561" s="2060"/>
      <c r="HZ1561" s="2060"/>
      <c r="IA1561" s="2060"/>
      <c r="IB1561" s="2060"/>
      <c r="IC1561" s="2060"/>
      <c r="ID1561" s="2060"/>
      <c r="IE1561" s="2060"/>
      <c r="IF1561" s="2060"/>
      <c r="IG1561" s="2060"/>
      <c r="IH1561" s="2060"/>
      <c r="II1561" s="2060"/>
      <c r="IJ1561" s="2060"/>
      <c r="IK1561" s="2060"/>
      <c r="IL1561" s="2060"/>
      <c r="IM1561" s="2060"/>
      <c r="IN1561" s="2060"/>
      <c r="IO1561" s="2060"/>
      <c r="IP1561" s="2060"/>
      <c r="IQ1561" s="2060"/>
      <c r="IR1561" s="2060"/>
      <c r="IS1561" s="2060"/>
      <c r="IT1561" s="2060"/>
      <c r="IU1561" s="2060"/>
      <c r="IV1561" s="2060"/>
      <c r="IW1561" s="2060"/>
      <c r="IX1561" s="2060"/>
      <c r="IY1561" s="2060"/>
      <c r="IZ1561" s="2060"/>
      <c r="JA1561" s="2060"/>
      <c r="JB1561" s="2060"/>
      <c r="JC1561" s="2060"/>
      <c r="JD1561" s="2060"/>
      <c r="JE1561" s="2060"/>
      <c r="JF1561" s="2060"/>
      <c r="JG1561" s="2060"/>
      <c r="JH1561" s="2060"/>
      <c r="JI1561" s="2060"/>
      <c r="JJ1561" s="2060"/>
      <c r="JK1561" s="2060"/>
      <c r="JL1561" s="2060"/>
      <c r="JM1561" s="2060"/>
      <c r="JN1561" s="2060"/>
      <c r="JO1561" s="2060"/>
      <c r="JP1561" s="2060"/>
      <c r="JQ1561" s="2060"/>
      <c r="JR1561" s="2060"/>
      <c r="JS1561" s="2060"/>
      <c r="JT1561" s="2060"/>
      <c r="JU1561" s="2060"/>
      <c r="JV1561" s="2060"/>
      <c r="JW1561" s="2060"/>
      <c r="JX1561" s="2060"/>
      <c r="JY1561" s="2060"/>
      <c r="JZ1561" s="2060"/>
      <c r="KA1561" s="2060"/>
      <c r="KB1561" s="2060"/>
      <c r="KC1561" s="2060"/>
      <c r="KD1561" s="2060"/>
      <c r="KE1561" s="2060"/>
      <c r="KF1561" s="2060"/>
      <c r="KG1561" s="2060"/>
      <c r="KH1561" s="2060"/>
      <c r="KI1561" s="2060"/>
      <c r="KJ1561" s="2060"/>
      <c r="KK1561" s="2060"/>
      <c r="KL1561" s="2060"/>
      <c r="KM1561" s="2060"/>
      <c r="KN1561" s="2060"/>
      <c r="KO1561" s="2060"/>
      <c r="KP1561" s="2060"/>
      <c r="KQ1561" s="2060"/>
      <c r="KR1561" s="2060"/>
      <c r="KS1561" s="2060"/>
      <c r="KT1561" s="2060"/>
      <c r="KU1561" s="2060"/>
      <c r="KV1561" s="2060"/>
      <c r="KW1561" s="2060"/>
      <c r="KX1561" s="2060"/>
      <c r="KY1561" s="2060"/>
      <c r="KZ1561" s="2060"/>
      <c r="LA1561" s="2060"/>
      <c r="LB1561" s="2060"/>
      <c r="LC1561" s="2060"/>
      <c r="LD1561" s="2060"/>
      <c r="LE1561" s="2060"/>
      <c r="LF1561" s="2060"/>
      <c r="LG1561" s="2060"/>
      <c r="LH1561" s="2060"/>
    </row>
    <row r="1562" spans="1:320" s="449" customFormat="1" ht="13.9">
      <c r="A1562" s="269" t="str">
        <f t="shared" si="439"/>
        <v>n</v>
      </c>
      <c r="B1562" s="2060"/>
      <c r="C1562" s="2060"/>
      <c r="D1562" s="2060"/>
      <c r="E1562" s="1661">
        <v>3</v>
      </c>
      <c r="F1562" s="1353" t="str">
        <f>F$131</f>
        <v>--</v>
      </c>
      <c r="G1562" s="1349">
        <f>G$131</f>
        <v>0</v>
      </c>
      <c r="H1562" s="1349"/>
      <c r="I1562" s="89" t="s">
        <v>850</v>
      </c>
      <c r="J1562" s="1457" t="str">
        <f>IF($G1562=0,"",IFERROR(_xll.ciqfunctions.udf.CIQ($G1562,$I1562,J$1557,Valuation_Date_GC,ReportType,DataMode),"n/a"))</f>
        <v/>
      </c>
      <c r="K1562" s="1457" t="str">
        <f>IF($G1562=0,"",IFERROR(_xll.ciqfunctions.udf.CIQ($G1562,$I1562,K$1557,Valuation_Date_GC,ReportType,DataMode),"n/a"))</f>
        <v/>
      </c>
      <c r="L1562" s="1457" t="str">
        <f>IF($G1562=0,"",IFERROR(_xll.ciqfunctions.udf.CIQ($G1562,$I1562,L$1557,Valuation_Date_GC,ReportType,DataMode),"n/a"))</f>
        <v/>
      </c>
      <c r="M1562" s="1457" t="str">
        <f>IF($G1562=0,"",IFERROR(_xll.ciqfunctions.udf.CIQ($G1562,$I1562,M$1557,Valuation_Date_GC,ReportType,DataMode),"n/a"))</f>
        <v/>
      </c>
      <c r="N1562" s="1457" t="str">
        <f>IF($G1562=0,"",IFERROR(_xll.ciqfunctions.udf.CIQ($G1562,$I1562,N$1557,Valuation_Date_GC,ReportType,DataMode),"n/a"))</f>
        <v/>
      </c>
      <c r="O1562" s="1457" t="str">
        <f>IF($G1562=0,"",IFERROR(_xll.ciqfunctions.udf.CIQ($G1562,$I1562,O$1557,Valuation_Date_GC,ReportType,DataMode),"n/a"))</f>
        <v/>
      </c>
      <c r="P1562" s="1457" t="str">
        <f>IF($G1562=0,"",IFERROR(_xll.ciqfunctions.udf.CIQ($G1562,$I1562,P$1557,Valuation_Date_GC,ReportType,DataMode),"n/a"))</f>
        <v/>
      </c>
      <c r="Q1562" s="1457" t="str">
        <f>IF($G1562=0,"",IFERROR(_xll.ciqfunctions.udf.CIQ($G1562,$I1562,Q$1557,Valuation_Date_GC,ReportType,DataMode),"n/a"))</f>
        <v/>
      </c>
      <c r="R1562" s="1457" t="str">
        <f>IF($G1562=0,"",IFERROR(_xll.ciqfunctions.udf.CIQ($G1562,$I1562,R$1557,Valuation_Date_GC,ReportType,DataMode),"n/a"))</f>
        <v/>
      </c>
      <c r="S1562" s="1457" t="str">
        <f>IF($G1562=0,"",IFERROR(_xll.ciqfunctions.udf.CIQ($G1562,$I1562,S$1557,Valuation_Date_GC,ReportType,DataMode),"n/a"))</f>
        <v/>
      </c>
      <c r="T1562" s="1457" t="str">
        <f>IF($G1562=0,"",IFERROR(_xll.ciqfunctions.udf.CIQ($G1562,$I1562,T$1557,Valuation_Date_GC,ReportType,DataMode),"n/a"))</f>
        <v/>
      </c>
      <c r="U1562" s="1457" t="str">
        <f>IF($G1562=0,"",IFERROR(_xll.ciqfunctions.udf.CIQ($G1562,$I1562,U$1557,Valuation_Date_GC,ReportType,DataMode),"n/a"))</f>
        <v/>
      </c>
      <c r="V1562" s="1457" t="str">
        <f>IF($G1562=0,"",IFERROR(_xll.ciqfunctions.udf.CIQ($G1562,$I1562,V$1557,Valuation_Date_GC,ReportType,DataMode),"n/a"))</f>
        <v/>
      </c>
      <c r="W1562" s="1479"/>
      <c r="X1562" s="255"/>
      <c r="Y1562" s="89"/>
      <c r="Z1562" s="2060"/>
      <c r="AA1562" s="2060"/>
      <c r="AB1562" s="2060"/>
      <c r="AC1562" s="2060"/>
      <c r="AD1562" s="2060"/>
      <c r="AE1562" s="2060"/>
      <c r="AF1562" s="2060"/>
      <c r="AG1562" s="2060"/>
      <c r="AH1562" s="2060"/>
      <c r="AI1562" s="2060"/>
      <c r="AJ1562" s="2060"/>
      <c r="AK1562" s="2060"/>
      <c r="AL1562" s="2060"/>
      <c r="AM1562" s="2060"/>
      <c r="AN1562" s="2060"/>
      <c r="AO1562" s="2060"/>
      <c r="AP1562" s="2060"/>
      <c r="AQ1562" s="2060"/>
      <c r="AR1562" s="2060"/>
      <c r="AS1562" s="2060"/>
      <c r="AT1562" s="2060"/>
      <c r="AU1562" s="2060"/>
      <c r="AV1562" s="2060"/>
      <c r="AW1562" s="2060"/>
      <c r="AX1562" s="2060"/>
      <c r="AY1562" s="2060"/>
      <c r="AZ1562" s="2060"/>
      <c r="BA1562" s="2060"/>
      <c r="BB1562" s="2060"/>
      <c r="BC1562" s="2060"/>
      <c r="BD1562" s="2060"/>
      <c r="BE1562" s="2060"/>
      <c r="BF1562" s="2060"/>
      <c r="BG1562" s="2060"/>
      <c r="BH1562" s="2060"/>
      <c r="BI1562" s="2060"/>
      <c r="BJ1562" s="2060"/>
      <c r="BK1562" s="2060"/>
      <c r="BL1562" s="2060"/>
      <c r="BM1562" s="2060"/>
      <c r="BN1562" s="2060"/>
      <c r="BO1562" s="2060"/>
      <c r="BP1562" s="2060"/>
      <c r="BQ1562" s="2060"/>
      <c r="BR1562" s="2060"/>
      <c r="BS1562" s="2060"/>
      <c r="BT1562" s="2060"/>
      <c r="BU1562" s="2060"/>
      <c r="BV1562" s="2060"/>
      <c r="BW1562" s="2060"/>
      <c r="BX1562" s="2060"/>
      <c r="BY1562" s="2060"/>
      <c r="BZ1562" s="2060"/>
      <c r="CA1562" s="2060"/>
      <c r="CB1562" s="2060"/>
      <c r="CC1562" s="2060"/>
      <c r="CD1562" s="2060"/>
      <c r="CE1562" s="2060"/>
      <c r="CF1562" s="2060"/>
      <c r="CG1562" s="2060"/>
      <c r="CH1562" s="2060"/>
      <c r="CI1562" s="2060"/>
      <c r="CJ1562" s="2060"/>
      <c r="CK1562" s="2060"/>
      <c r="CL1562" s="2060"/>
      <c r="CM1562" s="2060"/>
      <c r="CN1562" s="2060"/>
      <c r="CO1562" s="2060"/>
      <c r="CP1562" s="2060"/>
      <c r="CQ1562" s="2060"/>
      <c r="CR1562" s="2060"/>
      <c r="CS1562" s="2060"/>
      <c r="CT1562" s="2060"/>
      <c r="CU1562" s="2060"/>
      <c r="CV1562" s="2060"/>
      <c r="CW1562" s="2060"/>
      <c r="CX1562" s="2060"/>
      <c r="CY1562" s="2060"/>
      <c r="CZ1562" s="2060"/>
      <c r="DA1562" s="2060"/>
      <c r="DB1562" s="2060"/>
      <c r="DC1562" s="2060"/>
      <c r="DD1562" s="2060"/>
      <c r="DE1562" s="2060"/>
      <c r="DF1562" s="2060"/>
      <c r="DG1562" s="2060"/>
      <c r="DH1562" s="2060"/>
      <c r="DI1562" s="2060"/>
      <c r="DJ1562" s="2060"/>
      <c r="DK1562" s="2060"/>
      <c r="DL1562" s="2060"/>
      <c r="DM1562" s="2060"/>
      <c r="DN1562" s="2060"/>
      <c r="DO1562" s="2060"/>
      <c r="DP1562" s="2060"/>
      <c r="DQ1562" s="2060"/>
      <c r="DR1562" s="2060"/>
      <c r="DS1562" s="2060"/>
      <c r="DT1562" s="2060"/>
      <c r="DU1562" s="2060"/>
      <c r="DV1562" s="2060"/>
      <c r="DW1562" s="2060"/>
      <c r="DX1562" s="2060"/>
      <c r="DY1562" s="2060"/>
      <c r="DZ1562" s="2060"/>
      <c r="EA1562" s="2060"/>
      <c r="EB1562" s="2060"/>
      <c r="EC1562" s="2060"/>
      <c r="ED1562" s="2060"/>
      <c r="EE1562" s="2060"/>
      <c r="EF1562" s="2060"/>
      <c r="EG1562" s="2060"/>
      <c r="EH1562" s="2060"/>
      <c r="EI1562" s="2060"/>
      <c r="EJ1562" s="2060"/>
      <c r="EK1562" s="2060"/>
      <c r="EL1562" s="2060"/>
      <c r="EM1562" s="2060"/>
      <c r="EN1562" s="2060"/>
      <c r="EO1562" s="2060"/>
      <c r="EP1562" s="2060"/>
      <c r="EQ1562" s="2060"/>
      <c r="ER1562" s="2060"/>
      <c r="ES1562" s="2060"/>
      <c r="ET1562" s="2060"/>
      <c r="EU1562" s="2060"/>
      <c r="EV1562" s="2060"/>
      <c r="EW1562" s="2060"/>
      <c r="EX1562" s="2060"/>
      <c r="EY1562" s="2060"/>
      <c r="EZ1562" s="2060"/>
      <c r="FA1562" s="2060"/>
      <c r="FB1562" s="2060"/>
      <c r="FC1562" s="2060"/>
      <c r="FD1562" s="2060"/>
      <c r="FE1562" s="2060"/>
      <c r="FF1562" s="2060"/>
      <c r="FG1562" s="2060"/>
      <c r="FH1562" s="2060"/>
      <c r="FI1562" s="2060"/>
      <c r="FJ1562" s="2060"/>
      <c r="FK1562" s="2060"/>
      <c r="FL1562" s="2060"/>
      <c r="FM1562" s="2060"/>
      <c r="FN1562" s="2060"/>
      <c r="FO1562" s="2060"/>
      <c r="FP1562" s="2060"/>
      <c r="FQ1562" s="2060"/>
      <c r="FR1562" s="2060"/>
      <c r="FS1562" s="2060"/>
      <c r="FT1562" s="2060"/>
      <c r="FU1562" s="2060"/>
      <c r="FV1562" s="2060"/>
      <c r="FW1562" s="2060"/>
      <c r="FX1562" s="2060"/>
      <c r="FY1562" s="2060"/>
      <c r="FZ1562" s="2060"/>
      <c r="GA1562" s="2060"/>
      <c r="GB1562" s="2060"/>
      <c r="GC1562" s="2060"/>
      <c r="GD1562" s="2060"/>
      <c r="GE1562" s="2060"/>
      <c r="GF1562" s="2060"/>
      <c r="GG1562" s="2060"/>
      <c r="GH1562" s="2060"/>
      <c r="GI1562" s="2060"/>
      <c r="GJ1562" s="2060"/>
      <c r="GK1562" s="2060"/>
      <c r="GL1562" s="2060"/>
      <c r="GM1562" s="2060"/>
      <c r="GN1562" s="2060"/>
      <c r="GO1562" s="2060"/>
      <c r="GP1562" s="2060"/>
      <c r="GQ1562" s="2060"/>
      <c r="GR1562" s="2060"/>
      <c r="GS1562" s="2060"/>
      <c r="GT1562" s="2060"/>
      <c r="GU1562" s="2060"/>
      <c r="GV1562" s="2060"/>
      <c r="GW1562" s="2060"/>
      <c r="GX1562" s="2060"/>
      <c r="GY1562" s="2060"/>
      <c r="GZ1562" s="2060"/>
      <c r="HA1562" s="2060"/>
      <c r="HB1562" s="2060"/>
      <c r="HC1562" s="2060"/>
      <c r="HD1562" s="2060"/>
      <c r="HE1562" s="2060"/>
      <c r="HF1562" s="2060"/>
      <c r="HG1562" s="2060"/>
      <c r="HH1562" s="2060"/>
      <c r="HI1562" s="2060"/>
      <c r="HJ1562" s="2060"/>
      <c r="HK1562" s="2060"/>
      <c r="HL1562" s="2060"/>
      <c r="HM1562" s="2060"/>
      <c r="HN1562" s="2060"/>
      <c r="HO1562" s="2060"/>
      <c r="HP1562" s="2060"/>
      <c r="HQ1562" s="2060"/>
      <c r="HR1562" s="2060"/>
      <c r="HS1562" s="2060"/>
      <c r="HT1562" s="2060"/>
      <c r="HU1562" s="2060"/>
      <c r="HV1562" s="2060"/>
      <c r="HW1562" s="2060"/>
      <c r="HX1562" s="2060"/>
      <c r="HY1562" s="2060"/>
      <c r="HZ1562" s="2060"/>
      <c r="IA1562" s="2060"/>
      <c r="IB1562" s="2060"/>
      <c r="IC1562" s="2060"/>
      <c r="ID1562" s="2060"/>
      <c r="IE1562" s="2060"/>
      <c r="IF1562" s="2060"/>
      <c r="IG1562" s="2060"/>
      <c r="IH1562" s="2060"/>
      <c r="II1562" s="2060"/>
      <c r="IJ1562" s="2060"/>
      <c r="IK1562" s="2060"/>
      <c r="IL1562" s="2060"/>
      <c r="IM1562" s="2060"/>
      <c r="IN1562" s="2060"/>
      <c r="IO1562" s="2060"/>
      <c r="IP1562" s="2060"/>
      <c r="IQ1562" s="2060"/>
      <c r="IR1562" s="2060"/>
      <c r="IS1562" s="2060"/>
      <c r="IT1562" s="2060"/>
      <c r="IU1562" s="2060"/>
      <c r="IV1562" s="2060"/>
      <c r="IW1562" s="2060"/>
      <c r="IX1562" s="2060"/>
      <c r="IY1562" s="2060"/>
      <c r="IZ1562" s="2060"/>
      <c r="JA1562" s="2060"/>
      <c r="JB1562" s="2060"/>
      <c r="JC1562" s="2060"/>
      <c r="JD1562" s="2060"/>
      <c r="JE1562" s="2060"/>
      <c r="JF1562" s="2060"/>
      <c r="JG1562" s="2060"/>
      <c r="JH1562" s="2060"/>
      <c r="JI1562" s="2060"/>
      <c r="JJ1562" s="2060"/>
      <c r="JK1562" s="2060"/>
      <c r="JL1562" s="2060"/>
      <c r="JM1562" s="2060"/>
      <c r="JN1562" s="2060"/>
      <c r="JO1562" s="2060"/>
      <c r="JP1562" s="2060"/>
      <c r="JQ1562" s="2060"/>
      <c r="JR1562" s="2060"/>
      <c r="JS1562" s="2060"/>
      <c r="JT1562" s="2060"/>
      <c r="JU1562" s="2060"/>
      <c r="JV1562" s="2060"/>
      <c r="JW1562" s="2060"/>
      <c r="JX1562" s="2060"/>
      <c r="JY1562" s="2060"/>
      <c r="JZ1562" s="2060"/>
      <c r="KA1562" s="2060"/>
      <c r="KB1562" s="2060"/>
      <c r="KC1562" s="2060"/>
      <c r="KD1562" s="2060"/>
      <c r="KE1562" s="2060"/>
      <c r="KF1562" s="2060"/>
      <c r="KG1562" s="2060"/>
      <c r="KH1562" s="2060"/>
      <c r="KI1562" s="2060"/>
      <c r="KJ1562" s="2060"/>
      <c r="KK1562" s="2060"/>
      <c r="KL1562" s="2060"/>
      <c r="KM1562" s="2060"/>
      <c r="KN1562" s="2060"/>
      <c r="KO1562" s="2060"/>
      <c r="KP1562" s="2060"/>
      <c r="KQ1562" s="2060"/>
      <c r="KR1562" s="2060"/>
      <c r="KS1562" s="2060"/>
      <c r="KT1562" s="2060"/>
      <c r="KU1562" s="2060"/>
      <c r="KV1562" s="2060"/>
      <c r="KW1562" s="2060"/>
      <c r="KX1562" s="2060"/>
      <c r="KY1562" s="2060"/>
      <c r="KZ1562" s="2060"/>
      <c r="LA1562" s="2060"/>
      <c r="LB1562" s="2060"/>
      <c r="LC1562" s="2060"/>
      <c r="LD1562" s="2060"/>
      <c r="LE1562" s="2060"/>
      <c r="LF1562" s="2060"/>
      <c r="LG1562" s="2060"/>
      <c r="LH1562" s="2060"/>
    </row>
    <row r="1563" spans="1:320" s="449" customFormat="1" ht="13.9">
      <c r="A1563" s="269" t="str">
        <f t="shared" si="439"/>
        <v>n</v>
      </c>
      <c r="B1563" s="2060"/>
      <c r="C1563" s="2060"/>
      <c r="D1563" s="2060"/>
      <c r="E1563" s="1661">
        <v>4</v>
      </c>
      <c r="F1563" s="1353" t="str">
        <f>F$132</f>
        <v>--</v>
      </c>
      <c r="G1563" s="1349">
        <f>G$132</f>
        <v>0</v>
      </c>
      <c r="H1563" s="1349"/>
      <c r="I1563" s="89" t="s">
        <v>850</v>
      </c>
      <c r="J1563" s="1457" t="str">
        <f>IF($G1563=0,"",IFERROR(_xll.ciqfunctions.udf.CIQ($G1563,$I1563,J$1557,Valuation_Date_GC,ReportType,DataMode),"n/a"))</f>
        <v/>
      </c>
      <c r="K1563" s="1457" t="str">
        <f>IF($G1563=0,"",IFERROR(_xll.ciqfunctions.udf.CIQ($G1563,$I1563,K$1557,Valuation_Date_GC,ReportType,DataMode),"n/a"))</f>
        <v/>
      </c>
      <c r="L1563" s="1457" t="str">
        <f>IF($G1563=0,"",IFERROR(_xll.ciqfunctions.udf.CIQ($G1563,$I1563,L$1557,Valuation_Date_GC,ReportType,DataMode),"n/a"))</f>
        <v/>
      </c>
      <c r="M1563" s="1457" t="str">
        <f>IF($G1563=0,"",IFERROR(_xll.ciqfunctions.udf.CIQ($G1563,$I1563,M$1557,Valuation_Date_GC,ReportType,DataMode),"n/a"))</f>
        <v/>
      </c>
      <c r="N1563" s="1457" t="str">
        <f>IF($G1563=0,"",IFERROR(_xll.ciqfunctions.udf.CIQ($G1563,$I1563,N$1557,Valuation_Date_GC,ReportType,DataMode),"n/a"))</f>
        <v/>
      </c>
      <c r="O1563" s="1457" t="str">
        <f>IF($G1563=0,"",IFERROR(_xll.ciqfunctions.udf.CIQ($G1563,$I1563,O$1557,Valuation_Date_GC,ReportType,DataMode),"n/a"))</f>
        <v/>
      </c>
      <c r="P1563" s="1457" t="str">
        <f>IF($G1563=0,"",IFERROR(_xll.ciqfunctions.udf.CIQ($G1563,$I1563,P$1557,Valuation_Date_GC,ReportType,DataMode),"n/a"))</f>
        <v/>
      </c>
      <c r="Q1563" s="1457" t="str">
        <f>IF($G1563=0,"",IFERROR(_xll.ciqfunctions.udf.CIQ($G1563,$I1563,Q$1557,Valuation_Date_GC,ReportType,DataMode),"n/a"))</f>
        <v/>
      </c>
      <c r="R1563" s="1457" t="str">
        <f>IF($G1563=0,"",IFERROR(_xll.ciqfunctions.udf.CIQ($G1563,$I1563,R$1557,Valuation_Date_GC,ReportType,DataMode),"n/a"))</f>
        <v/>
      </c>
      <c r="S1563" s="1457" t="str">
        <f>IF($G1563=0,"",IFERROR(_xll.ciqfunctions.udf.CIQ($G1563,$I1563,S$1557,Valuation_Date_GC,ReportType,DataMode),"n/a"))</f>
        <v/>
      </c>
      <c r="T1563" s="1457" t="str">
        <f>IF($G1563=0,"",IFERROR(_xll.ciqfunctions.udf.CIQ($G1563,$I1563,T$1557,Valuation_Date_GC,ReportType,DataMode),"n/a"))</f>
        <v/>
      </c>
      <c r="U1563" s="1457" t="str">
        <f>IF($G1563=0,"",IFERROR(_xll.ciqfunctions.udf.CIQ($G1563,$I1563,U$1557,Valuation_Date_GC,ReportType,DataMode),"n/a"))</f>
        <v/>
      </c>
      <c r="V1563" s="1457" t="str">
        <f>IF($G1563=0,"",IFERROR(_xll.ciqfunctions.udf.CIQ($G1563,$I1563,V$1557,Valuation_Date_GC,ReportType,DataMode),"n/a"))</f>
        <v/>
      </c>
      <c r="W1563" s="1479"/>
      <c r="X1563" s="255"/>
      <c r="Y1563" s="89"/>
      <c r="Z1563" s="2060"/>
      <c r="AA1563" s="2060"/>
      <c r="AB1563" s="2060"/>
      <c r="AC1563" s="2060"/>
      <c r="AD1563" s="2060"/>
      <c r="AE1563" s="2060"/>
      <c r="AF1563" s="2060"/>
      <c r="AG1563" s="2060"/>
      <c r="AH1563" s="2060"/>
      <c r="AI1563" s="2060"/>
      <c r="AJ1563" s="2060"/>
      <c r="AK1563" s="2060"/>
      <c r="AL1563" s="2060"/>
      <c r="AM1563" s="2060"/>
      <c r="AN1563" s="2060"/>
      <c r="AO1563" s="2060"/>
      <c r="AP1563" s="2060"/>
      <c r="AQ1563" s="2060"/>
      <c r="AR1563" s="2060"/>
      <c r="AS1563" s="2060"/>
      <c r="AT1563" s="2060"/>
      <c r="AU1563" s="2060"/>
      <c r="AV1563" s="2060"/>
      <c r="AW1563" s="2060"/>
      <c r="AX1563" s="2060"/>
      <c r="AY1563" s="2060"/>
      <c r="AZ1563" s="2060"/>
      <c r="BA1563" s="2060"/>
      <c r="BB1563" s="2060"/>
      <c r="BC1563" s="2060"/>
      <c r="BD1563" s="2060"/>
      <c r="BE1563" s="2060"/>
      <c r="BF1563" s="2060"/>
      <c r="BG1563" s="2060"/>
      <c r="BH1563" s="2060"/>
      <c r="BI1563" s="2060"/>
      <c r="BJ1563" s="2060"/>
      <c r="BK1563" s="2060"/>
      <c r="BL1563" s="2060"/>
      <c r="BM1563" s="2060"/>
      <c r="BN1563" s="2060"/>
      <c r="BO1563" s="2060"/>
      <c r="BP1563" s="2060"/>
      <c r="BQ1563" s="2060"/>
      <c r="BR1563" s="2060"/>
      <c r="BS1563" s="2060"/>
      <c r="BT1563" s="2060"/>
      <c r="BU1563" s="2060"/>
      <c r="BV1563" s="2060"/>
      <c r="BW1563" s="2060"/>
      <c r="BX1563" s="2060"/>
      <c r="BY1563" s="2060"/>
      <c r="BZ1563" s="2060"/>
      <c r="CA1563" s="2060"/>
      <c r="CB1563" s="2060"/>
      <c r="CC1563" s="2060"/>
      <c r="CD1563" s="2060"/>
      <c r="CE1563" s="2060"/>
      <c r="CF1563" s="2060"/>
      <c r="CG1563" s="2060"/>
      <c r="CH1563" s="2060"/>
      <c r="CI1563" s="2060"/>
      <c r="CJ1563" s="2060"/>
      <c r="CK1563" s="2060"/>
      <c r="CL1563" s="2060"/>
      <c r="CM1563" s="2060"/>
      <c r="CN1563" s="2060"/>
      <c r="CO1563" s="2060"/>
      <c r="CP1563" s="2060"/>
      <c r="CQ1563" s="2060"/>
      <c r="CR1563" s="2060"/>
      <c r="CS1563" s="2060"/>
      <c r="CT1563" s="2060"/>
      <c r="CU1563" s="2060"/>
      <c r="CV1563" s="2060"/>
      <c r="CW1563" s="2060"/>
      <c r="CX1563" s="2060"/>
      <c r="CY1563" s="2060"/>
      <c r="CZ1563" s="2060"/>
      <c r="DA1563" s="2060"/>
      <c r="DB1563" s="2060"/>
      <c r="DC1563" s="2060"/>
      <c r="DD1563" s="2060"/>
      <c r="DE1563" s="2060"/>
      <c r="DF1563" s="2060"/>
      <c r="DG1563" s="2060"/>
      <c r="DH1563" s="2060"/>
      <c r="DI1563" s="2060"/>
      <c r="DJ1563" s="2060"/>
      <c r="DK1563" s="2060"/>
      <c r="DL1563" s="2060"/>
      <c r="DM1563" s="2060"/>
      <c r="DN1563" s="2060"/>
      <c r="DO1563" s="2060"/>
      <c r="DP1563" s="2060"/>
      <c r="DQ1563" s="2060"/>
      <c r="DR1563" s="2060"/>
      <c r="DS1563" s="2060"/>
      <c r="DT1563" s="2060"/>
      <c r="DU1563" s="2060"/>
      <c r="DV1563" s="2060"/>
      <c r="DW1563" s="2060"/>
      <c r="DX1563" s="2060"/>
      <c r="DY1563" s="2060"/>
      <c r="DZ1563" s="2060"/>
      <c r="EA1563" s="2060"/>
      <c r="EB1563" s="2060"/>
      <c r="EC1563" s="2060"/>
      <c r="ED1563" s="2060"/>
      <c r="EE1563" s="2060"/>
      <c r="EF1563" s="2060"/>
      <c r="EG1563" s="2060"/>
      <c r="EH1563" s="2060"/>
      <c r="EI1563" s="2060"/>
      <c r="EJ1563" s="2060"/>
      <c r="EK1563" s="2060"/>
      <c r="EL1563" s="2060"/>
      <c r="EM1563" s="2060"/>
      <c r="EN1563" s="2060"/>
      <c r="EO1563" s="2060"/>
      <c r="EP1563" s="2060"/>
      <c r="EQ1563" s="2060"/>
      <c r="ER1563" s="2060"/>
      <c r="ES1563" s="2060"/>
      <c r="ET1563" s="2060"/>
      <c r="EU1563" s="2060"/>
      <c r="EV1563" s="2060"/>
      <c r="EW1563" s="2060"/>
      <c r="EX1563" s="2060"/>
      <c r="EY1563" s="2060"/>
      <c r="EZ1563" s="2060"/>
      <c r="FA1563" s="2060"/>
      <c r="FB1563" s="2060"/>
      <c r="FC1563" s="2060"/>
      <c r="FD1563" s="2060"/>
      <c r="FE1563" s="2060"/>
      <c r="FF1563" s="2060"/>
      <c r="FG1563" s="2060"/>
      <c r="FH1563" s="2060"/>
      <c r="FI1563" s="2060"/>
      <c r="FJ1563" s="2060"/>
      <c r="FK1563" s="2060"/>
      <c r="FL1563" s="2060"/>
      <c r="FM1563" s="2060"/>
      <c r="FN1563" s="2060"/>
      <c r="FO1563" s="2060"/>
      <c r="FP1563" s="2060"/>
      <c r="FQ1563" s="2060"/>
      <c r="FR1563" s="2060"/>
      <c r="FS1563" s="2060"/>
      <c r="FT1563" s="2060"/>
      <c r="FU1563" s="2060"/>
      <c r="FV1563" s="2060"/>
      <c r="FW1563" s="2060"/>
      <c r="FX1563" s="2060"/>
      <c r="FY1563" s="2060"/>
      <c r="FZ1563" s="2060"/>
      <c r="GA1563" s="2060"/>
      <c r="GB1563" s="2060"/>
      <c r="GC1563" s="2060"/>
      <c r="GD1563" s="2060"/>
      <c r="GE1563" s="2060"/>
      <c r="GF1563" s="2060"/>
      <c r="GG1563" s="2060"/>
      <c r="GH1563" s="2060"/>
      <c r="GI1563" s="2060"/>
      <c r="GJ1563" s="2060"/>
      <c r="GK1563" s="2060"/>
      <c r="GL1563" s="2060"/>
      <c r="GM1563" s="2060"/>
      <c r="GN1563" s="2060"/>
      <c r="GO1563" s="2060"/>
      <c r="GP1563" s="2060"/>
      <c r="GQ1563" s="2060"/>
      <c r="GR1563" s="2060"/>
      <c r="GS1563" s="2060"/>
      <c r="GT1563" s="2060"/>
      <c r="GU1563" s="2060"/>
      <c r="GV1563" s="2060"/>
      <c r="GW1563" s="2060"/>
      <c r="GX1563" s="2060"/>
      <c r="GY1563" s="2060"/>
      <c r="GZ1563" s="2060"/>
      <c r="HA1563" s="2060"/>
      <c r="HB1563" s="2060"/>
      <c r="HC1563" s="2060"/>
      <c r="HD1563" s="2060"/>
      <c r="HE1563" s="2060"/>
      <c r="HF1563" s="2060"/>
      <c r="HG1563" s="2060"/>
      <c r="HH1563" s="2060"/>
      <c r="HI1563" s="2060"/>
      <c r="HJ1563" s="2060"/>
      <c r="HK1563" s="2060"/>
      <c r="HL1563" s="2060"/>
      <c r="HM1563" s="2060"/>
      <c r="HN1563" s="2060"/>
      <c r="HO1563" s="2060"/>
      <c r="HP1563" s="2060"/>
      <c r="HQ1563" s="2060"/>
      <c r="HR1563" s="2060"/>
      <c r="HS1563" s="2060"/>
      <c r="HT1563" s="2060"/>
      <c r="HU1563" s="2060"/>
      <c r="HV1563" s="2060"/>
      <c r="HW1563" s="2060"/>
      <c r="HX1563" s="2060"/>
      <c r="HY1563" s="2060"/>
      <c r="HZ1563" s="2060"/>
      <c r="IA1563" s="2060"/>
      <c r="IB1563" s="2060"/>
      <c r="IC1563" s="2060"/>
      <c r="ID1563" s="2060"/>
      <c r="IE1563" s="2060"/>
      <c r="IF1563" s="2060"/>
      <c r="IG1563" s="2060"/>
      <c r="IH1563" s="2060"/>
      <c r="II1563" s="2060"/>
      <c r="IJ1563" s="2060"/>
      <c r="IK1563" s="2060"/>
      <c r="IL1563" s="2060"/>
      <c r="IM1563" s="2060"/>
      <c r="IN1563" s="2060"/>
      <c r="IO1563" s="2060"/>
      <c r="IP1563" s="2060"/>
      <c r="IQ1563" s="2060"/>
      <c r="IR1563" s="2060"/>
      <c r="IS1563" s="2060"/>
      <c r="IT1563" s="2060"/>
      <c r="IU1563" s="2060"/>
      <c r="IV1563" s="2060"/>
      <c r="IW1563" s="2060"/>
      <c r="IX1563" s="2060"/>
      <c r="IY1563" s="2060"/>
      <c r="IZ1563" s="2060"/>
      <c r="JA1563" s="2060"/>
      <c r="JB1563" s="2060"/>
      <c r="JC1563" s="2060"/>
      <c r="JD1563" s="2060"/>
      <c r="JE1563" s="2060"/>
      <c r="JF1563" s="2060"/>
      <c r="JG1563" s="2060"/>
      <c r="JH1563" s="2060"/>
      <c r="JI1563" s="2060"/>
      <c r="JJ1563" s="2060"/>
      <c r="JK1563" s="2060"/>
      <c r="JL1563" s="2060"/>
      <c r="JM1563" s="2060"/>
      <c r="JN1563" s="2060"/>
      <c r="JO1563" s="2060"/>
      <c r="JP1563" s="2060"/>
      <c r="JQ1563" s="2060"/>
      <c r="JR1563" s="2060"/>
      <c r="JS1563" s="2060"/>
      <c r="JT1563" s="2060"/>
      <c r="JU1563" s="2060"/>
      <c r="JV1563" s="2060"/>
      <c r="JW1563" s="2060"/>
      <c r="JX1563" s="2060"/>
      <c r="JY1563" s="2060"/>
      <c r="JZ1563" s="2060"/>
      <c r="KA1563" s="2060"/>
      <c r="KB1563" s="2060"/>
      <c r="KC1563" s="2060"/>
      <c r="KD1563" s="2060"/>
      <c r="KE1563" s="2060"/>
      <c r="KF1563" s="2060"/>
      <c r="KG1563" s="2060"/>
      <c r="KH1563" s="2060"/>
      <c r="KI1563" s="2060"/>
      <c r="KJ1563" s="2060"/>
      <c r="KK1563" s="2060"/>
      <c r="KL1563" s="2060"/>
      <c r="KM1563" s="2060"/>
      <c r="KN1563" s="2060"/>
      <c r="KO1563" s="2060"/>
      <c r="KP1563" s="2060"/>
      <c r="KQ1563" s="2060"/>
      <c r="KR1563" s="2060"/>
      <c r="KS1563" s="2060"/>
      <c r="KT1563" s="2060"/>
      <c r="KU1563" s="2060"/>
      <c r="KV1563" s="2060"/>
      <c r="KW1563" s="2060"/>
      <c r="KX1563" s="2060"/>
      <c r="KY1563" s="2060"/>
      <c r="KZ1563" s="2060"/>
      <c r="LA1563" s="2060"/>
      <c r="LB1563" s="2060"/>
      <c r="LC1563" s="2060"/>
      <c r="LD1563" s="2060"/>
      <c r="LE1563" s="2060"/>
      <c r="LF1563" s="2060"/>
      <c r="LG1563" s="2060"/>
      <c r="LH1563" s="2060"/>
    </row>
    <row r="1564" spans="1:320" s="449" customFormat="1" ht="13.9">
      <c r="A1564" s="269" t="str">
        <f t="shared" si="439"/>
        <v>n</v>
      </c>
      <c r="B1564" s="2060"/>
      <c r="C1564" s="2060"/>
      <c r="D1564" s="2060"/>
      <c r="E1564" s="1661">
        <v>5</v>
      </c>
      <c r="F1564" s="1353" t="str">
        <f>F$133</f>
        <v>--</v>
      </c>
      <c r="G1564" s="1349">
        <f>G$133</f>
        <v>0</v>
      </c>
      <c r="H1564" s="1349"/>
      <c r="I1564" s="89" t="s">
        <v>850</v>
      </c>
      <c r="J1564" s="1457" t="str">
        <f>IF($G1564=0,"",IFERROR(_xll.ciqfunctions.udf.CIQ($G1564,$I1564,J$1557,Valuation_Date_GC,ReportType,DataMode),"n/a"))</f>
        <v/>
      </c>
      <c r="K1564" s="1457" t="str">
        <f>IF($G1564=0,"",IFERROR(_xll.ciqfunctions.udf.CIQ($G1564,$I1564,K$1557,Valuation_Date_GC,ReportType,DataMode),"n/a"))</f>
        <v/>
      </c>
      <c r="L1564" s="1457" t="str">
        <f>IF($G1564=0,"",IFERROR(_xll.ciqfunctions.udf.CIQ($G1564,$I1564,L$1557,Valuation_Date_GC,ReportType,DataMode),"n/a"))</f>
        <v/>
      </c>
      <c r="M1564" s="1457" t="str">
        <f>IF($G1564=0,"",IFERROR(_xll.ciqfunctions.udf.CIQ($G1564,$I1564,M$1557,Valuation_Date_GC,ReportType,DataMode),"n/a"))</f>
        <v/>
      </c>
      <c r="N1564" s="1457" t="str">
        <f>IF($G1564=0,"",IFERROR(_xll.ciqfunctions.udf.CIQ($G1564,$I1564,N$1557,Valuation_Date_GC,ReportType,DataMode),"n/a"))</f>
        <v/>
      </c>
      <c r="O1564" s="1457" t="str">
        <f>IF($G1564=0,"",IFERROR(_xll.ciqfunctions.udf.CIQ($G1564,$I1564,O$1557,Valuation_Date_GC,ReportType,DataMode),"n/a"))</f>
        <v/>
      </c>
      <c r="P1564" s="1457" t="str">
        <f>IF($G1564=0,"",IFERROR(_xll.ciqfunctions.udf.CIQ($G1564,$I1564,P$1557,Valuation_Date_GC,ReportType,DataMode),"n/a"))</f>
        <v/>
      </c>
      <c r="Q1564" s="1457" t="str">
        <f>IF($G1564=0,"",IFERROR(_xll.ciqfunctions.udf.CIQ($G1564,$I1564,Q$1557,Valuation_Date_GC,ReportType,DataMode),"n/a"))</f>
        <v/>
      </c>
      <c r="R1564" s="1457" t="str">
        <f>IF($G1564=0,"",IFERROR(_xll.ciqfunctions.udf.CIQ($G1564,$I1564,R$1557,Valuation_Date_GC,ReportType,DataMode),"n/a"))</f>
        <v/>
      </c>
      <c r="S1564" s="1457" t="str">
        <f>IF($G1564=0,"",IFERROR(_xll.ciqfunctions.udf.CIQ($G1564,$I1564,S$1557,Valuation_Date_GC,ReportType,DataMode),"n/a"))</f>
        <v/>
      </c>
      <c r="T1564" s="1457" t="str">
        <f>IF($G1564=0,"",IFERROR(_xll.ciqfunctions.udf.CIQ($G1564,$I1564,T$1557,Valuation_Date_GC,ReportType,DataMode),"n/a"))</f>
        <v/>
      </c>
      <c r="U1564" s="1457" t="str">
        <f>IF($G1564=0,"",IFERROR(_xll.ciqfunctions.udf.CIQ($G1564,$I1564,U$1557,Valuation_Date_GC,ReportType,DataMode),"n/a"))</f>
        <v/>
      </c>
      <c r="V1564" s="1457" t="str">
        <f>IF($G1564=0,"",IFERROR(_xll.ciqfunctions.udf.CIQ($G1564,$I1564,V$1557,Valuation_Date_GC,ReportType,DataMode),"n/a"))</f>
        <v/>
      </c>
      <c r="W1564" s="1479"/>
      <c r="X1564" s="255"/>
      <c r="Y1564" s="89"/>
      <c r="Z1564" s="2060"/>
      <c r="AA1564" s="2060"/>
      <c r="AB1564" s="2060"/>
      <c r="AC1564" s="2060"/>
      <c r="AD1564" s="2060"/>
      <c r="AE1564" s="2060"/>
      <c r="AF1564" s="2060"/>
      <c r="AG1564" s="2060"/>
      <c r="AH1564" s="2060"/>
      <c r="AI1564" s="2060"/>
      <c r="AJ1564" s="2060"/>
      <c r="AK1564" s="2060"/>
      <c r="AL1564" s="2060"/>
      <c r="AM1564" s="2060"/>
      <c r="AN1564" s="2060"/>
      <c r="AO1564" s="2060"/>
      <c r="AP1564" s="2060"/>
      <c r="AQ1564" s="2060"/>
      <c r="AR1564" s="2060"/>
      <c r="AS1564" s="2060"/>
      <c r="AT1564" s="2060"/>
      <c r="AU1564" s="2060"/>
      <c r="AV1564" s="2060"/>
      <c r="AW1564" s="2060"/>
      <c r="AX1564" s="2060"/>
      <c r="AY1564" s="2060"/>
      <c r="AZ1564" s="2060"/>
      <c r="BA1564" s="2060"/>
      <c r="BB1564" s="2060"/>
      <c r="BC1564" s="2060"/>
      <c r="BD1564" s="2060"/>
      <c r="BE1564" s="2060"/>
      <c r="BF1564" s="2060"/>
      <c r="BG1564" s="2060"/>
      <c r="BH1564" s="2060"/>
      <c r="BI1564" s="2060"/>
      <c r="BJ1564" s="2060"/>
      <c r="BK1564" s="2060"/>
      <c r="BL1564" s="2060"/>
      <c r="BM1564" s="2060"/>
      <c r="BN1564" s="2060"/>
      <c r="BO1564" s="2060"/>
      <c r="BP1564" s="2060"/>
      <c r="BQ1564" s="2060"/>
      <c r="BR1564" s="2060"/>
      <c r="BS1564" s="2060"/>
      <c r="BT1564" s="2060"/>
      <c r="BU1564" s="2060"/>
      <c r="BV1564" s="2060"/>
      <c r="BW1564" s="2060"/>
      <c r="BX1564" s="2060"/>
      <c r="BY1564" s="2060"/>
      <c r="BZ1564" s="2060"/>
      <c r="CA1564" s="2060"/>
      <c r="CB1564" s="2060"/>
      <c r="CC1564" s="2060"/>
      <c r="CD1564" s="2060"/>
      <c r="CE1564" s="2060"/>
      <c r="CF1564" s="2060"/>
      <c r="CG1564" s="2060"/>
      <c r="CH1564" s="2060"/>
      <c r="CI1564" s="2060"/>
      <c r="CJ1564" s="2060"/>
      <c r="CK1564" s="2060"/>
      <c r="CL1564" s="2060"/>
      <c r="CM1564" s="2060"/>
      <c r="CN1564" s="2060"/>
      <c r="CO1564" s="2060"/>
      <c r="CP1564" s="2060"/>
      <c r="CQ1564" s="2060"/>
      <c r="CR1564" s="2060"/>
      <c r="CS1564" s="2060"/>
      <c r="CT1564" s="2060"/>
      <c r="CU1564" s="2060"/>
      <c r="CV1564" s="2060"/>
      <c r="CW1564" s="2060"/>
      <c r="CX1564" s="2060"/>
      <c r="CY1564" s="2060"/>
      <c r="CZ1564" s="2060"/>
      <c r="DA1564" s="2060"/>
      <c r="DB1564" s="2060"/>
      <c r="DC1564" s="2060"/>
      <c r="DD1564" s="2060"/>
      <c r="DE1564" s="2060"/>
      <c r="DF1564" s="2060"/>
      <c r="DG1564" s="2060"/>
      <c r="DH1564" s="2060"/>
      <c r="DI1564" s="2060"/>
      <c r="DJ1564" s="2060"/>
      <c r="DK1564" s="2060"/>
      <c r="DL1564" s="2060"/>
      <c r="DM1564" s="2060"/>
      <c r="DN1564" s="2060"/>
      <c r="DO1564" s="2060"/>
      <c r="DP1564" s="2060"/>
      <c r="DQ1564" s="2060"/>
      <c r="DR1564" s="2060"/>
      <c r="DS1564" s="2060"/>
      <c r="DT1564" s="2060"/>
      <c r="DU1564" s="2060"/>
      <c r="DV1564" s="2060"/>
      <c r="DW1564" s="2060"/>
      <c r="DX1564" s="2060"/>
      <c r="DY1564" s="2060"/>
      <c r="DZ1564" s="2060"/>
      <c r="EA1564" s="2060"/>
      <c r="EB1564" s="2060"/>
      <c r="EC1564" s="2060"/>
      <c r="ED1564" s="2060"/>
      <c r="EE1564" s="2060"/>
      <c r="EF1564" s="2060"/>
      <c r="EG1564" s="2060"/>
      <c r="EH1564" s="2060"/>
      <c r="EI1564" s="2060"/>
      <c r="EJ1564" s="2060"/>
      <c r="EK1564" s="2060"/>
      <c r="EL1564" s="2060"/>
      <c r="EM1564" s="2060"/>
      <c r="EN1564" s="2060"/>
      <c r="EO1564" s="2060"/>
      <c r="EP1564" s="2060"/>
      <c r="EQ1564" s="2060"/>
      <c r="ER1564" s="2060"/>
      <c r="ES1564" s="2060"/>
      <c r="ET1564" s="2060"/>
      <c r="EU1564" s="2060"/>
      <c r="EV1564" s="2060"/>
      <c r="EW1564" s="2060"/>
      <c r="EX1564" s="2060"/>
      <c r="EY1564" s="2060"/>
      <c r="EZ1564" s="2060"/>
      <c r="FA1564" s="2060"/>
      <c r="FB1564" s="2060"/>
      <c r="FC1564" s="2060"/>
      <c r="FD1564" s="2060"/>
      <c r="FE1564" s="2060"/>
      <c r="FF1564" s="2060"/>
      <c r="FG1564" s="2060"/>
      <c r="FH1564" s="2060"/>
      <c r="FI1564" s="2060"/>
      <c r="FJ1564" s="2060"/>
      <c r="FK1564" s="2060"/>
      <c r="FL1564" s="2060"/>
      <c r="FM1564" s="2060"/>
      <c r="FN1564" s="2060"/>
      <c r="FO1564" s="2060"/>
      <c r="FP1564" s="2060"/>
      <c r="FQ1564" s="2060"/>
      <c r="FR1564" s="2060"/>
      <c r="FS1564" s="2060"/>
      <c r="FT1564" s="2060"/>
      <c r="FU1564" s="2060"/>
      <c r="FV1564" s="2060"/>
      <c r="FW1564" s="2060"/>
      <c r="FX1564" s="2060"/>
      <c r="FY1564" s="2060"/>
      <c r="FZ1564" s="2060"/>
      <c r="GA1564" s="2060"/>
      <c r="GB1564" s="2060"/>
      <c r="GC1564" s="2060"/>
      <c r="GD1564" s="2060"/>
      <c r="GE1564" s="2060"/>
      <c r="GF1564" s="2060"/>
      <c r="GG1564" s="2060"/>
      <c r="GH1564" s="2060"/>
      <c r="GI1564" s="2060"/>
      <c r="GJ1564" s="2060"/>
      <c r="GK1564" s="2060"/>
      <c r="GL1564" s="2060"/>
      <c r="GM1564" s="2060"/>
      <c r="GN1564" s="2060"/>
      <c r="GO1564" s="2060"/>
      <c r="GP1564" s="2060"/>
      <c r="GQ1564" s="2060"/>
      <c r="GR1564" s="2060"/>
      <c r="GS1564" s="2060"/>
      <c r="GT1564" s="2060"/>
      <c r="GU1564" s="2060"/>
      <c r="GV1564" s="2060"/>
      <c r="GW1564" s="2060"/>
      <c r="GX1564" s="2060"/>
      <c r="GY1564" s="2060"/>
      <c r="GZ1564" s="2060"/>
      <c r="HA1564" s="2060"/>
      <c r="HB1564" s="2060"/>
      <c r="HC1564" s="2060"/>
      <c r="HD1564" s="2060"/>
      <c r="HE1564" s="2060"/>
      <c r="HF1564" s="2060"/>
      <c r="HG1564" s="2060"/>
      <c r="HH1564" s="2060"/>
      <c r="HI1564" s="2060"/>
      <c r="HJ1564" s="2060"/>
      <c r="HK1564" s="2060"/>
      <c r="HL1564" s="2060"/>
      <c r="HM1564" s="2060"/>
      <c r="HN1564" s="2060"/>
      <c r="HO1564" s="2060"/>
      <c r="HP1564" s="2060"/>
      <c r="HQ1564" s="2060"/>
      <c r="HR1564" s="2060"/>
      <c r="HS1564" s="2060"/>
      <c r="HT1564" s="2060"/>
      <c r="HU1564" s="2060"/>
      <c r="HV1564" s="2060"/>
      <c r="HW1564" s="2060"/>
      <c r="HX1564" s="2060"/>
      <c r="HY1564" s="2060"/>
      <c r="HZ1564" s="2060"/>
      <c r="IA1564" s="2060"/>
      <c r="IB1564" s="2060"/>
      <c r="IC1564" s="2060"/>
      <c r="ID1564" s="2060"/>
      <c r="IE1564" s="2060"/>
      <c r="IF1564" s="2060"/>
      <c r="IG1564" s="2060"/>
      <c r="IH1564" s="2060"/>
      <c r="II1564" s="2060"/>
      <c r="IJ1564" s="2060"/>
      <c r="IK1564" s="2060"/>
      <c r="IL1564" s="2060"/>
      <c r="IM1564" s="2060"/>
      <c r="IN1564" s="2060"/>
      <c r="IO1564" s="2060"/>
      <c r="IP1564" s="2060"/>
      <c r="IQ1564" s="2060"/>
      <c r="IR1564" s="2060"/>
      <c r="IS1564" s="2060"/>
      <c r="IT1564" s="2060"/>
      <c r="IU1564" s="2060"/>
      <c r="IV1564" s="2060"/>
      <c r="IW1564" s="2060"/>
      <c r="IX1564" s="2060"/>
      <c r="IY1564" s="2060"/>
      <c r="IZ1564" s="2060"/>
      <c r="JA1564" s="2060"/>
      <c r="JB1564" s="2060"/>
      <c r="JC1564" s="2060"/>
      <c r="JD1564" s="2060"/>
      <c r="JE1564" s="2060"/>
      <c r="JF1564" s="2060"/>
      <c r="JG1564" s="2060"/>
      <c r="JH1564" s="2060"/>
      <c r="JI1564" s="2060"/>
      <c r="JJ1564" s="2060"/>
      <c r="JK1564" s="2060"/>
      <c r="JL1564" s="2060"/>
      <c r="JM1564" s="2060"/>
      <c r="JN1564" s="2060"/>
      <c r="JO1564" s="2060"/>
      <c r="JP1564" s="2060"/>
      <c r="JQ1564" s="2060"/>
      <c r="JR1564" s="2060"/>
      <c r="JS1564" s="2060"/>
      <c r="JT1564" s="2060"/>
      <c r="JU1564" s="2060"/>
      <c r="JV1564" s="2060"/>
      <c r="JW1564" s="2060"/>
      <c r="JX1564" s="2060"/>
      <c r="JY1564" s="2060"/>
      <c r="JZ1564" s="2060"/>
      <c r="KA1564" s="2060"/>
      <c r="KB1564" s="2060"/>
      <c r="KC1564" s="2060"/>
      <c r="KD1564" s="2060"/>
      <c r="KE1564" s="2060"/>
      <c r="KF1564" s="2060"/>
      <c r="KG1564" s="2060"/>
      <c r="KH1564" s="2060"/>
      <c r="KI1564" s="2060"/>
      <c r="KJ1564" s="2060"/>
      <c r="KK1564" s="2060"/>
      <c r="KL1564" s="2060"/>
      <c r="KM1564" s="2060"/>
      <c r="KN1564" s="2060"/>
      <c r="KO1564" s="2060"/>
      <c r="KP1564" s="2060"/>
      <c r="KQ1564" s="2060"/>
      <c r="KR1564" s="2060"/>
      <c r="KS1564" s="2060"/>
      <c r="KT1564" s="2060"/>
      <c r="KU1564" s="2060"/>
      <c r="KV1564" s="2060"/>
      <c r="KW1564" s="2060"/>
      <c r="KX1564" s="2060"/>
      <c r="KY1564" s="2060"/>
      <c r="KZ1564" s="2060"/>
      <c r="LA1564" s="2060"/>
      <c r="LB1564" s="2060"/>
      <c r="LC1564" s="2060"/>
      <c r="LD1564" s="2060"/>
      <c r="LE1564" s="2060"/>
      <c r="LF1564" s="2060"/>
      <c r="LG1564" s="2060"/>
      <c r="LH1564" s="2060"/>
    </row>
    <row r="1565" spans="1:320" s="449" customFormat="1" ht="13.9">
      <c r="A1565" s="269" t="str">
        <f t="shared" si="439"/>
        <v>n</v>
      </c>
      <c r="B1565" s="2060"/>
      <c r="C1565" s="2060"/>
      <c r="D1565" s="2060"/>
      <c r="E1565" s="1661">
        <v>6</v>
      </c>
      <c r="F1565" s="1353" t="str">
        <f>F$134</f>
        <v>--</v>
      </c>
      <c r="G1565" s="1349">
        <f>G$134</f>
        <v>0</v>
      </c>
      <c r="H1565" s="1349"/>
      <c r="I1565" s="89" t="s">
        <v>850</v>
      </c>
      <c r="J1565" s="1457" t="str">
        <f>IF($G1565=0,"",IFERROR(_xll.ciqfunctions.udf.CIQ($G1565,$I1565,J$1557,Valuation_Date_GC,ReportType,DataMode),"n/a"))</f>
        <v/>
      </c>
      <c r="K1565" s="1457" t="str">
        <f>IF($G1565=0,"",IFERROR(_xll.ciqfunctions.udf.CIQ($G1565,$I1565,K$1557,Valuation_Date_GC,ReportType,DataMode),"n/a"))</f>
        <v/>
      </c>
      <c r="L1565" s="1457" t="str">
        <f>IF($G1565=0,"",IFERROR(_xll.ciqfunctions.udf.CIQ($G1565,$I1565,L$1557,Valuation_Date_GC,ReportType,DataMode),"n/a"))</f>
        <v/>
      </c>
      <c r="M1565" s="1457" t="str">
        <f>IF($G1565=0,"",IFERROR(_xll.ciqfunctions.udf.CIQ($G1565,$I1565,M$1557,Valuation_Date_GC,ReportType,DataMode),"n/a"))</f>
        <v/>
      </c>
      <c r="N1565" s="1457" t="str">
        <f>IF($G1565=0,"",IFERROR(_xll.ciqfunctions.udf.CIQ($G1565,$I1565,N$1557,Valuation_Date_GC,ReportType,DataMode),"n/a"))</f>
        <v/>
      </c>
      <c r="O1565" s="1457" t="str">
        <f>IF($G1565=0,"",IFERROR(_xll.ciqfunctions.udf.CIQ($G1565,$I1565,O$1557,Valuation_Date_GC,ReportType,DataMode),"n/a"))</f>
        <v/>
      </c>
      <c r="P1565" s="1457" t="str">
        <f>IF($G1565=0,"",IFERROR(_xll.ciqfunctions.udf.CIQ($G1565,$I1565,P$1557,Valuation_Date_GC,ReportType,DataMode),"n/a"))</f>
        <v/>
      </c>
      <c r="Q1565" s="1457" t="str">
        <f>IF($G1565=0,"",IFERROR(_xll.ciqfunctions.udf.CIQ($G1565,$I1565,Q$1557,Valuation_Date_GC,ReportType,DataMode),"n/a"))</f>
        <v/>
      </c>
      <c r="R1565" s="1457" t="str">
        <f>IF($G1565=0,"",IFERROR(_xll.ciqfunctions.udf.CIQ($G1565,$I1565,R$1557,Valuation_Date_GC,ReportType,DataMode),"n/a"))</f>
        <v/>
      </c>
      <c r="S1565" s="1457" t="str">
        <f>IF($G1565=0,"",IFERROR(_xll.ciqfunctions.udf.CIQ($G1565,$I1565,S$1557,Valuation_Date_GC,ReportType,DataMode),"n/a"))</f>
        <v/>
      </c>
      <c r="T1565" s="1457" t="str">
        <f>IF($G1565=0,"",IFERROR(_xll.ciqfunctions.udf.CIQ($G1565,$I1565,T$1557,Valuation_Date_GC,ReportType,DataMode),"n/a"))</f>
        <v/>
      </c>
      <c r="U1565" s="1457" t="str">
        <f>IF($G1565=0,"",IFERROR(_xll.ciqfunctions.udf.CIQ($G1565,$I1565,U$1557,Valuation_Date_GC,ReportType,DataMode),"n/a"))</f>
        <v/>
      </c>
      <c r="V1565" s="1457" t="str">
        <f>IF($G1565=0,"",IFERROR(_xll.ciqfunctions.udf.CIQ($G1565,$I1565,V$1557,Valuation_Date_GC,ReportType,DataMode),"n/a"))</f>
        <v/>
      </c>
      <c r="W1565" s="1479"/>
      <c r="X1565" s="255"/>
      <c r="Y1565" s="89"/>
      <c r="Z1565" s="2060"/>
      <c r="AA1565" s="2060"/>
      <c r="AB1565" s="2060"/>
      <c r="AC1565" s="2060"/>
      <c r="AD1565" s="2060"/>
      <c r="AE1565" s="2060"/>
      <c r="AF1565" s="2060"/>
      <c r="AG1565" s="2060"/>
      <c r="AH1565" s="2060"/>
      <c r="AI1565" s="2060"/>
      <c r="AJ1565" s="2060"/>
      <c r="AK1565" s="2060"/>
      <c r="AL1565" s="2060"/>
      <c r="AM1565" s="2060"/>
      <c r="AN1565" s="2060"/>
      <c r="AO1565" s="2060"/>
      <c r="AP1565" s="2060"/>
      <c r="AQ1565" s="2060"/>
      <c r="AR1565" s="2060"/>
      <c r="AS1565" s="2060"/>
      <c r="AT1565" s="2060"/>
      <c r="AU1565" s="2060"/>
      <c r="AV1565" s="2060"/>
      <c r="AW1565" s="2060"/>
      <c r="AX1565" s="2060"/>
      <c r="AY1565" s="2060"/>
      <c r="AZ1565" s="2060"/>
      <c r="BA1565" s="2060"/>
      <c r="BB1565" s="2060"/>
      <c r="BC1565" s="2060"/>
      <c r="BD1565" s="2060"/>
      <c r="BE1565" s="2060"/>
      <c r="BF1565" s="2060"/>
      <c r="BG1565" s="2060"/>
      <c r="BH1565" s="2060"/>
      <c r="BI1565" s="2060"/>
      <c r="BJ1565" s="2060"/>
      <c r="BK1565" s="2060"/>
      <c r="BL1565" s="2060"/>
      <c r="BM1565" s="2060"/>
      <c r="BN1565" s="2060"/>
      <c r="BO1565" s="2060"/>
      <c r="BP1565" s="2060"/>
      <c r="BQ1565" s="2060"/>
      <c r="BR1565" s="2060"/>
      <c r="BS1565" s="2060"/>
      <c r="BT1565" s="2060"/>
      <c r="BU1565" s="2060"/>
      <c r="BV1565" s="2060"/>
      <c r="BW1565" s="2060"/>
      <c r="BX1565" s="2060"/>
      <c r="BY1565" s="2060"/>
      <c r="BZ1565" s="2060"/>
      <c r="CA1565" s="2060"/>
      <c r="CB1565" s="2060"/>
      <c r="CC1565" s="2060"/>
      <c r="CD1565" s="2060"/>
      <c r="CE1565" s="2060"/>
      <c r="CF1565" s="2060"/>
      <c r="CG1565" s="2060"/>
      <c r="CH1565" s="2060"/>
      <c r="CI1565" s="2060"/>
      <c r="CJ1565" s="2060"/>
      <c r="CK1565" s="2060"/>
      <c r="CL1565" s="2060"/>
      <c r="CM1565" s="2060"/>
      <c r="CN1565" s="2060"/>
      <c r="CO1565" s="2060"/>
      <c r="CP1565" s="2060"/>
      <c r="CQ1565" s="2060"/>
      <c r="CR1565" s="2060"/>
      <c r="CS1565" s="2060"/>
      <c r="CT1565" s="2060"/>
      <c r="CU1565" s="2060"/>
      <c r="CV1565" s="2060"/>
      <c r="CW1565" s="2060"/>
      <c r="CX1565" s="2060"/>
      <c r="CY1565" s="2060"/>
      <c r="CZ1565" s="2060"/>
      <c r="DA1565" s="2060"/>
      <c r="DB1565" s="2060"/>
      <c r="DC1565" s="2060"/>
      <c r="DD1565" s="2060"/>
      <c r="DE1565" s="2060"/>
      <c r="DF1565" s="2060"/>
      <c r="DG1565" s="2060"/>
      <c r="DH1565" s="2060"/>
      <c r="DI1565" s="2060"/>
      <c r="DJ1565" s="2060"/>
      <c r="DK1565" s="2060"/>
      <c r="DL1565" s="2060"/>
      <c r="DM1565" s="2060"/>
      <c r="DN1565" s="2060"/>
      <c r="DO1565" s="2060"/>
      <c r="DP1565" s="2060"/>
      <c r="DQ1565" s="2060"/>
      <c r="DR1565" s="2060"/>
      <c r="DS1565" s="2060"/>
      <c r="DT1565" s="2060"/>
      <c r="DU1565" s="2060"/>
      <c r="DV1565" s="2060"/>
      <c r="DW1565" s="2060"/>
      <c r="DX1565" s="2060"/>
      <c r="DY1565" s="2060"/>
      <c r="DZ1565" s="2060"/>
      <c r="EA1565" s="2060"/>
      <c r="EB1565" s="2060"/>
      <c r="EC1565" s="2060"/>
      <c r="ED1565" s="2060"/>
      <c r="EE1565" s="2060"/>
      <c r="EF1565" s="2060"/>
      <c r="EG1565" s="2060"/>
      <c r="EH1565" s="2060"/>
      <c r="EI1565" s="2060"/>
      <c r="EJ1565" s="2060"/>
      <c r="EK1565" s="2060"/>
      <c r="EL1565" s="2060"/>
      <c r="EM1565" s="2060"/>
      <c r="EN1565" s="2060"/>
      <c r="EO1565" s="2060"/>
      <c r="EP1565" s="2060"/>
      <c r="EQ1565" s="2060"/>
      <c r="ER1565" s="2060"/>
      <c r="ES1565" s="2060"/>
      <c r="ET1565" s="2060"/>
      <c r="EU1565" s="2060"/>
      <c r="EV1565" s="2060"/>
      <c r="EW1565" s="2060"/>
      <c r="EX1565" s="2060"/>
      <c r="EY1565" s="2060"/>
      <c r="EZ1565" s="2060"/>
      <c r="FA1565" s="2060"/>
      <c r="FB1565" s="2060"/>
      <c r="FC1565" s="2060"/>
      <c r="FD1565" s="2060"/>
      <c r="FE1565" s="2060"/>
      <c r="FF1565" s="2060"/>
      <c r="FG1565" s="2060"/>
      <c r="FH1565" s="2060"/>
      <c r="FI1565" s="2060"/>
      <c r="FJ1565" s="2060"/>
      <c r="FK1565" s="2060"/>
      <c r="FL1565" s="2060"/>
      <c r="FM1565" s="2060"/>
      <c r="FN1565" s="2060"/>
      <c r="FO1565" s="2060"/>
      <c r="FP1565" s="2060"/>
      <c r="FQ1565" s="2060"/>
      <c r="FR1565" s="2060"/>
      <c r="FS1565" s="2060"/>
      <c r="FT1565" s="2060"/>
      <c r="FU1565" s="2060"/>
      <c r="FV1565" s="2060"/>
      <c r="FW1565" s="2060"/>
      <c r="FX1565" s="2060"/>
      <c r="FY1565" s="2060"/>
      <c r="FZ1565" s="2060"/>
      <c r="GA1565" s="2060"/>
      <c r="GB1565" s="2060"/>
      <c r="GC1565" s="2060"/>
      <c r="GD1565" s="2060"/>
      <c r="GE1565" s="2060"/>
      <c r="GF1565" s="2060"/>
      <c r="GG1565" s="2060"/>
      <c r="GH1565" s="2060"/>
      <c r="GI1565" s="2060"/>
      <c r="GJ1565" s="2060"/>
      <c r="GK1565" s="2060"/>
      <c r="GL1565" s="2060"/>
      <c r="GM1565" s="2060"/>
      <c r="GN1565" s="2060"/>
      <c r="GO1565" s="2060"/>
      <c r="GP1565" s="2060"/>
      <c r="GQ1565" s="2060"/>
      <c r="GR1565" s="2060"/>
      <c r="GS1565" s="2060"/>
      <c r="GT1565" s="2060"/>
      <c r="GU1565" s="2060"/>
      <c r="GV1565" s="2060"/>
      <c r="GW1565" s="2060"/>
      <c r="GX1565" s="2060"/>
      <c r="GY1565" s="2060"/>
      <c r="GZ1565" s="2060"/>
      <c r="HA1565" s="2060"/>
      <c r="HB1565" s="2060"/>
      <c r="HC1565" s="2060"/>
      <c r="HD1565" s="2060"/>
      <c r="HE1565" s="2060"/>
      <c r="HF1565" s="2060"/>
      <c r="HG1565" s="2060"/>
      <c r="HH1565" s="2060"/>
      <c r="HI1565" s="2060"/>
      <c r="HJ1565" s="2060"/>
      <c r="HK1565" s="2060"/>
      <c r="HL1565" s="2060"/>
      <c r="HM1565" s="2060"/>
      <c r="HN1565" s="2060"/>
      <c r="HO1565" s="2060"/>
      <c r="HP1565" s="2060"/>
      <c r="HQ1565" s="2060"/>
      <c r="HR1565" s="2060"/>
      <c r="HS1565" s="2060"/>
      <c r="HT1565" s="2060"/>
      <c r="HU1565" s="2060"/>
      <c r="HV1565" s="2060"/>
      <c r="HW1565" s="2060"/>
      <c r="HX1565" s="2060"/>
      <c r="HY1565" s="2060"/>
      <c r="HZ1565" s="2060"/>
      <c r="IA1565" s="2060"/>
      <c r="IB1565" s="2060"/>
      <c r="IC1565" s="2060"/>
      <c r="ID1565" s="2060"/>
      <c r="IE1565" s="2060"/>
      <c r="IF1565" s="2060"/>
      <c r="IG1565" s="2060"/>
      <c r="IH1565" s="2060"/>
      <c r="II1565" s="2060"/>
      <c r="IJ1565" s="2060"/>
      <c r="IK1565" s="2060"/>
      <c r="IL1565" s="2060"/>
      <c r="IM1565" s="2060"/>
      <c r="IN1565" s="2060"/>
      <c r="IO1565" s="2060"/>
      <c r="IP1565" s="2060"/>
      <c r="IQ1565" s="2060"/>
      <c r="IR1565" s="2060"/>
      <c r="IS1565" s="2060"/>
      <c r="IT1565" s="2060"/>
      <c r="IU1565" s="2060"/>
      <c r="IV1565" s="2060"/>
      <c r="IW1565" s="2060"/>
      <c r="IX1565" s="2060"/>
      <c r="IY1565" s="2060"/>
      <c r="IZ1565" s="2060"/>
      <c r="JA1565" s="2060"/>
      <c r="JB1565" s="2060"/>
      <c r="JC1565" s="2060"/>
      <c r="JD1565" s="2060"/>
      <c r="JE1565" s="2060"/>
      <c r="JF1565" s="2060"/>
      <c r="JG1565" s="2060"/>
      <c r="JH1565" s="2060"/>
      <c r="JI1565" s="2060"/>
      <c r="JJ1565" s="2060"/>
      <c r="JK1565" s="2060"/>
      <c r="JL1565" s="2060"/>
      <c r="JM1565" s="2060"/>
      <c r="JN1565" s="2060"/>
      <c r="JO1565" s="2060"/>
      <c r="JP1565" s="2060"/>
      <c r="JQ1565" s="2060"/>
      <c r="JR1565" s="2060"/>
      <c r="JS1565" s="2060"/>
      <c r="JT1565" s="2060"/>
      <c r="JU1565" s="2060"/>
      <c r="JV1565" s="2060"/>
      <c r="JW1565" s="2060"/>
      <c r="JX1565" s="2060"/>
      <c r="JY1565" s="2060"/>
      <c r="JZ1565" s="2060"/>
      <c r="KA1565" s="2060"/>
      <c r="KB1565" s="2060"/>
      <c r="KC1565" s="2060"/>
      <c r="KD1565" s="2060"/>
      <c r="KE1565" s="2060"/>
      <c r="KF1565" s="2060"/>
      <c r="KG1565" s="2060"/>
      <c r="KH1565" s="2060"/>
      <c r="KI1565" s="2060"/>
      <c r="KJ1565" s="2060"/>
      <c r="KK1565" s="2060"/>
      <c r="KL1565" s="2060"/>
      <c r="KM1565" s="2060"/>
      <c r="KN1565" s="2060"/>
      <c r="KO1565" s="2060"/>
      <c r="KP1565" s="2060"/>
      <c r="KQ1565" s="2060"/>
      <c r="KR1565" s="2060"/>
      <c r="KS1565" s="2060"/>
      <c r="KT1565" s="2060"/>
      <c r="KU1565" s="2060"/>
      <c r="KV1565" s="2060"/>
      <c r="KW1565" s="2060"/>
      <c r="KX1565" s="2060"/>
      <c r="KY1565" s="2060"/>
      <c r="KZ1565" s="2060"/>
      <c r="LA1565" s="2060"/>
      <c r="LB1565" s="2060"/>
      <c r="LC1565" s="2060"/>
      <c r="LD1565" s="2060"/>
      <c r="LE1565" s="2060"/>
      <c r="LF1565" s="2060"/>
      <c r="LG1565" s="2060"/>
      <c r="LH1565" s="2060"/>
    </row>
    <row r="1566" spans="1:320" s="449" customFormat="1" ht="13.9">
      <c r="A1566" s="269" t="str">
        <f t="shared" si="439"/>
        <v>n</v>
      </c>
      <c r="B1566" s="2060"/>
      <c r="C1566" s="2060"/>
      <c r="D1566" s="2060"/>
      <c r="E1566" s="1661">
        <v>7</v>
      </c>
      <c r="F1566" s="1353" t="str">
        <f>F$135</f>
        <v>--</v>
      </c>
      <c r="G1566" s="1349">
        <f>G$135</f>
        <v>0</v>
      </c>
      <c r="H1566" s="1349"/>
      <c r="I1566" s="89" t="s">
        <v>850</v>
      </c>
      <c r="J1566" s="1457" t="str">
        <f>IF($G1566=0,"",IFERROR(_xll.ciqfunctions.udf.CIQ($G1566,$I1566,J$1557,Valuation_Date_GC,ReportType,DataMode),"n/a"))</f>
        <v/>
      </c>
      <c r="K1566" s="1457" t="str">
        <f>IF($G1566=0,"",IFERROR(_xll.ciqfunctions.udf.CIQ($G1566,$I1566,K$1557,Valuation_Date_GC,ReportType,DataMode),"n/a"))</f>
        <v/>
      </c>
      <c r="L1566" s="1457" t="str">
        <f>IF($G1566=0,"",IFERROR(_xll.ciqfunctions.udf.CIQ($G1566,$I1566,L$1557,Valuation_Date_GC,ReportType,DataMode),"n/a"))</f>
        <v/>
      </c>
      <c r="M1566" s="1457" t="str">
        <f>IF($G1566=0,"",IFERROR(_xll.ciqfunctions.udf.CIQ($G1566,$I1566,M$1557,Valuation_Date_GC,ReportType,DataMode),"n/a"))</f>
        <v/>
      </c>
      <c r="N1566" s="1457" t="str">
        <f>IF($G1566=0,"",IFERROR(_xll.ciqfunctions.udf.CIQ($G1566,$I1566,N$1557,Valuation_Date_GC,ReportType,DataMode),"n/a"))</f>
        <v/>
      </c>
      <c r="O1566" s="1457" t="str">
        <f>IF($G1566=0,"",IFERROR(_xll.ciqfunctions.udf.CIQ($G1566,$I1566,O$1557,Valuation_Date_GC,ReportType,DataMode),"n/a"))</f>
        <v/>
      </c>
      <c r="P1566" s="1457" t="str">
        <f>IF($G1566=0,"",IFERROR(_xll.ciqfunctions.udf.CIQ($G1566,$I1566,P$1557,Valuation_Date_GC,ReportType,DataMode),"n/a"))</f>
        <v/>
      </c>
      <c r="Q1566" s="1457" t="str">
        <f>IF($G1566=0,"",IFERROR(_xll.ciqfunctions.udf.CIQ($G1566,$I1566,Q$1557,Valuation_Date_GC,ReportType,DataMode),"n/a"))</f>
        <v/>
      </c>
      <c r="R1566" s="1457" t="str">
        <f>IF($G1566=0,"",IFERROR(_xll.ciqfunctions.udf.CIQ($G1566,$I1566,R$1557,Valuation_Date_GC,ReportType,DataMode),"n/a"))</f>
        <v/>
      </c>
      <c r="S1566" s="1457" t="str">
        <f>IF($G1566=0,"",IFERROR(_xll.ciqfunctions.udf.CIQ($G1566,$I1566,S$1557,Valuation_Date_GC,ReportType,DataMode),"n/a"))</f>
        <v/>
      </c>
      <c r="T1566" s="1457" t="str">
        <f>IF($G1566=0,"",IFERROR(_xll.ciqfunctions.udf.CIQ($G1566,$I1566,T$1557,Valuation_Date_GC,ReportType,DataMode),"n/a"))</f>
        <v/>
      </c>
      <c r="U1566" s="1457" t="str">
        <f>IF($G1566=0,"",IFERROR(_xll.ciqfunctions.udf.CIQ($G1566,$I1566,U$1557,Valuation_Date_GC,ReportType,DataMode),"n/a"))</f>
        <v/>
      </c>
      <c r="V1566" s="1457" t="str">
        <f>IF($G1566=0,"",IFERROR(_xll.ciqfunctions.udf.CIQ($G1566,$I1566,V$1557,Valuation_Date_GC,ReportType,DataMode),"n/a"))</f>
        <v/>
      </c>
      <c r="W1566" s="1479"/>
      <c r="X1566" s="255"/>
      <c r="Y1566" s="89"/>
      <c r="Z1566" s="2060"/>
      <c r="AA1566" s="2060"/>
      <c r="AB1566" s="2060"/>
      <c r="AC1566" s="2060"/>
      <c r="AD1566" s="2060"/>
      <c r="AE1566" s="2060"/>
      <c r="AF1566" s="2060"/>
      <c r="AG1566" s="2060"/>
      <c r="AH1566" s="2060"/>
      <c r="AI1566" s="2060"/>
      <c r="AJ1566" s="2060"/>
      <c r="AK1566" s="2060"/>
      <c r="AL1566" s="2060"/>
      <c r="AM1566" s="2060"/>
      <c r="AN1566" s="2060"/>
      <c r="AO1566" s="2060"/>
      <c r="AP1566" s="2060"/>
      <c r="AQ1566" s="2060"/>
      <c r="AR1566" s="2060"/>
      <c r="AS1566" s="2060"/>
      <c r="AT1566" s="2060"/>
      <c r="AU1566" s="2060"/>
      <c r="AV1566" s="2060"/>
      <c r="AW1566" s="2060"/>
      <c r="AX1566" s="2060"/>
      <c r="AY1566" s="2060"/>
      <c r="AZ1566" s="2060"/>
      <c r="BA1566" s="2060"/>
      <c r="BB1566" s="2060"/>
      <c r="BC1566" s="2060"/>
      <c r="BD1566" s="2060"/>
      <c r="BE1566" s="2060"/>
      <c r="BF1566" s="2060"/>
      <c r="BG1566" s="2060"/>
      <c r="BH1566" s="2060"/>
      <c r="BI1566" s="2060"/>
      <c r="BJ1566" s="2060"/>
      <c r="BK1566" s="2060"/>
      <c r="BL1566" s="2060"/>
      <c r="BM1566" s="2060"/>
      <c r="BN1566" s="2060"/>
      <c r="BO1566" s="2060"/>
      <c r="BP1566" s="2060"/>
      <c r="BQ1566" s="2060"/>
      <c r="BR1566" s="2060"/>
      <c r="BS1566" s="2060"/>
      <c r="BT1566" s="2060"/>
      <c r="BU1566" s="2060"/>
      <c r="BV1566" s="2060"/>
      <c r="BW1566" s="2060"/>
      <c r="BX1566" s="2060"/>
      <c r="BY1566" s="2060"/>
      <c r="BZ1566" s="2060"/>
      <c r="CA1566" s="2060"/>
      <c r="CB1566" s="2060"/>
      <c r="CC1566" s="2060"/>
      <c r="CD1566" s="2060"/>
      <c r="CE1566" s="2060"/>
      <c r="CF1566" s="2060"/>
      <c r="CG1566" s="2060"/>
      <c r="CH1566" s="2060"/>
      <c r="CI1566" s="2060"/>
      <c r="CJ1566" s="2060"/>
      <c r="CK1566" s="2060"/>
      <c r="CL1566" s="2060"/>
      <c r="CM1566" s="2060"/>
      <c r="CN1566" s="2060"/>
      <c r="CO1566" s="2060"/>
      <c r="CP1566" s="2060"/>
      <c r="CQ1566" s="2060"/>
      <c r="CR1566" s="2060"/>
      <c r="CS1566" s="2060"/>
      <c r="CT1566" s="2060"/>
      <c r="CU1566" s="2060"/>
      <c r="CV1566" s="2060"/>
      <c r="CW1566" s="2060"/>
      <c r="CX1566" s="2060"/>
      <c r="CY1566" s="2060"/>
      <c r="CZ1566" s="2060"/>
      <c r="DA1566" s="2060"/>
      <c r="DB1566" s="2060"/>
      <c r="DC1566" s="2060"/>
      <c r="DD1566" s="2060"/>
      <c r="DE1566" s="2060"/>
      <c r="DF1566" s="2060"/>
      <c r="DG1566" s="2060"/>
      <c r="DH1566" s="2060"/>
      <c r="DI1566" s="2060"/>
      <c r="DJ1566" s="2060"/>
      <c r="DK1566" s="2060"/>
      <c r="DL1566" s="2060"/>
      <c r="DM1566" s="2060"/>
      <c r="DN1566" s="2060"/>
      <c r="DO1566" s="2060"/>
      <c r="DP1566" s="2060"/>
      <c r="DQ1566" s="2060"/>
      <c r="DR1566" s="2060"/>
      <c r="DS1566" s="2060"/>
      <c r="DT1566" s="2060"/>
      <c r="DU1566" s="2060"/>
      <c r="DV1566" s="2060"/>
      <c r="DW1566" s="2060"/>
      <c r="DX1566" s="2060"/>
      <c r="DY1566" s="2060"/>
      <c r="DZ1566" s="2060"/>
      <c r="EA1566" s="2060"/>
      <c r="EB1566" s="2060"/>
      <c r="EC1566" s="2060"/>
      <c r="ED1566" s="2060"/>
      <c r="EE1566" s="2060"/>
      <c r="EF1566" s="2060"/>
      <c r="EG1566" s="2060"/>
      <c r="EH1566" s="2060"/>
      <c r="EI1566" s="2060"/>
      <c r="EJ1566" s="2060"/>
      <c r="EK1566" s="2060"/>
      <c r="EL1566" s="2060"/>
      <c r="EM1566" s="2060"/>
      <c r="EN1566" s="2060"/>
      <c r="EO1566" s="2060"/>
      <c r="EP1566" s="2060"/>
      <c r="EQ1566" s="2060"/>
      <c r="ER1566" s="2060"/>
      <c r="ES1566" s="2060"/>
      <c r="ET1566" s="2060"/>
      <c r="EU1566" s="2060"/>
      <c r="EV1566" s="2060"/>
      <c r="EW1566" s="2060"/>
      <c r="EX1566" s="2060"/>
      <c r="EY1566" s="2060"/>
      <c r="EZ1566" s="2060"/>
      <c r="FA1566" s="2060"/>
      <c r="FB1566" s="2060"/>
      <c r="FC1566" s="2060"/>
      <c r="FD1566" s="2060"/>
      <c r="FE1566" s="2060"/>
      <c r="FF1566" s="2060"/>
      <c r="FG1566" s="2060"/>
      <c r="FH1566" s="2060"/>
      <c r="FI1566" s="2060"/>
      <c r="FJ1566" s="2060"/>
      <c r="FK1566" s="2060"/>
      <c r="FL1566" s="2060"/>
      <c r="FM1566" s="2060"/>
      <c r="FN1566" s="2060"/>
      <c r="FO1566" s="2060"/>
      <c r="FP1566" s="2060"/>
      <c r="FQ1566" s="2060"/>
      <c r="FR1566" s="2060"/>
      <c r="FS1566" s="2060"/>
      <c r="FT1566" s="2060"/>
      <c r="FU1566" s="2060"/>
      <c r="FV1566" s="2060"/>
      <c r="FW1566" s="2060"/>
      <c r="FX1566" s="2060"/>
      <c r="FY1566" s="2060"/>
      <c r="FZ1566" s="2060"/>
      <c r="GA1566" s="2060"/>
      <c r="GB1566" s="2060"/>
      <c r="GC1566" s="2060"/>
      <c r="GD1566" s="2060"/>
      <c r="GE1566" s="2060"/>
      <c r="GF1566" s="2060"/>
      <c r="GG1566" s="2060"/>
      <c r="GH1566" s="2060"/>
      <c r="GI1566" s="2060"/>
      <c r="GJ1566" s="2060"/>
      <c r="GK1566" s="2060"/>
      <c r="GL1566" s="2060"/>
      <c r="GM1566" s="2060"/>
      <c r="GN1566" s="2060"/>
      <c r="GO1566" s="2060"/>
      <c r="GP1566" s="2060"/>
      <c r="GQ1566" s="2060"/>
      <c r="GR1566" s="2060"/>
      <c r="GS1566" s="2060"/>
      <c r="GT1566" s="2060"/>
      <c r="GU1566" s="2060"/>
      <c r="GV1566" s="2060"/>
      <c r="GW1566" s="2060"/>
      <c r="GX1566" s="2060"/>
      <c r="GY1566" s="2060"/>
      <c r="GZ1566" s="2060"/>
      <c r="HA1566" s="2060"/>
      <c r="HB1566" s="2060"/>
      <c r="HC1566" s="2060"/>
      <c r="HD1566" s="2060"/>
      <c r="HE1566" s="2060"/>
      <c r="HF1566" s="2060"/>
      <c r="HG1566" s="2060"/>
      <c r="HH1566" s="2060"/>
      <c r="HI1566" s="2060"/>
      <c r="HJ1566" s="2060"/>
      <c r="HK1566" s="2060"/>
      <c r="HL1566" s="2060"/>
      <c r="HM1566" s="2060"/>
      <c r="HN1566" s="2060"/>
      <c r="HO1566" s="2060"/>
      <c r="HP1566" s="2060"/>
      <c r="HQ1566" s="2060"/>
      <c r="HR1566" s="2060"/>
      <c r="HS1566" s="2060"/>
      <c r="HT1566" s="2060"/>
      <c r="HU1566" s="2060"/>
      <c r="HV1566" s="2060"/>
      <c r="HW1566" s="2060"/>
      <c r="HX1566" s="2060"/>
      <c r="HY1566" s="2060"/>
      <c r="HZ1566" s="2060"/>
      <c r="IA1566" s="2060"/>
      <c r="IB1566" s="2060"/>
      <c r="IC1566" s="2060"/>
      <c r="ID1566" s="2060"/>
      <c r="IE1566" s="2060"/>
      <c r="IF1566" s="2060"/>
      <c r="IG1566" s="2060"/>
      <c r="IH1566" s="2060"/>
      <c r="II1566" s="2060"/>
      <c r="IJ1566" s="2060"/>
      <c r="IK1566" s="2060"/>
      <c r="IL1566" s="2060"/>
      <c r="IM1566" s="2060"/>
      <c r="IN1566" s="2060"/>
      <c r="IO1566" s="2060"/>
      <c r="IP1566" s="2060"/>
      <c r="IQ1566" s="2060"/>
      <c r="IR1566" s="2060"/>
      <c r="IS1566" s="2060"/>
      <c r="IT1566" s="2060"/>
      <c r="IU1566" s="2060"/>
      <c r="IV1566" s="2060"/>
      <c r="IW1566" s="2060"/>
      <c r="IX1566" s="2060"/>
      <c r="IY1566" s="2060"/>
      <c r="IZ1566" s="2060"/>
      <c r="JA1566" s="2060"/>
      <c r="JB1566" s="2060"/>
      <c r="JC1566" s="2060"/>
      <c r="JD1566" s="2060"/>
      <c r="JE1566" s="2060"/>
      <c r="JF1566" s="2060"/>
      <c r="JG1566" s="2060"/>
      <c r="JH1566" s="2060"/>
      <c r="JI1566" s="2060"/>
      <c r="JJ1566" s="2060"/>
      <c r="JK1566" s="2060"/>
      <c r="JL1566" s="2060"/>
      <c r="JM1566" s="2060"/>
      <c r="JN1566" s="2060"/>
      <c r="JO1566" s="2060"/>
      <c r="JP1566" s="2060"/>
      <c r="JQ1566" s="2060"/>
      <c r="JR1566" s="2060"/>
      <c r="JS1566" s="2060"/>
      <c r="JT1566" s="2060"/>
      <c r="JU1566" s="2060"/>
      <c r="JV1566" s="2060"/>
      <c r="JW1566" s="2060"/>
      <c r="JX1566" s="2060"/>
      <c r="JY1566" s="2060"/>
      <c r="JZ1566" s="2060"/>
      <c r="KA1566" s="2060"/>
      <c r="KB1566" s="2060"/>
      <c r="KC1566" s="2060"/>
      <c r="KD1566" s="2060"/>
      <c r="KE1566" s="2060"/>
      <c r="KF1566" s="2060"/>
      <c r="KG1566" s="2060"/>
      <c r="KH1566" s="2060"/>
      <c r="KI1566" s="2060"/>
      <c r="KJ1566" s="2060"/>
      <c r="KK1566" s="2060"/>
      <c r="KL1566" s="2060"/>
      <c r="KM1566" s="2060"/>
      <c r="KN1566" s="2060"/>
      <c r="KO1566" s="2060"/>
      <c r="KP1566" s="2060"/>
      <c r="KQ1566" s="2060"/>
      <c r="KR1566" s="2060"/>
      <c r="KS1566" s="2060"/>
      <c r="KT1566" s="2060"/>
      <c r="KU1566" s="2060"/>
      <c r="KV1566" s="2060"/>
      <c r="KW1566" s="2060"/>
      <c r="KX1566" s="2060"/>
      <c r="KY1566" s="2060"/>
      <c r="KZ1566" s="2060"/>
      <c r="LA1566" s="2060"/>
      <c r="LB1566" s="2060"/>
      <c r="LC1566" s="2060"/>
      <c r="LD1566" s="2060"/>
      <c r="LE1566" s="2060"/>
      <c r="LF1566" s="2060"/>
      <c r="LG1566" s="2060"/>
      <c r="LH1566" s="2060"/>
    </row>
    <row r="1567" spans="1:320" s="449" customFormat="1" ht="13.9">
      <c r="A1567" s="269" t="str">
        <f t="shared" si="439"/>
        <v>n</v>
      </c>
      <c r="B1567" s="2060"/>
      <c r="C1567" s="2060"/>
      <c r="D1567" s="2060"/>
      <c r="E1567" s="1661">
        <v>8</v>
      </c>
      <c r="F1567" s="1353" t="str">
        <f>F$136</f>
        <v>--</v>
      </c>
      <c r="G1567" s="1349">
        <f>G$136</f>
        <v>0</v>
      </c>
      <c r="H1567" s="1349"/>
      <c r="I1567" s="89" t="s">
        <v>850</v>
      </c>
      <c r="J1567" s="1457" t="str">
        <f>IF($G1567=0,"",IFERROR(_xll.ciqfunctions.udf.CIQ($G1567,$I1567,J$1557,Valuation_Date_GC,ReportType,DataMode),"n/a"))</f>
        <v/>
      </c>
      <c r="K1567" s="1457" t="str">
        <f>IF($G1567=0,"",IFERROR(_xll.ciqfunctions.udf.CIQ($G1567,$I1567,K$1557,Valuation_Date_GC,ReportType,DataMode),"n/a"))</f>
        <v/>
      </c>
      <c r="L1567" s="1457" t="str">
        <f>IF($G1567=0,"",IFERROR(_xll.ciqfunctions.udf.CIQ($G1567,$I1567,L$1557,Valuation_Date_GC,ReportType,DataMode),"n/a"))</f>
        <v/>
      </c>
      <c r="M1567" s="1457" t="str">
        <f>IF($G1567=0,"",IFERROR(_xll.ciqfunctions.udf.CIQ($G1567,$I1567,M$1557,Valuation_Date_GC,ReportType,DataMode),"n/a"))</f>
        <v/>
      </c>
      <c r="N1567" s="1457" t="str">
        <f>IF($G1567=0,"",IFERROR(_xll.ciqfunctions.udf.CIQ($G1567,$I1567,N$1557,Valuation_Date_GC,ReportType,DataMode),"n/a"))</f>
        <v/>
      </c>
      <c r="O1567" s="1457" t="str">
        <f>IF($G1567=0,"",IFERROR(_xll.ciqfunctions.udf.CIQ($G1567,$I1567,O$1557,Valuation_Date_GC,ReportType,DataMode),"n/a"))</f>
        <v/>
      </c>
      <c r="P1567" s="1457" t="str">
        <f>IF($G1567=0,"",IFERROR(_xll.ciqfunctions.udf.CIQ($G1567,$I1567,P$1557,Valuation_Date_GC,ReportType,DataMode),"n/a"))</f>
        <v/>
      </c>
      <c r="Q1567" s="1457" t="str">
        <f>IF($G1567=0,"",IFERROR(_xll.ciqfunctions.udf.CIQ($G1567,$I1567,Q$1557,Valuation_Date_GC,ReportType,DataMode),"n/a"))</f>
        <v/>
      </c>
      <c r="R1567" s="1457" t="str">
        <f>IF($G1567=0,"",IFERROR(_xll.ciqfunctions.udf.CIQ($G1567,$I1567,R$1557,Valuation_Date_GC,ReportType,DataMode),"n/a"))</f>
        <v/>
      </c>
      <c r="S1567" s="1457" t="str">
        <f>IF($G1567=0,"",IFERROR(_xll.ciqfunctions.udf.CIQ($G1567,$I1567,S$1557,Valuation_Date_GC,ReportType,DataMode),"n/a"))</f>
        <v/>
      </c>
      <c r="T1567" s="1457" t="str">
        <f>IF($G1567=0,"",IFERROR(_xll.ciqfunctions.udf.CIQ($G1567,$I1567,T$1557,Valuation_Date_GC,ReportType,DataMode),"n/a"))</f>
        <v/>
      </c>
      <c r="U1567" s="1457" t="str">
        <f>IF($G1567=0,"",IFERROR(_xll.ciqfunctions.udf.CIQ($G1567,$I1567,U$1557,Valuation_Date_GC,ReportType,DataMode),"n/a"))</f>
        <v/>
      </c>
      <c r="V1567" s="1457" t="str">
        <f>IF($G1567=0,"",IFERROR(_xll.ciqfunctions.udf.CIQ($G1567,$I1567,V$1557,Valuation_Date_GC,ReportType,DataMode),"n/a"))</f>
        <v/>
      </c>
      <c r="W1567" s="1479"/>
      <c r="X1567" s="255"/>
      <c r="Y1567" s="89"/>
      <c r="Z1567" s="2060"/>
      <c r="AA1567" s="2060"/>
      <c r="AB1567" s="2060"/>
      <c r="AC1567" s="2060"/>
      <c r="AD1567" s="2060"/>
      <c r="AE1567" s="2060"/>
      <c r="AF1567" s="2060"/>
      <c r="AG1567" s="2060"/>
      <c r="AH1567" s="2060"/>
      <c r="AI1567" s="2060"/>
      <c r="AJ1567" s="2060"/>
      <c r="AK1567" s="2060"/>
      <c r="AL1567" s="2060"/>
      <c r="AM1567" s="2060"/>
      <c r="AN1567" s="2060"/>
      <c r="AO1567" s="2060"/>
      <c r="AP1567" s="2060"/>
      <c r="AQ1567" s="2060"/>
      <c r="AR1567" s="2060"/>
      <c r="AS1567" s="2060"/>
      <c r="AT1567" s="2060"/>
      <c r="AU1567" s="2060"/>
      <c r="AV1567" s="2060"/>
      <c r="AW1567" s="2060"/>
      <c r="AX1567" s="2060"/>
      <c r="AY1567" s="2060"/>
      <c r="AZ1567" s="2060"/>
      <c r="BA1567" s="2060"/>
      <c r="BB1567" s="2060"/>
      <c r="BC1567" s="2060"/>
      <c r="BD1567" s="2060"/>
      <c r="BE1567" s="2060"/>
      <c r="BF1567" s="2060"/>
      <c r="BG1567" s="2060"/>
      <c r="BH1567" s="2060"/>
      <c r="BI1567" s="2060"/>
      <c r="BJ1567" s="2060"/>
      <c r="BK1567" s="2060"/>
      <c r="BL1567" s="2060"/>
      <c r="BM1567" s="2060"/>
      <c r="BN1567" s="2060"/>
      <c r="BO1567" s="2060"/>
      <c r="BP1567" s="2060"/>
      <c r="BQ1567" s="2060"/>
      <c r="BR1567" s="2060"/>
      <c r="BS1567" s="2060"/>
      <c r="BT1567" s="2060"/>
      <c r="BU1567" s="2060"/>
      <c r="BV1567" s="2060"/>
      <c r="BW1567" s="2060"/>
      <c r="BX1567" s="2060"/>
      <c r="BY1567" s="2060"/>
      <c r="BZ1567" s="2060"/>
      <c r="CA1567" s="2060"/>
      <c r="CB1567" s="2060"/>
      <c r="CC1567" s="2060"/>
      <c r="CD1567" s="2060"/>
      <c r="CE1567" s="2060"/>
      <c r="CF1567" s="2060"/>
      <c r="CG1567" s="2060"/>
      <c r="CH1567" s="2060"/>
      <c r="CI1567" s="2060"/>
      <c r="CJ1567" s="2060"/>
      <c r="CK1567" s="2060"/>
      <c r="CL1567" s="2060"/>
      <c r="CM1567" s="2060"/>
      <c r="CN1567" s="2060"/>
      <c r="CO1567" s="2060"/>
      <c r="CP1567" s="2060"/>
      <c r="CQ1567" s="2060"/>
      <c r="CR1567" s="2060"/>
      <c r="CS1567" s="2060"/>
      <c r="CT1567" s="2060"/>
      <c r="CU1567" s="2060"/>
      <c r="CV1567" s="2060"/>
      <c r="CW1567" s="2060"/>
      <c r="CX1567" s="2060"/>
      <c r="CY1567" s="2060"/>
      <c r="CZ1567" s="2060"/>
      <c r="DA1567" s="2060"/>
      <c r="DB1567" s="2060"/>
      <c r="DC1567" s="2060"/>
      <c r="DD1567" s="2060"/>
      <c r="DE1567" s="2060"/>
      <c r="DF1567" s="2060"/>
      <c r="DG1567" s="2060"/>
      <c r="DH1567" s="2060"/>
      <c r="DI1567" s="2060"/>
      <c r="DJ1567" s="2060"/>
      <c r="DK1567" s="2060"/>
      <c r="DL1567" s="2060"/>
      <c r="DM1567" s="2060"/>
      <c r="DN1567" s="2060"/>
      <c r="DO1567" s="2060"/>
      <c r="DP1567" s="2060"/>
      <c r="DQ1567" s="2060"/>
      <c r="DR1567" s="2060"/>
      <c r="DS1567" s="2060"/>
      <c r="DT1567" s="2060"/>
      <c r="DU1567" s="2060"/>
      <c r="DV1567" s="2060"/>
      <c r="DW1567" s="2060"/>
      <c r="DX1567" s="2060"/>
      <c r="DY1567" s="2060"/>
      <c r="DZ1567" s="2060"/>
      <c r="EA1567" s="2060"/>
      <c r="EB1567" s="2060"/>
      <c r="EC1567" s="2060"/>
      <c r="ED1567" s="2060"/>
      <c r="EE1567" s="2060"/>
      <c r="EF1567" s="2060"/>
      <c r="EG1567" s="2060"/>
      <c r="EH1567" s="2060"/>
      <c r="EI1567" s="2060"/>
      <c r="EJ1567" s="2060"/>
      <c r="EK1567" s="2060"/>
      <c r="EL1567" s="2060"/>
      <c r="EM1567" s="2060"/>
      <c r="EN1567" s="2060"/>
      <c r="EO1567" s="2060"/>
      <c r="EP1567" s="2060"/>
      <c r="EQ1567" s="2060"/>
      <c r="ER1567" s="2060"/>
      <c r="ES1567" s="2060"/>
      <c r="ET1567" s="2060"/>
      <c r="EU1567" s="2060"/>
      <c r="EV1567" s="2060"/>
      <c r="EW1567" s="2060"/>
      <c r="EX1567" s="2060"/>
      <c r="EY1567" s="2060"/>
      <c r="EZ1567" s="2060"/>
      <c r="FA1567" s="2060"/>
      <c r="FB1567" s="2060"/>
      <c r="FC1567" s="2060"/>
      <c r="FD1567" s="2060"/>
      <c r="FE1567" s="2060"/>
      <c r="FF1567" s="2060"/>
      <c r="FG1567" s="2060"/>
      <c r="FH1567" s="2060"/>
      <c r="FI1567" s="2060"/>
      <c r="FJ1567" s="2060"/>
      <c r="FK1567" s="2060"/>
      <c r="FL1567" s="2060"/>
      <c r="FM1567" s="2060"/>
      <c r="FN1567" s="2060"/>
      <c r="FO1567" s="2060"/>
      <c r="FP1567" s="2060"/>
      <c r="FQ1567" s="2060"/>
      <c r="FR1567" s="2060"/>
      <c r="FS1567" s="2060"/>
      <c r="FT1567" s="2060"/>
      <c r="FU1567" s="2060"/>
      <c r="FV1567" s="2060"/>
      <c r="FW1567" s="2060"/>
      <c r="FX1567" s="2060"/>
      <c r="FY1567" s="2060"/>
      <c r="FZ1567" s="2060"/>
      <c r="GA1567" s="2060"/>
      <c r="GB1567" s="2060"/>
      <c r="GC1567" s="2060"/>
      <c r="GD1567" s="2060"/>
      <c r="GE1567" s="2060"/>
      <c r="GF1567" s="2060"/>
      <c r="GG1567" s="2060"/>
      <c r="GH1567" s="2060"/>
      <c r="GI1567" s="2060"/>
      <c r="GJ1567" s="2060"/>
      <c r="GK1567" s="2060"/>
      <c r="GL1567" s="2060"/>
      <c r="GM1567" s="2060"/>
      <c r="GN1567" s="2060"/>
      <c r="GO1567" s="2060"/>
      <c r="GP1567" s="2060"/>
      <c r="GQ1567" s="2060"/>
      <c r="GR1567" s="2060"/>
      <c r="GS1567" s="2060"/>
      <c r="GT1567" s="2060"/>
      <c r="GU1567" s="2060"/>
      <c r="GV1567" s="2060"/>
      <c r="GW1567" s="2060"/>
      <c r="GX1567" s="2060"/>
      <c r="GY1567" s="2060"/>
      <c r="GZ1567" s="2060"/>
      <c r="HA1567" s="2060"/>
      <c r="HB1567" s="2060"/>
      <c r="HC1567" s="2060"/>
      <c r="HD1567" s="2060"/>
      <c r="HE1567" s="2060"/>
      <c r="HF1567" s="2060"/>
      <c r="HG1567" s="2060"/>
      <c r="HH1567" s="2060"/>
      <c r="HI1567" s="2060"/>
      <c r="HJ1567" s="2060"/>
      <c r="HK1567" s="2060"/>
      <c r="HL1567" s="2060"/>
      <c r="HM1567" s="2060"/>
      <c r="HN1567" s="2060"/>
      <c r="HO1567" s="2060"/>
      <c r="HP1567" s="2060"/>
      <c r="HQ1567" s="2060"/>
      <c r="HR1567" s="2060"/>
      <c r="HS1567" s="2060"/>
      <c r="HT1567" s="2060"/>
      <c r="HU1567" s="2060"/>
      <c r="HV1567" s="2060"/>
      <c r="HW1567" s="2060"/>
      <c r="HX1567" s="2060"/>
      <c r="HY1567" s="2060"/>
      <c r="HZ1567" s="2060"/>
      <c r="IA1567" s="2060"/>
      <c r="IB1567" s="2060"/>
      <c r="IC1567" s="2060"/>
      <c r="ID1567" s="2060"/>
      <c r="IE1567" s="2060"/>
      <c r="IF1567" s="2060"/>
      <c r="IG1567" s="2060"/>
      <c r="IH1567" s="2060"/>
      <c r="II1567" s="2060"/>
      <c r="IJ1567" s="2060"/>
      <c r="IK1567" s="2060"/>
      <c r="IL1567" s="2060"/>
      <c r="IM1567" s="2060"/>
      <c r="IN1567" s="2060"/>
      <c r="IO1567" s="2060"/>
      <c r="IP1567" s="2060"/>
      <c r="IQ1567" s="2060"/>
      <c r="IR1567" s="2060"/>
      <c r="IS1567" s="2060"/>
      <c r="IT1567" s="2060"/>
      <c r="IU1567" s="2060"/>
      <c r="IV1567" s="2060"/>
      <c r="IW1567" s="2060"/>
      <c r="IX1567" s="2060"/>
      <c r="IY1567" s="2060"/>
      <c r="IZ1567" s="2060"/>
      <c r="JA1567" s="2060"/>
      <c r="JB1567" s="2060"/>
      <c r="JC1567" s="2060"/>
      <c r="JD1567" s="2060"/>
      <c r="JE1567" s="2060"/>
      <c r="JF1567" s="2060"/>
      <c r="JG1567" s="2060"/>
      <c r="JH1567" s="2060"/>
      <c r="JI1567" s="2060"/>
      <c r="JJ1567" s="2060"/>
      <c r="JK1567" s="2060"/>
      <c r="JL1567" s="2060"/>
      <c r="JM1567" s="2060"/>
      <c r="JN1567" s="2060"/>
      <c r="JO1567" s="2060"/>
      <c r="JP1567" s="2060"/>
      <c r="JQ1567" s="2060"/>
      <c r="JR1567" s="2060"/>
      <c r="JS1567" s="2060"/>
      <c r="JT1567" s="2060"/>
      <c r="JU1567" s="2060"/>
      <c r="JV1567" s="2060"/>
      <c r="JW1567" s="2060"/>
      <c r="JX1567" s="2060"/>
      <c r="JY1567" s="2060"/>
      <c r="JZ1567" s="2060"/>
      <c r="KA1567" s="2060"/>
      <c r="KB1567" s="2060"/>
      <c r="KC1567" s="2060"/>
      <c r="KD1567" s="2060"/>
      <c r="KE1567" s="2060"/>
      <c r="KF1567" s="2060"/>
      <c r="KG1567" s="2060"/>
      <c r="KH1567" s="2060"/>
      <c r="KI1567" s="2060"/>
      <c r="KJ1567" s="2060"/>
      <c r="KK1567" s="2060"/>
      <c r="KL1567" s="2060"/>
      <c r="KM1567" s="2060"/>
      <c r="KN1567" s="2060"/>
      <c r="KO1567" s="2060"/>
      <c r="KP1567" s="2060"/>
      <c r="KQ1567" s="2060"/>
      <c r="KR1567" s="2060"/>
      <c r="KS1567" s="2060"/>
      <c r="KT1567" s="2060"/>
      <c r="KU1567" s="2060"/>
      <c r="KV1567" s="2060"/>
      <c r="KW1567" s="2060"/>
      <c r="KX1567" s="2060"/>
      <c r="KY1567" s="2060"/>
      <c r="KZ1567" s="2060"/>
      <c r="LA1567" s="2060"/>
      <c r="LB1567" s="2060"/>
      <c r="LC1567" s="2060"/>
      <c r="LD1567" s="2060"/>
      <c r="LE1567" s="2060"/>
      <c r="LF1567" s="2060"/>
      <c r="LG1567" s="2060"/>
      <c r="LH1567" s="2060"/>
    </row>
    <row r="1568" spans="1:320" s="449" customFormat="1" ht="13.9">
      <c r="A1568" s="269" t="str">
        <f t="shared" si="439"/>
        <v>n</v>
      </c>
      <c r="B1568" s="2060"/>
      <c r="C1568" s="2060"/>
      <c r="D1568" s="2060"/>
      <c r="E1568" s="1661">
        <v>9</v>
      </c>
      <c r="F1568" s="1353" t="str">
        <f>F$137</f>
        <v>--</v>
      </c>
      <c r="G1568" s="1349">
        <f>G$137</f>
        <v>0</v>
      </c>
      <c r="H1568" s="1349"/>
      <c r="I1568" s="89" t="s">
        <v>850</v>
      </c>
      <c r="J1568" s="1457" t="str">
        <f>IF($G1568=0,"",IFERROR(_xll.ciqfunctions.udf.CIQ($G1568,$I1568,J$1557,Valuation_Date_GC,ReportType,DataMode),"n/a"))</f>
        <v/>
      </c>
      <c r="K1568" s="1457" t="str">
        <f>IF($G1568=0,"",IFERROR(_xll.ciqfunctions.udf.CIQ($G1568,$I1568,K$1557,Valuation_Date_GC,ReportType,DataMode),"n/a"))</f>
        <v/>
      </c>
      <c r="L1568" s="1457" t="str">
        <f>IF($G1568=0,"",IFERROR(_xll.ciqfunctions.udf.CIQ($G1568,$I1568,L$1557,Valuation_Date_GC,ReportType,DataMode),"n/a"))</f>
        <v/>
      </c>
      <c r="M1568" s="1457" t="str">
        <f>IF($G1568=0,"",IFERROR(_xll.ciqfunctions.udf.CIQ($G1568,$I1568,M$1557,Valuation_Date_GC,ReportType,DataMode),"n/a"))</f>
        <v/>
      </c>
      <c r="N1568" s="1457" t="str">
        <f>IF($G1568=0,"",IFERROR(_xll.ciqfunctions.udf.CIQ($G1568,$I1568,N$1557,Valuation_Date_GC,ReportType,DataMode),"n/a"))</f>
        <v/>
      </c>
      <c r="O1568" s="1457" t="str">
        <f>IF($G1568=0,"",IFERROR(_xll.ciqfunctions.udf.CIQ($G1568,$I1568,O$1557,Valuation_Date_GC,ReportType,DataMode),"n/a"))</f>
        <v/>
      </c>
      <c r="P1568" s="1457" t="str">
        <f>IF($G1568=0,"",IFERROR(_xll.ciqfunctions.udf.CIQ($G1568,$I1568,P$1557,Valuation_Date_GC,ReportType,DataMode),"n/a"))</f>
        <v/>
      </c>
      <c r="Q1568" s="1457" t="str">
        <f>IF($G1568=0,"",IFERROR(_xll.ciqfunctions.udf.CIQ($G1568,$I1568,Q$1557,Valuation_Date_GC,ReportType,DataMode),"n/a"))</f>
        <v/>
      </c>
      <c r="R1568" s="1457" t="str">
        <f>IF($G1568=0,"",IFERROR(_xll.ciqfunctions.udf.CIQ($G1568,$I1568,R$1557,Valuation_Date_GC,ReportType,DataMode),"n/a"))</f>
        <v/>
      </c>
      <c r="S1568" s="1457" t="str">
        <f>IF($G1568=0,"",IFERROR(_xll.ciqfunctions.udf.CIQ($G1568,$I1568,S$1557,Valuation_Date_GC,ReportType,DataMode),"n/a"))</f>
        <v/>
      </c>
      <c r="T1568" s="1457" t="str">
        <f>IF($G1568=0,"",IFERROR(_xll.ciqfunctions.udf.CIQ($G1568,$I1568,T$1557,Valuation_Date_GC,ReportType,DataMode),"n/a"))</f>
        <v/>
      </c>
      <c r="U1568" s="1457" t="str">
        <f>IF($G1568=0,"",IFERROR(_xll.ciqfunctions.udf.CIQ($G1568,$I1568,U$1557,Valuation_Date_GC,ReportType,DataMode),"n/a"))</f>
        <v/>
      </c>
      <c r="V1568" s="1457" t="str">
        <f>IF($G1568=0,"",IFERROR(_xll.ciqfunctions.udf.CIQ($G1568,$I1568,V$1557,Valuation_Date_GC,ReportType,DataMode),"n/a"))</f>
        <v/>
      </c>
      <c r="W1568" s="1479"/>
      <c r="X1568" s="255"/>
      <c r="Y1568" s="89"/>
      <c r="Z1568" s="2060"/>
      <c r="AA1568" s="2060"/>
      <c r="AB1568" s="2060"/>
      <c r="AC1568" s="2060"/>
      <c r="AD1568" s="2060"/>
      <c r="AE1568" s="2060"/>
      <c r="AF1568" s="2060"/>
      <c r="AG1568" s="2060"/>
      <c r="AH1568" s="2060"/>
      <c r="AI1568" s="2060"/>
      <c r="AJ1568" s="2060"/>
      <c r="AK1568" s="2060"/>
      <c r="AL1568" s="2060"/>
      <c r="AM1568" s="2060"/>
      <c r="AN1568" s="2060"/>
      <c r="AO1568" s="2060"/>
      <c r="AP1568" s="2060"/>
      <c r="AQ1568" s="2060"/>
      <c r="AR1568" s="2060"/>
      <c r="AS1568" s="2060"/>
      <c r="AT1568" s="2060"/>
      <c r="AU1568" s="2060"/>
      <c r="AV1568" s="2060"/>
      <c r="AW1568" s="2060"/>
      <c r="AX1568" s="2060"/>
      <c r="AY1568" s="2060"/>
      <c r="AZ1568" s="2060"/>
      <c r="BA1568" s="2060"/>
      <c r="BB1568" s="2060"/>
      <c r="BC1568" s="2060"/>
      <c r="BD1568" s="2060"/>
      <c r="BE1568" s="2060"/>
      <c r="BF1568" s="2060"/>
      <c r="BG1568" s="2060"/>
      <c r="BH1568" s="2060"/>
      <c r="BI1568" s="2060"/>
      <c r="BJ1568" s="2060"/>
      <c r="BK1568" s="2060"/>
      <c r="BL1568" s="2060"/>
      <c r="BM1568" s="2060"/>
      <c r="BN1568" s="2060"/>
      <c r="BO1568" s="2060"/>
      <c r="BP1568" s="2060"/>
      <c r="BQ1568" s="2060"/>
      <c r="BR1568" s="2060"/>
      <c r="BS1568" s="2060"/>
      <c r="BT1568" s="2060"/>
      <c r="BU1568" s="2060"/>
      <c r="BV1568" s="2060"/>
      <c r="BW1568" s="2060"/>
      <c r="BX1568" s="2060"/>
      <c r="BY1568" s="2060"/>
      <c r="BZ1568" s="2060"/>
      <c r="CA1568" s="2060"/>
      <c r="CB1568" s="2060"/>
      <c r="CC1568" s="2060"/>
      <c r="CD1568" s="2060"/>
      <c r="CE1568" s="2060"/>
      <c r="CF1568" s="2060"/>
      <c r="CG1568" s="2060"/>
      <c r="CH1568" s="2060"/>
      <c r="CI1568" s="2060"/>
      <c r="CJ1568" s="2060"/>
      <c r="CK1568" s="2060"/>
      <c r="CL1568" s="2060"/>
      <c r="CM1568" s="2060"/>
      <c r="CN1568" s="2060"/>
      <c r="CO1568" s="2060"/>
      <c r="CP1568" s="2060"/>
      <c r="CQ1568" s="2060"/>
      <c r="CR1568" s="2060"/>
      <c r="CS1568" s="2060"/>
      <c r="CT1568" s="2060"/>
      <c r="CU1568" s="2060"/>
      <c r="CV1568" s="2060"/>
      <c r="CW1568" s="2060"/>
      <c r="CX1568" s="2060"/>
      <c r="CY1568" s="2060"/>
      <c r="CZ1568" s="2060"/>
      <c r="DA1568" s="2060"/>
      <c r="DB1568" s="2060"/>
      <c r="DC1568" s="2060"/>
      <c r="DD1568" s="2060"/>
      <c r="DE1568" s="2060"/>
      <c r="DF1568" s="2060"/>
      <c r="DG1568" s="2060"/>
      <c r="DH1568" s="2060"/>
      <c r="DI1568" s="2060"/>
      <c r="DJ1568" s="2060"/>
      <c r="DK1568" s="2060"/>
      <c r="DL1568" s="2060"/>
      <c r="DM1568" s="2060"/>
      <c r="DN1568" s="2060"/>
      <c r="DO1568" s="2060"/>
      <c r="DP1568" s="2060"/>
      <c r="DQ1568" s="2060"/>
      <c r="DR1568" s="2060"/>
      <c r="DS1568" s="2060"/>
      <c r="DT1568" s="2060"/>
      <c r="DU1568" s="2060"/>
      <c r="DV1568" s="2060"/>
      <c r="DW1568" s="2060"/>
      <c r="DX1568" s="2060"/>
      <c r="DY1568" s="2060"/>
      <c r="DZ1568" s="2060"/>
      <c r="EA1568" s="2060"/>
      <c r="EB1568" s="2060"/>
      <c r="EC1568" s="2060"/>
      <c r="ED1568" s="2060"/>
      <c r="EE1568" s="2060"/>
      <c r="EF1568" s="2060"/>
      <c r="EG1568" s="2060"/>
      <c r="EH1568" s="2060"/>
      <c r="EI1568" s="2060"/>
      <c r="EJ1568" s="2060"/>
      <c r="EK1568" s="2060"/>
      <c r="EL1568" s="2060"/>
      <c r="EM1568" s="2060"/>
      <c r="EN1568" s="2060"/>
      <c r="EO1568" s="2060"/>
      <c r="EP1568" s="2060"/>
      <c r="EQ1568" s="2060"/>
      <c r="ER1568" s="2060"/>
      <c r="ES1568" s="2060"/>
      <c r="ET1568" s="2060"/>
      <c r="EU1568" s="2060"/>
      <c r="EV1568" s="2060"/>
      <c r="EW1568" s="2060"/>
      <c r="EX1568" s="2060"/>
      <c r="EY1568" s="2060"/>
      <c r="EZ1568" s="2060"/>
      <c r="FA1568" s="2060"/>
      <c r="FB1568" s="2060"/>
      <c r="FC1568" s="2060"/>
      <c r="FD1568" s="2060"/>
      <c r="FE1568" s="2060"/>
      <c r="FF1568" s="2060"/>
      <c r="FG1568" s="2060"/>
      <c r="FH1568" s="2060"/>
      <c r="FI1568" s="2060"/>
      <c r="FJ1568" s="2060"/>
      <c r="FK1568" s="2060"/>
      <c r="FL1568" s="2060"/>
      <c r="FM1568" s="2060"/>
      <c r="FN1568" s="2060"/>
      <c r="FO1568" s="2060"/>
      <c r="FP1568" s="2060"/>
      <c r="FQ1568" s="2060"/>
      <c r="FR1568" s="2060"/>
      <c r="FS1568" s="2060"/>
      <c r="FT1568" s="2060"/>
      <c r="FU1568" s="2060"/>
      <c r="FV1568" s="2060"/>
      <c r="FW1568" s="2060"/>
      <c r="FX1568" s="2060"/>
      <c r="FY1568" s="2060"/>
      <c r="FZ1568" s="2060"/>
      <c r="GA1568" s="2060"/>
      <c r="GB1568" s="2060"/>
      <c r="GC1568" s="2060"/>
      <c r="GD1568" s="2060"/>
      <c r="GE1568" s="2060"/>
      <c r="GF1568" s="2060"/>
      <c r="GG1568" s="2060"/>
      <c r="GH1568" s="2060"/>
      <c r="GI1568" s="2060"/>
      <c r="GJ1568" s="2060"/>
      <c r="GK1568" s="2060"/>
      <c r="GL1568" s="2060"/>
      <c r="GM1568" s="2060"/>
      <c r="GN1568" s="2060"/>
      <c r="GO1568" s="2060"/>
      <c r="GP1568" s="2060"/>
      <c r="GQ1568" s="2060"/>
      <c r="GR1568" s="2060"/>
      <c r="GS1568" s="2060"/>
      <c r="GT1568" s="2060"/>
      <c r="GU1568" s="2060"/>
      <c r="GV1568" s="2060"/>
      <c r="GW1568" s="2060"/>
      <c r="GX1568" s="2060"/>
      <c r="GY1568" s="2060"/>
      <c r="GZ1568" s="2060"/>
      <c r="HA1568" s="2060"/>
      <c r="HB1568" s="2060"/>
      <c r="HC1568" s="2060"/>
      <c r="HD1568" s="2060"/>
      <c r="HE1568" s="2060"/>
      <c r="HF1568" s="2060"/>
      <c r="HG1568" s="2060"/>
      <c r="HH1568" s="2060"/>
      <c r="HI1568" s="2060"/>
      <c r="HJ1568" s="2060"/>
      <c r="HK1568" s="2060"/>
      <c r="HL1568" s="2060"/>
      <c r="HM1568" s="2060"/>
      <c r="HN1568" s="2060"/>
      <c r="HO1568" s="2060"/>
      <c r="HP1568" s="2060"/>
      <c r="HQ1568" s="2060"/>
      <c r="HR1568" s="2060"/>
      <c r="HS1568" s="2060"/>
      <c r="HT1568" s="2060"/>
      <c r="HU1568" s="2060"/>
      <c r="HV1568" s="2060"/>
      <c r="HW1568" s="2060"/>
      <c r="HX1568" s="2060"/>
      <c r="HY1568" s="2060"/>
      <c r="HZ1568" s="2060"/>
      <c r="IA1568" s="2060"/>
      <c r="IB1568" s="2060"/>
      <c r="IC1568" s="2060"/>
      <c r="ID1568" s="2060"/>
      <c r="IE1568" s="2060"/>
      <c r="IF1568" s="2060"/>
      <c r="IG1568" s="2060"/>
      <c r="IH1568" s="2060"/>
      <c r="II1568" s="2060"/>
      <c r="IJ1568" s="2060"/>
      <c r="IK1568" s="2060"/>
      <c r="IL1568" s="2060"/>
      <c r="IM1568" s="2060"/>
      <c r="IN1568" s="2060"/>
      <c r="IO1568" s="2060"/>
      <c r="IP1568" s="2060"/>
      <c r="IQ1568" s="2060"/>
      <c r="IR1568" s="2060"/>
      <c r="IS1568" s="2060"/>
      <c r="IT1568" s="2060"/>
      <c r="IU1568" s="2060"/>
      <c r="IV1568" s="2060"/>
      <c r="IW1568" s="2060"/>
      <c r="IX1568" s="2060"/>
      <c r="IY1568" s="2060"/>
      <c r="IZ1568" s="2060"/>
      <c r="JA1568" s="2060"/>
      <c r="JB1568" s="2060"/>
      <c r="JC1568" s="2060"/>
      <c r="JD1568" s="2060"/>
      <c r="JE1568" s="2060"/>
      <c r="JF1568" s="2060"/>
      <c r="JG1568" s="2060"/>
      <c r="JH1568" s="2060"/>
      <c r="JI1568" s="2060"/>
      <c r="JJ1568" s="2060"/>
      <c r="JK1568" s="2060"/>
      <c r="JL1568" s="2060"/>
      <c r="JM1568" s="2060"/>
      <c r="JN1568" s="2060"/>
      <c r="JO1568" s="2060"/>
      <c r="JP1568" s="2060"/>
      <c r="JQ1568" s="2060"/>
      <c r="JR1568" s="2060"/>
      <c r="JS1568" s="2060"/>
      <c r="JT1568" s="2060"/>
      <c r="JU1568" s="2060"/>
      <c r="JV1568" s="2060"/>
      <c r="JW1568" s="2060"/>
      <c r="JX1568" s="2060"/>
      <c r="JY1568" s="2060"/>
      <c r="JZ1568" s="2060"/>
      <c r="KA1568" s="2060"/>
      <c r="KB1568" s="2060"/>
      <c r="KC1568" s="2060"/>
      <c r="KD1568" s="2060"/>
      <c r="KE1568" s="2060"/>
      <c r="KF1568" s="2060"/>
      <c r="KG1568" s="2060"/>
      <c r="KH1568" s="2060"/>
      <c r="KI1568" s="2060"/>
      <c r="KJ1568" s="2060"/>
      <c r="KK1568" s="2060"/>
      <c r="KL1568" s="2060"/>
      <c r="KM1568" s="2060"/>
      <c r="KN1568" s="2060"/>
      <c r="KO1568" s="2060"/>
      <c r="KP1568" s="2060"/>
      <c r="KQ1568" s="2060"/>
      <c r="KR1568" s="2060"/>
      <c r="KS1568" s="2060"/>
      <c r="KT1568" s="2060"/>
      <c r="KU1568" s="2060"/>
      <c r="KV1568" s="2060"/>
      <c r="KW1568" s="2060"/>
      <c r="KX1568" s="2060"/>
      <c r="KY1568" s="2060"/>
      <c r="KZ1568" s="2060"/>
      <c r="LA1568" s="2060"/>
      <c r="LB1568" s="2060"/>
      <c r="LC1568" s="2060"/>
      <c r="LD1568" s="2060"/>
      <c r="LE1568" s="2060"/>
      <c r="LF1568" s="2060"/>
      <c r="LG1568" s="2060"/>
      <c r="LH1568" s="2060"/>
    </row>
    <row r="1569" spans="1:320" s="449" customFormat="1" ht="13.9">
      <c r="A1569" s="269" t="str">
        <f t="shared" si="439"/>
        <v>n</v>
      </c>
      <c r="B1569" s="2060"/>
      <c r="C1569" s="2060"/>
      <c r="D1569" s="2060"/>
      <c r="E1569" s="1661">
        <v>10</v>
      </c>
      <c r="F1569" s="1353" t="str">
        <f>F$138</f>
        <v>--</v>
      </c>
      <c r="G1569" s="1349">
        <f>G$138</f>
        <v>0</v>
      </c>
      <c r="H1569" s="1349"/>
      <c r="I1569" s="89" t="s">
        <v>850</v>
      </c>
      <c r="J1569" s="1457" t="str">
        <f>IF($G1569=0,"",IFERROR(_xll.ciqfunctions.udf.CIQ($G1569,$I1569,J$1557,Valuation_Date_GC,ReportType,DataMode),"n/a"))</f>
        <v/>
      </c>
      <c r="K1569" s="1457" t="str">
        <f>IF($G1569=0,"",IFERROR(_xll.ciqfunctions.udf.CIQ($G1569,$I1569,K$1557,Valuation_Date_GC,ReportType,DataMode),"n/a"))</f>
        <v/>
      </c>
      <c r="L1569" s="1457" t="str">
        <f>IF($G1569=0,"",IFERROR(_xll.ciqfunctions.udf.CIQ($G1569,$I1569,L$1557,Valuation_Date_GC,ReportType,DataMode),"n/a"))</f>
        <v/>
      </c>
      <c r="M1569" s="1457" t="str">
        <f>IF($G1569=0,"",IFERROR(_xll.ciqfunctions.udf.CIQ($G1569,$I1569,M$1557,Valuation_Date_GC,ReportType,DataMode),"n/a"))</f>
        <v/>
      </c>
      <c r="N1569" s="1457" t="str">
        <f>IF($G1569=0,"",IFERROR(_xll.ciqfunctions.udf.CIQ($G1569,$I1569,N$1557,Valuation_Date_GC,ReportType,DataMode),"n/a"))</f>
        <v/>
      </c>
      <c r="O1569" s="1457" t="str">
        <f>IF($G1569=0,"",IFERROR(_xll.ciqfunctions.udf.CIQ($G1569,$I1569,O$1557,Valuation_Date_GC,ReportType,DataMode),"n/a"))</f>
        <v/>
      </c>
      <c r="P1569" s="1457" t="str">
        <f>IF($G1569=0,"",IFERROR(_xll.ciqfunctions.udf.CIQ($G1569,$I1569,P$1557,Valuation_Date_GC,ReportType,DataMode),"n/a"))</f>
        <v/>
      </c>
      <c r="Q1569" s="1457" t="str">
        <f>IF($G1569=0,"",IFERROR(_xll.ciqfunctions.udf.CIQ($G1569,$I1569,Q$1557,Valuation_Date_GC,ReportType,DataMode),"n/a"))</f>
        <v/>
      </c>
      <c r="R1569" s="1457" t="str">
        <f>IF($G1569=0,"",IFERROR(_xll.ciqfunctions.udf.CIQ($G1569,$I1569,R$1557,Valuation_Date_GC,ReportType,DataMode),"n/a"))</f>
        <v/>
      </c>
      <c r="S1569" s="1457" t="str">
        <f>IF($G1569=0,"",IFERROR(_xll.ciqfunctions.udf.CIQ($G1569,$I1569,S$1557,Valuation_Date_GC,ReportType,DataMode),"n/a"))</f>
        <v/>
      </c>
      <c r="T1569" s="1457" t="str">
        <f>IF($G1569=0,"",IFERROR(_xll.ciqfunctions.udf.CIQ($G1569,$I1569,T$1557,Valuation_Date_GC,ReportType,DataMode),"n/a"))</f>
        <v/>
      </c>
      <c r="U1569" s="1457" t="str">
        <f>IF($G1569=0,"",IFERROR(_xll.ciqfunctions.udf.CIQ($G1569,$I1569,U$1557,Valuation_Date_GC,ReportType,DataMode),"n/a"))</f>
        <v/>
      </c>
      <c r="V1569" s="1457" t="str">
        <f>IF($G1569=0,"",IFERROR(_xll.ciqfunctions.udf.CIQ($G1569,$I1569,V$1557,Valuation_Date_GC,ReportType,DataMode),"n/a"))</f>
        <v/>
      </c>
      <c r="W1569" s="1479"/>
      <c r="X1569" s="255"/>
      <c r="Y1569" s="89"/>
      <c r="Z1569" s="2060"/>
      <c r="AA1569" s="2060"/>
      <c r="AB1569" s="2060"/>
      <c r="AC1569" s="2060"/>
      <c r="AD1569" s="2060"/>
      <c r="AE1569" s="2060"/>
      <c r="AF1569" s="2060"/>
      <c r="AG1569" s="2060"/>
      <c r="AH1569" s="2060"/>
      <c r="AI1569" s="2060"/>
      <c r="AJ1569" s="2060"/>
      <c r="AK1569" s="2060"/>
      <c r="AL1569" s="2060"/>
      <c r="AM1569" s="2060"/>
      <c r="AN1569" s="2060"/>
      <c r="AO1569" s="2060"/>
      <c r="AP1569" s="2060"/>
      <c r="AQ1569" s="2060"/>
      <c r="AR1569" s="2060"/>
      <c r="AS1569" s="2060"/>
      <c r="AT1569" s="2060"/>
      <c r="AU1569" s="2060"/>
      <c r="AV1569" s="2060"/>
      <c r="AW1569" s="2060"/>
      <c r="AX1569" s="2060"/>
      <c r="AY1569" s="2060"/>
      <c r="AZ1569" s="2060"/>
      <c r="BA1569" s="2060"/>
      <c r="BB1569" s="2060"/>
      <c r="BC1569" s="2060"/>
      <c r="BD1569" s="2060"/>
      <c r="BE1569" s="2060"/>
      <c r="BF1569" s="2060"/>
      <c r="BG1569" s="2060"/>
      <c r="BH1569" s="2060"/>
      <c r="BI1569" s="2060"/>
      <c r="BJ1569" s="2060"/>
      <c r="BK1569" s="2060"/>
      <c r="BL1569" s="2060"/>
      <c r="BM1569" s="2060"/>
      <c r="BN1569" s="2060"/>
      <c r="BO1569" s="2060"/>
      <c r="BP1569" s="2060"/>
      <c r="BQ1569" s="2060"/>
      <c r="BR1569" s="2060"/>
      <c r="BS1569" s="2060"/>
      <c r="BT1569" s="2060"/>
      <c r="BU1569" s="2060"/>
      <c r="BV1569" s="2060"/>
      <c r="BW1569" s="2060"/>
      <c r="BX1569" s="2060"/>
      <c r="BY1569" s="2060"/>
      <c r="BZ1569" s="2060"/>
      <c r="CA1569" s="2060"/>
      <c r="CB1569" s="2060"/>
      <c r="CC1569" s="2060"/>
      <c r="CD1569" s="2060"/>
      <c r="CE1569" s="2060"/>
      <c r="CF1569" s="2060"/>
      <c r="CG1569" s="2060"/>
      <c r="CH1569" s="2060"/>
      <c r="CI1569" s="2060"/>
      <c r="CJ1569" s="2060"/>
      <c r="CK1569" s="2060"/>
      <c r="CL1569" s="2060"/>
      <c r="CM1569" s="2060"/>
      <c r="CN1569" s="2060"/>
      <c r="CO1569" s="2060"/>
      <c r="CP1569" s="2060"/>
      <c r="CQ1569" s="2060"/>
      <c r="CR1569" s="2060"/>
      <c r="CS1569" s="2060"/>
      <c r="CT1569" s="2060"/>
      <c r="CU1569" s="2060"/>
      <c r="CV1569" s="2060"/>
      <c r="CW1569" s="2060"/>
      <c r="CX1569" s="2060"/>
      <c r="CY1569" s="2060"/>
      <c r="CZ1569" s="2060"/>
      <c r="DA1569" s="2060"/>
      <c r="DB1569" s="2060"/>
      <c r="DC1569" s="2060"/>
      <c r="DD1569" s="2060"/>
      <c r="DE1569" s="2060"/>
      <c r="DF1569" s="2060"/>
      <c r="DG1569" s="2060"/>
      <c r="DH1569" s="2060"/>
      <c r="DI1569" s="2060"/>
      <c r="DJ1569" s="2060"/>
      <c r="DK1569" s="2060"/>
      <c r="DL1569" s="2060"/>
      <c r="DM1569" s="2060"/>
      <c r="DN1569" s="2060"/>
      <c r="DO1569" s="2060"/>
      <c r="DP1569" s="2060"/>
      <c r="DQ1569" s="2060"/>
      <c r="DR1569" s="2060"/>
      <c r="DS1569" s="2060"/>
      <c r="DT1569" s="2060"/>
      <c r="DU1569" s="2060"/>
      <c r="DV1569" s="2060"/>
      <c r="DW1569" s="2060"/>
      <c r="DX1569" s="2060"/>
      <c r="DY1569" s="2060"/>
      <c r="DZ1569" s="2060"/>
      <c r="EA1569" s="2060"/>
      <c r="EB1569" s="2060"/>
      <c r="EC1569" s="2060"/>
      <c r="ED1569" s="2060"/>
      <c r="EE1569" s="2060"/>
      <c r="EF1569" s="2060"/>
      <c r="EG1569" s="2060"/>
      <c r="EH1569" s="2060"/>
      <c r="EI1569" s="2060"/>
      <c r="EJ1569" s="2060"/>
      <c r="EK1569" s="2060"/>
      <c r="EL1569" s="2060"/>
      <c r="EM1569" s="2060"/>
      <c r="EN1569" s="2060"/>
      <c r="EO1569" s="2060"/>
      <c r="EP1569" s="2060"/>
      <c r="EQ1569" s="2060"/>
      <c r="ER1569" s="2060"/>
      <c r="ES1569" s="2060"/>
      <c r="ET1569" s="2060"/>
      <c r="EU1569" s="2060"/>
      <c r="EV1569" s="2060"/>
      <c r="EW1569" s="2060"/>
      <c r="EX1569" s="2060"/>
      <c r="EY1569" s="2060"/>
      <c r="EZ1569" s="2060"/>
      <c r="FA1569" s="2060"/>
      <c r="FB1569" s="2060"/>
      <c r="FC1569" s="2060"/>
      <c r="FD1569" s="2060"/>
      <c r="FE1569" s="2060"/>
      <c r="FF1569" s="2060"/>
      <c r="FG1569" s="2060"/>
      <c r="FH1569" s="2060"/>
      <c r="FI1569" s="2060"/>
      <c r="FJ1569" s="2060"/>
      <c r="FK1569" s="2060"/>
      <c r="FL1569" s="2060"/>
      <c r="FM1569" s="2060"/>
      <c r="FN1569" s="2060"/>
      <c r="FO1569" s="2060"/>
      <c r="FP1569" s="2060"/>
      <c r="FQ1569" s="2060"/>
      <c r="FR1569" s="2060"/>
      <c r="FS1569" s="2060"/>
      <c r="FT1569" s="2060"/>
      <c r="FU1569" s="2060"/>
      <c r="FV1569" s="2060"/>
      <c r="FW1569" s="2060"/>
      <c r="FX1569" s="2060"/>
      <c r="FY1569" s="2060"/>
      <c r="FZ1569" s="2060"/>
      <c r="GA1569" s="2060"/>
      <c r="GB1569" s="2060"/>
      <c r="GC1569" s="2060"/>
      <c r="GD1569" s="2060"/>
      <c r="GE1569" s="2060"/>
      <c r="GF1569" s="2060"/>
      <c r="GG1569" s="2060"/>
      <c r="GH1569" s="2060"/>
      <c r="GI1569" s="2060"/>
      <c r="GJ1569" s="2060"/>
      <c r="GK1569" s="2060"/>
      <c r="GL1569" s="2060"/>
      <c r="GM1569" s="2060"/>
      <c r="GN1569" s="2060"/>
      <c r="GO1569" s="2060"/>
      <c r="GP1569" s="2060"/>
      <c r="GQ1569" s="2060"/>
      <c r="GR1569" s="2060"/>
      <c r="GS1569" s="2060"/>
      <c r="GT1569" s="2060"/>
      <c r="GU1569" s="2060"/>
      <c r="GV1569" s="2060"/>
      <c r="GW1569" s="2060"/>
      <c r="GX1569" s="2060"/>
      <c r="GY1569" s="2060"/>
      <c r="GZ1569" s="2060"/>
      <c r="HA1569" s="2060"/>
      <c r="HB1569" s="2060"/>
      <c r="HC1569" s="2060"/>
      <c r="HD1569" s="2060"/>
      <c r="HE1569" s="2060"/>
      <c r="HF1569" s="2060"/>
      <c r="HG1569" s="2060"/>
      <c r="HH1569" s="2060"/>
      <c r="HI1569" s="2060"/>
      <c r="HJ1569" s="2060"/>
      <c r="HK1569" s="2060"/>
      <c r="HL1569" s="2060"/>
      <c r="HM1569" s="2060"/>
      <c r="HN1569" s="2060"/>
      <c r="HO1569" s="2060"/>
      <c r="HP1569" s="2060"/>
      <c r="HQ1569" s="2060"/>
      <c r="HR1569" s="2060"/>
      <c r="HS1569" s="2060"/>
      <c r="HT1569" s="2060"/>
      <c r="HU1569" s="2060"/>
      <c r="HV1569" s="2060"/>
      <c r="HW1569" s="2060"/>
      <c r="HX1569" s="2060"/>
      <c r="HY1569" s="2060"/>
      <c r="HZ1569" s="2060"/>
      <c r="IA1569" s="2060"/>
      <c r="IB1569" s="2060"/>
      <c r="IC1569" s="2060"/>
      <c r="ID1569" s="2060"/>
      <c r="IE1569" s="2060"/>
      <c r="IF1569" s="2060"/>
      <c r="IG1569" s="2060"/>
      <c r="IH1569" s="2060"/>
      <c r="II1569" s="2060"/>
      <c r="IJ1569" s="2060"/>
      <c r="IK1569" s="2060"/>
      <c r="IL1569" s="2060"/>
      <c r="IM1569" s="2060"/>
      <c r="IN1569" s="2060"/>
      <c r="IO1569" s="2060"/>
      <c r="IP1569" s="2060"/>
      <c r="IQ1569" s="2060"/>
      <c r="IR1569" s="2060"/>
      <c r="IS1569" s="2060"/>
      <c r="IT1569" s="2060"/>
      <c r="IU1569" s="2060"/>
      <c r="IV1569" s="2060"/>
      <c r="IW1569" s="2060"/>
      <c r="IX1569" s="2060"/>
      <c r="IY1569" s="2060"/>
      <c r="IZ1569" s="2060"/>
      <c r="JA1569" s="2060"/>
      <c r="JB1569" s="2060"/>
      <c r="JC1569" s="2060"/>
      <c r="JD1569" s="2060"/>
      <c r="JE1569" s="2060"/>
      <c r="JF1569" s="2060"/>
      <c r="JG1569" s="2060"/>
      <c r="JH1569" s="2060"/>
      <c r="JI1569" s="2060"/>
      <c r="JJ1569" s="2060"/>
      <c r="JK1569" s="2060"/>
      <c r="JL1569" s="2060"/>
      <c r="JM1569" s="2060"/>
      <c r="JN1569" s="2060"/>
      <c r="JO1569" s="2060"/>
      <c r="JP1569" s="2060"/>
      <c r="JQ1569" s="2060"/>
      <c r="JR1569" s="2060"/>
      <c r="JS1569" s="2060"/>
      <c r="JT1569" s="2060"/>
      <c r="JU1569" s="2060"/>
      <c r="JV1569" s="2060"/>
      <c r="JW1569" s="2060"/>
      <c r="JX1569" s="2060"/>
      <c r="JY1569" s="2060"/>
      <c r="JZ1569" s="2060"/>
      <c r="KA1569" s="2060"/>
      <c r="KB1569" s="2060"/>
      <c r="KC1569" s="2060"/>
      <c r="KD1569" s="2060"/>
      <c r="KE1569" s="2060"/>
      <c r="KF1569" s="2060"/>
      <c r="KG1569" s="2060"/>
      <c r="KH1569" s="2060"/>
      <c r="KI1569" s="2060"/>
      <c r="KJ1569" s="2060"/>
      <c r="KK1569" s="2060"/>
      <c r="KL1569" s="2060"/>
      <c r="KM1569" s="2060"/>
      <c r="KN1569" s="2060"/>
      <c r="KO1569" s="2060"/>
      <c r="KP1569" s="2060"/>
      <c r="KQ1569" s="2060"/>
      <c r="KR1569" s="2060"/>
      <c r="KS1569" s="2060"/>
      <c r="KT1569" s="2060"/>
      <c r="KU1569" s="2060"/>
      <c r="KV1569" s="2060"/>
      <c r="KW1569" s="2060"/>
      <c r="KX1569" s="2060"/>
      <c r="KY1569" s="2060"/>
      <c r="KZ1569" s="2060"/>
      <c r="LA1569" s="2060"/>
      <c r="LB1569" s="2060"/>
      <c r="LC1569" s="2060"/>
      <c r="LD1569" s="2060"/>
      <c r="LE1569" s="2060"/>
      <c r="LF1569" s="2060"/>
      <c r="LG1569" s="2060"/>
      <c r="LH1569" s="2060"/>
    </row>
    <row r="1570" spans="1:320" s="449" customFormat="1" ht="13.9">
      <c r="A1570" s="269" t="str">
        <f t="shared" si="439"/>
        <v>n</v>
      </c>
      <c r="B1570" s="2060"/>
      <c r="C1570" s="2060"/>
      <c r="D1570" s="2060"/>
      <c r="E1570" s="1661">
        <v>11</v>
      </c>
      <c r="F1570" s="1353" t="str">
        <f>F$139</f>
        <v>--</v>
      </c>
      <c r="G1570" s="1349">
        <f>G$139</f>
        <v>0</v>
      </c>
      <c r="H1570" s="1349"/>
      <c r="I1570" s="89" t="s">
        <v>850</v>
      </c>
      <c r="J1570" s="1457" t="str">
        <f>IF($G1570=0,"",IFERROR(_xll.ciqfunctions.udf.CIQ($G1570,$I1570,J$1557,Valuation_Date_GC,ReportType,DataMode),"n/a"))</f>
        <v/>
      </c>
      <c r="K1570" s="1457" t="str">
        <f>IF($G1570=0,"",IFERROR(_xll.ciqfunctions.udf.CIQ($G1570,$I1570,K$1557,Valuation_Date_GC,ReportType,DataMode),"n/a"))</f>
        <v/>
      </c>
      <c r="L1570" s="1457" t="str">
        <f>IF($G1570=0,"",IFERROR(_xll.ciqfunctions.udf.CIQ($G1570,$I1570,L$1557,Valuation_Date_GC,ReportType,DataMode),"n/a"))</f>
        <v/>
      </c>
      <c r="M1570" s="1457" t="str">
        <f>IF($G1570=0,"",IFERROR(_xll.ciqfunctions.udf.CIQ($G1570,$I1570,M$1557,Valuation_Date_GC,ReportType,DataMode),"n/a"))</f>
        <v/>
      </c>
      <c r="N1570" s="1457" t="str">
        <f>IF($G1570=0,"",IFERROR(_xll.ciqfunctions.udf.CIQ($G1570,$I1570,N$1557,Valuation_Date_GC,ReportType,DataMode),"n/a"))</f>
        <v/>
      </c>
      <c r="O1570" s="1457" t="str">
        <f>IF($G1570=0,"",IFERROR(_xll.ciqfunctions.udf.CIQ($G1570,$I1570,O$1557,Valuation_Date_GC,ReportType,DataMode),"n/a"))</f>
        <v/>
      </c>
      <c r="P1570" s="1457" t="str">
        <f>IF($G1570=0,"",IFERROR(_xll.ciqfunctions.udf.CIQ($G1570,$I1570,P$1557,Valuation_Date_GC,ReportType,DataMode),"n/a"))</f>
        <v/>
      </c>
      <c r="Q1570" s="1457" t="str">
        <f>IF($G1570=0,"",IFERROR(_xll.ciqfunctions.udf.CIQ($G1570,$I1570,Q$1557,Valuation_Date_GC,ReportType,DataMode),"n/a"))</f>
        <v/>
      </c>
      <c r="R1570" s="1457" t="str">
        <f>IF($G1570=0,"",IFERROR(_xll.ciqfunctions.udf.CIQ($G1570,$I1570,R$1557,Valuation_Date_GC,ReportType,DataMode),"n/a"))</f>
        <v/>
      </c>
      <c r="S1570" s="1457" t="str">
        <f>IF($G1570=0,"",IFERROR(_xll.ciqfunctions.udf.CIQ($G1570,$I1570,S$1557,Valuation_Date_GC,ReportType,DataMode),"n/a"))</f>
        <v/>
      </c>
      <c r="T1570" s="1457" t="str">
        <f>IF($G1570=0,"",IFERROR(_xll.ciqfunctions.udf.CIQ($G1570,$I1570,T$1557,Valuation_Date_GC,ReportType,DataMode),"n/a"))</f>
        <v/>
      </c>
      <c r="U1570" s="1457" t="str">
        <f>IF($G1570=0,"",IFERROR(_xll.ciqfunctions.udf.CIQ($G1570,$I1570,U$1557,Valuation_Date_GC,ReportType,DataMode),"n/a"))</f>
        <v/>
      </c>
      <c r="V1570" s="1457" t="str">
        <f>IF($G1570=0,"",IFERROR(_xll.ciqfunctions.udf.CIQ($G1570,$I1570,V$1557,Valuation_Date_GC,ReportType,DataMode),"n/a"))</f>
        <v/>
      </c>
      <c r="W1570" s="1479"/>
      <c r="X1570" s="255"/>
      <c r="Y1570" s="89"/>
      <c r="Z1570" s="2060"/>
      <c r="AA1570" s="2060"/>
      <c r="AB1570" s="2060"/>
      <c r="AC1570" s="2060"/>
      <c r="AD1570" s="2060"/>
      <c r="AE1570" s="2060"/>
      <c r="AF1570" s="2060"/>
      <c r="AG1570" s="2060"/>
      <c r="AH1570" s="2060"/>
      <c r="AI1570" s="2060"/>
      <c r="AJ1570" s="2060"/>
      <c r="AK1570" s="2060"/>
      <c r="AL1570" s="2060"/>
      <c r="AM1570" s="2060"/>
      <c r="AN1570" s="2060"/>
      <c r="AO1570" s="2060"/>
      <c r="AP1570" s="2060"/>
      <c r="AQ1570" s="2060"/>
      <c r="AR1570" s="2060"/>
      <c r="AS1570" s="2060"/>
      <c r="AT1570" s="2060"/>
      <c r="AU1570" s="2060"/>
      <c r="AV1570" s="2060"/>
      <c r="AW1570" s="2060"/>
      <c r="AX1570" s="2060"/>
      <c r="AY1570" s="2060"/>
      <c r="AZ1570" s="2060"/>
      <c r="BA1570" s="2060"/>
      <c r="BB1570" s="2060"/>
      <c r="BC1570" s="2060"/>
      <c r="BD1570" s="2060"/>
      <c r="BE1570" s="2060"/>
      <c r="BF1570" s="2060"/>
      <c r="BG1570" s="2060"/>
      <c r="BH1570" s="2060"/>
      <c r="BI1570" s="2060"/>
      <c r="BJ1570" s="2060"/>
      <c r="BK1570" s="2060"/>
      <c r="BL1570" s="2060"/>
      <c r="BM1570" s="2060"/>
      <c r="BN1570" s="2060"/>
      <c r="BO1570" s="2060"/>
      <c r="BP1570" s="2060"/>
      <c r="BQ1570" s="2060"/>
      <c r="BR1570" s="2060"/>
      <c r="BS1570" s="2060"/>
      <c r="BT1570" s="2060"/>
      <c r="BU1570" s="2060"/>
      <c r="BV1570" s="2060"/>
      <c r="BW1570" s="2060"/>
      <c r="BX1570" s="2060"/>
      <c r="BY1570" s="2060"/>
      <c r="BZ1570" s="2060"/>
      <c r="CA1570" s="2060"/>
      <c r="CB1570" s="2060"/>
      <c r="CC1570" s="2060"/>
      <c r="CD1570" s="2060"/>
      <c r="CE1570" s="2060"/>
      <c r="CF1570" s="2060"/>
      <c r="CG1570" s="2060"/>
      <c r="CH1570" s="2060"/>
      <c r="CI1570" s="2060"/>
      <c r="CJ1570" s="2060"/>
      <c r="CK1570" s="2060"/>
      <c r="CL1570" s="2060"/>
      <c r="CM1570" s="2060"/>
      <c r="CN1570" s="2060"/>
      <c r="CO1570" s="2060"/>
      <c r="CP1570" s="2060"/>
      <c r="CQ1570" s="2060"/>
      <c r="CR1570" s="2060"/>
      <c r="CS1570" s="2060"/>
      <c r="CT1570" s="2060"/>
      <c r="CU1570" s="2060"/>
      <c r="CV1570" s="2060"/>
      <c r="CW1570" s="2060"/>
      <c r="CX1570" s="2060"/>
      <c r="CY1570" s="2060"/>
      <c r="CZ1570" s="2060"/>
      <c r="DA1570" s="2060"/>
      <c r="DB1570" s="2060"/>
      <c r="DC1570" s="2060"/>
      <c r="DD1570" s="2060"/>
      <c r="DE1570" s="2060"/>
      <c r="DF1570" s="2060"/>
      <c r="DG1570" s="2060"/>
      <c r="DH1570" s="2060"/>
      <c r="DI1570" s="2060"/>
      <c r="DJ1570" s="2060"/>
      <c r="DK1570" s="2060"/>
      <c r="DL1570" s="2060"/>
      <c r="DM1570" s="2060"/>
      <c r="DN1570" s="2060"/>
      <c r="DO1570" s="2060"/>
      <c r="DP1570" s="2060"/>
      <c r="DQ1570" s="2060"/>
      <c r="DR1570" s="2060"/>
      <c r="DS1570" s="2060"/>
      <c r="DT1570" s="2060"/>
      <c r="DU1570" s="2060"/>
      <c r="DV1570" s="2060"/>
      <c r="DW1570" s="2060"/>
      <c r="DX1570" s="2060"/>
      <c r="DY1570" s="2060"/>
      <c r="DZ1570" s="2060"/>
      <c r="EA1570" s="2060"/>
      <c r="EB1570" s="2060"/>
      <c r="EC1570" s="2060"/>
      <c r="ED1570" s="2060"/>
      <c r="EE1570" s="2060"/>
      <c r="EF1570" s="2060"/>
      <c r="EG1570" s="2060"/>
      <c r="EH1570" s="2060"/>
      <c r="EI1570" s="2060"/>
      <c r="EJ1570" s="2060"/>
      <c r="EK1570" s="2060"/>
      <c r="EL1570" s="2060"/>
      <c r="EM1570" s="2060"/>
      <c r="EN1570" s="2060"/>
      <c r="EO1570" s="2060"/>
      <c r="EP1570" s="2060"/>
      <c r="EQ1570" s="2060"/>
      <c r="ER1570" s="2060"/>
      <c r="ES1570" s="2060"/>
      <c r="ET1570" s="2060"/>
      <c r="EU1570" s="2060"/>
      <c r="EV1570" s="2060"/>
      <c r="EW1570" s="2060"/>
      <c r="EX1570" s="2060"/>
      <c r="EY1570" s="2060"/>
      <c r="EZ1570" s="2060"/>
      <c r="FA1570" s="2060"/>
      <c r="FB1570" s="2060"/>
      <c r="FC1570" s="2060"/>
      <c r="FD1570" s="2060"/>
      <c r="FE1570" s="2060"/>
      <c r="FF1570" s="2060"/>
      <c r="FG1570" s="2060"/>
      <c r="FH1570" s="2060"/>
      <c r="FI1570" s="2060"/>
      <c r="FJ1570" s="2060"/>
      <c r="FK1570" s="2060"/>
      <c r="FL1570" s="2060"/>
      <c r="FM1570" s="2060"/>
      <c r="FN1570" s="2060"/>
      <c r="FO1570" s="2060"/>
      <c r="FP1570" s="2060"/>
      <c r="FQ1570" s="2060"/>
      <c r="FR1570" s="2060"/>
      <c r="FS1570" s="2060"/>
      <c r="FT1570" s="2060"/>
      <c r="FU1570" s="2060"/>
      <c r="FV1570" s="2060"/>
      <c r="FW1570" s="2060"/>
      <c r="FX1570" s="2060"/>
      <c r="FY1570" s="2060"/>
      <c r="FZ1570" s="2060"/>
      <c r="GA1570" s="2060"/>
      <c r="GB1570" s="2060"/>
      <c r="GC1570" s="2060"/>
      <c r="GD1570" s="2060"/>
      <c r="GE1570" s="2060"/>
      <c r="GF1570" s="2060"/>
      <c r="GG1570" s="2060"/>
      <c r="GH1570" s="2060"/>
      <c r="GI1570" s="2060"/>
      <c r="GJ1570" s="2060"/>
      <c r="GK1570" s="2060"/>
      <c r="GL1570" s="2060"/>
      <c r="GM1570" s="2060"/>
      <c r="GN1570" s="2060"/>
      <c r="GO1570" s="2060"/>
      <c r="GP1570" s="2060"/>
      <c r="GQ1570" s="2060"/>
      <c r="GR1570" s="2060"/>
      <c r="GS1570" s="2060"/>
      <c r="GT1570" s="2060"/>
      <c r="GU1570" s="2060"/>
      <c r="GV1570" s="2060"/>
      <c r="GW1570" s="2060"/>
      <c r="GX1570" s="2060"/>
      <c r="GY1570" s="2060"/>
      <c r="GZ1570" s="2060"/>
      <c r="HA1570" s="2060"/>
      <c r="HB1570" s="2060"/>
      <c r="HC1570" s="2060"/>
      <c r="HD1570" s="2060"/>
      <c r="HE1570" s="2060"/>
      <c r="HF1570" s="2060"/>
      <c r="HG1570" s="2060"/>
      <c r="HH1570" s="2060"/>
      <c r="HI1570" s="2060"/>
      <c r="HJ1570" s="2060"/>
      <c r="HK1570" s="2060"/>
      <c r="HL1570" s="2060"/>
      <c r="HM1570" s="2060"/>
      <c r="HN1570" s="2060"/>
      <c r="HO1570" s="2060"/>
      <c r="HP1570" s="2060"/>
      <c r="HQ1570" s="2060"/>
      <c r="HR1570" s="2060"/>
      <c r="HS1570" s="2060"/>
      <c r="HT1570" s="2060"/>
      <c r="HU1570" s="2060"/>
      <c r="HV1570" s="2060"/>
      <c r="HW1570" s="2060"/>
      <c r="HX1570" s="2060"/>
      <c r="HY1570" s="2060"/>
      <c r="HZ1570" s="2060"/>
      <c r="IA1570" s="2060"/>
      <c r="IB1570" s="2060"/>
      <c r="IC1570" s="2060"/>
      <c r="ID1570" s="2060"/>
      <c r="IE1570" s="2060"/>
      <c r="IF1570" s="2060"/>
      <c r="IG1570" s="2060"/>
      <c r="IH1570" s="2060"/>
      <c r="II1570" s="2060"/>
      <c r="IJ1570" s="2060"/>
      <c r="IK1570" s="2060"/>
      <c r="IL1570" s="2060"/>
      <c r="IM1570" s="2060"/>
      <c r="IN1570" s="2060"/>
      <c r="IO1570" s="2060"/>
      <c r="IP1570" s="2060"/>
      <c r="IQ1570" s="2060"/>
      <c r="IR1570" s="2060"/>
      <c r="IS1570" s="2060"/>
      <c r="IT1570" s="2060"/>
      <c r="IU1570" s="2060"/>
      <c r="IV1570" s="2060"/>
      <c r="IW1570" s="2060"/>
      <c r="IX1570" s="2060"/>
      <c r="IY1570" s="2060"/>
      <c r="IZ1570" s="2060"/>
      <c r="JA1570" s="2060"/>
      <c r="JB1570" s="2060"/>
      <c r="JC1570" s="2060"/>
      <c r="JD1570" s="2060"/>
      <c r="JE1570" s="2060"/>
      <c r="JF1570" s="2060"/>
      <c r="JG1570" s="2060"/>
      <c r="JH1570" s="2060"/>
      <c r="JI1570" s="2060"/>
      <c r="JJ1570" s="2060"/>
      <c r="JK1570" s="2060"/>
      <c r="JL1570" s="2060"/>
      <c r="JM1570" s="2060"/>
      <c r="JN1570" s="2060"/>
      <c r="JO1570" s="2060"/>
      <c r="JP1570" s="2060"/>
      <c r="JQ1570" s="2060"/>
      <c r="JR1570" s="2060"/>
      <c r="JS1570" s="2060"/>
      <c r="JT1570" s="2060"/>
      <c r="JU1570" s="2060"/>
      <c r="JV1570" s="2060"/>
      <c r="JW1570" s="2060"/>
      <c r="JX1570" s="2060"/>
      <c r="JY1570" s="2060"/>
      <c r="JZ1570" s="2060"/>
      <c r="KA1570" s="2060"/>
      <c r="KB1570" s="2060"/>
      <c r="KC1570" s="2060"/>
      <c r="KD1570" s="2060"/>
      <c r="KE1570" s="2060"/>
      <c r="KF1570" s="2060"/>
      <c r="KG1570" s="2060"/>
      <c r="KH1570" s="2060"/>
      <c r="KI1570" s="2060"/>
      <c r="KJ1570" s="2060"/>
      <c r="KK1570" s="2060"/>
      <c r="KL1570" s="2060"/>
      <c r="KM1570" s="2060"/>
      <c r="KN1570" s="2060"/>
      <c r="KO1570" s="2060"/>
      <c r="KP1570" s="2060"/>
      <c r="KQ1570" s="2060"/>
      <c r="KR1570" s="2060"/>
      <c r="KS1570" s="2060"/>
      <c r="KT1570" s="2060"/>
      <c r="KU1570" s="2060"/>
      <c r="KV1570" s="2060"/>
      <c r="KW1570" s="2060"/>
      <c r="KX1570" s="2060"/>
      <c r="KY1570" s="2060"/>
      <c r="KZ1570" s="2060"/>
      <c r="LA1570" s="2060"/>
      <c r="LB1570" s="2060"/>
      <c r="LC1570" s="2060"/>
      <c r="LD1570" s="2060"/>
      <c r="LE1570" s="2060"/>
      <c r="LF1570" s="2060"/>
      <c r="LG1570" s="2060"/>
      <c r="LH1570" s="2060"/>
    </row>
    <row r="1571" spans="1:320" s="449" customFormat="1" ht="13.9">
      <c r="A1571" s="269" t="str">
        <f t="shared" si="439"/>
        <v>n</v>
      </c>
      <c r="B1571" s="2060"/>
      <c r="C1571" s="2060"/>
      <c r="D1571" s="2060"/>
      <c r="E1571" s="1661">
        <v>12</v>
      </c>
      <c r="F1571" s="1353" t="str">
        <f>F$140</f>
        <v>--</v>
      </c>
      <c r="G1571" s="1349">
        <f>G$140</f>
        <v>0</v>
      </c>
      <c r="H1571" s="1349"/>
      <c r="I1571" s="89" t="s">
        <v>850</v>
      </c>
      <c r="J1571" s="1457" t="str">
        <f>IF($G1571=0,"",IFERROR(_xll.ciqfunctions.udf.CIQ($G1571,$I1571,J$1557,Valuation_Date_GC,ReportType,DataMode),"n/a"))</f>
        <v/>
      </c>
      <c r="K1571" s="1457" t="str">
        <f>IF($G1571=0,"",IFERROR(_xll.ciqfunctions.udf.CIQ($G1571,$I1571,K$1557,Valuation_Date_GC,ReportType,DataMode),"n/a"))</f>
        <v/>
      </c>
      <c r="L1571" s="1457" t="str">
        <f>IF($G1571=0,"",IFERROR(_xll.ciqfunctions.udf.CIQ($G1571,$I1571,L$1557,Valuation_Date_GC,ReportType,DataMode),"n/a"))</f>
        <v/>
      </c>
      <c r="M1571" s="1457" t="str">
        <f>IF($G1571=0,"",IFERROR(_xll.ciqfunctions.udf.CIQ($G1571,$I1571,M$1557,Valuation_Date_GC,ReportType,DataMode),"n/a"))</f>
        <v/>
      </c>
      <c r="N1571" s="1457" t="str">
        <f>IF($G1571=0,"",IFERROR(_xll.ciqfunctions.udf.CIQ($G1571,$I1571,N$1557,Valuation_Date_GC,ReportType,DataMode),"n/a"))</f>
        <v/>
      </c>
      <c r="O1571" s="1457" t="str">
        <f>IF($G1571=0,"",IFERROR(_xll.ciqfunctions.udf.CIQ($G1571,$I1571,O$1557,Valuation_Date_GC,ReportType,DataMode),"n/a"))</f>
        <v/>
      </c>
      <c r="P1571" s="1457" t="str">
        <f>IF($G1571=0,"",IFERROR(_xll.ciqfunctions.udf.CIQ($G1571,$I1571,P$1557,Valuation_Date_GC,ReportType,DataMode),"n/a"))</f>
        <v/>
      </c>
      <c r="Q1571" s="1457" t="str">
        <f>IF($G1571=0,"",IFERROR(_xll.ciqfunctions.udf.CIQ($G1571,$I1571,Q$1557,Valuation_Date_GC,ReportType,DataMode),"n/a"))</f>
        <v/>
      </c>
      <c r="R1571" s="1457" t="str">
        <f>IF($G1571=0,"",IFERROR(_xll.ciqfunctions.udf.CIQ($G1571,$I1571,R$1557,Valuation_Date_GC,ReportType,DataMode),"n/a"))</f>
        <v/>
      </c>
      <c r="S1571" s="1457" t="str">
        <f>IF($G1571=0,"",IFERROR(_xll.ciqfunctions.udf.CIQ($G1571,$I1571,S$1557,Valuation_Date_GC,ReportType,DataMode),"n/a"))</f>
        <v/>
      </c>
      <c r="T1571" s="1457" t="str">
        <f>IF($G1571=0,"",IFERROR(_xll.ciqfunctions.udf.CIQ($G1571,$I1571,T$1557,Valuation_Date_GC,ReportType,DataMode),"n/a"))</f>
        <v/>
      </c>
      <c r="U1571" s="1457" t="str">
        <f>IF($G1571=0,"",IFERROR(_xll.ciqfunctions.udf.CIQ($G1571,$I1571,U$1557,Valuation_Date_GC,ReportType,DataMode),"n/a"))</f>
        <v/>
      </c>
      <c r="V1571" s="1457" t="str">
        <f>IF($G1571=0,"",IFERROR(_xll.ciqfunctions.udf.CIQ($G1571,$I1571,V$1557,Valuation_Date_GC,ReportType,DataMode),"n/a"))</f>
        <v/>
      </c>
      <c r="W1571" s="1479"/>
      <c r="X1571" s="255"/>
      <c r="Y1571" s="255"/>
      <c r="Z1571" s="2060"/>
      <c r="AA1571" s="2060"/>
      <c r="AB1571" s="2060"/>
      <c r="AC1571" s="2060"/>
      <c r="AD1571" s="2060"/>
      <c r="AE1571" s="2060"/>
      <c r="AF1571" s="2060"/>
      <c r="AG1571" s="2060"/>
      <c r="AH1571" s="2060"/>
      <c r="AI1571" s="2060"/>
      <c r="AJ1571" s="2060"/>
      <c r="AK1571" s="2060"/>
      <c r="AL1571" s="2060"/>
      <c r="AM1571" s="2060"/>
      <c r="AN1571" s="2060"/>
      <c r="AO1571" s="2060"/>
      <c r="AP1571" s="2060"/>
      <c r="AQ1571" s="2060"/>
      <c r="AR1571" s="2060"/>
      <c r="AS1571" s="2060"/>
      <c r="AT1571" s="2060"/>
      <c r="AU1571" s="2060"/>
      <c r="AV1571" s="2060"/>
      <c r="AW1571" s="2060"/>
      <c r="AX1571" s="2060"/>
      <c r="AY1571" s="2060"/>
      <c r="AZ1571" s="2060"/>
      <c r="BA1571" s="2060"/>
      <c r="BB1571" s="2060"/>
      <c r="BC1571" s="2060"/>
      <c r="BD1571" s="2060"/>
      <c r="BE1571" s="2060"/>
      <c r="BF1571" s="2060"/>
      <c r="BG1571" s="2060"/>
      <c r="BH1571" s="2060"/>
      <c r="BI1571" s="2060"/>
      <c r="BJ1571" s="2060"/>
      <c r="BK1571" s="2060"/>
      <c r="BL1571" s="2060"/>
      <c r="BM1571" s="2060"/>
      <c r="BN1571" s="2060"/>
      <c r="BO1571" s="2060"/>
      <c r="BP1571" s="2060"/>
      <c r="BQ1571" s="2060"/>
      <c r="BR1571" s="2060"/>
      <c r="BS1571" s="2060"/>
      <c r="BT1571" s="2060"/>
      <c r="BU1571" s="2060"/>
      <c r="BV1571" s="2060"/>
      <c r="BW1571" s="2060"/>
      <c r="BX1571" s="2060"/>
      <c r="BY1571" s="2060"/>
      <c r="BZ1571" s="2060"/>
      <c r="CA1571" s="2060"/>
      <c r="CB1571" s="2060"/>
      <c r="CC1571" s="2060"/>
      <c r="CD1571" s="2060"/>
      <c r="CE1571" s="2060"/>
      <c r="CF1571" s="2060"/>
      <c r="CG1571" s="2060"/>
      <c r="CH1571" s="2060"/>
      <c r="CI1571" s="2060"/>
      <c r="CJ1571" s="2060"/>
      <c r="CK1571" s="2060"/>
      <c r="CL1571" s="2060"/>
      <c r="CM1571" s="2060"/>
      <c r="CN1571" s="2060"/>
      <c r="CO1571" s="2060"/>
      <c r="CP1571" s="2060"/>
      <c r="CQ1571" s="2060"/>
      <c r="CR1571" s="2060"/>
      <c r="CS1571" s="2060"/>
      <c r="CT1571" s="2060"/>
      <c r="CU1571" s="2060"/>
      <c r="CV1571" s="2060"/>
      <c r="CW1571" s="2060"/>
      <c r="CX1571" s="2060"/>
      <c r="CY1571" s="2060"/>
      <c r="CZ1571" s="2060"/>
      <c r="DA1571" s="2060"/>
      <c r="DB1571" s="2060"/>
      <c r="DC1571" s="2060"/>
      <c r="DD1571" s="2060"/>
      <c r="DE1571" s="2060"/>
      <c r="DF1571" s="2060"/>
      <c r="DG1571" s="2060"/>
      <c r="DH1571" s="2060"/>
      <c r="DI1571" s="2060"/>
      <c r="DJ1571" s="2060"/>
      <c r="DK1571" s="2060"/>
      <c r="DL1571" s="2060"/>
      <c r="DM1571" s="2060"/>
      <c r="DN1571" s="2060"/>
      <c r="DO1571" s="2060"/>
      <c r="DP1571" s="2060"/>
      <c r="DQ1571" s="2060"/>
      <c r="DR1571" s="2060"/>
      <c r="DS1571" s="2060"/>
      <c r="DT1571" s="2060"/>
      <c r="DU1571" s="2060"/>
      <c r="DV1571" s="2060"/>
      <c r="DW1571" s="2060"/>
      <c r="DX1571" s="2060"/>
      <c r="DY1571" s="2060"/>
      <c r="DZ1571" s="2060"/>
      <c r="EA1571" s="2060"/>
      <c r="EB1571" s="2060"/>
      <c r="EC1571" s="2060"/>
      <c r="ED1571" s="2060"/>
      <c r="EE1571" s="2060"/>
      <c r="EF1571" s="2060"/>
      <c r="EG1571" s="2060"/>
      <c r="EH1571" s="2060"/>
      <c r="EI1571" s="2060"/>
      <c r="EJ1571" s="2060"/>
      <c r="EK1571" s="2060"/>
      <c r="EL1571" s="2060"/>
      <c r="EM1571" s="2060"/>
      <c r="EN1571" s="2060"/>
      <c r="EO1571" s="2060"/>
      <c r="EP1571" s="2060"/>
      <c r="EQ1571" s="2060"/>
      <c r="ER1571" s="2060"/>
      <c r="ES1571" s="2060"/>
      <c r="ET1571" s="2060"/>
      <c r="EU1571" s="2060"/>
      <c r="EV1571" s="2060"/>
      <c r="EW1571" s="2060"/>
      <c r="EX1571" s="2060"/>
      <c r="EY1571" s="2060"/>
      <c r="EZ1571" s="2060"/>
      <c r="FA1571" s="2060"/>
      <c r="FB1571" s="2060"/>
      <c r="FC1571" s="2060"/>
      <c r="FD1571" s="2060"/>
      <c r="FE1571" s="2060"/>
      <c r="FF1571" s="2060"/>
      <c r="FG1571" s="2060"/>
      <c r="FH1571" s="2060"/>
      <c r="FI1571" s="2060"/>
      <c r="FJ1571" s="2060"/>
      <c r="FK1571" s="2060"/>
      <c r="FL1571" s="2060"/>
      <c r="FM1571" s="2060"/>
      <c r="FN1571" s="2060"/>
      <c r="FO1571" s="2060"/>
      <c r="FP1571" s="2060"/>
      <c r="FQ1571" s="2060"/>
      <c r="FR1571" s="2060"/>
      <c r="FS1571" s="2060"/>
      <c r="FT1571" s="2060"/>
      <c r="FU1571" s="2060"/>
      <c r="FV1571" s="2060"/>
      <c r="FW1571" s="2060"/>
      <c r="FX1571" s="2060"/>
      <c r="FY1571" s="2060"/>
      <c r="FZ1571" s="2060"/>
      <c r="GA1571" s="2060"/>
      <c r="GB1571" s="2060"/>
      <c r="GC1571" s="2060"/>
      <c r="GD1571" s="2060"/>
      <c r="GE1571" s="2060"/>
      <c r="GF1571" s="2060"/>
      <c r="GG1571" s="2060"/>
      <c r="GH1571" s="2060"/>
      <c r="GI1571" s="2060"/>
      <c r="GJ1571" s="2060"/>
      <c r="GK1571" s="2060"/>
      <c r="GL1571" s="2060"/>
      <c r="GM1571" s="2060"/>
      <c r="GN1571" s="2060"/>
      <c r="GO1571" s="2060"/>
      <c r="GP1571" s="2060"/>
      <c r="GQ1571" s="2060"/>
      <c r="GR1571" s="2060"/>
      <c r="GS1571" s="2060"/>
      <c r="GT1571" s="2060"/>
      <c r="GU1571" s="2060"/>
      <c r="GV1571" s="2060"/>
      <c r="GW1571" s="2060"/>
      <c r="GX1571" s="2060"/>
      <c r="GY1571" s="2060"/>
      <c r="GZ1571" s="2060"/>
      <c r="HA1571" s="2060"/>
      <c r="HB1571" s="2060"/>
      <c r="HC1571" s="2060"/>
      <c r="HD1571" s="2060"/>
      <c r="HE1571" s="2060"/>
      <c r="HF1571" s="2060"/>
      <c r="HG1571" s="2060"/>
      <c r="HH1571" s="2060"/>
      <c r="HI1571" s="2060"/>
      <c r="HJ1571" s="2060"/>
      <c r="HK1571" s="2060"/>
      <c r="HL1571" s="2060"/>
      <c r="HM1571" s="2060"/>
      <c r="HN1571" s="2060"/>
      <c r="HO1571" s="2060"/>
      <c r="HP1571" s="2060"/>
      <c r="HQ1571" s="2060"/>
      <c r="HR1571" s="2060"/>
      <c r="HS1571" s="2060"/>
      <c r="HT1571" s="2060"/>
      <c r="HU1571" s="2060"/>
      <c r="HV1571" s="2060"/>
      <c r="HW1571" s="2060"/>
      <c r="HX1571" s="2060"/>
      <c r="HY1571" s="2060"/>
      <c r="HZ1571" s="2060"/>
      <c r="IA1571" s="2060"/>
      <c r="IB1571" s="2060"/>
      <c r="IC1571" s="2060"/>
      <c r="ID1571" s="2060"/>
      <c r="IE1571" s="2060"/>
      <c r="IF1571" s="2060"/>
      <c r="IG1571" s="2060"/>
      <c r="IH1571" s="2060"/>
      <c r="II1571" s="2060"/>
      <c r="IJ1571" s="2060"/>
      <c r="IK1571" s="2060"/>
      <c r="IL1571" s="2060"/>
      <c r="IM1571" s="2060"/>
      <c r="IN1571" s="2060"/>
      <c r="IO1571" s="2060"/>
      <c r="IP1571" s="2060"/>
      <c r="IQ1571" s="2060"/>
      <c r="IR1571" s="2060"/>
      <c r="IS1571" s="2060"/>
      <c r="IT1571" s="2060"/>
      <c r="IU1571" s="2060"/>
      <c r="IV1571" s="2060"/>
      <c r="IW1571" s="2060"/>
      <c r="IX1571" s="2060"/>
      <c r="IY1571" s="2060"/>
      <c r="IZ1571" s="2060"/>
      <c r="JA1571" s="2060"/>
      <c r="JB1571" s="2060"/>
      <c r="JC1571" s="2060"/>
      <c r="JD1571" s="2060"/>
      <c r="JE1571" s="2060"/>
      <c r="JF1571" s="2060"/>
      <c r="JG1571" s="2060"/>
      <c r="JH1571" s="2060"/>
      <c r="JI1571" s="2060"/>
      <c r="JJ1571" s="2060"/>
      <c r="JK1571" s="2060"/>
      <c r="JL1571" s="2060"/>
      <c r="JM1571" s="2060"/>
      <c r="JN1571" s="2060"/>
      <c r="JO1571" s="2060"/>
      <c r="JP1571" s="2060"/>
      <c r="JQ1571" s="2060"/>
      <c r="JR1571" s="2060"/>
      <c r="JS1571" s="2060"/>
      <c r="JT1571" s="2060"/>
      <c r="JU1571" s="2060"/>
      <c r="JV1571" s="2060"/>
      <c r="JW1571" s="2060"/>
      <c r="JX1571" s="2060"/>
      <c r="JY1571" s="2060"/>
      <c r="JZ1571" s="2060"/>
      <c r="KA1571" s="2060"/>
      <c r="KB1571" s="2060"/>
      <c r="KC1571" s="2060"/>
      <c r="KD1571" s="2060"/>
      <c r="KE1571" s="2060"/>
      <c r="KF1571" s="2060"/>
      <c r="KG1571" s="2060"/>
      <c r="KH1571" s="2060"/>
      <c r="KI1571" s="2060"/>
      <c r="KJ1571" s="2060"/>
      <c r="KK1571" s="2060"/>
      <c r="KL1571" s="2060"/>
      <c r="KM1571" s="2060"/>
      <c r="KN1571" s="2060"/>
      <c r="KO1571" s="2060"/>
      <c r="KP1571" s="2060"/>
      <c r="KQ1571" s="2060"/>
      <c r="KR1571" s="2060"/>
      <c r="KS1571" s="2060"/>
      <c r="KT1571" s="2060"/>
      <c r="KU1571" s="2060"/>
      <c r="KV1571" s="2060"/>
      <c r="KW1571" s="2060"/>
      <c r="KX1571" s="2060"/>
      <c r="KY1571" s="2060"/>
      <c r="KZ1571" s="2060"/>
      <c r="LA1571" s="2060"/>
      <c r="LB1571" s="2060"/>
      <c r="LC1571" s="2060"/>
      <c r="LD1571" s="2060"/>
      <c r="LE1571" s="2060"/>
      <c r="LF1571" s="2060"/>
      <c r="LG1571" s="2060"/>
      <c r="LH1571" s="2060"/>
    </row>
    <row r="1572" spans="1:320" s="449" customFormat="1" ht="13.9">
      <c r="A1572" s="269" t="str">
        <f t="shared" si="439"/>
        <v>n</v>
      </c>
      <c r="B1572" s="2060"/>
      <c r="C1572" s="2060"/>
      <c r="D1572" s="2060"/>
      <c r="E1572" s="1661">
        <v>13</v>
      </c>
      <c r="F1572" s="1353" t="str">
        <f>F$141</f>
        <v>--</v>
      </c>
      <c r="G1572" s="1349">
        <f>G$141</f>
        <v>0</v>
      </c>
      <c r="H1572" s="1349"/>
      <c r="I1572" s="89" t="s">
        <v>850</v>
      </c>
      <c r="J1572" s="1457" t="str">
        <f>IF($G1572=0,"",IFERROR(_xll.ciqfunctions.udf.CIQ($G1572,$I1572,J$1557,Valuation_Date_GC,ReportType,DataMode),"n/a"))</f>
        <v/>
      </c>
      <c r="K1572" s="1457" t="str">
        <f>IF($G1572=0,"",IFERROR(_xll.ciqfunctions.udf.CIQ($G1572,$I1572,K$1557,Valuation_Date_GC,ReportType,DataMode),"n/a"))</f>
        <v/>
      </c>
      <c r="L1572" s="1457" t="str">
        <f>IF($G1572=0,"",IFERROR(_xll.ciqfunctions.udf.CIQ($G1572,$I1572,L$1557,Valuation_Date_GC,ReportType,DataMode),"n/a"))</f>
        <v/>
      </c>
      <c r="M1572" s="1457" t="str">
        <f>IF($G1572=0,"",IFERROR(_xll.ciqfunctions.udf.CIQ($G1572,$I1572,M$1557,Valuation_Date_GC,ReportType,DataMode),"n/a"))</f>
        <v/>
      </c>
      <c r="N1572" s="1457" t="str">
        <f>IF($G1572=0,"",IFERROR(_xll.ciqfunctions.udf.CIQ($G1572,$I1572,N$1557,Valuation_Date_GC,ReportType,DataMode),"n/a"))</f>
        <v/>
      </c>
      <c r="O1572" s="1457" t="str">
        <f>IF($G1572=0,"",IFERROR(_xll.ciqfunctions.udf.CIQ($G1572,$I1572,O$1557,Valuation_Date_GC,ReportType,DataMode),"n/a"))</f>
        <v/>
      </c>
      <c r="P1572" s="1457" t="str">
        <f>IF($G1572=0,"",IFERROR(_xll.ciqfunctions.udf.CIQ($G1572,$I1572,P$1557,Valuation_Date_GC,ReportType,DataMode),"n/a"))</f>
        <v/>
      </c>
      <c r="Q1572" s="1457" t="str">
        <f>IF($G1572=0,"",IFERROR(_xll.ciqfunctions.udf.CIQ($G1572,$I1572,Q$1557,Valuation_Date_GC,ReportType,DataMode),"n/a"))</f>
        <v/>
      </c>
      <c r="R1572" s="1457" t="str">
        <f>IF($G1572=0,"",IFERROR(_xll.ciqfunctions.udf.CIQ($G1572,$I1572,R$1557,Valuation_Date_GC,ReportType,DataMode),"n/a"))</f>
        <v/>
      </c>
      <c r="S1572" s="1457" t="str">
        <f>IF($G1572=0,"",IFERROR(_xll.ciqfunctions.udf.CIQ($G1572,$I1572,S$1557,Valuation_Date_GC,ReportType,DataMode),"n/a"))</f>
        <v/>
      </c>
      <c r="T1572" s="1457" t="str">
        <f>IF($G1572=0,"",IFERROR(_xll.ciqfunctions.udf.CIQ($G1572,$I1572,T$1557,Valuation_Date_GC,ReportType,DataMode),"n/a"))</f>
        <v/>
      </c>
      <c r="U1572" s="1457" t="str">
        <f>IF($G1572=0,"",IFERROR(_xll.ciqfunctions.udf.CIQ($G1572,$I1572,U$1557,Valuation_Date_GC,ReportType,DataMode),"n/a"))</f>
        <v/>
      </c>
      <c r="V1572" s="1457" t="str">
        <f>IF($G1572=0,"",IFERROR(_xll.ciqfunctions.udf.CIQ($G1572,$I1572,V$1557,Valuation_Date_GC,ReportType,DataMode),"n/a"))</f>
        <v/>
      </c>
      <c r="W1572" s="1479"/>
      <c r="X1572" s="255"/>
      <c r="Y1572" s="255"/>
      <c r="Z1572" s="2060"/>
      <c r="AA1572" s="2060"/>
      <c r="AB1572" s="2060"/>
      <c r="AC1572" s="2060"/>
      <c r="AD1572" s="2060"/>
      <c r="AE1572" s="2060"/>
      <c r="AF1572" s="2060"/>
      <c r="AG1572" s="2060"/>
      <c r="AH1572" s="2060"/>
      <c r="AI1572" s="2060"/>
      <c r="AJ1572" s="2060"/>
      <c r="AK1572" s="2060"/>
      <c r="AL1572" s="2060"/>
      <c r="AM1572" s="2060"/>
      <c r="AN1572" s="2060"/>
      <c r="AO1572" s="2060"/>
      <c r="AP1572" s="2060"/>
      <c r="AQ1572" s="2060"/>
      <c r="AR1572" s="2060"/>
      <c r="AS1572" s="2060"/>
      <c r="AT1572" s="2060"/>
      <c r="AU1572" s="2060"/>
      <c r="AV1572" s="2060"/>
      <c r="AW1572" s="2060"/>
      <c r="AX1572" s="2060"/>
      <c r="AY1572" s="2060"/>
      <c r="AZ1572" s="2060"/>
      <c r="BA1572" s="2060"/>
      <c r="BB1572" s="2060"/>
      <c r="BC1572" s="2060"/>
      <c r="BD1572" s="2060"/>
      <c r="BE1572" s="2060"/>
      <c r="BF1572" s="2060"/>
      <c r="BG1572" s="2060"/>
      <c r="BH1572" s="2060"/>
      <c r="BI1572" s="2060"/>
      <c r="BJ1572" s="2060"/>
      <c r="BK1572" s="2060"/>
      <c r="BL1572" s="2060"/>
      <c r="BM1572" s="2060"/>
      <c r="BN1572" s="2060"/>
      <c r="BO1572" s="2060"/>
      <c r="BP1572" s="2060"/>
      <c r="BQ1572" s="2060"/>
      <c r="BR1572" s="2060"/>
      <c r="BS1572" s="2060"/>
      <c r="BT1572" s="2060"/>
      <c r="BU1572" s="2060"/>
      <c r="BV1572" s="2060"/>
      <c r="BW1572" s="2060"/>
      <c r="BX1572" s="2060"/>
      <c r="BY1572" s="2060"/>
      <c r="BZ1572" s="2060"/>
      <c r="CA1572" s="2060"/>
      <c r="CB1572" s="2060"/>
      <c r="CC1572" s="2060"/>
      <c r="CD1572" s="2060"/>
      <c r="CE1572" s="2060"/>
      <c r="CF1572" s="2060"/>
      <c r="CG1572" s="2060"/>
      <c r="CH1572" s="2060"/>
      <c r="CI1572" s="2060"/>
      <c r="CJ1572" s="2060"/>
      <c r="CK1572" s="2060"/>
      <c r="CL1572" s="2060"/>
      <c r="CM1572" s="2060"/>
      <c r="CN1572" s="2060"/>
      <c r="CO1572" s="2060"/>
      <c r="CP1572" s="2060"/>
      <c r="CQ1572" s="2060"/>
      <c r="CR1572" s="2060"/>
      <c r="CS1572" s="2060"/>
      <c r="CT1572" s="2060"/>
      <c r="CU1572" s="2060"/>
      <c r="CV1572" s="2060"/>
      <c r="CW1572" s="2060"/>
      <c r="CX1572" s="2060"/>
      <c r="CY1572" s="2060"/>
      <c r="CZ1572" s="2060"/>
      <c r="DA1572" s="2060"/>
      <c r="DB1572" s="2060"/>
      <c r="DC1572" s="2060"/>
      <c r="DD1572" s="2060"/>
      <c r="DE1572" s="2060"/>
      <c r="DF1572" s="2060"/>
      <c r="DG1572" s="2060"/>
      <c r="DH1572" s="2060"/>
      <c r="DI1572" s="2060"/>
      <c r="DJ1572" s="2060"/>
      <c r="DK1572" s="2060"/>
      <c r="DL1572" s="2060"/>
      <c r="DM1572" s="2060"/>
      <c r="DN1572" s="2060"/>
      <c r="DO1572" s="2060"/>
      <c r="DP1572" s="2060"/>
      <c r="DQ1572" s="2060"/>
      <c r="DR1572" s="2060"/>
      <c r="DS1572" s="2060"/>
      <c r="DT1572" s="2060"/>
      <c r="DU1572" s="2060"/>
      <c r="DV1572" s="2060"/>
      <c r="DW1572" s="2060"/>
      <c r="DX1572" s="2060"/>
      <c r="DY1572" s="2060"/>
      <c r="DZ1572" s="2060"/>
      <c r="EA1572" s="2060"/>
      <c r="EB1572" s="2060"/>
      <c r="EC1572" s="2060"/>
      <c r="ED1572" s="2060"/>
      <c r="EE1572" s="2060"/>
      <c r="EF1572" s="2060"/>
      <c r="EG1572" s="2060"/>
      <c r="EH1572" s="2060"/>
      <c r="EI1572" s="2060"/>
      <c r="EJ1572" s="2060"/>
      <c r="EK1572" s="2060"/>
      <c r="EL1572" s="2060"/>
      <c r="EM1572" s="2060"/>
      <c r="EN1572" s="2060"/>
      <c r="EO1572" s="2060"/>
      <c r="EP1572" s="2060"/>
      <c r="EQ1572" s="2060"/>
      <c r="ER1572" s="2060"/>
      <c r="ES1572" s="2060"/>
      <c r="ET1572" s="2060"/>
      <c r="EU1572" s="2060"/>
      <c r="EV1572" s="2060"/>
      <c r="EW1572" s="2060"/>
      <c r="EX1572" s="2060"/>
      <c r="EY1572" s="2060"/>
      <c r="EZ1572" s="2060"/>
      <c r="FA1572" s="2060"/>
      <c r="FB1572" s="2060"/>
      <c r="FC1572" s="2060"/>
      <c r="FD1572" s="2060"/>
      <c r="FE1572" s="2060"/>
      <c r="FF1572" s="2060"/>
      <c r="FG1572" s="2060"/>
      <c r="FH1572" s="2060"/>
      <c r="FI1572" s="2060"/>
      <c r="FJ1572" s="2060"/>
      <c r="FK1572" s="2060"/>
      <c r="FL1572" s="2060"/>
      <c r="FM1572" s="2060"/>
      <c r="FN1572" s="2060"/>
      <c r="FO1572" s="2060"/>
      <c r="FP1572" s="2060"/>
      <c r="FQ1572" s="2060"/>
      <c r="FR1572" s="2060"/>
      <c r="FS1572" s="2060"/>
      <c r="FT1572" s="2060"/>
      <c r="FU1572" s="2060"/>
      <c r="FV1572" s="2060"/>
      <c r="FW1572" s="2060"/>
      <c r="FX1572" s="2060"/>
      <c r="FY1572" s="2060"/>
      <c r="FZ1572" s="2060"/>
      <c r="GA1572" s="2060"/>
      <c r="GB1572" s="2060"/>
      <c r="GC1572" s="2060"/>
      <c r="GD1572" s="2060"/>
      <c r="GE1572" s="2060"/>
      <c r="GF1572" s="2060"/>
      <c r="GG1572" s="2060"/>
      <c r="GH1572" s="2060"/>
      <c r="GI1572" s="2060"/>
      <c r="GJ1572" s="2060"/>
      <c r="GK1572" s="2060"/>
      <c r="GL1572" s="2060"/>
      <c r="GM1572" s="2060"/>
      <c r="GN1572" s="2060"/>
      <c r="GO1572" s="2060"/>
      <c r="GP1572" s="2060"/>
      <c r="GQ1572" s="2060"/>
      <c r="GR1572" s="2060"/>
      <c r="GS1572" s="2060"/>
      <c r="GT1572" s="2060"/>
      <c r="GU1572" s="2060"/>
      <c r="GV1572" s="2060"/>
      <c r="GW1572" s="2060"/>
      <c r="GX1572" s="2060"/>
      <c r="GY1572" s="2060"/>
      <c r="GZ1572" s="2060"/>
      <c r="HA1572" s="2060"/>
      <c r="HB1572" s="2060"/>
      <c r="HC1572" s="2060"/>
      <c r="HD1572" s="2060"/>
      <c r="HE1572" s="2060"/>
      <c r="HF1572" s="2060"/>
      <c r="HG1572" s="2060"/>
      <c r="HH1572" s="2060"/>
      <c r="HI1572" s="2060"/>
      <c r="HJ1572" s="2060"/>
      <c r="HK1572" s="2060"/>
      <c r="HL1572" s="2060"/>
      <c r="HM1572" s="2060"/>
      <c r="HN1572" s="2060"/>
      <c r="HO1572" s="2060"/>
      <c r="HP1572" s="2060"/>
      <c r="HQ1572" s="2060"/>
      <c r="HR1572" s="2060"/>
      <c r="HS1572" s="2060"/>
      <c r="HT1572" s="2060"/>
      <c r="HU1572" s="2060"/>
      <c r="HV1572" s="2060"/>
      <c r="HW1572" s="2060"/>
      <c r="HX1572" s="2060"/>
      <c r="HY1572" s="2060"/>
      <c r="HZ1572" s="2060"/>
      <c r="IA1572" s="2060"/>
      <c r="IB1572" s="2060"/>
      <c r="IC1572" s="2060"/>
      <c r="ID1572" s="2060"/>
      <c r="IE1572" s="2060"/>
      <c r="IF1572" s="2060"/>
      <c r="IG1572" s="2060"/>
      <c r="IH1572" s="2060"/>
      <c r="II1572" s="2060"/>
      <c r="IJ1572" s="2060"/>
      <c r="IK1572" s="2060"/>
      <c r="IL1572" s="2060"/>
      <c r="IM1572" s="2060"/>
      <c r="IN1572" s="2060"/>
      <c r="IO1572" s="2060"/>
      <c r="IP1572" s="2060"/>
      <c r="IQ1572" s="2060"/>
      <c r="IR1572" s="2060"/>
      <c r="IS1572" s="2060"/>
      <c r="IT1572" s="2060"/>
      <c r="IU1572" s="2060"/>
      <c r="IV1572" s="2060"/>
      <c r="IW1572" s="2060"/>
      <c r="IX1572" s="2060"/>
      <c r="IY1572" s="2060"/>
      <c r="IZ1572" s="2060"/>
      <c r="JA1572" s="2060"/>
      <c r="JB1572" s="2060"/>
      <c r="JC1572" s="2060"/>
      <c r="JD1572" s="2060"/>
      <c r="JE1572" s="2060"/>
      <c r="JF1572" s="2060"/>
      <c r="JG1572" s="2060"/>
      <c r="JH1572" s="2060"/>
      <c r="JI1572" s="2060"/>
      <c r="JJ1572" s="2060"/>
      <c r="JK1572" s="2060"/>
      <c r="JL1572" s="2060"/>
      <c r="JM1572" s="2060"/>
      <c r="JN1572" s="2060"/>
      <c r="JO1572" s="2060"/>
      <c r="JP1572" s="2060"/>
      <c r="JQ1572" s="2060"/>
      <c r="JR1572" s="2060"/>
      <c r="JS1572" s="2060"/>
      <c r="JT1572" s="2060"/>
      <c r="JU1572" s="2060"/>
      <c r="JV1572" s="2060"/>
      <c r="JW1572" s="2060"/>
      <c r="JX1572" s="2060"/>
      <c r="JY1572" s="2060"/>
      <c r="JZ1572" s="2060"/>
      <c r="KA1572" s="2060"/>
      <c r="KB1572" s="2060"/>
      <c r="KC1572" s="2060"/>
      <c r="KD1572" s="2060"/>
      <c r="KE1572" s="2060"/>
      <c r="KF1572" s="2060"/>
      <c r="KG1572" s="2060"/>
      <c r="KH1572" s="2060"/>
      <c r="KI1572" s="2060"/>
      <c r="KJ1572" s="2060"/>
      <c r="KK1572" s="2060"/>
      <c r="KL1572" s="2060"/>
      <c r="KM1572" s="2060"/>
      <c r="KN1572" s="2060"/>
      <c r="KO1572" s="2060"/>
      <c r="KP1572" s="2060"/>
      <c r="KQ1572" s="2060"/>
      <c r="KR1572" s="2060"/>
      <c r="KS1572" s="2060"/>
      <c r="KT1572" s="2060"/>
      <c r="KU1572" s="2060"/>
      <c r="KV1572" s="2060"/>
      <c r="KW1572" s="2060"/>
      <c r="KX1572" s="2060"/>
      <c r="KY1572" s="2060"/>
      <c r="KZ1572" s="2060"/>
      <c r="LA1572" s="2060"/>
      <c r="LB1572" s="2060"/>
      <c r="LC1572" s="2060"/>
      <c r="LD1572" s="2060"/>
      <c r="LE1572" s="2060"/>
      <c r="LF1572" s="2060"/>
      <c r="LG1572" s="2060"/>
      <c r="LH1572" s="2060"/>
    </row>
    <row r="1573" spans="1:320" s="449" customFormat="1" ht="13.9">
      <c r="A1573" s="269" t="str">
        <f t="shared" si="439"/>
        <v>n</v>
      </c>
      <c r="B1573" s="2060"/>
      <c r="C1573" s="2060"/>
      <c r="D1573" s="2060"/>
      <c r="E1573" s="1661">
        <v>14</v>
      </c>
      <c r="F1573" s="1353" t="str">
        <f>F$142</f>
        <v>--</v>
      </c>
      <c r="G1573" s="1349">
        <f>G$142</f>
        <v>0</v>
      </c>
      <c r="H1573" s="1349"/>
      <c r="I1573" s="89" t="s">
        <v>850</v>
      </c>
      <c r="J1573" s="1457" t="str">
        <f>IF($G1573=0,"",IFERROR(_xll.ciqfunctions.udf.CIQ($G1573,$I1573,J$1557,Valuation_Date_GC,ReportType,DataMode),"n/a"))</f>
        <v/>
      </c>
      <c r="K1573" s="1457" t="str">
        <f>IF($G1573=0,"",IFERROR(_xll.ciqfunctions.udf.CIQ($G1573,$I1573,K$1557,Valuation_Date_GC,ReportType,DataMode),"n/a"))</f>
        <v/>
      </c>
      <c r="L1573" s="1457" t="str">
        <f>IF($G1573=0,"",IFERROR(_xll.ciqfunctions.udf.CIQ($G1573,$I1573,L$1557,Valuation_Date_GC,ReportType,DataMode),"n/a"))</f>
        <v/>
      </c>
      <c r="M1573" s="1457" t="str">
        <f>IF($G1573=0,"",IFERROR(_xll.ciqfunctions.udf.CIQ($G1573,$I1573,M$1557,Valuation_Date_GC,ReportType,DataMode),"n/a"))</f>
        <v/>
      </c>
      <c r="N1573" s="1457" t="str">
        <f>IF($G1573=0,"",IFERROR(_xll.ciqfunctions.udf.CIQ($G1573,$I1573,N$1557,Valuation_Date_GC,ReportType,DataMode),"n/a"))</f>
        <v/>
      </c>
      <c r="O1573" s="1457" t="str">
        <f>IF($G1573=0,"",IFERROR(_xll.ciqfunctions.udf.CIQ($G1573,$I1573,O$1557,Valuation_Date_GC,ReportType,DataMode),"n/a"))</f>
        <v/>
      </c>
      <c r="P1573" s="1457" t="str">
        <f>IF($G1573=0,"",IFERROR(_xll.ciqfunctions.udf.CIQ($G1573,$I1573,P$1557,Valuation_Date_GC,ReportType,DataMode),"n/a"))</f>
        <v/>
      </c>
      <c r="Q1573" s="1457" t="str">
        <f>IF($G1573=0,"",IFERROR(_xll.ciqfunctions.udf.CIQ($G1573,$I1573,Q$1557,Valuation_Date_GC,ReportType,DataMode),"n/a"))</f>
        <v/>
      </c>
      <c r="R1573" s="1457" t="str">
        <f>IF($G1573=0,"",IFERROR(_xll.ciqfunctions.udf.CIQ($G1573,$I1573,R$1557,Valuation_Date_GC,ReportType,DataMode),"n/a"))</f>
        <v/>
      </c>
      <c r="S1573" s="1457" t="str">
        <f>IF($G1573=0,"",IFERROR(_xll.ciqfunctions.udf.CIQ($G1573,$I1573,S$1557,Valuation_Date_GC,ReportType,DataMode),"n/a"))</f>
        <v/>
      </c>
      <c r="T1573" s="1457" t="str">
        <f>IF($G1573=0,"",IFERROR(_xll.ciqfunctions.udf.CIQ($G1573,$I1573,T$1557,Valuation_Date_GC,ReportType,DataMode),"n/a"))</f>
        <v/>
      </c>
      <c r="U1573" s="1457" t="str">
        <f>IF($G1573=0,"",IFERROR(_xll.ciqfunctions.udf.CIQ($G1573,$I1573,U$1557,Valuation_Date_GC,ReportType,DataMode),"n/a"))</f>
        <v/>
      </c>
      <c r="V1573" s="1457" t="str">
        <f>IF($G1573=0,"",IFERROR(_xll.ciqfunctions.udf.CIQ($G1573,$I1573,V$1557,Valuation_Date_GC,ReportType,DataMode),"n/a"))</f>
        <v/>
      </c>
      <c r="W1573" s="1479"/>
      <c r="X1573" s="255"/>
      <c r="Y1573" s="255"/>
      <c r="Z1573" s="2060"/>
      <c r="AA1573" s="2060"/>
      <c r="AB1573" s="2060"/>
      <c r="AC1573" s="2060"/>
      <c r="AD1573" s="2060"/>
      <c r="AE1573" s="2060"/>
      <c r="AF1573" s="2060"/>
      <c r="AG1573" s="2060"/>
      <c r="AH1573" s="2060"/>
      <c r="AI1573" s="2060"/>
      <c r="AJ1573" s="2060"/>
      <c r="AK1573" s="2060"/>
      <c r="AL1573" s="2060"/>
      <c r="AM1573" s="2060"/>
      <c r="AN1573" s="2060"/>
      <c r="AO1573" s="2060"/>
      <c r="AP1573" s="2060"/>
      <c r="AQ1573" s="2060"/>
      <c r="AR1573" s="2060"/>
      <c r="AS1573" s="2060"/>
      <c r="AT1573" s="2060"/>
      <c r="AU1573" s="2060"/>
      <c r="AV1573" s="2060"/>
      <c r="AW1573" s="2060"/>
      <c r="AX1573" s="2060"/>
      <c r="AY1573" s="2060"/>
      <c r="AZ1573" s="2060"/>
      <c r="BA1573" s="2060"/>
      <c r="BB1573" s="2060"/>
      <c r="BC1573" s="2060"/>
      <c r="BD1573" s="2060"/>
      <c r="BE1573" s="2060"/>
      <c r="BF1573" s="2060"/>
      <c r="BG1573" s="2060"/>
      <c r="BH1573" s="2060"/>
      <c r="BI1573" s="2060"/>
      <c r="BJ1573" s="2060"/>
      <c r="BK1573" s="2060"/>
      <c r="BL1573" s="2060"/>
      <c r="BM1573" s="2060"/>
      <c r="BN1573" s="2060"/>
      <c r="BO1573" s="2060"/>
      <c r="BP1573" s="2060"/>
      <c r="BQ1573" s="2060"/>
      <c r="BR1573" s="2060"/>
      <c r="BS1573" s="2060"/>
      <c r="BT1573" s="2060"/>
      <c r="BU1573" s="2060"/>
      <c r="BV1573" s="2060"/>
      <c r="BW1573" s="2060"/>
      <c r="BX1573" s="2060"/>
      <c r="BY1573" s="2060"/>
      <c r="BZ1573" s="2060"/>
      <c r="CA1573" s="2060"/>
      <c r="CB1573" s="2060"/>
      <c r="CC1573" s="2060"/>
      <c r="CD1573" s="2060"/>
      <c r="CE1573" s="2060"/>
      <c r="CF1573" s="2060"/>
      <c r="CG1573" s="2060"/>
      <c r="CH1573" s="2060"/>
      <c r="CI1573" s="2060"/>
      <c r="CJ1573" s="2060"/>
      <c r="CK1573" s="2060"/>
      <c r="CL1573" s="2060"/>
      <c r="CM1573" s="2060"/>
      <c r="CN1573" s="2060"/>
      <c r="CO1573" s="2060"/>
      <c r="CP1573" s="2060"/>
      <c r="CQ1573" s="2060"/>
      <c r="CR1573" s="2060"/>
      <c r="CS1573" s="2060"/>
      <c r="CT1573" s="2060"/>
      <c r="CU1573" s="2060"/>
      <c r="CV1573" s="2060"/>
      <c r="CW1573" s="2060"/>
      <c r="CX1573" s="2060"/>
      <c r="CY1573" s="2060"/>
      <c r="CZ1573" s="2060"/>
      <c r="DA1573" s="2060"/>
      <c r="DB1573" s="2060"/>
      <c r="DC1573" s="2060"/>
      <c r="DD1573" s="2060"/>
      <c r="DE1573" s="2060"/>
      <c r="DF1573" s="2060"/>
      <c r="DG1573" s="2060"/>
      <c r="DH1573" s="2060"/>
      <c r="DI1573" s="2060"/>
      <c r="DJ1573" s="2060"/>
      <c r="DK1573" s="2060"/>
      <c r="DL1573" s="2060"/>
      <c r="DM1573" s="2060"/>
      <c r="DN1573" s="2060"/>
      <c r="DO1573" s="2060"/>
      <c r="DP1573" s="2060"/>
      <c r="DQ1573" s="2060"/>
      <c r="DR1573" s="2060"/>
      <c r="DS1573" s="2060"/>
      <c r="DT1573" s="2060"/>
      <c r="DU1573" s="2060"/>
      <c r="DV1573" s="2060"/>
      <c r="DW1573" s="2060"/>
      <c r="DX1573" s="2060"/>
      <c r="DY1573" s="2060"/>
      <c r="DZ1573" s="2060"/>
      <c r="EA1573" s="2060"/>
      <c r="EB1573" s="2060"/>
      <c r="EC1573" s="2060"/>
      <c r="ED1573" s="2060"/>
      <c r="EE1573" s="2060"/>
      <c r="EF1573" s="2060"/>
      <c r="EG1573" s="2060"/>
      <c r="EH1573" s="2060"/>
      <c r="EI1573" s="2060"/>
      <c r="EJ1573" s="2060"/>
      <c r="EK1573" s="2060"/>
      <c r="EL1573" s="2060"/>
      <c r="EM1573" s="2060"/>
      <c r="EN1573" s="2060"/>
      <c r="EO1573" s="2060"/>
      <c r="EP1573" s="2060"/>
      <c r="EQ1573" s="2060"/>
      <c r="ER1573" s="2060"/>
      <c r="ES1573" s="2060"/>
      <c r="ET1573" s="2060"/>
      <c r="EU1573" s="2060"/>
      <c r="EV1573" s="2060"/>
      <c r="EW1573" s="2060"/>
      <c r="EX1573" s="2060"/>
      <c r="EY1573" s="2060"/>
      <c r="EZ1573" s="2060"/>
      <c r="FA1573" s="2060"/>
      <c r="FB1573" s="2060"/>
      <c r="FC1573" s="2060"/>
      <c r="FD1573" s="2060"/>
      <c r="FE1573" s="2060"/>
      <c r="FF1573" s="2060"/>
      <c r="FG1573" s="2060"/>
      <c r="FH1573" s="2060"/>
      <c r="FI1573" s="2060"/>
      <c r="FJ1573" s="2060"/>
      <c r="FK1573" s="2060"/>
      <c r="FL1573" s="2060"/>
      <c r="FM1573" s="2060"/>
      <c r="FN1573" s="2060"/>
      <c r="FO1573" s="2060"/>
      <c r="FP1573" s="2060"/>
      <c r="FQ1573" s="2060"/>
      <c r="FR1573" s="2060"/>
      <c r="FS1573" s="2060"/>
      <c r="FT1573" s="2060"/>
      <c r="FU1573" s="2060"/>
      <c r="FV1573" s="2060"/>
      <c r="FW1573" s="2060"/>
      <c r="FX1573" s="2060"/>
      <c r="FY1573" s="2060"/>
      <c r="FZ1573" s="2060"/>
      <c r="GA1573" s="2060"/>
      <c r="GB1573" s="2060"/>
      <c r="GC1573" s="2060"/>
      <c r="GD1573" s="2060"/>
      <c r="GE1573" s="2060"/>
      <c r="GF1573" s="2060"/>
      <c r="GG1573" s="2060"/>
      <c r="GH1573" s="2060"/>
      <c r="GI1573" s="2060"/>
      <c r="GJ1573" s="2060"/>
      <c r="GK1573" s="2060"/>
      <c r="GL1573" s="2060"/>
      <c r="GM1573" s="2060"/>
      <c r="GN1573" s="2060"/>
      <c r="GO1573" s="2060"/>
      <c r="GP1573" s="2060"/>
      <c r="GQ1573" s="2060"/>
      <c r="GR1573" s="2060"/>
      <c r="GS1573" s="2060"/>
      <c r="GT1573" s="2060"/>
      <c r="GU1573" s="2060"/>
      <c r="GV1573" s="2060"/>
      <c r="GW1573" s="2060"/>
      <c r="GX1573" s="2060"/>
      <c r="GY1573" s="2060"/>
      <c r="GZ1573" s="2060"/>
      <c r="HA1573" s="2060"/>
      <c r="HB1573" s="2060"/>
      <c r="HC1573" s="2060"/>
      <c r="HD1573" s="2060"/>
      <c r="HE1573" s="2060"/>
      <c r="HF1573" s="2060"/>
      <c r="HG1573" s="2060"/>
      <c r="HH1573" s="2060"/>
      <c r="HI1573" s="2060"/>
      <c r="HJ1573" s="2060"/>
      <c r="HK1573" s="2060"/>
      <c r="HL1573" s="2060"/>
      <c r="HM1573" s="2060"/>
      <c r="HN1573" s="2060"/>
      <c r="HO1573" s="2060"/>
      <c r="HP1573" s="2060"/>
      <c r="HQ1573" s="2060"/>
      <c r="HR1573" s="2060"/>
      <c r="HS1573" s="2060"/>
      <c r="HT1573" s="2060"/>
      <c r="HU1573" s="2060"/>
      <c r="HV1573" s="2060"/>
      <c r="HW1573" s="2060"/>
      <c r="HX1573" s="2060"/>
      <c r="HY1573" s="2060"/>
      <c r="HZ1573" s="2060"/>
      <c r="IA1573" s="2060"/>
      <c r="IB1573" s="2060"/>
      <c r="IC1573" s="2060"/>
      <c r="ID1573" s="2060"/>
      <c r="IE1573" s="2060"/>
      <c r="IF1573" s="2060"/>
      <c r="IG1573" s="2060"/>
      <c r="IH1573" s="2060"/>
      <c r="II1573" s="2060"/>
      <c r="IJ1573" s="2060"/>
      <c r="IK1573" s="2060"/>
      <c r="IL1573" s="2060"/>
      <c r="IM1573" s="2060"/>
      <c r="IN1573" s="2060"/>
      <c r="IO1573" s="2060"/>
      <c r="IP1573" s="2060"/>
      <c r="IQ1573" s="2060"/>
      <c r="IR1573" s="2060"/>
      <c r="IS1573" s="2060"/>
      <c r="IT1573" s="2060"/>
      <c r="IU1573" s="2060"/>
      <c r="IV1573" s="2060"/>
      <c r="IW1573" s="2060"/>
      <c r="IX1573" s="2060"/>
      <c r="IY1573" s="2060"/>
      <c r="IZ1573" s="2060"/>
      <c r="JA1573" s="2060"/>
      <c r="JB1573" s="2060"/>
      <c r="JC1573" s="2060"/>
      <c r="JD1573" s="2060"/>
      <c r="JE1573" s="2060"/>
      <c r="JF1573" s="2060"/>
      <c r="JG1573" s="2060"/>
      <c r="JH1573" s="2060"/>
      <c r="JI1573" s="2060"/>
      <c r="JJ1573" s="2060"/>
      <c r="JK1573" s="2060"/>
      <c r="JL1573" s="2060"/>
      <c r="JM1573" s="2060"/>
      <c r="JN1573" s="2060"/>
      <c r="JO1573" s="2060"/>
      <c r="JP1573" s="2060"/>
      <c r="JQ1573" s="2060"/>
      <c r="JR1573" s="2060"/>
      <c r="JS1573" s="2060"/>
      <c r="JT1573" s="2060"/>
      <c r="JU1573" s="2060"/>
      <c r="JV1573" s="2060"/>
      <c r="JW1573" s="2060"/>
      <c r="JX1573" s="2060"/>
      <c r="JY1573" s="2060"/>
      <c r="JZ1573" s="2060"/>
      <c r="KA1573" s="2060"/>
      <c r="KB1573" s="2060"/>
      <c r="KC1573" s="2060"/>
      <c r="KD1573" s="2060"/>
      <c r="KE1573" s="2060"/>
      <c r="KF1573" s="2060"/>
      <c r="KG1573" s="2060"/>
      <c r="KH1573" s="2060"/>
      <c r="KI1573" s="2060"/>
      <c r="KJ1573" s="2060"/>
      <c r="KK1573" s="2060"/>
      <c r="KL1573" s="2060"/>
      <c r="KM1573" s="2060"/>
      <c r="KN1573" s="2060"/>
      <c r="KO1573" s="2060"/>
      <c r="KP1573" s="2060"/>
      <c r="KQ1573" s="2060"/>
      <c r="KR1573" s="2060"/>
      <c r="KS1573" s="2060"/>
      <c r="KT1573" s="2060"/>
      <c r="KU1573" s="2060"/>
      <c r="KV1573" s="2060"/>
      <c r="KW1573" s="2060"/>
      <c r="KX1573" s="2060"/>
      <c r="KY1573" s="2060"/>
      <c r="KZ1573" s="2060"/>
      <c r="LA1573" s="2060"/>
      <c r="LB1573" s="2060"/>
      <c r="LC1573" s="2060"/>
      <c r="LD1573" s="2060"/>
      <c r="LE1573" s="2060"/>
      <c r="LF1573" s="2060"/>
      <c r="LG1573" s="2060"/>
      <c r="LH1573" s="2060"/>
    </row>
    <row r="1574" spans="1:320" s="1499" customFormat="1" ht="13.9">
      <c r="A1574" s="269" t="str">
        <f t="shared" si="439"/>
        <v>n</v>
      </c>
      <c r="B1574" s="2060"/>
      <c r="C1574" s="2060"/>
      <c r="D1574" s="2060"/>
      <c r="E1574" s="1661">
        <v>15</v>
      </c>
      <c r="F1574" s="1353" t="str">
        <f>F$143</f>
        <v>--</v>
      </c>
      <c r="G1574" s="1349">
        <f>G$143</f>
        <v>0</v>
      </c>
      <c r="H1574" s="1349"/>
      <c r="I1574" s="89" t="s">
        <v>850</v>
      </c>
      <c r="J1574" s="1457" t="str">
        <f>IF($G1574=0,"",IFERROR(_xll.ciqfunctions.udf.CIQ($G1574,$I1574,J$1557,Valuation_Date_GC,ReportType,DataMode),"n/a"))</f>
        <v/>
      </c>
      <c r="K1574" s="1457" t="str">
        <f>IF($G1574=0,"",IFERROR(_xll.ciqfunctions.udf.CIQ($G1574,$I1574,K$1557,Valuation_Date_GC,ReportType,DataMode),"n/a"))</f>
        <v/>
      </c>
      <c r="L1574" s="1457" t="str">
        <f>IF($G1574=0,"",IFERROR(_xll.ciqfunctions.udf.CIQ($G1574,$I1574,L$1557,Valuation_Date_GC,ReportType,DataMode),"n/a"))</f>
        <v/>
      </c>
      <c r="M1574" s="1457" t="str">
        <f>IF($G1574=0,"",IFERROR(_xll.ciqfunctions.udf.CIQ($G1574,$I1574,M$1557,Valuation_Date_GC,ReportType,DataMode),"n/a"))</f>
        <v/>
      </c>
      <c r="N1574" s="1457" t="str">
        <f>IF($G1574=0,"",IFERROR(_xll.ciqfunctions.udf.CIQ($G1574,$I1574,N$1557,Valuation_Date_GC,ReportType,DataMode),"n/a"))</f>
        <v/>
      </c>
      <c r="O1574" s="1457" t="str">
        <f>IF($G1574=0,"",IFERROR(_xll.ciqfunctions.udf.CIQ($G1574,$I1574,O$1557,Valuation_Date_GC,ReportType,DataMode),"n/a"))</f>
        <v/>
      </c>
      <c r="P1574" s="1457" t="str">
        <f>IF($G1574=0,"",IFERROR(_xll.ciqfunctions.udf.CIQ($G1574,$I1574,P$1557,Valuation_Date_GC,ReportType,DataMode),"n/a"))</f>
        <v/>
      </c>
      <c r="Q1574" s="1457" t="str">
        <f>IF($G1574=0,"",IFERROR(_xll.ciqfunctions.udf.CIQ($G1574,$I1574,Q$1557,Valuation_Date_GC,ReportType,DataMode),"n/a"))</f>
        <v/>
      </c>
      <c r="R1574" s="1457" t="str">
        <f>IF($G1574=0,"",IFERROR(_xll.ciqfunctions.udf.CIQ($G1574,$I1574,R$1557,Valuation_Date_GC,ReportType,DataMode),"n/a"))</f>
        <v/>
      </c>
      <c r="S1574" s="1457" t="str">
        <f>IF($G1574=0,"",IFERROR(_xll.ciqfunctions.udf.CIQ($G1574,$I1574,S$1557,Valuation_Date_GC,ReportType,DataMode),"n/a"))</f>
        <v/>
      </c>
      <c r="T1574" s="1457" t="str">
        <f>IF($G1574=0,"",IFERROR(_xll.ciqfunctions.udf.CIQ($G1574,$I1574,T$1557,Valuation_Date_GC,ReportType,DataMode),"n/a"))</f>
        <v/>
      </c>
      <c r="U1574" s="1457" t="str">
        <f>IF($G1574=0,"",IFERROR(_xll.ciqfunctions.udf.CIQ($G1574,$I1574,U$1557,Valuation_Date_GC,ReportType,DataMode),"n/a"))</f>
        <v/>
      </c>
      <c r="V1574" s="1457" t="str">
        <f>IF($G1574=0,"",IFERROR(_xll.ciqfunctions.udf.CIQ($G1574,$I1574,V$1557,Valuation_Date_GC,ReportType,DataMode),"n/a"))</f>
        <v/>
      </c>
      <c r="W1574" s="1479"/>
      <c r="X1574" s="255"/>
      <c r="Y1574" s="255"/>
      <c r="Z1574" s="2060"/>
      <c r="AA1574" s="2060"/>
      <c r="AB1574" s="2060"/>
      <c r="AC1574" s="2060"/>
      <c r="AD1574" s="2060"/>
      <c r="AE1574" s="2060"/>
      <c r="AF1574" s="2060"/>
      <c r="AG1574" s="2060"/>
      <c r="AH1574" s="2060"/>
      <c r="AI1574" s="2060"/>
      <c r="AJ1574" s="2060"/>
      <c r="AK1574" s="2060"/>
      <c r="AL1574" s="2060"/>
      <c r="AM1574" s="2060"/>
      <c r="AN1574" s="2060"/>
      <c r="AO1574" s="2060"/>
      <c r="AP1574" s="2060"/>
      <c r="AQ1574" s="2060"/>
      <c r="AR1574" s="2060"/>
      <c r="AS1574" s="2060"/>
      <c r="AT1574" s="2060"/>
      <c r="AU1574" s="2060"/>
      <c r="AV1574" s="2060"/>
      <c r="AW1574" s="2060"/>
      <c r="AX1574" s="2060"/>
      <c r="AY1574" s="2060"/>
      <c r="AZ1574" s="2060"/>
      <c r="BA1574" s="2060"/>
      <c r="BB1574" s="2060"/>
      <c r="BC1574" s="2060"/>
      <c r="BD1574" s="2060"/>
      <c r="BE1574" s="2060"/>
      <c r="BF1574" s="2060"/>
      <c r="BG1574" s="2060"/>
      <c r="BH1574" s="2060"/>
      <c r="BI1574" s="2060"/>
      <c r="BJ1574" s="2060"/>
      <c r="BK1574" s="2060"/>
      <c r="BL1574" s="2060"/>
      <c r="BM1574" s="2060"/>
      <c r="BN1574" s="2060"/>
      <c r="BO1574" s="2060"/>
      <c r="BP1574" s="2060"/>
      <c r="BQ1574" s="2060"/>
      <c r="BR1574" s="2060"/>
      <c r="BS1574" s="2060"/>
      <c r="BT1574" s="2060"/>
      <c r="BU1574" s="2060"/>
      <c r="BV1574" s="2060"/>
      <c r="BW1574" s="2060"/>
      <c r="BX1574" s="2060"/>
      <c r="BY1574" s="2060"/>
      <c r="BZ1574" s="2060"/>
      <c r="CA1574" s="2060"/>
      <c r="CB1574" s="2060"/>
      <c r="CC1574" s="2060"/>
      <c r="CD1574" s="2060"/>
      <c r="CE1574" s="2060"/>
      <c r="CF1574" s="2060"/>
      <c r="CG1574" s="2060"/>
      <c r="CH1574" s="2060"/>
      <c r="CI1574" s="2060"/>
      <c r="CJ1574" s="2060"/>
      <c r="CK1574" s="2060"/>
      <c r="CL1574" s="2060"/>
      <c r="CM1574" s="2060"/>
      <c r="CN1574" s="2060"/>
      <c r="CO1574" s="2060"/>
      <c r="CP1574" s="2060"/>
      <c r="CQ1574" s="2060"/>
      <c r="CR1574" s="2060"/>
      <c r="CS1574" s="2060"/>
      <c r="CT1574" s="2060"/>
      <c r="CU1574" s="2060"/>
      <c r="CV1574" s="2060"/>
      <c r="CW1574" s="2060"/>
      <c r="CX1574" s="2060"/>
      <c r="CY1574" s="2060"/>
      <c r="CZ1574" s="2060"/>
      <c r="DA1574" s="2060"/>
      <c r="DB1574" s="2060"/>
      <c r="DC1574" s="2060"/>
      <c r="DD1574" s="2060"/>
      <c r="DE1574" s="2060"/>
      <c r="DF1574" s="2060"/>
      <c r="DG1574" s="2060"/>
      <c r="DH1574" s="2060"/>
      <c r="DI1574" s="2060"/>
      <c r="DJ1574" s="2060"/>
      <c r="DK1574" s="2060"/>
      <c r="DL1574" s="2060"/>
      <c r="DM1574" s="2060"/>
      <c r="DN1574" s="2060"/>
      <c r="DO1574" s="2060"/>
      <c r="DP1574" s="2060"/>
      <c r="DQ1574" s="2060"/>
      <c r="DR1574" s="2060"/>
      <c r="DS1574" s="2060"/>
      <c r="DT1574" s="2060"/>
      <c r="DU1574" s="2060"/>
      <c r="DV1574" s="2060"/>
      <c r="DW1574" s="2060"/>
      <c r="DX1574" s="2060"/>
      <c r="DY1574" s="2060"/>
      <c r="DZ1574" s="2060"/>
      <c r="EA1574" s="2060"/>
      <c r="EB1574" s="2060"/>
      <c r="EC1574" s="2060"/>
      <c r="ED1574" s="2060"/>
      <c r="EE1574" s="2060"/>
      <c r="EF1574" s="2060"/>
      <c r="EG1574" s="2060"/>
      <c r="EH1574" s="2060"/>
      <c r="EI1574" s="2060"/>
      <c r="EJ1574" s="2060"/>
      <c r="EK1574" s="2060"/>
      <c r="EL1574" s="2060"/>
      <c r="EM1574" s="2060"/>
      <c r="EN1574" s="2060"/>
      <c r="EO1574" s="2060"/>
      <c r="EP1574" s="2060"/>
      <c r="EQ1574" s="2060"/>
      <c r="ER1574" s="2060"/>
      <c r="ES1574" s="2060"/>
      <c r="ET1574" s="2060"/>
      <c r="EU1574" s="2060"/>
      <c r="EV1574" s="2060"/>
      <c r="EW1574" s="2060"/>
      <c r="EX1574" s="2060"/>
      <c r="EY1574" s="2060"/>
      <c r="EZ1574" s="2060"/>
      <c r="FA1574" s="2060"/>
      <c r="FB1574" s="2060"/>
      <c r="FC1574" s="2060"/>
      <c r="FD1574" s="2060"/>
      <c r="FE1574" s="2060"/>
      <c r="FF1574" s="2060"/>
      <c r="FG1574" s="2060"/>
      <c r="FH1574" s="2060"/>
      <c r="FI1574" s="2060"/>
      <c r="FJ1574" s="2060"/>
      <c r="FK1574" s="2060"/>
      <c r="FL1574" s="2060"/>
      <c r="FM1574" s="2060"/>
      <c r="FN1574" s="2060"/>
      <c r="FO1574" s="2060"/>
      <c r="FP1574" s="2060"/>
      <c r="FQ1574" s="2060"/>
      <c r="FR1574" s="2060"/>
      <c r="FS1574" s="2060"/>
      <c r="FT1574" s="2060"/>
      <c r="FU1574" s="2060"/>
      <c r="FV1574" s="2060"/>
      <c r="FW1574" s="2060"/>
      <c r="FX1574" s="2060"/>
      <c r="FY1574" s="2060"/>
      <c r="FZ1574" s="2060"/>
      <c r="GA1574" s="2060"/>
      <c r="GB1574" s="2060"/>
      <c r="GC1574" s="2060"/>
      <c r="GD1574" s="2060"/>
      <c r="GE1574" s="2060"/>
      <c r="GF1574" s="2060"/>
      <c r="GG1574" s="2060"/>
      <c r="GH1574" s="2060"/>
      <c r="GI1574" s="2060"/>
      <c r="GJ1574" s="2060"/>
      <c r="GK1574" s="2060"/>
      <c r="GL1574" s="2060"/>
      <c r="GM1574" s="2060"/>
      <c r="GN1574" s="2060"/>
      <c r="GO1574" s="2060"/>
      <c r="GP1574" s="2060"/>
      <c r="GQ1574" s="2060"/>
      <c r="GR1574" s="2060"/>
      <c r="GS1574" s="2060"/>
      <c r="GT1574" s="2060"/>
      <c r="GU1574" s="2060"/>
      <c r="GV1574" s="2060"/>
      <c r="GW1574" s="2060"/>
      <c r="GX1574" s="2060"/>
      <c r="GY1574" s="2060"/>
      <c r="GZ1574" s="2060"/>
      <c r="HA1574" s="2060"/>
      <c r="HB1574" s="2060"/>
      <c r="HC1574" s="2060"/>
      <c r="HD1574" s="2060"/>
      <c r="HE1574" s="2060"/>
      <c r="HF1574" s="2060"/>
      <c r="HG1574" s="2060"/>
      <c r="HH1574" s="2060"/>
      <c r="HI1574" s="2060"/>
      <c r="HJ1574" s="2060"/>
      <c r="HK1574" s="2060"/>
      <c r="HL1574" s="2060"/>
      <c r="HM1574" s="2060"/>
      <c r="HN1574" s="2060"/>
      <c r="HO1574" s="2060"/>
      <c r="HP1574" s="2060"/>
      <c r="HQ1574" s="2060"/>
      <c r="HR1574" s="2060"/>
      <c r="HS1574" s="2060"/>
      <c r="HT1574" s="2060"/>
      <c r="HU1574" s="2060"/>
      <c r="HV1574" s="2060"/>
      <c r="HW1574" s="2060"/>
      <c r="HX1574" s="2060"/>
      <c r="HY1574" s="2060"/>
      <c r="HZ1574" s="2060"/>
      <c r="IA1574" s="2060"/>
      <c r="IB1574" s="2060"/>
      <c r="IC1574" s="2060"/>
      <c r="ID1574" s="2060"/>
      <c r="IE1574" s="2060"/>
      <c r="IF1574" s="2060"/>
      <c r="IG1574" s="2060"/>
      <c r="IH1574" s="2060"/>
      <c r="II1574" s="2060"/>
      <c r="IJ1574" s="2060"/>
      <c r="IK1574" s="2060"/>
      <c r="IL1574" s="2060"/>
      <c r="IM1574" s="2060"/>
      <c r="IN1574" s="2060"/>
      <c r="IO1574" s="2060"/>
      <c r="IP1574" s="2060"/>
      <c r="IQ1574" s="2060"/>
      <c r="IR1574" s="2060"/>
      <c r="IS1574" s="2060"/>
      <c r="IT1574" s="2060"/>
      <c r="IU1574" s="2060"/>
      <c r="IV1574" s="2060"/>
      <c r="IW1574" s="2060"/>
      <c r="IX1574" s="2060"/>
      <c r="IY1574" s="2060"/>
      <c r="IZ1574" s="2060"/>
      <c r="JA1574" s="2060"/>
      <c r="JB1574" s="2060"/>
      <c r="JC1574" s="2060"/>
      <c r="JD1574" s="2060"/>
      <c r="JE1574" s="2060"/>
      <c r="JF1574" s="2060"/>
      <c r="JG1574" s="2060"/>
      <c r="JH1574" s="2060"/>
      <c r="JI1574" s="2060"/>
      <c r="JJ1574" s="2060"/>
      <c r="JK1574" s="2060"/>
      <c r="JL1574" s="2060"/>
      <c r="JM1574" s="2060"/>
      <c r="JN1574" s="2060"/>
      <c r="JO1574" s="2060"/>
      <c r="JP1574" s="2060"/>
      <c r="JQ1574" s="2060"/>
      <c r="JR1574" s="2060"/>
      <c r="JS1574" s="2060"/>
      <c r="JT1574" s="2060"/>
      <c r="JU1574" s="2060"/>
      <c r="JV1574" s="2060"/>
      <c r="JW1574" s="2060"/>
      <c r="JX1574" s="2060"/>
      <c r="JY1574" s="2060"/>
      <c r="JZ1574" s="2060"/>
      <c r="KA1574" s="2060"/>
      <c r="KB1574" s="2060"/>
      <c r="KC1574" s="2060"/>
      <c r="KD1574" s="2060"/>
      <c r="KE1574" s="2060"/>
      <c r="KF1574" s="2060"/>
      <c r="KG1574" s="2060"/>
      <c r="KH1574" s="2060"/>
      <c r="KI1574" s="2060"/>
      <c r="KJ1574" s="2060"/>
      <c r="KK1574" s="2060"/>
      <c r="KL1574" s="2060"/>
      <c r="KM1574" s="2060"/>
      <c r="KN1574" s="2060"/>
      <c r="KO1574" s="2060"/>
      <c r="KP1574" s="2060"/>
      <c r="KQ1574" s="2060"/>
      <c r="KR1574" s="2060"/>
      <c r="KS1574" s="2060"/>
      <c r="KT1574" s="2060"/>
      <c r="KU1574" s="2060"/>
      <c r="KV1574" s="2060"/>
      <c r="KW1574" s="2060"/>
      <c r="KX1574" s="2060"/>
      <c r="KY1574" s="2060"/>
      <c r="KZ1574" s="2060"/>
      <c r="LA1574" s="2060"/>
      <c r="LB1574" s="2060"/>
      <c r="LC1574" s="2060"/>
      <c r="LD1574" s="2060"/>
      <c r="LE1574" s="2060"/>
      <c r="LF1574" s="2060"/>
      <c r="LG1574" s="2060"/>
      <c r="LH1574" s="2060"/>
    </row>
    <row r="1575" spans="1:320" s="1499" customFormat="1" ht="13.9">
      <c r="A1575" s="269" t="str">
        <f t="shared" si="439"/>
        <v>n</v>
      </c>
      <c r="B1575" s="2060"/>
      <c r="C1575" s="2060"/>
      <c r="D1575" s="2060"/>
      <c r="E1575" s="1661">
        <v>16</v>
      </c>
      <c r="F1575" s="1353" t="str">
        <f>F$144</f>
        <v>--</v>
      </c>
      <c r="G1575" s="1349">
        <f>G$144</f>
        <v>0</v>
      </c>
      <c r="H1575" s="1349"/>
      <c r="I1575" s="89" t="s">
        <v>850</v>
      </c>
      <c r="J1575" s="1457" t="str">
        <f>IF($G1575=0,"",IFERROR(_xll.ciqfunctions.udf.CIQ($G1575,$I1575,J$1557,Valuation_Date_GC,ReportType,DataMode),"n/a"))</f>
        <v/>
      </c>
      <c r="K1575" s="1457" t="str">
        <f>IF($G1575=0,"",IFERROR(_xll.ciqfunctions.udf.CIQ($G1575,$I1575,K$1557,Valuation_Date_GC,ReportType,DataMode),"n/a"))</f>
        <v/>
      </c>
      <c r="L1575" s="1457" t="str">
        <f>IF($G1575=0,"",IFERROR(_xll.ciqfunctions.udf.CIQ($G1575,$I1575,L$1557,Valuation_Date_GC,ReportType,DataMode),"n/a"))</f>
        <v/>
      </c>
      <c r="M1575" s="1457" t="str">
        <f>IF($G1575=0,"",IFERROR(_xll.ciqfunctions.udf.CIQ($G1575,$I1575,M$1557,Valuation_Date_GC,ReportType,DataMode),"n/a"))</f>
        <v/>
      </c>
      <c r="N1575" s="1457" t="str">
        <f>IF($G1575=0,"",IFERROR(_xll.ciqfunctions.udf.CIQ($G1575,$I1575,N$1557,Valuation_Date_GC,ReportType,DataMode),"n/a"))</f>
        <v/>
      </c>
      <c r="O1575" s="1457" t="str">
        <f>IF($G1575=0,"",IFERROR(_xll.ciqfunctions.udf.CIQ($G1575,$I1575,O$1557,Valuation_Date_GC,ReportType,DataMode),"n/a"))</f>
        <v/>
      </c>
      <c r="P1575" s="1457" t="str">
        <f>IF($G1575=0,"",IFERROR(_xll.ciqfunctions.udf.CIQ($G1575,$I1575,P$1557,Valuation_Date_GC,ReportType,DataMode),"n/a"))</f>
        <v/>
      </c>
      <c r="Q1575" s="1457" t="str">
        <f>IF($G1575=0,"",IFERROR(_xll.ciqfunctions.udf.CIQ($G1575,$I1575,Q$1557,Valuation_Date_GC,ReportType,DataMode),"n/a"))</f>
        <v/>
      </c>
      <c r="R1575" s="1457" t="str">
        <f>IF($G1575=0,"",IFERROR(_xll.ciqfunctions.udf.CIQ($G1575,$I1575,R$1557,Valuation_Date_GC,ReportType,DataMode),"n/a"))</f>
        <v/>
      </c>
      <c r="S1575" s="1457" t="str">
        <f>IF($G1575=0,"",IFERROR(_xll.ciqfunctions.udf.CIQ($G1575,$I1575,S$1557,Valuation_Date_GC,ReportType,DataMode),"n/a"))</f>
        <v/>
      </c>
      <c r="T1575" s="1457" t="str">
        <f>IF($G1575=0,"",IFERROR(_xll.ciqfunctions.udf.CIQ($G1575,$I1575,T$1557,Valuation_Date_GC,ReportType,DataMode),"n/a"))</f>
        <v/>
      </c>
      <c r="U1575" s="1457" t="str">
        <f>IF($G1575=0,"",IFERROR(_xll.ciqfunctions.udf.CIQ($G1575,$I1575,U$1557,Valuation_Date_GC,ReportType,DataMode),"n/a"))</f>
        <v/>
      </c>
      <c r="V1575" s="1457" t="str">
        <f>IF($G1575=0,"",IFERROR(_xll.ciqfunctions.udf.CIQ($G1575,$I1575,V$1557,Valuation_Date_GC,ReportType,DataMode),"n/a"))</f>
        <v/>
      </c>
      <c r="W1575" s="1479"/>
      <c r="X1575" s="255"/>
      <c r="Y1575" s="255"/>
      <c r="Z1575" s="2060"/>
      <c r="AA1575" s="2060"/>
      <c r="AB1575" s="2060"/>
      <c r="AC1575" s="2060"/>
      <c r="AD1575" s="2060"/>
      <c r="AE1575" s="2060"/>
      <c r="AF1575" s="2060"/>
      <c r="AG1575" s="2060"/>
      <c r="AH1575" s="2060"/>
      <c r="AI1575" s="2060"/>
      <c r="AJ1575" s="2060"/>
      <c r="AK1575" s="2060"/>
      <c r="AL1575" s="2060"/>
      <c r="AM1575" s="2060"/>
      <c r="AN1575" s="2060"/>
      <c r="AO1575" s="2060"/>
      <c r="AP1575" s="2060"/>
      <c r="AQ1575" s="2060"/>
      <c r="AR1575" s="2060"/>
      <c r="AS1575" s="2060"/>
      <c r="AT1575" s="2060"/>
      <c r="AU1575" s="2060"/>
      <c r="AV1575" s="2060"/>
      <c r="AW1575" s="2060"/>
      <c r="AX1575" s="2060"/>
      <c r="AY1575" s="2060"/>
      <c r="AZ1575" s="2060"/>
      <c r="BA1575" s="2060"/>
      <c r="BB1575" s="2060"/>
      <c r="BC1575" s="2060"/>
      <c r="BD1575" s="2060"/>
      <c r="BE1575" s="2060"/>
      <c r="BF1575" s="2060"/>
      <c r="BG1575" s="2060"/>
      <c r="BH1575" s="2060"/>
      <c r="BI1575" s="2060"/>
      <c r="BJ1575" s="2060"/>
      <c r="BK1575" s="2060"/>
      <c r="BL1575" s="2060"/>
      <c r="BM1575" s="2060"/>
      <c r="BN1575" s="2060"/>
      <c r="BO1575" s="2060"/>
      <c r="BP1575" s="2060"/>
      <c r="BQ1575" s="2060"/>
      <c r="BR1575" s="2060"/>
      <c r="BS1575" s="2060"/>
      <c r="BT1575" s="2060"/>
      <c r="BU1575" s="2060"/>
      <c r="BV1575" s="2060"/>
      <c r="BW1575" s="2060"/>
      <c r="BX1575" s="2060"/>
      <c r="BY1575" s="2060"/>
      <c r="BZ1575" s="2060"/>
      <c r="CA1575" s="2060"/>
      <c r="CB1575" s="2060"/>
      <c r="CC1575" s="2060"/>
      <c r="CD1575" s="2060"/>
      <c r="CE1575" s="2060"/>
      <c r="CF1575" s="2060"/>
      <c r="CG1575" s="2060"/>
      <c r="CH1575" s="2060"/>
      <c r="CI1575" s="2060"/>
      <c r="CJ1575" s="2060"/>
      <c r="CK1575" s="2060"/>
      <c r="CL1575" s="2060"/>
      <c r="CM1575" s="2060"/>
      <c r="CN1575" s="2060"/>
      <c r="CO1575" s="2060"/>
      <c r="CP1575" s="2060"/>
      <c r="CQ1575" s="2060"/>
      <c r="CR1575" s="2060"/>
      <c r="CS1575" s="2060"/>
      <c r="CT1575" s="2060"/>
      <c r="CU1575" s="2060"/>
      <c r="CV1575" s="2060"/>
      <c r="CW1575" s="2060"/>
      <c r="CX1575" s="2060"/>
      <c r="CY1575" s="2060"/>
      <c r="CZ1575" s="2060"/>
      <c r="DA1575" s="2060"/>
      <c r="DB1575" s="2060"/>
      <c r="DC1575" s="2060"/>
      <c r="DD1575" s="2060"/>
      <c r="DE1575" s="2060"/>
      <c r="DF1575" s="2060"/>
      <c r="DG1575" s="2060"/>
      <c r="DH1575" s="2060"/>
      <c r="DI1575" s="2060"/>
      <c r="DJ1575" s="2060"/>
      <c r="DK1575" s="2060"/>
      <c r="DL1575" s="2060"/>
      <c r="DM1575" s="2060"/>
      <c r="DN1575" s="2060"/>
      <c r="DO1575" s="2060"/>
      <c r="DP1575" s="2060"/>
      <c r="DQ1575" s="2060"/>
      <c r="DR1575" s="2060"/>
      <c r="DS1575" s="2060"/>
      <c r="DT1575" s="2060"/>
      <c r="DU1575" s="2060"/>
      <c r="DV1575" s="2060"/>
      <c r="DW1575" s="2060"/>
      <c r="DX1575" s="2060"/>
      <c r="DY1575" s="2060"/>
      <c r="DZ1575" s="2060"/>
      <c r="EA1575" s="2060"/>
      <c r="EB1575" s="2060"/>
      <c r="EC1575" s="2060"/>
      <c r="ED1575" s="2060"/>
      <c r="EE1575" s="2060"/>
      <c r="EF1575" s="2060"/>
      <c r="EG1575" s="2060"/>
      <c r="EH1575" s="2060"/>
      <c r="EI1575" s="2060"/>
      <c r="EJ1575" s="2060"/>
      <c r="EK1575" s="2060"/>
      <c r="EL1575" s="2060"/>
      <c r="EM1575" s="2060"/>
      <c r="EN1575" s="2060"/>
      <c r="EO1575" s="2060"/>
      <c r="EP1575" s="2060"/>
      <c r="EQ1575" s="2060"/>
      <c r="ER1575" s="2060"/>
      <c r="ES1575" s="2060"/>
      <c r="ET1575" s="2060"/>
      <c r="EU1575" s="2060"/>
      <c r="EV1575" s="2060"/>
      <c r="EW1575" s="2060"/>
      <c r="EX1575" s="2060"/>
      <c r="EY1575" s="2060"/>
      <c r="EZ1575" s="2060"/>
      <c r="FA1575" s="2060"/>
      <c r="FB1575" s="2060"/>
      <c r="FC1575" s="2060"/>
      <c r="FD1575" s="2060"/>
      <c r="FE1575" s="2060"/>
      <c r="FF1575" s="2060"/>
      <c r="FG1575" s="2060"/>
      <c r="FH1575" s="2060"/>
      <c r="FI1575" s="2060"/>
      <c r="FJ1575" s="2060"/>
      <c r="FK1575" s="2060"/>
      <c r="FL1575" s="2060"/>
      <c r="FM1575" s="2060"/>
      <c r="FN1575" s="2060"/>
      <c r="FO1575" s="2060"/>
      <c r="FP1575" s="2060"/>
      <c r="FQ1575" s="2060"/>
      <c r="FR1575" s="2060"/>
      <c r="FS1575" s="2060"/>
      <c r="FT1575" s="2060"/>
      <c r="FU1575" s="2060"/>
      <c r="FV1575" s="2060"/>
      <c r="FW1575" s="2060"/>
      <c r="FX1575" s="2060"/>
      <c r="FY1575" s="2060"/>
      <c r="FZ1575" s="2060"/>
      <c r="GA1575" s="2060"/>
      <c r="GB1575" s="2060"/>
      <c r="GC1575" s="2060"/>
      <c r="GD1575" s="2060"/>
      <c r="GE1575" s="2060"/>
      <c r="GF1575" s="2060"/>
      <c r="GG1575" s="2060"/>
      <c r="GH1575" s="2060"/>
      <c r="GI1575" s="2060"/>
      <c r="GJ1575" s="2060"/>
      <c r="GK1575" s="2060"/>
      <c r="GL1575" s="2060"/>
      <c r="GM1575" s="2060"/>
      <c r="GN1575" s="2060"/>
      <c r="GO1575" s="2060"/>
      <c r="GP1575" s="2060"/>
      <c r="GQ1575" s="2060"/>
      <c r="GR1575" s="2060"/>
      <c r="GS1575" s="2060"/>
      <c r="GT1575" s="2060"/>
      <c r="GU1575" s="2060"/>
      <c r="GV1575" s="2060"/>
      <c r="GW1575" s="2060"/>
      <c r="GX1575" s="2060"/>
      <c r="GY1575" s="2060"/>
      <c r="GZ1575" s="2060"/>
      <c r="HA1575" s="2060"/>
      <c r="HB1575" s="2060"/>
      <c r="HC1575" s="2060"/>
      <c r="HD1575" s="2060"/>
      <c r="HE1575" s="2060"/>
      <c r="HF1575" s="2060"/>
      <c r="HG1575" s="2060"/>
      <c r="HH1575" s="2060"/>
      <c r="HI1575" s="2060"/>
      <c r="HJ1575" s="2060"/>
      <c r="HK1575" s="2060"/>
      <c r="HL1575" s="2060"/>
      <c r="HM1575" s="2060"/>
      <c r="HN1575" s="2060"/>
      <c r="HO1575" s="2060"/>
      <c r="HP1575" s="2060"/>
      <c r="HQ1575" s="2060"/>
      <c r="HR1575" s="2060"/>
      <c r="HS1575" s="2060"/>
      <c r="HT1575" s="2060"/>
      <c r="HU1575" s="2060"/>
      <c r="HV1575" s="2060"/>
      <c r="HW1575" s="2060"/>
      <c r="HX1575" s="2060"/>
      <c r="HY1575" s="2060"/>
      <c r="HZ1575" s="2060"/>
      <c r="IA1575" s="2060"/>
      <c r="IB1575" s="2060"/>
      <c r="IC1575" s="2060"/>
      <c r="ID1575" s="2060"/>
      <c r="IE1575" s="2060"/>
      <c r="IF1575" s="2060"/>
      <c r="IG1575" s="2060"/>
      <c r="IH1575" s="2060"/>
      <c r="II1575" s="2060"/>
      <c r="IJ1575" s="2060"/>
      <c r="IK1575" s="2060"/>
      <c r="IL1575" s="2060"/>
      <c r="IM1575" s="2060"/>
      <c r="IN1575" s="2060"/>
      <c r="IO1575" s="2060"/>
      <c r="IP1575" s="2060"/>
      <c r="IQ1575" s="2060"/>
      <c r="IR1575" s="2060"/>
      <c r="IS1575" s="2060"/>
      <c r="IT1575" s="2060"/>
      <c r="IU1575" s="2060"/>
      <c r="IV1575" s="2060"/>
      <c r="IW1575" s="2060"/>
      <c r="IX1575" s="2060"/>
      <c r="IY1575" s="2060"/>
      <c r="IZ1575" s="2060"/>
      <c r="JA1575" s="2060"/>
      <c r="JB1575" s="2060"/>
      <c r="JC1575" s="2060"/>
      <c r="JD1575" s="2060"/>
      <c r="JE1575" s="2060"/>
      <c r="JF1575" s="2060"/>
      <c r="JG1575" s="2060"/>
      <c r="JH1575" s="2060"/>
      <c r="JI1575" s="2060"/>
      <c r="JJ1575" s="2060"/>
      <c r="JK1575" s="2060"/>
      <c r="JL1575" s="2060"/>
      <c r="JM1575" s="2060"/>
      <c r="JN1575" s="2060"/>
      <c r="JO1575" s="2060"/>
      <c r="JP1575" s="2060"/>
      <c r="JQ1575" s="2060"/>
      <c r="JR1575" s="2060"/>
      <c r="JS1575" s="2060"/>
      <c r="JT1575" s="2060"/>
      <c r="JU1575" s="2060"/>
      <c r="JV1575" s="2060"/>
      <c r="JW1575" s="2060"/>
      <c r="JX1575" s="2060"/>
      <c r="JY1575" s="2060"/>
      <c r="JZ1575" s="2060"/>
      <c r="KA1575" s="2060"/>
      <c r="KB1575" s="2060"/>
      <c r="KC1575" s="2060"/>
      <c r="KD1575" s="2060"/>
      <c r="KE1575" s="2060"/>
      <c r="KF1575" s="2060"/>
      <c r="KG1575" s="2060"/>
      <c r="KH1575" s="2060"/>
      <c r="KI1575" s="2060"/>
      <c r="KJ1575" s="2060"/>
      <c r="KK1575" s="2060"/>
      <c r="KL1575" s="2060"/>
      <c r="KM1575" s="2060"/>
      <c r="KN1575" s="2060"/>
      <c r="KO1575" s="2060"/>
      <c r="KP1575" s="2060"/>
      <c r="KQ1575" s="2060"/>
      <c r="KR1575" s="2060"/>
      <c r="KS1575" s="2060"/>
      <c r="KT1575" s="2060"/>
      <c r="KU1575" s="2060"/>
      <c r="KV1575" s="2060"/>
      <c r="KW1575" s="2060"/>
      <c r="KX1575" s="2060"/>
      <c r="KY1575" s="2060"/>
      <c r="KZ1575" s="2060"/>
      <c r="LA1575" s="2060"/>
      <c r="LB1575" s="2060"/>
      <c r="LC1575" s="2060"/>
      <c r="LD1575" s="2060"/>
      <c r="LE1575" s="2060"/>
      <c r="LF1575" s="2060"/>
      <c r="LG1575" s="2060"/>
      <c r="LH1575" s="2060"/>
    </row>
    <row r="1576" spans="1:320" s="1499" customFormat="1" ht="13.9">
      <c r="A1576" s="269" t="str">
        <f t="shared" si="439"/>
        <v>n</v>
      </c>
      <c r="B1576" s="2060"/>
      <c r="C1576" s="2060"/>
      <c r="D1576" s="2060"/>
      <c r="E1576" s="1661">
        <v>17</v>
      </c>
      <c r="F1576" s="1353" t="str">
        <f>F$145</f>
        <v>--</v>
      </c>
      <c r="G1576" s="1349">
        <f>G$145</f>
        <v>0</v>
      </c>
      <c r="H1576" s="1349"/>
      <c r="I1576" s="89" t="s">
        <v>850</v>
      </c>
      <c r="J1576" s="1457" t="str">
        <f>IF($G1576=0,"",IFERROR(_xll.ciqfunctions.udf.CIQ($G1576,$I1576,J$1557,Valuation_Date_GC,ReportType,DataMode),"n/a"))</f>
        <v/>
      </c>
      <c r="K1576" s="1457" t="str">
        <f>IF($G1576=0,"",IFERROR(_xll.ciqfunctions.udf.CIQ($G1576,$I1576,K$1557,Valuation_Date_GC,ReportType,DataMode),"n/a"))</f>
        <v/>
      </c>
      <c r="L1576" s="1457" t="str">
        <f>IF($G1576=0,"",IFERROR(_xll.ciqfunctions.udf.CIQ($G1576,$I1576,L$1557,Valuation_Date_GC,ReportType,DataMode),"n/a"))</f>
        <v/>
      </c>
      <c r="M1576" s="1457" t="str">
        <f>IF($G1576=0,"",IFERROR(_xll.ciqfunctions.udf.CIQ($G1576,$I1576,M$1557,Valuation_Date_GC,ReportType,DataMode),"n/a"))</f>
        <v/>
      </c>
      <c r="N1576" s="1457" t="str">
        <f>IF($G1576=0,"",IFERROR(_xll.ciqfunctions.udf.CIQ($G1576,$I1576,N$1557,Valuation_Date_GC,ReportType,DataMode),"n/a"))</f>
        <v/>
      </c>
      <c r="O1576" s="1457" t="str">
        <f>IF($G1576=0,"",IFERROR(_xll.ciqfunctions.udf.CIQ($G1576,$I1576,O$1557,Valuation_Date_GC,ReportType,DataMode),"n/a"))</f>
        <v/>
      </c>
      <c r="P1576" s="1457" t="str">
        <f>IF($G1576=0,"",IFERROR(_xll.ciqfunctions.udf.CIQ($G1576,$I1576,P$1557,Valuation_Date_GC,ReportType,DataMode),"n/a"))</f>
        <v/>
      </c>
      <c r="Q1576" s="1457" t="str">
        <f>IF($G1576=0,"",IFERROR(_xll.ciqfunctions.udf.CIQ($G1576,$I1576,Q$1557,Valuation_Date_GC,ReportType,DataMode),"n/a"))</f>
        <v/>
      </c>
      <c r="R1576" s="1457" t="str">
        <f>IF($G1576=0,"",IFERROR(_xll.ciqfunctions.udf.CIQ($G1576,$I1576,R$1557,Valuation_Date_GC,ReportType,DataMode),"n/a"))</f>
        <v/>
      </c>
      <c r="S1576" s="1457" t="str">
        <f>IF($G1576=0,"",IFERROR(_xll.ciqfunctions.udf.CIQ($G1576,$I1576,S$1557,Valuation_Date_GC,ReportType,DataMode),"n/a"))</f>
        <v/>
      </c>
      <c r="T1576" s="1457" t="str">
        <f>IF($G1576=0,"",IFERROR(_xll.ciqfunctions.udf.CIQ($G1576,$I1576,T$1557,Valuation_Date_GC,ReportType,DataMode),"n/a"))</f>
        <v/>
      </c>
      <c r="U1576" s="1457" t="str">
        <f>IF($G1576=0,"",IFERROR(_xll.ciqfunctions.udf.CIQ($G1576,$I1576,U$1557,Valuation_Date_GC,ReportType,DataMode),"n/a"))</f>
        <v/>
      </c>
      <c r="V1576" s="1457" t="str">
        <f>IF($G1576=0,"",IFERROR(_xll.ciqfunctions.udf.CIQ($G1576,$I1576,V$1557,Valuation_Date_GC,ReportType,DataMode),"n/a"))</f>
        <v/>
      </c>
      <c r="W1576" s="1479"/>
      <c r="X1576" s="255"/>
      <c r="Y1576" s="255"/>
      <c r="Z1576" s="2060"/>
      <c r="AA1576" s="2060"/>
      <c r="AB1576" s="2060"/>
      <c r="AC1576" s="2060"/>
      <c r="AD1576" s="2060"/>
      <c r="AE1576" s="2060"/>
      <c r="AF1576" s="2060"/>
      <c r="AG1576" s="2060"/>
      <c r="AH1576" s="2060"/>
      <c r="AI1576" s="2060"/>
      <c r="AJ1576" s="2060"/>
      <c r="AK1576" s="2060"/>
      <c r="AL1576" s="2060"/>
      <c r="AM1576" s="2060"/>
      <c r="AN1576" s="2060"/>
      <c r="AO1576" s="2060"/>
      <c r="AP1576" s="2060"/>
      <c r="AQ1576" s="2060"/>
      <c r="AR1576" s="2060"/>
      <c r="AS1576" s="2060"/>
      <c r="AT1576" s="2060"/>
      <c r="AU1576" s="2060"/>
      <c r="AV1576" s="2060"/>
      <c r="AW1576" s="2060"/>
      <c r="AX1576" s="2060"/>
      <c r="AY1576" s="2060"/>
      <c r="AZ1576" s="2060"/>
      <c r="BA1576" s="2060"/>
      <c r="BB1576" s="2060"/>
      <c r="BC1576" s="2060"/>
      <c r="BD1576" s="2060"/>
      <c r="BE1576" s="2060"/>
      <c r="BF1576" s="2060"/>
      <c r="BG1576" s="2060"/>
      <c r="BH1576" s="2060"/>
      <c r="BI1576" s="2060"/>
      <c r="BJ1576" s="2060"/>
      <c r="BK1576" s="2060"/>
      <c r="BL1576" s="2060"/>
      <c r="BM1576" s="2060"/>
      <c r="BN1576" s="2060"/>
      <c r="BO1576" s="2060"/>
      <c r="BP1576" s="2060"/>
      <c r="BQ1576" s="2060"/>
      <c r="BR1576" s="2060"/>
      <c r="BS1576" s="2060"/>
      <c r="BT1576" s="2060"/>
      <c r="BU1576" s="2060"/>
      <c r="BV1576" s="2060"/>
      <c r="BW1576" s="2060"/>
      <c r="BX1576" s="2060"/>
      <c r="BY1576" s="2060"/>
      <c r="BZ1576" s="2060"/>
      <c r="CA1576" s="2060"/>
      <c r="CB1576" s="2060"/>
      <c r="CC1576" s="2060"/>
      <c r="CD1576" s="2060"/>
      <c r="CE1576" s="2060"/>
      <c r="CF1576" s="2060"/>
      <c r="CG1576" s="2060"/>
      <c r="CH1576" s="2060"/>
      <c r="CI1576" s="2060"/>
      <c r="CJ1576" s="2060"/>
      <c r="CK1576" s="2060"/>
      <c r="CL1576" s="2060"/>
      <c r="CM1576" s="2060"/>
      <c r="CN1576" s="2060"/>
      <c r="CO1576" s="2060"/>
      <c r="CP1576" s="2060"/>
      <c r="CQ1576" s="2060"/>
      <c r="CR1576" s="2060"/>
      <c r="CS1576" s="2060"/>
      <c r="CT1576" s="2060"/>
      <c r="CU1576" s="2060"/>
      <c r="CV1576" s="2060"/>
      <c r="CW1576" s="2060"/>
      <c r="CX1576" s="2060"/>
      <c r="CY1576" s="2060"/>
      <c r="CZ1576" s="2060"/>
      <c r="DA1576" s="2060"/>
      <c r="DB1576" s="2060"/>
      <c r="DC1576" s="2060"/>
      <c r="DD1576" s="2060"/>
      <c r="DE1576" s="2060"/>
      <c r="DF1576" s="2060"/>
      <c r="DG1576" s="2060"/>
      <c r="DH1576" s="2060"/>
      <c r="DI1576" s="2060"/>
      <c r="DJ1576" s="2060"/>
      <c r="DK1576" s="2060"/>
      <c r="DL1576" s="2060"/>
      <c r="DM1576" s="2060"/>
      <c r="DN1576" s="2060"/>
      <c r="DO1576" s="2060"/>
      <c r="DP1576" s="2060"/>
      <c r="DQ1576" s="2060"/>
      <c r="DR1576" s="2060"/>
      <c r="DS1576" s="2060"/>
      <c r="DT1576" s="2060"/>
      <c r="DU1576" s="2060"/>
      <c r="DV1576" s="2060"/>
      <c r="DW1576" s="2060"/>
      <c r="DX1576" s="2060"/>
      <c r="DY1576" s="2060"/>
      <c r="DZ1576" s="2060"/>
      <c r="EA1576" s="2060"/>
      <c r="EB1576" s="2060"/>
      <c r="EC1576" s="2060"/>
      <c r="ED1576" s="2060"/>
      <c r="EE1576" s="2060"/>
      <c r="EF1576" s="2060"/>
      <c r="EG1576" s="2060"/>
      <c r="EH1576" s="2060"/>
      <c r="EI1576" s="2060"/>
      <c r="EJ1576" s="2060"/>
      <c r="EK1576" s="2060"/>
      <c r="EL1576" s="2060"/>
      <c r="EM1576" s="2060"/>
      <c r="EN1576" s="2060"/>
      <c r="EO1576" s="2060"/>
      <c r="EP1576" s="2060"/>
      <c r="EQ1576" s="2060"/>
      <c r="ER1576" s="2060"/>
      <c r="ES1576" s="2060"/>
      <c r="ET1576" s="2060"/>
      <c r="EU1576" s="2060"/>
      <c r="EV1576" s="2060"/>
      <c r="EW1576" s="2060"/>
      <c r="EX1576" s="2060"/>
      <c r="EY1576" s="2060"/>
      <c r="EZ1576" s="2060"/>
      <c r="FA1576" s="2060"/>
      <c r="FB1576" s="2060"/>
      <c r="FC1576" s="2060"/>
      <c r="FD1576" s="2060"/>
      <c r="FE1576" s="2060"/>
      <c r="FF1576" s="2060"/>
      <c r="FG1576" s="2060"/>
      <c r="FH1576" s="2060"/>
      <c r="FI1576" s="2060"/>
      <c r="FJ1576" s="2060"/>
      <c r="FK1576" s="2060"/>
      <c r="FL1576" s="2060"/>
      <c r="FM1576" s="2060"/>
      <c r="FN1576" s="2060"/>
      <c r="FO1576" s="2060"/>
      <c r="FP1576" s="2060"/>
      <c r="FQ1576" s="2060"/>
      <c r="FR1576" s="2060"/>
      <c r="FS1576" s="2060"/>
      <c r="FT1576" s="2060"/>
      <c r="FU1576" s="2060"/>
      <c r="FV1576" s="2060"/>
      <c r="FW1576" s="2060"/>
      <c r="FX1576" s="2060"/>
      <c r="FY1576" s="2060"/>
      <c r="FZ1576" s="2060"/>
      <c r="GA1576" s="2060"/>
      <c r="GB1576" s="2060"/>
      <c r="GC1576" s="2060"/>
      <c r="GD1576" s="2060"/>
      <c r="GE1576" s="2060"/>
      <c r="GF1576" s="2060"/>
      <c r="GG1576" s="2060"/>
      <c r="GH1576" s="2060"/>
      <c r="GI1576" s="2060"/>
      <c r="GJ1576" s="2060"/>
      <c r="GK1576" s="2060"/>
      <c r="GL1576" s="2060"/>
      <c r="GM1576" s="2060"/>
      <c r="GN1576" s="2060"/>
      <c r="GO1576" s="2060"/>
      <c r="GP1576" s="2060"/>
      <c r="GQ1576" s="2060"/>
      <c r="GR1576" s="2060"/>
      <c r="GS1576" s="2060"/>
      <c r="GT1576" s="2060"/>
      <c r="GU1576" s="2060"/>
      <c r="GV1576" s="2060"/>
      <c r="GW1576" s="2060"/>
      <c r="GX1576" s="2060"/>
      <c r="GY1576" s="2060"/>
      <c r="GZ1576" s="2060"/>
      <c r="HA1576" s="2060"/>
      <c r="HB1576" s="2060"/>
      <c r="HC1576" s="2060"/>
      <c r="HD1576" s="2060"/>
      <c r="HE1576" s="2060"/>
      <c r="HF1576" s="2060"/>
      <c r="HG1576" s="2060"/>
      <c r="HH1576" s="2060"/>
      <c r="HI1576" s="2060"/>
      <c r="HJ1576" s="2060"/>
      <c r="HK1576" s="2060"/>
      <c r="HL1576" s="2060"/>
      <c r="HM1576" s="2060"/>
      <c r="HN1576" s="2060"/>
      <c r="HO1576" s="2060"/>
      <c r="HP1576" s="2060"/>
      <c r="HQ1576" s="2060"/>
      <c r="HR1576" s="2060"/>
      <c r="HS1576" s="2060"/>
      <c r="HT1576" s="2060"/>
      <c r="HU1576" s="2060"/>
      <c r="HV1576" s="2060"/>
      <c r="HW1576" s="2060"/>
      <c r="HX1576" s="2060"/>
      <c r="HY1576" s="2060"/>
      <c r="HZ1576" s="2060"/>
      <c r="IA1576" s="2060"/>
      <c r="IB1576" s="2060"/>
      <c r="IC1576" s="2060"/>
      <c r="ID1576" s="2060"/>
      <c r="IE1576" s="2060"/>
      <c r="IF1576" s="2060"/>
      <c r="IG1576" s="2060"/>
      <c r="IH1576" s="2060"/>
      <c r="II1576" s="2060"/>
      <c r="IJ1576" s="2060"/>
      <c r="IK1576" s="2060"/>
      <c r="IL1576" s="2060"/>
      <c r="IM1576" s="2060"/>
      <c r="IN1576" s="2060"/>
      <c r="IO1576" s="2060"/>
      <c r="IP1576" s="2060"/>
      <c r="IQ1576" s="2060"/>
      <c r="IR1576" s="2060"/>
      <c r="IS1576" s="2060"/>
      <c r="IT1576" s="2060"/>
      <c r="IU1576" s="2060"/>
      <c r="IV1576" s="2060"/>
      <c r="IW1576" s="2060"/>
      <c r="IX1576" s="2060"/>
      <c r="IY1576" s="2060"/>
      <c r="IZ1576" s="2060"/>
      <c r="JA1576" s="2060"/>
      <c r="JB1576" s="2060"/>
      <c r="JC1576" s="2060"/>
      <c r="JD1576" s="2060"/>
      <c r="JE1576" s="2060"/>
      <c r="JF1576" s="2060"/>
      <c r="JG1576" s="2060"/>
      <c r="JH1576" s="2060"/>
      <c r="JI1576" s="2060"/>
      <c r="JJ1576" s="2060"/>
      <c r="JK1576" s="2060"/>
      <c r="JL1576" s="2060"/>
      <c r="JM1576" s="2060"/>
      <c r="JN1576" s="2060"/>
      <c r="JO1576" s="2060"/>
      <c r="JP1576" s="2060"/>
      <c r="JQ1576" s="2060"/>
      <c r="JR1576" s="2060"/>
      <c r="JS1576" s="2060"/>
      <c r="JT1576" s="2060"/>
      <c r="JU1576" s="2060"/>
      <c r="JV1576" s="2060"/>
      <c r="JW1576" s="2060"/>
      <c r="JX1576" s="2060"/>
      <c r="JY1576" s="2060"/>
      <c r="JZ1576" s="2060"/>
      <c r="KA1576" s="2060"/>
      <c r="KB1576" s="2060"/>
      <c r="KC1576" s="2060"/>
      <c r="KD1576" s="2060"/>
      <c r="KE1576" s="2060"/>
      <c r="KF1576" s="2060"/>
      <c r="KG1576" s="2060"/>
      <c r="KH1576" s="2060"/>
      <c r="KI1576" s="2060"/>
      <c r="KJ1576" s="2060"/>
      <c r="KK1576" s="2060"/>
      <c r="KL1576" s="2060"/>
      <c r="KM1576" s="2060"/>
      <c r="KN1576" s="2060"/>
      <c r="KO1576" s="2060"/>
      <c r="KP1576" s="2060"/>
      <c r="KQ1576" s="2060"/>
      <c r="KR1576" s="2060"/>
      <c r="KS1576" s="2060"/>
      <c r="KT1576" s="2060"/>
      <c r="KU1576" s="2060"/>
      <c r="KV1576" s="2060"/>
      <c r="KW1576" s="2060"/>
      <c r="KX1576" s="2060"/>
      <c r="KY1576" s="2060"/>
      <c r="KZ1576" s="2060"/>
      <c r="LA1576" s="2060"/>
      <c r="LB1576" s="2060"/>
      <c r="LC1576" s="2060"/>
      <c r="LD1576" s="2060"/>
      <c r="LE1576" s="2060"/>
      <c r="LF1576" s="2060"/>
      <c r="LG1576" s="2060"/>
      <c r="LH1576" s="2060"/>
    </row>
    <row r="1577" spans="1:320" s="1499" customFormat="1" ht="13.9">
      <c r="A1577" s="269" t="str">
        <f t="shared" si="439"/>
        <v>n</v>
      </c>
      <c r="B1577" s="2060"/>
      <c r="C1577" s="2060"/>
      <c r="D1577" s="2060"/>
      <c r="E1577" s="1661">
        <v>18</v>
      </c>
      <c r="F1577" s="1353" t="str">
        <f>F$146</f>
        <v>--</v>
      </c>
      <c r="G1577" s="1349">
        <f>G$146</f>
        <v>0</v>
      </c>
      <c r="H1577" s="1349"/>
      <c r="I1577" s="89" t="s">
        <v>850</v>
      </c>
      <c r="J1577" s="1457" t="str">
        <f>IF($G1577=0,"",IFERROR(_xll.ciqfunctions.udf.CIQ($G1577,$I1577,J$1557,Valuation_Date_GC,ReportType,DataMode),"n/a"))</f>
        <v/>
      </c>
      <c r="K1577" s="1457" t="str">
        <f>IF($G1577=0,"",IFERROR(_xll.ciqfunctions.udf.CIQ($G1577,$I1577,K$1557,Valuation_Date_GC,ReportType,DataMode),"n/a"))</f>
        <v/>
      </c>
      <c r="L1577" s="1457" t="str">
        <f>IF($G1577=0,"",IFERROR(_xll.ciqfunctions.udf.CIQ($G1577,$I1577,L$1557,Valuation_Date_GC,ReportType,DataMode),"n/a"))</f>
        <v/>
      </c>
      <c r="M1577" s="1457" t="str">
        <f>IF($G1577=0,"",IFERROR(_xll.ciqfunctions.udf.CIQ($G1577,$I1577,M$1557,Valuation_Date_GC,ReportType,DataMode),"n/a"))</f>
        <v/>
      </c>
      <c r="N1577" s="1457" t="str">
        <f>IF($G1577=0,"",IFERROR(_xll.ciqfunctions.udf.CIQ($G1577,$I1577,N$1557,Valuation_Date_GC,ReportType,DataMode),"n/a"))</f>
        <v/>
      </c>
      <c r="O1577" s="1457" t="str">
        <f>IF($G1577=0,"",IFERROR(_xll.ciqfunctions.udf.CIQ($G1577,$I1577,O$1557,Valuation_Date_GC,ReportType,DataMode),"n/a"))</f>
        <v/>
      </c>
      <c r="P1577" s="1457" t="str">
        <f>IF($G1577=0,"",IFERROR(_xll.ciqfunctions.udf.CIQ($G1577,$I1577,P$1557,Valuation_Date_GC,ReportType,DataMode),"n/a"))</f>
        <v/>
      </c>
      <c r="Q1577" s="1457" t="str">
        <f>IF($G1577=0,"",IFERROR(_xll.ciqfunctions.udf.CIQ($G1577,$I1577,Q$1557,Valuation_Date_GC,ReportType,DataMode),"n/a"))</f>
        <v/>
      </c>
      <c r="R1577" s="1457" t="str">
        <f>IF($G1577=0,"",IFERROR(_xll.ciqfunctions.udf.CIQ($G1577,$I1577,R$1557,Valuation_Date_GC,ReportType,DataMode),"n/a"))</f>
        <v/>
      </c>
      <c r="S1577" s="1457" t="str">
        <f>IF($G1577=0,"",IFERROR(_xll.ciqfunctions.udf.CIQ($G1577,$I1577,S$1557,Valuation_Date_GC,ReportType,DataMode),"n/a"))</f>
        <v/>
      </c>
      <c r="T1577" s="1457" t="str">
        <f>IF($G1577=0,"",IFERROR(_xll.ciqfunctions.udf.CIQ($G1577,$I1577,T$1557,Valuation_Date_GC,ReportType,DataMode),"n/a"))</f>
        <v/>
      </c>
      <c r="U1577" s="1457" t="str">
        <f>IF($G1577=0,"",IFERROR(_xll.ciqfunctions.udf.CIQ($G1577,$I1577,U$1557,Valuation_Date_GC,ReportType,DataMode),"n/a"))</f>
        <v/>
      </c>
      <c r="V1577" s="1457" t="str">
        <f>IF($G1577=0,"",IFERROR(_xll.ciqfunctions.udf.CIQ($G1577,$I1577,V$1557,Valuation_Date_GC,ReportType,DataMode),"n/a"))</f>
        <v/>
      </c>
      <c r="W1577" s="1479"/>
      <c r="X1577" s="255"/>
      <c r="Y1577" s="255"/>
      <c r="Z1577" s="2060"/>
      <c r="AA1577" s="2060"/>
      <c r="AB1577" s="2060"/>
      <c r="AC1577" s="2060"/>
      <c r="AD1577" s="2060"/>
      <c r="AE1577" s="2060"/>
      <c r="AF1577" s="2060"/>
      <c r="AG1577" s="2060"/>
      <c r="AH1577" s="2060"/>
      <c r="AI1577" s="2060"/>
      <c r="AJ1577" s="2060"/>
      <c r="AK1577" s="2060"/>
      <c r="AL1577" s="2060"/>
      <c r="AM1577" s="2060"/>
      <c r="AN1577" s="2060"/>
      <c r="AO1577" s="2060"/>
      <c r="AP1577" s="2060"/>
      <c r="AQ1577" s="2060"/>
      <c r="AR1577" s="2060"/>
      <c r="AS1577" s="2060"/>
      <c r="AT1577" s="2060"/>
      <c r="AU1577" s="2060"/>
      <c r="AV1577" s="2060"/>
      <c r="AW1577" s="2060"/>
      <c r="AX1577" s="2060"/>
      <c r="AY1577" s="2060"/>
      <c r="AZ1577" s="2060"/>
      <c r="BA1577" s="2060"/>
      <c r="BB1577" s="2060"/>
      <c r="BC1577" s="2060"/>
      <c r="BD1577" s="2060"/>
      <c r="BE1577" s="2060"/>
      <c r="BF1577" s="2060"/>
      <c r="BG1577" s="2060"/>
      <c r="BH1577" s="2060"/>
      <c r="BI1577" s="2060"/>
      <c r="BJ1577" s="2060"/>
      <c r="BK1577" s="2060"/>
      <c r="BL1577" s="2060"/>
      <c r="BM1577" s="2060"/>
      <c r="BN1577" s="2060"/>
      <c r="BO1577" s="2060"/>
      <c r="BP1577" s="2060"/>
      <c r="BQ1577" s="2060"/>
      <c r="BR1577" s="2060"/>
      <c r="BS1577" s="2060"/>
      <c r="BT1577" s="2060"/>
      <c r="BU1577" s="2060"/>
      <c r="BV1577" s="2060"/>
      <c r="BW1577" s="2060"/>
      <c r="BX1577" s="2060"/>
      <c r="BY1577" s="2060"/>
      <c r="BZ1577" s="2060"/>
      <c r="CA1577" s="2060"/>
      <c r="CB1577" s="2060"/>
      <c r="CC1577" s="2060"/>
      <c r="CD1577" s="2060"/>
      <c r="CE1577" s="2060"/>
      <c r="CF1577" s="2060"/>
      <c r="CG1577" s="2060"/>
      <c r="CH1577" s="2060"/>
      <c r="CI1577" s="2060"/>
      <c r="CJ1577" s="2060"/>
      <c r="CK1577" s="2060"/>
      <c r="CL1577" s="2060"/>
      <c r="CM1577" s="2060"/>
      <c r="CN1577" s="2060"/>
      <c r="CO1577" s="2060"/>
      <c r="CP1577" s="2060"/>
      <c r="CQ1577" s="2060"/>
      <c r="CR1577" s="2060"/>
      <c r="CS1577" s="2060"/>
      <c r="CT1577" s="2060"/>
      <c r="CU1577" s="2060"/>
      <c r="CV1577" s="2060"/>
      <c r="CW1577" s="2060"/>
      <c r="CX1577" s="2060"/>
      <c r="CY1577" s="2060"/>
      <c r="CZ1577" s="2060"/>
      <c r="DA1577" s="2060"/>
      <c r="DB1577" s="2060"/>
      <c r="DC1577" s="2060"/>
      <c r="DD1577" s="2060"/>
      <c r="DE1577" s="2060"/>
      <c r="DF1577" s="2060"/>
      <c r="DG1577" s="2060"/>
      <c r="DH1577" s="2060"/>
      <c r="DI1577" s="2060"/>
      <c r="DJ1577" s="2060"/>
      <c r="DK1577" s="2060"/>
      <c r="DL1577" s="2060"/>
      <c r="DM1577" s="2060"/>
      <c r="DN1577" s="2060"/>
      <c r="DO1577" s="2060"/>
      <c r="DP1577" s="2060"/>
      <c r="DQ1577" s="2060"/>
      <c r="DR1577" s="2060"/>
      <c r="DS1577" s="2060"/>
      <c r="DT1577" s="2060"/>
      <c r="DU1577" s="2060"/>
      <c r="DV1577" s="2060"/>
      <c r="DW1577" s="2060"/>
      <c r="DX1577" s="2060"/>
      <c r="DY1577" s="2060"/>
      <c r="DZ1577" s="2060"/>
      <c r="EA1577" s="2060"/>
      <c r="EB1577" s="2060"/>
      <c r="EC1577" s="2060"/>
      <c r="ED1577" s="2060"/>
      <c r="EE1577" s="2060"/>
      <c r="EF1577" s="2060"/>
      <c r="EG1577" s="2060"/>
      <c r="EH1577" s="2060"/>
      <c r="EI1577" s="2060"/>
      <c r="EJ1577" s="2060"/>
      <c r="EK1577" s="2060"/>
      <c r="EL1577" s="2060"/>
      <c r="EM1577" s="2060"/>
      <c r="EN1577" s="2060"/>
      <c r="EO1577" s="2060"/>
      <c r="EP1577" s="2060"/>
      <c r="EQ1577" s="2060"/>
      <c r="ER1577" s="2060"/>
      <c r="ES1577" s="2060"/>
      <c r="ET1577" s="2060"/>
      <c r="EU1577" s="2060"/>
      <c r="EV1577" s="2060"/>
      <c r="EW1577" s="2060"/>
      <c r="EX1577" s="2060"/>
      <c r="EY1577" s="2060"/>
      <c r="EZ1577" s="2060"/>
      <c r="FA1577" s="2060"/>
      <c r="FB1577" s="2060"/>
      <c r="FC1577" s="2060"/>
      <c r="FD1577" s="2060"/>
      <c r="FE1577" s="2060"/>
      <c r="FF1577" s="2060"/>
      <c r="FG1577" s="2060"/>
      <c r="FH1577" s="2060"/>
      <c r="FI1577" s="2060"/>
      <c r="FJ1577" s="2060"/>
      <c r="FK1577" s="2060"/>
      <c r="FL1577" s="2060"/>
      <c r="FM1577" s="2060"/>
      <c r="FN1577" s="2060"/>
      <c r="FO1577" s="2060"/>
      <c r="FP1577" s="2060"/>
      <c r="FQ1577" s="2060"/>
      <c r="FR1577" s="2060"/>
      <c r="FS1577" s="2060"/>
      <c r="FT1577" s="2060"/>
      <c r="FU1577" s="2060"/>
      <c r="FV1577" s="2060"/>
      <c r="FW1577" s="2060"/>
      <c r="FX1577" s="2060"/>
      <c r="FY1577" s="2060"/>
      <c r="FZ1577" s="2060"/>
      <c r="GA1577" s="2060"/>
      <c r="GB1577" s="2060"/>
      <c r="GC1577" s="2060"/>
      <c r="GD1577" s="2060"/>
      <c r="GE1577" s="2060"/>
      <c r="GF1577" s="2060"/>
      <c r="GG1577" s="2060"/>
      <c r="GH1577" s="2060"/>
      <c r="GI1577" s="2060"/>
      <c r="GJ1577" s="2060"/>
      <c r="GK1577" s="2060"/>
      <c r="GL1577" s="2060"/>
      <c r="GM1577" s="2060"/>
      <c r="GN1577" s="2060"/>
      <c r="GO1577" s="2060"/>
      <c r="GP1577" s="2060"/>
      <c r="GQ1577" s="2060"/>
      <c r="GR1577" s="2060"/>
      <c r="GS1577" s="2060"/>
      <c r="GT1577" s="2060"/>
      <c r="GU1577" s="2060"/>
      <c r="GV1577" s="2060"/>
      <c r="GW1577" s="2060"/>
      <c r="GX1577" s="2060"/>
      <c r="GY1577" s="2060"/>
      <c r="GZ1577" s="2060"/>
      <c r="HA1577" s="2060"/>
      <c r="HB1577" s="2060"/>
      <c r="HC1577" s="2060"/>
      <c r="HD1577" s="2060"/>
      <c r="HE1577" s="2060"/>
      <c r="HF1577" s="2060"/>
      <c r="HG1577" s="2060"/>
      <c r="HH1577" s="2060"/>
      <c r="HI1577" s="2060"/>
      <c r="HJ1577" s="2060"/>
      <c r="HK1577" s="2060"/>
      <c r="HL1577" s="2060"/>
      <c r="HM1577" s="2060"/>
      <c r="HN1577" s="2060"/>
      <c r="HO1577" s="2060"/>
      <c r="HP1577" s="2060"/>
      <c r="HQ1577" s="2060"/>
      <c r="HR1577" s="2060"/>
      <c r="HS1577" s="2060"/>
      <c r="HT1577" s="2060"/>
      <c r="HU1577" s="2060"/>
      <c r="HV1577" s="2060"/>
      <c r="HW1577" s="2060"/>
      <c r="HX1577" s="2060"/>
      <c r="HY1577" s="2060"/>
      <c r="HZ1577" s="2060"/>
      <c r="IA1577" s="2060"/>
      <c r="IB1577" s="2060"/>
      <c r="IC1577" s="2060"/>
      <c r="ID1577" s="2060"/>
      <c r="IE1577" s="2060"/>
      <c r="IF1577" s="2060"/>
      <c r="IG1577" s="2060"/>
      <c r="IH1577" s="2060"/>
      <c r="II1577" s="2060"/>
      <c r="IJ1577" s="2060"/>
      <c r="IK1577" s="2060"/>
      <c r="IL1577" s="2060"/>
      <c r="IM1577" s="2060"/>
      <c r="IN1577" s="2060"/>
      <c r="IO1577" s="2060"/>
      <c r="IP1577" s="2060"/>
      <c r="IQ1577" s="2060"/>
      <c r="IR1577" s="2060"/>
      <c r="IS1577" s="2060"/>
      <c r="IT1577" s="2060"/>
      <c r="IU1577" s="2060"/>
      <c r="IV1577" s="2060"/>
      <c r="IW1577" s="2060"/>
      <c r="IX1577" s="2060"/>
      <c r="IY1577" s="2060"/>
      <c r="IZ1577" s="2060"/>
      <c r="JA1577" s="2060"/>
      <c r="JB1577" s="2060"/>
      <c r="JC1577" s="2060"/>
      <c r="JD1577" s="2060"/>
      <c r="JE1577" s="2060"/>
      <c r="JF1577" s="2060"/>
      <c r="JG1577" s="2060"/>
      <c r="JH1577" s="2060"/>
      <c r="JI1577" s="2060"/>
      <c r="JJ1577" s="2060"/>
      <c r="JK1577" s="2060"/>
      <c r="JL1577" s="2060"/>
      <c r="JM1577" s="2060"/>
      <c r="JN1577" s="2060"/>
      <c r="JO1577" s="2060"/>
      <c r="JP1577" s="2060"/>
      <c r="JQ1577" s="2060"/>
      <c r="JR1577" s="2060"/>
      <c r="JS1577" s="2060"/>
      <c r="JT1577" s="2060"/>
      <c r="JU1577" s="2060"/>
      <c r="JV1577" s="2060"/>
      <c r="JW1577" s="2060"/>
      <c r="JX1577" s="2060"/>
      <c r="JY1577" s="2060"/>
      <c r="JZ1577" s="2060"/>
      <c r="KA1577" s="2060"/>
      <c r="KB1577" s="2060"/>
      <c r="KC1577" s="2060"/>
      <c r="KD1577" s="2060"/>
      <c r="KE1577" s="2060"/>
      <c r="KF1577" s="2060"/>
      <c r="KG1577" s="2060"/>
      <c r="KH1577" s="2060"/>
      <c r="KI1577" s="2060"/>
      <c r="KJ1577" s="2060"/>
      <c r="KK1577" s="2060"/>
      <c r="KL1577" s="2060"/>
      <c r="KM1577" s="2060"/>
      <c r="KN1577" s="2060"/>
      <c r="KO1577" s="2060"/>
      <c r="KP1577" s="2060"/>
      <c r="KQ1577" s="2060"/>
      <c r="KR1577" s="2060"/>
      <c r="KS1577" s="2060"/>
      <c r="KT1577" s="2060"/>
      <c r="KU1577" s="2060"/>
      <c r="KV1577" s="2060"/>
      <c r="KW1577" s="2060"/>
      <c r="KX1577" s="2060"/>
      <c r="KY1577" s="2060"/>
      <c r="KZ1577" s="2060"/>
      <c r="LA1577" s="2060"/>
      <c r="LB1577" s="2060"/>
      <c r="LC1577" s="2060"/>
      <c r="LD1577" s="2060"/>
      <c r="LE1577" s="2060"/>
      <c r="LF1577" s="2060"/>
      <c r="LG1577" s="2060"/>
      <c r="LH1577" s="2060"/>
    </row>
    <row r="1578" spans="1:320" s="1499" customFormat="1" ht="13.9">
      <c r="A1578" s="269" t="str">
        <f t="shared" si="439"/>
        <v>n</v>
      </c>
      <c r="B1578" s="2060"/>
      <c r="C1578" s="2060"/>
      <c r="D1578" s="2060"/>
      <c r="E1578" s="1661">
        <v>19</v>
      </c>
      <c r="F1578" s="1353" t="str">
        <f>F$147</f>
        <v>--</v>
      </c>
      <c r="G1578" s="1349">
        <f>G$147</f>
        <v>0</v>
      </c>
      <c r="H1578" s="1349"/>
      <c r="I1578" s="89" t="s">
        <v>850</v>
      </c>
      <c r="J1578" s="1457" t="str">
        <f>IF($G1578=0,"",IFERROR(_xll.ciqfunctions.udf.CIQ($G1578,$I1578,J$1557,Valuation_Date_GC,ReportType,DataMode),"n/a"))</f>
        <v/>
      </c>
      <c r="K1578" s="1457" t="str">
        <f>IF($G1578=0,"",IFERROR(_xll.ciqfunctions.udf.CIQ($G1578,$I1578,K$1557,Valuation_Date_GC,ReportType,DataMode),"n/a"))</f>
        <v/>
      </c>
      <c r="L1578" s="1457" t="str">
        <f>IF($G1578=0,"",IFERROR(_xll.ciqfunctions.udf.CIQ($G1578,$I1578,L$1557,Valuation_Date_GC,ReportType,DataMode),"n/a"))</f>
        <v/>
      </c>
      <c r="M1578" s="1457" t="str">
        <f>IF($G1578=0,"",IFERROR(_xll.ciqfunctions.udf.CIQ($G1578,$I1578,M$1557,Valuation_Date_GC,ReportType,DataMode),"n/a"))</f>
        <v/>
      </c>
      <c r="N1578" s="1457" t="str">
        <f>IF($G1578=0,"",IFERROR(_xll.ciqfunctions.udf.CIQ($G1578,$I1578,N$1557,Valuation_Date_GC,ReportType,DataMode),"n/a"))</f>
        <v/>
      </c>
      <c r="O1578" s="1457" t="str">
        <f>IF($G1578=0,"",IFERROR(_xll.ciqfunctions.udf.CIQ($G1578,$I1578,O$1557,Valuation_Date_GC,ReportType,DataMode),"n/a"))</f>
        <v/>
      </c>
      <c r="P1578" s="1457" t="str">
        <f>IF($G1578=0,"",IFERROR(_xll.ciqfunctions.udf.CIQ($G1578,$I1578,P$1557,Valuation_Date_GC,ReportType,DataMode),"n/a"))</f>
        <v/>
      </c>
      <c r="Q1578" s="1457" t="str">
        <f>IF($G1578=0,"",IFERROR(_xll.ciqfunctions.udf.CIQ($G1578,$I1578,Q$1557,Valuation_Date_GC,ReportType,DataMode),"n/a"))</f>
        <v/>
      </c>
      <c r="R1578" s="1457" t="str">
        <f>IF($G1578=0,"",IFERROR(_xll.ciqfunctions.udf.CIQ($G1578,$I1578,R$1557,Valuation_Date_GC,ReportType,DataMode),"n/a"))</f>
        <v/>
      </c>
      <c r="S1578" s="1457" t="str">
        <f>IF($G1578=0,"",IFERROR(_xll.ciqfunctions.udf.CIQ($G1578,$I1578,S$1557,Valuation_Date_GC,ReportType,DataMode),"n/a"))</f>
        <v/>
      </c>
      <c r="T1578" s="1457" t="str">
        <f>IF($G1578=0,"",IFERROR(_xll.ciqfunctions.udf.CIQ($G1578,$I1578,T$1557,Valuation_Date_GC,ReportType,DataMode),"n/a"))</f>
        <v/>
      </c>
      <c r="U1578" s="1457" t="str">
        <f>IF($G1578=0,"",IFERROR(_xll.ciqfunctions.udf.CIQ($G1578,$I1578,U$1557,Valuation_Date_GC,ReportType,DataMode),"n/a"))</f>
        <v/>
      </c>
      <c r="V1578" s="1457" t="str">
        <f>IF($G1578=0,"",IFERROR(_xll.ciqfunctions.udf.CIQ($G1578,$I1578,V$1557,Valuation_Date_GC,ReportType,DataMode),"n/a"))</f>
        <v/>
      </c>
      <c r="W1578" s="1479"/>
      <c r="X1578" s="255"/>
      <c r="Y1578" s="255"/>
      <c r="Z1578" s="2060"/>
      <c r="AA1578" s="2060"/>
      <c r="AB1578" s="2060"/>
      <c r="AC1578" s="2060"/>
      <c r="AD1578" s="2060"/>
      <c r="AE1578" s="2060"/>
      <c r="AF1578" s="2060"/>
      <c r="AG1578" s="2060"/>
      <c r="AH1578" s="2060"/>
      <c r="AI1578" s="2060"/>
      <c r="AJ1578" s="2060"/>
      <c r="AK1578" s="2060"/>
      <c r="AL1578" s="2060"/>
      <c r="AM1578" s="2060"/>
      <c r="AN1578" s="2060"/>
      <c r="AO1578" s="2060"/>
      <c r="AP1578" s="2060"/>
      <c r="AQ1578" s="2060"/>
      <c r="AR1578" s="2060"/>
      <c r="AS1578" s="2060"/>
      <c r="AT1578" s="2060"/>
      <c r="AU1578" s="2060"/>
      <c r="AV1578" s="2060"/>
      <c r="AW1578" s="2060"/>
      <c r="AX1578" s="2060"/>
      <c r="AY1578" s="2060"/>
      <c r="AZ1578" s="2060"/>
      <c r="BA1578" s="2060"/>
      <c r="BB1578" s="2060"/>
      <c r="BC1578" s="2060"/>
      <c r="BD1578" s="2060"/>
      <c r="BE1578" s="2060"/>
      <c r="BF1578" s="2060"/>
      <c r="BG1578" s="2060"/>
      <c r="BH1578" s="2060"/>
      <c r="BI1578" s="2060"/>
      <c r="BJ1578" s="2060"/>
      <c r="BK1578" s="2060"/>
      <c r="BL1578" s="2060"/>
      <c r="BM1578" s="2060"/>
      <c r="BN1578" s="2060"/>
      <c r="BO1578" s="2060"/>
      <c r="BP1578" s="2060"/>
      <c r="BQ1578" s="2060"/>
      <c r="BR1578" s="2060"/>
      <c r="BS1578" s="2060"/>
      <c r="BT1578" s="2060"/>
      <c r="BU1578" s="2060"/>
      <c r="BV1578" s="2060"/>
      <c r="BW1578" s="2060"/>
      <c r="BX1578" s="2060"/>
      <c r="BY1578" s="2060"/>
      <c r="BZ1578" s="2060"/>
      <c r="CA1578" s="2060"/>
      <c r="CB1578" s="2060"/>
      <c r="CC1578" s="2060"/>
      <c r="CD1578" s="2060"/>
      <c r="CE1578" s="2060"/>
      <c r="CF1578" s="2060"/>
      <c r="CG1578" s="2060"/>
      <c r="CH1578" s="2060"/>
      <c r="CI1578" s="2060"/>
      <c r="CJ1578" s="2060"/>
      <c r="CK1578" s="2060"/>
      <c r="CL1578" s="2060"/>
      <c r="CM1578" s="2060"/>
      <c r="CN1578" s="2060"/>
      <c r="CO1578" s="2060"/>
      <c r="CP1578" s="2060"/>
      <c r="CQ1578" s="2060"/>
      <c r="CR1578" s="2060"/>
      <c r="CS1578" s="2060"/>
      <c r="CT1578" s="2060"/>
      <c r="CU1578" s="2060"/>
      <c r="CV1578" s="2060"/>
      <c r="CW1578" s="2060"/>
      <c r="CX1578" s="2060"/>
      <c r="CY1578" s="2060"/>
      <c r="CZ1578" s="2060"/>
      <c r="DA1578" s="2060"/>
      <c r="DB1578" s="2060"/>
      <c r="DC1578" s="2060"/>
      <c r="DD1578" s="2060"/>
      <c r="DE1578" s="2060"/>
      <c r="DF1578" s="2060"/>
      <c r="DG1578" s="2060"/>
      <c r="DH1578" s="2060"/>
      <c r="DI1578" s="2060"/>
      <c r="DJ1578" s="2060"/>
      <c r="DK1578" s="2060"/>
      <c r="DL1578" s="2060"/>
      <c r="DM1578" s="2060"/>
      <c r="DN1578" s="2060"/>
      <c r="DO1578" s="2060"/>
      <c r="DP1578" s="2060"/>
      <c r="DQ1578" s="2060"/>
      <c r="DR1578" s="2060"/>
      <c r="DS1578" s="2060"/>
      <c r="DT1578" s="2060"/>
      <c r="DU1578" s="2060"/>
      <c r="DV1578" s="2060"/>
      <c r="DW1578" s="2060"/>
      <c r="DX1578" s="2060"/>
      <c r="DY1578" s="2060"/>
      <c r="DZ1578" s="2060"/>
      <c r="EA1578" s="2060"/>
      <c r="EB1578" s="2060"/>
      <c r="EC1578" s="2060"/>
      <c r="ED1578" s="2060"/>
      <c r="EE1578" s="2060"/>
      <c r="EF1578" s="2060"/>
      <c r="EG1578" s="2060"/>
      <c r="EH1578" s="2060"/>
      <c r="EI1578" s="2060"/>
      <c r="EJ1578" s="2060"/>
      <c r="EK1578" s="2060"/>
      <c r="EL1578" s="2060"/>
      <c r="EM1578" s="2060"/>
      <c r="EN1578" s="2060"/>
      <c r="EO1578" s="2060"/>
      <c r="EP1578" s="2060"/>
      <c r="EQ1578" s="2060"/>
      <c r="ER1578" s="2060"/>
      <c r="ES1578" s="2060"/>
      <c r="ET1578" s="2060"/>
      <c r="EU1578" s="2060"/>
      <c r="EV1578" s="2060"/>
      <c r="EW1578" s="2060"/>
      <c r="EX1578" s="2060"/>
      <c r="EY1578" s="2060"/>
      <c r="EZ1578" s="2060"/>
      <c r="FA1578" s="2060"/>
      <c r="FB1578" s="2060"/>
      <c r="FC1578" s="2060"/>
      <c r="FD1578" s="2060"/>
      <c r="FE1578" s="2060"/>
      <c r="FF1578" s="2060"/>
      <c r="FG1578" s="2060"/>
      <c r="FH1578" s="2060"/>
      <c r="FI1578" s="2060"/>
      <c r="FJ1578" s="2060"/>
      <c r="FK1578" s="2060"/>
      <c r="FL1578" s="2060"/>
      <c r="FM1578" s="2060"/>
      <c r="FN1578" s="2060"/>
      <c r="FO1578" s="2060"/>
      <c r="FP1578" s="2060"/>
      <c r="FQ1578" s="2060"/>
      <c r="FR1578" s="2060"/>
      <c r="FS1578" s="2060"/>
      <c r="FT1578" s="2060"/>
      <c r="FU1578" s="2060"/>
      <c r="FV1578" s="2060"/>
      <c r="FW1578" s="2060"/>
      <c r="FX1578" s="2060"/>
      <c r="FY1578" s="2060"/>
      <c r="FZ1578" s="2060"/>
      <c r="GA1578" s="2060"/>
      <c r="GB1578" s="2060"/>
      <c r="GC1578" s="2060"/>
      <c r="GD1578" s="2060"/>
      <c r="GE1578" s="2060"/>
      <c r="GF1578" s="2060"/>
      <c r="GG1578" s="2060"/>
      <c r="GH1578" s="2060"/>
      <c r="GI1578" s="2060"/>
      <c r="GJ1578" s="2060"/>
      <c r="GK1578" s="2060"/>
      <c r="GL1578" s="2060"/>
      <c r="GM1578" s="2060"/>
      <c r="GN1578" s="2060"/>
      <c r="GO1578" s="2060"/>
      <c r="GP1578" s="2060"/>
      <c r="GQ1578" s="2060"/>
      <c r="GR1578" s="2060"/>
      <c r="GS1578" s="2060"/>
      <c r="GT1578" s="2060"/>
      <c r="GU1578" s="2060"/>
      <c r="GV1578" s="2060"/>
      <c r="GW1578" s="2060"/>
      <c r="GX1578" s="2060"/>
      <c r="GY1578" s="2060"/>
      <c r="GZ1578" s="2060"/>
      <c r="HA1578" s="2060"/>
      <c r="HB1578" s="2060"/>
      <c r="HC1578" s="2060"/>
      <c r="HD1578" s="2060"/>
      <c r="HE1578" s="2060"/>
      <c r="HF1578" s="2060"/>
      <c r="HG1578" s="2060"/>
      <c r="HH1578" s="2060"/>
      <c r="HI1578" s="2060"/>
      <c r="HJ1578" s="2060"/>
      <c r="HK1578" s="2060"/>
      <c r="HL1578" s="2060"/>
      <c r="HM1578" s="2060"/>
      <c r="HN1578" s="2060"/>
      <c r="HO1578" s="2060"/>
      <c r="HP1578" s="2060"/>
      <c r="HQ1578" s="2060"/>
      <c r="HR1578" s="2060"/>
      <c r="HS1578" s="2060"/>
      <c r="HT1578" s="2060"/>
      <c r="HU1578" s="2060"/>
      <c r="HV1578" s="2060"/>
      <c r="HW1578" s="2060"/>
      <c r="HX1578" s="2060"/>
      <c r="HY1578" s="2060"/>
      <c r="HZ1578" s="2060"/>
      <c r="IA1578" s="2060"/>
      <c r="IB1578" s="2060"/>
      <c r="IC1578" s="2060"/>
      <c r="ID1578" s="2060"/>
      <c r="IE1578" s="2060"/>
      <c r="IF1578" s="2060"/>
      <c r="IG1578" s="2060"/>
      <c r="IH1578" s="2060"/>
      <c r="II1578" s="2060"/>
      <c r="IJ1578" s="2060"/>
      <c r="IK1578" s="2060"/>
      <c r="IL1578" s="2060"/>
      <c r="IM1578" s="2060"/>
      <c r="IN1578" s="2060"/>
      <c r="IO1578" s="2060"/>
      <c r="IP1578" s="2060"/>
      <c r="IQ1578" s="2060"/>
      <c r="IR1578" s="2060"/>
      <c r="IS1578" s="2060"/>
      <c r="IT1578" s="2060"/>
      <c r="IU1578" s="2060"/>
      <c r="IV1578" s="2060"/>
      <c r="IW1578" s="2060"/>
      <c r="IX1578" s="2060"/>
      <c r="IY1578" s="2060"/>
      <c r="IZ1578" s="2060"/>
      <c r="JA1578" s="2060"/>
      <c r="JB1578" s="2060"/>
      <c r="JC1578" s="2060"/>
      <c r="JD1578" s="2060"/>
      <c r="JE1578" s="2060"/>
      <c r="JF1578" s="2060"/>
      <c r="JG1578" s="2060"/>
      <c r="JH1578" s="2060"/>
      <c r="JI1578" s="2060"/>
      <c r="JJ1578" s="2060"/>
      <c r="JK1578" s="2060"/>
      <c r="JL1578" s="2060"/>
      <c r="JM1578" s="2060"/>
      <c r="JN1578" s="2060"/>
      <c r="JO1578" s="2060"/>
      <c r="JP1578" s="2060"/>
      <c r="JQ1578" s="2060"/>
      <c r="JR1578" s="2060"/>
      <c r="JS1578" s="2060"/>
      <c r="JT1578" s="2060"/>
      <c r="JU1578" s="2060"/>
      <c r="JV1578" s="2060"/>
      <c r="JW1578" s="2060"/>
      <c r="JX1578" s="2060"/>
      <c r="JY1578" s="2060"/>
      <c r="JZ1578" s="2060"/>
      <c r="KA1578" s="2060"/>
      <c r="KB1578" s="2060"/>
      <c r="KC1578" s="2060"/>
      <c r="KD1578" s="2060"/>
      <c r="KE1578" s="2060"/>
      <c r="KF1578" s="2060"/>
      <c r="KG1578" s="2060"/>
      <c r="KH1578" s="2060"/>
      <c r="KI1578" s="2060"/>
      <c r="KJ1578" s="2060"/>
      <c r="KK1578" s="2060"/>
      <c r="KL1578" s="2060"/>
      <c r="KM1578" s="2060"/>
      <c r="KN1578" s="2060"/>
      <c r="KO1578" s="2060"/>
      <c r="KP1578" s="2060"/>
      <c r="KQ1578" s="2060"/>
      <c r="KR1578" s="2060"/>
      <c r="KS1578" s="2060"/>
      <c r="KT1578" s="2060"/>
      <c r="KU1578" s="2060"/>
      <c r="KV1578" s="2060"/>
      <c r="KW1578" s="2060"/>
      <c r="KX1578" s="2060"/>
      <c r="KY1578" s="2060"/>
      <c r="KZ1578" s="2060"/>
      <c r="LA1578" s="2060"/>
      <c r="LB1578" s="2060"/>
      <c r="LC1578" s="2060"/>
      <c r="LD1578" s="2060"/>
      <c r="LE1578" s="2060"/>
      <c r="LF1578" s="2060"/>
      <c r="LG1578" s="2060"/>
      <c r="LH1578" s="2060"/>
    </row>
    <row r="1579" spans="1:320" s="1499" customFormat="1" ht="13.9">
      <c r="A1579" s="269" t="str">
        <f t="shared" si="439"/>
        <v>n</v>
      </c>
      <c r="B1579" s="2060"/>
      <c r="C1579" s="2060"/>
      <c r="D1579" s="2060"/>
      <c r="E1579" s="1661">
        <v>20</v>
      </c>
      <c r="F1579" s="1353" t="str">
        <f>F$148</f>
        <v>--</v>
      </c>
      <c r="G1579" s="1349">
        <f>G$148</f>
        <v>0</v>
      </c>
      <c r="H1579" s="1349"/>
      <c r="I1579" s="89" t="s">
        <v>850</v>
      </c>
      <c r="J1579" s="1457" t="str">
        <f>IF($G1579=0,"",IFERROR(_xll.ciqfunctions.udf.CIQ($G1579,$I1579,J$1557,Valuation_Date_GC,ReportType,DataMode),"n/a"))</f>
        <v/>
      </c>
      <c r="K1579" s="1457" t="str">
        <f>IF($G1579=0,"",IFERROR(_xll.ciqfunctions.udf.CIQ($G1579,$I1579,K$1557,Valuation_Date_GC,ReportType,DataMode),"n/a"))</f>
        <v/>
      </c>
      <c r="L1579" s="1457" t="str">
        <f>IF($G1579=0,"",IFERROR(_xll.ciqfunctions.udf.CIQ($G1579,$I1579,L$1557,Valuation_Date_GC,ReportType,DataMode),"n/a"))</f>
        <v/>
      </c>
      <c r="M1579" s="1457" t="str">
        <f>IF($G1579=0,"",IFERROR(_xll.ciqfunctions.udf.CIQ($G1579,$I1579,M$1557,Valuation_Date_GC,ReportType,DataMode),"n/a"))</f>
        <v/>
      </c>
      <c r="N1579" s="1457" t="str">
        <f>IF($G1579=0,"",IFERROR(_xll.ciqfunctions.udf.CIQ($G1579,$I1579,N$1557,Valuation_Date_GC,ReportType,DataMode),"n/a"))</f>
        <v/>
      </c>
      <c r="O1579" s="1457" t="str">
        <f>IF($G1579=0,"",IFERROR(_xll.ciqfunctions.udf.CIQ($G1579,$I1579,O$1557,Valuation_Date_GC,ReportType,DataMode),"n/a"))</f>
        <v/>
      </c>
      <c r="P1579" s="1457" t="str">
        <f>IF($G1579=0,"",IFERROR(_xll.ciqfunctions.udf.CIQ($G1579,$I1579,P$1557,Valuation_Date_GC,ReportType,DataMode),"n/a"))</f>
        <v/>
      </c>
      <c r="Q1579" s="1457" t="str">
        <f>IF($G1579=0,"",IFERROR(_xll.ciqfunctions.udf.CIQ($G1579,$I1579,Q$1557,Valuation_Date_GC,ReportType,DataMode),"n/a"))</f>
        <v/>
      </c>
      <c r="R1579" s="1457" t="str">
        <f>IF($G1579=0,"",IFERROR(_xll.ciqfunctions.udf.CIQ($G1579,$I1579,R$1557,Valuation_Date_GC,ReportType,DataMode),"n/a"))</f>
        <v/>
      </c>
      <c r="S1579" s="1457" t="str">
        <f>IF($G1579=0,"",IFERROR(_xll.ciqfunctions.udf.CIQ($G1579,$I1579,S$1557,Valuation_Date_GC,ReportType,DataMode),"n/a"))</f>
        <v/>
      </c>
      <c r="T1579" s="1457" t="str">
        <f>IF($G1579=0,"",IFERROR(_xll.ciqfunctions.udf.CIQ($G1579,$I1579,T$1557,Valuation_Date_GC,ReportType,DataMode),"n/a"))</f>
        <v/>
      </c>
      <c r="U1579" s="1457" t="str">
        <f>IF($G1579=0,"",IFERROR(_xll.ciqfunctions.udf.CIQ($G1579,$I1579,U$1557,Valuation_Date_GC,ReportType,DataMode),"n/a"))</f>
        <v/>
      </c>
      <c r="V1579" s="1457" t="str">
        <f>IF($G1579=0,"",IFERROR(_xll.ciqfunctions.udf.CIQ($G1579,$I1579,V$1557,Valuation_Date_GC,ReportType,DataMode),"n/a"))</f>
        <v/>
      </c>
      <c r="W1579" s="1479"/>
      <c r="X1579" s="255"/>
      <c r="Y1579" s="255"/>
      <c r="Z1579" s="2060"/>
      <c r="AA1579" s="2060"/>
      <c r="AB1579" s="2060"/>
      <c r="AC1579" s="2060"/>
      <c r="AD1579" s="2060"/>
      <c r="AE1579" s="2060"/>
      <c r="AF1579" s="2060"/>
      <c r="AG1579" s="2060"/>
      <c r="AH1579" s="2060"/>
      <c r="AI1579" s="2060"/>
      <c r="AJ1579" s="2060"/>
      <c r="AK1579" s="2060"/>
      <c r="AL1579" s="2060"/>
      <c r="AM1579" s="2060"/>
      <c r="AN1579" s="2060"/>
      <c r="AO1579" s="2060"/>
      <c r="AP1579" s="2060"/>
      <c r="AQ1579" s="2060"/>
      <c r="AR1579" s="2060"/>
      <c r="AS1579" s="2060"/>
      <c r="AT1579" s="2060"/>
      <c r="AU1579" s="2060"/>
      <c r="AV1579" s="2060"/>
      <c r="AW1579" s="2060"/>
      <c r="AX1579" s="2060"/>
      <c r="AY1579" s="2060"/>
      <c r="AZ1579" s="2060"/>
      <c r="BA1579" s="2060"/>
      <c r="BB1579" s="2060"/>
      <c r="BC1579" s="2060"/>
      <c r="BD1579" s="2060"/>
      <c r="BE1579" s="2060"/>
      <c r="BF1579" s="2060"/>
      <c r="BG1579" s="2060"/>
      <c r="BH1579" s="2060"/>
      <c r="BI1579" s="2060"/>
      <c r="BJ1579" s="2060"/>
      <c r="BK1579" s="2060"/>
      <c r="BL1579" s="2060"/>
      <c r="BM1579" s="2060"/>
      <c r="BN1579" s="2060"/>
      <c r="BO1579" s="2060"/>
      <c r="BP1579" s="2060"/>
      <c r="BQ1579" s="2060"/>
      <c r="BR1579" s="2060"/>
      <c r="BS1579" s="2060"/>
      <c r="BT1579" s="2060"/>
      <c r="BU1579" s="2060"/>
      <c r="BV1579" s="2060"/>
      <c r="BW1579" s="2060"/>
      <c r="BX1579" s="2060"/>
      <c r="BY1579" s="2060"/>
      <c r="BZ1579" s="2060"/>
      <c r="CA1579" s="2060"/>
      <c r="CB1579" s="2060"/>
      <c r="CC1579" s="2060"/>
      <c r="CD1579" s="2060"/>
      <c r="CE1579" s="2060"/>
      <c r="CF1579" s="2060"/>
      <c r="CG1579" s="2060"/>
      <c r="CH1579" s="2060"/>
      <c r="CI1579" s="2060"/>
      <c r="CJ1579" s="2060"/>
      <c r="CK1579" s="2060"/>
      <c r="CL1579" s="2060"/>
      <c r="CM1579" s="2060"/>
      <c r="CN1579" s="2060"/>
      <c r="CO1579" s="2060"/>
      <c r="CP1579" s="2060"/>
      <c r="CQ1579" s="2060"/>
      <c r="CR1579" s="2060"/>
      <c r="CS1579" s="2060"/>
      <c r="CT1579" s="2060"/>
      <c r="CU1579" s="2060"/>
      <c r="CV1579" s="2060"/>
      <c r="CW1579" s="2060"/>
      <c r="CX1579" s="2060"/>
      <c r="CY1579" s="2060"/>
      <c r="CZ1579" s="2060"/>
      <c r="DA1579" s="2060"/>
      <c r="DB1579" s="2060"/>
      <c r="DC1579" s="2060"/>
      <c r="DD1579" s="2060"/>
      <c r="DE1579" s="2060"/>
      <c r="DF1579" s="2060"/>
      <c r="DG1579" s="2060"/>
      <c r="DH1579" s="2060"/>
      <c r="DI1579" s="2060"/>
      <c r="DJ1579" s="2060"/>
      <c r="DK1579" s="2060"/>
      <c r="DL1579" s="2060"/>
      <c r="DM1579" s="2060"/>
      <c r="DN1579" s="2060"/>
      <c r="DO1579" s="2060"/>
      <c r="DP1579" s="2060"/>
      <c r="DQ1579" s="2060"/>
      <c r="DR1579" s="2060"/>
      <c r="DS1579" s="2060"/>
      <c r="DT1579" s="2060"/>
      <c r="DU1579" s="2060"/>
      <c r="DV1579" s="2060"/>
      <c r="DW1579" s="2060"/>
      <c r="DX1579" s="2060"/>
      <c r="DY1579" s="2060"/>
      <c r="DZ1579" s="2060"/>
      <c r="EA1579" s="2060"/>
      <c r="EB1579" s="2060"/>
      <c r="EC1579" s="2060"/>
      <c r="ED1579" s="2060"/>
      <c r="EE1579" s="2060"/>
      <c r="EF1579" s="2060"/>
      <c r="EG1579" s="2060"/>
      <c r="EH1579" s="2060"/>
      <c r="EI1579" s="2060"/>
      <c r="EJ1579" s="2060"/>
      <c r="EK1579" s="2060"/>
      <c r="EL1579" s="2060"/>
      <c r="EM1579" s="2060"/>
      <c r="EN1579" s="2060"/>
      <c r="EO1579" s="2060"/>
      <c r="EP1579" s="2060"/>
      <c r="EQ1579" s="2060"/>
      <c r="ER1579" s="2060"/>
      <c r="ES1579" s="2060"/>
      <c r="ET1579" s="2060"/>
      <c r="EU1579" s="2060"/>
      <c r="EV1579" s="2060"/>
      <c r="EW1579" s="2060"/>
      <c r="EX1579" s="2060"/>
      <c r="EY1579" s="2060"/>
      <c r="EZ1579" s="2060"/>
      <c r="FA1579" s="2060"/>
      <c r="FB1579" s="2060"/>
      <c r="FC1579" s="2060"/>
      <c r="FD1579" s="2060"/>
      <c r="FE1579" s="2060"/>
      <c r="FF1579" s="2060"/>
      <c r="FG1579" s="2060"/>
      <c r="FH1579" s="2060"/>
      <c r="FI1579" s="2060"/>
      <c r="FJ1579" s="2060"/>
      <c r="FK1579" s="2060"/>
      <c r="FL1579" s="2060"/>
      <c r="FM1579" s="2060"/>
      <c r="FN1579" s="2060"/>
      <c r="FO1579" s="2060"/>
      <c r="FP1579" s="2060"/>
      <c r="FQ1579" s="2060"/>
      <c r="FR1579" s="2060"/>
      <c r="FS1579" s="2060"/>
      <c r="FT1579" s="2060"/>
      <c r="FU1579" s="2060"/>
      <c r="FV1579" s="2060"/>
      <c r="FW1579" s="2060"/>
      <c r="FX1579" s="2060"/>
      <c r="FY1579" s="2060"/>
      <c r="FZ1579" s="2060"/>
      <c r="GA1579" s="2060"/>
      <c r="GB1579" s="2060"/>
      <c r="GC1579" s="2060"/>
      <c r="GD1579" s="2060"/>
      <c r="GE1579" s="2060"/>
      <c r="GF1579" s="2060"/>
      <c r="GG1579" s="2060"/>
      <c r="GH1579" s="2060"/>
      <c r="GI1579" s="2060"/>
      <c r="GJ1579" s="2060"/>
      <c r="GK1579" s="2060"/>
      <c r="GL1579" s="2060"/>
      <c r="GM1579" s="2060"/>
      <c r="GN1579" s="2060"/>
      <c r="GO1579" s="2060"/>
      <c r="GP1579" s="2060"/>
      <c r="GQ1579" s="2060"/>
      <c r="GR1579" s="2060"/>
      <c r="GS1579" s="2060"/>
      <c r="GT1579" s="2060"/>
      <c r="GU1579" s="2060"/>
      <c r="GV1579" s="2060"/>
      <c r="GW1579" s="2060"/>
      <c r="GX1579" s="2060"/>
      <c r="GY1579" s="2060"/>
      <c r="GZ1579" s="2060"/>
      <c r="HA1579" s="2060"/>
      <c r="HB1579" s="2060"/>
      <c r="HC1579" s="2060"/>
      <c r="HD1579" s="2060"/>
      <c r="HE1579" s="2060"/>
      <c r="HF1579" s="2060"/>
      <c r="HG1579" s="2060"/>
      <c r="HH1579" s="2060"/>
      <c r="HI1579" s="2060"/>
      <c r="HJ1579" s="2060"/>
      <c r="HK1579" s="2060"/>
      <c r="HL1579" s="2060"/>
      <c r="HM1579" s="2060"/>
      <c r="HN1579" s="2060"/>
      <c r="HO1579" s="2060"/>
      <c r="HP1579" s="2060"/>
      <c r="HQ1579" s="2060"/>
      <c r="HR1579" s="2060"/>
      <c r="HS1579" s="2060"/>
      <c r="HT1579" s="2060"/>
      <c r="HU1579" s="2060"/>
      <c r="HV1579" s="2060"/>
      <c r="HW1579" s="2060"/>
      <c r="HX1579" s="2060"/>
      <c r="HY1579" s="2060"/>
      <c r="HZ1579" s="2060"/>
      <c r="IA1579" s="2060"/>
      <c r="IB1579" s="2060"/>
      <c r="IC1579" s="2060"/>
      <c r="ID1579" s="2060"/>
      <c r="IE1579" s="2060"/>
      <c r="IF1579" s="2060"/>
      <c r="IG1579" s="2060"/>
      <c r="IH1579" s="2060"/>
      <c r="II1579" s="2060"/>
      <c r="IJ1579" s="2060"/>
      <c r="IK1579" s="2060"/>
      <c r="IL1579" s="2060"/>
      <c r="IM1579" s="2060"/>
      <c r="IN1579" s="2060"/>
      <c r="IO1579" s="2060"/>
      <c r="IP1579" s="2060"/>
      <c r="IQ1579" s="2060"/>
      <c r="IR1579" s="2060"/>
      <c r="IS1579" s="2060"/>
      <c r="IT1579" s="2060"/>
      <c r="IU1579" s="2060"/>
      <c r="IV1579" s="2060"/>
      <c r="IW1579" s="2060"/>
      <c r="IX1579" s="2060"/>
      <c r="IY1579" s="2060"/>
      <c r="IZ1579" s="2060"/>
      <c r="JA1579" s="2060"/>
      <c r="JB1579" s="2060"/>
      <c r="JC1579" s="2060"/>
      <c r="JD1579" s="2060"/>
      <c r="JE1579" s="2060"/>
      <c r="JF1579" s="2060"/>
      <c r="JG1579" s="2060"/>
      <c r="JH1579" s="2060"/>
      <c r="JI1579" s="2060"/>
      <c r="JJ1579" s="2060"/>
      <c r="JK1579" s="2060"/>
      <c r="JL1579" s="2060"/>
      <c r="JM1579" s="2060"/>
      <c r="JN1579" s="2060"/>
      <c r="JO1579" s="2060"/>
      <c r="JP1579" s="2060"/>
      <c r="JQ1579" s="2060"/>
      <c r="JR1579" s="2060"/>
      <c r="JS1579" s="2060"/>
      <c r="JT1579" s="2060"/>
      <c r="JU1579" s="2060"/>
      <c r="JV1579" s="2060"/>
      <c r="JW1579" s="2060"/>
      <c r="JX1579" s="2060"/>
      <c r="JY1579" s="2060"/>
      <c r="JZ1579" s="2060"/>
      <c r="KA1579" s="2060"/>
      <c r="KB1579" s="2060"/>
      <c r="KC1579" s="2060"/>
      <c r="KD1579" s="2060"/>
      <c r="KE1579" s="2060"/>
      <c r="KF1579" s="2060"/>
      <c r="KG1579" s="2060"/>
      <c r="KH1579" s="2060"/>
      <c r="KI1579" s="2060"/>
      <c r="KJ1579" s="2060"/>
      <c r="KK1579" s="2060"/>
      <c r="KL1579" s="2060"/>
      <c r="KM1579" s="2060"/>
      <c r="KN1579" s="2060"/>
      <c r="KO1579" s="2060"/>
      <c r="KP1579" s="2060"/>
      <c r="KQ1579" s="2060"/>
      <c r="KR1579" s="2060"/>
      <c r="KS1579" s="2060"/>
      <c r="KT1579" s="2060"/>
      <c r="KU1579" s="2060"/>
      <c r="KV1579" s="2060"/>
      <c r="KW1579" s="2060"/>
      <c r="KX1579" s="2060"/>
      <c r="KY1579" s="2060"/>
      <c r="KZ1579" s="2060"/>
      <c r="LA1579" s="2060"/>
      <c r="LB1579" s="2060"/>
      <c r="LC1579" s="2060"/>
      <c r="LD1579" s="2060"/>
      <c r="LE1579" s="2060"/>
      <c r="LF1579" s="2060"/>
      <c r="LG1579" s="2060"/>
      <c r="LH1579" s="2060"/>
    </row>
    <row r="1580" spans="1:320" s="1499" customFormat="1" ht="13.9">
      <c r="A1580" s="269" t="str">
        <f t="shared" si="439"/>
        <v>n</v>
      </c>
      <c r="B1580" s="2060"/>
      <c r="C1580" s="2060"/>
      <c r="D1580" s="2060"/>
      <c r="E1580" s="1661">
        <v>21</v>
      </c>
      <c r="F1580" s="1353" t="str">
        <f>F$149</f>
        <v>--</v>
      </c>
      <c r="G1580" s="1349">
        <f>G$149</f>
        <v>0</v>
      </c>
      <c r="H1580" s="1349"/>
      <c r="I1580" s="89" t="s">
        <v>850</v>
      </c>
      <c r="J1580" s="1457" t="str">
        <f>IF($G1580=0,"",IFERROR(_xll.ciqfunctions.udf.CIQ($G1580,$I1580,J$1557,Valuation_Date_GC,ReportType,DataMode),"n/a"))</f>
        <v/>
      </c>
      <c r="K1580" s="1457" t="str">
        <f>IF($G1580=0,"",IFERROR(_xll.ciqfunctions.udf.CIQ($G1580,$I1580,K$1557,Valuation_Date_GC,ReportType,DataMode),"n/a"))</f>
        <v/>
      </c>
      <c r="L1580" s="1457" t="str">
        <f>IF($G1580=0,"",IFERROR(_xll.ciqfunctions.udf.CIQ($G1580,$I1580,L$1557,Valuation_Date_GC,ReportType,DataMode),"n/a"))</f>
        <v/>
      </c>
      <c r="M1580" s="1457" t="str">
        <f>IF($G1580=0,"",IFERROR(_xll.ciqfunctions.udf.CIQ($G1580,$I1580,M$1557,Valuation_Date_GC,ReportType,DataMode),"n/a"))</f>
        <v/>
      </c>
      <c r="N1580" s="1457" t="str">
        <f>IF($G1580=0,"",IFERROR(_xll.ciqfunctions.udf.CIQ($G1580,$I1580,N$1557,Valuation_Date_GC,ReportType,DataMode),"n/a"))</f>
        <v/>
      </c>
      <c r="O1580" s="1457" t="str">
        <f>IF($G1580=0,"",IFERROR(_xll.ciqfunctions.udf.CIQ($G1580,$I1580,O$1557,Valuation_Date_GC,ReportType,DataMode),"n/a"))</f>
        <v/>
      </c>
      <c r="P1580" s="1457" t="str">
        <f>IF($G1580=0,"",IFERROR(_xll.ciqfunctions.udf.CIQ($G1580,$I1580,P$1557,Valuation_Date_GC,ReportType,DataMode),"n/a"))</f>
        <v/>
      </c>
      <c r="Q1580" s="1457" t="str">
        <f>IF($G1580=0,"",IFERROR(_xll.ciqfunctions.udf.CIQ($G1580,$I1580,Q$1557,Valuation_Date_GC,ReportType,DataMode),"n/a"))</f>
        <v/>
      </c>
      <c r="R1580" s="1457" t="str">
        <f>IF($G1580=0,"",IFERROR(_xll.ciqfunctions.udf.CIQ($G1580,$I1580,R$1557,Valuation_Date_GC,ReportType,DataMode),"n/a"))</f>
        <v/>
      </c>
      <c r="S1580" s="1457" t="str">
        <f>IF($G1580=0,"",IFERROR(_xll.ciqfunctions.udf.CIQ($G1580,$I1580,S$1557,Valuation_Date_GC,ReportType,DataMode),"n/a"))</f>
        <v/>
      </c>
      <c r="T1580" s="1457" t="str">
        <f>IF($G1580=0,"",IFERROR(_xll.ciqfunctions.udf.CIQ($G1580,$I1580,T$1557,Valuation_Date_GC,ReportType,DataMode),"n/a"))</f>
        <v/>
      </c>
      <c r="U1580" s="1457" t="str">
        <f>IF($G1580=0,"",IFERROR(_xll.ciqfunctions.udf.CIQ($G1580,$I1580,U$1557,Valuation_Date_GC,ReportType,DataMode),"n/a"))</f>
        <v/>
      </c>
      <c r="V1580" s="1457" t="str">
        <f>IF($G1580=0,"",IFERROR(_xll.ciqfunctions.udf.CIQ($G1580,$I1580,V$1557,Valuation_Date_GC,ReportType,DataMode),"n/a"))</f>
        <v/>
      </c>
      <c r="W1580" s="1479"/>
      <c r="X1580" s="255"/>
      <c r="Y1580" s="255"/>
      <c r="Z1580" s="2060"/>
      <c r="AA1580" s="2060"/>
      <c r="AB1580" s="2060"/>
      <c r="AC1580" s="2060"/>
      <c r="AD1580" s="2060"/>
      <c r="AE1580" s="2060"/>
      <c r="AF1580" s="2060"/>
      <c r="AG1580" s="2060"/>
      <c r="AH1580" s="2060"/>
      <c r="AI1580" s="2060"/>
      <c r="AJ1580" s="2060"/>
      <c r="AK1580" s="2060"/>
      <c r="AL1580" s="2060"/>
      <c r="AM1580" s="2060"/>
      <c r="AN1580" s="2060"/>
      <c r="AO1580" s="2060"/>
      <c r="AP1580" s="2060"/>
      <c r="AQ1580" s="2060"/>
      <c r="AR1580" s="2060"/>
      <c r="AS1580" s="2060"/>
      <c r="AT1580" s="2060"/>
      <c r="AU1580" s="2060"/>
      <c r="AV1580" s="2060"/>
      <c r="AW1580" s="2060"/>
      <c r="AX1580" s="2060"/>
      <c r="AY1580" s="2060"/>
      <c r="AZ1580" s="2060"/>
      <c r="BA1580" s="2060"/>
      <c r="BB1580" s="2060"/>
      <c r="BC1580" s="2060"/>
      <c r="BD1580" s="2060"/>
      <c r="BE1580" s="2060"/>
      <c r="BF1580" s="2060"/>
      <c r="BG1580" s="2060"/>
      <c r="BH1580" s="2060"/>
      <c r="BI1580" s="2060"/>
      <c r="BJ1580" s="2060"/>
      <c r="BK1580" s="2060"/>
      <c r="BL1580" s="2060"/>
      <c r="BM1580" s="2060"/>
      <c r="BN1580" s="2060"/>
      <c r="BO1580" s="2060"/>
      <c r="BP1580" s="2060"/>
      <c r="BQ1580" s="2060"/>
      <c r="BR1580" s="2060"/>
      <c r="BS1580" s="2060"/>
      <c r="BT1580" s="2060"/>
      <c r="BU1580" s="2060"/>
      <c r="BV1580" s="2060"/>
      <c r="BW1580" s="2060"/>
      <c r="BX1580" s="2060"/>
      <c r="BY1580" s="2060"/>
      <c r="BZ1580" s="2060"/>
      <c r="CA1580" s="2060"/>
      <c r="CB1580" s="2060"/>
      <c r="CC1580" s="2060"/>
      <c r="CD1580" s="2060"/>
      <c r="CE1580" s="2060"/>
      <c r="CF1580" s="2060"/>
      <c r="CG1580" s="2060"/>
      <c r="CH1580" s="2060"/>
      <c r="CI1580" s="2060"/>
      <c r="CJ1580" s="2060"/>
      <c r="CK1580" s="2060"/>
      <c r="CL1580" s="2060"/>
      <c r="CM1580" s="2060"/>
      <c r="CN1580" s="2060"/>
      <c r="CO1580" s="2060"/>
      <c r="CP1580" s="2060"/>
      <c r="CQ1580" s="2060"/>
      <c r="CR1580" s="2060"/>
      <c r="CS1580" s="2060"/>
      <c r="CT1580" s="2060"/>
      <c r="CU1580" s="2060"/>
      <c r="CV1580" s="2060"/>
      <c r="CW1580" s="2060"/>
      <c r="CX1580" s="2060"/>
      <c r="CY1580" s="2060"/>
      <c r="CZ1580" s="2060"/>
      <c r="DA1580" s="2060"/>
      <c r="DB1580" s="2060"/>
      <c r="DC1580" s="2060"/>
      <c r="DD1580" s="2060"/>
      <c r="DE1580" s="2060"/>
      <c r="DF1580" s="2060"/>
      <c r="DG1580" s="2060"/>
      <c r="DH1580" s="2060"/>
      <c r="DI1580" s="2060"/>
      <c r="DJ1580" s="2060"/>
      <c r="DK1580" s="2060"/>
      <c r="DL1580" s="2060"/>
      <c r="DM1580" s="2060"/>
      <c r="DN1580" s="2060"/>
      <c r="DO1580" s="2060"/>
      <c r="DP1580" s="2060"/>
      <c r="DQ1580" s="2060"/>
      <c r="DR1580" s="2060"/>
      <c r="DS1580" s="2060"/>
      <c r="DT1580" s="2060"/>
      <c r="DU1580" s="2060"/>
      <c r="DV1580" s="2060"/>
      <c r="DW1580" s="2060"/>
      <c r="DX1580" s="2060"/>
      <c r="DY1580" s="2060"/>
      <c r="DZ1580" s="2060"/>
      <c r="EA1580" s="2060"/>
      <c r="EB1580" s="2060"/>
      <c r="EC1580" s="2060"/>
      <c r="ED1580" s="2060"/>
      <c r="EE1580" s="2060"/>
      <c r="EF1580" s="2060"/>
      <c r="EG1580" s="2060"/>
      <c r="EH1580" s="2060"/>
      <c r="EI1580" s="2060"/>
      <c r="EJ1580" s="2060"/>
      <c r="EK1580" s="2060"/>
      <c r="EL1580" s="2060"/>
      <c r="EM1580" s="2060"/>
      <c r="EN1580" s="2060"/>
      <c r="EO1580" s="2060"/>
      <c r="EP1580" s="2060"/>
      <c r="EQ1580" s="2060"/>
      <c r="ER1580" s="2060"/>
      <c r="ES1580" s="2060"/>
      <c r="ET1580" s="2060"/>
      <c r="EU1580" s="2060"/>
      <c r="EV1580" s="2060"/>
      <c r="EW1580" s="2060"/>
      <c r="EX1580" s="2060"/>
      <c r="EY1580" s="2060"/>
      <c r="EZ1580" s="2060"/>
      <c r="FA1580" s="2060"/>
      <c r="FB1580" s="2060"/>
      <c r="FC1580" s="2060"/>
      <c r="FD1580" s="2060"/>
      <c r="FE1580" s="2060"/>
      <c r="FF1580" s="2060"/>
      <c r="FG1580" s="2060"/>
      <c r="FH1580" s="2060"/>
      <c r="FI1580" s="2060"/>
      <c r="FJ1580" s="2060"/>
      <c r="FK1580" s="2060"/>
      <c r="FL1580" s="2060"/>
      <c r="FM1580" s="2060"/>
      <c r="FN1580" s="2060"/>
      <c r="FO1580" s="2060"/>
      <c r="FP1580" s="2060"/>
      <c r="FQ1580" s="2060"/>
      <c r="FR1580" s="2060"/>
      <c r="FS1580" s="2060"/>
      <c r="FT1580" s="2060"/>
      <c r="FU1580" s="2060"/>
      <c r="FV1580" s="2060"/>
      <c r="FW1580" s="2060"/>
      <c r="FX1580" s="2060"/>
      <c r="FY1580" s="2060"/>
      <c r="FZ1580" s="2060"/>
      <c r="GA1580" s="2060"/>
      <c r="GB1580" s="2060"/>
      <c r="GC1580" s="2060"/>
      <c r="GD1580" s="2060"/>
      <c r="GE1580" s="2060"/>
      <c r="GF1580" s="2060"/>
      <c r="GG1580" s="2060"/>
      <c r="GH1580" s="2060"/>
      <c r="GI1580" s="2060"/>
      <c r="GJ1580" s="2060"/>
      <c r="GK1580" s="2060"/>
      <c r="GL1580" s="2060"/>
      <c r="GM1580" s="2060"/>
      <c r="GN1580" s="2060"/>
      <c r="GO1580" s="2060"/>
      <c r="GP1580" s="2060"/>
      <c r="GQ1580" s="2060"/>
      <c r="GR1580" s="2060"/>
      <c r="GS1580" s="2060"/>
      <c r="GT1580" s="2060"/>
      <c r="GU1580" s="2060"/>
      <c r="GV1580" s="2060"/>
      <c r="GW1580" s="2060"/>
      <c r="GX1580" s="2060"/>
      <c r="GY1580" s="2060"/>
      <c r="GZ1580" s="2060"/>
      <c r="HA1580" s="2060"/>
      <c r="HB1580" s="2060"/>
      <c r="HC1580" s="2060"/>
      <c r="HD1580" s="2060"/>
      <c r="HE1580" s="2060"/>
      <c r="HF1580" s="2060"/>
      <c r="HG1580" s="2060"/>
      <c r="HH1580" s="2060"/>
      <c r="HI1580" s="2060"/>
      <c r="HJ1580" s="2060"/>
      <c r="HK1580" s="2060"/>
      <c r="HL1580" s="2060"/>
      <c r="HM1580" s="2060"/>
      <c r="HN1580" s="2060"/>
      <c r="HO1580" s="2060"/>
      <c r="HP1580" s="2060"/>
      <c r="HQ1580" s="2060"/>
      <c r="HR1580" s="2060"/>
      <c r="HS1580" s="2060"/>
      <c r="HT1580" s="2060"/>
      <c r="HU1580" s="2060"/>
      <c r="HV1580" s="2060"/>
      <c r="HW1580" s="2060"/>
      <c r="HX1580" s="2060"/>
      <c r="HY1580" s="2060"/>
      <c r="HZ1580" s="2060"/>
      <c r="IA1580" s="2060"/>
      <c r="IB1580" s="2060"/>
      <c r="IC1580" s="2060"/>
      <c r="ID1580" s="2060"/>
      <c r="IE1580" s="2060"/>
      <c r="IF1580" s="2060"/>
      <c r="IG1580" s="2060"/>
      <c r="IH1580" s="2060"/>
      <c r="II1580" s="2060"/>
      <c r="IJ1580" s="2060"/>
      <c r="IK1580" s="2060"/>
      <c r="IL1580" s="2060"/>
      <c r="IM1580" s="2060"/>
      <c r="IN1580" s="2060"/>
      <c r="IO1580" s="2060"/>
      <c r="IP1580" s="2060"/>
      <c r="IQ1580" s="2060"/>
      <c r="IR1580" s="2060"/>
      <c r="IS1580" s="2060"/>
      <c r="IT1580" s="2060"/>
      <c r="IU1580" s="2060"/>
      <c r="IV1580" s="2060"/>
      <c r="IW1580" s="2060"/>
      <c r="IX1580" s="2060"/>
      <c r="IY1580" s="2060"/>
      <c r="IZ1580" s="2060"/>
      <c r="JA1580" s="2060"/>
      <c r="JB1580" s="2060"/>
      <c r="JC1580" s="2060"/>
      <c r="JD1580" s="2060"/>
      <c r="JE1580" s="2060"/>
      <c r="JF1580" s="2060"/>
      <c r="JG1580" s="2060"/>
      <c r="JH1580" s="2060"/>
      <c r="JI1580" s="2060"/>
      <c r="JJ1580" s="2060"/>
      <c r="JK1580" s="2060"/>
      <c r="JL1580" s="2060"/>
      <c r="JM1580" s="2060"/>
      <c r="JN1580" s="2060"/>
      <c r="JO1580" s="2060"/>
      <c r="JP1580" s="2060"/>
      <c r="JQ1580" s="2060"/>
      <c r="JR1580" s="2060"/>
      <c r="JS1580" s="2060"/>
      <c r="JT1580" s="2060"/>
      <c r="JU1580" s="2060"/>
      <c r="JV1580" s="2060"/>
      <c r="JW1580" s="2060"/>
      <c r="JX1580" s="2060"/>
      <c r="JY1580" s="2060"/>
      <c r="JZ1580" s="2060"/>
      <c r="KA1580" s="2060"/>
      <c r="KB1580" s="2060"/>
      <c r="KC1580" s="2060"/>
      <c r="KD1580" s="2060"/>
      <c r="KE1580" s="2060"/>
      <c r="KF1580" s="2060"/>
      <c r="KG1580" s="2060"/>
      <c r="KH1580" s="2060"/>
      <c r="KI1580" s="2060"/>
      <c r="KJ1580" s="2060"/>
      <c r="KK1580" s="2060"/>
      <c r="KL1580" s="2060"/>
      <c r="KM1580" s="2060"/>
      <c r="KN1580" s="2060"/>
      <c r="KO1580" s="2060"/>
      <c r="KP1580" s="2060"/>
      <c r="KQ1580" s="2060"/>
      <c r="KR1580" s="2060"/>
      <c r="KS1580" s="2060"/>
      <c r="KT1580" s="2060"/>
      <c r="KU1580" s="2060"/>
      <c r="KV1580" s="2060"/>
      <c r="KW1580" s="2060"/>
      <c r="KX1580" s="2060"/>
      <c r="KY1580" s="2060"/>
      <c r="KZ1580" s="2060"/>
      <c r="LA1580" s="2060"/>
      <c r="LB1580" s="2060"/>
      <c r="LC1580" s="2060"/>
      <c r="LD1580" s="2060"/>
      <c r="LE1580" s="2060"/>
      <c r="LF1580" s="2060"/>
      <c r="LG1580" s="2060"/>
      <c r="LH1580" s="2060"/>
    </row>
    <row r="1581" spans="1:320" s="1499" customFormat="1" ht="13.9">
      <c r="A1581" s="269" t="str">
        <f t="shared" si="439"/>
        <v>n</v>
      </c>
      <c r="B1581" s="2060"/>
      <c r="C1581" s="2060"/>
      <c r="D1581" s="2060"/>
      <c r="E1581" s="1661">
        <v>22</v>
      </c>
      <c r="F1581" s="1353" t="str">
        <f>F$150</f>
        <v>--</v>
      </c>
      <c r="G1581" s="1349">
        <f>G$150</f>
        <v>0</v>
      </c>
      <c r="H1581" s="1349"/>
      <c r="I1581" s="89" t="s">
        <v>850</v>
      </c>
      <c r="J1581" s="1457" t="str">
        <f>IF($G1581=0,"",IFERROR(_xll.ciqfunctions.udf.CIQ($G1581,$I1581,J$1557,Valuation_Date_GC,ReportType,DataMode),"n/a"))</f>
        <v/>
      </c>
      <c r="K1581" s="1457" t="str">
        <f>IF($G1581=0,"",IFERROR(_xll.ciqfunctions.udf.CIQ($G1581,$I1581,K$1557,Valuation_Date_GC,ReportType,DataMode),"n/a"))</f>
        <v/>
      </c>
      <c r="L1581" s="1457" t="str">
        <f>IF($G1581=0,"",IFERROR(_xll.ciqfunctions.udf.CIQ($G1581,$I1581,L$1557,Valuation_Date_GC,ReportType,DataMode),"n/a"))</f>
        <v/>
      </c>
      <c r="M1581" s="1457" t="str">
        <f>IF($G1581=0,"",IFERROR(_xll.ciqfunctions.udf.CIQ($G1581,$I1581,M$1557,Valuation_Date_GC,ReportType,DataMode),"n/a"))</f>
        <v/>
      </c>
      <c r="N1581" s="1457" t="str">
        <f>IF($G1581=0,"",IFERROR(_xll.ciqfunctions.udf.CIQ($G1581,$I1581,N$1557,Valuation_Date_GC,ReportType,DataMode),"n/a"))</f>
        <v/>
      </c>
      <c r="O1581" s="1457" t="str">
        <f>IF($G1581=0,"",IFERROR(_xll.ciqfunctions.udf.CIQ($G1581,$I1581,O$1557,Valuation_Date_GC,ReportType,DataMode),"n/a"))</f>
        <v/>
      </c>
      <c r="P1581" s="1457" t="str">
        <f>IF($G1581=0,"",IFERROR(_xll.ciqfunctions.udf.CIQ($G1581,$I1581,P$1557,Valuation_Date_GC,ReportType,DataMode),"n/a"))</f>
        <v/>
      </c>
      <c r="Q1581" s="1457" t="str">
        <f>IF($G1581=0,"",IFERROR(_xll.ciqfunctions.udf.CIQ($G1581,$I1581,Q$1557,Valuation_Date_GC,ReportType,DataMode),"n/a"))</f>
        <v/>
      </c>
      <c r="R1581" s="1457" t="str">
        <f>IF($G1581=0,"",IFERROR(_xll.ciqfunctions.udf.CIQ($G1581,$I1581,R$1557,Valuation_Date_GC,ReportType,DataMode),"n/a"))</f>
        <v/>
      </c>
      <c r="S1581" s="1457" t="str">
        <f>IF($G1581=0,"",IFERROR(_xll.ciqfunctions.udf.CIQ($G1581,$I1581,S$1557,Valuation_Date_GC,ReportType,DataMode),"n/a"))</f>
        <v/>
      </c>
      <c r="T1581" s="1457" t="str">
        <f>IF($G1581=0,"",IFERROR(_xll.ciqfunctions.udf.CIQ($G1581,$I1581,T$1557,Valuation_Date_GC,ReportType,DataMode),"n/a"))</f>
        <v/>
      </c>
      <c r="U1581" s="1457" t="str">
        <f>IF($G1581=0,"",IFERROR(_xll.ciqfunctions.udf.CIQ($G1581,$I1581,U$1557,Valuation_Date_GC,ReportType,DataMode),"n/a"))</f>
        <v/>
      </c>
      <c r="V1581" s="1457" t="str">
        <f>IF($G1581=0,"",IFERROR(_xll.ciqfunctions.udf.CIQ($G1581,$I1581,V$1557,Valuation_Date_GC,ReportType,DataMode),"n/a"))</f>
        <v/>
      </c>
      <c r="W1581" s="1479"/>
      <c r="X1581" s="255"/>
      <c r="Y1581" s="255"/>
      <c r="Z1581" s="2060"/>
      <c r="AA1581" s="2060"/>
      <c r="AB1581" s="2060"/>
      <c r="AC1581" s="2060"/>
      <c r="AD1581" s="2060"/>
      <c r="AE1581" s="2060"/>
      <c r="AF1581" s="2060"/>
      <c r="AG1581" s="2060"/>
      <c r="AH1581" s="2060"/>
      <c r="AI1581" s="2060"/>
      <c r="AJ1581" s="2060"/>
      <c r="AK1581" s="2060"/>
      <c r="AL1581" s="2060"/>
      <c r="AM1581" s="2060"/>
      <c r="AN1581" s="2060"/>
      <c r="AO1581" s="2060"/>
      <c r="AP1581" s="2060"/>
      <c r="AQ1581" s="2060"/>
      <c r="AR1581" s="2060"/>
      <c r="AS1581" s="2060"/>
      <c r="AT1581" s="2060"/>
      <c r="AU1581" s="2060"/>
      <c r="AV1581" s="2060"/>
      <c r="AW1581" s="2060"/>
      <c r="AX1581" s="2060"/>
      <c r="AY1581" s="2060"/>
      <c r="AZ1581" s="2060"/>
      <c r="BA1581" s="2060"/>
      <c r="BB1581" s="2060"/>
      <c r="BC1581" s="2060"/>
      <c r="BD1581" s="2060"/>
      <c r="BE1581" s="2060"/>
      <c r="BF1581" s="2060"/>
      <c r="BG1581" s="2060"/>
      <c r="BH1581" s="2060"/>
      <c r="BI1581" s="2060"/>
      <c r="BJ1581" s="2060"/>
      <c r="BK1581" s="2060"/>
      <c r="BL1581" s="2060"/>
      <c r="BM1581" s="2060"/>
      <c r="BN1581" s="2060"/>
      <c r="BO1581" s="2060"/>
      <c r="BP1581" s="2060"/>
      <c r="BQ1581" s="2060"/>
      <c r="BR1581" s="2060"/>
      <c r="BS1581" s="2060"/>
      <c r="BT1581" s="2060"/>
      <c r="BU1581" s="2060"/>
      <c r="BV1581" s="2060"/>
      <c r="BW1581" s="2060"/>
      <c r="BX1581" s="2060"/>
      <c r="BY1581" s="2060"/>
      <c r="BZ1581" s="2060"/>
      <c r="CA1581" s="2060"/>
      <c r="CB1581" s="2060"/>
      <c r="CC1581" s="2060"/>
      <c r="CD1581" s="2060"/>
      <c r="CE1581" s="2060"/>
      <c r="CF1581" s="2060"/>
      <c r="CG1581" s="2060"/>
      <c r="CH1581" s="2060"/>
      <c r="CI1581" s="2060"/>
      <c r="CJ1581" s="2060"/>
      <c r="CK1581" s="2060"/>
      <c r="CL1581" s="2060"/>
      <c r="CM1581" s="2060"/>
      <c r="CN1581" s="2060"/>
      <c r="CO1581" s="2060"/>
      <c r="CP1581" s="2060"/>
      <c r="CQ1581" s="2060"/>
      <c r="CR1581" s="2060"/>
      <c r="CS1581" s="2060"/>
      <c r="CT1581" s="2060"/>
      <c r="CU1581" s="2060"/>
      <c r="CV1581" s="2060"/>
      <c r="CW1581" s="2060"/>
      <c r="CX1581" s="2060"/>
      <c r="CY1581" s="2060"/>
      <c r="CZ1581" s="2060"/>
      <c r="DA1581" s="2060"/>
      <c r="DB1581" s="2060"/>
      <c r="DC1581" s="2060"/>
      <c r="DD1581" s="2060"/>
      <c r="DE1581" s="2060"/>
      <c r="DF1581" s="2060"/>
      <c r="DG1581" s="2060"/>
      <c r="DH1581" s="2060"/>
      <c r="DI1581" s="2060"/>
      <c r="DJ1581" s="2060"/>
      <c r="DK1581" s="2060"/>
      <c r="DL1581" s="2060"/>
      <c r="DM1581" s="2060"/>
      <c r="DN1581" s="2060"/>
      <c r="DO1581" s="2060"/>
      <c r="DP1581" s="2060"/>
      <c r="DQ1581" s="2060"/>
      <c r="DR1581" s="2060"/>
      <c r="DS1581" s="2060"/>
      <c r="DT1581" s="2060"/>
      <c r="DU1581" s="2060"/>
      <c r="DV1581" s="2060"/>
      <c r="DW1581" s="2060"/>
      <c r="DX1581" s="2060"/>
      <c r="DY1581" s="2060"/>
      <c r="DZ1581" s="2060"/>
      <c r="EA1581" s="2060"/>
      <c r="EB1581" s="2060"/>
      <c r="EC1581" s="2060"/>
      <c r="ED1581" s="2060"/>
      <c r="EE1581" s="2060"/>
      <c r="EF1581" s="2060"/>
      <c r="EG1581" s="2060"/>
      <c r="EH1581" s="2060"/>
      <c r="EI1581" s="2060"/>
      <c r="EJ1581" s="2060"/>
      <c r="EK1581" s="2060"/>
      <c r="EL1581" s="2060"/>
      <c r="EM1581" s="2060"/>
      <c r="EN1581" s="2060"/>
      <c r="EO1581" s="2060"/>
      <c r="EP1581" s="2060"/>
      <c r="EQ1581" s="2060"/>
      <c r="ER1581" s="2060"/>
      <c r="ES1581" s="2060"/>
      <c r="ET1581" s="2060"/>
      <c r="EU1581" s="2060"/>
      <c r="EV1581" s="2060"/>
      <c r="EW1581" s="2060"/>
      <c r="EX1581" s="2060"/>
      <c r="EY1581" s="2060"/>
      <c r="EZ1581" s="2060"/>
      <c r="FA1581" s="2060"/>
      <c r="FB1581" s="2060"/>
      <c r="FC1581" s="2060"/>
      <c r="FD1581" s="2060"/>
      <c r="FE1581" s="2060"/>
      <c r="FF1581" s="2060"/>
      <c r="FG1581" s="2060"/>
      <c r="FH1581" s="2060"/>
      <c r="FI1581" s="2060"/>
      <c r="FJ1581" s="2060"/>
      <c r="FK1581" s="2060"/>
      <c r="FL1581" s="2060"/>
      <c r="FM1581" s="2060"/>
      <c r="FN1581" s="2060"/>
      <c r="FO1581" s="2060"/>
      <c r="FP1581" s="2060"/>
      <c r="FQ1581" s="2060"/>
      <c r="FR1581" s="2060"/>
      <c r="FS1581" s="2060"/>
      <c r="FT1581" s="2060"/>
      <c r="FU1581" s="2060"/>
      <c r="FV1581" s="2060"/>
      <c r="FW1581" s="2060"/>
      <c r="FX1581" s="2060"/>
      <c r="FY1581" s="2060"/>
      <c r="FZ1581" s="2060"/>
      <c r="GA1581" s="2060"/>
      <c r="GB1581" s="2060"/>
      <c r="GC1581" s="2060"/>
      <c r="GD1581" s="2060"/>
      <c r="GE1581" s="2060"/>
      <c r="GF1581" s="2060"/>
      <c r="GG1581" s="2060"/>
      <c r="GH1581" s="2060"/>
      <c r="GI1581" s="2060"/>
      <c r="GJ1581" s="2060"/>
      <c r="GK1581" s="2060"/>
      <c r="GL1581" s="2060"/>
      <c r="GM1581" s="2060"/>
      <c r="GN1581" s="2060"/>
      <c r="GO1581" s="2060"/>
      <c r="GP1581" s="2060"/>
      <c r="GQ1581" s="2060"/>
      <c r="GR1581" s="2060"/>
      <c r="GS1581" s="2060"/>
      <c r="GT1581" s="2060"/>
      <c r="GU1581" s="2060"/>
      <c r="GV1581" s="2060"/>
      <c r="GW1581" s="2060"/>
      <c r="GX1581" s="2060"/>
      <c r="GY1581" s="2060"/>
      <c r="GZ1581" s="2060"/>
      <c r="HA1581" s="2060"/>
      <c r="HB1581" s="2060"/>
      <c r="HC1581" s="2060"/>
      <c r="HD1581" s="2060"/>
      <c r="HE1581" s="2060"/>
      <c r="HF1581" s="2060"/>
      <c r="HG1581" s="2060"/>
      <c r="HH1581" s="2060"/>
      <c r="HI1581" s="2060"/>
      <c r="HJ1581" s="2060"/>
      <c r="HK1581" s="2060"/>
      <c r="HL1581" s="2060"/>
      <c r="HM1581" s="2060"/>
      <c r="HN1581" s="2060"/>
      <c r="HO1581" s="2060"/>
      <c r="HP1581" s="2060"/>
      <c r="HQ1581" s="2060"/>
      <c r="HR1581" s="2060"/>
      <c r="HS1581" s="2060"/>
      <c r="HT1581" s="2060"/>
      <c r="HU1581" s="2060"/>
      <c r="HV1581" s="2060"/>
      <c r="HW1581" s="2060"/>
      <c r="HX1581" s="2060"/>
      <c r="HY1581" s="2060"/>
      <c r="HZ1581" s="2060"/>
      <c r="IA1581" s="2060"/>
      <c r="IB1581" s="2060"/>
      <c r="IC1581" s="2060"/>
      <c r="ID1581" s="2060"/>
      <c r="IE1581" s="2060"/>
      <c r="IF1581" s="2060"/>
      <c r="IG1581" s="2060"/>
      <c r="IH1581" s="2060"/>
      <c r="II1581" s="2060"/>
      <c r="IJ1581" s="2060"/>
      <c r="IK1581" s="2060"/>
      <c r="IL1581" s="2060"/>
      <c r="IM1581" s="2060"/>
      <c r="IN1581" s="2060"/>
      <c r="IO1581" s="2060"/>
      <c r="IP1581" s="2060"/>
      <c r="IQ1581" s="2060"/>
      <c r="IR1581" s="2060"/>
      <c r="IS1581" s="2060"/>
      <c r="IT1581" s="2060"/>
      <c r="IU1581" s="2060"/>
      <c r="IV1581" s="2060"/>
      <c r="IW1581" s="2060"/>
      <c r="IX1581" s="2060"/>
      <c r="IY1581" s="2060"/>
      <c r="IZ1581" s="2060"/>
      <c r="JA1581" s="2060"/>
      <c r="JB1581" s="2060"/>
      <c r="JC1581" s="2060"/>
      <c r="JD1581" s="2060"/>
      <c r="JE1581" s="2060"/>
      <c r="JF1581" s="2060"/>
      <c r="JG1581" s="2060"/>
      <c r="JH1581" s="2060"/>
      <c r="JI1581" s="2060"/>
      <c r="JJ1581" s="2060"/>
      <c r="JK1581" s="2060"/>
      <c r="JL1581" s="2060"/>
      <c r="JM1581" s="2060"/>
      <c r="JN1581" s="2060"/>
      <c r="JO1581" s="2060"/>
      <c r="JP1581" s="2060"/>
      <c r="JQ1581" s="2060"/>
      <c r="JR1581" s="2060"/>
      <c r="JS1581" s="2060"/>
      <c r="JT1581" s="2060"/>
      <c r="JU1581" s="2060"/>
      <c r="JV1581" s="2060"/>
      <c r="JW1581" s="2060"/>
      <c r="JX1581" s="2060"/>
      <c r="JY1581" s="2060"/>
      <c r="JZ1581" s="2060"/>
      <c r="KA1581" s="2060"/>
      <c r="KB1581" s="2060"/>
      <c r="KC1581" s="2060"/>
      <c r="KD1581" s="2060"/>
      <c r="KE1581" s="2060"/>
      <c r="KF1581" s="2060"/>
      <c r="KG1581" s="2060"/>
      <c r="KH1581" s="2060"/>
      <c r="KI1581" s="2060"/>
      <c r="KJ1581" s="2060"/>
      <c r="KK1581" s="2060"/>
      <c r="KL1581" s="2060"/>
      <c r="KM1581" s="2060"/>
      <c r="KN1581" s="2060"/>
      <c r="KO1581" s="2060"/>
      <c r="KP1581" s="2060"/>
      <c r="KQ1581" s="2060"/>
      <c r="KR1581" s="2060"/>
      <c r="KS1581" s="2060"/>
      <c r="KT1581" s="2060"/>
      <c r="KU1581" s="2060"/>
      <c r="KV1581" s="2060"/>
      <c r="KW1581" s="2060"/>
      <c r="KX1581" s="2060"/>
      <c r="KY1581" s="2060"/>
      <c r="KZ1581" s="2060"/>
      <c r="LA1581" s="2060"/>
      <c r="LB1581" s="2060"/>
      <c r="LC1581" s="2060"/>
      <c r="LD1581" s="2060"/>
      <c r="LE1581" s="2060"/>
      <c r="LF1581" s="2060"/>
      <c r="LG1581" s="2060"/>
      <c r="LH1581" s="2060"/>
    </row>
    <row r="1582" spans="1:320" s="1499" customFormat="1" ht="13.9">
      <c r="A1582" s="269" t="str">
        <f t="shared" si="439"/>
        <v>n</v>
      </c>
      <c r="B1582" s="2060"/>
      <c r="C1582" s="2060"/>
      <c r="D1582" s="2060"/>
      <c r="E1582" s="1661">
        <v>23</v>
      </c>
      <c r="F1582" s="1353" t="str">
        <f>F$151</f>
        <v>--</v>
      </c>
      <c r="G1582" s="1349">
        <f>G$151</f>
        <v>0</v>
      </c>
      <c r="H1582" s="1349"/>
      <c r="I1582" s="89" t="s">
        <v>850</v>
      </c>
      <c r="J1582" s="1457" t="str">
        <f>IF($G1582=0,"",IFERROR(_xll.ciqfunctions.udf.CIQ($G1582,$I1582,J$1557,Valuation_Date_GC,ReportType,DataMode),"n/a"))</f>
        <v/>
      </c>
      <c r="K1582" s="1457" t="str">
        <f>IF($G1582=0,"",IFERROR(_xll.ciqfunctions.udf.CIQ($G1582,$I1582,K$1557,Valuation_Date_GC,ReportType,DataMode),"n/a"))</f>
        <v/>
      </c>
      <c r="L1582" s="1457" t="str">
        <f>IF($G1582=0,"",IFERROR(_xll.ciqfunctions.udf.CIQ($G1582,$I1582,L$1557,Valuation_Date_GC,ReportType,DataMode),"n/a"))</f>
        <v/>
      </c>
      <c r="M1582" s="1457" t="str">
        <f>IF($G1582=0,"",IFERROR(_xll.ciqfunctions.udf.CIQ($G1582,$I1582,M$1557,Valuation_Date_GC,ReportType,DataMode),"n/a"))</f>
        <v/>
      </c>
      <c r="N1582" s="1457" t="str">
        <f>IF($G1582=0,"",IFERROR(_xll.ciqfunctions.udf.CIQ($G1582,$I1582,N$1557,Valuation_Date_GC,ReportType,DataMode),"n/a"))</f>
        <v/>
      </c>
      <c r="O1582" s="1457" t="str">
        <f>IF($G1582=0,"",IFERROR(_xll.ciqfunctions.udf.CIQ($G1582,$I1582,O$1557,Valuation_Date_GC,ReportType,DataMode),"n/a"))</f>
        <v/>
      </c>
      <c r="P1582" s="1457" t="str">
        <f>IF($G1582=0,"",IFERROR(_xll.ciqfunctions.udf.CIQ($G1582,$I1582,P$1557,Valuation_Date_GC,ReportType,DataMode),"n/a"))</f>
        <v/>
      </c>
      <c r="Q1582" s="1457" t="str">
        <f>IF($G1582=0,"",IFERROR(_xll.ciqfunctions.udf.CIQ($G1582,$I1582,Q$1557,Valuation_Date_GC,ReportType,DataMode),"n/a"))</f>
        <v/>
      </c>
      <c r="R1582" s="1457" t="str">
        <f>IF($G1582=0,"",IFERROR(_xll.ciqfunctions.udf.CIQ($G1582,$I1582,R$1557,Valuation_Date_GC,ReportType,DataMode),"n/a"))</f>
        <v/>
      </c>
      <c r="S1582" s="1457" t="str">
        <f>IF($G1582=0,"",IFERROR(_xll.ciqfunctions.udf.CIQ($G1582,$I1582,S$1557,Valuation_Date_GC,ReportType,DataMode),"n/a"))</f>
        <v/>
      </c>
      <c r="T1582" s="1457" t="str">
        <f>IF($G1582=0,"",IFERROR(_xll.ciqfunctions.udf.CIQ($G1582,$I1582,T$1557,Valuation_Date_GC,ReportType,DataMode),"n/a"))</f>
        <v/>
      </c>
      <c r="U1582" s="1457" t="str">
        <f>IF($G1582=0,"",IFERROR(_xll.ciqfunctions.udf.CIQ($G1582,$I1582,U$1557,Valuation_Date_GC,ReportType,DataMode),"n/a"))</f>
        <v/>
      </c>
      <c r="V1582" s="1457" t="str">
        <f>IF($G1582=0,"",IFERROR(_xll.ciqfunctions.udf.CIQ($G1582,$I1582,V$1557,Valuation_Date_GC,ReportType,DataMode),"n/a"))</f>
        <v/>
      </c>
      <c r="W1582" s="1479"/>
      <c r="X1582" s="255"/>
      <c r="Y1582" s="255"/>
      <c r="Z1582" s="2060"/>
      <c r="AA1582" s="2060"/>
      <c r="AB1582" s="2060"/>
      <c r="AC1582" s="2060"/>
      <c r="AD1582" s="2060"/>
      <c r="AE1582" s="2060"/>
      <c r="AF1582" s="2060"/>
      <c r="AG1582" s="2060"/>
      <c r="AH1582" s="2060"/>
      <c r="AI1582" s="2060"/>
      <c r="AJ1582" s="2060"/>
      <c r="AK1582" s="2060"/>
      <c r="AL1582" s="2060"/>
      <c r="AM1582" s="2060"/>
      <c r="AN1582" s="2060"/>
      <c r="AO1582" s="2060"/>
      <c r="AP1582" s="2060"/>
      <c r="AQ1582" s="2060"/>
      <c r="AR1582" s="2060"/>
      <c r="AS1582" s="2060"/>
      <c r="AT1582" s="2060"/>
      <c r="AU1582" s="2060"/>
      <c r="AV1582" s="2060"/>
      <c r="AW1582" s="2060"/>
      <c r="AX1582" s="2060"/>
      <c r="AY1582" s="2060"/>
      <c r="AZ1582" s="2060"/>
      <c r="BA1582" s="2060"/>
      <c r="BB1582" s="2060"/>
      <c r="BC1582" s="2060"/>
      <c r="BD1582" s="2060"/>
      <c r="BE1582" s="2060"/>
      <c r="BF1582" s="2060"/>
      <c r="BG1582" s="2060"/>
      <c r="BH1582" s="2060"/>
      <c r="BI1582" s="2060"/>
      <c r="BJ1582" s="2060"/>
      <c r="BK1582" s="2060"/>
      <c r="BL1582" s="2060"/>
      <c r="BM1582" s="2060"/>
      <c r="BN1582" s="2060"/>
      <c r="BO1582" s="2060"/>
      <c r="BP1582" s="2060"/>
      <c r="BQ1582" s="2060"/>
      <c r="BR1582" s="2060"/>
      <c r="BS1582" s="2060"/>
      <c r="BT1582" s="2060"/>
      <c r="BU1582" s="2060"/>
      <c r="BV1582" s="2060"/>
      <c r="BW1582" s="2060"/>
      <c r="BX1582" s="2060"/>
      <c r="BY1582" s="2060"/>
      <c r="BZ1582" s="2060"/>
      <c r="CA1582" s="2060"/>
      <c r="CB1582" s="2060"/>
      <c r="CC1582" s="2060"/>
      <c r="CD1582" s="2060"/>
      <c r="CE1582" s="2060"/>
      <c r="CF1582" s="2060"/>
      <c r="CG1582" s="2060"/>
      <c r="CH1582" s="2060"/>
      <c r="CI1582" s="2060"/>
      <c r="CJ1582" s="2060"/>
      <c r="CK1582" s="2060"/>
      <c r="CL1582" s="2060"/>
      <c r="CM1582" s="2060"/>
      <c r="CN1582" s="2060"/>
      <c r="CO1582" s="2060"/>
      <c r="CP1582" s="2060"/>
      <c r="CQ1582" s="2060"/>
      <c r="CR1582" s="2060"/>
      <c r="CS1582" s="2060"/>
      <c r="CT1582" s="2060"/>
      <c r="CU1582" s="2060"/>
      <c r="CV1582" s="2060"/>
      <c r="CW1582" s="2060"/>
      <c r="CX1582" s="2060"/>
      <c r="CY1582" s="2060"/>
      <c r="CZ1582" s="2060"/>
      <c r="DA1582" s="2060"/>
      <c r="DB1582" s="2060"/>
      <c r="DC1582" s="2060"/>
      <c r="DD1582" s="2060"/>
      <c r="DE1582" s="2060"/>
      <c r="DF1582" s="2060"/>
      <c r="DG1582" s="2060"/>
      <c r="DH1582" s="2060"/>
      <c r="DI1582" s="2060"/>
      <c r="DJ1582" s="2060"/>
      <c r="DK1582" s="2060"/>
      <c r="DL1582" s="2060"/>
      <c r="DM1582" s="2060"/>
      <c r="DN1582" s="2060"/>
      <c r="DO1582" s="2060"/>
      <c r="DP1582" s="2060"/>
      <c r="DQ1582" s="2060"/>
      <c r="DR1582" s="2060"/>
      <c r="DS1582" s="2060"/>
      <c r="DT1582" s="2060"/>
      <c r="DU1582" s="2060"/>
      <c r="DV1582" s="2060"/>
      <c r="DW1582" s="2060"/>
      <c r="DX1582" s="2060"/>
      <c r="DY1582" s="2060"/>
      <c r="DZ1582" s="2060"/>
      <c r="EA1582" s="2060"/>
      <c r="EB1582" s="2060"/>
      <c r="EC1582" s="2060"/>
      <c r="ED1582" s="2060"/>
      <c r="EE1582" s="2060"/>
      <c r="EF1582" s="2060"/>
      <c r="EG1582" s="2060"/>
      <c r="EH1582" s="2060"/>
      <c r="EI1582" s="2060"/>
      <c r="EJ1582" s="2060"/>
      <c r="EK1582" s="2060"/>
      <c r="EL1582" s="2060"/>
      <c r="EM1582" s="2060"/>
      <c r="EN1582" s="2060"/>
      <c r="EO1582" s="2060"/>
      <c r="EP1582" s="2060"/>
      <c r="EQ1582" s="2060"/>
      <c r="ER1582" s="2060"/>
      <c r="ES1582" s="2060"/>
      <c r="ET1582" s="2060"/>
      <c r="EU1582" s="2060"/>
      <c r="EV1582" s="2060"/>
      <c r="EW1582" s="2060"/>
      <c r="EX1582" s="2060"/>
      <c r="EY1582" s="2060"/>
      <c r="EZ1582" s="2060"/>
      <c r="FA1582" s="2060"/>
      <c r="FB1582" s="2060"/>
      <c r="FC1582" s="2060"/>
      <c r="FD1582" s="2060"/>
      <c r="FE1582" s="2060"/>
      <c r="FF1582" s="2060"/>
      <c r="FG1582" s="2060"/>
      <c r="FH1582" s="2060"/>
      <c r="FI1582" s="2060"/>
      <c r="FJ1582" s="2060"/>
      <c r="FK1582" s="2060"/>
      <c r="FL1582" s="2060"/>
      <c r="FM1582" s="2060"/>
      <c r="FN1582" s="2060"/>
      <c r="FO1582" s="2060"/>
      <c r="FP1582" s="2060"/>
      <c r="FQ1582" s="2060"/>
      <c r="FR1582" s="2060"/>
      <c r="FS1582" s="2060"/>
      <c r="FT1582" s="2060"/>
      <c r="FU1582" s="2060"/>
      <c r="FV1582" s="2060"/>
      <c r="FW1582" s="2060"/>
      <c r="FX1582" s="2060"/>
      <c r="FY1582" s="2060"/>
      <c r="FZ1582" s="2060"/>
      <c r="GA1582" s="2060"/>
      <c r="GB1582" s="2060"/>
      <c r="GC1582" s="2060"/>
      <c r="GD1582" s="2060"/>
      <c r="GE1582" s="2060"/>
      <c r="GF1582" s="2060"/>
      <c r="GG1582" s="2060"/>
      <c r="GH1582" s="2060"/>
      <c r="GI1582" s="2060"/>
      <c r="GJ1582" s="2060"/>
      <c r="GK1582" s="2060"/>
      <c r="GL1582" s="2060"/>
      <c r="GM1582" s="2060"/>
      <c r="GN1582" s="2060"/>
      <c r="GO1582" s="2060"/>
      <c r="GP1582" s="2060"/>
      <c r="GQ1582" s="2060"/>
      <c r="GR1582" s="2060"/>
      <c r="GS1582" s="2060"/>
      <c r="GT1582" s="2060"/>
      <c r="GU1582" s="2060"/>
      <c r="GV1582" s="2060"/>
      <c r="GW1582" s="2060"/>
      <c r="GX1582" s="2060"/>
      <c r="GY1582" s="2060"/>
      <c r="GZ1582" s="2060"/>
      <c r="HA1582" s="2060"/>
      <c r="HB1582" s="2060"/>
      <c r="HC1582" s="2060"/>
      <c r="HD1582" s="2060"/>
      <c r="HE1582" s="2060"/>
      <c r="HF1582" s="2060"/>
      <c r="HG1582" s="2060"/>
      <c r="HH1582" s="2060"/>
      <c r="HI1582" s="2060"/>
      <c r="HJ1582" s="2060"/>
      <c r="HK1582" s="2060"/>
      <c r="HL1582" s="2060"/>
      <c r="HM1582" s="2060"/>
      <c r="HN1582" s="2060"/>
      <c r="HO1582" s="2060"/>
      <c r="HP1582" s="2060"/>
      <c r="HQ1582" s="2060"/>
      <c r="HR1582" s="2060"/>
      <c r="HS1582" s="2060"/>
      <c r="HT1582" s="2060"/>
      <c r="HU1582" s="2060"/>
      <c r="HV1582" s="2060"/>
      <c r="HW1582" s="2060"/>
      <c r="HX1582" s="2060"/>
      <c r="HY1582" s="2060"/>
      <c r="HZ1582" s="2060"/>
      <c r="IA1582" s="2060"/>
      <c r="IB1582" s="2060"/>
      <c r="IC1582" s="2060"/>
      <c r="ID1582" s="2060"/>
      <c r="IE1582" s="2060"/>
      <c r="IF1582" s="2060"/>
      <c r="IG1582" s="2060"/>
      <c r="IH1582" s="2060"/>
      <c r="II1582" s="2060"/>
      <c r="IJ1582" s="2060"/>
      <c r="IK1582" s="2060"/>
      <c r="IL1582" s="2060"/>
      <c r="IM1582" s="2060"/>
      <c r="IN1582" s="2060"/>
      <c r="IO1582" s="2060"/>
      <c r="IP1582" s="2060"/>
      <c r="IQ1582" s="2060"/>
      <c r="IR1582" s="2060"/>
      <c r="IS1582" s="2060"/>
      <c r="IT1582" s="2060"/>
      <c r="IU1582" s="2060"/>
      <c r="IV1582" s="2060"/>
      <c r="IW1582" s="2060"/>
      <c r="IX1582" s="2060"/>
      <c r="IY1582" s="2060"/>
      <c r="IZ1582" s="2060"/>
      <c r="JA1582" s="2060"/>
      <c r="JB1582" s="2060"/>
      <c r="JC1582" s="2060"/>
      <c r="JD1582" s="2060"/>
      <c r="JE1582" s="2060"/>
      <c r="JF1582" s="2060"/>
      <c r="JG1582" s="2060"/>
      <c r="JH1582" s="2060"/>
      <c r="JI1582" s="2060"/>
      <c r="JJ1582" s="2060"/>
      <c r="JK1582" s="2060"/>
      <c r="JL1582" s="2060"/>
      <c r="JM1582" s="2060"/>
      <c r="JN1582" s="2060"/>
      <c r="JO1582" s="2060"/>
      <c r="JP1582" s="2060"/>
      <c r="JQ1582" s="2060"/>
      <c r="JR1582" s="2060"/>
      <c r="JS1582" s="2060"/>
      <c r="JT1582" s="2060"/>
      <c r="JU1582" s="2060"/>
      <c r="JV1582" s="2060"/>
      <c r="JW1582" s="2060"/>
      <c r="JX1582" s="2060"/>
      <c r="JY1582" s="2060"/>
      <c r="JZ1582" s="2060"/>
      <c r="KA1582" s="2060"/>
      <c r="KB1582" s="2060"/>
      <c r="KC1582" s="2060"/>
      <c r="KD1582" s="2060"/>
      <c r="KE1582" s="2060"/>
      <c r="KF1582" s="2060"/>
      <c r="KG1582" s="2060"/>
      <c r="KH1582" s="2060"/>
      <c r="KI1582" s="2060"/>
      <c r="KJ1582" s="2060"/>
      <c r="KK1582" s="2060"/>
      <c r="KL1582" s="2060"/>
      <c r="KM1582" s="2060"/>
      <c r="KN1582" s="2060"/>
      <c r="KO1582" s="2060"/>
      <c r="KP1582" s="2060"/>
      <c r="KQ1582" s="2060"/>
      <c r="KR1582" s="2060"/>
      <c r="KS1582" s="2060"/>
      <c r="KT1582" s="2060"/>
      <c r="KU1582" s="2060"/>
      <c r="KV1582" s="2060"/>
      <c r="KW1582" s="2060"/>
      <c r="KX1582" s="2060"/>
      <c r="KY1582" s="2060"/>
      <c r="KZ1582" s="2060"/>
      <c r="LA1582" s="2060"/>
      <c r="LB1582" s="2060"/>
      <c r="LC1582" s="2060"/>
      <c r="LD1582" s="2060"/>
      <c r="LE1582" s="2060"/>
      <c r="LF1582" s="2060"/>
      <c r="LG1582" s="2060"/>
      <c r="LH1582" s="2060"/>
    </row>
    <row r="1583" spans="1:320" s="1499" customFormat="1" ht="13.9">
      <c r="A1583" s="269" t="str">
        <f t="shared" si="439"/>
        <v>n</v>
      </c>
      <c r="B1583" s="2060"/>
      <c r="C1583" s="2060"/>
      <c r="D1583" s="2060"/>
      <c r="E1583" s="1661">
        <v>24</v>
      </c>
      <c r="F1583" s="1353" t="str">
        <f>F$152</f>
        <v>--</v>
      </c>
      <c r="G1583" s="1349">
        <f>G$152</f>
        <v>0</v>
      </c>
      <c r="H1583" s="1349"/>
      <c r="I1583" s="89" t="s">
        <v>850</v>
      </c>
      <c r="J1583" s="1457" t="str">
        <f>IF($G1583=0,"",IFERROR(_xll.ciqfunctions.udf.CIQ($G1583,$I1583,J$1557,Valuation_Date_GC,ReportType,DataMode),"n/a"))</f>
        <v/>
      </c>
      <c r="K1583" s="1457" t="str">
        <f>IF($G1583=0,"",IFERROR(_xll.ciqfunctions.udf.CIQ($G1583,$I1583,K$1557,Valuation_Date_GC,ReportType,DataMode),"n/a"))</f>
        <v/>
      </c>
      <c r="L1583" s="1457" t="str">
        <f>IF($G1583=0,"",IFERROR(_xll.ciqfunctions.udf.CIQ($G1583,$I1583,L$1557,Valuation_Date_GC,ReportType,DataMode),"n/a"))</f>
        <v/>
      </c>
      <c r="M1583" s="1457" t="str">
        <f>IF($G1583=0,"",IFERROR(_xll.ciqfunctions.udf.CIQ($G1583,$I1583,M$1557,Valuation_Date_GC,ReportType,DataMode),"n/a"))</f>
        <v/>
      </c>
      <c r="N1583" s="1457" t="str">
        <f>IF($G1583=0,"",IFERROR(_xll.ciqfunctions.udf.CIQ($G1583,$I1583,N$1557,Valuation_Date_GC,ReportType,DataMode),"n/a"))</f>
        <v/>
      </c>
      <c r="O1583" s="1457" t="str">
        <f>IF($G1583=0,"",IFERROR(_xll.ciqfunctions.udf.CIQ($G1583,$I1583,O$1557,Valuation_Date_GC,ReportType,DataMode),"n/a"))</f>
        <v/>
      </c>
      <c r="P1583" s="1457" t="str">
        <f>IF($G1583=0,"",IFERROR(_xll.ciqfunctions.udf.CIQ($G1583,$I1583,P$1557,Valuation_Date_GC,ReportType,DataMode),"n/a"))</f>
        <v/>
      </c>
      <c r="Q1583" s="1457" t="str">
        <f>IF($G1583=0,"",IFERROR(_xll.ciqfunctions.udf.CIQ($G1583,$I1583,Q$1557,Valuation_Date_GC,ReportType,DataMode),"n/a"))</f>
        <v/>
      </c>
      <c r="R1583" s="1457" t="str">
        <f>IF($G1583=0,"",IFERROR(_xll.ciqfunctions.udf.CIQ($G1583,$I1583,R$1557,Valuation_Date_GC,ReportType,DataMode),"n/a"))</f>
        <v/>
      </c>
      <c r="S1583" s="1457" t="str">
        <f>IF($G1583=0,"",IFERROR(_xll.ciqfunctions.udf.CIQ($G1583,$I1583,S$1557,Valuation_Date_GC,ReportType,DataMode),"n/a"))</f>
        <v/>
      </c>
      <c r="T1583" s="1457" t="str">
        <f>IF($G1583=0,"",IFERROR(_xll.ciqfunctions.udf.CIQ($G1583,$I1583,T$1557,Valuation_Date_GC,ReportType,DataMode),"n/a"))</f>
        <v/>
      </c>
      <c r="U1583" s="1457" t="str">
        <f>IF($G1583=0,"",IFERROR(_xll.ciqfunctions.udf.CIQ($G1583,$I1583,U$1557,Valuation_Date_GC,ReportType,DataMode),"n/a"))</f>
        <v/>
      </c>
      <c r="V1583" s="1457" t="str">
        <f>IF($G1583=0,"",IFERROR(_xll.ciqfunctions.udf.CIQ($G1583,$I1583,V$1557,Valuation_Date_GC,ReportType,DataMode),"n/a"))</f>
        <v/>
      </c>
      <c r="W1583" s="1479"/>
      <c r="X1583" s="255"/>
      <c r="Y1583" s="255"/>
      <c r="Z1583" s="2060"/>
      <c r="AA1583" s="2060"/>
      <c r="AB1583" s="2060"/>
      <c r="AC1583" s="2060"/>
      <c r="AD1583" s="2060"/>
      <c r="AE1583" s="2060"/>
      <c r="AF1583" s="2060"/>
      <c r="AG1583" s="2060"/>
      <c r="AH1583" s="2060"/>
      <c r="AI1583" s="2060"/>
      <c r="AJ1583" s="2060"/>
      <c r="AK1583" s="2060"/>
      <c r="AL1583" s="2060"/>
      <c r="AM1583" s="2060"/>
      <c r="AN1583" s="2060"/>
      <c r="AO1583" s="2060"/>
      <c r="AP1583" s="2060"/>
      <c r="AQ1583" s="2060"/>
      <c r="AR1583" s="2060"/>
      <c r="AS1583" s="2060"/>
      <c r="AT1583" s="2060"/>
      <c r="AU1583" s="2060"/>
      <c r="AV1583" s="2060"/>
      <c r="AW1583" s="2060"/>
      <c r="AX1583" s="2060"/>
      <c r="AY1583" s="2060"/>
      <c r="AZ1583" s="2060"/>
      <c r="BA1583" s="2060"/>
      <c r="BB1583" s="2060"/>
      <c r="BC1583" s="2060"/>
      <c r="BD1583" s="2060"/>
      <c r="BE1583" s="2060"/>
      <c r="BF1583" s="2060"/>
      <c r="BG1583" s="2060"/>
      <c r="BH1583" s="2060"/>
      <c r="BI1583" s="2060"/>
      <c r="BJ1583" s="2060"/>
      <c r="BK1583" s="2060"/>
      <c r="BL1583" s="2060"/>
      <c r="BM1583" s="2060"/>
      <c r="BN1583" s="2060"/>
      <c r="BO1583" s="2060"/>
      <c r="BP1583" s="2060"/>
      <c r="BQ1583" s="2060"/>
      <c r="BR1583" s="2060"/>
      <c r="BS1583" s="2060"/>
      <c r="BT1583" s="2060"/>
      <c r="BU1583" s="2060"/>
      <c r="BV1583" s="2060"/>
      <c r="BW1583" s="2060"/>
      <c r="BX1583" s="2060"/>
      <c r="BY1583" s="2060"/>
      <c r="BZ1583" s="2060"/>
      <c r="CA1583" s="2060"/>
      <c r="CB1583" s="2060"/>
      <c r="CC1583" s="2060"/>
      <c r="CD1583" s="2060"/>
      <c r="CE1583" s="2060"/>
      <c r="CF1583" s="2060"/>
      <c r="CG1583" s="2060"/>
      <c r="CH1583" s="2060"/>
      <c r="CI1583" s="2060"/>
      <c r="CJ1583" s="2060"/>
      <c r="CK1583" s="2060"/>
      <c r="CL1583" s="2060"/>
      <c r="CM1583" s="2060"/>
      <c r="CN1583" s="2060"/>
      <c r="CO1583" s="2060"/>
      <c r="CP1583" s="2060"/>
      <c r="CQ1583" s="2060"/>
      <c r="CR1583" s="2060"/>
      <c r="CS1583" s="2060"/>
      <c r="CT1583" s="2060"/>
      <c r="CU1583" s="2060"/>
      <c r="CV1583" s="2060"/>
      <c r="CW1583" s="2060"/>
      <c r="CX1583" s="2060"/>
      <c r="CY1583" s="2060"/>
      <c r="CZ1583" s="2060"/>
      <c r="DA1583" s="2060"/>
      <c r="DB1583" s="2060"/>
      <c r="DC1583" s="2060"/>
      <c r="DD1583" s="2060"/>
      <c r="DE1583" s="2060"/>
      <c r="DF1583" s="2060"/>
      <c r="DG1583" s="2060"/>
      <c r="DH1583" s="2060"/>
      <c r="DI1583" s="2060"/>
      <c r="DJ1583" s="2060"/>
      <c r="DK1583" s="2060"/>
      <c r="DL1583" s="2060"/>
      <c r="DM1583" s="2060"/>
      <c r="DN1583" s="2060"/>
      <c r="DO1583" s="2060"/>
      <c r="DP1583" s="2060"/>
      <c r="DQ1583" s="2060"/>
      <c r="DR1583" s="2060"/>
      <c r="DS1583" s="2060"/>
      <c r="DT1583" s="2060"/>
      <c r="DU1583" s="2060"/>
      <c r="DV1583" s="2060"/>
      <c r="DW1583" s="2060"/>
      <c r="DX1583" s="2060"/>
      <c r="DY1583" s="2060"/>
      <c r="DZ1583" s="2060"/>
      <c r="EA1583" s="2060"/>
      <c r="EB1583" s="2060"/>
      <c r="EC1583" s="2060"/>
      <c r="ED1583" s="2060"/>
      <c r="EE1583" s="2060"/>
      <c r="EF1583" s="2060"/>
      <c r="EG1583" s="2060"/>
      <c r="EH1583" s="2060"/>
      <c r="EI1583" s="2060"/>
      <c r="EJ1583" s="2060"/>
      <c r="EK1583" s="2060"/>
      <c r="EL1583" s="2060"/>
      <c r="EM1583" s="2060"/>
      <c r="EN1583" s="2060"/>
      <c r="EO1583" s="2060"/>
      <c r="EP1583" s="2060"/>
      <c r="EQ1583" s="2060"/>
      <c r="ER1583" s="2060"/>
      <c r="ES1583" s="2060"/>
      <c r="ET1583" s="2060"/>
      <c r="EU1583" s="2060"/>
      <c r="EV1583" s="2060"/>
      <c r="EW1583" s="2060"/>
      <c r="EX1583" s="2060"/>
      <c r="EY1583" s="2060"/>
      <c r="EZ1583" s="2060"/>
      <c r="FA1583" s="2060"/>
      <c r="FB1583" s="2060"/>
      <c r="FC1583" s="2060"/>
      <c r="FD1583" s="2060"/>
      <c r="FE1583" s="2060"/>
      <c r="FF1583" s="2060"/>
      <c r="FG1583" s="2060"/>
      <c r="FH1583" s="2060"/>
      <c r="FI1583" s="2060"/>
      <c r="FJ1583" s="2060"/>
      <c r="FK1583" s="2060"/>
      <c r="FL1583" s="2060"/>
      <c r="FM1583" s="2060"/>
      <c r="FN1583" s="2060"/>
      <c r="FO1583" s="2060"/>
      <c r="FP1583" s="2060"/>
      <c r="FQ1583" s="2060"/>
      <c r="FR1583" s="2060"/>
      <c r="FS1583" s="2060"/>
      <c r="FT1583" s="2060"/>
      <c r="FU1583" s="2060"/>
      <c r="FV1583" s="2060"/>
      <c r="FW1583" s="2060"/>
      <c r="FX1583" s="2060"/>
      <c r="FY1583" s="2060"/>
      <c r="FZ1583" s="2060"/>
      <c r="GA1583" s="2060"/>
      <c r="GB1583" s="2060"/>
      <c r="GC1583" s="2060"/>
      <c r="GD1583" s="2060"/>
      <c r="GE1583" s="2060"/>
      <c r="GF1583" s="2060"/>
      <c r="GG1583" s="2060"/>
      <c r="GH1583" s="2060"/>
      <c r="GI1583" s="2060"/>
      <c r="GJ1583" s="2060"/>
      <c r="GK1583" s="2060"/>
      <c r="GL1583" s="2060"/>
      <c r="GM1583" s="2060"/>
      <c r="GN1583" s="2060"/>
      <c r="GO1583" s="2060"/>
      <c r="GP1583" s="2060"/>
      <c r="GQ1583" s="2060"/>
      <c r="GR1583" s="2060"/>
      <c r="GS1583" s="2060"/>
      <c r="GT1583" s="2060"/>
      <c r="GU1583" s="2060"/>
      <c r="GV1583" s="2060"/>
      <c r="GW1583" s="2060"/>
      <c r="GX1583" s="2060"/>
      <c r="GY1583" s="2060"/>
      <c r="GZ1583" s="2060"/>
      <c r="HA1583" s="2060"/>
      <c r="HB1583" s="2060"/>
      <c r="HC1583" s="2060"/>
      <c r="HD1583" s="2060"/>
      <c r="HE1583" s="2060"/>
      <c r="HF1583" s="2060"/>
      <c r="HG1583" s="2060"/>
      <c r="HH1583" s="2060"/>
      <c r="HI1583" s="2060"/>
      <c r="HJ1583" s="2060"/>
      <c r="HK1583" s="2060"/>
      <c r="HL1583" s="2060"/>
      <c r="HM1583" s="2060"/>
      <c r="HN1583" s="2060"/>
      <c r="HO1583" s="2060"/>
      <c r="HP1583" s="2060"/>
      <c r="HQ1583" s="2060"/>
      <c r="HR1583" s="2060"/>
      <c r="HS1583" s="2060"/>
      <c r="HT1583" s="2060"/>
      <c r="HU1583" s="2060"/>
      <c r="HV1583" s="2060"/>
      <c r="HW1583" s="2060"/>
      <c r="HX1583" s="2060"/>
      <c r="HY1583" s="2060"/>
      <c r="HZ1583" s="2060"/>
      <c r="IA1583" s="2060"/>
      <c r="IB1583" s="2060"/>
      <c r="IC1583" s="2060"/>
      <c r="ID1583" s="2060"/>
      <c r="IE1583" s="2060"/>
      <c r="IF1583" s="2060"/>
      <c r="IG1583" s="2060"/>
      <c r="IH1583" s="2060"/>
      <c r="II1583" s="2060"/>
      <c r="IJ1583" s="2060"/>
      <c r="IK1583" s="2060"/>
      <c r="IL1583" s="2060"/>
      <c r="IM1583" s="2060"/>
      <c r="IN1583" s="2060"/>
      <c r="IO1583" s="2060"/>
      <c r="IP1583" s="2060"/>
      <c r="IQ1583" s="2060"/>
      <c r="IR1583" s="2060"/>
      <c r="IS1583" s="2060"/>
      <c r="IT1583" s="2060"/>
      <c r="IU1583" s="2060"/>
      <c r="IV1583" s="2060"/>
      <c r="IW1583" s="2060"/>
      <c r="IX1583" s="2060"/>
      <c r="IY1583" s="2060"/>
      <c r="IZ1583" s="2060"/>
      <c r="JA1583" s="2060"/>
      <c r="JB1583" s="2060"/>
      <c r="JC1583" s="2060"/>
      <c r="JD1583" s="2060"/>
      <c r="JE1583" s="2060"/>
      <c r="JF1583" s="2060"/>
      <c r="JG1583" s="2060"/>
      <c r="JH1583" s="2060"/>
      <c r="JI1583" s="2060"/>
      <c r="JJ1583" s="2060"/>
      <c r="JK1583" s="2060"/>
      <c r="JL1583" s="2060"/>
      <c r="JM1583" s="2060"/>
      <c r="JN1583" s="2060"/>
      <c r="JO1583" s="2060"/>
      <c r="JP1583" s="2060"/>
      <c r="JQ1583" s="2060"/>
      <c r="JR1583" s="2060"/>
      <c r="JS1583" s="2060"/>
      <c r="JT1583" s="2060"/>
      <c r="JU1583" s="2060"/>
      <c r="JV1583" s="2060"/>
      <c r="JW1583" s="2060"/>
      <c r="JX1583" s="2060"/>
      <c r="JY1583" s="2060"/>
      <c r="JZ1583" s="2060"/>
      <c r="KA1583" s="2060"/>
      <c r="KB1583" s="2060"/>
      <c r="KC1583" s="2060"/>
      <c r="KD1583" s="2060"/>
      <c r="KE1583" s="2060"/>
      <c r="KF1583" s="2060"/>
      <c r="KG1583" s="2060"/>
      <c r="KH1583" s="2060"/>
      <c r="KI1583" s="2060"/>
      <c r="KJ1583" s="2060"/>
      <c r="KK1583" s="2060"/>
      <c r="KL1583" s="2060"/>
      <c r="KM1583" s="2060"/>
      <c r="KN1583" s="2060"/>
      <c r="KO1583" s="2060"/>
      <c r="KP1583" s="2060"/>
      <c r="KQ1583" s="2060"/>
      <c r="KR1583" s="2060"/>
      <c r="KS1583" s="2060"/>
      <c r="KT1583" s="2060"/>
      <c r="KU1583" s="2060"/>
      <c r="KV1583" s="2060"/>
      <c r="KW1583" s="2060"/>
      <c r="KX1583" s="2060"/>
      <c r="KY1583" s="2060"/>
      <c r="KZ1583" s="2060"/>
      <c r="LA1583" s="2060"/>
      <c r="LB1583" s="2060"/>
      <c r="LC1583" s="2060"/>
      <c r="LD1583" s="2060"/>
      <c r="LE1583" s="2060"/>
      <c r="LF1583" s="2060"/>
      <c r="LG1583" s="2060"/>
      <c r="LH1583" s="2060"/>
    </row>
    <row r="1584" spans="1:320" s="449" customFormat="1" ht="13.9">
      <c r="A1584" s="269" t="str">
        <f t="shared" si="439"/>
        <v>n</v>
      </c>
      <c r="B1584" s="2060"/>
      <c r="C1584" s="2060"/>
      <c r="D1584" s="2060"/>
      <c r="E1584" s="1661">
        <v>25</v>
      </c>
      <c r="F1584" s="1353" t="str">
        <f>F$153</f>
        <v>--</v>
      </c>
      <c r="G1584" s="1349">
        <f>G$153</f>
        <v>0</v>
      </c>
      <c r="H1584" s="1349"/>
      <c r="I1584" s="89" t="s">
        <v>850</v>
      </c>
      <c r="J1584" s="1457" t="str">
        <f>IF($G1584=0,"",IFERROR(_xll.ciqfunctions.udf.CIQ($G1584,$I1584,J$1557,Valuation_Date_GC,ReportType,DataMode),"n/a"))</f>
        <v/>
      </c>
      <c r="K1584" s="1457" t="str">
        <f>IF($G1584=0,"",IFERROR(_xll.ciqfunctions.udf.CIQ($G1584,$I1584,K$1557,Valuation_Date_GC,ReportType,DataMode),"n/a"))</f>
        <v/>
      </c>
      <c r="L1584" s="1457" t="str">
        <f>IF($G1584=0,"",IFERROR(_xll.ciqfunctions.udf.CIQ($G1584,$I1584,L$1557,Valuation_Date_GC,ReportType,DataMode),"n/a"))</f>
        <v/>
      </c>
      <c r="M1584" s="1457" t="str">
        <f>IF($G1584=0,"",IFERROR(_xll.ciqfunctions.udf.CIQ($G1584,$I1584,M$1557,Valuation_Date_GC,ReportType,DataMode),"n/a"))</f>
        <v/>
      </c>
      <c r="N1584" s="1457" t="str">
        <f>IF($G1584=0,"",IFERROR(_xll.ciqfunctions.udf.CIQ($G1584,$I1584,N$1557,Valuation_Date_GC,ReportType,DataMode),"n/a"))</f>
        <v/>
      </c>
      <c r="O1584" s="1457" t="str">
        <f>IF($G1584=0,"",IFERROR(_xll.ciqfunctions.udf.CIQ($G1584,$I1584,O$1557,Valuation_Date_GC,ReportType,DataMode),"n/a"))</f>
        <v/>
      </c>
      <c r="P1584" s="1457" t="str">
        <f>IF($G1584=0,"",IFERROR(_xll.ciqfunctions.udf.CIQ($G1584,$I1584,P$1557,Valuation_Date_GC,ReportType,DataMode),"n/a"))</f>
        <v/>
      </c>
      <c r="Q1584" s="1457" t="str">
        <f>IF($G1584=0,"",IFERROR(_xll.ciqfunctions.udf.CIQ($G1584,$I1584,Q$1557,Valuation_Date_GC,ReportType,DataMode),"n/a"))</f>
        <v/>
      </c>
      <c r="R1584" s="1457" t="str">
        <f>IF($G1584=0,"",IFERROR(_xll.ciqfunctions.udf.CIQ($G1584,$I1584,R$1557,Valuation_Date_GC,ReportType,DataMode),"n/a"))</f>
        <v/>
      </c>
      <c r="S1584" s="1457" t="str">
        <f>IF($G1584=0,"",IFERROR(_xll.ciqfunctions.udf.CIQ($G1584,$I1584,S$1557,Valuation_Date_GC,ReportType,DataMode),"n/a"))</f>
        <v/>
      </c>
      <c r="T1584" s="1457" t="str">
        <f>IF($G1584=0,"",IFERROR(_xll.ciqfunctions.udf.CIQ($G1584,$I1584,T$1557,Valuation_Date_GC,ReportType,DataMode),"n/a"))</f>
        <v/>
      </c>
      <c r="U1584" s="1457" t="str">
        <f>IF($G1584=0,"",IFERROR(_xll.ciqfunctions.udf.CIQ($G1584,$I1584,U$1557,Valuation_Date_GC,ReportType,DataMode),"n/a"))</f>
        <v/>
      </c>
      <c r="V1584" s="1457" t="str">
        <f>IF($G1584=0,"",IFERROR(_xll.ciqfunctions.udf.CIQ($G1584,$I1584,V$1557,Valuation_Date_GC,ReportType,DataMode),"n/a"))</f>
        <v/>
      </c>
      <c r="W1584" s="1479"/>
      <c r="X1584" s="255"/>
      <c r="Y1584" s="89"/>
      <c r="Z1584" s="2060"/>
      <c r="AA1584" s="2060"/>
      <c r="AB1584" s="2060"/>
      <c r="AC1584" s="2060"/>
      <c r="AD1584" s="2060"/>
      <c r="AE1584" s="2060"/>
      <c r="AF1584" s="2060"/>
      <c r="AG1584" s="2060"/>
      <c r="AH1584" s="2060"/>
      <c r="AI1584" s="2060"/>
      <c r="AJ1584" s="2060"/>
      <c r="AK1584" s="2060"/>
      <c r="AL1584" s="2060"/>
      <c r="AM1584" s="2060"/>
      <c r="AN1584" s="2060"/>
      <c r="AO1584" s="2060"/>
      <c r="AP1584" s="2060"/>
      <c r="AQ1584" s="2060"/>
      <c r="AR1584" s="2060"/>
      <c r="AS1584" s="2060"/>
      <c r="AT1584" s="2060"/>
      <c r="AU1584" s="2060"/>
      <c r="AV1584" s="2060"/>
      <c r="AW1584" s="2060"/>
      <c r="AX1584" s="2060"/>
      <c r="AY1584" s="2060"/>
      <c r="AZ1584" s="2060"/>
      <c r="BA1584" s="2060"/>
      <c r="BB1584" s="2060"/>
      <c r="BC1584" s="2060"/>
      <c r="BD1584" s="2060"/>
      <c r="BE1584" s="2060"/>
      <c r="BF1584" s="2060"/>
      <c r="BG1584" s="2060"/>
      <c r="BH1584" s="2060"/>
      <c r="BI1584" s="2060"/>
      <c r="BJ1584" s="2060"/>
      <c r="BK1584" s="2060"/>
      <c r="BL1584" s="2060"/>
      <c r="BM1584" s="2060"/>
      <c r="BN1584" s="2060"/>
      <c r="BO1584" s="2060"/>
      <c r="BP1584" s="2060"/>
      <c r="BQ1584" s="2060"/>
      <c r="BR1584" s="2060"/>
      <c r="BS1584" s="2060"/>
      <c r="BT1584" s="2060"/>
      <c r="BU1584" s="2060"/>
      <c r="BV1584" s="2060"/>
      <c r="BW1584" s="2060"/>
      <c r="BX1584" s="2060"/>
      <c r="BY1584" s="2060"/>
      <c r="BZ1584" s="2060"/>
      <c r="CA1584" s="2060"/>
      <c r="CB1584" s="2060"/>
      <c r="CC1584" s="2060"/>
      <c r="CD1584" s="2060"/>
      <c r="CE1584" s="2060"/>
      <c r="CF1584" s="2060"/>
      <c r="CG1584" s="2060"/>
      <c r="CH1584" s="2060"/>
      <c r="CI1584" s="2060"/>
      <c r="CJ1584" s="2060"/>
      <c r="CK1584" s="2060"/>
      <c r="CL1584" s="2060"/>
      <c r="CM1584" s="2060"/>
      <c r="CN1584" s="2060"/>
      <c r="CO1584" s="2060"/>
      <c r="CP1584" s="2060"/>
      <c r="CQ1584" s="2060"/>
      <c r="CR1584" s="2060"/>
      <c r="CS1584" s="2060"/>
      <c r="CT1584" s="2060"/>
      <c r="CU1584" s="2060"/>
      <c r="CV1584" s="2060"/>
      <c r="CW1584" s="2060"/>
      <c r="CX1584" s="2060"/>
      <c r="CY1584" s="2060"/>
      <c r="CZ1584" s="2060"/>
      <c r="DA1584" s="2060"/>
      <c r="DB1584" s="2060"/>
      <c r="DC1584" s="2060"/>
      <c r="DD1584" s="2060"/>
      <c r="DE1584" s="2060"/>
      <c r="DF1584" s="2060"/>
      <c r="DG1584" s="2060"/>
      <c r="DH1584" s="2060"/>
      <c r="DI1584" s="2060"/>
      <c r="DJ1584" s="2060"/>
      <c r="DK1584" s="2060"/>
      <c r="DL1584" s="2060"/>
      <c r="DM1584" s="2060"/>
      <c r="DN1584" s="2060"/>
      <c r="DO1584" s="2060"/>
      <c r="DP1584" s="2060"/>
      <c r="DQ1584" s="2060"/>
      <c r="DR1584" s="2060"/>
      <c r="DS1584" s="2060"/>
      <c r="DT1584" s="2060"/>
      <c r="DU1584" s="2060"/>
      <c r="DV1584" s="2060"/>
      <c r="DW1584" s="2060"/>
      <c r="DX1584" s="2060"/>
      <c r="DY1584" s="2060"/>
      <c r="DZ1584" s="2060"/>
      <c r="EA1584" s="2060"/>
      <c r="EB1584" s="2060"/>
      <c r="EC1584" s="2060"/>
      <c r="ED1584" s="2060"/>
      <c r="EE1584" s="2060"/>
      <c r="EF1584" s="2060"/>
      <c r="EG1584" s="2060"/>
      <c r="EH1584" s="2060"/>
      <c r="EI1584" s="2060"/>
      <c r="EJ1584" s="2060"/>
      <c r="EK1584" s="2060"/>
      <c r="EL1584" s="2060"/>
      <c r="EM1584" s="2060"/>
      <c r="EN1584" s="2060"/>
      <c r="EO1584" s="2060"/>
      <c r="EP1584" s="2060"/>
      <c r="EQ1584" s="2060"/>
      <c r="ER1584" s="2060"/>
      <c r="ES1584" s="2060"/>
      <c r="ET1584" s="2060"/>
      <c r="EU1584" s="2060"/>
      <c r="EV1584" s="2060"/>
      <c r="EW1584" s="2060"/>
      <c r="EX1584" s="2060"/>
      <c r="EY1584" s="2060"/>
      <c r="EZ1584" s="2060"/>
      <c r="FA1584" s="2060"/>
      <c r="FB1584" s="2060"/>
      <c r="FC1584" s="2060"/>
      <c r="FD1584" s="2060"/>
      <c r="FE1584" s="2060"/>
      <c r="FF1584" s="2060"/>
      <c r="FG1584" s="2060"/>
      <c r="FH1584" s="2060"/>
      <c r="FI1584" s="2060"/>
      <c r="FJ1584" s="2060"/>
      <c r="FK1584" s="2060"/>
      <c r="FL1584" s="2060"/>
      <c r="FM1584" s="2060"/>
      <c r="FN1584" s="2060"/>
      <c r="FO1584" s="2060"/>
      <c r="FP1584" s="2060"/>
      <c r="FQ1584" s="2060"/>
      <c r="FR1584" s="2060"/>
      <c r="FS1584" s="2060"/>
      <c r="FT1584" s="2060"/>
      <c r="FU1584" s="2060"/>
      <c r="FV1584" s="2060"/>
      <c r="FW1584" s="2060"/>
      <c r="FX1584" s="2060"/>
      <c r="FY1584" s="2060"/>
      <c r="FZ1584" s="2060"/>
      <c r="GA1584" s="2060"/>
      <c r="GB1584" s="2060"/>
      <c r="GC1584" s="2060"/>
      <c r="GD1584" s="2060"/>
      <c r="GE1584" s="2060"/>
      <c r="GF1584" s="2060"/>
      <c r="GG1584" s="2060"/>
      <c r="GH1584" s="2060"/>
      <c r="GI1584" s="2060"/>
      <c r="GJ1584" s="2060"/>
      <c r="GK1584" s="2060"/>
      <c r="GL1584" s="2060"/>
      <c r="GM1584" s="2060"/>
      <c r="GN1584" s="2060"/>
      <c r="GO1584" s="2060"/>
      <c r="GP1584" s="2060"/>
      <c r="GQ1584" s="2060"/>
      <c r="GR1584" s="2060"/>
      <c r="GS1584" s="2060"/>
      <c r="GT1584" s="2060"/>
      <c r="GU1584" s="2060"/>
      <c r="GV1584" s="2060"/>
      <c r="GW1584" s="2060"/>
      <c r="GX1584" s="2060"/>
      <c r="GY1584" s="2060"/>
      <c r="GZ1584" s="2060"/>
      <c r="HA1584" s="2060"/>
      <c r="HB1584" s="2060"/>
      <c r="HC1584" s="2060"/>
      <c r="HD1584" s="2060"/>
      <c r="HE1584" s="2060"/>
      <c r="HF1584" s="2060"/>
      <c r="HG1584" s="2060"/>
      <c r="HH1584" s="2060"/>
      <c r="HI1584" s="2060"/>
      <c r="HJ1584" s="2060"/>
      <c r="HK1584" s="2060"/>
      <c r="HL1584" s="2060"/>
      <c r="HM1584" s="2060"/>
      <c r="HN1584" s="2060"/>
      <c r="HO1584" s="2060"/>
      <c r="HP1584" s="2060"/>
      <c r="HQ1584" s="2060"/>
      <c r="HR1584" s="2060"/>
      <c r="HS1584" s="2060"/>
      <c r="HT1584" s="2060"/>
      <c r="HU1584" s="2060"/>
      <c r="HV1584" s="2060"/>
      <c r="HW1584" s="2060"/>
      <c r="HX1584" s="2060"/>
      <c r="HY1584" s="2060"/>
      <c r="HZ1584" s="2060"/>
      <c r="IA1584" s="2060"/>
      <c r="IB1584" s="2060"/>
      <c r="IC1584" s="2060"/>
      <c r="ID1584" s="2060"/>
      <c r="IE1584" s="2060"/>
      <c r="IF1584" s="2060"/>
      <c r="IG1584" s="2060"/>
      <c r="IH1584" s="2060"/>
      <c r="II1584" s="2060"/>
      <c r="IJ1584" s="2060"/>
      <c r="IK1584" s="2060"/>
      <c r="IL1584" s="2060"/>
      <c r="IM1584" s="2060"/>
      <c r="IN1584" s="2060"/>
      <c r="IO1584" s="2060"/>
      <c r="IP1584" s="2060"/>
      <c r="IQ1584" s="2060"/>
      <c r="IR1584" s="2060"/>
      <c r="IS1584" s="2060"/>
      <c r="IT1584" s="2060"/>
      <c r="IU1584" s="2060"/>
      <c r="IV1584" s="2060"/>
      <c r="IW1584" s="2060"/>
      <c r="IX1584" s="2060"/>
      <c r="IY1584" s="2060"/>
      <c r="IZ1584" s="2060"/>
      <c r="JA1584" s="2060"/>
      <c r="JB1584" s="2060"/>
      <c r="JC1584" s="2060"/>
      <c r="JD1584" s="2060"/>
      <c r="JE1584" s="2060"/>
      <c r="JF1584" s="2060"/>
      <c r="JG1584" s="2060"/>
      <c r="JH1584" s="2060"/>
      <c r="JI1584" s="2060"/>
      <c r="JJ1584" s="2060"/>
      <c r="JK1584" s="2060"/>
      <c r="JL1584" s="2060"/>
      <c r="JM1584" s="2060"/>
      <c r="JN1584" s="2060"/>
      <c r="JO1584" s="2060"/>
      <c r="JP1584" s="2060"/>
      <c r="JQ1584" s="2060"/>
      <c r="JR1584" s="2060"/>
      <c r="JS1584" s="2060"/>
      <c r="JT1584" s="2060"/>
      <c r="JU1584" s="2060"/>
      <c r="JV1584" s="2060"/>
      <c r="JW1584" s="2060"/>
      <c r="JX1584" s="2060"/>
      <c r="JY1584" s="2060"/>
      <c r="JZ1584" s="2060"/>
      <c r="KA1584" s="2060"/>
      <c r="KB1584" s="2060"/>
      <c r="KC1584" s="2060"/>
      <c r="KD1584" s="2060"/>
      <c r="KE1584" s="2060"/>
      <c r="KF1584" s="2060"/>
      <c r="KG1584" s="2060"/>
      <c r="KH1584" s="2060"/>
      <c r="KI1584" s="2060"/>
      <c r="KJ1584" s="2060"/>
      <c r="KK1584" s="2060"/>
      <c r="KL1584" s="2060"/>
      <c r="KM1584" s="2060"/>
      <c r="KN1584" s="2060"/>
      <c r="KO1584" s="2060"/>
      <c r="KP1584" s="2060"/>
      <c r="KQ1584" s="2060"/>
      <c r="KR1584" s="2060"/>
      <c r="KS1584" s="2060"/>
      <c r="KT1584" s="2060"/>
      <c r="KU1584" s="2060"/>
      <c r="KV1584" s="2060"/>
      <c r="KW1584" s="2060"/>
      <c r="KX1584" s="2060"/>
      <c r="KY1584" s="2060"/>
      <c r="KZ1584" s="2060"/>
      <c r="LA1584" s="2060"/>
      <c r="LB1584" s="2060"/>
      <c r="LC1584" s="2060"/>
      <c r="LD1584" s="2060"/>
      <c r="LE1584" s="2060"/>
      <c r="LF1584" s="2060"/>
      <c r="LG1584" s="2060"/>
      <c r="LH1584" s="2060"/>
    </row>
    <row r="1585" spans="1:320" s="449" customFormat="1" ht="13.9">
      <c r="A1585" s="2060"/>
      <c r="B1585" s="2060"/>
      <c r="C1585" s="89"/>
      <c r="D1585" s="2060"/>
      <c r="E1585" s="505"/>
      <c r="F1585" s="21"/>
      <c r="G1585" s="89"/>
      <c r="H1585" s="89"/>
      <c r="I1585" s="89"/>
      <c r="J1585" s="89"/>
      <c r="K1585" s="89"/>
      <c r="L1585" s="89"/>
      <c r="M1585" s="89"/>
      <c r="N1585" s="89"/>
      <c r="O1585" s="89"/>
      <c r="P1585" s="89"/>
      <c r="Q1585" s="89"/>
      <c r="R1585" s="89"/>
      <c r="S1585" s="89"/>
      <c r="T1585" s="89"/>
      <c r="U1585" s="89"/>
      <c r="V1585" s="89"/>
      <c r="W1585" s="89"/>
      <c r="X1585" s="89"/>
      <c r="Y1585" s="89"/>
      <c r="Z1585" s="2060"/>
      <c r="AA1585" s="2060"/>
      <c r="AB1585" s="2060"/>
      <c r="AC1585" s="2060"/>
      <c r="AD1585" s="2060"/>
      <c r="AE1585" s="2060"/>
      <c r="AF1585" s="2060"/>
      <c r="AG1585" s="2060"/>
      <c r="AH1585" s="2060"/>
      <c r="AI1585" s="2060"/>
      <c r="AJ1585" s="2060"/>
      <c r="AK1585" s="2060"/>
      <c r="AL1585" s="2060"/>
      <c r="AM1585" s="2060"/>
      <c r="AN1585" s="2060"/>
      <c r="AO1585" s="2060"/>
      <c r="AP1585" s="2060"/>
      <c r="AQ1585" s="2060"/>
      <c r="AR1585" s="2060"/>
      <c r="AS1585" s="2060"/>
      <c r="AT1585" s="2060"/>
      <c r="AU1585" s="2060"/>
      <c r="AV1585" s="2060"/>
      <c r="AW1585" s="2060"/>
      <c r="AX1585" s="2060"/>
      <c r="AY1585" s="2060"/>
      <c r="AZ1585" s="2060"/>
      <c r="BA1585" s="2060"/>
      <c r="BB1585" s="2060"/>
      <c r="BC1585" s="2060"/>
      <c r="BD1585" s="2060"/>
      <c r="BE1585" s="2060"/>
      <c r="BF1585" s="2060"/>
      <c r="BG1585" s="2060"/>
      <c r="BH1585" s="2060"/>
      <c r="BI1585" s="2060"/>
      <c r="BJ1585" s="2060"/>
      <c r="BK1585" s="2060"/>
      <c r="BL1585" s="2060"/>
      <c r="BM1585" s="2060"/>
      <c r="BN1585" s="2060"/>
      <c r="BO1585" s="2060"/>
      <c r="BP1585" s="2060"/>
      <c r="BQ1585" s="2060"/>
      <c r="BR1585" s="2060"/>
      <c r="BS1585" s="2060"/>
      <c r="BT1585" s="2060"/>
      <c r="BU1585" s="2060"/>
      <c r="BV1585" s="2060"/>
      <c r="BW1585" s="2060"/>
      <c r="BX1585" s="2060"/>
      <c r="BY1585" s="2060"/>
      <c r="BZ1585" s="2060"/>
      <c r="CA1585" s="2060"/>
      <c r="CB1585" s="2060"/>
      <c r="CC1585" s="2060"/>
      <c r="CD1585" s="2060"/>
      <c r="CE1585" s="2060"/>
      <c r="CF1585" s="2060"/>
      <c r="CG1585" s="2060"/>
      <c r="CH1585" s="2060"/>
      <c r="CI1585" s="2060"/>
      <c r="CJ1585" s="2060"/>
      <c r="CK1585" s="2060"/>
      <c r="CL1585" s="2060"/>
      <c r="CM1585" s="2060"/>
      <c r="CN1585" s="2060"/>
      <c r="CO1585" s="2060"/>
      <c r="CP1585" s="2060"/>
      <c r="CQ1585" s="2060"/>
      <c r="CR1585" s="2060"/>
      <c r="CS1585" s="2060"/>
      <c r="CT1585" s="2060"/>
      <c r="CU1585" s="2060"/>
      <c r="CV1585" s="2060"/>
      <c r="CW1585" s="2060"/>
      <c r="CX1585" s="2060"/>
      <c r="CY1585" s="2060"/>
      <c r="CZ1585" s="2060"/>
      <c r="DA1585" s="2060"/>
      <c r="DB1585" s="2060"/>
      <c r="DC1585" s="2060"/>
      <c r="DD1585" s="2060"/>
      <c r="DE1585" s="2060"/>
      <c r="DF1585" s="2060"/>
      <c r="DG1585" s="2060"/>
      <c r="DH1585" s="2060"/>
      <c r="DI1585" s="2060"/>
      <c r="DJ1585" s="2060"/>
      <c r="DK1585" s="2060"/>
      <c r="DL1585" s="2060"/>
      <c r="DM1585" s="2060"/>
      <c r="DN1585" s="2060"/>
      <c r="DO1585" s="2060"/>
      <c r="DP1585" s="2060"/>
      <c r="DQ1585" s="2060"/>
      <c r="DR1585" s="2060"/>
      <c r="DS1585" s="2060"/>
      <c r="DT1585" s="2060"/>
      <c r="DU1585" s="2060"/>
      <c r="DV1585" s="2060"/>
      <c r="DW1585" s="2060"/>
      <c r="DX1585" s="2060"/>
      <c r="DY1585" s="2060"/>
      <c r="DZ1585" s="2060"/>
      <c r="EA1585" s="2060"/>
      <c r="EB1585" s="2060"/>
      <c r="EC1585" s="2060"/>
      <c r="ED1585" s="2060"/>
      <c r="EE1585" s="2060"/>
      <c r="EF1585" s="2060"/>
      <c r="EG1585" s="2060"/>
      <c r="EH1585" s="2060"/>
      <c r="EI1585" s="2060"/>
      <c r="EJ1585" s="2060"/>
      <c r="EK1585" s="2060"/>
      <c r="EL1585" s="2060"/>
      <c r="EM1585" s="2060"/>
      <c r="EN1585" s="2060"/>
      <c r="EO1585" s="2060"/>
      <c r="EP1585" s="2060"/>
      <c r="EQ1585" s="2060"/>
      <c r="ER1585" s="2060"/>
      <c r="ES1585" s="2060"/>
      <c r="ET1585" s="2060"/>
      <c r="EU1585" s="2060"/>
      <c r="EV1585" s="2060"/>
      <c r="EW1585" s="2060"/>
      <c r="EX1585" s="2060"/>
      <c r="EY1585" s="2060"/>
      <c r="EZ1585" s="2060"/>
      <c r="FA1585" s="2060"/>
      <c r="FB1585" s="2060"/>
      <c r="FC1585" s="2060"/>
      <c r="FD1585" s="2060"/>
      <c r="FE1585" s="2060"/>
      <c r="FF1585" s="2060"/>
      <c r="FG1585" s="2060"/>
      <c r="FH1585" s="2060"/>
      <c r="FI1585" s="2060"/>
      <c r="FJ1585" s="2060"/>
      <c r="FK1585" s="2060"/>
      <c r="FL1585" s="2060"/>
      <c r="FM1585" s="2060"/>
      <c r="FN1585" s="2060"/>
      <c r="FO1585" s="2060"/>
      <c r="FP1585" s="2060"/>
      <c r="FQ1585" s="2060"/>
      <c r="FR1585" s="2060"/>
      <c r="FS1585" s="2060"/>
      <c r="FT1585" s="2060"/>
      <c r="FU1585" s="2060"/>
      <c r="FV1585" s="2060"/>
      <c r="FW1585" s="2060"/>
      <c r="FX1585" s="2060"/>
      <c r="FY1585" s="2060"/>
      <c r="FZ1585" s="2060"/>
      <c r="GA1585" s="2060"/>
      <c r="GB1585" s="2060"/>
      <c r="GC1585" s="2060"/>
      <c r="GD1585" s="2060"/>
      <c r="GE1585" s="2060"/>
      <c r="GF1585" s="2060"/>
      <c r="GG1585" s="2060"/>
      <c r="GH1585" s="2060"/>
      <c r="GI1585" s="2060"/>
      <c r="GJ1585" s="2060"/>
      <c r="GK1585" s="2060"/>
      <c r="GL1585" s="2060"/>
      <c r="GM1585" s="2060"/>
      <c r="GN1585" s="2060"/>
      <c r="GO1585" s="2060"/>
      <c r="GP1585" s="2060"/>
      <c r="GQ1585" s="2060"/>
      <c r="GR1585" s="2060"/>
      <c r="GS1585" s="2060"/>
      <c r="GT1585" s="2060"/>
      <c r="GU1585" s="2060"/>
      <c r="GV1585" s="2060"/>
      <c r="GW1585" s="2060"/>
      <c r="GX1585" s="2060"/>
      <c r="GY1585" s="2060"/>
      <c r="GZ1585" s="2060"/>
      <c r="HA1585" s="2060"/>
      <c r="HB1585" s="2060"/>
      <c r="HC1585" s="2060"/>
      <c r="HD1585" s="2060"/>
      <c r="HE1585" s="2060"/>
      <c r="HF1585" s="2060"/>
      <c r="HG1585" s="2060"/>
      <c r="HH1585" s="2060"/>
      <c r="HI1585" s="2060"/>
      <c r="HJ1585" s="2060"/>
      <c r="HK1585" s="2060"/>
      <c r="HL1585" s="2060"/>
      <c r="HM1585" s="2060"/>
      <c r="HN1585" s="2060"/>
      <c r="HO1585" s="2060"/>
      <c r="HP1585" s="2060"/>
      <c r="HQ1585" s="2060"/>
      <c r="HR1585" s="2060"/>
      <c r="HS1585" s="2060"/>
      <c r="HT1585" s="2060"/>
      <c r="HU1585" s="2060"/>
      <c r="HV1585" s="2060"/>
      <c r="HW1585" s="2060"/>
      <c r="HX1585" s="2060"/>
      <c r="HY1585" s="2060"/>
      <c r="HZ1585" s="2060"/>
      <c r="IA1585" s="2060"/>
      <c r="IB1585" s="2060"/>
      <c r="IC1585" s="2060"/>
      <c r="ID1585" s="2060"/>
      <c r="IE1585" s="2060"/>
      <c r="IF1585" s="2060"/>
      <c r="IG1585" s="2060"/>
      <c r="IH1585" s="2060"/>
      <c r="II1585" s="2060"/>
      <c r="IJ1585" s="2060"/>
      <c r="IK1585" s="2060"/>
      <c r="IL1585" s="2060"/>
      <c r="IM1585" s="2060"/>
      <c r="IN1585" s="2060"/>
      <c r="IO1585" s="2060"/>
      <c r="IP1585" s="2060"/>
      <c r="IQ1585" s="2060"/>
      <c r="IR1585" s="2060"/>
      <c r="IS1585" s="2060"/>
      <c r="IT1585" s="2060"/>
      <c r="IU1585" s="2060"/>
      <c r="IV1585" s="2060"/>
      <c r="IW1585" s="2060"/>
      <c r="IX1585" s="2060"/>
      <c r="IY1585" s="2060"/>
      <c r="IZ1585" s="2060"/>
      <c r="JA1585" s="2060"/>
      <c r="JB1585" s="2060"/>
      <c r="JC1585" s="2060"/>
      <c r="JD1585" s="2060"/>
      <c r="JE1585" s="2060"/>
      <c r="JF1585" s="2060"/>
      <c r="JG1585" s="2060"/>
      <c r="JH1585" s="2060"/>
      <c r="JI1585" s="2060"/>
      <c r="JJ1585" s="2060"/>
      <c r="JK1585" s="2060"/>
      <c r="JL1585" s="2060"/>
      <c r="JM1585" s="2060"/>
      <c r="JN1585" s="2060"/>
      <c r="JO1585" s="2060"/>
      <c r="JP1585" s="2060"/>
      <c r="JQ1585" s="2060"/>
      <c r="JR1585" s="2060"/>
      <c r="JS1585" s="2060"/>
      <c r="JT1585" s="2060"/>
      <c r="JU1585" s="2060"/>
      <c r="JV1585" s="2060"/>
      <c r="JW1585" s="2060"/>
      <c r="JX1585" s="2060"/>
      <c r="JY1585" s="2060"/>
      <c r="JZ1585" s="2060"/>
      <c r="KA1585" s="2060"/>
      <c r="KB1585" s="2060"/>
      <c r="KC1585" s="2060"/>
      <c r="KD1585" s="2060"/>
      <c r="KE1585" s="2060"/>
      <c r="KF1585" s="2060"/>
      <c r="KG1585" s="2060"/>
      <c r="KH1585" s="2060"/>
      <c r="KI1585" s="2060"/>
      <c r="KJ1585" s="2060"/>
      <c r="KK1585" s="2060"/>
      <c r="KL1585" s="2060"/>
      <c r="KM1585" s="2060"/>
      <c r="KN1585" s="2060"/>
      <c r="KO1585" s="2060"/>
      <c r="KP1585" s="2060"/>
      <c r="KQ1585" s="2060"/>
      <c r="KR1585" s="2060"/>
      <c r="KS1585" s="2060"/>
      <c r="KT1585" s="2060"/>
      <c r="KU1585" s="2060"/>
      <c r="KV1585" s="2060"/>
      <c r="KW1585" s="2060"/>
      <c r="KX1585" s="2060"/>
      <c r="KY1585" s="2060"/>
      <c r="KZ1585" s="2060"/>
      <c r="LA1585" s="2060"/>
      <c r="LB1585" s="2060"/>
      <c r="LC1585" s="2060"/>
      <c r="LD1585" s="2060"/>
      <c r="LE1585" s="2060"/>
      <c r="LF1585" s="2060"/>
      <c r="LG1585" s="2060"/>
      <c r="LH1585" s="2060"/>
    </row>
    <row r="1586" spans="1:320" s="449" customFormat="1" ht="13.9">
      <c r="A1586" s="2060"/>
      <c r="B1586" s="2060"/>
      <c r="C1586" s="2060"/>
      <c r="D1586" s="2060"/>
      <c r="E1586" s="505"/>
      <c r="F1586" s="953" t="s">
        <v>428</v>
      </c>
      <c r="G1586" s="737" t="s">
        <v>851</v>
      </c>
      <c r="H1586" s="741"/>
      <c r="I1586" s="724"/>
      <c r="J1586" s="726" t="s">
        <v>837</v>
      </c>
      <c r="K1586" s="726" t="s">
        <v>838</v>
      </c>
      <c r="L1586" s="726" t="s">
        <v>839</v>
      </c>
      <c r="M1586" s="726" t="s">
        <v>840</v>
      </c>
      <c r="N1586" s="726" t="s">
        <v>841</v>
      </c>
      <c r="O1586" s="726" t="s">
        <v>842</v>
      </c>
      <c r="P1586" s="726" t="s">
        <v>843</v>
      </c>
      <c r="Q1586" s="726" t="s">
        <v>844</v>
      </c>
      <c r="R1586" s="726" t="s">
        <v>845</v>
      </c>
      <c r="S1586" s="726" t="s">
        <v>846</v>
      </c>
      <c r="T1586" s="726" t="s">
        <v>847</v>
      </c>
      <c r="U1586" s="726" t="s">
        <v>848</v>
      </c>
      <c r="V1586" s="726" t="s">
        <v>849</v>
      </c>
      <c r="W1586" s="1479"/>
      <c r="X1586" s="255"/>
      <c r="Y1586" s="89"/>
      <c r="Z1586" s="2060"/>
      <c r="AA1586" s="2060"/>
      <c r="AB1586" s="2060"/>
      <c r="AC1586" s="2060"/>
      <c r="AD1586" s="2060"/>
      <c r="AE1586" s="2060"/>
      <c r="AF1586" s="2060"/>
      <c r="AG1586" s="2060"/>
      <c r="AH1586" s="2060"/>
      <c r="AI1586" s="2060"/>
      <c r="AJ1586" s="2060"/>
      <c r="AK1586" s="2060"/>
      <c r="AL1586" s="2060"/>
      <c r="AM1586" s="2060"/>
      <c r="AN1586" s="2060"/>
      <c r="AO1586" s="2060"/>
      <c r="AP1586" s="2060"/>
      <c r="AQ1586" s="2060"/>
      <c r="AR1586" s="2060"/>
      <c r="AS1586" s="2060"/>
      <c r="AT1586" s="2060"/>
      <c r="AU1586" s="2060"/>
      <c r="AV1586" s="2060"/>
      <c r="AW1586" s="2060"/>
      <c r="AX1586" s="2060"/>
      <c r="AY1586" s="2060"/>
      <c r="AZ1586" s="2060"/>
      <c r="BA1586" s="2060"/>
      <c r="BB1586" s="2060"/>
      <c r="BC1586" s="2060"/>
      <c r="BD1586" s="2060"/>
      <c r="BE1586" s="2060"/>
      <c r="BF1586" s="2060"/>
      <c r="BG1586" s="2060"/>
      <c r="BH1586" s="2060"/>
      <c r="BI1586" s="2060"/>
      <c r="BJ1586" s="2060"/>
      <c r="BK1586" s="2060"/>
      <c r="BL1586" s="2060"/>
      <c r="BM1586" s="2060"/>
      <c r="BN1586" s="2060"/>
      <c r="BO1586" s="2060"/>
      <c r="BP1586" s="2060"/>
      <c r="BQ1586" s="2060"/>
      <c r="BR1586" s="2060"/>
      <c r="BS1586" s="2060"/>
      <c r="BT1586" s="2060"/>
      <c r="BU1586" s="2060"/>
      <c r="BV1586" s="2060"/>
      <c r="BW1586" s="2060"/>
      <c r="BX1586" s="2060"/>
      <c r="BY1586" s="2060"/>
      <c r="BZ1586" s="2060"/>
      <c r="CA1586" s="2060"/>
      <c r="CB1586" s="2060"/>
      <c r="CC1586" s="2060"/>
      <c r="CD1586" s="2060"/>
      <c r="CE1586" s="2060"/>
      <c r="CF1586" s="2060"/>
      <c r="CG1586" s="2060"/>
      <c r="CH1586" s="2060"/>
      <c r="CI1586" s="2060"/>
      <c r="CJ1586" s="2060"/>
      <c r="CK1586" s="2060"/>
      <c r="CL1586" s="2060"/>
      <c r="CM1586" s="2060"/>
      <c r="CN1586" s="2060"/>
      <c r="CO1586" s="2060"/>
      <c r="CP1586" s="2060"/>
      <c r="CQ1586" s="2060"/>
      <c r="CR1586" s="2060"/>
      <c r="CS1586" s="2060"/>
      <c r="CT1586" s="2060"/>
      <c r="CU1586" s="2060"/>
      <c r="CV1586" s="2060"/>
      <c r="CW1586" s="2060"/>
      <c r="CX1586" s="2060"/>
      <c r="CY1586" s="2060"/>
      <c r="CZ1586" s="2060"/>
      <c r="DA1586" s="2060"/>
      <c r="DB1586" s="2060"/>
      <c r="DC1586" s="2060"/>
      <c r="DD1586" s="2060"/>
      <c r="DE1586" s="2060"/>
      <c r="DF1586" s="2060"/>
      <c r="DG1586" s="2060"/>
      <c r="DH1586" s="2060"/>
      <c r="DI1586" s="2060"/>
      <c r="DJ1586" s="2060"/>
      <c r="DK1586" s="2060"/>
      <c r="DL1586" s="2060"/>
      <c r="DM1586" s="2060"/>
      <c r="DN1586" s="2060"/>
      <c r="DO1586" s="2060"/>
      <c r="DP1586" s="2060"/>
      <c r="DQ1586" s="2060"/>
      <c r="DR1586" s="2060"/>
      <c r="DS1586" s="2060"/>
      <c r="DT1586" s="2060"/>
      <c r="DU1586" s="2060"/>
      <c r="DV1586" s="2060"/>
      <c r="DW1586" s="2060"/>
      <c r="DX1586" s="2060"/>
      <c r="DY1586" s="2060"/>
      <c r="DZ1586" s="2060"/>
      <c r="EA1586" s="2060"/>
      <c r="EB1586" s="2060"/>
      <c r="EC1586" s="2060"/>
      <c r="ED1586" s="2060"/>
      <c r="EE1586" s="2060"/>
      <c r="EF1586" s="2060"/>
      <c r="EG1586" s="2060"/>
      <c r="EH1586" s="2060"/>
      <c r="EI1586" s="2060"/>
      <c r="EJ1586" s="2060"/>
      <c r="EK1586" s="2060"/>
      <c r="EL1586" s="2060"/>
      <c r="EM1586" s="2060"/>
      <c r="EN1586" s="2060"/>
      <c r="EO1586" s="2060"/>
      <c r="EP1586" s="2060"/>
      <c r="EQ1586" s="2060"/>
      <c r="ER1586" s="2060"/>
      <c r="ES1586" s="2060"/>
      <c r="ET1586" s="2060"/>
      <c r="EU1586" s="2060"/>
      <c r="EV1586" s="2060"/>
      <c r="EW1586" s="2060"/>
      <c r="EX1586" s="2060"/>
      <c r="EY1586" s="2060"/>
      <c r="EZ1586" s="2060"/>
      <c r="FA1586" s="2060"/>
      <c r="FB1586" s="2060"/>
      <c r="FC1586" s="2060"/>
      <c r="FD1586" s="2060"/>
      <c r="FE1586" s="2060"/>
      <c r="FF1586" s="2060"/>
      <c r="FG1586" s="2060"/>
      <c r="FH1586" s="2060"/>
      <c r="FI1586" s="2060"/>
      <c r="FJ1586" s="2060"/>
      <c r="FK1586" s="2060"/>
      <c r="FL1586" s="2060"/>
      <c r="FM1586" s="2060"/>
      <c r="FN1586" s="2060"/>
      <c r="FO1586" s="2060"/>
      <c r="FP1586" s="2060"/>
      <c r="FQ1586" s="2060"/>
      <c r="FR1586" s="2060"/>
      <c r="FS1586" s="2060"/>
      <c r="FT1586" s="2060"/>
      <c r="FU1586" s="2060"/>
      <c r="FV1586" s="2060"/>
      <c r="FW1586" s="2060"/>
      <c r="FX1586" s="2060"/>
      <c r="FY1586" s="2060"/>
      <c r="FZ1586" s="2060"/>
      <c r="GA1586" s="2060"/>
      <c r="GB1586" s="2060"/>
      <c r="GC1586" s="2060"/>
      <c r="GD1586" s="2060"/>
      <c r="GE1586" s="2060"/>
      <c r="GF1586" s="2060"/>
      <c r="GG1586" s="2060"/>
      <c r="GH1586" s="2060"/>
      <c r="GI1586" s="2060"/>
      <c r="GJ1586" s="2060"/>
      <c r="GK1586" s="2060"/>
      <c r="GL1586" s="2060"/>
      <c r="GM1586" s="2060"/>
      <c r="GN1586" s="2060"/>
      <c r="GO1586" s="2060"/>
      <c r="GP1586" s="2060"/>
      <c r="GQ1586" s="2060"/>
      <c r="GR1586" s="2060"/>
      <c r="GS1586" s="2060"/>
      <c r="GT1586" s="2060"/>
      <c r="GU1586" s="2060"/>
      <c r="GV1586" s="2060"/>
      <c r="GW1586" s="2060"/>
      <c r="GX1586" s="2060"/>
      <c r="GY1586" s="2060"/>
      <c r="GZ1586" s="2060"/>
      <c r="HA1586" s="2060"/>
      <c r="HB1586" s="2060"/>
      <c r="HC1586" s="2060"/>
      <c r="HD1586" s="2060"/>
      <c r="HE1586" s="2060"/>
      <c r="HF1586" s="2060"/>
      <c r="HG1586" s="2060"/>
      <c r="HH1586" s="2060"/>
      <c r="HI1586" s="2060"/>
      <c r="HJ1586" s="2060"/>
      <c r="HK1586" s="2060"/>
      <c r="HL1586" s="2060"/>
      <c r="HM1586" s="2060"/>
      <c r="HN1586" s="2060"/>
      <c r="HO1586" s="2060"/>
      <c r="HP1586" s="2060"/>
      <c r="HQ1586" s="2060"/>
      <c r="HR1586" s="2060"/>
      <c r="HS1586" s="2060"/>
      <c r="HT1586" s="2060"/>
      <c r="HU1586" s="2060"/>
      <c r="HV1586" s="2060"/>
      <c r="HW1586" s="2060"/>
      <c r="HX1586" s="2060"/>
      <c r="HY1586" s="2060"/>
      <c r="HZ1586" s="2060"/>
      <c r="IA1586" s="2060"/>
      <c r="IB1586" s="2060"/>
      <c r="IC1586" s="2060"/>
      <c r="ID1586" s="2060"/>
      <c r="IE1586" s="2060"/>
      <c r="IF1586" s="2060"/>
      <c r="IG1586" s="2060"/>
      <c r="IH1586" s="2060"/>
      <c r="II1586" s="2060"/>
      <c r="IJ1586" s="2060"/>
      <c r="IK1586" s="2060"/>
      <c r="IL1586" s="2060"/>
      <c r="IM1586" s="2060"/>
      <c r="IN1586" s="2060"/>
      <c r="IO1586" s="2060"/>
      <c r="IP1586" s="2060"/>
      <c r="IQ1586" s="2060"/>
      <c r="IR1586" s="2060"/>
      <c r="IS1586" s="2060"/>
      <c r="IT1586" s="2060"/>
      <c r="IU1586" s="2060"/>
      <c r="IV1586" s="2060"/>
      <c r="IW1586" s="2060"/>
      <c r="IX1586" s="2060"/>
      <c r="IY1586" s="2060"/>
      <c r="IZ1586" s="2060"/>
      <c r="JA1586" s="2060"/>
      <c r="JB1586" s="2060"/>
      <c r="JC1586" s="2060"/>
      <c r="JD1586" s="2060"/>
      <c r="JE1586" s="2060"/>
      <c r="JF1586" s="2060"/>
      <c r="JG1586" s="2060"/>
      <c r="JH1586" s="2060"/>
      <c r="JI1586" s="2060"/>
      <c r="JJ1586" s="2060"/>
      <c r="JK1586" s="2060"/>
      <c r="JL1586" s="2060"/>
      <c r="JM1586" s="2060"/>
      <c r="JN1586" s="2060"/>
      <c r="JO1586" s="2060"/>
      <c r="JP1586" s="2060"/>
      <c r="JQ1586" s="2060"/>
      <c r="JR1586" s="2060"/>
      <c r="JS1586" s="2060"/>
      <c r="JT1586" s="2060"/>
      <c r="JU1586" s="2060"/>
      <c r="JV1586" s="2060"/>
      <c r="JW1586" s="2060"/>
      <c r="JX1586" s="2060"/>
      <c r="JY1586" s="2060"/>
      <c r="JZ1586" s="2060"/>
      <c r="KA1586" s="2060"/>
      <c r="KB1586" s="2060"/>
      <c r="KC1586" s="2060"/>
      <c r="KD1586" s="2060"/>
      <c r="KE1586" s="2060"/>
      <c r="KF1586" s="2060"/>
      <c r="KG1586" s="2060"/>
      <c r="KH1586" s="2060"/>
      <c r="KI1586" s="2060"/>
      <c r="KJ1586" s="2060"/>
      <c r="KK1586" s="2060"/>
      <c r="KL1586" s="2060"/>
      <c r="KM1586" s="2060"/>
      <c r="KN1586" s="2060"/>
      <c r="KO1586" s="2060"/>
      <c r="KP1586" s="2060"/>
      <c r="KQ1586" s="2060"/>
      <c r="KR1586" s="2060"/>
      <c r="KS1586" s="2060"/>
      <c r="KT1586" s="2060"/>
      <c r="KU1586" s="2060"/>
      <c r="KV1586" s="2060"/>
      <c r="KW1586" s="2060"/>
      <c r="KX1586" s="2060"/>
      <c r="KY1586" s="2060"/>
      <c r="KZ1586" s="2060"/>
      <c r="LA1586" s="2060"/>
      <c r="LB1586" s="2060"/>
      <c r="LC1586" s="2060"/>
      <c r="LD1586" s="2060"/>
      <c r="LE1586" s="2060"/>
      <c r="LF1586" s="2060"/>
      <c r="LG1586" s="2060"/>
      <c r="LH1586" s="2060"/>
    </row>
    <row r="1587" spans="1:320" s="449" customFormat="1" ht="13.9">
      <c r="A1587" s="2060"/>
      <c r="B1587" s="2060"/>
      <c r="C1587" s="2060"/>
      <c r="D1587" s="2060"/>
      <c r="E1587" s="508">
        <v>0</v>
      </c>
      <c r="F1587" s="1453" t="str">
        <f>F$128</f>
        <v/>
      </c>
      <c r="G1587" s="1454">
        <f>G$128</f>
        <v>0</v>
      </c>
      <c r="H1587" s="1455" t="str">
        <f>H$128</f>
        <v>USD</v>
      </c>
      <c r="I1587" s="507" t="s">
        <v>781</v>
      </c>
      <c r="J1587" s="2196" t="str">
        <f>IF($G1587=0,"",IFERROR(_xll.ciqfunctions.udf.CIQ($G1587,$I1587,J$1557,Valuation_Date_GC,ReportType,DataMode,$H1587,FXMode)*Scale,"n/a"))</f>
        <v/>
      </c>
      <c r="K1587" s="2196" t="str">
        <f>IF($G1587=0,"",IFERROR(_xll.ciqfunctions.udf.CIQ($G1587,$I1587,K$1557,Valuation_Date_GC,ReportType,DataMode,$H1587,FXMode)*Scale,"n/a"))</f>
        <v/>
      </c>
      <c r="L1587" s="2196" t="str">
        <f>IF($G1587=0,"",IFERROR(_xll.ciqfunctions.udf.CIQ($G1587,$I1587,L$1557,Valuation_Date_GC,ReportType,DataMode,$H1587,FXMode)*Scale,"n/a"))</f>
        <v/>
      </c>
      <c r="M1587" s="2196" t="str">
        <f>IF($G1587=0,"",IFERROR(_xll.ciqfunctions.udf.CIQ($G1587,$I1587,M$1557,Valuation_Date_GC,ReportType,DataMode,$H1587,FXMode)*Scale,"n/a"))</f>
        <v/>
      </c>
      <c r="N1587" s="2196" t="str">
        <f>IF($G1587=0,"",IFERROR(_xll.ciqfunctions.udf.CIQ($G1587,$I1587,N$1557,Valuation_Date_GC,ReportType,DataMode,$H1587,FXMode)*Scale,"n/a"))</f>
        <v/>
      </c>
      <c r="O1587" s="2196" t="str">
        <f>IF($G1587=0,"",IFERROR(_xll.ciqfunctions.udf.CIQ($G1587,$I1587,O$1557,Valuation_Date_GC,ReportType,DataMode,$H1587,FXMode)*Scale,"n/a"))</f>
        <v/>
      </c>
      <c r="P1587" s="2196" t="str">
        <f>IF($G1587=0,"",IFERROR(_xll.ciqfunctions.udf.CIQ($G1587,$I1587,P$1557,Valuation_Date_GC,ReportType,DataMode,$H1587,FXMode)*Scale,"n/a"))</f>
        <v/>
      </c>
      <c r="Q1587" s="2196" t="str">
        <f>IF($G1587=0,"",IFERROR(_xll.ciqfunctions.udf.CIQ($G1587,$I1587,Q$1557,Valuation_Date_GC,ReportType,DataMode,$H1587,FXMode)*Scale,"n/a"))</f>
        <v/>
      </c>
      <c r="R1587" s="2196" t="str">
        <f>IF($G1587=0,"",IFERROR(_xll.ciqfunctions.udf.CIQ($G1587,$I1587,R$1557,Valuation_Date_GC,ReportType,DataMode,$H1587,FXMode)*Scale,"n/a"))</f>
        <v/>
      </c>
      <c r="S1587" s="2196" t="str">
        <f>IF($G1587=0,"",IFERROR(_xll.ciqfunctions.udf.CIQ($G1587,$I1587,S$1557,Valuation_Date_GC,ReportType,DataMode,$H1587,FXMode)*Scale,"n/a"))</f>
        <v/>
      </c>
      <c r="T1587" s="2196" t="str">
        <f>IF($G1587=0,"",IFERROR(_xll.ciqfunctions.udf.CIQ($G1587,$I1587,T$1557,Valuation_Date_GC,ReportType,DataMode,$H1587,FXMode)*Scale,"n/a"))</f>
        <v/>
      </c>
      <c r="U1587" s="2196" t="str">
        <f>IF($G1587=0,"",IFERROR(_xll.ciqfunctions.udf.CIQ($G1587,$I1587,U$1557,Valuation_Date_GC,ReportType,DataMode,$H1587,FXMode)*Scale,"n/a"))</f>
        <v/>
      </c>
      <c r="V1587" s="2196" t="str">
        <f>IF($G1587=0,"",IFERROR(_xll.ciqfunctions.udf.CIQ($G1587,$I1587,V$1557,Valuation_Date_GC,ReportType,DataMode,$H1587,FXMode)*Scale,"n/a"))</f>
        <v/>
      </c>
      <c r="W1587" s="1479"/>
      <c r="X1587" s="255"/>
      <c r="Y1587" s="89"/>
      <c r="Z1587" s="2060"/>
      <c r="AA1587" s="2060"/>
      <c r="AB1587" s="2060"/>
      <c r="AC1587" s="2060"/>
      <c r="AD1587" s="2060"/>
      <c r="AE1587" s="2060"/>
      <c r="AF1587" s="2060"/>
      <c r="AG1587" s="2060"/>
      <c r="AH1587" s="2060"/>
      <c r="AI1587" s="2060"/>
      <c r="AJ1587" s="2060"/>
      <c r="AK1587" s="2060"/>
      <c r="AL1587" s="2060"/>
      <c r="AM1587" s="2060"/>
      <c r="AN1587" s="2060"/>
      <c r="AO1587" s="2060"/>
      <c r="AP1587" s="2060"/>
      <c r="AQ1587" s="2060"/>
      <c r="AR1587" s="2060"/>
      <c r="AS1587" s="2060"/>
      <c r="AT1587" s="2060"/>
      <c r="AU1587" s="2060"/>
      <c r="AV1587" s="2060"/>
      <c r="AW1587" s="2060"/>
      <c r="AX1587" s="2060"/>
      <c r="AY1587" s="2060"/>
      <c r="AZ1587" s="2060"/>
      <c r="BA1587" s="2060"/>
      <c r="BB1587" s="2060"/>
      <c r="BC1587" s="2060"/>
      <c r="BD1587" s="2060"/>
      <c r="BE1587" s="2060"/>
      <c r="BF1587" s="2060"/>
      <c r="BG1587" s="2060"/>
      <c r="BH1587" s="2060"/>
      <c r="BI1587" s="2060"/>
      <c r="BJ1587" s="2060"/>
      <c r="BK1587" s="2060"/>
      <c r="BL1587" s="2060"/>
      <c r="BM1587" s="2060"/>
      <c r="BN1587" s="2060"/>
      <c r="BO1587" s="2060"/>
      <c r="BP1587" s="2060"/>
      <c r="BQ1587" s="2060"/>
      <c r="BR1587" s="2060"/>
      <c r="BS1587" s="2060"/>
      <c r="BT1587" s="2060"/>
      <c r="BU1587" s="2060"/>
      <c r="BV1587" s="2060"/>
      <c r="BW1587" s="2060"/>
      <c r="BX1587" s="2060"/>
      <c r="BY1587" s="2060"/>
      <c r="BZ1587" s="2060"/>
      <c r="CA1587" s="2060"/>
      <c r="CB1587" s="2060"/>
      <c r="CC1587" s="2060"/>
      <c r="CD1587" s="2060"/>
      <c r="CE1587" s="2060"/>
      <c r="CF1587" s="2060"/>
      <c r="CG1587" s="2060"/>
      <c r="CH1587" s="2060"/>
      <c r="CI1587" s="2060"/>
      <c r="CJ1587" s="2060"/>
      <c r="CK1587" s="2060"/>
      <c r="CL1587" s="2060"/>
      <c r="CM1587" s="2060"/>
      <c r="CN1587" s="2060"/>
      <c r="CO1587" s="2060"/>
      <c r="CP1587" s="2060"/>
      <c r="CQ1587" s="2060"/>
      <c r="CR1587" s="2060"/>
      <c r="CS1587" s="2060"/>
      <c r="CT1587" s="2060"/>
      <c r="CU1587" s="2060"/>
      <c r="CV1587" s="2060"/>
      <c r="CW1587" s="2060"/>
      <c r="CX1587" s="2060"/>
      <c r="CY1587" s="2060"/>
      <c r="CZ1587" s="2060"/>
      <c r="DA1587" s="2060"/>
      <c r="DB1587" s="2060"/>
      <c r="DC1587" s="2060"/>
      <c r="DD1587" s="2060"/>
      <c r="DE1587" s="2060"/>
      <c r="DF1587" s="2060"/>
      <c r="DG1587" s="2060"/>
      <c r="DH1587" s="2060"/>
      <c r="DI1587" s="2060"/>
      <c r="DJ1587" s="2060"/>
      <c r="DK1587" s="2060"/>
      <c r="DL1587" s="2060"/>
      <c r="DM1587" s="2060"/>
      <c r="DN1587" s="2060"/>
      <c r="DO1587" s="2060"/>
      <c r="DP1587" s="2060"/>
      <c r="DQ1587" s="2060"/>
      <c r="DR1587" s="2060"/>
      <c r="DS1587" s="2060"/>
      <c r="DT1587" s="2060"/>
      <c r="DU1587" s="2060"/>
      <c r="DV1587" s="2060"/>
      <c r="DW1587" s="2060"/>
      <c r="DX1587" s="2060"/>
      <c r="DY1587" s="2060"/>
      <c r="DZ1587" s="2060"/>
      <c r="EA1587" s="2060"/>
      <c r="EB1587" s="2060"/>
      <c r="EC1587" s="2060"/>
      <c r="ED1587" s="2060"/>
      <c r="EE1587" s="2060"/>
      <c r="EF1587" s="2060"/>
      <c r="EG1587" s="2060"/>
      <c r="EH1587" s="2060"/>
      <c r="EI1587" s="2060"/>
      <c r="EJ1587" s="2060"/>
      <c r="EK1587" s="2060"/>
      <c r="EL1587" s="2060"/>
      <c r="EM1587" s="2060"/>
      <c r="EN1587" s="2060"/>
      <c r="EO1587" s="2060"/>
      <c r="EP1587" s="2060"/>
      <c r="EQ1587" s="2060"/>
      <c r="ER1587" s="2060"/>
      <c r="ES1587" s="2060"/>
      <c r="ET1587" s="2060"/>
      <c r="EU1587" s="2060"/>
      <c r="EV1587" s="2060"/>
      <c r="EW1587" s="2060"/>
      <c r="EX1587" s="2060"/>
      <c r="EY1587" s="2060"/>
      <c r="EZ1587" s="2060"/>
      <c r="FA1587" s="2060"/>
      <c r="FB1587" s="2060"/>
      <c r="FC1587" s="2060"/>
      <c r="FD1587" s="2060"/>
      <c r="FE1587" s="2060"/>
      <c r="FF1587" s="2060"/>
      <c r="FG1587" s="2060"/>
      <c r="FH1587" s="2060"/>
      <c r="FI1587" s="2060"/>
      <c r="FJ1587" s="2060"/>
      <c r="FK1587" s="2060"/>
      <c r="FL1587" s="2060"/>
      <c r="FM1587" s="2060"/>
      <c r="FN1587" s="2060"/>
      <c r="FO1587" s="2060"/>
      <c r="FP1587" s="2060"/>
      <c r="FQ1587" s="2060"/>
      <c r="FR1587" s="2060"/>
      <c r="FS1587" s="2060"/>
      <c r="FT1587" s="2060"/>
      <c r="FU1587" s="2060"/>
      <c r="FV1587" s="2060"/>
      <c r="FW1587" s="2060"/>
      <c r="FX1587" s="2060"/>
      <c r="FY1587" s="2060"/>
      <c r="FZ1587" s="2060"/>
      <c r="GA1587" s="2060"/>
      <c r="GB1587" s="2060"/>
      <c r="GC1587" s="2060"/>
      <c r="GD1587" s="2060"/>
      <c r="GE1587" s="2060"/>
      <c r="GF1587" s="2060"/>
      <c r="GG1587" s="2060"/>
      <c r="GH1587" s="2060"/>
      <c r="GI1587" s="2060"/>
      <c r="GJ1587" s="2060"/>
      <c r="GK1587" s="2060"/>
      <c r="GL1587" s="2060"/>
      <c r="GM1587" s="2060"/>
      <c r="GN1587" s="2060"/>
      <c r="GO1587" s="2060"/>
      <c r="GP1587" s="2060"/>
      <c r="GQ1587" s="2060"/>
      <c r="GR1587" s="2060"/>
      <c r="GS1587" s="2060"/>
      <c r="GT1587" s="2060"/>
      <c r="GU1587" s="2060"/>
      <c r="GV1587" s="2060"/>
      <c r="GW1587" s="2060"/>
      <c r="GX1587" s="2060"/>
      <c r="GY1587" s="2060"/>
      <c r="GZ1587" s="2060"/>
      <c r="HA1587" s="2060"/>
      <c r="HB1587" s="2060"/>
      <c r="HC1587" s="2060"/>
      <c r="HD1587" s="2060"/>
      <c r="HE1587" s="2060"/>
      <c r="HF1587" s="2060"/>
      <c r="HG1587" s="2060"/>
      <c r="HH1587" s="2060"/>
      <c r="HI1587" s="2060"/>
      <c r="HJ1587" s="2060"/>
      <c r="HK1587" s="2060"/>
      <c r="HL1587" s="2060"/>
      <c r="HM1587" s="2060"/>
      <c r="HN1587" s="2060"/>
      <c r="HO1587" s="2060"/>
      <c r="HP1587" s="2060"/>
      <c r="HQ1587" s="2060"/>
      <c r="HR1587" s="2060"/>
      <c r="HS1587" s="2060"/>
      <c r="HT1587" s="2060"/>
      <c r="HU1587" s="2060"/>
      <c r="HV1587" s="2060"/>
      <c r="HW1587" s="2060"/>
      <c r="HX1587" s="2060"/>
      <c r="HY1587" s="2060"/>
      <c r="HZ1587" s="2060"/>
      <c r="IA1587" s="2060"/>
      <c r="IB1587" s="2060"/>
      <c r="IC1587" s="2060"/>
      <c r="ID1587" s="2060"/>
      <c r="IE1587" s="2060"/>
      <c r="IF1587" s="2060"/>
      <c r="IG1587" s="2060"/>
      <c r="IH1587" s="2060"/>
      <c r="II1587" s="2060"/>
      <c r="IJ1587" s="2060"/>
      <c r="IK1587" s="2060"/>
      <c r="IL1587" s="2060"/>
      <c r="IM1587" s="2060"/>
      <c r="IN1587" s="2060"/>
      <c r="IO1587" s="2060"/>
      <c r="IP1587" s="2060"/>
      <c r="IQ1587" s="2060"/>
      <c r="IR1587" s="2060"/>
      <c r="IS1587" s="2060"/>
      <c r="IT1587" s="2060"/>
      <c r="IU1587" s="2060"/>
      <c r="IV1587" s="2060"/>
      <c r="IW1587" s="2060"/>
      <c r="IX1587" s="2060"/>
      <c r="IY1587" s="2060"/>
      <c r="IZ1587" s="2060"/>
      <c r="JA1587" s="2060"/>
      <c r="JB1587" s="2060"/>
      <c r="JC1587" s="2060"/>
      <c r="JD1587" s="2060"/>
      <c r="JE1587" s="2060"/>
      <c r="JF1587" s="2060"/>
      <c r="JG1587" s="2060"/>
      <c r="JH1587" s="2060"/>
      <c r="JI1587" s="2060"/>
      <c r="JJ1587" s="2060"/>
      <c r="JK1587" s="2060"/>
      <c r="JL1587" s="2060"/>
      <c r="JM1587" s="2060"/>
      <c r="JN1587" s="2060"/>
      <c r="JO1587" s="2060"/>
      <c r="JP1587" s="2060"/>
      <c r="JQ1587" s="2060"/>
      <c r="JR1587" s="2060"/>
      <c r="JS1587" s="2060"/>
      <c r="JT1587" s="2060"/>
      <c r="JU1587" s="2060"/>
      <c r="JV1587" s="2060"/>
      <c r="JW1587" s="2060"/>
      <c r="JX1587" s="2060"/>
      <c r="JY1587" s="2060"/>
      <c r="JZ1587" s="2060"/>
      <c r="KA1587" s="2060"/>
      <c r="KB1587" s="2060"/>
      <c r="KC1587" s="2060"/>
      <c r="KD1587" s="2060"/>
      <c r="KE1587" s="2060"/>
      <c r="KF1587" s="2060"/>
      <c r="KG1587" s="2060"/>
      <c r="KH1587" s="2060"/>
      <c r="KI1587" s="2060"/>
      <c r="KJ1587" s="2060"/>
      <c r="KK1587" s="2060"/>
      <c r="KL1587" s="2060"/>
      <c r="KM1587" s="2060"/>
      <c r="KN1587" s="2060"/>
      <c r="KO1587" s="2060"/>
      <c r="KP1587" s="2060"/>
      <c r="KQ1587" s="2060"/>
      <c r="KR1587" s="2060"/>
      <c r="KS1587" s="2060"/>
      <c r="KT1587" s="2060"/>
      <c r="KU1587" s="2060"/>
      <c r="KV1587" s="2060"/>
      <c r="KW1587" s="2060"/>
      <c r="KX1587" s="2060"/>
      <c r="KY1587" s="2060"/>
      <c r="KZ1587" s="2060"/>
      <c r="LA1587" s="2060"/>
      <c r="LB1587" s="2060"/>
      <c r="LC1587" s="2060"/>
      <c r="LD1587" s="2060"/>
      <c r="LE1587" s="2060"/>
      <c r="LF1587" s="2060"/>
      <c r="LG1587" s="2060"/>
      <c r="LH1587" s="2060"/>
    </row>
    <row r="1588" spans="1:320" s="449" customFormat="1" ht="13.9">
      <c r="A1588" s="269" t="str">
        <f>IF(F1588="--","n","")</f>
        <v>n</v>
      </c>
      <c r="B1588" s="2060"/>
      <c r="C1588" s="2060"/>
      <c r="D1588" s="2060"/>
      <c r="E1588" s="1661">
        <v>1</v>
      </c>
      <c r="F1588" s="1353" t="str">
        <f>F$129</f>
        <v>--</v>
      </c>
      <c r="G1588" s="128">
        <f>G$129</f>
        <v>0</v>
      </c>
      <c r="H1588" s="128" t="str">
        <f>H$129</f>
        <v>--</v>
      </c>
      <c r="I1588" s="89" t="s">
        <v>781</v>
      </c>
      <c r="J1588" s="2197" t="str">
        <f>IF($G1588=0,"",IFERROR(_xll.ciqfunctions.udf.CIQ($G1588,$I1588,J$1557,Valuation_Date_GC,ReportType,DataMode,$H1588,FXMode)*Scale,"n/a"))</f>
        <v/>
      </c>
      <c r="K1588" s="2197" t="str">
        <f>IF($G1588=0,"",IFERROR(_xll.ciqfunctions.udf.CIQ($G1588,$I1588,K$1557,Valuation_Date_GC,ReportType,DataMode,$H1588,FXMode)*Scale,"n/a"))</f>
        <v/>
      </c>
      <c r="L1588" s="2197" t="str">
        <f>IF($G1588=0,"",IFERROR(_xll.ciqfunctions.udf.CIQ($G1588,$I1588,L$1557,Valuation_Date_GC,ReportType,DataMode,$H1588,FXMode)*Scale,"n/a"))</f>
        <v/>
      </c>
      <c r="M1588" s="2197" t="str">
        <f>IF($G1588=0,"",IFERROR(_xll.ciqfunctions.udf.CIQ($G1588,$I1588,M$1557,Valuation_Date_GC,ReportType,DataMode,$H1588,FXMode)*Scale,"n/a"))</f>
        <v/>
      </c>
      <c r="N1588" s="2197" t="str">
        <f>IF($G1588=0,"",IFERROR(_xll.ciqfunctions.udf.CIQ($G1588,$I1588,N$1557,Valuation_Date_GC,ReportType,DataMode,$H1588,FXMode)*Scale,"n/a"))</f>
        <v/>
      </c>
      <c r="O1588" s="2197" t="str">
        <f>IF($G1588=0,"",IFERROR(_xll.ciqfunctions.udf.CIQ($G1588,$I1588,O$1557,Valuation_Date_GC,ReportType,DataMode,$H1588,FXMode)*Scale,"n/a"))</f>
        <v/>
      </c>
      <c r="P1588" s="2197" t="str">
        <f>IF($G1588=0,"",IFERROR(_xll.ciqfunctions.udf.CIQ($G1588,$I1588,P$1557,Valuation_Date_GC,ReportType,DataMode,$H1588,FXMode)*Scale,"n/a"))</f>
        <v/>
      </c>
      <c r="Q1588" s="2197" t="str">
        <f>IF($G1588=0,"",IFERROR(_xll.ciqfunctions.udf.CIQ($G1588,$I1588,Q$1557,Valuation_Date_GC,ReportType,DataMode,$H1588,FXMode)*Scale,"n/a"))</f>
        <v/>
      </c>
      <c r="R1588" s="2197" t="str">
        <f>IF($G1588=0,"",IFERROR(_xll.ciqfunctions.udf.CIQ($G1588,$I1588,R$1557,Valuation_Date_GC,ReportType,DataMode,$H1588,FXMode)*Scale,"n/a"))</f>
        <v/>
      </c>
      <c r="S1588" s="2197" t="str">
        <f>IF($G1588=0,"",IFERROR(_xll.ciqfunctions.udf.CIQ($G1588,$I1588,S$1557,Valuation_Date_GC,ReportType,DataMode,$H1588,FXMode)*Scale,"n/a"))</f>
        <v/>
      </c>
      <c r="T1588" s="2197" t="str">
        <f>IF($G1588=0,"",IFERROR(_xll.ciqfunctions.udf.CIQ($G1588,$I1588,T$1557,Valuation_Date_GC,ReportType,DataMode,$H1588,FXMode)*Scale,"n/a"))</f>
        <v/>
      </c>
      <c r="U1588" s="2197" t="str">
        <f>IF($G1588=0,"",IFERROR(_xll.ciqfunctions.udf.CIQ($G1588,$I1588,U$1557,Valuation_Date_GC,ReportType,DataMode,$H1588,FXMode)*Scale,"n/a"))</f>
        <v/>
      </c>
      <c r="V1588" s="2197" t="str">
        <f>IF($G1588=0,"",IFERROR(_xll.ciqfunctions.udf.CIQ($G1588,$I1588,V$1557,Valuation_Date_GC,ReportType,DataMode,$H1588,FXMode)*Scale,"n/a"))</f>
        <v/>
      </c>
      <c r="W1588" s="1479"/>
      <c r="X1588" s="255"/>
      <c r="Y1588" s="89"/>
      <c r="Z1588" s="2060"/>
      <c r="AA1588" s="2060"/>
      <c r="AB1588" s="2060"/>
      <c r="AC1588" s="2060"/>
      <c r="AD1588" s="2060"/>
      <c r="AE1588" s="2060"/>
      <c r="AF1588" s="2060"/>
      <c r="AG1588" s="2060"/>
      <c r="AH1588" s="2060"/>
      <c r="AI1588" s="2060"/>
      <c r="AJ1588" s="2060"/>
      <c r="AK1588" s="2060"/>
      <c r="AL1588" s="2060"/>
      <c r="AM1588" s="2060"/>
      <c r="AN1588" s="2060"/>
      <c r="AO1588" s="2060"/>
      <c r="AP1588" s="2060"/>
      <c r="AQ1588" s="2060"/>
      <c r="AR1588" s="2060"/>
      <c r="AS1588" s="2060"/>
      <c r="AT1588" s="2060"/>
      <c r="AU1588" s="2060"/>
      <c r="AV1588" s="2060"/>
      <c r="AW1588" s="2060"/>
      <c r="AX1588" s="2060"/>
      <c r="AY1588" s="2060"/>
      <c r="AZ1588" s="2060"/>
      <c r="BA1588" s="2060"/>
      <c r="BB1588" s="2060"/>
      <c r="BC1588" s="2060"/>
      <c r="BD1588" s="2060"/>
      <c r="BE1588" s="2060"/>
      <c r="BF1588" s="2060"/>
      <c r="BG1588" s="2060"/>
      <c r="BH1588" s="2060"/>
      <c r="BI1588" s="2060"/>
      <c r="BJ1588" s="2060"/>
      <c r="BK1588" s="2060"/>
      <c r="BL1588" s="2060"/>
      <c r="BM1588" s="2060"/>
      <c r="BN1588" s="2060"/>
      <c r="BO1588" s="2060"/>
      <c r="BP1588" s="2060"/>
      <c r="BQ1588" s="2060"/>
      <c r="BR1588" s="2060"/>
      <c r="BS1588" s="2060"/>
      <c r="BT1588" s="2060"/>
      <c r="BU1588" s="2060"/>
      <c r="BV1588" s="2060"/>
      <c r="BW1588" s="2060"/>
      <c r="BX1588" s="2060"/>
      <c r="BY1588" s="2060"/>
      <c r="BZ1588" s="2060"/>
      <c r="CA1588" s="2060"/>
      <c r="CB1588" s="2060"/>
      <c r="CC1588" s="2060"/>
      <c r="CD1588" s="2060"/>
      <c r="CE1588" s="2060"/>
      <c r="CF1588" s="2060"/>
      <c r="CG1588" s="2060"/>
      <c r="CH1588" s="2060"/>
      <c r="CI1588" s="2060"/>
      <c r="CJ1588" s="2060"/>
      <c r="CK1588" s="2060"/>
      <c r="CL1588" s="2060"/>
      <c r="CM1588" s="2060"/>
      <c r="CN1588" s="2060"/>
      <c r="CO1588" s="2060"/>
      <c r="CP1588" s="2060"/>
      <c r="CQ1588" s="2060"/>
      <c r="CR1588" s="2060"/>
      <c r="CS1588" s="2060"/>
      <c r="CT1588" s="2060"/>
      <c r="CU1588" s="2060"/>
      <c r="CV1588" s="2060"/>
      <c r="CW1588" s="2060"/>
      <c r="CX1588" s="2060"/>
      <c r="CY1588" s="2060"/>
      <c r="CZ1588" s="2060"/>
      <c r="DA1588" s="2060"/>
      <c r="DB1588" s="2060"/>
      <c r="DC1588" s="2060"/>
      <c r="DD1588" s="2060"/>
      <c r="DE1588" s="2060"/>
      <c r="DF1588" s="2060"/>
      <c r="DG1588" s="2060"/>
      <c r="DH1588" s="2060"/>
      <c r="DI1588" s="2060"/>
      <c r="DJ1588" s="2060"/>
      <c r="DK1588" s="2060"/>
      <c r="DL1588" s="2060"/>
      <c r="DM1588" s="2060"/>
      <c r="DN1588" s="2060"/>
      <c r="DO1588" s="2060"/>
      <c r="DP1588" s="2060"/>
      <c r="DQ1588" s="2060"/>
      <c r="DR1588" s="2060"/>
      <c r="DS1588" s="2060"/>
      <c r="DT1588" s="2060"/>
      <c r="DU1588" s="2060"/>
      <c r="DV1588" s="2060"/>
      <c r="DW1588" s="2060"/>
      <c r="DX1588" s="2060"/>
      <c r="DY1588" s="2060"/>
      <c r="DZ1588" s="2060"/>
      <c r="EA1588" s="2060"/>
      <c r="EB1588" s="2060"/>
      <c r="EC1588" s="2060"/>
      <c r="ED1588" s="2060"/>
      <c r="EE1588" s="2060"/>
      <c r="EF1588" s="2060"/>
      <c r="EG1588" s="2060"/>
      <c r="EH1588" s="2060"/>
      <c r="EI1588" s="2060"/>
      <c r="EJ1588" s="2060"/>
      <c r="EK1588" s="2060"/>
      <c r="EL1588" s="2060"/>
      <c r="EM1588" s="2060"/>
      <c r="EN1588" s="2060"/>
      <c r="EO1588" s="2060"/>
      <c r="EP1588" s="2060"/>
      <c r="EQ1588" s="2060"/>
      <c r="ER1588" s="2060"/>
      <c r="ES1588" s="2060"/>
      <c r="ET1588" s="2060"/>
      <c r="EU1588" s="2060"/>
      <c r="EV1588" s="2060"/>
      <c r="EW1588" s="2060"/>
      <c r="EX1588" s="2060"/>
      <c r="EY1588" s="2060"/>
      <c r="EZ1588" s="2060"/>
      <c r="FA1588" s="2060"/>
      <c r="FB1588" s="2060"/>
      <c r="FC1588" s="2060"/>
      <c r="FD1588" s="2060"/>
      <c r="FE1588" s="2060"/>
      <c r="FF1588" s="2060"/>
      <c r="FG1588" s="2060"/>
      <c r="FH1588" s="2060"/>
      <c r="FI1588" s="2060"/>
      <c r="FJ1588" s="2060"/>
      <c r="FK1588" s="2060"/>
      <c r="FL1588" s="2060"/>
      <c r="FM1588" s="2060"/>
      <c r="FN1588" s="2060"/>
      <c r="FO1588" s="2060"/>
      <c r="FP1588" s="2060"/>
      <c r="FQ1588" s="2060"/>
      <c r="FR1588" s="2060"/>
      <c r="FS1588" s="2060"/>
      <c r="FT1588" s="2060"/>
      <c r="FU1588" s="2060"/>
      <c r="FV1588" s="2060"/>
      <c r="FW1588" s="2060"/>
      <c r="FX1588" s="2060"/>
      <c r="FY1588" s="2060"/>
      <c r="FZ1588" s="2060"/>
      <c r="GA1588" s="2060"/>
      <c r="GB1588" s="2060"/>
      <c r="GC1588" s="2060"/>
      <c r="GD1588" s="2060"/>
      <c r="GE1588" s="2060"/>
      <c r="GF1588" s="2060"/>
      <c r="GG1588" s="2060"/>
      <c r="GH1588" s="2060"/>
      <c r="GI1588" s="2060"/>
      <c r="GJ1588" s="2060"/>
      <c r="GK1588" s="2060"/>
      <c r="GL1588" s="2060"/>
      <c r="GM1588" s="2060"/>
      <c r="GN1588" s="2060"/>
      <c r="GO1588" s="2060"/>
      <c r="GP1588" s="2060"/>
      <c r="GQ1588" s="2060"/>
      <c r="GR1588" s="2060"/>
      <c r="GS1588" s="2060"/>
      <c r="GT1588" s="2060"/>
      <c r="GU1588" s="2060"/>
      <c r="GV1588" s="2060"/>
      <c r="GW1588" s="2060"/>
      <c r="GX1588" s="2060"/>
      <c r="GY1588" s="2060"/>
      <c r="GZ1588" s="2060"/>
      <c r="HA1588" s="2060"/>
      <c r="HB1588" s="2060"/>
      <c r="HC1588" s="2060"/>
      <c r="HD1588" s="2060"/>
      <c r="HE1588" s="2060"/>
      <c r="HF1588" s="2060"/>
      <c r="HG1588" s="2060"/>
      <c r="HH1588" s="2060"/>
      <c r="HI1588" s="2060"/>
      <c r="HJ1588" s="2060"/>
      <c r="HK1588" s="2060"/>
      <c r="HL1588" s="2060"/>
      <c r="HM1588" s="2060"/>
      <c r="HN1588" s="2060"/>
      <c r="HO1588" s="2060"/>
      <c r="HP1588" s="2060"/>
      <c r="HQ1588" s="2060"/>
      <c r="HR1588" s="2060"/>
      <c r="HS1588" s="2060"/>
      <c r="HT1588" s="2060"/>
      <c r="HU1588" s="2060"/>
      <c r="HV1588" s="2060"/>
      <c r="HW1588" s="2060"/>
      <c r="HX1588" s="2060"/>
      <c r="HY1588" s="2060"/>
      <c r="HZ1588" s="2060"/>
      <c r="IA1588" s="2060"/>
      <c r="IB1588" s="2060"/>
      <c r="IC1588" s="2060"/>
      <c r="ID1588" s="2060"/>
      <c r="IE1588" s="2060"/>
      <c r="IF1588" s="2060"/>
      <c r="IG1588" s="2060"/>
      <c r="IH1588" s="2060"/>
      <c r="II1588" s="2060"/>
      <c r="IJ1588" s="2060"/>
      <c r="IK1588" s="2060"/>
      <c r="IL1588" s="2060"/>
      <c r="IM1588" s="2060"/>
      <c r="IN1588" s="2060"/>
      <c r="IO1588" s="2060"/>
      <c r="IP1588" s="2060"/>
      <c r="IQ1588" s="2060"/>
      <c r="IR1588" s="2060"/>
      <c r="IS1588" s="2060"/>
      <c r="IT1588" s="2060"/>
      <c r="IU1588" s="2060"/>
      <c r="IV1588" s="2060"/>
      <c r="IW1588" s="2060"/>
      <c r="IX1588" s="2060"/>
      <c r="IY1588" s="2060"/>
      <c r="IZ1588" s="2060"/>
      <c r="JA1588" s="2060"/>
      <c r="JB1588" s="2060"/>
      <c r="JC1588" s="2060"/>
      <c r="JD1588" s="2060"/>
      <c r="JE1588" s="2060"/>
      <c r="JF1588" s="2060"/>
      <c r="JG1588" s="2060"/>
      <c r="JH1588" s="2060"/>
      <c r="JI1588" s="2060"/>
      <c r="JJ1588" s="2060"/>
      <c r="JK1588" s="2060"/>
      <c r="JL1588" s="2060"/>
      <c r="JM1588" s="2060"/>
      <c r="JN1588" s="2060"/>
      <c r="JO1588" s="2060"/>
      <c r="JP1588" s="2060"/>
      <c r="JQ1588" s="2060"/>
      <c r="JR1588" s="2060"/>
      <c r="JS1588" s="2060"/>
      <c r="JT1588" s="2060"/>
      <c r="JU1588" s="2060"/>
      <c r="JV1588" s="2060"/>
      <c r="JW1588" s="2060"/>
      <c r="JX1588" s="2060"/>
      <c r="JY1588" s="2060"/>
      <c r="JZ1588" s="2060"/>
      <c r="KA1588" s="2060"/>
      <c r="KB1588" s="2060"/>
      <c r="KC1588" s="2060"/>
      <c r="KD1588" s="2060"/>
      <c r="KE1588" s="2060"/>
      <c r="KF1588" s="2060"/>
      <c r="KG1588" s="2060"/>
      <c r="KH1588" s="2060"/>
      <c r="KI1588" s="2060"/>
      <c r="KJ1588" s="2060"/>
      <c r="KK1588" s="2060"/>
      <c r="KL1588" s="2060"/>
      <c r="KM1588" s="2060"/>
      <c r="KN1588" s="2060"/>
      <c r="KO1588" s="2060"/>
      <c r="KP1588" s="2060"/>
      <c r="KQ1588" s="2060"/>
      <c r="KR1588" s="2060"/>
      <c r="KS1588" s="2060"/>
      <c r="KT1588" s="2060"/>
      <c r="KU1588" s="2060"/>
      <c r="KV1588" s="2060"/>
      <c r="KW1588" s="2060"/>
      <c r="KX1588" s="2060"/>
      <c r="KY1588" s="2060"/>
      <c r="KZ1588" s="2060"/>
      <c r="LA1588" s="2060"/>
      <c r="LB1588" s="2060"/>
      <c r="LC1588" s="2060"/>
      <c r="LD1588" s="2060"/>
      <c r="LE1588" s="2060"/>
      <c r="LF1588" s="2060"/>
      <c r="LG1588" s="2060"/>
      <c r="LH1588" s="2060"/>
    </row>
    <row r="1589" spans="1:320" s="449" customFormat="1" ht="13.9">
      <c r="A1589" s="269" t="str">
        <f t="shared" ref="A1589:A1612" si="440">IF(F1589="--","n","")</f>
        <v>n</v>
      </c>
      <c r="B1589" s="2060"/>
      <c r="C1589" s="2060"/>
      <c r="D1589" s="2060"/>
      <c r="E1589" s="1661">
        <v>2</v>
      </c>
      <c r="F1589" s="1353" t="str">
        <f>F$130</f>
        <v>--</v>
      </c>
      <c r="G1589" s="128">
        <f>G$130</f>
        <v>0</v>
      </c>
      <c r="H1589" s="128" t="str">
        <f>H$130</f>
        <v>--</v>
      </c>
      <c r="I1589" s="89" t="s">
        <v>781</v>
      </c>
      <c r="J1589" s="2197" t="str">
        <f>IF($G1589=0,"",IFERROR(_xll.ciqfunctions.udf.CIQ($G1589,$I1589,J$1557,Valuation_Date_GC,ReportType,DataMode,$H1589,FXMode)*Scale,"n/a"))</f>
        <v/>
      </c>
      <c r="K1589" s="2197" t="str">
        <f>IF($G1589=0,"",IFERROR(_xll.ciqfunctions.udf.CIQ($G1589,$I1589,K$1557,Valuation_Date_GC,ReportType,DataMode,$H1589,FXMode)*Scale,"n/a"))</f>
        <v/>
      </c>
      <c r="L1589" s="2197" t="str">
        <f>IF($G1589=0,"",IFERROR(_xll.ciqfunctions.udf.CIQ($G1589,$I1589,L$1557,Valuation_Date_GC,ReportType,DataMode,$H1589,FXMode)*Scale,"n/a"))</f>
        <v/>
      </c>
      <c r="M1589" s="2197" t="str">
        <f>IF($G1589=0,"",IFERROR(_xll.ciqfunctions.udf.CIQ($G1589,$I1589,M$1557,Valuation_Date_GC,ReportType,DataMode,$H1589,FXMode)*Scale,"n/a"))</f>
        <v/>
      </c>
      <c r="N1589" s="2197" t="str">
        <f>IF($G1589=0,"",IFERROR(_xll.ciqfunctions.udf.CIQ($G1589,$I1589,N$1557,Valuation_Date_GC,ReportType,DataMode,$H1589,FXMode)*Scale,"n/a"))</f>
        <v/>
      </c>
      <c r="O1589" s="2197" t="str">
        <f>IF($G1589=0,"",IFERROR(_xll.ciqfunctions.udf.CIQ($G1589,$I1589,O$1557,Valuation_Date_GC,ReportType,DataMode,$H1589,FXMode)*Scale,"n/a"))</f>
        <v/>
      </c>
      <c r="P1589" s="2197" t="str">
        <f>IF($G1589=0,"",IFERROR(_xll.ciqfunctions.udf.CIQ($G1589,$I1589,P$1557,Valuation_Date_GC,ReportType,DataMode,$H1589,FXMode)*Scale,"n/a"))</f>
        <v/>
      </c>
      <c r="Q1589" s="2197" t="str">
        <f>IF($G1589=0,"",IFERROR(_xll.ciqfunctions.udf.CIQ($G1589,$I1589,Q$1557,Valuation_Date_GC,ReportType,DataMode,$H1589,FXMode)*Scale,"n/a"))</f>
        <v/>
      </c>
      <c r="R1589" s="2197" t="str">
        <f>IF($G1589=0,"",IFERROR(_xll.ciqfunctions.udf.CIQ($G1589,$I1589,R$1557,Valuation_Date_GC,ReportType,DataMode,$H1589,FXMode)*Scale,"n/a"))</f>
        <v/>
      </c>
      <c r="S1589" s="2197" t="str">
        <f>IF($G1589=0,"",IFERROR(_xll.ciqfunctions.udf.CIQ($G1589,$I1589,S$1557,Valuation_Date_GC,ReportType,DataMode,$H1589,FXMode)*Scale,"n/a"))</f>
        <v/>
      </c>
      <c r="T1589" s="2197" t="str">
        <f>IF($G1589=0,"",IFERROR(_xll.ciqfunctions.udf.CIQ($G1589,$I1589,T$1557,Valuation_Date_GC,ReportType,DataMode,$H1589,FXMode)*Scale,"n/a"))</f>
        <v/>
      </c>
      <c r="U1589" s="2197" t="str">
        <f>IF($G1589=0,"",IFERROR(_xll.ciqfunctions.udf.CIQ($G1589,$I1589,U$1557,Valuation_Date_GC,ReportType,DataMode,$H1589,FXMode)*Scale,"n/a"))</f>
        <v/>
      </c>
      <c r="V1589" s="2197" t="str">
        <f>IF($G1589=0,"",IFERROR(_xll.ciqfunctions.udf.CIQ($G1589,$I1589,V$1557,Valuation_Date_GC,ReportType,DataMode,$H1589,FXMode)*Scale,"n/a"))</f>
        <v/>
      </c>
      <c r="W1589" s="1479"/>
      <c r="X1589" s="255"/>
      <c r="Y1589" s="89"/>
      <c r="Z1589" s="2060"/>
      <c r="AA1589" s="2060"/>
      <c r="AB1589" s="2060"/>
      <c r="AC1589" s="2060"/>
      <c r="AD1589" s="2060"/>
      <c r="AE1589" s="2060"/>
      <c r="AF1589" s="2060"/>
      <c r="AG1589" s="2060"/>
      <c r="AH1589" s="2060"/>
      <c r="AI1589" s="2060"/>
      <c r="AJ1589" s="2060"/>
      <c r="AK1589" s="2060"/>
      <c r="AL1589" s="2060"/>
      <c r="AM1589" s="2060"/>
      <c r="AN1589" s="2060"/>
      <c r="AO1589" s="2060"/>
      <c r="AP1589" s="2060"/>
      <c r="AQ1589" s="2060"/>
      <c r="AR1589" s="2060"/>
      <c r="AS1589" s="2060"/>
      <c r="AT1589" s="2060"/>
      <c r="AU1589" s="2060"/>
      <c r="AV1589" s="2060"/>
      <c r="AW1589" s="2060"/>
      <c r="AX1589" s="2060"/>
      <c r="AY1589" s="2060"/>
      <c r="AZ1589" s="2060"/>
      <c r="BA1589" s="2060"/>
      <c r="BB1589" s="2060"/>
      <c r="BC1589" s="2060"/>
      <c r="BD1589" s="2060"/>
      <c r="BE1589" s="2060"/>
      <c r="BF1589" s="2060"/>
      <c r="BG1589" s="2060"/>
      <c r="BH1589" s="2060"/>
      <c r="BI1589" s="2060"/>
      <c r="BJ1589" s="2060"/>
      <c r="BK1589" s="2060"/>
      <c r="BL1589" s="2060"/>
      <c r="BM1589" s="2060"/>
      <c r="BN1589" s="2060"/>
      <c r="BO1589" s="2060"/>
      <c r="BP1589" s="2060"/>
      <c r="BQ1589" s="2060"/>
      <c r="BR1589" s="2060"/>
      <c r="BS1589" s="2060"/>
      <c r="BT1589" s="2060"/>
      <c r="BU1589" s="2060"/>
      <c r="BV1589" s="2060"/>
      <c r="BW1589" s="2060"/>
      <c r="BX1589" s="2060"/>
      <c r="BY1589" s="2060"/>
      <c r="BZ1589" s="2060"/>
      <c r="CA1589" s="2060"/>
      <c r="CB1589" s="2060"/>
      <c r="CC1589" s="2060"/>
      <c r="CD1589" s="2060"/>
      <c r="CE1589" s="2060"/>
      <c r="CF1589" s="2060"/>
      <c r="CG1589" s="2060"/>
      <c r="CH1589" s="2060"/>
      <c r="CI1589" s="2060"/>
      <c r="CJ1589" s="2060"/>
      <c r="CK1589" s="2060"/>
      <c r="CL1589" s="2060"/>
      <c r="CM1589" s="2060"/>
      <c r="CN1589" s="2060"/>
      <c r="CO1589" s="2060"/>
      <c r="CP1589" s="2060"/>
      <c r="CQ1589" s="2060"/>
      <c r="CR1589" s="2060"/>
      <c r="CS1589" s="2060"/>
      <c r="CT1589" s="2060"/>
      <c r="CU1589" s="2060"/>
      <c r="CV1589" s="2060"/>
      <c r="CW1589" s="2060"/>
      <c r="CX1589" s="2060"/>
      <c r="CY1589" s="2060"/>
      <c r="CZ1589" s="2060"/>
      <c r="DA1589" s="2060"/>
      <c r="DB1589" s="2060"/>
      <c r="DC1589" s="2060"/>
      <c r="DD1589" s="2060"/>
      <c r="DE1589" s="2060"/>
      <c r="DF1589" s="2060"/>
      <c r="DG1589" s="2060"/>
      <c r="DH1589" s="2060"/>
      <c r="DI1589" s="2060"/>
      <c r="DJ1589" s="2060"/>
      <c r="DK1589" s="2060"/>
      <c r="DL1589" s="2060"/>
      <c r="DM1589" s="2060"/>
      <c r="DN1589" s="2060"/>
      <c r="DO1589" s="2060"/>
      <c r="DP1589" s="2060"/>
      <c r="DQ1589" s="2060"/>
      <c r="DR1589" s="2060"/>
      <c r="DS1589" s="2060"/>
      <c r="DT1589" s="2060"/>
      <c r="DU1589" s="2060"/>
      <c r="DV1589" s="2060"/>
      <c r="DW1589" s="2060"/>
      <c r="DX1589" s="2060"/>
      <c r="DY1589" s="2060"/>
      <c r="DZ1589" s="2060"/>
      <c r="EA1589" s="2060"/>
      <c r="EB1589" s="2060"/>
      <c r="EC1589" s="2060"/>
      <c r="ED1589" s="2060"/>
      <c r="EE1589" s="2060"/>
      <c r="EF1589" s="2060"/>
      <c r="EG1589" s="2060"/>
      <c r="EH1589" s="2060"/>
      <c r="EI1589" s="2060"/>
      <c r="EJ1589" s="2060"/>
      <c r="EK1589" s="2060"/>
      <c r="EL1589" s="2060"/>
      <c r="EM1589" s="2060"/>
      <c r="EN1589" s="2060"/>
      <c r="EO1589" s="2060"/>
      <c r="EP1589" s="2060"/>
      <c r="EQ1589" s="2060"/>
      <c r="ER1589" s="2060"/>
      <c r="ES1589" s="2060"/>
      <c r="ET1589" s="2060"/>
      <c r="EU1589" s="2060"/>
      <c r="EV1589" s="2060"/>
      <c r="EW1589" s="2060"/>
      <c r="EX1589" s="2060"/>
      <c r="EY1589" s="2060"/>
      <c r="EZ1589" s="2060"/>
      <c r="FA1589" s="2060"/>
      <c r="FB1589" s="2060"/>
      <c r="FC1589" s="2060"/>
      <c r="FD1589" s="2060"/>
      <c r="FE1589" s="2060"/>
      <c r="FF1589" s="2060"/>
      <c r="FG1589" s="2060"/>
      <c r="FH1589" s="2060"/>
      <c r="FI1589" s="2060"/>
      <c r="FJ1589" s="2060"/>
      <c r="FK1589" s="2060"/>
      <c r="FL1589" s="2060"/>
      <c r="FM1589" s="2060"/>
      <c r="FN1589" s="2060"/>
      <c r="FO1589" s="2060"/>
      <c r="FP1589" s="2060"/>
      <c r="FQ1589" s="2060"/>
      <c r="FR1589" s="2060"/>
      <c r="FS1589" s="2060"/>
      <c r="FT1589" s="2060"/>
      <c r="FU1589" s="2060"/>
      <c r="FV1589" s="2060"/>
      <c r="FW1589" s="2060"/>
      <c r="FX1589" s="2060"/>
      <c r="FY1589" s="2060"/>
      <c r="FZ1589" s="2060"/>
      <c r="GA1589" s="2060"/>
      <c r="GB1589" s="2060"/>
      <c r="GC1589" s="2060"/>
      <c r="GD1589" s="2060"/>
      <c r="GE1589" s="2060"/>
      <c r="GF1589" s="2060"/>
      <c r="GG1589" s="2060"/>
      <c r="GH1589" s="2060"/>
      <c r="GI1589" s="2060"/>
      <c r="GJ1589" s="2060"/>
      <c r="GK1589" s="2060"/>
      <c r="GL1589" s="2060"/>
      <c r="GM1589" s="2060"/>
      <c r="GN1589" s="2060"/>
      <c r="GO1589" s="2060"/>
      <c r="GP1589" s="2060"/>
      <c r="GQ1589" s="2060"/>
      <c r="GR1589" s="2060"/>
      <c r="GS1589" s="2060"/>
      <c r="GT1589" s="2060"/>
      <c r="GU1589" s="2060"/>
      <c r="GV1589" s="2060"/>
      <c r="GW1589" s="2060"/>
      <c r="GX1589" s="2060"/>
      <c r="GY1589" s="2060"/>
      <c r="GZ1589" s="2060"/>
      <c r="HA1589" s="2060"/>
      <c r="HB1589" s="2060"/>
      <c r="HC1589" s="2060"/>
      <c r="HD1589" s="2060"/>
      <c r="HE1589" s="2060"/>
      <c r="HF1589" s="2060"/>
      <c r="HG1589" s="2060"/>
      <c r="HH1589" s="2060"/>
      <c r="HI1589" s="2060"/>
      <c r="HJ1589" s="2060"/>
      <c r="HK1589" s="2060"/>
      <c r="HL1589" s="2060"/>
      <c r="HM1589" s="2060"/>
      <c r="HN1589" s="2060"/>
      <c r="HO1589" s="2060"/>
      <c r="HP1589" s="2060"/>
      <c r="HQ1589" s="2060"/>
      <c r="HR1589" s="2060"/>
      <c r="HS1589" s="2060"/>
      <c r="HT1589" s="2060"/>
      <c r="HU1589" s="2060"/>
      <c r="HV1589" s="2060"/>
      <c r="HW1589" s="2060"/>
      <c r="HX1589" s="2060"/>
      <c r="HY1589" s="2060"/>
      <c r="HZ1589" s="2060"/>
      <c r="IA1589" s="2060"/>
      <c r="IB1589" s="2060"/>
      <c r="IC1589" s="2060"/>
      <c r="ID1589" s="2060"/>
      <c r="IE1589" s="2060"/>
      <c r="IF1589" s="2060"/>
      <c r="IG1589" s="2060"/>
      <c r="IH1589" s="2060"/>
      <c r="II1589" s="2060"/>
      <c r="IJ1589" s="2060"/>
      <c r="IK1589" s="2060"/>
      <c r="IL1589" s="2060"/>
      <c r="IM1589" s="2060"/>
      <c r="IN1589" s="2060"/>
      <c r="IO1589" s="2060"/>
      <c r="IP1589" s="2060"/>
      <c r="IQ1589" s="2060"/>
      <c r="IR1589" s="2060"/>
      <c r="IS1589" s="2060"/>
      <c r="IT1589" s="2060"/>
      <c r="IU1589" s="2060"/>
      <c r="IV1589" s="2060"/>
      <c r="IW1589" s="2060"/>
      <c r="IX1589" s="2060"/>
      <c r="IY1589" s="2060"/>
      <c r="IZ1589" s="2060"/>
      <c r="JA1589" s="2060"/>
      <c r="JB1589" s="2060"/>
      <c r="JC1589" s="2060"/>
      <c r="JD1589" s="2060"/>
      <c r="JE1589" s="2060"/>
      <c r="JF1589" s="2060"/>
      <c r="JG1589" s="2060"/>
      <c r="JH1589" s="2060"/>
      <c r="JI1589" s="2060"/>
      <c r="JJ1589" s="2060"/>
      <c r="JK1589" s="2060"/>
      <c r="JL1589" s="2060"/>
      <c r="JM1589" s="2060"/>
      <c r="JN1589" s="2060"/>
      <c r="JO1589" s="2060"/>
      <c r="JP1589" s="2060"/>
      <c r="JQ1589" s="2060"/>
      <c r="JR1589" s="2060"/>
      <c r="JS1589" s="2060"/>
      <c r="JT1589" s="2060"/>
      <c r="JU1589" s="2060"/>
      <c r="JV1589" s="2060"/>
      <c r="JW1589" s="2060"/>
      <c r="JX1589" s="2060"/>
      <c r="JY1589" s="2060"/>
      <c r="JZ1589" s="2060"/>
      <c r="KA1589" s="2060"/>
      <c r="KB1589" s="2060"/>
      <c r="KC1589" s="2060"/>
      <c r="KD1589" s="2060"/>
      <c r="KE1589" s="2060"/>
      <c r="KF1589" s="2060"/>
      <c r="KG1589" s="2060"/>
      <c r="KH1589" s="2060"/>
      <c r="KI1589" s="2060"/>
      <c r="KJ1589" s="2060"/>
      <c r="KK1589" s="2060"/>
      <c r="KL1589" s="2060"/>
      <c r="KM1589" s="2060"/>
      <c r="KN1589" s="2060"/>
      <c r="KO1589" s="2060"/>
      <c r="KP1589" s="2060"/>
      <c r="KQ1589" s="2060"/>
      <c r="KR1589" s="2060"/>
      <c r="KS1589" s="2060"/>
      <c r="KT1589" s="2060"/>
      <c r="KU1589" s="2060"/>
      <c r="KV1589" s="2060"/>
      <c r="KW1589" s="2060"/>
      <c r="KX1589" s="2060"/>
      <c r="KY1589" s="2060"/>
      <c r="KZ1589" s="2060"/>
      <c r="LA1589" s="2060"/>
      <c r="LB1589" s="2060"/>
      <c r="LC1589" s="2060"/>
      <c r="LD1589" s="2060"/>
      <c r="LE1589" s="2060"/>
      <c r="LF1589" s="2060"/>
      <c r="LG1589" s="2060"/>
      <c r="LH1589" s="2060"/>
    </row>
    <row r="1590" spans="1:320" s="449" customFormat="1" ht="13.9">
      <c r="A1590" s="269" t="str">
        <f t="shared" si="440"/>
        <v>n</v>
      </c>
      <c r="B1590" s="2060"/>
      <c r="C1590" s="2060"/>
      <c r="D1590" s="2060"/>
      <c r="E1590" s="1661">
        <v>3</v>
      </c>
      <c r="F1590" s="1353" t="str">
        <f>F$131</f>
        <v>--</v>
      </c>
      <c r="G1590" s="128">
        <f>G$131</f>
        <v>0</v>
      </c>
      <c r="H1590" s="128" t="str">
        <f>H$131</f>
        <v>--</v>
      </c>
      <c r="I1590" s="89" t="s">
        <v>781</v>
      </c>
      <c r="J1590" s="2197" t="str">
        <f>IF($G1590=0,"",IFERROR(_xll.ciqfunctions.udf.CIQ($G1590,$I1590,J$1557,Valuation_Date_GC,ReportType,DataMode,$H1590,FXMode)*Scale,"n/a"))</f>
        <v/>
      </c>
      <c r="K1590" s="2197" t="str">
        <f>IF($G1590=0,"",IFERROR(_xll.ciqfunctions.udf.CIQ($G1590,$I1590,K$1557,Valuation_Date_GC,ReportType,DataMode,$H1590,FXMode)*Scale,"n/a"))</f>
        <v/>
      </c>
      <c r="L1590" s="2197" t="str">
        <f>IF($G1590=0,"",IFERROR(_xll.ciqfunctions.udf.CIQ($G1590,$I1590,L$1557,Valuation_Date_GC,ReportType,DataMode,$H1590,FXMode)*Scale,"n/a"))</f>
        <v/>
      </c>
      <c r="M1590" s="2197" t="str">
        <f>IF($G1590=0,"",IFERROR(_xll.ciqfunctions.udf.CIQ($G1590,$I1590,M$1557,Valuation_Date_GC,ReportType,DataMode,$H1590,FXMode)*Scale,"n/a"))</f>
        <v/>
      </c>
      <c r="N1590" s="2197" t="str">
        <f>IF($G1590=0,"",IFERROR(_xll.ciqfunctions.udf.CIQ($G1590,$I1590,N$1557,Valuation_Date_GC,ReportType,DataMode,$H1590,FXMode)*Scale,"n/a"))</f>
        <v/>
      </c>
      <c r="O1590" s="2197" t="str">
        <f>IF($G1590=0,"",IFERROR(_xll.ciqfunctions.udf.CIQ($G1590,$I1590,O$1557,Valuation_Date_GC,ReportType,DataMode,$H1590,FXMode)*Scale,"n/a"))</f>
        <v/>
      </c>
      <c r="P1590" s="2197" t="str">
        <f>IF($G1590=0,"",IFERROR(_xll.ciqfunctions.udf.CIQ($G1590,$I1590,P$1557,Valuation_Date_GC,ReportType,DataMode,$H1590,FXMode)*Scale,"n/a"))</f>
        <v/>
      </c>
      <c r="Q1590" s="2197" t="str">
        <f>IF($G1590=0,"",IFERROR(_xll.ciqfunctions.udf.CIQ($G1590,$I1590,Q$1557,Valuation_Date_GC,ReportType,DataMode,$H1590,FXMode)*Scale,"n/a"))</f>
        <v/>
      </c>
      <c r="R1590" s="2197" t="str">
        <f>IF($G1590=0,"",IFERROR(_xll.ciqfunctions.udf.CIQ($G1590,$I1590,R$1557,Valuation_Date_GC,ReportType,DataMode,$H1590,FXMode)*Scale,"n/a"))</f>
        <v/>
      </c>
      <c r="S1590" s="2197" t="str">
        <f>IF($G1590=0,"",IFERROR(_xll.ciqfunctions.udf.CIQ($G1590,$I1590,S$1557,Valuation_Date_GC,ReportType,DataMode,$H1590,FXMode)*Scale,"n/a"))</f>
        <v/>
      </c>
      <c r="T1590" s="2197" t="str">
        <f>IF($G1590=0,"",IFERROR(_xll.ciqfunctions.udf.CIQ($G1590,$I1590,T$1557,Valuation_Date_GC,ReportType,DataMode,$H1590,FXMode)*Scale,"n/a"))</f>
        <v/>
      </c>
      <c r="U1590" s="2197" t="str">
        <f>IF($G1590=0,"",IFERROR(_xll.ciqfunctions.udf.CIQ($G1590,$I1590,U$1557,Valuation_Date_GC,ReportType,DataMode,$H1590,FXMode)*Scale,"n/a"))</f>
        <v/>
      </c>
      <c r="V1590" s="2197" t="str">
        <f>IF($G1590=0,"",IFERROR(_xll.ciqfunctions.udf.CIQ($G1590,$I1590,V$1557,Valuation_Date_GC,ReportType,DataMode,$H1590,FXMode)*Scale,"n/a"))</f>
        <v/>
      </c>
      <c r="W1590" s="1479"/>
      <c r="X1590" s="255"/>
      <c r="Y1590" s="89"/>
      <c r="Z1590" s="2060"/>
      <c r="AA1590" s="2060"/>
      <c r="AB1590" s="2060"/>
      <c r="AC1590" s="2060"/>
      <c r="AD1590" s="2060"/>
      <c r="AE1590" s="2060"/>
      <c r="AF1590" s="2060"/>
      <c r="AG1590" s="2060"/>
      <c r="AH1590" s="2060"/>
      <c r="AI1590" s="2060"/>
      <c r="AJ1590" s="2060"/>
      <c r="AK1590" s="2060"/>
      <c r="AL1590" s="2060"/>
      <c r="AM1590" s="2060"/>
      <c r="AN1590" s="2060"/>
      <c r="AO1590" s="2060"/>
      <c r="AP1590" s="2060"/>
      <c r="AQ1590" s="2060"/>
      <c r="AR1590" s="2060"/>
      <c r="AS1590" s="2060"/>
      <c r="AT1590" s="2060"/>
      <c r="AU1590" s="2060"/>
      <c r="AV1590" s="2060"/>
      <c r="AW1590" s="2060"/>
      <c r="AX1590" s="2060"/>
      <c r="AY1590" s="2060"/>
      <c r="AZ1590" s="2060"/>
      <c r="BA1590" s="2060"/>
      <c r="BB1590" s="2060"/>
      <c r="BC1590" s="2060"/>
      <c r="BD1590" s="2060"/>
      <c r="BE1590" s="2060"/>
      <c r="BF1590" s="2060"/>
      <c r="BG1590" s="2060"/>
      <c r="BH1590" s="2060"/>
      <c r="BI1590" s="2060"/>
      <c r="BJ1590" s="2060"/>
      <c r="BK1590" s="2060"/>
      <c r="BL1590" s="2060"/>
      <c r="BM1590" s="2060"/>
      <c r="BN1590" s="2060"/>
      <c r="BO1590" s="2060"/>
      <c r="BP1590" s="2060"/>
      <c r="BQ1590" s="2060"/>
      <c r="BR1590" s="2060"/>
      <c r="BS1590" s="2060"/>
      <c r="BT1590" s="2060"/>
      <c r="BU1590" s="2060"/>
      <c r="BV1590" s="2060"/>
      <c r="BW1590" s="2060"/>
      <c r="BX1590" s="2060"/>
      <c r="BY1590" s="2060"/>
      <c r="BZ1590" s="2060"/>
      <c r="CA1590" s="2060"/>
      <c r="CB1590" s="2060"/>
      <c r="CC1590" s="2060"/>
      <c r="CD1590" s="2060"/>
      <c r="CE1590" s="2060"/>
      <c r="CF1590" s="2060"/>
      <c r="CG1590" s="2060"/>
      <c r="CH1590" s="2060"/>
      <c r="CI1590" s="2060"/>
      <c r="CJ1590" s="2060"/>
      <c r="CK1590" s="2060"/>
      <c r="CL1590" s="2060"/>
      <c r="CM1590" s="2060"/>
      <c r="CN1590" s="2060"/>
      <c r="CO1590" s="2060"/>
      <c r="CP1590" s="2060"/>
      <c r="CQ1590" s="2060"/>
      <c r="CR1590" s="2060"/>
      <c r="CS1590" s="2060"/>
      <c r="CT1590" s="2060"/>
      <c r="CU1590" s="2060"/>
      <c r="CV1590" s="2060"/>
      <c r="CW1590" s="2060"/>
      <c r="CX1590" s="2060"/>
      <c r="CY1590" s="2060"/>
      <c r="CZ1590" s="2060"/>
      <c r="DA1590" s="2060"/>
      <c r="DB1590" s="2060"/>
      <c r="DC1590" s="2060"/>
      <c r="DD1590" s="2060"/>
      <c r="DE1590" s="2060"/>
      <c r="DF1590" s="2060"/>
      <c r="DG1590" s="2060"/>
      <c r="DH1590" s="2060"/>
      <c r="DI1590" s="2060"/>
      <c r="DJ1590" s="2060"/>
      <c r="DK1590" s="2060"/>
      <c r="DL1590" s="2060"/>
      <c r="DM1590" s="2060"/>
      <c r="DN1590" s="2060"/>
      <c r="DO1590" s="2060"/>
      <c r="DP1590" s="2060"/>
      <c r="DQ1590" s="2060"/>
      <c r="DR1590" s="2060"/>
      <c r="DS1590" s="2060"/>
      <c r="DT1590" s="2060"/>
      <c r="DU1590" s="2060"/>
      <c r="DV1590" s="2060"/>
      <c r="DW1590" s="2060"/>
      <c r="DX1590" s="2060"/>
      <c r="DY1590" s="2060"/>
      <c r="DZ1590" s="2060"/>
      <c r="EA1590" s="2060"/>
      <c r="EB1590" s="2060"/>
      <c r="EC1590" s="2060"/>
      <c r="ED1590" s="2060"/>
      <c r="EE1590" s="2060"/>
      <c r="EF1590" s="2060"/>
      <c r="EG1590" s="2060"/>
      <c r="EH1590" s="2060"/>
      <c r="EI1590" s="2060"/>
      <c r="EJ1590" s="2060"/>
      <c r="EK1590" s="2060"/>
      <c r="EL1590" s="2060"/>
      <c r="EM1590" s="2060"/>
      <c r="EN1590" s="2060"/>
      <c r="EO1590" s="2060"/>
      <c r="EP1590" s="2060"/>
      <c r="EQ1590" s="2060"/>
      <c r="ER1590" s="2060"/>
      <c r="ES1590" s="2060"/>
      <c r="ET1590" s="2060"/>
      <c r="EU1590" s="2060"/>
      <c r="EV1590" s="2060"/>
      <c r="EW1590" s="2060"/>
      <c r="EX1590" s="2060"/>
      <c r="EY1590" s="2060"/>
      <c r="EZ1590" s="2060"/>
      <c r="FA1590" s="2060"/>
      <c r="FB1590" s="2060"/>
      <c r="FC1590" s="2060"/>
      <c r="FD1590" s="2060"/>
      <c r="FE1590" s="2060"/>
      <c r="FF1590" s="2060"/>
      <c r="FG1590" s="2060"/>
      <c r="FH1590" s="2060"/>
      <c r="FI1590" s="2060"/>
      <c r="FJ1590" s="2060"/>
      <c r="FK1590" s="2060"/>
      <c r="FL1590" s="2060"/>
      <c r="FM1590" s="2060"/>
      <c r="FN1590" s="2060"/>
      <c r="FO1590" s="2060"/>
      <c r="FP1590" s="2060"/>
      <c r="FQ1590" s="2060"/>
      <c r="FR1590" s="2060"/>
      <c r="FS1590" s="2060"/>
      <c r="FT1590" s="2060"/>
      <c r="FU1590" s="2060"/>
      <c r="FV1590" s="2060"/>
      <c r="FW1590" s="2060"/>
      <c r="FX1590" s="2060"/>
      <c r="FY1590" s="2060"/>
      <c r="FZ1590" s="2060"/>
      <c r="GA1590" s="2060"/>
      <c r="GB1590" s="2060"/>
      <c r="GC1590" s="2060"/>
      <c r="GD1590" s="2060"/>
      <c r="GE1590" s="2060"/>
      <c r="GF1590" s="2060"/>
      <c r="GG1590" s="2060"/>
      <c r="GH1590" s="2060"/>
      <c r="GI1590" s="2060"/>
      <c r="GJ1590" s="2060"/>
      <c r="GK1590" s="2060"/>
      <c r="GL1590" s="2060"/>
      <c r="GM1590" s="2060"/>
      <c r="GN1590" s="2060"/>
      <c r="GO1590" s="2060"/>
      <c r="GP1590" s="2060"/>
      <c r="GQ1590" s="2060"/>
      <c r="GR1590" s="2060"/>
      <c r="GS1590" s="2060"/>
      <c r="GT1590" s="2060"/>
      <c r="GU1590" s="2060"/>
      <c r="GV1590" s="2060"/>
      <c r="GW1590" s="2060"/>
      <c r="GX1590" s="2060"/>
      <c r="GY1590" s="2060"/>
      <c r="GZ1590" s="2060"/>
      <c r="HA1590" s="2060"/>
      <c r="HB1590" s="2060"/>
      <c r="HC1590" s="2060"/>
      <c r="HD1590" s="2060"/>
      <c r="HE1590" s="2060"/>
      <c r="HF1590" s="2060"/>
      <c r="HG1590" s="2060"/>
      <c r="HH1590" s="2060"/>
      <c r="HI1590" s="2060"/>
      <c r="HJ1590" s="2060"/>
      <c r="HK1590" s="2060"/>
      <c r="HL1590" s="2060"/>
      <c r="HM1590" s="2060"/>
      <c r="HN1590" s="2060"/>
      <c r="HO1590" s="2060"/>
      <c r="HP1590" s="2060"/>
      <c r="HQ1590" s="2060"/>
      <c r="HR1590" s="2060"/>
      <c r="HS1590" s="2060"/>
      <c r="HT1590" s="2060"/>
      <c r="HU1590" s="2060"/>
      <c r="HV1590" s="2060"/>
      <c r="HW1590" s="2060"/>
      <c r="HX1590" s="2060"/>
      <c r="HY1590" s="2060"/>
      <c r="HZ1590" s="2060"/>
      <c r="IA1590" s="2060"/>
      <c r="IB1590" s="2060"/>
      <c r="IC1590" s="2060"/>
      <c r="ID1590" s="2060"/>
      <c r="IE1590" s="2060"/>
      <c r="IF1590" s="2060"/>
      <c r="IG1590" s="2060"/>
      <c r="IH1590" s="2060"/>
      <c r="II1590" s="2060"/>
      <c r="IJ1590" s="2060"/>
      <c r="IK1590" s="2060"/>
      <c r="IL1590" s="2060"/>
      <c r="IM1590" s="2060"/>
      <c r="IN1590" s="2060"/>
      <c r="IO1590" s="2060"/>
      <c r="IP1590" s="2060"/>
      <c r="IQ1590" s="2060"/>
      <c r="IR1590" s="2060"/>
      <c r="IS1590" s="2060"/>
      <c r="IT1590" s="2060"/>
      <c r="IU1590" s="2060"/>
      <c r="IV1590" s="2060"/>
      <c r="IW1590" s="2060"/>
      <c r="IX1590" s="2060"/>
      <c r="IY1590" s="2060"/>
      <c r="IZ1590" s="2060"/>
      <c r="JA1590" s="2060"/>
      <c r="JB1590" s="2060"/>
      <c r="JC1590" s="2060"/>
      <c r="JD1590" s="2060"/>
      <c r="JE1590" s="2060"/>
      <c r="JF1590" s="2060"/>
      <c r="JG1590" s="2060"/>
      <c r="JH1590" s="2060"/>
      <c r="JI1590" s="2060"/>
      <c r="JJ1590" s="2060"/>
      <c r="JK1590" s="2060"/>
      <c r="JL1590" s="2060"/>
      <c r="JM1590" s="2060"/>
      <c r="JN1590" s="2060"/>
      <c r="JO1590" s="2060"/>
      <c r="JP1590" s="2060"/>
      <c r="JQ1590" s="2060"/>
      <c r="JR1590" s="2060"/>
      <c r="JS1590" s="2060"/>
      <c r="JT1590" s="2060"/>
      <c r="JU1590" s="2060"/>
      <c r="JV1590" s="2060"/>
      <c r="JW1590" s="2060"/>
      <c r="JX1590" s="2060"/>
      <c r="JY1590" s="2060"/>
      <c r="JZ1590" s="2060"/>
      <c r="KA1590" s="2060"/>
      <c r="KB1590" s="2060"/>
      <c r="KC1590" s="2060"/>
      <c r="KD1590" s="2060"/>
      <c r="KE1590" s="2060"/>
      <c r="KF1590" s="2060"/>
      <c r="KG1590" s="2060"/>
      <c r="KH1590" s="2060"/>
      <c r="KI1590" s="2060"/>
      <c r="KJ1590" s="2060"/>
      <c r="KK1590" s="2060"/>
      <c r="KL1590" s="2060"/>
      <c r="KM1590" s="2060"/>
      <c r="KN1590" s="2060"/>
      <c r="KO1590" s="2060"/>
      <c r="KP1590" s="2060"/>
      <c r="KQ1590" s="2060"/>
      <c r="KR1590" s="2060"/>
      <c r="KS1590" s="2060"/>
      <c r="KT1590" s="2060"/>
      <c r="KU1590" s="2060"/>
      <c r="KV1590" s="2060"/>
      <c r="KW1590" s="2060"/>
      <c r="KX1590" s="2060"/>
      <c r="KY1590" s="2060"/>
      <c r="KZ1590" s="2060"/>
      <c r="LA1590" s="2060"/>
      <c r="LB1590" s="2060"/>
      <c r="LC1590" s="2060"/>
      <c r="LD1590" s="2060"/>
      <c r="LE1590" s="2060"/>
      <c r="LF1590" s="2060"/>
      <c r="LG1590" s="2060"/>
      <c r="LH1590" s="2060"/>
    </row>
    <row r="1591" spans="1:320" s="449" customFormat="1" ht="13.9">
      <c r="A1591" s="269" t="str">
        <f t="shared" si="440"/>
        <v>n</v>
      </c>
      <c r="B1591" s="2060"/>
      <c r="C1591" s="2060"/>
      <c r="D1591" s="2060"/>
      <c r="E1591" s="1661">
        <v>4</v>
      </c>
      <c r="F1591" s="1353" t="str">
        <f>F$132</f>
        <v>--</v>
      </c>
      <c r="G1591" s="128">
        <f>G$132</f>
        <v>0</v>
      </c>
      <c r="H1591" s="128" t="str">
        <f>H$132</f>
        <v>--</v>
      </c>
      <c r="I1591" s="89" t="s">
        <v>781</v>
      </c>
      <c r="J1591" s="2197" t="str">
        <f>IF($G1591=0,"",IFERROR(_xll.ciqfunctions.udf.CIQ($G1591,$I1591,J$1557,Valuation_Date_GC,ReportType,DataMode,$H1591,FXMode)*Scale,"n/a"))</f>
        <v/>
      </c>
      <c r="K1591" s="2197" t="str">
        <f>IF($G1591=0,"",IFERROR(_xll.ciqfunctions.udf.CIQ($G1591,$I1591,K$1557,Valuation_Date_GC,ReportType,DataMode,$H1591,FXMode)*Scale,"n/a"))</f>
        <v/>
      </c>
      <c r="L1591" s="2197" t="str">
        <f>IF($G1591=0,"",IFERROR(_xll.ciqfunctions.udf.CIQ($G1591,$I1591,L$1557,Valuation_Date_GC,ReportType,DataMode,$H1591,FXMode)*Scale,"n/a"))</f>
        <v/>
      </c>
      <c r="M1591" s="2197" t="str">
        <f>IF($G1591=0,"",IFERROR(_xll.ciqfunctions.udf.CIQ($G1591,$I1591,M$1557,Valuation_Date_GC,ReportType,DataMode,$H1591,FXMode)*Scale,"n/a"))</f>
        <v/>
      </c>
      <c r="N1591" s="2197" t="str">
        <f>IF($G1591=0,"",IFERROR(_xll.ciqfunctions.udf.CIQ($G1591,$I1591,N$1557,Valuation_Date_GC,ReportType,DataMode,$H1591,FXMode)*Scale,"n/a"))</f>
        <v/>
      </c>
      <c r="O1591" s="2197" t="str">
        <f>IF($G1591=0,"",IFERROR(_xll.ciqfunctions.udf.CIQ($G1591,$I1591,O$1557,Valuation_Date_GC,ReportType,DataMode,$H1591,FXMode)*Scale,"n/a"))</f>
        <v/>
      </c>
      <c r="P1591" s="2197" t="str">
        <f>IF($G1591=0,"",IFERROR(_xll.ciqfunctions.udf.CIQ($G1591,$I1591,P$1557,Valuation_Date_GC,ReportType,DataMode,$H1591,FXMode)*Scale,"n/a"))</f>
        <v/>
      </c>
      <c r="Q1591" s="2197" t="str">
        <f>IF($G1591=0,"",IFERROR(_xll.ciqfunctions.udf.CIQ($G1591,$I1591,Q$1557,Valuation_Date_GC,ReportType,DataMode,$H1591,FXMode)*Scale,"n/a"))</f>
        <v/>
      </c>
      <c r="R1591" s="2197" t="str">
        <f>IF($G1591=0,"",IFERROR(_xll.ciqfunctions.udf.CIQ($G1591,$I1591,R$1557,Valuation_Date_GC,ReportType,DataMode,$H1591,FXMode)*Scale,"n/a"))</f>
        <v/>
      </c>
      <c r="S1591" s="2197" t="str">
        <f>IF($G1591=0,"",IFERROR(_xll.ciqfunctions.udf.CIQ($G1591,$I1591,S$1557,Valuation_Date_GC,ReportType,DataMode,$H1591,FXMode)*Scale,"n/a"))</f>
        <v/>
      </c>
      <c r="T1591" s="2197" t="str">
        <f>IF($G1591=0,"",IFERROR(_xll.ciqfunctions.udf.CIQ($G1591,$I1591,T$1557,Valuation_Date_GC,ReportType,DataMode,$H1591,FXMode)*Scale,"n/a"))</f>
        <v/>
      </c>
      <c r="U1591" s="2197" t="str">
        <f>IF($G1591=0,"",IFERROR(_xll.ciqfunctions.udf.CIQ($G1591,$I1591,U$1557,Valuation_Date_GC,ReportType,DataMode,$H1591,FXMode)*Scale,"n/a"))</f>
        <v/>
      </c>
      <c r="V1591" s="2197" t="str">
        <f>IF($G1591=0,"",IFERROR(_xll.ciqfunctions.udf.CIQ($G1591,$I1591,V$1557,Valuation_Date_GC,ReportType,DataMode,$H1591,FXMode)*Scale,"n/a"))</f>
        <v/>
      </c>
      <c r="W1591" s="1479"/>
      <c r="X1591" s="255"/>
      <c r="Y1591" s="89"/>
      <c r="Z1591" s="2060"/>
      <c r="AA1591" s="2060"/>
      <c r="AB1591" s="2060"/>
      <c r="AC1591" s="2060"/>
      <c r="AD1591" s="2060"/>
      <c r="AE1591" s="2060"/>
      <c r="AF1591" s="2060"/>
      <c r="AG1591" s="2060"/>
      <c r="AH1591" s="2060"/>
      <c r="AI1591" s="2060"/>
      <c r="AJ1591" s="2060"/>
      <c r="AK1591" s="2060"/>
      <c r="AL1591" s="2060"/>
      <c r="AM1591" s="2060"/>
      <c r="AN1591" s="2060"/>
      <c r="AO1591" s="2060"/>
      <c r="AP1591" s="2060"/>
      <c r="AQ1591" s="2060"/>
      <c r="AR1591" s="2060"/>
      <c r="AS1591" s="2060"/>
      <c r="AT1591" s="2060"/>
      <c r="AU1591" s="2060"/>
      <c r="AV1591" s="2060"/>
      <c r="AW1591" s="2060"/>
      <c r="AX1591" s="2060"/>
      <c r="AY1591" s="2060"/>
      <c r="AZ1591" s="2060"/>
      <c r="BA1591" s="2060"/>
      <c r="BB1591" s="2060"/>
      <c r="BC1591" s="2060"/>
      <c r="BD1591" s="2060"/>
      <c r="BE1591" s="2060"/>
      <c r="BF1591" s="2060"/>
      <c r="BG1591" s="2060"/>
      <c r="BH1591" s="2060"/>
      <c r="BI1591" s="2060"/>
      <c r="BJ1591" s="2060"/>
      <c r="BK1591" s="2060"/>
      <c r="BL1591" s="2060"/>
      <c r="BM1591" s="2060"/>
      <c r="BN1591" s="2060"/>
      <c r="BO1591" s="2060"/>
      <c r="BP1591" s="2060"/>
      <c r="BQ1591" s="2060"/>
      <c r="BR1591" s="2060"/>
      <c r="BS1591" s="2060"/>
      <c r="BT1591" s="2060"/>
      <c r="BU1591" s="2060"/>
      <c r="BV1591" s="2060"/>
      <c r="BW1591" s="2060"/>
      <c r="BX1591" s="2060"/>
      <c r="BY1591" s="2060"/>
      <c r="BZ1591" s="2060"/>
      <c r="CA1591" s="2060"/>
      <c r="CB1591" s="2060"/>
      <c r="CC1591" s="2060"/>
      <c r="CD1591" s="2060"/>
      <c r="CE1591" s="2060"/>
      <c r="CF1591" s="2060"/>
      <c r="CG1591" s="2060"/>
      <c r="CH1591" s="2060"/>
      <c r="CI1591" s="2060"/>
      <c r="CJ1591" s="2060"/>
      <c r="CK1591" s="2060"/>
      <c r="CL1591" s="2060"/>
      <c r="CM1591" s="2060"/>
      <c r="CN1591" s="2060"/>
      <c r="CO1591" s="2060"/>
      <c r="CP1591" s="2060"/>
      <c r="CQ1591" s="2060"/>
      <c r="CR1591" s="2060"/>
      <c r="CS1591" s="2060"/>
      <c r="CT1591" s="2060"/>
      <c r="CU1591" s="2060"/>
      <c r="CV1591" s="2060"/>
      <c r="CW1591" s="2060"/>
      <c r="CX1591" s="2060"/>
      <c r="CY1591" s="2060"/>
      <c r="CZ1591" s="2060"/>
      <c r="DA1591" s="2060"/>
      <c r="DB1591" s="2060"/>
      <c r="DC1591" s="2060"/>
      <c r="DD1591" s="2060"/>
      <c r="DE1591" s="2060"/>
      <c r="DF1591" s="2060"/>
      <c r="DG1591" s="2060"/>
      <c r="DH1591" s="2060"/>
      <c r="DI1591" s="2060"/>
      <c r="DJ1591" s="2060"/>
      <c r="DK1591" s="2060"/>
      <c r="DL1591" s="2060"/>
      <c r="DM1591" s="2060"/>
      <c r="DN1591" s="2060"/>
      <c r="DO1591" s="2060"/>
      <c r="DP1591" s="2060"/>
      <c r="DQ1591" s="2060"/>
      <c r="DR1591" s="2060"/>
      <c r="DS1591" s="2060"/>
      <c r="DT1591" s="2060"/>
      <c r="DU1591" s="2060"/>
      <c r="DV1591" s="2060"/>
      <c r="DW1591" s="2060"/>
      <c r="DX1591" s="2060"/>
      <c r="DY1591" s="2060"/>
      <c r="DZ1591" s="2060"/>
      <c r="EA1591" s="2060"/>
      <c r="EB1591" s="2060"/>
      <c r="EC1591" s="2060"/>
      <c r="ED1591" s="2060"/>
      <c r="EE1591" s="2060"/>
      <c r="EF1591" s="2060"/>
      <c r="EG1591" s="2060"/>
      <c r="EH1591" s="2060"/>
      <c r="EI1591" s="2060"/>
      <c r="EJ1591" s="2060"/>
      <c r="EK1591" s="2060"/>
      <c r="EL1591" s="2060"/>
      <c r="EM1591" s="2060"/>
      <c r="EN1591" s="2060"/>
      <c r="EO1591" s="2060"/>
      <c r="EP1591" s="2060"/>
      <c r="EQ1591" s="2060"/>
      <c r="ER1591" s="2060"/>
      <c r="ES1591" s="2060"/>
      <c r="ET1591" s="2060"/>
      <c r="EU1591" s="2060"/>
      <c r="EV1591" s="2060"/>
      <c r="EW1591" s="2060"/>
      <c r="EX1591" s="2060"/>
      <c r="EY1591" s="2060"/>
      <c r="EZ1591" s="2060"/>
      <c r="FA1591" s="2060"/>
      <c r="FB1591" s="2060"/>
      <c r="FC1591" s="2060"/>
      <c r="FD1591" s="2060"/>
      <c r="FE1591" s="2060"/>
      <c r="FF1591" s="2060"/>
      <c r="FG1591" s="2060"/>
      <c r="FH1591" s="2060"/>
      <c r="FI1591" s="2060"/>
      <c r="FJ1591" s="2060"/>
      <c r="FK1591" s="2060"/>
      <c r="FL1591" s="2060"/>
      <c r="FM1591" s="2060"/>
      <c r="FN1591" s="2060"/>
      <c r="FO1591" s="2060"/>
      <c r="FP1591" s="2060"/>
      <c r="FQ1591" s="2060"/>
      <c r="FR1591" s="2060"/>
      <c r="FS1591" s="2060"/>
      <c r="FT1591" s="2060"/>
      <c r="FU1591" s="2060"/>
      <c r="FV1591" s="2060"/>
      <c r="FW1591" s="2060"/>
      <c r="FX1591" s="2060"/>
      <c r="FY1591" s="2060"/>
      <c r="FZ1591" s="2060"/>
      <c r="GA1591" s="2060"/>
      <c r="GB1591" s="2060"/>
      <c r="GC1591" s="2060"/>
      <c r="GD1591" s="2060"/>
      <c r="GE1591" s="2060"/>
      <c r="GF1591" s="2060"/>
      <c r="GG1591" s="2060"/>
      <c r="GH1591" s="2060"/>
      <c r="GI1591" s="2060"/>
      <c r="GJ1591" s="2060"/>
      <c r="GK1591" s="2060"/>
      <c r="GL1591" s="2060"/>
      <c r="GM1591" s="2060"/>
      <c r="GN1591" s="2060"/>
      <c r="GO1591" s="2060"/>
      <c r="GP1591" s="2060"/>
      <c r="GQ1591" s="2060"/>
      <c r="GR1591" s="2060"/>
      <c r="GS1591" s="2060"/>
      <c r="GT1591" s="2060"/>
      <c r="GU1591" s="2060"/>
      <c r="GV1591" s="2060"/>
      <c r="GW1591" s="2060"/>
      <c r="GX1591" s="2060"/>
      <c r="GY1591" s="2060"/>
      <c r="GZ1591" s="2060"/>
      <c r="HA1591" s="2060"/>
      <c r="HB1591" s="2060"/>
      <c r="HC1591" s="2060"/>
      <c r="HD1591" s="2060"/>
      <c r="HE1591" s="2060"/>
      <c r="HF1591" s="2060"/>
      <c r="HG1591" s="2060"/>
      <c r="HH1591" s="2060"/>
      <c r="HI1591" s="2060"/>
      <c r="HJ1591" s="2060"/>
      <c r="HK1591" s="2060"/>
      <c r="HL1591" s="2060"/>
      <c r="HM1591" s="2060"/>
      <c r="HN1591" s="2060"/>
      <c r="HO1591" s="2060"/>
      <c r="HP1591" s="2060"/>
      <c r="HQ1591" s="2060"/>
      <c r="HR1591" s="2060"/>
      <c r="HS1591" s="2060"/>
      <c r="HT1591" s="2060"/>
      <c r="HU1591" s="2060"/>
      <c r="HV1591" s="2060"/>
      <c r="HW1591" s="2060"/>
      <c r="HX1591" s="2060"/>
      <c r="HY1591" s="2060"/>
      <c r="HZ1591" s="2060"/>
      <c r="IA1591" s="2060"/>
      <c r="IB1591" s="2060"/>
      <c r="IC1591" s="2060"/>
      <c r="ID1591" s="2060"/>
      <c r="IE1591" s="2060"/>
      <c r="IF1591" s="2060"/>
      <c r="IG1591" s="2060"/>
      <c r="IH1591" s="2060"/>
      <c r="II1591" s="2060"/>
      <c r="IJ1591" s="2060"/>
      <c r="IK1591" s="2060"/>
      <c r="IL1591" s="2060"/>
      <c r="IM1591" s="2060"/>
      <c r="IN1591" s="2060"/>
      <c r="IO1591" s="2060"/>
      <c r="IP1591" s="2060"/>
      <c r="IQ1591" s="2060"/>
      <c r="IR1591" s="2060"/>
      <c r="IS1591" s="2060"/>
      <c r="IT1591" s="2060"/>
      <c r="IU1591" s="2060"/>
      <c r="IV1591" s="2060"/>
      <c r="IW1591" s="2060"/>
      <c r="IX1591" s="2060"/>
      <c r="IY1591" s="2060"/>
      <c r="IZ1591" s="2060"/>
      <c r="JA1591" s="2060"/>
      <c r="JB1591" s="2060"/>
      <c r="JC1591" s="2060"/>
      <c r="JD1591" s="2060"/>
      <c r="JE1591" s="2060"/>
      <c r="JF1591" s="2060"/>
      <c r="JG1591" s="2060"/>
      <c r="JH1591" s="2060"/>
      <c r="JI1591" s="2060"/>
      <c r="JJ1591" s="2060"/>
      <c r="JK1591" s="2060"/>
      <c r="JL1591" s="2060"/>
      <c r="JM1591" s="2060"/>
      <c r="JN1591" s="2060"/>
      <c r="JO1591" s="2060"/>
      <c r="JP1591" s="2060"/>
      <c r="JQ1591" s="2060"/>
      <c r="JR1591" s="2060"/>
      <c r="JS1591" s="2060"/>
      <c r="JT1591" s="2060"/>
      <c r="JU1591" s="2060"/>
      <c r="JV1591" s="2060"/>
      <c r="JW1591" s="2060"/>
      <c r="JX1591" s="2060"/>
      <c r="JY1591" s="2060"/>
      <c r="JZ1591" s="2060"/>
      <c r="KA1591" s="2060"/>
      <c r="KB1591" s="2060"/>
      <c r="KC1591" s="2060"/>
      <c r="KD1591" s="2060"/>
      <c r="KE1591" s="2060"/>
      <c r="KF1591" s="2060"/>
      <c r="KG1591" s="2060"/>
      <c r="KH1591" s="2060"/>
      <c r="KI1591" s="2060"/>
      <c r="KJ1591" s="2060"/>
      <c r="KK1591" s="2060"/>
      <c r="KL1591" s="2060"/>
      <c r="KM1591" s="2060"/>
      <c r="KN1591" s="2060"/>
      <c r="KO1591" s="2060"/>
      <c r="KP1591" s="2060"/>
      <c r="KQ1591" s="2060"/>
      <c r="KR1591" s="2060"/>
      <c r="KS1591" s="2060"/>
      <c r="KT1591" s="2060"/>
      <c r="KU1591" s="2060"/>
      <c r="KV1591" s="2060"/>
      <c r="KW1591" s="2060"/>
      <c r="KX1591" s="2060"/>
      <c r="KY1591" s="2060"/>
      <c r="KZ1591" s="2060"/>
      <c r="LA1591" s="2060"/>
      <c r="LB1591" s="2060"/>
      <c r="LC1591" s="2060"/>
      <c r="LD1591" s="2060"/>
      <c r="LE1591" s="2060"/>
      <c r="LF1591" s="2060"/>
      <c r="LG1591" s="2060"/>
      <c r="LH1591" s="2060"/>
    </row>
    <row r="1592" spans="1:320" s="449" customFormat="1" ht="13.9">
      <c r="A1592" s="269" t="str">
        <f t="shared" si="440"/>
        <v>n</v>
      </c>
      <c r="B1592" s="2060"/>
      <c r="C1592" s="2060"/>
      <c r="D1592" s="2060"/>
      <c r="E1592" s="1661">
        <v>5</v>
      </c>
      <c r="F1592" s="1353" t="str">
        <f>F$133</f>
        <v>--</v>
      </c>
      <c r="G1592" s="128">
        <f>G$133</f>
        <v>0</v>
      </c>
      <c r="H1592" s="128" t="str">
        <f>H$133</f>
        <v>--</v>
      </c>
      <c r="I1592" s="89" t="s">
        <v>781</v>
      </c>
      <c r="J1592" s="2197" t="str">
        <f>IF($G1592=0,"",IFERROR(_xll.ciqfunctions.udf.CIQ($G1592,$I1592,J$1557,Valuation_Date_GC,ReportType,DataMode,$H1592,FXMode)*Scale,"n/a"))</f>
        <v/>
      </c>
      <c r="K1592" s="2197" t="str">
        <f>IF($G1592=0,"",IFERROR(_xll.ciqfunctions.udf.CIQ($G1592,$I1592,K$1557,Valuation_Date_GC,ReportType,DataMode,$H1592,FXMode)*Scale,"n/a"))</f>
        <v/>
      </c>
      <c r="L1592" s="2197" t="str">
        <f>IF($G1592=0,"",IFERROR(_xll.ciqfunctions.udf.CIQ($G1592,$I1592,L$1557,Valuation_Date_GC,ReportType,DataMode,$H1592,FXMode)*Scale,"n/a"))</f>
        <v/>
      </c>
      <c r="M1592" s="2197" t="str">
        <f>IF($G1592=0,"",IFERROR(_xll.ciqfunctions.udf.CIQ($G1592,$I1592,M$1557,Valuation_Date_GC,ReportType,DataMode,$H1592,FXMode)*Scale,"n/a"))</f>
        <v/>
      </c>
      <c r="N1592" s="2197" t="str">
        <f>IF($G1592=0,"",IFERROR(_xll.ciqfunctions.udf.CIQ($G1592,$I1592,N$1557,Valuation_Date_GC,ReportType,DataMode,$H1592,FXMode)*Scale,"n/a"))</f>
        <v/>
      </c>
      <c r="O1592" s="2197" t="str">
        <f>IF($G1592=0,"",IFERROR(_xll.ciqfunctions.udf.CIQ($G1592,$I1592,O$1557,Valuation_Date_GC,ReportType,DataMode,$H1592,FXMode)*Scale,"n/a"))</f>
        <v/>
      </c>
      <c r="P1592" s="2197" t="str">
        <f>IF($G1592=0,"",IFERROR(_xll.ciqfunctions.udf.CIQ($G1592,$I1592,P$1557,Valuation_Date_GC,ReportType,DataMode,$H1592,FXMode)*Scale,"n/a"))</f>
        <v/>
      </c>
      <c r="Q1592" s="2197" t="str">
        <f>IF($G1592=0,"",IFERROR(_xll.ciqfunctions.udf.CIQ($G1592,$I1592,Q$1557,Valuation_Date_GC,ReportType,DataMode,$H1592,FXMode)*Scale,"n/a"))</f>
        <v/>
      </c>
      <c r="R1592" s="2197" t="str">
        <f>IF($G1592=0,"",IFERROR(_xll.ciqfunctions.udf.CIQ($G1592,$I1592,R$1557,Valuation_Date_GC,ReportType,DataMode,$H1592,FXMode)*Scale,"n/a"))</f>
        <v/>
      </c>
      <c r="S1592" s="2197" t="str">
        <f>IF($G1592=0,"",IFERROR(_xll.ciqfunctions.udf.CIQ($G1592,$I1592,S$1557,Valuation_Date_GC,ReportType,DataMode,$H1592,FXMode)*Scale,"n/a"))</f>
        <v/>
      </c>
      <c r="T1592" s="2197" t="str">
        <f>IF($G1592=0,"",IFERROR(_xll.ciqfunctions.udf.CIQ($G1592,$I1592,T$1557,Valuation_Date_GC,ReportType,DataMode,$H1592,FXMode)*Scale,"n/a"))</f>
        <v/>
      </c>
      <c r="U1592" s="2197" t="str">
        <f>IF($G1592=0,"",IFERROR(_xll.ciqfunctions.udf.CIQ($G1592,$I1592,U$1557,Valuation_Date_GC,ReportType,DataMode,$H1592,FXMode)*Scale,"n/a"))</f>
        <v/>
      </c>
      <c r="V1592" s="2197" t="str">
        <f>IF($G1592=0,"",IFERROR(_xll.ciqfunctions.udf.CIQ($G1592,$I1592,V$1557,Valuation_Date_GC,ReportType,DataMode,$H1592,FXMode)*Scale,"n/a"))</f>
        <v/>
      </c>
      <c r="W1592" s="1479"/>
      <c r="X1592" s="255"/>
      <c r="Y1592" s="89"/>
      <c r="Z1592" s="2060"/>
      <c r="AA1592" s="2060"/>
      <c r="AB1592" s="2060"/>
      <c r="AC1592" s="2060"/>
      <c r="AD1592" s="2060"/>
      <c r="AE1592" s="2060"/>
      <c r="AF1592" s="2060"/>
      <c r="AG1592" s="2060"/>
      <c r="AH1592" s="2060"/>
      <c r="AI1592" s="2060"/>
      <c r="AJ1592" s="2060"/>
      <c r="AK1592" s="2060"/>
      <c r="AL1592" s="2060"/>
      <c r="AM1592" s="2060"/>
      <c r="AN1592" s="2060"/>
      <c r="AO1592" s="2060"/>
      <c r="AP1592" s="2060"/>
      <c r="AQ1592" s="2060"/>
      <c r="AR1592" s="2060"/>
      <c r="AS1592" s="2060"/>
      <c r="AT1592" s="2060"/>
      <c r="AU1592" s="2060"/>
      <c r="AV1592" s="2060"/>
      <c r="AW1592" s="2060"/>
      <c r="AX1592" s="2060"/>
      <c r="AY1592" s="2060"/>
      <c r="AZ1592" s="2060"/>
      <c r="BA1592" s="2060"/>
      <c r="BB1592" s="2060"/>
      <c r="BC1592" s="2060"/>
      <c r="BD1592" s="2060"/>
      <c r="BE1592" s="2060"/>
      <c r="BF1592" s="2060"/>
      <c r="BG1592" s="2060"/>
      <c r="BH1592" s="2060"/>
      <c r="BI1592" s="2060"/>
      <c r="BJ1592" s="2060"/>
      <c r="BK1592" s="2060"/>
      <c r="BL1592" s="2060"/>
      <c r="BM1592" s="2060"/>
      <c r="BN1592" s="2060"/>
      <c r="BO1592" s="2060"/>
      <c r="BP1592" s="2060"/>
      <c r="BQ1592" s="2060"/>
      <c r="BR1592" s="2060"/>
      <c r="BS1592" s="2060"/>
      <c r="BT1592" s="2060"/>
      <c r="BU1592" s="2060"/>
      <c r="BV1592" s="2060"/>
      <c r="BW1592" s="2060"/>
      <c r="BX1592" s="2060"/>
      <c r="BY1592" s="2060"/>
      <c r="BZ1592" s="2060"/>
      <c r="CA1592" s="2060"/>
      <c r="CB1592" s="2060"/>
      <c r="CC1592" s="2060"/>
      <c r="CD1592" s="2060"/>
      <c r="CE1592" s="2060"/>
      <c r="CF1592" s="2060"/>
      <c r="CG1592" s="2060"/>
      <c r="CH1592" s="2060"/>
      <c r="CI1592" s="2060"/>
      <c r="CJ1592" s="2060"/>
      <c r="CK1592" s="2060"/>
      <c r="CL1592" s="2060"/>
      <c r="CM1592" s="2060"/>
      <c r="CN1592" s="2060"/>
      <c r="CO1592" s="2060"/>
      <c r="CP1592" s="2060"/>
      <c r="CQ1592" s="2060"/>
      <c r="CR1592" s="2060"/>
      <c r="CS1592" s="2060"/>
      <c r="CT1592" s="2060"/>
      <c r="CU1592" s="2060"/>
      <c r="CV1592" s="2060"/>
      <c r="CW1592" s="2060"/>
      <c r="CX1592" s="2060"/>
      <c r="CY1592" s="2060"/>
      <c r="CZ1592" s="2060"/>
      <c r="DA1592" s="2060"/>
      <c r="DB1592" s="2060"/>
      <c r="DC1592" s="2060"/>
      <c r="DD1592" s="2060"/>
      <c r="DE1592" s="2060"/>
      <c r="DF1592" s="2060"/>
      <c r="DG1592" s="2060"/>
      <c r="DH1592" s="2060"/>
      <c r="DI1592" s="2060"/>
      <c r="DJ1592" s="2060"/>
      <c r="DK1592" s="2060"/>
      <c r="DL1592" s="2060"/>
      <c r="DM1592" s="2060"/>
      <c r="DN1592" s="2060"/>
      <c r="DO1592" s="2060"/>
      <c r="DP1592" s="2060"/>
      <c r="DQ1592" s="2060"/>
      <c r="DR1592" s="2060"/>
      <c r="DS1592" s="2060"/>
      <c r="DT1592" s="2060"/>
      <c r="DU1592" s="2060"/>
      <c r="DV1592" s="2060"/>
      <c r="DW1592" s="2060"/>
      <c r="DX1592" s="2060"/>
      <c r="DY1592" s="2060"/>
      <c r="DZ1592" s="2060"/>
      <c r="EA1592" s="2060"/>
      <c r="EB1592" s="2060"/>
      <c r="EC1592" s="2060"/>
      <c r="ED1592" s="2060"/>
      <c r="EE1592" s="2060"/>
      <c r="EF1592" s="2060"/>
      <c r="EG1592" s="2060"/>
      <c r="EH1592" s="2060"/>
      <c r="EI1592" s="2060"/>
      <c r="EJ1592" s="2060"/>
      <c r="EK1592" s="2060"/>
      <c r="EL1592" s="2060"/>
      <c r="EM1592" s="2060"/>
      <c r="EN1592" s="2060"/>
      <c r="EO1592" s="2060"/>
      <c r="EP1592" s="2060"/>
      <c r="EQ1592" s="2060"/>
      <c r="ER1592" s="2060"/>
      <c r="ES1592" s="2060"/>
      <c r="ET1592" s="2060"/>
      <c r="EU1592" s="2060"/>
      <c r="EV1592" s="2060"/>
      <c r="EW1592" s="2060"/>
      <c r="EX1592" s="2060"/>
      <c r="EY1592" s="2060"/>
      <c r="EZ1592" s="2060"/>
      <c r="FA1592" s="2060"/>
      <c r="FB1592" s="2060"/>
      <c r="FC1592" s="2060"/>
      <c r="FD1592" s="2060"/>
      <c r="FE1592" s="2060"/>
      <c r="FF1592" s="2060"/>
      <c r="FG1592" s="2060"/>
      <c r="FH1592" s="2060"/>
      <c r="FI1592" s="2060"/>
      <c r="FJ1592" s="2060"/>
      <c r="FK1592" s="2060"/>
      <c r="FL1592" s="2060"/>
      <c r="FM1592" s="2060"/>
      <c r="FN1592" s="2060"/>
      <c r="FO1592" s="2060"/>
      <c r="FP1592" s="2060"/>
      <c r="FQ1592" s="2060"/>
      <c r="FR1592" s="2060"/>
      <c r="FS1592" s="2060"/>
      <c r="FT1592" s="2060"/>
      <c r="FU1592" s="2060"/>
      <c r="FV1592" s="2060"/>
      <c r="FW1592" s="2060"/>
      <c r="FX1592" s="2060"/>
      <c r="FY1592" s="2060"/>
      <c r="FZ1592" s="2060"/>
      <c r="GA1592" s="2060"/>
      <c r="GB1592" s="2060"/>
      <c r="GC1592" s="2060"/>
      <c r="GD1592" s="2060"/>
      <c r="GE1592" s="2060"/>
      <c r="GF1592" s="2060"/>
      <c r="GG1592" s="2060"/>
      <c r="GH1592" s="2060"/>
      <c r="GI1592" s="2060"/>
      <c r="GJ1592" s="2060"/>
      <c r="GK1592" s="2060"/>
      <c r="GL1592" s="2060"/>
      <c r="GM1592" s="2060"/>
      <c r="GN1592" s="2060"/>
      <c r="GO1592" s="2060"/>
      <c r="GP1592" s="2060"/>
      <c r="GQ1592" s="2060"/>
      <c r="GR1592" s="2060"/>
      <c r="GS1592" s="2060"/>
      <c r="GT1592" s="2060"/>
      <c r="GU1592" s="2060"/>
      <c r="GV1592" s="2060"/>
      <c r="GW1592" s="2060"/>
      <c r="GX1592" s="2060"/>
      <c r="GY1592" s="2060"/>
      <c r="GZ1592" s="2060"/>
      <c r="HA1592" s="2060"/>
      <c r="HB1592" s="2060"/>
      <c r="HC1592" s="2060"/>
      <c r="HD1592" s="2060"/>
      <c r="HE1592" s="2060"/>
      <c r="HF1592" s="2060"/>
      <c r="HG1592" s="2060"/>
      <c r="HH1592" s="2060"/>
      <c r="HI1592" s="2060"/>
      <c r="HJ1592" s="2060"/>
      <c r="HK1592" s="2060"/>
      <c r="HL1592" s="2060"/>
      <c r="HM1592" s="2060"/>
      <c r="HN1592" s="2060"/>
      <c r="HO1592" s="2060"/>
      <c r="HP1592" s="2060"/>
      <c r="HQ1592" s="2060"/>
      <c r="HR1592" s="2060"/>
      <c r="HS1592" s="2060"/>
      <c r="HT1592" s="2060"/>
      <c r="HU1592" s="2060"/>
      <c r="HV1592" s="2060"/>
      <c r="HW1592" s="2060"/>
      <c r="HX1592" s="2060"/>
      <c r="HY1592" s="2060"/>
      <c r="HZ1592" s="2060"/>
      <c r="IA1592" s="2060"/>
      <c r="IB1592" s="2060"/>
      <c r="IC1592" s="2060"/>
      <c r="ID1592" s="2060"/>
      <c r="IE1592" s="2060"/>
      <c r="IF1592" s="2060"/>
      <c r="IG1592" s="2060"/>
      <c r="IH1592" s="2060"/>
      <c r="II1592" s="2060"/>
      <c r="IJ1592" s="2060"/>
      <c r="IK1592" s="2060"/>
      <c r="IL1592" s="2060"/>
      <c r="IM1592" s="2060"/>
      <c r="IN1592" s="2060"/>
      <c r="IO1592" s="2060"/>
      <c r="IP1592" s="2060"/>
      <c r="IQ1592" s="2060"/>
      <c r="IR1592" s="2060"/>
      <c r="IS1592" s="2060"/>
      <c r="IT1592" s="2060"/>
      <c r="IU1592" s="2060"/>
      <c r="IV1592" s="2060"/>
      <c r="IW1592" s="2060"/>
      <c r="IX1592" s="2060"/>
      <c r="IY1592" s="2060"/>
      <c r="IZ1592" s="2060"/>
      <c r="JA1592" s="2060"/>
      <c r="JB1592" s="2060"/>
      <c r="JC1592" s="2060"/>
      <c r="JD1592" s="2060"/>
      <c r="JE1592" s="2060"/>
      <c r="JF1592" s="2060"/>
      <c r="JG1592" s="2060"/>
      <c r="JH1592" s="2060"/>
      <c r="JI1592" s="2060"/>
      <c r="JJ1592" s="2060"/>
      <c r="JK1592" s="2060"/>
      <c r="JL1592" s="2060"/>
      <c r="JM1592" s="2060"/>
      <c r="JN1592" s="2060"/>
      <c r="JO1592" s="2060"/>
      <c r="JP1592" s="2060"/>
      <c r="JQ1592" s="2060"/>
      <c r="JR1592" s="2060"/>
      <c r="JS1592" s="2060"/>
      <c r="JT1592" s="2060"/>
      <c r="JU1592" s="2060"/>
      <c r="JV1592" s="2060"/>
      <c r="JW1592" s="2060"/>
      <c r="JX1592" s="2060"/>
      <c r="JY1592" s="2060"/>
      <c r="JZ1592" s="2060"/>
      <c r="KA1592" s="2060"/>
      <c r="KB1592" s="2060"/>
      <c r="KC1592" s="2060"/>
      <c r="KD1592" s="2060"/>
      <c r="KE1592" s="2060"/>
      <c r="KF1592" s="2060"/>
      <c r="KG1592" s="2060"/>
      <c r="KH1592" s="2060"/>
      <c r="KI1592" s="2060"/>
      <c r="KJ1592" s="2060"/>
      <c r="KK1592" s="2060"/>
      <c r="KL1592" s="2060"/>
      <c r="KM1592" s="2060"/>
      <c r="KN1592" s="2060"/>
      <c r="KO1592" s="2060"/>
      <c r="KP1592" s="2060"/>
      <c r="KQ1592" s="2060"/>
      <c r="KR1592" s="2060"/>
      <c r="KS1592" s="2060"/>
      <c r="KT1592" s="2060"/>
      <c r="KU1592" s="2060"/>
      <c r="KV1592" s="2060"/>
      <c r="KW1592" s="2060"/>
      <c r="KX1592" s="2060"/>
      <c r="KY1592" s="2060"/>
      <c r="KZ1592" s="2060"/>
      <c r="LA1592" s="2060"/>
      <c r="LB1592" s="2060"/>
      <c r="LC1592" s="2060"/>
      <c r="LD1592" s="2060"/>
      <c r="LE1592" s="2060"/>
      <c r="LF1592" s="2060"/>
      <c r="LG1592" s="2060"/>
      <c r="LH1592" s="2060"/>
    </row>
    <row r="1593" spans="1:320" s="449" customFormat="1" ht="13.9">
      <c r="A1593" s="269" t="str">
        <f t="shared" si="440"/>
        <v>n</v>
      </c>
      <c r="B1593" s="2060"/>
      <c r="C1593" s="2060"/>
      <c r="D1593" s="2060"/>
      <c r="E1593" s="1661">
        <v>6</v>
      </c>
      <c r="F1593" s="1353" t="str">
        <f>F$134</f>
        <v>--</v>
      </c>
      <c r="G1593" s="128">
        <f>G$134</f>
        <v>0</v>
      </c>
      <c r="H1593" s="128" t="str">
        <f>H$134</f>
        <v>--</v>
      </c>
      <c r="I1593" s="89" t="s">
        <v>781</v>
      </c>
      <c r="J1593" s="2197" t="str">
        <f>IF($G1593=0,"",IFERROR(_xll.ciqfunctions.udf.CIQ($G1593,$I1593,J$1557,Valuation_Date_GC,ReportType,DataMode,$H1593,FXMode)*Scale,"n/a"))</f>
        <v/>
      </c>
      <c r="K1593" s="2197" t="str">
        <f>IF($G1593=0,"",IFERROR(_xll.ciqfunctions.udf.CIQ($G1593,$I1593,K$1557,Valuation_Date_GC,ReportType,DataMode,$H1593,FXMode)*Scale,"n/a"))</f>
        <v/>
      </c>
      <c r="L1593" s="2197" t="str">
        <f>IF($G1593=0,"",IFERROR(_xll.ciqfunctions.udf.CIQ($G1593,$I1593,L$1557,Valuation_Date_GC,ReportType,DataMode,$H1593,FXMode)*Scale,"n/a"))</f>
        <v/>
      </c>
      <c r="M1593" s="2197" t="str">
        <f>IF($G1593=0,"",IFERROR(_xll.ciqfunctions.udf.CIQ($G1593,$I1593,M$1557,Valuation_Date_GC,ReportType,DataMode,$H1593,FXMode)*Scale,"n/a"))</f>
        <v/>
      </c>
      <c r="N1593" s="2197" t="str">
        <f>IF($G1593=0,"",IFERROR(_xll.ciqfunctions.udf.CIQ($G1593,$I1593,N$1557,Valuation_Date_GC,ReportType,DataMode,$H1593,FXMode)*Scale,"n/a"))</f>
        <v/>
      </c>
      <c r="O1593" s="2197" t="str">
        <f>IF($G1593=0,"",IFERROR(_xll.ciqfunctions.udf.CIQ($G1593,$I1593,O$1557,Valuation_Date_GC,ReportType,DataMode,$H1593,FXMode)*Scale,"n/a"))</f>
        <v/>
      </c>
      <c r="P1593" s="2197" t="str">
        <f>IF($G1593=0,"",IFERROR(_xll.ciqfunctions.udf.CIQ($G1593,$I1593,P$1557,Valuation_Date_GC,ReportType,DataMode,$H1593,FXMode)*Scale,"n/a"))</f>
        <v/>
      </c>
      <c r="Q1593" s="2197" t="str">
        <f>IF($G1593=0,"",IFERROR(_xll.ciqfunctions.udf.CIQ($G1593,$I1593,Q$1557,Valuation_Date_GC,ReportType,DataMode,$H1593,FXMode)*Scale,"n/a"))</f>
        <v/>
      </c>
      <c r="R1593" s="2197" t="str">
        <f>IF($G1593=0,"",IFERROR(_xll.ciqfunctions.udf.CIQ($G1593,$I1593,R$1557,Valuation_Date_GC,ReportType,DataMode,$H1593,FXMode)*Scale,"n/a"))</f>
        <v/>
      </c>
      <c r="S1593" s="2197" t="str">
        <f>IF($G1593=0,"",IFERROR(_xll.ciqfunctions.udf.CIQ($G1593,$I1593,S$1557,Valuation_Date_GC,ReportType,DataMode,$H1593,FXMode)*Scale,"n/a"))</f>
        <v/>
      </c>
      <c r="T1593" s="2197" t="str">
        <f>IF($G1593=0,"",IFERROR(_xll.ciqfunctions.udf.CIQ($G1593,$I1593,T$1557,Valuation_Date_GC,ReportType,DataMode,$H1593,FXMode)*Scale,"n/a"))</f>
        <v/>
      </c>
      <c r="U1593" s="2197" t="str">
        <f>IF($G1593=0,"",IFERROR(_xll.ciqfunctions.udf.CIQ($G1593,$I1593,U$1557,Valuation_Date_GC,ReportType,DataMode,$H1593,FXMode)*Scale,"n/a"))</f>
        <v/>
      </c>
      <c r="V1593" s="2197" t="str">
        <f>IF($G1593=0,"",IFERROR(_xll.ciqfunctions.udf.CIQ($G1593,$I1593,V$1557,Valuation_Date_GC,ReportType,DataMode,$H1593,FXMode)*Scale,"n/a"))</f>
        <v/>
      </c>
      <c r="W1593" s="1479"/>
      <c r="X1593" s="255"/>
      <c r="Y1593" s="89"/>
      <c r="Z1593" s="2060"/>
      <c r="AA1593" s="2060"/>
      <c r="AB1593" s="2060"/>
      <c r="AC1593" s="2060"/>
      <c r="AD1593" s="2060"/>
      <c r="AE1593" s="2060"/>
      <c r="AF1593" s="2060"/>
      <c r="AG1593" s="2060"/>
      <c r="AH1593" s="2060"/>
      <c r="AI1593" s="2060"/>
      <c r="AJ1593" s="2060"/>
      <c r="AK1593" s="2060"/>
      <c r="AL1593" s="2060"/>
      <c r="AM1593" s="2060"/>
      <c r="AN1593" s="2060"/>
      <c r="AO1593" s="2060"/>
      <c r="AP1593" s="2060"/>
      <c r="AQ1593" s="2060"/>
      <c r="AR1593" s="2060"/>
      <c r="AS1593" s="2060"/>
      <c r="AT1593" s="2060"/>
      <c r="AU1593" s="2060"/>
      <c r="AV1593" s="2060"/>
      <c r="AW1593" s="2060"/>
      <c r="AX1593" s="2060"/>
      <c r="AY1593" s="2060"/>
      <c r="AZ1593" s="2060"/>
      <c r="BA1593" s="2060"/>
      <c r="BB1593" s="2060"/>
      <c r="BC1593" s="2060"/>
      <c r="BD1593" s="2060"/>
      <c r="BE1593" s="2060"/>
      <c r="BF1593" s="2060"/>
      <c r="BG1593" s="2060"/>
      <c r="BH1593" s="2060"/>
      <c r="BI1593" s="2060"/>
      <c r="BJ1593" s="2060"/>
      <c r="BK1593" s="2060"/>
      <c r="BL1593" s="2060"/>
      <c r="BM1593" s="2060"/>
      <c r="BN1593" s="2060"/>
      <c r="BO1593" s="2060"/>
      <c r="BP1593" s="2060"/>
      <c r="BQ1593" s="2060"/>
      <c r="BR1593" s="2060"/>
      <c r="BS1593" s="2060"/>
      <c r="BT1593" s="2060"/>
      <c r="BU1593" s="2060"/>
      <c r="BV1593" s="2060"/>
      <c r="BW1593" s="2060"/>
      <c r="BX1593" s="2060"/>
      <c r="BY1593" s="2060"/>
      <c r="BZ1593" s="2060"/>
      <c r="CA1593" s="2060"/>
      <c r="CB1593" s="2060"/>
      <c r="CC1593" s="2060"/>
      <c r="CD1593" s="2060"/>
      <c r="CE1593" s="2060"/>
      <c r="CF1593" s="2060"/>
      <c r="CG1593" s="2060"/>
      <c r="CH1593" s="2060"/>
      <c r="CI1593" s="2060"/>
      <c r="CJ1593" s="2060"/>
      <c r="CK1593" s="2060"/>
      <c r="CL1593" s="2060"/>
      <c r="CM1593" s="2060"/>
      <c r="CN1593" s="2060"/>
      <c r="CO1593" s="2060"/>
      <c r="CP1593" s="2060"/>
      <c r="CQ1593" s="2060"/>
      <c r="CR1593" s="2060"/>
      <c r="CS1593" s="2060"/>
      <c r="CT1593" s="2060"/>
      <c r="CU1593" s="2060"/>
      <c r="CV1593" s="2060"/>
      <c r="CW1593" s="2060"/>
      <c r="CX1593" s="2060"/>
      <c r="CY1593" s="2060"/>
      <c r="CZ1593" s="2060"/>
      <c r="DA1593" s="2060"/>
      <c r="DB1593" s="2060"/>
      <c r="DC1593" s="2060"/>
      <c r="DD1593" s="2060"/>
      <c r="DE1593" s="2060"/>
      <c r="DF1593" s="2060"/>
      <c r="DG1593" s="2060"/>
      <c r="DH1593" s="2060"/>
      <c r="DI1593" s="2060"/>
      <c r="DJ1593" s="2060"/>
      <c r="DK1593" s="2060"/>
      <c r="DL1593" s="2060"/>
      <c r="DM1593" s="2060"/>
      <c r="DN1593" s="2060"/>
      <c r="DO1593" s="2060"/>
      <c r="DP1593" s="2060"/>
      <c r="DQ1593" s="2060"/>
      <c r="DR1593" s="2060"/>
      <c r="DS1593" s="2060"/>
      <c r="DT1593" s="2060"/>
      <c r="DU1593" s="2060"/>
      <c r="DV1593" s="2060"/>
      <c r="DW1593" s="2060"/>
      <c r="DX1593" s="2060"/>
      <c r="DY1593" s="2060"/>
      <c r="DZ1593" s="2060"/>
      <c r="EA1593" s="2060"/>
      <c r="EB1593" s="2060"/>
      <c r="EC1593" s="2060"/>
      <c r="ED1593" s="2060"/>
      <c r="EE1593" s="2060"/>
      <c r="EF1593" s="2060"/>
      <c r="EG1593" s="2060"/>
      <c r="EH1593" s="2060"/>
      <c r="EI1593" s="2060"/>
      <c r="EJ1593" s="2060"/>
      <c r="EK1593" s="2060"/>
      <c r="EL1593" s="2060"/>
      <c r="EM1593" s="2060"/>
      <c r="EN1593" s="2060"/>
      <c r="EO1593" s="2060"/>
      <c r="EP1593" s="2060"/>
      <c r="EQ1593" s="2060"/>
      <c r="ER1593" s="2060"/>
      <c r="ES1593" s="2060"/>
      <c r="ET1593" s="2060"/>
      <c r="EU1593" s="2060"/>
      <c r="EV1593" s="2060"/>
      <c r="EW1593" s="2060"/>
      <c r="EX1593" s="2060"/>
      <c r="EY1593" s="2060"/>
      <c r="EZ1593" s="2060"/>
      <c r="FA1593" s="2060"/>
      <c r="FB1593" s="2060"/>
      <c r="FC1593" s="2060"/>
      <c r="FD1593" s="2060"/>
      <c r="FE1593" s="2060"/>
      <c r="FF1593" s="2060"/>
      <c r="FG1593" s="2060"/>
      <c r="FH1593" s="2060"/>
      <c r="FI1593" s="2060"/>
      <c r="FJ1593" s="2060"/>
      <c r="FK1593" s="2060"/>
      <c r="FL1593" s="2060"/>
      <c r="FM1593" s="2060"/>
      <c r="FN1593" s="2060"/>
      <c r="FO1593" s="2060"/>
      <c r="FP1593" s="2060"/>
      <c r="FQ1593" s="2060"/>
      <c r="FR1593" s="2060"/>
      <c r="FS1593" s="2060"/>
      <c r="FT1593" s="2060"/>
      <c r="FU1593" s="2060"/>
      <c r="FV1593" s="2060"/>
      <c r="FW1593" s="2060"/>
      <c r="FX1593" s="2060"/>
      <c r="FY1593" s="2060"/>
      <c r="FZ1593" s="2060"/>
      <c r="GA1593" s="2060"/>
      <c r="GB1593" s="2060"/>
      <c r="GC1593" s="2060"/>
      <c r="GD1593" s="2060"/>
      <c r="GE1593" s="2060"/>
      <c r="GF1593" s="2060"/>
      <c r="GG1593" s="2060"/>
      <c r="GH1593" s="2060"/>
      <c r="GI1593" s="2060"/>
      <c r="GJ1593" s="2060"/>
      <c r="GK1593" s="2060"/>
      <c r="GL1593" s="2060"/>
      <c r="GM1593" s="2060"/>
      <c r="GN1593" s="2060"/>
      <c r="GO1593" s="2060"/>
      <c r="GP1593" s="2060"/>
      <c r="GQ1593" s="2060"/>
      <c r="GR1593" s="2060"/>
      <c r="GS1593" s="2060"/>
      <c r="GT1593" s="2060"/>
      <c r="GU1593" s="2060"/>
      <c r="GV1593" s="2060"/>
      <c r="GW1593" s="2060"/>
      <c r="GX1593" s="2060"/>
      <c r="GY1593" s="2060"/>
      <c r="GZ1593" s="2060"/>
      <c r="HA1593" s="2060"/>
      <c r="HB1593" s="2060"/>
      <c r="HC1593" s="2060"/>
      <c r="HD1593" s="2060"/>
      <c r="HE1593" s="2060"/>
      <c r="HF1593" s="2060"/>
      <c r="HG1593" s="2060"/>
      <c r="HH1593" s="2060"/>
      <c r="HI1593" s="2060"/>
      <c r="HJ1593" s="2060"/>
      <c r="HK1593" s="2060"/>
      <c r="HL1593" s="2060"/>
      <c r="HM1593" s="2060"/>
      <c r="HN1593" s="2060"/>
      <c r="HO1593" s="2060"/>
      <c r="HP1593" s="2060"/>
      <c r="HQ1593" s="2060"/>
      <c r="HR1593" s="2060"/>
      <c r="HS1593" s="2060"/>
      <c r="HT1593" s="2060"/>
      <c r="HU1593" s="2060"/>
      <c r="HV1593" s="2060"/>
      <c r="HW1593" s="2060"/>
      <c r="HX1593" s="2060"/>
      <c r="HY1593" s="2060"/>
      <c r="HZ1593" s="2060"/>
      <c r="IA1593" s="2060"/>
      <c r="IB1593" s="2060"/>
      <c r="IC1593" s="2060"/>
      <c r="ID1593" s="2060"/>
      <c r="IE1593" s="2060"/>
      <c r="IF1593" s="2060"/>
      <c r="IG1593" s="2060"/>
      <c r="IH1593" s="2060"/>
      <c r="II1593" s="2060"/>
      <c r="IJ1593" s="2060"/>
      <c r="IK1593" s="2060"/>
      <c r="IL1593" s="2060"/>
      <c r="IM1593" s="2060"/>
      <c r="IN1593" s="2060"/>
      <c r="IO1593" s="2060"/>
      <c r="IP1593" s="2060"/>
      <c r="IQ1593" s="2060"/>
      <c r="IR1593" s="2060"/>
      <c r="IS1593" s="2060"/>
      <c r="IT1593" s="2060"/>
      <c r="IU1593" s="2060"/>
      <c r="IV1593" s="2060"/>
      <c r="IW1593" s="2060"/>
      <c r="IX1593" s="2060"/>
      <c r="IY1593" s="2060"/>
      <c r="IZ1593" s="2060"/>
      <c r="JA1593" s="2060"/>
      <c r="JB1593" s="2060"/>
      <c r="JC1593" s="2060"/>
      <c r="JD1593" s="2060"/>
      <c r="JE1593" s="2060"/>
      <c r="JF1593" s="2060"/>
      <c r="JG1593" s="2060"/>
      <c r="JH1593" s="2060"/>
      <c r="JI1593" s="2060"/>
      <c r="JJ1593" s="2060"/>
      <c r="JK1593" s="2060"/>
      <c r="JL1593" s="2060"/>
      <c r="JM1593" s="2060"/>
      <c r="JN1593" s="2060"/>
      <c r="JO1593" s="2060"/>
      <c r="JP1593" s="2060"/>
      <c r="JQ1593" s="2060"/>
      <c r="JR1593" s="2060"/>
      <c r="JS1593" s="2060"/>
      <c r="JT1593" s="2060"/>
      <c r="JU1593" s="2060"/>
      <c r="JV1593" s="2060"/>
      <c r="JW1593" s="2060"/>
      <c r="JX1593" s="2060"/>
      <c r="JY1593" s="2060"/>
      <c r="JZ1593" s="2060"/>
      <c r="KA1593" s="2060"/>
      <c r="KB1593" s="2060"/>
      <c r="KC1593" s="2060"/>
      <c r="KD1593" s="2060"/>
      <c r="KE1593" s="2060"/>
      <c r="KF1593" s="2060"/>
      <c r="KG1593" s="2060"/>
      <c r="KH1593" s="2060"/>
      <c r="KI1593" s="2060"/>
      <c r="KJ1593" s="2060"/>
      <c r="KK1593" s="2060"/>
      <c r="KL1593" s="2060"/>
      <c r="KM1593" s="2060"/>
      <c r="KN1593" s="2060"/>
      <c r="KO1593" s="2060"/>
      <c r="KP1593" s="2060"/>
      <c r="KQ1593" s="2060"/>
      <c r="KR1593" s="2060"/>
      <c r="KS1593" s="2060"/>
      <c r="KT1593" s="2060"/>
      <c r="KU1593" s="2060"/>
      <c r="KV1593" s="2060"/>
      <c r="KW1593" s="2060"/>
      <c r="KX1593" s="2060"/>
      <c r="KY1593" s="2060"/>
      <c r="KZ1593" s="2060"/>
      <c r="LA1593" s="2060"/>
      <c r="LB1593" s="2060"/>
      <c r="LC1593" s="2060"/>
      <c r="LD1593" s="2060"/>
      <c r="LE1593" s="2060"/>
      <c r="LF1593" s="2060"/>
      <c r="LG1593" s="2060"/>
      <c r="LH1593" s="2060"/>
    </row>
    <row r="1594" spans="1:320" s="449" customFormat="1" ht="13.9">
      <c r="A1594" s="269" t="str">
        <f t="shared" si="440"/>
        <v>n</v>
      </c>
      <c r="B1594" s="2060"/>
      <c r="C1594" s="2060"/>
      <c r="D1594" s="2060"/>
      <c r="E1594" s="1661">
        <v>7</v>
      </c>
      <c r="F1594" s="1353" t="str">
        <f>F$135</f>
        <v>--</v>
      </c>
      <c r="G1594" s="128">
        <f>G$135</f>
        <v>0</v>
      </c>
      <c r="H1594" s="128" t="str">
        <f>H$135</f>
        <v>--</v>
      </c>
      <c r="I1594" s="89" t="s">
        <v>781</v>
      </c>
      <c r="J1594" s="2197" t="str">
        <f>IF($G1594=0,"",IFERROR(_xll.ciqfunctions.udf.CIQ($G1594,$I1594,J$1557,Valuation_Date_GC,ReportType,DataMode,$H1594,FXMode)*Scale,"n/a"))</f>
        <v/>
      </c>
      <c r="K1594" s="2197" t="str">
        <f>IF($G1594=0,"",IFERROR(_xll.ciqfunctions.udf.CIQ($G1594,$I1594,K$1557,Valuation_Date_GC,ReportType,DataMode,$H1594,FXMode)*Scale,"n/a"))</f>
        <v/>
      </c>
      <c r="L1594" s="2197" t="str">
        <f>IF($G1594=0,"",IFERROR(_xll.ciqfunctions.udf.CIQ($G1594,$I1594,L$1557,Valuation_Date_GC,ReportType,DataMode,$H1594,FXMode)*Scale,"n/a"))</f>
        <v/>
      </c>
      <c r="M1594" s="2197" t="str">
        <f>IF($G1594=0,"",IFERROR(_xll.ciqfunctions.udf.CIQ($G1594,$I1594,M$1557,Valuation_Date_GC,ReportType,DataMode,$H1594,FXMode)*Scale,"n/a"))</f>
        <v/>
      </c>
      <c r="N1594" s="2197" t="str">
        <f>IF($G1594=0,"",IFERROR(_xll.ciqfunctions.udf.CIQ($G1594,$I1594,N$1557,Valuation_Date_GC,ReportType,DataMode,$H1594,FXMode)*Scale,"n/a"))</f>
        <v/>
      </c>
      <c r="O1594" s="2197" t="str">
        <f>IF($G1594=0,"",IFERROR(_xll.ciqfunctions.udf.CIQ($G1594,$I1594,O$1557,Valuation_Date_GC,ReportType,DataMode,$H1594,FXMode)*Scale,"n/a"))</f>
        <v/>
      </c>
      <c r="P1594" s="2197" t="str">
        <f>IF($G1594=0,"",IFERROR(_xll.ciqfunctions.udf.CIQ($G1594,$I1594,P$1557,Valuation_Date_GC,ReportType,DataMode,$H1594,FXMode)*Scale,"n/a"))</f>
        <v/>
      </c>
      <c r="Q1594" s="2197" t="str">
        <f>IF($G1594=0,"",IFERROR(_xll.ciqfunctions.udf.CIQ($G1594,$I1594,Q$1557,Valuation_Date_GC,ReportType,DataMode,$H1594,FXMode)*Scale,"n/a"))</f>
        <v/>
      </c>
      <c r="R1594" s="2197" t="str">
        <f>IF($G1594=0,"",IFERROR(_xll.ciqfunctions.udf.CIQ($G1594,$I1594,R$1557,Valuation_Date_GC,ReportType,DataMode,$H1594,FXMode)*Scale,"n/a"))</f>
        <v/>
      </c>
      <c r="S1594" s="2197" t="str">
        <f>IF($G1594=0,"",IFERROR(_xll.ciqfunctions.udf.CIQ($G1594,$I1594,S$1557,Valuation_Date_GC,ReportType,DataMode,$H1594,FXMode)*Scale,"n/a"))</f>
        <v/>
      </c>
      <c r="T1594" s="2197" t="str">
        <f>IF($G1594=0,"",IFERROR(_xll.ciqfunctions.udf.CIQ($G1594,$I1594,T$1557,Valuation_Date_GC,ReportType,DataMode,$H1594,FXMode)*Scale,"n/a"))</f>
        <v/>
      </c>
      <c r="U1594" s="2197" t="str">
        <f>IF($G1594=0,"",IFERROR(_xll.ciqfunctions.udf.CIQ($G1594,$I1594,U$1557,Valuation_Date_GC,ReportType,DataMode,$H1594,FXMode)*Scale,"n/a"))</f>
        <v/>
      </c>
      <c r="V1594" s="2197" t="str">
        <f>IF($G1594=0,"",IFERROR(_xll.ciqfunctions.udf.CIQ($G1594,$I1594,V$1557,Valuation_Date_GC,ReportType,DataMode,$H1594,FXMode)*Scale,"n/a"))</f>
        <v/>
      </c>
      <c r="W1594" s="1479"/>
      <c r="X1594" s="255"/>
      <c r="Y1594" s="89"/>
      <c r="Z1594" s="2060"/>
      <c r="AA1594" s="2060"/>
      <c r="AB1594" s="2060"/>
      <c r="AC1594" s="2060"/>
      <c r="AD1594" s="2060"/>
      <c r="AE1594" s="2060"/>
      <c r="AF1594" s="2060"/>
      <c r="AG1594" s="2060"/>
      <c r="AH1594" s="2060"/>
      <c r="AI1594" s="2060"/>
      <c r="AJ1594" s="2060"/>
      <c r="AK1594" s="2060"/>
      <c r="AL1594" s="2060"/>
      <c r="AM1594" s="2060"/>
      <c r="AN1594" s="2060"/>
      <c r="AO1594" s="2060"/>
      <c r="AP1594" s="2060"/>
      <c r="AQ1594" s="2060"/>
      <c r="AR1594" s="2060"/>
      <c r="AS1594" s="2060"/>
      <c r="AT1594" s="2060"/>
      <c r="AU1594" s="2060"/>
      <c r="AV1594" s="2060"/>
      <c r="AW1594" s="2060"/>
      <c r="AX1594" s="2060"/>
      <c r="AY1594" s="2060"/>
      <c r="AZ1594" s="2060"/>
      <c r="BA1594" s="2060"/>
      <c r="BB1594" s="2060"/>
      <c r="BC1594" s="2060"/>
      <c r="BD1594" s="2060"/>
      <c r="BE1594" s="2060"/>
      <c r="BF1594" s="2060"/>
      <c r="BG1594" s="2060"/>
      <c r="BH1594" s="2060"/>
      <c r="BI1594" s="2060"/>
      <c r="BJ1594" s="2060"/>
      <c r="BK1594" s="2060"/>
      <c r="BL1594" s="2060"/>
      <c r="BM1594" s="2060"/>
      <c r="BN1594" s="2060"/>
      <c r="BO1594" s="2060"/>
      <c r="BP1594" s="2060"/>
      <c r="BQ1594" s="2060"/>
      <c r="BR1594" s="2060"/>
      <c r="BS1594" s="2060"/>
      <c r="BT1594" s="2060"/>
      <c r="BU1594" s="2060"/>
      <c r="BV1594" s="2060"/>
      <c r="BW1594" s="2060"/>
      <c r="BX1594" s="2060"/>
      <c r="BY1594" s="2060"/>
      <c r="BZ1594" s="2060"/>
      <c r="CA1594" s="2060"/>
      <c r="CB1594" s="2060"/>
      <c r="CC1594" s="2060"/>
      <c r="CD1594" s="2060"/>
      <c r="CE1594" s="2060"/>
      <c r="CF1594" s="2060"/>
      <c r="CG1594" s="2060"/>
      <c r="CH1594" s="2060"/>
      <c r="CI1594" s="2060"/>
      <c r="CJ1594" s="2060"/>
      <c r="CK1594" s="2060"/>
      <c r="CL1594" s="2060"/>
      <c r="CM1594" s="2060"/>
      <c r="CN1594" s="2060"/>
      <c r="CO1594" s="2060"/>
      <c r="CP1594" s="2060"/>
      <c r="CQ1594" s="2060"/>
      <c r="CR1594" s="2060"/>
      <c r="CS1594" s="2060"/>
      <c r="CT1594" s="2060"/>
      <c r="CU1594" s="2060"/>
      <c r="CV1594" s="2060"/>
      <c r="CW1594" s="2060"/>
      <c r="CX1594" s="2060"/>
      <c r="CY1594" s="2060"/>
      <c r="CZ1594" s="2060"/>
      <c r="DA1594" s="2060"/>
      <c r="DB1594" s="2060"/>
      <c r="DC1594" s="2060"/>
      <c r="DD1594" s="2060"/>
      <c r="DE1594" s="2060"/>
      <c r="DF1594" s="2060"/>
      <c r="DG1594" s="2060"/>
      <c r="DH1594" s="2060"/>
      <c r="DI1594" s="2060"/>
      <c r="DJ1594" s="2060"/>
      <c r="DK1594" s="2060"/>
      <c r="DL1594" s="2060"/>
      <c r="DM1594" s="2060"/>
      <c r="DN1594" s="2060"/>
      <c r="DO1594" s="2060"/>
      <c r="DP1594" s="2060"/>
      <c r="DQ1594" s="2060"/>
      <c r="DR1594" s="2060"/>
      <c r="DS1594" s="2060"/>
      <c r="DT1594" s="2060"/>
      <c r="DU1594" s="2060"/>
      <c r="DV1594" s="2060"/>
      <c r="DW1594" s="2060"/>
      <c r="DX1594" s="2060"/>
      <c r="DY1594" s="2060"/>
      <c r="DZ1594" s="2060"/>
      <c r="EA1594" s="2060"/>
      <c r="EB1594" s="2060"/>
      <c r="EC1594" s="2060"/>
      <c r="ED1594" s="2060"/>
      <c r="EE1594" s="2060"/>
      <c r="EF1594" s="2060"/>
      <c r="EG1594" s="2060"/>
      <c r="EH1594" s="2060"/>
      <c r="EI1594" s="2060"/>
      <c r="EJ1594" s="2060"/>
      <c r="EK1594" s="2060"/>
      <c r="EL1594" s="2060"/>
      <c r="EM1594" s="2060"/>
      <c r="EN1594" s="2060"/>
      <c r="EO1594" s="2060"/>
      <c r="EP1594" s="2060"/>
      <c r="EQ1594" s="2060"/>
      <c r="ER1594" s="2060"/>
      <c r="ES1594" s="2060"/>
      <c r="ET1594" s="2060"/>
      <c r="EU1594" s="2060"/>
      <c r="EV1594" s="2060"/>
      <c r="EW1594" s="2060"/>
      <c r="EX1594" s="2060"/>
      <c r="EY1594" s="2060"/>
      <c r="EZ1594" s="2060"/>
      <c r="FA1594" s="2060"/>
      <c r="FB1594" s="2060"/>
      <c r="FC1594" s="2060"/>
      <c r="FD1594" s="2060"/>
      <c r="FE1594" s="2060"/>
      <c r="FF1594" s="2060"/>
      <c r="FG1594" s="2060"/>
      <c r="FH1594" s="2060"/>
      <c r="FI1594" s="2060"/>
      <c r="FJ1594" s="2060"/>
      <c r="FK1594" s="2060"/>
      <c r="FL1594" s="2060"/>
      <c r="FM1594" s="2060"/>
      <c r="FN1594" s="2060"/>
      <c r="FO1594" s="2060"/>
      <c r="FP1594" s="2060"/>
      <c r="FQ1594" s="2060"/>
      <c r="FR1594" s="2060"/>
      <c r="FS1594" s="2060"/>
      <c r="FT1594" s="2060"/>
      <c r="FU1594" s="2060"/>
      <c r="FV1594" s="2060"/>
      <c r="FW1594" s="2060"/>
      <c r="FX1594" s="2060"/>
      <c r="FY1594" s="2060"/>
      <c r="FZ1594" s="2060"/>
      <c r="GA1594" s="2060"/>
      <c r="GB1594" s="2060"/>
      <c r="GC1594" s="2060"/>
      <c r="GD1594" s="2060"/>
      <c r="GE1594" s="2060"/>
      <c r="GF1594" s="2060"/>
      <c r="GG1594" s="2060"/>
      <c r="GH1594" s="2060"/>
      <c r="GI1594" s="2060"/>
      <c r="GJ1594" s="2060"/>
      <c r="GK1594" s="2060"/>
      <c r="GL1594" s="2060"/>
      <c r="GM1594" s="2060"/>
      <c r="GN1594" s="2060"/>
      <c r="GO1594" s="2060"/>
      <c r="GP1594" s="2060"/>
      <c r="GQ1594" s="2060"/>
      <c r="GR1594" s="2060"/>
      <c r="GS1594" s="2060"/>
      <c r="GT1594" s="2060"/>
      <c r="GU1594" s="2060"/>
      <c r="GV1594" s="2060"/>
      <c r="GW1594" s="2060"/>
      <c r="GX1594" s="2060"/>
      <c r="GY1594" s="2060"/>
      <c r="GZ1594" s="2060"/>
      <c r="HA1594" s="2060"/>
      <c r="HB1594" s="2060"/>
      <c r="HC1594" s="2060"/>
      <c r="HD1594" s="2060"/>
      <c r="HE1594" s="2060"/>
      <c r="HF1594" s="2060"/>
      <c r="HG1594" s="2060"/>
      <c r="HH1594" s="2060"/>
      <c r="HI1594" s="2060"/>
      <c r="HJ1594" s="2060"/>
      <c r="HK1594" s="2060"/>
      <c r="HL1594" s="2060"/>
      <c r="HM1594" s="2060"/>
      <c r="HN1594" s="2060"/>
      <c r="HO1594" s="2060"/>
      <c r="HP1594" s="2060"/>
      <c r="HQ1594" s="2060"/>
      <c r="HR1594" s="2060"/>
      <c r="HS1594" s="2060"/>
      <c r="HT1594" s="2060"/>
      <c r="HU1594" s="2060"/>
      <c r="HV1594" s="2060"/>
      <c r="HW1594" s="2060"/>
      <c r="HX1594" s="2060"/>
      <c r="HY1594" s="2060"/>
      <c r="HZ1594" s="2060"/>
      <c r="IA1594" s="2060"/>
      <c r="IB1594" s="2060"/>
      <c r="IC1594" s="2060"/>
      <c r="ID1594" s="2060"/>
      <c r="IE1594" s="2060"/>
      <c r="IF1594" s="2060"/>
      <c r="IG1594" s="2060"/>
      <c r="IH1594" s="2060"/>
      <c r="II1594" s="2060"/>
      <c r="IJ1594" s="2060"/>
      <c r="IK1594" s="2060"/>
      <c r="IL1594" s="2060"/>
      <c r="IM1594" s="2060"/>
      <c r="IN1594" s="2060"/>
      <c r="IO1594" s="2060"/>
      <c r="IP1594" s="2060"/>
      <c r="IQ1594" s="2060"/>
      <c r="IR1594" s="2060"/>
      <c r="IS1594" s="2060"/>
      <c r="IT1594" s="2060"/>
      <c r="IU1594" s="2060"/>
      <c r="IV1594" s="2060"/>
      <c r="IW1594" s="2060"/>
      <c r="IX1594" s="2060"/>
      <c r="IY1594" s="2060"/>
      <c r="IZ1594" s="2060"/>
      <c r="JA1594" s="2060"/>
      <c r="JB1594" s="2060"/>
      <c r="JC1594" s="2060"/>
      <c r="JD1594" s="2060"/>
      <c r="JE1594" s="2060"/>
      <c r="JF1594" s="2060"/>
      <c r="JG1594" s="2060"/>
      <c r="JH1594" s="2060"/>
      <c r="JI1594" s="2060"/>
      <c r="JJ1594" s="2060"/>
      <c r="JK1594" s="2060"/>
      <c r="JL1594" s="2060"/>
      <c r="JM1594" s="2060"/>
      <c r="JN1594" s="2060"/>
      <c r="JO1594" s="2060"/>
      <c r="JP1594" s="2060"/>
      <c r="JQ1594" s="2060"/>
      <c r="JR1594" s="2060"/>
      <c r="JS1594" s="2060"/>
      <c r="JT1594" s="2060"/>
      <c r="JU1594" s="2060"/>
      <c r="JV1594" s="2060"/>
      <c r="JW1594" s="2060"/>
      <c r="JX1594" s="2060"/>
      <c r="JY1594" s="2060"/>
      <c r="JZ1594" s="2060"/>
      <c r="KA1594" s="2060"/>
      <c r="KB1594" s="2060"/>
      <c r="KC1594" s="2060"/>
      <c r="KD1594" s="2060"/>
      <c r="KE1594" s="2060"/>
      <c r="KF1594" s="2060"/>
      <c r="KG1594" s="2060"/>
      <c r="KH1594" s="2060"/>
      <c r="KI1594" s="2060"/>
      <c r="KJ1594" s="2060"/>
      <c r="KK1594" s="2060"/>
      <c r="KL1594" s="2060"/>
      <c r="KM1594" s="2060"/>
      <c r="KN1594" s="2060"/>
      <c r="KO1594" s="2060"/>
      <c r="KP1594" s="2060"/>
      <c r="KQ1594" s="2060"/>
      <c r="KR1594" s="2060"/>
      <c r="KS1594" s="2060"/>
      <c r="KT1594" s="2060"/>
      <c r="KU1594" s="2060"/>
      <c r="KV1594" s="2060"/>
      <c r="KW1594" s="2060"/>
      <c r="KX1594" s="2060"/>
      <c r="KY1594" s="2060"/>
      <c r="KZ1594" s="2060"/>
      <c r="LA1594" s="2060"/>
      <c r="LB1594" s="2060"/>
      <c r="LC1594" s="2060"/>
      <c r="LD1594" s="2060"/>
      <c r="LE1594" s="2060"/>
      <c r="LF1594" s="2060"/>
      <c r="LG1594" s="2060"/>
      <c r="LH1594" s="2060"/>
    </row>
    <row r="1595" spans="1:320" s="449" customFormat="1" ht="13.9">
      <c r="A1595" s="269" t="str">
        <f t="shared" si="440"/>
        <v>n</v>
      </c>
      <c r="B1595" s="2060"/>
      <c r="C1595" s="2060"/>
      <c r="D1595" s="2060"/>
      <c r="E1595" s="1661">
        <v>8</v>
      </c>
      <c r="F1595" s="1353" t="str">
        <f>F$136</f>
        <v>--</v>
      </c>
      <c r="G1595" s="128">
        <f>G$136</f>
        <v>0</v>
      </c>
      <c r="H1595" s="128" t="str">
        <f>H$136</f>
        <v>--</v>
      </c>
      <c r="I1595" s="89" t="s">
        <v>781</v>
      </c>
      <c r="J1595" s="2197" t="str">
        <f>IF($G1595=0,"",IFERROR(_xll.ciqfunctions.udf.CIQ($G1595,$I1595,J$1557,Valuation_Date_GC,ReportType,DataMode,$H1595,FXMode)*Scale,"n/a"))</f>
        <v/>
      </c>
      <c r="K1595" s="2197" t="str">
        <f>IF($G1595=0,"",IFERROR(_xll.ciqfunctions.udf.CIQ($G1595,$I1595,K$1557,Valuation_Date_GC,ReportType,DataMode,$H1595,FXMode)*Scale,"n/a"))</f>
        <v/>
      </c>
      <c r="L1595" s="2197" t="str">
        <f>IF($G1595=0,"",IFERROR(_xll.ciqfunctions.udf.CIQ($G1595,$I1595,L$1557,Valuation_Date_GC,ReportType,DataMode,$H1595,FXMode)*Scale,"n/a"))</f>
        <v/>
      </c>
      <c r="M1595" s="2197" t="str">
        <f>IF($G1595=0,"",IFERROR(_xll.ciqfunctions.udf.CIQ($G1595,$I1595,M$1557,Valuation_Date_GC,ReportType,DataMode,$H1595,FXMode)*Scale,"n/a"))</f>
        <v/>
      </c>
      <c r="N1595" s="2197" t="str">
        <f>IF($G1595=0,"",IFERROR(_xll.ciqfunctions.udf.CIQ($G1595,$I1595,N$1557,Valuation_Date_GC,ReportType,DataMode,$H1595,FXMode)*Scale,"n/a"))</f>
        <v/>
      </c>
      <c r="O1595" s="2197" t="str">
        <f>IF($G1595=0,"",IFERROR(_xll.ciqfunctions.udf.CIQ($G1595,$I1595,O$1557,Valuation_Date_GC,ReportType,DataMode,$H1595,FXMode)*Scale,"n/a"))</f>
        <v/>
      </c>
      <c r="P1595" s="2197" t="str">
        <f>IF($G1595=0,"",IFERROR(_xll.ciqfunctions.udf.CIQ($G1595,$I1595,P$1557,Valuation_Date_GC,ReportType,DataMode,$H1595,FXMode)*Scale,"n/a"))</f>
        <v/>
      </c>
      <c r="Q1595" s="2197" t="str">
        <f>IF($G1595=0,"",IFERROR(_xll.ciqfunctions.udf.CIQ($G1595,$I1595,Q$1557,Valuation_Date_GC,ReportType,DataMode,$H1595,FXMode)*Scale,"n/a"))</f>
        <v/>
      </c>
      <c r="R1595" s="2197" t="str">
        <f>IF($G1595=0,"",IFERROR(_xll.ciqfunctions.udf.CIQ($G1595,$I1595,R$1557,Valuation_Date_GC,ReportType,DataMode,$H1595,FXMode)*Scale,"n/a"))</f>
        <v/>
      </c>
      <c r="S1595" s="2197" t="str">
        <f>IF($G1595=0,"",IFERROR(_xll.ciqfunctions.udf.CIQ($G1595,$I1595,S$1557,Valuation_Date_GC,ReportType,DataMode,$H1595,FXMode)*Scale,"n/a"))</f>
        <v/>
      </c>
      <c r="T1595" s="2197" t="str">
        <f>IF($G1595=0,"",IFERROR(_xll.ciqfunctions.udf.CIQ($G1595,$I1595,T$1557,Valuation_Date_GC,ReportType,DataMode,$H1595,FXMode)*Scale,"n/a"))</f>
        <v/>
      </c>
      <c r="U1595" s="2197" t="str">
        <f>IF($G1595=0,"",IFERROR(_xll.ciqfunctions.udf.CIQ($G1595,$I1595,U$1557,Valuation_Date_GC,ReportType,DataMode,$H1595,FXMode)*Scale,"n/a"))</f>
        <v/>
      </c>
      <c r="V1595" s="2197" t="str">
        <f>IF($G1595=0,"",IFERROR(_xll.ciqfunctions.udf.CIQ($G1595,$I1595,V$1557,Valuation_Date_GC,ReportType,DataMode,$H1595,FXMode)*Scale,"n/a"))</f>
        <v/>
      </c>
      <c r="W1595" s="1479"/>
      <c r="X1595" s="255"/>
      <c r="Y1595" s="89"/>
      <c r="Z1595" s="2060"/>
      <c r="AA1595" s="2060"/>
      <c r="AB1595" s="2060"/>
      <c r="AC1595" s="2060"/>
      <c r="AD1595" s="2060"/>
      <c r="AE1595" s="2060"/>
      <c r="AF1595" s="2060"/>
      <c r="AG1595" s="2060"/>
      <c r="AH1595" s="2060"/>
      <c r="AI1595" s="2060"/>
      <c r="AJ1595" s="2060"/>
      <c r="AK1595" s="2060"/>
      <c r="AL1595" s="2060"/>
      <c r="AM1595" s="2060"/>
      <c r="AN1595" s="2060"/>
      <c r="AO1595" s="2060"/>
      <c r="AP1595" s="2060"/>
      <c r="AQ1595" s="2060"/>
      <c r="AR1595" s="2060"/>
      <c r="AS1595" s="2060"/>
      <c r="AT1595" s="2060"/>
      <c r="AU1595" s="2060"/>
      <c r="AV1595" s="2060"/>
      <c r="AW1595" s="2060"/>
      <c r="AX1595" s="2060"/>
      <c r="AY1595" s="2060"/>
      <c r="AZ1595" s="2060"/>
      <c r="BA1595" s="2060"/>
      <c r="BB1595" s="2060"/>
      <c r="BC1595" s="2060"/>
      <c r="BD1595" s="2060"/>
      <c r="BE1595" s="2060"/>
      <c r="BF1595" s="2060"/>
      <c r="BG1595" s="2060"/>
      <c r="BH1595" s="2060"/>
      <c r="BI1595" s="2060"/>
      <c r="BJ1595" s="2060"/>
      <c r="BK1595" s="2060"/>
      <c r="BL1595" s="2060"/>
      <c r="BM1595" s="2060"/>
      <c r="BN1595" s="2060"/>
      <c r="BO1595" s="2060"/>
      <c r="BP1595" s="2060"/>
      <c r="BQ1595" s="2060"/>
      <c r="BR1595" s="2060"/>
      <c r="BS1595" s="2060"/>
      <c r="BT1595" s="2060"/>
      <c r="BU1595" s="2060"/>
      <c r="BV1595" s="2060"/>
      <c r="BW1595" s="2060"/>
      <c r="BX1595" s="2060"/>
      <c r="BY1595" s="2060"/>
      <c r="BZ1595" s="2060"/>
      <c r="CA1595" s="2060"/>
      <c r="CB1595" s="2060"/>
      <c r="CC1595" s="2060"/>
      <c r="CD1595" s="2060"/>
      <c r="CE1595" s="2060"/>
      <c r="CF1595" s="2060"/>
      <c r="CG1595" s="2060"/>
      <c r="CH1595" s="2060"/>
      <c r="CI1595" s="2060"/>
      <c r="CJ1595" s="2060"/>
      <c r="CK1595" s="2060"/>
      <c r="CL1595" s="2060"/>
      <c r="CM1595" s="2060"/>
      <c r="CN1595" s="2060"/>
      <c r="CO1595" s="2060"/>
      <c r="CP1595" s="2060"/>
      <c r="CQ1595" s="2060"/>
      <c r="CR1595" s="2060"/>
      <c r="CS1595" s="2060"/>
      <c r="CT1595" s="2060"/>
      <c r="CU1595" s="2060"/>
      <c r="CV1595" s="2060"/>
      <c r="CW1595" s="2060"/>
      <c r="CX1595" s="2060"/>
      <c r="CY1595" s="2060"/>
      <c r="CZ1595" s="2060"/>
      <c r="DA1595" s="2060"/>
      <c r="DB1595" s="2060"/>
      <c r="DC1595" s="2060"/>
      <c r="DD1595" s="2060"/>
      <c r="DE1595" s="2060"/>
      <c r="DF1595" s="2060"/>
      <c r="DG1595" s="2060"/>
      <c r="DH1595" s="2060"/>
      <c r="DI1595" s="2060"/>
      <c r="DJ1595" s="2060"/>
      <c r="DK1595" s="2060"/>
      <c r="DL1595" s="2060"/>
      <c r="DM1595" s="2060"/>
      <c r="DN1595" s="2060"/>
      <c r="DO1595" s="2060"/>
      <c r="DP1595" s="2060"/>
      <c r="DQ1595" s="2060"/>
      <c r="DR1595" s="2060"/>
      <c r="DS1595" s="2060"/>
      <c r="DT1595" s="2060"/>
      <c r="DU1595" s="2060"/>
      <c r="DV1595" s="2060"/>
      <c r="DW1595" s="2060"/>
      <c r="DX1595" s="2060"/>
      <c r="DY1595" s="2060"/>
      <c r="DZ1595" s="2060"/>
      <c r="EA1595" s="2060"/>
      <c r="EB1595" s="2060"/>
      <c r="EC1595" s="2060"/>
      <c r="ED1595" s="2060"/>
      <c r="EE1595" s="2060"/>
      <c r="EF1595" s="2060"/>
      <c r="EG1595" s="2060"/>
      <c r="EH1595" s="2060"/>
      <c r="EI1595" s="2060"/>
      <c r="EJ1595" s="2060"/>
      <c r="EK1595" s="2060"/>
      <c r="EL1595" s="2060"/>
      <c r="EM1595" s="2060"/>
      <c r="EN1595" s="2060"/>
      <c r="EO1595" s="2060"/>
      <c r="EP1595" s="2060"/>
      <c r="EQ1595" s="2060"/>
      <c r="ER1595" s="2060"/>
      <c r="ES1595" s="2060"/>
      <c r="ET1595" s="2060"/>
      <c r="EU1595" s="2060"/>
      <c r="EV1595" s="2060"/>
      <c r="EW1595" s="2060"/>
      <c r="EX1595" s="2060"/>
      <c r="EY1595" s="2060"/>
      <c r="EZ1595" s="2060"/>
      <c r="FA1595" s="2060"/>
      <c r="FB1595" s="2060"/>
      <c r="FC1595" s="2060"/>
      <c r="FD1595" s="2060"/>
      <c r="FE1595" s="2060"/>
      <c r="FF1595" s="2060"/>
      <c r="FG1595" s="2060"/>
      <c r="FH1595" s="2060"/>
      <c r="FI1595" s="2060"/>
      <c r="FJ1595" s="2060"/>
      <c r="FK1595" s="2060"/>
      <c r="FL1595" s="2060"/>
      <c r="FM1595" s="2060"/>
      <c r="FN1595" s="2060"/>
      <c r="FO1595" s="2060"/>
      <c r="FP1595" s="2060"/>
      <c r="FQ1595" s="2060"/>
      <c r="FR1595" s="2060"/>
      <c r="FS1595" s="2060"/>
      <c r="FT1595" s="2060"/>
      <c r="FU1595" s="2060"/>
      <c r="FV1595" s="2060"/>
      <c r="FW1595" s="2060"/>
      <c r="FX1595" s="2060"/>
      <c r="FY1595" s="2060"/>
      <c r="FZ1595" s="2060"/>
      <c r="GA1595" s="2060"/>
      <c r="GB1595" s="2060"/>
      <c r="GC1595" s="2060"/>
      <c r="GD1595" s="2060"/>
      <c r="GE1595" s="2060"/>
      <c r="GF1595" s="2060"/>
      <c r="GG1595" s="2060"/>
      <c r="GH1595" s="2060"/>
      <c r="GI1595" s="2060"/>
      <c r="GJ1595" s="2060"/>
      <c r="GK1595" s="2060"/>
      <c r="GL1595" s="2060"/>
      <c r="GM1595" s="2060"/>
      <c r="GN1595" s="2060"/>
      <c r="GO1595" s="2060"/>
      <c r="GP1595" s="2060"/>
      <c r="GQ1595" s="2060"/>
      <c r="GR1595" s="2060"/>
      <c r="GS1595" s="2060"/>
      <c r="GT1595" s="2060"/>
      <c r="GU1595" s="2060"/>
      <c r="GV1595" s="2060"/>
      <c r="GW1595" s="2060"/>
      <c r="GX1595" s="2060"/>
      <c r="GY1595" s="2060"/>
      <c r="GZ1595" s="2060"/>
      <c r="HA1595" s="2060"/>
      <c r="HB1595" s="2060"/>
      <c r="HC1595" s="2060"/>
      <c r="HD1595" s="2060"/>
      <c r="HE1595" s="2060"/>
      <c r="HF1595" s="2060"/>
      <c r="HG1595" s="2060"/>
      <c r="HH1595" s="2060"/>
      <c r="HI1595" s="2060"/>
      <c r="HJ1595" s="2060"/>
      <c r="HK1595" s="2060"/>
      <c r="HL1595" s="2060"/>
      <c r="HM1595" s="2060"/>
      <c r="HN1595" s="2060"/>
      <c r="HO1595" s="2060"/>
      <c r="HP1595" s="2060"/>
      <c r="HQ1595" s="2060"/>
      <c r="HR1595" s="2060"/>
      <c r="HS1595" s="2060"/>
      <c r="HT1595" s="2060"/>
      <c r="HU1595" s="2060"/>
      <c r="HV1595" s="2060"/>
      <c r="HW1595" s="2060"/>
      <c r="HX1595" s="2060"/>
      <c r="HY1595" s="2060"/>
      <c r="HZ1595" s="2060"/>
      <c r="IA1595" s="2060"/>
      <c r="IB1595" s="2060"/>
      <c r="IC1595" s="2060"/>
      <c r="ID1595" s="2060"/>
      <c r="IE1595" s="2060"/>
      <c r="IF1595" s="2060"/>
      <c r="IG1595" s="2060"/>
      <c r="IH1595" s="2060"/>
      <c r="II1595" s="2060"/>
      <c r="IJ1595" s="2060"/>
      <c r="IK1595" s="2060"/>
      <c r="IL1595" s="2060"/>
      <c r="IM1595" s="2060"/>
      <c r="IN1595" s="2060"/>
      <c r="IO1595" s="2060"/>
      <c r="IP1595" s="2060"/>
      <c r="IQ1595" s="2060"/>
      <c r="IR1595" s="2060"/>
      <c r="IS1595" s="2060"/>
      <c r="IT1595" s="2060"/>
      <c r="IU1595" s="2060"/>
      <c r="IV1595" s="2060"/>
      <c r="IW1595" s="2060"/>
      <c r="IX1595" s="2060"/>
      <c r="IY1595" s="2060"/>
      <c r="IZ1595" s="2060"/>
      <c r="JA1595" s="2060"/>
      <c r="JB1595" s="2060"/>
      <c r="JC1595" s="2060"/>
      <c r="JD1595" s="2060"/>
      <c r="JE1595" s="2060"/>
      <c r="JF1595" s="2060"/>
      <c r="JG1595" s="2060"/>
      <c r="JH1595" s="2060"/>
      <c r="JI1595" s="2060"/>
      <c r="JJ1595" s="2060"/>
      <c r="JK1595" s="2060"/>
      <c r="JL1595" s="2060"/>
      <c r="JM1595" s="2060"/>
      <c r="JN1595" s="2060"/>
      <c r="JO1595" s="2060"/>
      <c r="JP1595" s="2060"/>
      <c r="JQ1595" s="2060"/>
      <c r="JR1595" s="2060"/>
      <c r="JS1595" s="2060"/>
      <c r="JT1595" s="2060"/>
      <c r="JU1595" s="2060"/>
      <c r="JV1595" s="2060"/>
      <c r="JW1595" s="2060"/>
      <c r="JX1595" s="2060"/>
      <c r="JY1595" s="2060"/>
      <c r="JZ1595" s="2060"/>
      <c r="KA1595" s="2060"/>
      <c r="KB1595" s="2060"/>
      <c r="KC1595" s="2060"/>
      <c r="KD1595" s="2060"/>
      <c r="KE1595" s="2060"/>
      <c r="KF1595" s="2060"/>
      <c r="KG1595" s="2060"/>
      <c r="KH1595" s="2060"/>
      <c r="KI1595" s="2060"/>
      <c r="KJ1595" s="2060"/>
      <c r="KK1595" s="2060"/>
      <c r="KL1595" s="2060"/>
      <c r="KM1595" s="2060"/>
      <c r="KN1595" s="2060"/>
      <c r="KO1595" s="2060"/>
      <c r="KP1595" s="2060"/>
      <c r="KQ1595" s="2060"/>
      <c r="KR1595" s="2060"/>
      <c r="KS1595" s="2060"/>
      <c r="KT1595" s="2060"/>
      <c r="KU1595" s="2060"/>
      <c r="KV1595" s="2060"/>
      <c r="KW1595" s="2060"/>
      <c r="KX1595" s="2060"/>
      <c r="KY1595" s="2060"/>
      <c r="KZ1595" s="2060"/>
      <c r="LA1595" s="2060"/>
      <c r="LB1595" s="2060"/>
      <c r="LC1595" s="2060"/>
      <c r="LD1595" s="2060"/>
      <c r="LE1595" s="2060"/>
      <c r="LF1595" s="2060"/>
      <c r="LG1595" s="2060"/>
      <c r="LH1595" s="2060"/>
    </row>
    <row r="1596" spans="1:320" s="449" customFormat="1" ht="13.9">
      <c r="A1596" s="269" t="str">
        <f t="shared" si="440"/>
        <v>n</v>
      </c>
      <c r="B1596" s="2060"/>
      <c r="C1596" s="2060"/>
      <c r="D1596" s="2060"/>
      <c r="E1596" s="1661">
        <v>9</v>
      </c>
      <c r="F1596" s="1353" t="str">
        <f>F$137</f>
        <v>--</v>
      </c>
      <c r="G1596" s="128">
        <f>G$137</f>
        <v>0</v>
      </c>
      <c r="H1596" s="128" t="str">
        <f>H$137</f>
        <v>--</v>
      </c>
      <c r="I1596" s="89" t="s">
        <v>781</v>
      </c>
      <c r="J1596" s="2197" t="str">
        <f>IF($G1596=0,"",IFERROR(_xll.ciqfunctions.udf.CIQ($G1596,$I1596,J$1557,Valuation_Date_GC,ReportType,DataMode,$H1596,FXMode)*Scale,"n/a"))</f>
        <v/>
      </c>
      <c r="K1596" s="2197" t="str">
        <f>IF($G1596=0,"",IFERROR(_xll.ciqfunctions.udf.CIQ($G1596,$I1596,K$1557,Valuation_Date_GC,ReportType,DataMode,$H1596,FXMode)*Scale,"n/a"))</f>
        <v/>
      </c>
      <c r="L1596" s="2197" t="str">
        <f>IF($G1596=0,"",IFERROR(_xll.ciqfunctions.udf.CIQ($G1596,$I1596,L$1557,Valuation_Date_GC,ReportType,DataMode,$H1596,FXMode)*Scale,"n/a"))</f>
        <v/>
      </c>
      <c r="M1596" s="2197" t="str">
        <f>IF($G1596=0,"",IFERROR(_xll.ciqfunctions.udf.CIQ($G1596,$I1596,M$1557,Valuation_Date_GC,ReportType,DataMode,$H1596,FXMode)*Scale,"n/a"))</f>
        <v/>
      </c>
      <c r="N1596" s="2197" t="str">
        <f>IF($G1596=0,"",IFERROR(_xll.ciqfunctions.udf.CIQ($G1596,$I1596,N$1557,Valuation_Date_GC,ReportType,DataMode,$H1596,FXMode)*Scale,"n/a"))</f>
        <v/>
      </c>
      <c r="O1596" s="2197" t="str">
        <f>IF($G1596=0,"",IFERROR(_xll.ciqfunctions.udf.CIQ($G1596,$I1596,O$1557,Valuation_Date_GC,ReportType,DataMode,$H1596,FXMode)*Scale,"n/a"))</f>
        <v/>
      </c>
      <c r="P1596" s="2197" t="str">
        <f>IF($G1596=0,"",IFERROR(_xll.ciqfunctions.udf.CIQ($G1596,$I1596,P$1557,Valuation_Date_GC,ReportType,DataMode,$H1596,FXMode)*Scale,"n/a"))</f>
        <v/>
      </c>
      <c r="Q1596" s="2197" t="str">
        <f>IF($G1596=0,"",IFERROR(_xll.ciqfunctions.udf.CIQ($G1596,$I1596,Q$1557,Valuation_Date_GC,ReportType,DataMode,$H1596,FXMode)*Scale,"n/a"))</f>
        <v/>
      </c>
      <c r="R1596" s="2197" t="str">
        <f>IF($G1596=0,"",IFERROR(_xll.ciqfunctions.udf.CIQ($G1596,$I1596,R$1557,Valuation_Date_GC,ReportType,DataMode,$H1596,FXMode)*Scale,"n/a"))</f>
        <v/>
      </c>
      <c r="S1596" s="2197" t="str">
        <f>IF($G1596=0,"",IFERROR(_xll.ciqfunctions.udf.CIQ($G1596,$I1596,S$1557,Valuation_Date_GC,ReportType,DataMode,$H1596,FXMode)*Scale,"n/a"))</f>
        <v/>
      </c>
      <c r="T1596" s="2197" t="str">
        <f>IF($G1596=0,"",IFERROR(_xll.ciqfunctions.udf.CIQ($G1596,$I1596,T$1557,Valuation_Date_GC,ReportType,DataMode,$H1596,FXMode)*Scale,"n/a"))</f>
        <v/>
      </c>
      <c r="U1596" s="2197" t="str">
        <f>IF($G1596=0,"",IFERROR(_xll.ciqfunctions.udf.CIQ($G1596,$I1596,U$1557,Valuation_Date_GC,ReportType,DataMode,$H1596,FXMode)*Scale,"n/a"))</f>
        <v/>
      </c>
      <c r="V1596" s="2197" t="str">
        <f>IF($G1596=0,"",IFERROR(_xll.ciqfunctions.udf.CIQ($G1596,$I1596,V$1557,Valuation_Date_GC,ReportType,DataMode,$H1596,FXMode)*Scale,"n/a"))</f>
        <v/>
      </c>
      <c r="W1596" s="1479"/>
      <c r="X1596" s="255"/>
      <c r="Y1596" s="89"/>
      <c r="Z1596" s="2060"/>
      <c r="AA1596" s="2060"/>
      <c r="AB1596" s="2060"/>
      <c r="AC1596" s="2060"/>
      <c r="AD1596" s="2060"/>
      <c r="AE1596" s="2060"/>
      <c r="AF1596" s="2060"/>
      <c r="AG1596" s="2060"/>
      <c r="AH1596" s="2060"/>
      <c r="AI1596" s="2060"/>
      <c r="AJ1596" s="2060"/>
      <c r="AK1596" s="2060"/>
      <c r="AL1596" s="2060"/>
      <c r="AM1596" s="2060"/>
      <c r="AN1596" s="2060"/>
      <c r="AO1596" s="2060"/>
      <c r="AP1596" s="2060"/>
      <c r="AQ1596" s="2060"/>
      <c r="AR1596" s="2060"/>
      <c r="AS1596" s="2060"/>
      <c r="AT1596" s="2060"/>
      <c r="AU1596" s="2060"/>
      <c r="AV1596" s="2060"/>
      <c r="AW1596" s="2060"/>
      <c r="AX1596" s="2060"/>
      <c r="AY1596" s="2060"/>
      <c r="AZ1596" s="2060"/>
      <c r="BA1596" s="2060"/>
      <c r="BB1596" s="2060"/>
      <c r="BC1596" s="2060"/>
      <c r="BD1596" s="2060"/>
      <c r="BE1596" s="2060"/>
      <c r="BF1596" s="2060"/>
      <c r="BG1596" s="2060"/>
      <c r="BH1596" s="2060"/>
      <c r="BI1596" s="2060"/>
      <c r="BJ1596" s="2060"/>
      <c r="BK1596" s="2060"/>
      <c r="BL1596" s="2060"/>
      <c r="BM1596" s="2060"/>
      <c r="BN1596" s="2060"/>
      <c r="BO1596" s="2060"/>
      <c r="BP1596" s="2060"/>
      <c r="BQ1596" s="2060"/>
      <c r="BR1596" s="2060"/>
      <c r="BS1596" s="2060"/>
      <c r="BT1596" s="2060"/>
      <c r="BU1596" s="2060"/>
      <c r="BV1596" s="2060"/>
      <c r="BW1596" s="2060"/>
      <c r="BX1596" s="2060"/>
      <c r="BY1596" s="2060"/>
      <c r="BZ1596" s="2060"/>
      <c r="CA1596" s="2060"/>
      <c r="CB1596" s="2060"/>
      <c r="CC1596" s="2060"/>
      <c r="CD1596" s="2060"/>
      <c r="CE1596" s="2060"/>
      <c r="CF1596" s="2060"/>
      <c r="CG1596" s="2060"/>
      <c r="CH1596" s="2060"/>
      <c r="CI1596" s="2060"/>
      <c r="CJ1596" s="2060"/>
      <c r="CK1596" s="2060"/>
      <c r="CL1596" s="2060"/>
      <c r="CM1596" s="2060"/>
      <c r="CN1596" s="2060"/>
      <c r="CO1596" s="2060"/>
      <c r="CP1596" s="2060"/>
      <c r="CQ1596" s="2060"/>
      <c r="CR1596" s="2060"/>
      <c r="CS1596" s="2060"/>
      <c r="CT1596" s="2060"/>
      <c r="CU1596" s="2060"/>
      <c r="CV1596" s="2060"/>
      <c r="CW1596" s="2060"/>
      <c r="CX1596" s="2060"/>
      <c r="CY1596" s="2060"/>
      <c r="CZ1596" s="2060"/>
      <c r="DA1596" s="2060"/>
      <c r="DB1596" s="2060"/>
      <c r="DC1596" s="2060"/>
      <c r="DD1596" s="2060"/>
      <c r="DE1596" s="2060"/>
      <c r="DF1596" s="2060"/>
      <c r="DG1596" s="2060"/>
      <c r="DH1596" s="2060"/>
      <c r="DI1596" s="2060"/>
      <c r="DJ1596" s="2060"/>
      <c r="DK1596" s="2060"/>
      <c r="DL1596" s="2060"/>
      <c r="DM1596" s="2060"/>
      <c r="DN1596" s="2060"/>
      <c r="DO1596" s="2060"/>
      <c r="DP1596" s="2060"/>
      <c r="DQ1596" s="2060"/>
      <c r="DR1596" s="2060"/>
      <c r="DS1596" s="2060"/>
      <c r="DT1596" s="2060"/>
      <c r="DU1596" s="2060"/>
      <c r="DV1596" s="2060"/>
      <c r="DW1596" s="2060"/>
      <c r="DX1596" s="2060"/>
      <c r="DY1596" s="2060"/>
      <c r="DZ1596" s="2060"/>
      <c r="EA1596" s="2060"/>
      <c r="EB1596" s="2060"/>
      <c r="EC1596" s="2060"/>
      <c r="ED1596" s="2060"/>
      <c r="EE1596" s="2060"/>
      <c r="EF1596" s="2060"/>
      <c r="EG1596" s="2060"/>
      <c r="EH1596" s="2060"/>
      <c r="EI1596" s="2060"/>
      <c r="EJ1596" s="2060"/>
      <c r="EK1596" s="2060"/>
      <c r="EL1596" s="2060"/>
      <c r="EM1596" s="2060"/>
      <c r="EN1596" s="2060"/>
      <c r="EO1596" s="2060"/>
      <c r="EP1596" s="2060"/>
      <c r="EQ1596" s="2060"/>
      <c r="ER1596" s="2060"/>
      <c r="ES1596" s="2060"/>
      <c r="ET1596" s="2060"/>
      <c r="EU1596" s="2060"/>
      <c r="EV1596" s="2060"/>
      <c r="EW1596" s="2060"/>
      <c r="EX1596" s="2060"/>
      <c r="EY1596" s="2060"/>
      <c r="EZ1596" s="2060"/>
      <c r="FA1596" s="2060"/>
      <c r="FB1596" s="2060"/>
      <c r="FC1596" s="2060"/>
      <c r="FD1596" s="2060"/>
      <c r="FE1596" s="2060"/>
      <c r="FF1596" s="2060"/>
      <c r="FG1596" s="2060"/>
      <c r="FH1596" s="2060"/>
      <c r="FI1596" s="2060"/>
      <c r="FJ1596" s="2060"/>
      <c r="FK1596" s="2060"/>
      <c r="FL1596" s="2060"/>
      <c r="FM1596" s="2060"/>
      <c r="FN1596" s="2060"/>
      <c r="FO1596" s="2060"/>
      <c r="FP1596" s="2060"/>
      <c r="FQ1596" s="2060"/>
      <c r="FR1596" s="2060"/>
      <c r="FS1596" s="2060"/>
      <c r="FT1596" s="2060"/>
      <c r="FU1596" s="2060"/>
      <c r="FV1596" s="2060"/>
      <c r="FW1596" s="2060"/>
      <c r="FX1596" s="2060"/>
      <c r="FY1596" s="2060"/>
      <c r="FZ1596" s="2060"/>
      <c r="GA1596" s="2060"/>
      <c r="GB1596" s="2060"/>
      <c r="GC1596" s="2060"/>
      <c r="GD1596" s="2060"/>
      <c r="GE1596" s="2060"/>
      <c r="GF1596" s="2060"/>
      <c r="GG1596" s="2060"/>
      <c r="GH1596" s="2060"/>
      <c r="GI1596" s="2060"/>
      <c r="GJ1596" s="2060"/>
      <c r="GK1596" s="2060"/>
      <c r="GL1596" s="2060"/>
      <c r="GM1596" s="2060"/>
      <c r="GN1596" s="2060"/>
      <c r="GO1596" s="2060"/>
      <c r="GP1596" s="2060"/>
      <c r="GQ1596" s="2060"/>
      <c r="GR1596" s="2060"/>
      <c r="GS1596" s="2060"/>
      <c r="GT1596" s="2060"/>
      <c r="GU1596" s="2060"/>
      <c r="GV1596" s="2060"/>
      <c r="GW1596" s="2060"/>
      <c r="GX1596" s="2060"/>
      <c r="GY1596" s="2060"/>
      <c r="GZ1596" s="2060"/>
      <c r="HA1596" s="2060"/>
      <c r="HB1596" s="2060"/>
      <c r="HC1596" s="2060"/>
      <c r="HD1596" s="2060"/>
      <c r="HE1596" s="2060"/>
      <c r="HF1596" s="2060"/>
      <c r="HG1596" s="2060"/>
      <c r="HH1596" s="2060"/>
      <c r="HI1596" s="2060"/>
      <c r="HJ1596" s="2060"/>
      <c r="HK1596" s="2060"/>
      <c r="HL1596" s="2060"/>
      <c r="HM1596" s="2060"/>
      <c r="HN1596" s="2060"/>
      <c r="HO1596" s="2060"/>
      <c r="HP1596" s="2060"/>
      <c r="HQ1596" s="2060"/>
      <c r="HR1596" s="2060"/>
      <c r="HS1596" s="2060"/>
      <c r="HT1596" s="2060"/>
      <c r="HU1596" s="2060"/>
      <c r="HV1596" s="2060"/>
      <c r="HW1596" s="2060"/>
      <c r="HX1596" s="2060"/>
      <c r="HY1596" s="2060"/>
      <c r="HZ1596" s="2060"/>
      <c r="IA1596" s="2060"/>
      <c r="IB1596" s="2060"/>
      <c r="IC1596" s="2060"/>
      <c r="ID1596" s="2060"/>
      <c r="IE1596" s="2060"/>
      <c r="IF1596" s="2060"/>
      <c r="IG1596" s="2060"/>
      <c r="IH1596" s="2060"/>
      <c r="II1596" s="2060"/>
      <c r="IJ1596" s="2060"/>
      <c r="IK1596" s="2060"/>
      <c r="IL1596" s="2060"/>
      <c r="IM1596" s="2060"/>
      <c r="IN1596" s="2060"/>
      <c r="IO1596" s="2060"/>
      <c r="IP1596" s="2060"/>
      <c r="IQ1596" s="2060"/>
      <c r="IR1596" s="2060"/>
      <c r="IS1596" s="2060"/>
      <c r="IT1596" s="2060"/>
      <c r="IU1596" s="2060"/>
      <c r="IV1596" s="2060"/>
      <c r="IW1596" s="2060"/>
      <c r="IX1596" s="2060"/>
      <c r="IY1596" s="2060"/>
      <c r="IZ1596" s="2060"/>
      <c r="JA1596" s="2060"/>
      <c r="JB1596" s="2060"/>
      <c r="JC1596" s="2060"/>
      <c r="JD1596" s="2060"/>
      <c r="JE1596" s="2060"/>
      <c r="JF1596" s="2060"/>
      <c r="JG1596" s="2060"/>
      <c r="JH1596" s="2060"/>
      <c r="JI1596" s="2060"/>
      <c r="JJ1596" s="2060"/>
      <c r="JK1596" s="2060"/>
      <c r="JL1596" s="2060"/>
      <c r="JM1596" s="2060"/>
      <c r="JN1596" s="2060"/>
      <c r="JO1596" s="2060"/>
      <c r="JP1596" s="2060"/>
      <c r="JQ1596" s="2060"/>
      <c r="JR1596" s="2060"/>
      <c r="JS1596" s="2060"/>
      <c r="JT1596" s="2060"/>
      <c r="JU1596" s="2060"/>
      <c r="JV1596" s="2060"/>
      <c r="JW1596" s="2060"/>
      <c r="JX1596" s="2060"/>
      <c r="JY1596" s="2060"/>
      <c r="JZ1596" s="2060"/>
      <c r="KA1596" s="2060"/>
      <c r="KB1596" s="2060"/>
      <c r="KC1596" s="2060"/>
      <c r="KD1596" s="2060"/>
      <c r="KE1596" s="2060"/>
      <c r="KF1596" s="2060"/>
      <c r="KG1596" s="2060"/>
      <c r="KH1596" s="2060"/>
      <c r="KI1596" s="2060"/>
      <c r="KJ1596" s="2060"/>
      <c r="KK1596" s="2060"/>
      <c r="KL1596" s="2060"/>
      <c r="KM1596" s="2060"/>
      <c r="KN1596" s="2060"/>
      <c r="KO1596" s="2060"/>
      <c r="KP1596" s="2060"/>
      <c r="KQ1596" s="2060"/>
      <c r="KR1596" s="2060"/>
      <c r="KS1596" s="2060"/>
      <c r="KT1596" s="2060"/>
      <c r="KU1596" s="2060"/>
      <c r="KV1596" s="2060"/>
      <c r="KW1596" s="2060"/>
      <c r="KX1596" s="2060"/>
      <c r="KY1596" s="2060"/>
      <c r="KZ1596" s="2060"/>
      <c r="LA1596" s="2060"/>
      <c r="LB1596" s="2060"/>
      <c r="LC1596" s="2060"/>
      <c r="LD1596" s="2060"/>
      <c r="LE1596" s="2060"/>
      <c r="LF1596" s="2060"/>
      <c r="LG1596" s="2060"/>
      <c r="LH1596" s="2060"/>
    </row>
    <row r="1597" spans="1:320" s="449" customFormat="1" ht="13.9">
      <c r="A1597" s="269" t="str">
        <f t="shared" si="440"/>
        <v>n</v>
      </c>
      <c r="B1597" s="2060"/>
      <c r="C1597" s="2060"/>
      <c r="D1597" s="2060"/>
      <c r="E1597" s="1661">
        <v>10</v>
      </c>
      <c r="F1597" s="1353" t="str">
        <f>F$138</f>
        <v>--</v>
      </c>
      <c r="G1597" s="128">
        <f>G$138</f>
        <v>0</v>
      </c>
      <c r="H1597" s="128" t="str">
        <f>H$138</f>
        <v>--</v>
      </c>
      <c r="I1597" s="89" t="s">
        <v>781</v>
      </c>
      <c r="J1597" s="2197" t="str">
        <f>IF($G1597=0,"",IFERROR(_xll.ciqfunctions.udf.CIQ($G1597,$I1597,J$1557,Valuation_Date_GC,ReportType,DataMode,$H1597,FXMode)*Scale,"n/a"))</f>
        <v/>
      </c>
      <c r="K1597" s="2197" t="str">
        <f>IF($G1597=0,"",IFERROR(_xll.ciqfunctions.udf.CIQ($G1597,$I1597,K$1557,Valuation_Date_GC,ReportType,DataMode,$H1597,FXMode)*Scale,"n/a"))</f>
        <v/>
      </c>
      <c r="L1597" s="2197" t="str">
        <f>IF($G1597=0,"",IFERROR(_xll.ciqfunctions.udf.CIQ($G1597,$I1597,L$1557,Valuation_Date_GC,ReportType,DataMode,$H1597,FXMode)*Scale,"n/a"))</f>
        <v/>
      </c>
      <c r="M1597" s="2197" t="str">
        <f>IF($G1597=0,"",IFERROR(_xll.ciqfunctions.udf.CIQ($G1597,$I1597,M$1557,Valuation_Date_GC,ReportType,DataMode,$H1597,FXMode)*Scale,"n/a"))</f>
        <v/>
      </c>
      <c r="N1597" s="2197" t="str">
        <f>IF($G1597=0,"",IFERROR(_xll.ciqfunctions.udf.CIQ($G1597,$I1597,N$1557,Valuation_Date_GC,ReportType,DataMode,$H1597,FXMode)*Scale,"n/a"))</f>
        <v/>
      </c>
      <c r="O1597" s="2197" t="str">
        <f>IF($G1597=0,"",IFERROR(_xll.ciqfunctions.udf.CIQ($G1597,$I1597,O$1557,Valuation_Date_GC,ReportType,DataMode,$H1597,FXMode)*Scale,"n/a"))</f>
        <v/>
      </c>
      <c r="P1597" s="2197" t="str">
        <f>IF($G1597=0,"",IFERROR(_xll.ciqfunctions.udf.CIQ($G1597,$I1597,P$1557,Valuation_Date_GC,ReportType,DataMode,$H1597,FXMode)*Scale,"n/a"))</f>
        <v/>
      </c>
      <c r="Q1597" s="2197" t="str">
        <f>IF($G1597=0,"",IFERROR(_xll.ciqfunctions.udf.CIQ($G1597,$I1597,Q$1557,Valuation_Date_GC,ReportType,DataMode,$H1597,FXMode)*Scale,"n/a"))</f>
        <v/>
      </c>
      <c r="R1597" s="2197" t="str">
        <f>IF($G1597=0,"",IFERROR(_xll.ciqfunctions.udf.CIQ($G1597,$I1597,R$1557,Valuation_Date_GC,ReportType,DataMode,$H1597,FXMode)*Scale,"n/a"))</f>
        <v/>
      </c>
      <c r="S1597" s="2197" t="str">
        <f>IF($G1597=0,"",IFERROR(_xll.ciqfunctions.udf.CIQ($G1597,$I1597,S$1557,Valuation_Date_GC,ReportType,DataMode,$H1597,FXMode)*Scale,"n/a"))</f>
        <v/>
      </c>
      <c r="T1597" s="2197" t="str">
        <f>IF($G1597=0,"",IFERROR(_xll.ciqfunctions.udf.CIQ($G1597,$I1597,T$1557,Valuation_Date_GC,ReportType,DataMode,$H1597,FXMode)*Scale,"n/a"))</f>
        <v/>
      </c>
      <c r="U1597" s="2197" t="str">
        <f>IF($G1597=0,"",IFERROR(_xll.ciqfunctions.udf.CIQ($G1597,$I1597,U$1557,Valuation_Date_GC,ReportType,DataMode,$H1597,FXMode)*Scale,"n/a"))</f>
        <v/>
      </c>
      <c r="V1597" s="2197" t="str">
        <f>IF($G1597=0,"",IFERROR(_xll.ciqfunctions.udf.CIQ($G1597,$I1597,V$1557,Valuation_Date_GC,ReportType,DataMode,$H1597,FXMode)*Scale,"n/a"))</f>
        <v/>
      </c>
      <c r="W1597" s="1479"/>
      <c r="X1597" s="255"/>
      <c r="Y1597" s="89"/>
      <c r="Z1597" s="2060"/>
      <c r="AA1597" s="2060"/>
      <c r="AB1597" s="2060"/>
      <c r="AC1597" s="2060"/>
      <c r="AD1597" s="2060"/>
      <c r="AE1597" s="2060"/>
      <c r="AF1597" s="2060"/>
      <c r="AG1597" s="2060"/>
      <c r="AH1597" s="2060"/>
      <c r="AI1597" s="2060"/>
      <c r="AJ1597" s="2060"/>
      <c r="AK1597" s="2060"/>
      <c r="AL1597" s="2060"/>
      <c r="AM1597" s="2060"/>
      <c r="AN1597" s="2060"/>
      <c r="AO1597" s="2060"/>
      <c r="AP1597" s="2060"/>
      <c r="AQ1597" s="2060"/>
      <c r="AR1597" s="2060"/>
      <c r="AS1597" s="2060"/>
      <c r="AT1597" s="2060"/>
      <c r="AU1597" s="2060"/>
      <c r="AV1597" s="2060"/>
      <c r="AW1597" s="2060"/>
      <c r="AX1597" s="2060"/>
      <c r="AY1597" s="2060"/>
      <c r="AZ1597" s="2060"/>
      <c r="BA1597" s="2060"/>
      <c r="BB1597" s="2060"/>
      <c r="BC1597" s="2060"/>
      <c r="BD1597" s="2060"/>
      <c r="BE1597" s="2060"/>
      <c r="BF1597" s="2060"/>
      <c r="BG1597" s="2060"/>
      <c r="BH1597" s="2060"/>
      <c r="BI1597" s="2060"/>
      <c r="BJ1597" s="2060"/>
      <c r="BK1597" s="2060"/>
      <c r="BL1597" s="2060"/>
      <c r="BM1597" s="2060"/>
      <c r="BN1597" s="2060"/>
      <c r="BO1597" s="2060"/>
      <c r="BP1597" s="2060"/>
      <c r="BQ1597" s="2060"/>
      <c r="BR1597" s="2060"/>
      <c r="BS1597" s="2060"/>
      <c r="BT1597" s="2060"/>
      <c r="BU1597" s="2060"/>
      <c r="BV1597" s="2060"/>
      <c r="BW1597" s="2060"/>
      <c r="BX1597" s="2060"/>
      <c r="BY1597" s="2060"/>
      <c r="BZ1597" s="2060"/>
      <c r="CA1597" s="2060"/>
      <c r="CB1597" s="2060"/>
      <c r="CC1597" s="2060"/>
      <c r="CD1597" s="2060"/>
      <c r="CE1597" s="2060"/>
      <c r="CF1597" s="2060"/>
      <c r="CG1597" s="2060"/>
      <c r="CH1597" s="2060"/>
      <c r="CI1597" s="2060"/>
      <c r="CJ1597" s="2060"/>
      <c r="CK1597" s="2060"/>
      <c r="CL1597" s="2060"/>
      <c r="CM1597" s="2060"/>
      <c r="CN1597" s="2060"/>
      <c r="CO1597" s="2060"/>
      <c r="CP1597" s="2060"/>
      <c r="CQ1597" s="2060"/>
      <c r="CR1597" s="2060"/>
      <c r="CS1597" s="2060"/>
      <c r="CT1597" s="2060"/>
      <c r="CU1597" s="2060"/>
      <c r="CV1597" s="2060"/>
      <c r="CW1597" s="2060"/>
      <c r="CX1597" s="2060"/>
      <c r="CY1597" s="2060"/>
      <c r="CZ1597" s="2060"/>
      <c r="DA1597" s="2060"/>
      <c r="DB1597" s="2060"/>
      <c r="DC1597" s="2060"/>
      <c r="DD1597" s="2060"/>
      <c r="DE1597" s="2060"/>
      <c r="DF1597" s="2060"/>
      <c r="DG1597" s="2060"/>
      <c r="DH1597" s="2060"/>
      <c r="DI1597" s="2060"/>
      <c r="DJ1597" s="2060"/>
      <c r="DK1597" s="2060"/>
      <c r="DL1597" s="2060"/>
      <c r="DM1597" s="2060"/>
      <c r="DN1597" s="2060"/>
      <c r="DO1597" s="2060"/>
      <c r="DP1597" s="2060"/>
      <c r="DQ1597" s="2060"/>
      <c r="DR1597" s="2060"/>
      <c r="DS1597" s="2060"/>
      <c r="DT1597" s="2060"/>
      <c r="DU1597" s="2060"/>
      <c r="DV1597" s="2060"/>
      <c r="DW1597" s="2060"/>
      <c r="DX1597" s="2060"/>
      <c r="DY1597" s="2060"/>
      <c r="DZ1597" s="2060"/>
      <c r="EA1597" s="2060"/>
      <c r="EB1597" s="2060"/>
      <c r="EC1597" s="2060"/>
      <c r="ED1597" s="2060"/>
      <c r="EE1597" s="2060"/>
      <c r="EF1597" s="2060"/>
      <c r="EG1597" s="2060"/>
      <c r="EH1597" s="2060"/>
      <c r="EI1597" s="2060"/>
      <c r="EJ1597" s="2060"/>
      <c r="EK1597" s="2060"/>
      <c r="EL1597" s="2060"/>
      <c r="EM1597" s="2060"/>
      <c r="EN1597" s="2060"/>
      <c r="EO1597" s="2060"/>
      <c r="EP1597" s="2060"/>
      <c r="EQ1597" s="2060"/>
      <c r="ER1597" s="2060"/>
      <c r="ES1597" s="2060"/>
      <c r="ET1597" s="2060"/>
      <c r="EU1597" s="2060"/>
      <c r="EV1597" s="2060"/>
      <c r="EW1597" s="2060"/>
      <c r="EX1597" s="2060"/>
      <c r="EY1597" s="2060"/>
      <c r="EZ1597" s="2060"/>
      <c r="FA1597" s="2060"/>
      <c r="FB1597" s="2060"/>
      <c r="FC1597" s="2060"/>
      <c r="FD1597" s="2060"/>
      <c r="FE1597" s="2060"/>
      <c r="FF1597" s="2060"/>
      <c r="FG1597" s="2060"/>
      <c r="FH1597" s="2060"/>
      <c r="FI1597" s="2060"/>
      <c r="FJ1597" s="2060"/>
      <c r="FK1597" s="2060"/>
      <c r="FL1597" s="2060"/>
      <c r="FM1597" s="2060"/>
      <c r="FN1597" s="2060"/>
      <c r="FO1597" s="2060"/>
      <c r="FP1597" s="2060"/>
      <c r="FQ1597" s="2060"/>
      <c r="FR1597" s="2060"/>
      <c r="FS1597" s="2060"/>
      <c r="FT1597" s="2060"/>
      <c r="FU1597" s="2060"/>
      <c r="FV1597" s="2060"/>
      <c r="FW1597" s="2060"/>
      <c r="FX1597" s="2060"/>
      <c r="FY1597" s="2060"/>
      <c r="FZ1597" s="2060"/>
      <c r="GA1597" s="2060"/>
      <c r="GB1597" s="2060"/>
      <c r="GC1597" s="2060"/>
      <c r="GD1597" s="2060"/>
      <c r="GE1597" s="2060"/>
      <c r="GF1597" s="2060"/>
      <c r="GG1597" s="2060"/>
      <c r="GH1597" s="2060"/>
      <c r="GI1597" s="2060"/>
      <c r="GJ1597" s="2060"/>
      <c r="GK1597" s="2060"/>
      <c r="GL1597" s="2060"/>
      <c r="GM1597" s="2060"/>
      <c r="GN1597" s="2060"/>
      <c r="GO1597" s="2060"/>
      <c r="GP1597" s="2060"/>
      <c r="GQ1597" s="2060"/>
      <c r="GR1597" s="2060"/>
      <c r="GS1597" s="2060"/>
      <c r="GT1597" s="2060"/>
      <c r="GU1597" s="2060"/>
      <c r="GV1597" s="2060"/>
      <c r="GW1597" s="2060"/>
      <c r="GX1597" s="2060"/>
      <c r="GY1597" s="2060"/>
      <c r="GZ1597" s="2060"/>
      <c r="HA1597" s="2060"/>
      <c r="HB1597" s="2060"/>
      <c r="HC1597" s="2060"/>
      <c r="HD1597" s="2060"/>
      <c r="HE1597" s="2060"/>
      <c r="HF1597" s="2060"/>
      <c r="HG1597" s="2060"/>
      <c r="HH1597" s="2060"/>
      <c r="HI1597" s="2060"/>
      <c r="HJ1597" s="2060"/>
      <c r="HK1597" s="2060"/>
      <c r="HL1597" s="2060"/>
      <c r="HM1597" s="2060"/>
      <c r="HN1597" s="2060"/>
      <c r="HO1597" s="2060"/>
      <c r="HP1597" s="2060"/>
      <c r="HQ1597" s="2060"/>
      <c r="HR1597" s="2060"/>
      <c r="HS1597" s="2060"/>
      <c r="HT1597" s="2060"/>
      <c r="HU1597" s="2060"/>
      <c r="HV1597" s="2060"/>
      <c r="HW1597" s="2060"/>
      <c r="HX1597" s="2060"/>
      <c r="HY1597" s="2060"/>
      <c r="HZ1597" s="2060"/>
      <c r="IA1597" s="2060"/>
      <c r="IB1597" s="2060"/>
      <c r="IC1597" s="2060"/>
      <c r="ID1597" s="2060"/>
      <c r="IE1597" s="2060"/>
      <c r="IF1597" s="2060"/>
      <c r="IG1597" s="2060"/>
      <c r="IH1597" s="2060"/>
      <c r="II1597" s="2060"/>
      <c r="IJ1597" s="2060"/>
      <c r="IK1597" s="2060"/>
      <c r="IL1597" s="2060"/>
      <c r="IM1597" s="2060"/>
      <c r="IN1597" s="2060"/>
      <c r="IO1597" s="2060"/>
      <c r="IP1597" s="2060"/>
      <c r="IQ1597" s="2060"/>
      <c r="IR1597" s="2060"/>
      <c r="IS1597" s="2060"/>
      <c r="IT1597" s="2060"/>
      <c r="IU1597" s="2060"/>
      <c r="IV1597" s="2060"/>
      <c r="IW1597" s="2060"/>
      <c r="IX1597" s="2060"/>
      <c r="IY1597" s="2060"/>
      <c r="IZ1597" s="2060"/>
      <c r="JA1597" s="2060"/>
      <c r="JB1597" s="2060"/>
      <c r="JC1597" s="2060"/>
      <c r="JD1597" s="2060"/>
      <c r="JE1597" s="2060"/>
      <c r="JF1597" s="2060"/>
      <c r="JG1597" s="2060"/>
      <c r="JH1597" s="2060"/>
      <c r="JI1597" s="2060"/>
      <c r="JJ1597" s="2060"/>
      <c r="JK1597" s="2060"/>
      <c r="JL1597" s="2060"/>
      <c r="JM1597" s="2060"/>
      <c r="JN1597" s="2060"/>
      <c r="JO1597" s="2060"/>
      <c r="JP1597" s="2060"/>
      <c r="JQ1597" s="2060"/>
      <c r="JR1597" s="2060"/>
      <c r="JS1597" s="2060"/>
      <c r="JT1597" s="2060"/>
      <c r="JU1597" s="2060"/>
      <c r="JV1597" s="2060"/>
      <c r="JW1597" s="2060"/>
      <c r="JX1597" s="2060"/>
      <c r="JY1597" s="2060"/>
      <c r="JZ1597" s="2060"/>
      <c r="KA1597" s="2060"/>
      <c r="KB1597" s="2060"/>
      <c r="KC1597" s="2060"/>
      <c r="KD1597" s="2060"/>
      <c r="KE1597" s="2060"/>
      <c r="KF1597" s="2060"/>
      <c r="KG1597" s="2060"/>
      <c r="KH1597" s="2060"/>
      <c r="KI1597" s="2060"/>
      <c r="KJ1597" s="2060"/>
      <c r="KK1597" s="2060"/>
      <c r="KL1597" s="2060"/>
      <c r="KM1597" s="2060"/>
      <c r="KN1597" s="2060"/>
      <c r="KO1597" s="2060"/>
      <c r="KP1597" s="2060"/>
      <c r="KQ1597" s="2060"/>
      <c r="KR1597" s="2060"/>
      <c r="KS1597" s="2060"/>
      <c r="KT1597" s="2060"/>
      <c r="KU1597" s="2060"/>
      <c r="KV1597" s="2060"/>
      <c r="KW1597" s="2060"/>
      <c r="KX1597" s="2060"/>
      <c r="KY1597" s="2060"/>
      <c r="KZ1597" s="2060"/>
      <c r="LA1597" s="2060"/>
      <c r="LB1597" s="2060"/>
      <c r="LC1597" s="2060"/>
      <c r="LD1597" s="2060"/>
      <c r="LE1597" s="2060"/>
      <c r="LF1597" s="2060"/>
      <c r="LG1597" s="2060"/>
      <c r="LH1597" s="2060"/>
    </row>
    <row r="1598" spans="1:320" s="449" customFormat="1" ht="13.9">
      <c r="A1598" s="269" t="str">
        <f t="shared" si="440"/>
        <v>n</v>
      </c>
      <c r="B1598" s="2060"/>
      <c r="C1598" s="2060"/>
      <c r="D1598" s="2060"/>
      <c r="E1598" s="1661">
        <v>11</v>
      </c>
      <c r="F1598" s="1353" t="str">
        <f>F$139</f>
        <v>--</v>
      </c>
      <c r="G1598" s="128">
        <f>G$139</f>
        <v>0</v>
      </c>
      <c r="H1598" s="128" t="str">
        <f>H$139</f>
        <v>--</v>
      </c>
      <c r="I1598" s="89" t="s">
        <v>781</v>
      </c>
      <c r="J1598" s="2197" t="str">
        <f>IF($G1598=0,"",IFERROR(_xll.ciqfunctions.udf.CIQ($G1598,$I1598,J$1557,Valuation_Date_GC,ReportType,DataMode,$H1598,FXMode)*Scale,"n/a"))</f>
        <v/>
      </c>
      <c r="K1598" s="2197" t="str">
        <f>IF($G1598=0,"",IFERROR(_xll.ciqfunctions.udf.CIQ($G1598,$I1598,K$1557,Valuation_Date_GC,ReportType,DataMode,$H1598,FXMode)*Scale,"n/a"))</f>
        <v/>
      </c>
      <c r="L1598" s="2197" t="str">
        <f>IF($G1598=0,"",IFERROR(_xll.ciqfunctions.udf.CIQ($G1598,$I1598,L$1557,Valuation_Date_GC,ReportType,DataMode,$H1598,FXMode)*Scale,"n/a"))</f>
        <v/>
      </c>
      <c r="M1598" s="2197" t="str">
        <f>IF($G1598=0,"",IFERROR(_xll.ciqfunctions.udf.CIQ($G1598,$I1598,M$1557,Valuation_Date_GC,ReportType,DataMode,$H1598,FXMode)*Scale,"n/a"))</f>
        <v/>
      </c>
      <c r="N1598" s="2197" t="str">
        <f>IF($G1598=0,"",IFERROR(_xll.ciqfunctions.udf.CIQ($G1598,$I1598,N$1557,Valuation_Date_GC,ReportType,DataMode,$H1598,FXMode)*Scale,"n/a"))</f>
        <v/>
      </c>
      <c r="O1598" s="2197" t="str">
        <f>IF($G1598=0,"",IFERROR(_xll.ciqfunctions.udf.CIQ($G1598,$I1598,O$1557,Valuation_Date_GC,ReportType,DataMode,$H1598,FXMode)*Scale,"n/a"))</f>
        <v/>
      </c>
      <c r="P1598" s="2197" t="str">
        <f>IF($G1598=0,"",IFERROR(_xll.ciqfunctions.udf.CIQ($G1598,$I1598,P$1557,Valuation_Date_GC,ReportType,DataMode,$H1598,FXMode)*Scale,"n/a"))</f>
        <v/>
      </c>
      <c r="Q1598" s="2197" t="str">
        <f>IF($G1598=0,"",IFERROR(_xll.ciqfunctions.udf.CIQ($G1598,$I1598,Q$1557,Valuation_Date_GC,ReportType,DataMode,$H1598,FXMode)*Scale,"n/a"))</f>
        <v/>
      </c>
      <c r="R1598" s="2197" t="str">
        <f>IF($G1598=0,"",IFERROR(_xll.ciqfunctions.udf.CIQ($G1598,$I1598,R$1557,Valuation_Date_GC,ReportType,DataMode,$H1598,FXMode)*Scale,"n/a"))</f>
        <v/>
      </c>
      <c r="S1598" s="2197" t="str">
        <f>IF($G1598=0,"",IFERROR(_xll.ciqfunctions.udf.CIQ($G1598,$I1598,S$1557,Valuation_Date_GC,ReportType,DataMode,$H1598,FXMode)*Scale,"n/a"))</f>
        <v/>
      </c>
      <c r="T1598" s="2197" t="str">
        <f>IF($G1598=0,"",IFERROR(_xll.ciqfunctions.udf.CIQ($G1598,$I1598,T$1557,Valuation_Date_GC,ReportType,DataMode,$H1598,FXMode)*Scale,"n/a"))</f>
        <v/>
      </c>
      <c r="U1598" s="2197" t="str">
        <f>IF($G1598=0,"",IFERROR(_xll.ciqfunctions.udf.CIQ($G1598,$I1598,U$1557,Valuation_Date_GC,ReportType,DataMode,$H1598,FXMode)*Scale,"n/a"))</f>
        <v/>
      </c>
      <c r="V1598" s="2197" t="str">
        <f>IF($G1598=0,"",IFERROR(_xll.ciqfunctions.udf.CIQ($G1598,$I1598,V$1557,Valuation_Date_GC,ReportType,DataMode,$H1598,FXMode)*Scale,"n/a"))</f>
        <v/>
      </c>
      <c r="W1598" s="1479"/>
      <c r="X1598" s="255"/>
      <c r="Y1598" s="89"/>
      <c r="Z1598" s="2060"/>
      <c r="AA1598" s="2060"/>
      <c r="AB1598" s="2060"/>
      <c r="AC1598" s="2060"/>
      <c r="AD1598" s="2060"/>
      <c r="AE1598" s="2060"/>
      <c r="AF1598" s="2060"/>
      <c r="AG1598" s="2060"/>
      <c r="AH1598" s="2060"/>
      <c r="AI1598" s="2060"/>
      <c r="AJ1598" s="2060"/>
      <c r="AK1598" s="2060"/>
      <c r="AL1598" s="2060"/>
      <c r="AM1598" s="2060"/>
      <c r="AN1598" s="2060"/>
      <c r="AO1598" s="2060"/>
      <c r="AP1598" s="2060"/>
      <c r="AQ1598" s="2060"/>
      <c r="AR1598" s="2060"/>
      <c r="AS1598" s="2060"/>
      <c r="AT1598" s="2060"/>
      <c r="AU1598" s="2060"/>
      <c r="AV1598" s="2060"/>
      <c r="AW1598" s="2060"/>
      <c r="AX1598" s="2060"/>
      <c r="AY1598" s="2060"/>
      <c r="AZ1598" s="2060"/>
      <c r="BA1598" s="2060"/>
      <c r="BB1598" s="2060"/>
      <c r="BC1598" s="2060"/>
      <c r="BD1598" s="2060"/>
      <c r="BE1598" s="2060"/>
      <c r="BF1598" s="2060"/>
      <c r="BG1598" s="2060"/>
      <c r="BH1598" s="2060"/>
      <c r="BI1598" s="2060"/>
      <c r="BJ1598" s="2060"/>
      <c r="BK1598" s="2060"/>
      <c r="BL1598" s="2060"/>
      <c r="BM1598" s="2060"/>
      <c r="BN1598" s="2060"/>
      <c r="BO1598" s="2060"/>
      <c r="BP1598" s="2060"/>
      <c r="BQ1598" s="2060"/>
      <c r="BR1598" s="2060"/>
      <c r="BS1598" s="2060"/>
      <c r="BT1598" s="2060"/>
      <c r="BU1598" s="2060"/>
      <c r="BV1598" s="2060"/>
      <c r="BW1598" s="2060"/>
      <c r="BX1598" s="2060"/>
      <c r="BY1598" s="2060"/>
      <c r="BZ1598" s="2060"/>
      <c r="CA1598" s="2060"/>
      <c r="CB1598" s="2060"/>
      <c r="CC1598" s="2060"/>
      <c r="CD1598" s="2060"/>
      <c r="CE1598" s="2060"/>
      <c r="CF1598" s="2060"/>
      <c r="CG1598" s="2060"/>
      <c r="CH1598" s="2060"/>
      <c r="CI1598" s="2060"/>
      <c r="CJ1598" s="2060"/>
      <c r="CK1598" s="2060"/>
      <c r="CL1598" s="2060"/>
      <c r="CM1598" s="2060"/>
      <c r="CN1598" s="2060"/>
      <c r="CO1598" s="2060"/>
      <c r="CP1598" s="2060"/>
      <c r="CQ1598" s="2060"/>
      <c r="CR1598" s="2060"/>
      <c r="CS1598" s="2060"/>
      <c r="CT1598" s="2060"/>
      <c r="CU1598" s="2060"/>
      <c r="CV1598" s="2060"/>
      <c r="CW1598" s="2060"/>
      <c r="CX1598" s="2060"/>
      <c r="CY1598" s="2060"/>
      <c r="CZ1598" s="2060"/>
      <c r="DA1598" s="2060"/>
      <c r="DB1598" s="2060"/>
      <c r="DC1598" s="2060"/>
      <c r="DD1598" s="2060"/>
      <c r="DE1598" s="2060"/>
      <c r="DF1598" s="2060"/>
      <c r="DG1598" s="2060"/>
      <c r="DH1598" s="2060"/>
      <c r="DI1598" s="2060"/>
      <c r="DJ1598" s="2060"/>
      <c r="DK1598" s="2060"/>
      <c r="DL1598" s="2060"/>
      <c r="DM1598" s="2060"/>
      <c r="DN1598" s="2060"/>
      <c r="DO1598" s="2060"/>
      <c r="DP1598" s="2060"/>
      <c r="DQ1598" s="2060"/>
      <c r="DR1598" s="2060"/>
      <c r="DS1598" s="2060"/>
      <c r="DT1598" s="2060"/>
      <c r="DU1598" s="2060"/>
      <c r="DV1598" s="2060"/>
      <c r="DW1598" s="2060"/>
      <c r="DX1598" s="2060"/>
      <c r="DY1598" s="2060"/>
      <c r="DZ1598" s="2060"/>
      <c r="EA1598" s="2060"/>
      <c r="EB1598" s="2060"/>
      <c r="EC1598" s="2060"/>
      <c r="ED1598" s="2060"/>
      <c r="EE1598" s="2060"/>
      <c r="EF1598" s="2060"/>
      <c r="EG1598" s="2060"/>
      <c r="EH1598" s="2060"/>
      <c r="EI1598" s="2060"/>
      <c r="EJ1598" s="2060"/>
      <c r="EK1598" s="2060"/>
      <c r="EL1598" s="2060"/>
      <c r="EM1598" s="2060"/>
      <c r="EN1598" s="2060"/>
      <c r="EO1598" s="2060"/>
      <c r="EP1598" s="2060"/>
      <c r="EQ1598" s="2060"/>
      <c r="ER1598" s="2060"/>
      <c r="ES1598" s="2060"/>
      <c r="ET1598" s="2060"/>
      <c r="EU1598" s="2060"/>
      <c r="EV1598" s="2060"/>
      <c r="EW1598" s="2060"/>
      <c r="EX1598" s="2060"/>
      <c r="EY1598" s="2060"/>
      <c r="EZ1598" s="2060"/>
      <c r="FA1598" s="2060"/>
      <c r="FB1598" s="2060"/>
      <c r="FC1598" s="2060"/>
      <c r="FD1598" s="2060"/>
      <c r="FE1598" s="2060"/>
      <c r="FF1598" s="2060"/>
      <c r="FG1598" s="2060"/>
      <c r="FH1598" s="2060"/>
      <c r="FI1598" s="2060"/>
      <c r="FJ1598" s="2060"/>
      <c r="FK1598" s="2060"/>
      <c r="FL1598" s="2060"/>
      <c r="FM1598" s="2060"/>
      <c r="FN1598" s="2060"/>
      <c r="FO1598" s="2060"/>
      <c r="FP1598" s="2060"/>
      <c r="FQ1598" s="2060"/>
      <c r="FR1598" s="2060"/>
      <c r="FS1598" s="2060"/>
      <c r="FT1598" s="2060"/>
      <c r="FU1598" s="2060"/>
      <c r="FV1598" s="2060"/>
      <c r="FW1598" s="2060"/>
      <c r="FX1598" s="2060"/>
      <c r="FY1598" s="2060"/>
      <c r="FZ1598" s="2060"/>
      <c r="GA1598" s="2060"/>
      <c r="GB1598" s="2060"/>
      <c r="GC1598" s="2060"/>
      <c r="GD1598" s="2060"/>
      <c r="GE1598" s="2060"/>
      <c r="GF1598" s="2060"/>
      <c r="GG1598" s="2060"/>
      <c r="GH1598" s="2060"/>
      <c r="GI1598" s="2060"/>
      <c r="GJ1598" s="2060"/>
      <c r="GK1598" s="2060"/>
      <c r="GL1598" s="2060"/>
      <c r="GM1598" s="2060"/>
      <c r="GN1598" s="2060"/>
      <c r="GO1598" s="2060"/>
      <c r="GP1598" s="2060"/>
      <c r="GQ1598" s="2060"/>
      <c r="GR1598" s="2060"/>
      <c r="GS1598" s="2060"/>
      <c r="GT1598" s="2060"/>
      <c r="GU1598" s="2060"/>
      <c r="GV1598" s="2060"/>
      <c r="GW1598" s="2060"/>
      <c r="GX1598" s="2060"/>
      <c r="GY1598" s="2060"/>
      <c r="GZ1598" s="2060"/>
      <c r="HA1598" s="2060"/>
      <c r="HB1598" s="2060"/>
      <c r="HC1598" s="2060"/>
      <c r="HD1598" s="2060"/>
      <c r="HE1598" s="2060"/>
      <c r="HF1598" s="2060"/>
      <c r="HG1598" s="2060"/>
      <c r="HH1598" s="2060"/>
      <c r="HI1598" s="2060"/>
      <c r="HJ1598" s="2060"/>
      <c r="HK1598" s="2060"/>
      <c r="HL1598" s="2060"/>
      <c r="HM1598" s="2060"/>
      <c r="HN1598" s="2060"/>
      <c r="HO1598" s="2060"/>
      <c r="HP1598" s="2060"/>
      <c r="HQ1598" s="2060"/>
      <c r="HR1598" s="2060"/>
      <c r="HS1598" s="2060"/>
      <c r="HT1598" s="2060"/>
      <c r="HU1598" s="2060"/>
      <c r="HV1598" s="2060"/>
      <c r="HW1598" s="2060"/>
      <c r="HX1598" s="2060"/>
      <c r="HY1598" s="2060"/>
      <c r="HZ1598" s="2060"/>
      <c r="IA1598" s="2060"/>
      <c r="IB1598" s="2060"/>
      <c r="IC1598" s="2060"/>
      <c r="ID1598" s="2060"/>
      <c r="IE1598" s="2060"/>
      <c r="IF1598" s="2060"/>
      <c r="IG1598" s="2060"/>
      <c r="IH1598" s="2060"/>
      <c r="II1598" s="2060"/>
      <c r="IJ1598" s="2060"/>
      <c r="IK1598" s="2060"/>
      <c r="IL1598" s="2060"/>
      <c r="IM1598" s="2060"/>
      <c r="IN1598" s="2060"/>
      <c r="IO1598" s="2060"/>
      <c r="IP1598" s="2060"/>
      <c r="IQ1598" s="2060"/>
      <c r="IR1598" s="2060"/>
      <c r="IS1598" s="2060"/>
      <c r="IT1598" s="2060"/>
      <c r="IU1598" s="2060"/>
      <c r="IV1598" s="2060"/>
      <c r="IW1598" s="2060"/>
      <c r="IX1598" s="2060"/>
      <c r="IY1598" s="2060"/>
      <c r="IZ1598" s="2060"/>
      <c r="JA1598" s="2060"/>
      <c r="JB1598" s="2060"/>
      <c r="JC1598" s="2060"/>
      <c r="JD1598" s="2060"/>
      <c r="JE1598" s="2060"/>
      <c r="JF1598" s="2060"/>
      <c r="JG1598" s="2060"/>
      <c r="JH1598" s="2060"/>
      <c r="JI1598" s="2060"/>
      <c r="JJ1598" s="2060"/>
      <c r="JK1598" s="2060"/>
      <c r="JL1598" s="2060"/>
      <c r="JM1598" s="2060"/>
      <c r="JN1598" s="2060"/>
      <c r="JO1598" s="2060"/>
      <c r="JP1598" s="2060"/>
      <c r="JQ1598" s="2060"/>
      <c r="JR1598" s="2060"/>
      <c r="JS1598" s="2060"/>
      <c r="JT1598" s="2060"/>
      <c r="JU1598" s="2060"/>
      <c r="JV1598" s="2060"/>
      <c r="JW1598" s="2060"/>
      <c r="JX1598" s="2060"/>
      <c r="JY1598" s="2060"/>
      <c r="JZ1598" s="2060"/>
      <c r="KA1598" s="2060"/>
      <c r="KB1598" s="2060"/>
      <c r="KC1598" s="2060"/>
      <c r="KD1598" s="2060"/>
      <c r="KE1598" s="2060"/>
      <c r="KF1598" s="2060"/>
      <c r="KG1598" s="2060"/>
      <c r="KH1598" s="2060"/>
      <c r="KI1598" s="2060"/>
      <c r="KJ1598" s="2060"/>
      <c r="KK1598" s="2060"/>
      <c r="KL1598" s="2060"/>
      <c r="KM1598" s="2060"/>
      <c r="KN1598" s="2060"/>
      <c r="KO1598" s="2060"/>
      <c r="KP1598" s="2060"/>
      <c r="KQ1598" s="2060"/>
      <c r="KR1598" s="2060"/>
      <c r="KS1598" s="2060"/>
      <c r="KT1598" s="2060"/>
      <c r="KU1598" s="2060"/>
      <c r="KV1598" s="2060"/>
      <c r="KW1598" s="2060"/>
      <c r="KX1598" s="2060"/>
      <c r="KY1598" s="2060"/>
      <c r="KZ1598" s="2060"/>
      <c r="LA1598" s="2060"/>
      <c r="LB1598" s="2060"/>
      <c r="LC1598" s="2060"/>
      <c r="LD1598" s="2060"/>
      <c r="LE1598" s="2060"/>
      <c r="LF1598" s="2060"/>
      <c r="LG1598" s="2060"/>
      <c r="LH1598" s="2060"/>
    </row>
    <row r="1599" spans="1:320" s="449" customFormat="1" ht="13.9">
      <c r="A1599" s="269" t="str">
        <f t="shared" si="440"/>
        <v>n</v>
      </c>
      <c r="B1599" s="2060"/>
      <c r="C1599" s="2060"/>
      <c r="D1599" s="2060"/>
      <c r="E1599" s="1661">
        <v>12</v>
      </c>
      <c r="F1599" s="1353" t="str">
        <f>F$140</f>
        <v>--</v>
      </c>
      <c r="G1599" s="128">
        <f>G$140</f>
        <v>0</v>
      </c>
      <c r="H1599" s="128" t="str">
        <f>H$140</f>
        <v>--</v>
      </c>
      <c r="I1599" s="89" t="s">
        <v>781</v>
      </c>
      <c r="J1599" s="2197" t="str">
        <f>IF($G1599=0,"",IFERROR(_xll.ciqfunctions.udf.CIQ($G1599,$I1599,J$1557,Valuation_Date_GC,ReportType,DataMode,$H1599,FXMode)*Scale,"n/a"))</f>
        <v/>
      </c>
      <c r="K1599" s="2197" t="str">
        <f>IF($G1599=0,"",IFERROR(_xll.ciqfunctions.udf.CIQ($G1599,$I1599,K$1557,Valuation_Date_GC,ReportType,DataMode,$H1599,FXMode)*Scale,"n/a"))</f>
        <v/>
      </c>
      <c r="L1599" s="2197" t="str">
        <f>IF($G1599=0,"",IFERROR(_xll.ciqfunctions.udf.CIQ($G1599,$I1599,L$1557,Valuation_Date_GC,ReportType,DataMode,$H1599,FXMode)*Scale,"n/a"))</f>
        <v/>
      </c>
      <c r="M1599" s="2197" t="str">
        <f>IF($G1599=0,"",IFERROR(_xll.ciqfunctions.udf.CIQ($G1599,$I1599,M$1557,Valuation_Date_GC,ReportType,DataMode,$H1599,FXMode)*Scale,"n/a"))</f>
        <v/>
      </c>
      <c r="N1599" s="2197" t="str">
        <f>IF($G1599=0,"",IFERROR(_xll.ciqfunctions.udf.CIQ($G1599,$I1599,N$1557,Valuation_Date_GC,ReportType,DataMode,$H1599,FXMode)*Scale,"n/a"))</f>
        <v/>
      </c>
      <c r="O1599" s="2197" t="str">
        <f>IF($G1599=0,"",IFERROR(_xll.ciqfunctions.udf.CIQ($G1599,$I1599,O$1557,Valuation_Date_GC,ReportType,DataMode,$H1599,FXMode)*Scale,"n/a"))</f>
        <v/>
      </c>
      <c r="P1599" s="2197" t="str">
        <f>IF($G1599=0,"",IFERROR(_xll.ciqfunctions.udf.CIQ($G1599,$I1599,P$1557,Valuation_Date_GC,ReportType,DataMode,$H1599,FXMode)*Scale,"n/a"))</f>
        <v/>
      </c>
      <c r="Q1599" s="2197" t="str">
        <f>IF($G1599=0,"",IFERROR(_xll.ciqfunctions.udf.CIQ($G1599,$I1599,Q$1557,Valuation_Date_GC,ReportType,DataMode,$H1599,FXMode)*Scale,"n/a"))</f>
        <v/>
      </c>
      <c r="R1599" s="2197" t="str">
        <f>IF($G1599=0,"",IFERROR(_xll.ciqfunctions.udf.CIQ($G1599,$I1599,R$1557,Valuation_Date_GC,ReportType,DataMode,$H1599,FXMode)*Scale,"n/a"))</f>
        <v/>
      </c>
      <c r="S1599" s="2197" t="str">
        <f>IF($G1599=0,"",IFERROR(_xll.ciqfunctions.udf.CIQ($G1599,$I1599,S$1557,Valuation_Date_GC,ReportType,DataMode,$H1599,FXMode)*Scale,"n/a"))</f>
        <v/>
      </c>
      <c r="T1599" s="2197" t="str">
        <f>IF($G1599=0,"",IFERROR(_xll.ciqfunctions.udf.CIQ($G1599,$I1599,T$1557,Valuation_Date_GC,ReportType,DataMode,$H1599,FXMode)*Scale,"n/a"))</f>
        <v/>
      </c>
      <c r="U1599" s="2197" t="str">
        <f>IF($G1599=0,"",IFERROR(_xll.ciqfunctions.udf.CIQ($G1599,$I1599,U$1557,Valuation_Date_GC,ReportType,DataMode,$H1599,FXMode)*Scale,"n/a"))</f>
        <v/>
      </c>
      <c r="V1599" s="2197" t="str">
        <f>IF($G1599=0,"",IFERROR(_xll.ciqfunctions.udf.CIQ($G1599,$I1599,V$1557,Valuation_Date_GC,ReportType,DataMode,$H1599,FXMode)*Scale,"n/a"))</f>
        <v/>
      </c>
      <c r="W1599" s="1479"/>
      <c r="X1599" s="255"/>
      <c r="Y1599" s="255"/>
      <c r="Z1599" s="2060"/>
      <c r="AA1599" s="2060"/>
      <c r="AB1599" s="2060"/>
      <c r="AC1599" s="2060"/>
      <c r="AD1599" s="2060"/>
      <c r="AE1599" s="2060"/>
      <c r="AF1599" s="2060"/>
      <c r="AG1599" s="2060"/>
      <c r="AH1599" s="2060"/>
      <c r="AI1599" s="2060"/>
      <c r="AJ1599" s="2060"/>
      <c r="AK1599" s="2060"/>
      <c r="AL1599" s="2060"/>
      <c r="AM1599" s="2060"/>
      <c r="AN1599" s="2060"/>
      <c r="AO1599" s="2060"/>
      <c r="AP1599" s="2060"/>
      <c r="AQ1599" s="2060"/>
      <c r="AR1599" s="2060"/>
      <c r="AS1599" s="2060"/>
      <c r="AT1599" s="2060"/>
      <c r="AU1599" s="2060"/>
      <c r="AV1599" s="2060"/>
      <c r="AW1599" s="2060"/>
      <c r="AX1599" s="2060"/>
      <c r="AY1599" s="2060"/>
      <c r="AZ1599" s="2060"/>
      <c r="BA1599" s="2060"/>
      <c r="BB1599" s="2060"/>
      <c r="BC1599" s="2060"/>
      <c r="BD1599" s="2060"/>
      <c r="BE1599" s="2060"/>
      <c r="BF1599" s="2060"/>
      <c r="BG1599" s="2060"/>
      <c r="BH1599" s="2060"/>
      <c r="BI1599" s="2060"/>
      <c r="BJ1599" s="2060"/>
      <c r="BK1599" s="2060"/>
      <c r="BL1599" s="2060"/>
      <c r="BM1599" s="2060"/>
      <c r="BN1599" s="2060"/>
      <c r="BO1599" s="2060"/>
      <c r="BP1599" s="2060"/>
      <c r="BQ1599" s="2060"/>
      <c r="BR1599" s="2060"/>
      <c r="BS1599" s="2060"/>
      <c r="BT1599" s="2060"/>
      <c r="BU1599" s="2060"/>
      <c r="BV1599" s="2060"/>
      <c r="BW1599" s="2060"/>
      <c r="BX1599" s="2060"/>
      <c r="BY1599" s="2060"/>
      <c r="BZ1599" s="2060"/>
      <c r="CA1599" s="2060"/>
      <c r="CB1599" s="2060"/>
      <c r="CC1599" s="2060"/>
      <c r="CD1599" s="2060"/>
      <c r="CE1599" s="2060"/>
      <c r="CF1599" s="2060"/>
      <c r="CG1599" s="2060"/>
      <c r="CH1599" s="2060"/>
      <c r="CI1599" s="2060"/>
      <c r="CJ1599" s="2060"/>
      <c r="CK1599" s="2060"/>
      <c r="CL1599" s="2060"/>
      <c r="CM1599" s="2060"/>
      <c r="CN1599" s="2060"/>
      <c r="CO1599" s="2060"/>
      <c r="CP1599" s="2060"/>
      <c r="CQ1599" s="2060"/>
      <c r="CR1599" s="2060"/>
      <c r="CS1599" s="2060"/>
      <c r="CT1599" s="2060"/>
      <c r="CU1599" s="2060"/>
      <c r="CV1599" s="2060"/>
      <c r="CW1599" s="2060"/>
      <c r="CX1599" s="2060"/>
      <c r="CY1599" s="2060"/>
      <c r="CZ1599" s="2060"/>
      <c r="DA1599" s="2060"/>
      <c r="DB1599" s="2060"/>
      <c r="DC1599" s="2060"/>
      <c r="DD1599" s="2060"/>
      <c r="DE1599" s="2060"/>
      <c r="DF1599" s="2060"/>
      <c r="DG1599" s="2060"/>
      <c r="DH1599" s="2060"/>
      <c r="DI1599" s="2060"/>
      <c r="DJ1599" s="2060"/>
      <c r="DK1599" s="2060"/>
      <c r="DL1599" s="2060"/>
      <c r="DM1599" s="2060"/>
      <c r="DN1599" s="2060"/>
      <c r="DO1599" s="2060"/>
      <c r="DP1599" s="2060"/>
      <c r="DQ1599" s="2060"/>
      <c r="DR1599" s="2060"/>
      <c r="DS1599" s="2060"/>
      <c r="DT1599" s="2060"/>
      <c r="DU1599" s="2060"/>
      <c r="DV1599" s="2060"/>
      <c r="DW1599" s="2060"/>
      <c r="DX1599" s="2060"/>
      <c r="DY1599" s="2060"/>
      <c r="DZ1599" s="2060"/>
      <c r="EA1599" s="2060"/>
      <c r="EB1599" s="2060"/>
      <c r="EC1599" s="2060"/>
      <c r="ED1599" s="2060"/>
      <c r="EE1599" s="2060"/>
      <c r="EF1599" s="2060"/>
      <c r="EG1599" s="2060"/>
      <c r="EH1599" s="2060"/>
      <c r="EI1599" s="2060"/>
      <c r="EJ1599" s="2060"/>
      <c r="EK1599" s="2060"/>
      <c r="EL1599" s="2060"/>
      <c r="EM1599" s="2060"/>
      <c r="EN1599" s="2060"/>
      <c r="EO1599" s="2060"/>
      <c r="EP1599" s="2060"/>
      <c r="EQ1599" s="2060"/>
      <c r="ER1599" s="2060"/>
      <c r="ES1599" s="2060"/>
      <c r="ET1599" s="2060"/>
      <c r="EU1599" s="2060"/>
      <c r="EV1599" s="2060"/>
      <c r="EW1599" s="2060"/>
      <c r="EX1599" s="2060"/>
      <c r="EY1599" s="2060"/>
      <c r="EZ1599" s="2060"/>
      <c r="FA1599" s="2060"/>
      <c r="FB1599" s="2060"/>
      <c r="FC1599" s="2060"/>
      <c r="FD1599" s="2060"/>
      <c r="FE1599" s="2060"/>
      <c r="FF1599" s="2060"/>
      <c r="FG1599" s="2060"/>
      <c r="FH1599" s="2060"/>
      <c r="FI1599" s="2060"/>
      <c r="FJ1599" s="2060"/>
      <c r="FK1599" s="2060"/>
      <c r="FL1599" s="2060"/>
      <c r="FM1599" s="2060"/>
      <c r="FN1599" s="2060"/>
      <c r="FO1599" s="2060"/>
      <c r="FP1599" s="2060"/>
      <c r="FQ1599" s="2060"/>
      <c r="FR1599" s="2060"/>
      <c r="FS1599" s="2060"/>
      <c r="FT1599" s="2060"/>
      <c r="FU1599" s="2060"/>
      <c r="FV1599" s="2060"/>
      <c r="FW1599" s="2060"/>
      <c r="FX1599" s="2060"/>
      <c r="FY1599" s="2060"/>
      <c r="FZ1599" s="2060"/>
      <c r="GA1599" s="2060"/>
      <c r="GB1599" s="2060"/>
      <c r="GC1599" s="2060"/>
      <c r="GD1599" s="2060"/>
      <c r="GE1599" s="2060"/>
      <c r="GF1599" s="2060"/>
      <c r="GG1599" s="2060"/>
      <c r="GH1599" s="2060"/>
      <c r="GI1599" s="2060"/>
      <c r="GJ1599" s="2060"/>
      <c r="GK1599" s="2060"/>
      <c r="GL1599" s="2060"/>
      <c r="GM1599" s="2060"/>
      <c r="GN1599" s="2060"/>
      <c r="GO1599" s="2060"/>
      <c r="GP1599" s="2060"/>
      <c r="GQ1599" s="2060"/>
      <c r="GR1599" s="2060"/>
      <c r="GS1599" s="2060"/>
      <c r="GT1599" s="2060"/>
      <c r="GU1599" s="2060"/>
      <c r="GV1599" s="2060"/>
      <c r="GW1599" s="2060"/>
      <c r="GX1599" s="2060"/>
      <c r="GY1599" s="2060"/>
      <c r="GZ1599" s="2060"/>
      <c r="HA1599" s="2060"/>
      <c r="HB1599" s="2060"/>
      <c r="HC1599" s="2060"/>
      <c r="HD1599" s="2060"/>
      <c r="HE1599" s="2060"/>
      <c r="HF1599" s="2060"/>
      <c r="HG1599" s="2060"/>
      <c r="HH1599" s="2060"/>
      <c r="HI1599" s="2060"/>
      <c r="HJ1599" s="2060"/>
      <c r="HK1599" s="2060"/>
      <c r="HL1599" s="2060"/>
      <c r="HM1599" s="2060"/>
      <c r="HN1599" s="2060"/>
      <c r="HO1599" s="2060"/>
      <c r="HP1599" s="2060"/>
      <c r="HQ1599" s="2060"/>
      <c r="HR1599" s="2060"/>
      <c r="HS1599" s="2060"/>
      <c r="HT1599" s="2060"/>
      <c r="HU1599" s="2060"/>
      <c r="HV1599" s="2060"/>
      <c r="HW1599" s="2060"/>
      <c r="HX1599" s="2060"/>
      <c r="HY1599" s="2060"/>
      <c r="HZ1599" s="2060"/>
      <c r="IA1599" s="2060"/>
      <c r="IB1599" s="2060"/>
      <c r="IC1599" s="2060"/>
      <c r="ID1599" s="2060"/>
      <c r="IE1599" s="2060"/>
      <c r="IF1599" s="2060"/>
      <c r="IG1599" s="2060"/>
      <c r="IH1599" s="2060"/>
      <c r="II1599" s="2060"/>
      <c r="IJ1599" s="2060"/>
      <c r="IK1599" s="2060"/>
      <c r="IL1599" s="2060"/>
      <c r="IM1599" s="2060"/>
      <c r="IN1599" s="2060"/>
      <c r="IO1599" s="2060"/>
      <c r="IP1599" s="2060"/>
      <c r="IQ1599" s="2060"/>
      <c r="IR1599" s="2060"/>
      <c r="IS1599" s="2060"/>
      <c r="IT1599" s="2060"/>
      <c r="IU1599" s="2060"/>
      <c r="IV1599" s="2060"/>
      <c r="IW1599" s="2060"/>
      <c r="IX1599" s="2060"/>
      <c r="IY1599" s="2060"/>
      <c r="IZ1599" s="2060"/>
      <c r="JA1599" s="2060"/>
      <c r="JB1599" s="2060"/>
      <c r="JC1599" s="2060"/>
      <c r="JD1599" s="2060"/>
      <c r="JE1599" s="2060"/>
      <c r="JF1599" s="2060"/>
      <c r="JG1599" s="2060"/>
      <c r="JH1599" s="2060"/>
      <c r="JI1599" s="2060"/>
      <c r="JJ1599" s="2060"/>
      <c r="JK1599" s="2060"/>
      <c r="JL1599" s="2060"/>
      <c r="JM1599" s="2060"/>
      <c r="JN1599" s="2060"/>
      <c r="JO1599" s="2060"/>
      <c r="JP1599" s="2060"/>
      <c r="JQ1599" s="2060"/>
      <c r="JR1599" s="2060"/>
      <c r="JS1599" s="2060"/>
      <c r="JT1599" s="2060"/>
      <c r="JU1599" s="2060"/>
      <c r="JV1599" s="2060"/>
      <c r="JW1599" s="2060"/>
      <c r="JX1599" s="2060"/>
      <c r="JY1599" s="2060"/>
      <c r="JZ1599" s="2060"/>
      <c r="KA1599" s="2060"/>
      <c r="KB1599" s="2060"/>
      <c r="KC1599" s="2060"/>
      <c r="KD1599" s="2060"/>
      <c r="KE1599" s="2060"/>
      <c r="KF1599" s="2060"/>
      <c r="KG1599" s="2060"/>
      <c r="KH1599" s="2060"/>
      <c r="KI1599" s="2060"/>
      <c r="KJ1599" s="2060"/>
      <c r="KK1599" s="2060"/>
      <c r="KL1599" s="2060"/>
      <c r="KM1599" s="2060"/>
      <c r="KN1599" s="2060"/>
      <c r="KO1599" s="2060"/>
      <c r="KP1599" s="2060"/>
      <c r="KQ1599" s="2060"/>
      <c r="KR1599" s="2060"/>
      <c r="KS1599" s="2060"/>
      <c r="KT1599" s="2060"/>
      <c r="KU1599" s="2060"/>
      <c r="KV1599" s="2060"/>
      <c r="KW1599" s="2060"/>
      <c r="KX1599" s="2060"/>
      <c r="KY1599" s="2060"/>
      <c r="KZ1599" s="2060"/>
      <c r="LA1599" s="2060"/>
      <c r="LB1599" s="2060"/>
      <c r="LC1599" s="2060"/>
      <c r="LD1599" s="2060"/>
      <c r="LE1599" s="2060"/>
      <c r="LF1599" s="2060"/>
      <c r="LG1599" s="2060"/>
      <c r="LH1599" s="2060"/>
    </row>
    <row r="1600" spans="1:320" s="449" customFormat="1" ht="13.9">
      <c r="A1600" s="269" t="str">
        <f t="shared" si="440"/>
        <v>n</v>
      </c>
      <c r="B1600" s="2060"/>
      <c r="C1600" s="2060"/>
      <c r="D1600" s="2060"/>
      <c r="E1600" s="1661">
        <v>13</v>
      </c>
      <c r="F1600" s="1353" t="str">
        <f>F$141</f>
        <v>--</v>
      </c>
      <c r="G1600" s="128">
        <f>G$141</f>
        <v>0</v>
      </c>
      <c r="H1600" s="128" t="str">
        <f>H$141</f>
        <v>--</v>
      </c>
      <c r="I1600" s="89" t="s">
        <v>781</v>
      </c>
      <c r="J1600" s="2197" t="str">
        <f>IF($G1600=0,"",IFERROR(_xll.ciqfunctions.udf.CIQ($G1600,$I1600,J$1557,Valuation_Date_GC,ReportType,DataMode,$H1600,FXMode)*Scale,"n/a"))</f>
        <v/>
      </c>
      <c r="K1600" s="2197" t="str">
        <f>IF($G1600=0,"",IFERROR(_xll.ciqfunctions.udf.CIQ($G1600,$I1600,K$1557,Valuation_Date_GC,ReportType,DataMode,$H1600,FXMode)*Scale,"n/a"))</f>
        <v/>
      </c>
      <c r="L1600" s="2197" t="str">
        <f>IF($G1600=0,"",IFERROR(_xll.ciqfunctions.udf.CIQ($G1600,$I1600,L$1557,Valuation_Date_GC,ReportType,DataMode,$H1600,FXMode)*Scale,"n/a"))</f>
        <v/>
      </c>
      <c r="M1600" s="2197" t="str">
        <f>IF($G1600=0,"",IFERROR(_xll.ciqfunctions.udf.CIQ($G1600,$I1600,M$1557,Valuation_Date_GC,ReportType,DataMode,$H1600,FXMode)*Scale,"n/a"))</f>
        <v/>
      </c>
      <c r="N1600" s="2197" t="str">
        <f>IF($G1600=0,"",IFERROR(_xll.ciqfunctions.udf.CIQ($G1600,$I1600,N$1557,Valuation_Date_GC,ReportType,DataMode,$H1600,FXMode)*Scale,"n/a"))</f>
        <v/>
      </c>
      <c r="O1600" s="2197" t="str">
        <f>IF($G1600=0,"",IFERROR(_xll.ciqfunctions.udf.CIQ($G1600,$I1600,O$1557,Valuation_Date_GC,ReportType,DataMode,$H1600,FXMode)*Scale,"n/a"))</f>
        <v/>
      </c>
      <c r="P1600" s="2197" t="str">
        <f>IF($G1600=0,"",IFERROR(_xll.ciqfunctions.udf.CIQ($G1600,$I1600,P$1557,Valuation_Date_GC,ReportType,DataMode,$H1600,FXMode)*Scale,"n/a"))</f>
        <v/>
      </c>
      <c r="Q1600" s="2197" t="str">
        <f>IF($G1600=0,"",IFERROR(_xll.ciqfunctions.udf.CIQ($G1600,$I1600,Q$1557,Valuation_Date_GC,ReportType,DataMode,$H1600,FXMode)*Scale,"n/a"))</f>
        <v/>
      </c>
      <c r="R1600" s="2197" t="str">
        <f>IF($G1600=0,"",IFERROR(_xll.ciqfunctions.udf.CIQ($G1600,$I1600,R$1557,Valuation_Date_GC,ReportType,DataMode,$H1600,FXMode)*Scale,"n/a"))</f>
        <v/>
      </c>
      <c r="S1600" s="2197" t="str">
        <f>IF($G1600=0,"",IFERROR(_xll.ciqfunctions.udf.CIQ($G1600,$I1600,S$1557,Valuation_Date_GC,ReportType,DataMode,$H1600,FXMode)*Scale,"n/a"))</f>
        <v/>
      </c>
      <c r="T1600" s="2197" t="str">
        <f>IF($G1600=0,"",IFERROR(_xll.ciqfunctions.udf.CIQ($G1600,$I1600,T$1557,Valuation_Date_GC,ReportType,DataMode,$H1600,FXMode)*Scale,"n/a"))</f>
        <v/>
      </c>
      <c r="U1600" s="2197" t="str">
        <f>IF($G1600=0,"",IFERROR(_xll.ciqfunctions.udf.CIQ($G1600,$I1600,U$1557,Valuation_Date_GC,ReportType,DataMode,$H1600,FXMode)*Scale,"n/a"))</f>
        <v/>
      </c>
      <c r="V1600" s="2197" t="str">
        <f>IF($G1600=0,"",IFERROR(_xll.ciqfunctions.udf.CIQ($G1600,$I1600,V$1557,Valuation_Date_GC,ReportType,DataMode,$H1600,FXMode)*Scale,"n/a"))</f>
        <v/>
      </c>
      <c r="W1600" s="1479"/>
      <c r="X1600" s="255"/>
      <c r="Y1600" s="255"/>
      <c r="Z1600" s="2060"/>
      <c r="AA1600" s="2060"/>
      <c r="AB1600" s="2060"/>
      <c r="AC1600" s="2060"/>
      <c r="AD1600" s="2060"/>
      <c r="AE1600" s="2060"/>
      <c r="AF1600" s="2060"/>
      <c r="AG1600" s="2060"/>
      <c r="AH1600" s="2060"/>
      <c r="AI1600" s="2060"/>
      <c r="AJ1600" s="2060"/>
      <c r="AK1600" s="2060"/>
      <c r="AL1600" s="2060"/>
      <c r="AM1600" s="2060"/>
      <c r="AN1600" s="2060"/>
      <c r="AO1600" s="2060"/>
      <c r="AP1600" s="2060"/>
      <c r="AQ1600" s="2060"/>
      <c r="AR1600" s="2060"/>
      <c r="AS1600" s="2060"/>
      <c r="AT1600" s="2060"/>
      <c r="AU1600" s="2060"/>
      <c r="AV1600" s="2060"/>
      <c r="AW1600" s="2060"/>
      <c r="AX1600" s="2060"/>
      <c r="AY1600" s="2060"/>
      <c r="AZ1600" s="2060"/>
      <c r="BA1600" s="2060"/>
      <c r="BB1600" s="2060"/>
      <c r="BC1600" s="2060"/>
      <c r="BD1600" s="2060"/>
      <c r="BE1600" s="2060"/>
      <c r="BF1600" s="2060"/>
      <c r="BG1600" s="2060"/>
      <c r="BH1600" s="2060"/>
      <c r="BI1600" s="2060"/>
      <c r="BJ1600" s="2060"/>
      <c r="BK1600" s="2060"/>
      <c r="BL1600" s="2060"/>
      <c r="BM1600" s="2060"/>
      <c r="BN1600" s="2060"/>
      <c r="BO1600" s="2060"/>
      <c r="BP1600" s="2060"/>
      <c r="BQ1600" s="2060"/>
      <c r="BR1600" s="2060"/>
      <c r="BS1600" s="2060"/>
      <c r="BT1600" s="2060"/>
      <c r="BU1600" s="2060"/>
      <c r="BV1600" s="2060"/>
      <c r="BW1600" s="2060"/>
      <c r="BX1600" s="2060"/>
      <c r="BY1600" s="2060"/>
      <c r="BZ1600" s="2060"/>
      <c r="CA1600" s="2060"/>
      <c r="CB1600" s="2060"/>
      <c r="CC1600" s="2060"/>
      <c r="CD1600" s="2060"/>
      <c r="CE1600" s="2060"/>
      <c r="CF1600" s="2060"/>
      <c r="CG1600" s="2060"/>
      <c r="CH1600" s="2060"/>
      <c r="CI1600" s="2060"/>
      <c r="CJ1600" s="2060"/>
      <c r="CK1600" s="2060"/>
      <c r="CL1600" s="2060"/>
      <c r="CM1600" s="2060"/>
      <c r="CN1600" s="2060"/>
      <c r="CO1600" s="2060"/>
      <c r="CP1600" s="2060"/>
      <c r="CQ1600" s="2060"/>
      <c r="CR1600" s="2060"/>
      <c r="CS1600" s="2060"/>
      <c r="CT1600" s="2060"/>
      <c r="CU1600" s="2060"/>
      <c r="CV1600" s="2060"/>
      <c r="CW1600" s="2060"/>
      <c r="CX1600" s="2060"/>
      <c r="CY1600" s="2060"/>
      <c r="CZ1600" s="2060"/>
      <c r="DA1600" s="2060"/>
      <c r="DB1600" s="2060"/>
      <c r="DC1600" s="2060"/>
      <c r="DD1600" s="2060"/>
      <c r="DE1600" s="2060"/>
      <c r="DF1600" s="2060"/>
      <c r="DG1600" s="2060"/>
      <c r="DH1600" s="2060"/>
      <c r="DI1600" s="2060"/>
      <c r="DJ1600" s="2060"/>
      <c r="DK1600" s="2060"/>
      <c r="DL1600" s="2060"/>
      <c r="DM1600" s="2060"/>
      <c r="DN1600" s="2060"/>
      <c r="DO1600" s="2060"/>
      <c r="DP1600" s="2060"/>
      <c r="DQ1600" s="2060"/>
      <c r="DR1600" s="2060"/>
      <c r="DS1600" s="2060"/>
      <c r="DT1600" s="2060"/>
      <c r="DU1600" s="2060"/>
      <c r="DV1600" s="2060"/>
      <c r="DW1600" s="2060"/>
      <c r="DX1600" s="2060"/>
      <c r="DY1600" s="2060"/>
      <c r="DZ1600" s="2060"/>
      <c r="EA1600" s="2060"/>
      <c r="EB1600" s="2060"/>
      <c r="EC1600" s="2060"/>
      <c r="ED1600" s="2060"/>
      <c r="EE1600" s="2060"/>
      <c r="EF1600" s="2060"/>
      <c r="EG1600" s="2060"/>
      <c r="EH1600" s="2060"/>
      <c r="EI1600" s="2060"/>
      <c r="EJ1600" s="2060"/>
      <c r="EK1600" s="2060"/>
      <c r="EL1600" s="2060"/>
      <c r="EM1600" s="2060"/>
      <c r="EN1600" s="2060"/>
      <c r="EO1600" s="2060"/>
      <c r="EP1600" s="2060"/>
      <c r="EQ1600" s="2060"/>
      <c r="ER1600" s="2060"/>
      <c r="ES1600" s="2060"/>
      <c r="ET1600" s="2060"/>
      <c r="EU1600" s="2060"/>
      <c r="EV1600" s="2060"/>
      <c r="EW1600" s="2060"/>
      <c r="EX1600" s="2060"/>
      <c r="EY1600" s="2060"/>
      <c r="EZ1600" s="2060"/>
      <c r="FA1600" s="2060"/>
      <c r="FB1600" s="2060"/>
      <c r="FC1600" s="2060"/>
      <c r="FD1600" s="2060"/>
      <c r="FE1600" s="2060"/>
      <c r="FF1600" s="2060"/>
      <c r="FG1600" s="2060"/>
      <c r="FH1600" s="2060"/>
      <c r="FI1600" s="2060"/>
      <c r="FJ1600" s="2060"/>
      <c r="FK1600" s="2060"/>
      <c r="FL1600" s="2060"/>
      <c r="FM1600" s="2060"/>
      <c r="FN1600" s="2060"/>
      <c r="FO1600" s="2060"/>
      <c r="FP1600" s="2060"/>
      <c r="FQ1600" s="2060"/>
      <c r="FR1600" s="2060"/>
      <c r="FS1600" s="2060"/>
      <c r="FT1600" s="2060"/>
      <c r="FU1600" s="2060"/>
      <c r="FV1600" s="2060"/>
      <c r="FW1600" s="2060"/>
      <c r="FX1600" s="2060"/>
      <c r="FY1600" s="2060"/>
      <c r="FZ1600" s="2060"/>
      <c r="GA1600" s="2060"/>
      <c r="GB1600" s="2060"/>
      <c r="GC1600" s="2060"/>
      <c r="GD1600" s="2060"/>
      <c r="GE1600" s="2060"/>
      <c r="GF1600" s="2060"/>
      <c r="GG1600" s="2060"/>
      <c r="GH1600" s="2060"/>
      <c r="GI1600" s="2060"/>
      <c r="GJ1600" s="2060"/>
      <c r="GK1600" s="2060"/>
      <c r="GL1600" s="2060"/>
      <c r="GM1600" s="2060"/>
      <c r="GN1600" s="2060"/>
      <c r="GO1600" s="2060"/>
      <c r="GP1600" s="2060"/>
      <c r="GQ1600" s="2060"/>
      <c r="GR1600" s="2060"/>
      <c r="GS1600" s="2060"/>
      <c r="GT1600" s="2060"/>
      <c r="GU1600" s="2060"/>
      <c r="GV1600" s="2060"/>
      <c r="GW1600" s="2060"/>
      <c r="GX1600" s="2060"/>
      <c r="GY1600" s="2060"/>
      <c r="GZ1600" s="2060"/>
      <c r="HA1600" s="2060"/>
      <c r="HB1600" s="2060"/>
      <c r="HC1600" s="2060"/>
      <c r="HD1600" s="2060"/>
      <c r="HE1600" s="2060"/>
      <c r="HF1600" s="2060"/>
      <c r="HG1600" s="2060"/>
      <c r="HH1600" s="2060"/>
      <c r="HI1600" s="2060"/>
      <c r="HJ1600" s="2060"/>
      <c r="HK1600" s="2060"/>
      <c r="HL1600" s="2060"/>
      <c r="HM1600" s="2060"/>
      <c r="HN1600" s="2060"/>
      <c r="HO1600" s="2060"/>
      <c r="HP1600" s="2060"/>
      <c r="HQ1600" s="2060"/>
      <c r="HR1600" s="2060"/>
      <c r="HS1600" s="2060"/>
      <c r="HT1600" s="2060"/>
      <c r="HU1600" s="2060"/>
      <c r="HV1600" s="2060"/>
      <c r="HW1600" s="2060"/>
      <c r="HX1600" s="2060"/>
      <c r="HY1600" s="2060"/>
      <c r="HZ1600" s="2060"/>
      <c r="IA1600" s="2060"/>
      <c r="IB1600" s="2060"/>
      <c r="IC1600" s="2060"/>
      <c r="ID1600" s="2060"/>
      <c r="IE1600" s="2060"/>
      <c r="IF1600" s="2060"/>
      <c r="IG1600" s="2060"/>
      <c r="IH1600" s="2060"/>
      <c r="II1600" s="2060"/>
      <c r="IJ1600" s="2060"/>
      <c r="IK1600" s="2060"/>
      <c r="IL1600" s="2060"/>
      <c r="IM1600" s="2060"/>
      <c r="IN1600" s="2060"/>
      <c r="IO1600" s="2060"/>
      <c r="IP1600" s="2060"/>
      <c r="IQ1600" s="2060"/>
      <c r="IR1600" s="2060"/>
      <c r="IS1600" s="2060"/>
      <c r="IT1600" s="2060"/>
      <c r="IU1600" s="2060"/>
      <c r="IV1600" s="2060"/>
      <c r="IW1600" s="2060"/>
      <c r="IX1600" s="2060"/>
      <c r="IY1600" s="2060"/>
      <c r="IZ1600" s="2060"/>
      <c r="JA1600" s="2060"/>
      <c r="JB1600" s="2060"/>
      <c r="JC1600" s="2060"/>
      <c r="JD1600" s="2060"/>
      <c r="JE1600" s="2060"/>
      <c r="JF1600" s="2060"/>
      <c r="JG1600" s="2060"/>
      <c r="JH1600" s="2060"/>
      <c r="JI1600" s="2060"/>
      <c r="JJ1600" s="2060"/>
      <c r="JK1600" s="2060"/>
      <c r="JL1600" s="2060"/>
      <c r="JM1600" s="2060"/>
      <c r="JN1600" s="2060"/>
      <c r="JO1600" s="2060"/>
      <c r="JP1600" s="2060"/>
      <c r="JQ1600" s="2060"/>
      <c r="JR1600" s="2060"/>
      <c r="JS1600" s="2060"/>
      <c r="JT1600" s="2060"/>
      <c r="JU1600" s="2060"/>
      <c r="JV1600" s="2060"/>
      <c r="JW1600" s="2060"/>
      <c r="JX1600" s="2060"/>
      <c r="JY1600" s="2060"/>
      <c r="JZ1600" s="2060"/>
      <c r="KA1600" s="2060"/>
      <c r="KB1600" s="2060"/>
      <c r="KC1600" s="2060"/>
      <c r="KD1600" s="2060"/>
      <c r="KE1600" s="2060"/>
      <c r="KF1600" s="2060"/>
      <c r="KG1600" s="2060"/>
      <c r="KH1600" s="2060"/>
      <c r="KI1600" s="2060"/>
      <c r="KJ1600" s="2060"/>
      <c r="KK1600" s="2060"/>
      <c r="KL1600" s="2060"/>
      <c r="KM1600" s="2060"/>
      <c r="KN1600" s="2060"/>
      <c r="KO1600" s="2060"/>
      <c r="KP1600" s="2060"/>
      <c r="KQ1600" s="2060"/>
      <c r="KR1600" s="2060"/>
      <c r="KS1600" s="2060"/>
      <c r="KT1600" s="2060"/>
      <c r="KU1600" s="2060"/>
      <c r="KV1600" s="2060"/>
      <c r="KW1600" s="2060"/>
      <c r="KX1600" s="2060"/>
      <c r="KY1600" s="2060"/>
      <c r="KZ1600" s="2060"/>
      <c r="LA1600" s="2060"/>
      <c r="LB1600" s="2060"/>
      <c r="LC1600" s="2060"/>
      <c r="LD1600" s="2060"/>
      <c r="LE1600" s="2060"/>
      <c r="LF1600" s="2060"/>
      <c r="LG1600" s="2060"/>
      <c r="LH1600" s="2060"/>
    </row>
    <row r="1601" spans="1:320" s="449" customFormat="1" ht="13.9">
      <c r="A1601" s="269" t="str">
        <f t="shared" si="440"/>
        <v>n</v>
      </c>
      <c r="B1601" s="2060"/>
      <c r="C1601" s="2060"/>
      <c r="D1601" s="2060"/>
      <c r="E1601" s="1661">
        <v>14</v>
      </c>
      <c r="F1601" s="1353" t="str">
        <f>F$142</f>
        <v>--</v>
      </c>
      <c r="G1601" s="128">
        <f>G$142</f>
        <v>0</v>
      </c>
      <c r="H1601" s="128" t="str">
        <f>H$142</f>
        <v>--</v>
      </c>
      <c r="I1601" s="89" t="s">
        <v>781</v>
      </c>
      <c r="J1601" s="2197" t="str">
        <f>IF($G1601=0,"",IFERROR(_xll.ciqfunctions.udf.CIQ($G1601,$I1601,J$1557,Valuation_Date_GC,ReportType,DataMode,$H1601,FXMode)*Scale,"n/a"))</f>
        <v/>
      </c>
      <c r="K1601" s="2197" t="str">
        <f>IF($G1601=0,"",IFERROR(_xll.ciqfunctions.udf.CIQ($G1601,$I1601,K$1557,Valuation_Date_GC,ReportType,DataMode,$H1601,FXMode)*Scale,"n/a"))</f>
        <v/>
      </c>
      <c r="L1601" s="2197" t="str">
        <f>IF($G1601=0,"",IFERROR(_xll.ciqfunctions.udf.CIQ($G1601,$I1601,L$1557,Valuation_Date_GC,ReportType,DataMode,$H1601,FXMode)*Scale,"n/a"))</f>
        <v/>
      </c>
      <c r="M1601" s="2197" t="str">
        <f>IF($G1601=0,"",IFERROR(_xll.ciqfunctions.udf.CIQ($G1601,$I1601,M$1557,Valuation_Date_GC,ReportType,DataMode,$H1601,FXMode)*Scale,"n/a"))</f>
        <v/>
      </c>
      <c r="N1601" s="2197" t="str">
        <f>IF($G1601=0,"",IFERROR(_xll.ciqfunctions.udf.CIQ($G1601,$I1601,N$1557,Valuation_Date_GC,ReportType,DataMode,$H1601,FXMode)*Scale,"n/a"))</f>
        <v/>
      </c>
      <c r="O1601" s="2197" t="str">
        <f>IF($G1601=0,"",IFERROR(_xll.ciqfunctions.udf.CIQ($G1601,$I1601,O$1557,Valuation_Date_GC,ReportType,DataMode,$H1601,FXMode)*Scale,"n/a"))</f>
        <v/>
      </c>
      <c r="P1601" s="2197" t="str">
        <f>IF($G1601=0,"",IFERROR(_xll.ciqfunctions.udf.CIQ($G1601,$I1601,P$1557,Valuation_Date_GC,ReportType,DataMode,$H1601,FXMode)*Scale,"n/a"))</f>
        <v/>
      </c>
      <c r="Q1601" s="2197" t="str">
        <f>IF($G1601=0,"",IFERROR(_xll.ciqfunctions.udf.CIQ($G1601,$I1601,Q$1557,Valuation_Date_GC,ReportType,DataMode,$H1601,FXMode)*Scale,"n/a"))</f>
        <v/>
      </c>
      <c r="R1601" s="2197" t="str">
        <f>IF($G1601=0,"",IFERROR(_xll.ciqfunctions.udf.CIQ($G1601,$I1601,R$1557,Valuation_Date_GC,ReportType,DataMode,$H1601,FXMode)*Scale,"n/a"))</f>
        <v/>
      </c>
      <c r="S1601" s="2197" t="str">
        <f>IF($G1601=0,"",IFERROR(_xll.ciqfunctions.udf.CIQ($G1601,$I1601,S$1557,Valuation_Date_GC,ReportType,DataMode,$H1601,FXMode)*Scale,"n/a"))</f>
        <v/>
      </c>
      <c r="T1601" s="2197" t="str">
        <f>IF($G1601=0,"",IFERROR(_xll.ciqfunctions.udf.CIQ($G1601,$I1601,T$1557,Valuation_Date_GC,ReportType,DataMode,$H1601,FXMode)*Scale,"n/a"))</f>
        <v/>
      </c>
      <c r="U1601" s="2197" t="str">
        <f>IF($G1601=0,"",IFERROR(_xll.ciqfunctions.udf.CIQ($G1601,$I1601,U$1557,Valuation_Date_GC,ReportType,DataMode,$H1601,FXMode)*Scale,"n/a"))</f>
        <v/>
      </c>
      <c r="V1601" s="2197" t="str">
        <f>IF($G1601=0,"",IFERROR(_xll.ciqfunctions.udf.CIQ($G1601,$I1601,V$1557,Valuation_Date_GC,ReportType,DataMode,$H1601,FXMode)*Scale,"n/a"))</f>
        <v/>
      </c>
      <c r="W1601" s="1479"/>
      <c r="X1601" s="255"/>
      <c r="Y1601" s="255"/>
      <c r="Z1601" s="2060"/>
      <c r="AA1601" s="2060"/>
      <c r="AB1601" s="2060"/>
      <c r="AC1601" s="2060"/>
      <c r="AD1601" s="2060"/>
      <c r="AE1601" s="2060"/>
      <c r="AF1601" s="2060"/>
      <c r="AG1601" s="2060"/>
      <c r="AH1601" s="2060"/>
      <c r="AI1601" s="2060"/>
      <c r="AJ1601" s="2060"/>
      <c r="AK1601" s="2060"/>
      <c r="AL1601" s="2060"/>
      <c r="AM1601" s="2060"/>
      <c r="AN1601" s="2060"/>
      <c r="AO1601" s="2060"/>
      <c r="AP1601" s="2060"/>
      <c r="AQ1601" s="2060"/>
      <c r="AR1601" s="2060"/>
      <c r="AS1601" s="2060"/>
      <c r="AT1601" s="2060"/>
      <c r="AU1601" s="2060"/>
      <c r="AV1601" s="2060"/>
      <c r="AW1601" s="2060"/>
      <c r="AX1601" s="2060"/>
      <c r="AY1601" s="2060"/>
      <c r="AZ1601" s="2060"/>
      <c r="BA1601" s="2060"/>
      <c r="BB1601" s="2060"/>
      <c r="BC1601" s="2060"/>
      <c r="BD1601" s="2060"/>
      <c r="BE1601" s="2060"/>
      <c r="BF1601" s="2060"/>
      <c r="BG1601" s="2060"/>
      <c r="BH1601" s="2060"/>
      <c r="BI1601" s="2060"/>
      <c r="BJ1601" s="2060"/>
      <c r="BK1601" s="2060"/>
      <c r="BL1601" s="2060"/>
      <c r="BM1601" s="2060"/>
      <c r="BN1601" s="2060"/>
      <c r="BO1601" s="2060"/>
      <c r="BP1601" s="2060"/>
      <c r="BQ1601" s="2060"/>
      <c r="BR1601" s="2060"/>
      <c r="BS1601" s="2060"/>
      <c r="BT1601" s="2060"/>
      <c r="BU1601" s="2060"/>
      <c r="BV1601" s="2060"/>
      <c r="BW1601" s="2060"/>
      <c r="BX1601" s="2060"/>
      <c r="BY1601" s="2060"/>
      <c r="BZ1601" s="2060"/>
      <c r="CA1601" s="2060"/>
      <c r="CB1601" s="2060"/>
      <c r="CC1601" s="2060"/>
      <c r="CD1601" s="2060"/>
      <c r="CE1601" s="2060"/>
      <c r="CF1601" s="2060"/>
      <c r="CG1601" s="2060"/>
      <c r="CH1601" s="2060"/>
      <c r="CI1601" s="2060"/>
      <c r="CJ1601" s="2060"/>
      <c r="CK1601" s="2060"/>
      <c r="CL1601" s="2060"/>
      <c r="CM1601" s="2060"/>
      <c r="CN1601" s="2060"/>
      <c r="CO1601" s="2060"/>
      <c r="CP1601" s="2060"/>
      <c r="CQ1601" s="2060"/>
      <c r="CR1601" s="2060"/>
      <c r="CS1601" s="2060"/>
      <c r="CT1601" s="2060"/>
      <c r="CU1601" s="2060"/>
      <c r="CV1601" s="2060"/>
      <c r="CW1601" s="2060"/>
      <c r="CX1601" s="2060"/>
      <c r="CY1601" s="2060"/>
      <c r="CZ1601" s="2060"/>
      <c r="DA1601" s="2060"/>
      <c r="DB1601" s="2060"/>
      <c r="DC1601" s="2060"/>
      <c r="DD1601" s="2060"/>
      <c r="DE1601" s="2060"/>
      <c r="DF1601" s="2060"/>
      <c r="DG1601" s="2060"/>
      <c r="DH1601" s="2060"/>
      <c r="DI1601" s="2060"/>
      <c r="DJ1601" s="2060"/>
      <c r="DK1601" s="2060"/>
      <c r="DL1601" s="2060"/>
      <c r="DM1601" s="2060"/>
      <c r="DN1601" s="2060"/>
      <c r="DO1601" s="2060"/>
      <c r="DP1601" s="2060"/>
      <c r="DQ1601" s="2060"/>
      <c r="DR1601" s="2060"/>
      <c r="DS1601" s="2060"/>
      <c r="DT1601" s="2060"/>
      <c r="DU1601" s="2060"/>
      <c r="DV1601" s="2060"/>
      <c r="DW1601" s="2060"/>
      <c r="DX1601" s="2060"/>
      <c r="DY1601" s="2060"/>
      <c r="DZ1601" s="2060"/>
      <c r="EA1601" s="2060"/>
      <c r="EB1601" s="2060"/>
      <c r="EC1601" s="2060"/>
      <c r="ED1601" s="2060"/>
      <c r="EE1601" s="2060"/>
      <c r="EF1601" s="2060"/>
      <c r="EG1601" s="2060"/>
      <c r="EH1601" s="2060"/>
      <c r="EI1601" s="2060"/>
      <c r="EJ1601" s="2060"/>
      <c r="EK1601" s="2060"/>
      <c r="EL1601" s="2060"/>
      <c r="EM1601" s="2060"/>
      <c r="EN1601" s="2060"/>
      <c r="EO1601" s="2060"/>
      <c r="EP1601" s="2060"/>
      <c r="EQ1601" s="2060"/>
      <c r="ER1601" s="2060"/>
      <c r="ES1601" s="2060"/>
      <c r="ET1601" s="2060"/>
      <c r="EU1601" s="2060"/>
      <c r="EV1601" s="2060"/>
      <c r="EW1601" s="2060"/>
      <c r="EX1601" s="2060"/>
      <c r="EY1601" s="2060"/>
      <c r="EZ1601" s="2060"/>
      <c r="FA1601" s="2060"/>
      <c r="FB1601" s="2060"/>
      <c r="FC1601" s="2060"/>
      <c r="FD1601" s="2060"/>
      <c r="FE1601" s="2060"/>
      <c r="FF1601" s="2060"/>
      <c r="FG1601" s="2060"/>
      <c r="FH1601" s="2060"/>
      <c r="FI1601" s="2060"/>
      <c r="FJ1601" s="2060"/>
      <c r="FK1601" s="2060"/>
      <c r="FL1601" s="2060"/>
      <c r="FM1601" s="2060"/>
      <c r="FN1601" s="2060"/>
      <c r="FO1601" s="2060"/>
      <c r="FP1601" s="2060"/>
      <c r="FQ1601" s="2060"/>
      <c r="FR1601" s="2060"/>
      <c r="FS1601" s="2060"/>
      <c r="FT1601" s="2060"/>
      <c r="FU1601" s="2060"/>
      <c r="FV1601" s="2060"/>
      <c r="FW1601" s="2060"/>
      <c r="FX1601" s="2060"/>
      <c r="FY1601" s="2060"/>
      <c r="FZ1601" s="2060"/>
      <c r="GA1601" s="2060"/>
      <c r="GB1601" s="2060"/>
      <c r="GC1601" s="2060"/>
      <c r="GD1601" s="2060"/>
      <c r="GE1601" s="2060"/>
      <c r="GF1601" s="2060"/>
      <c r="GG1601" s="2060"/>
      <c r="GH1601" s="2060"/>
      <c r="GI1601" s="2060"/>
      <c r="GJ1601" s="2060"/>
      <c r="GK1601" s="2060"/>
      <c r="GL1601" s="2060"/>
      <c r="GM1601" s="2060"/>
      <c r="GN1601" s="2060"/>
      <c r="GO1601" s="2060"/>
      <c r="GP1601" s="2060"/>
      <c r="GQ1601" s="2060"/>
      <c r="GR1601" s="2060"/>
      <c r="GS1601" s="2060"/>
      <c r="GT1601" s="2060"/>
      <c r="GU1601" s="2060"/>
      <c r="GV1601" s="2060"/>
      <c r="GW1601" s="2060"/>
      <c r="GX1601" s="2060"/>
      <c r="GY1601" s="2060"/>
      <c r="GZ1601" s="2060"/>
      <c r="HA1601" s="2060"/>
      <c r="HB1601" s="2060"/>
      <c r="HC1601" s="2060"/>
      <c r="HD1601" s="2060"/>
      <c r="HE1601" s="2060"/>
      <c r="HF1601" s="2060"/>
      <c r="HG1601" s="2060"/>
      <c r="HH1601" s="2060"/>
      <c r="HI1601" s="2060"/>
      <c r="HJ1601" s="2060"/>
      <c r="HK1601" s="2060"/>
      <c r="HL1601" s="2060"/>
      <c r="HM1601" s="2060"/>
      <c r="HN1601" s="2060"/>
      <c r="HO1601" s="2060"/>
      <c r="HP1601" s="2060"/>
      <c r="HQ1601" s="2060"/>
      <c r="HR1601" s="2060"/>
      <c r="HS1601" s="2060"/>
      <c r="HT1601" s="2060"/>
      <c r="HU1601" s="2060"/>
      <c r="HV1601" s="2060"/>
      <c r="HW1601" s="2060"/>
      <c r="HX1601" s="2060"/>
      <c r="HY1601" s="2060"/>
      <c r="HZ1601" s="2060"/>
      <c r="IA1601" s="2060"/>
      <c r="IB1601" s="2060"/>
      <c r="IC1601" s="2060"/>
      <c r="ID1601" s="2060"/>
      <c r="IE1601" s="2060"/>
      <c r="IF1601" s="2060"/>
      <c r="IG1601" s="2060"/>
      <c r="IH1601" s="2060"/>
      <c r="II1601" s="2060"/>
      <c r="IJ1601" s="2060"/>
      <c r="IK1601" s="2060"/>
      <c r="IL1601" s="2060"/>
      <c r="IM1601" s="2060"/>
      <c r="IN1601" s="2060"/>
      <c r="IO1601" s="2060"/>
      <c r="IP1601" s="2060"/>
      <c r="IQ1601" s="2060"/>
      <c r="IR1601" s="2060"/>
      <c r="IS1601" s="2060"/>
      <c r="IT1601" s="2060"/>
      <c r="IU1601" s="2060"/>
      <c r="IV1601" s="2060"/>
      <c r="IW1601" s="2060"/>
      <c r="IX1601" s="2060"/>
      <c r="IY1601" s="2060"/>
      <c r="IZ1601" s="2060"/>
      <c r="JA1601" s="2060"/>
      <c r="JB1601" s="2060"/>
      <c r="JC1601" s="2060"/>
      <c r="JD1601" s="2060"/>
      <c r="JE1601" s="2060"/>
      <c r="JF1601" s="2060"/>
      <c r="JG1601" s="2060"/>
      <c r="JH1601" s="2060"/>
      <c r="JI1601" s="2060"/>
      <c r="JJ1601" s="2060"/>
      <c r="JK1601" s="2060"/>
      <c r="JL1601" s="2060"/>
      <c r="JM1601" s="2060"/>
      <c r="JN1601" s="2060"/>
      <c r="JO1601" s="2060"/>
      <c r="JP1601" s="2060"/>
      <c r="JQ1601" s="2060"/>
      <c r="JR1601" s="2060"/>
      <c r="JS1601" s="2060"/>
      <c r="JT1601" s="2060"/>
      <c r="JU1601" s="2060"/>
      <c r="JV1601" s="2060"/>
      <c r="JW1601" s="2060"/>
      <c r="JX1601" s="2060"/>
      <c r="JY1601" s="2060"/>
      <c r="JZ1601" s="2060"/>
      <c r="KA1601" s="2060"/>
      <c r="KB1601" s="2060"/>
      <c r="KC1601" s="2060"/>
      <c r="KD1601" s="2060"/>
      <c r="KE1601" s="2060"/>
      <c r="KF1601" s="2060"/>
      <c r="KG1601" s="2060"/>
      <c r="KH1601" s="2060"/>
      <c r="KI1601" s="2060"/>
      <c r="KJ1601" s="2060"/>
      <c r="KK1601" s="2060"/>
      <c r="KL1601" s="2060"/>
      <c r="KM1601" s="2060"/>
      <c r="KN1601" s="2060"/>
      <c r="KO1601" s="2060"/>
      <c r="KP1601" s="2060"/>
      <c r="KQ1601" s="2060"/>
      <c r="KR1601" s="2060"/>
      <c r="KS1601" s="2060"/>
      <c r="KT1601" s="2060"/>
      <c r="KU1601" s="2060"/>
      <c r="KV1601" s="2060"/>
      <c r="KW1601" s="2060"/>
      <c r="KX1601" s="2060"/>
      <c r="KY1601" s="2060"/>
      <c r="KZ1601" s="2060"/>
      <c r="LA1601" s="2060"/>
      <c r="LB1601" s="2060"/>
      <c r="LC1601" s="2060"/>
      <c r="LD1601" s="2060"/>
      <c r="LE1601" s="2060"/>
      <c r="LF1601" s="2060"/>
      <c r="LG1601" s="2060"/>
      <c r="LH1601" s="2060"/>
    </row>
    <row r="1602" spans="1:320" s="1499" customFormat="1" ht="13.9">
      <c r="A1602" s="269" t="str">
        <f t="shared" si="440"/>
        <v>n</v>
      </c>
      <c r="B1602" s="2060"/>
      <c r="C1602" s="2060"/>
      <c r="D1602" s="2060"/>
      <c r="E1602" s="1661">
        <v>15</v>
      </c>
      <c r="F1602" s="1353" t="str">
        <f>F$143</f>
        <v>--</v>
      </c>
      <c r="G1602" s="128">
        <f>G$143</f>
        <v>0</v>
      </c>
      <c r="H1602" s="128" t="str">
        <f>H$143</f>
        <v>--</v>
      </c>
      <c r="I1602" s="89" t="s">
        <v>781</v>
      </c>
      <c r="J1602" s="2197" t="str">
        <f>IF($G1602=0,"",IFERROR(_xll.ciqfunctions.udf.CIQ($G1602,$I1602,J$1557,Valuation_Date_GC,ReportType,DataMode,$H1602,FXMode)*Scale,"n/a"))</f>
        <v/>
      </c>
      <c r="K1602" s="2197" t="str">
        <f>IF($G1602=0,"",IFERROR(_xll.ciqfunctions.udf.CIQ($G1602,$I1602,K$1557,Valuation_Date_GC,ReportType,DataMode,$H1602,FXMode)*Scale,"n/a"))</f>
        <v/>
      </c>
      <c r="L1602" s="2197" t="str">
        <f>IF($G1602=0,"",IFERROR(_xll.ciqfunctions.udf.CIQ($G1602,$I1602,L$1557,Valuation_Date_GC,ReportType,DataMode,$H1602,FXMode)*Scale,"n/a"))</f>
        <v/>
      </c>
      <c r="M1602" s="2197" t="str">
        <f>IF($G1602=0,"",IFERROR(_xll.ciqfunctions.udf.CIQ($G1602,$I1602,M$1557,Valuation_Date_GC,ReportType,DataMode,$H1602,FXMode)*Scale,"n/a"))</f>
        <v/>
      </c>
      <c r="N1602" s="2197" t="str">
        <f>IF($G1602=0,"",IFERROR(_xll.ciqfunctions.udf.CIQ($G1602,$I1602,N$1557,Valuation_Date_GC,ReportType,DataMode,$H1602,FXMode)*Scale,"n/a"))</f>
        <v/>
      </c>
      <c r="O1602" s="2197" t="str">
        <f>IF($G1602=0,"",IFERROR(_xll.ciqfunctions.udf.CIQ($G1602,$I1602,O$1557,Valuation_Date_GC,ReportType,DataMode,$H1602,FXMode)*Scale,"n/a"))</f>
        <v/>
      </c>
      <c r="P1602" s="2197" t="str">
        <f>IF($G1602=0,"",IFERROR(_xll.ciqfunctions.udf.CIQ($G1602,$I1602,P$1557,Valuation_Date_GC,ReportType,DataMode,$H1602,FXMode)*Scale,"n/a"))</f>
        <v/>
      </c>
      <c r="Q1602" s="2197" t="str">
        <f>IF($G1602=0,"",IFERROR(_xll.ciqfunctions.udf.CIQ($G1602,$I1602,Q$1557,Valuation_Date_GC,ReportType,DataMode,$H1602,FXMode)*Scale,"n/a"))</f>
        <v/>
      </c>
      <c r="R1602" s="2197" t="str">
        <f>IF($G1602=0,"",IFERROR(_xll.ciqfunctions.udf.CIQ($G1602,$I1602,R$1557,Valuation_Date_GC,ReportType,DataMode,$H1602,FXMode)*Scale,"n/a"))</f>
        <v/>
      </c>
      <c r="S1602" s="2197" t="str">
        <f>IF($G1602=0,"",IFERROR(_xll.ciqfunctions.udf.CIQ($G1602,$I1602,S$1557,Valuation_Date_GC,ReportType,DataMode,$H1602,FXMode)*Scale,"n/a"))</f>
        <v/>
      </c>
      <c r="T1602" s="2197" t="str">
        <f>IF($G1602=0,"",IFERROR(_xll.ciqfunctions.udf.CIQ($G1602,$I1602,T$1557,Valuation_Date_GC,ReportType,DataMode,$H1602,FXMode)*Scale,"n/a"))</f>
        <v/>
      </c>
      <c r="U1602" s="2197" t="str">
        <f>IF($G1602=0,"",IFERROR(_xll.ciqfunctions.udf.CIQ($G1602,$I1602,U$1557,Valuation_Date_GC,ReportType,DataMode,$H1602,FXMode)*Scale,"n/a"))</f>
        <v/>
      </c>
      <c r="V1602" s="2197" t="str">
        <f>IF($G1602=0,"",IFERROR(_xll.ciqfunctions.udf.CIQ($G1602,$I1602,V$1557,Valuation_Date_GC,ReportType,DataMode,$H1602,FXMode)*Scale,"n/a"))</f>
        <v/>
      </c>
      <c r="W1602" s="1479"/>
      <c r="X1602" s="255"/>
      <c r="Y1602" s="255"/>
      <c r="Z1602" s="2060"/>
      <c r="AA1602" s="2060"/>
      <c r="AB1602" s="2060"/>
      <c r="AC1602" s="2060"/>
      <c r="AD1602" s="2060"/>
      <c r="AE1602" s="2060"/>
      <c r="AF1602" s="2060"/>
      <c r="AG1602" s="2060"/>
      <c r="AH1602" s="2060"/>
      <c r="AI1602" s="2060"/>
      <c r="AJ1602" s="2060"/>
      <c r="AK1602" s="2060"/>
      <c r="AL1602" s="2060"/>
      <c r="AM1602" s="2060"/>
      <c r="AN1602" s="2060"/>
      <c r="AO1602" s="2060"/>
      <c r="AP1602" s="2060"/>
      <c r="AQ1602" s="2060"/>
      <c r="AR1602" s="2060"/>
      <c r="AS1602" s="2060"/>
      <c r="AT1602" s="2060"/>
      <c r="AU1602" s="2060"/>
      <c r="AV1602" s="2060"/>
      <c r="AW1602" s="2060"/>
      <c r="AX1602" s="2060"/>
      <c r="AY1602" s="2060"/>
      <c r="AZ1602" s="2060"/>
      <c r="BA1602" s="2060"/>
      <c r="BB1602" s="2060"/>
      <c r="BC1602" s="2060"/>
      <c r="BD1602" s="2060"/>
      <c r="BE1602" s="2060"/>
      <c r="BF1602" s="2060"/>
      <c r="BG1602" s="2060"/>
      <c r="BH1602" s="2060"/>
      <c r="BI1602" s="2060"/>
      <c r="BJ1602" s="2060"/>
      <c r="BK1602" s="2060"/>
      <c r="BL1602" s="2060"/>
      <c r="BM1602" s="2060"/>
      <c r="BN1602" s="2060"/>
      <c r="BO1602" s="2060"/>
      <c r="BP1602" s="2060"/>
      <c r="BQ1602" s="2060"/>
      <c r="BR1602" s="2060"/>
      <c r="BS1602" s="2060"/>
      <c r="BT1602" s="2060"/>
      <c r="BU1602" s="2060"/>
      <c r="BV1602" s="2060"/>
      <c r="BW1602" s="2060"/>
      <c r="BX1602" s="2060"/>
      <c r="BY1602" s="2060"/>
      <c r="BZ1602" s="2060"/>
      <c r="CA1602" s="2060"/>
      <c r="CB1602" s="2060"/>
      <c r="CC1602" s="2060"/>
      <c r="CD1602" s="2060"/>
      <c r="CE1602" s="2060"/>
      <c r="CF1602" s="2060"/>
      <c r="CG1602" s="2060"/>
      <c r="CH1602" s="2060"/>
      <c r="CI1602" s="2060"/>
      <c r="CJ1602" s="2060"/>
      <c r="CK1602" s="2060"/>
      <c r="CL1602" s="2060"/>
      <c r="CM1602" s="2060"/>
      <c r="CN1602" s="2060"/>
      <c r="CO1602" s="2060"/>
      <c r="CP1602" s="2060"/>
      <c r="CQ1602" s="2060"/>
      <c r="CR1602" s="2060"/>
      <c r="CS1602" s="2060"/>
      <c r="CT1602" s="2060"/>
      <c r="CU1602" s="2060"/>
      <c r="CV1602" s="2060"/>
      <c r="CW1602" s="2060"/>
      <c r="CX1602" s="2060"/>
      <c r="CY1602" s="2060"/>
      <c r="CZ1602" s="2060"/>
      <c r="DA1602" s="2060"/>
      <c r="DB1602" s="2060"/>
      <c r="DC1602" s="2060"/>
      <c r="DD1602" s="2060"/>
      <c r="DE1602" s="2060"/>
      <c r="DF1602" s="2060"/>
      <c r="DG1602" s="2060"/>
      <c r="DH1602" s="2060"/>
      <c r="DI1602" s="2060"/>
      <c r="DJ1602" s="2060"/>
      <c r="DK1602" s="2060"/>
      <c r="DL1602" s="2060"/>
      <c r="DM1602" s="2060"/>
      <c r="DN1602" s="2060"/>
      <c r="DO1602" s="2060"/>
      <c r="DP1602" s="2060"/>
      <c r="DQ1602" s="2060"/>
      <c r="DR1602" s="2060"/>
      <c r="DS1602" s="2060"/>
      <c r="DT1602" s="2060"/>
      <c r="DU1602" s="2060"/>
      <c r="DV1602" s="2060"/>
      <c r="DW1602" s="2060"/>
      <c r="DX1602" s="2060"/>
      <c r="DY1602" s="2060"/>
      <c r="DZ1602" s="2060"/>
      <c r="EA1602" s="2060"/>
      <c r="EB1602" s="2060"/>
      <c r="EC1602" s="2060"/>
      <c r="ED1602" s="2060"/>
      <c r="EE1602" s="2060"/>
      <c r="EF1602" s="2060"/>
      <c r="EG1602" s="2060"/>
      <c r="EH1602" s="2060"/>
      <c r="EI1602" s="2060"/>
      <c r="EJ1602" s="2060"/>
      <c r="EK1602" s="2060"/>
      <c r="EL1602" s="2060"/>
      <c r="EM1602" s="2060"/>
      <c r="EN1602" s="2060"/>
      <c r="EO1602" s="2060"/>
      <c r="EP1602" s="2060"/>
      <c r="EQ1602" s="2060"/>
      <c r="ER1602" s="2060"/>
      <c r="ES1602" s="2060"/>
      <c r="ET1602" s="2060"/>
      <c r="EU1602" s="2060"/>
      <c r="EV1602" s="2060"/>
      <c r="EW1602" s="2060"/>
      <c r="EX1602" s="2060"/>
      <c r="EY1602" s="2060"/>
      <c r="EZ1602" s="2060"/>
      <c r="FA1602" s="2060"/>
      <c r="FB1602" s="2060"/>
      <c r="FC1602" s="2060"/>
      <c r="FD1602" s="2060"/>
      <c r="FE1602" s="2060"/>
      <c r="FF1602" s="2060"/>
      <c r="FG1602" s="2060"/>
      <c r="FH1602" s="2060"/>
      <c r="FI1602" s="2060"/>
      <c r="FJ1602" s="2060"/>
      <c r="FK1602" s="2060"/>
      <c r="FL1602" s="2060"/>
      <c r="FM1602" s="2060"/>
      <c r="FN1602" s="2060"/>
      <c r="FO1602" s="2060"/>
      <c r="FP1602" s="2060"/>
      <c r="FQ1602" s="2060"/>
      <c r="FR1602" s="2060"/>
      <c r="FS1602" s="2060"/>
      <c r="FT1602" s="2060"/>
      <c r="FU1602" s="2060"/>
      <c r="FV1602" s="2060"/>
      <c r="FW1602" s="2060"/>
      <c r="FX1602" s="2060"/>
      <c r="FY1602" s="2060"/>
      <c r="FZ1602" s="2060"/>
      <c r="GA1602" s="2060"/>
      <c r="GB1602" s="2060"/>
      <c r="GC1602" s="2060"/>
      <c r="GD1602" s="2060"/>
      <c r="GE1602" s="2060"/>
      <c r="GF1602" s="2060"/>
      <c r="GG1602" s="2060"/>
      <c r="GH1602" s="2060"/>
      <c r="GI1602" s="2060"/>
      <c r="GJ1602" s="2060"/>
      <c r="GK1602" s="2060"/>
      <c r="GL1602" s="2060"/>
      <c r="GM1602" s="2060"/>
      <c r="GN1602" s="2060"/>
      <c r="GO1602" s="2060"/>
      <c r="GP1602" s="2060"/>
      <c r="GQ1602" s="2060"/>
      <c r="GR1602" s="2060"/>
      <c r="GS1602" s="2060"/>
      <c r="GT1602" s="2060"/>
      <c r="GU1602" s="2060"/>
      <c r="GV1602" s="2060"/>
      <c r="GW1602" s="2060"/>
      <c r="GX1602" s="2060"/>
      <c r="GY1602" s="2060"/>
      <c r="GZ1602" s="2060"/>
      <c r="HA1602" s="2060"/>
      <c r="HB1602" s="2060"/>
      <c r="HC1602" s="2060"/>
      <c r="HD1602" s="2060"/>
      <c r="HE1602" s="2060"/>
      <c r="HF1602" s="2060"/>
      <c r="HG1602" s="2060"/>
      <c r="HH1602" s="2060"/>
      <c r="HI1602" s="2060"/>
      <c r="HJ1602" s="2060"/>
      <c r="HK1602" s="2060"/>
      <c r="HL1602" s="2060"/>
      <c r="HM1602" s="2060"/>
      <c r="HN1602" s="2060"/>
      <c r="HO1602" s="2060"/>
      <c r="HP1602" s="2060"/>
      <c r="HQ1602" s="2060"/>
      <c r="HR1602" s="2060"/>
      <c r="HS1602" s="2060"/>
      <c r="HT1602" s="2060"/>
      <c r="HU1602" s="2060"/>
      <c r="HV1602" s="2060"/>
      <c r="HW1602" s="2060"/>
      <c r="HX1602" s="2060"/>
      <c r="HY1602" s="2060"/>
      <c r="HZ1602" s="2060"/>
      <c r="IA1602" s="2060"/>
      <c r="IB1602" s="2060"/>
      <c r="IC1602" s="2060"/>
      <c r="ID1602" s="2060"/>
      <c r="IE1602" s="2060"/>
      <c r="IF1602" s="2060"/>
      <c r="IG1602" s="2060"/>
      <c r="IH1602" s="2060"/>
      <c r="II1602" s="2060"/>
      <c r="IJ1602" s="2060"/>
      <c r="IK1602" s="2060"/>
      <c r="IL1602" s="2060"/>
      <c r="IM1602" s="2060"/>
      <c r="IN1602" s="2060"/>
      <c r="IO1602" s="2060"/>
      <c r="IP1602" s="2060"/>
      <c r="IQ1602" s="2060"/>
      <c r="IR1602" s="2060"/>
      <c r="IS1602" s="2060"/>
      <c r="IT1602" s="2060"/>
      <c r="IU1602" s="2060"/>
      <c r="IV1602" s="2060"/>
      <c r="IW1602" s="2060"/>
      <c r="IX1602" s="2060"/>
      <c r="IY1602" s="2060"/>
      <c r="IZ1602" s="2060"/>
      <c r="JA1602" s="2060"/>
      <c r="JB1602" s="2060"/>
      <c r="JC1602" s="2060"/>
      <c r="JD1602" s="2060"/>
      <c r="JE1602" s="2060"/>
      <c r="JF1602" s="2060"/>
      <c r="JG1602" s="2060"/>
      <c r="JH1602" s="2060"/>
      <c r="JI1602" s="2060"/>
      <c r="JJ1602" s="2060"/>
      <c r="JK1602" s="2060"/>
      <c r="JL1602" s="2060"/>
      <c r="JM1602" s="2060"/>
      <c r="JN1602" s="2060"/>
      <c r="JO1602" s="2060"/>
      <c r="JP1602" s="2060"/>
      <c r="JQ1602" s="2060"/>
      <c r="JR1602" s="2060"/>
      <c r="JS1602" s="2060"/>
      <c r="JT1602" s="2060"/>
      <c r="JU1602" s="2060"/>
      <c r="JV1602" s="2060"/>
      <c r="JW1602" s="2060"/>
      <c r="JX1602" s="2060"/>
      <c r="JY1602" s="2060"/>
      <c r="JZ1602" s="2060"/>
      <c r="KA1602" s="2060"/>
      <c r="KB1602" s="2060"/>
      <c r="KC1602" s="2060"/>
      <c r="KD1602" s="2060"/>
      <c r="KE1602" s="2060"/>
      <c r="KF1602" s="2060"/>
      <c r="KG1602" s="2060"/>
      <c r="KH1602" s="2060"/>
      <c r="KI1602" s="2060"/>
      <c r="KJ1602" s="2060"/>
      <c r="KK1602" s="2060"/>
      <c r="KL1602" s="2060"/>
      <c r="KM1602" s="2060"/>
      <c r="KN1602" s="2060"/>
      <c r="KO1602" s="2060"/>
      <c r="KP1602" s="2060"/>
      <c r="KQ1602" s="2060"/>
      <c r="KR1602" s="2060"/>
      <c r="KS1602" s="2060"/>
      <c r="KT1602" s="2060"/>
      <c r="KU1602" s="2060"/>
      <c r="KV1602" s="2060"/>
      <c r="KW1602" s="2060"/>
      <c r="KX1602" s="2060"/>
      <c r="KY1602" s="2060"/>
      <c r="KZ1602" s="2060"/>
      <c r="LA1602" s="2060"/>
      <c r="LB1602" s="2060"/>
      <c r="LC1602" s="2060"/>
      <c r="LD1602" s="2060"/>
      <c r="LE1602" s="2060"/>
      <c r="LF1602" s="2060"/>
      <c r="LG1602" s="2060"/>
      <c r="LH1602" s="2060"/>
    </row>
    <row r="1603" spans="1:320" s="1499" customFormat="1" ht="13.9">
      <c r="A1603" s="269" t="str">
        <f t="shared" si="440"/>
        <v>n</v>
      </c>
      <c r="B1603" s="2060"/>
      <c r="C1603" s="2060"/>
      <c r="D1603" s="2060"/>
      <c r="E1603" s="1661">
        <v>16</v>
      </c>
      <c r="F1603" s="1353" t="str">
        <f>F$144</f>
        <v>--</v>
      </c>
      <c r="G1603" s="128">
        <f>G$144</f>
        <v>0</v>
      </c>
      <c r="H1603" s="128" t="str">
        <f>H$144</f>
        <v>--</v>
      </c>
      <c r="I1603" s="89" t="s">
        <v>781</v>
      </c>
      <c r="J1603" s="2197" t="str">
        <f>IF($G1603=0,"",IFERROR(_xll.ciqfunctions.udf.CIQ($G1603,$I1603,J$1557,Valuation_Date_GC,ReportType,DataMode,$H1603,FXMode)*Scale,"n/a"))</f>
        <v/>
      </c>
      <c r="K1603" s="2197" t="str">
        <f>IF($G1603=0,"",IFERROR(_xll.ciqfunctions.udf.CIQ($G1603,$I1603,K$1557,Valuation_Date_GC,ReportType,DataMode,$H1603,FXMode)*Scale,"n/a"))</f>
        <v/>
      </c>
      <c r="L1603" s="2197" t="str">
        <f>IF($G1603=0,"",IFERROR(_xll.ciqfunctions.udf.CIQ($G1603,$I1603,L$1557,Valuation_Date_GC,ReportType,DataMode,$H1603,FXMode)*Scale,"n/a"))</f>
        <v/>
      </c>
      <c r="M1603" s="2197" t="str">
        <f>IF($G1603=0,"",IFERROR(_xll.ciqfunctions.udf.CIQ($G1603,$I1603,M$1557,Valuation_Date_GC,ReportType,DataMode,$H1603,FXMode)*Scale,"n/a"))</f>
        <v/>
      </c>
      <c r="N1603" s="2197" t="str">
        <f>IF($G1603=0,"",IFERROR(_xll.ciqfunctions.udf.CIQ($G1603,$I1603,N$1557,Valuation_Date_GC,ReportType,DataMode,$H1603,FXMode)*Scale,"n/a"))</f>
        <v/>
      </c>
      <c r="O1603" s="2197" t="str">
        <f>IF($G1603=0,"",IFERROR(_xll.ciqfunctions.udf.CIQ($G1603,$I1603,O$1557,Valuation_Date_GC,ReportType,DataMode,$H1603,FXMode)*Scale,"n/a"))</f>
        <v/>
      </c>
      <c r="P1603" s="2197" t="str">
        <f>IF($G1603=0,"",IFERROR(_xll.ciqfunctions.udf.CIQ($G1603,$I1603,P$1557,Valuation_Date_GC,ReportType,DataMode,$H1603,FXMode)*Scale,"n/a"))</f>
        <v/>
      </c>
      <c r="Q1603" s="2197" t="str">
        <f>IF($G1603=0,"",IFERROR(_xll.ciqfunctions.udf.CIQ($G1603,$I1603,Q$1557,Valuation_Date_GC,ReportType,DataMode,$H1603,FXMode)*Scale,"n/a"))</f>
        <v/>
      </c>
      <c r="R1603" s="2197" t="str">
        <f>IF($G1603=0,"",IFERROR(_xll.ciqfunctions.udf.CIQ($G1603,$I1603,R$1557,Valuation_Date_GC,ReportType,DataMode,$H1603,FXMode)*Scale,"n/a"))</f>
        <v/>
      </c>
      <c r="S1603" s="2197" t="str">
        <f>IF($G1603=0,"",IFERROR(_xll.ciqfunctions.udf.CIQ($G1603,$I1603,S$1557,Valuation_Date_GC,ReportType,DataMode,$H1603,FXMode)*Scale,"n/a"))</f>
        <v/>
      </c>
      <c r="T1603" s="2197" t="str">
        <f>IF($G1603=0,"",IFERROR(_xll.ciqfunctions.udf.CIQ($G1603,$I1603,T$1557,Valuation_Date_GC,ReportType,DataMode,$H1603,FXMode)*Scale,"n/a"))</f>
        <v/>
      </c>
      <c r="U1603" s="2197" t="str">
        <f>IF($G1603=0,"",IFERROR(_xll.ciqfunctions.udf.CIQ($G1603,$I1603,U$1557,Valuation_Date_GC,ReportType,DataMode,$H1603,FXMode)*Scale,"n/a"))</f>
        <v/>
      </c>
      <c r="V1603" s="2197" t="str">
        <f>IF($G1603=0,"",IFERROR(_xll.ciqfunctions.udf.CIQ($G1603,$I1603,V$1557,Valuation_Date_GC,ReportType,DataMode,$H1603,FXMode)*Scale,"n/a"))</f>
        <v/>
      </c>
      <c r="W1603" s="1479"/>
      <c r="X1603" s="255"/>
      <c r="Y1603" s="255"/>
      <c r="Z1603" s="2060"/>
      <c r="AA1603" s="2060"/>
      <c r="AB1603" s="2060"/>
      <c r="AC1603" s="2060"/>
      <c r="AD1603" s="2060"/>
      <c r="AE1603" s="2060"/>
      <c r="AF1603" s="2060"/>
      <c r="AG1603" s="2060"/>
      <c r="AH1603" s="2060"/>
      <c r="AI1603" s="2060"/>
      <c r="AJ1603" s="2060"/>
      <c r="AK1603" s="2060"/>
      <c r="AL1603" s="2060"/>
      <c r="AM1603" s="2060"/>
      <c r="AN1603" s="2060"/>
      <c r="AO1603" s="2060"/>
      <c r="AP1603" s="2060"/>
      <c r="AQ1603" s="2060"/>
      <c r="AR1603" s="2060"/>
      <c r="AS1603" s="2060"/>
      <c r="AT1603" s="2060"/>
      <c r="AU1603" s="2060"/>
      <c r="AV1603" s="2060"/>
      <c r="AW1603" s="2060"/>
      <c r="AX1603" s="2060"/>
      <c r="AY1603" s="2060"/>
      <c r="AZ1603" s="2060"/>
      <c r="BA1603" s="2060"/>
      <c r="BB1603" s="2060"/>
      <c r="BC1603" s="2060"/>
      <c r="BD1603" s="2060"/>
      <c r="BE1603" s="2060"/>
      <c r="BF1603" s="2060"/>
      <c r="BG1603" s="2060"/>
      <c r="BH1603" s="2060"/>
      <c r="BI1603" s="2060"/>
      <c r="BJ1603" s="2060"/>
      <c r="BK1603" s="2060"/>
      <c r="BL1603" s="2060"/>
      <c r="BM1603" s="2060"/>
      <c r="BN1603" s="2060"/>
      <c r="BO1603" s="2060"/>
      <c r="BP1603" s="2060"/>
      <c r="BQ1603" s="2060"/>
      <c r="BR1603" s="2060"/>
      <c r="BS1603" s="2060"/>
      <c r="BT1603" s="2060"/>
      <c r="BU1603" s="2060"/>
      <c r="BV1603" s="2060"/>
      <c r="BW1603" s="2060"/>
      <c r="BX1603" s="2060"/>
      <c r="BY1603" s="2060"/>
      <c r="BZ1603" s="2060"/>
      <c r="CA1603" s="2060"/>
      <c r="CB1603" s="2060"/>
      <c r="CC1603" s="2060"/>
      <c r="CD1603" s="2060"/>
      <c r="CE1603" s="2060"/>
      <c r="CF1603" s="2060"/>
      <c r="CG1603" s="2060"/>
      <c r="CH1603" s="2060"/>
      <c r="CI1603" s="2060"/>
      <c r="CJ1603" s="2060"/>
      <c r="CK1603" s="2060"/>
      <c r="CL1603" s="2060"/>
      <c r="CM1603" s="2060"/>
      <c r="CN1603" s="2060"/>
      <c r="CO1603" s="2060"/>
      <c r="CP1603" s="2060"/>
      <c r="CQ1603" s="2060"/>
      <c r="CR1603" s="2060"/>
      <c r="CS1603" s="2060"/>
      <c r="CT1603" s="2060"/>
      <c r="CU1603" s="2060"/>
      <c r="CV1603" s="2060"/>
      <c r="CW1603" s="2060"/>
      <c r="CX1603" s="2060"/>
      <c r="CY1603" s="2060"/>
      <c r="CZ1603" s="2060"/>
      <c r="DA1603" s="2060"/>
      <c r="DB1603" s="2060"/>
      <c r="DC1603" s="2060"/>
      <c r="DD1603" s="2060"/>
      <c r="DE1603" s="2060"/>
      <c r="DF1603" s="2060"/>
      <c r="DG1603" s="2060"/>
      <c r="DH1603" s="2060"/>
      <c r="DI1603" s="2060"/>
      <c r="DJ1603" s="2060"/>
      <c r="DK1603" s="2060"/>
      <c r="DL1603" s="2060"/>
      <c r="DM1603" s="2060"/>
      <c r="DN1603" s="2060"/>
      <c r="DO1603" s="2060"/>
      <c r="DP1603" s="2060"/>
      <c r="DQ1603" s="2060"/>
      <c r="DR1603" s="2060"/>
      <c r="DS1603" s="2060"/>
      <c r="DT1603" s="2060"/>
      <c r="DU1603" s="2060"/>
      <c r="DV1603" s="2060"/>
      <c r="DW1603" s="2060"/>
      <c r="DX1603" s="2060"/>
      <c r="DY1603" s="2060"/>
      <c r="DZ1603" s="2060"/>
      <c r="EA1603" s="2060"/>
      <c r="EB1603" s="2060"/>
      <c r="EC1603" s="2060"/>
      <c r="ED1603" s="2060"/>
      <c r="EE1603" s="2060"/>
      <c r="EF1603" s="2060"/>
      <c r="EG1603" s="2060"/>
      <c r="EH1603" s="2060"/>
      <c r="EI1603" s="2060"/>
      <c r="EJ1603" s="2060"/>
      <c r="EK1603" s="2060"/>
      <c r="EL1603" s="2060"/>
      <c r="EM1603" s="2060"/>
      <c r="EN1603" s="2060"/>
      <c r="EO1603" s="2060"/>
      <c r="EP1603" s="2060"/>
      <c r="EQ1603" s="2060"/>
      <c r="ER1603" s="2060"/>
      <c r="ES1603" s="2060"/>
      <c r="ET1603" s="2060"/>
      <c r="EU1603" s="2060"/>
      <c r="EV1603" s="2060"/>
      <c r="EW1603" s="2060"/>
      <c r="EX1603" s="2060"/>
      <c r="EY1603" s="2060"/>
      <c r="EZ1603" s="2060"/>
      <c r="FA1603" s="2060"/>
      <c r="FB1603" s="2060"/>
      <c r="FC1603" s="2060"/>
      <c r="FD1603" s="2060"/>
      <c r="FE1603" s="2060"/>
      <c r="FF1603" s="2060"/>
      <c r="FG1603" s="2060"/>
      <c r="FH1603" s="2060"/>
      <c r="FI1603" s="2060"/>
      <c r="FJ1603" s="2060"/>
      <c r="FK1603" s="2060"/>
      <c r="FL1603" s="2060"/>
      <c r="FM1603" s="2060"/>
      <c r="FN1603" s="2060"/>
      <c r="FO1603" s="2060"/>
      <c r="FP1603" s="2060"/>
      <c r="FQ1603" s="2060"/>
      <c r="FR1603" s="2060"/>
      <c r="FS1603" s="2060"/>
      <c r="FT1603" s="2060"/>
      <c r="FU1603" s="2060"/>
      <c r="FV1603" s="2060"/>
      <c r="FW1603" s="2060"/>
      <c r="FX1603" s="2060"/>
      <c r="FY1603" s="2060"/>
      <c r="FZ1603" s="2060"/>
      <c r="GA1603" s="2060"/>
      <c r="GB1603" s="2060"/>
      <c r="GC1603" s="2060"/>
      <c r="GD1603" s="2060"/>
      <c r="GE1603" s="2060"/>
      <c r="GF1603" s="2060"/>
      <c r="GG1603" s="2060"/>
      <c r="GH1603" s="2060"/>
      <c r="GI1603" s="2060"/>
      <c r="GJ1603" s="2060"/>
      <c r="GK1603" s="2060"/>
      <c r="GL1603" s="2060"/>
      <c r="GM1603" s="2060"/>
      <c r="GN1603" s="2060"/>
      <c r="GO1603" s="2060"/>
      <c r="GP1603" s="2060"/>
      <c r="GQ1603" s="2060"/>
      <c r="GR1603" s="2060"/>
      <c r="GS1603" s="2060"/>
      <c r="GT1603" s="2060"/>
      <c r="GU1603" s="2060"/>
      <c r="GV1603" s="2060"/>
      <c r="GW1603" s="2060"/>
      <c r="GX1603" s="2060"/>
      <c r="GY1603" s="2060"/>
      <c r="GZ1603" s="2060"/>
      <c r="HA1603" s="2060"/>
      <c r="HB1603" s="2060"/>
      <c r="HC1603" s="2060"/>
      <c r="HD1603" s="2060"/>
      <c r="HE1603" s="2060"/>
      <c r="HF1603" s="2060"/>
      <c r="HG1603" s="2060"/>
      <c r="HH1603" s="2060"/>
      <c r="HI1603" s="2060"/>
      <c r="HJ1603" s="2060"/>
      <c r="HK1603" s="2060"/>
      <c r="HL1603" s="2060"/>
      <c r="HM1603" s="2060"/>
      <c r="HN1603" s="2060"/>
      <c r="HO1603" s="2060"/>
      <c r="HP1603" s="2060"/>
      <c r="HQ1603" s="2060"/>
      <c r="HR1603" s="2060"/>
      <c r="HS1603" s="2060"/>
      <c r="HT1603" s="2060"/>
      <c r="HU1603" s="2060"/>
      <c r="HV1603" s="2060"/>
      <c r="HW1603" s="2060"/>
      <c r="HX1603" s="2060"/>
      <c r="HY1603" s="2060"/>
      <c r="HZ1603" s="2060"/>
      <c r="IA1603" s="2060"/>
      <c r="IB1603" s="2060"/>
      <c r="IC1603" s="2060"/>
      <c r="ID1603" s="2060"/>
      <c r="IE1603" s="2060"/>
      <c r="IF1603" s="2060"/>
      <c r="IG1603" s="2060"/>
      <c r="IH1603" s="2060"/>
      <c r="II1603" s="2060"/>
      <c r="IJ1603" s="2060"/>
      <c r="IK1603" s="2060"/>
      <c r="IL1603" s="2060"/>
      <c r="IM1603" s="2060"/>
      <c r="IN1603" s="2060"/>
      <c r="IO1603" s="2060"/>
      <c r="IP1603" s="2060"/>
      <c r="IQ1603" s="2060"/>
      <c r="IR1603" s="2060"/>
      <c r="IS1603" s="2060"/>
      <c r="IT1603" s="2060"/>
      <c r="IU1603" s="2060"/>
      <c r="IV1603" s="2060"/>
      <c r="IW1603" s="2060"/>
      <c r="IX1603" s="2060"/>
      <c r="IY1603" s="2060"/>
      <c r="IZ1603" s="2060"/>
      <c r="JA1603" s="2060"/>
      <c r="JB1603" s="2060"/>
      <c r="JC1603" s="2060"/>
      <c r="JD1603" s="2060"/>
      <c r="JE1603" s="2060"/>
      <c r="JF1603" s="2060"/>
      <c r="JG1603" s="2060"/>
      <c r="JH1603" s="2060"/>
      <c r="JI1603" s="2060"/>
      <c r="JJ1603" s="2060"/>
      <c r="JK1603" s="2060"/>
      <c r="JL1603" s="2060"/>
      <c r="JM1603" s="2060"/>
      <c r="JN1603" s="2060"/>
      <c r="JO1603" s="2060"/>
      <c r="JP1603" s="2060"/>
      <c r="JQ1603" s="2060"/>
      <c r="JR1603" s="2060"/>
      <c r="JS1603" s="2060"/>
      <c r="JT1603" s="2060"/>
      <c r="JU1603" s="2060"/>
      <c r="JV1603" s="2060"/>
      <c r="JW1603" s="2060"/>
      <c r="JX1603" s="2060"/>
      <c r="JY1603" s="2060"/>
      <c r="JZ1603" s="2060"/>
      <c r="KA1603" s="2060"/>
      <c r="KB1603" s="2060"/>
      <c r="KC1603" s="2060"/>
      <c r="KD1603" s="2060"/>
      <c r="KE1603" s="2060"/>
      <c r="KF1603" s="2060"/>
      <c r="KG1603" s="2060"/>
      <c r="KH1603" s="2060"/>
      <c r="KI1603" s="2060"/>
      <c r="KJ1603" s="2060"/>
      <c r="KK1603" s="2060"/>
      <c r="KL1603" s="2060"/>
      <c r="KM1603" s="2060"/>
      <c r="KN1603" s="2060"/>
      <c r="KO1603" s="2060"/>
      <c r="KP1603" s="2060"/>
      <c r="KQ1603" s="2060"/>
      <c r="KR1603" s="2060"/>
      <c r="KS1603" s="2060"/>
      <c r="KT1603" s="2060"/>
      <c r="KU1603" s="2060"/>
      <c r="KV1603" s="2060"/>
      <c r="KW1603" s="2060"/>
      <c r="KX1603" s="2060"/>
      <c r="KY1603" s="2060"/>
      <c r="KZ1603" s="2060"/>
      <c r="LA1603" s="2060"/>
      <c r="LB1603" s="2060"/>
      <c r="LC1603" s="2060"/>
      <c r="LD1603" s="2060"/>
      <c r="LE1603" s="2060"/>
      <c r="LF1603" s="2060"/>
      <c r="LG1603" s="2060"/>
      <c r="LH1603" s="2060"/>
    </row>
    <row r="1604" spans="1:320" s="1499" customFormat="1" ht="13.9">
      <c r="A1604" s="269" t="str">
        <f t="shared" si="440"/>
        <v>n</v>
      </c>
      <c r="B1604" s="2060"/>
      <c r="C1604" s="2060"/>
      <c r="D1604" s="2060"/>
      <c r="E1604" s="1661">
        <v>17</v>
      </c>
      <c r="F1604" s="1353" t="str">
        <f>F$145</f>
        <v>--</v>
      </c>
      <c r="G1604" s="128">
        <f>G$145</f>
        <v>0</v>
      </c>
      <c r="H1604" s="128" t="str">
        <f>H$145</f>
        <v>--</v>
      </c>
      <c r="I1604" s="89" t="s">
        <v>781</v>
      </c>
      <c r="J1604" s="2197" t="str">
        <f>IF($G1604=0,"",IFERROR(_xll.ciqfunctions.udf.CIQ($G1604,$I1604,J$1557,Valuation_Date_GC,ReportType,DataMode,$H1604,FXMode)*Scale,"n/a"))</f>
        <v/>
      </c>
      <c r="K1604" s="2197" t="str">
        <f>IF($G1604=0,"",IFERROR(_xll.ciqfunctions.udf.CIQ($G1604,$I1604,K$1557,Valuation_Date_GC,ReportType,DataMode,$H1604,FXMode)*Scale,"n/a"))</f>
        <v/>
      </c>
      <c r="L1604" s="2197" t="str">
        <f>IF($G1604=0,"",IFERROR(_xll.ciqfunctions.udf.CIQ($G1604,$I1604,L$1557,Valuation_Date_GC,ReportType,DataMode,$H1604,FXMode)*Scale,"n/a"))</f>
        <v/>
      </c>
      <c r="M1604" s="2197" t="str">
        <f>IF($G1604=0,"",IFERROR(_xll.ciqfunctions.udf.CIQ($G1604,$I1604,M$1557,Valuation_Date_GC,ReportType,DataMode,$H1604,FXMode)*Scale,"n/a"))</f>
        <v/>
      </c>
      <c r="N1604" s="2197" t="str">
        <f>IF($G1604=0,"",IFERROR(_xll.ciqfunctions.udf.CIQ($G1604,$I1604,N$1557,Valuation_Date_GC,ReportType,DataMode,$H1604,FXMode)*Scale,"n/a"))</f>
        <v/>
      </c>
      <c r="O1604" s="2197" t="str">
        <f>IF($G1604=0,"",IFERROR(_xll.ciqfunctions.udf.CIQ($G1604,$I1604,O$1557,Valuation_Date_GC,ReportType,DataMode,$H1604,FXMode)*Scale,"n/a"))</f>
        <v/>
      </c>
      <c r="P1604" s="2197" t="str">
        <f>IF($G1604=0,"",IFERROR(_xll.ciqfunctions.udf.CIQ($G1604,$I1604,P$1557,Valuation_Date_GC,ReportType,DataMode,$H1604,FXMode)*Scale,"n/a"))</f>
        <v/>
      </c>
      <c r="Q1604" s="2197" t="str">
        <f>IF($G1604=0,"",IFERROR(_xll.ciqfunctions.udf.CIQ($G1604,$I1604,Q$1557,Valuation_Date_GC,ReportType,DataMode,$H1604,FXMode)*Scale,"n/a"))</f>
        <v/>
      </c>
      <c r="R1604" s="2197" t="str">
        <f>IF($G1604=0,"",IFERROR(_xll.ciqfunctions.udf.CIQ($G1604,$I1604,R$1557,Valuation_Date_GC,ReportType,DataMode,$H1604,FXMode)*Scale,"n/a"))</f>
        <v/>
      </c>
      <c r="S1604" s="2197" t="str">
        <f>IF($G1604=0,"",IFERROR(_xll.ciqfunctions.udf.CIQ($G1604,$I1604,S$1557,Valuation_Date_GC,ReportType,DataMode,$H1604,FXMode)*Scale,"n/a"))</f>
        <v/>
      </c>
      <c r="T1604" s="2197" t="str">
        <f>IF($G1604=0,"",IFERROR(_xll.ciqfunctions.udf.CIQ($G1604,$I1604,T$1557,Valuation_Date_GC,ReportType,DataMode,$H1604,FXMode)*Scale,"n/a"))</f>
        <v/>
      </c>
      <c r="U1604" s="2197" t="str">
        <f>IF($G1604=0,"",IFERROR(_xll.ciqfunctions.udf.CIQ($G1604,$I1604,U$1557,Valuation_Date_GC,ReportType,DataMode,$H1604,FXMode)*Scale,"n/a"))</f>
        <v/>
      </c>
      <c r="V1604" s="2197" t="str">
        <f>IF($G1604=0,"",IFERROR(_xll.ciqfunctions.udf.CIQ($G1604,$I1604,V$1557,Valuation_Date_GC,ReportType,DataMode,$H1604,FXMode)*Scale,"n/a"))</f>
        <v/>
      </c>
      <c r="W1604" s="1479"/>
      <c r="X1604" s="255"/>
      <c r="Y1604" s="255"/>
      <c r="Z1604" s="2060"/>
      <c r="AA1604" s="2060"/>
      <c r="AB1604" s="2060"/>
      <c r="AC1604" s="2060"/>
      <c r="AD1604" s="2060"/>
      <c r="AE1604" s="2060"/>
      <c r="AF1604" s="2060"/>
      <c r="AG1604" s="2060"/>
      <c r="AH1604" s="2060"/>
      <c r="AI1604" s="2060"/>
      <c r="AJ1604" s="2060"/>
      <c r="AK1604" s="2060"/>
      <c r="AL1604" s="2060"/>
      <c r="AM1604" s="2060"/>
      <c r="AN1604" s="2060"/>
      <c r="AO1604" s="2060"/>
      <c r="AP1604" s="2060"/>
      <c r="AQ1604" s="2060"/>
      <c r="AR1604" s="2060"/>
      <c r="AS1604" s="2060"/>
      <c r="AT1604" s="2060"/>
      <c r="AU1604" s="2060"/>
      <c r="AV1604" s="2060"/>
      <c r="AW1604" s="2060"/>
      <c r="AX1604" s="2060"/>
      <c r="AY1604" s="2060"/>
      <c r="AZ1604" s="2060"/>
      <c r="BA1604" s="2060"/>
      <c r="BB1604" s="2060"/>
      <c r="BC1604" s="2060"/>
      <c r="BD1604" s="2060"/>
      <c r="BE1604" s="2060"/>
      <c r="BF1604" s="2060"/>
      <c r="BG1604" s="2060"/>
      <c r="BH1604" s="2060"/>
      <c r="BI1604" s="2060"/>
      <c r="BJ1604" s="2060"/>
      <c r="BK1604" s="2060"/>
      <c r="BL1604" s="2060"/>
      <c r="BM1604" s="2060"/>
      <c r="BN1604" s="2060"/>
      <c r="BO1604" s="2060"/>
      <c r="BP1604" s="2060"/>
      <c r="BQ1604" s="2060"/>
      <c r="BR1604" s="2060"/>
      <c r="BS1604" s="2060"/>
      <c r="BT1604" s="2060"/>
      <c r="BU1604" s="2060"/>
      <c r="BV1604" s="2060"/>
      <c r="BW1604" s="2060"/>
      <c r="BX1604" s="2060"/>
      <c r="BY1604" s="2060"/>
      <c r="BZ1604" s="2060"/>
      <c r="CA1604" s="2060"/>
      <c r="CB1604" s="2060"/>
      <c r="CC1604" s="2060"/>
      <c r="CD1604" s="2060"/>
      <c r="CE1604" s="2060"/>
      <c r="CF1604" s="2060"/>
      <c r="CG1604" s="2060"/>
      <c r="CH1604" s="2060"/>
      <c r="CI1604" s="2060"/>
      <c r="CJ1604" s="2060"/>
      <c r="CK1604" s="2060"/>
      <c r="CL1604" s="2060"/>
      <c r="CM1604" s="2060"/>
      <c r="CN1604" s="2060"/>
      <c r="CO1604" s="2060"/>
      <c r="CP1604" s="2060"/>
      <c r="CQ1604" s="2060"/>
      <c r="CR1604" s="2060"/>
      <c r="CS1604" s="2060"/>
      <c r="CT1604" s="2060"/>
      <c r="CU1604" s="2060"/>
      <c r="CV1604" s="2060"/>
      <c r="CW1604" s="2060"/>
      <c r="CX1604" s="2060"/>
      <c r="CY1604" s="2060"/>
      <c r="CZ1604" s="2060"/>
      <c r="DA1604" s="2060"/>
      <c r="DB1604" s="2060"/>
      <c r="DC1604" s="2060"/>
      <c r="DD1604" s="2060"/>
      <c r="DE1604" s="2060"/>
      <c r="DF1604" s="2060"/>
      <c r="DG1604" s="2060"/>
      <c r="DH1604" s="2060"/>
      <c r="DI1604" s="2060"/>
      <c r="DJ1604" s="2060"/>
      <c r="DK1604" s="2060"/>
      <c r="DL1604" s="2060"/>
      <c r="DM1604" s="2060"/>
      <c r="DN1604" s="2060"/>
      <c r="DO1604" s="2060"/>
      <c r="DP1604" s="2060"/>
      <c r="DQ1604" s="2060"/>
      <c r="DR1604" s="2060"/>
      <c r="DS1604" s="2060"/>
      <c r="DT1604" s="2060"/>
      <c r="DU1604" s="2060"/>
      <c r="DV1604" s="2060"/>
      <c r="DW1604" s="2060"/>
      <c r="DX1604" s="2060"/>
      <c r="DY1604" s="2060"/>
      <c r="DZ1604" s="2060"/>
      <c r="EA1604" s="2060"/>
      <c r="EB1604" s="2060"/>
      <c r="EC1604" s="2060"/>
      <c r="ED1604" s="2060"/>
      <c r="EE1604" s="2060"/>
      <c r="EF1604" s="2060"/>
      <c r="EG1604" s="2060"/>
      <c r="EH1604" s="2060"/>
      <c r="EI1604" s="2060"/>
      <c r="EJ1604" s="2060"/>
      <c r="EK1604" s="2060"/>
      <c r="EL1604" s="2060"/>
      <c r="EM1604" s="2060"/>
      <c r="EN1604" s="2060"/>
      <c r="EO1604" s="2060"/>
      <c r="EP1604" s="2060"/>
      <c r="EQ1604" s="2060"/>
      <c r="ER1604" s="2060"/>
      <c r="ES1604" s="2060"/>
      <c r="ET1604" s="2060"/>
      <c r="EU1604" s="2060"/>
      <c r="EV1604" s="2060"/>
      <c r="EW1604" s="2060"/>
      <c r="EX1604" s="2060"/>
      <c r="EY1604" s="2060"/>
      <c r="EZ1604" s="2060"/>
      <c r="FA1604" s="2060"/>
      <c r="FB1604" s="2060"/>
      <c r="FC1604" s="2060"/>
      <c r="FD1604" s="2060"/>
      <c r="FE1604" s="2060"/>
      <c r="FF1604" s="2060"/>
      <c r="FG1604" s="2060"/>
      <c r="FH1604" s="2060"/>
      <c r="FI1604" s="2060"/>
      <c r="FJ1604" s="2060"/>
      <c r="FK1604" s="2060"/>
      <c r="FL1604" s="2060"/>
      <c r="FM1604" s="2060"/>
      <c r="FN1604" s="2060"/>
      <c r="FO1604" s="2060"/>
      <c r="FP1604" s="2060"/>
      <c r="FQ1604" s="2060"/>
      <c r="FR1604" s="2060"/>
      <c r="FS1604" s="2060"/>
      <c r="FT1604" s="2060"/>
      <c r="FU1604" s="2060"/>
      <c r="FV1604" s="2060"/>
      <c r="FW1604" s="2060"/>
      <c r="FX1604" s="2060"/>
      <c r="FY1604" s="2060"/>
      <c r="FZ1604" s="2060"/>
      <c r="GA1604" s="2060"/>
      <c r="GB1604" s="2060"/>
      <c r="GC1604" s="2060"/>
      <c r="GD1604" s="2060"/>
      <c r="GE1604" s="2060"/>
      <c r="GF1604" s="2060"/>
      <c r="GG1604" s="2060"/>
      <c r="GH1604" s="2060"/>
      <c r="GI1604" s="2060"/>
      <c r="GJ1604" s="2060"/>
      <c r="GK1604" s="2060"/>
      <c r="GL1604" s="2060"/>
      <c r="GM1604" s="2060"/>
      <c r="GN1604" s="2060"/>
      <c r="GO1604" s="2060"/>
      <c r="GP1604" s="2060"/>
      <c r="GQ1604" s="2060"/>
      <c r="GR1604" s="2060"/>
      <c r="GS1604" s="2060"/>
      <c r="GT1604" s="2060"/>
      <c r="GU1604" s="2060"/>
      <c r="GV1604" s="2060"/>
      <c r="GW1604" s="2060"/>
      <c r="GX1604" s="2060"/>
      <c r="GY1604" s="2060"/>
      <c r="GZ1604" s="2060"/>
      <c r="HA1604" s="2060"/>
      <c r="HB1604" s="2060"/>
      <c r="HC1604" s="2060"/>
      <c r="HD1604" s="2060"/>
      <c r="HE1604" s="2060"/>
      <c r="HF1604" s="2060"/>
      <c r="HG1604" s="2060"/>
      <c r="HH1604" s="2060"/>
      <c r="HI1604" s="2060"/>
      <c r="HJ1604" s="2060"/>
      <c r="HK1604" s="2060"/>
      <c r="HL1604" s="2060"/>
      <c r="HM1604" s="2060"/>
      <c r="HN1604" s="2060"/>
      <c r="HO1604" s="2060"/>
      <c r="HP1604" s="2060"/>
      <c r="HQ1604" s="2060"/>
      <c r="HR1604" s="2060"/>
      <c r="HS1604" s="2060"/>
      <c r="HT1604" s="2060"/>
      <c r="HU1604" s="2060"/>
      <c r="HV1604" s="2060"/>
      <c r="HW1604" s="2060"/>
      <c r="HX1604" s="2060"/>
      <c r="HY1604" s="2060"/>
      <c r="HZ1604" s="2060"/>
      <c r="IA1604" s="2060"/>
      <c r="IB1604" s="2060"/>
      <c r="IC1604" s="2060"/>
      <c r="ID1604" s="2060"/>
      <c r="IE1604" s="2060"/>
      <c r="IF1604" s="2060"/>
      <c r="IG1604" s="2060"/>
      <c r="IH1604" s="2060"/>
      <c r="II1604" s="2060"/>
      <c r="IJ1604" s="2060"/>
      <c r="IK1604" s="2060"/>
      <c r="IL1604" s="2060"/>
      <c r="IM1604" s="2060"/>
      <c r="IN1604" s="2060"/>
      <c r="IO1604" s="2060"/>
      <c r="IP1604" s="2060"/>
      <c r="IQ1604" s="2060"/>
      <c r="IR1604" s="2060"/>
      <c r="IS1604" s="2060"/>
      <c r="IT1604" s="2060"/>
      <c r="IU1604" s="2060"/>
      <c r="IV1604" s="2060"/>
      <c r="IW1604" s="2060"/>
      <c r="IX1604" s="2060"/>
      <c r="IY1604" s="2060"/>
      <c r="IZ1604" s="2060"/>
      <c r="JA1604" s="2060"/>
      <c r="JB1604" s="2060"/>
      <c r="JC1604" s="2060"/>
      <c r="JD1604" s="2060"/>
      <c r="JE1604" s="2060"/>
      <c r="JF1604" s="2060"/>
      <c r="JG1604" s="2060"/>
      <c r="JH1604" s="2060"/>
      <c r="JI1604" s="2060"/>
      <c r="JJ1604" s="2060"/>
      <c r="JK1604" s="2060"/>
      <c r="JL1604" s="2060"/>
      <c r="JM1604" s="2060"/>
      <c r="JN1604" s="2060"/>
      <c r="JO1604" s="2060"/>
      <c r="JP1604" s="2060"/>
      <c r="JQ1604" s="2060"/>
      <c r="JR1604" s="2060"/>
      <c r="JS1604" s="2060"/>
      <c r="JT1604" s="2060"/>
      <c r="JU1604" s="2060"/>
      <c r="JV1604" s="2060"/>
      <c r="JW1604" s="2060"/>
      <c r="JX1604" s="2060"/>
      <c r="JY1604" s="2060"/>
      <c r="JZ1604" s="2060"/>
      <c r="KA1604" s="2060"/>
      <c r="KB1604" s="2060"/>
      <c r="KC1604" s="2060"/>
      <c r="KD1604" s="2060"/>
      <c r="KE1604" s="2060"/>
      <c r="KF1604" s="2060"/>
      <c r="KG1604" s="2060"/>
      <c r="KH1604" s="2060"/>
      <c r="KI1604" s="2060"/>
      <c r="KJ1604" s="2060"/>
      <c r="KK1604" s="2060"/>
      <c r="KL1604" s="2060"/>
      <c r="KM1604" s="2060"/>
      <c r="KN1604" s="2060"/>
      <c r="KO1604" s="2060"/>
      <c r="KP1604" s="2060"/>
      <c r="KQ1604" s="2060"/>
      <c r="KR1604" s="2060"/>
      <c r="KS1604" s="2060"/>
      <c r="KT1604" s="2060"/>
      <c r="KU1604" s="2060"/>
      <c r="KV1604" s="2060"/>
      <c r="KW1604" s="2060"/>
      <c r="KX1604" s="2060"/>
      <c r="KY1604" s="2060"/>
      <c r="KZ1604" s="2060"/>
      <c r="LA1604" s="2060"/>
      <c r="LB1604" s="2060"/>
      <c r="LC1604" s="2060"/>
      <c r="LD1604" s="2060"/>
      <c r="LE1604" s="2060"/>
      <c r="LF1604" s="2060"/>
      <c r="LG1604" s="2060"/>
      <c r="LH1604" s="2060"/>
    </row>
    <row r="1605" spans="1:320" s="1499" customFormat="1" ht="13.9">
      <c r="A1605" s="269" t="str">
        <f t="shared" si="440"/>
        <v>n</v>
      </c>
      <c r="B1605" s="2060"/>
      <c r="C1605" s="2060"/>
      <c r="D1605" s="2060"/>
      <c r="E1605" s="1661">
        <v>18</v>
      </c>
      <c r="F1605" s="1353" t="str">
        <f>F$146</f>
        <v>--</v>
      </c>
      <c r="G1605" s="128">
        <f>G$146</f>
        <v>0</v>
      </c>
      <c r="H1605" s="128" t="str">
        <f>H$146</f>
        <v>--</v>
      </c>
      <c r="I1605" s="89" t="s">
        <v>781</v>
      </c>
      <c r="J1605" s="2197" t="str">
        <f>IF($G1605=0,"",IFERROR(_xll.ciqfunctions.udf.CIQ($G1605,$I1605,J$1557,Valuation_Date_GC,ReportType,DataMode,$H1605,FXMode)*Scale,"n/a"))</f>
        <v/>
      </c>
      <c r="K1605" s="2197" t="str">
        <f>IF($G1605=0,"",IFERROR(_xll.ciqfunctions.udf.CIQ($G1605,$I1605,K$1557,Valuation_Date_GC,ReportType,DataMode,$H1605,FXMode)*Scale,"n/a"))</f>
        <v/>
      </c>
      <c r="L1605" s="2197" t="str">
        <f>IF($G1605=0,"",IFERROR(_xll.ciqfunctions.udf.CIQ($G1605,$I1605,L$1557,Valuation_Date_GC,ReportType,DataMode,$H1605,FXMode)*Scale,"n/a"))</f>
        <v/>
      </c>
      <c r="M1605" s="2197" t="str">
        <f>IF($G1605=0,"",IFERROR(_xll.ciqfunctions.udf.CIQ($G1605,$I1605,M$1557,Valuation_Date_GC,ReportType,DataMode,$H1605,FXMode)*Scale,"n/a"))</f>
        <v/>
      </c>
      <c r="N1605" s="2197" t="str">
        <f>IF($G1605=0,"",IFERROR(_xll.ciqfunctions.udf.CIQ($G1605,$I1605,N$1557,Valuation_Date_GC,ReportType,DataMode,$H1605,FXMode)*Scale,"n/a"))</f>
        <v/>
      </c>
      <c r="O1605" s="2197" t="str">
        <f>IF($G1605=0,"",IFERROR(_xll.ciqfunctions.udf.CIQ($G1605,$I1605,O$1557,Valuation_Date_GC,ReportType,DataMode,$H1605,FXMode)*Scale,"n/a"))</f>
        <v/>
      </c>
      <c r="P1605" s="2197" t="str">
        <f>IF($G1605=0,"",IFERROR(_xll.ciqfunctions.udf.CIQ($G1605,$I1605,P$1557,Valuation_Date_GC,ReportType,DataMode,$H1605,FXMode)*Scale,"n/a"))</f>
        <v/>
      </c>
      <c r="Q1605" s="2197" t="str">
        <f>IF($G1605=0,"",IFERROR(_xll.ciqfunctions.udf.CIQ($G1605,$I1605,Q$1557,Valuation_Date_GC,ReportType,DataMode,$H1605,FXMode)*Scale,"n/a"))</f>
        <v/>
      </c>
      <c r="R1605" s="2197" t="str">
        <f>IF($G1605=0,"",IFERROR(_xll.ciqfunctions.udf.CIQ($G1605,$I1605,R$1557,Valuation_Date_GC,ReportType,DataMode,$H1605,FXMode)*Scale,"n/a"))</f>
        <v/>
      </c>
      <c r="S1605" s="2197" t="str">
        <f>IF($G1605=0,"",IFERROR(_xll.ciqfunctions.udf.CIQ($G1605,$I1605,S$1557,Valuation_Date_GC,ReportType,DataMode,$H1605,FXMode)*Scale,"n/a"))</f>
        <v/>
      </c>
      <c r="T1605" s="2197" t="str">
        <f>IF($G1605=0,"",IFERROR(_xll.ciqfunctions.udf.CIQ($G1605,$I1605,T$1557,Valuation_Date_GC,ReportType,DataMode,$H1605,FXMode)*Scale,"n/a"))</f>
        <v/>
      </c>
      <c r="U1605" s="2197" t="str">
        <f>IF($G1605=0,"",IFERROR(_xll.ciqfunctions.udf.CIQ($G1605,$I1605,U$1557,Valuation_Date_GC,ReportType,DataMode,$H1605,FXMode)*Scale,"n/a"))</f>
        <v/>
      </c>
      <c r="V1605" s="2197" t="str">
        <f>IF($G1605=0,"",IFERROR(_xll.ciqfunctions.udf.CIQ($G1605,$I1605,V$1557,Valuation_Date_GC,ReportType,DataMode,$H1605,FXMode)*Scale,"n/a"))</f>
        <v/>
      </c>
      <c r="W1605" s="1479"/>
      <c r="X1605" s="255"/>
      <c r="Y1605" s="255"/>
      <c r="Z1605" s="2060"/>
      <c r="AA1605" s="2060"/>
      <c r="AB1605" s="2060"/>
      <c r="AC1605" s="2060"/>
      <c r="AD1605" s="2060"/>
      <c r="AE1605" s="2060"/>
      <c r="AF1605" s="2060"/>
      <c r="AG1605" s="2060"/>
      <c r="AH1605" s="2060"/>
      <c r="AI1605" s="2060"/>
      <c r="AJ1605" s="2060"/>
      <c r="AK1605" s="2060"/>
      <c r="AL1605" s="2060"/>
      <c r="AM1605" s="2060"/>
      <c r="AN1605" s="2060"/>
      <c r="AO1605" s="2060"/>
      <c r="AP1605" s="2060"/>
      <c r="AQ1605" s="2060"/>
      <c r="AR1605" s="2060"/>
      <c r="AS1605" s="2060"/>
      <c r="AT1605" s="2060"/>
      <c r="AU1605" s="2060"/>
      <c r="AV1605" s="2060"/>
      <c r="AW1605" s="2060"/>
      <c r="AX1605" s="2060"/>
      <c r="AY1605" s="2060"/>
      <c r="AZ1605" s="2060"/>
      <c r="BA1605" s="2060"/>
      <c r="BB1605" s="2060"/>
      <c r="BC1605" s="2060"/>
      <c r="BD1605" s="2060"/>
      <c r="BE1605" s="2060"/>
      <c r="BF1605" s="2060"/>
      <c r="BG1605" s="2060"/>
      <c r="BH1605" s="2060"/>
      <c r="BI1605" s="2060"/>
      <c r="BJ1605" s="2060"/>
      <c r="BK1605" s="2060"/>
      <c r="BL1605" s="2060"/>
      <c r="BM1605" s="2060"/>
      <c r="BN1605" s="2060"/>
      <c r="BO1605" s="2060"/>
      <c r="BP1605" s="2060"/>
      <c r="BQ1605" s="2060"/>
      <c r="BR1605" s="2060"/>
      <c r="BS1605" s="2060"/>
      <c r="BT1605" s="2060"/>
      <c r="BU1605" s="2060"/>
      <c r="BV1605" s="2060"/>
      <c r="BW1605" s="2060"/>
      <c r="BX1605" s="2060"/>
      <c r="BY1605" s="2060"/>
      <c r="BZ1605" s="2060"/>
      <c r="CA1605" s="2060"/>
      <c r="CB1605" s="2060"/>
      <c r="CC1605" s="2060"/>
      <c r="CD1605" s="2060"/>
      <c r="CE1605" s="2060"/>
      <c r="CF1605" s="2060"/>
      <c r="CG1605" s="2060"/>
      <c r="CH1605" s="2060"/>
      <c r="CI1605" s="2060"/>
      <c r="CJ1605" s="2060"/>
      <c r="CK1605" s="2060"/>
      <c r="CL1605" s="2060"/>
      <c r="CM1605" s="2060"/>
      <c r="CN1605" s="2060"/>
      <c r="CO1605" s="2060"/>
      <c r="CP1605" s="2060"/>
      <c r="CQ1605" s="2060"/>
      <c r="CR1605" s="2060"/>
      <c r="CS1605" s="2060"/>
      <c r="CT1605" s="2060"/>
      <c r="CU1605" s="2060"/>
      <c r="CV1605" s="2060"/>
      <c r="CW1605" s="2060"/>
      <c r="CX1605" s="2060"/>
      <c r="CY1605" s="2060"/>
      <c r="CZ1605" s="2060"/>
      <c r="DA1605" s="2060"/>
      <c r="DB1605" s="2060"/>
      <c r="DC1605" s="2060"/>
      <c r="DD1605" s="2060"/>
      <c r="DE1605" s="2060"/>
      <c r="DF1605" s="2060"/>
      <c r="DG1605" s="2060"/>
      <c r="DH1605" s="2060"/>
      <c r="DI1605" s="2060"/>
      <c r="DJ1605" s="2060"/>
      <c r="DK1605" s="2060"/>
      <c r="DL1605" s="2060"/>
      <c r="DM1605" s="2060"/>
      <c r="DN1605" s="2060"/>
      <c r="DO1605" s="2060"/>
      <c r="DP1605" s="2060"/>
      <c r="DQ1605" s="2060"/>
      <c r="DR1605" s="2060"/>
      <c r="DS1605" s="2060"/>
      <c r="DT1605" s="2060"/>
      <c r="DU1605" s="2060"/>
      <c r="DV1605" s="2060"/>
      <c r="DW1605" s="2060"/>
      <c r="DX1605" s="2060"/>
      <c r="DY1605" s="2060"/>
      <c r="DZ1605" s="2060"/>
      <c r="EA1605" s="2060"/>
      <c r="EB1605" s="2060"/>
      <c r="EC1605" s="2060"/>
      <c r="ED1605" s="2060"/>
      <c r="EE1605" s="2060"/>
      <c r="EF1605" s="2060"/>
      <c r="EG1605" s="2060"/>
      <c r="EH1605" s="2060"/>
      <c r="EI1605" s="2060"/>
      <c r="EJ1605" s="2060"/>
      <c r="EK1605" s="2060"/>
      <c r="EL1605" s="2060"/>
      <c r="EM1605" s="2060"/>
      <c r="EN1605" s="2060"/>
      <c r="EO1605" s="2060"/>
      <c r="EP1605" s="2060"/>
      <c r="EQ1605" s="2060"/>
      <c r="ER1605" s="2060"/>
      <c r="ES1605" s="2060"/>
      <c r="ET1605" s="2060"/>
      <c r="EU1605" s="2060"/>
      <c r="EV1605" s="2060"/>
      <c r="EW1605" s="2060"/>
      <c r="EX1605" s="2060"/>
      <c r="EY1605" s="2060"/>
      <c r="EZ1605" s="2060"/>
      <c r="FA1605" s="2060"/>
      <c r="FB1605" s="2060"/>
      <c r="FC1605" s="2060"/>
      <c r="FD1605" s="2060"/>
      <c r="FE1605" s="2060"/>
      <c r="FF1605" s="2060"/>
      <c r="FG1605" s="2060"/>
      <c r="FH1605" s="2060"/>
      <c r="FI1605" s="2060"/>
      <c r="FJ1605" s="2060"/>
      <c r="FK1605" s="2060"/>
      <c r="FL1605" s="2060"/>
      <c r="FM1605" s="2060"/>
      <c r="FN1605" s="2060"/>
      <c r="FO1605" s="2060"/>
      <c r="FP1605" s="2060"/>
      <c r="FQ1605" s="2060"/>
      <c r="FR1605" s="2060"/>
      <c r="FS1605" s="2060"/>
      <c r="FT1605" s="2060"/>
      <c r="FU1605" s="2060"/>
      <c r="FV1605" s="2060"/>
      <c r="FW1605" s="2060"/>
      <c r="FX1605" s="2060"/>
      <c r="FY1605" s="2060"/>
      <c r="FZ1605" s="2060"/>
      <c r="GA1605" s="2060"/>
      <c r="GB1605" s="2060"/>
      <c r="GC1605" s="2060"/>
      <c r="GD1605" s="2060"/>
      <c r="GE1605" s="2060"/>
      <c r="GF1605" s="2060"/>
      <c r="GG1605" s="2060"/>
      <c r="GH1605" s="2060"/>
      <c r="GI1605" s="2060"/>
      <c r="GJ1605" s="2060"/>
      <c r="GK1605" s="2060"/>
      <c r="GL1605" s="2060"/>
      <c r="GM1605" s="2060"/>
      <c r="GN1605" s="2060"/>
      <c r="GO1605" s="2060"/>
      <c r="GP1605" s="2060"/>
      <c r="GQ1605" s="2060"/>
      <c r="GR1605" s="2060"/>
      <c r="GS1605" s="2060"/>
      <c r="GT1605" s="2060"/>
      <c r="GU1605" s="2060"/>
      <c r="GV1605" s="2060"/>
      <c r="GW1605" s="2060"/>
      <c r="GX1605" s="2060"/>
      <c r="GY1605" s="2060"/>
      <c r="GZ1605" s="2060"/>
      <c r="HA1605" s="2060"/>
      <c r="HB1605" s="2060"/>
      <c r="HC1605" s="2060"/>
      <c r="HD1605" s="2060"/>
      <c r="HE1605" s="2060"/>
      <c r="HF1605" s="2060"/>
      <c r="HG1605" s="2060"/>
      <c r="HH1605" s="2060"/>
      <c r="HI1605" s="2060"/>
      <c r="HJ1605" s="2060"/>
      <c r="HK1605" s="2060"/>
      <c r="HL1605" s="2060"/>
      <c r="HM1605" s="2060"/>
      <c r="HN1605" s="2060"/>
      <c r="HO1605" s="2060"/>
      <c r="HP1605" s="2060"/>
      <c r="HQ1605" s="2060"/>
      <c r="HR1605" s="2060"/>
      <c r="HS1605" s="2060"/>
      <c r="HT1605" s="2060"/>
      <c r="HU1605" s="2060"/>
      <c r="HV1605" s="2060"/>
      <c r="HW1605" s="2060"/>
      <c r="HX1605" s="2060"/>
      <c r="HY1605" s="2060"/>
      <c r="HZ1605" s="2060"/>
      <c r="IA1605" s="2060"/>
      <c r="IB1605" s="2060"/>
      <c r="IC1605" s="2060"/>
      <c r="ID1605" s="2060"/>
      <c r="IE1605" s="2060"/>
      <c r="IF1605" s="2060"/>
      <c r="IG1605" s="2060"/>
      <c r="IH1605" s="2060"/>
      <c r="II1605" s="2060"/>
      <c r="IJ1605" s="2060"/>
      <c r="IK1605" s="2060"/>
      <c r="IL1605" s="2060"/>
      <c r="IM1605" s="2060"/>
      <c r="IN1605" s="2060"/>
      <c r="IO1605" s="2060"/>
      <c r="IP1605" s="2060"/>
      <c r="IQ1605" s="2060"/>
      <c r="IR1605" s="2060"/>
      <c r="IS1605" s="2060"/>
      <c r="IT1605" s="2060"/>
      <c r="IU1605" s="2060"/>
      <c r="IV1605" s="2060"/>
      <c r="IW1605" s="2060"/>
      <c r="IX1605" s="2060"/>
      <c r="IY1605" s="2060"/>
      <c r="IZ1605" s="2060"/>
      <c r="JA1605" s="2060"/>
      <c r="JB1605" s="2060"/>
      <c r="JC1605" s="2060"/>
      <c r="JD1605" s="2060"/>
      <c r="JE1605" s="2060"/>
      <c r="JF1605" s="2060"/>
      <c r="JG1605" s="2060"/>
      <c r="JH1605" s="2060"/>
      <c r="JI1605" s="2060"/>
      <c r="JJ1605" s="2060"/>
      <c r="JK1605" s="2060"/>
      <c r="JL1605" s="2060"/>
      <c r="JM1605" s="2060"/>
      <c r="JN1605" s="2060"/>
      <c r="JO1605" s="2060"/>
      <c r="JP1605" s="2060"/>
      <c r="JQ1605" s="2060"/>
      <c r="JR1605" s="2060"/>
      <c r="JS1605" s="2060"/>
      <c r="JT1605" s="2060"/>
      <c r="JU1605" s="2060"/>
      <c r="JV1605" s="2060"/>
      <c r="JW1605" s="2060"/>
      <c r="JX1605" s="2060"/>
      <c r="JY1605" s="2060"/>
      <c r="JZ1605" s="2060"/>
      <c r="KA1605" s="2060"/>
      <c r="KB1605" s="2060"/>
      <c r="KC1605" s="2060"/>
      <c r="KD1605" s="2060"/>
      <c r="KE1605" s="2060"/>
      <c r="KF1605" s="2060"/>
      <c r="KG1605" s="2060"/>
      <c r="KH1605" s="2060"/>
      <c r="KI1605" s="2060"/>
      <c r="KJ1605" s="2060"/>
      <c r="KK1605" s="2060"/>
      <c r="KL1605" s="2060"/>
      <c r="KM1605" s="2060"/>
      <c r="KN1605" s="2060"/>
      <c r="KO1605" s="2060"/>
      <c r="KP1605" s="2060"/>
      <c r="KQ1605" s="2060"/>
      <c r="KR1605" s="2060"/>
      <c r="KS1605" s="2060"/>
      <c r="KT1605" s="2060"/>
      <c r="KU1605" s="2060"/>
      <c r="KV1605" s="2060"/>
      <c r="KW1605" s="2060"/>
      <c r="KX1605" s="2060"/>
      <c r="KY1605" s="2060"/>
      <c r="KZ1605" s="2060"/>
      <c r="LA1605" s="2060"/>
      <c r="LB1605" s="2060"/>
      <c r="LC1605" s="2060"/>
      <c r="LD1605" s="2060"/>
      <c r="LE1605" s="2060"/>
      <c r="LF1605" s="2060"/>
      <c r="LG1605" s="2060"/>
      <c r="LH1605" s="2060"/>
    </row>
    <row r="1606" spans="1:320" s="1499" customFormat="1" ht="13.9">
      <c r="A1606" s="269" t="str">
        <f t="shared" si="440"/>
        <v>n</v>
      </c>
      <c r="B1606" s="2060"/>
      <c r="C1606" s="2060"/>
      <c r="D1606" s="2060"/>
      <c r="E1606" s="1661">
        <v>19</v>
      </c>
      <c r="F1606" s="1353" t="str">
        <f>F$147</f>
        <v>--</v>
      </c>
      <c r="G1606" s="128">
        <f>G$147</f>
        <v>0</v>
      </c>
      <c r="H1606" s="128" t="str">
        <f>H$147</f>
        <v>--</v>
      </c>
      <c r="I1606" s="89" t="s">
        <v>781</v>
      </c>
      <c r="J1606" s="2197" t="str">
        <f>IF($G1606=0,"",IFERROR(_xll.ciqfunctions.udf.CIQ($G1606,$I1606,J$1557,Valuation_Date_GC,ReportType,DataMode,$H1606,FXMode)*Scale,"n/a"))</f>
        <v/>
      </c>
      <c r="K1606" s="2197" t="str">
        <f>IF($G1606=0,"",IFERROR(_xll.ciqfunctions.udf.CIQ($G1606,$I1606,K$1557,Valuation_Date_GC,ReportType,DataMode,$H1606,FXMode)*Scale,"n/a"))</f>
        <v/>
      </c>
      <c r="L1606" s="2197" t="str">
        <f>IF($G1606=0,"",IFERROR(_xll.ciqfunctions.udf.CIQ($G1606,$I1606,L$1557,Valuation_Date_GC,ReportType,DataMode,$H1606,FXMode)*Scale,"n/a"))</f>
        <v/>
      </c>
      <c r="M1606" s="2197" t="str">
        <f>IF($G1606=0,"",IFERROR(_xll.ciqfunctions.udf.CIQ($G1606,$I1606,M$1557,Valuation_Date_GC,ReportType,DataMode,$H1606,FXMode)*Scale,"n/a"))</f>
        <v/>
      </c>
      <c r="N1606" s="2197" t="str">
        <f>IF($G1606=0,"",IFERROR(_xll.ciqfunctions.udf.CIQ($G1606,$I1606,N$1557,Valuation_Date_GC,ReportType,DataMode,$H1606,FXMode)*Scale,"n/a"))</f>
        <v/>
      </c>
      <c r="O1606" s="2197" t="str">
        <f>IF($G1606=0,"",IFERROR(_xll.ciqfunctions.udf.CIQ($G1606,$I1606,O$1557,Valuation_Date_GC,ReportType,DataMode,$H1606,FXMode)*Scale,"n/a"))</f>
        <v/>
      </c>
      <c r="P1606" s="2197" t="str">
        <f>IF($G1606=0,"",IFERROR(_xll.ciqfunctions.udf.CIQ($G1606,$I1606,P$1557,Valuation_Date_GC,ReportType,DataMode,$H1606,FXMode)*Scale,"n/a"))</f>
        <v/>
      </c>
      <c r="Q1606" s="2197" t="str">
        <f>IF($G1606=0,"",IFERROR(_xll.ciqfunctions.udf.CIQ($G1606,$I1606,Q$1557,Valuation_Date_GC,ReportType,DataMode,$H1606,FXMode)*Scale,"n/a"))</f>
        <v/>
      </c>
      <c r="R1606" s="2197" t="str">
        <f>IF($G1606=0,"",IFERROR(_xll.ciqfunctions.udf.CIQ($G1606,$I1606,R$1557,Valuation_Date_GC,ReportType,DataMode,$H1606,FXMode)*Scale,"n/a"))</f>
        <v/>
      </c>
      <c r="S1606" s="2197" t="str">
        <f>IF($G1606=0,"",IFERROR(_xll.ciqfunctions.udf.CIQ($G1606,$I1606,S$1557,Valuation_Date_GC,ReportType,DataMode,$H1606,FXMode)*Scale,"n/a"))</f>
        <v/>
      </c>
      <c r="T1606" s="2197" t="str">
        <f>IF($G1606=0,"",IFERROR(_xll.ciqfunctions.udf.CIQ($G1606,$I1606,T$1557,Valuation_Date_GC,ReportType,DataMode,$H1606,FXMode)*Scale,"n/a"))</f>
        <v/>
      </c>
      <c r="U1606" s="2197" t="str">
        <f>IF($G1606=0,"",IFERROR(_xll.ciqfunctions.udf.CIQ($G1606,$I1606,U$1557,Valuation_Date_GC,ReportType,DataMode,$H1606,FXMode)*Scale,"n/a"))</f>
        <v/>
      </c>
      <c r="V1606" s="2197" t="str">
        <f>IF($G1606=0,"",IFERROR(_xll.ciqfunctions.udf.CIQ($G1606,$I1606,V$1557,Valuation_Date_GC,ReportType,DataMode,$H1606,FXMode)*Scale,"n/a"))</f>
        <v/>
      </c>
      <c r="W1606" s="1479"/>
      <c r="X1606" s="255"/>
      <c r="Y1606" s="255"/>
      <c r="Z1606" s="2060"/>
      <c r="AA1606" s="2060"/>
      <c r="AB1606" s="2060"/>
      <c r="AC1606" s="2060"/>
      <c r="AD1606" s="2060"/>
      <c r="AE1606" s="2060"/>
      <c r="AF1606" s="2060"/>
      <c r="AG1606" s="2060"/>
      <c r="AH1606" s="2060"/>
      <c r="AI1606" s="2060"/>
      <c r="AJ1606" s="2060"/>
      <c r="AK1606" s="2060"/>
      <c r="AL1606" s="2060"/>
      <c r="AM1606" s="2060"/>
      <c r="AN1606" s="2060"/>
      <c r="AO1606" s="2060"/>
      <c r="AP1606" s="2060"/>
      <c r="AQ1606" s="2060"/>
      <c r="AR1606" s="2060"/>
      <c r="AS1606" s="2060"/>
      <c r="AT1606" s="2060"/>
      <c r="AU1606" s="2060"/>
      <c r="AV1606" s="2060"/>
      <c r="AW1606" s="2060"/>
      <c r="AX1606" s="2060"/>
      <c r="AY1606" s="2060"/>
      <c r="AZ1606" s="2060"/>
      <c r="BA1606" s="2060"/>
      <c r="BB1606" s="2060"/>
      <c r="BC1606" s="2060"/>
      <c r="BD1606" s="2060"/>
      <c r="BE1606" s="2060"/>
      <c r="BF1606" s="2060"/>
      <c r="BG1606" s="2060"/>
      <c r="BH1606" s="2060"/>
      <c r="BI1606" s="2060"/>
      <c r="BJ1606" s="2060"/>
      <c r="BK1606" s="2060"/>
      <c r="BL1606" s="2060"/>
      <c r="BM1606" s="2060"/>
      <c r="BN1606" s="2060"/>
      <c r="BO1606" s="2060"/>
      <c r="BP1606" s="2060"/>
      <c r="BQ1606" s="2060"/>
      <c r="BR1606" s="2060"/>
      <c r="BS1606" s="2060"/>
      <c r="BT1606" s="2060"/>
      <c r="BU1606" s="2060"/>
      <c r="BV1606" s="2060"/>
      <c r="BW1606" s="2060"/>
      <c r="BX1606" s="2060"/>
      <c r="BY1606" s="2060"/>
      <c r="BZ1606" s="2060"/>
      <c r="CA1606" s="2060"/>
      <c r="CB1606" s="2060"/>
      <c r="CC1606" s="2060"/>
      <c r="CD1606" s="2060"/>
      <c r="CE1606" s="2060"/>
      <c r="CF1606" s="2060"/>
      <c r="CG1606" s="2060"/>
      <c r="CH1606" s="2060"/>
      <c r="CI1606" s="2060"/>
      <c r="CJ1606" s="2060"/>
      <c r="CK1606" s="2060"/>
      <c r="CL1606" s="2060"/>
      <c r="CM1606" s="2060"/>
      <c r="CN1606" s="2060"/>
      <c r="CO1606" s="2060"/>
      <c r="CP1606" s="2060"/>
      <c r="CQ1606" s="2060"/>
      <c r="CR1606" s="2060"/>
      <c r="CS1606" s="2060"/>
      <c r="CT1606" s="2060"/>
      <c r="CU1606" s="2060"/>
      <c r="CV1606" s="2060"/>
      <c r="CW1606" s="2060"/>
      <c r="CX1606" s="2060"/>
      <c r="CY1606" s="2060"/>
      <c r="CZ1606" s="2060"/>
      <c r="DA1606" s="2060"/>
      <c r="DB1606" s="2060"/>
      <c r="DC1606" s="2060"/>
      <c r="DD1606" s="2060"/>
      <c r="DE1606" s="2060"/>
      <c r="DF1606" s="2060"/>
      <c r="DG1606" s="2060"/>
      <c r="DH1606" s="2060"/>
      <c r="DI1606" s="2060"/>
      <c r="DJ1606" s="2060"/>
      <c r="DK1606" s="2060"/>
      <c r="DL1606" s="2060"/>
      <c r="DM1606" s="2060"/>
      <c r="DN1606" s="2060"/>
      <c r="DO1606" s="2060"/>
      <c r="DP1606" s="2060"/>
      <c r="DQ1606" s="2060"/>
      <c r="DR1606" s="2060"/>
      <c r="DS1606" s="2060"/>
      <c r="DT1606" s="2060"/>
      <c r="DU1606" s="2060"/>
      <c r="DV1606" s="2060"/>
      <c r="DW1606" s="2060"/>
      <c r="DX1606" s="2060"/>
      <c r="DY1606" s="2060"/>
      <c r="DZ1606" s="2060"/>
      <c r="EA1606" s="2060"/>
      <c r="EB1606" s="2060"/>
      <c r="EC1606" s="2060"/>
      <c r="ED1606" s="2060"/>
      <c r="EE1606" s="2060"/>
      <c r="EF1606" s="2060"/>
      <c r="EG1606" s="2060"/>
      <c r="EH1606" s="2060"/>
      <c r="EI1606" s="2060"/>
      <c r="EJ1606" s="2060"/>
      <c r="EK1606" s="2060"/>
      <c r="EL1606" s="2060"/>
      <c r="EM1606" s="2060"/>
      <c r="EN1606" s="2060"/>
      <c r="EO1606" s="2060"/>
      <c r="EP1606" s="2060"/>
      <c r="EQ1606" s="2060"/>
      <c r="ER1606" s="2060"/>
      <c r="ES1606" s="2060"/>
      <c r="ET1606" s="2060"/>
      <c r="EU1606" s="2060"/>
      <c r="EV1606" s="2060"/>
      <c r="EW1606" s="2060"/>
      <c r="EX1606" s="2060"/>
      <c r="EY1606" s="2060"/>
      <c r="EZ1606" s="2060"/>
      <c r="FA1606" s="2060"/>
      <c r="FB1606" s="2060"/>
      <c r="FC1606" s="2060"/>
      <c r="FD1606" s="2060"/>
      <c r="FE1606" s="2060"/>
      <c r="FF1606" s="2060"/>
      <c r="FG1606" s="2060"/>
      <c r="FH1606" s="2060"/>
      <c r="FI1606" s="2060"/>
      <c r="FJ1606" s="2060"/>
      <c r="FK1606" s="2060"/>
      <c r="FL1606" s="2060"/>
      <c r="FM1606" s="2060"/>
      <c r="FN1606" s="2060"/>
      <c r="FO1606" s="2060"/>
      <c r="FP1606" s="2060"/>
      <c r="FQ1606" s="2060"/>
      <c r="FR1606" s="2060"/>
      <c r="FS1606" s="2060"/>
      <c r="FT1606" s="2060"/>
      <c r="FU1606" s="2060"/>
      <c r="FV1606" s="2060"/>
      <c r="FW1606" s="2060"/>
      <c r="FX1606" s="2060"/>
      <c r="FY1606" s="2060"/>
      <c r="FZ1606" s="2060"/>
      <c r="GA1606" s="2060"/>
      <c r="GB1606" s="2060"/>
      <c r="GC1606" s="2060"/>
      <c r="GD1606" s="2060"/>
      <c r="GE1606" s="2060"/>
      <c r="GF1606" s="2060"/>
      <c r="GG1606" s="2060"/>
      <c r="GH1606" s="2060"/>
      <c r="GI1606" s="2060"/>
      <c r="GJ1606" s="2060"/>
      <c r="GK1606" s="2060"/>
      <c r="GL1606" s="2060"/>
      <c r="GM1606" s="2060"/>
      <c r="GN1606" s="2060"/>
      <c r="GO1606" s="2060"/>
      <c r="GP1606" s="2060"/>
      <c r="GQ1606" s="2060"/>
      <c r="GR1606" s="2060"/>
      <c r="GS1606" s="2060"/>
      <c r="GT1606" s="2060"/>
      <c r="GU1606" s="2060"/>
      <c r="GV1606" s="2060"/>
      <c r="GW1606" s="2060"/>
      <c r="GX1606" s="2060"/>
      <c r="GY1606" s="2060"/>
      <c r="GZ1606" s="2060"/>
      <c r="HA1606" s="2060"/>
      <c r="HB1606" s="2060"/>
      <c r="HC1606" s="2060"/>
      <c r="HD1606" s="2060"/>
      <c r="HE1606" s="2060"/>
      <c r="HF1606" s="2060"/>
      <c r="HG1606" s="2060"/>
      <c r="HH1606" s="2060"/>
      <c r="HI1606" s="2060"/>
      <c r="HJ1606" s="2060"/>
      <c r="HK1606" s="2060"/>
      <c r="HL1606" s="2060"/>
      <c r="HM1606" s="2060"/>
      <c r="HN1606" s="2060"/>
      <c r="HO1606" s="2060"/>
      <c r="HP1606" s="2060"/>
      <c r="HQ1606" s="2060"/>
      <c r="HR1606" s="2060"/>
      <c r="HS1606" s="2060"/>
      <c r="HT1606" s="2060"/>
      <c r="HU1606" s="2060"/>
      <c r="HV1606" s="2060"/>
      <c r="HW1606" s="2060"/>
      <c r="HX1606" s="2060"/>
      <c r="HY1606" s="2060"/>
      <c r="HZ1606" s="2060"/>
      <c r="IA1606" s="2060"/>
      <c r="IB1606" s="2060"/>
      <c r="IC1606" s="2060"/>
      <c r="ID1606" s="2060"/>
      <c r="IE1606" s="2060"/>
      <c r="IF1606" s="2060"/>
      <c r="IG1606" s="2060"/>
      <c r="IH1606" s="2060"/>
      <c r="II1606" s="2060"/>
      <c r="IJ1606" s="2060"/>
      <c r="IK1606" s="2060"/>
      <c r="IL1606" s="2060"/>
      <c r="IM1606" s="2060"/>
      <c r="IN1606" s="2060"/>
      <c r="IO1606" s="2060"/>
      <c r="IP1606" s="2060"/>
      <c r="IQ1606" s="2060"/>
      <c r="IR1606" s="2060"/>
      <c r="IS1606" s="2060"/>
      <c r="IT1606" s="2060"/>
      <c r="IU1606" s="2060"/>
      <c r="IV1606" s="2060"/>
      <c r="IW1606" s="2060"/>
      <c r="IX1606" s="2060"/>
      <c r="IY1606" s="2060"/>
      <c r="IZ1606" s="2060"/>
      <c r="JA1606" s="2060"/>
      <c r="JB1606" s="2060"/>
      <c r="JC1606" s="2060"/>
      <c r="JD1606" s="2060"/>
      <c r="JE1606" s="2060"/>
      <c r="JF1606" s="2060"/>
      <c r="JG1606" s="2060"/>
      <c r="JH1606" s="2060"/>
      <c r="JI1606" s="2060"/>
      <c r="JJ1606" s="2060"/>
      <c r="JK1606" s="2060"/>
      <c r="JL1606" s="2060"/>
      <c r="JM1606" s="2060"/>
      <c r="JN1606" s="2060"/>
      <c r="JO1606" s="2060"/>
      <c r="JP1606" s="2060"/>
      <c r="JQ1606" s="2060"/>
      <c r="JR1606" s="2060"/>
      <c r="JS1606" s="2060"/>
      <c r="JT1606" s="2060"/>
      <c r="JU1606" s="2060"/>
      <c r="JV1606" s="2060"/>
      <c r="JW1606" s="2060"/>
      <c r="JX1606" s="2060"/>
      <c r="JY1606" s="2060"/>
      <c r="JZ1606" s="2060"/>
      <c r="KA1606" s="2060"/>
      <c r="KB1606" s="2060"/>
      <c r="KC1606" s="2060"/>
      <c r="KD1606" s="2060"/>
      <c r="KE1606" s="2060"/>
      <c r="KF1606" s="2060"/>
      <c r="KG1606" s="2060"/>
      <c r="KH1606" s="2060"/>
      <c r="KI1606" s="2060"/>
      <c r="KJ1606" s="2060"/>
      <c r="KK1606" s="2060"/>
      <c r="KL1606" s="2060"/>
      <c r="KM1606" s="2060"/>
      <c r="KN1606" s="2060"/>
      <c r="KO1606" s="2060"/>
      <c r="KP1606" s="2060"/>
      <c r="KQ1606" s="2060"/>
      <c r="KR1606" s="2060"/>
      <c r="KS1606" s="2060"/>
      <c r="KT1606" s="2060"/>
      <c r="KU1606" s="2060"/>
      <c r="KV1606" s="2060"/>
      <c r="KW1606" s="2060"/>
      <c r="KX1606" s="2060"/>
      <c r="KY1606" s="2060"/>
      <c r="KZ1606" s="2060"/>
      <c r="LA1606" s="2060"/>
      <c r="LB1606" s="2060"/>
      <c r="LC1606" s="2060"/>
      <c r="LD1606" s="2060"/>
      <c r="LE1606" s="2060"/>
      <c r="LF1606" s="2060"/>
      <c r="LG1606" s="2060"/>
      <c r="LH1606" s="2060"/>
    </row>
    <row r="1607" spans="1:320" s="1499" customFormat="1" ht="13.9">
      <c r="A1607" s="269" t="str">
        <f t="shared" si="440"/>
        <v>n</v>
      </c>
      <c r="B1607" s="2060"/>
      <c r="C1607" s="2060"/>
      <c r="D1607" s="2060"/>
      <c r="E1607" s="1661">
        <v>20</v>
      </c>
      <c r="F1607" s="1353" t="str">
        <f>F$148</f>
        <v>--</v>
      </c>
      <c r="G1607" s="128">
        <f>G$148</f>
        <v>0</v>
      </c>
      <c r="H1607" s="128" t="str">
        <f>H$148</f>
        <v>--</v>
      </c>
      <c r="I1607" s="89" t="s">
        <v>781</v>
      </c>
      <c r="J1607" s="2197" t="str">
        <f>IF($G1607=0,"",IFERROR(_xll.ciqfunctions.udf.CIQ($G1607,$I1607,J$1557,Valuation_Date_GC,ReportType,DataMode,$H1607,FXMode)*Scale,"n/a"))</f>
        <v/>
      </c>
      <c r="K1607" s="2197" t="str">
        <f>IF($G1607=0,"",IFERROR(_xll.ciqfunctions.udf.CIQ($G1607,$I1607,K$1557,Valuation_Date_GC,ReportType,DataMode,$H1607,FXMode)*Scale,"n/a"))</f>
        <v/>
      </c>
      <c r="L1607" s="2197" t="str">
        <f>IF($G1607=0,"",IFERROR(_xll.ciqfunctions.udf.CIQ($G1607,$I1607,L$1557,Valuation_Date_GC,ReportType,DataMode,$H1607,FXMode)*Scale,"n/a"))</f>
        <v/>
      </c>
      <c r="M1607" s="2197" t="str">
        <f>IF($G1607=0,"",IFERROR(_xll.ciqfunctions.udf.CIQ($G1607,$I1607,M$1557,Valuation_Date_GC,ReportType,DataMode,$H1607,FXMode)*Scale,"n/a"))</f>
        <v/>
      </c>
      <c r="N1607" s="2197" t="str">
        <f>IF($G1607=0,"",IFERROR(_xll.ciqfunctions.udf.CIQ($G1607,$I1607,N$1557,Valuation_Date_GC,ReportType,DataMode,$H1607,FXMode)*Scale,"n/a"))</f>
        <v/>
      </c>
      <c r="O1607" s="2197" t="str">
        <f>IF($G1607=0,"",IFERROR(_xll.ciqfunctions.udf.CIQ($G1607,$I1607,O$1557,Valuation_Date_GC,ReportType,DataMode,$H1607,FXMode)*Scale,"n/a"))</f>
        <v/>
      </c>
      <c r="P1607" s="2197" t="str">
        <f>IF($G1607=0,"",IFERROR(_xll.ciqfunctions.udf.CIQ($G1607,$I1607,P$1557,Valuation_Date_GC,ReportType,DataMode,$H1607,FXMode)*Scale,"n/a"))</f>
        <v/>
      </c>
      <c r="Q1607" s="2197" t="str">
        <f>IF($G1607=0,"",IFERROR(_xll.ciqfunctions.udf.CIQ($G1607,$I1607,Q$1557,Valuation_Date_GC,ReportType,DataMode,$H1607,FXMode)*Scale,"n/a"))</f>
        <v/>
      </c>
      <c r="R1607" s="2197" t="str">
        <f>IF($G1607=0,"",IFERROR(_xll.ciqfunctions.udf.CIQ($G1607,$I1607,R$1557,Valuation_Date_GC,ReportType,DataMode,$H1607,FXMode)*Scale,"n/a"))</f>
        <v/>
      </c>
      <c r="S1607" s="2197" t="str">
        <f>IF($G1607=0,"",IFERROR(_xll.ciqfunctions.udf.CIQ($G1607,$I1607,S$1557,Valuation_Date_GC,ReportType,DataMode,$H1607,FXMode)*Scale,"n/a"))</f>
        <v/>
      </c>
      <c r="T1607" s="2197" t="str">
        <f>IF($G1607=0,"",IFERROR(_xll.ciqfunctions.udf.CIQ($G1607,$I1607,T$1557,Valuation_Date_GC,ReportType,DataMode,$H1607,FXMode)*Scale,"n/a"))</f>
        <v/>
      </c>
      <c r="U1607" s="2197" t="str">
        <f>IF($G1607=0,"",IFERROR(_xll.ciqfunctions.udf.CIQ($G1607,$I1607,U$1557,Valuation_Date_GC,ReportType,DataMode,$H1607,FXMode)*Scale,"n/a"))</f>
        <v/>
      </c>
      <c r="V1607" s="2197" t="str">
        <f>IF($G1607=0,"",IFERROR(_xll.ciqfunctions.udf.CIQ($G1607,$I1607,V$1557,Valuation_Date_GC,ReportType,DataMode,$H1607,FXMode)*Scale,"n/a"))</f>
        <v/>
      </c>
      <c r="W1607" s="1479"/>
      <c r="X1607" s="255"/>
      <c r="Y1607" s="255"/>
      <c r="Z1607" s="2060"/>
      <c r="AA1607" s="2060"/>
      <c r="AB1607" s="2060"/>
      <c r="AC1607" s="2060"/>
      <c r="AD1607" s="2060"/>
      <c r="AE1607" s="2060"/>
      <c r="AF1607" s="2060"/>
      <c r="AG1607" s="2060"/>
      <c r="AH1607" s="2060"/>
      <c r="AI1607" s="2060"/>
      <c r="AJ1607" s="2060"/>
      <c r="AK1607" s="2060"/>
      <c r="AL1607" s="2060"/>
      <c r="AM1607" s="2060"/>
      <c r="AN1607" s="2060"/>
      <c r="AO1607" s="2060"/>
      <c r="AP1607" s="2060"/>
      <c r="AQ1607" s="2060"/>
      <c r="AR1607" s="2060"/>
      <c r="AS1607" s="2060"/>
      <c r="AT1607" s="2060"/>
      <c r="AU1607" s="2060"/>
      <c r="AV1607" s="2060"/>
      <c r="AW1607" s="2060"/>
      <c r="AX1607" s="2060"/>
      <c r="AY1607" s="2060"/>
      <c r="AZ1607" s="2060"/>
      <c r="BA1607" s="2060"/>
      <c r="BB1607" s="2060"/>
      <c r="BC1607" s="2060"/>
      <c r="BD1607" s="2060"/>
      <c r="BE1607" s="2060"/>
      <c r="BF1607" s="2060"/>
      <c r="BG1607" s="2060"/>
      <c r="BH1607" s="2060"/>
      <c r="BI1607" s="2060"/>
      <c r="BJ1607" s="2060"/>
      <c r="BK1607" s="2060"/>
      <c r="BL1607" s="2060"/>
      <c r="BM1607" s="2060"/>
      <c r="BN1607" s="2060"/>
      <c r="BO1607" s="2060"/>
      <c r="BP1607" s="2060"/>
      <c r="BQ1607" s="2060"/>
      <c r="BR1607" s="2060"/>
      <c r="BS1607" s="2060"/>
      <c r="BT1607" s="2060"/>
      <c r="BU1607" s="2060"/>
      <c r="BV1607" s="2060"/>
      <c r="BW1607" s="2060"/>
      <c r="BX1607" s="2060"/>
      <c r="BY1607" s="2060"/>
      <c r="BZ1607" s="2060"/>
      <c r="CA1607" s="2060"/>
      <c r="CB1607" s="2060"/>
      <c r="CC1607" s="2060"/>
      <c r="CD1607" s="2060"/>
      <c r="CE1607" s="2060"/>
      <c r="CF1607" s="2060"/>
      <c r="CG1607" s="2060"/>
      <c r="CH1607" s="2060"/>
      <c r="CI1607" s="2060"/>
      <c r="CJ1607" s="2060"/>
      <c r="CK1607" s="2060"/>
      <c r="CL1607" s="2060"/>
      <c r="CM1607" s="2060"/>
      <c r="CN1607" s="2060"/>
      <c r="CO1607" s="2060"/>
      <c r="CP1607" s="2060"/>
      <c r="CQ1607" s="2060"/>
      <c r="CR1607" s="2060"/>
      <c r="CS1607" s="2060"/>
      <c r="CT1607" s="2060"/>
      <c r="CU1607" s="2060"/>
      <c r="CV1607" s="2060"/>
      <c r="CW1607" s="2060"/>
      <c r="CX1607" s="2060"/>
      <c r="CY1607" s="2060"/>
      <c r="CZ1607" s="2060"/>
      <c r="DA1607" s="2060"/>
      <c r="DB1607" s="2060"/>
      <c r="DC1607" s="2060"/>
      <c r="DD1607" s="2060"/>
      <c r="DE1607" s="2060"/>
      <c r="DF1607" s="2060"/>
      <c r="DG1607" s="2060"/>
      <c r="DH1607" s="2060"/>
      <c r="DI1607" s="2060"/>
      <c r="DJ1607" s="2060"/>
      <c r="DK1607" s="2060"/>
      <c r="DL1607" s="2060"/>
      <c r="DM1607" s="2060"/>
      <c r="DN1607" s="2060"/>
      <c r="DO1607" s="2060"/>
      <c r="DP1607" s="2060"/>
      <c r="DQ1607" s="2060"/>
      <c r="DR1607" s="2060"/>
      <c r="DS1607" s="2060"/>
      <c r="DT1607" s="2060"/>
      <c r="DU1607" s="2060"/>
      <c r="DV1607" s="2060"/>
      <c r="DW1607" s="2060"/>
      <c r="DX1607" s="2060"/>
      <c r="DY1607" s="2060"/>
      <c r="DZ1607" s="2060"/>
      <c r="EA1607" s="2060"/>
      <c r="EB1607" s="2060"/>
      <c r="EC1607" s="2060"/>
      <c r="ED1607" s="2060"/>
      <c r="EE1607" s="2060"/>
      <c r="EF1607" s="2060"/>
      <c r="EG1607" s="2060"/>
      <c r="EH1607" s="2060"/>
      <c r="EI1607" s="2060"/>
      <c r="EJ1607" s="2060"/>
      <c r="EK1607" s="2060"/>
      <c r="EL1607" s="2060"/>
      <c r="EM1607" s="2060"/>
      <c r="EN1607" s="2060"/>
      <c r="EO1607" s="2060"/>
      <c r="EP1607" s="2060"/>
      <c r="EQ1607" s="2060"/>
      <c r="ER1607" s="2060"/>
      <c r="ES1607" s="2060"/>
      <c r="ET1607" s="2060"/>
      <c r="EU1607" s="2060"/>
      <c r="EV1607" s="2060"/>
      <c r="EW1607" s="2060"/>
      <c r="EX1607" s="2060"/>
      <c r="EY1607" s="2060"/>
      <c r="EZ1607" s="2060"/>
      <c r="FA1607" s="2060"/>
      <c r="FB1607" s="2060"/>
      <c r="FC1607" s="2060"/>
      <c r="FD1607" s="2060"/>
      <c r="FE1607" s="2060"/>
      <c r="FF1607" s="2060"/>
      <c r="FG1607" s="2060"/>
      <c r="FH1607" s="2060"/>
      <c r="FI1607" s="2060"/>
      <c r="FJ1607" s="2060"/>
      <c r="FK1607" s="2060"/>
      <c r="FL1607" s="2060"/>
      <c r="FM1607" s="2060"/>
      <c r="FN1607" s="2060"/>
      <c r="FO1607" s="2060"/>
      <c r="FP1607" s="2060"/>
      <c r="FQ1607" s="2060"/>
      <c r="FR1607" s="2060"/>
      <c r="FS1607" s="2060"/>
      <c r="FT1607" s="2060"/>
      <c r="FU1607" s="2060"/>
      <c r="FV1607" s="2060"/>
      <c r="FW1607" s="2060"/>
      <c r="FX1607" s="2060"/>
      <c r="FY1607" s="2060"/>
      <c r="FZ1607" s="2060"/>
      <c r="GA1607" s="2060"/>
      <c r="GB1607" s="2060"/>
      <c r="GC1607" s="2060"/>
      <c r="GD1607" s="2060"/>
      <c r="GE1607" s="2060"/>
      <c r="GF1607" s="2060"/>
      <c r="GG1607" s="2060"/>
      <c r="GH1607" s="2060"/>
      <c r="GI1607" s="2060"/>
      <c r="GJ1607" s="2060"/>
      <c r="GK1607" s="2060"/>
      <c r="GL1607" s="2060"/>
      <c r="GM1607" s="2060"/>
      <c r="GN1607" s="2060"/>
      <c r="GO1607" s="2060"/>
      <c r="GP1607" s="2060"/>
      <c r="GQ1607" s="2060"/>
      <c r="GR1607" s="2060"/>
      <c r="GS1607" s="2060"/>
      <c r="GT1607" s="2060"/>
      <c r="GU1607" s="2060"/>
      <c r="GV1607" s="2060"/>
      <c r="GW1607" s="2060"/>
      <c r="GX1607" s="2060"/>
      <c r="GY1607" s="2060"/>
      <c r="GZ1607" s="2060"/>
      <c r="HA1607" s="2060"/>
      <c r="HB1607" s="2060"/>
      <c r="HC1607" s="2060"/>
      <c r="HD1607" s="2060"/>
      <c r="HE1607" s="2060"/>
      <c r="HF1607" s="2060"/>
      <c r="HG1607" s="2060"/>
      <c r="HH1607" s="2060"/>
      <c r="HI1607" s="2060"/>
      <c r="HJ1607" s="2060"/>
      <c r="HK1607" s="2060"/>
      <c r="HL1607" s="2060"/>
      <c r="HM1607" s="2060"/>
      <c r="HN1607" s="2060"/>
      <c r="HO1607" s="2060"/>
      <c r="HP1607" s="2060"/>
      <c r="HQ1607" s="2060"/>
      <c r="HR1607" s="2060"/>
      <c r="HS1607" s="2060"/>
      <c r="HT1607" s="2060"/>
      <c r="HU1607" s="2060"/>
      <c r="HV1607" s="2060"/>
      <c r="HW1607" s="2060"/>
      <c r="HX1607" s="2060"/>
      <c r="HY1607" s="2060"/>
      <c r="HZ1607" s="2060"/>
      <c r="IA1607" s="2060"/>
      <c r="IB1607" s="2060"/>
      <c r="IC1607" s="2060"/>
      <c r="ID1607" s="2060"/>
      <c r="IE1607" s="2060"/>
      <c r="IF1607" s="2060"/>
      <c r="IG1607" s="2060"/>
      <c r="IH1607" s="2060"/>
      <c r="II1607" s="2060"/>
      <c r="IJ1607" s="2060"/>
      <c r="IK1607" s="2060"/>
      <c r="IL1607" s="2060"/>
      <c r="IM1607" s="2060"/>
      <c r="IN1607" s="2060"/>
      <c r="IO1607" s="2060"/>
      <c r="IP1607" s="2060"/>
      <c r="IQ1607" s="2060"/>
      <c r="IR1607" s="2060"/>
      <c r="IS1607" s="2060"/>
      <c r="IT1607" s="2060"/>
      <c r="IU1607" s="2060"/>
      <c r="IV1607" s="2060"/>
      <c r="IW1607" s="2060"/>
      <c r="IX1607" s="2060"/>
      <c r="IY1607" s="2060"/>
      <c r="IZ1607" s="2060"/>
      <c r="JA1607" s="2060"/>
      <c r="JB1607" s="2060"/>
      <c r="JC1607" s="2060"/>
      <c r="JD1607" s="2060"/>
      <c r="JE1607" s="2060"/>
      <c r="JF1607" s="2060"/>
      <c r="JG1607" s="2060"/>
      <c r="JH1607" s="2060"/>
      <c r="JI1607" s="2060"/>
      <c r="JJ1607" s="2060"/>
      <c r="JK1607" s="2060"/>
      <c r="JL1607" s="2060"/>
      <c r="JM1607" s="2060"/>
      <c r="JN1607" s="2060"/>
      <c r="JO1607" s="2060"/>
      <c r="JP1607" s="2060"/>
      <c r="JQ1607" s="2060"/>
      <c r="JR1607" s="2060"/>
      <c r="JS1607" s="2060"/>
      <c r="JT1607" s="2060"/>
      <c r="JU1607" s="2060"/>
      <c r="JV1607" s="2060"/>
      <c r="JW1607" s="2060"/>
      <c r="JX1607" s="2060"/>
      <c r="JY1607" s="2060"/>
      <c r="JZ1607" s="2060"/>
      <c r="KA1607" s="2060"/>
      <c r="KB1607" s="2060"/>
      <c r="KC1607" s="2060"/>
      <c r="KD1607" s="2060"/>
      <c r="KE1607" s="2060"/>
      <c r="KF1607" s="2060"/>
      <c r="KG1607" s="2060"/>
      <c r="KH1607" s="2060"/>
      <c r="KI1607" s="2060"/>
      <c r="KJ1607" s="2060"/>
      <c r="KK1607" s="2060"/>
      <c r="KL1607" s="2060"/>
      <c r="KM1607" s="2060"/>
      <c r="KN1607" s="2060"/>
      <c r="KO1607" s="2060"/>
      <c r="KP1607" s="2060"/>
      <c r="KQ1607" s="2060"/>
      <c r="KR1607" s="2060"/>
      <c r="KS1607" s="2060"/>
      <c r="KT1607" s="2060"/>
      <c r="KU1607" s="2060"/>
      <c r="KV1607" s="2060"/>
      <c r="KW1607" s="2060"/>
      <c r="KX1607" s="2060"/>
      <c r="KY1607" s="2060"/>
      <c r="KZ1607" s="2060"/>
      <c r="LA1607" s="2060"/>
      <c r="LB1607" s="2060"/>
      <c r="LC1607" s="2060"/>
      <c r="LD1607" s="2060"/>
      <c r="LE1607" s="2060"/>
      <c r="LF1607" s="2060"/>
      <c r="LG1607" s="2060"/>
      <c r="LH1607" s="2060"/>
    </row>
    <row r="1608" spans="1:320" s="1499" customFormat="1" ht="13.9">
      <c r="A1608" s="269" t="str">
        <f t="shared" si="440"/>
        <v>n</v>
      </c>
      <c r="B1608" s="2060"/>
      <c r="C1608" s="2060"/>
      <c r="D1608" s="2060"/>
      <c r="E1608" s="1661">
        <v>21</v>
      </c>
      <c r="F1608" s="1353" t="str">
        <f>F$149</f>
        <v>--</v>
      </c>
      <c r="G1608" s="128">
        <f>G$149</f>
        <v>0</v>
      </c>
      <c r="H1608" s="128" t="str">
        <f>H$149</f>
        <v>--</v>
      </c>
      <c r="I1608" s="89" t="s">
        <v>781</v>
      </c>
      <c r="J1608" s="2197" t="str">
        <f>IF($G1608=0,"",IFERROR(_xll.ciqfunctions.udf.CIQ($G1608,$I1608,J$1557,Valuation_Date_GC,ReportType,DataMode,$H1608,FXMode)*Scale,"n/a"))</f>
        <v/>
      </c>
      <c r="K1608" s="2197" t="str">
        <f>IF($G1608=0,"",IFERROR(_xll.ciqfunctions.udf.CIQ($G1608,$I1608,K$1557,Valuation_Date_GC,ReportType,DataMode,$H1608,FXMode)*Scale,"n/a"))</f>
        <v/>
      </c>
      <c r="L1608" s="2197" t="str">
        <f>IF($G1608=0,"",IFERROR(_xll.ciqfunctions.udf.CIQ($G1608,$I1608,L$1557,Valuation_Date_GC,ReportType,DataMode,$H1608,FXMode)*Scale,"n/a"))</f>
        <v/>
      </c>
      <c r="M1608" s="2197" t="str">
        <f>IF($G1608=0,"",IFERROR(_xll.ciqfunctions.udf.CIQ($G1608,$I1608,M$1557,Valuation_Date_GC,ReportType,DataMode,$H1608,FXMode)*Scale,"n/a"))</f>
        <v/>
      </c>
      <c r="N1608" s="2197" t="str">
        <f>IF($G1608=0,"",IFERROR(_xll.ciqfunctions.udf.CIQ($G1608,$I1608,N$1557,Valuation_Date_GC,ReportType,DataMode,$H1608,FXMode)*Scale,"n/a"))</f>
        <v/>
      </c>
      <c r="O1608" s="2197" t="str">
        <f>IF($G1608=0,"",IFERROR(_xll.ciqfunctions.udf.CIQ($G1608,$I1608,O$1557,Valuation_Date_GC,ReportType,DataMode,$H1608,FXMode)*Scale,"n/a"))</f>
        <v/>
      </c>
      <c r="P1608" s="2197" t="str">
        <f>IF($G1608=0,"",IFERROR(_xll.ciqfunctions.udf.CIQ($G1608,$I1608,P$1557,Valuation_Date_GC,ReportType,DataMode,$H1608,FXMode)*Scale,"n/a"))</f>
        <v/>
      </c>
      <c r="Q1608" s="2197" t="str">
        <f>IF($G1608=0,"",IFERROR(_xll.ciqfunctions.udf.CIQ($G1608,$I1608,Q$1557,Valuation_Date_GC,ReportType,DataMode,$H1608,FXMode)*Scale,"n/a"))</f>
        <v/>
      </c>
      <c r="R1608" s="2197" t="str">
        <f>IF($G1608=0,"",IFERROR(_xll.ciqfunctions.udf.CIQ($G1608,$I1608,R$1557,Valuation_Date_GC,ReportType,DataMode,$H1608,FXMode)*Scale,"n/a"))</f>
        <v/>
      </c>
      <c r="S1608" s="2197" t="str">
        <f>IF($G1608=0,"",IFERROR(_xll.ciqfunctions.udf.CIQ($G1608,$I1608,S$1557,Valuation_Date_GC,ReportType,DataMode,$H1608,FXMode)*Scale,"n/a"))</f>
        <v/>
      </c>
      <c r="T1608" s="2197" t="str">
        <f>IF($G1608=0,"",IFERROR(_xll.ciqfunctions.udf.CIQ($G1608,$I1608,T$1557,Valuation_Date_GC,ReportType,DataMode,$H1608,FXMode)*Scale,"n/a"))</f>
        <v/>
      </c>
      <c r="U1608" s="2197" t="str">
        <f>IF($G1608=0,"",IFERROR(_xll.ciqfunctions.udf.CIQ($G1608,$I1608,U$1557,Valuation_Date_GC,ReportType,DataMode,$H1608,FXMode)*Scale,"n/a"))</f>
        <v/>
      </c>
      <c r="V1608" s="2197" t="str">
        <f>IF($G1608=0,"",IFERROR(_xll.ciqfunctions.udf.CIQ($G1608,$I1608,V$1557,Valuation_Date_GC,ReportType,DataMode,$H1608,FXMode)*Scale,"n/a"))</f>
        <v/>
      </c>
      <c r="W1608" s="1479"/>
      <c r="X1608" s="255"/>
      <c r="Y1608" s="255"/>
      <c r="Z1608" s="2060"/>
      <c r="AA1608" s="2060"/>
      <c r="AB1608" s="2060"/>
      <c r="AC1608" s="2060"/>
      <c r="AD1608" s="2060"/>
      <c r="AE1608" s="2060"/>
      <c r="AF1608" s="2060"/>
      <c r="AG1608" s="2060"/>
      <c r="AH1608" s="2060"/>
      <c r="AI1608" s="2060"/>
      <c r="AJ1608" s="2060"/>
      <c r="AK1608" s="2060"/>
      <c r="AL1608" s="2060"/>
      <c r="AM1608" s="2060"/>
      <c r="AN1608" s="2060"/>
      <c r="AO1608" s="2060"/>
      <c r="AP1608" s="2060"/>
      <c r="AQ1608" s="2060"/>
      <c r="AR1608" s="2060"/>
      <c r="AS1608" s="2060"/>
      <c r="AT1608" s="2060"/>
      <c r="AU1608" s="2060"/>
      <c r="AV1608" s="2060"/>
      <c r="AW1608" s="2060"/>
      <c r="AX1608" s="2060"/>
      <c r="AY1608" s="2060"/>
      <c r="AZ1608" s="2060"/>
      <c r="BA1608" s="2060"/>
      <c r="BB1608" s="2060"/>
      <c r="BC1608" s="2060"/>
      <c r="BD1608" s="2060"/>
      <c r="BE1608" s="2060"/>
      <c r="BF1608" s="2060"/>
      <c r="BG1608" s="2060"/>
      <c r="BH1608" s="2060"/>
      <c r="BI1608" s="2060"/>
      <c r="BJ1608" s="2060"/>
      <c r="BK1608" s="2060"/>
      <c r="BL1608" s="2060"/>
      <c r="BM1608" s="2060"/>
      <c r="BN1608" s="2060"/>
      <c r="BO1608" s="2060"/>
      <c r="BP1608" s="2060"/>
      <c r="BQ1608" s="2060"/>
      <c r="BR1608" s="2060"/>
      <c r="BS1608" s="2060"/>
      <c r="BT1608" s="2060"/>
      <c r="BU1608" s="2060"/>
      <c r="BV1608" s="2060"/>
      <c r="BW1608" s="2060"/>
      <c r="BX1608" s="2060"/>
      <c r="BY1608" s="2060"/>
      <c r="BZ1608" s="2060"/>
      <c r="CA1608" s="2060"/>
      <c r="CB1608" s="2060"/>
      <c r="CC1608" s="2060"/>
      <c r="CD1608" s="2060"/>
      <c r="CE1608" s="2060"/>
      <c r="CF1608" s="2060"/>
      <c r="CG1608" s="2060"/>
      <c r="CH1608" s="2060"/>
      <c r="CI1608" s="2060"/>
      <c r="CJ1608" s="2060"/>
      <c r="CK1608" s="2060"/>
      <c r="CL1608" s="2060"/>
      <c r="CM1608" s="2060"/>
      <c r="CN1608" s="2060"/>
      <c r="CO1608" s="2060"/>
      <c r="CP1608" s="2060"/>
      <c r="CQ1608" s="2060"/>
      <c r="CR1608" s="2060"/>
      <c r="CS1608" s="2060"/>
      <c r="CT1608" s="2060"/>
      <c r="CU1608" s="2060"/>
      <c r="CV1608" s="2060"/>
      <c r="CW1608" s="2060"/>
      <c r="CX1608" s="2060"/>
      <c r="CY1608" s="2060"/>
      <c r="CZ1608" s="2060"/>
      <c r="DA1608" s="2060"/>
      <c r="DB1608" s="2060"/>
      <c r="DC1608" s="2060"/>
      <c r="DD1608" s="2060"/>
      <c r="DE1608" s="2060"/>
      <c r="DF1608" s="2060"/>
      <c r="DG1608" s="2060"/>
      <c r="DH1608" s="2060"/>
      <c r="DI1608" s="2060"/>
      <c r="DJ1608" s="2060"/>
      <c r="DK1608" s="2060"/>
      <c r="DL1608" s="2060"/>
      <c r="DM1608" s="2060"/>
      <c r="DN1608" s="2060"/>
      <c r="DO1608" s="2060"/>
      <c r="DP1608" s="2060"/>
      <c r="DQ1608" s="2060"/>
      <c r="DR1608" s="2060"/>
      <c r="DS1608" s="2060"/>
      <c r="DT1608" s="2060"/>
      <c r="DU1608" s="2060"/>
      <c r="DV1608" s="2060"/>
      <c r="DW1608" s="2060"/>
      <c r="DX1608" s="2060"/>
      <c r="DY1608" s="2060"/>
      <c r="DZ1608" s="2060"/>
      <c r="EA1608" s="2060"/>
      <c r="EB1608" s="2060"/>
      <c r="EC1608" s="2060"/>
      <c r="ED1608" s="2060"/>
      <c r="EE1608" s="2060"/>
      <c r="EF1608" s="2060"/>
      <c r="EG1608" s="2060"/>
      <c r="EH1608" s="2060"/>
      <c r="EI1608" s="2060"/>
      <c r="EJ1608" s="2060"/>
      <c r="EK1608" s="2060"/>
      <c r="EL1608" s="2060"/>
      <c r="EM1608" s="2060"/>
      <c r="EN1608" s="2060"/>
      <c r="EO1608" s="2060"/>
      <c r="EP1608" s="2060"/>
      <c r="EQ1608" s="2060"/>
      <c r="ER1608" s="2060"/>
      <c r="ES1608" s="2060"/>
      <c r="ET1608" s="2060"/>
      <c r="EU1608" s="2060"/>
      <c r="EV1608" s="2060"/>
      <c r="EW1608" s="2060"/>
      <c r="EX1608" s="2060"/>
      <c r="EY1608" s="2060"/>
      <c r="EZ1608" s="2060"/>
      <c r="FA1608" s="2060"/>
      <c r="FB1608" s="2060"/>
      <c r="FC1608" s="2060"/>
      <c r="FD1608" s="2060"/>
      <c r="FE1608" s="2060"/>
      <c r="FF1608" s="2060"/>
      <c r="FG1608" s="2060"/>
      <c r="FH1608" s="2060"/>
      <c r="FI1608" s="2060"/>
      <c r="FJ1608" s="2060"/>
      <c r="FK1608" s="2060"/>
      <c r="FL1608" s="2060"/>
      <c r="FM1608" s="2060"/>
      <c r="FN1608" s="2060"/>
      <c r="FO1608" s="2060"/>
      <c r="FP1608" s="2060"/>
      <c r="FQ1608" s="2060"/>
      <c r="FR1608" s="2060"/>
      <c r="FS1608" s="2060"/>
      <c r="FT1608" s="2060"/>
      <c r="FU1608" s="2060"/>
      <c r="FV1608" s="2060"/>
      <c r="FW1608" s="2060"/>
      <c r="FX1608" s="2060"/>
      <c r="FY1608" s="2060"/>
      <c r="FZ1608" s="2060"/>
      <c r="GA1608" s="2060"/>
      <c r="GB1608" s="2060"/>
      <c r="GC1608" s="2060"/>
      <c r="GD1608" s="2060"/>
      <c r="GE1608" s="2060"/>
      <c r="GF1608" s="2060"/>
      <c r="GG1608" s="2060"/>
      <c r="GH1608" s="2060"/>
      <c r="GI1608" s="2060"/>
      <c r="GJ1608" s="2060"/>
      <c r="GK1608" s="2060"/>
      <c r="GL1608" s="2060"/>
      <c r="GM1608" s="2060"/>
      <c r="GN1608" s="2060"/>
      <c r="GO1608" s="2060"/>
      <c r="GP1608" s="2060"/>
      <c r="GQ1608" s="2060"/>
      <c r="GR1608" s="2060"/>
      <c r="GS1608" s="2060"/>
      <c r="GT1608" s="2060"/>
      <c r="GU1608" s="2060"/>
      <c r="GV1608" s="2060"/>
      <c r="GW1608" s="2060"/>
      <c r="GX1608" s="2060"/>
      <c r="GY1608" s="2060"/>
      <c r="GZ1608" s="2060"/>
      <c r="HA1608" s="2060"/>
      <c r="HB1608" s="2060"/>
      <c r="HC1608" s="2060"/>
      <c r="HD1608" s="2060"/>
      <c r="HE1608" s="2060"/>
      <c r="HF1608" s="2060"/>
      <c r="HG1608" s="2060"/>
      <c r="HH1608" s="2060"/>
      <c r="HI1608" s="2060"/>
      <c r="HJ1608" s="2060"/>
      <c r="HK1608" s="2060"/>
      <c r="HL1608" s="2060"/>
      <c r="HM1608" s="2060"/>
      <c r="HN1608" s="2060"/>
      <c r="HO1608" s="2060"/>
      <c r="HP1608" s="2060"/>
      <c r="HQ1608" s="2060"/>
      <c r="HR1608" s="2060"/>
      <c r="HS1608" s="2060"/>
      <c r="HT1608" s="2060"/>
      <c r="HU1608" s="2060"/>
      <c r="HV1608" s="2060"/>
      <c r="HW1608" s="2060"/>
      <c r="HX1608" s="2060"/>
      <c r="HY1608" s="2060"/>
      <c r="HZ1608" s="2060"/>
      <c r="IA1608" s="2060"/>
      <c r="IB1608" s="2060"/>
      <c r="IC1608" s="2060"/>
      <c r="ID1608" s="2060"/>
      <c r="IE1608" s="2060"/>
      <c r="IF1608" s="2060"/>
      <c r="IG1608" s="2060"/>
      <c r="IH1608" s="2060"/>
      <c r="II1608" s="2060"/>
      <c r="IJ1608" s="2060"/>
      <c r="IK1608" s="2060"/>
      <c r="IL1608" s="2060"/>
      <c r="IM1608" s="2060"/>
      <c r="IN1608" s="2060"/>
      <c r="IO1608" s="2060"/>
      <c r="IP1608" s="2060"/>
      <c r="IQ1608" s="2060"/>
      <c r="IR1608" s="2060"/>
      <c r="IS1608" s="2060"/>
      <c r="IT1608" s="2060"/>
      <c r="IU1608" s="2060"/>
      <c r="IV1608" s="2060"/>
      <c r="IW1608" s="2060"/>
      <c r="IX1608" s="2060"/>
      <c r="IY1608" s="2060"/>
      <c r="IZ1608" s="2060"/>
      <c r="JA1608" s="2060"/>
      <c r="JB1608" s="2060"/>
      <c r="JC1608" s="2060"/>
      <c r="JD1608" s="2060"/>
      <c r="JE1608" s="2060"/>
      <c r="JF1608" s="2060"/>
      <c r="JG1608" s="2060"/>
      <c r="JH1608" s="2060"/>
      <c r="JI1608" s="2060"/>
      <c r="JJ1608" s="2060"/>
      <c r="JK1608" s="2060"/>
      <c r="JL1608" s="2060"/>
      <c r="JM1608" s="2060"/>
      <c r="JN1608" s="2060"/>
      <c r="JO1608" s="2060"/>
      <c r="JP1608" s="2060"/>
      <c r="JQ1608" s="2060"/>
      <c r="JR1608" s="2060"/>
      <c r="JS1608" s="2060"/>
      <c r="JT1608" s="2060"/>
      <c r="JU1608" s="2060"/>
      <c r="JV1608" s="2060"/>
      <c r="JW1608" s="2060"/>
      <c r="JX1608" s="2060"/>
      <c r="JY1608" s="2060"/>
      <c r="JZ1608" s="2060"/>
      <c r="KA1608" s="2060"/>
      <c r="KB1608" s="2060"/>
      <c r="KC1608" s="2060"/>
      <c r="KD1608" s="2060"/>
      <c r="KE1608" s="2060"/>
      <c r="KF1608" s="2060"/>
      <c r="KG1608" s="2060"/>
      <c r="KH1608" s="2060"/>
      <c r="KI1608" s="2060"/>
      <c r="KJ1608" s="2060"/>
      <c r="KK1608" s="2060"/>
      <c r="KL1608" s="2060"/>
      <c r="KM1608" s="2060"/>
      <c r="KN1608" s="2060"/>
      <c r="KO1608" s="2060"/>
      <c r="KP1608" s="2060"/>
      <c r="KQ1608" s="2060"/>
      <c r="KR1608" s="2060"/>
      <c r="KS1608" s="2060"/>
      <c r="KT1608" s="2060"/>
      <c r="KU1608" s="2060"/>
      <c r="KV1608" s="2060"/>
      <c r="KW1608" s="2060"/>
      <c r="KX1608" s="2060"/>
      <c r="KY1608" s="2060"/>
      <c r="KZ1608" s="2060"/>
      <c r="LA1608" s="2060"/>
      <c r="LB1608" s="2060"/>
      <c r="LC1608" s="2060"/>
      <c r="LD1608" s="2060"/>
      <c r="LE1608" s="2060"/>
      <c r="LF1608" s="2060"/>
      <c r="LG1608" s="2060"/>
      <c r="LH1608" s="2060"/>
    </row>
    <row r="1609" spans="1:320" s="1499" customFormat="1" ht="13.9">
      <c r="A1609" s="269" t="str">
        <f t="shared" si="440"/>
        <v>n</v>
      </c>
      <c r="B1609" s="2060"/>
      <c r="C1609" s="2060"/>
      <c r="D1609" s="2060"/>
      <c r="E1609" s="1661">
        <v>22</v>
      </c>
      <c r="F1609" s="1353" t="str">
        <f>F$150</f>
        <v>--</v>
      </c>
      <c r="G1609" s="128">
        <f>G$150</f>
        <v>0</v>
      </c>
      <c r="H1609" s="128" t="str">
        <f>H$150</f>
        <v>--</v>
      </c>
      <c r="I1609" s="89" t="s">
        <v>781</v>
      </c>
      <c r="J1609" s="2197" t="str">
        <f>IF($G1609=0,"",IFERROR(_xll.ciqfunctions.udf.CIQ($G1609,$I1609,J$1557,Valuation_Date_GC,ReportType,DataMode,$H1609,FXMode)*Scale,"n/a"))</f>
        <v/>
      </c>
      <c r="K1609" s="2197" t="str">
        <f>IF($G1609=0,"",IFERROR(_xll.ciqfunctions.udf.CIQ($G1609,$I1609,K$1557,Valuation_Date_GC,ReportType,DataMode,$H1609,FXMode)*Scale,"n/a"))</f>
        <v/>
      </c>
      <c r="L1609" s="2197" t="str">
        <f>IF($G1609=0,"",IFERROR(_xll.ciqfunctions.udf.CIQ($G1609,$I1609,L$1557,Valuation_Date_GC,ReportType,DataMode,$H1609,FXMode)*Scale,"n/a"))</f>
        <v/>
      </c>
      <c r="M1609" s="2197" t="str">
        <f>IF($G1609=0,"",IFERROR(_xll.ciqfunctions.udf.CIQ($G1609,$I1609,M$1557,Valuation_Date_GC,ReportType,DataMode,$H1609,FXMode)*Scale,"n/a"))</f>
        <v/>
      </c>
      <c r="N1609" s="2197" t="str">
        <f>IF($G1609=0,"",IFERROR(_xll.ciqfunctions.udf.CIQ($G1609,$I1609,N$1557,Valuation_Date_GC,ReportType,DataMode,$H1609,FXMode)*Scale,"n/a"))</f>
        <v/>
      </c>
      <c r="O1609" s="2197" t="str">
        <f>IF($G1609=0,"",IFERROR(_xll.ciqfunctions.udf.CIQ($G1609,$I1609,O$1557,Valuation_Date_GC,ReportType,DataMode,$H1609,FXMode)*Scale,"n/a"))</f>
        <v/>
      </c>
      <c r="P1609" s="2197" t="str">
        <f>IF($G1609=0,"",IFERROR(_xll.ciqfunctions.udf.CIQ($G1609,$I1609,P$1557,Valuation_Date_GC,ReportType,DataMode,$H1609,FXMode)*Scale,"n/a"))</f>
        <v/>
      </c>
      <c r="Q1609" s="2197" t="str">
        <f>IF($G1609=0,"",IFERROR(_xll.ciqfunctions.udf.CIQ($G1609,$I1609,Q$1557,Valuation_Date_GC,ReportType,DataMode,$H1609,FXMode)*Scale,"n/a"))</f>
        <v/>
      </c>
      <c r="R1609" s="2197" t="str">
        <f>IF($G1609=0,"",IFERROR(_xll.ciqfunctions.udf.CIQ($G1609,$I1609,R$1557,Valuation_Date_GC,ReportType,DataMode,$H1609,FXMode)*Scale,"n/a"))</f>
        <v/>
      </c>
      <c r="S1609" s="2197" t="str">
        <f>IF($G1609=0,"",IFERROR(_xll.ciqfunctions.udf.CIQ($G1609,$I1609,S$1557,Valuation_Date_GC,ReportType,DataMode,$H1609,FXMode)*Scale,"n/a"))</f>
        <v/>
      </c>
      <c r="T1609" s="2197" t="str">
        <f>IF($G1609=0,"",IFERROR(_xll.ciqfunctions.udf.CIQ($G1609,$I1609,T$1557,Valuation_Date_GC,ReportType,DataMode,$H1609,FXMode)*Scale,"n/a"))</f>
        <v/>
      </c>
      <c r="U1609" s="2197" t="str">
        <f>IF($G1609=0,"",IFERROR(_xll.ciqfunctions.udf.CIQ($G1609,$I1609,U$1557,Valuation_Date_GC,ReportType,DataMode,$H1609,FXMode)*Scale,"n/a"))</f>
        <v/>
      </c>
      <c r="V1609" s="2197" t="str">
        <f>IF($G1609=0,"",IFERROR(_xll.ciqfunctions.udf.CIQ($G1609,$I1609,V$1557,Valuation_Date_GC,ReportType,DataMode,$H1609,FXMode)*Scale,"n/a"))</f>
        <v/>
      </c>
      <c r="W1609" s="1479"/>
      <c r="X1609" s="255"/>
      <c r="Y1609" s="255"/>
      <c r="Z1609" s="2060"/>
      <c r="AA1609" s="2060"/>
      <c r="AB1609" s="2060"/>
      <c r="AC1609" s="2060"/>
      <c r="AD1609" s="2060"/>
      <c r="AE1609" s="2060"/>
      <c r="AF1609" s="2060"/>
      <c r="AG1609" s="2060"/>
      <c r="AH1609" s="2060"/>
      <c r="AI1609" s="2060"/>
      <c r="AJ1609" s="2060"/>
      <c r="AK1609" s="2060"/>
      <c r="AL1609" s="2060"/>
      <c r="AM1609" s="2060"/>
      <c r="AN1609" s="2060"/>
      <c r="AO1609" s="2060"/>
      <c r="AP1609" s="2060"/>
      <c r="AQ1609" s="2060"/>
      <c r="AR1609" s="2060"/>
      <c r="AS1609" s="2060"/>
      <c r="AT1609" s="2060"/>
      <c r="AU1609" s="2060"/>
      <c r="AV1609" s="2060"/>
      <c r="AW1609" s="2060"/>
      <c r="AX1609" s="2060"/>
      <c r="AY1609" s="2060"/>
      <c r="AZ1609" s="2060"/>
      <c r="BA1609" s="2060"/>
      <c r="BB1609" s="2060"/>
      <c r="BC1609" s="2060"/>
      <c r="BD1609" s="2060"/>
      <c r="BE1609" s="2060"/>
      <c r="BF1609" s="2060"/>
      <c r="BG1609" s="2060"/>
      <c r="BH1609" s="2060"/>
      <c r="BI1609" s="2060"/>
      <c r="BJ1609" s="2060"/>
      <c r="BK1609" s="2060"/>
      <c r="BL1609" s="2060"/>
      <c r="BM1609" s="2060"/>
      <c r="BN1609" s="2060"/>
      <c r="BO1609" s="2060"/>
      <c r="BP1609" s="2060"/>
      <c r="BQ1609" s="2060"/>
      <c r="BR1609" s="2060"/>
      <c r="BS1609" s="2060"/>
      <c r="BT1609" s="2060"/>
      <c r="BU1609" s="2060"/>
      <c r="BV1609" s="2060"/>
      <c r="BW1609" s="2060"/>
      <c r="BX1609" s="2060"/>
      <c r="BY1609" s="2060"/>
      <c r="BZ1609" s="2060"/>
      <c r="CA1609" s="2060"/>
      <c r="CB1609" s="2060"/>
      <c r="CC1609" s="2060"/>
      <c r="CD1609" s="2060"/>
      <c r="CE1609" s="2060"/>
      <c r="CF1609" s="2060"/>
      <c r="CG1609" s="2060"/>
      <c r="CH1609" s="2060"/>
      <c r="CI1609" s="2060"/>
      <c r="CJ1609" s="2060"/>
      <c r="CK1609" s="2060"/>
      <c r="CL1609" s="2060"/>
      <c r="CM1609" s="2060"/>
      <c r="CN1609" s="2060"/>
      <c r="CO1609" s="2060"/>
      <c r="CP1609" s="2060"/>
      <c r="CQ1609" s="2060"/>
      <c r="CR1609" s="2060"/>
      <c r="CS1609" s="2060"/>
      <c r="CT1609" s="2060"/>
      <c r="CU1609" s="2060"/>
      <c r="CV1609" s="2060"/>
      <c r="CW1609" s="2060"/>
      <c r="CX1609" s="2060"/>
      <c r="CY1609" s="2060"/>
      <c r="CZ1609" s="2060"/>
      <c r="DA1609" s="2060"/>
      <c r="DB1609" s="2060"/>
      <c r="DC1609" s="2060"/>
      <c r="DD1609" s="2060"/>
      <c r="DE1609" s="2060"/>
      <c r="DF1609" s="2060"/>
      <c r="DG1609" s="2060"/>
      <c r="DH1609" s="2060"/>
      <c r="DI1609" s="2060"/>
      <c r="DJ1609" s="2060"/>
      <c r="DK1609" s="2060"/>
      <c r="DL1609" s="2060"/>
      <c r="DM1609" s="2060"/>
      <c r="DN1609" s="2060"/>
      <c r="DO1609" s="2060"/>
      <c r="DP1609" s="2060"/>
      <c r="DQ1609" s="2060"/>
      <c r="DR1609" s="2060"/>
      <c r="DS1609" s="2060"/>
      <c r="DT1609" s="2060"/>
      <c r="DU1609" s="2060"/>
      <c r="DV1609" s="2060"/>
      <c r="DW1609" s="2060"/>
      <c r="DX1609" s="2060"/>
      <c r="DY1609" s="2060"/>
      <c r="DZ1609" s="2060"/>
      <c r="EA1609" s="2060"/>
      <c r="EB1609" s="2060"/>
      <c r="EC1609" s="2060"/>
      <c r="ED1609" s="2060"/>
      <c r="EE1609" s="2060"/>
      <c r="EF1609" s="2060"/>
      <c r="EG1609" s="2060"/>
      <c r="EH1609" s="2060"/>
      <c r="EI1609" s="2060"/>
      <c r="EJ1609" s="2060"/>
      <c r="EK1609" s="2060"/>
      <c r="EL1609" s="2060"/>
      <c r="EM1609" s="2060"/>
      <c r="EN1609" s="2060"/>
      <c r="EO1609" s="2060"/>
      <c r="EP1609" s="2060"/>
      <c r="EQ1609" s="2060"/>
      <c r="ER1609" s="2060"/>
      <c r="ES1609" s="2060"/>
      <c r="ET1609" s="2060"/>
      <c r="EU1609" s="2060"/>
      <c r="EV1609" s="2060"/>
      <c r="EW1609" s="2060"/>
      <c r="EX1609" s="2060"/>
      <c r="EY1609" s="2060"/>
      <c r="EZ1609" s="2060"/>
      <c r="FA1609" s="2060"/>
      <c r="FB1609" s="2060"/>
      <c r="FC1609" s="2060"/>
      <c r="FD1609" s="2060"/>
      <c r="FE1609" s="2060"/>
      <c r="FF1609" s="2060"/>
      <c r="FG1609" s="2060"/>
      <c r="FH1609" s="2060"/>
      <c r="FI1609" s="2060"/>
      <c r="FJ1609" s="2060"/>
      <c r="FK1609" s="2060"/>
      <c r="FL1609" s="2060"/>
      <c r="FM1609" s="2060"/>
      <c r="FN1609" s="2060"/>
      <c r="FO1609" s="2060"/>
      <c r="FP1609" s="2060"/>
      <c r="FQ1609" s="2060"/>
      <c r="FR1609" s="2060"/>
      <c r="FS1609" s="2060"/>
      <c r="FT1609" s="2060"/>
      <c r="FU1609" s="2060"/>
      <c r="FV1609" s="2060"/>
      <c r="FW1609" s="2060"/>
      <c r="FX1609" s="2060"/>
      <c r="FY1609" s="2060"/>
      <c r="FZ1609" s="2060"/>
      <c r="GA1609" s="2060"/>
      <c r="GB1609" s="2060"/>
      <c r="GC1609" s="2060"/>
      <c r="GD1609" s="2060"/>
      <c r="GE1609" s="2060"/>
      <c r="GF1609" s="2060"/>
      <c r="GG1609" s="2060"/>
      <c r="GH1609" s="2060"/>
      <c r="GI1609" s="2060"/>
      <c r="GJ1609" s="2060"/>
      <c r="GK1609" s="2060"/>
      <c r="GL1609" s="2060"/>
      <c r="GM1609" s="2060"/>
      <c r="GN1609" s="2060"/>
      <c r="GO1609" s="2060"/>
      <c r="GP1609" s="2060"/>
      <c r="GQ1609" s="2060"/>
      <c r="GR1609" s="2060"/>
      <c r="GS1609" s="2060"/>
      <c r="GT1609" s="2060"/>
      <c r="GU1609" s="2060"/>
      <c r="GV1609" s="2060"/>
      <c r="GW1609" s="2060"/>
      <c r="GX1609" s="2060"/>
      <c r="GY1609" s="2060"/>
      <c r="GZ1609" s="2060"/>
      <c r="HA1609" s="2060"/>
      <c r="HB1609" s="2060"/>
      <c r="HC1609" s="2060"/>
      <c r="HD1609" s="2060"/>
      <c r="HE1609" s="2060"/>
      <c r="HF1609" s="2060"/>
      <c r="HG1609" s="2060"/>
      <c r="HH1609" s="2060"/>
      <c r="HI1609" s="2060"/>
      <c r="HJ1609" s="2060"/>
      <c r="HK1609" s="2060"/>
      <c r="HL1609" s="2060"/>
      <c r="HM1609" s="2060"/>
      <c r="HN1609" s="2060"/>
      <c r="HO1609" s="2060"/>
      <c r="HP1609" s="2060"/>
      <c r="HQ1609" s="2060"/>
      <c r="HR1609" s="2060"/>
      <c r="HS1609" s="2060"/>
      <c r="HT1609" s="2060"/>
      <c r="HU1609" s="2060"/>
      <c r="HV1609" s="2060"/>
      <c r="HW1609" s="2060"/>
      <c r="HX1609" s="2060"/>
      <c r="HY1609" s="2060"/>
      <c r="HZ1609" s="2060"/>
      <c r="IA1609" s="2060"/>
      <c r="IB1609" s="2060"/>
      <c r="IC1609" s="2060"/>
      <c r="ID1609" s="2060"/>
      <c r="IE1609" s="2060"/>
      <c r="IF1609" s="2060"/>
      <c r="IG1609" s="2060"/>
      <c r="IH1609" s="2060"/>
      <c r="II1609" s="2060"/>
      <c r="IJ1609" s="2060"/>
      <c r="IK1609" s="2060"/>
      <c r="IL1609" s="2060"/>
      <c r="IM1609" s="2060"/>
      <c r="IN1609" s="2060"/>
      <c r="IO1609" s="2060"/>
      <c r="IP1609" s="2060"/>
      <c r="IQ1609" s="2060"/>
      <c r="IR1609" s="2060"/>
      <c r="IS1609" s="2060"/>
      <c r="IT1609" s="2060"/>
      <c r="IU1609" s="2060"/>
      <c r="IV1609" s="2060"/>
      <c r="IW1609" s="2060"/>
      <c r="IX1609" s="2060"/>
      <c r="IY1609" s="2060"/>
      <c r="IZ1609" s="2060"/>
      <c r="JA1609" s="2060"/>
      <c r="JB1609" s="2060"/>
      <c r="JC1609" s="2060"/>
      <c r="JD1609" s="2060"/>
      <c r="JE1609" s="2060"/>
      <c r="JF1609" s="2060"/>
      <c r="JG1609" s="2060"/>
      <c r="JH1609" s="2060"/>
      <c r="JI1609" s="2060"/>
      <c r="JJ1609" s="2060"/>
      <c r="JK1609" s="2060"/>
      <c r="JL1609" s="2060"/>
      <c r="JM1609" s="2060"/>
      <c r="JN1609" s="2060"/>
      <c r="JO1609" s="2060"/>
      <c r="JP1609" s="2060"/>
      <c r="JQ1609" s="2060"/>
      <c r="JR1609" s="2060"/>
      <c r="JS1609" s="2060"/>
      <c r="JT1609" s="2060"/>
      <c r="JU1609" s="2060"/>
      <c r="JV1609" s="2060"/>
      <c r="JW1609" s="2060"/>
      <c r="JX1609" s="2060"/>
      <c r="JY1609" s="2060"/>
      <c r="JZ1609" s="2060"/>
      <c r="KA1609" s="2060"/>
      <c r="KB1609" s="2060"/>
      <c r="KC1609" s="2060"/>
      <c r="KD1609" s="2060"/>
      <c r="KE1609" s="2060"/>
      <c r="KF1609" s="2060"/>
      <c r="KG1609" s="2060"/>
      <c r="KH1609" s="2060"/>
      <c r="KI1609" s="2060"/>
      <c r="KJ1609" s="2060"/>
      <c r="KK1609" s="2060"/>
      <c r="KL1609" s="2060"/>
      <c r="KM1609" s="2060"/>
      <c r="KN1609" s="2060"/>
      <c r="KO1609" s="2060"/>
      <c r="KP1609" s="2060"/>
      <c r="KQ1609" s="2060"/>
      <c r="KR1609" s="2060"/>
      <c r="KS1609" s="2060"/>
      <c r="KT1609" s="2060"/>
      <c r="KU1609" s="2060"/>
      <c r="KV1609" s="2060"/>
      <c r="KW1609" s="2060"/>
      <c r="KX1609" s="2060"/>
      <c r="KY1609" s="2060"/>
      <c r="KZ1609" s="2060"/>
      <c r="LA1609" s="2060"/>
      <c r="LB1609" s="2060"/>
      <c r="LC1609" s="2060"/>
      <c r="LD1609" s="2060"/>
      <c r="LE1609" s="2060"/>
      <c r="LF1609" s="2060"/>
      <c r="LG1609" s="2060"/>
      <c r="LH1609" s="2060"/>
    </row>
    <row r="1610" spans="1:320" s="1499" customFormat="1" ht="13.9">
      <c r="A1610" s="269" t="str">
        <f t="shared" si="440"/>
        <v>n</v>
      </c>
      <c r="B1610" s="2060"/>
      <c r="C1610" s="2060"/>
      <c r="D1610" s="2060"/>
      <c r="E1610" s="1661">
        <v>23</v>
      </c>
      <c r="F1610" s="1353" t="str">
        <f>F$151</f>
        <v>--</v>
      </c>
      <c r="G1610" s="128">
        <f>G$151</f>
        <v>0</v>
      </c>
      <c r="H1610" s="128" t="str">
        <f>H$151</f>
        <v>--</v>
      </c>
      <c r="I1610" s="89" t="s">
        <v>781</v>
      </c>
      <c r="J1610" s="2197" t="str">
        <f>IF($G1610=0,"",IFERROR(_xll.ciqfunctions.udf.CIQ($G1610,$I1610,J$1557,Valuation_Date_GC,ReportType,DataMode,$H1610,FXMode)*Scale,"n/a"))</f>
        <v/>
      </c>
      <c r="K1610" s="2197" t="str">
        <f>IF($G1610=0,"",IFERROR(_xll.ciqfunctions.udf.CIQ($G1610,$I1610,K$1557,Valuation_Date_GC,ReportType,DataMode,$H1610,FXMode)*Scale,"n/a"))</f>
        <v/>
      </c>
      <c r="L1610" s="2197" t="str">
        <f>IF($G1610=0,"",IFERROR(_xll.ciqfunctions.udf.CIQ($G1610,$I1610,L$1557,Valuation_Date_GC,ReportType,DataMode,$H1610,FXMode)*Scale,"n/a"))</f>
        <v/>
      </c>
      <c r="M1610" s="2197" t="str">
        <f>IF($G1610=0,"",IFERROR(_xll.ciqfunctions.udf.CIQ($G1610,$I1610,M$1557,Valuation_Date_GC,ReportType,DataMode,$H1610,FXMode)*Scale,"n/a"))</f>
        <v/>
      </c>
      <c r="N1610" s="2197" t="str">
        <f>IF($G1610=0,"",IFERROR(_xll.ciqfunctions.udf.CIQ($G1610,$I1610,N$1557,Valuation_Date_GC,ReportType,DataMode,$H1610,FXMode)*Scale,"n/a"))</f>
        <v/>
      </c>
      <c r="O1610" s="2197" t="str">
        <f>IF($G1610=0,"",IFERROR(_xll.ciqfunctions.udf.CIQ($G1610,$I1610,O$1557,Valuation_Date_GC,ReportType,DataMode,$H1610,FXMode)*Scale,"n/a"))</f>
        <v/>
      </c>
      <c r="P1610" s="2197" t="str">
        <f>IF($G1610=0,"",IFERROR(_xll.ciqfunctions.udf.CIQ($G1610,$I1610,P$1557,Valuation_Date_GC,ReportType,DataMode,$H1610,FXMode)*Scale,"n/a"))</f>
        <v/>
      </c>
      <c r="Q1610" s="2197" t="str">
        <f>IF($G1610=0,"",IFERROR(_xll.ciqfunctions.udf.CIQ($G1610,$I1610,Q$1557,Valuation_Date_GC,ReportType,DataMode,$H1610,FXMode)*Scale,"n/a"))</f>
        <v/>
      </c>
      <c r="R1610" s="2197" t="str">
        <f>IF($G1610=0,"",IFERROR(_xll.ciqfunctions.udf.CIQ($G1610,$I1610,R$1557,Valuation_Date_GC,ReportType,DataMode,$H1610,FXMode)*Scale,"n/a"))</f>
        <v/>
      </c>
      <c r="S1610" s="2197" t="str">
        <f>IF($G1610=0,"",IFERROR(_xll.ciqfunctions.udf.CIQ($G1610,$I1610,S$1557,Valuation_Date_GC,ReportType,DataMode,$H1610,FXMode)*Scale,"n/a"))</f>
        <v/>
      </c>
      <c r="T1610" s="2197" t="str">
        <f>IF($G1610=0,"",IFERROR(_xll.ciqfunctions.udf.CIQ($G1610,$I1610,T$1557,Valuation_Date_GC,ReportType,DataMode,$H1610,FXMode)*Scale,"n/a"))</f>
        <v/>
      </c>
      <c r="U1610" s="2197" t="str">
        <f>IF($G1610=0,"",IFERROR(_xll.ciqfunctions.udf.CIQ($G1610,$I1610,U$1557,Valuation_Date_GC,ReportType,DataMode,$H1610,FXMode)*Scale,"n/a"))</f>
        <v/>
      </c>
      <c r="V1610" s="2197" t="str">
        <f>IF($G1610=0,"",IFERROR(_xll.ciqfunctions.udf.CIQ($G1610,$I1610,V$1557,Valuation_Date_GC,ReportType,DataMode,$H1610,FXMode)*Scale,"n/a"))</f>
        <v/>
      </c>
      <c r="W1610" s="1479"/>
      <c r="X1610" s="255"/>
      <c r="Y1610" s="255"/>
      <c r="Z1610" s="2060"/>
      <c r="AA1610" s="2060"/>
      <c r="AB1610" s="2060"/>
      <c r="AC1610" s="2060"/>
      <c r="AD1610" s="2060"/>
      <c r="AE1610" s="2060"/>
      <c r="AF1610" s="2060"/>
      <c r="AG1610" s="2060"/>
      <c r="AH1610" s="2060"/>
      <c r="AI1610" s="2060"/>
      <c r="AJ1610" s="2060"/>
      <c r="AK1610" s="2060"/>
      <c r="AL1610" s="2060"/>
      <c r="AM1610" s="2060"/>
      <c r="AN1610" s="2060"/>
      <c r="AO1610" s="2060"/>
      <c r="AP1610" s="2060"/>
      <c r="AQ1610" s="2060"/>
      <c r="AR1610" s="2060"/>
      <c r="AS1610" s="2060"/>
      <c r="AT1610" s="2060"/>
      <c r="AU1610" s="2060"/>
      <c r="AV1610" s="2060"/>
      <c r="AW1610" s="2060"/>
      <c r="AX1610" s="2060"/>
      <c r="AY1610" s="2060"/>
      <c r="AZ1610" s="2060"/>
      <c r="BA1610" s="2060"/>
      <c r="BB1610" s="2060"/>
      <c r="BC1610" s="2060"/>
      <c r="BD1610" s="2060"/>
      <c r="BE1610" s="2060"/>
      <c r="BF1610" s="2060"/>
      <c r="BG1610" s="2060"/>
      <c r="BH1610" s="2060"/>
      <c r="BI1610" s="2060"/>
      <c r="BJ1610" s="2060"/>
      <c r="BK1610" s="2060"/>
      <c r="BL1610" s="2060"/>
      <c r="BM1610" s="2060"/>
      <c r="BN1610" s="2060"/>
      <c r="BO1610" s="2060"/>
      <c r="BP1610" s="2060"/>
      <c r="BQ1610" s="2060"/>
      <c r="BR1610" s="2060"/>
      <c r="BS1610" s="2060"/>
      <c r="BT1610" s="2060"/>
      <c r="BU1610" s="2060"/>
      <c r="BV1610" s="2060"/>
      <c r="BW1610" s="2060"/>
      <c r="BX1610" s="2060"/>
      <c r="BY1610" s="2060"/>
      <c r="BZ1610" s="2060"/>
      <c r="CA1610" s="2060"/>
      <c r="CB1610" s="2060"/>
      <c r="CC1610" s="2060"/>
      <c r="CD1610" s="2060"/>
      <c r="CE1610" s="2060"/>
      <c r="CF1610" s="2060"/>
      <c r="CG1610" s="2060"/>
      <c r="CH1610" s="2060"/>
      <c r="CI1610" s="2060"/>
      <c r="CJ1610" s="2060"/>
      <c r="CK1610" s="2060"/>
      <c r="CL1610" s="2060"/>
      <c r="CM1610" s="2060"/>
      <c r="CN1610" s="2060"/>
      <c r="CO1610" s="2060"/>
      <c r="CP1610" s="2060"/>
      <c r="CQ1610" s="2060"/>
      <c r="CR1610" s="2060"/>
      <c r="CS1610" s="2060"/>
      <c r="CT1610" s="2060"/>
      <c r="CU1610" s="2060"/>
      <c r="CV1610" s="2060"/>
      <c r="CW1610" s="2060"/>
      <c r="CX1610" s="2060"/>
      <c r="CY1610" s="2060"/>
      <c r="CZ1610" s="2060"/>
      <c r="DA1610" s="2060"/>
      <c r="DB1610" s="2060"/>
      <c r="DC1610" s="2060"/>
      <c r="DD1610" s="2060"/>
      <c r="DE1610" s="2060"/>
      <c r="DF1610" s="2060"/>
      <c r="DG1610" s="2060"/>
      <c r="DH1610" s="2060"/>
      <c r="DI1610" s="2060"/>
      <c r="DJ1610" s="2060"/>
      <c r="DK1610" s="2060"/>
      <c r="DL1610" s="2060"/>
      <c r="DM1610" s="2060"/>
      <c r="DN1610" s="2060"/>
      <c r="DO1610" s="2060"/>
      <c r="DP1610" s="2060"/>
      <c r="DQ1610" s="2060"/>
      <c r="DR1610" s="2060"/>
      <c r="DS1610" s="2060"/>
      <c r="DT1610" s="2060"/>
      <c r="DU1610" s="2060"/>
      <c r="DV1610" s="2060"/>
      <c r="DW1610" s="2060"/>
      <c r="DX1610" s="2060"/>
      <c r="DY1610" s="2060"/>
      <c r="DZ1610" s="2060"/>
      <c r="EA1610" s="2060"/>
      <c r="EB1610" s="2060"/>
      <c r="EC1610" s="2060"/>
      <c r="ED1610" s="2060"/>
      <c r="EE1610" s="2060"/>
      <c r="EF1610" s="2060"/>
      <c r="EG1610" s="2060"/>
      <c r="EH1610" s="2060"/>
      <c r="EI1610" s="2060"/>
      <c r="EJ1610" s="2060"/>
      <c r="EK1610" s="2060"/>
      <c r="EL1610" s="2060"/>
      <c r="EM1610" s="2060"/>
      <c r="EN1610" s="2060"/>
      <c r="EO1610" s="2060"/>
      <c r="EP1610" s="2060"/>
      <c r="EQ1610" s="2060"/>
      <c r="ER1610" s="2060"/>
      <c r="ES1610" s="2060"/>
      <c r="ET1610" s="2060"/>
      <c r="EU1610" s="2060"/>
      <c r="EV1610" s="2060"/>
      <c r="EW1610" s="2060"/>
      <c r="EX1610" s="2060"/>
      <c r="EY1610" s="2060"/>
      <c r="EZ1610" s="2060"/>
      <c r="FA1610" s="2060"/>
      <c r="FB1610" s="2060"/>
      <c r="FC1610" s="2060"/>
      <c r="FD1610" s="2060"/>
      <c r="FE1610" s="2060"/>
      <c r="FF1610" s="2060"/>
      <c r="FG1610" s="2060"/>
      <c r="FH1610" s="2060"/>
      <c r="FI1610" s="2060"/>
      <c r="FJ1610" s="2060"/>
      <c r="FK1610" s="2060"/>
      <c r="FL1610" s="2060"/>
      <c r="FM1610" s="2060"/>
      <c r="FN1610" s="2060"/>
      <c r="FO1610" s="2060"/>
      <c r="FP1610" s="2060"/>
      <c r="FQ1610" s="2060"/>
      <c r="FR1610" s="2060"/>
      <c r="FS1610" s="2060"/>
      <c r="FT1610" s="2060"/>
      <c r="FU1610" s="2060"/>
      <c r="FV1610" s="2060"/>
      <c r="FW1610" s="2060"/>
      <c r="FX1610" s="2060"/>
      <c r="FY1610" s="2060"/>
      <c r="FZ1610" s="2060"/>
      <c r="GA1610" s="2060"/>
      <c r="GB1610" s="2060"/>
      <c r="GC1610" s="2060"/>
      <c r="GD1610" s="2060"/>
      <c r="GE1610" s="2060"/>
      <c r="GF1610" s="2060"/>
      <c r="GG1610" s="2060"/>
      <c r="GH1610" s="2060"/>
      <c r="GI1610" s="2060"/>
      <c r="GJ1610" s="2060"/>
      <c r="GK1610" s="2060"/>
      <c r="GL1610" s="2060"/>
      <c r="GM1610" s="2060"/>
      <c r="GN1610" s="2060"/>
      <c r="GO1610" s="2060"/>
      <c r="GP1610" s="2060"/>
      <c r="GQ1610" s="2060"/>
      <c r="GR1610" s="2060"/>
      <c r="GS1610" s="2060"/>
      <c r="GT1610" s="2060"/>
      <c r="GU1610" s="2060"/>
      <c r="GV1610" s="2060"/>
      <c r="GW1610" s="2060"/>
      <c r="GX1610" s="2060"/>
      <c r="GY1610" s="2060"/>
      <c r="GZ1610" s="2060"/>
      <c r="HA1610" s="2060"/>
      <c r="HB1610" s="2060"/>
      <c r="HC1610" s="2060"/>
      <c r="HD1610" s="2060"/>
      <c r="HE1610" s="2060"/>
      <c r="HF1610" s="2060"/>
      <c r="HG1610" s="2060"/>
      <c r="HH1610" s="2060"/>
      <c r="HI1610" s="2060"/>
      <c r="HJ1610" s="2060"/>
      <c r="HK1610" s="2060"/>
      <c r="HL1610" s="2060"/>
      <c r="HM1610" s="2060"/>
      <c r="HN1610" s="2060"/>
      <c r="HO1610" s="2060"/>
      <c r="HP1610" s="2060"/>
      <c r="HQ1610" s="2060"/>
      <c r="HR1610" s="2060"/>
      <c r="HS1610" s="2060"/>
      <c r="HT1610" s="2060"/>
      <c r="HU1610" s="2060"/>
      <c r="HV1610" s="2060"/>
      <c r="HW1610" s="2060"/>
      <c r="HX1610" s="2060"/>
      <c r="HY1610" s="2060"/>
      <c r="HZ1610" s="2060"/>
      <c r="IA1610" s="2060"/>
      <c r="IB1610" s="2060"/>
      <c r="IC1610" s="2060"/>
      <c r="ID1610" s="2060"/>
      <c r="IE1610" s="2060"/>
      <c r="IF1610" s="2060"/>
      <c r="IG1610" s="2060"/>
      <c r="IH1610" s="2060"/>
      <c r="II1610" s="2060"/>
      <c r="IJ1610" s="2060"/>
      <c r="IK1610" s="2060"/>
      <c r="IL1610" s="2060"/>
      <c r="IM1610" s="2060"/>
      <c r="IN1610" s="2060"/>
      <c r="IO1610" s="2060"/>
      <c r="IP1610" s="2060"/>
      <c r="IQ1610" s="2060"/>
      <c r="IR1610" s="2060"/>
      <c r="IS1610" s="2060"/>
      <c r="IT1610" s="2060"/>
      <c r="IU1610" s="2060"/>
      <c r="IV1610" s="2060"/>
      <c r="IW1610" s="2060"/>
      <c r="IX1610" s="2060"/>
      <c r="IY1610" s="2060"/>
      <c r="IZ1610" s="2060"/>
      <c r="JA1610" s="2060"/>
      <c r="JB1610" s="2060"/>
      <c r="JC1610" s="2060"/>
      <c r="JD1610" s="2060"/>
      <c r="JE1610" s="2060"/>
      <c r="JF1610" s="2060"/>
      <c r="JG1610" s="2060"/>
      <c r="JH1610" s="2060"/>
      <c r="JI1610" s="2060"/>
      <c r="JJ1610" s="2060"/>
      <c r="JK1610" s="2060"/>
      <c r="JL1610" s="2060"/>
      <c r="JM1610" s="2060"/>
      <c r="JN1610" s="2060"/>
      <c r="JO1610" s="2060"/>
      <c r="JP1610" s="2060"/>
      <c r="JQ1610" s="2060"/>
      <c r="JR1610" s="2060"/>
      <c r="JS1610" s="2060"/>
      <c r="JT1610" s="2060"/>
      <c r="JU1610" s="2060"/>
      <c r="JV1610" s="2060"/>
      <c r="JW1610" s="2060"/>
      <c r="JX1610" s="2060"/>
      <c r="JY1610" s="2060"/>
      <c r="JZ1610" s="2060"/>
      <c r="KA1610" s="2060"/>
      <c r="KB1610" s="2060"/>
      <c r="KC1610" s="2060"/>
      <c r="KD1610" s="2060"/>
      <c r="KE1610" s="2060"/>
      <c r="KF1610" s="2060"/>
      <c r="KG1610" s="2060"/>
      <c r="KH1610" s="2060"/>
      <c r="KI1610" s="2060"/>
      <c r="KJ1610" s="2060"/>
      <c r="KK1610" s="2060"/>
      <c r="KL1610" s="2060"/>
      <c r="KM1610" s="2060"/>
      <c r="KN1610" s="2060"/>
      <c r="KO1610" s="2060"/>
      <c r="KP1610" s="2060"/>
      <c r="KQ1610" s="2060"/>
      <c r="KR1610" s="2060"/>
      <c r="KS1610" s="2060"/>
      <c r="KT1610" s="2060"/>
      <c r="KU1610" s="2060"/>
      <c r="KV1610" s="2060"/>
      <c r="KW1610" s="2060"/>
      <c r="KX1610" s="2060"/>
      <c r="KY1610" s="2060"/>
      <c r="KZ1610" s="2060"/>
      <c r="LA1610" s="2060"/>
      <c r="LB1610" s="2060"/>
      <c r="LC1610" s="2060"/>
      <c r="LD1610" s="2060"/>
      <c r="LE1610" s="2060"/>
      <c r="LF1610" s="2060"/>
      <c r="LG1610" s="2060"/>
      <c r="LH1610" s="2060"/>
    </row>
    <row r="1611" spans="1:320" s="1499" customFormat="1" ht="13.9">
      <c r="A1611" s="269" t="str">
        <f t="shared" si="440"/>
        <v>n</v>
      </c>
      <c r="B1611" s="2060"/>
      <c r="C1611" s="2060"/>
      <c r="D1611" s="2060"/>
      <c r="E1611" s="1661">
        <v>24</v>
      </c>
      <c r="F1611" s="1353" t="str">
        <f>F$152</f>
        <v>--</v>
      </c>
      <c r="G1611" s="128">
        <f>G$152</f>
        <v>0</v>
      </c>
      <c r="H1611" s="128" t="str">
        <f>H$152</f>
        <v>--</v>
      </c>
      <c r="I1611" s="89" t="s">
        <v>781</v>
      </c>
      <c r="J1611" s="2197" t="str">
        <f>IF($G1611=0,"",IFERROR(_xll.ciqfunctions.udf.CIQ($G1611,$I1611,J$1557,Valuation_Date_GC,ReportType,DataMode,$H1611,FXMode)*Scale,"n/a"))</f>
        <v/>
      </c>
      <c r="K1611" s="2197" t="str">
        <f>IF($G1611=0,"",IFERROR(_xll.ciqfunctions.udf.CIQ($G1611,$I1611,K$1557,Valuation_Date_GC,ReportType,DataMode,$H1611,FXMode)*Scale,"n/a"))</f>
        <v/>
      </c>
      <c r="L1611" s="2197" t="str">
        <f>IF($G1611=0,"",IFERROR(_xll.ciqfunctions.udf.CIQ($G1611,$I1611,L$1557,Valuation_Date_GC,ReportType,DataMode,$H1611,FXMode)*Scale,"n/a"))</f>
        <v/>
      </c>
      <c r="M1611" s="2197" t="str">
        <f>IF($G1611=0,"",IFERROR(_xll.ciqfunctions.udf.CIQ($G1611,$I1611,M$1557,Valuation_Date_GC,ReportType,DataMode,$H1611,FXMode)*Scale,"n/a"))</f>
        <v/>
      </c>
      <c r="N1611" s="2197" t="str">
        <f>IF($G1611=0,"",IFERROR(_xll.ciqfunctions.udf.CIQ($G1611,$I1611,N$1557,Valuation_Date_GC,ReportType,DataMode,$H1611,FXMode)*Scale,"n/a"))</f>
        <v/>
      </c>
      <c r="O1611" s="2197" t="str">
        <f>IF($G1611=0,"",IFERROR(_xll.ciqfunctions.udf.CIQ($G1611,$I1611,O$1557,Valuation_Date_GC,ReportType,DataMode,$H1611,FXMode)*Scale,"n/a"))</f>
        <v/>
      </c>
      <c r="P1611" s="2197" t="str">
        <f>IF($G1611=0,"",IFERROR(_xll.ciqfunctions.udf.CIQ($G1611,$I1611,P$1557,Valuation_Date_GC,ReportType,DataMode,$H1611,FXMode)*Scale,"n/a"))</f>
        <v/>
      </c>
      <c r="Q1611" s="2197" t="str">
        <f>IF($G1611=0,"",IFERROR(_xll.ciqfunctions.udf.CIQ($G1611,$I1611,Q$1557,Valuation_Date_GC,ReportType,DataMode,$H1611,FXMode)*Scale,"n/a"))</f>
        <v/>
      </c>
      <c r="R1611" s="2197" t="str">
        <f>IF($G1611=0,"",IFERROR(_xll.ciqfunctions.udf.CIQ($G1611,$I1611,R$1557,Valuation_Date_GC,ReportType,DataMode,$H1611,FXMode)*Scale,"n/a"))</f>
        <v/>
      </c>
      <c r="S1611" s="2197" t="str">
        <f>IF($G1611=0,"",IFERROR(_xll.ciqfunctions.udf.CIQ($G1611,$I1611,S$1557,Valuation_Date_GC,ReportType,DataMode,$H1611,FXMode)*Scale,"n/a"))</f>
        <v/>
      </c>
      <c r="T1611" s="2197" t="str">
        <f>IF($G1611=0,"",IFERROR(_xll.ciqfunctions.udf.CIQ($G1611,$I1611,T$1557,Valuation_Date_GC,ReportType,DataMode,$H1611,FXMode)*Scale,"n/a"))</f>
        <v/>
      </c>
      <c r="U1611" s="2197" t="str">
        <f>IF($G1611=0,"",IFERROR(_xll.ciqfunctions.udf.CIQ($G1611,$I1611,U$1557,Valuation_Date_GC,ReportType,DataMode,$H1611,FXMode)*Scale,"n/a"))</f>
        <v/>
      </c>
      <c r="V1611" s="2197" t="str">
        <f>IF($G1611=0,"",IFERROR(_xll.ciqfunctions.udf.CIQ($G1611,$I1611,V$1557,Valuation_Date_GC,ReportType,DataMode,$H1611,FXMode)*Scale,"n/a"))</f>
        <v/>
      </c>
      <c r="W1611" s="1479"/>
      <c r="X1611" s="255"/>
      <c r="Y1611" s="255"/>
      <c r="Z1611" s="2060"/>
      <c r="AA1611" s="2060"/>
      <c r="AB1611" s="2060"/>
      <c r="AC1611" s="2060"/>
      <c r="AD1611" s="2060"/>
      <c r="AE1611" s="2060"/>
      <c r="AF1611" s="2060"/>
      <c r="AG1611" s="2060"/>
      <c r="AH1611" s="2060"/>
      <c r="AI1611" s="2060"/>
      <c r="AJ1611" s="2060"/>
      <c r="AK1611" s="2060"/>
      <c r="AL1611" s="2060"/>
      <c r="AM1611" s="2060"/>
      <c r="AN1611" s="2060"/>
      <c r="AO1611" s="2060"/>
      <c r="AP1611" s="2060"/>
      <c r="AQ1611" s="2060"/>
      <c r="AR1611" s="2060"/>
      <c r="AS1611" s="2060"/>
      <c r="AT1611" s="2060"/>
      <c r="AU1611" s="2060"/>
      <c r="AV1611" s="2060"/>
      <c r="AW1611" s="2060"/>
      <c r="AX1611" s="2060"/>
      <c r="AY1611" s="2060"/>
      <c r="AZ1611" s="2060"/>
      <c r="BA1611" s="2060"/>
      <c r="BB1611" s="2060"/>
      <c r="BC1611" s="2060"/>
      <c r="BD1611" s="2060"/>
      <c r="BE1611" s="2060"/>
      <c r="BF1611" s="2060"/>
      <c r="BG1611" s="2060"/>
      <c r="BH1611" s="2060"/>
      <c r="BI1611" s="2060"/>
      <c r="BJ1611" s="2060"/>
      <c r="BK1611" s="2060"/>
      <c r="BL1611" s="2060"/>
      <c r="BM1611" s="2060"/>
      <c r="BN1611" s="2060"/>
      <c r="BO1611" s="2060"/>
      <c r="BP1611" s="2060"/>
      <c r="BQ1611" s="2060"/>
      <c r="BR1611" s="2060"/>
      <c r="BS1611" s="2060"/>
      <c r="BT1611" s="2060"/>
      <c r="BU1611" s="2060"/>
      <c r="BV1611" s="2060"/>
      <c r="BW1611" s="2060"/>
      <c r="BX1611" s="2060"/>
      <c r="BY1611" s="2060"/>
      <c r="BZ1611" s="2060"/>
      <c r="CA1611" s="2060"/>
      <c r="CB1611" s="2060"/>
      <c r="CC1611" s="2060"/>
      <c r="CD1611" s="2060"/>
      <c r="CE1611" s="2060"/>
      <c r="CF1611" s="2060"/>
      <c r="CG1611" s="2060"/>
      <c r="CH1611" s="2060"/>
      <c r="CI1611" s="2060"/>
      <c r="CJ1611" s="2060"/>
      <c r="CK1611" s="2060"/>
      <c r="CL1611" s="2060"/>
      <c r="CM1611" s="2060"/>
      <c r="CN1611" s="2060"/>
      <c r="CO1611" s="2060"/>
      <c r="CP1611" s="2060"/>
      <c r="CQ1611" s="2060"/>
      <c r="CR1611" s="2060"/>
      <c r="CS1611" s="2060"/>
      <c r="CT1611" s="2060"/>
      <c r="CU1611" s="2060"/>
      <c r="CV1611" s="2060"/>
      <c r="CW1611" s="2060"/>
      <c r="CX1611" s="2060"/>
      <c r="CY1611" s="2060"/>
      <c r="CZ1611" s="2060"/>
      <c r="DA1611" s="2060"/>
      <c r="DB1611" s="2060"/>
      <c r="DC1611" s="2060"/>
      <c r="DD1611" s="2060"/>
      <c r="DE1611" s="2060"/>
      <c r="DF1611" s="2060"/>
      <c r="DG1611" s="2060"/>
      <c r="DH1611" s="2060"/>
      <c r="DI1611" s="2060"/>
      <c r="DJ1611" s="2060"/>
      <c r="DK1611" s="2060"/>
      <c r="DL1611" s="2060"/>
      <c r="DM1611" s="2060"/>
      <c r="DN1611" s="2060"/>
      <c r="DO1611" s="2060"/>
      <c r="DP1611" s="2060"/>
      <c r="DQ1611" s="2060"/>
      <c r="DR1611" s="2060"/>
      <c r="DS1611" s="2060"/>
      <c r="DT1611" s="2060"/>
      <c r="DU1611" s="2060"/>
      <c r="DV1611" s="2060"/>
      <c r="DW1611" s="2060"/>
      <c r="DX1611" s="2060"/>
      <c r="DY1611" s="2060"/>
      <c r="DZ1611" s="2060"/>
      <c r="EA1611" s="2060"/>
      <c r="EB1611" s="2060"/>
      <c r="EC1611" s="2060"/>
      <c r="ED1611" s="2060"/>
      <c r="EE1611" s="2060"/>
      <c r="EF1611" s="2060"/>
      <c r="EG1611" s="2060"/>
      <c r="EH1611" s="2060"/>
      <c r="EI1611" s="2060"/>
      <c r="EJ1611" s="2060"/>
      <c r="EK1611" s="2060"/>
      <c r="EL1611" s="2060"/>
      <c r="EM1611" s="2060"/>
      <c r="EN1611" s="2060"/>
      <c r="EO1611" s="2060"/>
      <c r="EP1611" s="2060"/>
      <c r="EQ1611" s="2060"/>
      <c r="ER1611" s="2060"/>
      <c r="ES1611" s="2060"/>
      <c r="ET1611" s="2060"/>
      <c r="EU1611" s="2060"/>
      <c r="EV1611" s="2060"/>
      <c r="EW1611" s="2060"/>
      <c r="EX1611" s="2060"/>
      <c r="EY1611" s="2060"/>
      <c r="EZ1611" s="2060"/>
      <c r="FA1611" s="2060"/>
      <c r="FB1611" s="2060"/>
      <c r="FC1611" s="2060"/>
      <c r="FD1611" s="2060"/>
      <c r="FE1611" s="2060"/>
      <c r="FF1611" s="2060"/>
      <c r="FG1611" s="2060"/>
      <c r="FH1611" s="2060"/>
      <c r="FI1611" s="2060"/>
      <c r="FJ1611" s="2060"/>
      <c r="FK1611" s="2060"/>
      <c r="FL1611" s="2060"/>
      <c r="FM1611" s="2060"/>
      <c r="FN1611" s="2060"/>
      <c r="FO1611" s="2060"/>
      <c r="FP1611" s="2060"/>
      <c r="FQ1611" s="2060"/>
      <c r="FR1611" s="2060"/>
      <c r="FS1611" s="2060"/>
      <c r="FT1611" s="2060"/>
      <c r="FU1611" s="2060"/>
      <c r="FV1611" s="2060"/>
      <c r="FW1611" s="2060"/>
      <c r="FX1611" s="2060"/>
      <c r="FY1611" s="2060"/>
      <c r="FZ1611" s="2060"/>
      <c r="GA1611" s="2060"/>
      <c r="GB1611" s="2060"/>
      <c r="GC1611" s="2060"/>
      <c r="GD1611" s="2060"/>
      <c r="GE1611" s="2060"/>
      <c r="GF1611" s="2060"/>
      <c r="GG1611" s="2060"/>
      <c r="GH1611" s="2060"/>
      <c r="GI1611" s="2060"/>
      <c r="GJ1611" s="2060"/>
      <c r="GK1611" s="2060"/>
      <c r="GL1611" s="2060"/>
      <c r="GM1611" s="2060"/>
      <c r="GN1611" s="2060"/>
      <c r="GO1611" s="2060"/>
      <c r="GP1611" s="2060"/>
      <c r="GQ1611" s="2060"/>
      <c r="GR1611" s="2060"/>
      <c r="GS1611" s="2060"/>
      <c r="GT1611" s="2060"/>
      <c r="GU1611" s="2060"/>
      <c r="GV1611" s="2060"/>
      <c r="GW1611" s="2060"/>
      <c r="GX1611" s="2060"/>
      <c r="GY1611" s="2060"/>
      <c r="GZ1611" s="2060"/>
      <c r="HA1611" s="2060"/>
      <c r="HB1611" s="2060"/>
      <c r="HC1611" s="2060"/>
      <c r="HD1611" s="2060"/>
      <c r="HE1611" s="2060"/>
      <c r="HF1611" s="2060"/>
      <c r="HG1611" s="2060"/>
      <c r="HH1611" s="2060"/>
      <c r="HI1611" s="2060"/>
      <c r="HJ1611" s="2060"/>
      <c r="HK1611" s="2060"/>
      <c r="HL1611" s="2060"/>
      <c r="HM1611" s="2060"/>
      <c r="HN1611" s="2060"/>
      <c r="HO1611" s="2060"/>
      <c r="HP1611" s="2060"/>
      <c r="HQ1611" s="2060"/>
      <c r="HR1611" s="2060"/>
      <c r="HS1611" s="2060"/>
      <c r="HT1611" s="2060"/>
      <c r="HU1611" s="2060"/>
      <c r="HV1611" s="2060"/>
      <c r="HW1611" s="2060"/>
      <c r="HX1611" s="2060"/>
      <c r="HY1611" s="2060"/>
      <c r="HZ1611" s="2060"/>
      <c r="IA1611" s="2060"/>
      <c r="IB1611" s="2060"/>
      <c r="IC1611" s="2060"/>
      <c r="ID1611" s="2060"/>
      <c r="IE1611" s="2060"/>
      <c r="IF1611" s="2060"/>
      <c r="IG1611" s="2060"/>
      <c r="IH1611" s="2060"/>
      <c r="II1611" s="2060"/>
      <c r="IJ1611" s="2060"/>
      <c r="IK1611" s="2060"/>
      <c r="IL1611" s="2060"/>
      <c r="IM1611" s="2060"/>
      <c r="IN1611" s="2060"/>
      <c r="IO1611" s="2060"/>
      <c r="IP1611" s="2060"/>
      <c r="IQ1611" s="2060"/>
      <c r="IR1611" s="2060"/>
      <c r="IS1611" s="2060"/>
      <c r="IT1611" s="2060"/>
      <c r="IU1611" s="2060"/>
      <c r="IV1611" s="2060"/>
      <c r="IW1611" s="2060"/>
      <c r="IX1611" s="2060"/>
      <c r="IY1611" s="2060"/>
      <c r="IZ1611" s="2060"/>
      <c r="JA1611" s="2060"/>
      <c r="JB1611" s="2060"/>
      <c r="JC1611" s="2060"/>
      <c r="JD1611" s="2060"/>
      <c r="JE1611" s="2060"/>
      <c r="JF1611" s="2060"/>
      <c r="JG1611" s="2060"/>
      <c r="JH1611" s="2060"/>
      <c r="JI1611" s="2060"/>
      <c r="JJ1611" s="2060"/>
      <c r="JK1611" s="2060"/>
      <c r="JL1611" s="2060"/>
      <c r="JM1611" s="2060"/>
      <c r="JN1611" s="2060"/>
      <c r="JO1611" s="2060"/>
      <c r="JP1611" s="2060"/>
      <c r="JQ1611" s="2060"/>
      <c r="JR1611" s="2060"/>
      <c r="JS1611" s="2060"/>
      <c r="JT1611" s="2060"/>
      <c r="JU1611" s="2060"/>
      <c r="JV1611" s="2060"/>
      <c r="JW1611" s="2060"/>
      <c r="JX1611" s="2060"/>
      <c r="JY1611" s="2060"/>
      <c r="JZ1611" s="2060"/>
      <c r="KA1611" s="2060"/>
      <c r="KB1611" s="2060"/>
      <c r="KC1611" s="2060"/>
      <c r="KD1611" s="2060"/>
      <c r="KE1611" s="2060"/>
      <c r="KF1611" s="2060"/>
      <c r="KG1611" s="2060"/>
      <c r="KH1611" s="2060"/>
      <c r="KI1611" s="2060"/>
      <c r="KJ1611" s="2060"/>
      <c r="KK1611" s="2060"/>
      <c r="KL1611" s="2060"/>
      <c r="KM1611" s="2060"/>
      <c r="KN1611" s="2060"/>
      <c r="KO1611" s="2060"/>
      <c r="KP1611" s="2060"/>
      <c r="KQ1611" s="2060"/>
      <c r="KR1611" s="2060"/>
      <c r="KS1611" s="2060"/>
      <c r="KT1611" s="2060"/>
      <c r="KU1611" s="2060"/>
      <c r="KV1611" s="2060"/>
      <c r="KW1611" s="2060"/>
      <c r="KX1611" s="2060"/>
      <c r="KY1611" s="2060"/>
      <c r="KZ1611" s="2060"/>
      <c r="LA1611" s="2060"/>
      <c r="LB1611" s="2060"/>
      <c r="LC1611" s="2060"/>
      <c r="LD1611" s="2060"/>
      <c r="LE1611" s="2060"/>
      <c r="LF1611" s="2060"/>
      <c r="LG1611" s="2060"/>
      <c r="LH1611" s="2060"/>
    </row>
    <row r="1612" spans="1:320" s="449" customFormat="1" ht="13.9">
      <c r="A1612" s="269" t="str">
        <f t="shared" si="440"/>
        <v>n</v>
      </c>
      <c r="B1612" s="2060"/>
      <c r="C1612" s="2060"/>
      <c r="D1612" s="2060"/>
      <c r="E1612" s="1661">
        <v>25</v>
      </c>
      <c r="F1612" s="1353" t="str">
        <f>F$153</f>
        <v>--</v>
      </c>
      <c r="G1612" s="128">
        <f>G$153</f>
        <v>0</v>
      </c>
      <c r="H1612" s="128" t="str">
        <f>H$153</f>
        <v>--</v>
      </c>
      <c r="I1612" s="89" t="s">
        <v>781</v>
      </c>
      <c r="J1612" s="2197" t="str">
        <f>IF($G1612=0,"",IFERROR(_xll.ciqfunctions.udf.CIQ($G1612,$I1612,J$1557,Valuation_Date_GC,ReportType,DataMode,$H1612,FXMode)*Scale,"n/a"))</f>
        <v/>
      </c>
      <c r="K1612" s="2197" t="str">
        <f>IF($G1612=0,"",IFERROR(_xll.ciqfunctions.udf.CIQ($G1612,$I1612,K$1557,Valuation_Date_GC,ReportType,DataMode,$H1612,FXMode)*Scale,"n/a"))</f>
        <v/>
      </c>
      <c r="L1612" s="2197" t="str">
        <f>IF($G1612=0,"",IFERROR(_xll.ciqfunctions.udf.CIQ($G1612,$I1612,L$1557,Valuation_Date_GC,ReportType,DataMode,$H1612,FXMode)*Scale,"n/a"))</f>
        <v/>
      </c>
      <c r="M1612" s="2197" t="str">
        <f>IF($G1612=0,"",IFERROR(_xll.ciqfunctions.udf.CIQ($G1612,$I1612,M$1557,Valuation_Date_GC,ReportType,DataMode,$H1612,FXMode)*Scale,"n/a"))</f>
        <v/>
      </c>
      <c r="N1612" s="2197" t="str">
        <f>IF($G1612=0,"",IFERROR(_xll.ciqfunctions.udf.CIQ($G1612,$I1612,N$1557,Valuation_Date_GC,ReportType,DataMode,$H1612,FXMode)*Scale,"n/a"))</f>
        <v/>
      </c>
      <c r="O1612" s="2197" t="str">
        <f>IF($G1612=0,"",IFERROR(_xll.ciqfunctions.udf.CIQ($G1612,$I1612,O$1557,Valuation_Date_GC,ReportType,DataMode,$H1612,FXMode)*Scale,"n/a"))</f>
        <v/>
      </c>
      <c r="P1612" s="2197" t="str">
        <f>IF($G1612=0,"",IFERROR(_xll.ciqfunctions.udf.CIQ($G1612,$I1612,P$1557,Valuation_Date_GC,ReportType,DataMode,$H1612,FXMode)*Scale,"n/a"))</f>
        <v/>
      </c>
      <c r="Q1612" s="2197" t="str">
        <f>IF($G1612=0,"",IFERROR(_xll.ciqfunctions.udf.CIQ($G1612,$I1612,Q$1557,Valuation_Date_GC,ReportType,DataMode,$H1612,FXMode)*Scale,"n/a"))</f>
        <v/>
      </c>
      <c r="R1612" s="2197" t="str">
        <f>IF($G1612=0,"",IFERROR(_xll.ciqfunctions.udf.CIQ($G1612,$I1612,R$1557,Valuation_Date_GC,ReportType,DataMode,$H1612,FXMode)*Scale,"n/a"))</f>
        <v/>
      </c>
      <c r="S1612" s="2197" t="str">
        <f>IF($G1612=0,"",IFERROR(_xll.ciqfunctions.udf.CIQ($G1612,$I1612,S$1557,Valuation_Date_GC,ReportType,DataMode,$H1612,FXMode)*Scale,"n/a"))</f>
        <v/>
      </c>
      <c r="T1612" s="2197" t="str">
        <f>IF($G1612=0,"",IFERROR(_xll.ciqfunctions.udf.CIQ($G1612,$I1612,T$1557,Valuation_Date_GC,ReportType,DataMode,$H1612,FXMode)*Scale,"n/a"))</f>
        <v/>
      </c>
      <c r="U1612" s="2197" t="str">
        <f>IF($G1612=0,"",IFERROR(_xll.ciqfunctions.udf.CIQ($G1612,$I1612,U$1557,Valuation_Date_GC,ReportType,DataMode,$H1612,FXMode)*Scale,"n/a"))</f>
        <v/>
      </c>
      <c r="V1612" s="2197" t="str">
        <f>IF($G1612=0,"",IFERROR(_xll.ciqfunctions.udf.CIQ($G1612,$I1612,V$1557,Valuation_Date_GC,ReportType,DataMode,$H1612,FXMode)*Scale,"n/a"))</f>
        <v/>
      </c>
      <c r="W1612" s="1479"/>
      <c r="X1612" s="255"/>
      <c r="Y1612" s="89"/>
      <c r="Z1612" s="2060"/>
      <c r="AA1612" s="2060"/>
      <c r="AB1612" s="2060"/>
      <c r="AC1612" s="2060"/>
      <c r="AD1612" s="2060"/>
      <c r="AE1612" s="2060"/>
      <c r="AF1612" s="2060"/>
      <c r="AG1612" s="2060"/>
      <c r="AH1612" s="2060"/>
      <c r="AI1612" s="2060"/>
      <c r="AJ1612" s="2060"/>
      <c r="AK1612" s="2060"/>
      <c r="AL1612" s="2060"/>
      <c r="AM1612" s="2060"/>
      <c r="AN1612" s="2060"/>
      <c r="AO1612" s="2060"/>
      <c r="AP1612" s="2060"/>
      <c r="AQ1612" s="2060"/>
      <c r="AR1612" s="2060"/>
      <c r="AS1612" s="2060"/>
      <c r="AT1612" s="2060"/>
      <c r="AU1612" s="2060"/>
      <c r="AV1612" s="2060"/>
      <c r="AW1612" s="2060"/>
      <c r="AX1612" s="2060"/>
      <c r="AY1612" s="2060"/>
      <c r="AZ1612" s="2060"/>
      <c r="BA1612" s="2060"/>
      <c r="BB1612" s="2060"/>
      <c r="BC1612" s="2060"/>
      <c r="BD1612" s="2060"/>
      <c r="BE1612" s="2060"/>
      <c r="BF1612" s="2060"/>
      <c r="BG1612" s="2060"/>
      <c r="BH1612" s="2060"/>
      <c r="BI1612" s="2060"/>
      <c r="BJ1612" s="2060"/>
      <c r="BK1612" s="2060"/>
      <c r="BL1612" s="2060"/>
      <c r="BM1612" s="2060"/>
      <c r="BN1612" s="2060"/>
      <c r="BO1612" s="2060"/>
      <c r="BP1612" s="2060"/>
      <c r="BQ1612" s="2060"/>
      <c r="BR1612" s="2060"/>
      <c r="BS1612" s="2060"/>
      <c r="BT1612" s="2060"/>
      <c r="BU1612" s="2060"/>
      <c r="BV1612" s="2060"/>
      <c r="BW1612" s="2060"/>
      <c r="BX1612" s="2060"/>
      <c r="BY1612" s="2060"/>
      <c r="BZ1612" s="2060"/>
      <c r="CA1612" s="2060"/>
      <c r="CB1612" s="2060"/>
      <c r="CC1612" s="2060"/>
      <c r="CD1612" s="2060"/>
      <c r="CE1612" s="2060"/>
      <c r="CF1612" s="2060"/>
      <c r="CG1612" s="2060"/>
      <c r="CH1612" s="2060"/>
      <c r="CI1612" s="2060"/>
      <c r="CJ1612" s="2060"/>
      <c r="CK1612" s="2060"/>
      <c r="CL1612" s="2060"/>
      <c r="CM1612" s="2060"/>
      <c r="CN1612" s="2060"/>
      <c r="CO1612" s="2060"/>
      <c r="CP1612" s="2060"/>
      <c r="CQ1612" s="2060"/>
      <c r="CR1612" s="2060"/>
      <c r="CS1612" s="2060"/>
      <c r="CT1612" s="2060"/>
      <c r="CU1612" s="2060"/>
      <c r="CV1612" s="2060"/>
      <c r="CW1612" s="2060"/>
      <c r="CX1612" s="2060"/>
      <c r="CY1612" s="2060"/>
      <c r="CZ1612" s="2060"/>
      <c r="DA1612" s="2060"/>
      <c r="DB1612" s="2060"/>
      <c r="DC1612" s="2060"/>
      <c r="DD1612" s="2060"/>
      <c r="DE1612" s="2060"/>
      <c r="DF1612" s="2060"/>
      <c r="DG1612" s="2060"/>
      <c r="DH1612" s="2060"/>
      <c r="DI1612" s="2060"/>
      <c r="DJ1612" s="2060"/>
      <c r="DK1612" s="2060"/>
      <c r="DL1612" s="2060"/>
      <c r="DM1612" s="2060"/>
      <c r="DN1612" s="2060"/>
      <c r="DO1612" s="2060"/>
      <c r="DP1612" s="2060"/>
      <c r="DQ1612" s="2060"/>
      <c r="DR1612" s="2060"/>
      <c r="DS1612" s="2060"/>
      <c r="DT1612" s="2060"/>
      <c r="DU1612" s="2060"/>
      <c r="DV1612" s="2060"/>
      <c r="DW1612" s="2060"/>
      <c r="DX1612" s="2060"/>
      <c r="DY1612" s="2060"/>
      <c r="DZ1612" s="2060"/>
      <c r="EA1612" s="2060"/>
      <c r="EB1612" s="2060"/>
      <c r="EC1612" s="2060"/>
      <c r="ED1612" s="2060"/>
      <c r="EE1612" s="2060"/>
      <c r="EF1612" s="2060"/>
      <c r="EG1612" s="2060"/>
      <c r="EH1612" s="2060"/>
      <c r="EI1612" s="2060"/>
      <c r="EJ1612" s="2060"/>
      <c r="EK1612" s="2060"/>
      <c r="EL1612" s="2060"/>
      <c r="EM1612" s="2060"/>
      <c r="EN1612" s="2060"/>
      <c r="EO1612" s="2060"/>
      <c r="EP1612" s="2060"/>
      <c r="EQ1612" s="2060"/>
      <c r="ER1612" s="2060"/>
      <c r="ES1612" s="2060"/>
      <c r="ET1612" s="2060"/>
      <c r="EU1612" s="2060"/>
      <c r="EV1612" s="2060"/>
      <c r="EW1612" s="2060"/>
      <c r="EX1612" s="2060"/>
      <c r="EY1612" s="2060"/>
      <c r="EZ1612" s="2060"/>
      <c r="FA1612" s="2060"/>
      <c r="FB1612" s="2060"/>
      <c r="FC1612" s="2060"/>
      <c r="FD1612" s="2060"/>
      <c r="FE1612" s="2060"/>
      <c r="FF1612" s="2060"/>
      <c r="FG1612" s="2060"/>
      <c r="FH1612" s="2060"/>
      <c r="FI1612" s="2060"/>
      <c r="FJ1612" s="2060"/>
      <c r="FK1612" s="2060"/>
      <c r="FL1612" s="2060"/>
      <c r="FM1612" s="2060"/>
      <c r="FN1612" s="2060"/>
      <c r="FO1612" s="2060"/>
      <c r="FP1612" s="2060"/>
      <c r="FQ1612" s="2060"/>
      <c r="FR1612" s="2060"/>
      <c r="FS1612" s="2060"/>
      <c r="FT1612" s="2060"/>
      <c r="FU1612" s="2060"/>
      <c r="FV1612" s="2060"/>
      <c r="FW1612" s="2060"/>
      <c r="FX1612" s="2060"/>
      <c r="FY1612" s="2060"/>
      <c r="FZ1612" s="2060"/>
      <c r="GA1612" s="2060"/>
      <c r="GB1612" s="2060"/>
      <c r="GC1612" s="2060"/>
      <c r="GD1612" s="2060"/>
      <c r="GE1612" s="2060"/>
      <c r="GF1612" s="2060"/>
      <c r="GG1612" s="2060"/>
      <c r="GH1612" s="2060"/>
      <c r="GI1612" s="2060"/>
      <c r="GJ1612" s="2060"/>
      <c r="GK1612" s="2060"/>
      <c r="GL1612" s="2060"/>
      <c r="GM1612" s="2060"/>
      <c r="GN1612" s="2060"/>
      <c r="GO1612" s="2060"/>
      <c r="GP1612" s="2060"/>
      <c r="GQ1612" s="2060"/>
      <c r="GR1612" s="2060"/>
      <c r="GS1612" s="2060"/>
      <c r="GT1612" s="2060"/>
      <c r="GU1612" s="2060"/>
      <c r="GV1612" s="2060"/>
      <c r="GW1612" s="2060"/>
      <c r="GX1612" s="2060"/>
      <c r="GY1612" s="2060"/>
      <c r="GZ1612" s="2060"/>
      <c r="HA1612" s="2060"/>
      <c r="HB1612" s="2060"/>
      <c r="HC1612" s="2060"/>
      <c r="HD1612" s="2060"/>
      <c r="HE1612" s="2060"/>
      <c r="HF1612" s="2060"/>
      <c r="HG1612" s="2060"/>
      <c r="HH1612" s="2060"/>
      <c r="HI1612" s="2060"/>
      <c r="HJ1612" s="2060"/>
      <c r="HK1612" s="2060"/>
      <c r="HL1612" s="2060"/>
      <c r="HM1612" s="2060"/>
      <c r="HN1612" s="2060"/>
      <c r="HO1612" s="2060"/>
      <c r="HP1612" s="2060"/>
      <c r="HQ1612" s="2060"/>
      <c r="HR1612" s="2060"/>
      <c r="HS1612" s="2060"/>
      <c r="HT1612" s="2060"/>
      <c r="HU1612" s="2060"/>
      <c r="HV1612" s="2060"/>
      <c r="HW1612" s="2060"/>
      <c r="HX1612" s="2060"/>
      <c r="HY1612" s="2060"/>
      <c r="HZ1612" s="2060"/>
      <c r="IA1612" s="2060"/>
      <c r="IB1612" s="2060"/>
      <c r="IC1612" s="2060"/>
      <c r="ID1612" s="2060"/>
      <c r="IE1612" s="2060"/>
      <c r="IF1612" s="2060"/>
      <c r="IG1612" s="2060"/>
      <c r="IH1612" s="2060"/>
      <c r="II1612" s="2060"/>
      <c r="IJ1612" s="2060"/>
      <c r="IK1612" s="2060"/>
      <c r="IL1612" s="2060"/>
      <c r="IM1612" s="2060"/>
      <c r="IN1612" s="2060"/>
      <c r="IO1612" s="2060"/>
      <c r="IP1612" s="2060"/>
      <c r="IQ1612" s="2060"/>
      <c r="IR1612" s="2060"/>
      <c r="IS1612" s="2060"/>
      <c r="IT1612" s="2060"/>
      <c r="IU1612" s="2060"/>
      <c r="IV1612" s="2060"/>
      <c r="IW1612" s="2060"/>
      <c r="IX1612" s="2060"/>
      <c r="IY1612" s="2060"/>
      <c r="IZ1612" s="2060"/>
      <c r="JA1612" s="2060"/>
      <c r="JB1612" s="2060"/>
      <c r="JC1612" s="2060"/>
      <c r="JD1612" s="2060"/>
      <c r="JE1612" s="2060"/>
      <c r="JF1612" s="2060"/>
      <c r="JG1612" s="2060"/>
      <c r="JH1612" s="2060"/>
      <c r="JI1612" s="2060"/>
      <c r="JJ1612" s="2060"/>
      <c r="JK1612" s="2060"/>
      <c r="JL1612" s="2060"/>
      <c r="JM1612" s="2060"/>
      <c r="JN1612" s="2060"/>
      <c r="JO1612" s="2060"/>
      <c r="JP1612" s="2060"/>
      <c r="JQ1612" s="2060"/>
      <c r="JR1612" s="2060"/>
      <c r="JS1612" s="2060"/>
      <c r="JT1612" s="2060"/>
      <c r="JU1612" s="2060"/>
      <c r="JV1612" s="2060"/>
      <c r="JW1612" s="2060"/>
      <c r="JX1612" s="2060"/>
      <c r="JY1612" s="2060"/>
      <c r="JZ1612" s="2060"/>
      <c r="KA1612" s="2060"/>
      <c r="KB1612" s="2060"/>
      <c r="KC1612" s="2060"/>
      <c r="KD1612" s="2060"/>
      <c r="KE1612" s="2060"/>
      <c r="KF1612" s="2060"/>
      <c r="KG1612" s="2060"/>
      <c r="KH1612" s="2060"/>
      <c r="KI1612" s="2060"/>
      <c r="KJ1612" s="2060"/>
      <c r="KK1612" s="2060"/>
      <c r="KL1612" s="2060"/>
      <c r="KM1612" s="2060"/>
      <c r="KN1612" s="2060"/>
      <c r="KO1612" s="2060"/>
      <c r="KP1612" s="2060"/>
      <c r="KQ1612" s="2060"/>
      <c r="KR1612" s="2060"/>
      <c r="KS1612" s="2060"/>
      <c r="KT1612" s="2060"/>
      <c r="KU1612" s="2060"/>
      <c r="KV1612" s="2060"/>
      <c r="KW1612" s="2060"/>
      <c r="KX1612" s="2060"/>
      <c r="KY1612" s="2060"/>
      <c r="KZ1612" s="2060"/>
      <c r="LA1612" s="2060"/>
      <c r="LB1612" s="2060"/>
      <c r="LC1612" s="2060"/>
      <c r="LD1612" s="2060"/>
      <c r="LE1612" s="2060"/>
      <c r="LF1612" s="2060"/>
      <c r="LG1612" s="2060"/>
      <c r="LH1612" s="2060"/>
    </row>
    <row r="1613" spans="1:320" s="449" customFormat="1" ht="13.9">
      <c r="A1613" s="2060"/>
      <c r="B1613" s="2060"/>
      <c r="C1613" s="2060"/>
      <c r="D1613" s="2060"/>
      <c r="E1613" s="505"/>
      <c r="F1613" s="1349"/>
      <c r="G1613" s="1349"/>
      <c r="H1613" s="1349"/>
      <c r="I1613" s="89"/>
      <c r="J1613" s="1558"/>
      <c r="K1613" s="1558"/>
      <c r="L1613" s="1558"/>
      <c r="M1613" s="1558"/>
      <c r="N1613" s="1558"/>
      <c r="O1613" s="1558"/>
      <c r="P1613" s="1558"/>
      <c r="Q1613" s="1558"/>
      <c r="R1613" s="1558"/>
      <c r="S1613" s="1558"/>
      <c r="T1613" s="1558"/>
      <c r="U1613" s="1558"/>
      <c r="V1613" s="1558"/>
      <c r="W1613" s="1479"/>
      <c r="X1613" s="255"/>
      <c r="Y1613" s="89"/>
      <c r="Z1613" s="2060"/>
      <c r="AA1613" s="2060"/>
      <c r="AB1613" s="2060"/>
      <c r="AC1613" s="2060"/>
      <c r="AD1613" s="2060"/>
      <c r="AE1613" s="2060"/>
      <c r="AF1613" s="2060"/>
      <c r="AG1613" s="2060"/>
      <c r="AH1613" s="2060"/>
      <c r="AI1613" s="2060"/>
      <c r="AJ1613" s="2060"/>
      <c r="AK1613" s="2060"/>
      <c r="AL1613" s="2060"/>
      <c r="AM1613" s="2060"/>
      <c r="AN1613" s="2060"/>
      <c r="AO1613" s="2060"/>
      <c r="AP1613" s="2060"/>
      <c r="AQ1613" s="2060"/>
      <c r="AR1613" s="2060"/>
      <c r="AS1613" s="2060"/>
      <c r="AT1613" s="2060"/>
      <c r="AU1613" s="2060"/>
      <c r="AV1613" s="2060"/>
      <c r="AW1613" s="2060"/>
      <c r="AX1613" s="2060"/>
      <c r="AY1613" s="2060"/>
      <c r="AZ1613" s="2060"/>
      <c r="BA1613" s="2060"/>
      <c r="BB1613" s="2060"/>
      <c r="BC1613" s="2060"/>
      <c r="BD1613" s="2060"/>
      <c r="BE1613" s="2060"/>
      <c r="BF1613" s="2060"/>
      <c r="BG1613" s="2060"/>
      <c r="BH1613" s="2060"/>
      <c r="BI1613" s="2060"/>
      <c r="BJ1613" s="2060"/>
      <c r="BK1613" s="2060"/>
      <c r="BL1613" s="2060"/>
      <c r="BM1613" s="2060"/>
      <c r="BN1613" s="2060"/>
      <c r="BO1613" s="2060"/>
      <c r="BP1613" s="2060"/>
      <c r="BQ1613" s="2060"/>
      <c r="BR1613" s="2060"/>
      <c r="BS1613" s="2060"/>
      <c r="BT1613" s="2060"/>
      <c r="BU1613" s="2060"/>
      <c r="BV1613" s="2060"/>
      <c r="BW1613" s="2060"/>
      <c r="BX1613" s="2060"/>
      <c r="BY1613" s="2060"/>
      <c r="BZ1613" s="2060"/>
      <c r="CA1613" s="2060"/>
      <c r="CB1613" s="2060"/>
      <c r="CC1613" s="2060"/>
      <c r="CD1613" s="2060"/>
      <c r="CE1613" s="2060"/>
      <c r="CF1613" s="2060"/>
      <c r="CG1613" s="2060"/>
      <c r="CH1613" s="2060"/>
      <c r="CI1613" s="2060"/>
      <c r="CJ1613" s="2060"/>
      <c r="CK1613" s="2060"/>
      <c r="CL1613" s="2060"/>
      <c r="CM1613" s="2060"/>
      <c r="CN1613" s="2060"/>
      <c r="CO1613" s="2060"/>
      <c r="CP1613" s="2060"/>
      <c r="CQ1613" s="2060"/>
      <c r="CR1613" s="2060"/>
      <c r="CS1613" s="2060"/>
      <c r="CT1613" s="2060"/>
      <c r="CU1613" s="2060"/>
      <c r="CV1613" s="2060"/>
      <c r="CW1613" s="2060"/>
      <c r="CX1613" s="2060"/>
      <c r="CY1613" s="2060"/>
      <c r="CZ1613" s="2060"/>
      <c r="DA1613" s="2060"/>
      <c r="DB1613" s="2060"/>
      <c r="DC1613" s="2060"/>
      <c r="DD1613" s="2060"/>
      <c r="DE1613" s="2060"/>
      <c r="DF1613" s="2060"/>
      <c r="DG1613" s="2060"/>
      <c r="DH1613" s="2060"/>
      <c r="DI1613" s="2060"/>
      <c r="DJ1613" s="2060"/>
      <c r="DK1613" s="2060"/>
      <c r="DL1613" s="2060"/>
      <c r="DM1613" s="2060"/>
      <c r="DN1613" s="2060"/>
      <c r="DO1613" s="2060"/>
      <c r="DP1613" s="2060"/>
      <c r="DQ1613" s="2060"/>
      <c r="DR1613" s="2060"/>
      <c r="DS1613" s="2060"/>
      <c r="DT1613" s="2060"/>
      <c r="DU1613" s="2060"/>
      <c r="DV1613" s="2060"/>
      <c r="DW1613" s="2060"/>
      <c r="DX1613" s="2060"/>
      <c r="DY1613" s="2060"/>
      <c r="DZ1613" s="2060"/>
      <c r="EA1613" s="2060"/>
      <c r="EB1613" s="2060"/>
      <c r="EC1613" s="2060"/>
      <c r="ED1613" s="2060"/>
      <c r="EE1613" s="2060"/>
      <c r="EF1613" s="2060"/>
      <c r="EG1613" s="2060"/>
      <c r="EH1613" s="2060"/>
      <c r="EI1613" s="2060"/>
      <c r="EJ1613" s="2060"/>
      <c r="EK1613" s="2060"/>
      <c r="EL1613" s="2060"/>
      <c r="EM1613" s="2060"/>
      <c r="EN1613" s="2060"/>
      <c r="EO1613" s="2060"/>
      <c r="EP1613" s="2060"/>
      <c r="EQ1613" s="2060"/>
      <c r="ER1613" s="2060"/>
      <c r="ES1613" s="2060"/>
      <c r="ET1613" s="2060"/>
      <c r="EU1613" s="2060"/>
      <c r="EV1613" s="2060"/>
      <c r="EW1613" s="2060"/>
      <c r="EX1613" s="2060"/>
      <c r="EY1613" s="2060"/>
      <c r="EZ1613" s="2060"/>
      <c r="FA1613" s="2060"/>
      <c r="FB1613" s="2060"/>
      <c r="FC1613" s="2060"/>
      <c r="FD1613" s="2060"/>
      <c r="FE1613" s="2060"/>
      <c r="FF1613" s="2060"/>
      <c r="FG1613" s="2060"/>
      <c r="FH1613" s="2060"/>
      <c r="FI1613" s="2060"/>
      <c r="FJ1613" s="2060"/>
      <c r="FK1613" s="2060"/>
      <c r="FL1613" s="2060"/>
      <c r="FM1613" s="2060"/>
      <c r="FN1613" s="2060"/>
      <c r="FO1613" s="2060"/>
      <c r="FP1613" s="2060"/>
      <c r="FQ1613" s="2060"/>
      <c r="FR1613" s="2060"/>
      <c r="FS1613" s="2060"/>
      <c r="FT1613" s="2060"/>
      <c r="FU1613" s="2060"/>
      <c r="FV1613" s="2060"/>
      <c r="FW1613" s="2060"/>
      <c r="FX1613" s="2060"/>
      <c r="FY1613" s="2060"/>
      <c r="FZ1613" s="2060"/>
      <c r="GA1613" s="2060"/>
      <c r="GB1613" s="2060"/>
      <c r="GC1613" s="2060"/>
      <c r="GD1613" s="2060"/>
      <c r="GE1613" s="2060"/>
      <c r="GF1613" s="2060"/>
      <c r="GG1613" s="2060"/>
      <c r="GH1613" s="2060"/>
      <c r="GI1613" s="2060"/>
      <c r="GJ1613" s="2060"/>
      <c r="GK1613" s="2060"/>
      <c r="GL1613" s="2060"/>
      <c r="GM1613" s="2060"/>
      <c r="GN1613" s="2060"/>
      <c r="GO1613" s="2060"/>
      <c r="GP1613" s="2060"/>
      <c r="GQ1613" s="2060"/>
      <c r="GR1613" s="2060"/>
      <c r="GS1613" s="2060"/>
      <c r="GT1613" s="2060"/>
      <c r="GU1613" s="2060"/>
      <c r="GV1613" s="2060"/>
      <c r="GW1613" s="2060"/>
      <c r="GX1613" s="2060"/>
      <c r="GY1613" s="2060"/>
      <c r="GZ1613" s="2060"/>
      <c r="HA1613" s="2060"/>
      <c r="HB1613" s="2060"/>
      <c r="HC1613" s="2060"/>
      <c r="HD1613" s="2060"/>
      <c r="HE1613" s="2060"/>
      <c r="HF1613" s="2060"/>
      <c r="HG1613" s="2060"/>
      <c r="HH1613" s="2060"/>
      <c r="HI1613" s="2060"/>
      <c r="HJ1613" s="2060"/>
      <c r="HK1613" s="2060"/>
      <c r="HL1613" s="2060"/>
      <c r="HM1613" s="2060"/>
      <c r="HN1613" s="2060"/>
      <c r="HO1613" s="2060"/>
      <c r="HP1613" s="2060"/>
      <c r="HQ1613" s="2060"/>
      <c r="HR1613" s="2060"/>
      <c r="HS1613" s="2060"/>
      <c r="HT1613" s="2060"/>
      <c r="HU1613" s="2060"/>
      <c r="HV1613" s="2060"/>
      <c r="HW1613" s="2060"/>
      <c r="HX1613" s="2060"/>
      <c r="HY1613" s="2060"/>
      <c r="HZ1613" s="2060"/>
      <c r="IA1613" s="2060"/>
      <c r="IB1613" s="2060"/>
      <c r="IC1613" s="2060"/>
      <c r="ID1613" s="2060"/>
      <c r="IE1613" s="2060"/>
      <c r="IF1613" s="2060"/>
      <c r="IG1613" s="2060"/>
      <c r="IH1613" s="2060"/>
      <c r="II1613" s="2060"/>
      <c r="IJ1613" s="2060"/>
      <c r="IK1613" s="2060"/>
      <c r="IL1613" s="2060"/>
      <c r="IM1613" s="2060"/>
      <c r="IN1613" s="2060"/>
      <c r="IO1613" s="2060"/>
      <c r="IP1613" s="2060"/>
      <c r="IQ1613" s="2060"/>
      <c r="IR1613" s="2060"/>
      <c r="IS1613" s="2060"/>
      <c r="IT1613" s="2060"/>
      <c r="IU1613" s="2060"/>
      <c r="IV1613" s="2060"/>
      <c r="IW1613" s="2060"/>
      <c r="IX1613" s="2060"/>
      <c r="IY1613" s="2060"/>
      <c r="IZ1613" s="2060"/>
      <c r="JA1613" s="2060"/>
      <c r="JB1613" s="2060"/>
      <c r="JC1613" s="2060"/>
      <c r="JD1613" s="2060"/>
      <c r="JE1613" s="2060"/>
      <c r="JF1613" s="2060"/>
      <c r="JG1613" s="2060"/>
      <c r="JH1613" s="2060"/>
      <c r="JI1613" s="2060"/>
      <c r="JJ1613" s="2060"/>
      <c r="JK1613" s="2060"/>
      <c r="JL1613" s="2060"/>
      <c r="JM1613" s="2060"/>
      <c r="JN1613" s="2060"/>
      <c r="JO1613" s="2060"/>
      <c r="JP1613" s="2060"/>
      <c r="JQ1613" s="2060"/>
      <c r="JR1613" s="2060"/>
      <c r="JS1613" s="2060"/>
      <c r="JT1613" s="2060"/>
      <c r="JU1613" s="2060"/>
      <c r="JV1613" s="2060"/>
      <c r="JW1613" s="2060"/>
      <c r="JX1613" s="2060"/>
      <c r="JY1613" s="2060"/>
      <c r="JZ1613" s="2060"/>
      <c r="KA1613" s="2060"/>
      <c r="KB1613" s="2060"/>
      <c r="KC1613" s="2060"/>
      <c r="KD1613" s="2060"/>
      <c r="KE1613" s="2060"/>
      <c r="KF1613" s="2060"/>
      <c r="KG1613" s="2060"/>
      <c r="KH1613" s="2060"/>
      <c r="KI1613" s="2060"/>
      <c r="KJ1613" s="2060"/>
      <c r="KK1613" s="2060"/>
      <c r="KL1613" s="2060"/>
      <c r="KM1613" s="2060"/>
      <c r="KN1613" s="2060"/>
      <c r="KO1613" s="2060"/>
      <c r="KP1613" s="2060"/>
      <c r="KQ1613" s="2060"/>
      <c r="KR1613" s="2060"/>
      <c r="KS1613" s="2060"/>
      <c r="KT1613" s="2060"/>
      <c r="KU1613" s="2060"/>
      <c r="KV1613" s="2060"/>
      <c r="KW1613" s="2060"/>
      <c r="KX1613" s="2060"/>
      <c r="KY1613" s="2060"/>
      <c r="KZ1613" s="2060"/>
      <c r="LA1613" s="2060"/>
      <c r="LB1613" s="2060"/>
      <c r="LC1613" s="2060"/>
      <c r="LD1613" s="2060"/>
      <c r="LE1613" s="2060"/>
      <c r="LF1613" s="2060"/>
      <c r="LG1613" s="2060"/>
      <c r="LH1613" s="2060"/>
    </row>
    <row r="1614" spans="1:320" s="449" customFormat="1" ht="13.9">
      <c r="A1614" s="2060"/>
      <c r="B1614" s="2060"/>
      <c r="C1614" s="2060"/>
      <c r="D1614" s="2060"/>
      <c r="E1614" s="505"/>
      <c r="F1614" s="741"/>
      <c r="G1614" s="741"/>
      <c r="H1614" s="741"/>
      <c r="I1614" s="724"/>
      <c r="J1614" s="741" t="str">
        <f>IF(Pension10=1,"Debt includes Pensions","Debt does not include Pensions")</f>
        <v>Debt does not include Pensions</v>
      </c>
      <c r="K1614" s="768"/>
      <c r="L1614" s="768"/>
      <c r="M1614" s="768"/>
      <c r="N1614" s="768"/>
      <c r="O1614" s="768"/>
      <c r="P1614" s="768"/>
      <c r="Q1614" s="768"/>
      <c r="R1614" s="768"/>
      <c r="S1614" s="768"/>
      <c r="T1614" s="768"/>
      <c r="U1614" s="768"/>
      <c r="V1614" s="768"/>
      <c r="W1614" s="1479"/>
      <c r="X1614" s="255"/>
      <c r="Y1614" s="89"/>
      <c r="Z1614" s="2060"/>
      <c r="AA1614" s="2060"/>
      <c r="AB1614" s="2060"/>
      <c r="AC1614" s="2060"/>
      <c r="AD1614" s="2060"/>
      <c r="AE1614" s="2060"/>
      <c r="AF1614" s="2060"/>
      <c r="AG1614" s="2060"/>
      <c r="AH1614" s="2060"/>
      <c r="AI1614" s="2060"/>
      <c r="AJ1614" s="2060"/>
      <c r="AK1614" s="2060"/>
      <c r="AL1614" s="2060"/>
      <c r="AM1614" s="2060"/>
      <c r="AN1614" s="2060"/>
      <c r="AO1614" s="2060"/>
      <c r="AP1614" s="2060"/>
      <c r="AQ1614" s="2060"/>
      <c r="AR1614" s="2060"/>
      <c r="AS1614" s="2060"/>
      <c r="AT1614" s="2060"/>
      <c r="AU1614" s="2060"/>
      <c r="AV1614" s="2060"/>
      <c r="AW1614" s="2060"/>
      <c r="AX1614" s="2060"/>
      <c r="AY1614" s="2060"/>
      <c r="AZ1614" s="2060"/>
      <c r="BA1614" s="2060"/>
      <c r="BB1614" s="2060"/>
      <c r="BC1614" s="2060"/>
      <c r="BD1614" s="2060"/>
      <c r="BE1614" s="2060"/>
      <c r="BF1614" s="2060"/>
      <c r="BG1614" s="2060"/>
      <c r="BH1614" s="2060"/>
      <c r="BI1614" s="2060"/>
      <c r="BJ1614" s="2060"/>
      <c r="BK1614" s="2060"/>
      <c r="BL1614" s="2060"/>
      <c r="BM1614" s="2060"/>
      <c r="BN1614" s="2060"/>
      <c r="BO1614" s="2060"/>
      <c r="BP1614" s="2060"/>
      <c r="BQ1614" s="2060"/>
      <c r="BR1614" s="2060"/>
      <c r="BS1614" s="2060"/>
      <c r="BT1614" s="2060"/>
      <c r="BU1614" s="2060"/>
      <c r="BV1614" s="2060"/>
      <c r="BW1614" s="2060"/>
      <c r="BX1614" s="2060"/>
      <c r="BY1614" s="2060"/>
      <c r="BZ1614" s="2060"/>
      <c r="CA1614" s="2060"/>
      <c r="CB1614" s="2060"/>
      <c r="CC1614" s="2060"/>
      <c r="CD1614" s="2060"/>
      <c r="CE1614" s="2060"/>
      <c r="CF1614" s="2060"/>
      <c r="CG1614" s="2060"/>
      <c r="CH1614" s="2060"/>
      <c r="CI1614" s="2060"/>
      <c r="CJ1614" s="2060"/>
      <c r="CK1614" s="2060"/>
      <c r="CL1614" s="2060"/>
      <c r="CM1614" s="2060"/>
      <c r="CN1614" s="2060"/>
      <c r="CO1614" s="2060"/>
      <c r="CP1614" s="2060"/>
      <c r="CQ1614" s="2060"/>
      <c r="CR1614" s="2060"/>
      <c r="CS1614" s="2060"/>
      <c r="CT1614" s="2060"/>
      <c r="CU1614" s="2060"/>
      <c r="CV1614" s="2060"/>
      <c r="CW1614" s="2060"/>
      <c r="CX1614" s="2060"/>
      <c r="CY1614" s="2060"/>
      <c r="CZ1614" s="2060"/>
      <c r="DA1614" s="2060"/>
      <c r="DB1614" s="2060"/>
      <c r="DC1614" s="2060"/>
      <c r="DD1614" s="2060"/>
      <c r="DE1614" s="2060"/>
      <c r="DF1614" s="2060"/>
      <c r="DG1614" s="2060"/>
      <c r="DH1614" s="2060"/>
      <c r="DI1614" s="2060"/>
      <c r="DJ1614" s="2060"/>
      <c r="DK1614" s="2060"/>
      <c r="DL1614" s="2060"/>
      <c r="DM1614" s="2060"/>
      <c r="DN1614" s="2060"/>
      <c r="DO1614" s="2060"/>
      <c r="DP1614" s="2060"/>
      <c r="DQ1614" s="2060"/>
      <c r="DR1614" s="2060"/>
      <c r="DS1614" s="2060"/>
      <c r="DT1614" s="2060"/>
      <c r="DU1614" s="2060"/>
      <c r="DV1614" s="2060"/>
      <c r="DW1614" s="2060"/>
      <c r="DX1614" s="2060"/>
      <c r="DY1614" s="2060"/>
      <c r="DZ1614" s="2060"/>
      <c r="EA1614" s="2060"/>
      <c r="EB1614" s="2060"/>
      <c r="EC1614" s="2060"/>
      <c r="ED1614" s="2060"/>
      <c r="EE1614" s="2060"/>
      <c r="EF1614" s="2060"/>
      <c r="EG1614" s="2060"/>
      <c r="EH1614" s="2060"/>
      <c r="EI1614" s="2060"/>
      <c r="EJ1614" s="2060"/>
      <c r="EK1614" s="2060"/>
      <c r="EL1614" s="2060"/>
      <c r="EM1614" s="2060"/>
      <c r="EN1614" s="2060"/>
      <c r="EO1614" s="2060"/>
      <c r="EP1614" s="2060"/>
      <c r="EQ1614" s="2060"/>
      <c r="ER1614" s="2060"/>
      <c r="ES1614" s="2060"/>
      <c r="ET1614" s="2060"/>
      <c r="EU1614" s="2060"/>
      <c r="EV1614" s="2060"/>
      <c r="EW1614" s="2060"/>
      <c r="EX1614" s="2060"/>
      <c r="EY1614" s="2060"/>
      <c r="EZ1614" s="2060"/>
      <c r="FA1614" s="2060"/>
      <c r="FB1614" s="2060"/>
      <c r="FC1614" s="2060"/>
      <c r="FD1614" s="2060"/>
      <c r="FE1614" s="2060"/>
      <c r="FF1614" s="2060"/>
      <c r="FG1614" s="2060"/>
      <c r="FH1614" s="2060"/>
      <c r="FI1614" s="2060"/>
      <c r="FJ1614" s="2060"/>
      <c r="FK1614" s="2060"/>
      <c r="FL1614" s="2060"/>
      <c r="FM1614" s="2060"/>
      <c r="FN1614" s="2060"/>
      <c r="FO1614" s="2060"/>
      <c r="FP1614" s="2060"/>
      <c r="FQ1614" s="2060"/>
      <c r="FR1614" s="2060"/>
      <c r="FS1614" s="2060"/>
      <c r="FT1614" s="2060"/>
      <c r="FU1614" s="2060"/>
      <c r="FV1614" s="2060"/>
      <c r="FW1614" s="2060"/>
      <c r="FX1614" s="2060"/>
      <c r="FY1614" s="2060"/>
      <c r="FZ1614" s="2060"/>
      <c r="GA1614" s="2060"/>
      <c r="GB1614" s="2060"/>
      <c r="GC1614" s="2060"/>
      <c r="GD1614" s="2060"/>
      <c r="GE1614" s="2060"/>
      <c r="GF1614" s="2060"/>
      <c r="GG1614" s="2060"/>
      <c r="GH1614" s="2060"/>
      <c r="GI1614" s="2060"/>
      <c r="GJ1614" s="2060"/>
      <c r="GK1614" s="2060"/>
      <c r="GL1614" s="2060"/>
      <c r="GM1614" s="2060"/>
      <c r="GN1614" s="2060"/>
      <c r="GO1614" s="2060"/>
      <c r="GP1614" s="2060"/>
      <c r="GQ1614" s="2060"/>
      <c r="GR1614" s="2060"/>
      <c r="GS1614" s="2060"/>
      <c r="GT1614" s="2060"/>
      <c r="GU1614" s="2060"/>
      <c r="GV1614" s="2060"/>
      <c r="GW1614" s="2060"/>
      <c r="GX1614" s="2060"/>
      <c r="GY1614" s="2060"/>
      <c r="GZ1614" s="2060"/>
      <c r="HA1614" s="2060"/>
      <c r="HB1614" s="2060"/>
      <c r="HC1614" s="2060"/>
      <c r="HD1614" s="2060"/>
      <c r="HE1614" s="2060"/>
      <c r="HF1614" s="2060"/>
      <c r="HG1614" s="2060"/>
      <c r="HH1614" s="2060"/>
      <c r="HI1614" s="2060"/>
      <c r="HJ1614" s="2060"/>
      <c r="HK1614" s="2060"/>
      <c r="HL1614" s="2060"/>
      <c r="HM1614" s="2060"/>
      <c r="HN1614" s="2060"/>
      <c r="HO1614" s="2060"/>
      <c r="HP1614" s="2060"/>
      <c r="HQ1614" s="2060"/>
      <c r="HR1614" s="2060"/>
      <c r="HS1614" s="2060"/>
      <c r="HT1614" s="2060"/>
      <c r="HU1614" s="2060"/>
      <c r="HV1614" s="2060"/>
      <c r="HW1614" s="2060"/>
      <c r="HX1614" s="2060"/>
      <c r="HY1614" s="2060"/>
      <c r="HZ1614" s="2060"/>
      <c r="IA1614" s="2060"/>
      <c r="IB1614" s="2060"/>
      <c r="IC1614" s="2060"/>
      <c r="ID1614" s="2060"/>
      <c r="IE1614" s="2060"/>
      <c r="IF1614" s="2060"/>
      <c r="IG1614" s="2060"/>
      <c r="IH1614" s="2060"/>
      <c r="II1614" s="2060"/>
      <c r="IJ1614" s="2060"/>
      <c r="IK1614" s="2060"/>
      <c r="IL1614" s="2060"/>
      <c r="IM1614" s="2060"/>
      <c r="IN1614" s="2060"/>
      <c r="IO1614" s="2060"/>
      <c r="IP1614" s="2060"/>
      <c r="IQ1614" s="2060"/>
      <c r="IR1614" s="2060"/>
      <c r="IS1614" s="2060"/>
      <c r="IT1614" s="2060"/>
      <c r="IU1614" s="2060"/>
      <c r="IV1614" s="2060"/>
      <c r="IW1614" s="2060"/>
      <c r="IX1614" s="2060"/>
      <c r="IY1614" s="2060"/>
      <c r="IZ1614" s="2060"/>
      <c r="JA1614" s="2060"/>
      <c r="JB1614" s="2060"/>
      <c r="JC1614" s="2060"/>
      <c r="JD1614" s="2060"/>
      <c r="JE1614" s="2060"/>
      <c r="JF1614" s="2060"/>
      <c r="JG1614" s="2060"/>
      <c r="JH1614" s="2060"/>
      <c r="JI1614" s="2060"/>
      <c r="JJ1614" s="2060"/>
      <c r="JK1614" s="2060"/>
      <c r="JL1614" s="2060"/>
      <c r="JM1614" s="2060"/>
      <c r="JN1614" s="2060"/>
      <c r="JO1614" s="2060"/>
      <c r="JP1614" s="2060"/>
      <c r="JQ1614" s="2060"/>
      <c r="JR1614" s="2060"/>
      <c r="JS1614" s="2060"/>
      <c r="JT1614" s="2060"/>
      <c r="JU1614" s="2060"/>
      <c r="JV1614" s="2060"/>
      <c r="JW1614" s="2060"/>
      <c r="JX1614" s="2060"/>
      <c r="JY1614" s="2060"/>
      <c r="JZ1614" s="2060"/>
      <c r="KA1614" s="2060"/>
      <c r="KB1614" s="2060"/>
      <c r="KC1614" s="2060"/>
      <c r="KD1614" s="2060"/>
      <c r="KE1614" s="2060"/>
      <c r="KF1614" s="2060"/>
      <c r="KG1614" s="2060"/>
      <c r="KH1614" s="2060"/>
      <c r="KI1614" s="2060"/>
      <c r="KJ1614" s="2060"/>
      <c r="KK1614" s="2060"/>
      <c r="KL1614" s="2060"/>
      <c r="KM1614" s="2060"/>
      <c r="KN1614" s="2060"/>
      <c r="KO1614" s="2060"/>
      <c r="KP1614" s="2060"/>
      <c r="KQ1614" s="2060"/>
      <c r="KR1614" s="2060"/>
      <c r="KS1614" s="2060"/>
      <c r="KT1614" s="2060"/>
      <c r="KU1614" s="2060"/>
      <c r="KV1614" s="2060"/>
      <c r="KW1614" s="2060"/>
      <c r="KX1614" s="2060"/>
      <c r="KY1614" s="2060"/>
      <c r="KZ1614" s="2060"/>
      <c r="LA1614" s="2060"/>
      <c r="LB1614" s="2060"/>
      <c r="LC1614" s="2060"/>
      <c r="LD1614" s="2060"/>
      <c r="LE1614" s="2060"/>
      <c r="LF1614" s="2060"/>
      <c r="LG1614" s="2060"/>
      <c r="LH1614" s="2060"/>
    </row>
    <row r="1615" spans="1:320" s="449" customFormat="1" ht="13.9">
      <c r="A1615" s="2060"/>
      <c r="B1615" s="2060"/>
      <c r="C1615" s="2060"/>
      <c r="D1615" s="2060"/>
      <c r="E1615" s="505"/>
      <c r="F1615" s="953" t="s">
        <v>193</v>
      </c>
      <c r="G1615" s="737" t="s">
        <v>851</v>
      </c>
      <c r="H1615" s="741"/>
      <c r="I1615" s="724"/>
      <c r="J1615" s="726" t="s">
        <v>837</v>
      </c>
      <c r="K1615" s="726" t="s">
        <v>838</v>
      </c>
      <c r="L1615" s="726" t="s">
        <v>839</v>
      </c>
      <c r="M1615" s="726" t="s">
        <v>841</v>
      </c>
      <c r="N1615" s="726" t="s">
        <v>841</v>
      </c>
      <c r="O1615" s="726" t="s">
        <v>842</v>
      </c>
      <c r="P1615" s="726" t="s">
        <v>843</v>
      </c>
      <c r="Q1615" s="726" t="s">
        <v>844</v>
      </c>
      <c r="R1615" s="726" t="s">
        <v>845</v>
      </c>
      <c r="S1615" s="726" t="s">
        <v>846</v>
      </c>
      <c r="T1615" s="726" t="s">
        <v>847</v>
      </c>
      <c r="U1615" s="726" t="s">
        <v>848</v>
      </c>
      <c r="V1615" s="726" t="s">
        <v>849</v>
      </c>
      <c r="W1615" s="1479"/>
      <c r="X1615" s="255"/>
      <c r="Y1615" s="89"/>
      <c r="Z1615" s="2060"/>
      <c r="AA1615" s="2060"/>
      <c r="AB1615" s="2060"/>
      <c r="AC1615" s="2060"/>
      <c r="AD1615" s="2060"/>
      <c r="AE1615" s="2060"/>
      <c r="AF1615" s="2060"/>
      <c r="AG1615" s="2060"/>
      <c r="AH1615" s="2060"/>
      <c r="AI1615" s="2060"/>
      <c r="AJ1615" s="2060"/>
      <c r="AK1615" s="2060"/>
      <c r="AL1615" s="2060"/>
      <c r="AM1615" s="2060"/>
      <c r="AN1615" s="2060"/>
      <c r="AO1615" s="2060"/>
      <c r="AP1615" s="2060"/>
      <c r="AQ1615" s="2060"/>
      <c r="AR1615" s="2060"/>
      <c r="AS1615" s="2060"/>
      <c r="AT1615" s="2060"/>
      <c r="AU1615" s="2060"/>
      <c r="AV1615" s="2060"/>
      <c r="AW1615" s="2060"/>
      <c r="AX1615" s="2060"/>
      <c r="AY1615" s="2060"/>
      <c r="AZ1615" s="2060"/>
      <c r="BA1615" s="2060"/>
      <c r="BB1615" s="2060"/>
      <c r="BC1615" s="2060"/>
      <c r="BD1615" s="2060"/>
      <c r="BE1615" s="2060"/>
      <c r="BF1615" s="2060"/>
      <c r="BG1615" s="2060"/>
      <c r="BH1615" s="2060"/>
      <c r="BI1615" s="2060"/>
      <c r="BJ1615" s="2060"/>
      <c r="BK1615" s="2060"/>
      <c r="BL1615" s="2060"/>
      <c r="BM1615" s="2060"/>
      <c r="BN1615" s="2060"/>
      <c r="BO1615" s="2060"/>
      <c r="BP1615" s="2060"/>
      <c r="BQ1615" s="2060"/>
      <c r="BR1615" s="2060"/>
      <c r="BS1615" s="2060"/>
      <c r="BT1615" s="2060"/>
      <c r="BU1615" s="2060"/>
      <c r="BV1615" s="2060"/>
      <c r="BW1615" s="2060"/>
      <c r="BX1615" s="2060"/>
      <c r="BY1615" s="2060"/>
      <c r="BZ1615" s="2060"/>
      <c r="CA1615" s="2060"/>
      <c r="CB1615" s="2060"/>
      <c r="CC1615" s="2060"/>
      <c r="CD1615" s="2060"/>
      <c r="CE1615" s="2060"/>
      <c r="CF1615" s="2060"/>
      <c r="CG1615" s="2060"/>
      <c r="CH1615" s="2060"/>
      <c r="CI1615" s="2060"/>
      <c r="CJ1615" s="2060"/>
      <c r="CK1615" s="2060"/>
      <c r="CL1615" s="2060"/>
      <c r="CM1615" s="2060"/>
      <c r="CN1615" s="2060"/>
      <c r="CO1615" s="2060"/>
      <c r="CP1615" s="2060"/>
      <c r="CQ1615" s="2060"/>
      <c r="CR1615" s="2060"/>
      <c r="CS1615" s="2060"/>
      <c r="CT1615" s="2060"/>
      <c r="CU1615" s="2060"/>
      <c r="CV1615" s="2060"/>
      <c r="CW1615" s="2060"/>
      <c r="CX1615" s="2060"/>
      <c r="CY1615" s="2060"/>
      <c r="CZ1615" s="2060"/>
      <c r="DA1615" s="2060"/>
      <c r="DB1615" s="2060"/>
      <c r="DC1615" s="2060"/>
      <c r="DD1615" s="2060"/>
      <c r="DE1615" s="2060"/>
      <c r="DF1615" s="2060"/>
      <c r="DG1615" s="2060"/>
      <c r="DH1615" s="2060"/>
      <c r="DI1615" s="2060"/>
      <c r="DJ1615" s="2060"/>
      <c r="DK1615" s="2060"/>
      <c r="DL1615" s="2060"/>
      <c r="DM1615" s="2060"/>
      <c r="DN1615" s="2060"/>
      <c r="DO1615" s="2060"/>
      <c r="DP1615" s="2060"/>
      <c r="DQ1615" s="2060"/>
      <c r="DR1615" s="2060"/>
      <c r="DS1615" s="2060"/>
      <c r="DT1615" s="2060"/>
      <c r="DU1615" s="2060"/>
      <c r="DV1615" s="2060"/>
      <c r="DW1615" s="2060"/>
      <c r="DX1615" s="2060"/>
      <c r="DY1615" s="2060"/>
      <c r="DZ1615" s="2060"/>
      <c r="EA1615" s="2060"/>
      <c r="EB1615" s="2060"/>
      <c r="EC1615" s="2060"/>
      <c r="ED1615" s="2060"/>
      <c r="EE1615" s="2060"/>
      <c r="EF1615" s="2060"/>
      <c r="EG1615" s="2060"/>
      <c r="EH1615" s="2060"/>
      <c r="EI1615" s="2060"/>
      <c r="EJ1615" s="2060"/>
      <c r="EK1615" s="2060"/>
      <c r="EL1615" s="2060"/>
      <c r="EM1615" s="2060"/>
      <c r="EN1615" s="2060"/>
      <c r="EO1615" s="2060"/>
      <c r="EP1615" s="2060"/>
      <c r="EQ1615" s="2060"/>
      <c r="ER1615" s="2060"/>
      <c r="ES1615" s="2060"/>
      <c r="ET1615" s="2060"/>
      <c r="EU1615" s="2060"/>
      <c r="EV1615" s="2060"/>
      <c r="EW1615" s="2060"/>
      <c r="EX1615" s="2060"/>
      <c r="EY1615" s="2060"/>
      <c r="EZ1615" s="2060"/>
      <c r="FA1615" s="2060"/>
      <c r="FB1615" s="2060"/>
      <c r="FC1615" s="2060"/>
      <c r="FD1615" s="2060"/>
      <c r="FE1615" s="2060"/>
      <c r="FF1615" s="2060"/>
      <c r="FG1615" s="2060"/>
      <c r="FH1615" s="2060"/>
      <c r="FI1615" s="2060"/>
      <c r="FJ1615" s="2060"/>
      <c r="FK1615" s="2060"/>
      <c r="FL1615" s="2060"/>
      <c r="FM1615" s="2060"/>
      <c r="FN1615" s="2060"/>
      <c r="FO1615" s="2060"/>
      <c r="FP1615" s="2060"/>
      <c r="FQ1615" s="2060"/>
      <c r="FR1615" s="2060"/>
      <c r="FS1615" s="2060"/>
      <c r="FT1615" s="2060"/>
      <c r="FU1615" s="2060"/>
      <c r="FV1615" s="2060"/>
      <c r="FW1615" s="2060"/>
      <c r="FX1615" s="2060"/>
      <c r="FY1615" s="2060"/>
      <c r="FZ1615" s="2060"/>
      <c r="GA1615" s="2060"/>
      <c r="GB1615" s="2060"/>
      <c r="GC1615" s="2060"/>
      <c r="GD1615" s="2060"/>
      <c r="GE1615" s="2060"/>
      <c r="GF1615" s="2060"/>
      <c r="GG1615" s="2060"/>
      <c r="GH1615" s="2060"/>
      <c r="GI1615" s="2060"/>
      <c r="GJ1615" s="2060"/>
      <c r="GK1615" s="2060"/>
      <c r="GL1615" s="2060"/>
      <c r="GM1615" s="2060"/>
      <c r="GN1615" s="2060"/>
      <c r="GO1615" s="2060"/>
      <c r="GP1615" s="2060"/>
      <c r="GQ1615" s="2060"/>
      <c r="GR1615" s="2060"/>
      <c r="GS1615" s="2060"/>
      <c r="GT1615" s="2060"/>
      <c r="GU1615" s="2060"/>
      <c r="GV1615" s="2060"/>
      <c r="GW1615" s="2060"/>
      <c r="GX1615" s="2060"/>
      <c r="GY1615" s="2060"/>
      <c r="GZ1615" s="2060"/>
      <c r="HA1615" s="2060"/>
      <c r="HB1615" s="2060"/>
      <c r="HC1615" s="2060"/>
      <c r="HD1615" s="2060"/>
      <c r="HE1615" s="2060"/>
      <c r="HF1615" s="2060"/>
      <c r="HG1615" s="2060"/>
      <c r="HH1615" s="2060"/>
      <c r="HI1615" s="2060"/>
      <c r="HJ1615" s="2060"/>
      <c r="HK1615" s="2060"/>
      <c r="HL1615" s="2060"/>
      <c r="HM1615" s="2060"/>
      <c r="HN1615" s="2060"/>
      <c r="HO1615" s="2060"/>
      <c r="HP1615" s="2060"/>
      <c r="HQ1615" s="2060"/>
      <c r="HR1615" s="2060"/>
      <c r="HS1615" s="2060"/>
      <c r="HT1615" s="2060"/>
      <c r="HU1615" s="2060"/>
      <c r="HV1615" s="2060"/>
      <c r="HW1615" s="2060"/>
      <c r="HX1615" s="2060"/>
      <c r="HY1615" s="2060"/>
      <c r="HZ1615" s="2060"/>
      <c r="IA1615" s="2060"/>
      <c r="IB1615" s="2060"/>
      <c r="IC1615" s="2060"/>
      <c r="ID1615" s="2060"/>
      <c r="IE1615" s="2060"/>
      <c r="IF1615" s="2060"/>
      <c r="IG1615" s="2060"/>
      <c r="IH1615" s="2060"/>
      <c r="II1615" s="2060"/>
      <c r="IJ1615" s="2060"/>
      <c r="IK1615" s="2060"/>
      <c r="IL1615" s="2060"/>
      <c r="IM1615" s="2060"/>
      <c r="IN1615" s="2060"/>
      <c r="IO1615" s="2060"/>
      <c r="IP1615" s="2060"/>
      <c r="IQ1615" s="2060"/>
      <c r="IR1615" s="2060"/>
      <c r="IS1615" s="2060"/>
      <c r="IT1615" s="2060"/>
      <c r="IU1615" s="2060"/>
      <c r="IV1615" s="2060"/>
      <c r="IW1615" s="2060"/>
      <c r="IX1615" s="2060"/>
      <c r="IY1615" s="2060"/>
      <c r="IZ1615" s="2060"/>
      <c r="JA1615" s="2060"/>
      <c r="JB1615" s="2060"/>
      <c r="JC1615" s="2060"/>
      <c r="JD1615" s="2060"/>
      <c r="JE1615" s="2060"/>
      <c r="JF1615" s="2060"/>
      <c r="JG1615" s="2060"/>
      <c r="JH1615" s="2060"/>
      <c r="JI1615" s="2060"/>
      <c r="JJ1615" s="2060"/>
      <c r="JK1615" s="2060"/>
      <c r="JL1615" s="2060"/>
      <c r="JM1615" s="2060"/>
      <c r="JN1615" s="2060"/>
      <c r="JO1615" s="2060"/>
      <c r="JP1615" s="2060"/>
      <c r="JQ1615" s="2060"/>
      <c r="JR1615" s="2060"/>
      <c r="JS1615" s="2060"/>
      <c r="JT1615" s="2060"/>
      <c r="JU1615" s="2060"/>
      <c r="JV1615" s="2060"/>
      <c r="JW1615" s="2060"/>
      <c r="JX1615" s="2060"/>
      <c r="JY1615" s="2060"/>
      <c r="JZ1615" s="2060"/>
      <c r="KA1615" s="2060"/>
      <c r="KB1615" s="2060"/>
      <c r="KC1615" s="2060"/>
      <c r="KD1615" s="2060"/>
      <c r="KE1615" s="2060"/>
      <c r="KF1615" s="2060"/>
      <c r="KG1615" s="2060"/>
      <c r="KH1615" s="2060"/>
      <c r="KI1615" s="2060"/>
      <c r="KJ1615" s="2060"/>
      <c r="KK1615" s="2060"/>
      <c r="KL1615" s="2060"/>
      <c r="KM1615" s="2060"/>
      <c r="KN1615" s="2060"/>
      <c r="KO1615" s="2060"/>
      <c r="KP1615" s="2060"/>
      <c r="KQ1615" s="2060"/>
      <c r="KR1615" s="2060"/>
      <c r="KS1615" s="2060"/>
      <c r="KT1615" s="2060"/>
      <c r="KU1615" s="2060"/>
      <c r="KV1615" s="2060"/>
      <c r="KW1615" s="2060"/>
      <c r="KX1615" s="2060"/>
      <c r="KY1615" s="2060"/>
      <c r="KZ1615" s="2060"/>
      <c r="LA1615" s="2060"/>
      <c r="LB1615" s="2060"/>
      <c r="LC1615" s="2060"/>
      <c r="LD1615" s="2060"/>
      <c r="LE1615" s="2060"/>
      <c r="LF1615" s="2060"/>
      <c r="LG1615" s="2060"/>
      <c r="LH1615" s="2060"/>
    </row>
    <row r="1616" spans="1:320" s="449" customFormat="1" ht="13.9">
      <c r="A1616" s="2060"/>
      <c r="B1616" s="2060"/>
      <c r="C1616" s="2060"/>
      <c r="D1616" s="2060"/>
      <c r="E1616" s="508">
        <v>0</v>
      </c>
      <c r="F1616" s="1453" t="str">
        <f>F$128</f>
        <v/>
      </c>
      <c r="G1616" s="1454">
        <f>G$128</f>
        <v>0</v>
      </c>
      <c r="H1616" s="1455" t="str">
        <f>H$128</f>
        <v>USD</v>
      </c>
      <c r="I1616" s="507" t="s">
        <v>783</v>
      </c>
      <c r="J1616" s="2196" t="str">
        <f>IF($G1616=0,"",IFERROR(_xll.ciqfunctions.udf.CIQ($G1616,$I1616,J$1557,Valuation_Date_GC,ReportType,DataMode,$H1616,FXMode)*Scale+J1587*Pension10,"n/a"))</f>
        <v/>
      </c>
      <c r="K1616" s="2196" t="str">
        <f>IF($G1616=0,"",IFERROR(_xll.ciqfunctions.udf.CIQ($G1616,$I1616,K$1557,Valuation_Date_GC,ReportType,DataMode,$H1616,FXMode)*Scale+K1587*Pension10,"n/a"))</f>
        <v/>
      </c>
      <c r="L1616" s="2196" t="str">
        <f>IF($G1616=0,"",IFERROR(_xll.ciqfunctions.udf.CIQ($G1616,$I1616,L$1557,Valuation_Date_GC,ReportType,DataMode,$H1616,FXMode)*Scale+L1587*Pension10,"n/a"))</f>
        <v/>
      </c>
      <c r="M1616" s="2196" t="str">
        <f>IF($G1616=0,"",IFERROR(_xll.ciqfunctions.udf.CIQ($G1616,$I1616,M$1557,Valuation_Date_GC,ReportType,DataMode,$H1616,FXMode)*Scale+M1587*Pension10,"n/a"))</f>
        <v/>
      </c>
      <c r="N1616" s="2196" t="str">
        <f>IF($G1616=0,"",IFERROR(_xll.ciqfunctions.udf.CIQ($G1616,$I1616,N$1557,Valuation_Date_GC,ReportType,DataMode,$H1616,FXMode)*Scale+N1587*Pension10,"n/a"))</f>
        <v/>
      </c>
      <c r="O1616" s="2196" t="str">
        <f>IF($G1616=0,"",IFERROR(_xll.ciqfunctions.udf.CIQ($G1616,$I1616,O$1557,Valuation_Date_GC,ReportType,DataMode,$H1616,FXMode)*Scale+O1587*Pension10,"n/a"))</f>
        <v/>
      </c>
      <c r="P1616" s="2196" t="str">
        <f>IF($G1616=0,"",IFERROR(_xll.ciqfunctions.udf.CIQ($G1616,$I1616,P$1557,Valuation_Date_GC,ReportType,DataMode,$H1616,FXMode)*Scale+P1587*Pension10,"n/a"))</f>
        <v/>
      </c>
      <c r="Q1616" s="2196" t="str">
        <f>IF($G1616=0,"",IFERROR(_xll.ciqfunctions.udf.CIQ($G1616,$I1616,Q$1557,Valuation_Date_GC,ReportType,DataMode,$H1616,FXMode)*Scale+Q1587*Pension10,"n/a"))</f>
        <v/>
      </c>
      <c r="R1616" s="2196" t="str">
        <f>IF($G1616=0,"",IFERROR(_xll.ciqfunctions.udf.CIQ($G1616,$I1616,R$1557,Valuation_Date_GC,ReportType,DataMode,$H1616,FXMode)*Scale+R1587*Pension10,"n/a"))</f>
        <v/>
      </c>
      <c r="S1616" s="2196" t="str">
        <f>IF($G1616=0,"",IFERROR(_xll.ciqfunctions.udf.CIQ($G1616,$I1616,S$1557,Valuation_Date_GC,ReportType,DataMode,$H1616,FXMode)*Scale+S1587*Pension10,"n/a"))</f>
        <v/>
      </c>
      <c r="T1616" s="2196" t="str">
        <f>IF($G1616=0,"",IFERROR(_xll.ciqfunctions.udf.CIQ($G1616,$I1616,T$1557,Valuation_Date_GC,ReportType,DataMode,$H1616,FXMode)*Scale+T1587*Pension10,"n/a"))</f>
        <v/>
      </c>
      <c r="U1616" s="2196" t="str">
        <f>IF($G1616=0,"",IFERROR(_xll.ciqfunctions.udf.CIQ($G1616,$I1616,U$1557,Valuation_Date_GC,ReportType,DataMode,$H1616,FXMode)*Scale+U1587*Pension10,"n/a"))</f>
        <v/>
      </c>
      <c r="V1616" s="2196" t="str">
        <f>IF($G1616=0,"",IFERROR(_xll.ciqfunctions.udf.CIQ($G1616,$I1616,V$1557,Valuation_Date_GC,ReportType,DataMode,$H1616,FXMode)*Scale+V1587*Pension10,"n/a"))</f>
        <v/>
      </c>
      <c r="W1616" s="1479"/>
      <c r="X1616" s="255"/>
      <c r="Y1616" s="89"/>
      <c r="Z1616" s="2060"/>
      <c r="AA1616" s="2060"/>
      <c r="AB1616" s="2060"/>
      <c r="AC1616" s="2060"/>
      <c r="AD1616" s="2060"/>
      <c r="AE1616" s="2060"/>
      <c r="AF1616" s="2060"/>
      <c r="AG1616" s="2060"/>
      <c r="AH1616" s="2060"/>
      <c r="AI1616" s="2060"/>
      <c r="AJ1616" s="2060"/>
      <c r="AK1616" s="2060"/>
      <c r="AL1616" s="2060"/>
      <c r="AM1616" s="2060"/>
      <c r="AN1616" s="2060"/>
      <c r="AO1616" s="2060"/>
      <c r="AP1616" s="2060"/>
      <c r="AQ1616" s="2060"/>
      <c r="AR1616" s="2060"/>
      <c r="AS1616" s="2060"/>
      <c r="AT1616" s="2060"/>
      <c r="AU1616" s="2060"/>
      <c r="AV1616" s="2060"/>
      <c r="AW1616" s="2060"/>
      <c r="AX1616" s="2060"/>
      <c r="AY1616" s="2060"/>
      <c r="AZ1616" s="2060"/>
      <c r="BA1616" s="2060"/>
      <c r="BB1616" s="2060"/>
      <c r="BC1616" s="2060"/>
      <c r="BD1616" s="2060"/>
      <c r="BE1616" s="2060"/>
      <c r="BF1616" s="2060"/>
      <c r="BG1616" s="2060"/>
      <c r="BH1616" s="2060"/>
      <c r="BI1616" s="2060"/>
      <c r="BJ1616" s="2060"/>
      <c r="BK1616" s="2060"/>
      <c r="BL1616" s="2060"/>
      <c r="BM1616" s="2060"/>
      <c r="BN1616" s="2060"/>
      <c r="BO1616" s="2060"/>
      <c r="BP1616" s="2060"/>
      <c r="BQ1616" s="2060"/>
      <c r="BR1616" s="2060"/>
      <c r="BS1616" s="2060"/>
      <c r="BT1616" s="2060"/>
      <c r="BU1616" s="2060"/>
      <c r="BV1616" s="2060"/>
      <c r="BW1616" s="2060"/>
      <c r="BX1616" s="2060"/>
      <c r="BY1616" s="2060"/>
      <c r="BZ1616" s="2060"/>
      <c r="CA1616" s="2060"/>
      <c r="CB1616" s="2060"/>
      <c r="CC1616" s="2060"/>
      <c r="CD1616" s="2060"/>
      <c r="CE1616" s="2060"/>
      <c r="CF1616" s="2060"/>
      <c r="CG1616" s="2060"/>
      <c r="CH1616" s="2060"/>
      <c r="CI1616" s="2060"/>
      <c r="CJ1616" s="2060"/>
      <c r="CK1616" s="2060"/>
      <c r="CL1616" s="2060"/>
      <c r="CM1616" s="2060"/>
      <c r="CN1616" s="2060"/>
      <c r="CO1616" s="2060"/>
      <c r="CP1616" s="2060"/>
      <c r="CQ1616" s="2060"/>
      <c r="CR1616" s="2060"/>
      <c r="CS1616" s="2060"/>
      <c r="CT1616" s="2060"/>
      <c r="CU1616" s="2060"/>
      <c r="CV1616" s="2060"/>
      <c r="CW1616" s="2060"/>
      <c r="CX1616" s="2060"/>
      <c r="CY1616" s="2060"/>
      <c r="CZ1616" s="2060"/>
      <c r="DA1616" s="2060"/>
      <c r="DB1616" s="2060"/>
      <c r="DC1616" s="2060"/>
      <c r="DD1616" s="2060"/>
      <c r="DE1616" s="2060"/>
      <c r="DF1616" s="2060"/>
      <c r="DG1616" s="2060"/>
      <c r="DH1616" s="2060"/>
      <c r="DI1616" s="2060"/>
      <c r="DJ1616" s="2060"/>
      <c r="DK1616" s="2060"/>
      <c r="DL1616" s="2060"/>
      <c r="DM1616" s="2060"/>
      <c r="DN1616" s="2060"/>
      <c r="DO1616" s="2060"/>
      <c r="DP1616" s="2060"/>
      <c r="DQ1616" s="2060"/>
      <c r="DR1616" s="2060"/>
      <c r="DS1616" s="2060"/>
      <c r="DT1616" s="2060"/>
      <c r="DU1616" s="2060"/>
      <c r="DV1616" s="2060"/>
      <c r="DW1616" s="2060"/>
      <c r="DX1616" s="2060"/>
      <c r="DY1616" s="2060"/>
      <c r="DZ1616" s="2060"/>
      <c r="EA1616" s="2060"/>
      <c r="EB1616" s="2060"/>
      <c r="EC1616" s="2060"/>
      <c r="ED1616" s="2060"/>
      <c r="EE1616" s="2060"/>
      <c r="EF1616" s="2060"/>
      <c r="EG1616" s="2060"/>
      <c r="EH1616" s="2060"/>
      <c r="EI1616" s="2060"/>
      <c r="EJ1616" s="2060"/>
      <c r="EK1616" s="2060"/>
      <c r="EL1616" s="2060"/>
      <c r="EM1616" s="2060"/>
      <c r="EN1616" s="2060"/>
      <c r="EO1616" s="2060"/>
      <c r="EP1616" s="2060"/>
      <c r="EQ1616" s="2060"/>
      <c r="ER1616" s="2060"/>
      <c r="ES1616" s="2060"/>
      <c r="ET1616" s="2060"/>
      <c r="EU1616" s="2060"/>
      <c r="EV1616" s="2060"/>
      <c r="EW1616" s="2060"/>
      <c r="EX1616" s="2060"/>
      <c r="EY1616" s="2060"/>
      <c r="EZ1616" s="2060"/>
      <c r="FA1616" s="2060"/>
      <c r="FB1616" s="2060"/>
      <c r="FC1616" s="2060"/>
      <c r="FD1616" s="2060"/>
      <c r="FE1616" s="2060"/>
      <c r="FF1616" s="2060"/>
      <c r="FG1616" s="2060"/>
      <c r="FH1616" s="2060"/>
      <c r="FI1616" s="2060"/>
      <c r="FJ1616" s="2060"/>
      <c r="FK1616" s="2060"/>
      <c r="FL1616" s="2060"/>
      <c r="FM1616" s="2060"/>
      <c r="FN1616" s="2060"/>
      <c r="FO1616" s="2060"/>
      <c r="FP1616" s="2060"/>
      <c r="FQ1616" s="2060"/>
      <c r="FR1616" s="2060"/>
      <c r="FS1616" s="2060"/>
      <c r="FT1616" s="2060"/>
      <c r="FU1616" s="2060"/>
      <c r="FV1616" s="2060"/>
      <c r="FW1616" s="2060"/>
      <c r="FX1616" s="2060"/>
      <c r="FY1616" s="2060"/>
      <c r="FZ1616" s="2060"/>
      <c r="GA1616" s="2060"/>
      <c r="GB1616" s="2060"/>
      <c r="GC1616" s="2060"/>
      <c r="GD1616" s="2060"/>
      <c r="GE1616" s="2060"/>
      <c r="GF1616" s="2060"/>
      <c r="GG1616" s="2060"/>
      <c r="GH1616" s="2060"/>
      <c r="GI1616" s="2060"/>
      <c r="GJ1616" s="2060"/>
      <c r="GK1616" s="2060"/>
      <c r="GL1616" s="2060"/>
      <c r="GM1616" s="2060"/>
      <c r="GN1616" s="2060"/>
      <c r="GO1616" s="2060"/>
      <c r="GP1616" s="2060"/>
      <c r="GQ1616" s="2060"/>
      <c r="GR1616" s="2060"/>
      <c r="GS1616" s="2060"/>
      <c r="GT1616" s="2060"/>
      <c r="GU1616" s="2060"/>
      <c r="GV1616" s="2060"/>
      <c r="GW1616" s="2060"/>
      <c r="GX1616" s="2060"/>
      <c r="GY1616" s="2060"/>
      <c r="GZ1616" s="2060"/>
      <c r="HA1616" s="2060"/>
      <c r="HB1616" s="2060"/>
      <c r="HC1616" s="2060"/>
      <c r="HD1616" s="2060"/>
      <c r="HE1616" s="2060"/>
      <c r="HF1616" s="2060"/>
      <c r="HG1616" s="2060"/>
      <c r="HH1616" s="2060"/>
      <c r="HI1616" s="2060"/>
      <c r="HJ1616" s="2060"/>
      <c r="HK1616" s="2060"/>
      <c r="HL1616" s="2060"/>
      <c r="HM1616" s="2060"/>
      <c r="HN1616" s="2060"/>
      <c r="HO1616" s="2060"/>
      <c r="HP1616" s="2060"/>
      <c r="HQ1616" s="2060"/>
      <c r="HR1616" s="2060"/>
      <c r="HS1616" s="2060"/>
      <c r="HT1616" s="2060"/>
      <c r="HU1616" s="2060"/>
      <c r="HV1616" s="2060"/>
      <c r="HW1616" s="2060"/>
      <c r="HX1616" s="2060"/>
      <c r="HY1616" s="2060"/>
      <c r="HZ1616" s="2060"/>
      <c r="IA1616" s="2060"/>
      <c r="IB1616" s="2060"/>
      <c r="IC1616" s="2060"/>
      <c r="ID1616" s="2060"/>
      <c r="IE1616" s="2060"/>
      <c r="IF1616" s="2060"/>
      <c r="IG1616" s="2060"/>
      <c r="IH1616" s="2060"/>
      <c r="II1616" s="2060"/>
      <c r="IJ1616" s="2060"/>
      <c r="IK1616" s="2060"/>
      <c r="IL1616" s="2060"/>
      <c r="IM1616" s="2060"/>
      <c r="IN1616" s="2060"/>
      <c r="IO1616" s="2060"/>
      <c r="IP1616" s="2060"/>
      <c r="IQ1616" s="2060"/>
      <c r="IR1616" s="2060"/>
      <c r="IS1616" s="2060"/>
      <c r="IT1616" s="2060"/>
      <c r="IU1616" s="2060"/>
      <c r="IV1616" s="2060"/>
      <c r="IW1616" s="2060"/>
      <c r="IX1616" s="2060"/>
      <c r="IY1616" s="2060"/>
      <c r="IZ1616" s="2060"/>
      <c r="JA1616" s="2060"/>
      <c r="JB1616" s="2060"/>
      <c r="JC1616" s="2060"/>
      <c r="JD1616" s="2060"/>
      <c r="JE1616" s="2060"/>
      <c r="JF1616" s="2060"/>
      <c r="JG1616" s="2060"/>
      <c r="JH1616" s="2060"/>
      <c r="JI1616" s="2060"/>
      <c r="JJ1616" s="2060"/>
      <c r="JK1616" s="2060"/>
      <c r="JL1616" s="2060"/>
      <c r="JM1616" s="2060"/>
      <c r="JN1616" s="2060"/>
      <c r="JO1616" s="2060"/>
      <c r="JP1616" s="2060"/>
      <c r="JQ1616" s="2060"/>
      <c r="JR1616" s="2060"/>
      <c r="JS1616" s="2060"/>
      <c r="JT1616" s="2060"/>
      <c r="JU1616" s="2060"/>
      <c r="JV1616" s="2060"/>
      <c r="JW1616" s="2060"/>
      <c r="JX1616" s="2060"/>
      <c r="JY1616" s="2060"/>
      <c r="JZ1616" s="2060"/>
      <c r="KA1616" s="2060"/>
      <c r="KB1616" s="2060"/>
      <c r="KC1616" s="2060"/>
      <c r="KD1616" s="2060"/>
      <c r="KE1616" s="2060"/>
      <c r="KF1616" s="2060"/>
      <c r="KG1616" s="2060"/>
      <c r="KH1616" s="2060"/>
      <c r="KI1616" s="2060"/>
      <c r="KJ1616" s="2060"/>
      <c r="KK1616" s="2060"/>
      <c r="KL1616" s="2060"/>
      <c r="KM1616" s="2060"/>
      <c r="KN1616" s="2060"/>
      <c r="KO1616" s="2060"/>
      <c r="KP1616" s="2060"/>
      <c r="KQ1616" s="2060"/>
      <c r="KR1616" s="2060"/>
      <c r="KS1616" s="2060"/>
      <c r="KT1616" s="2060"/>
      <c r="KU1616" s="2060"/>
      <c r="KV1616" s="2060"/>
      <c r="KW1616" s="2060"/>
      <c r="KX1616" s="2060"/>
      <c r="KY1616" s="2060"/>
      <c r="KZ1616" s="2060"/>
      <c r="LA1616" s="2060"/>
      <c r="LB1616" s="2060"/>
      <c r="LC1616" s="2060"/>
      <c r="LD1616" s="2060"/>
      <c r="LE1616" s="2060"/>
      <c r="LF1616" s="2060"/>
      <c r="LG1616" s="2060"/>
      <c r="LH1616" s="2060"/>
    </row>
    <row r="1617" spans="1:320" s="449" customFormat="1" ht="13.9">
      <c r="A1617" s="269" t="str">
        <f>IF(F1617="--","n","")</f>
        <v>n</v>
      </c>
      <c r="B1617" s="2060"/>
      <c r="C1617" s="2060"/>
      <c r="D1617" s="2060"/>
      <c r="E1617" s="1661">
        <v>1</v>
      </c>
      <c r="F1617" s="1353" t="str">
        <f>F$129</f>
        <v>--</v>
      </c>
      <c r="G1617" s="128">
        <f>G$129</f>
        <v>0</v>
      </c>
      <c r="H1617" s="128" t="str">
        <f>H$129</f>
        <v>--</v>
      </c>
      <c r="I1617" s="89" t="s">
        <v>783</v>
      </c>
      <c r="J1617" s="2197" t="str">
        <f>IF($G1617=0,"",IFERROR(_xll.ciqfunctions.udf.CIQ($G1617,$I1617,J$1557,Valuation_Date_GC,ReportType,DataMode,$H1617,FXMode)*Scale+J1588*Pension10,"n/a"))</f>
        <v/>
      </c>
      <c r="K1617" s="2197" t="str">
        <f>IF($G1617=0,"",IFERROR(_xll.ciqfunctions.udf.CIQ($G1617,$I1617,K$1557,Valuation_Date_GC,ReportType,DataMode,$H1617,FXMode)*Scale+K1588*Pension10,"n/a"))</f>
        <v/>
      </c>
      <c r="L1617" s="2197" t="str">
        <f>IF($G1617=0,"",IFERROR(_xll.ciqfunctions.udf.CIQ($G1617,$I1617,L$1557,Valuation_Date_GC,ReportType,DataMode,$H1617,FXMode)*Scale+L1588*Pension10,"n/a"))</f>
        <v/>
      </c>
      <c r="M1617" s="2197" t="str">
        <f>IF($G1617=0,"",IFERROR(_xll.ciqfunctions.udf.CIQ($G1617,$I1617,M$1557,Valuation_Date_GC,ReportType,DataMode,$H1617,FXMode)*Scale+M1588*Pension10,"n/a"))</f>
        <v/>
      </c>
      <c r="N1617" s="2197" t="str">
        <f>IF($G1617=0,"",IFERROR(_xll.ciqfunctions.udf.CIQ($G1617,$I1617,N$1557,Valuation_Date_GC,ReportType,DataMode,$H1617,FXMode)*Scale+N1588*Pension10,"n/a"))</f>
        <v/>
      </c>
      <c r="O1617" s="2197" t="str">
        <f>IF($G1617=0,"",IFERROR(_xll.ciqfunctions.udf.CIQ($G1617,$I1617,O$1557,Valuation_Date_GC,ReportType,DataMode,$H1617,FXMode)*Scale+O1588*Pension10,"n/a"))</f>
        <v/>
      </c>
      <c r="P1617" s="2197" t="str">
        <f>IF($G1617=0,"",IFERROR(_xll.ciqfunctions.udf.CIQ($G1617,$I1617,P$1557,Valuation_Date_GC,ReportType,DataMode,$H1617,FXMode)*Scale+P1588*Pension10,"n/a"))</f>
        <v/>
      </c>
      <c r="Q1617" s="2197" t="str">
        <f>IF($G1617=0,"",IFERROR(_xll.ciqfunctions.udf.CIQ($G1617,$I1617,Q$1557,Valuation_Date_GC,ReportType,DataMode,$H1617,FXMode)*Scale+Q1588*Pension10,"n/a"))</f>
        <v/>
      </c>
      <c r="R1617" s="2197" t="str">
        <f>IF($G1617=0,"",IFERROR(_xll.ciqfunctions.udf.CIQ($G1617,$I1617,R$1557,Valuation_Date_GC,ReportType,DataMode,$H1617,FXMode)*Scale+R1588*Pension10,"n/a"))</f>
        <v/>
      </c>
      <c r="S1617" s="2197" t="str">
        <f>IF($G1617=0,"",IFERROR(_xll.ciqfunctions.udf.CIQ($G1617,$I1617,S$1557,Valuation_Date_GC,ReportType,DataMode,$H1617,FXMode)*Scale+S1588*Pension10,"n/a"))</f>
        <v/>
      </c>
      <c r="T1617" s="2197" t="str">
        <f>IF($G1617=0,"",IFERROR(_xll.ciqfunctions.udf.CIQ($G1617,$I1617,T$1557,Valuation_Date_GC,ReportType,DataMode,$H1617,FXMode)*Scale+T1588*Pension10,"n/a"))</f>
        <v/>
      </c>
      <c r="U1617" s="2197" t="str">
        <f>IF($G1617=0,"",IFERROR(_xll.ciqfunctions.udf.CIQ($G1617,$I1617,U$1557,Valuation_Date_GC,ReportType,DataMode,$H1617,FXMode)*Scale+U1588*Pension10,"n/a"))</f>
        <v/>
      </c>
      <c r="V1617" s="2197" t="str">
        <f>IF($G1617=0,"",IFERROR(_xll.ciqfunctions.udf.CIQ($G1617,$I1617,V$1557,Valuation_Date_GC,ReportType,DataMode,$H1617,FXMode)*Scale+V1588*Pension10,"n/a"))</f>
        <v/>
      </c>
      <c r="W1617" s="1479"/>
      <c r="X1617" s="255"/>
      <c r="Y1617" s="89"/>
      <c r="Z1617" s="2060"/>
      <c r="AA1617" s="2060"/>
      <c r="AB1617" s="2060"/>
      <c r="AC1617" s="2060"/>
      <c r="AD1617" s="2060"/>
      <c r="AE1617" s="2060"/>
      <c r="AF1617" s="2060"/>
      <c r="AG1617" s="2060"/>
      <c r="AH1617" s="2060"/>
      <c r="AI1617" s="2060"/>
      <c r="AJ1617" s="2060"/>
      <c r="AK1617" s="2060"/>
      <c r="AL1617" s="2060"/>
      <c r="AM1617" s="2060"/>
      <c r="AN1617" s="2060"/>
      <c r="AO1617" s="2060"/>
      <c r="AP1617" s="2060"/>
      <c r="AQ1617" s="2060"/>
      <c r="AR1617" s="2060"/>
      <c r="AS1617" s="2060"/>
      <c r="AT1617" s="2060"/>
      <c r="AU1617" s="2060"/>
      <c r="AV1617" s="2060"/>
      <c r="AW1617" s="2060"/>
      <c r="AX1617" s="2060"/>
      <c r="AY1617" s="2060"/>
      <c r="AZ1617" s="2060"/>
      <c r="BA1617" s="2060"/>
      <c r="BB1617" s="2060"/>
      <c r="BC1617" s="2060"/>
      <c r="BD1617" s="2060"/>
      <c r="BE1617" s="2060"/>
      <c r="BF1617" s="2060"/>
      <c r="BG1617" s="2060"/>
      <c r="BH1617" s="2060"/>
      <c r="BI1617" s="2060"/>
      <c r="BJ1617" s="2060"/>
      <c r="BK1617" s="2060"/>
      <c r="BL1617" s="2060"/>
      <c r="BM1617" s="2060"/>
      <c r="BN1617" s="2060"/>
      <c r="BO1617" s="2060"/>
      <c r="BP1617" s="2060"/>
      <c r="BQ1617" s="2060"/>
      <c r="BR1617" s="2060"/>
      <c r="BS1617" s="2060"/>
      <c r="BT1617" s="2060"/>
      <c r="BU1617" s="2060"/>
      <c r="BV1617" s="2060"/>
      <c r="BW1617" s="2060"/>
      <c r="BX1617" s="2060"/>
      <c r="BY1617" s="2060"/>
      <c r="BZ1617" s="2060"/>
      <c r="CA1617" s="2060"/>
      <c r="CB1617" s="2060"/>
      <c r="CC1617" s="2060"/>
      <c r="CD1617" s="2060"/>
      <c r="CE1617" s="2060"/>
      <c r="CF1617" s="2060"/>
      <c r="CG1617" s="2060"/>
      <c r="CH1617" s="2060"/>
      <c r="CI1617" s="2060"/>
      <c r="CJ1617" s="2060"/>
      <c r="CK1617" s="2060"/>
      <c r="CL1617" s="2060"/>
      <c r="CM1617" s="2060"/>
      <c r="CN1617" s="2060"/>
      <c r="CO1617" s="2060"/>
      <c r="CP1617" s="2060"/>
      <c r="CQ1617" s="2060"/>
      <c r="CR1617" s="2060"/>
      <c r="CS1617" s="2060"/>
      <c r="CT1617" s="2060"/>
      <c r="CU1617" s="2060"/>
      <c r="CV1617" s="2060"/>
      <c r="CW1617" s="2060"/>
      <c r="CX1617" s="2060"/>
      <c r="CY1617" s="2060"/>
      <c r="CZ1617" s="2060"/>
      <c r="DA1617" s="2060"/>
      <c r="DB1617" s="2060"/>
      <c r="DC1617" s="2060"/>
      <c r="DD1617" s="2060"/>
      <c r="DE1617" s="2060"/>
      <c r="DF1617" s="2060"/>
      <c r="DG1617" s="2060"/>
      <c r="DH1617" s="2060"/>
      <c r="DI1617" s="2060"/>
      <c r="DJ1617" s="2060"/>
      <c r="DK1617" s="2060"/>
      <c r="DL1617" s="2060"/>
      <c r="DM1617" s="2060"/>
      <c r="DN1617" s="2060"/>
      <c r="DO1617" s="2060"/>
      <c r="DP1617" s="2060"/>
      <c r="DQ1617" s="2060"/>
      <c r="DR1617" s="2060"/>
      <c r="DS1617" s="2060"/>
      <c r="DT1617" s="2060"/>
      <c r="DU1617" s="2060"/>
      <c r="DV1617" s="2060"/>
      <c r="DW1617" s="2060"/>
      <c r="DX1617" s="2060"/>
      <c r="DY1617" s="2060"/>
      <c r="DZ1617" s="2060"/>
      <c r="EA1617" s="2060"/>
      <c r="EB1617" s="2060"/>
      <c r="EC1617" s="2060"/>
      <c r="ED1617" s="2060"/>
      <c r="EE1617" s="2060"/>
      <c r="EF1617" s="2060"/>
      <c r="EG1617" s="2060"/>
      <c r="EH1617" s="2060"/>
      <c r="EI1617" s="2060"/>
      <c r="EJ1617" s="2060"/>
      <c r="EK1617" s="2060"/>
      <c r="EL1617" s="2060"/>
      <c r="EM1617" s="2060"/>
      <c r="EN1617" s="2060"/>
      <c r="EO1617" s="2060"/>
      <c r="EP1617" s="2060"/>
      <c r="EQ1617" s="2060"/>
      <c r="ER1617" s="2060"/>
      <c r="ES1617" s="2060"/>
      <c r="ET1617" s="2060"/>
      <c r="EU1617" s="2060"/>
      <c r="EV1617" s="2060"/>
      <c r="EW1617" s="2060"/>
      <c r="EX1617" s="2060"/>
      <c r="EY1617" s="2060"/>
      <c r="EZ1617" s="2060"/>
      <c r="FA1617" s="2060"/>
      <c r="FB1617" s="2060"/>
      <c r="FC1617" s="2060"/>
      <c r="FD1617" s="2060"/>
      <c r="FE1617" s="2060"/>
      <c r="FF1617" s="2060"/>
      <c r="FG1617" s="2060"/>
      <c r="FH1617" s="2060"/>
      <c r="FI1617" s="2060"/>
      <c r="FJ1617" s="2060"/>
      <c r="FK1617" s="2060"/>
      <c r="FL1617" s="2060"/>
      <c r="FM1617" s="2060"/>
      <c r="FN1617" s="2060"/>
      <c r="FO1617" s="2060"/>
      <c r="FP1617" s="2060"/>
      <c r="FQ1617" s="2060"/>
      <c r="FR1617" s="2060"/>
      <c r="FS1617" s="2060"/>
      <c r="FT1617" s="2060"/>
      <c r="FU1617" s="2060"/>
      <c r="FV1617" s="2060"/>
      <c r="FW1617" s="2060"/>
      <c r="FX1617" s="2060"/>
      <c r="FY1617" s="2060"/>
      <c r="FZ1617" s="2060"/>
      <c r="GA1617" s="2060"/>
      <c r="GB1617" s="2060"/>
      <c r="GC1617" s="2060"/>
      <c r="GD1617" s="2060"/>
      <c r="GE1617" s="2060"/>
      <c r="GF1617" s="2060"/>
      <c r="GG1617" s="2060"/>
      <c r="GH1617" s="2060"/>
      <c r="GI1617" s="2060"/>
      <c r="GJ1617" s="2060"/>
      <c r="GK1617" s="2060"/>
      <c r="GL1617" s="2060"/>
      <c r="GM1617" s="2060"/>
      <c r="GN1617" s="2060"/>
      <c r="GO1617" s="2060"/>
      <c r="GP1617" s="2060"/>
      <c r="GQ1617" s="2060"/>
      <c r="GR1617" s="2060"/>
      <c r="GS1617" s="2060"/>
      <c r="GT1617" s="2060"/>
      <c r="GU1617" s="2060"/>
      <c r="GV1617" s="2060"/>
      <c r="GW1617" s="2060"/>
      <c r="GX1617" s="2060"/>
      <c r="GY1617" s="2060"/>
      <c r="GZ1617" s="2060"/>
      <c r="HA1617" s="2060"/>
      <c r="HB1617" s="2060"/>
      <c r="HC1617" s="2060"/>
      <c r="HD1617" s="2060"/>
      <c r="HE1617" s="2060"/>
      <c r="HF1617" s="2060"/>
      <c r="HG1617" s="2060"/>
      <c r="HH1617" s="2060"/>
      <c r="HI1617" s="2060"/>
      <c r="HJ1617" s="2060"/>
      <c r="HK1617" s="2060"/>
      <c r="HL1617" s="2060"/>
      <c r="HM1617" s="2060"/>
      <c r="HN1617" s="2060"/>
      <c r="HO1617" s="2060"/>
      <c r="HP1617" s="2060"/>
      <c r="HQ1617" s="2060"/>
      <c r="HR1617" s="2060"/>
      <c r="HS1617" s="2060"/>
      <c r="HT1617" s="2060"/>
      <c r="HU1617" s="2060"/>
      <c r="HV1617" s="2060"/>
      <c r="HW1617" s="2060"/>
      <c r="HX1617" s="2060"/>
      <c r="HY1617" s="2060"/>
      <c r="HZ1617" s="2060"/>
      <c r="IA1617" s="2060"/>
      <c r="IB1617" s="2060"/>
      <c r="IC1617" s="2060"/>
      <c r="ID1617" s="2060"/>
      <c r="IE1617" s="2060"/>
      <c r="IF1617" s="2060"/>
      <c r="IG1617" s="2060"/>
      <c r="IH1617" s="2060"/>
      <c r="II1617" s="2060"/>
      <c r="IJ1617" s="2060"/>
      <c r="IK1617" s="2060"/>
      <c r="IL1617" s="2060"/>
      <c r="IM1617" s="2060"/>
      <c r="IN1617" s="2060"/>
      <c r="IO1617" s="2060"/>
      <c r="IP1617" s="2060"/>
      <c r="IQ1617" s="2060"/>
      <c r="IR1617" s="2060"/>
      <c r="IS1617" s="2060"/>
      <c r="IT1617" s="2060"/>
      <c r="IU1617" s="2060"/>
      <c r="IV1617" s="2060"/>
      <c r="IW1617" s="2060"/>
      <c r="IX1617" s="2060"/>
      <c r="IY1617" s="2060"/>
      <c r="IZ1617" s="2060"/>
      <c r="JA1617" s="2060"/>
      <c r="JB1617" s="2060"/>
      <c r="JC1617" s="2060"/>
      <c r="JD1617" s="2060"/>
      <c r="JE1617" s="2060"/>
      <c r="JF1617" s="2060"/>
      <c r="JG1617" s="2060"/>
      <c r="JH1617" s="2060"/>
      <c r="JI1617" s="2060"/>
      <c r="JJ1617" s="2060"/>
      <c r="JK1617" s="2060"/>
      <c r="JL1617" s="2060"/>
      <c r="JM1617" s="2060"/>
      <c r="JN1617" s="2060"/>
      <c r="JO1617" s="2060"/>
      <c r="JP1617" s="2060"/>
      <c r="JQ1617" s="2060"/>
      <c r="JR1617" s="2060"/>
      <c r="JS1617" s="2060"/>
      <c r="JT1617" s="2060"/>
      <c r="JU1617" s="2060"/>
      <c r="JV1617" s="2060"/>
      <c r="JW1617" s="2060"/>
      <c r="JX1617" s="2060"/>
      <c r="JY1617" s="2060"/>
      <c r="JZ1617" s="2060"/>
      <c r="KA1617" s="2060"/>
      <c r="KB1617" s="2060"/>
      <c r="KC1617" s="2060"/>
      <c r="KD1617" s="2060"/>
      <c r="KE1617" s="2060"/>
      <c r="KF1617" s="2060"/>
      <c r="KG1617" s="2060"/>
      <c r="KH1617" s="2060"/>
      <c r="KI1617" s="2060"/>
      <c r="KJ1617" s="2060"/>
      <c r="KK1617" s="2060"/>
      <c r="KL1617" s="2060"/>
      <c r="KM1617" s="2060"/>
      <c r="KN1617" s="2060"/>
      <c r="KO1617" s="2060"/>
      <c r="KP1617" s="2060"/>
      <c r="KQ1617" s="2060"/>
      <c r="KR1617" s="2060"/>
      <c r="KS1617" s="2060"/>
      <c r="KT1617" s="2060"/>
      <c r="KU1617" s="2060"/>
      <c r="KV1617" s="2060"/>
      <c r="KW1617" s="2060"/>
      <c r="KX1617" s="2060"/>
      <c r="KY1617" s="2060"/>
      <c r="KZ1617" s="2060"/>
      <c r="LA1617" s="2060"/>
      <c r="LB1617" s="2060"/>
      <c r="LC1617" s="2060"/>
      <c r="LD1617" s="2060"/>
      <c r="LE1617" s="2060"/>
      <c r="LF1617" s="2060"/>
      <c r="LG1617" s="2060"/>
      <c r="LH1617" s="2060"/>
    </row>
    <row r="1618" spans="1:320" s="449" customFormat="1" ht="13.9">
      <c r="A1618" s="269" t="str">
        <f t="shared" ref="A1618:A1641" si="441">IF(F1618="--","n","")</f>
        <v>n</v>
      </c>
      <c r="B1618" s="2060"/>
      <c r="C1618" s="2060"/>
      <c r="D1618" s="2060"/>
      <c r="E1618" s="1661">
        <v>2</v>
      </c>
      <c r="F1618" s="1353" t="str">
        <f>F$130</f>
        <v>--</v>
      </c>
      <c r="G1618" s="128">
        <f>G$130</f>
        <v>0</v>
      </c>
      <c r="H1618" s="128" t="str">
        <f>H$130</f>
        <v>--</v>
      </c>
      <c r="I1618" s="89" t="s">
        <v>783</v>
      </c>
      <c r="J1618" s="2197" t="str">
        <f>IF($G1618=0,"",IFERROR(_xll.ciqfunctions.udf.CIQ($G1618,$I1618,J$1557,Valuation_Date_GC,ReportType,DataMode,$H1618,FXMode)*Scale+J1589*Pension10,"n/a"))</f>
        <v/>
      </c>
      <c r="K1618" s="2197" t="str">
        <f>IF($G1618=0,"",IFERROR(_xll.ciqfunctions.udf.CIQ($G1618,$I1618,K$1557,Valuation_Date_GC,ReportType,DataMode,$H1618,FXMode)*Scale+K1589*Pension10,"n/a"))</f>
        <v/>
      </c>
      <c r="L1618" s="2197" t="str">
        <f>IF($G1618=0,"",IFERROR(_xll.ciqfunctions.udf.CIQ($G1618,$I1618,L$1557,Valuation_Date_GC,ReportType,DataMode,$H1618,FXMode)*Scale+L1589*Pension10,"n/a"))</f>
        <v/>
      </c>
      <c r="M1618" s="2197" t="str">
        <f>IF($G1618=0,"",IFERROR(_xll.ciqfunctions.udf.CIQ($G1618,$I1618,M$1557,Valuation_Date_GC,ReportType,DataMode,$H1618,FXMode)*Scale+M1589*Pension10,"n/a"))</f>
        <v/>
      </c>
      <c r="N1618" s="2197" t="str">
        <f>IF($G1618=0,"",IFERROR(_xll.ciqfunctions.udf.CIQ($G1618,$I1618,N$1557,Valuation_Date_GC,ReportType,DataMode,$H1618,FXMode)*Scale+N1589*Pension10,"n/a"))</f>
        <v/>
      </c>
      <c r="O1618" s="2197" t="str">
        <f>IF($G1618=0,"",IFERROR(_xll.ciqfunctions.udf.CIQ($G1618,$I1618,O$1557,Valuation_Date_GC,ReportType,DataMode,$H1618,FXMode)*Scale+O1589*Pension10,"n/a"))</f>
        <v/>
      </c>
      <c r="P1618" s="2197" t="str">
        <f>IF($G1618=0,"",IFERROR(_xll.ciqfunctions.udf.CIQ($G1618,$I1618,P$1557,Valuation_Date_GC,ReportType,DataMode,$H1618,FXMode)*Scale+P1589*Pension10,"n/a"))</f>
        <v/>
      </c>
      <c r="Q1618" s="2197" t="str">
        <f>IF($G1618=0,"",IFERROR(_xll.ciqfunctions.udf.CIQ($G1618,$I1618,Q$1557,Valuation_Date_GC,ReportType,DataMode,$H1618,FXMode)*Scale+Q1589*Pension10,"n/a"))</f>
        <v/>
      </c>
      <c r="R1618" s="2197" t="str">
        <f>IF($G1618=0,"",IFERROR(_xll.ciqfunctions.udf.CIQ($G1618,$I1618,R$1557,Valuation_Date_GC,ReportType,DataMode,$H1618,FXMode)*Scale+R1589*Pension10,"n/a"))</f>
        <v/>
      </c>
      <c r="S1618" s="2197" t="str">
        <f>IF($G1618=0,"",IFERROR(_xll.ciqfunctions.udf.CIQ($G1618,$I1618,S$1557,Valuation_Date_GC,ReportType,DataMode,$H1618,FXMode)*Scale+S1589*Pension10,"n/a"))</f>
        <v/>
      </c>
      <c r="T1618" s="2197" t="str">
        <f>IF($G1618=0,"",IFERROR(_xll.ciqfunctions.udf.CIQ($G1618,$I1618,T$1557,Valuation_Date_GC,ReportType,DataMode,$H1618,FXMode)*Scale+T1589*Pension10,"n/a"))</f>
        <v/>
      </c>
      <c r="U1618" s="2197" t="str">
        <f>IF($G1618=0,"",IFERROR(_xll.ciqfunctions.udf.CIQ($G1618,$I1618,U$1557,Valuation_Date_GC,ReportType,DataMode,$H1618,FXMode)*Scale+U1589*Pension10,"n/a"))</f>
        <v/>
      </c>
      <c r="V1618" s="2197" t="str">
        <f>IF($G1618=0,"",IFERROR(_xll.ciqfunctions.udf.CIQ($G1618,$I1618,V$1557,Valuation_Date_GC,ReportType,DataMode,$H1618,FXMode)*Scale+V1589*Pension10,"n/a"))</f>
        <v/>
      </c>
      <c r="W1618" s="1479"/>
      <c r="X1618" s="255"/>
      <c r="Y1618" s="89"/>
      <c r="Z1618" s="2060"/>
      <c r="AA1618" s="2060"/>
      <c r="AB1618" s="2060"/>
      <c r="AC1618" s="2060"/>
      <c r="AD1618" s="2060"/>
      <c r="AE1618" s="2060"/>
      <c r="AF1618" s="2060"/>
      <c r="AG1618" s="2060"/>
      <c r="AH1618" s="2060"/>
      <c r="AI1618" s="2060"/>
      <c r="AJ1618" s="2060"/>
      <c r="AK1618" s="2060"/>
      <c r="AL1618" s="2060"/>
      <c r="AM1618" s="2060"/>
      <c r="AN1618" s="2060"/>
      <c r="AO1618" s="2060"/>
      <c r="AP1618" s="2060"/>
      <c r="AQ1618" s="2060"/>
      <c r="AR1618" s="2060"/>
      <c r="AS1618" s="2060"/>
      <c r="AT1618" s="2060"/>
      <c r="AU1618" s="2060"/>
      <c r="AV1618" s="2060"/>
      <c r="AW1618" s="2060"/>
      <c r="AX1618" s="2060"/>
      <c r="AY1618" s="2060"/>
      <c r="AZ1618" s="2060"/>
      <c r="BA1618" s="2060"/>
      <c r="BB1618" s="2060"/>
      <c r="BC1618" s="2060"/>
      <c r="BD1618" s="2060"/>
      <c r="BE1618" s="2060"/>
      <c r="BF1618" s="2060"/>
      <c r="BG1618" s="2060"/>
      <c r="BH1618" s="2060"/>
      <c r="BI1618" s="2060"/>
      <c r="BJ1618" s="2060"/>
      <c r="BK1618" s="2060"/>
      <c r="BL1618" s="2060"/>
      <c r="BM1618" s="2060"/>
      <c r="BN1618" s="2060"/>
      <c r="BO1618" s="2060"/>
      <c r="BP1618" s="2060"/>
      <c r="BQ1618" s="2060"/>
      <c r="BR1618" s="2060"/>
      <c r="BS1618" s="2060"/>
      <c r="BT1618" s="2060"/>
      <c r="BU1618" s="2060"/>
      <c r="BV1618" s="2060"/>
      <c r="BW1618" s="2060"/>
      <c r="BX1618" s="2060"/>
      <c r="BY1618" s="2060"/>
      <c r="BZ1618" s="2060"/>
      <c r="CA1618" s="2060"/>
      <c r="CB1618" s="2060"/>
      <c r="CC1618" s="2060"/>
      <c r="CD1618" s="2060"/>
      <c r="CE1618" s="2060"/>
      <c r="CF1618" s="2060"/>
      <c r="CG1618" s="2060"/>
      <c r="CH1618" s="2060"/>
      <c r="CI1618" s="2060"/>
      <c r="CJ1618" s="2060"/>
      <c r="CK1618" s="2060"/>
      <c r="CL1618" s="2060"/>
      <c r="CM1618" s="2060"/>
      <c r="CN1618" s="2060"/>
      <c r="CO1618" s="2060"/>
      <c r="CP1618" s="2060"/>
      <c r="CQ1618" s="2060"/>
      <c r="CR1618" s="2060"/>
      <c r="CS1618" s="2060"/>
      <c r="CT1618" s="2060"/>
      <c r="CU1618" s="2060"/>
      <c r="CV1618" s="2060"/>
      <c r="CW1618" s="2060"/>
      <c r="CX1618" s="2060"/>
      <c r="CY1618" s="2060"/>
      <c r="CZ1618" s="2060"/>
      <c r="DA1618" s="2060"/>
      <c r="DB1618" s="2060"/>
      <c r="DC1618" s="2060"/>
      <c r="DD1618" s="2060"/>
      <c r="DE1618" s="2060"/>
      <c r="DF1618" s="2060"/>
      <c r="DG1618" s="2060"/>
      <c r="DH1618" s="2060"/>
      <c r="DI1618" s="2060"/>
      <c r="DJ1618" s="2060"/>
      <c r="DK1618" s="2060"/>
      <c r="DL1618" s="2060"/>
      <c r="DM1618" s="2060"/>
      <c r="DN1618" s="2060"/>
      <c r="DO1618" s="2060"/>
      <c r="DP1618" s="2060"/>
      <c r="DQ1618" s="2060"/>
      <c r="DR1618" s="2060"/>
      <c r="DS1618" s="2060"/>
      <c r="DT1618" s="2060"/>
      <c r="DU1618" s="2060"/>
      <c r="DV1618" s="2060"/>
      <c r="DW1618" s="2060"/>
      <c r="DX1618" s="2060"/>
      <c r="DY1618" s="2060"/>
      <c r="DZ1618" s="2060"/>
      <c r="EA1618" s="2060"/>
      <c r="EB1618" s="2060"/>
      <c r="EC1618" s="2060"/>
      <c r="ED1618" s="2060"/>
      <c r="EE1618" s="2060"/>
      <c r="EF1618" s="2060"/>
      <c r="EG1618" s="2060"/>
      <c r="EH1618" s="2060"/>
      <c r="EI1618" s="2060"/>
      <c r="EJ1618" s="2060"/>
      <c r="EK1618" s="2060"/>
      <c r="EL1618" s="2060"/>
      <c r="EM1618" s="2060"/>
      <c r="EN1618" s="2060"/>
      <c r="EO1618" s="2060"/>
      <c r="EP1618" s="2060"/>
      <c r="EQ1618" s="2060"/>
      <c r="ER1618" s="2060"/>
      <c r="ES1618" s="2060"/>
      <c r="ET1618" s="2060"/>
      <c r="EU1618" s="2060"/>
      <c r="EV1618" s="2060"/>
      <c r="EW1618" s="2060"/>
      <c r="EX1618" s="2060"/>
      <c r="EY1618" s="2060"/>
      <c r="EZ1618" s="2060"/>
      <c r="FA1618" s="2060"/>
      <c r="FB1618" s="2060"/>
      <c r="FC1618" s="2060"/>
      <c r="FD1618" s="2060"/>
      <c r="FE1618" s="2060"/>
      <c r="FF1618" s="2060"/>
      <c r="FG1618" s="2060"/>
      <c r="FH1618" s="2060"/>
      <c r="FI1618" s="2060"/>
      <c r="FJ1618" s="2060"/>
      <c r="FK1618" s="2060"/>
      <c r="FL1618" s="2060"/>
      <c r="FM1618" s="2060"/>
      <c r="FN1618" s="2060"/>
      <c r="FO1618" s="2060"/>
      <c r="FP1618" s="2060"/>
      <c r="FQ1618" s="2060"/>
      <c r="FR1618" s="2060"/>
      <c r="FS1618" s="2060"/>
      <c r="FT1618" s="2060"/>
      <c r="FU1618" s="2060"/>
      <c r="FV1618" s="2060"/>
      <c r="FW1618" s="2060"/>
      <c r="FX1618" s="2060"/>
      <c r="FY1618" s="2060"/>
      <c r="FZ1618" s="2060"/>
      <c r="GA1618" s="2060"/>
      <c r="GB1618" s="2060"/>
      <c r="GC1618" s="2060"/>
      <c r="GD1618" s="2060"/>
      <c r="GE1618" s="2060"/>
      <c r="GF1618" s="2060"/>
      <c r="GG1618" s="2060"/>
      <c r="GH1618" s="2060"/>
      <c r="GI1618" s="2060"/>
      <c r="GJ1618" s="2060"/>
      <c r="GK1618" s="2060"/>
      <c r="GL1618" s="2060"/>
      <c r="GM1618" s="2060"/>
      <c r="GN1618" s="2060"/>
      <c r="GO1618" s="2060"/>
      <c r="GP1618" s="2060"/>
      <c r="GQ1618" s="2060"/>
      <c r="GR1618" s="2060"/>
      <c r="GS1618" s="2060"/>
      <c r="GT1618" s="2060"/>
      <c r="GU1618" s="2060"/>
      <c r="GV1618" s="2060"/>
      <c r="GW1618" s="2060"/>
      <c r="GX1618" s="2060"/>
      <c r="GY1618" s="2060"/>
      <c r="GZ1618" s="2060"/>
      <c r="HA1618" s="2060"/>
      <c r="HB1618" s="2060"/>
      <c r="HC1618" s="2060"/>
      <c r="HD1618" s="2060"/>
      <c r="HE1618" s="2060"/>
      <c r="HF1618" s="2060"/>
      <c r="HG1618" s="2060"/>
      <c r="HH1618" s="2060"/>
      <c r="HI1618" s="2060"/>
      <c r="HJ1618" s="2060"/>
      <c r="HK1618" s="2060"/>
      <c r="HL1618" s="2060"/>
      <c r="HM1618" s="2060"/>
      <c r="HN1618" s="2060"/>
      <c r="HO1618" s="2060"/>
      <c r="HP1618" s="2060"/>
      <c r="HQ1618" s="2060"/>
      <c r="HR1618" s="2060"/>
      <c r="HS1618" s="2060"/>
      <c r="HT1618" s="2060"/>
      <c r="HU1618" s="2060"/>
      <c r="HV1618" s="2060"/>
      <c r="HW1618" s="2060"/>
      <c r="HX1618" s="2060"/>
      <c r="HY1618" s="2060"/>
      <c r="HZ1618" s="2060"/>
      <c r="IA1618" s="2060"/>
      <c r="IB1618" s="2060"/>
      <c r="IC1618" s="2060"/>
      <c r="ID1618" s="2060"/>
      <c r="IE1618" s="2060"/>
      <c r="IF1618" s="2060"/>
      <c r="IG1618" s="2060"/>
      <c r="IH1618" s="2060"/>
      <c r="II1618" s="2060"/>
      <c r="IJ1618" s="2060"/>
      <c r="IK1618" s="2060"/>
      <c r="IL1618" s="2060"/>
      <c r="IM1618" s="2060"/>
      <c r="IN1618" s="2060"/>
      <c r="IO1618" s="2060"/>
      <c r="IP1618" s="2060"/>
      <c r="IQ1618" s="2060"/>
      <c r="IR1618" s="2060"/>
      <c r="IS1618" s="2060"/>
      <c r="IT1618" s="2060"/>
      <c r="IU1618" s="2060"/>
      <c r="IV1618" s="2060"/>
      <c r="IW1618" s="2060"/>
      <c r="IX1618" s="2060"/>
      <c r="IY1618" s="2060"/>
      <c r="IZ1618" s="2060"/>
      <c r="JA1618" s="2060"/>
      <c r="JB1618" s="2060"/>
      <c r="JC1618" s="2060"/>
      <c r="JD1618" s="2060"/>
      <c r="JE1618" s="2060"/>
      <c r="JF1618" s="2060"/>
      <c r="JG1618" s="2060"/>
      <c r="JH1618" s="2060"/>
      <c r="JI1618" s="2060"/>
      <c r="JJ1618" s="2060"/>
      <c r="JK1618" s="2060"/>
      <c r="JL1618" s="2060"/>
      <c r="JM1618" s="2060"/>
      <c r="JN1618" s="2060"/>
      <c r="JO1618" s="2060"/>
      <c r="JP1618" s="2060"/>
      <c r="JQ1618" s="2060"/>
      <c r="JR1618" s="2060"/>
      <c r="JS1618" s="2060"/>
      <c r="JT1618" s="2060"/>
      <c r="JU1618" s="2060"/>
      <c r="JV1618" s="2060"/>
      <c r="JW1618" s="2060"/>
      <c r="JX1618" s="2060"/>
      <c r="JY1618" s="2060"/>
      <c r="JZ1618" s="2060"/>
      <c r="KA1618" s="2060"/>
      <c r="KB1618" s="2060"/>
      <c r="KC1618" s="2060"/>
      <c r="KD1618" s="2060"/>
      <c r="KE1618" s="2060"/>
      <c r="KF1618" s="2060"/>
      <c r="KG1618" s="2060"/>
      <c r="KH1618" s="2060"/>
      <c r="KI1618" s="2060"/>
      <c r="KJ1618" s="2060"/>
      <c r="KK1618" s="2060"/>
      <c r="KL1618" s="2060"/>
      <c r="KM1618" s="2060"/>
      <c r="KN1618" s="2060"/>
      <c r="KO1618" s="2060"/>
      <c r="KP1618" s="2060"/>
      <c r="KQ1618" s="2060"/>
      <c r="KR1618" s="2060"/>
      <c r="KS1618" s="2060"/>
      <c r="KT1618" s="2060"/>
      <c r="KU1618" s="2060"/>
      <c r="KV1618" s="2060"/>
      <c r="KW1618" s="2060"/>
      <c r="KX1618" s="2060"/>
      <c r="KY1618" s="2060"/>
      <c r="KZ1618" s="2060"/>
      <c r="LA1618" s="2060"/>
      <c r="LB1618" s="2060"/>
      <c r="LC1618" s="2060"/>
      <c r="LD1618" s="2060"/>
      <c r="LE1618" s="2060"/>
      <c r="LF1618" s="2060"/>
      <c r="LG1618" s="2060"/>
      <c r="LH1618" s="2060"/>
    </row>
    <row r="1619" spans="1:320" s="449" customFormat="1" ht="13.9">
      <c r="A1619" s="269" t="str">
        <f t="shared" si="441"/>
        <v>n</v>
      </c>
      <c r="B1619" s="2060"/>
      <c r="C1619" s="2060"/>
      <c r="D1619" s="2060"/>
      <c r="E1619" s="1661">
        <v>3</v>
      </c>
      <c r="F1619" s="1353" t="str">
        <f>F$131</f>
        <v>--</v>
      </c>
      <c r="G1619" s="128">
        <f>G$131</f>
        <v>0</v>
      </c>
      <c r="H1619" s="128" t="str">
        <f>H$131</f>
        <v>--</v>
      </c>
      <c r="I1619" s="89" t="s">
        <v>783</v>
      </c>
      <c r="J1619" s="2197" t="str">
        <f>IF($G1619=0,"",IFERROR(_xll.ciqfunctions.udf.CIQ($G1619,$I1619,J$1557,Valuation_Date_GC,ReportType,DataMode,$H1619,FXMode)*Scale+J1590*Pension10,"n/a"))</f>
        <v/>
      </c>
      <c r="K1619" s="2197" t="str">
        <f>IF($G1619=0,"",IFERROR(_xll.ciqfunctions.udf.CIQ($G1619,$I1619,K$1557,Valuation_Date_GC,ReportType,DataMode,$H1619,FXMode)*Scale+K1590*Pension10,"n/a"))</f>
        <v/>
      </c>
      <c r="L1619" s="2197" t="str">
        <f>IF($G1619=0,"",IFERROR(_xll.ciqfunctions.udf.CIQ($G1619,$I1619,L$1557,Valuation_Date_GC,ReportType,DataMode,$H1619,FXMode)*Scale+L1590*Pension10,"n/a"))</f>
        <v/>
      </c>
      <c r="M1619" s="2197" t="str">
        <f>IF($G1619=0,"",IFERROR(_xll.ciqfunctions.udf.CIQ($G1619,$I1619,M$1557,Valuation_Date_GC,ReportType,DataMode,$H1619,FXMode)*Scale+M1590*Pension10,"n/a"))</f>
        <v/>
      </c>
      <c r="N1619" s="2197" t="str">
        <f>IF($G1619=0,"",IFERROR(_xll.ciqfunctions.udf.CIQ($G1619,$I1619,N$1557,Valuation_Date_GC,ReportType,DataMode,$H1619,FXMode)*Scale+N1590*Pension10,"n/a"))</f>
        <v/>
      </c>
      <c r="O1619" s="2197" t="str">
        <f>IF($G1619=0,"",IFERROR(_xll.ciqfunctions.udf.CIQ($G1619,$I1619,O$1557,Valuation_Date_GC,ReportType,DataMode,$H1619,FXMode)*Scale+O1590*Pension10,"n/a"))</f>
        <v/>
      </c>
      <c r="P1619" s="2197" t="str">
        <f>IF($G1619=0,"",IFERROR(_xll.ciqfunctions.udf.CIQ($G1619,$I1619,P$1557,Valuation_Date_GC,ReportType,DataMode,$H1619,FXMode)*Scale+P1590*Pension10,"n/a"))</f>
        <v/>
      </c>
      <c r="Q1619" s="2197" t="str">
        <f>IF($G1619=0,"",IFERROR(_xll.ciqfunctions.udf.CIQ($G1619,$I1619,Q$1557,Valuation_Date_GC,ReportType,DataMode,$H1619,FXMode)*Scale+Q1590*Pension10,"n/a"))</f>
        <v/>
      </c>
      <c r="R1619" s="2197" t="str">
        <f>IF($G1619=0,"",IFERROR(_xll.ciqfunctions.udf.CIQ($G1619,$I1619,R$1557,Valuation_Date_GC,ReportType,DataMode,$H1619,FXMode)*Scale+R1590*Pension10,"n/a"))</f>
        <v/>
      </c>
      <c r="S1619" s="2197" t="str">
        <f>IF($G1619=0,"",IFERROR(_xll.ciqfunctions.udf.CIQ($G1619,$I1619,S$1557,Valuation_Date_GC,ReportType,DataMode,$H1619,FXMode)*Scale+S1590*Pension10,"n/a"))</f>
        <v/>
      </c>
      <c r="T1619" s="2197" t="str">
        <f>IF($G1619=0,"",IFERROR(_xll.ciqfunctions.udf.CIQ($G1619,$I1619,T$1557,Valuation_Date_GC,ReportType,DataMode,$H1619,FXMode)*Scale+T1590*Pension10,"n/a"))</f>
        <v/>
      </c>
      <c r="U1619" s="2197" t="str">
        <f>IF($G1619=0,"",IFERROR(_xll.ciqfunctions.udf.CIQ($G1619,$I1619,U$1557,Valuation_Date_GC,ReportType,DataMode,$H1619,FXMode)*Scale+U1590*Pension10,"n/a"))</f>
        <v/>
      </c>
      <c r="V1619" s="2197" t="str">
        <f>IF($G1619=0,"",IFERROR(_xll.ciqfunctions.udf.CIQ($G1619,$I1619,V$1557,Valuation_Date_GC,ReportType,DataMode,$H1619,FXMode)*Scale+V1590*Pension10,"n/a"))</f>
        <v/>
      </c>
      <c r="W1619" s="1479"/>
      <c r="X1619" s="255"/>
      <c r="Y1619" s="89"/>
      <c r="Z1619" s="2060"/>
      <c r="AA1619" s="2060"/>
      <c r="AB1619" s="2060"/>
      <c r="AC1619" s="2060"/>
      <c r="AD1619" s="2060"/>
      <c r="AE1619" s="2060"/>
      <c r="AF1619" s="2060"/>
      <c r="AG1619" s="2060"/>
      <c r="AH1619" s="2060"/>
      <c r="AI1619" s="2060"/>
      <c r="AJ1619" s="2060"/>
      <c r="AK1619" s="2060"/>
      <c r="AL1619" s="2060"/>
      <c r="AM1619" s="2060"/>
      <c r="AN1619" s="2060"/>
      <c r="AO1619" s="2060"/>
      <c r="AP1619" s="2060"/>
      <c r="AQ1619" s="2060"/>
      <c r="AR1619" s="2060"/>
      <c r="AS1619" s="2060"/>
      <c r="AT1619" s="2060"/>
      <c r="AU1619" s="2060"/>
      <c r="AV1619" s="2060"/>
      <c r="AW1619" s="2060"/>
      <c r="AX1619" s="2060"/>
      <c r="AY1619" s="2060"/>
      <c r="AZ1619" s="2060"/>
      <c r="BA1619" s="2060"/>
      <c r="BB1619" s="2060"/>
      <c r="BC1619" s="2060"/>
      <c r="BD1619" s="2060"/>
      <c r="BE1619" s="2060"/>
      <c r="BF1619" s="2060"/>
      <c r="BG1619" s="2060"/>
      <c r="BH1619" s="2060"/>
      <c r="BI1619" s="2060"/>
      <c r="BJ1619" s="2060"/>
      <c r="BK1619" s="2060"/>
      <c r="BL1619" s="2060"/>
      <c r="BM1619" s="2060"/>
      <c r="BN1619" s="2060"/>
      <c r="BO1619" s="2060"/>
      <c r="BP1619" s="2060"/>
      <c r="BQ1619" s="2060"/>
      <c r="BR1619" s="2060"/>
      <c r="BS1619" s="2060"/>
      <c r="BT1619" s="2060"/>
      <c r="BU1619" s="2060"/>
      <c r="BV1619" s="2060"/>
      <c r="BW1619" s="2060"/>
      <c r="BX1619" s="2060"/>
      <c r="BY1619" s="2060"/>
      <c r="BZ1619" s="2060"/>
      <c r="CA1619" s="2060"/>
      <c r="CB1619" s="2060"/>
      <c r="CC1619" s="2060"/>
      <c r="CD1619" s="2060"/>
      <c r="CE1619" s="2060"/>
      <c r="CF1619" s="2060"/>
      <c r="CG1619" s="2060"/>
      <c r="CH1619" s="2060"/>
      <c r="CI1619" s="2060"/>
      <c r="CJ1619" s="2060"/>
      <c r="CK1619" s="2060"/>
      <c r="CL1619" s="2060"/>
      <c r="CM1619" s="2060"/>
      <c r="CN1619" s="2060"/>
      <c r="CO1619" s="2060"/>
      <c r="CP1619" s="2060"/>
      <c r="CQ1619" s="2060"/>
      <c r="CR1619" s="2060"/>
      <c r="CS1619" s="2060"/>
      <c r="CT1619" s="2060"/>
      <c r="CU1619" s="2060"/>
      <c r="CV1619" s="2060"/>
      <c r="CW1619" s="2060"/>
      <c r="CX1619" s="2060"/>
      <c r="CY1619" s="2060"/>
      <c r="CZ1619" s="2060"/>
      <c r="DA1619" s="2060"/>
      <c r="DB1619" s="2060"/>
      <c r="DC1619" s="2060"/>
      <c r="DD1619" s="2060"/>
      <c r="DE1619" s="2060"/>
      <c r="DF1619" s="2060"/>
      <c r="DG1619" s="2060"/>
      <c r="DH1619" s="2060"/>
      <c r="DI1619" s="2060"/>
      <c r="DJ1619" s="2060"/>
      <c r="DK1619" s="2060"/>
      <c r="DL1619" s="2060"/>
      <c r="DM1619" s="2060"/>
      <c r="DN1619" s="2060"/>
      <c r="DO1619" s="2060"/>
      <c r="DP1619" s="2060"/>
      <c r="DQ1619" s="2060"/>
      <c r="DR1619" s="2060"/>
      <c r="DS1619" s="2060"/>
      <c r="DT1619" s="2060"/>
      <c r="DU1619" s="2060"/>
      <c r="DV1619" s="2060"/>
      <c r="DW1619" s="2060"/>
      <c r="DX1619" s="2060"/>
      <c r="DY1619" s="2060"/>
      <c r="DZ1619" s="2060"/>
      <c r="EA1619" s="2060"/>
      <c r="EB1619" s="2060"/>
      <c r="EC1619" s="2060"/>
      <c r="ED1619" s="2060"/>
      <c r="EE1619" s="2060"/>
      <c r="EF1619" s="2060"/>
      <c r="EG1619" s="2060"/>
      <c r="EH1619" s="2060"/>
      <c r="EI1619" s="2060"/>
      <c r="EJ1619" s="2060"/>
      <c r="EK1619" s="2060"/>
      <c r="EL1619" s="2060"/>
      <c r="EM1619" s="2060"/>
      <c r="EN1619" s="2060"/>
      <c r="EO1619" s="2060"/>
      <c r="EP1619" s="2060"/>
      <c r="EQ1619" s="2060"/>
      <c r="ER1619" s="2060"/>
      <c r="ES1619" s="2060"/>
      <c r="ET1619" s="2060"/>
      <c r="EU1619" s="2060"/>
      <c r="EV1619" s="2060"/>
      <c r="EW1619" s="2060"/>
      <c r="EX1619" s="2060"/>
      <c r="EY1619" s="2060"/>
      <c r="EZ1619" s="2060"/>
      <c r="FA1619" s="2060"/>
      <c r="FB1619" s="2060"/>
      <c r="FC1619" s="2060"/>
      <c r="FD1619" s="2060"/>
      <c r="FE1619" s="2060"/>
      <c r="FF1619" s="2060"/>
      <c r="FG1619" s="2060"/>
      <c r="FH1619" s="2060"/>
      <c r="FI1619" s="2060"/>
      <c r="FJ1619" s="2060"/>
      <c r="FK1619" s="2060"/>
      <c r="FL1619" s="2060"/>
      <c r="FM1619" s="2060"/>
      <c r="FN1619" s="2060"/>
      <c r="FO1619" s="2060"/>
      <c r="FP1619" s="2060"/>
      <c r="FQ1619" s="2060"/>
      <c r="FR1619" s="2060"/>
      <c r="FS1619" s="2060"/>
      <c r="FT1619" s="2060"/>
      <c r="FU1619" s="2060"/>
      <c r="FV1619" s="2060"/>
      <c r="FW1619" s="2060"/>
      <c r="FX1619" s="2060"/>
      <c r="FY1619" s="2060"/>
      <c r="FZ1619" s="2060"/>
      <c r="GA1619" s="2060"/>
      <c r="GB1619" s="2060"/>
      <c r="GC1619" s="2060"/>
      <c r="GD1619" s="2060"/>
      <c r="GE1619" s="2060"/>
      <c r="GF1619" s="2060"/>
      <c r="GG1619" s="2060"/>
      <c r="GH1619" s="2060"/>
      <c r="GI1619" s="2060"/>
      <c r="GJ1619" s="2060"/>
      <c r="GK1619" s="2060"/>
      <c r="GL1619" s="2060"/>
      <c r="GM1619" s="2060"/>
      <c r="GN1619" s="2060"/>
      <c r="GO1619" s="2060"/>
      <c r="GP1619" s="2060"/>
      <c r="GQ1619" s="2060"/>
      <c r="GR1619" s="2060"/>
      <c r="GS1619" s="2060"/>
      <c r="GT1619" s="2060"/>
      <c r="GU1619" s="2060"/>
      <c r="GV1619" s="2060"/>
      <c r="GW1619" s="2060"/>
      <c r="GX1619" s="2060"/>
      <c r="GY1619" s="2060"/>
      <c r="GZ1619" s="2060"/>
      <c r="HA1619" s="2060"/>
      <c r="HB1619" s="2060"/>
      <c r="HC1619" s="2060"/>
      <c r="HD1619" s="2060"/>
      <c r="HE1619" s="2060"/>
      <c r="HF1619" s="2060"/>
      <c r="HG1619" s="2060"/>
      <c r="HH1619" s="2060"/>
      <c r="HI1619" s="2060"/>
      <c r="HJ1619" s="2060"/>
      <c r="HK1619" s="2060"/>
      <c r="HL1619" s="2060"/>
      <c r="HM1619" s="2060"/>
      <c r="HN1619" s="2060"/>
      <c r="HO1619" s="2060"/>
      <c r="HP1619" s="2060"/>
      <c r="HQ1619" s="2060"/>
      <c r="HR1619" s="2060"/>
      <c r="HS1619" s="2060"/>
      <c r="HT1619" s="2060"/>
      <c r="HU1619" s="2060"/>
      <c r="HV1619" s="2060"/>
      <c r="HW1619" s="2060"/>
      <c r="HX1619" s="2060"/>
      <c r="HY1619" s="2060"/>
      <c r="HZ1619" s="2060"/>
      <c r="IA1619" s="2060"/>
      <c r="IB1619" s="2060"/>
      <c r="IC1619" s="2060"/>
      <c r="ID1619" s="2060"/>
      <c r="IE1619" s="2060"/>
      <c r="IF1619" s="2060"/>
      <c r="IG1619" s="2060"/>
      <c r="IH1619" s="2060"/>
      <c r="II1619" s="2060"/>
      <c r="IJ1619" s="2060"/>
      <c r="IK1619" s="2060"/>
      <c r="IL1619" s="2060"/>
      <c r="IM1619" s="2060"/>
      <c r="IN1619" s="2060"/>
      <c r="IO1619" s="2060"/>
      <c r="IP1619" s="2060"/>
      <c r="IQ1619" s="2060"/>
      <c r="IR1619" s="2060"/>
      <c r="IS1619" s="2060"/>
      <c r="IT1619" s="2060"/>
      <c r="IU1619" s="2060"/>
      <c r="IV1619" s="2060"/>
      <c r="IW1619" s="2060"/>
      <c r="IX1619" s="2060"/>
      <c r="IY1619" s="2060"/>
      <c r="IZ1619" s="2060"/>
      <c r="JA1619" s="2060"/>
      <c r="JB1619" s="2060"/>
      <c r="JC1619" s="2060"/>
      <c r="JD1619" s="2060"/>
      <c r="JE1619" s="2060"/>
      <c r="JF1619" s="2060"/>
      <c r="JG1619" s="2060"/>
      <c r="JH1619" s="2060"/>
      <c r="JI1619" s="2060"/>
      <c r="JJ1619" s="2060"/>
      <c r="JK1619" s="2060"/>
      <c r="JL1619" s="2060"/>
      <c r="JM1619" s="2060"/>
      <c r="JN1619" s="2060"/>
      <c r="JO1619" s="2060"/>
      <c r="JP1619" s="2060"/>
      <c r="JQ1619" s="2060"/>
      <c r="JR1619" s="2060"/>
      <c r="JS1619" s="2060"/>
      <c r="JT1619" s="2060"/>
      <c r="JU1619" s="2060"/>
      <c r="JV1619" s="2060"/>
      <c r="JW1619" s="2060"/>
      <c r="JX1619" s="2060"/>
      <c r="JY1619" s="2060"/>
      <c r="JZ1619" s="2060"/>
      <c r="KA1619" s="2060"/>
      <c r="KB1619" s="2060"/>
      <c r="KC1619" s="2060"/>
      <c r="KD1619" s="2060"/>
      <c r="KE1619" s="2060"/>
      <c r="KF1619" s="2060"/>
      <c r="KG1619" s="2060"/>
      <c r="KH1619" s="2060"/>
      <c r="KI1619" s="2060"/>
      <c r="KJ1619" s="2060"/>
      <c r="KK1619" s="2060"/>
      <c r="KL1619" s="2060"/>
      <c r="KM1619" s="2060"/>
      <c r="KN1619" s="2060"/>
      <c r="KO1619" s="2060"/>
      <c r="KP1619" s="2060"/>
      <c r="KQ1619" s="2060"/>
      <c r="KR1619" s="2060"/>
      <c r="KS1619" s="2060"/>
      <c r="KT1619" s="2060"/>
      <c r="KU1619" s="2060"/>
      <c r="KV1619" s="2060"/>
      <c r="KW1619" s="2060"/>
      <c r="KX1619" s="2060"/>
      <c r="KY1619" s="2060"/>
      <c r="KZ1619" s="2060"/>
      <c r="LA1619" s="2060"/>
      <c r="LB1619" s="2060"/>
      <c r="LC1619" s="2060"/>
      <c r="LD1619" s="2060"/>
      <c r="LE1619" s="2060"/>
      <c r="LF1619" s="2060"/>
      <c r="LG1619" s="2060"/>
      <c r="LH1619" s="2060"/>
    </row>
    <row r="1620" spans="1:320" s="449" customFormat="1" ht="13.9">
      <c r="A1620" s="269" t="str">
        <f t="shared" si="441"/>
        <v>n</v>
      </c>
      <c r="B1620" s="2060"/>
      <c r="C1620" s="2060"/>
      <c r="D1620" s="2060"/>
      <c r="E1620" s="1661">
        <v>4</v>
      </c>
      <c r="F1620" s="1353" t="str">
        <f>F$132</f>
        <v>--</v>
      </c>
      <c r="G1620" s="128">
        <f>G$132</f>
        <v>0</v>
      </c>
      <c r="H1620" s="128" t="str">
        <f>H$132</f>
        <v>--</v>
      </c>
      <c r="I1620" s="89" t="s">
        <v>783</v>
      </c>
      <c r="J1620" s="2197" t="str">
        <f>IF($G1620=0,"",IFERROR(_xll.ciqfunctions.udf.CIQ($G1620,$I1620,J$1557,Valuation_Date_GC,ReportType,DataMode,$H1620,FXMode)*Scale+J1591*Pension10,"n/a"))</f>
        <v/>
      </c>
      <c r="K1620" s="2197" t="str">
        <f>IF($G1620=0,"",IFERROR(_xll.ciqfunctions.udf.CIQ($G1620,$I1620,K$1557,Valuation_Date_GC,ReportType,DataMode,$H1620,FXMode)*Scale+K1591*Pension10,"n/a"))</f>
        <v/>
      </c>
      <c r="L1620" s="2197" t="str">
        <f>IF($G1620=0,"",IFERROR(_xll.ciqfunctions.udf.CIQ($G1620,$I1620,L$1557,Valuation_Date_GC,ReportType,DataMode,$H1620,FXMode)*Scale+L1591*Pension10,"n/a"))</f>
        <v/>
      </c>
      <c r="M1620" s="2197" t="str">
        <f>IF($G1620=0,"",IFERROR(_xll.ciqfunctions.udf.CIQ($G1620,$I1620,M$1557,Valuation_Date_GC,ReportType,DataMode,$H1620,FXMode)*Scale+M1591*Pension10,"n/a"))</f>
        <v/>
      </c>
      <c r="N1620" s="2197" t="str">
        <f>IF($G1620=0,"",IFERROR(_xll.ciqfunctions.udf.CIQ($G1620,$I1620,N$1557,Valuation_Date_GC,ReportType,DataMode,$H1620,FXMode)*Scale+N1591*Pension10,"n/a"))</f>
        <v/>
      </c>
      <c r="O1620" s="2197" t="str">
        <f>IF($G1620=0,"",IFERROR(_xll.ciqfunctions.udf.CIQ($G1620,$I1620,O$1557,Valuation_Date_GC,ReportType,DataMode,$H1620,FXMode)*Scale+O1591*Pension10,"n/a"))</f>
        <v/>
      </c>
      <c r="P1620" s="2197" t="str">
        <f>IF($G1620=0,"",IFERROR(_xll.ciqfunctions.udf.CIQ($G1620,$I1620,P$1557,Valuation_Date_GC,ReportType,DataMode,$H1620,FXMode)*Scale+P1591*Pension10,"n/a"))</f>
        <v/>
      </c>
      <c r="Q1620" s="2197" t="str">
        <f>IF($G1620=0,"",IFERROR(_xll.ciqfunctions.udf.CIQ($G1620,$I1620,Q$1557,Valuation_Date_GC,ReportType,DataMode,$H1620,FXMode)*Scale+Q1591*Pension10,"n/a"))</f>
        <v/>
      </c>
      <c r="R1620" s="2197" t="str">
        <f>IF($G1620=0,"",IFERROR(_xll.ciqfunctions.udf.CIQ($G1620,$I1620,R$1557,Valuation_Date_GC,ReportType,DataMode,$H1620,FXMode)*Scale+R1591*Pension10,"n/a"))</f>
        <v/>
      </c>
      <c r="S1620" s="2197" t="str">
        <f>IF($G1620=0,"",IFERROR(_xll.ciqfunctions.udf.CIQ($G1620,$I1620,S$1557,Valuation_Date_GC,ReportType,DataMode,$H1620,FXMode)*Scale+S1591*Pension10,"n/a"))</f>
        <v/>
      </c>
      <c r="T1620" s="2197" t="str">
        <f>IF($G1620=0,"",IFERROR(_xll.ciqfunctions.udf.CIQ($G1620,$I1620,T$1557,Valuation_Date_GC,ReportType,DataMode,$H1620,FXMode)*Scale+T1591*Pension10,"n/a"))</f>
        <v/>
      </c>
      <c r="U1620" s="2197" t="str">
        <f>IF($G1620=0,"",IFERROR(_xll.ciqfunctions.udf.CIQ($G1620,$I1620,U$1557,Valuation_Date_GC,ReportType,DataMode,$H1620,FXMode)*Scale+U1591*Pension10,"n/a"))</f>
        <v/>
      </c>
      <c r="V1620" s="2197" t="str">
        <f>IF($G1620=0,"",IFERROR(_xll.ciqfunctions.udf.CIQ($G1620,$I1620,V$1557,Valuation_Date_GC,ReportType,DataMode,$H1620,FXMode)*Scale+V1591*Pension10,"n/a"))</f>
        <v/>
      </c>
      <c r="W1620" s="1479"/>
      <c r="X1620" s="255"/>
      <c r="Y1620" s="89"/>
      <c r="Z1620" s="2060"/>
      <c r="AA1620" s="2060"/>
      <c r="AB1620" s="2060"/>
      <c r="AC1620" s="2060"/>
      <c r="AD1620" s="2060"/>
      <c r="AE1620" s="2060"/>
      <c r="AF1620" s="2060"/>
      <c r="AG1620" s="2060"/>
      <c r="AH1620" s="2060"/>
      <c r="AI1620" s="2060"/>
      <c r="AJ1620" s="2060"/>
      <c r="AK1620" s="2060"/>
      <c r="AL1620" s="2060"/>
      <c r="AM1620" s="2060"/>
      <c r="AN1620" s="2060"/>
      <c r="AO1620" s="2060"/>
      <c r="AP1620" s="2060"/>
      <c r="AQ1620" s="2060"/>
      <c r="AR1620" s="2060"/>
      <c r="AS1620" s="2060"/>
      <c r="AT1620" s="2060"/>
      <c r="AU1620" s="2060"/>
      <c r="AV1620" s="2060"/>
      <c r="AW1620" s="2060"/>
      <c r="AX1620" s="2060"/>
      <c r="AY1620" s="2060"/>
      <c r="AZ1620" s="2060"/>
      <c r="BA1620" s="2060"/>
      <c r="BB1620" s="2060"/>
      <c r="BC1620" s="2060"/>
      <c r="BD1620" s="2060"/>
      <c r="BE1620" s="2060"/>
      <c r="BF1620" s="2060"/>
      <c r="BG1620" s="2060"/>
      <c r="BH1620" s="2060"/>
      <c r="BI1620" s="2060"/>
      <c r="BJ1620" s="2060"/>
      <c r="BK1620" s="2060"/>
      <c r="BL1620" s="2060"/>
      <c r="BM1620" s="2060"/>
      <c r="BN1620" s="2060"/>
      <c r="BO1620" s="2060"/>
      <c r="BP1620" s="2060"/>
      <c r="BQ1620" s="2060"/>
      <c r="BR1620" s="2060"/>
      <c r="BS1620" s="2060"/>
      <c r="BT1620" s="2060"/>
      <c r="BU1620" s="2060"/>
      <c r="BV1620" s="2060"/>
      <c r="BW1620" s="2060"/>
      <c r="BX1620" s="2060"/>
      <c r="BY1620" s="2060"/>
      <c r="BZ1620" s="2060"/>
      <c r="CA1620" s="2060"/>
      <c r="CB1620" s="2060"/>
      <c r="CC1620" s="2060"/>
      <c r="CD1620" s="2060"/>
      <c r="CE1620" s="2060"/>
      <c r="CF1620" s="2060"/>
      <c r="CG1620" s="2060"/>
      <c r="CH1620" s="2060"/>
      <c r="CI1620" s="2060"/>
      <c r="CJ1620" s="2060"/>
      <c r="CK1620" s="2060"/>
      <c r="CL1620" s="2060"/>
      <c r="CM1620" s="2060"/>
      <c r="CN1620" s="2060"/>
      <c r="CO1620" s="2060"/>
      <c r="CP1620" s="2060"/>
      <c r="CQ1620" s="2060"/>
      <c r="CR1620" s="2060"/>
      <c r="CS1620" s="2060"/>
      <c r="CT1620" s="2060"/>
      <c r="CU1620" s="2060"/>
      <c r="CV1620" s="2060"/>
      <c r="CW1620" s="2060"/>
      <c r="CX1620" s="2060"/>
      <c r="CY1620" s="2060"/>
      <c r="CZ1620" s="2060"/>
      <c r="DA1620" s="2060"/>
      <c r="DB1620" s="2060"/>
      <c r="DC1620" s="2060"/>
      <c r="DD1620" s="2060"/>
      <c r="DE1620" s="2060"/>
      <c r="DF1620" s="2060"/>
      <c r="DG1620" s="2060"/>
      <c r="DH1620" s="2060"/>
      <c r="DI1620" s="2060"/>
      <c r="DJ1620" s="2060"/>
      <c r="DK1620" s="2060"/>
      <c r="DL1620" s="2060"/>
      <c r="DM1620" s="2060"/>
      <c r="DN1620" s="2060"/>
      <c r="DO1620" s="2060"/>
      <c r="DP1620" s="2060"/>
      <c r="DQ1620" s="2060"/>
      <c r="DR1620" s="2060"/>
      <c r="DS1620" s="2060"/>
      <c r="DT1620" s="2060"/>
      <c r="DU1620" s="2060"/>
      <c r="DV1620" s="2060"/>
      <c r="DW1620" s="2060"/>
      <c r="DX1620" s="2060"/>
      <c r="DY1620" s="2060"/>
      <c r="DZ1620" s="2060"/>
      <c r="EA1620" s="2060"/>
      <c r="EB1620" s="2060"/>
      <c r="EC1620" s="2060"/>
      <c r="ED1620" s="2060"/>
      <c r="EE1620" s="2060"/>
      <c r="EF1620" s="2060"/>
      <c r="EG1620" s="2060"/>
      <c r="EH1620" s="2060"/>
      <c r="EI1620" s="2060"/>
      <c r="EJ1620" s="2060"/>
      <c r="EK1620" s="2060"/>
      <c r="EL1620" s="2060"/>
      <c r="EM1620" s="2060"/>
      <c r="EN1620" s="2060"/>
      <c r="EO1620" s="2060"/>
      <c r="EP1620" s="2060"/>
      <c r="EQ1620" s="2060"/>
      <c r="ER1620" s="2060"/>
      <c r="ES1620" s="2060"/>
      <c r="ET1620" s="2060"/>
      <c r="EU1620" s="2060"/>
      <c r="EV1620" s="2060"/>
      <c r="EW1620" s="2060"/>
      <c r="EX1620" s="2060"/>
      <c r="EY1620" s="2060"/>
      <c r="EZ1620" s="2060"/>
      <c r="FA1620" s="2060"/>
      <c r="FB1620" s="2060"/>
      <c r="FC1620" s="2060"/>
      <c r="FD1620" s="2060"/>
      <c r="FE1620" s="2060"/>
      <c r="FF1620" s="2060"/>
      <c r="FG1620" s="2060"/>
      <c r="FH1620" s="2060"/>
      <c r="FI1620" s="2060"/>
      <c r="FJ1620" s="2060"/>
      <c r="FK1620" s="2060"/>
      <c r="FL1620" s="2060"/>
      <c r="FM1620" s="2060"/>
      <c r="FN1620" s="2060"/>
      <c r="FO1620" s="2060"/>
      <c r="FP1620" s="2060"/>
      <c r="FQ1620" s="2060"/>
      <c r="FR1620" s="2060"/>
      <c r="FS1620" s="2060"/>
      <c r="FT1620" s="2060"/>
      <c r="FU1620" s="2060"/>
      <c r="FV1620" s="2060"/>
      <c r="FW1620" s="2060"/>
      <c r="FX1620" s="2060"/>
      <c r="FY1620" s="2060"/>
      <c r="FZ1620" s="2060"/>
      <c r="GA1620" s="2060"/>
      <c r="GB1620" s="2060"/>
      <c r="GC1620" s="2060"/>
      <c r="GD1620" s="2060"/>
      <c r="GE1620" s="2060"/>
      <c r="GF1620" s="2060"/>
      <c r="GG1620" s="2060"/>
      <c r="GH1620" s="2060"/>
      <c r="GI1620" s="2060"/>
      <c r="GJ1620" s="2060"/>
      <c r="GK1620" s="2060"/>
      <c r="GL1620" s="2060"/>
      <c r="GM1620" s="2060"/>
      <c r="GN1620" s="2060"/>
      <c r="GO1620" s="2060"/>
      <c r="GP1620" s="2060"/>
      <c r="GQ1620" s="2060"/>
      <c r="GR1620" s="2060"/>
      <c r="GS1620" s="2060"/>
      <c r="GT1620" s="2060"/>
      <c r="GU1620" s="2060"/>
      <c r="GV1620" s="2060"/>
      <c r="GW1620" s="2060"/>
      <c r="GX1620" s="2060"/>
      <c r="GY1620" s="2060"/>
      <c r="GZ1620" s="2060"/>
      <c r="HA1620" s="2060"/>
      <c r="HB1620" s="2060"/>
      <c r="HC1620" s="2060"/>
      <c r="HD1620" s="2060"/>
      <c r="HE1620" s="2060"/>
      <c r="HF1620" s="2060"/>
      <c r="HG1620" s="2060"/>
      <c r="HH1620" s="2060"/>
      <c r="HI1620" s="2060"/>
      <c r="HJ1620" s="2060"/>
      <c r="HK1620" s="2060"/>
      <c r="HL1620" s="2060"/>
      <c r="HM1620" s="2060"/>
      <c r="HN1620" s="2060"/>
      <c r="HO1620" s="2060"/>
      <c r="HP1620" s="2060"/>
      <c r="HQ1620" s="2060"/>
      <c r="HR1620" s="2060"/>
      <c r="HS1620" s="2060"/>
      <c r="HT1620" s="2060"/>
      <c r="HU1620" s="2060"/>
      <c r="HV1620" s="2060"/>
      <c r="HW1620" s="2060"/>
      <c r="HX1620" s="2060"/>
      <c r="HY1620" s="2060"/>
      <c r="HZ1620" s="2060"/>
      <c r="IA1620" s="2060"/>
      <c r="IB1620" s="2060"/>
      <c r="IC1620" s="2060"/>
      <c r="ID1620" s="2060"/>
      <c r="IE1620" s="2060"/>
      <c r="IF1620" s="2060"/>
      <c r="IG1620" s="2060"/>
      <c r="IH1620" s="2060"/>
      <c r="II1620" s="2060"/>
      <c r="IJ1620" s="2060"/>
      <c r="IK1620" s="2060"/>
      <c r="IL1620" s="2060"/>
      <c r="IM1620" s="2060"/>
      <c r="IN1620" s="2060"/>
      <c r="IO1620" s="2060"/>
      <c r="IP1620" s="2060"/>
      <c r="IQ1620" s="2060"/>
      <c r="IR1620" s="2060"/>
      <c r="IS1620" s="2060"/>
      <c r="IT1620" s="2060"/>
      <c r="IU1620" s="2060"/>
      <c r="IV1620" s="2060"/>
      <c r="IW1620" s="2060"/>
      <c r="IX1620" s="2060"/>
      <c r="IY1620" s="2060"/>
      <c r="IZ1620" s="2060"/>
      <c r="JA1620" s="2060"/>
      <c r="JB1620" s="2060"/>
      <c r="JC1620" s="2060"/>
      <c r="JD1620" s="2060"/>
      <c r="JE1620" s="2060"/>
      <c r="JF1620" s="2060"/>
      <c r="JG1620" s="2060"/>
      <c r="JH1620" s="2060"/>
      <c r="JI1620" s="2060"/>
      <c r="JJ1620" s="2060"/>
      <c r="JK1620" s="2060"/>
      <c r="JL1620" s="2060"/>
      <c r="JM1620" s="2060"/>
      <c r="JN1620" s="2060"/>
      <c r="JO1620" s="2060"/>
      <c r="JP1620" s="2060"/>
      <c r="JQ1620" s="2060"/>
      <c r="JR1620" s="2060"/>
      <c r="JS1620" s="2060"/>
      <c r="JT1620" s="2060"/>
      <c r="JU1620" s="2060"/>
      <c r="JV1620" s="2060"/>
      <c r="JW1620" s="2060"/>
      <c r="JX1620" s="2060"/>
      <c r="JY1620" s="2060"/>
      <c r="JZ1620" s="2060"/>
      <c r="KA1620" s="2060"/>
      <c r="KB1620" s="2060"/>
      <c r="KC1620" s="2060"/>
      <c r="KD1620" s="2060"/>
      <c r="KE1620" s="2060"/>
      <c r="KF1620" s="2060"/>
      <c r="KG1620" s="2060"/>
      <c r="KH1620" s="2060"/>
      <c r="KI1620" s="2060"/>
      <c r="KJ1620" s="2060"/>
      <c r="KK1620" s="2060"/>
      <c r="KL1620" s="2060"/>
      <c r="KM1620" s="2060"/>
      <c r="KN1620" s="2060"/>
      <c r="KO1620" s="2060"/>
      <c r="KP1620" s="2060"/>
      <c r="KQ1620" s="2060"/>
      <c r="KR1620" s="2060"/>
      <c r="KS1620" s="2060"/>
      <c r="KT1620" s="2060"/>
      <c r="KU1620" s="2060"/>
      <c r="KV1620" s="2060"/>
      <c r="KW1620" s="2060"/>
      <c r="KX1620" s="2060"/>
      <c r="KY1620" s="2060"/>
      <c r="KZ1620" s="2060"/>
      <c r="LA1620" s="2060"/>
      <c r="LB1620" s="2060"/>
      <c r="LC1620" s="2060"/>
      <c r="LD1620" s="2060"/>
      <c r="LE1620" s="2060"/>
      <c r="LF1620" s="2060"/>
      <c r="LG1620" s="2060"/>
      <c r="LH1620" s="2060"/>
    </row>
    <row r="1621" spans="1:320" s="449" customFormat="1" ht="13.9">
      <c r="A1621" s="269" t="str">
        <f t="shared" si="441"/>
        <v>n</v>
      </c>
      <c r="B1621" s="2060"/>
      <c r="C1621" s="2060"/>
      <c r="D1621" s="2060"/>
      <c r="E1621" s="1661">
        <v>5</v>
      </c>
      <c r="F1621" s="1353" t="str">
        <f>F$133</f>
        <v>--</v>
      </c>
      <c r="G1621" s="128">
        <f>G$133</f>
        <v>0</v>
      </c>
      <c r="H1621" s="128" t="str">
        <f>H$133</f>
        <v>--</v>
      </c>
      <c r="I1621" s="89" t="s">
        <v>783</v>
      </c>
      <c r="J1621" s="2197" t="str">
        <f>IF($G1621=0,"",IFERROR(_xll.ciqfunctions.udf.CIQ($G1621,$I1621,J$1557,Valuation_Date_GC,ReportType,DataMode,$H1621,FXMode)*Scale+J1592*Pension10,"n/a"))</f>
        <v/>
      </c>
      <c r="K1621" s="2197" t="str">
        <f>IF($G1621=0,"",IFERROR(_xll.ciqfunctions.udf.CIQ($G1621,$I1621,K$1557,Valuation_Date_GC,ReportType,DataMode,$H1621,FXMode)*Scale+K1592*Pension10,"n/a"))</f>
        <v/>
      </c>
      <c r="L1621" s="2197" t="str">
        <f>IF($G1621=0,"",IFERROR(_xll.ciqfunctions.udf.CIQ($G1621,$I1621,L$1557,Valuation_Date_GC,ReportType,DataMode,$H1621,FXMode)*Scale+L1592*Pension10,"n/a"))</f>
        <v/>
      </c>
      <c r="M1621" s="2197" t="str">
        <f>IF($G1621=0,"",IFERROR(_xll.ciqfunctions.udf.CIQ($G1621,$I1621,M$1557,Valuation_Date_GC,ReportType,DataMode,$H1621,FXMode)*Scale+M1592*Pension10,"n/a"))</f>
        <v/>
      </c>
      <c r="N1621" s="2197" t="str">
        <f>IF($G1621=0,"",IFERROR(_xll.ciqfunctions.udf.CIQ($G1621,$I1621,N$1557,Valuation_Date_GC,ReportType,DataMode,$H1621,FXMode)*Scale+N1592*Pension10,"n/a"))</f>
        <v/>
      </c>
      <c r="O1621" s="2197" t="str">
        <f>IF($G1621=0,"",IFERROR(_xll.ciqfunctions.udf.CIQ($G1621,$I1621,O$1557,Valuation_Date_GC,ReportType,DataMode,$H1621,FXMode)*Scale+O1592*Pension10,"n/a"))</f>
        <v/>
      </c>
      <c r="P1621" s="2197" t="str">
        <f>IF($G1621=0,"",IFERROR(_xll.ciqfunctions.udf.CIQ($G1621,$I1621,P$1557,Valuation_Date_GC,ReportType,DataMode,$H1621,FXMode)*Scale+P1592*Pension10,"n/a"))</f>
        <v/>
      </c>
      <c r="Q1621" s="2197" t="str">
        <f>IF($G1621=0,"",IFERROR(_xll.ciqfunctions.udf.CIQ($G1621,$I1621,Q$1557,Valuation_Date_GC,ReportType,DataMode,$H1621,FXMode)*Scale+Q1592*Pension10,"n/a"))</f>
        <v/>
      </c>
      <c r="R1621" s="2197" t="str">
        <f>IF($G1621=0,"",IFERROR(_xll.ciqfunctions.udf.CIQ($G1621,$I1621,R$1557,Valuation_Date_GC,ReportType,DataMode,$H1621,FXMode)*Scale+R1592*Pension10,"n/a"))</f>
        <v/>
      </c>
      <c r="S1621" s="2197" t="str">
        <f>IF($G1621=0,"",IFERROR(_xll.ciqfunctions.udf.CIQ($G1621,$I1621,S$1557,Valuation_Date_GC,ReportType,DataMode,$H1621,FXMode)*Scale+S1592*Pension10,"n/a"))</f>
        <v/>
      </c>
      <c r="T1621" s="2197" t="str">
        <f>IF($G1621=0,"",IFERROR(_xll.ciqfunctions.udf.CIQ($G1621,$I1621,T$1557,Valuation_Date_GC,ReportType,DataMode,$H1621,FXMode)*Scale+T1592*Pension10,"n/a"))</f>
        <v/>
      </c>
      <c r="U1621" s="2197" t="str">
        <f>IF($G1621=0,"",IFERROR(_xll.ciqfunctions.udf.CIQ($G1621,$I1621,U$1557,Valuation_Date_GC,ReportType,DataMode,$H1621,FXMode)*Scale+U1592*Pension10,"n/a"))</f>
        <v/>
      </c>
      <c r="V1621" s="2197" t="str">
        <f>IF($G1621=0,"",IFERROR(_xll.ciqfunctions.udf.CIQ($G1621,$I1621,V$1557,Valuation_Date_GC,ReportType,DataMode,$H1621,FXMode)*Scale+V1592*Pension10,"n/a"))</f>
        <v/>
      </c>
      <c r="W1621" s="1479"/>
      <c r="X1621" s="255"/>
      <c r="Y1621" s="89"/>
      <c r="Z1621" s="2060"/>
      <c r="AA1621" s="2060"/>
      <c r="AB1621" s="2060"/>
      <c r="AC1621" s="2060"/>
      <c r="AD1621" s="2060"/>
      <c r="AE1621" s="2060"/>
      <c r="AF1621" s="2060"/>
      <c r="AG1621" s="2060"/>
      <c r="AH1621" s="2060"/>
      <c r="AI1621" s="2060"/>
      <c r="AJ1621" s="2060"/>
      <c r="AK1621" s="2060"/>
      <c r="AL1621" s="2060"/>
      <c r="AM1621" s="2060"/>
      <c r="AN1621" s="2060"/>
      <c r="AO1621" s="2060"/>
      <c r="AP1621" s="2060"/>
      <c r="AQ1621" s="2060"/>
      <c r="AR1621" s="2060"/>
      <c r="AS1621" s="2060"/>
      <c r="AT1621" s="2060"/>
      <c r="AU1621" s="2060"/>
      <c r="AV1621" s="2060"/>
      <c r="AW1621" s="2060"/>
      <c r="AX1621" s="2060"/>
      <c r="AY1621" s="2060"/>
      <c r="AZ1621" s="2060"/>
      <c r="BA1621" s="2060"/>
      <c r="BB1621" s="2060"/>
      <c r="BC1621" s="2060"/>
      <c r="BD1621" s="2060"/>
      <c r="BE1621" s="2060"/>
      <c r="BF1621" s="2060"/>
      <c r="BG1621" s="2060"/>
      <c r="BH1621" s="2060"/>
      <c r="BI1621" s="2060"/>
      <c r="BJ1621" s="2060"/>
      <c r="BK1621" s="2060"/>
      <c r="BL1621" s="2060"/>
      <c r="BM1621" s="2060"/>
      <c r="BN1621" s="2060"/>
      <c r="BO1621" s="2060"/>
      <c r="BP1621" s="2060"/>
      <c r="BQ1621" s="2060"/>
      <c r="BR1621" s="2060"/>
      <c r="BS1621" s="2060"/>
      <c r="BT1621" s="2060"/>
      <c r="BU1621" s="2060"/>
      <c r="BV1621" s="2060"/>
      <c r="BW1621" s="2060"/>
      <c r="BX1621" s="2060"/>
      <c r="BY1621" s="2060"/>
      <c r="BZ1621" s="2060"/>
      <c r="CA1621" s="2060"/>
      <c r="CB1621" s="2060"/>
      <c r="CC1621" s="2060"/>
      <c r="CD1621" s="2060"/>
      <c r="CE1621" s="2060"/>
      <c r="CF1621" s="2060"/>
      <c r="CG1621" s="2060"/>
      <c r="CH1621" s="2060"/>
      <c r="CI1621" s="2060"/>
      <c r="CJ1621" s="2060"/>
      <c r="CK1621" s="2060"/>
      <c r="CL1621" s="2060"/>
      <c r="CM1621" s="2060"/>
      <c r="CN1621" s="2060"/>
      <c r="CO1621" s="2060"/>
      <c r="CP1621" s="2060"/>
      <c r="CQ1621" s="2060"/>
      <c r="CR1621" s="2060"/>
      <c r="CS1621" s="2060"/>
      <c r="CT1621" s="2060"/>
      <c r="CU1621" s="2060"/>
      <c r="CV1621" s="2060"/>
      <c r="CW1621" s="2060"/>
      <c r="CX1621" s="2060"/>
      <c r="CY1621" s="2060"/>
      <c r="CZ1621" s="2060"/>
      <c r="DA1621" s="2060"/>
      <c r="DB1621" s="2060"/>
      <c r="DC1621" s="2060"/>
      <c r="DD1621" s="2060"/>
      <c r="DE1621" s="2060"/>
      <c r="DF1621" s="2060"/>
      <c r="DG1621" s="2060"/>
      <c r="DH1621" s="2060"/>
      <c r="DI1621" s="2060"/>
      <c r="DJ1621" s="2060"/>
      <c r="DK1621" s="2060"/>
      <c r="DL1621" s="2060"/>
      <c r="DM1621" s="2060"/>
      <c r="DN1621" s="2060"/>
      <c r="DO1621" s="2060"/>
      <c r="DP1621" s="2060"/>
      <c r="DQ1621" s="2060"/>
      <c r="DR1621" s="2060"/>
      <c r="DS1621" s="2060"/>
      <c r="DT1621" s="2060"/>
      <c r="DU1621" s="2060"/>
      <c r="DV1621" s="2060"/>
      <c r="DW1621" s="2060"/>
      <c r="DX1621" s="2060"/>
      <c r="DY1621" s="2060"/>
      <c r="DZ1621" s="2060"/>
      <c r="EA1621" s="2060"/>
      <c r="EB1621" s="2060"/>
      <c r="EC1621" s="2060"/>
      <c r="ED1621" s="2060"/>
      <c r="EE1621" s="2060"/>
      <c r="EF1621" s="2060"/>
      <c r="EG1621" s="2060"/>
      <c r="EH1621" s="2060"/>
      <c r="EI1621" s="2060"/>
      <c r="EJ1621" s="2060"/>
      <c r="EK1621" s="2060"/>
      <c r="EL1621" s="2060"/>
      <c r="EM1621" s="2060"/>
      <c r="EN1621" s="2060"/>
      <c r="EO1621" s="2060"/>
      <c r="EP1621" s="2060"/>
      <c r="EQ1621" s="2060"/>
      <c r="ER1621" s="2060"/>
      <c r="ES1621" s="2060"/>
      <c r="ET1621" s="2060"/>
      <c r="EU1621" s="2060"/>
      <c r="EV1621" s="2060"/>
      <c r="EW1621" s="2060"/>
      <c r="EX1621" s="2060"/>
      <c r="EY1621" s="2060"/>
      <c r="EZ1621" s="2060"/>
      <c r="FA1621" s="2060"/>
      <c r="FB1621" s="2060"/>
      <c r="FC1621" s="2060"/>
      <c r="FD1621" s="2060"/>
      <c r="FE1621" s="2060"/>
      <c r="FF1621" s="2060"/>
      <c r="FG1621" s="2060"/>
      <c r="FH1621" s="2060"/>
      <c r="FI1621" s="2060"/>
      <c r="FJ1621" s="2060"/>
      <c r="FK1621" s="2060"/>
      <c r="FL1621" s="2060"/>
      <c r="FM1621" s="2060"/>
      <c r="FN1621" s="2060"/>
      <c r="FO1621" s="2060"/>
      <c r="FP1621" s="2060"/>
      <c r="FQ1621" s="2060"/>
      <c r="FR1621" s="2060"/>
      <c r="FS1621" s="2060"/>
      <c r="FT1621" s="2060"/>
      <c r="FU1621" s="2060"/>
      <c r="FV1621" s="2060"/>
      <c r="FW1621" s="2060"/>
      <c r="FX1621" s="2060"/>
      <c r="FY1621" s="2060"/>
      <c r="FZ1621" s="2060"/>
      <c r="GA1621" s="2060"/>
      <c r="GB1621" s="2060"/>
      <c r="GC1621" s="2060"/>
      <c r="GD1621" s="2060"/>
      <c r="GE1621" s="2060"/>
      <c r="GF1621" s="2060"/>
      <c r="GG1621" s="2060"/>
      <c r="GH1621" s="2060"/>
      <c r="GI1621" s="2060"/>
      <c r="GJ1621" s="2060"/>
      <c r="GK1621" s="2060"/>
      <c r="GL1621" s="2060"/>
      <c r="GM1621" s="2060"/>
      <c r="GN1621" s="2060"/>
      <c r="GO1621" s="2060"/>
      <c r="GP1621" s="2060"/>
      <c r="GQ1621" s="2060"/>
      <c r="GR1621" s="2060"/>
      <c r="GS1621" s="2060"/>
      <c r="GT1621" s="2060"/>
      <c r="GU1621" s="2060"/>
      <c r="GV1621" s="2060"/>
      <c r="GW1621" s="2060"/>
      <c r="GX1621" s="2060"/>
      <c r="GY1621" s="2060"/>
      <c r="GZ1621" s="2060"/>
      <c r="HA1621" s="2060"/>
      <c r="HB1621" s="2060"/>
      <c r="HC1621" s="2060"/>
      <c r="HD1621" s="2060"/>
      <c r="HE1621" s="2060"/>
      <c r="HF1621" s="2060"/>
      <c r="HG1621" s="2060"/>
      <c r="HH1621" s="2060"/>
      <c r="HI1621" s="2060"/>
      <c r="HJ1621" s="2060"/>
      <c r="HK1621" s="2060"/>
      <c r="HL1621" s="2060"/>
      <c r="HM1621" s="2060"/>
      <c r="HN1621" s="2060"/>
      <c r="HO1621" s="2060"/>
      <c r="HP1621" s="2060"/>
      <c r="HQ1621" s="2060"/>
      <c r="HR1621" s="2060"/>
      <c r="HS1621" s="2060"/>
      <c r="HT1621" s="2060"/>
      <c r="HU1621" s="2060"/>
      <c r="HV1621" s="2060"/>
      <c r="HW1621" s="2060"/>
      <c r="HX1621" s="2060"/>
      <c r="HY1621" s="2060"/>
      <c r="HZ1621" s="2060"/>
      <c r="IA1621" s="2060"/>
      <c r="IB1621" s="2060"/>
      <c r="IC1621" s="2060"/>
      <c r="ID1621" s="2060"/>
      <c r="IE1621" s="2060"/>
      <c r="IF1621" s="2060"/>
      <c r="IG1621" s="2060"/>
      <c r="IH1621" s="2060"/>
      <c r="II1621" s="2060"/>
      <c r="IJ1621" s="2060"/>
      <c r="IK1621" s="2060"/>
      <c r="IL1621" s="2060"/>
      <c r="IM1621" s="2060"/>
      <c r="IN1621" s="2060"/>
      <c r="IO1621" s="2060"/>
      <c r="IP1621" s="2060"/>
      <c r="IQ1621" s="2060"/>
      <c r="IR1621" s="2060"/>
      <c r="IS1621" s="2060"/>
      <c r="IT1621" s="2060"/>
      <c r="IU1621" s="2060"/>
      <c r="IV1621" s="2060"/>
      <c r="IW1621" s="2060"/>
      <c r="IX1621" s="2060"/>
      <c r="IY1621" s="2060"/>
      <c r="IZ1621" s="2060"/>
      <c r="JA1621" s="2060"/>
      <c r="JB1621" s="2060"/>
      <c r="JC1621" s="2060"/>
      <c r="JD1621" s="2060"/>
      <c r="JE1621" s="2060"/>
      <c r="JF1621" s="2060"/>
      <c r="JG1621" s="2060"/>
      <c r="JH1621" s="2060"/>
      <c r="JI1621" s="2060"/>
      <c r="JJ1621" s="2060"/>
      <c r="JK1621" s="2060"/>
      <c r="JL1621" s="2060"/>
      <c r="JM1621" s="2060"/>
      <c r="JN1621" s="2060"/>
      <c r="JO1621" s="2060"/>
      <c r="JP1621" s="2060"/>
      <c r="JQ1621" s="2060"/>
      <c r="JR1621" s="2060"/>
      <c r="JS1621" s="2060"/>
      <c r="JT1621" s="2060"/>
      <c r="JU1621" s="2060"/>
      <c r="JV1621" s="2060"/>
      <c r="JW1621" s="2060"/>
      <c r="JX1621" s="2060"/>
      <c r="JY1621" s="2060"/>
      <c r="JZ1621" s="2060"/>
      <c r="KA1621" s="2060"/>
      <c r="KB1621" s="2060"/>
      <c r="KC1621" s="2060"/>
      <c r="KD1621" s="2060"/>
      <c r="KE1621" s="2060"/>
      <c r="KF1621" s="2060"/>
      <c r="KG1621" s="2060"/>
      <c r="KH1621" s="2060"/>
      <c r="KI1621" s="2060"/>
      <c r="KJ1621" s="2060"/>
      <c r="KK1621" s="2060"/>
      <c r="KL1621" s="2060"/>
      <c r="KM1621" s="2060"/>
      <c r="KN1621" s="2060"/>
      <c r="KO1621" s="2060"/>
      <c r="KP1621" s="2060"/>
      <c r="KQ1621" s="2060"/>
      <c r="KR1621" s="2060"/>
      <c r="KS1621" s="2060"/>
      <c r="KT1621" s="2060"/>
      <c r="KU1621" s="2060"/>
      <c r="KV1621" s="2060"/>
      <c r="KW1621" s="2060"/>
      <c r="KX1621" s="2060"/>
      <c r="KY1621" s="2060"/>
      <c r="KZ1621" s="2060"/>
      <c r="LA1621" s="2060"/>
      <c r="LB1621" s="2060"/>
      <c r="LC1621" s="2060"/>
      <c r="LD1621" s="2060"/>
      <c r="LE1621" s="2060"/>
      <c r="LF1621" s="2060"/>
      <c r="LG1621" s="2060"/>
      <c r="LH1621" s="2060"/>
    </row>
    <row r="1622" spans="1:320" s="449" customFormat="1" ht="13.9">
      <c r="A1622" s="269" t="str">
        <f t="shared" si="441"/>
        <v>n</v>
      </c>
      <c r="B1622" s="2060"/>
      <c r="C1622" s="2060"/>
      <c r="D1622" s="2060"/>
      <c r="E1622" s="1661">
        <v>6</v>
      </c>
      <c r="F1622" s="1353" t="str">
        <f>F$134</f>
        <v>--</v>
      </c>
      <c r="G1622" s="128">
        <f>G$134</f>
        <v>0</v>
      </c>
      <c r="H1622" s="128" t="str">
        <f>H$134</f>
        <v>--</v>
      </c>
      <c r="I1622" s="89" t="s">
        <v>783</v>
      </c>
      <c r="J1622" s="2197" t="str">
        <f>IF($G1622=0,"",IFERROR(_xll.ciqfunctions.udf.CIQ($G1622,$I1622,J$1557,Valuation_Date_GC,ReportType,DataMode,$H1622,FXMode)*Scale+J1593*Pension10,"n/a"))</f>
        <v/>
      </c>
      <c r="K1622" s="2197" t="str">
        <f>IF($G1622=0,"",IFERROR(_xll.ciqfunctions.udf.CIQ($G1622,$I1622,K$1557,Valuation_Date_GC,ReportType,DataMode,$H1622,FXMode)*Scale+K1593*Pension10,"n/a"))</f>
        <v/>
      </c>
      <c r="L1622" s="2197" t="str">
        <f>IF($G1622=0,"",IFERROR(_xll.ciqfunctions.udf.CIQ($G1622,$I1622,L$1557,Valuation_Date_GC,ReportType,DataMode,$H1622,FXMode)*Scale+L1593*Pension10,"n/a"))</f>
        <v/>
      </c>
      <c r="M1622" s="2197" t="str">
        <f>IF($G1622=0,"",IFERROR(_xll.ciqfunctions.udf.CIQ($G1622,$I1622,M$1557,Valuation_Date_GC,ReportType,DataMode,$H1622,FXMode)*Scale+M1593*Pension10,"n/a"))</f>
        <v/>
      </c>
      <c r="N1622" s="2197" t="str">
        <f>IF($G1622=0,"",IFERROR(_xll.ciqfunctions.udf.CIQ($G1622,$I1622,N$1557,Valuation_Date_GC,ReportType,DataMode,$H1622,FXMode)*Scale+N1593*Pension10,"n/a"))</f>
        <v/>
      </c>
      <c r="O1622" s="2197" t="str">
        <f>IF($G1622=0,"",IFERROR(_xll.ciqfunctions.udf.CIQ($G1622,$I1622,O$1557,Valuation_Date_GC,ReportType,DataMode,$H1622,FXMode)*Scale+O1593*Pension10,"n/a"))</f>
        <v/>
      </c>
      <c r="P1622" s="2197" t="str">
        <f>IF($G1622=0,"",IFERROR(_xll.ciqfunctions.udf.CIQ($G1622,$I1622,P$1557,Valuation_Date_GC,ReportType,DataMode,$H1622,FXMode)*Scale+P1593*Pension10,"n/a"))</f>
        <v/>
      </c>
      <c r="Q1622" s="2197" t="str">
        <f>IF($G1622=0,"",IFERROR(_xll.ciqfunctions.udf.CIQ($G1622,$I1622,Q$1557,Valuation_Date_GC,ReportType,DataMode,$H1622,FXMode)*Scale+Q1593*Pension10,"n/a"))</f>
        <v/>
      </c>
      <c r="R1622" s="2197" t="str">
        <f>IF($G1622=0,"",IFERROR(_xll.ciqfunctions.udf.CIQ($G1622,$I1622,R$1557,Valuation_Date_GC,ReportType,DataMode,$H1622,FXMode)*Scale+R1593*Pension10,"n/a"))</f>
        <v/>
      </c>
      <c r="S1622" s="2197" t="str">
        <f>IF($G1622=0,"",IFERROR(_xll.ciqfunctions.udf.CIQ($G1622,$I1622,S$1557,Valuation_Date_GC,ReportType,DataMode,$H1622,FXMode)*Scale+S1593*Pension10,"n/a"))</f>
        <v/>
      </c>
      <c r="T1622" s="2197" t="str">
        <f>IF($G1622=0,"",IFERROR(_xll.ciqfunctions.udf.CIQ($G1622,$I1622,T$1557,Valuation_Date_GC,ReportType,DataMode,$H1622,FXMode)*Scale+T1593*Pension10,"n/a"))</f>
        <v/>
      </c>
      <c r="U1622" s="2197" t="str">
        <f>IF($G1622=0,"",IFERROR(_xll.ciqfunctions.udf.CIQ($G1622,$I1622,U$1557,Valuation_Date_GC,ReportType,DataMode,$H1622,FXMode)*Scale+U1593*Pension10,"n/a"))</f>
        <v/>
      </c>
      <c r="V1622" s="2197" t="str">
        <f>IF($G1622=0,"",IFERROR(_xll.ciqfunctions.udf.CIQ($G1622,$I1622,V$1557,Valuation_Date_GC,ReportType,DataMode,$H1622,FXMode)*Scale+V1593*Pension10,"n/a"))</f>
        <v/>
      </c>
      <c r="W1622" s="1479"/>
      <c r="X1622" s="255"/>
      <c r="Y1622" s="89"/>
      <c r="Z1622" s="2060"/>
      <c r="AA1622" s="2060"/>
      <c r="AB1622" s="2060"/>
      <c r="AC1622" s="2060"/>
      <c r="AD1622" s="2060"/>
      <c r="AE1622" s="2060"/>
      <c r="AF1622" s="2060"/>
      <c r="AG1622" s="2060"/>
      <c r="AH1622" s="2060"/>
      <c r="AI1622" s="2060"/>
      <c r="AJ1622" s="2060"/>
      <c r="AK1622" s="2060"/>
      <c r="AL1622" s="2060"/>
      <c r="AM1622" s="2060"/>
      <c r="AN1622" s="2060"/>
      <c r="AO1622" s="2060"/>
      <c r="AP1622" s="2060"/>
      <c r="AQ1622" s="2060"/>
      <c r="AR1622" s="2060"/>
      <c r="AS1622" s="2060"/>
      <c r="AT1622" s="2060"/>
      <c r="AU1622" s="2060"/>
      <c r="AV1622" s="2060"/>
      <c r="AW1622" s="2060"/>
      <c r="AX1622" s="2060"/>
      <c r="AY1622" s="2060"/>
      <c r="AZ1622" s="2060"/>
      <c r="BA1622" s="2060"/>
      <c r="BB1622" s="2060"/>
      <c r="BC1622" s="2060"/>
      <c r="BD1622" s="2060"/>
      <c r="BE1622" s="2060"/>
      <c r="BF1622" s="2060"/>
      <c r="BG1622" s="2060"/>
      <c r="BH1622" s="2060"/>
      <c r="BI1622" s="2060"/>
      <c r="BJ1622" s="2060"/>
      <c r="BK1622" s="2060"/>
      <c r="BL1622" s="2060"/>
      <c r="BM1622" s="2060"/>
      <c r="BN1622" s="2060"/>
      <c r="BO1622" s="2060"/>
      <c r="BP1622" s="2060"/>
      <c r="BQ1622" s="2060"/>
      <c r="BR1622" s="2060"/>
      <c r="BS1622" s="2060"/>
      <c r="BT1622" s="2060"/>
      <c r="BU1622" s="2060"/>
      <c r="BV1622" s="2060"/>
      <c r="BW1622" s="2060"/>
      <c r="BX1622" s="2060"/>
      <c r="BY1622" s="2060"/>
      <c r="BZ1622" s="2060"/>
      <c r="CA1622" s="2060"/>
      <c r="CB1622" s="2060"/>
      <c r="CC1622" s="2060"/>
      <c r="CD1622" s="2060"/>
      <c r="CE1622" s="2060"/>
      <c r="CF1622" s="2060"/>
      <c r="CG1622" s="2060"/>
      <c r="CH1622" s="2060"/>
      <c r="CI1622" s="2060"/>
      <c r="CJ1622" s="2060"/>
      <c r="CK1622" s="2060"/>
      <c r="CL1622" s="2060"/>
      <c r="CM1622" s="2060"/>
      <c r="CN1622" s="2060"/>
      <c r="CO1622" s="2060"/>
      <c r="CP1622" s="2060"/>
      <c r="CQ1622" s="2060"/>
      <c r="CR1622" s="2060"/>
      <c r="CS1622" s="2060"/>
      <c r="CT1622" s="2060"/>
      <c r="CU1622" s="2060"/>
      <c r="CV1622" s="2060"/>
      <c r="CW1622" s="2060"/>
      <c r="CX1622" s="2060"/>
      <c r="CY1622" s="2060"/>
      <c r="CZ1622" s="2060"/>
      <c r="DA1622" s="2060"/>
      <c r="DB1622" s="2060"/>
      <c r="DC1622" s="2060"/>
      <c r="DD1622" s="2060"/>
      <c r="DE1622" s="2060"/>
      <c r="DF1622" s="2060"/>
      <c r="DG1622" s="2060"/>
      <c r="DH1622" s="2060"/>
      <c r="DI1622" s="2060"/>
      <c r="DJ1622" s="2060"/>
      <c r="DK1622" s="2060"/>
      <c r="DL1622" s="2060"/>
      <c r="DM1622" s="2060"/>
      <c r="DN1622" s="2060"/>
      <c r="DO1622" s="2060"/>
      <c r="DP1622" s="2060"/>
      <c r="DQ1622" s="2060"/>
      <c r="DR1622" s="2060"/>
      <c r="DS1622" s="2060"/>
      <c r="DT1622" s="2060"/>
      <c r="DU1622" s="2060"/>
      <c r="DV1622" s="2060"/>
      <c r="DW1622" s="2060"/>
      <c r="DX1622" s="2060"/>
      <c r="DY1622" s="2060"/>
      <c r="DZ1622" s="2060"/>
      <c r="EA1622" s="2060"/>
      <c r="EB1622" s="2060"/>
      <c r="EC1622" s="2060"/>
      <c r="ED1622" s="2060"/>
      <c r="EE1622" s="2060"/>
      <c r="EF1622" s="2060"/>
      <c r="EG1622" s="2060"/>
      <c r="EH1622" s="2060"/>
      <c r="EI1622" s="2060"/>
      <c r="EJ1622" s="2060"/>
      <c r="EK1622" s="2060"/>
      <c r="EL1622" s="2060"/>
      <c r="EM1622" s="2060"/>
      <c r="EN1622" s="2060"/>
      <c r="EO1622" s="2060"/>
      <c r="EP1622" s="2060"/>
      <c r="EQ1622" s="2060"/>
      <c r="ER1622" s="2060"/>
      <c r="ES1622" s="2060"/>
      <c r="ET1622" s="2060"/>
      <c r="EU1622" s="2060"/>
      <c r="EV1622" s="2060"/>
      <c r="EW1622" s="2060"/>
      <c r="EX1622" s="2060"/>
      <c r="EY1622" s="2060"/>
      <c r="EZ1622" s="2060"/>
      <c r="FA1622" s="2060"/>
      <c r="FB1622" s="2060"/>
      <c r="FC1622" s="2060"/>
      <c r="FD1622" s="2060"/>
      <c r="FE1622" s="2060"/>
      <c r="FF1622" s="2060"/>
      <c r="FG1622" s="2060"/>
      <c r="FH1622" s="2060"/>
      <c r="FI1622" s="2060"/>
      <c r="FJ1622" s="2060"/>
      <c r="FK1622" s="2060"/>
      <c r="FL1622" s="2060"/>
      <c r="FM1622" s="2060"/>
      <c r="FN1622" s="2060"/>
      <c r="FO1622" s="2060"/>
      <c r="FP1622" s="2060"/>
      <c r="FQ1622" s="2060"/>
      <c r="FR1622" s="2060"/>
      <c r="FS1622" s="2060"/>
      <c r="FT1622" s="2060"/>
      <c r="FU1622" s="2060"/>
      <c r="FV1622" s="2060"/>
      <c r="FW1622" s="2060"/>
      <c r="FX1622" s="2060"/>
      <c r="FY1622" s="2060"/>
      <c r="FZ1622" s="2060"/>
      <c r="GA1622" s="2060"/>
      <c r="GB1622" s="2060"/>
      <c r="GC1622" s="2060"/>
      <c r="GD1622" s="2060"/>
      <c r="GE1622" s="2060"/>
      <c r="GF1622" s="2060"/>
      <c r="GG1622" s="2060"/>
      <c r="GH1622" s="2060"/>
      <c r="GI1622" s="2060"/>
      <c r="GJ1622" s="2060"/>
      <c r="GK1622" s="2060"/>
      <c r="GL1622" s="2060"/>
      <c r="GM1622" s="2060"/>
      <c r="GN1622" s="2060"/>
      <c r="GO1622" s="2060"/>
      <c r="GP1622" s="2060"/>
      <c r="GQ1622" s="2060"/>
      <c r="GR1622" s="2060"/>
      <c r="GS1622" s="2060"/>
      <c r="GT1622" s="2060"/>
      <c r="GU1622" s="2060"/>
      <c r="GV1622" s="2060"/>
      <c r="GW1622" s="2060"/>
      <c r="GX1622" s="2060"/>
      <c r="GY1622" s="2060"/>
      <c r="GZ1622" s="2060"/>
      <c r="HA1622" s="2060"/>
      <c r="HB1622" s="2060"/>
      <c r="HC1622" s="2060"/>
      <c r="HD1622" s="2060"/>
      <c r="HE1622" s="2060"/>
      <c r="HF1622" s="2060"/>
      <c r="HG1622" s="2060"/>
      <c r="HH1622" s="2060"/>
      <c r="HI1622" s="2060"/>
      <c r="HJ1622" s="2060"/>
      <c r="HK1622" s="2060"/>
      <c r="HL1622" s="2060"/>
      <c r="HM1622" s="2060"/>
      <c r="HN1622" s="2060"/>
      <c r="HO1622" s="2060"/>
      <c r="HP1622" s="2060"/>
      <c r="HQ1622" s="2060"/>
      <c r="HR1622" s="2060"/>
      <c r="HS1622" s="2060"/>
      <c r="HT1622" s="2060"/>
      <c r="HU1622" s="2060"/>
      <c r="HV1622" s="2060"/>
      <c r="HW1622" s="2060"/>
      <c r="HX1622" s="2060"/>
      <c r="HY1622" s="2060"/>
      <c r="HZ1622" s="2060"/>
      <c r="IA1622" s="2060"/>
      <c r="IB1622" s="2060"/>
      <c r="IC1622" s="2060"/>
      <c r="ID1622" s="2060"/>
      <c r="IE1622" s="2060"/>
      <c r="IF1622" s="2060"/>
      <c r="IG1622" s="2060"/>
      <c r="IH1622" s="2060"/>
      <c r="II1622" s="2060"/>
      <c r="IJ1622" s="2060"/>
      <c r="IK1622" s="2060"/>
      <c r="IL1622" s="2060"/>
      <c r="IM1622" s="2060"/>
      <c r="IN1622" s="2060"/>
      <c r="IO1622" s="2060"/>
      <c r="IP1622" s="2060"/>
      <c r="IQ1622" s="2060"/>
      <c r="IR1622" s="2060"/>
      <c r="IS1622" s="2060"/>
      <c r="IT1622" s="2060"/>
      <c r="IU1622" s="2060"/>
      <c r="IV1622" s="2060"/>
      <c r="IW1622" s="2060"/>
      <c r="IX1622" s="2060"/>
      <c r="IY1622" s="2060"/>
      <c r="IZ1622" s="2060"/>
      <c r="JA1622" s="2060"/>
      <c r="JB1622" s="2060"/>
      <c r="JC1622" s="2060"/>
      <c r="JD1622" s="2060"/>
      <c r="JE1622" s="2060"/>
      <c r="JF1622" s="2060"/>
      <c r="JG1622" s="2060"/>
      <c r="JH1622" s="2060"/>
      <c r="JI1622" s="2060"/>
      <c r="JJ1622" s="2060"/>
      <c r="JK1622" s="2060"/>
      <c r="JL1622" s="2060"/>
      <c r="JM1622" s="2060"/>
      <c r="JN1622" s="2060"/>
      <c r="JO1622" s="2060"/>
      <c r="JP1622" s="2060"/>
      <c r="JQ1622" s="2060"/>
      <c r="JR1622" s="2060"/>
      <c r="JS1622" s="2060"/>
      <c r="JT1622" s="2060"/>
      <c r="JU1622" s="2060"/>
      <c r="JV1622" s="2060"/>
      <c r="JW1622" s="2060"/>
      <c r="JX1622" s="2060"/>
      <c r="JY1622" s="2060"/>
      <c r="JZ1622" s="2060"/>
      <c r="KA1622" s="2060"/>
      <c r="KB1622" s="2060"/>
      <c r="KC1622" s="2060"/>
      <c r="KD1622" s="2060"/>
      <c r="KE1622" s="2060"/>
      <c r="KF1622" s="2060"/>
      <c r="KG1622" s="2060"/>
      <c r="KH1622" s="2060"/>
      <c r="KI1622" s="2060"/>
      <c r="KJ1622" s="2060"/>
      <c r="KK1622" s="2060"/>
      <c r="KL1622" s="2060"/>
      <c r="KM1622" s="2060"/>
      <c r="KN1622" s="2060"/>
      <c r="KO1622" s="2060"/>
      <c r="KP1622" s="2060"/>
      <c r="KQ1622" s="2060"/>
      <c r="KR1622" s="2060"/>
      <c r="KS1622" s="2060"/>
      <c r="KT1622" s="2060"/>
      <c r="KU1622" s="2060"/>
      <c r="KV1622" s="2060"/>
      <c r="KW1622" s="2060"/>
      <c r="KX1622" s="2060"/>
      <c r="KY1622" s="2060"/>
      <c r="KZ1622" s="2060"/>
      <c r="LA1622" s="2060"/>
      <c r="LB1622" s="2060"/>
      <c r="LC1622" s="2060"/>
      <c r="LD1622" s="2060"/>
      <c r="LE1622" s="2060"/>
      <c r="LF1622" s="2060"/>
      <c r="LG1622" s="2060"/>
      <c r="LH1622" s="2060"/>
    </row>
    <row r="1623" spans="1:320" s="449" customFormat="1" ht="13.9">
      <c r="A1623" s="269" t="str">
        <f t="shared" si="441"/>
        <v>n</v>
      </c>
      <c r="B1623" s="2060"/>
      <c r="C1623" s="2060"/>
      <c r="D1623" s="2060"/>
      <c r="E1623" s="1661">
        <v>7</v>
      </c>
      <c r="F1623" s="1353" t="str">
        <f>F$135</f>
        <v>--</v>
      </c>
      <c r="G1623" s="128">
        <f>G$135</f>
        <v>0</v>
      </c>
      <c r="H1623" s="128" t="str">
        <f>H$135</f>
        <v>--</v>
      </c>
      <c r="I1623" s="89" t="s">
        <v>783</v>
      </c>
      <c r="J1623" s="2197" t="str">
        <f>IF($G1623=0,"",IFERROR(_xll.ciqfunctions.udf.CIQ($G1623,$I1623,J$1557,Valuation_Date_GC,ReportType,DataMode,$H1623,FXMode)*Scale+J1594*Pension10,"n/a"))</f>
        <v/>
      </c>
      <c r="K1623" s="2197" t="str">
        <f>IF($G1623=0,"",IFERROR(_xll.ciqfunctions.udf.CIQ($G1623,$I1623,K$1557,Valuation_Date_GC,ReportType,DataMode,$H1623,FXMode)*Scale+K1594*Pension10,"n/a"))</f>
        <v/>
      </c>
      <c r="L1623" s="2197" t="str">
        <f>IF($G1623=0,"",IFERROR(_xll.ciqfunctions.udf.CIQ($G1623,$I1623,L$1557,Valuation_Date_GC,ReportType,DataMode,$H1623,FXMode)*Scale+L1594*Pension10,"n/a"))</f>
        <v/>
      </c>
      <c r="M1623" s="2197" t="str">
        <f>IF($G1623=0,"",IFERROR(_xll.ciqfunctions.udf.CIQ($G1623,$I1623,M$1557,Valuation_Date_GC,ReportType,DataMode,$H1623,FXMode)*Scale+M1594*Pension10,"n/a"))</f>
        <v/>
      </c>
      <c r="N1623" s="2197" t="str">
        <f>IF($G1623=0,"",IFERROR(_xll.ciqfunctions.udf.CIQ($G1623,$I1623,N$1557,Valuation_Date_GC,ReportType,DataMode,$H1623,FXMode)*Scale+N1594*Pension10,"n/a"))</f>
        <v/>
      </c>
      <c r="O1623" s="2197" t="str">
        <f>IF($G1623=0,"",IFERROR(_xll.ciqfunctions.udf.CIQ($G1623,$I1623,O$1557,Valuation_Date_GC,ReportType,DataMode,$H1623,FXMode)*Scale+O1594*Pension10,"n/a"))</f>
        <v/>
      </c>
      <c r="P1623" s="2197" t="str">
        <f>IF($G1623=0,"",IFERROR(_xll.ciqfunctions.udf.CIQ($G1623,$I1623,P$1557,Valuation_Date_GC,ReportType,DataMode,$H1623,FXMode)*Scale+P1594*Pension10,"n/a"))</f>
        <v/>
      </c>
      <c r="Q1623" s="2197" t="str">
        <f>IF($G1623=0,"",IFERROR(_xll.ciqfunctions.udf.CIQ($G1623,$I1623,Q$1557,Valuation_Date_GC,ReportType,DataMode,$H1623,FXMode)*Scale+Q1594*Pension10,"n/a"))</f>
        <v/>
      </c>
      <c r="R1623" s="2197" t="str">
        <f>IF($G1623=0,"",IFERROR(_xll.ciqfunctions.udf.CIQ($G1623,$I1623,R$1557,Valuation_Date_GC,ReportType,DataMode,$H1623,FXMode)*Scale+R1594*Pension10,"n/a"))</f>
        <v/>
      </c>
      <c r="S1623" s="2197" t="str">
        <f>IF($G1623=0,"",IFERROR(_xll.ciqfunctions.udf.CIQ($G1623,$I1623,S$1557,Valuation_Date_GC,ReportType,DataMode,$H1623,FXMode)*Scale+S1594*Pension10,"n/a"))</f>
        <v/>
      </c>
      <c r="T1623" s="2197" t="str">
        <f>IF($G1623=0,"",IFERROR(_xll.ciqfunctions.udf.CIQ($G1623,$I1623,T$1557,Valuation_Date_GC,ReportType,DataMode,$H1623,FXMode)*Scale+T1594*Pension10,"n/a"))</f>
        <v/>
      </c>
      <c r="U1623" s="2197" t="str">
        <f>IF($G1623=0,"",IFERROR(_xll.ciqfunctions.udf.CIQ($G1623,$I1623,U$1557,Valuation_Date_GC,ReportType,DataMode,$H1623,FXMode)*Scale+U1594*Pension10,"n/a"))</f>
        <v/>
      </c>
      <c r="V1623" s="2197" t="str">
        <f>IF($G1623=0,"",IFERROR(_xll.ciqfunctions.udf.CIQ($G1623,$I1623,V$1557,Valuation_Date_GC,ReportType,DataMode,$H1623,FXMode)*Scale+V1594*Pension10,"n/a"))</f>
        <v/>
      </c>
      <c r="W1623" s="1479"/>
      <c r="X1623" s="255"/>
      <c r="Y1623" s="89"/>
      <c r="Z1623" s="2060"/>
      <c r="AA1623" s="2060"/>
      <c r="AB1623" s="2060"/>
      <c r="AC1623" s="2060"/>
      <c r="AD1623" s="2060"/>
      <c r="AE1623" s="2060"/>
      <c r="AF1623" s="2060"/>
      <c r="AG1623" s="2060"/>
      <c r="AH1623" s="2060"/>
      <c r="AI1623" s="2060"/>
      <c r="AJ1623" s="2060"/>
      <c r="AK1623" s="2060"/>
      <c r="AL1623" s="2060"/>
      <c r="AM1623" s="2060"/>
      <c r="AN1623" s="2060"/>
      <c r="AO1623" s="2060"/>
      <c r="AP1623" s="2060"/>
      <c r="AQ1623" s="2060"/>
      <c r="AR1623" s="2060"/>
      <c r="AS1623" s="2060"/>
      <c r="AT1623" s="2060"/>
      <c r="AU1623" s="2060"/>
      <c r="AV1623" s="2060"/>
      <c r="AW1623" s="2060"/>
      <c r="AX1623" s="2060"/>
      <c r="AY1623" s="2060"/>
      <c r="AZ1623" s="2060"/>
      <c r="BA1623" s="2060"/>
      <c r="BB1623" s="2060"/>
      <c r="BC1623" s="2060"/>
      <c r="BD1623" s="2060"/>
      <c r="BE1623" s="2060"/>
      <c r="BF1623" s="2060"/>
      <c r="BG1623" s="2060"/>
      <c r="BH1623" s="2060"/>
      <c r="BI1623" s="2060"/>
      <c r="BJ1623" s="2060"/>
      <c r="BK1623" s="2060"/>
      <c r="BL1623" s="2060"/>
      <c r="BM1623" s="2060"/>
      <c r="BN1623" s="2060"/>
      <c r="BO1623" s="2060"/>
      <c r="BP1623" s="2060"/>
      <c r="BQ1623" s="2060"/>
      <c r="BR1623" s="2060"/>
      <c r="BS1623" s="2060"/>
      <c r="BT1623" s="2060"/>
      <c r="BU1623" s="2060"/>
      <c r="BV1623" s="2060"/>
      <c r="BW1623" s="2060"/>
      <c r="BX1623" s="2060"/>
      <c r="BY1623" s="2060"/>
      <c r="BZ1623" s="2060"/>
      <c r="CA1623" s="2060"/>
      <c r="CB1623" s="2060"/>
      <c r="CC1623" s="2060"/>
      <c r="CD1623" s="2060"/>
      <c r="CE1623" s="2060"/>
      <c r="CF1623" s="2060"/>
      <c r="CG1623" s="2060"/>
      <c r="CH1623" s="2060"/>
      <c r="CI1623" s="2060"/>
      <c r="CJ1623" s="2060"/>
      <c r="CK1623" s="2060"/>
      <c r="CL1623" s="2060"/>
      <c r="CM1623" s="2060"/>
      <c r="CN1623" s="2060"/>
      <c r="CO1623" s="2060"/>
      <c r="CP1623" s="2060"/>
      <c r="CQ1623" s="2060"/>
      <c r="CR1623" s="2060"/>
      <c r="CS1623" s="2060"/>
      <c r="CT1623" s="2060"/>
      <c r="CU1623" s="2060"/>
      <c r="CV1623" s="2060"/>
      <c r="CW1623" s="2060"/>
      <c r="CX1623" s="2060"/>
      <c r="CY1623" s="2060"/>
      <c r="CZ1623" s="2060"/>
      <c r="DA1623" s="2060"/>
      <c r="DB1623" s="2060"/>
      <c r="DC1623" s="2060"/>
      <c r="DD1623" s="2060"/>
      <c r="DE1623" s="2060"/>
      <c r="DF1623" s="2060"/>
      <c r="DG1623" s="2060"/>
      <c r="DH1623" s="2060"/>
      <c r="DI1623" s="2060"/>
      <c r="DJ1623" s="2060"/>
      <c r="DK1623" s="2060"/>
      <c r="DL1623" s="2060"/>
      <c r="DM1623" s="2060"/>
      <c r="DN1623" s="2060"/>
      <c r="DO1623" s="2060"/>
      <c r="DP1623" s="2060"/>
      <c r="DQ1623" s="2060"/>
      <c r="DR1623" s="2060"/>
      <c r="DS1623" s="2060"/>
      <c r="DT1623" s="2060"/>
      <c r="DU1623" s="2060"/>
      <c r="DV1623" s="2060"/>
      <c r="DW1623" s="2060"/>
      <c r="DX1623" s="2060"/>
      <c r="DY1623" s="2060"/>
      <c r="DZ1623" s="2060"/>
      <c r="EA1623" s="2060"/>
      <c r="EB1623" s="2060"/>
      <c r="EC1623" s="2060"/>
      <c r="ED1623" s="2060"/>
      <c r="EE1623" s="2060"/>
      <c r="EF1623" s="2060"/>
      <c r="EG1623" s="2060"/>
      <c r="EH1623" s="2060"/>
      <c r="EI1623" s="2060"/>
      <c r="EJ1623" s="2060"/>
      <c r="EK1623" s="2060"/>
      <c r="EL1623" s="2060"/>
      <c r="EM1623" s="2060"/>
      <c r="EN1623" s="2060"/>
      <c r="EO1623" s="2060"/>
      <c r="EP1623" s="2060"/>
      <c r="EQ1623" s="2060"/>
      <c r="ER1623" s="2060"/>
      <c r="ES1623" s="2060"/>
      <c r="ET1623" s="2060"/>
      <c r="EU1623" s="2060"/>
      <c r="EV1623" s="2060"/>
      <c r="EW1623" s="2060"/>
      <c r="EX1623" s="2060"/>
      <c r="EY1623" s="2060"/>
      <c r="EZ1623" s="2060"/>
      <c r="FA1623" s="2060"/>
      <c r="FB1623" s="2060"/>
      <c r="FC1623" s="2060"/>
      <c r="FD1623" s="2060"/>
      <c r="FE1623" s="2060"/>
      <c r="FF1623" s="2060"/>
      <c r="FG1623" s="2060"/>
      <c r="FH1623" s="2060"/>
      <c r="FI1623" s="2060"/>
      <c r="FJ1623" s="2060"/>
      <c r="FK1623" s="2060"/>
      <c r="FL1623" s="2060"/>
      <c r="FM1623" s="2060"/>
      <c r="FN1623" s="2060"/>
      <c r="FO1623" s="2060"/>
      <c r="FP1623" s="2060"/>
      <c r="FQ1623" s="2060"/>
      <c r="FR1623" s="2060"/>
      <c r="FS1623" s="2060"/>
      <c r="FT1623" s="2060"/>
      <c r="FU1623" s="2060"/>
      <c r="FV1623" s="2060"/>
      <c r="FW1623" s="2060"/>
      <c r="FX1623" s="2060"/>
      <c r="FY1623" s="2060"/>
      <c r="FZ1623" s="2060"/>
      <c r="GA1623" s="2060"/>
      <c r="GB1623" s="2060"/>
      <c r="GC1623" s="2060"/>
      <c r="GD1623" s="2060"/>
      <c r="GE1623" s="2060"/>
      <c r="GF1623" s="2060"/>
      <c r="GG1623" s="2060"/>
      <c r="GH1623" s="2060"/>
      <c r="GI1623" s="2060"/>
      <c r="GJ1623" s="2060"/>
      <c r="GK1623" s="2060"/>
      <c r="GL1623" s="2060"/>
      <c r="GM1623" s="2060"/>
      <c r="GN1623" s="2060"/>
      <c r="GO1623" s="2060"/>
      <c r="GP1623" s="2060"/>
      <c r="GQ1623" s="2060"/>
      <c r="GR1623" s="2060"/>
      <c r="GS1623" s="2060"/>
      <c r="GT1623" s="2060"/>
      <c r="GU1623" s="2060"/>
      <c r="GV1623" s="2060"/>
      <c r="GW1623" s="2060"/>
      <c r="GX1623" s="2060"/>
      <c r="GY1623" s="2060"/>
      <c r="GZ1623" s="2060"/>
      <c r="HA1623" s="2060"/>
      <c r="HB1623" s="2060"/>
      <c r="HC1623" s="2060"/>
      <c r="HD1623" s="2060"/>
      <c r="HE1623" s="2060"/>
      <c r="HF1623" s="2060"/>
      <c r="HG1623" s="2060"/>
      <c r="HH1623" s="2060"/>
      <c r="HI1623" s="2060"/>
      <c r="HJ1623" s="2060"/>
      <c r="HK1623" s="2060"/>
      <c r="HL1623" s="2060"/>
      <c r="HM1623" s="2060"/>
      <c r="HN1623" s="2060"/>
      <c r="HO1623" s="2060"/>
      <c r="HP1623" s="2060"/>
      <c r="HQ1623" s="2060"/>
      <c r="HR1623" s="2060"/>
      <c r="HS1623" s="2060"/>
      <c r="HT1623" s="2060"/>
      <c r="HU1623" s="2060"/>
      <c r="HV1623" s="2060"/>
      <c r="HW1623" s="2060"/>
      <c r="HX1623" s="2060"/>
      <c r="HY1623" s="2060"/>
      <c r="HZ1623" s="2060"/>
      <c r="IA1623" s="2060"/>
      <c r="IB1623" s="2060"/>
      <c r="IC1623" s="2060"/>
      <c r="ID1623" s="2060"/>
      <c r="IE1623" s="2060"/>
      <c r="IF1623" s="2060"/>
      <c r="IG1623" s="2060"/>
      <c r="IH1623" s="2060"/>
      <c r="II1623" s="2060"/>
      <c r="IJ1623" s="2060"/>
      <c r="IK1623" s="2060"/>
      <c r="IL1623" s="2060"/>
      <c r="IM1623" s="2060"/>
      <c r="IN1623" s="2060"/>
      <c r="IO1623" s="2060"/>
      <c r="IP1623" s="2060"/>
      <c r="IQ1623" s="2060"/>
      <c r="IR1623" s="2060"/>
      <c r="IS1623" s="2060"/>
      <c r="IT1623" s="2060"/>
      <c r="IU1623" s="2060"/>
      <c r="IV1623" s="2060"/>
      <c r="IW1623" s="2060"/>
      <c r="IX1623" s="2060"/>
      <c r="IY1623" s="2060"/>
      <c r="IZ1623" s="2060"/>
      <c r="JA1623" s="2060"/>
      <c r="JB1623" s="2060"/>
      <c r="JC1623" s="2060"/>
      <c r="JD1623" s="2060"/>
      <c r="JE1623" s="2060"/>
      <c r="JF1623" s="2060"/>
      <c r="JG1623" s="2060"/>
      <c r="JH1623" s="2060"/>
      <c r="JI1623" s="2060"/>
      <c r="JJ1623" s="2060"/>
      <c r="JK1623" s="2060"/>
      <c r="JL1623" s="2060"/>
      <c r="JM1623" s="2060"/>
      <c r="JN1623" s="2060"/>
      <c r="JO1623" s="2060"/>
      <c r="JP1623" s="2060"/>
      <c r="JQ1623" s="2060"/>
      <c r="JR1623" s="2060"/>
      <c r="JS1623" s="2060"/>
      <c r="JT1623" s="2060"/>
      <c r="JU1623" s="2060"/>
      <c r="JV1623" s="2060"/>
      <c r="JW1623" s="2060"/>
      <c r="JX1623" s="2060"/>
      <c r="JY1623" s="2060"/>
      <c r="JZ1623" s="2060"/>
      <c r="KA1623" s="2060"/>
      <c r="KB1623" s="2060"/>
      <c r="KC1623" s="2060"/>
      <c r="KD1623" s="2060"/>
      <c r="KE1623" s="2060"/>
      <c r="KF1623" s="2060"/>
      <c r="KG1623" s="2060"/>
      <c r="KH1623" s="2060"/>
      <c r="KI1623" s="2060"/>
      <c r="KJ1623" s="2060"/>
      <c r="KK1623" s="2060"/>
      <c r="KL1623" s="2060"/>
      <c r="KM1623" s="2060"/>
      <c r="KN1623" s="2060"/>
      <c r="KO1623" s="2060"/>
      <c r="KP1623" s="2060"/>
      <c r="KQ1623" s="2060"/>
      <c r="KR1623" s="2060"/>
      <c r="KS1623" s="2060"/>
      <c r="KT1623" s="2060"/>
      <c r="KU1623" s="2060"/>
      <c r="KV1623" s="2060"/>
      <c r="KW1623" s="2060"/>
      <c r="KX1623" s="2060"/>
      <c r="KY1623" s="2060"/>
      <c r="KZ1623" s="2060"/>
      <c r="LA1623" s="2060"/>
      <c r="LB1623" s="2060"/>
      <c r="LC1623" s="2060"/>
      <c r="LD1623" s="2060"/>
      <c r="LE1623" s="2060"/>
      <c r="LF1623" s="2060"/>
      <c r="LG1623" s="2060"/>
      <c r="LH1623" s="2060"/>
    </row>
    <row r="1624" spans="1:320" s="449" customFormat="1" ht="13.9">
      <c r="A1624" s="269" t="str">
        <f t="shared" si="441"/>
        <v>n</v>
      </c>
      <c r="B1624" s="2060"/>
      <c r="C1624" s="2060"/>
      <c r="D1624" s="2060"/>
      <c r="E1624" s="1661">
        <v>8</v>
      </c>
      <c r="F1624" s="1353" t="str">
        <f>F$136</f>
        <v>--</v>
      </c>
      <c r="G1624" s="128">
        <f>G$136</f>
        <v>0</v>
      </c>
      <c r="H1624" s="128" t="str">
        <f>H$136</f>
        <v>--</v>
      </c>
      <c r="I1624" s="89" t="s">
        <v>783</v>
      </c>
      <c r="J1624" s="2197" t="str">
        <f>IF($G1624=0,"",IFERROR(_xll.ciqfunctions.udf.CIQ($G1624,$I1624,J$1557,Valuation_Date_GC,ReportType,DataMode,$H1624,FXMode)*Scale+J1595*Pension10,"n/a"))</f>
        <v/>
      </c>
      <c r="K1624" s="2197" t="str">
        <f>IF($G1624=0,"",IFERROR(_xll.ciqfunctions.udf.CIQ($G1624,$I1624,K$1557,Valuation_Date_GC,ReportType,DataMode,$H1624,FXMode)*Scale+K1595*Pension10,"n/a"))</f>
        <v/>
      </c>
      <c r="L1624" s="2197" t="str">
        <f>IF($G1624=0,"",IFERROR(_xll.ciqfunctions.udf.CIQ($G1624,$I1624,L$1557,Valuation_Date_GC,ReportType,DataMode,$H1624,FXMode)*Scale+L1595*Pension10,"n/a"))</f>
        <v/>
      </c>
      <c r="M1624" s="2197" t="str">
        <f>IF($G1624=0,"",IFERROR(_xll.ciqfunctions.udf.CIQ($G1624,$I1624,M$1557,Valuation_Date_GC,ReportType,DataMode,$H1624,FXMode)*Scale+M1595*Pension10,"n/a"))</f>
        <v/>
      </c>
      <c r="N1624" s="2197" t="str">
        <f>IF($G1624=0,"",IFERROR(_xll.ciqfunctions.udf.CIQ($G1624,$I1624,N$1557,Valuation_Date_GC,ReportType,DataMode,$H1624,FXMode)*Scale+N1595*Pension10,"n/a"))</f>
        <v/>
      </c>
      <c r="O1624" s="2197" t="str">
        <f>IF($G1624=0,"",IFERROR(_xll.ciqfunctions.udf.CIQ($G1624,$I1624,O$1557,Valuation_Date_GC,ReportType,DataMode,$H1624,FXMode)*Scale+O1595*Pension10,"n/a"))</f>
        <v/>
      </c>
      <c r="P1624" s="2197" t="str">
        <f>IF($G1624=0,"",IFERROR(_xll.ciqfunctions.udf.CIQ($G1624,$I1624,P$1557,Valuation_Date_GC,ReportType,DataMode,$H1624,FXMode)*Scale+P1595*Pension10,"n/a"))</f>
        <v/>
      </c>
      <c r="Q1624" s="2197" t="str">
        <f>IF($G1624=0,"",IFERROR(_xll.ciqfunctions.udf.CIQ($G1624,$I1624,Q$1557,Valuation_Date_GC,ReportType,DataMode,$H1624,FXMode)*Scale+Q1595*Pension10,"n/a"))</f>
        <v/>
      </c>
      <c r="R1624" s="2197" t="str">
        <f>IF($G1624=0,"",IFERROR(_xll.ciqfunctions.udf.CIQ($G1624,$I1624,R$1557,Valuation_Date_GC,ReportType,DataMode,$H1624,FXMode)*Scale+R1595*Pension10,"n/a"))</f>
        <v/>
      </c>
      <c r="S1624" s="2197" t="str">
        <f>IF($G1624=0,"",IFERROR(_xll.ciqfunctions.udf.CIQ($G1624,$I1624,S$1557,Valuation_Date_GC,ReportType,DataMode,$H1624,FXMode)*Scale+S1595*Pension10,"n/a"))</f>
        <v/>
      </c>
      <c r="T1624" s="2197" t="str">
        <f>IF($G1624=0,"",IFERROR(_xll.ciqfunctions.udf.CIQ($G1624,$I1624,T$1557,Valuation_Date_GC,ReportType,DataMode,$H1624,FXMode)*Scale+T1595*Pension10,"n/a"))</f>
        <v/>
      </c>
      <c r="U1624" s="2197" t="str">
        <f>IF($G1624=0,"",IFERROR(_xll.ciqfunctions.udf.CIQ($G1624,$I1624,U$1557,Valuation_Date_GC,ReportType,DataMode,$H1624,FXMode)*Scale+U1595*Pension10,"n/a"))</f>
        <v/>
      </c>
      <c r="V1624" s="2197" t="str">
        <f>IF($G1624=0,"",IFERROR(_xll.ciqfunctions.udf.CIQ($G1624,$I1624,V$1557,Valuation_Date_GC,ReportType,DataMode,$H1624,FXMode)*Scale+V1595*Pension10,"n/a"))</f>
        <v/>
      </c>
      <c r="W1624" s="1479"/>
      <c r="X1624" s="255"/>
      <c r="Y1624" s="89"/>
      <c r="Z1624" s="2060"/>
      <c r="AA1624" s="2060"/>
      <c r="AB1624" s="2060"/>
      <c r="AC1624" s="2060"/>
      <c r="AD1624" s="2060"/>
      <c r="AE1624" s="2060"/>
      <c r="AF1624" s="2060"/>
      <c r="AG1624" s="2060"/>
      <c r="AH1624" s="2060"/>
      <c r="AI1624" s="2060"/>
      <c r="AJ1624" s="2060"/>
      <c r="AK1624" s="2060"/>
      <c r="AL1624" s="2060"/>
      <c r="AM1624" s="2060"/>
      <c r="AN1624" s="2060"/>
      <c r="AO1624" s="2060"/>
      <c r="AP1624" s="2060"/>
      <c r="AQ1624" s="2060"/>
      <c r="AR1624" s="2060"/>
      <c r="AS1624" s="2060"/>
      <c r="AT1624" s="2060"/>
      <c r="AU1624" s="2060"/>
      <c r="AV1624" s="2060"/>
      <c r="AW1624" s="2060"/>
      <c r="AX1624" s="2060"/>
      <c r="AY1624" s="2060"/>
      <c r="AZ1624" s="2060"/>
      <c r="BA1624" s="2060"/>
      <c r="BB1624" s="2060"/>
      <c r="BC1624" s="2060"/>
      <c r="BD1624" s="2060"/>
      <c r="BE1624" s="2060"/>
      <c r="BF1624" s="2060"/>
      <c r="BG1624" s="2060"/>
      <c r="BH1624" s="2060"/>
      <c r="BI1624" s="2060"/>
      <c r="BJ1624" s="2060"/>
      <c r="BK1624" s="2060"/>
      <c r="BL1624" s="2060"/>
      <c r="BM1624" s="2060"/>
      <c r="BN1624" s="2060"/>
      <c r="BO1624" s="2060"/>
      <c r="BP1624" s="2060"/>
      <c r="BQ1624" s="2060"/>
      <c r="BR1624" s="2060"/>
      <c r="BS1624" s="2060"/>
      <c r="BT1624" s="2060"/>
      <c r="BU1624" s="2060"/>
      <c r="BV1624" s="2060"/>
      <c r="BW1624" s="2060"/>
      <c r="BX1624" s="2060"/>
      <c r="BY1624" s="2060"/>
      <c r="BZ1624" s="2060"/>
      <c r="CA1624" s="2060"/>
      <c r="CB1624" s="2060"/>
      <c r="CC1624" s="2060"/>
      <c r="CD1624" s="2060"/>
      <c r="CE1624" s="2060"/>
      <c r="CF1624" s="2060"/>
      <c r="CG1624" s="2060"/>
      <c r="CH1624" s="2060"/>
      <c r="CI1624" s="2060"/>
      <c r="CJ1624" s="2060"/>
      <c r="CK1624" s="2060"/>
      <c r="CL1624" s="2060"/>
      <c r="CM1624" s="2060"/>
      <c r="CN1624" s="2060"/>
      <c r="CO1624" s="2060"/>
      <c r="CP1624" s="2060"/>
      <c r="CQ1624" s="2060"/>
      <c r="CR1624" s="2060"/>
      <c r="CS1624" s="2060"/>
      <c r="CT1624" s="2060"/>
      <c r="CU1624" s="2060"/>
      <c r="CV1624" s="2060"/>
      <c r="CW1624" s="2060"/>
      <c r="CX1624" s="2060"/>
      <c r="CY1624" s="2060"/>
      <c r="CZ1624" s="2060"/>
      <c r="DA1624" s="2060"/>
      <c r="DB1624" s="2060"/>
      <c r="DC1624" s="2060"/>
      <c r="DD1624" s="2060"/>
      <c r="DE1624" s="2060"/>
      <c r="DF1624" s="2060"/>
      <c r="DG1624" s="2060"/>
      <c r="DH1624" s="2060"/>
      <c r="DI1624" s="2060"/>
      <c r="DJ1624" s="2060"/>
      <c r="DK1624" s="2060"/>
      <c r="DL1624" s="2060"/>
      <c r="DM1624" s="2060"/>
      <c r="DN1624" s="2060"/>
      <c r="DO1624" s="2060"/>
      <c r="DP1624" s="2060"/>
      <c r="DQ1624" s="2060"/>
      <c r="DR1624" s="2060"/>
      <c r="DS1624" s="2060"/>
      <c r="DT1624" s="2060"/>
      <c r="DU1624" s="2060"/>
      <c r="DV1624" s="2060"/>
      <c r="DW1624" s="2060"/>
      <c r="DX1624" s="2060"/>
      <c r="DY1624" s="2060"/>
      <c r="DZ1624" s="2060"/>
      <c r="EA1624" s="2060"/>
      <c r="EB1624" s="2060"/>
      <c r="EC1624" s="2060"/>
      <c r="ED1624" s="2060"/>
      <c r="EE1624" s="2060"/>
      <c r="EF1624" s="2060"/>
      <c r="EG1624" s="2060"/>
      <c r="EH1624" s="2060"/>
      <c r="EI1624" s="2060"/>
      <c r="EJ1624" s="2060"/>
      <c r="EK1624" s="2060"/>
      <c r="EL1624" s="2060"/>
      <c r="EM1624" s="2060"/>
      <c r="EN1624" s="2060"/>
      <c r="EO1624" s="2060"/>
      <c r="EP1624" s="2060"/>
      <c r="EQ1624" s="2060"/>
      <c r="ER1624" s="2060"/>
      <c r="ES1624" s="2060"/>
      <c r="ET1624" s="2060"/>
      <c r="EU1624" s="2060"/>
      <c r="EV1624" s="2060"/>
      <c r="EW1624" s="2060"/>
      <c r="EX1624" s="2060"/>
      <c r="EY1624" s="2060"/>
      <c r="EZ1624" s="2060"/>
      <c r="FA1624" s="2060"/>
      <c r="FB1624" s="2060"/>
      <c r="FC1624" s="2060"/>
      <c r="FD1624" s="2060"/>
      <c r="FE1624" s="2060"/>
      <c r="FF1624" s="2060"/>
      <c r="FG1624" s="2060"/>
      <c r="FH1624" s="2060"/>
      <c r="FI1624" s="2060"/>
      <c r="FJ1624" s="2060"/>
      <c r="FK1624" s="2060"/>
      <c r="FL1624" s="2060"/>
      <c r="FM1624" s="2060"/>
      <c r="FN1624" s="2060"/>
      <c r="FO1624" s="2060"/>
      <c r="FP1624" s="2060"/>
      <c r="FQ1624" s="2060"/>
      <c r="FR1624" s="2060"/>
      <c r="FS1624" s="2060"/>
      <c r="FT1624" s="2060"/>
      <c r="FU1624" s="2060"/>
      <c r="FV1624" s="2060"/>
      <c r="FW1624" s="2060"/>
      <c r="FX1624" s="2060"/>
      <c r="FY1624" s="2060"/>
      <c r="FZ1624" s="2060"/>
      <c r="GA1624" s="2060"/>
      <c r="GB1624" s="2060"/>
      <c r="GC1624" s="2060"/>
      <c r="GD1624" s="2060"/>
      <c r="GE1624" s="2060"/>
      <c r="GF1624" s="2060"/>
      <c r="GG1624" s="2060"/>
      <c r="GH1624" s="2060"/>
      <c r="GI1624" s="2060"/>
      <c r="GJ1624" s="2060"/>
      <c r="GK1624" s="2060"/>
      <c r="GL1624" s="2060"/>
      <c r="GM1624" s="2060"/>
      <c r="GN1624" s="2060"/>
      <c r="GO1624" s="2060"/>
      <c r="GP1624" s="2060"/>
      <c r="GQ1624" s="2060"/>
      <c r="GR1624" s="2060"/>
      <c r="GS1624" s="2060"/>
      <c r="GT1624" s="2060"/>
      <c r="GU1624" s="2060"/>
      <c r="GV1624" s="2060"/>
      <c r="GW1624" s="2060"/>
      <c r="GX1624" s="2060"/>
      <c r="GY1624" s="2060"/>
      <c r="GZ1624" s="2060"/>
      <c r="HA1624" s="2060"/>
      <c r="HB1624" s="2060"/>
      <c r="HC1624" s="2060"/>
      <c r="HD1624" s="2060"/>
      <c r="HE1624" s="2060"/>
      <c r="HF1624" s="2060"/>
      <c r="HG1624" s="2060"/>
      <c r="HH1624" s="2060"/>
      <c r="HI1624" s="2060"/>
      <c r="HJ1624" s="2060"/>
      <c r="HK1624" s="2060"/>
      <c r="HL1624" s="2060"/>
      <c r="HM1624" s="2060"/>
      <c r="HN1624" s="2060"/>
      <c r="HO1624" s="2060"/>
      <c r="HP1624" s="2060"/>
      <c r="HQ1624" s="2060"/>
      <c r="HR1624" s="2060"/>
      <c r="HS1624" s="2060"/>
      <c r="HT1624" s="2060"/>
      <c r="HU1624" s="2060"/>
      <c r="HV1624" s="2060"/>
      <c r="HW1624" s="2060"/>
      <c r="HX1624" s="2060"/>
      <c r="HY1624" s="2060"/>
      <c r="HZ1624" s="2060"/>
      <c r="IA1624" s="2060"/>
      <c r="IB1624" s="2060"/>
      <c r="IC1624" s="2060"/>
      <c r="ID1624" s="2060"/>
      <c r="IE1624" s="2060"/>
      <c r="IF1624" s="2060"/>
      <c r="IG1624" s="2060"/>
      <c r="IH1624" s="2060"/>
      <c r="II1624" s="2060"/>
      <c r="IJ1624" s="2060"/>
      <c r="IK1624" s="2060"/>
      <c r="IL1624" s="2060"/>
      <c r="IM1624" s="2060"/>
      <c r="IN1624" s="2060"/>
      <c r="IO1624" s="2060"/>
      <c r="IP1624" s="2060"/>
      <c r="IQ1624" s="2060"/>
      <c r="IR1624" s="2060"/>
      <c r="IS1624" s="2060"/>
      <c r="IT1624" s="2060"/>
      <c r="IU1624" s="2060"/>
      <c r="IV1624" s="2060"/>
      <c r="IW1624" s="2060"/>
      <c r="IX1624" s="2060"/>
      <c r="IY1624" s="2060"/>
      <c r="IZ1624" s="2060"/>
      <c r="JA1624" s="2060"/>
      <c r="JB1624" s="2060"/>
      <c r="JC1624" s="2060"/>
      <c r="JD1624" s="2060"/>
      <c r="JE1624" s="2060"/>
      <c r="JF1624" s="2060"/>
      <c r="JG1624" s="2060"/>
      <c r="JH1624" s="2060"/>
      <c r="JI1624" s="2060"/>
      <c r="JJ1624" s="2060"/>
      <c r="JK1624" s="2060"/>
      <c r="JL1624" s="2060"/>
      <c r="JM1624" s="2060"/>
      <c r="JN1624" s="2060"/>
      <c r="JO1624" s="2060"/>
      <c r="JP1624" s="2060"/>
      <c r="JQ1624" s="2060"/>
      <c r="JR1624" s="2060"/>
      <c r="JS1624" s="2060"/>
      <c r="JT1624" s="2060"/>
      <c r="JU1624" s="2060"/>
      <c r="JV1624" s="2060"/>
      <c r="JW1624" s="2060"/>
      <c r="JX1624" s="2060"/>
      <c r="JY1624" s="2060"/>
      <c r="JZ1624" s="2060"/>
      <c r="KA1624" s="2060"/>
      <c r="KB1624" s="2060"/>
      <c r="KC1624" s="2060"/>
      <c r="KD1624" s="2060"/>
      <c r="KE1624" s="2060"/>
      <c r="KF1624" s="2060"/>
      <c r="KG1624" s="2060"/>
      <c r="KH1624" s="2060"/>
      <c r="KI1624" s="2060"/>
      <c r="KJ1624" s="2060"/>
      <c r="KK1624" s="2060"/>
      <c r="KL1624" s="2060"/>
      <c r="KM1624" s="2060"/>
      <c r="KN1624" s="2060"/>
      <c r="KO1624" s="2060"/>
      <c r="KP1624" s="2060"/>
      <c r="KQ1624" s="2060"/>
      <c r="KR1624" s="2060"/>
      <c r="KS1624" s="2060"/>
      <c r="KT1624" s="2060"/>
      <c r="KU1624" s="2060"/>
      <c r="KV1624" s="2060"/>
      <c r="KW1624" s="2060"/>
      <c r="KX1624" s="2060"/>
      <c r="KY1624" s="2060"/>
      <c r="KZ1624" s="2060"/>
      <c r="LA1624" s="2060"/>
      <c r="LB1624" s="2060"/>
      <c r="LC1624" s="2060"/>
      <c r="LD1624" s="2060"/>
      <c r="LE1624" s="2060"/>
      <c r="LF1624" s="2060"/>
      <c r="LG1624" s="2060"/>
      <c r="LH1624" s="2060"/>
    </row>
    <row r="1625" spans="1:320" s="449" customFormat="1" ht="13.9">
      <c r="A1625" s="269" t="str">
        <f t="shared" si="441"/>
        <v>n</v>
      </c>
      <c r="B1625" s="2060"/>
      <c r="C1625" s="2060"/>
      <c r="D1625" s="2060"/>
      <c r="E1625" s="1661">
        <v>9</v>
      </c>
      <c r="F1625" s="1353" t="str">
        <f>F$137</f>
        <v>--</v>
      </c>
      <c r="G1625" s="128">
        <f>G$137</f>
        <v>0</v>
      </c>
      <c r="H1625" s="128" t="str">
        <f>H$137</f>
        <v>--</v>
      </c>
      <c r="I1625" s="89" t="s">
        <v>783</v>
      </c>
      <c r="J1625" s="2197" t="str">
        <f>IF($G1625=0,"",IFERROR(_xll.ciqfunctions.udf.CIQ($G1625,$I1625,J$1557,Valuation_Date_GC,ReportType,DataMode,$H1625,FXMode)*Scale+J1596*Pension10,"n/a"))</f>
        <v/>
      </c>
      <c r="K1625" s="2197" t="str">
        <f>IF($G1625=0,"",IFERROR(_xll.ciqfunctions.udf.CIQ($G1625,$I1625,K$1557,Valuation_Date_GC,ReportType,DataMode,$H1625,FXMode)*Scale+K1596*Pension10,"n/a"))</f>
        <v/>
      </c>
      <c r="L1625" s="2197" t="str">
        <f>IF($G1625=0,"",IFERROR(_xll.ciqfunctions.udf.CIQ($G1625,$I1625,L$1557,Valuation_Date_GC,ReportType,DataMode,$H1625,FXMode)*Scale+L1596*Pension10,"n/a"))</f>
        <v/>
      </c>
      <c r="M1625" s="2197" t="str">
        <f>IF($G1625=0,"",IFERROR(_xll.ciqfunctions.udf.CIQ($G1625,$I1625,M$1557,Valuation_Date_GC,ReportType,DataMode,$H1625,FXMode)*Scale+M1596*Pension10,"n/a"))</f>
        <v/>
      </c>
      <c r="N1625" s="2197" t="str">
        <f>IF($G1625=0,"",IFERROR(_xll.ciqfunctions.udf.CIQ($G1625,$I1625,N$1557,Valuation_Date_GC,ReportType,DataMode,$H1625,FXMode)*Scale+N1596*Pension10,"n/a"))</f>
        <v/>
      </c>
      <c r="O1625" s="2197" t="str">
        <f>IF($G1625=0,"",IFERROR(_xll.ciqfunctions.udf.CIQ($G1625,$I1625,O$1557,Valuation_Date_GC,ReportType,DataMode,$H1625,FXMode)*Scale+O1596*Pension10,"n/a"))</f>
        <v/>
      </c>
      <c r="P1625" s="2197" t="str">
        <f>IF($G1625=0,"",IFERROR(_xll.ciqfunctions.udf.CIQ($G1625,$I1625,P$1557,Valuation_Date_GC,ReportType,DataMode,$H1625,FXMode)*Scale+P1596*Pension10,"n/a"))</f>
        <v/>
      </c>
      <c r="Q1625" s="2197" t="str">
        <f>IF($G1625=0,"",IFERROR(_xll.ciqfunctions.udf.CIQ($G1625,$I1625,Q$1557,Valuation_Date_GC,ReportType,DataMode,$H1625,FXMode)*Scale+Q1596*Pension10,"n/a"))</f>
        <v/>
      </c>
      <c r="R1625" s="2197" t="str">
        <f>IF($G1625=0,"",IFERROR(_xll.ciqfunctions.udf.CIQ($G1625,$I1625,R$1557,Valuation_Date_GC,ReportType,DataMode,$H1625,FXMode)*Scale+R1596*Pension10,"n/a"))</f>
        <v/>
      </c>
      <c r="S1625" s="2197" t="str">
        <f>IF($G1625=0,"",IFERROR(_xll.ciqfunctions.udf.CIQ($G1625,$I1625,S$1557,Valuation_Date_GC,ReportType,DataMode,$H1625,FXMode)*Scale+S1596*Pension10,"n/a"))</f>
        <v/>
      </c>
      <c r="T1625" s="2197" t="str">
        <f>IF($G1625=0,"",IFERROR(_xll.ciqfunctions.udf.CIQ($G1625,$I1625,T$1557,Valuation_Date_GC,ReportType,DataMode,$H1625,FXMode)*Scale+T1596*Pension10,"n/a"))</f>
        <v/>
      </c>
      <c r="U1625" s="2197" t="str">
        <f>IF($G1625=0,"",IFERROR(_xll.ciqfunctions.udf.CIQ($G1625,$I1625,U$1557,Valuation_Date_GC,ReportType,DataMode,$H1625,FXMode)*Scale+U1596*Pension10,"n/a"))</f>
        <v/>
      </c>
      <c r="V1625" s="2197" t="str">
        <f>IF($G1625=0,"",IFERROR(_xll.ciqfunctions.udf.CIQ($G1625,$I1625,V$1557,Valuation_Date_GC,ReportType,DataMode,$H1625,FXMode)*Scale+V1596*Pension10,"n/a"))</f>
        <v/>
      </c>
      <c r="W1625" s="1479"/>
      <c r="X1625" s="255"/>
      <c r="Y1625" s="89"/>
      <c r="Z1625" s="2060"/>
      <c r="AA1625" s="2060"/>
      <c r="AB1625" s="2060"/>
      <c r="AC1625" s="2060"/>
      <c r="AD1625" s="2060"/>
      <c r="AE1625" s="2060"/>
      <c r="AF1625" s="2060"/>
      <c r="AG1625" s="2060"/>
      <c r="AH1625" s="2060"/>
      <c r="AI1625" s="2060"/>
      <c r="AJ1625" s="2060"/>
      <c r="AK1625" s="2060"/>
      <c r="AL1625" s="2060"/>
      <c r="AM1625" s="2060"/>
      <c r="AN1625" s="2060"/>
      <c r="AO1625" s="2060"/>
      <c r="AP1625" s="2060"/>
      <c r="AQ1625" s="2060"/>
      <c r="AR1625" s="2060"/>
      <c r="AS1625" s="2060"/>
      <c r="AT1625" s="2060"/>
      <c r="AU1625" s="2060"/>
      <c r="AV1625" s="2060"/>
      <c r="AW1625" s="2060"/>
      <c r="AX1625" s="2060"/>
      <c r="AY1625" s="2060"/>
      <c r="AZ1625" s="2060"/>
      <c r="BA1625" s="2060"/>
      <c r="BB1625" s="2060"/>
      <c r="BC1625" s="2060"/>
      <c r="BD1625" s="2060"/>
      <c r="BE1625" s="2060"/>
      <c r="BF1625" s="2060"/>
      <c r="BG1625" s="2060"/>
      <c r="BH1625" s="2060"/>
      <c r="BI1625" s="2060"/>
      <c r="BJ1625" s="2060"/>
      <c r="BK1625" s="2060"/>
      <c r="BL1625" s="2060"/>
      <c r="BM1625" s="2060"/>
      <c r="BN1625" s="2060"/>
      <c r="BO1625" s="2060"/>
      <c r="BP1625" s="2060"/>
      <c r="BQ1625" s="2060"/>
      <c r="BR1625" s="2060"/>
      <c r="BS1625" s="2060"/>
      <c r="BT1625" s="2060"/>
      <c r="BU1625" s="2060"/>
      <c r="BV1625" s="2060"/>
      <c r="BW1625" s="2060"/>
      <c r="BX1625" s="2060"/>
      <c r="BY1625" s="2060"/>
      <c r="BZ1625" s="2060"/>
      <c r="CA1625" s="2060"/>
      <c r="CB1625" s="2060"/>
      <c r="CC1625" s="2060"/>
      <c r="CD1625" s="2060"/>
      <c r="CE1625" s="2060"/>
      <c r="CF1625" s="2060"/>
      <c r="CG1625" s="2060"/>
      <c r="CH1625" s="2060"/>
      <c r="CI1625" s="2060"/>
      <c r="CJ1625" s="2060"/>
      <c r="CK1625" s="2060"/>
      <c r="CL1625" s="2060"/>
      <c r="CM1625" s="2060"/>
      <c r="CN1625" s="2060"/>
      <c r="CO1625" s="2060"/>
      <c r="CP1625" s="2060"/>
      <c r="CQ1625" s="2060"/>
      <c r="CR1625" s="2060"/>
      <c r="CS1625" s="2060"/>
      <c r="CT1625" s="2060"/>
      <c r="CU1625" s="2060"/>
      <c r="CV1625" s="2060"/>
      <c r="CW1625" s="2060"/>
      <c r="CX1625" s="2060"/>
      <c r="CY1625" s="2060"/>
      <c r="CZ1625" s="2060"/>
      <c r="DA1625" s="2060"/>
      <c r="DB1625" s="2060"/>
      <c r="DC1625" s="2060"/>
      <c r="DD1625" s="2060"/>
      <c r="DE1625" s="2060"/>
      <c r="DF1625" s="2060"/>
      <c r="DG1625" s="2060"/>
      <c r="DH1625" s="2060"/>
      <c r="DI1625" s="2060"/>
      <c r="DJ1625" s="2060"/>
      <c r="DK1625" s="2060"/>
      <c r="DL1625" s="2060"/>
      <c r="DM1625" s="2060"/>
      <c r="DN1625" s="2060"/>
      <c r="DO1625" s="2060"/>
      <c r="DP1625" s="2060"/>
      <c r="DQ1625" s="2060"/>
      <c r="DR1625" s="2060"/>
      <c r="DS1625" s="2060"/>
      <c r="DT1625" s="2060"/>
      <c r="DU1625" s="2060"/>
      <c r="DV1625" s="2060"/>
      <c r="DW1625" s="2060"/>
      <c r="DX1625" s="2060"/>
      <c r="DY1625" s="2060"/>
      <c r="DZ1625" s="2060"/>
      <c r="EA1625" s="2060"/>
      <c r="EB1625" s="2060"/>
      <c r="EC1625" s="2060"/>
      <c r="ED1625" s="2060"/>
      <c r="EE1625" s="2060"/>
      <c r="EF1625" s="2060"/>
      <c r="EG1625" s="2060"/>
      <c r="EH1625" s="2060"/>
      <c r="EI1625" s="2060"/>
      <c r="EJ1625" s="2060"/>
      <c r="EK1625" s="2060"/>
      <c r="EL1625" s="2060"/>
      <c r="EM1625" s="2060"/>
      <c r="EN1625" s="2060"/>
      <c r="EO1625" s="2060"/>
      <c r="EP1625" s="2060"/>
      <c r="EQ1625" s="2060"/>
      <c r="ER1625" s="2060"/>
      <c r="ES1625" s="2060"/>
      <c r="ET1625" s="2060"/>
      <c r="EU1625" s="2060"/>
      <c r="EV1625" s="2060"/>
      <c r="EW1625" s="2060"/>
      <c r="EX1625" s="2060"/>
      <c r="EY1625" s="2060"/>
      <c r="EZ1625" s="2060"/>
      <c r="FA1625" s="2060"/>
      <c r="FB1625" s="2060"/>
      <c r="FC1625" s="2060"/>
      <c r="FD1625" s="2060"/>
      <c r="FE1625" s="2060"/>
      <c r="FF1625" s="2060"/>
      <c r="FG1625" s="2060"/>
      <c r="FH1625" s="2060"/>
      <c r="FI1625" s="2060"/>
      <c r="FJ1625" s="2060"/>
      <c r="FK1625" s="2060"/>
      <c r="FL1625" s="2060"/>
      <c r="FM1625" s="2060"/>
      <c r="FN1625" s="2060"/>
      <c r="FO1625" s="2060"/>
      <c r="FP1625" s="2060"/>
      <c r="FQ1625" s="2060"/>
      <c r="FR1625" s="2060"/>
      <c r="FS1625" s="2060"/>
      <c r="FT1625" s="2060"/>
      <c r="FU1625" s="2060"/>
      <c r="FV1625" s="2060"/>
      <c r="FW1625" s="2060"/>
      <c r="FX1625" s="2060"/>
      <c r="FY1625" s="2060"/>
      <c r="FZ1625" s="2060"/>
      <c r="GA1625" s="2060"/>
      <c r="GB1625" s="2060"/>
      <c r="GC1625" s="2060"/>
      <c r="GD1625" s="2060"/>
      <c r="GE1625" s="2060"/>
      <c r="GF1625" s="2060"/>
      <c r="GG1625" s="2060"/>
      <c r="GH1625" s="2060"/>
      <c r="GI1625" s="2060"/>
      <c r="GJ1625" s="2060"/>
      <c r="GK1625" s="2060"/>
      <c r="GL1625" s="2060"/>
      <c r="GM1625" s="2060"/>
      <c r="GN1625" s="2060"/>
      <c r="GO1625" s="2060"/>
      <c r="GP1625" s="2060"/>
      <c r="GQ1625" s="2060"/>
      <c r="GR1625" s="2060"/>
      <c r="GS1625" s="2060"/>
      <c r="GT1625" s="2060"/>
      <c r="GU1625" s="2060"/>
      <c r="GV1625" s="2060"/>
      <c r="GW1625" s="2060"/>
      <c r="GX1625" s="2060"/>
      <c r="GY1625" s="2060"/>
      <c r="GZ1625" s="2060"/>
      <c r="HA1625" s="2060"/>
      <c r="HB1625" s="2060"/>
      <c r="HC1625" s="2060"/>
      <c r="HD1625" s="2060"/>
      <c r="HE1625" s="2060"/>
      <c r="HF1625" s="2060"/>
      <c r="HG1625" s="2060"/>
      <c r="HH1625" s="2060"/>
      <c r="HI1625" s="2060"/>
      <c r="HJ1625" s="2060"/>
      <c r="HK1625" s="2060"/>
      <c r="HL1625" s="2060"/>
      <c r="HM1625" s="2060"/>
      <c r="HN1625" s="2060"/>
      <c r="HO1625" s="2060"/>
      <c r="HP1625" s="2060"/>
      <c r="HQ1625" s="2060"/>
      <c r="HR1625" s="2060"/>
      <c r="HS1625" s="2060"/>
      <c r="HT1625" s="2060"/>
      <c r="HU1625" s="2060"/>
      <c r="HV1625" s="2060"/>
      <c r="HW1625" s="2060"/>
      <c r="HX1625" s="2060"/>
      <c r="HY1625" s="2060"/>
      <c r="HZ1625" s="2060"/>
      <c r="IA1625" s="2060"/>
      <c r="IB1625" s="2060"/>
      <c r="IC1625" s="2060"/>
      <c r="ID1625" s="2060"/>
      <c r="IE1625" s="2060"/>
      <c r="IF1625" s="2060"/>
      <c r="IG1625" s="2060"/>
      <c r="IH1625" s="2060"/>
      <c r="II1625" s="2060"/>
      <c r="IJ1625" s="2060"/>
      <c r="IK1625" s="2060"/>
      <c r="IL1625" s="2060"/>
      <c r="IM1625" s="2060"/>
      <c r="IN1625" s="2060"/>
      <c r="IO1625" s="2060"/>
      <c r="IP1625" s="2060"/>
      <c r="IQ1625" s="2060"/>
      <c r="IR1625" s="2060"/>
      <c r="IS1625" s="2060"/>
      <c r="IT1625" s="2060"/>
      <c r="IU1625" s="2060"/>
      <c r="IV1625" s="2060"/>
      <c r="IW1625" s="2060"/>
      <c r="IX1625" s="2060"/>
      <c r="IY1625" s="2060"/>
      <c r="IZ1625" s="2060"/>
      <c r="JA1625" s="2060"/>
      <c r="JB1625" s="2060"/>
      <c r="JC1625" s="2060"/>
      <c r="JD1625" s="2060"/>
      <c r="JE1625" s="2060"/>
      <c r="JF1625" s="2060"/>
      <c r="JG1625" s="2060"/>
      <c r="JH1625" s="2060"/>
      <c r="JI1625" s="2060"/>
      <c r="JJ1625" s="2060"/>
      <c r="JK1625" s="2060"/>
      <c r="JL1625" s="2060"/>
      <c r="JM1625" s="2060"/>
      <c r="JN1625" s="2060"/>
      <c r="JO1625" s="2060"/>
      <c r="JP1625" s="2060"/>
      <c r="JQ1625" s="2060"/>
      <c r="JR1625" s="2060"/>
      <c r="JS1625" s="2060"/>
      <c r="JT1625" s="2060"/>
      <c r="JU1625" s="2060"/>
      <c r="JV1625" s="2060"/>
      <c r="JW1625" s="2060"/>
      <c r="JX1625" s="2060"/>
      <c r="JY1625" s="2060"/>
      <c r="JZ1625" s="2060"/>
      <c r="KA1625" s="2060"/>
      <c r="KB1625" s="2060"/>
      <c r="KC1625" s="2060"/>
      <c r="KD1625" s="2060"/>
      <c r="KE1625" s="2060"/>
      <c r="KF1625" s="2060"/>
      <c r="KG1625" s="2060"/>
      <c r="KH1625" s="2060"/>
      <c r="KI1625" s="2060"/>
      <c r="KJ1625" s="2060"/>
      <c r="KK1625" s="2060"/>
      <c r="KL1625" s="2060"/>
      <c r="KM1625" s="2060"/>
      <c r="KN1625" s="2060"/>
      <c r="KO1625" s="2060"/>
      <c r="KP1625" s="2060"/>
      <c r="KQ1625" s="2060"/>
      <c r="KR1625" s="2060"/>
      <c r="KS1625" s="2060"/>
      <c r="KT1625" s="2060"/>
      <c r="KU1625" s="2060"/>
      <c r="KV1625" s="2060"/>
      <c r="KW1625" s="2060"/>
      <c r="KX1625" s="2060"/>
      <c r="KY1625" s="2060"/>
      <c r="KZ1625" s="2060"/>
      <c r="LA1625" s="2060"/>
      <c r="LB1625" s="2060"/>
      <c r="LC1625" s="2060"/>
      <c r="LD1625" s="2060"/>
      <c r="LE1625" s="2060"/>
      <c r="LF1625" s="2060"/>
      <c r="LG1625" s="2060"/>
      <c r="LH1625" s="2060"/>
    </row>
    <row r="1626" spans="1:320" s="449" customFormat="1" ht="13.9">
      <c r="A1626" s="269" t="str">
        <f t="shared" si="441"/>
        <v>n</v>
      </c>
      <c r="B1626" s="2060"/>
      <c r="C1626" s="2060"/>
      <c r="D1626" s="2060"/>
      <c r="E1626" s="1661">
        <v>10</v>
      </c>
      <c r="F1626" s="1353" t="str">
        <f>F$138</f>
        <v>--</v>
      </c>
      <c r="G1626" s="128">
        <f>G$138</f>
        <v>0</v>
      </c>
      <c r="H1626" s="128" t="str">
        <f>H$138</f>
        <v>--</v>
      </c>
      <c r="I1626" s="89" t="s">
        <v>783</v>
      </c>
      <c r="J1626" s="2197" t="str">
        <f>IF($G1626=0,"",IFERROR(_xll.ciqfunctions.udf.CIQ($G1626,$I1626,J$1557,Valuation_Date_GC,ReportType,DataMode,$H1626,FXMode)*Scale+J1597*Pension10,"n/a"))</f>
        <v/>
      </c>
      <c r="K1626" s="2197" t="str">
        <f>IF($G1626=0,"",IFERROR(_xll.ciqfunctions.udf.CIQ($G1626,$I1626,K$1557,Valuation_Date_GC,ReportType,DataMode,$H1626,FXMode)*Scale+K1597*Pension10,"n/a"))</f>
        <v/>
      </c>
      <c r="L1626" s="2197" t="str">
        <f>IF($G1626=0,"",IFERROR(_xll.ciqfunctions.udf.CIQ($G1626,$I1626,L$1557,Valuation_Date_GC,ReportType,DataMode,$H1626,FXMode)*Scale+L1597*Pension10,"n/a"))</f>
        <v/>
      </c>
      <c r="M1626" s="2197" t="str">
        <f>IF($G1626=0,"",IFERROR(_xll.ciqfunctions.udf.CIQ($G1626,$I1626,M$1557,Valuation_Date_GC,ReportType,DataMode,$H1626,FXMode)*Scale+M1597*Pension10,"n/a"))</f>
        <v/>
      </c>
      <c r="N1626" s="2197" t="str">
        <f>IF($G1626=0,"",IFERROR(_xll.ciqfunctions.udf.CIQ($G1626,$I1626,N$1557,Valuation_Date_GC,ReportType,DataMode,$H1626,FXMode)*Scale+N1597*Pension10,"n/a"))</f>
        <v/>
      </c>
      <c r="O1626" s="2197" t="str">
        <f>IF($G1626=0,"",IFERROR(_xll.ciqfunctions.udf.CIQ($G1626,$I1626,O$1557,Valuation_Date_GC,ReportType,DataMode,$H1626,FXMode)*Scale+O1597*Pension10,"n/a"))</f>
        <v/>
      </c>
      <c r="P1626" s="2197" t="str">
        <f>IF($G1626=0,"",IFERROR(_xll.ciqfunctions.udf.CIQ($G1626,$I1626,P$1557,Valuation_Date_GC,ReportType,DataMode,$H1626,FXMode)*Scale+P1597*Pension10,"n/a"))</f>
        <v/>
      </c>
      <c r="Q1626" s="2197" t="str">
        <f>IF($G1626=0,"",IFERROR(_xll.ciqfunctions.udf.CIQ($G1626,$I1626,Q$1557,Valuation_Date_GC,ReportType,DataMode,$H1626,FXMode)*Scale+Q1597*Pension10,"n/a"))</f>
        <v/>
      </c>
      <c r="R1626" s="2197" t="str">
        <f>IF($G1626=0,"",IFERROR(_xll.ciqfunctions.udf.CIQ($G1626,$I1626,R$1557,Valuation_Date_GC,ReportType,DataMode,$H1626,FXMode)*Scale+R1597*Pension10,"n/a"))</f>
        <v/>
      </c>
      <c r="S1626" s="2197" t="str">
        <f>IF($G1626=0,"",IFERROR(_xll.ciqfunctions.udf.CIQ($G1626,$I1626,S$1557,Valuation_Date_GC,ReportType,DataMode,$H1626,FXMode)*Scale+S1597*Pension10,"n/a"))</f>
        <v/>
      </c>
      <c r="T1626" s="2197" t="str">
        <f>IF($G1626=0,"",IFERROR(_xll.ciqfunctions.udf.CIQ($G1626,$I1626,T$1557,Valuation_Date_GC,ReportType,DataMode,$H1626,FXMode)*Scale+T1597*Pension10,"n/a"))</f>
        <v/>
      </c>
      <c r="U1626" s="2197" t="str">
        <f>IF($G1626=0,"",IFERROR(_xll.ciqfunctions.udf.CIQ($G1626,$I1626,U$1557,Valuation_Date_GC,ReportType,DataMode,$H1626,FXMode)*Scale+U1597*Pension10,"n/a"))</f>
        <v/>
      </c>
      <c r="V1626" s="2197" t="str">
        <f>IF($G1626=0,"",IFERROR(_xll.ciqfunctions.udf.CIQ($G1626,$I1626,V$1557,Valuation_Date_GC,ReportType,DataMode,$H1626,FXMode)*Scale+V1597*Pension10,"n/a"))</f>
        <v/>
      </c>
      <c r="W1626" s="1479"/>
      <c r="X1626" s="255"/>
      <c r="Y1626" s="89"/>
      <c r="Z1626" s="2060"/>
      <c r="AA1626" s="2060"/>
      <c r="AB1626" s="2060"/>
      <c r="AC1626" s="2060"/>
      <c r="AD1626" s="2060"/>
      <c r="AE1626" s="2060"/>
      <c r="AF1626" s="2060"/>
      <c r="AG1626" s="2060"/>
      <c r="AH1626" s="2060"/>
      <c r="AI1626" s="2060"/>
      <c r="AJ1626" s="2060"/>
      <c r="AK1626" s="2060"/>
      <c r="AL1626" s="2060"/>
      <c r="AM1626" s="2060"/>
      <c r="AN1626" s="2060"/>
      <c r="AO1626" s="2060"/>
      <c r="AP1626" s="2060"/>
      <c r="AQ1626" s="2060"/>
      <c r="AR1626" s="2060"/>
      <c r="AS1626" s="2060"/>
      <c r="AT1626" s="2060"/>
      <c r="AU1626" s="2060"/>
      <c r="AV1626" s="2060"/>
      <c r="AW1626" s="2060"/>
      <c r="AX1626" s="2060"/>
      <c r="AY1626" s="2060"/>
      <c r="AZ1626" s="2060"/>
      <c r="BA1626" s="2060"/>
      <c r="BB1626" s="2060"/>
      <c r="BC1626" s="2060"/>
      <c r="BD1626" s="2060"/>
      <c r="BE1626" s="2060"/>
      <c r="BF1626" s="2060"/>
      <c r="BG1626" s="2060"/>
      <c r="BH1626" s="2060"/>
      <c r="BI1626" s="2060"/>
      <c r="BJ1626" s="2060"/>
      <c r="BK1626" s="2060"/>
      <c r="BL1626" s="2060"/>
      <c r="BM1626" s="2060"/>
      <c r="BN1626" s="2060"/>
      <c r="BO1626" s="2060"/>
      <c r="BP1626" s="2060"/>
      <c r="BQ1626" s="2060"/>
      <c r="BR1626" s="2060"/>
      <c r="BS1626" s="2060"/>
      <c r="BT1626" s="2060"/>
      <c r="BU1626" s="2060"/>
      <c r="BV1626" s="2060"/>
      <c r="BW1626" s="2060"/>
      <c r="BX1626" s="2060"/>
      <c r="BY1626" s="2060"/>
      <c r="BZ1626" s="2060"/>
      <c r="CA1626" s="2060"/>
      <c r="CB1626" s="2060"/>
      <c r="CC1626" s="2060"/>
      <c r="CD1626" s="2060"/>
      <c r="CE1626" s="2060"/>
      <c r="CF1626" s="2060"/>
      <c r="CG1626" s="2060"/>
      <c r="CH1626" s="2060"/>
      <c r="CI1626" s="2060"/>
      <c r="CJ1626" s="2060"/>
      <c r="CK1626" s="2060"/>
      <c r="CL1626" s="2060"/>
      <c r="CM1626" s="2060"/>
      <c r="CN1626" s="2060"/>
      <c r="CO1626" s="2060"/>
      <c r="CP1626" s="2060"/>
      <c r="CQ1626" s="2060"/>
      <c r="CR1626" s="2060"/>
      <c r="CS1626" s="2060"/>
      <c r="CT1626" s="2060"/>
      <c r="CU1626" s="2060"/>
      <c r="CV1626" s="2060"/>
      <c r="CW1626" s="2060"/>
      <c r="CX1626" s="2060"/>
      <c r="CY1626" s="2060"/>
      <c r="CZ1626" s="2060"/>
      <c r="DA1626" s="2060"/>
      <c r="DB1626" s="2060"/>
      <c r="DC1626" s="2060"/>
      <c r="DD1626" s="2060"/>
      <c r="DE1626" s="2060"/>
      <c r="DF1626" s="2060"/>
      <c r="DG1626" s="2060"/>
      <c r="DH1626" s="2060"/>
      <c r="DI1626" s="2060"/>
      <c r="DJ1626" s="2060"/>
      <c r="DK1626" s="2060"/>
      <c r="DL1626" s="2060"/>
      <c r="DM1626" s="2060"/>
      <c r="DN1626" s="2060"/>
      <c r="DO1626" s="2060"/>
      <c r="DP1626" s="2060"/>
      <c r="DQ1626" s="2060"/>
      <c r="DR1626" s="2060"/>
      <c r="DS1626" s="2060"/>
      <c r="DT1626" s="2060"/>
      <c r="DU1626" s="2060"/>
      <c r="DV1626" s="2060"/>
      <c r="DW1626" s="2060"/>
      <c r="DX1626" s="2060"/>
      <c r="DY1626" s="2060"/>
      <c r="DZ1626" s="2060"/>
      <c r="EA1626" s="2060"/>
      <c r="EB1626" s="2060"/>
      <c r="EC1626" s="2060"/>
      <c r="ED1626" s="2060"/>
      <c r="EE1626" s="2060"/>
      <c r="EF1626" s="2060"/>
      <c r="EG1626" s="2060"/>
      <c r="EH1626" s="2060"/>
      <c r="EI1626" s="2060"/>
      <c r="EJ1626" s="2060"/>
      <c r="EK1626" s="2060"/>
      <c r="EL1626" s="2060"/>
      <c r="EM1626" s="2060"/>
      <c r="EN1626" s="2060"/>
      <c r="EO1626" s="2060"/>
      <c r="EP1626" s="2060"/>
      <c r="EQ1626" s="2060"/>
      <c r="ER1626" s="2060"/>
      <c r="ES1626" s="2060"/>
      <c r="ET1626" s="2060"/>
      <c r="EU1626" s="2060"/>
      <c r="EV1626" s="2060"/>
      <c r="EW1626" s="2060"/>
      <c r="EX1626" s="2060"/>
      <c r="EY1626" s="2060"/>
      <c r="EZ1626" s="2060"/>
      <c r="FA1626" s="2060"/>
      <c r="FB1626" s="2060"/>
      <c r="FC1626" s="2060"/>
      <c r="FD1626" s="2060"/>
      <c r="FE1626" s="2060"/>
      <c r="FF1626" s="2060"/>
      <c r="FG1626" s="2060"/>
      <c r="FH1626" s="2060"/>
      <c r="FI1626" s="2060"/>
      <c r="FJ1626" s="2060"/>
      <c r="FK1626" s="2060"/>
      <c r="FL1626" s="2060"/>
      <c r="FM1626" s="2060"/>
      <c r="FN1626" s="2060"/>
      <c r="FO1626" s="2060"/>
      <c r="FP1626" s="2060"/>
      <c r="FQ1626" s="2060"/>
      <c r="FR1626" s="2060"/>
      <c r="FS1626" s="2060"/>
      <c r="FT1626" s="2060"/>
      <c r="FU1626" s="2060"/>
      <c r="FV1626" s="2060"/>
      <c r="FW1626" s="2060"/>
      <c r="FX1626" s="2060"/>
      <c r="FY1626" s="2060"/>
      <c r="FZ1626" s="2060"/>
      <c r="GA1626" s="2060"/>
      <c r="GB1626" s="2060"/>
      <c r="GC1626" s="2060"/>
      <c r="GD1626" s="2060"/>
      <c r="GE1626" s="2060"/>
      <c r="GF1626" s="2060"/>
      <c r="GG1626" s="2060"/>
      <c r="GH1626" s="2060"/>
      <c r="GI1626" s="2060"/>
      <c r="GJ1626" s="2060"/>
      <c r="GK1626" s="2060"/>
      <c r="GL1626" s="2060"/>
      <c r="GM1626" s="2060"/>
      <c r="GN1626" s="2060"/>
      <c r="GO1626" s="2060"/>
      <c r="GP1626" s="2060"/>
      <c r="GQ1626" s="2060"/>
      <c r="GR1626" s="2060"/>
      <c r="GS1626" s="2060"/>
      <c r="GT1626" s="2060"/>
      <c r="GU1626" s="2060"/>
      <c r="GV1626" s="2060"/>
      <c r="GW1626" s="2060"/>
      <c r="GX1626" s="2060"/>
      <c r="GY1626" s="2060"/>
      <c r="GZ1626" s="2060"/>
      <c r="HA1626" s="2060"/>
      <c r="HB1626" s="2060"/>
      <c r="HC1626" s="2060"/>
      <c r="HD1626" s="2060"/>
      <c r="HE1626" s="2060"/>
      <c r="HF1626" s="2060"/>
      <c r="HG1626" s="2060"/>
      <c r="HH1626" s="2060"/>
      <c r="HI1626" s="2060"/>
      <c r="HJ1626" s="2060"/>
      <c r="HK1626" s="2060"/>
      <c r="HL1626" s="2060"/>
      <c r="HM1626" s="2060"/>
      <c r="HN1626" s="2060"/>
      <c r="HO1626" s="2060"/>
      <c r="HP1626" s="2060"/>
      <c r="HQ1626" s="2060"/>
      <c r="HR1626" s="2060"/>
      <c r="HS1626" s="2060"/>
      <c r="HT1626" s="2060"/>
      <c r="HU1626" s="2060"/>
      <c r="HV1626" s="2060"/>
      <c r="HW1626" s="2060"/>
      <c r="HX1626" s="2060"/>
      <c r="HY1626" s="2060"/>
      <c r="HZ1626" s="2060"/>
      <c r="IA1626" s="2060"/>
      <c r="IB1626" s="2060"/>
      <c r="IC1626" s="2060"/>
      <c r="ID1626" s="2060"/>
      <c r="IE1626" s="2060"/>
      <c r="IF1626" s="2060"/>
      <c r="IG1626" s="2060"/>
      <c r="IH1626" s="2060"/>
      <c r="II1626" s="2060"/>
      <c r="IJ1626" s="2060"/>
      <c r="IK1626" s="2060"/>
      <c r="IL1626" s="2060"/>
      <c r="IM1626" s="2060"/>
      <c r="IN1626" s="2060"/>
      <c r="IO1626" s="2060"/>
      <c r="IP1626" s="2060"/>
      <c r="IQ1626" s="2060"/>
      <c r="IR1626" s="2060"/>
      <c r="IS1626" s="2060"/>
      <c r="IT1626" s="2060"/>
      <c r="IU1626" s="2060"/>
      <c r="IV1626" s="2060"/>
      <c r="IW1626" s="2060"/>
      <c r="IX1626" s="2060"/>
      <c r="IY1626" s="2060"/>
      <c r="IZ1626" s="2060"/>
      <c r="JA1626" s="2060"/>
      <c r="JB1626" s="2060"/>
      <c r="JC1626" s="2060"/>
      <c r="JD1626" s="2060"/>
      <c r="JE1626" s="2060"/>
      <c r="JF1626" s="2060"/>
      <c r="JG1626" s="2060"/>
      <c r="JH1626" s="2060"/>
      <c r="JI1626" s="2060"/>
      <c r="JJ1626" s="2060"/>
      <c r="JK1626" s="2060"/>
      <c r="JL1626" s="2060"/>
      <c r="JM1626" s="2060"/>
      <c r="JN1626" s="2060"/>
      <c r="JO1626" s="2060"/>
      <c r="JP1626" s="2060"/>
      <c r="JQ1626" s="2060"/>
      <c r="JR1626" s="2060"/>
      <c r="JS1626" s="2060"/>
      <c r="JT1626" s="2060"/>
      <c r="JU1626" s="2060"/>
      <c r="JV1626" s="2060"/>
      <c r="JW1626" s="2060"/>
      <c r="JX1626" s="2060"/>
      <c r="JY1626" s="2060"/>
      <c r="JZ1626" s="2060"/>
      <c r="KA1626" s="2060"/>
      <c r="KB1626" s="2060"/>
      <c r="KC1626" s="2060"/>
      <c r="KD1626" s="2060"/>
      <c r="KE1626" s="2060"/>
      <c r="KF1626" s="2060"/>
      <c r="KG1626" s="2060"/>
      <c r="KH1626" s="2060"/>
      <c r="KI1626" s="2060"/>
      <c r="KJ1626" s="2060"/>
      <c r="KK1626" s="2060"/>
      <c r="KL1626" s="2060"/>
      <c r="KM1626" s="2060"/>
      <c r="KN1626" s="2060"/>
      <c r="KO1626" s="2060"/>
      <c r="KP1626" s="2060"/>
      <c r="KQ1626" s="2060"/>
      <c r="KR1626" s="2060"/>
      <c r="KS1626" s="2060"/>
      <c r="KT1626" s="2060"/>
      <c r="KU1626" s="2060"/>
      <c r="KV1626" s="2060"/>
      <c r="KW1626" s="2060"/>
      <c r="KX1626" s="2060"/>
      <c r="KY1626" s="2060"/>
      <c r="KZ1626" s="2060"/>
      <c r="LA1626" s="2060"/>
      <c r="LB1626" s="2060"/>
      <c r="LC1626" s="2060"/>
      <c r="LD1626" s="2060"/>
      <c r="LE1626" s="2060"/>
      <c r="LF1626" s="2060"/>
      <c r="LG1626" s="2060"/>
      <c r="LH1626" s="2060"/>
    </row>
    <row r="1627" spans="1:320" s="449" customFormat="1" ht="13.9">
      <c r="A1627" s="269" t="str">
        <f t="shared" si="441"/>
        <v>n</v>
      </c>
      <c r="B1627" s="2060"/>
      <c r="C1627" s="2060"/>
      <c r="D1627" s="2060"/>
      <c r="E1627" s="1661">
        <v>11</v>
      </c>
      <c r="F1627" s="1353" t="str">
        <f>F$139</f>
        <v>--</v>
      </c>
      <c r="G1627" s="128">
        <f>G$139</f>
        <v>0</v>
      </c>
      <c r="H1627" s="128" t="str">
        <f>H$139</f>
        <v>--</v>
      </c>
      <c r="I1627" s="89" t="s">
        <v>783</v>
      </c>
      <c r="J1627" s="2197" t="str">
        <f>IF($G1627=0,"",IFERROR(_xll.ciqfunctions.udf.CIQ($G1627,$I1627,J$1557,Valuation_Date_GC,ReportType,DataMode,$H1627,FXMode)*Scale+J1598*Pension10,"n/a"))</f>
        <v/>
      </c>
      <c r="K1627" s="2197" t="str">
        <f>IF($G1627=0,"",IFERROR(_xll.ciqfunctions.udf.CIQ($G1627,$I1627,K$1557,Valuation_Date_GC,ReportType,DataMode,$H1627,FXMode)*Scale+K1598*Pension10,"n/a"))</f>
        <v/>
      </c>
      <c r="L1627" s="2197" t="str">
        <f>IF($G1627=0,"",IFERROR(_xll.ciqfunctions.udf.CIQ($G1627,$I1627,L$1557,Valuation_Date_GC,ReportType,DataMode,$H1627,FXMode)*Scale+L1598*Pension10,"n/a"))</f>
        <v/>
      </c>
      <c r="M1627" s="2197" t="str">
        <f>IF($G1627=0,"",IFERROR(_xll.ciqfunctions.udf.CIQ($G1627,$I1627,M$1557,Valuation_Date_GC,ReportType,DataMode,$H1627,FXMode)*Scale+M1598*Pension10,"n/a"))</f>
        <v/>
      </c>
      <c r="N1627" s="2197" t="str">
        <f>IF($G1627=0,"",IFERROR(_xll.ciqfunctions.udf.CIQ($G1627,$I1627,N$1557,Valuation_Date_GC,ReportType,DataMode,$H1627,FXMode)*Scale+N1598*Pension10,"n/a"))</f>
        <v/>
      </c>
      <c r="O1627" s="2197" t="str">
        <f>IF($G1627=0,"",IFERROR(_xll.ciqfunctions.udf.CIQ($G1627,$I1627,O$1557,Valuation_Date_GC,ReportType,DataMode,$H1627,FXMode)*Scale+O1598*Pension10,"n/a"))</f>
        <v/>
      </c>
      <c r="P1627" s="2197" t="str">
        <f>IF($G1627=0,"",IFERROR(_xll.ciqfunctions.udf.CIQ($G1627,$I1627,P$1557,Valuation_Date_GC,ReportType,DataMode,$H1627,FXMode)*Scale+P1598*Pension10,"n/a"))</f>
        <v/>
      </c>
      <c r="Q1627" s="2197" t="str">
        <f>IF($G1627=0,"",IFERROR(_xll.ciqfunctions.udf.CIQ($G1627,$I1627,Q$1557,Valuation_Date_GC,ReportType,DataMode,$H1627,FXMode)*Scale+Q1598*Pension10,"n/a"))</f>
        <v/>
      </c>
      <c r="R1627" s="2197" t="str">
        <f>IF($G1627=0,"",IFERROR(_xll.ciqfunctions.udf.CIQ($G1627,$I1627,R$1557,Valuation_Date_GC,ReportType,DataMode,$H1627,FXMode)*Scale+R1598*Pension10,"n/a"))</f>
        <v/>
      </c>
      <c r="S1627" s="2197" t="str">
        <f>IF($G1627=0,"",IFERROR(_xll.ciqfunctions.udf.CIQ($G1627,$I1627,S$1557,Valuation_Date_GC,ReportType,DataMode,$H1627,FXMode)*Scale+S1598*Pension10,"n/a"))</f>
        <v/>
      </c>
      <c r="T1627" s="2197" t="str">
        <f>IF($G1627=0,"",IFERROR(_xll.ciqfunctions.udf.CIQ($G1627,$I1627,T$1557,Valuation_Date_GC,ReportType,DataMode,$H1627,FXMode)*Scale+T1598*Pension10,"n/a"))</f>
        <v/>
      </c>
      <c r="U1627" s="2197" t="str">
        <f>IF($G1627=0,"",IFERROR(_xll.ciqfunctions.udf.CIQ($G1627,$I1627,U$1557,Valuation_Date_GC,ReportType,DataMode,$H1627,FXMode)*Scale+U1598*Pension10,"n/a"))</f>
        <v/>
      </c>
      <c r="V1627" s="2197" t="str">
        <f>IF($G1627=0,"",IFERROR(_xll.ciqfunctions.udf.CIQ($G1627,$I1627,V$1557,Valuation_Date_GC,ReportType,DataMode,$H1627,FXMode)*Scale+V1598*Pension10,"n/a"))</f>
        <v/>
      </c>
      <c r="W1627" s="1479"/>
      <c r="X1627" s="255"/>
      <c r="Y1627" s="89"/>
      <c r="Z1627" s="2060"/>
      <c r="AA1627" s="2060"/>
      <c r="AB1627" s="2060"/>
      <c r="AC1627" s="2060"/>
      <c r="AD1627" s="2060"/>
      <c r="AE1627" s="2060"/>
      <c r="AF1627" s="2060"/>
      <c r="AG1627" s="2060"/>
      <c r="AH1627" s="2060"/>
      <c r="AI1627" s="2060"/>
      <c r="AJ1627" s="2060"/>
      <c r="AK1627" s="2060"/>
      <c r="AL1627" s="2060"/>
      <c r="AM1627" s="2060"/>
      <c r="AN1627" s="2060"/>
      <c r="AO1627" s="2060"/>
      <c r="AP1627" s="2060"/>
      <c r="AQ1627" s="2060"/>
      <c r="AR1627" s="2060"/>
      <c r="AS1627" s="2060"/>
      <c r="AT1627" s="2060"/>
      <c r="AU1627" s="2060"/>
      <c r="AV1627" s="2060"/>
      <c r="AW1627" s="2060"/>
      <c r="AX1627" s="2060"/>
      <c r="AY1627" s="2060"/>
      <c r="AZ1627" s="2060"/>
      <c r="BA1627" s="2060"/>
      <c r="BB1627" s="2060"/>
      <c r="BC1627" s="2060"/>
      <c r="BD1627" s="2060"/>
      <c r="BE1627" s="2060"/>
      <c r="BF1627" s="2060"/>
      <c r="BG1627" s="2060"/>
      <c r="BH1627" s="2060"/>
      <c r="BI1627" s="2060"/>
      <c r="BJ1627" s="2060"/>
      <c r="BK1627" s="2060"/>
      <c r="BL1627" s="2060"/>
      <c r="BM1627" s="2060"/>
      <c r="BN1627" s="2060"/>
      <c r="BO1627" s="2060"/>
      <c r="BP1627" s="2060"/>
      <c r="BQ1627" s="2060"/>
      <c r="BR1627" s="2060"/>
      <c r="BS1627" s="2060"/>
      <c r="BT1627" s="2060"/>
      <c r="BU1627" s="2060"/>
      <c r="BV1627" s="2060"/>
      <c r="BW1627" s="2060"/>
      <c r="BX1627" s="2060"/>
      <c r="BY1627" s="2060"/>
      <c r="BZ1627" s="2060"/>
      <c r="CA1627" s="2060"/>
      <c r="CB1627" s="2060"/>
      <c r="CC1627" s="2060"/>
      <c r="CD1627" s="2060"/>
      <c r="CE1627" s="2060"/>
      <c r="CF1627" s="2060"/>
      <c r="CG1627" s="2060"/>
      <c r="CH1627" s="2060"/>
      <c r="CI1627" s="2060"/>
      <c r="CJ1627" s="2060"/>
      <c r="CK1627" s="2060"/>
      <c r="CL1627" s="2060"/>
      <c r="CM1627" s="2060"/>
      <c r="CN1627" s="2060"/>
      <c r="CO1627" s="2060"/>
      <c r="CP1627" s="2060"/>
      <c r="CQ1627" s="2060"/>
      <c r="CR1627" s="2060"/>
      <c r="CS1627" s="2060"/>
      <c r="CT1627" s="2060"/>
      <c r="CU1627" s="2060"/>
      <c r="CV1627" s="2060"/>
      <c r="CW1627" s="2060"/>
      <c r="CX1627" s="2060"/>
      <c r="CY1627" s="2060"/>
      <c r="CZ1627" s="2060"/>
      <c r="DA1627" s="2060"/>
      <c r="DB1627" s="2060"/>
      <c r="DC1627" s="2060"/>
      <c r="DD1627" s="2060"/>
      <c r="DE1627" s="2060"/>
      <c r="DF1627" s="2060"/>
      <c r="DG1627" s="2060"/>
      <c r="DH1627" s="2060"/>
      <c r="DI1627" s="2060"/>
      <c r="DJ1627" s="2060"/>
      <c r="DK1627" s="2060"/>
      <c r="DL1627" s="2060"/>
      <c r="DM1627" s="2060"/>
      <c r="DN1627" s="2060"/>
      <c r="DO1627" s="2060"/>
      <c r="DP1627" s="2060"/>
      <c r="DQ1627" s="2060"/>
      <c r="DR1627" s="2060"/>
      <c r="DS1627" s="2060"/>
      <c r="DT1627" s="2060"/>
      <c r="DU1627" s="2060"/>
      <c r="DV1627" s="2060"/>
      <c r="DW1627" s="2060"/>
      <c r="DX1627" s="2060"/>
      <c r="DY1627" s="2060"/>
      <c r="DZ1627" s="2060"/>
      <c r="EA1627" s="2060"/>
      <c r="EB1627" s="2060"/>
      <c r="EC1627" s="2060"/>
      <c r="ED1627" s="2060"/>
      <c r="EE1627" s="2060"/>
      <c r="EF1627" s="2060"/>
      <c r="EG1627" s="2060"/>
      <c r="EH1627" s="2060"/>
      <c r="EI1627" s="2060"/>
      <c r="EJ1627" s="2060"/>
      <c r="EK1627" s="2060"/>
      <c r="EL1627" s="2060"/>
      <c r="EM1627" s="2060"/>
      <c r="EN1627" s="2060"/>
      <c r="EO1627" s="2060"/>
      <c r="EP1627" s="2060"/>
      <c r="EQ1627" s="2060"/>
      <c r="ER1627" s="2060"/>
      <c r="ES1627" s="2060"/>
      <c r="ET1627" s="2060"/>
      <c r="EU1627" s="2060"/>
      <c r="EV1627" s="2060"/>
      <c r="EW1627" s="2060"/>
      <c r="EX1627" s="2060"/>
      <c r="EY1627" s="2060"/>
      <c r="EZ1627" s="2060"/>
      <c r="FA1627" s="2060"/>
      <c r="FB1627" s="2060"/>
      <c r="FC1627" s="2060"/>
      <c r="FD1627" s="2060"/>
      <c r="FE1627" s="2060"/>
      <c r="FF1627" s="2060"/>
      <c r="FG1627" s="2060"/>
      <c r="FH1627" s="2060"/>
      <c r="FI1627" s="2060"/>
      <c r="FJ1627" s="2060"/>
      <c r="FK1627" s="2060"/>
      <c r="FL1627" s="2060"/>
      <c r="FM1627" s="2060"/>
      <c r="FN1627" s="2060"/>
      <c r="FO1627" s="2060"/>
      <c r="FP1627" s="2060"/>
      <c r="FQ1627" s="2060"/>
      <c r="FR1627" s="2060"/>
      <c r="FS1627" s="2060"/>
      <c r="FT1627" s="2060"/>
      <c r="FU1627" s="2060"/>
      <c r="FV1627" s="2060"/>
      <c r="FW1627" s="2060"/>
      <c r="FX1627" s="2060"/>
      <c r="FY1627" s="2060"/>
      <c r="FZ1627" s="2060"/>
      <c r="GA1627" s="2060"/>
      <c r="GB1627" s="2060"/>
      <c r="GC1627" s="2060"/>
      <c r="GD1627" s="2060"/>
      <c r="GE1627" s="2060"/>
      <c r="GF1627" s="2060"/>
      <c r="GG1627" s="2060"/>
      <c r="GH1627" s="2060"/>
      <c r="GI1627" s="2060"/>
      <c r="GJ1627" s="2060"/>
      <c r="GK1627" s="2060"/>
      <c r="GL1627" s="2060"/>
      <c r="GM1627" s="2060"/>
      <c r="GN1627" s="2060"/>
      <c r="GO1627" s="2060"/>
      <c r="GP1627" s="2060"/>
      <c r="GQ1627" s="2060"/>
      <c r="GR1627" s="2060"/>
      <c r="GS1627" s="2060"/>
      <c r="GT1627" s="2060"/>
      <c r="GU1627" s="2060"/>
      <c r="GV1627" s="2060"/>
      <c r="GW1627" s="2060"/>
      <c r="GX1627" s="2060"/>
      <c r="GY1627" s="2060"/>
      <c r="GZ1627" s="2060"/>
      <c r="HA1627" s="2060"/>
      <c r="HB1627" s="2060"/>
      <c r="HC1627" s="2060"/>
      <c r="HD1627" s="2060"/>
      <c r="HE1627" s="2060"/>
      <c r="HF1627" s="2060"/>
      <c r="HG1627" s="2060"/>
      <c r="HH1627" s="2060"/>
      <c r="HI1627" s="2060"/>
      <c r="HJ1627" s="2060"/>
      <c r="HK1627" s="2060"/>
      <c r="HL1627" s="2060"/>
      <c r="HM1627" s="2060"/>
      <c r="HN1627" s="2060"/>
      <c r="HO1627" s="2060"/>
      <c r="HP1627" s="2060"/>
      <c r="HQ1627" s="2060"/>
      <c r="HR1627" s="2060"/>
      <c r="HS1627" s="2060"/>
      <c r="HT1627" s="2060"/>
      <c r="HU1627" s="2060"/>
      <c r="HV1627" s="2060"/>
      <c r="HW1627" s="2060"/>
      <c r="HX1627" s="2060"/>
      <c r="HY1627" s="2060"/>
      <c r="HZ1627" s="2060"/>
      <c r="IA1627" s="2060"/>
      <c r="IB1627" s="2060"/>
      <c r="IC1627" s="2060"/>
      <c r="ID1627" s="2060"/>
      <c r="IE1627" s="2060"/>
      <c r="IF1627" s="2060"/>
      <c r="IG1627" s="2060"/>
      <c r="IH1627" s="2060"/>
      <c r="II1627" s="2060"/>
      <c r="IJ1627" s="2060"/>
      <c r="IK1627" s="2060"/>
      <c r="IL1627" s="2060"/>
      <c r="IM1627" s="2060"/>
      <c r="IN1627" s="2060"/>
      <c r="IO1627" s="2060"/>
      <c r="IP1627" s="2060"/>
      <c r="IQ1627" s="2060"/>
      <c r="IR1627" s="2060"/>
      <c r="IS1627" s="2060"/>
      <c r="IT1627" s="2060"/>
      <c r="IU1627" s="2060"/>
      <c r="IV1627" s="2060"/>
      <c r="IW1627" s="2060"/>
      <c r="IX1627" s="2060"/>
      <c r="IY1627" s="2060"/>
      <c r="IZ1627" s="2060"/>
      <c r="JA1627" s="2060"/>
      <c r="JB1627" s="2060"/>
      <c r="JC1627" s="2060"/>
      <c r="JD1627" s="2060"/>
      <c r="JE1627" s="2060"/>
      <c r="JF1627" s="2060"/>
      <c r="JG1627" s="2060"/>
      <c r="JH1627" s="2060"/>
      <c r="JI1627" s="2060"/>
      <c r="JJ1627" s="2060"/>
      <c r="JK1627" s="2060"/>
      <c r="JL1627" s="2060"/>
      <c r="JM1627" s="2060"/>
      <c r="JN1627" s="2060"/>
      <c r="JO1627" s="2060"/>
      <c r="JP1627" s="2060"/>
      <c r="JQ1627" s="2060"/>
      <c r="JR1627" s="2060"/>
      <c r="JS1627" s="2060"/>
      <c r="JT1627" s="2060"/>
      <c r="JU1627" s="2060"/>
      <c r="JV1627" s="2060"/>
      <c r="JW1627" s="2060"/>
      <c r="JX1627" s="2060"/>
      <c r="JY1627" s="2060"/>
      <c r="JZ1627" s="2060"/>
      <c r="KA1627" s="2060"/>
      <c r="KB1627" s="2060"/>
      <c r="KC1627" s="2060"/>
      <c r="KD1627" s="2060"/>
      <c r="KE1627" s="2060"/>
      <c r="KF1627" s="2060"/>
      <c r="KG1627" s="2060"/>
      <c r="KH1627" s="2060"/>
      <c r="KI1627" s="2060"/>
      <c r="KJ1627" s="2060"/>
      <c r="KK1627" s="2060"/>
      <c r="KL1627" s="2060"/>
      <c r="KM1627" s="2060"/>
      <c r="KN1627" s="2060"/>
      <c r="KO1627" s="2060"/>
      <c r="KP1627" s="2060"/>
      <c r="KQ1627" s="2060"/>
      <c r="KR1627" s="2060"/>
      <c r="KS1627" s="2060"/>
      <c r="KT1627" s="2060"/>
      <c r="KU1627" s="2060"/>
      <c r="KV1627" s="2060"/>
      <c r="KW1627" s="2060"/>
      <c r="KX1627" s="2060"/>
      <c r="KY1627" s="2060"/>
      <c r="KZ1627" s="2060"/>
      <c r="LA1627" s="2060"/>
      <c r="LB1627" s="2060"/>
      <c r="LC1627" s="2060"/>
      <c r="LD1627" s="2060"/>
      <c r="LE1627" s="2060"/>
      <c r="LF1627" s="2060"/>
      <c r="LG1627" s="2060"/>
      <c r="LH1627" s="2060"/>
    </row>
    <row r="1628" spans="1:320" s="449" customFormat="1" ht="13.9">
      <c r="A1628" s="269" t="str">
        <f t="shared" si="441"/>
        <v>n</v>
      </c>
      <c r="B1628" s="2060"/>
      <c r="C1628" s="2060"/>
      <c r="D1628" s="2060"/>
      <c r="E1628" s="1661">
        <v>12</v>
      </c>
      <c r="F1628" s="1353" t="str">
        <f>F$140</f>
        <v>--</v>
      </c>
      <c r="G1628" s="128">
        <f>G$140</f>
        <v>0</v>
      </c>
      <c r="H1628" s="128" t="str">
        <f>H$140</f>
        <v>--</v>
      </c>
      <c r="I1628" s="89" t="s">
        <v>783</v>
      </c>
      <c r="J1628" s="2197" t="str">
        <f>IF($G1628=0,"",IFERROR(_xll.ciqfunctions.udf.CIQ($G1628,$I1628,J$1557,Valuation_Date_GC,ReportType,DataMode,$H1628,FXMode)*Scale+J1599*Pension10,"n/a"))</f>
        <v/>
      </c>
      <c r="K1628" s="2197" t="str">
        <f>IF($G1628=0,"",IFERROR(_xll.ciqfunctions.udf.CIQ($G1628,$I1628,K$1557,Valuation_Date_GC,ReportType,DataMode,$H1628,FXMode)*Scale+K1599*Pension10,"n/a"))</f>
        <v/>
      </c>
      <c r="L1628" s="2197" t="str">
        <f>IF($G1628=0,"",IFERROR(_xll.ciqfunctions.udf.CIQ($G1628,$I1628,L$1557,Valuation_Date_GC,ReportType,DataMode,$H1628,FXMode)*Scale+L1599*Pension10,"n/a"))</f>
        <v/>
      </c>
      <c r="M1628" s="2197" t="str">
        <f>IF($G1628=0,"",IFERROR(_xll.ciqfunctions.udf.CIQ($G1628,$I1628,M$1557,Valuation_Date_GC,ReportType,DataMode,$H1628,FXMode)*Scale+M1599*Pension10,"n/a"))</f>
        <v/>
      </c>
      <c r="N1628" s="2197" t="str">
        <f>IF($G1628=0,"",IFERROR(_xll.ciqfunctions.udf.CIQ($G1628,$I1628,N$1557,Valuation_Date_GC,ReportType,DataMode,$H1628,FXMode)*Scale+N1599*Pension10,"n/a"))</f>
        <v/>
      </c>
      <c r="O1628" s="2197" t="str">
        <f>IF($G1628=0,"",IFERROR(_xll.ciqfunctions.udf.CIQ($G1628,$I1628,O$1557,Valuation_Date_GC,ReportType,DataMode,$H1628,FXMode)*Scale+O1599*Pension10,"n/a"))</f>
        <v/>
      </c>
      <c r="P1628" s="2197" t="str">
        <f>IF($G1628=0,"",IFERROR(_xll.ciqfunctions.udf.CIQ($G1628,$I1628,P$1557,Valuation_Date_GC,ReportType,DataMode,$H1628,FXMode)*Scale+P1599*Pension10,"n/a"))</f>
        <v/>
      </c>
      <c r="Q1628" s="2197" t="str">
        <f>IF($G1628=0,"",IFERROR(_xll.ciqfunctions.udf.CIQ($G1628,$I1628,Q$1557,Valuation_Date_GC,ReportType,DataMode,$H1628,FXMode)*Scale+Q1599*Pension10,"n/a"))</f>
        <v/>
      </c>
      <c r="R1628" s="2197" t="str">
        <f>IF($G1628=0,"",IFERROR(_xll.ciqfunctions.udf.CIQ($G1628,$I1628,R$1557,Valuation_Date_GC,ReportType,DataMode,$H1628,FXMode)*Scale+R1599*Pension10,"n/a"))</f>
        <v/>
      </c>
      <c r="S1628" s="2197" t="str">
        <f>IF($G1628=0,"",IFERROR(_xll.ciqfunctions.udf.CIQ($G1628,$I1628,S$1557,Valuation_Date_GC,ReportType,DataMode,$H1628,FXMode)*Scale+S1599*Pension10,"n/a"))</f>
        <v/>
      </c>
      <c r="T1628" s="2197" t="str">
        <f>IF($G1628=0,"",IFERROR(_xll.ciqfunctions.udf.CIQ($G1628,$I1628,T$1557,Valuation_Date_GC,ReportType,DataMode,$H1628,FXMode)*Scale+T1599*Pension10,"n/a"))</f>
        <v/>
      </c>
      <c r="U1628" s="2197" t="str">
        <f>IF($G1628=0,"",IFERROR(_xll.ciqfunctions.udf.CIQ($G1628,$I1628,U$1557,Valuation_Date_GC,ReportType,DataMode,$H1628,FXMode)*Scale+U1599*Pension10,"n/a"))</f>
        <v/>
      </c>
      <c r="V1628" s="2197" t="str">
        <f>IF($G1628=0,"",IFERROR(_xll.ciqfunctions.udf.CIQ($G1628,$I1628,V$1557,Valuation_Date_GC,ReportType,DataMode,$H1628,FXMode)*Scale+V1599*Pension10,"n/a"))</f>
        <v/>
      </c>
      <c r="W1628" s="1479"/>
      <c r="X1628" s="255"/>
      <c r="Y1628" s="255"/>
      <c r="Z1628" s="2060"/>
      <c r="AA1628" s="2060"/>
      <c r="AB1628" s="2060"/>
      <c r="AC1628" s="2060"/>
      <c r="AD1628" s="2060"/>
      <c r="AE1628" s="2060"/>
      <c r="AF1628" s="2060"/>
      <c r="AG1628" s="2060"/>
      <c r="AH1628" s="2060"/>
      <c r="AI1628" s="2060"/>
      <c r="AJ1628" s="2060"/>
      <c r="AK1628" s="2060"/>
      <c r="AL1628" s="2060"/>
      <c r="AM1628" s="2060"/>
      <c r="AN1628" s="2060"/>
      <c r="AO1628" s="2060"/>
      <c r="AP1628" s="2060"/>
      <c r="AQ1628" s="2060"/>
      <c r="AR1628" s="2060"/>
      <c r="AS1628" s="2060"/>
      <c r="AT1628" s="2060"/>
      <c r="AU1628" s="2060"/>
      <c r="AV1628" s="2060"/>
      <c r="AW1628" s="2060"/>
      <c r="AX1628" s="2060"/>
      <c r="AY1628" s="2060"/>
      <c r="AZ1628" s="2060"/>
      <c r="BA1628" s="2060"/>
      <c r="BB1628" s="2060"/>
      <c r="BC1628" s="2060"/>
      <c r="BD1628" s="2060"/>
      <c r="BE1628" s="2060"/>
      <c r="BF1628" s="2060"/>
      <c r="BG1628" s="2060"/>
      <c r="BH1628" s="2060"/>
      <c r="BI1628" s="2060"/>
      <c r="BJ1628" s="2060"/>
      <c r="BK1628" s="2060"/>
      <c r="BL1628" s="2060"/>
      <c r="BM1628" s="2060"/>
      <c r="BN1628" s="2060"/>
      <c r="BO1628" s="2060"/>
      <c r="BP1628" s="2060"/>
      <c r="BQ1628" s="2060"/>
      <c r="BR1628" s="2060"/>
      <c r="BS1628" s="2060"/>
      <c r="BT1628" s="2060"/>
      <c r="BU1628" s="2060"/>
      <c r="BV1628" s="2060"/>
      <c r="BW1628" s="2060"/>
      <c r="BX1628" s="2060"/>
      <c r="BY1628" s="2060"/>
      <c r="BZ1628" s="2060"/>
      <c r="CA1628" s="2060"/>
      <c r="CB1628" s="2060"/>
      <c r="CC1628" s="2060"/>
      <c r="CD1628" s="2060"/>
      <c r="CE1628" s="2060"/>
      <c r="CF1628" s="2060"/>
      <c r="CG1628" s="2060"/>
      <c r="CH1628" s="2060"/>
      <c r="CI1628" s="2060"/>
      <c r="CJ1628" s="2060"/>
      <c r="CK1628" s="2060"/>
      <c r="CL1628" s="2060"/>
      <c r="CM1628" s="2060"/>
      <c r="CN1628" s="2060"/>
      <c r="CO1628" s="2060"/>
      <c r="CP1628" s="2060"/>
      <c r="CQ1628" s="2060"/>
      <c r="CR1628" s="2060"/>
      <c r="CS1628" s="2060"/>
      <c r="CT1628" s="2060"/>
      <c r="CU1628" s="2060"/>
      <c r="CV1628" s="2060"/>
      <c r="CW1628" s="2060"/>
      <c r="CX1628" s="2060"/>
      <c r="CY1628" s="2060"/>
      <c r="CZ1628" s="2060"/>
      <c r="DA1628" s="2060"/>
      <c r="DB1628" s="2060"/>
      <c r="DC1628" s="2060"/>
      <c r="DD1628" s="2060"/>
      <c r="DE1628" s="2060"/>
      <c r="DF1628" s="2060"/>
      <c r="DG1628" s="2060"/>
      <c r="DH1628" s="2060"/>
      <c r="DI1628" s="2060"/>
      <c r="DJ1628" s="2060"/>
      <c r="DK1628" s="2060"/>
      <c r="DL1628" s="2060"/>
      <c r="DM1628" s="2060"/>
      <c r="DN1628" s="2060"/>
      <c r="DO1628" s="2060"/>
      <c r="DP1628" s="2060"/>
      <c r="DQ1628" s="2060"/>
      <c r="DR1628" s="2060"/>
      <c r="DS1628" s="2060"/>
      <c r="DT1628" s="2060"/>
      <c r="DU1628" s="2060"/>
      <c r="DV1628" s="2060"/>
      <c r="DW1628" s="2060"/>
      <c r="DX1628" s="2060"/>
      <c r="DY1628" s="2060"/>
      <c r="DZ1628" s="2060"/>
      <c r="EA1628" s="2060"/>
      <c r="EB1628" s="2060"/>
      <c r="EC1628" s="2060"/>
      <c r="ED1628" s="2060"/>
      <c r="EE1628" s="2060"/>
      <c r="EF1628" s="2060"/>
      <c r="EG1628" s="2060"/>
      <c r="EH1628" s="2060"/>
      <c r="EI1628" s="2060"/>
      <c r="EJ1628" s="2060"/>
      <c r="EK1628" s="2060"/>
      <c r="EL1628" s="2060"/>
      <c r="EM1628" s="2060"/>
      <c r="EN1628" s="2060"/>
      <c r="EO1628" s="2060"/>
      <c r="EP1628" s="2060"/>
      <c r="EQ1628" s="2060"/>
      <c r="ER1628" s="2060"/>
      <c r="ES1628" s="2060"/>
      <c r="ET1628" s="2060"/>
      <c r="EU1628" s="2060"/>
      <c r="EV1628" s="2060"/>
      <c r="EW1628" s="2060"/>
      <c r="EX1628" s="2060"/>
      <c r="EY1628" s="2060"/>
      <c r="EZ1628" s="2060"/>
      <c r="FA1628" s="2060"/>
      <c r="FB1628" s="2060"/>
      <c r="FC1628" s="2060"/>
      <c r="FD1628" s="2060"/>
      <c r="FE1628" s="2060"/>
      <c r="FF1628" s="2060"/>
      <c r="FG1628" s="2060"/>
      <c r="FH1628" s="2060"/>
      <c r="FI1628" s="2060"/>
      <c r="FJ1628" s="2060"/>
      <c r="FK1628" s="2060"/>
      <c r="FL1628" s="2060"/>
      <c r="FM1628" s="2060"/>
      <c r="FN1628" s="2060"/>
      <c r="FO1628" s="2060"/>
      <c r="FP1628" s="2060"/>
      <c r="FQ1628" s="2060"/>
      <c r="FR1628" s="2060"/>
      <c r="FS1628" s="2060"/>
      <c r="FT1628" s="2060"/>
      <c r="FU1628" s="2060"/>
      <c r="FV1628" s="2060"/>
      <c r="FW1628" s="2060"/>
      <c r="FX1628" s="2060"/>
      <c r="FY1628" s="2060"/>
      <c r="FZ1628" s="2060"/>
      <c r="GA1628" s="2060"/>
      <c r="GB1628" s="2060"/>
      <c r="GC1628" s="2060"/>
      <c r="GD1628" s="2060"/>
      <c r="GE1628" s="2060"/>
      <c r="GF1628" s="2060"/>
      <c r="GG1628" s="2060"/>
      <c r="GH1628" s="2060"/>
      <c r="GI1628" s="2060"/>
      <c r="GJ1628" s="2060"/>
      <c r="GK1628" s="2060"/>
      <c r="GL1628" s="2060"/>
      <c r="GM1628" s="2060"/>
      <c r="GN1628" s="2060"/>
      <c r="GO1628" s="2060"/>
      <c r="GP1628" s="2060"/>
      <c r="GQ1628" s="2060"/>
      <c r="GR1628" s="2060"/>
      <c r="GS1628" s="2060"/>
      <c r="GT1628" s="2060"/>
      <c r="GU1628" s="2060"/>
      <c r="GV1628" s="2060"/>
      <c r="GW1628" s="2060"/>
      <c r="GX1628" s="2060"/>
      <c r="GY1628" s="2060"/>
      <c r="GZ1628" s="2060"/>
      <c r="HA1628" s="2060"/>
      <c r="HB1628" s="2060"/>
      <c r="HC1628" s="2060"/>
      <c r="HD1628" s="2060"/>
      <c r="HE1628" s="2060"/>
      <c r="HF1628" s="2060"/>
      <c r="HG1628" s="2060"/>
      <c r="HH1628" s="2060"/>
      <c r="HI1628" s="2060"/>
      <c r="HJ1628" s="2060"/>
      <c r="HK1628" s="2060"/>
      <c r="HL1628" s="2060"/>
      <c r="HM1628" s="2060"/>
      <c r="HN1628" s="2060"/>
      <c r="HO1628" s="2060"/>
      <c r="HP1628" s="2060"/>
      <c r="HQ1628" s="2060"/>
      <c r="HR1628" s="2060"/>
      <c r="HS1628" s="2060"/>
      <c r="HT1628" s="2060"/>
      <c r="HU1628" s="2060"/>
      <c r="HV1628" s="2060"/>
      <c r="HW1628" s="2060"/>
      <c r="HX1628" s="2060"/>
      <c r="HY1628" s="2060"/>
      <c r="HZ1628" s="2060"/>
      <c r="IA1628" s="2060"/>
      <c r="IB1628" s="2060"/>
      <c r="IC1628" s="2060"/>
      <c r="ID1628" s="2060"/>
      <c r="IE1628" s="2060"/>
      <c r="IF1628" s="2060"/>
      <c r="IG1628" s="2060"/>
      <c r="IH1628" s="2060"/>
      <c r="II1628" s="2060"/>
      <c r="IJ1628" s="2060"/>
      <c r="IK1628" s="2060"/>
      <c r="IL1628" s="2060"/>
      <c r="IM1628" s="2060"/>
      <c r="IN1628" s="2060"/>
      <c r="IO1628" s="2060"/>
      <c r="IP1628" s="2060"/>
      <c r="IQ1628" s="2060"/>
      <c r="IR1628" s="2060"/>
      <c r="IS1628" s="2060"/>
      <c r="IT1628" s="2060"/>
      <c r="IU1628" s="2060"/>
      <c r="IV1628" s="2060"/>
      <c r="IW1628" s="2060"/>
      <c r="IX1628" s="2060"/>
      <c r="IY1628" s="2060"/>
      <c r="IZ1628" s="2060"/>
      <c r="JA1628" s="2060"/>
      <c r="JB1628" s="2060"/>
      <c r="JC1628" s="2060"/>
      <c r="JD1628" s="2060"/>
      <c r="JE1628" s="2060"/>
      <c r="JF1628" s="2060"/>
      <c r="JG1628" s="2060"/>
      <c r="JH1628" s="2060"/>
      <c r="JI1628" s="2060"/>
      <c r="JJ1628" s="2060"/>
      <c r="JK1628" s="2060"/>
      <c r="JL1628" s="2060"/>
      <c r="JM1628" s="2060"/>
      <c r="JN1628" s="2060"/>
      <c r="JO1628" s="2060"/>
      <c r="JP1628" s="2060"/>
      <c r="JQ1628" s="2060"/>
      <c r="JR1628" s="2060"/>
      <c r="JS1628" s="2060"/>
      <c r="JT1628" s="2060"/>
      <c r="JU1628" s="2060"/>
      <c r="JV1628" s="2060"/>
      <c r="JW1628" s="2060"/>
      <c r="JX1628" s="2060"/>
      <c r="JY1628" s="2060"/>
      <c r="JZ1628" s="2060"/>
      <c r="KA1628" s="2060"/>
      <c r="KB1628" s="2060"/>
      <c r="KC1628" s="2060"/>
      <c r="KD1628" s="2060"/>
      <c r="KE1628" s="2060"/>
      <c r="KF1628" s="2060"/>
      <c r="KG1628" s="2060"/>
      <c r="KH1628" s="2060"/>
      <c r="KI1628" s="2060"/>
      <c r="KJ1628" s="2060"/>
      <c r="KK1628" s="2060"/>
      <c r="KL1628" s="2060"/>
      <c r="KM1628" s="2060"/>
      <c r="KN1628" s="2060"/>
      <c r="KO1628" s="2060"/>
      <c r="KP1628" s="2060"/>
      <c r="KQ1628" s="2060"/>
      <c r="KR1628" s="2060"/>
      <c r="KS1628" s="2060"/>
      <c r="KT1628" s="2060"/>
      <c r="KU1628" s="2060"/>
      <c r="KV1628" s="2060"/>
      <c r="KW1628" s="2060"/>
      <c r="KX1628" s="2060"/>
      <c r="KY1628" s="2060"/>
      <c r="KZ1628" s="2060"/>
      <c r="LA1628" s="2060"/>
      <c r="LB1628" s="2060"/>
      <c r="LC1628" s="2060"/>
      <c r="LD1628" s="2060"/>
      <c r="LE1628" s="2060"/>
      <c r="LF1628" s="2060"/>
      <c r="LG1628" s="2060"/>
      <c r="LH1628" s="2060"/>
    </row>
    <row r="1629" spans="1:320" s="449" customFormat="1" ht="13.9">
      <c r="A1629" s="269" t="str">
        <f t="shared" si="441"/>
        <v>n</v>
      </c>
      <c r="B1629" s="2060"/>
      <c r="C1629" s="2060"/>
      <c r="D1629" s="2060"/>
      <c r="E1629" s="1661">
        <v>13</v>
      </c>
      <c r="F1629" s="1353" t="str">
        <f>F$141</f>
        <v>--</v>
      </c>
      <c r="G1629" s="128">
        <f>G$141</f>
        <v>0</v>
      </c>
      <c r="H1629" s="128" t="str">
        <f>H$141</f>
        <v>--</v>
      </c>
      <c r="I1629" s="89" t="s">
        <v>783</v>
      </c>
      <c r="J1629" s="2197" t="str">
        <f>IF($G1629=0,"",IFERROR(_xll.ciqfunctions.udf.CIQ($G1629,$I1629,J$1557,Valuation_Date_GC,ReportType,DataMode,$H1629,FXMode)*Scale+J1600*Pension10,"n/a"))</f>
        <v/>
      </c>
      <c r="K1629" s="2197" t="str">
        <f>IF($G1629=0,"",IFERROR(_xll.ciqfunctions.udf.CIQ($G1629,$I1629,K$1557,Valuation_Date_GC,ReportType,DataMode,$H1629,FXMode)*Scale+K1600*Pension10,"n/a"))</f>
        <v/>
      </c>
      <c r="L1629" s="2197" t="str">
        <f>IF($G1629=0,"",IFERROR(_xll.ciqfunctions.udf.CIQ($G1629,$I1629,L$1557,Valuation_Date_GC,ReportType,DataMode,$H1629,FXMode)*Scale+L1600*Pension10,"n/a"))</f>
        <v/>
      </c>
      <c r="M1629" s="2197" t="str">
        <f>IF($G1629=0,"",IFERROR(_xll.ciqfunctions.udf.CIQ($G1629,$I1629,M$1557,Valuation_Date_GC,ReportType,DataMode,$H1629,FXMode)*Scale+M1600*Pension10,"n/a"))</f>
        <v/>
      </c>
      <c r="N1629" s="2197" t="str">
        <f>IF($G1629=0,"",IFERROR(_xll.ciqfunctions.udf.CIQ($G1629,$I1629,N$1557,Valuation_Date_GC,ReportType,DataMode,$H1629,FXMode)*Scale+N1600*Pension10,"n/a"))</f>
        <v/>
      </c>
      <c r="O1629" s="2197" t="str">
        <f>IF($G1629=0,"",IFERROR(_xll.ciqfunctions.udf.CIQ($G1629,$I1629,O$1557,Valuation_Date_GC,ReportType,DataMode,$H1629,FXMode)*Scale+O1600*Pension10,"n/a"))</f>
        <v/>
      </c>
      <c r="P1629" s="2197" t="str">
        <f>IF($G1629=0,"",IFERROR(_xll.ciqfunctions.udf.CIQ($G1629,$I1629,P$1557,Valuation_Date_GC,ReportType,DataMode,$H1629,FXMode)*Scale+P1600*Pension10,"n/a"))</f>
        <v/>
      </c>
      <c r="Q1629" s="2197" t="str">
        <f>IF($G1629=0,"",IFERROR(_xll.ciqfunctions.udf.CIQ($G1629,$I1629,Q$1557,Valuation_Date_GC,ReportType,DataMode,$H1629,FXMode)*Scale+Q1600*Pension10,"n/a"))</f>
        <v/>
      </c>
      <c r="R1629" s="2197" t="str">
        <f>IF($G1629=0,"",IFERROR(_xll.ciqfunctions.udf.CIQ($G1629,$I1629,R$1557,Valuation_Date_GC,ReportType,DataMode,$H1629,FXMode)*Scale+R1600*Pension10,"n/a"))</f>
        <v/>
      </c>
      <c r="S1629" s="2197" t="str">
        <f>IF($G1629=0,"",IFERROR(_xll.ciqfunctions.udf.CIQ($G1629,$I1629,S$1557,Valuation_Date_GC,ReportType,DataMode,$H1629,FXMode)*Scale+S1600*Pension10,"n/a"))</f>
        <v/>
      </c>
      <c r="T1629" s="2197" t="str">
        <f>IF($G1629=0,"",IFERROR(_xll.ciqfunctions.udf.CIQ($G1629,$I1629,T$1557,Valuation_Date_GC,ReportType,DataMode,$H1629,FXMode)*Scale+T1600*Pension10,"n/a"))</f>
        <v/>
      </c>
      <c r="U1629" s="2197" t="str">
        <f>IF($G1629=0,"",IFERROR(_xll.ciqfunctions.udf.CIQ($G1629,$I1629,U$1557,Valuation_Date_GC,ReportType,DataMode,$H1629,FXMode)*Scale+U1600*Pension10,"n/a"))</f>
        <v/>
      </c>
      <c r="V1629" s="2197" t="str">
        <f>IF($G1629=0,"",IFERROR(_xll.ciqfunctions.udf.CIQ($G1629,$I1629,V$1557,Valuation_Date_GC,ReportType,DataMode,$H1629,FXMode)*Scale+V1600*Pension10,"n/a"))</f>
        <v/>
      </c>
      <c r="W1629" s="1479"/>
      <c r="X1629" s="255"/>
      <c r="Y1629" s="255"/>
      <c r="Z1629" s="2060"/>
      <c r="AA1629" s="2060"/>
      <c r="AB1629" s="2060"/>
      <c r="AC1629" s="2060"/>
      <c r="AD1629" s="2060"/>
      <c r="AE1629" s="2060"/>
      <c r="AF1629" s="2060"/>
      <c r="AG1629" s="2060"/>
      <c r="AH1629" s="2060"/>
      <c r="AI1629" s="2060"/>
      <c r="AJ1629" s="2060"/>
      <c r="AK1629" s="2060"/>
      <c r="AL1629" s="2060"/>
      <c r="AM1629" s="2060"/>
      <c r="AN1629" s="2060"/>
      <c r="AO1629" s="2060"/>
      <c r="AP1629" s="2060"/>
      <c r="AQ1629" s="2060"/>
      <c r="AR1629" s="2060"/>
      <c r="AS1629" s="2060"/>
      <c r="AT1629" s="2060"/>
      <c r="AU1629" s="2060"/>
      <c r="AV1629" s="2060"/>
      <c r="AW1629" s="2060"/>
      <c r="AX1629" s="2060"/>
      <c r="AY1629" s="2060"/>
      <c r="AZ1629" s="2060"/>
      <c r="BA1629" s="2060"/>
      <c r="BB1629" s="2060"/>
      <c r="BC1629" s="2060"/>
      <c r="BD1629" s="2060"/>
      <c r="BE1629" s="2060"/>
      <c r="BF1629" s="2060"/>
      <c r="BG1629" s="2060"/>
      <c r="BH1629" s="2060"/>
      <c r="BI1629" s="2060"/>
      <c r="BJ1629" s="2060"/>
      <c r="BK1629" s="2060"/>
      <c r="BL1629" s="2060"/>
      <c r="BM1629" s="2060"/>
      <c r="BN1629" s="2060"/>
      <c r="BO1629" s="2060"/>
      <c r="BP1629" s="2060"/>
      <c r="BQ1629" s="2060"/>
      <c r="BR1629" s="2060"/>
      <c r="BS1629" s="2060"/>
      <c r="BT1629" s="2060"/>
      <c r="BU1629" s="2060"/>
      <c r="BV1629" s="2060"/>
      <c r="BW1629" s="2060"/>
      <c r="BX1629" s="2060"/>
      <c r="BY1629" s="2060"/>
      <c r="BZ1629" s="2060"/>
      <c r="CA1629" s="2060"/>
      <c r="CB1629" s="2060"/>
      <c r="CC1629" s="2060"/>
      <c r="CD1629" s="2060"/>
      <c r="CE1629" s="2060"/>
      <c r="CF1629" s="2060"/>
      <c r="CG1629" s="2060"/>
      <c r="CH1629" s="2060"/>
      <c r="CI1629" s="2060"/>
      <c r="CJ1629" s="2060"/>
      <c r="CK1629" s="2060"/>
      <c r="CL1629" s="2060"/>
      <c r="CM1629" s="2060"/>
      <c r="CN1629" s="2060"/>
      <c r="CO1629" s="2060"/>
      <c r="CP1629" s="2060"/>
      <c r="CQ1629" s="2060"/>
      <c r="CR1629" s="2060"/>
      <c r="CS1629" s="2060"/>
      <c r="CT1629" s="2060"/>
      <c r="CU1629" s="2060"/>
      <c r="CV1629" s="2060"/>
      <c r="CW1629" s="2060"/>
      <c r="CX1629" s="2060"/>
      <c r="CY1629" s="2060"/>
      <c r="CZ1629" s="2060"/>
      <c r="DA1629" s="2060"/>
      <c r="DB1629" s="2060"/>
      <c r="DC1629" s="2060"/>
      <c r="DD1629" s="2060"/>
      <c r="DE1629" s="2060"/>
      <c r="DF1629" s="2060"/>
      <c r="DG1629" s="2060"/>
      <c r="DH1629" s="2060"/>
      <c r="DI1629" s="2060"/>
      <c r="DJ1629" s="2060"/>
      <c r="DK1629" s="2060"/>
      <c r="DL1629" s="2060"/>
      <c r="DM1629" s="2060"/>
      <c r="DN1629" s="2060"/>
      <c r="DO1629" s="2060"/>
      <c r="DP1629" s="2060"/>
      <c r="DQ1629" s="2060"/>
      <c r="DR1629" s="2060"/>
      <c r="DS1629" s="2060"/>
      <c r="DT1629" s="2060"/>
      <c r="DU1629" s="2060"/>
      <c r="DV1629" s="2060"/>
      <c r="DW1629" s="2060"/>
      <c r="DX1629" s="2060"/>
      <c r="DY1629" s="2060"/>
      <c r="DZ1629" s="2060"/>
      <c r="EA1629" s="2060"/>
      <c r="EB1629" s="2060"/>
      <c r="EC1629" s="2060"/>
      <c r="ED1629" s="2060"/>
      <c r="EE1629" s="2060"/>
      <c r="EF1629" s="2060"/>
      <c r="EG1629" s="2060"/>
      <c r="EH1629" s="2060"/>
      <c r="EI1629" s="2060"/>
      <c r="EJ1629" s="2060"/>
      <c r="EK1629" s="2060"/>
      <c r="EL1629" s="2060"/>
      <c r="EM1629" s="2060"/>
      <c r="EN1629" s="2060"/>
      <c r="EO1629" s="2060"/>
      <c r="EP1629" s="2060"/>
      <c r="EQ1629" s="2060"/>
      <c r="ER1629" s="2060"/>
      <c r="ES1629" s="2060"/>
      <c r="ET1629" s="2060"/>
      <c r="EU1629" s="2060"/>
      <c r="EV1629" s="2060"/>
      <c r="EW1629" s="2060"/>
      <c r="EX1629" s="2060"/>
      <c r="EY1629" s="2060"/>
      <c r="EZ1629" s="2060"/>
      <c r="FA1629" s="2060"/>
      <c r="FB1629" s="2060"/>
      <c r="FC1629" s="2060"/>
      <c r="FD1629" s="2060"/>
      <c r="FE1629" s="2060"/>
      <c r="FF1629" s="2060"/>
      <c r="FG1629" s="2060"/>
      <c r="FH1629" s="2060"/>
      <c r="FI1629" s="2060"/>
      <c r="FJ1629" s="2060"/>
      <c r="FK1629" s="2060"/>
      <c r="FL1629" s="2060"/>
      <c r="FM1629" s="2060"/>
      <c r="FN1629" s="2060"/>
      <c r="FO1629" s="2060"/>
      <c r="FP1629" s="2060"/>
      <c r="FQ1629" s="2060"/>
      <c r="FR1629" s="2060"/>
      <c r="FS1629" s="2060"/>
      <c r="FT1629" s="2060"/>
      <c r="FU1629" s="2060"/>
      <c r="FV1629" s="2060"/>
      <c r="FW1629" s="2060"/>
      <c r="FX1629" s="2060"/>
      <c r="FY1629" s="2060"/>
      <c r="FZ1629" s="2060"/>
      <c r="GA1629" s="2060"/>
      <c r="GB1629" s="2060"/>
      <c r="GC1629" s="2060"/>
      <c r="GD1629" s="2060"/>
      <c r="GE1629" s="2060"/>
      <c r="GF1629" s="2060"/>
      <c r="GG1629" s="2060"/>
      <c r="GH1629" s="2060"/>
      <c r="GI1629" s="2060"/>
      <c r="GJ1629" s="2060"/>
      <c r="GK1629" s="2060"/>
      <c r="GL1629" s="2060"/>
      <c r="GM1629" s="2060"/>
      <c r="GN1629" s="2060"/>
      <c r="GO1629" s="2060"/>
      <c r="GP1629" s="2060"/>
      <c r="GQ1629" s="2060"/>
      <c r="GR1629" s="2060"/>
      <c r="GS1629" s="2060"/>
      <c r="GT1629" s="2060"/>
      <c r="GU1629" s="2060"/>
      <c r="GV1629" s="2060"/>
      <c r="GW1629" s="2060"/>
      <c r="GX1629" s="2060"/>
      <c r="GY1629" s="2060"/>
      <c r="GZ1629" s="2060"/>
      <c r="HA1629" s="2060"/>
      <c r="HB1629" s="2060"/>
      <c r="HC1629" s="2060"/>
      <c r="HD1629" s="2060"/>
      <c r="HE1629" s="2060"/>
      <c r="HF1629" s="2060"/>
      <c r="HG1629" s="2060"/>
      <c r="HH1629" s="2060"/>
      <c r="HI1629" s="2060"/>
      <c r="HJ1629" s="2060"/>
      <c r="HK1629" s="2060"/>
      <c r="HL1629" s="2060"/>
      <c r="HM1629" s="2060"/>
      <c r="HN1629" s="2060"/>
      <c r="HO1629" s="2060"/>
      <c r="HP1629" s="2060"/>
      <c r="HQ1629" s="2060"/>
      <c r="HR1629" s="2060"/>
      <c r="HS1629" s="2060"/>
      <c r="HT1629" s="2060"/>
      <c r="HU1629" s="2060"/>
      <c r="HV1629" s="2060"/>
      <c r="HW1629" s="2060"/>
      <c r="HX1629" s="2060"/>
      <c r="HY1629" s="2060"/>
      <c r="HZ1629" s="2060"/>
      <c r="IA1629" s="2060"/>
      <c r="IB1629" s="2060"/>
      <c r="IC1629" s="2060"/>
      <c r="ID1629" s="2060"/>
      <c r="IE1629" s="2060"/>
      <c r="IF1629" s="2060"/>
      <c r="IG1629" s="2060"/>
      <c r="IH1629" s="2060"/>
      <c r="II1629" s="2060"/>
      <c r="IJ1629" s="2060"/>
      <c r="IK1629" s="2060"/>
      <c r="IL1629" s="2060"/>
      <c r="IM1629" s="2060"/>
      <c r="IN1629" s="2060"/>
      <c r="IO1629" s="2060"/>
      <c r="IP1629" s="2060"/>
      <c r="IQ1629" s="2060"/>
      <c r="IR1629" s="2060"/>
      <c r="IS1629" s="2060"/>
      <c r="IT1629" s="2060"/>
      <c r="IU1629" s="2060"/>
      <c r="IV1629" s="2060"/>
      <c r="IW1629" s="2060"/>
      <c r="IX1629" s="2060"/>
      <c r="IY1629" s="2060"/>
      <c r="IZ1629" s="2060"/>
      <c r="JA1629" s="2060"/>
      <c r="JB1629" s="2060"/>
      <c r="JC1629" s="2060"/>
      <c r="JD1629" s="2060"/>
      <c r="JE1629" s="2060"/>
      <c r="JF1629" s="2060"/>
      <c r="JG1629" s="2060"/>
      <c r="JH1629" s="2060"/>
      <c r="JI1629" s="2060"/>
      <c r="JJ1629" s="2060"/>
      <c r="JK1629" s="2060"/>
      <c r="JL1629" s="2060"/>
      <c r="JM1629" s="2060"/>
      <c r="JN1629" s="2060"/>
      <c r="JO1629" s="2060"/>
      <c r="JP1629" s="2060"/>
      <c r="JQ1629" s="2060"/>
      <c r="JR1629" s="2060"/>
      <c r="JS1629" s="2060"/>
      <c r="JT1629" s="2060"/>
      <c r="JU1629" s="2060"/>
      <c r="JV1629" s="2060"/>
      <c r="JW1629" s="2060"/>
      <c r="JX1629" s="2060"/>
      <c r="JY1629" s="2060"/>
      <c r="JZ1629" s="2060"/>
      <c r="KA1629" s="2060"/>
      <c r="KB1629" s="2060"/>
      <c r="KC1629" s="2060"/>
      <c r="KD1629" s="2060"/>
      <c r="KE1629" s="2060"/>
      <c r="KF1629" s="2060"/>
      <c r="KG1629" s="2060"/>
      <c r="KH1629" s="2060"/>
      <c r="KI1629" s="2060"/>
      <c r="KJ1629" s="2060"/>
      <c r="KK1629" s="2060"/>
      <c r="KL1629" s="2060"/>
      <c r="KM1629" s="2060"/>
      <c r="KN1629" s="2060"/>
      <c r="KO1629" s="2060"/>
      <c r="KP1629" s="2060"/>
      <c r="KQ1629" s="2060"/>
      <c r="KR1629" s="2060"/>
      <c r="KS1629" s="2060"/>
      <c r="KT1629" s="2060"/>
      <c r="KU1629" s="2060"/>
      <c r="KV1629" s="2060"/>
      <c r="KW1629" s="2060"/>
      <c r="KX1629" s="2060"/>
      <c r="KY1629" s="2060"/>
      <c r="KZ1629" s="2060"/>
      <c r="LA1629" s="2060"/>
      <c r="LB1629" s="2060"/>
      <c r="LC1629" s="2060"/>
      <c r="LD1629" s="2060"/>
      <c r="LE1629" s="2060"/>
      <c r="LF1629" s="2060"/>
      <c r="LG1629" s="2060"/>
      <c r="LH1629" s="2060"/>
    </row>
    <row r="1630" spans="1:320" s="449" customFormat="1" ht="13.9">
      <c r="A1630" s="269" t="str">
        <f t="shared" si="441"/>
        <v>n</v>
      </c>
      <c r="B1630" s="2060"/>
      <c r="C1630" s="2060"/>
      <c r="D1630" s="2060"/>
      <c r="E1630" s="1661">
        <v>14</v>
      </c>
      <c r="F1630" s="1353" t="str">
        <f>F$142</f>
        <v>--</v>
      </c>
      <c r="G1630" s="128">
        <f>G$142</f>
        <v>0</v>
      </c>
      <c r="H1630" s="128" t="str">
        <f>H$142</f>
        <v>--</v>
      </c>
      <c r="I1630" s="89" t="s">
        <v>783</v>
      </c>
      <c r="J1630" s="2197" t="str">
        <f>IF($G1630=0,"",IFERROR(_xll.ciqfunctions.udf.CIQ($G1630,$I1630,J$1557,Valuation_Date_GC,ReportType,DataMode,$H1630,FXMode)*Scale+J1601*Pension10,"n/a"))</f>
        <v/>
      </c>
      <c r="K1630" s="2197" t="str">
        <f>IF($G1630=0,"",IFERROR(_xll.ciqfunctions.udf.CIQ($G1630,$I1630,K$1557,Valuation_Date_GC,ReportType,DataMode,$H1630,FXMode)*Scale+K1601*Pension10,"n/a"))</f>
        <v/>
      </c>
      <c r="L1630" s="2197" t="str">
        <f>IF($G1630=0,"",IFERROR(_xll.ciqfunctions.udf.CIQ($G1630,$I1630,L$1557,Valuation_Date_GC,ReportType,DataMode,$H1630,FXMode)*Scale+L1601*Pension10,"n/a"))</f>
        <v/>
      </c>
      <c r="M1630" s="2197" t="str">
        <f>IF($G1630=0,"",IFERROR(_xll.ciqfunctions.udf.CIQ($G1630,$I1630,M$1557,Valuation_Date_GC,ReportType,DataMode,$H1630,FXMode)*Scale+M1601*Pension10,"n/a"))</f>
        <v/>
      </c>
      <c r="N1630" s="2197" t="str">
        <f>IF($G1630=0,"",IFERROR(_xll.ciqfunctions.udf.CIQ($G1630,$I1630,N$1557,Valuation_Date_GC,ReportType,DataMode,$H1630,FXMode)*Scale+N1601*Pension10,"n/a"))</f>
        <v/>
      </c>
      <c r="O1630" s="2197" t="str">
        <f>IF($G1630=0,"",IFERROR(_xll.ciqfunctions.udf.CIQ($G1630,$I1630,O$1557,Valuation_Date_GC,ReportType,DataMode,$H1630,FXMode)*Scale+O1601*Pension10,"n/a"))</f>
        <v/>
      </c>
      <c r="P1630" s="2197" t="str">
        <f>IF($G1630=0,"",IFERROR(_xll.ciqfunctions.udf.CIQ($G1630,$I1630,P$1557,Valuation_Date_GC,ReportType,DataMode,$H1630,FXMode)*Scale+P1601*Pension10,"n/a"))</f>
        <v/>
      </c>
      <c r="Q1630" s="2197" t="str">
        <f>IF($G1630=0,"",IFERROR(_xll.ciqfunctions.udf.CIQ($G1630,$I1630,Q$1557,Valuation_Date_GC,ReportType,DataMode,$H1630,FXMode)*Scale+Q1601*Pension10,"n/a"))</f>
        <v/>
      </c>
      <c r="R1630" s="2197" t="str">
        <f>IF($G1630=0,"",IFERROR(_xll.ciqfunctions.udf.CIQ($G1630,$I1630,R$1557,Valuation_Date_GC,ReportType,DataMode,$H1630,FXMode)*Scale+R1601*Pension10,"n/a"))</f>
        <v/>
      </c>
      <c r="S1630" s="2197" t="str">
        <f>IF($G1630=0,"",IFERROR(_xll.ciqfunctions.udf.CIQ($G1630,$I1630,S$1557,Valuation_Date_GC,ReportType,DataMode,$H1630,FXMode)*Scale+S1601*Pension10,"n/a"))</f>
        <v/>
      </c>
      <c r="T1630" s="2197" t="str">
        <f>IF($G1630=0,"",IFERROR(_xll.ciqfunctions.udf.CIQ($G1630,$I1630,T$1557,Valuation_Date_GC,ReportType,DataMode,$H1630,FXMode)*Scale+T1601*Pension10,"n/a"))</f>
        <v/>
      </c>
      <c r="U1630" s="2197" t="str">
        <f>IF($G1630=0,"",IFERROR(_xll.ciqfunctions.udf.CIQ($G1630,$I1630,U$1557,Valuation_Date_GC,ReportType,DataMode,$H1630,FXMode)*Scale+U1601*Pension10,"n/a"))</f>
        <v/>
      </c>
      <c r="V1630" s="2197" t="str">
        <f>IF($G1630=0,"",IFERROR(_xll.ciqfunctions.udf.CIQ($G1630,$I1630,V$1557,Valuation_Date_GC,ReportType,DataMode,$H1630,FXMode)*Scale+V1601*Pension10,"n/a"))</f>
        <v/>
      </c>
      <c r="W1630" s="1479"/>
      <c r="X1630" s="255"/>
      <c r="Y1630" s="255"/>
      <c r="Z1630" s="2060"/>
      <c r="AA1630" s="2060"/>
      <c r="AB1630" s="2060"/>
      <c r="AC1630" s="2060"/>
      <c r="AD1630" s="2060"/>
      <c r="AE1630" s="2060"/>
      <c r="AF1630" s="2060"/>
      <c r="AG1630" s="2060"/>
      <c r="AH1630" s="2060"/>
      <c r="AI1630" s="2060"/>
      <c r="AJ1630" s="2060"/>
      <c r="AK1630" s="2060"/>
      <c r="AL1630" s="2060"/>
      <c r="AM1630" s="2060"/>
      <c r="AN1630" s="2060"/>
      <c r="AO1630" s="2060"/>
      <c r="AP1630" s="2060"/>
      <c r="AQ1630" s="2060"/>
      <c r="AR1630" s="2060"/>
      <c r="AS1630" s="2060"/>
      <c r="AT1630" s="2060"/>
      <c r="AU1630" s="2060"/>
      <c r="AV1630" s="2060"/>
      <c r="AW1630" s="2060"/>
      <c r="AX1630" s="2060"/>
      <c r="AY1630" s="2060"/>
      <c r="AZ1630" s="2060"/>
      <c r="BA1630" s="2060"/>
      <c r="BB1630" s="2060"/>
      <c r="BC1630" s="2060"/>
      <c r="BD1630" s="2060"/>
      <c r="BE1630" s="2060"/>
      <c r="BF1630" s="2060"/>
      <c r="BG1630" s="2060"/>
      <c r="BH1630" s="2060"/>
      <c r="BI1630" s="2060"/>
      <c r="BJ1630" s="2060"/>
      <c r="BK1630" s="2060"/>
      <c r="BL1630" s="2060"/>
      <c r="BM1630" s="2060"/>
      <c r="BN1630" s="2060"/>
      <c r="BO1630" s="2060"/>
      <c r="BP1630" s="2060"/>
      <c r="BQ1630" s="2060"/>
      <c r="BR1630" s="2060"/>
      <c r="BS1630" s="2060"/>
      <c r="BT1630" s="2060"/>
      <c r="BU1630" s="2060"/>
      <c r="BV1630" s="2060"/>
      <c r="BW1630" s="2060"/>
      <c r="BX1630" s="2060"/>
      <c r="BY1630" s="2060"/>
      <c r="BZ1630" s="2060"/>
      <c r="CA1630" s="2060"/>
      <c r="CB1630" s="2060"/>
      <c r="CC1630" s="2060"/>
      <c r="CD1630" s="2060"/>
      <c r="CE1630" s="2060"/>
      <c r="CF1630" s="2060"/>
      <c r="CG1630" s="2060"/>
      <c r="CH1630" s="2060"/>
      <c r="CI1630" s="2060"/>
      <c r="CJ1630" s="2060"/>
      <c r="CK1630" s="2060"/>
      <c r="CL1630" s="2060"/>
      <c r="CM1630" s="2060"/>
      <c r="CN1630" s="2060"/>
      <c r="CO1630" s="2060"/>
      <c r="CP1630" s="2060"/>
      <c r="CQ1630" s="2060"/>
      <c r="CR1630" s="2060"/>
      <c r="CS1630" s="2060"/>
      <c r="CT1630" s="2060"/>
      <c r="CU1630" s="2060"/>
      <c r="CV1630" s="2060"/>
      <c r="CW1630" s="2060"/>
      <c r="CX1630" s="2060"/>
      <c r="CY1630" s="2060"/>
      <c r="CZ1630" s="2060"/>
      <c r="DA1630" s="2060"/>
      <c r="DB1630" s="2060"/>
      <c r="DC1630" s="2060"/>
      <c r="DD1630" s="2060"/>
      <c r="DE1630" s="2060"/>
      <c r="DF1630" s="2060"/>
      <c r="DG1630" s="2060"/>
      <c r="DH1630" s="2060"/>
      <c r="DI1630" s="2060"/>
      <c r="DJ1630" s="2060"/>
      <c r="DK1630" s="2060"/>
      <c r="DL1630" s="2060"/>
      <c r="DM1630" s="2060"/>
      <c r="DN1630" s="2060"/>
      <c r="DO1630" s="2060"/>
      <c r="DP1630" s="2060"/>
      <c r="DQ1630" s="2060"/>
      <c r="DR1630" s="2060"/>
      <c r="DS1630" s="2060"/>
      <c r="DT1630" s="2060"/>
      <c r="DU1630" s="2060"/>
      <c r="DV1630" s="2060"/>
      <c r="DW1630" s="2060"/>
      <c r="DX1630" s="2060"/>
      <c r="DY1630" s="2060"/>
      <c r="DZ1630" s="2060"/>
      <c r="EA1630" s="2060"/>
      <c r="EB1630" s="2060"/>
      <c r="EC1630" s="2060"/>
      <c r="ED1630" s="2060"/>
      <c r="EE1630" s="2060"/>
      <c r="EF1630" s="2060"/>
      <c r="EG1630" s="2060"/>
      <c r="EH1630" s="2060"/>
      <c r="EI1630" s="2060"/>
      <c r="EJ1630" s="2060"/>
      <c r="EK1630" s="2060"/>
      <c r="EL1630" s="2060"/>
      <c r="EM1630" s="2060"/>
      <c r="EN1630" s="2060"/>
      <c r="EO1630" s="2060"/>
      <c r="EP1630" s="2060"/>
      <c r="EQ1630" s="2060"/>
      <c r="ER1630" s="2060"/>
      <c r="ES1630" s="2060"/>
      <c r="ET1630" s="2060"/>
      <c r="EU1630" s="2060"/>
      <c r="EV1630" s="2060"/>
      <c r="EW1630" s="2060"/>
      <c r="EX1630" s="2060"/>
      <c r="EY1630" s="2060"/>
      <c r="EZ1630" s="2060"/>
      <c r="FA1630" s="2060"/>
      <c r="FB1630" s="2060"/>
      <c r="FC1630" s="2060"/>
      <c r="FD1630" s="2060"/>
      <c r="FE1630" s="2060"/>
      <c r="FF1630" s="2060"/>
      <c r="FG1630" s="2060"/>
      <c r="FH1630" s="2060"/>
      <c r="FI1630" s="2060"/>
      <c r="FJ1630" s="2060"/>
      <c r="FK1630" s="2060"/>
      <c r="FL1630" s="2060"/>
      <c r="FM1630" s="2060"/>
      <c r="FN1630" s="2060"/>
      <c r="FO1630" s="2060"/>
      <c r="FP1630" s="2060"/>
      <c r="FQ1630" s="2060"/>
      <c r="FR1630" s="2060"/>
      <c r="FS1630" s="2060"/>
      <c r="FT1630" s="2060"/>
      <c r="FU1630" s="2060"/>
      <c r="FV1630" s="2060"/>
      <c r="FW1630" s="2060"/>
      <c r="FX1630" s="2060"/>
      <c r="FY1630" s="2060"/>
      <c r="FZ1630" s="2060"/>
      <c r="GA1630" s="2060"/>
      <c r="GB1630" s="2060"/>
      <c r="GC1630" s="2060"/>
      <c r="GD1630" s="2060"/>
      <c r="GE1630" s="2060"/>
      <c r="GF1630" s="2060"/>
      <c r="GG1630" s="2060"/>
      <c r="GH1630" s="2060"/>
      <c r="GI1630" s="2060"/>
      <c r="GJ1630" s="2060"/>
      <c r="GK1630" s="2060"/>
      <c r="GL1630" s="2060"/>
      <c r="GM1630" s="2060"/>
      <c r="GN1630" s="2060"/>
      <c r="GO1630" s="2060"/>
      <c r="GP1630" s="2060"/>
      <c r="GQ1630" s="2060"/>
      <c r="GR1630" s="2060"/>
      <c r="GS1630" s="2060"/>
      <c r="GT1630" s="2060"/>
      <c r="GU1630" s="2060"/>
      <c r="GV1630" s="2060"/>
      <c r="GW1630" s="2060"/>
      <c r="GX1630" s="2060"/>
      <c r="GY1630" s="2060"/>
      <c r="GZ1630" s="2060"/>
      <c r="HA1630" s="2060"/>
      <c r="HB1630" s="2060"/>
      <c r="HC1630" s="2060"/>
      <c r="HD1630" s="2060"/>
      <c r="HE1630" s="2060"/>
      <c r="HF1630" s="2060"/>
      <c r="HG1630" s="2060"/>
      <c r="HH1630" s="2060"/>
      <c r="HI1630" s="2060"/>
      <c r="HJ1630" s="2060"/>
      <c r="HK1630" s="2060"/>
      <c r="HL1630" s="2060"/>
      <c r="HM1630" s="2060"/>
      <c r="HN1630" s="2060"/>
      <c r="HO1630" s="2060"/>
      <c r="HP1630" s="2060"/>
      <c r="HQ1630" s="2060"/>
      <c r="HR1630" s="2060"/>
      <c r="HS1630" s="2060"/>
      <c r="HT1630" s="2060"/>
      <c r="HU1630" s="2060"/>
      <c r="HV1630" s="2060"/>
      <c r="HW1630" s="2060"/>
      <c r="HX1630" s="2060"/>
      <c r="HY1630" s="2060"/>
      <c r="HZ1630" s="2060"/>
      <c r="IA1630" s="2060"/>
      <c r="IB1630" s="2060"/>
      <c r="IC1630" s="2060"/>
      <c r="ID1630" s="2060"/>
      <c r="IE1630" s="2060"/>
      <c r="IF1630" s="2060"/>
      <c r="IG1630" s="2060"/>
      <c r="IH1630" s="2060"/>
      <c r="II1630" s="2060"/>
      <c r="IJ1630" s="2060"/>
      <c r="IK1630" s="2060"/>
      <c r="IL1630" s="2060"/>
      <c r="IM1630" s="2060"/>
      <c r="IN1630" s="2060"/>
      <c r="IO1630" s="2060"/>
      <c r="IP1630" s="2060"/>
      <c r="IQ1630" s="2060"/>
      <c r="IR1630" s="2060"/>
      <c r="IS1630" s="2060"/>
      <c r="IT1630" s="2060"/>
      <c r="IU1630" s="2060"/>
      <c r="IV1630" s="2060"/>
      <c r="IW1630" s="2060"/>
      <c r="IX1630" s="2060"/>
      <c r="IY1630" s="2060"/>
      <c r="IZ1630" s="2060"/>
      <c r="JA1630" s="2060"/>
      <c r="JB1630" s="2060"/>
      <c r="JC1630" s="2060"/>
      <c r="JD1630" s="2060"/>
      <c r="JE1630" s="2060"/>
      <c r="JF1630" s="2060"/>
      <c r="JG1630" s="2060"/>
      <c r="JH1630" s="2060"/>
      <c r="JI1630" s="2060"/>
      <c r="JJ1630" s="2060"/>
      <c r="JK1630" s="2060"/>
      <c r="JL1630" s="2060"/>
      <c r="JM1630" s="2060"/>
      <c r="JN1630" s="2060"/>
      <c r="JO1630" s="2060"/>
      <c r="JP1630" s="2060"/>
      <c r="JQ1630" s="2060"/>
      <c r="JR1630" s="2060"/>
      <c r="JS1630" s="2060"/>
      <c r="JT1630" s="2060"/>
      <c r="JU1630" s="2060"/>
      <c r="JV1630" s="2060"/>
      <c r="JW1630" s="2060"/>
      <c r="JX1630" s="2060"/>
      <c r="JY1630" s="2060"/>
      <c r="JZ1630" s="2060"/>
      <c r="KA1630" s="2060"/>
      <c r="KB1630" s="2060"/>
      <c r="KC1630" s="2060"/>
      <c r="KD1630" s="2060"/>
      <c r="KE1630" s="2060"/>
      <c r="KF1630" s="2060"/>
      <c r="KG1630" s="2060"/>
      <c r="KH1630" s="2060"/>
      <c r="KI1630" s="2060"/>
      <c r="KJ1630" s="2060"/>
      <c r="KK1630" s="2060"/>
      <c r="KL1630" s="2060"/>
      <c r="KM1630" s="2060"/>
      <c r="KN1630" s="2060"/>
      <c r="KO1630" s="2060"/>
      <c r="KP1630" s="2060"/>
      <c r="KQ1630" s="2060"/>
      <c r="KR1630" s="2060"/>
      <c r="KS1630" s="2060"/>
      <c r="KT1630" s="2060"/>
      <c r="KU1630" s="2060"/>
      <c r="KV1630" s="2060"/>
      <c r="KW1630" s="2060"/>
      <c r="KX1630" s="2060"/>
      <c r="KY1630" s="2060"/>
      <c r="KZ1630" s="2060"/>
      <c r="LA1630" s="2060"/>
      <c r="LB1630" s="2060"/>
      <c r="LC1630" s="2060"/>
      <c r="LD1630" s="2060"/>
      <c r="LE1630" s="2060"/>
      <c r="LF1630" s="2060"/>
      <c r="LG1630" s="2060"/>
      <c r="LH1630" s="2060"/>
    </row>
    <row r="1631" spans="1:320" s="1499" customFormat="1" ht="13.9">
      <c r="A1631" s="269" t="str">
        <f t="shared" si="441"/>
        <v>n</v>
      </c>
      <c r="B1631" s="2060"/>
      <c r="C1631" s="2060"/>
      <c r="D1631" s="2060"/>
      <c r="E1631" s="1661">
        <v>15</v>
      </c>
      <c r="F1631" s="1353" t="str">
        <f>F$143</f>
        <v>--</v>
      </c>
      <c r="G1631" s="128">
        <f>G$143</f>
        <v>0</v>
      </c>
      <c r="H1631" s="128" t="str">
        <f>H$143</f>
        <v>--</v>
      </c>
      <c r="I1631" s="89" t="s">
        <v>783</v>
      </c>
      <c r="J1631" s="2197" t="str">
        <f>IF($G1631=0,"",IFERROR(_xll.ciqfunctions.udf.CIQ($G1631,$I1631,J$1557,Valuation_Date_GC,ReportType,DataMode,$H1631,FXMode)*Scale+J1602*Pension10,"n/a"))</f>
        <v/>
      </c>
      <c r="K1631" s="2197" t="str">
        <f>IF($G1631=0,"",IFERROR(_xll.ciqfunctions.udf.CIQ($G1631,$I1631,K$1557,Valuation_Date_GC,ReportType,DataMode,$H1631,FXMode)*Scale+K1602*Pension10,"n/a"))</f>
        <v/>
      </c>
      <c r="L1631" s="2197" t="str">
        <f>IF($G1631=0,"",IFERROR(_xll.ciqfunctions.udf.CIQ($G1631,$I1631,L$1557,Valuation_Date_GC,ReportType,DataMode,$H1631,FXMode)*Scale+L1602*Pension10,"n/a"))</f>
        <v/>
      </c>
      <c r="M1631" s="2197" t="str">
        <f>IF($G1631=0,"",IFERROR(_xll.ciqfunctions.udf.CIQ($G1631,$I1631,M$1557,Valuation_Date_GC,ReportType,DataMode,$H1631,FXMode)*Scale+M1602*Pension10,"n/a"))</f>
        <v/>
      </c>
      <c r="N1631" s="2197" t="str">
        <f>IF($G1631=0,"",IFERROR(_xll.ciqfunctions.udf.CIQ($G1631,$I1631,N$1557,Valuation_Date_GC,ReportType,DataMode,$H1631,FXMode)*Scale+N1602*Pension10,"n/a"))</f>
        <v/>
      </c>
      <c r="O1631" s="2197" t="str">
        <f>IF($G1631=0,"",IFERROR(_xll.ciqfunctions.udf.CIQ($G1631,$I1631,O$1557,Valuation_Date_GC,ReportType,DataMode,$H1631,FXMode)*Scale+O1602*Pension10,"n/a"))</f>
        <v/>
      </c>
      <c r="P1631" s="2197" t="str">
        <f>IF($G1631=0,"",IFERROR(_xll.ciqfunctions.udf.CIQ($G1631,$I1631,P$1557,Valuation_Date_GC,ReportType,DataMode,$H1631,FXMode)*Scale+P1602*Pension10,"n/a"))</f>
        <v/>
      </c>
      <c r="Q1631" s="2197" t="str">
        <f>IF($G1631=0,"",IFERROR(_xll.ciqfunctions.udf.CIQ($G1631,$I1631,Q$1557,Valuation_Date_GC,ReportType,DataMode,$H1631,FXMode)*Scale+Q1602*Pension10,"n/a"))</f>
        <v/>
      </c>
      <c r="R1631" s="2197" t="str">
        <f>IF($G1631=0,"",IFERROR(_xll.ciqfunctions.udf.CIQ($G1631,$I1631,R$1557,Valuation_Date_GC,ReportType,DataMode,$H1631,FXMode)*Scale+R1602*Pension10,"n/a"))</f>
        <v/>
      </c>
      <c r="S1631" s="2197" t="str">
        <f>IF($G1631=0,"",IFERROR(_xll.ciqfunctions.udf.CIQ($G1631,$I1631,S$1557,Valuation_Date_GC,ReportType,DataMode,$H1631,FXMode)*Scale+S1602*Pension10,"n/a"))</f>
        <v/>
      </c>
      <c r="T1631" s="2197" t="str">
        <f>IF($G1631=0,"",IFERROR(_xll.ciqfunctions.udf.CIQ($G1631,$I1631,T$1557,Valuation_Date_GC,ReportType,DataMode,$H1631,FXMode)*Scale+T1602*Pension10,"n/a"))</f>
        <v/>
      </c>
      <c r="U1631" s="2197" t="str">
        <f>IF($G1631=0,"",IFERROR(_xll.ciqfunctions.udf.CIQ($G1631,$I1631,U$1557,Valuation_Date_GC,ReportType,DataMode,$H1631,FXMode)*Scale+U1602*Pension10,"n/a"))</f>
        <v/>
      </c>
      <c r="V1631" s="2197" t="str">
        <f>IF($G1631=0,"",IFERROR(_xll.ciqfunctions.udf.CIQ($G1631,$I1631,V$1557,Valuation_Date_GC,ReportType,DataMode,$H1631,FXMode)*Scale+V1602*Pension10,"n/a"))</f>
        <v/>
      </c>
      <c r="W1631" s="1479"/>
      <c r="X1631" s="255"/>
      <c r="Y1631" s="255"/>
      <c r="Z1631" s="2060"/>
      <c r="AA1631" s="2060"/>
      <c r="AB1631" s="2060"/>
      <c r="AC1631" s="2060"/>
      <c r="AD1631" s="2060"/>
      <c r="AE1631" s="2060"/>
      <c r="AF1631" s="2060"/>
      <c r="AG1631" s="2060"/>
      <c r="AH1631" s="2060"/>
      <c r="AI1631" s="2060"/>
      <c r="AJ1631" s="2060"/>
      <c r="AK1631" s="2060"/>
      <c r="AL1631" s="2060"/>
      <c r="AM1631" s="2060"/>
      <c r="AN1631" s="2060"/>
      <c r="AO1631" s="2060"/>
      <c r="AP1631" s="2060"/>
      <c r="AQ1631" s="2060"/>
      <c r="AR1631" s="2060"/>
      <c r="AS1631" s="2060"/>
      <c r="AT1631" s="2060"/>
      <c r="AU1631" s="2060"/>
      <c r="AV1631" s="2060"/>
      <c r="AW1631" s="2060"/>
      <c r="AX1631" s="2060"/>
      <c r="AY1631" s="2060"/>
      <c r="AZ1631" s="2060"/>
      <c r="BA1631" s="2060"/>
      <c r="BB1631" s="2060"/>
      <c r="BC1631" s="2060"/>
      <c r="BD1631" s="2060"/>
      <c r="BE1631" s="2060"/>
      <c r="BF1631" s="2060"/>
      <c r="BG1631" s="2060"/>
      <c r="BH1631" s="2060"/>
      <c r="BI1631" s="2060"/>
      <c r="BJ1631" s="2060"/>
      <c r="BK1631" s="2060"/>
      <c r="BL1631" s="2060"/>
      <c r="BM1631" s="2060"/>
      <c r="BN1631" s="2060"/>
      <c r="BO1631" s="2060"/>
      <c r="BP1631" s="2060"/>
      <c r="BQ1631" s="2060"/>
      <c r="BR1631" s="2060"/>
      <c r="BS1631" s="2060"/>
      <c r="BT1631" s="2060"/>
      <c r="BU1631" s="2060"/>
      <c r="BV1631" s="2060"/>
      <c r="BW1631" s="2060"/>
      <c r="BX1631" s="2060"/>
      <c r="BY1631" s="2060"/>
      <c r="BZ1631" s="2060"/>
      <c r="CA1631" s="2060"/>
      <c r="CB1631" s="2060"/>
      <c r="CC1631" s="2060"/>
      <c r="CD1631" s="2060"/>
      <c r="CE1631" s="2060"/>
      <c r="CF1631" s="2060"/>
      <c r="CG1631" s="2060"/>
      <c r="CH1631" s="2060"/>
      <c r="CI1631" s="2060"/>
      <c r="CJ1631" s="2060"/>
      <c r="CK1631" s="2060"/>
      <c r="CL1631" s="2060"/>
      <c r="CM1631" s="2060"/>
      <c r="CN1631" s="2060"/>
      <c r="CO1631" s="2060"/>
      <c r="CP1631" s="2060"/>
      <c r="CQ1631" s="2060"/>
      <c r="CR1631" s="2060"/>
      <c r="CS1631" s="2060"/>
      <c r="CT1631" s="2060"/>
      <c r="CU1631" s="2060"/>
      <c r="CV1631" s="2060"/>
      <c r="CW1631" s="2060"/>
      <c r="CX1631" s="2060"/>
      <c r="CY1631" s="2060"/>
      <c r="CZ1631" s="2060"/>
      <c r="DA1631" s="2060"/>
      <c r="DB1631" s="2060"/>
      <c r="DC1631" s="2060"/>
      <c r="DD1631" s="2060"/>
      <c r="DE1631" s="2060"/>
      <c r="DF1631" s="2060"/>
      <c r="DG1631" s="2060"/>
      <c r="DH1631" s="2060"/>
      <c r="DI1631" s="2060"/>
      <c r="DJ1631" s="2060"/>
      <c r="DK1631" s="2060"/>
      <c r="DL1631" s="2060"/>
      <c r="DM1631" s="2060"/>
      <c r="DN1631" s="2060"/>
      <c r="DO1631" s="2060"/>
      <c r="DP1631" s="2060"/>
      <c r="DQ1631" s="2060"/>
      <c r="DR1631" s="2060"/>
      <c r="DS1631" s="2060"/>
      <c r="DT1631" s="2060"/>
      <c r="DU1631" s="2060"/>
      <c r="DV1631" s="2060"/>
      <c r="DW1631" s="2060"/>
      <c r="DX1631" s="2060"/>
      <c r="DY1631" s="2060"/>
      <c r="DZ1631" s="2060"/>
      <c r="EA1631" s="2060"/>
      <c r="EB1631" s="2060"/>
      <c r="EC1631" s="2060"/>
      <c r="ED1631" s="2060"/>
      <c r="EE1631" s="2060"/>
      <c r="EF1631" s="2060"/>
      <c r="EG1631" s="2060"/>
      <c r="EH1631" s="2060"/>
      <c r="EI1631" s="2060"/>
      <c r="EJ1631" s="2060"/>
      <c r="EK1631" s="2060"/>
      <c r="EL1631" s="2060"/>
      <c r="EM1631" s="2060"/>
      <c r="EN1631" s="2060"/>
      <c r="EO1631" s="2060"/>
      <c r="EP1631" s="2060"/>
      <c r="EQ1631" s="2060"/>
      <c r="ER1631" s="2060"/>
      <c r="ES1631" s="2060"/>
      <c r="ET1631" s="2060"/>
      <c r="EU1631" s="2060"/>
      <c r="EV1631" s="2060"/>
      <c r="EW1631" s="2060"/>
      <c r="EX1631" s="2060"/>
      <c r="EY1631" s="2060"/>
      <c r="EZ1631" s="2060"/>
      <c r="FA1631" s="2060"/>
      <c r="FB1631" s="2060"/>
      <c r="FC1631" s="2060"/>
      <c r="FD1631" s="2060"/>
      <c r="FE1631" s="2060"/>
      <c r="FF1631" s="2060"/>
      <c r="FG1631" s="2060"/>
      <c r="FH1631" s="2060"/>
      <c r="FI1631" s="2060"/>
      <c r="FJ1631" s="2060"/>
      <c r="FK1631" s="2060"/>
      <c r="FL1631" s="2060"/>
      <c r="FM1631" s="2060"/>
      <c r="FN1631" s="2060"/>
      <c r="FO1631" s="2060"/>
      <c r="FP1631" s="2060"/>
      <c r="FQ1631" s="2060"/>
      <c r="FR1631" s="2060"/>
      <c r="FS1631" s="2060"/>
      <c r="FT1631" s="2060"/>
      <c r="FU1631" s="2060"/>
      <c r="FV1631" s="2060"/>
      <c r="FW1631" s="2060"/>
      <c r="FX1631" s="2060"/>
      <c r="FY1631" s="2060"/>
      <c r="FZ1631" s="2060"/>
      <c r="GA1631" s="2060"/>
      <c r="GB1631" s="2060"/>
      <c r="GC1631" s="2060"/>
      <c r="GD1631" s="2060"/>
      <c r="GE1631" s="2060"/>
      <c r="GF1631" s="2060"/>
      <c r="GG1631" s="2060"/>
      <c r="GH1631" s="2060"/>
      <c r="GI1631" s="2060"/>
      <c r="GJ1631" s="2060"/>
      <c r="GK1631" s="2060"/>
      <c r="GL1631" s="2060"/>
      <c r="GM1631" s="2060"/>
      <c r="GN1631" s="2060"/>
      <c r="GO1631" s="2060"/>
      <c r="GP1631" s="2060"/>
      <c r="GQ1631" s="2060"/>
      <c r="GR1631" s="2060"/>
      <c r="GS1631" s="2060"/>
      <c r="GT1631" s="2060"/>
      <c r="GU1631" s="2060"/>
      <c r="GV1631" s="2060"/>
      <c r="GW1631" s="2060"/>
      <c r="GX1631" s="2060"/>
      <c r="GY1631" s="2060"/>
      <c r="GZ1631" s="2060"/>
      <c r="HA1631" s="2060"/>
      <c r="HB1631" s="2060"/>
      <c r="HC1631" s="2060"/>
      <c r="HD1631" s="2060"/>
      <c r="HE1631" s="2060"/>
      <c r="HF1631" s="2060"/>
      <c r="HG1631" s="2060"/>
      <c r="HH1631" s="2060"/>
      <c r="HI1631" s="2060"/>
      <c r="HJ1631" s="2060"/>
      <c r="HK1631" s="2060"/>
      <c r="HL1631" s="2060"/>
      <c r="HM1631" s="2060"/>
      <c r="HN1631" s="2060"/>
      <c r="HO1631" s="2060"/>
      <c r="HP1631" s="2060"/>
      <c r="HQ1631" s="2060"/>
      <c r="HR1631" s="2060"/>
      <c r="HS1631" s="2060"/>
      <c r="HT1631" s="2060"/>
      <c r="HU1631" s="2060"/>
      <c r="HV1631" s="2060"/>
      <c r="HW1631" s="2060"/>
      <c r="HX1631" s="2060"/>
      <c r="HY1631" s="2060"/>
      <c r="HZ1631" s="2060"/>
      <c r="IA1631" s="2060"/>
      <c r="IB1631" s="2060"/>
      <c r="IC1631" s="2060"/>
      <c r="ID1631" s="2060"/>
      <c r="IE1631" s="2060"/>
      <c r="IF1631" s="2060"/>
      <c r="IG1631" s="2060"/>
      <c r="IH1631" s="2060"/>
      <c r="II1631" s="2060"/>
      <c r="IJ1631" s="2060"/>
      <c r="IK1631" s="2060"/>
      <c r="IL1631" s="2060"/>
      <c r="IM1631" s="2060"/>
      <c r="IN1631" s="2060"/>
      <c r="IO1631" s="2060"/>
      <c r="IP1631" s="2060"/>
      <c r="IQ1631" s="2060"/>
      <c r="IR1631" s="2060"/>
      <c r="IS1631" s="2060"/>
      <c r="IT1631" s="2060"/>
      <c r="IU1631" s="2060"/>
      <c r="IV1631" s="2060"/>
      <c r="IW1631" s="2060"/>
      <c r="IX1631" s="2060"/>
      <c r="IY1631" s="2060"/>
      <c r="IZ1631" s="2060"/>
      <c r="JA1631" s="2060"/>
      <c r="JB1631" s="2060"/>
      <c r="JC1631" s="2060"/>
      <c r="JD1631" s="2060"/>
      <c r="JE1631" s="2060"/>
      <c r="JF1631" s="2060"/>
      <c r="JG1631" s="2060"/>
      <c r="JH1631" s="2060"/>
      <c r="JI1631" s="2060"/>
      <c r="JJ1631" s="2060"/>
      <c r="JK1631" s="2060"/>
      <c r="JL1631" s="2060"/>
      <c r="JM1631" s="2060"/>
      <c r="JN1631" s="2060"/>
      <c r="JO1631" s="2060"/>
      <c r="JP1631" s="2060"/>
      <c r="JQ1631" s="2060"/>
      <c r="JR1631" s="2060"/>
      <c r="JS1631" s="2060"/>
      <c r="JT1631" s="2060"/>
      <c r="JU1631" s="2060"/>
      <c r="JV1631" s="2060"/>
      <c r="JW1631" s="2060"/>
      <c r="JX1631" s="2060"/>
      <c r="JY1631" s="2060"/>
      <c r="JZ1631" s="2060"/>
      <c r="KA1631" s="2060"/>
      <c r="KB1631" s="2060"/>
      <c r="KC1631" s="2060"/>
      <c r="KD1631" s="2060"/>
      <c r="KE1631" s="2060"/>
      <c r="KF1631" s="2060"/>
      <c r="KG1631" s="2060"/>
      <c r="KH1631" s="2060"/>
      <c r="KI1631" s="2060"/>
      <c r="KJ1631" s="2060"/>
      <c r="KK1631" s="2060"/>
      <c r="KL1631" s="2060"/>
      <c r="KM1631" s="2060"/>
      <c r="KN1631" s="2060"/>
      <c r="KO1631" s="2060"/>
      <c r="KP1631" s="2060"/>
      <c r="KQ1631" s="2060"/>
      <c r="KR1631" s="2060"/>
      <c r="KS1631" s="2060"/>
      <c r="KT1631" s="2060"/>
      <c r="KU1631" s="2060"/>
      <c r="KV1631" s="2060"/>
      <c r="KW1631" s="2060"/>
      <c r="KX1631" s="2060"/>
      <c r="KY1631" s="2060"/>
      <c r="KZ1631" s="2060"/>
      <c r="LA1631" s="2060"/>
      <c r="LB1631" s="2060"/>
      <c r="LC1631" s="2060"/>
      <c r="LD1631" s="2060"/>
      <c r="LE1631" s="2060"/>
      <c r="LF1631" s="2060"/>
      <c r="LG1631" s="2060"/>
      <c r="LH1631" s="2060"/>
    </row>
    <row r="1632" spans="1:320" s="1499" customFormat="1" ht="13.9">
      <c r="A1632" s="269" t="str">
        <f t="shared" si="441"/>
        <v>n</v>
      </c>
      <c r="B1632" s="2060"/>
      <c r="C1632" s="2060"/>
      <c r="D1632" s="2060"/>
      <c r="E1632" s="1661">
        <v>16</v>
      </c>
      <c r="F1632" s="1353" t="str">
        <f>F$144</f>
        <v>--</v>
      </c>
      <c r="G1632" s="128">
        <f>G$144</f>
        <v>0</v>
      </c>
      <c r="H1632" s="128" t="str">
        <f>H$144</f>
        <v>--</v>
      </c>
      <c r="I1632" s="89" t="s">
        <v>783</v>
      </c>
      <c r="J1632" s="2197" t="str">
        <f>IF($G1632=0,"",IFERROR(_xll.ciqfunctions.udf.CIQ($G1632,$I1632,J$1557,Valuation_Date_GC,ReportType,DataMode,$H1632,FXMode)*Scale+J1603*Pension10,"n/a"))</f>
        <v/>
      </c>
      <c r="K1632" s="2197" t="str">
        <f>IF($G1632=0,"",IFERROR(_xll.ciqfunctions.udf.CIQ($G1632,$I1632,K$1557,Valuation_Date_GC,ReportType,DataMode,$H1632,FXMode)*Scale+K1603*Pension10,"n/a"))</f>
        <v/>
      </c>
      <c r="L1632" s="2197" t="str">
        <f>IF($G1632=0,"",IFERROR(_xll.ciqfunctions.udf.CIQ($G1632,$I1632,L$1557,Valuation_Date_GC,ReportType,DataMode,$H1632,FXMode)*Scale+L1603*Pension10,"n/a"))</f>
        <v/>
      </c>
      <c r="M1632" s="2197" t="str">
        <f>IF($G1632=0,"",IFERROR(_xll.ciqfunctions.udf.CIQ($G1632,$I1632,M$1557,Valuation_Date_GC,ReportType,DataMode,$H1632,FXMode)*Scale+M1603*Pension10,"n/a"))</f>
        <v/>
      </c>
      <c r="N1632" s="2197" t="str">
        <f>IF($G1632=0,"",IFERROR(_xll.ciqfunctions.udf.CIQ($G1632,$I1632,N$1557,Valuation_Date_GC,ReportType,DataMode,$H1632,FXMode)*Scale+N1603*Pension10,"n/a"))</f>
        <v/>
      </c>
      <c r="O1632" s="2197" t="str">
        <f>IF($G1632=0,"",IFERROR(_xll.ciqfunctions.udf.CIQ($G1632,$I1632,O$1557,Valuation_Date_GC,ReportType,DataMode,$H1632,FXMode)*Scale+O1603*Pension10,"n/a"))</f>
        <v/>
      </c>
      <c r="P1632" s="2197" t="str">
        <f>IF($G1632=0,"",IFERROR(_xll.ciqfunctions.udf.CIQ($G1632,$I1632,P$1557,Valuation_Date_GC,ReportType,DataMode,$H1632,FXMode)*Scale+P1603*Pension10,"n/a"))</f>
        <v/>
      </c>
      <c r="Q1632" s="2197" t="str">
        <f>IF($G1632=0,"",IFERROR(_xll.ciqfunctions.udf.CIQ($G1632,$I1632,Q$1557,Valuation_Date_GC,ReportType,DataMode,$H1632,FXMode)*Scale+Q1603*Pension10,"n/a"))</f>
        <v/>
      </c>
      <c r="R1632" s="2197" t="str">
        <f>IF($G1632=0,"",IFERROR(_xll.ciqfunctions.udf.CIQ($G1632,$I1632,R$1557,Valuation_Date_GC,ReportType,DataMode,$H1632,FXMode)*Scale+R1603*Pension10,"n/a"))</f>
        <v/>
      </c>
      <c r="S1632" s="2197" t="str">
        <f>IF($G1632=0,"",IFERROR(_xll.ciqfunctions.udf.CIQ($G1632,$I1632,S$1557,Valuation_Date_GC,ReportType,DataMode,$H1632,FXMode)*Scale+S1603*Pension10,"n/a"))</f>
        <v/>
      </c>
      <c r="T1632" s="2197" t="str">
        <f>IF($G1632=0,"",IFERROR(_xll.ciqfunctions.udf.CIQ($G1632,$I1632,T$1557,Valuation_Date_GC,ReportType,DataMode,$H1632,FXMode)*Scale+T1603*Pension10,"n/a"))</f>
        <v/>
      </c>
      <c r="U1632" s="2197" t="str">
        <f>IF($G1632=0,"",IFERROR(_xll.ciqfunctions.udf.CIQ($G1632,$I1632,U$1557,Valuation_Date_GC,ReportType,DataMode,$H1632,FXMode)*Scale+U1603*Pension10,"n/a"))</f>
        <v/>
      </c>
      <c r="V1632" s="2197" t="str">
        <f>IF($G1632=0,"",IFERROR(_xll.ciqfunctions.udf.CIQ($G1632,$I1632,V$1557,Valuation_Date_GC,ReportType,DataMode,$H1632,FXMode)*Scale+V1603*Pension10,"n/a"))</f>
        <v/>
      </c>
      <c r="W1632" s="1479"/>
      <c r="X1632" s="255"/>
      <c r="Y1632" s="255"/>
      <c r="Z1632" s="2060"/>
      <c r="AA1632" s="2060"/>
      <c r="AB1632" s="2060"/>
      <c r="AC1632" s="2060"/>
      <c r="AD1632" s="2060"/>
      <c r="AE1632" s="2060"/>
      <c r="AF1632" s="2060"/>
      <c r="AG1632" s="2060"/>
      <c r="AH1632" s="2060"/>
      <c r="AI1632" s="2060"/>
      <c r="AJ1632" s="2060"/>
      <c r="AK1632" s="2060"/>
      <c r="AL1632" s="2060"/>
      <c r="AM1632" s="2060"/>
      <c r="AN1632" s="2060"/>
      <c r="AO1632" s="2060"/>
      <c r="AP1632" s="2060"/>
      <c r="AQ1632" s="2060"/>
      <c r="AR1632" s="2060"/>
      <c r="AS1632" s="2060"/>
      <c r="AT1632" s="2060"/>
      <c r="AU1632" s="2060"/>
      <c r="AV1632" s="2060"/>
      <c r="AW1632" s="2060"/>
      <c r="AX1632" s="2060"/>
      <c r="AY1632" s="2060"/>
      <c r="AZ1632" s="2060"/>
      <c r="BA1632" s="2060"/>
      <c r="BB1632" s="2060"/>
      <c r="BC1632" s="2060"/>
      <c r="BD1632" s="2060"/>
      <c r="BE1632" s="2060"/>
      <c r="BF1632" s="2060"/>
      <c r="BG1632" s="2060"/>
      <c r="BH1632" s="2060"/>
      <c r="BI1632" s="2060"/>
      <c r="BJ1632" s="2060"/>
      <c r="BK1632" s="2060"/>
      <c r="BL1632" s="2060"/>
      <c r="BM1632" s="2060"/>
      <c r="BN1632" s="2060"/>
      <c r="BO1632" s="2060"/>
      <c r="BP1632" s="2060"/>
      <c r="BQ1632" s="2060"/>
      <c r="BR1632" s="2060"/>
      <c r="BS1632" s="2060"/>
      <c r="BT1632" s="2060"/>
      <c r="BU1632" s="2060"/>
      <c r="BV1632" s="2060"/>
      <c r="BW1632" s="2060"/>
      <c r="BX1632" s="2060"/>
      <c r="BY1632" s="2060"/>
      <c r="BZ1632" s="2060"/>
      <c r="CA1632" s="2060"/>
      <c r="CB1632" s="2060"/>
      <c r="CC1632" s="2060"/>
      <c r="CD1632" s="2060"/>
      <c r="CE1632" s="2060"/>
      <c r="CF1632" s="2060"/>
      <c r="CG1632" s="2060"/>
      <c r="CH1632" s="2060"/>
      <c r="CI1632" s="2060"/>
      <c r="CJ1632" s="2060"/>
      <c r="CK1632" s="2060"/>
      <c r="CL1632" s="2060"/>
      <c r="CM1632" s="2060"/>
      <c r="CN1632" s="2060"/>
      <c r="CO1632" s="2060"/>
      <c r="CP1632" s="2060"/>
      <c r="CQ1632" s="2060"/>
      <c r="CR1632" s="2060"/>
      <c r="CS1632" s="2060"/>
      <c r="CT1632" s="2060"/>
      <c r="CU1632" s="2060"/>
      <c r="CV1632" s="2060"/>
      <c r="CW1632" s="2060"/>
      <c r="CX1632" s="2060"/>
      <c r="CY1632" s="2060"/>
      <c r="CZ1632" s="2060"/>
      <c r="DA1632" s="2060"/>
      <c r="DB1632" s="2060"/>
      <c r="DC1632" s="2060"/>
      <c r="DD1632" s="2060"/>
      <c r="DE1632" s="2060"/>
      <c r="DF1632" s="2060"/>
      <c r="DG1632" s="2060"/>
      <c r="DH1632" s="2060"/>
      <c r="DI1632" s="2060"/>
      <c r="DJ1632" s="2060"/>
      <c r="DK1632" s="2060"/>
      <c r="DL1632" s="2060"/>
      <c r="DM1632" s="2060"/>
      <c r="DN1632" s="2060"/>
      <c r="DO1632" s="2060"/>
      <c r="DP1632" s="2060"/>
      <c r="DQ1632" s="2060"/>
      <c r="DR1632" s="2060"/>
      <c r="DS1632" s="2060"/>
      <c r="DT1632" s="2060"/>
      <c r="DU1632" s="2060"/>
      <c r="DV1632" s="2060"/>
      <c r="DW1632" s="2060"/>
      <c r="DX1632" s="2060"/>
      <c r="DY1632" s="2060"/>
      <c r="DZ1632" s="2060"/>
      <c r="EA1632" s="2060"/>
      <c r="EB1632" s="2060"/>
      <c r="EC1632" s="2060"/>
      <c r="ED1632" s="2060"/>
      <c r="EE1632" s="2060"/>
      <c r="EF1632" s="2060"/>
      <c r="EG1632" s="2060"/>
      <c r="EH1632" s="2060"/>
      <c r="EI1632" s="2060"/>
      <c r="EJ1632" s="2060"/>
      <c r="EK1632" s="2060"/>
      <c r="EL1632" s="2060"/>
      <c r="EM1632" s="2060"/>
      <c r="EN1632" s="2060"/>
      <c r="EO1632" s="2060"/>
      <c r="EP1632" s="2060"/>
      <c r="EQ1632" s="2060"/>
      <c r="ER1632" s="2060"/>
      <c r="ES1632" s="2060"/>
      <c r="ET1632" s="2060"/>
      <c r="EU1632" s="2060"/>
      <c r="EV1632" s="2060"/>
      <c r="EW1632" s="2060"/>
      <c r="EX1632" s="2060"/>
      <c r="EY1632" s="2060"/>
      <c r="EZ1632" s="2060"/>
      <c r="FA1632" s="2060"/>
      <c r="FB1632" s="2060"/>
      <c r="FC1632" s="2060"/>
      <c r="FD1632" s="2060"/>
      <c r="FE1632" s="2060"/>
      <c r="FF1632" s="2060"/>
      <c r="FG1632" s="2060"/>
      <c r="FH1632" s="2060"/>
      <c r="FI1632" s="2060"/>
      <c r="FJ1632" s="2060"/>
      <c r="FK1632" s="2060"/>
      <c r="FL1632" s="2060"/>
      <c r="FM1632" s="2060"/>
      <c r="FN1632" s="2060"/>
      <c r="FO1632" s="2060"/>
      <c r="FP1632" s="2060"/>
      <c r="FQ1632" s="2060"/>
      <c r="FR1632" s="2060"/>
      <c r="FS1632" s="2060"/>
      <c r="FT1632" s="2060"/>
      <c r="FU1632" s="2060"/>
      <c r="FV1632" s="2060"/>
      <c r="FW1632" s="2060"/>
      <c r="FX1632" s="2060"/>
      <c r="FY1632" s="2060"/>
      <c r="FZ1632" s="2060"/>
      <c r="GA1632" s="2060"/>
      <c r="GB1632" s="2060"/>
      <c r="GC1632" s="2060"/>
      <c r="GD1632" s="2060"/>
      <c r="GE1632" s="2060"/>
      <c r="GF1632" s="2060"/>
      <c r="GG1632" s="2060"/>
      <c r="GH1632" s="2060"/>
      <c r="GI1632" s="2060"/>
      <c r="GJ1632" s="2060"/>
      <c r="GK1632" s="2060"/>
      <c r="GL1632" s="2060"/>
      <c r="GM1632" s="2060"/>
      <c r="GN1632" s="2060"/>
      <c r="GO1632" s="2060"/>
      <c r="GP1632" s="2060"/>
      <c r="GQ1632" s="2060"/>
      <c r="GR1632" s="2060"/>
      <c r="GS1632" s="2060"/>
      <c r="GT1632" s="2060"/>
      <c r="GU1632" s="2060"/>
      <c r="GV1632" s="2060"/>
      <c r="GW1632" s="2060"/>
      <c r="GX1632" s="2060"/>
      <c r="GY1632" s="2060"/>
      <c r="GZ1632" s="2060"/>
      <c r="HA1632" s="2060"/>
      <c r="HB1632" s="2060"/>
      <c r="HC1632" s="2060"/>
      <c r="HD1632" s="2060"/>
      <c r="HE1632" s="2060"/>
      <c r="HF1632" s="2060"/>
      <c r="HG1632" s="2060"/>
      <c r="HH1632" s="2060"/>
      <c r="HI1632" s="2060"/>
      <c r="HJ1632" s="2060"/>
      <c r="HK1632" s="2060"/>
      <c r="HL1632" s="2060"/>
      <c r="HM1632" s="2060"/>
      <c r="HN1632" s="2060"/>
      <c r="HO1632" s="2060"/>
      <c r="HP1632" s="2060"/>
      <c r="HQ1632" s="2060"/>
      <c r="HR1632" s="2060"/>
      <c r="HS1632" s="2060"/>
      <c r="HT1632" s="2060"/>
      <c r="HU1632" s="2060"/>
      <c r="HV1632" s="2060"/>
      <c r="HW1632" s="2060"/>
      <c r="HX1632" s="2060"/>
      <c r="HY1632" s="2060"/>
      <c r="HZ1632" s="2060"/>
      <c r="IA1632" s="2060"/>
      <c r="IB1632" s="2060"/>
      <c r="IC1632" s="2060"/>
      <c r="ID1632" s="2060"/>
      <c r="IE1632" s="2060"/>
      <c r="IF1632" s="2060"/>
      <c r="IG1632" s="2060"/>
      <c r="IH1632" s="2060"/>
      <c r="II1632" s="2060"/>
      <c r="IJ1632" s="2060"/>
      <c r="IK1632" s="2060"/>
      <c r="IL1632" s="2060"/>
      <c r="IM1632" s="2060"/>
      <c r="IN1632" s="2060"/>
      <c r="IO1632" s="2060"/>
      <c r="IP1632" s="2060"/>
      <c r="IQ1632" s="2060"/>
      <c r="IR1632" s="2060"/>
      <c r="IS1632" s="2060"/>
      <c r="IT1632" s="2060"/>
      <c r="IU1632" s="2060"/>
      <c r="IV1632" s="2060"/>
      <c r="IW1632" s="2060"/>
      <c r="IX1632" s="2060"/>
      <c r="IY1632" s="2060"/>
      <c r="IZ1632" s="2060"/>
      <c r="JA1632" s="2060"/>
      <c r="JB1632" s="2060"/>
      <c r="JC1632" s="2060"/>
      <c r="JD1632" s="2060"/>
      <c r="JE1632" s="2060"/>
      <c r="JF1632" s="2060"/>
      <c r="JG1632" s="2060"/>
      <c r="JH1632" s="2060"/>
      <c r="JI1632" s="2060"/>
      <c r="JJ1632" s="2060"/>
      <c r="JK1632" s="2060"/>
      <c r="JL1632" s="2060"/>
      <c r="JM1632" s="2060"/>
      <c r="JN1632" s="2060"/>
      <c r="JO1632" s="2060"/>
      <c r="JP1632" s="2060"/>
      <c r="JQ1632" s="2060"/>
      <c r="JR1632" s="2060"/>
      <c r="JS1632" s="2060"/>
      <c r="JT1632" s="2060"/>
      <c r="JU1632" s="2060"/>
      <c r="JV1632" s="2060"/>
      <c r="JW1632" s="2060"/>
      <c r="JX1632" s="2060"/>
      <c r="JY1632" s="2060"/>
      <c r="JZ1632" s="2060"/>
      <c r="KA1632" s="2060"/>
      <c r="KB1632" s="2060"/>
      <c r="KC1632" s="2060"/>
      <c r="KD1632" s="2060"/>
      <c r="KE1632" s="2060"/>
      <c r="KF1632" s="2060"/>
      <c r="KG1632" s="2060"/>
      <c r="KH1632" s="2060"/>
      <c r="KI1632" s="2060"/>
      <c r="KJ1632" s="2060"/>
      <c r="KK1632" s="2060"/>
      <c r="KL1632" s="2060"/>
      <c r="KM1632" s="2060"/>
      <c r="KN1632" s="2060"/>
      <c r="KO1632" s="2060"/>
      <c r="KP1632" s="2060"/>
      <c r="KQ1632" s="2060"/>
      <c r="KR1632" s="2060"/>
      <c r="KS1632" s="2060"/>
      <c r="KT1632" s="2060"/>
      <c r="KU1632" s="2060"/>
      <c r="KV1632" s="2060"/>
      <c r="KW1632" s="2060"/>
      <c r="KX1632" s="2060"/>
      <c r="KY1632" s="2060"/>
      <c r="KZ1632" s="2060"/>
      <c r="LA1632" s="2060"/>
      <c r="LB1632" s="2060"/>
      <c r="LC1632" s="2060"/>
      <c r="LD1632" s="2060"/>
      <c r="LE1632" s="2060"/>
      <c r="LF1632" s="2060"/>
      <c r="LG1632" s="2060"/>
      <c r="LH1632" s="2060"/>
    </row>
    <row r="1633" spans="1:320" s="1499" customFormat="1" ht="13.9">
      <c r="A1633" s="269" t="str">
        <f t="shared" si="441"/>
        <v>n</v>
      </c>
      <c r="B1633" s="2060"/>
      <c r="C1633" s="2060"/>
      <c r="D1633" s="2060"/>
      <c r="E1633" s="1661">
        <v>17</v>
      </c>
      <c r="F1633" s="1353" t="str">
        <f>F$145</f>
        <v>--</v>
      </c>
      <c r="G1633" s="128">
        <f>G$145</f>
        <v>0</v>
      </c>
      <c r="H1633" s="128" t="str">
        <f>H$145</f>
        <v>--</v>
      </c>
      <c r="I1633" s="89" t="s">
        <v>783</v>
      </c>
      <c r="J1633" s="2197" t="str">
        <f>IF($G1633=0,"",IFERROR(_xll.ciqfunctions.udf.CIQ($G1633,$I1633,J$1557,Valuation_Date_GC,ReportType,DataMode,$H1633,FXMode)*Scale+J1604*Pension10,"n/a"))</f>
        <v/>
      </c>
      <c r="K1633" s="2197" t="str">
        <f>IF($G1633=0,"",IFERROR(_xll.ciqfunctions.udf.CIQ($G1633,$I1633,K$1557,Valuation_Date_GC,ReportType,DataMode,$H1633,FXMode)*Scale+K1604*Pension10,"n/a"))</f>
        <v/>
      </c>
      <c r="L1633" s="2197" t="str">
        <f>IF($G1633=0,"",IFERROR(_xll.ciqfunctions.udf.CIQ($G1633,$I1633,L$1557,Valuation_Date_GC,ReportType,DataMode,$H1633,FXMode)*Scale+L1604*Pension10,"n/a"))</f>
        <v/>
      </c>
      <c r="M1633" s="2197" t="str">
        <f>IF($G1633=0,"",IFERROR(_xll.ciqfunctions.udf.CIQ($G1633,$I1633,M$1557,Valuation_Date_GC,ReportType,DataMode,$H1633,FXMode)*Scale+M1604*Pension10,"n/a"))</f>
        <v/>
      </c>
      <c r="N1633" s="2197" t="str">
        <f>IF($G1633=0,"",IFERROR(_xll.ciqfunctions.udf.CIQ($G1633,$I1633,N$1557,Valuation_Date_GC,ReportType,DataMode,$H1633,FXMode)*Scale+N1604*Pension10,"n/a"))</f>
        <v/>
      </c>
      <c r="O1633" s="2197" t="str">
        <f>IF($G1633=0,"",IFERROR(_xll.ciqfunctions.udf.CIQ($G1633,$I1633,O$1557,Valuation_Date_GC,ReportType,DataMode,$H1633,FXMode)*Scale+O1604*Pension10,"n/a"))</f>
        <v/>
      </c>
      <c r="P1633" s="2197" t="str">
        <f>IF($G1633=0,"",IFERROR(_xll.ciqfunctions.udf.CIQ($G1633,$I1633,P$1557,Valuation_Date_GC,ReportType,DataMode,$H1633,FXMode)*Scale+P1604*Pension10,"n/a"))</f>
        <v/>
      </c>
      <c r="Q1633" s="2197" t="str">
        <f>IF($G1633=0,"",IFERROR(_xll.ciqfunctions.udf.CIQ($G1633,$I1633,Q$1557,Valuation_Date_GC,ReportType,DataMode,$H1633,FXMode)*Scale+Q1604*Pension10,"n/a"))</f>
        <v/>
      </c>
      <c r="R1633" s="2197" t="str">
        <f>IF($G1633=0,"",IFERROR(_xll.ciqfunctions.udf.CIQ($G1633,$I1633,R$1557,Valuation_Date_GC,ReportType,DataMode,$H1633,FXMode)*Scale+R1604*Pension10,"n/a"))</f>
        <v/>
      </c>
      <c r="S1633" s="2197" t="str">
        <f>IF($G1633=0,"",IFERROR(_xll.ciqfunctions.udf.CIQ($G1633,$I1633,S$1557,Valuation_Date_GC,ReportType,DataMode,$H1633,FXMode)*Scale+S1604*Pension10,"n/a"))</f>
        <v/>
      </c>
      <c r="T1633" s="2197" t="str">
        <f>IF($G1633=0,"",IFERROR(_xll.ciqfunctions.udf.CIQ($G1633,$I1633,T$1557,Valuation_Date_GC,ReportType,DataMode,$H1633,FXMode)*Scale+T1604*Pension10,"n/a"))</f>
        <v/>
      </c>
      <c r="U1633" s="2197" t="str">
        <f>IF($G1633=0,"",IFERROR(_xll.ciqfunctions.udf.CIQ($G1633,$I1633,U$1557,Valuation_Date_GC,ReportType,DataMode,$H1633,FXMode)*Scale+U1604*Pension10,"n/a"))</f>
        <v/>
      </c>
      <c r="V1633" s="2197" t="str">
        <f>IF($G1633=0,"",IFERROR(_xll.ciqfunctions.udf.CIQ($G1633,$I1633,V$1557,Valuation_Date_GC,ReportType,DataMode,$H1633,FXMode)*Scale+V1604*Pension10,"n/a"))</f>
        <v/>
      </c>
      <c r="W1633" s="1479"/>
      <c r="X1633" s="255"/>
      <c r="Y1633" s="255"/>
      <c r="Z1633" s="2060"/>
      <c r="AA1633" s="2060"/>
      <c r="AB1633" s="2060"/>
      <c r="AC1633" s="2060"/>
      <c r="AD1633" s="2060"/>
      <c r="AE1633" s="2060"/>
      <c r="AF1633" s="2060"/>
      <c r="AG1633" s="2060"/>
      <c r="AH1633" s="2060"/>
      <c r="AI1633" s="2060"/>
      <c r="AJ1633" s="2060"/>
      <c r="AK1633" s="2060"/>
      <c r="AL1633" s="2060"/>
      <c r="AM1633" s="2060"/>
      <c r="AN1633" s="2060"/>
      <c r="AO1633" s="2060"/>
      <c r="AP1633" s="2060"/>
      <c r="AQ1633" s="2060"/>
      <c r="AR1633" s="2060"/>
      <c r="AS1633" s="2060"/>
      <c r="AT1633" s="2060"/>
      <c r="AU1633" s="2060"/>
      <c r="AV1633" s="2060"/>
      <c r="AW1633" s="2060"/>
      <c r="AX1633" s="2060"/>
      <c r="AY1633" s="2060"/>
      <c r="AZ1633" s="2060"/>
      <c r="BA1633" s="2060"/>
      <c r="BB1633" s="2060"/>
      <c r="BC1633" s="2060"/>
      <c r="BD1633" s="2060"/>
      <c r="BE1633" s="2060"/>
      <c r="BF1633" s="2060"/>
      <c r="BG1633" s="2060"/>
      <c r="BH1633" s="2060"/>
      <c r="BI1633" s="2060"/>
      <c r="BJ1633" s="2060"/>
      <c r="BK1633" s="2060"/>
      <c r="BL1633" s="2060"/>
      <c r="BM1633" s="2060"/>
      <c r="BN1633" s="2060"/>
      <c r="BO1633" s="2060"/>
      <c r="BP1633" s="2060"/>
      <c r="BQ1633" s="2060"/>
      <c r="BR1633" s="2060"/>
      <c r="BS1633" s="2060"/>
      <c r="BT1633" s="2060"/>
      <c r="BU1633" s="2060"/>
      <c r="BV1633" s="2060"/>
      <c r="BW1633" s="2060"/>
      <c r="BX1633" s="2060"/>
      <c r="BY1633" s="2060"/>
      <c r="BZ1633" s="2060"/>
      <c r="CA1633" s="2060"/>
      <c r="CB1633" s="2060"/>
      <c r="CC1633" s="2060"/>
      <c r="CD1633" s="2060"/>
      <c r="CE1633" s="2060"/>
      <c r="CF1633" s="2060"/>
      <c r="CG1633" s="2060"/>
      <c r="CH1633" s="2060"/>
      <c r="CI1633" s="2060"/>
      <c r="CJ1633" s="2060"/>
      <c r="CK1633" s="2060"/>
      <c r="CL1633" s="2060"/>
      <c r="CM1633" s="2060"/>
      <c r="CN1633" s="2060"/>
      <c r="CO1633" s="2060"/>
      <c r="CP1633" s="2060"/>
      <c r="CQ1633" s="2060"/>
      <c r="CR1633" s="2060"/>
      <c r="CS1633" s="2060"/>
      <c r="CT1633" s="2060"/>
      <c r="CU1633" s="2060"/>
      <c r="CV1633" s="2060"/>
      <c r="CW1633" s="2060"/>
      <c r="CX1633" s="2060"/>
      <c r="CY1633" s="2060"/>
      <c r="CZ1633" s="2060"/>
      <c r="DA1633" s="2060"/>
      <c r="DB1633" s="2060"/>
      <c r="DC1633" s="2060"/>
      <c r="DD1633" s="2060"/>
      <c r="DE1633" s="2060"/>
      <c r="DF1633" s="2060"/>
      <c r="DG1633" s="2060"/>
      <c r="DH1633" s="2060"/>
      <c r="DI1633" s="2060"/>
      <c r="DJ1633" s="2060"/>
      <c r="DK1633" s="2060"/>
      <c r="DL1633" s="2060"/>
      <c r="DM1633" s="2060"/>
      <c r="DN1633" s="2060"/>
      <c r="DO1633" s="2060"/>
      <c r="DP1633" s="2060"/>
      <c r="DQ1633" s="2060"/>
      <c r="DR1633" s="2060"/>
      <c r="DS1633" s="2060"/>
      <c r="DT1633" s="2060"/>
      <c r="DU1633" s="2060"/>
      <c r="DV1633" s="2060"/>
      <c r="DW1633" s="2060"/>
      <c r="DX1633" s="2060"/>
      <c r="DY1633" s="2060"/>
      <c r="DZ1633" s="2060"/>
      <c r="EA1633" s="2060"/>
      <c r="EB1633" s="2060"/>
      <c r="EC1633" s="2060"/>
      <c r="ED1633" s="2060"/>
      <c r="EE1633" s="2060"/>
      <c r="EF1633" s="2060"/>
      <c r="EG1633" s="2060"/>
      <c r="EH1633" s="2060"/>
      <c r="EI1633" s="2060"/>
      <c r="EJ1633" s="2060"/>
      <c r="EK1633" s="2060"/>
      <c r="EL1633" s="2060"/>
      <c r="EM1633" s="2060"/>
      <c r="EN1633" s="2060"/>
      <c r="EO1633" s="2060"/>
      <c r="EP1633" s="2060"/>
      <c r="EQ1633" s="2060"/>
      <c r="ER1633" s="2060"/>
      <c r="ES1633" s="2060"/>
      <c r="ET1633" s="2060"/>
      <c r="EU1633" s="2060"/>
      <c r="EV1633" s="2060"/>
      <c r="EW1633" s="2060"/>
      <c r="EX1633" s="2060"/>
      <c r="EY1633" s="2060"/>
      <c r="EZ1633" s="2060"/>
      <c r="FA1633" s="2060"/>
      <c r="FB1633" s="2060"/>
      <c r="FC1633" s="2060"/>
      <c r="FD1633" s="2060"/>
      <c r="FE1633" s="2060"/>
      <c r="FF1633" s="2060"/>
      <c r="FG1633" s="2060"/>
      <c r="FH1633" s="2060"/>
      <c r="FI1633" s="2060"/>
      <c r="FJ1633" s="2060"/>
      <c r="FK1633" s="2060"/>
      <c r="FL1633" s="2060"/>
      <c r="FM1633" s="2060"/>
      <c r="FN1633" s="2060"/>
      <c r="FO1633" s="2060"/>
      <c r="FP1633" s="2060"/>
      <c r="FQ1633" s="2060"/>
      <c r="FR1633" s="2060"/>
      <c r="FS1633" s="2060"/>
      <c r="FT1633" s="2060"/>
      <c r="FU1633" s="2060"/>
      <c r="FV1633" s="2060"/>
      <c r="FW1633" s="2060"/>
      <c r="FX1633" s="2060"/>
      <c r="FY1633" s="2060"/>
      <c r="FZ1633" s="2060"/>
      <c r="GA1633" s="2060"/>
      <c r="GB1633" s="2060"/>
      <c r="GC1633" s="2060"/>
      <c r="GD1633" s="2060"/>
      <c r="GE1633" s="2060"/>
      <c r="GF1633" s="2060"/>
      <c r="GG1633" s="2060"/>
      <c r="GH1633" s="2060"/>
      <c r="GI1633" s="2060"/>
      <c r="GJ1633" s="2060"/>
      <c r="GK1633" s="2060"/>
      <c r="GL1633" s="2060"/>
      <c r="GM1633" s="2060"/>
      <c r="GN1633" s="2060"/>
      <c r="GO1633" s="2060"/>
      <c r="GP1633" s="2060"/>
      <c r="GQ1633" s="2060"/>
      <c r="GR1633" s="2060"/>
      <c r="GS1633" s="2060"/>
      <c r="GT1633" s="2060"/>
      <c r="GU1633" s="2060"/>
      <c r="GV1633" s="2060"/>
      <c r="GW1633" s="2060"/>
      <c r="GX1633" s="2060"/>
      <c r="GY1633" s="2060"/>
      <c r="GZ1633" s="2060"/>
      <c r="HA1633" s="2060"/>
      <c r="HB1633" s="2060"/>
      <c r="HC1633" s="2060"/>
      <c r="HD1633" s="2060"/>
      <c r="HE1633" s="2060"/>
      <c r="HF1633" s="2060"/>
      <c r="HG1633" s="2060"/>
      <c r="HH1633" s="2060"/>
      <c r="HI1633" s="2060"/>
      <c r="HJ1633" s="2060"/>
      <c r="HK1633" s="2060"/>
      <c r="HL1633" s="2060"/>
      <c r="HM1633" s="2060"/>
      <c r="HN1633" s="2060"/>
      <c r="HO1633" s="2060"/>
      <c r="HP1633" s="2060"/>
      <c r="HQ1633" s="2060"/>
      <c r="HR1633" s="2060"/>
      <c r="HS1633" s="2060"/>
      <c r="HT1633" s="2060"/>
      <c r="HU1633" s="2060"/>
      <c r="HV1633" s="2060"/>
      <c r="HW1633" s="2060"/>
      <c r="HX1633" s="2060"/>
      <c r="HY1633" s="2060"/>
      <c r="HZ1633" s="2060"/>
      <c r="IA1633" s="2060"/>
      <c r="IB1633" s="2060"/>
      <c r="IC1633" s="2060"/>
      <c r="ID1633" s="2060"/>
      <c r="IE1633" s="2060"/>
      <c r="IF1633" s="2060"/>
      <c r="IG1633" s="2060"/>
      <c r="IH1633" s="2060"/>
      <c r="II1633" s="2060"/>
      <c r="IJ1633" s="2060"/>
      <c r="IK1633" s="2060"/>
      <c r="IL1633" s="2060"/>
      <c r="IM1633" s="2060"/>
      <c r="IN1633" s="2060"/>
      <c r="IO1633" s="2060"/>
      <c r="IP1633" s="2060"/>
      <c r="IQ1633" s="2060"/>
      <c r="IR1633" s="2060"/>
      <c r="IS1633" s="2060"/>
      <c r="IT1633" s="2060"/>
      <c r="IU1633" s="2060"/>
      <c r="IV1633" s="2060"/>
      <c r="IW1633" s="2060"/>
      <c r="IX1633" s="2060"/>
      <c r="IY1633" s="2060"/>
      <c r="IZ1633" s="2060"/>
      <c r="JA1633" s="2060"/>
      <c r="JB1633" s="2060"/>
      <c r="JC1633" s="2060"/>
      <c r="JD1633" s="2060"/>
      <c r="JE1633" s="2060"/>
      <c r="JF1633" s="2060"/>
      <c r="JG1633" s="2060"/>
      <c r="JH1633" s="2060"/>
      <c r="JI1633" s="2060"/>
      <c r="JJ1633" s="2060"/>
      <c r="JK1633" s="2060"/>
      <c r="JL1633" s="2060"/>
      <c r="JM1633" s="2060"/>
      <c r="JN1633" s="2060"/>
      <c r="JO1633" s="2060"/>
      <c r="JP1633" s="2060"/>
      <c r="JQ1633" s="2060"/>
      <c r="JR1633" s="2060"/>
      <c r="JS1633" s="2060"/>
      <c r="JT1633" s="2060"/>
      <c r="JU1633" s="2060"/>
      <c r="JV1633" s="2060"/>
      <c r="JW1633" s="2060"/>
      <c r="JX1633" s="2060"/>
      <c r="JY1633" s="2060"/>
      <c r="JZ1633" s="2060"/>
      <c r="KA1633" s="2060"/>
      <c r="KB1633" s="2060"/>
      <c r="KC1633" s="2060"/>
      <c r="KD1633" s="2060"/>
      <c r="KE1633" s="2060"/>
      <c r="KF1633" s="2060"/>
      <c r="KG1633" s="2060"/>
      <c r="KH1633" s="2060"/>
      <c r="KI1633" s="2060"/>
      <c r="KJ1633" s="2060"/>
      <c r="KK1633" s="2060"/>
      <c r="KL1633" s="2060"/>
      <c r="KM1633" s="2060"/>
      <c r="KN1633" s="2060"/>
      <c r="KO1633" s="2060"/>
      <c r="KP1633" s="2060"/>
      <c r="KQ1633" s="2060"/>
      <c r="KR1633" s="2060"/>
      <c r="KS1633" s="2060"/>
      <c r="KT1633" s="2060"/>
      <c r="KU1633" s="2060"/>
      <c r="KV1633" s="2060"/>
      <c r="KW1633" s="2060"/>
      <c r="KX1633" s="2060"/>
      <c r="KY1633" s="2060"/>
      <c r="KZ1633" s="2060"/>
      <c r="LA1633" s="2060"/>
      <c r="LB1633" s="2060"/>
      <c r="LC1633" s="2060"/>
      <c r="LD1633" s="2060"/>
      <c r="LE1633" s="2060"/>
      <c r="LF1633" s="2060"/>
      <c r="LG1633" s="2060"/>
      <c r="LH1633" s="2060"/>
    </row>
    <row r="1634" spans="1:320" s="1499" customFormat="1" ht="13.9">
      <c r="A1634" s="269" t="str">
        <f t="shared" si="441"/>
        <v>n</v>
      </c>
      <c r="B1634" s="2060"/>
      <c r="C1634" s="2060"/>
      <c r="D1634" s="2060"/>
      <c r="E1634" s="1661">
        <v>18</v>
      </c>
      <c r="F1634" s="1353" t="str">
        <f>F$146</f>
        <v>--</v>
      </c>
      <c r="G1634" s="128">
        <f>G$146</f>
        <v>0</v>
      </c>
      <c r="H1634" s="128" t="str">
        <f>H$146</f>
        <v>--</v>
      </c>
      <c r="I1634" s="89" t="s">
        <v>783</v>
      </c>
      <c r="J1634" s="2197" t="str">
        <f>IF($G1634=0,"",IFERROR(_xll.ciqfunctions.udf.CIQ($G1634,$I1634,J$1557,Valuation_Date_GC,ReportType,DataMode,$H1634,FXMode)*Scale+J1605*Pension10,"n/a"))</f>
        <v/>
      </c>
      <c r="K1634" s="2197" t="str">
        <f>IF($G1634=0,"",IFERROR(_xll.ciqfunctions.udf.CIQ($G1634,$I1634,K$1557,Valuation_Date_GC,ReportType,DataMode,$H1634,FXMode)*Scale+K1605*Pension10,"n/a"))</f>
        <v/>
      </c>
      <c r="L1634" s="2197" t="str">
        <f>IF($G1634=0,"",IFERROR(_xll.ciqfunctions.udf.CIQ($G1634,$I1634,L$1557,Valuation_Date_GC,ReportType,DataMode,$H1634,FXMode)*Scale+L1605*Pension10,"n/a"))</f>
        <v/>
      </c>
      <c r="M1634" s="2197" t="str">
        <f>IF($G1634=0,"",IFERROR(_xll.ciqfunctions.udf.CIQ($G1634,$I1634,M$1557,Valuation_Date_GC,ReportType,DataMode,$H1634,FXMode)*Scale+M1605*Pension10,"n/a"))</f>
        <v/>
      </c>
      <c r="N1634" s="2197" t="str">
        <f>IF($G1634=0,"",IFERROR(_xll.ciqfunctions.udf.CIQ($G1634,$I1634,N$1557,Valuation_Date_GC,ReportType,DataMode,$H1634,FXMode)*Scale+N1605*Pension10,"n/a"))</f>
        <v/>
      </c>
      <c r="O1634" s="2197" t="str">
        <f>IF($G1634=0,"",IFERROR(_xll.ciqfunctions.udf.CIQ($G1634,$I1634,O$1557,Valuation_Date_GC,ReportType,DataMode,$H1634,FXMode)*Scale+O1605*Pension10,"n/a"))</f>
        <v/>
      </c>
      <c r="P1634" s="2197" t="str">
        <f>IF($G1634=0,"",IFERROR(_xll.ciqfunctions.udf.CIQ($G1634,$I1634,P$1557,Valuation_Date_GC,ReportType,DataMode,$H1634,FXMode)*Scale+P1605*Pension10,"n/a"))</f>
        <v/>
      </c>
      <c r="Q1634" s="2197" t="str">
        <f>IF($G1634=0,"",IFERROR(_xll.ciqfunctions.udf.CIQ($G1634,$I1634,Q$1557,Valuation_Date_GC,ReportType,DataMode,$H1634,FXMode)*Scale+Q1605*Pension10,"n/a"))</f>
        <v/>
      </c>
      <c r="R1634" s="2197" t="str">
        <f>IF($G1634=0,"",IFERROR(_xll.ciqfunctions.udf.CIQ($G1634,$I1634,R$1557,Valuation_Date_GC,ReportType,DataMode,$H1634,FXMode)*Scale+R1605*Pension10,"n/a"))</f>
        <v/>
      </c>
      <c r="S1634" s="2197" t="str">
        <f>IF($G1634=0,"",IFERROR(_xll.ciqfunctions.udf.CIQ($G1634,$I1634,S$1557,Valuation_Date_GC,ReportType,DataMode,$H1634,FXMode)*Scale+S1605*Pension10,"n/a"))</f>
        <v/>
      </c>
      <c r="T1634" s="2197" t="str">
        <f>IF($G1634=0,"",IFERROR(_xll.ciqfunctions.udf.CIQ($G1634,$I1634,T$1557,Valuation_Date_GC,ReportType,DataMode,$H1634,FXMode)*Scale+T1605*Pension10,"n/a"))</f>
        <v/>
      </c>
      <c r="U1634" s="2197" t="str">
        <f>IF($G1634=0,"",IFERROR(_xll.ciqfunctions.udf.CIQ($G1634,$I1634,U$1557,Valuation_Date_GC,ReportType,DataMode,$H1634,FXMode)*Scale+U1605*Pension10,"n/a"))</f>
        <v/>
      </c>
      <c r="V1634" s="2197" t="str">
        <f>IF($G1634=0,"",IFERROR(_xll.ciqfunctions.udf.CIQ($G1634,$I1634,V$1557,Valuation_Date_GC,ReportType,DataMode,$H1634,FXMode)*Scale+V1605*Pension10,"n/a"))</f>
        <v/>
      </c>
      <c r="W1634" s="1479"/>
      <c r="X1634" s="255"/>
      <c r="Y1634" s="255"/>
      <c r="Z1634" s="2060"/>
      <c r="AA1634" s="2060"/>
      <c r="AB1634" s="2060"/>
      <c r="AC1634" s="2060"/>
      <c r="AD1634" s="2060"/>
      <c r="AE1634" s="2060"/>
      <c r="AF1634" s="2060"/>
      <c r="AG1634" s="2060"/>
      <c r="AH1634" s="2060"/>
      <c r="AI1634" s="2060"/>
      <c r="AJ1634" s="2060"/>
      <c r="AK1634" s="2060"/>
      <c r="AL1634" s="2060"/>
      <c r="AM1634" s="2060"/>
      <c r="AN1634" s="2060"/>
      <c r="AO1634" s="2060"/>
      <c r="AP1634" s="2060"/>
      <c r="AQ1634" s="2060"/>
      <c r="AR1634" s="2060"/>
      <c r="AS1634" s="2060"/>
      <c r="AT1634" s="2060"/>
      <c r="AU1634" s="2060"/>
      <c r="AV1634" s="2060"/>
      <c r="AW1634" s="2060"/>
      <c r="AX1634" s="2060"/>
      <c r="AY1634" s="2060"/>
      <c r="AZ1634" s="2060"/>
      <c r="BA1634" s="2060"/>
      <c r="BB1634" s="2060"/>
      <c r="BC1634" s="2060"/>
      <c r="BD1634" s="2060"/>
      <c r="BE1634" s="2060"/>
      <c r="BF1634" s="2060"/>
      <c r="BG1634" s="2060"/>
      <c r="BH1634" s="2060"/>
      <c r="BI1634" s="2060"/>
      <c r="BJ1634" s="2060"/>
      <c r="BK1634" s="2060"/>
      <c r="BL1634" s="2060"/>
      <c r="BM1634" s="2060"/>
      <c r="BN1634" s="2060"/>
      <c r="BO1634" s="2060"/>
      <c r="BP1634" s="2060"/>
      <c r="BQ1634" s="2060"/>
      <c r="BR1634" s="2060"/>
      <c r="BS1634" s="2060"/>
      <c r="BT1634" s="2060"/>
      <c r="BU1634" s="2060"/>
      <c r="BV1634" s="2060"/>
      <c r="BW1634" s="2060"/>
      <c r="BX1634" s="2060"/>
      <c r="BY1634" s="2060"/>
      <c r="BZ1634" s="2060"/>
      <c r="CA1634" s="2060"/>
      <c r="CB1634" s="2060"/>
      <c r="CC1634" s="2060"/>
      <c r="CD1634" s="2060"/>
      <c r="CE1634" s="2060"/>
      <c r="CF1634" s="2060"/>
      <c r="CG1634" s="2060"/>
      <c r="CH1634" s="2060"/>
      <c r="CI1634" s="2060"/>
      <c r="CJ1634" s="2060"/>
      <c r="CK1634" s="2060"/>
      <c r="CL1634" s="2060"/>
      <c r="CM1634" s="2060"/>
      <c r="CN1634" s="2060"/>
      <c r="CO1634" s="2060"/>
      <c r="CP1634" s="2060"/>
      <c r="CQ1634" s="2060"/>
      <c r="CR1634" s="2060"/>
      <c r="CS1634" s="2060"/>
      <c r="CT1634" s="2060"/>
      <c r="CU1634" s="2060"/>
      <c r="CV1634" s="2060"/>
      <c r="CW1634" s="2060"/>
      <c r="CX1634" s="2060"/>
      <c r="CY1634" s="2060"/>
      <c r="CZ1634" s="2060"/>
      <c r="DA1634" s="2060"/>
      <c r="DB1634" s="2060"/>
      <c r="DC1634" s="2060"/>
      <c r="DD1634" s="2060"/>
      <c r="DE1634" s="2060"/>
      <c r="DF1634" s="2060"/>
      <c r="DG1634" s="2060"/>
      <c r="DH1634" s="2060"/>
      <c r="DI1634" s="2060"/>
      <c r="DJ1634" s="2060"/>
      <c r="DK1634" s="2060"/>
      <c r="DL1634" s="2060"/>
      <c r="DM1634" s="2060"/>
      <c r="DN1634" s="2060"/>
      <c r="DO1634" s="2060"/>
      <c r="DP1634" s="2060"/>
      <c r="DQ1634" s="2060"/>
      <c r="DR1634" s="2060"/>
      <c r="DS1634" s="2060"/>
      <c r="DT1634" s="2060"/>
      <c r="DU1634" s="2060"/>
      <c r="DV1634" s="2060"/>
      <c r="DW1634" s="2060"/>
      <c r="DX1634" s="2060"/>
      <c r="DY1634" s="2060"/>
      <c r="DZ1634" s="2060"/>
      <c r="EA1634" s="2060"/>
      <c r="EB1634" s="2060"/>
      <c r="EC1634" s="2060"/>
      <c r="ED1634" s="2060"/>
      <c r="EE1634" s="2060"/>
      <c r="EF1634" s="2060"/>
      <c r="EG1634" s="2060"/>
      <c r="EH1634" s="2060"/>
      <c r="EI1634" s="2060"/>
      <c r="EJ1634" s="2060"/>
      <c r="EK1634" s="2060"/>
      <c r="EL1634" s="2060"/>
      <c r="EM1634" s="2060"/>
      <c r="EN1634" s="2060"/>
      <c r="EO1634" s="2060"/>
      <c r="EP1634" s="2060"/>
      <c r="EQ1634" s="2060"/>
      <c r="ER1634" s="2060"/>
      <c r="ES1634" s="2060"/>
      <c r="ET1634" s="2060"/>
      <c r="EU1634" s="2060"/>
      <c r="EV1634" s="2060"/>
      <c r="EW1634" s="2060"/>
      <c r="EX1634" s="2060"/>
      <c r="EY1634" s="2060"/>
      <c r="EZ1634" s="2060"/>
      <c r="FA1634" s="2060"/>
      <c r="FB1634" s="2060"/>
      <c r="FC1634" s="2060"/>
      <c r="FD1634" s="2060"/>
      <c r="FE1634" s="2060"/>
      <c r="FF1634" s="2060"/>
      <c r="FG1634" s="2060"/>
      <c r="FH1634" s="2060"/>
      <c r="FI1634" s="2060"/>
      <c r="FJ1634" s="2060"/>
      <c r="FK1634" s="2060"/>
      <c r="FL1634" s="2060"/>
      <c r="FM1634" s="2060"/>
      <c r="FN1634" s="2060"/>
      <c r="FO1634" s="2060"/>
      <c r="FP1634" s="2060"/>
      <c r="FQ1634" s="2060"/>
      <c r="FR1634" s="2060"/>
      <c r="FS1634" s="2060"/>
      <c r="FT1634" s="2060"/>
      <c r="FU1634" s="2060"/>
      <c r="FV1634" s="2060"/>
      <c r="FW1634" s="2060"/>
      <c r="FX1634" s="2060"/>
      <c r="FY1634" s="2060"/>
      <c r="FZ1634" s="2060"/>
      <c r="GA1634" s="2060"/>
      <c r="GB1634" s="2060"/>
      <c r="GC1634" s="2060"/>
      <c r="GD1634" s="2060"/>
      <c r="GE1634" s="2060"/>
      <c r="GF1634" s="2060"/>
      <c r="GG1634" s="2060"/>
      <c r="GH1634" s="2060"/>
      <c r="GI1634" s="2060"/>
      <c r="GJ1634" s="2060"/>
      <c r="GK1634" s="2060"/>
      <c r="GL1634" s="2060"/>
      <c r="GM1634" s="2060"/>
      <c r="GN1634" s="2060"/>
      <c r="GO1634" s="2060"/>
      <c r="GP1634" s="2060"/>
      <c r="GQ1634" s="2060"/>
      <c r="GR1634" s="2060"/>
      <c r="GS1634" s="2060"/>
      <c r="GT1634" s="2060"/>
      <c r="GU1634" s="2060"/>
      <c r="GV1634" s="2060"/>
      <c r="GW1634" s="2060"/>
      <c r="GX1634" s="2060"/>
      <c r="GY1634" s="2060"/>
      <c r="GZ1634" s="2060"/>
      <c r="HA1634" s="2060"/>
      <c r="HB1634" s="2060"/>
      <c r="HC1634" s="2060"/>
      <c r="HD1634" s="2060"/>
      <c r="HE1634" s="2060"/>
      <c r="HF1634" s="2060"/>
      <c r="HG1634" s="2060"/>
      <c r="HH1634" s="2060"/>
      <c r="HI1634" s="2060"/>
      <c r="HJ1634" s="2060"/>
      <c r="HK1634" s="2060"/>
      <c r="HL1634" s="2060"/>
      <c r="HM1634" s="2060"/>
      <c r="HN1634" s="2060"/>
      <c r="HO1634" s="2060"/>
      <c r="HP1634" s="2060"/>
      <c r="HQ1634" s="2060"/>
      <c r="HR1634" s="2060"/>
      <c r="HS1634" s="2060"/>
      <c r="HT1634" s="2060"/>
      <c r="HU1634" s="2060"/>
      <c r="HV1634" s="2060"/>
      <c r="HW1634" s="2060"/>
      <c r="HX1634" s="2060"/>
      <c r="HY1634" s="2060"/>
      <c r="HZ1634" s="2060"/>
      <c r="IA1634" s="2060"/>
      <c r="IB1634" s="2060"/>
      <c r="IC1634" s="2060"/>
      <c r="ID1634" s="2060"/>
      <c r="IE1634" s="2060"/>
      <c r="IF1634" s="2060"/>
      <c r="IG1634" s="2060"/>
      <c r="IH1634" s="2060"/>
      <c r="II1634" s="2060"/>
      <c r="IJ1634" s="2060"/>
      <c r="IK1634" s="2060"/>
      <c r="IL1634" s="2060"/>
      <c r="IM1634" s="2060"/>
      <c r="IN1634" s="2060"/>
      <c r="IO1634" s="2060"/>
      <c r="IP1634" s="2060"/>
      <c r="IQ1634" s="2060"/>
      <c r="IR1634" s="2060"/>
      <c r="IS1634" s="2060"/>
      <c r="IT1634" s="2060"/>
      <c r="IU1634" s="2060"/>
      <c r="IV1634" s="2060"/>
      <c r="IW1634" s="2060"/>
      <c r="IX1634" s="2060"/>
      <c r="IY1634" s="2060"/>
      <c r="IZ1634" s="2060"/>
      <c r="JA1634" s="2060"/>
      <c r="JB1634" s="2060"/>
      <c r="JC1634" s="2060"/>
      <c r="JD1634" s="2060"/>
      <c r="JE1634" s="2060"/>
      <c r="JF1634" s="2060"/>
      <c r="JG1634" s="2060"/>
      <c r="JH1634" s="2060"/>
      <c r="JI1634" s="2060"/>
      <c r="JJ1634" s="2060"/>
      <c r="JK1634" s="2060"/>
      <c r="JL1634" s="2060"/>
      <c r="JM1634" s="2060"/>
      <c r="JN1634" s="2060"/>
      <c r="JO1634" s="2060"/>
      <c r="JP1634" s="2060"/>
      <c r="JQ1634" s="2060"/>
      <c r="JR1634" s="2060"/>
      <c r="JS1634" s="2060"/>
      <c r="JT1634" s="2060"/>
      <c r="JU1634" s="2060"/>
      <c r="JV1634" s="2060"/>
      <c r="JW1634" s="2060"/>
      <c r="JX1634" s="2060"/>
      <c r="JY1634" s="2060"/>
      <c r="JZ1634" s="2060"/>
      <c r="KA1634" s="2060"/>
      <c r="KB1634" s="2060"/>
      <c r="KC1634" s="2060"/>
      <c r="KD1634" s="2060"/>
      <c r="KE1634" s="2060"/>
      <c r="KF1634" s="2060"/>
      <c r="KG1634" s="2060"/>
      <c r="KH1634" s="2060"/>
      <c r="KI1634" s="2060"/>
      <c r="KJ1634" s="2060"/>
      <c r="KK1634" s="2060"/>
      <c r="KL1634" s="2060"/>
      <c r="KM1634" s="2060"/>
      <c r="KN1634" s="2060"/>
      <c r="KO1634" s="2060"/>
      <c r="KP1634" s="2060"/>
      <c r="KQ1634" s="2060"/>
      <c r="KR1634" s="2060"/>
      <c r="KS1634" s="2060"/>
      <c r="KT1634" s="2060"/>
      <c r="KU1634" s="2060"/>
      <c r="KV1634" s="2060"/>
      <c r="KW1634" s="2060"/>
      <c r="KX1634" s="2060"/>
      <c r="KY1634" s="2060"/>
      <c r="KZ1634" s="2060"/>
      <c r="LA1634" s="2060"/>
      <c r="LB1634" s="2060"/>
      <c r="LC1634" s="2060"/>
      <c r="LD1634" s="2060"/>
      <c r="LE1634" s="2060"/>
      <c r="LF1634" s="2060"/>
      <c r="LG1634" s="2060"/>
      <c r="LH1634" s="2060"/>
    </row>
    <row r="1635" spans="1:320" s="1499" customFormat="1" ht="13.9">
      <c r="A1635" s="269" t="str">
        <f t="shared" si="441"/>
        <v>n</v>
      </c>
      <c r="B1635" s="2060"/>
      <c r="C1635" s="2060"/>
      <c r="D1635" s="2060"/>
      <c r="E1635" s="1661">
        <v>19</v>
      </c>
      <c r="F1635" s="1353" t="str">
        <f>F$147</f>
        <v>--</v>
      </c>
      <c r="G1635" s="128">
        <f>G$147</f>
        <v>0</v>
      </c>
      <c r="H1635" s="128" t="str">
        <f>H$147</f>
        <v>--</v>
      </c>
      <c r="I1635" s="89" t="s">
        <v>783</v>
      </c>
      <c r="J1635" s="2197" t="str">
        <f>IF($G1635=0,"",IFERROR(_xll.ciqfunctions.udf.CIQ($G1635,$I1635,J$1557,Valuation_Date_GC,ReportType,DataMode,$H1635,FXMode)*Scale+J1606*Pension10,"n/a"))</f>
        <v/>
      </c>
      <c r="K1635" s="2197" t="str">
        <f>IF($G1635=0,"",IFERROR(_xll.ciqfunctions.udf.CIQ($G1635,$I1635,K$1557,Valuation_Date_GC,ReportType,DataMode,$H1635,FXMode)*Scale+K1606*Pension10,"n/a"))</f>
        <v/>
      </c>
      <c r="L1635" s="2197" t="str">
        <f>IF($G1635=0,"",IFERROR(_xll.ciqfunctions.udf.CIQ($G1635,$I1635,L$1557,Valuation_Date_GC,ReportType,DataMode,$H1635,FXMode)*Scale+L1606*Pension10,"n/a"))</f>
        <v/>
      </c>
      <c r="M1635" s="2197" t="str">
        <f>IF($G1635=0,"",IFERROR(_xll.ciqfunctions.udf.CIQ($G1635,$I1635,M$1557,Valuation_Date_GC,ReportType,DataMode,$H1635,FXMode)*Scale+M1606*Pension10,"n/a"))</f>
        <v/>
      </c>
      <c r="N1635" s="2197" t="str">
        <f>IF($G1635=0,"",IFERROR(_xll.ciqfunctions.udf.CIQ($G1635,$I1635,N$1557,Valuation_Date_GC,ReportType,DataMode,$H1635,FXMode)*Scale+N1606*Pension10,"n/a"))</f>
        <v/>
      </c>
      <c r="O1635" s="2197" t="str">
        <f>IF($G1635=0,"",IFERROR(_xll.ciqfunctions.udf.CIQ($G1635,$I1635,O$1557,Valuation_Date_GC,ReportType,DataMode,$H1635,FXMode)*Scale+O1606*Pension10,"n/a"))</f>
        <v/>
      </c>
      <c r="P1635" s="2197" t="str">
        <f>IF($G1635=0,"",IFERROR(_xll.ciqfunctions.udf.CIQ($G1635,$I1635,P$1557,Valuation_Date_GC,ReportType,DataMode,$H1635,FXMode)*Scale+P1606*Pension10,"n/a"))</f>
        <v/>
      </c>
      <c r="Q1635" s="2197" t="str">
        <f>IF($G1635=0,"",IFERROR(_xll.ciqfunctions.udf.CIQ($G1635,$I1635,Q$1557,Valuation_Date_GC,ReportType,DataMode,$H1635,FXMode)*Scale+Q1606*Pension10,"n/a"))</f>
        <v/>
      </c>
      <c r="R1635" s="2197" t="str">
        <f>IF($G1635=0,"",IFERROR(_xll.ciqfunctions.udf.CIQ($G1635,$I1635,R$1557,Valuation_Date_GC,ReportType,DataMode,$H1635,FXMode)*Scale+R1606*Pension10,"n/a"))</f>
        <v/>
      </c>
      <c r="S1635" s="2197" t="str">
        <f>IF($G1635=0,"",IFERROR(_xll.ciqfunctions.udf.CIQ($G1635,$I1635,S$1557,Valuation_Date_GC,ReportType,DataMode,$H1635,FXMode)*Scale+S1606*Pension10,"n/a"))</f>
        <v/>
      </c>
      <c r="T1635" s="2197" t="str">
        <f>IF($G1635=0,"",IFERROR(_xll.ciqfunctions.udf.CIQ($G1635,$I1635,T$1557,Valuation_Date_GC,ReportType,DataMode,$H1635,FXMode)*Scale+T1606*Pension10,"n/a"))</f>
        <v/>
      </c>
      <c r="U1635" s="2197" t="str">
        <f>IF($G1635=0,"",IFERROR(_xll.ciqfunctions.udf.CIQ($G1635,$I1635,U$1557,Valuation_Date_GC,ReportType,DataMode,$H1635,FXMode)*Scale+U1606*Pension10,"n/a"))</f>
        <v/>
      </c>
      <c r="V1635" s="2197" t="str">
        <f>IF($G1635=0,"",IFERROR(_xll.ciqfunctions.udf.CIQ($G1635,$I1635,V$1557,Valuation_Date_GC,ReportType,DataMode,$H1635,FXMode)*Scale+V1606*Pension10,"n/a"))</f>
        <v/>
      </c>
      <c r="W1635" s="1479"/>
      <c r="X1635" s="255"/>
      <c r="Y1635" s="255"/>
      <c r="Z1635" s="2060"/>
      <c r="AA1635" s="2060"/>
      <c r="AB1635" s="2060"/>
      <c r="AC1635" s="2060"/>
      <c r="AD1635" s="2060"/>
      <c r="AE1635" s="2060"/>
      <c r="AF1635" s="2060"/>
      <c r="AG1635" s="2060"/>
      <c r="AH1635" s="2060"/>
      <c r="AI1635" s="2060"/>
      <c r="AJ1635" s="2060"/>
      <c r="AK1635" s="2060"/>
      <c r="AL1635" s="2060"/>
      <c r="AM1635" s="2060"/>
      <c r="AN1635" s="2060"/>
      <c r="AO1635" s="2060"/>
      <c r="AP1635" s="2060"/>
      <c r="AQ1635" s="2060"/>
      <c r="AR1635" s="2060"/>
      <c r="AS1635" s="2060"/>
      <c r="AT1635" s="2060"/>
      <c r="AU1635" s="2060"/>
      <c r="AV1635" s="2060"/>
      <c r="AW1635" s="2060"/>
      <c r="AX1635" s="2060"/>
      <c r="AY1635" s="2060"/>
      <c r="AZ1635" s="2060"/>
      <c r="BA1635" s="2060"/>
      <c r="BB1635" s="2060"/>
      <c r="BC1635" s="2060"/>
      <c r="BD1635" s="2060"/>
      <c r="BE1635" s="2060"/>
      <c r="BF1635" s="2060"/>
      <c r="BG1635" s="2060"/>
      <c r="BH1635" s="2060"/>
      <c r="BI1635" s="2060"/>
      <c r="BJ1635" s="2060"/>
      <c r="BK1635" s="2060"/>
      <c r="BL1635" s="2060"/>
      <c r="BM1635" s="2060"/>
      <c r="BN1635" s="2060"/>
      <c r="BO1635" s="2060"/>
      <c r="BP1635" s="2060"/>
      <c r="BQ1635" s="2060"/>
      <c r="BR1635" s="2060"/>
      <c r="BS1635" s="2060"/>
      <c r="BT1635" s="2060"/>
      <c r="BU1635" s="2060"/>
      <c r="BV1635" s="2060"/>
      <c r="BW1635" s="2060"/>
      <c r="BX1635" s="2060"/>
      <c r="BY1635" s="2060"/>
      <c r="BZ1635" s="2060"/>
      <c r="CA1635" s="2060"/>
      <c r="CB1635" s="2060"/>
      <c r="CC1635" s="2060"/>
      <c r="CD1635" s="2060"/>
      <c r="CE1635" s="2060"/>
      <c r="CF1635" s="2060"/>
      <c r="CG1635" s="2060"/>
      <c r="CH1635" s="2060"/>
      <c r="CI1635" s="2060"/>
      <c r="CJ1635" s="2060"/>
      <c r="CK1635" s="2060"/>
      <c r="CL1635" s="2060"/>
      <c r="CM1635" s="2060"/>
      <c r="CN1635" s="2060"/>
      <c r="CO1635" s="2060"/>
      <c r="CP1635" s="2060"/>
      <c r="CQ1635" s="2060"/>
      <c r="CR1635" s="2060"/>
      <c r="CS1635" s="2060"/>
      <c r="CT1635" s="2060"/>
      <c r="CU1635" s="2060"/>
      <c r="CV1635" s="2060"/>
      <c r="CW1635" s="2060"/>
      <c r="CX1635" s="2060"/>
      <c r="CY1635" s="2060"/>
      <c r="CZ1635" s="2060"/>
      <c r="DA1635" s="2060"/>
      <c r="DB1635" s="2060"/>
      <c r="DC1635" s="2060"/>
      <c r="DD1635" s="2060"/>
      <c r="DE1635" s="2060"/>
      <c r="DF1635" s="2060"/>
      <c r="DG1635" s="2060"/>
      <c r="DH1635" s="2060"/>
      <c r="DI1635" s="2060"/>
      <c r="DJ1635" s="2060"/>
      <c r="DK1635" s="2060"/>
      <c r="DL1635" s="2060"/>
      <c r="DM1635" s="2060"/>
      <c r="DN1635" s="2060"/>
      <c r="DO1635" s="2060"/>
      <c r="DP1635" s="2060"/>
      <c r="DQ1635" s="2060"/>
      <c r="DR1635" s="2060"/>
      <c r="DS1635" s="2060"/>
      <c r="DT1635" s="2060"/>
      <c r="DU1635" s="2060"/>
      <c r="DV1635" s="2060"/>
      <c r="DW1635" s="2060"/>
      <c r="DX1635" s="2060"/>
      <c r="DY1635" s="2060"/>
      <c r="DZ1635" s="2060"/>
      <c r="EA1635" s="2060"/>
      <c r="EB1635" s="2060"/>
      <c r="EC1635" s="2060"/>
      <c r="ED1635" s="2060"/>
      <c r="EE1635" s="2060"/>
      <c r="EF1635" s="2060"/>
      <c r="EG1635" s="2060"/>
      <c r="EH1635" s="2060"/>
      <c r="EI1635" s="2060"/>
      <c r="EJ1635" s="2060"/>
      <c r="EK1635" s="2060"/>
      <c r="EL1635" s="2060"/>
      <c r="EM1635" s="2060"/>
      <c r="EN1635" s="2060"/>
      <c r="EO1635" s="2060"/>
      <c r="EP1635" s="2060"/>
      <c r="EQ1635" s="2060"/>
      <c r="ER1635" s="2060"/>
      <c r="ES1635" s="2060"/>
      <c r="ET1635" s="2060"/>
      <c r="EU1635" s="2060"/>
      <c r="EV1635" s="2060"/>
      <c r="EW1635" s="2060"/>
      <c r="EX1635" s="2060"/>
      <c r="EY1635" s="2060"/>
      <c r="EZ1635" s="2060"/>
      <c r="FA1635" s="2060"/>
      <c r="FB1635" s="2060"/>
      <c r="FC1635" s="2060"/>
      <c r="FD1635" s="2060"/>
      <c r="FE1635" s="2060"/>
      <c r="FF1635" s="2060"/>
      <c r="FG1635" s="2060"/>
      <c r="FH1635" s="2060"/>
      <c r="FI1635" s="2060"/>
      <c r="FJ1635" s="2060"/>
      <c r="FK1635" s="2060"/>
      <c r="FL1635" s="2060"/>
      <c r="FM1635" s="2060"/>
      <c r="FN1635" s="2060"/>
      <c r="FO1635" s="2060"/>
      <c r="FP1635" s="2060"/>
      <c r="FQ1635" s="2060"/>
      <c r="FR1635" s="2060"/>
      <c r="FS1635" s="2060"/>
      <c r="FT1635" s="2060"/>
      <c r="FU1635" s="2060"/>
      <c r="FV1635" s="2060"/>
      <c r="FW1635" s="2060"/>
      <c r="FX1635" s="2060"/>
      <c r="FY1635" s="2060"/>
      <c r="FZ1635" s="2060"/>
      <c r="GA1635" s="2060"/>
      <c r="GB1635" s="2060"/>
      <c r="GC1635" s="2060"/>
      <c r="GD1635" s="2060"/>
      <c r="GE1635" s="2060"/>
      <c r="GF1635" s="2060"/>
      <c r="GG1635" s="2060"/>
      <c r="GH1635" s="2060"/>
      <c r="GI1635" s="2060"/>
      <c r="GJ1635" s="2060"/>
      <c r="GK1635" s="2060"/>
      <c r="GL1635" s="2060"/>
      <c r="GM1635" s="2060"/>
      <c r="GN1635" s="2060"/>
      <c r="GO1635" s="2060"/>
      <c r="GP1635" s="2060"/>
      <c r="GQ1635" s="2060"/>
      <c r="GR1635" s="2060"/>
      <c r="GS1635" s="2060"/>
      <c r="GT1635" s="2060"/>
      <c r="GU1635" s="2060"/>
      <c r="GV1635" s="2060"/>
      <c r="GW1635" s="2060"/>
      <c r="GX1635" s="2060"/>
      <c r="GY1635" s="2060"/>
      <c r="GZ1635" s="2060"/>
      <c r="HA1635" s="2060"/>
      <c r="HB1635" s="2060"/>
      <c r="HC1635" s="2060"/>
      <c r="HD1635" s="2060"/>
      <c r="HE1635" s="2060"/>
      <c r="HF1635" s="2060"/>
      <c r="HG1635" s="2060"/>
      <c r="HH1635" s="2060"/>
      <c r="HI1635" s="2060"/>
      <c r="HJ1635" s="2060"/>
      <c r="HK1635" s="2060"/>
      <c r="HL1635" s="2060"/>
      <c r="HM1635" s="2060"/>
      <c r="HN1635" s="2060"/>
      <c r="HO1635" s="2060"/>
      <c r="HP1635" s="2060"/>
      <c r="HQ1635" s="2060"/>
      <c r="HR1635" s="2060"/>
      <c r="HS1635" s="2060"/>
      <c r="HT1635" s="2060"/>
      <c r="HU1635" s="2060"/>
      <c r="HV1635" s="2060"/>
      <c r="HW1635" s="2060"/>
      <c r="HX1635" s="2060"/>
      <c r="HY1635" s="2060"/>
      <c r="HZ1635" s="2060"/>
      <c r="IA1635" s="2060"/>
      <c r="IB1635" s="2060"/>
      <c r="IC1635" s="2060"/>
      <c r="ID1635" s="2060"/>
      <c r="IE1635" s="2060"/>
      <c r="IF1635" s="2060"/>
      <c r="IG1635" s="2060"/>
      <c r="IH1635" s="2060"/>
      <c r="II1635" s="2060"/>
      <c r="IJ1635" s="2060"/>
      <c r="IK1635" s="2060"/>
      <c r="IL1635" s="2060"/>
      <c r="IM1635" s="2060"/>
      <c r="IN1635" s="2060"/>
      <c r="IO1635" s="2060"/>
      <c r="IP1635" s="2060"/>
      <c r="IQ1635" s="2060"/>
      <c r="IR1635" s="2060"/>
      <c r="IS1635" s="2060"/>
      <c r="IT1635" s="2060"/>
      <c r="IU1635" s="2060"/>
      <c r="IV1635" s="2060"/>
      <c r="IW1635" s="2060"/>
      <c r="IX1635" s="2060"/>
      <c r="IY1635" s="2060"/>
      <c r="IZ1635" s="2060"/>
      <c r="JA1635" s="2060"/>
      <c r="JB1635" s="2060"/>
      <c r="JC1635" s="2060"/>
      <c r="JD1635" s="2060"/>
      <c r="JE1635" s="2060"/>
      <c r="JF1635" s="2060"/>
      <c r="JG1635" s="2060"/>
      <c r="JH1635" s="2060"/>
      <c r="JI1635" s="2060"/>
      <c r="JJ1635" s="2060"/>
      <c r="JK1635" s="2060"/>
      <c r="JL1635" s="2060"/>
      <c r="JM1635" s="2060"/>
      <c r="JN1635" s="2060"/>
      <c r="JO1635" s="2060"/>
      <c r="JP1635" s="2060"/>
      <c r="JQ1635" s="2060"/>
      <c r="JR1635" s="2060"/>
      <c r="JS1635" s="2060"/>
      <c r="JT1635" s="2060"/>
      <c r="JU1635" s="2060"/>
      <c r="JV1635" s="2060"/>
      <c r="JW1635" s="2060"/>
      <c r="JX1635" s="2060"/>
      <c r="JY1635" s="2060"/>
      <c r="JZ1635" s="2060"/>
      <c r="KA1635" s="2060"/>
      <c r="KB1635" s="2060"/>
      <c r="KC1635" s="2060"/>
      <c r="KD1635" s="2060"/>
      <c r="KE1635" s="2060"/>
      <c r="KF1635" s="2060"/>
      <c r="KG1635" s="2060"/>
      <c r="KH1635" s="2060"/>
      <c r="KI1635" s="2060"/>
      <c r="KJ1635" s="2060"/>
      <c r="KK1635" s="2060"/>
      <c r="KL1635" s="2060"/>
      <c r="KM1635" s="2060"/>
      <c r="KN1635" s="2060"/>
      <c r="KO1635" s="2060"/>
      <c r="KP1635" s="2060"/>
      <c r="KQ1635" s="2060"/>
      <c r="KR1635" s="2060"/>
      <c r="KS1635" s="2060"/>
      <c r="KT1635" s="2060"/>
      <c r="KU1635" s="2060"/>
      <c r="KV1635" s="2060"/>
      <c r="KW1635" s="2060"/>
      <c r="KX1635" s="2060"/>
      <c r="KY1635" s="2060"/>
      <c r="KZ1635" s="2060"/>
      <c r="LA1635" s="2060"/>
      <c r="LB1635" s="2060"/>
      <c r="LC1635" s="2060"/>
      <c r="LD1635" s="2060"/>
      <c r="LE1635" s="2060"/>
      <c r="LF1635" s="2060"/>
      <c r="LG1635" s="2060"/>
      <c r="LH1635" s="2060"/>
    </row>
    <row r="1636" spans="1:320" s="1499" customFormat="1" ht="13.9">
      <c r="A1636" s="269" t="str">
        <f t="shared" si="441"/>
        <v>n</v>
      </c>
      <c r="B1636" s="2060"/>
      <c r="C1636" s="2060"/>
      <c r="D1636" s="2060"/>
      <c r="E1636" s="1661">
        <v>20</v>
      </c>
      <c r="F1636" s="1353" t="str">
        <f>F$148</f>
        <v>--</v>
      </c>
      <c r="G1636" s="128">
        <f>G$148</f>
        <v>0</v>
      </c>
      <c r="H1636" s="128" t="str">
        <f>H$148</f>
        <v>--</v>
      </c>
      <c r="I1636" s="89" t="s">
        <v>783</v>
      </c>
      <c r="J1636" s="2197" t="str">
        <f>IF($G1636=0,"",IFERROR(_xll.ciqfunctions.udf.CIQ($G1636,$I1636,J$1557,Valuation_Date_GC,ReportType,DataMode,$H1636,FXMode)*Scale+J1607*Pension10,"n/a"))</f>
        <v/>
      </c>
      <c r="K1636" s="2197" t="str">
        <f>IF($G1636=0,"",IFERROR(_xll.ciqfunctions.udf.CIQ($G1636,$I1636,K$1557,Valuation_Date_GC,ReportType,DataMode,$H1636,FXMode)*Scale+K1607*Pension10,"n/a"))</f>
        <v/>
      </c>
      <c r="L1636" s="2197" t="str">
        <f>IF($G1636=0,"",IFERROR(_xll.ciqfunctions.udf.CIQ($G1636,$I1636,L$1557,Valuation_Date_GC,ReportType,DataMode,$H1636,FXMode)*Scale+L1607*Pension10,"n/a"))</f>
        <v/>
      </c>
      <c r="M1636" s="2197" t="str">
        <f>IF($G1636=0,"",IFERROR(_xll.ciqfunctions.udf.CIQ($G1636,$I1636,M$1557,Valuation_Date_GC,ReportType,DataMode,$H1636,FXMode)*Scale+M1607*Pension10,"n/a"))</f>
        <v/>
      </c>
      <c r="N1636" s="2197" t="str">
        <f>IF($G1636=0,"",IFERROR(_xll.ciqfunctions.udf.CIQ($G1636,$I1636,N$1557,Valuation_Date_GC,ReportType,DataMode,$H1636,FXMode)*Scale+N1607*Pension10,"n/a"))</f>
        <v/>
      </c>
      <c r="O1636" s="2197" t="str">
        <f>IF($G1636=0,"",IFERROR(_xll.ciqfunctions.udf.CIQ($G1636,$I1636,O$1557,Valuation_Date_GC,ReportType,DataMode,$H1636,FXMode)*Scale+O1607*Pension10,"n/a"))</f>
        <v/>
      </c>
      <c r="P1636" s="2197" t="str">
        <f>IF($G1636=0,"",IFERROR(_xll.ciqfunctions.udf.CIQ($G1636,$I1636,P$1557,Valuation_Date_GC,ReportType,DataMode,$H1636,FXMode)*Scale+P1607*Pension10,"n/a"))</f>
        <v/>
      </c>
      <c r="Q1636" s="2197" t="str">
        <f>IF($G1636=0,"",IFERROR(_xll.ciqfunctions.udf.CIQ($G1636,$I1636,Q$1557,Valuation_Date_GC,ReportType,DataMode,$H1636,FXMode)*Scale+Q1607*Pension10,"n/a"))</f>
        <v/>
      </c>
      <c r="R1636" s="2197" t="str">
        <f>IF($G1636=0,"",IFERROR(_xll.ciqfunctions.udf.CIQ($G1636,$I1636,R$1557,Valuation_Date_GC,ReportType,DataMode,$H1636,FXMode)*Scale+R1607*Pension10,"n/a"))</f>
        <v/>
      </c>
      <c r="S1636" s="2197" t="str">
        <f>IF($G1636=0,"",IFERROR(_xll.ciqfunctions.udf.CIQ($G1636,$I1636,S$1557,Valuation_Date_GC,ReportType,DataMode,$H1636,FXMode)*Scale+S1607*Pension10,"n/a"))</f>
        <v/>
      </c>
      <c r="T1636" s="2197" t="str">
        <f>IF($G1636=0,"",IFERROR(_xll.ciqfunctions.udf.CIQ($G1636,$I1636,T$1557,Valuation_Date_GC,ReportType,DataMode,$H1636,FXMode)*Scale+T1607*Pension10,"n/a"))</f>
        <v/>
      </c>
      <c r="U1636" s="2197" t="str">
        <f>IF($G1636=0,"",IFERROR(_xll.ciqfunctions.udf.CIQ($G1636,$I1636,U$1557,Valuation_Date_GC,ReportType,DataMode,$H1636,FXMode)*Scale+U1607*Pension10,"n/a"))</f>
        <v/>
      </c>
      <c r="V1636" s="2197" t="str">
        <f>IF($G1636=0,"",IFERROR(_xll.ciqfunctions.udf.CIQ($G1636,$I1636,V$1557,Valuation_Date_GC,ReportType,DataMode,$H1636,FXMode)*Scale+V1607*Pension10,"n/a"))</f>
        <v/>
      </c>
      <c r="W1636" s="1479"/>
      <c r="X1636" s="255"/>
      <c r="Y1636" s="255"/>
      <c r="Z1636" s="2060"/>
      <c r="AA1636" s="2060"/>
      <c r="AB1636" s="2060"/>
      <c r="AC1636" s="2060"/>
      <c r="AD1636" s="2060"/>
      <c r="AE1636" s="2060"/>
      <c r="AF1636" s="2060"/>
      <c r="AG1636" s="2060"/>
      <c r="AH1636" s="2060"/>
      <c r="AI1636" s="2060"/>
      <c r="AJ1636" s="2060"/>
      <c r="AK1636" s="2060"/>
      <c r="AL1636" s="2060"/>
      <c r="AM1636" s="2060"/>
      <c r="AN1636" s="2060"/>
      <c r="AO1636" s="2060"/>
      <c r="AP1636" s="2060"/>
      <c r="AQ1636" s="2060"/>
      <c r="AR1636" s="2060"/>
      <c r="AS1636" s="2060"/>
      <c r="AT1636" s="2060"/>
      <c r="AU1636" s="2060"/>
      <c r="AV1636" s="2060"/>
      <c r="AW1636" s="2060"/>
      <c r="AX1636" s="2060"/>
      <c r="AY1636" s="2060"/>
      <c r="AZ1636" s="2060"/>
      <c r="BA1636" s="2060"/>
      <c r="BB1636" s="2060"/>
      <c r="BC1636" s="2060"/>
      <c r="BD1636" s="2060"/>
      <c r="BE1636" s="2060"/>
      <c r="BF1636" s="2060"/>
      <c r="BG1636" s="2060"/>
      <c r="BH1636" s="2060"/>
      <c r="BI1636" s="2060"/>
      <c r="BJ1636" s="2060"/>
      <c r="BK1636" s="2060"/>
      <c r="BL1636" s="2060"/>
      <c r="BM1636" s="2060"/>
      <c r="BN1636" s="2060"/>
      <c r="BO1636" s="2060"/>
      <c r="BP1636" s="2060"/>
      <c r="BQ1636" s="2060"/>
      <c r="BR1636" s="2060"/>
      <c r="BS1636" s="2060"/>
      <c r="BT1636" s="2060"/>
      <c r="BU1636" s="2060"/>
      <c r="BV1636" s="2060"/>
      <c r="BW1636" s="2060"/>
      <c r="BX1636" s="2060"/>
      <c r="BY1636" s="2060"/>
      <c r="BZ1636" s="2060"/>
      <c r="CA1636" s="2060"/>
      <c r="CB1636" s="2060"/>
      <c r="CC1636" s="2060"/>
      <c r="CD1636" s="2060"/>
      <c r="CE1636" s="2060"/>
      <c r="CF1636" s="2060"/>
      <c r="CG1636" s="2060"/>
      <c r="CH1636" s="2060"/>
      <c r="CI1636" s="2060"/>
      <c r="CJ1636" s="2060"/>
      <c r="CK1636" s="2060"/>
      <c r="CL1636" s="2060"/>
      <c r="CM1636" s="2060"/>
      <c r="CN1636" s="2060"/>
      <c r="CO1636" s="2060"/>
      <c r="CP1636" s="2060"/>
      <c r="CQ1636" s="2060"/>
      <c r="CR1636" s="2060"/>
      <c r="CS1636" s="2060"/>
      <c r="CT1636" s="2060"/>
      <c r="CU1636" s="2060"/>
      <c r="CV1636" s="2060"/>
      <c r="CW1636" s="2060"/>
      <c r="CX1636" s="2060"/>
      <c r="CY1636" s="2060"/>
      <c r="CZ1636" s="2060"/>
      <c r="DA1636" s="2060"/>
      <c r="DB1636" s="2060"/>
      <c r="DC1636" s="2060"/>
      <c r="DD1636" s="2060"/>
      <c r="DE1636" s="2060"/>
      <c r="DF1636" s="2060"/>
      <c r="DG1636" s="2060"/>
      <c r="DH1636" s="2060"/>
      <c r="DI1636" s="2060"/>
      <c r="DJ1636" s="2060"/>
      <c r="DK1636" s="2060"/>
      <c r="DL1636" s="2060"/>
      <c r="DM1636" s="2060"/>
      <c r="DN1636" s="2060"/>
      <c r="DO1636" s="2060"/>
      <c r="DP1636" s="2060"/>
      <c r="DQ1636" s="2060"/>
      <c r="DR1636" s="2060"/>
      <c r="DS1636" s="2060"/>
      <c r="DT1636" s="2060"/>
      <c r="DU1636" s="2060"/>
      <c r="DV1636" s="2060"/>
      <c r="DW1636" s="2060"/>
      <c r="DX1636" s="2060"/>
      <c r="DY1636" s="2060"/>
      <c r="DZ1636" s="2060"/>
      <c r="EA1636" s="2060"/>
      <c r="EB1636" s="2060"/>
      <c r="EC1636" s="2060"/>
      <c r="ED1636" s="2060"/>
      <c r="EE1636" s="2060"/>
      <c r="EF1636" s="2060"/>
      <c r="EG1636" s="2060"/>
      <c r="EH1636" s="2060"/>
      <c r="EI1636" s="2060"/>
      <c r="EJ1636" s="2060"/>
      <c r="EK1636" s="2060"/>
      <c r="EL1636" s="2060"/>
      <c r="EM1636" s="2060"/>
      <c r="EN1636" s="2060"/>
      <c r="EO1636" s="2060"/>
      <c r="EP1636" s="2060"/>
      <c r="EQ1636" s="2060"/>
      <c r="ER1636" s="2060"/>
      <c r="ES1636" s="2060"/>
      <c r="ET1636" s="2060"/>
      <c r="EU1636" s="2060"/>
      <c r="EV1636" s="2060"/>
      <c r="EW1636" s="2060"/>
      <c r="EX1636" s="2060"/>
      <c r="EY1636" s="2060"/>
      <c r="EZ1636" s="2060"/>
      <c r="FA1636" s="2060"/>
      <c r="FB1636" s="2060"/>
      <c r="FC1636" s="2060"/>
      <c r="FD1636" s="2060"/>
      <c r="FE1636" s="2060"/>
      <c r="FF1636" s="2060"/>
      <c r="FG1636" s="2060"/>
      <c r="FH1636" s="2060"/>
      <c r="FI1636" s="2060"/>
      <c r="FJ1636" s="2060"/>
      <c r="FK1636" s="2060"/>
      <c r="FL1636" s="2060"/>
      <c r="FM1636" s="2060"/>
      <c r="FN1636" s="2060"/>
      <c r="FO1636" s="2060"/>
      <c r="FP1636" s="2060"/>
      <c r="FQ1636" s="2060"/>
      <c r="FR1636" s="2060"/>
      <c r="FS1636" s="2060"/>
      <c r="FT1636" s="2060"/>
      <c r="FU1636" s="2060"/>
      <c r="FV1636" s="2060"/>
      <c r="FW1636" s="2060"/>
      <c r="FX1636" s="2060"/>
      <c r="FY1636" s="2060"/>
      <c r="FZ1636" s="2060"/>
      <c r="GA1636" s="2060"/>
      <c r="GB1636" s="2060"/>
      <c r="GC1636" s="2060"/>
      <c r="GD1636" s="2060"/>
      <c r="GE1636" s="2060"/>
      <c r="GF1636" s="2060"/>
      <c r="GG1636" s="2060"/>
      <c r="GH1636" s="2060"/>
      <c r="GI1636" s="2060"/>
      <c r="GJ1636" s="2060"/>
      <c r="GK1636" s="2060"/>
      <c r="GL1636" s="2060"/>
      <c r="GM1636" s="2060"/>
      <c r="GN1636" s="2060"/>
      <c r="GO1636" s="2060"/>
      <c r="GP1636" s="2060"/>
      <c r="GQ1636" s="2060"/>
      <c r="GR1636" s="2060"/>
      <c r="GS1636" s="2060"/>
      <c r="GT1636" s="2060"/>
      <c r="GU1636" s="2060"/>
      <c r="GV1636" s="2060"/>
      <c r="GW1636" s="2060"/>
      <c r="GX1636" s="2060"/>
      <c r="GY1636" s="2060"/>
      <c r="GZ1636" s="2060"/>
      <c r="HA1636" s="2060"/>
      <c r="HB1636" s="2060"/>
      <c r="HC1636" s="2060"/>
      <c r="HD1636" s="2060"/>
      <c r="HE1636" s="2060"/>
      <c r="HF1636" s="2060"/>
      <c r="HG1636" s="2060"/>
      <c r="HH1636" s="2060"/>
      <c r="HI1636" s="2060"/>
      <c r="HJ1636" s="2060"/>
      <c r="HK1636" s="2060"/>
      <c r="HL1636" s="2060"/>
      <c r="HM1636" s="2060"/>
      <c r="HN1636" s="2060"/>
      <c r="HO1636" s="2060"/>
      <c r="HP1636" s="2060"/>
      <c r="HQ1636" s="2060"/>
      <c r="HR1636" s="2060"/>
      <c r="HS1636" s="2060"/>
      <c r="HT1636" s="2060"/>
      <c r="HU1636" s="2060"/>
      <c r="HV1636" s="2060"/>
      <c r="HW1636" s="2060"/>
      <c r="HX1636" s="2060"/>
      <c r="HY1636" s="2060"/>
      <c r="HZ1636" s="2060"/>
      <c r="IA1636" s="2060"/>
      <c r="IB1636" s="2060"/>
      <c r="IC1636" s="2060"/>
      <c r="ID1636" s="2060"/>
      <c r="IE1636" s="2060"/>
      <c r="IF1636" s="2060"/>
      <c r="IG1636" s="2060"/>
      <c r="IH1636" s="2060"/>
      <c r="II1636" s="2060"/>
      <c r="IJ1636" s="2060"/>
      <c r="IK1636" s="2060"/>
      <c r="IL1636" s="2060"/>
      <c r="IM1636" s="2060"/>
      <c r="IN1636" s="2060"/>
      <c r="IO1636" s="2060"/>
      <c r="IP1636" s="2060"/>
      <c r="IQ1636" s="2060"/>
      <c r="IR1636" s="2060"/>
      <c r="IS1636" s="2060"/>
      <c r="IT1636" s="2060"/>
      <c r="IU1636" s="2060"/>
      <c r="IV1636" s="2060"/>
      <c r="IW1636" s="2060"/>
      <c r="IX1636" s="2060"/>
      <c r="IY1636" s="2060"/>
      <c r="IZ1636" s="2060"/>
      <c r="JA1636" s="2060"/>
      <c r="JB1636" s="2060"/>
      <c r="JC1636" s="2060"/>
      <c r="JD1636" s="2060"/>
      <c r="JE1636" s="2060"/>
      <c r="JF1636" s="2060"/>
      <c r="JG1636" s="2060"/>
      <c r="JH1636" s="2060"/>
      <c r="JI1636" s="2060"/>
      <c r="JJ1636" s="2060"/>
      <c r="JK1636" s="2060"/>
      <c r="JL1636" s="2060"/>
      <c r="JM1636" s="2060"/>
      <c r="JN1636" s="2060"/>
      <c r="JO1636" s="2060"/>
      <c r="JP1636" s="2060"/>
      <c r="JQ1636" s="2060"/>
      <c r="JR1636" s="2060"/>
      <c r="JS1636" s="2060"/>
      <c r="JT1636" s="2060"/>
      <c r="JU1636" s="2060"/>
      <c r="JV1636" s="2060"/>
      <c r="JW1636" s="2060"/>
      <c r="JX1636" s="2060"/>
      <c r="JY1636" s="2060"/>
      <c r="JZ1636" s="2060"/>
      <c r="KA1636" s="2060"/>
      <c r="KB1636" s="2060"/>
      <c r="KC1636" s="2060"/>
      <c r="KD1636" s="2060"/>
      <c r="KE1636" s="2060"/>
      <c r="KF1636" s="2060"/>
      <c r="KG1636" s="2060"/>
      <c r="KH1636" s="2060"/>
      <c r="KI1636" s="2060"/>
      <c r="KJ1636" s="2060"/>
      <c r="KK1636" s="2060"/>
      <c r="KL1636" s="2060"/>
      <c r="KM1636" s="2060"/>
      <c r="KN1636" s="2060"/>
      <c r="KO1636" s="2060"/>
      <c r="KP1636" s="2060"/>
      <c r="KQ1636" s="2060"/>
      <c r="KR1636" s="2060"/>
      <c r="KS1636" s="2060"/>
      <c r="KT1636" s="2060"/>
      <c r="KU1636" s="2060"/>
      <c r="KV1636" s="2060"/>
      <c r="KW1636" s="2060"/>
      <c r="KX1636" s="2060"/>
      <c r="KY1636" s="2060"/>
      <c r="KZ1636" s="2060"/>
      <c r="LA1636" s="2060"/>
      <c r="LB1636" s="2060"/>
      <c r="LC1636" s="2060"/>
      <c r="LD1636" s="2060"/>
      <c r="LE1636" s="2060"/>
      <c r="LF1636" s="2060"/>
      <c r="LG1636" s="2060"/>
      <c r="LH1636" s="2060"/>
    </row>
    <row r="1637" spans="1:320" s="1499" customFormat="1" ht="13.9">
      <c r="A1637" s="269" t="str">
        <f t="shared" si="441"/>
        <v>n</v>
      </c>
      <c r="B1637" s="2060"/>
      <c r="C1637" s="2060"/>
      <c r="D1637" s="2060"/>
      <c r="E1637" s="1661">
        <v>21</v>
      </c>
      <c r="F1637" s="1353" t="str">
        <f>F$149</f>
        <v>--</v>
      </c>
      <c r="G1637" s="128">
        <f>G$149</f>
        <v>0</v>
      </c>
      <c r="H1637" s="128" t="str">
        <f>H$149</f>
        <v>--</v>
      </c>
      <c r="I1637" s="89" t="s">
        <v>783</v>
      </c>
      <c r="J1637" s="2197" t="str">
        <f>IF($G1637=0,"",IFERROR(_xll.ciqfunctions.udf.CIQ($G1637,$I1637,J$1557,Valuation_Date_GC,ReportType,DataMode,$H1637,FXMode)*Scale+J1608*Pension10,"n/a"))</f>
        <v/>
      </c>
      <c r="K1637" s="2197" t="str">
        <f>IF($G1637=0,"",IFERROR(_xll.ciqfunctions.udf.CIQ($G1637,$I1637,K$1557,Valuation_Date_GC,ReportType,DataMode,$H1637,FXMode)*Scale+K1608*Pension10,"n/a"))</f>
        <v/>
      </c>
      <c r="L1637" s="2197" t="str">
        <f>IF($G1637=0,"",IFERROR(_xll.ciqfunctions.udf.CIQ($G1637,$I1637,L$1557,Valuation_Date_GC,ReportType,DataMode,$H1637,FXMode)*Scale+L1608*Pension10,"n/a"))</f>
        <v/>
      </c>
      <c r="M1637" s="2197" t="str">
        <f>IF($G1637=0,"",IFERROR(_xll.ciqfunctions.udf.CIQ($G1637,$I1637,M$1557,Valuation_Date_GC,ReportType,DataMode,$H1637,FXMode)*Scale+M1608*Pension10,"n/a"))</f>
        <v/>
      </c>
      <c r="N1637" s="2197" t="str">
        <f>IF($G1637=0,"",IFERROR(_xll.ciqfunctions.udf.CIQ($G1637,$I1637,N$1557,Valuation_Date_GC,ReportType,DataMode,$H1637,FXMode)*Scale+N1608*Pension10,"n/a"))</f>
        <v/>
      </c>
      <c r="O1637" s="2197" t="str">
        <f>IF($G1637=0,"",IFERROR(_xll.ciqfunctions.udf.CIQ($G1637,$I1637,O$1557,Valuation_Date_GC,ReportType,DataMode,$H1637,FXMode)*Scale+O1608*Pension10,"n/a"))</f>
        <v/>
      </c>
      <c r="P1637" s="2197" t="str">
        <f>IF($G1637=0,"",IFERROR(_xll.ciqfunctions.udf.CIQ($G1637,$I1637,P$1557,Valuation_Date_GC,ReportType,DataMode,$H1637,FXMode)*Scale+P1608*Pension10,"n/a"))</f>
        <v/>
      </c>
      <c r="Q1637" s="2197" t="str">
        <f>IF($G1637=0,"",IFERROR(_xll.ciqfunctions.udf.CIQ($G1637,$I1637,Q$1557,Valuation_Date_GC,ReportType,DataMode,$H1637,FXMode)*Scale+Q1608*Pension10,"n/a"))</f>
        <v/>
      </c>
      <c r="R1637" s="2197" t="str">
        <f>IF($G1637=0,"",IFERROR(_xll.ciqfunctions.udf.CIQ($G1637,$I1637,R$1557,Valuation_Date_GC,ReportType,DataMode,$H1637,FXMode)*Scale+R1608*Pension10,"n/a"))</f>
        <v/>
      </c>
      <c r="S1637" s="2197" t="str">
        <f>IF($G1637=0,"",IFERROR(_xll.ciqfunctions.udf.CIQ($G1637,$I1637,S$1557,Valuation_Date_GC,ReportType,DataMode,$H1637,FXMode)*Scale+S1608*Pension10,"n/a"))</f>
        <v/>
      </c>
      <c r="T1637" s="2197" t="str">
        <f>IF($G1637=0,"",IFERROR(_xll.ciqfunctions.udf.CIQ($G1637,$I1637,T$1557,Valuation_Date_GC,ReportType,DataMode,$H1637,FXMode)*Scale+T1608*Pension10,"n/a"))</f>
        <v/>
      </c>
      <c r="U1637" s="2197" t="str">
        <f>IF($G1637=0,"",IFERROR(_xll.ciqfunctions.udf.CIQ($G1637,$I1637,U$1557,Valuation_Date_GC,ReportType,DataMode,$H1637,FXMode)*Scale+U1608*Pension10,"n/a"))</f>
        <v/>
      </c>
      <c r="V1637" s="2197" t="str">
        <f>IF($G1637=0,"",IFERROR(_xll.ciqfunctions.udf.CIQ($G1637,$I1637,V$1557,Valuation_Date_GC,ReportType,DataMode,$H1637,FXMode)*Scale+V1608*Pension10,"n/a"))</f>
        <v/>
      </c>
      <c r="W1637" s="1479"/>
      <c r="X1637" s="255"/>
      <c r="Y1637" s="255"/>
      <c r="Z1637" s="2060"/>
      <c r="AA1637" s="2060"/>
      <c r="AB1637" s="2060"/>
      <c r="AC1637" s="2060"/>
      <c r="AD1637" s="2060"/>
      <c r="AE1637" s="2060"/>
      <c r="AF1637" s="2060"/>
      <c r="AG1637" s="2060"/>
      <c r="AH1637" s="2060"/>
      <c r="AI1637" s="2060"/>
      <c r="AJ1637" s="2060"/>
      <c r="AK1637" s="2060"/>
      <c r="AL1637" s="2060"/>
      <c r="AM1637" s="2060"/>
      <c r="AN1637" s="2060"/>
      <c r="AO1637" s="2060"/>
      <c r="AP1637" s="2060"/>
      <c r="AQ1637" s="2060"/>
      <c r="AR1637" s="2060"/>
      <c r="AS1637" s="2060"/>
      <c r="AT1637" s="2060"/>
      <c r="AU1637" s="2060"/>
      <c r="AV1637" s="2060"/>
      <c r="AW1637" s="2060"/>
      <c r="AX1637" s="2060"/>
      <c r="AY1637" s="2060"/>
      <c r="AZ1637" s="2060"/>
      <c r="BA1637" s="2060"/>
      <c r="BB1637" s="2060"/>
      <c r="BC1637" s="2060"/>
      <c r="BD1637" s="2060"/>
      <c r="BE1637" s="2060"/>
      <c r="BF1637" s="2060"/>
      <c r="BG1637" s="2060"/>
      <c r="BH1637" s="2060"/>
      <c r="BI1637" s="2060"/>
      <c r="BJ1637" s="2060"/>
      <c r="BK1637" s="2060"/>
      <c r="BL1637" s="2060"/>
      <c r="BM1637" s="2060"/>
      <c r="BN1637" s="2060"/>
      <c r="BO1637" s="2060"/>
      <c r="BP1637" s="2060"/>
      <c r="BQ1637" s="2060"/>
      <c r="BR1637" s="2060"/>
      <c r="BS1637" s="2060"/>
      <c r="BT1637" s="2060"/>
      <c r="BU1637" s="2060"/>
      <c r="BV1637" s="2060"/>
      <c r="BW1637" s="2060"/>
      <c r="BX1637" s="2060"/>
      <c r="BY1637" s="2060"/>
      <c r="BZ1637" s="2060"/>
      <c r="CA1637" s="2060"/>
      <c r="CB1637" s="2060"/>
      <c r="CC1637" s="2060"/>
      <c r="CD1637" s="2060"/>
      <c r="CE1637" s="2060"/>
      <c r="CF1637" s="2060"/>
      <c r="CG1637" s="2060"/>
      <c r="CH1637" s="2060"/>
      <c r="CI1637" s="2060"/>
      <c r="CJ1637" s="2060"/>
      <c r="CK1637" s="2060"/>
      <c r="CL1637" s="2060"/>
      <c r="CM1637" s="2060"/>
      <c r="CN1637" s="2060"/>
      <c r="CO1637" s="2060"/>
      <c r="CP1637" s="2060"/>
      <c r="CQ1637" s="2060"/>
      <c r="CR1637" s="2060"/>
      <c r="CS1637" s="2060"/>
      <c r="CT1637" s="2060"/>
      <c r="CU1637" s="2060"/>
      <c r="CV1637" s="2060"/>
      <c r="CW1637" s="2060"/>
      <c r="CX1637" s="2060"/>
      <c r="CY1637" s="2060"/>
      <c r="CZ1637" s="2060"/>
      <c r="DA1637" s="2060"/>
      <c r="DB1637" s="2060"/>
      <c r="DC1637" s="2060"/>
      <c r="DD1637" s="2060"/>
      <c r="DE1637" s="2060"/>
      <c r="DF1637" s="2060"/>
      <c r="DG1637" s="2060"/>
      <c r="DH1637" s="2060"/>
      <c r="DI1637" s="2060"/>
      <c r="DJ1637" s="2060"/>
      <c r="DK1637" s="2060"/>
      <c r="DL1637" s="2060"/>
      <c r="DM1637" s="2060"/>
      <c r="DN1637" s="2060"/>
      <c r="DO1637" s="2060"/>
      <c r="DP1637" s="2060"/>
      <c r="DQ1637" s="2060"/>
      <c r="DR1637" s="2060"/>
      <c r="DS1637" s="2060"/>
      <c r="DT1637" s="2060"/>
      <c r="DU1637" s="2060"/>
      <c r="DV1637" s="2060"/>
      <c r="DW1637" s="2060"/>
      <c r="DX1637" s="2060"/>
      <c r="DY1637" s="2060"/>
      <c r="DZ1637" s="2060"/>
      <c r="EA1637" s="2060"/>
      <c r="EB1637" s="2060"/>
      <c r="EC1637" s="2060"/>
      <c r="ED1637" s="2060"/>
      <c r="EE1637" s="2060"/>
      <c r="EF1637" s="2060"/>
      <c r="EG1637" s="2060"/>
      <c r="EH1637" s="2060"/>
      <c r="EI1637" s="2060"/>
      <c r="EJ1637" s="2060"/>
      <c r="EK1637" s="2060"/>
      <c r="EL1637" s="2060"/>
      <c r="EM1637" s="2060"/>
      <c r="EN1637" s="2060"/>
      <c r="EO1637" s="2060"/>
      <c r="EP1637" s="2060"/>
      <c r="EQ1637" s="2060"/>
      <c r="ER1637" s="2060"/>
      <c r="ES1637" s="2060"/>
      <c r="ET1637" s="2060"/>
      <c r="EU1637" s="2060"/>
      <c r="EV1637" s="2060"/>
      <c r="EW1637" s="2060"/>
      <c r="EX1637" s="2060"/>
      <c r="EY1637" s="2060"/>
      <c r="EZ1637" s="2060"/>
      <c r="FA1637" s="2060"/>
      <c r="FB1637" s="2060"/>
      <c r="FC1637" s="2060"/>
      <c r="FD1637" s="2060"/>
      <c r="FE1637" s="2060"/>
      <c r="FF1637" s="2060"/>
      <c r="FG1637" s="2060"/>
      <c r="FH1637" s="2060"/>
      <c r="FI1637" s="2060"/>
      <c r="FJ1637" s="2060"/>
      <c r="FK1637" s="2060"/>
      <c r="FL1637" s="2060"/>
      <c r="FM1637" s="2060"/>
      <c r="FN1637" s="2060"/>
      <c r="FO1637" s="2060"/>
      <c r="FP1637" s="2060"/>
      <c r="FQ1637" s="2060"/>
      <c r="FR1637" s="2060"/>
      <c r="FS1637" s="2060"/>
      <c r="FT1637" s="2060"/>
      <c r="FU1637" s="2060"/>
      <c r="FV1637" s="2060"/>
      <c r="FW1637" s="2060"/>
      <c r="FX1637" s="2060"/>
      <c r="FY1637" s="2060"/>
      <c r="FZ1637" s="2060"/>
      <c r="GA1637" s="2060"/>
      <c r="GB1637" s="2060"/>
      <c r="GC1637" s="2060"/>
      <c r="GD1637" s="2060"/>
      <c r="GE1637" s="2060"/>
      <c r="GF1637" s="2060"/>
      <c r="GG1637" s="2060"/>
      <c r="GH1637" s="2060"/>
      <c r="GI1637" s="2060"/>
      <c r="GJ1637" s="2060"/>
      <c r="GK1637" s="2060"/>
      <c r="GL1637" s="2060"/>
      <c r="GM1637" s="2060"/>
      <c r="GN1637" s="2060"/>
      <c r="GO1637" s="2060"/>
      <c r="GP1637" s="2060"/>
      <c r="GQ1637" s="2060"/>
      <c r="GR1637" s="2060"/>
      <c r="GS1637" s="2060"/>
      <c r="GT1637" s="2060"/>
      <c r="GU1637" s="2060"/>
      <c r="GV1637" s="2060"/>
      <c r="GW1637" s="2060"/>
      <c r="GX1637" s="2060"/>
      <c r="GY1637" s="2060"/>
      <c r="GZ1637" s="2060"/>
      <c r="HA1637" s="2060"/>
      <c r="HB1637" s="2060"/>
      <c r="HC1637" s="2060"/>
      <c r="HD1637" s="2060"/>
      <c r="HE1637" s="2060"/>
      <c r="HF1637" s="2060"/>
      <c r="HG1637" s="2060"/>
      <c r="HH1637" s="2060"/>
      <c r="HI1637" s="2060"/>
      <c r="HJ1637" s="2060"/>
      <c r="HK1637" s="2060"/>
      <c r="HL1637" s="2060"/>
      <c r="HM1637" s="2060"/>
      <c r="HN1637" s="2060"/>
      <c r="HO1637" s="2060"/>
      <c r="HP1637" s="2060"/>
      <c r="HQ1637" s="2060"/>
      <c r="HR1637" s="2060"/>
      <c r="HS1637" s="2060"/>
      <c r="HT1637" s="2060"/>
      <c r="HU1637" s="2060"/>
      <c r="HV1637" s="2060"/>
      <c r="HW1637" s="2060"/>
      <c r="HX1637" s="2060"/>
      <c r="HY1637" s="2060"/>
      <c r="HZ1637" s="2060"/>
      <c r="IA1637" s="2060"/>
      <c r="IB1637" s="2060"/>
      <c r="IC1637" s="2060"/>
      <c r="ID1637" s="2060"/>
      <c r="IE1637" s="2060"/>
      <c r="IF1637" s="2060"/>
      <c r="IG1637" s="2060"/>
      <c r="IH1637" s="2060"/>
      <c r="II1637" s="2060"/>
      <c r="IJ1637" s="2060"/>
      <c r="IK1637" s="2060"/>
      <c r="IL1637" s="2060"/>
      <c r="IM1637" s="2060"/>
      <c r="IN1637" s="2060"/>
      <c r="IO1637" s="2060"/>
      <c r="IP1637" s="2060"/>
      <c r="IQ1637" s="2060"/>
      <c r="IR1637" s="2060"/>
      <c r="IS1637" s="2060"/>
      <c r="IT1637" s="2060"/>
      <c r="IU1637" s="2060"/>
      <c r="IV1637" s="2060"/>
      <c r="IW1637" s="2060"/>
      <c r="IX1637" s="2060"/>
      <c r="IY1637" s="2060"/>
      <c r="IZ1637" s="2060"/>
      <c r="JA1637" s="2060"/>
      <c r="JB1637" s="2060"/>
      <c r="JC1637" s="2060"/>
      <c r="JD1637" s="2060"/>
      <c r="JE1637" s="2060"/>
      <c r="JF1637" s="2060"/>
      <c r="JG1637" s="2060"/>
      <c r="JH1637" s="2060"/>
      <c r="JI1637" s="2060"/>
      <c r="JJ1637" s="2060"/>
      <c r="JK1637" s="2060"/>
      <c r="JL1637" s="2060"/>
      <c r="JM1637" s="2060"/>
      <c r="JN1637" s="2060"/>
      <c r="JO1637" s="2060"/>
      <c r="JP1637" s="2060"/>
      <c r="JQ1637" s="2060"/>
      <c r="JR1637" s="2060"/>
      <c r="JS1637" s="2060"/>
      <c r="JT1637" s="2060"/>
      <c r="JU1637" s="2060"/>
      <c r="JV1637" s="2060"/>
      <c r="JW1637" s="2060"/>
      <c r="JX1637" s="2060"/>
      <c r="JY1637" s="2060"/>
      <c r="JZ1637" s="2060"/>
      <c r="KA1637" s="2060"/>
      <c r="KB1637" s="2060"/>
      <c r="KC1637" s="2060"/>
      <c r="KD1637" s="2060"/>
      <c r="KE1637" s="2060"/>
      <c r="KF1637" s="2060"/>
      <c r="KG1637" s="2060"/>
      <c r="KH1637" s="2060"/>
      <c r="KI1637" s="2060"/>
      <c r="KJ1637" s="2060"/>
      <c r="KK1637" s="2060"/>
      <c r="KL1637" s="2060"/>
      <c r="KM1637" s="2060"/>
      <c r="KN1637" s="2060"/>
      <c r="KO1637" s="2060"/>
      <c r="KP1637" s="2060"/>
      <c r="KQ1637" s="2060"/>
      <c r="KR1637" s="2060"/>
      <c r="KS1637" s="2060"/>
      <c r="KT1637" s="2060"/>
      <c r="KU1637" s="2060"/>
      <c r="KV1637" s="2060"/>
      <c r="KW1637" s="2060"/>
      <c r="KX1637" s="2060"/>
      <c r="KY1637" s="2060"/>
      <c r="KZ1637" s="2060"/>
      <c r="LA1637" s="2060"/>
      <c r="LB1637" s="2060"/>
      <c r="LC1637" s="2060"/>
      <c r="LD1637" s="2060"/>
      <c r="LE1637" s="2060"/>
      <c r="LF1637" s="2060"/>
      <c r="LG1637" s="2060"/>
      <c r="LH1637" s="2060"/>
    </row>
    <row r="1638" spans="1:320" s="1499" customFormat="1" ht="13.9">
      <c r="A1638" s="269" t="str">
        <f t="shared" si="441"/>
        <v>n</v>
      </c>
      <c r="B1638" s="2060"/>
      <c r="C1638" s="2060"/>
      <c r="D1638" s="2060"/>
      <c r="E1638" s="1661">
        <v>22</v>
      </c>
      <c r="F1638" s="1353" t="str">
        <f>F$150</f>
        <v>--</v>
      </c>
      <c r="G1638" s="128">
        <f>G$150</f>
        <v>0</v>
      </c>
      <c r="H1638" s="128" t="str">
        <f>H$150</f>
        <v>--</v>
      </c>
      <c r="I1638" s="89" t="s">
        <v>783</v>
      </c>
      <c r="J1638" s="2197" t="str">
        <f>IF($G1638=0,"",IFERROR(_xll.ciqfunctions.udf.CIQ($G1638,$I1638,J$1557,Valuation_Date_GC,ReportType,DataMode,$H1638,FXMode)*Scale+J1609*Pension10,"n/a"))</f>
        <v/>
      </c>
      <c r="K1638" s="2197" t="str">
        <f>IF($G1638=0,"",IFERROR(_xll.ciqfunctions.udf.CIQ($G1638,$I1638,K$1557,Valuation_Date_GC,ReportType,DataMode,$H1638,FXMode)*Scale+K1609*Pension10,"n/a"))</f>
        <v/>
      </c>
      <c r="L1638" s="2197" t="str">
        <f>IF($G1638=0,"",IFERROR(_xll.ciqfunctions.udf.CIQ($G1638,$I1638,L$1557,Valuation_Date_GC,ReportType,DataMode,$H1638,FXMode)*Scale+L1609*Pension10,"n/a"))</f>
        <v/>
      </c>
      <c r="M1638" s="2197" t="str">
        <f>IF($G1638=0,"",IFERROR(_xll.ciqfunctions.udf.CIQ($G1638,$I1638,M$1557,Valuation_Date_GC,ReportType,DataMode,$H1638,FXMode)*Scale+M1609*Pension10,"n/a"))</f>
        <v/>
      </c>
      <c r="N1638" s="2197" t="str">
        <f>IF($G1638=0,"",IFERROR(_xll.ciqfunctions.udf.CIQ($G1638,$I1638,N$1557,Valuation_Date_GC,ReportType,DataMode,$H1638,FXMode)*Scale+N1609*Pension10,"n/a"))</f>
        <v/>
      </c>
      <c r="O1638" s="2197" t="str">
        <f>IF($G1638=0,"",IFERROR(_xll.ciqfunctions.udf.CIQ($G1638,$I1638,O$1557,Valuation_Date_GC,ReportType,DataMode,$H1638,FXMode)*Scale+O1609*Pension10,"n/a"))</f>
        <v/>
      </c>
      <c r="P1638" s="2197" t="str">
        <f>IF($G1638=0,"",IFERROR(_xll.ciqfunctions.udf.CIQ($G1638,$I1638,P$1557,Valuation_Date_GC,ReportType,DataMode,$H1638,FXMode)*Scale+P1609*Pension10,"n/a"))</f>
        <v/>
      </c>
      <c r="Q1638" s="2197" t="str">
        <f>IF($G1638=0,"",IFERROR(_xll.ciqfunctions.udf.CIQ($G1638,$I1638,Q$1557,Valuation_Date_GC,ReportType,DataMode,$H1638,FXMode)*Scale+Q1609*Pension10,"n/a"))</f>
        <v/>
      </c>
      <c r="R1638" s="2197" t="str">
        <f>IF($G1638=0,"",IFERROR(_xll.ciqfunctions.udf.CIQ($G1638,$I1638,R$1557,Valuation_Date_GC,ReportType,DataMode,$H1638,FXMode)*Scale+R1609*Pension10,"n/a"))</f>
        <v/>
      </c>
      <c r="S1638" s="2197" t="str">
        <f>IF($G1638=0,"",IFERROR(_xll.ciqfunctions.udf.CIQ($G1638,$I1638,S$1557,Valuation_Date_GC,ReportType,DataMode,$H1638,FXMode)*Scale+S1609*Pension10,"n/a"))</f>
        <v/>
      </c>
      <c r="T1638" s="2197" t="str">
        <f>IF($G1638=0,"",IFERROR(_xll.ciqfunctions.udf.CIQ($G1638,$I1638,T$1557,Valuation_Date_GC,ReportType,DataMode,$H1638,FXMode)*Scale+T1609*Pension10,"n/a"))</f>
        <v/>
      </c>
      <c r="U1638" s="2197" t="str">
        <f>IF($G1638=0,"",IFERROR(_xll.ciqfunctions.udf.CIQ($G1638,$I1638,U$1557,Valuation_Date_GC,ReportType,DataMode,$H1638,FXMode)*Scale+U1609*Pension10,"n/a"))</f>
        <v/>
      </c>
      <c r="V1638" s="2197" t="str">
        <f>IF($G1638=0,"",IFERROR(_xll.ciqfunctions.udf.CIQ($G1638,$I1638,V$1557,Valuation_Date_GC,ReportType,DataMode,$H1638,FXMode)*Scale+V1609*Pension10,"n/a"))</f>
        <v/>
      </c>
      <c r="W1638" s="1479"/>
      <c r="X1638" s="255"/>
      <c r="Y1638" s="255"/>
      <c r="Z1638" s="2060"/>
      <c r="AA1638" s="2060"/>
      <c r="AB1638" s="2060"/>
      <c r="AC1638" s="2060"/>
      <c r="AD1638" s="2060"/>
      <c r="AE1638" s="2060"/>
      <c r="AF1638" s="2060"/>
      <c r="AG1638" s="2060"/>
      <c r="AH1638" s="2060"/>
      <c r="AI1638" s="2060"/>
      <c r="AJ1638" s="2060"/>
      <c r="AK1638" s="2060"/>
      <c r="AL1638" s="2060"/>
      <c r="AM1638" s="2060"/>
      <c r="AN1638" s="2060"/>
      <c r="AO1638" s="2060"/>
      <c r="AP1638" s="2060"/>
      <c r="AQ1638" s="2060"/>
      <c r="AR1638" s="2060"/>
      <c r="AS1638" s="2060"/>
      <c r="AT1638" s="2060"/>
      <c r="AU1638" s="2060"/>
      <c r="AV1638" s="2060"/>
      <c r="AW1638" s="2060"/>
      <c r="AX1638" s="2060"/>
      <c r="AY1638" s="2060"/>
      <c r="AZ1638" s="2060"/>
      <c r="BA1638" s="2060"/>
      <c r="BB1638" s="2060"/>
      <c r="BC1638" s="2060"/>
      <c r="BD1638" s="2060"/>
      <c r="BE1638" s="2060"/>
      <c r="BF1638" s="2060"/>
      <c r="BG1638" s="2060"/>
      <c r="BH1638" s="2060"/>
      <c r="BI1638" s="2060"/>
      <c r="BJ1638" s="2060"/>
      <c r="BK1638" s="2060"/>
      <c r="BL1638" s="2060"/>
      <c r="BM1638" s="2060"/>
      <c r="BN1638" s="2060"/>
      <c r="BO1638" s="2060"/>
      <c r="BP1638" s="2060"/>
      <c r="BQ1638" s="2060"/>
      <c r="BR1638" s="2060"/>
      <c r="BS1638" s="2060"/>
      <c r="BT1638" s="2060"/>
      <c r="BU1638" s="2060"/>
      <c r="BV1638" s="2060"/>
      <c r="BW1638" s="2060"/>
      <c r="BX1638" s="2060"/>
      <c r="BY1638" s="2060"/>
      <c r="BZ1638" s="2060"/>
      <c r="CA1638" s="2060"/>
      <c r="CB1638" s="2060"/>
      <c r="CC1638" s="2060"/>
      <c r="CD1638" s="2060"/>
      <c r="CE1638" s="2060"/>
      <c r="CF1638" s="2060"/>
      <c r="CG1638" s="2060"/>
      <c r="CH1638" s="2060"/>
      <c r="CI1638" s="2060"/>
      <c r="CJ1638" s="2060"/>
      <c r="CK1638" s="2060"/>
      <c r="CL1638" s="2060"/>
      <c r="CM1638" s="2060"/>
      <c r="CN1638" s="2060"/>
      <c r="CO1638" s="2060"/>
      <c r="CP1638" s="2060"/>
      <c r="CQ1638" s="2060"/>
      <c r="CR1638" s="2060"/>
      <c r="CS1638" s="2060"/>
      <c r="CT1638" s="2060"/>
      <c r="CU1638" s="2060"/>
      <c r="CV1638" s="2060"/>
      <c r="CW1638" s="2060"/>
      <c r="CX1638" s="2060"/>
      <c r="CY1638" s="2060"/>
      <c r="CZ1638" s="2060"/>
      <c r="DA1638" s="2060"/>
      <c r="DB1638" s="2060"/>
      <c r="DC1638" s="2060"/>
      <c r="DD1638" s="2060"/>
      <c r="DE1638" s="2060"/>
      <c r="DF1638" s="2060"/>
      <c r="DG1638" s="2060"/>
      <c r="DH1638" s="2060"/>
      <c r="DI1638" s="2060"/>
      <c r="DJ1638" s="2060"/>
      <c r="DK1638" s="2060"/>
      <c r="DL1638" s="2060"/>
      <c r="DM1638" s="2060"/>
      <c r="DN1638" s="2060"/>
      <c r="DO1638" s="2060"/>
      <c r="DP1638" s="2060"/>
      <c r="DQ1638" s="2060"/>
      <c r="DR1638" s="2060"/>
      <c r="DS1638" s="2060"/>
      <c r="DT1638" s="2060"/>
      <c r="DU1638" s="2060"/>
      <c r="DV1638" s="2060"/>
      <c r="DW1638" s="2060"/>
      <c r="DX1638" s="2060"/>
      <c r="DY1638" s="2060"/>
      <c r="DZ1638" s="2060"/>
      <c r="EA1638" s="2060"/>
      <c r="EB1638" s="2060"/>
      <c r="EC1638" s="2060"/>
      <c r="ED1638" s="2060"/>
      <c r="EE1638" s="2060"/>
      <c r="EF1638" s="2060"/>
      <c r="EG1638" s="2060"/>
      <c r="EH1638" s="2060"/>
      <c r="EI1638" s="2060"/>
      <c r="EJ1638" s="2060"/>
      <c r="EK1638" s="2060"/>
      <c r="EL1638" s="2060"/>
      <c r="EM1638" s="2060"/>
      <c r="EN1638" s="2060"/>
      <c r="EO1638" s="2060"/>
      <c r="EP1638" s="2060"/>
      <c r="EQ1638" s="2060"/>
      <c r="ER1638" s="2060"/>
      <c r="ES1638" s="2060"/>
      <c r="ET1638" s="2060"/>
      <c r="EU1638" s="2060"/>
      <c r="EV1638" s="2060"/>
      <c r="EW1638" s="2060"/>
      <c r="EX1638" s="2060"/>
      <c r="EY1638" s="2060"/>
      <c r="EZ1638" s="2060"/>
      <c r="FA1638" s="2060"/>
      <c r="FB1638" s="2060"/>
      <c r="FC1638" s="2060"/>
      <c r="FD1638" s="2060"/>
      <c r="FE1638" s="2060"/>
      <c r="FF1638" s="2060"/>
      <c r="FG1638" s="2060"/>
      <c r="FH1638" s="2060"/>
      <c r="FI1638" s="2060"/>
      <c r="FJ1638" s="2060"/>
      <c r="FK1638" s="2060"/>
      <c r="FL1638" s="2060"/>
      <c r="FM1638" s="2060"/>
      <c r="FN1638" s="2060"/>
      <c r="FO1638" s="2060"/>
      <c r="FP1638" s="2060"/>
      <c r="FQ1638" s="2060"/>
      <c r="FR1638" s="2060"/>
      <c r="FS1638" s="2060"/>
      <c r="FT1638" s="2060"/>
      <c r="FU1638" s="2060"/>
      <c r="FV1638" s="2060"/>
      <c r="FW1638" s="2060"/>
      <c r="FX1638" s="2060"/>
      <c r="FY1638" s="2060"/>
      <c r="FZ1638" s="2060"/>
      <c r="GA1638" s="2060"/>
      <c r="GB1638" s="2060"/>
      <c r="GC1638" s="2060"/>
      <c r="GD1638" s="2060"/>
      <c r="GE1638" s="2060"/>
      <c r="GF1638" s="2060"/>
      <c r="GG1638" s="2060"/>
      <c r="GH1638" s="2060"/>
      <c r="GI1638" s="2060"/>
      <c r="GJ1638" s="2060"/>
      <c r="GK1638" s="2060"/>
      <c r="GL1638" s="2060"/>
      <c r="GM1638" s="2060"/>
      <c r="GN1638" s="2060"/>
      <c r="GO1638" s="2060"/>
      <c r="GP1638" s="2060"/>
      <c r="GQ1638" s="2060"/>
      <c r="GR1638" s="2060"/>
      <c r="GS1638" s="2060"/>
      <c r="GT1638" s="2060"/>
      <c r="GU1638" s="2060"/>
      <c r="GV1638" s="2060"/>
      <c r="GW1638" s="2060"/>
      <c r="GX1638" s="2060"/>
      <c r="GY1638" s="2060"/>
      <c r="GZ1638" s="2060"/>
      <c r="HA1638" s="2060"/>
      <c r="HB1638" s="2060"/>
      <c r="HC1638" s="2060"/>
      <c r="HD1638" s="2060"/>
      <c r="HE1638" s="2060"/>
      <c r="HF1638" s="2060"/>
      <c r="HG1638" s="2060"/>
      <c r="HH1638" s="2060"/>
      <c r="HI1638" s="2060"/>
      <c r="HJ1638" s="2060"/>
      <c r="HK1638" s="2060"/>
      <c r="HL1638" s="2060"/>
      <c r="HM1638" s="2060"/>
      <c r="HN1638" s="2060"/>
      <c r="HO1638" s="2060"/>
      <c r="HP1638" s="2060"/>
      <c r="HQ1638" s="2060"/>
      <c r="HR1638" s="2060"/>
      <c r="HS1638" s="2060"/>
      <c r="HT1638" s="2060"/>
      <c r="HU1638" s="2060"/>
      <c r="HV1638" s="2060"/>
      <c r="HW1638" s="2060"/>
      <c r="HX1638" s="2060"/>
      <c r="HY1638" s="2060"/>
      <c r="HZ1638" s="2060"/>
      <c r="IA1638" s="2060"/>
      <c r="IB1638" s="2060"/>
      <c r="IC1638" s="2060"/>
      <c r="ID1638" s="2060"/>
      <c r="IE1638" s="2060"/>
      <c r="IF1638" s="2060"/>
      <c r="IG1638" s="2060"/>
      <c r="IH1638" s="2060"/>
      <c r="II1638" s="2060"/>
      <c r="IJ1638" s="2060"/>
      <c r="IK1638" s="2060"/>
      <c r="IL1638" s="2060"/>
      <c r="IM1638" s="2060"/>
      <c r="IN1638" s="2060"/>
      <c r="IO1638" s="2060"/>
      <c r="IP1638" s="2060"/>
      <c r="IQ1638" s="2060"/>
      <c r="IR1638" s="2060"/>
      <c r="IS1638" s="2060"/>
      <c r="IT1638" s="2060"/>
      <c r="IU1638" s="2060"/>
      <c r="IV1638" s="2060"/>
      <c r="IW1638" s="2060"/>
      <c r="IX1638" s="2060"/>
      <c r="IY1638" s="2060"/>
      <c r="IZ1638" s="2060"/>
      <c r="JA1638" s="2060"/>
      <c r="JB1638" s="2060"/>
      <c r="JC1638" s="2060"/>
      <c r="JD1638" s="2060"/>
      <c r="JE1638" s="2060"/>
      <c r="JF1638" s="2060"/>
      <c r="JG1638" s="2060"/>
      <c r="JH1638" s="2060"/>
      <c r="JI1638" s="2060"/>
      <c r="JJ1638" s="2060"/>
      <c r="JK1638" s="2060"/>
      <c r="JL1638" s="2060"/>
      <c r="JM1638" s="2060"/>
      <c r="JN1638" s="2060"/>
      <c r="JO1638" s="2060"/>
      <c r="JP1638" s="2060"/>
      <c r="JQ1638" s="2060"/>
      <c r="JR1638" s="2060"/>
      <c r="JS1638" s="2060"/>
      <c r="JT1638" s="2060"/>
      <c r="JU1638" s="2060"/>
      <c r="JV1638" s="2060"/>
      <c r="JW1638" s="2060"/>
      <c r="JX1638" s="2060"/>
      <c r="JY1638" s="2060"/>
      <c r="JZ1638" s="2060"/>
      <c r="KA1638" s="2060"/>
      <c r="KB1638" s="2060"/>
      <c r="KC1638" s="2060"/>
      <c r="KD1638" s="2060"/>
      <c r="KE1638" s="2060"/>
      <c r="KF1638" s="2060"/>
      <c r="KG1638" s="2060"/>
      <c r="KH1638" s="2060"/>
      <c r="KI1638" s="2060"/>
      <c r="KJ1638" s="2060"/>
      <c r="KK1638" s="2060"/>
      <c r="KL1638" s="2060"/>
      <c r="KM1638" s="2060"/>
      <c r="KN1638" s="2060"/>
      <c r="KO1638" s="2060"/>
      <c r="KP1638" s="2060"/>
      <c r="KQ1638" s="2060"/>
      <c r="KR1638" s="2060"/>
      <c r="KS1638" s="2060"/>
      <c r="KT1638" s="2060"/>
      <c r="KU1638" s="2060"/>
      <c r="KV1638" s="2060"/>
      <c r="KW1638" s="2060"/>
      <c r="KX1638" s="2060"/>
      <c r="KY1638" s="2060"/>
      <c r="KZ1638" s="2060"/>
      <c r="LA1638" s="2060"/>
      <c r="LB1638" s="2060"/>
      <c r="LC1638" s="2060"/>
      <c r="LD1638" s="2060"/>
      <c r="LE1638" s="2060"/>
      <c r="LF1638" s="2060"/>
      <c r="LG1638" s="2060"/>
      <c r="LH1638" s="2060"/>
    </row>
    <row r="1639" spans="1:320" s="1499" customFormat="1" ht="13.9">
      <c r="A1639" s="269" t="str">
        <f t="shared" si="441"/>
        <v>n</v>
      </c>
      <c r="B1639" s="2060"/>
      <c r="C1639" s="2060"/>
      <c r="D1639" s="2060"/>
      <c r="E1639" s="1661">
        <v>23</v>
      </c>
      <c r="F1639" s="1353" t="str">
        <f>F$151</f>
        <v>--</v>
      </c>
      <c r="G1639" s="128">
        <f>G$151</f>
        <v>0</v>
      </c>
      <c r="H1639" s="128" t="str">
        <f>H$151</f>
        <v>--</v>
      </c>
      <c r="I1639" s="89" t="s">
        <v>783</v>
      </c>
      <c r="J1639" s="2197" t="str">
        <f>IF($G1639=0,"",IFERROR(_xll.ciqfunctions.udf.CIQ($G1639,$I1639,J$1557,Valuation_Date_GC,ReportType,DataMode,$H1639,FXMode)*Scale+J1610*Pension10,"n/a"))</f>
        <v/>
      </c>
      <c r="K1639" s="2197" t="str">
        <f>IF($G1639=0,"",IFERROR(_xll.ciqfunctions.udf.CIQ($G1639,$I1639,K$1557,Valuation_Date_GC,ReportType,DataMode,$H1639,FXMode)*Scale+K1610*Pension10,"n/a"))</f>
        <v/>
      </c>
      <c r="L1639" s="2197" t="str">
        <f>IF($G1639=0,"",IFERROR(_xll.ciqfunctions.udf.CIQ($G1639,$I1639,L$1557,Valuation_Date_GC,ReportType,DataMode,$H1639,FXMode)*Scale+L1610*Pension10,"n/a"))</f>
        <v/>
      </c>
      <c r="M1639" s="2197" t="str">
        <f>IF($G1639=0,"",IFERROR(_xll.ciqfunctions.udf.CIQ($G1639,$I1639,M$1557,Valuation_Date_GC,ReportType,DataMode,$H1639,FXMode)*Scale+M1610*Pension10,"n/a"))</f>
        <v/>
      </c>
      <c r="N1639" s="2197" t="str">
        <f>IF($G1639=0,"",IFERROR(_xll.ciqfunctions.udf.CIQ($G1639,$I1639,N$1557,Valuation_Date_GC,ReportType,DataMode,$H1639,FXMode)*Scale+N1610*Pension10,"n/a"))</f>
        <v/>
      </c>
      <c r="O1639" s="2197" t="str">
        <f>IF($G1639=0,"",IFERROR(_xll.ciqfunctions.udf.CIQ($G1639,$I1639,O$1557,Valuation_Date_GC,ReportType,DataMode,$H1639,FXMode)*Scale+O1610*Pension10,"n/a"))</f>
        <v/>
      </c>
      <c r="P1639" s="2197" t="str">
        <f>IF($G1639=0,"",IFERROR(_xll.ciqfunctions.udf.CIQ($G1639,$I1639,P$1557,Valuation_Date_GC,ReportType,DataMode,$H1639,FXMode)*Scale+P1610*Pension10,"n/a"))</f>
        <v/>
      </c>
      <c r="Q1639" s="2197" t="str">
        <f>IF($G1639=0,"",IFERROR(_xll.ciqfunctions.udf.CIQ($G1639,$I1639,Q$1557,Valuation_Date_GC,ReportType,DataMode,$H1639,FXMode)*Scale+Q1610*Pension10,"n/a"))</f>
        <v/>
      </c>
      <c r="R1639" s="2197" t="str">
        <f>IF($G1639=0,"",IFERROR(_xll.ciqfunctions.udf.CIQ($G1639,$I1639,R$1557,Valuation_Date_GC,ReportType,DataMode,$H1639,FXMode)*Scale+R1610*Pension10,"n/a"))</f>
        <v/>
      </c>
      <c r="S1639" s="2197" t="str">
        <f>IF($G1639=0,"",IFERROR(_xll.ciqfunctions.udf.CIQ($G1639,$I1639,S$1557,Valuation_Date_GC,ReportType,DataMode,$H1639,FXMode)*Scale+S1610*Pension10,"n/a"))</f>
        <v/>
      </c>
      <c r="T1639" s="2197" t="str">
        <f>IF($G1639=0,"",IFERROR(_xll.ciqfunctions.udf.CIQ($G1639,$I1639,T$1557,Valuation_Date_GC,ReportType,DataMode,$H1639,FXMode)*Scale+T1610*Pension10,"n/a"))</f>
        <v/>
      </c>
      <c r="U1639" s="2197" t="str">
        <f>IF($G1639=0,"",IFERROR(_xll.ciqfunctions.udf.CIQ($G1639,$I1639,U$1557,Valuation_Date_GC,ReportType,DataMode,$H1639,FXMode)*Scale+U1610*Pension10,"n/a"))</f>
        <v/>
      </c>
      <c r="V1639" s="2197" t="str">
        <f>IF($G1639=0,"",IFERROR(_xll.ciqfunctions.udf.CIQ($G1639,$I1639,V$1557,Valuation_Date_GC,ReportType,DataMode,$H1639,FXMode)*Scale+V1610*Pension10,"n/a"))</f>
        <v/>
      </c>
      <c r="W1639" s="1479"/>
      <c r="X1639" s="255"/>
      <c r="Y1639" s="255"/>
      <c r="Z1639" s="2060"/>
      <c r="AA1639" s="2060"/>
      <c r="AB1639" s="2060"/>
      <c r="AC1639" s="2060"/>
      <c r="AD1639" s="2060"/>
      <c r="AE1639" s="2060"/>
      <c r="AF1639" s="2060"/>
      <c r="AG1639" s="2060"/>
      <c r="AH1639" s="2060"/>
      <c r="AI1639" s="2060"/>
      <c r="AJ1639" s="2060"/>
      <c r="AK1639" s="2060"/>
      <c r="AL1639" s="2060"/>
      <c r="AM1639" s="2060"/>
      <c r="AN1639" s="2060"/>
      <c r="AO1639" s="2060"/>
      <c r="AP1639" s="2060"/>
      <c r="AQ1639" s="2060"/>
      <c r="AR1639" s="2060"/>
      <c r="AS1639" s="2060"/>
      <c r="AT1639" s="2060"/>
      <c r="AU1639" s="2060"/>
      <c r="AV1639" s="2060"/>
      <c r="AW1639" s="2060"/>
      <c r="AX1639" s="2060"/>
      <c r="AY1639" s="2060"/>
      <c r="AZ1639" s="2060"/>
      <c r="BA1639" s="2060"/>
      <c r="BB1639" s="2060"/>
      <c r="BC1639" s="2060"/>
      <c r="BD1639" s="2060"/>
      <c r="BE1639" s="2060"/>
      <c r="BF1639" s="2060"/>
      <c r="BG1639" s="2060"/>
      <c r="BH1639" s="2060"/>
      <c r="BI1639" s="2060"/>
      <c r="BJ1639" s="2060"/>
      <c r="BK1639" s="2060"/>
      <c r="BL1639" s="2060"/>
      <c r="BM1639" s="2060"/>
      <c r="BN1639" s="2060"/>
      <c r="BO1639" s="2060"/>
      <c r="BP1639" s="2060"/>
      <c r="BQ1639" s="2060"/>
      <c r="BR1639" s="2060"/>
      <c r="BS1639" s="2060"/>
      <c r="BT1639" s="2060"/>
      <c r="BU1639" s="2060"/>
      <c r="BV1639" s="2060"/>
      <c r="BW1639" s="2060"/>
      <c r="BX1639" s="2060"/>
      <c r="BY1639" s="2060"/>
      <c r="BZ1639" s="2060"/>
      <c r="CA1639" s="2060"/>
      <c r="CB1639" s="2060"/>
      <c r="CC1639" s="2060"/>
      <c r="CD1639" s="2060"/>
      <c r="CE1639" s="2060"/>
      <c r="CF1639" s="2060"/>
      <c r="CG1639" s="2060"/>
      <c r="CH1639" s="2060"/>
      <c r="CI1639" s="2060"/>
      <c r="CJ1639" s="2060"/>
      <c r="CK1639" s="2060"/>
      <c r="CL1639" s="2060"/>
      <c r="CM1639" s="2060"/>
      <c r="CN1639" s="2060"/>
      <c r="CO1639" s="2060"/>
      <c r="CP1639" s="2060"/>
      <c r="CQ1639" s="2060"/>
      <c r="CR1639" s="2060"/>
      <c r="CS1639" s="2060"/>
      <c r="CT1639" s="2060"/>
      <c r="CU1639" s="2060"/>
      <c r="CV1639" s="2060"/>
      <c r="CW1639" s="2060"/>
      <c r="CX1639" s="2060"/>
      <c r="CY1639" s="2060"/>
      <c r="CZ1639" s="2060"/>
      <c r="DA1639" s="2060"/>
      <c r="DB1639" s="2060"/>
      <c r="DC1639" s="2060"/>
      <c r="DD1639" s="2060"/>
      <c r="DE1639" s="2060"/>
      <c r="DF1639" s="2060"/>
      <c r="DG1639" s="2060"/>
      <c r="DH1639" s="2060"/>
      <c r="DI1639" s="2060"/>
      <c r="DJ1639" s="2060"/>
      <c r="DK1639" s="2060"/>
      <c r="DL1639" s="2060"/>
      <c r="DM1639" s="2060"/>
      <c r="DN1639" s="2060"/>
      <c r="DO1639" s="2060"/>
      <c r="DP1639" s="2060"/>
      <c r="DQ1639" s="2060"/>
      <c r="DR1639" s="2060"/>
      <c r="DS1639" s="2060"/>
      <c r="DT1639" s="2060"/>
      <c r="DU1639" s="2060"/>
      <c r="DV1639" s="2060"/>
      <c r="DW1639" s="2060"/>
      <c r="DX1639" s="2060"/>
      <c r="DY1639" s="2060"/>
      <c r="DZ1639" s="2060"/>
      <c r="EA1639" s="2060"/>
      <c r="EB1639" s="2060"/>
      <c r="EC1639" s="2060"/>
      <c r="ED1639" s="2060"/>
      <c r="EE1639" s="2060"/>
      <c r="EF1639" s="2060"/>
      <c r="EG1639" s="2060"/>
      <c r="EH1639" s="2060"/>
      <c r="EI1639" s="2060"/>
      <c r="EJ1639" s="2060"/>
      <c r="EK1639" s="2060"/>
      <c r="EL1639" s="2060"/>
      <c r="EM1639" s="2060"/>
      <c r="EN1639" s="2060"/>
      <c r="EO1639" s="2060"/>
      <c r="EP1639" s="2060"/>
      <c r="EQ1639" s="2060"/>
      <c r="ER1639" s="2060"/>
      <c r="ES1639" s="2060"/>
      <c r="ET1639" s="2060"/>
      <c r="EU1639" s="2060"/>
      <c r="EV1639" s="2060"/>
      <c r="EW1639" s="2060"/>
      <c r="EX1639" s="2060"/>
      <c r="EY1639" s="2060"/>
      <c r="EZ1639" s="2060"/>
      <c r="FA1639" s="2060"/>
      <c r="FB1639" s="2060"/>
      <c r="FC1639" s="2060"/>
      <c r="FD1639" s="2060"/>
      <c r="FE1639" s="2060"/>
      <c r="FF1639" s="2060"/>
      <c r="FG1639" s="2060"/>
      <c r="FH1639" s="2060"/>
      <c r="FI1639" s="2060"/>
      <c r="FJ1639" s="2060"/>
      <c r="FK1639" s="2060"/>
      <c r="FL1639" s="2060"/>
      <c r="FM1639" s="2060"/>
      <c r="FN1639" s="2060"/>
      <c r="FO1639" s="2060"/>
      <c r="FP1639" s="2060"/>
      <c r="FQ1639" s="2060"/>
      <c r="FR1639" s="2060"/>
      <c r="FS1639" s="2060"/>
      <c r="FT1639" s="2060"/>
      <c r="FU1639" s="2060"/>
      <c r="FV1639" s="2060"/>
      <c r="FW1639" s="2060"/>
      <c r="FX1639" s="2060"/>
      <c r="FY1639" s="2060"/>
      <c r="FZ1639" s="2060"/>
      <c r="GA1639" s="2060"/>
      <c r="GB1639" s="2060"/>
      <c r="GC1639" s="2060"/>
      <c r="GD1639" s="2060"/>
      <c r="GE1639" s="2060"/>
      <c r="GF1639" s="2060"/>
      <c r="GG1639" s="2060"/>
      <c r="GH1639" s="2060"/>
      <c r="GI1639" s="2060"/>
      <c r="GJ1639" s="2060"/>
      <c r="GK1639" s="2060"/>
      <c r="GL1639" s="2060"/>
      <c r="GM1639" s="2060"/>
      <c r="GN1639" s="2060"/>
      <c r="GO1639" s="2060"/>
      <c r="GP1639" s="2060"/>
      <c r="GQ1639" s="2060"/>
      <c r="GR1639" s="2060"/>
      <c r="GS1639" s="2060"/>
      <c r="GT1639" s="2060"/>
      <c r="GU1639" s="2060"/>
      <c r="GV1639" s="2060"/>
      <c r="GW1639" s="2060"/>
      <c r="GX1639" s="2060"/>
      <c r="GY1639" s="2060"/>
      <c r="GZ1639" s="2060"/>
      <c r="HA1639" s="2060"/>
      <c r="HB1639" s="2060"/>
      <c r="HC1639" s="2060"/>
      <c r="HD1639" s="2060"/>
      <c r="HE1639" s="2060"/>
      <c r="HF1639" s="2060"/>
      <c r="HG1639" s="2060"/>
      <c r="HH1639" s="2060"/>
      <c r="HI1639" s="2060"/>
      <c r="HJ1639" s="2060"/>
      <c r="HK1639" s="2060"/>
      <c r="HL1639" s="2060"/>
      <c r="HM1639" s="2060"/>
      <c r="HN1639" s="2060"/>
      <c r="HO1639" s="2060"/>
      <c r="HP1639" s="2060"/>
      <c r="HQ1639" s="2060"/>
      <c r="HR1639" s="2060"/>
      <c r="HS1639" s="2060"/>
      <c r="HT1639" s="2060"/>
      <c r="HU1639" s="2060"/>
      <c r="HV1639" s="2060"/>
      <c r="HW1639" s="2060"/>
      <c r="HX1639" s="2060"/>
      <c r="HY1639" s="2060"/>
      <c r="HZ1639" s="2060"/>
      <c r="IA1639" s="2060"/>
      <c r="IB1639" s="2060"/>
      <c r="IC1639" s="2060"/>
      <c r="ID1639" s="2060"/>
      <c r="IE1639" s="2060"/>
      <c r="IF1639" s="2060"/>
      <c r="IG1639" s="2060"/>
      <c r="IH1639" s="2060"/>
      <c r="II1639" s="2060"/>
      <c r="IJ1639" s="2060"/>
      <c r="IK1639" s="2060"/>
      <c r="IL1639" s="2060"/>
      <c r="IM1639" s="2060"/>
      <c r="IN1639" s="2060"/>
      <c r="IO1639" s="2060"/>
      <c r="IP1639" s="2060"/>
      <c r="IQ1639" s="2060"/>
      <c r="IR1639" s="2060"/>
      <c r="IS1639" s="2060"/>
      <c r="IT1639" s="2060"/>
      <c r="IU1639" s="2060"/>
      <c r="IV1639" s="2060"/>
      <c r="IW1639" s="2060"/>
      <c r="IX1639" s="2060"/>
      <c r="IY1639" s="2060"/>
      <c r="IZ1639" s="2060"/>
      <c r="JA1639" s="2060"/>
      <c r="JB1639" s="2060"/>
      <c r="JC1639" s="2060"/>
      <c r="JD1639" s="2060"/>
      <c r="JE1639" s="2060"/>
      <c r="JF1639" s="2060"/>
      <c r="JG1639" s="2060"/>
      <c r="JH1639" s="2060"/>
      <c r="JI1639" s="2060"/>
      <c r="JJ1639" s="2060"/>
      <c r="JK1639" s="2060"/>
      <c r="JL1639" s="2060"/>
      <c r="JM1639" s="2060"/>
      <c r="JN1639" s="2060"/>
      <c r="JO1639" s="2060"/>
      <c r="JP1639" s="2060"/>
      <c r="JQ1639" s="2060"/>
      <c r="JR1639" s="2060"/>
      <c r="JS1639" s="2060"/>
      <c r="JT1639" s="2060"/>
      <c r="JU1639" s="2060"/>
      <c r="JV1639" s="2060"/>
      <c r="JW1639" s="2060"/>
      <c r="JX1639" s="2060"/>
      <c r="JY1639" s="2060"/>
      <c r="JZ1639" s="2060"/>
      <c r="KA1639" s="2060"/>
      <c r="KB1639" s="2060"/>
      <c r="KC1639" s="2060"/>
      <c r="KD1639" s="2060"/>
      <c r="KE1639" s="2060"/>
      <c r="KF1639" s="2060"/>
      <c r="KG1639" s="2060"/>
      <c r="KH1639" s="2060"/>
      <c r="KI1639" s="2060"/>
      <c r="KJ1639" s="2060"/>
      <c r="KK1639" s="2060"/>
      <c r="KL1639" s="2060"/>
      <c r="KM1639" s="2060"/>
      <c r="KN1639" s="2060"/>
      <c r="KO1639" s="2060"/>
      <c r="KP1639" s="2060"/>
      <c r="KQ1639" s="2060"/>
      <c r="KR1639" s="2060"/>
      <c r="KS1639" s="2060"/>
      <c r="KT1639" s="2060"/>
      <c r="KU1639" s="2060"/>
      <c r="KV1639" s="2060"/>
      <c r="KW1639" s="2060"/>
      <c r="KX1639" s="2060"/>
      <c r="KY1639" s="2060"/>
      <c r="KZ1639" s="2060"/>
      <c r="LA1639" s="2060"/>
      <c r="LB1639" s="2060"/>
      <c r="LC1639" s="2060"/>
      <c r="LD1639" s="2060"/>
      <c r="LE1639" s="2060"/>
      <c r="LF1639" s="2060"/>
      <c r="LG1639" s="2060"/>
      <c r="LH1639" s="2060"/>
    </row>
    <row r="1640" spans="1:320" s="1499" customFormat="1" ht="13.9">
      <c r="A1640" s="269" t="str">
        <f t="shared" si="441"/>
        <v>n</v>
      </c>
      <c r="B1640" s="2060"/>
      <c r="C1640" s="2060"/>
      <c r="D1640" s="2060"/>
      <c r="E1640" s="1661">
        <v>24</v>
      </c>
      <c r="F1640" s="1353" t="str">
        <f>F$152</f>
        <v>--</v>
      </c>
      <c r="G1640" s="128">
        <f>G$152</f>
        <v>0</v>
      </c>
      <c r="H1640" s="128" t="str">
        <f>H$152</f>
        <v>--</v>
      </c>
      <c r="I1640" s="89" t="s">
        <v>783</v>
      </c>
      <c r="J1640" s="2197" t="str">
        <f>IF($G1640=0,"",IFERROR(_xll.ciqfunctions.udf.CIQ($G1640,$I1640,J$1557,Valuation_Date_GC,ReportType,DataMode,$H1640,FXMode)*Scale+J1611*Pension10,"n/a"))</f>
        <v/>
      </c>
      <c r="K1640" s="2197" t="str">
        <f>IF($G1640=0,"",IFERROR(_xll.ciqfunctions.udf.CIQ($G1640,$I1640,K$1557,Valuation_Date_GC,ReportType,DataMode,$H1640,FXMode)*Scale+K1611*Pension10,"n/a"))</f>
        <v/>
      </c>
      <c r="L1640" s="2197" t="str">
        <f>IF($G1640=0,"",IFERROR(_xll.ciqfunctions.udf.CIQ($G1640,$I1640,L$1557,Valuation_Date_GC,ReportType,DataMode,$H1640,FXMode)*Scale+L1611*Pension10,"n/a"))</f>
        <v/>
      </c>
      <c r="M1640" s="2197" t="str">
        <f>IF($G1640=0,"",IFERROR(_xll.ciqfunctions.udf.CIQ($G1640,$I1640,M$1557,Valuation_Date_GC,ReportType,DataMode,$H1640,FXMode)*Scale+M1611*Pension10,"n/a"))</f>
        <v/>
      </c>
      <c r="N1640" s="2197" t="str">
        <f>IF($G1640=0,"",IFERROR(_xll.ciqfunctions.udf.CIQ($G1640,$I1640,N$1557,Valuation_Date_GC,ReportType,DataMode,$H1640,FXMode)*Scale+N1611*Pension10,"n/a"))</f>
        <v/>
      </c>
      <c r="O1640" s="2197" t="str">
        <f>IF($G1640=0,"",IFERROR(_xll.ciqfunctions.udf.CIQ($G1640,$I1640,O$1557,Valuation_Date_GC,ReportType,DataMode,$H1640,FXMode)*Scale+O1611*Pension10,"n/a"))</f>
        <v/>
      </c>
      <c r="P1640" s="2197" t="str">
        <f>IF($G1640=0,"",IFERROR(_xll.ciqfunctions.udf.CIQ($G1640,$I1640,P$1557,Valuation_Date_GC,ReportType,DataMode,$H1640,FXMode)*Scale+P1611*Pension10,"n/a"))</f>
        <v/>
      </c>
      <c r="Q1640" s="2197" t="str">
        <f>IF($G1640=0,"",IFERROR(_xll.ciqfunctions.udf.CIQ($G1640,$I1640,Q$1557,Valuation_Date_GC,ReportType,DataMode,$H1640,FXMode)*Scale+Q1611*Pension10,"n/a"))</f>
        <v/>
      </c>
      <c r="R1640" s="2197" t="str">
        <f>IF($G1640=0,"",IFERROR(_xll.ciqfunctions.udf.CIQ($G1640,$I1640,R$1557,Valuation_Date_GC,ReportType,DataMode,$H1640,FXMode)*Scale+R1611*Pension10,"n/a"))</f>
        <v/>
      </c>
      <c r="S1640" s="2197" t="str">
        <f>IF($G1640=0,"",IFERROR(_xll.ciqfunctions.udf.CIQ($G1640,$I1640,S$1557,Valuation_Date_GC,ReportType,DataMode,$H1640,FXMode)*Scale+S1611*Pension10,"n/a"))</f>
        <v/>
      </c>
      <c r="T1640" s="2197" t="str">
        <f>IF($G1640=0,"",IFERROR(_xll.ciqfunctions.udf.CIQ($G1640,$I1640,T$1557,Valuation_Date_GC,ReportType,DataMode,$H1640,FXMode)*Scale+T1611*Pension10,"n/a"))</f>
        <v/>
      </c>
      <c r="U1640" s="2197" t="str">
        <f>IF($G1640=0,"",IFERROR(_xll.ciqfunctions.udf.CIQ($G1640,$I1640,U$1557,Valuation_Date_GC,ReportType,DataMode,$H1640,FXMode)*Scale+U1611*Pension10,"n/a"))</f>
        <v/>
      </c>
      <c r="V1640" s="2197" t="str">
        <f>IF($G1640=0,"",IFERROR(_xll.ciqfunctions.udf.CIQ($G1640,$I1640,V$1557,Valuation_Date_GC,ReportType,DataMode,$H1640,FXMode)*Scale+V1611*Pension10,"n/a"))</f>
        <v/>
      </c>
      <c r="W1640" s="1479"/>
      <c r="X1640" s="255"/>
      <c r="Y1640" s="255"/>
      <c r="Z1640" s="2060"/>
      <c r="AA1640" s="2060"/>
      <c r="AB1640" s="2060"/>
      <c r="AC1640" s="2060"/>
      <c r="AD1640" s="2060"/>
      <c r="AE1640" s="2060"/>
      <c r="AF1640" s="2060"/>
      <c r="AG1640" s="2060"/>
      <c r="AH1640" s="2060"/>
      <c r="AI1640" s="2060"/>
      <c r="AJ1640" s="2060"/>
      <c r="AK1640" s="2060"/>
      <c r="AL1640" s="2060"/>
      <c r="AM1640" s="2060"/>
      <c r="AN1640" s="2060"/>
      <c r="AO1640" s="2060"/>
      <c r="AP1640" s="2060"/>
      <c r="AQ1640" s="2060"/>
      <c r="AR1640" s="2060"/>
      <c r="AS1640" s="2060"/>
      <c r="AT1640" s="2060"/>
      <c r="AU1640" s="2060"/>
      <c r="AV1640" s="2060"/>
      <c r="AW1640" s="2060"/>
      <c r="AX1640" s="2060"/>
      <c r="AY1640" s="2060"/>
      <c r="AZ1640" s="2060"/>
      <c r="BA1640" s="2060"/>
      <c r="BB1640" s="2060"/>
      <c r="BC1640" s="2060"/>
      <c r="BD1640" s="2060"/>
      <c r="BE1640" s="2060"/>
      <c r="BF1640" s="2060"/>
      <c r="BG1640" s="2060"/>
      <c r="BH1640" s="2060"/>
      <c r="BI1640" s="2060"/>
      <c r="BJ1640" s="2060"/>
      <c r="BK1640" s="2060"/>
      <c r="BL1640" s="2060"/>
      <c r="BM1640" s="2060"/>
      <c r="BN1640" s="2060"/>
      <c r="BO1640" s="2060"/>
      <c r="BP1640" s="2060"/>
      <c r="BQ1640" s="2060"/>
      <c r="BR1640" s="2060"/>
      <c r="BS1640" s="2060"/>
      <c r="BT1640" s="2060"/>
      <c r="BU1640" s="2060"/>
      <c r="BV1640" s="2060"/>
      <c r="BW1640" s="2060"/>
      <c r="BX1640" s="2060"/>
      <c r="BY1640" s="2060"/>
      <c r="BZ1640" s="2060"/>
      <c r="CA1640" s="2060"/>
      <c r="CB1640" s="2060"/>
      <c r="CC1640" s="2060"/>
      <c r="CD1640" s="2060"/>
      <c r="CE1640" s="2060"/>
      <c r="CF1640" s="2060"/>
      <c r="CG1640" s="2060"/>
      <c r="CH1640" s="2060"/>
      <c r="CI1640" s="2060"/>
      <c r="CJ1640" s="2060"/>
      <c r="CK1640" s="2060"/>
      <c r="CL1640" s="2060"/>
      <c r="CM1640" s="2060"/>
      <c r="CN1640" s="2060"/>
      <c r="CO1640" s="2060"/>
      <c r="CP1640" s="2060"/>
      <c r="CQ1640" s="2060"/>
      <c r="CR1640" s="2060"/>
      <c r="CS1640" s="2060"/>
      <c r="CT1640" s="2060"/>
      <c r="CU1640" s="2060"/>
      <c r="CV1640" s="2060"/>
      <c r="CW1640" s="2060"/>
      <c r="CX1640" s="2060"/>
      <c r="CY1640" s="2060"/>
      <c r="CZ1640" s="2060"/>
      <c r="DA1640" s="2060"/>
      <c r="DB1640" s="2060"/>
      <c r="DC1640" s="2060"/>
      <c r="DD1640" s="2060"/>
      <c r="DE1640" s="2060"/>
      <c r="DF1640" s="2060"/>
      <c r="DG1640" s="2060"/>
      <c r="DH1640" s="2060"/>
      <c r="DI1640" s="2060"/>
      <c r="DJ1640" s="2060"/>
      <c r="DK1640" s="2060"/>
      <c r="DL1640" s="2060"/>
      <c r="DM1640" s="2060"/>
      <c r="DN1640" s="2060"/>
      <c r="DO1640" s="2060"/>
      <c r="DP1640" s="2060"/>
      <c r="DQ1640" s="2060"/>
      <c r="DR1640" s="2060"/>
      <c r="DS1640" s="2060"/>
      <c r="DT1640" s="2060"/>
      <c r="DU1640" s="2060"/>
      <c r="DV1640" s="2060"/>
      <c r="DW1640" s="2060"/>
      <c r="DX1640" s="2060"/>
      <c r="DY1640" s="2060"/>
      <c r="DZ1640" s="2060"/>
      <c r="EA1640" s="2060"/>
      <c r="EB1640" s="2060"/>
      <c r="EC1640" s="2060"/>
      <c r="ED1640" s="2060"/>
      <c r="EE1640" s="2060"/>
      <c r="EF1640" s="2060"/>
      <c r="EG1640" s="2060"/>
      <c r="EH1640" s="2060"/>
      <c r="EI1640" s="2060"/>
      <c r="EJ1640" s="2060"/>
      <c r="EK1640" s="2060"/>
      <c r="EL1640" s="2060"/>
      <c r="EM1640" s="2060"/>
      <c r="EN1640" s="2060"/>
      <c r="EO1640" s="2060"/>
      <c r="EP1640" s="2060"/>
      <c r="EQ1640" s="2060"/>
      <c r="ER1640" s="2060"/>
      <c r="ES1640" s="2060"/>
      <c r="ET1640" s="2060"/>
      <c r="EU1640" s="2060"/>
      <c r="EV1640" s="2060"/>
      <c r="EW1640" s="2060"/>
      <c r="EX1640" s="2060"/>
      <c r="EY1640" s="2060"/>
      <c r="EZ1640" s="2060"/>
      <c r="FA1640" s="2060"/>
      <c r="FB1640" s="2060"/>
      <c r="FC1640" s="2060"/>
      <c r="FD1640" s="2060"/>
      <c r="FE1640" s="2060"/>
      <c r="FF1640" s="2060"/>
      <c r="FG1640" s="2060"/>
      <c r="FH1640" s="2060"/>
      <c r="FI1640" s="2060"/>
      <c r="FJ1640" s="2060"/>
      <c r="FK1640" s="2060"/>
      <c r="FL1640" s="2060"/>
      <c r="FM1640" s="2060"/>
      <c r="FN1640" s="2060"/>
      <c r="FO1640" s="2060"/>
      <c r="FP1640" s="2060"/>
      <c r="FQ1640" s="2060"/>
      <c r="FR1640" s="2060"/>
      <c r="FS1640" s="2060"/>
      <c r="FT1640" s="2060"/>
      <c r="FU1640" s="2060"/>
      <c r="FV1640" s="2060"/>
      <c r="FW1640" s="2060"/>
      <c r="FX1640" s="2060"/>
      <c r="FY1640" s="2060"/>
      <c r="FZ1640" s="2060"/>
      <c r="GA1640" s="2060"/>
      <c r="GB1640" s="2060"/>
      <c r="GC1640" s="2060"/>
      <c r="GD1640" s="2060"/>
      <c r="GE1640" s="2060"/>
      <c r="GF1640" s="2060"/>
      <c r="GG1640" s="2060"/>
      <c r="GH1640" s="2060"/>
      <c r="GI1640" s="2060"/>
      <c r="GJ1640" s="2060"/>
      <c r="GK1640" s="2060"/>
      <c r="GL1640" s="2060"/>
      <c r="GM1640" s="2060"/>
      <c r="GN1640" s="2060"/>
      <c r="GO1640" s="2060"/>
      <c r="GP1640" s="2060"/>
      <c r="GQ1640" s="2060"/>
      <c r="GR1640" s="2060"/>
      <c r="GS1640" s="2060"/>
      <c r="GT1640" s="2060"/>
      <c r="GU1640" s="2060"/>
      <c r="GV1640" s="2060"/>
      <c r="GW1640" s="2060"/>
      <c r="GX1640" s="2060"/>
      <c r="GY1640" s="2060"/>
      <c r="GZ1640" s="2060"/>
      <c r="HA1640" s="2060"/>
      <c r="HB1640" s="2060"/>
      <c r="HC1640" s="2060"/>
      <c r="HD1640" s="2060"/>
      <c r="HE1640" s="2060"/>
      <c r="HF1640" s="2060"/>
      <c r="HG1640" s="2060"/>
      <c r="HH1640" s="2060"/>
      <c r="HI1640" s="2060"/>
      <c r="HJ1640" s="2060"/>
      <c r="HK1640" s="2060"/>
      <c r="HL1640" s="2060"/>
      <c r="HM1640" s="2060"/>
      <c r="HN1640" s="2060"/>
      <c r="HO1640" s="2060"/>
      <c r="HP1640" s="2060"/>
      <c r="HQ1640" s="2060"/>
      <c r="HR1640" s="2060"/>
      <c r="HS1640" s="2060"/>
      <c r="HT1640" s="2060"/>
      <c r="HU1640" s="2060"/>
      <c r="HV1640" s="2060"/>
      <c r="HW1640" s="2060"/>
      <c r="HX1640" s="2060"/>
      <c r="HY1640" s="2060"/>
      <c r="HZ1640" s="2060"/>
      <c r="IA1640" s="2060"/>
      <c r="IB1640" s="2060"/>
      <c r="IC1640" s="2060"/>
      <c r="ID1640" s="2060"/>
      <c r="IE1640" s="2060"/>
      <c r="IF1640" s="2060"/>
      <c r="IG1640" s="2060"/>
      <c r="IH1640" s="2060"/>
      <c r="II1640" s="2060"/>
      <c r="IJ1640" s="2060"/>
      <c r="IK1640" s="2060"/>
      <c r="IL1640" s="2060"/>
      <c r="IM1640" s="2060"/>
      <c r="IN1640" s="2060"/>
      <c r="IO1640" s="2060"/>
      <c r="IP1640" s="2060"/>
      <c r="IQ1640" s="2060"/>
      <c r="IR1640" s="2060"/>
      <c r="IS1640" s="2060"/>
      <c r="IT1640" s="2060"/>
      <c r="IU1640" s="2060"/>
      <c r="IV1640" s="2060"/>
      <c r="IW1640" s="2060"/>
      <c r="IX1640" s="2060"/>
      <c r="IY1640" s="2060"/>
      <c r="IZ1640" s="2060"/>
      <c r="JA1640" s="2060"/>
      <c r="JB1640" s="2060"/>
      <c r="JC1640" s="2060"/>
      <c r="JD1640" s="2060"/>
      <c r="JE1640" s="2060"/>
      <c r="JF1640" s="2060"/>
      <c r="JG1640" s="2060"/>
      <c r="JH1640" s="2060"/>
      <c r="JI1640" s="2060"/>
      <c r="JJ1640" s="2060"/>
      <c r="JK1640" s="2060"/>
      <c r="JL1640" s="2060"/>
      <c r="JM1640" s="2060"/>
      <c r="JN1640" s="2060"/>
      <c r="JO1640" s="2060"/>
      <c r="JP1640" s="2060"/>
      <c r="JQ1640" s="2060"/>
      <c r="JR1640" s="2060"/>
      <c r="JS1640" s="2060"/>
      <c r="JT1640" s="2060"/>
      <c r="JU1640" s="2060"/>
      <c r="JV1640" s="2060"/>
      <c r="JW1640" s="2060"/>
      <c r="JX1640" s="2060"/>
      <c r="JY1640" s="2060"/>
      <c r="JZ1640" s="2060"/>
      <c r="KA1640" s="2060"/>
      <c r="KB1640" s="2060"/>
      <c r="KC1640" s="2060"/>
      <c r="KD1640" s="2060"/>
      <c r="KE1640" s="2060"/>
      <c r="KF1640" s="2060"/>
      <c r="KG1640" s="2060"/>
      <c r="KH1640" s="2060"/>
      <c r="KI1640" s="2060"/>
      <c r="KJ1640" s="2060"/>
      <c r="KK1640" s="2060"/>
      <c r="KL1640" s="2060"/>
      <c r="KM1640" s="2060"/>
      <c r="KN1640" s="2060"/>
      <c r="KO1640" s="2060"/>
      <c r="KP1640" s="2060"/>
      <c r="KQ1640" s="2060"/>
      <c r="KR1640" s="2060"/>
      <c r="KS1640" s="2060"/>
      <c r="KT1640" s="2060"/>
      <c r="KU1640" s="2060"/>
      <c r="KV1640" s="2060"/>
      <c r="KW1640" s="2060"/>
      <c r="KX1640" s="2060"/>
      <c r="KY1640" s="2060"/>
      <c r="KZ1640" s="2060"/>
      <c r="LA1640" s="2060"/>
      <c r="LB1640" s="2060"/>
      <c r="LC1640" s="2060"/>
      <c r="LD1640" s="2060"/>
      <c r="LE1640" s="2060"/>
      <c r="LF1640" s="2060"/>
      <c r="LG1640" s="2060"/>
      <c r="LH1640" s="2060"/>
    </row>
    <row r="1641" spans="1:320" s="449" customFormat="1" ht="13.9">
      <c r="A1641" s="269" t="str">
        <f t="shared" si="441"/>
        <v>n</v>
      </c>
      <c r="B1641" s="2060"/>
      <c r="C1641" s="2060"/>
      <c r="D1641" s="2060"/>
      <c r="E1641" s="1661">
        <v>25</v>
      </c>
      <c r="F1641" s="1353" t="str">
        <f>F$153</f>
        <v>--</v>
      </c>
      <c r="G1641" s="128">
        <f>G$153</f>
        <v>0</v>
      </c>
      <c r="H1641" s="128" t="str">
        <f>H$153</f>
        <v>--</v>
      </c>
      <c r="I1641" s="89" t="s">
        <v>783</v>
      </c>
      <c r="J1641" s="2197" t="str">
        <f>IF($G1641=0,"",IFERROR(_xll.ciqfunctions.udf.CIQ($G1641,$I1641,J$1557,Valuation_Date_GC,ReportType,DataMode,$H1641,FXMode)*Scale+J1612*Pension10,"n/a"))</f>
        <v/>
      </c>
      <c r="K1641" s="2197" t="str">
        <f>IF($G1641=0,"",IFERROR(_xll.ciqfunctions.udf.CIQ($G1641,$I1641,K$1557,Valuation_Date_GC,ReportType,DataMode,$H1641,FXMode)*Scale+K1612*Pension10,"n/a"))</f>
        <v/>
      </c>
      <c r="L1641" s="2197" t="str">
        <f>IF($G1641=0,"",IFERROR(_xll.ciqfunctions.udf.CIQ($G1641,$I1641,L$1557,Valuation_Date_GC,ReportType,DataMode,$H1641,FXMode)*Scale+L1612*Pension10,"n/a"))</f>
        <v/>
      </c>
      <c r="M1641" s="2197" t="str">
        <f>IF($G1641=0,"",IFERROR(_xll.ciqfunctions.udf.CIQ($G1641,$I1641,M$1557,Valuation_Date_GC,ReportType,DataMode,$H1641,FXMode)*Scale+M1612*Pension10,"n/a"))</f>
        <v/>
      </c>
      <c r="N1641" s="2197" t="str">
        <f>IF($G1641=0,"",IFERROR(_xll.ciqfunctions.udf.CIQ($G1641,$I1641,N$1557,Valuation_Date_GC,ReportType,DataMode,$H1641,FXMode)*Scale+N1612*Pension10,"n/a"))</f>
        <v/>
      </c>
      <c r="O1641" s="2197" t="str">
        <f>IF($G1641=0,"",IFERROR(_xll.ciqfunctions.udf.CIQ($G1641,$I1641,O$1557,Valuation_Date_GC,ReportType,DataMode,$H1641,FXMode)*Scale+O1612*Pension10,"n/a"))</f>
        <v/>
      </c>
      <c r="P1641" s="2197" t="str">
        <f>IF($G1641=0,"",IFERROR(_xll.ciqfunctions.udf.CIQ($G1641,$I1641,P$1557,Valuation_Date_GC,ReportType,DataMode,$H1641,FXMode)*Scale+P1612*Pension10,"n/a"))</f>
        <v/>
      </c>
      <c r="Q1641" s="2197" t="str">
        <f>IF($G1641=0,"",IFERROR(_xll.ciqfunctions.udf.CIQ($G1641,$I1641,Q$1557,Valuation_Date_GC,ReportType,DataMode,$H1641,FXMode)*Scale+Q1612*Pension10,"n/a"))</f>
        <v/>
      </c>
      <c r="R1641" s="2197" t="str">
        <f>IF($G1641=0,"",IFERROR(_xll.ciqfunctions.udf.CIQ($G1641,$I1641,R$1557,Valuation_Date_GC,ReportType,DataMode,$H1641,FXMode)*Scale+R1612*Pension10,"n/a"))</f>
        <v/>
      </c>
      <c r="S1641" s="2197" t="str">
        <f>IF($G1641=0,"",IFERROR(_xll.ciqfunctions.udf.CIQ($G1641,$I1641,S$1557,Valuation_Date_GC,ReportType,DataMode,$H1641,FXMode)*Scale+S1612*Pension10,"n/a"))</f>
        <v/>
      </c>
      <c r="T1641" s="2197" t="str">
        <f>IF($G1641=0,"",IFERROR(_xll.ciqfunctions.udf.CIQ($G1641,$I1641,T$1557,Valuation_Date_GC,ReportType,DataMode,$H1641,FXMode)*Scale+T1612*Pension10,"n/a"))</f>
        <v/>
      </c>
      <c r="U1641" s="2197" t="str">
        <f>IF($G1641=0,"",IFERROR(_xll.ciqfunctions.udf.CIQ($G1641,$I1641,U$1557,Valuation_Date_GC,ReportType,DataMode,$H1641,FXMode)*Scale+U1612*Pension10,"n/a"))</f>
        <v/>
      </c>
      <c r="V1641" s="2197" t="str">
        <f>IF($G1641=0,"",IFERROR(_xll.ciqfunctions.udf.CIQ($G1641,$I1641,V$1557,Valuation_Date_GC,ReportType,DataMode,$H1641,FXMode)*Scale+V1612*Pension10,"n/a"))</f>
        <v/>
      </c>
      <c r="W1641" s="1479"/>
      <c r="X1641" s="255"/>
      <c r="Y1641" s="89"/>
      <c r="Z1641" s="2060"/>
      <c r="AA1641" s="2060"/>
      <c r="AB1641" s="2060"/>
      <c r="AC1641" s="2060"/>
      <c r="AD1641" s="2060"/>
      <c r="AE1641" s="2060"/>
      <c r="AF1641" s="2060"/>
      <c r="AG1641" s="2060"/>
      <c r="AH1641" s="2060"/>
      <c r="AI1641" s="2060"/>
      <c r="AJ1641" s="2060"/>
      <c r="AK1641" s="2060"/>
      <c r="AL1641" s="2060"/>
      <c r="AM1641" s="2060"/>
      <c r="AN1641" s="2060"/>
      <c r="AO1641" s="2060"/>
      <c r="AP1641" s="2060"/>
      <c r="AQ1641" s="2060"/>
      <c r="AR1641" s="2060"/>
      <c r="AS1641" s="2060"/>
      <c r="AT1641" s="2060"/>
      <c r="AU1641" s="2060"/>
      <c r="AV1641" s="2060"/>
      <c r="AW1641" s="2060"/>
      <c r="AX1641" s="2060"/>
      <c r="AY1641" s="2060"/>
      <c r="AZ1641" s="2060"/>
      <c r="BA1641" s="2060"/>
      <c r="BB1641" s="2060"/>
      <c r="BC1641" s="2060"/>
      <c r="BD1641" s="2060"/>
      <c r="BE1641" s="2060"/>
      <c r="BF1641" s="2060"/>
      <c r="BG1641" s="2060"/>
      <c r="BH1641" s="2060"/>
      <c r="BI1641" s="2060"/>
      <c r="BJ1641" s="2060"/>
      <c r="BK1641" s="2060"/>
      <c r="BL1641" s="2060"/>
      <c r="BM1641" s="2060"/>
      <c r="BN1641" s="2060"/>
      <c r="BO1641" s="2060"/>
      <c r="BP1641" s="2060"/>
      <c r="BQ1641" s="2060"/>
      <c r="BR1641" s="2060"/>
      <c r="BS1641" s="2060"/>
      <c r="BT1641" s="2060"/>
      <c r="BU1641" s="2060"/>
      <c r="BV1641" s="2060"/>
      <c r="BW1641" s="2060"/>
      <c r="BX1641" s="2060"/>
      <c r="BY1641" s="2060"/>
      <c r="BZ1641" s="2060"/>
      <c r="CA1641" s="2060"/>
      <c r="CB1641" s="2060"/>
      <c r="CC1641" s="2060"/>
      <c r="CD1641" s="2060"/>
      <c r="CE1641" s="2060"/>
      <c r="CF1641" s="2060"/>
      <c r="CG1641" s="2060"/>
      <c r="CH1641" s="2060"/>
      <c r="CI1641" s="2060"/>
      <c r="CJ1641" s="2060"/>
      <c r="CK1641" s="2060"/>
      <c r="CL1641" s="2060"/>
      <c r="CM1641" s="2060"/>
      <c r="CN1641" s="2060"/>
      <c r="CO1641" s="2060"/>
      <c r="CP1641" s="2060"/>
      <c r="CQ1641" s="2060"/>
      <c r="CR1641" s="2060"/>
      <c r="CS1641" s="2060"/>
      <c r="CT1641" s="2060"/>
      <c r="CU1641" s="2060"/>
      <c r="CV1641" s="2060"/>
      <c r="CW1641" s="2060"/>
      <c r="CX1641" s="2060"/>
      <c r="CY1641" s="2060"/>
      <c r="CZ1641" s="2060"/>
      <c r="DA1641" s="2060"/>
      <c r="DB1641" s="2060"/>
      <c r="DC1641" s="2060"/>
      <c r="DD1641" s="2060"/>
      <c r="DE1641" s="2060"/>
      <c r="DF1641" s="2060"/>
      <c r="DG1641" s="2060"/>
      <c r="DH1641" s="2060"/>
      <c r="DI1641" s="2060"/>
      <c r="DJ1641" s="2060"/>
      <c r="DK1641" s="2060"/>
      <c r="DL1641" s="2060"/>
      <c r="DM1641" s="2060"/>
      <c r="DN1641" s="2060"/>
      <c r="DO1641" s="2060"/>
      <c r="DP1641" s="2060"/>
      <c r="DQ1641" s="2060"/>
      <c r="DR1641" s="2060"/>
      <c r="DS1641" s="2060"/>
      <c r="DT1641" s="2060"/>
      <c r="DU1641" s="2060"/>
      <c r="DV1641" s="2060"/>
      <c r="DW1641" s="2060"/>
      <c r="DX1641" s="2060"/>
      <c r="DY1641" s="2060"/>
      <c r="DZ1641" s="2060"/>
      <c r="EA1641" s="2060"/>
      <c r="EB1641" s="2060"/>
      <c r="EC1641" s="2060"/>
      <c r="ED1641" s="2060"/>
      <c r="EE1641" s="2060"/>
      <c r="EF1641" s="2060"/>
      <c r="EG1641" s="2060"/>
      <c r="EH1641" s="2060"/>
      <c r="EI1641" s="2060"/>
      <c r="EJ1641" s="2060"/>
      <c r="EK1641" s="2060"/>
      <c r="EL1641" s="2060"/>
      <c r="EM1641" s="2060"/>
      <c r="EN1641" s="2060"/>
      <c r="EO1641" s="2060"/>
      <c r="EP1641" s="2060"/>
      <c r="EQ1641" s="2060"/>
      <c r="ER1641" s="2060"/>
      <c r="ES1641" s="2060"/>
      <c r="ET1641" s="2060"/>
      <c r="EU1641" s="2060"/>
      <c r="EV1641" s="2060"/>
      <c r="EW1641" s="2060"/>
      <c r="EX1641" s="2060"/>
      <c r="EY1641" s="2060"/>
      <c r="EZ1641" s="2060"/>
      <c r="FA1641" s="2060"/>
      <c r="FB1641" s="2060"/>
      <c r="FC1641" s="2060"/>
      <c r="FD1641" s="2060"/>
      <c r="FE1641" s="2060"/>
      <c r="FF1641" s="2060"/>
      <c r="FG1641" s="2060"/>
      <c r="FH1641" s="2060"/>
      <c r="FI1641" s="2060"/>
      <c r="FJ1641" s="2060"/>
      <c r="FK1641" s="2060"/>
      <c r="FL1641" s="2060"/>
      <c r="FM1641" s="2060"/>
      <c r="FN1641" s="2060"/>
      <c r="FO1641" s="2060"/>
      <c r="FP1641" s="2060"/>
      <c r="FQ1641" s="2060"/>
      <c r="FR1641" s="2060"/>
      <c r="FS1641" s="2060"/>
      <c r="FT1641" s="2060"/>
      <c r="FU1641" s="2060"/>
      <c r="FV1641" s="2060"/>
      <c r="FW1641" s="2060"/>
      <c r="FX1641" s="2060"/>
      <c r="FY1641" s="2060"/>
      <c r="FZ1641" s="2060"/>
      <c r="GA1641" s="2060"/>
      <c r="GB1641" s="2060"/>
      <c r="GC1641" s="2060"/>
      <c r="GD1641" s="2060"/>
      <c r="GE1641" s="2060"/>
      <c r="GF1641" s="2060"/>
      <c r="GG1641" s="2060"/>
      <c r="GH1641" s="2060"/>
      <c r="GI1641" s="2060"/>
      <c r="GJ1641" s="2060"/>
      <c r="GK1641" s="2060"/>
      <c r="GL1641" s="2060"/>
      <c r="GM1641" s="2060"/>
      <c r="GN1641" s="2060"/>
      <c r="GO1641" s="2060"/>
      <c r="GP1641" s="2060"/>
      <c r="GQ1641" s="2060"/>
      <c r="GR1641" s="2060"/>
      <c r="GS1641" s="2060"/>
      <c r="GT1641" s="2060"/>
      <c r="GU1641" s="2060"/>
      <c r="GV1641" s="2060"/>
      <c r="GW1641" s="2060"/>
      <c r="GX1641" s="2060"/>
      <c r="GY1641" s="2060"/>
      <c r="GZ1641" s="2060"/>
      <c r="HA1641" s="2060"/>
      <c r="HB1641" s="2060"/>
      <c r="HC1641" s="2060"/>
      <c r="HD1641" s="2060"/>
      <c r="HE1641" s="2060"/>
      <c r="HF1641" s="2060"/>
      <c r="HG1641" s="2060"/>
      <c r="HH1641" s="2060"/>
      <c r="HI1641" s="2060"/>
      <c r="HJ1641" s="2060"/>
      <c r="HK1641" s="2060"/>
      <c r="HL1641" s="2060"/>
      <c r="HM1641" s="2060"/>
      <c r="HN1641" s="2060"/>
      <c r="HO1641" s="2060"/>
      <c r="HP1641" s="2060"/>
      <c r="HQ1641" s="2060"/>
      <c r="HR1641" s="2060"/>
      <c r="HS1641" s="2060"/>
      <c r="HT1641" s="2060"/>
      <c r="HU1641" s="2060"/>
      <c r="HV1641" s="2060"/>
      <c r="HW1641" s="2060"/>
      <c r="HX1641" s="2060"/>
      <c r="HY1641" s="2060"/>
      <c r="HZ1641" s="2060"/>
      <c r="IA1641" s="2060"/>
      <c r="IB1641" s="2060"/>
      <c r="IC1641" s="2060"/>
      <c r="ID1641" s="2060"/>
      <c r="IE1641" s="2060"/>
      <c r="IF1641" s="2060"/>
      <c r="IG1641" s="2060"/>
      <c r="IH1641" s="2060"/>
      <c r="II1641" s="2060"/>
      <c r="IJ1641" s="2060"/>
      <c r="IK1641" s="2060"/>
      <c r="IL1641" s="2060"/>
      <c r="IM1641" s="2060"/>
      <c r="IN1641" s="2060"/>
      <c r="IO1641" s="2060"/>
      <c r="IP1641" s="2060"/>
      <c r="IQ1641" s="2060"/>
      <c r="IR1641" s="2060"/>
      <c r="IS1641" s="2060"/>
      <c r="IT1641" s="2060"/>
      <c r="IU1641" s="2060"/>
      <c r="IV1641" s="2060"/>
      <c r="IW1641" s="2060"/>
      <c r="IX1641" s="2060"/>
      <c r="IY1641" s="2060"/>
      <c r="IZ1641" s="2060"/>
      <c r="JA1641" s="2060"/>
      <c r="JB1641" s="2060"/>
      <c r="JC1641" s="2060"/>
      <c r="JD1641" s="2060"/>
      <c r="JE1641" s="2060"/>
      <c r="JF1641" s="2060"/>
      <c r="JG1641" s="2060"/>
      <c r="JH1641" s="2060"/>
      <c r="JI1641" s="2060"/>
      <c r="JJ1641" s="2060"/>
      <c r="JK1641" s="2060"/>
      <c r="JL1641" s="2060"/>
      <c r="JM1641" s="2060"/>
      <c r="JN1641" s="2060"/>
      <c r="JO1641" s="2060"/>
      <c r="JP1641" s="2060"/>
      <c r="JQ1641" s="2060"/>
      <c r="JR1641" s="2060"/>
      <c r="JS1641" s="2060"/>
      <c r="JT1641" s="2060"/>
      <c r="JU1641" s="2060"/>
      <c r="JV1641" s="2060"/>
      <c r="JW1641" s="2060"/>
      <c r="JX1641" s="2060"/>
      <c r="JY1641" s="2060"/>
      <c r="JZ1641" s="2060"/>
      <c r="KA1641" s="2060"/>
      <c r="KB1641" s="2060"/>
      <c r="KC1641" s="2060"/>
      <c r="KD1641" s="2060"/>
      <c r="KE1641" s="2060"/>
      <c r="KF1641" s="2060"/>
      <c r="KG1641" s="2060"/>
      <c r="KH1641" s="2060"/>
      <c r="KI1641" s="2060"/>
      <c r="KJ1641" s="2060"/>
      <c r="KK1641" s="2060"/>
      <c r="KL1641" s="2060"/>
      <c r="KM1641" s="2060"/>
      <c r="KN1641" s="2060"/>
      <c r="KO1641" s="2060"/>
      <c r="KP1641" s="2060"/>
      <c r="KQ1641" s="2060"/>
      <c r="KR1641" s="2060"/>
      <c r="KS1641" s="2060"/>
      <c r="KT1641" s="2060"/>
      <c r="KU1641" s="2060"/>
      <c r="KV1641" s="2060"/>
      <c r="KW1641" s="2060"/>
      <c r="KX1641" s="2060"/>
      <c r="KY1641" s="2060"/>
      <c r="KZ1641" s="2060"/>
      <c r="LA1641" s="2060"/>
      <c r="LB1641" s="2060"/>
      <c r="LC1641" s="2060"/>
      <c r="LD1641" s="2060"/>
      <c r="LE1641" s="2060"/>
      <c r="LF1641" s="2060"/>
      <c r="LG1641" s="2060"/>
      <c r="LH1641" s="2060"/>
    </row>
    <row r="1642" spans="1:320" s="449" customFormat="1" ht="13.9">
      <c r="A1642" s="2060"/>
      <c r="B1642" s="2060"/>
      <c r="C1642" s="2060"/>
      <c r="D1642" s="2060"/>
      <c r="E1642" s="505"/>
      <c r="F1642" s="1349"/>
      <c r="G1642" s="1349"/>
      <c r="H1642" s="1349"/>
      <c r="I1642" s="89"/>
      <c r="J1642" s="128"/>
      <c r="K1642" s="1558"/>
      <c r="L1642" s="1558"/>
      <c r="M1642" s="1558"/>
      <c r="N1642" s="1558"/>
      <c r="O1642" s="1558"/>
      <c r="P1642" s="1558"/>
      <c r="Q1642" s="1558"/>
      <c r="R1642" s="1558"/>
      <c r="S1642" s="1558"/>
      <c r="T1642" s="1558"/>
      <c r="U1642" s="1558"/>
      <c r="V1642" s="1558"/>
      <c r="W1642" s="1479"/>
      <c r="X1642" s="255"/>
      <c r="Y1642" s="89"/>
      <c r="Z1642" s="2060"/>
      <c r="AA1642" s="2060"/>
      <c r="AB1642" s="2060"/>
      <c r="AC1642" s="2060"/>
      <c r="AD1642" s="2060"/>
      <c r="AE1642" s="2060"/>
      <c r="AF1642" s="2060"/>
      <c r="AG1642" s="2060"/>
      <c r="AH1642" s="2060"/>
      <c r="AI1642" s="2060"/>
      <c r="AJ1642" s="2060"/>
      <c r="AK1642" s="2060"/>
      <c r="AL1642" s="2060"/>
      <c r="AM1642" s="2060"/>
      <c r="AN1642" s="2060"/>
      <c r="AO1642" s="2060"/>
      <c r="AP1642" s="2060"/>
      <c r="AQ1642" s="2060"/>
      <c r="AR1642" s="2060"/>
      <c r="AS1642" s="2060"/>
      <c r="AT1642" s="2060"/>
      <c r="AU1642" s="2060"/>
      <c r="AV1642" s="2060"/>
      <c r="AW1642" s="2060"/>
      <c r="AX1642" s="2060"/>
      <c r="AY1642" s="2060"/>
      <c r="AZ1642" s="2060"/>
      <c r="BA1642" s="2060"/>
      <c r="BB1642" s="2060"/>
      <c r="BC1642" s="2060"/>
      <c r="BD1642" s="2060"/>
      <c r="BE1642" s="2060"/>
      <c r="BF1642" s="2060"/>
      <c r="BG1642" s="2060"/>
      <c r="BH1642" s="2060"/>
      <c r="BI1642" s="2060"/>
      <c r="BJ1642" s="2060"/>
      <c r="BK1642" s="2060"/>
      <c r="BL1642" s="2060"/>
      <c r="BM1642" s="2060"/>
      <c r="BN1642" s="2060"/>
      <c r="BO1642" s="2060"/>
      <c r="BP1642" s="2060"/>
      <c r="BQ1642" s="2060"/>
      <c r="BR1642" s="2060"/>
      <c r="BS1642" s="2060"/>
      <c r="BT1642" s="2060"/>
      <c r="BU1642" s="2060"/>
      <c r="BV1642" s="2060"/>
      <c r="BW1642" s="2060"/>
      <c r="BX1642" s="2060"/>
      <c r="BY1642" s="2060"/>
      <c r="BZ1642" s="2060"/>
      <c r="CA1642" s="2060"/>
      <c r="CB1642" s="2060"/>
      <c r="CC1642" s="2060"/>
      <c r="CD1642" s="2060"/>
      <c r="CE1642" s="2060"/>
      <c r="CF1642" s="2060"/>
      <c r="CG1642" s="2060"/>
      <c r="CH1642" s="2060"/>
      <c r="CI1642" s="2060"/>
      <c r="CJ1642" s="2060"/>
      <c r="CK1642" s="2060"/>
      <c r="CL1642" s="2060"/>
      <c r="CM1642" s="2060"/>
      <c r="CN1642" s="2060"/>
      <c r="CO1642" s="2060"/>
      <c r="CP1642" s="2060"/>
      <c r="CQ1642" s="2060"/>
      <c r="CR1642" s="2060"/>
      <c r="CS1642" s="2060"/>
      <c r="CT1642" s="2060"/>
      <c r="CU1642" s="2060"/>
      <c r="CV1642" s="2060"/>
      <c r="CW1642" s="2060"/>
      <c r="CX1642" s="2060"/>
      <c r="CY1642" s="2060"/>
      <c r="CZ1642" s="2060"/>
      <c r="DA1642" s="2060"/>
      <c r="DB1642" s="2060"/>
      <c r="DC1642" s="2060"/>
      <c r="DD1642" s="2060"/>
      <c r="DE1642" s="2060"/>
      <c r="DF1642" s="2060"/>
      <c r="DG1642" s="2060"/>
      <c r="DH1642" s="2060"/>
      <c r="DI1642" s="2060"/>
      <c r="DJ1642" s="2060"/>
      <c r="DK1642" s="2060"/>
      <c r="DL1642" s="2060"/>
      <c r="DM1642" s="2060"/>
      <c r="DN1642" s="2060"/>
      <c r="DO1642" s="2060"/>
      <c r="DP1642" s="2060"/>
      <c r="DQ1642" s="2060"/>
      <c r="DR1642" s="2060"/>
      <c r="DS1642" s="2060"/>
      <c r="DT1642" s="2060"/>
      <c r="DU1642" s="2060"/>
      <c r="DV1642" s="2060"/>
      <c r="DW1642" s="2060"/>
      <c r="DX1642" s="2060"/>
      <c r="DY1642" s="2060"/>
      <c r="DZ1642" s="2060"/>
      <c r="EA1642" s="2060"/>
      <c r="EB1642" s="2060"/>
      <c r="EC1642" s="2060"/>
      <c r="ED1642" s="2060"/>
      <c r="EE1642" s="2060"/>
      <c r="EF1642" s="2060"/>
      <c r="EG1642" s="2060"/>
      <c r="EH1642" s="2060"/>
      <c r="EI1642" s="2060"/>
      <c r="EJ1642" s="2060"/>
      <c r="EK1642" s="2060"/>
      <c r="EL1642" s="2060"/>
      <c r="EM1642" s="2060"/>
      <c r="EN1642" s="2060"/>
      <c r="EO1642" s="2060"/>
      <c r="EP1642" s="2060"/>
      <c r="EQ1642" s="2060"/>
      <c r="ER1642" s="2060"/>
      <c r="ES1642" s="2060"/>
      <c r="ET1642" s="2060"/>
      <c r="EU1642" s="2060"/>
      <c r="EV1642" s="2060"/>
      <c r="EW1642" s="2060"/>
      <c r="EX1642" s="2060"/>
      <c r="EY1642" s="2060"/>
      <c r="EZ1642" s="2060"/>
      <c r="FA1642" s="2060"/>
      <c r="FB1642" s="2060"/>
      <c r="FC1642" s="2060"/>
      <c r="FD1642" s="2060"/>
      <c r="FE1642" s="2060"/>
      <c r="FF1642" s="2060"/>
      <c r="FG1642" s="2060"/>
      <c r="FH1642" s="2060"/>
      <c r="FI1642" s="2060"/>
      <c r="FJ1642" s="2060"/>
      <c r="FK1642" s="2060"/>
      <c r="FL1642" s="2060"/>
      <c r="FM1642" s="2060"/>
      <c r="FN1642" s="2060"/>
      <c r="FO1642" s="2060"/>
      <c r="FP1642" s="2060"/>
      <c r="FQ1642" s="2060"/>
      <c r="FR1642" s="2060"/>
      <c r="FS1642" s="2060"/>
      <c r="FT1642" s="2060"/>
      <c r="FU1642" s="2060"/>
      <c r="FV1642" s="2060"/>
      <c r="FW1642" s="2060"/>
      <c r="FX1642" s="2060"/>
      <c r="FY1642" s="2060"/>
      <c r="FZ1642" s="2060"/>
      <c r="GA1642" s="2060"/>
      <c r="GB1642" s="2060"/>
      <c r="GC1642" s="2060"/>
      <c r="GD1642" s="2060"/>
      <c r="GE1642" s="2060"/>
      <c r="GF1642" s="2060"/>
      <c r="GG1642" s="2060"/>
      <c r="GH1642" s="2060"/>
      <c r="GI1642" s="2060"/>
      <c r="GJ1642" s="2060"/>
      <c r="GK1642" s="2060"/>
      <c r="GL1642" s="2060"/>
      <c r="GM1642" s="2060"/>
      <c r="GN1642" s="2060"/>
      <c r="GO1642" s="2060"/>
      <c r="GP1642" s="2060"/>
      <c r="GQ1642" s="2060"/>
      <c r="GR1642" s="2060"/>
      <c r="GS1642" s="2060"/>
      <c r="GT1642" s="2060"/>
      <c r="GU1642" s="2060"/>
      <c r="GV1642" s="2060"/>
      <c r="GW1642" s="2060"/>
      <c r="GX1642" s="2060"/>
      <c r="GY1642" s="2060"/>
      <c r="GZ1642" s="2060"/>
      <c r="HA1642" s="2060"/>
      <c r="HB1642" s="2060"/>
      <c r="HC1642" s="2060"/>
      <c r="HD1642" s="2060"/>
      <c r="HE1642" s="2060"/>
      <c r="HF1642" s="2060"/>
      <c r="HG1642" s="2060"/>
      <c r="HH1642" s="2060"/>
      <c r="HI1642" s="2060"/>
      <c r="HJ1642" s="2060"/>
      <c r="HK1642" s="2060"/>
      <c r="HL1642" s="2060"/>
      <c r="HM1642" s="2060"/>
      <c r="HN1642" s="2060"/>
      <c r="HO1642" s="2060"/>
      <c r="HP1642" s="2060"/>
      <c r="HQ1642" s="2060"/>
      <c r="HR1642" s="2060"/>
      <c r="HS1642" s="2060"/>
      <c r="HT1642" s="2060"/>
      <c r="HU1642" s="2060"/>
      <c r="HV1642" s="2060"/>
      <c r="HW1642" s="2060"/>
      <c r="HX1642" s="2060"/>
      <c r="HY1642" s="2060"/>
      <c r="HZ1642" s="2060"/>
      <c r="IA1642" s="2060"/>
      <c r="IB1642" s="2060"/>
      <c r="IC1642" s="2060"/>
      <c r="ID1642" s="2060"/>
      <c r="IE1642" s="2060"/>
      <c r="IF1642" s="2060"/>
      <c r="IG1642" s="2060"/>
      <c r="IH1642" s="2060"/>
      <c r="II1642" s="2060"/>
      <c r="IJ1642" s="2060"/>
      <c r="IK1642" s="2060"/>
      <c r="IL1642" s="2060"/>
      <c r="IM1642" s="2060"/>
      <c r="IN1642" s="2060"/>
      <c r="IO1642" s="2060"/>
      <c r="IP1642" s="2060"/>
      <c r="IQ1642" s="2060"/>
      <c r="IR1642" s="2060"/>
      <c r="IS1642" s="2060"/>
      <c r="IT1642" s="2060"/>
      <c r="IU1642" s="2060"/>
      <c r="IV1642" s="2060"/>
      <c r="IW1642" s="2060"/>
      <c r="IX1642" s="2060"/>
      <c r="IY1642" s="2060"/>
      <c r="IZ1642" s="2060"/>
      <c r="JA1642" s="2060"/>
      <c r="JB1642" s="2060"/>
      <c r="JC1642" s="2060"/>
      <c r="JD1642" s="2060"/>
      <c r="JE1642" s="2060"/>
      <c r="JF1642" s="2060"/>
      <c r="JG1642" s="2060"/>
      <c r="JH1642" s="2060"/>
      <c r="JI1642" s="2060"/>
      <c r="JJ1642" s="2060"/>
      <c r="JK1642" s="2060"/>
      <c r="JL1642" s="2060"/>
      <c r="JM1642" s="2060"/>
      <c r="JN1642" s="2060"/>
      <c r="JO1642" s="2060"/>
      <c r="JP1642" s="2060"/>
      <c r="JQ1642" s="2060"/>
      <c r="JR1642" s="2060"/>
      <c r="JS1642" s="2060"/>
      <c r="JT1642" s="2060"/>
      <c r="JU1642" s="2060"/>
      <c r="JV1642" s="2060"/>
      <c r="JW1642" s="2060"/>
      <c r="JX1642" s="2060"/>
      <c r="JY1642" s="2060"/>
      <c r="JZ1642" s="2060"/>
      <c r="KA1642" s="2060"/>
      <c r="KB1642" s="2060"/>
      <c r="KC1642" s="2060"/>
      <c r="KD1642" s="2060"/>
      <c r="KE1642" s="2060"/>
      <c r="KF1642" s="2060"/>
      <c r="KG1642" s="2060"/>
      <c r="KH1642" s="2060"/>
      <c r="KI1642" s="2060"/>
      <c r="KJ1642" s="2060"/>
      <c r="KK1642" s="2060"/>
      <c r="KL1642" s="2060"/>
      <c r="KM1642" s="2060"/>
      <c r="KN1642" s="2060"/>
      <c r="KO1642" s="2060"/>
      <c r="KP1642" s="2060"/>
      <c r="KQ1642" s="2060"/>
      <c r="KR1642" s="2060"/>
      <c r="KS1642" s="2060"/>
      <c r="KT1642" s="2060"/>
      <c r="KU1642" s="2060"/>
      <c r="KV1642" s="2060"/>
      <c r="KW1642" s="2060"/>
      <c r="KX1642" s="2060"/>
      <c r="KY1642" s="2060"/>
      <c r="KZ1642" s="2060"/>
      <c r="LA1642" s="2060"/>
      <c r="LB1642" s="2060"/>
      <c r="LC1642" s="2060"/>
      <c r="LD1642" s="2060"/>
      <c r="LE1642" s="2060"/>
      <c r="LF1642" s="2060"/>
      <c r="LG1642" s="2060"/>
      <c r="LH1642" s="2060"/>
    </row>
    <row r="1643" spans="1:320" s="449" customFormat="1" ht="13.9">
      <c r="A1643" s="2060"/>
      <c r="B1643" s="2060"/>
      <c r="C1643" s="2060"/>
      <c r="D1643" s="2060"/>
      <c r="E1643" s="505"/>
      <c r="F1643" s="1349"/>
      <c r="G1643" s="1349"/>
      <c r="H1643" s="128"/>
      <c r="I1643" s="89"/>
      <c r="J1643" s="283"/>
      <c r="K1643" s="1481"/>
      <c r="L1643" s="1481"/>
      <c r="M1643" s="1481"/>
      <c r="N1643" s="1481"/>
      <c r="O1643" s="1481"/>
      <c r="P1643" s="1481"/>
      <c r="Q1643" s="1481"/>
      <c r="R1643" s="1481"/>
      <c r="S1643" s="1481"/>
      <c r="T1643" s="1481"/>
      <c r="U1643" s="1481"/>
      <c r="V1643" s="1481"/>
      <c r="W1643" s="1479"/>
      <c r="X1643" s="255"/>
      <c r="Y1643" s="89"/>
      <c r="Z1643" s="2060"/>
      <c r="AA1643" s="2060"/>
      <c r="AB1643" s="2060"/>
      <c r="AC1643" s="2060"/>
      <c r="AD1643" s="2060"/>
      <c r="AE1643" s="2060"/>
      <c r="AF1643" s="2060"/>
      <c r="AG1643" s="2060"/>
      <c r="AH1643" s="2060"/>
      <c r="AI1643" s="2060"/>
      <c r="AJ1643" s="2060"/>
      <c r="AK1643" s="2060"/>
      <c r="AL1643" s="2060"/>
      <c r="AM1643" s="2060"/>
      <c r="AN1643" s="2060"/>
      <c r="AO1643" s="2060"/>
      <c r="AP1643" s="2060"/>
      <c r="AQ1643" s="2060"/>
      <c r="AR1643" s="2060"/>
      <c r="AS1643" s="2060"/>
      <c r="AT1643" s="2060"/>
      <c r="AU1643" s="2060"/>
      <c r="AV1643" s="2060"/>
      <c r="AW1643" s="2060"/>
      <c r="AX1643" s="2060"/>
      <c r="AY1643" s="2060"/>
      <c r="AZ1643" s="2060"/>
      <c r="BA1643" s="2060"/>
      <c r="BB1643" s="2060"/>
      <c r="BC1643" s="2060"/>
      <c r="BD1643" s="2060"/>
      <c r="BE1643" s="2060"/>
      <c r="BF1643" s="2060"/>
      <c r="BG1643" s="2060"/>
      <c r="BH1643" s="2060"/>
      <c r="BI1643" s="2060"/>
      <c r="BJ1643" s="2060"/>
      <c r="BK1643" s="2060"/>
      <c r="BL1643" s="2060"/>
      <c r="BM1643" s="2060"/>
      <c r="BN1643" s="2060"/>
      <c r="BO1643" s="2060"/>
      <c r="BP1643" s="2060"/>
      <c r="BQ1643" s="2060"/>
      <c r="BR1643" s="2060"/>
      <c r="BS1643" s="2060"/>
      <c r="BT1643" s="2060"/>
      <c r="BU1643" s="2060"/>
      <c r="BV1643" s="2060"/>
      <c r="BW1643" s="2060"/>
      <c r="BX1643" s="2060"/>
      <c r="BY1643" s="2060"/>
      <c r="BZ1643" s="2060"/>
      <c r="CA1643" s="2060"/>
      <c r="CB1643" s="2060"/>
      <c r="CC1643" s="2060"/>
      <c r="CD1643" s="2060"/>
      <c r="CE1643" s="2060"/>
      <c r="CF1643" s="2060"/>
      <c r="CG1643" s="2060"/>
      <c r="CH1643" s="2060"/>
      <c r="CI1643" s="2060"/>
      <c r="CJ1643" s="2060"/>
      <c r="CK1643" s="2060"/>
      <c r="CL1643" s="2060"/>
      <c r="CM1643" s="2060"/>
      <c r="CN1643" s="2060"/>
      <c r="CO1643" s="2060"/>
      <c r="CP1643" s="2060"/>
      <c r="CQ1643" s="2060"/>
      <c r="CR1643" s="2060"/>
      <c r="CS1643" s="2060"/>
      <c r="CT1643" s="2060"/>
      <c r="CU1643" s="2060"/>
      <c r="CV1643" s="2060"/>
      <c r="CW1643" s="2060"/>
      <c r="CX1643" s="2060"/>
      <c r="CY1643" s="2060"/>
      <c r="CZ1643" s="2060"/>
      <c r="DA1643" s="2060"/>
      <c r="DB1643" s="2060"/>
      <c r="DC1643" s="2060"/>
      <c r="DD1643" s="2060"/>
      <c r="DE1643" s="2060"/>
      <c r="DF1643" s="2060"/>
      <c r="DG1643" s="2060"/>
      <c r="DH1643" s="2060"/>
      <c r="DI1643" s="2060"/>
      <c r="DJ1643" s="2060"/>
      <c r="DK1643" s="2060"/>
      <c r="DL1643" s="2060"/>
      <c r="DM1643" s="2060"/>
      <c r="DN1643" s="2060"/>
      <c r="DO1643" s="2060"/>
      <c r="DP1643" s="2060"/>
      <c r="DQ1643" s="2060"/>
      <c r="DR1643" s="2060"/>
      <c r="DS1643" s="2060"/>
      <c r="DT1643" s="2060"/>
      <c r="DU1643" s="2060"/>
      <c r="DV1643" s="2060"/>
      <c r="DW1643" s="2060"/>
      <c r="DX1643" s="2060"/>
      <c r="DY1643" s="2060"/>
      <c r="DZ1643" s="2060"/>
      <c r="EA1643" s="2060"/>
      <c r="EB1643" s="2060"/>
      <c r="EC1643" s="2060"/>
      <c r="ED1643" s="2060"/>
      <c r="EE1643" s="2060"/>
      <c r="EF1643" s="2060"/>
      <c r="EG1643" s="2060"/>
      <c r="EH1643" s="2060"/>
      <c r="EI1643" s="2060"/>
      <c r="EJ1643" s="2060"/>
      <c r="EK1643" s="2060"/>
      <c r="EL1643" s="2060"/>
      <c r="EM1643" s="2060"/>
      <c r="EN1643" s="2060"/>
      <c r="EO1643" s="2060"/>
      <c r="EP1643" s="2060"/>
      <c r="EQ1643" s="2060"/>
      <c r="ER1643" s="2060"/>
      <c r="ES1643" s="2060"/>
      <c r="ET1643" s="2060"/>
      <c r="EU1643" s="2060"/>
      <c r="EV1643" s="2060"/>
      <c r="EW1643" s="2060"/>
      <c r="EX1643" s="2060"/>
      <c r="EY1643" s="2060"/>
      <c r="EZ1643" s="2060"/>
      <c r="FA1643" s="2060"/>
      <c r="FB1643" s="2060"/>
      <c r="FC1643" s="2060"/>
      <c r="FD1643" s="2060"/>
      <c r="FE1643" s="2060"/>
      <c r="FF1643" s="2060"/>
      <c r="FG1643" s="2060"/>
      <c r="FH1643" s="2060"/>
      <c r="FI1643" s="2060"/>
      <c r="FJ1643" s="2060"/>
      <c r="FK1643" s="2060"/>
      <c r="FL1643" s="2060"/>
      <c r="FM1643" s="2060"/>
      <c r="FN1643" s="2060"/>
      <c r="FO1643" s="2060"/>
      <c r="FP1643" s="2060"/>
      <c r="FQ1643" s="2060"/>
      <c r="FR1643" s="2060"/>
      <c r="FS1643" s="2060"/>
      <c r="FT1643" s="2060"/>
      <c r="FU1643" s="2060"/>
      <c r="FV1643" s="2060"/>
      <c r="FW1643" s="2060"/>
      <c r="FX1643" s="2060"/>
      <c r="FY1643" s="2060"/>
      <c r="FZ1643" s="2060"/>
      <c r="GA1643" s="2060"/>
      <c r="GB1643" s="2060"/>
      <c r="GC1643" s="2060"/>
      <c r="GD1643" s="2060"/>
      <c r="GE1643" s="2060"/>
      <c r="GF1643" s="2060"/>
      <c r="GG1643" s="2060"/>
      <c r="GH1643" s="2060"/>
      <c r="GI1643" s="2060"/>
      <c r="GJ1643" s="2060"/>
      <c r="GK1643" s="2060"/>
      <c r="GL1643" s="2060"/>
      <c r="GM1643" s="2060"/>
      <c r="GN1643" s="2060"/>
      <c r="GO1643" s="2060"/>
      <c r="GP1643" s="2060"/>
      <c r="GQ1643" s="2060"/>
      <c r="GR1643" s="2060"/>
      <c r="GS1643" s="2060"/>
      <c r="GT1643" s="2060"/>
      <c r="GU1643" s="2060"/>
      <c r="GV1643" s="2060"/>
      <c r="GW1643" s="2060"/>
      <c r="GX1643" s="2060"/>
      <c r="GY1643" s="2060"/>
      <c r="GZ1643" s="2060"/>
      <c r="HA1643" s="2060"/>
      <c r="HB1643" s="2060"/>
      <c r="HC1643" s="2060"/>
      <c r="HD1643" s="2060"/>
      <c r="HE1643" s="2060"/>
      <c r="HF1643" s="2060"/>
      <c r="HG1643" s="2060"/>
      <c r="HH1643" s="2060"/>
      <c r="HI1643" s="2060"/>
      <c r="HJ1643" s="2060"/>
      <c r="HK1643" s="2060"/>
      <c r="HL1643" s="2060"/>
      <c r="HM1643" s="2060"/>
      <c r="HN1643" s="2060"/>
      <c r="HO1643" s="2060"/>
      <c r="HP1643" s="2060"/>
      <c r="HQ1643" s="2060"/>
      <c r="HR1643" s="2060"/>
      <c r="HS1643" s="2060"/>
      <c r="HT1643" s="2060"/>
      <c r="HU1643" s="2060"/>
      <c r="HV1643" s="2060"/>
      <c r="HW1643" s="2060"/>
      <c r="HX1643" s="2060"/>
      <c r="HY1643" s="2060"/>
      <c r="HZ1643" s="2060"/>
      <c r="IA1643" s="2060"/>
      <c r="IB1643" s="2060"/>
      <c r="IC1643" s="2060"/>
      <c r="ID1643" s="2060"/>
      <c r="IE1643" s="2060"/>
      <c r="IF1643" s="2060"/>
      <c r="IG1643" s="2060"/>
      <c r="IH1643" s="2060"/>
      <c r="II1643" s="2060"/>
      <c r="IJ1643" s="2060"/>
      <c r="IK1643" s="2060"/>
      <c r="IL1643" s="2060"/>
      <c r="IM1643" s="2060"/>
      <c r="IN1643" s="2060"/>
      <c r="IO1643" s="2060"/>
      <c r="IP1643" s="2060"/>
      <c r="IQ1643" s="2060"/>
      <c r="IR1643" s="2060"/>
      <c r="IS1643" s="2060"/>
      <c r="IT1643" s="2060"/>
      <c r="IU1643" s="2060"/>
      <c r="IV1643" s="2060"/>
      <c r="IW1643" s="2060"/>
      <c r="IX1643" s="2060"/>
      <c r="IY1643" s="2060"/>
      <c r="IZ1643" s="2060"/>
      <c r="JA1643" s="2060"/>
      <c r="JB1643" s="2060"/>
      <c r="JC1643" s="2060"/>
      <c r="JD1643" s="2060"/>
      <c r="JE1643" s="2060"/>
      <c r="JF1643" s="2060"/>
      <c r="JG1643" s="2060"/>
      <c r="JH1643" s="2060"/>
      <c r="JI1643" s="2060"/>
      <c r="JJ1643" s="2060"/>
      <c r="JK1643" s="2060"/>
      <c r="JL1643" s="2060"/>
      <c r="JM1643" s="2060"/>
      <c r="JN1643" s="2060"/>
      <c r="JO1643" s="2060"/>
      <c r="JP1643" s="2060"/>
      <c r="JQ1643" s="2060"/>
      <c r="JR1643" s="2060"/>
      <c r="JS1643" s="2060"/>
      <c r="JT1643" s="2060"/>
      <c r="JU1643" s="2060"/>
      <c r="JV1643" s="2060"/>
      <c r="JW1643" s="2060"/>
      <c r="JX1643" s="2060"/>
      <c r="JY1643" s="2060"/>
      <c r="JZ1643" s="2060"/>
      <c r="KA1643" s="2060"/>
      <c r="KB1643" s="2060"/>
      <c r="KC1643" s="2060"/>
      <c r="KD1643" s="2060"/>
      <c r="KE1643" s="2060"/>
      <c r="KF1643" s="2060"/>
      <c r="KG1643" s="2060"/>
      <c r="KH1643" s="2060"/>
      <c r="KI1643" s="2060"/>
      <c r="KJ1643" s="2060"/>
      <c r="KK1643" s="2060"/>
      <c r="KL1643" s="2060"/>
      <c r="KM1643" s="2060"/>
      <c r="KN1643" s="2060"/>
      <c r="KO1643" s="2060"/>
      <c r="KP1643" s="2060"/>
      <c r="KQ1643" s="2060"/>
      <c r="KR1643" s="2060"/>
      <c r="KS1643" s="2060"/>
      <c r="KT1643" s="2060"/>
      <c r="KU1643" s="2060"/>
      <c r="KV1643" s="2060"/>
      <c r="KW1643" s="2060"/>
      <c r="KX1643" s="2060"/>
      <c r="KY1643" s="2060"/>
      <c r="KZ1643" s="2060"/>
      <c r="LA1643" s="2060"/>
      <c r="LB1643" s="2060"/>
      <c r="LC1643" s="2060"/>
      <c r="LD1643" s="2060"/>
      <c r="LE1643" s="2060"/>
      <c r="LF1643" s="2060"/>
      <c r="LG1643" s="2060"/>
      <c r="LH1643" s="2060"/>
    </row>
    <row r="1644" spans="1:320" s="449" customFormat="1" ht="13.9">
      <c r="A1644" s="2060"/>
      <c r="B1644" s="2060"/>
      <c r="C1644" s="2060"/>
      <c r="D1644" s="2060"/>
      <c r="E1644" s="505"/>
      <c r="F1644" s="953" t="s">
        <v>150</v>
      </c>
      <c r="G1644" s="737" t="s">
        <v>851</v>
      </c>
      <c r="H1644" s="741"/>
      <c r="I1644" s="724"/>
      <c r="J1644" s="726" t="s">
        <v>837</v>
      </c>
      <c r="K1644" s="726" t="s">
        <v>838</v>
      </c>
      <c r="L1644" s="726" t="s">
        <v>839</v>
      </c>
      <c r="M1644" s="726" t="s">
        <v>840</v>
      </c>
      <c r="N1644" s="726" t="s">
        <v>841</v>
      </c>
      <c r="O1644" s="726" t="s">
        <v>842</v>
      </c>
      <c r="P1644" s="726" t="s">
        <v>843</v>
      </c>
      <c r="Q1644" s="726" t="s">
        <v>844</v>
      </c>
      <c r="R1644" s="726" t="s">
        <v>845</v>
      </c>
      <c r="S1644" s="726" t="s">
        <v>846</v>
      </c>
      <c r="T1644" s="726" t="s">
        <v>847</v>
      </c>
      <c r="U1644" s="726" t="s">
        <v>848</v>
      </c>
      <c r="V1644" s="726" t="s">
        <v>849</v>
      </c>
      <c r="W1644" s="1479"/>
      <c r="X1644" s="255"/>
      <c r="Y1644" s="89"/>
      <c r="Z1644" s="2060"/>
      <c r="AA1644" s="2060"/>
      <c r="AB1644" s="2060"/>
      <c r="AC1644" s="2060"/>
      <c r="AD1644" s="2060"/>
      <c r="AE1644" s="2060"/>
      <c r="AF1644" s="2060"/>
      <c r="AG1644" s="2060"/>
      <c r="AH1644" s="2060"/>
      <c r="AI1644" s="2060"/>
      <c r="AJ1644" s="2060"/>
      <c r="AK1644" s="2060"/>
      <c r="AL1644" s="2060"/>
      <c r="AM1644" s="2060"/>
      <c r="AN1644" s="2060"/>
      <c r="AO1644" s="2060"/>
      <c r="AP1644" s="2060"/>
      <c r="AQ1644" s="2060"/>
      <c r="AR1644" s="2060"/>
      <c r="AS1644" s="2060"/>
      <c r="AT1644" s="2060"/>
      <c r="AU1644" s="2060"/>
      <c r="AV1644" s="2060"/>
      <c r="AW1644" s="2060"/>
      <c r="AX1644" s="2060"/>
      <c r="AY1644" s="2060"/>
      <c r="AZ1644" s="2060"/>
      <c r="BA1644" s="2060"/>
      <c r="BB1644" s="2060"/>
      <c r="BC1644" s="2060"/>
      <c r="BD1644" s="2060"/>
      <c r="BE1644" s="2060"/>
      <c r="BF1644" s="2060"/>
      <c r="BG1644" s="2060"/>
      <c r="BH1644" s="2060"/>
      <c r="BI1644" s="2060"/>
      <c r="BJ1644" s="2060"/>
      <c r="BK1644" s="2060"/>
      <c r="BL1644" s="2060"/>
      <c r="BM1644" s="2060"/>
      <c r="BN1644" s="2060"/>
      <c r="BO1644" s="2060"/>
      <c r="BP1644" s="2060"/>
      <c r="BQ1644" s="2060"/>
      <c r="BR1644" s="2060"/>
      <c r="BS1644" s="2060"/>
      <c r="BT1644" s="2060"/>
      <c r="BU1644" s="2060"/>
      <c r="BV1644" s="2060"/>
      <c r="BW1644" s="2060"/>
      <c r="BX1644" s="2060"/>
      <c r="BY1644" s="2060"/>
      <c r="BZ1644" s="2060"/>
      <c r="CA1644" s="2060"/>
      <c r="CB1644" s="2060"/>
      <c r="CC1644" s="2060"/>
      <c r="CD1644" s="2060"/>
      <c r="CE1644" s="2060"/>
      <c r="CF1644" s="2060"/>
      <c r="CG1644" s="2060"/>
      <c r="CH1644" s="2060"/>
      <c r="CI1644" s="2060"/>
      <c r="CJ1644" s="2060"/>
      <c r="CK1644" s="2060"/>
      <c r="CL1644" s="2060"/>
      <c r="CM1644" s="2060"/>
      <c r="CN1644" s="2060"/>
      <c r="CO1644" s="2060"/>
      <c r="CP1644" s="2060"/>
      <c r="CQ1644" s="2060"/>
      <c r="CR1644" s="2060"/>
      <c r="CS1644" s="2060"/>
      <c r="CT1644" s="2060"/>
      <c r="CU1644" s="2060"/>
      <c r="CV1644" s="2060"/>
      <c r="CW1644" s="2060"/>
      <c r="CX1644" s="2060"/>
      <c r="CY1644" s="2060"/>
      <c r="CZ1644" s="2060"/>
      <c r="DA1644" s="2060"/>
      <c r="DB1644" s="2060"/>
      <c r="DC1644" s="2060"/>
      <c r="DD1644" s="2060"/>
      <c r="DE1644" s="2060"/>
      <c r="DF1644" s="2060"/>
      <c r="DG1644" s="2060"/>
      <c r="DH1644" s="2060"/>
      <c r="DI1644" s="2060"/>
      <c r="DJ1644" s="2060"/>
      <c r="DK1644" s="2060"/>
      <c r="DL1644" s="2060"/>
      <c r="DM1644" s="2060"/>
      <c r="DN1644" s="2060"/>
      <c r="DO1644" s="2060"/>
      <c r="DP1644" s="2060"/>
      <c r="DQ1644" s="2060"/>
      <c r="DR1644" s="2060"/>
      <c r="DS1644" s="2060"/>
      <c r="DT1644" s="2060"/>
      <c r="DU1644" s="2060"/>
      <c r="DV1644" s="2060"/>
      <c r="DW1644" s="2060"/>
      <c r="DX1644" s="2060"/>
      <c r="DY1644" s="2060"/>
      <c r="DZ1644" s="2060"/>
      <c r="EA1644" s="2060"/>
      <c r="EB1644" s="2060"/>
      <c r="EC1644" s="2060"/>
      <c r="ED1644" s="2060"/>
      <c r="EE1644" s="2060"/>
      <c r="EF1644" s="2060"/>
      <c r="EG1644" s="2060"/>
      <c r="EH1644" s="2060"/>
      <c r="EI1644" s="2060"/>
      <c r="EJ1644" s="2060"/>
      <c r="EK1644" s="2060"/>
      <c r="EL1644" s="2060"/>
      <c r="EM1644" s="2060"/>
      <c r="EN1644" s="2060"/>
      <c r="EO1644" s="2060"/>
      <c r="EP1644" s="2060"/>
      <c r="EQ1644" s="2060"/>
      <c r="ER1644" s="2060"/>
      <c r="ES1644" s="2060"/>
      <c r="ET1644" s="2060"/>
      <c r="EU1644" s="2060"/>
      <c r="EV1644" s="2060"/>
      <c r="EW1644" s="2060"/>
      <c r="EX1644" s="2060"/>
      <c r="EY1644" s="2060"/>
      <c r="EZ1644" s="2060"/>
      <c r="FA1644" s="2060"/>
      <c r="FB1644" s="2060"/>
      <c r="FC1644" s="2060"/>
      <c r="FD1644" s="2060"/>
      <c r="FE1644" s="2060"/>
      <c r="FF1644" s="2060"/>
      <c r="FG1644" s="2060"/>
      <c r="FH1644" s="2060"/>
      <c r="FI1644" s="2060"/>
      <c r="FJ1644" s="2060"/>
      <c r="FK1644" s="2060"/>
      <c r="FL1644" s="2060"/>
      <c r="FM1644" s="2060"/>
      <c r="FN1644" s="2060"/>
      <c r="FO1644" s="2060"/>
      <c r="FP1644" s="2060"/>
      <c r="FQ1644" s="2060"/>
      <c r="FR1644" s="2060"/>
      <c r="FS1644" s="2060"/>
      <c r="FT1644" s="2060"/>
      <c r="FU1644" s="2060"/>
      <c r="FV1644" s="2060"/>
      <c r="FW1644" s="2060"/>
      <c r="FX1644" s="2060"/>
      <c r="FY1644" s="2060"/>
      <c r="FZ1644" s="2060"/>
      <c r="GA1644" s="2060"/>
      <c r="GB1644" s="2060"/>
      <c r="GC1644" s="2060"/>
      <c r="GD1644" s="2060"/>
      <c r="GE1644" s="2060"/>
      <c r="GF1644" s="2060"/>
      <c r="GG1644" s="2060"/>
      <c r="GH1644" s="2060"/>
      <c r="GI1644" s="2060"/>
      <c r="GJ1644" s="2060"/>
      <c r="GK1644" s="2060"/>
      <c r="GL1644" s="2060"/>
      <c r="GM1644" s="2060"/>
      <c r="GN1644" s="2060"/>
      <c r="GO1644" s="2060"/>
      <c r="GP1644" s="2060"/>
      <c r="GQ1644" s="2060"/>
      <c r="GR1644" s="2060"/>
      <c r="GS1644" s="2060"/>
      <c r="GT1644" s="2060"/>
      <c r="GU1644" s="2060"/>
      <c r="GV1644" s="2060"/>
      <c r="GW1644" s="2060"/>
      <c r="GX1644" s="2060"/>
      <c r="GY1644" s="2060"/>
      <c r="GZ1644" s="2060"/>
      <c r="HA1644" s="2060"/>
      <c r="HB1644" s="2060"/>
      <c r="HC1644" s="2060"/>
      <c r="HD1644" s="2060"/>
      <c r="HE1644" s="2060"/>
      <c r="HF1644" s="2060"/>
      <c r="HG1644" s="2060"/>
      <c r="HH1644" s="2060"/>
      <c r="HI1644" s="2060"/>
      <c r="HJ1644" s="2060"/>
      <c r="HK1644" s="2060"/>
      <c r="HL1644" s="2060"/>
      <c r="HM1644" s="2060"/>
      <c r="HN1644" s="2060"/>
      <c r="HO1644" s="2060"/>
      <c r="HP1644" s="2060"/>
      <c r="HQ1644" s="2060"/>
      <c r="HR1644" s="2060"/>
      <c r="HS1644" s="2060"/>
      <c r="HT1644" s="2060"/>
      <c r="HU1644" s="2060"/>
      <c r="HV1644" s="2060"/>
      <c r="HW1644" s="2060"/>
      <c r="HX1644" s="2060"/>
      <c r="HY1644" s="2060"/>
      <c r="HZ1644" s="2060"/>
      <c r="IA1644" s="2060"/>
      <c r="IB1644" s="2060"/>
      <c r="IC1644" s="2060"/>
      <c r="ID1644" s="2060"/>
      <c r="IE1644" s="2060"/>
      <c r="IF1644" s="2060"/>
      <c r="IG1644" s="2060"/>
      <c r="IH1644" s="2060"/>
      <c r="II1644" s="2060"/>
      <c r="IJ1644" s="2060"/>
      <c r="IK1644" s="2060"/>
      <c r="IL1644" s="2060"/>
      <c r="IM1644" s="2060"/>
      <c r="IN1644" s="2060"/>
      <c r="IO1644" s="2060"/>
      <c r="IP1644" s="2060"/>
      <c r="IQ1644" s="2060"/>
      <c r="IR1644" s="2060"/>
      <c r="IS1644" s="2060"/>
      <c r="IT1644" s="2060"/>
      <c r="IU1644" s="2060"/>
      <c r="IV1644" s="2060"/>
      <c r="IW1644" s="2060"/>
      <c r="IX1644" s="2060"/>
      <c r="IY1644" s="2060"/>
      <c r="IZ1644" s="2060"/>
      <c r="JA1644" s="2060"/>
      <c r="JB1644" s="2060"/>
      <c r="JC1644" s="2060"/>
      <c r="JD1644" s="2060"/>
      <c r="JE1644" s="2060"/>
      <c r="JF1644" s="2060"/>
      <c r="JG1644" s="2060"/>
      <c r="JH1644" s="2060"/>
      <c r="JI1644" s="2060"/>
      <c r="JJ1644" s="2060"/>
      <c r="JK1644" s="2060"/>
      <c r="JL1644" s="2060"/>
      <c r="JM1644" s="2060"/>
      <c r="JN1644" s="2060"/>
      <c r="JO1644" s="2060"/>
      <c r="JP1644" s="2060"/>
      <c r="JQ1644" s="2060"/>
      <c r="JR1644" s="2060"/>
      <c r="JS1644" s="2060"/>
      <c r="JT1644" s="2060"/>
      <c r="JU1644" s="2060"/>
      <c r="JV1644" s="2060"/>
      <c r="JW1644" s="2060"/>
      <c r="JX1644" s="2060"/>
      <c r="JY1644" s="2060"/>
      <c r="JZ1644" s="2060"/>
      <c r="KA1644" s="2060"/>
      <c r="KB1644" s="2060"/>
      <c r="KC1644" s="2060"/>
      <c r="KD1644" s="2060"/>
      <c r="KE1644" s="2060"/>
      <c r="KF1644" s="2060"/>
      <c r="KG1644" s="2060"/>
      <c r="KH1644" s="2060"/>
      <c r="KI1644" s="2060"/>
      <c r="KJ1644" s="2060"/>
      <c r="KK1644" s="2060"/>
      <c r="KL1644" s="2060"/>
      <c r="KM1644" s="2060"/>
      <c r="KN1644" s="2060"/>
      <c r="KO1644" s="2060"/>
      <c r="KP1644" s="2060"/>
      <c r="KQ1644" s="2060"/>
      <c r="KR1644" s="2060"/>
      <c r="KS1644" s="2060"/>
      <c r="KT1644" s="2060"/>
      <c r="KU1644" s="2060"/>
      <c r="KV1644" s="2060"/>
      <c r="KW1644" s="2060"/>
      <c r="KX1644" s="2060"/>
      <c r="KY1644" s="2060"/>
      <c r="KZ1644" s="2060"/>
      <c r="LA1644" s="2060"/>
      <c r="LB1644" s="2060"/>
      <c r="LC1644" s="2060"/>
      <c r="LD1644" s="2060"/>
      <c r="LE1644" s="2060"/>
      <c r="LF1644" s="2060"/>
      <c r="LG1644" s="2060"/>
      <c r="LH1644" s="2060"/>
    </row>
    <row r="1645" spans="1:320" s="449" customFormat="1" ht="13.9">
      <c r="A1645" s="2060"/>
      <c r="B1645" s="2060"/>
      <c r="C1645" s="2060"/>
      <c r="D1645" s="2060"/>
      <c r="E1645" s="508">
        <v>0</v>
      </c>
      <c r="F1645" s="1453" t="str">
        <f>F$128</f>
        <v/>
      </c>
      <c r="G1645" s="1454">
        <f>G$128</f>
        <v>0</v>
      </c>
      <c r="H1645" s="1455" t="str">
        <f>H$128</f>
        <v>USD</v>
      </c>
      <c r="I1645" s="507" t="s">
        <v>786</v>
      </c>
      <c r="J1645" s="2196" t="str">
        <f>IF($G1645=0,"",IFERROR(_xll.ciqfunctions.udf.CIQ($G1645,$I1645,J$1557,Valuation_Date_GC,ReportType,DataMode,$H1645,FXMode)*Scale,"n/a"))</f>
        <v/>
      </c>
      <c r="K1645" s="2196" t="str">
        <f>IF($G1645=0,"",IFERROR(_xll.ciqfunctions.udf.CIQ($G1645,$I1645,K$1557,Valuation_Date_GC,ReportType,DataMode,$H1645,FXMode)*Scale,"n/a"))</f>
        <v/>
      </c>
      <c r="L1645" s="2196" t="str">
        <f>IF($G1645=0,"",IFERROR(_xll.ciqfunctions.udf.CIQ($G1645,$I1645,L$1557,Valuation_Date_GC,ReportType,DataMode,$H1645,FXMode)*Scale,"n/a"))</f>
        <v/>
      </c>
      <c r="M1645" s="2196" t="str">
        <f>IF($G1645=0,"",IFERROR(_xll.ciqfunctions.udf.CIQ($G1645,$I1645,M$1557,Valuation_Date_GC,ReportType,DataMode,$H1645,FXMode)*Scale,"n/a"))</f>
        <v/>
      </c>
      <c r="N1645" s="2196" t="str">
        <f>IF($G1645=0,"",IFERROR(_xll.ciqfunctions.udf.CIQ($G1645,$I1645,N$1557,Valuation_Date_GC,ReportType,DataMode,$H1645,FXMode)*Scale,"n/a"))</f>
        <v/>
      </c>
      <c r="O1645" s="2196" t="str">
        <f>IF($G1645=0,"",IFERROR(_xll.ciqfunctions.udf.CIQ($G1645,$I1645,O$1557,Valuation_Date_GC,ReportType,DataMode,$H1645,FXMode)*Scale,"n/a"))</f>
        <v/>
      </c>
      <c r="P1645" s="2196" t="str">
        <f>IF($G1645=0,"",IFERROR(_xll.ciqfunctions.udf.CIQ($G1645,$I1645,P$1557,Valuation_Date_GC,ReportType,DataMode,$H1645,FXMode)*Scale,"n/a"))</f>
        <v/>
      </c>
      <c r="Q1645" s="2196" t="str">
        <f>IF($G1645=0,"",IFERROR(_xll.ciqfunctions.udf.CIQ($G1645,$I1645,Q$1557,Valuation_Date_GC,ReportType,DataMode,$H1645,FXMode)*Scale,"n/a"))</f>
        <v/>
      </c>
      <c r="R1645" s="2196" t="str">
        <f>IF($G1645=0,"",IFERROR(_xll.ciqfunctions.udf.CIQ($G1645,$I1645,R$1557,Valuation_Date_GC,ReportType,DataMode,$H1645,FXMode)*Scale,"n/a"))</f>
        <v/>
      </c>
      <c r="S1645" s="2196" t="str">
        <f>IF($G1645=0,"",IFERROR(_xll.ciqfunctions.udf.CIQ($G1645,$I1645,S$1557,Valuation_Date_GC,ReportType,DataMode,$H1645,FXMode)*Scale,"n/a"))</f>
        <v/>
      </c>
      <c r="T1645" s="2196" t="str">
        <f>IF($G1645=0,"",IFERROR(_xll.ciqfunctions.udf.CIQ($G1645,$I1645,T$1557,Valuation_Date_GC,ReportType,DataMode,$H1645,FXMode)*Scale,"n/a"))</f>
        <v/>
      </c>
      <c r="U1645" s="2196" t="str">
        <f>IF($G1645=0,"",IFERROR(_xll.ciqfunctions.udf.CIQ($G1645,$I1645,U$1557,Valuation_Date_GC,ReportType,DataMode,$H1645,FXMode)*Scale,"n/a"))</f>
        <v/>
      </c>
      <c r="V1645" s="2196" t="str">
        <f>IF($G1645=0,"",IFERROR(_xll.ciqfunctions.udf.CIQ($G1645,$I1645,V$1557,Valuation_Date_GC,ReportType,DataMode,$H1645,FXMode)*Scale,"n/a"))</f>
        <v/>
      </c>
      <c r="W1645" s="1479"/>
      <c r="X1645" s="255"/>
      <c r="Y1645" s="89"/>
      <c r="Z1645" s="2060"/>
      <c r="AA1645" s="2060"/>
      <c r="AB1645" s="2060"/>
      <c r="AC1645" s="2060"/>
      <c r="AD1645" s="2060"/>
      <c r="AE1645" s="2060"/>
      <c r="AF1645" s="2060"/>
      <c r="AG1645" s="2060"/>
      <c r="AH1645" s="2060"/>
      <c r="AI1645" s="2060"/>
      <c r="AJ1645" s="2060"/>
      <c r="AK1645" s="2060"/>
      <c r="AL1645" s="2060"/>
      <c r="AM1645" s="2060"/>
      <c r="AN1645" s="2060"/>
      <c r="AO1645" s="2060"/>
      <c r="AP1645" s="2060"/>
      <c r="AQ1645" s="2060"/>
      <c r="AR1645" s="2060"/>
      <c r="AS1645" s="2060"/>
      <c r="AT1645" s="2060"/>
      <c r="AU1645" s="2060"/>
      <c r="AV1645" s="2060"/>
      <c r="AW1645" s="2060"/>
      <c r="AX1645" s="2060"/>
      <c r="AY1645" s="2060"/>
      <c r="AZ1645" s="2060"/>
      <c r="BA1645" s="2060"/>
      <c r="BB1645" s="2060"/>
      <c r="BC1645" s="2060"/>
      <c r="BD1645" s="2060"/>
      <c r="BE1645" s="2060"/>
      <c r="BF1645" s="2060"/>
      <c r="BG1645" s="2060"/>
      <c r="BH1645" s="2060"/>
      <c r="BI1645" s="2060"/>
      <c r="BJ1645" s="2060"/>
      <c r="BK1645" s="2060"/>
      <c r="BL1645" s="2060"/>
      <c r="BM1645" s="2060"/>
      <c r="BN1645" s="2060"/>
      <c r="BO1645" s="2060"/>
      <c r="BP1645" s="2060"/>
      <c r="BQ1645" s="2060"/>
      <c r="BR1645" s="2060"/>
      <c r="BS1645" s="2060"/>
      <c r="BT1645" s="2060"/>
      <c r="BU1645" s="2060"/>
      <c r="BV1645" s="2060"/>
      <c r="BW1645" s="2060"/>
      <c r="BX1645" s="2060"/>
      <c r="BY1645" s="2060"/>
      <c r="BZ1645" s="2060"/>
      <c r="CA1645" s="2060"/>
      <c r="CB1645" s="2060"/>
      <c r="CC1645" s="2060"/>
      <c r="CD1645" s="2060"/>
      <c r="CE1645" s="2060"/>
      <c r="CF1645" s="2060"/>
      <c r="CG1645" s="2060"/>
      <c r="CH1645" s="2060"/>
      <c r="CI1645" s="2060"/>
      <c r="CJ1645" s="2060"/>
      <c r="CK1645" s="2060"/>
      <c r="CL1645" s="2060"/>
      <c r="CM1645" s="2060"/>
      <c r="CN1645" s="2060"/>
      <c r="CO1645" s="2060"/>
      <c r="CP1645" s="2060"/>
      <c r="CQ1645" s="2060"/>
      <c r="CR1645" s="2060"/>
      <c r="CS1645" s="2060"/>
      <c r="CT1645" s="2060"/>
      <c r="CU1645" s="2060"/>
      <c r="CV1645" s="2060"/>
      <c r="CW1645" s="2060"/>
      <c r="CX1645" s="2060"/>
      <c r="CY1645" s="2060"/>
      <c r="CZ1645" s="2060"/>
      <c r="DA1645" s="2060"/>
      <c r="DB1645" s="2060"/>
      <c r="DC1645" s="2060"/>
      <c r="DD1645" s="2060"/>
      <c r="DE1645" s="2060"/>
      <c r="DF1645" s="2060"/>
      <c r="DG1645" s="2060"/>
      <c r="DH1645" s="2060"/>
      <c r="DI1645" s="2060"/>
      <c r="DJ1645" s="2060"/>
      <c r="DK1645" s="2060"/>
      <c r="DL1645" s="2060"/>
      <c r="DM1645" s="2060"/>
      <c r="DN1645" s="2060"/>
      <c r="DO1645" s="2060"/>
      <c r="DP1645" s="2060"/>
      <c r="DQ1645" s="2060"/>
      <c r="DR1645" s="2060"/>
      <c r="DS1645" s="2060"/>
      <c r="DT1645" s="2060"/>
      <c r="DU1645" s="2060"/>
      <c r="DV1645" s="2060"/>
      <c r="DW1645" s="2060"/>
      <c r="DX1645" s="2060"/>
      <c r="DY1645" s="2060"/>
      <c r="DZ1645" s="2060"/>
      <c r="EA1645" s="2060"/>
      <c r="EB1645" s="2060"/>
      <c r="EC1645" s="2060"/>
      <c r="ED1645" s="2060"/>
      <c r="EE1645" s="2060"/>
      <c r="EF1645" s="2060"/>
      <c r="EG1645" s="2060"/>
      <c r="EH1645" s="2060"/>
      <c r="EI1645" s="2060"/>
      <c r="EJ1645" s="2060"/>
      <c r="EK1645" s="2060"/>
      <c r="EL1645" s="2060"/>
      <c r="EM1645" s="2060"/>
      <c r="EN1645" s="2060"/>
      <c r="EO1645" s="2060"/>
      <c r="EP1645" s="2060"/>
      <c r="EQ1645" s="2060"/>
      <c r="ER1645" s="2060"/>
      <c r="ES1645" s="2060"/>
      <c r="ET1645" s="2060"/>
      <c r="EU1645" s="2060"/>
      <c r="EV1645" s="2060"/>
      <c r="EW1645" s="2060"/>
      <c r="EX1645" s="2060"/>
      <c r="EY1645" s="2060"/>
      <c r="EZ1645" s="2060"/>
      <c r="FA1645" s="2060"/>
      <c r="FB1645" s="2060"/>
      <c r="FC1645" s="2060"/>
      <c r="FD1645" s="2060"/>
      <c r="FE1645" s="2060"/>
      <c r="FF1645" s="2060"/>
      <c r="FG1645" s="2060"/>
      <c r="FH1645" s="2060"/>
      <c r="FI1645" s="2060"/>
      <c r="FJ1645" s="2060"/>
      <c r="FK1645" s="2060"/>
      <c r="FL1645" s="2060"/>
      <c r="FM1645" s="2060"/>
      <c r="FN1645" s="2060"/>
      <c r="FO1645" s="2060"/>
      <c r="FP1645" s="2060"/>
      <c r="FQ1645" s="2060"/>
      <c r="FR1645" s="2060"/>
      <c r="FS1645" s="2060"/>
      <c r="FT1645" s="2060"/>
      <c r="FU1645" s="2060"/>
      <c r="FV1645" s="2060"/>
      <c r="FW1645" s="2060"/>
      <c r="FX1645" s="2060"/>
      <c r="FY1645" s="2060"/>
      <c r="FZ1645" s="2060"/>
      <c r="GA1645" s="2060"/>
      <c r="GB1645" s="2060"/>
      <c r="GC1645" s="2060"/>
      <c r="GD1645" s="2060"/>
      <c r="GE1645" s="2060"/>
      <c r="GF1645" s="2060"/>
      <c r="GG1645" s="2060"/>
      <c r="GH1645" s="2060"/>
      <c r="GI1645" s="2060"/>
      <c r="GJ1645" s="2060"/>
      <c r="GK1645" s="2060"/>
      <c r="GL1645" s="2060"/>
      <c r="GM1645" s="2060"/>
      <c r="GN1645" s="2060"/>
      <c r="GO1645" s="2060"/>
      <c r="GP1645" s="2060"/>
      <c r="GQ1645" s="2060"/>
      <c r="GR1645" s="2060"/>
      <c r="GS1645" s="2060"/>
      <c r="GT1645" s="2060"/>
      <c r="GU1645" s="2060"/>
      <c r="GV1645" s="2060"/>
      <c r="GW1645" s="2060"/>
      <c r="GX1645" s="2060"/>
      <c r="GY1645" s="2060"/>
      <c r="GZ1645" s="2060"/>
      <c r="HA1645" s="2060"/>
      <c r="HB1645" s="2060"/>
      <c r="HC1645" s="2060"/>
      <c r="HD1645" s="2060"/>
      <c r="HE1645" s="2060"/>
      <c r="HF1645" s="2060"/>
      <c r="HG1645" s="2060"/>
      <c r="HH1645" s="2060"/>
      <c r="HI1645" s="2060"/>
      <c r="HJ1645" s="2060"/>
      <c r="HK1645" s="2060"/>
      <c r="HL1645" s="2060"/>
      <c r="HM1645" s="2060"/>
      <c r="HN1645" s="2060"/>
      <c r="HO1645" s="2060"/>
      <c r="HP1645" s="2060"/>
      <c r="HQ1645" s="2060"/>
      <c r="HR1645" s="2060"/>
      <c r="HS1645" s="2060"/>
      <c r="HT1645" s="2060"/>
      <c r="HU1645" s="2060"/>
      <c r="HV1645" s="2060"/>
      <c r="HW1645" s="2060"/>
      <c r="HX1645" s="2060"/>
      <c r="HY1645" s="2060"/>
      <c r="HZ1645" s="2060"/>
      <c r="IA1645" s="2060"/>
      <c r="IB1645" s="2060"/>
      <c r="IC1645" s="2060"/>
      <c r="ID1645" s="2060"/>
      <c r="IE1645" s="2060"/>
      <c r="IF1645" s="2060"/>
      <c r="IG1645" s="2060"/>
      <c r="IH1645" s="2060"/>
      <c r="II1645" s="2060"/>
      <c r="IJ1645" s="2060"/>
      <c r="IK1645" s="2060"/>
      <c r="IL1645" s="2060"/>
      <c r="IM1645" s="2060"/>
      <c r="IN1645" s="2060"/>
      <c r="IO1645" s="2060"/>
      <c r="IP1645" s="2060"/>
      <c r="IQ1645" s="2060"/>
      <c r="IR1645" s="2060"/>
      <c r="IS1645" s="2060"/>
      <c r="IT1645" s="2060"/>
      <c r="IU1645" s="2060"/>
      <c r="IV1645" s="2060"/>
      <c r="IW1645" s="2060"/>
      <c r="IX1645" s="2060"/>
      <c r="IY1645" s="2060"/>
      <c r="IZ1645" s="2060"/>
      <c r="JA1645" s="2060"/>
      <c r="JB1645" s="2060"/>
      <c r="JC1645" s="2060"/>
      <c r="JD1645" s="2060"/>
      <c r="JE1645" s="2060"/>
      <c r="JF1645" s="2060"/>
      <c r="JG1645" s="2060"/>
      <c r="JH1645" s="2060"/>
      <c r="JI1645" s="2060"/>
      <c r="JJ1645" s="2060"/>
      <c r="JK1645" s="2060"/>
      <c r="JL1645" s="2060"/>
      <c r="JM1645" s="2060"/>
      <c r="JN1645" s="2060"/>
      <c r="JO1645" s="2060"/>
      <c r="JP1645" s="2060"/>
      <c r="JQ1645" s="2060"/>
      <c r="JR1645" s="2060"/>
      <c r="JS1645" s="2060"/>
      <c r="JT1645" s="2060"/>
      <c r="JU1645" s="2060"/>
      <c r="JV1645" s="2060"/>
      <c r="JW1645" s="2060"/>
      <c r="JX1645" s="2060"/>
      <c r="JY1645" s="2060"/>
      <c r="JZ1645" s="2060"/>
      <c r="KA1645" s="2060"/>
      <c r="KB1645" s="2060"/>
      <c r="KC1645" s="2060"/>
      <c r="KD1645" s="2060"/>
      <c r="KE1645" s="2060"/>
      <c r="KF1645" s="2060"/>
      <c r="KG1645" s="2060"/>
      <c r="KH1645" s="2060"/>
      <c r="KI1645" s="2060"/>
      <c r="KJ1645" s="2060"/>
      <c r="KK1645" s="2060"/>
      <c r="KL1645" s="2060"/>
      <c r="KM1645" s="2060"/>
      <c r="KN1645" s="2060"/>
      <c r="KO1645" s="2060"/>
      <c r="KP1645" s="2060"/>
      <c r="KQ1645" s="2060"/>
      <c r="KR1645" s="2060"/>
      <c r="KS1645" s="2060"/>
      <c r="KT1645" s="2060"/>
      <c r="KU1645" s="2060"/>
      <c r="KV1645" s="2060"/>
      <c r="KW1645" s="2060"/>
      <c r="KX1645" s="2060"/>
      <c r="KY1645" s="2060"/>
      <c r="KZ1645" s="2060"/>
      <c r="LA1645" s="2060"/>
      <c r="LB1645" s="2060"/>
      <c r="LC1645" s="2060"/>
      <c r="LD1645" s="2060"/>
      <c r="LE1645" s="2060"/>
      <c r="LF1645" s="2060"/>
      <c r="LG1645" s="2060"/>
      <c r="LH1645" s="2060"/>
    </row>
    <row r="1646" spans="1:320" s="449" customFormat="1" ht="13.9">
      <c r="A1646" s="269" t="str">
        <f>IF(F1646="--","n","")</f>
        <v>n</v>
      </c>
      <c r="B1646" s="2060"/>
      <c r="C1646" s="2060"/>
      <c r="D1646" s="2060"/>
      <c r="E1646" s="1661">
        <v>1</v>
      </c>
      <c r="F1646" s="1353" t="str">
        <f>F$129</f>
        <v>--</v>
      </c>
      <c r="G1646" s="128">
        <f>G$129</f>
        <v>0</v>
      </c>
      <c r="H1646" s="128" t="str">
        <f>H$129</f>
        <v>--</v>
      </c>
      <c r="I1646" s="89" t="s">
        <v>786</v>
      </c>
      <c r="J1646" s="2197" t="str">
        <f>IF($G1646=0,"",IFERROR(_xll.ciqfunctions.udf.CIQ($G1646,$I1646,J$1557,Valuation_Date_GC,ReportType,DataMode,$H1646,FXMode)*Scale,"n/a"))</f>
        <v/>
      </c>
      <c r="K1646" s="2197" t="str">
        <f>IF($G1646=0,"",IFERROR(_xll.ciqfunctions.udf.CIQ($G1646,$I1646,K$1557,Valuation_Date_GC,ReportType,DataMode,$H1646,FXMode)*Scale,"n/a"))</f>
        <v/>
      </c>
      <c r="L1646" s="2197" t="str">
        <f>IF($G1646=0,"",IFERROR(_xll.ciqfunctions.udf.CIQ($G1646,$I1646,L$1557,Valuation_Date_GC,ReportType,DataMode,$H1646,FXMode)*Scale,"n/a"))</f>
        <v/>
      </c>
      <c r="M1646" s="2197" t="str">
        <f>IF($G1646=0,"",IFERROR(_xll.ciqfunctions.udf.CIQ($G1646,$I1646,M$1557,Valuation_Date_GC,ReportType,DataMode,$H1646,FXMode)*Scale,"n/a"))</f>
        <v/>
      </c>
      <c r="N1646" s="2197" t="str">
        <f>IF($G1646=0,"",IFERROR(_xll.ciqfunctions.udf.CIQ($G1646,$I1646,N$1557,Valuation_Date_GC,ReportType,DataMode,$H1646,FXMode)*Scale,"n/a"))</f>
        <v/>
      </c>
      <c r="O1646" s="2197" t="str">
        <f>IF($G1646=0,"",IFERROR(_xll.ciqfunctions.udf.CIQ($G1646,$I1646,O$1557,Valuation_Date_GC,ReportType,DataMode,$H1646,FXMode)*Scale,"n/a"))</f>
        <v/>
      </c>
      <c r="P1646" s="2197" t="str">
        <f>IF($G1646=0,"",IFERROR(_xll.ciqfunctions.udf.CIQ($G1646,$I1646,P$1557,Valuation_Date_GC,ReportType,DataMode,$H1646,FXMode)*Scale,"n/a"))</f>
        <v/>
      </c>
      <c r="Q1646" s="2197" t="str">
        <f>IF($G1646=0,"",IFERROR(_xll.ciqfunctions.udf.CIQ($G1646,$I1646,Q$1557,Valuation_Date_GC,ReportType,DataMode,$H1646,FXMode)*Scale,"n/a"))</f>
        <v/>
      </c>
      <c r="R1646" s="2197" t="str">
        <f>IF($G1646=0,"",IFERROR(_xll.ciqfunctions.udf.CIQ($G1646,$I1646,R$1557,Valuation_Date_GC,ReportType,DataMode,$H1646,FXMode)*Scale,"n/a"))</f>
        <v/>
      </c>
      <c r="S1646" s="2197" t="str">
        <f>IF($G1646=0,"",IFERROR(_xll.ciqfunctions.udf.CIQ($G1646,$I1646,S$1557,Valuation_Date_GC,ReportType,DataMode,$H1646,FXMode)*Scale,"n/a"))</f>
        <v/>
      </c>
      <c r="T1646" s="2197" t="str">
        <f>IF($G1646=0,"",IFERROR(_xll.ciqfunctions.udf.CIQ($G1646,$I1646,T$1557,Valuation_Date_GC,ReportType,DataMode,$H1646,FXMode)*Scale,"n/a"))</f>
        <v/>
      </c>
      <c r="U1646" s="2197" t="str">
        <f>IF($G1646=0,"",IFERROR(_xll.ciqfunctions.udf.CIQ($G1646,$I1646,U$1557,Valuation_Date_GC,ReportType,DataMode,$H1646,FXMode)*Scale,"n/a"))</f>
        <v/>
      </c>
      <c r="V1646" s="2197" t="str">
        <f>IF($G1646=0,"",IFERROR(_xll.ciqfunctions.udf.CIQ($G1646,$I1646,V$1557,Valuation_Date_GC,ReportType,DataMode,$H1646,FXMode)*Scale,"n/a"))</f>
        <v/>
      </c>
      <c r="W1646" s="1479"/>
      <c r="X1646" s="255"/>
      <c r="Y1646" s="89"/>
      <c r="Z1646" s="2060"/>
      <c r="AA1646" s="2060"/>
      <c r="AB1646" s="2060"/>
      <c r="AC1646" s="2060"/>
      <c r="AD1646" s="2060"/>
      <c r="AE1646" s="2060"/>
      <c r="AF1646" s="2060"/>
      <c r="AG1646" s="2060"/>
      <c r="AH1646" s="2060"/>
      <c r="AI1646" s="2060"/>
      <c r="AJ1646" s="2060"/>
      <c r="AK1646" s="2060"/>
      <c r="AL1646" s="2060"/>
      <c r="AM1646" s="2060"/>
      <c r="AN1646" s="2060"/>
      <c r="AO1646" s="2060"/>
      <c r="AP1646" s="2060"/>
      <c r="AQ1646" s="2060"/>
      <c r="AR1646" s="2060"/>
      <c r="AS1646" s="2060"/>
      <c r="AT1646" s="2060"/>
      <c r="AU1646" s="2060"/>
      <c r="AV1646" s="2060"/>
      <c r="AW1646" s="2060"/>
      <c r="AX1646" s="2060"/>
      <c r="AY1646" s="2060"/>
      <c r="AZ1646" s="2060"/>
      <c r="BA1646" s="2060"/>
      <c r="BB1646" s="2060"/>
      <c r="BC1646" s="2060"/>
      <c r="BD1646" s="2060"/>
      <c r="BE1646" s="2060"/>
      <c r="BF1646" s="2060"/>
      <c r="BG1646" s="2060"/>
      <c r="BH1646" s="2060"/>
      <c r="BI1646" s="2060"/>
      <c r="BJ1646" s="2060"/>
      <c r="BK1646" s="2060"/>
      <c r="BL1646" s="2060"/>
      <c r="BM1646" s="2060"/>
      <c r="BN1646" s="2060"/>
      <c r="BO1646" s="2060"/>
      <c r="BP1646" s="2060"/>
      <c r="BQ1646" s="2060"/>
      <c r="BR1646" s="2060"/>
      <c r="BS1646" s="2060"/>
      <c r="BT1646" s="2060"/>
      <c r="BU1646" s="2060"/>
      <c r="BV1646" s="2060"/>
      <c r="BW1646" s="2060"/>
      <c r="BX1646" s="2060"/>
      <c r="BY1646" s="2060"/>
      <c r="BZ1646" s="2060"/>
      <c r="CA1646" s="2060"/>
      <c r="CB1646" s="2060"/>
      <c r="CC1646" s="2060"/>
      <c r="CD1646" s="2060"/>
      <c r="CE1646" s="2060"/>
      <c r="CF1646" s="2060"/>
      <c r="CG1646" s="2060"/>
      <c r="CH1646" s="2060"/>
      <c r="CI1646" s="2060"/>
      <c r="CJ1646" s="2060"/>
      <c r="CK1646" s="2060"/>
      <c r="CL1646" s="2060"/>
      <c r="CM1646" s="2060"/>
      <c r="CN1646" s="2060"/>
      <c r="CO1646" s="2060"/>
      <c r="CP1646" s="2060"/>
      <c r="CQ1646" s="2060"/>
      <c r="CR1646" s="2060"/>
      <c r="CS1646" s="2060"/>
      <c r="CT1646" s="2060"/>
      <c r="CU1646" s="2060"/>
      <c r="CV1646" s="2060"/>
      <c r="CW1646" s="2060"/>
      <c r="CX1646" s="2060"/>
      <c r="CY1646" s="2060"/>
      <c r="CZ1646" s="2060"/>
      <c r="DA1646" s="2060"/>
      <c r="DB1646" s="2060"/>
      <c r="DC1646" s="2060"/>
      <c r="DD1646" s="2060"/>
      <c r="DE1646" s="2060"/>
      <c r="DF1646" s="2060"/>
      <c r="DG1646" s="2060"/>
      <c r="DH1646" s="2060"/>
      <c r="DI1646" s="2060"/>
      <c r="DJ1646" s="2060"/>
      <c r="DK1646" s="2060"/>
      <c r="DL1646" s="2060"/>
      <c r="DM1646" s="2060"/>
      <c r="DN1646" s="2060"/>
      <c r="DO1646" s="2060"/>
      <c r="DP1646" s="2060"/>
      <c r="DQ1646" s="2060"/>
      <c r="DR1646" s="2060"/>
      <c r="DS1646" s="2060"/>
      <c r="DT1646" s="2060"/>
      <c r="DU1646" s="2060"/>
      <c r="DV1646" s="2060"/>
      <c r="DW1646" s="2060"/>
      <c r="DX1646" s="2060"/>
      <c r="DY1646" s="2060"/>
      <c r="DZ1646" s="2060"/>
      <c r="EA1646" s="2060"/>
      <c r="EB1646" s="2060"/>
      <c r="EC1646" s="2060"/>
      <c r="ED1646" s="2060"/>
      <c r="EE1646" s="2060"/>
      <c r="EF1646" s="2060"/>
      <c r="EG1646" s="2060"/>
      <c r="EH1646" s="2060"/>
      <c r="EI1646" s="2060"/>
      <c r="EJ1646" s="2060"/>
      <c r="EK1646" s="2060"/>
      <c r="EL1646" s="2060"/>
      <c r="EM1646" s="2060"/>
      <c r="EN1646" s="2060"/>
      <c r="EO1646" s="2060"/>
      <c r="EP1646" s="2060"/>
      <c r="EQ1646" s="2060"/>
      <c r="ER1646" s="2060"/>
      <c r="ES1646" s="2060"/>
      <c r="ET1646" s="2060"/>
      <c r="EU1646" s="2060"/>
      <c r="EV1646" s="2060"/>
      <c r="EW1646" s="2060"/>
      <c r="EX1646" s="2060"/>
      <c r="EY1646" s="2060"/>
      <c r="EZ1646" s="2060"/>
      <c r="FA1646" s="2060"/>
      <c r="FB1646" s="2060"/>
      <c r="FC1646" s="2060"/>
      <c r="FD1646" s="2060"/>
      <c r="FE1646" s="2060"/>
      <c r="FF1646" s="2060"/>
      <c r="FG1646" s="2060"/>
      <c r="FH1646" s="2060"/>
      <c r="FI1646" s="2060"/>
      <c r="FJ1646" s="2060"/>
      <c r="FK1646" s="2060"/>
      <c r="FL1646" s="2060"/>
      <c r="FM1646" s="2060"/>
      <c r="FN1646" s="2060"/>
      <c r="FO1646" s="2060"/>
      <c r="FP1646" s="2060"/>
      <c r="FQ1646" s="2060"/>
      <c r="FR1646" s="2060"/>
      <c r="FS1646" s="2060"/>
      <c r="FT1646" s="2060"/>
      <c r="FU1646" s="2060"/>
      <c r="FV1646" s="2060"/>
      <c r="FW1646" s="2060"/>
      <c r="FX1646" s="2060"/>
      <c r="FY1646" s="2060"/>
      <c r="FZ1646" s="2060"/>
      <c r="GA1646" s="2060"/>
      <c r="GB1646" s="2060"/>
      <c r="GC1646" s="2060"/>
      <c r="GD1646" s="2060"/>
      <c r="GE1646" s="2060"/>
      <c r="GF1646" s="2060"/>
      <c r="GG1646" s="2060"/>
      <c r="GH1646" s="2060"/>
      <c r="GI1646" s="2060"/>
      <c r="GJ1646" s="2060"/>
      <c r="GK1646" s="2060"/>
      <c r="GL1646" s="2060"/>
      <c r="GM1646" s="2060"/>
      <c r="GN1646" s="2060"/>
      <c r="GO1646" s="2060"/>
      <c r="GP1646" s="2060"/>
      <c r="GQ1646" s="2060"/>
      <c r="GR1646" s="2060"/>
      <c r="GS1646" s="2060"/>
      <c r="GT1646" s="2060"/>
      <c r="GU1646" s="2060"/>
      <c r="GV1646" s="2060"/>
      <c r="GW1646" s="2060"/>
      <c r="GX1646" s="2060"/>
      <c r="GY1646" s="2060"/>
      <c r="GZ1646" s="2060"/>
      <c r="HA1646" s="2060"/>
      <c r="HB1646" s="2060"/>
      <c r="HC1646" s="2060"/>
      <c r="HD1646" s="2060"/>
      <c r="HE1646" s="2060"/>
      <c r="HF1646" s="2060"/>
      <c r="HG1646" s="2060"/>
      <c r="HH1646" s="2060"/>
      <c r="HI1646" s="2060"/>
      <c r="HJ1646" s="2060"/>
      <c r="HK1646" s="2060"/>
      <c r="HL1646" s="2060"/>
      <c r="HM1646" s="2060"/>
      <c r="HN1646" s="2060"/>
      <c r="HO1646" s="2060"/>
      <c r="HP1646" s="2060"/>
      <c r="HQ1646" s="2060"/>
      <c r="HR1646" s="2060"/>
      <c r="HS1646" s="2060"/>
      <c r="HT1646" s="2060"/>
      <c r="HU1646" s="2060"/>
      <c r="HV1646" s="2060"/>
      <c r="HW1646" s="2060"/>
      <c r="HX1646" s="2060"/>
      <c r="HY1646" s="2060"/>
      <c r="HZ1646" s="2060"/>
      <c r="IA1646" s="2060"/>
      <c r="IB1646" s="2060"/>
      <c r="IC1646" s="2060"/>
      <c r="ID1646" s="2060"/>
      <c r="IE1646" s="2060"/>
      <c r="IF1646" s="2060"/>
      <c r="IG1646" s="2060"/>
      <c r="IH1646" s="2060"/>
      <c r="II1646" s="2060"/>
      <c r="IJ1646" s="2060"/>
      <c r="IK1646" s="2060"/>
      <c r="IL1646" s="2060"/>
      <c r="IM1646" s="2060"/>
      <c r="IN1646" s="2060"/>
      <c r="IO1646" s="2060"/>
      <c r="IP1646" s="2060"/>
      <c r="IQ1646" s="2060"/>
      <c r="IR1646" s="2060"/>
      <c r="IS1646" s="2060"/>
      <c r="IT1646" s="2060"/>
      <c r="IU1646" s="2060"/>
      <c r="IV1646" s="2060"/>
      <c r="IW1646" s="2060"/>
      <c r="IX1646" s="2060"/>
      <c r="IY1646" s="2060"/>
      <c r="IZ1646" s="2060"/>
      <c r="JA1646" s="2060"/>
      <c r="JB1646" s="2060"/>
      <c r="JC1646" s="2060"/>
      <c r="JD1646" s="2060"/>
      <c r="JE1646" s="2060"/>
      <c r="JF1646" s="2060"/>
      <c r="JG1646" s="2060"/>
      <c r="JH1646" s="2060"/>
      <c r="JI1646" s="2060"/>
      <c r="JJ1646" s="2060"/>
      <c r="JK1646" s="2060"/>
      <c r="JL1646" s="2060"/>
      <c r="JM1646" s="2060"/>
      <c r="JN1646" s="2060"/>
      <c r="JO1646" s="2060"/>
      <c r="JP1646" s="2060"/>
      <c r="JQ1646" s="2060"/>
      <c r="JR1646" s="2060"/>
      <c r="JS1646" s="2060"/>
      <c r="JT1646" s="2060"/>
      <c r="JU1646" s="2060"/>
      <c r="JV1646" s="2060"/>
      <c r="JW1646" s="2060"/>
      <c r="JX1646" s="2060"/>
      <c r="JY1646" s="2060"/>
      <c r="JZ1646" s="2060"/>
      <c r="KA1646" s="2060"/>
      <c r="KB1646" s="2060"/>
      <c r="KC1646" s="2060"/>
      <c r="KD1646" s="2060"/>
      <c r="KE1646" s="2060"/>
      <c r="KF1646" s="2060"/>
      <c r="KG1646" s="2060"/>
      <c r="KH1646" s="2060"/>
      <c r="KI1646" s="2060"/>
      <c r="KJ1646" s="2060"/>
      <c r="KK1646" s="2060"/>
      <c r="KL1646" s="2060"/>
      <c r="KM1646" s="2060"/>
      <c r="KN1646" s="2060"/>
      <c r="KO1646" s="2060"/>
      <c r="KP1646" s="2060"/>
      <c r="KQ1646" s="2060"/>
      <c r="KR1646" s="2060"/>
      <c r="KS1646" s="2060"/>
      <c r="KT1646" s="2060"/>
      <c r="KU1646" s="2060"/>
      <c r="KV1646" s="2060"/>
      <c r="KW1646" s="2060"/>
      <c r="KX1646" s="2060"/>
      <c r="KY1646" s="2060"/>
      <c r="KZ1646" s="2060"/>
      <c r="LA1646" s="2060"/>
      <c r="LB1646" s="2060"/>
      <c r="LC1646" s="2060"/>
      <c r="LD1646" s="2060"/>
      <c r="LE1646" s="2060"/>
      <c r="LF1646" s="2060"/>
      <c r="LG1646" s="2060"/>
      <c r="LH1646" s="2060"/>
    </row>
    <row r="1647" spans="1:320" s="449" customFormat="1" ht="13.9">
      <c r="A1647" s="269" t="str">
        <f t="shared" ref="A1647:A1670" si="442">IF(F1647="--","n","")</f>
        <v>n</v>
      </c>
      <c r="B1647" s="2060"/>
      <c r="C1647" s="2060"/>
      <c r="D1647" s="2060"/>
      <c r="E1647" s="1661">
        <v>2</v>
      </c>
      <c r="F1647" s="1353" t="str">
        <f>F$130</f>
        <v>--</v>
      </c>
      <c r="G1647" s="128">
        <f>G$130</f>
        <v>0</v>
      </c>
      <c r="H1647" s="128" t="str">
        <f>H$130</f>
        <v>--</v>
      </c>
      <c r="I1647" s="89" t="s">
        <v>786</v>
      </c>
      <c r="J1647" s="2197" t="str">
        <f>IF($G1647=0,"",IFERROR(_xll.ciqfunctions.udf.CIQ($G1647,$I1647,J$1557,Valuation_Date_GC,ReportType,DataMode,$H1647,FXMode)*Scale,"n/a"))</f>
        <v/>
      </c>
      <c r="K1647" s="2197" t="str">
        <f>IF($G1647=0,"",IFERROR(_xll.ciqfunctions.udf.CIQ($G1647,$I1647,K$1557,Valuation_Date_GC,ReportType,DataMode,$H1647,FXMode)*Scale,"n/a"))</f>
        <v/>
      </c>
      <c r="L1647" s="2197" t="str">
        <f>IF($G1647=0,"",IFERROR(_xll.ciqfunctions.udf.CIQ($G1647,$I1647,L$1557,Valuation_Date_GC,ReportType,DataMode,$H1647,FXMode)*Scale,"n/a"))</f>
        <v/>
      </c>
      <c r="M1647" s="2197" t="str">
        <f>IF($G1647=0,"",IFERROR(_xll.ciqfunctions.udf.CIQ($G1647,$I1647,M$1557,Valuation_Date_GC,ReportType,DataMode,$H1647,FXMode)*Scale,"n/a"))</f>
        <v/>
      </c>
      <c r="N1647" s="2197" t="str">
        <f>IF($G1647=0,"",IFERROR(_xll.ciqfunctions.udf.CIQ($G1647,$I1647,N$1557,Valuation_Date_GC,ReportType,DataMode,$H1647,FXMode)*Scale,"n/a"))</f>
        <v/>
      </c>
      <c r="O1647" s="2197" t="str">
        <f>IF($G1647=0,"",IFERROR(_xll.ciqfunctions.udf.CIQ($G1647,$I1647,O$1557,Valuation_Date_GC,ReportType,DataMode,$H1647,FXMode)*Scale,"n/a"))</f>
        <v/>
      </c>
      <c r="P1647" s="2197" t="str">
        <f>IF($G1647=0,"",IFERROR(_xll.ciqfunctions.udf.CIQ($G1647,$I1647,P$1557,Valuation_Date_GC,ReportType,DataMode,$H1647,FXMode)*Scale,"n/a"))</f>
        <v/>
      </c>
      <c r="Q1647" s="2197" t="str">
        <f>IF($G1647=0,"",IFERROR(_xll.ciqfunctions.udf.CIQ($G1647,$I1647,Q$1557,Valuation_Date_GC,ReportType,DataMode,$H1647,FXMode)*Scale,"n/a"))</f>
        <v/>
      </c>
      <c r="R1647" s="2197" t="str">
        <f>IF($G1647=0,"",IFERROR(_xll.ciqfunctions.udf.CIQ($G1647,$I1647,R$1557,Valuation_Date_GC,ReportType,DataMode,$H1647,FXMode)*Scale,"n/a"))</f>
        <v/>
      </c>
      <c r="S1647" s="2197" t="str">
        <f>IF($G1647=0,"",IFERROR(_xll.ciqfunctions.udf.CIQ($G1647,$I1647,S$1557,Valuation_Date_GC,ReportType,DataMode,$H1647,FXMode)*Scale,"n/a"))</f>
        <v/>
      </c>
      <c r="T1647" s="2197" t="str">
        <f>IF($G1647=0,"",IFERROR(_xll.ciqfunctions.udf.CIQ($G1647,$I1647,T$1557,Valuation_Date_GC,ReportType,DataMode,$H1647,FXMode)*Scale,"n/a"))</f>
        <v/>
      </c>
      <c r="U1647" s="2197" t="str">
        <f>IF($G1647=0,"",IFERROR(_xll.ciqfunctions.udf.CIQ($G1647,$I1647,U$1557,Valuation_Date_GC,ReportType,DataMode,$H1647,FXMode)*Scale,"n/a"))</f>
        <v/>
      </c>
      <c r="V1647" s="2197" t="str">
        <f>IF($G1647=0,"",IFERROR(_xll.ciqfunctions.udf.CIQ($G1647,$I1647,V$1557,Valuation_Date_GC,ReportType,DataMode,$H1647,FXMode)*Scale,"n/a"))</f>
        <v/>
      </c>
      <c r="W1647" s="1479"/>
      <c r="X1647" s="255"/>
      <c r="Y1647" s="89"/>
      <c r="Z1647" s="2060"/>
      <c r="AA1647" s="2060"/>
      <c r="AB1647" s="2060"/>
      <c r="AC1647" s="2060"/>
      <c r="AD1647" s="2060"/>
      <c r="AE1647" s="2060"/>
      <c r="AF1647" s="2060"/>
      <c r="AG1647" s="2060"/>
      <c r="AH1647" s="2060"/>
      <c r="AI1647" s="2060"/>
      <c r="AJ1647" s="2060"/>
      <c r="AK1647" s="2060"/>
      <c r="AL1647" s="2060"/>
      <c r="AM1647" s="2060"/>
      <c r="AN1647" s="2060"/>
      <c r="AO1647" s="2060"/>
      <c r="AP1647" s="2060"/>
      <c r="AQ1647" s="2060"/>
      <c r="AR1647" s="2060"/>
      <c r="AS1647" s="2060"/>
      <c r="AT1647" s="2060"/>
      <c r="AU1647" s="2060"/>
      <c r="AV1647" s="2060"/>
      <c r="AW1647" s="2060"/>
      <c r="AX1647" s="2060"/>
      <c r="AY1647" s="2060"/>
      <c r="AZ1647" s="2060"/>
      <c r="BA1647" s="2060"/>
      <c r="BB1647" s="2060"/>
      <c r="BC1647" s="2060"/>
      <c r="BD1647" s="2060"/>
      <c r="BE1647" s="2060"/>
      <c r="BF1647" s="2060"/>
      <c r="BG1647" s="2060"/>
      <c r="BH1647" s="2060"/>
      <c r="BI1647" s="2060"/>
      <c r="BJ1647" s="2060"/>
      <c r="BK1647" s="2060"/>
      <c r="BL1647" s="2060"/>
      <c r="BM1647" s="2060"/>
      <c r="BN1647" s="2060"/>
      <c r="BO1647" s="2060"/>
      <c r="BP1647" s="2060"/>
      <c r="BQ1647" s="2060"/>
      <c r="BR1647" s="2060"/>
      <c r="BS1647" s="2060"/>
      <c r="BT1647" s="2060"/>
      <c r="BU1647" s="2060"/>
      <c r="BV1647" s="2060"/>
      <c r="BW1647" s="2060"/>
      <c r="BX1647" s="2060"/>
      <c r="BY1647" s="2060"/>
      <c r="BZ1647" s="2060"/>
      <c r="CA1647" s="2060"/>
      <c r="CB1647" s="2060"/>
      <c r="CC1647" s="2060"/>
      <c r="CD1647" s="2060"/>
      <c r="CE1647" s="2060"/>
      <c r="CF1647" s="2060"/>
      <c r="CG1647" s="2060"/>
      <c r="CH1647" s="2060"/>
      <c r="CI1647" s="2060"/>
      <c r="CJ1647" s="2060"/>
      <c r="CK1647" s="2060"/>
      <c r="CL1647" s="2060"/>
      <c r="CM1647" s="2060"/>
      <c r="CN1647" s="2060"/>
      <c r="CO1647" s="2060"/>
      <c r="CP1647" s="2060"/>
      <c r="CQ1647" s="2060"/>
      <c r="CR1647" s="2060"/>
      <c r="CS1647" s="2060"/>
      <c r="CT1647" s="2060"/>
      <c r="CU1647" s="2060"/>
      <c r="CV1647" s="2060"/>
      <c r="CW1647" s="2060"/>
      <c r="CX1647" s="2060"/>
      <c r="CY1647" s="2060"/>
      <c r="CZ1647" s="2060"/>
      <c r="DA1647" s="2060"/>
      <c r="DB1647" s="2060"/>
      <c r="DC1647" s="2060"/>
      <c r="DD1647" s="2060"/>
      <c r="DE1647" s="2060"/>
      <c r="DF1647" s="2060"/>
      <c r="DG1647" s="2060"/>
      <c r="DH1647" s="2060"/>
      <c r="DI1647" s="2060"/>
      <c r="DJ1647" s="2060"/>
      <c r="DK1647" s="2060"/>
      <c r="DL1647" s="2060"/>
      <c r="DM1647" s="2060"/>
      <c r="DN1647" s="2060"/>
      <c r="DO1647" s="2060"/>
      <c r="DP1647" s="2060"/>
      <c r="DQ1647" s="2060"/>
      <c r="DR1647" s="2060"/>
      <c r="DS1647" s="2060"/>
      <c r="DT1647" s="2060"/>
      <c r="DU1647" s="2060"/>
      <c r="DV1647" s="2060"/>
      <c r="DW1647" s="2060"/>
      <c r="DX1647" s="2060"/>
      <c r="DY1647" s="2060"/>
      <c r="DZ1647" s="2060"/>
      <c r="EA1647" s="2060"/>
      <c r="EB1647" s="2060"/>
      <c r="EC1647" s="2060"/>
      <c r="ED1647" s="2060"/>
      <c r="EE1647" s="2060"/>
      <c r="EF1647" s="2060"/>
      <c r="EG1647" s="2060"/>
      <c r="EH1647" s="2060"/>
      <c r="EI1647" s="2060"/>
      <c r="EJ1647" s="2060"/>
      <c r="EK1647" s="2060"/>
      <c r="EL1647" s="2060"/>
      <c r="EM1647" s="2060"/>
      <c r="EN1647" s="2060"/>
      <c r="EO1647" s="2060"/>
      <c r="EP1647" s="2060"/>
      <c r="EQ1647" s="2060"/>
      <c r="ER1647" s="2060"/>
      <c r="ES1647" s="2060"/>
      <c r="ET1647" s="2060"/>
      <c r="EU1647" s="2060"/>
      <c r="EV1647" s="2060"/>
      <c r="EW1647" s="2060"/>
      <c r="EX1647" s="2060"/>
      <c r="EY1647" s="2060"/>
      <c r="EZ1647" s="2060"/>
      <c r="FA1647" s="2060"/>
      <c r="FB1647" s="2060"/>
      <c r="FC1647" s="2060"/>
      <c r="FD1647" s="2060"/>
      <c r="FE1647" s="2060"/>
      <c r="FF1647" s="2060"/>
      <c r="FG1647" s="2060"/>
      <c r="FH1647" s="2060"/>
      <c r="FI1647" s="2060"/>
      <c r="FJ1647" s="2060"/>
      <c r="FK1647" s="2060"/>
      <c r="FL1647" s="2060"/>
      <c r="FM1647" s="2060"/>
      <c r="FN1647" s="2060"/>
      <c r="FO1647" s="2060"/>
      <c r="FP1647" s="2060"/>
      <c r="FQ1647" s="2060"/>
      <c r="FR1647" s="2060"/>
      <c r="FS1647" s="2060"/>
      <c r="FT1647" s="2060"/>
      <c r="FU1647" s="2060"/>
      <c r="FV1647" s="2060"/>
      <c r="FW1647" s="2060"/>
      <c r="FX1647" s="2060"/>
      <c r="FY1647" s="2060"/>
      <c r="FZ1647" s="2060"/>
      <c r="GA1647" s="2060"/>
      <c r="GB1647" s="2060"/>
      <c r="GC1647" s="2060"/>
      <c r="GD1647" s="2060"/>
      <c r="GE1647" s="2060"/>
      <c r="GF1647" s="2060"/>
      <c r="GG1647" s="2060"/>
      <c r="GH1647" s="2060"/>
      <c r="GI1647" s="2060"/>
      <c r="GJ1647" s="2060"/>
      <c r="GK1647" s="2060"/>
      <c r="GL1647" s="2060"/>
      <c r="GM1647" s="2060"/>
      <c r="GN1647" s="2060"/>
      <c r="GO1647" s="2060"/>
      <c r="GP1647" s="2060"/>
      <c r="GQ1647" s="2060"/>
      <c r="GR1647" s="2060"/>
      <c r="GS1647" s="2060"/>
      <c r="GT1647" s="2060"/>
      <c r="GU1647" s="2060"/>
      <c r="GV1647" s="2060"/>
      <c r="GW1647" s="2060"/>
      <c r="GX1647" s="2060"/>
      <c r="GY1647" s="2060"/>
      <c r="GZ1647" s="2060"/>
      <c r="HA1647" s="2060"/>
      <c r="HB1647" s="2060"/>
      <c r="HC1647" s="2060"/>
      <c r="HD1647" s="2060"/>
      <c r="HE1647" s="2060"/>
      <c r="HF1647" s="2060"/>
      <c r="HG1647" s="2060"/>
      <c r="HH1647" s="2060"/>
      <c r="HI1647" s="2060"/>
      <c r="HJ1647" s="2060"/>
      <c r="HK1647" s="2060"/>
      <c r="HL1647" s="2060"/>
      <c r="HM1647" s="2060"/>
      <c r="HN1647" s="2060"/>
      <c r="HO1647" s="2060"/>
      <c r="HP1647" s="2060"/>
      <c r="HQ1647" s="2060"/>
      <c r="HR1647" s="2060"/>
      <c r="HS1647" s="2060"/>
      <c r="HT1647" s="2060"/>
      <c r="HU1647" s="2060"/>
      <c r="HV1647" s="2060"/>
      <c r="HW1647" s="2060"/>
      <c r="HX1647" s="2060"/>
      <c r="HY1647" s="2060"/>
      <c r="HZ1647" s="2060"/>
      <c r="IA1647" s="2060"/>
      <c r="IB1647" s="2060"/>
      <c r="IC1647" s="2060"/>
      <c r="ID1647" s="2060"/>
      <c r="IE1647" s="2060"/>
      <c r="IF1647" s="2060"/>
      <c r="IG1647" s="2060"/>
      <c r="IH1647" s="2060"/>
      <c r="II1647" s="2060"/>
      <c r="IJ1647" s="2060"/>
      <c r="IK1647" s="2060"/>
      <c r="IL1647" s="2060"/>
      <c r="IM1647" s="2060"/>
      <c r="IN1647" s="2060"/>
      <c r="IO1647" s="2060"/>
      <c r="IP1647" s="2060"/>
      <c r="IQ1647" s="2060"/>
      <c r="IR1647" s="2060"/>
      <c r="IS1647" s="2060"/>
      <c r="IT1647" s="2060"/>
      <c r="IU1647" s="2060"/>
      <c r="IV1647" s="2060"/>
      <c r="IW1647" s="2060"/>
      <c r="IX1647" s="2060"/>
      <c r="IY1647" s="2060"/>
      <c r="IZ1647" s="2060"/>
      <c r="JA1647" s="2060"/>
      <c r="JB1647" s="2060"/>
      <c r="JC1647" s="2060"/>
      <c r="JD1647" s="2060"/>
      <c r="JE1647" s="2060"/>
      <c r="JF1647" s="2060"/>
      <c r="JG1647" s="2060"/>
      <c r="JH1647" s="2060"/>
      <c r="JI1647" s="2060"/>
      <c r="JJ1647" s="2060"/>
      <c r="JK1647" s="2060"/>
      <c r="JL1647" s="2060"/>
      <c r="JM1647" s="2060"/>
      <c r="JN1647" s="2060"/>
      <c r="JO1647" s="2060"/>
      <c r="JP1647" s="2060"/>
      <c r="JQ1647" s="2060"/>
      <c r="JR1647" s="2060"/>
      <c r="JS1647" s="2060"/>
      <c r="JT1647" s="2060"/>
      <c r="JU1647" s="2060"/>
      <c r="JV1647" s="2060"/>
      <c r="JW1647" s="2060"/>
      <c r="JX1647" s="2060"/>
      <c r="JY1647" s="2060"/>
      <c r="JZ1647" s="2060"/>
      <c r="KA1647" s="2060"/>
      <c r="KB1647" s="2060"/>
      <c r="KC1647" s="2060"/>
      <c r="KD1647" s="2060"/>
      <c r="KE1647" s="2060"/>
      <c r="KF1647" s="2060"/>
      <c r="KG1647" s="2060"/>
      <c r="KH1647" s="2060"/>
      <c r="KI1647" s="2060"/>
      <c r="KJ1647" s="2060"/>
      <c r="KK1647" s="2060"/>
      <c r="KL1647" s="2060"/>
      <c r="KM1647" s="2060"/>
      <c r="KN1647" s="2060"/>
      <c r="KO1647" s="2060"/>
      <c r="KP1647" s="2060"/>
      <c r="KQ1647" s="2060"/>
      <c r="KR1647" s="2060"/>
      <c r="KS1647" s="2060"/>
      <c r="KT1647" s="2060"/>
      <c r="KU1647" s="2060"/>
      <c r="KV1647" s="2060"/>
      <c r="KW1647" s="2060"/>
      <c r="KX1647" s="2060"/>
      <c r="KY1647" s="2060"/>
      <c r="KZ1647" s="2060"/>
      <c r="LA1647" s="2060"/>
      <c r="LB1647" s="2060"/>
      <c r="LC1647" s="2060"/>
      <c r="LD1647" s="2060"/>
      <c r="LE1647" s="2060"/>
      <c r="LF1647" s="2060"/>
      <c r="LG1647" s="2060"/>
      <c r="LH1647" s="2060"/>
    </row>
    <row r="1648" spans="1:320" s="449" customFormat="1" ht="13.9">
      <c r="A1648" s="269" t="str">
        <f t="shared" si="442"/>
        <v>n</v>
      </c>
      <c r="B1648" s="2060"/>
      <c r="C1648" s="2060"/>
      <c r="D1648" s="2060"/>
      <c r="E1648" s="1661">
        <v>3</v>
      </c>
      <c r="F1648" s="1353" t="str">
        <f>F$131</f>
        <v>--</v>
      </c>
      <c r="G1648" s="128">
        <f>G$131</f>
        <v>0</v>
      </c>
      <c r="H1648" s="128" t="str">
        <f>H$131</f>
        <v>--</v>
      </c>
      <c r="I1648" s="89" t="s">
        <v>786</v>
      </c>
      <c r="J1648" s="2197" t="str">
        <f>IF($G1648=0,"",IFERROR(_xll.ciqfunctions.udf.CIQ($G1648,$I1648,J$1557,Valuation_Date_GC,ReportType,DataMode,$H1648,FXMode)*Scale,"n/a"))</f>
        <v/>
      </c>
      <c r="K1648" s="2197" t="str">
        <f>IF($G1648=0,"",IFERROR(_xll.ciqfunctions.udf.CIQ($G1648,$I1648,K$1557,Valuation_Date_GC,ReportType,DataMode,$H1648,FXMode)*Scale,"n/a"))</f>
        <v/>
      </c>
      <c r="L1648" s="2197" t="str">
        <f>IF($G1648=0,"",IFERROR(_xll.ciqfunctions.udf.CIQ($G1648,$I1648,L$1557,Valuation_Date_GC,ReportType,DataMode,$H1648,FXMode)*Scale,"n/a"))</f>
        <v/>
      </c>
      <c r="M1648" s="2197" t="str">
        <f>IF($G1648=0,"",IFERROR(_xll.ciqfunctions.udf.CIQ($G1648,$I1648,M$1557,Valuation_Date_GC,ReportType,DataMode,$H1648,FXMode)*Scale,"n/a"))</f>
        <v/>
      </c>
      <c r="N1648" s="2197" t="str">
        <f>IF($G1648=0,"",IFERROR(_xll.ciqfunctions.udf.CIQ($G1648,$I1648,N$1557,Valuation_Date_GC,ReportType,DataMode,$H1648,FXMode)*Scale,"n/a"))</f>
        <v/>
      </c>
      <c r="O1648" s="2197" t="str">
        <f>IF($G1648=0,"",IFERROR(_xll.ciqfunctions.udf.CIQ($G1648,$I1648,O$1557,Valuation_Date_GC,ReportType,DataMode,$H1648,FXMode)*Scale,"n/a"))</f>
        <v/>
      </c>
      <c r="P1648" s="2197" t="str">
        <f>IF($G1648=0,"",IFERROR(_xll.ciqfunctions.udf.CIQ($G1648,$I1648,P$1557,Valuation_Date_GC,ReportType,DataMode,$H1648,FXMode)*Scale,"n/a"))</f>
        <v/>
      </c>
      <c r="Q1648" s="2197" t="str">
        <f>IF($G1648=0,"",IFERROR(_xll.ciqfunctions.udf.CIQ($G1648,$I1648,Q$1557,Valuation_Date_GC,ReportType,DataMode,$H1648,FXMode)*Scale,"n/a"))</f>
        <v/>
      </c>
      <c r="R1648" s="2197" t="str">
        <f>IF($G1648=0,"",IFERROR(_xll.ciqfunctions.udf.CIQ($G1648,$I1648,R$1557,Valuation_Date_GC,ReportType,DataMode,$H1648,FXMode)*Scale,"n/a"))</f>
        <v/>
      </c>
      <c r="S1648" s="2197" t="str">
        <f>IF($G1648=0,"",IFERROR(_xll.ciqfunctions.udf.CIQ($G1648,$I1648,S$1557,Valuation_Date_GC,ReportType,DataMode,$H1648,FXMode)*Scale,"n/a"))</f>
        <v/>
      </c>
      <c r="T1648" s="2197" t="str">
        <f>IF($G1648=0,"",IFERROR(_xll.ciqfunctions.udf.CIQ($G1648,$I1648,T$1557,Valuation_Date_GC,ReportType,DataMode,$H1648,FXMode)*Scale,"n/a"))</f>
        <v/>
      </c>
      <c r="U1648" s="2197" t="str">
        <f>IF($G1648=0,"",IFERROR(_xll.ciqfunctions.udf.CIQ($G1648,$I1648,U$1557,Valuation_Date_GC,ReportType,DataMode,$H1648,FXMode)*Scale,"n/a"))</f>
        <v/>
      </c>
      <c r="V1648" s="2197" t="str">
        <f>IF($G1648=0,"",IFERROR(_xll.ciqfunctions.udf.CIQ($G1648,$I1648,V$1557,Valuation_Date_GC,ReportType,DataMode,$H1648,FXMode)*Scale,"n/a"))</f>
        <v/>
      </c>
      <c r="W1648" s="1479"/>
      <c r="X1648" s="255"/>
      <c r="Y1648" s="89"/>
      <c r="Z1648" s="2060"/>
      <c r="AA1648" s="2060"/>
      <c r="AB1648" s="2060"/>
      <c r="AC1648" s="2060"/>
      <c r="AD1648" s="2060"/>
      <c r="AE1648" s="2060"/>
      <c r="AF1648" s="2060"/>
      <c r="AG1648" s="2060"/>
      <c r="AH1648" s="2060"/>
      <c r="AI1648" s="2060"/>
      <c r="AJ1648" s="2060"/>
      <c r="AK1648" s="2060"/>
      <c r="AL1648" s="2060"/>
      <c r="AM1648" s="2060"/>
      <c r="AN1648" s="2060"/>
      <c r="AO1648" s="2060"/>
      <c r="AP1648" s="2060"/>
      <c r="AQ1648" s="2060"/>
      <c r="AR1648" s="2060"/>
      <c r="AS1648" s="2060"/>
      <c r="AT1648" s="2060"/>
      <c r="AU1648" s="2060"/>
      <c r="AV1648" s="2060"/>
      <c r="AW1648" s="2060"/>
      <c r="AX1648" s="2060"/>
      <c r="AY1648" s="2060"/>
      <c r="AZ1648" s="2060"/>
      <c r="BA1648" s="2060"/>
      <c r="BB1648" s="2060"/>
      <c r="BC1648" s="2060"/>
      <c r="BD1648" s="2060"/>
      <c r="BE1648" s="2060"/>
      <c r="BF1648" s="2060"/>
      <c r="BG1648" s="2060"/>
      <c r="BH1648" s="2060"/>
      <c r="BI1648" s="2060"/>
      <c r="BJ1648" s="2060"/>
      <c r="BK1648" s="2060"/>
      <c r="BL1648" s="2060"/>
      <c r="BM1648" s="2060"/>
      <c r="BN1648" s="2060"/>
      <c r="BO1648" s="2060"/>
      <c r="BP1648" s="2060"/>
      <c r="BQ1648" s="2060"/>
      <c r="BR1648" s="2060"/>
      <c r="BS1648" s="2060"/>
      <c r="BT1648" s="2060"/>
      <c r="BU1648" s="2060"/>
      <c r="BV1648" s="2060"/>
      <c r="BW1648" s="2060"/>
      <c r="BX1648" s="2060"/>
      <c r="BY1648" s="2060"/>
      <c r="BZ1648" s="2060"/>
      <c r="CA1648" s="2060"/>
      <c r="CB1648" s="2060"/>
      <c r="CC1648" s="2060"/>
      <c r="CD1648" s="2060"/>
      <c r="CE1648" s="2060"/>
      <c r="CF1648" s="2060"/>
      <c r="CG1648" s="2060"/>
      <c r="CH1648" s="2060"/>
      <c r="CI1648" s="2060"/>
      <c r="CJ1648" s="2060"/>
      <c r="CK1648" s="2060"/>
      <c r="CL1648" s="2060"/>
      <c r="CM1648" s="2060"/>
      <c r="CN1648" s="2060"/>
      <c r="CO1648" s="2060"/>
      <c r="CP1648" s="2060"/>
      <c r="CQ1648" s="2060"/>
      <c r="CR1648" s="2060"/>
      <c r="CS1648" s="2060"/>
      <c r="CT1648" s="2060"/>
      <c r="CU1648" s="2060"/>
      <c r="CV1648" s="2060"/>
      <c r="CW1648" s="2060"/>
      <c r="CX1648" s="2060"/>
      <c r="CY1648" s="2060"/>
      <c r="CZ1648" s="2060"/>
      <c r="DA1648" s="2060"/>
      <c r="DB1648" s="2060"/>
      <c r="DC1648" s="2060"/>
      <c r="DD1648" s="2060"/>
      <c r="DE1648" s="2060"/>
      <c r="DF1648" s="2060"/>
      <c r="DG1648" s="2060"/>
      <c r="DH1648" s="2060"/>
      <c r="DI1648" s="2060"/>
      <c r="DJ1648" s="2060"/>
      <c r="DK1648" s="2060"/>
      <c r="DL1648" s="2060"/>
      <c r="DM1648" s="2060"/>
      <c r="DN1648" s="2060"/>
      <c r="DO1648" s="2060"/>
      <c r="DP1648" s="2060"/>
      <c r="DQ1648" s="2060"/>
      <c r="DR1648" s="2060"/>
      <c r="DS1648" s="2060"/>
      <c r="DT1648" s="2060"/>
      <c r="DU1648" s="2060"/>
      <c r="DV1648" s="2060"/>
      <c r="DW1648" s="2060"/>
      <c r="DX1648" s="2060"/>
      <c r="DY1648" s="2060"/>
      <c r="DZ1648" s="2060"/>
      <c r="EA1648" s="2060"/>
      <c r="EB1648" s="2060"/>
      <c r="EC1648" s="2060"/>
      <c r="ED1648" s="2060"/>
      <c r="EE1648" s="2060"/>
      <c r="EF1648" s="2060"/>
      <c r="EG1648" s="2060"/>
      <c r="EH1648" s="2060"/>
      <c r="EI1648" s="2060"/>
      <c r="EJ1648" s="2060"/>
      <c r="EK1648" s="2060"/>
      <c r="EL1648" s="2060"/>
      <c r="EM1648" s="2060"/>
      <c r="EN1648" s="2060"/>
      <c r="EO1648" s="2060"/>
      <c r="EP1648" s="2060"/>
      <c r="EQ1648" s="2060"/>
      <c r="ER1648" s="2060"/>
      <c r="ES1648" s="2060"/>
      <c r="ET1648" s="2060"/>
      <c r="EU1648" s="2060"/>
      <c r="EV1648" s="2060"/>
      <c r="EW1648" s="2060"/>
      <c r="EX1648" s="2060"/>
      <c r="EY1648" s="2060"/>
      <c r="EZ1648" s="2060"/>
      <c r="FA1648" s="2060"/>
      <c r="FB1648" s="2060"/>
      <c r="FC1648" s="2060"/>
      <c r="FD1648" s="2060"/>
      <c r="FE1648" s="2060"/>
      <c r="FF1648" s="2060"/>
      <c r="FG1648" s="2060"/>
      <c r="FH1648" s="2060"/>
      <c r="FI1648" s="2060"/>
      <c r="FJ1648" s="2060"/>
      <c r="FK1648" s="2060"/>
      <c r="FL1648" s="2060"/>
      <c r="FM1648" s="2060"/>
      <c r="FN1648" s="2060"/>
      <c r="FO1648" s="2060"/>
      <c r="FP1648" s="2060"/>
      <c r="FQ1648" s="2060"/>
      <c r="FR1648" s="2060"/>
      <c r="FS1648" s="2060"/>
      <c r="FT1648" s="2060"/>
      <c r="FU1648" s="2060"/>
      <c r="FV1648" s="2060"/>
      <c r="FW1648" s="2060"/>
      <c r="FX1648" s="2060"/>
      <c r="FY1648" s="2060"/>
      <c r="FZ1648" s="2060"/>
      <c r="GA1648" s="2060"/>
      <c r="GB1648" s="2060"/>
      <c r="GC1648" s="2060"/>
      <c r="GD1648" s="2060"/>
      <c r="GE1648" s="2060"/>
      <c r="GF1648" s="2060"/>
      <c r="GG1648" s="2060"/>
      <c r="GH1648" s="2060"/>
      <c r="GI1648" s="2060"/>
      <c r="GJ1648" s="2060"/>
      <c r="GK1648" s="2060"/>
      <c r="GL1648" s="2060"/>
      <c r="GM1648" s="2060"/>
      <c r="GN1648" s="2060"/>
      <c r="GO1648" s="2060"/>
      <c r="GP1648" s="2060"/>
      <c r="GQ1648" s="2060"/>
      <c r="GR1648" s="2060"/>
      <c r="GS1648" s="2060"/>
      <c r="GT1648" s="2060"/>
      <c r="GU1648" s="2060"/>
      <c r="GV1648" s="2060"/>
      <c r="GW1648" s="2060"/>
      <c r="GX1648" s="2060"/>
      <c r="GY1648" s="2060"/>
      <c r="GZ1648" s="2060"/>
      <c r="HA1648" s="2060"/>
      <c r="HB1648" s="2060"/>
      <c r="HC1648" s="2060"/>
      <c r="HD1648" s="2060"/>
      <c r="HE1648" s="2060"/>
      <c r="HF1648" s="2060"/>
      <c r="HG1648" s="2060"/>
      <c r="HH1648" s="2060"/>
      <c r="HI1648" s="2060"/>
      <c r="HJ1648" s="2060"/>
      <c r="HK1648" s="2060"/>
      <c r="HL1648" s="2060"/>
      <c r="HM1648" s="2060"/>
      <c r="HN1648" s="2060"/>
      <c r="HO1648" s="2060"/>
      <c r="HP1648" s="2060"/>
      <c r="HQ1648" s="2060"/>
      <c r="HR1648" s="2060"/>
      <c r="HS1648" s="2060"/>
      <c r="HT1648" s="2060"/>
      <c r="HU1648" s="2060"/>
      <c r="HV1648" s="2060"/>
      <c r="HW1648" s="2060"/>
      <c r="HX1648" s="2060"/>
      <c r="HY1648" s="2060"/>
      <c r="HZ1648" s="2060"/>
      <c r="IA1648" s="2060"/>
      <c r="IB1648" s="2060"/>
      <c r="IC1648" s="2060"/>
      <c r="ID1648" s="2060"/>
      <c r="IE1648" s="2060"/>
      <c r="IF1648" s="2060"/>
      <c r="IG1648" s="2060"/>
      <c r="IH1648" s="2060"/>
      <c r="II1648" s="2060"/>
      <c r="IJ1648" s="2060"/>
      <c r="IK1648" s="2060"/>
      <c r="IL1648" s="2060"/>
      <c r="IM1648" s="2060"/>
      <c r="IN1648" s="2060"/>
      <c r="IO1648" s="2060"/>
      <c r="IP1648" s="2060"/>
      <c r="IQ1648" s="2060"/>
      <c r="IR1648" s="2060"/>
      <c r="IS1648" s="2060"/>
      <c r="IT1648" s="2060"/>
      <c r="IU1648" s="2060"/>
      <c r="IV1648" s="2060"/>
      <c r="IW1648" s="2060"/>
      <c r="IX1648" s="2060"/>
      <c r="IY1648" s="2060"/>
      <c r="IZ1648" s="2060"/>
      <c r="JA1648" s="2060"/>
      <c r="JB1648" s="2060"/>
      <c r="JC1648" s="2060"/>
      <c r="JD1648" s="2060"/>
      <c r="JE1648" s="2060"/>
      <c r="JF1648" s="2060"/>
      <c r="JG1648" s="2060"/>
      <c r="JH1648" s="2060"/>
      <c r="JI1648" s="2060"/>
      <c r="JJ1648" s="2060"/>
      <c r="JK1648" s="2060"/>
      <c r="JL1648" s="2060"/>
      <c r="JM1648" s="2060"/>
      <c r="JN1648" s="2060"/>
      <c r="JO1648" s="2060"/>
      <c r="JP1648" s="2060"/>
      <c r="JQ1648" s="2060"/>
      <c r="JR1648" s="2060"/>
      <c r="JS1648" s="2060"/>
      <c r="JT1648" s="2060"/>
      <c r="JU1648" s="2060"/>
      <c r="JV1648" s="2060"/>
      <c r="JW1648" s="2060"/>
      <c r="JX1648" s="2060"/>
      <c r="JY1648" s="2060"/>
      <c r="JZ1648" s="2060"/>
      <c r="KA1648" s="2060"/>
      <c r="KB1648" s="2060"/>
      <c r="KC1648" s="2060"/>
      <c r="KD1648" s="2060"/>
      <c r="KE1648" s="2060"/>
      <c r="KF1648" s="2060"/>
      <c r="KG1648" s="2060"/>
      <c r="KH1648" s="2060"/>
      <c r="KI1648" s="2060"/>
      <c r="KJ1648" s="2060"/>
      <c r="KK1648" s="2060"/>
      <c r="KL1648" s="2060"/>
      <c r="KM1648" s="2060"/>
      <c r="KN1648" s="2060"/>
      <c r="KO1648" s="2060"/>
      <c r="KP1648" s="2060"/>
      <c r="KQ1648" s="2060"/>
      <c r="KR1648" s="2060"/>
      <c r="KS1648" s="2060"/>
      <c r="KT1648" s="2060"/>
      <c r="KU1648" s="2060"/>
      <c r="KV1648" s="2060"/>
      <c r="KW1648" s="2060"/>
      <c r="KX1648" s="2060"/>
      <c r="KY1648" s="2060"/>
      <c r="KZ1648" s="2060"/>
      <c r="LA1648" s="2060"/>
      <c r="LB1648" s="2060"/>
      <c r="LC1648" s="2060"/>
      <c r="LD1648" s="2060"/>
      <c r="LE1648" s="2060"/>
      <c r="LF1648" s="2060"/>
      <c r="LG1648" s="2060"/>
      <c r="LH1648" s="2060"/>
    </row>
    <row r="1649" spans="1:320" s="449" customFormat="1" ht="13.9">
      <c r="A1649" s="269" t="str">
        <f t="shared" si="442"/>
        <v>n</v>
      </c>
      <c r="B1649" s="2060"/>
      <c r="C1649" s="2060"/>
      <c r="D1649" s="2060"/>
      <c r="E1649" s="1661">
        <v>4</v>
      </c>
      <c r="F1649" s="1353" t="str">
        <f>F$132</f>
        <v>--</v>
      </c>
      <c r="G1649" s="128">
        <f>G$132</f>
        <v>0</v>
      </c>
      <c r="H1649" s="128" t="str">
        <f>H$132</f>
        <v>--</v>
      </c>
      <c r="I1649" s="89" t="s">
        <v>786</v>
      </c>
      <c r="J1649" s="2197" t="str">
        <f>IF($G1649=0,"",IFERROR(_xll.ciqfunctions.udf.CIQ($G1649,$I1649,J$1557,Valuation_Date_GC,ReportType,DataMode,$H1649,FXMode)*Scale,"n/a"))</f>
        <v/>
      </c>
      <c r="K1649" s="2197" t="str">
        <f>IF($G1649=0,"",IFERROR(_xll.ciqfunctions.udf.CIQ($G1649,$I1649,K$1557,Valuation_Date_GC,ReportType,DataMode,$H1649,FXMode)*Scale,"n/a"))</f>
        <v/>
      </c>
      <c r="L1649" s="2197" t="str">
        <f>IF($G1649=0,"",IFERROR(_xll.ciqfunctions.udf.CIQ($G1649,$I1649,L$1557,Valuation_Date_GC,ReportType,DataMode,$H1649,FXMode)*Scale,"n/a"))</f>
        <v/>
      </c>
      <c r="M1649" s="2197" t="str">
        <f>IF($G1649=0,"",IFERROR(_xll.ciqfunctions.udf.CIQ($G1649,$I1649,M$1557,Valuation_Date_GC,ReportType,DataMode,$H1649,FXMode)*Scale,"n/a"))</f>
        <v/>
      </c>
      <c r="N1649" s="2197" t="str">
        <f>IF($G1649=0,"",IFERROR(_xll.ciqfunctions.udf.CIQ($G1649,$I1649,N$1557,Valuation_Date_GC,ReportType,DataMode,$H1649,FXMode)*Scale,"n/a"))</f>
        <v/>
      </c>
      <c r="O1649" s="2197" t="str">
        <f>IF($G1649=0,"",IFERROR(_xll.ciqfunctions.udf.CIQ($G1649,$I1649,O$1557,Valuation_Date_GC,ReportType,DataMode,$H1649,FXMode)*Scale,"n/a"))</f>
        <v/>
      </c>
      <c r="P1649" s="2197" t="str">
        <f>IF($G1649=0,"",IFERROR(_xll.ciqfunctions.udf.CIQ($G1649,$I1649,P$1557,Valuation_Date_GC,ReportType,DataMode,$H1649,FXMode)*Scale,"n/a"))</f>
        <v/>
      </c>
      <c r="Q1649" s="2197" t="str">
        <f>IF($G1649=0,"",IFERROR(_xll.ciqfunctions.udf.CIQ($G1649,$I1649,Q$1557,Valuation_Date_GC,ReportType,DataMode,$H1649,FXMode)*Scale,"n/a"))</f>
        <v/>
      </c>
      <c r="R1649" s="2197" t="str">
        <f>IF($G1649=0,"",IFERROR(_xll.ciqfunctions.udf.CIQ($G1649,$I1649,R$1557,Valuation_Date_GC,ReportType,DataMode,$H1649,FXMode)*Scale,"n/a"))</f>
        <v/>
      </c>
      <c r="S1649" s="2197" t="str">
        <f>IF($G1649=0,"",IFERROR(_xll.ciqfunctions.udf.CIQ($G1649,$I1649,S$1557,Valuation_Date_GC,ReportType,DataMode,$H1649,FXMode)*Scale,"n/a"))</f>
        <v/>
      </c>
      <c r="T1649" s="2197" t="str">
        <f>IF($G1649=0,"",IFERROR(_xll.ciqfunctions.udf.CIQ($G1649,$I1649,T$1557,Valuation_Date_GC,ReportType,DataMode,$H1649,FXMode)*Scale,"n/a"))</f>
        <v/>
      </c>
      <c r="U1649" s="2197" t="str">
        <f>IF($G1649=0,"",IFERROR(_xll.ciqfunctions.udf.CIQ($G1649,$I1649,U$1557,Valuation_Date_GC,ReportType,DataMode,$H1649,FXMode)*Scale,"n/a"))</f>
        <v/>
      </c>
      <c r="V1649" s="2197" t="str">
        <f>IF($G1649=0,"",IFERROR(_xll.ciqfunctions.udf.CIQ($G1649,$I1649,V$1557,Valuation_Date_GC,ReportType,DataMode,$H1649,FXMode)*Scale,"n/a"))</f>
        <v/>
      </c>
      <c r="W1649" s="1479"/>
      <c r="X1649" s="255"/>
      <c r="Y1649" s="89"/>
      <c r="Z1649" s="2060"/>
      <c r="AA1649" s="2060"/>
      <c r="AB1649" s="2060"/>
      <c r="AC1649" s="2060"/>
      <c r="AD1649" s="2060"/>
      <c r="AE1649" s="2060"/>
      <c r="AF1649" s="2060"/>
      <c r="AG1649" s="2060"/>
      <c r="AH1649" s="2060"/>
      <c r="AI1649" s="2060"/>
      <c r="AJ1649" s="2060"/>
      <c r="AK1649" s="2060"/>
      <c r="AL1649" s="2060"/>
      <c r="AM1649" s="2060"/>
      <c r="AN1649" s="2060"/>
      <c r="AO1649" s="2060"/>
      <c r="AP1649" s="2060"/>
      <c r="AQ1649" s="2060"/>
      <c r="AR1649" s="2060"/>
      <c r="AS1649" s="2060"/>
      <c r="AT1649" s="2060"/>
      <c r="AU1649" s="2060"/>
      <c r="AV1649" s="2060"/>
      <c r="AW1649" s="2060"/>
      <c r="AX1649" s="2060"/>
      <c r="AY1649" s="2060"/>
      <c r="AZ1649" s="2060"/>
      <c r="BA1649" s="2060"/>
      <c r="BB1649" s="2060"/>
      <c r="BC1649" s="2060"/>
      <c r="BD1649" s="2060"/>
      <c r="BE1649" s="2060"/>
      <c r="BF1649" s="2060"/>
      <c r="BG1649" s="2060"/>
      <c r="BH1649" s="2060"/>
      <c r="BI1649" s="2060"/>
      <c r="BJ1649" s="2060"/>
      <c r="BK1649" s="2060"/>
      <c r="BL1649" s="2060"/>
      <c r="BM1649" s="2060"/>
      <c r="BN1649" s="2060"/>
      <c r="BO1649" s="2060"/>
      <c r="BP1649" s="2060"/>
      <c r="BQ1649" s="2060"/>
      <c r="BR1649" s="2060"/>
      <c r="BS1649" s="2060"/>
      <c r="BT1649" s="2060"/>
      <c r="BU1649" s="2060"/>
      <c r="BV1649" s="2060"/>
      <c r="BW1649" s="2060"/>
      <c r="BX1649" s="2060"/>
      <c r="BY1649" s="2060"/>
      <c r="BZ1649" s="2060"/>
      <c r="CA1649" s="2060"/>
      <c r="CB1649" s="2060"/>
      <c r="CC1649" s="2060"/>
      <c r="CD1649" s="2060"/>
      <c r="CE1649" s="2060"/>
      <c r="CF1649" s="2060"/>
      <c r="CG1649" s="2060"/>
      <c r="CH1649" s="2060"/>
      <c r="CI1649" s="2060"/>
      <c r="CJ1649" s="2060"/>
      <c r="CK1649" s="2060"/>
      <c r="CL1649" s="2060"/>
      <c r="CM1649" s="2060"/>
      <c r="CN1649" s="2060"/>
      <c r="CO1649" s="2060"/>
      <c r="CP1649" s="2060"/>
      <c r="CQ1649" s="2060"/>
      <c r="CR1649" s="2060"/>
      <c r="CS1649" s="2060"/>
      <c r="CT1649" s="2060"/>
      <c r="CU1649" s="2060"/>
      <c r="CV1649" s="2060"/>
      <c r="CW1649" s="2060"/>
      <c r="CX1649" s="2060"/>
      <c r="CY1649" s="2060"/>
      <c r="CZ1649" s="2060"/>
      <c r="DA1649" s="2060"/>
      <c r="DB1649" s="2060"/>
      <c r="DC1649" s="2060"/>
      <c r="DD1649" s="2060"/>
      <c r="DE1649" s="2060"/>
      <c r="DF1649" s="2060"/>
      <c r="DG1649" s="2060"/>
      <c r="DH1649" s="2060"/>
      <c r="DI1649" s="2060"/>
      <c r="DJ1649" s="2060"/>
      <c r="DK1649" s="2060"/>
      <c r="DL1649" s="2060"/>
      <c r="DM1649" s="2060"/>
      <c r="DN1649" s="2060"/>
      <c r="DO1649" s="2060"/>
      <c r="DP1649" s="2060"/>
      <c r="DQ1649" s="2060"/>
      <c r="DR1649" s="2060"/>
      <c r="DS1649" s="2060"/>
      <c r="DT1649" s="2060"/>
      <c r="DU1649" s="2060"/>
      <c r="DV1649" s="2060"/>
      <c r="DW1649" s="2060"/>
      <c r="DX1649" s="2060"/>
      <c r="DY1649" s="2060"/>
      <c r="DZ1649" s="2060"/>
      <c r="EA1649" s="2060"/>
      <c r="EB1649" s="2060"/>
      <c r="EC1649" s="2060"/>
      <c r="ED1649" s="2060"/>
      <c r="EE1649" s="2060"/>
      <c r="EF1649" s="2060"/>
      <c r="EG1649" s="2060"/>
      <c r="EH1649" s="2060"/>
      <c r="EI1649" s="2060"/>
      <c r="EJ1649" s="2060"/>
      <c r="EK1649" s="2060"/>
      <c r="EL1649" s="2060"/>
      <c r="EM1649" s="2060"/>
      <c r="EN1649" s="2060"/>
      <c r="EO1649" s="2060"/>
      <c r="EP1649" s="2060"/>
      <c r="EQ1649" s="2060"/>
      <c r="ER1649" s="2060"/>
      <c r="ES1649" s="2060"/>
      <c r="ET1649" s="2060"/>
      <c r="EU1649" s="2060"/>
      <c r="EV1649" s="2060"/>
      <c r="EW1649" s="2060"/>
      <c r="EX1649" s="2060"/>
      <c r="EY1649" s="2060"/>
      <c r="EZ1649" s="2060"/>
      <c r="FA1649" s="2060"/>
      <c r="FB1649" s="2060"/>
      <c r="FC1649" s="2060"/>
      <c r="FD1649" s="2060"/>
      <c r="FE1649" s="2060"/>
      <c r="FF1649" s="2060"/>
      <c r="FG1649" s="2060"/>
      <c r="FH1649" s="2060"/>
      <c r="FI1649" s="2060"/>
      <c r="FJ1649" s="2060"/>
      <c r="FK1649" s="2060"/>
      <c r="FL1649" s="2060"/>
      <c r="FM1649" s="2060"/>
      <c r="FN1649" s="2060"/>
      <c r="FO1649" s="2060"/>
      <c r="FP1649" s="2060"/>
      <c r="FQ1649" s="2060"/>
      <c r="FR1649" s="2060"/>
      <c r="FS1649" s="2060"/>
      <c r="FT1649" s="2060"/>
      <c r="FU1649" s="2060"/>
      <c r="FV1649" s="2060"/>
      <c r="FW1649" s="2060"/>
      <c r="FX1649" s="2060"/>
      <c r="FY1649" s="2060"/>
      <c r="FZ1649" s="2060"/>
      <c r="GA1649" s="2060"/>
      <c r="GB1649" s="2060"/>
      <c r="GC1649" s="2060"/>
      <c r="GD1649" s="2060"/>
      <c r="GE1649" s="2060"/>
      <c r="GF1649" s="2060"/>
      <c r="GG1649" s="2060"/>
      <c r="GH1649" s="2060"/>
      <c r="GI1649" s="2060"/>
      <c r="GJ1649" s="2060"/>
      <c r="GK1649" s="2060"/>
      <c r="GL1649" s="2060"/>
      <c r="GM1649" s="2060"/>
      <c r="GN1649" s="2060"/>
      <c r="GO1649" s="2060"/>
      <c r="GP1649" s="2060"/>
      <c r="GQ1649" s="2060"/>
      <c r="GR1649" s="2060"/>
      <c r="GS1649" s="2060"/>
      <c r="GT1649" s="2060"/>
      <c r="GU1649" s="2060"/>
      <c r="GV1649" s="2060"/>
      <c r="GW1649" s="2060"/>
      <c r="GX1649" s="2060"/>
      <c r="GY1649" s="2060"/>
      <c r="GZ1649" s="2060"/>
      <c r="HA1649" s="2060"/>
      <c r="HB1649" s="2060"/>
      <c r="HC1649" s="2060"/>
      <c r="HD1649" s="2060"/>
      <c r="HE1649" s="2060"/>
      <c r="HF1649" s="2060"/>
      <c r="HG1649" s="2060"/>
      <c r="HH1649" s="2060"/>
      <c r="HI1649" s="2060"/>
      <c r="HJ1649" s="2060"/>
      <c r="HK1649" s="2060"/>
      <c r="HL1649" s="2060"/>
      <c r="HM1649" s="2060"/>
      <c r="HN1649" s="2060"/>
      <c r="HO1649" s="2060"/>
      <c r="HP1649" s="2060"/>
      <c r="HQ1649" s="2060"/>
      <c r="HR1649" s="2060"/>
      <c r="HS1649" s="2060"/>
      <c r="HT1649" s="2060"/>
      <c r="HU1649" s="2060"/>
      <c r="HV1649" s="2060"/>
      <c r="HW1649" s="2060"/>
      <c r="HX1649" s="2060"/>
      <c r="HY1649" s="2060"/>
      <c r="HZ1649" s="2060"/>
      <c r="IA1649" s="2060"/>
      <c r="IB1649" s="2060"/>
      <c r="IC1649" s="2060"/>
      <c r="ID1649" s="2060"/>
      <c r="IE1649" s="2060"/>
      <c r="IF1649" s="2060"/>
      <c r="IG1649" s="2060"/>
      <c r="IH1649" s="2060"/>
      <c r="II1649" s="2060"/>
      <c r="IJ1649" s="2060"/>
      <c r="IK1649" s="2060"/>
      <c r="IL1649" s="2060"/>
      <c r="IM1649" s="2060"/>
      <c r="IN1649" s="2060"/>
      <c r="IO1649" s="2060"/>
      <c r="IP1649" s="2060"/>
      <c r="IQ1649" s="2060"/>
      <c r="IR1649" s="2060"/>
      <c r="IS1649" s="2060"/>
      <c r="IT1649" s="2060"/>
      <c r="IU1649" s="2060"/>
      <c r="IV1649" s="2060"/>
      <c r="IW1649" s="2060"/>
      <c r="IX1649" s="2060"/>
      <c r="IY1649" s="2060"/>
      <c r="IZ1649" s="2060"/>
      <c r="JA1649" s="2060"/>
      <c r="JB1649" s="2060"/>
      <c r="JC1649" s="2060"/>
      <c r="JD1649" s="2060"/>
      <c r="JE1649" s="2060"/>
      <c r="JF1649" s="2060"/>
      <c r="JG1649" s="2060"/>
      <c r="JH1649" s="2060"/>
      <c r="JI1649" s="2060"/>
      <c r="JJ1649" s="2060"/>
      <c r="JK1649" s="2060"/>
      <c r="JL1649" s="2060"/>
      <c r="JM1649" s="2060"/>
      <c r="JN1649" s="2060"/>
      <c r="JO1649" s="2060"/>
      <c r="JP1649" s="2060"/>
      <c r="JQ1649" s="2060"/>
      <c r="JR1649" s="2060"/>
      <c r="JS1649" s="2060"/>
      <c r="JT1649" s="2060"/>
      <c r="JU1649" s="2060"/>
      <c r="JV1649" s="2060"/>
      <c r="JW1649" s="2060"/>
      <c r="JX1649" s="2060"/>
      <c r="JY1649" s="2060"/>
      <c r="JZ1649" s="2060"/>
      <c r="KA1649" s="2060"/>
      <c r="KB1649" s="2060"/>
      <c r="KC1649" s="2060"/>
      <c r="KD1649" s="2060"/>
      <c r="KE1649" s="2060"/>
      <c r="KF1649" s="2060"/>
      <c r="KG1649" s="2060"/>
      <c r="KH1649" s="2060"/>
      <c r="KI1649" s="2060"/>
      <c r="KJ1649" s="2060"/>
      <c r="KK1649" s="2060"/>
      <c r="KL1649" s="2060"/>
      <c r="KM1649" s="2060"/>
      <c r="KN1649" s="2060"/>
      <c r="KO1649" s="2060"/>
      <c r="KP1649" s="2060"/>
      <c r="KQ1649" s="2060"/>
      <c r="KR1649" s="2060"/>
      <c r="KS1649" s="2060"/>
      <c r="KT1649" s="2060"/>
      <c r="KU1649" s="2060"/>
      <c r="KV1649" s="2060"/>
      <c r="KW1649" s="2060"/>
      <c r="KX1649" s="2060"/>
      <c r="KY1649" s="2060"/>
      <c r="KZ1649" s="2060"/>
      <c r="LA1649" s="2060"/>
      <c r="LB1649" s="2060"/>
      <c r="LC1649" s="2060"/>
      <c r="LD1649" s="2060"/>
      <c r="LE1649" s="2060"/>
      <c r="LF1649" s="2060"/>
      <c r="LG1649" s="2060"/>
      <c r="LH1649" s="2060"/>
    </row>
    <row r="1650" spans="1:320" s="449" customFormat="1" ht="13.9">
      <c r="A1650" s="269" t="str">
        <f t="shared" si="442"/>
        <v>n</v>
      </c>
      <c r="B1650" s="2060"/>
      <c r="C1650" s="2060"/>
      <c r="D1650" s="2060"/>
      <c r="E1650" s="1661">
        <v>5</v>
      </c>
      <c r="F1650" s="1353" t="str">
        <f>F$133</f>
        <v>--</v>
      </c>
      <c r="G1650" s="128">
        <f>G$133</f>
        <v>0</v>
      </c>
      <c r="H1650" s="128" t="str">
        <f>H$133</f>
        <v>--</v>
      </c>
      <c r="I1650" s="89" t="s">
        <v>786</v>
      </c>
      <c r="J1650" s="2197" t="str">
        <f>IF($G1650=0,"",IFERROR(_xll.ciqfunctions.udf.CIQ($G1650,$I1650,J$1557,Valuation_Date_GC,ReportType,DataMode,$H1650,FXMode)*Scale,"n/a"))</f>
        <v/>
      </c>
      <c r="K1650" s="2197" t="str">
        <f>IF($G1650=0,"",IFERROR(_xll.ciqfunctions.udf.CIQ($G1650,$I1650,K$1557,Valuation_Date_GC,ReportType,DataMode,$H1650,FXMode)*Scale,"n/a"))</f>
        <v/>
      </c>
      <c r="L1650" s="2197" t="str">
        <f>IF($G1650=0,"",IFERROR(_xll.ciqfunctions.udf.CIQ($G1650,$I1650,L$1557,Valuation_Date_GC,ReportType,DataMode,$H1650,FXMode)*Scale,"n/a"))</f>
        <v/>
      </c>
      <c r="M1650" s="2197" t="str">
        <f>IF($G1650=0,"",IFERROR(_xll.ciqfunctions.udf.CIQ($G1650,$I1650,M$1557,Valuation_Date_GC,ReportType,DataMode,$H1650,FXMode)*Scale,"n/a"))</f>
        <v/>
      </c>
      <c r="N1650" s="2197" t="str">
        <f>IF($G1650=0,"",IFERROR(_xll.ciqfunctions.udf.CIQ($G1650,$I1650,N$1557,Valuation_Date_GC,ReportType,DataMode,$H1650,FXMode)*Scale,"n/a"))</f>
        <v/>
      </c>
      <c r="O1650" s="2197" t="str">
        <f>IF($G1650=0,"",IFERROR(_xll.ciqfunctions.udf.CIQ($G1650,$I1650,O$1557,Valuation_Date_GC,ReportType,DataMode,$H1650,FXMode)*Scale,"n/a"))</f>
        <v/>
      </c>
      <c r="P1650" s="2197" t="str">
        <f>IF($G1650=0,"",IFERROR(_xll.ciqfunctions.udf.CIQ($G1650,$I1650,P$1557,Valuation_Date_GC,ReportType,DataMode,$H1650,FXMode)*Scale,"n/a"))</f>
        <v/>
      </c>
      <c r="Q1650" s="2197" t="str">
        <f>IF($G1650=0,"",IFERROR(_xll.ciqfunctions.udf.CIQ($G1650,$I1650,Q$1557,Valuation_Date_GC,ReportType,DataMode,$H1650,FXMode)*Scale,"n/a"))</f>
        <v/>
      </c>
      <c r="R1650" s="2197" t="str">
        <f>IF($G1650=0,"",IFERROR(_xll.ciqfunctions.udf.CIQ($G1650,$I1650,R$1557,Valuation_Date_GC,ReportType,DataMode,$H1650,FXMode)*Scale,"n/a"))</f>
        <v/>
      </c>
      <c r="S1650" s="2197" t="str">
        <f>IF($G1650=0,"",IFERROR(_xll.ciqfunctions.udf.CIQ($G1650,$I1650,S$1557,Valuation_Date_GC,ReportType,DataMode,$H1650,FXMode)*Scale,"n/a"))</f>
        <v/>
      </c>
      <c r="T1650" s="2197" t="str">
        <f>IF($G1650=0,"",IFERROR(_xll.ciqfunctions.udf.CIQ($G1650,$I1650,T$1557,Valuation_Date_GC,ReportType,DataMode,$H1650,FXMode)*Scale,"n/a"))</f>
        <v/>
      </c>
      <c r="U1650" s="2197" t="str">
        <f>IF($G1650=0,"",IFERROR(_xll.ciqfunctions.udf.CIQ($G1650,$I1650,U$1557,Valuation_Date_GC,ReportType,DataMode,$H1650,FXMode)*Scale,"n/a"))</f>
        <v/>
      </c>
      <c r="V1650" s="2197" t="str">
        <f>IF($G1650=0,"",IFERROR(_xll.ciqfunctions.udf.CIQ($G1650,$I1650,V$1557,Valuation_Date_GC,ReportType,DataMode,$H1650,FXMode)*Scale,"n/a"))</f>
        <v/>
      </c>
      <c r="W1650" s="1479"/>
      <c r="X1650" s="255"/>
      <c r="Y1650" s="89"/>
      <c r="Z1650" s="2060"/>
      <c r="AA1650" s="2060"/>
      <c r="AB1650" s="2060"/>
      <c r="AC1650" s="2060"/>
      <c r="AD1650" s="2060"/>
      <c r="AE1650" s="2060"/>
      <c r="AF1650" s="2060"/>
      <c r="AG1650" s="2060"/>
      <c r="AH1650" s="2060"/>
      <c r="AI1650" s="2060"/>
      <c r="AJ1650" s="2060"/>
      <c r="AK1650" s="2060"/>
      <c r="AL1650" s="2060"/>
      <c r="AM1650" s="2060"/>
      <c r="AN1650" s="2060"/>
      <c r="AO1650" s="2060"/>
      <c r="AP1650" s="2060"/>
      <c r="AQ1650" s="2060"/>
      <c r="AR1650" s="2060"/>
      <c r="AS1650" s="2060"/>
      <c r="AT1650" s="2060"/>
      <c r="AU1650" s="2060"/>
      <c r="AV1650" s="2060"/>
      <c r="AW1650" s="2060"/>
      <c r="AX1650" s="2060"/>
      <c r="AY1650" s="2060"/>
      <c r="AZ1650" s="2060"/>
      <c r="BA1650" s="2060"/>
      <c r="BB1650" s="2060"/>
      <c r="BC1650" s="2060"/>
      <c r="BD1650" s="2060"/>
      <c r="BE1650" s="2060"/>
      <c r="BF1650" s="2060"/>
      <c r="BG1650" s="2060"/>
      <c r="BH1650" s="2060"/>
      <c r="BI1650" s="2060"/>
      <c r="BJ1650" s="2060"/>
      <c r="BK1650" s="2060"/>
      <c r="BL1650" s="2060"/>
      <c r="BM1650" s="2060"/>
      <c r="BN1650" s="2060"/>
      <c r="BO1650" s="2060"/>
      <c r="BP1650" s="2060"/>
      <c r="BQ1650" s="2060"/>
      <c r="BR1650" s="2060"/>
      <c r="BS1650" s="2060"/>
      <c r="BT1650" s="2060"/>
      <c r="BU1650" s="2060"/>
      <c r="BV1650" s="2060"/>
      <c r="BW1650" s="2060"/>
      <c r="BX1650" s="2060"/>
      <c r="BY1650" s="2060"/>
      <c r="BZ1650" s="2060"/>
      <c r="CA1650" s="2060"/>
      <c r="CB1650" s="2060"/>
      <c r="CC1650" s="2060"/>
      <c r="CD1650" s="2060"/>
      <c r="CE1650" s="2060"/>
      <c r="CF1650" s="2060"/>
      <c r="CG1650" s="2060"/>
      <c r="CH1650" s="2060"/>
      <c r="CI1650" s="2060"/>
      <c r="CJ1650" s="2060"/>
      <c r="CK1650" s="2060"/>
      <c r="CL1650" s="2060"/>
      <c r="CM1650" s="2060"/>
      <c r="CN1650" s="2060"/>
      <c r="CO1650" s="2060"/>
      <c r="CP1650" s="2060"/>
      <c r="CQ1650" s="2060"/>
      <c r="CR1650" s="2060"/>
      <c r="CS1650" s="2060"/>
      <c r="CT1650" s="2060"/>
      <c r="CU1650" s="2060"/>
      <c r="CV1650" s="2060"/>
      <c r="CW1650" s="2060"/>
      <c r="CX1650" s="2060"/>
      <c r="CY1650" s="2060"/>
      <c r="CZ1650" s="2060"/>
      <c r="DA1650" s="2060"/>
      <c r="DB1650" s="2060"/>
      <c r="DC1650" s="2060"/>
      <c r="DD1650" s="2060"/>
      <c r="DE1650" s="2060"/>
      <c r="DF1650" s="2060"/>
      <c r="DG1650" s="2060"/>
      <c r="DH1650" s="2060"/>
      <c r="DI1650" s="2060"/>
      <c r="DJ1650" s="2060"/>
      <c r="DK1650" s="2060"/>
      <c r="DL1650" s="2060"/>
      <c r="DM1650" s="2060"/>
      <c r="DN1650" s="2060"/>
      <c r="DO1650" s="2060"/>
      <c r="DP1650" s="2060"/>
      <c r="DQ1650" s="2060"/>
      <c r="DR1650" s="2060"/>
      <c r="DS1650" s="2060"/>
      <c r="DT1650" s="2060"/>
      <c r="DU1650" s="2060"/>
      <c r="DV1650" s="2060"/>
      <c r="DW1650" s="2060"/>
      <c r="DX1650" s="2060"/>
      <c r="DY1650" s="2060"/>
      <c r="DZ1650" s="2060"/>
      <c r="EA1650" s="2060"/>
      <c r="EB1650" s="2060"/>
      <c r="EC1650" s="2060"/>
      <c r="ED1650" s="2060"/>
      <c r="EE1650" s="2060"/>
      <c r="EF1650" s="2060"/>
      <c r="EG1650" s="2060"/>
      <c r="EH1650" s="2060"/>
      <c r="EI1650" s="2060"/>
      <c r="EJ1650" s="2060"/>
      <c r="EK1650" s="2060"/>
      <c r="EL1650" s="2060"/>
      <c r="EM1650" s="2060"/>
      <c r="EN1650" s="2060"/>
      <c r="EO1650" s="2060"/>
      <c r="EP1650" s="2060"/>
      <c r="EQ1650" s="2060"/>
      <c r="ER1650" s="2060"/>
      <c r="ES1650" s="2060"/>
      <c r="ET1650" s="2060"/>
      <c r="EU1650" s="2060"/>
      <c r="EV1650" s="2060"/>
      <c r="EW1650" s="2060"/>
      <c r="EX1650" s="2060"/>
      <c r="EY1650" s="2060"/>
      <c r="EZ1650" s="2060"/>
      <c r="FA1650" s="2060"/>
      <c r="FB1650" s="2060"/>
      <c r="FC1650" s="2060"/>
      <c r="FD1650" s="2060"/>
      <c r="FE1650" s="2060"/>
      <c r="FF1650" s="2060"/>
      <c r="FG1650" s="2060"/>
      <c r="FH1650" s="2060"/>
      <c r="FI1650" s="2060"/>
      <c r="FJ1650" s="2060"/>
      <c r="FK1650" s="2060"/>
      <c r="FL1650" s="2060"/>
      <c r="FM1650" s="2060"/>
      <c r="FN1650" s="2060"/>
      <c r="FO1650" s="2060"/>
      <c r="FP1650" s="2060"/>
      <c r="FQ1650" s="2060"/>
      <c r="FR1650" s="2060"/>
      <c r="FS1650" s="2060"/>
      <c r="FT1650" s="2060"/>
      <c r="FU1650" s="2060"/>
      <c r="FV1650" s="2060"/>
      <c r="FW1650" s="2060"/>
      <c r="FX1650" s="2060"/>
      <c r="FY1650" s="2060"/>
      <c r="FZ1650" s="2060"/>
      <c r="GA1650" s="2060"/>
      <c r="GB1650" s="2060"/>
      <c r="GC1650" s="2060"/>
      <c r="GD1650" s="2060"/>
      <c r="GE1650" s="2060"/>
      <c r="GF1650" s="2060"/>
      <c r="GG1650" s="2060"/>
      <c r="GH1650" s="2060"/>
      <c r="GI1650" s="2060"/>
      <c r="GJ1650" s="2060"/>
      <c r="GK1650" s="2060"/>
      <c r="GL1650" s="2060"/>
      <c r="GM1650" s="2060"/>
      <c r="GN1650" s="2060"/>
      <c r="GO1650" s="2060"/>
      <c r="GP1650" s="2060"/>
      <c r="GQ1650" s="2060"/>
      <c r="GR1650" s="2060"/>
      <c r="GS1650" s="2060"/>
      <c r="GT1650" s="2060"/>
      <c r="GU1650" s="2060"/>
      <c r="GV1650" s="2060"/>
      <c r="GW1650" s="2060"/>
      <c r="GX1650" s="2060"/>
      <c r="GY1650" s="2060"/>
      <c r="GZ1650" s="2060"/>
      <c r="HA1650" s="2060"/>
      <c r="HB1650" s="2060"/>
      <c r="HC1650" s="2060"/>
      <c r="HD1650" s="2060"/>
      <c r="HE1650" s="2060"/>
      <c r="HF1650" s="2060"/>
      <c r="HG1650" s="2060"/>
      <c r="HH1650" s="2060"/>
      <c r="HI1650" s="2060"/>
      <c r="HJ1650" s="2060"/>
      <c r="HK1650" s="2060"/>
      <c r="HL1650" s="2060"/>
      <c r="HM1650" s="2060"/>
      <c r="HN1650" s="2060"/>
      <c r="HO1650" s="2060"/>
      <c r="HP1650" s="2060"/>
      <c r="HQ1650" s="2060"/>
      <c r="HR1650" s="2060"/>
      <c r="HS1650" s="2060"/>
      <c r="HT1650" s="2060"/>
      <c r="HU1650" s="2060"/>
      <c r="HV1650" s="2060"/>
      <c r="HW1650" s="2060"/>
      <c r="HX1650" s="2060"/>
      <c r="HY1650" s="2060"/>
      <c r="HZ1650" s="2060"/>
      <c r="IA1650" s="2060"/>
      <c r="IB1650" s="2060"/>
      <c r="IC1650" s="2060"/>
      <c r="ID1650" s="2060"/>
      <c r="IE1650" s="2060"/>
      <c r="IF1650" s="2060"/>
      <c r="IG1650" s="2060"/>
      <c r="IH1650" s="2060"/>
      <c r="II1650" s="2060"/>
      <c r="IJ1650" s="2060"/>
      <c r="IK1650" s="2060"/>
      <c r="IL1650" s="2060"/>
      <c r="IM1650" s="2060"/>
      <c r="IN1650" s="2060"/>
      <c r="IO1650" s="2060"/>
      <c r="IP1650" s="2060"/>
      <c r="IQ1650" s="2060"/>
      <c r="IR1650" s="2060"/>
      <c r="IS1650" s="2060"/>
      <c r="IT1650" s="2060"/>
      <c r="IU1650" s="2060"/>
      <c r="IV1650" s="2060"/>
      <c r="IW1650" s="2060"/>
      <c r="IX1650" s="2060"/>
      <c r="IY1650" s="2060"/>
      <c r="IZ1650" s="2060"/>
      <c r="JA1650" s="2060"/>
      <c r="JB1650" s="2060"/>
      <c r="JC1650" s="2060"/>
      <c r="JD1650" s="2060"/>
      <c r="JE1650" s="2060"/>
      <c r="JF1650" s="2060"/>
      <c r="JG1650" s="2060"/>
      <c r="JH1650" s="2060"/>
      <c r="JI1650" s="2060"/>
      <c r="JJ1650" s="2060"/>
      <c r="JK1650" s="2060"/>
      <c r="JL1650" s="2060"/>
      <c r="JM1650" s="2060"/>
      <c r="JN1650" s="2060"/>
      <c r="JO1650" s="2060"/>
      <c r="JP1650" s="2060"/>
      <c r="JQ1650" s="2060"/>
      <c r="JR1650" s="2060"/>
      <c r="JS1650" s="2060"/>
      <c r="JT1650" s="2060"/>
      <c r="JU1650" s="2060"/>
      <c r="JV1650" s="2060"/>
      <c r="JW1650" s="2060"/>
      <c r="JX1650" s="2060"/>
      <c r="JY1650" s="2060"/>
      <c r="JZ1650" s="2060"/>
      <c r="KA1650" s="2060"/>
      <c r="KB1650" s="2060"/>
      <c r="KC1650" s="2060"/>
      <c r="KD1650" s="2060"/>
      <c r="KE1650" s="2060"/>
      <c r="KF1650" s="2060"/>
      <c r="KG1650" s="2060"/>
      <c r="KH1650" s="2060"/>
      <c r="KI1650" s="2060"/>
      <c r="KJ1650" s="2060"/>
      <c r="KK1650" s="2060"/>
      <c r="KL1650" s="2060"/>
      <c r="KM1650" s="2060"/>
      <c r="KN1650" s="2060"/>
      <c r="KO1650" s="2060"/>
      <c r="KP1650" s="2060"/>
      <c r="KQ1650" s="2060"/>
      <c r="KR1650" s="2060"/>
      <c r="KS1650" s="2060"/>
      <c r="KT1650" s="2060"/>
      <c r="KU1650" s="2060"/>
      <c r="KV1650" s="2060"/>
      <c r="KW1650" s="2060"/>
      <c r="KX1650" s="2060"/>
      <c r="KY1650" s="2060"/>
      <c r="KZ1650" s="2060"/>
      <c r="LA1650" s="2060"/>
      <c r="LB1650" s="2060"/>
      <c r="LC1650" s="2060"/>
      <c r="LD1650" s="2060"/>
      <c r="LE1650" s="2060"/>
      <c r="LF1650" s="2060"/>
      <c r="LG1650" s="2060"/>
      <c r="LH1650" s="2060"/>
    </row>
    <row r="1651" spans="1:320" s="449" customFormat="1" ht="13.9">
      <c r="A1651" s="269" t="str">
        <f t="shared" si="442"/>
        <v>n</v>
      </c>
      <c r="B1651" s="2060"/>
      <c r="C1651" s="2060"/>
      <c r="D1651" s="2060"/>
      <c r="E1651" s="1661">
        <v>6</v>
      </c>
      <c r="F1651" s="1353" t="str">
        <f>F$134</f>
        <v>--</v>
      </c>
      <c r="G1651" s="128">
        <f>G$134</f>
        <v>0</v>
      </c>
      <c r="H1651" s="128" t="str">
        <f>H$134</f>
        <v>--</v>
      </c>
      <c r="I1651" s="89" t="s">
        <v>786</v>
      </c>
      <c r="J1651" s="2197" t="str">
        <f>IF($G1651=0,"",IFERROR(_xll.ciqfunctions.udf.CIQ($G1651,$I1651,J$1557,Valuation_Date_GC,ReportType,DataMode,$H1651,FXMode)*Scale,"n/a"))</f>
        <v/>
      </c>
      <c r="K1651" s="2197" t="str">
        <f>IF($G1651=0,"",IFERROR(_xll.ciqfunctions.udf.CIQ($G1651,$I1651,K$1557,Valuation_Date_GC,ReportType,DataMode,$H1651,FXMode)*Scale,"n/a"))</f>
        <v/>
      </c>
      <c r="L1651" s="2197" t="str">
        <f>IF($G1651=0,"",IFERROR(_xll.ciqfunctions.udf.CIQ($G1651,$I1651,L$1557,Valuation_Date_GC,ReportType,DataMode,$H1651,FXMode)*Scale,"n/a"))</f>
        <v/>
      </c>
      <c r="M1651" s="2197" t="str">
        <f>IF($G1651=0,"",IFERROR(_xll.ciqfunctions.udf.CIQ($G1651,$I1651,M$1557,Valuation_Date_GC,ReportType,DataMode,$H1651,FXMode)*Scale,"n/a"))</f>
        <v/>
      </c>
      <c r="N1651" s="2197" t="str">
        <f>IF($G1651=0,"",IFERROR(_xll.ciqfunctions.udf.CIQ($G1651,$I1651,N$1557,Valuation_Date_GC,ReportType,DataMode,$H1651,FXMode)*Scale,"n/a"))</f>
        <v/>
      </c>
      <c r="O1651" s="2197" t="str">
        <f>IF($G1651=0,"",IFERROR(_xll.ciqfunctions.udf.CIQ($G1651,$I1651,O$1557,Valuation_Date_GC,ReportType,DataMode,$H1651,FXMode)*Scale,"n/a"))</f>
        <v/>
      </c>
      <c r="P1651" s="2197" t="str">
        <f>IF($G1651=0,"",IFERROR(_xll.ciqfunctions.udf.CIQ($G1651,$I1651,P$1557,Valuation_Date_GC,ReportType,DataMode,$H1651,FXMode)*Scale,"n/a"))</f>
        <v/>
      </c>
      <c r="Q1651" s="2197" t="str">
        <f>IF($G1651=0,"",IFERROR(_xll.ciqfunctions.udf.CIQ($G1651,$I1651,Q$1557,Valuation_Date_GC,ReportType,DataMode,$H1651,FXMode)*Scale,"n/a"))</f>
        <v/>
      </c>
      <c r="R1651" s="2197" t="str">
        <f>IF($G1651=0,"",IFERROR(_xll.ciqfunctions.udf.CIQ($G1651,$I1651,R$1557,Valuation_Date_GC,ReportType,DataMode,$H1651,FXMode)*Scale,"n/a"))</f>
        <v/>
      </c>
      <c r="S1651" s="2197" t="str">
        <f>IF($G1651=0,"",IFERROR(_xll.ciqfunctions.udf.CIQ($G1651,$I1651,S$1557,Valuation_Date_GC,ReportType,DataMode,$H1651,FXMode)*Scale,"n/a"))</f>
        <v/>
      </c>
      <c r="T1651" s="2197" t="str">
        <f>IF($G1651=0,"",IFERROR(_xll.ciqfunctions.udf.CIQ($G1651,$I1651,T$1557,Valuation_Date_GC,ReportType,DataMode,$H1651,FXMode)*Scale,"n/a"))</f>
        <v/>
      </c>
      <c r="U1651" s="2197" t="str">
        <f>IF($G1651=0,"",IFERROR(_xll.ciqfunctions.udf.CIQ($G1651,$I1651,U$1557,Valuation_Date_GC,ReportType,DataMode,$H1651,FXMode)*Scale,"n/a"))</f>
        <v/>
      </c>
      <c r="V1651" s="2197" t="str">
        <f>IF($G1651=0,"",IFERROR(_xll.ciqfunctions.udf.CIQ($G1651,$I1651,V$1557,Valuation_Date_GC,ReportType,DataMode,$H1651,FXMode)*Scale,"n/a"))</f>
        <v/>
      </c>
      <c r="W1651" s="1479"/>
      <c r="X1651" s="255"/>
      <c r="Y1651" s="89"/>
      <c r="Z1651" s="2060"/>
      <c r="AA1651" s="2060"/>
      <c r="AB1651" s="2060"/>
      <c r="AC1651" s="2060"/>
      <c r="AD1651" s="2060"/>
      <c r="AE1651" s="2060"/>
      <c r="AF1651" s="2060"/>
      <c r="AG1651" s="2060"/>
      <c r="AH1651" s="2060"/>
      <c r="AI1651" s="2060"/>
      <c r="AJ1651" s="2060"/>
      <c r="AK1651" s="2060"/>
      <c r="AL1651" s="2060"/>
      <c r="AM1651" s="2060"/>
      <c r="AN1651" s="2060"/>
      <c r="AO1651" s="2060"/>
      <c r="AP1651" s="2060"/>
      <c r="AQ1651" s="2060"/>
      <c r="AR1651" s="2060"/>
      <c r="AS1651" s="2060"/>
      <c r="AT1651" s="2060"/>
      <c r="AU1651" s="2060"/>
      <c r="AV1651" s="2060"/>
      <c r="AW1651" s="2060"/>
      <c r="AX1651" s="2060"/>
      <c r="AY1651" s="2060"/>
      <c r="AZ1651" s="2060"/>
      <c r="BA1651" s="2060"/>
      <c r="BB1651" s="2060"/>
      <c r="BC1651" s="2060"/>
      <c r="BD1651" s="2060"/>
      <c r="BE1651" s="2060"/>
      <c r="BF1651" s="2060"/>
      <c r="BG1651" s="2060"/>
      <c r="BH1651" s="2060"/>
      <c r="BI1651" s="2060"/>
      <c r="BJ1651" s="2060"/>
      <c r="BK1651" s="2060"/>
      <c r="BL1651" s="2060"/>
      <c r="BM1651" s="2060"/>
      <c r="BN1651" s="2060"/>
      <c r="BO1651" s="2060"/>
      <c r="BP1651" s="2060"/>
      <c r="BQ1651" s="2060"/>
      <c r="BR1651" s="2060"/>
      <c r="BS1651" s="2060"/>
      <c r="BT1651" s="2060"/>
      <c r="BU1651" s="2060"/>
      <c r="BV1651" s="2060"/>
      <c r="BW1651" s="2060"/>
      <c r="BX1651" s="2060"/>
      <c r="BY1651" s="2060"/>
      <c r="BZ1651" s="2060"/>
      <c r="CA1651" s="2060"/>
      <c r="CB1651" s="2060"/>
      <c r="CC1651" s="2060"/>
      <c r="CD1651" s="2060"/>
      <c r="CE1651" s="2060"/>
      <c r="CF1651" s="2060"/>
      <c r="CG1651" s="2060"/>
      <c r="CH1651" s="2060"/>
      <c r="CI1651" s="2060"/>
      <c r="CJ1651" s="2060"/>
      <c r="CK1651" s="2060"/>
      <c r="CL1651" s="2060"/>
      <c r="CM1651" s="2060"/>
      <c r="CN1651" s="2060"/>
      <c r="CO1651" s="2060"/>
      <c r="CP1651" s="2060"/>
      <c r="CQ1651" s="2060"/>
      <c r="CR1651" s="2060"/>
      <c r="CS1651" s="2060"/>
      <c r="CT1651" s="2060"/>
      <c r="CU1651" s="2060"/>
      <c r="CV1651" s="2060"/>
      <c r="CW1651" s="2060"/>
      <c r="CX1651" s="2060"/>
      <c r="CY1651" s="2060"/>
      <c r="CZ1651" s="2060"/>
      <c r="DA1651" s="2060"/>
      <c r="DB1651" s="2060"/>
      <c r="DC1651" s="2060"/>
      <c r="DD1651" s="2060"/>
      <c r="DE1651" s="2060"/>
      <c r="DF1651" s="2060"/>
      <c r="DG1651" s="2060"/>
      <c r="DH1651" s="2060"/>
      <c r="DI1651" s="2060"/>
      <c r="DJ1651" s="2060"/>
      <c r="DK1651" s="2060"/>
      <c r="DL1651" s="2060"/>
      <c r="DM1651" s="2060"/>
      <c r="DN1651" s="2060"/>
      <c r="DO1651" s="2060"/>
      <c r="DP1651" s="2060"/>
      <c r="DQ1651" s="2060"/>
      <c r="DR1651" s="2060"/>
      <c r="DS1651" s="2060"/>
      <c r="DT1651" s="2060"/>
      <c r="DU1651" s="2060"/>
      <c r="DV1651" s="2060"/>
      <c r="DW1651" s="2060"/>
      <c r="DX1651" s="2060"/>
      <c r="DY1651" s="2060"/>
      <c r="DZ1651" s="2060"/>
      <c r="EA1651" s="2060"/>
      <c r="EB1651" s="2060"/>
      <c r="EC1651" s="2060"/>
      <c r="ED1651" s="2060"/>
      <c r="EE1651" s="2060"/>
      <c r="EF1651" s="2060"/>
      <c r="EG1651" s="2060"/>
      <c r="EH1651" s="2060"/>
      <c r="EI1651" s="2060"/>
      <c r="EJ1651" s="2060"/>
      <c r="EK1651" s="2060"/>
      <c r="EL1651" s="2060"/>
      <c r="EM1651" s="2060"/>
      <c r="EN1651" s="2060"/>
      <c r="EO1651" s="2060"/>
      <c r="EP1651" s="2060"/>
      <c r="EQ1651" s="2060"/>
      <c r="ER1651" s="2060"/>
      <c r="ES1651" s="2060"/>
      <c r="ET1651" s="2060"/>
      <c r="EU1651" s="2060"/>
      <c r="EV1651" s="2060"/>
      <c r="EW1651" s="2060"/>
      <c r="EX1651" s="2060"/>
      <c r="EY1651" s="2060"/>
      <c r="EZ1651" s="2060"/>
      <c r="FA1651" s="2060"/>
      <c r="FB1651" s="2060"/>
      <c r="FC1651" s="2060"/>
      <c r="FD1651" s="2060"/>
      <c r="FE1651" s="2060"/>
      <c r="FF1651" s="2060"/>
      <c r="FG1651" s="2060"/>
      <c r="FH1651" s="2060"/>
      <c r="FI1651" s="2060"/>
      <c r="FJ1651" s="2060"/>
      <c r="FK1651" s="2060"/>
      <c r="FL1651" s="2060"/>
      <c r="FM1651" s="2060"/>
      <c r="FN1651" s="2060"/>
      <c r="FO1651" s="2060"/>
      <c r="FP1651" s="2060"/>
      <c r="FQ1651" s="2060"/>
      <c r="FR1651" s="2060"/>
      <c r="FS1651" s="2060"/>
      <c r="FT1651" s="2060"/>
      <c r="FU1651" s="2060"/>
      <c r="FV1651" s="2060"/>
      <c r="FW1651" s="2060"/>
      <c r="FX1651" s="2060"/>
      <c r="FY1651" s="2060"/>
      <c r="FZ1651" s="2060"/>
      <c r="GA1651" s="2060"/>
      <c r="GB1651" s="2060"/>
      <c r="GC1651" s="2060"/>
      <c r="GD1651" s="2060"/>
      <c r="GE1651" s="2060"/>
      <c r="GF1651" s="2060"/>
      <c r="GG1651" s="2060"/>
      <c r="GH1651" s="2060"/>
      <c r="GI1651" s="2060"/>
      <c r="GJ1651" s="2060"/>
      <c r="GK1651" s="2060"/>
      <c r="GL1651" s="2060"/>
      <c r="GM1651" s="2060"/>
      <c r="GN1651" s="2060"/>
      <c r="GO1651" s="2060"/>
      <c r="GP1651" s="2060"/>
      <c r="GQ1651" s="2060"/>
      <c r="GR1651" s="2060"/>
      <c r="GS1651" s="2060"/>
      <c r="GT1651" s="2060"/>
      <c r="GU1651" s="2060"/>
      <c r="GV1651" s="2060"/>
      <c r="GW1651" s="2060"/>
      <c r="GX1651" s="2060"/>
      <c r="GY1651" s="2060"/>
      <c r="GZ1651" s="2060"/>
      <c r="HA1651" s="2060"/>
      <c r="HB1651" s="2060"/>
      <c r="HC1651" s="2060"/>
      <c r="HD1651" s="2060"/>
      <c r="HE1651" s="2060"/>
      <c r="HF1651" s="2060"/>
      <c r="HG1651" s="2060"/>
      <c r="HH1651" s="2060"/>
      <c r="HI1651" s="2060"/>
      <c r="HJ1651" s="2060"/>
      <c r="HK1651" s="2060"/>
      <c r="HL1651" s="2060"/>
      <c r="HM1651" s="2060"/>
      <c r="HN1651" s="2060"/>
      <c r="HO1651" s="2060"/>
      <c r="HP1651" s="2060"/>
      <c r="HQ1651" s="2060"/>
      <c r="HR1651" s="2060"/>
      <c r="HS1651" s="2060"/>
      <c r="HT1651" s="2060"/>
      <c r="HU1651" s="2060"/>
      <c r="HV1651" s="2060"/>
      <c r="HW1651" s="2060"/>
      <c r="HX1651" s="2060"/>
      <c r="HY1651" s="2060"/>
      <c r="HZ1651" s="2060"/>
      <c r="IA1651" s="2060"/>
      <c r="IB1651" s="2060"/>
      <c r="IC1651" s="2060"/>
      <c r="ID1651" s="2060"/>
      <c r="IE1651" s="2060"/>
      <c r="IF1651" s="2060"/>
      <c r="IG1651" s="2060"/>
      <c r="IH1651" s="2060"/>
      <c r="II1651" s="2060"/>
      <c r="IJ1651" s="2060"/>
      <c r="IK1651" s="2060"/>
      <c r="IL1651" s="2060"/>
      <c r="IM1651" s="2060"/>
      <c r="IN1651" s="2060"/>
      <c r="IO1651" s="2060"/>
      <c r="IP1651" s="2060"/>
      <c r="IQ1651" s="2060"/>
      <c r="IR1651" s="2060"/>
      <c r="IS1651" s="2060"/>
      <c r="IT1651" s="2060"/>
      <c r="IU1651" s="2060"/>
      <c r="IV1651" s="2060"/>
      <c r="IW1651" s="2060"/>
      <c r="IX1651" s="2060"/>
      <c r="IY1651" s="2060"/>
      <c r="IZ1651" s="2060"/>
      <c r="JA1651" s="2060"/>
      <c r="JB1651" s="2060"/>
      <c r="JC1651" s="2060"/>
      <c r="JD1651" s="2060"/>
      <c r="JE1651" s="2060"/>
      <c r="JF1651" s="2060"/>
      <c r="JG1651" s="2060"/>
      <c r="JH1651" s="2060"/>
      <c r="JI1651" s="2060"/>
      <c r="JJ1651" s="2060"/>
      <c r="JK1651" s="2060"/>
      <c r="JL1651" s="2060"/>
      <c r="JM1651" s="2060"/>
      <c r="JN1651" s="2060"/>
      <c r="JO1651" s="2060"/>
      <c r="JP1651" s="2060"/>
      <c r="JQ1651" s="2060"/>
      <c r="JR1651" s="2060"/>
      <c r="JS1651" s="2060"/>
      <c r="JT1651" s="2060"/>
      <c r="JU1651" s="2060"/>
      <c r="JV1651" s="2060"/>
      <c r="JW1651" s="2060"/>
      <c r="JX1651" s="2060"/>
      <c r="JY1651" s="2060"/>
      <c r="JZ1651" s="2060"/>
      <c r="KA1651" s="2060"/>
      <c r="KB1651" s="2060"/>
      <c r="KC1651" s="2060"/>
      <c r="KD1651" s="2060"/>
      <c r="KE1651" s="2060"/>
      <c r="KF1651" s="2060"/>
      <c r="KG1651" s="2060"/>
      <c r="KH1651" s="2060"/>
      <c r="KI1651" s="2060"/>
      <c r="KJ1651" s="2060"/>
      <c r="KK1651" s="2060"/>
      <c r="KL1651" s="2060"/>
      <c r="KM1651" s="2060"/>
      <c r="KN1651" s="2060"/>
      <c r="KO1651" s="2060"/>
      <c r="KP1651" s="2060"/>
      <c r="KQ1651" s="2060"/>
      <c r="KR1651" s="2060"/>
      <c r="KS1651" s="2060"/>
      <c r="KT1651" s="2060"/>
      <c r="KU1651" s="2060"/>
      <c r="KV1651" s="2060"/>
      <c r="KW1651" s="2060"/>
      <c r="KX1651" s="2060"/>
      <c r="KY1651" s="2060"/>
      <c r="KZ1651" s="2060"/>
      <c r="LA1651" s="2060"/>
      <c r="LB1651" s="2060"/>
      <c r="LC1651" s="2060"/>
      <c r="LD1651" s="2060"/>
      <c r="LE1651" s="2060"/>
      <c r="LF1651" s="2060"/>
      <c r="LG1651" s="2060"/>
      <c r="LH1651" s="2060"/>
    </row>
    <row r="1652" spans="1:320" s="449" customFormat="1" ht="13.9">
      <c r="A1652" s="269" t="str">
        <f t="shared" si="442"/>
        <v>n</v>
      </c>
      <c r="B1652" s="2060"/>
      <c r="C1652" s="2060"/>
      <c r="D1652" s="2060"/>
      <c r="E1652" s="1661">
        <v>7</v>
      </c>
      <c r="F1652" s="1353" t="str">
        <f>F$135</f>
        <v>--</v>
      </c>
      <c r="G1652" s="128">
        <f>G$135</f>
        <v>0</v>
      </c>
      <c r="H1652" s="128" t="str">
        <f>H$135</f>
        <v>--</v>
      </c>
      <c r="I1652" s="89" t="s">
        <v>786</v>
      </c>
      <c r="J1652" s="2197" t="str">
        <f>IF($G1652=0,"",IFERROR(_xll.ciqfunctions.udf.CIQ($G1652,$I1652,J$1557,Valuation_Date_GC,ReportType,DataMode,$H1652,FXMode)*Scale,"n/a"))</f>
        <v/>
      </c>
      <c r="K1652" s="2197" t="str">
        <f>IF($G1652=0,"",IFERROR(_xll.ciqfunctions.udf.CIQ($G1652,$I1652,K$1557,Valuation_Date_GC,ReportType,DataMode,$H1652,FXMode)*Scale,"n/a"))</f>
        <v/>
      </c>
      <c r="L1652" s="2197" t="str">
        <f>IF($G1652=0,"",IFERROR(_xll.ciqfunctions.udf.CIQ($G1652,$I1652,L$1557,Valuation_Date_GC,ReportType,DataMode,$H1652,FXMode)*Scale,"n/a"))</f>
        <v/>
      </c>
      <c r="M1652" s="2197" t="str">
        <f>IF($G1652=0,"",IFERROR(_xll.ciqfunctions.udf.CIQ($G1652,$I1652,M$1557,Valuation_Date_GC,ReportType,DataMode,$H1652,FXMode)*Scale,"n/a"))</f>
        <v/>
      </c>
      <c r="N1652" s="2197" t="str">
        <f>IF($G1652=0,"",IFERROR(_xll.ciqfunctions.udf.CIQ($G1652,$I1652,N$1557,Valuation_Date_GC,ReportType,DataMode,$H1652,FXMode)*Scale,"n/a"))</f>
        <v/>
      </c>
      <c r="O1652" s="2197" t="str">
        <f>IF($G1652=0,"",IFERROR(_xll.ciqfunctions.udf.CIQ($G1652,$I1652,O$1557,Valuation_Date_GC,ReportType,DataMode,$H1652,FXMode)*Scale,"n/a"))</f>
        <v/>
      </c>
      <c r="P1652" s="2197" t="str">
        <f>IF($G1652=0,"",IFERROR(_xll.ciqfunctions.udf.CIQ($G1652,$I1652,P$1557,Valuation_Date_GC,ReportType,DataMode,$H1652,FXMode)*Scale,"n/a"))</f>
        <v/>
      </c>
      <c r="Q1652" s="2197" t="str">
        <f>IF($G1652=0,"",IFERROR(_xll.ciqfunctions.udf.CIQ($G1652,$I1652,Q$1557,Valuation_Date_GC,ReportType,DataMode,$H1652,FXMode)*Scale,"n/a"))</f>
        <v/>
      </c>
      <c r="R1652" s="2197" t="str">
        <f>IF($G1652=0,"",IFERROR(_xll.ciqfunctions.udf.CIQ($G1652,$I1652,R$1557,Valuation_Date_GC,ReportType,DataMode,$H1652,FXMode)*Scale,"n/a"))</f>
        <v/>
      </c>
      <c r="S1652" s="2197" t="str">
        <f>IF($G1652=0,"",IFERROR(_xll.ciqfunctions.udf.CIQ($G1652,$I1652,S$1557,Valuation_Date_GC,ReportType,DataMode,$H1652,FXMode)*Scale,"n/a"))</f>
        <v/>
      </c>
      <c r="T1652" s="2197" t="str">
        <f>IF($G1652=0,"",IFERROR(_xll.ciqfunctions.udf.CIQ($G1652,$I1652,T$1557,Valuation_Date_GC,ReportType,DataMode,$H1652,FXMode)*Scale,"n/a"))</f>
        <v/>
      </c>
      <c r="U1652" s="2197" t="str">
        <f>IF($G1652=0,"",IFERROR(_xll.ciqfunctions.udf.CIQ($G1652,$I1652,U$1557,Valuation_Date_GC,ReportType,DataMode,$H1652,FXMode)*Scale,"n/a"))</f>
        <v/>
      </c>
      <c r="V1652" s="2197" t="str">
        <f>IF($G1652=0,"",IFERROR(_xll.ciqfunctions.udf.CIQ($G1652,$I1652,V$1557,Valuation_Date_GC,ReportType,DataMode,$H1652,FXMode)*Scale,"n/a"))</f>
        <v/>
      </c>
      <c r="W1652" s="1479"/>
      <c r="X1652" s="255"/>
      <c r="Y1652" s="89"/>
      <c r="Z1652" s="2060"/>
      <c r="AA1652" s="2060"/>
      <c r="AB1652" s="2060"/>
      <c r="AC1652" s="2060"/>
      <c r="AD1652" s="2060"/>
      <c r="AE1652" s="2060"/>
      <c r="AF1652" s="2060"/>
      <c r="AG1652" s="2060"/>
      <c r="AH1652" s="2060"/>
      <c r="AI1652" s="2060"/>
      <c r="AJ1652" s="2060"/>
      <c r="AK1652" s="2060"/>
      <c r="AL1652" s="2060"/>
      <c r="AM1652" s="2060"/>
      <c r="AN1652" s="2060"/>
      <c r="AO1652" s="2060"/>
      <c r="AP1652" s="2060"/>
      <c r="AQ1652" s="2060"/>
      <c r="AR1652" s="2060"/>
      <c r="AS1652" s="2060"/>
      <c r="AT1652" s="2060"/>
      <c r="AU1652" s="2060"/>
      <c r="AV1652" s="2060"/>
      <c r="AW1652" s="2060"/>
      <c r="AX1652" s="2060"/>
      <c r="AY1652" s="2060"/>
      <c r="AZ1652" s="2060"/>
      <c r="BA1652" s="2060"/>
      <c r="BB1652" s="2060"/>
      <c r="BC1652" s="2060"/>
      <c r="BD1652" s="2060"/>
      <c r="BE1652" s="2060"/>
      <c r="BF1652" s="2060"/>
      <c r="BG1652" s="2060"/>
      <c r="BH1652" s="2060"/>
      <c r="BI1652" s="2060"/>
      <c r="BJ1652" s="2060"/>
      <c r="BK1652" s="2060"/>
      <c r="BL1652" s="2060"/>
      <c r="BM1652" s="2060"/>
      <c r="BN1652" s="2060"/>
      <c r="BO1652" s="2060"/>
      <c r="BP1652" s="2060"/>
      <c r="BQ1652" s="2060"/>
      <c r="BR1652" s="2060"/>
      <c r="BS1652" s="2060"/>
      <c r="BT1652" s="2060"/>
      <c r="BU1652" s="2060"/>
      <c r="BV1652" s="2060"/>
      <c r="BW1652" s="2060"/>
      <c r="BX1652" s="2060"/>
      <c r="BY1652" s="2060"/>
      <c r="BZ1652" s="2060"/>
      <c r="CA1652" s="2060"/>
      <c r="CB1652" s="2060"/>
      <c r="CC1652" s="2060"/>
      <c r="CD1652" s="2060"/>
      <c r="CE1652" s="2060"/>
      <c r="CF1652" s="2060"/>
      <c r="CG1652" s="2060"/>
      <c r="CH1652" s="2060"/>
      <c r="CI1652" s="2060"/>
      <c r="CJ1652" s="2060"/>
      <c r="CK1652" s="2060"/>
      <c r="CL1652" s="2060"/>
      <c r="CM1652" s="2060"/>
      <c r="CN1652" s="2060"/>
      <c r="CO1652" s="2060"/>
      <c r="CP1652" s="2060"/>
      <c r="CQ1652" s="2060"/>
      <c r="CR1652" s="2060"/>
      <c r="CS1652" s="2060"/>
      <c r="CT1652" s="2060"/>
      <c r="CU1652" s="2060"/>
      <c r="CV1652" s="2060"/>
      <c r="CW1652" s="2060"/>
      <c r="CX1652" s="2060"/>
      <c r="CY1652" s="2060"/>
      <c r="CZ1652" s="2060"/>
      <c r="DA1652" s="2060"/>
      <c r="DB1652" s="2060"/>
      <c r="DC1652" s="2060"/>
      <c r="DD1652" s="2060"/>
      <c r="DE1652" s="2060"/>
      <c r="DF1652" s="2060"/>
      <c r="DG1652" s="2060"/>
      <c r="DH1652" s="2060"/>
      <c r="DI1652" s="2060"/>
      <c r="DJ1652" s="2060"/>
      <c r="DK1652" s="2060"/>
      <c r="DL1652" s="2060"/>
      <c r="DM1652" s="2060"/>
      <c r="DN1652" s="2060"/>
      <c r="DO1652" s="2060"/>
      <c r="DP1652" s="2060"/>
      <c r="DQ1652" s="2060"/>
      <c r="DR1652" s="2060"/>
      <c r="DS1652" s="2060"/>
      <c r="DT1652" s="2060"/>
      <c r="DU1652" s="2060"/>
      <c r="DV1652" s="2060"/>
      <c r="DW1652" s="2060"/>
      <c r="DX1652" s="2060"/>
      <c r="DY1652" s="2060"/>
      <c r="DZ1652" s="2060"/>
      <c r="EA1652" s="2060"/>
      <c r="EB1652" s="2060"/>
      <c r="EC1652" s="2060"/>
      <c r="ED1652" s="2060"/>
      <c r="EE1652" s="2060"/>
      <c r="EF1652" s="2060"/>
      <c r="EG1652" s="2060"/>
      <c r="EH1652" s="2060"/>
      <c r="EI1652" s="2060"/>
      <c r="EJ1652" s="2060"/>
      <c r="EK1652" s="2060"/>
      <c r="EL1652" s="2060"/>
      <c r="EM1652" s="2060"/>
      <c r="EN1652" s="2060"/>
      <c r="EO1652" s="2060"/>
      <c r="EP1652" s="2060"/>
      <c r="EQ1652" s="2060"/>
      <c r="ER1652" s="2060"/>
      <c r="ES1652" s="2060"/>
      <c r="ET1652" s="2060"/>
      <c r="EU1652" s="2060"/>
      <c r="EV1652" s="2060"/>
      <c r="EW1652" s="2060"/>
      <c r="EX1652" s="2060"/>
      <c r="EY1652" s="2060"/>
      <c r="EZ1652" s="2060"/>
      <c r="FA1652" s="2060"/>
      <c r="FB1652" s="2060"/>
      <c r="FC1652" s="2060"/>
      <c r="FD1652" s="2060"/>
      <c r="FE1652" s="2060"/>
      <c r="FF1652" s="2060"/>
      <c r="FG1652" s="2060"/>
      <c r="FH1652" s="2060"/>
      <c r="FI1652" s="2060"/>
      <c r="FJ1652" s="2060"/>
      <c r="FK1652" s="2060"/>
      <c r="FL1652" s="2060"/>
      <c r="FM1652" s="2060"/>
      <c r="FN1652" s="2060"/>
      <c r="FO1652" s="2060"/>
      <c r="FP1652" s="2060"/>
      <c r="FQ1652" s="2060"/>
      <c r="FR1652" s="2060"/>
      <c r="FS1652" s="2060"/>
      <c r="FT1652" s="2060"/>
      <c r="FU1652" s="2060"/>
      <c r="FV1652" s="2060"/>
      <c r="FW1652" s="2060"/>
      <c r="FX1652" s="2060"/>
      <c r="FY1652" s="2060"/>
      <c r="FZ1652" s="2060"/>
      <c r="GA1652" s="2060"/>
      <c r="GB1652" s="2060"/>
      <c r="GC1652" s="2060"/>
      <c r="GD1652" s="2060"/>
      <c r="GE1652" s="2060"/>
      <c r="GF1652" s="2060"/>
      <c r="GG1652" s="2060"/>
      <c r="GH1652" s="2060"/>
      <c r="GI1652" s="2060"/>
      <c r="GJ1652" s="2060"/>
      <c r="GK1652" s="2060"/>
      <c r="GL1652" s="2060"/>
      <c r="GM1652" s="2060"/>
      <c r="GN1652" s="2060"/>
      <c r="GO1652" s="2060"/>
      <c r="GP1652" s="2060"/>
      <c r="GQ1652" s="2060"/>
      <c r="GR1652" s="2060"/>
      <c r="GS1652" s="2060"/>
      <c r="GT1652" s="2060"/>
      <c r="GU1652" s="2060"/>
      <c r="GV1652" s="2060"/>
      <c r="GW1652" s="2060"/>
      <c r="GX1652" s="2060"/>
      <c r="GY1652" s="2060"/>
      <c r="GZ1652" s="2060"/>
      <c r="HA1652" s="2060"/>
      <c r="HB1652" s="2060"/>
      <c r="HC1652" s="2060"/>
      <c r="HD1652" s="2060"/>
      <c r="HE1652" s="2060"/>
      <c r="HF1652" s="2060"/>
      <c r="HG1652" s="2060"/>
      <c r="HH1652" s="2060"/>
      <c r="HI1652" s="2060"/>
      <c r="HJ1652" s="2060"/>
      <c r="HK1652" s="2060"/>
      <c r="HL1652" s="2060"/>
      <c r="HM1652" s="2060"/>
      <c r="HN1652" s="2060"/>
      <c r="HO1652" s="2060"/>
      <c r="HP1652" s="2060"/>
      <c r="HQ1652" s="2060"/>
      <c r="HR1652" s="2060"/>
      <c r="HS1652" s="2060"/>
      <c r="HT1652" s="2060"/>
      <c r="HU1652" s="2060"/>
      <c r="HV1652" s="2060"/>
      <c r="HW1652" s="2060"/>
      <c r="HX1652" s="2060"/>
      <c r="HY1652" s="2060"/>
      <c r="HZ1652" s="2060"/>
      <c r="IA1652" s="2060"/>
      <c r="IB1652" s="2060"/>
      <c r="IC1652" s="2060"/>
      <c r="ID1652" s="2060"/>
      <c r="IE1652" s="2060"/>
      <c r="IF1652" s="2060"/>
      <c r="IG1652" s="2060"/>
      <c r="IH1652" s="2060"/>
      <c r="II1652" s="2060"/>
      <c r="IJ1652" s="2060"/>
      <c r="IK1652" s="2060"/>
      <c r="IL1652" s="2060"/>
      <c r="IM1652" s="2060"/>
      <c r="IN1652" s="2060"/>
      <c r="IO1652" s="2060"/>
      <c r="IP1652" s="2060"/>
      <c r="IQ1652" s="2060"/>
      <c r="IR1652" s="2060"/>
      <c r="IS1652" s="2060"/>
      <c r="IT1652" s="2060"/>
      <c r="IU1652" s="2060"/>
      <c r="IV1652" s="2060"/>
      <c r="IW1652" s="2060"/>
      <c r="IX1652" s="2060"/>
      <c r="IY1652" s="2060"/>
      <c r="IZ1652" s="2060"/>
      <c r="JA1652" s="2060"/>
      <c r="JB1652" s="2060"/>
      <c r="JC1652" s="2060"/>
      <c r="JD1652" s="2060"/>
      <c r="JE1652" s="2060"/>
      <c r="JF1652" s="2060"/>
      <c r="JG1652" s="2060"/>
      <c r="JH1652" s="2060"/>
      <c r="JI1652" s="2060"/>
      <c r="JJ1652" s="2060"/>
      <c r="JK1652" s="2060"/>
      <c r="JL1652" s="2060"/>
      <c r="JM1652" s="2060"/>
      <c r="JN1652" s="2060"/>
      <c r="JO1652" s="2060"/>
      <c r="JP1652" s="2060"/>
      <c r="JQ1652" s="2060"/>
      <c r="JR1652" s="2060"/>
      <c r="JS1652" s="2060"/>
      <c r="JT1652" s="2060"/>
      <c r="JU1652" s="2060"/>
      <c r="JV1652" s="2060"/>
      <c r="JW1652" s="2060"/>
      <c r="JX1652" s="2060"/>
      <c r="JY1652" s="2060"/>
      <c r="JZ1652" s="2060"/>
      <c r="KA1652" s="2060"/>
      <c r="KB1652" s="2060"/>
      <c r="KC1652" s="2060"/>
      <c r="KD1652" s="2060"/>
      <c r="KE1652" s="2060"/>
      <c r="KF1652" s="2060"/>
      <c r="KG1652" s="2060"/>
      <c r="KH1652" s="2060"/>
      <c r="KI1652" s="2060"/>
      <c r="KJ1652" s="2060"/>
      <c r="KK1652" s="2060"/>
      <c r="KL1652" s="2060"/>
      <c r="KM1652" s="2060"/>
      <c r="KN1652" s="2060"/>
      <c r="KO1652" s="2060"/>
      <c r="KP1652" s="2060"/>
      <c r="KQ1652" s="2060"/>
      <c r="KR1652" s="2060"/>
      <c r="KS1652" s="2060"/>
      <c r="KT1652" s="2060"/>
      <c r="KU1652" s="2060"/>
      <c r="KV1652" s="2060"/>
      <c r="KW1652" s="2060"/>
      <c r="KX1652" s="2060"/>
      <c r="KY1652" s="2060"/>
      <c r="KZ1652" s="2060"/>
      <c r="LA1652" s="2060"/>
      <c r="LB1652" s="2060"/>
      <c r="LC1652" s="2060"/>
      <c r="LD1652" s="2060"/>
      <c r="LE1652" s="2060"/>
      <c r="LF1652" s="2060"/>
      <c r="LG1652" s="2060"/>
      <c r="LH1652" s="2060"/>
    </row>
    <row r="1653" spans="1:320" s="449" customFormat="1" ht="13.9">
      <c r="A1653" s="269" t="str">
        <f t="shared" si="442"/>
        <v>n</v>
      </c>
      <c r="B1653" s="2060"/>
      <c r="C1653" s="2060"/>
      <c r="D1653" s="2060"/>
      <c r="E1653" s="1661">
        <v>8</v>
      </c>
      <c r="F1653" s="1353" t="str">
        <f>F$136</f>
        <v>--</v>
      </c>
      <c r="G1653" s="128">
        <f>G$136</f>
        <v>0</v>
      </c>
      <c r="H1653" s="128" t="str">
        <f>H$136</f>
        <v>--</v>
      </c>
      <c r="I1653" s="89" t="s">
        <v>786</v>
      </c>
      <c r="J1653" s="2197" t="str">
        <f>IF($G1653=0,"",IFERROR(_xll.ciqfunctions.udf.CIQ($G1653,$I1653,J$1557,Valuation_Date_GC,ReportType,DataMode,$H1653,FXMode)*Scale,"n/a"))</f>
        <v/>
      </c>
      <c r="K1653" s="2197" t="str">
        <f>IF($G1653=0,"",IFERROR(_xll.ciqfunctions.udf.CIQ($G1653,$I1653,K$1557,Valuation_Date_GC,ReportType,DataMode,$H1653,FXMode)*Scale,"n/a"))</f>
        <v/>
      </c>
      <c r="L1653" s="2197" t="str">
        <f>IF($G1653=0,"",IFERROR(_xll.ciqfunctions.udf.CIQ($G1653,$I1653,L$1557,Valuation_Date_GC,ReportType,DataMode,$H1653,FXMode)*Scale,"n/a"))</f>
        <v/>
      </c>
      <c r="M1653" s="2197" t="str">
        <f>IF($G1653=0,"",IFERROR(_xll.ciqfunctions.udf.CIQ($G1653,$I1653,M$1557,Valuation_Date_GC,ReportType,DataMode,$H1653,FXMode)*Scale,"n/a"))</f>
        <v/>
      </c>
      <c r="N1653" s="2197" t="str">
        <f>IF($G1653=0,"",IFERROR(_xll.ciqfunctions.udf.CIQ($G1653,$I1653,N$1557,Valuation_Date_GC,ReportType,DataMode,$H1653,FXMode)*Scale,"n/a"))</f>
        <v/>
      </c>
      <c r="O1653" s="2197" t="str">
        <f>IF($G1653=0,"",IFERROR(_xll.ciqfunctions.udf.CIQ($G1653,$I1653,O$1557,Valuation_Date_GC,ReportType,DataMode,$H1653,FXMode)*Scale,"n/a"))</f>
        <v/>
      </c>
      <c r="P1653" s="2197" t="str">
        <f>IF($G1653=0,"",IFERROR(_xll.ciqfunctions.udf.CIQ($G1653,$I1653,P$1557,Valuation_Date_GC,ReportType,DataMode,$H1653,FXMode)*Scale,"n/a"))</f>
        <v/>
      </c>
      <c r="Q1653" s="2197" t="str">
        <f>IF($G1653=0,"",IFERROR(_xll.ciqfunctions.udf.CIQ($G1653,$I1653,Q$1557,Valuation_Date_GC,ReportType,DataMode,$H1653,FXMode)*Scale,"n/a"))</f>
        <v/>
      </c>
      <c r="R1653" s="2197" t="str">
        <f>IF($G1653=0,"",IFERROR(_xll.ciqfunctions.udf.CIQ($G1653,$I1653,R$1557,Valuation_Date_GC,ReportType,DataMode,$H1653,FXMode)*Scale,"n/a"))</f>
        <v/>
      </c>
      <c r="S1653" s="2197" t="str">
        <f>IF($G1653=0,"",IFERROR(_xll.ciqfunctions.udf.CIQ($G1653,$I1653,S$1557,Valuation_Date_GC,ReportType,DataMode,$H1653,FXMode)*Scale,"n/a"))</f>
        <v/>
      </c>
      <c r="T1653" s="2197" t="str">
        <f>IF($G1653=0,"",IFERROR(_xll.ciqfunctions.udf.CIQ($G1653,$I1653,T$1557,Valuation_Date_GC,ReportType,DataMode,$H1653,FXMode)*Scale,"n/a"))</f>
        <v/>
      </c>
      <c r="U1653" s="2197" t="str">
        <f>IF($G1653=0,"",IFERROR(_xll.ciqfunctions.udf.CIQ($G1653,$I1653,U$1557,Valuation_Date_GC,ReportType,DataMode,$H1653,FXMode)*Scale,"n/a"))</f>
        <v/>
      </c>
      <c r="V1653" s="2197" t="str">
        <f>IF($G1653=0,"",IFERROR(_xll.ciqfunctions.udf.CIQ($G1653,$I1653,V$1557,Valuation_Date_GC,ReportType,DataMode,$H1653,FXMode)*Scale,"n/a"))</f>
        <v/>
      </c>
      <c r="W1653" s="1479"/>
      <c r="X1653" s="255"/>
      <c r="Y1653" s="89"/>
      <c r="Z1653" s="2060"/>
      <c r="AA1653" s="2060"/>
      <c r="AB1653" s="2060"/>
      <c r="AC1653" s="2060"/>
      <c r="AD1653" s="2060"/>
      <c r="AE1653" s="2060"/>
      <c r="AF1653" s="2060"/>
      <c r="AG1653" s="2060"/>
      <c r="AH1653" s="2060"/>
      <c r="AI1653" s="2060"/>
      <c r="AJ1653" s="2060"/>
      <c r="AK1653" s="2060"/>
      <c r="AL1653" s="2060"/>
      <c r="AM1653" s="2060"/>
      <c r="AN1653" s="2060"/>
      <c r="AO1653" s="2060"/>
      <c r="AP1653" s="2060"/>
      <c r="AQ1653" s="2060"/>
      <c r="AR1653" s="2060"/>
      <c r="AS1653" s="2060"/>
      <c r="AT1653" s="2060"/>
      <c r="AU1653" s="2060"/>
      <c r="AV1653" s="2060"/>
      <c r="AW1653" s="2060"/>
      <c r="AX1653" s="2060"/>
      <c r="AY1653" s="2060"/>
      <c r="AZ1653" s="2060"/>
      <c r="BA1653" s="2060"/>
      <c r="BB1653" s="2060"/>
      <c r="BC1653" s="2060"/>
      <c r="BD1653" s="2060"/>
      <c r="BE1653" s="2060"/>
      <c r="BF1653" s="2060"/>
      <c r="BG1653" s="2060"/>
      <c r="BH1653" s="2060"/>
      <c r="BI1653" s="2060"/>
      <c r="BJ1653" s="2060"/>
      <c r="BK1653" s="2060"/>
      <c r="BL1653" s="2060"/>
      <c r="BM1653" s="2060"/>
      <c r="BN1653" s="2060"/>
      <c r="BO1653" s="2060"/>
      <c r="BP1653" s="2060"/>
      <c r="BQ1653" s="2060"/>
      <c r="BR1653" s="2060"/>
      <c r="BS1653" s="2060"/>
      <c r="BT1653" s="2060"/>
      <c r="BU1653" s="2060"/>
      <c r="BV1653" s="2060"/>
      <c r="BW1653" s="2060"/>
      <c r="BX1653" s="2060"/>
      <c r="BY1653" s="2060"/>
      <c r="BZ1653" s="2060"/>
      <c r="CA1653" s="2060"/>
      <c r="CB1653" s="2060"/>
      <c r="CC1653" s="2060"/>
      <c r="CD1653" s="2060"/>
      <c r="CE1653" s="2060"/>
      <c r="CF1653" s="2060"/>
      <c r="CG1653" s="2060"/>
      <c r="CH1653" s="2060"/>
      <c r="CI1653" s="2060"/>
      <c r="CJ1653" s="2060"/>
      <c r="CK1653" s="2060"/>
      <c r="CL1653" s="2060"/>
      <c r="CM1653" s="2060"/>
      <c r="CN1653" s="2060"/>
      <c r="CO1653" s="2060"/>
      <c r="CP1653" s="2060"/>
      <c r="CQ1653" s="2060"/>
      <c r="CR1653" s="2060"/>
      <c r="CS1653" s="2060"/>
      <c r="CT1653" s="2060"/>
      <c r="CU1653" s="2060"/>
      <c r="CV1653" s="2060"/>
      <c r="CW1653" s="2060"/>
      <c r="CX1653" s="2060"/>
      <c r="CY1653" s="2060"/>
      <c r="CZ1653" s="2060"/>
      <c r="DA1653" s="2060"/>
      <c r="DB1653" s="2060"/>
      <c r="DC1653" s="2060"/>
      <c r="DD1653" s="2060"/>
      <c r="DE1653" s="2060"/>
      <c r="DF1653" s="2060"/>
      <c r="DG1653" s="2060"/>
      <c r="DH1653" s="2060"/>
      <c r="DI1653" s="2060"/>
      <c r="DJ1653" s="2060"/>
      <c r="DK1653" s="2060"/>
      <c r="DL1653" s="2060"/>
      <c r="DM1653" s="2060"/>
      <c r="DN1653" s="2060"/>
      <c r="DO1653" s="2060"/>
      <c r="DP1653" s="2060"/>
      <c r="DQ1653" s="2060"/>
      <c r="DR1653" s="2060"/>
      <c r="DS1653" s="2060"/>
      <c r="DT1653" s="2060"/>
      <c r="DU1653" s="2060"/>
      <c r="DV1653" s="2060"/>
      <c r="DW1653" s="2060"/>
      <c r="DX1653" s="2060"/>
      <c r="DY1653" s="2060"/>
      <c r="DZ1653" s="2060"/>
      <c r="EA1653" s="2060"/>
      <c r="EB1653" s="2060"/>
      <c r="EC1653" s="2060"/>
      <c r="ED1653" s="2060"/>
      <c r="EE1653" s="2060"/>
      <c r="EF1653" s="2060"/>
      <c r="EG1653" s="2060"/>
      <c r="EH1653" s="2060"/>
      <c r="EI1653" s="2060"/>
      <c r="EJ1653" s="2060"/>
      <c r="EK1653" s="2060"/>
      <c r="EL1653" s="2060"/>
      <c r="EM1653" s="2060"/>
      <c r="EN1653" s="2060"/>
      <c r="EO1653" s="2060"/>
      <c r="EP1653" s="2060"/>
      <c r="EQ1653" s="2060"/>
      <c r="ER1653" s="2060"/>
      <c r="ES1653" s="2060"/>
      <c r="ET1653" s="2060"/>
      <c r="EU1653" s="2060"/>
      <c r="EV1653" s="2060"/>
      <c r="EW1653" s="2060"/>
      <c r="EX1653" s="2060"/>
      <c r="EY1653" s="2060"/>
      <c r="EZ1653" s="2060"/>
      <c r="FA1653" s="2060"/>
      <c r="FB1653" s="2060"/>
      <c r="FC1653" s="2060"/>
      <c r="FD1653" s="2060"/>
      <c r="FE1653" s="2060"/>
      <c r="FF1653" s="2060"/>
      <c r="FG1653" s="2060"/>
      <c r="FH1653" s="2060"/>
      <c r="FI1653" s="2060"/>
      <c r="FJ1653" s="2060"/>
      <c r="FK1653" s="2060"/>
      <c r="FL1653" s="2060"/>
      <c r="FM1653" s="2060"/>
      <c r="FN1653" s="2060"/>
      <c r="FO1653" s="2060"/>
      <c r="FP1653" s="2060"/>
      <c r="FQ1653" s="2060"/>
      <c r="FR1653" s="2060"/>
      <c r="FS1653" s="2060"/>
      <c r="FT1653" s="2060"/>
      <c r="FU1653" s="2060"/>
      <c r="FV1653" s="2060"/>
      <c r="FW1653" s="2060"/>
      <c r="FX1653" s="2060"/>
      <c r="FY1653" s="2060"/>
      <c r="FZ1653" s="2060"/>
      <c r="GA1653" s="2060"/>
      <c r="GB1653" s="2060"/>
      <c r="GC1653" s="2060"/>
      <c r="GD1653" s="2060"/>
      <c r="GE1653" s="2060"/>
      <c r="GF1653" s="2060"/>
      <c r="GG1653" s="2060"/>
      <c r="GH1653" s="2060"/>
      <c r="GI1653" s="2060"/>
      <c r="GJ1653" s="2060"/>
      <c r="GK1653" s="2060"/>
      <c r="GL1653" s="2060"/>
      <c r="GM1653" s="2060"/>
      <c r="GN1653" s="2060"/>
      <c r="GO1653" s="2060"/>
      <c r="GP1653" s="2060"/>
      <c r="GQ1653" s="2060"/>
      <c r="GR1653" s="2060"/>
      <c r="GS1653" s="2060"/>
      <c r="GT1653" s="2060"/>
      <c r="GU1653" s="2060"/>
      <c r="GV1653" s="2060"/>
      <c r="GW1653" s="2060"/>
      <c r="GX1653" s="2060"/>
      <c r="GY1653" s="2060"/>
      <c r="GZ1653" s="2060"/>
      <c r="HA1653" s="2060"/>
      <c r="HB1653" s="2060"/>
      <c r="HC1653" s="2060"/>
      <c r="HD1653" s="2060"/>
      <c r="HE1653" s="2060"/>
      <c r="HF1653" s="2060"/>
      <c r="HG1653" s="2060"/>
      <c r="HH1653" s="2060"/>
      <c r="HI1653" s="2060"/>
      <c r="HJ1653" s="2060"/>
      <c r="HK1653" s="2060"/>
      <c r="HL1653" s="2060"/>
      <c r="HM1653" s="2060"/>
      <c r="HN1653" s="2060"/>
      <c r="HO1653" s="2060"/>
      <c r="HP1653" s="2060"/>
      <c r="HQ1653" s="2060"/>
      <c r="HR1653" s="2060"/>
      <c r="HS1653" s="2060"/>
      <c r="HT1653" s="2060"/>
      <c r="HU1653" s="2060"/>
      <c r="HV1653" s="2060"/>
      <c r="HW1653" s="2060"/>
      <c r="HX1653" s="2060"/>
      <c r="HY1653" s="2060"/>
      <c r="HZ1653" s="2060"/>
      <c r="IA1653" s="2060"/>
      <c r="IB1653" s="2060"/>
      <c r="IC1653" s="2060"/>
      <c r="ID1653" s="2060"/>
      <c r="IE1653" s="2060"/>
      <c r="IF1653" s="2060"/>
      <c r="IG1653" s="2060"/>
      <c r="IH1653" s="2060"/>
      <c r="II1653" s="2060"/>
      <c r="IJ1653" s="2060"/>
      <c r="IK1653" s="2060"/>
      <c r="IL1653" s="2060"/>
      <c r="IM1653" s="2060"/>
      <c r="IN1653" s="2060"/>
      <c r="IO1653" s="2060"/>
      <c r="IP1653" s="2060"/>
      <c r="IQ1653" s="2060"/>
      <c r="IR1653" s="2060"/>
      <c r="IS1653" s="2060"/>
      <c r="IT1653" s="2060"/>
      <c r="IU1653" s="2060"/>
      <c r="IV1653" s="2060"/>
      <c r="IW1653" s="2060"/>
      <c r="IX1653" s="2060"/>
      <c r="IY1653" s="2060"/>
      <c r="IZ1653" s="2060"/>
      <c r="JA1653" s="2060"/>
      <c r="JB1653" s="2060"/>
      <c r="JC1653" s="2060"/>
      <c r="JD1653" s="2060"/>
      <c r="JE1653" s="2060"/>
      <c r="JF1653" s="2060"/>
      <c r="JG1653" s="2060"/>
      <c r="JH1653" s="2060"/>
      <c r="JI1653" s="2060"/>
      <c r="JJ1653" s="2060"/>
      <c r="JK1653" s="2060"/>
      <c r="JL1653" s="2060"/>
      <c r="JM1653" s="2060"/>
      <c r="JN1653" s="2060"/>
      <c r="JO1653" s="2060"/>
      <c r="JP1653" s="2060"/>
      <c r="JQ1653" s="2060"/>
      <c r="JR1653" s="2060"/>
      <c r="JS1653" s="2060"/>
      <c r="JT1653" s="2060"/>
      <c r="JU1653" s="2060"/>
      <c r="JV1653" s="2060"/>
      <c r="JW1653" s="2060"/>
      <c r="JX1653" s="2060"/>
      <c r="JY1653" s="2060"/>
      <c r="JZ1653" s="2060"/>
      <c r="KA1653" s="2060"/>
      <c r="KB1653" s="2060"/>
      <c r="KC1653" s="2060"/>
      <c r="KD1653" s="2060"/>
      <c r="KE1653" s="2060"/>
      <c r="KF1653" s="2060"/>
      <c r="KG1653" s="2060"/>
      <c r="KH1653" s="2060"/>
      <c r="KI1653" s="2060"/>
      <c r="KJ1653" s="2060"/>
      <c r="KK1653" s="2060"/>
      <c r="KL1653" s="2060"/>
      <c r="KM1653" s="2060"/>
      <c r="KN1653" s="2060"/>
      <c r="KO1653" s="2060"/>
      <c r="KP1653" s="2060"/>
      <c r="KQ1653" s="2060"/>
      <c r="KR1653" s="2060"/>
      <c r="KS1653" s="2060"/>
      <c r="KT1653" s="2060"/>
      <c r="KU1653" s="2060"/>
      <c r="KV1653" s="2060"/>
      <c r="KW1653" s="2060"/>
      <c r="KX1653" s="2060"/>
      <c r="KY1653" s="2060"/>
      <c r="KZ1653" s="2060"/>
      <c r="LA1653" s="2060"/>
      <c r="LB1653" s="2060"/>
      <c r="LC1653" s="2060"/>
      <c r="LD1653" s="2060"/>
      <c r="LE1653" s="2060"/>
      <c r="LF1653" s="2060"/>
      <c r="LG1653" s="2060"/>
      <c r="LH1653" s="2060"/>
    </row>
    <row r="1654" spans="1:320" s="449" customFormat="1" ht="13.9">
      <c r="A1654" s="269" t="str">
        <f t="shared" si="442"/>
        <v>n</v>
      </c>
      <c r="B1654" s="2060"/>
      <c r="C1654" s="2060"/>
      <c r="D1654" s="2060"/>
      <c r="E1654" s="1661">
        <v>9</v>
      </c>
      <c r="F1654" s="1353" t="str">
        <f>F$137</f>
        <v>--</v>
      </c>
      <c r="G1654" s="128">
        <f>G$137</f>
        <v>0</v>
      </c>
      <c r="H1654" s="128" t="str">
        <f>H$137</f>
        <v>--</v>
      </c>
      <c r="I1654" s="89" t="s">
        <v>786</v>
      </c>
      <c r="J1654" s="2197" t="str">
        <f>IF($G1654=0,"",IFERROR(_xll.ciqfunctions.udf.CIQ($G1654,$I1654,J$1557,Valuation_Date_GC,ReportType,DataMode,$H1654,FXMode)*Scale,"n/a"))</f>
        <v/>
      </c>
      <c r="K1654" s="2197" t="str">
        <f>IF($G1654=0,"",IFERROR(_xll.ciqfunctions.udf.CIQ($G1654,$I1654,K$1557,Valuation_Date_GC,ReportType,DataMode,$H1654,FXMode)*Scale,"n/a"))</f>
        <v/>
      </c>
      <c r="L1654" s="2197" t="str">
        <f>IF($G1654=0,"",IFERROR(_xll.ciqfunctions.udf.CIQ($G1654,$I1654,L$1557,Valuation_Date_GC,ReportType,DataMode,$H1654,FXMode)*Scale,"n/a"))</f>
        <v/>
      </c>
      <c r="M1654" s="2197" t="str">
        <f>IF($G1654=0,"",IFERROR(_xll.ciqfunctions.udf.CIQ($G1654,$I1654,M$1557,Valuation_Date_GC,ReportType,DataMode,$H1654,FXMode)*Scale,"n/a"))</f>
        <v/>
      </c>
      <c r="N1654" s="2197" t="str">
        <f>IF($G1654=0,"",IFERROR(_xll.ciqfunctions.udf.CIQ($G1654,$I1654,N$1557,Valuation_Date_GC,ReportType,DataMode,$H1654,FXMode)*Scale,"n/a"))</f>
        <v/>
      </c>
      <c r="O1654" s="2197" t="str">
        <f>IF($G1654=0,"",IFERROR(_xll.ciqfunctions.udf.CIQ($G1654,$I1654,O$1557,Valuation_Date_GC,ReportType,DataMode,$H1654,FXMode)*Scale,"n/a"))</f>
        <v/>
      </c>
      <c r="P1654" s="2197" t="str">
        <f>IF($G1654=0,"",IFERROR(_xll.ciqfunctions.udf.CIQ($G1654,$I1654,P$1557,Valuation_Date_GC,ReportType,DataMode,$H1654,FXMode)*Scale,"n/a"))</f>
        <v/>
      </c>
      <c r="Q1654" s="2197" t="str">
        <f>IF($G1654=0,"",IFERROR(_xll.ciqfunctions.udf.CIQ($G1654,$I1654,Q$1557,Valuation_Date_GC,ReportType,DataMode,$H1654,FXMode)*Scale,"n/a"))</f>
        <v/>
      </c>
      <c r="R1654" s="2197" t="str">
        <f>IF($G1654=0,"",IFERROR(_xll.ciqfunctions.udf.CIQ($G1654,$I1654,R$1557,Valuation_Date_GC,ReportType,DataMode,$H1654,FXMode)*Scale,"n/a"))</f>
        <v/>
      </c>
      <c r="S1654" s="2197" t="str">
        <f>IF($G1654=0,"",IFERROR(_xll.ciqfunctions.udf.CIQ($G1654,$I1654,S$1557,Valuation_Date_GC,ReportType,DataMode,$H1654,FXMode)*Scale,"n/a"))</f>
        <v/>
      </c>
      <c r="T1654" s="2197" t="str">
        <f>IF($G1654=0,"",IFERROR(_xll.ciqfunctions.udf.CIQ($G1654,$I1654,T$1557,Valuation_Date_GC,ReportType,DataMode,$H1654,FXMode)*Scale,"n/a"))</f>
        <v/>
      </c>
      <c r="U1654" s="2197" t="str">
        <f>IF($G1654=0,"",IFERROR(_xll.ciqfunctions.udf.CIQ($G1654,$I1654,U$1557,Valuation_Date_GC,ReportType,DataMode,$H1654,FXMode)*Scale,"n/a"))</f>
        <v/>
      </c>
      <c r="V1654" s="2197" t="str">
        <f>IF($G1654=0,"",IFERROR(_xll.ciqfunctions.udf.CIQ($G1654,$I1654,V$1557,Valuation_Date_GC,ReportType,DataMode,$H1654,FXMode)*Scale,"n/a"))</f>
        <v/>
      </c>
      <c r="W1654" s="1479"/>
      <c r="X1654" s="255"/>
      <c r="Y1654" s="89"/>
      <c r="Z1654" s="2060"/>
      <c r="AA1654" s="2060"/>
      <c r="AB1654" s="2060"/>
      <c r="AC1654" s="2060"/>
      <c r="AD1654" s="2060"/>
      <c r="AE1654" s="2060"/>
      <c r="AF1654" s="2060"/>
      <c r="AG1654" s="2060"/>
      <c r="AH1654" s="2060"/>
      <c r="AI1654" s="2060"/>
      <c r="AJ1654" s="2060"/>
      <c r="AK1654" s="2060"/>
      <c r="AL1654" s="2060"/>
      <c r="AM1654" s="2060"/>
      <c r="AN1654" s="2060"/>
      <c r="AO1654" s="2060"/>
      <c r="AP1654" s="2060"/>
      <c r="AQ1654" s="2060"/>
      <c r="AR1654" s="2060"/>
      <c r="AS1654" s="2060"/>
      <c r="AT1654" s="2060"/>
      <c r="AU1654" s="2060"/>
      <c r="AV1654" s="2060"/>
      <c r="AW1654" s="2060"/>
      <c r="AX1654" s="2060"/>
      <c r="AY1654" s="2060"/>
      <c r="AZ1654" s="2060"/>
      <c r="BA1654" s="2060"/>
      <c r="BB1654" s="2060"/>
      <c r="BC1654" s="2060"/>
      <c r="BD1654" s="2060"/>
      <c r="BE1654" s="2060"/>
      <c r="BF1654" s="2060"/>
      <c r="BG1654" s="2060"/>
      <c r="BH1654" s="2060"/>
      <c r="BI1654" s="2060"/>
      <c r="BJ1654" s="2060"/>
      <c r="BK1654" s="2060"/>
      <c r="BL1654" s="2060"/>
      <c r="BM1654" s="2060"/>
      <c r="BN1654" s="2060"/>
      <c r="BO1654" s="2060"/>
      <c r="BP1654" s="2060"/>
      <c r="BQ1654" s="2060"/>
      <c r="BR1654" s="2060"/>
      <c r="BS1654" s="2060"/>
      <c r="BT1654" s="2060"/>
      <c r="BU1654" s="2060"/>
      <c r="BV1654" s="2060"/>
      <c r="BW1654" s="2060"/>
      <c r="BX1654" s="2060"/>
      <c r="BY1654" s="2060"/>
      <c r="BZ1654" s="2060"/>
      <c r="CA1654" s="2060"/>
      <c r="CB1654" s="2060"/>
      <c r="CC1654" s="2060"/>
      <c r="CD1654" s="2060"/>
      <c r="CE1654" s="2060"/>
      <c r="CF1654" s="2060"/>
      <c r="CG1654" s="2060"/>
      <c r="CH1654" s="2060"/>
      <c r="CI1654" s="2060"/>
      <c r="CJ1654" s="2060"/>
      <c r="CK1654" s="2060"/>
      <c r="CL1654" s="2060"/>
      <c r="CM1654" s="2060"/>
      <c r="CN1654" s="2060"/>
      <c r="CO1654" s="2060"/>
      <c r="CP1654" s="2060"/>
      <c r="CQ1654" s="2060"/>
      <c r="CR1654" s="2060"/>
      <c r="CS1654" s="2060"/>
      <c r="CT1654" s="2060"/>
      <c r="CU1654" s="2060"/>
      <c r="CV1654" s="2060"/>
      <c r="CW1654" s="2060"/>
      <c r="CX1654" s="2060"/>
      <c r="CY1654" s="2060"/>
      <c r="CZ1654" s="2060"/>
      <c r="DA1654" s="2060"/>
      <c r="DB1654" s="2060"/>
      <c r="DC1654" s="2060"/>
      <c r="DD1654" s="2060"/>
      <c r="DE1654" s="2060"/>
      <c r="DF1654" s="2060"/>
      <c r="DG1654" s="2060"/>
      <c r="DH1654" s="2060"/>
      <c r="DI1654" s="2060"/>
      <c r="DJ1654" s="2060"/>
      <c r="DK1654" s="2060"/>
      <c r="DL1654" s="2060"/>
      <c r="DM1654" s="2060"/>
      <c r="DN1654" s="2060"/>
      <c r="DO1654" s="2060"/>
      <c r="DP1654" s="2060"/>
      <c r="DQ1654" s="2060"/>
      <c r="DR1654" s="2060"/>
      <c r="DS1654" s="2060"/>
      <c r="DT1654" s="2060"/>
      <c r="DU1654" s="2060"/>
      <c r="DV1654" s="2060"/>
      <c r="DW1654" s="2060"/>
      <c r="DX1654" s="2060"/>
      <c r="DY1654" s="2060"/>
      <c r="DZ1654" s="2060"/>
      <c r="EA1654" s="2060"/>
      <c r="EB1654" s="2060"/>
      <c r="EC1654" s="2060"/>
      <c r="ED1654" s="2060"/>
      <c r="EE1654" s="2060"/>
      <c r="EF1654" s="2060"/>
      <c r="EG1654" s="2060"/>
      <c r="EH1654" s="2060"/>
      <c r="EI1654" s="2060"/>
      <c r="EJ1654" s="2060"/>
      <c r="EK1654" s="2060"/>
      <c r="EL1654" s="2060"/>
      <c r="EM1654" s="2060"/>
      <c r="EN1654" s="2060"/>
      <c r="EO1654" s="2060"/>
      <c r="EP1654" s="2060"/>
      <c r="EQ1654" s="2060"/>
      <c r="ER1654" s="2060"/>
      <c r="ES1654" s="2060"/>
      <c r="ET1654" s="2060"/>
      <c r="EU1654" s="2060"/>
      <c r="EV1654" s="2060"/>
      <c r="EW1654" s="2060"/>
      <c r="EX1654" s="2060"/>
      <c r="EY1654" s="2060"/>
      <c r="EZ1654" s="2060"/>
      <c r="FA1654" s="2060"/>
      <c r="FB1654" s="2060"/>
      <c r="FC1654" s="2060"/>
      <c r="FD1654" s="2060"/>
      <c r="FE1654" s="2060"/>
      <c r="FF1654" s="2060"/>
      <c r="FG1654" s="2060"/>
      <c r="FH1654" s="2060"/>
      <c r="FI1654" s="2060"/>
      <c r="FJ1654" s="2060"/>
      <c r="FK1654" s="2060"/>
      <c r="FL1654" s="2060"/>
      <c r="FM1654" s="2060"/>
      <c r="FN1654" s="2060"/>
      <c r="FO1654" s="2060"/>
      <c r="FP1654" s="2060"/>
      <c r="FQ1654" s="2060"/>
      <c r="FR1654" s="2060"/>
      <c r="FS1654" s="2060"/>
      <c r="FT1654" s="2060"/>
      <c r="FU1654" s="2060"/>
      <c r="FV1654" s="2060"/>
      <c r="FW1654" s="2060"/>
      <c r="FX1654" s="2060"/>
      <c r="FY1654" s="2060"/>
      <c r="FZ1654" s="2060"/>
      <c r="GA1654" s="2060"/>
      <c r="GB1654" s="2060"/>
      <c r="GC1654" s="2060"/>
      <c r="GD1654" s="2060"/>
      <c r="GE1654" s="2060"/>
      <c r="GF1654" s="2060"/>
      <c r="GG1654" s="2060"/>
      <c r="GH1654" s="2060"/>
      <c r="GI1654" s="2060"/>
      <c r="GJ1654" s="2060"/>
      <c r="GK1654" s="2060"/>
      <c r="GL1654" s="2060"/>
      <c r="GM1654" s="2060"/>
      <c r="GN1654" s="2060"/>
      <c r="GO1654" s="2060"/>
      <c r="GP1654" s="2060"/>
      <c r="GQ1654" s="2060"/>
      <c r="GR1654" s="2060"/>
      <c r="GS1654" s="2060"/>
      <c r="GT1654" s="2060"/>
      <c r="GU1654" s="2060"/>
      <c r="GV1654" s="2060"/>
      <c r="GW1654" s="2060"/>
      <c r="GX1654" s="2060"/>
      <c r="GY1654" s="2060"/>
      <c r="GZ1654" s="2060"/>
      <c r="HA1654" s="2060"/>
      <c r="HB1654" s="2060"/>
      <c r="HC1654" s="2060"/>
      <c r="HD1654" s="2060"/>
      <c r="HE1654" s="2060"/>
      <c r="HF1654" s="2060"/>
      <c r="HG1654" s="2060"/>
      <c r="HH1654" s="2060"/>
      <c r="HI1654" s="2060"/>
      <c r="HJ1654" s="2060"/>
      <c r="HK1654" s="2060"/>
      <c r="HL1654" s="2060"/>
      <c r="HM1654" s="2060"/>
      <c r="HN1654" s="2060"/>
      <c r="HO1654" s="2060"/>
      <c r="HP1654" s="2060"/>
      <c r="HQ1654" s="2060"/>
      <c r="HR1654" s="2060"/>
      <c r="HS1654" s="2060"/>
      <c r="HT1654" s="2060"/>
      <c r="HU1654" s="2060"/>
      <c r="HV1654" s="2060"/>
      <c r="HW1654" s="2060"/>
      <c r="HX1654" s="2060"/>
      <c r="HY1654" s="2060"/>
      <c r="HZ1654" s="2060"/>
      <c r="IA1654" s="2060"/>
      <c r="IB1654" s="2060"/>
      <c r="IC1654" s="2060"/>
      <c r="ID1654" s="2060"/>
      <c r="IE1654" s="2060"/>
      <c r="IF1654" s="2060"/>
      <c r="IG1654" s="2060"/>
      <c r="IH1654" s="2060"/>
      <c r="II1654" s="2060"/>
      <c r="IJ1654" s="2060"/>
      <c r="IK1654" s="2060"/>
      <c r="IL1654" s="2060"/>
      <c r="IM1654" s="2060"/>
      <c r="IN1654" s="2060"/>
      <c r="IO1654" s="2060"/>
      <c r="IP1654" s="2060"/>
      <c r="IQ1654" s="2060"/>
      <c r="IR1654" s="2060"/>
      <c r="IS1654" s="2060"/>
      <c r="IT1654" s="2060"/>
      <c r="IU1654" s="2060"/>
      <c r="IV1654" s="2060"/>
      <c r="IW1654" s="2060"/>
      <c r="IX1654" s="2060"/>
      <c r="IY1654" s="2060"/>
      <c r="IZ1654" s="2060"/>
      <c r="JA1654" s="2060"/>
      <c r="JB1654" s="2060"/>
      <c r="JC1654" s="2060"/>
      <c r="JD1654" s="2060"/>
      <c r="JE1654" s="2060"/>
      <c r="JF1654" s="2060"/>
      <c r="JG1654" s="2060"/>
      <c r="JH1654" s="2060"/>
      <c r="JI1654" s="2060"/>
      <c r="JJ1654" s="2060"/>
      <c r="JK1654" s="2060"/>
      <c r="JL1654" s="2060"/>
      <c r="JM1654" s="2060"/>
      <c r="JN1654" s="2060"/>
      <c r="JO1654" s="2060"/>
      <c r="JP1654" s="2060"/>
      <c r="JQ1654" s="2060"/>
      <c r="JR1654" s="2060"/>
      <c r="JS1654" s="2060"/>
      <c r="JT1654" s="2060"/>
      <c r="JU1654" s="2060"/>
      <c r="JV1654" s="2060"/>
      <c r="JW1654" s="2060"/>
      <c r="JX1654" s="2060"/>
      <c r="JY1654" s="2060"/>
      <c r="JZ1654" s="2060"/>
      <c r="KA1654" s="2060"/>
      <c r="KB1654" s="2060"/>
      <c r="KC1654" s="2060"/>
      <c r="KD1654" s="2060"/>
      <c r="KE1654" s="2060"/>
      <c r="KF1654" s="2060"/>
      <c r="KG1654" s="2060"/>
      <c r="KH1654" s="2060"/>
      <c r="KI1654" s="2060"/>
      <c r="KJ1654" s="2060"/>
      <c r="KK1654" s="2060"/>
      <c r="KL1654" s="2060"/>
      <c r="KM1654" s="2060"/>
      <c r="KN1654" s="2060"/>
      <c r="KO1654" s="2060"/>
      <c r="KP1654" s="2060"/>
      <c r="KQ1654" s="2060"/>
      <c r="KR1654" s="2060"/>
      <c r="KS1654" s="2060"/>
      <c r="KT1654" s="2060"/>
      <c r="KU1654" s="2060"/>
      <c r="KV1654" s="2060"/>
      <c r="KW1654" s="2060"/>
      <c r="KX1654" s="2060"/>
      <c r="KY1654" s="2060"/>
      <c r="KZ1654" s="2060"/>
      <c r="LA1654" s="2060"/>
      <c r="LB1654" s="2060"/>
      <c r="LC1654" s="2060"/>
      <c r="LD1654" s="2060"/>
      <c r="LE1654" s="2060"/>
      <c r="LF1654" s="2060"/>
      <c r="LG1654" s="2060"/>
      <c r="LH1654" s="2060"/>
    </row>
    <row r="1655" spans="1:320" s="449" customFormat="1" ht="13.9">
      <c r="A1655" s="269" t="str">
        <f t="shared" si="442"/>
        <v>n</v>
      </c>
      <c r="B1655" s="2060"/>
      <c r="C1655" s="2060"/>
      <c r="D1655" s="2060"/>
      <c r="E1655" s="1661">
        <v>10</v>
      </c>
      <c r="F1655" s="1353" t="str">
        <f>F$138</f>
        <v>--</v>
      </c>
      <c r="G1655" s="128">
        <f>G$138</f>
        <v>0</v>
      </c>
      <c r="H1655" s="128" t="str">
        <f>H$138</f>
        <v>--</v>
      </c>
      <c r="I1655" s="89" t="s">
        <v>786</v>
      </c>
      <c r="J1655" s="2197" t="str">
        <f>IF($G1655=0,"",IFERROR(_xll.ciqfunctions.udf.CIQ($G1655,$I1655,J$1557,Valuation_Date_GC,ReportType,DataMode,$H1655,FXMode)*Scale,"n/a"))</f>
        <v/>
      </c>
      <c r="K1655" s="2197" t="str">
        <f>IF($G1655=0,"",IFERROR(_xll.ciqfunctions.udf.CIQ($G1655,$I1655,K$1557,Valuation_Date_GC,ReportType,DataMode,$H1655,FXMode)*Scale,"n/a"))</f>
        <v/>
      </c>
      <c r="L1655" s="2197" t="str">
        <f>IF($G1655=0,"",IFERROR(_xll.ciqfunctions.udf.CIQ($G1655,$I1655,L$1557,Valuation_Date_GC,ReportType,DataMode,$H1655,FXMode)*Scale,"n/a"))</f>
        <v/>
      </c>
      <c r="M1655" s="2197" t="str">
        <f>IF($G1655=0,"",IFERROR(_xll.ciqfunctions.udf.CIQ($G1655,$I1655,M$1557,Valuation_Date_GC,ReportType,DataMode,$H1655,FXMode)*Scale,"n/a"))</f>
        <v/>
      </c>
      <c r="N1655" s="2197" t="str">
        <f>IF($G1655=0,"",IFERROR(_xll.ciqfunctions.udf.CIQ($G1655,$I1655,N$1557,Valuation_Date_GC,ReportType,DataMode,$H1655,FXMode)*Scale,"n/a"))</f>
        <v/>
      </c>
      <c r="O1655" s="2197" t="str">
        <f>IF($G1655=0,"",IFERROR(_xll.ciqfunctions.udf.CIQ($G1655,$I1655,O$1557,Valuation_Date_GC,ReportType,DataMode,$H1655,FXMode)*Scale,"n/a"))</f>
        <v/>
      </c>
      <c r="P1655" s="2197" t="str">
        <f>IF($G1655=0,"",IFERROR(_xll.ciqfunctions.udf.CIQ($G1655,$I1655,P$1557,Valuation_Date_GC,ReportType,DataMode,$H1655,FXMode)*Scale,"n/a"))</f>
        <v/>
      </c>
      <c r="Q1655" s="2197" t="str">
        <f>IF($G1655=0,"",IFERROR(_xll.ciqfunctions.udf.CIQ($G1655,$I1655,Q$1557,Valuation_Date_GC,ReportType,DataMode,$H1655,FXMode)*Scale,"n/a"))</f>
        <v/>
      </c>
      <c r="R1655" s="2197" t="str">
        <f>IF($G1655=0,"",IFERROR(_xll.ciqfunctions.udf.CIQ($G1655,$I1655,R$1557,Valuation_Date_GC,ReportType,DataMode,$H1655,FXMode)*Scale,"n/a"))</f>
        <v/>
      </c>
      <c r="S1655" s="2197" t="str">
        <f>IF($G1655=0,"",IFERROR(_xll.ciqfunctions.udf.CIQ($G1655,$I1655,S$1557,Valuation_Date_GC,ReportType,DataMode,$H1655,FXMode)*Scale,"n/a"))</f>
        <v/>
      </c>
      <c r="T1655" s="2197" t="str">
        <f>IF($G1655=0,"",IFERROR(_xll.ciqfunctions.udf.CIQ($G1655,$I1655,T$1557,Valuation_Date_GC,ReportType,DataMode,$H1655,FXMode)*Scale,"n/a"))</f>
        <v/>
      </c>
      <c r="U1655" s="2197" t="str">
        <f>IF($G1655=0,"",IFERROR(_xll.ciqfunctions.udf.CIQ($G1655,$I1655,U$1557,Valuation_Date_GC,ReportType,DataMode,$H1655,FXMode)*Scale,"n/a"))</f>
        <v/>
      </c>
      <c r="V1655" s="2197" t="str">
        <f>IF($G1655=0,"",IFERROR(_xll.ciqfunctions.udf.CIQ($G1655,$I1655,V$1557,Valuation_Date_GC,ReportType,DataMode,$H1655,FXMode)*Scale,"n/a"))</f>
        <v/>
      </c>
      <c r="W1655" s="1479"/>
      <c r="X1655" s="255"/>
      <c r="Y1655" s="89"/>
      <c r="Z1655" s="2060"/>
      <c r="AA1655" s="2060"/>
      <c r="AB1655" s="2060"/>
      <c r="AC1655" s="2060"/>
      <c r="AD1655" s="2060"/>
      <c r="AE1655" s="2060"/>
      <c r="AF1655" s="2060"/>
      <c r="AG1655" s="2060"/>
      <c r="AH1655" s="2060"/>
      <c r="AI1655" s="2060"/>
      <c r="AJ1655" s="2060"/>
      <c r="AK1655" s="2060"/>
      <c r="AL1655" s="2060"/>
      <c r="AM1655" s="2060"/>
      <c r="AN1655" s="2060"/>
      <c r="AO1655" s="2060"/>
      <c r="AP1655" s="2060"/>
      <c r="AQ1655" s="2060"/>
      <c r="AR1655" s="2060"/>
      <c r="AS1655" s="2060"/>
      <c r="AT1655" s="2060"/>
      <c r="AU1655" s="2060"/>
      <c r="AV1655" s="2060"/>
      <c r="AW1655" s="2060"/>
      <c r="AX1655" s="2060"/>
      <c r="AY1655" s="2060"/>
      <c r="AZ1655" s="2060"/>
      <c r="BA1655" s="2060"/>
      <c r="BB1655" s="2060"/>
      <c r="BC1655" s="2060"/>
      <c r="BD1655" s="2060"/>
      <c r="BE1655" s="2060"/>
      <c r="BF1655" s="2060"/>
      <c r="BG1655" s="2060"/>
      <c r="BH1655" s="2060"/>
      <c r="BI1655" s="2060"/>
      <c r="BJ1655" s="2060"/>
      <c r="BK1655" s="2060"/>
      <c r="BL1655" s="2060"/>
      <c r="BM1655" s="2060"/>
      <c r="BN1655" s="2060"/>
      <c r="BO1655" s="2060"/>
      <c r="BP1655" s="2060"/>
      <c r="BQ1655" s="2060"/>
      <c r="BR1655" s="2060"/>
      <c r="BS1655" s="2060"/>
      <c r="BT1655" s="2060"/>
      <c r="BU1655" s="2060"/>
      <c r="BV1655" s="2060"/>
      <c r="BW1655" s="2060"/>
      <c r="BX1655" s="2060"/>
      <c r="BY1655" s="2060"/>
      <c r="BZ1655" s="2060"/>
      <c r="CA1655" s="2060"/>
      <c r="CB1655" s="2060"/>
      <c r="CC1655" s="2060"/>
      <c r="CD1655" s="2060"/>
      <c r="CE1655" s="2060"/>
      <c r="CF1655" s="2060"/>
      <c r="CG1655" s="2060"/>
      <c r="CH1655" s="2060"/>
      <c r="CI1655" s="2060"/>
      <c r="CJ1655" s="2060"/>
      <c r="CK1655" s="2060"/>
      <c r="CL1655" s="2060"/>
      <c r="CM1655" s="2060"/>
      <c r="CN1655" s="2060"/>
      <c r="CO1655" s="2060"/>
      <c r="CP1655" s="2060"/>
      <c r="CQ1655" s="2060"/>
      <c r="CR1655" s="2060"/>
      <c r="CS1655" s="2060"/>
      <c r="CT1655" s="2060"/>
      <c r="CU1655" s="2060"/>
      <c r="CV1655" s="2060"/>
      <c r="CW1655" s="2060"/>
      <c r="CX1655" s="2060"/>
      <c r="CY1655" s="2060"/>
      <c r="CZ1655" s="2060"/>
      <c r="DA1655" s="2060"/>
      <c r="DB1655" s="2060"/>
      <c r="DC1655" s="2060"/>
      <c r="DD1655" s="2060"/>
      <c r="DE1655" s="2060"/>
      <c r="DF1655" s="2060"/>
      <c r="DG1655" s="2060"/>
      <c r="DH1655" s="2060"/>
      <c r="DI1655" s="2060"/>
      <c r="DJ1655" s="2060"/>
      <c r="DK1655" s="2060"/>
      <c r="DL1655" s="2060"/>
      <c r="DM1655" s="2060"/>
      <c r="DN1655" s="2060"/>
      <c r="DO1655" s="2060"/>
      <c r="DP1655" s="2060"/>
      <c r="DQ1655" s="2060"/>
      <c r="DR1655" s="2060"/>
      <c r="DS1655" s="2060"/>
      <c r="DT1655" s="2060"/>
      <c r="DU1655" s="2060"/>
      <c r="DV1655" s="2060"/>
      <c r="DW1655" s="2060"/>
      <c r="DX1655" s="2060"/>
      <c r="DY1655" s="2060"/>
      <c r="DZ1655" s="2060"/>
      <c r="EA1655" s="2060"/>
      <c r="EB1655" s="2060"/>
      <c r="EC1655" s="2060"/>
      <c r="ED1655" s="2060"/>
      <c r="EE1655" s="2060"/>
      <c r="EF1655" s="2060"/>
      <c r="EG1655" s="2060"/>
      <c r="EH1655" s="2060"/>
      <c r="EI1655" s="2060"/>
      <c r="EJ1655" s="2060"/>
      <c r="EK1655" s="2060"/>
      <c r="EL1655" s="2060"/>
      <c r="EM1655" s="2060"/>
      <c r="EN1655" s="2060"/>
      <c r="EO1655" s="2060"/>
      <c r="EP1655" s="2060"/>
      <c r="EQ1655" s="2060"/>
      <c r="ER1655" s="2060"/>
      <c r="ES1655" s="2060"/>
      <c r="ET1655" s="2060"/>
      <c r="EU1655" s="2060"/>
      <c r="EV1655" s="2060"/>
      <c r="EW1655" s="2060"/>
      <c r="EX1655" s="2060"/>
      <c r="EY1655" s="2060"/>
      <c r="EZ1655" s="2060"/>
      <c r="FA1655" s="2060"/>
      <c r="FB1655" s="2060"/>
      <c r="FC1655" s="2060"/>
      <c r="FD1655" s="2060"/>
      <c r="FE1655" s="2060"/>
      <c r="FF1655" s="2060"/>
      <c r="FG1655" s="2060"/>
      <c r="FH1655" s="2060"/>
      <c r="FI1655" s="2060"/>
      <c r="FJ1655" s="2060"/>
      <c r="FK1655" s="2060"/>
      <c r="FL1655" s="2060"/>
      <c r="FM1655" s="2060"/>
      <c r="FN1655" s="2060"/>
      <c r="FO1655" s="2060"/>
      <c r="FP1655" s="2060"/>
      <c r="FQ1655" s="2060"/>
      <c r="FR1655" s="2060"/>
      <c r="FS1655" s="2060"/>
      <c r="FT1655" s="2060"/>
      <c r="FU1655" s="2060"/>
      <c r="FV1655" s="2060"/>
      <c r="FW1655" s="2060"/>
      <c r="FX1655" s="2060"/>
      <c r="FY1655" s="2060"/>
      <c r="FZ1655" s="2060"/>
      <c r="GA1655" s="2060"/>
      <c r="GB1655" s="2060"/>
      <c r="GC1655" s="2060"/>
      <c r="GD1655" s="2060"/>
      <c r="GE1655" s="2060"/>
      <c r="GF1655" s="2060"/>
      <c r="GG1655" s="2060"/>
      <c r="GH1655" s="2060"/>
      <c r="GI1655" s="2060"/>
      <c r="GJ1655" s="2060"/>
      <c r="GK1655" s="2060"/>
      <c r="GL1655" s="2060"/>
      <c r="GM1655" s="2060"/>
      <c r="GN1655" s="2060"/>
      <c r="GO1655" s="2060"/>
      <c r="GP1655" s="2060"/>
      <c r="GQ1655" s="2060"/>
      <c r="GR1655" s="2060"/>
      <c r="GS1655" s="2060"/>
      <c r="GT1655" s="2060"/>
      <c r="GU1655" s="2060"/>
      <c r="GV1655" s="2060"/>
      <c r="GW1655" s="2060"/>
      <c r="GX1655" s="2060"/>
      <c r="GY1655" s="2060"/>
      <c r="GZ1655" s="2060"/>
      <c r="HA1655" s="2060"/>
      <c r="HB1655" s="2060"/>
      <c r="HC1655" s="2060"/>
      <c r="HD1655" s="2060"/>
      <c r="HE1655" s="2060"/>
      <c r="HF1655" s="2060"/>
      <c r="HG1655" s="2060"/>
      <c r="HH1655" s="2060"/>
      <c r="HI1655" s="2060"/>
      <c r="HJ1655" s="2060"/>
      <c r="HK1655" s="2060"/>
      <c r="HL1655" s="2060"/>
      <c r="HM1655" s="2060"/>
      <c r="HN1655" s="2060"/>
      <c r="HO1655" s="2060"/>
      <c r="HP1655" s="2060"/>
      <c r="HQ1655" s="2060"/>
      <c r="HR1655" s="2060"/>
      <c r="HS1655" s="2060"/>
      <c r="HT1655" s="2060"/>
      <c r="HU1655" s="2060"/>
      <c r="HV1655" s="2060"/>
      <c r="HW1655" s="2060"/>
      <c r="HX1655" s="2060"/>
      <c r="HY1655" s="2060"/>
      <c r="HZ1655" s="2060"/>
      <c r="IA1655" s="2060"/>
      <c r="IB1655" s="2060"/>
      <c r="IC1655" s="2060"/>
      <c r="ID1655" s="2060"/>
      <c r="IE1655" s="2060"/>
      <c r="IF1655" s="2060"/>
      <c r="IG1655" s="2060"/>
      <c r="IH1655" s="2060"/>
      <c r="II1655" s="2060"/>
      <c r="IJ1655" s="2060"/>
      <c r="IK1655" s="2060"/>
      <c r="IL1655" s="2060"/>
      <c r="IM1655" s="2060"/>
      <c r="IN1655" s="2060"/>
      <c r="IO1655" s="2060"/>
      <c r="IP1655" s="2060"/>
      <c r="IQ1655" s="2060"/>
      <c r="IR1655" s="2060"/>
      <c r="IS1655" s="2060"/>
      <c r="IT1655" s="2060"/>
      <c r="IU1655" s="2060"/>
      <c r="IV1655" s="2060"/>
      <c r="IW1655" s="2060"/>
      <c r="IX1655" s="2060"/>
      <c r="IY1655" s="2060"/>
      <c r="IZ1655" s="2060"/>
      <c r="JA1655" s="2060"/>
      <c r="JB1655" s="2060"/>
      <c r="JC1655" s="2060"/>
      <c r="JD1655" s="2060"/>
      <c r="JE1655" s="2060"/>
      <c r="JF1655" s="2060"/>
      <c r="JG1655" s="2060"/>
      <c r="JH1655" s="2060"/>
      <c r="JI1655" s="2060"/>
      <c r="JJ1655" s="2060"/>
      <c r="JK1655" s="2060"/>
      <c r="JL1655" s="2060"/>
      <c r="JM1655" s="2060"/>
      <c r="JN1655" s="2060"/>
      <c r="JO1655" s="2060"/>
      <c r="JP1655" s="2060"/>
      <c r="JQ1655" s="2060"/>
      <c r="JR1655" s="2060"/>
      <c r="JS1655" s="2060"/>
      <c r="JT1655" s="2060"/>
      <c r="JU1655" s="2060"/>
      <c r="JV1655" s="2060"/>
      <c r="JW1655" s="2060"/>
      <c r="JX1655" s="2060"/>
      <c r="JY1655" s="2060"/>
      <c r="JZ1655" s="2060"/>
      <c r="KA1655" s="2060"/>
      <c r="KB1655" s="2060"/>
      <c r="KC1655" s="2060"/>
      <c r="KD1655" s="2060"/>
      <c r="KE1655" s="2060"/>
      <c r="KF1655" s="2060"/>
      <c r="KG1655" s="2060"/>
      <c r="KH1655" s="2060"/>
      <c r="KI1655" s="2060"/>
      <c r="KJ1655" s="2060"/>
      <c r="KK1655" s="2060"/>
      <c r="KL1655" s="2060"/>
      <c r="KM1655" s="2060"/>
      <c r="KN1655" s="2060"/>
      <c r="KO1655" s="2060"/>
      <c r="KP1655" s="2060"/>
      <c r="KQ1655" s="2060"/>
      <c r="KR1655" s="2060"/>
      <c r="KS1655" s="2060"/>
      <c r="KT1655" s="2060"/>
      <c r="KU1655" s="2060"/>
      <c r="KV1655" s="2060"/>
      <c r="KW1655" s="2060"/>
      <c r="KX1655" s="2060"/>
      <c r="KY1655" s="2060"/>
      <c r="KZ1655" s="2060"/>
      <c r="LA1655" s="2060"/>
      <c r="LB1655" s="2060"/>
      <c r="LC1655" s="2060"/>
      <c r="LD1655" s="2060"/>
      <c r="LE1655" s="2060"/>
      <c r="LF1655" s="2060"/>
      <c r="LG1655" s="2060"/>
      <c r="LH1655" s="2060"/>
    </row>
    <row r="1656" spans="1:320" s="449" customFormat="1" ht="13.9">
      <c r="A1656" s="269" t="str">
        <f t="shared" si="442"/>
        <v>n</v>
      </c>
      <c r="B1656" s="2060"/>
      <c r="C1656" s="2060"/>
      <c r="D1656" s="2060"/>
      <c r="E1656" s="1661">
        <v>11</v>
      </c>
      <c r="F1656" s="1353" t="str">
        <f>F$139</f>
        <v>--</v>
      </c>
      <c r="G1656" s="128">
        <f>G$139</f>
        <v>0</v>
      </c>
      <c r="H1656" s="128" t="str">
        <f>H$139</f>
        <v>--</v>
      </c>
      <c r="I1656" s="89" t="s">
        <v>786</v>
      </c>
      <c r="J1656" s="2197" t="str">
        <f>IF($G1656=0,"",IFERROR(_xll.ciqfunctions.udf.CIQ($G1656,$I1656,J$1557,Valuation_Date_GC,ReportType,DataMode,$H1656,FXMode)*Scale,"n/a"))</f>
        <v/>
      </c>
      <c r="K1656" s="2197" t="str">
        <f>IF($G1656=0,"",IFERROR(_xll.ciqfunctions.udf.CIQ($G1656,$I1656,K$1557,Valuation_Date_GC,ReportType,DataMode,$H1656,FXMode)*Scale,"n/a"))</f>
        <v/>
      </c>
      <c r="L1656" s="2197" t="str">
        <f>IF($G1656=0,"",IFERROR(_xll.ciqfunctions.udf.CIQ($G1656,$I1656,L$1557,Valuation_Date_GC,ReportType,DataMode,$H1656,FXMode)*Scale,"n/a"))</f>
        <v/>
      </c>
      <c r="M1656" s="2197" t="str">
        <f>IF($G1656=0,"",IFERROR(_xll.ciqfunctions.udf.CIQ($G1656,$I1656,M$1557,Valuation_Date_GC,ReportType,DataMode,$H1656,FXMode)*Scale,"n/a"))</f>
        <v/>
      </c>
      <c r="N1656" s="2197" t="str">
        <f>IF($G1656=0,"",IFERROR(_xll.ciqfunctions.udf.CIQ($G1656,$I1656,N$1557,Valuation_Date_GC,ReportType,DataMode,$H1656,FXMode)*Scale,"n/a"))</f>
        <v/>
      </c>
      <c r="O1656" s="2197" t="str">
        <f>IF($G1656=0,"",IFERROR(_xll.ciqfunctions.udf.CIQ($G1656,$I1656,O$1557,Valuation_Date_GC,ReportType,DataMode,$H1656,FXMode)*Scale,"n/a"))</f>
        <v/>
      </c>
      <c r="P1656" s="2197" t="str">
        <f>IF($G1656=0,"",IFERROR(_xll.ciqfunctions.udf.CIQ($G1656,$I1656,P$1557,Valuation_Date_GC,ReportType,DataMode,$H1656,FXMode)*Scale,"n/a"))</f>
        <v/>
      </c>
      <c r="Q1656" s="2197" t="str">
        <f>IF($G1656=0,"",IFERROR(_xll.ciqfunctions.udf.CIQ($G1656,$I1656,Q$1557,Valuation_Date_GC,ReportType,DataMode,$H1656,FXMode)*Scale,"n/a"))</f>
        <v/>
      </c>
      <c r="R1656" s="2197" t="str">
        <f>IF($G1656=0,"",IFERROR(_xll.ciqfunctions.udf.CIQ($G1656,$I1656,R$1557,Valuation_Date_GC,ReportType,DataMode,$H1656,FXMode)*Scale,"n/a"))</f>
        <v/>
      </c>
      <c r="S1656" s="2197" t="str">
        <f>IF($G1656=0,"",IFERROR(_xll.ciqfunctions.udf.CIQ($G1656,$I1656,S$1557,Valuation_Date_GC,ReportType,DataMode,$H1656,FXMode)*Scale,"n/a"))</f>
        <v/>
      </c>
      <c r="T1656" s="2197" t="str">
        <f>IF($G1656=0,"",IFERROR(_xll.ciqfunctions.udf.CIQ($G1656,$I1656,T$1557,Valuation_Date_GC,ReportType,DataMode,$H1656,FXMode)*Scale,"n/a"))</f>
        <v/>
      </c>
      <c r="U1656" s="2197" t="str">
        <f>IF($G1656=0,"",IFERROR(_xll.ciqfunctions.udf.CIQ($G1656,$I1656,U$1557,Valuation_Date_GC,ReportType,DataMode,$H1656,FXMode)*Scale,"n/a"))</f>
        <v/>
      </c>
      <c r="V1656" s="2197" t="str">
        <f>IF($G1656=0,"",IFERROR(_xll.ciqfunctions.udf.CIQ($G1656,$I1656,V$1557,Valuation_Date_GC,ReportType,DataMode,$H1656,FXMode)*Scale,"n/a"))</f>
        <v/>
      </c>
      <c r="W1656" s="1479"/>
      <c r="X1656" s="255"/>
      <c r="Y1656" s="89"/>
      <c r="Z1656" s="2060"/>
      <c r="AA1656" s="2060"/>
      <c r="AB1656" s="2060"/>
      <c r="AC1656" s="2060"/>
      <c r="AD1656" s="2060"/>
      <c r="AE1656" s="2060"/>
      <c r="AF1656" s="2060"/>
      <c r="AG1656" s="2060"/>
      <c r="AH1656" s="2060"/>
      <c r="AI1656" s="2060"/>
      <c r="AJ1656" s="2060"/>
      <c r="AK1656" s="2060"/>
      <c r="AL1656" s="2060"/>
      <c r="AM1656" s="2060"/>
      <c r="AN1656" s="2060"/>
      <c r="AO1656" s="2060"/>
      <c r="AP1656" s="2060"/>
      <c r="AQ1656" s="2060"/>
      <c r="AR1656" s="2060"/>
      <c r="AS1656" s="2060"/>
      <c r="AT1656" s="2060"/>
      <c r="AU1656" s="2060"/>
      <c r="AV1656" s="2060"/>
      <c r="AW1656" s="2060"/>
      <c r="AX1656" s="2060"/>
      <c r="AY1656" s="2060"/>
      <c r="AZ1656" s="2060"/>
      <c r="BA1656" s="2060"/>
      <c r="BB1656" s="2060"/>
      <c r="BC1656" s="2060"/>
      <c r="BD1656" s="2060"/>
      <c r="BE1656" s="2060"/>
      <c r="BF1656" s="2060"/>
      <c r="BG1656" s="2060"/>
      <c r="BH1656" s="2060"/>
      <c r="BI1656" s="2060"/>
      <c r="BJ1656" s="2060"/>
      <c r="BK1656" s="2060"/>
      <c r="BL1656" s="2060"/>
      <c r="BM1656" s="2060"/>
      <c r="BN1656" s="2060"/>
      <c r="BO1656" s="2060"/>
      <c r="BP1656" s="2060"/>
      <c r="BQ1656" s="2060"/>
      <c r="BR1656" s="2060"/>
      <c r="BS1656" s="2060"/>
      <c r="BT1656" s="2060"/>
      <c r="BU1656" s="2060"/>
      <c r="BV1656" s="2060"/>
      <c r="BW1656" s="2060"/>
      <c r="BX1656" s="2060"/>
      <c r="BY1656" s="2060"/>
      <c r="BZ1656" s="2060"/>
      <c r="CA1656" s="2060"/>
      <c r="CB1656" s="2060"/>
      <c r="CC1656" s="2060"/>
      <c r="CD1656" s="2060"/>
      <c r="CE1656" s="2060"/>
      <c r="CF1656" s="2060"/>
      <c r="CG1656" s="2060"/>
      <c r="CH1656" s="2060"/>
      <c r="CI1656" s="2060"/>
      <c r="CJ1656" s="2060"/>
      <c r="CK1656" s="2060"/>
      <c r="CL1656" s="2060"/>
      <c r="CM1656" s="2060"/>
      <c r="CN1656" s="2060"/>
      <c r="CO1656" s="2060"/>
      <c r="CP1656" s="2060"/>
      <c r="CQ1656" s="2060"/>
      <c r="CR1656" s="2060"/>
      <c r="CS1656" s="2060"/>
      <c r="CT1656" s="2060"/>
      <c r="CU1656" s="2060"/>
      <c r="CV1656" s="2060"/>
      <c r="CW1656" s="2060"/>
      <c r="CX1656" s="2060"/>
      <c r="CY1656" s="2060"/>
      <c r="CZ1656" s="2060"/>
      <c r="DA1656" s="2060"/>
      <c r="DB1656" s="2060"/>
      <c r="DC1656" s="2060"/>
      <c r="DD1656" s="2060"/>
      <c r="DE1656" s="2060"/>
      <c r="DF1656" s="2060"/>
      <c r="DG1656" s="2060"/>
      <c r="DH1656" s="2060"/>
      <c r="DI1656" s="2060"/>
      <c r="DJ1656" s="2060"/>
      <c r="DK1656" s="2060"/>
      <c r="DL1656" s="2060"/>
      <c r="DM1656" s="2060"/>
      <c r="DN1656" s="2060"/>
      <c r="DO1656" s="2060"/>
      <c r="DP1656" s="2060"/>
      <c r="DQ1656" s="2060"/>
      <c r="DR1656" s="2060"/>
      <c r="DS1656" s="2060"/>
      <c r="DT1656" s="2060"/>
      <c r="DU1656" s="2060"/>
      <c r="DV1656" s="2060"/>
      <c r="DW1656" s="2060"/>
      <c r="DX1656" s="2060"/>
      <c r="DY1656" s="2060"/>
      <c r="DZ1656" s="2060"/>
      <c r="EA1656" s="2060"/>
      <c r="EB1656" s="2060"/>
      <c r="EC1656" s="2060"/>
      <c r="ED1656" s="2060"/>
      <c r="EE1656" s="2060"/>
      <c r="EF1656" s="2060"/>
      <c r="EG1656" s="2060"/>
      <c r="EH1656" s="2060"/>
      <c r="EI1656" s="2060"/>
      <c r="EJ1656" s="2060"/>
      <c r="EK1656" s="2060"/>
      <c r="EL1656" s="2060"/>
      <c r="EM1656" s="2060"/>
      <c r="EN1656" s="2060"/>
      <c r="EO1656" s="2060"/>
      <c r="EP1656" s="2060"/>
      <c r="EQ1656" s="2060"/>
      <c r="ER1656" s="2060"/>
      <c r="ES1656" s="2060"/>
      <c r="ET1656" s="2060"/>
      <c r="EU1656" s="2060"/>
      <c r="EV1656" s="2060"/>
      <c r="EW1656" s="2060"/>
      <c r="EX1656" s="2060"/>
      <c r="EY1656" s="2060"/>
      <c r="EZ1656" s="2060"/>
      <c r="FA1656" s="2060"/>
      <c r="FB1656" s="2060"/>
      <c r="FC1656" s="2060"/>
      <c r="FD1656" s="2060"/>
      <c r="FE1656" s="2060"/>
      <c r="FF1656" s="2060"/>
      <c r="FG1656" s="2060"/>
      <c r="FH1656" s="2060"/>
      <c r="FI1656" s="2060"/>
      <c r="FJ1656" s="2060"/>
      <c r="FK1656" s="2060"/>
      <c r="FL1656" s="2060"/>
      <c r="FM1656" s="2060"/>
      <c r="FN1656" s="2060"/>
      <c r="FO1656" s="2060"/>
      <c r="FP1656" s="2060"/>
      <c r="FQ1656" s="2060"/>
      <c r="FR1656" s="2060"/>
      <c r="FS1656" s="2060"/>
      <c r="FT1656" s="2060"/>
      <c r="FU1656" s="2060"/>
      <c r="FV1656" s="2060"/>
      <c r="FW1656" s="2060"/>
      <c r="FX1656" s="2060"/>
      <c r="FY1656" s="2060"/>
      <c r="FZ1656" s="2060"/>
      <c r="GA1656" s="2060"/>
      <c r="GB1656" s="2060"/>
      <c r="GC1656" s="2060"/>
      <c r="GD1656" s="2060"/>
      <c r="GE1656" s="2060"/>
      <c r="GF1656" s="2060"/>
      <c r="GG1656" s="2060"/>
      <c r="GH1656" s="2060"/>
      <c r="GI1656" s="2060"/>
      <c r="GJ1656" s="2060"/>
      <c r="GK1656" s="2060"/>
      <c r="GL1656" s="2060"/>
      <c r="GM1656" s="2060"/>
      <c r="GN1656" s="2060"/>
      <c r="GO1656" s="2060"/>
      <c r="GP1656" s="2060"/>
      <c r="GQ1656" s="2060"/>
      <c r="GR1656" s="2060"/>
      <c r="GS1656" s="2060"/>
      <c r="GT1656" s="2060"/>
      <c r="GU1656" s="2060"/>
      <c r="GV1656" s="2060"/>
      <c r="GW1656" s="2060"/>
      <c r="GX1656" s="2060"/>
      <c r="GY1656" s="2060"/>
      <c r="GZ1656" s="2060"/>
      <c r="HA1656" s="2060"/>
      <c r="HB1656" s="2060"/>
      <c r="HC1656" s="2060"/>
      <c r="HD1656" s="2060"/>
      <c r="HE1656" s="2060"/>
      <c r="HF1656" s="2060"/>
      <c r="HG1656" s="2060"/>
      <c r="HH1656" s="2060"/>
      <c r="HI1656" s="2060"/>
      <c r="HJ1656" s="2060"/>
      <c r="HK1656" s="2060"/>
      <c r="HL1656" s="2060"/>
      <c r="HM1656" s="2060"/>
      <c r="HN1656" s="2060"/>
      <c r="HO1656" s="2060"/>
      <c r="HP1656" s="2060"/>
      <c r="HQ1656" s="2060"/>
      <c r="HR1656" s="2060"/>
      <c r="HS1656" s="2060"/>
      <c r="HT1656" s="2060"/>
      <c r="HU1656" s="2060"/>
      <c r="HV1656" s="2060"/>
      <c r="HW1656" s="2060"/>
      <c r="HX1656" s="2060"/>
      <c r="HY1656" s="2060"/>
      <c r="HZ1656" s="2060"/>
      <c r="IA1656" s="2060"/>
      <c r="IB1656" s="2060"/>
      <c r="IC1656" s="2060"/>
      <c r="ID1656" s="2060"/>
      <c r="IE1656" s="2060"/>
      <c r="IF1656" s="2060"/>
      <c r="IG1656" s="2060"/>
      <c r="IH1656" s="2060"/>
      <c r="II1656" s="2060"/>
      <c r="IJ1656" s="2060"/>
      <c r="IK1656" s="2060"/>
      <c r="IL1656" s="2060"/>
      <c r="IM1656" s="2060"/>
      <c r="IN1656" s="2060"/>
      <c r="IO1656" s="2060"/>
      <c r="IP1656" s="2060"/>
      <c r="IQ1656" s="2060"/>
      <c r="IR1656" s="2060"/>
      <c r="IS1656" s="2060"/>
      <c r="IT1656" s="2060"/>
      <c r="IU1656" s="2060"/>
      <c r="IV1656" s="2060"/>
      <c r="IW1656" s="2060"/>
      <c r="IX1656" s="2060"/>
      <c r="IY1656" s="2060"/>
      <c r="IZ1656" s="2060"/>
      <c r="JA1656" s="2060"/>
      <c r="JB1656" s="2060"/>
      <c r="JC1656" s="2060"/>
      <c r="JD1656" s="2060"/>
      <c r="JE1656" s="2060"/>
      <c r="JF1656" s="2060"/>
      <c r="JG1656" s="2060"/>
      <c r="JH1656" s="2060"/>
      <c r="JI1656" s="2060"/>
      <c r="JJ1656" s="2060"/>
      <c r="JK1656" s="2060"/>
      <c r="JL1656" s="2060"/>
      <c r="JM1656" s="2060"/>
      <c r="JN1656" s="2060"/>
      <c r="JO1656" s="2060"/>
      <c r="JP1656" s="2060"/>
      <c r="JQ1656" s="2060"/>
      <c r="JR1656" s="2060"/>
      <c r="JS1656" s="2060"/>
      <c r="JT1656" s="2060"/>
      <c r="JU1656" s="2060"/>
      <c r="JV1656" s="2060"/>
      <c r="JW1656" s="2060"/>
      <c r="JX1656" s="2060"/>
      <c r="JY1656" s="2060"/>
      <c r="JZ1656" s="2060"/>
      <c r="KA1656" s="2060"/>
      <c r="KB1656" s="2060"/>
      <c r="KC1656" s="2060"/>
      <c r="KD1656" s="2060"/>
      <c r="KE1656" s="2060"/>
      <c r="KF1656" s="2060"/>
      <c r="KG1656" s="2060"/>
      <c r="KH1656" s="2060"/>
      <c r="KI1656" s="2060"/>
      <c r="KJ1656" s="2060"/>
      <c r="KK1656" s="2060"/>
      <c r="KL1656" s="2060"/>
      <c r="KM1656" s="2060"/>
      <c r="KN1656" s="2060"/>
      <c r="KO1656" s="2060"/>
      <c r="KP1656" s="2060"/>
      <c r="KQ1656" s="2060"/>
      <c r="KR1656" s="2060"/>
      <c r="KS1656" s="2060"/>
      <c r="KT1656" s="2060"/>
      <c r="KU1656" s="2060"/>
      <c r="KV1656" s="2060"/>
      <c r="KW1656" s="2060"/>
      <c r="KX1656" s="2060"/>
      <c r="KY1656" s="2060"/>
      <c r="KZ1656" s="2060"/>
      <c r="LA1656" s="2060"/>
      <c r="LB1656" s="2060"/>
      <c r="LC1656" s="2060"/>
      <c r="LD1656" s="2060"/>
      <c r="LE1656" s="2060"/>
      <c r="LF1656" s="2060"/>
      <c r="LG1656" s="2060"/>
      <c r="LH1656" s="2060"/>
    </row>
    <row r="1657" spans="1:320" s="449" customFormat="1" ht="13.9">
      <c r="A1657" s="269" t="str">
        <f t="shared" si="442"/>
        <v>n</v>
      </c>
      <c r="B1657" s="2060"/>
      <c r="C1657" s="2060"/>
      <c r="D1657" s="2060"/>
      <c r="E1657" s="1661">
        <v>12</v>
      </c>
      <c r="F1657" s="1353" t="str">
        <f>F$140</f>
        <v>--</v>
      </c>
      <c r="G1657" s="128">
        <f>G$140</f>
        <v>0</v>
      </c>
      <c r="H1657" s="128" t="str">
        <f>H$140</f>
        <v>--</v>
      </c>
      <c r="I1657" s="89" t="s">
        <v>786</v>
      </c>
      <c r="J1657" s="2197" t="str">
        <f>IF($G1657=0,"",IFERROR(_xll.ciqfunctions.udf.CIQ($G1657,$I1657,J$1557,Valuation_Date_GC,ReportType,DataMode,$H1657,FXMode)*Scale,"n/a"))</f>
        <v/>
      </c>
      <c r="K1657" s="2197" t="str">
        <f>IF($G1657=0,"",IFERROR(_xll.ciqfunctions.udf.CIQ($G1657,$I1657,K$1557,Valuation_Date_GC,ReportType,DataMode,$H1657,FXMode)*Scale,"n/a"))</f>
        <v/>
      </c>
      <c r="L1657" s="2197" t="str">
        <f>IF($G1657=0,"",IFERROR(_xll.ciqfunctions.udf.CIQ($G1657,$I1657,L$1557,Valuation_Date_GC,ReportType,DataMode,$H1657,FXMode)*Scale,"n/a"))</f>
        <v/>
      </c>
      <c r="M1657" s="2197" t="str">
        <f>IF($G1657=0,"",IFERROR(_xll.ciqfunctions.udf.CIQ($G1657,$I1657,M$1557,Valuation_Date_GC,ReportType,DataMode,$H1657,FXMode)*Scale,"n/a"))</f>
        <v/>
      </c>
      <c r="N1657" s="2197" t="str">
        <f>IF($G1657=0,"",IFERROR(_xll.ciqfunctions.udf.CIQ($G1657,$I1657,N$1557,Valuation_Date_GC,ReportType,DataMode,$H1657,FXMode)*Scale,"n/a"))</f>
        <v/>
      </c>
      <c r="O1657" s="2197" t="str">
        <f>IF($G1657=0,"",IFERROR(_xll.ciqfunctions.udf.CIQ($G1657,$I1657,O$1557,Valuation_Date_GC,ReportType,DataMode,$H1657,FXMode)*Scale,"n/a"))</f>
        <v/>
      </c>
      <c r="P1657" s="2197" t="str">
        <f>IF($G1657=0,"",IFERROR(_xll.ciqfunctions.udf.CIQ($G1657,$I1657,P$1557,Valuation_Date_GC,ReportType,DataMode,$H1657,FXMode)*Scale,"n/a"))</f>
        <v/>
      </c>
      <c r="Q1657" s="2197" t="str">
        <f>IF($G1657=0,"",IFERROR(_xll.ciqfunctions.udf.CIQ($G1657,$I1657,Q$1557,Valuation_Date_GC,ReportType,DataMode,$H1657,FXMode)*Scale,"n/a"))</f>
        <v/>
      </c>
      <c r="R1657" s="2197" t="str">
        <f>IF($G1657=0,"",IFERROR(_xll.ciqfunctions.udf.CIQ($G1657,$I1657,R$1557,Valuation_Date_GC,ReportType,DataMode,$H1657,FXMode)*Scale,"n/a"))</f>
        <v/>
      </c>
      <c r="S1657" s="2197" t="str">
        <f>IF($G1657=0,"",IFERROR(_xll.ciqfunctions.udf.CIQ($G1657,$I1657,S$1557,Valuation_Date_GC,ReportType,DataMode,$H1657,FXMode)*Scale,"n/a"))</f>
        <v/>
      </c>
      <c r="T1657" s="2197" t="str">
        <f>IF($G1657=0,"",IFERROR(_xll.ciqfunctions.udf.CIQ($G1657,$I1657,T$1557,Valuation_Date_GC,ReportType,DataMode,$H1657,FXMode)*Scale,"n/a"))</f>
        <v/>
      </c>
      <c r="U1657" s="2197" t="str">
        <f>IF($G1657=0,"",IFERROR(_xll.ciqfunctions.udf.CIQ($G1657,$I1657,U$1557,Valuation_Date_GC,ReportType,DataMode,$H1657,FXMode)*Scale,"n/a"))</f>
        <v/>
      </c>
      <c r="V1657" s="2197" t="str">
        <f>IF($G1657=0,"",IFERROR(_xll.ciqfunctions.udf.CIQ($G1657,$I1657,V$1557,Valuation_Date_GC,ReportType,DataMode,$H1657,FXMode)*Scale,"n/a"))</f>
        <v/>
      </c>
      <c r="W1657" s="1479"/>
      <c r="X1657" s="255"/>
      <c r="Y1657" s="255"/>
      <c r="Z1657" s="2060"/>
      <c r="AA1657" s="2060"/>
      <c r="AB1657" s="2060"/>
      <c r="AC1657" s="2060"/>
      <c r="AD1657" s="2060"/>
      <c r="AE1657" s="2060"/>
      <c r="AF1657" s="2060"/>
      <c r="AG1657" s="2060"/>
      <c r="AH1657" s="2060"/>
      <c r="AI1657" s="2060"/>
      <c r="AJ1657" s="2060"/>
      <c r="AK1657" s="2060"/>
      <c r="AL1657" s="2060"/>
      <c r="AM1657" s="2060"/>
      <c r="AN1657" s="2060"/>
      <c r="AO1657" s="2060"/>
      <c r="AP1657" s="2060"/>
      <c r="AQ1657" s="2060"/>
      <c r="AR1657" s="2060"/>
      <c r="AS1657" s="2060"/>
      <c r="AT1657" s="2060"/>
      <c r="AU1657" s="2060"/>
      <c r="AV1657" s="2060"/>
      <c r="AW1657" s="2060"/>
      <c r="AX1657" s="2060"/>
      <c r="AY1657" s="2060"/>
      <c r="AZ1657" s="2060"/>
      <c r="BA1657" s="2060"/>
      <c r="BB1657" s="2060"/>
      <c r="BC1657" s="2060"/>
      <c r="BD1657" s="2060"/>
      <c r="BE1657" s="2060"/>
      <c r="BF1657" s="2060"/>
      <c r="BG1657" s="2060"/>
      <c r="BH1657" s="2060"/>
      <c r="BI1657" s="2060"/>
      <c r="BJ1657" s="2060"/>
      <c r="BK1657" s="2060"/>
      <c r="BL1657" s="2060"/>
      <c r="BM1657" s="2060"/>
      <c r="BN1657" s="2060"/>
      <c r="BO1657" s="2060"/>
      <c r="BP1657" s="2060"/>
      <c r="BQ1657" s="2060"/>
      <c r="BR1657" s="2060"/>
      <c r="BS1657" s="2060"/>
      <c r="BT1657" s="2060"/>
      <c r="BU1657" s="2060"/>
      <c r="BV1657" s="2060"/>
      <c r="BW1657" s="2060"/>
      <c r="BX1657" s="2060"/>
      <c r="BY1657" s="2060"/>
      <c r="BZ1657" s="2060"/>
      <c r="CA1657" s="2060"/>
      <c r="CB1657" s="2060"/>
      <c r="CC1657" s="2060"/>
      <c r="CD1657" s="2060"/>
      <c r="CE1657" s="2060"/>
      <c r="CF1657" s="2060"/>
      <c r="CG1657" s="2060"/>
      <c r="CH1657" s="2060"/>
      <c r="CI1657" s="2060"/>
      <c r="CJ1657" s="2060"/>
      <c r="CK1657" s="2060"/>
      <c r="CL1657" s="2060"/>
      <c r="CM1657" s="2060"/>
      <c r="CN1657" s="2060"/>
      <c r="CO1657" s="2060"/>
      <c r="CP1657" s="2060"/>
      <c r="CQ1657" s="2060"/>
      <c r="CR1657" s="2060"/>
      <c r="CS1657" s="2060"/>
      <c r="CT1657" s="2060"/>
      <c r="CU1657" s="2060"/>
      <c r="CV1657" s="2060"/>
      <c r="CW1657" s="2060"/>
      <c r="CX1657" s="2060"/>
      <c r="CY1657" s="2060"/>
      <c r="CZ1657" s="2060"/>
      <c r="DA1657" s="2060"/>
      <c r="DB1657" s="2060"/>
      <c r="DC1657" s="2060"/>
      <c r="DD1657" s="2060"/>
      <c r="DE1657" s="2060"/>
      <c r="DF1657" s="2060"/>
      <c r="DG1657" s="2060"/>
      <c r="DH1657" s="2060"/>
      <c r="DI1657" s="2060"/>
      <c r="DJ1657" s="2060"/>
      <c r="DK1657" s="2060"/>
      <c r="DL1657" s="2060"/>
      <c r="DM1657" s="2060"/>
      <c r="DN1657" s="2060"/>
      <c r="DO1657" s="2060"/>
      <c r="DP1657" s="2060"/>
      <c r="DQ1657" s="2060"/>
      <c r="DR1657" s="2060"/>
      <c r="DS1657" s="2060"/>
      <c r="DT1657" s="2060"/>
      <c r="DU1657" s="2060"/>
      <c r="DV1657" s="2060"/>
      <c r="DW1657" s="2060"/>
      <c r="DX1657" s="2060"/>
      <c r="DY1657" s="2060"/>
      <c r="DZ1657" s="2060"/>
      <c r="EA1657" s="2060"/>
      <c r="EB1657" s="2060"/>
      <c r="EC1657" s="2060"/>
      <c r="ED1657" s="2060"/>
      <c r="EE1657" s="2060"/>
      <c r="EF1657" s="2060"/>
      <c r="EG1657" s="2060"/>
      <c r="EH1657" s="2060"/>
      <c r="EI1657" s="2060"/>
      <c r="EJ1657" s="2060"/>
      <c r="EK1657" s="2060"/>
      <c r="EL1657" s="2060"/>
      <c r="EM1657" s="2060"/>
      <c r="EN1657" s="2060"/>
      <c r="EO1657" s="2060"/>
      <c r="EP1657" s="2060"/>
      <c r="EQ1657" s="2060"/>
      <c r="ER1657" s="2060"/>
      <c r="ES1657" s="2060"/>
      <c r="ET1657" s="2060"/>
      <c r="EU1657" s="2060"/>
      <c r="EV1657" s="2060"/>
      <c r="EW1657" s="2060"/>
      <c r="EX1657" s="2060"/>
      <c r="EY1657" s="2060"/>
      <c r="EZ1657" s="2060"/>
      <c r="FA1657" s="2060"/>
      <c r="FB1657" s="2060"/>
      <c r="FC1657" s="2060"/>
      <c r="FD1657" s="2060"/>
      <c r="FE1657" s="2060"/>
      <c r="FF1657" s="2060"/>
      <c r="FG1657" s="2060"/>
      <c r="FH1657" s="2060"/>
      <c r="FI1657" s="2060"/>
      <c r="FJ1657" s="2060"/>
      <c r="FK1657" s="2060"/>
      <c r="FL1657" s="2060"/>
      <c r="FM1657" s="2060"/>
      <c r="FN1657" s="2060"/>
      <c r="FO1657" s="2060"/>
      <c r="FP1657" s="2060"/>
      <c r="FQ1657" s="2060"/>
      <c r="FR1657" s="2060"/>
      <c r="FS1657" s="2060"/>
      <c r="FT1657" s="2060"/>
      <c r="FU1657" s="2060"/>
      <c r="FV1657" s="2060"/>
      <c r="FW1657" s="2060"/>
      <c r="FX1657" s="2060"/>
      <c r="FY1657" s="2060"/>
      <c r="FZ1657" s="2060"/>
      <c r="GA1657" s="2060"/>
      <c r="GB1657" s="2060"/>
      <c r="GC1657" s="2060"/>
      <c r="GD1657" s="2060"/>
      <c r="GE1657" s="2060"/>
      <c r="GF1657" s="2060"/>
      <c r="GG1657" s="2060"/>
      <c r="GH1657" s="2060"/>
      <c r="GI1657" s="2060"/>
      <c r="GJ1657" s="2060"/>
      <c r="GK1657" s="2060"/>
      <c r="GL1657" s="2060"/>
      <c r="GM1657" s="2060"/>
      <c r="GN1657" s="2060"/>
      <c r="GO1657" s="2060"/>
      <c r="GP1657" s="2060"/>
      <c r="GQ1657" s="2060"/>
      <c r="GR1657" s="2060"/>
      <c r="GS1657" s="2060"/>
      <c r="GT1657" s="2060"/>
      <c r="GU1657" s="2060"/>
      <c r="GV1657" s="2060"/>
      <c r="GW1657" s="2060"/>
      <c r="GX1657" s="2060"/>
      <c r="GY1657" s="2060"/>
      <c r="GZ1657" s="2060"/>
      <c r="HA1657" s="2060"/>
      <c r="HB1657" s="2060"/>
      <c r="HC1657" s="2060"/>
      <c r="HD1657" s="2060"/>
      <c r="HE1657" s="2060"/>
      <c r="HF1657" s="2060"/>
      <c r="HG1657" s="2060"/>
      <c r="HH1657" s="2060"/>
      <c r="HI1657" s="2060"/>
      <c r="HJ1657" s="2060"/>
      <c r="HK1657" s="2060"/>
      <c r="HL1657" s="2060"/>
      <c r="HM1657" s="2060"/>
      <c r="HN1657" s="2060"/>
      <c r="HO1657" s="2060"/>
      <c r="HP1657" s="2060"/>
      <c r="HQ1657" s="2060"/>
      <c r="HR1657" s="2060"/>
      <c r="HS1657" s="2060"/>
      <c r="HT1657" s="2060"/>
      <c r="HU1657" s="2060"/>
      <c r="HV1657" s="2060"/>
      <c r="HW1657" s="2060"/>
      <c r="HX1657" s="2060"/>
      <c r="HY1657" s="2060"/>
      <c r="HZ1657" s="2060"/>
      <c r="IA1657" s="2060"/>
      <c r="IB1657" s="2060"/>
      <c r="IC1657" s="2060"/>
      <c r="ID1657" s="2060"/>
      <c r="IE1657" s="2060"/>
      <c r="IF1657" s="2060"/>
      <c r="IG1657" s="2060"/>
      <c r="IH1657" s="2060"/>
      <c r="II1657" s="2060"/>
      <c r="IJ1657" s="2060"/>
      <c r="IK1657" s="2060"/>
      <c r="IL1657" s="2060"/>
      <c r="IM1657" s="2060"/>
      <c r="IN1657" s="2060"/>
      <c r="IO1657" s="2060"/>
      <c r="IP1657" s="2060"/>
      <c r="IQ1657" s="2060"/>
      <c r="IR1657" s="2060"/>
      <c r="IS1657" s="2060"/>
      <c r="IT1657" s="2060"/>
      <c r="IU1657" s="2060"/>
      <c r="IV1657" s="2060"/>
      <c r="IW1657" s="2060"/>
      <c r="IX1657" s="2060"/>
      <c r="IY1657" s="2060"/>
      <c r="IZ1657" s="2060"/>
      <c r="JA1657" s="2060"/>
      <c r="JB1657" s="2060"/>
      <c r="JC1657" s="2060"/>
      <c r="JD1657" s="2060"/>
      <c r="JE1657" s="2060"/>
      <c r="JF1657" s="2060"/>
      <c r="JG1657" s="2060"/>
      <c r="JH1657" s="2060"/>
      <c r="JI1657" s="2060"/>
      <c r="JJ1657" s="2060"/>
      <c r="JK1657" s="2060"/>
      <c r="JL1657" s="2060"/>
      <c r="JM1657" s="2060"/>
      <c r="JN1657" s="2060"/>
      <c r="JO1657" s="2060"/>
      <c r="JP1657" s="2060"/>
      <c r="JQ1657" s="2060"/>
      <c r="JR1657" s="2060"/>
      <c r="JS1657" s="2060"/>
      <c r="JT1657" s="2060"/>
      <c r="JU1657" s="2060"/>
      <c r="JV1657" s="2060"/>
      <c r="JW1657" s="2060"/>
      <c r="JX1657" s="2060"/>
      <c r="JY1657" s="2060"/>
      <c r="JZ1657" s="2060"/>
      <c r="KA1657" s="2060"/>
      <c r="KB1657" s="2060"/>
      <c r="KC1657" s="2060"/>
      <c r="KD1657" s="2060"/>
      <c r="KE1657" s="2060"/>
      <c r="KF1657" s="2060"/>
      <c r="KG1657" s="2060"/>
      <c r="KH1657" s="2060"/>
      <c r="KI1657" s="2060"/>
      <c r="KJ1657" s="2060"/>
      <c r="KK1657" s="2060"/>
      <c r="KL1657" s="2060"/>
      <c r="KM1657" s="2060"/>
      <c r="KN1657" s="2060"/>
      <c r="KO1657" s="2060"/>
      <c r="KP1657" s="2060"/>
      <c r="KQ1657" s="2060"/>
      <c r="KR1657" s="2060"/>
      <c r="KS1657" s="2060"/>
      <c r="KT1657" s="2060"/>
      <c r="KU1657" s="2060"/>
      <c r="KV1657" s="2060"/>
      <c r="KW1657" s="2060"/>
      <c r="KX1657" s="2060"/>
      <c r="KY1657" s="2060"/>
      <c r="KZ1657" s="2060"/>
      <c r="LA1657" s="2060"/>
      <c r="LB1657" s="2060"/>
      <c r="LC1657" s="2060"/>
      <c r="LD1657" s="2060"/>
      <c r="LE1657" s="2060"/>
      <c r="LF1657" s="2060"/>
      <c r="LG1657" s="2060"/>
      <c r="LH1657" s="2060"/>
    </row>
    <row r="1658" spans="1:320" s="449" customFormat="1" ht="13.9">
      <c r="A1658" s="269" t="str">
        <f t="shared" si="442"/>
        <v>n</v>
      </c>
      <c r="B1658" s="2060"/>
      <c r="C1658" s="2060"/>
      <c r="D1658" s="2060"/>
      <c r="E1658" s="1661">
        <v>13</v>
      </c>
      <c r="F1658" s="1353" t="str">
        <f>F$141</f>
        <v>--</v>
      </c>
      <c r="G1658" s="128">
        <f>G$141</f>
        <v>0</v>
      </c>
      <c r="H1658" s="128" t="str">
        <f>H$141</f>
        <v>--</v>
      </c>
      <c r="I1658" s="89" t="s">
        <v>786</v>
      </c>
      <c r="J1658" s="2197" t="str">
        <f>IF($G1658=0,"",IFERROR(_xll.ciqfunctions.udf.CIQ($G1658,$I1658,J$1557,Valuation_Date_GC,ReportType,DataMode,$H1658,FXMode)*Scale,"n/a"))</f>
        <v/>
      </c>
      <c r="K1658" s="2197" t="str">
        <f>IF($G1658=0,"",IFERROR(_xll.ciqfunctions.udf.CIQ($G1658,$I1658,K$1557,Valuation_Date_GC,ReportType,DataMode,$H1658,FXMode)*Scale,"n/a"))</f>
        <v/>
      </c>
      <c r="L1658" s="2197" t="str">
        <f>IF($G1658=0,"",IFERROR(_xll.ciqfunctions.udf.CIQ($G1658,$I1658,L$1557,Valuation_Date_GC,ReportType,DataMode,$H1658,FXMode)*Scale,"n/a"))</f>
        <v/>
      </c>
      <c r="M1658" s="2197" t="str">
        <f>IF($G1658=0,"",IFERROR(_xll.ciqfunctions.udf.CIQ($G1658,$I1658,M$1557,Valuation_Date_GC,ReportType,DataMode,$H1658,FXMode)*Scale,"n/a"))</f>
        <v/>
      </c>
      <c r="N1658" s="2197" t="str">
        <f>IF($G1658=0,"",IFERROR(_xll.ciqfunctions.udf.CIQ($G1658,$I1658,N$1557,Valuation_Date_GC,ReportType,DataMode,$H1658,FXMode)*Scale,"n/a"))</f>
        <v/>
      </c>
      <c r="O1658" s="2197" t="str">
        <f>IF($G1658=0,"",IFERROR(_xll.ciqfunctions.udf.CIQ($G1658,$I1658,O$1557,Valuation_Date_GC,ReportType,DataMode,$H1658,FXMode)*Scale,"n/a"))</f>
        <v/>
      </c>
      <c r="P1658" s="2197" t="str">
        <f>IF($G1658=0,"",IFERROR(_xll.ciqfunctions.udf.CIQ($G1658,$I1658,P$1557,Valuation_Date_GC,ReportType,DataMode,$H1658,FXMode)*Scale,"n/a"))</f>
        <v/>
      </c>
      <c r="Q1658" s="2197" t="str">
        <f>IF($G1658=0,"",IFERROR(_xll.ciqfunctions.udf.CIQ($G1658,$I1658,Q$1557,Valuation_Date_GC,ReportType,DataMode,$H1658,FXMode)*Scale,"n/a"))</f>
        <v/>
      </c>
      <c r="R1658" s="2197" t="str">
        <f>IF($G1658=0,"",IFERROR(_xll.ciqfunctions.udf.CIQ($G1658,$I1658,R$1557,Valuation_Date_GC,ReportType,DataMode,$H1658,FXMode)*Scale,"n/a"))</f>
        <v/>
      </c>
      <c r="S1658" s="2197" t="str">
        <f>IF($G1658=0,"",IFERROR(_xll.ciqfunctions.udf.CIQ($G1658,$I1658,S$1557,Valuation_Date_GC,ReportType,DataMode,$H1658,FXMode)*Scale,"n/a"))</f>
        <v/>
      </c>
      <c r="T1658" s="2197" t="str">
        <f>IF($G1658=0,"",IFERROR(_xll.ciqfunctions.udf.CIQ($G1658,$I1658,T$1557,Valuation_Date_GC,ReportType,DataMode,$H1658,FXMode)*Scale,"n/a"))</f>
        <v/>
      </c>
      <c r="U1658" s="2197" t="str">
        <f>IF($G1658=0,"",IFERROR(_xll.ciqfunctions.udf.CIQ($G1658,$I1658,U$1557,Valuation_Date_GC,ReportType,DataMode,$H1658,FXMode)*Scale,"n/a"))</f>
        <v/>
      </c>
      <c r="V1658" s="2197" t="str">
        <f>IF($G1658=0,"",IFERROR(_xll.ciqfunctions.udf.CIQ($G1658,$I1658,V$1557,Valuation_Date_GC,ReportType,DataMode,$H1658,FXMode)*Scale,"n/a"))</f>
        <v/>
      </c>
      <c r="W1658" s="1479"/>
      <c r="X1658" s="255"/>
      <c r="Y1658" s="255"/>
      <c r="Z1658" s="2060"/>
      <c r="AA1658" s="2060"/>
      <c r="AB1658" s="2060"/>
      <c r="AC1658" s="2060"/>
      <c r="AD1658" s="2060"/>
      <c r="AE1658" s="2060"/>
      <c r="AF1658" s="2060"/>
      <c r="AG1658" s="2060"/>
      <c r="AH1658" s="2060"/>
      <c r="AI1658" s="2060"/>
      <c r="AJ1658" s="2060"/>
      <c r="AK1658" s="2060"/>
      <c r="AL1658" s="2060"/>
      <c r="AM1658" s="2060"/>
      <c r="AN1658" s="2060"/>
      <c r="AO1658" s="2060"/>
      <c r="AP1658" s="2060"/>
      <c r="AQ1658" s="2060"/>
      <c r="AR1658" s="2060"/>
      <c r="AS1658" s="2060"/>
      <c r="AT1658" s="2060"/>
      <c r="AU1658" s="2060"/>
      <c r="AV1658" s="2060"/>
      <c r="AW1658" s="2060"/>
      <c r="AX1658" s="2060"/>
      <c r="AY1658" s="2060"/>
      <c r="AZ1658" s="2060"/>
      <c r="BA1658" s="2060"/>
      <c r="BB1658" s="2060"/>
      <c r="BC1658" s="2060"/>
      <c r="BD1658" s="2060"/>
      <c r="BE1658" s="2060"/>
      <c r="BF1658" s="2060"/>
      <c r="BG1658" s="2060"/>
      <c r="BH1658" s="2060"/>
      <c r="BI1658" s="2060"/>
      <c r="BJ1658" s="2060"/>
      <c r="BK1658" s="2060"/>
      <c r="BL1658" s="2060"/>
      <c r="BM1658" s="2060"/>
      <c r="BN1658" s="2060"/>
      <c r="BO1658" s="2060"/>
      <c r="BP1658" s="2060"/>
      <c r="BQ1658" s="2060"/>
      <c r="BR1658" s="2060"/>
      <c r="BS1658" s="2060"/>
      <c r="BT1658" s="2060"/>
      <c r="BU1658" s="2060"/>
      <c r="BV1658" s="2060"/>
      <c r="BW1658" s="2060"/>
      <c r="BX1658" s="2060"/>
      <c r="BY1658" s="2060"/>
      <c r="BZ1658" s="2060"/>
      <c r="CA1658" s="2060"/>
      <c r="CB1658" s="2060"/>
      <c r="CC1658" s="2060"/>
      <c r="CD1658" s="2060"/>
      <c r="CE1658" s="2060"/>
      <c r="CF1658" s="2060"/>
      <c r="CG1658" s="2060"/>
      <c r="CH1658" s="2060"/>
      <c r="CI1658" s="2060"/>
      <c r="CJ1658" s="2060"/>
      <c r="CK1658" s="2060"/>
      <c r="CL1658" s="2060"/>
      <c r="CM1658" s="2060"/>
      <c r="CN1658" s="2060"/>
      <c r="CO1658" s="2060"/>
      <c r="CP1658" s="2060"/>
      <c r="CQ1658" s="2060"/>
      <c r="CR1658" s="2060"/>
      <c r="CS1658" s="2060"/>
      <c r="CT1658" s="2060"/>
      <c r="CU1658" s="2060"/>
      <c r="CV1658" s="2060"/>
      <c r="CW1658" s="2060"/>
      <c r="CX1658" s="2060"/>
      <c r="CY1658" s="2060"/>
      <c r="CZ1658" s="2060"/>
      <c r="DA1658" s="2060"/>
      <c r="DB1658" s="2060"/>
      <c r="DC1658" s="2060"/>
      <c r="DD1658" s="2060"/>
      <c r="DE1658" s="2060"/>
      <c r="DF1658" s="2060"/>
      <c r="DG1658" s="2060"/>
      <c r="DH1658" s="2060"/>
      <c r="DI1658" s="2060"/>
      <c r="DJ1658" s="2060"/>
      <c r="DK1658" s="2060"/>
      <c r="DL1658" s="2060"/>
      <c r="DM1658" s="2060"/>
      <c r="DN1658" s="2060"/>
      <c r="DO1658" s="2060"/>
      <c r="DP1658" s="2060"/>
      <c r="DQ1658" s="2060"/>
      <c r="DR1658" s="2060"/>
      <c r="DS1658" s="2060"/>
      <c r="DT1658" s="2060"/>
      <c r="DU1658" s="2060"/>
      <c r="DV1658" s="2060"/>
      <c r="DW1658" s="2060"/>
      <c r="DX1658" s="2060"/>
      <c r="DY1658" s="2060"/>
      <c r="DZ1658" s="2060"/>
      <c r="EA1658" s="2060"/>
      <c r="EB1658" s="2060"/>
      <c r="EC1658" s="2060"/>
      <c r="ED1658" s="2060"/>
      <c r="EE1658" s="2060"/>
      <c r="EF1658" s="2060"/>
      <c r="EG1658" s="2060"/>
      <c r="EH1658" s="2060"/>
      <c r="EI1658" s="2060"/>
      <c r="EJ1658" s="2060"/>
      <c r="EK1658" s="2060"/>
      <c r="EL1658" s="2060"/>
      <c r="EM1658" s="2060"/>
      <c r="EN1658" s="2060"/>
      <c r="EO1658" s="2060"/>
      <c r="EP1658" s="2060"/>
      <c r="EQ1658" s="2060"/>
      <c r="ER1658" s="2060"/>
      <c r="ES1658" s="2060"/>
      <c r="ET1658" s="2060"/>
      <c r="EU1658" s="2060"/>
      <c r="EV1658" s="2060"/>
      <c r="EW1658" s="2060"/>
      <c r="EX1658" s="2060"/>
      <c r="EY1658" s="2060"/>
      <c r="EZ1658" s="2060"/>
      <c r="FA1658" s="2060"/>
      <c r="FB1658" s="2060"/>
      <c r="FC1658" s="2060"/>
      <c r="FD1658" s="2060"/>
      <c r="FE1658" s="2060"/>
      <c r="FF1658" s="2060"/>
      <c r="FG1658" s="2060"/>
      <c r="FH1658" s="2060"/>
      <c r="FI1658" s="2060"/>
      <c r="FJ1658" s="2060"/>
      <c r="FK1658" s="2060"/>
      <c r="FL1658" s="2060"/>
      <c r="FM1658" s="2060"/>
      <c r="FN1658" s="2060"/>
      <c r="FO1658" s="2060"/>
      <c r="FP1658" s="2060"/>
      <c r="FQ1658" s="2060"/>
      <c r="FR1658" s="2060"/>
      <c r="FS1658" s="2060"/>
      <c r="FT1658" s="2060"/>
      <c r="FU1658" s="2060"/>
      <c r="FV1658" s="2060"/>
      <c r="FW1658" s="2060"/>
      <c r="FX1658" s="2060"/>
      <c r="FY1658" s="2060"/>
      <c r="FZ1658" s="2060"/>
      <c r="GA1658" s="2060"/>
      <c r="GB1658" s="2060"/>
      <c r="GC1658" s="2060"/>
      <c r="GD1658" s="2060"/>
      <c r="GE1658" s="2060"/>
      <c r="GF1658" s="2060"/>
      <c r="GG1658" s="2060"/>
      <c r="GH1658" s="2060"/>
      <c r="GI1658" s="2060"/>
      <c r="GJ1658" s="2060"/>
      <c r="GK1658" s="2060"/>
      <c r="GL1658" s="2060"/>
      <c r="GM1658" s="2060"/>
      <c r="GN1658" s="2060"/>
      <c r="GO1658" s="2060"/>
      <c r="GP1658" s="2060"/>
      <c r="GQ1658" s="2060"/>
      <c r="GR1658" s="2060"/>
      <c r="GS1658" s="2060"/>
      <c r="GT1658" s="2060"/>
      <c r="GU1658" s="2060"/>
      <c r="GV1658" s="2060"/>
      <c r="GW1658" s="2060"/>
      <c r="GX1658" s="2060"/>
      <c r="GY1658" s="2060"/>
      <c r="GZ1658" s="2060"/>
      <c r="HA1658" s="2060"/>
      <c r="HB1658" s="2060"/>
      <c r="HC1658" s="2060"/>
      <c r="HD1658" s="2060"/>
      <c r="HE1658" s="2060"/>
      <c r="HF1658" s="2060"/>
      <c r="HG1658" s="2060"/>
      <c r="HH1658" s="2060"/>
      <c r="HI1658" s="2060"/>
      <c r="HJ1658" s="2060"/>
      <c r="HK1658" s="2060"/>
      <c r="HL1658" s="2060"/>
      <c r="HM1658" s="2060"/>
      <c r="HN1658" s="2060"/>
      <c r="HO1658" s="2060"/>
      <c r="HP1658" s="2060"/>
      <c r="HQ1658" s="2060"/>
      <c r="HR1658" s="2060"/>
      <c r="HS1658" s="2060"/>
      <c r="HT1658" s="2060"/>
      <c r="HU1658" s="2060"/>
      <c r="HV1658" s="2060"/>
      <c r="HW1658" s="2060"/>
      <c r="HX1658" s="2060"/>
      <c r="HY1658" s="2060"/>
      <c r="HZ1658" s="2060"/>
      <c r="IA1658" s="2060"/>
      <c r="IB1658" s="2060"/>
      <c r="IC1658" s="2060"/>
      <c r="ID1658" s="2060"/>
      <c r="IE1658" s="2060"/>
      <c r="IF1658" s="2060"/>
      <c r="IG1658" s="2060"/>
      <c r="IH1658" s="2060"/>
      <c r="II1658" s="2060"/>
      <c r="IJ1658" s="2060"/>
      <c r="IK1658" s="2060"/>
      <c r="IL1658" s="2060"/>
      <c r="IM1658" s="2060"/>
      <c r="IN1658" s="2060"/>
      <c r="IO1658" s="2060"/>
      <c r="IP1658" s="2060"/>
      <c r="IQ1658" s="2060"/>
      <c r="IR1658" s="2060"/>
      <c r="IS1658" s="2060"/>
      <c r="IT1658" s="2060"/>
      <c r="IU1658" s="2060"/>
      <c r="IV1658" s="2060"/>
      <c r="IW1658" s="2060"/>
      <c r="IX1658" s="2060"/>
      <c r="IY1658" s="2060"/>
      <c r="IZ1658" s="2060"/>
      <c r="JA1658" s="2060"/>
      <c r="JB1658" s="2060"/>
      <c r="JC1658" s="2060"/>
      <c r="JD1658" s="2060"/>
      <c r="JE1658" s="2060"/>
      <c r="JF1658" s="2060"/>
      <c r="JG1658" s="2060"/>
      <c r="JH1658" s="2060"/>
      <c r="JI1658" s="2060"/>
      <c r="JJ1658" s="2060"/>
      <c r="JK1658" s="2060"/>
      <c r="JL1658" s="2060"/>
      <c r="JM1658" s="2060"/>
      <c r="JN1658" s="2060"/>
      <c r="JO1658" s="2060"/>
      <c r="JP1658" s="2060"/>
      <c r="JQ1658" s="2060"/>
      <c r="JR1658" s="2060"/>
      <c r="JS1658" s="2060"/>
      <c r="JT1658" s="2060"/>
      <c r="JU1658" s="2060"/>
      <c r="JV1658" s="2060"/>
      <c r="JW1658" s="2060"/>
      <c r="JX1658" s="2060"/>
      <c r="JY1658" s="2060"/>
      <c r="JZ1658" s="2060"/>
      <c r="KA1658" s="2060"/>
      <c r="KB1658" s="2060"/>
      <c r="KC1658" s="2060"/>
      <c r="KD1658" s="2060"/>
      <c r="KE1658" s="2060"/>
      <c r="KF1658" s="2060"/>
      <c r="KG1658" s="2060"/>
      <c r="KH1658" s="2060"/>
      <c r="KI1658" s="2060"/>
      <c r="KJ1658" s="2060"/>
      <c r="KK1658" s="2060"/>
      <c r="KL1658" s="2060"/>
      <c r="KM1658" s="2060"/>
      <c r="KN1658" s="2060"/>
      <c r="KO1658" s="2060"/>
      <c r="KP1658" s="2060"/>
      <c r="KQ1658" s="2060"/>
      <c r="KR1658" s="2060"/>
      <c r="KS1658" s="2060"/>
      <c r="KT1658" s="2060"/>
      <c r="KU1658" s="2060"/>
      <c r="KV1658" s="2060"/>
      <c r="KW1658" s="2060"/>
      <c r="KX1658" s="2060"/>
      <c r="KY1658" s="2060"/>
      <c r="KZ1658" s="2060"/>
      <c r="LA1658" s="2060"/>
      <c r="LB1658" s="2060"/>
      <c r="LC1658" s="2060"/>
      <c r="LD1658" s="2060"/>
      <c r="LE1658" s="2060"/>
      <c r="LF1658" s="2060"/>
      <c r="LG1658" s="2060"/>
      <c r="LH1658" s="2060"/>
    </row>
    <row r="1659" spans="1:320" s="449" customFormat="1" ht="13.9">
      <c r="A1659" s="269" t="str">
        <f t="shared" si="442"/>
        <v>n</v>
      </c>
      <c r="B1659" s="2060"/>
      <c r="C1659" s="2060"/>
      <c r="D1659" s="2060"/>
      <c r="E1659" s="1661">
        <v>14</v>
      </c>
      <c r="F1659" s="1353" t="str">
        <f>F$142</f>
        <v>--</v>
      </c>
      <c r="G1659" s="128">
        <f>G$142</f>
        <v>0</v>
      </c>
      <c r="H1659" s="128" t="str">
        <f>H$142</f>
        <v>--</v>
      </c>
      <c r="I1659" s="89" t="s">
        <v>786</v>
      </c>
      <c r="J1659" s="2197" t="str">
        <f>IF($G1659=0,"",IFERROR(_xll.ciqfunctions.udf.CIQ($G1659,$I1659,J$1557,Valuation_Date_GC,ReportType,DataMode,$H1659,FXMode)*Scale,"n/a"))</f>
        <v/>
      </c>
      <c r="K1659" s="2197" t="str">
        <f>IF($G1659=0,"",IFERROR(_xll.ciqfunctions.udf.CIQ($G1659,$I1659,K$1557,Valuation_Date_GC,ReportType,DataMode,$H1659,FXMode)*Scale,"n/a"))</f>
        <v/>
      </c>
      <c r="L1659" s="2197" t="str">
        <f>IF($G1659=0,"",IFERROR(_xll.ciqfunctions.udf.CIQ($G1659,$I1659,L$1557,Valuation_Date_GC,ReportType,DataMode,$H1659,FXMode)*Scale,"n/a"))</f>
        <v/>
      </c>
      <c r="M1659" s="2197" t="str">
        <f>IF($G1659=0,"",IFERROR(_xll.ciqfunctions.udf.CIQ($G1659,$I1659,M$1557,Valuation_Date_GC,ReportType,DataMode,$H1659,FXMode)*Scale,"n/a"))</f>
        <v/>
      </c>
      <c r="N1659" s="2197" t="str">
        <f>IF($G1659=0,"",IFERROR(_xll.ciqfunctions.udf.CIQ($G1659,$I1659,N$1557,Valuation_Date_GC,ReportType,DataMode,$H1659,FXMode)*Scale,"n/a"))</f>
        <v/>
      </c>
      <c r="O1659" s="2197" t="str">
        <f>IF($G1659=0,"",IFERROR(_xll.ciqfunctions.udf.CIQ($G1659,$I1659,O$1557,Valuation_Date_GC,ReportType,DataMode,$H1659,FXMode)*Scale,"n/a"))</f>
        <v/>
      </c>
      <c r="P1659" s="2197" t="str">
        <f>IF($G1659=0,"",IFERROR(_xll.ciqfunctions.udf.CIQ($G1659,$I1659,P$1557,Valuation_Date_GC,ReportType,DataMode,$H1659,FXMode)*Scale,"n/a"))</f>
        <v/>
      </c>
      <c r="Q1659" s="2197" t="str">
        <f>IF($G1659=0,"",IFERROR(_xll.ciqfunctions.udf.CIQ($G1659,$I1659,Q$1557,Valuation_Date_GC,ReportType,DataMode,$H1659,FXMode)*Scale,"n/a"))</f>
        <v/>
      </c>
      <c r="R1659" s="2197" t="str">
        <f>IF($G1659=0,"",IFERROR(_xll.ciqfunctions.udf.CIQ($G1659,$I1659,R$1557,Valuation_Date_GC,ReportType,DataMode,$H1659,FXMode)*Scale,"n/a"))</f>
        <v/>
      </c>
      <c r="S1659" s="2197" t="str">
        <f>IF($G1659=0,"",IFERROR(_xll.ciqfunctions.udf.CIQ($G1659,$I1659,S$1557,Valuation_Date_GC,ReportType,DataMode,$H1659,FXMode)*Scale,"n/a"))</f>
        <v/>
      </c>
      <c r="T1659" s="2197" t="str">
        <f>IF($G1659=0,"",IFERROR(_xll.ciqfunctions.udf.CIQ($G1659,$I1659,T$1557,Valuation_Date_GC,ReportType,DataMode,$H1659,FXMode)*Scale,"n/a"))</f>
        <v/>
      </c>
      <c r="U1659" s="2197" t="str">
        <f>IF($G1659=0,"",IFERROR(_xll.ciqfunctions.udf.CIQ($G1659,$I1659,U$1557,Valuation_Date_GC,ReportType,DataMode,$H1659,FXMode)*Scale,"n/a"))</f>
        <v/>
      </c>
      <c r="V1659" s="2197" t="str">
        <f>IF($G1659=0,"",IFERROR(_xll.ciqfunctions.udf.CIQ($G1659,$I1659,V$1557,Valuation_Date_GC,ReportType,DataMode,$H1659,FXMode)*Scale,"n/a"))</f>
        <v/>
      </c>
      <c r="W1659" s="1479"/>
      <c r="X1659" s="255"/>
      <c r="Y1659" s="255"/>
      <c r="Z1659" s="2060"/>
      <c r="AA1659" s="2060"/>
      <c r="AB1659" s="2060"/>
      <c r="AC1659" s="2060"/>
      <c r="AD1659" s="2060"/>
      <c r="AE1659" s="2060"/>
      <c r="AF1659" s="2060"/>
      <c r="AG1659" s="2060"/>
      <c r="AH1659" s="2060"/>
      <c r="AI1659" s="2060"/>
      <c r="AJ1659" s="2060"/>
      <c r="AK1659" s="2060"/>
      <c r="AL1659" s="2060"/>
      <c r="AM1659" s="2060"/>
      <c r="AN1659" s="2060"/>
      <c r="AO1659" s="2060"/>
      <c r="AP1659" s="2060"/>
      <c r="AQ1659" s="2060"/>
      <c r="AR1659" s="2060"/>
      <c r="AS1659" s="2060"/>
      <c r="AT1659" s="2060"/>
      <c r="AU1659" s="2060"/>
      <c r="AV1659" s="2060"/>
      <c r="AW1659" s="2060"/>
      <c r="AX1659" s="2060"/>
      <c r="AY1659" s="2060"/>
      <c r="AZ1659" s="2060"/>
      <c r="BA1659" s="2060"/>
      <c r="BB1659" s="2060"/>
      <c r="BC1659" s="2060"/>
      <c r="BD1659" s="2060"/>
      <c r="BE1659" s="2060"/>
      <c r="BF1659" s="2060"/>
      <c r="BG1659" s="2060"/>
      <c r="BH1659" s="2060"/>
      <c r="BI1659" s="2060"/>
      <c r="BJ1659" s="2060"/>
      <c r="BK1659" s="2060"/>
      <c r="BL1659" s="2060"/>
      <c r="BM1659" s="2060"/>
      <c r="BN1659" s="2060"/>
      <c r="BO1659" s="2060"/>
      <c r="BP1659" s="2060"/>
      <c r="BQ1659" s="2060"/>
      <c r="BR1659" s="2060"/>
      <c r="BS1659" s="2060"/>
      <c r="BT1659" s="2060"/>
      <c r="BU1659" s="2060"/>
      <c r="BV1659" s="2060"/>
      <c r="BW1659" s="2060"/>
      <c r="BX1659" s="2060"/>
      <c r="BY1659" s="2060"/>
      <c r="BZ1659" s="2060"/>
      <c r="CA1659" s="2060"/>
      <c r="CB1659" s="2060"/>
      <c r="CC1659" s="2060"/>
      <c r="CD1659" s="2060"/>
      <c r="CE1659" s="2060"/>
      <c r="CF1659" s="2060"/>
      <c r="CG1659" s="2060"/>
      <c r="CH1659" s="2060"/>
      <c r="CI1659" s="2060"/>
      <c r="CJ1659" s="2060"/>
      <c r="CK1659" s="2060"/>
      <c r="CL1659" s="2060"/>
      <c r="CM1659" s="2060"/>
      <c r="CN1659" s="2060"/>
      <c r="CO1659" s="2060"/>
      <c r="CP1659" s="2060"/>
      <c r="CQ1659" s="2060"/>
      <c r="CR1659" s="2060"/>
      <c r="CS1659" s="2060"/>
      <c r="CT1659" s="2060"/>
      <c r="CU1659" s="2060"/>
      <c r="CV1659" s="2060"/>
      <c r="CW1659" s="2060"/>
      <c r="CX1659" s="2060"/>
      <c r="CY1659" s="2060"/>
      <c r="CZ1659" s="2060"/>
      <c r="DA1659" s="2060"/>
      <c r="DB1659" s="2060"/>
      <c r="DC1659" s="2060"/>
      <c r="DD1659" s="2060"/>
      <c r="DE1659" s="2060"/>
      <c r="DF1659" s="2060"/>
      <c r="DG1659" s="2060"/>
      <c r="DH1659" s="2060"/>
      <c r="DI1659" s="2060"/>
      <c r="DJ1659" s="2060"/>
      <c r="DK1659" s="2060"/>
      <c r="DL1659" s="2060"/>
      <c r="DM1659" s="2060"/>
      <c r="DN1659" s="2060"/>
      <c r="DO1659" s="2060"/>
      <c r="DP1659" s="2060"/>
      <c r="DQ1659" s="2060"/>
      <c r="DR1659" s="2060"/>
      <c r="DS1659" s="2060"/>
      <c r="DT1659" s="2060"/>
      <c r="DU1659" s="2060"/>
      <c r="DV1659" s="2060"/>
      <c r="DW1659" s="2060"/>
      <c r="DX1659" s="2060"/>
      <c r="DY1659" s="2060"/>
      <c r="DZ1659" s="2060"/>
      <c r="EA1659" s="2060"/>
      <c r="EB1659" s="2060"/>
      <c r="EC1659" s="2060"/>
      <c r="ED1659" s="2060"/>
      <c r="EE1659" s="2060"/>
      <c r="EF1659" s="2060"/>
      <c r="EG1659" s="2060"/>
      <c r="EH1659" s="2060"/>
      <c r="EI1659" s="2060"/>
      <c r="EJ1659" s="2060"/>
      <c r="EK1659" s="2060"/>
      <c r="EL1659" s="2060"/>
      <c r="EM1659" s="2060"/>
      <c r="EN1659" s="2060"/>
      <c r="EO1659" s="2060"/>
      <c r="EP1659" s="2060"/>
      <c r="EQ1659" s="2060"/>
      <c r="ER1659" s="2060"/>
      <c r="ES1659" s="2060"/>
      <c r="ET1659" s="2060"/>
      <c r="EU1659" s="2060"/>
      <c r="EV1659" s="2060"/>
      <c r="EW1659" s="2060"/>
      <c r="EX1659" s="2060"/>
      <c r="EY1659" s="2060"/>
      <c r="EZ1659" s="2060"/>
      <c r="FA1659" s="2060"/>
      <c r="FB1659" s="2060"/>
      <c r="FC1659" s="2060"/>
      <c r="FD1659" s="2060"/>
      <c r="FE1659" s="2060"/>
      <c r="FF1659" s="2060"/>
      <c r="FG1659" s="2060"/>
      <c r="FH1659" s="2060"/>
      <c r="FI1659" s="2060"/>
      <c r="FJ1659" s="2060"/>
      <c r="FK1659" s="2060"/>
      <c r="FL1659" s="2060"/>
      <c r="FM1659" s="2060"/>
      <c r="FN1659" s="2060"/>
      <c r="FO1659" s="2060"/>
      <c r="FP1659" s="2060"/>
      <c r="FQ1659" s="2060"/>
      <c r="FR1659" s="2060"/>
      <c r="FS1659" s="2060"/>
      <c r="FT1659" s="2060"/>
      <c r="FU1659" s="2060"/>
      <c r="FV1659" s="2060"/>
      <c r="FW1659" s="2060"/>
      <c r="FX1659" s="2060"/>
      <c r="FY1659" s="2060"/>
      <c r="FZ1659" s="2060"/>
      <c r="GA1659" s="2060"/>
      <c r="GB1659" s="2060"/>
      <c r="GC1659" s="2060"/>
      <c r="GD1659" s="2060"/>
      <c r="GE1659" s="2060"/>
      <c r="GF1659" s="2060"/>
      <c r="GG1659" s="2060"/>
      <c r="GH1659" s="2060"/>
      <c r="GI1659" s="2060"/>
      <c r="GJ1659" s="2060"/>
      <c r="GK1659" s="2060"/>
      <c r="GL1659" s="2060"/>
      <c r="GM1659" s="2060"/>
      <c r="GN1659" s="2060"/>
      <c r="GO1659" s="2060"/>
      <c r="GP1659" s="2060"/>
      <c r="GQ1659" s="2060"/>
      <c r="GR1659" s="2060"/>
      <c r="GS1659" s="2060"/>
      <c r="GT1659" s="2060"/>
      <c r="GU1659" s="2060"/>
      <c r="GV1659" s="2060"/>
      <c r="GW1659" s="2060"/>
      <c r="GX1659" s="2060"/>
      <c r="GY1659" s="2060"/>
      <c r="GZ1659" s="2060"/>
      <c r="HA1659" s="2060"/>
      <c r="HB1659" s="2060"/>
      <c r="HC1659" s="2060"/>
      <c r="HD1659" s="2060"/>
      <c r="HE1659" s="2060"/>
      <c r="HF1659" s="2060"/>
      <c r="HG1659" s="2060"/>
      <c r="HH1659" s="2060"/>
      <c r="HI1659" s="2060"/>
      <c r="HJ1659" s="2060"/>
      <c r="HK1659" s="2060"/>
      <c r="HL1659" s="2060"/>
      <c r="HM1659" s="2060"/>
      <c r="HN1659" s="2060"/>
      <c r="HO1659" s="2060"/>
      <c r="HP1659" s="2060"/>
      <c r="HQ1659" s="2060"/>
      <c r="HR1659" s="2060"/>
      <c r="HS1659" s="2060"/>
      <c r="HT1659" s="2060"/>
      <c r="HU1659" s="2060"/>
      <c r="HV1659" s="2060"/>
      <c r="HW1659" s="2060"/>
      <c r="HX1659" s="2060"/>
      <c r="HY1659" s="2060"/>
      <c r="HZ1659" s="2060"/>
      <c r="IA1659" s="2060"/>
      <c r="IB1659" s="2060"/>
      <c r="IC1659" s="2060"/>
      <c r="ID1659" s="2060"/>
      <c r="IE1659" s="2060"/>
      <c r="IF1659" s="2060"/>
      <c r="IG1659" s="2060"/>
      <c r="IH1659" s="2060"/>
      <c r="II1659" s="2060"/>
      <c r="IJ1659" s="2060"/>
      <c r="IK1659" s="2060"/>
      <c r="IL1659" s="2060"/>
      <c r="IM1659" s="2060"/>
      <c r="IN1659" s="2060"/>
      <c r="IO1659" s="2060"/>
      <c r="IP1659" s="2060"/>
      <c r="IQ1659" s="2060"/>
      <c r="IR1659" s="2060"/>
      <c r="IS1659" s="2060"/>
      <c r="IT1659" s="2060"/>
      <c r="IU1659" s="2060"/>
      <c r="IV1659" s="2060"/>
      <c r="IW1659" s="2060"/>
      <c r="IX1659" s="2060"/>
      <c r="IY1659" s="2060"/>
      <c r="IZ1659" s="2060"/>
      <c r="JA1659" s="2060"/>
      <c r="JB1659" s="2060"/>
      <c r="JC1659" s="2060"/>
      <c r="JD1659" s="2060"/>
      <c r="JE1659" s="2060"/>
      <c r="JF1659" s="2060"/>
      <c r="JG1659" s="2060"/>
      <c r="JH1659" s="2060"/>
      <c r="JI1659" s="2060"/>
      <c r="JJ1659" s="2060"/>
      <c r="JK1659" s="2060"/>
      <c r="JL1659" s="2060"/>
      <c r="JM1659" s="2060"/>
      <c r="JN1659" s="2060"/>
      <c r="JO1659" s="2060"/>
      <c r="JP1659" s="2060"/>
      <c r="JQ1659" s="2060"/>
      <c r="JR1659" s="2060"/>
      <c r="JS1659" s="2060"/>
      <c r="JT1659" s="2060"/>
      <c r="JU1659" s="2060"/>
      <c r="JV1659" s="2060"/>
      <c r="JW1659" s="2060"/>
      <c r="JX1659" s="2060"/>
      <c r="JY1659" s="2060"/>
      <c r="JZ1659" s="2060"/>
      <c r="KA1659" s="2060"/>
      <c r="KB1659" s="2060"/>
      <c r="KC1659" s="2060"/>
      <c r="KD1659" s="2060"/>
      <c r="KE1659" s="2060"/>
      <c r="KF1659" s="2060"/>
      <c r="KG1659" s="2060"/>
      <c r="KH1659" s="2060"/>
      <c r="KI1659" s="2060"/>
      <c r="KJ1659" s="2060"/>
      <c r="KK1659" s="2060"/>
      <c r="KL1659" s="2060"/>
      <c r="KM1659" s="2060"/>
      <c r="KN1659" s="2060"/>
      <c r="KO1659" s="2060"/>
      <c r="KP1659" s="2060"/>
      <c r="KQ1659" s="2060"/>
      <c r="KR1659" s="2060"/>
      <c r="KS1659" s="2060"/>
      <c r="KT1659" s="2060"/>
      <c r="KU1659" s="2060"/>
      <c r="KV1659" s="2060"/>
      <c r="KW1659" s="2060"/>
      <c r="KX1659" s="2060"/>
      <c r="KY1659" s="2060"/>
      <c r="KZ1659" s="2060"/>
      <c r="LA1659" s="2060"/>
      <c r="LB1659" s="2060"/>
      <c r="LC1659" s="2060"/>
      <c r="LD1659" s="2060"/>
      <c r="LE1659" s="2060"/>
      <c r="LF1659" s="2060"/>
      <c r="LG1659" s="2060"/>
      <c r="LH1659" s="2060"/>
    </row>
    <row r="1660" spans="1:320" s="1499" customFormat="1" ht="13.9">
      <c r="A1660" s="269" t="str">
        <f t="shared" si="442"/>
        <v>n</v>
      </c>
      <c r="B1660" s="2060"/>
      <c r="C1660" s="2060"/>
      <c r="D1660" s="2060"/>
      <c r="E1660" s="1661">
        <v>15</v>
      </c>
      <c r="F1660" s="1353" t="str">
        <f>F$143</f>
        <v>--</v>
      </c>
      <c r="G1660" s="128">
        <f>G$143</f>
        <v>0</v>
      </c>
      <c r="H1660" s="128" t="str">
        <f>H$143</f>
        <v>--</v>
      </c>
      <c r="I1660" s="89" t="s">
        <v>786</v>
      </c>
      <c r="J1660" s="2197" t="str">
        <f>IF($G1660=0,"",IFERROR(_xll.ciqfunctions.udf.CIQ($G1660,$I1660,J$1557,Valuation_Date_GC,ReportType,DataMode,$H1660,FXMode)*Scale,"n/a"))</f>
        <v/>
      </c>
      <c r="K1660" s="2197" t="str">
        <f>IF($G1660=0,"",IFERROR(_xll.ciqfunctions.udf.CIQ($G1660,$I1660,K$1557,Valuation_Date_GC,ReportType,DataMode,$H1660,FXMode)*Scale,"n/a"))</f>
        <v/>
      </c>
      <c r="L1660" s="2197" t="str">
        <f>IF($G1660=0,"",IFERROR(_xll.ciqfunctions.udf.CIQ($G1660,$I1660,L$1557,Valuation_Date_GC,ReportType,DataMode,$H1660,FXMode)*Scale,"n/a"))</f>
        <v/>
      </c>
      <c r="M1660" s="2197" t="str">
        <f>IF($G1660=0,"",IFERROR(_xll.ciqfunctions.udf.CIQ($G1660,$I1660,M$1557,Valuation_Date_GC,ReportType,DataMode,$H1660,FXMode)*Scale,"n/a"))</f>
        <v/>
      </c>
      <c r="N1660" s="2197" t="str">
        <f>IF($G1660=0,"",IFERROR(_xll.ciqfunctions.udf.CIQ($G1660,$I1660,N$1557,Valuation_Date_GC,ReportType,DataMode,$H1660,FXMode)*Scale,"n/a"))</f>
        <v/>
      </c>
      <c r="O1660" s="2197" t="str">
        <f>IF($G1660=0,"",IFERROR(_xll.ciqfunctions.udf.CIQ($G1660,$I1660,O$1557,Valuation_Date_GC,ReportType,DataMode,$H1660,FXMode)*Scale,"n/a"))</f>
        <v/>
      </c>
      <c r="P1660" s="2197" t="str">
        <f>IF($G1660=0,"",IFERROR(_xll.ciqfunctions.udf.CIQ($G1660,$I1660,P$1557,Valuation_Date_GC,ReportType,DataMode,$H1660,FXMode)*Scale,"n/a"))</f>
        <v/>
      </c>
      <c r="Q1660" s="2197" t="str">
        <f>IF($G1660=0,"",IFERROR(_xll.ciqfunctions.udf.CIQ($G1660,$I1660,Q$1557,Valuation_Date_GC,ReportType,DataMode,$H1660,FXMode)*Scale,"n/a"))</f>
        <v/>
      </c>
      <c r="R1660" s="2197" t="str">
        <f>IF($G1660=0,"",IFERROR(_xll.ciqfunctions.udf.CIQ($G1660,$I1660,R$1557,Valuation_Date_GC,ReportType,DataMode,$H1660,FXMode)*Scale,"n/a"))</f>
        <v/>
      </c>
      <c r="S1660" s="2197" t="str">
        <f>IF($G1660=0,"",IFERROR(_xll.ciqfunctions.udf.CIQ($G1660,$I1660,S$1557,Valuation_Date_GC,ReportType,DataMode,$H1660,FXMode)*Scale,"n/a"))</f>
        <v/>
      </c>
      <c r="T1660" s="2197" t="str">
        <f>IF($G1660=0,"",IFERROR(_xll.ciqfunctions.udf.CIQ($G1660,$I1660,T$1557,Valuation_Date_GC,ReportType,DataMode,$H1660,FXMode)*Scale,"n/a"))</f>
        <v/>
      </c>
      <c r="U1660" s="2197" t="str">
        <f>IF($G1660=0,"",IFERROR(_xll.ciqfunctions.udf.CIQ($G1660,$I1660,U$1557,Valuation_Date_GC,ReportType,DataMode,$H1660,FXMode)*Scale,"n/a"))</f>
        <v/>
      </c>
      <c r="V1660" s="2197" t="str">
        <f>IF($G1660=0,"",IFERROR(_xll.ciqfunctions.udf.CIQ($G1660,$I1660,V$1557,Valuation_Date_GC,ReportType,DataMode,$H1660,FXMode)*Scale,"n/a"))</f>
        <v/>
      </c>
      <c r="W1660" s="1479"/>
      <c r="X1660" s="255"/>
      <c r="Y1660" s="255"/>
      <c r="Z1660" s="2060"/>
      <c r="AA1660" s="2060"/>
      <c r="AB1660" s="2060"/>
      <c r="AC1660" s="2060"/>
      <c r="AD1660" s="2060"/>
      <c r="AE1660" s="2060"/>
      <c r="AF1660" s="2060"/>
      <c r="AG1660" s="2060"/>
      <c r="AH1660" s="2060"/>
      <c r="AI1660" s="2060"/>
      <c r="AJ1660" s="2060"/>
      <c r="AK1660" s="2060"/>
      <c r="AL1660" s="2060"/>
      <c r="AM1660" s="2060"/>
      <c r="AN1660" s="2060"/>
      <c r="AO1660" s="2060"/>
      <c r="AP1660" s="2060"/>
      <c r="AQ1660" s="2060"/>
      <c r="AR1660" s="2060"/>
      <c r="AS1660" s="2060"/>
      <c r="AT1660" s="2060"/>
      <c r="AU1660" s="2060"/>
      <c r="AV1660" s="2060"/>
      <c r="AW1660" s="2060"/>
      <c r="AX1660" s="2060"/>
      <c r="AY1660" s="2060"/>
      <c r="AZ1660" s="2060"/>
      <c r="BA1660" s="2060"/>
      <c r="BB1660" s="2060"/>
      <c r="BC1660" s="2060"/>
      <c r="BD1660" s="2060"/>
      <c r="BE1660" s="2060"/>
      <c r="BF1660" s="2060"/>
      <c r="BG1660" s="2060"/>
      <c r="BH1660" s="2060"/>
      <c r="BI1660" s="2060"/>
      <c r="BJ1660" s="2060"/>
      <c r="BK1660" s="2060"/>
      <c r="BL1660" s="2060"/>
      <c r="BM1660" s="2060"/>
      <c r="BN1660" s="2060"/>
      <c r="BO1660" s="2060"/>
      <c r="BP1660" s="2060"/>
      <c r="BQ1660" s="2060"/>
      <c r="BR1660" s="2060"/>
      <c r="BS1660" s="2060"/>
      <c r="BT1660" s="2060"/>
      <c r="BU1660" s="2060"/>
      <c r="BV1660" s="2060"/>
      <c r="BW1660" s="2060"/>
      <c r="BX1660" s="2060"/>
      <c r="BY1660" s="2060"/>
      <c r="BZ1660" s="2060"/>
      <c r="CA1660" s="2060"/>
      <c r="CB1660" s="2060"/>
      <c r="CC1660" s="2060"/>
      <c r="CD1660" s="2060"/>
      <c r="CE1660" s="2060"/>
      <c r="CF1660" s="2060"/>
      <c r="CG1660" s="2060"/>
      <c r="CH1660" s="2060"/>
      <c r="CI1660" s="2060"/>
      <c r="CJ1660" s="2060"/>
      <c r="CK1660" s="2060"/>
      <c r="CL1660" s="2060"/>
      <c r="CM1660" s="2060"/>
      <c r="CN1660" s="2060"/>
      <c r="CO1660" s="2060"/>
      <c r="CP1660" s="2060"/>
      <c r="CQ1660" s="2060"/>
      <c r="CR1660" s="2060"/>
      <c r="CS1660" s="2060"/>
      <c r="CT1660" s="2060"/>
      <c r="CU1660" s="2060"/>
      <c r="CV1660" s="2060"/>
      <c r="CW1660" s="2060"/>
      <c r="CX1660" s="2060"/>
      <c r="CY1660" s="2060"/>
      <c r="CZ1660" s="2060"/>
      <c r="DA1660" s="2060"/>
      <c r="DB1660" s="2060"/>
      <c r="DC1660" s="2060"/>
      <c r="DD1660" s="2060"/>
      <c r="DE1660" s="2060"/>
      <c r="DF1660" s="2060"/>
      <c r="DG1660" s="2060"/>
      <c r="DH1660" s="2060"/>
      <c r="DI1660" s="2060"/>
      <c r="DJ1660" s="2060"/>
      <c r="DK1660" s="2060"/>
      <c r="DL1660" s="2060"/>
      <c r="DM1660" s="2060"/>
      <c r="DN1660" s="2060"/>
      <c r="DO1660" s="2060"/>
      <c r="DP1660" s="2060"/>
      <c r="DQ1660" s="2060"/>
      <c r="DR1660" s="2060"/>
      <c r="DS1660" s="2060"/>
      <c r="DT1660" s="2060"/>
      <c r="DU1660" s="2060"/>
      <c r="DV1660" s="2060"/>
      <c r="DW1660" s="2060"/>
      <c r="DX1660" s="2060"/>
      <c r="DY1660" s="2060"/>
      <c r="DZ1660" s="2060"/>
      <c r="EA1660" s="2060"/>
      <c r="EB1660" s="2060"/>
      <c r="EC1660" s="2060"/>
      <c r="ED1660" s="2060"/>
      <c r="EE1660" s="2060"/>
      <c r="EF1660" s="2060"/>
      <c r="EG1660" s="2060"/>
      <c r="EH1660" s="2060"/>
      <c r="EI1660" s="2060"/>
      <c r="EJ1660" s="2060"/>
      <c r="EK1660" s="2060"/>
      <c r="EL1660" s="2060"/>
      <c r="EM1660" s="2060"/>
      <c r="EN1660" s="2060"/>
      <c r="EO1660" s="2060"/>
      <c r="EP1660" s="2060"/>
      <c r="EQ1660" s="2060"/>
      <c r="ER1660" s="2060"/>
      <c r="ES1660" s="2060"/>
      <c r="ET1660" s="2060"/>
      <c r="EU1660" s="2060"/>
      <c r="EV1660" s="2060"/>
      <c r="EW1660" s="2060"/>
      <c r="EX1660" s="2060"/>
      <c r="EY1660" s="2060"/>
      <c r="EZ1660" s="2060"/>
      <c r="FA1660" s="2060"/>
      <c r="FB1660" s="2060"/>
      <c r="FC1660" s="2060"/>
      <c r="FD1660" s="2060"/>
      <c r="FE1660" s="2060"/>
      <c r="FF1660" s="2060"/>
      <c r="FG1660" s="2060"/>
      <c r="FH1660" s="2060"/>
      <c r="FI1660" s="2060"/>
      <c r="FJ1660" s="2060"/>
      <c r="FK1660" s="2060"/>
      <c r="FL1660" s="2060"/>
      <c r="FM1660" s="2060"/>
      <c r="FN1660" s="2060"/>
      <c r="FO1660" s="2060"/>
      <c r="FP1660" s="2060"/>
      <c r="FQ1660" s="2060"/>
      <c r="FR1660" s="2060"/>
      <c r="FS1660" s="2060"/>
      <c r="FT1660" s="2060"/>
      <c r="FU1660" s="2060"/>
      <c r="FV1660" s="2060"/>
      <c r="FW1660" s="2060"/>
      <c r="FX1660" s="2060"/>
      <c r="FY1660" s="2060"/>
      <c r="FZ1660" s="2060"/>
      <c r="GA1660" s="2060"/>
      <c r="GB1660" s="2060"/>
      <c r="GC1660" s="2060"/>
      <c r="GD1660" s="2060"/>
      <c r="GE1660" s="2060"/>
      <c r="GF1660" s="2060"/>
      <c r="GG1660" s="2060"/>
      <c r="GH1660" s="2060"/>
      <c r="GI1660" s="2060"/>
      <c r="GJ1660" s="2060"/>
      <c r="GK1660" s="2060"/>
      <c r="GL1660" s="2060"/>
      <c r="GM1660" s="2060"/>
      <c r="GN1660" s="2060"/>
      <c r="GO1660" s="2060"/>
      <c r="GP1660" s="2060"/>
      <c r="GQ1660" s="2060"/>
      <c r="GR1660" s="2060"/>
      <c r="GS1660" s="2060"/>
      <c r="GT1660" s="2060"/>
      <c r="GU1660" s="2060"/>
      <c r="GV1660" s="2060"/>
      <c r="GW1660" s="2060"/>
      <c r="GX1660" s="2060"/>
      <c r="GY1660" s="2060"/>
      <c r="GZ1660" s="2060"/>
      <c r="HA1660" s="2060"/>
      <c r="HB1660" s="2060"/>
      <c r="HC1660" s="2060"/>
      <c r="HD1660" s="2060"/>
      <c r="HE1660" s="2060"/>
      <c r="HF1660" s="2060"/>
      <c r="HG1660" s="2060"/>
      <c r="HH1660" s="2060"/>
      <c r="HI1660" s="2060"/>
      <c r="HJ1660" s="2060"/>
      <c r="HK1660" s="2060"/>
      <c r="HL1660" s="2060"/>
      <c r="HM1660" s="2060"/>
      <c r="HN1660" s="2060"/>
      <c r="HO1660" s="2060"/>
      <c r="HP1660" s="2060"/>
      <c r="HQ1660" s="2060"/>
      <c r="HR1660" s="2060"/>
      <c r="HS1660" s="2060"/>
      <c r="HT1660" s="2060"/>
      <c r="HU1660" s="2060"/>
      <c r="HV1660" s="2060"/>
      <c r="HW1660" s="2060"/>
      <c r="HX1660" s="2060"/>
      <c r="HY1660" s="2060"/>
      <c r="HZ1660" s="2060"/>
      <c r="IA1660" s="2060"/>
      <c r="IB1660" s="2060"/>
      <c r="IC1660" s="2060"/>
      <c r="ID1660" s="2060"/>
      <c r="IE1660" s="2060"/>
      <c r="IF1660" s="2060"/>
      <c r="IG1660" s="2060"/>
      <c r="IH1660" s="2060"/>
      <c r="II1660" s="2060"/>
      <c r="IJ1660" s="2060"/>
      <c r="IK1660" s="2060"/>
      <c r="IL1660" s="2060"/>
      <c r="IM1660" s="2060"/>
      <c r="IN1660" s="2060"/>
      <c r="IO1660" s="2060"/>
      <c r="IP1660" s="2060"/>
      <c r="IQ1660" s="2060"/>
      <c r="IR1660" s="2060"/>
      <c r="IS1660" s="2060"/>
      <c r="IT1660" s="2060"/>
      <c r="IU1660" s="2060"/>
      <c r="IV1660" s="2060"/>
      <c r="IW1660" s="2060"/>
      <c r="IX1660" s="2060"/>
      <c r="IY1660" s="2060"/>
      <c r="IZ1660" s="2060"/>
      <c r="JA1660" s="2060"/>
      <c r="JB1660" s="2060"/>
      <c r="JC1660" s="2060"/>
      <c r="JD1660" s="2060"/>
      <c r="JE1660" s="2060"/>
      <c r="JF1660" s="2060"/>
      <c r="JG1660" s="2060"/>
      <c r="JH1660" s="2060"/>
      <c r="JI1660" s="2060"/>
      <c r="JJ1660" s="2060"/>
      <c r="JK1660" s="2060"/>
      <c r="JL1660" s="2060"/>
      <c r="JM1660" s="2060"/>
      <c r="JN1660" s="2060"/>
      <c r="JO1660" s="2060"/>
      <c r="JP1660" s="2060"/>
      <c r="JQ1660" s="2060"/>
      <c r="JR1660" s="2060"/>
      <c r="JS1660" s="2060"/>
      <c r="JT1660" s="2060"/>
      <c r="JU1660" s="2060"/>
      <c r="JV1660" s="2060"/>
      <c r="JW1660" s="2060"/>
      <c r="JX1660" s="2060"/>
      <c r="JY1660" s="2060"/>
      <c r="JZ1660" s="2060"/>
      <c r="KA1660" s="2060"/>
      <c r="KB1660" s="2060"/>
      <c r="KC1660" s="2060"/>
      <c r="KD1660" s="2060"/>
      <c r="KE1660" s="2060"/>
      <c r="KF1660" s="2060"/>
      <c r="KG1660" s="2060"/>
      <c r="KH1660" s="2060"/>
      <c r="KI1660" s="2060"/>
      <c r="KJ1660" s="2060"/>
      <c r="KK1660" s="2060"/>
      <c r="KL1660" s="2060"/>
      <c r="KM1660" s="2060"/>
      <c r="KN1660" s="2060"/>
      <c r="KO1660" s="2060"/>
      <c r="KP1660" s="2060"/>
      <c r="KQ1660" s="2060"/>
      <c r="KR1660" s="2060"/>
      <c r="KS1660" s="2060"/>
      <c r="KT1660" s="2060"/>
      <c r="KU1660" s="2060"/>
      <c r="KV1660" s="2060"/>
      <c r="KW1660" s="2060"/>
      <c r="KX1660" s="2060"/>
      <c r="KY1660" s="2060"/>
      <c r="KZ1660" s="2060"/>
      <c r="LA1660" s="2060"/>
      <c r="LB1660" s="2060"/>
      <c r="LC1660" s="2060"/>
      <c r="LD1660" s="2060"/>
      <c r="LE1660" s="2060"/>
      <c r="LF1660" s="2060"/>
      <c r="LG1660" s="2060"/>
      <c r="LH1660" s="2060"/>
    </row>
    <row r="1661" spans="1:320" s="1499" customFormat="1" ht="13.9">
      <c r="A1661" s="269" t="str">
        <f t="shared" si="442"/>
        <v>n</v>
      </c>
      <c r="B1661" s="2060"/>
      <c r="C1661" s="2060"/>
      <c r="D1661" s="2060"/>
      <c r="E1661" s="1661">
        <v>16</v>
      </c>
      <c r="F1661" s="1353" t="str">
        <f>F$144</f>
        <v>--</v>
      </c>
      <c r="G1661" s="128">
        <f>G$144</f>
        <v>0</v>
      </c>
      <c r="H1661" s="128" t="str">
        <f>H$144</f>
        <v>--</v>
      </c>
      <c r="I1661" s="89" t="s">
        <v>786</v>
      </c>
      <c r="J1661" s="2197" t="str">
        <f>IF($G1661=0,"",IFERROR(_xll.ciqfunctions.udf.CIQ($G1661,$I1661,J$1557,Valuation_Date_GC,ReportType,DataMode,$H1661,FXMode)*Scale,"n/a"))</f>
        <v/>
      </c>
      <c r="K1661" s="2197" t="str">
        <f>IF($G1661=0,"",IFERROR(_xll.ciqfunctions.udf.CIQ($G1661,$I1661,K$1557,Valuation_Date_GC,ReportType,DataMode,$H1661,FXMode)*Scale,"n/a"))</f>
        <v/>
      </c>
      <c r="L1661" s="2197" t="str">
        <f>IF($G1661=0,"",IFERROR(_xll.ciqfunctions.udf.CIQ($G1661,$I1661,L$1557,Valuation_Date_GC,ReportType,DataMode,$H1661,FXMode)*Scale,"n/a"))</f>
        <v/>
      </c>
      <c r="M1661" s="2197" t="str">
        <f>IF($G1661=0,"",IFERROR(_xll.ciqfunctions.udf.CIQ($G1661,$I1661,M$1557,Valuation_Date_GC,ReportType,DataMode,$H1661,FXMode)*Scale,"n/a"))</f>
        <v/>
      </c>
      <c r="N1661" s="2197" t="str">
        <f>IF($G1661=0,"",IFERROR(_xll.ciqfunctions.udf.CIQ($G1661,$I1661,N$1557,Valuation_Date_GC,ReportType,DataMode,$H1661,FXMode)*Scale,"n/a"))</f>
        <v/>
      </c>
      <c r="O1661" s="2197" t="str">
        <f>IF($G1661=0,"",IFERROR(_xll.ciqfunctions.udf.CIQ($G1661,$I1661,O$1557,Valuation_Date_GC,ReportType,DataMode,$H1661,FXMode)*Scale,"n/a"))</f>
        <v/>
      </c>
      <c r="P1661" s="2197" t="str">
        <f>IF($G1661=0,"",IFERROR(_xll.ciqfunctions.udf.CIQ($G1661,$I1661,P$1557,Valuation_Date_GC,ReportType,DataMode,$H1661,FXMode)*Scale,"n/a"))</f>
        <v/>
      </c>
      <c r="Q1661" s="2197" t="str">
        <f>IF($G1661=0,"",IFERROR(_xll.ciqfunctions.udf.CIQ($G1661,$I1661,Q$1557,Valuation_Date_GC,ReportType,DataMode,$H1661,FXMode)*Scale,"n/a"))</f>
        <v/>
      </c>
      <c r="R1661" s="2197" t="str">
        <f>IF($G1661=0,"",IFERROR(_xll.ciqfunctions.udf.CIQ($G1661,$I1661,R$1557,Valuation_Date_GC,ReportType,DataMode,$H1661,FXMode)*Scale,"n/a"))</f>
        <v/>
      </c>
      <c r="S1661" s="2197" t="str">
        <f>IF($G1661=0,"",IFERROR(_xll.ciqfunctions.udf.CIQ($G1661,$I1661,S$1557,Valuation_Date_GC,ReportType,DataMode,$H1661,FXMode)*Scale,"n/a"))</f>
        <v/>
      </c>
      <c r="T1661" s="2197" t="str">
        <f>IF($G1661=0,"",IFERROR(_xll.ciqfunctions.udf.CIQ($G1661,$I1661,T$1557,Valuation_Date_GC,ReportType,DataMode,$H1661,FXMode)*Scale,"n/a"))</f>
        <v/>
      </c>
      <c r="U1661" s="2197" t="str">
        <f>IF($G1661=0,"",IFERROR(_xll.ciqfunctions.udf.CIQ($G1661,$I1661,U$1557,Valuation_Date_GC,ReportType,DataMode,$H1661,FXMode)*Scale,"n/a"))</f>
        <v/>
      </c>
      <c r="V1661" s="2197" t="str">
        <f>IF($G1661=0,"",IFERROR(_xll.ciqfunctions.udf.CIQ($G1661,$I1661,V$1557,Valuation_Date_GC,ReportType,DataMode,$H1661,FXMode)*Scale,"n/a"))</f>
        <v/>
      </c>
      <c r="W1661" s="1479"/>
      <c r="X1661" s="255"/>
      <c r="Y1661" s="255"/>
      <c r="Z1661" s="2060"/>
      <c r="AA1661" s="2060"/>
      <c r="AB1661" s="2060"/>
      <c r="AC1661" s="2060"/>
      <c r="AD1661" s="2060"/>
      <c r="AE1661" s="2060"/>
      <c r="AF1661" s="2060"/>
      <c r="AG1661" s="2060"/>
      <c r="AH1661" s="2060"/>
      <c r="AI1661" s="2060"/>
      <c r="AJ1661" s="2060"/>
      <c r="AK1661" s="2060"/>
      <c r="AL1661" s="2060"/>
      <c r="AM1661" s="2060"/>
      <c r="AN1661" s="2060"/>
      <c r="AO1661" s="2060"/>
      <c r="AP1661" s="2060"/>
      <c r="AQ1661" s="2060"/>
      <c r="AR1661" s="2060"/>
      <c r="AS1661" s="2060"/>
      <c r="AT1661" s="2060"/>
      <c r="AU1661" s="2060"/>
      <c r="AV1661" s="2060"/>
      <c r="AW1661" s="2060"/>
      <c r="AX1661" s="2060"/>
      <c r="AY1661" s="2060"/>
      <c r="AZ1661" s="2060"/>
      <c r="BA1661" s="2060"/>
      <c r="BB1661" s="2060"/>
      <c r="BC1661" s="2060"/>
      <c r="BD1661" s="2060"/>
      <c r="BE1661" s="2060"/>
      <c r="BF1661" s="2060"/>
      <c r="BG1661" s="2060"/>
      <c r="BH1661" s="2060"/>
      <c r="BI1661" s="2060"/>
      <c r="BJ1661" s="2060"/>
      <c r="BK1661" s="2060"/>
      <c r="BL1661" s="2060"/>
      <c r="BM1661" s="2060"/>
      <c r="BN1661" s="2060"/>
      <c r="BO1661" s="2060"/>
      <c r="BP1661" s="2060"/>
      <c r="BQ1661" s="2060"/>
      <c r="BR1661" s="2060"/>
      <c r="BS1661" s="2060"/>
      <c r="BT1661" s="2060"/>
      <c r="BU1661" s="2060"/>
      <c r="BV1661" s="2060"/>
      <c r="BW1661" s="2060"/>
      <c r="BX1661" s="2060"/>
      <c r="BY1661" s="2060"/>
      <c r="BZ1661" s="2060"/>
      <c r="CA1661" s="2060"/>
      <c r="CB1661" s="2060"/>
      <c r="CC1661" s="2060"/>
      <c r="CD1661" s="2060"/>
      <c r="CE1661" s="2060"/>
      <c r="CF1661" s="2060"/>
      <c r="CG1661" s="2060"/>
      <c r="CH1661" s="2060"/>
      <c r="CI1661" s="2060"/>
      <c r="CJ1661" s="2060"/>
      <c r="CK1661" s="2060"/>
      <c r="CL1661" s="2060"/>
      <c r="CM1661" s="2060"/>
      <c r="CN1661" s="2060"/>
      <c r="CO1661" s="2060"/>
      <c r="CP1661" s="2060"/>
      <c r="CQ1661" s="2060"/>
      <c r="CR1661" s="2060"/>
      <c r="CS1661" s="2060"/>
      <c r="CT1661" s="2060"/>
      <c r="CU1661" s="2060"/>
      <c r="CV1661" s="2060"/>
      <c r="CW1661" s="2060"/>
      <c r="CX1661" s="2060"/>
      <c r="CY1661" s="2060"/>
      <c r="CZ1661" s="2060"/>
      <c r="DA1661" s="2060"/>
      <c r="DB1661" s="2060"/>
      <c r="DC1661" s="2060"/>
      <c r="DD1661" s="2060"/>
      <c r="DE1661" s="2060"/>
      <c r="DF1661" s="2060"/>
      <c r="DG1661" s="2060"/>
      <c r="DH1661" s="2060"/>
      <c r="DI1661" s="2060"/>
      <c r="DJ1661" s="2060"/>
      <c r="DK1661" s="2060"/>
      <c r="DL1661" s="2060"/>
      <c r="DM1661" s="2060"/>
      <c r="DN1661" s="2060"/>
      <c r="DO1661" s="2060"/>
      <c r="DP1661" s="2060"/>
      <c r="DQ1661" s="2060"/>
      <c r="DR1661" s="2060"/>
      <c r="DS1661" s="2060"/>
      <c r="DT1661" s="2060"/>
      <c r="DU1661" s="2060"/>
      <c r="DV1661" s="2060"/>
      <c r="DW1661" s="2060"/>
      <c r="DX1661" s="2060"/>
      <c r="DY1661" s="2060"/>
      <c r="DZ1661" s="2060"/>
      <c r="EA1661" s="2060"/>
      <c r="EB1661" s="2060"/>
      <c r="EC1661" s="2060"/>
      <c r="ED1661" s="2060"/>
      <c r="EE1661" s="2060"/>
      <c r="EF1661" s="2060"/>
      <c r="EG1661" s="2060"/>
      <c r="EH1661" s="2060"/>
      <c r="EI1661" s="2060"/>
      <c r="EJ1661" s="2060"/>
      <c r="EK1661" s="2060"/>
      <c r="EL1661" s="2060"/>
      <c r="EM1661" s="2060"/>
      <c r="EN1661" s="2060"/>
      <c r="EO1661" s="2060"/>
      <c r="EP1661" s="2060"/>
      <c r="EQ1661" s="2060"/>
      <c r="ER1661" s="2060"/>
      <c r="ES1661" s="2060"/>
      <c r="ET1661" s="2060"/>
      <c r="EU1661" s="2060"/>
      <c r="EV1661" s="2060"/>
      <c r="EW1661" s="2060"/>
      <c r="EX1661" s="2060"/>
      <c r="EY1661" s="2060"/>
      <c r="EZ1661" s="2060"/>
      <c r="FA1661" s="2060"/>
      <c r="FB1661" s="2060"/>
      <c r="FC1661" s="2060"/>
      <c r="FD1661" s="2060"/>
      <c r="FE1661" s="2060"/>
      <c r="FF1661" s="2060"/>
      <c r="FG1661" s="2060"/>
      <c r="FH1661" s="2060"/>
      <c r="FI1661" s="2060"/>
      <c r="FJ1661" s="2060"/>
      <c r="FK1661" s="2060"/>
      <c r="FL1661" s="2060"/>
      <c r="FM1661" s="2060"/>
      <c r="FN1661" s="2060"/>
      <c r="FO1661" s="2060"/>
      <c r="FP1661" s="2060"/>
      <c r="FQ1661" s="2060"/>
      <c r="FR1661" s="2060"/>
      <c r="FS1661" s="2060"/>
      <c r="FT1661" s="2060"/>
      <c r="FU1661" s="2060"/>
      <c r="FV1661" s="2060"/>
      <c r="FW1661" s="2060"/>
      <c r="FX1661" s="2060"/>
      <c r="FY1661" s="2060"/>
      <c r="FZ1661" s="2060"/>
      <c r="GA1661" s="2060"/>
      <c r="GB1661" s="2060"/>
      <c r="GC1661" s="2060"/>
      <c r="GD1661" s="2060"/>
      <c r="GE1661" s="2060"/>
      <c r="GF1661" s="2060"/>
      <c r="GG1661" s="2060"/>
      <c r="GH1661" s="2060"/>
      <c r="GI1661" s="2060"/>
      <c r="GJ1661" s="2060"/>
      <c r="GK1661" s="2060"/>
      <c r="GL1661" s="2060"/>
      <c r="GM1661" s="2060"/>
      <c r="GN1661" s="2060"/>
      <c r="GO1661" s="2060"/>
      <c r="GP1661" s="2060"/>
      <c r="GQ1661" s="2060"/>
      <c r="GR1661" s="2060"/>
      <c r="GS1661" s="2060"/>
      <c r="GT1661" s="2060"/>
      <c r="GU1661" s="2060"/>
      <c r="GV1661" s="2060"/>
      <c r="GW1661" s="2060"/>
      <c r="GX1661" s="2060"/>
      <c r="GY1661" s="2060"/>
      <c r="GZ1661" s="2060"/>
      <c r="HA1661" s="2060"/>
      <c r="HB1661" s="2060"/>
      <c r="HC1661" s="2060"/>
      <c r="HD1661" s="2060"/>
      <c r="HE1661" s="2060"/>
      <c r="HF1661" s="2060"/>
      <c r="HG1661" s="2060"/>
      <c r="HH1661" s="2060"/>
      <c r="HI1661" s="2060"/>
      <c r="HJ1661" s="2060"/>
      <c r="HK1661" s="2060"/>
      <c r="HL1661" s="2060"/>
      <c r="HM1661" s="2060"/>
      <c r="HN1661" s="2060"/>
      <c r="HO1661" s="2060"/>
      <c r="HP1661" s="2060"/>
      <c r="HQ1661" s="2060"/>
      <c r="HR1661" s="2060"/>
      <c r="HS1661" s="2060"/>
      <c r="HT1661" s="2060"/>
      <c r="HU1661" s="2060"/>
      <c r="HV1661" s="2060"/>
      <c r="HW1661" s="2060"/>
      <c r="HX1661" s="2060"/>
      <c r="HY1661" s="2060"/>
      <c r="HZ1661" s="2060"/>
      <c r="IA1661" s="2060"/>
      <c r="IB1661" s="2060"/>
      <c r="IC1661" s="2060"/>
      <c r="ID1661" s="2060"/>
      <c r="IE1661" s="2060"/>
      <c r="IF1661" s="2060"/>
      <c r="IG1661" s="2060"/>
      <c r="IH1661" s="2060"/>
      <c r="II1661" s="2060"/>
      <c r="IJ1661" s="2060"/>
      <c r="IK1661" s="2060"/>
      <c r="IL1661" s="2060"/>
      <c r="IM1661" s="2060"/>
      <c r="IN1661" s="2060"/>
      <c r="IO1661" s="2060"/>
      <c r="IP1661" s="2060"/>
      <c r="IQ1661" s="2060"/>
      <c r="IR1661" s="2060"/>
      <c r="IS1661" s="2060"/>
      <c r="IT1661" s="2060"/>
      <c r="IU1661" s="2060"/>
      <c r="IV1661" s="2060"/>
      <c r="IW1661" s="2060"/>
      <c r="IX1661" s="2060"/>
      <c r="IY1661" s="2060"/>
      <c r="IZ1661" s="2060"/>
      <c r="JA1661" s="2060"/>
      <c r="JB1661" s="2060"/>
      <c r="JC1661" s="2060"/>
      <c r="JD1661" s="2060"/>
      <c r="JE1661" s="2060"/>
      <c r="JF1661" s="2060"/>
      <c r="JG1661" s="2060"/>
      <c r="JH1661" s="2060"/>
      <c r="JI1661" s="2060"/>
      <c r="JJ1661" s="2060"/>
      <c r="JK1661" s="2060"/>
      <c r="JL1661" s="2060"/>
      <c r="JM1661" s="2060"/>
      <c r="JN1661" s="2060"/>
      <c r="JO1661" s="2060"/>
      <c r="JP1661" s="2060"/>
      <c r="JQ1661" s="2060"/>
      <c r="JR1661" s="2060"/>
      <c r="JS1661" s="2060"/>
      <c r="JT1661" s="2060"/>
      <c r="JU1661" s="2060"/>
      <c r="JV1661" s="2060"/>
      <c r="JW1661" s="2060"/>
      <c r="JX1661" s="2060"/>
      <c r="JY1661" s="2060"/>
      <c r="JZ1661" s="2060"/>
      <c r="KA1661" s="2060"/>
      <c r="KB1661" s="2060"/>
      <c r="KC1661" s="2060"/>
      <c r="KD1661" s="2060"/>
      <c r="KE1661" s="2060"/>
      <c r="KF1661" s="2060"/>
      <c r="KG1661" s="2060"/>
      <c r="KH1661" s="2060"/>
      <c r="KI1661" s="2060"/>
      <c r="KJ1661" s="2060"/>
      <c r="KK1661" s="2060"/>
      <c r="KL1661" s="2060"/>
      <c r="KM1661" s="2060"/>
      <c r="KN1661" s="2060"/>
      <c r="KO1661" s="2060"/>
      <c r="KP1661" s="2060"/>
      <c r="KQ1661" s="2060"/>
      <c r="KR1661" s="2060"/>
      <c r="KS1661" s="2060"/>
      <c r="KT1661" s="2060"/>
      <c r="KU1661" s="2060"/>
      <c r="KV1661" s="2060"/>
      <c r="KW1661" s="2060"/>
      <c r="KX1661" s="2060"/>
      <c r="KY1661" s="2060"/>
      <c r="KZ1661" s="2060"/>
      <c r="LA1661" s="2060"/>
      <c r="LB1661" s="2060"/>
      <c r="LC1661" s="2060"/>
      <c r="LD1661" s="2060"/>
      <c r="LE1661" s="2060"/>
      <c r="LF1661" s="2060"/>
      <c r="LG1661" s="2060"/>
      <c r="LH1661" s="2060"/>
    </row>
    <row r="1662" spans="1:320" s="1499" customFormat="1" ht="13.9">
      <c r="A1662" s="269" t="str">
        <f t="shared" si="442"/>
        <v>n</v>
      </c>
      <c r="B1662" s="2060"/>
      <c r="C1662" s="2060"/>
      <c r="D1662" s="2060"/>
      <c r="E1662" s="1661">
        <v>17</v>
      </c>
      <c r="F1662" s="1353" t="str">
        <f>F$145</f>
        <v>--</v>
      </c>
      <c r="G1662" s="128">
        <f>G$145</f>
        <v>0</v>
      </c>
      <c r="H1662" s="128" t="str">
        <f>H$145</f>
        <v>--</v>
      </c>
      <c r="I1662" s="89" t="s">
        <v>786</v>
      </c>
      <c r="J1662" s="2197" t="str">
        <f>IF($G1662=0,"",IFERROR(_xll.ciqfunctions.udf.CIQ($G1662,$I1662,J$1557,Valuation_Date_GC,ReportType,DataMode,$H1662,FXMode)*Scale,"n/a"))</f>
        <v/>
      </c>
      <c r="K1662" s="2197" t="str">
        <f>IF($G1662=0,"",IFERROR(_xll.ciqfunctions.udf.CIQ($G1662,$I1662,K$1557,Valuation_Date_GC,ReportType,DataMode,$H1662,FXMode)*Scale,"n/a"))</f>
        <v/>
      </c>
      <c r="L1662" s="2197" t="str">
        <f>IF($G1662=0,"",IFERROR(_xll.ciqfunctions.udf.CIQ($G1662,$I1662,L$1557,Valuation_Date_GC,ReportType,DataMode,$H1662,FXMode)*Scale,"n/a"))</f>
        <v/>
      </c>
      <c r="M1662" s="2197" t="str">
        <f>IF($G1662=0,"",IFERROR(_xll.ciqfunctions.udf.CIQ($G1662,$I1662,M$1557,Valuation_Date_GC,ReportType,DataMode,$H1662,FXMode)*Scale,"n/a"))</f>
        <v/>
      </c>
      <c r="N1662" s="2197" t="str">
        <f>IF($G1662=0,"",IFERROR(_xll.ciqfunctions.udf.CIQ($G1662,$I1662,N$1557,Valuation_Date_GC,ReportType,DataMode,$H1662,FXMode)*Scale,"n/a"))</f>
        <v/>
      </c>
      <c r="O1662" s="2197" t="str">
        <f>IF($G1662=0,"",IFERROR(_xll.ciqfunctions.udf.CIQ($G1662,$I1662,O$1557,Valuation_Date_GC,ReportType,DataMode,$H1662,FXMode)*Scale,"n/a"))</f>
        <v/>
      </c>
      <c r="P1662" s="2197" t="str">
        <f>IF($G1662=0,"",IFERROR(_xll.ciqfunctions.udf.CIQ($G1662,$I1662,P$1557,Valuation_Date_GC,ReportType,DataMode,$H1662,FXMode)*Scale,"n/a"))</f>
        <v/>
      </c>
      <c r="Q1662" s="2197" t="str">
        <f>IF($G1662=0,"",IFERROR(_xll.ciqfunctions.udf.CIQ($G1662,$I1662,Q$1557,Valuation_Date_GC,ReportType,DataMode,$H1662,FXMode)*Scale,"n/a"))</f>
        <v/>
      </c>
      <c r="R1662" s="2197" t="str">
        <f>IF($G1662=0,"",IFERROR(_xll.ciqfunctions.udf.CIQ($G1662,$I1662,R$1557,Valuation_Date_GC,ReportType,DataMode,$H1662,FXMode)*Scale,"n/a"))</f>
        <v/>
      </c>
      <c r="S1662" s="2197" t="str">
        <f>IF($G1662=0,"",IFERROR(_xll.ciqfunctions.udf.CIQ($G1662,$I1662,S$1557,Valuation_Date_GC,ReportType,DataMode,$H1662,FXMode)*Scale,"n/a"))</f>
        <v/>
      </c>
      <c r="T1662" s="2197" t="str">
        <f>IF($G1662=0,"",IFERROR(_xll.ciqfunctions.udf.CIQ($G1662,$I1662,T$1557,Valuation_Date_GC,ReportType,DataMode,$H1662,FXMode)*Scale,"n/a"))</f>
        <v/>
      </c>
      <c r="U1662" s="2197" t="str">
        <f>IF($G1662=0,"",IFERROR(_xll.ciqfunctions.udf.CIQ($G1662,$I1662,U$1557,Valuation_Date_GC,ReportType,DataMode,$H1662,FXMode)*Scale,"n/a"))</f>
        <v/>
      </c>
      <c r="V1662" s="2197" t="str">
        <f>IF($G1662=0,"",IFERROR(_xll.ciqfunctions.udf.CIQ($G1662,$I1662,V$1557,Valuation_Date_GC,ReportType,DataMode,$H1662,FXMode)*Scale,"n/a"))</f>
        <v/>
      </c>
      <c r="W1662" s="1479"/>
      <c r="X1662" s="255"/>
      <c r="Y1662" s="255"/>
      <c r="Z1662" s="2060"/>
      <c r="AA1662" s="2060"/>
      <c r="AB1662" s="2060"/>
      <c r="AC1662" s="2060"/>
      <c r="AD1662" s="2060"/>
      <c r="AE1662" s="2060"/>
      <c r="AF1662" s="2060"/>
      <c r="AG1662" s="2060"/>
      <c r="AH1662" s="2060"/>
      <c r="AI1662" s="2060"/>
      <c r="AJ1662" s="2060"/>
      <c r="AK1662" s="2060"/>
      <c r="AL1662" s="2060"/>
      <c r="AM1662" s="2060"/>
      <c r="AN1662" s="2060"/>
      <c r="AO1662" s="2060"/>
      <c r="AP1662" s="2060"/>
      <c r="AQ1662" s="2060"/>
      <c r="AR1662" s="2060"/>
      <c r="AS1662" s="2060"/>
      <c r="AT1662" s="2060"/>
      <c r="AU1662" s="2060"/>
      <c r="AV1662" s="2060"/>
      <c r="AW1662" s="2060"/>
      <c r="AX1662" s="2060"/>
      <c r="AY1662" s="2060"/>
      <c r="AZ1662" s="2060"/>
      <c r="BA1662" s="2060"/>
      <c r="BB1662" s="2060"/>
      <c r="BC1662" s="2060"/>
      <c r="BD1662" s="2060"/>
      <c r="BE1662" s="2060"/>
      <c r="BF1662" s="2060"/>
      <c r="BG1662" s="2060"/>
      <c r="BH1662" s="2060"/>
      <c r="BI1662" s="2060"/>
      <c r="BJ1662" s="2060"/>
      <c r="BK1662" s="2060"/>
      <c r="BL1662" s="2060"/>
      <c r="BM1662" s="2060"/>
      <c r="BN1662" s="2060"/>
      <c r="BO1662" s="2060"/>
      <c r="BP1662" s="2060"/>
      <c r="BQ1662" s="2060"/>
      <c r="BR1662" s="2060"/>
      <c r="BS1662" s="2060"/>
      <c r="BT1662" s="2060"/>
      <c r="BU1662" s="2060"/>
      <c r="BV1662" s="2060"/>
      <c r="BW1662" s="2060"/>
      <c r="BX1662" s="2060"/>
      <c r="BY1662" s="2060"/>
      <c r="BZ1662" s="2060"/>
      <c r="CA1662" s="2060"/>
      <c r="CB1662" s="2060"/>
      <c r="CC1662" s="2060"/>
      <c r="CD1662" s="2060"/>
      <c r="CE1662" s="2060"/>
      <c r="CF1662" s="2060"/>
      <c r="CG1662" s="2060"/>
      <c r="CH1662" s="2060"/>
      <c r="CI1662" s="2060"/>
      <c r="CJ1662" s="2060"/>
      <c r="CK1662" s="2060"/>
      <c r="CL1662" s="2060"/>
      <c r="CM1662" s="2060"/>
      <c r="CN1662" s="2060"/>
      <c r="CO1662" s="2060"/>
      <c r="CP1662" s="2060"/>
      <c r="CQ1662" s="2060"/>
      <c r="CR1662" s="2060"/>
      <c r="CS1662" s="2060"/>
      <c r="CT1662" s="2060"/>
      <c r="CU1662" s="2060"/>
      <c r="CV1662" s="2060"/>
      <c r="CW1662" s="2060"/>
      <c r="CX1662" s="2060"/>
      <c r="CY1662" s="2060"/>
      <c r="CZ1662" s="2060"/>
      <c r="DA1662" s="2060"/>
      <c r="DB1662" s="2060"/>
      <c r="DC1662" s="2060"/>
      <c r="DD1662" s="2060"/>
      <c r="DE1662" s="2060"/>
      <c r="DF1662" s="2060"/>
      <c r="DG1662" s="2060"/>
      <c r="DH1662" s="2060"/>
      <c r="DI1662" s="2060"/>
      <c r="DJ1662" s="2060"/>
      <c r="DK1662" s="2060"/>
      <c r="DL1662" s="2060"/>
      <c r="DM1662" s="2060"/>
      <c r="DN1662" s="2060"/>
      <c r="DO1662" s="2060"/>
      <c r="DP1662" s="2060"/>
      <c r="DQ1662" s="2060"/>
      <c r="DR1662" s="2060"/>
      <c r="DS1662" s="2060"/>
      <c r="DT1662" s="2060"/>
      <c r="DU1662" s="2060"/>
      <c r="DV1662" s="2060"/>
      <c r="DW1662" s="2060"/>
      <c r="DX1662" s="2060"/>
      <c r="DY1662" s="2060"/>
      <c r="DZ1662" s="2060"/>
      <c r="EA1662" s="2060"/>
      <c r="EB1662" s="2060"/>
      <c r="EC1662" s="2060"/>
      <c r="ED1662" s="2060"/>
      <c r="EE1662" s="2060"/>
      <c r="EF1662" s="2060"/>
      <c r="EG1662" s="2060"/>
      <c r="EH1662" s="2060"/>
      <c r="EI1662" s="2060"/>
      <c r="EJ1662" s="2060"/>
      <c r="EK1662" s="2060"/>
      <c r="EL1662" s="2060"/>
      <c r="EM1662" s="2060"/>
      <c r="EN1662" s="2060"/>
      <c r="EO1662" s="2060"/>
      <c r="EP1662" s="2060"/>
      <c r="EQ1662" s="2060"/>
      <c r="ER1662" s="2060"/>
      <c r="ES1662" s="2060"/>
      <c r="ET1662" s="2060"/>
      <c r="EU1662" s="2060"/>
      <c r="EV1662" s="2060"/>
      <c r="EW1662" s="2060"/>
      <c r="EX1662" s="2060"/>
      <c r="EY1662" s="2060"/>
      <c r="EZ1662" s="2060"/>
      <c r="FA1662" s="2060"/>
      <c r="FB1662" s="2060"/>
      <c r="FC1662" s="2060"/>
      <c r="FD1662" s="2060"/>
      <c r="FE1662" s="2060"/>
      <c r="FF1662" s="2060"/>
      <c r="FG1662" s="2060"/>
      <c r="FH1662" s="2060"/>
      <c r="FI1662" s="2060"/>
      <c r="FJ1662" s="2060"/>
      <c r="FK1662" s="2060"/>
      <c r="FL1662" s="2060"/>
      <c r="FM1662" s="2060"/>
      <c r="FN1662" s="2060"/>
      <c r="FO1662" s="2060"/>
      <c r="FP1662" s="2060"/>
      <c r="FQ1662" s="2060"/>
      <c r="FR1662" s="2060"/>
      <c r="FS1662" s="2060"/>
      <c r="FT1662" s="2060"/>
      <c r="FU1662" s="2060"/>
      <c r="FV1662" s="2060"/>
      <c r="FW1662" s="2060"/>
      <c r="FX1662" s="2060"/>
      <c r="FY1662" s="2060"/>
      <c r="FZ1662" s="2060"/>
      <c r="GA1662" s="2060"/>
      <c r="GB1662" s="2060"/>
      <c r="GC1662" s="2060"/>
      <c r="GD1662" s="2060"/>
      <c r="GE1662" s="2060"/>
      <c r="GF1662" s="2060"/>
      <c r="GG1662" s="2060"/>
      <c r="GH1662" s="2060"/>
      <c r="GI1662" s="2060"/>
      <c r="GJ1662" s="2060"/>
      <c r="GK1662" s="2060"/>
      <c r="GL1662" s="2060"/>
      <c r="GM1662" s="2060"/>
      <c r="GN1662" s="2060"/>
      <c r="GO1662" s="2060"/>
      <c r="GP1662" s="2060"/>
      <c r="GQ1662" s="2060"/>
      <c r="GR1662" s="2060"/>
      <c r="GS1662" s="2060"/>
      <c r="GT1662" s="2060"/>
      <c r="GU1662" s="2060"/>
      <c r="GV1662" s="2060"/>
      <c r="GW1662" s="2060"/>
      <c r="GX1662" s="2060"/>
      <c r="GY1662" s="2060"/>
      <c r="GZ1662" s="2060"/>
      <c r="HA1662" s="2060"/>
      <c r="HB1662" s="2060"/>
      <c r="HC1662" s="2060"/>
      <c r="HD1662" s="2060"/>
      <c r="HE1662" s="2060"/>
      <c r="HF1662" s="2060"/>
      <c r="HG1662" s="2060"/>
      <c r="HH1662" s="2060"/>
      <c r="HI1662" s="2060"/>
      <c r="HJ1662" s="2060"/>
      <c r="HK1662" s="2060"/>
      <c r="HL1662" s="2060"/>
      <c r="HM1662" s="2060"/>
      <c r="HN1662" s="2060"/>
      <c r="HO1662" s="2060"/>
      <c r="HP1662" s="2060"/>
      <c r="HQ1662" s="2060"/>
      <c r="HR1662" s="2060"/>
      <c r="HS1662" s="2060"/>
      <c r="HT1662" s="2060"/>
      <c r="HU1662" s="2060"/>
      <c r="HV1662" s="2060"/>
      <c r="HW1662" s="2060"/>
      <c r="HX1662" s="2060"/>
      <c r="HY1662" s="2060"/>
      <c r="HZ1662" s="2060"/>
      <c r="IA1662" s="2060"/>
      <c r="IB1662" s="2060"/>
      <c r="IC1662" s="2060"/>
      <c r="ID1662" s="2060"/>
      <c r="IE1662" s="2060"/>
      <c r="IF1662" s="2060"/>
      <c r="IG1662" s="2060"/>
      <c r="IH1662" s="2060"/>
      <c r="II1662" s="2060"/>
      <c r="IJ1662" s="2060"/>
      <c r="IK1662" s="2060"/>
      <c r="IL1662" s="2060"/>
      <c r="IM1662" s="2060"/>
      <c r="IN1662" s="2060"/>
      <c r="IO1662" s="2060"/>
      <c r="IP1662" s="2060"/>
      <c r="IQ1662" s="2060"/>
      <c r="IR1662" s="2060"/>
      <c r="IS1662" s="2060"/>
      <c r="IT1662" s="2060"/>
      <c r="IU1662" s="2060"/>
      <c r="IV1662" s="2060"/>
      <c r="IW1662" s="2060"/>
      <c r="IX1662" s="2060"/>
      <c r="IY1662" s="2060"/>
      <c r="IZ1662" s="2060"/>
      <c r="JA1662" s="2060"/>
      <c r="JB1662" s="2060"/>
      <c r="JC1662" s="2060"/>
      <c r="JD1662" s="2060"/>
      <c r="JE1662" s="2060"/>
      <c r="JF1662" s="2060"/>
      <c r="JG1662" s="2060"/>
      <c r="JH1662" s="2060"/>
      <c r="JI1662" s="2060"/>
      <c r="JJ1662" s="2060"/>
      <c r="JK1662" s="2060"/>
      <c r="JL1662" s="2060"/>
      <c r="JM1662" s="2060"/>
      <c r="JN1662" s="2060"/>
      <c r="JO1662" s="2060"/>
      <c r="JP1662" s="2060"/>
      <c r="JQ1662" s="2060"/>
      <c r="JR1662" s="2060"/>
      <c r="JS1662" s="2060"/>
      <c r="JT1662" s="2060"/>
      <c r="JU1662" s="2060"/>
      <c r="JV1662" s="2060"/>
      <c r="JW1662" s="2060"/>
      <c r="JX1662" s="2060"/>
      <c r="JY1662" s="2060"/>
      <c r="JZ1662" s="2060"/>
      <c r="KA1662" s="2060"/>
      <c r="KB1662" s="2060"/>
      <c r="KC1662" s="2060"/>
      <c r="KD1662" s="2060"/>
      <c r="KE1662" s="2060"/>
      <c r="KF1662" s="2060"/>
      <c r="KG1662" s="2060"/>
      <c r="KH1662" s="2060"/>
      <c r="KI1662" s="2060"/>
      <c r="KJ1662" s="2060"/>
      <c r="KK1662" s="2060"/>
      <c r="KL1662" s="2060"/>
      <c r="KM1662" s="2060"/>
      <c r="KN1662" s="2060"/>
      <c r="KO1662" s="2060"/>
      <c r="KP1662" s="2060"/>
      <c r="KQ1662" s="2060"/>
      <c r="KR1662" s="2060"/>
      <c r="KS1662" s="2060"/>
      <c r="KT1662" s="2060"/>
      <c r="KU1662" s="2060"/>
      <c r="KV1662" s="2060"/>
      <c r="KW1662" s="2060"/>
      <c r="KX1662" s="2060"/>
      <c r="KY1662" s="2060"/>
      <c r="KZ1662" s="2060"/>
      <c r="LA1662" s="2060"/>
      <c r="LB1662" s="2060"/>
      <c r="LC1662" s="2060"/>
      <c r="LD1662" s="2060"/>
      <c r="LE1662" s="2060"/>
      <c r="LF1662" s="2060"/>
      <c r="LG1662" s="2060"/>
      <c r="LH1662" s="2060"/>
    </row>
    <row r="1663" spans="1:320" s="1499" customFormat="1" ht="13.9">
      <c r="A1663" s="269" t="str">
        <f t="shared" si="442"/>
        <v>n</v>
      </c>
      <c r="B1663" s="2060"/>
      <c r="C1663" s="2060"/>
      <c r="D1663" s="2060"/>
      <c r="E1663" s="1661">
        <v>18</v>
      </c>
      <c r="F1663" s="1353" t="str">
        <f>F$146</f>
        <v>--</v>
      </c>
      <c r="G1663" s="128">
        <f>G$146</f>
        <v>0</v>
      </c>
      <c r="H1663" s="128" t="str">
        <f>H$146</f>
        <v>--</v>
      </c>
      <c r="I1663" s="89" t="s">
        <v>786</v>
      </c>
      <c r="J1663" s="2197" t="str">
        <f>IF($G1663=0,"",IFERROR(_xll.ciqfunctions.udf.CIQ($G1663,$I1663,J$1557,Valuation_Date_GC,ReportType,DataMode,$H1663,FXMode)*Scale,"n/a"))</f>
        <v/>
      </c>
      <c r="K1663" s="2197" t="str">
        <f>IF($G1663=0,"",IFERROR(_xll.ciqfunctions.udf.CIQ($G1663,$I1663,K$1557,Valuation_Date_GC,ReportType,DataMode,$H1663,FXMode)*Scale,"n/a"))</f>
        <v/>
      </c>
      <c r="L1663" s="2197" t="str">
        <f>IF($G1663=0,"",IFERROR(_xll.ciqfunctions.udf.CIQ($G1663,$I1663,L$1557,Valuation_Date_GC,ReportType,DataMode,$H1663,FXMode)*Scale,"n/a"))</f>
        <v/>
      </c>
      <c r="M1663" s="2197" t="str">
        <f>IF($G1663=0,"",IFERROR(_xll.ciqfunctions.udf.CIQ($G1663,$I1663,M$1557,Valuation_Date_GC,ReportType,DataMode,$H1663,FXMode)*Scale,"n/a"))</f>
        <v/>
      </c>
      <c r="N1663" s="2197" t="str">
        <f>IF($G1663=0,"",IFERROR(_xll.ciqfunctions.udf.CIQ($G1663,$I1663,N$1557,Valuation_Date_GC,ReportType,DataMode,$H1663,FXMode)*Scale,"n/a"))</f>
        <v/>
      </c>
      <c r="O1663" s="2197" t="str">
        <f>IF($G1663=0,"",IFERROR(_xll.ciqfunctions.udf.CIQ($G1663,$I1663,O$1557,Valuation_Date_GC,ReportType,DataMode,$H1663,FXMode)*Scale,"n/a"))</f>
        <v/>
      </c>
      <c r="P1663" s="2197" t="str">
        <f>IF($G1663=0,"",IFERROR(_xll.ciqfunctions.udf.CIQ($G1663,$I1663,P$1557,Valuation_Date_GC,ReportType,DataMode,$H1663,FXMode)*Scale,"n/a"))</f>
        <v/>
      </c>
      <c r="Q1663" s="2197" t="str">
        <f>IF($G1663=0,"",IFERROR(_xll.ciqfunctions.udf.CIQ($G1663,$I1663,Q$1557,Valuation_Date_GC,ReportType,DataMode,$H1663,FXMode)*Scale,"n/a"))</f>
        <v/>
      </c>
      <c r="R1663" s="2197" t="str">
        <f>IF($G1663=0,"",IFERROR(_xll.ciqfunctions.udf.CIQ($G1663,$I1663,R$1557,Valuation_Date_GC,ReportType,DataMode,$H1663,FXMode)*Scale,"n/a"))</f>
        <v/>
      </c>
      <c r="S1663" s="2197" t="str">
        <f>IF($G1663=0,"",IFERROR(_xll.ciqfunctions.udf.CIQ($G1663,$I1663,S$1557,Valuation_Date_GC,ReportType,DataMode,$H1663,FXMode)*Scale,"n/a"))</f>
        <v/>
      </c>
      <c r="T1663" s="2197" t="str">
        <f>IF($G1663=0,"",IFERROR(_xll.ciqfunctions.udf.CIQ($G1663,$I1663,T$1557,Valuation_Date_GC,ReportType,DataMode,$H1663,FXMode)*Scale,"n/a"))</f>
        <v/>
      </c>
      <c r="U1663" s="2197" t="str">
        <f>IF($G1663=0,"",IFERROR(_xll.ciqfunctions.udf.CIQ($G1663,$I1663,U$1557,Valuation_Date_GC,ReportType,DataMode,$H1663,FXMode)*Scale,"n/a"))</f>
        <v/>
      </c>
      <c r="V1663" s="2197" t="str">
        <f>IF($G1663=0,"",IFERROR(_xll.ciqfunctions.udf.CIQ($G1663,$I1663,V$1557,Valuation_Date_GC,ReportType,DataMode,$H1663,FXMode)*Scale,"n/a"))</f>
        <v/>
      </c>
      <c r="W1663" s="1479"/>
      <c r="X1663" s="255"/>
      <c r="Y1663" s="255"/>
      <c r="Z1663" s="2060"/>
      <c r="AA1663" s="2060"/>
      <c r="AB1663" s="2060"/>
      <c r="AC1663" s="2060"/>
      <c r="AD1663" s="2060"/>
      <c r="AE1663" s="2060"/>
      <c r="AF1663" s="2060"/>
      <c r="AG1663" s="2060"/>
      <c r="AH1663" s="2060"/>
      <c r="AI1663" s="2060"/>
      <c r="AJ1663" s="2060"/>
      <c r="AK1663" s="2060"/>
      <c r="AL1663" s="2060"/>
      <c r="AM1663" s="2060"/>
      <c r="AN1663" s="2060"/>
      <c r="AO1663" s="2060"/>
      <c r="AP1663" s="2060"/>
      <c r="AQ1663" s="2060"/>
      <c r="AR1663" s="2060"/>
      <c r="AS1663" s="2060"/>
      <c r="AT1663" s="2060"/>
      <c r="AU1663" s="2060"/>
      <c r="AV1663" s="2060"/>
      <c r="AW1663" s="2060"/>
      <c r="AX1663" s="2060"/>
      <c r="AY1663" s="2060"/>
      <c r="AZ1663" s="2060"/>
      <c r="BA1663" s="2060"/>
      <c r="BB1663" s="2060"/>
      <c r="BC1663" s="2060"/>
      <c r="BD1663" s="2060"/>
      <c r="BE1663" s="2060"/>
      <c r="BF1663" s="2060"/>
      <c r="BG1663" s="2060"/>
      <c r="BH1663" s="2060"/>
      <c r="BI1663" s="2060"/>
      <c r="BJ1663" s="2060"/>
      <c r="BK1663" s="2060"/>
      <c r="BL1663" s="2060"/>
      <c r="BM1663" s="2060"/>
      <c r="BN1663" s="2060"/>
      <c r="BO1663" s="2060"/>
      <c r="BP1663" s="2060"/>
      <c r="BQ1663" s="2060"/>
      <c r="BR1663" s="2060"/>
      <c r="BS1663" s="2060"/>
      <c r="BT1663" s="2060"/>
      <c r="BU1663" s="2060"/>
      <c r="BV1663" s="2060"/>
      <c r="BW1663" s="2060"/>
      <c r="BX1663" s="2060"/>
      <c r="BY1663" s="2060"/>
      <c r="BZ1663" s="2060"/>
      <c r="CA1663" s="2060"/>
      <c r="CB1663" s="2060"/>
      <c r="CC1663" s="2060"/>
      <c r="CD1663" s="2060"/>
      <c r="CE1663" s="2060"/>
      <c r="CF1663" s="2060"/>
      <c r="CG1663" s="2060"/>
      <c r="CH1663" s="2060"/>
      <c r="CI1663" s="2060"/>
      <c r="CJ1663" s="2060"/>
      <c r="CK1663" s="2060"/>
      <c r="CL1663" s="2060"/>
      <c r="CM1663" s="2060"/>
      <c r="CN1663" s="2060"/>
      <c r="CO1663" s="2060"/>
      <c r="CP1663" s="2060"/>
      <c r="CQ1663" s="2060"/>
      <c r="CR1663" s="2060"/>
      <c r="CS1663" s="2060"/>
      <c r="CT1663" s="2060"/>
      <c r="CU1663" s="2060"/>
      <c r="CV1663" s="2060"/>
      <c r="CW1663" s="2060"/>
      <c r="CX1663" s="2060"/>
      <c r="CY1663" s="2060"/>
      <c r="CZ1663" s="2060"/>
      <c r="DA1663" s="2060"/>
      <c r="DB1663" s="2060"/>
      <c r="DC1663" s="2060"/>
      <c r="DD1663" s="2060"/>
      <c r="DE1663" s="2060"/>
      <c r="DF1663" s="2060"/>
      <c r="DG1663" s="2060"/>
      <c r="DH1663" s="2060"/>
      <c r="DI1663" s="2060"/>
      <c r="DJ1663" s="2060"/>
      <c r="DK1663" s="2060"/>
      <c r="DL1663" s="2060"/>
      <c r="DM1663" s="2060"/>
      <c r="DN1663" s="2060"/>
      <c r="DO1663" s="2060"/>
      <c r="DP1663" s="2060"/>
      <c r="DQ1663" s="2060"/>
      <c r="DR1663" s="2060"/>
      <c r="DS1663" s="2060"/>
      <c r="DT1663" s="2060"/>
      <c r="DU1663" s="2060"/>
      <c r="DV1663" s="2060"/>
      <c r="DW1663" s="2060"/>
      <c r="DX1663" s="2060"/>
      <c r="DY1663" s="2060"/>
      <c r="DZ1663" s="2060"/>
      <c r="EA1663" s="2060"/>
      <c r="EB1663" s="2060"/>
      <c r="EC1663" s="2060"/>
      <c r="ED1663" s="2060"/>
      <c r="EE1663" s="2060"/>
      <c r="EF1663" s="2060"/>
      <c r="EG1663" s="2060"/>
      <c r="EH1663" s="2060"/>
      <c r="EI1663" s="2060"/>
      <c r="EJ1663" s="2060"/>
      <c r="EK1663" s="2060"/>
      <c r="EL1663" s="2060"/>
      <c r="EM1663" s="2060"/>
      <c r="EN1663" s="2060"/>
      <c r="EO1663" s="2060"/>
      <c r="EP1663" s="2060"/>
      <c r="EQ1663" s="2060"/>
      <c r="ER1663" s="2060"/>
      <c r="ES1663" s="2060"/>
      <c r="ET1663" s="2060"/>
      <c r="EU1663" s="2060"/>
      <c r="EV1663" s="2060"/>
      <c r="EW1663" s="2060"/>
      <c r="EX1663" s="2060"/>
      <c r="EY1663" s="2060"/>
      <c r="EZ1663" s="2060"/>
      <c r="FA1663" s="2060"/>
      <c r="FB1663" s="2060"/>
      <c r="FC1663" s="2060"/>
      <c r="FD1663" s="2060"/>
      <c r="FE1663" s="2060"/>
      <c r="FF1663" s="2060"/>
      <c r="FG1663" s="2060"/>
      <c r="FH1663" s="2060"/>
      <c r="FI1663" s="2060"/>
      <c r="FJ1663" s="2060"/>
      <c r="FK1663" s="2060"/>
      <c r="FL1663" s="2060"/>
      <c r="FM1663" s="2060"/>
      <c r="FN1663" s="2060"/>
      <c r="FO1663" s="2060"/>
      <c r="FP1663" s="2060"/>
      <c r="FQ1663" s="2060"/>
      <c r="FR1663" s="2060"/>
      <c r="FS1663" s="2060"/>
      <c r="FT1663" s="2060"/>
      <c r="FU1663" s="2060"/>
      <c r="FV1663" s="2060"/>
      <c r="FW1663" s="2060"/>
      <c r="FX1663" s="2060"/>
      <c r="FY1663" s="2060"/>
      <c r="FZ1663" s="2060"/>
      <c r="GA1663" s="2060"/>
      <c r="GB1663" s="2060"/>
      <c r="GC1663" s="2060"/>
      <c r="GD1663" s="2060"/>
      <c r="GE1663" s="2060"/>
      <c r="GF1663" s="2060"/>
      <c r="GG1663" s="2060"/>
      <c r="GH1663" s="2060"/>
      <c r="GI1663" s="2060"/>
      <c r="GJ1663" s="2060"/>
      <c r="GK1663" s="2060"/>
      <c r="GL1663" s="2060"/>
      <c r="GM1663" s="2060"/>
      <c r="GN1663" s="2060"/>
      <c r="GO1663" s="2060"/>
      <c r="GP1663" s="2060"/>
      <c r="GQ1663" s="2060"/>
      <c r="GR1663" s="2060"/>
      <c r="GS1663" s="2060"/>
      <c r="GT1663" s="2060"/>
      <c r="GU1663" s="2060"/>
      <c r="GV1663" s="2060"/>
      <c r="GW1663" s="2060"/>
      <c r="GX1663" s="2060"/>
      <c r="GY1663" s="2060"/>
      <c r="GZ1663" s="2060"/>
      <c r="HA1663" s="2060"/>
      <c r="HB1663" s="2060"/>
      <c r="HC1663" s="2060"/>
      <c r="HD1663" s="2060"/>
      <c r="HE1663" s="2060"/>
      <c r="HF1663" s="2060"/>
      <c r="HG1663" s="2060"/>
      <c r="HH1663" s="2060"/>
      <c r="HI1663" s="2060"/>
      <c r="HJ1663" s="2060"/>
      <c r="HK1663" s="2060"/>
      <c r="HL1663" s="2060"/>
      <c r="HM1663" s="2060"/>
      <c r="HN1663" s="2060"/>
      <c r="HO1663" s="2060"/>
      <c r="HP1663" s="2060"/>
      <c r="HQ1663" s="2060"/>
      <c r="HR1663" s="2060"/>
      <c r="HS1663" s="2060"/>
      <c r="HT1663" s="2060"/>
      <c r="HU1663" s="2060"/>
      <c r="HV1663" s="2060"/>
      <c r="HW1663" s="2060"/>
      <c r="HX1663" s="2060"/>
      <c r="HY1663" s="2060"/>
      <c r="HZ1663" s="2060"/>
      <c r="IA1663" s="2060"/>
      <c r="IB1663" s="2060"/>
      <c r="IC1663" s="2060"/>
      <c r="ID1663" s="2060"/>
      <c r="IE1663" s="2060"/>
      <c r="IF1663" s="2060"/>
      <c r="IG1663" s="2060"/>
      <c r="IH1663" s="2060"/>
      <c r="II1663" s="2060"/>
      <c r="IJ1663" s="2060"/>
      <c r="IK1663" s="2060"/>
      <c r="IL1663" s="2060"/>
      <c r="IM1663" s="2060"/>
      <c r="IN1663" s="2060"/>
      <c r="IO1663" s="2060"/>
      <c r="IP1663" s="2060"/>
      <c r="IQ1663" s="2060"/>
      <c r="IR1663" s="2060"/>
      <c r="IS1663" s="2060"/>
      <c r="IT1663" s="2060"/>
      <c r="IU1663" s="2060"/>
      <c r="IV1663" s="2060"/>
      <c r="IW1663" s="2060"/>
      <c r="IX1663" s="2060"/>
      <c r="IY1663" s="2060"/>
      <c r="IZ1663" s="2060"/>
      <c r="JA1663" s="2060"/>
      <c r="JB1663" s="2060"/>
      <c r="JC1663" s="2060"/>
      <c r="JD1663" s="2060"/>
      <c r="JE1663" s="2060"/>
      <c r="JF1663" s="2060"/>
      <c r="JG1663" s="2060"/>
      <c r="JH1663" s="2060"/>
      <c r="JI1663" s="2060"/>
      <c r="JJ1663" s="2060"/>
      <c r="JK1663" s="2060"/>
      <c r="JL1663" s="2060"/>
      <c r="JM1663" s="2060"/>
      <c r="JN1663" s="2060"/>
      <c r="JO1663" s="2060"/>
      <c r="JP1663" s="2060"/>
      <c r="JQ1663" s="2060"/>
      <c r="JR1663" s="2060"/>
      <c r="JS1663" s="2060"/>
      <c r="JT1663" s="2060"/>
      <c r="JU1663" s="2060"/>
      <c r="JV1663" s="2060"/>
      <c r="JW1663" s="2060"/>
      <c r="JX1663" s="2060"/>
      <c r="JY1663" s="2060"/>
      <c r="JZ1663" s="2060"/>
      <c r="KA1663" s="2060"/>
      <c r="KB1663" s="2060"/>
      <c r="KC1663" s="2060"/>
      <c r="KD1663" s="2060"/>
      <c r="KE1663" s="2060"/>
      <c r="KF1663" s="2060"/>
      <c r="KG1663" s="2060"/>
      <c r="KH1663" s="2060"/>
      <c r="KI1663" s="2060"/>
      <c r="KJ1663" s="2060"/>
      <c r="KK1663" s="2060"/>
      <c r="KL1663" s="2060"/>
      <c r="KM1663" s="2060"/>
      <c r="KN1663" s="2060"/>
      <c r="KO1663" s="2060"/>
      <c r="KP1663" s="2060"/>
      <c r="KQ1663" s="2060"/>
      <c r="KR1663" s="2060"/>
      <c r="KS1663" s="2060"/>
      <c r="KT1663" s="2060"/>
      <c r="KU1663" s="2060"/>
      <c r="KV1663" s="2060"/>
      <c r="KW1663" s="2060"/>
      <c r="KX1663" s="2060"/>
      <c r="KY1663" s="2060"/>
      <c r="KZ1663" s="2060"/>
      <c r="LA1663" s="2060"/>
      <c r="LB1663" s="2060"/>
      <c r="LC1663" s="2060"/>
      <c r="LD1663" s="2060"/>
      <c r="LE1663" s="2060"/>
      <c r="LF1663" s="2060"/>
      <c r="LG1663" s="2060"/>
      <c r="LH1663" s="2060"/>
    </row>
    <row r="1664" spans="1:320" s="1499" customFormat="1" ht="13.9">
      <c r="A1664" s="269" t="str">
        <f t="shared" si="442"/>
        <v>n</v>
      </c>
      <c r="B1664" s="2060"/>
      <c r="C1664" s="2060"/>
      <c r="D1664" s="2060"/>
      <c r="E1664" s="1661">
        <v>19</v>
      </c>
      <c r="F1664" s="1353" t="str">
        <f>F$147</f>
        <v>--</v>
      </c>
      <c r="G1664" s="128">
        <f>G$147</f>
        <v>0</v>
      </c>
      <c r="H1664" s="128" t="str">
        <f>H$147</f>
        <v>--</v>
      </c>
      <c r="I1664" s="89" t="s">
        <v>786</v>
      </c>
      <c r="J1664" s="2197" t="str">
        <f>IF($G1664=0,"",IFERROR(_xll.ciqfunctions.udf.CIQ($G1664,$I1664,J$1557,Valuation_Date_GC,ReportType,DataMode,$H1664,FXMode)*Scale,"n/a"))</f>
        <v/>
      </c>
      <c r="K1664" s="2197" t="str">
        <f>IF($G1664=0,"",IFERROR(_xll.ciqfunctions.udf.CIQ($G1664,$I1664,K$1557,Valuation_Date_GC,ReportType,DataMode,$H1664,FXMode)*Scale,"n/a"))</f>
        <v/>
      </c>
      <c r="L1664" s="2197" t="str">
        <f>IF($G1664=0,"",IFERROR(_xll.ciqfunctions.udf.CIQ($G1664,$I1664,L$1557,Valuation_Date_GC,ReportType,DataMode,$H1664,FXMode)*Scale,"n/a"))</f>
        <v/>
      </c>
      <c r="M1664" s="2197" t="str">
        <f>IF($G1664=0,"",IFERROR(_xll.ciqfunctions.udf.CIQ($G1664,$I1664,M$1557,Valuation_Date_GC,ReportType,DataMode,$H1664,FXMode)*Scale,"n/a"))</f>
        <v/>
      </c>
      <c r="N1664" s="2197" t="str">
        <f>IF($G1664=0,"",IFERROR(_xll.ciqfunctions.udf.CIQ($G1664,$I1664,N$1557,Valuation_Date_GC,ReportType,DataMode,$H1664,FXMode)*Scale,"n/a"))</f>
        <v/>
      </c>
      <c r="O1664" s="2197" t="str">
        <f>IF($G1664=0,"",IFERROR(_xll.ciqfunctions.udf.CIQ($G1664,$I1664,O$1557,Valuation_Date_GC,ReportType,DataMode,$H1664,FXMode)*Scale,"n/a"))</f>
        <v/>
      </c>
      <c r="P1664" s="2197" t="str">
        <f>IF($G1664=0,"",IFERROR(_xll.ciqfunctions.udf.CIQ($G1664,$I1664,P$1557,Valuation_Date_GC,ReportType,DataMode,$H1664,FXMode)*Scale,"n/a"))</f>
        <v/>
      </c>
      <c r="Q1664" s="2197" t="str">
        <f>IF($G1664=0,"",IFERROR(_xll.ciqfunctions.udf.CIQ($G1664,$I1664,Q$1557,Valuation_Date_GC,ReportType,DataMode,$H1664,FXMode)*Scale,"n/a"))</f>
        <v/>
      </c>
      <c r="R1664" s="2197" t="str">
        <f>IF($G1664=0,"",IFERROR(_xll.ciqfunctions.udf.CIQ($G1664,$I1664,R$1557,Valuation_Date_GC,ReportType,DataMode,$H1664,FXMode)*Scale,"n/a"))</f>
        <v/>
      </c>
      <c r="S1664" s="2197" t="str">
        <f>IF($G1664=0,"",IFERROR(_xll.ciqfunctions.udf.CIQ($G1664,$I1664,S$1557,Valuation_Date_GC,ReportType,DataMode,$H1664,FXMode)*Scale,"n/a"))</f>
        <v/>
      </c>
      <c r="T1664" s="2197" t="str">
        <f>IF($G1664=0,"",IFERROR(_xll.ciqfunctions.udf.CIQ($G1664,$I1664,T$1557,Valuation_Date_GC,ReportType,DataMode,$H1664,FXMode)*Scale,"n/a"))</f>
        <v/>
      </c>
      <c r="U1664" s="2197" t="str">
        <f>IF($G1664=0,"",IFERROR(_xll.ciqfunctions.udf.CIQ($G1664,$I1664,U$1557,Valuation_Date_GC,ReportType,DataMode,$H1664,FXMode)*Scale,"n/a"))</f>
        <v/>
      </c>
      <c r="V1664" s="2197" t="str">
        <f>IF($G1664=0,"",IFERROR(_xll.ciqfunctions.udf.CIQ($G1664,$I1664,V$1557,Valuation_Date_GC,ReportType,DataMode,$H1664,FXMode)*Scale,"n/a"))</f>
        <v/>
      </c>
      <c r="W1664" s="1479"/>
      <c r="X1664" s="255"/>
      <c r="Y1664" s="255"/>
      <c r="Z1664" s="2060"/>
      <c r="AA1664" s="2060"/>
      <c r="AB1664" s="2060"/>
      <c r="AC1664" s="2060"/>
      <c r="AD1664" s="2060"/>
      <c r="AE1664" s="2060"/>
      <c r="AF1664" s="2060"/>
      <c r="AG1664" s="2060"/>
      <c r="AH1664" s="2060"/>
      <c r="AI1664" s="2060"/>
      <c r="AJ1664" s="2060"/>
      <c r="AK1664" s="2060"/>
      <c r="AL1664" s="2060"/>
      <c r="AM1664" s="2060"/>
      <c r="AN1664" s="2060"/>
      <c r="AO1664" s="2060"/>
      <c r="AP1664" s="2060"/>
      <c r="AQ1664" s="2060"/>
      <c r="AR1664" s="2060"/>
      <c r="AS1664" s="2060"/>
      <c r="AT1664" s="2060"/>
      <c r="AU1664" s="2060"/>
      <c r="AV1664" s="2060"/>
      <c r="AW1664" s="2060"/>
      <c r="AX1664" s="2060"/>
      <c r="AY1664" s="2060"/>
      <c r="AZ1664" s="2060"/>
      <c r="BA1664" s="2060"/>
      <c r="BB1664" s="2060"/>
      <c r="BC1664" s="2060"/>
      <c r="BD1664" s="2060"/>
      <c r="BE1664" s="2060"/>
      <c r="BF1664" s="2060"/>
      <c r="BG1664" s="2060"/>
      <c r="BH1664" s="2060"/>
      <c r="BI1664" s="2060"/>
      <c r="BJ1664" s="2060"/>
      <c r="BK1664" s="2060"/>
      <c r="BL1664" s="2060"/>
      <c r="BM1664" s="2060"/>
      <c r="BN1664" s="2060"/>
      <c r="BO1664" s="2060"/>
      <c r="BP1664" s="2060"/>
      <c r="BQ1664" s="2060"/>
      <c r="BR1664" s="2060"/>
      <c r="BS1664" s="2060"/>
      <c r="BT1664" s="2060"/>
      <c r="BU1664" s="2060"/>
      <c r="BV1664" s="2060"/>
      <c r="BW1664" s="2060"/>
      <c r="BX1664" s="2060"/>
      <c r="BY1664" s="2060"/>
      <c r="BZ1664" s="2060"/>
      <c r="CA1664" s="2060"/>
      <c r="CB1664" s="2060"/>
      <c r="CC1664" s="2060"/>
      <c r="CD1664" s="2060"/>
      <c r="CE1664" s="2060"/>
      <c r="CF1664" s="2060"/>
      <c r="CG1664" s="2060"/>
      <c r="CH1664" s="2060"/>
      <c r="CI1664" s="2060"/>
      <c r="CJ1664" s="2060"/>
      <c r="CK1664" s="2060"/>
      <c r="CL1664" s="2060"/>
      <c r="CM1664" s="2060"/>
      <c r="CN1664" s="2060"/>
      <c r="CO1664" s="2060"/>
      <c r="CP1664" s="2060"/>
      <c r="CQ1664" s="2060"/>
      <c r="CR1664" s="2060"/>
      <c r="CS1664" s="2060"/>
      <c r="CT1664" s="2060"/>
      <c r="CU1664" s="2060"/>
      <c r="CV1664" s="2060"/>
      <c r="CW1664" s="2060"/>
      <c r="CX1664" s="2060"/>
      <c r="CY1664" s="2060"/>
      <c r="CZ1664" s="2060"/>
      <c r="DA1664" s="2060"/>
      <c r="DB1664" s="2060"/>
      <c r="DC1664" s="2060"/>
      <c r="DD1664" s="2060"/>
      <c r="DE1664" s="2060"/>
      <c r="DF1664" s="2060"/>
      <c r="DG1664" s="2060"/>
      <c r="DH1664" s="2060"/>
      <c r="DI1664" s="2060"/>
      <c r="DJ1664" s="2060"/>
      <c r="DK1664" s="2060"/>
      <c r="DL1664" s="2060"/>
      <c r="DM1664" s="2060"/>
      <c r="DN1664" s="2060"/>
      <c r="DO1664" s="2060"/>
      <c r="DP1664" s="2060"/>
      <c r="DQ1664" s="2060"/>
      <c r="DR1664" s="2060"/>
      <c r="DS1664" s="2060"/>
      <c r="DT1664" s="2060"/>
      <c r="DU1664" s="2060"/>
      <c r="DV1664" s="2060"/>
      <c r="DW1664" s="2060"/>
      <c r="DX1664" s="2060"/>
      <c r="DY1664" s="2060"/>
      <c r="DZ1664" s="2060"/>
      <c r="EA1664" s="2060"/>
      <c r="EB1664" s="2060"/>
      <c r="EC1664" s="2060"/>
      <c r="ED1664" s="2060"/>
      <c r="EE1664" s="2060"/>
      <c r="EF1664" s="2060"/>
      <c r="EG1664" s="2060"/>
      <c r="EH1664" s="2060"/>
      <c r="EI1664" s="2060"/>
      <c r="EJ1664" s="2060"/>
      <c r="EK1664" s="2060"/>
      <c r="EL1664" s="2060"/>
      <c r="EM1664" s="2060"/>
      <c r="EN1664" s="2060"/>
      <c r="EO1664" s="2060"/>
      <c r="EP1664" s="2060"/>
      <c r="EQ1664" s="2060"/>
      <c r="ER1664" s="2060"/>
      <c r="ES1664" s="2060"/>
      <c r="ET1664" s="2060"/>
      <c r="EU1664" s="2060"/>
      <c r="EV1664" s="2060"/>
      <c r="EW1664" s="2060"/>
      <c r="EX1664" s="2060"/>
      <c r="EY1664" s="2060"/>
      <c r="EZ1664" s="2060"/>
      <c r="FA1664" s="2060"/>
      <c r="FB1664" s="2060"/>
      <c r="FC1664" s="2060"/>
      <c r="FD1664" s="2060"/>
      <c r="FE1664" s="2060"/>
      <c r="FF1664" s="2060"/>
      <c r="FG1664" s="2060"/>
      <c r="FH1664" s="2060"/>
      <c r="FI1664" s="2060"/>
      <c r="FJ1664" s="2060"/>
      <c r="FK1664" s="2060"/>
      <c r="FL1664" s="2060"/>
      <c r="FM1664" s="2060"/>
      <c r="FN1664" s="2060"/>
      <c r="FO1664" s="2060"/>
      <c r="FP1664" s="2060"/>
      <c r="FQ1664" s="2060"/>
      <c r="FR1664" s="2060"/>
      <c r="FS1664" s="2060"/>
      <c r="FT1664" s="2060"/>
      <c r="FU1664" s="2060"/>
      <c r="FV1664" s="2060"/>
      <c r="FW1664" s="2060"/>
      <c r="FX1664" s="2060"/>
      <c r="FY1664" s="2060"/>
      <c r="FZ1664" s="2060"/>
      <c r="GA1664" s="2060"/>
      <c r="GB1664" s="2060"/>
      <c r="GC1664" s="2060"/>
      <c r="GD1664" s="2060"/>
      <c r="GE1664" s="2060"/>
      <c r="GF1664" s="2060"/>
      <c r="GG1664" s="2060"/>
      <c r="GH1664" s="2060"/>
      <c r="GI1664" s="2060"/>
      <c r="GJ1664" s="2060"/>
      <c r="GK1664" s="2060"/>
      <c r="GL1664" s="2060"/>
      <c r="GM1664" s="2060"/>
      <c r="GN1664" s="2060"/>
      <c r="GO1664" s="2060"/>
      <c r="GP1664" s="2060"/>
      <c r="GQ1664" s="2060"/>
      <c r="GR1664" s="2060"/>
      <c r="GS1664" s="2060"/>
      <c r="GT1664" s="2060"/>
      <c r="GU1664" s="2060"/>
      <c r="GV1664" s="2060"/>
      <c r="GW1664" s="2060"/>
      <c r="GX1664" s="2060"/>
      <c r="GY1664" s="2060"/>
      <c r="GZ1664" s="2060"/>
      <c r="HA1664" s="2060"/>
      <c r="HB1664" s="2060"/>
      <c r="HC1664" s="2060"/>
      <c r="HD1664" s="2060"/>
      <c r="HE1664" s="2060"/>
      <c r="HF1664" s="2060"/>
      <c r="HG1664" s="2060"/>
      <c r="HH1664" s="2060"/>
      <c r="HI1664" s="2060"/>
      <c r="HJ1664" s="2060"/>
      <c r="HK1664" s="2060"/>
      <c r="HL1664" s="2060"/>
      <c r="HM1664" s="2060"/>
      <c r="HN1664" s="2060"/>
      <c r="HO1664" s="2060"/>
      <c r="HP1664" s="2060"/>
      <c r="HQ1664" s="2060"/>
      <c r="HR1664" s="2060"/>
      <c r="HS1664" s="2060"/>
      <c r="HT1664" s="2060"/>
      <c r="HU1664" s="2060"/>
      <c r="HV1664" s="2060"/>
      <c r="HW1664" s="2060"/>
      <c r="HX1664" s="2060"/>
      <c r="HY1664" s="2060"/>
      <c r="HZ1664" s="2060"/>
      <c r="IA1664" s="2060"/>
      <c r="IB1664" s="2060"/>
      <c r="IC1664" s="2060"/>
      <c r="ID1664" s="2060"/>
      <c r="IE1664" s="2060"/>
      <c r="IF1664" s="2060"/>
      <c r="IG1664" s="2060"/>
      <c r="IH1664" s="2060"/>
      <c r="II1664" s="2060"/>
      <c r="IJ1664" s="2060"/>
      <c r="IK1664" s="2060"/>
      <c r="IL1664" s="2060"/>
      <c r="IM1664" s="2060"/>
      <c r="IN1664" s="2060"/>
      <c r="IO1664" s="2060"/>
      <c r="IP1664" s="2060"/>
      <c r="IQ1664" s="2060"/>
      <c r="IR1664" s="2060"/>
      <c r="IS1664" s="2060"/>
      <c r="IT1664" s="2060"/>
      <c r="IU1664" s="2060"/>
      <c r="IV1664" s="2060"/>
      <c r="IW1664" s="2060"/>
      <c r="IX1664" s="2060"/>
      <c r="IY1664" s="2060"/>
      <c r="IZ1664" s="2060"/>
      <c r="JA1664" s="2060"/>
      <c r="JB1664" s="2060"/>
      <c r="JC1664" s="2060"/>
      <c r="JD1664" s="2060"/>
      <c r="JE1664" s="2060"/>
      <c r="JF1664" s="2060"/>
      <c r="JG1664" s="2060"/>
      <c r="JH1664" s="2060"/>
      <c r="JI1664" s="2060"/>
      <c r="JJ1664" s="2060"/>
      <c r="JK1664" s="2060"/>
      <c r="JL1664" s="2060"/>
      <c r="JM1664" s="2060"/>
      <c r="JN1664" s="2060"/>
      <c r="JO1664" s="2060"/>
      <c r="JP1664" s="2060"/>
      <c r="JQ1664" s="2060"/>
      <c r="JR1664" s="2060"/>
      <c r="JS1664" s="2060"/>
      <c r="JT1664" s="2060"/>
      <c r="JU1664" s="2060"/>
      <c r="JV1664" s="2060"/>
      <c r="JW1664" s="2060"/>
      <c r="JX1664" s="2060"/>
      <c r="JY1664" s="2060"/>
      <c r="JZ1664" s="2060"/>
      <c r="KA1664" s="2060"/>
      <c r="KB1664" s="2060"/>
      <c r="KC1664" s="2060"/>
      <c r="KD1664" s="2060"/>
      <c r="KE1664" s="2060"/>
      <c r="KF1664" s="2060"/>
      <c r="KG1664" s="2060"/>
      <c r="KH1664" s="2060"/>
      <c r="KI1664" s="2060"/>
      <c r="KJ1664" s="2060"/>
      <c r="KK1664" s="2060"/>
      <c r="KL1664" s="2060"/>
      <c r="KM1664" s="2060"/>
      <c r="KN1664" s="2060"/>
      <c r="KO1664" s="2060"/>
      <c r="KP1664" s="2060"/>
      <c r="KQ1664" s="2060"/>
      <c r="KR1664" s="2060"/>
      <c r="KS1664" s="2060"/>
      <c r="KT1664" s="2060"/>
      <c r="KU1664" s="2060"/>
      <c r="KV1664" s="2060"/>
      <c r="KW1664" s="2060"/>
      <c r="KX1664" s="2060"/>
      <c r="KY1664" s="2060"/>
      <c r="KZ1664" s="2060"/>
      <c r="LA1664" s="2060"/>
      <c r="LB1664" s="2060"/>
      <c r="LC1664" s="2060"/>
      <c r="LD1664" s="2060"/>
      <c r="LE1664" s="2060"/>
      <c r="LF1664" s="2060"/>
      <c r="LG1664" s="2060"/>
      <c r="LH1664" s="2060"/>
    </row>
    <row r="1665" spans="1:320" s="1499" customFormat="1" ht="13.9">
      <c r="A1665" s="269" t="str">
        <f t="shared" si="442"/>
        <v>n</v>
      </c>
      <c r="B1665" s="2060"/>
      <c r="C1665" s="2060"/>
      <c r="D1665" s="2060"/>
      <c r="E1665" s="1661">
        <v>20</v>
      </c>
      <c r="F1665" s="1353" t="str">
        <f>F$148</f>
        <v>--</v>
      </c>
      <c r="G1665" s="128">
        <f>G$148</f>
        <v>0</v>
      </c>
      <c r="H1665" s="128" t="str">
        <f>H$148</f>
        <v>--</v>
      </c>
      <c r="I1665" s="89" t="s">
        <v>786</v>
      </c>
      <c r="J1665" s="2197" t="str">
        <f>IF($G1665=0,"",IFERROR(_xll.ciqfunctions.udf.CIQ($G1665,$I1665,J$1557,Valuation_Date_GC,ReportType,DataMode,$H1665,FXMode)*Scale,"n/a"))</f>
        <v/>
      </c>
      <c r="K1665" s="2197" t="str">
        <f>IF($G1665=0,"",IFERROR(_xll.ciqfunctions.udf.CIQ($G1665,$I1665,K$1557,Valuation_Date_GC,ReportType,DataMode,$H1665,FXMode)*Scale,"n/a"))</f>
        <v/>
      </c>
      <c r="L1665" s="2197" t="str">
        <f>IF($G1665=0,"",IFERROR(_xll.ciqfunctions.udf.CIQ($G1665,$I1665,L$1557,Valuation_Date_GC,ReportType,DataMode,$H1665,FXMode)*Scale,"n/a"))</f>
        <v/>
      </c>
      <c r="M1665" s="2197" t="str">
        <f>IF($G1665=0,"",IFERROR(_xll.ciqfunctions.udf.CIQ($G1665,$I1665,M$1557,Valuation_Date_GC,ReportType,DataMode,$H1665,FXMode)*Scale,"n/a"))</f>
        <v/>
      </c>
      <c r="N1665" s="2197" t="str">
        <f>IF($G1665=0,"",IFERROR(_xll.ciqfunctions.udf.CIQ($G1665,$I1665,N$1557,Valuation_Date_GC,ReportType,DataMode,$H1665,FXMode)*Scale,"n/a"))</f>
        <v/>
      </c>
      <c r="O1665" s="2197" t="str">
        <f>IF($G1665=0,"",IFERROR(_xll.ciqfunctions.udf.CIQ($G1665,$I1665,O$1557,Valuation_Date_GC,ReportType,DataMode,$H1665,FXMode)*Scale,"n/a"))</f>
        <v/>
      </c>
      <c r="P1665" s="2197" t="str">
        <f>IF($G1665=0,"",IFERROR(_xll.ciqfunctions.udf.CIQ($G1665,$I1665,P$1557,Valuation_Date_GC,ReportType,DataMode,$H1665,FXMode)*Scale,"n/a"))</f>
        <v/>
      </c>
      <c r="Q1665" s="2197" t="str">
        <f>IF($G1665=0,"",IFERROR(_xll.ciqfunctions.udf.CIQ($G1665,$I1665,Q$1557,Valuation_Date_GC,ReportType,DataMode,$H1665,FXMode)*Scale,"n/a"))</f>
        <v/>
      </c>
      <c r="R1665" s="2197" t="str">
        <f>IF($G1665=0,"",IFERROR(_xll.ciqfunctions.udf.CIQ($G1665,$I1665,R$1557,Valuation_Date_GC,ReportType,DataMode,$H1665,FXMode)*Scale,"n/a"))</f>
        <v/>
      </c>
      <c r="S1665" s="2197" t="str">
        <f>IF($G1665=0,"",IFERROR(_xll.ciqfunctions.udf.CIQ($G1665,$I1665,S$1557,Valuation_Date_GC,ReportType,DataMode,$H1665,FXMode)*Scale,"n/a"))</f>
        <v/>
      </c>
      <c r="T1665" s="2197" t="str">
        <f>IF($G1665=0,"",IFERROR(_xll.ciqfunctions.udf.CIQ($G1665,$I1665,T$1557,Valuation_Date_GC,ReportType,DataMode,$H1665,FXMode)*Scale,"n/a"))</f>
        <v/>
      </c>
      <c r="U1665" s="2197" t="str">
        <f>IF($G1665=0,"",IFERROR(_xll.ciqfunctions.udf.CIQ($G1665,$I1665,U$1557,Valuation_Date_GC,ReportType,DataMode,$H1665,FXMode)*Scale,"n/a"))</f>
        <v/>
      </c>
      <c r="V1665" s="2197" t="str">
        <f>IF($G1665=0,"",IFERROR(_xll.ciqfunctions.udf.CIQ($G1665,$I1665,V$1557,Valuation_Date_GC,ReportType,DataMode,$H1665,FXMode)*Scale,"n/a"))</f>
        <v/>
      </c>
      <c r="W1665" s="1479"/>
      <c r="X1665" s="255"/>
      <c r="Y1665" s="255"/>
      <c r="Z1665" s="2060"/>
      <c r="AA1665" s="2060"/>
      <c r="AB1665" s="2060"/>
      <c r="AC1665" s="2060"/>
      <c r="AD1665" s="2060"/>
      <c r="AE1665" s="2060"/>
      <c r="AF1665" s="2060"/>
      <c r="AG1665" s="2060"/>
      <c r="AH1665" s="2060"/>
      <c r="AI1665" s="2060"/>
      <c r="AJ1665" s="2060"/>
      <c r="AK1665" s="2060"/>
      <c r="AL1665" s="2060"/>
      <c r="AM1665" s="2060"/>
      <c r="AN1665" s="2060"/>
      <c r="AO1665" s="2060"/>
      <c r="AP1665" s="2060"/>
      <c r="AQ1665" s="2060"/>
      <c r="AR1665" s="2060"/>
      <c r="AS1665" s="2060"/>
      <c r="AT1665" s="2060"/>
      <c r="AU1665" s="2060"/>
      <c r="AV1665" s="2060"/>
      <c r="AW1665" s="2060"/>
      <c r="AX1665" s="2060"/>
      <c r="AY1665" s="2060"/>
      <c r="AZ1665" s="2060"/>
      <c r="BA1665" s="2060"/>
      <c r="BB1665" s="2060"/>
      <c r="BC1665" s="2060"/>
      <c r="BD1665" s="2060"/>
      <c r="BE1665" s="2060"/>
      <c r="BF1665" s="2060"/>
      <c r="BG1665" s="2060"/>
      <c r="BH1665" s="2060"/>
      <c r="BI1665" s="2060"/>
      <c r="BJ1665" s="2060"/>
      <c r="BK1665" s="2060"/>
      <c r="BL1665" s="2060"/>
      <c r="BM1665" s="2060"/>
      <c r="BN1665" s="2060"/>
      <c r="BO1665" s="2060"/>
      <c r="BP1665" s="2060"/>
      <c r="BQ1665" s="2060"/>
      <c r="BR1665" s="2060"/>
      <c r="BS1665" s="2060"/>
      <c r="BT1665" s="2060"/>
      <c r="BU1665" s="2060"/>
      <c r="BV1665" s="2060"/>
      <c r="BW1665" s="2060"/>
      <c r="BX1665" s="2060"/>
      <c r="BY1665" s="2060"/>
      <c r="BZ1665" s="2060"/>
      <c r="CA1665" s="2060"/>
      <c r="CB1665" s="2060"/>
      <c r="CC1665" s="2060"/>
      <c r="CD1665" s="2060"/>
      <c r="CE1665" s="2060"/>
      <c r="CF1665" s="2060"/>
      <c r="CG1665" s="2060"/>
      <c r="CH1665" s="2060"/>
      <c r="CI1665" s="2060"/>
      <c r="CJ1665" s="2060"/>
      <c r="CK1665" s="2060"/>
      <c r="CL1665" s="2060"/>
      <c r="CM1665" s="2060"/>
      <c r="CN1665" s="2060"/>
      <c r="CO1665" s="2060"/>
      <c r="CP1665" s="2060"/>
      <c r="CQ1665" s="2060"/>
      <c r="CR1665" s="2060"/>
      <c r="CS1665" s="2060"/>
      <c r="CT1665" s="2060"/>
      <c r="CU1665" s="2060"/>
      <c r="CV1665" s="2060"/>
      <c r="CW1665" s="2060"/>
      <c r="CX1665" s="2060"/>
      <c r="CY1665" s="2060"/>
      <c r="CZ1665" s="2060"/>
      <c r="DA1665" s="2060"/>
      <c r="DB1665" s="2060"/>
      <c r="DC1665" s="2060"/>
      <c r="DD1665" s="2060"/>
      <c r="DE1665" s="2060"/>
      <c r="DF1665" s="2060"/>
      <c r="DG1665" s="2060"/>
      <c r="DH1665" s="2060"/>
      <c r="DI1665" s="2060"/>
      <c r="DJ1665" s="2060"/>
      <c r="DK1665" s="2060"/>
      <c r="DL1665" s="2060"/>
      <c r="DM1665" s="2060"/>
      <c r="DN1665" s="2060"/>
      <c r="DO1665" s="2060"/>
      <c r="DP1665" s="2060"/>
      <c r="DQ1665" s="2060"/>
      <c r="DR1665" s="2060"/>
      <c r="DS1665" s="2060"/>
      <c r="DT1665" s="2060"/>
      <c r="DU1665" s="2060"/>
      <c r="DV1665" s="2060"/>
      <c r="DW1665" s="2060"/>
      <c r="DX1665" s="2060"/>
      <c r="DY1665" s="2060"/>
      <c r="DZ1665" s="2060"/>
      <c r="EA1665" s="2060"/>
      <c r="EB1665" s="2060"/>
      <c r="EC1665" s="2060"/>
      <c r="ED1665" s="2060"/>
      <c r="EE1665" s="2060"/>
      <c r="EF1665" s="2060"/>
      <c r="EG1665" s="2060"/>
      <c r="EH1665" s="2060"/>
      <c r="EI1665" s="2060"/>
      <c r="EJ1665" s="2060"/>
      <c r="EK1665" s="2060"/>
      <c r="EL1665" s="2060"/>
      <c r="EM1665" s="2060"/>
      <c r="EN1665" s="2060"/>
      <c r="EO1665" s="2060"/>
      <c r="EP1665" s="2060"/>
      <c r="EQ1665" s="2060"/>
      <c r="ER1665" s="2060"/>
      <c r="ES1665" s="2060"/>
      <c r="ET1665" s="2060"/>
      <c r="EU1665" s="2060"/>
      <c r="EV1665" s="2060"/>
      <c r="EW1665" s="2060"/>
      <c r="EX1665" s="2060"/>
      <c r="EY1665" s="2060"/>
      <c r="EZ1665" s="2060"/>
      <c r="FA1665" s="2060"/>
      <c r="FB1665" s="2060"/>
      <c r="FC1665" s="2060"/>
      <c r="FD1665" s="2060"/>
      <c r="FE1665" s="2060"/>
      <c r="FF1665" s="2060"/>
      <c r="FG1665" s="2060"/>
      <c r="FH1665" s="2060"/>
      <c r="FI1665" s="2060"/>
      <c r="FJ1665" s="2060"/>
      <c r="FK1665" s="2060"/>
      <c r="FL1665" s="2060"/>
      <c r="FM1665" s="2060"/>
      <c r="FN1665" s="2060"/>
      <c r="FO1665" s="2060"/>
      <c r="FP1665" s="2060"/>
      <c r="FQ1665" s="2060"/>
      <c r="FR1665" s="2060"/>
      <c r="FS1665" s="2060"/>
      <c r="FT1665" s="2060"/>
      <c r="FU1665" s="2060"/>
      <c r="FV1665" s="2060"/>
      <c r="FW1665" s="2060"/>
      <c r="FX1665" s="2060"/>
      <c r="FY1665" s="2060"/>
      <c r="FZ1665" s="2060"/>
      <c r="GA1665" s="2060"/>
      <c r="GB1665" s="2060"/>
      <c r="GC1665" s="2060"/>
      <c r="GD1665" s="2060"/>
      <c r="GE1665" s="2060"/>
      <c r="GF1665" s="2060"/>
      <c r="GG1665" s="2060"/>
      <c r="GH1665" s="2060"/>
      <c r="GI1665" s="2060"/>
      <c r="GJ1665" s="2060"/>
      <c r="GK1665" s="2060"/>
      <c r="GL1665" s="2060"/>
      <c r="GM1665" s="2060"/>
      <c r="GN1665" s="2060"/>
      <c r="GO1665" s="2060"/>
      <c r="GP1665" s="2060"/>
      <c r="GQ1665" s="2060"/>
      <c r="GR1665" s="2060"/>
      <c r="GS1665" s="2060"/>
      <c r="GT1665" s="2060"/>
      <c r="GU1665" s="2060"/>
      <c r="GV1665" s="2060"/>
      <c r="GW1665" s="2060"/>
      <c r="GX1665" s="2060"/>
      <c r="GY1665" s="2060"/>
      <c r="GZ1665" s="2060"/>
      <c r="HA1665" s="2060"/>
      <c r="HB1665" s="2060"/>
      <c r="HC1665" s="2060"/>
      <c r="HD1665" s="2060"/>
      <c r="HE1665" s="2060"/>
      <c r="HF1665" s="2060"/>
      <c r="HG1665" s="2060"/>
      <c r="HH1665" s="2060"/>
      <c r="HI1665" s="2060"/>
      <c r="HJ1665" s="2060"/>
      <c r="HK1665" s="2060"/>
      <c r="HL1665" s="2060"/>
      <c r="HM1665" s="2060"/>
      <c r="HN1665" s="2060"/>
      <c r="HO1665" s="2060"/>
      <c r="HP1665" s="2060"/>
      <c r="HQ1665" s="2060"/>
      <c r="HR1665" s="2060"/>
      <c r="HS1665" s="2060"/>
      <c r="HT1665" s="2060"/>
      <c r="HU1665" s="2060"/>
      <c r="HV1665" s="2060"/>
      <c r="HW1665" s="2060"/>
      <c r="HX1665" s="2060"/>
      <c r="HY1665" s="2060"/>
      <c r="HZ1665" s="2060"/>
      <c r="IA1665" s="2060"/>
      <c r="IB1665" s="2060"/>
      <c r="IC1665" s="2060"/>
      <c r="ID1665" s="2060"/>
      <c r="IE1665" s="2060"/>
      <c r="IF1665" s="2060"/>
      <c r="IG1665" s="2060"/>
      <c r="IH1665" s="2060"/>
      <c r="II1665" s="2060"/>
      <c r="IJ1665" s="2060"/>
      <c r="IK1665" s="2060"/>
      <c r="IL1665" s="2060"/>
      <c r="IM1665" s="2060"/>
      <c r="IN1665" s="2060"/>
      <c r="IO1665" s="2060"/>
      <c r="IP1665" s="2060"/>
      <c r="IQ1665" s="2060"/>
      <c r="IR1665" s="2060"/>
      <c r="IS1665" s="2060"/>
      <c r="IT1665" s="2060"/>
      <c r="IU1665" s="2060"/>
      <c r="IV1665" s="2060"/>
      <c r="IW1665" s="2060"/>
      <c r="IX1665" s="2060"/>
      <c r="IY1665" s="2060"/>
      <c r="IZ1665" s="2060"/>
      <c r="JA1665" s="2060"/>
      <c r="JB1665" s="2060"/>
      <c r="JC1665" s="2060"/>
      <c r="JD1665" s="2060"/>
      <c r="JE1665" s="2060"/>
      <c r="JF1665" s="2060"/>
      <c r="JG1665" s="2060"/>
      <c r="JH1665" s="2060"/>
      <c r="JI1665" s="2060"/>
      <c r="JJ1665" s="2060"/>
      <c r="JK1665" s="2060"/>
      <c r="JL1665" s="2060"/>
      <c r="JM1665" s="2060"/>
      <c r="JN1665" s="2060"/>
      <c r="JO1665" s="2060"/>
      <c r="JP1665" s="2060"/>
      <c r="JQ1665" s="2060"/>
      <c r="JR1665" s="2060"/>
      <c r="JS1665" s="2060"/>
      <c r="JT1665" s="2060"/>
      <c r="JU1665" s="2060"/>
      <c r="JV1665" s="2060"/>
      <c r="JW1665" s="2060"/>
      <c r="JX1665" s="2060"/>
      <c r="JY1665" s="2060"/>
      <c r="JZ1665" s="2060"/>
      <c r="KA1665" s="2060"/>
      <c r="KB1665" s="2060"/>
      <c r="KC1665" s="2060"/>
      <c r="KD1665" s="2060"/>
      <c r="KE1665" s="2060"/>
      <c r="KF1665" s="2060"/>
      <c r="KG1665" s="2060"/>
      <c r="KH1665" s="2060"/>
      <c r="KI1665" s="2060"/>
      <c r="KJ1665" s="2060"/>
      <c r="KK1665" s="2060"/>
      <c r="KL1665" s="2060"/>
      <c r="KM1665" s="2060"/>
      <c r="KN1665" s="2060"/>
      <c r="KO1665" s="2060"/>
      <c r="KP1665" s="2060"/>
      <c r="KQ1665" s="2060"/>
      <c r="KR1665" s="2060"/>
      <c r="KS1665" s="2060"/>
      <c r="KT1665" s="2060"/>
      <c r="KU1665" s="2060"/>
      <c r="KV1665" s="2060"/>
      <c r="KW1665" s="2060"/>
      <c r="KX1665" s="2060"/>
      <c r="KY1665" s="2060"/>
      <c r="KZ1665" s="2060"/>
      <c r="LA1665" s="2060"/>
      <c r="LB1665" s="2060"/>
      <c r="LC1665" s="2060"/>
      <c r="LD1665" s="2060"/>
      <c r="LE1665" s="2060"/>
      <c r="LF1665" s="2060"/>
      <c r="LG1665" s="2060"/>
      <c r="LH1665" s="2060"/>
    </row>
    <row r="1666" spans="1:320" s="1499" customFormat="1" ht="13.9">
      <c r="A1666" s="269" t="str">
        <f t="shared" si="442"/>
        <v>n</v>
      </c>
      <c r="B1666" s="2060"/>
      <c r="C1666" s="2060"/>
      <c r="D1666" s="2060"/>
      <c r="E1666" s="1661">
        <v>21</v>
      </c>
      <c r="F1666" s="1353" t="str">
        <f>F$149</f>
        <v>--</v>
      </c>
      <c r="G1666" s="128">
        <f>G$149</f>
        <v>0</v>
      </c>
      <c r="H1666" s="128" t="str">
        <f>H$149</f>
        <v>--</v>
      </c>
      <c r="I1666" s="89" t="s">
        <v>786</v>
      </c>
      <c r="J1666" s="2197" t="str">
        <f>IF($G1666=0,"",IFERROR(_xll.ciqfunctions.udf.CIQ($G1666,$I1666,J$1557,Valuation_Date_GC,ReportType,DataMode,$H1666,FXMode)*Scale,"n/a"))</f>
        <v/>
      </c>
      <c r="K1666" s="2197" t="str">
        <f>IF($G1666=0,"",IFERROR(_xll.ciqfunctions.udf.CIQ($G1666,$I1666,K$1557,Valuation_Date_GC,ReportType,DataMode,$H1666,FXMode)*Scale,"n/a"))</f>
        <v/>
      </c>
      <c r="L1666" s="2197" t="str">
        <f>IF($G1666=0,"",IFERROR(_xll.ciqfunctions.udf.CIQ($G1666,$I1666,L$1557,Valuation_Date_GC,ReportType,DataMode,$H1666,FXMode)*Scale,"n/a"))</f>
        <v/>
      </c>
      <c r="M1666" s="2197" t="str">
        <f>IF($G1666=0,"",IFERROR(_xll.ciqfunctions.udf.CIQ($G1666,$I1666,M$1557,Valuation_Date_GC,ReportType,DataMode,$H1666,FXMode)*Scale,"n/a"))</f>
        <v/>
      </c>
      <c r="N1666" s="2197" t="str">
        <f>IF($G1666=0,"",IFERROR(_xll.ciqfunctions.udf.CIQ($G1666,$I1666,N$1557,Valuation_Date_GC,ReportType,DataMode,$H1666,FXMode)*Scale,"n/a"))</f>
        <v/>
      </c>
      <c r="O1666" s="2197" t="str">
        <f>IF($G1666=0,"",IFERROR(_xll.ciqfunctions.udf.CIQ($G1666,$I1666,O$1557,Valuation_Date_GC,ReportType,DataMode,$H1666,FXMode)*Scale,"n/a"))</f>
        <v/>
      </c>
      <c r="P1666" s="2197" t="str">
        <f>IF($G1666=0,"",IFERROR(_xll.ciqfunctions.udf.CIQ($G1666,$I1666,P$1557,Valuation_Date_GC,ReportType,DataMode,$H1666,FXMode)*Scale,"n/a"))</f>
        <v/>
      </c>
      <c r="Q1666" s="2197" t="str">
        <f>IF($G1666=0,"",IFERROR(_xll.ciqfunctions.udf.CIQ($G1666,$I1666,Q$1557,Valuation_Date_GC,ReportType,DataMode,$H1666,FXMode)*Scale,"n/a"))</f>
        <v/>
      </c>
      <c r="R1666" s="2197" t="str">
        <f>IF($G1666=0,"",IFERROR(_xll.ciqfunctions.udf.CIQ($G1666,$I1666,R$1557,Valuation_Date_GC,ReportType,DataMode,$H1666,FXMode)*Scale,"n/a"))</f>
        <v/>
      </c>
      <c r="S1666" s="2197" t="str">
        <f>IF($G1666=0,"",IFERROR(_xll.ciqfunctions.udf.CIQ($G1666,$I1666,S$1557,Valuation_Date_GC,ReportType,DataMode,$H1666,FXMode)*Scale,"n/a"))</f>
        <v/>
      </c>
      <c r="T1666" s="2197" t="str">
        <f>IF($G1666=0,"",IFERROR(_xll.ciqfunctions.udf.CIQ($G1666,$I1666,T$1557,Valuation_Date_GC,ReportType,DataMode,$H1666,FXMode)*Scale,"n/a"))</f>
        <v/>
      </c>
      <c r="U1666" s="2197" t="str">
        <f>IF($G1666=0,"",IFERROR(_xll.ciqfunctions.udf.CIQ($G1666,$I1666,U$1557,Valuation_Date_GC,ReportType,DataMode,$H1666,FXMode)*Scale,"n/a"))</f>
        <v/>
      </c>
      <c r="V1666" s="2197" t="str">
        <f>IF($G1666=0,"",IFERROR(_xll.ciqfunctions.udf.CIQ($G1666,$I1666,V$1557,Valuation_Date_GC,ReportType,DataMode,$H1666,FXMode)*Scale,"n/a"))</f>
        <v/>
      </c>
      <c r="W1666" s="1479"/>
      <c r="X1666" s="255"/>
      <c r="Y1666" s="255"/>
      <c r="Z1666" s="2060"/>
      <c r="AA1666" s="2060"/>
      <c r="AB1666" s="2060"/>
      <c r="AC1666" s="2060"/>
      <c r="AD1666" s="2060"/>
      <c r="AE1666" s="2060"/>
      <c r="AF1666" s="2060"/>
      <c r="AG1666" s="2060"/>
      <c r="AH1666" s="2060"/>
      <c r="AI1666" s="2060"/>
      <c r="AJ1666" s="2060"/>
      <c r="AK1666" s="2060"/>
      <c r="AL1666" s="2060"/>
      <c r="AM1666" s="2060"/>
      <c r="AN1666" s="2060"/>
      <c r="AO1666" s="2060"/>
      <c r="AP1666" s="2060"/>
      <c r="AQ1666" s="2060"/>
      <c r="AR1666" s="2060"/>
      <c r="AS1666" s="2060"/>
      <c r="AT1666" s="2060"/>
      <c r="AU1666" s="2060"/>
      <c r="AV1666" s="2060"/>
      <c r="AW1666" s="2060"/>
      <c r="AX1666" s="2060"/>
      <c r="AY1666" s="2060"/>
      <c r="AZ1666" s="2060"/>
      <c r="BA1666" s="2060"/>
      <c r="BB1666" s="2060"/>
      <c r="BC1666" s="2060"/>
      <c r="BD1666" s="2060"/>
      <c r="BE1666" s="2060"/>
      <c r="BF1666" s="2060"/>
      <c r="BG1666" s="2060"/>
      <c r="BH1666" s="2060"/>
      <c r="BI1666" s="2060"/>
      <c r="BJ1666" s="2060"/>
      <c r="BK1666" s="2060"/>
      <c r="BL1666" s="2060"/>
      <c r="BM1666" s="2060"/>
      <c r="BN1666" s="2060"/>
      <c r="BO1666" s="2060"/>
      <c r="BP1666" s="2060"/>
      <c r="BQ1666" s="2060"/>
      <c r="BR1666" s="2060"/>
      <c r="BS1666" s="2060"/>
      <c r="BT1666" s="2060"/>
      <c r="BU1666" s="2060"/>
      <c r="BV1666" s="2060"/>
      <c r="BW1666" s="2060"/>
      <c r="BX1666" s="2060"/>
      <c r="BY1666" s="2060"/>
      <c r="BZ1666" s="2060"/>
      <c r="CA1666" s="2060"/>
      <c r="CB1666" s="2060"/>
      <c r="CC1666" s="2060"/>
      <c r="CD1666" s="2060"/>
      <c r="CE1666" s="2060"/>
      <c r="CF1666" s="2060"/>
      <c r="CG1666" s="2060"/>
      <c r="CH1666" s="2060"/>
      <c r="CI1666" s="2060"/>
      <c r="CJ1666" s="2060"/>
      <c r="CK1666" s="2060"/>
      <c r="CL1666" s="2060"/>
      <c r="CM1666" s="2060"/>
      <c r="CN1666" s="2060"/>
      <c r="CO1666" s="2060"/>
      <c r="CP1666" s="2060"/>
      <c r="CQ1666" s="2060"/>
      <c r="CR1666" s="2060"/>
      <c r="CS1666" s="2060"/>
      <c r="CT1666" s="2060"/>
      <c r="CU1666" s="2060"/>
      <c r="CV1666" s="2060"/>
      <c r="CW1666" s="2060"/>
      <c r="CX1666" s="2060"/>
      <c r="CY1666" s="2060"/>
      <c r="CZ1666" s="2060"/>
      <c r="DA1666" s="2060"/>
      <c r="DB1666" s="2060"/>
      <c r="DC1666" s="2060"/>
      <c r="DD1666" s="2060"/>
      <c r="DE1666" s="2060"/>
      <c r="DF1666" s="2060"/>
      <c r="DG1666" s="2060"/>
      <c r="DH1666" s="2060"/>
      <c r="DI1666" s="2060"/>
      <c r="DJ1666" s="2060"/>
      <c r="DK1666" s="2060"/>
      <c r="DL1666" s="2060"/>
      <c r="DM1666" s="2060"/>
      <c r="DN1666" s="2060"/>
      <c r="DO1666" s="2060"/>
      <c r="DP1666" s="2060"/>
      <c r="DQ1666" s="2060"/>
      <c r="DR1666" s="2060"/>
      <c r="DS1666" s="2060"/>
      <c r="DT1666" s="2060"/>
      <c r="DU1666" s="2060"/>
      <c r="DV1666" s="2060"/>
      <c r="DW1666" s="2060"/>
      <c r="DX1666" s="2060"/>
      <c r="DY1666" s="2060"/>
      <c r="DZ1666" s="2060"/>
      <c r="EA1666" s="2060"/>
      <c r="EB1666" s="2060"/>
      <c r="EC1666" s="2060"/>
      <c r="ED1666" s="2060"/>
      <c r="EE1666" s="2060"/>
      <c r="EF1666" s="2060"/>
      <c r="EG1666" s="2060"/>
      <c r="EH1666" s="2060"/>
      <c r="EI1666" s="2060"/>
      <c r="EJ1666" s="2060"/>
      <c r="EK1666" s="2060"/>
      <c r="EL1666" s="2060"/>
      <c r="EM1666" s="2060"/>
      <c r="EN1666" s="2060"/>
      <c r="EO1666" s="2060"/>
      <c r="EP1666" s="2060"/>
      <c r="EQ1666" s="2060"/>
      <c r="ER1666" s="2060"/>
      <c r="ES1666" s="2060"/>
      <c r="ET1666" s="2060"/>
      <c r="EU1666" s="2060"/>
      <c r="EV1666" s="2060"/>
      <c r="EW1666" s="2060"/>
      <c r="EX1666" s="2060"/>
      <c r="EY1666" s="2060"/>
      <c r="EZ1666" s="2060"/>
      <c r="FA1666" s="2060"/>
      <c r="FB1666" s="2060"/>
      <c r="FC1666" s="2060"/>
      <c r="FD1666" s="2060"/>
      <c r="FE1666" s="2060"/>
      <c r="FF1666" s="2060"/>
      <c r="FG1666" s="2060"/>
      <c r="FH1666" s="2060"/>
      <c r="FI1666" s="2060"/>
      <c r="FJ1666" s="2060"/>
      <c r="FK1666" s="2060"/>
      <c r="FL1666" s="2060"/>
      <c r="FM1666" s="2060"/>
      <c r="FN1666" s="2060"/>
      <c r="FO1666" s="2060"/>
      <c r="FP1666" s="2060"/>
      <c r="FQ1666" s="2060"/>
      <c r="FR1666" s="2060"/>
      <c r="FS1666" s="2060"/>
      <c r="FT1666" s="2060"/>
      <c r="FU1666" s="2060"/>
      <c r="FV1666" s="2060"/>
      <c r="FW1666" s="2060"/>
      <c r="FX1666" s="2060"/>
      <c r="FY1666" s="2060"/>
      <c r="FZ1666" s="2060"/>
      <c r="GA1666" s="2060"/>
      <c r="GB1666" s="2060"/>
      <c r="GC1666" s="2060"/>
      <c r="GD1666" s="2060"/>
      <c r="GE1666" s="2060"/>
      <c r="GF1666" s="2060"/>
      <c r="GG1666" s="2060"/>
      <c r="GH1666" s="2060"/>
      <c r="GI1666" s="2060"/>
      <c r="GJ1666" s="2060"/>
      <c r="GK1666" s="2060"/>
      <c r="GL1666" s="2060"/>
      <c r="GM1666" s="2060"/>
      <c r="GN1666" s="2060"/>
      <c r="GO1666" s="2060"/>
      <c r="GP1666" s="2060"/>
      <c r="GQ1666" s="2060"/>
      <c r="GR1666" s="2060"/>
      <c r="GS1666" s="2060"/>
      <c r="GT1666" s="2060"/>
      <c r="GU1666" s="2060"/>
      <c r="GV1666" s="2060"/>
      <c r="GW1666" s="2060"/>
      <c r="GX1666" s="2060"/>
      <c r="GY1666" s="2060"/>
      <c r="GZ1666" s="2060"/>
      <c r="HA1666" s="2060"/>
      <c r="HB1666" s="2060"/>
      <c r="HC1666" s="2060"/>
      <c r="HD1666" s="2060"/>
      <c r="HE1666" s="2060"/>
      <c r="HF1666" s="2060"/>
      <c r="HG1666" s="2060"/>
      <c r="HH1666" s="2060"/>
      <c r="HI1666" s="2060"/>
      <c r="HJ1666" s="2060"/>
      <c r="HK1666" s="2060"/>
      <c r="HL1666" s="2060"/>
      <c r="HM1666" s="2060"/>
      <c r="HN1666" s="2060"/>
      <c r="HO1666" s="2060"/>
      <c r="HP1666" s="2060"/>
      <c r="HQ1666" s="2060"/>
      <c r="HR1666" s="2060"/>
      <c r="HS1666" s="2060"/>
      <c r="HT1666" s="2060"/>
      <c r="HU1666" s="2060"/>
      <c r="HV1666" s="2060"/>
      <c r="HW1666" s="2060"/>
      <c r="HX1666" s="2060"/>
      <c r="HY1666" s="2060"/>
      <c r="HZ1666" s="2060"/>
      <c r="IA1666" s="2060"/>
      <c r="IB1666" s="2060"/>
      <c r="IC1666" s="2060"/>
      <c r="ID1666" s="2060"/>
      <c r="IE1666" s="2060"/>
      <c r="IF1666" s="2060"/>
      <c r="IG1666" s="2060"/>
      <c r="IH1666" s="2060"/>
      <c r="II1666" s="2060"/>
      <c r="IJ1666" s="2060"/>
      <c r="IK1666" s="2060"/>
      <c r="IL1666" s="2060"/>
      <c r="IM1666" s="2060"/>
      <c r="IN1666" s="2060"/>
      <c r="IO1666" s="2060"/>
      <c r="IP1666" s="2060"/>
      <c r="IQ1666" s="2060"/>
      <c r="IR1666" s="2060"/>
      <c r="IS1666" s="2060"/>
      <c r="IT1666" s="2060"/>
      <c r="IU1666" s="2060"/>
      <c r="IV1666" s="2060"/>
      <c r="IW1666" s="2060"/>
      <c r="IX1666" s="2060"/>
      <c r="IY1666" s="2060"/>
      <c r="IZ1666" s="2060"/>
      <c r="JA1666" s="2060"/>
      <c r="JB1666" s="2060"/>
      <c r="JC1666" s="2060"/>
      <c r="JD1666" s="2060"/>
      <c r="JE1666" s="2060"/>
      <c r="JF1666" s="2060"/>
      <c r="JG1666" s="2060"/>
      <c r="JH1666" s="2060"/>
      <c r="JI1666" s="2060"/>
      <c r="JJ1666" s="2060"/>
      <c r="JK1666" s="2060"/>
      <c r="JL1666" s="2060"/>
      <c r="JM1666" s="2060"/>
      <c r="JN1666" s="2060"/>
      <c r="JO1666" s="2060"/>
      <c r="JP1666" s="2060"/>
      <c r="JQ1666" s="2060"/>
      <c r="JR1666" s="2060"/>
      <c r="JS1666" s="2060"/>
      <c r="JT1666" s="2060"/>
      <c r="JU1666" s="2060"/>
      <c r="JV1666" s="2060"/>
      <c r="JW1666" s="2060"/>
      <c r="JX1666" s="2060"/>
      <c r="JY1666" s="2060"/>
      <c r="JZ1666" s="2060"/>
      <c r="KA1666" s="2060"/>
      <c r="KB1666" s="2060"/>
      <c r="KC1666" s="2060"/>
      <c r="KD1666" s="2060"/>
      <c r="KE1666" s="2060"/>
      <c r="KF1666" s="2060"/>
      <c r="KG1666" s="2060"/>
      <c r="KH1666" s="2060"/>
      <c r="KI1666" s="2060"/>
      <c r="KJ1666" s="2060"/>
      <c r="KK1666" s="2060"/>
      <c r="KL1666" s="2060"/>
      <c r="KM1666" s="2060"/>
      <c r="KN1666" s="2060"/>
      <c r="KO1666" s="2060"/>
      <c r="KP1666" s="2060"/>
      <c r="KQ1666" s="2060"/>
      <c r="KR1666" s="2060"/>
      <c r="KS1666" s="2060"/>
      <c r="KT1666" s="2060"/>
      <c r="KU1666" s="2060"/>
      <c r="KV1666" s="2060"/>
      <c r="KW1666" s="2060"/>
      <c r="KX1666" s="2060"/>
      <c r="KY1666" s="2060"/>
      <c r="KZ1666" s="2060"/>
      <c r="LA1666" s="2060"/>
      <c r="LB1666" s="2060"/>
      <c r="LC1666" s="2060"/>
      <c r="LD1666" s="2060"/>
      <c r="LE1666" s="2060"/>
      <c r="LF1666" s="2060"/>
      <c r="LG1666" s="2060"/>
      <c r="LH1666" s="2060"/>
    </row>
    <row r="1667" spans="1:320" s="1499" customFormat="1" ht="13.9">
      <c r="A1667" s="269" t="str">
        <f t="shared" si="442"/>
        <v>n</v>
      </c>
      <c r="B1667" s="2060"/>
      <c r="C1667" s="2060"/>
      <c r="D1667" s="2060"/>
      <c r="E1667" s="1661">
        <v>22</v>
      </c>
      <c r="F1667" s="1353" t="str">
        <f>F$150</f>
        <v>--</v>
      </c>
      <c r="G1667" s="128">
        <f>G$150</f>
        <v>0</v>
      </c>
      <c r="H1667" s="128" t="str">
        <f>H$150</f>
        <v>--</v>
      </c>
      <c r="I1667" s="89" t="s">
        <v>786</v>
      </c>
      <c r="J1667" s="2197" t="str">
        <f>IF($G1667=0,"",IFERROR(_xll.ciqfunctions.udf.CIQ($G1667,$I1667,J$1557,Valuation_Date_GC,ReportType,DataMode,$H1667,FXMode)*Scale,"n/a"))</f>
        <v/>
      </c>
      <c r="K1667" s="2197" t="str">
        <f>IF($G1667=0,"",IFERROR(_xll.ciqfunctions.udf.CIQ($G1667,$I1667,K$1557,Valuation_Date_GC,ReportType,DataMode,$H1667,FXMode)*Scale,"n/a"))</f>
        <v/>
      </c>
      <c r="L1667" s="2197" t="str">
        <f>IF($G1667=0,"",IFERROR(_xll.ciqfunctions.udf.CIQ($G1667,$I1667,L$1557,Valuation_Date_GC,ReportType,DataMode,$H1667,FXMode)*Scale,"n/a"))</f>
        <v/>
      </c>
      <c r="M1667" s="2197" t="str">
        <f>IF($G1667=0,"",IFERROR(_xll.ciqfunctions.udf.CIQ($G1667,$I1667,M$1557,Valuation_Date_GC,ReportType,DataMode,$H1667,FXMode)*Scale,"n/a"))</f>
        <v/>
      </c>
      <c r="N1667" s="2197" t="str">
        <f>IF($G1667=0,"",IFERROR(_xll.ciqfunctions.udf.CIQ($G1667,$I1667,N$1557,Valuation_Date_GC,ReportType,DataMode,$H1667,FXMode)*Scale,"n/a"))</f>
        <v/>
      </c>
      <c r="O1667" s="2197" t="str">
        <f>IF($G1667=0,"",IFERROR(_xll.ciqfunctions.udf.CIQ($G1667,$I1667,O$1557,Valuation_Date_GC,ReportType,DataMode,$H1667,FXMode)*Scale,"n/a"))</f>
        <v/>
      </c>
      <c r="P1667" s="2197" t="str">
        <f>IF($G1667=0,"",IFERROR(_xll.ciqfunctions.udf.CIQ($G1667,$I1667,P$1557,Valuation_Date_GC,ReportType,DataMode,$H1667,FXMode)*Scale,"n/a"))</f>
        <v/>
      </c>
      <c r="Q1667" s="2197" t="str">
        <f>IF($G1667=0,"",IFERROR(_xll.ciqfunctions.udf.CIQ($G1667,$I1667,Q$1557,Valuation_Date_GC,ReportType,DataMode,$H1667,FXMode)*Scale,"n/a"))</f>
        <v/>
      </c>
      <c r="R1667" s="2197" t="str">
        <f>IF($G1667=0,"",IFERROR(_xll.ciqfunctions.udf.CIQ($G1667,$I1667,R$1557,Valuation_Date_GC,ReportType,DataMode,$H1667,FXMode)*Scale,"n/a"))</f>
        <v/>
      </c>
      <c r="S1667" s="2197" t="str">
        <f>IF($G1667=0,"",IFERROR(_xll.ciqfunctions.udf.CIQ($G1667,$I1667,S$1557,Valuation_Date_GC,ReportType,DataMode,$H1667,FXMode)*Scale,"n/a"))</f>
        <v/>
      </c>
      <c r="T1667" s="2197" t="str">
        <f>IF($G1667=0,"",IFERROR(_xll.ciqfunctions.udf.CIQ($G1667,$I1667,T$1557,Valuation_Date_GC,ReportType,DataMode,$H1667,FXMode)*Scale,"n/a"))</f>
        <v/>
      </c>
      <c r="U1667" s="2197" t="str">
        <f>IF($G1667=0,"",IFERROR(_xll.ciqfunctions.udf.CIQ($G1667,$I1667,U$1557,Valuation_Date_GC,ReportType,DataMode,$H1667,FXMode)*Scale,"n/a"))</f>
        <v/>
      </c>
      <c r="V1667" s="2197" t="str">
        <f>IF($G1667=0,"",IFERROR(_xll.ciqfunctions.udf.CIQ($G1667,$I1667,V$1557,Valuation_Date_GC,ReportType,DataMode,$H1667,FXMode)*Scale,"n/a"))</f>
        <v/>
      </c>
      <c r="W1667" s="1479"/>
      <c r="X1667" s="255"/>
      <c r="Y1667" s="255"/>
      <c r="Z1667" s="2060"/>
      <c r="AA1667" s="2060"/>
      <c r="AB1667" s="2060"/>
      <c r="AC1667" s="2060"/>
      <c r="AD1667" s="2060"/>
      <c r="AE1667" s="2060"/>
      <c r="AF1667" s="2060"/>
      <c r="AG1667" s="2060"/>
      <c r="AH1667" s="2060"/>
      <c r="AI1667" s="2060"/>
      <c r="AJ1667" s="2060"/>
      <c r="AK1667" s="2060"/>
      <c r="AL1667" s="2060"/>
      <c r="AM1667" s="2060"/>
      <c r="AN1667" s="2060"/>
      <c r="AO1667" s="2060"/>
      <c r="AP1667" s="2060"/>
      <c r="AQ1667" s="2060"/>
      <c r="AR1667" s="2060"/>
      <c r="AS1667" s="2060"/>
      <c r="AT1667" s="2060"/>
      <c r="AU1667" s="2060"/>
      <c r="AV1667" s="2060"/>
      <c r="AW1667" s="2060"/>
      <c r="AX1667" s="2060"/>
      <c r="AY1667" s="2060"/>
      <c r="AZ1667" s="2060"/>
      <c r="BA1667" s="2060"/>
      <c r="BB1667" s="2060"/>
      <c r="BC1667" s="2060"/>
      <c r="BD1667" s="2060"/>
      <c r="BE1667" s="2060"/>
      <c r="BF1667" s="2060"/>
      <c r="BG1667" s="2060"/>
      <c r="BH1667" s="2060"/>
      <c r="BI1667" s="2060"/>
      <c r="BJ1667" s="2060"/>
      <c r="BK1667" s="2060"/>
      <c r="BL1667" s="2060"/>
      <c r="BM1667" s="2060"/>
      <c r="BN1667" s="2060"/>
      <c r="BO1667" s="2060"/>
      <c r="BP1667" s="2060"/>
      <c r="BQ1667" s="2060"/>
      <c r="BR1667" s="2060"/>
      <c r="BS1667" s="2060"/>
      <c r="BT1667" s="2060"/>
      <c r="BU1667" s="2060"/>
      <c r="BV1667" s="2060"/>
      <c r="BW1667" s="2060"/>
      <c r="BX1667" s="2060"/>
      <c r="BY1667" s="2060"/>
      <c r="BZ1667" s="2060"/>
      <c r="CA1667" s="2060"/>
      <c r="CB1667" s="2060"/>
      <c r="CC1667" s="2060"/>
      <c r="CD1667" s="2060"/>
      <c r="CE1667" s="2060"/>
      <c r="CF1667" s="2060"/>
      <c r="CG1667" s="2060"/>
      <c r="CH1667" s="2060"/>
      <c r="CI1667" s="2060"/>
      <c r="CJ1667" s="2060"/>
      <c r="CK1667" s="2060"/>
      <c r="CL1667" s="2060"/>
      <c r="CM1667" s="2060"/>
      <c r="CN1667" s="2060"/>
      <c r="CO1667" s="2060"/>
      <c r="CP1667" s="2060"/>
      <c r="CQ1667" s="2060"/>
      <c r="CR1667" s="2060"/>
      <c r="CS1667" s="2060"/>
      <c r="CT1667" s="2060"/>
      <c r="CU1667" s="2060"/>
      <c r="CV1667" s="2060"/>
      <c r="CW1667" s="2060"/>
      <c r="CX1667" s="2060"/>
      <c r="CY1667" s="2060"/>
      <c r="CZ1667" s="2060"/>
      <c r="DA1667" s="2060"/>
      <c r="DB1667" s="2060"/>
      <c r="DC1667" s="2060"/>
      <c r="DD1667" s="2060"/>
      <c r="DE1667" s="2060"/>
      <c r="DF1667" s="2060"/>
      <c r="DG1667" s="2060"/>
      <c r="DH1667" s="2060"/>
      <c r="DI1667" s="2060"/>
      <c r="DJ1667" s="2060"/>
      <c r="DK1667" s="2060"/>
      <c r="DL1667" s="2060"/>
      <c r="DM1667" s="2060"/>
      <c r="DN1667" s="2060"/>
      <c r="DO1667" s="2060"/>
      <c r="DP1667" s="2060"/>
      <c r="DQ1667" s="2060"/>
      <c r="DR1667" s="2060"/>
      <c r="DS1667" s="2060"/>
      <c r="DT1667" s="2060"/>
      <c r="DU1667" s="2060"/>
      <c r="DV1667" s="2060"/>
      <c r="DW1667" s="2060"/>
      <c r="DX1667" s="2060"/>
      <c r="DY1667" s="2060"/>
      <c r="DZ1667" s="2060"/>
      <c r="EA1667" s="2060"/>
      <c r="EB1667" s="2060"/>
      <c r="EC1667" s="2060"/>
      <c r="ED1667" s="2060"/>
      <c r="EE1667" s="2060"/>
      <c r="EF1667" s="2060"/>
      <c r="EG1667" s="2060"/>
      <c r="EH1667" s="2060"/>
      <c r="EI1667" s="2060"/>
      <c r="EJ1667" s="2060"/>
      <c r="EK1667" s="2060"/>
      <c r="EL1667" s="2060"/>
      <c r="EM1667" s="2060"/>
      <c r="EN1667" s="2060"/>
      <c r="EO1667" s="2060"/>
      <c r="EP1667" s="2060"/>
      <c r="EQ1667" s="2060"/>
      <c r="ER1667" s="2060"/>
      <c r="ES1667" s="2060"/>
      <c r="ET1667" s="2060"/>
      <c r="EU1667" s="2060"/>
      <c r="EV1667" s="2060"/>
      <c r="EW1667" s="2060"/>
      <c r="EX1667" s="2060"/>
      <c r="EY1667" s="2060"/>
      <c r="EZ1667" s="2060"/>
      <c r="FA1667" s="2060"/>
      <c r="FB1667" s="2060"/>
      <c r="FC1667" s="2060"/>
      <c r="FD1667" s="2060"/>
      <c r="FE1667" s="2060"/>
      <c r="FF1667" s="2060"/>
      <c r="FG1667" s="2060"/>
      <c r="FH1667" s="2060"/>
      <c r="FI1667" s="2060"/>
      <c r="FJ1667" s="2060"/>
      <c r="FK1667" s="2060"/>
      <c r="FL1667" s="2060"/>
      <c r="FM1667" s="2060"/>
      <c r="FN1667" s="2060"/>
      <c r="FO1667" s="2060"/>
      <c r="FP1667" s="2060"/>
      <c r="FQ1667" s="2060"/>
      <c r="FR1667" s="2060"/>
      <c r="FS1667" s="2060"/>
      <c r="FT1667" s="2060"/>
      <c r="FU1667" s="2060"/>
      <c r="FV1667" s="2060"/>
      <c r="FW1667" s="2060"/>
      <c r="FX1667" s="2060"/>
      <c r="FY1667" s="2060"/>
      <c r="FZ1667" s="2060"/>
      <c r="GA1667" s="2060"/>
      <c r="GB1667" s="2060"/>
      <c r="GC1667" s="2060"/>
      <c r="GD1667" s="2060"/>
      <c r="GE1667" s="2060"/>
      <c r="GF1667" s="2060"/>
      <c r="GG1667" s="2060"/>
      <c r="GH1667" s="2060"/>
      <c r="GI1667" s="2060"/>
      <c r="GJ1667" s="2060"/>
      <c r="GK1667" s="2060"/>
      <c r="GL1667" s="2060"/>
      <c r="GM1667" s="2060"/>
      <c r="GN1667" s="2060"/>
      <c r="GO1667" s="2060"/>
      <c r="GP1667" s="2060"/>
      <c r="GQ1667" s="2060"/>
      <c r="GR1667" s="2060"/>
      <c r="GS1667" s="2060"/>
      <c r="GT1667" s="2060"/>
      <c r="GU1667" s="2060"/>
      <c r="GV1667" s="2060"/>
      <c r="GW1667" s="2060"/>
      <c r="GX1667" s="2060"/>
      <c r="GY1667" s="2060"/>
      <c r="GZ1667" s="2060"/>
      <c r="HA1667" s="2060"/>
      <c r="HB1667" s="2060"/>
      <c r="HC1667" s="2060"/>
      <c r="HD1667" s="2060"/>
      <c r="HE1667" s="2060"/>
      <c r="HF1667" s="2060"/>
      <c r="HG1667" s="2060"/>
      <c r="HH1667" s="2060"/>
      <c r="HI1667" s="2060"/>
      <c r="HJ1667" s="2060"/>
      <c r="HK1667" s="2060"/>
      <c r="HL1667" s="2060"/>
      <c r="HM1667" s="2060"/>
      <c r="HN1667" s="2060"/>
      <c r="HO1667" s="2060"/>
      <c r="HP1667" s="2060"/>
      <c r="HQ1667" s="2060"/>
      <c r="HR1667" s="2060"/>
      <c r="HS1667" s="2060"/>
      <c r="HT1667" s="2060"/>
      <c r="HU1667" s="2060"/>
      <c r="HV1667" s="2060"/>
      <c r="HW1667" s="2060"/>
      <c r="HX1667" s="2060"/>
      <c r="HY1667" s="2060"/>
      <c r="HZ1667" s="2060"/>
      <c r="IA1667" s="2060"/>
      <c r="IB1667" s="2060"/>
      <c r="IC1667" s="2060"/>
      <c r="ID1667" s="2060"/>
      <c r="IE1667" s="2060"/>
      <c r="IF1667" s="2060"/>
      <c r="IG1667" s="2060"/>
      <c r="IH1667" s="2060"/>
      <c r="II1667" s="2060"/>
      <c r="IJ1667" s="2060"/>
      <c r="IK1667" s="2060"/>
      <c r="IL1667" s="2060"/>
      <c r="IM1667" s="2060"/>
      <c r="IN1667" s="2060"/>
      <c r="IO1667" s="2060"/>
      <c r="IP1667" s="2060"/>
      <c r="IQ1667" s="2060"/>
      <c r="IR1667" s="2060"/>
      <c r="IS1667" s="2060"/>
      <c r="IT1667" s="2060"/>
      <c r="IU1667" s="2060"/>
      <c r="IV1667" s="2060"/>
      <c r="IW1667" s="2060"/>
      <c r="IX1667" s="2060"/>
      <c r="IY1667" s="2060"/>
      <c r="IZ1667" s="2060"/>
      <c r="JA1667" s="2060"/>
      <c r="JB1667" s="2060"/>
      <c r="JC1667" s="2060"/>
      <c r="JD1667" s="2060"/>
      <c r="JE1667" s="2060"/>
      <c r="JF1667" s="2060"/>
      <c r="JG1667" s="2060"/>
      <c r="JH1667" s="2060"/>
      <c r="JI1667" s="2060"/>
      <c r="JJ1667" s="2060"/>
      <c r="JK1667" s="2060"/>
      <c r="JL1667" s="2060"/>
      <c r="JM1667" s="2060"/>
      <c r="JN1667" s="2060"/>
      <c r="JO1667" s="2060"/>
      <c r="JP1667" s="2060"/>
      <c r="JQ1667" s="2060"/>
      <c r="JR1667" s="2060"/>
      <c r="JS1667" s="2060"/>
      <c r="JT1667" s="2060"/>
      <c r="JU1667" s="2060"/>
      <c r="JV1667" s="2060"/>
      <c r="JW1667" s="2060"/>
      <c r="JX1667" s="2060"/>
      <c r="JY1667" s="2060"/>
      <c r="JZ1667" s="2060"/>
      <c r="KA1667" s="2060"/>
      <c r="KB1667" s="2060"/>
      <c r="KC1667" s="2060"/>
      <c r="KD1667" s="2060"/>
      <c r="KE1667" s="2060"/>
      <c r="KF1667" s="2060"/>
      <c r="KG1667" s="2060"/>
      <c r="KH1667" s="2060"/>
      <c r="KI1667" s="2060"/>
      <c r="KJ1667" s="2060"/>
      <c r="KK1667" s="2060"/>
      <c r="KL1667" s="2060"/>
      <c r="KM1667" s="2060"/>
      <c r="KN1667" s="2060"/>
      <c r="KO1667" s="2060"/>
      <c r="KP1667" s="2060"/>
      <c r="KQ1667" s="2060"/>
      <c r="KR1667" s="2060"/>
      <c r="KS1667" s="2060"/>
      <c r="KT1667" s="2060"/>
      <c r="KU1667" s="2060"/>
      <c r="KV1667" s="2060"/>
      <c r="KW1667" s="2060"/>
      <c r="KX1667" s="2060"/>
      <c r="KY1667" s="2060"/>
      <c r="KZ1667" s="2060"/>
      <c r="LA1667" s="2060"/>
      <c r="LB1667" s="2060"/>
      <c r="LC1667" s="2060"/>
      <c r="LD1667" s="2060"/>
      <c r="LE1667" s="2060"/>
      <c r="LF1667" s="2060"/>
      <c r="LG1667" s="2060"/>
      <c r="LH1667" s="2060"/>
    </row>
    <row r="1668" spans="1:320" s="1499" customFormat="1" ht="13.9">
      <c r="A1668" s="269" t="str">
        <f t="shared" si="442"/>
        <v>n</v>
      </c>
      <c r="B1668" s="2060"/>
      <c r="C1668" s="2060"/>
      <c r="D1668" s="2060"/>
      <c r="E1668" s="1661">
        <v>23</v>
      </c>
      <c r="F1668" s="1353" t="str">
        <f>F$151</f>
        <v>--</v>
      </c>
      <c r="G1668" s="128">
        <f>G$151</f>
        <v>0</v>
      </c>
      <c r="H1668" s="128" t="str">
        <f>H$151</f>
        <v>--</v>
      </c>
      <c r="I1668" s="89" t="s">
        <v>786</v>
      </c>
      <c r="J1668" s="2197" t="str">
        <f>IF($G1668=0,"",IFERROR(_xll.ciqfunctions.udf.CIQ($G1668,$I1668,J$1557,Valuation_Date_GC,ReportType,DataMode,$H1668,FXMode)*Scale,"n/a"))</f>
        <v/>
      </c>
      <c r="K1668" s="2197" t="str">
        <f>IF($G1668=0,"",IFERROR(_xll.ciqfunctions.udf.CIQ($G1668,$I1668,K$1557,Valuation_Date_GC,ReportType,DataMode,$H1668,FXMode)*Scale,"n/a"))</f>
        <v/>
      </c>
      <c r="L1668" s="2197" t="str">
        <f>IF($G1668=0,"",IFERROR(_xll.ciqfunctions.udf.CIQ($G1668,$I1668,L$1557,Valuation_Date_GC,ReportType,DataMode,$H1668,FXMode)*Scale,"n/a"))</f>
        <v/>
      </c>
      <c r="M1668" s="2197" t="str">
        <f>IF($G1668=0,"",IFERROR(_xll.ciqfunctions.udf.CIQ($G1668,$I1668,M$1557,Valuation_Date_GC,ReportType,DataMode,$H1668,FXMode)*Scale,"n/a"))</f>
        <v/>
      </c>
      <c r="N1668" s="2197" t="str">
        <f>IF($G1668=0,"",IFERROR(_xll.ciqfunctions.udf.CIQ($G1668,$I1668,N$1557,Valuation_Date_GC,ReportType,DataMode,$H1668,FXMode)*Scale,"n/a"))</f>
        <v/>
      </c>
      <c r="O1668" s="2197" t="str">
        <f>IF($G1668=0,"",IFERROR(_xll.ciqfunctions.udf.CIQ($G1668,$I1668,O$1557,Valuation_Date_GC,ReportType,DataMode,$H1668,FXMode)*Scale,"n/a"))</f>
        <v/>
      </c>
      <c r="P1668" s="2197" t="str">
        <f>IF($G1668=0,"",IFERROR(_xll.ciqfunctions.udf.CIQ($G1668,$I1668,P$1557,Valuation_Date_GC,ReportType,DataMode,$H1668,FXMode)*Scale,"n/a"))</f>
        <v/>
      </c>
      <c r="Q1668" s="2197" t="str">
        <f>IF($G1668=0,"",IFERROR(_xll.ciqfunctions.udf.CIQ($G1668,$I1668,Q$1557,Valuation_Date_GC,ReportType,DataMode,$H1668,FXMode)*Scale,"n/a"))</f>
        <v/>
      </c>
      <c r="R1668" s="2197" t="str">
        <f>IF($G1668=0,"",IFERROR(_xll.ciqfunctions.udf.CIQ($G1668,$I1668,R$1557,Valuation_Date_GC,ReportType,DataMode,$H1668,FXMode)*Scale,"n/a"))</f>
        <v/>
      </c>
      <c r="S1668" s="2197" t="str">
        <f>IF($G1668=0,"",IFERROR(_xll.ciqfunctions.udf.CIQ($G1668,$I1668,S$1557,Valuation_Date_GC,ReportType,DataMode,$H1668,FXMode)*Scale,"n/a"))</f>
        <v/>
      </c>
      <c r="T1668" s="2197" t="str">
        <f>IF($G1668=0,"",IFERROR(_xll.ciqfunctions.udf.CIQ($G1668,$I1668,T$1557,Valuation_Date_GC,ReportType,DataMode,$H1668,FXMode)*Scale,"n/a"))</f>
        <v/>
      </c>
      <c r="U1668" s="2197" t="str">
        <f>IF($G1668=0,"",IFERROR(_xll.ciqfunctions.udf.CIQ($G1668,$I1668,U$1557,Valuation_Date_GC,ReportType,DataMode,$H1668,FXMode)*Scale,"n/a"))</f>
        <v/>
      </c>
      <c r="V1668" s="2197" t="str">
        <f>IF($G1668=0,"",IFERROR(_xll.ciqfunctions.udf.CIQ($G1668,$I1668,V$1557,Valuation_Date_GC,ReportType,DataMode,$H1668,FXMode)*Scale,"n/a"))</f>
        <v/>
      </c>
      <c r="W1668" s="1479"/>
      <c r="X1668" s="255"/>
      <c r="Y1668" s="255"/>
      <c r="Z1668" s="2060"/>
      <c r="AA1668" s="2060"/>
      <c r="AB1668" s="2060"/>
      <c r="AC1668" s="2060"/>
      <c r="AD1668" s="2060"/>
      <c r="AE1668" s="2060"/>
      <c r="AF1668" s="2060"/>
      <c r="AG1668" s="2060"/>
      <c r="AH1668" s="2060"/>
      <c r="AI1668" s="2060"/>
      <c r="AJ1668" s="2060"/>
      <c r="AK1668" s="2060"/>
      <c r="AL1668" s="2060"/>
      <c r="AM1668" s="2060"/>
      <c r="AN1668" s="2060"/>
      <c r="AO1668" s="2060"/>
      <c r="AP1668" s="2060"/>
      <c r="AQ1668" s="2060"/>
      <c r="AR1668" s="2060"/>
      <c r="AS1668" s="2060"/>
      <c r="AT1668" s="2060"/>
      <c r="AU1668" s="2060"/>
      <c r="AV1668" s="2060"/>
      <c r="AW1668" s="2060"/>
      <c r="AX1668" s="2060"/>
      <c r="AY1668" s="2060"/>
      <c r="AZ1668" s="2060"/>
      <c r="BA1668" s="2060"/>
      <c r="BB1668" s="2060"/>
      <c r="BC1668" s="2060"/>
      <c r="BD1668" s="2060"/>
      <c r="BE1668" s="2060"/>
      <c r="BF1668" s="2060"/>
      <c r="BG1668" s="2060"/>
      <c r="BH1668" s="2060"/>
      <c r="BI1668" s="2060"/>
      <c r="BJ1668" s="2060"/>
      <c r="BK1668" s="2060"/>
      <c r="BL1668" s="2060"/>
      <c r="BM1668" s="2060"/>
      <c r="BN1668" s="2060"/>
      <c r="BO1668" s="2060"/>
      <c r="BP1668" s="2060"/>
      <c r="BQ1668" s="2060"/>
      <c r="BR1668" s="2060"/>
      <c r="BS1668" s="2060"/>
      <c r="BT1668" s="2060"/>
      <c r="BU1668" s="2060"/>
      <c r="BV1668" s="2060"/>
      <c r="BW1668" s="2060"/>
      <c r="BX1668" s="2060"/>
      <c r="BY1668" s="2060"/>
      <c r="BZ1668" s="2060"/>
      <c r="CA1668" s="2060"/>
      <c r="CB1668" s="2060"/>
      <c r="CC1668" s="2060"/>
      <c r="CD1668" s="2060"/>
      <c r="CE1668" s="2060"/>
      <c r="CF1668" s="2060"/>
      <c r="CG1668" s="2060"/>
      <c r="CH1668" s="2060"/>
      <c r="CI1668" s="2060"/>
      <c r="CJ1668" s="2060"/>
      <c r="CK1668" s="2060"/>
      <c r="CL1668" s="2060"/>
      <c r="CM1668" s="2060"/>
      <c r="CN1668" s="2060"/>
      <c r="CO1668" s="2060"/>
      <c r="CP1668" s="2060"/>
      <c r="CQ1668" s="2060"/>
      <c r="CR1668" s="2060"/>
      <c r="CS1668" s="2060"/>
      <c r="CT1668" s="2060"/>
      <c r="CU1668" s="2060"/>
      <c r="CV1668" s="2060"/>
      <c r="CW1668" s="2060"/>
      <c r="CX1668" s="2060"/>
      <c r="CY1668" s="2060"/>
      <c r="CZ1668" s="2060"/>
      <c r="DA1668" s="2060"/>
      <c r="DB1668" s="2060"/>
      <c r="DC1668" s="2060"/>
      <c r="DD1668" s="2060"/>
      <c r="DE1668" s="2060"/>
      <c r="DF1668" s="2060"/>
      <c r="DG1668" s="2060"/>
      <c r="DH1668" s="2060"/>
      <c r="DI1668" s="2060"/>
      <c r="DJ1668" s="2060"/>
      <c r="DK1668" s="2060"/>
      <c r="DL1668" s="2060"/>
      <c r="DM1668" s="2060"/>
      <c r="DN1668" s="2060"/>
      <c r="DO1668" s="2060"/>
      <c r="DP1668" s="2060"/>
      <c r="DQ1668" s="2060"/>
      <c r="DR1668" s="2060"/>
      <c r="DS1668" s="2060"/>
      <c r="DT1668" s="2060"/>
      <c r="DU1668" s="2060"/>
      <c r="DV1668" s="2060"/>
      <c r="DW1668" s="2060"/>
      <c r="DX1668" s="2060"/>
      <c r="DY1668" s="2060"/>
      <c r="DZ1668" s="2060"/>
      <c r="EA1668" s="2060"/>
      <c r="EB1668" s="2060"/>
      <c r="EC1668" s="2060"/>
      <c r="ED1668" s="2060"/>
      <c r="EE1668" s="2060"/>
      <c r="EF1668" s="2060"/>
      <c r="EG1668" s="2060"/>
      <c r="EH1668" s="2060"/>
      <c r="EI1668" s="2060"/>
      <c r="EJ1668" s="2060"/>
      <c r="EK1668" s="2060"/>
      <c r="EL1668" s="2060"/>
      <c r="EM1668" s="2060"/>
      <c r="EN1668" s="2060"/>
      <c r="EO1668" s="2060"/>
      <c r="EP1668" s="2060"/>
      <c r="EQ1668" s="2060"/>
      <c r="ER1668" s="2060"/>
      <c r="ES1668" s="2060"/>
      <c r="ET1668" s="2060"/>
      <c r="EU1668" s="2060"/>
      <c r="EV1668" s="2060"/>
      <c r="EW1668" s="2060"/>
      <c r="EX1668" s="2060"/>
      <c r="EY1668" s="2060"/>
      <c r="EZ1668" s="2060"/>
      <c r="FA1668" s="2060"/>
      <c r="FB1668" s="2060"/>
      <c r="FC1668" s="2060"/>
      <c r="FD1668" s="2060"/>
      <c r="FE1668" s="2060"/>
      <c r="FF1668" s="2060"/>
      <c r="FG1668" s="2060"/>
      <c r="FH1668" s="2060"/>
      <c r="FI1668" s="2060"/>
      <c r="FJ1668" s="2060"/>
      <c r="FK1668" s="2060"/>
      <c r="FL1668" s="2060"/>
      <c r="FM1668" s="2060"/>
      <c r="FN1668" s="2060"/>
      <c r="FO1668" s="2060"/>
      <c r="FP1668" s="2060"/>
      <c r="FQ1668" s="2060"/>
      <c r="FR1668" s="2060"/>
      <c r="FS1668" s="2060"/>
      <c r="FT1668" s="2060"/>
      <c r="FU1668" s="2060"/>
      <c r="FV1668" s="2060"/>
      <c r="FW1668" s="2060"/>
      <c r="FX1668" s="2060"/>
      <c r="FY1668" s="2060"/>
      <c r="FZ1668" s="2060"/>
      <c r="GA1668" s="2060"/>
      <c r="GB1668" s="2060"/>
      <c r="GC1668" s="2060"/>
      <c r="GD1668" s="2060"/>
      <c r="GE1668" s="2060"/>
      <c r="GF1668" s="2060"/>
      <c r="GG1668" s="2060"/>
      <c r="GH1668" s="2060"/>
      <c r="GI1668" s="2060"/>
      <c r="GJ1668" s="2060"/>
      <c r="GK1668" s="2060"/>
      <c r="GL1668" s="2060"/>
      <c r="GM1668" s="2060"/>
      <c r="GN1668" s="2060"/>
      <c r="GO1668" s="2060"/>
      <c r="GP1668" s="2060"/>
      <c r="GQ1668" s="2060"/>
      <c r="GR1668" s="2060"/>
      <c r="GS1668" s="2060"/>
      <c r="GT1668" s="2060"/>
      <c r="GU1668" s="2060"/>
      <c r="GV1668" s="2060"/>
      <c r="GW1668" s="2060"/>
      <c r="GX1668" s="2060"/>
      <c r="GY1668" s="2060"/>
      <c r="GZ1668" s="2060"/>
      <c r="HA1668" s="2060"/>
      <c r="HB1668" s="2060"/>
      <c r="HC1668" s="2060"/>
      <c r="HD1668" s="2060"/>
      <c r="HE1668" s="2060"/>
      <c r="HF1668" s="2060"/>
      <c r="HG1668" s="2060"/>
      <c r="HH1668" s="2060"/>
      <c r="HI1668" s="2060"/>
      <c r="HJ1668" s="2060"/>
      <c r="HK1668" s="2060"/>
      <c r="HL1668" s="2060"/>
      <c r="HM1668" s="2060"/>
      <c r="HN1668" s="2060"/>
      <c r="HO1668" s="2060"/>
      <c r="HP1668" s="2060"/>
      <c r="HQ1668" s="2060"/>
      <c r="HR1668" s="2060"/>
      <c r="HS1668" s="2060"/>
      <c r="HT1668" s="2060"/>
      <c r="HU1668" s="2060"/>
      <c r="HV1668" s="2060"/>
      <c r="HW1668" s="2060"/>
      <c r="HX1668" s="2060"/>
      <c r="HY1668" s="2060"/>
      <c r="HZ1668" s="2060"/>
      <c r="IA1668" s="2060"/>
      <c r="IB1668" s="2060"/>
      <c r="IC1668" s="2060"/>
      <c r="ID1668" s="2060"/>
      <c r="IE1668" s="2060"/>
      <c r="IF1668" s="2060"/>
      <c r="IG1668" s="2060"/>
      <c r="IH1668" s="2060"/>
      <c r="II1668" s="2060"/>
      <c r="IJ1668" s="2060"/>
      <c r="IK1668" s="2060"/>
      <c r="IL1668" s="2060"/>
      <c r="IM1668" s="2060"/>
      <c r="IN1668" s="2060"/>
      <c r="IO1668" s="2060"/>
      <c r="IP1668" s="2060"/>
      <c r="IQ1668" s="2060"/>
      <c r="IR1668" s="2060"/>
      <c r="IS1668" s="2060"/>
      <c r="IT1668" s="2060"/>
      <c r="IU1668" s="2060"/>
      <c r="IV1668" s="2060"/>
      <c r="IW1668" s="2060"/>
      <c r="IX1668" s="2060"/>
      <c r="IY1668" s="2060"/>
      <c r="IZ1668" s="2060"/>
      <c r="JA1668" s="2060"/>
      <c r="JB1668" s="2060"/>
      <c r="JC1668" s="2060"/>
      <c r="JD1668" s="2060"/>
      <c r="JE1668" s="2060"/>
      <c r="JF1668" s="2060"/>
      <c r="JG1668" s="2060"/>
      <c r="JH1668" s="2060"/>
      <c r="JI1668" s="2060"/>
      <c r="JJ1668" s="2060"/>
      <c r="JK1668" s="2060"/>
      <c r="JL1668" s="2060"/>
      <c r="JM1668" s="2060"/>
      <c r="JN1668" s="2060"/>
      <c r="JO1668" s="2060"/>
      <c r="JP1668" s="2060"/>
      <c r="JQ1668" s="2060"/>
      <c r="JR1668" s="2060"/>
      <c r="JS1668" s="2060"/>
      <c r="JT1668" s="2060"/>
      <c r="JU1668" s="2060"/>
      <c r="JV1668" s="2060"/>
      <c r="JW1668" s="2060"/>
      <c r="JX1668" s="2060"/>
      <c r="JY1668" s="2060"/>
      <c r="JZ1668" s="2060"/>
      <c r="KA1668" s="2060"/>
      <c r="KB1668" s="2060"/>
      <c r="KC1668" s="2060"/>
      <c r="KD1668" s="2060"/>
      <c r="KE1668" s="2060"/>
      <c r="KF1668" s="2060"/>
      <c r="KG1668" s="2060"/>
      <c r="KH1668" s="2060"/>
      <c r="KI1668" s="2060"/>
      <c r="KJ1668" s="2060"/>
      <c r="KK1668" s="2060"/>
      <c r="KL1668" s="2060"/>
      <c r="KM1668" s="2060"/>
      <c r="KN1668" s="2060"/>
      <c r="KO1668" s="2060"/>
      <c r="KP1668" s="2060"/>
      <c r="KQ1668" s="2060"/>
      <c r="KR1668" s="2060"/>
      <c r="KS1668" s="2060"/>
      <c r="KT1668" s="2060"/>
      <c r="KU1668" s="2060"/>
      <c r="KV1668" s="2060"/>
      <c r="KW1668" s="2060"/>
      <c r="KX1668" s="2060"/>
      <c r="KY1668" s="2060"/>
      <c r="KZ1668" s="2060"/>
      <c r="LA1668" s="2060"/>
      <c r="LB1668" s="2060"/>
      <c r="LC1668" s="2060"/>
      <c r="LD1668" s="2060"/>
      <c r="LE1668" s="2060"/>
      <c r="LF1668" s="2060"/>
      <c r="LG1668" s="2060"/>
      <c r="LH1668" s="2060"/>
    </row>
    <row r="1669" spans="1:320" s="1499" customFormat="1" ht="13.9">
      <c r="A1669" s="269" t="str">
        <f t="shared" si="442"/>
        <v>n</v>
      </c>
      <c r="B1669" s="2060"/>
      <c r="C1669" s="2060"/>
      <c r="D1669" s="2060"/>
      <c r="E1669" s="1661">
        <v>24</v>
      </c>
      <c r="F1669" s="1353" t="str">
        <f>F$152</f>
        <v>--</v>
      </c>
      <c r="G1669" s="128">
        <f>G$152</f>
        <v>0</v>
      </c>
      <c r="H1669" s="128" t="str">
        <f>H$152</f>
        <v>--</v>
      </c>
      <c r="I1669" s="89" t="s">
        <v>786</v>
      </c>
      <c r="J1669" s="2197" t="str">
        <f>IF($G1669=0,"",IFERROR(_xll.ciqfunctions.udf.CIQ($G1669,$I1669,J$1557,Valuation_Date_GC,ReportType,DataMode,$H1669,FXMode)*Scale,"n/a"))</f>
        <v/>
      </c>
      <c r="K1669" s="2197" t="str">
        <f>IF($G1669=0,"",IFERROR(_xll.ciqfunctions.udf.CIQ($G1669,$I1669,K$1557,Valuation_Date_GC,ReportType,DataMode,$H1669,FXMode)*Scale,"n/a"))</f>
        <v/>
      </c>
      <c r="L1669" s="2197" t="str">
        <f>IF($G1669=0,"",IFERROR(_xll.ciqfunctions.udf.CIQ($G1669,$I1669,L$1557,Valuation_Date_GC,ReportType,DataMode,$H1669,FXMode)*Scale,"n/a"))</f>
        <v/>
      </c>
      <c r="M1669" s="2197" t="str">
        <f>IF($G1669=0,"",IFERROR(_xll.ciqfunctions.udf.CIQ($G1669,$I1669,M$1557,Valuation_Date_GC,ReportType,DataMode,$H1669,FXMode)*Scale,"n/a"))</f>
        <v/>
      </c>
      <c r="N1669" s="2197" t="str">
        <f>IF($G1669=0,"",IFERROR(_xll.ciqfunctions.udf.CIQ($G1669,$I1669,N$1557,Valuation_Date_GC,ReportType,DataMode,$H1669,FXMode)*Scale,"n/a"))</f>
        <v/>
      </c>
      <c r="O1669" s="2197" t="str">
        <f>IF($G1669=0,"",IFERROR(_xll.ciqfunctions.udf.CIQ($G1669,$I1669,O$1557,Valuation_Date_GC,ReportType,DataMode,$H1669,FXMode)*Scale,"n/a"))</f>
        <v/>
      </c>
      <c r="P1669" s="2197" t="str">
        <f>IF($G1669=0,"",IFERROR(_xll.ciqfunctions.udf.CIQ($G1669,$I1669,P$1557,Valuation_Date_GC,ReportType,DataMode,$H1669,FXMode)*Scale,"n/a"))</f>
        <v/>
      </c>
      <c r="Q1669" s="2197" t="str">
        <f>IF($G1669=0,"",IFERROR(_xll.ciqfunctions.udf.CIQ($G1669,$I1669,Q$1557,Valuation_Date_GC,ReportType,DataMode,$H1669,FXMode)*Scale,"n/a"))</f>
        <v/>
      </c>
      <c r="R1669" s="2197" t="str">
        <f>IF($G1669=0,"",IFERROR(_xll.ciqfunctions.udf.CIQ($G1669,$I1669,R$1557,Valuation_Date_GC,ReportType,DataMode,$H1669,FXMode)*Scale,"n/a"))</f>
        <v/>
      </c>
      <c r="S1669" s="2197" t="str">
        <f>IF($G1669=0,"",IFERROR(_xll.ciqfunctions.udf.CIQ($G1669,$I1669,S$1557,Valuation_Date_GC,ReportType,DataMode,$H1669,FXMode)*Scale,"n/a"))</f>
        <v/>
      </c>
      <c r="T1669" s="2197" t="str">
        <f>IF($G1669=0,"",IFERROR(_xll.ciqfunctions.udf.CIQ($G1669,$I1669,T$1557,Valuation_Date_GC,ReportType,DataMode,$H1669,FXMode)*Scale,"n/a"))</f>
        <v/>
      </c>
      <c r="U1669" s="2197" t="str">
        <f>IF($G1669=0,"",IFERROR(_xll.ciqfunctions.udf.CIQ($G1669,$I1669,U$1557,Valuation_Date_GC,ReportType,DataMode,$H1669,FXMode)*Scale,"n/a"))</f>
        <v/>
      </c>
      <c r="V1669" s="2197" t="str">
        <f>IF($G1669=0,"",IFERROR(_xll.ciqfunctions.udf.CIQ($G1669,$I1669,V$1557,Valuation_Date_GC,ReportType,DataMode,$H1669,FXMode)*Scale,"n/a"))</f>
        <v/>
      </c>
      <c r="W1669" s="1479"/>
      <c r="X1669" s="255"/>
      <c r="Y1669" s="255"/>
      <c r="Z1669" s="2060"/>
      <c r="AA1669" s="2060"/>
      <c r="AB1669" s="2060"/>
      <c r="AC1669" s="2060"/>
      <c r="AD1669" s="2060"/>
      <c r="AE1669" s="2060"/>
      <c r="AF1669" s="2060"/>
      <c r="AG1669" s="2060"/>
      <c r="AH1669" s="2060"/>
      <c r="AI1669" s="2060"/>
      <c r="AJ1669" s="2060"/>
      <c r="AK1669" s="2060"/>
      <c r="AL1669" s="2060"/>
      <c r="AM1669" s="2060"/>
      <c r="AN1669" s="2060"/>
      <c r="AO1669" s="2060"/>
      <c r="AP1669" s="2060"/>
      <c r="AQ1669" s="2060"/>
      <c r="AR1669" s="2060"/>
      <c r="AS1669" s="2060"/>
      <c r="AT1669" s="2060"/>
      <c r="AU1669" s="2060"/>
      <c r="AV1669" s="2060"/>
      <c r="AW1669" s="2060"/>
      <c r="AX1669" s="2060"/>
      <c r="AY1669" s="2060"/>
      <c r="AZ1669" s="2060"/>
      <c r="BA1669" s="2060"/>
      <c r="BB1669" s="2060"/>
      <c r="BC1669" s="2060"/>
      <c r="BD1669" s="2060"/>
      <c r="BE1669" s="2060"/>
      <c r="BF1669" s="2060"/>
      <c r="BG1669" s="2060"/>
      <c r="BH1669" s="2060"/>
      <c r="BI1669" s="2060"/>
      <c r="BJ1669" s="2060"/>
      <c r="BK1669" s="2060"/>
      <c r="BL1669" s="2060"/>
      <c r="BM1669" s="2060"/>
      <c r="BN1669" s="2060"/>
      <c r="BO1669" s="2060"/>
      <c r="BP1669" s="2060"/>
      <c r="BQ1669" s="2060"/>
      <c r="BR1669" s="2060"/>
      <c r="BS1669" s="2060"/>
      <c r="BT1669" s="2060"/>
      <c r="BU1669" s="2060"/>
      <c r="BV1669" s="2060"/>
      <c r="BW1669" s="2060"/>
      <c r="BX1669" s="2060"/>
      <c r="BY1669" s="2060"/>
      <c r="BZ1669" s="2060"/>
      <c r="CA1669" s="2060"/>
      <c r="CB1669" s="2060"/>
      <c r="CC1669" s="2060"/>
      <c r="CD1669" s="2060"/>
      <c r="CE1669" s="2060"/>
      <c r="CF1669" s="2060"/>
      <c r="CG1669" s="2060"/>
      <c r="CH1669" s="2060"/>
      <c r="CI1669" s="2060"/>
      <c r="CJ1669" s="2060"/>
      <c r="CK1669" s="2060"/>
      <c r="CL1669" s="2060"/>
      <c r="CM1669" s="2060"/>
      <c r="CN1669" s="2060"/>
      <c r="CO1669" s="2060"/>
      <c r="CP1669" s="2060"/>
      <c r="CQ1669" s="2060"/>
      <c r="CR1669" s="2060"/>
      <c r="CS1669" s="2060"/>
      <c r="CT1669" s="2060"/>
      <c r="CU1669" s="2060"/>
      <c r="CV1669" s="2060"/>
      <c r="CW1669" s="2060"/>
      <c r="CX1669" s="2060"/>
      <c r="CY1669" s="2060"/>
      <c r="CZ1669" s="2060"/>
      <c r="DA1669" s="2060"/>
      <c r="DB1669" s="2060"/>
      <c r="DC1669" s="2060"/>
      <c r="DD1669" s="2060"/>
      <c r="DE1669" s="2060"/>
      <c r="DF1669" s="2060"/>
      <c r="DG1669" s="2060"/>
      <c r="DH1669" s="2060"/>
      <c r="DI1669" s="2060"/>
      <c r="DJ1669" s="2060"/>
      <c r="DK1669" s="2060"/>
      <c r="DL1669" s="2060"/>
      <c r="DM1669" s="2060"/>
      <c r="DN1669" s="2060"/>
      <c r="DO1669" s="2060"/>
      <c r="DP1669" s="2060"/>
      <c r="DQ1669" s="2060"/>
      <c r="DR1669" s="2060"/>
      <c r="DS1669" s="2060"/>
      <c r="DT1669" s="2060"/>
      <c r="DU1669" s="2060"/>
      <c r="DV1669" s="2060"/>
      <c r="DW1669" s="2060"/>
      <c r="DX1669" s="2060"/>
      <c r="DY1669" s="2060"/>
      <c r="DZ1669" s="2060"/>
      <c r="EA1669" s="2060"/>
      <c r="EB1669" s="2060"/>
      <c r="EC1669" s="2060"/>
      <c r="ED1669" s="2060"/>
      <c r="EE1669" s="2060"/>
      <c r="EF1669" s="2060"/>
      <c r="EG1669" s="2060"/>
      <c r="EH1669" s="2060"/>
      <c r="EI1669" s="2060"/>
      <c r="EJ1669" s="2060"/>
      <c r="EK1669" s="2060"/>
      <c r="EL1669" s="2060"/>
      <c r="EM1669" s="2060"/>
      <c r="EN1669" s="2060"/>
      <c r="EO1669" s="2060"/>
      <c r="EP1669" s="2060"/>
      <c r="EQ1669" s="2060"/>
      <c r="ER1669" s="2060"/>
      <c r="ES1669" s="2060"/>
      <c r="ET1669" s="2060"/>
      <c r="EU1669" s="2060"/>
      <c r="EV1669" s="2060"/>
      <c r="EW1669" s="2060"/>
      <c r="EX1669" s="2060"/>
      <c r="EY1669" s="2060"/>
      <c r="EZ1669" s="2060"/>
      <c r="FA1669" s="2060"/>
      <c r="FB1669" s="2060"/>
      <c r="FC1669" s="2060"/>
      <c r="FD1669" s="2060"/>
      <c r="FE1669" s="2060"/>
      <c r="FF1669" s="2060"/>
      <c r="FG1669" s="2060"/>
      <c r="FH1669" s="2060"/>
      <c r="FI1669" s="2060"/>
      <c r="FJ1669" s="2060"/>
      <c r="FK1669" s="2060"/>
      <c r="FL1669" s="2060"/>
      <c r="FM1669" s="2060"/>
      <c r="FN1669" s="2060"/>
      <c r="FO1669" s="2060"/>
      <c r="FP1669" s="2060"/>
      <c r="FQ1669" s="2060"/>
      <c r="FR1669" s="2060"/>
      <c r="FS1669" s="2060"/>
      <c r="FT1669" s="2060"/>
      <c r="FU1669" s="2060"/>
      <c r="FV1669" s="2060"/>
      <c r="FW1669" s="2060"/>
      <c r="FX1669" s="2060"/>
      <c r="FY1669" s="2060"/>
      <c r="FZ1669" s="2060"/>
      <c r="GA1669" s="2060"/>
      <c r="GB1669" s="2060"/>
      <c r="GC1669" s="2060"/>
      <c r="GD1669" s="2060"/>
      <c r="GE1669" s="2060"/>
      <c r="GF1669" s="2060"/>
      <c r="GG1669" s="2060"/>
      <c r="GH1669" s="2060"/>
      <c r="GI1669" s="2060"/>
      <c r="GJ1669" s="2060"/>
      <c r="GK1669" s="2060"/>
      <c r="GL1669" s="2060"/>
      <c r="GM1669" s="2060"/>
      <c r="GN1669" s="2060"/>
      <c r="GO1669" s="2060"/>
      <c r="GP1669" s="2060"/>
      <c r="GQ1669" s="2060"/>
      <c r="GR1669" s="2060"/>
      <c r="GS1669" s="2060"/>
      <c r="GT1669" s="2060"/>
      <c r="GU1669" s="2060"/>
      <c r="GV1669" s="2060"/>
      <c r="GW1669" s="2060"/>
      <c r="GX1669" s="2060"/>
      <c r="GY1669" s="2060"/>
      <c r="GZ1669" s="2060"/>
      <c r="HA1669" s="2060"/>
      <c r="HB1669" s="2060"/>
      <c r="HC1669" s="2060"/>
      <c r="HD1669" s="2060"/>
      <c r="HE1669" s="2060"/>
      <c r="HF1669" s="2060"/>
      <c r="HG1669" s="2060"/>
      <c r="HH1669" s="2060"/>
      <c r="HI1669" s="2060"/>
      <c r="HJ1669" s="2060"/>
      <c r="HK1669" s="2060"/>
      <c r="HL1669" s="2060"/>
      <c r="HM1669" s="2060"/>
      <c r="HN1669" s="2060"/>
      <c r="HO1669" s="2060"/>
      <c r="HP1669" s="2060"/>
      <c r="HQ1669" s="2060"/>
      <c r="HR1669" s="2060"/>
      <c r="HS1669" s="2060"/>
      <c r="HT1669" s="2060"/>
      <c r="HU1669" s="2060"/>
      <c r="HV1669" s="2060"/>
      <c r="HW1669" s="2060"/>
      <c r="HX1669" s="2060"/>
      <c r="HY1669" s="2060"/>
      <c r="HZ1669" s="2060"/>
      <c r="IA1669" s="2060"/>
      <c r="IB1669" s="2060"/>
      <c r="IC1669" s="2060"/>
      <c r="ID1669" s="2060"/>
      <c r="IE1669" s="2060"/>
      <c r="IF1669" s="2060"/>
      <c r="IG1669" s="2060"/>
      <c r="IH1669" s="2060"/>
      <c r="II1669" s="2060"/>
      <c r="IJ1669" s="2060"/>
      <c r="IK1669" s="2060"/>
      <c r="IL1669" s="2060"/>
      <c r="IM1669" s="2060"/>
      <c r="IN1669" s="2060"/>
      <c r="IO1669" s="2060"/>
      <c r="IP1669" s="2060"/>
      <c r="IQ1669" s="2060"/>
      <c r="IR1669" s="2060"/>
      <c r="IS1669" s="2060"/>
      <c r="IT1669" s="2060"/>
      <c r="IU1669" s="2060"/>
      <c r="IV1669" s="2060"/>
      <c r="IW1669" s="2060"/>
      <c r="IX1669" s="2060"/>
      <c r="IY1669" s="2060"/>
      <c r="IZ1669" s="2060"/>
      <c r="JA1669" s="2060"/>
      <c r="JB1669" s="2060"/>
      <c r="JC1669" s="2060"/>
      <c r="JD1669" s="2060"/>
      <c r="JE1669" s="2060"/>
      <c r="JF1669" s="2060"/>
      <c r="JG1669" s="2060"/>
      <c r="JH1669" s="2060"/>
      <c r="JI1669" s="2060"/>
      <c r="JJ1669" s="2060"/>
      <c r="JK1669" s="2060"/>
      <c r="JL1669" s="2060"/>
      <c r="JM1669" s="2060"/>
      <c r="JN1669" s="2060"/>
      <c r="JO1669" s="2060"/>
      <c r="JP1669" s="2060"/>
      <c r="JQ1669" s="2060"/>
      <c r="JR1669" s="2060"/>
      <c r="JS1669" s="2060"/>
      <c r="JT1669" s="2060"/>
      <c r="JU1669" s="2060"/>
      <c r="JV1669" s="2060"/>
      <c r="JW1669" s="2060"/>
      <c r="JX1669" s="2060"/>
      <c r="JY1669" s="2060"/>
      <c r="JZ1669" s="2060"/>
      <c r="KA1669" s="2060"/>
      <c r="KB1669" s="2060"/>
      <c r="KC1669" s="2060"/>
      <c r="KD1669" s="2060"/>
      <c r="KE1669" s="2060"/>
      <c r="KF1669" s="2060"/>
      <c r="KG1669" s="2060"/>
      <c r="KH1669" s="2060"/>
      <c r="KI1669" s="2060"/>
      <c r="KJ1669" s="2060"/>
      <c r="KK1669" s="2060"/>
      <c r="KL1669" s="2060"/>
      <c r="KM1669" s="2060"/>
      <c r="KN1669" s="2060"/>
      <c r="KO1669" s="2060"/>
      <c r="KP1669" s="2060"/>
      <c r="KQ1669" s="2060"/>
      <c r="KR1669" s="2060"/>
      <c r="KS1669" s="2060"/>
      <c r="KT1669" s="2060"/>
      <c r="KU1669" s="2060"/>
      <c r="KV1669" s="2060"/>
      <c r="KW1669" s="2060"/>
      <c r="KX1669" s="2060"/>
      <c r="KY1669" s="2060"/>
      <c r="KZ1669" s="2060"/>
      <c r="LA1669" s="2060"/>
      <c r="LB1669" s="2060"/>
      <c r="LC1669" s="2060"/>
      <c r="LD1669" s="2060"/>
      <c r="LE1669" s="2060"/>
      <c r="LF1669" s="2060"/>
      <c r="LG1669" s="2060"/>
      <c r="LH1669" s="2060"/>
    </row>
    <row r="1670" spans="1:320" s="449" customFormat="1" ht="13.9">
      <c r="A1670" s="269" t="str">
        <f t="shared" si="442"/>
        <v>n</v>
      </c>
      <c r="B1670" s="2060"/>
      <c r="C1670" s="2060"/>
      <c r="D1670" s="2060"/>
      <c r="E1670" s="1661">
        <v>25</v>
      </c>
      <c r="F1670" s="1353" t="str">
        <f>F$153</f>
        <v>--</v>
      </c>
      <c r="G1670" s="128">
        <f>G$153</f>
        <v>0</v>
      </c>
      <c r="H1670" s="128" t="str">
        <f>H$153</f>
        <v>--</v>
      </c>
      <c r="I1670" s="89" t="s">
        <v>786</v>
      </c>
      <c r="J1670" s="2197" t="str">
        <f>IF($G1670=0,"",IFERROR(_xll.ciqfunctions.udf.CIQ($G1670,$I1670,J$1557,Valuation_Date_GC,ReportType,DataMode,$H1670,FXMode)*Scale,"n/a"))</f>
        <v/>
      </c>
      <c r="K1670" s="2197" t="str">
        <f>IF($G1670=0,"",IFERROR(_xll.ciqfunctions.udf.CIQ($G1670,$I1670,K$1557,Valuation_Date_GC,ReportType,DataMode,$H1670,FXMode)*Scale,"n/a"))</f>
        <v/>
      </c>
      <c r="L1670" s="2197" t="str">
        <f>IF($G1670=0,"",IFERROR(_xll.ciqfunctions.udf.CIQ($G1670,$I1670,L$1557,Valuation_Date_GC,ReportType,DataMode,$H1670,FXMode)*Scale,"n/a"))</f>
        <v/>
      </c>
      <c r="M1670" s="2197" t="str">
        <f>IF($G1670=0,"",IFERROR(_xll.ciqfunctions.udf.CIQ($G1670,$I1670,M$1557,Valuation_Date_GC,ReportType,DataMode,$H1670,FXMode)*Scale,"n/a"))</f>
        <v/>
      </c>
      <c r="N1670" s="2197" t="str">
        <f>IF($G1670=0,"",IFERROR(_xll.ciqfunctions.udf.CIQ($G1670,$I1670,N$1557,Valuation_Date_GC,ReportType,DataMode,$H1670,FXMode)*Scale,"n/a"))</f>
        <v/>
      </c>
      <c r="O1670" s="2197" t="str">
        <f>IF($G1670=0,"",IFERROR(_xll.ciqfunctions.udf.CIQ($G1670,$I1670,O$1557,Valuation_Date_GC,ReportType,DataMode,$H1670,FXMode)*Scale,"n/a"))</f>
        <v/>
      </c>
      <c r="P1670" s="2197" t="str">
        <f>IF($G1670=0,"",IFERROR(_xll.ciqfunctions.udf.CIQ($G1670,$I1670,P$1557,Valuation_Date_GC,ReportType,DataMode,$H1670,FXMode)*Scale,"n/a"))</f>
        <v/>
      </c>
      <c r="Q1670" s="2197" t="str">
        <f>IF($G1670=0,"",IFERROR(_xll.ciqfunctions.udf.CIQ($G1670,$I1670,Q$1557,Valuation_Date_GC,ReportType,DataMode,$H1670,FXMode)*Scale,"n/a"))</f>
        <v/>
      </c>
      <c r="R1670" s="2197" t="str">
        <f>IF($G1670=0,"",IFERROR(_xll.ciqfunctions.udf.CIQ($G1670,$I1670,R$1557,Valuation_Date_GC,ReportType,DataMode,$H1670,FXMode)*Scale,"n/a"))</f>
        <v/>
      </c>
      <c r="S1670" s="2197" t="str">
        <f>IF($G1670=0,"",IFERROR(_xll.ciqfunctions.udf.CIQ($G1670,$I1670,S$1557,Valuation_Date_GC,ReportType,DataMode,$H1670,FXMode)*Scale,"n/a"))</f>
        <v/>
      </c>
      <c r="T1670" s="2197" t="str">
        <f>IF($G1670=0,"",IFERROR(_xll.ciqfunctions.udf.CIQ($G1670,$I1670,T$1557,Valuation_Date_GC,ReportType,DataMode,$H1670,FXMode)*Scale,"n/a"))</f>
        <v/>
      </c>
      <c r="U1670" s="2197" t="str">
        <f>IF($G1670=0,"",IFERROR(_xll.ciqfunctions.udf.CIQ($G1670,$I1670,U$1557,Valuation_Date_GC,ReportType,DataMode,$H1670,FXMode)*Scale,"n/a"))</f>
        <v/>
      </c>
      <c r="V1670" s="2197" t="str">
        <f>IF($G1670=0,"",IFERROR(_xll.ciqfunctions.udf.CIQ($G1670,$I1670,V$1557,Valuation_Date_GC,ReportType,DataMode,$H1670,FXMode)*Scale,"n/a"))</f>
        <v/>
      </c>
      <c r="W1670" s="1479"/>
      <c r="X1670" s="255"/>
      <c r="Y1670" s="89"/>
      <c r="Z1670" s="2060"/>
      <c r="AA1670" s="2060"/>
      <c r="AB1670" s="2060"/>
      <c r="AC1670" s="2060"/>
      <c r="AD1670" s="2060"/>
      <c r="AE1670" s="2060"/>
      <c r="AF1670" s="2060"/>
      <c r="AG1670" s="2060"/>
      <c r="AH1670" s="2060"/>
      <c r="AI1670" s="2060"/>
      <c r="AJ1670" s="2060"/>
      <c r="AK1670" s="2060"/>
      <c r="AL1670" s="2060"/>
      <c r="AM1670" s="2060"/>
      <c r="AN1670" s="2060"/>
      <c r="AO1670" s="2060"/>
      <c r="AP1670" s="2060"/>
      <c r="AQ1670" s="2060"/>
      <c r="AR1670" s="2060"/>
      <c r="AS1670" s="2060"/>
      <c r="AT1670" s="2060"/>
      <c r="AU1670" s="2060"/>
      <c r="AV1670" s="2060"/>
      <c r="AW1670" s="2060"/>
      <c r="AX1670" s="2060"/>
      <c r="AY1670" s="2060"/>
      <c r="AZ1670" s="2060"/>
      <c r="BA1670" s="2060"/>
      <c r="BB1670" s="2060"/>
      <c r="BC1670" s="2060"/>
      <c r="BD1670" s="2060"/>
      <c r="BE1670" s="2060"/>
      <c r="BF1670" s="2060"/>
      <c r="BG1670" s="2060"/>
      <c r="BH1670" s="2060"/>
      <c r="BI1670" s="2060"/>
      <c r="BJ1670" s="2060"/>
      <c r="BK1670" s="2060"/>
      <c r="BL1670" s="2060"/>
      <c r="BM1670" s="2060"/>
      <c r="BN1670" s="2060"/>
      <c r="BO1670" s="2060"/>
      <c r="BP1670" s="2060"/>
      <c r="BQ1670" s="2060"/>
      <c r="BR1670" s="2060"/>
      <c r="BS1670" s="2060"/>
      <c r="BT1670" s="2060"/>
      <c r="BU1670" s="2060"/>
      <c r="BV1670" s="2060"/>
      <c r="BW1670" s="2060"/>
      <c r="BX1670" s="2060"/>
      <c r="BY1670" s="2060"/>
      <c r="BZ1670" s="2060"/>
      <c r="CA1670" s="2060"/>
      <c r="CB1670" s="2060"/>
      <c r="CC1670" s="2060"/>
      <c r="CD1670" s="2060"/>
      <c r="CE1670" s="2060"/>
      <c r="CF1670" s="2060"/>
      <c r="CG1670" s="2060"/>
      <c r="CH1670" s="2060"/>
      <c r="CI1670" s="2060"/>
      <c r="CJ1670" s="2060"/>
      <c r="CK1670" s="2060"/>
      <c r="CL1670" s="2060"/>
      <c r="CM1670" s="2060"/>
      <c r="CN1670" s="2060"/>
      <c r="CO1670" s="2060"/>
      <c r="CP1670" s="2060"/>
      <c r="CQ1670" s="2060"/>
      <c r="CR1670" s="2060"/>
      <c r="CS1670" s="2060"/>
      <c r="CT1670" s="2060"/>
      <c r="CU1670" s="2060"/>
      <c r="CV1670" s="2060"/>
      <c r="CW1670" s="2060"/>
      <c r="CX1670" s="2060"/>
      <c r="CY1670" s="2060"/>
      <c r="CZ1670" s="2060"/>
      <c r="DA1670" s="2060"/>
      <c r="DB1670" s="2060"/>
      <c r="DC1670" s="2060"/>
      <c r="DD1670" s="2060"/>
      <c r="DE1670" s="2060"/>
      <c r="DF1670" s="2060"/>
      <c r="DG1670" s="2060"/>
      <c r="DH1670" s="2060"/>
      <c r="DI1670" s="2060"/>
      <c r="DJ1670" s="2060"/>
      <c r="DK1670" s="2060"/>
      <c r="DL1670" s="2060"/>
      <c r="DM1670" s="2060"/>
      <c r="DN1670" s="2060"/>
      <c r="DO1670" s="2060"/>
      <c r="DP1670" s="2060"/>
      <c r="DQ1670" s="2060"/>
      <c r="DR1670" s="2060"/>
      <c r="DS1670" s="2060"/>
      <c r="DT1670" s="2060"/>
      <c r="DU1670" s="2060"/>
      <c r="DV1670" s="2060"/>
      <c r="DW1670" s="2060"/>
      <c r="DX1670" s="2060"/>
      <c r="DY1670" s="2060"/>
      <c r="DZ1670" s="2060"/>
      <c r="EA1670" s="2060"/>
      <c r="EB1670" s="2060"/>
      <c r="EC1670" s="2060"/>
      <c r="ED1670" s="2060"/>
      <c r="EE1670" s="2060"/>
      <c r="EF1670" s="2060"/>
      <c r="EG1670" s="2060"/>
      <c r="EH1670" s="2060"/>
      <c r="EI1670" s="2060"/>
      <c r="EJ1670" s="2060"/>
      <c r="EK1670" s="2060"/>
      <c r="EL1670" s="2060"/>
      <c r="EM1670" s="2060"/>
      <c r="EN1670" s="2060"/>
      <c r="EO1670" s="2060"/>
      <c r="EP1670" s="2060"/>
      <c r="EQ1670" s="2060"/>
      <c r="ER1670" s="2060"/>
      <c r="ES1670" s="2060"/>
      <c r="ET1670" s="2060"/>
      <c r="EU1670" s="2060"/>
      <c r="EV1670" s="2060"/>
      <c r="EW1670" s="2060"/>
      <c r="EX1670" s="2060"/>
      <c r="EY1670" s="2060"/>
      <c r="EZ1670" s="2060"/>
      <c r="FA1670" s="2060"/>
      <c r="FB1670" s="2060"/>
      <c r="FC1670" s="2060"/>
      <c r="FD1670" s="2060"/>
      <c r="FE1670" s="2060"/>
      <c r="FF1670" s="2060"/>
      <c r="FG1670" s="2060"/>
      <c r="FH1670" s="2060"/>
      <c r="FI1670" s="2060"/>
      <c r="FJ1670" s="2060"/>
      <c r="FK1670" s="2060"/>
      <c r="FL1670" s="2060"/>
      <c r="FM1670" s="2060"/>
      <c r="FN1670" s="2060"/>
      <c r="FO1670" s="2060"/>
      <c r="FP1670" s="2060"/>
      <c r="FQ1670" s="2060"/>
      <c r="FR1670" s="2060"/>
      <c r="FS1670" s="2060"/>
      <c r="FT1670" s="2060"/>
      <c r="FU1670" s="2060"/>
      <c r="FV1670" s="2060"/>
      <c r="FW1670" s="2060"/>
      <c r="FX1670" s="2060"/>
      <c r="FY1670" s="2060"/>
      <c r="FZ1670" s="2060"/>
      <c r="GA1670" s="2060"/>
      <c r="GB1670" s="2060"/>
      <c r="GC1670" s="2060"/>
      <c r="GD1670" s="2060"/>
      <c r="GE1670" s="2060"/>
      <c r="GF1670" s="2060"/>
      <c r="GG1670" s="2060"/>
      <c r="GH1670" s="2060"/>
      <c r="GI1670" s="2060"/>
      <c r="GJ1670" s="2060"/>
      <c r="GK1670" s="2060"/>
      <c r="GL1670" s="2060"/>
      <c r="GM1670" s="2060"/>
      <c r="GN1670" s="2060"/>
      <c r="GO1670" s="2060"/>
      <c r="GP1670" s="2060"/>
      <c r="GQ1670" s="2060"/>
      <c r="GR1670" s="2060"/>
      <c r="GS1670" s="2060"/>
      <c r="GT1670" s="2060"/>
      <c r="GU1670" s="2060"/>
      <c r="GV1670" s="2060"/>
      <c r="GW1670" s="2060"/>
      <c r="GX1670" s="2060"/>
      <c r="GY1670" s="2060"/>
      <c r="GZ1670" s="2060"/>
      <c r="HA1670" s="2060"/>
      <c r="HB1670" s="2060"/>
      <c r="HC1670" s="2060"/>
      <c r="HD1670" s="2060"/>
      <c r="HE1670" s="2060"/>
      <c r="HF1670" s="2060"/>
      <c r="HG1670" s="2060"/>
      <c r="HH1670" s="2060"/>
      <c r="HI1670" s="2060"/>
      <c r="HJ1670" s="2060"/>
      <c r="HK1670" s="2060"/>
      <c r="HL1670" s="2060"/>
      <c r="HM1670" s="2060"/>
      <c r="HN1670" s="2060"/>
      <c r="HO1670" s="2060"/>
      <c r="HP1670" s="2060"/>
      <c r="HQ1670" s="2060"/>
      <c r="HR1670" s="2060"/>
      <c r="HS1670" s="2060"/>
      <c r="HT1670" s="2060"/>
      <c r="HU1670" s="2060"/>
      <c r="HV1670" s="2060"/>
      <c r="HW1670" s="2060"/>
      <c r="HX1670" s="2060"/>
      <c r="HY1670" s="2060"/>
      <c r="HZ1670" s="2060"/>
      <c r="IA1670" s="2060"/>
      <c r="IB1670" s="2060"/>
      <c r="IC1670" s="2060"/>
      <c r="ID1670" s="2060"/>
      <c r="IE1670" s="2060"/>
      <c r="IF1670" s="2060"/>
      <c r="IG1670" s="2060"/>
      <c r="IH1670" s="2060"/>
      <c r="II1670" s="2060"/>
      <c r="IJ1670" s="2060"/>
      <c r="IK1670" s="2060"/>
      <c r="IL1670" s="2060"/>
      <c r="IM1670" s="2060"/>
      <c r="IN1670" s="2060"/>
      <c r="IO1670" s="2060"/>
      <c r="IP1670" s="2060"/>
      <c r="IQ1670" s="2060"/>
      <c r="IR1670" s="2060"/>
      <c r="IS1670" s="2060"/>
      <c r="IT1670" s="2060"/>
      <c r="IU1670" s="2060"/>
      <c r="IV1670" s="2060"/>
      <c r="IW1670" s="2060"/>
      <c r="IX1670" s="2060"/>
      <c r="IY1670" s="2060"/>
      <c r="IZ1670" s="2060"/>
      <c r="JA1670" s="2060"/>
      <c r="JB1670" s="2060"/>
      <c r="JC1670" s="2060"/>
      <c r="JD1670" s="2060"/>
      <c r="JE1670" s="2060"/>
      <c r="JF1670" s="2060"/>
      <c r="JG1670" s="2060"/>
      <c r="JH1670" s="2060"/>
      <c r="JI1670" s="2060"/>
      <c r="JJ1670" s="2060"/>
      <c r="JK1670" s="2060"/>
      <c r="JL1670" s="2060"/>
      <c r="JM1670" s="2060"/>
      <c r="JN1670" s="2060"/>
      <c r="JO1670" s="2060"/>
      <c r="JP1670" s="2060"/>
      <c r="JQ1670" s="2060"/>
      <c r="JR1670" s="2060"/>
      <c r="JS1670" s="2060"/>
      <c r="JT1670" s="2060"/>
      <c r="JU1670" s="2060"/>
      <c r="JV1670" s="2060"/>
      <c r="JW1670" s="2060"/>
      <c r="JX1670" s="2060"/>
      <c r="JY1670" s="2060"/>
      <c r="JZ1670" s="2060"/>
      <c r="KA1670" s="2060"/>
      <c r="KB1670" s="2060"/>
      <c r="KC1670" s="2060"/>
      <c r="KD1670" s="2060"/>
      <c r="KE1670" s="2060"/>
      <c r="KF1670" s="2060"/>
      <c r="KG1670" s="2060"/>
      <c r="KH1670" s="2060"/>
      <c r="KI1670" s="2060"/>
      <c r="KJ1670" s="2060"/>
      <c r="KK1670" s="2060"/>
      <c r="KL1670" s="2060"/>
      <c r="KM1670" s="2060"/>
      <c r="KN1670" s="2060"/>
      <c r="KO1670" s="2060"/>
      <c r="KP1670" s="2060"/>
      <c r="KQ1670" s="2060"/>
      <c r="KR1670" s="2060"/>
      <c r="KS1670" s="2060"/>
      <c r="KT1670" s="2060"/>
      <c r="KU1670" s="2060"/>
      <c r="KV1670" s="2060"/>
      <c r="KW1670" s="2060"/>
      <c r="KX1670" s="2060"/>
      <c r="KY1670" s="2060"/>
      <c r="KZ1670" s="2060"/>
      <c r="LA1670" s="2060"/>
      <c r="LB1670" s="2060"/>
      <c r="LC1670" s="2060"/>
      <c r="LD1670" s="2060"/>
      <c r="LE1670" s="2060"/>
      <c r="LF1670" s="2060"/>
      <c r="LG1670" s="2060"/>
      <c r="LH1670" s="2060"/>
    </row>
    <row r="1671" spans="1:320" s="449" customFormat="1" ht="13.9">
      <c r="A1671" s="2060"/>
      <c r="B1671" s="2060"/>
      <c r="C1671" s="2060"/>
      <c r="D1671" s="2060"/>
      <c r="E1671" s="505"/>
      <c r="F1671" s="1349"/>
      <c r="G1671" s="1349"/>
      <c r="H1671" s="1349"/>
      <c r="I1671" s="89"/>
      <c r="J1671" s="1558"/>
      <c r="K1671" s="1558"/>
      <c r="L1671" s="1558"/>
      <c r="M1671" s="1558"/>
      <c r="N1671" s="1558"/>
      <c r="O1671" s="1558"/>
      <c r="P1671" s="1558"/>
      <c r="Q1671" s="1558"/>
      <c r="R1671" s="1558"/>
      <c r="S1671" s="1558"/>
      <c r="T1671" s="1558"/>
      <c r="U1671" s="1558"/>
      <c r="V1671" s="1558"/>
      <c r="W1671" s="1479"/>
      <c r="X1671" s="255"/>
      <c r="Y1671" s="89"/>
      <c r="Z1671" s="2060"/>
      <c r="AA1671" s="2060"/>
      <c r="AB1671" s="2060"/>
      <c r="AC1671" s="2060"/>
      <c r="AD1671" s="2060"/>
      <c r="AE1671" s="2060"/>
      <c r="AF1671" s="2060"/>
      <c r="AG1671" s="2060"/>
      <c r="AH1671" s="2060"/>
      <c r="AI1671" s="2060"/>
      <c r="AJ1671" s="2060"/>
      <c r="AK1671" s="2060"/>
      <c r="AL1671" s="2060"/>
      <c r="AM1671" s="2060"/>
      <c r="AN1671" s="2060"/>
      <c r="AO1671" s="2060"/>
      <c r="AP1671" s="2060"/>
      <c r="AQ1671" s="2060"/>
      <c r="AR1671" s="2060"/>
      <c r="AS1671" s="2060"/>
      <c r="AT1671" s="2060"/>
      <c r="AU1671" s="2060"/>
      <c r="AV1671" s="2060"/>
      <c r="AW1671" s="2060"/>
      <c r="AX1671" s="2060"/>
      <c r="AY1671" s="2060"/>
      <c r="AZ1671" s="2060"/>
      <c r="BA1671" s="2060"/>
      <c r="BB1671" s="2060"/>
      <c r="BC1671" s="2060"/>
      <c r="BD1671" s="2060"/>
      <c r="BE1671" s="2060"/>
      <c r="BF1671" s="2060"/>
      <c r="BG1671" s="2060"/>
      <c r="BH1671" s="2060"/>
      <c r="BI1671" s="2060"/>
      <c r="BJ1671" s="2060"/>
      <c r="BK1671" s="2060"/>
      <c r="BL1671" s="2060"/>
      <c r="BM1671" s="2060"/>
      <c r="BN1671" s="2060"/>
      <c r="BO1671" s="2060"/>
      <c r="BP1671" s="2060"/>
      <c r="BQ1671" s="2060"/>
      <c r="BR1671" s="2060"/>
      <c r="BS1671" s="2060"/>
      <c r="BT1671" s="2060"/>
      <c r="BU1671" s="2060"/>
      <c r="BV1671" s="2060"/>
      <c r="BW1671" s="2060"/>
      <c r="BX1671" s="2060"/>
      <c r="BY1671" s="2060"/>
      <c r="BZ1671" s="2060"/>
      <c r="CA1671" s="2060"/>
      <c r="CB1671" s="2060"/>
      <c r="CC1671" s="2060"/>
      <c r="CD1671" s="2060"/>
      <c r="CE1671" s="2060"/>
      <c r="CF1671" s="2060"/>
      <c r="CG1671" s="2060"/>
      <c r="CH1671" s="2060"/>
      <c r="CI1671" s="2060"/>
      <c r="CJ1671" s="2060"/>
      <c r="CK1671" s="2060"/>
      <c r="CL1671" s="2060"/>
      <c r="CM1671" s="2060"/>
      <c r="CN1671" s="2060"/>
      <c r="CO1671" s="2060"/>
      <c r="CP1671" s="2060"/>
      <c r="CQ1671" s="2060"/>
      <c r="CR1671" s="2060"/>
      <c r="CS1671" s="2060"/>
      <c r="CT1671" s="2060"/>
      <c r="CU1671" s="2060"/>
      <c r="CV1671" s="2060"/>
      <c r="CW1671" s="2060"/>
      <c r="CX1671" s="2060"/>
      <c r="CY1671" s="2060"/>
      <c r="CZ1671" s="2060"/>
      <c r="DA1671" s="2060"/>
      <c r="DB1671" s="2060"/>
      <c r="DC1671" s="2060"/>
      <c r="DD1671" s="2060"/>
      <c r="DE1671" s="2060"/>
      <c r="DF1671" s="2060"/>
      <c r="DG1671" s="2060"/>
      <c r="DH1671" s="2060"/>
      <c r="DI1671" s="2060"/>
      <c r="DJ1671" s="2060"/>
      <c r="DK1671" s="2060"/>
      <c r="DL1671" s="2060"/>
      <c r="DM1671" s="2060"/>
      <c r="DN1671" s="2060"/>
      <c r="DO1671" s="2060"/>
      <c r="DP1671" s="2060"/>
      <c r="DQ1671" s="2060"/>
      <c r="DR1671" s="2060"/>
      <c r="DS1671" s="2060"/>
      <c r="DT1671" s="2060"/>
      <c r="DU1671" s="2060"/>
      <c r="DV1671" s="2060"/>
      <c r="DW1671" s="2060"/>
      <c r="DX1671" s="2060"/>
      <c r="DY1671" s="2060"/>
      <c r="DZ1671" s="2060"/>
      <c r="EA1671" s="2060"/>
      <c r="EB1671" s="2060"/>
      <c r="EC1671" s="2060"/>
      <c r="ED1671" s="2060"/>
      <c r="EE1671" s="2060"/>
      <c r="EF1671" s="2060"/>
      <c r="EG1671" s="2060"/>
      <c r="EH1671" s="2060"/>
      <c r="EI1671" s="2060"/>
      <c r="EJ1671" s="2060"/>
      <c r="EK1671" s="2060"/>
      <c r="EL1671" s="2060"/>
      <c r="EM1671" s="2060"/>
      <c r="EN1671" s="2060"/>
      <c r="EO1671" s="2060"/>
      <c r="EP1671" s="2060"/>
      <c r="EQ1671" s="2060"/>
      <c r="ER1671" s="2060"/>
      <c r="ES1671" s="2060"/>
      <c r="ET1671" s="2060"/>
      <c r="EU1671" s="2060"/>
      <c r="EV1671" s="2060"/>
      <c r="EW1671" s="2060"/>
      <c r="EX1671" s="2060"/>
      <c r="EY1671" s="2060"/>
      <c r="EZ1671" s="2060"/>
      <c r="FA1671" s="2060"/>
      <c r="FB1671" s="2060"/>
      <c r="FC1671" s="2060"/>
      <c r="FD1671" s="2060"/>
      <c r="FE1671" s="2060"/>
      <c r="FF1671" s="2060"/>
      <c r="FG1671" s="2060"/>
      <c r="FH1671" s="2060"/>
      <c r="FI1671" s="2060"/>
      <c r="FJ1671" s="2060"/>
      <c r="FK1671" s="2060"/>
      <c r="FL1671" s="2060"/>
      <c r="FM1671" s="2060"/>
      <c r="FN1671" s="2060"/>
      <c r="FO1671" s="2060"/>
      <c r="FP1671" s="2060"/>
      <c r="FQ1671" s="2060"/>
      <c r="FR1671" s="2060"/>
      <c r="FS1671" s="2060"/>
      <c r="FT1671" s="2060"/>
      <c r="FU1671" s="2060"/>
      <c r="FV1671" s="2060"/>
      <c r="FW1671" s="2060"/>
      <c r="FX1671" s="2060"/>
      <c r="FY1671" s="2060"/>
      <c r="FZ1671" s="2060"/>
      <c r="GA1671" s="2060"/>
      <c r="GB1671" s="2060"/>
      <c r="GC1671" s="2060"/>
      <c r="GD1671" s="2060"/>
      <c r="GE1671" s="2060"/>
      <c r="GF1671" s="2060"/>
      <c r="GG1671" s="2060"/>
      <c r="GH1671" s="2060"/>
      <c r="GI1671" s="2060"/>
      <c r="GJ1671" s="2060"/>
      <c r="GK1671" s="2060"/>
      <c r="GL1671" s="2060"/>
      <c r="GM1671" s="2060"/>
      <c r="GN1671" s="2060"/>
      <c r="GO1671" s="2060"/>
      <c r="GP1671" s="2060"/>
      <c r="GQ1671" s="2060"/>
      <c r="GR1671" s="2060"/>
      <c r="GS1671" s="2060"/>
      <c r="GT1671" s="2060"/>
      <c r="GU1671" s="2060"/>
      <c r="GV1671" s="2060"/>
      <c r="GW1671" s="2060"/>
      <c r="GX1671" s="2060"/>
      <c r="GY1671" s="2060"/>
      <c r="GZ1671" s="2060"/>
      <c r="HA1671" s="2060"/>
      <c r="HB1671" s="2060"/>
      <c r="HC1671" s="2060"/>
      <c r="HD1671" s="2060"/>
      <c r="HE1671" s="2060"/>
      <c r="HF1671" s="2060"/>
      <c r="HG1671" s="2060"/>
      <c r="HH1671" s="2060"/>
      <c r="HI1671" s="2060"/>
      <c r="HJ1671" s="2060"/>
      <c r="HK1671" s="2060"/>
      <c r="HL1671" s="2060"/>
      <c r="HM1671" s="2060"/>
      <c r="HN1671" s="2060"/>
      <c r="HO1671" s="2060"/>
      <c r="HP1671" s="2060"/>
      <c r="HQ1671" s="2060"/>
      <c r="HR1671" s="2060"/>
      <c r="HS1671" s="2060"/>
      <c r="HT1671" s="2060"/>
      <c r="HU1671" s="2060"/>
      <c r="HV1671" s="2060"/>
      <c r="HW1671" s="2060"/>
      <c r="HX1671" s="2060"/>
      <c r="HY1671" s="2060"/>
      <c r="HZ1671" s="2060"/>
      <c r="IA1671" s="2060"/>
      <c r="IB1671" s="2060"/>
      <c r="IC1671" s="2060"/>
      <c r="ID1671" s="2060"/>
      <c r="IE1671" s="2060"/>
      <c r="IF1671" s="2060"/>
      <c r="IG1671" s="2060"/>
      <c r="IH1671" s="2060"/>
      <c r="II1671" s="2060"/>
      <c r="IJ1671" s="2060"/>
      <c r="IK1671" s="2060"/>
      <c r="IL1671" s="2060"/>
      <c r="IM1671" s="2060"/>
      <c r="IN1671" s="2060"/>
      <c r="IO1671" s="2060"/>
      <c r="IP1671" s="2060"/>
      <c r="IQ1671" s="2060"/>
      <c r="IR1671" s="2060"/>
      <c r="IS1671" s="2060"/>
      <c r="IT1671" s="2060"/>
      <c r="IU1671" s="2060"/>
      <c r="IV1671" s="2060"/>
      <c r="IW1671" s="2060"/>
      <c r="IX1671" s="2060"/>
      <c r="IY1671" s="2060"/>
      <c r="IZ1671" s="2060"/>
      <c r="JA1671" s="2060"/>
      <c r="JB1671" s="2060"/>
      <c r="JC1671" s="2060"/>
      <c r="JD1671" s="2060"/>
      <c r="JE1671" s="2060"/>
      <c r="JF1671" s="2060"/>
      <c r="JG1671" s="2060"/>
      <c r="JH1671" s="2060"/>
      <c r="JI1671" s="2060"/>
      <c r="JJ1671" s="2060"/>
      <c r="JK1671" s="2060"/>
      <c r="JL1671" s="2060"/>
      <c r="JM1671" s="2060"/>
      <c r="JN1671" s="2060"/>
      <c r="JO1671" s="2060"/>
      <c r="JP1671" s="2060"/>
      <c r="JQ1671" s="2060"/>
      <c r="JR1671" s="2060"/>
      <c r="JS1671" s="2060"/>
      <c r="JT1671" s="2060"/>
      <c r="JU1671" s="2060"/>
      <c r="JV1671" s="2060"/>
      <c r="JW1671" s="2060"/>
      <c r="JX1671" s="2060"/>
      <c r="JY1671" s="2060"/>
      <c r="JZ1671" s="2060"/>
      <c r="KA1671" s="2060"/>
      <c r="KB1671" s="2060"/>
      <c r="KC1671" s="2060"/>
      <c r="KD1671" s="2060"/>
      <c r="KE1671" s="2060"/>
      <c r="KF1671" s="2060"/>
      <c r="KG1671" s="2060"/>
      <c r="KH1671" s="2060"/>
      <c r="KI1671" s="2060"/>
      <c r="KJ1671" s="2060"/>
      <c r="KK1671" s="2060"/>
      <c r="KL1671" s="2060"/>
      <c r="KM1671" s="2060"/>
      <c r="KN1671" s="2060"/>
      <c r="KO1671" s="2060"/>
      <c r="KP1671" s="2060"/>
      <c r="KQ1671" s="2060"/>
      <c r="KR1671" s="2060"/>
      <c r="KS1671" s="2060"/>
      <c r="KT1671" s="2060"/>
      <c r="KU1671" s="2060"/>
      <c r="KV1671" s="2060"/>
      <c r="KW1671" s="2060"/>
      <c r="KX1671" s="2060"/>
      <c r="KY1671" s="2060"/>
      <c r="KZ1671" s="2060"/>
      <c r="LA1671" s="2060"/>
      <c r="LB1671" s="2060"/>
      <c r="LC1671" s="2060"/>
      <c r="LD1671" s="2060"/>
      <c r="LE1671" s="2060"/>
      <c r="LF1671" s="2060"/>
      <c r="LG1671" s="2060"/>
      <c r="LH1671" s="2060"/>
    </row>
    <row r="1672" spans="1:320" s="449" customFormat="1" ht="13.9">
      <c r="A1672" s="2060"/>
      <c r="B1672" s="2060"/>
      <c r="C1672" s="2060"/>
      <c r="D1672" s="2060"/>
      <c r="E1672" s="505"/>
      <c r="F1672" s="1349"/>
      <c r="G1672" s="1349"/>
      <c r="H1672" s="128"/>
      <c r="I1672" s="89"/>
      <c r="J1672" s="283"/>
      <c r="K1672" s="1482"/>
      <c r="L1672" s="1482"/>
      <c r="M1672" s="1482"/>
      <c r="N1672" s="1482"/>
      <c r="O1672" s="1481"/>
      <c r="P1672" s="1481"/>
      <c r="Q1672" s="1481"/>
      <c r="R1672" s="1481"/>
      <c r="S1672" s="1481"/>
      <c r="T1672" s="1481"/>
      <c r="U1672" s="1481"/>
      <c r="V1672" s="1481"/>
      <c r="W1672" s="1479"/>
      <c r="X1672" s="255"/>
      <c r="Y1672" s="89"/>
      <c r="Z1672" s="2060"/>
      <c r="AA1672" s="2060"/>
      <c r="AB1672" s="2060"/>
      <c r="AC1672" s="2060"/>
      <c r="AD1672" s="2060"/>
      <c r="AE1672" s="2060"/>
      <c r="AF1672" s="2060"/>
      <c r="AG1672" s="2060"/>
      <c r="AH1672" s="2060"/>
      <c r="AI1672" s="2060"/>
      <c r="AJ1672" s="2060"/>
      <c r="AK1672" s="2060"/>
      <c r="AL1672" s="2060"/>
      <c r="AM1672" s="2060"/>
      <c r="AN1672" s="2060"/>
      <c r="AO1672" s="2060"/>
      <c r="AP1672" s="2060"/>
      <c r="AQ1672" s="2060"/>
      <c r="AR1672" s="2060"/>
      <c r="AS1672" s="2060"/>
      <c r="AT1672" s="2060"/>
      <c r="AU1672" s="2060"/>
      <c r="AV1672" s="2060"/>
      <c r="AW1672" s="2060"/>
      <c r="AX1672" s="2060"/>
      <c r="AY1672" s="2060"/>
      <c r="AZ1672" s="2060"/>
      <c r="BA1672" s="2060"/>
      <c r="BB1672" s="2060"/>
      <c r="BC1672" s="2060"/>
      <c r="BD1672" s="2060"/>
      <c r="BE1672" s="2060"/>
      <c r="BF1672" s="2060"/>
      <c r="BG1672" s="2060"/>
      <c r="BH1672" s="2060"/>
      <c r="BI1672" s="2060"/>
      <c r="BJ1672" s="2060"/>
      <c r="BK1672" s="2060"/>
      <c r="BL1672" s="2060"/>
      <c r="BM1672" s="2060"/>
      <c r="BN1672" s="2060"/>
      <c r="BO1672" s="2060"/>
      <c r="BP1672" s="2060"/>
      <c r="BQ1672" s="2060"/>
      <c r="BR1672" s="2060"/>
      <c r="BS1672" s="2060"/>
      <c r="BT1672" s="2060"/>
      <c r="BU1672" s="2060"/>
      <c r="BV1672" s="2060"/>
      <c r="BW1672" s="2060"/>
      <c r="BX1672" s="2060"/>
      <c r="BY1672" s="2060"/>
      <c r="BZ1672" s="2060"/>
      <c r="CA1672" s="2060"/>
      <c r="CB1672" s="2060"/>
      <c r="CC1672" s="2060"/>
      <c r="CD1672" s="2060"/>
      <c r="CE1672" s="2060"/>
      <c r="CF1672" s="2060"/>
      <c r="CG1672" s="2060"/>
      <c r="CH1672" s="2060"/>
      <c r="CI1672" s="2060"/>
      <c r="CJ1672" s="2060"/>
      <c r="CK1672" s="2060"/>
      <c r="CL1672" s="2060"/>
      <c r="CM1672" s="2060"/>
      <c r="CN1672" s="2060"/>
      <c r="CO1672" s="2060"/>
      <c r="CP1672" s="2060"/>
      <c r="CQ1672" s="2060"/>
      <c r="CR1672" s="2060"/>
      <c r="CS1672" s="2060"/>
      <c r="CT1672" s="2060"/>
      <c r="CU1672" s="2060"/>
      <c r="CV1672" s="2060"/>
      <c r="CW1672" s="2060"/>
      <c r="CX1672" s="2060"/>
      <c r="CY1672" s="2060"/>
      <c r="CZ1672" s="2060"/>
      <c r="DA1672" s="2060"/>
      <c r="DB1672" s="2060"/>
      <c r="DC1672" s="2060"/>
      <c r="DD1672" s="2060"/>
      <c r="DE1672" s="2060"/>
      <c r="DF1672" s="2060"/>
      <c r="DG1672" s="2060"/>
      <c r="DH1672" s="2060"/>
      <c r="DI1672" s="2060"/>
      <c r="DJ1672" s="2060"/>
      <c r="DK1672" s="2060"/>
      <c r="DL1672" s="2060"/>
      <c r="DM1672" s="2060"/>
      <c r="DN1672" s="2060"/>
      <c r="DO1672" s="2060"/>
      <c r="DP1672" s="2060"/>
      <c r="DQ1672" s="2060"/>
      <c r="DR1672" s="2060"/>
      <c r="DS1672" s="2060"/>
      <c r="DT1672" s="2060"/>
      <c r="DU1672" s="2060"/>
      <c r="DV1672" s="2060"/>
      <c r="DW1672" s="2060"/>
      <c r="DX1672" s="2060"/>
      <c r="DY1672" s="2060"/>
      <c r="DZ1672" s="2060"/>
      <c r="EA1672" s="2060"/>
      <c r="EB1672" s="2060"/>
      <c r="EC1672" s="2060"/>
      <c r="ED1672" s="2060"/>
      <c r="EE1672" s="2060"/>
      <c r="EF1672" s="2060"/>
      <c r="EG1672" s="2060"/>
      <c r="EH1672" s="2060"/>
      <c r="EI1672" s="2060"/>
      <c r="EJ1672" s="2060"/>
      <c r="EK1672" s="2060"/>
      <c r="EL1672" s="2060"/>
      <c r="EM1672" s="2060"/>
      <c r="EN1672" s="2060"/>
      <c r="EO1672" s="2060"/>
      <c r="EP1672" s="2060"/>
      <c r="EQ1672" s="2060"/>
      <c r="ER1672" s="2060"/>
      <c r="ES1672" s="2060"/>
      <c r="ET1672" s="2060"/>
      <c r="EU1672" s="2060"/>
      <c r="EV1672" s="2060"/>
      <c r="EW1672" s="2060"/>
      <c r="EX1672" s="2060"/>
      <c r="EY1672" s="2060"/>
      <c r="EZ1672" s="2060"/>
      <c r="FA1672" s="2060"/>
      <c r="FB1672" s="2060"/>
      <c r="FC1672" s="2060"/>
      <c r="FD1672" s="2060"/>
      <c r="FE1672" s="2060"/>
      <c r="FF1672" s="2060"/>
      <c r="FG1672" s="2060"/>
      <c r="FH1672" s="2060"/>
      <c r="FI1672" s="2060"/>
      <c r="FJ1672" s="2060"/>
      <c r="FK1672" s="2060"/>
      <c r="FL1672" s="2060"/>
      <c r="FM1672" s="2060"/>
      <c r="FN1672" s="2060"/>
      <c r="FO1672" s="2060"/>
      <c r="FP1672" s="2060"/>
      <c r="FQ1672" s="2060"/>
      <c r="FR1672" s="2060"/>
      <c r="FS1672" s="2060"/>
      <c r="FT1672" s="2060"/>
      <c r="FU1672" s="2060"/>
      <c r="FV1672" s="2060"/>
      <c r="FW1672" s="2060"/>
      <c r="FX1672" s="2060"/>
      <c r="FY1672" s="2060"/>
      <c r="FZ1672" s="2060"/>
      <c r="GA1672" s="2060"/>
      <c r="GB1672" s="2060"/>
      <c r="GC1672" s="2060"/>
      <c r="GD1672" s="2060"/>
      <c r="GE1672" s="2060"/>
      <c r="GF1672" s="2060"/>
      <c r="GG1672" s="2060"/>
      <c r="GH1672" s="2060"/>
      <c r="GI1672" s="2060"/>
      <c r="GJ1672" s="2060"/>
      <c r="GK1672" s="2060"/>
      <c r="GL1672" s="2060"/>
      <c r="GM1672" s="2060"/>
      <c r="GN1672" s="2060"/>
      <c r="GO1672" s="2060"/>
      <c r="GP1672" s="2060"/>
      <c r="GQ1672" s="2060"/>
      <c r="GR1672" s="2060"/>
      <c r="GS1672" s="2060"/>
      <c r="GT1672" s="2060"/>
      <c r="GU1672" s="2060"/>
      <c r="GV1672" s="2060"/>
      <c r="GW1672" s="2060"/>
      <c r="GX1672" s="2060"/>
      <c r="GY1672" s="2060"/>
      <c r="GZ1672" s="2060"/>
      <c r="HA1672" s="2060"/>
      <c r="HB1672" s="2060"/>
      <c r="HC1672" s="2060"/>
      <c r="HD1672" s="2060"/>
      <c r="HE1672" s="2060"/>
      <c r="HF1672" s="2060"/>
      <c r="HG1672" s="2060"/>
      <c r="HH1672" s="2060"/>
      <c r="HI1672" s="2060"/>
      <c r="HJ1672" s="2060"/>
      <c r="HK1672" s="2060"/>
      <c r="HL1672" s="2060"/>
      <c r="HM1672" s="2060"/>
      <c r="HN1672" s="2060"/>
      <c r="HO1672" s="2060"/>
      <c r="HP1672" s="2060"/>
      <c r="HQ1672" s="2060"/>
      <c r="HR1672" s="2060"/>
      <c r="HS1672" s="2060"/>
      <c r="HT1672" s="2060"/>
      <c r="HU1672" s="2060"/>
      <c r="HV1672" s="2060"/>
      <c r="HW1672" s="2060"/>
      <c r="HX1672" s="2060"/>
      <c r="HY1672" s="2060"/>
      <c r="HZ1672" s="2060"/>
      <c r="IA1672" s="2060"/>
      <c r="IB1672" s="2060"/>
      <c r="IC1672" s="2060"/>
      <c r="ID1672" s="2060"/>
      <c r="IE1672" s="2060"/>
      <c r="IF1672" s="2060"/>
      <c r="IG1672" s="2060"/>
      <c r="IH1672" s="2060"/>
      <c r="II1672" s="2060"/>
      <c r="IJ1672" s="2060"/>
      <c r="IK1672" s="2060"/>
      <c r="IL1672" s="2060"/>
      <c r="IM1672" s="2060"/>
      <c r="IN1672" s="2060"/>
      <c r="IO1672" s="2060"/>
      <c r="IP1672" s="2060"/>
      <c r="IQ1672" s="2060"/>
      <c r="IR1672" s="2060"/>
      <c r="IS1672" s="2060"/>
      <c r="IT1672" s="2060"/>
      <c r="IU1672" s="2060"/>
      <c r="IV1672" s="2060"/>
      <c r="IW1672" s="2060"/>
      <c r="IX1672" s="2060"/>
      <c r="IY1672" s="2060"/>
      <c r="IZ1672" s="2060"/>
      <c r="JA1672" s="2060"/>
      <c r="JB1672" s="2060"/>
      <c r="JC1672" s="2060"/>
      <c r="JD1672" s="2060"/>
      <c r="JE1672" s="2060"/>
      <c r="JF1672" s="2060"/>
      <c r="JG1672" s="2060"/>
      <c r="JH1672" s="2060"/>
      <c r="JI1672" s="2060"/>
      <c r="JJ1672" s="2060"/>
      <c r="JK1672" s="2060"/>
      <c r="JL1672" s="2060"/>
      <c r="JM1672" s="2060"/>
      <c r="JN1672" s="2060"/>
      <c r="JO1672" s="2060"/>
      <c r="JP1672" s="2060"/>
      <c r="JQ1672" s="2060"/>
      <c r="JR1672" s="2060"/>
      <c r="JS1672" s="2060"/>
      <c r="JT1672" s="2060"/>
      <c r="JU1672" s="2060"/>
      <c r="JV1672" s="2060"/>
      <c r="JW1672" s="2060"/>
      <c r="JX1672" s="2060"/>
      <c r="JY1672" s="2060"/>
      <c r="JZ1672" s="2060"/>
      <c r="KA1672" s="2060"/>
      <c r="KB1672" s="2060"/>
      <c r="KC1672" s="2060"/>
      <c r="KD1672" s="2060"/>
      <c r="KE1672" s="2060"/>
      <c r="KF1672" s="2060"/>
      <c r="KG1672" s="2060"/>
      <c r="KH1672" s="2060"/>
      <c r="KI1672" s="2060"/>
      <c r="KJ1672" s="2060"/>
      <c r="KK1672" s="2060"/>
      <c r="KL1672" s="2060"/>
      <c r="KM1672" s="2060"/>
      <c r="KN1672" s="2060"/>
      <c r="KO1672" s="2060"/>
      <c r="KP1672" s="2060"/>
      <c r="KQ1672" s="2060"/>
      <c r="KR1672" s="2060"/>
      <c r="KS1672" s="2060"/>
      <c r="KT1672" s="2060"/>
      <c r="KU1672" s="2060"/>
      <c r="KV1672" s="2060"/>
      <c r="KW1672" s="2060"/>
      <c r="KX1672" s="2060"/>
      <c r="KY1672" s="2060"/>
      <c r="KZ1672" s="2060"/>
      <c r="LA1672" s="2060"/>
      <c r="LB1672" s="2060"/>
      <c r="LC1672" s="2060"/>
      <c r="LD1672" s="2060"/>
      <c r="LE1672" s="2060"/>
      <c r="LF1672" s="2060"/>
      <c r="LG1672" s="2060"/>
      <c r="LH1672" s="2060"/>
    </row>
    <row r="1673" spans="1:320" s="449" customFormat="1" ht="13.9">
      <c r="A1673" s="2060"/>
      <c r="B1673" s="2060"/>
      <c r="C1673" s="2060"/>
      <c r="D1673" s="2060"/>
      <c r="E1673" s="505"/>
      <c r="F1673" s="953" t="str">
        <f>$F$315&amp;" Quarterly"</f>
        <v>Total debt Quarterly</v>
      </c>
      <c r="G1673" s="737" t="s">
        <v>851</v>
      </c>
      <c r="H1673" s="741"/>
      <c r="I1673" s="724"/>
      <c r="J1673" s="726" t="str">
        <f>J$1558</f>
        <v>LQ-12</v>
      </c>
      <c r="K1673" s="726" t="str">
        <f t="shared" ref="K1673:V1673" si="443">K$1558</f>
        <v>LQ-11</v>
      </c>
      <c r="L1673" s="726" t="str">
        <f t="shared" si="443"/>
        <v>LQ-10</v>
      </c>
      <c r="M1673" s="726" t="str">
        <f t="shared" si="443"/>
        <v>LQ-9</v>
      </c>
      <c r="N1673" s="726" t="str">
        <f t="shared" si="443"/>
        <v>LQ-8</v>
      </c>
      <c r="O1673" s="726" t="str">
        <f t="shared" si="443"/>
        <v>LQ-7</v>
      </c>
      <c r="P1673" s="726" t="str">
        <f t="shared" si="443"/>
        <v>LQ-6</v>
      </c>
      <c r="Q1673" s="726" t="str">
        <f t="shared" si="443"/>
        <v>LQ-5</v>
      </c>
      <c r="R1673" s="726" t="str">
        <f t="shared" si="443"/>
        <v>LQ-4</v>
      </c>
      <c r="S1673" s="726" t="str">
        <f t="shared" si="443"/>
        <v>LQ-3</v>
      </c>
      <c r="T1673" s="726" t="str">
        <f t="shared" si="443"/>
        <v>LQ-2</v>
      </c>
      <c r="U1673" s="726" t="str">
        <f t="shared" si="443"/>
        <v>LQ-1</v>
      </c>
      <c r="V1673" s="726" t="str">
        <f t="shared" si="443"/>
        <v>Last Qtr</v>
      </c>
      <c r="W1673" s="1479"/>
      <c r="X1673" s="255"/>
      <c r="Y1673" s="89"/>
      <c r="Z1673" s="2060"/>
      <c r="AA1673" s="2060"/>
      <c r="AB1673" s="2060"/>
      <c r="AC1673" s="2060"/>
      <c r="AD1673" s="2060"/>
      <c r="AE1673" s="2060"/>
      <c r="AF1673" s="2060"/>
      <c r="AG1673" s="2060"/>
      <c r="AH1673" s="2060"/>
      <c r="AI1673" s="2060"/>
      <c r="AJ1673" s="2060"/>
      <c r="AK1673" s="2060"/>
      <c r="AL1673" s="2060"/>
      <c r="AM1673" s="2060"/>
      <c r="AN1673" s="2060"/>
      <c r="AO1673" s="2060"/>
      <c r="AP1673" s="2060"/>
      <c r="AQ1673" s="2060"/>
      <c r="AR1673" s="2060"/>
      <c r="AS1673" s="2060"/>
      <c r="AT1673" s="2060"/>
      <c r="AU1673" s="2060"/>
      <c r="AV1673" s="2060"/>
      <c r="AW1673" s="2060"/>
      <c r="AX1673" s="2060"/>
      <c r="AY1673" s="2060"/>
      <c r="AZ1673" s="2060"/>
      <c r="BA1673" s="2060"/>
      <c r="BB1673" s="2060"/>
      <c r="BC1673" s="2060"/>
      <c r="BD1673" s="2060"/>
      <c r="BE1673" s="2060"/>
      <c r="BF1673" s="2060"/>
      <c r="BG1673" s="2060"/>
      <c r="BH1673" s="2060"/>
      <c r="BI1673" s="2060"/>
      <c r="BJ1673" s="2060"/>
      <c r="BK1673" s="2060"/>
      <c r="BL1673" s="2060"/>
      <c r="BM1673" s="2060"/>
      <c r="BN1673" s="2060"/>
      <c r="BO1673" s="2060"/>
      <c r="BP1673" s="2060"/>
      <c r="BQ1673" s="2060"/>
      <c r="BR1673" s="2060"/>
      <c r="BS1673" s="2060"/>
      <c r="BT1673" s="2060"/>
      <c r="BU1673" s="2060"/>
      <c r="BV1673" s="2060"/>
      <c r="BW1673" s="2060"/>
      <c r="BX1673" s="2060"/>
      <c r="BY1673" s="2060"/>
      <c r="BZ1673" s="2060"/>
      <c r="CA1673" s="2060"/>
      <c r="CB1673" s="2060"/>
      <c r="CC1673" s="2060"/>
      <c r="CD1673" s="2060"/>
      <c r="CE1673" s="2060"/>
      <c r="CF1673" s="2060"/>
      <c r="CG1673" s="2060"/>
      <c r="CH1673" s="2060"/>
      <c r="CI1673" s="2060"/>
      <c r="CJ1673" s="2060"/>
      <c r="CK1673" s="2060"/>
      <c r="CL1673" s="2060"/>
      <c r="CM1673" s="2060"/>
      <c r="CN1673" s="2060"/>
      <c r="CO1673" s="2060"/>
      <c r="CP1673" s="2060"/>
      <c r="CQ1673" s="2060"/>
      <c r="CR1673" s="2060"/>
      <c r="CS1673" s="2060"/>
      <c r="CT1673" s="2060"/>
      <c r="CU1673" s="2060"/>
      <c r="CV1673" s="2060"/>
      <c r="CW1673" s="2060"/>
      <c r="CX1673" s="2060"/>
      <c r="CY1673" s="2060"/>
      <c r="CZ1673" s="2060"/>
      <c r="DA1673" s="2060"/>
      <c r="DB1673" s="2060"/>
      <c r="DC1673" s="2060"/>
      <c r="DD1673" s="2060"/>
      <c r="DE1673" s="2060"/>
      <c r="DF1673" s="2060"/>
      <c r="DG1673" s="2060"/>
      <c r="DH1673" s="2060"/>
      <c r="DI1673" s="2060"/>
      <c r="DJ1673" s="2060"/>
      <c r="DK1673" s="2060"/>
      <c r="DL1673" s="2060"/>
      <c r="DM1673" s="2060"/>
      <c r="DN1673" s="2060"/>
      <c r="DO1673" s="2060"/>
      <c r="DP1673" s="2060"/>
      <c r="DQ1673" s="2060"/>
      <c r="DR1673" s="2060"/>
      <c r="DS1673" s="2060"/>
      <c r="DT1673" s="2060"/>
      <c r="DU1673" s="2060"/>
      <c r="DV1673" s="2060"/>
      <c r="DW1673" s="2060"/>
      <c r="DX1673" s="2060"/>
      <c r="DY1673" s="2060"/>
      <c r="DZ1673" s="2060"/>
      <c r="EA1673" s="2060"/>
      <c r="EB1673" s="2060"/>
      <c r="EC1673" s="2060"/>
      <c r="ED1673" s="2060"/>
      <c r="EE1673" s="2060"/>
      <c r="EF1673" s="2060"/>
      <c r="EG1673" s="2060"/>
      <c r="EH1673" s="2060"/>
      <c r="EI1673" s="2060"/>
      <c r="EJ1673" s="2060"/>
      <c r="EK1673" s="2060"/>
      <c r="EL1673" s="2060"/>
      <c r="EM1673" s="2060"/>
      <c r="EN1673" s="2060"/>
      <c r="EO1673" s="2060"/>
      <c r="EP1673" s="2060"/>
      <c r="EQ1673" s="2060"/>
      <c r="ER1673" s="2060"/>
      <c r="ES1673" s="2060"/>
      <c r="ET1673" s="2060"/>
      <c r="EU1673" s="2060"/>
      <c r="EV1673" s="2060"/>
      <c r="EW1673" s="2060"/>
      <c r="EX1673" s="2060"/>
      <c r="EY1673" s="2060"/>
      <c r="EZ1673" s="2060"/>
      <c r="FA1673" s="2060"/>
      <c r="FB1673" s="2060"/>
      <c r="FC1673" s="2060"/>
      <c r="FD1673" s="2060"/>
      <c r="FE1673" s="2060"/>
      <c r="FF1673" s="2060"/>
      <c r="FG1673" s="2060"/>
      <c r="FH1673" s="2060"/>
      <c r="FI1673" s="2060"/>
      <c r="FJ1673" s="2060"/>
      <c r="FK1673" s="2060"/>
      <c r="FL1673" s="2060"/>
      <c r="FM1673" s="2060"/>
      <c r="FN1673" s="2060"/>
      <c r="FO1673" s="2060"/>
      <c r="FP1673" s="2060"/>
      <c r="FQ1673" s="2060"/>
      <c r="FR1673" s="2060"/>
      <c r="FS1673" s="2060"/>
      <c r="FT1673" s="2060"/>
      <c r="FU1673" s="2060"/>
      <c r="FV1673" s="2060"/>
      <c r="FW1673" s="2060"/>
      <c r="FX1673" s="2060"/>
      <c r="FY1673" s="2060"/>
      <c r="FZ1673" s="2060"/>
      <c r="GA1673" s="2060"/>
      <c r="GB1673" s="2060"/>
      <c r="GC1673" s="2060"/>
      <c r="GD1673" s="2060"/>
      <c r="GE1673" s="2060"/>
      <c r="GF1673" s="2060"/>
      <c r="GG1673" s="2060"/>
      <c r="GH1673" s="2060"/>
      <c r="GI1673" s="2060"/>
      <c r="GJ1673" s="2060"/>
      <c r="GK1673" s="2060"/>
      <c r="GL1673" s="2060"/>
      <c r="GM1673" s="2060"/>
      <c r="GN1673" s="2060"/>
      <c r="GO1673" s="2060"/>
      <c r="GP1673" s="2060"/>
      <c r="GQ1673" s="2060"/>
      <c r="GR1673" s="2060"/>
      <c r="GS1673" s="2060"/>
      <c r="GT1673" s="2060"/>
      <c r="GU1673" s="2060"/>
      <c r="GV1673" s="2060"/>
      <c r="GW1673" s="2060"/>
      <c r="GX1673" s="2060"/>
      <c r="GY1673" s="2060"/>
      <c r="GZ1673" s="2060"/>
      <c r="HA1673" s="2060"/>
      <c r="HB1673" s="2060"/>
      <c r="HC1673" s="2060"/>
      <c r="HD1673" s="2060"/>
      <c r="HE1673" s="2060"/>
      <c r="HF1673" s="2060"/>
      <c r="HG1673" s="2060"/>
      <c r="HH1673" s="2060"/>
      <c r="HI1673" s="2060"/>
      <c r="HJ1673" s="2060"/>
      <c r="HK1673" s="2060"/>
      <c r="HL1673" s="2060"/>
      <c r="HM1673" s="2060"/>
      <c r="HN1673" s="2060"/>
      <c r="HO1673" s="2060"/>
      <c r="HP1673" s="2060"/>
      <c r="HQ1673" s="2060"/>
      <c r="HR1673" s="2060"/>
      <c r="HS1673" s="2060"/>
      <c r="HT1673" s="2060"/>
      <c r="HU1673" s="2060"/>
      <c r="HV1673" s="2060"/>
      <c r="HW1673" s="2060"/>
      <c r="HX1673" s="2060"/>
      <c r="HY1673" s="2060"/>
      <c r="HZ1673" s="2060"/>
      <c r="IA1673" s="2060"/>
      <c r="IB1673" s="2060"/>
      <c r="IC1673" s="2060"/>
      <c r="ID1673" s="2060"/>
      <c r="IE1673" s="2060"/>
      <c r="IF1673" s="2060"/>
      <c r="IG1673" s="2060"/>
      <c r="IH1673" s="2060"/>
      <c r="II1673" s="2060"/>
      <c r="IJ1673" s="2060"/>
      <c r="IK1673" s="2060"/>
      <c r="IL1673" s="2060"/>
      <c r="IM1673" s="2060"/>
      <c r="IN1673" s="2060"/>
      <c r="IO1673" s="2060"/>
      <c r="IP1673" s="2060"/>
      <c r="IQ1673" s="2060"/>
      <c r="IR1673" s="2060"/>
      <c r="IS1673" s="2060"/>
      <c r="IT1673" s="2060"/>
      <c r="IU1673" s="2060"/>
      <c r="IV1673" s="2060"/>
      <c r="IW1673" s="2060"/>
      <c r="IX1673" s="2060"/>
      <c r="IY1673" s="2060"/>
      <c r="IZ1673" s="2060"/>
      <c r="JA1673" s="2060"/>
      <c r="JB1673" s="2060"/>
      <c r="JC1673" s="2060"/>
      <c r="JD1673" s="2060"/>
      <c r="JE1673" s="2060"/>
      <c r="JF1673" s="2060"/>
      <c r="JG1673" s="2060"/>
      <c r="JH1673" s="2060"/>
      <c r="JI1673" s="2060"/>
      <c r="JJ1673" s="2060"/>
      <c r="JK1673" s="2060"/>
      <c r="JL1673" s="2060"/>
      <c r="JM1673" s="2060"/>
      <c r="JN1673" s="2060"/>
      <c r="JO1673" s="2060"/>
      <c r="JP1673" s="2060"/>
      <c r="JQ1673" s="2060"/>
      <c r="JR1673" s="2060"/>
      <c r="JS1673" s="2060"/>
      <c r="JT1673" s="2060"/>
      <c r="JU1673" s="2060"/>
      <c r="JV1673" s="2060"/>
      <c r="JW1673" s="2060"/>
      <c r="JX1673" s="2060"/>
      <c r="JY1673" s="2060"/>
      <c r="JZ1673" s="2060"/>
      <c r="KA1673" s="2060"/>
      <c r="KB1673" s="2060"/>
      <c r="KC1673" s="2060"/>
      <c r="KD1673" s="2060"/>
      <c r="KE1673" s="2060"/>
      <c r="KF1673" s="2060"/>
      <c r="KG1673" s="2060"/>
      <c r="KH1673" s="2060"/>
      <c r="KI1673" s="2060"/>
      <c r="KJ1673" s="2060"/>
      <c r="KK1673" s="2060"/>
      <c r="KL1673" s="2060"/>
      <c r="KM1673" s="2060"/>
      <c r="KN1673" s="2060"/>
      <c r="KO1673" s="2060"/>
      <c r="KP1673" s="2060"/>
      <c r="KQ1673" s="2060"/>
      <c r="KR1673" s="2060"/>
      <c r="KS1673" s="2060"/>
      <c r="KT1673" s="2060"/>
      <c r="KU1673" s="2060"/>
      <c r="KV1673" s="2060"/>
      <c r="KW1673" s="2060"/>
      <c r="KX1673" s="2060"/>
      <c r="KY1673" s="2060"/>
      <c r="KZ1673" s="2060"/>
      <c r="LA1673" s="2060"/>
      <c r="LB1673" s="2060"/>
      <c r="LC1673" s="2060"/>
      <c r="LD1673" s="2060"/>
      <c r="LE1673" s="2060"/>
      <c r="LF1673" s="2060"/>
      <c r="LG1673" s="2060"/>
      <c r="LH1673" s="2060"/>
    </row>
    <row r="1674" spans="1:320" s="449" customFormat="1" ht="13.9">
      <c r="A1674" s="2060"/>
      <c r="B1674" s="2060"/>
      <c r="C1674" s="2060"/>
      <c r="D1674" s="2060"/>
      <c r="E1674" s="508">
        <v>0</v>
      </c>
      <c r="F1674" s="1453" t="str">
        <f>F$128</f>
        <v/>
      </c>
      <c r="G1674" s="1454">
        <f>G$128</f>
        <v>0</v>
      </c>
      <c r="H1674" s="1455" t="str">
        <f>H$128</f>
        <v>USD</v>
      </c>
      <c r="I1674" s="507"/>
      <c r="J1674" s="2196" t="str">
        <f t="shared" ref="J1674:V1674" si="444">IFERROR(IF($F$315="Total debt",J1616,IF($F$315="Net debt",J1616-J1645,MAX(J1616-J1645,0))),"--")</f>
        <v/>
      </c>
      <c r="K1674" s="2196" t="str">
        <f t="shared" si="444"/>
        <v/>
      </c>
      <c r="L1674" s="2196" t="str">
        <f t="shared" ref="L1674:N1699" si="445">IFERROR(IF($F$315="Total debt",L1616,IF($F$315="Net debt",L1616-L1645,MAX(L1616-L1645,0))),"--")</f>
        <v/>
      </c>
      <c r="M1674" s="2196" t="str">
        <f t="shared" si="445"/>
        <v/>
      </c>
      <c r="N1674" s="2196" t="str">
        <f t="shared" si="445"/>
        <v/>
      </c>
      <c r="O1674" s="2196" t="str">
        <f t="shared" si="444"/>
        <v/>
      </c>
      <c r="P1674" s="2196" t="str">
        <f t="shared" si="444"/>
        <v/>
      </c>
      <c r="Q1674" s="2196" t="str">
        <f t="shared" si="444"/>
        <v/>
      </c>
      <c r="R1674" s="2196" t="str">
        <f t="shared" si="444"/>
        <v/>
      </c>
      <c r="S1674" s="2196" t="str">
        <f t="shared" si="444"/>
        <v/>
      </c>
      <c r="T1674" s="2196" t="str">
        <f t="shared" si="444"/>
        <v/>
      </c>
      <c r="U1674" s="2196" t="str">
        <f t="shared" si="444"/>
        <v/>
      </c>
      <c r="V1674" s="2196" t="str">
        <f t="shared" si="444"/>
        <v/>
      </c>
      <c r="W1674" s="1479"/>
      <c r="X1674" s="255"/>
      <c r="Y1674" s="89"/>
      <c r="Z1674" s="2060"/>
      <c r="AA1674" s="2060"/>
      <c r="AB1674" s="2060"/>
      <c r="AC1674" s="2060"/>
      <c r="AD1674" s="2060"/>
      <c r="AE1674" s="2060"/>
      <c r="AF1674" s="2060"/>
      <c r="AG1674" s="2060"/>
      <c r="AH1674" s="2060"/>
      <c r="AI1674" s="2060"/>
      <c r="AJ1674" s="2060"/>
      <c r="AK1674" s="2060"/>
      <c r="AL1674" s="2060"/>
      <c r="AM1674" s="2060"/>
      <c r="AN1674" s="2060"/>
      <c r="AO1674" s="2060"/>
      <c r="AP1674" s="2060"/>
      <c r="AQ1674" s="2060"/>
      <c r="AR1674" s="2060"/>
      <c r="AS1674" s="2060"/>
      <c r="AT1674" s="2060"/>
      <c r="AU1674" s="2060"/>
      <c r="AV1674" s="2060"/>
      <c r="AW1674" s="2060"/>
      <c r="AX1674" s="2060"/>
      <c r="AY1674" s="2060"/>
      <c r="AZ1674" s="2060"/>
      <c r="BA1674" s="2060"/>
      <c r="BB1674" s="2060"/>
      <c r="BC1674" s="2060"/>
      <c r="BD1674" s="2060"/>
      <c r="BE1674" s="2060"/>
      <c r="BF1674" s="2060"/>
      <c r="BG1674" s="2060"/>
      <c r="BH1674" s="2060"/>
      <c r="BI1674" s="2060"/>
      <c r="BJ1674" s="2060"/>
      <c r="BK1674" s="2060"/>
      <c r="BL1674" s="2060"/>
      <c r="BM1674" s="2060"/>
      <c r="BN1674" s="2060"/>
      <c r="BO1674" s="2060"/>
      <c r="BP1674" s="2060"/>
      <c r="BQ1674" s="2060"/>
      <c r="BR1674" s="2060"/>
      <c r="BS1674" s="2060"/>
      <c r="BT1674" s="2060"/>
      <c r="BU1674" s="2060"/>
      <c r="BV1674" s="2060"/>
      <c r="BW1674" s="2060"/>
      <c r="BX1674" s="2060"/>
      <c r="BY1674" s="2060"/>
      <c r="BZ1674" s="2060"/>
      <c r="CA1674" s="2060"/>
      <c r="CB1674" s="2060"/>
      <c r="CC1674" s="2060"/>
      <c r="CD1674" s="2060"/>
      <c r="CE1674" s="2060"/>
      <c r="CF1674" s="2060"/>
      <c r="CG1674" s="2060"/>
      <c r="CH1674" s="2060"/>
      <c r="CI1674" s="2060"/>
      <c r="CJ1674" s="2060"/>
      <c r="CK1674" s="2060"/>
      <c r="CL1674" s="2060"/>
      <c r="CM1674" s="2060"/>
      <c r="CN1674" s="2060"/>
      <c r="CO1674" s="2060"/>
      <c r="CP1674" s="2060"/>
      <c r="CQ1674" s="2060"/>
      <c r="CR1674" s="2060"/>
      <c r="CS1674" s="2060"/>
      <c r="CT1674" s="2060"/>
      <c r="CU1674" s="2060"/>
      <c r="CV1674" s="2060"/>
      <c r="CW1674" s="2060"/>
      <c r="CX1674" s="2060"/>
      <c r="CY1674" s="2060"/>
      <c r="CZ1674" s="2060"/>
      <c r="DA1674" s="2060"/>
      <c r="DB1674" s="2060"/>
      <c r="DC1674" s="2060"/>
      <c r="DD1674" s="2060"/>
      <c r="DE1674" s="2060"/>
      <c r="DF1674" s="2060"/>
      <c r="DG1674" s="2060"/>
      <c r="DH1674" s="2060"/>
      <c r="DI1674" s="2060"/>
      <c r="DJ1674" s="2060"/>
      <c r="DK1674" s="2060"/>
      <c r="DL1674" s="2060"/>
      <c r="DM1674" s="2060"/>
      <c r="DN1674" s="2060"/>
      <c r="DO1674" s="2060"/>
      <c r="DP1674" s="2060"/>
      <c r="DQ1674" s="2060"/>
      <c r="DR1674" s="2060"/>
      <c r="DS1674" s="2060"/>
      <c r="DT1674" s="2060"/>
      <c r="DU1674" s="2060"/>
      <c r="DV1674" s="2060"/>
      <c r="DW1674" s="2060"/>
      <c r="DX1674" s="2060"/>
      <c r="DY1674" s="2060"/>
      <c r="DZ1674" s="2060"/>
      <c r="EA1674" s="2060"/>
      <c r="EB1674" s="2060"/>
      <c r="EC1674" s="2060"/>
      <c r="ED1674" s="2060"/>
      <c r="EE1674" s="2060"/>
      <c r="EF1674" s="2060"/>
      <c r="EG1674" s="2060"/>
      <c r="EH1674" s="2060"/>
      <c r="EI1674" s="2060"/>
      <c r="EJ1674" s="2060"/>
      <c r="EK1674" s="2060"/>
      <c r="EL1674" s="2060"/>
      <c r="EM1674" s="2060"/>
      <c r="EN1674" s="2060"/>
      <c r="EO1674" s="2060"/>
      <c r="EP1674" s="2060"/>
      <c r="EQ1674" s="2060"/>
      <c r="ER1674" s="2060"/>
      <c r="ES1674" s="2060"/>
      <c r="ET1674" s="2060"/>
      <c r="EU1674" s="2060"/>
      <c r="EV1674" s="2060"/>
      <c r="EW1674" s="2060"/>
      <c r="EX1674" s="2060"/>
      <c r="EY1674" s="2060"/>
      <c r="EZ1674" s="2060"/>
      <c r="FA1674" s="2060"/>
      <c r="FB1674" s="2060"/>
      <c r="FC1674" s="2060"/>
      <c r="FD1674" s="2060"/>
      <c r="FE1674" s="2060"/>
      <c r="FF1674" s="2060"/>
      <c r="FG1674" s="2060"/>
      <c r="FH1674" s="2060"/>
      <c r="FI1674" s="2060"/>
      <c r="FJ1674" s="2060"/>
      <c r="FK1674" s="2060"/>
      <c r="FL1674" s="2060"/>
      <c r="FM1674" s="2060"/>
      <c r="FN1674" s="2060"/>
      <c r="FO1674" s="2060"/>
      <c r="FP1674" s="2060"/>
      <c r="FQ1674" s="2060"/>
      <c r="FR1674" s="2060"/>
      <c r="FS1674" s="2060"/>
      <c r="FT1674" s="2060"/>
      <c r="FU1674" s="2060"/>
      <c r="FV1674" s="2060"/>
      <c r="FW1674" s="2060"/>
      <c r="FX1674" s="2060"/>
      <c r="FY1674" s="2060"/>
      <c r="FZ1674" s="2060"/>
      <c r="GA1674" s="2060"/>
      <c r="GB1674" s="2060"/>
      <c r="GC1674" s="2060"/>
      <c r="GD1674" s="2060"/>
      <c r="GE1674" s="2060"/>
      <c r="GF1674" s="2060"/>
      <c r="GG1674" s="2060"/>
      <c r="GH1674" s="2060"/>
      <c r="GI1674" s="2060"/>
      <c r="GJ1674" s="2060"/>
      <c r="GK1674" s="2060"/>
      <c r="GL1674" s="2060"/>
      <c r="GM1674" s="2060"/>
      <c r="GN1674" s="2060"/>
      <c r="GO1674" s="2060"/>
      <c r="GP1674" s="2060"/>
      <c r="GQ1674" s="2060"/>
      <c r="GR1674" s="2060"/>
      <c r="GS1674" s="2060"/>
      <c r="GT1674" s="2060"/>
      <c r="GU1674" s="2060"/>
      <c r="GV1674" s="2060"/>
      <c r="GW1674" s="2060"/>
      <c r="GX1674" s="2060"/>
      <c r="GY1674" s="2060"/>
      <c r="GZ1674" s="2060"/>
      <c r="HA1674" s="2060"/>
      <c r="HB1674" s="2060"/>
      <c r="HC1674" s="2060"/>
      <c r="HD1674" s="2060"/>
      <c r="HE1674" s="2060"/>
      <c r="HF1674" s="2060"/>
      <c r="HG1674" s="2060"/>
      <c r="HH1674" s="2060"/>
      <c r="HI1674" s="2060"/>
      <c r="HJ1674" s="2060"/>
      <c r="HK1674" s="2060"/>
      <c r="HL1674" s="2060"/>
      <c r="HM1674" s="2060"/>
      <c r="HN1674" s="2060"/>
      <c r="HO1674" s="2060"/>
      <c r="HP1674" s="2060"/>
      <c r="HQ1674" s="2060"/>
      <c r="HR1674" s="2060"/>
      <c r="HS1674" s="2060"/>
      <c r="HT1674" s="2060"/>
      <c r="HU1674" s="2060"/>
      <c r="HV1674" s="2060"/>
      <c r="HW1674" s="2060"/>
      <c r="HX1674" s="2060"/>
      <c r="HY1674" s="2060"/>
      <c r="HZ1674" s="2060"/>
      <c r="IA1674" s="2060"/>
      <c r="IB1674" s="2060"/>
      <c r="IC1674" s="2060"/>
      <c r="ID1674" s="2060"/>
      <c r="IE1674" s="2060"/>
      <c r="IF1674" s="2060"/>
      <c r="IG1674" s="2060"/>
      <c r="IH1674" s="2060"/>
      <c r="II1674" s="2060"/>
      <c r="IJ1674" s="2060"/>
      <c r="IK1674" s="2060"/>
      <c r="IL1674" s="2060"/>
      <c r="IM1674" s="2060"/>
      <c r="IN1674" s="2060"/>
      <c r="IO1674" s="2060"/>
      <c r="IP1674" s="2060"/>
      <c r="IQ1674" s="2060"/>
      <c r="IR1674" s="2060"/>
      <c r="IS1674" s="2060"/>
      <c r="IT1674" s="2060"/>
      <c r="IU1674" s="2060"/>
      <c r="IV1674" s="2060"/>
      <c r="IW1674" s="2060"/>
      <c r="IX1674" s="2060"/>
      <c r="IY1674" s="2060"/>
      <c r="IZ1674" s="2060"/>
      <c r="JA1674" s="2060"/>
      <c r="JB1674" s="2060"/>
      <c r="JC1674" s="2060"/>
      <c r="JD1674" s="2060"/>
      <c r="JE1674" s="2060"/>
      <c r="JF1674" s="2060"/>
      <c r="JG1674" s="2060"/>
      <c r="JH1674" s="2060"/>
      <c r="JI1674" s="2060"/>
      <c r="JJ1674" s="2060"/>
      <c r="JK1674" s="2060"/>
      <c r="JL1674" s="2060"/>
      <c r="JM1674" s="2060"/>
      <c r="JN1674" s="2060"/>
      <c r="JO1674" s="2060"/>
      <c r="JP1674" s="2060"/>
      <c r="JQ1674" s="2060"/>
      <c r="JR1674" s="2060"/>
      <c r="JS1674" s="2060"/>
      <c r="JT1674" s="2060"/>
      <c r="JU1674" s="2060"/>
      <c r="JV1674" s="2060"/>
      <c r="JW1674" s="2060"/>
      <c r="JX1674" s="2060"/>
      <c r="JY1674" s="2060"/>
      <c r="JZ1674" s="2060"/>
      <c r="KA1674" s="2060"/>
      <c r="KB1674" s="2060"/>
      <c r="KC1674" s="2060"/>
      <c r="KD1674" s="2060"/>
      <c r="KE1674" s="2060"/>
      <c r="KF1674" s="2060"/>
      <c r="KG1674" s="2060"/>
      <c r="KH1674" s="2060"/>
      <c r="KI1674" s="2060"/>
      <c r="KJ1674" s="2060"/>
      <c r="KK1674" s="2060"/>
      <c r="KL1674" s="2060"/>
      <c r="KM1674" s="2060"/>
      <c r="KN1674" s="2060"/>
      <c r="KO1674" s="2060"/>
      <c r="KP1674" s="2060"/>
      <c r="KQ1674" s="2060"/>
      <c r="KR1674" s="2060"/>
      <c r="KS1674" s="2060"/>
      <c r="KT1674" s="2060"/>
      <c r="KU1674" s="2060"/>
      <c r="KV1674" s="2060"/>
      <c r="KW1674" s="2060"/>
      <c r="KX1674" s="2060"/>
      <c r="KY1674" s="2060"/>
      <c r="KZ1674" s="2060"/>
      <c r="LA1674" s="2060"/>
      <c r="LB1674" s="2060"/>
      <c r="LC1674" s="2060"/>
      <c r="LD1674" s="2060"/>
      <c r="LE1674" s="2060"/>
      <c r="LF1674" s="2060"/>
      <c r="LG1674" s="2060"/>
      <c r="LH1674" s="2060"/>
    </row>
    <row r="1675" spans="1:320" s="449" customFormat="1" ht="13.9">
      <c r="A1675" s="269" t="str">
        <f>IF(F1675="--","n","")</f>
        <v>n</v>
      </c>
      <c r="B1675" s="2060"/>
      <c r="C1675" s="2060"/>
      <c r="D1675" s="2060"/>
      <c r="E1675" s="1661">
        <v>1</v>
      </c>
      <c r="F1675" s="1353" t="str">
        <f>F$129</f>
        <v>--</v>
      </c>
      <c r="G1675" s="128">
        <f>G$129</f>
        <v>0</v>
      </c>
      <c r="H1675" s="128" t="str">
        <f>H$129</f>
        <v>--</v>
      </c>
      <c r="I1675" s="89"/>
      <c r="J1675" s="2197" t="str">
        <f t="shared" ref="J1675:V1675" si="446">IFERROR(IF($F$315="Total debt",J1617,IF($F$315="Net debt",J1617-J1646,MAX(J1617-J1646,0))),"--")</f>
        <v/>
      </c>
      <c r="K1675" s="2197" t="str">
        <f t="shared" si="446"/>
        <v/>
      </c>
      <c r="L1675" s="2197" t="str">
        <f t="shared" si="445"/>
        <v/>
      </c>
      <c r="M1675" s="2197" t="str">
        <f t="shared" si="445"/>
        <v/>
      </c>
      <c r="N1675" s="2197" t="str">
        <f t="shared" si="445"/>
        <v/>
      </c>
      <c r="O1675" s="2197" t="str">
        <f t="shared" si="446"/>
        <v/>
      </c>
      <c r="P1675" s="2197" t="str">
        <f t="shared" si="446"/>
        <v/>
      </c>
      <c r="Q1675" s="2197" t="str">
        <f t="shared" si="446"/>
        <v/>
      </c>
      <c r="R1675" s="2197" t="str">
        <f t="shared" si="446"/>
        <v/>
      </c>
      <c r="S1675" s="2197" t="str">
        <f t="shared" si="446"/>
        <v/>
      </c>
      <c r="T1675" s="2197" t="str">
        <f t="shared" si="446"/>
        <v/>
      </c>
      <c r="U1675" s="2197" t="str">
        <f t="shared" si="446"/>
        <v/>
      </c>
      <c r="V1675" s="2197" t="str">
        <f t="shared" si="446"/>
        <v/>
      </c>
      <c r="W1675" s="1479"/>
      <c r="X1675" s="255"/>
      <c r="Y1675" s="89"/>
      <c r="Z1675" s="2060"/>
      <c r="AA1675" s="2060"/>
      <c r="AB1675" s="2060"/>
      <c r="AC1675" s="2060"/>
      <c r="AD1675" s="2060"/>
      <c r="AE1675" s="2060"/>
      <c r="AF1675" s="2060"/>
      <c r="AG1675" s="2060"/>
      <c r="AH1675" s="2060"/>
      <c r="AI1675" s="2060"/>
      <c r="AJ1675" s="2060"/>
      <c r="AK1675" s="2060"/>
      <c r="AL1675" s="2060"/>
      <c r="AM1675" s="2060"/>
      <c r="AN1675" s="2060"/>
      <c r="AO1675" s="2060"/>
      <c r="AP1675" s="2060"/>
      <c r="AQ1675" s="2060"/>
      <c r="AR1675" s="2060"/>
      <c r="AS1675" s="2060"/>
      <c r="AT1675" s="2060"/>
      <c r="AU1675" s="2060"/>
      <c r="AV1675" s="2060"/>
      <c r="AW1675" s="2060"/>
      <c r="AX1675" s="2060"/>
      <c r="AY1675" s="2060"/>
      <c r="AZ1675" s="2060"/>
      <c r="BA1675" s="2060"/>
      <c r="BB1675" s="2060"/>
      <c r="BC1675" s="2060"/>
      <c r="BD1675" s="2060"/>
      <c r="BE1675" s="2060"/>
      <c r="BF1675" s="2060"/>
      <c r="BG1675" s="2060"/>
      <c r="BH1675" s="2060"/>
      <c r="BI1675" s="2060"/>
      <c r="BJ1675" s="2060"/>
      <c r="BK1675" s="2060"/>
      <c r="BL1675" s="2060"/>
      <c r="BM1675" s="2060"/>
      <c r="BN1675" s="2060"/>
      <c r="BO1675" s="2060"/>
      <c r="BP1675" s="2060"/>
      <c r="BQ1675" s="2060"/>
      <c r="BR1675" s="2060"/>
      <c r="BS1675" s="2060"/>
      <c r="BT1675" s="2060"/>
      <c r="BU1675" s="2060"/>
      <c r="BV1675" s="2060"/>
      <c r="BW1675" s="2060"/>
      <c r="BX1675" s="2060"/>
      <c r="BY1675" s="2060"/>
      <c r="BZ1675" s="2060"/>
      <c r="CA1675" s="2060"/>
      <c r="CB1675" s="2060"/>
      <c r="CC1675" s="2060"/>
      <c r="CD1675" s="2060"/>
      <c r="CE1675" s="2060"/>
      <c r="CF1675" s="2060"/>
      <c r="CG1675" s="2060"/>
      <c r="CH1675" s="2060"/>
      <c r="CI1675" s="2060"/>
      <c r="CJ1675" s="2060"/>
      <c r="CK1675" s="2060"/>
      <c r="CL1675" s="2060"/>
      <c r="CM1675" s="2060"/>
      <c r="CN1675" s="2060"/>
      <c r="CO1675" s="2060"/>
      <c r="CP1675" s="2060"/>
      <c r="CQ1675" s="2060"/>
      <c r="CR1675" s="2060"/>
      <c r="CS1675" s="2060"/>
      <c r="CT1675" s="2060"/>
      <c r="CU1675" s="2060"/>
      <c r="CV1675" s="2060"/>
      <c r="CW1675" s="2060"/>
      <c r="CX1675" s="2060"/>
      <c r="CY1675" s="2060"/>
      <c r="CZ1675" s="2060"/>
      <c r="DA1675" s="2060"/>
      <c r="DB1675" s="2060"/>
      <c r="DC1675" s="2060"/>
      <c r="DD1675" s="2060"/>
      <c r="DE1675" s="2060"/>
      <c r="DF1675" s="2060"/>
      <c r="DG1675" s="2060"/>
      <c r="DH1675" s="2060"/>
      <c r="DI1675" s="2060"/>
      <c r="DJ1675" s="2060"/>
      <c r="DK1675" s="2060"/>
      <c r="DL1675" s="2060"/>
      <c r="DM1675" s="2060"/>
      <c r="DN1675" s="2060"/>
      <c r="DO1675" s="2060"/>
      <c r="DP1675" s="2060"/>
      <c r="DQ1675" s="2060"/>
      <c r="DR1675" s="2060"/>
      <c r="DS1675" s="2060"/>
      <c r="DT1675" s="2060"/>
      <c r="DU1675" s="2060"/>
      <c r="DV1675" s="2060"/>
      <c r="DW1675" s="2060"/>
      <c r="DX1675" s="2060"/>
      <c r="DY1675" s="2060"/>
      <c r="DZ1675" s="2060"/>
      <c r="EA1675" s="2060"/>
      <c r="EB1675" s="2060"/>
      <c r="EC1675" s="2060"/>
      <c r="ED1675" s="2060"/>
      <c r="EE1675" s="2060"/>
      <c r="EF1675" s="2060"/>
      <c r="EG1675" s="2060"/>
      <c r="EH1675" s="2060"/>
      <c r="EI1675" s="2060"/>
      <c r="EJ1675" s="2060"/>
      <c r="EK1675" s="2060"/>
      <c r="EL1675" s="2060"/>
      <c r="EM1675" s="2060"/>
      <c r="EN1675" s="2060"/>
      <c r="EO1675" s="2060"/>
      <c r="EP1675" s="2060"/>
      <c r="EQ1675" s="2060"/>
      <c r="ER1675" s="2060"/>
      <c r="ES1675" s="2060"/>
      <c r="ET1675" s="2060"/>
      <c r="EU1675" s="2060"/>
      <c r="EV1675" s="2060"/>
      <c r="EW1675" s="2060"/>
      <c r="EX1675" s="2060"/>
      <c r="EY1675" s="2060"/>
      <c r="EZ1675" s="2060"/>
      <c r="FA1675" s="2060"/>
      <c r="FB1675" s="2060"/>
      <c r="FC1675" s="2060"/>
      <c r="FD1675" s="2060"/>
      <c r="FE1675" s="2060"/>
      <c r="FF1675" s="2060"/>
      <c r="FG1675" s="2060"/>
      <c r="FH1675" s="2060"/>
      <c r="FI1675" s="2060"/>
      <c r="FJ1675" s="2060"/>
      <c r="FK1675" s="2060"/>
      <c r="FL1675" s="2060"/>
      <c r="FM1675" s="2060"/>
      <c r="FN1675" s="2060"/>
      <c r="FO1675" s="2060"/>
      <c r="FP1675" s="2060"/>
      <c r="FQ1675" s="2060"/>
      <c r="FR1675" s="2060"/>
      <c r="FS1675" s="2060"/>
      <c r="FT1675" s="2060"/>
      <c r="FU1675" s="2060"/>
      <c r="FV1675" s="2060"/>
      <c r="FW1675" s="2060"/>
      <c r="FX1675" s="2060"/>
      <c r="FY1675" s="2060"/>
      <c r="FZ1675" s="2060"/>
      <c r="GA1675" s="2060"/>
      <c r="GB1675" s="2060"/>
      <c r="GC1675" s="2060"/>
      <c r="GD1675" s="2060"/>
      <c r="GE1675" s="2060"/>
      <c r="GF1675" s="2060"/>
      <c r="GG1675" s="2060"/>
      <c r="GH1675" s="2060"/>
      <c r="GI1675" s="2060"/>
      <c r="GJ1675" s="2060"/>
      <c r="GK1675" s="2060"/>
      <c r="GL1675" s="2060"/>
      <c r="GM1675" s="2060"/>
      <c r="GN1675" s="2060"/>
      <c r="GO1675" s="2060"/>
      <c r="GP1675" s="2060"/>
      <c r="GQ1675" s="2060"/>
      <c r="GR1675" s="2060"/>
      <c r="GS1675" s="2060"/>
      <c r="GT1675" s="2060"/>
      <c r="GU1675" s="2060"/>
      <c r="GV1675" s="2060"/>
      <c r="GW1675" s="2060"/>
      <c r="GX1675" s="2060"/>
      <c r="GY1675" s="2060"/>
      <c r="GZ1675" s="2060"/>
      <c r="HA1675" s="2060"/>
      <c r="HB1675" s="2060"/>
      <c r="HC1675" s="2060"/>
      <c r="HD1675" s="2060"/>
      <c r="HE1675" s="2060"/>
      <c r="HF1675" s="2060"/>
      <c r="HG1675" s="2060"/>
      <c r="HH1675" s="2060"/>
      <c r="HI1675" s="2060"/>
      <c r="HJ1675" s="2060"/>
      <c r="HK1675" s="2060"/>
      <c r="HL1675" s="2060"/>
      <c r="HM1675" s="2060"/>
      <c r="HN1675" s="2060"/>
      <c r="HO1675" s="2060"/>
      <c r="HP1675" s="2060"/>
      <c r="HQ1675" s="2060"/>
      <c r="HR1675" s="2060"/>
      <c r="HS1675" s="2060"/>
      <c r="HT1675" s="2060"/>
      <c r="HU1675" s="2060"/>
      <c r="HV1675" s="2060"/>
      <c r="HW1675" s="2060"/>
      <c r="HX1675" s="2060"/>
      <c r="HY1675" s="2060"/>
      <c r="HZ1675" s="2060"/>
      <c r="IA1675" s="2060"/>
      <c r="IB1675" s="2060"/>
      <c r="IC1675" s="2060"/>
      <c r="ID1675" s="2060"/>
      <c r="IE1675" s="2060"/>
      <c r="IF1675" s="2060"/>
      <c r="IG1675" s="2060"/>
      <c r="IH1675" s="2060"/>
      <c r="II1675" s="2060"/>
      <c r="IJ1675" s="2060"/>
      <c r="IK1675" s="2060"/>
      <c r="IL1675" s="2060"/>
      <c r="IM1675" s="2060"/>
      <c r="IN1675" s="2060"/>
      <c r="IO1675" s="2060"/>
      <c r="IP1675" s="2060"/>
      <c r="IQ1675" s="2060"/>
      <c r="IR1675" s="2060"/>
      <c r="IS1675" s="2060"/>
      <c r="IT1675" s="2060"/>
      <c r="IU1675" s="2060"/>
      <c r="IV1675" s="2060"/>
      <c r="IW1675" s="2060"/>
      <c r="IX1675" s="2060"/>
      <c r="IY1675" s="2060"/>
      <c r="IZ1675" s="2060"/>
      <c r="JA1675" s="2060"/>
      <c r="JB1675" s="2060"/>
      <c r="JC1675" s="2060"/>
      <c r="JD1675" s="2060"/>
      <c r="JE1675" s="2060"/>
      <c r="JF1675" s="2060"/>
      <c r="JG1675" s="2060"/>
      <c r="JH1675" s="2060"/>
      <c r="JI1675" s="2060"/>
      <c r="JJ1675" s="2060"/>
      <c r="JK1675" s="2060"/>
      <c r="JL1675" s="2060"/>
      <c r="JM1675" s="2060"/>
      <c r="JN1675" s="2060"/>
      <c r="JO1675" s="2060"/>
      <c r="JP1675" s="2060"/>
      <c r="JQ1675" s="2060"/>
      <c r="JR1675" s="2060"/>
      <c r="JS1675" s="2060"/>
      <c r="JT1675" s="2060"/>
      <c r="JU1675" s="2060"/>
      <c r="JV1675" s="2060"/>
      <c r="JW1675" s="2060"/>
      <c r="JX1675" s="2060"/>
      <c r="JY1675" s="2060"/>
      <c r="JZ1675" s="2060"/>
      <c r="KA1675" s="2060"/>
      <c r="KB1675" s="2060"/>
      <c r="KC1675" s="2060"/>
      <c r="KD1675" s="2060"/>
      <c r="KE1675" s="2060"/>
      <c r="KF1675" s="2060"/>
      <c r="KG1675" s="2060"/>
      <c r="KH1675" s="2060"/>
      <c r="KI1675" s="2060"/>
      <c r="KJ1675" s="2060"/>
      <c r="KK1675" s="2060"/>
      <c r="KL1675" s="2060"/>
      <c r="KM1675" s="2060"/>
      <c r="KN1675" s="2060"/>
      <c r="KO1675" s="2060"/>
      <c r="KP1675" s="2060"/>
      <c r="KQ1675" s="2060"/>
      <c r="KR1675" s="2060"/>
      <c r="KS1675" s="2060"/>
      <c r="KT1675" s="2060"/>
      <c r="KU1675" s="2060"/>
      <c r="KV1675" s="2060"/>
      <c r="KW1675" s="2060"/>
      <c r="KX1675" s="2060"/>
      <c r="KY1675" s="2060"/>
      <c r="KZ1675" s="2060"/>
      <c r="LA1675" s="2060"/>
      <c r="LB1675" s="2060"/>
      <c r="LC1675" s="2060"/>
      <c r="LD1675" s="2060"/>
      <c r="LE1675" s="2060"/>
      <c r="LF1675" s="2060"/>
      <c r="LG1675" s="2060"/>
      <c r="LH1675" s="2060"/>
    </row>
    <row r="1676" spans="1:320" s="449" customFormat="1" ht="13.9">
      <c r="A1676" s="269" t="str">
        <f t="shared" ref="A1676:A1699" si="447">IF(F1676="--","n","")</f>
        <v>n</v>
      </c>
      <c r="B1676" s="2060"/>
      <c r="C1676" s="2060"/>
      <c r="D1676" s="2060"/>
      <c r="E1676" s="1661">
        <v>2</v>
      </c>
      <c r="F1676" s="1353" t="str">
        <f>F$130</f>
        <v>--</v>
      </c>
      <c r="G1676" s="128">
        <f>G$130</f>
        <v>0</v>
      </c>
      <c r="H1676" s="128" t="str">
        <f>H$130</f>
        <v>--</v>
      </c>
      <c r="I1676" s="89"/>
      <c r="J1676" s="2197" t="str">
        <f t="shared" ref="J1676:V1676" si="448">IFERROR(IF($F$315="Total debt",J1618,IF($F$315="Net debt",J1618-J1647,MAX(J1618-J1647,0))),"--")</f>
        <v/>
      </c>
      <c r="K1676" s="2197" t="str">
        <f t="shared" si="448"/>
        <v/>
      </c>
      <c r="L1676" s="2197" t="str">
        <f t="shared" si="445"/>
        <v/>
      </c>
      <c r="M1676" s="2197" t="str">
        <f t="shared" si="445"/>
        <v/>
      </c>
      <c r="N1676" s="2197" t="str">
        <f t="shared" si="445"/>
        <v/>
      </c>
      <c r="O1676" s="2197" t="str">
        <f t="shared" si="448"/>
        <v/>
      </c>
      <c r="P1676" s="2197" t="str">
        <f t="shared" si="448"/>
        <v/>
      </c>
      <c r="Q1676" s="2197" t="str">
        <f t="shared" si="448"/>
        <v/>
      </c>
      <c r="R1676" s="2197" t="str">
        <f t="shared" si="448"/>
        <v/>
      </c>
      <c r="S1676" s="2197" t="str">
        <f t="shared" si="448"/>
        <v/>
      </c>
      <c r="T1676" s="2197" t="str">
        <f t="shared" si="448"/>
        <v/>
      </c>
      <c r="U1676" s="2197" t="str">
        <f t="shared" si="448"/>
        <v/>
      </c>
      <c r="V1676" s="2197" t="str">
        <f t="shared" si="448"/>
        <v/>
      </c>
      <c r="W1676" s="1479"/>
      <c r="X1676" s="255"/>
      <c r="Y1676" s="89"/>
      <c r="Z1676" s="2060"/>
      <c r="AA1676" s="2060"/>
      <c r="AB1676" s="2060"/>
      <c r="AC1676" s="2060"/>
      <c r="AD1676" s="2060"/>
      <c r="AE1676" s="2060"/>
      <c r="AF1676" s="2060"/>
      <c r="AG1676" s="2060"/>
      <c r="AH1676" s="2060"/>
      <c r="AI1676" s="2060"/>
      <c r="AJ1676" s="2060"/>
      <c r="AK1676" s="2060"/>
      <c r="AL1676" s="2060"/>
      <c r="AM1676" s="2060"/>
      <c r="AN1676" s="2060"/>
      <c r="AO1676" s="2060"/>
      <c r="AP1676" s="2060"/>
      <c r="AQ1676" s="2060"/>
      <c r="AR1676" s="2060"/>
      <c r="AS1676" s="2060"/>
      <c r="AT1676" s="2060"/>
      <c r="AU1676" s="2060"/>
      <c r="AV1676" s="2060"/>
      <c r="AW1676" s="2060"/>
      <c r="AX1676" s="2060"/>
      <c r="AY1676" s="2060"/>
      <c r="AZ1676" s="2060"/>
      <c r="BA1676" s="2060"/>
      <c r="BB1676" s="2060"/>
      <c r="BC1676" s="2060"/>
      <c r="BD1676" s="2060"/>
      <c r="BE1676" s="2060"/>
      <c r="BF1676" s="2060"/>
      <c r="BG1676" s="2060"/>
      <c r="BH1676" s="2060"/>
      <c r="BI1676" s="2060"/>
      <c r="BJ1676" s="2060"/>
      <c r="BK1676" s="2060"/>
      <c r="BL1676" s="2060"/>
      <c r="BM1676" s="2060"/>
      <c r="BN1676" s="2060"/>
      <c r="BO1676" s="2060"/>
      <c r="BP1676" s="2060"/>
      <c r="BQ1676" s="2060"/>
      <c r="BR1676" s="2060"/>
      <c r="BS1676" s="2060"/>
      <c r="BT1676" s="2060"/>
      <c r="BU1676" s="2060"/>
      <c r="BV1676" s="2060"/>
      <c r="BW1676" s="2060"/>
      <c r="BX1676" s="2060"/>
      <c r="BY1676" s="2060"/>
      <c r="BZ1676" s="2060"/>
      <c r="CA1676" s="2060"/>
      <c r="CB1676" s="2060"/>
      <c r="CC1676" s="2060"/>
      <c r="CD1676" s="2060"/>
      <c r="CE1676" s="2060"/>
      <c r="CF1676" s="2060"/>
      <c r="CG1676" s="2060"/>
      <c r="CH1676" s="2060"/>
      <c r="CI1676" s="2060"/>
      <c r="CJ1676" s="2060"/>
      <c r="CK1676" s="2060"/>
      <c r="CL1676" s="2060"/>
      <c r="CM1676" s="2060"/>
      <c r="CN1676" s="2060"/>
      <c r="CO1676" s="2060"/>
      <c r="CP1676" s="2060"/>
      <c r="CQ1676" s="2060"/>
      <c r="CR1676" s="2060"/>
      <c r="CS1676" s="2060"/>
      <c r="CT1676" s="2060"/>
      <c r="CU1676" s="2060"/>
      <c r="CV1676" s="2060"/>
      <c r="CW1676" s="2060"/>
      <c r="CX1676" s="2060"/>
      <c r="CY1676" s="2060"/>
      <c r="CZ1676" s="2060"/>
      <c r="DA1676" s="2060"/>
      <c r="DB1676" s="2060"/>
      <c r="DC1676" s="2060"/>
      <c r="DD1676" s="2060"/>
      <c r="DE1676" s="2060"/>
      <c r="DF1676" s="2060"/>
      <c r="DG1676" s="2060"/>
      <c r="DH1676" s="2060"/>
      <c r="DI1676" s="2060"/>
      <c r="DJ1676" s="2060"/>
      <c r="DK1676" s="2060"/>
      <c r="DL1676" s="2060"/>
      <c r="DM1676" s="2060"/>
      <c r="DN1676" s="2060"/>
      <c r="DO1676" s="2060"/>
      <c r="DP1676" s="2060"/>
      <c r="DQ1676" s="2060"/>
      <c r="DR1676" s="2060"/>
      <c r="DS1676" s="2060"/>
      <c r="DT1676" s="2060"/>
      <c r="DU1676" s="2060"/>
      <c r="DV1676" s="2060"/>
      <c r="DW1676" s="2060"/>
      <c r="DX1676" s="2060"/>
      <c r="DY1676" s="2060"/>
      <c r="DZ1676" s="2060"/>
      <c r="EA1676" s="2060"/>
      <c r="EB1676" s="2060"/>
      <c r="EC1676" s="2060"/>
      <c r="ED1676" s="2060"/>
      <c r="EE1676" s="2060"/>
      <c r="EF1676" s="2060"/>
      <c r="EG1676" s="2060"/>
      <c r="EH1676" s="2060"/>
      <c r="EI1676" s="2060"/>
      <c r="EJ1676" s="2060"/>
      <c r="EK1676" s="2060"/>
      <c r="EL1676" s="2060"/>
      <c r="EM1676" s="2060"/>
      <c r="EN1676" s="2060"/>
      <c r="EO1676" s="2060"/>
      <c r="EP1676" s="2060"/>
      <c r="EQ1676" s="2060"/>
      <c r="ER1676" s="2060"/>
      <c r="ES1676" s="2060"/>
      <c r="ET1676" s="2060"/>
      <c r="EU1676" s="2060"/>
      <c r="EV1676" s="2060"/>
      <c r="EW1676" s="2060"/>
      <c r="EX1676" s="2060"/>
      <c r="EY1676" s="2060"/>
      <c r="EZ1676" s="2060"/>
      <c r="FA1676" s="2060"/>
      <c r="FB1676" s="2060"/>
      <c r="FC1676" s="2060"/>
      <c r="FD1676" s="2060"/>
      <c r="FE1676" s="2060"/>
      <c r="FF1676" s="2060"/>
      <c r="FG1676" s="2060"/>
      <c r="FH1676" s="2060"/>
      <c r="FI1676" s="2060"/>
      <c r="FJ1676" s="2060"/>
      <c r="FK1676" s="2060"/>
      <c r="FL1676" s="2060"/>
      <c r="FM1676" s="2060"/>
      <c r="FN1676" s="2060"/>
      <c r="FO1676" s="2060"/>
      <c r="FP1676" s="2060"/>
      <c r="FQ1676" s="2060"/>
      <c r="FR1676" s="2060"/>
      <c r="FS1676" s="2060"/>
      <c r="FT1676" s="2060"/>
      <c r="FU1676" s="2060"/>
      <c r="FV1676" s="2060"/>
      <c r="FW1676" s="2060"/>
      <c r="FX1676" s="2060"/>
      <c r="FY1676" s="2060"/>
      <c r="FZ1676" s="2060"/>
      <c r="GA1676" s="2060"/>
      <c r="GB1676" s="2060"/>
      <c r="GC1676" s="2060"/>
      <c r="GD1676" s="2060"/>
      <c r="GE1676" s="2060"/>
      <c r="GF1676" s="2060"/>
      <c r="GG1676" s="2060"/>
      <c r="GH1676" s="2060"/>
      <c r="GI1676" s="2060"/>
      <c r="GJ1676" s="2060"/>
      <c r="GK1676" s="2060"/>
      <c r="GL1676" s="2060"/>
      <c r="GM1676" s="2060"/>
      <c r="GN1676" s="2060"/>
      <c r="GO1676" s="2060"/>
      <c r="GP1676" s="2060"/>
      <c r="GQ1676" s="2060"/>
      <c r="GR1676" s="2060"/>
      <c r="GS1676" s="2060"/>
      <c r="GT1676" s="2060"/>
      <c r="GU1676" s="2060"/>
      <c r="GV1676" s="2060"/>
      <c r="GW1676" s="2060"/>
      <c r="GX1676" s="2060"/>
      <c r="GY1676" s="2060"/>
      <c r="GZ1676" s="2060"/>
      <c r="HA1676" s="2060"/>
      <c r="HB1676" s="2060"/>
      <c r="HC1676" s="2060"/>
      <c r="HD1676" s="2060"/>
      <c r="HE1676" s="2060"/>
      <c r="HF1676" s="2060"/>
      <c r="HG1676" s="2060"/>
      <c r="HH1676" s="2060"/>
      <c r="HI1676" s="2060"/>
      <c r="HJ1676" s="2060"/>
      <c r="HK1676" s="2060"/>
      <c r="HL1676" s="2060"/>
      <c r="HM1676" s="2060"/>
      <c r="HN1676" s="2060"/>
      <c r="HO1676" s="2060"/>
      <c r="HP1676" s="2060"/>
      <c r="HQ1676" s="2060"/>
      <c r="HR1676" s="2060"/>
      <c r="HS1676" s="2060"/>
      <c r="HT1676" s="2060"/>
      <c r="HU1676" s="2060"/>
      <c r="HV1676" s="2060"/>
      <c r="HW1676" s="2060"/>
      <c r="HX1676" s="2060"/>
      <c r="HY1676" s="2060"/>
      <c r="HZ1676" s="2060"/>
      <c r="IA1676" s="2060"/>
      <c r="IB1676" s="2060"/>
      <c r="IC1676" s="2060"/>
      <c r="ID1676" s="2060"/>
      <c r="IE1676" s="2060"/>
      <c r="IF1676" s="2060"/>
      <c r="IG1676" s="2060"/>
      <c r="IH1676" s="2060"/>
      <c r="II1676" s="2060"/>
      <c r="IJ1676" s="2060"/>
      <c r="IK1676" s="2060"/>
      <c r="IL1676" s="2060"/>
      <c r="IM1676" s="2060"/>
      <c r="IN1676" s="2060"/>
      <c r="IO1676" s="2060"/>
      <c r="IP1676" s="2060"/>
      <c r="IQ1676" s="2060"/>
      <c r="IR1676" s="2060"/>
      <c r="IS1676" s="2060"/>
      <c r="IT1676" s="2060"/>
      <c r="IU1676" s="2060"/>
      <c r="IV1676" s="2060"/>
      <c r="IW1676" s="2060"/>
      <c r="IX1676" s="2060"/>
      <c r="IY1676" s="2060"/>
      <c r="IZ1676" s="2060"/>
      <c r="JA1676" s="2060"/>
      <c r="JB1676" s="2060"/>
      <c r="JC1676" s="2060"/>
      <c r="JD1676" s="2060"/>
      <c r="JE1676" s="2060"/>
      <c r="JF1676" s="2060"/>
      <c r="JG1676" s="2060"/>
      <c r="JH1676" s="2060"/>
      <c r="JI1676" s="2060"/>
      <c r="JJ1676" s="2060"/>
      <c r="JK1676" s="2060"/>
      <c r="JL1676" s="2060"/>
      <c r="JM1676" s="2060"/>
      <c r="JN1676" s="2060"/>
      <c r="JO1676" s="2060"/>
      <c r="JP1676" s="2060"/>
      <c r="JQ1676" s="2060"/>
      <c r="JR1676" s="2060"/>
      <c r="JS1676" s="2060"/>
      <c r="JT1676" s="2060"/>
      <c r="JU1676" s="2060"/>
      <c r="JV1676" s="2060"/>
      <c r="JW1676" s="2060"/>
      <c r="JX1676" s="2060"/>
      <c r="JY1676" s="2060"/>
      <c r="JZ1676" s="2060"/>
      <c r="KA1676" s="2060"/>
      <c r="KB1676" s="2060"/>
      <c r="KC1676" s="2060"/>
      <c r="KD1676" s="2060"/>
      <c r="KE1676" s="2060"/>
      <c r="KF1676" s="2060"/>
      <c r="KG1676" s="2060"/>
      <c r="KH1676" s="2060"/>
      <c r="KI1676" s="2060"/>
      <c r="KJ1676" s="2060"/>
      <c r="KK1676" s="2060"/>
      <c r="KL1676" s="2060"/>
      <c r="KM1676" s="2060"/>
      <c r="KN1676" s="2060"/>
      <c r="KO1676" s="2060"/>
      <c r="KP1676" s="2060"/>
      <c r="KQ1676" s="2060"/>
      <c r="KR1676" s="2060"/>
      <c r="KS1676" s="2060"/>
      <c r="KT1676" s="2060"/>
      <c r="KU1676" s="2060"/>
      <c r="KV1676" s="2060"/>
      <c r="KW1676" s="2060"/>
      <c r="KX1676" s="2060"/>
      <c r="KY1676" s="2060"/>
      <c r="KZ1676" s="2060"/>
      <c r="LA1676" s="2060"/>
      <c r="LB1676" s="2060"/>
      <c r="LC1676" s="2060"/>
      <c r="LD1676" s="2060"/>
      <c r="LE1676" s="2060"/>
      <c r="LF1676" s="2060"/>
      <c r="LG1676" s="2060"/>
      <c r="LH1676" s="2060"/>
    </row>
    <row r="1677" spans="1:320" s="449" customFormat="1" ht="13.9">
      <c r="A1677" s="269" t="str">
        <f t="shared" si="447"/>
        <v>n</v>
      </c>
      <c r="B1677" s="2060"/>
      <c r="C1677" s="2060"/>
      <c r="D1677" s="2060"/>
      <c r="E1677" s="1661">
        <v>3</v>
      </c>
      <c r="F1677" s="1353" t="str">
        <f>F$131</f>
        <v>--</v>
      </c>
      <c r="G1677" s="128">
        <f>G$131</f>
        <v>0</v>
      </c>
      <c r="H1677" s="128" t="str">
        <f>H$131</f>
        <v>--</v>
      </c>
      <c r="I1677" s="89"/>
      <c r="J1677" s="2197" t="str">
        <f t="shared" ref="J1677:V1677" si="449">IFERROR(IF($F$315="Total debt",J1619,IF($F$315="Net debt",J1619-J1648,MAX(J1619-J1648,0))),"--")</f>
        <v/>
      </c>
      <c r="K1677" s="2197" t="str">
        <f t="shared" si="449"/>
        <v/>
      </c>
      <c r="L1677" s="2197" t="str">
        <f t="shared" si="445"/>
        <v/>
      </c>
      <c r="M1677" s="2197" t="str">
        <f t="shared" si="445"/>
        <v/>
      </c>
      <c r="N1677" s="2197" t="str">
        <f t="shared" si="445"/>
        <v/>
      </c>
      <c r="O1677" s="2197" t="str">
        <f t="shared" si="449"/>
        <v/>
      </c>
      <c r="P1677" s="2197" t="str">
        <f t="shared" si="449"/>
        <v/>
      </c>
      <c r="Q1677" s="2197" t="str">
        <f t="shared" si="449"/>
        <v/>
      </c>
      <c r="R1677" s="2197" t="str">
        <f t="shared" si="449"/>
        <v/>
      </c>
      <c r="S1677" s="2197" t="str">
        <f t="shared" si="449"/>
        <v/>
      </c>
      <c r="T1677" s="2197" t="str">
        <f t="shared" si="449"/>
        <v/>
      </c>
      <c r="U1677" s="2197" t="str">
        <f t="shared" si="449"/>
        <v/>
      </c>
      <c r="V1677" s="2197" t="str">
        <f t="shared" si="449"/>
        <v/>
      </c>
      <c r="W1677" s="1479"/>
      <c r="X1677" s="255"/>
      <c r="Y1677" s="89"/>
      <c r="Z1677" s="2060"/>
      <c r="AA1677" s="2060"/>
      <c r="AB1677" s="2060"/>
      <c r="AC1677" s="2060"/>
      <c r="AD1677" s="2060"/>
      <c r="AE1677" s="2060"/>
      <c r="AF1677" s="2060"/>
      <c r="AG1677" s="2060"/>
      <c r="AH1677" s="2060"/>
      <c r="AI1677" s="2060"/>
      <c r="AJ1677" s="2060"/>
      <c r="AK1677" s="2060"/>
      <c r="AL1677" s="2060"/>
      <c r="AM1677" s="2060"/>
      <c r="AN1677" s="2060"/>
      <c r="AO1677" s="2060"/>
      <c r="AP1677" s="2060"/>
      <c r="AQ1677" s="2060"/>
      <c r="AR1677" s="2060"/>
      <c r="AS1677" s="2060"/>
      <c r="AT1677" s="2060"/>
      <c r="AU1677" s="2060"/>
      <c r="AV1677" s="2060"/>
      <c r="AW1677" s="2060"/>
      <c r="AX1677" s="2060"/>
      <c r="AY1677" s="2060"/>
      <c r="AZ1677" s="2060"/>
      <c r="BA1677" s="2060"/>
      <c r="BB1677" s="2060"/>
      <c r="BC1677" s="2060"/>
      <c r="BD1677" s="2060"/>
      <c r="BE1677" s="2060"/>
      <c r="BF1677" s="2060"/>
      <c r="BG1677" s="2060"/>
      <c r="BH1677" s="2060"/>
      <c r="BI1677" s="2060"/>
      <c r="BJ1677" s="2060"/>
      <c r="BK1677" s="2060"/>
      <c r="BL1677" s="2060"/>
      <c r="BM1677" s="2060"/>
      <c r="BN1677" s="2060"/>
      <c r="BO1677" s="2060"/>
      <c r="BP1677" s="2060"/>
      <c r="BQ1677" s="2060"/>
      <c r="BR1677" s="2060"/>
      <c r="BS1677" s="2060"/>
      <c r="BT1677" s="2060"/>
      <c r="BU1677" s="2060"/>
      <c r="BV1677" s="2060"/>
      <c r="BW1677" s="2060"/>
      <c r="BX1677" s="2060"/>
      <c r="BY1677" s="2060"/>
      <c r="BZ1677" s="2060"/>
      <c r="CA1677" s="2060"/>
      <c r="CB1677" s="2060"/>
      <c r="CC1677" s="2060"/>
      <c r="CD1677" s="2060"/>
      <c r="CE1677" s="2060"/>
      <c r="CF1677" s="2060"/>
      <c r="CG1677" s="2060"/>
      <c r="CH1677" s="2060"/>
      <c r="CI1677" s="2060"/>
      <c r="CJ1677" s="2060"/>
      <c r="CK1677" s="2060"/>
      <c r="CL1677" s="2060"/>
      <c r="CM1677" s="2060"/>
      <c r="CN1677" s="2060"/>
      <c r="CO1677" s="2060"/>
      <c r="CP1677" s="2060"/>
      <c r="CQ1677" s="2060"/>
      <c r="CR1677" s="2060"/>
      <c r="CS1677" s="2060"/>
      <c r="CT1677" s="2060"/>
      <c r="CU1677" s="2060"/>
      <c r="CV1677" s="2060"/>
      <c r="CW1677" s="2060"/>
      <c r="CX1677" s="2060"/>
      <c r="CY1677" s="2060"/>
      <c r="CZ1677" s="2060"/>
      <c r="DA1677" s="2060"/>
      <c r="DB1677" s="2060"/>
      <c r="DC1677" s="2060"/>
      <c r="DD1677" s="2060"/>
      <c r="DE1677" s="2060"/>
      <c r="DF1677" s="2060"/>
      <c r="DG1677" s="2060"/>
      <c r="DH1677" s="2060"/>
      <c r="DI1677" s="2060"/>
      <c r="DJ1677" s="2060"/>
      <c r="DK1677" s="2060"/>
      <c r="DL1677" s="2060"/>
      <c r="DM1677" s="2060"/>
      <c r="DN1677" s="2060"/>
      <c r="DO1677" s="2060"/>
      <c r="DP1677" s="2060"/>
      <c r="DQ1677" s="2060"/>
      <c r="DR1677" s="2060"/>
      <c r="DS1677" s="2060"/>
      <c r="DT1677" s="2060"/>
      <c r="DU1677" s="2060"/>
      <c r="DV1677" s="2060"/>
      <c r="DW1677" s="2060"/>
      <c r="DX1677" s="2060"/>
      <c r="DY1677" s="2060"/>
      <c r="DZ1677" s="2060"/>
      <c r="EA1677" s="2060"/>
      <c r="EB1677" s="2060"/>
      <c r="EC1677" s="2060"/>
      <c r="ED1677" s="2060"/>
      <c r="EE1677" s="2060"/>
      <c r="EF1677" s="2060"/>
      <c r="EG1677" s="2060"/>
      <c r="EH1677" s="2060"/>
      <c r="EI1677" s="2060"/>
      <c r="EJ1677" s="2060"/>
      <c r="EK1677" s="2060"/>
      <c r="EL1677" s="2060"/>
      <c r="EM1677" s="2060"/>
      <c r="EN1677" s="2060"/>
      <c r="EO1677" s="2060"/>
      <c r="EP1677" s="2060"/>
      <c r="EQ1677" s="2060"/>
      <c r="ER1677" s="2060"/>
      <c r="ES1677" s="2060"/>
      <c r="ET1677" s="2060"/>
      <c r="EU1677" s="2060"/>
      <c r="EV1677" s="2060"/>
      <c r="EW1677" s="2060"/>
      <c r="EX1677" s="2060"/>
      <c r="EY1677" s="2060"/>
      <c r="EZ1677" s="2060"/>
      <c r="FA1677" s="2060"/>
      <c r="FB1677" s="2060"/>
      <c r="FC1677" s="2060"/>
      <c r="FD1677" s="2060"/>
      <c r="FE1677" s="2060"/>
      <c r="FF1677" s="2060"/>
      <c r="FG1677" s="2060"/>
      <c r="FH1677" s="2060"/>
      <c r="FI1677" s="2060"/>
      <c r="FJ1677" s="2060"/>
      <c r="FK1677" s="2060"/>
      <c r="FL1677" s="2060"/>
      <c r="FM1677" s="2060"/>
      <c r="FN1677" s="2060"/>
      <c r="FO1677" s="2060"/>
      <c r="FP1677" s="2060"/>
      <c r="FQ1677" s="2060"/>
      <c r="FR1677" s="2060"/>
      <c r="FS1677" s="2060"/>
      <c r="FT1677" s="2060"/>
      <c r="FU1677" s="2060"/>
      <c r="FV1677" s="2060"/>
      <c r="FW1677" s="2060"/>
      <c r="FX1677" s="2060"/>
      <c r="FY1677" s="2060"/>
      <c r="FZ1677" s="2060"/>
      <c r="GA1677" s="2060"/>
      <c r="GB1677" s="2060"/>
      <c r="GC1677" s="2060"/>
      <c r="GD1677" s="2060"/>
      <c r="GE1677" s="2060"/>
      <c r="GF1677" s="2060"/>
      <c r="GG1677" s="2060"/>
      <c r="GH1677" s="2060"/>
      <c r="GI1677" s="2060"/>
      <c r="GJ1677" s="2060"/>
      <c r="GK1677" s="2060"/>
      <c r="GL1677" s="2060"/>
      <c r="GM1677" s="2060"/>
      <c r="GN1677" s="2060"/>
      <c r="GO1677" s="2060"/>
      <c r="GP1677" s="2060"/>
      <c r="GQ1677" s="2060"/>
      <c r="GR1677" s="2060"/>
      <c r="GS1677" s="2060"/>
      <c r="GT1677" s="2060"/>
      <c r="GU1677" s="2060"/>
      <c r="GV1677" s="2060"/>
      <c r="GW1677" s="2060"/>
      <c r="GX1677" s="2060"/>
      <c r="GY1677" s="2060"/>
      <c r="GZ1677" s="2060"/>
      <c r="HA1677" s="2060"/>
      <c r="HB1677" s="2060"/>
      <c r="HC1677" s="2060"/>
      <c r="HD1677" s="2060"/>
      <c r="HE1677" s="2060"/>
      <c r="HF1677" s="2060"/>
      <c r="HG1677" s="2060"/>
      <c r="HH1677" s="2060"/>
      <c r="HI1677" s="2060"/>
      <c r="HJ1677" s="2060"/>
      <c r="HK1677" s="2060"/>
      <c r="HL1677" s="2060"/>
      <c r="HM1677" s="2060"/>
      <c r="HN1677" s="2060"/>
      <c r="HO1677" s="2060"/>
      <c r="HP1677" s="2060"/>
      <c r="HQ1677" s="2060"/>
      <c r="HR1677" s="2060"/>
      <c r="HS1677" s="2060"/>
      <c r="HT1677" s="2060"/>
      <c r="HU1677" s="2060"/>
      <c r="HV1677" s="2060"/>
      <c r="HW1677" s="2060"/>
      <c r="HX1677" s="2060"/>
      <c r="HY1677" s="2060"/>
      <c r="HZ1677" s="2060"/>
      <c r="IA1677" s="2060"/>
      <c r="IB1677" s="2060"/>
      <c r="IC1677" s="2060"/>
      <c r="ID1677" s="2060"/>
      <c r="IE1677" s="2060"/>
      <c r="IF1677" s="2060"/>
      <c r="IG1677" s="2060"/>
      <c r="IH1677" s="2060"/>
      <c r="II1677" s="2060"/>
      <c r="IJ1677" s="2060"/>
      <c r="IK1677" s="2060"/>
      <c r="IL1677" s="2060"/>
      <c r="IM1677" s="2060"/>
      <c r="IN1677" s="2060"/>
      <c r="IO1677" s="2060"/>
      <c r="IP1677" s="2060"/>
      <c r="IQ1677" s="2060"/>
      <c r="IR1677" s="2060"/>
      <c r="IS1677" s="2060"/>
      <c r="IT1677" s="2060"/>
      <c r="IU1677" s="2060"/>
      <c r="IV1677" s="2060"/>
      <c r="IW1677" s="2060"/>
      <c r="IX1677" s="2060"/>
      <c r="IY1677" s="2060"/>
      <c r="IZ1677" s="2060"/>
      <c r="JA1677" s="2060"/>
      <c r="JB1677" s="2060"/>
      <c r="JC1677" s="2060"/>
      <c r="JD1677" s="2060"/>
      <c r="JE1677" s="2060"/>
      <c r="JF1677" s="2060"/>
      <c r="JG1677" s="2060"/>
      <c r="JH1677" s="2060"/>
      <c r="JI1677" s="2060"/>
      <c r="JJ1677" s="2060"/>
      <c r="JK1677" s="2060"/>
      <c r="JL1677" s="2060"/>
      <c r="JM1677" s="2060"/>
      <c r="JN1677" s="2060"/>
      <c r="JO1677" s="2060"/>
      <c r="JP1677" s="2060"/>
      <c r="JQ1677" s="2060"/>
      <c r="JR1677" s="2060"/>
      <c r="JS1677" s="2060"/>
      <c r="JT1677" s="2060"/>
      <c r="JU1677" s="2060"/>
      <c r="JV1677" s="2060"/>
      <c r="JW1677" s="2060"/>
      <c r="JX1677" s="2060"/>
      <c r="JY1677" s="2060"/>
      <c r="JZ1677" s="2060"/>
      <c r="KA1677" s="2060"/>
      <c r="KB1677" s="2060"/>
      <c r="KC1677" s="2060"/>
      <c r="KD1677" s="2060"/>
      <c r="KE1677" s="2060"/>
      <c r="KF1677" s="2060"/>
      <c r="KG1677" s="2060"/>
      <c r="KH1677" s="2060"/>
      <c r="KI1677" s="2060"/>
      <c r="KJ1677" s="2060"/>
      <c r="KK1677" s="2060"/>
      <c r="KL1677" s="2060"/>
      <c r="KM1677" s="2060"/>
      <c r="KN1677" s="2060"/>
      <c r="KO1677" s="2060"/>
      <c r="KP1677" s="2060"/>
      <c r="KQ1677" s="2060"/>
      <c r="KR1677" s="2060"/>
      <c r="KS1677" s="2060"/>
      <c r="KT1677" s="2060"/>
      <c r="KU1677" s="2060"/>
      <c r="KV1677" s="2060"/>
      <c r="KW1677" s="2060"/>
      <c r="KX1677" s="2060"/>
      <c r="KY1677" s="2060"/>
      <c r="KZ1677" s="2060"/>
      <c r="LA1677" s="2060"/>
      <c r="LB1677" s="2060"/>
      <c r="LC1677" s="2060"/>
      <c r="LD1677" s="2060"/>
      <c r="LE1677" s="2060"/>
      <c r="LF1677" s="2060"/>
      <c r="LG1677" s="2060"/>
      <c r="LH1677" s="2060"/>
    </row>
    <row r="1678" spans="1:320" s="449" customFormat="1" ht="13.9">
      <c r="A1678" s="269" t="str">
        <f t="shared" si="447"/>
        <v>n</v>
      </c>
      <c r="B1678" s="2060"/>
      <c r="C1678" s="2060"/>
      <c r="D1678" s="2060"/>
      <c r="E1678" s="1661">
        <v>4</v>
      </c>
      <c r="F1678" s="1353" t="str">
        <f>F$132</f>
        <v>--</v>
      </c>
      <c r="G1678" s="128">
        <f>G$132</f>
        <v>0</v>
      </c>
      <c r="H1678" s="128" t="str">
        <f>H$132</f>
        <v>--</v>
      </c>
      <c r="I1678" s="89"/>
      <c r="J1678" s="2197" t="str">
        <f t="shared" ref="J1678:V1678" si="450">IFERROR(IF($F$315="Total debt",J1620,IF($F$315="Net debt",J1620-J1649,MAX(J1620-J1649,0))),"--")</f>
        <v/>
      </c>
      <c r="K1678" s="2197" t="str">
        <f t="shared" si="450"/>
        <v/>
      </c>
      <c r="L1678" s="2197" t="str">
        <f t="shared" si="445"/>
        <v/>
      </c>
      <c r="M1678" s="2197" t="str">
        <f t="shared" si="445"/>
        <v/>
      </c>
      <c r="N1678" s="2197" t="str">
        <f t="shared" si="445"/>
        <v/>
      </c>
      <c r="O1678" s="2197" t="str">
        <f t="shared" si="450"/>
        <v/>
      </c>
      <c r="P1678" s="2197" t="str">
        <f t="shared" si="450"/>
        <v/>
      </c>
      <c r="Q1678" s="2197" t="str">
        <f t="shared" si="450"/>
        <v/>
      </c>
      <c r="R1678" s="2197" t="str">
        <f t="shared" si="450"/>
        <v/>
      </c>
      <c r="S1678" s="2197" t="str">
        <f t="shared" si="450"/>
        <v/>
      </c>
      <c r="T1678" s="2197" t="str">
        <f t="shared" si="450"/>
        <v/>
      </c>
      <c r="U1678" s="2197" t="str">
        <f t="shared" si="450"/>
        <v/>
      </c>
      <c r="V1678" s="2197" t="str">
        <f t="shared" si="450"/>
        <v/>
      </c>
      <c r="W1678" s="1479"/>
      <c r="X1678" s="255"/>
      <c r="Y1678" s="89"/>
      <c r="Z1678" s="2060"/>
      <c r="AA1678" s="2060"/>
      <c r="AB1678" s="2060"/>
      <c r="AC1678" s="2060"/>
      <c r="AD1678" s="2060"/>
      <c r="AE1678" s="2060"/>
      <c r="AF1678" s="2060"/>
      <c r="AG1678" s="2060"/>
      <c r="AH1678" s="2060"/>
      <c r="AI1678" s="2060"/>
      <c r="AJ1678" s="2060"/>
      <c r="AK1678" s="2060"/>
      <c r="AL1678" s="2060"/>
      <c r="AM1678" s="2060"/>
      <c r="AN1678" s="2060"/>
      <c r="AO1678" s="2060"/>
      <c r="AP1678" s="2060"/>
      <c r="AQ1678" s="2060"/>
      <c r="AR1678" s="2060"/>
      <c r="AS1678" s="2060"/>
      <c r="AT1678" s="2060"/>
      <c r="AU1678" s="2060"/>
      <c r="AV1678" s="2060"/>
      <c r="AW1678" s="2060"/>
      <c r="AX1678" s="2060"/>
      <c r="AY1678" s="2060"/>
      <c r="AZ1678" s="2060"/>
      <c r="BA1678" s="2060"/>
      <c r="BB1678" s="2060"/>
      <c r="BC1678" s="2060"/>
      <c r="BD1678" s="2060"/>
      <c r="BE1678" s="2060"/>
      <c r="BF1678" s="2060"/>
      <c r="BG1678" s="2060"/>
      <c r="BH1678" s="2060"/>
      <c r="BI1678" s="2060"/>
      <c r="BJ1678" s="2060"/>
      <c r="BK1678" s="2060"/>
      <c r="BL1678" s="2060"/>
      <c r="BM1678" s="2060"/>
      <c r="BN1678" s="2060"/>
      <c r="BO1678" s="2060"/>
      <c r="BP1678" s="2060"/>
      <c r="BQ1678" s="2060"/>
      <c r="BR1678" s="2060"/>
      <c r="BS1678" s="2060"/>
      <c r="BT1678" s="2060"/>
      <c r="BU1678" s="2060"/>
      <c r="BV1678" s="2060"/>
      <c r="BW1678" s="2060"/>
      <c r="BX1678" s="2060"/>
      <c r="BY1678" s="2060"/>
      <c r="BZ1678" s="2060"/>
      <c r="CA1678" s="2060"/>
      <c r="CB1678" s="2060"/>
      <c r="CC1678" s="2060"/>
      <c r="CD1678" s="2060"/>
      <c r="CE1678" s="2060"/>
      <c r="CF1678" s="2060"/>
      <c r="CG1678" s="2060"/>
      <c r="CH1678" s="2060"/>
      <c r="CI1678" s="2060"/>
      <c r="CJ1678" s="2060"/>
      <c r="CK1678" s="2060"/>
      <c r="CL1678" s="2060"/>
      <c r="CM1678" s="2060"/>
      <c r="CN1678" s="2060"/>
      <c r="CO1678" s="2060"/>
      <c r="CP1678" s="2060"/>
      <c r="CQ1678" s="2060"/>
      <c r="CR1678" s="2060"/>
      <c r="CS1678" s="2060"/>
      <c r="CT1678" s="2060"/>
      <c r="CU1678" s="2060"/>
      <c r="CV1678" s="2060"/>
      <c r="CW1678" s="2060"/>
      <c r="CX1678" s="2060"/>
      <c r="CY1678" s="2060"/>
      <c r="CZ1678" s="2060"/>
      <c r="DA1678" s="2060"/>
      <c r="DB1678" s="2060"/>
      <c r="DC1678" s="2060"/>
      <c r="DD1678" s="2060"/>
      <c r="DE1678" s="2060"/>
      <c r="DF1678" s="2060"/>
      <c r="DG1678" s="2060"/>
      <c r="DH1678" s="2060"/>
      <c r="DI1678" s="2060"/>
      <c r="DJ1678" s="2060"/>
      <c r="DK1678" s="2060"/>
      <c r="DL1678" s="2060"/>
      <c r="DM1678" s="2060"/>
      <c r="DN1678" s="2060"/>
      <c r="DO1678" s="2060"/>
      <c r="DP1678" s="2060"/>
      <c r="DQ1678" s="2060"/>
      <c r="DR1678" s="2060"/>
      <c r="DS1678" s="2060"/>
      <c r="DT1678" s="2060"/>
      <c r="DU1678" s="2060"/>
      <c r="DV1678" s="2060"/>
      <c r="DW1678" s="2060"/>
      <c r="DX1678" s="2060"/>
      <c r="DY1678" s="2060"/>
      <c r="DZ1678" s="2060"/>
      <c r="EA1678" s="2060"/>
      <c r="EB1678" s="2060"/>
      <c r="EC1678" s="2060"/>
      <c r="ED1678" s="2060"/>
      <c r="EE1678" s="2060"/>
      <c r="EF1678" s="2060"/>
      <c r="EG1678" s="2060"/>
      <c r="EH1678" s="2060"/>
      <c r="EI1678" s="2060"/>
      <c r="EJ1678" s="2060"/>
      <c r="EK1678" s="2060"/>
      <c r="EL1678" s="2060"/>
      <c r="EM1678" s="2060"/>
      <c r="EN1678" s="2060"/>
      <c r="EO1678" s="2060"/>
      <c r="EP1678" s="2060"/>
      <c r="EQ1678" s="2060"/>
      <c r="ER1678" s="2060"/>
      <c r="ES1678" s="2060"/>
      <c r="ET1678" s="2060"/>
      <c r="EU1678" s="2060"/>
      <c r="EV1678" s="2060"/>
      <c r="EW1678" s="2060"/>
      <c r="EX1678" s="2060"/>
      <c r="EY1678" s="2060"/>
      <c r="EZ1678" s="2060"/>
      <c r="FA1678" s="2060"/>
      <c r="FB1678" s="2060"/>
      <c r="FC1678" s="2060"/>
      <c r="FD1678" s="2060"/>
      <c r="FE1678" s="2060"/>
      <c r="FF1678" s="2060"/>
      <c r="FG1678" s="2060"/>
      <c r="FH1678" s="2060"/>
      <c r="FI1678" s="2060"/>
      <c r="FJ1678" s="2060"/>
      <c r="FK1678" s="2060"/>
      <c r="FL1678" s="2060"/>
      <c r="FM1678" s="2060"/>
      <c r="FN1678" s="2060"/>
      <c r="FO1678" s="2060"/>
      <c r="FP1678" s="2060"/>
      <c r="FQ1678" s="2060"/>
      <c r="FR1678" s="2060"/>
      <c r="FS1678" s="2060"/>
      <c r="FT1678" s="2060"/>
      <c r="FU1678" s="2060"/>
      <c r="FV1678" s="2060"/>
      <c r="FW1678" s="2060"/>
      <c r="FX1678" s="2060"/>
      <c r="FY1678" s="2060"/>
      <c r="FZ1678" s="2060"/>
      <c r="GA1678" s="2060"/>
      <c r="GB1678" s="2060"/>
      <c r="GC1678" s="2060"/>
      <c r="GD1678" s="2060"/>
      <c r="GE1678" s="2060"/>
      <c r="GF1678" s="2060"/>
      <c r="GG1678" s="2060"/>
      <c r="GH1678" s="2060"/>
      <c r="GI1678" s="2060"/>
      <c r="GJ1678" s="2060"/>
      <c r="GK1678" s="2060"/>
      <c r="GL1678" s="2060"/>
      <c r="GM1678" s="2060"/>
      <c r="GN1678" s="2060"/>
      <c r="GO1678" s="2060"/>
      <c r="GP1678" s="2060"/>
      <c r="GQ1678" s="2060"/>
      <c r="GR1678" s="2060"/>
      <c r="GS1678" s="2060"/>
      <c r="GT1678" s="2060"/>
      <c r="GU1678" s="2060"/>
      <c r="GV1678" s="2060"/>
      <c r="GW1678" s="2060"/>
      <c r="GX1678" s="2060"/>
      <c r="GY1678" s="2060"/>
      <c r="GZ1678" s="2060"/>
      <c r="HA1678" s="2060"/>
      <c r="HB1678" s="2060"/>
      <c r="HC1678" s="2060"/>
      <c r="HD1678" s="2060"/>
      <c r="HE1678" s="2060"/>
      <c r="HF1678" s="2060"/>
      <c r="HG1678" s="2060"/>
      <c r="HH1678" s="2060"/>
      <c r="HI1678" s="2060"/>
      <c r="HJ1678" s="2060"/>
      <c r="HK1678" s="2060"/>
      <c r="HL1678" s="2060"/>
      <c r="HM1678" s="2060"/>
      <c r="HN1678" s="2060"/>
      <c r="HO1678" s="2060"/>
      <c r="HP1678" s="2060"/>
      <c r="HQ1678" s="2060"/>
      <c r="HR1678" s="2060"/>
      <c r="HS1678" s="2060"/>
      <c r="HT1678" s="2060"/>
      <c r="HU1678" s="2060"/>
      <c r="HV1678" s="2060"/>
      <c r="HW1678" s="2060"/>
      <c r="HX1678" s="2060"/>
      <c r="HY1678" s="2060"/>
      <c r="HZ1678" s="2060"/>
      <c r="IA1678" s="2060"/>
      <c r="IB1678" s="2060"/>
      <c r="IC1678" s="2060"/>
      <c r="ID1678" s="2060"/>
      <c r="IE1678" s="2060"/>
      <c r="IF1678" s="2060"/>
      <c r="IG1678" s="2060"/>
      <c r="IH1678" s="2060"/>
      <c r="II1678" s="2060"/>
      <c r="IJ1678" s="2060"/>
      <c r="IK1678" s="2060"/>
      <c r="IL1678" s="2060"/>
      <c r="IM1678" s="2060"/>
      <c r="IN1678" s="2060"/>
      <c r="IO1678" s="2060"/>
      <c r="IP1678" s="2060"/>
      <c r="IQ1678" s="2060"/>
      <c r="IR1678" s="2060"/>
      <c r="IS1678" s="2060"/>
      <c r="IT1678" s="2060"/>
      <c r="IU1678" s="2060"/>
      <c r="IV1678" s="2060"/>
      <c r="IW1678" s="2060"/>
      <c r="IX1678" s="2060"/>
      <c r="IY1678" s="2060"/>
      <c r="IZ1678" s="2060"/>
      <c r="JA1678" s="2060"/>
      <c r="JB1678" s="2060"/>
      <c r="JC1678" s="2060"/>
      <c r="JD1678" s="2060"/>
      <c r="JE1678" s="2060"/>
      <c r="JF1678" s="2060"/>
      <c r="JG1678" s="2060"/>
      <c r="JH1678" s="2060"/>
      <c r="JI1678" s="2060"/>
      <c r="JJ1678" s="2060"/>
      <c r="JK1678" s="2060"/>
      <c r="JL1678" s="2060"/>
      <c r="JM1678" s="2060"/>
      <c r="JN1678" s="2060"/>
      <c r="JO1678" s="2060"/>
      <c r="JP1678" s="2060"/>
      <c r="JQ1678" s="2060"/>
      <c r="JR1678" s="2060"/>
      <c r="JS1678" s="2060"/>
      <c r="JT1678" s="2060"/>
      <c r="JU1678" s="2060"/>
      <c r="JV1678" s="2060"/>
      <c r="JW1678" s="2060"/>
      <c r="JX1678" s="2060"/>
      <c r="JY1678" s="2060"/>
      <c r="JZ1678" s="2060"/>
      <c r="KA1678" s="2060"/>
      <c r="KB1678" s="2060"/>
      <c r="KC1678" s="2060"/>
      <c r="KD1678" s="2060"/>
      <c r="KE1678" s="2060"/>
      <c r="KF1678" s="2060"/>
      <c r="KG1678" s="2060"/>
      <c r="KH1678" s="2060"/>
      <c r="KI1678" s="2060"/>
      <c r="KJ1678" s="2060"/>
      <c r="KK1678" s="2060"/>
      <c r="KL1678" s="2060"/>
      <c r="KM1678" s="2060"/>
      <c r="KN1678" s="2060"/>
      <c r="KO1678" s="2060"/>
      <c r="KP1678" s="2060"/>
      <c r="KQ1678" s="2060"/>
      <c r="KR1678" s="2060"/>
      <c r="KS1678" s="2060"/>
      <c r="KT1678" s="2060"/>
      <c r="KU1678" s="2060"/>
      <c r="KV1678" s="2060"/>
      <c r="KW1678" s="2060"/>
      <c r="KX1678" s="2060"/>
      <c r="KY1678" s="2060"/>
      <c r="KZ1678" s="2060"/>
      <c r="LA1678" s="2060"/>
      <c r="LB1678" s="2060"/>
      <c r="LC1678" s="2060"/>
      <c r="LD1678" s="2060"/>
      <c r="LE1678" s="2060"/>
      <c r="LF1678" s="2060"/>
      <c r="LG1678" s="2060"/>
      <c r="LH1678" s="2060"/>
    </row>
    <row r="1679" spans="1:320" s="449" customFormat="1" ht="13.9">
      <c r="A1679" s="269" t="str">
        <f t="shared" si="447"/>
        <v>n</v>
      </c>
      <c r="B1679" s="2060"/>
      <c r="C1679" s="2060"/>
      <c r="D1679" s="2060"/>
      <c r="E1679" s="1661">
        <v>5</v>
      </c>
      <c r="F1679" s="1353" t="str">
        <f>F$133</f>
        <v>--</v>
      </c>
      <c r="G1679" s="128">
        <f>G$133</f>
        <v>0</v>
      </c>
      <c r="H1679" s="128" t="str">
        <f>H$133</f>
        <v>--</v>
      </c>
      <c r="I1679" s="89"/>
      <c r="J1679" s="2197" t="str">
        <f t="shared" ref="J1679:V1679" si="451">IFERROR(IF($F$315="Total debt",J1621,IF($F$315="Net debt",J1621-J1650,MAX(J1621-J1650,0))),"--")</f>
        <v/>
      </c>
      <c r="K1679" s="2197" t="str">
        <f t="shared" si="451"/>
        <v/>
      </c>
      <c r="L1679" s="2197" t="str">
        <f t="shared" si="445"/>
        <v/>
      </c>
      <c r="M1679" s="2197" t="str">
        <f t="shared" si="445"/>
        <v/>
      </c>
      <c r="N1679" s="2197" t="str">
        <f t="shared" si="445"/>
        <v/>
      </c>
      <c r="O1679" s="2197" t="str">
        <f t="shared" si="451"/>
        <v/>
      </c>
      <c r="P1679" s="2197" t="str">
        <f t="shared" si="451"/>
        <v/>
      </c>
      <c r="Q1679" s="2197" t="str">
        <f t="shared" si="451"/>
        <v/>
      </c>
      <c r="R1679" s="2197" t="str">
        <f t="shared" si="451"/>
        <v/>
      </c>
      <c r="S1679" s="2197" t="str">
        <f t="shared" si="451"/>
        <v/>
      </c>
      <c r="T1679" s="2197" t="str">
        <f t="shared" si="451"/>
        <v/>
      </c>
      <c r="U1679" s="2197" t="str">
        <f t="shared" si="451"/>
        <v/>
      </c>
      <c r="V1679" s="2197" t="str">
        <f t="shared" si="451"/>
        <v/>
      </c>
      <c r="W1679" s="1479"/>
      <c r="X1679" s="255"/>
      <c r="Y1679" s="89"/>
      <c r="Z1679" s="2060"/>
      <c r="AA1679" s="2060"/>
      <c r="AB1679" s="2060"/>
      <c r="AC1679" s="2060"/>
      <c r="AD1679" s="2060"/>
      <c r="AE1679" s="2060"/>
      <c r="AF1679" s="2060"/>
      <c r="AG1679" s="2060"/>
      <c r="AH1679" s="2060"/>
      <c r="AI1679" s="2060"/>
      <c r="AJ1679" s="2060"/>
      <c r="AK1679" s="2060"/>
      <c r="AL1679" s="2060"/>
      <c r="AM1679" s="2060"/>
      <c r="AN1679" s="2060"/>
      <c r="AO1679" s="2060"/>
      <c r="AP1679" s="2060"/>
      <c r="AQ1679" s="2060"/>
      <c r="AR1679" s="2060"/>
      <c r="AS1679" s="2060"/>
      <c r="AT1679" s="2060"/>
      <c r="AU1679" s="2060"/>
      <c r="AV1679" s="2060"/>
      <c r="AW1679" s="2060"/>
      <c r="AX1679" s="2060"/>
      <c r="AY1679" s="2060"/>
      <c r="AZ1679" s="2060"/>
      <c r="BA1679" s="2060"/>
      <c r="BB1679" s="2060"/>
      <c r="BC1679" s="2060"/>
      <c r="BD1679" s="2060"/>
      <c r="BE1679" s="2060"/>
      <c r="BF1679" s="2060"/>
      <c r="BG1679" s="2060"/>
      <c r="BH1679" s="2060"/>
      <c r="BI1679" s="2060"/>
      <c r="BJ1679" s="2060"/>
      <c r="BK1679" s="2060"/>
      <c r="BL1679" s="2060"/>
      <c r="BM1679" s="2060"/>
      <c r="BN1679" s="2060"/>
      <c r="BO1679" s="2060"/>
      <c r="BP1679" s="2060"/>
      <c r="BQ1679" s="2060"/>
      <c r="BR1679" s="2060"/>
      <c r="BS1679" s="2060"/>
      <c r="BT1679" s="2060"/>
      <c r="BU1679" s="2060"/>
      <c r="BV1679" s="2060"/>
      <c r="BW1679" s="2060"/>
      <c r="BX1679" s="2060"/>
      <c r="BY1679" s="2060"/>
      <c r="BZ1679" s="2060"/>
      <c r="CA1679" s="2060"/>
      <c r="CB1679" s="2060"/>
      <c r="CC1679" s="2060"/>
      <c r="CD1679" s="2060"/>
      <c r="CE1679" s="2060"/>
      <c r="CF1679" s="2060"/>
      <c r="CG1679" s="2060"/>
      <c r="CH1679" s="2060"/>
      <c r="CI1679" s="2060"/>
      <c r="CJ1679" s="2060"/>
      <c r="CK1679" s="2060"/>
      <c r="CL1679" s="2060"/>
      <c r="CM1679" s="2060"/>
      <c r="CN1679" s="2060"/>
      <c r="CO1679" s="2060"/>
      <c r="CP1679" s="2060"/>
      <c r="CQ1679" s="2060"/>
      <c r="CR1679" s="2060"/>
      <c r="CS1679" s="2060"/>
      <c r="CT1679" s="2060"/>
      <c r="CU1679" s="2060"/>
      <c r="CV1679" s="2060"/>
      <c r="CW1679" s="2060"/>
      <c r="CX1679" s="2060"/>
      <c r="CY1679" s="2060"/>
      <c r="CZ1679" s="2060"/>
      <c r="DA1679" s="2060"/>
      <c r="DB1679" s="2060"/>
      <c r="DC1679" s="2060"/>
      <c r="DD1679" s="2060"/>
      <c r="DE1679" s="2060"/>
      <c r="DF1679" s="2060"/>
      <c r="DG1679" s="2060"/>
      <c r="DH1679" s="2060"/>
      <c r="DI1679" s="2060"/>
      <c r="DJ1679" s="2060"/>
      <c r="DK1679" s="2060"/>
      <c r="DL1679" s="2060"/>
      <c r="DM1679" s="2060"/>
      <c r="DN1679" s="2060"/>
      <c r="DO1679" s="2060"/>
      <c r="DP1679" s="2060"/>
      <c r="DQ1679" s="2060"/>
      <c r="DR1679" s="2060"/>
      <c r="DS1679" s="2060"/>
      <c r="DT1679" s="2060"/>
      <c r="DU1679" s="2060"/>
      <c r="DV1679" s="2060"/>
      <c r="DW1679" s="2060"/>
      <c r="DX1679" s="2060"/>
      <c r="DY1679" s="2060"/>
      <c r="DZ1679" s="2060"/>
      <c r="EA1679" s="2060"/>
      <c r="EB1679" s="2060"/>
      <c r="EC1679" s="2060"/>
      <c r="ED1679" s="2060"/>
      <c r="EE1679" s="2060"/>
      <c r="EF1679" s="2060"/>
      <c r="EG1679" s="2060"/>
      <c r="EH1679" s="2060"/>
      <c r="EI1679" s="2060"/>
      <c r="EJ1679" s="2060"/>
      <c r="EK1679" s="2060"/>
      <c r="EL1679" s="2060"/>
      <c r="EM1679" s="2060"/>
      <c r="EN1679" s="2060"/>
      <c r="EO1679" s="2060"/>
      <c r="EP1679" s="2060"/>
      <c r="EQ1679" s="2060"/>
      <c r="ER1679" s="2060"/>
      <c r="ES1679" s="2060"/>
      <c r="ET1679" s="2060"/>
      <c r="EU1679" s="2060"/>
      <c r="EV1679" s="2060"/>
      <c r="EW1679" s="2060"/>
      <c r="EX1679" s="2060"/>
      <c r="EY1679" s="2060"/>
      <c r="EZ1679" s="2060"/>
      <c r="FA1679" s="2060"/>
      <c r="FB1679" s="2060"/>
      <c r="FC1679" s="2060"/>
      <c r="FD1679" s="2060"/>
      <c r="FE1679" s="2060"/>
      <c r="FF1679" s="2060"/>
      <c r="FG1679" s="2060"/>
      <c r="FH1679" s="2060"/>
      <c r="FI1679" s="2060"/>
      <c r="FJ1679" s="2060"/>
      <c r="FK1679" s="2060"/>
      <c r="FL1679" s="2060"/>
      <c r="FM1679" s="2060"/>
      <c r="FN1679" s="2060"/>
      <c r="FO1679" s="2060"/>
      <c r="FP1679" s="2060"/>
      <c r="FQ1679" s="2060"/>
      <c r="FR1679" s="2060"/>
      <c r="FS1679" s="2060"/>
      <c r="FT1679" s="2060"/>
      <c r="FU1679" s="2060"/>
      <c r="FV1679" s="2060"/>
      <c r="FW1679" s="2060"/>
      <c r="FX1679" s="2060"/>
      <c r="FY1679" s="2060"/>
      <c r="FZ1679" s="2060"/>
      <c r="GA1679" s="2060"/>
      <c r="GB1679" s="2060"/>
      <c r="GC1679" s="2060"/>
      <c r="GD1679" s="2060"/>
      <c r="GE1679" s="2060"/>
      <c r="GF1679" s="2060"/>
      <c r="GG1679" s="2060"/>
      <c r="GH1679" s="2060"/>
      <c r="GI1679" s="2060"/>
      <c r="GJ1679" s="2060"/>
      <c r="GK1679" s="2060"/>
      <c r="GL1679" s="2060"/>
      <c r="GM1679" s="2060"/>
      <c r="GN1679" s="2060"/>
      <c r="GO1679" s="2060"/>
      <c r="GP1679" s="2060"/>
      <c r="GQ1679" s="2060"/>
      <c r="GR1679" s="2060"/>
      <c r="GS1679" s="2060"/>
      <c r="GT1679" s="2060"/>
      <c r="GU1679" s="2060"/>
      <c r="GV1679" s="2060"/>
      <c r="GW1679" s="2060"/>
      <c r="GX1679" s="2060"/>
      <c r="GY1679" s="2060"/>
      <c r="GZ1679" s="2060"/>
      <c r="HA1679" s="2060"/>
      <c r="HB1679" s="2060"/>
      <c r="HC1679" s="2060"/>
      <c r="HD1679" s="2060"/>
      <c r="HE1679" s="2060"/>
      <c r="HF1679" s="2060"/>
      <c r="HG1679" s="2060"/>
      <c r="HH1679" s="2060"/>
      <c r="HI1679" s="2060"/>
      <c r="HJ1679" s="2060"/>
      <c r="HK1679" s="2060"/>
      <c r="HL1679" s="2060"/>
      <c r="HM1679" s="2060"/>
      <c r="HN1679" s="2060"/>
      <c r="HO1679" s="2060"/>
      <c r="HP1679" s="2060"/>
      <c r="HQ1679" s="2060"/>
      <c r="HR1679" s="2060"/>
      <c r="HS1679" s="2060"/>
      <c r="HT1679" s="2060"/>
      <c r="HU1679" s="2060"/>
      <c r="HV1679" s="2060"/>
      <c r="HW1679" s="2060"/>
      <c r="HX1679" s="2060"/>
      <c r="HY1679" s="2060"/>
      <c r="HZ1679" s="2060"/>
      <c r="IA1679" s="2060"/>
      <c r="IB1679" s="2060"/>
      <c r="IC1679" s="2060"/>
      <c r="ID1679" s="2060"/>
      <c r="IE1679" s="2060"/>
      <c r="IF1679" s="2060"/>
      <c r="IG1679" s="2060"/>
      <c r="IH1679" s="2060"/>
      <c r="II1679" s="2060"/>
      <c r="IJ1679" s="2060"/>
      <c r="IK1679" s="2060"/>
      <c r="IL1679" s="2060"/>
      <c r="IM1679" s="2060"/>
      <c r="IN1679" s="2060"/>
      <c r="IO1679" s="2060"/>
      <c r="IP1679" s="2060"/>
      <c r="IQ1679" s="2060"/>
      <c r="IR1679" s="2060"/>
      <c r="IS1679" s="2060"/>
      <c r="IT1679" s="2060"/>
      <c r="IU1679" s="2060"/>
      <c r="IV1679" s="2060"/>
      <c r="IW1679" s="2060"/>
      <c r="IX1679" s="2060"/>
      <c r="IY1679" s="2060"/>
      <c r="IZ1679" s="2060"/>
      <c r="JA1679" s="2060"/>
      <c r="JB1679" s="2060"/>
      <c r="JC1679" s="2060"/>
      <c r="JD1679" s="2060"/>
      <c r="JE1679" s="2060"/>
      <c r="JF1679" s="2060"/>
      <c r="JG1679" s="2060"/>
      <c r="JH1679" s="2060"/>
      <c r="JI1679" s="2060"/>
      <c r="JJ1679" s="2060"/>
      <c r="JK1679" s="2060"/>
      <c r="JL1679" s="2060"/>
      <c r="JM1679" s="2060"/>
      <c r="JN1679" s="2060"/>
      <c r="JO1679" s="2060"/>
      <c r="JP1679" s="2060"/>
      <c r="JQ1679" s="2060"/>
      <c r="JR1679" s="2060"/>
      <c r="JS1679" s="2060"/>
      <c r="JT1679" s="2060"/>
      <c r="JU1679" s="2060"/>
      <c r="JV1679" s="2060"/>
      <c r="JW1679" s="2060"/>
      <c r="JX1679" s="2060"/>
      <c r="JY1679" s="2060"/>
      <c r="JZ1679" s="2060"/>
      <c r="KA1679" s="2060"/>
      <c r="KB1679" s="2060"/>
      <c r="KC1679" s="2060"/>
      <c r="KD1679" s="2060"/>
      <c r="KE1679" s="2060"/>
      <c r="KF1679" s="2060"/>
      <c r="KG1679" s="2060"/>
      <c r="KH1679" s="2060"/>
      <c r="KI1679" s="2060"/>
      <c r="KJ1679" s="2060"/>
      <c r="KK1679" s="2060"/>
      <c r="KL1679" s="2060"/>
      <c r="KM1679" s="2060"/>
      <c r="KN1679" s="2060"/>
      <c r="KO1679" s="2060"/>
      <c r="KP1679" s="2060"/>
      <c r="KQ1679" s="2060"/>
      <c r="KR1679" s="2060"/>
      <c r="KS1679" s="2060"/>
      <c r="KT1679" s="2060"/>
      <c r="KU1679" s="2060"/>
      <c r="KV1679" s="2060"/>
      <c r="KW1679" s="2060"/>
      <c r="KX1679" s="2060"/>
      <c r="KY1679" s="2060"/>
      <c r="KZ1679" s="2060"/>
      <c r="LA1679" s="2060"/>
      <c r="LB1679" s="2060"/>
      <c r="LC1679" s="2060"/>
      <c r="LD1679" s="2060"/>
      <c r="LE1679" s="2060"/>
      <c r="LF1679" s="2060"/>
      <c r="LG1679" s="2060"/>
      <c r="LH1679" s="2060"/>
    </row>
    <row r="1680" spans="1:320" s="449" customFormat="1" ht="13.9">
      <c r="A1680" s="269" t="str">
        <f t="shared" si="447"/>
        <v>n</v>
      </c>
      <c r="B1680" s="2060"/>
      <c r="C1680" s="2060"/>
      <c r="D1680" s="2060"/>
      <c r="E1680" s="1661">
        <v>6</v>
      </c>
      <c r="F1680" s="1353" t="str">
        <f>F$134</f>
        <v>--</v>
      </c>
      <c r="G1680" s="128">
        <f>G$134</f>
        <v>0</v>
      </c>
      <c r="H1680" s="128" t="str">
        <f>H$134</f>
        <v>--</v>
      </c>
      <c r="I1680" s="89"/>
      <c r="J1680" s="2197" t="str">
        <f t="shared" ref="J1680:V1680" si="452">IFERROR(IF($F$315="Total debt",J1622,IF($F$315="Net debt",J1622-J1651,MAX(J1622-J1651,0))),"--")</f>
        <v/>
      </c>
      <c r="K1680" s="2197" t="str">
        <f t="shared" si="452"/>
        <v/>
      </c>
      <c r="L1680" s="2197" t="str">
        <f t="shared" si="445"/>
        <v/>
      </c>
      <c r="M1680" s="2197" t="str">
        <f t="shared" si="445"/>
        <v/>
      </c>
      <c r="N1680" s="2197" t="str">
        <f t="shared" si="445"/>
        <v/>
      </c>
      <c r="O1680" s="2197" t="str">
        <f t="shared" si="452"/>
        <v/>
      </c>
      <c r="P1680" s="2197" t="str">
        <f t="shared" si="452"/>
        <v/>
      </c>
      <c r="Q1680" s="2197" t="str">
        <f t="shared" si="452"/>
        <v/>
      </c>
      <c r="R1680" s="2197" t="str">
        <f t="shared" si="452"/>
        <v/>
      </c>
      <c r="S1680" s="2197" t="str">
        <f t="shared" si="452"/>
        <v/>
      </c>
      <c r="T1680" s="2197" t="str">
        <f t="shared" si="452"/>
        <v/>
      </c>
      <c r="U1680" s="2197" t="str">
        <f t="shared" si="452"/>
        <v/>
      </c>
      <c r="V1680" s="2197" t="str">
        <f t="shared" si="452"/>
        <v/>
      </c>
      <c r="W1680" s="1479"/>
      <c r="X1680" s="255"/>
      <c r="Y1680" s="89"/>
      <c r="Z1680" s="2060"/>
      <c r="AA1680" s="2060"/>
      <c r="AB1680" s="2060"/>
      <c r="AC1680" s="2060"/>
      <c r="AD1680" s="2060"/>
      <c r="AE1680" s="2060"/>
      <c r="AF1680" s="2060"/>
      <c r="AG1680" s="2060"/>
      <c r="AH1680" s="2060"/>
      <c r="AI1680" s="2060"/>
      <c r="AJ1680" s="2060"/>
      <c r="AK1680" s="2060"/>
      <c r="AL1680" s="2060"/>
      <c r="AM1680" s="2060"/>
      <c r="AN1680" s="2060"/>
      <c r="AO1680" s="2060"/>
      <c r="AP1680" s="2060"/>
      <c r="AQ1680" s="2060"/>
      <c r="AR1680" s="2060"/>
      <c r="AS1680" s="2060"/>
      <c r="AT1680" s="2060"/>
      <c r="AU1680" s="2060"/>
      <c r="AV1680" s="2060"/>
      <c r="AW1680" s="2060"/>
      <c r="AX1680" s="2060"/>
      <c r="AY1680" s="2060"/>
      <c r="AZ1680" s="2060"/>
      <c r="BA1680" s="2060"/>
      <c r="BB1680" s="2060"/>
      <c r="BC1680" s="2060"/>
      <c r="BD1680" s="2060"/>
      <c r="BE1680" s="2060"/>
      <c r="BF1680" s="2060"/>
      <c r="BG1680" s="2060"/>
      <c r="BH1680" s="2060"/>
      <c r="BI1680" s="2060"/>
      <c r="BJ1680" s="2060"/>
      <c r="BK1680" s="2060"/>
      <c r="BL1680" s="2060"/>
      <c r="BM1680" s="2060"/>
      <c r="BN1680" s="2060"/>
      <c r="BO1680" s="2060"/>
      <c r="BP1680" s="2060"/>
      <c r="BQ1680" s="2060"/>
      <c r="BR1680" s="2060"/>
      <c r="BS1680" s="2060"/>
      <c r="BT1680" s="2060"/>
      <c r="BU1680" s="2060"/>
      <c r="BV1680" s="2060"/>
      <c r="BW1680" s="2060"/>
      <c r="BX1680" s="2060"/>
      <c r="BY1680" s="2060"/>
      <c r="BZ1680" s="2060"/>
      <c r="CA1680" s="2060"/>
      <c r="CB1680" s="2060"/>
      <c r="CC1680" s="2060"/>
      <c r="CD1680" s="2060"/>
      <c r="CE1680" s="2060"/>
      <c r="CF1680" s="2060"/>
      <c r="CG1680" s="2060"/>
      <c r="CH1680" s="2060"/>
      <c r="CI1680" s="2060"/>
      <c r="CJ1680" s="2060"/>
      <c r="CK1680" s="2060"/>
      <c r="CL1680" s="2060"/>
      <c r="CM1680" s="2060"/>
      <c r="CN1680" s="2060"/>
      <c r="CO1680" s="2060"/>
      <c r="CP1680" s="2060"/>
      <c r="CQ1680" s="2060"/>
      <c r="CR1680" s="2060"/>
      <c r="CS1680" s="2060"/>
      <c r="CT1680" s="2060"/>
      <c r="CU1680" s="2060"/>
      <c r="CV1680" s="2060"/>
      <c r="CW1680" s="2060"/>
      <c r="CX1680" s="2060"/>
      <c r="CY1680" s="2060"/>
      <c r="CZ1680" s="2060"/>
      <c r="DA1680" s="2060"/>
      <c r="DB1680" s="2060"/>
      <c r="DC1680" s="2060"/>
      <c r="DD1680" s="2060"/>
      <c r="DE1680" s="2060"/>
      <c r="DF1680" s="2060"/>
      <c r="DG1680" s="2060"/>
      <c r="DH1680" s="2060"/>
      <c r="DI1680" s="2060"/>
      <c r="DJ1680" s="2060"/>
      <c r="DK1680" s="2060"/>
      <c r="DL1680" s="2060"/>
      <c r="DM1680" s="2060"/>
      <c r="DN1680" s="2060"/>
      <c r="DO1680" s="2060"/>
      <c r="DP1680" s="2060"/>
      <c r="DQ1680" s="2060"/>
      <c r="DR1680" s="2060"/>
      <c r="DS1680" s="2060"/>
      <c r="DT1680" s="2060"/>
      <c r="DU1680" s="2060"/>
      <c r="DV1680" s="2060"/>
      <c r="DW1680" s="2060"/>
      <c r="DX1680" s="2060"/>
      <c r="DY1680" s="2060"/>
      <c r="DZ1680" s="2060"/>
      <c r="EA1680" s="2060"/>
      <c r="EB1680" s="2060"/>
      <c r="EC1680" s="2060"/>
      <c r="ED1680" s="2060"/>
      <c r="EE1680" s="2060"/>
      <c r="EF1680" s="2060"/>
      <c r="EG1680" s="2060"/>
      <c r="EH1680" s="2060"/>
      <c r="EI1680" s="2060"/>
      <c r="EJ1680" s="2060"/>
      <c r="EK1680" s="2060"/>
      <c r="EL1680" s="2060"/>
      <c r="EM1680" s="2060"/>
      <c r="EN1680" s="2060"/>
      <c r="EO1680" s="2060"/>
      <c r="EP1680" s="2060"/>
      <c r="EQ1680" s="2060"/>
      <c r="ER1680" s="2060"/>
      <c r="ES1680" s="2060"/>
      <c r="ET1680" s="2060"/>
      <c r="EU1680" s="2060"/>
      <c r="EV1680" s="2060"/>
      <c r="EW1680" s="2060"/>
      <c r="EX1680" s="2060"/>
      <c r="EY1680" s="2060"/>
      <c r="EZ1680" s="2060"/>
      <c r="FA1680" s="2060"/>
      <c r="FB1680" s="2060"/>
      <c r="FC1680" s="2060"/>
      <c r="FD1680" s="2060"/>
      <c r="FE1680" s="2060"/>
      <c r="FF1680" s="2060"/>
      <c r="FG1680" s="2060"/>
      <c r="FH1680" s="2060"/>
      <c r="FI1680" s="2060"/>
      <c r="FJ1680" s="2060"/>
      <c r="FK1680" s="2060"/>
      <c r="FL1680" s="2060"/>
      <c r="FM1680" s="2060"/>
      <c r="FN1680" s="2060"/>
      <c r="FO1680" s="2060"/>
      <c r="FP1680" s="2060"/>
      <c r="FQ1680" s="2060"/>
      <c r="FR1680" s="2060"/>
      <c r="FS1680" s="2060"/>
      <c r="FT1680" s="2060"/>
      <c r="FU1680" s="2060"/>
      <c r="FV1680" s="2060"/>
      <c r="FW1680" s="2060"/>
      <c r="FX1680" s="2060"/>
      <c r="FY1680" s="2060"/>
      <c r="FZ1680" s="2060"/>
      <c r="GA1680" s="2060"/>
      <c r="GB1680" s="2060"/>
      <c r="GC1680" s="2060"/>
      <c r="GD1680" s="2060"/>
      <c r="GE1680" s="2060"/>
      <c r="GF1680" s="2060"/>
      <c r="GG1680" s="2060"/>
      <c r="GH1680" s="2060"/>
      <c r="GI1680" s="2060"/>
      <c r="GJ1680" s="2060"/>
      <c r="GK1680" s="2060"/>
      <c r="GL1680" s="2060"/>
      <c r="GM1680" s="2060"/>
      <c r="GN1680" s="2060"/>
      <c r="GO1680" s="2060"/>
      <c r="GP1680" s="2060"/>
      <c r="GQ1680" s="2060"/>
      <c r="GR1680" s="2060"/>
      <c r="GS1680" s="2060"/>
      <c r="GT1680" s="2060"/>
      <c r="GU1680" s="2060"/>
      <c r="GV1680" s="2060"/>
      <c r="GW1680" s="2060"/>
      <c r="GX1680" s="2060"/>
      <c r="GY1680" s="2060"/>
      <c r="GZ1680" s="2060"/>
      <c r="HA1680" s="2060"/>
      <c r="HB1680" s="2060"/>
      <c r="HC1680" s="2060"/>
      <c r="HD1680" s="2060"/>
      <c r="HE1680" s="2060"/>
      <c r="HF1680" s="2060"/>
      <c r="HG1680" s="2060"/>
      <c r="HH1680" s="2060"/>
      <c r="HI1680" s="2060"/>
      <c r="HJ1680" s="2060"/>
      <c r="HK1680" s="2060"/>
      <c r="HL1680" s="2060"/>
      <c r="HM1680" s="2060"/>
      <c r="HN1680" s="2060"/>
      <c r="HO1680" s="2060"/>
      <c r="HP1680" s="2060"/>
      <c r="HQ1680" s="2060"/>
      <c r="HR1680" s="2060"/>
      <c r="HS1680" s="2060"/>
      <c r="HT1680" s="2060"/>
      <c r="HU1680" s="2060"/>
      <c r="HV1680" s="2060"/>
      <c r="HW1680" s="2060"/>
      <c r="HX1680" s="2060"/>
      <c r="HY1680" s="2060"/>
      <c r="HZ1680" s="2060"/>
      <c r="IA1680" s="2060"/>
      <c r="IB1680" s="2060"/>
      <c r="IC1680" s="2060"/>
      <c r="ID1680" s="2060"/>
      <c r="IE1680" s="2060"/>
      <c r="IF1680" s="2060"/>
      <c r="IG1680" s="2060"/>
      <c r="IH1680" s="2060"/>
      <c r="II1680" s="2060"/>
      <c r="IJ1680" s="2060"/>
      <c r="IK1680" s="2060"/>
      <c r="IL1680" s="2060"/>
      <c r="IM1680" s="2060"/>
      <c r="IN1680" s="2060"/>
      <c r="IO1680" s="2060"/>
      <c r="IP1680" s="2060"/>
      <c r="IQ1680" s="2060"/>
      <c r="IR1680" s="2060"/>
      <c r="IS1680" s="2060"/>
      <c r="IT1680" s="2060"/>
      <c r="IU1680" s="2060"/>
      <c r="IV1680" s="2060"/>
      <c r="IW1680" s="2060"/>
      <c r="IX1680" s="2060"/>
      <c r="IY1680" s="2060"/>
      <c r="IZ1680" s="2060"/>
      <c r="JA1680" s="2060"/>
      <c r="JB1680" s="2060"/>
      <c r="JC1680" s="2060"/>
      <c r="JD1680" s="2060"/>
      <c r="JE1680" s="2060"/>
      <c r="JF1680" s="2060"/>
      <c r="JG1680" s="2060"/>
      <c r="JH1680" s="2060"/>
      <c r="JI1680" s="2060"/>
      <c r="JJ1680" s="2060"/>
      <c r="JK1680" s="2060"/>
      <c r="JL1680" s="2060"/>
      <c r="JM1680" s="2060"/>
      <c r="JN1680" s="2060"/>
      <c r="JO1680" s="2060"/>
      <c r="JP1680" s="2060"/>
      <c r="JQ1680" s="2060"/>
      <c r="JR1680" s="2060"/>
      <c r="JS1680" s="2060"/>
      <c r="JT1680" s="2060"/>
      <c r="JU1680" s="2060"/>
      <c r="JV1680" s="2060"/>
      <c r="JW1680" s="2060"/>
      <c r="JX1680" s="2060"/>
      <c r="JY1680" s="2060"/>
      <c r="JZ1680" s="2060"/>
      <c r="KA1680" s="2060"/>
      <c r="KB1680" s="2060"/>
      <c r="KC1680" s="2060"/>
      <c r="KD1680" s="2060"/>
      <c r="KE1680" s="2060"/>
      <c r="KF1680" s="2060"/>
      <c r="KG1680" s="2060"/>
      <c r="KH1680" s="2060"/>
      <c r="KI1680" s="2060"/>
      <c r="KJ1680" s="2060"/>
      <c r="KK1680" s="2060"/>
      <c r="KL1680" s="2060"/>
      <c r="KM1680" s="2060"/>
      <c r="KN1680" s="2060"/>
      <c r="KO1680" s="2060"/>
      <c r="KP1680" s="2060"/>
      <c r="KQ1680" s="2060"/>
      <c r="KR1680" s="2060"/>
      <c r="KS1680" s="2060"/>
      <c r="KT1680" s="2060"/>
      <c r="KU1680" s="2060"/>
      <c r="KV1680" s="2060"/>
      <c r="KW1680" s="2060"/>
      <c r="KX1680" s="2060"/>
      <c r="KY1680" s="2060"/>
      <c r="KZ1680" s="2060"/>
      <c r="LA1680" s="2060"/>
      <c r="LB1680" s="2060"/>
      <c r="LC1680" s="2060"/>
      <c r="LD1680" s="2060"/>
      <c r="LE1680" s="2060"/>
      <c r="LF1680" s="2060"/>
      <c r="LG1680" s="2060"/>
      <c r="LH1680" s="2060"/>
    </row>
    <row r="1681" spans="1:320" s="449" customFormat="1" ht="13.9">
      <c r="A1681" s="269" t="str">
        <f t="shared" si="447"/>
        <v>n</v>
      </c>
      <c r="B1681" s="2060"/>
      <c r="C1681" s="2060"/>
      <c r="D1681" s="2060"/>
      <c r="E1681" s="1661">
        <v>7</v>
      </c>
      <c r="F1681" s="1353" t="str">
        <f>F$135</f>
        <v>--</v>
      </c>
      <c r="G1681" s="128">
        <f>G$135</f>
        <v>0</v>
      </c>
      <c r="H1681" s="128" t="str">
        <f>H$135</f>
        <v>--</v>
      </c>
      <c r="I1681" s="89"/>
      <c r="J1681" s="2197" t="str">
        <f t="shared" ref="J1681:V1681" si="453">IFERROR(IF($F$315="Total debt",J1623,IF($F$315="Net debt",J1623-J1652,MAX(J1623-J1652,0))),"--")</f>
        <v/>
      </c>
      <c r="K1681" s="2197" t="str">
        <f t="shared" si="453"/>
        <v/>
      </c>
      <c r="L1681" s="2197" t="str">
        <f t="shared" si="445"/>
        <v/>
      </c>
      <c r="M1681" s="2197" t="str">
        <f t="shared" si="445"/>
        <v/>
      </c>
      <c r="N1681" s="2197" t="str">
        <f t="shared" si="445"/>
        <v/>
      </c>
      <c r="O1681" s="2197" t="str">
        <f t="shared" si="453"/>
        <v/>
      </c>
      <c r="P1681" s="2197" t="str">
        <f t="shared" si="453"/>
        <v/>
      </c>
      <c r="Q1681" s="2197" t="str">
        <f t="shared" si="453"/>
        <v/>
      </c>
      <c r="R1681" s="2197" t="str">
        <f t="shared" si="453"/>
        <v/>
      </c>
      <c r="S1681" s="2197" t="str">
        <f t="shared" si="453"/>
        <v/>
      </c>
      <c r="T1681" s="2197" t="str">
        <f t="shared" si="453"/>
        <v/>
      </c>
      <c r="U1681" s="2197" t="str">
        <f t="shared" si="453"/>
        <v/>
      </c>
      <c r="V1681" s="2197" t="str">
        <f t="shared" si="453"/>
        <v/>
      </c>
      <c r="W1681" s="1479"/>
      <c r="X1681" s="255"/>
      <c r="Y1681" s="89"/>
      <c r="Z1681" s="2060"/>
      <c r="AA1681" s="2060"/>
      <c r="AB1681" s="2060"/>
      <c r="AC1681" s="2060"/>
      <c r="AD1681" s="2060"/>
      <c r="AE1681" s="2060"/>
      <c r="AF1681" s="2060"/>
      <c r="AG1681" s="2060"/>
      <c r="AH1681" s="2060"/>
      <c r="AI1681" s="2060"/>
      <c r="AJ1681" s="2060"/>
      <c r="AK1681" s="2060"/>
      <c r="AL1681" s="2060"/>
      <c r="AM1681" s="2060"/>
      <c r="AN1681" s="2060"/>
      <c r="AO1681" s="2060"/>
      <c r="AP1681" s="2060"/>
      <c r="AQ1681" s="2060"/>
      <c r="AR1681" s="2060"/>
      <c r="AS1681" s="2060"/>
      <c r="AT1681" s="2060"/>
      <c r="AU1681" s="2060"/>
      <c r="AV1681" s="2060"/>
      <c r="AW1681" s="2060"/>
      <c r="AX1681" s="2060"/>
      <c r="AY1681" s="2060"/>
      <c r="AZ1681" s="2060"/>
      <c r="BA1681" s="2060"/>
      <c r="BB1681" s="2060"/>
      <c r="BC1681" s="2060"/>
      <c r="BD1681" s="2060"/>
      <c r="BE1681" s="2060"/>
      <c r="BF1681" s="2060"/>
      <c r="BG1681" s="2060"/>
      <c r="BH1681" s="2060"/>
      <c r="BI1681" s="2060"/>
      <c r="BJ1681" s="2060"/>
      <c r="BK1681" s="2060"/>
      <c r="BL1681" s="2060"/>
      <c r="BM1681" s="2060"/>
      <c r="BN1681" s="2060"/>
      <c r="BO1681" s="2060"/>
      <c r="BP1681" s="2060"/>
      <c r="BQ1681" s="2060"/>
      <c r="BR1681" s="2060"/>
      <c r="BS1681" s="2060"/>
      <c r="BT1681" s="2060"/>
      <c r="BU1681" s="2060"/>
      <c r="BV1681" s="2060"/>
      <c r="BW1681" s="2060"/>
      <c r="BX1681" s="2060"/>
      <c r="BY1681" s="2060"/>
      <c r="BZ1681" s="2060"/>
      <c r="CA1681" s="2060"/>
      <c r="CB1681" s="2060"/>
      <c r="CC1681" s="2060"/>
      <c r="CD1681" s="2060"/>
      <c r="CE1681" s="2060"/>
      <c r="CF1681" s="2060"/>
      <c r="CG1681" s="2060"/>
      <c r="CH1681" s="2060"/>
      <c r="CI1681" s="2060"/>
      <c r="CJ1681" s="2060"/>
      <c r="CK1681" s="2060"/>
      <c r="CL1681" s="2060"/>
      <c r="CM1681" s="2060"/>
      <c r="CN1681" s="2060"/>
      <c r="CO1681" s="2060"/>
      <c r="CP1681" s="2060"/>
      <c r="CQ1681" s="2060"/>
      <c r="CR1681" s="2060"/>
      <c r="CS1681" s="2060"/>
      <c r="CT1681" s="2060"/>
      <c r="CU1681" s="2060"/>
      <c r="CV1681" s="2060"/>
      <c r="CW1681" s="2060"/>
      <c r="CX1681" s="2060"/>
      <c r="CY1681" s="2060"/>
      <c r="CZ1681" s="2060"/>
      <c r="DA1681" s="2060"/>
      <c r="DB1681" s="2060"/>
      <c r="DC1681" s="2060"/>
      <c r="DD1681" s="2060"/>
      <c r="DE1681" s="2060"/>
      <c r="DF1681" s="2060"/>
      <c r="DG1681" s="2060"/>
      <c r="DH1681" s="2060"/>
      <c r="DI1681" s="2060"/>
      <c r="DJ1681" s="2060"/>
      <c r="DK1681" s="2060"/>
      <c r="DL1681" s="2060"/>
      <c r="DM1681" s="2060"/>
      <c r="DN1681" s="2060"/>
      <c r="DO1681" s="2060"/>
      <c r="DP1681" s="2060"/>
      <c r="DQ1681" s="2060"/>
      <c r="DR1681" s="2060"/>
      <c r="DS1681" s="2060"/>
      <c r="DT1681" s="2060"/>
      <c r="DU1681" s="2060"/>
      <c r="DV1681" s="2060"/>
      <c r="DW1681" s="2060"/>
      <c r="DX1681" s="2060"/>
      <c r="DY1681" s="2060"/>
      <c r="DZ1681" s="2060"/>
      <c r="EA1681" s="2060"/>
      <c r="EB1681" s="2060"/>
      <c r="EC1681" s="2060"/>
      <c r="ED1681" s="2060"/>
      <c r="EE1681" s="2060"/>
      <c r="EF1681" s="2060"/>
      <c r="EG1681" s="2060"/>
      <c r="EH1681" s="2060"/>
      <c r="EI1681" s="2060"/>
      <c r="EJ1681" s="2060"/>
      <c r="EK1681" s="2060"/>
      <c r="EL1681" s="2060"/>
      <c r="EM1681" s="2060"/>
      <c r="EN1681" s="2060"/>
      <c r="EO1681" s="2060"/>
      <c r="EP1681" s="2060"/>
      <c r="EQ1681" s="2060"/>
      <c r="ER1681" s="2060"/>
      <c r="ES1681" s="2060"/>
      <c r="ET1681" s="2060"/>
      <c r="EU1681" s="2060"/>
      <c r="EV1681" s="2060"/>
      <c r="EW1681" s="2060"/>
      <c r="EX1681" s="2060"/>
      <c r="EY1681" s="2060"/>
      <c r="EZ1681" s="2060"/>
      <c r="FA1681" s="2060"/>
      <c r="FB1681" s="2060"/>
      <c r="FC1681" s="2060"/>
      <c r="FD1681" s="2060"/>
      <c r="FE1681" s="2060"/>
      <c r="FF1681" s="2060"/>
      <c r="FG1681" s="2060"/>
      <c r="FH1681" s="2060"/>
      <c r="FI1681" s="2060"/>
      <c r="FJ1681" s="2060"/>
      <c r="FK1681" s="2060"/>
      <c r="FL1681" s="2060"/>
      <c r="FM1681" s="2060"/>
      <c r="FN1681" s="2060"/>
      <c r="FO1681" s="2060"/>
      <c r="FP1681" s="2060"/>
      <c r="FQ1681" s="2060"/>
      <c r="FR1681" s="2060"/>
      <c r="FS1681" s="2060"/>
      <c r="FT1681" s="2060"/>
      <c r="FU1681" s="2060"/>
      <c r="FV1681" s="2060"/>
      <c r="FW1681" s="2060"/>
      <c r="FX1681" s="2060"/>
      <c r="FY1681" s="2060"/>
      <c r="FZ1681" s="2060"/>
      <c r="GA1681" s="2060"/>
      <c r="GB1681" s="2060"/>
      <c r="GC1681" s="2060"/>
      <c r="GD1681" s="2060"/>
      <c r="GE1681" s="2060"/>
      <c r="GF1681" s="2060"/>
      <c r="GG1681" s="2060"/>
      <c r="GH1681" s="2060"/>
      <c r="GI1681" s="2060"/>
      <c r="GJ1681" s="2060"/>
      <c r="GK1681" s="2060"/>
      <c r="GL1681" s="2060"/>
      <c r="GM1681" s="2060"/>
      <c r="GN1681" s="2060"/>
      <c r="GO1681" s="2060"/>
      <c r="GP1681" s="2060"/>
      <c r="GQ1681" s="2060"/>
      <c r="GR1681" s="2060"/>
      <c r="GS1681" s="2060"/>
      <c r="GT1681" s="2060"/>
      <c r="GU1681" s="2060"/>
      <c r="GV1681" s="2060"/>
      <c r="GW1681" s="2060"/>
      <c r="GX1681" s="2060"/>
      <c r="GY1681" s="2060"/>
      <c r="GZ1681" s="2060"/>
      <c r="HA1681" s="2060"/>
      <c r="HB1681" s="2060"/>
      <c r="HC1681" s="2060"/>
      <c r="HD1681" s="2060"/>
      <c r="HE1681" s="2060"/>
      <c r="HF1681" s="2060"/>
      <c r="HG1681" s="2060"/>
      <c r="HH1681" s="2060"/>
      <c r="HI1681" s="2060"/>
      <c r="HJ1681" s="2060"/>
      <c r="HK1681" s="2060"/>
      <c r="HL1681" s="2060"/>
      <c r="HM1681" s="2060"/>
      <c r="HN1681" s="2060"/>
      <c r="HO1681" s="2060"/>
      <c r="HP1681" s="2060"/>
      <c r="HQ1681" s="2060"/>
      <c r="HR1681" s="2060"/>
      <c r="HS1681" s="2060"/>
      <c r="HT1681" s="2060"/>
      <c r="HU1681" s="2060"/>
      <c r="HV1681" s="2060"/>
      <c r="HW1681" s="2060"/>
      <c r="HX1681" s="2060"/>
      <c r="HY1681" s="2060"/>
      <c r="HZ1681" s="2060"/>
      <c r="IA1681" s="2060"/>
      <c r="IB1681" s="2060"/>
      <c r="IC1681" s="2060"/>
      <c r="ID1681" s="2060"/>
      <c r="IE1681" s="2060"/>
      <c r="IF1681" s="2060"/>
      <c r="IG1681" s="2060"/>
      <c r="IH1681" s="2060"/>
      <c r="II1681" s="2060"/>
      <c r="IJ1681" s="2060"/>
      <c r="IK1681" s="2060"/>
      <c r="IL1681" s="2060"/>
      <c r="IM1681" s="2060"/>
      <c r="IN1681" s="2060"/>
      <c r="IO1681" s="2060"/>
      <c r="IP1681" s="2060"/>
      <c r="IQ1681" s="2060"/>
      <c r="IR1681" s="2060"/>
      <c r="IS1681" s="2060"/>
      <c r="IT1681" s="2060"/>
      <c r="IU1681" s="2060"/>
      <c r="IV1681" s="2060"/>
      <c r="IW1681" s="2060"/>
      <c r="IX1681" s="2060"/>
      <c r="IY1681" s="2060"/>
      <c r="IZ1681" s="2060"/>
      <c r="JA1681" s="2060"/>
      <c r="JB1681" s="2060"/>
      <c r="JC1681" s="2060"/>
      <c r="JD1681" s="2060"/>
      <c r="JE1681" s="2060"/>
      <c r="JF1681" s="2060"/>
      <c r="JG1681" s="2060"/>
      <c r="JH1681" s="2060"/>
      <c r="JI1681" s="2060"/>
      <c r="JJ1681" s="2060"/>
      <c r="JK1681" s="2060"/>
      <c r="JL1681" s="2060"/>
      <c r="JM1681" s="2060"/>
      <c r="JN1681" s="2060"/>
      <c r="JO1681" s="2060"/>
      <c r="JP1681" s="2060"/>
      <c r="JQ1681" s="2060"/>
      <c r="JR1681" s="2060"/>
      <c r="JS1681" s="2060"/>
      <c r="JT1681" s="2060"/>
      <c r="JU1681" s="2060"/>
      <c r="JV1681" s="2060"/>
      <c r="JW1681" s="2060"/>
      <c r="JX1681" s="2060"/>
      <c r="JY1681" s="2060"/>
      <c r="JZ1681" s="2060"/>
      <c r="KA1681" s="2060"/>
      <c r="KB1681" s="2060"/>
      <c r="KC1681" s="2060"/>
      <c r="KD1681" s="2060"/>
      <c r="KE1681" s="2060"/>
      <c r="KF1681" s="2060"/>
      <c r="KG1681" s="2060"/>
      <c r="KH1681" s="2060"/>
      <c r="KI1681" s="2060"/>
      <c r="KJ1681" s="2060"/>
      <c r="KK1681" s="2060"/>
      <c r="KL1681" s="2060"/>
      <c r="KM1681" s="2060"/>
      <c r="KN1681" s="2060"/>
      <c r="KO1681" s="2060"/>
      <c r="KP1681" s="2060"/>
      <c r="KQ1681" s="2060"/>
      <c r="KR1681" s="2060"/>
      <c r="KS1681" s="2060"/>
      <c r="KT1681" s="2060"/>
      <c r="KU1681" s="2060"/>
      <c r="KV1681" s="2060"/>
      <c r="KW1681" s="2060"/>
      <c r="KX1681" s="2060"/>
      <c r="KY1681" s="2060"/>
      <c r="KZ1681" s="2060"/>
      <c r="LA1681" s="2060"/>
      <c r="LB1681" s="2060"/>
      <c r="LC1681" s="2060"/>
      <c r="LD1681" s="2060"/>
      <c r="LE1681" s="2060"/>
      <c r="LF1681" s="2060"/>
      <c r="LG1681" s="2060"/>
      <c r="LH1681" s="2060"/>
    </row>
    <row r="1682" spans="1:320" s="449" customFormat="1" ht="13.9">
      <c r="A1682" s="269" t="str">
        <f t="shared" si="447"/>
        <v>n</v>
      </c>
      <c r="B1682" s="2060"/>
      <c r="C1682" s="2060"/>
      <c r="D1682" s="2060"/>
      <c r="E1682" s="1661">
        <v>8</v>
      </c>
      <c r="F1682" s="1353" t="str">
        <f>F$136</f>
        <v>--</v>
      </c>
      <c r="G1682" s="128">
        <f>G$136</f>
        <v>0</v>
      </c>
      <c r="H1682" s="128" t="str">
        <f>H$136</f>
        <v>--</v>
      </c>
      <c r="I1682" s="89"/>
      <c r="J1682" s="2197" t="str">
        <f t="shared" ref="J1682:V1682" si="454">IFERROR(IF($F$315="Total debt",J1624,IF($F$315="Net debt",J1624-J1653,MAX(J1624-J1653,0))),"--")</f>
        <v/>
      </c>
      <c r="K1682" s="2197" t="str">
        <f t="shared" si="454"/>
        <v/>
      </c>
      <c r="L1682" s="2197" t="str">
        <f t="shared" si="445"/>
        <v/>
      </c>
      <c r="M1682" s="2197" t="str">
        <f t="shared" si="445"/>
        <v/>
      </c>
      <c r="N1682" s="2197" t="str">
        <f t="shared" si="445"/>
        <v/>
      </c>
      <c r="O1682" s="2197" t="str">
        <f t="shared" si="454"/>
        <v/>
      </c>
      <c r="P1682" s="2197" t="str">
        <f t="shared" si="454"/>
        <v/>
      </c>
      <c r="Q1682" s="2197" t="str">
        <f t="shared" si="454"/>
        <v/>
      </c>
      <c r="R1682" s="2197" t="str">
        <f t="shared" si="454"/>
        <v/>
      </c>
      <c r="S1682" s="2197" t="str">
        <f t="shared" si="454"/>
        <v/>
      </c>
      <c r="T1682" s="2197" t="str">
        <f t="shared" si="454"/>
        <v/>
      </c>
      <c r="U1682" s="2197" t="str">
        <f t="shared" si="454"/>
        <v/>
      </c>
      <c r="V1682" s="2197" t="str">
        <f t="shared" si="454"/>
        <v/>
      </c>
      <c r="W1682" s="1479"/>
      <c r="X1682" s="255"/>
      <c r="Y1682" s="89"/>
      <c r="Z1682" s="2060"/>
      <c r="AA1682" s="2060"/>
      <c r="AB1682" s="2060"/>
      <c r="AC1682" s="2060"/>
      <c r="AD1682" s="2060"/>
      <c r="AE1682" s="2060"/>
      <c r="AF1682" s="2060"/>
      <c r="AG1682" s="2060"/>
      <c r="AH1682" s="2060"/>
      <c r="AI1682" s="2060"/>
      <c r="AJ1682" s="2060"/>
      <c r="AK1682" s="2060"/>
      <c r="AL1682" s="2060"/>
      <c r="AM1682" s="2060"/>
      <c r="AN1682" s="2060"/>
      <c r="AO1682" s="2060"/>
      <c r="AP1682" s="2060"/>
      <c r="AQ1682" s="2060"/>
      <c r="AR1682" s="2060"/>
      <c r="AS1682" s="2060"/>
      <c r="AT1682" s="2060"/>
      <c r="AU1682" s="2060"/>
      <c r="AV1682" s="2060"/>
      <c r="AW1682" s="2060"/>
      <c r="AX1682" s="2060"/>
      <c r="AY1682" s="2060"/>
      <c r="AZ1682" s="2060"/>
      <c r="BA1682" s="2060"/>
      <c r="BB1682" s="2060"/>
      <c r="BC1682" s="2060"/>
      <c r="BD1682" s="2060"/>
      <c r="BE1682" s="2060"/>
      <c r="BF1682" s="2060"/>
      <c r="BG1682" s="2060"/>
      <c r="BH1682" s="2060"/>
      <c r="BI1682" s="2060"/>
      <c r="BJ1682" s="2060"/>
      <c r="BK1682" s="2060"/>
      <c r="BL1682" s="2060"/>
      <c r="BM1682" s="2060"/>
      <c r="BN1682" s="2060"/>
      <c r="BO1682" s="2060"/>
      <c r="BP1682" s="2060"/>
      <c r="BQ1682" s="2060"/>
      <c r="BR1682" s="2060"/>
      <c r="BS1682" s="2060"/>
      <c r="BT1682" s="2060"/>
      <c r="BU1682" s="2060"/>
      <c r="BV1682" s="2060"/>
      <c r="BW1682" s="2060"/>
      <c r="BX1682" s="2060"/>
      <c r="BY1682" s="2060"/>
      <c r="BZ1682" s="2060"/>
      <c r="CA1682" s="2060"/>
      <c r="CB1682" s="2060"/>
      <c r="CC1682" s="2060"/>
      <c r="CD1682" s="2060"/>
      <c r="CE1682" s="2060"/>
      <c r="CF1682" s="2060"/>
      <c r="CG1682" s="2060"/>
      <c r="CH1682" s="2060"/>
      <c r="CI1682" s="2060"/>
      <c r="CJ1682" s="2060"/>
      <c r="CK1682" s="2060"/>
      <c r="CL1682" s="2060"/>
      <c r="CM1682" s="2060"/>
      <c r="CN1682" s="2060"/>
      <c r="CO1682" s="2060"/>
      <c r="CP1682" s="2060"/>
      <c r="CQ1682" s="2060"/>
      <c r="CR1682" s="2060"/>
      <c r="CS1682" s="2060"/>
      <c r="CT1682" s="2060"/>
      <c r="CU1682" s="2060"/>
      <c r="CV1682" s="2060"/>
      <c r="CW1682" s="2060"/>
      <c r="CX1682" s="2060"/>
      <c r="CY1682" s="2060"/>
      <c r="CZ1682" s="2060"/>
      <c r="DA1682" s="2060"/>
      <c r="DB1682" s="2060"/>
      <c r="DC1682" s="2060"/>
      <c r="DD1682" s="2060"/>
      <c r="DE1682" s="2060"/>
      <c r="DF1682" s="2060"/>
      <c r="DG1682" s="2060"/>
      <c r="DH1682" s="2060"/>
      <c r="DI1682" s="2060"/>
      <c r="DJ1682" s="2060"/>
      <c r="DK1682" s="2060"/>
      <c r="DL1682" s="2060"/>
      <c r="DM1682" s="2060"/>
      <c r="DN1682" s="2060"/>
      <c r="DO1682" s="2060"/>
      <c r="DP1682" s="2060"/>
      <c r="DQ1682" s="2060"/>
      <c r="DR1682" s="2060"/>
      <c r="DS1682" s="2060"/>
      <c r="DT1682" s="2060"/>
      <c r="DU1682" s="2060"/>
      <c r="DV1682" s="2060"/>
      <c r="DW1682" s="2060"/>
      <c r="DX1682" s="2060"/>
      <c r="DY1682" s="2060"/>
      <c r="DZ1682" s="2060"/>
      <c r="EA1682" s="2060"/>
      <c r="EB1682" s="2060"/>
      <c r="EC1682" s="2060"/>
      <c r="ED1682" s="2060"/>
      <c r="EE1682" s="2060"/>
      <c r="EF1682" s="2060"/>
      <c r="EG1682" s="2060"/>
      <c r="EH1682" s="2060"/>
      <c r="EI1682" s="2060"/>
      <c r="EJ1682" s="2060"/>
      <c r="EK1682" s="2060"/>
      <c r="EL1682" s="2060"/>
      <c r="EM1682" s="2060"/>
      <c r="EN1682" s="2060"/>
      <c r="EO1682" s="2060"/>
      <c r="EP1682" s="2060"/>
      <c r="EQ1682" s="2060"/>
      <c r="ER1682" s="2060"/>
      <c r="ES1682" s="2060"/>
      <c r="ET1682" s="2060"/>
      <c r="EU1682" s="2060"/>
      <c r="EV1682" s="2060"/>
      <c r="EW1682" s="2060"/>
      <c r="EX1682" s="2060"/>
      <c r="EY1682" s="2060"/>
      <c r="EZ1682" s="2060"/>
      <c r="FA1682" s="2060"/>
      <c r="FB1682" s="2060"/>
      <c r="FC1682" s="2060"/>
      <c r="FD1682" s="2060"/>
      <c r="FE1682" s="2060"/>
      <c r="FF1682" s="2060"/>
      <c r="FG1682" s="2060"/>
      <c r="FH1682" s="2060"/>
      <c r="FI1682" s="2060"/>
      <c r="FJ1682" s="2060"/>
      <c r="FK1682" s="2060"/>
      <c r="FL1682" s="2060"/>
      <c r="FM1682" s="2060"/>
      <c r="FN1682" s="2060"/>
      <c r="FO1682" s="2060"/>
      <c r="FP1682" s="2060"/>
      <c r="FQ1682" s="2060"/>
      <c r="FR1682" s="2060"/>
      <c r="FS1682" s="2060"/>
      <c r="FT1682" s="2060"/>
      <c r="FU1682" s="2060"/>
      <c r="FV1682" s="2060"/>
      <c r="FW1682" s="2060"/>
      <c r="FX1682" s="2060"/>
      <c r="FY1682" s="2060"/>
      <c r="FZ1682" s="2060"/>
      <c r="GA1682" s="2060"/>
      <c r="GB1682" s="2060"/>
      <c r="GC1682" s="2060"/>
      <c r="GD1682" s="2060"/>
      <c r="GE1682" s="2060"/>
      <c r="GF1682" s="2060"/>
      <c r="GG1682" s="2060"/>
      <c r="GH1682" s="2060"/>
      <c r="GI1682" s="2060"/>
      <c r="GJ1682" s="2060"/>
      <c r="GK1682" s="2060"/>
      <c r="GL1682" s="2060"/>
      <c r="GM1682" s="2060"/>
      <c r="GN1682" s="2060"/>
      <c r="GO1682" s="2060"/>
      <c r="GP1682" s="2060"/>
      <c r="GQ1682" s="2060"/>
      <c r="GR1682" s="2060"/>
      <c r="GS1682" s="2060"/>
      <c r="GT1682" s="2060"/>
      <c r="GU1682" s="2060"/>
      <c r="GV1682" s="2060"/>
      <c r="GW1682" s="2060"/>
      <c r="GX1682" s="2060"/>
      <c r="GY1682" s="2060"/>
      <c r="GZ1682" s="2060"/>
      <c r="HA1682" s="2060"/>
      <c r="HB1682" s="2060"/>
      <c r="HC1682" s="2060"/>
      <c r="HD1682" s="2060"/>
      <c r="HE1682" s="2060"/>
      <c r="HF1682" s="2060"/>
      <c r="HG1682" s="2060"/>
      <c r="HH1682" s="2060"/>
      <c r="HI1682" s="2060"/>
      <c r="HJ1682" s="2060"/>
      <c r="HK1682" s="2060"/>
      <c r="HL1682" s="2060"/>
      <c r="HM1682" s="2060"/>
      <c r="HN1682" s="2060"/>
      <c r="HO1682" s="2060"/>
      <c r="HP1682" s="2060"/>
      <c r="HQ1682" s="2060"/>
      <c r="HR1682" s="2060"/>
      <c r="HS1682" s="2060"/>
      <c r="HT1682" s="2060"/>
      <c r="HU1682" s="2060"/>
      <c r="HV1682" s="2060"/>
      <c r="HW1682" s="2060"/>
      <c r="HX1682" s="2060"/>
      <c r="HY1682" s="2060"/>
      <c r="HZ1682" s="2060"/>
      <c r="IA1682" s="2060"/>
      <c r="IB1682" s="2060"/>
      <c r="IC1682" s="2060"/>
      <c r="ID1682" s="2060"/>
      <c r="IE1682" s="2060"/>
      <c r="IF1682" s="2060"/>
      <c r="IG1682" s="2060"/>
      <c r="IH1682" s="2060"/>
      <c r="II1682" s="2060"/>
      <c r="IJ1682" s="2060"/>
      <c r="IK1682" s="2060"/>
      <c r="IL1682" s="2060"/>
      <c r="IM1682" s="2060"/>
      <c r="IN1682" s="2060"/>
      <c r="IO1682" s="2060"/>
      <c r="IP1682" s="2060"/>
      <c r="IQ1682" s="2060"/>
      <c r="IR1682" s="2060"/>
      <c r="IS1682" s="2060"/>
      <c r="IT1682" s="2060"/>
      <c r="IU1682" s="2060"/>
      <c r="IV1682" s="2060"/>
      <c r="IW1682" s="2060"/>
      <c r="IX1682" s="2060"/>
      <c r="IY1682" s="2060"/>
      <c r="IZ1682" s="2060"/>
      <c r="JA1682" s="2060"/>
      <c r="JB1682" s="2060"/>
      <c r="JC1682" s="2060"/>
      <c r="JD1682" s="2060"/>
      <c r="JE1682" s="2060"/>
      <c r="JF1682" s="2060"/>
      <c r="JG1682" s="2060"/>
      <c r="JH1682" s="2060"/>
      <c r="JI1682" s="2060"/>
      <c r="JJ1682" s="2060"/>
      <c r="JK1682" s="2060"/>
      <c r="JL1682" s="2060"/>
      <c r="JM1682" s="2060"/>
      <c r="JN1682" s="2060"/>
      <c r="JO1682" s="2060"/>
      <c r="JP1682" s="2060"/>
      <c r="JQ1682" s="2060"/>
      <c r="JR1682" s="2060"/>
      <c r="JS1682" s="2060"/>
      <c r="JT1682" s="2060"/>
      <c r="JU1682" s="2060"/>
      <c r="JV1682" s="2060"/>
      <c r="JW1682" s="2060"/>
      <c r="JX1682" s="2060"/>
      <c r="JY1682" s="2060"/>
      <c r="JZ1682" s="2060"/>
      <c r="KA1682" s="2060"/>
      <c r="KB1682" s="2060"/>
      <c r="KC1682" s="2060"/>
      <c r="KD1682" s="2060"/>
      <c r="KE1682" s="2060"/>
      <c r="KF1682" s="2060"/>
      <c r="KG1682" s="2060"/>
      <c r="KH1682" s="2060"/>
      <c r="KI1682" s="2060"/>
      <c r="KJ1682" s="2060"/>
      <c r="KK1682" s="2060"/>
      <c r="KL1682" s="2060"/>
      <c r="KM1682" s="2060"/>
      <c r="KN1682" s="2060"/>
      <c r="KO1682" s="2060"/>
      <c r="KP1682" s="2060"/>
      <c r="KQ1682" s="2060"/>
      <c r="KR1682" s="2060"/>
      <c r="KS1682" s="2060"/>
      <c r="KT1682" s="2060"/>
      <c r="KU1682" s="2060"/>
      <c r="KV1682" s="2060"/>
      <c r="KW1682" s="2060"/>
      <c r="KX1682" s="2060"/>
      <c r="KY1682" s="2060"/>
      <c r="KZ1682" s="2060"/>
      <c r="LA1682" s="2060"/>
      <c r="LB1682" s="2060"/>
      <c r="LC1682" s="2060"/>
      <c r="LD1682" s="2060"/>
      <c r="LE1682" s="2060"/>
      <c r="LF1682" s="2060"/>
      <c r="LG1682" s="2060"/>
      <c r="LH1682" s="2060"/>
    </row>
    <row r="1683" spans="1:320" s="449" customFormat="1" ht="13.9">
      <c r="A1683" s="269" t="str">
        <f t="shared" si="447"/>
        <v>n</v>
      </c>
      <c r="B1683" s="2060"/>
      <c r="C1683" s="2060"/>
      <c r="D1683" s="2060"/>
      <c r="E1683" s="1661">
        <v>9</v>
      </c>
      <c r="F1683" s="1353" t="str">
        <f>F$137</f>
        <v>--</v>
      </c>
      <c r="G1683" s="128">
        <f>G$137</f>
        <v>0</v>
      </c>
      <c r="H1683" s="128" t="str">
        <f>H$137</f>
        <v>--</v>
      </c>
      <c r="I1683" s="89"/>
      <c r="J1683" s="2197" t="str">
        <f t="shared" ref="J1683:V1683" si="455">IFERROR(IF($F$315="Total debt",J1625,IF($F$315="Net debt",J1625-J1654,MAX(J1625-J1654,0))),"--")</f>
        <v/>
      </c>
      <c r="K1683" s="2197" t="str">
        <f t="shared" si="455"/>
        <v/>
      </c>
      <c r="L1683" s="2197" t="str">
        <f t="shared" si="445"/>
        <v/>
      </c>
      <c r="M1683" s="2197" t="str">
        <f t="shared" si="445"/>
        <v/>
      </c>
      <c r="N1683" s="2197" t="str">
        <f t="shared" si="445"/>
        <v/>
      </c>
      <c r="O1683" s="2197" t="str">
        <f t="shared" si="455"/>
        <v/>
      </c>
      <c r="P1683" s="2197" t="str">
        <f t="shared" si="455"/>
        <v/>
      </c>
      <c r="Q1683" s="2197" t="str">
        <f t="shared" si="455"/>
        <v/>
      </c>
      <c r="R1683" s="2197" t="str">
        <f t="shared" si="455"/>
        <v/>
      </c>
      <c r="S1683" s="2197" t="str">
        <f t="shared" si="455"/>
        <v/>
      </c>
      <c r="T1683" s="2197" t="str">
        <f t="shared" si="455"/>
        <v/>
      </c>
      <c r="U1683" s="2197" t="str">
        <f t="shared" si="455"/>
        <v/>
      </c>
      <c r="V1683" s="2197" t="str">
        <f t="shared" si="455"/>
        <v/>
      </c>
      <c r="W1683" s="1479"/>
      <c r="X1683" s="255"/>
      <c r="Y1683" s="89"/>
      <c r="Z1683" s="2060"/>
      <c r="AA1683" s="2060"/>
      <c r="AB1683" s="2060"/>
      <c r="AC1683" s="2060"/>
      <c r="AD1683" s="2060"/>
      <c r="AE1683" s="2060"/>
      <c r="AF1683" s="2060"/>
      <c r="AG1683" s="2060"/>
      <c r="AH1683" s="2060"/>
      <c r="AI1683" s="2060"/>
      <c r="AJ1683" s="2060"/>
      <c r="AK1683" s="2060"/>
      <c r="AL1683" s="2060"/>
      <c r="AM1683" s="2060"/>
      <c r="AN1683" s="2060"/>
      <c r="AO1683" s="2060"/>
      <c r="AP1683" s="2060"/>
      <c r="AQ1683" s="2060"/>
      <c r="AR1683" s="2060"/>
      <c r="AS1683" s="2060"/>
      <c r="AT1683" s="2060"/>
      <c r="AU1683" s="2060"/>
      <c r="AV1683" s="2060"/>
      <c r="AW1683" s="2060"/>
      <c r="AX1683" s="2060"/>
      <c r="AY1683" s="2060"/>
      <c r="AZ1683" s="2060"/>
      <c r="BA1683" s="2060"/>
      <c r="BB1683" s="2060"/>
      <c r="BC1683" s="2060"/>
      <c r="BD1683" s="2060"/>
      <c r="BE1683" s="2060"/>
      <c r="BF1683" s="2060"/>
      <c r="BG1683" s="2060"/>
      <c r="BH1683" s="2060"/>
      <c r="BI1683" s="2060"/>
      <c r="BJ1683" s="2060"/>
      <c r="BK1683" s="2060"/>
      <c r="BL1683" s="2060"/>
      <c r="BM1683" s="2060"/>
      <c r="BN1683" s="2060"/>
      <c r="BO1683" s="2060"/>
      <c r="BP1683" s="2060"/>
      <c r="BQ1683" s="2060"/>
      <c r="BR1683" s="2060"/>
      <c r="BS1683" s="2060"/>
      <c r="BT1683" s="2060"/>
      <c r="BU1683" s="2060"/>
      <c r="BV1683" s="2060"/>
      <c r="BW1683" s="2060"/>
      <c r="BX1683" s="2060"/>
      <c r="BY1683" s="2060"/>
      <c r="BZ1683" s="2060"/>
      <c r="CA1683" s="2060"/>
      <c r="CB1683" s="2060"/>
      <c r="CC1683" s="2060"/>
      <c r="CD1683" s="2060"/>
      <c r="CE1683" s="2060"/>
      <c r="CF1683" s="2060"/>
      <c r="CG1683" s="2060"/>
      <c r="CH1683" s="2060"/>
      <c r="CI1683" s="2060"/>
      <c r="CJ1683" s="2060"/>
      <c r="CK1683" s="2060"/>
      <c r="CL1683" s="2060"/>
      <c r="CM1683" s="2060"/>
      <c r="CN1683" s="2060"/>
      <c r="CO1683" s="2060"/>
      <c r="CP1683" s="2060"/>
      <c r="CQ1683" s="2060"/>
      <c r="CR1683" s="2060"/>
      <c r="CS1683" s="2060"/>
      <c r="CT1683" s="2060"/>
      <c r="CU1683" s="2060"/>
      <c r="CV1683" s="2060"/>
      <c r="CW1683" s="2060"/>
      <c r="CX1683" s="2060"/>
      <c r="CY1683" s="2060"/>
      <c r="CZ1683" s="2060"/>
      <c r="DA1683" s="2060"/>
      <c r="DB1683" s="2060"/>
      <c r="DC1683" s="2060"/>
      <c r="DD1683" s="2060"/>
      <c r="DE1683" s="2060"/>
      <c r="DF1683" s="2060"/>
      <c r="DG1683" s="2060"/>
      <c r="DH1683" s="2060"/>
      <c r="DI1683" s="2060"/>
      <c r="DJ1683" s="2060"/>
      <c r="DK1683" s="2060"/>
      <c r="DL1683" s="2060"/>
      <c r="DM1683" s="2060"/>
      <c r="DN1683" s="2060"/>
      <c r="DO1683" s="2060"/>
      <c r="DP1683" s="2060"/>
      <c r="DQ1683" s="2060"/>
      <c r="DR1683" s="2060"/>
      <c r="DS1683" s="2060"/>
      <c r="DT1683" s="2060"/>
      <c r="DU1683" s="2060"/>
      <c r="DV1683" s="2060"/>
      <c r="DW1683" s="2060"/>
      <c r="DX1683" s="2060"/>
      <c r="DY1683" s="2060"/>
      <c r="DZ1683" s="2060"/>
      <c r="EA1683" s="2060"/>
      <c r="EB1683" s="2060"/>
      <c r="EC1683" s="2060"/>
      <c r="ED1683" s="2060"/>
      <c r="EE1683" s="2060"/>
      <c r="EF1683" s="2060"/>
      <c r="EG1683" s="2060"/>
      <c r="EH1683" s="2060"/>
      <c r="EI1683" s="2060"/>
      <c r="EJ1683" s="2060"/>
      <c r="EK1683" s="2060"/>
      <c r="EL1683" s="2060"/>
      <c r="EM1683" s="2060"/>
      <c r="EN1683" s="2060"/>
      <c r="EO1683" s="2060"/>
      <c r="EP1683" s="2060"/>
      <c r="EQ1683" s="2060"/>
      <c r="ER1683" s="2060"/>
      <c r="ES1683" s="2060"/>
      <c r="ET1683" s="2060"/>
      <c r="EU1683" s="2060"/>
      <c r="EV1683" s="2060"/>
      <c r="EW1683" s="2060"/>
      <c r="EX1683" s="2060"/>
      <c r="EY1683" s="2060"/>
      <c r="EZ1683" s="2060"/>
      <c r="FA1683" s="2060"/>
      <c r="FB1683" s="2060"/>
      <c r="FC1683" s="2060"/>
      <c r="FD1683" s="2060"/>
      <c r="FE1683" s="2060"/>
      <c r="FF1683" s="2060"/>
      <c r="FG1683" s="2060"/>
      <c r="FH1683" s="2060"/>
      <c r="FI1683" s="2060"/>
      <c r="FJ1683" s="2060"/>
      <c r="FK1683" s="2060"/>
      <c r="FL1683" s="2060"/>
      <c r="FM1683" s="2060"/>
      <c r="FN1683" s="2060"/>
      <c r="FO1683" s="2060"/>
      <c r="FP1683" s="2060"/>
      <c r="FQ1683" s="2060"/>
      <c r="FR1683" s="2060"/>
      <c r="FS1683" s="2060"/>
      <c r="FT1683" s="2060"/>
      <c r="FU1683" s="2060"/>
      <c r="FV1683" s="2060"/>
      <c r="FW1683" s="2060"/>
      <c r="FX1683" s="2060"/>
      <c r="FY1683" s="2060"/>
      <c r="FZ1683" s="2060"/>
      <c r="GA1683" s="2060"/>
      <c r="GB1683" s="2060"/>
      <c r="GC1683" s="2060"/>
      <c r="GD1683" s="2060"/>
      <c r="GE1683" s="2060"/>
      <c r="GF1683" s="2060"/>
      <c r="GG1683" s="2060"/>
      <c r="GH1683" s="2060"/>
      <c r="GI1683" s="2060"/>
      <c r="GJ1683" s="2060"/>
      <c r="GK1683" s="2060"/>
      <c r="GL1683" s="2060"/>
      <c r="GM1683" s="2060"/>
      <c r="GN1683" s="2060"/>
      <c r="GO1683" s="2060"/>
      <c r="GP1683" s="2060"/>
      <c r="GQ1683" s="2060"/>
      <c r="GR1683" s="2060"/>
      <c r="GS1683" s="2060"/>
      <c r="GT1683" s="2060"/>
      <c r="GU1683" s="2060"/>
      <c r="GV1683" s="2060"/>
      <c r="GW1683" s="2060"/>
      <c r="GX1683" s="2060"/>
      <c r="GY1683" s="2060"/>
      <c r="GZ1683" s="2060"/>
      <c r="HA1683" s="2060"/>
      <c r="HB1683" s="2060"/>
      <c r="HC1683" s="2060"/>
      <c r="HD1683" s="2060"/>
      <c r="HE1683" s="2060"/>
      <c r="HF1683" s="2060"/>
      <c r="HG1683" s="2060"/>
      <c r="HH1683" s="2060"/>
      <c r="HI1683" s="2060"/>
      <c r="HJ1683" s="2060"/>
      <c r="HK1683" s="2060"/>
      <c r="HL1683" s="2060"/>
      <c r="HM1683" s="2060"/>
      <c r="HN1683" s="2060"/>
      <c r="HO1683" s="2060"/>
      <c r="HP1683" s="2060"/>
      <c r="HQ1683" s="2060"/>
      <c r="HR1683" s="2060"/>
      <c r="HS1683" s="2060"/>
      <c r="HT1683" s="2060"/>
      <c r="HU1683" s="2060"/>
      <c r="HV1683" s="2060"/>
      <c r="HW1683" s="2060"/>
      <c r="HX1683" s="2060"/>
      <c r="HY1683" s="2060"/>
      <c r="HZ1683" s="2060"/>
      <c r="IA1683" s="2060"/>
      <c r="IB1683" s="2060"/>
      <c r="IC1683" s="2060"/>
      <c r="ID1683" s="2060"/>
      <c r="IE1683" s="2060"/>
      <c r="IF1683" s="2060"/>
      <c r="IG1683" s="2060"/>
      <c r="IH1683" s="2060"/>
      <c r="II1683" s="2060"/>
      <c r="IJ1683" s="2060"/>
      <c r="IK1683" s="2060"/>
      <c r="IL1683" s="2060"/>
      <c r="IM1683" s="2060"/>
      <c r="IN1683" s="2060"/>
      <c r="IO1683" s="2060"/>
      <c r="IP1683" s="2060"/>
      <c r="IQ1683" s="2060"/>
      <c r="IR1683" s="2060"/>
      <c r="IS1683" s="2060"/>
      <c r="IT1683" s="2060"/>
      <c r="IU1683" s="2060"/>
      <c r="IV1683" s="2060"/>
      <c r="IW1683" s="2060"/>
      <c r="IX1683" s="2060"/>
      <c r="IY1683" s="2060"/>
      <c r="IZ1683" s="2060"/>
      <c r="JA1683" s="2060"/>
      <c r="JB1683" s="2060"/>
      <c r="JC1683" s="2060"/>
      <c r="JD1683" s="2060"/>
      <c r="JE1683" s="2060"/>
      <c r="JF1683" s="2060"/>
      <c r="JG1683" s="2060"/>
      <c r="JH1683" s="2060"/>
      <c r="JI1683" s="2060"/>
      <c r="JJ1683" s="2060"/>
      <c r="JK1683" s="2060"/>
      <c r="JL1683" s="2060"/>
      <c r="JM1683" s="2060"/>
      <c r="JN1683" s="2060"/>
      <c r="JO1683" s="2060"/>
      <c r="JP1683" s="2060"/>
      <c r="JQ1683" s="2060"/>
      <c r="JR1683" s="2060"/>
      <c r="JS1683" s="2060"/>
      <c r="JT1683" s="2060"/>
      <c r="JU1683" s="2060"/>
      <c r="JV1683" s="2060"/>
      <c r="JW1683" s="2060"/>
      <c r="JX1683" s="2060"/>
      <c r="JY1683" s="2060"/>
      <c r="JZ1683" s="2060"/>
      <c r="KA1683" s="2060"/>
      <c r="KB1683" s="2060"/>
      <c r="KC1683" s="2060"/>
      <c r="KD1683" s="2060"/>
      <c r="KE1683" s="2060"/>
      <c r="KF1683" s="2060"/>
      <c r="KG1683" s="2060"/>
      <c r="KH1683" s="2060"/>
      <c r="KI1683" s="2060"/>
      <c r="KJ1683" s="2060"/>
      <c r="KK1683" s="2060"/>
      <c r="KL1683" s="2060"/>
      <c r="KM1683" s="2060"/>
      <c r="KN1683" s="2060"/>
      <c r="KO1683" s="2060"/>
      <c r="KP1683" s="2060"/>
      <c r="KQ1683" s="2060"/>
      <c r="KR1683" s="2060"/>
      <c r="KS1683" s="2060"/>
      <c r="KT1683" s="2060"/>
      <c r="KU1683" s="2060"/>
      <c r="KV1683" s="2060"/>
      <c r="KW1683" s="2060"/>
      <c r="KX1683" s="2060"/>
      <c r="KY1683" s="2060"/>
      <c r="KZ1683" s="2060"/>
      <c r="LA1683" s="2060"/>
      <c r="LB1683" s="2060"/>
      <c r="LC1683" s="2060"/>
      <c r="LD1683" s="2060"/>
      <c r="LE1683" s="2060"/>
      <c r="LF1683" s="2060"/>
      <c r="LG1683" s="2060"/>
      <c r="LH1683" s="2060"/>
    </row>
    <row r="1684" spans="1:320" s="449" customFormat="1" ht="13.9">
      <c r="A1684" s="269" t="str">
        <f t="shared" si="447"/>
        <v>n</v>
      </c>
      <c r="B1684" s="2060"/>
      <c r="C1684" s="2060"/>
      <c r="D1684" s="2060"/>
      <c r="E1684" s="1661">
        <v>10</v>
      </c>
      <c r="F1684" s="1353" t="str">
        <f>F$138</f>
        <v>--</v>
      </c>
      <c r="G1684" s="128">
        <f>G$138</f>
        <v>0</v>
      </c>
      <c r="H1684" s="128" t="str">
        <f>H$138</f>
        <v>--</v>
      </c>
      <c r="I1684" s="89"/>
      <c r="J1684" s="2197" t="str">
        <f t="shared" ref="J1684:V1684" si="456">IFERROR(IF($F$315="Total debt",J1626,IF($F$315="Net debt",J1626-J1655,MAX(J1626-J1655,0))),"--")</f>
        <v/>
      </c>
      <c r="K1684" s="2197" t="str">
        <f t="shared" si="456"/>
        <v/>
      </c>
      <c r="L1684" s="2197" t="str">
        <f t="shared" si="445"/>
        <v/>
      </c>
      <c r="M1684" s="2197" t="str">
        <f t="shared" si="445"/>
        <v/>
      </c>
      <c r="N1684" s="2197" t="str">
        <f t="shared" si="445"/>
        <v/>
      </c>
      <c r="O1684" s="2197" t="str">
        <f t="shared" si="456"/>
        <v/>
      </c>
      <c r="P1684" s="2197" t="str">
        <f t="shared" si="456"/>
        <v/>
      </c>
      <c r="Q1684" s="2197" t="str">
        <f t="shared" si="456"/>
        <v/>
      </c>
      <c r="R1684" s="2197" t="str">
        <f t="shared" si="456"/>
        <v/>
      </c>
      <c r="S1684" s="2197" t="str">
        <f t="shared" si="456"/>
        <v/>
      </c>
      <c r="T1684" s="2197" t="str">
        <f t="shared" si="456"/>
        <v/>
      </c>
      <c r="U1684" s="2197" t="str">
        <f t="shared" si="456"/>
        <v/>
      </c>
      <c r="V1684" s="2197" t="str">
        <f t="shared" si="456"/>
        <v/>
      </c>
      <c r="W1684" s="1479"/>
      <c r="X1684" s="255"/>
      <c r="Y1684" s="89"/>
      <c r="Z1684" s="2060"/>
      <c r="AA1684" s="2060"/>
      <c r="AB1684" s="2060"/>
      <c r="AC1684" s="2060"/>
      <c r="AD1684" s="2060"/>
      <c r="AE1684" s="2060"/>
      <c r="AF1684" s="2060"/>
      <c r="AG1684" s="2060"/>
      <c r="AH1684" s="2060"/>
      <c r="AI1684" s="2060"/>
      <c r="AJ1684" s="2060"/>
      <c r="AK1684" s="2060"/>
      <c r="AL1684" s="2060"/>
      <c r="AM1684" s="2060"/>
      <c r="AN1684" s="2060"/>
      <c r="AO1684" s="2060"/>
      <c r="AP1684" s="2060"/>
      <c r="AQ1684" s="2060"/>
      <c r="AR1684" s="2060"/>
      <c r="AS1684" s="2060"/>
      <c r="AT1684" s="2060"/>
      <c r="AU1684" s="2060"/>
      <c r="AV1684" s="2060"/>
      <c r="AW1684" s="2060"/>
      <c r="AX1684" s="2060"/>
      <c r="AY1684" s="2060"/>
      <c r="AZ1684" s="2060"/>
      <c r="BA1684" s="2060"/>
      <c r="BB1684" s="2060"/>
      <c r="BC1684" s="2060"/>
      <c r="BD1684" s="2060"/>
      <c r="BE1684" s="2060"/>
      <c r="BF1684" s="2060"/>
      <c r="BG1684" s="2060"/>
      <c r="BH1684" s="2060"/>
      <c r="BI1684" s="2060"/>
      <c r="BJ1684" s="2060"/>
      <c r="BK1684" s="2060"/>
      <c r="BL1684" s="2060"/>
      <c r="BM1684" s="2060"/>
      <c r="BN1684" s="2060"/>
      <c r="BO1684" s="2060"/>
      <c r="BP1684" s="2060"/>
      <c r="BQ1684" s="2060"/>
      <c r="BR1684" s="2060"/>
      <c r="BS1684" s="2060"/>
      <c r="BT1684" s="2060"/>
      <c r="BU1684" s="2060"/>
      <c r="BV1684" s="2060"/>
      <c r="BW1684" s="2060"/>
      <c r="BX1684" s="2060"/>
      <c r="BY1684" s="2060"/>
      <c r="BZ1684" s="2060"/>
      <c r="CA1684" s="2060"/>
      <c r="CB1684" s="2060"/>
      <c r="CC1684" s="2060"/>
      <c r="CD1684" s="2060"/>
      <c r="CE1684" s="2060"/>
      <c r="CF1684" s="2060"/>
      <c r="CG1684" s="2060"/>
      <c r="CH1684" s="2060"/>
      <c r="CI1684" s="2060"/>
      <c r="CJ1684" s="2060"/>
      <c r="CK1684" s="2060"/>
      <c r="CL1684" s="2060"/>
      <c r="CM1684" s="2060"/>
      <c r="CN1684" s="2060"/>
      <c r="CO1684" s="2060"/>
      <c r="CP1684" s="2060"/>
      <c r="CQ1684" s="2060"/>
      <c r="CR1684" s="2060"/>
      <c r="CS1684" s="2060"/>
      <c r="CT1684" s="2060"/>
      <c r="CU1684" s="2060"/>
      <c r="CV1684" s="2060"/>
      <c r="CW1684" s="2060"/>
      <c r="CX1684" s="2060"/>
      <c r="CY1684" s="2060"/>
      <c r="CZ1684" s="2060"/>
      <c r="DA1684" s="2060"/>
      <c r="DB1684" s="2060"/>
      <c r="DC1684" s="2060"/>
      <c r="DD1684" s="2060"/>
      <c r="DE1684" s="2060"/>
      <c r="DF1684" s="2060"/>
      <c r="DG1684" s="2060"/>
      <c r="DH1684" s="2060"/>
      <c r="DI1684" s="2060"/>
      <c r="DJ1684" s="2060"/>
      <c r="DK1684" s="2060"/>
      <c r="DL1684" s="2060"/>
      <c r="DM1684" s="2060"/>
      <c r="DN1684" s="2060"/>
      <c r="DO1684" s="2060"/>
      <c r="DP1684" s="2060"/>
      <c r="DQ1684" s="2060"/>
      <c r="DR1684" s="2060"/>
      <c r="DS1684" s="2060"/>
      <c r="DT1684" s="2060"/>
      <c r="DU1684" s="2060"/>
      <c r="DV1684" s="2060"/>
      <c r="DW1684" s="2060"/>
      <c r="DX1684" s="2060"/>
      <c r="DY1684" s="2060"/>
      <c r="DZ1684" s="2060"/>
      <c r="EA1684" s="2060"/>
      <c r="EB1684" s="2060"/>
      <c r="EC1684" s="2060"/>
      <c r="ED1684" s="2060"/>
      <c r="EE1684" s="2060"/>
      <c r="EF1684" s="2060"/>
      <c r="EG1684" s="2060"/>
      <c r="EH1684" s="2060"/>
      <c r="EI1684" s="2060"/>
      <c r="EJ1684" s="2060"/>
      <c r="EK1684" s="2060"/>
      <c r="EL1684" s="2060"/>
      <c r="EM1684" s="2060"/>
      <c r="EN1684" s="2060"/>
      <c r="EO1684" s="2060"/>
      <c r="EP1684" s="2060"/>
      <c r="EQ1684" s="2060"/>
      <c r="ER1684" s="2060"/>
      <c r="ES1684" s="2060"/>
      <c r="ET1684" s="2060"/>
      <c r="EU1684" s="2060"/>
      <c r="EV1684" s="2060"/>
      <c r="EW1684" s="2060"/>
      <c r="EX1684" s="2060"/>
      <c r="EY1684" s="2060"/>
      <c r="EZ1684" s="2060"/>
      <c r="FA1684" s="2060"/>
      <c r="FB1684" s="2060"/>
      <c r="FC1684" s="2060"/>
      <c r="FD1684" s="2060"/>
      <c r="FE1684" s="2060"/>
      <c r="FF1684" s="2060"/>
      <c r="FG1684" s="2060"/>
      <c r="FH1684" s="2060"/>
      <c r="FI1684" s="2060"/>
      <c r="FJ1684" s="2060"/>
      <c r="FK1684" s="2060"/>
      <c r="FL1684" s="2060"/>
      <c r="FM1684" s="2060"/>
      <c r="FN1684" s="2060"/>
      <c r="FO1684" s="2060"/>
      <c r="FP1684" s="2060"/>
      <c r="FQ1684" s="2060"/>
      <c r="FR1684" s="2060"/>
      <c r="FS1684" s="2060"/>
      <c r="FT1684" s="2060"/>
      <c r="FU1684" s="2060"/>
      <c r="FV1684" s="2060"/>
      <c r="FW1684" s="2060"/>
      <c r="FX1684" s="2060"/>
      <c r="FY1684" s="2060"/>
      <c r="FZ1684" s="2060"/>
      <c r="GA1684" s="2060"/>
      <c r="GB1684" s="2060"/>
      <c r="GC1684" s="2060"/>
      <c r="GD1684" s="2060"/>
      <c r="GE1684" s="2060"/>
      <c r="GF1684" s="2060"/>
      <c r="GG1684" s="2060"/>
      <c r="GH1684" s="2060"/>
      <c r="GI1684" s="2060"/>
      <c r="GJ1684" s="2060"/>
      <c r="GK1684" s="2060"/>
      <c r="GL1684" s="2060"/>
      <c r="GM1684" s="2060"/>
      <c r="GN1684" s="2060"/>
      <c r="GO1684" s="2060"/>
      <c r="GP1684" s="2060"/>
      <c r="GQ1684" s="2060"/>
      <c r="GR1684" s="2060"/>
      <c r="GS1684" s="2060"/>
      <c r="GT1684" s="2060"/>
      <c r="GU1684" s="2060"/>
      <c r="GV1684" s="2060"/>
      <c r="GW1684" s="2060"/>
      <c r="GX1684" s="2060"/>
      <c r="GY1684" s="2060"/>
      <c r="GZ1684" s="2060"/>
      <c r="HA1684" s="2060"/>
      <c r="HB1684" s="2060"/>
      <c r="HC1684" s="2060"/>
      <c r="HD1684" s="2060"/>
      <c r="HE1684" s="2060"/>
      <c r="HF1684" s="2060"/>
      <c r="HG1684" s="2060"/>
      <c r="HH1684" s="2060"/>
      <c r="HI1684" s="2060"/>
      <c r="HJ1684" s="2060"/>
      <c r="HK1684" s="2060"/>
      <c r="HL1684" s="2060"/>
      <c r="HM1684" s="2060"/>
      <c r="HN1684" s="2060"/>
      <c r="HO1684" s="2060"/>
      <c r="HP1684" s="2060"/>
      <c r="HQ1684" s="2060"/>
      <c r="HR1684" s="2060"/>
      <c r="HS1684" s="2060"/>
      <c r="HT1684" s="2060"/>
      <c r="HU1684" s="2060"/>
      <c r="HV1684" s="2060"/>
      <c r="HW1684" s="2060"/>
      <c r="HX1684" s="2060"/>
      <c r="HY1684" s="2060"/>
      <c r="HZ1684" s="2060"/>
      <c r="IA1684" s="2060"/>
      <c r="IB1684" s="2060"/>
      <c r="IC1684" s="2060"/>
      <c r="ID1684" s="2060"/>
      <c r="IE1684" s="2060"/>
      <c r="IF1684" s="2060"/>
      <c r="IG1684" s="2060"/>
      <c r="IH1684" s="2060"/>
      <c r="II1684" s="2060"/>
      <c r="IJ1684" s="2060"/>
      <c r="IK1684" s="2060"/>
      <c r="IL1684" s="2060"/>
      <c r="IM1684" s="2060"/>
      <c r="IN1684" s="2060"/>
      <c r="IO1684" s="2060"/>
      <c r="IP1684" s="2060"/>
      <c r="IQ1684" s="2060"/>
      <c r="IR1684" s="2060"/>
      <c r="IS1684" s="2060"/>
      <c r="IT1684" s="2060"/>
      <c r="IU1684" s="2060"/>
      <c r="IV1684" s="2060"/>
      <c r="IW1684" s="2060"/>
      <c r="IX1684" s="2060"/>
      <c r="IY1684" s="2060"/>
      <c r="IZ1684" s="2060"/>
      <c r="JA1684" s="2060"/>
      <c r="JB1684" s="2060"/>
      <c r="JC1684" s="2060"/>
      <c r="JD1684" s="2060"/>
      <c r="JE1684" s="2060"/>
      <c r="JF1684" s="2060"/>
      <c r="JG1684" s="2060"/>
      <c r="JH1684" s="2060"/>
      <c r="JI1684" s="2060"/>
      <c r="JJ1684" s="2060"/>
      <c r="JK1684" s="2060"/>
      <c r="JL1684" s="2060"/>
      <c r="JM1684" s="2060"/>
      <c r="JN1684" s="2060"/>
      <c r="JO1684" s="2060"/>
      <c r="JP1684" s="2060"/>
      <c r="JQ1684" s="2060"/>
      <c r="JR1684" s="2060"/>
      <c r="JS1684" s="2060"/>
      <c r="JT1684" s="2060"/>
      <c r="JU1684" s="2060"/>
      <c r="JV1684" s="2060"/>
      <c r="JW1684" s="2060"/>
      <c r="JX1684" s="2060"/>
      <c r="JY1684" s="2060"/>
      <c r="JZ1684" s="2060"/>
      <c r="KA1684" s="2060"/>
      <c r="KB1684" s="2060"/>
      <c r="KC1684" s="2060"/>
      <c r="KD1684" s="2060"/>
      <c r="KE1684" s="2060"/>
      <c r="KF1684" s="2060"/>
      <c r="KG1684" s="2060"/>
      <c r="KH1684" s="2060"/>
      <c r="KI1684" s="2060"/>
      <c r="KJ1684" s="2060"/>
      <c r="KK1684" s="2060"/>
      <c r="KL1684" s="2060"/>
      <c r="KM1684" s="2060"/>
      <c r="KN1684" s="2060"/>
      <c r="KO1684" s="2060"/>
      <c r="KP1684" s="2060"/>
      <c r="KQ1684" s="2060"/>
      <c r="KR1684" s="2060"/>
      <c r="KS1684" s="2060"/>
      <c r="KT1684" s="2060"/>
      <c r="KU1684" s="2060"/>
      <c r="KV1684" s="2060"/>
      <c r="KW1684" s="2060"/>
      <c r="KX1684" s="2060"/>
      <c r="KY1684" s="2060"/>
      <c r="KZ1684" s="2060"/>
      <c r="LA1684" s="2060"/>
      <c r="LB1684" s="2060"/>
      <c r="LC1684" s="2060"/>
      <c r="LD1684" s="2060"/>
      <c r="LE1684" s="2060"/>
      <c r="LF1684" s="2060"/>
      <c r="LG1684" s="2060"/>
      <c r="LH1684" s="2060"/>
    </row>
    <row r="1685" spans="1:320" s="449" customFormat="1" ht="13.9">
      <c r="A1685" s="269" t="str">
        <f t="shared" si="447"/>
        <v>n</v>
      </c>
      <c r="B1685" s="2060"/>
      <c r="C1685" s="2060"/>
      <c r="D1685" s="2060"/>
      <c r="E1685" s="1661">
        <v>11</v>
      </c>
      <c r="F1685" s="1353" t="str">
        <f>F$139</f>
        <v>--</v>
      </c>
      <c r="G1685" s="128">
        <f>G$139</f>
        <v>0</v>
      </c>
      <c r="H1685" s="128" t="str">
        <f>H$139</f>
        <v>--</v>
      </c>
      <c r="I1685" s="89"/>
      <c r="J1685" s="2197" t="str">
        <f t="shared" ref="J1685:V1685" si="457">IFERROR(IF($F$315="Total debt",J1627,IF($F$315="Net debt",J1627-J1656,MAX(J1627-J1656,0))),"--")</f>
        <v/>
      </c>
      <c r="K1685" s="2197" t="str">
        <f t="shared" si="457"/>
        <v/>
      </c>
      <c r="L1685" s="2197" t="str">
        <f t="shared" si="445"/>
        <v/>
      </c>
      <c r="M1685" s="2197" t="str">
        <f t="shared" si="445"/>
        <v/>
      </c>
      <c r="N1685" s="2197" t="str">
        <f t="shared" si="445"/>
        <v/>
      </c>
      <c r="O1685" s="2197" t="str">
        <f t="shared" si="457"/>
        <v/>
      </c>
      <c r="P1685" s="2197" t="str">
        <f t="shared" si="457"/>
        <v/>
      </c>
      <c r="Q1685" s="2197" t="str">
        <f t="shared" si="457"/>
        <v/>
      </c>
      <c r="R1685" s="2197" t="str">
        <f t="shared" si="457"/>
        <v/>
      </c>
      <c r="S1685" s="2197" t="str">
        <f t="shared" si="457"/>
        <v/>
      </c>
      <c r="T1685" s="2197" t="str">
        <f t="shared" si="457"/>
        <v/>
      </c>
      <c r="U1685" s="2197" t="str">
        <f t="shared" si="457"/>
        <v/>
      </c>
      <c r="V1685" s="2197" t="str">
        <f t="shared" si="457"/>
        <v/>
      </c>
      <c r="W1685" s="1479"/>
      <c r="X1685" s="255"/>
      <c r="Y1685" s="89"/>
      <c r="Z1685" s="2060"/>
      <c r="AA1685" s="2060"/>
      <c r="AB1685" s="2060"/>
      <c r="AC1685" s="2060"/>
      <c r="AD1685" s="2060"/>
      <c r="AE1685" s="2060"/>
      <c r="AF1685" s="2060"/>
      <c r="AG1685" s="2060"/>
      <c r="AH1685" s="2060"/>
      <c r="AI1685" s="2060"/>
      <c r="AJ1685" s="2060"/>
      <c r="AK1685" s="2060"/>
      <c r="AL1685" s="2060"/>
      <c r="AM1685" s="2060"/>
      <c r="AN1685" s="2060"/>
      <c r="AO1685" s="2060"/>
      <c r="AP1685" s="2060"/>
      <c r="AQ1685" s="2060"/>
      <c r="AR1685" s="2060"/>
      <c r="AS1685" s="2060"/>
      <c r="AT1685" s="2060"/>
      <c r="AU1685" s="2060"/>
      <c r="AV1685" s="2060"/>
      <c r="AW1685" s="2060"/>
      <c r="AX1685" s="2060"/>
      <c r="AY1685" s="2060"/>
      <c r="AZ1685" s="2060"/>
      <c r="BA1685" s="2060"/>
      <c r="BB1685" s="2060"/>
      <c r="BC1685" s="2060"/>
      <c r="BD1685" s="2060"/>
      <c r="BE1685" s="2060"/>
      <c r="BF1685" s="2060"/>
      <c r="BG1685" s="2060"/>
      <c r="BH1685" s="2060"/>
      <c r="BI1685" s="2060"/>
      <c r="BJ1685" s="2060"/>
      <c r="BK1685" s="2060"/>
      <c r="BL1685" s="2060"/>
      <c r="BM1685" s="2060"/>
      <c r="BN1685" s="2060"/>
      <c r="BO1685" s="2060"/>
      <c r="BP1685" s="2060"/>
      <c r="BQ1685" s="2060"/>
      <c r="BR1685" s="2060"/>
      <c r="BS1685" s="2060"/>
      <c r="BT1685" s="2060"/>
      <c r="BU1685" s="2060"/>
      <c r="BV1685" s="2060"/>
      <c r="BW1685" s="2060"/>
      <c r="BX1685" s="2060"/>
      <c r="BY1685" s="2060"/>
      <c r="BZ1685" s="2060"/>
      <c r="CA1685" s="2060"/>
      <c r="CB1685" s="2060"/>
      <c r="CC1685" s="2060"/>
      <c r="CD1685" s="2060"/>
      <c r="CE1685" s="2060"/>
      <c r="CF1685" s="2060"/>
      <c r="CG1685" s="2060"/>
      <c r="CH1685" s="2060"/>
      <c r="CI1685" s="2060"/>
      <c r="CJ1685" s="2060"/>
      <c r="CK1685" s="2060"/>
      <c r="CL1685" s="2060"/>
      <c r="CM1685" s="2060"/>
      <c r="CN1685" s="2060"/>
      <c r="CO1685" s="2060"/>
      <c r="CP1685" s="2060"/>
      <c r="CQ1685" s="2060"/>
      <c r="CR1685" s="2060"/>
      <c r="CS1685" s="2060"/>
      <c r="CT1685" s="2060"/>
      <c r="CU1685" s="2060"/>
      <c r="CV1685" s="2060"/>
      <c r="CW1685" s="2060"/>
      <c r="CX1685" s="2060"/>
      <c r="CY1685" s="2060"/>
      <c r="CZ1685" s="2060"/>
      <c r="DA1685" s="2060"/>
      <c r="DB1685" s="2060"/>
      <c r="DC1685" s="2060"/>
      <c r="DD1685" s="2060"/>
      <c r="DE1685" s="2060"/>
      <c r="DF1685" s="2060"/>
      <c r="DG1685" s="2060"/>
      <c r="DH1685" s="2060"/>
      <c r="DI1685" s="2060"/>
      <c r="DJ1685" s="2060"/>
      <c r="DK1685" s="2060"/>
      <c r="DL1685" s="2060"/>
      <c r="DM1685" s="2060"/>
      <c r="DN1685" s="2060"/>
      <c r="DO1685" s="2060"/>
      <c r="DP1685" s="2060"/>
      <c r="DQ1685" s="2060"/>
      <c r="DR1685" s="2060"/>
      <c r="DS1685" s="2060"/>
      <c r="DT1685" s="2060"/>
      <c r="DU1685" s="2060"/>
      <c r="DV1685" s="2060"/>
      <c r="DW1685" s="2060"/>
      <c r="DX1685" s="2060"/>
      <c r="DY1685" s="2060"/>
      <c r="DZ1685" s="2060"/>
      <c r="EA1685" s="2060"/>
      <c r="EB1685" s="2060"/>
      <c r="EC1685" s="2060"/>
      <c r="ED1685" s="2060"/>
      <c r="EE1685" s="2060"/>
      <c r="EF1685" s="2060"/>
      <c r="EG1685" s="2060"/>
      <c r="EH1685" s="2060"/>
      <c r="EI1685" s="2060"/>
      <c r="EJ1685" s="2060"/>
      <c r="EK1685" s="2060"/>
      <c r="EL1685" s="2060"/>
      <c r="EM1685" s="2060"/>
      <c r="EN1685" s="2060"/>
      <c r="EO1685" s="2060"/>
      <c r="EP1685" s="2060"/>
      <c r="EQ1685" s="2060"/>
      <c r="ER1685" s="2060"/>
      <c r="ES1685" s="2060"/>
      <c r="ET1685" s="2060"/>
      <c r="EU1685" s="2060"/>
      <c r="EV1685" s="2060"/>
      <c r="EW1685" s="2060"/>
      <c r="EX1685" s="2060"/>
      <c r="EY1685" s="2060"/>
      <c r="EZ1685" s="2060"/>
      <c r="FA1685" s="2060"/>
      <c r="FB1685" s="2060"/>
      <c r="FC1685" s="2060"/>
      <c r="FD1685" s="2060"/>
      <c r="FE1685" s="2060"/>
      <c r="FF1685" s="2060"/>
      <c r="FG1685" s="2060"/>
      <c r="FH1685" s="2060"/>
      <c r="FI1685" s="2060"/>
      <c r="FJ1685" s="2060"/>
      <c r="FK1685" s="2060"/>
      <c r="FL1685" s="2060"/>
      <c r="FM1685" s="2060"/>
      <c r="FN1685" s="2060"/>
      <c r="FO1685" s="2060"/>
      <c r="FP1685" s="2060"/>
      <c r="FQ1685" s="2060"/>
      <c r="FR1685" s="2060"/>
      <c r="FS1685" s="2060"/>
      <c r="FT1685" s="2060"/>
      <c r="FU1685" s="2060"/>
      <c r="FV1685" s="2060"/>
      <c r="FW1685" s="2060"/>
      <c r="FX1685" s="2060"/>
      <c r="FY1685" s="2060"/>
      <c r="FZ1685" s="2060"/>
      <c r="GA1685" s="2060"/>
      <c r="GB1685" s="2060"/>
      <c r="GC1685" s="2060"/>
      <c r="GD1685" s="2060"/>
      <c r="GE1685" s="2060"/>
      <c r="GF1685" s="2060"/>
      <c r="GG1685" s="2060"/>
      <c r="GH1685" s="2060"/>
      <c r="GI1685" s="2060"/>
      <c r="GJ1685" s="2060"/>
      <c r="GK1685" s="2060"/>
      <c r="GL1685" s="2060"/>
      <c r="GM1685" s="2060"/>
      <c r="GN1685" s="2060"/>
      <c r="GO1685" s="2060"/>
      <c r="GP1685" s="2060"/>
      <c r="GQ1685" s="2060"/>
      <c r="GR1685" s="2060"/>
      <c r="GS1685" s="2060"/>
      <c r="GT1685" s="2060"/>
      <c r="GU1685" s="2060"/>
      <c r="GV1685" s="2060"/>
      <c r="GW1685" s="2060"/>
      <c r="GX1685" s="2060"/>
      <c r="GY1685" s="2060"/>
      <c r="GZ1685" s="2060"/>
      <c r="HA1685" s="2060"/>
      <c r="HB1685" s="2060"/>
      <c r="HC1685" s="2060"/>
      <c r="HD1685" s="2060"/>
      <c r="HE1685" s="2060"/>
      <c r="HF1685" s="2060"/>
      <c r="HG1685" s="2060"/>
      <c r="HH1685" s="2060"/>
      <c r="HI1685" s="2060"/>
      <c r="HJ1685" s="2060"/>
      <c r="HK1685" s="2060"/>
      <c r="HL1685" s="2060"/>
      <c r="HM1685" s="2060"/>
      <c r="HN1685" s="2060"/>
      <c r="HO1685" s="2060"/>
      <c r="HP1685" s="2060"/>
      <c r="HQ1685" s="2060"/>
      <c r="HR1685" s="2060"/>
      <c r="HS1685" s="2060"/>
      <c r="HT1685" s="2060"/>
      <c r="HU1685" s="2060"/>
      <c r="HV1685" s="2060"/>
      <c r="HW1685" s="2060"/>
      <c r="HX1685" s="2060"/>
      <c r="HY1685" s="2060"/>
      <c r="HZ1685" s="2060"/>
      <c r="IA1685" s="2060"/>
      <c r="IB1685" s="2060"/>
      <c r="IC1685" s="2060"/>
      <c r="ID1685" s="2060"/>
      <c r="IE1685" s="2060"/>
      <c r="IF1685" s="2060"/>
      <c r="IG1685" s="2060"/>
      <c r="IH1685" s="2060"/>
      <c r="II1685" s="2060"/>
      <c r="IJ1685" s="2060"/>
      <c r="IK1685" s="2060"/>
      <c r="IL1685" s="2060"/>
      <c r="IM1685" s="2060"/>
      <c r="IN1685" s="2060"/>
      <c r="IO1685" s="2060"/>
      <c r="IP1685" s="2060"/>
      <c r="IQ1685" s="2060"/>
      <c r="IR1685" s="2060"/>
      <c r="IS1685" s="2060"/>
      <c r="IT1685" s="2060"/>
      <c r="IU1685" s="2060"/>
      <c r="IV1685" s="2060"/>
      <c r="IW1685" s="2060"/>
      <c r="IX1685" s="2060"/>
      <c r="IY1685" s="2060"/>
      <c r="IZ1685" s="2060"/>
      <c r="JA1685" s="2060"/>
      <c r="JB1685" s="2060"/>
      <c r="JC1685" s="2060"/>
      <c r="JD1685" s="2060"/>
      <c r="JE1685" s="2060"/>
      <c r="JF1685" s="2060"/>
      <c r="JG1685" s="2060"/>
      <c r="JH1685" s="2060"/>
      <c r="JI1685" s="2060"/>
      <c r="JJ1685" s="2060"/>
      <c r="JK1685" s="2060"/>
      <c r="JL1685" s="2060"/>
      <c r="JM1685" s="2060"/>
      <c r="JN1685" s="2060"/>
      <c r="JO1685" s="2060"/>
      <c r="JP1685" s="2060"/>
      <c r="JQ1685" s="2060"/>
      <c r="JR1685" s="2060"/>
      <c r="JS1685" s="2060"/>
      <c r="JT1685" s="2060"/>
      <c r="JU1685" s="2060"/>
      <c r="JV1685" s="2060"/>
      <c r="JW1685" s="2060"/>
      <c r="JX1685" s="2060"/>
      <c r="JY1685" s="2060"/>
      <c r="JZ1685" s="2060"/>
      <c r="KA1685" s="2060"/>
      <c r="KB1685" s="2060"/>
      <c r="KC1685" s="2060"/>
      <c r="KD1685" s="2060"/>
      <c r="KE1685" s="2060"/>
      <c r="KF1685" s="2060"/>
      <c r="KG1685" s="2060"/>
      <c r="KH1685" s="2060"/>
      <c r="KI1685" s="2060"/>
      <c r="KJ1685" s="2060"/>
      <c r="KK1685" s="2060"/>
      <c r="KL1685" s="2060"/>
      <c r="KM1685" s="2060"/>
      <c r="KN1685" s="2060"/>
      <c r="KO1685" s="2060"/>
      <c r="KP1685" s="2060"/>
      <c r="KQ1685" s="2060"/>
      <c r="KR1685" s="2060"/>
      <c r="KS1685" s="2060"/>
      <c r="KT1685" s="2060"/>
      <c r="KU1685" s="2060"/>
      <c r="KV1685" s="2060"/>
      <c r="KW1685" s="2060"/>
      <c r="KX1685" s="2060"/>
      <c r="KY1685" s="2060"/>
      <c r="KZ1685" s="2060"/>
      <c r="LA1685" s="2060"/>
      <c r="LB1685" s="2060"/>
      <c r="LC1685" s="2060"/>
      <c r="LD1685" s="2060"/>
      <c r="LE1685" s="2060"/>
      <c r="LF1685" s="2060"/>
      <c r="LG1685" s="2060"/>
      <c r="LH1685" s="2060"/>
    </row>
    <row r="1686" spans="1:320" s="449" customFormat="1" ht="13.9">
      <c r="A1686" s="269" t="str">
        <f t="shared" si="447"/>
        <v>n</v>
      </c>
      <c r="B1686" s="2060"/>
      <c r="C1686" s="2060"/>
      <c r="D1686" s="2060"/>
      <c r="E1686" s="1661">
        <v>12</v>
      </c>
      <c r="F1686" s="1353" t="str">
        <f>F$140</f>
        <v>--</v>
      </c>
      <c r="G1686" s="128">
        <f>G$140</f>
        <v>0</v>
      </c>
      <c r="H1686" s="128" t="str">
        <f>H$140</f>
        <v>--</v>
      </c>
      <c r="I1686" s="255"/>
      <c r="J1686" s="2197" t="str">
        <f t="shared" ref="J1686:V1686" si="458">IFERROR(IF($F$315="Total debt",J1628,IF($F$315="Net debt",J1628-J1657,MAX(J1628-J1657,0))),"--")</f>
        <v/>
      </c>
      <c r="K1686" s="2197" t="str">
        <f t="shared" si="458"/>
        <v/>
      </c>
      <c r="L1686" s="2197" t="str">
        <f t="shared" si="445"/>
        <v/>
      </c>
      <c r="M1686" s="2197" t="str">
        <f t="shared" si="445"/>
        <v/>
      </c>
      <c r="N1686" s="2197" t="str">
        <f t="shared" si="445"/>
        <v/>
      </c>
      <c r="O1686" s="2197" t="str">
        <f t="shared" si="458"/>
        <v/>
      </c>
      <c r="P1686" s="2197" t="str">
        <f t="shared" si="458"/>
        <v/>
      </c>
      <c r="Q1686" s="2197" t="str">
        <f t="shared" si="458"/>
        <v/>
      </c>
      <c r="R1686" s="2197" t="str">
        <f t="shared" si="458"/>
        <v/>
      </c>
      <c r="S1686" s="2197" t="str">
        <f t="shared" si="458"/>
        <v/>
      </c>
      <c r="T1686" s="2197" t="str">
        <f t="shared" si="458"/>
        <v/>
      </c>
      <c r="U1686" s="2197" t="str">
        <f t="shared" si="458"/>
        <v/>
      </c>
      <c r="V1686" s="2197" t="str">
        <f t="shared" si="458"/>
        <v/>
      </c>
      <c r="W1686" s="1479"/>
      <c r="X1686" s="255"/>
      <c r="Y1686" s="255"/>
      <c r="Z1686" s="2060"/>
      <c r="AA1686" s="2060"/>
      <c r="AB1686" s="2060"/>
      <c r="AC1686" s="2060"/>
      <c r="AD1686" s="2060"/>
      <c r="AE1686" s="2060"/>
      <c r="AF1686" s="2060"/>
      <c r="AG1686" s="2060"/>
      <c r="AH1686" s="2060"/>
      <c r="AI1686" s="2060"/>
      <c r="AJ1686" s="2060"/>
      <c r="AK1686" s="2060"/>
      <c r="AL1686" s="2060"/>
      <c r="AM1686" s="2060"/>
      <c r="AN1686" s="2060"/>
      <c r="AO1686" s="2060"/>
      <c r="AP1686" s="2060"/>
      <c r="AQ1686" s="2060"/>
      <c r="AR1686" s="2060"/>
      <c r="AS1686" s="2060"/>
      <c r="AT1686" s="2060"/>
      <c r="AU1686" s="2060"/>
      <c r="AV1686" s="2060"/>
      <c r="AW1686" s="2060"/>
      <c r="AX1686" s="2060"/>
      <c r="AY1686" s="2060"/>
      <c r="AZ1686" s="2060"/>
      <c r="BA1686" s="2060"/>
      <c r="BB1686" s="2060"/>
      <c r="BC1686" s="2060"/>
      <c r="BD1686" s="2060"/>
      <c r="BE1686" s="2060"/>
      <c r="BF1686" s="2060"/>
      <c r="BG1686" s="2060"/>
      <c r="BH1686" s="2060"/>
      <c r="BI1686" s="2060"/>
      <c r="BJ1686" s="2060"/>
      <c r="BK1686" s="2060"/>
      <c r="BL1686" s="2060"/>
      <c r="BM1686" s="2060"/>
      <c r="BN1686" s="2060"/>
      <c r="BO1686" s="2060"/>
      <c r="BP1686" s="2060"/>
      <c r="BQ1686" s="2060"/>
      <c r="BR1686" s="2060"/>
      <c r="BS1686" s="2060"/>
      <c r="BT1686" s="2060"/>
      <c r="BU1686" s="2060"/>
      <c r="BV1686" s="2060"/>
      <c r="BW1686" s="2060"/>
      <c r="BX1686" s="2060"/>
      <c r="BY1686" s="2060"/>
      <c r="BZ1686" s="2060"/>
      <c r="CA1686" s="2060"/>
      <c r="CB1686" s="2060"/>
      <c r="CC1686" s="2060"/>
      <c r="CD1686" s="2060"/>
      <c r="CE1686" s="2060"/>
      <c r="CF1686" s="2060"/>
      <c r="CG1686" s="2060"/>
      <c r="CH1686" s="2060"/>
      <c r="CI1686" s="2060"/>
      <c r="CJ1686" s="2060"/>
      <c r="CK1686" s="2060"/>
      <c r="CL1686" s="2060"/>
      <c r="CM1686" s="2060"/>
      <c r="CN1686" s="2060"/>
      <c r="CO1686" s="2060"/>
      <c r="CP1686" s="2060"/>
      <c r="CQ1686" s="2060"/>
      <c r="CR1686" s="2060"/>
      <c r="CS1686" s="2060"/>
      <c r="CT1686" s="2060"/>
      <c r="CU1686" s="2060"/>
      <c r="CV1686" s="2060"/>
      <c r="CW1686" s="2060"/>
      <c r="CX1686" s="2060"/>
      <c r="CY1686" s="2060"/>
      <c r="CZ1686" s="2060"/>
      <c r="DA1686" s="2060"/>
      <c r="DB1686" s="2060"/>
      <c r="DC1686" s="2060"/>
      <c r="DD1686" s="2060"/>
      <c r="DE1686" s="2060"/>
      <c r="DF1686" s="2060"/>
      <c r="DG1686" s="2060"/>
      <c r="DH1686" s="2060"/>
      <c r="DI1686" s="2060"/>
      <c r="DJ1686" s="2060"/>
      <c r="DK1686" s="2060"/>
      <c r="DL1686" s="2060"/>
      <c r="DM1686" s="2060"/>
      <c r="DN1686" s="2060"/>
      <c r="DO1686" s="2060"/>
      <c r="DP1686" s="2060"/>
      <c r="DQ1686" s="2060"/>
      <c r="DR1686" s="2060"/>
      <c r="DS1686" s="2060"/>
      <c r="DT1686" s="2060"/>
      <c r="DU1686" s="2060"/>
      <c r="DV1686" s="2060"/>
      <c r="DW1686" s="2060"/>
      <c r="DX1686" s="2060"/>
      <c r="DY1686" s="2060"/>
      <c r="DZ1686" s="2060"/>
      <c r="EA1686" s="2060"/>
      <c r="EB1686" s="2060"/>
      <c r="EC1686" s="2060"/>
      <c r="ED1686" s="2060"/>
      <c r="EE1686" s="2060"/>
      <c r="EF1686" s="2060"/>
      <c r="EG1686" s="2060"/>
      <c r="EH1686" s="2060"/>
      <c r="EI1686" s="2060"/>
      <c r="EJ1686" s="2060"/>
      <c r="EK1686" s="2060"/>
      <c r="EL1686" s="2060"/>
      <c r="EM1686" s="2060"/>
      <c r="EN1686" s="2060"/>
      <c r="EO1686" s="2060"/>
      <c r="EP1686" s="2060"/>
      <c r="EQ1686" s="2060"/>
      <c r="ER1686" s="2060"/>
      <c r="ES1686" s="2060"/>
      <c r="ET1686" s="2060"/>
      <c r="EU1686" s="2060"/>
      <c r="EV1686" s="2060"/>
      <c r="EW1686" s="2060"/>
      <c r="EX1686" s="2060"/>
      <c r="EY1686" s="2060"/>
      <c r="EZ1686" s="2060"/>
      <c r="FA1686" s="2060"/>
      <c r="FB1686" s="2060"/>
      <c r="FC1686" s="2060"/>
      <c r="FD1686" s="2060"/>
      <c r="FE1686" s="2060"/>
      <c r="FF1686" s="2060"/>
      <c r="FG1686" s="2060"/>
      <c r="FH1686" s="2060"/>
      <c r="FI1686" s="2060"/>
      <c r="FJ1686" s="2060"/>
      <c r="FK1686" s="2060"/>
      <c r="FL1686" s="2060"/>
      <c r="FM1686" s="2060"/>
      <c r="FN1686" s="2060"/>
      <c r="FO1686" s="2060"/>
      <c r="FP1686" s="2060"/>
      <c r="FQ1686" s="2060"/>
      <c r="FR1686" s="2060"/>
      <c r="FS1686" s="2060"/>
      <c r="FT1686" s="2060"/>
      <c r="FU1686" s="2060"/>
      <c r="FV1686" s="2060"/>
      <c r="FW1686" s="2060"/>
      <c r="FX1686" s="2060"/>
      <c r="FY1686" s="2060"/>
      <c r="FZ1686" s="2060"/>
      <c r="GA1686" s="2060"/>
      <c r="GB1686" s="2060"/>
      <c r="GC1686" s="2060"/>
      <c r="GD1686" s="2060"/>
      <c r="GE1686" s="2060"/>
      <c r="GF1686" s="2060"/>
      <c r="GG1686" s="2060"/>
      <c r="GH1686" s="2060"/>
      <c r="GI1686" s="2060"/>
      <c r="GJ1686" s="2060"/>
      <c r="GK1686" s="2060"/>
      <c r="GL1686" s="2060"/>
      <c r="GM1686" s="2060"/>
      <c r="GN1686" s="2060"/>
      <c r="GO1686" s="2060"/>
      <c r="GP1686" s="2060"/>
      <c r="GQ1686" s="2060"/>
      <c r="GR1686" s="2060"/>
      <c r="GS1686" s="2060"/>
      <c r="GT1686" s="2060"/>
      <c r="GU1686" s="2060"/>
      <c r="GV1686" s="2060"/>
      <c r="GW1686" s="2060"/>
      <c r="GX1686" s="2060"/>
      <c r="GY1686" s="2060"/>
      <c r="GZ1686" s="2060"/>
      <c r="HA1686" s="2060"/>
      <c r="HB1686" s="2060"/>
      <c r="HC1686" s="2060"/>
      <c r="HD1686" s="2060"/>
      <c r="HE1686" s="2060"/>
      <c r="HF1686" s="2060"/>
      <c r="HG1686" s="2060"/>
      <c r="HH1686" s="2060"/>
      <c r="HI1686" s="2060"/>
      <c r="HJ1686" s="2060"/>
      <c r="HK1686" s="2060"/>
      <c r="HL1686" s="2060"/>
      <c r="HM1686" s="2060"/>
      <c r="HN1686" s="2060"/>
      <c r="HO1686" s="2060"/>
      <c r="HP1686" s="2060"/>
      <c r="HQ1686" s="2060"/>
      <c r="HR1686" s="2060"/>
      <c r="HS1686" s="2060"/>
      <c r="HT1686" s="2060"/>
      <c r="HU1686" s="2060"/>
      <c r="HV1686" s="2060"/>
      <c r="HW1686" s="2060"/>
      <c r="HX1686" s="2060"/>
      <c r="HY1686" s="2060"/>
      <c r="HZ1686" s="2060"/>
      <c r="IA1686" s="2060"/>
      <c r="IB1686" s="2060"/>
      <c r="IC1686" s="2060"/>
      <c r="ID1686" s="2060"/>
      <c r="IE1686" s="2060"/>
      <c r="IF1686" s="2060"/>
      <c r="IG1686" s="2060"/>
      <c r="IH1686" s="2060"/>
      <c r="II1686" s="2060"/>
      <c r="IJ1686" s="2060"/>
      <c r="IK1686" s="2060"/>
      <c r="IL1686" s="2060"/>
      <c r="IM1686" s="2060"/>
      <c r="IN1686" s="2060"/>
      <c r="IO1686" s="2060"/>
      <c r="IP1686" s="2060"/>
      <c r="IQ1686" s="2060"/>
      <c r="IR1686" s="2060"/>
      <c r="IS1686" s="2060"/>
      <c r="IT1686" s="2060"/>
      <c r="IU1686" s="2060"/>
      <c r="IV1686" s="2060"/>
      <c r="IW1686" s="2060"/>
      <c r="IX1686" s="2060"/>
      <c r="IY1686" s="2060"/>
      <c r="IZ1686" s="2060"/>
      <c r="JA1686" s="2060"/>
      <c r="JB1686" s="2060"/>
      <c r="JC1686" s="2060"/>
      <c r="JD1686" s="2060"/>
      <c r="JE1686" s="2060"/>
      <c r="JF1686" s="2060"/>
      <c r="JG1686" s="2060"/>
      <c r="JH1686" s="2060"/>
      <c r="JI1686" s="2060"/>
      <c r="JJ1686" s="2060"/>
      <c r="JK1686" s="2060"/>
      <c r="JL1686" s="2060"/>
      <c r="JM1686" s="2060"/>
      <c r="JN1686" s="2060"/>
      <c r="JO1686" s="2060"/>
      <c r="JP1686" s="2060"/>
      <c r="JQ1686" s="2060"/>
      <c r="JR1686" s="2060"/>
      <c r="JS1686" s="2060"/>
      <c r="JT1686" s="2060"/>
      <c r="JU1686" s="2060"/>
      <c r="JV1686" s="2060"/>
      <c r="JW1686" s="2060"/>
      <c r="JX1686" s="2060"/>
      <c r="JY1686" s="2060"/>
      <c r="JZ1686" s="2060"/>
      <c r="KA1686" s="2060"/>
      <c r="KB1686" s="2060"/>
      <c r="KC1686" s="2060"/>
      <c r="KD1686" s="2060"/>
      <c r="KE1686" s="2060"/>
      <c r="KF1686" s="2060"/>
      <c r="KG1686" s="2060"/>
      <c r="KH1686" s="2060"/>
      <c r="KI1686" s="2060"/>
      <c r="KJ1686" s="2060"/>
      <c r="KK1686" s="2060"/>
      <c r="KL1686" s="2060"/>
      <c r="KM1686" s="2060"/>
      <c r="KN1686" s="2060"/>
      <c r="KO1686" s="2060"/>
      <c r="KP1686" s="2060"/>
      <c r="KQ1686" s="2060"/>
      <c r="KR1686" s="2060"/>
      <c r="KS1686" s="2060"/>
      <c r="KT1686" s="2060"/>
      <c r="KU1686" s="2060"/>
      <c r="KV1686" s="2060"/>
      <c r="KW1686" s="2060"/>
      <c r="KX1686" s="2060"/>
      <c r="KY1686" s="2060"/>
      <c r="KZ1686" s="2060"/>
      <c r="LA1686" s="2060"/>
      <c r="LB1686" s="2060"/>
      <c r="LC1686" s="2060"/>
      <c r="LD1686" s="2060"/>
      <c r="LE1686" s="2060"/>
      <c r="LF1686" s="2060"/>
      <c r="LG1686" s="2060"/>
      <c r="LH1686" s="2060"/>
    </row>
    <row r="1687" spans="1:320" s="449" customFormat="1" ht="13.9">
      <c r="A1687" s="269" t="str">
        <f t="shared" si="447"/>
        <v>n</v>
      </c>
      <c r="B1687" s="2060"/>
      <c r="C1687" s="2060"/>
      <c r="D1687" s="2060"/>
      <c r="E1687" s="1661">
        <v>13</v>
      </c>
      <c r="F1687" s="1353" t="str">
        <f>F$141</f>
        <v>--</v>
      </c>
      <c r="G1687" s="128">
        <f>G$141</f>
        <v>0</v>
      </c>
      <c r="H1687" s="128" t="str">
        <f>H$141</f>
        <v>--</v>
      </c>
      <c r="I1687" s="255"/>
      <c r="J1687" s="2197" t="str">
        <f t="shared" ref="J1687:V1687" si="459">IFERROR(IF($F$315="Total debt",J1629,IF($F$315="Net debt",J1629-J1658,MAX(J1629-J1658,0))),"--")</f>
        <v/>
      </c>
      <c r="K1687" s="2197" t="str">
        <f t="shared" si="459"/>
        <v/>
      </c>
      <c r="L1687" s="2197" t="str">
        <f t="shared" si="445"/>
        <v/>
      </c>
      <c r="M1687" s="2197" t="str">
        <f t="shared" si="445"/>
        <v/>
      </c>
      <c r="N1687" s="2197" t="str">
        <f t="shared" si="445"/>
        <v/>
      </c>
      <c r="O1687" s="2197" t="str">
        <f t="shared" si="459"/>
        <v/>
      </c>
      <c r="P1687" s="2197" t="str">
        <f t="shared" si="459"/>
        <v/>
      </c>
      <c r="Q1687" s="2197" t="str">
        <f t="shared" si="459"/>
        <v/>
      </c>
      <c r="R1687" s="2197" t="str">
        <f t="shared" si="459"/>
        <v/>
      </c>
      <c r="S1687" s="2197" t="str">
        <f t="shared" si="459"/>
        <v/>
      </c>
      <c r="T1687" s="2197" t="str">
        <f t="shared" si="459"/>
        <v/>
      </c>
      <c r="U1687" s="2197" t="str">
        <f t="shared" si="459"/>
        <v/>
      </c>
      <c r="V1687" s="2197" t="str">
        <f t="shared" si="459"/>
        <v/>
      </c>
      <c r="W1687" s="1479"/>
      <c r="X1687" s="255"/>
      <c r="Y1687" s="255"/>
      <c r="Z1687" s="2060"/>
      <c r="AA1687" s="2060"/>
      <c r="AB1687" s="2060"/>
      <c r="AC1687" s="2060"/>
      <c r="AD1687" s="2060"/>
      <c r="AE1687" s="2060"/>
      <c r="AF1687" s="2060"/>
      <c r="AG1687" s="2060"/>
      <c r="AH1687" s="2060"/>
      <c r="AI1687" s="2060"/>
      <c r="AJ1687" s="2060"/>
      <c r="AK1687" s="2060"/>
      <c r="AL1687" s="2060"/>
      <c r="AM1687" s="2060"/>
      <c r="AN1687" s="2060"/>
      <c r="AO1687" s="2060"/>
      <c r="AP1687" s="2060"/>
      <c r="AQ1687" s="2060"/>
      <c r="AR1687" s="2060"/>
      <c r="AS1687" s="2060"/>
      <c r="AT1687" s="2060"/>
      <c r="AU1687" s="2060"/>
      <c r="AV1687" s="2060"/>
      <c r="AW1687" s="2060"/>
      <c r="AX1687" s="2060"/>
      <c r="AY1687" s="2060"/>
      <c r="AZ1687" s="2060"/>
      <c r="BA1687" s="2060"/>
      <c r="BB1687" s="2060"/>
      <c r="BC1687" s="2060"/>
      <c r="BD1687" s="2060"/>
      <c r="BE1687" s="2060"/>
      <c r="BF1687" s="2060"/>
      <c r="BG1687" s="2060"/>
      <c r="BH1687" s="2060"/>
      <c r="BI1687" s="2060"/>
      <c r="BJ1687" s="2060"/>
      <c r="BK1687" s="2060"/>
      <c r="BL1687" s="2060"/>
      <c r="BM1687" s="2060"/>
      <c r="BN1687" s="2060"/>
      <c r="BO1687" s="2060"/>
      <c r="BP1687" s="2060"/>
      <c r="BQ1687" s="2060"/>
      <c r="BR1687" s="2060"/>
      <c r="BS1687" s="2060"/>
      <c r="BT1687" s="2060"/>
      <c r="BU1687" s="2060"/>
      <c r="BV1687" s="2060"/>
      <c r="BW1687" s="2060"/>
      <c r="BX1687" s="2060"/>
      <c r="BY1687" s="2060"/>
      <c r="BZ1687" s="2060"/>
      <c r="CA1687" s="2060"/>
      <c r="CB1687" s="2060"/>
      <c r="CC1687" s="2060"/>
      <c r="CD1687" s="2060"/>
      <c r="CE1687" s="2060"/>
      <c r="CF1687" s="2060"/>
      <c r="CG1687" s="2060"/>
      <c r="CH1687" s="2060"/>
      <c r="CI1687" s="2060"/>
      <c r="CJ1687" s="2060"/>
      <c r="CK1687" s="2060"/>
      <c r="CL1687" s="2060"/>
      <c r="CM1687" s="2060"/>
      <c r="CN1687" s="2060"/>
      <c r="CO1687" s="2060"/>
      <c r="CP1687" s="2060"/>
      <c r="CQ1687" s="2060"/>
      <c r="CR1687" s="2060"/>
      <c r="CS1687" s="2060"/>
      <c r="CT1687" s="2060"/>
      <c r="CU1687" s="2060"/>
      <c r="CV1687" s="2060"/>
      <c r="CW1687" s="2060"/>
      <c r="CX1687" s="2060"/>
      <c r="CY1687" s="2060"/>
      <c r="CZ1687" s="2060"/>
      <c r="DA1687" s="2060"/>
      <c r="DB1687" s="2060"/>
      <c r="DC1687" s="2060"/>
      <c r="DD1687" s="2060"/>
      <c r="DE1687" s="2060"/>
      <c r="DF1687" s="2060"/>
      <c r="DG1687" s="2060"/>
      <c r="DH1687" s="2060"/>
      <c r="DI1687" s="2060"/>
      <c r="DJ1687" s="2060"/>
      <c r="DK1687" s="2060"/>
      <c r="DL1687" s="2060"/>
      <c r="DM1687" s="2060"/>
      <c r="DN1687" s="2060"/>
      <c r="DO1687" s="2060"/>
      <c r="DP1687" s="2060"/>
      <c r="DQ1687" s="2060"/>
      <c r="DR1687" s="2060"/>
      <c r="DS1687" s="2060"/>
      <c r="DT1687" s="2060"/>
      <c r="DU1687" s="2060"/>
      <c r="DV1687" s="2060"/>
      <c r="DW1687" s="2060"/>
      <c r="DX1687" s="2060"/>
      <c r="DY1687" s="2060"/>
      <c r="DZ1687" s="2060"/>
      <c r="EA1687" s="2060"/>
      <c r="EB1687" s="2060"/>
      <c r="EC1687" s="2060"/>
      <c r="ED1687" s="2060"/>
      <c r="EE1687" s="2060"/>
      <c r="EF1687" s="2060"/>
      <c r="EG1687" s="2060"/>
      <c r="EH1687" s="2060"/>
      <c r="EI1687" s="2060"/>
      <c r="EJ1687" s="2060"/>
      <c r="EK1687" s="2060"/>
      <c r="EL1687" s="2060"/>
      <c r="EM1687" s="2060"/>
      <c r="EN1687" s="2060"/>
      <c r="EO1687" s="2060"/>
      <c r="EP1687" s="2060"/>
      <c r="EQ1687" s="2060"/>
      <c r="ER1687" s="2060"/>
      <c r="ES1687" s="2060"/>
      <c r="ET1687" s="2060"/>
      <c r="EU1687" s="2060"/>
      <c r="EV1687" s="2060"/>
      <c r="EW1687" s="2060"/>
      <c r="EX1687" s="2060"/>
      <c r="EY1687" s="2060"/>
      <c r="EZ1687" s="2060"/>
      <c r="FA1687" s="2060"/>
      <c r="FB1687" s="2060"/>
      <c r="FC1687" s="2060"/>
      <c r="FD1687" s="2060"/>
      <c r="FE1687" s="2060"/>
      <c r="FF1687" s="2060"/>
      <c r="FG1687" s="2060"/>
      <c r="FH1687" s="2060"/>
      <c r="FI1687" s="2060"/>
      <c r="FJ1687" s="2060"/>
      <c r="FK1687" s="2060"/>
      <c r="FL1687" s="2060"/>
      <c r="FM1687" s="2060"/>
      <c r="FN1687" s="2060"/>
      <c r="FO1687" s="2060"/>
      <c r="FP1687" s="2060"/>
      <c r="FQ1687" s="2060"/>
      <c r="FR1687" s="2060"/>
      <c r="FS1687" s="2060"/>
      <c r="FT1687" s="2060"/>
      <c r="FU1687" s="2060"/>
      <c r="FV1687" s="2060"/>
      <c r="FW1687" s="2060"/>
      <c r="FX1687" s="2060"/>
      <c r="FY1687" s="2060"/>
      <c r="FZ1687" s="2060"/>
      <c r="GA1687" s="2060"/>
      <c r="GB1687" s="2060"/>
      <c r="GC1687" s="2060"/>
      <c r="GD1687" s="2060"/>
      <c r="GE1687" s="2060"/>
      <c r="GF1687" s="2060"/>
      <c r="GG1687" s="2060"/>
      <c r="GH1687" s="2060"/>
      <c r="GI1687" s="2060"/>
      <c r="GJ1687" s="2060"/>
      <c r="GK1687" s="2060"/>
      <c r="GL1687" s="2060"/>
      <c r="GM1687" s="2060"/>
      <c r="GN1687" s="2060"/>
      <c r="GO1687" s="2060"/>
      <c r="GP1687" s="2060"/>
      <c r="GQ1687" s="2060"/>
      <c r="GR1687" s="2060"/>
      <c r="GS1687" s="2060"/>
      <c r="GT1687" s="2060"/>
      <c r="GU1687" s="2060"/>
      <c r="GV1687" s="2060"/>
      <c r="GW1687" s="2060"/>
      <c r="GX1687" s="2060"/>
      <c r="GY1687" s="2060"/>
      <c r="GZ1687" s="2060"/>
      <c r="HA1687" s="2060"/>
      <c r="HB1687" s="2060"/>
      <c r="HC1687" s="2060"/>
      <c r="HD1687" s="2060"/>
      <c r="HE1687" s="2060"/>
      <c r="HF1687" s="2060"/>
      <c r="HG1687" s="2060"/>
      <c r="HH1687" s="2060"/>
      <c r="HI1687" s="2060"/>
      <c r="HJ1687" s="2060"/>
      <c r="HK1687" s="2060"/>
      <c r="HL1687" s="2060"/>
      <c r="HM1687" s="2060"/>
      <c r="HN1687" s="2060"/>
      <c r="HO1687" s="2060"/>
      <c r="HP1687" s="2060"/>
      <c r="HQ1687" s="2060"/>
      <c r="HR1687" s="2060"/>
      <c r="HS1687" s="2060"/>
      <c r="HT1687" s="2060"/>
      <c r="HU1687" s="2060"/>
      <c r="HV1687" s="2060"/>
      <c r="HW1687" s="2060"/>
      <c r="HX1687" s="2060"/>
      <c r="HY1687" s="2060"/>
      <c r="HZ1687" s="2060"/>
      <c r="IA1687" s="2060"/>
      <c r="IB1687" s="2060"/>
      <c r="IC1687" s="2060"/>
      <c r="ID1687" s="2060"/>
      <c r="IE1687" s="2060"/>
      <c r="IF1687" s="2060"/>
      <c r="IG1687" s="2060"/>
      <c r="IH1687" s="2060"/>
      <c r="II1687" s="2060"/>
      <c r="IJ1687" s="2060"/>
      <c r="IK1687" s="2060"/>
      <c r="IL1687" s="2060"/>
      <c r="IM1687" s="2060"/>
      <c r="IN1687" s="2060"/>
      <c r="IO1687" s="2060"/>
      <c r="IP1687" s="2060"/>
      <c r="IQ1687" s="2060"/>
      <c r="IR1687" s="2060"/>
      <c r="IS1687" s="2060"/>
      <c r="IT1687" s="2060"/>
      <c r="IU1687" s="2060"/>
      <c r="IV1687" s="2060"/>
      <c r="IW1687" s="2060"/>
      <c r="IX1687" s="2060"/>
      <c r="IY1687" s="2060"/>
      <c r="IZ1687" s="2060"/>
      <c r="JA1687" s="2060"/>
      <c r="JB1687" s="2060"/>
      <c r="JC1687" s="2060"/>
      <c r="JD1687" s="2060"/>
      <c r="JE1687" s="2060"/>
      <c r="JF1687" s="2060"/>
      <c r="JG1687" s="2060"/>
      <c r="JH1687" s="2060"/>
      <c r="JI1687" s="2060"/>
      <c r="JJ1687" s="2060"/>
      <c r="JK1687" s="2060"/>
      <c r="JL1687" s="2060"/>
      <c r="JM1687" s="2060"/>
      <c r="JN1687" s="2060"/>
      <c r="JO1687" s="2060"/>
      <c r="JP1687" s="2060"/>
      <c r="JQ1687" s="2060"/>
      <c r="JR1687" s="2060"/>
      <c r="JS1687" s="2060"/>
      <c r="JT1687" s="2060"/>
      <c r="JU1687" s="2060"/>
      <c r="JV1687" s="2060"/>
      <c r="JW1687" s="2060"/>
      <c r="JX1687" s="2060"/>
      <c r="JY1687" s="2060"/>
      <c r="JZ1687" s="2060"/>
      <c r="KA1687" s="2060"/>
      <c r="KB1687" s="2060"/>
      <c r="KC1687" s="2060"/>
      <c r="KD1687" s="2060"/>
      <c r="KE1687" s="2060"/>
      <c r="KF1687" s="2060"/>
      <c r="KG1687" s="2060"/>
      <c r="KH1687" s="2060"/>
      <c r="KI1687" s="2060"/>
      <c r="KJ1687" s="2060"/>
      <c r="KK1687" s="2060"/>
      <c r="KL1687" s="2060"/>
      <c r="KM1687" s="2060"/>
      <c r="KN1687" s="2060"/>
      <c r="KO1687" s="2060"/>
      <c r="KP1687" s="2060"/>
      <c r="KQ1687" s="2060"/>
      <c r="KR1687" s="2060"/>
      <c r="KS1687" s="2060"/>
      <c r="KT1687" s="2060"/>
      <c r="KU1687" s="2060"/>
      <c r="KV1687" s="2060"/>
      <c r="KW1687" s="2060"/>
      <c r="KX1687" s="2060"/>
      <c r="KY1687" s="2060"/>
      <c r="KZ1687" s="2060"/>
      <c r="LA1687" s="2060"/>
      <c r="LB1687" s="2060"/>
      <c r="LC1687" s="2060"/>
      <c r="LD1687" s="2060"/>
      <c r="LE1687" s="2060"/>
      <c r="LF1687" s="2060"/>
      <c r="LG1687" s="2060"/>
      <c r="LH1687" s="2060"/>
    </row>
    <row r="1688" spans="1:320" s="449" customFormat="1" ht="13.9">
      <c r="A1688" s="269" t="str">
        <f t="shared" si="447"/>
        <v>n</v>
      </c>
      <c r="B1688" s="2060"/>
      <c r="C1688" s="2060"/>
      <c r="D1688" s="2060"/>
      <c r="E1688" s="1661">
        <v>14</v>
      </c>
      <c r="F1688" s="1353" t="str">
        <f>F$142</f>
        <v>--</v>
      </c>
      <c r="G1688" s="128">
        <f>G$142</f>
        <v>0</v>
      </c>
      <c r="H1688" s="128" t="str">
        <f>H$142</f>
        <v>--</v>
      </c>
      <c r="I1688" s="255"/>
      <c r="J1688" s="2197" t="str">
        <f t="shared" ref="J1688:V1688" si="460">IFERROR(IF($F$315="Total debt",J1630,IF($F$315="Net debt",J1630-J1659,MAX(J1630-J1659,0))),"--")</f>
        <v/>
      </c>
      <c r="K1688" s="2197" t="str">
        <f t="shared" si="460"/>
        <v/>
      </c>
      <c r="L1688" s="2197" t="str">
        <f t="shared" si="445"/>
        <v/>
      </c>
      <c r="M1688" s="2197" t="str">
        <f t="shared" si="445"/>
        <v/>
      </c>
      <c r="N1688" s="2197" t="str">
        <f t="shared" si="445"/>
        <v/>
      </c>
      <c r="O1688" s="2197" t="str">
        <f t="shared" si="460"/>
        <v/>
      </c>
      <c r="P1688" s="2197" t="str">
        <f t="shared" si="460"/>
        <v/>
      </c>
      <c r="Q1688" s="2197" t="str">
        <f t="shared" si="460"/>
        <v/>
      </c>
      <c r="R1688" s="2197" t="str">
        <f t="shared" si="460"/>
        <v/>
      </c>
      <c r="S1688" s="2197" t="str">
        <f t="shared" si="460"/>
        <v/>
      </c>
      <c r="T1688" s="2197" t="str">
        <f t="shared" si="460"/>
        <v/>
      </c>
      <c r="U1688" s="2197" t="str">
        <f t="shared" si="460"/>
        <v/>
      </c>
      <c r="V1688" s="2197" t="str">
        <f t="shared" si="460"/>
        <v/>
      </c>
      <c r="W1688" s="1479"/>
      <c r="X1688" s="255"/>
      <c r="Y1688" s="255"/>
      <c r="Z1688" s="2060"/>
      <c r="AA1688" s="2060"/>
      <c r="AB1688" s="2060"/>
      <c r="AC1688" s="2060"/>
      <c r="AD1688" s="2060"/>
      <c r="AE1688" s="2060"/>
      <c r="AF1688" s="2060"/>
      <c r="AG1688" s="2060"/>
      <c r="AH1688" s="2060"/>
      <c r="AI1688" s="2060"/>
      <c r="AJ1688" s="2060"/>
      <c r="AK1688" s="2060"/>
      <c r="AL1688" s="2060"/>
      <c r="AM1688" s="2060"/>
      <c r="AN1688" s="2060"/>
      <c r="AO1688" s="2060"/>
      <c r="AP1688" s="2060"/>
      <c r="AQ1688" s="2060"/>
      <c r="AR1688" s="2060"/>
      <c r="AS1688" s="2060"/>
      <c r="AT1688" s="2060"/>
      <c r="AU1688" s="2060"/>
      <c r="AV1688" s="2060"/>
      <c r="AW1688" s="2060"/>
      <c r="AX1688" s="2060"/>
      <c r="AY1688" s="2060"/>
      <c r="AZ1688" s="2060"/>
      <c r="BA1688" s="2060"/>
      <c r="BB1688" s="2060"/>
      <c r="BC1688" s="2060"/>
      <c r="BD1688" s="2060"/>
      <c r="BE1688" s="2060"/>
      <c r="BF1688" s="2060"/>
      <c r="BG1688" s="2060"/>
      <c r="BH1688" s="2060"/>
      <c r="BI1688" s="2060"/>
      <c r="BJ1688" s="2060"/>
      <c r="BK1688" s="2060"/>
      <c r="BL1688" s="2060"/>
      <c r="BM1688" s="2060"/>
      <c r="BN1688" s="2060"/>
      <c r="BO1688" s="2060"/>
      <c r="BP1688" s="2060"/>
      <c r="BQ1688" s="2060"/>
      <c r="BR1688" s="2060"/>
      <c r="BS1688" s="2060"/>
      <c r="BT1688" s="2060"/>
      <c r="BU1688" s="2060"/>
      <c r="BV1688" s="2060"/>
      <c r="BW1688" s="2060"/>
      <c r="BX1688" s="2060"/>
      <c r="BY1688" s="2060"/>
      <c r="BZ1688" s="2060"/>
      <c r="CA1688" s="2060"/>
      <c r="CB1688" s="2060"/>
      <c r="CC1688" s="2060"/>
      <c r="CD1688" s="2060"/>
      <c r="CE1688" s="2060"/>
      <c r="CF1688" s="2060"/>
      <c r="CG1688" s="2060"/>
      <c r="CH1688" s="2060"/>
      <c r="CI1688" s="2060"/>
      <c r="CJ1688" s="2060"/>
      <c r="CK1688" s="2060"/>
      <c r="CL1688" s="2060"/>
      <c r="CM1688" s="2060"/>
      <c r="CN1688" s="2060"/>
      <c r="CO1688" s="2060"/>
      <c r="CP1688" s="2060"/>
      <c r="CQ1688" s="2060"/>
      <c r="CR1688" s="2060"/>
      <c r="CS1688" s="2060"/>
      <c r="CT1688" s="2060"/>
      <c r="CU1688" s="2060"/>
      <c r="CV1688" s="2060"/>
      <c r="CW1688" s="2060"/>
      <c r="CX1688" s="2060"/>
      <c r="CY1688" s="2060"/>
      <c r="CZ1688" s="2060"/>
      <c r="DA1688" s="2060"/>
      <c r="DB1688" s="2060"/>
      <c r="DC1688" s="2060"/>
      <c r="DD1688" s="2060"/>
      <c r="DE1688" s="2060"/>
      <c r="DF1688" s="2060"/>
      <c r="DG1688" s="2060"/>
      <c r="DH1688" s="2060"/>
      <c r="DI1688" s="2060"/>
      <c r="DJ1688" s="2060"/>
      <c r="DK1688" s="2060"/>
      <c r="DL1688" s="2060"/>
      <c r="DM1688" s="2060"/>
      <c r="DN1688" s="2060"/>
      <c r="DO1688" s="2060"/>
      <c r="DP1688" s="2060"/>
      <c r="DQ1688" s="2060"/>
      <c r="DR1688" s="2060"/>
      <c r="DS1688" s="2060"/>
      <c r="DT1688" s="2060"/>
      <c r="DU1688" s="2060"/>
      <c r="DV1688" s="2060"/>
      <c r="DW1688" s="2060"/>
      <c r="DX1688" s="2060"/>
      <c r="DY1688" s="2060"/>
      <c r="DZ1688" s="2060"/>
      <c r="EA1688" s="2060"/>
      <c r="EB1688" s="2060"/>
      <c r="EC1688" s="2060"/>
      <c r="ED1688" s="2060"/>
      <c r="EE1688" s="2060"/>
      <c r="EF1688" s="2060"/>
      <c r="EG1688" s="2060"/>
      <c r="EH1688" s="2060"/>
      <c r="EI1688" s="2060"/>
      <c r="EJ1688" s="2060"/>
      <c r="EK1688" s="2060"/>
      <c r="EL1688" s="2060"/>
      <c r="EM1688" s="2060"/>
      <c r="EN1688" s="2060"/>
      <c r="EO1688" s="2060"/>
      <c r="EP1688" s="2060"/>
      <c r="EQ1688" s="2060"/>
      <c r="ER1688" s="2060"/>
      <c r="ES1688" s="2060"/>
      <c r="ET1688" s="2060"/>
      <c r="EU1688" s="2060"/>
      <c r="EV1688" s="2060"/>
      <c r="EW1688" s="2060"/>
      <c r="EX1688" s="2060"/>
      <c r="EY1688" s="2060"/>
      <c r="EZ1688" s="2060"/>
      <c r="FA1688" s="2060"/>
      <c r="FB1688" s="2060"/>
      <c r="FC1688" s="2060"/>
      <c r="FD1688" s="2060"/>
      <c r="FE1688" s="2060"/>
      <c r="FF1688" s="2060"/>
      <c r="FG1688" s="2060"/>
      <c r="FH1688" s="2060"/>
      <c r="FI1688" s="2060"/>
      <c r="FJ1688" s="2060"/>
      <c r="FK1688" s="2060"/>
      <c r="FL1688" s="2060"/>
      <c r="FM1688" s="2060"/>
      <c r="FN1688" s="2060"/>
      <c r="FO1688" s="2060"/>
      <c r="FP1688" s="2060"/>
      <c r="FQ1688" s="2060"/>
      <c r="FR1688" s="2060"/>
      <c r="FS1688" s="2060"/>
      <c r="FT1688" s="2060"/>
      <c r="FU1688" s="2060"/>
      <c r="FV1688" s="2060"/>
      <c r="FW1688" s="2060"/>
      <c r="FX1688" s="2060"/>
      <c r="FY1688" s="2060"/>
      <c r="FZ1688" s="2060"/>
      <c r="GA1688" s="2060"/>
      <c r="GB1688" s="2060"/>
      <c r="GC1688" s="2060"/>
      <c r="GD1688" s="2060"/>
      <c r="GE1688" s="2060"/>
      <c r="GF1688" s="2060"/>
      <c r="GG1688" s="2060"/>
      <c r="GH1688" s="2060"/>
      <c r="GI1688" s="2060"/>
      <c r="GJ1688" s="2060"/>
      <c r="GK1688" s="2060"/>
      <c r="GL1688" s="2060"/>
      <c r="GM1688" s="2060"/>
      <c r="GN1688" s="2060"/>
      <c r="GO1688" s="2060"/>
      <c r="GP1688" s="2060"/>
      <c r="GQ1688" s="2060"/>
      <c r="GR1688" s="2060"/>
      <c r="GS1688" s="2060"/>
      <c r="GT1688" s="2060"/>
      <c r="GU1688" s="2060"/>
      <c r="GV1688" s="2060"/>
      <c r="GW1688" s="2060"/>
      <c r="GX1688" s="2060"/>
      <c r="GY1688" s="2060"/>
      <c r="GZ1688" s="2060"/>
      <c r="HA1688" s="2060"/>
      <c r="HB1688" s="2060"/>
      <c r="HC1688" s="2060"/>
      <c r="HD1688" s="2060"/>
      <c r="HE1688" s="2060"/>
      <c r="HF1688" s="2060"/>
      <c r="HG1688" s="2060"/>
      <c r="HH1688" s="2060"/>
      <c r="HI1688" s="2060"/>
      <c r="HJ1688" s="2060"/>
      <c r="HK1688" s="2060"/>
      <c r="HL1688" s="2060"/>
      <c r="HM1688" s="2060"/>
      <c r="HN1688" s="2060"/>
      <c r="HO1688" s="2060"/>
      <c r="HP1688" s="2060"/>
      <c r="HQ1688" s="2060"/>
      <c r="HR1688" s="2060"/>
      <c r="HS1688" s="2060"/>
      <c r="HT1688" s="2060"/>
      <c r="HU1688" s="2060"/>
      <c r="HV1688" s="2060"/>
      <c r="HW1688" s="2060"/>
      <c r="HX1688" s="2060"/>
      <c r="HY1688" s="2060"/>
      <c r="HZ1688" s="2060"/>
      <c r="IA1688" s="2060"/>
      <c r="IB1688" s="2060"/>
      <c r="IC1688" s="2060"/>
      <c r="ID1688" s="2060"/>
      <c r="IE1688" s="2060"/>
      <c r="IF1688" s="2060"/>
      <c r="IG1688" s="2060"/>
      <c r="IH1688" s="2060"/>
      <c r="II1688" s="2060"/>
      <c r="IJ1688" s="2060"/>
      <c r="IK1688" s="2060"/>
      <c r="IL1688" s="2060"/>
      <c r="IM1688" s="2060"/>
      <c r="IN1688" s="2060"/>
      <c r="IO1688" s="2060"/>
      <c r="IP1688" s="2060"/>
      <c r="IQ1688" s="2060"/>
      <c r="IR1688" s="2060"/>
      <c r="IS1688" s="2060"/>
      <c r="IT1688" s="2060"/>
      <c r="IU1688" s="2060"/>
      <c r="IV1688" s="2060"/>
      <c r="IW1688" s="2060"/>
      <c r="IX1688" s="2060"/>
      <c r="IY1688" s="2060"/>
      <c r="IZ1688" s="2060"/>
      <c r="JA1688" s="2060"/>
      <c r="JB1688" s="2060"/>
      <c r="JC1688" s="2060"/>
      <c r="JD1688" s="2060"/>
      <c r="JE1688" s="2060"/>
      <c r="JF1688" s="2060"/>
      <c r="JG1688" s="2060"/>
      <c r="JH1688" s="2060"/>
      <c r="JI1688" s="2060"/>
      <c r="JJ1688" s="2060"/>
      <c r="JK1688" s="2060"/>
      <c r="JL1688" s="2060"/>
      <c r="JM1688" s="2060"/>
      <c r="JN1688" s="2060"/>
      <c r="JO1688" s="2060"/>
      <c r="JP1688" s="2060"/>
      <c r="JQ1688" s="2060"/>
      <c r="JR1688" s="2060"/>
      <c r="JS1688" s="2060"/>
      <c r="JT1688" s="2060"/>
      <c r="JU1688" s="2060"/>
      <c r="JV1688" s="2060"/>
      <c r="JW1688" s="2060"/>
      <c r="JX1688" s="2060"/>
      <c r="JY1688" s="2060"/>
      <c r="JZ1688" s="2060"/>
      <c r="KA1688" s="2060"/>
      <c r="KB1688" s="2060"/>
      <c r="KC1688" s="2060"/>
      <c r="KD1688" s="2060"/>
      <c r="KE1688" s="2060"/>
      <c r="KF1688" s="2060"/>
      <c r="KG1688" s="2060"/>
      <c r="KH1688" s="2060"/>
      <c r="KI1688" s="2060"/>
      <c r="KJ1688" s="2060"/>
      <c r="KK1688" s="2060"/>
      <c r="KL1688" s="2060"/>
      <c r="KM1688" s="2060"/>
      <c r="KN1688" s="2060"/>
      <c r="KO1688" s="2060"/>
      <c r="KP1688" s="2060"/>
      <c r="KQ1688" s="2060"/>
      <c r="KR1688" s="2060"/>
      <c r="KS1688" s="2060"/>
      <c r="KT1688" s="2060"/>
      <c r="KU1688" s="2060"/>
      <c r="KV1688" s="2060"/>
      <c r="KW1688" s="2060"/>
      <c r="KX1688" s="2060"/>
      <c r="KY1688" s="2060"/>
      <c r="KZ1688" s="2060"/>
      <c r="LA1688" s="2060"/>
      <c r="LB1688" s="2060"/>
      <c r="LC1688" s="2060"/>
      <c r="LD1688" s="2060"/>
      <c r="LE1688" s="2060"/>
      <c r="LF1688" s="2060"/>
      <c r="LG1688" s="2060"/>
      <c r="LH1688" s="2060"/>
    </row>
    <row r="1689" spans="1:320" s="1499" customFormat="1" ht="13.9">
      <c r="A1689" s="269" t="str">
        <f t="shared" si="447"/>
        <v>n</v>
      </c>
      <c r="B1689" s="2060"/>
      <c r="C1689" s="2060"/>
      <c r="D1689" s="2060"/>
      <c r="E1689" s="1661">
        <v>15</v>
      </c>
      <c r="F1689" s="1353" t="str">
        <f>F$143</f>
        <v>--</v>
      </c>
      <c r="G1689" s="128">
        <f>G$143</f>
        <v>0</v>
      </c>
      <c r="H1689" s="128" t="str">
        <f>H$143</f>
        <v>--</v>
      </c>
      <c r="I1689" s="255"/>
      <c r="J1689" s="2197" t="str">
        <f t="shared" ref="J1689:V1689" si="461">IFERROR(IF($F$315="Total debt",J1631,IF($F$315="Net debt",J1631-J1660,MAX(J1631-J1660,0))),"--")</f>
        <v/>
      </c>
      <c r="K1689" s="2197" t="str">
        <f t="shared" si="461"/>
        <v/>
      </c>
      <c r="L1689" s="2197" t="str">
        <f t="shared" si="445"/>
        <v/>
      </c>
      <c r="M1689" s="2197" t="str">
        <f t="shared" si="445"/>
        <v/>
      </c>
      <c r="N1689" s="2197" t="str">
        <f t="shared" si="445"/>
        <v/>
      </c>
      <c r="O1689" s="2197" t="str">
        <f t="shared" si="461"/>
        <v/>
      </c>
      <c r="P1689" s="2197" t="str">
        <f t="shared" si="461"/>
        <v/>
      </c>
      <c r="Q1689" s="2197" t="str">
        <f t="shared" si="461"/>
        <v/>
      </c>
      <c r="R1689" s="2197" t="str">
        <f t="shared" si="461"/>
        <v/>
      </c>
      <c r="S1689" s="2197" t="str">
        <f t="shared" si="461"/>
        <v/>
      </c>
      <c r="T1689" s="2197" t="str">
        <f t="shared" si="461"/>
        <v/>
      </c>
      <c r="U1689" s="2197" t="str">
        <f t="shared" si="461"/>
        <v/>
      </c>
      <c r="V1689" s="2197" t="str">
        <f t="shared" si="461"/>
        <v/>
      </c>
      <c r="W1689" s="1479"/>
      <c r="X1689" s="255"/>
      <c r="Y1689" s="255"/>
      <c r="Z1689" s="2060"/>
      <c r="AA1689" s="2060"/>
      <c r="AB1689" s="2060"/>
      <c r="AC1689" s="2060"/>
      <c r="AD1689" s="2060"/>
      <c r="AE1689" s="2060"/>
      <c r="AF1689" s="2060"/>
      <c r="AG1689" s="2060"/>
      <c r="AH1689" s="2060"/>
      <c r="AI1689" s="2060"/>
      <c r="AJ1689" s="2060"/>
      <c r="AK1689" s="2060"/>
      <c r="AL1689" s="2060"/>
      <c r="AM1689" s="2060"/>
      <c r="AN1689" s="2060"/>
      <c r="AO1689" s="2060"/>
      <c r="AP1689" s="2060"/>
      <c r="AQ1689" s="2060"/>
      <c r="AR1689" s="2060"/>
      <c r="AS1689" s="2060"/>
      <c r="AT1689" s="2060"/>
      <c r="AU1689" s="2060"/>
      <c r="AV1689" s="2060"/>
      <c r="AW1689" s="2060"/>
      <c r="AX1689" s="2060"/>
      <c r="AY1689" s="2060"/>
      <c r="AZ1689" s="2060"/>
      <c r="BA1689" s="2060"/>
      <c r="BB1689" s="2060"/>
      <c r="BC1689" s="2060"/>
      <c r="BD1689" s="2060"/>
      <c r="BE1689" s="2060"/>
      <c r="BF1689" s="2060"/>
      <c r="BG1689" s="2060"/>
      <c r="BH1689" s="2060"/>
      <c r="BI1689" s="2060"/>
      <c r="BJ1689" s="2060"/>
      <c r="BK1689" s="2060"/>
      <c r="BL1689" s="2060"/>
      <c r="BM1689" s="2060"/>
      <c r="BN1689" s="2060"/>
      <c r="BO1689" s="2060"/>
      <c r="BP1689" s="2060"/>
      <c r="BQ1689" s="2060"/>
      <c r="BR1689" s="2060"/>
      <c r="BS1689" s="2060"/>
      <c r="BT1689" s="2060"/>
      <c r="BU1689" s="2060"/>
      <c r="BV1689" s="2060"/>
      <c r="BW1689" s="2060"/>
      <c r="BX1689" s="2060"/>
      <c r="BY1689" s="2060"/>
      <c r="BZ1689" s="2060"/>
      <c r="CA1689" s="2060"/>
      <c r="CB1689" s="2060"/>
      <c r="CC1689" s="2060"/>
      <c r="CD1689" s="2060"/>
      <c r="CE1689" s="2060"/>
      <c r="CF1689" s="2060"/>
      <c r="CG1689" s="2060"/>
      <c r="CH1689" s="2060"/>
      <c r="CI1689" s="2060"/>
      <c r="CJ1689" s="2060"/>
      <c r="CK1689" s="2060"/>
      <c r="CL1689" s="2060"/>
      <c r="CM1689" s="2060"/>
      <c r="CN1689" s="2060"/>
      <c r="CO1689" s="2060"/>
      <c r="CP1689" s="2060"/>
      <c r="CQ1689" s="2060"/>
      <c r="CR1689" s="2060"/>
      <c r="CS1689" s="2060"/>
      <c r="CT1689" s="2060"/>
      <c r="CU1689" s="2060"/>
      <c r="CV1689" s="2060"/>
      <c r="CW1689" s="2060"/>
      <c r="CX1689" s="2060"/>
      <c r="CY1689" s="2060"/>
      <c r="CZ1689" s="2060"/>
      <c r="DA1689" s="2060"/>
      <c r="DB1689" s="2060"/>
      <c r="DC1689" s="2060"/>
      <c r="DD1689" s="2060"/>
      <c r="DE1689" s="2060"/>
      <c r="DF1689" s="2060"/>
      <c r="DG1689" s="2060"/>
      <c r="DH1689" s="2060"/>
      <c r="DI1689" s="2060"/>
      <c r="DJ1689" s="2060"/>
      <c r="DK1689" s="2060"/>
      <c r="DL1689" s="2060"/>
      <c r="DM1689" s="2060"/>
      <c r="DN1689" s="2060"/>
      <c r="DO1689" s="2060"/>
      <c r="DP1689" s="2060"/>
      <c r="DQ1689" s="2060"/>
      <c r="DR1689" s="2060"/>
      <c r="DS1689" s="2060"/>
      <c r="DT1689" s="2060"/>
      <c r="DU1689" s="2060"/>
      <c r="DV1689" s="2060"/>
      <c r="DW1689" s="2060"/>
      <c r="DX1689" s="2060"/>
      <c r="DY1689" s="2060"/>
      <c r="DZ1689" s="2060"/>
      <c r="EA1689" s="2060"/>
      <c r="EB1689" s="2060"/>
      <c r="EC1689" s="2060"/>
      <c r="ED1689" s="2060"/>
      <c r="EE1689" s="2060"/>
      <c r="EF1689" s="2060"/>
      <c r="EG1689" s="2060"/>
      <c r="EH1689" s="2060"/>
      <c r="EI1689" s="2060"/>
      <c r="EJ1689" s="2060"/>
      <c r="EK1689" s="2060"/>
      <c r="EL1689" s="2060"/>
      <c r="EM1689" s="2060"/>
      <c r="EN1689" s="2060"/>
      <c r="EO1689" s="2060"/>
      <c r="EP1689" s="2060"/>
      <c r="EQ1689" s="2060"/>
      <c r="ER1689" s="2060"/>
      <c r="ES1689" s="2060"/>
      <c r="ET1689" s="2060"/>
      <c r="EU1689" s="2060"/>
      <c r="EV1689" s="2060"/>
      <c r="EW1689" s="2060"/>
      <c r="EX1689" s="2060"/>
      <c r="EY1689" s="2060"/>
      <c r="EZ1689" s="2060"/>
      <c r="FA1689" s="2060"/>
      <c r="FB1689" s="2060"/>
      <c r="FC1689" s="2060"/>
      <c r="FD1689" s="2060"/>
      <c r="FE1689" s="2060"/>
      <c r="FF1689" s="2060"/>
      <c r="FG1689" s="2060"/>
      <c r="FH1689" s="2060"/>
      <c r="FI1689" s="2060"/>
      <c r="FJ1689" s="2060"/>
      <c r="FK1689" s="2060"/>
      <c r="FL1689" s="2060"/>
      <c r="FM1689" s="2060"/>
      <c r="FN1689" s="2060"/>
      <c r="FO1689" s="2060"/>
      <c r="FP1689" s="2060"/>
      <c r="FQ1689" s="2060"/>
      <c r="FR1689" s="2060"/>
      <c r="FS1689" s="2060"/>
      <c r="FT1689" s="2060"/>
      <c r="FU1689" s="2060"/>
      <c r="FV1689" s="2060"/>
      <c r="FW1689" s="2060"/>
      <c r="FX1689" s="2060"/>
      <c r="FY1689" s="2060"/>
      <c r="FZ1689" s="2060"/>
      <c r="GA1689" s="2060"/>
      <c r="GB1689" s="2060"/>
      <c r="GC1689" s="2060"/>
      <c r="GD1689" s="2060"/>
      <c r="GE1689" s="2060"/>
      <c r="GF1689" s="2060"/>
      <c r="GG1689" s="2060"/>
      <c r="GH1689" s="2060"/>
      <c r="GI1689" s="2060"/>
      <c r="GJ1689" s="2060"/>
      <c r="GK1689" s="2060"/>
      <c r="GL1689" s="2060"/>
      <c r="GM1689" s="2060"/>
      <c r="GN1689" s="2060"/>
      <c r="GO1689" s="2060"/>
      <c r="GP1689" s="2060"/>
      <c r="GQ1689" s="2060"/>
      <c r="GR1689" s="2060"/>
      <c r="GS1689" s="2060"/>
      <c r="GT1689" s="2060"/>
      <c r="GU1689" s="2060"/>
      <c r="GV1689" s="2060"/>
      <c r="GW1689" s="2060"/>
      <c r="GX1689" s="2060"/>
      <c r="GY1689" s="2060"/>
      <c r="GZ1689" s="2060"/>
      <c r="HA1689" s="2060"/>
      <c r="HB1689" s="2060"/>
      <c r="HC1689" s="2060"/>
      <c r="HD1689" s="2060"/>
      <c r="HE1689" s="2060"/>
      <c r="HF1689" s="2060"/>
      <c r="HG1689" s="2060"/>
      <c r="HH1689" s="2060"/>
      <c r="HI1689" s="2060"/>
      <c r="HJ1689" s="2060"/>
      <c r="HK1689" s="2060"/>
      <c r="HL1689" s="2060"/>
      <c r="HM1689" s="2060"/>
      <c r="HN1689" s="2060"/>
      <c r="HO1689" s="2060"/>
      <c r="HP1689" s="2060"/>
      <c r="HQ1689" s="2060"/>
      <c r="HR1689" s="2060"/>
      <c r="HS1689" s="2060"/>
      <c r="HT1689" s="2060"/>
      <c r="HU1689" s="2060"/>
      <c r="HV1689" s="2060"/>
      <c r="HW1689" s="2060"/>
      <c r="HX1689" s="2060"/>
      <c r="HY1689" s="2060"/>
      <c r="HZ1689" s="2060"/>
      <c r="IA1689" s="2060"/>
      <c r="IB1689" s="2060"/>
      <c r="IC1689" s="2060"/>
      <c r="ID1689" s="2060"/>
      <c r="IE1689" s="2060"/>
      <c r="IF1689" s="2060"/>
      <c r="IG1689" s="2060"/>
      <c r="IH1689" s="2060"/>
      <c r="II1689" s="2060"/>
      <c r="IJ1689" s="2060"/>
      <c r="IK1689" s="2060"/>
      <c r="IL1689" s="2060"/>
      <c r="IM1689" s="2060"/>
      <c r="IN1689" s="2060"/>
      <c r="IO1689" s="2060"/>
      <c r="IP1689" s="2060"/>
      <c r="IQ1689" s="2060"/>
      <c r="IR1689" s="2060"/>
      <c r="IS1689" s="2060"/>
      <c r="IT1689" s="2060"/>
      <c r="IU1689" s="2060"/>
      <c r="IV1689" s="2060"/>
      <c r="IW1689" s="2060"/>
      <c r="IX1689" s="2060"/>
      <c r="IY1689" s="2060"/>
      <c r="IZ1689" s="2060"/>
      <c r="JA1689" s="2060"/>
      <c r="JB1689" s="2060"/>
      <c r="JC1689" s="2060"/>
      <c r="JD1689" s="2060"/>
      <c r="JE1689" s="2060"/>
      <c r="JF1689" s="2060"/>
      <c r="JG1689" s="2060"/>
      <c r="JH1689" s="2060"/>
      <c r="JI1689" s="2060"/>
      <c r="JJ1689" s="2060"/>
      <c r="JK1689" s="2060"/>
      <c r="JL1689" s="2060"/>
      <c r="JM1689" s="2060"/>
      <c r="JN1689" s="2060"/>
      <c r="JO1689" s="2060"/>
      <c r="JP1689" s="2060"/>
      <c r="JQ1689" s="2060"/>
      <c r="JR1689" s="2060"/>
      <c r="JS1689" s="2060"/>
      <c r="JT1689" s="2060"/>
      <c r="JU1689" s="2060"/>
      <c r="JV1689" s="2060"/>
      <c r="JW1689" s="2060"/>
      <c r="JX1689" s="2060"/>
      <c r="JY1689" s="2060"/>
      <c r="JZ1689" s="2060"/>
      <c r="KA1689" s="2060"/>
      <c r="KB1689" s="2060"/>
      <c r="KC1689" s="2060"/>
      <c r="KD1689" s="2060"/>
      <c r="KE1689" s="2060"/>
      <c r="KF1689" s="2060"/>
      <c r="KG1689" s="2060"/>
      <c r="KH1689" s="2060"/>
      <c r="KI1689" s="2060"/>
      <c r="KJ1689" s="2060"/>
      <c r="KK1689" s="2060"/>
      <c r="KL1689" s="2060"/>
      <c r="KM1689" s="2060"/>
      <c r="KN1689" s="2060"/>
      <c r="KO1689" s="2060"/>
      <c r="KP1689" s="2060"/>
      <c r="KQ1689" s="2060"/>
      <c r="KR1689" s="2060"/>
      <c r="KS1689" s="2060"/>
      <c r="KT1689" s="2060"/>
      <c r="KU1689" s="2060"/>
      <c r="KV1689" s="2060"/>
      <c r="KW1689" s="2060"/>
      <c r="KX1689" s="2060"/>
      <c r="KY1689" s="2060"/>
      <c r="KZ1689" s="2060"/>
      <c r="LA1689" s="2060"/>
      <c r="LB1689" s="2060"/>
      <c r="LC1689" s="2060"/>
      <c r="LD1689" s="2060"/>
      <c r="LE1689" s="2060"/>
      <c r="LF1689" s="2060"/>
      <c r="LG1689" s="2060"/>
      <c r="LH1689" s="2060"/>
    </row>
    <row r="1690" spans="1:320" s="1499" customFormat="1" ht="13.9">
      <c r="A1690" s="269" t="str">
        <f t="shared" si="447"/>
        <v>n</v>
      </c>
      <c r="B1690" s="2060"/>
      <c r="C1690" s="2060"/>
      <c r="D1690" s="2060"/>
      <c r="E1690" s="1661">
        <v>16</v>
      </c>
      <c r="F1690" s="1353" t="str">
        <f>F$144</f>
        <v>--</v>
      </c>
      <c r="G1690" s="128">
        <f>G$144</f>
        <v>0</v>
      </c>
      <c r="H1690" s="128" t="str">
        <f>H$144</f>
        <v>--</v>
      </c>
      <c r="I1690" s="255"/>
      <c r="J1690" s="2197" t="str">
        <f t="shared" ref="J1690:V1690" si="462">IFERROR(IF($F$315="Total debt",J1632,IF($F$315="Net debt",J1632-J1661,MAX(J1632-J1661,0))),"--")</f>
        <v/>
      </c>
      <c r="K1690" s="2197" t="str">
        <f t="shared" si="462"/>
        <v/>
      </c>
      <c r="L1690" s="2197" t="str">
        <f t="shared" si="445"/>
        <v/>
      </c>
      <c r="M1690" s="2197" t="str">
        <f t="shared" si="445"/>
        <v/>
      </c>
      <c r="N1690" s="2197" t="str">
        <f t="shared" si="445"/>
        <v/>
      </c>
      <c r="O1690" s="2197" t="str">
        <f t="shared" si="462"/>
        <v/>
      </c>
      <c r="P1690" s="2197" t="str">
        <f t="shared" si="462"/>
        <v/>
      </c>
      <c r="Q1690" s="2197" t="str">
        <f t="shared" si="462"/>
        <v/>
      </c>
      <c r="R1690" s="2197" t="str">
        <f t="shared" si="462"/>
        <v/>
      </c>
      <c r="S1690" s="2197" t="str">
        <f t="shared" si="462"/>
        <v/>
      </c>
      <c r="T1690" s="2197" t="str">
        <f t="shared" si="462"/>
        <v/>
      </c>
      <c r="U1690" s="2197" t="str">
        <f t="shared" si="462"/>
        <v/>
      </c>
      <c r="V1690" s="2197" t="str">
        <f t="shared" si="462"/>
        <v/>
      </c>
      <c r="W1690" s="1479"/>
      <c r="X1690" s="255"/>
      <c r="Y1690" s="255"/>
      <c r="Z1690" s="2060"/>
      <c r="AA1690" s="2060"/>
      <c r="AB1690" s="2060"/>
      <c r="AC1690" s="2060"/>
      <c r="AD1690" s="2060"/>
      <c r="AE1690" s="2060"/>
      <c r="AF1690" s="2060"/>
      <c r="AG1690" s="2060"/>
      <c r="AH1690" s="2060"/>
      <c r="AI1690" s="2060"/>
      <c r="AJ1690" s="2060"/>
      <c r="AK1690" s="2060"/>
      <c r="AL1690" s="2060"/>
      <c r="AM1690" s="2060"/>
      <c r="AN1690" s="2060"/>
      <c r="AO1690" s="2060"/>
      <c r="AP1690" s="2060"/>
      <c r="AQ1690" s="2060"/>
      <c r="AR1690" s="2060"/>
      <c r="AS1690" s="2060"/>
      <c r="AT1690" s="2060"/>
      <c r="AU1690" s="2060"/>
      <c r="AV1690" s="2060"/>
      <c r="AW1690" s="2060"/>
      <c r="AX1690" s="2060"/>
      <c r="AY1690" s="2060"/>
      <c r="AZ1690" s="2060"/>
      <c r="BA1690" s="2060"/>
      <c r="BB1690" s="2060"/>
      <c r="BC1690" s="2060"/>
      <c r="BD1690" s="2060"/>
      <c r="BE1690" s="2060"/>
      <c r="BF1690" s="2060"/>
      <c r="BG1690" s="2060"/>
      <c r="BH1690" s="2060"/>
      <c r="BI1690" s="2060"/>
      <c r="BJ1690" s="2060"/>
      <c r="BK1690" s="2060"/>
      <c r="BL1690" s="2060"/>
      <c r="BM1690" s="2060"/>
      <c r="BN1690" s="2060"/>
      <c r="BO1690" s="2060"/>
      <c r="BP1690" s="2060"/>
      <c r="BQ1690" s="2060"/>
      <c r="BR1690" s="2060"/>
      <c r="BS1690" s="2060"/>
      <c r="BT1690" s="2060"/>
      <c r="BU1690" s="2060"/>
      <c r="BV1690" s="2060"/>
      <c r="BW1690" s="2060"/>
      <c r="BX1690" s="2060"/>
      <c r="BY1690" s="2060"/>
      <c r="BZ1690" s="2060"/>
      <c r="CA1690" s="2060"/>
      <c r="CB1690" s="2060"/>
      <c r="CC1690" s="2060"/>
      <c r="CD1690" s="2060"/>
      <c r="CE1690" s="2060"/>
      <c r="CF1690" s="2060"/>
      <c r="CG1690" s="2060"/>
      <c r="CH1690" s="2060"/>
      <c r="CI1690" s="2060"/>
      <c r="CJ1690" s="2060"/>
      <c r="CK1690" s="2060"/>
      <c r="CL1690" s="2060"/>
      <c r="CM1690" s="2060"/>
      <c r="CN1690" s="2060"/>
      <c r="CO1690" s="2060"/>
      <c r="CP1690" s="2060"/>
      <c r="CQ1690" s="2060"/>
      <c r="CR1690" s="2060"/>
      <c r="CS1690" s="2060"/>
      <c r="CT1690" s="2060"/>
      <c r="CU1690" s="2060"/>
      <c r="CV1690" s="2060"/>
      <c r="CW1690" s="2060"/>
      <c r="CX1690" s="2060"/>
      <c r="CY1690" s="2060"/>
      <c r="CZ1690" s="2060"/>
      <c r="DA1690" s="2060"/>
      <c r="DB1690" s="2060"/>
      <c r="DC1690" s="2060"/>
      <c r="DD1690" s="2060"/>
      <c r="DE1690" s="2060"/>
      <c r="DF1690" s="2060"/>
      <c r="DG1690" s="2060"/>
      <c r="DH1690" s="2060"/>
      <c r="DI1690" s="2060"/>
      <c r="DJ1690" s="2060"/>
      <c r="DK1690" s="2060"/>
      <c r="DL1690" s="2060"/>
      <c r="DM1690" s="2060"/>
      <c r="DN1690" s="2060"/>
      <c r="DO1690" s="2060"/>
      <c r="DP1690" s="2060"/>
      <c r="DQ1690" s="2060"/>
      <c r="DR1690" s="2060"/>
      <c r="DS1690" s="2060"/>
      <c r="DT1690" s="2060"/>
      <c r="DU1690" s="2060"/>
      <c r="DV1690" s="2060"/>
      <c r="DW1690" s="2060"/>
      <c r="DX1690" s="2060"/>
      <c r="DY1690" s="2060"/>
      <c r="DZ1690" s="2060"/>
      <c r="EA1690" s="2060"/>
      <c r="EB1690" s="2060"/>
      <c r="EC1690" s="2060"/>
      <c r="ED1690" s="2060"/>
      <c r="EE1690" s="2060"/>
      <c r="EF1690" s="2060"/>
      <c r="EG1690" s="2060"/>
      <c r="EH1690" s="2060"/>
      <c r="EI1690" s="2060"/>
      <c r="EJ1690" s="2060"/>
      <c r="EK1690" s="2060"/>
      <c r="EL1690" s="2060"/>
      <c r="EM1690" s="2060"/>
      <c r="EN1690" s="2060"/>
      <c r="EO1690" s="2060"/>
      <c r="EP1690" s="2060"/>
      <c r="EQ1690" s="2060"/>
      <c r="ER1690" s="2060"/>
      <c r="ES1690" s="2060"/>
      <c r="ET1690" s="2060"/>
      <c r="EU1690" s="2060"/>
      <c r="EV1690" s="2060"/>
      <c r="EW1690" s="2060"/>
      <c r="EX1690" s="2060"/>
      <c r="EY1690" s="2060"/>
      <c r="EZ1690" s="2060"/>
      <c r="FA1690" s="2060"/>
      <c r="FB1690" s="2060"/>
      <c r="FC1690" s="2060"/>
      <c r="FD1690" s="2060"/>
      <c r="FE1690" s="2060"/>
      <c r="FF1690" s="2060"/>
      <c r="FG1690" s="2060"/>
      <c r="FH1690" s="2060"/>
      <c r="FI1690" s="2060"/>
      <c r="FJ1690" s="2060"/>
      <c r="FK1690" s="2060"/>
      <c r="FL1690" s="2060"/>
      <c r="FM1690" s="2060"/>
      <c r="FN1690" s="2060"/>
      <c r="FO1690" s="2060"/>
      <c r="FP1690" s="2060"/>
      <c r="FQ1690" s="2060"/>
      <c r="FR1690" s="2060"/>
      <c r="FS1690" s="2060"/>
      <c r="FT1690" s="2060"/>
      <c r="FU1690" s="2060"/>
      <c r="FV1690" s="2060"/>
      <c r="FW1690" s="2060"/>
      <c r="FX1690" s="2060"/>
      <c r="FY1690" s="2060"/>
      <c r="FZ1690" s="2060"/>
      <c r="GA1690" s="2060"/>
      <c r="GB1690" s="2060"/>
      <c r="GC1690" s="2060"/>
      <c r="GD1690" s="2060"/>
      <c r="GE1690" s="2060"/>
      <c r="GF1690" s="2060"/>
      <c r="GG1690" s="2060"/>
      <c r="GH1690" s="2060"/>
      <c r="GI1690" s="2060"/>
      <c r="GJ1690" s="2060"/>
      <c r="GK1690" s="2060"/>
      <c r="GL1690" s="2060"/>
      <c r="GM1690" s="2060"/>
      <c r="GN1690" s="2060"/>
      <c r="GO1690" s="2060"/>
      <c r="GP1690" s="2060"/>
      <c r="GQ1690" s="2060"/>
      <c r="GR1690" s="2060"/>
      <c r="GS1690" s="2060"/>
      <c r="GT1690" s="2060"/>
      <c r="GU1690" s="2060"/>
      <c r="GV1690" s="2060"/>
      <c r="GW1690" s="2060"/>
      <c r="GX1690" s="2060"/>
      <c r="GY1690" s="2060"/>
      <c r="GZ1690" s="2060"/>
      <c r="HA1690" s="2060"/>
      <c r="HB1690" s="2060"/>
      <c r="HC1690" s="2060"/>
      <c r="HD1690" s="2060"/>
      <c r="HE1690" s="2060"/>
      <c r="HF1690" s="2060"/>
      <c r="HG1690" s="2060"/>
      <c r="HH1690" s="2060"/>
      <c r="HI1690" s="2060"/>
      <c r="HJ1690" s="2060"/>
      <c r="HK1690" s="2060"/>
      <c r="HL1690" s="2060"/>
      <c r="HM1690" s="2060"/>
      <c r="HN1690" s="2060"/>
      <c r="HO1690" s="2060"/>
      <c r="HP1690" s="2060"/>
      <c r="HQ1690" s="2060"/>
      <c r="HR1690" s="2060"/>
      <c r="HS1690" s="2060"/>
      <c r="HT1690" s="2060"/>
      <c r="HU1690" s="2060"/>
      <c r="HV1690" s="2060"/>
      <c r="HW1690" s="2060"/>
      <c r="HX1690" s="2060"/>
      <c r="HY1690" s="2060"/>
      <c r="HZ1690" s="2060"/>
      <c r="IA1690" s="2060"/>
      <c r="IB1690" s="2060"/>
      <c r="IC1690" s="2060"/>
      <c r="ID1690" s="2060"/>
      <c r="IE1690" s="2060"/>
      <c r="IF1690" s="2060"/>
      <c r="IG1690" s="2060"/>
      <c r="IH1690" s="2060"/>
      <c r="II1690" s="2060"/>
      <c r="IJ1690" s="2060"/>
      <c r="IK1690" s="2060"/>
      <c r="IL1690" s="2060"/>
      <c r="IM1690" s="2060"/>
      <c r="IN1690" s="2060"/>
      <c r="IO1690" s="2060"/>
      <c r="IP1690" s="2060"/>
      <c r="IQ1690" s="2060"/>
      <c r="IR1690" s="2060"/>
      <c r="IS1690" s="2060"/>
      <c r="IT1690" s="2060"/>
      <c r="IU1690" s="2060"/>
      <c r="IV1690" s="2060"/>
      <c r="IW1690" s="2060"/>
      <c r="IX1690" s="2060"/>
      <c r="IY1690" s="2060"/>
      <c r="IZ1690" s="2060"/>
      <c r="JA1690" s="2060"/>
      <c r="JB1690" s="2060"/>
      <c r="JC1690" s="2060"/>
      <c r="JD1690" s="2060"/>
      <c r="JE1690" s="2060"/>
      <c r="JF1690" s="2060"/>
      <c r="JG1690" s="2060"/>
      <c r="JH1690" s="2060"/>
      <c r="JI1690" s="2060"/>
      <c r="JJ1690" s="2060"/>
      <c r="JK1690" s="2060"/>
      <c r="JL1690" s="2060"/>
      <c r="JM1690" s="2060"/>
      <c r="JN1690" s="2060"/>
      <c r="JO1690" s="2060"/>
      <c r="JP1690" s="2060"/>
      <c r="JQ1690" s="2060"/>
      <c r="JR1690" s="2060"/>
      <c r="JS1690" s="2060"/>
      <c r="JT1690" s="2060"/>
      <c r="JU1690" s="2060"/>
      <c r="JV1690" s="2060"/>
      <c r="JW1690" s="2060"/>
      <c r="JX1690" s="2060"/>
      <c r="JY1690" s="2060"/>
      <c r="JZ1690" s="2060"/>
      <c r="KA1690" s="2060"/>
      <c r="KB1690" s="2060"/>
      <c r="KC1690" s="2060"/>
      <c r="KD1690" s="2060"/>
      <c r="KE1690" s="2060"/>
      <c r="KF1690" s="2060"/>
      <c r="KG1690" s="2060"/>
      <c r="KH1690" s="2060"/>
      <c r="KI1690" s="2060"/>
      <c r="KJ1690" s="2060"/>
      <c r="KK1690" s="2060"/>
      <c r="KL1690" s="2060"/>
      <c r="KM1690" s="2060"/>
      <c r="KN1690" s="2060"/>
      <c r="KO1690" s="2060"/>
      <c r="KP1690" s="2060"/>
      <c r="KQ1690" s="2060"/>
      <c r="KR1690" s="2060"/>
      <c r="KS1690" s="2060"/>
      <c r="KT1690" s="2060"/>
      <c r="KU1690" s="2060"/>
      <c r="KV1690" s="2060"/>
      <c r="KW1690" s="2060"/>
      <c r="KX1690" s="2060"/>
      <c r="KY1690" s="2060"/>
      <c r="KZ1690" s="2060"/>
      <c r="LA1690" s="2060"/>
      <c r="LB1690" s="2060"/>
      <c r="LC1690" s="2060"/>
      <c r="LD1690" s="2060"/>
      <c r="LE1690" s="2060"/>
      <c r="LF1690" s="2060"/>
      <c r="LG1690" s="2060"/>
      <c r="LH1690" s="2060"/>
    </row>
    <row r="1691" spans="1:320" s="1499" customFormat="1" ht="13.9">
      <c r="A1691" s="269" t="str">
        <f t="shared" si="447"/>
        <v>n</v>
      </c>
      <c r="B1691" s="2060"/>
      <c r="C1691" s="2060"/>
      <c r="D1691" s="2060"/>
      <c r="E1691" s="1661">
        <v>17</v>
      </c>
      <c r="F1691" s="1353" t="str">
        <f>F$145</f>
        <v>--</v>
      </c>
      <c r="G1691" s="128">
        <f>G$145</f>
        <v>0</v>
      </c>
      <c r="H1691" s="128" t="str">
        <f>H$145</f>
        <v>--</v>
      </c>
      <c r="I1691" s="255"/>
      <c r="J1691" s="2197" t="str">
        <f t="shared" ref="J1691:V1691" si="463">IFERROR(IF($F$315="Total debt",J1633,IF($F$315="Net debt",J1633-J1662,MAX(J1633-J1662,0))),"--")</f>
        <v/>
      </c>
      <c r="K1691" s="2197" t="str">
        <f t="shared" si="463"/>
        <v/>
      </c>
      <c r="L1691" s="2197" t="str">
        <f t="shared" si="445"/>
        <v/>
      </c>
      <c r="M1691" s="2197" t="str">
        <f t="shared" si="445"/>
        <v/>
      </c>
      <c r="N1691" s="2197" t="str">
        <f t="shared" si="445"/>
        <v/>
      </c>
      <c r="O1691" s="2197" t="str">
        <f t="shared" si="463"/>
        <v/>
      </c>
      <c r="P1691" s="2197" t="str">
        <f t="shared" si="463"/>
        <v/>
      </c>
      <c r="Q1691" s="2197" t="str">
        <f t="shared" si="463"/>
        <v/>
      </c>
      <c r="R1691" s="2197" t="str">
        <f t="shared" si="463"/>
        <v/>
      </c>
      <c r="S1691" s="2197" t="str">
        <f t="shared" si="463"/>
        <v/>
      </c>
      <c r="T1691" s="2197" t="str">
        <f t="shared" si="463"/>
        <v/>
      </c>
      <c r="U1691" s="2197" t="str">
        <f t="shared" si="463"/>
        <v/>
      </c>
      <c r="V1691" s="2197" t="str">
        <f t="shared" si="463"/>
        <v/>
      </c>
      <c r="W1691" s="1479"/>
      <c r="X1691" s="255"/>
      <c r="Y1691" s="255"/>
      <c r="Z1691" s="2060"/>
      <c r="AA1691" s="2060"/>
      <c r="AB1691" s="2060"/>
      <c r="AC1691" s="2060"/>
      <c r="AD1691" s="2060"/>
      <c r="AE1691" s="2060"/>
      <c r="AF1691" s="2060"/>
      <c r="AG1691" s="2060"/>
      <c r="AH1691" s="2060"/>
      <c r="AI1691" s="2060"/>
      <c r="AJ1691" s="2060"/>
      <c r="AK1691" s="2060"/>
      <c r="AL1691" s="2060"/>
      <c r="AM1691" s="2060"/>
      <c r="AN1691" s="2060"/>
      <c r="AO1691" s="2060"/>
      <c r="AP1691" s="2060"/>
      <c r="AQ1691" s="2060"/>
      <c r="AR1691" s="2060"/>
      <c r="AS1691" s="2060"/>
      <c r="AT1691" s="2060"/>
      <c r="AU1691" s="2060"/>
      <c r="AV1691" s="2060"/>
      <c r="AW1691" s="2060"/>
      <c r="AX1691" s="2060"/>
      <c r="AY1691" s="2060"/>
      <c r="AZ1691" s="2060"/>
      <c r="BA1691" s="2060"/>
      <c r="BB1691" s="2060"/>
      <c r="BC1691" s="2060"/>
      <c r="BD1691" s="2060"/>
      <c r="BE1691" s="2060"/>
      <c r="BF1691" s="2060"/>
      <c r="BG1691" s="2060"/>
      <c r="BH1691" s="2060"/>
      <c r="BI1691" s="2060"/>
      <c r="BJ1691" s="2060"/>
      <c r="BK1691" s="2060"/>
      <c r="BL1691" s="2060"/>
      <c r="BM1691" s="2060"/>
      <c r="BN1691" s="2060"/>
      <c r="BO1691" s="2060"/>
      <c r="BP1691" s="2060"/>
      <c r="BQ1691" s="2060"/>
      <c r="BR1691" s="2060"/>
      <c r="BS1691" s="2060"/>
      <c r="BT1691" s="2060"/>
      <c r="BU1691" s="2060"/>
      <c r="BV1691" s="2060"/>
      <c r="BW1691" s="2060"/>
      <c r="BX1691" s="2060"/>
      <c r="BY1691" s="2060"/>
      <c r="BZ1691" s="2060"/>
      <c r="CA1691" s="2060"/>
      <c r="CB1691" s="2060"/>
      <c r="CC1691" s="2060"/>
      <c r="CD1691" s="2060"/>
      <c r="CE1691" s="2060"/>
      <c r="CF1691" s="2060"/>
      <c r="CG1691" s="2060"/>
      <c r="CH1691" s="2060"/>
      <c r="CI1691" s="2060"/>
      <c r="CJ1691" s="2060"/>
      <c r="CK1691" s="2060"/>
      <c r="CL1691" s="2060"/>
      <c r="CM1691" s="2060"/>
      <c r="CN1691" s="2060"/>
      <c r="CO1691" s="2060"/>
      <c r="CP1691" s="2060"/>
      <c r="CQ1691" s="2060"/>
      <c r="CR1691" s="2060"/>
      <c r="CS1691" s="2060"/>
      <c r="CT1691" s="2060"/>
      <c r="CU1691" s="2060"/>
      <c r="CV1691" s="2060"/>
      <c r="CW1691" s="2060"/>
      <c r="CX1691" s="2060"/>
      <c r="CY1691" s="2060"/>
      <c r="CZ1691" s="2060"/>
      <c r="DA1691" s="2060"/>
      <c r="DB1691" s="2060"/>
      <c r="DC1691" s="2060"/>
      <c r="DD1691" s="2060"/>
      <c r="DE1691" s="2060"/>
      <c r="DF1691" s="2060"/>
      <c r="DG1691" s="2060"/>
      <c r="DH1691" s="2060"/>
      <c r="DI1691" s="2060"/>
      <c r="DJ1691" s="2060"/>
      <c r="DK1691" s="2060"/>
      <c r="DL1691" s="2060"/>
      <c r="DM1691" s="2060"/>
      <c r="DN1691" s="2060"/>
      <c r="DO1691" s="2060"/>
      <c r="DP1691" s="2060"/>
      <c r="DQ1691" s="2060"/>
      <c r="DR1691" s="2060"/>
      <c r="DS1691" s="2060"/>
      <c r="DT1691" s="2060"/>
      <c r="DU1691" s="2060"/>
      <c r="DV1691" s="2060"/>
      <c r="DW1691" s="2060"/>
      <c r="DX1691" s="2060"/>
      <c r="DY1691" s="2060"/>
      <c r="DZ1691" s="2060"/>
      <c r="EA1691" s="2060"/>
      <c r="EB1691" s="2060"/>
      <c r="EC1691" s="2060"/>
      <c r="ED1691" s="2060"/>
      <c r="EE1691" s="2060"/>
      <c r="EF1691" s="2060"/>
      <c r="EG1691" s="2060"/>
      <c r="EH1691" s="2060"/>
      <c r="EI1691" s="2060"/>
      <c r="EJ1691" s="2060"/>
      <c r="EK1691" s="2060"/>
      <c r="EL1691" s="2060"/>
      <c r="EM1691" s="2060"/>
      <c r="EN1691" s="2060"/>
      <c r="EO1691" s="2060"/>
      <c r="EP1691" s="2060"/>
      <c r="EQ1691" s="2060"/>
      <c r="ER1691" s="2060"/>
      <c r="ES1691" s="2060"/>
      <c r="ET1691" s="2060"/>
      <c r="EU1691" s="2060"/>
      <c r="EV1691" s="2060"/>
      <c r="EW1691" s="2060"/>
      <c r="EX1691" s="2060"/>
      <c r="EY1691" s="2060"/>
      <c r="EZ1691" s="2060"/>
      <c r="FA1691" s="2060"/>
      <c r="FB1691" s="2060"/>
      <c r="FC1691" s="2060"/>
      <c r="FD1691" s="2060"/>
      <c r="FE1691" s="2060"/>
      <c r="FF1691" s="2060"/>
      <c r="FG1691" s="2060"/>
      <c r="FH1691" s="2060"/>
      <c r="FI1691" s="2060"/>
      <c r="FJ1691" s="2060"/>
      <c r="FK1691" s="2060"/>
      <c r="FL1691" s="2060"/>
      <c r="FM1691" s="2060"/>
      <c r="FN1691" s="2060"/>
      <c r="FO1691" s="2060"/>
      <c r="FP1691" s="2060"/>
      <c r="FQ1691" s="2060"/>
      <c r="FR1691" s="2060"/>
      <c r="FS1691" s="2060"/>
      <c r="FT1691" s="2060"/>
      <c r="FU1691" s="2060"/>
      <c r="FV1691" s="2060"/>
      <c r="FW1691" s="2060"/>
      <c r="FX1691" s="2060"/>
      <c r="FY1691" s="2060"/>
      <c r="FZ1691" s="2060"/>
      <c r="GA1691" s="2060"/>
      <c r="GB1691" s="2060"/>
      <c r="GC1691" s="2060"/>
      <c r="GD1691" s="2060"/>
      <c r="GE1691" s="2060"/>
      <c r="GF1691" s="2060"/>
      <c r="GG1691" s="2060"/>
      <c r="GH1691" s="2060"/>
      <c r="GI1691" s="2060"/>
      <c r="GJ1691" s="2060"/>
      <c r="GK1691" s="2060"/>
      <c r="GL1691" s="2060"/>
      <c r="GM1691" s="2060"/>
      <c r="GN1691" s="2060"/>
      <c r="GO1691" s="2060"/>
      <c r="GP1691" s="2060"/>
      <c r="GQ1691" s="2060"/>
      <c r="GR1691" s="2060"/>
      <c r="GS1691" s="2060"/>
      <c r="GT1691" s="2060"/>
      <c r="GU1691" s="2060"/>
      <c r="GV1691" s="2060"/>
      <c r="GW1691" s="2060"/>
      <c r="GX1691" s="2060"/>
      <c r="GY1691" s="2060"/>
      <c r="GZ1691" s="2060"/>
      <c r="HA1691" s="2060"/>
      <c r="HB1691" s="2060"/>
      <c r="HC1691" s="2060"/>
      <c r="HD1691" s="2060"/>
      <c r="HE1691" s="2060"/>
      <c r="HF1691" s="2060"/>
      <c r="HG1691" s="2060"/>
      <c r="HH1691" s="2060"/>
      <c r="HI1691" s="2060"/>
      <c r="HJ1691" s="2060"/>
      <c r="HK1691" s="2060"/>
      <c r="HL1691" s="2060"/>
      <c r="HM1691" s="2060"/>
      <c r="HN1691" s="2060"/>
      <c r="HO1691" s="2060"/>
      <c r="HP1691" s="2060"/>
      <c r="HQ1691" s="2060"/>
      <c r="HR1691" s="2060"/>
      <c r="HS1691" s="2060"/>
      <c r="HT1691" s="2060"/>
      <c r="HU1691" s="2060"/>
      <c r="HV1691" s="2060"/>
      <c r="HW1691" s="2060"/>
      <c r="HX1691" s="2060"/>
      <c r="HY1691" s="2060"/>
      <c r="HZ1691" s="2060"/>
      <c r="IA1691" s="2060"/>
      <c r="IB1691" s="2060"/>
      <c r="IC1691" s="2060"/>
      <c r="ID1691" s="2060"/>
      <c r="IE1691" s="2060"/>
      <c r="IF1691" s="2060"/>
      <c r="IG1691" s="2060"/>
      <c r="IH1691" s="2060"/>
      <c r="II1691" s="2060"/>
      <c r="IJ1691" s="2060"/>
      <c r="IK1691" s="2060"/>
      <c r="IL1691" s="2060"/>
      <c r="IM1691" s="2060"/>
      <c r="IN1691" s="2060"/>
      <c r="IO1691" s="2060"/>
      <c r="IP1691" s="2060"/>
      <c r="IQ1691" s="2060"/>
      <c r="IR1691" s="2060"/>
      <c r="IS1691" s="2060"/>
      <c r="IT1691" s="2060"/>
      <c r="IU1691" s="2060"/>
      <c r="IV1691" s="2060"/>
      <c r="IW1691" s="2060"/>
      <c r="IX1691" s="2060"/>
      <c r="IY1691" s="2060"/>
      <c r="IZ1691" s="2060"/>
      <c r="JA1691" s="2060"/>
      <c r="JB1691" s="2060"/>
      <c r="JC1691" s="2060"/>
      <c r="JD1691" s="2060"/>
      <c r="JE1691" s="2060"/>
      <c r="JF1691" s="2060"/>
      <c r="JG1691" s="2060"/>
      <c r="JH1691" s="2060"/>
      <c r="JI1691" s="2060"/>
      <c r="JJ1691" s="2060"/>
      <c r="JK1691" s="2060"/>
      <c r="JL1691" s="2060"/>
      <c r="JM1691" s="2060"/>
      <c r="JN1691" s="2060"/>
      <c r="JO1691" s="2060"/>
      <c r="JP1691" s="2060"/>
      <c r="JQ1691" s="2060"/>
      <c r="JR1691" s="2060"/>
      <c r="JS1691" s="2060"/>
      <c r="JT1691" s="2060"/>
      <c r="JU1691" s="2060"/>
      <c r="JV1691" s="2060"/>
      <c r="JW1691" s="2060"/>
      <c r="JX1691" s="2060"/>
      <c r="JY1691" s="2060"/>
      <c r="JZ1691" s="2060"/>
      <c r="KA1691" s="2060"/>
      <c r="KB1691" s="2060"/>
      <c r="KC1691" s="2060"/>
      <c r="KD1691" s="2060"/>
      <c r="KE1691" s="2060"/>
      <c r="KF1691" s="2060"/>
      <c r="KG1691" s="2060"/>
      <c r="KH1691" s="2060"/>
      <c r="KI1691" s="2060"/>
      <c r="KJ1691" s="2060"/>
      <c r="KK1691" s="2060"/>
      <c r="KL1691" s="2060"/>
      <c r="KM1691" s="2060"/>
      <c r="KN1691" s="2060"/>
      <c r="KO1691" s="2060"/>
      <c r="KP1691" s="2060"/>
      <c r="KQ1691" s="2060"/>
      <c r="KR1691" s="2060"/>
      <c r="KS1691" s="2060"/>
      <c r="KT1691" s="2060"/>
      <c r="KU1691" s="2060"/>
      <c r="KV1691" s="2060"/>
      <c r="KW1691" s="2060"/>
      <c r="KX1691" s="2060"/>
      <c r="KY1691" s="2060"/>
      <c r="KZ1691" s="2060"/>
      <c r="LA1691" s="2060"/>
      <c r="LB1691" s="2060"/>
      <c r="LC1691" s="2060"/>
      <c r="LD1691" s="2060"/>
      <c r="LE1691" s="2060"/>
      <c r="LF1691" s="2060"/>
      <c r="LG1691" s="2060"/>
      <c r="LH1691" s="2060"/>
    </row>
    <row r="1692" spans="1:320" s="1499" customFormat="1" ht="13.9">
      <c r="A1692" s="269" t="str">
        <f t="shared" si="447"/>
        <v>n</v>
      </c>
      <c r="B1692" s="2060"/>
      <c r="C1692" s="2060"/>
      <c r="D1692" s="2060"/>
      <c r="E1692" s="1661">
        <v>18</v>
      </c>
      <c r="F1692" s="1353" t="str">
        <f>F$146</f>
        <v>--</v>
      </c>
      <c r="G1692" s="128">
        <f>G$146</f>
        <v>0</v>
      </c>
      <c r="H1692" s="128" t="str">
        <f>H$146</f>
        <v>--</v>
      </c>
      <c r="I1692" s="255"/>
      <c r="J1692" s="2197" t="str">
        <f t="shared" ref="J1692:V1692" si="464">IFERROR(IF($F$315="Total debt",J1634,IF($F$315="Net debt",J1634-J1663,MAX(J1634-J1663,0))),"--")</f>
        <v/>
      </c>
      <c r="K1692" s="2197" t="str">
        <f t="shared" si="464"/>
        <v/>
      </c>
      <c r="L1692" s="2197" t="str">
        <f t="shared" si="445"/>
        <v/>
      </c>
      <c r="M1692" s="2197" t="str">
        <f t="shared" si="445"/>
        <v/>
      </c>
      <c r="N1692" s="2197" t="str">
        <f t="shared" si="445"/>
        <v/>
      </c>
      <c r="O1692" s="2197" t="str">
        <f t="shared" si="464"/>
        <v/>
      </c>
      <c r="P1692" s="2197" t="str">
        <f t="shared" si="464"/>
        <v/>
      </c>
      <c r="Q1692" s="2197" t="str">
        <f t="shared" si="464"/>
        <v/>
      </c>
      <c r="R1692" s="2197" t="str">
        <f t="shared" si="464"/>
        <v/>
      </c>
      <c r="S1692" s="2197" t="str">
        <f t="shared" si="464"/>
        <v/>
      </c>
      <c r="T1692" s="2197" t="str">
        <f t="shared" si="464"/>
        <v/>
      </c>
      <c r="U1692" s="2197" t="str">
        <f t="shared" si="464"/>
        <v/>
      </c>
      <c r="V1692" s="2197" t="str">
        <f t="shared" si="464"/>
        <v/>
      </c>
      <c r="W1692" s="1479"/>
      <c r="X1692" s="255"/>
      <c r="Y1692" s="255"/>
      <c r="Z1692" s="2060"/>
      <c r="AA1692" s="2060"/>
      <c r="AB1692" s="2060"/>
      <c r="AC1692" s="2060"/>
      <c r="AD1692" s="2060"/>
      <c r="AE1692" s="2060"/>
      <c r="AF1692" s="2060"/>
      <c r="AG1692" s="2060"/>
      <c r="AH1692" s="2060"/>
      <c r="AI1692" s="2060"/>
      <c r="AJ1692" s="2060"/>
      <c r="AK1692" s="2060"/>
      <c r="AL1692" s="2060"/>
      <c r="AM1692" s="2060"/>
      <c r="AN1692" s="2060"/>
      <c r="AO1692" s="2060"/>
      <c r="AP1692" s="2060"/>
      <c r="AQ1692" s="2060"/>
      <c r="AR1692" s="2060"/>
      <c r="AS1692" s="2060"/>
      <c r="AT1692" s="2060"/>
      <c r="AU1692" s="2060"/>
      <c r="AV1692" s="2060"/>
      <c r="AW1692" s="2060"/>
      <c r="AX1692" s="2060"/>
      <c r="AY1692" s="2060"/>
      <c r="AZ1692" s="2060"/>
      <c r="BA1692" s="2060"/>
      <c r="BB1692" s="2060"/>
      <c r="BC1692" s="2060"/>
      <c r="BD1692" s="2060"/>
      <c r="BE1692" s="2060"/>
      <c r="BF1692" s="2060"/>
      <c r="BG1692" s="2060"/>
      <c r="BH1692" s="2060"/>
      <c r="BI1692" s="2060"/>
      <c r="BJ1692" s="2060"/>
      <c r="BK1692" s="2060"/>
      <c r="BL1692" s="2060"/>
      <c r="BM1692" s="2060"/>
      <c r="BN1692" s="2060"/>
      <c r="BO1692" s="2060"/>
      <c r="BP1692" s="2060"/>
      <c r="BQ1692" s="2060"/>
      <c r="BR1692" s="2060"/>
      <c r="BS1692" s="2060"/>
      <c r="BT1692" s="2060"/>
      <c r="BU1692" s="2060"/>
      <c r="BV1692" s="2060"/>
      <c r="BW1692" s="2060"/>
      <c r="BX1692" s="2060"/>
      <c r="BY1692" s="2060"/>
      <c r="BZ1692" s="2060"/>
      <c r="CA1692" s="2060"/>
      <c r="CB1692" s="2060"/>
      <c r="CC1692" s="2060"/>
      <c r="CD1692" s="2060"/>
      <c r="CE1692" s="2060"/>
      <c r="CF1692" s="2060"/>
      <c r="CG1692" s="2060"/>
      <c r="CH1692" s="2060"/>
      <c r="CI1692" s="2060"/>
      <c r="CJ1692" s="2060"/>
      <c r="CK1692" s="2060"/>
      <c r="CL1692" s="2060"/>
      <c r="CM1692" s="2060"/>
      <c r="CN1692" s="2060"/>
      <c r="CO1692" s="2060"/>
      <c r="CP1692" s="2060"/>
      <c r="CQ1692" s="2060"/>
      <c r="CR1692" s="2060"/>
      <c r="CS1692" s="2060"/>
      <c r="CT1692" s="2060"/>
      <c r="CU1692" s="2060"/>
      <c r="CV1692" s="2060"/>
      <c r="CW1692" s="2060"/>
      <c r="CX1692" s="2060"/>
      <c r="CY1692" s="2060"/>
      <c r="CZ1692" s="2060"/>
      <c r="DA1692" s="2060"/>
      <c r="DB1692" s="2060"/>
      <c r="DC1692" s="2060"/>
      <c r="DD1692" s="2060"/>
      <c r="DE1692" s="2060"/>
      <c r="DF1692" s="2060"/>
      <c r="DG1692" s="2060"/>
      <c r="DH1692" s="2060"/>
      <c r="DI1692" s="2060"/>
      <c r="DJ1692" s="2060"/>
      <c r="DK1692" s="2060"/>
      <c r="DL1692" s="2060"/>
      <c r="DM1692" s="2060"/>
      <c r="DN1692" s="2060"/>
      <c r="DO1692" s="2060"/>
      <c r="DP1692" s="2060"/>
      <c r="DQ1692" s="2060"/>
      <c r="DR1692" s="2060"/>
      <c r="DS1692" s="2060"/>
      <c r="DT1692" s="2060"/>
      <c r="DU1692" s="2060"/>
      <c r="DV1692" s="2060"/>
      <c r="DW1692" s="2060"/>
      <c r="DX1692" s="2060"/>
      <c r="DY1692" s="2060"/>
      <c r="DZ1692" s="2060"/>
      <c r="EA1692" s="2060"/>
      <c r="EB1692" s="2060"/>
      <c r="EC1692" s="2060"/>
      <c r="ED1692" s="2060"/>
      <c r="EE1692" s="2060"/>
      <c r="EF1692" s="2060"/>
      <c r="EG1692" s="2060"/>
      <c r="EH1692" s="2060"/>
      <c r="EI1692" s="2060"/>
      <c r="EJ1692" s="2060"/>
      <c r="EK1692" s="2060"/>
      <c r="EL1692" s="2060"/>
      <c r="EM1692" s="2060"/>
      <c r="EN1692" s="2060"/>
      <c r="EO1692" s="2060"/>
      <c r="EP1692" s="2060"/>
      <c r="EQ1692" s="2060"/>
      <c r="ER1692" s="2060"/>
      <c r="ES1692" s="2060"/>
      <c r="ET1692" s="2060"/>
      <c r="EU1692" s="2060"/>
      <c r="EV1692" s="2060"/>
      <c r="EW1692" s="2060"/>
      <c r="EX1692" s="2060"/>
      <c r="EY1692" s="2060"/>
      <c r="EZ1692" s="2060"/>
      <c r="FA1692" s="2060"/>
      <c r="FB1692" s="2060"/>
      <c r="FC1692" s="2060"/>
      <c r="FD1692" s="2060"/>
      <c r="FE1692" s="2060"/>
      <c r="FF1692" s="2060"/>
      <c r="FG1692" s="2060"/>
      <c r="FH1692" s="2060"/>
      <c r="FI1692" s="2060"/>
      <c r="FJ1692" s="2060"/>
      <c r="FK1692" s="2060"/>
      <c r="FL1692" s="2060"/>
      <c r="FM1692" s="2060"/>
      <c r="FN1692" s="2060"/>
      <c r="FO1692" s="2060"/>
      <c r="FP1692" s="2060"/>
      <c r="FQ1692" s="2060"/>
      <c r="FR1692" s="2060"/>
      <c r="FS1692" s="2060"/>
      <c r="FT1692" s="2060"/>
      <c r="FU1692" s="2060"/>
      <c r="FV1692" s="2060"/>
      <c r="FW1692" s="2060"/>
      <c r="FX1692" s="2060"/>
      <c r="FY1692" s="2060"/>
      <c r="FZ1692" s="2060"/>
      <c r="GA1692" s="2060"/>
      <c r="GB1692" s="2060"/>
      <c r="GC1692" s="2060"/>
      <c r="GD1692" s="2060"/>
      <c r="GE1692" s="2060"/>
      <c r="GF1692" s="2060"/>
      <c r="GG1692" s="2060"/>
      <c r="GH1692" s="2060"/>
      <c r="GI1692" s="2060"/>
      <c r="GJ1692" s="2060"/>
      <c r="GK1692" s="2060"/>
      <c r="GL1692" s="2060"/>
      <c r="GM1692" s="2060"/>
      <c r="GN1692" s="2060"/>
      <c r="GO1692" s="2060"/>
      <c r="GP1692" s="2060"/>
      <c r="GQ1692" s="2060"/>
      <c r="GR1692" s="2060"/>
      <c r="GS1692" s="2060"/>
      <c r="GT1692" s="2060"/>
      <c r="GU1692" s="2060"/>
      <c r="GV1692" s="2060"/>
      <c r="GW1692" s="2060"/>
      <c r="GX1692" s="2060"/>
      <c r="GY1692" s="2060"/>
      <c r="GZ1692" s="2060"/>
      <c r="HA1692" s="2060"/>
      <c r="HB1692" s="2060"/>
      <c r="HC1692" s="2060"/>
      <c r="HD1692" s="2060"/>
      <c r="HE1692" s="2060"/>
      <c r="HF1692" s="2060"/>
      <c r="HG1692" s="2060"/>
      <c r="HH1692" s="2060"/>
      <c r="HI1692" s="2060"/>
      <c r="HJ1692" s="2060"/>
      <c r="HK1692" s="2060"/>
      <c r="HL1692" s="2060"/>
      <c r="HM1692" s="2060"/>
      <c r="HN1692" s="2060"/>
      <c r="HO1692" s="2060"/>
      <c r="HP1692" s="2060"/>
      <c r="HQ1692" s="2060"/>
      <c r="HR1692" s="2060"/>
      <c r="HS1692" s="2060"/>
      <c r="HT1692" s="2060"/>
      <c r="HU1692" s="2060"/>
      <c r="HV1692" s="2060"/>
      <c r="HW1692" s="2060"/>
      <c r="HX1692" s="2060"/>
      <c r="HY1692" s="2060"/>
      <c r="HZ1692" s="2060"/>
      <c r="IA1692" s="2060"/>
      <c r="IB1692" s="2060"/>
      <c r="IC1692" s="2060"/>
      <c r="ID1692" s="2060"/>
      <c r="IE1692" s="2060"/>
      <c r="IF1692" s="2060"/>
      <c r="IG1692" s="2060"/>
      <c r="IH1692" s="2060"/>
      <c r="II1692" s="2060"/>
      <c r="IJ1692" s="2060"/>
      <c r="IK1692" s="2060"/>
      <c r="IL1692" s="2060"/>
      <c r="IM1692" s="2060"/>
      <c r="IN1692" s="2060"/>
      <c r="IO1692" s="2060"/>
      <c r="IP1692" s="2060"/>
      <c r="IQ1692" s="2060"/>
      <c r="IR1692" s="2060"/>
      <c r="IS1692" s="2060"/>
      <c r="IT1692" s="2060"/>
      <c r="IU1692" s="2060"/>
      <c r="IV1692" s="2060"/>
      <c r="IW1692" s="2060"/>
      <c r="IX1692" s="2060"/>
      <c r="IY1692" s="2060"/>
      <c r="IZ1692" s="2060"/>
      <c r="JA1692" s="2060"/>
      <c r="JB1692" s="2060"/>
      <c r="JC1692" s="2060"/>
      <c r="JD1692" s="2060"/>
      <c r="JE1692" s="2060"/>
      <c r="JF1692" s="2060"/>
      <c r="JG1692" s="2060"/>
      <c r="JH1692" s="2060"/>
      <c r="JI1692" s="2060"/>
      <c r="JJ1692" s="2060"/>
      <c r="JK1692" s="2060"/>
      <c r="JL1692" s="2060"/>
      <c r="JM1692" s="2060"/>
      <c r="JN1692" s="2060"/>
      <c r="JO1692" s="2060"/>
      <c r="JP1692" s="2060"/>
      <c r="JQ1692" s="2060"/>
      <c r="JR1692" s="2060"/>
      <c r="JS1692" s="2060"/>
      <c r="JT1692" s="2060"/>
      <c r="JU1692" s="2060"/>
      <c r="JV1692" s="2060"/>
      <c r="JW1692" s="2060"/>
      <c r="JX1692" s="2060"/>
      <c r="JY1692" s="2060"/>
      <c r="JZ1692" s="2060"/>
      <c r="KA1692" s="2060"/>
      <c r="KB1692" s="2060"/>
      <c r="KC1692" s="2060"/>
      <c r="KD1692" s="2060"/>
      <c r="KE1692" s="2060"/>
      <c r="KF1692" s="2060"/>
      <c r="KG1692" s="2060"/>
      <c r="KH1692" s="2060"/>
      <c r="KI1692" s="2060"/>
      <c r="KJ1692" s="2060"/>
      <c r="KK1692" s="2060"/>
      <c r="KL1692" s="2060"/>
      <c r="KM1692" s="2060"/>
      <c r="KN1692" s="2060"/>
      <c r="KO1692" s="2060"/>
      <c r="KP1692" s="2060"/>
      <c r="KQ1692" s="2060"/>
      <c r="KR1692" s="2060"/>
      <c r="KS1692" s="2060"/>
      <c r="KT1692" s="2060"/>
      <c r="KU1692" s="2060"/>
      <c r="KV1692" s="2060"/>
      <c r="KW1692" s="2060"/>
      <c r="KX1692" s="2060"/>
      <c r="KY1692" s="2060"/>
      <c r="KZ1692" s="2060"/>
      <c r="LA1692" s="2060"/>
      <c r="LB1692" s="2060"/>
      <c r="LC1692" s="2060"/>
      <c r="LD1692" s="2060"/>
      <c r="LE1692" s="2060"/>
      <c r="LF1692" s="2060"/>
      <c r="LG1692" s="2060"/>
      <c r="LH1692" s="2060"/>
    </row>
    <row r="1693" spans="1:320" s="1499" customFormat="1" ht="13.9">
      <c r="A1693" s="269" t="str">
        <f t="shared" si="447"/>
        <v>n</v>
      </c>
      <c r="B1693" s="2060"/>
      <c r="C1693" s="2060"/>
      <c r="D1693" s="2060"/>
      <c r="E1693" s="1661">
        <v>19</v>
      </c>
      <c r="F1693" s="1353" t="str">
        <f>F$147</f>
        <v>--</v>
      </c>
      <c r="G1693" s="128">
        <f>G$147</f>
        <v>0</v>
      </c>
      <c r="H1693" s="128" t="str">
        <f>H$147</f>
        <v>--</v>
      </c>
      <c r="I1693" s="255"/>
      <c r="J1693" s="2197" t="str">
        <f t="shared" ref="J1693:V1693" si="465">IFERROR(IF($F$315="Total debt",J1635,IF($F$315="Net debt",J1635-J1664,MAX(J1635-J1664,0))),"--")</f>
        <v/>
      </c>
      <c r="K1693" s="2197" t="str">
        <f t="shared" si="465"/>
        <v/>
      </c>
      <c r="L1693" s="2197" t="str">
        <f t="shared" si="445"/>
        <v/>
      </c>
      <c r="M1693" s="2197" t="str">
        <f t="shared" si="445"/>
        <v/>
      </c>
      <c r="N1693" s="2197" t="str">
        <f t="shared" si="445"/>
        <v/>
      </c>
      <c r="O1693" s="2197" t="str">
        <f t="shared" si="465"/>
        <v/>
      </c>
      <c r="P1693" s="2197" t="str">
        <f t="shared" si="465"/>
        <v/>
      </c>
      <c r="Q1693" s="2197" t="str">
        <f t="shared" si="465"/>
        <v/>
      </c>
      <c r="R1693" s="2197" t="str">
        <f t="shared" si="465"/>
        <v/>
      </c>
      <c r="S1693" s="2197" t="str">
        <f t="shared" si="465"/>
        <v/>
      </c>
      <c r="T1693" s="2197" t="str">
        <f t="shared" si="465"/>
        <v/>
      </c>
      <c r="U1693" s="2197" t="str">
        <f t="shared" si="465"/>
        <v/>
      </c>
      <c r="V1693" s="2197" t="str">
        <f t="shared" si="465"/>
        <v/>
      </c>
      <c r="W1693" s="1479"/>
      <c r="X1693" s="255"/>
      <c r="Y1693" s="255"/>
      <c r="Z1693" s="2060"/>
      <c r="AA1693" s="2060"/>
      <c r="AB1693" s="2060"/>
      <c r="AC1693" s="2060"/>
      <c r="AD1693" s="2060"/>
      <c r="AE1693" s="2060"/>
      <c r="AF1693" s="2060"/>
      <c r="AG1693" s="2060"/>
      <c r="AH1693" s="2060"/>
      <c r="AI1693" s="2060"/>
      <c r="AJ1693" s="2060"/>
      <c r="AK1693" s="2060"/>
      <c r="AL1693" s="2060"/>
      <c r="AM1693" s="2060"/>
      <c r="AN1693" s="2060"/>
      <c r="AO1693" s="2060"/>
      <c r="AP1693" s="2060"/>
      <c r="AQ1693" s="2060"/>
      <c r="AR1693" s="2060"/>
      <c r="AS1693" s="2060"/>
      <c r="AT1693" s="2060"/>
      <c r="AU1693" s="2060"/>
      <c r="AV1693" s="2060"/>
      <c r="AW1693" s="2060"/>
      <c r="AX1693" s="2060"/>
      <c r="AY1693" s="2060"/>
      <c r="AZ1693" s="2060"/>
      <c r="BA1693" s="2060"/>
      <c r="BB1693" s="2060"/>
      <c r="BC1693" s="2060"/>
      <c r="BD1693" s="2060"/>
      <c r="BE1693" s="2060"/>
      <c r="BF1693" s="2060"/>
      <c r="BG1693" s="2060"/>
      <c r="BH1693" s="2060"/>
      <c r="BI1693" s="2060"/>
      <c r="BJ1693" s="2060"/>
      <c r="BK1693" s="2060"/>
      <c r="BL1693" s="2060"/>
      <c r="BM1693" s="2060"/>
      <c r="BN1693" s="2060"/>
      <c r="BO1693" s="2060"/>
      <c r="BP1693" s="2060"/>
      <c r="BQ1693" s="2060"/>
      <c r="BR1693" s="2060"/>
      <c r="BS1693" s="2060"/>
      <c r="BT1693" s="2060"/>
      <c r="BU1693" s="2060"/>
      <c r="BV1693" s="2060"/>
      <c r="BW1693" s="2060"/>
      <c r="BX1693" s="2060"/>
      <c r="BY1693" s="2060"/>
      <c r="BZ1693" s="2060"/>
      <c r="CA1693" s="2060"/>
      <c r="CB1693" s="2060"/>
      <c r="CC1693" s="2060"/>
      <c r="CD1693" s="2060"/>
      <c r="CE1693" s="2060"/>
      <c r="CF1693" s="2060"/>
      <c r="CG1693" s="2060"/>
      <c r="CH1693" s="2060"/>
      <c r="CI1693" s="2060"/>
      <c r="CJ1693" s="2060"/>
      <c r="CK1693" s="2060"/>
      <c r="CL1693" s="2060"/>
      <c r="CM1693" s="2060"/>
      <c r="CN1693" s="2060"/>
      <c r="CO1693" s="2060"/>
      <c r="CP1693" s="2060"/>
      <c r="CQ1693" s="2060"/>
      <c r="CR1693" s="2060"/>
      <c r="CS1693" s="2060"/>
      <c r="CT1693" s="2060"/>
      <c r="CU1693" s="2060"/>
      <c r="CV1693" s="2060"/>
      <c r="CW1693" s="2060"/>
      <c r="CX1693" s="2060"/>
      <c r="CY1693" s="2060"/>
      <c r="CZ1693" s="2060"/>
      <c r="DA1693" s="2060"/>
      <c r="DB1693" s="2060"/>
      <c r="DC1693" s="2060"/>
      <c r="DD1693" s="2060"/>
      <c r="DE1693" s="2060"/>
      <c r="DF1693" s="2060"/>
      <c r="DG1693" s="2060"/>
      <c r="DH1693" s="2060"/>
      <c r="DI1693" s="2060"/>
      <c r="DJ1693" s="2060"/>
      <c r="DK1693" s="2060"/>
      <c r="DL1693" s="2060"/>
      <c r="DM1693" s="2060"/>
      <c r="DN1693" s="2060"/>
      <c r="DO1693" s="2060"/>
      <c r="DP1693" s="2060"/>
      <c r="DQ1693" s="2060"/>
      <c r="DR1693" s="2060"/>
      <c r="DS1693" s="2060"/>
      <c r="DT1693" s="2060"/>
      <c r="DU1693" s="2060"/>
      <c r="DV1693" s="2060"/>
      <c r="DW1693" s="2060"/>
      <c r="DX1693" s="2060"/>
      <c r="DY1693" s="2060"/>
      <c r="DZ1693" s="2060"/>
      <c r="EA1693" s="2060"/>
      <c r="EB1693" s="2060"/>
      <c r="EC1693" s="2060"/>
      <c r="ED1693" s="2060"/>
      <c r="EE1693" s="2060"/>
      <c r="EF1693" s="2060"/>
      <c r="EG1693" s="2060"/>
      <c r="EH1693" s="2060"/>
      <c r="EI1693" s="2060"/>
      <c r="EJ1693" s="2060"/>
      <c r="EK1693" s="2060"/>
      <c r="EL1693" s="2060"/>
      <c r="EM1693" s="2060"/>
      <c r="EN1693" s="2060"/>
      <c r="EO1693" s="2060"/>
      <c r="EP1693" s="2060"/>
      <c r="EQ1693" s="2060"/>
      <c r="ER1693" s="2060"/>
      <c r="ES1693" s="2060"/>
      <c r="ET1693" s="2060"/>
      <c r="EU1693" s="2060"/>
      <c r="EV1693" s="2060"/>
      <c r="EW1693" s="2060"/>
      <c r="EX1693" s="2060"/>
      <c r="EY1693" s="2060"/>
      <c r="EZ1693" s="2060"/>
      <c r="FA1693" s="2060"/>
      <c r="FB1693" s="2060"/>
      <c r="FC1693" s="2060"/>
      <c r="FD1693" s="2060"/>
      <c r="FE1693" s="2060"/>
      <c r="FF1693" s="2060"/>
      <c r="FG1693" s="2060"/>
      <c r="FH1693" s="2060"/>
      <c r="FI1693" s="2060"/>
      <c r="FJ1693" s="2060"/>
      <c r="FK1693" s="2060"/>
      <c r="FL1693" s="2060"/>
      <c r="FM1693" s="2060"/>
      <c r="FN1693" s="2060"/>
      <c r="FO1693" s="2060"/>
      <c r="FP1693" s="2060"/>
      <c r="FQ1693" s="2060"/>
      <c r="FR1693" s="2060"/>
      <c r="FS1693" s="2060"/>
      <c r="FT1693" s="2060"/>
      <c r="FU1693" s="2060"/>
      <c r="FV1693" s="2060"/>
      <c r="FW1693" s="2060"/>
      <c r="FX1693" s="2060"/>
      <c r="FY1693" s="2060"/>
      <c r="FZ1693" s="2060"/>
      <c r="GA1693" s="2060"/>
      <c r="GB1693" s="2060"/>
      <c r="GC1693" s="2060"/>
      <c r="GD1693" s="2060"/>
      <c r="GE1693" s="2060"/>
      <c r="GF1693" s="2060"/>
      <c r="GG1693" s="2060"/>
      <c r="GH1693" s="2060"/>
      <c r="GI1693" s="2060"/>
      <c r="GJ1693" s="2060"/>
      <c r="GK1693" s="2060"/>
      <c r="GL1693" s="2060"/>
      <c r="GM1693" s="2060"/>
      <c r="GN1693" s="2060"/>
      <c r="GO1693" s="2060"/>
      <c r="GP1693" s="2060"/>
      <c r="GQ1693" s="2060"/>
      <c r="GR1693" s="2060"/>
      <c r="GS1693" s="2060"/>
      <c r="GT1693" s="2060"/>
      <c r="GU1693" s="2060"/>
      <c r="GV1693" s="2060"/>
      <c r="GW1693" s="2060"/>
      <c r="GX1693" s="2060"/>
      <c r="GY1693" s="2060"/>
      <c r="GZ1693" s="2060"/>
      <c r="HA1693" s="2060"/>
      <c r="HB1693" s="2060"/>
      <c r="HC1693" s="2060"/>
      <c r="HD1693" s="2060"/>
      <c r="HE1693" s="2060"/>
      <c r="HF1693" s="2060"/>
      <c r="HG1693" s="2060"/>
      <c r="HH1693" s="2060"/>
      <c r="HI1693" s="2060"/>
      <c r="HJ1693" s="2060"/>
      <c r="HK1693" s="2060"/>
      <c r="HL1693" s="2060"/>
      <c r="HM1693" s="2060"/>
      <c r="HN1693" s="2060"/>
      <c r="HO1693" s="2060"/>
      <c r="HP1693" s="2060"/>
      <c r="HQ1693" s="2060"/>
      <c r="HR1693" s="2060"/>
      <c r="HS1693" s="2060"/>
      <c r="HT1693" s="2060"/>
      <c r="HU1693" s="2060"/>
      <c r="HV1693" s="2060"/>
      <c r="HW1693" s="2060"/>
      <c r="HX1693" s="2060"/>
      <c r="HY1693" s="2060"/>
      <c r="HZ1693" s="2060"/>
      <c r="IA1693" s="2060"/>
      <c r="IB1693" s="2060"/>
      <c r="IC1693" s="2060"/>
      <c r="ID1693" s="2060"/>
      <c r="IE1693" s="2060"/>
      <c r="IF1693" s="2060"/>
      <c r="IG1693" s="2060"/>
      <c r="IH1693" s="2060"/>
      <c r="II1693" s="2060"/>
      <c r="IJ1693" s="2060"/>
      <c r="IK1693" s="2060"/>
      <c r="IL1693" s="2060"/>
      <c r="IM1693" s="2060"/>
      <c r="IN1693" s="2060"/>
      <c r="IO1693" s="2060"/>
      <c r="IP1693" s="2060"/>
      <c r="IQ1693" s="2060"/>
      <c r="IR1693" s="2060"/>
      <c r="IS1693" s="2060"/>
      <c r="IT1693" s="2060"/>
      <c r="IU1693" s="2060"/>
      <c r="IV1693" s="2060"/>
      <c r="IW1693" s="2060"/>
      <c r="IX1693" s="2060"/>
      <c r="IY1693" s="2060"/>
      <c r="IZ1693" s="2060"/>
      <c r="JA1693" s="2060"/>
      <c r="JB1693" s="2060"/>
      <c r="JC1693" s="2060"/>
      <c r="JD1693" s="2060"/>
      <c r="JE1693" s="2060"/>
      <c r="JF1693" s="2060"/>
      <c r="JG1693" s="2060"/>
      <c r="JH1693" s="2060"/>
      <c r="JI1693" s="2060"/>
      <c r="JJ1693" s="2060"/>
      <c r="JK1693" s="2060"/>
      <c r="JL1693" s="2060"/>
      <c r="JM1693" s="2060"/>
      <c r="JN1693" s="2060"/>
      <c r="JO1693" s="2060"/>
      <c r="JP1693" s="2060"/>
      <c r="JQ1693" s="2060"/>
      <c r="JR1693" s="2060"/>
      <c r="JS1693" s="2060"/>
      <c r="JT1693" s="2060"/>
      <c r="JU1693" s="2060"/>
      <c r="JV1693" s="2060"/>
      <c r="JW1693" s="2060"/>
      <c r="JX1693" s="2060"/>
      <c r="JY1693" s="2060"/>
      <c r="JZ1693" s="2060"/>
      <c r="KA1693" s="2060"/>
      <c r="KB1693" s="2060"/>
      <c r="KC1693" s="2060"/>
      <c r="KD1693" s="2060"/>
      <c r="KE1693" s="2060"/>
      <c r="KF1693" s="2060"/>
      <c r="KG1693" s="2060"/>
      <c r="KH1693" s="2060"/>
      <c r="KI1693" s="2060"/>
      <c r="KJ1693" s="2060"/>
      <c r="KK1693" s="2060"/>
      <c r="KL1693" s="2060"/>
      <c r="KM1693" s="2060"/>
      <c r="KN1693" s="2060"/>
      <c r="KO1693" s="2060"/>
      <c r="KP1693" s="2060"/>
      <c r="KQ1693" s="2060"/>
      <c r="KR1693" s="2060"/>
      <c r="KS1693" s="2060"/>
      <c r="KT1693" s="2060"/>
      <c r="KU1693" s="2060"/>
      <c r="KV1693" s="2060"/>
      <c r="KW1693" s="2060"/>
      <c r="KX1693" s="2060"/>
      <c r="KY1693" s="2060"/>
      <c r="KZ1693" s="2060"/>
      <c r="LA1693" s="2060"/>
      <c r="LB1693" s="2060"/>
      <c r="LC1693" s="2060"/>
      <c r="LD1693" s="2060"/>
      <c r="LE1693" s="2060"/>
      <c r="LF1693" s="2060"/>
      <c r="LG1693" s="2060"/>
      <c r="LH1693" s="2060"/>
    </row>
    <row r="1694" spans="1:320" s="1499" customFormat="1" ht="13.9">
      <c r="A1694" s="269" t="str">
        <f t="shared" si="447"/>
        <v>n</v>
      </c>
      <c r="B1694" s="2060"/>
      <c r="C1694" s="2060"/>
      <c r="D1694" s="2060"/>
      <c r="E1694" s="1661">
        <v>20</v>
      </c>
      <c r="F1694" s="1353" t="str">
        <f>F$148</f>
        <v>--</v>
      </c>
      <c r="G1694" s="128">
        <f>G$148</f>
        <v>0</v>
      </c>
      <c r="H1694" s="128" t="str">
        <f>H$148</f>
        <v>--</v>
      </c>
      <c r="I1694" s="255"/>
      <c r="J1694" s="2197" t="str">
        <f t="shared" ref="J1694:V1694" si="466">IFERROR(IF($F$315="Total debt",J1636,IF($F$315="Net debt",J1636-J1665,MAX(J1636-J1665,0))),"--")</f>
        <v/>
      </c>
      <c r="K1694" s="2197" t="str">
        <f t="shared" si="466"/>
        <v/>
      </c>
      <c r="L1694" s="2197" t="str">
        <f t="shared" si="445"/>
        <v/>
      </c>
      <c r="M1694" s="2197" t="str">
        <f t="shared" si="445"/>
        <v/>
      </c>
      <c r="N1694" s="2197" t="str">
        <f t="shared" si="445"/>
        <v/>
      </c>
      <c r="O1694" s="2197" t="str">
        <f t="shared" si="466"/>
        <v/>
      </c>
      <c r="P1694" s="2197" t="str">
        <f t="shared" si="466"/>
        <v/>
      </c>
      <c r="Q1694" s="2197" t="str">
        <f t="shared" si="466"/>
        <v/>
      </c>
      <c r="R1694" s="2197" t="str">
        <f t="shared" si="466"/>
        <v/>
      </c>
      <c r="S1694" s="2197" t="str">
        <f t="shared" si="466"/>
        <v/>
      </c>
      <c r="T1694" s="2197" t="str">
        <f t="shared" si="466"/>
        <v/>
      </c>
      <c r="U1694" s="2197" t="str">
        <f t="shared" si="466"/>
        <v/>
      </c>
      <c r="V1694" s="2197" t="str">
        <f t="shared" si="466"/>
        <v/>
      </c>
      <c r="W1694" s="1479"/>
      <c r="X1694" s="255"/>
      <c r="Y1694" s="255"/>
      <c r="Z1694" s="2060"/>
      <c r="AA1694" s="2060"/>
      <c r="AB1694" s="2060"/>
      <c r="AC1694" s="2060"/>
      <c r="AD1694" s="2060"/>
      <c r="AE1694" s="2060"/>
      <c r="AF1694" s="2060"/>
      <c r="AG1694" s="2060"/>
      <c r="AH1694" s="2060"/>
      <c r="AI1694" s="2060"/>
      <c r="AJ1694" s="2060"/>
      <c r="AK1694" s="2060"/>
      <c r="AL1694" s="2060"/>
      <c r="AM1694" s="2060"/>
      <c r="AN1694" s="2060"/>
      <c r="AO1694" s="2060"/>
      <c r="AP1694" s="2060"/>
      <c r="AQ1694" s="2060"/>
      <c r="AR1694" s="2060"/>
      <c r="AS1694" s="2060"/>
      <c r="AT1694" s="2060"/>
      <c r="AU1694" s="2060"/>
      <c r="AV1694" s="2060"/>
      <c r="AW1694" s="2060"/>
      <c r="AX1694" s="2060"/>
      <c r="AY1694" s="2060"/>
      <c r="AZ1694" s="2060"/>
      <c r="BA1694" s="2060"/>
      <c r="BB1694" s="2060"/>
      <c r="BC1694" s="2060"/>
      <c r="BD1694" s="2060"/>
      <c r="BE1694" s="2060"/>
      <c r="BF1694" s="2060"/>
      <c r="BG1694" s="2060"/>
      <c r="BH1694" s="2060"/>
      <c r="BI1694" s="2060"/>
      <c r="BJ1694" s="2060"/>
      <c r="BK1694" s="2060"/>
      <c r="BL1694" s="2060"/>
      <c r="BM1694" s="2060"/>
      <c r="BN1694" s="2060"/>
      <c r="BO1694" s="2060"/>
      <c r="BP1694" s="2060"/>
      <c r="BQ1694" s="2060"/>
      <c r="BR1694" s="2060"/>
      <c r="BS1694" s="2060"/>
      <c r="BT1694" s="2060"/>
      <c r="BU1694" s="2060"/>
      <c r="BV1694" s="2060"/>
      <c r="BW1694" s="2060"/>
      <c r="BX1694" s="2060"/>
      <c r="BY1694" s="2060"/>
      <c r="BZ1694" s="2060"/>
      <c r="CA1694" s="2060"/>
      <c r="CB1694" s="2060"/>
      <c r="CC1694" s="2060"/>
      <c r="CD1694" s="2060"/>
      <c r="CE1694" s="2060"/>
      <c r="CF1694" s="2060"/>
      <c r="CG1694" s="2060"/>
      <c r="CH1694" s="2060"/>
      <c r="CI1694" s="2060"/>
      <c r="CJ1694" s="2060"/>
      <c r="CK1694" s="2060"/>
      <c r="CL1694" s="2060"/>
      <c r="CM1694" s="2060"/>
      <c r="CN1694" s="2060"/>
      <c r="CO1694" s="2060"/>
      <c r="CP1694" s="2060"/>
      <c r="CQ1694" s="2060"/>
      <c r="CR1694" s="2060"/>
      <c r="CS1694" s="2060"/>
      <c r="CT1694" s="2060"/>
      <c r="CU1694" s="2060"/>
      <c r="CV1694" s="2060"/>
      <c r="CW1694" s="2060"/>
      <c r="CX1694" s="2060"/>
      <c r="CY1694" s="2060"/>
      <c r="CZ1694" s="2060"/>
      <c r="DA1694" s="2060"/>
      <c r="DB1694" s="2060"/>
      <c r="DC1694" s="2060"/>
      <c r="DD1694" s="2060"/>
      <c r="DE1694" s="2060"/>
      <c r="DF1694" s="2060"/>
      <c r="DG1694" s="2060"/>
      <c r="DH1694" s="2060"/>
      <c r="DI1694" s="2060"/>
      <c r="DJ1694" s="2060"/>
      <c r="DK1694" s="2060"/>
      <c r="DL1694" s="2060"/>
      <c r="DM1694" s="2060"/>
      <c r="DN1694" s="2060"/>
      <c r="DO1694" s="2060"/>
      <c r="DP1694" s="2060"/>
      <c r="DQ1694" s="2060"/>
      <c r="DR1694" s="2060"/>
      <c r="DS1694" s="2060"/>
      <c r="DT1694" s="2060"/>
      <c r="DU1694" s="2060"/>
      <c r="DV1694" s="2060"/>
      <c r="DW1694" s="2060"/>
      <c r="DX1694" s="2060"/>
      <c r="DY1694" s="2060"/>
      <c r="DZ1694" s="2060"/>
      <c r="EA1694" s="2060"/>
      <c r="EB1694" s="2060"/>
      <c r="EC1694" s="2060"/>
      <c r="ED1694" s="2060"/>
      <c r="EE1694" s="2060"/>
      <c r="EF1694" s="2060"/>
      <c r="EG1694" s="2060"/>
      <c r="EH1694" s="2060"/>
      <c r="EI1694" s="2060"/>
      <c r="EJ1694" s="2060"/>
      <c r="EK1694" s="2060"/>
      <c r="EL1694" s="2060"/>
      <c r="EM1694" s="2060"/>
      <c r="EN1694" s="2060"/>
      <c r="EO1694" s="2060"/>
      <c r="EP1694" s="2060"/>
      <c r="EQ1694" s="2060"/>
      <c r="ER1694" s="2060"/>
      <c r="ES1694" s="2060"/>
      <c r="ET1694" s="2060"/>
      <c r="EU1694" s="2060"/>
      <c r="EV1694" s="2060"/>
      <c r="EW1694" s="2060"/>
      <c r="EX1694" s="2060"/>
      <c r="EY1694" s="2060"/>
      <c r="EZ1694" s="2060"/>
      <c r="FA1694" s="2060"/>
      <c r="FB1694" s="2060"/>
      <c r="FC1694" s="2060"/>
      <c r="FD1694" s="2060"/>
      <c r="FE1694" s="2060"/>
      <c r="FF1694" s="2060"/>
      <c r="FG1694" s="2060"/>
      <c r="FH1694" s="2060"/>
      <c r="FI1694" s="2060"/>
      <c r="FJ1694" s="2060"/>
      <c r="FK1694" s="2060"/>
      <c r="FL1694" s="2060"/>
      <c r="FM1694" s="2060"/>
      <c r="FN1694" s="2060"/>
      <c r="FO1694" s="2060"/>
      <c r="FP1694" s="2060"/>
      <c r="FQ1694" s="2060"/>
      <c r="FR1694" s="2060"/>
      <c r="FS1694" s="2060"/>
      <c r="FT1694" s="2060"/>
      <c r="FU1694" s="2060"/>
      <c r="FV1694" s="2060"/>
      <c r="FW1694" s="2060"/>
      <c r="FX1694" s="2060"/>
      <c r="FY1694" s="2060"/>
      <c r="FZ1694" s="2060"/>
      <c r="GA1694" s="2060"/>
      <c r="GB1694" s="2060"/>
      <c r="GC1694" s="2060"/>
      <c r="GD1694" s="2060"/>
      <c r="GE1694" s="2060"/>
      <c r="GF1694" s="2060"/>
      <c r="GG1694" s="2060"/>
      <c r="GH1694" s="2060"/>
      <c r="GI1694" s="2060"/>
      <c r="GJ1694" s="2060"/>
      <c r="GK1694" s="2060"/>
      <c r="GL1694" s="2060"/>
      <c r="GM1694" s="2060"/>
      <c r="GN1694" s="2060"/>
      <c r="GO1694" s="2060"/>
      <c r="GP1694" s="2060"/>
      <c r="GQ1694" s="2060"/>
      <c r="GR1694" s="2060"/>
      <c r="GS1694" s="2060"/>
      <c r="GT1694" s="2060"/>
      <c r="GU1694" s="2060"/>
      <c r="GV1694" s="2060"/>
      <c r="GW1694" s="2060"/>
      <c r="GX1694" s="2060"/>
      <c r="GY1694" s="2060"/>
      <c r="GZ1694" s="2060"/>
      <c r="HA1694" s="2060"/>
      <c r="HB1694" s="2060"/>
      <c r="HC1694" s="2060"/>
      <c r="HD1694" s="2060"/>
      <c r="HE1694" s="2060"/>
      <c r="HF1694" s="2060"/>
      <c r="HG1694" s="2060"/>
      <c r="HH1694" s="2060"/>
      <c r="HI1694" s="2060"/>
      <c r="HJ1694" s="2060"/>
      <c r="HK1694" s="2060"/>
      <c r="HL1694" s="2060"/>
      <c r="HM1694" s="2060"/>
      <c r="HN1694" s="2060"/>
      <c r="HO1694" s="2060"/>
      <c r="HP1694" s="2060"/>
      <c r="HQ1694" s="2060"/>
      <c r="HR1694" s="2060"/>
      <c r="HS1694" s="2060"/>
      <c r="HT1694" s="2060"/>
      <c r="HU1694" s="2060"/>
      <c r="HV1694" s="2060"/>
      <c r="HW1694" s="2060"/>
      <c r="HX1694" s="2060"/>
      <c r="HY1694" s="2060"/>
      <c r="HZ1694" s="2060"/>
      <c r="IA1694" s="2060"/>
      <c r="IB1694" s="2060"/>
      <c r="IC1694" s="2060"/>
      <c r="ID1694" s="2060"/>
      <c r="IE1694" s="2060"/>
      <c r="IF1694" s="2060"/>
      <c r="IG1694" s="2060"/>
      <c r="IH1694" s="2060"/>
      <c r="II1694" s="2060"/>
      <c r="IJ1694" s="2060"/>
      <c r="IK1694" s="2060"/>
      <c r="IL1694" s="2060"/>
      <c r="IM1694" s="2060"/>
      <c r="IN1694" s="2060"/>
      <c r="IO1694" s="2060"/>
      <c r="IP1694" s="2060"/>
      <c r="IQ1694" s="2060"/>
      <c r="IR1694" s="2060"/>
      <c r="IS1694" s="2060"/>
      <c r="IT1694" s="2060"/>
      <c r="IU1694" s="2060"/>
      <c r="IV1694" s="2060"/>
      <c r="IW1694" s="2060"/>
      <c r="IX1694" s="2060"/>
      <c r="IY1694" s="2060"/>
      <c r="IZ1694" s="2060"/>
      <c r="JA1694" s="2060"/>
      <c r="JB1694" s="2060"/>
      <c r="JC1694" s="2060"/>
      <c r="JD1694" s="2060"/>
      <c r="JE1694" s="2060"/>
      <c r="JF1694" s="2060"/>
      <c r="JG1694" s="2060"/>
      <c r="JH1694" s="2060"/>
      <c r="JI1694" s="2060"/>
      <c r="JJ1694" s="2060"/>
      <c r="JK1694" s="2060"/>
      <c r="JL1694" s="2060"/>
      <c r="JM1694" s="2060"/>
      <c r="JN1694" s="2060"/>
      <c r="JO1694" s="2060"/>
      <c r="JP1694" s="2060"/>
      <c r="JQ1694" s="2060"/>
      <c r="JR1694" s="2060"/>
      <c r="JS1694" s="2060"/>
      <c r="JT1694" s="2060"/>
      <c r="JU1694" s="2060"/>
      <c r="JV1694" s="2060"/>
      <c r="JW1694" s="2060"/>
      <c r="JX1694" s="2060"/>
      <c r="JY1694" s="2060"/>
      <c r="JZ1694" s="2060"/>
      <c r="KA1694" s="2060"/>
      <c r="KB1694" s="2060"/>
      <c r="KC1694" s="2060"/>
      <c r="KD1694" s="2060"/>
      <c r="KE1694" s="2060"/>
      <c r="KF1694" s="2060"/>
      <c r="KG1694" s="2060"/>
      <c r="KH1694" s="2060"/>
      <c r="KI1694" s="2060"/>
      <c r="KJ1694" s="2060"/>
      <c r="KK1694" s="2060"/>
      <c r="KL1694" s="2060"/>
      <c r="KM1694" s="2060"/>
      <c r="KN1694" s="2060"/>
      <c r="KO1694" s="2060"/>
      <c r="KP1694" s="2060"/>
      <c r="KQ1694" s="2060"/>
      <c r="KR1694" s="2060"/>
      <c r="KS1694" s="2060"/>
      <c r="KT1694" s="2060"/>
      <c r="KU1694" s="2060"/>
      <c r="KV1694" s="2060"/>
      <c r="KW1694" s="2060"/>
      <c r="KX1694" s="2060"/>
      <c r="KY1694" s="2060"/>
      <c r="KZ1694" s="2060"/>
      <c r="LA1694" s="2060"/>
      <c r="LB1694" s="2060"/>
      <c r="LC1694" s="2060"/>
      <c r="LD1694" s="2060"/>
      <c r="LE1694" s="2060"/>
      <c r="LF1694" s="2060"/>
      <c r="LG1694" s="2060"/>
      <c r="LH1694" s="2060"/>
    </row>
    <row r="1695" spans="1:320" s="1499" customFormat="1" ht="13.9">
      <c r="A1695" s="269" t="str">
        <f t="shared" si="447"/>
        <v>n</v>
      </c>
      <c r="B1695" s="2060"/>
      <c r="C1695" s="2060"/>
      <c r="D1695" s="2060"/>
      <c r="E1695" s="1661">
        <v>21</v>
      </c>
      <c r="F1695" s="1353" t="str">
        <f>F$149</f>
        <v>--</v>
      </c>
      <c r="G1695" s="128">
        <f>G$149</f>
        <v>0</v>
      </c>
      <c r="H1695" s="128" t="str">
        <f>H$149</f>
        <v>--</v>
      </c>
      <c r="I1695" s="255"/>
      <c r="J1695" s="2197" t="str">
        <f t="shared" ref="J1695:V1695" si="467">IFERROR(IF($F$315="Total debt",J1637,IF($F$315="Net debt",J1637-J1666,MAX(J1637-J1666,0))),"--")</f>
        <v/>
      </c>
      <c r="K1695" s="2197" t="str">
        <f t="shared" si="467"/>
        <v/>
      </c>
      <c r="L1695" s="2197" t="str">
        <f t="shared" si="445"/>
        <v/>
      </c>
      <c r="M1695" s="2197" t="str">
        <f t="shared" si="445"/>
        <v/>
      </c>
      <c r="N1695" s="2197" t="str">
        <f t="shared" si="445"/>
        <v/>
      </c>
      <c r="O1695" s="2197" t="str">
        <f t="shared" si="467"/>
        <v/>
      </c>
      <c r="P1695" s="2197" t="str">
        <f t="shared" si="467"/>
        <v/>
      </c>
      <c r="Q1695" s="2197" t="str">
        <f t="shared" si="467"/>
        <v/>
      </c>
      <c r="R1695" s="2197" t="str">
        <f t="shared" si="467"/>
        <v/>
      </c>
      <c r="S1695" s="2197" t="str">
        <f t="shared" si="467"/>
        <v/>
      </c>
      <c r="T1695" s="2197" t="str">
        <f t="shared" si="467"/>
        <v/>
      </c>
      <c r="U1695" s="2197" t="str">
        <f t="shared" si="467"/>
        <v/>
      </c>
      <c r="V1695" s="2197" t="str">
        <f t="shared" si="467"/>
        <v/>
      </c>
      <c r="W1695" s="1479"/>
      <c r="X1695" s="255"/>
      <c r="Y1695" s="255"/>
      <c r="Z1695" s="2060"/>
      <c r="AA1695" s="2060"/>
      <c r="AB1695" s="2060"/>
      <c r="AC1695" s="2060"/>
      <c r="AD1695" s="2060"/>
      <c r="AE1695" s="2060"/>
      <c r="AF1695" s="2060"/>
      <c r="AG1695" s="2060"/>
      <c r="AH1695" s="2060"/>
      <c r="AI1695" s="2060"/>
      <c r="AJ1695" s="2060"/>
      <c r="AK1695" s="2060"/>
      <c r="AL1695" s="2060"/>
      <c r="AM1695" s="2060"/>
      <c r="AN1695" s="2060"/>
      <c r="AO1695" s="2060"/>
      <c r="AP1695" s="2060"/>
      <c r="AQ1695" s="2060"/>
      <c r="AR1695" s="2060"/>
      <c r="AS1695" s="2060"/>
      <c r="AT1695" s="2060"/>
      <c r="AU1695" s="2060"/>
      <c r="AV1695" s="2060"/>
      <c r="AW1695" s="2060"/>
      <c r="AX1695" s="2060"/>
      <c r="AY1695" s="2060"/>
      <c r="AZ1695" s="2060"/>
      <c r="BA1695" s="2060"/>
      <c r="BB1695" s="2060"/>
      <c r="BC1695" s="2060"/>
      <c r="BD1695" s="2060"/>
      <c r="BE1695" s="2060"/>
      <c r="BF1695" s="2060"/>
      <c r="BG1695" s="2060"/>
      <c r="BH1695" s="2060"/>
      <c r="BI1695" s="2060"/>
      <c r="BJ1695" s="2060"/>
      <c r="BK1695" s="2060"/>
      <c r="BL1695" s="2060"/>
      <c r="BM1695" s="2060"/>
      <c r="BN1695" s="2060"/>
      <c r="BO1695" s="2060"/>
      <c r="BP1695" s="2060"/>
      <c r="BQ1695" s="2060"/>
      <c r="BR1695" s="2060"/>
      <c r="BS1695" s="2060"/>
      <c r="BT1695" s="2060"/>
      <c r="BU1695" s="2060"/>
      <c r="BV1695" s="2060"/>
      <c r="BW1695" s="2060"/>
      <c r="BX1695" s="2060"/>
      <c r="BY1695" s="2060"/>
      <c r="BZ1695" s="2060"/>
      <c r="CA1695" s="2060"/>
      <c r="CB1695" s="2060"/>
      <c r="CC1695" s="2060"/>
      <c r="CD1695" s="2060"/>
      <c r="CE1695" s="2060"/>
      <c r="CF1695" s="2060"/>
      <c r="CG1695" s="2060"/>
      <c r="CH1695" s="2060"/>
      <c r="CI1695" s="2060"/>
      <c r="CJ1695" s="2060"/>
      <c r="CK1695" s="2060"/>
      <c r="CL1695" s="2060"/>
      <c r="CM1695" s="2060"/>
      <c r="CN1695" s="2060"/>
      <c r="CO1695" s="2060"/>
      <c r="CP1695" s="2060"/>
      <c r="CQ1695" s="2060"/>
      <c r="CR1695" s="2060"/>
      <c r="CS1695" s="2060"/>
      <c r="CT1695" s="2060"/>
      <c r="CU1695" s="2060"/>
      <c r="CV1695" s="2060"/>
      <c r="CW1695" s="2060"/>
      <c r="CX1695" s="2060"/>
      <c r="CY1695" s="2060"/>
      <c r="CZ1695" s="2060"/>
      <c r="DA1695" s="2060"/>
      <c r="DB1695" s="2060"/>
      <c r="DC1695" s="2060"/>
      <c r="DD1695" s="2060"/>
      <c r="DE1695" s="2060"/>
      <c r="DF1695" s="2060"/>
      <c r="DG1695" s="2060"/>
      <c r="DH1695" s="2060"/>
      <c r="DI1695" s="2060"/>
      <c r="DJ1695" s="2060"/>
      <c r="DK1695" s="2060"/>
      <c r="DL1695" s="2060"/>
      <c r="DM1695" s="2060"/>
      <c r="DN1695" s="2060"/>
      <c r="DO1695" s="2060"/>
      <c r="DP1695" s="2060"/>
      <c r="DQ1695" s="2060"/>
      <c r="DR1695" s="2060"/>
      <c r="DS1695" s="2060"/>
      <c r="DT1695" s="2060"/>
      <c r="DU1695" s="2060"/>
      <c r="DV1695" s="2060"/>
      <c r="DW1695" s="2060"/>
      <c r="DX1695" s="2060"/>
      <c r="DY1695" s="2060"/>
      <c r="DZ1695" s="2060"/>
      <c r="EA1695" s="2060"/>
      <c r="EB1695" s="2060"/>
      <c r="EC1695" s="2060"/>
      <c r="ED1695" s="2060"/>
      <c r="EE1695" s="2060"/>
      <c r="EF1695" s="2060"/>
      <c r="EG1695" s="2060"/>
      <c r="EH1695" s="2060"/>
      <c r="EI1695" s="2060"/>
      <c r="EJ1695" s="2060"/>
      <c r="EK1695" s="2060"/>
      <c r="EL1695" s="2060"/>
      <c r="EM1695" s="2060"/>
      <c r="EN1695" s="2060"/>
      <c r="EO1695" s="2060"/>
      <c r="EP1695" s="2060"/>
      <c r="EQ1695" s="2060"/>
      <c r="ER1695" s="2060"/>
      <c r="ES1695" s="2060"/>
      <c r="ET1695" s="2060"/>
      <c r="EU1695" s="2060"/>
      <c r="EV1695" s="2060"/>
      <c r="EW1695" s="2060"/>
      <c r="EX1695" s="2060"/>
      <c r="EY1695" s="2060"/>
      <c r="EZ1695" s="2060"/>
      <c r="FA1695" s="2060"/>
      <c r="FB1695" s="2060"/>
      <c r="FC1695" s="2060"/>
      <c r="FD1695" s="2060"/>
      <c r="FE1695" s="2060"/>
      <c r="FF1695" s="2060"/>
      <c r="FG1695" s="2060"/>
      <c r="FH1695" s="2060"/>
      <c r="FI1695" s="2060"/>
      <c r="FJ1695" s="2060"/>
      <c r="FK1695" s="2060"/>
      <c r="FL1695" s="2060"/>
      <c r="FM1695" s="2060"/>
      <c r="FN1695" s="2060"/>
      <c r="FO1695" s="2060"/>
      <c r="FP1695" s="2060"/>
      <c r="FQ1695" s="2060"/>
      <c r="FR1695" s="2060"/>
      <c r="FS1695" s="2060"/>
      <c r="FT1695" s="2060"/>
      <c r="FU1695" s="2060"/>
      <c r="FV1695" s="2060"/>
      <c r="FW1695" s="2060"/>
      <c r="FX1695" s="2060"/>
      <c r="FY1695" s="2060"/>
      <c r="FZ1695" s="2060"/>
      <c r="GA1695" s="2060"/>
      <c r="GB1695" s="2060"/>
      <c r="GC1695" s="2060"/>
      <c r="GD1695" s="2060"/>
      <c r="GE1695" s="2060"/>
      <c r="GF1695" s="2060"/>
      <c r="GG1695" s="2060"/>
      <c r="GH1695" s="2060"/>
      <c r="GI1695" s="2060"/>
      <c r="GJ1695" s="2060"/>
      <c r="GK1695" s="2060"/>
      <c r="GL1695" s="2060"/>
      <c r="GM1695" s="2060"/>
      <c r="GN1695" s="2060"/>
      <c r="GO1695" s="2060"/>
      <c r="GP1695" s="2060"/>
      <c r="GQ1695" s="2060"/>
      <c r="GR1695" s="2060"/>
      <c r="GS1695" s="2060"/>
      <c r="GT1695" s="2060"/>
      <c r="GU1695" s="2060"/>
      <c r="GV1695" s="2060"/>
      <c r="GW1695" s="2060"/>
      <c r="GX1695" s="2060"/>
      <c r="GY1695" s="2060"/>
      <c r="GZ1695" s="2060"/>
      <c r="HA1695" s="2060"/>
      <c r="HB1695" s="2060"/>
      <c r="HC1695" s="2060"/>
      <c r="HD1695" s="2060"/>
      <c r="HE1695" s="2060"/>
      <c r="HF1695" s="2060"/>
      <c r="HG1695" s="2060"/>
      <c r="HH1695" s="2060"/>
      <c r="HI1695" s="2060"/>
      <c r="HJ1695" s="2060"/>
      <c r="HK1695" s="2060"/>
      <c r="HL1695" s="2060"/>
      <c r="HM1695" s="2060"/>
      <c r="HN1695" s="2060"/>
      <c r="HO1695" s="2060"/>
      <c r="HP1695" s="2060"/>
      <c r="HQ1695" s="2060"/>
      <c r="HR1695" s="2060"/>
      <c r="HS1695" s="2060"/>
      <c r="HT1695" s="2060"/>
      <c r="HU1695" s="2060"/>
      <c r="HV1695" s="2060"/>
      <c r="HW1695" s="2060"/>
      <c r="HX1695" s="2060"/>
      <c r="HY1695" s="2060"/>
      <c r="HZ1695" s="2060"/>
      <c r="IA1695" s="2060"/>
      <c r="IB1695" s="2060"/>
      <c r="IC1695" s="2060"/>
      <c r="ID1695" s="2060"/>
      <c r="IE1695" s="2060"/>
      <c r="IF1695" s="2060"/>
      <c r="IG1695" s="2060"/>
      <c r="IH1695" s="2060"/>
      <c r="II1695" s="2060"/>
      <c r="IJ1695" s="2060"/>
      <c r="IK1695" s="2060"/>
      <c r="IL1695" s="2060"/>
      <c r="IM1695" s="2060"/>
      <c r="IN1695" s="2060"/>
      <c r="IO1695" s="2060"/>
      <c r="IP1695" s="2060"/>
      <c r="IQ1695" s="2060"/>
      <c r="IR1695" s="2060"/>
      <c r="IS1695" s="2060"/>
      <c r="IT1695" s="2060"/>
      <c r="IU1695" s="2060"/>
      <c r="IV1695" s="2060"/>
      <c r="IW1695" s="2060"/>
      <c r="IX1695" s="2060"/>
      <c r="IY1695" s="2060"/>
      <c r="IZ1695" s="2060"/>
      <c r="JA1695" s="2060"/>
      <c r="JB1695" s="2060"/>
      <c r="JC1695" s="2060"/>
      <c r="JD1695" s="2060"/>
      <c r="JE1695" s="2060"/>
      <c r="JF1695" s="2060"/>
      <c r="JG1695" s="2060"/>
      <c r="JH1695" s="2060"/>
      <c r="JI1695" s="2060"/>
      <c r="JJ1695" s="2060"/>
      <c r="JK1695" s="2060"/>
      <c r="JL1695" s="2060"/>
      <c r="JM1695" s="2060"/>
      <c r="JN1695" s="2060"/>
      <c r="JO1695" s="2060"/>
      <c r="JP1695" s="2060"/>
      <c r="JQ1695" s="2060"/>
      <c r="JR1695" s="2060"/>
      <c r="JS1695" s="2060"/>
      <c r="JT1695" s="2060"/>
      <c r="JU1695" s="2060"/>
      <c r="JV1695" s="2060"/>
      <c r="JW1695" s="2060"/>
      <c r="JX1695" s="2060"/>
      <c r="JY1695" s="2060"/>
      <c r="JZ1695" s="2060"/>
      <c r="KA1695" s="2060"/>
      <c r="KB1695" s="2060"/>
      <c r="KC1695" s="2060"/>
      <c r="KD1695" s="2060"/>
      <c r="KE1695" s="2060"/>
      <c r="KF1695" s="2060"/>
      <c r="KG1695" s="2060"/>
      <c r="KH1695" s="2060"/>
      <c r="KI1695" s="2060"/>
      <c r="KJ1695" s="2060"/>
      <c r="KK1695" s="2060"/>
      <c r="KL1695" s="2060"/>
      <c r="KM1695" s="2060"/>
      <c r="KN1695" s="2060"/>
      <c r="KO1695" s="2060"/>
      <c r="KP1695" s="2060"/>
      <c r="KQ1695" s="2060"/>
      <c r="KR1695" s="2060"/>
      <c r="KS1695" s="2060"/>
      <c r="KT1695" s="2060"/>
      <c r="KU1695" s="2060"/>
      <c r="KV1695" s="2060"/>
      <c r="KW1695" s="2060"/>
      <c r="KX1695" s="2060"/>
      <c r="KY1695" s="2060"/>
      <c r="KZ1695" s="2060"/>
      <c r="LA1695" s="2060"/>
      <c r="LB1695" s="2060"/>
      <c r="LC1695" s="2060"/>
      <c r="LD1695" s="2060"/>
      <c r="LE1695" s="2060"/>
      <c r="LF1695" s="2060"/>
      <c r="LG1695" s="2060"/>
      <c r="LH1695" s="2060"/>
    </row>
    <row r="1696" spans="1:320" s="1499" customFormat="1" ht="13.9">
      <c r="A1696" s="269" t="str">
        <f t="shared" si="447"/>
        <v>n</v>
      </c>
      <c r="B1696" s="2060"/>
      <c r="C1696" s="2060"/>
      <c r="D1696" s="2060"/>
      <c r="E1696" s="1661">
        <v>22</v>
      </c>
      <c r="F1696" s="1353" t="str">
        <f>F$150</f>
        <v>--</v>
      </c>
      <c r="G1696" s="128">
        <f>G$150</f>
        <v>0</v>
      </c>
      <c r="H1696" s="128" t="str">
        <f>H$150</f>
        <v>--</v>
      </c>
      <c r="I1696" s="255"/>
      <c r="J1696" s="2197" t="str">
        <f t="shared" ref="J1696:V1696" si="468">IFERROR(IF($F$315="Total debt",J1638,IF($F$315="Net debt",J1638-J1667,MAX(J1638-J1667,0))),"--")</f>
        <v/>
      </c>
      <c r="K1696" s="2197" t="str">
        <f t="shared" si="468"/>
        <v/>
      </c>
      <c r="L1696" s="2197" t="str">
        <f t="shared" si="445"/>
        <v/>
      </c>
      <c r="M1696" s="2197" t="str">
        <f t="shared" si="445"/>
        <v/>
      </c>
      <c r="N1696" s="2197" t="str">
        <f t="shared" si="445"/>
        <v/>
      </c>
      <c r="O1696" s="2197" t="str">
        <f t="shared" si="468"/>
        <v/>
      </c>
      <c r="P1696" s="2197" t="str">
        <f t="shared" si="468"/>
        <v/>
      </c>
      <c r="Q1696" s="2197" t="str">
        <f t="shared" si="468"/>
        <v/>
      </c>
      <c r="R1696" s="2197" t="str">
        <f t="shared" si="468"/>
        <v/>
      </c>
      <c r="S1696" s="2197" t="str">
        <f t="shared" si="468"/>
        <v/>
      </c>
      <c r="T1696" s="2197" t="str">
        <f t="shared" si="468"/>
        <v/>
      </c>
      <c r="U1696" s="2197" t="str">
        <f t="shared" si="468"/>
        <v/>
      </c>
      <c r="V1696" s="2197" t="str">
        <f t="shared" si="468"/>
        <v/>
      </c>
      <c r="W1696" s="1479"/>
      <c r="X1696" s="255"/>
      <c r="Y1696" s="255"/>
      <c r="Z1696" s="2060"/>
      <c r="AA1696" s="2060"/>
      <c r="AB1696" s="2060"/>
      <c r="AC1696" s="2060"/>
      <c r="AD1696" s="2060"/>
      <c r="AE1696" s="2060"/>
      <c r="AF1696" s="2060"/>
      <c r="AG1696" s="2060"/>
      <c r="AH1696" s="2060"/>
      <c r="AI1696" s="2060"/>
      <c r="AJ1696" s="2060"/>
      <c r="AK1696" s="2060"/>
      <c r="AL1696" s="2060"/>
      <c r="AM1696" s="2060"/>
      <c r="AN1696" s="2060"/>
      <c r="AO1696" s="2060"/>
      <c r="AP1696" s="2060"/>
      <c r="AQ1696" s="2060"/>
      <c r="AR1696" s="2060"/>
      <c r="AS1696" s="2060"/>
      <c r="AT1696" s="2060"/>
      <c r="AU1696" s="2060"/>
      <c r="AV1696" s="2060"/>
      <c r="AW1696" s="2060"/>
      <c r="AX1696" s="2060"/>
      <c r="AY1696" s="2060"/>
      <c r="AZ1696" s="2060"/>
      <c r="BA1696" s="2060"/>
      <c r="BB1696" s="2060"/>
      <c r="BC1696" s="2060"/>
      <c r="BD1696" s="2060"/>
      <c r="BE1696" s="2060"/>
      <c r="BF1696" s="2060"/>
      <c r="BG1696" s="2060"/>
      <c r="BH1696" s="2060"/>
      <c r="BI1696" s="2060"/>
      <c r="BJ1696" s="2060"/>
      <c r="BK1696" s="2060"/>
      <c r="BL1696" s="2060"/>
      <c r="BM1696" s="2060"/>
      <c r="BN1696" s="2060"/>
      <c r="BO1696" s="2060"/>
      <c r="BP1696" s="2060"/>
      <c r="BQ1696" s="2060"/>
      <c r="BR1696" s="2060"/>
      <c r="BS1696" s="2060"/>
      <c r="BT1696" s="2060"/>
      <c r="BU1696" s="2060"/>
      <c r="BV1696" s="2060"/>
      <c r="BW1696" s="2060"/>
      <c r="BX1696" s="2060"/>
      <c r="BY1696" s="2060"/>
      <c r="BZ1696" s="2060"/>
      <c r="CA1696" s="2060"/>
      <c r="CB1696" s="2060"/>
      <c r="CC1696" s="2060"/>
      <c r="CD1696" s="2060"/>
      <c r="CE1696" s="2060"/>
      <c r="CF1696" s="2060"/>
      <c r="CG1696" s="2060"/>
      <c r="CH1696" s="2060"/>
      <c r="CI1696" s="2060"/>
      <c r="CJ1696" s="2060"/>
      <c r="CK1696" s="2060"/>
      <c r="CL1696" s="2060"/>
      <c r="CM1696" s="2060"/>
      <c r="CN1696" s="2060"/>
      <c r="CO1696" s="2060"/>
      <c r="CP1696" s="2060"/>
      <c r="CQ1696" s="2060"/>
      <c r="CR1696" s="2060"/>
      <c r="CS1696" s="2060"/>
      <c r="CT1696" s="2060"/>
      <c r="CU1696" s="2060"/>
      <c r="CV1696" s="2060"/>
      <c r="CW1696" s="2060"/>
      <c r="CX1696" s="2060"/>
      <c r="CY1696" s="2060"/>
      <c r="CZ1696" s="2060"/>
      <c r="DA1696" s="2060"/>
      <c r="DB1696" s="2060"/>
      <c r="DC1696" s="2060"/>
      <c r="DD1696" s="2060"/>
      <c r="DE1696" s="2060"/>
      <c r="DF1696" s="2060"/>
      <c r="DG1696" s="2060"/>
      <c r="DH1696" s="2060"/>
      <c r="DI1696" s="2060"/>
      <c r="DJ1696" s="2060"/>
      <c r="DK1696" s="2060"/>
      <c r="DL1696" s="2060"/>
      <c r="DM1696" s="2060"/>
      <c r="DN1696" s="2060"/>
      <c r="DO1696" s="2060"/>
      <c r="DP1696" s="2060"/>
      <c r="DQ1696" s="2060"/>
      <c r="DR1696" s="2060"/>
      <c r="DS1696" s="2060"/>
      <c r="DT1696" s="2060"/>
      <c r="DU1696" s="2060"/>
      <c r="DV1696" s="2060"/>
      <c r="DW1696" s="2060"/>
      <c r="DX1696" s="2060"/>
      <c r="DY1696" s="2060"/>
      <c r="DZ1696" s="2060"/>
      <c r="EA1696" s="2060"/>
      <c r="EB1696" s="2060"/>
      <c r="EC1696" s="2060"/>
      <c r="ED1696" s="2060"/>
      <c r="EE1696" s="2060"/>
      <c r="EF1696" s="2060"/>
      <c r="EG1696" s="2060"/>
      <c r="EH1696" s="2060"/>
      <c r="EI1696" s="2060"/>
      <c r="EJ1696" s="2060"/>
      <c r="EK1696" s="2060"/>
      <c r="EL1696" s="2060"/>
      <c r="EM1696" s="2060"/>
      <c r="EN1696" s="2060"/>
      <c r="EO1696" s="2060"/>
      <c r="EP1696" s="2060"/>
      <c r="EQ1696" s="2060"/>
      <c r="ER1696" s="2060"/>
      <c r="ES1696" s="2060"/>
      <c r="ET1696" s="2060"/>
      <c r="EU1696" s="2060"/>
      <c r="EV1696" s="2060"/>
      <c r="EW1696" s="2060"/>
      <c r="EX1696" s="2060"/>
      <c r="EY1696" s="2060"/>
      <c r="EZ1696" s="2060"/>
      <c r="FA1696" s="2060"/>
      <c r="FB1696" s="2060"/>
      <c r="FC1696" s="2060"/>
      <c r="FD1696" s="2060"/>
      <c r="FE1696" s="2060"/>
      <c r="FF1696" s="2060"/>
      <c r="FG1696" s="2060"/>
      <c r="FH1696" s="2060"/>
      <c r="FI1696" s="2060"/>
      <c r="FJ1696" s="2060"/>
      <c r="FK1696" s="2060"/>
      <c r="FL1696" s="2060"/>
      <c r="FM1696" s="2060"/>
      <c r="FN1696" s="2060"/>
      <c r="FO1696" s="2060"/>
      <c r="FP1696" s="2060"/>
      <c r="FQ1696" s="2060"/>
      <c r="FR1696" s="2060"/>
      <c r="FS1696" s="2060"/>
      <c r="FT1696" s="2060"/>
      <c r="FU1696" s="2060"/>
      <c r="FV1696" s="2060"/>
      <c r="FW1696" s="2060"/>
      <c r="FX1696" s="2060"/>
      <c r="FY1696" s="2060"/>
      <c r="FZ1696" s="2060"/>
      <c r="GA1696" s="2060"/>
      <c r="GB1696" s="2060"/>
      <c r="GC1696" s="2060"/>
      <c r="GD1696" s="2060"/>
      <c r="GE1696" s="2060"/>
      <c r="GF1696" s="2060"/>
      <c r="GG1696" s="2060"/>
      <c r="GH1696" s="2060"/>
      <c r="GI1696" s="2060"/>
      <c r="GJ1696" s="2060"/>
      <c r="GK1696" s="2060"/>
      <c r="GL1696" s="2060"/>
      <c r="GM1696" s="2060"/>
      <c r="GN1696" s="2060"/>
      <c r="GO1696" s="2060"/>
      <c r="GP1696" s="2060"/>
      <c r="GQ1696" s="2060"/>
      <c r="GR1696" s="2060"/>
      <c r="GS1696" s="2060"/>
      <c r="GT1696" s="2060"/>
      <c r="GU1696" s="2060"/>
      <c r="GV1696" s="2060"/>
      <c r="GW1696" s="2060"/>
      <c r="GX1696" s="2060"/>
      <c r="GY1696" s="2060"/>
      <c r="GZ1696" s="2060"/>
      <c r="HA1696" s="2060"/>
      <c r="HB1696" s="2060"/>
      <c r="HC1696" s="2060"/>
      <c r="HD1696" s="2060"/>
      <c r="HE1696" s="2060"/>
      <c r="HF1696" s="2060"/>
      <c r="HG1696" s="2060"/>
      <c r="HH1696" s="2060"/>
      <c r="HI1696" s="2060"/>
      <c r="HJ1696" s="2060"/>
      <c r="HK1696" s="2060"/>
      <c r="HL1696" s="2060"/>
      <c r="HM1696" s="2060"/>
      <c r="HN1696" s="2060"/>
      <c r="HO1696" s="2060"/>
      <c r="HP1696" s="2060"/>
      <c r="HQ1696" s="2060"/>
      <c r="HR1696" s="2060"/>
      <c r="HS1696" s="2060"/>
      <c r="HT1696" s="2060"/>
      <c r="HU1696" s="2060"/>
      <c r="HV1696" s="2060"/>
      <c r="HW1696" s="2060"/>
      <c r="HX1696" s="2060"/>
      <c r="HY1696" s="2060"/>
      <c r="HZ1696" s="2060"/>
      <c r="IA1696" s="2060"/>
      <c r="IB1696" s="2060"/>
      <c r="IC1696" s="2060"/>
      <c r="ID1696" s="2060"/>
      <c r="IE1696" s="2060"/>
      <c r="IF1696" s="2060"/>
      <c r="IG1696" s="2060"/>
      <c r="IH1696" s="2060"/>
      <c r="II1696" s="2060"/>
      <c r="IJ1696" s="2060"/>
      <c r="IK1696" s="2060"/>
      <c r="IL1696" s="2060"/>
      <c r="IM1696" s="2060"/>
      <c r="IN1696" s="2060"/>
      <c r="IO1696" s="2060"/>
      <c r="IP1696" s="2060"/>
      <c r="IQ1696" s="2060"/>
      <c r="IR1696" s="2060"/>
      <c r="IS1696" s="2060"/>
      <c r="IT1696" s="2060"/>
      <c r="IU1696" s="2060"/>
      <c r="IV1696" s="2060"/>
      <c r="IW1696" s="2060"/>
      <c r="IX1696" s="2060"/>
      <c r="IY1696" s="2060"/>
      <c r="IZ1696" s="2060"/>
      <c r="JA1696" s="2060"/>
      <c r="JB1696" s="2060"/>
      <c r="JC1696" s="2060"/>
      <c r="JD1696" s="2060"/>
      <c r="JE1696" s="2060"/>
      <c r="JF1696" s="2060"/>
      <c r="JG1696" s="2060"/>
      <c r="JH1696" s="2060"/>
      <c r="JI1696" s="2060"/>
      <c r="JJ1696" s="2060"/>
      <c r="JK1696" s="2060"/>
      <c r="JL1696" s="2060"/>
      <c r="JM1696" s="2060"/>
      <c r="JN1696" s="2060"/>
      <c r="JO1696" s="2060"/>
      <c r="JP1696" s="2060"/>
      <c r="JQ1696" s="2060"/>
      <c r="JR1696" s="2060"/>
      <c r="JS1696" s="2060"/>
      <c r="JT1696" s="2060"/>
      <c r="JU1696" s="2060"/>
      <c r="JV1696" s="2060"/>
      <c r="JW1696" s="2060"/>
      <c r="JX1696" s="2060"/>
      <c r="JY1696" s="2060"/>
      <c r="JZ1696" s="2060"/>
      <c r="KA1696" s="2060"/>
      <c r="KB1696" s="2060"/>
      <c r="KC1696" s="2060"/>
      <c r="KD1696" s="2060"/>
      <c r="KE1696" s="2060"/>
      <c r="KF1696" s="2060"/>
      <c r="KG1696" s="2060"/>
      <c r="KH1696" s="2060"/>
      <c r="KI1696" s="2060"/>
      <c r="KJ1696" s="2060"/>
      <c r="KK1696" s="2060"/>
      <c r="KL1696" s="2060"/>
      <c r="KM1696" s="2060"/>
      <c r="KN1696" s="2060"/>
      <c r="KO1696" s="2060"/>
      <c r="KP1696" s="2060"/>
      <c r="KQ1696" s="2060"/>
      <c r="KR1696" s="2060"/>
      <c r="KS1696" s="2060"/>
      <c r="KT1696" s="2060"/>
      <c r="KU1696" s="2060"/>
      <c r="KV1696" s="2060"/>
      <c r="KW1696" s="2060"/>
      <c r="KX1696" s="2060"/>
      <c r="KY1696" s="2060"/>
      <c r="KZ1696" s="2060"/>
      <c r="LA1696" s="2060"/>
      <c r="LB1696" s="2060"/>
      <c r="LC1696" s="2060"/>
      <c r="LD1696" s="2060"/>
      <c r="LE1696" s="2060"/>
      <c r="LF1696" s="2060"/>
      <c r="LG1696" s="2060"/>
      <c r="LH1696" s="2060"/>
    </row>
    <row r="1697" spans="1:320" s="1499" customFormat="1" ht="13.9">
      <c r="A1697" s="269" t="str">
        <f t="shared" si="447"/>
        <v>n</v>
      </c>
      <c r="B1697" s="2060"/>
      <c r="C1697" s="2060"/>
      <c r="D1697" s="2060"/>
      <c r="E1697" s="1661">
        <v>23</v>
      </c>
      <c r="F1697" s="1353" t="str">
        <f>F$151</f>
        <v>--</v>
      </c>
      <c r="G1697" s="128">
        <f>G$151</f>
        <v>0</v>
      </c>
      <c r="H1697" s="128" t="str">
        <f>H$151</f>
        <v>--</v>
      </c>
      <c r="I1697" s="255"/>
      <c r="J1697" s="2197" t="str">
        <f t="shared" ref="J1697:V1697" si="469">IFERROR(IF($F$315="Total debt",J1639,IF($F$315="Net debt",J1639-J1668,MAX(J1639-J1668,0))),"--")</f>
        <v/>
      </c>
      <c r="K1697" s="2197" t="str">
        <f t="shared" si="469"/>
        <v/>
      </c>
      <c r="L1697" s="2197" t="str">
        <f t="shared" si="445"/>
        <v/>
      </c>
      <c r="M1697" s="2197" t="str">
        <f t="shared" si="445"/>
        <v/>
      </c>
      <c r="N1697" s="2197" t="str">
        <f t="shared" si="445"/>
        <v/>
      </c>
      <c r="O1697" s="2197" t="str">
        <f t="shared" si="469"/>
        <v/>
      </c>
      <c r="P1697" s="2197" t="str">
        <f t="shared" si="469"/>
        <v/>
      </c>
      <c r="Q1697" s="2197" t="str">
        <f t="shared" si="469"/>
        <v/>
      </c>
      <c r="R1697" s="2197" t="str">
        <f t="shared" si="469"/>
        <v/>
      </c>
      <c r="S1697" s="2197" t="str">
        <f t="shared" si="469"/>
        <v/>
      </c>
      <c r="T1697" s="2197" t="str">
        <f t="shared" si="469"/>
        <v/>
      </c>
      <c r="U1697" s="2197" t="str">
        <f t="shared" si="469"/>
        <v/>
      </c>
      <c r="V1697" s="2197" t="str">
        <f t="shared" si="469"/>
        <v/>
      </c>
      <c r="W1697" s="1479"/>
      <c r="X1697" s="255"/>
      <c r="Y1697" s="255"/>
      <c r="Z1697" s="2060"/>
      <c r="AA1697" s="2060"/>
      <c r="AB1697" s="2060"/>
      <c r="AC1697" s="2060"/>
      <c r="AD1697" s="2060"/>
      <c r="AE1697" s="2060"/>
      <c r="AF1697" s="2060"/>
      <c r="AG1697" s="2060"/>
      <c r="AH1697" s="2060"/>
      <c r="AI1697" s="2060"/>
      <c r="AJ1697" s="2060"/>
      <c r="AK1697" s="2060"/>
      <c r="AL1697" s="2060"/>
      <c r="AM1697" s="2060"/>
      <c r="AN1697" s="2060"/>
      <c r="AO1697" s="2060"/>
      <c r="AP1697" s="2060"/>
      <c r="AQ1697" s="2060"/>
      <c r="AR1697" s="2060"/>
      <c r="AS1697" s="2060"/>
      <c r="AT1697" s="2060"/>
      <c r="AU1697" s="2060"/>
      <c r="AV1697" s="2060"/>
      <c r="AW1697" s="2060"/>
      <c r="AX1697" s="2060"/>
      <c r="AY1697" s="2060"/>
      <c r="AZ1697" s="2060"/>
      <c r="BA1697" s="2060"/>
      <c r="BB1697" s="2060"/>
      <c r="BC1697" s="2060"/>
      <c r="BD1697" s="2060"/>
      <c r="BE1697" s="2060"/>
      <c r="BF1697" s="2060"/>
      <c r="BG1697" s="2060"/>
      <c r="BH1697" s="2060"/>
      <c r="BI1697" s="2060"/>
      <c r="BJ1697" s="2060"/>
      <c r="BK1697" s="2060"/>
      <c r="BL1697" s="2060"/>
      <c r="BM1697" s="2060"/>
      <c r="BN1697" s="2060"/>
      <c r="BO1697" s="2060"/>
      <c r="BP1697" s="2060"/>
      <c r="BQ1697" s="2060"/>
      <c r="BR1697" s="2060"/>
      <c r="BS1697" s="2060"/>
      <c r="BT1697" s="2060"/>
      <c r="BU1697" s="2060"/>
      <c r="BV1697" s="2060"/>
      <c r="BW1697" s="2060"/>
      <c r="BX1697" s="2060"/>
      <c r="BY1697" s="2060"/>
      <c r="BZ1697" s="2060"/>
      <c r="CA1697" s="2060"/>
      <c r="CB1697" s="2060"/>
      <c r="CC1697" s="2060"/>
      <c r="CD1697" s="2060"/>
      <c r="CE1697" s="2060"/>
      <c r="CF1697" s="2060"/>
      <c r="CG1697" s="2060"/>
      <c r="CH1697" s="2060"/>
      <c r="CI1697" s="2060"/>
      <c r="CJ1697" s="2060"/>
      <c r="CK1697" s="2060"/>
      <c r="CL1697" s="2060"/>
      <c r="CM1697" s="2060"/>
      <c r="CN1697" s="2060"/>
      <c r="CO1697" s="2060"/>
      <c r="CP1697" s="2060"/>
      <c r="CQ1697" s="2060"/>
      <c r="CR1697" s="2060"/>
      <c r="CS1697" s="2060"/>
      <c r="CT1697" s="2060"/>
      <c r="CU1697" s="2060"/>
      <c r="CV1697" s="2060"/>
      <c r="CW1697" s="2060"/>
      <c r="CX1697" s="2060"/>
      <c r="CY1697" s="2060"/>
      <c r="CZ1697" s="2060"/>
      <c r="DA1697" s="2060"/>
      <c r="DB1697" s="2060"/>
      <c r="DC1697" s="2060"/>
      <c r="DD1697" s="2060"/>
      <c r="DE1697" s="2060"/>
      <c r="DF1697" s="2060"/>
      <c r="DG1697" s="2060"/>
      <c r="DH1697" s="2060"/>
      <c r="DI1697" s="2060"/>
      <c r="DJ1697" s="2060"/>
      <c r="DK1697" s="2060"/>
      <c r="DL1697" s="2060"/>
      <c r="DM1697" s="2060"/>
      <c r="DN1697" s="2060"/>
      <c r="DO1697" s="2060"/>
      <c r="DP1697" s="2060"/>
      <c r="DQ1697" s="2060"/>
      <c r="DR1697" s="2060"/>
      <c r="DS1697" s="2060"/>
      <c r="DT1697" s="2060"/>
      <c r="DU1697" s="2060"/>
      <c r="DV1697" s="2060"/>
      <c r="DW1697" s="2060"/>
      <c r="DX1697" s="2060"/>
      <c r="DY1697" s="2060"/>
      <c r="DZ1697" s="2060"/>
      <c r="EA1697" s="2060"/>
      <c r="EB1697" s="2060"/>
      <c r="EC1697" s="2060"/>
      <c r="ED1697" s="2060"/>
      <c r="EE1697" s="2060"/>
      <c r="EF1697" s="2060"/>
      <c r="EG1697" s="2060"/>
      <c r="EH1697" s="2060"/>
      <c r="EI1697" s="2060"/>
      <c r="EJ1697" s="2060"/>
      <c r="EK1697" s="2060"/>
      <c r="EL1697" s="2060"/>
      <c r="EM1697" s="2060"/>
      <c r="EN1697" s="2060"/>
      <c r="EO1697" s="2060"/>
      <c r="EP1697" s="2060"/>
      <c r="EQ1697" s="2060"/>
      <c r="ER1697" s="2060"/>
      <c r="ES1697" s="2060"/>
      <c r="ET1697" s="2060"/>
      <c r="EU1697" s="2060"/>
      <c r="EV1697" s="2060"/>
      <c r="EW1697" s="2060"/>
      <c r="EX1697" s="2060"/>
      <c r="EY1697" s="2060"/>
      <c r="EZ1697" s="2060"/>
      <c r="FA1697" s="2060"/>
      <c r="FB1697" s="2060"/>
      <c r="FC1697" s="2060"/>
      <c r="FD1697" s="2060"/>
      <c r="FE1697" s="2060"/>
      <c r="FF1697" s="2060"/>
      <c r="FG1697" s="2060"/>
      <c r="FH1697" s="2060"/>
      <c r="FI1697" s="2060"/>
      <c r="FJ1697" s="2060"/>
      <c r="FK1697" s="2060"/>
      <c r="FL1697" s="2060"/>
      <c r="FM1697" s="2060"/>
      <c r="FN1697" s="2060"/>
      <c r="FO1697" s="2060"/>
      <c r="FP1697" s="2060"/>
      <c r="FQ1697" s="2060"/>
      <c r="FR1697" s="2060"/>
      <c r="FS1697" s="2060"/>
      <c r="FT1697" s="2060"/>
      <c r="FU1697" s="2060"/>
      <c r="FV1697" s="2060"/>
      <c r="FW1697" s="2060"/>
      <c r="FX1697" s="2060"/>
      <c r="FY1697" s="2060"/>
      <c r="FZ1697" s="2060"/>
      <c r="GA1697" s="2060"/>
      <c r="GB1697" s="2060"/>
      <c r="GC1697" s="2060"/>
      <c r="GD1697" s="2060"/>
      <c r="GE1697" s="2060"/>
      <c r="GF1697" s="2060"/>
      <c r="GG1697" s="2060"/>
      <c r="GH1697" s="2060"/>
      <c r="GI1697" s="2060"/>
      <c r="GJ1697" s="2060"/>
      <c r="GK1697" s="2060"/>
      <c r="GL1697" s="2060"/>
      <c r="GM1697" s="2060"/>
      <c r="GN1697" s="2060"/>
      <c r="GO1697" s="2060"/>
      <c r="GP1697" s="2060"/>
      <c r="GQ1697" s="2060"/>
      <c r="GR1697" s="2060"/>
      <c r="GS1697" s="2060"/>
      <c r="GT1697" s="2060"/>
      <c r="GU1697" s="2060"/>
      <c r="GV1697" s="2060"/>
      <c r="GW1697" s="2060"/>
      <c r="GX1697" s="2060"/>
      <c r="GY1697" s="2060"/>
      <c r="GZ1697" s="2060"/>
      <c r="HA1697" s="2060"/>
      <c r="HB1697" s="2060"/>
      <c r="HC1697" s="2060"/>
      <c r="HD1697" s="2060"/>
      <c r="HE1697" s="2060"/>
      <c r="HF1697" s="2060"/>
      <c r="HG1697" s="2060"/>
      <c r="HH1697" s="2060"/>
      <c r="HI1697" s="2060"/>
      <c r="HJ1697" s="2060"/>
      <c r="HK1697" s="2060"/>
      <c r="HL1697" s="2060"/>
      <c r="HM1697" s="2060"/>
      <c r="HN1697" s="2060"/>
      <c r="HO1697" s="2060"/>
      <c r="HP1697" s="2060"/>
      <c r="HQ1697" s="2060"/>
      <c r="HR1697" s="2060"/>
      <c r="HS1697" s="2060"/>
      <c r="HT1697" s="2060"/>
      <c r="HU1697" s="2060"/>
      <c r="HV1697" s="2060"/>
      <c r="HW1697" s="2060"/>
      <c r="HX1697" s="2060"/>
      <c r="HY1697" s="2060"/>
      <c r="HZ1697" s="2060"/>
      <c r="IA1697" s="2060"/>
      <c r="IB1697" s="2060"/>
      <c r="IC1697" s="2060"/>
      <c r="ID1697" s="2060"/>
      <c r="IE1697" s="2060"/>
      <c r="IF1697" s="2060"/>
      <c r="IG1697" s="2060"/>
      <c r="IH1697" s="2060"/>
      <c r="II1697" s="2060"/>
      <c r="IJ1697" s="2060"/>
      <c r="IK1697" s="2060"/>
      <c r="IL1697" s="2060"/>
      <c r="IM1697" s="2060"/>
      <c r="IN1697" s="2060"/>
      <c r="IO1697" s="2060"/>
      <c r="IP1697" s="2060"/>
      <c r="IQ1697" s="2060"/>
      <c r="IR1697" s="2060"/>
      <c r="IS1697" s="2060"/>
      <c r="IT1697" s="2060"/>
      <c r="IU1697" s="2060"/>
      <c r="IV1697" s="2060"/>
      <c r="IW1697" s="2060"/>
      <c r="IX1697" s="2060"/>
      <c r="IY1697" s="2060"/>
      <c r="IZ1697" s="2060"/>
      <c r="JA1697" s="2060"/>
      <c r="JB1697" s="2060"/>
      <c r="JC1697" s="2060"/>
      <c r="JD1697" s="2060"/>
      <c r="JE1697" s="2060"/>
      <c r="JF1697" s="2060"/>
      <c r="JG1697" s="2060"/>
      <c r="JH1697" s="2060"/>
      <c r="JI1697" s="2060"/>
      <c r="JJ1697" s="2060"/>
      <c r="JK1697" s="2060"/>
      <c r="JL1697" s="2060"/>
      <c r="JM1697" s="2060"/>
      <c r="JN1697" s="2060"/>
      <c r="JO1697" s="2060"/>
      <c r="JP1697" s="2060"/>
      <c r="JQ1697" s="2060"/>
      <c r="JR1697" s="2060"/>
      <c r="JS1697" s="2060"/>
      <c r="JT1697" s="2060"/>
      <c r="JU1697" s="2060"/>
      <c r="JV1697" s="2060"/>
      <c r="JW1697" s="2060"/>
      <c r="JX1697" s="2060"/>
      <c r="JY1697" s="2060"/>
      <c r="JZ1697" s="2060"/>
      <c r="KA1697" s="2060"/>
      <c r="KB1697" s="2060"/>
      <c r="KC1697" s="2060"/>
      <c r="KD1697" s="2060"/>
      <c r="KE1697" s="2060"/>
      <c r="KF1697" s="2060"/>
      <c r="KG1697" s="2060"/>
      <c r="KH1697" s="2060"/>
      <c r="KI1697" s="2060"/>
      <c r="KJ1697" s="2060"/>
      <c r="KK1697" s="2060"/>
      <c r="KL1697" s="2060"/>
      <c r="KM1697" s="2060"/>
      <c r="KN1697" s="2060"/>
      <c r="KO1697" s="2060"/>
      <c r="KP1697" s="2060"/>
      <c r="KQ1697" s="2060"/>
      <c r="KR1697" s="2060"/>
      <c r="KS1697" s="2060"/>
      <c r="KT1697" s="2060"/>
      <c r="KU1697" s="2060"/>
      <c r="KV1697" s="2060"/>
      <c r="KW1697" s="2060"/>
      <c r="KX1697" s="2060"/>
      <c r="KY1697" s="2060"/>
      <c r="KZ1697" s="2060"/>
      <c r="LA1697" s="2060"/>
      <c r="LB1697" s="2060"/>
      <c r="LC1697" s="2060"/>
      <c r="LD1697" s="2060"/>
      <c r="LE1697" s="2060"/>
      <c r="LF1697" s="2060"/>
      <c r="LG1697" s="2060"/>
      <c r="LH1697" s="2060"/>
    </row>
    <row r="1698" spans="1:320" s="1499" customFormat="1" ht="13.9">
      <c r="A1698" s="269" t="str">
        <f t="shared" si="447"/>
        <v>n</v>
      </c>
      <c r="B1698" s="2060"/>
      <c r="C1698" s="2060"/>
      <c r="D1698" s="2060"/>
      <c r="E1698" s="1661">
        <v>24</v>
      </c>
      <c r="F1698" s="1353" t="str">
        <f>F$152</f>
        <v>--</v>
      </c>
      <c r="G1698" s="128">
        <f>G$152</f>
        <v>0</v>
      </c>
      <c r="H1698" s="128" t="str">
        <f>H$152</f>
        <v>--</v>
      </c>
      <c r="I1698" s="255"/>
      <c r="J1698" s="2197" t="str">
        <f t="shared" ref="J1698:V1698" si="470">IFERROR(IF($F$315="Total debt",J1640,IF($F$315="Net debt",J1640-J1669,MAX(J1640-J1669,0))),"--")</f>
        <v/>
      </c>
      <c r="K1698" s="2197" t="str">
        <f t="shared" si="470"/>
        <v/>
      </c>
      <c r="L1698" s="2197" t="str">
        <f t="shared" si="445"/>
        <v/>
      </c>
      <c r="M1698" s="2197" t="str">
        <f t="shared" si="445"/>
        <v/>
      </c>
      <c r="N1698" s="2197" t="str">
        <f t="shared" si="445"/>
        <v/>
      </c>
      <c r="O1698" s="2197" t="str">
        <f t="shared" si="470"/>
        <v/>
      </c>
      <c r="P1698" s="2197" t="str">
        <f t="shared" si="470"/>
        <v/>
      </c>
      <c r="Q1698" s="2197" t="str">
        <f t="shared" si="470"/>
        <v/>
      </c>
      <c r="R1698" s="2197" t="str">
        <f t="shared" si="470"/>
        <v/>
      </c>
      <c r="S1698" s="2197" t="str">
        <f t="shared" si="470"/>
        <v/>
      </c>
      <c r="T1698" s="2197" t="str">
        <f t="shared" si="470"/>
        <v/>
      </c>
      <c r="U1698" s="2197" t="str">
        <f t="shared" si="470"/>
        <v/>
      </c>
      <c r="V1698" s="2197" t="str">
        <f t="shared" si="470"/>
        <v/>
      </c>
      <c r="W1698" s="1479"/>
      <c r="X1698" s="255"/>
      <c r="Y1698" s="255"/>
      <c r="Z1698" s="2060"/>
      <c r="AA1698" s="2060"/>
      <c r="AB1698" s="2060"/>
      <c r="AC1698" s="2060"/>
      <c r="AD1698" s="2060"/>
      <c r="AE1698" s="2060"/>
      <c r="AF1698" s="2060"/>
      <c r="AG1698" s="2060"/>
      <c r="AH1698" s="2060"/>
      <c r="AI1698" s="2060"/>
      <c r="AJ1698" s="2060"/>
      <c r="AK1698" s="2060"/>
      <c r="AL1698" s="2060"/>
      <c r="AM1698" s="2060"/>
      <c r="AN1698" s="2060"/>
      <c r="AO1698" s="2060"/>
      <c r="AP1698" s="2060"/>
      <c r="AQ1698" s="2060"/>
      <c r="AR1698" s="2060"/>
      <c r="AS1698" s="2060"/>
      <c r="AT1698" s="2060"/>
      <c r="AU1698" s="2060"/>
      <c r="AV1698" s="2060"/>
      <c r="AW1698" s="2060"/>
      <c r="AX1698" s="2060"/>
      <c r="AY1698" s="2060"/>
      <c r="AZ1698" s="2060"/>
      <c r="BA1698" s="2060"/>
      <c r="BB1698" s="2060"/>
      <c r="BC1698" s="2060"/>
      <c r="BD1698" s="2060"/>
      <c r="BE1698" s="2060"/>
      <c r="BF1698" s="2060"/>
      <c r="BG1698" s="2060"/>
      <c r="BH1698" s="2060"/>
      <c r="BI1698" s="2060"/>
      <c r="BJ1698" s="2060"/>
      <c r="BK1698" s="2060"/>
      <c r="BL1698" s="2060"/>
      <c r="BM1698" s="2060"/>
      <c r="BN1698" s="2060"/>
      <c r="BO1698" s="2060"/>
      <c r="BP1698" s="2060"/>
      <c r="BQ1698" s="2060"/>
      <c r="BR1698" s="2060"/>
      <c r="BS1698" s="2060"/>
      <c r="BT1698" s="2060"/>
      <c r="BU1698" s="2060"/>
      <c r="BV1698" s="2060"/>
      <c r="BW1698" s="2060"/>
      <c r="BX1698" s="2060"/>
      <c r="BY1698" s="2060"/>
      <c r="BZ1698" s="2060"/>
      <c r="CA1698" s="2060"/>
      <c r="CB1698" s="2060"/>
      <c r="CC1698" s="2060"/>
      <c r="CD1698" s="2060"/>
      <c r="CE1698" s="2060"/>
      <c r="CF1698" s="2060"/>
      <c r="CG1698" s="2060"/>
      <c r="CH1698" s="2060"/>
      <c r="CI1698" s="2060"/>
      <c r="CJ1698" s="2060"/>
      <c r="CK1698" s="2060"/>
      <c r="CL1698" s="2060"/>
      <c r="CM1698" s="2060"/>
      <c r="CN1698" s="2060"/>
      <c r="CO1698" s="2060"/>
      <c r="CP1698" s="2060"/>
      <c r="CQ1698" s="2060"/>
      <c r="CR1698" s="2060"/>
      <c r="CS1698" s="2060"/>
      <c r="CT1698" s="2060"/>
      <c r="CU1698" s="2060"/>
      <c r="CV1698" s="2060"/>
      <c r="CW1698" s="2060"/>
      <c r="CX1698" s="2060"/>
      <c r="CY1698" s="2060"/>
      <c r="CZ1698" s="2060"/>
      <c r="DA1698" s="2060"/>
      <c r="DB1698" s="2060"/>
      <c r="DC1698" s="2060"/>
      <c r="DD1698" s="2060"/>
      <c r="DE1698" s="2060"/>
      <c r="DF1698" s="2060"/>
      <c r="DG1698" s="2060"/>
      <c r="DH1698" s="2060"/>
      <c r="DI1698" s="2060"/>
      <c r="DJ1698" s="2060"/>
      <c r="DK1698" s="2060"/>
      <c r="DL1698" s="2060"/>
      <c r="DM1698" s="2060"/>
      <c r="DN1698" s="2060"/>
      <c r="DO1698" s="2060"/>
      <c r="DP1698" s="2060"/>
      <c r="DQ1698" s="2060"/>
      <c r="DR1698" s="2060"/>
      <c r="DS1698" s="2060"/>
      <c r="DT1698" s="2060"/>
      <c r="DU1698" s="2060"/>
      <c r="DV1698" s="2060"/>
      <c r="DW1698" s="2060"/>
      <c r="DX1698" s="2060"/>
      <c r="DY1698" s="2060"/>
      <c r="DZ1698" s="2060"/>
      <c r="EA1698" s="2060"/>
      <c r="EB1698" s="2060"/>
      <c r="EC1698" s="2060"/>
      <c r="ED1698" s="2060"/>
      <c r="EE1698" s="2060"/>
      <c r="EF1698" s="2060"/>
      <c r="EG1698" s="2060"/>
      <c r="EH1698" s="2060"/>
      <c r="EI1698" s="2060"/>
      <c r="EJ1698" s="2060"/>
      <c r="EK1698" s="2060"/>
      <c r="EL1698" s="2060"/>
      <c r="EM1698" s="2060"/>
      <c r="EN1698" s="2060"/>
      <c r="EO1698" s="2060"/>
      <c r="EP1698" s="2060"/>
      <c r="EQ1698" s="2060"/>
      <c r="ER1698" s="2060"/>
      <c r="ES1698" s="2060"/>
      <c r="ET1698" s="2060"/>
      <c r="EU1698" s="2060"/>
      <c r="EV1698" s="2060"/>
      <c r="EW1698" s="2060"/>
      <c r="EX1698" s="2060"/>
      <c r="EY1698" s="2060"/>
      <c r="EZ1698" s="2060"/>
      <c r="FA1698" s="2060"/>
      <c r="FB1698" s="2060"/>
      <c r="FC1698" s="2060"/>
      <c r="FD1698" s="2060"/>
      <c r="FE1698" s="2060"/>
      <c r="FF1698" s="2060"/>
      <c r="FG1698" s="2060"/>
      <c r="FH1698" s="2060"/>
      <c r="FI1698" s="2060"/>
      <c r="FJ1698" s="2060"/>
      <c r="FK1698" s="2060"/>
      <c r="FL1698" s="2060"/>
      <c r="FM1698" s="2060"/>
      <c r="FN1698" s="2060"/>
      <c r="FO1698" s="2060"/>
      <c r="FP1698" s="2060"/>
      <c r="FQ1698" s="2060"/>
      <c r="FR1698" s="2060"/>
      <c r="FS1698" s="2060"/>
      <c r="FT1698" s="2060"/>
      <c r="FU1698" s="2060"/>
      <c r="FV1698" s="2060"/>
      <c r="FW1698" s="2060"/>
      <c r="FX1698" s="2060"/>
      <c r="FY1698" s="2060"/>
      <c r="FZ1698" s="2060"/>
      <c r="GA1698" s="2060"/>
      <c r="GB1698" s="2060"/>
      <c r="GC1698" s="2060"/>
      <c r="GD1698" s="2060"/>
      <c r="GE1698" s="2060"/>
      <c r="GF1698" s="2060"/>
      <c r="GG1698" s="2060"/>
      <c r="GH1698" s="2060"/>
      <c r="GI1698" s="2060"/>
      <c r="GJ1698" s="2060"/>
      <c r="GK1698" s="2060"/>
      <c r="GL1698" s="2060"/>
      <c r="GM1698" s="2060"/>
      <c r="GN1698" s="2060"/>
      <c r="GO1698" s="2060"/>
      <c r="GP1698" s="2060"/>
      <c r="GQ1698" s="2060"/>
      <c r="GR1698" s="2060"/>
      <c r="GS1698" s="2060"/>
      <c r="GT1698" s="2060"/>
      <c r="GU1698" s="2060"/>
      <c r="GV1698" s="2060"/>
      <c r="GW1698" s="2060"/>
      <c r="GX1698" s="2060"/>
      <c r="GY1698" s="2060"/>
      <c r="GZ1698" s="2060"/>
      <c r="HA1698" s="2060"/>
      <c r="HB1698" s="2060"/>
      <c r="HC1698" s="2060"/>
      <c r="HD1698" s="2060"/>
      <c r="HE1698" s="2060"/>
      <c r="HF1698" s="2060"/>
      <c r="HG1698" s="2060"/>
      <c r="HH1698" s="2060"/>
      <c r="HI1698" s="2060"/>
      <c r="HJ1698" s="2060"/>
      <c r="HK1698" s="2060"/>
      <c r="HL1698" s="2060"/>
      <c r="HM1698" s="2060"/>
      <c r="HN1698" s="2060"/>
      <c r="HO1698" s="2060"/>
      <c r="HP1698" s="2060"/>
      <c r="HQ1698" s="2060"/>
      <c r="HR1698" s="2060"/>
      <c r="HS1698" s="2060"/>
      <c r="HT1698" s="2060"/>
      <c r="HU1698" s="2060"/>
      <c r="HV1698" s="2060"/>
      <c r="HW1698" s="2060"/>
      <c r="HX1698" s="2060"/>
      <c r="HY1698" s="2060"/>
      <c r="HZ1698" s="2060"/>
      <c r="IA1698" s="2060"/>
      <c r="IB1698" s="2060"/>
      <c r="IC1698" s="2060"/>
      <c r="ID1698" s="2060"/>
      <c r="IE1698" s="2060"/>
      <c r="IF1698" s="2060"/>
      <c r="IG1698" s="2060"/>
      <c r="IH1698" s="2060"/>
      <c r="II1698" s="2060"/>
      <c r="IJ1698" s="2060"/>
      <c r="IK1698" s="2060"/>
      <c r="IL1698" s="2060"/>
      <c r="IM1698" s="2060"/>
      <c r="IN1698" s="2060"/>
      <c r="IO1698" s="2060"/>
      <c r="IP1698" s="2060"/>
      <c r="IQ1698" s="2060"/>
      <c r="IR1698" s="2060"/>
      <c r="IS1698" s="2060"/>
      <c r="IT1698" s="2060"/>
      <c r="IU1698" s="2060"/>
      <c r="IV1698" s="2060"/>
      <c r="IW1698" s="2060"/>
      <c r="IX1698" s="2060"/>
      <c r="IY1698" s="2060"/>
      <c r="IZ1698" s="2060"/>
      <c r="JA1698" s="2060"/>
      <c r="JB1698" s="2060"/>
      <c r="JC1698" s="2060"/>
      <c r="JD1698" s="2060"/>
      <c r="JE1698" s="2060"/>
      <c r="JF1698" s="2060"/>
      <c r="JG1698" s="2060"/>
      <c r="JH1698" s="2060"/>
      <c r="JI1698" s="2060"/>
      <c r="JJ1698" s="2060"/>
      <c r="JK1698" s="2060"/>
      <c r="JL1698" s="2060"/>
      <c r="JM1698" s="2060"/>
      <c r="JN1698" s="2060"/>
      <c r="JO1698" s="2060"/>
      <c r="JP1698" s="2060"/>
      <c r="JQ1698" s="2060"/>
      <c r="JR1698" s="2060"/>
      <c r="JS1698" s="2060"/>
      <c r="JT1698" s="2060"/>
      <c r="JU1698" s="2060"/>
      <c r="JV1698" s="2060"/>
      <c r="JW1698" s="2060"/>
      <c r="JX1698" s="2060"/>
      <c r="JY1698" s="2060"/>
      <c r="JZ1698" s="2060"/>
      <c r="KA1698" s="2060"/>
      <c r="KB1698" s="2060"/>
      <c r="KC1698" s="2060"/>
      <c r="KD1698" s="2060"/>
      <c r="KE1698" s="2060"/>
      <c r="KF1698" s="2060"/>
      <c r="KG1698" s="2060"/>
      <c r="KH1698" s="2060"/>
      <c r="KI1698" s="2060"/>
      <c r="KJ1698" s="2060"/>
      <c r="KK1698" s="2060"/>
      <c r="KL1698" s="2060"/>
      <c r="KM1698" s="2060"/>
      <c r="KN1698" s="2060"/>
      <c r="KO1698" s="2060"/>
      <c r="KP1698" s="2060"/>
      <c r="KQ1698" s="2060"/>
      <c r="KR1698" s="2060"/>
      <c r="KS1698" s="2060"/>
      <c r="KT1698" s="2060"/>
      <c r="KU1698" s="2060"/>
      <c r="KV1698" s="2060"/>
      <c r="KW1698" s="2060"/>
      <c r="KX1698" s="2060"/>
      <c r="KY1698" s="2060"/>
      <c r="KZ1698" s="2060"/>
      <c r="LA1698" s="2060"/>
      <c r="LB1698" s="2060"/>
      <c r="LC1698" s="2060"/>
      <c r="LD1698" s="2060"/>
      <c r="LE1698" s="2060"/>
      <c r="LF1698" s="2060"/>
      <c r="LG1698" s="2060"/>
      <c r="LH1698" s="2060"/>
    </row>
    <row r="1699" spans="1:320" s="449" customFormat="1" ht="13.9">
      <c r="A1699" s="269" t="str">
        <f t="shared" si="447"/>
        <v>n</v>
      </c>
      <c r="B1699" s="2060"/>
      <c r="C1699" s="2060"/>
      <c r="D1699" s="2060"/>
      <c r="E1699" s="1661">
        <v>25</v>
      </c>
      <c r="F1699" s="1353" t="str">
        <f>F$153</f>
        <v>--</v>
      </c>
      <c r="G1699" s="128">
        <f>G$153</f>
        <v>0</v>
      </c>
      <c r="H1699" s="128" t="str">
        <f>H$153</f>
        <v>--</v>
      </c>
      <c r="I1699" s="89"/>
      <c r="J1699" s="2197" t="str">
        <f t="shared" ref="J1699:V1699" si="471">IFERROR(IF($F$315="Total debt",J1641,IF($F$315="Net debt",J1641-J1670,MAX(J1641-J1670,0))),"--")</f>
        <v/>
      </c>
      <c r="K1699" s="2197" t="str">
        <f t="shared" si="471"/>
        <v/>
      </c>
      <c r="L1699" s="2197" t="str">
        <f t="shared" si="445"/>
        <v/>
      </c>
      <c r="M1699" s="2197" t="str">
        <f t="shared" si="445"/>
        <v/>
      </c>
      <c r="N1699" s="2197" t="str">
        <f t="shared" si="445"/>
        <v/>
      </c>
      <c r="O1699" s="2197" t="str">
        <f t="shared" si="471"/>
        <v/>
      </c>
      <c r="P1699" s="2197" t="str">
        <f t="shared" si="471"/>
        <v/>
      </c>
      <c r="Q1699" s="2197" t="str">
        <f t="shared" si="471"/>
        <v/>
      </c>
      <c r="R1699" s="2197" t="str">
        <f t="shared" si="471"/>
        <v/>
      </c>
      <c r="S1699" s="2197" t="str">
        <f t="shared" si="471"/>
        <v/>
      </c>
      <c r="T1699" s="2197" t="str">
        <f t="shared" si="471"/>
        <v/>
      </c>
      <c r="U1699" s="2197" t="str">
        <f t="shared" si="471"/>
        <v/>
      </c>
      <c r="V1699" s="2197" t="str">
        <f t="shared" si="471"/>
        <v/>
      </c>
      <c r="W1699" s="1479"/>
      <c r="X1699" s="255"/>
      <c r="Y1699" s="89"/>
      <c r="Z1699" s="2060"/>
      <c r="AA1699" s="2060"/>
      <c r="AB1699" s="2060"/>
      <c r="AC1699" s="2060"/>
      <c r="AD1699" s="2060"/>
      <c r="AE1699" s="2060"/>
      <c r="AF1699" s="2060"/>
      <c r="AG1699" s="2060"/>
      <c r="AH1699" s="2060"/>
      <c r="AI1699" s="2060"/>
      <c r="AJ1699" s="2060"/>
      <c r="AK1699" s="2060"/>
      <c r="AL1699" s="2060"/>
      <c r="AM1699" s="2060"/>
      <c r="AN1699" s="2060"/>
      <c r="AO1699" s="2060"/>
      <c r="AP1699" s="2060"/>
      <c r="AQ1699" s="2060"/>
      <c r="AR1699" s="2060"/>
      <c r="AS1699" s="2060"/>
      <c r="AT1699" s="2060"/>
      <c r="AU1699" s="2060"/>
      <c r="AV1699" s="2060"/>
      <c r="AW1699" s="2060"/>
      <c r="AX1699" s="2060"/>
      <c r="AY1699" s="2060"/>
      <c r="AZ1699" s="2060"/>
      <c r="BA1699" s="2060"/>
      <c r="BB1699" s="2060"/>
      <c r="BC1699" s="2060"/>
      <c r="BD1699" s="2060"/>
      <c r="BE1699" s="2060"/>
      <c r="BF1699" s="2060"/>
      <c r="BG1699" s="2060"/>
      <c r="BH1699" s="2060"/>
      <c r="BI1699" s="2060"/>
      <c r="BJ1699" s="2060"/>
      <c r="BK1699" s="2060"/>
      <c r="BL1699" s="2060"/>
      <c r="BM1699" s="2060"/>
      <c r="BN1699" s="2060"/>
      <c r="BO1699" s="2060"/>
      <c r="BP1699" s="2060"/>
      <c r="BQ1699" s="2060"/>
      <c r="BR1699" s="2060"/>
      <c r="BS1699" s="2060"/>
      <c r="BT1699" s="2060"/>
      <c r="BU1699" s="2060"/>
      <c r="BV1699" s="2060"/>
      <c r="BW1699" s="2060"/>
      <c r="BX1699" s="2060"/>
      <c r="BY1699" s="2060"/>
      <c r="BZ1699" s="2060"/>
      <c r="CA1699" s="2060"/>
      <c r="CB1699" s="2060"/>
      <c r="CC1699" s="2060"/>
      <c r="CD1699" s="2060"/>
      <c r="CE1699" s="2060"/>
      <c r="CF1699" s="2060"/>
      <c r="CG1699" s="2060"/>
      <c r="CH1699" s="2060"/>
      <c r="CI1699" s="2060"/>
      <c r="CJ1699" s="2060"/>
      <c r="CK1699" s="2060"/>
      <c r="CL1699" s="2060"/>
      <c r="CM1699" s="2060"/>
      <c r="CN1699" s="2060"/>
      <c r="CO1699" s="2060"/>
      <c r="CP1699" s="2060"/>
      <c r="CQ1699" s="2060"/>
      <c r="CR1699" s="2060"/>
      <c r="CS1699" s="2060"/>
      <c r="CT1699" s="2060"/>
      <c r="CU1699" s="2060"/>
      <c r="CV1699" s="2060"/>
      <c r="CW1699" s="2060"/>
      <c r="CX1699" s="2060"/>
      <c r="CY1699" s="2060"/>
      <c r="CZ1699" s="2060"/>
      <c r="DA1699" s="2060"/>
      <c r="DB1699" s="2060"/>
      <c r="DC1699" s="2060"/>
      <c r="DD1699" s="2060"/>
      <c r="DE1699" s="2060"/>
      <c r="DF1699" s="2060"/>
      <c r="DG1699" s="2060"/>
      <c r="DH1699" s="2060"/>
      <c r="DI1699" s="2060"/>
      <c r="DJ1699" s="2060"/>
      <c r="DK1699" s="2060"/>
      <c r="DL1699" s="2060"/>
      <c r="DM1699" s="2060"/>
      <c r="DN1699" s="2060"/>
      <c r="DO1699" s="2060"/>
      <c r="DP1699" s="2060"/>
      <c r="DQ1699" s="2060"/>
      <c r="DR1699" s="2060"/>
      <c r="DS1699" s="2060"/>
      <c r="DT1699" s="2060"/>
      <c r="DU1699" s="2060"/>
      <c r="DV1699" s="2060"/>
      <c r="DW1699" s="2060"/>
      <c r="DX1699" s="2060"/>
      <c r="DY1699" s="2060"/>
      <c r="DZ1699" s="2060"/>
      <c r="EA1699" s="2060"/>
      <c r="EB1699" s="2060"/>
      <c r="EC1699" s="2060"/>
      <c r="ED1699" s="2060"/>
      <c r="EE1699" s="2060"/>
      <c r="EF1699" s="2060"/>
      <c r="EG1699" s="2060"/>
      <c r="EH1699" s="2060"/>
      <c r="EI1699" s="2060"/>
      <c r="EJ1699" s="2060"/>
      <c r="EK1699" s="2060"/>
      <c r="EL1699" s="2060"/>
      <c r="EM1699" s="2060"/>
      <c r="EN1699" s="2060"/>
      <c r="EO1699" s="2060"/>
      <c r="EP1699" s="2060"/>
      <c r="EQ1699" s="2060"/>
      <c r="ER1699" s="2060"/>
      <c r="ES1699" s="2060"/>
      <c r="ET1699" s="2060"/>
      <c r="EU1699" s="2060"/>
      <c r="EV1699" s="2060"/>
      <c r="EW1699" s="2060"/>
      <c r="EX1699" s="2060"/>
      <c r="EY1699" s="2060"/>
      <c r="EZ1699" s="2060"/>
      <c r="FA1699" s="2060"/>
      <c r="FB1699" s="2060"/>
      <c r="FC1699" s="2060"/>
      <c r="FD1699" s="2060"/>
      <c r="FE1699" s="2060"/>
      <c r="FF1699" s="2060"/>
      <c r="FG1699" s="2060"/>
      <c r="FH1699" s="2060"/>
      <c r="FI1699" s="2060"/>
      <c r="FJ1699" s="2060"/>
      <c r="FK1699" s="2060"/>
      <c r="FL1699" s="2060"/>
      <c r="FM1699" s="2060"/>
      <c r="FN1699" s="2060"/>
      <c r="FO1699" s="2060"/>
      <c r="FP1699" s="2060"/>
      <c r="FQ1699" s="2060"/>
      <c r="FR1699" s="2060"/>
      <c r="FS1699" s="2060"/>
      <c r="FT1699" s="2060"/>
      <c r="FU1699" s="2060"/>
      <c r="FV1699" s="2060"/>
      <c r="FW1699" s="2060"/>
      <c r="FX1699" s="2060"/>
      <c r="FY1699" s="2060"/>
      <c r="FZ1699" s="2060"/>
      <c r="GA1699" s="2060"/>
      <c r="GB1699" s="2060"/>
      <c r="GC1699" s="2060"/>
      <c r="GD1699" s="2060"/>
      <c r="GE1699" s="2060"/>
      <c r="GF1699" s="2060"/>
      <c r="GG1699" s="2060"/>
      <c r="GH1699" s="2060"/>
      <c r="GI1699" s="2060"/>
      <c r="GJ1699" s="2060"/>
      <c r="GK1699" s="2060"/>
      <c r="GL1699" s="2060"/>
      <c r="GM1699" s="2060"/>
      <c r="GN1699" s="2060"/>
      <c r="GO1699" s="2060"/>
      <c r="GP1699" s="2060"/>
      <c r="GQ1699" s="2060"/>
      <c r="GR1699" s="2060"/>
      <c r="GS1699" s="2060"/>
      <c r="GT1699" s="2060"/>
      <c r="GU1699" s="2060"/>
      <c r="GV1699" s="2060"/>
      <c r="GW1699" s="2060"/>
      <c r="GX1699" s="2060"/>
      <c r="GY1699" s="2060"/>
      <c r="GZ1699" s="2060"/>
      <c r="HA1699" s="2060"/>
      <c r="HB1699" s="2060"/>
      <c r="HC1699" s="2060"/>
      <c r="HD1699" s="2060"/>
      <c r="HE1699" s="2060"/>
      <c r="HF1699" s="2060"/>
      <c r="HG1699" s="2060"/>
      <c r="HH1699" s="2060"/>
      <c r="HI1699" s="2060"/>
      <c r="HJ1699" s="2060"/>
      <c r="HK1699" s="2060"/>
      <c r="HL1699" s="2060"/>
      <c r="HM1699" s="2060"/>
      <c r="HN1699" s="2060"/>
      <c r="HO1699" s="2060"/>
      <c r="HP1699" s="2060"/>
      <c r="HQ1699" s="2060"/>
      <c r="HR1699" s="2060"/>
      <c r="HS1699" s="2060"/>
      <c r="HT1699" s="2060"/>
      <c r="HU1699" s="2060"/>
      <c r="HV1699" s="2060"/>
      <c r="HW1699" s="2060"/>
      <c r="HX1699" s="2060"/>
      <c r="HY1699" s="2060"/>
      <c r="HZ1699" s="2060"/>
      <c r="IA1699" s="2060"/>
      <c r="IB1699" s="2060"/>
      <c r="IC1699" s="2060"/>
      <c r="ID1699" s="2060"/>
      <c r="IE1699" s="2060"/>
      <c r="IF1699" s="2060"/>
      <c r="IG1699" s="2060"/>
      <c r="IH1699" s="2060"/>
      <c r="II1699" s="2060"/>
      <c r="IJ1699" s="2060"/>
      <c r="IK1699" s="2060"/>
      <c r="IL1699" s="2060"/>
      <c r="IM1699" s="2060"/>
      <c r="IN1699" s="2060"/>
      <c r="IO1699" s="2060"/>
      <c r="IP1699" s="2060"/>
      <c r="IQ1699" s="2060"/>
      <c r="IR1699" s="2060"/>
      <c r="IS1699" s="2060"/>
      <c r="IT1699" s="2060"/>
      <c r="IU1699" s="2060"/>
      <c r="IV1699" s="2060"/>
      <c r="IW1699" s="2060"/>
      <c r="IX1699" s="2060"/>
      <c r="IY1699" s="2060"/>
      <c r="IZ1699" s="2060"/>
      <c r="JA1699" s="2060"/>
      <c r="JB1699" s="2060"/>
      <c r="JC1699" s="2060"/>
      <c r="JD1699" s="2060"/>
      <c r="JE1699" s="2060"/>
      <c r="JF1699" s="2060"/>
      <c r="JG1699" s="2060"/>
      <c r="JH1699" s="2060"/>
      <c r="JI1699" s="2060"/>
      <c r="JJ1699" s="2060"/>
      <c r="JK1699" s="2060"/>
      <c r="JL1699" s="2060"/>
      <c r="JM1699" s="2060"/>
      <c r="JN1699" s="2060"/>
      <c r="JO1699" s="2060"/>
      <c r="JP1699" s="2060"/>
      <c r="JQ1699" s="2060"/>
      <c r="JR1699" s="2060"/>
      <c r="JS1699" s="2060"/>
      <c r="JT1699" s="2060"/>
      <c r="JU1699" s="2060"/>
      <c r="JV1699" s="2060"/>
      <c r="JW1699" s="2060"/>
      <c r="JX1699" s="2060"/>
      <c r="JY1699" s="2060"/>
      <c r="JZ1699" s="2060"/>
      <c r="KA1699" s="2060"/>
      <c r="KB1699" s="2060"/>
      <c r="KC1699" s="2060"/>
      <c r="KD1699" s="2060"/>
      <c r="KE1699" s="2060"/>
      <c r="KF1699" s="2060"/>
      <c r="KG1699" s="2060"/>
      <c r="KH1699" s="2060"/>
      <c r="KI1699" s="2060"/>
      <c r="KJ1699" s="2060"/>
      <c r="KK1699" s="2060"/>
      <c r="KL1699" s="2060"/>
      <c r="KM1699" s="2060"/>
      <c r="KN1699" s="2060"/>
      <c r="KO1699" s="2060"/>
      <c r="KP1699" s="2060"/>
      <c r="KQ1699" s="2060"/>
      <c r="KR1699" s="2060"/>
      <c r="KS1699" s="2060"/>
      <c r="KT1699" s="2060"/>
      <c r="KU1699" s="2060"/>
      <c r="KV1699" s="2060"/>
      <c r="KW1699" s="2060"/>
      <c r="KX1699" s="2060"/>
      <c r="KY1699" s="2060"/>
      <c r="KZ1699" s="2060"/>
      <c r="LA1699" s="2060"/>
      <c r="LB1699" s="2060"/>
      <c r="LC1699" s="2060"/>
      <c r="LD1699" s="2060"/>
      <c r="LE1699" s="2060"/>
      <c r="LF1699" s="2060"/>
      <c r="LG1699" s="2060"/>
      <c r="LH1699" s="2060"/>
    </row>
    <row r="1700" spans="1:320" s="449" customFormat="1" ht="13.9">
      <c r="A1700" s="2060"/>
      <c r="B1700" s="2060"/>
      <c r="C1700" s="2060"/>
      <c r="D1700" s="2060"/>
      <c r="E1700" s="505"/>
      <c r="F1700" s="1349"/>
      <c r="G1700" s="1349"/>
      <c r="H1700" s="1349"/>
      <c r="I1700" s="89"/>
      <c r="J1700" s="1558"/>
      <c r="K1700" s="1558"/>
      <c r="L1700" s="1558"/>
      <c r="M1700" s="1558"/>
      <c r="N1700" s="1558"/>
      <c r="O1700" s="1558"/>
      <c r="P1700" s="1558"/>
      <c r="Q1700" s="1558"/>
      <c r="R1700" s="1558"/>
      <c r="S1700" s="1558"/>
      <c r="T1700" s="1558"/>
      <c r="U1700" s="1558"/>
      <c r="V1700" s="1558"/>
      <c r="W1700" s="1479"/>
      <c r="X1700" s="255"/>
      <c r="Y1700" s="89"/>
      <c r="Z1700" s="2060"/>
      <c r="AA1700" s="2060"/>
      <c r="AB1700" s="2060"/>
      <c r="AC1700" s="2060"/>
      <c r="AD1700" s="2060"/>
      <c r="AE1700" s="2060"/>
      <c r="AF1700" s="2060"/>
      <c r="AG1700" s="2060"/>
      <c r="AH1700" s="2060"/>
      <c r="AI1700" s="2060"/>
      <c r="AJ1700" s="2060"/>
      <c r="AK1700" s="2060"/>
      <c r="AL1700" s="2060"/>
      <c r="AM1700" s="2060"/>
      <c r="AN1700" s="2060"/>
      <c r="AO1700" s="2060"/>
      <c r="AP1700" s="2060"/>
      <c r="AQ1700" s="2060"/>
      <c r="AR1700" s="2060"/>
      <c r="AS1700" s="2060"/>
      <c r="AT1700" s="2060"/>
      <c r="AU1700" s="2060"/>
      <c r="AV1700" s="2060"/>
      <c r="AW1700" s="2060"/>
      <c r="AX1700" s="2060"/>
      <c r="AY1700" s="2060"/>
      <c r="AZ1700" s="2060"/>
      <c r="BA1700" s="2060"/>
      <c r="BB1700" s="2060"/>
      <c r="BC1700" s="2060"/>
      <c r="BD1700" s="2060"/>
      <c r="BE1700" s="2060"/>
      <c r="BF1700" s="2060"/>
      <c r="BG1700" s="2060"/>
      <c r="BH1700" s="2060"/>
      <c r="BI1700" s="2060"/>
      <c r="BJ1700" s="2060"/>
      <c r="BK1700" s="2060"/>
      <c r="BL1700" s="2060"/>
      <c r="BM1700" s="2060"/>
      <c r="BN1700" s="2060"/>
      <c r="BO1700" s="2060"/>
      <c r="BP1700" s="2060"/>
      <c r="BQ1700" s="2060"/>
      <c r="BR1700" s="2060"/>
      <c r="BS1700" s="2060"/>
      <c r="BT1700" s="2060"/>
      <c r="BU1700" s="2060"/>
      <c r="BV1700" s="2060"/>
      <c r="BW1700" s="2060"/>
      <c r="BX1700" s="2060"/>
      <c r="BY1700" s="2060"/>
      <c r="BZ1700" s="2060"/>
      <c r="CA1700" s="2060"/>
      <c r="CB1700" s="2060"/>
      <c r="CC1700" s="2060"/>
      <c r="CD1700" s="2060"/>
      <c r="CE1700" s="2060"/>
      <c r="CF1700" s="2060"/>
      <c r="CG1700" s="2060"/>
      <c r="CH1700" s="2060"/>
      <c r="CI1700" s="2060"/>
      <c r="CJ1700" s="2060"/>
      <c r="CK1700" s="2060"/>
      <c r="CL1700" s="2060"/>
      <c r="CM1700" s="2060"/>
      <c r="CN1700" s="2060"/>
      <c r="CO1700" s="2060"/>
      <c r="CP1700" s="2060"/>
      <c r="CQ1700" s="2060"/>
      <c r="CR1700" s="2060"/>
      <c r="CS1700" s="2060"/>
      <c r="CT1700" s="2060"/>
      <c r="CU1700" s="2060"/>
      <c r="CV1700" s="2060"/>
      <c r="CW1700" s="2060"/>
      <c r="CX1700" s="2060"/>
      <c r="CY1700" s="2060"/>
      <c r="CZ1700" s="2060"/>
      <c r="DA1700" s="2060"/>
      <c r="DB1700" s="2060"/>
      <c r="DC1700" s="2060"/>
      <c r="DD1700" s="2060"/>
      <c r="DE1700" s="2060"/>
      <c r="DF1700" s="2060"/>
      <c r="DG1700" s="2060"/>
      <c r="DH1700" s="2060"/>
      <c r="DI1700" s="2060"/>
      <c r="DJ1700" s="2060"/>
      <c r="DK1700" s="2060"/>
      <c r="DL1700" s="2060"/>
      <c r="DM1700" s="2060"/>
      <c r="DN1700" s="2060"/>
      <c r="DO1700" s="2060"/>
      <c r="DP1700" s="2060"/>
      <c r="DQ1700" s="2060"/>
      <c r="DR1700" s="2060"/>
      <c r="DS1700" s="2060"/>
      <c r="DT1700" s="2060"/>
      <c r="DU1700" s="2060"/>
      <c r="DV1700" s="2060"/>
      <c r="DW1700" s="2060"/>
      <c r="DX1700" s="2060"/>
      <c r="DY1700" s="2060"/>
      <c r="DZ1700" s="2060"/>
      <c r="EA1700" s="2060"/>
      <c r="EB1700" s="2060"/>
      <c r="EC1700" s="2060"/>
      <c r="ED1700" s="2060"/>
      <c r="EE1700" s="2060"/>
      <c r="EF1700" s="2060"/>
      <c r="EG1700" s="2060"/>
      <c r="EH1700" s="2060"/>
      <c r="EI1700" s="2060"/>
      <c r="EJ1700" s="2060"/>
      <c r="EK1700" s="2060"/>
      <c r="EL1700" s="2060"/>
      <c r="EM1700" s="2060"/>
      <c r="EN1700" s="2060"/>
      <c r="EO1700" s="2060"/>
      <c r="EP1700" s="2060"/>
      <c r="EQ1700" s="2060"/>
      <c r="ER1700" s="2060"/>
      <c r="ES1700" s="2060"/>
      <c r="ET1700" s="2060"/>
      <c r="EU1700" s="2060"/>
      <c r="EV1700" s="2060"/>
      <c r="EW1700" s="2060"/>
      <c r="EX1700" s="2060"/>
      <c r="EY1700" s="2060"/>
      <c r="EZ1700" s="2060"/>
      <c r="FA1700" s="2060"/>
      <c r="FB1700" s="2060"/>
      <c r="FC1700" s="2060"/>
      <c r="FD1700" s="2060"/>
      <c r="FE1700" s="2060"/>
      <c r="FF1700" s="2060"/>
      <c r="FG1700" s="2060"/>
      <c r="FH1700" s="2060"/>
      <c r="FI1700" s="2060"/>
      <c r="FJ1700" s="2060"/>
      <c r="FK1700" s="2060"/>
      <c r="FL1700" s="2060"/>
      <c r="FM1700" s="2060"/>
      <c r="FN1700" s="2060"/>
      <c r="FO1700" s="2060"/>
      <c r="FP1700" s="2060"/>
      <c r="FQ1700" s="2060"/>
      <c r="FR1700" s="2060"/>
      <c r="FS1700" s="2060"/>
      <c r="FT1700" s="2060"/>
      <c r="FU1700" s="2060"/>
      <c r="FV1700" s="2060"/>
      <c r="FW1700" s="2060"/>
      <c r="FX1700" s="2060"/>
      <c r="FY1700" s="2060"/>
      <c r="FZ1700" s="2060"/>
      <c r="GA1700" s="2060"/>
      <c r="GB1700" s="2060"/>
      <c r="GC1700" s="2060"/>
      <c r="GD1700" s="2060"/>
      <c r="GE1700" s="2060"/>
      <c r="GF1700" s="2060"/>
      <c r="GG1700" s="2060"/>
      <c r="GH1700" s="2060"/>
      <c r="GI1700" s="2060"/>
      <c r="GJ1700" s="2060"/>
      <c r="GK1700" s="2060"/>
      <c r="GL1700" s="2060"/>
      <c r="GM1700" s="2060"/>
      <c r="GN1700" s="2060"/>
      <c r="GO1700" s="2060"/>
      <c r="GP1700" s="2060"/>
      <c r="GQ1700" s="2060"/>
      <c r="GR1700" s="2060"/>
      <c r="GS1700" s="2060"/>
      <c r="GT1700" s="2060"/>
      <c r="GU1700" s="2060"/>
      <c r="GV1700" s="2060"/>
      <c r="GW1700" s="2060"/>
      <c r="GX1700" s="2060"/>
      <c r="GY1700" s="2060"/>
      <c r="GZ1700" s="2060"/>
      <c r="HA1700" s="2060"/>
      <c r="HB1700" s="2060"/>
      <c r="HC1700" s="2060"/>
      <c r="HD1700" s="2060"/>
      <c r="HE1700" s="2060"/>
      <c r="HF1700" s="2060"/>
      <c r="HG1700" s="2060"/>
      <c r="HH1700" s="2060"/>
      <c r="HI1700" s="2060"/>
      <c r="HJ1700" s="2060"/>
      <c r="HK1700" s="2060"/>
      <c r="HL1700" s="2060"/>
      <c r="HM1700" s="2060"/>
      <c r="HN1700" s="2060"/>
      <c r="HO1700" s="2060"/>
      <c r="HP1700" s="2060"/>
      <c r="HQ1700" s="2060"/>
      <c r="HR1700" s="2060"/>
      <c r="HS1700" s="2060"/>
      <c r="HT1700" s="2060"/>
      <c r="HU1700" s="2060"/>
      <c r="HV1700" s="2060"/>
      <c r="HW1700" s="2060"/>
      <c r="HX1700" s="2060"/>
      <c r="HY1700" s="2060"/>
      <c r="HZ1700" s="2060"/>
      <c r="IA1700" s="2060"/>
      <c r="IB1700" s="2060"/>
      <c r="IC1700" s="2060"/>
      <c r="ID1700" s="2060"/>
      <c r="IE1700" s="2060"/>
      <c r="IF1700" s="2060"/>
      <c r="IG1700" s="2060"/>
      <c r="IH1700" s="2060"/>
      <c r="II1700" s="2060"/>
      <c r="IJ1700" s="2060"/>
      <c r="IK1700" s="2060"/>
      <c r="IL1700" s="2060"/>
      <c r="IM1700" s="2060"/>
      <c r="IN1700" s="2060"/>
      <c r="IO1700" s="2060"/>
      <c r="IP1700" s="2060"/>
      <c r="IQ1700" s="2060"/>
      <c r="IR1700" s="2060"/>
      <c r="IS1700" s="2060"/>
      <c r="IT1700" s="2060"/>
      <c r="IU1700" s="2060"/>
      <c r="IV1700" s="2060"/>
      <c r="IW1700" s="2060"/>
      <c r="IX1700" s="2060"/>
      <c r="IY1700" s="2060"/>
      <c r="IZ1700" s="2060"/>
      <c r="JA1700" s="2060"/>
      <c r="JB1700" s="2060"/>
      <c r="JC1700" s="2060"/>
      <c r="JD1700" s="2060"/>
      <c r="JE1700" s="2060"/>
      <c r="JF1700" s="2060"/>
      <c r="JG1700" s="2060"/>
      <c r="JH1700" s="2060"/>
      <c r="JI1700" s="2060"/>
      <c r="JJ1700" s="2060"/>
      <c r="JK1700" s="2060"/>
      <c r="JL1700" s="2060"/>
      <c r="JM1700" s="2060"/>
      <c r="JN1700" s="2060"/>
      <c r="JO1700" s="2060"/>
      <c r="JP1700" s="2060"/>
      <c r="JQ1700" s="2060"/>
      <c r="JR1700" s="2060"/>
      <c r="JS1700" s="2060"/>
      <c r="JT1700" s="2060"/>
      <c r="JU1700" s="2060"/>
      <c r="JV1700" s="2060"/>
      <c r="JW1700" s="2060"/>
      <c r="JX1700" s="2060"/>
      <c r="JY1700" s="2060"/>
      <c r="JZ1700" s="2060"/>
      <c r="KA1700" s="2060"/>
      <c r="KB1700" s="2060"/>
      <c r="KC1700" s="2060"/>
      <c r="KD1700" s="2060"/>
      <c r="KE1700" s="2060"/>
      <c r="KF1700" s="2060"/>
      <c r="KG1700" s="2060"/>
      <c r="KH1700" s="2060"/>
      <c r="KI1700" s="2060"/>
      <c r="KJ1700" s="2060"/>
      <c r="KK1700" s="2060"/>
      <c r="KL1700" s="2060"/>
      <c r="KM1700" s="2060"/>
      <c r="KN1700" s="2060"/>
      <c r="KO1700" s="2060"/>
      <c r="KP1700" s="2060"/>
      <c r="KQ1700" s="2060"/>
      <c r="KR1700" s="2060"/>
      <c r="KS1700" s="2060"/>
      <c r="KT1700" s="2060"/>
      <c r="KU1700" s="2060"/>
      <c r="KV1700" s="2060"/>
      <c r="KW1700" s="2060"/>
      <c r="KX1700" s="2060"/>
      <c r="KY1700" s="2060"/>
      <c r="KZ1700" s="2060"/>
      <c r="LA1700" s="2060"/>
      <c r="LB1700" s="2060"/>
      <c r="LC1700" s="2060"/>
      <c r="LD1700" s="2060"/>
      <c r="LE1700" s="2060"/>
      <c r="LF1700" s="2060"/>
      <c r="LG1700" s="2060"/>
      <c r="LH1700" s="2060"/>
    </row>
    <row r="1701" spans="1:320" s="449" customFormat="1" ht="13.9">
      <c r="A1701" s="2060"/>
      <c r="B1701" s="2060"/>
      <c r="C1701" s="2060"/>
      <c r="D1701" s="2060"/>
      <c r="E1701" s="505"/>
      <c r="F1701" s="128"/>
      <c r="G1701" s="1349"/>
      <c r="H1701" s="128"/>
      <c r="I1701" s="89"/>
      <c r="J1701" s="257"/>
      <c r="K1701" s="1558"/>
      <c r="L1701" s="1558"/>
      <c r="M1701" s="1558"/>
      <c r="N1701" s="1558"/>
      <c r="O1701" s="1558"/>
      <c r="P1701" s="1558"/>
      <c r="Q1701" s="1558"/>
      <c r="R1701" s="1558"/>
      <c r="S1701" s="1558"/>
      <c r="T1701" s="1558"/>
      <c r="U1701" s="1558"/>
      <c r="V1701" s="1558"/>
      <c r="W1701" s="1479"/>
      <c r="X1701" s="255"/>
      <c r="Y1701" s="89"/>
      <c r="Z1701" s="2060"/>
      <c r="AA1701" s="2060"/>
      <c r="AB1701" s="2060"/>
      <c r="AC1701" s="2060"/>
      <c r="AD1701" s="2060"/>
      <c r="AE1701" s="2060"/>
      <c r="AF1701" s="2060"/>
      <c r="AG1701" s="2060"/>
      <c r="AH1701" s="2060"/>
      <c r="AI1701" s="2060"/>
      <c r="AJ1701" s="2060"/>
      <c r="AK1701" s="2060"/>
      <c r="AL1701" s="2060"/>
      <c r="AM1701" s="2060"/>
      <c r="AN1701" s="2060"/>
      <c r="AO1701" s="2060"/>
      <c r="AP1701" s="2060"/>
      <c r="AQ1701" s="2060"/>
      <c r="AR1701" s="2060"/>
      <c r="AS1701" s="2060"/>
      <c r="AT1701" s="2060"/>
      <c r="AU1701" s="2060"/>
      <c r="AV1701" s="2060"/>
      <c r="AW1701" s="2060"/>
      <c r="AX1701" s="2060"/>
      <c r="AY1701" s="2060"/>
      <c r="AZ1701" s="2060"/>
      <c r="BA1701" s="2060"/>
      <c r="BB1701" s="2060"/>
      <c r="BC1701" s="2060"/>
      <c r="BD1701" s="2060"/>
      <c r="BE1701" s="2060"/>
      <c r="BF1701" s="2060"/>
      <c r="BG1701" s="2060"/>
      <c r="BH1701" s="2060"/>
      <c r="BI1701" s="2060"/>
      <c r="BJ1701" s="2060"/>
      <c r="BK1701" s="2060"/>
      <c r="BL1701" s="2060"/>
      <c r="BM1701" s="2060"/>
      <c r="BN1701" s="2060"/>
      <c r="BO1701" s="2060"/>
      <c r="BP1701" s="2060"/>
      <c r="BQ1701" s="2060"/>
      <c r="BR1701" s="2060"/>
      <c r="BS1701" s="2060"/>
      <c r="BT1701" s="2060"/>
      <c r="BU1701" s="2060"/>
      <c r="BV1701" s="2060"/>
      <c r="BW1701" s="2060"/>
      <c r="BX1701" s="2060"/>
      <c r="BY1701" s="2060"/>
      <c r="BZ1701" s="2060"/>
      <c r="CA1701" s="2060"/>
      <c r="CB1701" s="2060"/>
      <c r="CC1701" s="2060"/>
      <c r="CD1701" s="2060"/>
      <c r="CE1701" s="2060"/>
      <c r="CF1701" s="2060"/>
      <c r="CG1701" s="2060"/>
      <c r="CH1701" s="2060"/>
      <c r="CI1701" s="2060"/>
      <c r="CJ1701" s="2060"/>
      <c r="CK1701" s="2060"/>
      <c r="CL1701" s="2060"/>
      <c r="CM1701" s="2060"/>
      <c r="CN1701" s="2060"/>
      <c r="CO1701" s="2060"/>
      <c r="CP1701" s="2060"/>
      <c r="CQ1701" s="2060"/>
      <c r="CR1701" s="2060"/>
      <c r="CS1701" s="2060"/>
      <c r="CT1701" s="2060"/>
      <c r="CU1701" s="2060"/>
      <c r="CV1701" s="2060"/>
      <c r="CW1701" s="2060"/>
      <c r="CX1701" s="2060"/>
      <c r="CY1701" s="2060"/>
      <c r="CZ1701" s="2060"/>
      <c r="DA1701" s="2060"/>
      <c r="DB1701" s="2060"/>
      <c r="DC1701" s="2060"/>
      <c r="DD1701" s="2060"/>
      <c r="DE1701" s="2060"/>
      <c r="DF1701" s="2060"/>
      <c r="DG1701" s="2060"/>
      <c r="DH1701" s="2060"/>
      <c r="DI1701" s="2060"/>
      <c r="DJ1701" s="2060"/>
      <c r="DK1701" s="2060"/>
      <c r="DL1701" s="2060"/>
      <c r="DM1701" s="2060"/>
      <c r="DN1701" s="2060"/>
      <c r="DO1701" s="2060"/>
      <c r="DP1701" s="2060"/>
      <c r="DQ1701" s="2060"/>
      <c r="DR1701" s="2060"/>
      <c r="DS1701" s="2060"/>
      <c r="DT1701" s="2060"/>
      <c r="DU1701" s="2060"/>
      <c r="DV1701" s="2060"/>
      <c r="DW1701" s="2060"/>
      <c r="DX1701" s="2060"/>
      <c r="DY1701" s="2060"/>
      <c r="DZ1701" s="2060"/>
      <c r="EA1701" s="2060"/>
      <c r="EB1701" s="2060"/>
      <c r="EC1701" s="2060"/>
      <c r="ED1701" s="2060"/>
      <c r="EE1701" s="2060"/>
      <c r="EF1701" s="2060"/>
      <c r="EG1701" s="2060"/>
      <c r="EH1701" s="2060"/>
      <c r="EI1701" s="2060"/>
      <c r="EJ1701" s="2060"/>
      <c r="EK1701" s="2060"/>
      <c r="EL1701" s="2060"/>
      <c r="EM1701" s="2060"/>
      <c r="EN1701" s="2060"/>
      <c r="EO1701" s="2060"/>
      <c r="EP1701" s="2060"/>
      <c r="EQ1701" s="2060"/>
      <c r="ER1701" s="2060"/>
      <c r="ES1701" s="2060"/>
      <c r="ET1701" s="2060"/>
      <c r="EU1701" s="2060"/>
      <c r="EV1701" s="2060"/>
      <c r="EW1701" s="2060"/>
      <c r="EX1701" s="2060"/>
      <c r="EY1701" s="2060"/>
      <c r="EZ1701" s="2060"/>
      <c r="FA1701" s="2060"/>
      <c r="FB1701" s="2060"/>
      <c r="FC1701" s="2060"/>
      <c r="FD1701" s="2060"/>
      <c r="FE1701" s="2060"/>
      <c r="FF1701" s="2060"/>
      <c r="FG1701" s="2060"/>
      <c r="FH1701" s="2060"/>
      <c r="FI1701" s="2060"/>
      <c r="FJ1701" s="2060"/>
      <c r="FK1701" s="2060"/>
      <c r="FL1701" s="2060"/>
      <c r="FM1701" s="2060"/>
      <c r="FN1701" s="2060"/>
      <c r="FO1701" s="2060"/>
      <c r="FP1701" s="2060"/>
      <c r="FQ1701" s="2060"/>
      <c r="FR1701" s="2060"/>
      <c r="FS1701" s="2060"/>
      <c r="FT1701" s="2060"/>
      <c r="FU1701" s="2060"/>
      <c r="FV1701" s="2060"/>
      <c r="FW1701" s="2060"/>
      <c r="FX1701" s="2060"/>
      <c r="FY1701" s="2060"/>
      <c r="FZ1701" s="2060"/>
      <c r="GA1701" s="2060"/>
      <c r="GB1701" s="2060"/>
      <c r="GC1701" s="2060"/>
      <c r="GD1701" s="2060"/>
      <c r="GE1701" s="2060"/>
      <c r="GF1701" s="2060"/>
      <c r="GG1701" s="2060"/>
      <c r="GH1701" s="2060"/>
      <c r="GI1701" s="2060"/>
      <c r="GJ1701" s="2060"/>
      <c r="GK1701" s="2060"/>
      <c r="GL1701" s="2060"/>
      <c r="GM1701" s="2060"/>
      <c r="GN1701" s="2060"/>
      <c r="GO1701" s="2060"/>
      <c r="GP1701" s="2060"/>
      <c r="GQ1701" s="2060"/>
      <c r="GR1701" s="2060"/>
      <c r="GS1701" s="2060"/>
      <c r="GT1701" s="2060"/>
      <c r="GU1701" s="2060"/>
      <c r="GV1701" s="2060"/>
      <c r="GW1701" s="2060"/>
      <c r="GX1701" s="2060"/>
      <c r="GY1701" s="2060"/>
      <c r="GZ1701" s="2060"/>
      <c r="HA1701" s="2060"/>
      <c r="HB1701" s="2060"/>
      <c r="HC1701" s="2060"/>
      <c r="HD1701" s="2060"/>
      <c r="HE1701" s="2060"/>
      <c r="HF1701" s="2060"/>
      <c r="HG1701" s="2060"/>
      <c r="HH1701" s="2060"/>
      <c r="HI1701" s="2060"/>
      <c r="HJ1701" s="2060"/>
      <c r="HK1701" s="2060"/>
      <c r="HL1701" s="2060"/>
      <c r="HM1701" s="2060"/>
      <c r="HN1701" s="2060"/>
      <c r="HO1701" s="2060"/>
      <c r="HP1701" s="2060"/>
      <c r="HQ1701" s="2060"/>
      <c r="HR1701" s="2060"/>
      <c r="HS1701" s="2060"/>
      <c r="HT1701" s="2060"/>
      <c r="HU1701" s="2060"/>
      <c r="HV1701" s="2060"/>
      <c r="HW1701" s="2060"/>
      <c r="HX1701" s="2060"/>
      <c r="HY1701" s="2060"/>
      <c r="HZ1701" s="2060"/>
      <c r="IA1701" s="2060"/>
      <c r="IB1701" s="2060"/>
      <c r="IC1701" s="2060"/>
      <c r="ID1701" s="2060"/>
      <c r="IE1701" s="2060"/>
      <c r="IF1701" s="2060"/>
      <c r="IG1701" s="2060"/>
      <c r="IH1701" s="2060"/>
      <c r="II1701" s="2060"/>
      <c r="IJ1701" s="2060"/>
      <c r="IK1701" s="2060"/>
      <c r="IL1701" s="2060"/>
      <c r="IM1701" s="2060"/>
      <c r="IN1701" s="2060"/>
      <c r="IO1701" s="2060"/>
      <c r="IP1701" s="2060"/>
      <c r="IQ1701" s="2060"/>
      <c r="IR1701" s="2060"/>
      <c r="IS1701" s="2060"/>
      <c r="IT1701" s="2060"/>
      <c r="IU1701" s="2060"/>
      <c r="IV1701" s="2060"/>
      <c r="IW1701" s="2060"/>
      <c r="IX1701" s="2060"/>
      <c r="IY1701" s="2060"/>
      <c r="IZ1701" s="2060"/>
      <c r="JA1701" s="2060"/>
      <c r="JB1701" s="2060"/>
      <c r="JC1701" s="2060"/>
      <c r="JD1701" s="2060"/>
      <c r="JE1701" s="2060"/>
      <c r="JF1701" s="2060"/>
      <c r="JG1701" s="2060"/>
      <c r="JH1701" s="2060"/>
      <c r="JI1701" s="2060"/>
      <c r="JJ1701" s="2060"/>
      <c r="JK1701" s="2060"/>
      <c r="JL1701" s="2060"/>
      <c r="JM1701" s="2060"/>
      <c r="JN1701" s="2060"/>
      <c r="JO1701" s="2060"/>
      <c r="JP1701" s="2060"/>
      <c r="JQ1701" s="2060"/>
      <c r="JR1701" s="2060"/>
      <c r="JS1701" s="2060"/>
      <c r="JT1701" s="2060"/>
      <c r="JU1701" s="2060"/>
      <c r="JV1701" s="2060"/>
      <c r="JW1701" s="2060"/>
      <c r="JX1701" s="2060"/>
      <c r="JY1701" s="2060"/>
      <c r="JZ1701" s="2060"/>
      <c r="KA1701" s="2060"/>
      <c r="KB1701" s="2060"/>
      <c r="KC1701" s="2060"/>
      <c r="KD1701" s="2060"/>
      <c r="KE1701" s="2060"/>
      <c r="KF1701" s="2060"/>
      <c r="KG1701" s="2060"/>
      <c r="KH1701" s="2060"/>
      <c r="KI1701" s="2060"/>
      <c r="KJ1701" s="2060"/>
      <c r="KK1701" s="2060"/>
      <c r="KL1701" s="2060"/>
      <c r="KM1701" s="2060"/>
      <c r="KN1701" s="2060"/>
      <c r="KO1701" s="2060"/>
      <c r="KP1701" s="2060"/>
      <c r="KQ1701" s="2060"/>
      <c r="KR1701" s="2060"/>
      <c r="KS1701" s="2060"/>
      <c r="KT1701" s="2060"/>
      <c r="KU1701" s="2060"/>
      <c r="KV1701" s="2060"/>
      <c r="KW1701" s="2060"/>
      <c r="KX1701" s="2060"/>
      <c r="KY1701" s="2060"/>
      <c r="KZ1701" s="2060"/>
      <c r="LA1701" s="2060"/>
      <c r="LB1701" s="2060"/>
      <c r="LC1701" s="2060"/>
      <c r="LD1701" s="2060"/>
      <c r="LE1701" s="2060"/>
      <c r="LF1701" s="2060"/>
      <c r="LG1701" s="2060"/>
      <c r="LH1701" s="2060"/>
    </row>
    <row r="1702" spans="1:320" s="449" customFormat="1" ht="13.9">
      <c r="A1702" s="2060"/>
      <c r="B1702" s="2060"/>
      <c r="C1702" s="2060"/>
      <c r="D1702" s="2060"/>
      <c r="E1702" s="505"/>
      <c r="F1702" s="953" t="s">
        <v>320</v>
      </c>
      <c r="G1702" s="737" t="s">
        <v>851</v>
      </c>
      <c r="H1702" s="741"/>
      <c r="I1702" s="724"/>
      <c r="J1702" s="726" t="str">
        <f>J$1558</f>
        <v>LQ-12</v>
      </c>
      <c r="K1702" s="726" t="str">
        <f t="shared" ref="K1702:V1702" si="472">K$1558</f>
        <v>LQ-11</v>
      </c>
      <c r="L1702" s="726" t="str">
        <f t="shared" si="472"/>
        <v>LQ-10</v>
      </c>
      <c r="M1702" s="726" t="str">
        <f t="shared" si="472"/>
        <v>LQ-9</v>
      </c>
      <c r="N1702" s="726" t="str">
        <f t="shared" si="472"/>
        <v>LQ-8</v>
      </c>
      <c r="O1702" s="726" t="str">
        <f t="shared" si="472"/>
        <v>LQ-7</v>
      </c>
      <c r="P1702" s="726" t="str">
        <f t="shared" si="472"/>
        <v>LQ-6</v>
      </c>
      <c r="Q1702" s="726" t="str">
        <f t="shared" si="472"/>
        <v>LQ-5</v>
      </c>
      <c r="R1702" s="726" t="str">
        <f t="shared" si="472"/>
        <v>LQ-4</v>
      </c>
      <c r="S1702" s="726" t="str">
        <f t="shared" si="472"/>
        <v>LQ-3</v>
      </c>
      <c r="T1702" s="726" t="str">
        <f t="shared" si="472"/>
        <v>LQ-2</v>
      </c>
      <c r="U1702" s="726" t="str">
        <f t="shared" si="472"/>
        <v>LQ-1</v>
      </c>
      <c r="V1702" s="726" t="str">
        <f t="shared" si="472"/>
        <v>Last Qtr</v>
      </c>
      <c r="W1702" s="1479"/>
      <c r="X1702" s="255"/>
      <c r="Y1702" s="89"/>
      <c r="Z1702" s="2060"/>
      <c r="AA1702" s="2060"/>
      <c r="AB1702" s="2060"/>
      <c r="AC1702" s="2060"/>
      <c r="AD1702" s="2060"/>
      <c r="AE1702" s="2060"/>
      <c r="AF1702" s="2060"/>
      <c r="AG1702" s="2060"/>
      <c r="AH1702" s="2060"/>
      <c r="AI1702" s="2060"/>
      <c r="AJ1702" s="2060"/>
      <c r="AK1702" s="2060"/>
      <c r="AL1702" s="2060"/>
      <c r="AM1702" s="2060"/>
      <c r="AN1702" s="2060"/>
      <c r="AO1702" s="2060"/>
      <c r="AP1702" s="2060"/>
      <c r="AQ1702" s="2060"/>
      <c r="AR1702" s="2060"/>
      <c r="AS1702" s="2060"/>
      <c r="AT1702" s="2060"/>
      <c r="AU1702" s="2060"/>
      <c r="AV1702" s="2060"/>
      <c r="AW1702" s="2060"/>
      <c r="AX1702" s="2060"/>
      <c r="AY1702" s="2060"/>
      <c r="AZ1702" s="2060"/>
      <c r="BA1702" s="2060"/>
      <c r="BB1702" s="2060"/>
      <c r="BC1702" s="2060"/>
      <c r="BD1702" s="2060"/>
      <c r="BE1702" s="2060"/>
      <c r="BF1702" s="2060"/>
      <c r="BG1702" s="2060"/>
      <c r="BH1702" s="2060"/>
      <c r="BI1702" s="2060"/>
      <c r="BJ1702" s="2060"/>
      <c r="BK1702" s="2060"/>
      <c r="BL1702" s="2060"/>
      <c r="BM1702" s="2060"/>
      <c r="BN1702" s="2060"/>
      <c r="BO1702" s="2060"/>
      <c r="BP1702" s="2060"/>
      <c r="BQ1702" s="2060"/>
      <c r="BR1702" s="2060"/>
      <c r="BS1702" s="2060"/>
      <c r="BT1702" s="2060"/>
      <c r="BU1702" s="2060"/>
      <c r="BV1702" s="2060"/>
      <c r="BW1702" s="2060"/>
      <c r="BX1702" s="2060"/>
      <c r="BY1702" s="2060"/>
      <c r="BZ1702" s="2060"/>
      <c r="CA1702" s="2060"/>
      <c r="CB1702" s="2060"/>
      <c r="CC1702" s="2060"/>
      <c r="CD1702" s="2060"/>
      <c r="CE1702" s="2060"/>
      <c r="CF1702" s="2060"/>
      <c r="CG1702" s="2060"/>
      <c r="CH1702" s="2060"/>
      <c r="CI1702" s="2060"/>
      <c r="CJ1702" s="2060"/>
      <c r="CK1702" s="2060"/>
      <c r="CL1702" s="2060"/>
      <c r="CM1702" s="2060"/>
      <c r="CN1702" s="2060"/>
      <c r="CO1702" s="2060"/>
      <c r="CP1702" s="2060"/>
      <c r="CQ1702" s="2060"/>
      <c r="CR1702" s="2060"/>
      <c r="CS1702" s="2060"/>
      <c r="CT1702" s="2060"/>
      <c r="CU1702" s="2060"/>
      <c r="CV1702" s="2060"/>
      <c r="CW1702" s="2060"/>
      <c r="CX1702" s="2060"/>
      <c r="CY1702" s="2060"/>
      <c r="CZ1702" s="2060"/>
      <c r="DA1702" s="2060"/>
      <c r="DB1702" s="2060"/>
      <c r="DC1702" s="2060"/>
      <c r="DD1702" s="2060"/>
      <c r="DE1702" s="2060"/>
      <c r="DF1702" s="2060"/>
      <c r="DG1702" s="2060"/>
      <c r="DH1702" s="2060"/>
      <c r="DI1702" s="2060"/>
      <c r="DJ1702" s="2060"/>
      <c r="DK1702" s="2060"/>
      <c r="DL1702" s="2060"/>
      <c r="DM1702" s="2060"/>
      <c r="DN1702" s="2060"/>
      <c r="DO1702" s="2060"/>
      <c r="DP1702" s="2060"/>
      <c r="DQ1702" s="2060"/>
      <c r="DR1702" s="2060"/>
      <c r="DS1702" s="2060"/>
      <c r="DT1702" s="2060"/>
      <c r="DU1702" s="2060"/>
      <c r="DV1702" s="2060"/>
      <c r="DW1702" s="2060"/>
      <c r="DX1702" s="2060"/>
      <c r="DY1702" s="2060"/>
      <c r="DZ1702" s="2060"/>
      <c r="EA1702" s="2060"/>
      <c r="EB1702" s="2060"/>
      <c r="EC1702" s="2060"/>
      <c r="ED1702" s="2060"/>
      <c r="EE1702" s="2060"/>
      <c r="EF1702" s="2060"/>
      <c r="EG1702" s="2060"/>
      <c r="EH1702" s="2060"/>
      <c r="EI1702" s="2060"/>
      <c r="EJ1702" s="2060"/>
      <c r="EK1702" s="2060"/>
      <c r="EL1702" s="2060"/>
      <c r="EM1702" s="2060"/>
      <c r="EN1702" s="2060"/>
      <c r="EO1702" s="2060"/>
      <c r="EP1702" s="2060"/>
      <c r="EQ1702" s="2060"/>
      <c r="ER1702" s="2060"/>
      <c r="ES1702" s="2060"/>
      <c r="ET1702" s="2060"/>
      <c r="EU1702" s="2060"/>
      <c r="EV1702" s="2060"/>
      <c r="EW1702" s="2060"/>
      <c r="EX1702" s="2060"/>
      <c r="EY1702" s="2060"/>
      <c r="EZ1702" s="2060"/>
      <c r="FA1702" s="2060"/>
      <c r="FB1702" s="2060"/>
      <c r="FC1702" s="2060"/>
      <c r="FD1702" s="2060"/>
      <c r="FE1702" s="2060"/>
      <c r="FF1702" s="2060"/>
      <c r="FG1702" s="2060"/>
      <c r="FH1702" s="2060"/>
      <c r="FI1702" s="2060"/>
      <c r="FJ1702" s="2060"/>
      <c r="FK1702" s="2060"/>
      <c r="FL1702" s="2060"/>
      <c r="FM1702" s="2060"/>
      <c r="FN1702" s="2060"/>
      <c r="FO1702" s="2060"/>
      <c r="FP1702" s="2060"/>
      <c r="FQ1702" s="2060"/>
      <c r="FR1702" s="2060"/>
      <c r="FS1702" s="2060"/>
      <c r="FT1702" s="2060"/>
      <c r="FU1702" s="2060"/>
      <c r="FV1702" s="2060"/>
      <c r="FW1702" s="2060"/>
      <c r="FX1702" s="2060"/>
      <c r="FY1702" s="2060"/>
      <c r="FZ1702" s="2060"/>
      <c r="GA1702" s="2060"/>
      <c r="GB1702" s="2060"/>
      <c r="GC1702" s="2060"/>
      <c r="GD1702" s="2060"/>
      <c r="GE1702" s="2060"/>
      <c r="GF1702" s="2060"/>
      <c r="GG1702" s="2060"/>
      <c r="GH1702" s="2060"/>
      <c r="GI1702" s="2060"/>
      <c r="GJ1702" s="2060"/>
      <c r="GK1702" s="2060"/>
      <c r="GL1702" s="2060"/>
      <c r="GM1702" s="2060"/>
      <c r="GN1702" s="2060"/>
      <c r="GO1702" s="2060"/>
      <c r="GP1702" s="2060"/>
      <c r="GQ1702" s="2060"/>
      <c r="GR1702" s="2060"/>
      <c r="GS1702" s="2060"/>
      <c r="GT1702" s="2060"/>
      <c r="GU1702" s="2060"/>
      <c r="GV1702" s="2060"/>
      <c r="GW1702" s="2060"/>
      <c r="GX1702" s="2060"/>
      <c r="GY1702" s="2060"/>
      <c r="GZ1702" s="2060"/>
      <c r="HA1702" s="2060"/>
      <c r="HB1702" s="2060"/>
      <c r="HC1702" s="2060"/>
      <c r="HD1702" s="2060"/>
      <c r="HE1702" s="2060"/>
      <c r="HF1702" s="2060"/>
      <c r="HG1702" s="2060"/>
      <c r="HH1702" s="2060"/>
      <c r="HI1702" s="2060"/>
      <c r="HJ1702" s="2060"/>
      <c r="HK1702" s="2060"/>
      <c r="HL1702" s="2060"/>
      <c r="HM1702" s="2060"/>
      <c r="HN1702" s="2060"/>
      <c r="HO1702" s="2060"/>
      <c r="HP1702" s="2060"/>
      <c r="HQ1702" s="2060"/>
      <c r="HR1702" s="2060"/>
      <c r="HS1702" s="2060"/>
      <c r="HT1702" s="2060"/>
      <c r="HU1702" s="2060"/>
      <c r="HV1702" s="2060"/>
      <c r="HW1702" s="2060"/>
      <c r="HX1702" s="2060"/>
      <c r="HY1702" s="2060"/>
      <c r="HZ1702" s="2060"/>
      <c r="IA1702" s="2060"/>
      <c r="IB1702" s="2060"/>
      <c r="IC1702" s="2060"/>
      <c r="ID1702" s="2060"/>
      <c r="IE1702" s="2060"/>
      <c r="IF1702" s="2060"/>
      <c r="IG1702" s="2060"/>
      <c r="IH1702" s="2060"/>
      <c r="II1702" s="2060"/>
      <c r="IJ1702" s="2060"/>
      <c r="IK1702" s="2060"/>
      <c r="IL1702" s="2060"/>
      <c r="IM1702" s="2060"/>
      <c r="IN1702" s="2060"/>
      <c r="IO1702" s="2060"/>
      <c r="IP1702" s="2060"/>
      <c r="IQ1702" s="2060"/>
      <c r="IR1702" s="2060"/>
      <c r="IS1702" s="2060"/>
      <c r="IT1702" s="2060"/>
      <c r="IU1702" s="2060"/>
      <c r="IV1702" s="2060"/>
      <c r="IW1702" s="2060"/>
      <c r="IX1702" s="2060"/>
      <c r="IY1702" s="2060"/>
      <c r="IZ1702" s="2060"/>
      <c r="JA1702" s="2060"/>
      <c r="JB1702" s="2060"/>
      <c r="JC1702" s="2060"/>
      <c r="JD1702" s="2060"/>
      <c r="JE1702" s="2060"/>
      <c r="JF1702" s="2060"/>
      <c r="JG1702" s="2060"/>
      <c r="JH1702" s="2060"/>
      <c r="JI1702" s="2060"/>
      <c r="JJ1702" s="2060"/>
      <c r="JK1702" s="2060"/>
      <c r="JL1702" s="2060"/>
      <c r="JM1702" s="2060"/>
      <c r="JN1702" s="2060"/>
      <c r="JO1702" s="2060"/>
      <c r="JP1702" s="2060"/>
      <c r="JQ1702" s="2060"/>
      <c r="JR1702" s="2060"/>
      <c r="JS1702" s="2060"/>
      <c r="JT1702" s="2060"/>
      <c r="JU1702" s="2060"/>
      <c r="JV1702" s="2060"/>
      <c r="JW1702" s="2060"/>
      <c r="JX1702" s="2060"/>
      <c r="JY1702" s="2060"/>
      <c r="JZ1702" s="2060"/>
      <c r="KA1702" s="2060"/>
      <c r="KB1702" s="2060"/>
      <c r="KC1702" s="2060"/>
      <c r="KD1702" s="2060"/>
      <c r="KE1702" s="2060"/>
      <c r="KF1702" s="2060"/>
      <c r="KG1702" s="2060"/>
      <c r="KH1702" s="2060"/>
      <c r="KI1702" s="2060"/>
      <c r="KJ1702" s="2060"/>
      <c r="KK1702" s="2060"/>
      <c r="KL1702" s="2060"/>
      <c r="KM1702" s="2060"/>
      <c r="KN1702" s="2060"/>
      <c r="KO1702" s="2060"/>
      <c r="KP1702" s="2060"/>
      <c r="KQ1702" s="2060"/>
      <c r="KR1702" s="2060"/>
      <c r="KS1702" s="2060"/>
      <c r="KT1702" s="2060"/>
      <c r="KU1702" s="2060"/>
      <c r="KV1702" s="2060"/>
      <c r="KW1702" s="2060"/>
      <c r="KX1702" s="2060"/>
      <c r="KY1702" s="2060"/>
      <c r="KZ1702" s="2060"/>
      <c r="LA1702" s="2060"/>
      <c r="LB1702" s="2060"/>
      <c r="LC1702" s="2060"/>
      <c r="LD1702" s="2060"/>
      <c r="LE1702" s="2060"/>
      <c r="LF1702" s="2060"/>
      <c r="LG1702" s="2060"/>
      <c r="LH1702" s="2060"/>
    </row>
    <row r="1703" spans="1:320" s="449" customFormat="1" ht="13.9">
      <c r="A1703" s="2060"/>
      <c r="B1703" s="2060"/>
      <c r="C1703" s="2060"/>
      <c r="D1703" s="2060"/>
      <c r="E1703" s="508">
        <v>0</v>
      </c>
      <c r="F1703" s="1453" t="str">
        <f>F$128</f>
        <v/>
      </c>
      <c r="G1703" s="1454">
        <f>G$128</f>
        <v>0</v>
      </c>
      <c r="H1703" s="1455" t="str">
        <f>H$128</f>
        <v>USD</v>
      </c>
      <c r="I1703" s="507" t="s">
        <v>774</v>
      </c>
      <c r="J1703" s="2196" t="str">
        <f>IF($G1703=0,"",_xll.ciqfunctions.udf.CIQ($G1703,$I1703,J1559,$H1703,FXMode)*Scale)</f>
        <v/>
      </c>
      <c r="K1703" s="2196" t="str">
        <f>IF($G1703=0,"",_xll.ciqfunctions.udf.CIQ($G1703,$I1703,K1559,$H1703,FXMode)*Scale)</f>
        <v/>
      </c>
      <c r="L1703" s="2196" t="str">
        <f>IF($G1703=0,"",_xll.ciqfunctions.udf.CIQ($G1703,$I1703,L1559,$H1703,FXMode)*Scale)</f>
        <v/>
      </c>
      <c r="M1703" s="2196" t="str">
        <f>IF($G1703=0,"",_xll.ciqfunctions.udf.CIQ($G1703,$I1703,M1559,$H1703,FXMode)*Scale)</f>
        <v/>
      </c>
      <c r="N1703" s="2196" t="str">
        <f>IF($G1703=0,"",_xll.ciqfunctions.udf.CIQ($G1703,$I1703,N1559,$H1703,FXMode)*Scale)</f>
        <v/>
      </c>
      <c r="O1703" s="2196" t="str">
        <f>IF($G1703=0,"",_xll.ciqfunctions.udf.CIQ($G1703,$I1703,O1559,$H1703,FXMode)*Scale)</f>
        <v/>
      </c>
      <c r="P1703" s="2196" t="str">
        <f>IF($G1703=0,"",_xll.ciqfunctions.udf.CIQ($G1703,$I1703,P1559,$H1703,FXMode)*Scale)</f>
        <v/>
      </c>
      <c r="Q1703" s="2196" t="str">
        <f>IF($G1703=0,"",_xll.ciqfunctions.udf.CIQ($G1703,$I1703,Q1559,$H1703,FXMode)*Scale)</f>
        <v/>
      </c>
      <c r="R1703" s="2196" t="str">
        <f>IF($G1703=0,"",_xll.ciqfunctions.udf.CIQ($G1703,$I1703,R1559,$H1703,FXMode)*Scale)</f>
        <v/>
      </c>
      <c r="S1703" s="2196" t="str">
        <f>IF($G1703=0,"",_xll.ciqfunctions.udf.CIQ($G1703,$I1703,S1559,$H1703,FXMode)*Scale)</f>
        <v/>
      </c>
      <c r="T1703" s="2196" t="str">
        <f>IF($G1703=0,"",_xll.ciqfunctions.udf.CIQ($G1703,$I1703,T1559,$H1703,FXMode)*Scale)</f>
        <v/>
      </c>
      <c r="U1703" s="2196" t="str">
        <f>IF($G1703=0,"",_xll.ciqfunctions.udf.CIQ($G1703,$I1703,U1559,$H1703,FXMode)*Scale)</f>
        <v/>
      </c>
      <c r="V1703" s="2196" t="str">
        <f>IF($G1703=0,"",_xll.ciqfunctions.udf.CIQ($G1703,$I1703,V1559,$H1703,FXMode)*Scale)</f>
        <v/>
      </c>
      <c r="W1703" s="1479"/>
      <c r="X1703" s="255"/>
      <c r="Y1703" s="89"/>
      <c r="Z1703" s="2060"/>
      <c r="AA1703" s="2060"/>
      <c r="AB1703" s="2060"/>
      <c r="AC1703" s="2060"/>
      <c r="AD1703" s="2060"/>
      <c r="AE1703" s="2060"/>
      <c r="AF1703" s="2060"/>
      <c r="AG1703" s="2060"/>
      <c r="AH1703" s="2060"/>
      <c r="AI1703" s="2060"/>
      <c r="AJ1703" s="2060"/>
      <c r="AK1703" s="2060"/>
      <c r="AL1703" s="2060"/>
      <c r="AM1703" s="2060"/>
      <c r="AN1703" s="2060"/>
      <c r="AO1703" s="2060"/>
      <c r="AP1703" s="2060"/>
      <c r="AQ1703" s="2060"/>
      <c r="AR1703" s="2060"/>
      <c r="AS1703" s="2060"/>
      <c r="AT1703" s="2060"/>
      <c r="AU1703" s="2060"/>
      <c r="AV1703" s="2060"/>
      <c r="AW1703" s="2060"/>
      <c r="AX1703" s="2060"/>
      <c r="AY1703" s="2060"/>
      <c r="AZ1703" s="2060"/>
      <c r="BA1703" s="2060"/>
      <c r="BB1703" s="2060"/>
      <c r="BC1703" s="2060"/>
      <c r="BD1703" s="2060"/>
      <c r="BE1703" s="2060"/>
      <c r="BF1703" s="2060"/>
      <c r="BG1703" s="2060"/>
      <c r="BH1703" s="2060"/>
      <c r="BI1703" s="2060"/>
      <c r="BJ1703" s="2060"/>
      <c r="BK1703" s="2060"/>
      <c r="BL1703" s="2060"/>
      <c r="BM1703" s="2060"/>
      <c r="BN1703" s="2060"/>
      <c r="BO1703" s="2060"/>
      <c r="BP1703" s="2060"/>
      <c r="BQ1703" s="2060"/>
      <c r="BR1703" s="2060"/>
      <c r="BS1703" s="2060"/>
      <c r="BT1703" s="2060"/>
      <c r="BU1703" s="2060"/>
      <c r="BV1703" s="2060"/>
      <c r="BW1703" s="2060"/>
      <c r="BX1703" s="2060"/>
      <c r="BY1703" s="2060"/>
      <c r="BZ1703" s="2060"/>
      <c r="CA1703" s="2060"/>
      <c r="CB1703" s="2060"/>
      <c r="CC1703" s="2060"/>
      <c r="CD1703" s="2060"/>
      <c r="CE1703" s="2060"/>
      <c r="CF1703" s="2060"/>
      <c r="CG1703" s="2060"/>
      <c r="CH1703" s="2060"/>
      <c r="CI1703" s="2060"/>
      <c r="CJ1703" s="2060"/>
      <c r="CK1703" s="2060"/>
      <c r="CL1703" s="2060"/>
      <c r="CM1703" s="2060"/>
      <c r="CN1703" s="2060"/>
      <c r="CO1703" s="2060"/>
      <c r="CP1703" s="2060"/>
      <c r="CQ1703" s="2060"/>
      <c r="CR1703" s="2060"/>
      <c r="CS1703" s="2060"/>
      <c r="CT1703" s="2060"/>
      <c r="CU1703" s="2060"/>
      <c r="CV1703" s="2060"/>
      <c r="CW1703" s="2060"/>
      <c r="CX1703" s="2060"/>
      <c r="CY1703" s="2060"/>
      <c r="CZ1703" s="2060"/>
      <c r="DA1703" s="2060"/>
      <c r="DB1703" s="2060"/>
      <c r="DC1703" s="2060"/>
      <c r="DD1703" s="2060"/>
      <c r="DE1703" s="2060"/>
      <c r="DF1703" s="2060"/>
      <c r="DG1703" s="2060"/>
      <c r="DH1703" s="2060"/>
      <c r="DI1703" s="2060"/>
      <c r="DJ1703" s="2060"/>
      <c r="DK1703" s="2060"/>
      <c r="DL1703" s="2060"/>
      <c r="DM1703" s="2060"/>
      <c r="DN1703" s="2060"/>
      <c r="DO1703" s="2060"/>
      <c r="DP1703" s="2060"/>
      <c r="DQ1703" s="2060"/>
      <c r="DR1703" s="2060"/>
      <c r="DS1703" s="2060"/>
      <c r="DT1703" s="2060"/>
      <c r="DU1703" s="2060"/>
      <c r="DV1703" s="2060"/>
      <c r="DW1703" s="2060"/>
      <c r="DX1703" s="2060"/>
      <c r="DY1703" s="2060"/>
      <c r="DZ1703" s="2060"/>
      <c r="EA1703" s="2060"/>
      <c r="EB1703" s="2060"/>
      <c r="EC1703" s="2060"/>
      <c r="ED1703" s="2060"/>
      <c r="EE1703" s="2060"/>
      <c r="EF1703" s="2060"/>
      <c r="EG1703" s="2060"/>
      <c r="EH1703" s="2060"/>
      <c r="EI1703" s="2060"/>
      <c r="EJ1703" s="2060"/>
      <c r="EK1703" s="2060"/>
      <c r="EL1703" s="2060"/>
      <c r="EM1703" s="2060"/>
      <c r="EN1703" s="2060"/>
      <c r="EO1703" s="2060"/>
      <c r="EP1703" s="2060"/>
      <c r="EQ1703" s="2060"/>
      <c r="ER1703" s="2060"/>
      <c r="ES1703" s="2060"/>
      <c r="ET1703" s="2060"/>
      <c r="EU1703" s="2060"/>
      <c r="EV1703" s="2060"/>
      <c r="EW1703" s="2060"/>
      <c r="EX1703" s="2060"/>
      <c r="EY1703" s="2060"/>
      <c r="EZ1703" s="2060"/>
      <c r="FA1703" s="2060"/>
      <c r="FB1703" s="2060"/>
      <c r="FC1703" s="2060"/>
      <c r="FD1703" s="2060"/>
      <c r="FE1703" s="2060"/>
      <c r="FF1703" s="2060"/>
      <c r="FG1703" s="2060"/>
      <c r="FH1703" s="2060"/>
      <c r="FI1703" s="2060"/>
      <c r="FJ1703" s="2060"/>
      <c r="FK1703" s="2060"/>
      <c r="FL1703" s="2060"/>
      <c r="FM1703" s="2060"/>
      <c r="FN1703" s="2060"/>
      <c r="FO1703" s="2060"/>
      <c r="FP1703" s="2060"/>
      <c r="FQ1703" s="2060"/>
      <c r="FR1703" s="2060"/>
      <c r="FS1703" s="2060"/>
      <c r="FT1703" s="2060"/>
      <c r="FU1703" s="2060"/>
      <c r="FV1703" s="2060"/>
      <c r="FW1703" s="2060"/>
      <c r="FX1703" s="2060"/>
      <c r="FY1703" s="2060"/>
      <c r="FZ1703" s="2060"/>
      <c r="GA1703" s="2060"/>
      <c r="GB1703" s="2060"/>
      <c r="GC1703" s="2060"/>
      <c r="GD1703" s="2060"/>
      <c r="GE1703" s="2060"/>
      <c r="GF1703" s="2060"/>
      <c r="GG1703" s="2060"/>
      <c r="GH1703" s="2060"/>
      <c r="GI1703" s="2060"/>
      <c r="GJ1703" s="2060"/>
      <c r="GK1703" s="2060"/>
      <c r="GL1703" s="2060"/>
      <c r="GM1703" s="2060"/>
      <c r="GN1703" s="2060"/>
      <c r="GO1703" s="2060"/>
      <c r="GP1703" s="2060"/>
      <c r="GQ1703" s="2060"/>
      <c r="GR1703" s="2060"/>
      <c r="GS1703" s="2060"/>
      <c r="GT1703" s="2060"/>
      <c r="GU1703" s="2060"/>
      <c r="GV1703" s="2060"/>
      <c r="GW1703" s="2060"/>
      <c r="GX1703" s="2060"/>
      <c r="GY1703" s="2060"/>
      <c r="GZ1703" s="2060"/>
      <c r="HA1703" s="2060"/>
      <c r="HB1703" s="2060"/>
      <c r="HC1703" s="2060"/>
      <c r="HD1703" s="2060"/>
      <c r="HE1703" s="2060"/>
      <c r="HF1703" s="2060"/>
      <c r="HG1703" s="2060"/>
      <c r="HH1703" s="2060"/>
      <c r="HI1703" s="2060"/>
      <c r="HJ1703" s="2060"/>
      <c r="HK1703" s="2060"/>
      <c r="HL1703" s="2060"/>
      <c r="HM1703" s="2060"/>
      <c r="HN1703" s="2060"/>
      <c r="HO1703" s="2060"/>
      <c r="HP1703" s="2060"/>
      <c r="HQ1703" s="2060"/>
      <c r="HR1703" s="2060"/>
      <c r="HS1703" s="2060"/>
      <c r="HT1703" s="2060"/>
      <c r="HU1703" s="2060"/>
      <c r="HV1703" s="2060"/>
      <c r="HW1703" s="2060"/>
      <c r="HX1703" s="2060"/>
      <c r="HY1703" s="2060"/>
      <c r="HZ1703" s="2060"/>
      <c r="IA1703" s="2060"/>
      <c r="IB1703" s="2060"/>
      <c r="IC1703" s="2060"/>
      <c r="ID1703" s="2060"/>
      <c r="IE1703" s="2060"/>
      <c r="IF1703" s="2060"/>
      <c r="IG1703" s="2060"/>
      <c r="IH1703" s="2060"/>
      <c r="II1703" s="2060"/>
      <c r="IJ1703" s="2060"/>
      <c r="IK1703" s="2060"/>
      <c r="IL1703" s="2060"/>
      <c r="IM1703" s="2060"/>
      <c r="IN1703" s="2060"/>
      <c r="IO1703" s="2060"/>
      <c r="IP1703" s="2060"/>
      <c r="IQ1703" s="2060"/>
      <c r="IR1703" s="2060"/>
      <c r="IS1703" s="2060"/>
      <c r="IT1703" s="2060"/>
      <c r="IU1703" s="2060"/>
      <c r="IV1703" s="2060"/>
      <c r="IW1703" s="2060"/>
      <c r="IX1703" s="2060"/>
      <c r="IY1703" s="2060"/>
      <c r="IZ1703" s="2060"/>
      <c r="JA1703" s="2060"/>
      <c r="JB1703" s="2060"/>
      <c r="JC1703" s="2060"/>
      <c r="JD1703" s="2060"/>
      <c r="JE1703" s="2060"/>
      <c r="JF1703" s="2060"/>
      <c r="JG1703" s="2060"/>
      <c r="JH1703" s="2060"/>
      <c r="JI1703" s="2060"/>
      <c r="JJ1703" s="2060"/>
      <c r="JK1703" s="2060"/>
      <c r="JL1703" s="2060"/>
      <c r="JM1703" s="2060"/>
      <c r="JN1703" s="2060"/>
      <c r="JO1703" s="2060"/>
      <c r="JP1703" s="2060"/>
      <c r="JQ1703" s="2060"/>
      <c r="JR1703" s="2060"/>
      <c r="JS1703" s="2060"/>
      <c r="JT1703" s="2060"/>
      <c r="JU1703" s="2060"/>
      <c r="JV1703" s="2060"/>
      <c r="JW1703" s="2060"/>
      <c r="JX1703" s="2060"/>
      <c r="JY1703" s="2060"/>
      <c r="JZ1703" s="2060"/>
      <c r="KA1703" s="2060"/>
      <c r="KB1703" s="2060"/>
      <c r="KC1703" s="2060"/>
      <c r="KD1703" s="2060"/>
      <c r="KE1703" s="2060"/>
      <c r="KF1703" s="2060"/>
      <c r="KG1703" s="2060"/>
      <c r="KH1703" s="2060"/>
      <c r="KI1703" s="2060"/>
      <c r="KJ1703" s="2060"/>
      <c r="KK1703" s="2060"/>
      <c r="KL1703" s="2060"/>
      <c r="KM1703" s="2060"/>
      <c r="KN1703" s="2060"/>
      <c r="KO1703" s="2060"/>
      <c r="KP1703" s="2060"/>
      <c r="KQ1703" s="2060"/>
      <c r="KR1703" s="2060"/>
      <c r="KS1703" s="2060"/>
      <c r="KT1703" s="2060"/>
      <c r="KU1703" s="2060"/>
      <c r="KV1703" s="2060"/>
      <c r="KW1703" s="2060"/>
      <c r="KX1703" s="2060"/>
      <c r="KY1703" s="2060"/>
      <c r="KZ1703" s="2060"/>
      <c r="LA1703" s="2060"/>
      <c r="LB1703" s="2060"/>
      <c r="LC1703" s="2060"/>
      <c r="LD1703" s="2060"/>
      <c r="LE1703" s="2060"/>
      <c r="LF1703" s="2060"/>
      <c r="LG1703" s="2060"/>
      <c r="LH1703" s="2060"/>
    </row>
    <row r="1704" spans="1:320" s="449" customFormat="1" ht="13.9">
      <c r="A1704" s="269" t="str">
        <f>IF(F1704="--","n","")</f>
        <v>n</v>
      </c>
      <c r="B1704" s="2060"/>
      <c r="C1704" s="2060"/>
      <c r="D1704" s="2060"/>
      <c r="E1704" s="1661">
        <v>1</v>
      </c>
      <c r="F1704" s="1353" t="str">
        <f>F$129</f>
        <v>--</v>
      </c>
      <c r="G1704" s="128">
        <f>G$129</f>
        <v>0</v>
      </c>
      <c r="H1704" s="128" t="str">
        <f>H$129</f>
        <v>--</v>
      </c>
      <c r="I1704" s="89" t="s">
        <v>774</v>
      </c>
      <c r="J1704" s="2197" t="str">
        <f>IF($G1704=0,"",_xll.ciqfunctions.udf.CIQ($G1704,$I1704,J1560,$H1704,FXMode)*Scale)</f>
        <v/>
      </c>
      <c r="K1704" s="2197" t="str">
        <f>IF($G1704=0,"",_xll.ciqfunctions.udf.CIQ($G1704,$I1704,K1560,$H1704,FXMode)*Scale)</f>
        <v/>
      </c>
      <c r="L1704" s="2197" t="str">
        <f>IF($G1704=0,"",_xll.ciqfunctions.udf.CIQ($G1704,$I1704,L1560,$H1704,FXMode)*Scale)</f>
        <v/>
      </c>
      <c r="M1704" s="2197" t="str">
        <f>IF($G1704=0,"",_xll.ciqfunctions.udf.CIQ($G1704,$I1704,M1560,$H1704,FXMode)*Scale)</f>
        <v/>
      </c>
      <c r="N1704" s="2197" t="str">
        <f>IF($G1704=0,"",_xll.ciqfunctions.udf.CIQ($G1704,$I1704,N1560,$H1704,FXMode)*Scale)</f>
        <v/>
      </c>
      <c r="O1704" s="2197" t="str">
        <f>IF($G1704=0,"",_xll.ciqfunctions.udf.CIQ($G1704,$I1704,O1560,$H1704,FXMode)*Scale)</f>
        <v/>
      </c>
      <c r="P1704" s="2197" t="str">
        <f>IF($G1704=0,"",_xll.ciqfunctions.udf.CIQ($G1704,$I1704,P1560,$H1704,FXMode)*Scale)</f>
        <v/>
      </c>
      <c r="Q1704" s="2197" t="str">
        <f>IF($G1704=0,"",_xll.ciqfunctions.udf.CIQ($G1704,$I1704,Q1560,$H1704,FXMode)*Scale)</f>
        <v/>
      </c>
      <c r="R1704" s="2197" t="str">
        <f>IF($G1704=0,"",_xll.ciqfunctions.udf.CIQ($G1704,$I1704,R1560,$H1704,FXMode)*Scale)</f>
        <v/>
      </c>
      <c r="S1704" s="2197" t="str">
        <f>IF($G1704=0,"",_xll.ciqfunctions.udf.CIQ($G1704,$I1704,S1560,$H1704,FXMode)*Scale)</f>
        <v/>
      </c>
      <c r="T1704" s="2197" t="str">
        <f>IF($G1704=0,"",_xll.ciqfunctions.udf.CIQ($G1704,$I1704,T1560,$H1704,FXMode)*Scale)</f>
        <v/>
      </c>
      <c r="U1704" s="2197" t="str">
        <f>IF($G1704=0,"",_xll.ciqfunctions.udf.CIQ($G1704,$I1704,U1560,$H1704,FXMode)*Scale)</f>
        <v/>
      </c>
      <c r="V1704" s="2197" t="str">
        <f>IF($G1704=0,"",_xll.ciqfunctions.udf.CIQ($G1704,$I1704,V1560,$H1704,FXMode)*Scale)</f>
        <v/>
      </c>
      <c r="W1704" s="1479"/>
      <c r="X1704" s="255"/>
      <c r="Y1704" s="89"/>
      <c r="Z1704" s="2060"/>
      <c r="AA1704" s="2060"/>
      <c r="AB1704" s="2060"/>
      <c r="AC1704" s="2060"/>
      <c r="AD1704" s="2060"/>
      <c r="AE1704" s="2060"/>
      <c r="AF1704" s="2060"/>
      <c r="AG1704" s="2060"/>
      <c r="AH1704" s="2060"/>
      <c r="AI1704" s="2060"/>
      <c r="AJ1704" s="2060"/>
      <c r="AK1704" s="2060"/>
      <c r="AL1704" s="2060"/>
      <c r="AM1704" s="2060"/>
      <c r="AN1704" s="2060"/>
      <c r="AO1704" s="2060"/>
      <c r="AP1704" s="2060"/>
      <c r="AQ1704" s="2060"/>
      <c r="AR1704" s="2060"/>
      <c r="AS1704" s="2060"/>
      <c r="AT1704" s="2060"/>
      <c r="AU1704" s="2060"/>
      <c r="AV1704" s="2060"/>
      <c r="AW1704" s="2060"/>
      <c r="AX1704" s="2060"/>
      <c r="AY1704" s="2060"/>
      <c r="AZ1704" s="2060"/>
      <c r="BA1704" s="2060"/>
      <c r="BB1704" s="2060"/>
      <c r="BC1704" s="2060"/>
      <c r="BD1704" s="2060"/>
      <c r="BE1704" s="2060"/>
      <c r="BF1704" s="2060"/>
      <c r="BG1704" s="2060"/>
      <c r="BH1704" s="2060"/>
      <c r="BI1704" s="2060"/>
      <c r="BJ1704" s="2060"/>
      <c r="BK1704" s="2060"/>
      <c r="BL1704" s="2060"/>
      <c r="BM1704" s="2060"/>
      <c r="BN1704" s="2060"/>
      <c r="BO1704" s="2060"/>
      <c r="BP1704" s="2060"/>
      <c r="BQ1704" s="2060"/>
      <c r="BR1704" s="2060"/>
      <c r="BS1704" s="2060"/>
      <c r="BT1704" s="2060"/>
      <c r="BU1704" s="2060"/>
      <c r="BV1704" s="2060"/>
      <c r="BW1704" s="2060"/>
      <c r="BX1704" s="2060"/>
      <c r="BY1704" s="2060"/>
      <c r="BZ1704" s="2060"/>
      <c r="CA1704" s="2060"/>
      <c r="CB1704" s="2060"/>
      <c r="CC1704" s="2060"/>
      <c r="CD1704" s="2060"/>
      <c r="CE1704" s="2060"/>
      <c r="CF1704" s="2060"/>
      <c r="CG1704" s="2060"/>
      <c r="CH1704" s="2060"/>
      <c r="CI1704" s="2060"/>
      <c r="CJ1704" s="2060"/>
      <c r="CK1704" s="2060"/>
      <c r="CL1704" s="2060"/>
      <c r="CM1704" s="2060"/>
      <c r="CN1704" s="2060"/>
      <c r="CO1704" s="2060"/>
      <c r="CP1704" s="2060"/>
      <c r="CQ1704" s="2060"/>
      <c r="CR1704" s="2060"/>
      <c r="CS1704" s="2060"/>
      <c r="CT1704" s="2060"/>
      <c r="CU1704" s="2060"/>
      <c r="CV1704" s="2060"/>
      <c r="CW1704" s="2060"/>
      <c r="CX1704" s="2060"/>
      <c r="CY1704" s="2060"/>
      <c r="CZ1704" s="2060"/>
      <c r="DA1704" s="2060"/>
      <c r="DB1704" s="2060"/>
      <c r="DC1704" s="2060"/>
      <c r="DD1704" s="2060"/>
      <c r="DE1704" s="2060"/>
      <c r="DF1704" s="2060"/>
      <c r="DG1704" s="2060"/>
      <c r="DH1704" s="2060"/>
      <c r="DI1704" s="2060"/>
      <c r="DJ1704" s="2060"/>
      <c r="DK1704" s="2060"/>
      <c r="DL1704" s="2060"/>
      <c r="DM1704" s="2060"/>
      <c r="DN1704" s="2060"/>
      <c r="DO1704" s="2060"/>
      <c r="DP1704" s="2060"/>
      <c r="DQ1704" s="2060"/>
      <c r="DR1704" s="2060"/>
      <c r="DS1704" s="2060"/>
      <c r="DT1704" s="2060"/>
      <c r="DU1704" s="2060"/>
      <c r="DV1704" s="2060"/>
      <c r="DW1704" s="2060"/>
      <c r="DX1704" s="2060"/>
      <c r="DY1704" s="2060"/>
      <c r="DZ1704" s="2060"/>
      <c r="EA1704" s="2060"/>
      <c r="EB1704" s="2060"/>
      <c r="EC1704" s="2060"/>
      <c r="ED1704" s="2060"/>
      <c r="EE1704" s="2060"/>
      <c r="EF1704" s="2060"/>
      <c r="EG1704" s="2060"/>
      <c r="EH1704" s="2060"/>
      <c r="EI1704" s="2060"/>
      <c r="EJ1704" s="2060"/>
      <c r="EK1704" s="2060"/>
      <c r="EL1704" s="2060"/>
      <c r="EM1704" s="2060"/>
      <c r="EN1704" s="2060"/>
      <c r="EO1704" s="2060"/>
      <c r="EP1704" s="2060"/>
      <c r="EQ1704" s="2060"/>
      <c r="ER1704" s="2060"/>
      <c r="ES1704" s="2060"/>
      <c r="ET1704" s="2060"/>
      <c r="EU1704" s="2060"/>
      <c r="EV1704" s="2060"/>
      <c r="EW1704" s="2060"/>
      <c r="EX1704" s="2060"/>
      <c r="EY1704" s="2060"/>
      <c r="EZ1704" s="2060"/>
      <c r="FA1704" s="2060"/>
      <c r="FB1704" s="2060"/>
      <c r="FC1704" s="2060"/>
      <c r="FD1704" s="2060"/>
      <c r="FE1704" s="2060"/>
      <c r="FF1704" s="2060"/>
      <c r="FG1704" s="2060"/>
      <c r="FH1704" s="2060"/>
      <c r="FI1704" s="2060"/>
      <c r="FJ1704" s="2060"/>
      <c r="FK1704" s="2060"/>
      <c r="FL1704" s="2060"/>
      <c r="FM1704" s="2060"/>
      <c r="FN1704" s="2060"/>
      <c r="FO1704" s="2060"/>
      <c r="FP1704" s="2060"/>
      <c r="FQ1704" s="2060"/>
      <c r="FR1704" s="2060"/>
      <c r="FS1704" s="2060"/>
      <c r="FT1704" s="2060"/>
      <c r="FU1704" s="2060"/>
      <c r="FV1704" s="2060"/>
      <c r="FW1704" s="2060"/>
      <c r="FX1704" s="2060"/>
      <c r="FY1704" s="2060"/>
      <c r="FZ1704" s="2060"/>
      <c r="GA1704" s="2060"/>
      <c r="GB1704" s="2060"/>
      <c r="GC1704" s="2060"/>
      <c r="GD1704" s="2060"/>
      <c r="GE1704" s="2060"/>
      <c r="GF1704" s="2060"/>
      <c r="GG1704" s="2060"/>
      <c r="GH1704" s="2060"/>
      <c r="GI1704" s="2060"/>
      <c r="GJ1704" s="2060"/>
      <c r="GK1704" s="2060"/>
      <c r="GL1704" s="2060"/>
      <c r="GM1704" s="2060"/>
      <c r="GN1704" s="2060"/>
      <c r="GO1704" s="2060"/>
      <c r="GP1704" s="2060"/>
      <c r="GQ1704" s="2060"/>
      <c r="GR1704" s="2060"/>
      <c r="GS1704" s="2060"/>
      <c r="GT1704" s="2060"/>
      <c r="GU1704" s="2060"/>
      <c r="GV1704" s="2060"/>
      <c r="GW1704" s="2060"/>
      <c r="GX1704" s="2060"/>
      <c r="GY1704" s="2060"/>
      <c r="GZ1704" s="2060"/>
      <c r="HA1704" s="2060"/>
      <c r="HB1704" s="2060"/>
      <c r="HC1704" s="2060"/>
      <c r="HD1704" s="2060"/>
      <c r="HE1704" s="2060"/>
      <c r="HF1704" s="2060"/>
      <c r="HG1704" s="2060"/>
      <c r="HH1704" s="2060"/>
      <c r="HI1704" s="2060"/>
      <c r="HJ1704" s="2060"/>
      <c r="HK1704" s="2060"/>
      <c r="HL1704" s="2060"/>
      <c r="HM1704" s="2060"/>
      <c r="HN1704" s="2060"/>
      <c r="HO1704" s="2060"/>
      <c r="HP1704" s="2060"/>
      <c r="HQ1704" s="2060"/>
      <c r="HR1704" s="2060"/>
      <c r="HS1704" s="2060"/>
      <c r="HT1704" s="2060"/>
      <c r="HU1704" s="2060"/>
      <c r="HV1704" s="2060"/>
      <c r="HW1704" s="2060"/>
      <c r="HX1704" s="2060"/>
      <c r="HY1704" s="2060"/>
      <c r="HZ1704" s="2060"/>
      <c r="IA1704" s="2060"/>
      <c r="IB1704" s="2060"/>
      <c r="IC1704" s="2060"/>
      <c r="ID1704" s="2060"/>
      <c r="IE1704" s="2060"/>
      <c r="IF1704" s="2060"/>
      <c r="IG1704" s="2060"/>
      <c r="IH1704" s="2060"/>
      <c r="II1704" s="2060"/>
      <c r="IJ1704" s="2060"/>
      <c r="IK1704" s="2060"/>
      <c r="IL1704" s="2060"/>
      <c r="IM1704" s="2060"/>
      <c r="IN1704" s="2060"/>
      <c r="IO1704" s="2060"/>
      <c r="IP1704" s="2060"/>
      <c r="IQ1704" s="2060"/>
      <c r="IR1704" s="2060"/>
      <c r="IS1704" s="2060"/>
      <c r="IT1704" s="2060"/>
      <c r="IU1704" s="2060"/>
      <c r="IV1704" s="2060"/>
      <c r="IW1704" s="2060"/>
      <c r="IX1704" s="2060"/>
      <c r="IY1704" s="2060"/>
      <c r="IZ1704" s="2060"/>
      <c r="JA1704" s="2060"/>
      <c r="JB1704" s="2060"/>
      <c r="JC1704" s="2060"/>
      <c r="JD1704" s="2060"/>
      <c r="JE1704" s="2060"/>
      <c r="JF1704" s="2060"/>
      <c r="JG1704" s="2060"/>
      <c r="JH1704" s="2060"/>
      <c r="JI1704" s="2060"/>
      <c r="JJ1704" s="2060"/>
      <c r="JK1704" s="2060"/>
      <c r="JL1704" s="2060"/>
      <c r="JM1704" s="2060"/>
      <c r="JN1704" s="2060"/>
      <c r="JO1704" s="2060"/>
      <c r="JP1704" s="2060"/>
      <c r="JQ1704" s="2060"/>
      <c r="JR1704" s="2060"/>
      <c r="JS1704" s="2060"/>
      <c r="JT1704" s="2060"/>
      <c r="JU1704" s="2060"/>
      <c r="JV1704" s="2060"/>
      <c r="JW1704" s="2060"/>
      <c r="JX1704" s="2060"/>
      <c r="JY1704" s="2060"/>
      <c r="JZ1704" s="2060"/>
      <c r="KA1704" s="2060"/>
      <c r="KB1704" s="2060"/>
      <c r="KC1704" s="2060"/>
      <c r="KD1704" s="2060"/>
      <c r="KE1704" s="2060"/>
      <c r="KF1704" s="2060"/>
      <c r="KG1704" s="2060"/>
      <c r="KH1704" s="2060"/>
      <c r="KI1704" s="2060"/>
      <c r="KJ1704" s="2060"/>
      <c r="KK1704" s="2060"/>
      <c r="KL1704" s="2060"/>
      <c r="KM1704" s="2060"/>
      <c r="KN1704" s="2060"/>
      <c r="KO1704" s="2060"/>
      <c r="KP1704" s="2060"/>
      <c r="KQ1704" s="2060"/>
      <c r="KR1704" s="2060"/>
      <c r="KS1704" s="2060"/>
      <c r="KT1704" s="2060"/>
      <c r="KU1704" s="2060"/>
      <c r="KV1704" s="2060"/>
      <c r="KW1704" s="2060"/>
      <c r="KX1704" s="2060"/>
      <c r="KY1704" s="2060"/>
      <c r="KZ1704" s="2060"/>
      <c r="LA1704" s="2060"/>
      <c r="LB1704" s="2060"/>
      <c r="LC1704" s="2060"/>
      <c r="LD1704" s="2060"/>
      <c r="LE1704" s="2060"/>
      <c r="LF1704" s="2060"/>
      <c r="LG1704" s="2060"/>
      <c r="LH1704" s="2060"/>
    </row>
    <row r="1705" spans="1:320" s="449" customFormat="1" ht="13.9">
      <c r="A1705" s="269" t="str">
        <f t="shared" ref="A1705:A1728" si="473">IF(F1705="--","n","")</f>
        <v>n</v>
      </c>
      <c r="B1705" s="2060"/>
      <c r="C1705" s="2060"/>
      <c r="D1705" s="2060"/>
      <c r="E1705" s="1661">
        <v>2</v>
      </c>
      <c r="F1705" s="1353" t="str">
        <f>F$130</f>
        <v>--</v>
      </c>
      <c r="G1705" s="128">
        <f>G$130</f>
        <v>0</v>
      </c>
      <c r="H1705" s="128" t="str">
        <f>H$130</f>
        <v>--</v>
      </c>
      <c r="I1705" s="89" t="s">
        <v>774</v>
      </c>
      <c r="J1705" s="2197" t="str">
        <f>IF($G1705=0,"",_xll.ciqfunctions.udf.CIQ($G1705,$I1705,J1561,$H1705,FXMode)*Scale)</f>
        <v/>
      </c>
      <c r="K1705" s="2197" t="str">
        <f>IF($G1705=0,"",_xll.ciqfunctions.udf.CIQ($G1705,$I1705,K1561,$H1705,FXMode)*Scale)</f>
        <v/>
      </c>
      <c r="L1705" s="2197" t="str">
        <f>IF($G1705=0,"",_xll.ciqfunctions.udf.CIQ($G1705,$I1705,L1561,$H1705,FXMode)*Scale)</f>
        <v/>
      </c>
      <c r="M1705" s="2197" t="str">
        <f>IF($G1705=0,"",_xll.ciqfunctions.udf.CIQ($G1705,$I1705,M1561,$H1705,FXMode)*Scale)</f>
        <v/>
      </c>
      <c r="N1705" s="2197" t="str">
        <f>IF($G1705=0,"",_xll.ciqfunctions.udf.CIQ($G1705,$I1705,N1561,$H1705,FXMode)*Scale)</f>
        <v/>
      </c>
      <c r="O1705" s="2197" t="str">
        <f>IF($G1705=0,"",_xll.ciqfunctions.udf.CIQ($G1705,$I1705,O1561,$H1705,FXMode)*Scale)</f>
        <v/>
      </c>
      <c r="P1705" s="2197" t="str">
        <f>IF($G1705=0,"",_xll.ciqfunctions.udf.CIQ($G1705,$I1705,P1561,$H1705,FXMode)*Scale)</f>
        <v/>
      </c>
      <c r="Q1705" s="2197" t="str">
        <f>IF($G1705=0,"",_xll.ciqfunctions.udf.CIQ($G1705,$I1705,Q1561,$H1705,FXMode)*Scale)</f>
        <v/>
      </c>
      <c r="R1705" s="2197" t="str">
        <f>IF($G1705=0,"",_xll.ciqfunctions.udf.CIQ($G1705,$I1705,R1561,$H1705,FXMode)*Scale)</f>
        <v/>
      </c>
      <c r="S1705" s="2197" t="str">
        <f>IF($G1705=0,"",_xll.ciqfunctions.udf.CIQ($G1705,$I1705,S1561,$H1705,FXMode)*Scale)</f>
        <v/>
      </c>
      <c r="T1705" s="2197" t="str">
        <f>IF($G1705=0,"",_xll.ciqfunctions.udf.CIQ($G1705,$I1705,T1561,$H1705,FXMode)*Scale)</f>
        <v/>
      </c>
      <c r="U1705" s="2197" t="str">
        <f>IF($G1705=0,"",_xll.ciqfunctions.udf.CIQ($G1705,$I1705,U1561,$H1705,FXMode)*Scale)</f>
        <v/>
      </c>
      <c r="V1705" s="2197" t="str">
        <f>IF($G1705=0,"",_xll.ciqfunctions.udf.CIQ($G1705,$I1705,V1561,$H1705,FXMode)*Scale)</f>
        <v/>
      </c>
      <c r="W1705" s="1479"/>
      <c r="X1705" s="255"/>
      <c r="Y1705" s="89"/>
      <c r="Z1705" s="2060"/>
      <c r="AA1705" s="2060"/>
      <c r="AB1705" s="2060"/>
      <c r="AC1705" s="2060"/>
      <c r="AD1705" s="2060"/>
      <c r="AE1705" s="2060"/>
      <c r="AF1705" s="2060"/>
      <c r="AG1705" s="2060"/>
      <c r="AH1705" s="2060"/>
      <c r="AI1705" s="2060"/>
      <c r="AJ1705" s="2060"/>
      <c r="AK1705" s="2060"/>
      <c r="AL1705" s="2060"/>
      <c r="AM1705" s="2060"/>
      <c r="AN1705" s="2060"/>
      <c r="AO1705" s="2060"/>
      <c r="AP1705" s="2060"/>
      <c r="AQ1705" s="2060"/>
      <c r="AR1705" s="2060"/>
      <c r="AS1705" s="2060"/>
      <c r="AT1705" s="2060"/>
      <c r="AU1705" s="2060"/>
      <c r="AV1705" s="2060"/>
      <c r="AW1705" s="2060"/>
      <c r="AX1705" s="2060"/>
      <c r="AY1705" s="2060"/>
      <c r="AZ1705" s="2060"/>
      <c r="BA1705" s="2060"/>
      <c r="BB1705" s="2060"/>
      <c r="BC1705" s="2060"/>
      <c r="BD1705" s="2060"/>
      <c r="BE1705" s="2060"/>
      <c r="BF1705" s="2060"/>
      <c r="BG1705" s="2060"/>
      <c r="BH1705" s="2060"/>
      <c r="BI1705" s="2060"/>
      <c r="BJ1705" s="2060"/>
      <c r="BK1705" s="2060"/>
      <c r="BL1705" s="2060"/>
      <c r="BM1705" s="2060"/>
      <c r="BN1705" s="2060"/>
      <c r="BO1705" s="2060"/>
      <c r="BP1705" s="2060"/>
      <c r="BQ1705" s="2060"/>
      <c r="BR1705" s="2060"/>
      <c r="BS1705" s="2060"/>
      <c r="BT1705" s="2060"/>
      <c r="BU1705" s="2060"/>
      <c r="BV1705" s="2060"/>
      <c r="BW1705" s="2060"/>
      <c r="BX1705" s="2060"/>
      <c r="BY1705" s="2060"/>
      <c r="BZ1705" s="2060"/>
      <c r="CA1705" s="2060"/>
      <c r="CB1705" s="2060"/>
      <c r="CC1705" s="2060"/>
      <c r="CD1705" s="2060"/>
      <c r="CE1705" s="2060"/>
      <c r="CF1705" s="2060"/>
      <c r="CG1705" s="2060"/>
      <c r="CH1705" s="2060"/>
      <c r="CI1705" s="2060"/>
      <c r="CJ1705" s="2060"/>
      <c r="CK1705" s="2060"/>
      <c r="CL1705" s="2060"/>
      <c r="CM1705" s="2060"/>
      <c r="CN1705" s="2060"/>
      <c r="CO1705" s="2060"/>
      <c r="CP1705" s="2060"/>
      <c r="CQ1705" s="2060"/>
      <c r="CR1705" s="2060"/>
      <c r="CS1705" s="2060"/>
      <c r="CT1705" s="2060"/>
      <c r="CU1705" s="2060"/>
      <c r="CV1705" s="2060"/>
      <c r="CW1705" s="2060"/>
      <c r="CX1705" s="2060"/>
      <c r="CY1705" s="2060"/>
      <c r="CZ1705" s="2060"/>
      <c r="DA1705" s="2060"/>
      <c r="DB1705" s="2060"/>
      <c r="DC1705" s="2060"/>
      <c r="DD1705" s="2060"/>
      <c r="DE1705" s="2060"/>
      <c r="DF1705" s="2060"/>
      <c r="DG1705" s="2060"/>
      <c r="DH1705" s="2060"/>
      <c r="DI1705" s="2060"/>
      <c r="DJ1705" s="2060"/>
      <c r="DK1705" s="2060"/>
      <c r="DL1705" s="2060"/>
      <c r="DM1705" s="2060"/>
      <c r="DN1705" s="2060"/>
      <c r="DO1705" s="2060"/>
      <c r="DP1705" s="2060"/>
      <c r="DQ1705" s="2060"/>
      <c r="DR1705" s="2060"/>
      <c r="DS1705" s="2060"/>
      <c r="DT1705" s="2060"/>
      <c r="DU1705" s="2060"/>
      <c r="DV1705" s="2060"/>
      <c r="DW1705" s="2060"/>
      <c r="DX1705" s="2060"/>
      <c r="DY1705" s="2060"/>
      <c r="DZ1705" s="2060"/>
      <c r="EA1705" s="2060"/>
      <c r="EB1705" s="2060"/>
      <c r="EC1705" s="2060"/>
      <c r="ED1705" s="2060"/>
      <c r="EE1705" s="2060"/>
      <c r="EF1705" s="2060"/>
      <c r="EG1705" s="2060"/>
      <c r="EH1705" s="2060"/>
      <c r="EI1705" s="2060"/>
      <c r="EJ1705" s="2060"/>
      <c r="EK1705" s="2060"/>
      <c r="EL1705" s="2060"/>
      <c r="EM1705" s="2060"/>
      <c r="EN1705" s="2060"/>
      <c r="EO1705" s="2060"/>
      <c r="EP1705" s="2060"/>
      <c r="EQ1705" s="2060"/>
      <c r="ER1705" s="2060"/>
      <c r="ES1705" s="2060"/>
      <c r="ET1705" s="2060"/>
      <c r="EU1705" s="2060"/>
      <c r="EV1705" s="2060"/>
      <c r="EW1705" s="2060"/>
      <c r="EX1705" s="2060"/>
      <c r="EY1705" s="2060"/>
      <c r="EZ1705" s="2060"/>
      <c r="FA1705" s="2060"/>
      <c r="FB1705" s="2060"/>
      <c r="FC1705" s="2060"/>
      <c r="FD1705" s="2060"/>
      <c r="FE1705" s="2060"/>
      <c r="FF1705" s="2060"/>
      <c r="FG1705" s="2060"/>
      <c r="FH1705" s="2060"/>
      <c r="FI1705" s="2060"/>
      <c r="FJ1705" s="2060"/>
      <c r="FK1705" s="2060"/>
      <c r="FL1705" s="2060"/>
      <c r="FM1705" s="2060"/>
      <c r="FN1705" s="2060"/>
      <c r="FO1705" s="2060"/>
      <c r="FP1705" s="2060"/>
      <c r="FQ1705" s="2060"/>
      <c r="FR1705" s="2060"/>
      <c r="FS1705" s="2060"/>
      <c r="FT1705" s="2060"/>
      <c r="FU1705" s="2060"/>
      <c r="FV1705" s="2060"/>
      <c r="FW1705" s="2060"/>
      <c r="FX1705" s="2060"/>
      <c r="FY1705" s="2060"/>
      <c r="FZ1705" s="2060"/>
      <c r="GA1705" s="2060"/>
      <c r="GB1705" s="2060"/>
      <c r="GC1705" s="2060"/>
      <c r="GD1705" s="2060"/>
      <c r="GE1705" s="2060"/>
      <c r="GF1705" s="2060"/>
      <c r="GG1705" s="2060"/>
      <c r="GH1705" s="2060"/>
      <c r="GI1705" s="2060"/>
      <c r="GJ1705" s="2060"/>
      <c r="GK1705" s="2060"/>
      <c r="GL1705" s="2060"/>
      <c r="GM1705" s="2060"/>
      <c r="GN1705" s="2060"/>
      <c r="GO1705" s="2060"/>
      <c r="GP1705" s="2060"/>
      <c r="GQ1705" s="2060"/>
      <c r="GR1705" s="2060"/>
      <c r="GS1705" s="2060"/>
      <c r="GT1705" s="2060"/>
      <c r="GU1705" s="2060"/>
      <c r="GV1705" s="2060"/>
      <c r="GW1705" s="2060"/>
      <c r="GX1705" s="2060"/>
      <c r="GY1705" s="2060"/>
      <c r="GZ1705" s="2060"/>
      <c r="HA1705" s="2060"/>
      <c r="HB1705" s="2060"/>
      <c r="HC1705" s="2060"/>
      <c r="HD1705" s="2060"/>
      <c r="HE1705" s="2060"/>
      <c r="HF1705" s="2060"/>
      <c r="HG1705" s="2060"/>
      <c r="HH1705" s="2060"/>
      <c r="HI1705" s="2060"/>
      <c r="HJ1705" s="2060"/>
      <c r="HK1705" s="2060"/>
      <c r="HL1705" s="2060"/>
      <c r="HM1705" s="2060"/>
      <c r="HN1705" s="2060"/>
      <c r="HO1705" s="2060"/>
      <c r="HP1705" s="2060"/>
      <c r="HQ1705" s="2060"/>
      <c r="HR1705" s="2060"/>
      <c r="HS1705" s="2060"/>
      <c r="HT1705" s="2060"/>
      <c r="HU1705" s="2060"/>
      <c r="HV1705" s="2060"/>
      <c r="HW1705" s="2060"/>
      <c r="HX1705" s="2060"/>
      <c r="HY1705" s="2060"/>
      <c r="HZ1705" s="2060"/>
      <c r="IA1705" s="2060"/>
      <c r="IB1705" s="2060"/>
      <c r="IC1705" s="2060"/>
      <c r="ID1705" s="2060"/>
      <c r="IE1705" s="2060"/>
      <c r="IF1705" s="2060"/>
      <c r="IG1705" s="2060"/>
      <c r="IH1705" s="2060"/>
      <c r="II1705" s="2060"/>
      <c r="IJ1705" s="2060"/>
      <c r="IK1705" s="2060"/>
      <c r="IL1705" s="2060"/>
      <c r="IM1705" s="2060"/>
      <c r="IN1705" s="2060"/>
      <c r="IO1705" s="2060"/>
      <c r="IP1705" s="2060"/>
      <c r="IQ1705" s="2060"/>
      <c r="IR1705" s="2060"/>
      <c r="IS1705" s="2060"/>
      <c r="IT1705" s="2060"/>
      <c r="IU1705" s="2060"/>
      <c r="IV1705" s="2060"/>
      <c r="IW1705" s="2060"/>
      <c r="IX1705" s="2060"/>
      <c r="IY1705" s="2060"/>
      <c r="IZ1705" s="2060"/>
      <c r="JA1705" s="2060"/>
      <c r="JB1705" s="2060"/>
      <c r="JC1705" s="2060"/>
      <c r="JD1705" s="2060"/>
      <c r="JE1705" s="2060"/>
      <c r="JF1705" s="2060"/>
      <c r="JG1705" s="2060"/>
      <c r="JH1705" s="2060"/>
      <c r="JI1705" s="2060"/>
      <c r="JJ1705" s="2060"/>
      <c r="JK1705" s="2060"/>
      <c r="JL1705" s="2060"/>
      <c r="JM1705" s="2060"/>
      <c r="JN1705" s="2060"/>
      <c r="JO1705" s="2060"/>
      <c r="JP1705" s="2060"/>
      <c r="JQ1705" s="2060"/>
      <c r="JR1705" s="2060"/>
      <c r="JS1705" s="2060"/>
      <c r="JT1705" s="2060"/>
      <c r="JU1705" s="2060"/>
      <c r="JV1705" s="2060"/>
      <c r="JW1705" s="2060"/>
      <c r="JX1705" s="2060"/>
      <c r="JY1705" s="2060"/>
      <c r="JZ1705" s="2060"/>
      <c r="KA1705" s="2060"/>
      <c r="KB1705" s="2060"/>
      <c r="KC1705" s="2060"/>
      <c r="KD1705" s="2060"/>
      <c r="KE1705" s="2060"/>
      <c r="KF1705" s="2060"/>
      <c r="KG1705" s="2060"/>
      <c r="KH1705" s="2060"/>
      <c r="KI1705" s="2060"/>
      <c r="KJ1705" s="2060"/>
      <c r="KK1705" s="2060"/>
      <c r="KL1705" s="2060"/>
      <c r="KM1705" s="2060"/>
      <c r="KN1705" s="2060"/>
      <c r="KO1705" s="2060"/>
      <c r="KP1705" s="2060"/>
      <c r="KQ1705" s="2060"/>
      <c r="KR1705" s="2060"/>
      <c r="KS1705" s="2060"/>
      <c r="KT1705" s="2060"/>
      <c r="KU1705" s="2060"/>
      <c r="KV1705" s="2060"/>
      <c r="KW1705" s="2060"/>
      <c r="KX1705" s="2060"/>
      <c r="KY1705" s="2060"/>
      <c r="KZ1705" s="2060"/>
      <c r="LA1705" s="2060"/>
      <c r="LB1705" s="2060"/>
      <c r="LC1705" s="2060"/>
      <c r="LD1705" s="2060"/>
      <c r="LE1705" s="2060"/>
      <c r="LF1705" s="2060"/>
      <c r="LG1705" s="2060"/>
      <c r="LH1705" s="2060"/>
    </row>
    <row r="1706" spans="1:320" s="449" customFormat="1" ht="13.9">
      <c r="A1706" s="269" t="str">
        <f t="shared" si="473"/>
        <v>n</v>
      </c>
      <c r="B1706" s="2060"/>
      <c r="C1706" s="2060"/>
      <c r="D1706" s="2060"/>
      <c r="E1706" s="1661">
        <v>3</v>
      </c>
      <c r="F1706" s="1353" t="str">
        <f>F$131</f>
        <v>--</v>
      </c>
      <c r="G1706" s="128">
        <f>G$131</f>
        <v>0</v>
      </c>
      <c r="H1706" s="128" t="str">
        <f>H$131</f>
        <v>--</v>
      </c>
      <c r="I1706" s="89" t="s">
        <v>774</v>
      </c>
      <c r="J1706" s="2197" t="str">
        <f>IF($G1706=0,"",_xll.ciqfunctions.udf.CIQ($G1706,$I1706,J1562,$H1706,FXMode)*Scale)</f>
        <v/>
      </c>
      <c r="K1706" s="2197" t="str">
        <f>IF($G1706=0,"",_xll.ciqfunctions.udf.CIQ($G1706,$I1706,K1562,$H1706,FXMode)*Scale)</f>
        <v/>
      </c>
      <c r="L1706" s="2197" t="str">
        <f>IF($G1706=0,"",_xll.ciqfunctions.udf.CIQ($G1706,$I1706,L1562,$H1706,FXMode)*Scale)</f>
        <v/>
      </c>
      <c r="M1706" s="2197" t="str">
        <f>IF($G1706=0,"",_xll.ciqfunctions.udf.CIQ($G1706,$I1706,M1562,$H1706,FXMode)*Scale)</f>
        <v/>
      </c>
      <c r="N1706" s="2197" t="str">
        <f>IF($G1706=0,"",_xll.ciqfunctions.udf.CIQ($G1706,$I1706,N1562,$H1706,FXMode)*Scale)</f>
        <v/>
      </c>
      <c r="O1706" s="2197" t="str">
        <f>IF($G1706=0,"",_xll.ciqfunctions.udf.CIQ($G1706,$I1706,O1562,$H1706,FXMode)*Scale)</f>
        <v/>
      </c>
      <c r="P1706" s="2197" t="str">
        <f>IF($G1706=0,"",_xll.ciqfunctions.udf.CIQ($G1706,$I1706,P1562,$H1706,FXMode)*Scale)</f>
        <v/>
      </c>
      <c r="Q1706" s="2197" t="str">
        <f>IF($G1706=0,"",_xll.ciqfunctions.udf.CIQ($G1706,$I1706,Q1562,$H1706,FXMode)*Scale)</f>
        <v/>
      </c>
      <c r="R1706" s="2197" t="str">
        <f>IF($G1706=0,"",_xll.ciqfunctions.udf.CIQ($G1706,$I1706,R1562,$H1706,FXMode)*Scale)</f>
        <v/>
      </c>
      <c r="S1706" s="2197" t="str">
        <f>IF($G1706=0,"",_xll.ciqfunctions.udf.CIQ($G1706,$I1706,S1562,$H1706,FXMode)*Scale)</f>
        <v/>
      </c>
      <c r="T1706" s="2197" t="str">
        <f>IF($G1706=0,"",_xll.ciqfunctions.udf.CIQ($G1706,$I1706,T1562,$H1706,FXMode)*Scale)</f>
        <v/>
      </c>
      <c r="U1706" s="2197" t="str">
        <f>IF($G1706=0,"",_xll.ciqfunctions.udf.CIQ($G1706,$I1706,U1562,$H1706,FXMode)*Scale)</f>
        <v/>
      </c>
      <c r="V1706" s="2197" t="str">
        <f>IF($G1706=0,"",_xll.ciqfunctions.udf.CIQ($G1706,$I1706,V1562,$H1706,FXMode)*Scale)</f>
        <v/>
      </c>
      <c r="W1706" s="1479"/>
      <c r="X1706" s="255"/>
      <c r="Y1706" s="89"/>
      <c r="Z1706" s="2060"/>
      <c r="AA1706" s="2060"/>
      <c r="AB1706" s="2060"/>
      <c r="AC1706" s="2060"/>
      <c r="AD1706" s="2060"/>
      <c r="AE1706" s="2060"/>
      <c r="AF1706" s="2060"/>
      <c r="AG1706" s="2060"/>
      <c r="AH1706" s="2060"/>
      <c r="AI1706" s="2060"/>
      <c r="AJ1706" s="2060"/>
      <c r="AK1706" s="2060"/>
      <c r="AL1706" s="2060"/>
      <c r="AM1706" s="2060"/>
      <c r="AN1706" s="2060"/>
      <c r="AO1706" s="2060"/>
      <c r="AP1706" s="2060"/>
      <c r="AQ1706" s="2060"/>
      <c r="AR1706" s="2060"/>
      <c r="AS1706" s="2060"/>
      <c r="AT1706" s="2060"/>
      <c r="AU1706" s="2060"/>
      <c r="AV1706" s="2060"/>
      <c r="AW1706" s="2060"/>
      <c r="AX1706" s="2060"/>
      <c r="AY1706" s="2060"/>
      <c r="AZ1706" s="2060"/>
      <c r="BA1706" s="2060"/>
      <c r="BB1706" s="2060"/>
      <c r="BC1706" s="2060"/>
      <c r="BD1706" s="2060"/>
      <c r="BE1706" s="2060"/>
      <c r="BF1706" s="2060"/>
      <c r="BG1706" s="2060"/>
      <c r="BH1706" s="2060"/>
      <c r="BI1706" s="2060"/>
      <c r="BJ1706" s="2060"/>
      <c r="BK1706" s="2060"/>
      <c r="BL1706" s="2060"/>
      <c r="BM1706" s="2060"/>
      <c r="BN1706" s="2060"/>
      <c r="BO1706" s="2060"/>
      <c r="BP1706" s="2060"/>
      <c r="BQ1706" s="2060"/>
      <c r="BR1706" s="2060"/>
      <c r="BS1706" s="2060"/>
      <c r="BT1706" s="2060"/>
      <c r="BU1706" s="2060"/>
      <c r="BV1706" s="2060"/>
      <c r="BW1706" s="2060"/>
      <c r="BX1706" s="2060"/>
      <c r="BY1706" s="2060"/>
      <c r="BZ1706" s="2060"/>
      <c r="CA1706" s="2060"/>
      <c r="CB1706" s="2060"/>
      <c r="CC1706" s="2060"/>
      <c r="CD1706" s="2060"/>
      <c r="CE1706" s="2060"/>
      <c r="CF1706" s="2060"/>
      <c r="CG1706" s="2060"/>
      <c r="CH1706" s="2060"/>
      <c r="CI1706" s="2060"/>
      <c r="CJ1706" s="2060"/>
      <c r="CK1706" s="2060"/>
      <c r="CL1706" s="2060"/>
      <c r="CM1706" s="2060"/>
      <c r="CN1706" s="2060"/>
      <c r="CO1706" s="2060"/>
      <c r="CP1706" s="2060"/>
      <c r="CQ1706" s="2060"/>
      <c r="CR1706" s="2060"/>
      <c r="CS1706" s="2060"/>
      <c r="CT1706" s="2060"/>
      <c r="CU1706" s="2060"/>
      <c r="CV1706" s="2060"/>
      <c r="CW1706" s="2060"/>
      <c r="CX1706" s="2060"/>
      <c r="CY1706" s="2060"/>
      <c r="CZ1706" s="2060"/>
      <c r="DA1706" s="2060"/>
      <c r="DB1706" s="2060"/>
      <c r="DC1706" s="2060"/>
      <c r="DD1706" s="2060"/>
      <c r="DE1706" s="2060"/>
      <c r="DF1706" s="2060"/>
      <c r="DG1706" s="2060"/>
      <c r="DH1706" s="2060"/>
      <c r="DI1706" s="2060"/>
      <c r="DJ1706" s="2060"/>
      <c r="DK1706" s="2060"/>
      <c r="DL1706" s="2060"/>
      <c r="DM1706" s="2060"/>
      <c r="DN1706" s="2060"/>
      <c r="DO1706" s="2060"/>
      <c r="DP1706" s="2060"/>
      <c r="DQ1706" s="2060"/>
      <c r="DR1706" s="2060"/>
      <c r="DS1706" s="2060"/>
      <c r="DT1706" s="2060"/>
      <c r="DU1706" s="2060"/>
      <c r="DV1706" s="2060"/>
      <c r="DW1706" s="2060"/>
      <c r="DX1706" s="2060"/>
      <c r="DY1706" s="2060"/>
      <c r="DZ1706" s="2060"/>
      <c r="EA1706" s="2060"/>
      <c r="EB1706" s="2060"/>
      <c r="EC1706" s="2060"/>
      <c r="ED1706" s="2060"/>
      <c r="EE1706" s="2060"/>
      <c r="EF1706" s="2060"/>
      <c r="EG1706" s="2060"/>
      <c r="EH1706" s="2060"/>
      <c r="EI1706" s="2060"/>
      <c r="EJ1706" s="2060"/>
      <c r="EK1706" s="2060"/>
      <c r="EL1706" s="2060"/>
      <c r="EM1706" s="2060"/>
      <c r="EN1706" s="2060"/>
      <c r="EO1706" s="2060"/>
      <c r="EP1706" s="2060"/>
      <c r="EQ1706" s="2060"/>
      <c r="ER1706" s="2060"/>
      <c r="ES1706" s="2060"/>
      <c r="ET1706" s="2060"/>
      <c r="EU1706" s="2060"/>
      <c r="EV1706" s="2060"/>
      <c r="EW1706" s="2060"/>
      <c r="EX1706" s="2060"/>
      <c r="EY1706" s="2060"/>
      <c r="EZ1706" s="2060"/>
      <c r="FA1706" s="2060"/>
      <c r="FB1706" s="2060"/>
      <c r="FC1706" s="2060"/>
      <c r="FD1706" s="2060"/>
      <c r="FE1706" s="2060"/>
      <c r="FF1706" s="2060"/>
      <c r="FG1706" s="2060"/>
      <c r="FH1706" s="2060"/>
      <c r="FI1706" s="2060"/>
      <c r="FJ1706" s="2060"/>
      <c r="FK1706" s="2060"/>
      <c r="FL1706" s="2060"/>
      <c r="FM1706" s="2060"/>
      <c r="FN1706" s="2060"/>
      <c r="FO1706" s="2060"/>
      <c r="FP1706" s="2060"/>
      <c r="FQ1706" s="2060"/>
      <c r="FR1706" s="2060"/>
      <c r="FS1706" s="2060"/>
      <c r="FT1706" s="2060"/>
      <c r="FU1706" s="2060"/>
      <c r="FV1706" s="2060"/>
      <c r="FW1706" s="2060"/>
      <c r="FX1706" s="2060"/>
      <c r="FY1706" s="2060"/>
      <c r="FZ1706" s="2060"/>
      <c r="GA1706" s="2060"/>
      <c r="GB1706" s="2060"/>
      <c r="GC1706" s="2060"/>
      <c r="GD1706" s="2060"/>
      <c r="GE1706" s="2060"/>
      <c r="GF1706" s="2060"/>
      <c r="GG1706" s="2060"/>
      <c r="GH1706" s="2060"/>
      <c r="GI1706" s="2060"/>
      <c r="GJ1706" s="2060"/>
      <c r="GK1706" s="2060"/>
      <c r="GL1706" s="2060"/>
      <c r="GM1706" s="2060"/>
      <c r="GN1706" s="2060"/>
      <c r="GO1706" s="2060"/>
      <c r="GP1706" s="2060"/>
      <c r="GQ1706" s="2060"/>
      <c r="GR1706" s="2060"/>
      <c r="GS1706" s="2060"/>
      <c r="GT1706" s="2060"/>
      <c r="GU1706" s="2060"/>
      <c r="GV1706" s="2060"/>
      <c r="GW1706" s="2060"/>
      <c r="GX1706" s="2060"/>
      <c r="GY1706" s="2060"/>
      <c r="GZ1706" s="2060"/>
      <c r="HA1706" s="2060"/>
      <c r="HB1706" s="2060"/>
      <c r="HC1706" s="2060"/>
      <c r="HD1706" s="2060"/>
      <c r="HE1706" s="2060"/>
      <c r="HF1706" s="2060"/>
      <c r="HG1706" s="2060"/>
      <c r="HH1706" s="2060"/>
      <c r="HI1706" s="2060"/>
      <c r="HJ1706" s="2060"/>
      <c r="HK1706" s="2060"/>
      <c r="HL1706" s="2060"/>
      <c r="HM1706" s="2060"/>
      <c r="HN1706" s="2060"/>
      <c r="HO1706" s="2060"/>
      <c r="HP1706" s="2060"/>
      <c r="HQ1706" s="2060"/>
      <c r="HR1706" s="2060"/>
      <c r="HS1706" s="2060"/>
      <c r="HT1706" s="2060"/>
      <c r="HU1706" s="2060"/>
      <c r="HV1706" s="2060"/>
      <c r="HW1706" s="2060"/>
      <c r="HX1706" s="2060"/>
      <c r="HY1706" s="2060"/>
      <c r="HZ1706" s="2060"/>
      <c r="IA1706" s="2060"/>
      <c r="IB1706" s="2060"/>
      <c r="IC1706" s="2060"/>
      <c r="ID1706" s="2060"/>
      <c r="IE1706" s="2060"/>
      <c r="IF1706" s="2060"/>
      <c r="IG1706" s="2060"/>
      <c r="IH1706" s="2060"/>
      <c r="II1706" s="2060"/>
      <c r="IJ1706" s="2060"/>
      <c r="IK1706" s="2060"/>
      <c r="IL1706" s="2060"/>
      <c r="IM1706" s="2060"/>
      <c r="IN1706" s="2060"/>
      <c r="IO1706" s="2060"/>
      <c r="IP1706" s="2060"/>
      <c r="IQ1706" s="2060"/>
      <c r="IR1706" s="2060"/>
      <c r="IS1706" s="2060"/>
      <c r="IT1706" s="2060"/>
      <c r="IU1706" s="2060"/>
      <c r="IV1706" s="2060"/>
      <c r="IW1706" s="2060"/>
      <c r="IX1706" s="2060"/>
      <c r="IY1706" s="2060"/>
      <c r="IZ1706" s="2060"/>
      <c r="JA1706" s="2060"/>
      <c r="JB1706" s="2060"/>
      <c r="JC1706" s="2060"/>
      <c r="JD1706" s="2060"/>
      <c r="JE1706" s="2060"/>
      <c r="JF1706" s="2060"/>
      <c r="JG1706" s="2060"/>
      <c r="JH1706" s="2060"/>
      <c r="JI1706" s="2060"/>
      <c r="JJ1706" s="2060"/>
      <c r="JK1706" s="2060"/>
      <c r="JL1706" s="2060"/>
      <c r="JM1706" s="2060"/>
      <c r="JN1706" s="2060"/>
      <c r="JO1706" s="2060"/>
      <c r="JP1706" s="2060"/>
      <c r="JQ1706" s="2060"/>
      <c r="JR1706" s="2060"/>
      <c r="JS1706" s="2060"/>
      <c r="JT1706" s="2060"/>
      <c r="JU1706" s="2060"/>
      <c r="JV1706" s="2060"/>
      <c r="JW1706" s="2060"/>
      <c r="JX1706" s="2060"/>
      <c r="JY1706" s="2060"/>
      <c r="JZ1706" s="2060"/>
      <c r="KA1706" s="2060"/>
      <c r="KB1706" s="2060"/>
      <c r="KC1706" s="2060"/>
      <c r="KD1706" s="2060"/>
      <c r="KE1706" s="2060"/>
      <c r="KF1706" s="2060"/>
      <c r="KG1706" s="2060"/>
      <c r="KH1706" s="2060"/>
      <c r="KI1706" s="2060"/>
      <c r="KJ1706" s="2060"/>
      <c r="KK1706" s="2060"/>
      <c r="KL1706" s="2060"/>
      <c r="KM1706" s="2060"/>
      <c r="KN1706" s="2060"/>
      <c r="KO1706" s="2060"/>
      <c r="KP1706" s="2060"/>
      <c r="KQ1706" s="2060"/>
      <c r="KR1706" s="2060"/>
      <c r="KS1706" s="2060"/>
      <c r="KT1706" s="2060"/>
      <c r="KU1706" s="2060"/>
      <c r="KV1706" s="2060"/>
      <c r="KW1706" s="2060"/>
      <c r="KX1706" s="2060"/>
      <c r="KY1706" s="2060"/>
      <c r="KZ1706" s="2060"/>
      <c r="LA1706" s="2060"/>
      <c r="LB1706" s="2060"/>
      <c r="LC1706" s="2060"/>
      <c r="LD1706" s="2060"/>
      <c r="LE1706" s="2060"/>
      <c r="LF1706" s="2060"/>
      <c r="LG1706" s="2060"/>
      <c r="LH1706" s="2060"/>
    </row>
    <row r="1707" spans="1:320" s="449" customFormat="1" ht="13.9">
      <c r="A1707" s="269" t="str">
        <f t="shared" si="473"/>
        <v>n</v>
      </c>
      <c r="B1707" s="2060"/>
      <c r="C1707" s="2060"/>
      <c r="D1707" s="2060"/>
      <c r="E1707" s="1661">
        <v>4</v>
      </c>
      <c r="F1707" s="1353" t="str">
        <f>F$132</f>
        <v>--</v>
      </c>
      <c r="G1707" s="128">
        <f>G$132</f>
        <v>0</v>
      </c>
      <c r="H1707" s="128" t="str">
        <f>H$132</f>
        <v>--</v>
      </c>
      <c r="I1707" s="89" t="s">
        <v>774</v>
      </c>
      <c r="J1707" s="2197" t="str">
        <f>IF($G1707=0,"",_xll.ciqfunctions.udf.CIQ($G1707,$I1707,J1563,$H1707,FXMode)*Scale)</f>
        <v/>
      </c>
      <c r="K1707" s="2197" t="str">
        <f>IF($G1707=0,"",_xll.ciqfunctions.udf.CIQ($G1707,$I1707,K1563,$H1707,FXMode)*Scale)</f>
        <v/>
      </c>
      <c r="L1707" s="2197" t="str">
        <f>IF($G1707=0,"",_xll.ciqfunctions.udf.CIQ($G1707,$I1707,L1563,$H1707,FXMode)*Scale)</f>
        <v/>
      </c>
      <c r="M1707" s="2197" t="str">
        <f>IF($G1707=0,"",_xll.ciqfunctions.udf.CIQ($G1707,$I1707,M1563,$H1707,FXMode)*Scale)</f>
        <v/>
      </c>
      <c r="N1707" s="2197" t="str">
        <f>IF($G1707=0,"",_xll.ciqfunctions.udf.CIQ($G1707,$I1707,N1563,$H1707,FXMode)*Scale)</f>
        <v/>
      </c>
      <c r="O1707" s="2197" t="str">
        <f>IF($G1707=0,"",_xll.ciqfunctions.udf.CIQ($G1707,$I1707,O1563,$H1707,FXMode)*Scale)</f>
        <v/>
      </c>
      <c r="P1707" s="2197" t="str">
        <f>IF($G1707=0,"",_xll.ciqfunctions.udf.CIQ($G1707,$I1707,P1563,$H1707,FXMode)*Scale)</f>
        <v/>
      </c>
      <c r="Q1707" s="2197" t="str">
        <f>IF($G1707=0,"",_xll.ciqfunctions.udf.CIQ($G1707,$I1707,Q1563,$H1707,FXMode)*Scale)</f>
        <v/>
      </c>
      <c r="R1707" s="2197" t="str">
        <f>IF($G1707=0,"",_xll.ciqfunctions.udf.CIQ($G1707,$I1707,R1563,$H1707,FXMode)*Scale)</f>
        <v/>
      </c>
      <c r="S1707" s="2197" t="str">
        <f>IF($G1707=0,"",_xll.ciqfunctions.udf.CIQ($G1707,$I1707,S1563,$H1707,FXMode)*Scale)</f>
        <v/>
      </c>
      <c r="T1707" s="2197" t="str">
        <f>IF($G1707=0,"",_xll.ciqfunctions.udf.CIQ($G1707,$I1707,T1563,$H1707,FXMode)*Scale)</f>
        <v/>
      </c>
      <c r="U1707" s="2197" t="str">
        <f>IF($G1707=0,"",_xll.ciqfunctions.udf.CIQ($G1707,$I1707,U1563,$H1707,FXMode)*Scale)</f>
        <v/>
      </c>
      <c r="V1707" s="2197" t="str">
        <f>IF($G1707=0,"",_xll.ciqfunctions.udf.CIQ($G1707,$I1707,V1563,$H1707,FXMode)*Scale)</f>
        <v/>
      </c>
      <c r="W1707" s="1479"/>
      <c r="X1707" s="255"/>
      <c r="Y1707" s="89"/>
      <c r="Z1707" s="2060"/>
      <c r="AA1707" s="2060"/>
      <c r="AB1707" s="2060"/>
      <c r="AC1707" s="2060"/>
      <c r="AD1707" s="2060"/>
      <c r="AE1707" s="2060"/>
      <c r="AF1707" s="2060"/>
      <c r="AG1707" s="2060"/>
      <c r="AH1707" s="2060"/>
      <c r="AI1707" s="2060"/>
      <c r="AJ1707" s="2060"/>
      <c r="AK1707" s="2060"/>
      <c r="AL1707" s="2060"/>
      <c r="AM1707" s="2060"/>
      <c r="AN1707" s="2060"/>
      <c r="AO1707" s="2060"/>
      <c r="AP1707" s="2060"/>
      <c r="AQ1707" s="2060"/>
      <c r="AR1707" s="2060"/>
      <c r="AS1707" s="2060"/>
      <c r="AT1707" s="2060"/>
      <c r="AU1707" s="2060"/>
      <c r="AV1707" s="2060"/>
      <c r="AW1707" s="2060"/>
      <c r="AX1707" s="2060"/>
      <c r="AY1707" s="2060"/>
      <c r="AZ1707" s="2060"/>
      <c r="BA1707" s="2060"/>
      <c r="BB1707" s="2060"/>
      <c r="BC1707" s="2060"/>
      <c r="BD1707" s="2060"/>
      <c r="BE1707" s="2060"/>
      <c r="BF1707" s="2060"/>
      <c r="BG1707" s="2060"/>
      <c r="BH1707" s="2060"/>
      <c r="BI1707" s="2060"/>
      <c r="BJ1707" s="2060"/>
      <c r="BK1707" s="2060"/>
      <c r="BL1707" s="2060"/>
      <c r="BM1707" s="2060"/>
      <c r="BN1707" s="2060"/>
      <c r="BO1707" s="2060"/>
      <c r="BP1707" s="2060"/>
      <c r="BQ1707" s="2060"/>
      <c r="BR1707" s="2060"/>
      <c r="BS1707" s="2060"/>
      <c r="BT1707" s="2060"/>
      <c r="BU1707" s="2060"/>
      <c r="BV1707" s="2060"/>
      <c r="BW1707" s="2060"/>
      <c r="BX1707" s="2060"/>
      <c r="BY1707" s="2060"/>
      <c r="BZ1707" s="2060"/>
      <c r="CA1707" s="2060"/>
      <c r="CB1707" s="2060"/>
      <c r="CC1707" s="2060"/>
      <c r="CD1707" s="2060"/>
      <c r="CE1707" s="2060"/>
      <c r="CF1707" s="2060"/>
      <c r="CG1707" s="2060"/>
      <c r="CH1707" s="2060"/>
      <c r="CI1707" s="2060"/>
      <c r="CJ1707" s="2060"/>
      <c r="CK1707" s="2060"/>
      <c r="CL1707" s="2060"/>
      <c r="CM1707" s="2060"/>
      <c r="CN1707" s="2060"/>
      <c r="CO1707" s="2060"/>
      <c r="CP1707" s="2060"/>
      <c r="CQ1707" s="2060"/>
      <c r="CR1707" s="2060"/>
      <c r="CS1707" s="2060"/>
      <c r="CT1707" s="2060"/>
      <c r="CU1707" s="2060"/>
      <c r="CV1707" s="2060"/>
      <c r="CW1707" s="2060"/>
      <c r="CX1707" s="2060"/>
      <c r="CY1707" s="2060"/>
      <c r="CZ1707" s="2060"/>
      <c r="DA1707" s="2060"/>
      <c r="DB1707" s="2060"/>
      <c r="DC1707" s="2060"/>
      <c r="DD1707" s="2060"/>
      <c r="DE1707" s="2060"/>
      <c r="DF1707" s="2060"/>
      <c r="DG1707" s="2060"/>
      <c r="DH1707" s="2060"/>
      <c r="DI1707" s="2060"/>
      <c r="DJ1707" s="2060"/>
      <c r="DK1707" s="2060"/>
      <c r="DL1707" s="2060"/>
      <c r="DM1707" s="2060"/>
      <c r="DN1707" s="2060"/>
      <c r="DO1707" s="2060"/>
      <c r="DP1707" s="2060"/>
      <c r="DQ1707" s="2060"/>
      <c r="DR1707" s="2060"/>
      <c r="DS1707" s="2060"/>
      <c r="DT1707" s="2060"/>
      <c r="DU1707" s="2060"/>
      <c r="DV1707" s="2060"/>
      <c r="DW1707" s="2060"/>
      <c r="DX1707" s="2060"/>
      <c r="DY1707" s="2060"/>
      <c r="DZ1707" s="2060"/>
      <c r="EA1707" s="2060"/>
      <c r="EB1707" s="2060"/>
      <c r="EC1707" s="2060"/>
      <c r="ED1707" s="2060"/>
      <c r="EE1707" s="2060"/>
      <c r="EF1707" s="2060"/>
      <c r="EG1707" s="2060"/>
      <c r="EH1707" s="2060"/>
      <c r="EI1707" s="2060"/>
      <c r="EJ1707" s="2060"/>
      <c r="EK1707" s="2060"/>
      <c r="EL1707" s="2060"/>
      <c r="EM1707" s="2060"/>
      <c r="EN1707" s="2060"/>
      <c r="EO1707" s="2060"/>
      <c r="EP1707" s="2060"/>
      <c r="EQ1707" s="2060"/>
      <c r="ER1707" s="2060"/>
      <c r="ES1707" s="2060"/>
      <c r="ET1707" s="2060"/>
      <c r="EU1707" s="2060"/>
      <c r="EV1707" s="2060"/>
      <c r="EW1707" s="2060"/>
      <c r="EX1707" s="2060"/>
      <c r="EY1707" s="2060"/>
      <c r="EZ1707" s="2060"/>
      <c r="FA1707" s="2060"/>
      <c r="FB1707" s="2060"/>
      <c r="FC1707" s="2060"/>
      <c r="FD1707" s="2060"/>
      <c r="FE1707" s="2060"/>
      <c r="FF1707" s="2060"/>
      <c r="FG1707" s="2060"/>
      <c r="FH1707" s="2060"/>
      <c r="FI1707" s="2060"/>
      <c r="FJ1707" s="2060"/>
      <c r="FK1707" s="2060"/>
      <c r="FL1707" s="2060"/>
      <c r="FM1707" s="2060"/>
      <c r="FN1707" s="2060"/>
      <c r="FO1707" s="2060"/>
      <c r="FP1707" s="2060"/>
      <c r="FQ1707" s="2060"/>
      <c r="FR1707" s="2060"/>
      <c r="FS1707" s="2060"/>
      <c r="FT1707" s="2060"/>
      <c r="FU1707" s="2060"/>
      <c r="FV1707" s="2060"/>
      <c r="FW1707" s="2060"/>
      <c r="FX1707" s="2060"/>
      <c r="FY1707" s="2060"/>
      <c r="FZ1707" s="2060"/>
      <c r="GA1707" s="2060"/>
      <c r="GB1707" s="2060"/>
      <c r="GC1707" s="2060"/>
      <c r="GD1707" s="2060"/>
      <c r="GE1707" s="2060"/>
      <c r="GF1707" s="2060"/>
      <c r="GG1707" s="2060"/>
      <c r="GH1707" s="2060"/>
      <c r="GI1707" s="2060"/>
      <c r="GJ1707" s="2060"/>
      <c r="GK1707" s="2060"/>
      <c r="GL1707" s="2060"/>
      <c r="GM1707" s="2060"/>
      <c r="GN1707" s="2060"/>
      <c r="GO1707" s="2060"/>
      <c r="GP1707" s="2060"/>
      <c r="GQ1707" s="2060"/>
      <c r="GR1707" s="2060"/>
      <c r="GS1707" s="2060"/>
      <c r="GT1707" s="2060"/>
      <c r="GU1707" s="2060"/>
      <c r="GV1707" s="2060"/>
      <c r="GW1707" s="2060"/>
      <c r="GX1707" s="2060"/>
      <c r="GY1707" s="2060"/>
      <c r="GZ1707" s="2060"/>
      <c r="HA1707" s="2060"/>
      <c r="HB1707" s="2060"/>
      <c r="HC1707" s="2060"/>
      <c r="HD1707" s="2060"/>
      <c r="HE1707" s="2060"/>
      <c r="HF1707" s="2060"/>
      <c r="HG1707" s="2060"/>
      <c r="HH1707" s="2060"/>
      <c r="HI1707" s="2060"/>
      <c r="HJ1707" s="2060"/>
      <c r="HK1707" s="2060"/>
      <c r="HL1707" s="2060"/>
      <c r="HM1707" s="2060"/>
      <c r="HN1707" s="2060"/>
      <c r="HO1707" s="2060"/>
      <c r="HP1707" s="2060"/>
      <c r="HQ1707" s="2060"/>
      <c r="HR1707" s="2060"/>
      <c r="HS1707" s="2060"/>
      <c r="HT1707" s="2060"/>
      <c r="HU1707" s="2060"/>
      <c r="HV1707" s="2060"/>
      <c r="HW1707" s="2060"/>
      <c r="HX1707" s="2060"/>
      <c r="HY1707" s="2060"/>
      <c r="HZ1707" s="2060"/>
      <c r="IA1707" s="2060"/>
      <c r="IB1707" s="2060"/>
      <c r="IC1707" s="2060"/>
      <c r="ID1707" s="2060"/>
      <c r="IE1707" s="2060"/>
      <c r="IF1707" s="2060"/>
      <c r="IG1707" s="2060"/>
      <c r="IH1707" s="2060"/>
      <c r="II1707" s="2060"/>
      <c r="IJ1707" s="2060"/>
      <c r="IK1707" s="2060"/>
      <c r="IL1707" s="2060"/>
      <c r="IM1707" s="2060"/>
      <c r="IN1707" s="2060"/>
      <c r="IO1707" s="2060"/>
      <c r="IP1707" s="2060"/>
      <c r="IQ1707" s="2060"/>
      <c r="IR1707" s="2060"/>
      <c r="IS1707" s="2060"/>
      <c r="IT1707" s="2060"/>
      <c r="IU1707" s="2060"/>
      <c r="IV1707" s="2060"/>
      <c r="IW1707" s="2060"/>
      <c r="IX1707" s="2060"/>
      <c r="IY1707" s="2060"/>
      <c r="IZ1707" s="2060"/>
      <c r="JA1707" s="2060"/>
      <c r="JB1707" s="2060"/>
      <c r="JC1707" s="2060"/>
      <c r="JD1707" s="2060"/>
      <c r="JE1707" s="2060"/>
      <c r="JF1707" s="2060"/>
      <c r="JG1707" s="2060"/>
      <c r="JH1707" s="2060"/>
      <c r="JI1707" s="2060"/>
      <c r="JJ1707" s="2060"/>
      <c r="JK1707" s="2060"/>
      <c r="JL1707" s="2060"/>
      <c r="JM1707" s="2060"/>
      <c r="JN1707" s="2060"/>
      <c r="JO1707" s="2060"/>
      <c r="JP1707" s="2060"/>
      <c r="JQ1707" s="2060"/>
      <c r="JR1707" s="2060"/>
      <c r="JS1707" s="2060"/>
      <c r="JT1707" s="2060"/>
      <c r="JU1707" s="2060"/>
      <c r="JV1707" s="2060"/>
      <c r="JW1707" s="2060"/>
      <c r="JX1707" s="2060"/>
      <c r="JY1707" s="2060"/>
      <c r="JZ1707" s="2060"/>
      <c r="KA1707" s="2060"/>
      <c r="KB1707" s="2060"/>
      <c r="KC1707" s="2060"/>
      <c r="KD1707" s="2060"/>
      <c r="KE1707" s="2060"/>
      <c r="KF1707" s="2060"/>
      <c r="KG1707" s="2060"/>
      <c r="KH1707" s="2060"/>
      <c r="KI1707" s="2060"/>
      <c r="KJ1707" s="2060"/>
      <c r="KK1707" s="2060"/>
      <c r="KL1707" s="2060"/>
      <c r="KM1707" s="2060"/>
      <c r="KN1707" s="2060"/>
      <c r="KO1707" s="2060"/>
      <c r="KP1707" s="2060"/>
      <c r="KQ1707" s="2060"/>
      <c r="KR1707" s="2060"/>
      <c r="KS1707" s="2060"/>
      <c r="KT1707" s="2060"/>
      <c r="KU1707" s="2060"/>
      <c r="KV1707" s="2060"/>
      <c r="KW1707" s="2060"/>
      <c r="KX1707" s="2060"/>
      <c r="KY1707" s="2060"/>
      <c r="KZ1707" s="2060"/>
      <c r="LA1707" s="2060"/>
      <c r="LB1707" s="2060"/>
      <c r="LC1707" s="2060"/>
      <c r="LD1707" s="2060"/>
      <c r="LE1707" s="2060"/>
      <c r="LF1707" s="2060"/>
      <c r="LG1707" s="2060"/>
      <c r="LH1707" s="2060"/>
    </row>
    <row r="1708" spans="1:320" s="449" customFormat="1" ht="13.9">
      <c r="A1708" s="269" t="str">
        <f t="shared" si="473"/>
        <v>n</v>
      </c>
      <c r="B1708" s="2060"/>
      <c r="C1708" s="2060"/>
      <c r="D1708" s="2060"/>
      <c r="E1708" s="1661">
        <v>5</v>
      </c>
      <c r="F1708" s="1353" t="str">
        <f>F$133</f>
        <v>--</v>
      </c>
      <c r="G1708" s="128">
        <f>G$133</f>
        <v>0</v>
      </c>
      <c r="H1708" s="128" t="str">
        <f>H$133</f>
        <v>--</v>
      </c>
      <c r="I1708" s="89" t="s">
        <v>774</v>
      </c>
      <c r="J1708" s="2197" t="str">
        <f>IF($G1708=0,"",_xll.ciqfunctions.udf.CIQ($G1708,$I1708,J1564,$H1708,FXMode)*Scale)</f>
        <v/>
      </c>
      <c r="K1708" s="2197" t="str">
        <f>IF($G1708=0,"",_xll.ciqfunctions.udf.CIQ($G1708,$I1708,K1564,$H1708,FXMode)*Scale)</f>
        <v/>
      </c>
      <c r="L1708" s="2197" t="str">
        <f>IF($G1708=0,"",_xll.ciqfunctions.udf.CIQ($G1708,$I1708,L1564,$H1708,FXMode)*Scale)</f>
        <v/>
      </c>
      <c r="M1708" s="2197" t="str">
        <f>IF($G1708=0,"",_xll.ciqfunctions.udf.CIQ($G1708,$I1708,M1564,$H1708,FXMode)*Scale)</f>
        <v/>
      </c>
      <c r="N1708" s="2197" t="str">
        <f>IF($G1708=0,"",_xll.ciqfunctions.udf.CIQ($G1708,$I1708,N1564,$H1708,FXMode)*Scale)</f>
        <v/>
      </c>
      <c r="O1708" s="2197" t="str">
        <f>IF($G1708=0,"",_xll.ciqfunctions.udf.CIQ($G1708,$I1708,O1564,$H1708,FXMode)*Scale)</f>
        <v/>
      </c>
      <c r="P1708" s="2197" t="str">
        <f>IF($G1708=0,"",_xll.ciqfunctions.udf.CIQ($G1708,$I1708,P1564,$H1708,FXMode)*Scale)</f>
        <v/>
      </c>
      <c r="Q1708" s="2197" t="str">
        <f>IF($G1708=0,"",_xll.ciqfunctions.udf.CIQ($G1708,$I1708,Q1564,$H1708,FXMode)*Scale)</f>
        <v/>
      </c>
      <c r="R1708" s="2197" t="str">
        <f>IF($G1708=0,"",_xll.ciqfunctions.udf.CIQ($G1708,$I1708,R1564,$H1708,FXMode)*Scale)</f>
        <v/>
      </c>
      <c r="S1708" s="2197" t="str">
        <f>IF($G1708=0,"",_xll.ciqfunctions.udf.CIQ($G1708,$I1708,S1564,$H1708,FXMode)*Scale)</f>
        <v/>
      </c>
      <c r="T1708" s="2197" t="str">
        <f>IF($G1708=0,"",_xll.ciqfunctions.udf.CIQ($G1708,$I1708,T1564,$H1708,FXMode)*Scale)</f>
        <v/>
      </c>
      <c r="U1708" s="2197" t="str">
        <f>IF($G1708=0,"",_xll.ciqfunctions.udf.CIQ($G1708,$I1708,U1564,$H1708,FXMode)*Scale)</f>
        <v/>
      </c>
      <c r="V1708" s="2197" t="str">
        <f>IF($G1708=0,"",_xll.ciqfunctions.udf.CIQ($G1708,$I1708,V1564,$H1708,FXMode)*Scale)</f>
        <v/>
      </c>
      <c r="W1708" s="1479"/>
      <c r="X1708" s="255"/>
      <c r="Y1708" s="89"/>
      <c r="Z1708" s="2060"/>
      <c r="AA1708" s="2060"/>
      <c r="AB1708" s="2060"/>
      <c r="AC1708" s="2060"/>
      <c r="AD1708" s="2060"/>
      <c r="AE1708" s="2060"/>
      <c r="AF1708" s="2060"/>
      <c r="AG1708" s="2060"/>
      <c r="AH1708" s="2060"/>
      <c r="AI1708" s="2060"/>
      <c r="AJ1708" s="2060"/>
      <c r="AK1708" s="2060"/>
      <c r="AL1708" s="2060"/>
      <c r="AM1708" s="2060"/>
      <c r="AN1708" s="2060"/>
      <c r="AO1708" s="2060"/>
      <c r="AP1708" s="2060"/>
      <c r="AQ1708" s="2060"/>
      <c r="AR1708" s="2060"/>
      <c r="AS1708" s="2060"/>
      <c r="AT1708" s="2060"/>
      <c r="AU1708" s="2060"/>
      <c r="AV1708" s="2060"/>
      <c r="AW1708" s="2060"/>
      <c r="AX1708" s="2060"/>
      <c r="AY1708" s="2060"/>
      <c r="AZ1708" s="2060"/>
      <c r="BA1708" s="2060"/>
      <c r="BB1708" s="2060"/>
      <c r="BC1708" s="2060"/>
      <c r="BD1708" s="2060"/>
      <c r="BE1708" s="2060"/>
      <c r="BF1708" s="2060"/>
      <c r="BG1708" s="2060"/>
      <c r="BH1708" s="2060"/>
      <c r="BI1708" s="2060"/>
      <c r="BJ1708" s="2060"/>
      <c r="BK1708" s="2060"/>
      <c r="BL1708" s="2060"/>
      <c r="BM1708" s="2060"/>
      <c r="BN1708" s="2060"/>
      <c r="BO1708" s="2060"/>
      <c r="BP1708" s="2060"/>
      <c r="BQ1708" s="2060"/>
      <c r="BR1708" s="2060"/>
      <c r="BS1708" s="2060"/>
      <c r="BT1708" s="2060"/>
      <c r="BU1708" s="2060"/>
      <c r="BV1708" s="2060"/>
      <c r="BW1708" s="2060"/>
      <c r="BX1708" s="2060"/>
      <c r="BY1708" s="2060"/>
      <c r="BZ1708" s="2060"/>
      <c r="CA1708" s="2060"/>
      <c r="CB1708" s="2060"/>
      <c r="CC1708" s="2060"/>
      <c r="CD1708" s="2060"/>
      <c r="CE1708" s="2060"/>
      <c r="CF1708" s="2060"/>
      <c r="CG1708" s="2060"/>
      <c r="CH1708" s="2060"/>
      <c r="CI1708" s="2060"/>
      <c r="CJ1708" s="2060"/>
      <c r="CK1708" s="2060"/>
      <c r="CL1708" s="2060"/>
      <c r="CM1708" s="2060"/>
      <c r="CN1708" s="2060"/>
      <c r="CO1708" s="2060"/>
      <c r="CP1708" s="2060"/>
      <c r="CQ1708" s="2060"/>
      <c r="CR1708" s="2060"/>
      <c r="CS1708" s="2060"/>
      <c r="CT1708" s="2060"/>
      <c r="CU1708" s="2060"/>
      <c r="CV1708" s="2060"/>
      <c r="CW1708" s="2060"/>
      <c r="CX1708" s="2060"/>
      <c r="CY1708" s="2060"/>
      <c r="CZ1708" s="2060"/>
      <c r="DA1708" s="2060"/>
      <c r="DB1708" s="2060"/>
      <c r="DC1708" s="2060"/>
      <c r="DD1708" s="2060"/>
      <c r="DE1708" s="2060"/>
      <c r="DF1708" s="2060"/>
      <c r="DG1708" s="2060"/>
      <c r="DH1708" s="2060"/>
      <c r="DI1708" s="2060"/>
      <c r="DJ1708" s="2060"/>
      <c r="DK1708" s="2060"/>
      <c r="DL1708" s="2060"/>
      <c r="DM1708" s="2060"/>
      <c r="DN1708" s="2060"/>
      <c r="DO1708" s="2060"/>
      <c r="DP1708" s="2060"/>
      <c r="DQ1708" s="2060"/>
      <c r="DR1708" s="2060"/>
      <c r="DS1708" s="2060"/>
      <c r="DT1708" s="2060"/>
      <c r="DU1708" s="2060"/>
      <c r="DV1708" s="2060"/>
      <c r="DW1708" s="2060"/>
      <c r="DX1708" s="2060"/>
      <c r="DY1708" s="2060"/>
      <c r="DZ1708" s="2060"/>
      <c r="EA1708" s="2060"/>
      <c r="EB1708" s="2060"/>
      <c r="EC1708" s="2060"/>
      <c r="ED1708" s="2060"/>
      <c r="EE1708" s="2060"/>
      <c r="EF1708" s="2060"/>
      <c r="EG1708" s="2060"/>
      <c r="EH1708" s="2060"/>
      <c r="EI1708" s="2060"/>
      <c r="EJ1708" s="2060"/>
      <c r="EK1708" s="2060"/>
      <c r="EL1708" s="2060"/>
      <c r="EM1708" s="2060"/>
      <c r="EN1708" s="2060"/>
      <c r="EO1708" s="2060"/>
      <c r="EP1708" s="2060"/>
      <c r="EQ1708" s="2060"/>
      <c r="ER1708" s="2060"/>
      <c r="ES1708" s="2060"/>
      <c r="ET1708" s="2060"/>
      <c r="EU1708" s="2060"/>
      <c r="EV1708" s="2060"/>
      <c r="EW1708" s="2060"/>
      <c r="EX1708" s="2060"/>
      <c r="EY1708" s="2060"/>
      <c r="EZ1708" s="2060"/>
      <c r="FA1708" s="2060"/>
      <c r="FB1708" s="2060"/>
      <c r="FC1708" s="2060"/>
      <c r="FD1708" s="2060"/>
      <c r="FE1708" s="2060"/>
      <c r="FF1708" s="2060"/>
      <c r="FG1708" s="2060"/>
      <c r="FH1708" s="2060"/>
      <c r="FI1708" s="2060"/>
      <c r="FJ1708" s="2060"/>
      <c r="FK1708" s="2060"/>
      <c r="FL1708" s="2060"/>
      <c r="FM1708" s="2060"/>
      <c r="FN1708" s="2060"/>
      <c r="FO1708" s="2060"/>
      <c r="FP1708" s="2060"/>
      <c r="FQ1708" s="2060"/>
      <c r="FR1708" s="2060"/>
      <c r="FS1708" s="2060"/>
      <c r="FT1708" s="2060"/>
      <c r="FU1708" s="2060"/>
      <c r="FV1708" s="2060"/>
      <c r="FW1708" s="2060"/>
      <c r="FX1708" s="2060"/>
      <c r="FY1708" s="2060"/>
      <c r="FZ1708" s="2060"/>
      <c r="GA1708" s="2060"/>
      <c r="GB1708" s="2060"/>
      <c r="GC1708" s="2060"/>
      <c r="GD1708" s="2060"/>
      <c r="GE1708" s="2060"/>
      <c r="GF1708" s="2060"/>
      <c r="GG1708" s="2060"/>
      <c r="GH1708" s="2060"/>
      <c r="GI1708" s="2060"/>
      <c r="GJ1708" s="2060"/>
      <c r="GK1708" s="2060"/>
      <c r="GL1708" s="2060"/>
      <c r="GM1708" s="2060"/>
      <c r="GN1708" s="2060"/>
      <c r="GO1708" s="2060"/>
      <c r="GP1708" s="2060"/>
      <c r="GQ1708" s="2060"/>
      <c r="GR1708" s="2060"/>
      <c r="GS1708" s="2060"/>
      <c r="GT1708" s="2060"/>
      <c r="GU1708" s="2060"/>
      <c r="GV1708" s="2060"/>
      <c r="GW1708" s="2060"/>
      <c r="GX1708" s="2060"/>
      <c r="GY1708" s="2060"/>
      <c r="GZ1708" s="2060"/>
      <c r="HA1708" s="2060"/>
      <c r="HB1708" s="2060"/>
      <c r="HC1708" s="2060"/>
      <c r="HD1708" s="2060"/>
      <c r="HE1708" s="2060"/>
      <c r="HF1708" s="2060"/>
      <c r="HG1708" s="2060"/>
      <c r="HH1708" s="2060"/>
      <c r="HI1708" s="2060"/>
      <c r="HJ1708" s="2060"/>
      <c r="HK1708" s="2060"/>
      <c r="HL1708" s="2060"/>
      <c r="HM1708" s="2060"/>
      <c r="HN1708" s="2060"/>
      <c r="HO1708" s="2060"/>
      <c r="HP1708" s="2060"/>
      <c r="HQ1708" s="2060"/>
      <c r="HR1708" s="2060"/>
      <c r="HS1708" s="2060"/>
      <c r="HT1708" s="2060"/>
      <c r="HU1708" s="2060"/>
      <c r="HV1708" s="2060"/>
      <c r="HW1708" s="2060"/>
      <c r="HX1708" s="2060"/>
      <c r="HY1708" s="2060"/>
      <c r="HZ1708" s="2060"/>
      <c r="IA1708" s="2060"/>
      <c r="IB1708" s="2060"/>
      <c r="IC1708" s="2060"/>
      <c r="ID1708" s="2060"/>
      <c r="IE1708" s="2060"/>
      <c r="IF1708" s="2060"/>
      <c r="IG1708" s="2060"/>
      <c r="IH1708" s="2060"/>
      <c r="II1708" s="2060"/>
      <c r="IJ1708" s="2060"/>
      <c r="IK1708" s="2060"/>
      <c r="IL1708" s="2060"/>
      <c r="IM1708" s="2060"/>
      <c r="IN1708" s="2060"/>
      <c r="IO1708" s="2060"/>
      <c r="IP1708" s="2060"/>
      <c r="IQ1708" s="2060"/>
      <c r="IR1708" s="2060"/>
      <c r="IS1708" s="2060"/>
      <c r="IT1708" s="2060"/>
      <c r="IU1708" s="2060"/>
      <c r="IV1708" s="2060"/>
      <c r="IW1708" s="2060"/>
      <c r="IX1708" s="2060"/>
      <c r="IY1708" s="2060"/>
      <c r="IZ1708" s="2060"/>
      <c r="JA1708" s="2060"/>
      <c r="JB1708" s="2060"/>
      <c r="JC1708" s="2060"/>
      <c r="JD1708" s="2060"/>
      <c r="JE1708" s="2060"/>
      <c r="JF1708" s="2060"/>
      <c r="JG1708" s="2060"/>
      <c r="JH1708" s="2060"/>
      <c r="JI1708" s="2060"/>
      <c r="JJ1708" s="2060"/>
      <c r="JK1708" s="2060"/>
      <c r="JL1708" s="2060"/>
      <c r="JM1708" s="2060"/>
      <c r="JN1708" s="2060"/>
      <c r="JO1708" s="2060"/>
      <c r="JP1708" s="2060"/>
      <c r="JQ1708" s="2060"/>
      <c r="JR1708" s="2060"/>
      <c r="JS1708" s="2060"/>
      <c r="JT1708" s="2060"/>
      <c r="JU1708" s="2060"/>
      <c r="JV1708" s="2060"/>
      <c r="JW1708" s="2060"/>
      <c r="JX1708" s="2060"/>
      <c r="JY1708" s="2060"/>
      <c r="JZ1708" s="2060"/>
      <c r="KA1708" s="2060"/>
      <c r="KB1708" s="2060"/>
      <c r="KC1708" s="2060"/>
      <c r="KD1708" s="2060"/>
      <c r="KE1708" s="2060"/>
      <c r="KF1708" s="2060"/>
      <c r="KG1708" s="2060"/>
      <c r="KH1708" s="2060"/>
      <c r="KI1708" s="2060"/>
      <c r="KJ1708" s="2060"/>
      <c r="KK1708" s="2060"/>
      <c r="KL1708" s="2060"/>
      <c r="KM1708" s="2060"/>
      <c r="KN1708" s="2060"/>
      <c r="KO1708" s="2060"/>
      <c r="KP1708" s="2060"/>
      <c r="KQ1708" s="2060"/>
      <c r="KR1708" s="2060"/>
      <c r="KS1708" s="2060"/>
      <c r="KT1708" s="2060"/>
      <c r="KU1708" s="2060"/>
      <c r="KV1708" s="2060"/>
      <c r="KW1708" s="2060"/>
      <c r="KX1708" s="2060"/>
      <c r="KY1708" s="2060"/>
      <c r="KZ1708" s="2060"/>
      <c r="LA1708" s="2060"/>
      <c r="LB1708" s="2060"/>
      <c r="LC1708" s="2060"/>
      <c r="LD1708" s="2060"/>
      <c r="LE1708" s="2060"/>
      <c r="LF1708" s="2060"/>
      <c r="LG1708" s="2060"/>
      <c r="LH1708" s="2060"/>
    </row>
    <row r="1709" spans="1:320" s="449" customFormat="1" ht="13.9">
      <c r="A1709" s="269" t="str">
        <f t="shared" si="473"/>
        <v>n</v>
      </c>
      <c r="B1709" s="2060"/>
      <c r="C1709" s="2060"/>
      <c r="D1709" s="2060"/>
      <c r="E1709" s="1661">
        <v>6</v>
      </c>
      <c r="F1709" s="1353" t="str">
        <f>F$134</f>
        <v>--</v>
      </c>
      <c r="G1709" s="128">
        <f>G$134</f>
        <v>0</v>
      </c>
      <c r="H1709" s="128" t="str">
        <f>H$134</f>
        <v>--</v>
      </c>
      <c r="I1709" s="89" t="s">
        <v>774</v>
      </c>
      <c r="J1709" s="2197" t="str">
        <f>IF($G1709=0,"",_xll.ciqfunctions.udf.CIQ($G1709,$I1709,J1565,$H1709,FXMode)*Scale)</f>
        <v/>
      </c>
      <c r="K1709" s="2197" t="str">
        <f>IF($G1709=0,"",_xll.ciqfunctions.udf.CIQ($G1709,$I1709,K1565,$H1709,FXMode)*Scale)</f>
        <v/>
      </c>
      <c r="L1709" s="2197" t="str">
        <f>IF($G1709=0,"",_xll.ciqfunctions.udf.CIQ($G1709,$I1709,L1565,$H1709,FXMode)*Scale)</f>
        <v/>
      </c>
      <c r="M1709" s="2197" t="str">
        <f>IF($G1709=0,"",_xll.ciqfunctions.udf.CIQ($G1709,$I1709,M1565,$H1709,FXMode)*Scale)</f>
        <v/>
      </c>
      <c r="N1709" s="2197" t="str">
        <f>IF($G1709=0,"",_xll.ciqfunctions.udf.CIQ($G1709,$I1709,N1565,$H1709,FXMode)*Scale)</f>
        <v/>
      </c>
      <c r="O1709" s="2197" t="str">
        <f>IF($G1709=0,"",_xll.ciqfunctions.udf.CIQ($G1709,$I1709,O1565,$H1709,FXMode)*Scale)</f>
        <v/>
      </c>
      <c r="P1709" s="2197" t="str">
        <f>IF($G1709=0,"",_xll.ciqfunctions.udf.CIQ($G1709,$I1709,P1565,$H1709,FXMode)*Scale)</f>
        <v/>
      </c>
      <c r="Q1709" s="2197" t="str">
        <f>IF($G1709=0,"",_xll.ciqfunctions.udf.CIQ($G1709,$I1709,Q1565,$H1709,FXMode)*Scale)</f>
        <v/>
      </c>
      <c r="R1709" s="2197" t="str">
        <f>IF($G1709=0,"",_xll.ciqfunctions.udf.CIQ($G1709,$I1709,R1565,$H1709,FXMode)*Scale)</f>
        <v/>
      </c>
      <c r="S1709" s="2197" t="str">
        <f>IF($G1709=0,"",_xll.ciqfunctions.udf.CIQ($G1709,$I1709,S1565,$H1709,FXMode)*Scale)</f>
        <v/>
      </c>
      <c r="T1709" s="2197" t="str">
        <f>IF($G1709=0,"",_xll.ciqfunctions.udf.CIQ($G1709,$I1709,T1565,$H1709,FXMode)*Scale)</f>
        <v/>
      </c>
      <c r="U1709" s="2197" t="str">
        <f>IF($G1709=0,"",_xll.ciqfunctions.udf.CIQ($G1709,$I1709,U1565,$H1709,FXMode)*Scale)</f>
        <v/>
      </c>
      <c r="V1709" s="2197" t="str">
        <f>IF($G1709=0,"",_xll.ciqfunctions.udf.CIQ($G1709,$I1709,V1565,$H1709,FXMode)*Scale)</f>
        <v/>
      </c>
      <c r="W1709" s="1479"/>
      <c r="X1709" s="255"/>
      <c r="Y1709" s="89"/>
      <c r="Z1709" s="2060"/>
      <c r="AA1709" s="2060"/>
      <c r="AB1709" s="2060"/>
      <c r="AC1709" s="2060"/>
      <c r="AD1709" s="2060"/>
      <c r="AE1709" s="2060"/>
      <c r="AF1709" s="2060"/>
      <c r="AG1709" s="2060"/>
      <c r="AH1709" s="2060"/>
      <c r="AI1709" s="2060"/>
      <c r="AJ1709" s="2060"/>
      <c r="AK1709" s="2060"/>
      <c r="AL1709" s="2060"/>
      <c r="AM1709" s="2060"/>
      <c r="AN1709" s="2060"/>
      <c r="AO1709" s="2060"/>
      <c r="AP1709" s="2060"/>
      <c r="AQ1709" s="2060"/>
      <c r="AR1709" s="2060"/>
      <c r="AS1709" s="2060"/>
      <c r="AT1709" s="2060"/>
      <c r="AU1709" s="2060"/>
      <c r="AV1709" s="2060"/>
      <c r="AW1709" s="2060"/>
      <c r="AX1709" s="2060"/>
      <c r="AY1709" s="2060"/>
      <c r="AZ1709" s="2060"/>
      <c r="BA1709" s="2060"/>
      <c r="BB1709" s="2060"/>
      <c r="BC1709" s="2060"/>
      <c r="BD1709" s="2060"/>
      <c r="BE1709" s="2060"/>
      <c r="BF1709" s="2060"/>
      <c r="BG1709" s="2060"/>
      <c r="BH1709" s="2060"/>
      <c r="BI1709" s="2060"/>
      <c r="BJ1709" s="2060"/>
      <c r="BK1709" s="2060"/>
      <c r="BL1709" s="2060"/>
      <c r="BM1709" s="2060"/>
      <c r="BN1709" s="2060"/>
      <c r="BO1709" s="2060"/>
      <c r="BP1709" s="2060"/>
      <c r="BQ1709" s="2060"/>
      <c r="BR1709" s="2060"/>
      <c r="BS1709" s="2060"/>
      <c r="BT1709" s="2060"/>
      <c r="BU1709" s="2060"/>
      <c r="BV1709" s="2060"/>
      <c r="BW1709" s="2060"/>
      <c r="BX1709" s="2060"/>
      <c r="BY1709" s="2060"/>
      <c r="BZ1709" s="2060"/>
      <c r="CA1709" s="2060"/>
      <c r="CB1709" s="2060"/>
      <c r="CC1709" s="2060"/>
      <c r="CD1709" s="2060"/>
      <c r="CE1709" s="2060"/>
      <c r="CF1709" s="2060"/>
      <c r="CG1709" s="2060"/>
      <c r="CH1709" s="2060"/>
      <c r="CI1709" s="2060"/>
      <c r="CJ1709" s="2060"/>
      <c r="CK1709" s="2060"/>
      <c r="CL1709" s="2060"/>
      <c r="CM1709" s="2060"/>
      <c r="CN1709" s="2060"/>
      <c r="CO1709" s="2060"/>
      <c r="CP1709" s="2060"/>
      <c r="CQ1709" s="2060"/>
      <c r="CR1709" s="2060"/>
      <c r="CS1709" s="2060"/>
      <c r="CT1709" s="2060"/>
      <c r="CU1709" s="2060"/>
      <c r="CV1709" s="2060"/>
      <c r="CW1709" s="2060"/>
      <c r="CX1709" s="2060"/>
      <c r="CY1709" s="2060"/>
      <c r="CZ1709" s="2060"/>
      <c r="DA1709" s="2060"/>
      <c r="DB1709" s="2060"/>
      <c r="DC1709" s="2060"/>
      <c r="DD1709" s="2060"/>
      <c r="DE1709" s="2060"/>
      <c r="DF1709" s="2060"/>
      <c r="DG1709" s="2060"/>
      <c r="DH1709" s="2060"/>
      <c r="DI1709" s="2060"/>
      <c r="DJ1709" s="2060"/>
      <c r="DK1709" s="2060"/>
      <c r="DL1709" s="2060"/>
      <c r="DM1709" s="2060"/>
      <c r="DN1709" s="2060"/>
      <c r="DO1709" s="2060"/>
      <c r="DP1709" s="2060"/>
      <c r="DQ1709" s="2060"/>
      <c r="DR1709" s="2060"/>
      <c r="DS1709" s="2060"/>
      <c r="DT1709" s="2060"/>
      <c r="DU1709" s="2060"/>
      <c r="DV1709" s="2060"/>
      <c r="DW1709" s="2060"/>
      <c r="DX1709" s="2060"/>
      <c r="DY1709" s="2060"/>
      <c r="DZ1709" s="2060"/>
      <c r="EA1709" s="2060"/>
      <c r="EB1709" s="2060"/>
      <c r="EC1709" s="2060"/>
      <c r="ED1709" s="2060"/>
      <c r="EE1709" s="2060"/>
      <c r="EF1709" s="2060"/>
      <c r="EG1709" s="2060"/>
      <c r="EH1709" s="2060"/>
      <c r="EI1709" s="2060"/>
      <c r="EJ1709" s="2060"/>
      <c r="EK1709" s="2060"/>
      <c r="EL1709" s="2060"/>
      <c r="EM1709" s="2060"/>
      <c r="EN1709" s="2060"/>
      <c r="EO1709" s="2060"/>
      <c r="EP1709" s="2060"/>
      <c r="EQ1709" s="2060"/>
      <c r="ER1709" s="2060"/>
      <c r="ES1709" s="2060"/>
      <c r="ET1709" s="2060"/>
      <c r="EU1709" s="2060"/>
      <c r="EV1709" s="2060"/>
      <c r="EW1709" s="2060"/>
      <c r="EX1709" s="2060"/>
      <c r="EY1709" s="2060"/>
      <c r="EZ1709" s="2060"/>
      <c r="FA1709" s="2060"/>
      <c r="FB1709" s="2060"/>
      <c r="FC1709" s="2060"/>
      <c r="FD1709" s="2060"/>
      <c r="FE1709" s="2060"/>
      <c r="FF1709" s="2060"/>
      <c r="FG1709" s="2060"/>
      <c r="FH1709" s="2060"/>
      <c r="FI1709" s="2060"/>
      <c r="FJ1709" s="2060"/>
      <c r="FK1709" s="2060"/>
      <c r="FL1709" s="2060"/>
      <c r="FM1709" s="2060"/>
      <c r="FN1709" s="2060"/>
      <c r="FO1709" s="2060"/>
      <c r="FP1709" s="2060"/>
      <c r="FQ1709" s="2060"/>
      <c r="FR1709" s="2060"/>
      <c r="FS1709" s="2060"/>
      <c r="FT1709" s="2060"/>
      <c r="FU1709" s="2060"/>
      <c r="FV1709" s="2060"/>
      <c r="FW1709" s="2060"/>
      <c r="FX1709" s="2060"/>
      <c r="FY1709" s="2060"/>
      <c r="FZ1709" s="2060"/>
      <c r="GA1709" s="2060"/>
      <c r="GB1709" s="2060"/>
      <c r="GC1709" s="2060"/>
      <c r="GD1709" s="2060"/>
      <c r="GE1709" s="2060"/>
      <c r="GF1709" s="2060"/>
      <c r="GG1709" s="2060"/>
      <c r="GH1709" s="2060"/>
      <c r="GI1709" s="2060"/>
      <c r="GJ1709" s="2060"/>
      <c r="GK1709" s="2060"/>
      <c r="GL1709" s="2060"/>
      <c r="GM1709" s="2060"/>
      <c r="GN1709" s="2060"/>
      <c r="GO1709" s="2060"/>
      <c r="GP1709" s="2060"/>
      <c r="GQ1709" s="2060"/>
      <c r="GR1709" s="2060"/>
      <c r="GS1709" s="2060"/>
      <c r="GT1709" s="2060"/>
      <c r="GU1709" s="2060"/>
      <c r="GV1709" s="2060"/>
      <c r="GW1709" s="2060"/>
      <c r="GX1709" s="2060"/>
      <c r="GY1709" s="2060"/>
      <c r="GZ1709" s="2060"/>
      <c r="HA1709" s="2060"/>
      <c r="HB1709" s="2060"/>
      <c r="HC1709" s="2060"/>
      <c r="HD1709" s="2060"/>
      <c r="HE1709" s="2060"/>
      <c r="HF1709" s="2060"/>
      <c r="HG1709" s="2060"/>
      <c r="HH1709" s="2060"/>
      <c r="HI1709" s="2060"/>
      <c r="HJ1709" s="2060"/>
      <c r="HK1709" s="2060"/>
      <c r="HL1709" s="2060"/>
      <c r="HM1709" s="2060"/>
      <c r="HN1709" s="2060"/>
      <c r="HO1709" s="2060"/>
      <c r="HP1709" s="2060"/>
      <c r="HQ1709" s="2060"/>
      <c r="HR1709" s="2060"/>
      <c r="HS1709" s="2060"/>
      <c r="HT1709" s="2060"/>
      <c r="HU1709" s="2060"/>
      <c r="HV1709" s="2060"/>
      <c r="HW1709" s="2060"/>
      <c r="HX1709" s="2060"/>
      <c r="HY1709" s="2060"/>
      <c r="HZ1709" s="2060"/>
      <c r="IA1709" s="2060"/>
      <c r="IB1709" s="2060"/>
      <c r="IC1709" s="2060"/>
      <c r="ID1709" s="2060"/>
      <c r="IE1709" s="2060"/>
      <c r="IF1709" s="2060"/>
      <c r="IG1709" s="2060"/>
      <c r="IH1709" s="2060"/>
      <c r="II1709" s="2060"/>
      <c r="IJ1709" s="2060"/>
      <c r="IK1709" s="2060"/>
      <c r="IL1709" s="2060"/>
      <c r="IM1709" s="2060"/>
      <c r="IN1709" s="2060"/>
      <c r="IO1709" s="2060"/>
      <c r="IP1709" s="2060"/>
      <c r="IQ1709" s="2060"/>
      <c r="IR1709" s="2060"/>
      <c r="IS1709" s="2060"/>
      <c r="IT1709" s="2060"/>
      <c r="IU1709" s="2060"/>
      <c r="IV1709" s="2060"/>
      <c r="IW1709" s="2060"/>
      <c r="IX1709" s="2060"/>
      <c r="IY1709" s="2060"/>
      <c r="IZ1709" s="2060"/>
      <c r="JA1709" s="2060"/>
      <c r="JB1709" s="2060"/>
      <c r="JC1709" s="2060"/>
      <c r="JD1709" s="2060"/>
      <c r="JE1709" s="2060"/>
      <c r="JF1709" s="2060"/>
      <c r="JG1709" s="2060"/>
      <c r="JH1709" s="2060"/>
      <c r="JI1709" s="2060"/>
      <c r="JJ1709" s="2060"/>
      <c r="JK1709" s="2060"/>
      <c r="JL1709" s="2060"/>
      <c r="JM1709" s="2060"/>
      <c r="JN1709" s="2060"/>
      <c r="JO1709" s="2060"/>
      <c r="JP1709" s="2060"/>
      <c r="JQ1709" s="2060"/>
      <c r="JR1709" s="2060"/>
      <c r="JS1709" s="2060"/>
      <c r="JT1709" s="2060"/>
      <c r="JU1709" s="2060"/>
      <c r="JV1709" s="2060"/>
      <c r="JW1709" s="2060"/>
      <c r="JX1709" s="2060"/>
      <c r="JY1709" s="2060"/>
      <c r="JZ1709" s="2060"/>
      <c r="KA1709" s="2060"/>
      <c r="KB1709" s="2060"/>
      <c r="KC1709" s="2060"/>
      <c r="KD1709" s="2060"/>
      <c r="KE1709" s="2060"/>
      <c r="KF1709" s="2060"/>
      <c r="KG1709" s="2060"/>
      <c r="KH1709" s="2060"/>
      <c r="KI1709" s="2060"/>
      <c r="KJ1709" s="2060"/>
      <c r="KK1709" s="2060"/>
      <c r="KL1709" s="2060"/>
      <c r="KM1709" s="2060"/>
      <c r="KN1709" s="2060"/>
      <c r="KO1709" s="2060"/>
      <c r="KP1709" s="2060"/>
      <c r="KQ1709" s="2060"/>
      <c r="KR1709" s="2060"/>
      <c r="KS1709" s="2060"/>
      <c r="KT1709" s="2060"/>
      <c r="KU1709" s="2060"/>
      <c r="KV1709" s="2060"/>
      <c r="KW1709" s="2060"/>
      <c r="KX1709" s="2060"/>
      <c r="KY1709" s="2060"/>
      <c r="KZ1709" s="2060"/>
      <c r="LA1709" s="2060"/>
      <c r="LB1709" s="2060"/>
      <c r="LC1709" s="2060"/>
      <c r="LD1709" s="2060"/>
      <c r="LE1709" s="2060"/>
      <c r="LF1709" s="2060"/>
      <c r="LG1709" s="2060"/>
      <c r="LH1709" s="2060"/>
    </row>
    <row r="1710" spans="1:320" s="449" customFormat="1" ht="13.9">
      <c r="A1710" s="269" t="str">
        <f t="shared" si="473"/>
        <v>n</v>
      </c>
      <c r="B1710" s="2060"/>
      <c r="C1710" s="2060"/>
      <c r="D1710" s="2060"/>
      <c r="E1710" s="1661">
        <v>7</v>
      </c>
      <c r="F1710" s="1353" t="str">
        <f>F$135</f>
        <v>--</v>
      </c>
      <c r="G1710" s="128">
        <f>G$135</f>
        <v>0</v>
      </c>
      <c r="H1710" s="128" t="str">
        <f>H$135</f>
        <v>--</v>
      </c>
      <c r="I1710" s="89" t="s">
        <v>774</v>
      </c>
      <c r="J1710" s="2197" t="str">
        <f>IF($G1710=0,"",_xll.ciqfunctions.udf.CIQ($G1710,$I1710,J1566,$H1710,FXMode)*Scale)</f>
        <v/>
      </c>
      <c r="K1710" s="2197" t="str">
        <f>IF($G1710=0,"",_xll.ciqfunctions.udf.CIQ($G1710,$I1710,K1566,$H1710,FXMode)*Scale)</f>
        <v/>
      </c>
      <c r="L1710" s="2197" t="str">
        <f>IF($G1710=0,"",_xll.ciqfunctions.udf.CIQ($G1710,$I1710,L1566,$H1710,FXMode)*Scale)</f>
        <v/>
      </c>
      <c r="M1710" s="2197" t="str">
        <f>IF($G1710=0,"",_xll.ciqfunctions.udf.CIQ($G1710,$I1710,M1566,$H1710,FXMode)*Scale)</f>
        <v/>
      </c>
      <c r="N1710" s="2197" t="str">
        <f>IF($G1710=0,"",_xll.ciqfunctions.udf.CIQ($G1710,$I1710,N1566,$H1710,FXMode)*Scale)</f>
        <v/>
      </c>
      <c r="O1710" s="2197" t="str">
        <f>IF($G1710=0,"",_xll.ciqfunctions.udf.CIQ($G1710,$I1710,O1566,$H1710,FXMode)*Scale)</f>
        <v/>
      </c>
      <c r="P1710" s="2197" t="str">
        <f>IF($G1710=0,"",_xll.ciqfunctions.udf.CIQ($G1710,$I1710,P1566,$H1710,FXMode)*Scale)</f>
        <v/>
      </c>
      <c r="Q1710" s="2197" t="str">
        <f>IF($G1710=0,"",_xll.ciqfunctions.udf.CIQ($G1710,$I1710,Q1566,$H1710,FXMode)*Scale)</f>
        <v/>
      </c>
      <c r="R1710" s="2197" t="str">
        <f>IF($G1710=0,"",_xll.ciqfunctions.udf.CIQ($G1710,$I1710,R1566,$H1710,FXMode)*Scale)</f>
        <v/>
      </c>
      <c r="S1710" s="2197" t="str">
        <f>IF($G1710=0,"",_xll.ciqfunctions.udf.CIQ($G1710,$I1710,S1566,$H1710,FXMode)*Scale)</f>
        <v/>
      </c>
      <c r="T1710" s="2197" t="str">
        <f>IF($G1710=0,"",_xll.ciqfunctions.udf.CIQ($G1710,$I1710,T1566,$H1710,FXMode)*Scale)</f>
        <v/>
      </c>
      <c r="U1710" s="2197" t="str">
        <f>IF($G1710=0,"",_xll.ciqfunctions.udf.CIQ($G1710,$I1710,U1566,$H1710,FXMode)*Scale)</f>
        <v/>
      </c>
      <c r="V1710" s="2197" t="str">
        <f>IF($G1710=0,"",_xll.ciqfunctions.udf.CIQ($G1710,$I1710,V1566,$H1710,FXMode)*Scale)</f>
        <v/>
      </c>
      <c r="W1710" s="1479"/>
      <c r="X1710" s="255"/>
      <c r="Y1710" s="89"/>
      <c r="Z1710" s="2060"/>
      <c r="AA1710" s="2060"/>
      <c r="AB1710" s="2060"/>
      <c r="AC1710" s="2060"/>
      <c r="AD1710" s="2060"/>
      <c r="AE1710" s="2060"/>
      <c r="AF1710" s="2060"/>
      <c r="AG1710" s="2060"/>
      <c r="AH1710" s="2060"/>
      <c r="AI1710" s="2060"/>
      <c r="AJ1710" s="2060"/>
      <c r="AK1710" s="2060"/>
      <c r="AL1710" s="2060"/>
      <c r="AM1710" s="2060"/>
      <c r="AN1710" s="2060"/>
      <c r="AO1710" s="2060"/>
      <c r="AP1710" s="2060"/>
      <c r="AQ1710" s="2060"/>
      <c r="AR1710" s="2060"/>
      <c r="AS1710" s="2060"/>
      <c r="AT1710" s="2060"/>
      <c r="AU1710" s="2060"/>
      <c r="AV1710" s="2060"/>
      <c r="AW1710" s="2060"/>
      <c r="AX1710" s="2060"/>
      <c r="AY1710" s="2060"/>
      <c r="AZ1710" s="2060"/>
      <c r="BA1710" s="2060"/>
      <c r="BB1710" s="2060"/>
      <c r="BC1710" s="2060"/>
      <c r="BD1710" s="2060"/>
      <c r="BE1710" s="2060"/>
      <c r="BF1710" s="2060"/>
      <c r="BG1710" s="2060"/>
      <c r="BH1710" s="2060"/>
      <c r="BI1710" s="2060"/>
      <c r="BJ1710" s="2060"/>
      <c r="BK1710" s="2060"/>
      <c r="BL1710" s="2060"/>
      <c r="BM1710" s="2060"/>
      <c r="BN1710" s="2060"/>
      <c r="BO1710" s="2060"/>
      <c r="BP1710" s="2060"/>
      <c r="BQ1710" s="2060"/>
      <c r="BR1710" s="2060"/>
      <c r="BS1710" s="2060"/>
      <c r="BT1710" s="2060"/>
      <c r="BU1710" s="2060"/>
      <c r="BV1710" s="2060"/>
      <c r="BW1710" s="2060"/>
      <c r="BX1710" s="2060"/>
      <c r="BY1710" s="2060"/>
      <c r="BZ1710" s="2060"/>
      <c r="CA1710" s="2060"/>
      <c r="CB1710" s="2060"/>
      <c r="CC1710" s="2060"/>
      <c r="CD1710" s="2060"/>
      <c r="CE1710" s="2060"/>
      <c r="CF1710" s="2060"/>
      <c r="CG1710" s="2060"/>
      <c r="CH1710" s="2060"/>
      <c r="CI1710" s="2060"/>
      <c r="CJ1710" s="2060"/>
      <c r="CK1710" s="2060"/>
      <c r="CL1710" s="2060"/>
      <c r="CM1710" s="2060"/>
      <c r="CN1710" s="2060"/>
      <c r="CO1710" s="2060"/>
      <c r="CP1710" s="2060"/>
      <c r="CQ1710" s="2060"/>
      <c r="CR1710" s="2060"/>
      <c r="CS1710" s="2060"/>
      <c r="CT1710" s="2060"/>
      <c r="CU1710" s="2060"/>
      <c r="CV1710" s="2060"/>
      <c r="CW1710" s="2060"/>
      <c r="CX1710" s="2060"/>
      <c r="CY1710" s="2060"/>
      <c r="CZ1710" s="2060"/>
      <c r="DA1710" s="2060"/>
      <c r="DB1710" s="2060"/>
      <c r="DC1710" s="2060"/>
      <c r="DD1710" s="2060"/>
      <c r="DE1710" s="2060"/>
      <c r="DF1710" s="2060"/>
      <c r="DG1710" s="2060"/>
      <c r="DH1710" s="2060"/>
      <c r="DI1710" s="2060"/>
      <c r="DJ1710" s="2060"/>
      <c r="DK1710" s="2060"/>
      <c r="DL1710" s="2060"/>
      <c r="DM1710" s="2060"/>
      <c r="DN1710" s="2060"/>
      <c r="DO1710" s="2060"/>
      <c r="DP1710" s="2060"/>
      <c r="DQ1710" s="2060"/>
      <c r="DR1710" s="2060"/>
      <c r="DS1710" s="2060"/>
      <c r="DT1710" s="2060"/>
      <c r="DU1710" s="2060"/>
      <c r="DV1710" s="2060"/>
      <c r="DW1710" s="2060"/>
      <c r="DX1710" s="2060"/>
      <c r="DY1710" s="2060"/>
      <c r="DZ1710" s="2060"/>
      <c r="EA1710" s="2060"/>
      <c r="EB1710" s="2060"/>
      <c r="EC1710" s="2060"/>
      <c r="ED1710" s="2060"/>
      <c r="EE1710" s="2060"/>
      <c r="EF1710" s="2060"/>
      <c r="EG1710" s="2060"/>
      <c r="EH1710" s="2060"/>
      <c r="EI1710" s="2060"/>
      <c r="EJ1710" s="2060"/>
      <c r="EK1710" s="2060"/>
      <c r="EL1710" s="2060"/>
      <c r="EM1710" s="2060"/>
      <c r="EN1710" s="2060"/>
      <c r="EO1710" s="2060"/>
      <c r="EP1710" s="2060"/>
      <c r="EQ1710" s="2060"/>
      <c r="ER1710" s="2060"/>
      <c r="ES1710" s="2060"/>
      <c r="ET1710" s="2060"/>
      <c r="EU1710" s="2060"/>
      <c r="EV1710" s="2060"/>
      <c r="EW1710" s="2060"/>
      <c r="EX1710" s="2060"/>
      <c r="EY1710" s="2060"/>
      <c r="EZ1710" s="2060"/>
      <c r="FA1710" s="2060"/>
      <c r="FB1710" s="2060"/>
      <c r="FC1710" s="2060"/>
      <c r="FD1710" s="2060"/>
      <c r="FE1710" s="2060"/>
      <c r="FF1710" s="2060"/>
      <c r="FG1710" s="2060"/>
      <c r="FH1710" s="2060"/>
      <c r="FI1710" s="2060"/>
      <c r="FJ1710" s="2060"/>
      <c r="FK1710" s="2060"/>
      <c r="FL1710" s="2060"/>
      <c r="FM1710" s="2060"/>
      <c r="FN1710" s="2060"/>
      <c r="FO1710" s="2060"/>
      <c r="FP1710" s="2060"/>
      <c r="FQ1710" s="2060"/>
      <c r="FR1710" s="2060"/>
      <c r="FS1710" s="2060"/>
      <c r="FT1710" s="2060"/>
      <c r="FU1710" s="2060"/>
      <c r="FV1710" s="2060"/>
      <c r="FW1710" s="2060"/>
      <c r="FX1710" s="2060"/>
      <c r="FY1710" s="2060"/>
      <c r="FZ1710" s="2060"/>
      <c r="GA1710" s="2060"/>
      <c r="GB1710" s="2060"/>
      <c r="GC1710" s="2060"/>
      <c r="GD1710" s="2060"/>
      <c r="GE1710" s="2060"/>
      <c r="GF1710" s="2060"/>
      <c r="GG1710" s="2060"/>
      <c r="GH1710" s="2060"/>
      <c r="GI1710" s="2060"/>
      <c r="GJ1710" s="2060"/>
      <c r="GK1710" s="2060"/>
      <c r="GL1710" s="2060"/>
      <c r="GM1710" s="2060"/>
      <c r="GN1710" s="2060"/>
      <c r="GO1710" s="2060"/>
      <c r="GP1710" s="2060"/>
      <c r="GQ1710" s="2060"/>
      <c r="GR1710" s="2060"/>
      <c r="GS1710" s="2060"/>
      <c r="GT1710" s="2060"/>
      <c r="GU1710" s="2060"/>
      <c r="GV1710" s="2060"/>
      <c r="GW1710" s="2060"/>
      <c r="GX1710" s="2060"/>
      <c r="GY1710" s="2060"/>
      <c r="GZ1710" s="2060"/>
      <c r="HA1710" s="2060"/>
      <c r="HB1710" s="2060"/>
      <c r="HC1710" s="2060"/>
      <c r="HD1710" s="2060"/>
      <c r="HE1710" s="2060"/>
      <c r="HF1710" s="2060"/>
      <c r="HG1710" s="2060"/>
      <c r="HH1710" s="2060"/>
      <c r="HI1710" s="2060"/>
      <c r="HJ1710" s="2060"/>
      <c r="HK1710" s="2060"/>
      <c r="HL1710" s="2060"/>
      <c r="HM1710" s="2060"/>
      <c r="HN1710" s="2060"/>
      <c r="HO1710" s="2060"/>
      <c r="HP1710" s="2060"/>
      <c r="HQ1710" s="2060"/>
      <c r="HR1710" s="2060"/>
      <c r="HS1710" s="2060"/>
      <c r="HT1710" s="2060"/>
      <c r="HU1710" s="2060"/>
      <c r="HV1710" s="2060"/>
      <c r="HW1710" s="2060"/>
      <c r="HX1710" s="2060"/>
      <c r="HY1710" s="2060"/>
      <c r="HZ1710" s="2060"/>
      <c r="IA1710" s="2060"/>
      <c r="IB1710" s="2060"/>
      <c r="IC1710" s="2060"/>
      <c r="ID1710" s="2060"/>
      <c r="IE1710" s="2060"/>
      <c r="IF1710" s="2060"/>
      <c r="IG1710" s="2060"/>
      <c r="IH1710" s="2060"/>
      <c r="II1710" s="2060"/>
      <c r="IJ1710" s="2060"/>
      <c r="IK1710" s="2060"/>
      <c r="IL1710" s="2060"/>
      <c r="IM1710" s="2060"/>
      <c r="IN1710" s="2060"/>
      <c r="IO1710" s="2060"/>
      <c r="IP1710" s="2060"/>
      <c r="IQ1710" s="2060"/>
      <c r="IR1710" s="2060"/>
      <c r="IS1710" s="2060"/>
      <c r="IT1710" s="2060"/>
      <c r="IU1710" s="2060"/>
      <c r="IV1710" s="2060"/>
      <c r="IW1710" s="2060"/>
      <c r="IX1710" s="2060"/>
      <c r="IY1710" s="2060"/>
      <c r="IZ1710" s="2060"/>
      <c r="JA1710" s="2060"/>
      <c r="JB1710" s="2060"/>
      <c r="JC1710" s="2060"/>
      <c r="JD1710" s="2060"/>
      <c r="JE1710" s="2060"/>
      <c r="JF1710" s="2060"/>
      <c r="JG1710" s="2060"/>
      <c r="JH1710" s="2060"/>
      <c r="JI1710" s="2060"/>
      <c r="JJ1710" s="2060"/>
      <c r="JK1710" s="2060"/>
      <c r="JL1710" s="2060"/>
      <c r="JM1710" s="2060"/>
      <c r="JN1710" s="2060"/>
      <c r="JO1710" s="2060"/>
      <c r="JP1710" s="2060"/>
      <c r="JQ1710" s="2060"/>
      <c r="JR1710" s="2060"/>
      <c r="JS1710" s="2060"/>
      <c r="JT1710" s="2060"/>
      <c r="JU1710" s="2060"/>
      <c r="JV1710" s="2060"/>
      <c r="JW1710" s="2060"/>
      <c r="JX1710" s="2060"/>
      <c r="JY1710" s="2060"/>
      <c r="JZ1710" s="2060"/>
      <c r="KA1710" s="2060"/>
      <c r="KB1710" s="2060"/>
      <c r="KC1710" s="2060"/>
      <c r="KD1710" s="2060"/>
      <c r="KE1710" s="2060"/>
      <c r="KF1710" s="2060"/>
      <c r="KG1710" s="2060"/>
      <c r="KH1710" s="2060"/>
      <c r="KI1710" s="2060"/>
      <c r="KJ1710" s="2060"/>
      <c r="KK1710" s="2060"/>
      <c r="KL1710" s="2060"/>
      <c r="KM1710" s="2060"/>
      <c r="KN1710" s="2060"/>
      <c r="KO1710" s="2060"/>
      <c r="KP1710" s="2060"/>
      <c r="KQ1710" s="2060"/>
      <c r="KR1710" s="2060"/>
      <c r="KS1710" s="2060"/>
      <c r="KT1710" s="2060"/>
      <c r="KU1710" s="2060"/>
      <c r="KV1710" s="2060"/>
      <c r="KW1710" s="2060"/>
      <c r="KX1710" s="2060"/>
      <c r="KY1710" s="2060"/>
      <c r="KZ1710" s="2060"/>
      <c r="LA1710" s="2060"/>
      <c r="LB1710" s="2060"/>
      <c r="LC1710" s="2060"/>
      <c r="LD1710" s="2060"/>
      <c r="LE1710" s="2060"/>
      <c r="LF1710" s="2060"/>
      <c r="LG1710" s="2060"/>
      <c r="LH1710" s="2060"/>
    </row>
    <row r="1711" spans="1:320" s="449" customFormat="1" ht="13.9">
      <c r="A1711" s="269" t="str">
        <f t="shared" si="473"/>
        <v>n</v>
      </c>
      <c r="B1711" s="2060"/>
      <c r="C1711" s="2060"/>
      <c r="D1711" s="2060"/>
      <c r="E1711" s="1661">
        <v>8</v>
      </c>
      <c r="F1711" s="1353" t="str">
        <f>F$136</f>
        <v>--</v>
      </c>
      <c r="G1711" s="128">
        <f>G$136</f>
        <v>0</v>
      </c>
      <c r="H1711" s="128" t="str">
        <f>H$136</f>
        <v>--</v>
      </c>
      <c r="I1711" s="89" t="s">
        <v>774</v>
      </c>
      <c r="J1711" s="2197" t="str">
        <f>IF($G1711=0,"",_xll.ciqfunctions.udf.CIQ($G1711,$I1711,J1567,$H1711,FXMode)*Scale)</f>
        <v/>
      </c>
      <c r="K1711" s="2197" t="str">
        <f>IF($G1711=0,"",_xll.ciqfunctions.udf.CIQ($G1711,$I1711,K1567,$H1711,FXMode)*Scale)</f>
        <v/>
      </c>
      <c r="L1711" s="2197" t="str">
        <f>IF($G1711=0,"",_xll.ciqfunctions.udf.CIQ($G1711,$I1711,L1567,$H1711,FXMode)*Scale)</f>
        <v/>
      </c>
      <c r="M1711" s="2197" t="str">
        <f>IF($G1711=0,"",_xll.ciqfunctions.udf.CIQ($G1711,$I1711,M1567,$H1711,FXMode)*Scale)</f>
        <v/>
      </c>
      <c r="N1711" s="2197" t="str">
        <f>IF($G1711=0,"",_xll.ciqfunctions.udf.CIQ($G1711,$I1711,N1567,$H1711,FXMode)*Scale)</f>
        <v/>
      </c>
      <c r="O1711" s="2197" t="str">
        <f>IF($G1711=0,"",_xll.ciqfunctions.udf.CIQ($G1711,$I1711,O1567,$H1711,FXMode)*Scale)</f>
        <v/>
      </c>
      <c r="P1711" s="2197" t="str">
        <f>IF($G1711=0,"",_xll.ciqfunctions.udf.CIQ($G1711,$I1711,P1567,$H1711,FXMode)*Scale)</f>
        <v/>
      </c>
      <c r="Q1711" s="2197" t="str">
        <f>IF($G1711=0,"",_xll.ciqfunctions.udf.CIQ($G1711,$I1711,Q1567,$H1711,FXMode)*Scale)</f>
        <v/>
      </c>
      <c r="R1711" s="2197" t="str">
        <f>IF($G1711=0,"",_xll.ciqfunctions.udf.CIQ($G1711,$I1711,R1567,$H1711,FXMode)*Scale)</f>
        <v/>
      </c>
      <c r="S1711" s="2197" t="str">
        <f>IF($G1711=0,"",_xll.ciqfunctions.udf.CIQ($G1711,$I1711,S1567,$H1711,FXMode)*Scale)</f>
        <v/>
      </c>
      <c r="T1711" s="2197" t="str">
        <f>IF($G1711=0,"",_xll.ciqfunctions.udf.CIQ($G1711,$I1711,T1567,$H1711,FXMode)*Scale)</f>
        <v/>
      </c>
      <c r="U1711" s="2197" t="str">
        <f>IF($G1711=0,"",_xll.ciqfunctions.udf.CIQ($G1711,$I1711,U1567,$H1711,FXMode)*Scale)</f>
        <v/>
      </c>
      <c r="V1711" s="2197" t="str">
        <f>IF($G1711=0,"",_xll.ciqfunctions.udf.CIQ($G1711,$I1711,V1567,$H1711,FXMode)*Scale)</f>
        <v/>
      </c>
      <c r="W1711" s="1479"/>
      <c r="X1711" s="255"/>
      <c r="Y1711" s="89"/>
      <c r="Z1711" s="2060"/>
      <c r="AA1711" s="2060"/>
      <c r="AB1711" s="2060"/>
      <c r="AC1711" s="2060"/>
      <c r="AD1711" s="2060"/>
      <c r="AE1711" s="2060"/>
      <c r="AF1711" s="2060"/>
      <c r="AG1711" s="2060"/>
      <c r="AH1711" s="2060"/>
      <c r="AI1711" s="2060"/>
      <c r="AJ1711" s="2060"/>
      <c r="AK1711" s="2060"/>
      <c r="AL1711" s="2060"/>
      <c r="AM1711" s="2060"/>
      <c r="AN1711" s="2060"/>
      <c r="AO1711" s="2060"/>
      <c r="AP1711" s="2060"/>
      <c r="AQ1711" s="2060"/>
      <c r="AR1711" s="2060"/>
      <c r="AS1711" s="2060"/>
      <c r="AT1711" s="2060"/>
      <c r="AU1711" s="2060"/>
      <c r="AV1711" s="2060"/>
      <c r="AW1711" s="2060"/>
      <c r="AX1711" s="2060"/>
      <c r="AY1711" s="2060"/>
      <c r="AZ1711" s="2060"/>
      <c r="BA1711" s="2060"/>
      <c r="BB1711" s="2060"/>
      <c r="BC1711" s="2060"/>
      <c r="BD1711" s="2060"/>
      <c r="BE1711" s="2060"/>
      <c r="BF1711" s="2060"/>
      <c r="BG1711" s="2060"/>
      <c r="BH1711" s="2060"/>
      <c r="BI1711" s="2060"/>
      <c r="BJ1711" s="2060"/>
      <c r="BK1711" s="2060"/>
      <c r="BL1711" s="2060"/>
      <c r="BM1711" s="2060"/>
      <c r="BN1711" s="2060"/>
      <c r="BO1711" s="2060"/>
      <c r="BP1711" s="2060"/>
      <c r="BQ1711" s="2060"/>
      <c r="BR1711" s="2060"/>
      <c r="BS1711" s="2060"/>
      <c r="BT1711" s="2060"/>
      <c r="BU1711" s="2060"/>
      <c r="BV1711" s="2060"/>
      <c r="BW1711" s="2060"/>
      <c r="BX1711" s="2060"/>
      <c r="BY1711" s="2060"/>
      <c r="BZ1711" s="2060"/>
      <c r="CA1711" s="2060"/>
      <c r="CB1711" s="2060"/>
      <c r="CC1711" s="2060"/>
      <c r="CD1711" s="2060"/>
      <c r="CE1711" s="2060"/>
      <c r="CF1711" s="2060"/>
      <c r="CG1711" s="2060"/>
      <c r="CH1711" s="2060"/>
      <c r="CI1711" s="2060"/>
      <c r="CJ1711" s="2060"/>
      <c r="CK1711" s="2060"/>
      <c r="CL1711" s="2060"/>
      <c r="CM1711" s="2060"/>
      <c r="CN1711" s="2060"/>
      <c r="CO1711" s="2060"/>
      <c r="CP1711" s="2060"/>
      <c r="CQ1711" s="2060"/>
      <c r="CR1711" s="2060"/>
      <c r="CS1711" s="2060"/>
      <c r="CT1711" s="2060"/>
      <c r="CU1711" s="2060"/>
      <c r="CV1711" s="2060"/>
      <c r="CW1711" s="2060"/>
      <c r="CX1711" s="2060"/>
      <c r="CY1711" s="2060"/>
      <c r="CZ1711" s="2060"/>
      <c r="DA1711" s="2060"/>
      <c r="DB1711" s="2060"/>
      <c r="DC1711" s="2060"/>
      <c r="DD1711" s="2060"/>
      <c r="DE1711" s="2060"/>
      <c r="DF1711" s="2060"/>
      <c r="DG1711" s="2060"/>
      <c r="DH1711" s="2060"/>
      <c r="DI1711" s="2060"/>
      <c r="DJ1711" s="2060"/>
      <c r="DK1711" s="2060"/>
      <c r="DL1711" s="2060"/>
      <c r="DM1711" s="2060"/>
      <c r="DN1711" s="2060"/>
      <c r="DO1711" s="2060"/>
      <c r="DP1711" s="2060"/>
      <c r="DQ1711" s="2060"/>
      <c r="DR1711" s="2060"/>
      <c r="DS1711" s="2060"/>
      <c r="DT1711" s="2060"/>
      <c r="DU1711" s="2060"/>
      <c r="DV1711" s="2060"/>
      <c r="DW1711" s="2060"/>
      <c r="DX1711" s="2060"/>
      <c r="DY1711" s="2060"/>
      <c r="DZ1711" s="2060"/>
      <c r="EA1711" s="2060"/>
      <c r="EB1711" s="2060"/>
      <c r="EC1711" s="2060"/>
      <c r="ED1711" s="2060"/>
      <c r="EE1711" s="2060"/>
      <c r="EF1711" s="2060"/>
      <c r="EG1711" s="2060"/>
      <c r="EH1711" s="2060"/>
      <c r="EI1711" s="2060"/>
      <c r="EJ1711" s="2060"/>
      <c r="EK1711" s="2060"/>
      <c r="EL1711" s="2060"/>
      <c r="EM1711" s="2060"/>
      <c r="EN1711" s="2060"/>
      <c r="EO1711" s="2060"/>
      <c r="EP1711" s="2060"/>
      <c r="EQ1711" s="2060"/>
      <c r="ER1711" s="2060"/>
      <c r="ES1711" s="2060"/>
      <c r="ET1711" s="2060"/>
      <c r="EU1711" s="2060"/>
      <c r="EV1711" s="2060"/>
      <c r="EW1711" s="2060"/>
      <c r="EX1711" s="2060"/>
      <c r="EY1711" s="2060"/>
      <c r="EZ1711" s="2060"/>
      <c r="FA1711" s="2060"/>
      <c r="FB1711" s="2060"/>
      <c r="FC1711" s="2060"/>
      <c r="FD1711" s="2060"/>
      <c r="FE1711" s="2060"/>
      <c r="FF1711" s="2060"/>
      <c r="FG1711" s="2060"/>
      <c r="FH1711" s="2060"/>
      <c r="FI1711" s="2060"/>
      <c r="FJ1711" s="2060"/>
      <c r="FK1711" s="2060"/>
      <c r="FL1711" s="2060"/>
      <c r="FM1711" s="2060"/>
      <c r="FN1711" s="2060"/>
      <c r="FO1711" s="2060"/>
      <c r="FP1711" s="2060"/>
      <c r="FQ1711" s="2060"/>
      <c r="FR1711" s="2060"/>
      <c r="FS1711" s="2060"/>
      <c r="FT1711" s="2060"/>
      <c r="FU1711" s="2060"/>
      <c r="FV1711" s="2060"/>
      <c r="FW1711" s="2060"/>
      <c r="FX1711" s="2060"/>
      <c r="FY1711" s="2060"/>
      <c r="FZ1711" s="2060"/>
      <c r="GA1711" s="2060"/>
      <c r="GB1711" s="2060"/>
      <c r="GC1711" s="2060"/>
      <c r="GD1711" s="2060"/>
      <c r="GE1711" s="2060"/>
      <c r="GF1711" s="2060"/>
      <c r="GG1711" s="2060"/>
      <c r="GH1711" s="2060"/>
      <c r="GI1711" s="2060"/>
      <c r="GJ1711" s="2060"/>
      <c r="GK1711" s="2060"/>
      <c r="GL1711" s="2060"/>
      <c r="GM1711" s="2060"/>
      <c r="GN1711" s="2060"/>
      <c r="GO1711" s="2060"/>
      <c r="GP1711" s="2060"/>
      <c r="GQ1711" s="2060"/>
      <c r="GR1711" s="2060"/>
      <c r="GS1711" s="2060"/>
      <c r="GT1711" s="2060"/>
      <c r="GU1711" s="2060"/>
      <c r="GV1711" s="2060"/>
      <c r="GW1711" s="2060"/>
      <c r="GX1711" s="2060"/>
      <c r="GY1711" s="2060"/>
      <c r="GZ1711" s="2060"/>
      <c r="HA1711" s="2060"/>
      <c r="HB1711" s="2060"/>
      <c r="HC1711" s="2060"/>
      <c r="HD1711" s="2060"/>
      <c r="HE1711" s="2060"/>
      <c r="HF1711" s="2060"/>
      <c r="HG1711" s="2060"/>
      <c r="HH1711" s="2060"/>
      <c r="HI1711" s="2060"/>
      <c r="HJ1711" s="2060"/>
      <c r="HK1711" s="2060"/>
      <c r="HL1711" s="2060"/>
      <c r="HM1711" s="2060"/>
      <c r="HN1711" s="2060"/>
      <c r="HO1711" s="2060"/>
      <c r="HP1711" s="2060"/>
      <c r="HQ1711" s="2060"/>
      <c r="HR1711" s="2060"/>
      <c r="HS1711" s="2060"/>
      <c r="HT1711" s="2060"/>
      <c r="HU1711" s="2060"/>
      <c r="HV1711" s="2060"/>
      <c r="HW1711" s="2060"/>
      <c r="HX1711" s="2060"/>
      <c r="HY1711" s="2060"/>
      <c r="HZ1711" s="2060"/>
      <c r="IA1711" s="2060"/>
      <c r="IB1711" s="2060"/>
      <c r="IC1711" s="2060"/>
      <c r="ID1711" s="2060"/>
      <c r="IE1711" s="2060"/>
      <c r="IF1711" s="2060"/>
      <c r="IG1711" s="2060"/>
      <c r="IH1711" s="2060"/>
      <c r="II1711" s="2060"/>
      <c r="IJ1711" s="2060"/>
      <c r="IK1711" s="2060"/>
      <c r="IL1711" s="2060"/>
      <c r="IM1711" s="2060"/>
      <c r="IN1711" s="2060"/>
      <c r="IO1711" s="2060"/>
      <c r="IP1711" s="2060"/>
      <c r="IQ1711" s="2060"/>
      <c r="IR1711" s="2060"/>
      <c r="IS1711" s="2060"/>
      <c r="IT1711" s="2060"/>
      <c r="IU1711" s="2060"/>
      <c r="IV1711" s="2060"/>
      <c r="IW1711" s="2060"/>
      <c r="IX1711" s="2060"/>
      <c r="IY1711" s="2060"/>
      <c r="IZ1711" s="2060"/>
      <c r="JA1711" s="2060"/>
      <c r="JB1711" s="2060"/>
      <c r="JC1711" s="2060"/>
      <c r="JD1711" s="2060"/>
      <c r="JE1711" s="2060"/>
      <c r="JF1711" s="2060"/>
      <c r="JG1711" s="2060"/>
      <c r="JH1711" s="2060"/>
      <c r="JI1711" s="2060"/>
      <c r="JJ1711" s="2060"/>
      <c r="JK1711" s="2060"/>
      <c r="JL1711" s="2060"/>
      <c r="JM1711" s="2060"/>
      <c r="JN1711" s="2060"/>
      <c r="JO1711" s="2060"/>
      <c r="JP1711" s="2060"/>
      <c r="JQ1711" s="2060"/>
      <c r="JR1711" s="2060"/>
      <c r="JS1711" s="2060"/>
      <c r="JT1711" s="2060"/>
      <c r="JU1711" s="2060"/>
      <c r="JV1711" s="2060"/>
      <c r="JW1711" s="2060"/>
      <c r="JX1711" s="2060"/>
      <c r="JY1711" s="2060"/>
      <c r="JZ1711" s="2060"/>
      <c r="KA1711" s="2060"/>
      <c r="KB1711" s="2060"/>
      <c r="KC1711" s="2060"/>
      <c r="KD1711" s="2060"/>
      <c r="KE1711" s="2060"/>
      <c r="KF1711" s="2060"/>
      <c r="KG1711" s="2060"/>
      <c r="KH1711" s="2060"/>
      <c r="KI1711" s="2060"/>
      <c r="KJ1711" s="2060"/>
      <c r="KK1711" s="2060"/>
      <c r="KL1711" s="2060"/>
      <c r="KM1711" s="2060"/>
      <c r="KN1711" s="2060"/>
      <c r="KO1711" s="2060"/>
      <c r="KP1711" s="2060"/>
      <c r="KQ1711" s="2060"/>
      <c r="KR1711" s="2060"/>
      <c r="KS1711" s="2060"/>
      <c r="KT1711" s="2060"/>
      <c r="KU1711" s="2060"/>
      <c r="KV1711" s="2060"/>
      <c r="KW1711" s="2060"/>
      <c r="KX1711" s="2060"/>
      <c r="KY1711" s="2060"/>
      <c r="KZ1711" s="2060"/>
      <c r="LA1711" s="2060"/>
      <c r="LB1711" s="2060"/>
      <c r="LC1711" s="2060"/>
      <c r="LD1711" s="2060"/>
      <c r="LE1711" s="2060"/>
      <c r="LF1711" s="2060"/>
      <c r="LG1711" s="2060"/>
      <c r="LH1711" s="2060"/>
    </row>
    <row r="1712" spans="1:320" s="449" customFormat="1" ht="13.9">
      <c r="A1712" s="269" t="str">
        <f t="shared" si="473"/>
        <v>n</v>
      </c>
      <c r="B1712" s="2060"/>
      <c r="C1712" s="2060"/>
      <c r="D1712" s="2060"/>
      <c r="E1712" s="1661">
        <v>9</v>
      </c>
      <c r="F1712" s="1353" t="str">
        <f>F$137</f>
        <v>--</v>
      </c>
      <c r="G1712" s="128">
        <f>G$137</f>
        <v>0</v>
      </c>
      <c r="H1712" s="128" t="str">
        <f>H$137</f>
        <v>--</v>
      </c>
      <c r="I1712" s="89" t="s">
        <v>774</v>
      </c>
      <c r="J1712" s="2197" t="str">
        <f>IF($G1712=0,"",_xll.ciqfunctions.udf.CIQ($G1712,$I1712,J1568,$H1712,FXMode)*Scale)</f>
        <v/>
      </c>
      <c r="K1712" s="2197" t="str">
        <f>IF($G1712=0,"",_xll.ciqfunctions.udf.CIQ($G1712,$I1712,K1568,$H1712,FXMode)*Scale)</f>
        <v/>
      </c>
      <c r="L1712" s="2197" t="str">
        <f>IF($G1712=0,"",_xll.ciqfunctions.udf.CIQ($G1712,$I1712,L1568,$H1712,FXMode)*Scale)</f>
        <v/>
      </c>
      <c r="M1712" s="2197" t="str">
        <f>IF($G1712=0,"",_xll.ciqfunctions.udf.CIQ($G1712,$I1712,M1568,$H1712,FXMode)*Scale)</f>
        <v/>
      </c>
      <c r="N1712" s="2197" t="str">
        <f>IF($G1712=0,"",_xll.ciqfunctions.udf.CIQ($G1712,$I1712,N1568,$H1712,FXMode)*Scale)</f>
        <v/>
      </c>
      <c r="O1712" s="2197" t="str">
        <f>IF($G1712=0,"",_xll.ciqfunctions.udf.CIQ($G1712,$I1712,O1568,$H1712,FXMode)*Scale)</f>
        <v/>
      </c>
      <c r="P1712" s="2197" t="str">
        <f>IF($G1712=0,"",_xll.ciqfunctions.udf.CIQ($G1712,$I1712,P1568,$H1712,FXMode)*Scale)</f>
        <v/>
      </c>
      <c r="Q1712" s="2197" t="str">
        <f>IF($G1712=0,"",_xll.ciqfunctions.udf.CIQ($G1712,$I1712,Q1568,$H1712,FXMode)*Scale)</f>
        <v/>
      </c>
      <c r="R1712" s="2197" t="str">
        <f>IF($G1712=0,"",_xll.ciqfunctions.udf.CIQ($G1712,$I1712,R1568,$H1712,FXMode)*Scale)</f>
        <v/>
      </c>
      <c r="S1712" s="2197" t="str">
        <f>IF($G1712=0,"",_xll.ciqfunctions.udf.CIQ($G1712,$I1712,S1568,$H1712,FXMode)*Scale)</f>
        <v/>
      </c>
      <c r="T1712" s="2197" t="str">
        <f>IF($G1712=0,"",_xll.ciqfunctions.udf.CIQ($G1712,$I1712,T1568,$H1712,FXMode)*Scale)</f>
        <v/>
      </c>
      <c r="U1712" s="2197" t="str">
        <f>IF($G1712=0,"",_xll.ciqfunctions.udf.CIQ($G1712,$I1712,U1568,$H1712,FXMode)*Scale)</f>
        <v/>
      </c>
      <c r="V1712" s="2197" t="str">
        <f>IF($G1712=0,"",_xll.ciqfunctions.udf.CIQ($G1712,$I1712,V1568,$H1712,FXMode)*Scale)</f>
        <v/>
      </c>
      <c r="W1712" s="1479"/>
      <c r="X1712" s="255"/>
      <c r="Y1712" s="89"/>
      <c r="Z1712" s="2060"/>
      <c r="AA1712" s="2060"/>
      <c r="AB1712" s="2060"/>
      <c r="AC1712" s="2060"/>
      <c r="AD1712" s="2060"/>
      <c r="AE1712" s="2060"/>
      <c r="AF1712" s="2060"/>
      <c r="AG1712" s="2060"/>
      <c r="AH1712" s="2060"/>
      <c r="AI1712" s="2060"/>
      <c r="AJ1712" s="2060"/>
      <c r="AK1712" s="2060"/>
      <c r="AL1712" s="2060"/>
      <c r="AM1712" s="2060"/>
      <c r="AN1712" s="2060"/>
      <c r="AO1712" s="2060"/>
      <c r="AP1712" s="2060"/>
      <c r="AQ1712" s="2060"/>
      <c r="AR1712" s="2060"/>
      <c r="AS1712" s="2060"/>
      <c r="AT1712" s="2060"/>
      <c r="AU1712" s="2060"/>
      <c r="AV1712" s="2060"/>
      <c r="AW1712" s="2060"/>
      <c r="AX1712" s="2060"/>
      <c r="AY1712" s="2060"/>
      <c r="AZ1712" s="2060"/>
      <c r="BA1712" s="2060"/>
      <c r="BB1712" s="2060"/>
      <c r="BC1712" s="2060"/>
      <c r="BD1712" s="2060"/>
      <c r="BE1712" s="2060"/>
      <c r="BF1712" s="2060"/>
      <c r="BG1712" s="2060"/>
      <c r="BH1712" s="2060"/>
      <c r="BI1712" s="2060"/>
      <c r="BJ1712" s="2060"/>
      <c r="BK1712" s="2060"/>
      <c r="BL1712" s="2060"/>
      <c r="BM1712" s="2060"/>
      <c r="BN1712" s="2060"/>
      <c r="BO1712" s="2060"/>
      <c r="BP1712" s="2060"/>
      <c r="BQ1712" s="2060"/>
      <c r="BR1712" s="2060"/>
      <c r="BS1712" s="2060"/>
      <c r="BT1712" s="2060"/>
      <c r="BU1712" s="2060"/>
      <c r="BV1712" s="2060"/>
      <c r="BW1712" s="2060"/>
      <c r="BX1712" s="2060"/>
      <c r="BY1712" s="2060"/>
      <c r="BZ1712" s="2060"/>
      <c r="CA1712" s="2060"/>
      <c r="CB1712" s="2060"/>
      <c r="CC1712" s="2060"/>
      <c r="CD1712" s="2060"/>
      <c r="CE1712" s="2060"/>
      <c r="CF1712" s="2060"/>
      <c r="CG1712" s="2060"/>
      <c r="CH1712" s="2060"/>
      <c r="CI1712" s="2060"/>
      <c r="CJ1712" s="2060"/>
      <c r="CK1712" s="2060"/>
      <c r="CL1712" s="2060"/>
      <c r="CM1712" s="2060"/>
      <c r="CN1712" s="2060"/>
      <c r="CO1712" s="2060"/>
      <c r="CP1712" s="2060"/>
      <c r="CQ1712" s="2060"/>
      <c r="CR1712" s="2060"/>
      <c r="CS1712" s="2060"/>
      <c r="CT1712" s="2060"/>
      <c r="CU1712" s="2060"/>
      <c r="CV1712" s="2060"/>
      <c r="CW1712" s="2060"/>
      <c r="CX1712" s="2060"/>
      <c r="CY1712" s="2060"/>
      <c r="CZ1712" s="2060"/>
      <c r="DA1712" s="2060"/>
      <c r="DB1712" s="2060"/>
      <c r="DC1712" s="2060"/>
      <c r="DD1712" s="2060"/>
      <c r="DE1712" s="2060"/>
      <c r="DF1712" s="2060"/>
      <c r="DG1712" s="2060"/>
      <c r="DH1712" s="2060"/>
      <c r="DI1712" s="2060"/>
      <c r="DJ1712" s="2060"/>
      <c r="DK1712" s="2060"/>
      <c r="DL1712" s="2060"/>
      <c r="DM1712" s="2060"/>
      <c r="DN1712" s="2060"/>
      <c r="DO1712" s="2060"/>
      <c r="DP1712" s="2060"/>
      <c r="DQ1712" s="2060"/>
      <c r="DR1712" s="2060"/>
      <c r="DS1712" s="2060"/>
      <c r="DT1712" s="2060"/>
      <c r="DU1712" s="2060"/>
      <c r="DV1712" s="2060"/>
      <c r="DW1712" s="2060"/>
      <c r="DX1712" s="2060"/>
      <c r="DY1712" s="2060"/>
      <c r="DZ1712" s="2060"/>
      <c r="EA1712" s="2060"/>
      <c r="EB1712" s="2060"/>
      <c r="EC1712" s="2060"/>
      <c r="ED1712" s="2060"/>
      <c r="EE1712" s="2060"/>
      <c r="EF1712" s="2060"/>
      <c r="EG1712" s="2060"/>
      <c r="EH1712" s="2060"/>
      <c r="EI1712" s="2060"/>
      <c r="EJ1712" s="2060"/>
      <c r="EK1712" s="2060"/>
      <c r="EL1712" s="2060"/>
      <c r="EM1712" s="2060"/>
      <c r="EN1712" s="2060"/>
      <c r="EO1712" s="2060"/>
      <c r="EP1712" s="2060"/>
      <c r="EQ1712" s="2060"/>
      <c r="ER1712" s="2060"/>
      <c r="ES1712" s="2060"/>
      <c r="ET1712" s="2060"/>
      <c r="EU1712" s="2060"/>
      <c r="EV1712" s="2060"/>
      <c r="EW1712" s="2060"/>
      <c r="EX1712" s="2060"/>
      <c r="EY1712" s="2060"/>
      <c r="EZ1712" s="2060"/>
      <c r="FA1712" s="2060"/>
      <c r="FB1712" s="2060"/>
      <c r="FC1712" s="2060"/>
      <c r="FD1712" s="2060"/>
      <c r="FE1712" s="2060"/>
      <c r="FF1712" s="2060"/>
      <c r="FG1712" s="2060"/>
      <c r="FH1712" s="2060"/>
      <c r="FI1712" s="2060"/>
      <c r="FJ1712" s="2060"/>
      <c r="FK1712" s="2060"/>
      <c r="FL1712" s="2060"/>
      <c r="FM1712" s="2060"/>
      <c r="FN1712" s="2060"/>
      <c r="FO1712" s="2060"/>
      <c r="FP1712" s="2060"/>
      <c r="FQ1712" s="2060"/>
      <c r="FR1712" s="2060"/>
      <c r="FS1712" s="2060"/>
      <c r="FT1712" s="2060"/>
      <c r="FU1712" s="2060"/>
      <c r="FV1712" s="2060"/>
      <c r="FW1712" s="2060"/>
      <c r="FX1712" s="2060"/>
      <c r="FY1712" s="2060"/>
      <c r="FZ1712" s="2060"/>
      <c r="GA1712" s="2060"/>
      <c r="GB1712" s="2060"/>
      <c r="GC1712" s="2060"/>
      <c r="GD1712" s="2060"/>
      <c r="GE1712" s="2060"/>
      <c r="GF1712" s="2060"/>
      <c r="GG1712" s="2060"/>
      <c r="GH1712" s="2060"/>
      <c r="GI1712" s="2060"/>
      <c r="GJ1712" s="2060"/>
      <c r="GK1712" s="2060"/>
      <c r="GL1712" s="2060"/>
      <c r="GM1712" s="2060"/>
      <c r="GN1712" s="2060"/>
      <c r="GO1712" s="2060"/>
      <c r="GP1712" s="2060"/>
      <c r="GQ1712" s="2060"/>
      <c r="GR1712" s="2060"/>
      <c r="GS1712" s="2060"/>
      <c r="GT1712" s="2060"/>
      <c r="GU1712" s="2060"/>
      <c r="GV1712" s="2060"/>
      <c r="GW1712" s="2060"/>
      <c r="GX1712" s="2060"/>
      <c r="GY1712" s="2060"/>
      <c r="GZ1712" s="2060"/>
      <c r="HA1712" s="2060"/>
      <c r="HB1712" s="2060"/>
      <c r="HC1712" s="2060"/>
      <c r="HD1712" s="2060"/>
      <c r="HE1712" s="2060"/>
      <c r="HF1712" s="2060"/>
      <c r="HG1712" s="2060"/>
      <c r="HH1712" s="2060"/>
      <c r="HI1712" s="2060"/>
      <c r="HJ1712" s="2060"/>
      <c r="HK1712" s="2060"/>
      <c r="HL1712" s="2060"/>
      <c r="HM1712" s="2060"/>
      <c r="HN1712" s="2060"/>
      <c r="HO1712" s="2060"/>
      <c r="HP1712" s="2060"/>
      <c r="HQ1712" s="2060"/>
      <c r="HR1712" s="2060"/>
      <c r="HS1712" s="2060"/>
      <c r="HT1712" s="2060"/>
      <c r="HU1712" s="2060"/>
      <c r="HV1712" s="2060"/>
      <c r="HW1712" s="2060"/>
      <c r="HX1712" s="2060"/>
      <c r="HY1712" s="2060"/>
      <c r="HZ1712" s="2060"/>
      <c r="IA1712" s="2060"/>
      <c r="IB1712" s="2060"/>
      <c r="IC1712" s="2060"/>
      <c r="ID1712" s="2060"/>
      <c r="IE1712" s="2060"/>
      <c r="IF1712" s="2060"/>
      <c r="IG1712" s="2060"/>
      <c r="IH1712" s="2060"/>
      <c r="II1712" s="2060"/>
      <c r="IJ1712" s="2060"/>
      <c r="IK1712" s="2060"/>
      <c r="IL1712" s="2060"/>
      <c r="IM1712" s="2060"/>
      <c r="IN1712" s="2060"/>
      <c r="IO1712" s="2060"/>
      <c r="IP1712" s="2060"/>
      <c r="IQ1712" s="2060"/>
      <c r="IR1712" s="2060"/>
      <c r="IS1712" s="2060"/>
      <c r="IT1712" s="2060"/>
      <c r="IU1712" s="2060"/>
      <c r="IV1712" s="2060"/>
      <c r="IW1712" s="2060"/>
      <c r="IX1712" s="2060"/>
      <c r="IY1712" s="2060"/>
      <c r="IZ1712" s="2060"/>
      <c r="JA1712" s="2060"/>
      <c r="JB1712" s="2060"/>
      <c r="JC1712" s="2060"/>
      <c r="JD1712" s="2060"/>
      <c r="JE1712" s="2060"/>
      <c r="JF1712" s="2060"/>
      <c r="JG1712" s="2060"/>
      <c r="JH1712" s="2060"/>
      <c r="JI1712" s="2060"/>
      <c r="JJ1712" s="2060"/>
      <c r="JK1712" s="2060"/>
      <c r="JL1712" s="2060"/>
      <c r="JM1712" s="2060"/>
      <c r="JN1712" s="2060"/>
      <c r="JO1712" s="2060"/>
      <c r="JP1712" s="2060"/>
      <c r="JQ1712" s="2060"/>
      <c r="JR1712" s="2060"/>
      <c r="JS1712" s="2060"/>
      <c r="JT1712" s="2060"/>
      <c r="JU1712" s="2060"/>
      <c r="JV1712" s="2060"/>
      <c r="JW1712" s="2060"/>
      <c r="JX1712" s="2060"/>
      <c r="JY1712" s="2060"/>
      <c r="JZ1712" s="2060"/>
      <c r="KA1712" s="2060"/>
      <c r="KB1712" s="2060"/>
      <c r="KC1712" s="2060"/>
      <c r="KD1712" s="2060"/>
      <c r="KE1712" s="2060"/>
      <c r="KF1712" s="2060"/>
      <c r="KG1712" s="2060"/>
      <c r="KH1712" s="2060"/>
      <c r="KI1712" s="2060"/>
      <c r="KJ1712" s="2060"/>
      <c r="KK1712" s="2060"/>
      <c r="KL1712" s="2060"/>
      <c r="KM1712" s="2060"/>
      <c r="KN1712" s="2060"/>
      <c r="KO1712" s="2060"/>
      <c r="KP1712" s="2060"/>
      <c r="KQ1712" s="2060"/>
      <c r="KR1712" s="2060"/>
      <c r="KS1712" s="2060"/>
      <c r="KT1712" s="2060"/>
      <c r="KU1712" s="2060"/>
      <c r="KV1712" s="2060"/>
      <c r="KW1712" s="2060"/>
      <c r="KX1712" s="2060"/>
      <c r="KY1712" s="2060"/>
      <c r="KZ1712" s="2060"/>
      <c r="LA1712" s="2060"/>
      <c r="LB1712" s="2060"/>
      <c r="LC1712" s="2060"/>
      <c r="LD1712" s="2060"/>
      <c r="LE1712" s="2060"/>
      <c r="LF1712" s="2060"/>
      <c r="LG1712" s="2060"/>
      <c r="LH1712" s="2060"/>
    </row>
    <row r="1713" spans="1:320" s="449" customFormat="1" ht="13.9">
      <c r="A1713" s="269" t="str">
        <f t="shared" si="473"/>
        <v>n</v>
      </c>
      <c r="B1713" s="2060"/>
      <c r="C1713" s="2060"/>
      <c r="D1713" s="2060"/>
      <c r="E1713" s="1661">
        <v>10</v>
      </c>
      <c r="F1713" s="1353" t="str">
        <f>F$138</f>
        <v>--</v>
      </c>
      <c r="G1713" s="128">
        <f>G$138</f>
        <v>0</v>
      </c>
      <c r="H1713" s="128" t="str">
        <f>H$138</f>
        <v>--</v>
      </c>
      <c r="I1713" s="89" t="s">
        <v>774</v>
      </c>
      <c r="J1713" s="2197" t="str">
        <f>IF($G1713=0,"",_xll.ciqfunctions.udf.CIQ($G1713,$I1713,J1569,$H1713,FXMode)*Scale)</f>
        <v/>
      </c>
      <c r="K1713" s="2197" t="str">
        <f>IF($G1713=0,"",_xll.ciqfunctions.udf.CIQ($G1713,$I1713,K1569,$H1713,FXMode)*Scale)</f>
        <v/>
      </c>
      <c r="L1713" s="2197" t="str">
        <f>IF($G1713=0,"",_xll.ciqfunctions.udf.CIQ($G1713,$I1713,L1569,$H1713,FXMode)*Scale)</f>
        <v/>
      </c>
      <c r="M1713" s="2197" t="str">
        <f>IF($G1713=0,"",_xll.ciqfunctions.udf.CIQ($G1713,$I1713,M1569,$H1713,FXMode)*Scale)</f>
        <v/>
      </c>
      <c r="N1713" s="2197" t="str">
        <f>IF($G1713=0,"",_xll.ciqfunctions.udf.CIQ($G1713,$I1713,N1569,$H1713,FXMode)*Scale)</f>
        <v/>
      </c>
      <c r="O1713" s="2197" t="str">
        <f>IF($G1713=0,"",_xll.ciqfunctions.udf.CIQ($G1713,$I1713,O1569,$H1713,FXMode)*Scale)</f>
        <v/>
      </c>
      <c r="P1713" s="2197" t="str">
        <f>IF($G1713=0,"",_xll.ciqfunctions.udf.CIQ($G1713,$I1713,P1569,$H1713,FXMode)*Scale)</f>
        <v/>
      </c>
      <c r="Q1713" s="2197" t="str">
        <f>IF($G1713=0,"",_xll.ciqfunctions.udf.CIQ($G1713,$I1713,Q1569,$H1713,FXMode)*Scale)</f>
        <v/>
      </c>
      <c r="R1713" s="2197" t="str">
        <f>IF($G1713=0,"",_xll.ciqfunctions.udf.CIQ($G1713,$I1713,R1569,$H1713,FXMode)*Scale)</f>
        <v/>
      </c>
      <c r="S1713" s="2197" t="str">
        <f>IF($G1713=0,"",_xll.ciqfunctions.udf.CIQ($G1713,$I1713,S1569,$H1713,FXMode)*Scale)</f>
        <v/>
      </c>
      <c r="T1713" s="2197" t="str">
        <f>IF($G1713=0,"",_xll.ciqfunctions.udf.CIQ($G1713,$I1713,T1569,$H1713,FXMode)*Scale)</f>
        <v/>
      </c>
      <c r="U1713" s="2197" t="str">
        <f>IF($G1713=0,"",_xll.ciqfunctions.udf.CIQ($G1713,$I1713,U1569,$H1713,FXMode)*Scale)</f>
        <v/>
      </c>
      <c r="V1713" s="2197" t="str">
        <f>IF($G1713=0,"",_xll.ciqfunctions.udf.CIQ($G1713,$I1713,V1569,$H1713,FXMode)*Scale)</f>
        <v/>
      </c>
      <c r="W1713" s="1479"/>
      <c r="X1713" s="255"/>
      <c r="Y1713" s="89"/>
      <c r="Z1713" s="2060"/>
      <c r="AA1713" s="2060"/>
      <c r="AB1713" s="2060"/>
      <c r="AC1713" s="2060"/>
      <c r="AD1713" s="2060"/>
      <c r="AE1713" s="2060"/>
      <c r="AF1713" s="2060"/>
      <c r="AG1713" s="2060"/>
      <c r="AH1713" s="2060"/>
      <c r="AI1713" s="2060"/>
      <c r="AJ1713" s="2060"/>
      <c r="AK1713" s="2060"/>
      <c r="AL1713" s="2060"/>
      <c r="AM1713" s="2060"/>
      <c r="AN1713" s="2060"/>
      <c r="AO1713" s="2060"/>
      <c r="AP1713" s="2060"/>
      <c r="AQ1713" s="2060"/>
      <c r="AR1713" s="2060"/>
      <c r="AS1713" s="2060"/>
      <c r="AT1713" s="2060"/>
      <c r="AU1713" s="2060"/>
      <c r="AV1713" s="2060"/>
      <c r="AW1713" s="2060"/>
      <c r="AX1713" s="2060"/>
      <c r="AY1713" s="2060"/>
      <c r="AZ1713" s="2060"/>
      <c r="BA1713" s="2060"/>
      <c r="BB1713" s="2060"/>
      <c r="BC1713" s="2060"/>
      <c r="BD1713" s="2060"/>
      <c r="BE1713" s="2060"/>
      <c r="BF1713" s="2060"/>
      <c r="BG1713" s="2060"/>
      <c r="BH1713" s="2060"/>
      <c r="BI1713" s="2060"/>
      <c r="BJ1713" s="2060"/>
      <c r="BK1713" s="2060"/>
      <c r="BL1713" s="2060"/>
      <c r="BM1713" s="2060"/>
      <c r="BN1713" s="2060"/>
      <c r="BO1713" s="2060"/>
      <c r="BP1713" s="2060"/>
      <c r="BQ1713" s="2060"/>
      <c r="BR1713" s="2060"/>
      <c r="BS1713" s="2060"/>
      <c r="BT1713" s="2060"/>
      <c r="BU1713" s="2060"/>
      <c r="BV1713" s="2060"/>
      <c r="BW1713" s="2060"/>
      <c r="BX1713" s="2060"/>
      <c r="BY1713" s="2060"/>
      <c r="BZ1713" s="2060"/>
      <c r="CA1713" s="2060"/>
      <c r="CB1713" s="2060"/>
      <c r="CC1713" s="2060"/>
      <c r="CD1713" s="2060"/>
      <c r="CE1713" s="2060"/>
      <c r="CF1713" s="2060"/>
      <c r="CG1713" s="2060"/>
      <c r="CH1713" s="2060"/>
      <c r="CI1713" s="2060"/>
      <c r="CJ1713" s="2060"/>
      <c r="CK1713" s="2060"/>
      <c r="CL1713" s="2060"/>
      <c r="CM1713" s="2060"/>
      <c r="CN1713" s="2060"/>
      <c r="CO1713" s="2060"/>
      <c r="CP1713" s="2060"/>
      <c r="CQ1713" s="2060"/>
      <c r="CR1713" s="2060"/>
      <c r="CS1713" s="2060"/>
      <c r="CT1713" s="2060"/>
      <c r="CU1713" s="2060"/>
      <c r="CV1713" s="2060"/>
      <c r="CW1713" s="2060"/>
      <c r="CX1713" s="2060"/>
      <c r="CY1713" s="2060"/>
      <c r="CZ1713" s="2060"/>
      <c r="DA1713" s="2060"/>
      <c r="DB1713" s="2060"/>
      <c r="DC1713" s="2060"/>
      <c r="DD1713" s="2060"/>
      <c r="DE1713" s="2060"/>
      <c r="DF1713" s="2060"/>
      <c r="DG1713" s="2060"/>
      <c r="DH1713" s="2060"/>
      <c r="DI1713" s="2060"/>
      <c r="DJ1713" s="2060"/>
      <c r="DK1713" s="2060"/>
      <c r="DL1713" s="2060"/>
      <c r="DM1713" s="2060"/>
      <c r="DN1713" s="2060"/>
      <c r="DO1713" s="2060"/>
      <c r="DP1713" s="2060"/>
      <c r="DQ1713" s="2060"/>
      <c r="DR1713" s="2060"/>
      <c r="DS1713" s="2060"/>
      <c r="DT1713" s="2060"/>
      <c r="DU1713" s="2060"/>
      <c r="DV1713" s="2060"/>
      <c r="DW1713" s="2060"/>
      <c r="DX1713" s="2060"/>
      <c r="DY1713" s="2060"/>
      <c r="DZ1713" s="2060"/>
      <c r="EA1713" s="2060"/>
      <c r="EB1713" s="2060"/>
      <c r="EC1713" s="2060"/>
      <c r="ED1713" s="2060"/>
      <c r="EE1713" s="2060"/>
      <c r="EF1713" s="2060"/>
      <c r="EG1713" s="2060"/>
      <c r="EH1713" s="2060"/>
      <c r="EI1713" s="2060"/>
      <c r="EJ1713" s="2060"/>
      <c r="EK1713" s="2060"/>
      <c r="EL1713" s="2060"/>
      <c r="EM1713" s="2060"/>
      <c r="EN1713" s="2060"/>
      <c r="EO1713" s="2060"/>
      <c r="EP1713" s="2060"/>
      <c r="EQ1713" s="2060"/>
      <c r="ER1713" s="2060"/>
      <c r="ES1713" s="2060"/>
      <c r="ET1713" s="2060"/>
      <c r="EU1713" s="2060"/>
      <c r="EV1713" s="2060"/>
      <c r="EW1713" s="2060"/>
      <c r="EX1713" s="2060"/>
      <c r="EY1713" s="2060"/>
      <c r="EZ1713" s="2060"/>
      <c r="FA1713" s="2060"/>
      <c r="FB1713" s="2060"/>
      <c r="FC1713" s="2060"/>
      <c r="FD1713" s="2060"/>
      <c r="FE1713" s="2060"/>
      <c r="FF1713" s="2060"/>
      <c r="FG1713" s="2060"/>
      <c r="FH1713" s="2060"/>
      <c r="FI1713" s="2060"/>
      <c r="FJ1713" s="2060"/>
      <c r="FK1713" s="2060"/>
      <c r="FL1713" s="2060"/>
      <c r="FM1713" s="2060"/>
      <c r="FN1713" s="2060"/>
      <c r="FO1713" s="2060"/>
      <c r="FP1713" s="2060"/>
      <c r="FQ1713" s="2060"/>
      <c r="FR1713" s="2060"/>
      <c r="FS1713" s="2060"/>
      <c r="FT1713" s="2060"/>
      <c r="FU1713" s="2060"/>
      <c r="FV1713" s="2060"/>
      <c r="FW1713" s="2060"/>
      <c r="FX1713" s="2060"/>
      <c r="FY1713" s="2060"/>
      <c r="FZ1713" s="2060"/>
      <c r="GA1713" s="2060"/>
      <c r="GB1713" s="2060"/>
      <c r="GC1713" s="2060"/>
      <c r="GD1713" s="2060"/>
      <c r="GE1713" s="2060"/>
      <c r="GF1713" s="2060"/>
      <c r="GG1713" s="2060"/>
      <c r="GH1713" s="2060"/>
      <c r="GI1713" s="2060"/>
      <c r="GJ1713" s="2060"/>
      <c r="GK1713" s="2060"/>
      <c r="GL1713" s="2060"/>
      <c r="GM1713" s="2060"/>
      <c r="GN1713" s="2060"/>
      <c r="GO1713" s="2060"/>
      <c r="GP1713" s="2060"/>
      <c r="GQ1713" s="2060"/>
      <c r="GR1713" s="2060"/>
      <c r="GS1713" s="2060"/>
      <c r="GT1713" s="2060"/>
      <c r="GU1713" s="2060"/>
      <c r="GV1713" s="2060"/>
      <c r="GW1713" s="2060"/>
      <c r="GX1713" s="2060"/>
      <c r="GY1713" s="2060"/>
      <c r="GZ1713" s="2060"/>
      <c r="HA1713" s="2060"/>
      <c r="HB1713" s="2060"/>
      <c r="HC1713" s="2060"/>
      <c r="HD1713" s="2060"/>
      <c r="HE1713" s="2060"/>
      <c r="HF1713" s="2060"/>
      <c r="HG1713" s="2060"/>
      <c r="HH1713" s="2060"/>
      <c r="HI1713" s="2060"/>
      <c r="HJ1713" s="2060"/>
      <c r="HK1713" s="2060"/>
      <c r="HL1713" s="2060"/>
      <c r="HM1713" s="2060"/>
      <c r="HN1713" s="2060"/>
      <c r="HO1713" s="2060"/>
      <c r="HP1713" s="2060"/>
      <c r="HQ1713" s="2060"/>
      <c r="HR1713" s="2060"/>
      <c r="HS1713" s="2060"/>
      <c r="HT1713" s="2060"/>
      <c r="HU1713" s="2060"/>
      <c r="HV1713" s="2060"/>
      <c r="HW1713" s="2060"/>
      <c r="HX1713" s="2060"/>
      <c r="HY1713" s="2060"/>
      <c r="HZ1713" s="2060"/>
      <c r="IA1713" s="2060"/>
      <c r="IB1713" s="2060"/>
      <c r="IC1713" s="2060"/>
      <c r="ID1713" s="2060"/>
      <c r="IE1713" s="2060"/>
      <c r="IF1713" s="2060"/>
      <c r="IG1713" s="2060"/>
      <c r="IH1713" s="2060"/>
      <c r="II1713" s="2060"/>
      <c r="IJ1713" s="2060"/>
      <c r="IK1713" s="2060"/>
      <c r="IL1713" s="2060"/>
      <c r="IM1713" s="2060"/>
      <c r="IN1713" s="2060"/>
      <c r="IO1713" s="2060"/>
      <c r="IP1713" s="2060"/>
      <c r="IQ1713" s="2060"/>
      <c r="IR1713" s="2060"/>
      <c r="IS1713" s="2060"/>
      <c r="IT1713" s="2060"/>
      <c r="IU1713" s="2060"/>
      <c r="IV1713" s="2060"/>
      <c r="IW1713" s="2060"/>
      <c r="IX1713" s="2060"/>
      <c r="IY1713" s="2060"/>
      <c r="IZ1713" s="2060"/>
      <c r="JA1713" s="2060"/>
      <c r="JB1713" s="2060"/>
      <c r="JC1713" s="2060"/>
      <c r="JD1713" s="2060"/>
      <c r="JE1713" s="2060"/>
      <c r="JF1713" s="2060"/>
      <c r="JG1713" s="2060"/>
      <c r="JH1713" s="2060"/>
      <c r="JI1713" s="2060"/>
      <c r="JJ1713" s="2060"/>
      <c r="JK1713" s="2060"/>
      <c r="JL1713" s="2060"/>
      <c r="JM1713" s="2060"/>
      <c r="JN1713" s="2060"/>
      <c r="JO1713" s="2060"/>
      <c r="JP1713" s="2060"/>
      <c r="JQ1713" s="2060"/>
      <c r="JR1713" s="2060"/>
      <c r="JS1713" s="2060"/>
      <c r="JT1713" s="2060"/>
      <c r="JU1713" s="2060"/>
      <c r="JV1713" s="2060"/>
      <c r="JW1713" s="2060"/>
      <c r="JX1713" s="2060"/>
      <c r="JY1713" s="2060"/>
      <c r="JZ1713" s="2060"/>
      <c r="KA1713" s="2060"/>
      <c r="KB1713" s="2060"/>
      <c r="KC1713" s="2060"/>
      <c r="KD1713" s="2060"/>
      <c r="KE1713" s="2060"/>
      <c r="KF1713" s="2060"/>
      <c r="KG1713" s="2060"/>
      <c r="KH1713" s="2060"/>
      <c r="KI1713" s="2060"/>
      <c r="KJ1713" s="2060"/>
      <c r="KK1713" s="2060"/>
      <c r="KL1713" s="2060"/>
      <c r="KM1713" s="2060"/>
      <c r="KN1713" s="2060"/>
      <c r="KO1713" s="2060"/>
      <c r="KP1713" s="2060"/>
      <c r="KQ1713" s="2060"/>
      <c r="KR1713" s="2060"/>
      <c r="KS1713" s="2060"/>
      <c r="KT1713" s="2060"/>
      <c r="KU1713" s="2060"/>
      <c r="KV1713" s="2060"/>
      <c r="KW1713" s="2060"/>
      <c r="KX1713" s="2060"/>
      <c r="KY1713" s="2060"/>
      <c r="KZ1713" s="2060"/>
      <c r="LA1713" s="2060"/>
      <c r="LB1713" s="2060"/>
      <c r="LC1713" s="2060"/>
      <c r="LD1713" s="2060"/>
      <c r="LE1713" s="2060"/>
      <c r="LF1713" s="2060"/>
      <c r="LG1713" s="2060"/>
      <c r="LH1713" s="2060"/>
    </row>
    <row r="1714" spans="1:320" s="449" customFormat="1" ht="13.9">
      <c r="A1714" s="269" t="str">
        <f t="shared" si="473"/>
        <v>n</v>
      </c>
      <c r="B1714" s="2060"/>
      <c r="C1714" s="2060"/>
      <c r="D1714" s="2060"/>
      <c r="E1714" s="1661">
        <v>11</v>
      </c>
      <c r="F1714" s="1353" t="str">
        <f>F$139</f>
        <v>--</v>
      </c>
      <c r="G1714" s="128">
        <f>G$139</f>
        <v>0</v>
      </c>
      <c r="H1714" s="128" t="str">
        <f>H$139</f>
        <v>--</v>
      </c>
      <c r="I1714" s="89" t="s">
        <v>774</v>
      </c>
      <c r="J1714" s="2197" t="str">
        <f>IF($G1714=0,"",_xll.ciqfunctions.udf.CIQ($G1714,$I1714,J1570,$H1714,FXMode)*Scale)</f>
        <v/>
      </c>
      <c r="K1714" s="2197" t="str">
        <f>IF($G1714=0,"",_xll.ciqfunctions.udf.CIQ($G1714,$I1714,K1570,$H1714,FXMode)*Scale)</f>
        <v/>
      </c>
      <c r="L1714" s="2197" t="str">
        <f>IF($G1714=0,"",_xll.ciqfunctions.udf.CIQ($G1714,$I1714,L1570,$H1714,FXMode)*Scale)</f>
        <v/>
      </c>
      <c r="M1714" s="2197" t="str">
        <f>IF($G1714=0,"",_xll.ciqfunctions.udf.CIQ($G1714,$I1714,M1570,$H1714,FXMode)*Scale)</f>
        <v/>
      </c>
      <c r="N1714" s="2197" t="str">
        <f>IF($G1714=0,"",_xll.ciqfunctions.udf.CIQ($G1714,$I1714,N1570,$H1714,FXMode)*Scale)</f>
        <v/>
      </c>
      <c r="O1714" s="2197" t="str">
        <f>IF($G1714=0,"",_xll.ciqfunctions.udf.CIQ($G1714,$I1714,O1570,$H1714,FXMode)*Scale)</f>
        <v/>
      </c>
      <c r="P1714" s="2197" t="str">
        <f>IF($G1714=0,"",_xll.ciqfunctions.udf.CIQ($G1714,$I1714,P1570,$H1714,FXMode)*Scale)</f>
        <v/>
      </c>
      <c r="Q1714" s="2197" t="str">
        <f>IF($G1714=0,"",_xll.ciqfunctions.udf.CIQ($G1714,$I1714,Q1570,$H1714,FXMode)*Scale)</f>
        <v/>
      </c>
      <c r="R1714" s="2197" t="str">
        <f>IF($G1714=0,"",_xll.ciqfunctions.udf.CIQ($G1714,$I1714,R1570,$H1714,FXMode)*Scale)</f>
        <v/>
      </c>
      <c r="S1714" s="2197" t="str">
        <f>IF($G1714=0,"",_xll.ciqfunctions.udf.CIQ($G1714,$I1714,S1570,$H1714,FXMode)*Scale)</f>
        <v/>
      </c>
      <c r="T1714" s="2197" t="str">
        <f>IF($G1714=0,"",_xll.ciqfunctions.udf.CIQ($G1714,$I1714,T1570,$H1714,FXMode)*Scale)</f>
        <v/>
      </c>
      <c r="U1714" s="2197" t="str">
        <f>IF($G1714=0,"",_xll.ciqfunctions.udf.CIQ($G1714,$I1714,U1570,$H1714,FXMode)*Scale)</f>
        <v/>
      </c>
      <c r="V1714" s="2197" t="str">
        <f>IF($G1714=0,"",_xll.ciqfunctions.udf.CIQ($G1714,$I1714,V1570,$H1714,FXMode)*Scale)</f>
        <v/>
      </c>
      <c r="W1714" s="1479"/>
      <c r="X1714" s="255"/>
      <c r="Y1714" s="89"/>
      <c r="Z1714" s="2060"/>
      <c r="AA1714" s="2060"/>
      <c r="AB1714" s="2060"/>
      <c r="AC1714" s="2060"/>
      <c r="AD1714" s="2060"/>
      <c r="AE1714" s="2060"/>
      <c r="AF1714" s="2060"/>
      <c r="AG1714" s="2060"/>
      <c r="AH1714" s="2060"/>
      <c r="AI1714" s="2060"/>
      <c r="AJ1714" s="2060"/>
      <c r="AK1714" s="2060"/>
      <c r="AL1714" s="2060"/>
      <c r="AM1714" s="2060"/>
      <c r="AN1714" s="2060"/>
      <c r="AO1714" s="2060"/>
      <c r="AP1714" s="2060"/>
      <c r="AQ1714" s="2060"/>
      <c r="AR1714" s="2060"/>
      <c r="AS1714" s="2060"/>
      <c r="AT1714" s="2060"/>
      <c r="AU1714" s="2060"/>
      <c r="AV1714" s="2060"/>
      <c r="AW1714" s="2060"/>
      <c r="AX1714" s="2060"/>
      <c r="AY1714" s="2060"/>
      <c r="AZ1714" s="2060"/>
      <c r="BA1714" s="2060"/>
      <c r="BB1714" s="2060"/>
      <c r="BC1714" s="2060"/>
      <c r="BD1714" s="2060"/>
      <c r="BE1714" s="2060"/>
      <c r="BF1714" s="2060"/>
      <c r="BG1714" s="2060"/>
      <c r="BH1714" s="2060"/>
      <c r="BI1714" s="2060"/>
      <c r="BJ1714" s="2060"/>
      <c r="BK1714" s="2060"/>
      <c r="BL1714" s="2060"/>
      <c r="BM1714" s="2060"/>
      <c r="BN1714" s="2060"/>
      <c r="BO1714" s="2060"/>
      <c r="BP1714" s="2060"/>
      <c r="BQ1714" s="2060"/>
      <c r="BR1714" s="2060"/>
      <c r="BS1714" s="2060"/>
      <c r="BT1714" s="2060"/>
      <c r="BU1714" s="2060"/>
      <c r="BV1714" s="2060"/>
      <c r="BW1714" s="2060"/>
      <c r="BX1714" s="2060"/>
      <c r="BY1714" s="2060"/>
      <c r="BZ1714" s="2060"/>
      <c r="CA1714" s="2060"/>
      <c r="CB1714" s="2060"/>
      <c r="CC1714" s="2060"/>
      <c r="CD1714" s="2060"/>
      <c r="CE1714" s="2060"/>
      <c r="CF1714" s="2060"/>
      <c r="CG1714" s="2060"/>
      <c r="CH1714" s="2060"/>
      <c r="CI1714" s="2060"/>
      <c r="CJ1714" s="2060"/>
      <c r="CK1714" s="2060"/>
      <c r="CL1714" s="2060"/>
      <c r="CM1714" s="2060"/>
      <c r="CN1714" s="2060"/>
      <c r="CO1714" s="2060"/>
      <c r="CP1714" s="2060"/>
      <c r="CQ1714" s="2060"/>
      <c r="CR1714" s="2060"/>
      <c r="CS1714" s="2060"/>
      <c r="CT1714" s="2060"/>
      <c r="CU1714" s="2060"/>
      <c r="CV1714" s="2060"/>
      <c r="CW1714" s="2060"/>
      <c r="CX1714" s="2060"/>
      <c r="CY1714" s="2060"/>
      <c r="CZ1714" s="2060"/>
      <c r="DA1714" s="2060"/>
      <c r="DB1714" s="2060"/>
      <c r="DC1714" s="2060"/>
      <c r="DD1714" s="2060"/>
      <c r="DE1714" s="2060"/>
      <c r="DF1714" s="2060"/>
      <c r="DG1714" s="2060"/>
      <c r="DH1714" s="2060"/>
      <c r="DI1714" s="2060"/>
      <c r="DJ1714" s="2060"/>
      <c r="DK1714" s="2060"/>
      <c r="DL1714" s="2060"/>
      <c r="DM1714" s="2060"/>
      <c r="DN1714" s="2060"/>
      <c r="DO1714" s="2060"/>
      <c r="DP1714" s="2060"/>
      <c r="DQ1714" s="2060"/>
      <c r="DR1714" s="2060"/>
      <c r="DS1714" s="2060"/>
      <c r="DT1714" s="2060"/>
      <c r="DU1714" s="2060"/>
      <c r="DV1714" s="2060"/>
      <c r="DW1714" s="2060"/>
      <c r="DX1714" s="2060"/>
      <c r="DY1714" s="2060"/>
      <c r="DZ1714" s="2060"/>
      <c r="EA1714" s="2060"/>
      <c r="EB1714" s="2060"/>
      <c r="EC1714" s="2060"/>
      <c r="ED1714" s="2060"/>
      <c r="EE1714" s="2060"/>
      <c r="EF1714" s="2060"/>
      <c r="EG1714" s="2060"/>
      <c r="EH1714" s="2060"/>
      <c r="EI1714" s="2060"/>
      <c r="EJ1714" s="2060"/>
      <c r="EK1714" s="2060"/>
      <c r="EL1714" s="2060"/>
      <c r="EM1714" s="2060"/>
      <c r="EN1714" s="2060"/>
      <c r="EO1714" s="2060"/>
      <c r="EP1714" s="2060"/>
      <c r="EQ1714" s="2060"/>
      <c r="ER1714" s="2060"/>
      <c r="ES1714" s="2060"/>
      <c r="ET1714" s="2060"/>
      <c r="EU1714" s="2060"/>
      <c r="EV1714" s="2060"/>
      <c r="EW1714" s="2060"/>
      <c r="EX1714" s="2060"/>
      <c r="EY1714" s="2060"/>
      <c r="EZ1714" s="2060"/>
      <c r="FA1714" s="2060"/>
      <c r="FB1714" s="2060"/>
      <c r="FC1714" s="2060"/>
      <c r="FD1714" s="2060"/>
      <c r="FE1714" s="2060"/>
      <c r="FF1714" s="2060"/>
      <c r="FG1714" s="2060"/>
      <c r="FH1714" s="2060"/>
      <c r="FI1714" s="2060"/>
      <c r="FJ1714" s="2060"/>
      <c r="FK1714" s="2060"/>
      <c r="FL1714" s="2060"/>
      <c r="FM1714" s="2060"/>
      <c r="FN1714" s="2060"/>
      <c r="FO1714" s="2060"/>
      <c r="FP1714" s="2060"/>
      <c r="FQ1714" s="2060"/>
      <c r="FR1714" s="2060"/>
      <c r="FS1714" s="2060"/>
      <c r="FT1714" s="2060"/>
      <c r="FU1714" s="2060"/>
      <c r="FV1714" s="2060"/>
      <c r="FW1714" s="2060"/>
      <c r="FX1714" s="2060"/>
      <c r="FY1714" s="2060"/>
      <c r="FZ1714" s="2060"/>
      <c r="GA1714" s="2060"/>
      <c r="GB1714" s="2060"/>
      <c r="GC1714" s="2060"/>
      <c r="GD1714" s="2060"/>
      <c r="GE1714" s="2060"/>
      <c r="GF1714" s="2060"/>
      <c r="GG1714" s="2060"/>
      <c r="GH1714" s="2060"/>
      <c r="GI1714" s="2060"/>
      <c r="GJ1714" s="2060"/>
      <c r="GK1714" s="2060"/>
      <c r="GL1714" s="2060"/>
      <c r="GM1714" s="2060"/>
      <c r="GN1714" s="2060"/>
      <c r="GO1714" s="2060"/>
      <c r="GP1714" s="2060"/>
      <c r="GQ1714" s="2060"/>
      <c r="GR1714" s="2060"/>
      <c r="GS1714" s="2060"/>
      <c r="GT1714" s="2060"/>
      <c r="GU1714" s="2060"/>
      <c r="GV1714" s="2060"/>
      <c r="GW1714" s="2060"/>
      <c r="GX1714" s="2060"/>
      <c r="GY1714" s="2060"/>
      <c r="GZ1714" s="2060"/>
      <c r="HA1714" s="2060"/>
      <c r="HB1714" s="2060"/>
      <c r="HC1714" s="2060"/>
      <c r="HD1714" s="2060"/>
      <c r="HE1714" s="2060"/>
      <c r="HF1714" s="2060"/>
      <c r="HG1714" s="2060"/>
      <c r="HH1714" s="2060"/>
      <c r="HI1714" s="2060"/>
      <c r="HJ1714" s="2060"/>
      <c r="HK1714" s="2060"/>
      <c r="HL1714" s="2060"/>
      <c r="HM1714" s="2060"/>
      <c r="HN1714" s="2060"/>
      <c r="HO1714" s="2060"/>
      <c r="HP1714" s="2060"/>
      <c r="HQ1714" s="2060"/>
      <c r="HR1714" s="2060"/>
      <c r="HS1714" s="2060"/>
      <c r="HT1714" s="2060"/>
      <c r="HU1714" s="2060"/>
      <c r="HV1714" s="2060"/>
      <c r="HW1714" s="2060"/>
      <c r="HX1714" s="2060"/>
      <c r="HY1714" s="2060"/>
      <c r="HZ1714" s="2060"/>
      <c r="IA1714" s="2060"/>
      <c r="IB1714" s="2060"/>
      <c r="IC1714" s="2060"/>
      <c r="ID1714" s="2060"/>
      <c r="IE1714" s="2060"/>
      <c r="IF1714" s="2060"/>
      <c r="IG1714" s="2060"/>
      <c r="IH1714" s="2060"/>
      <c r="II1714" s="2060"/>
      <c r="IJ1714" s="2060"/>
      <c r="IK1714" s="2060"/>
      <c r="IL1714" s="2060"/>
      <c r="IM1714" s="2060"/>
      <c r="IN1714" s="2060"/>
      <c r="IO1714" s="2060"/>
      <c r="IP1714" s="2060"/>
      <c r="IQ1714" s="2060"/>
      <c r="IR1714" s="2060"/>
      <c r="IS1714" s="2060"/>
      <c r="IT1714" s="2060"/>
      <c r="IU1714" s="2060"/>
      <c r="IV1714" s="2060"/>
      <c r="IW1714" s="2060"/>
      <c r="IX1714" s="2060"/>
      <c r="IY1714" s="2060"/>
      <c r="IZ1714" s="2060"/>
      <c r="JA1714" s="2060"/>
      <c r="JB1714" s="2060"/>
      <c r="JC1714" s="2060"/>
      <c r="JD1714" s="2060"/>
      <c r="JE1714" s="2060"/>
      <c r="JF1714" s="2060"/>
      <c r="JG1714" s="2060"/>
      <c r="JH1714" s="2060"/>
      <c r="JI1714" s="2060"/>
      <c r="JJ1714" s="2060"/>
      <c r="JK1714" s="2060"/>
      <c r="JL1714" s="2060"/>
      <c r="JM1714" s="2060"/>
      <c r="JN1714" s="2060"/>
      <c r="JO1714" s="2060"/>
      <c r="JP1714" s="2060"/>
      <c r="JQ1714" s="2060"/>
      <c r="JR1714" s="2060"/>
      <c r="JS1714" s="2060"/>
      <c r="JT1714" s="2060"/>
      <c r="JU1714" s="2060"/>
      <c r="JV1714" s="2060"/>
      <c r="JW1714" s="2060"/>
      <c r="JX1714" s="2060"/>
      <c r="JY1714" s="2060"/>
      <c r="JZ1714" s="2060"/>
      <c r="KA1714" s="2060"/>
      <c r="KB1714" s="2060"/>
      <c r="KC1714" s="2060"/>
      <c r="KD1714" s="2060"/>
      <c r="KE1714" s="2060"/>
      <c r="KF1714" s="2060"/>
      <c r="KG1714" s="2060"/>
      <c r="KH1714" s="2060"/>
      <c r="KI1714" s="2060"/>
      <c r="KJ1714" s="2060"/>
      <c r="KK1714" s="2060"/>
      <c r="KL1714" s="2060"/>
      <c r="KM1714" s="2060"/>
      <c r="KN1714" s="2060"/>
      <c r="KO1714" s="2060"/>
      <c r="KP1714" s="2060"/>
      <c r="KQ1714" s="2060"/>
      <c r="KR1714" s="2060"/>
      <c r="KS1714" s="2060"/>
      <c r="KT1714" s="2060"/>
      <c r="KU1714" s="2060"/>
      <c r="KV1714" s="2060"/>
      <c r="KW1714" s="2060"/>
      <c r="KX1714" s="2060"/>
      <c r="KY1714" s="2060"/>
      <c r="KZ1714" s="2060"/>
      <c r="LA1714" s="2060"/>
      <c r="LB1714" s="2060"/>
      <c r="LC1714" s="2060"/>
      <c r="LD1714" s="2060"/>
      <c r="LE1714" s="2060"/>
      <c r="LF1714" s="2060"/>
      <c r="LG1714" s="2060"/>
      <c r="LH1714" s="2060"/>
    </row>
    <row r="1715" spans="1:320" s="449" customFormat="1" ht="13.9">
      <c r="A1715" s="269" t="str">
        <f t="shared" si="473"/>
        <v>n</v>
      </c>
      <c r="B1715" s="2060"/>
      <c r="C1715" s="2060"/>
      <c r="D1715" s="2060"/>
      <c r="E1715" s="1661">
        <v>12</v>
      </c>
      <c r="F1715" s="1353" t="str">
        <f>F$140</f>
        <v>--</v>
      </c>
      <c r="G1715" s="128">
        <f>G$140</f>
        <v>0</v>
      </c>
      <c r="H1715" s="128" t="str">
        <f>H$140</f>
        <v>--</v>
      </c>
      <c r="I1715" s="89" t="s">
        <v>774</v>
      </c>
      <c r="J1715" s="2197" t="str">
        <f>IF($G1715=0,"",_xll.ciqfunctions.udf.CIQ($G1715,$I1715,J1571,$H1715,FXMode)*Scale)</f>
        <v/>
      </c>
      <c r="K1715" s="2197" t="str">
        <f>IF($G1715=0,"",_xll.ciqfunctions.udf.CIQ($G1715,$I1715,K1571,$H1715,FXMode)*Scale)</f>
        <v/>
      </c>
      <c r="L1715" s="2197" t="str">
        <f>IF($G1715=0,"",_xll.ciqfunctions.udf.CIQ($G1715,$I1715,L1571,$H1715,FXMode)*Scale)</f>
        <v/>
      </c>
      <c r="M1715" s="2197" t="str">
        <f>IF($G1715=0,"",_xll.ciqfunctions.udf.CIQ($G1715,$I1715,M1571,$H1715,FXMode)*Scale)</f>
        <v/>
      </c>
      <c r="N1715" s="2197" t="str">
        <f>IF($G1715=0,"",_xll.ciqfunctions.udf.CIQ($G1715,$I1715,N1571,$H1715,FXMode)*Scale)</f>
        <v/>
      </c>
      <c r="O1715" s="2197" t="str">
        <f>IF($G1715=0,"",_xll.ciqfunctions.udf.CIQ($G1715,$I1715,O1571,$H1715,FXMode)*Scale)</f>
        <v/>
      </c>
      <c r="P1715" s="2197" t="str">
        <f>IF($G1715=0,"",_xll.ciqfunctions.udf.CIQ($G1715,$I1715,P1571,$H1715,FXMode)*Scale)</f>
        <v/>
      </c>
      <c r="Q1715" s="2197" t="str">
        <f>IF($G1715=0,"",_xll.ciqfunctions.udf.CIQ($G1715,$I1715,Q1571,$H1715,FXMode)*Scale)</f>
        <v/>
      </c>
      <c r="R1715" s="2197" t="str">
        <f>IF($G1715=0,"",_xll.ciqfunctions.udf.CIQ($G1715,$I1715,R1571,$H1715,FXMode)*Scale)</f>
        <v/>
      </c>
      <c r="S1715" s="2197" t="str">
        <f>IF($G1715=0,"",_xll.ciqfunctions.udf.CIQ($G1715,$I1715,S1571,$H1715,FXMode)*Scale)</f>
        <v/>
      </c>
      <c r="T1715" s="2197" t="str">
        <f>IF($G1715=0,"",_xll.ciqfunctions.udf.CIQ($G1715,$I1715,T1571,$H1715,FXMode)*Scale)</f>
        <v/>
      </c>
      <c r="U1715" s="2197" t="str">
        <f>IF($G1715=0,"",_xll.ciqfunctions.udf.CIQ($G1715,$I1715,U1571,$H1715,FXMode)*Scale)</f>
        <v/>
      </c>
      <c r="V1715" s="2197" t="str">
        <f>IF($G1715=0,"",_xll.ciqfunctions.udf.CIQ($G1715,$I1715,V1571,$H1715,FXMode)*Scale)</f>
        <v/>
      </c>
      <c r="W1715" s="1479"/>
      <c r="X1715" s="255"/>
      <c r="Y1715" s="255"/>
      <c r="Z1715" s="2060"/>
      <c r="AA1715" s="2060"/>
      <c r="AB1715" s="2060"/>
      <c r="AC1715" s="2060"/>
      <c r="AD1715" s="2060"/>
      <c r="AE1715" s="2060"/>
      <c r="AF1715" s="2060"/>
      <c r="AG1715" s="2060"/>
      <c r="AH1715" s="2060"/>
      <c r="AI1715" s="2060"/>
      <c r="AJ1715" s="2060"/>
      <c r="AK1715" s="2060"/>
      <c r="AL1715" s="2060"/>
      <c r="AM1715" s="2060"/>
      <c r="AN1715" s="2060"/>
      <c r="AO1715" s="2060"/>
      <c r="AP1715" s="2060"/>
      <c r="AQ1715" s="2060"/>
      <c r="AR1715" s="2060"/>
      <c r="AS1715" s="2060"/>
      <c r="AT1715" s="2060"/>
      <c r="AU1715" s="2060"/>
      <c r="AV1715" s="2060"/>
      <c r="AW1715" s="2060"/>
      <c r="AX1715" s="2060"/>
      <c r="AY1715" s="2060"/>
      <c r="AZ1715" s="2060"/>
      <c r="BA1715" s="2060"/>
      <c r="BB1715" s="2060"/>
      <c r="BC1715" s="2060"/>
      <c r="BD1715" s="2060"/>
      <c r="BE1715" s="2060"/>
      <c r="BF1715" s="2060"/>
      <c r="BG1715" s="2060"/>
      <c r="BH1715" s="2060"/>
      <c r="BI1715" s="2060"/>
      <c r="BJ1715" s="2060"/>
      <c r="BK1715" s="2060"/>
      <c r="BL1715" s="2060"/>
      <c r="BM1715" s="2060"/>
      <c r="BN1715" s="2060"/>
      <c r="BO1715" s="2060"/>
      <c r="BP1715" s="2060"/>
      <c r="BQ1715" s="2060"/>
      <c r="BR1715" s="2060"/>
      <c r="BS1715" s="2060"/>
      <c r="BT1715" s="2060"/>
      <c r="BU1715" s="2060"/>
      <c r="BV1715" s="2060"/>
      <c r="BW1715" s="2060"/>
      <c r="BX1715" s="2060"/>
      <c r="BY1715" s="2060"/>
      <c r="BZ1715" s="2060"/>
      <c r="CA1715" s="2060"/>
      <c r="CB1715" s="2060"/>
      <c r="CC1715" s="2060"/>
      <c r="CD1715" s="2060"/>
      <c r="CE1715" s="2060"/>
      <c r="CF1715" s="2060"/>
      <c r="CG1715" s="2060"/>
      <c r="CH1715" s="2060"/>
      <c r="CI1715" s="2060"/>
      <c r="CJ1715" s="2060"/>
      <c r="CK1715" s="2060"/>
      <c r="CL1715" s="2060"/>
      <c r="CM1715" s="2060"/>
      <c r="CN1715" s="2060"/>
      <c r="CO1715" s="2060"/>
      <c r="CP1715" s="2060"/>
      <c r="CQ1715" s="2060"/>
      <c r="CR1715" s="2060"/>
      <c r="CS1715" s="2060"/>
      <c r="CT1715" s="2060"/>
      <c r="CU1715" s="2060"/>
      <c r="CV1715" s="2060"/>
      <c r="CW1715" s="2060"/>
      <c r="CX1715" s="2060"/>
      <c r="CY1715" s="2060"/>
      <c r="CZ1715" s="2060"/>
      <c r="DA1715" s="2060"/>
      <c r="DB1715" s="2060"/>
      <c r="DC1715" s="2060"/>
      <c r="DD1715" s="2060"/>
      <c r="DE1715" s="2060"/>
      <c r="DF1715" s="2060"/>
      <c r="DG1715" s="2060"/>
      <c r="DH1715" s="2060"/>
      <c r="DI1715" s="2060"/>
      <c r="DJ1715" s="2060"/>
      <c r="DK1715" s="2060"/>
      <c r="DL1715" s="2060"/>
      <c r="DM1715" s="2060"/>
      <c r="DN1715" s="2060"/>
      <c r="DO1715" s="2060"/>
      <c r="DP1715" s="2060"/>
      <c r="DQ1715" s="2060"/>
      <c r="DR1715" s="2060"/>
      <c r="DS1715" s="2060"/>
      <c r="DT1715" s="2060"/>
      <c r="DU1715" s="2060"/>
      <c r="DV1715" s="2060"/>
      <c r="DW1715" s="2060"/>
      <c r="DX1715" s="2060"/>
      <c r="DY1715" s="2060"/>
      <c r="DZ1715" s="2060"/>
      <c r="EA1715" s="2060"/>
      <c r="EB1715" s="2060"/>
      <c r="EC1715" s="2060"/>
      <c r="ED1715" s="2060"/>
      <c r="EE1715" s="2060"/>
      <c r="EF1715" s="2060"/>
      <c r="EG1715" s="2060"/>
      <c r="EH1715" s="2060"/>
      <c r="EI1715" s="2060"/>
      <c r="EJ1715" s="2060"/>
      <c r="EK1715" s="2060"/>
      <c r="EL1715" s="2060"/>
      <c r="EM1715" s="2060"/>
      <c r="EN1715" s="2060"/>
      <c r="EO1715" s="2060"/>
      <c r="EP1715" s="2060"/>
      <c r="EQ1715" s="2060"/>
      <c r="ER1715" s="2060"/>
      <c r="ES1715" s="2060"/>
      <c r="ET1715" s="2060"/>
      <c r="EU1715" s="2060"/>
      <c r="EV1715" s="2060"/>
      <c r="EW1715" s="2060"/>
      <c r="EX1715" s="2060"/>
      <c r="EY1715" s="2060"/>
      <c r="EZ1715" s="2060"/>
      <c r="FA1715" s="2060"/>
      <c r="FB1715" s="2060"/>
      <c r="FC1715" s="2060"/>
      <c r="FD1715" s="2060"/>
      <c r="FE1715" s="2060"/>
      <c r="FF1715" s="2060"/>
      <c r="FG1715" s="2060"/>
      <c r="FH1715" s="2060"/>
      <c r="FI1715" s="2060"/>
      <c r="FJ1715" s="2060"/>
      <c r="FK1715" s="2060"/>
      <c r="FL1715" s="2060"/>
      <c r="FM1715" s="2060"/>
      <c r="FN1715" s="2060"/>
      <c r="FO1715" s="2060"/>
      <c r="FP1715" s="2060"/>
      <c r="FQ1715" s="2060"/>
      <c r="FR1715" s="2060"/>
      <c r="FS1715" s="2060"/>
      <c r="FT1715" s="2060"/>
      <c r="FU1715" s="2060"/>
      <c r="FV1715" s="2060"/>
      <c r="FW1715" s="2060"/>
      <c r="FX1715" s="2060"/>
      <c r="FY1715" s="2060"/>
      <c r="FZ1715" s="2060"/>
      <c r="GA1715" s="2060"/>
      <c r="GB1715" s="2060"/>
      <c r="GC1715" s="2060"/>
      <c r="GD1715" s="2060"/>
      <c r="GE1715" s="2060"/>
      <c r="GF1715" s="2060"/>
      <c r="GG1715" s="2060"/>
      <c r="GH1715" s="2060"/>
      <c r="GI1715" s="2060"/>
      <c r="GJ1715" s="2060"/>
      <c r="GK1715" s="2060"/>
      <c r="GL1715" s="2060"/>
      <c r="GM1715" s="2060"/>
      <c r="GN1715" s="2060"/>
      <c r="GO1715" s="2060"/>
      <c r="GP1715" s="2060"/>
      <c r="GQ1715" s="2060"/>
      <c r="GR1715" s="2060"/>
      <c r="GS1715" s="2060"/>
      <c r="GT1715" s="2060"/>
      <c r="GU1715" s="2060"/>
      <c r="GV1715" s="2060"/>
      <c r="GW1715" s="2060"/>
      <c r="GX1715" s="2060"/>
      <c r="GY1715" s="2060"/>
      <c r="GZ1715" s="2060"/>
      <c r="HA1715" s="2060"/>
      <c r="HB1715" s="2060"/>
      <c r="HC1715" s="2060"/>
      <c r="HD1715" s="2060"/>
      <c r="HE1715" s="2060"/>
      <c r="HF1715" s="2060"/>
      <c r="HG1715" s="2060"/>
      <c r="HH1715" s="2060"/>
      <c r="HI1715" s="2060"/>
      <c r="HJ1715" s="2060"/>
      <c r="HK1715" s="2060"/>
      <c r="HL1715" s="2060"/>
      <c r="HM1715" s="2060"/>
      <c r="HN1715" s="2060"/>
      <c r="HO1715" s="2060"/>
      <c r="HP1715" s="2060"/>
      <c r="HQ1715" s="2060"/>
      <c r="HR1715" s="2060"/>
      <c r="HS1715" s="2060"/>
      <c r="HT1715" s="2060"/>
      <c r="HU1715" s="2060"/>
      <c r="HV1715" s="2060"/>
      <c r="HW1715" s="2060"/>
      <c r="HX1715" s="2060"/>
      <c r="HY1715" s="2060"/>
      <c r="HZ1715" s="2060"/>
      <c r="IA1715" s="2060"/>
      <c r="IB1715" s="2060"/>
      <c r="IC1715" s="2060"/>
      <c r="ID1715" s="2060"/>
      <c r="IE1715" s="2060"/>
      <c r="IF1715" s="2060"/>
      <c r="IG1715" s="2060"/>
      <c r="IH1715" s="2060"/>
      <c r="II1715" s="2060"/>
      <c r="IJ1715" s="2060"/>
      <c r="IK1715" s="2060"/>
      <c r="IL1715" s="2060"/>
      <c r="IM1715" s="2060"/>
      <c r="IN1715" s="2060"/>
      <c r="IO1715" s="2060"/>
      <c r="IP1715" s="2060"/>
      <c r="IQ1715" s="2060"/>
      <c r="IR1715" s="2060"/>
      <c r="IS1715" s="2060"/>
      <c r="IT1715" s="2060"/>
      <c r="IU1715" s="2060"/>
      <c r="IV1715" s="2060"/>
      <c r="IW1715" s="2060"/>
      <c r="IX1715" s="2060"/>
      <c r="IY1715" s="2060"/>
      <c r="IZ1715" s="2060"/>
      <c r="JA1715" s="2060"/>
      <c r="JB1715" s="2060"/>
      <c r="JC1715" s="2060"/>
      <c r="JD1715" s="2060"/>
      <c r="JE1715" s="2060"/>
      <c r="JF1715" s="2060"/>
      <c r="JG1715" s="2060"/>
      <c r="JH1715" s="2060"/>
      <c r="JI1715" s="2060"/>
      <c r="JJ1715" s="2060"/>
      <c r="JK1715" s="2060"/>
      <c r="JL1715" s="2060"/>
      <c r="JM1715" s="2060"/>
      <c r="JN1715" s="2060"/>
      <c r="JO1715" s="2060"/>
      <c r="JP1715" s="2060"/>
      <c r="JQ1715" s="2060"/>
      <c r="JR1715" s="2060"/>
      <c r="JS1715" s="2060"/>
      <c r="JT1715" s="2060"/>
      <c r="JU1715" s="2060"/>
      <c r="JV1715" s="2060"/>
      <c r="JW1715" s="2060"/>
      <c r="JX1715" s="2060"/>
      <c r="JY1715" s="2060"/>
      <c r="JZ1715" s="2060"/>
      <c r="KA1715" s="2060"/>
      <c r="KB1715" s="2060"/>
      <c r="KC1715" s="2060"/>
      <c r="KD1715" s="2060"/>
      <c r="KE1715" s="2060"/>
      <c r="KF1715" s="2060"/>
      <c r="KG1715" s="2060"/>
      <c r="KH1715" s="2060"/>
      <c r="KI1715" s="2060"/>
      <c r="KJ1715" s="2060"/>
      <c r="KK1715" s="2060"/>
      <c r="KL1715" s="2060"/>
      <c r="KM1715" s="2060"/>
      <c r="KN1715" s="2060"/>
      <c r="KO1715" s="2060"/>
      <c r="KP1715" s="2060"/>
      <c r="KQ1715" s="2060"/>
      <c r="KR1715" s="2060"/>
      <c r="KS1715" s="2060"/>
      <c r="KT1715" s="2060"/>
      <c r="KU1715" s="2060"/>
      <c r="KV1715" s="2060"/>
      <c r="KW1715" s="2060"/>
      <c r="KX1715" s="2060"/>
      <c r="KY1715" s="2060"/>
      <c r="KZ1715" s="2060"/>
      <c r="LA1715" s="2060"/>
      <c r="LB1715" s="2060"/>
      <c r="LC1715" s="2060"/>
      <c r="LD1715" s="2060"/>
      <c r="LE1715" s="2060"/>
      <c r="LF1715" s="2060"/>
      <c r="LG1715" s="2060"/>
      <c r="LH1715" s="2060"/>
    </row>
    <row r="1716" spans="1:320" s="449" customFormat="1" ht="13.9">
      <c r="A1716" s="269" t="str">
        <f t="shared" si="473"/>
        <v>n</v>
      </c>
      <c r="B1716" s="2060"/>
      <c r="C1716" s="2060"/>
      <c r="D1716" s="2060"/>
      <c r="E1716" s="1661">
        <v>13</v>
      </c>
      <c r="F1716" s="1353" t="str">
        <f>F$141</f>
        <v>--</v>
      </c>
      <c r="G1716" s="128">
        <f>G$141</f>
        <v>0</v>
      </c>
      <c r="H1716" s="128" t="str">
        <f>H$141</f>
        <v>--</v>
      </c>
      <c r="I1716" s="89" t="s">
        <v>774</v>
      </c>
      <c r="J1716" s="2197" t="str">
        <f>IF($G1716=0,"",_xll.ciqfunctions.udf.CIQ($G1716,$I1716,J1572,$H1716,FXMode)*Scale)</f>
        <v/>
      </c>
      <c r="K1716" s="2197" t="str">
        <f>IF($G1716=0,"",_xll.ciqfunctions.udf.CIQ($G1716,$I1716,K1572,$H1716,FXMode)*Scale)</f>
        <v/>
      </c>
      <c r="L1716" s="2197" t="str">
        <f>IF($G1716=0,"",_xll.ciqfunctions.udf.CIQ($G1716,$I1716,L1572,$H1716,FXMode)*Scale)</f>
        <v/>
      </c>
      <c r="M1716" s="2197" t="str">
        <f>IF($G1716=0,"",_xll.ciqfunctions.udf.CIQ($G1716,$I1716,M1572,$H1716,FXMode)*Scale)</f>
        <v/>
      </c>
      <c r="N1716" s="2197" t="str">
        <f>IF($G1716=0,"",_xll.ciqfunctions.udf.CIQ($G1716,$I1716,N1572,$H1716,FXMode)*Scale)</f>
        <v/>
      </c>
      <c r="O1716" s="2197" t="str">
        <f>IF($G1716=0,"",_xll.ciqfunctions.udf.CIQ($G1716,$I1716,O1572,$H1716,FXMode)*Scale)</f>
        <v/>
      </c>
      <c r="P1716" s="2197" t="str">
        <f>IF($G1716=0,"",_xll.ciqfunctions.udf.CIQ($G1716,$I1716,P1572,$H1716,FXMode)*Scale)</f>
        <v/>
      </c>
      <c r="Q1716" s="2197" t="str">
        <f>IF($G1716=0,"",_xll.ciqfunctions.udf.CIQ($G1716,$I1716,Q1572,$H1716,FXMode)*Scale)</f>
        <v/>
      </c>
      <c r="R1716" s="2197" t="str">
        <f>IF($G1716=0,"",_xll.ciqfunctions.udf.CIQ($G1716,$I1716,R1572,$H1716,FXMode)*Scale)</f>
        <v/>
      </c>
      <c r="S1716" s="2197" t="str">
        <f>IF($G1716=0,"",_xll.ciqfunctions.udf.CIQ($G1716,$I1716,S1572,$H1716,FXMode)*Scale)</f>
        <v/>
      </c>
      <c r="T1716" s="2197" t="str">
        <f>IF($G1716=0,"",_xll.ciqfunctions.udf.CIQ($G1716,$I1716,T1572,$H1716,FXMode)*Scale)</f>
        <v/>
      </c>
      <c r="U1716" s="2197" t="str">
        <f>IF($G1716=0,"",_xll.ciqfunctions.udf.CIQ($G1716,$I1716,U1572,$H1716,FXMode)*Scale)</f>
        <v/>
      </c>
      <c r="V1716" s="2197" t="str">
        <f>IF($G1716=0,"",_xll.ciqfunctions.udf.CIQ($G1716,$I1716,V1572,$H1716,FXMode)*Scale)</f>
        <v/>
      </c>
      <c r="W1716" s="1479"/>
      <c r="X1716" s="255"/>
      <c r="Y1716" s="255"/>
      <c r="Z1716" s="2060"/>
      <c r="AA1716" s="2060"/>
      <c r="AB1716" s="2060"/>
      <c r="AC1716" s="2060"/>
      <c r="AD1716" s="2060"/>
      <c r="AE1716" s="2060"/>
      <c r="AF1716" s="2060"/>
      <c r="AG1716" s="2060"/>
      <c r="AH1716" s="2060"/>
      <c r="AI1716" s="2060"/>
      <c r="AJ1716" s="2060"/>
      <c r="AK1716" s="2060"/>
      <c r="AL1716" s="2060"/>
      <c r="AM1716" s="2060"/>
      <c r="AN1716" s="2060"/>
      <c r="AO1716" s="2060"/>
      <c r="AP1716" s="2060"/>
      <c r="AQ1716" s="2060"/>
      <c r="AR1716" s="2060"/>
      <c r="AS1716" s="2060"/>
      <c r="AT1716" s="2060"/>
      <c r="AU1716" s="2060"/>
      <c r="AV1716" s="2060"/>
      <c r="AW1716" s="2060"/>
      <c r="AX1716" s="2060"/>
      <c r="AY1716" s="2060"/>
      <c r="AZ1716" s="2060"/>
      <c r="BA1716" s="2060"/>
      <c r="BB1716" s="2060"/>
      <c r="BC1716" s="2060"/>
      <c r="BD1716" s="2060"/>
      <c r="BE1716" s="2060"/>
      <c r="BF1716" s="2060"/>
      <c r="BG1716" s="2060"/>
      <c r="BH1716" s="2060"/>
      <c r="BI1716" s="2060"/>
      <c r="BJ1716" s="2060"/>
      <c r="BK1716" s="2060"/>
      <c r="BL1716" s="2060"/>
      <c r="BM1716" s="2060"/>
      <c r="BN1716" s="2060"/>
      <c r="BO1716" s="2060"/>
      <c r="BP1716" s="2060"/>
      <c r="BQ1716" s="2060"/>
      <c r="BR1716" s="2060"/>
      <c r="BS1716" s="2060"/>
      <c r="BT1716" s="2060"/>
      <c r="BU1716" s="2060"/>
      <c r="BV1716" s="2060"/>
      <c r="BW1716" s="2060"/>
      <c r="BX1716" s="2060"/>
      <c r="BY1716" s="2060"/>
      <c r="BZ1716" s="2060"/>
      <c r="CA1716" s="2060"/>
      <c r="CB1716" s="2060"/>
      <c r="CC1716" s="2060"/>
      <c r="CD1716" s="2060"/>
      <c r="CE1716" s="2060"/>
      <c r="CF1716" s="2060"/>
      <c r="CG1716" s="2060"/>
      <c r="CH1716" s="2060"/>
      <c r="CI1716" s="2060"/>
      <c r="CJ1716" s="2060"/>
      <c r="CK1716" s="2060"/>
      <c r="CL1716" s="2060"/>
      <c r="CM1716" s="2060"/>
      <c r="CN1716" s="2060"/>
      <c r="CO1716" s="2060"/>
      <c r="CP1716" s="2060"/>
      <c r="CQ1716" s="2060"/>
      <c r="CR1716" s="2060"/>
      <c r="CS1716" s="2060"/>
      <c r="CT1716" s="2060"/>
      <c r="CU1716" s="2060"/>
      <c r="CV1716" s="2060"/>
      <c r="CW1716" s="2060"/>
      <c r="CX1716" s="2060"/>
      <c r="CY1716" s="2060"/>
      <c r="CZ1716" s="2060"/>
      <c r="DA1716" s="2060"/>
      <c r="DB1716" s="2060"/>
      <c r="DC1716" s="2060"/>
      <c r="DD1716" s="2060"/>
      <c r="DE1716" s="2060"/>
      <c r="DF1716" s="2060"/>
      <c r="DG1716" s="2060"/>
      <c r="DH1716" s="2060"/>
      <c r="DI1716" s="2060"/>
      <c r="DJ1716" s="2060"/>
      <c r="DK1716" s="2060"/>
      <c r="DL1716" s="2060"/>
      <c r="DM1716" s="2060"/>
      <c r="DN1716" s="2060"/>
      <c r="DO1716" s="2060"/>
      <c r="DP1716" s="2060"/>
      <c r="DQ1716" s="2060"/>
      <c r="DR1716" s="2060"/>
      <c r="DS1716" s="2060"/>
      <c r="DT1716" s="2060"/>
      <c r="DU1716" s="2060"/>
      <c r="DV1716" s="2060"/>
      <c r="DW1716" s="2060"/>
      <c r="DX1716" s="2060"/>
      <c r="DY1716" s="2060"/>
      <c r="DZ1716" s="2060"/>
      <c r="EA1716" s="2060"/>
      <c r="EB1716" s="2060"/>
      <c r="EC1716" s="2060"/>
      <c r="ED1716" s="2060"/>
      <c r="EE1716" s="2060"/>
      <c r="EF1716" s="2060"/>
      <c r="EG1716" s="2060"/>
      <c r="EH1716" s="2060"/>
      <c r="EI1716" s="2060"/>
      <c r="EJ1716" s="2060"/>
      <c r="EK1716" s="2060"/>
      <c r="EL1716" s="2060"/>
      <c r="EM1716" s="2060"/>
      <c r="EN1716" s="2060"/>
      <c r="EO1716" s="2060"/>
      <c r="EP1716" s="2060"/>
      <c r="EQ1716" s="2060"/>
      <c r="ER1716" s="2060"/>
      <c r="ES1716" s="2060"/>
      <c r="ET1716" s="2060"/>
      <c r="EU1716" s="2060"/>
      <c r="EV1716" s="2060"/>
      <c r="EW1716" s="2060"/>
      <c r="EX1716" s="2060"/>
      <c r="EY1716" s="2060"/>
      <c r="EZ1716" s="2060"/>
      <c r="FA1716" s="2060"/>
      <c r="FB1716" s="2060"/>
      <c r="FC1716" s="2060"/>
      <c r="FD1716" s="2060"/>
      <c r="FE1716" s="2060"/>
      <c r="FF1716" s="2060"/>
      <c r="FG1716" s="2060"/>
      <c r="FH1716" s="2060"/>
      <c r="FI1716" s="2060"/>
      <c r="FJ1716" s="2060"/>
      <c r="FK1716" s="2060"/>
      <c r="FL1716" s="2060"/>
      <c r="FM1716" s="2060"/>
      <c r="FN1716" s="2060"/>
      <c r="FO1716" s="2060"/>
      <c r="FP1716" s="2060"/>
      <c r="FQ1716" s="2060"/>
      <c r="FR1716" s="2060"/>
      <c r="FS1716" s="2060"/>
      <c r="FT1716" s="2060"/>
      <c r="FU1716" s="2060"/>
      <c r="FV1716" s="2060"/>
      <c r="FW1716" s="2060"/>
      <c r="FX1716" s="2060"/>
      <c r="FY1716" s="2060"/>
      <c r="FZ1716" s="2060"/>
      <c r="GA1716" s="2060"/>
      <c r="GB1716" s="2060"/>
      <c r="GC1716" s="2060"/>
      <c r="GD1716" s="2060"/>
      <c r="GE1716" s="2060"/>
      <c r="GF1716" s="2060"/>
      <c r="GG1716" s="2060"/>
      <c r="GH1716" s="2060"/>
      <c r="GI1716" s="2060"/>
      <c r="GJ1716" s="2060"/>
      <c r="GK1716" s="2060"/>
      <c r="GL1716" s="2060"/>
      <c r="GM1716" s="2060"/>
      <c r="GN1716" s="2060"/>
      <c r="GO1716" s="2060"/>
      <c r="GP1716" s="2060"/>
      <c r="GQ1716" s="2060"/>
      <c r="GR1716" s="2060"/>
      <c r="GS1716" s="2060"/>
      <c r="GT1716" s="2060"/>
      <c r="GU1716" s="2060"/>
      <c r="GV1716" s="2060"/>
      <c r="GW1716" s="2060"/>
      <c r="GX1716" s="2060"/>
      <c r="GY1716" s="2060"/>
      <c r="GZ1716" s="2060"/>
      <c r="HA1716" s="2060"/>
      <c r="HB1716" s="2060"/>
      <c r="HC1716" s="2060"/>
      <c r="HD1716" s="2060"/>
      <c r="HE1716" s="2060"/>
      <c r="HF1716" s="2060"/>
      <c r="HG1716" s="2060"/>
      <c r="HH1716" s="2060"/>
      <c r="HI1716" s="2060"/>
      <c r="HJ1716" s="2060"/>
      <c r="HK1716" s="2060"/>
      <c r="HL1716" s="2060"/>
      <c r="HM1716" s="2060"/>
      <c r="HN1716" s="2060"/>
      <c r="HO1716" s="2060"/>
      <c r="HP1716" s="2060"/>
      <c r="HQ1716" s="2060"/>
      <c r="HR1716" s="2060"/>
      <c r="HS1716" s="2060"/>
      <c r="HT1716" s="2060"/>
      <c r="HU1716" s="2060"/>
      <c r="HV1716" s="2060"/>
      <c r="HW1716" s="2060"/>
      <c r="HX1716" s="2060"/>
      <c r="HY1716" s="2060"/>
      <c r="HZ1716" s="2060"/>
      <c r="IA1716" s="2060"/>
      <c r="IB1716" s="2060"/>
      <c r="IC1716" s="2060"/>
      <c r="ID1716" s="2060"/>
      <c r="IE1716" s="2060"/>
      <c r="IF1716" s="2060"/>
      <c r="IG1716" s="2060"/>
      <c r="IH1716" s="2060"/>
      <c r="II1716" s="2060"/>
      <c r="IJ1716" s="2060"/>
      <c r="IK1716" s="2060"/>
      <c r="IL1716" s="2060"/>
      <c r="IM1716" s="2060"/>
      <c r="IN1716" s="2060"/>
      <c r="IO1716" s="2060"/>
      <c r="IP1716" s="2060"/>
      <c r="IQ1716" s="2060"/>
      <c r="IR1716" s="2060"/>
      <c r="IS1716" s="2060"/>
      <c r="IT1716" s="2060"/>
      <c r="IU1716" s="2060"/>
      <c r="IV1716" s="2060"/>
      <c r="IW1716" s="2060"/>
      <c r="IX1716" s="2060"/>
      <c r="IY1716" s="2060"/>
      <c r="IZ1716" s="2060"/>
      <c r="JA1716" s="2060"/>
      <c r="JB1716" s="2060"/>
      <c r="JC1716" s="2060"/>
      <c r="JD1716" s="2060"/>
      <c r="JE1716" s="2060"/>
      <c r="JF1716" s="2060"/>
      <c r="JG1716" s="2060"/>
      <c r="JH1716" s="2060"/>
      <c r="JI1716" s="2060"/>
      <c r="JJ1716" s="2060"/>
      <c r="JK1716" s="2060"/>
      <c r="JL1716" s="2060"/>
      <c r="JM1716" s="2060"/>
      <c r="JN1716" s="2060"/>
      <c r="JO1716" s="2060"/>
      <c r="JP1716" s="2060"/>
      <c r="JQ1716" s="2060"/>
      <c r="JR1716" s="2060"/>
      <c r="JS1716" s="2060"/>
      <c r="JT1716" s="2060"/>
      <c r="JU1716" s="2060"/>
      <c r="JV1716" s="2060"/>
      <c r="JW1716" s="2060"/>
      <c r="JX1716" s="2060"/>
      <c r="JY1716" s="2060"/>
      <c r="JZ1716" s="2060"/>
      <c r="KA1716" s="2060"/>
      <c r="KB1716" s="2060"/>
      <c r="KC1716" s="2060"/>
      <c r="KD1716" s="2060"/>
      <c r="KE1716" s="2060"/>
      <c r="KF1716" s="2060"/>
      <c r="KG1716" s="2060"/>
      <c r="KH1716" s="2060"/>
      <c r="KI1716" s="2060"/>
      <c r="KJ1716" s="2060"/>
      <c r="KK1716" s="2060"/>
      <c r="KL1716" s="2060"/>
      <c r="KM1716" s="2060"/>
      <c r="KN1716" s="2060"/>
      <c r="KO1716" s="2060"/>
      <c r="KP1716" s="2060"/>
      <c r="KQ1716" s="2060"/>
      <c r="KR1716" s="2060"/>
      <c r="KS1716" s="2060"/>
      <c r="KT1716" s="2060"/>
      <c r="KU1716" s="2060"/>
      <c r="KV1716" s="2060"/>
      <c r="KW1716" s="2060"/>
      <c r="KX1716" s="2060"/>
      <c r="KY1716" s="2060"/>
      <c r="KZ1716" s="2060"/>
      <c r="LA1716" s="2060"/>
      <c r="LB1716" s="2060"/>
      <c r="LC1716" s="2060"/>
      <c r="LD1716" s="2060"/>
      <c r="LE1716" s="2060"/>
      <c r="LF1716" s="2060"/>
      <c r="LG1716" s="2060"/>
      <c r="LH1716" s="2060"/>
    </row>
    <row r="1717" spans="1:320" s="449" customFormat="1" ht="13.9">
      <c r="A1717" s="269" t="str">
        <f t="shared" si="473"/>
        <v>n</v>
      </c>
      <c r="B1717" s="2060"/>
      <c r="C1717" s="2060"/>
      <c r="D1717" s="2060"/>
      <c r="E1717" s="1661">
        <v>14</v>
      </c>
      <c r="F1717" s="1353" t="str">
        <f>F$142</f>
        <v>--</v>
      </c>
      <c r="G1717" s="128">
        <f>G$142</f>
        <v>0</v>
      </c>
      <c r="H1717" s="128" t="str">
        <f>H$142</f>
        <v>--</v>
      </c>
      <c r="I1717" s="89" t="s">
        <v>774</v>
      </c>
      <c r="J1717" s="2197" t="str">
        <f>IF($G1717=0,"",_xll.ciqfunctions.udf.CIQ($G1717,$I1717,J1573,$H1717,FXMode)*Scale)</f>
        <v/>
      </c>
      <c r="K1717" s="2197" t="str">
        <f>IF($G1717=0,"",_xll.ciqfunctions.udf.CIQ($G1717,$I1717,K1573,$H1717,FXMode)*Scale)</f>
        <v/>
      </c>
      <c r="L1717" s="2197" t="str">
        <f>IF($G1717=0,"",_xll.ciqfunctions.udf.CIQ($G1717,$I1717,L1573,$H1717,FXMode)*Scale)</f>
        <v/>
      </c>
      <c r="M1717" s="2197" t="str">
        <f>IF($G1717=0,"",_xll.ciqfunctions.udf.CIQ($G1717,$I1717,M1573,$H1717,FXMode)*Scale)</f>
        <v/>
      </c>
      <c r="N1717" s="2197" t="str">
        <f>IF($G1717=0,"",_xll.ciqfunctions.udf.CIQ($G1717,$I1717,N1573,$H1717,FXMode)*Scale)</f>
        <v/>
      </c>
      <c r="O1717" s="2197" t="str">
        <f>IF($G1717=0,"",_xll.ciqfunctions.udf.CIQ($G1717,$I1717,O1573,$H1717,FXMode)*Scale)</f>
        <v/>
      </c>
      <c r="P1717" s="2197" t="str">
        <f>IF($G1717=0,"",_xll.ciqfunctions.udf.CIQ($G1717,$I1717,P1573,$H1717,FXMode)*Scale)</f>
        <v/>
      </c>
      <c r="Q1717" s="2197" t="str">
        <f>IF($G1717=0,"",_xll.ciqfunctions.udf.CIQ($G1717,$I1717,Q1573,$H1717,FXMode)*Scale)</f>
        <v/>
      </c>
      <c r="R1717" s="2197" t="str">
        <f>IF($G1717=0,"",_xll.ciqfunctions.udf.CIQ($G1717,$I1717,R1573,$H1717,FXMode)*Scale)</f>
        <v/>
      </c>
      <c r="S1717" s="2197" t="str">
        <f>IF($G1717=0,"",_xll.ciqfunctions.udf.CIQ($G1717,$I1717,S1573,$H1717,FXMode)*Scale)</f>
        <v/>
      </c>
      <c r="T1717" s="2197" t="str">
        <f>IF($G1717=0,"",_xll.ciqfunctions.udf.CIQ($G1717,$I1717,T1573,$H1717,FXMode)*Scale)</f>
        <v/>
      </c>
      <c r="U1717" s="2197" t="str">
        <f>IF($G1717=0,"",_xll.ciqfunctions.udf.CIQ($G1717,$I1717,U1573,$H1717,FXMode)*Scale)</f>
        <v/>
      </c>
      <c r="V1717" s="2197" t="str">
        <f>IF($G1717=0,"",_xll.ciqfunctions.udf.CIQ($G1717,$I1717,V1573,$H1717,FXMode)*Scale)</f>
        <v/>
      </c>
      <c r="W1717" s="1479"/>
      <c r="X1717" s="255"/>
      <c r="Y1717" s="255"/>
      <c r="Z1717" s="2060"/>
      <c r="AA1717" s="2060"/>
      <c r="AB1717" s="2060"/>
      <c r="AC1717" s="2060"/>
      <c r="AD1717" s="2060"/>
      <c r="AE1717" s="2060"/>
      <c r="AF1717" s="2060"/>
      <c r="AG1717" s="2060"/>
      <c r="AH1717" s="2060"/>
      <c r="AI1717" s="2060"/>
      <c r="AJ1717" s="2060"/>
      <c r="AK1717" s="2060"/>
      <c r="AL1717" s="2060"/>
      <c r="AM1717" s="2060"/>
      <c r="AN1717" s="2060"/>
      <c r="AO1717" s="2060"/>
      <c r="AP1717" s="2060"/>
      <c r="AQ1717" s="2060"/>
      <c r="AR1717" s="2060"/>
      <c r="AS1717" s="2060"/>
      <c r="AT1717" s="2060"/>
      <c r="AU1717" s="2060"/>
      <c r="AV1717" s="2060"/>
      <c r="AW1717" s="2060"/>
      <c r="AX1717" s="2060"/>
      <c r="AY1717" s="2060"/>
      <c r="AZ1717" s="2060"/>
      <c r="BA1717" s="2060"/>
      <c r="BB1717" s="2060"/>
      <c r="BC1717" s="2060"/>
      <c r="BD1717" s="2060"/>
      <c r="BE1717" s="2060"/>
      <c r="BF1717" s="2060"/>
      <c r="BG1717" s="2060"/>
      <c r="BH1717" s="2060"/>
      <c r="BI1717" s="2060"/>
      <c r="BJ1717" s="2060"/>
      <c r="BK1717" s="2060"/>
      <c r="BL1717" s="2060"/>
      <c r="BM1717" s="2060"/>
      <c r="BN1717" s="2060"/>
      <c r="BO1717" s="2060"/>
      <c r="BP1717" s="2060"/>
      <c r="BQ1717" s="2060"/>
      <c r="BR1717" s="2060"/>
      <c r="BS1717" s="2060"/>
      <c r="BT1717" s="2060"/>
      <c r="BU1717" s="2060"/>
      <c r="BV1717" s="2060"/>
      <c r="BW1717" s="2060"/>
      <c r="BX1717" s="2060"/>
      <c r="BY1717" s="2060"/>
      <c r="BZ1717" s="2060"/>
      <c r="CA1717" s="2060"/>
      <c r="CB1717" s="2060"/>
      <c r="CC1717" s="2060"/>
      <c r="CD1717" s="2060"/>
      <c r="CE1717" s="2060"/>
      <c r="CF1717" s="2060"/>
      <c r="CG1717" s="2060"/>
      <c r="CH1717" s="2060"/>
      <c r="CI1717" s="2060"/>
      <c r="CJ1717" s="2060"/>
      <c r="CK1717" s="2060"/>
      <c r="CL1717" s="2060"/>
      <c r="CM1717" s="2060"/>
      <c r="CN1717" s="2060"/>
      <c r="CO1717" s="2060"/>
      <c r="CP1717" s="2060"/>
      <c r="CQ1717" s="2060"/>
      <c r="CR1717" s="2060"/>
      <c r="CS1717" s="2060"/>
      <c r="CT1717" s="2060"/>
      <c r="CU1717" s="2060"/>
      <c r="CV1717" s="2060"/>
      <c r="CW1717" s="2060"/>
      <c r="CX1717" s="2060"/>
      <c r="CY1717" s="2060"/>
      <c r="CZ1717" s="2060"/>
      <c r="DA1717" s="2060"/>
      <c r="DB1717" s="2060"/>
      <c r="DC1717" s="2060"/>
      <c r="DD1717" s="2060"/>
      <c r="DE1717" s="2060"/>
      <c r="DF1717" s="2060"/>
      <c r="DG1717" s="2060"/>
      <c r="DH1717" s="2060"/>
      <c r="DI1717" s="2060"/>
      <c r="DJ1717" s="2060"/>
      <c r="DK1717" s="2060"/>
      <c r="DL1717" s="2060"/>
      <c r="DM1717" s="2060"/>
      <c r="DN1717" s="2060"/>
      <c r="DO1717" s="2060"/>
      <c r="DP1717" s="2060"/>
      <c r="DQ1717" s="2060"/>
      <c r="DR1717" s="2060"/>
      <c r="DS1717" s="2060"/>
      <c r="DT1717" s="2060"/>
      <c r="DU1717" s="2060"/>
      <c r="DV1717" s="2060"/>
      <c r="DW1717" s="2060"/>
      <c r="DX1717" s="2060"/>
      <c r="DY1717" s="2060"/>
      <c r="DZ1717" s="2060"/>
      <c r="EA1717" s="2060"/>
      <c r="EB1717" s="2060"/>
      <c r="EC1717" s="2060"/>
      <c r="ED1717" s="2060"/>
      <c r="EE1717" s="2060"/>
      <c r="EF1717" s="2060"/>
      <c r="EG1717" s="2060"/>
      <c r="EH1717" s="2060"/>
      <c r="EI1717" s="2060"/>
      <c r="EJ1717" s="2060"/>
      <c r="EK1717" s="2060"/>
      <c r="EL1717" s="2060"/>
      <c r="EM1717" s="2060"/>
      <c r="EN1717" s="2060"/>
      <c r="EO1717" s="2060"/>
      <c r="EP1717" s="2060"/>
      <c r="EQ1717" s="2060"/>
      <c r="ER1717" s="2060"/>
      <c r="ES1717" s="2060"/>
      <c r="ET1717" s="2060"/>
      <c r="EU1717" s="2060"/>
      <c r="EV1717" s="2060"/>
      <c r="EW1717" s="2060"/>
      <c r="EX1717" s="2060"/>
      <c r="EY1717" s="2060"/>
      <c r="EZ1717" s="2060"/>
      <c r="FA1717" s="2060"/>
      <c r="FB1717" s="2060"/>
      <c r="FC1717" s="2060"/>
      <c r="FD1717" s="2060"/>
      <c r="FE1717" s="2060"/>
      <c r="FF1717" s="2060"/>
      <c r="FG1717" s="2060"/>
      <c r="FH1717" s="2060"/>
      <c r="FI1717" s="2060"/>
      <c r="FJ1717" s="2060"/>
      <c r="FK1717" s="2060"/>
      <c r="FL1717" s="2060"/>
      <c r="FM1717" s="2060"/>
      <c r="FN1717" s="2060"/>
      <c r="FO1717" s="2060"/>
      <c r="FP1717" s="2060"/>
      <c r="FQ1717" s="2060"/>
      <c r="FR1717" s="2060"/>
      <c r="FS1717" s="2060"/>
      <c r="FT1717" s="2060"/>
      <c r="FU1717" s="2060"/>
      <c r="FV1717" s="2060"/>
      <c r="FW1717" s="2060"/>
      <c r="FX1717" s="2060"/>
      <c r="FY1717" s="2060"/>
      <c r="FZ1717" s="2060"/>
      <c r="GA1717" s="2060"/>
      <c r="GB1717" s="2060"/>
      <c r="GC1717" s="2060"/>
      <c r="GD1717" s="2060"/>
      <c r="GE1717" s="2060"/>
      <c r="GF1717" s="2060"/>
      <c r="GG1717" s="2060"/>
      <c r="GH1717" s="2060"/>
      <c r="GI1717" s="2060"/>
      <c r="GJ1717" s="2060"/>
      <c r="GK1717" s="2060"/>
      <c r="GL1717" s="2060"/>
      <c r="GM1717" s="2060"/>
      <c r="GN1717" s="2060"/>
      <c r="GO1717" s="2060"/>
      <c r="GP1717" s="2060"/>
      <c r="GQ1717" s="2060"/>
      <c r="GR1717" s="2060"/>
      <c r="GS1717" s="2060"/>
      <c r="GT1717" s="2060"/>
      <c r="GU1717" s="2060"/>
      <c r="GV1717" s="2060"/>
      <c r="GW1717" s="2060"/>
      <c r="GX1717" s="2060"/>
      <c r="GY1717" s="2060"/>
      <c r="GZ1717" s="2060"/>
      <c r="HA1717" s="2060"/>
      <c r="HB1717" s="2060"/>
      <c r="HC1717" s="2060"/>
      <c r="HD1717" s="2060"/>
      <c r="HE1717" s="2060"/>
      <c r="HF1717" s="2060"/>
      <c r="HG1717" s="2060"/>
      <c r="HH1717" s="2060"/>
      <c r="HI1717" s="2060"/>
      <c r="HJ1717" s="2060"/>
      <c r="HK1717" s="2060"/>
      <c r="HL1717" s="2060"/>
      <c r="HM1717" s="2060"/>
      <c r="HN1717" s="2060"/>
      <c r="HO1717" s="2060"/>
      <c r="HP1717" s="2060"/>
      <c r="HQ1717" s="2060"/>
      <c r="HR1717" s="2060"/>
      <c r="HS1717" s="2060"/>
      <c r="HT1717" s="2060"/>
      <c r="HU1717" s="2060"/>
      <c r="HV1717" s="2060"/>
      <c r="HW1717" s="2060"/>
      <c r="HX1717" s="2060"/>
      <c r="HY1717" s="2060"/>
      <c r="HZ1717" s="2060"/>
      <c r="IA1717" s="2060"/>
      <c r="IB1717" s="2060"/>
      <c r="IC1717" s="2060"/>
      <c r="ID1717" s="2060"/>
      <c r="IE1717" s="2060"/>
      <c r="IF1717" s="2060"/>
      <c r="IG1717" s="2060"/>
      <c r="IH1717" s="2060"/>
      <c r="II1717" s="2060"/>
      <c r="IJ1717" s="2060"/>
      <c r="IK1717" s="2060"/>
      <c r="IL1717" s="2060"/>
      <c r="IM1717" s="2060"/>
      <c r="IN1717" s="2060"/>
      <c r="IO1717" s="2060"/>
      <c r="IP1717" s="2060"/>
      <c r="IQ1717" s="2060"/>
      <c r="IR1717" s="2060"/>
      <c r="IS1717" s="2060"/>
      <c r="IT1717" s="2060"/>
      <c r="IU1717" s="2060"/>
      <c r="IV1717" s="2060"/>
      <c r="IW1717" s="2060"/>
      <c r="IX1717" s="2060"/>
      <c r="IY1717" s="2060"/>
      <c r="IZ1717" s="2060"/>
      <c r="JA1717" s="2060"/>
      <c r="JB1717" s="2060"/>
      <c r="JC1717" s="2060"/>
      <c r="JD1717" s="2060"/>
      <c r="JE1717" s="2060"/>
      <c r="JF1717" s="2060"/>
      <c r="JG1717" s="2060"/>
      <c r="JH1717" s="2060"/>
      <c r="JI1717" s="2060"/>
      <c r="JJ1717" s="2060"/>
      <c r="JK1717" s="2060"/>
      <c r="JL1717" s="2060"/>
      <c r="JM1717" s="2060"/>
      <c r="JN1717" s="2060"/>
      <c r="JO1717" s="2060"/>
      <c r="JP1717" s="2060"/>
      <c r="JQ1717" s="2060"/>
      <c r="JR1717" s="2060"/>
      <c r="JS1717" s="2060"/>
      <c r="JT1717" s="2060"/>
      <c r="JU1717" s="2060"/>
      <c r="JV1717" s="2060"/>
      <c r="JW1717" s="2060"/>
      <c r="JX1717" s="2060"/>
      <c r="JY1717" s="2060"/>
      <c r="JZ1717" s="2060"/>
      <c r="KA1717" s="2060"/>
      <c r="KB1717" s="2060"/>
      <c r="KC1717" s="2060"/>
      <c r="KD1717" s="2060"/>
      <c r="KE1717" s="2060"/>
      <c r="KF1717" s="2060"/>
      <c r="KG1717" s="2060"/>
      <c r="KH1717" s="2060"/>
      <c r="KI1717" s="2060"/>
      <c r="KJ1717" s="2060"/>
      <c r="KK1717" s="2060"/>
      <c r="KL1717" s="2060"/>
      <c r="KM1717" s="2060"/>
      <c r="KN1717" s="2060"/>
      <c r="KO1717" s="2060"/>
      <c r="KP1717" s="2060"/>
      <c r="KQ1717" s="2060"/>
      <c r="KR1717" s="2060"/>
      <c r="KS1717" s="2060"/>
      <c r="KT1717" s="2060"/>
      <c r="KU1717" s="2060"/>
      <c r="KV1717" s="2060"/>
      <c r="KW1717" s="2060"/>
      <c r="KX1717" s="2060"/>
      <c r="KY1717" s="2060"/>
      <c r="KZ1717" s="2060"/>
      <c r="LA1717" s="2060"/>
      <c r="LB1717" s="2060"/>
      <c r="LC1717" s="2060"/>
      <c r="LD1717" s="2060"/>
      <c r="LE1717" s="2060"/>
      <c r="LF1717" s="2060"/>
      <c r="LG1717" s="2060"/>
      <c r="LH1717" s="2060"/>
    </row>
    <row r="1718" spans="1:320" s="1499" customFormat="1" ht="13.9">
      <c r="A1718" s="269" t="str">
        <f t="shared" si="473"/>
        <v>n</v>
      </c>
      <c r="B1718" s="2060"/>
      <c r="C1718" s="2060"/>
      <c r="D1718" s="2060"/>
      <c r="E1718" s="1661">
        <v>15</v>
      </c>
      <c r="F1718" s="1353" t="str">
        <f>F$143</f>
        <v>--</v>
      </c>
      <c r="G1718" s="128">
        <f>G$143</f>
        <v>0</v>
      </c>
      <c r="H1718" s="128" t="str">
        <f>H$143</f>
        <v>--</v>
      </c>
      <c r="I1718" s="89" t="s">
        <v>774</v>
      </c>
      <c r="J1718" s="2197" t="str">
        <f>IF($G1718=0,"",_xll.ciqfunctions.udf.CIQ($G1718,$I1718,J1574,$H1718,FXMode)*Scale)</f>
        <v/>
      </c>
      <c r="K1718" s="2197" t="str">
        <f>IF($G1718=0,"",_xll.ciqfunctions.udf.CIQ($G1718,$I1718,K1574,$H1718,FXMode)*Scale)</f>
        <v/>
      </c>
      <c r="L1718" s="2197" t="str">
        <f>IF($G1718=0,"",_xll.ciqfunctions.udf.CIQ($G1718,$I1718,L1574,$H1718,FXMode)*Scale)</f>
        <v/>
      </c>
      <c r="M1718" s="2197" t="str">
        <f>IF($G1718=0,"",_xll.ciqfunctions.udf.CIQ($G1718,$I1718,M1574,$H1718,FXMode)*Scale)</f>
        <v/>
      </c>
      <c r="N1718" s="2197" t="str">
        <f>IF($G1718=0,"",_xll.ciqfunctions.udf.CIQ($G1718,$I1718,N1574,$H1718,FXMode)*Scale)</f>
        <v/>
      </c>
      <c r="O1718" s="2197" t="str">
        <f>IF($G1718=0,"",_xll.ciqfunctions.udf.CIQ($G1718,$I1718,O1574,$H1718,FXMode)*Scale)</f>
        <v/>
      </c>
      <c r="P1718" s="2197" t="str">
        <f>IF($G1718=0,"",_xll.ciqfunctions.udf.CIQ($G1718,$I1718,P1574,$H1718,FXMode)*Scale)</f>
        <v/>
      </c>
      <c r="Q1718" s="2197" t="str">
        <f>IF($G1718=0,"",_xll.ciqfunctions.udf.CIQ($G1718,$I1718,Q1574,$H1718,FXMode)*Scale)</f>
        <v/>
      </c>
      <c r="R1718" s="2197" t="str">
        <f>IF($G1718=0,"",_xll.ciqfunctions.udf.CIQ($G1718,$I1718,R1574,$H1718,FXMode)*Scale)</f>
        <v/>
      </c>
      <c r="S1718" s="2197" t="str">
        <f>IF($G1718=0,"",_xll.ciqfunctions.udf.CIQ($G1718,$I1718,S1574,$H1718,FXMode)*Scale)</f>
        <v/>
      </c>
      <c r="T1718" s="2197" t="str">
        <f>IF($G1718=0,"",_xll.ciqfunctions.udf.CIQ($G1718,$I1718,T1574,$H1718,FXMode)*Scale)</f>
        <v/>
      </c>
      <c r="U1718" s="2197" t="str">
        <f>IF($G1718=0,"",_xll.ciqfunctions.udf.CIQ($G1718,$I1718,U1574,$H1718,FXMode)*Scale)</f>
        <v/>
      </c>
      <c r="V1718" s="2197" t="str">
        <f>IF($G1718=0,"",_xll.ciqfunctions.udf.CIQ($G1718,$I1718,V1574,$H1718,FXMode)*Scale)</f>
        <v/>
      </c>
      <c r="W1718" s="1479"/>
      <c r="X1718" s="255"/>
      <c r="Y1718" s="255"/>
      <c r="Z1718" s="2060"/>
      <c r="AA1718" s="2060"/>
      <c r="AB1718" s="2060"/>
      <c r="AC1718" s="2060"/>
      <c r="AD1718" s="2060"/>
      <c r="AE1718" s="2060"/>
      <c r="AF1718" s="2060"/>
      <c r="AG1718" s="2060"/>
      <c r="AH1718" s="2060"/>
      <c r="AI1718" s="2060"/>
      <c r="AJ1718" s="2060"/>
      <c r="AK1718" s="2060"/>
      <c r="AL1718" s="2060"/>
      <c r="AM1718" s="2060"/>
      <c r="AN1718" s="2060"/>
      <c r="AO1718" s="2060"/>
      <c r="AP1718" s="2060"/>
      <c r="AQ1718" s="2060"/>
      <c r="AR1718" s="2060"/>
      <c r="AS1718" s="2060"/>
      <c r="AT1718" s="2060"/>
      <c r="AU1718" s="2060"/>
      <c r="AV1718" s="2060"/>
      <c r="AW1718" s="2060"/>
      <c r="AX1718" s="2060"/>
      <c r="AY1718" s="2060"/>
      <c r="AZ1718" s="2060"/>
      <c r="BA1718" s="2060"/>
      <c r="BB1718" s="2060"/>
      <c r="BC1718" s="2060"/>
      <c r="BD1718" s="2060"/>
      <c r="BE1718" s="2060"/>
      <c r="BF1718" s="2060"/>
      <c r="BG1718" s="2060"/>
      <c r="BH1718" s="2060"/>
      <c r="BI1718" s="2060"/>
      <c r="BJ1718" s="2060"/>
      <c r="BK1718" s="2060"/>
      <c r="BL1718" s="2060"/>
      <c r="BM1718" s="2060"/>
      <c r="BN1718" s="2060"/>
      <c r="BO1718" s="2060"/>
      <c r="BP1718" s="2060"/>
      <c r="BQ1718" s="2060"/>
      <c r="BR1718" s="2060"/>
      <c r="BS1718" s="2060"/>
      <c r="BT1718" s="2060"/>
      <c r="BU1718" s="2060"/>
      <c r="BV1718" s="2060"/>
      <c r="BW1718" s="2060"/>
      <c r="BX1718" s="2060"/>
      <c r="BY1718" s="2060"/>
      <c r="BZ1718" s="2060"/>
      <c r="CA1718" s="2060"/>
      <c r="CB1718" s="2060"/>
      <c r="CC1718" s="2060"/>
      <c r="CD1718" s="2060"/>
      <c r="CE1718" s="2060"/>
      <c r="CF1718" s="2060"/>
      <c r="CG1718" s="2060"/>
      <c r="CH1718" s="2060"/>
      <c r="CI1718" s="2060"/>
      <c r="CJ1718" s="2060"/>
      <c r="CK1718" s="2060"/>
      <c r="CL1718" s="2060"/>
      <c r="CM1718" s="2060"/>
      <c r="CN1718" s="2060"/>
      <c r="CO1718" s="2060"/>
      <c r="CP1718" s="2060"/>
      <c r="CQ1718" s="2060"/>
      <c r="CR1718" s="2060"/>
      <c r="CS1718" s="2060"/>
      <c r="CT1718" s="2060"/>
      <c r="CU1718" s="2060"/>
      <c r="CV1718" s="2060"/>
      <c r="CW1718" s="2060"/>
      <c r="CX1718" s="2060"/>
      <c r="CY1718" s="2060"/>
      <c r="CZ1718" s="2060"/>
      <c r="DA1718" s="2060"/>
      <c r="DB1718" s="2060"/>
      <c r="DC1718" s="2060"/>
      <c r="DD1718" s="2060"/>
      <c r="DE1718" s="2060"/>
      <c r="DF1718" s="2060"/>
      <c r="DG1718" s="2060"/>
      <c r="DH1718" s="2060"/>
      <c r="DI1718" s="2060"/>
      <c r="DJ1718" s="2060"/>
      <c r="DK1718" s="2060"/>
      <c r="DL1718" s="2060"/>
      <c r="DM1718" s="2060"/>
      <c r="DN1718" s="2060"/>
      <c r="DO1718" s="2060"/>
      <c r="DP1718" s="2060"/>
      <c r="DQ1718" s="2060"/>
      <c r="DR1718" s="2060"/>
      <c r="DS1718" s="2060"/>
      <c r="DT1718" s="2060"/>
      <c r="DU1718" s="2060"/>
      <c r="DV1718" s="2060"/>
      <c r="DW1718" s="2060"/>
      <c r="DX1718" s="2060"/>
      <c r="DY1718" s="2060"/>
      <c r="DZ1718" s="2060"/>
      <c r="EA1718" s="2060"/>
      <c r="EB1718" s="2060"/>
      <c r="EC1718" s="2060"/>
      <c r="ED1718" s="2060"/>
      <c r="EE1718" s="2060"/>
      <c r="EF1718" s="2060"/>
      <c r="EG1718" s="2060"/>
      <c r="EH1718" s="2060"/>
      <c r="EI1718" s="2060"/>
      <c r="EJ1718" s="2060"/>
      <c r="EK1718" s="2060"/>
      <c r="EL1718" s="2060"/>
      <c r="EM1718" s="2060"/>
      <c r="EN1718" s="2060"/>
      <c r="EO1718" s="2060"/>
      <c r="EP1718" s="2060"/>
      <c r="EQ1718" s="2060"/>
      <c r="ER1718" s="2060"/>
      <c r="ES1718" s="2060"/>
      <c r="ET1718" s="2060"/>
      <c r="EU1718" s="2060"/>
      <c r="EV1718" s="2060"/>
      <c r="EW1718" s="2060"/>
      <c r="EX1718" s="2060"/>
      <c r="EY1718" s="2060"/>
      <c r="EZ1718" s="2060"/>
      <c r="FA1718" s="2060"/>
      <c r="FB1718" s="2060"/>
      <c r="FC1718" s="2060"/>
      <c r="FD1718" s="2060"/>
      <c r="FE1718" s="2060"/>
      <c r="FF1718" s="2060"/>
      <c r="FG1718" s="2060"/>
      <c r="FH1718" s="2060"/>
      <c r="FI1718" s="2060"/>
      <c r="FJ1718" s="2060"/>
      <c r="FK1718" s="2060"/>
      <c r="FL1718" s="2060"/>
      <c r="FM1718" s="2060"/>
      <c r="FN1718" s="2060"/>
      <c r="FO1718" s="2060"/>
      <c r="FP1718" s="2060"/>
      <c r="FQ1718" s="2060"/>
      <c r="FR1718" s="2060"/>
      <c r="FS1718" s="2060"/>
      <c r="FT1718" s="2060"/>
      <c r="FU1718" s="2060"/>
      <c r="FV1718" s="2060"/>
      <c r="FW1718" s="2060"/>
      <c r="FX1718" s="2060"/>
      <c r="FY1718" s="2060"/>
      <c r="FZ1718" s="2060"/>
      <c r="GA1718" s="2060"/>
      <c r="GB1718" s="2060"/>
      <c r="GC1718" s="2060"/>
      <c r="GD1718" s="2060"/>
      <c r="GE1718" s="2060"/>
      <c r="GF1718" s="2060"/>
      <c r="GG1718" s="2060"/>
      <c r="GH1718" s="2060"/>
      <c r="GI1718" s="2060"/>
      <c r="GJ1718" s="2060"/>
      <c r="GK1718" s="2060"/>
      <c r="GL1718" s="2060"/>
      <c r="GM1718" s="2060"/>
      <c r="GN1718" s="2060"/>
      <c r="GO1718" s="2060"/>
      <c r="GP1718" s="2060"/>
      <c r="GQ1718" s="2060"/>
      <c r="GR1718" s="2060"/>
      <c r="GS1718" s="2060"/>
      <c r="GT1718" s="2060"/>
      <c r="GU1718" s="2060"/>
      <c r="GV1718" s="2060"/>
      <c r="GW1718" s="2060"/>
      <c r="GX1718" s="2060"/>
      <c r="GY1718" s="2060"/>
      <c r="GZ1718" s="2060"/>
      <c r="HA1718" s="2060"/>
      <c r="HB1718" s="2060"/>
      <c r="HC1718" s="2060"/>
      <c r="HD1718" s="2060"/>
      <c r="HE1718" s="2060"/>
      <c r="HF1718" s="2060"/>
      <c r="HG1718" s="2060"/>
      <c r="HH1718" s="2060"/>
      <c r="HI1718" s="2060"/>
      <c r="HJ1718" s="2060"/>
      <c r="HK1718" s="2060"/>
      <c r="HL1718" s="2060"/>
      <c r="HM1718" s="2060"/>
      <c r="HN1718" s="2060"/>
      <c r="HO1718" s="2060"/>
      <c r="HP1718" s="2060"/>
      <c r="HQ1718" s="2060"/>
      <c r="HR1718" s="2060"/>
      <c r="HS1718" s="2060"/>
      <c r="HT1718" s="2060"/>
      <c r="HU1718" s="2060"/>
      <c r="HV1718" s="2060"/>
      <c r="HW1718" s="2060"/>
      <c r="HX1718" s="2060"/>
      <c r="HY1718" s="2060"/>
      <c r="HZ1718" s="2060"/>
      <c r="IA1718" s="2060"/>
      <c r="IB1718" s="2060"/>
      <c r="IC1718" s="2060"/>
      <c r="ID1718" s="2060"/>
      <c r="IE1718" s="2060"/>
      <c r="IF1718" s="2060"/>
      <c r="IG1718" s="2060"/>
      <c r="IH1718" s="2060"/>
      <c r="II1718" s="2060"/>
      <c r="IJ1718" s="2060"/>
      <c r="IK1718" s="2060"/>
      <c r="IL1718" s="2060"/>
      <c r="IM1718" s="2060"/>
      <c r="IN1718" s="2060"/>
      <c r="IO1718" s="2060"/>
      <c r="IP1718" s="2060"/>
      <c r="IQ1718" s="2060"/>
      <c r="IR1718" s="2060"/>
      <c r="IS1718" s="2060"/>
      <c r="IT1718" s="2060"/>
      <c r="IU1718" s="2060"/>
      <c r="IV1718" s="2060"/>
      <c r="IW1718" s="2060"/>
      <c r="IX1718" s="2060"/>
      <c r="IY1718" s="2060"/>
      <c r="IZ1718" s="2060"/>
      <c r="JA1718" s="2060"/>
      <c r="JB1718" s="2060"/>
      <c r="JC1718" s="2060"/>
      <c r="JD1718" s="2060"/>
      <c r="JE1718" s="2060"/>
      <c r="JF1718" s="2060"/>
      <c r="JG1718" s="2060"/>
      <c r="JH1718" s="2060"/>
      <c r="JI1718" s="2060"/>
      <c r="JJ1718" s="2060"/>
      <c r="JK1718" s="2060"/>
      <c r="JL1718" s="2060"/>
      <c r="JM1718" s="2060"/>
      <c r="JN1718" s="2060"/>
      <c r="JO1718" s="2060"/>
      <c r="JP1718" s="2060"/>
      <c r="JQ1718" s="2060"/>
      <c r="JR1718" s="2060"/>
      <c r="JS1718" s="2060"/>
      <c r="JT1718" s="2060"/>
      <c r="JU1718" s="2060"/>
      <c r="JV1718" s="2060"/>
      <c r="JW1718" s="2060"/>
      <c r="JX1718" s="2060"/>
      <c r="JY1718" s="2060"/>
      <c r="JZ1718" s="2060"/>
      <c r="KA1718" s="2060"/>
      <c r="KB1718" s="2060"/>
      <c r="KC1718" s="2060"/>
      <c r="KD1718" s="2060"/>
      <c r="KE1718" s="2060"/>
      <c r="KF1718" s="2060"/>
      <c r="KG1718" s="2060"/>
      <c r="KH1718" s="2060"/>
      <c r="KI1718" s="2060"/>
      <c r="KJ1718" s="2060"/>
      <c r="KK1718" s="2060"/>
      <c r="KL1718" s="2060"/>
      <c r="KM1718" s="2060"/>
      <c r="KN1718" s="2060"/>
      <c r="KO1718" s="2060"/>
      <c r="KP1718" s="2060"/>
      <c r="KQ1718" s="2060"/>
      <c r="KR1718" s="2060"/>
      <c r="KS1718" s="2060"/>
      <c r="KT1718" s="2060"/>
      <c r="KU1718" s="2060"/>
      <c r="KV1718" s="2060"/>
      <c r="KW1718" s="2060"/>
      <c r="KX1718" s="2060"/>
      <c r="KY1718" s="2060"/>
      <c r="KZ1718" s="2060"/>
      <c r="LA1718" s="2060"/>
      <c r="LB1718" s="2060"/>
      <c r="LC1718" s="2060"/>
      <c r="LD1718" s="2060"/>
      <c r="LE1718" s="2060"/>
      <c r="LF1718" s="2060"/>
      <c r="LG1718" s="2060"/>
      <c r="LH1718" s="2060"/>
    </row>
    <row r="1719" spans="1:320" s="1499" customFormat="1" ht="13.9">
      <c r="A1719" s="269" t="str">
        <f t="shared" si="473"/>
        <v>n</v>
      </c>
      <c r="B1719" s="2060"/>
      <c r="C1719" s="2060"/>
      <c r="D1719" s="2060"/>
      <c r="E1719" s="1661">
        <v>16</v>
      </c>
      <c r="F1719" s="1353" t="str">
        <f>F$144</f>
        <v>--</v>
      </c>
      <c r="G1719" s="128">
        <f>G$144</f>
        <v>0</v>
      </c>
      <c r="H1719" s="128" t="str">
        <f>H$144</f>
        <v>--</v>
      </c>
      <c r="I1719" s="89" t="s">
        <v>774</v>
      </c>
      <c r="J1719" s="2197" t="str">
        <f>IF($G1719=0,"",_xll.ciqfunctions.udf.CIQ($G1719,$I1719,J1575,$H1719,FXMode)*Scale)</f>
        <v/>
      </c>
      <c r="K1719" s="2197" t="str">
        <f>IF($G1719=0,"",_xll.ciqfunctions.udf.CIQ($G1719,$I1719,K1575,$H1719,FXMode)*Scale)</f>
        <v/>
      </c>
      <c r="L1719" s="2197" t="str">
        <f>IF($G1719=0,"",_xll.ciqfunctions.udf.CIQ($G1719,$I1719,L1575,$H1719,FXMode)*Scale)</f>
        <v/>
      </c>
      <c r="M1719" s="2197" t="str">
        <f>IF($G1719=0,"",_xll.ciqfunctions.udf.CIQ($G1719,$I1719,M1575,$H1719,FXMode)*Scale)</f>
        <v/>
      </c>
      <c r="N1719" s="2197" t="str">
        <f>IF($G1719=0,"",_xll.ciqfunctions.udf.CIQ($G1719,$I1719,N1575,$H1719,FXMode)*Scale)</f>
        <v/>
      </c>
      <c r="O1719" s="2197" t="str">
        <f>IF($G1719=0,"",_xll.ciqfunctions.udf.CIQ($G1719,$I1719,O1575,$H1719,FXMode)*Scale)</f>
        <v/>
      </c>
      <c r="P1719" s="2197" t="str">
        <f>IF($G1719=0,"",_xll.ciqfunctions.udf.CIQ($G1719,$I1719,P1575,$H1719,FXMode)*Scale)</f>
        <v/>
      </c>
      <c r="Q1719" s="2197" t="str">
        <f>IF($G1719=0,"",_xll.ciqfunctions.udf.CIQ($G1719,$I1719,Q1575,$H1719,FXMode)*Scale)</f>
        <v/>
      </c>
      <c r="R1719" s="2197" t="str">
        <f>IF($G1719=0,"",_xll.ciqfunctions.udf.CIQ($G1719,$I1719,R1575,$H1719,FXMode)*Scale)</f>
        <v/>
      </c>
      <c r="S1719" s="2197" t="str">
        <f>IF($G1719=0,"",_xll.ciqfunctions.udf.CIQ($G1719,$I1719,S1575,$H1719,FXMode)*Scale)</f>
        <v/>
      </c>
      <c r="T1719" s="2197" t="str">
        <f>IF($G1719=0,"",_xll.ciqfunctions.udf.CIQ($G1719,$I1719,T1575,$H1719,FXMode)*Scale)</f>
        <v/>
      </c>
      <c r="U1719" s="2197" t="str">
        <f>IF($G1719=0,"",_xll.ciqfunctions.udf.CIQ($G1719,$I1719,U1575,$H1719,FXMode)*Scale)</f>
        <v/>
      </c>
      <c r="V1719" s="2197" t="str">
        <f>IF($G1719=0,"",_xll.ciqfunctions.udf.CIQ($G1719,$I1719,V1575,$H1719,FXMode)*Scale)</f>
        <v/>
      </c>
      <c r="W1719" s="1479"/>
      <c r="X1719" s="255"/>
      <c r="Y1719" s="255"/>
      <c r="Z1719" s="2060"/>
      <c r="AA1719" s="2060"/>
      <c r="AB1719" s="2060"/>
      <c r="AC1719" s="2060"/>
      <c r="AD1719" s="2060"/>
      <c r="AE1719" s="2060"/>
      <c r="AF1719" s="2060"/>
      <c r="AG1719" s="2060"/>
      <c r="AH1719" s="2060"/>
      <c r="AI1719" s="2060"/>
      <c r="AJ1719" s="2060"/>
      <c r="AK1719" s="2060"/>
      <c r="AL1719" s="2060"/>
      <c r="AM1719" s="2060"/>
      <c r="AN1719" s="2060"/>
      <c r="AO1719" s="2060"/>
      <c r="AP1719" s="2060"/>
      <c r="AQ1719" s="2060"/>
      <c r="AR1719" s="2060"/>
      <c r="AS1719" s="2060"/>
      <c r="AT1719" s="2060"/>
      <c r="AU1719" s="2060"/>
      <c r="AV1719" s="2060"/>
      <c r="AW1719" s="2060"/>
      <c r="AX1719" s="2060"/>
      <c r="AY1719" s="2060"/>
      <c r="AZ1719" s="2060"/>
      <c r="BA1719" s="2060"/>
      <c r="BB1719" s="2060"/>
      <c r="BC1719" s="2060"/>
      <c r="BD1719" s="2060"/>
      <c r="BE1719" s="2060"/>
      <c r="BF1719" s="2060"/>
      <c r="BG1719" s="2060"/>
      <c r="BH1719" s="2060"/>
      <c r="BI1719" s="2060"/>
      <c r="BJ1719" s="2060"/>
      <c r="BK1719" s="2060"/>
      <c r="BL1719" s="2060"/>
      <c r="BM1719" s="2060"/>
      <c r="BN1719" s="2060"/>
      <c r="BO1719" s="2060"/>
      <c r="BP1719" s="2060"/>
      <c r="BQ1719" s="2060"/>
      <c r="BR1719" s="2060"/>
      <c r="BS1719" s="2060"/>
      <c r="BT1719" s="2060"/>
      <c r="BU1719" s="2060"/>
      <c r="BV1719" s="2060"/>
      <c r="BW1719" s="2060"/>
      <c r="BX1719" s="2060"/>
      <c r="BY1719" s="2060"/>
      <c r="BZ1719" s="2060"/>
      <c r="CA1719" s="2060"/>
      <c r="CB1719" s="2060"/>
      <c r="CC1719" s="2060"/>
      <c r="CD1719" s="2060"/>
      <c r="CE1719" s="2060"/>
      <c r="CF1719" s="2060"/>
      <c r="CG1719" s="2060"/>
      <c r="CH1719" s="2060"/>
      <c r="CI1719" s="2060"/>
      <c r="CJ1719" s="2060"/>
      <c r="CK1719" s="2060"/>
      <c r="CL1719" s="2060"/>
      <c r="CM1719" s="2060"/>
      <c r="CN1719" s="2060"/>
      <c r="CO1719" s="2060"/>
      <c r="CP1719" s="2060"/>
      <c r="CQ1719" s="2060"/>
      <c r="CR1719" s="2060"/>
      <c r="CS1719" s="2060"/>
      <c r="CT1719" s="2060"/>
      <c r="CU1719" s="2060"/>
      <c r="CV1719" s="2060"/>
      <c r="CW1719" s="2060"/>
      <c r="CX1719" s="2060"/>
      <c r="CY1719" s="2060"/>
      <c r="CZ1719" s="2060"/>
      <c r="DA1719" s="2060"/>
      <c r="DB1719" s="2060"/>
      <c r="DC1719" s="2060"/>
      <c r="DD1719" s="2060"/>
      <c r="DE1719" s="2060"/>
      <c r="DF1719" s="2060"/>
      <c r="DG1719" s="2060"/>
      <c r="DH1719" s="2060"/>
      <c r="DI1719" s="2060"/>
      <c r="DJ1719" s="2060"/>
      <c r="DK1719" s="2060"/>
      <c r="DL1719" s="2060"/>
      <c r="DM1719" s="2060"/>
      <c r="DN1719" s="2060"/>
      <c r="DO1719" s="2060"/>
      <c r="DP1719" s="2060"/>
      <c r="DQ1719" s="2060"/>
      <c r="DR1719" s="2060"/>
      <c r="DS1719" s="2060"/>
      <c r="DT1719" s="2060"/>
      <c r="DU1719" s="2060"/>
      <c r="DV1719" s="2060"/>
      <c r="DW1719" s="2060"/>
      <c r="DX1719" s="2060"/>
      <c r="DY1719" s="2060"/>
      <c r="DZ1719" s="2060"/>
      <c r="EA1719" s="2060"/>
      <c r="EB1719" s="2060"/>
      <c r="EC1719" s="2060"/>
      <c r="ED1719" s="2060"/>
      <c r="EE1719" s="2060"/>
      <c r="EF1719" s="2060"/>
      <c r="EG1719" s="2060"/>
      <c r="EH1719" s="2060"/>
      <c r="EI1719" s="2060"/>
      <c r="EJ1719" s="2060"/>
      <c r="EK1719" s="2060"/>
      <c r="EL1719" s="2060"/>
      <c r="EM1719" s="2060"/>
      <c r="EN1719" s="2060"/>
      <c r="EO1719" s="2060"/>
      <c r="EP1719" s="2060"/>
      <c r="EQ1719" s="2060"/>
      <c r="ER1719" s="2060"/>
      <c r="ES1719" s="2060"/>
      <c r="ET1719" s="2060"/>
      <c r="EU1719" s="2060"/>
      <c r="EV1719" s="2060"/>
      <c r="EW1719" s="2060"/>
      <c r="EX1719" s="2060"/>
      <c r="EY1719" s="2060"/>
      <c r="EZ1719" s="2060"/>
      <c r="FA1719" s="2060"/>
      <c r="FB1719" s="2060"/>
      <c r="FC1719" s="2060"/>
      <c r="FD1719" s="2060"/>
      <c r="FE1719" s="2060"/>
      <c r="FF1719" s="2060"/>
      <c r="FG1719" s="2060"/>
      <c r="FH1719" s="2060"/>
      <c r="FI1719" s="2060"/>
      <c r="FJ1719" s="2060"/>
      <c r="FK1719" s="2060"/>
      <c r="FL1719" s="2060"/>
      <c r="FM1719" s="2060"/>
      <c r="FN1719" s="2060"/>
      <c r="FO1719" s="2060"/>
      <c r="FP1719" s="2060"/>
      <c r="FQ1719" s="2060"/>
      <c r="FR1719" s="2060"/>
      <c r="FS1719" s="2060"/>
      <c r="FT1719" s="2060"/>
      <c r="FU1719" s="2060"/>
      <c r="FV1719" s="2060"/>
      <c r="FW1719" s="2060"/>
      <c r="FX1719" s="2060"/>
      <c r="FY1719" s="2060"/>
      <c r="FZ1719" s="2060"/>
      <c r="GA1719" s="2060"/>
      <c r="GB1719" s="2060"/>
      <c r="GC1719" s="2060"/>
      <c r="GD1719" s="2060"/>
      <c r="GE1719" s="2060"/>
      <c r="GF1719" s="2060"/>
      <c r="GG1719" s="2060"/>
      <c r="GH1719" s="2060"/>
      <c r="GI1719" s="2060"/>
      <c r="GJ1719" s="2060"/>
      <c r="GK1719" s="2060"/>
      <c r="GL1719" s="2060"/>
      <c r="GM1719" s="2060"/>
      <c r="GN1719" s="2060"/>
      <c r="GO1719" s="2060"/>
      <c r="GP1719" s="2060"/>
      <c r="GQ1719" s="2060"/>
      <c r="GR1719" s="2060"/>
      <c r="GS1719" s="2060"/>
      <c r="GT1719" s="2060"/>
      <c r="GU1719" s="2060"/>
      <c r="GV1719" s="2060"/>
      <c r="GW1719" s="2060"/>
      <c r="GX1719" s="2060"/>
      <c r="GY1719" s="2060"/>
      <c r="GZ1719" s="2060"/>
      <c r="HA1719" s="2060"/>
      <c r="HB1719" s="2060"/>
      <c r="HC1719" s="2060"/>
      <c r="HD1719" s="2060"/>
      <c r="HE1719" s="2060"/>
      <c r="HF1719" s="2060"/>
      <c r="HG1719" s="2060"/>
      <c r="HH1719" s="2060"/>
      <c r="HI1719" s="2060"/>
      <c r="HJ1719" s="2060"/>
      <c r="HK1719" s="2060"/>
      <c r="HL1719" s="2060"/>
      <c r="HM1719" s="2060"/>
      <c r="HN1719" s="2060"/>
      <c r="HO1719" s="2060"/>
      <c r="HP1719" s="2060"/>
      <c r="HQ1719" s="2060"/>
      <c r="HR1719" s="2060"/>
      <c r="HS1719" s="2060"/>
      <c r="HT1719" s="2060"/>
      <c r="HU1719" s="2060"/>
      <c r="HV1719" s="2060"/>
      <c r="HW1719" s="2060"/>
      <c r="HX1719" s="2060"/>
      <c r="HY1719" s="2060"/>
      <c r="HZ1719" s="2060"/>
      <c r="IA1719" s="2060"/>
      <c r="IB1719" s="2060"/>
      <c r="IC1719" s="2060"/>
      <c r="ID1719" s="2060"/>
      <c r="IE1719" s="2060"/>
      <c r="IF1719" s="2060"/>
      <c r="IG1719" s="2060"/>
      <c r="IH1719" s="2060"/>
      <c r="II1719" s="2060"/>
      <c r="IJ1719" s="2060"/>
      <c r="IK1719" s="2060"/>
      <c r="IL1719" s="2060"/>
      <c r="IM1719" s="2060"/>
      <c r="IN1719" s="2060"/>
      <c r="IO1719" s="2060"/>
      <c r="IP1719" s="2060"/>
      <c r="IQ1719" s="2060"/>
      <c r="IR1719" s="2060"/>
      <c r="IS1719" s="2060"/>
      <c r="IT1719" s="2060"/>
      <c r="IU1719" s="2060"/>
      <c r="IV1719" s="2060"/>
      <c r="IW1719" s="2060"/>
      <c r="IX1719" s="2060"/>
      <c r="IY1719" s="2060"/>
      <c r="IZ1719" s="2060"/>
      <c r="JA1719" s="2060"/>
      <c r="JB1719" s="2060"/>
      <c r="JC1719" s="2060"/>
      <c r="JD1719" s="2060"/>
      <c r="JE1719" s="2060"/>
      <c r="JF1719" s="2060"/>
      <c r="JG1719" s="2060"/>
      <c r="JH1719" s="2060"/>
      <c r="JI1719" s="2060"/>
      <c r="JJ1719" s="2060"/>
      <c r="JK1719" s="2060"/>
      <c r="JL1719" s="2060"/>
      <c r="JM1719" s="2060"/>
      <c r="JN1719" s="2060"/>
      <c r="JO1719" s="2060"/>
      <c r="JP1719" s="2060"/>
      <c r="JQ1719" s="2060"/>
      <c r="JR1719" s="2060"/>
      <c r="JS1719" s="2060"/>
      <c r="JT1719" s="2060"/>
      <c r="JU1719" s="2060"/>
      <c r="JV1719" s="2060"/>
      <c r="JW1719" s="2060"/>
      <c r="JX1719" s="2060"/>
      <c r="JY1719" s="2060"/>
      <c r="JZ1719" s="2060"/>
      <c r="KA1719" s="2060"/>
      <c r="KB1719" s="2060"/>
      <c r="KC1719" s="2060"/>
      <c r="KD1719" s="2060"/>
      <c r="KE1719" s="2060"/>
      <c r="KF1719" s="2060"/>
      <c r="KG1719" s="2060"/>
      <c r="KH1719" s="2060"/>
      <c r="KI1719" s="2060"/>
      <c r="KJ1719" s="2060"/>
      <c r="KK1719" s="2060"/>
      <c r="KL1719" s="2060"/>
      <c r="KM1719" s="2060"/>
      <c r="KN1719" s="2060"/>
      <c r="KO1719" s="2060"/>
      <c r="KP1719" s="2060"/>
      <c r="KQ1719" s="2060"/>
      <c r="KR1719" s="2060"/>
      <c r="KS1719" s="2060"/>
      <c r="KT1719" s="2060"/>
      <c r="KU1719" s="2060"/>
      <c r="KV1719" s="2060"/>
      <c r="KW1719" s="2060"/>
      <c r="KX1719" s="2060"/>
      <c r="KY1719" s="2060"/>
      <c r="KZ1719" s="2060"/>
      <c r="LA1719" s="2060"/>
      <c r="LB1719" s="2060"/>
      <c r="LC1719" s="2060"/>
      <c r="LD1719" s="2060"/>
      <c r="LE1719" s="2060"/>
      <c r="LF1719" s="2060"/>
      <c r="LG1719" s="2060"/>
      <c r="LH1719" s="2060"/>
    </row>
    <row r="1720" spans="1:320" s="1499" customFormat="1" ht="13.9">
      <c r="A1720" s="269" t="str">
        <f t="shared" si="473"/>
        <v>n</v>
      </c>
      <c r="B1720" s="2060"/>
      <c r="C1720" s="2060"/>
      <c r="D1720" s="2060"/>
      <c r="E1720" s="1661">
        <v>17</v>
      </c>
      <c r="F1720" s="1353" t="str">
        <f>F$145</f>
        <v>--</v>
      </c>
      <c r="G1720" s="128">
        <f>G$145</f>
        <v>0</v>
      </c>
      <c r="H1720" s="128" t="str">
        <f>H$145</f>
        <v>--</v>
      </c>
      <c r="I1720" s="89" t="s">
        <v>774</v>
      </c>
      <c r="J1720" s="2197" t="str">
        <f>IF($G1720=0,"",_xll.ciqfunctions.udf.CIQ($G1720,$I1720,J1576,$H1720,FXMode)*Scale)</f>
        <v/>
      </c>
      <c r="K1720" s="2197" t="str">
        <f>IF($G1720=0,"",_xll.ciqfunctions.udf.CIQ($G1720,$I1720,K1576,$H1720,FXMode)*Scale)</f>
        <v/>
      </c>
      <c r="L1720" s="2197" t="str">
        <f>IF($G1720=0,"",_xll.ciqfunctions.udf.CIQ($G1720,$I1720,L1576,$H1720,FXMode)*Scale)</f>
        <v/>
      </c>
      <c r="M1720" s="2197" t="str">
        <f>IF($G1720=0,"",_xll.ciqfunctions.udf.CIQ($G1720,$I1720,M1576,$H1720,FXMode)*Scale)</f>
        <v/>
      </c>
      <c r="N1720" s="2197" t="str">
        <f>IF($G1720=0,"",_xll.ciqfunctions.udf.CIQ($G1720,$I1720,N1576,$H1720,FXMode)*Scale)</f>
        <v/>
      </c>
      <c r="O1720" s="2197" t="str">
        <f>IF($G1720=0,"",_xll.ciqfunctions.udf.CIQ($G1720,$I1720,O1576,$H1720,FXMode)*Scale)</f>
        <v/>
      </c>
      <c r="P1720" s="2197" t="str">
        <f>IF($G1720=0,"",_xll.ciqfunctions.udf.CIQ($G1720,$I1720,P1576,$H1720,FXMode)*Scale)</f>
        <v/>
      </c>
      <c r="Q1720" s="2197" t="str">
        <f>IF($G1720=0,"",_xll.ciqfunctions.udf.CIQ($G1720,$I1720,Q1576,$H1720,FXMode)*Scale)</f>
        <v/>
      </c>
      <c r="R1720" s="2197" t="str">
        <f>IF($G1720=0,"",_xll.ciqfunctions.udf.CIQ($G1720,$I1720,R1576,$H1720,FXMode)*Scale)</f>
        <v/>
      </c>
      <c r="S1720" s="2197" t="str">
        <f>IF($G1720=0,"",_xll.ciqfunctions.udf.CIQ($G1720,$I1720,S1576,$H1720,FXMode)*Scale)</f>
        <v/>
      </c>
      <c r="T1720" s="2197" t="str">
        <f>IF($G1720=0,"",_xll.ciqfunctions.udf.CIQ($G1720,$I1720,T1576,$H1720,FXMode)*Scale)</f>
        <v/>
      </c>
      <c r="U1720" s="2197" t="str">
        <f>IF($G1720=0,"",_xll.ciqfunctions.udf.CIQ($G1720,$I1720,U1576,$H1720,FXMode)*Scale)</f>
        <v/>
      </c>
      <c r="V1720" s="2197" t="str">
        <f>IF($G1720=0,"",_xll.ciqfunctions.udf.CIQ($G1720,$I1720,V1576,$H1720,FXMode)*Scale)</f>
        <v/>
      </c>
      <c r="W1720" s="1479"/>
      <c r="X1720" s="255"/>
      <c r="Y1720" s="255"/>
      <c r="Z1720" s="2060"/>
      <c r="AA1720" s="2060"/>
      <c r="AB1720" s="2060"/>
      <c r="AC1720" s="2060"/>
      <c r="AD1720" s="2060"/>
      <c r="AE1720" s="2060"/>
      <c r="AF1720" s="2060"/>
      <c r="AG1720" s="2060"/>
      <c r="AH1720" s="2060"/>
      <c r="AI1720" s="2060"/>
      <c r="AJ1720" s="2060"/>
      <c r="AK1720" s="2060"/>
      <c r="AL1720" s="2060"/>
      <c r="AM1720" s="2060"/>
      <c r="AN1720" s="2060"/>
      <c r="AO1720" s="2060"/>
      <c r="AP1720" s="2060"/>
      <c r="AQ1720" s="2060"/>
      <c r="AR1720" s="2060"/>
      <c r="AS1720" s="2060"/>
      <c r="AT1720" s="2060"/>
      <c r="AU1720" s="2060"/>
      <c r="AV1720" s="2060"/>
      <c r="AW1720" s="2060"/>
      <c r="AX1720" s="2060"/>
      <c r="AY1720" s="2060"/>
      <c r="AZ1720" s="2060"/>
      <c r="BA1720" s="2060"/>
      <c r="BB1720" s="2060"/>
      <c r="BC1720" s="2060"/>
      <c r="BD1720" s="2060"/>
      <c r="BE1720" s="2060"/>
      <c r="BF1720" s="2060"/>
      <c r="BG1720" s="2060"/>
      <c r="BH1720" s="2060"/>
      <c r="BI1720" s="2060"/>
      <c r="BJ1720" s="2060"/>
      <c r="BK1720" s="2060"/>
      <c r="BL1720" s="2060"/>
      <c r="BM1720" s="2060"/>
      <c r="BN1720" s="2060"/>
      <c r="BO1720" s="2060"/>
      <c r="BP1720" s="2060"/>
      <c r="BQ1720" s="2060"/>
      <c r="BR1720" s="2060"/>
      <c r="BS1720" s="2060"/>
      <c r="BT1720" s="2060"/>
      <c r="BU1720" s="2060"/>
      <c r="BV1720" s="2060"/>
      <c r="BW1720" s="2060"/>
      <c r="BX1720" s="2060"/>
      <c r="BY1720" s="2060"/>
      <c r="BZ1720" s="2060"/>
      <c r="CA1720" s="2060"/>
      <c r="CB1720" s="2060"/>
      <c r="CC1720" s="2060"/>
      <c r="CD1720" s="2060"/>
      <c r="CE1720" s="2060"/>
      <c r="CF1720" s="2060"/>
      <c r="CG1720" s="2060"/>
      <c r="CH1720" s="2060"/>
      <c r="CI1720" s="2060"/>
      <c r="CJ1720" s="2060"/>
      <c r="CK1720" s="2060"/>
      <c r="CL1720" s="2060"/>
      <c r="CM1720" s="2060"/>
      <c r="CN1720" s="2060"/>
      <c r="CO1720" s="2060"/>
      <c r="CP1720" s="2060"/>
      <c r="CQ1720" s="2060"/>
      <c r="CR1720" s="2060"/>
      <c r="CS1720" s="2060"/>
      <c r="CT1720" s="2060"/>
      <c r="CU1720" s="2060"/>
      <c r="CV1720" s="2060"/>
      <c r="CW1720" s="2060"/>
      <c r="CX1720" s="2060"/>
      <c r="CY1720" s="2060"/>
      <c r="CZ1720" s="2060"/>
      <c r="DA1720" s="2060"/>
      <c r="DB1720" s="2060"/>
      <c r="DC1720" s="2060"/>
      <c r="DD1720" s="2060"/>
      <c r="DE1720" s="2060"/>
      <c r="DF1720" s="2060"/>
      <c r="DG1720" s="2060"/>
      <c r="DH1720" s="2060"/>
      <c r="DI1720" s="2060"/>
      <c r="DJ1720" s="2060"/>
      <c r="DK1720" s="2060"/>
      <c r="DL1720" s="2060"/>
      <c r="DM1720" s="2060"/>
      <c r="DN1720" s="2060"/>
      <c r="DO1720" s="2060"/>
      <c r="DP1720" s="2060"/>
      <c r="DQ1720" s="2060"/>
      <c r="DR1720" s="2060"/>
      <c r="DS1720" s="2060"/>
      <c r="DT1720" s="2060"/>
      <c r="DU1720" s="2060"/>
      <c r="DV1720" s="2060"/>
      <c r="DW1720" s="2060"/>
      <c r="DX1720" s="2060"/>
      <c r="DY1720" s="2060"/>
      <c r="DZ1720" s="2060"/>
      <c r="EA1720" s="2060"/>
      <c r="EB1720" s="2060"/>
      <c r="EC1720" s="2060"/>
      <c r="ED1720" s="2060"/>
      <c r="EE1720" s="2060"/>
      <c r="EF1720" s="2060"/>
      <c r="EG1720" s="2060"/>
      <c r="EH1720" s="2060"/>
      <c r="EI1720" s="2060"/>
      <c r="EJ1720" s="2060"/>
      <c r="EK1720" s="2060"/>
      <c r="EL1720" s="2060"/>
      <c r="EM1720" s="2060"/>
      <c r="EN1720" s="2060"/>
      <c r="EO1720" s="2060"/>
      <c r="EP1720" s="2060"/>
      <c r="EQ1720" s="2060"/>
      <c r="ER1720" s="2060"/>
      <c r="ES1720" s="2060"/>
      <c r="ET1720" s="2060"/>
      <c r="EU1720" s="2060"/>
      <c r="EV1720" s="2060"/>
      <c r="EW1720" s="2060"/>
      <c r="EX1720" s="2060"/>
      <c r="EY1720" s="2060"/>
      <c r="EZ1720" s="2060"/>
      <c r="FA1720" s="2060"/>
      <c r="FB1720" s="2060"/>
      <c r="FC1720" s="2060"/>
      <c r="FD1720" s="2060"/>
      <c r="FE1720" s="2060"/>
      <c r="FF1720" s="2060"/>
      <c r="FG1720" s="2060"/>
      <c r="FH1720" s="2060"/>
      <c r="FI1720" s="2060"/>
      <c r="FJ1720" s="2060"/>
      <c r="FK1720" s="2060"/>
      <c r="FL1720" s="2060"/>
      <c r="FM1720" s="2060"/>
      <c r="FN1720" s="2060"/>
      <c r="FO1720" s="2060"/>
      <c r="FP1720" s="2060"/>
      <c r="FQ1720" s="2060"/>
      <c r="FR1720" s="2060"/>
      <c r="FS1720" s="2060"/>
      <c r="FT1720" s="2060"/>
      <c r="FU1720" s="2060"/>
      <c r="FV1720" s="2060"/>
      <c r="FW1720" s="2060"/>
      <c r="FX1720" s="2060"/>
      <c r="FY1720" s="2060"/>
      <c r="FZ1720" s="2060"/>
      <c r="GA1720" s="2060"/>
      <c r="GB1720" s="2060"/>
      <c r="GC1720" s="2060"/>
      <c r="GD1720" s="2060"/>
      <c r="GE1720" s="2060"/>
      <c r="GF1720" s="2060"/>
      <c r="GG1720" s="2060"/>
      <c r="GH1720" s="2060"/>
      <c r="GI1720" s="2060"/>
      <c r="GJ1720" s="2060"/>
      <c r="GK1720" s="2060"/>
      <c r="GL1720" s="2060"/>
      <c r="GM1720" s="2060"/>
      <c r="GN1720" s="2060"/>
      <c r="GO1720" s="2060"/>
      <c r="GP1720" s="2060"/>
      <c r="GQ1720" s="2060"/>
      <c r="GR1720" s="2060"/>
      <c r="GS1720" s="2060"/>
      <c r="GT1720" s="2060"/>
      <c r="GU1720" s="2060"/>
      <c r="GV1720" s="2060"/>
      <c r="GW1720" s="2060"/>
      <c r="GX1720" s="2060"/>
      <c r="GY1720" s="2060"/>
      <c r="GZ1720" s="2060"/>
      <c r="HA1720" s="2060"/>
      <c r="HB1720" s="2060"/>
      <c r="HC1720" s="2060"/>
      <c r="HD1720" s="2060"/>
      <c r="HE1720" s="2060"/>
      <c r="HF1720" s="2060"/>
      <c r="HG1720" s="2060"/>
      <c r="HH1720" s="2060"/>
      <c r="HI1720" s="2060"/>
      <c r="HJ1720" s="2060"/>
      <c r="HK1720" s="2060"/>
      <c r="HL1720" s="2060"/>
      <c r="HM1720" s="2060"/>
      <c r="HN1720" s="2060"/>
      <c r="HO1720" s="2060"/>
      <c r="HP1720" s="2060"/>
      <c r="HQ1720" s="2060"/>
      <c r="HR1720" s="2060"/>
      <c r="HS1720" s="2060"/>
      <c r="HT1720" s="2060"/>
      <c r="HU1720" s="2060"/>
      <c r="HV1720" s="2060"/>
      <c r="HW1720" s="2060"/>
      <c r="HX1720" s="2060"/>
      <c r="HY1720" s="2060"/>
      <c r="HZ1720" s="2060"/>
      <c r="IA1720" s="2060"/>
      <c r="IB1720" s="2060"/>
      <c r="IC1720" s="2060"/>
      <c r="ID1720" s="2060"/>
      <c r="IE1720" s="2060"/>
      <c r="IF1720" s="2060"/>
      <c r="IG1720" s="2060"/>
      <c r="IH1720" s="2060"/>
      <c r="II1720" s="2060"/>
      <c r="IJ1720" s="2060"/>
      <c r="IK1720" s="2060"/>
      <c r="IL1720" s="2060"/>
      <c r="IM1720" s="2060"/>
      <c r="IN1720" s="2060"/>
      <c r="IO1720" s="2060"/>
      <c r="IP1720" s="2060"/>
      <c r="IQ1720" s="2060"/>
      <c r="IR1720" s="2060"/>
      <c r="IS1720" s="2060"/>
      <c r="IT1720" s="2060"/>
      <c r="IU1720" s="2060"/>
      <c r="IV1720" s="2060"/>
      <c r="IW1720" s="2060"/>
      <c r="IX1720" s="2060"/>
      <c r="IY1720" s="2060"/>
      <c r="IZ1720" s="2060"/>
      <c r="JA1720" s="2060"/>
      <c r="JB1720" s="2060"/>
      <c r="JC1720" s="2060"/>
      <c r="JD1720" s="2060"/>
      <c r="JE1720" s="2060"/>
      <c r="JF1720" s="2060"/>
      <c r="JG1720" s="2060"/>
      <c r="JH1720" s="2060"/>
      <c r="JI1720" s="2060"/>
      <c r="JJ1720" s="2060"/>
      <c r="JK1720" s="2060"/>
      <c r="JL1720" s="2060"/>
      <c r="JM1720" s="2060"/>
      <c r="JN1720" s="2060"/>
      <c r="JO1720" s="2060"/>
      <c r="JP1720" s="2060"/>
      <c r="JQ1720" s="2060"/>
      <c r="JR1720" s="2060"/>
      <c r="JS1720" s="2060"/>
      <c r="JT1720" s="2060"/>
      <c r="JU1720" s="2060"/>
      <c r="JV1720" s="2060"/>
      <c r="JW1720" s="2060"/>
      <c r="JX1720" s="2060"/>
      <c r="JY1720" s="2060"/>
      <c r="JZ1720" s="2060"/>
      <c r="KA1720" s="2060"/>
      <c r="KB1720" s="2060"/>
      <c r="KC1720" s="2060"/>
      <c r="KD1720" s="2060"/>
      <c r="KE1720" s="2060"/>
      <c r="KF1720" s="2060"/>
      <c r="KG1720" s="2060"/>
      <c r="KH1720" s="2060"/>
      <c r="KI1720" s="2060"/>
      <c r="KJ1720" s="2060"/>
      <c r="KK1720" s="2060"/>
      <c r="KL1720" s="2060"/>
      <c r="KM1720" s="2060"/>
      <c r="KN1720" s="2060"/>
      <c r="KO1720" s="2060"/>
      <c r="KP1720" s="2060"/>
      <c r="KQ1720" s="2060"/>
      <c r="KR1720" s="2060"/>
      <c r="KS1720" s="2060"/>
      <c r="KT1720" s="2060"/>
      <c r="KU1720" s="2060"/>
      <c r="KV1720" s="2060"/>
      <c r="KW1720" s="2060"/>
      <c r="KX1720" s="2060"/>
      <c r="KY1720" s="2060"/>
      <c r="KZ1720" s="2060"/>
      <c r="LA1720" s="2060"/>
      <c r="LB1720" s="2060"/>
      <c r="LC1720" s="2060"/>
      <c r="LD1720" s="2060"/>
      <c r="LE1720" s="2060"/>
      <c r="LF1720" s="2060"/>
      <c r="LG1720" s="2060"/>
      <c r="LH1720" s="2060"/>
    </row>
    <row r="1721" spans="1:320" s="1499" customFormat="1" ht="13.9">
      <c r="A1721" s="269" t="str">
        <f t="shared" si="473"/>
        <v>n</v>
      </c>
      <c r="B1721" s="2060"/>
      <c r="C1721" s="2060"/>
      <c r="D1721" s="2060"/>
      <c r="E1721" s="1661">
        <v>18</v>
      </c>
      <c r="F1721" s="1353" t="str">
        <f>F$146</f>
        <v>--</v>
      </c>
      <c r="G1721" s="128">
        <f>G$146</f>
        <v>0</v>
      </c>
      <c r="H1721" s="128" t="str">
        <f>H$146</f>
        <v>--</v>
      </c>
      <c r="I1721" s="89" t="s">
        <v>774</v>
      </c>
      <c r="J1721" s="2197" t="str">
        <f>IF($G1721=0,"",_xll.ciqfunctions.udf.CIQ($G1721,$I1721,J1577,$H1721,FXMode)*Scale)</f>
        <v/>
      </c>
      <c r="K1721" s="2197" t="str">
        <f>IF($G1721=0,"",_xll.ciqfunctions.udf.CIQ($G1721,$I1721,K1577,$H1721,FXMode)*Scale)</f>
        <v/>
      </c>
      <c r="L1721" s="2197" t="str">
        <f>IF($G1721=0,"",_xll.ciqfunctions.udf.CIQ($G1721,$I1721,L1577,$H1721,FXMode)*Scale)</f>
        <v/>
      </c>
      <c r="M1721" s="2197" t="str">
        <f>IF($G1721=0,"",_xll.ciqfunctions.udf.CIQ($G1721,$I1721,M1577,$H1721,FXMode)*Scale)</f>
        <v/>
      </c>
      <c r="N1721" s="2197" t="str">
        <f>IF($G1721=0,"",_xll.ciqfunctions.udf.CIQ($G1721,$I1721,N1577,$H1721,FXMode)*Scale)</f>
        <v/>
      </c>
      <c r="O1721" s="2197" t="str">
        <f>IF($G1721=0,"",_xll.ciqfunctions.udf.CIQ($G1721,$I1721,O1577,$H1721,FXMode)*Scale)</f>
        <v/>
      </c>
      <c r="P1721" s="2197" t="str">
        <f>IF($G1721=0,"",_xll.ciqfunctions.udf.CIQ($G1721,$I1721,P1577,$H1721,FXMode)*Scale)</f>
        <v/>
      </c>
      <c r="Q1721" s="2197" t="str">
        <f>IF($G1721=0,"",_xll.ciqfunctions.udf.CIQ($G1721,$I1721,Q1577,$H1721,FXMode)*Scale)</f>
        <v/>
      </c>
      <c r="R1721" s="2197" t="str">
        <f>IF($G1721=0,"",_xll.ciqfunctions.udf.CIQ($G1721,$I1721,R1577,$H1721,FXMode)*Scale)</f>
        <v/>
      </c>
      <c r="S1721" s="2197" t="str">
        <f>IF($G1721=0,"",_xll.ciqfunctions.udf.CIQ($G1721,$I1721,S1577,$H1721,FXMode)*Scale)</f>
        <v/>
      </c>
      <c r="T1721" s="2197" t="str">
        <f>IF($G1721=0,"",_xll.ciqfunctions.udf.CIQ($G1721,$I1721,T1577,$H1721,FXMode)*Scale)</f>
        <v/>
      </c>
      <c r="U1721" s="2197" t="str">
        <f>IF($G1721=0,"",_xll.ciqfunctions.udf.CIQ($G1721,$I1721,U1577,$H1721,FXMode)*Scale)</f>
        <v/>
      </c>
      <c r="V1721" s="2197" t="str">
        <f>IF($G1721=0,"",_xll.ciqfunctions.udf.CIQ($G1721,$I1721,V1577,$H1721,FXMode)*Scale)</f>
        <v/>
      </c>
      <c r="W1721" s="1479"/>
      <c r="X1721" s="255"/>
      <c r="Y1721" s="255"/>
      <c r="Z1721" s="2060"/>
      <c r="AA1721" s="2060"/>
      <c r="AB1721" s="2060"/>
      <c r="AC1721" s="2060"/>
      <c r="AD1721" s="2060"/>
      <c r="AE1721" s="2060"/>
      <c r="AF1721" s="2060"/>
      <c r="AG1721" s="2060"/>
      <c r="AH1721" s="2060"/>
      <c r="AI1721" s="2060"/>
      <c r="AJ1721" s="2060"/>
      <c r="AK1721" s="2060"/>
      <c r="AL1721" s="2060"/>
      <c r="AM1721" s="2060"/>
      <c r="AN1721" s="2060"/>
      <c r="AO1721" s="2060"/>
      <c r="AP1721" s="2060"/>
      <c r="AQ1721" s="2060"/>
      <c r="AR1721" s="2060"/>
      <c r="AS1721" s="2060"/>
      <c r="AT1721" s="2060"/>
      <c r="AU1721" s="2060"/>
      <c r="AV1721" s="2060"/>
      <c r="AW1721" s="2060"/>
      <c r="AX1721" s="2060"/>
      <c r="AY1721" s="2060"/>
      <c r="AZ1721" s="2060"/>
      <c r="BA1721" s="2060"/>
      <c r="BB1721" s="2060"/>
      <c r="BC1721" s="2060"/>
      <c r="BD1721" s="2060"/>
      <c r="BE1721" s="2060"/>
      <c r="BF1721" s="2060"/>
      <c r="BG1721" s="2060"/>
      <c r="BH1721" s="2060"/>
      <c r="BI1721" s="2060"/>
      <c r="BJ1721" s="2060"/>
      <c r="BK1721" s="2060"/>
      <c r="BL1721" s="2060"/>
      <c r="BM1721" s="2060"/>
      <c r="BN1721" s="2060"/>
      <c r="BO1721" s="2060"/>
      <c r="BP1721" s="2060"/>
      <c r="BQ1721" s="2060"/>
      <c r="BR1721" s="2060"/>
      <c r="BS1721" s="2060"/>
      <c r="BT1721" s="2060"/>
      <c r="BU1721" s="2060"/>
      <c r="BV1721" s="2060"/>
      <c r="BW1721" s="2060"/>
      <c r="BX1721" s="2060"/>
      <c r="BY1721" s="2060"/>
      <c r="BZ1721" s="2060"/>
      <c r="CA1721" s="2060"/>
      <c r="CB1721" s="2060"/>
      <c r="CC1721" s="2060"/>
      <c r="CD1721" s="2060"/>
      <c r="CE1721" s="2060"/>
      <c r="CF1721" s="2060"/>
      <c r="CG1721" s="2060"/>
      <c r="CH1721" s="2060"/>
      <c r="CI1721" s="2060"/>
      <c r="CJ1721" s="2060"/>
      <c r="CK1721" s="2060"/>
      <c r="CL1721" s="2060"/>
      <c r="CM1721" s="2060"/>
      <c r="CN1721" s="2060"/>
      <c r="CO1721" s="2060"/>
      <c r="CP1721" s="2060"/>
      <c r="CQ1721" s="2060"/>
      <c r="CR1721" s="2060"/>
      <c r="CS1721" s="2060"/>
      <c r="CT1721" s="2060"/>
      <c r="CU1721" s="2060"/>
      <c r="CV1721" s="2060"/>
      <c r="CW1721" s="2060"/>
      <c r="CX1721" s="2060"/>
      <c r="CY1721" s="2060"/>
      <c r="CZ1721" s="2060"/>
      <c r="DA1721" s="2060"/>
      <c r="DB1721" s="2060"/>
      <c r="DC1721" s="2060"/>
      <c r="DD1721" s="2060"/>
      <c r="DE1721" s="2060"/>
      <c r="DF1721" s="2060"/>
      <c r="DG1721" s="2060"/>
      <c r="DH1721" s="2060"/>
      <c r="DI1721" s="2060"/>
      <c r="DJ1721" s="2060"/>
      <c r="DK1721" s="2060"/>
      <c r="DL1721" s="2060"/>
      <c r="DM1721" s="2060"/>
      <c r="DN1721" s="2060"/>
      <c r="DO1721" s="2060"/>
      <c r="DP1721" s="2060"/>
      <c r="DQ1721" s="2060"/>
      <c r="DR1721" s="2060"/>
      <c r="DS1721" s="2060"/>
      <c r="DT1721" s="2060"/>
      <c r="DU1721" s="2060"/>
      <c r="DV1721" s="2060"/>
      <c r="DW1721" s="2060"/>
      <c r="DX1721" s="2060"/>
      <c r="DY1721" s="2060"/>
      <c r="DZ1721" s="2060"/>
      <c r="EA1721" s="2060"/>
      <c r="EB1721" s="2060"/>
      <c r="EC1721" s="2060"/>
      <c r="ED1721" s="2060"/>
      <c r="EE1721" s="2060"/>
      <c r="EF1721" s="2060"/>
      <c r="EG1721" s="2060"/>
      <c r="EH1721" s="2060"/>
      <c r="EI1721" s="2060"/>
      <c r="EJ1721" s="2060"/>
      <c r="EK1721" s="2060"/>
      <c r="EL1721" s="2060"/>
      <c r="EM1721" s="2060"/>
      <c r="EN1721" s="2060"/>
      <c r="EO1721" s="2060"/>
      <c r="EP1721" s="2060"/>
      <c r="EQ1721" s="2060"/>
      <c r="ER1721" s="2060"/>
      <c r="ES1721" s="2060"/>
      <c r="ET1721" s="2060"/>
      <c r="EU1721" s="2060"/>
      <c r="EV1721" s="2060"/>
      <c r="EW1721" s="2060"/>
      <c r="EX1721" s="2060"/>
      <c r="EY1721" s="2060"/>
      <c r="EZ1721" s="2060"/>
      <c r="FA1721" s="2060"/>
      <c r="FB1721" s="2060"/>
      <c r="FC1721" s="2060"/>
      <c r="FD1721" s="2060"/>
      <c r="FE1721" s="2060"/>
      <c r="FF1721" s="2060"/>
      <c r="FG1721" s="2060"/>
      <c r="FH1721" s="2060"/>
      <c r="FI1721" s="2060"/>
      <c r="FJ1721" s="2060"/>
      <c r="FK1721" s="2060"/>
      <c r="FL1721" s="2060"/>
      <c r="FM1721" s="2060"/>
      <c r="FN1721" s="2060"/>
      <c r="FO1721" s="2060"/>
      <c r="FP1721" s="2060"/>
      <c r="FQ1721" s="2060"/>
      <c r="FR1721" s="2060"/>
      <c r="FS1721" s="2060"/>
      <c r="FT1721" s="2060"/>
      <c r="FU1721" s="2060"/>
      <c r="FV1721" s="2060"/>
      <c r="FW1721" s="2060"/>
      <c r="FX1721" s="2060"/>
      <c r="FY1721" s="2060"/>
      <c r="FZ1721" s="2060"/>
      <c r="GA1721" s="2060"/>
      <c r="GB1721" s="2060"/>
      <c r="GC1721" s="2060"/>
      <c r="GD1721" s="2060"/>
      <c r="GE1721" s="2060"/>
      <c r="GF1721" s="2060"/>
      <c r="GG1721" s="2060"/>
      <c r="GH1721" s="2060"/>
      <c r="GI1721" s="2060"/>
      <c r="GJ1721" s="2060"/>
      <c r="GK1721" s="2060"/>
      <c r="GL1721" s="2060"/>
      <c r="GM1721" s="2060"/>
      <c r="GN1721" s="2060"/>
      <c r="GO1721" s="2060"/>
      <c r="GP1721" s="2060"/>
      <c r="GQ1721" s="2060"/>
      <c r="GR1721" s="2060"/>
      <c r="GS1721" s="2060"/>
      <c r="GT1721" s="2060"/>
      <c r="GU1721" s="2060"/>
      <c r="GV1721" s="2060"/>
      <c r="GW1721" s="2060"/>
      <c r="GX1721" s="2060"/>
      <c r="GY1721" s="2060"/>
      <c r="GZ1721" s="2060"/>
      <c r="HA1721" s="2060"/>
      <c r="HB1721" s="2060"/>
      <c r="HC1721" s="2060"/>
      <c r="HD1721" s="2060"/>
      <c r="HE1721" s="2060"/>
      <c r="HF1721" s="2060"/>
      <c r="HG1721" s="2060"/>
      <c r="HH1721" s="2060"/>
      <c r="HI1721" s="2060"/>
      <c r="HJ1721" s="2060"/>
      <c r="HK1721" s="2060"/>
      <c r="HL1721" s="2060"/>
      <c r="HM1721" s="2060"/>
      <c r="HN1721" s="2060"/>
      <c r="HO1721" s="2060"/>
      <c r="HP1721" s="2060"/>
      <c r="HQ1721" s="2060"/>
      <c r="HR1721" s="2060"/>
      <c r="HS1721" s="2060"/>
      <c r="HT1721" s="2060"/>
      <c r="HU1721" s="2060"/>
      <c r="HV1721" s="2060"/>
      <c r="HW1721" s="2060"/>
      <c r="HX1721" s="2060"/>
      <c r="HY1721" s="2060"/>
      <c r="HZ1721" s="2060"/>
      <c r="IA1721" s="2060"/>
      <c r="IB1721" s="2060"/>
      <c r="IC1721" s="2060"/>
      <c r="ID1721" s="2060"/>
      <c r="IE1721" s="2060"/>
      <c r="IF1721" s="2060"/>
      <c r="IG1721" s="2060"/>
      <c r="IH1721" s="2060"/>
      <c r="II1721" s="2060"/>
      <c r="IJ1721" s="2060"/>
      <c r="IK1721" s="2060"/>
      <c r="IL1721" s="2060"/>
      <c r="IM1721" s="2060"/>
      <c r="IN1721" s="2060"/>
      <c r="IO1721" s="2060"/>
      <c r="IP1721" s="2060"/>
      <c r="IQ1721" s="2060"/>
      <c r="IR1721" s="2060"/>
      <c r="IS1721" s="2060"/>
      <c r="IT1721" s="2060"/>
      <c r="IU1721" s="2060"/>
      <c r="IV1721" s="2060"/>
      <c r="IW1721" s="2060"/>
      <c r="IX1721" s="2060"/>
      <c r="IY1721" s="2060"/>
      <c r="IZ1721" s="2060"/>
      <c r="JA1721" s="2060"/>
      <c r="JB1721" s="2060"/>
      <c r="JC1721" s="2060"/>
      <c r="JD1721" s="2060"/>
      <c r="JE1721" s="2060"/>
      <c r="JF1721" s="2060"/>
      <c r="JG1721" s="2060"/>
      <c r="JH1721" s="2060"/>
      <c r="JI1721" s="2060"/>
      <c r="JJ1721" s="2060"/>
      <c r="JK1721" s="2060"/>
      <c r="JL1721" s="2060"/>
      <c r="JM1721" s="2060"/>
      <c r="JN1721" s="2060"/>
      <c r="JO1721" s="2060"/>
      <c r="JP1721" s="2060"/>
      <c r="JQ1721" s="2060"/>
      <c r="JR1721" s="2060"/>
      <c r="JS1721" s="2060"/>
      <c r="JT1721" s="2060"/>
      <c r="JU1721" s="2060"/>
      <c r="JV1721" s="2060"/>
      <c r="JW1721" s="2060"/>
      <c r="JX1721" s="2060"/>
      <c r="JY1721" s="2060"/>
      <c r="JZ1721" s="2060"/>
      <c r="KA1721" s="2060"/>
      <c r="KB1721" s="2060"/>
      <c r="KC1721" s="2060"/>
      <c r="KD1721" s="2060"/>
      <c r="KE1721" s="2060"/>
      <c r="KF1721" s="2060"/>
      <c r="KG1721" s="2060"/>
      <c r="KH1721" s="2060"/>
      <c r="KI1721" s="2060"/>
      <c r="KJ1721" s="2060"/>
      <c r="KK1721" s="2060"/>
      <c r="KL1721" s="2060"/>
      <c r="KM1721" s="2060"/>
      <c r="KN1721" s="2060"/>
      <c r="KO1721" s="2060"/>
      <c r="KP1721" s="2060"/>
      <c r="KQ1721" s="2060"/>
      <c r="KR1721" s="2060"/>
      <c r="KS1721" s="2060"/>
      <c r="KT1721" s="2060"/>
      <c r="KU1721" s="2060"/>
      <c r="KV1721" s="2060"/>
      <c r="KW1721" s="2060"/>
      <c r="KX1721" s="2060"/>
      <c r="KY1721" s="2060"/>
      <c r="KZ1721" s="2060"/>
      <c r="LA1721" s="2060"/>
      <c r="LB1721" s="2060"/>
      <c r="LC1721" s="2060"/>
      <c r="LD1721" s="2060"/>
      <c r="LE1721" s="2060"/>
      <c r="LF1721" s="2060"/>
      <c r="LG1721" s="2060"/>
      <c r="LH1721" s="2060"/>
    </row>
    <row r="1722" spans="1:320" s="1499" customFormat="1" ht="13.9">
      <c r="A1722" s="269" t="str">
        <f t="shared" si="473"/>
        <v>n</v>
      </c>
      <c r="B1722" s="2060"/>
      <c r="C1722" s="2060"/>
      <c r="D1722" s="2060"/>
      <c r="E1722" s="1661">
        <v>19</v>
      </c>
      <c r="F1722" s="1353" t="str">
        <f>F$147</f>
        <v>--</v>
      </c>
      <c r="G1722" s="128">
        <f>G$147</f>
        <v>0</v>
      </c>
      <c r="H1722" s="128" t="str">
        <f>H$147</f>
        <v>--</v>
      </c>
      <c r="I1722" s="89" t="s">
        <v>774</v>
      </c>
      <c r="J1722" s="2197" t="str">
        <f>IF($G1722=0,"",_xll.ciqfunctions.udf.CIQ($G1722,$I1722,J1578,$H1722,FXMode)*Scale)</f>
        <v/>
      </c>
      <c r="K1722" s="2197" t="str">
        <f>IF($G1722=0,"",_xll.ciqfunctions.udf.CIQ($G1722,$I1722,K1578,$H1722,FXMode)*Scale)</f>
        <v/>
      </c>
      <c r="L1722" s="2197" t="str">
        <f>IF($G1722=0,"",_xll.ciqfunctions.udf.CIQ($G1722,$I1722,L1578,$H1722,FXMode)*Scale)</f>
        <v/>
      </c>
      <c r="M1722" s="2197" t="str">
        <f>IF($G1722=0,"",_xll.ciqfunctions.udf.CIQ($G1722,$I1722,M1578,$H1722,FXMode)*Scale)</f>
        <v/>
      </c>
      <c r="N1722" s="2197" t="str">
        <f>IF($G1722=0,"",_xll.ciqfunctions.udf.CIQ($G1722,$I1722,N1578,$H1722,FXMode)*Scale)</f>
        <v/>
      </c>
      <c r="O1722" s="2197" t="str">
        <f>IF($G1722=0,"",_xll.ciqfunctions.udf.CIQ($G1722,$I1722,O1578,$H1722,FXMode)*Scale)</f>
        <v/>
      </c>
      <c r="P1722" s="2197" t="str">
        <f>IF($G1722=0,"",_xll.ciqfunctions.udf.CIQ($G1722,$I1722,P1578,$H1722,FXMode)*Scale)</f>
        <v/>
      </c>
      <c r="Q1722" s="2197" t="str">
        <f>IF($G1722=0,"",_xll.ciqfunctions.udf.CIQ($G1722,$I1722,Q1578,$H1722,FXMode)*Scale)</f>
        <v/>
      </c>
      <c r="R1722" s="2197" t="str">
        <f>IF($G1722=0,"",_xll.ciqfunctions.udf.CIQ($G1722,$I1722,R1578,$H1722,FXMode)*Scale)</f>
        <v/>
      </c>
      <c r="S1722" s="2197" t="str">
        <f>IF($G1722=0,"",_xll.ciqfunctions.udf.CIQ($G1722,$I1722,S1578,$H1722,FXMode)*Scale)</f>
        <v/>
      </c>
      <c r="T1722" s="2197" t="str">
        <f>IF($G1722=0,"",_xll.ciqfunctions.udf.CIQ($G1722,$I1722,T1578,$H1722,FXMode)*Scale)</f>
        <v/>
      </c>
      <c r="U1722" s="2197" t="str">
        <f>IF($G1722=0,"",_xll.ciqfunctions.udf.CIQ($G1722,$I1722,U1578,$H1722,FXMode)*Scale)</f>
        <v/>
      </c>
      <c r="V1722" s="2197" t="str">
        <f>IF($G1722=0,"",_xll.ciqfunctions.udf.CIQ($G1722,$I1722,V1578,$H1722,FXMode)*Scale)</f>
        <v/>
      </c>
      <c r="W1722" s="1479"/>
      <c r="X1722" s="255"/>
      <c r="Y1722" s="255"/>
      <c r="Z1722" s="2060"/>
      <c r="AA1722" s="2060"/>
      <c r="AB1722" s="2060"/>
      <c r="AC1722" s="2060"/>
      <c r="AD1722" s="2060"/>
      <c r="AE1722" s="2060"/>
      <c r="AF1722" s="2060"/>
      <c r="AG1722" s="2060"/>
      <c r="AH1722" s="2060"/>
      <c r="AI1722" s="2060"/>
      <c r="AJ1722" s="2060"/>
      <c r="AK1722" s="2060"/>
      <c r="AL1722" s="2060"/>
      <c r="AM1722" s="2060"/>
      <c r="AN1722" s="2060"/>
      <c r="AO1722" s="2060"/>
      <c r="AP1722" s="2060"/>
      <c r="AQ1722" s="2060"/>
      <c r="AR1722" s="2060"/>
      <c r="AS1722" s="2060"/>
      <c r="AT1722" s="2060"/>
      <c r="AU1722" s="2060"/>
      <c r="AV1722" s="2060"/>
      <c r="AW1722" s="2060"/>
      <c r="AX1722" s="2060"/>
      <c r="AY1722" s="2060"/>
      <c r="AZ1722" s="2060"/>
      <c r="BA1722" s="2060"/>
      <c r="BB1722" s="2060"/>
      <c r="BC1722" s="2060"/>
      <c r="BD1722" s="2060"/>
      <c r="BE1722" s="2060"/>
      <c r="BF1722" s="2060"/>
      <c r="BG1722" s="2060"/>
      <c r="BH1722" s="2060"/>
      <c r="BI1722" s="2060"/>
      <c r="BJ1722" s="2060"/>
      <c r="BK1722" s="2060"/>
      <c r="BL1722" s="2060"/>
      <c r="BM1722" s="2060"/>
      <c r="BN1722" s="2060"/>
      <c r="BO1722" s="2060"/>
      <c r="BP1722" s="2060"/>
      <c r="BQ1722" s="2060"/>
      <c r="BR1722" s="2060"/>
      <c r="BS1722" s="2060"/>
      <c r="BT1722" s="2060"/>
      <c r="BU1722" s="2060"/>
      <c r="BV1722" s="2060"/>
      <c r="BW1722" s="2060"/>
      <c r="BX1722" s="2060"/>
      <c r="BY1722" s="2060"/>
      <c r="BZ1722" s="2060"/>
      <c r="CA1722" s="2060"/>
      <c r="CB1722" s="2060"/>
      <c r="CC1722" s="2060"/>
      <c r="CD1722" s="2060"/>
      <c r="CE1722" s="2060"/>
      <c r="CF1722" s="2060"/>
      <c r="CG1722" s="2060"/>
      <c r="CH1722" s="2060"/>
      <c r="CI1722" s="2060"/>
      <c r="CJ1722" s="2060"/>
      <c r="CK1722" s="2060"/>
      <c r="CL1722" s="2060"/>
      <c r="CM1722" s="2060"/>
      <c r="CN1722" s="2060"/>
      <c r="CO1722" s="2060"/>
      <c r="CP1722" s="2060"/>
      <c r="CQ1722" s="2060"/>
      <c r="CR1722" s="2060"/>
      <c r="CS1722" s="2060"/>
      <c r="CT1722" s="2060"/>
      <c r="CU1722" s="2060"/>
      <c r="CV1722" s="2060"/>
      <c r="CW1722" s="2060"/>
      <c r="CX1722" s="2060"/>
      <c r="CY1722" s="2060"/>
      <c r="CZ1722" s="2060"/>
      <c r="DA1722" s="2060"/>
      <c r="DB1722" s="2060"/>
      <c r="DC1722" s="2060"/>
      <c r="DD1722" s="2060"/>
      <c r="DE1722" s="2060"/>
      <c r="DF1722" s="2060"/>
      <c r="DG1722" s="2060"/>
      <c r="DH1722" s="2060"/>
      <c r="DI1722" s="2060"/>
      <c r="DJ1722" s="2060"/>
      <c r="DK1722" s="2060"/>
      <c r="DL1722" s="2060"/>
      <c r="DM1722" s="2060"/>
      <c r="DN1722" s="2060"/>
      <c r="DO1722" s="2060"/>
      <c r="DP1722" s="2060"/>
      <c r="DQ1722" s="2060"/>
      <c r="DR1722" s="2060"/>
      <c r="DS1722" s="2060"/>
      <c r="DT1722" s="2060"/>
      <c r="DU1722" s="2060"/>
      <c r="DV1722" s="2060"/>
      <c r="DW1722" s="2060"/>
      <c r="DX1722" s="2060"/>
      <c r="DY1722" s="2060"/>
      <c r="DZ1722" s="2060"/>
      <c r="EA1722" s="2060"/>
      <c r="EB1722" s="2060"/>
      <c r="EC1722" s="2060"/>
      <c r="ED1722" s="2060"/>
      <c r="EE1722" s="2060"/>
      <c r="EF1722" s="2060"/>
      <c r="EG1722" s="2060"/>
      <c r="EH1722" s="2060"/>
      <c r="EI1722" s="2060"/>
      <c r="EJ1722" s="2060"/>
      <c r="EK1722" s="2060"/>
      <c r="EL1722" s="2060"/>
      <c r="EM1722" s="2060"/>
      <c r="EN1722" s="2060"/>
      <c r="EO1722" s="2060"/>
      <c r="EP1722" s="2060"/>
      <c r="EQ1722" s="2060"/>
      <c r="ER1722" s="2060"/>
      <c r="ES1722" s="2060"/>
      <c r="ET1722" s="2060"/>
      <c r="EU1722" s="2060"/>
      <c r="EV1722" s="2060"/>
      <c r="EW1722" s="2060"/>
      <c r="EX1722" s="2060"/>
      <c r="EY1722" s="2060"/>
      <c r="EZ1722" s="2060"/>
      <c r="FA1722" s="2060"/>
      <c r="FB1722" s="2060"/>
      <c r="FC1722" s="2060"/>
      <c r="FD1722" s="2060"/>
      <c r="FE1722" s="2060"/>
      <c r="FF1722" s="2060"/>
      <c r="FG1722" s="2060"/>
      <c r="FH1722" s="2060"/>
      <c r="FI1722" s="2060"/>
      <c r="FJ1722" s="2060"/>
      <c r="FK1722" s="2060"/>
      <c r="FL1722" s="2060"/>
      <c r="FM1722" s="2060"/>
      <c r="FN1722" s="2060"/>
      <c r="FO1722" s="2060"/>
      <c r="FP1722" s="2060"/>
      <c r="FQ1722" s="2060"/>
      <c r="FR1722" s="2060"/>
      <c r="FS1722" s="2060"/>
      <c r="FT1722" s="2060"/>
      <c r="FU1722" s="2060"/>
      <c r="FV1722" s="2060"/>
      <c r="FW1722" s="2060"/>
      <c r="FX1722" s="2060"/>
      <c r="FY1722" s="2060"/>
      <c r="FZ1722" s="2060"/>
      <c r="GA1722" s="2060"/>
      <c r="GB1722" s="2060"/>
      <c r="GC1722" s="2060"/>
      <c r="GD1722" s="2060"/>
      <c r="GE1722" s="2060"/>
      <c r="GF1722" s="2060"/>
      <c r="GG1722" s="2060"/>
      <c r="GH1722" s="2060"/>
      <c r="GI1722" s="2060"/>
      <c r="GJ1722" s="2060"/>
      <c r="GK1722" s="2060"/>
      <c r="GL1722" s="2060"/>
      <c r="GM1722" s="2060"/>
      <c r="GN1722" s="2060"/>
      <c r="GO1722" s="2060"/>
      <c r="GP1722" s="2060"/>
      <c r="GQ1722" s="2060"/>
      <c r="GR1722" s="2060"/>
      <c r="GS1722" s="2060"/>
      <c r="GT1722" s="2060"/>
      <c r="GU1722" s="2060"/>
      <c r="GV1722" s="2060"/>
      <c r="GW1722" s="2060"/>
      <c r="GX1722" s="2060"/>
      <c r="GY1722" s="2060"/>
      <c r="GZ1722" s="2060"/>
      <c r="HA1722" s="2060"/>
      <c r="HB1722" s="2060"/>
      <c r="HC1722" s="2060"/>
      <c r="HD1722" s="2060"/>
      <c r="HE1722" s="2060"/>
      <c r="HF1722" s="2060"/>
      <c r="HG1722" s="2060"/>
      <c r="HH1722" s="2060"/>
      <c r="HI1722" s="2060"/>
      <c r="HJ1722" s="2060"/>
      <c r="HK1722" s="2060"/>
      <c r="HL1722" s="2060"/>
      <c r="HM1722" s="2060"/>
      <c r="HN1722" s="2060"/>
      <c r="HO1722" s="2060"/>
      <c r="HP1722" s="2060"/>
      <c r="HQ1722" s="2060"/>
      <c r="HR1722" s="2060"/>
      <c r="HS1722" s="2060"/>
      <c r="HT1722" s="2060"/>
      <c r="HU1722" s="2060"/>
      <c r="HV1722" s="2060"/>
      <c r="HW1722" s="2060"/>
      <c r="HX1722" s="2060"/>
      <c r="HY1722" s="2060"/>
      <c r="HZ1722" s="2060"/>
      <c r="IA1722" s="2060"/>
      <c r="IB1722" s="2060"/>
      <c r="IC1722" s="2060"/>
      <c r="ID1722" s="2060"/>
      <c r="IE1722" s="2060"/>
      <c r="IF1722" s="2060"/>
      <c r="IG1722" s="2060"/>
      <c r="IH1722" s="2060"/>
      <c r="II1722" s="2060"/>
      <c r="IJ1722" s="2060"/>
      <c r="IK1722" s="2060"/>
      <c r="IL1722" s="2060"/>
      <c r="IM1722" s="2060"/>
      <c r="IN1722" s="2060"/>
      <c r="IO1722" s="2060"/>
      <c r="IP1722" s="2060"/>
      <c r="IQ1722" s="2060"/>
      <c r="IR1722" s="2060"/>
      <c r="IS1722" s="2060"/>
      <c r="IT1722" s="2060"/>
      <c r="IU1722" s="2060"/>
      <c r="IV1722" s="2060"/>
      <c r="IW1722" s="2060"/>
      <c r="IX1722" s="2060"/>
      <c r="IY1722" s="2060"/>
      <c r="IZ1722" s="2060"/>
      <c r="JA1722" s="2060"/>
      <c r="JB1722" s="2060"/>
      <c r="JC1722" s="2060"/>
      <c r="JD1722" s="2060"/>
      <c r="JE1722" s="2060"/>
      <c r="JF1722" s="2060"/>
      <c r="JG1722" s="2060"/>
      <c r="JH1722" s="2060"/>
      <c r="JI1722" s="2060"/>
      <c r="JJ1722" s="2060"/>
      <c r="JK1722" s="2060"/>
      <c r="JL1722" s="2060"/>
      <c r="JM1722" s="2060"/>
      <c r="JN1722" s="2060"/>
      <c r="JO1722" s="2060"/>
      <c r="JP1722" s="2060"/>
      <c r="JQ1722" s="2060"/>
      <c r="JR1722" s="2060"/>
      <c r="JS1722" s="2060"/>
      <c r="JT1722" s="2060"/>
      <c r="JU1722" s="2060"/>
      <c r="JV1722" s="2060"/>
      <c r="JW1722" s="2060"/>
      <c r="JX1722" s="2060"/>
      <c r="JY1722" s="2060"/>
      <c r="JZ1722" s="2060"/>
      <c r="KA1722" s="2060"/>
      <c r="KB1722" s="2060"/>
      <c r="KC1722" s="2060"/>
      <c r="KD1722" s="2060"/>
      <c r="KE1722" s="2060"/>
      <c r="KF1722" s="2060"/>
      <c r="KG1722" s="2060"/>
      <c r="KH1722" s="2060"/>
      <c r="KI1722" s="2060"/>
      <c r="KJ1722" s="2060"/>
      <c r="KK1722" s="2060"/>
      <c r="KL1722" s="2060"/>
      <c r="KM1722" s="2060"/>
      <c r="KN1722" s="2060"/>
      <c r="KO1722" s="2060"/>
      <c r="KP1722" s="2060"/>
      <c r="KQ1722" s="2060"/>
      <c r="KR1722" s="2060"/>
      <c r="KS1722" s="2060"/>
      <c r="KT1722" s="2060"/>
      <c r="KU1722" s="2060"/>
      <c r="KV1722" s="2060"/>
      <c r="KW1722" s="2060"/>
      <c r="KX1722" s="2060"/>
      <c r="KY1722" s="2060"/>
      <c r="KZ1722" s="2060"/>
      <c r="LA1722" s="2060"/>
      <c r="LB1722" s="2060"/>
      <c r="LC1722" s="2060"/>
      <c r="LD1722" s="2060"/>
      <c r="LE1722" s="2060"/>
      <c r="LF1722" s="2060"/>
      <c r="LG1722" s="2060"/>
      <c r="LH1722" s="2060"/>
    </row>
    <row r="1723" spans="1:320" s="1499" customFormat="1" ht="13.9">
      <c r="A1723" s="269" t="str">
        <f t="shared" si="473"/>
        <v>n</v>
      </c>
      <c r="B1723" s="2060"/>
      <c r="C1723" s="2060"/>
      <c r="D1723" s="2060"/>
      <c r="E1723" s="1661">
        <v>20</v>
      </c>
      <c r="F1723" s="1353" t="str">
        <f>F$148</f>
        <v>--</v>
      </c>
      <c r="G1723" s="128">
        <f>G$148</f>
        <v>0</v>
      </c>
      <c r="H1723" s="128" t="str">
        <f>H$148</f>
        <v>--</v>
      </c>
      <c r="I1723" s="89" t="s">
        <v>774</v>
      </c>
      <c r="J1723" s="2197" t="str">
        <f>IF($G1723=0,"",_xll.ciqfunctions.udf.CIQ($G1723,$I1723,J1579,$H1723,FXMode)*Scale)</f>
        <v/>
      </c>
      <c r="K1723" s="2197" t="str">
        <f>IF($G1723=0,"",_xll.ciqfunctions.udf.CIQ($G1723,$I1723,K1579,$H1723,FXMode)*Scale)</f>
        <v/>
      </c>
      <c r="L1723" s="2197" t="str">
        <f>IF($G1723=0,"",_xll.ciqfunctions.udf.CIQ($G1723,$I1723,L1579,$H1723,FXMode)*Scale)</f>
        <v/>
      </c>
      <c r="M1723" s="2197" t="str">
        <f>IF($G1723=0,"",_xll.ciqfunctions.udf.CIQ($G1723,$I1723,M1579,$H1723,FXMode)*Scale)</f>
        <v/>
      </c>
      <c r="N1723" s="2197" t="str">
        <f>IF($G1723=0,"",_xll.ciqfunctions.udf.CIQ($G1723,$I1723,N1579,$H1723,FXMode)*Scale)</f>
        <v/>
      </c>
      <c r="O1723" s="2197" t="str">
        <f>IF($G1723=0,"",_xll.ciqfunctions.udf.CIQ($G1723,$I1723,O1579,$H1723,FXMode)*Scale)</f>
        <v/>
      </c>
      <c r="P1723" s="2197" t="str">
        <f>IF($G1723=0,"",_xll.ciqfunctions.udf.CIQ($G1723,$I1723,P1579,$H1723,FXMode)*Scale)</f>
        <v/>
      </c>
      <c r="Q1723" s="2197" t="str">
        <f>IF($G1723=0,"",_xll.ciqfunctions.udf.CIQ($G1723,$I1723,Q1579,$H1723,FXMode)*Scale)</f>
        <v/>
      </c>
      <c r="R1723" s="2197" t="str">
        <f>IF($G1723=0,"",_xll.ciqfunctions.udf.CIQ($G1723,$I1723,R1579,$H1723,FXMode)*Scale)</f>
        <v/>
      </c>
      <c r="S1723" s="2197" t="str">
        <f>IF($G1723=0,"",_xll.ciqfunctions.udf.CIQ($G1723,$I1723,S1579,$H1723,FXMode)*Scale)</f>
        <v/>
      </c>
      <c r="T1723" s="2197" t="str">
        <f>IF($G1723=0,"",_xll.ciqfunctions.udf.CIQ($G1723,$I1723,T1579,$H1723,FXMode)*Scale)</f>
        <v/>
      </c>
      <c r="U1723" s="2197" t="str">
        <f>IF($G1723=0,"",_xll.ciqfunctions.udf.CIQ($G1723,$I1723,U1579,$H1723,FXMode)*Scale)</f>
        <v/>
      </c>
      <c r="V1723" s="2197" t="str">
        <f>IF($G1723=0,"",_xll.ciqfunctions.udf.CIQ($G1723,$I1723,V1579,$H1723,FXMode)*Scale)</f>
        <v/>
      </c>
      <c r="W1723" s="1479"/>
      <c r="X1723" s="255"/>
      <c r="Y1723" s="255"/>
      <c r="Z1723" s="2060"/>
      <c r="AA1723" s="2060"/>
      <c r="AB1723" s="2060"/>
      <c r="AC1723" s="2060"/>
      <c r="AD1723" s="2060"/>
      <c r="AE1723" s="2060"/>
      <c r="AF1723" s="2060"/>
      <c r="AG1723" s="2060"/>
      <c r="AH1723" s="2060"/>
      <c r="AI1723" s="2060"/>
      <c r="AJ1723" s="2060"/>
      <c r="AK1723" s="2060"/>
      <c r="AL1723" s="2060"/>
      <c r="AM1723" s="2060"/>
      <c r="AN1723" s="2060"/>
      <c r="AO1723" s="2060"/>
      <c r="AP1723" s="2060"/>
      <c r="AQ1723" s="2060"/>
      <c r="AR1723" s="2060"/>
      <c r="AS1723" s="2060"/>
      <c r="AT1723" s="2060"/>
      <c r="AU1723" s="2060"/>
      <c r="AV1723" s="2060"/>
      <c r="AW1723" s="2060"/>
      <c r="AX1723" s="2060"/>
      <c r="AY1723" s="2060"/>
      <c r="AZ1723" s="2060"/>
      <c r="BA1723" s="2060"/>
      <c r="BB1723" s="2060"/>
      <c r="BC1723" s="2060"/>
      <c r="BD1723" s="2060"/>
      <c r="BE1723" s="2060"/>
      <c r="BF1723" s="2060"/>
      <c r="BG1723" s="2060"/>
      <c r="BH1723" s="2060"/>
      <c r="BI1723" s="2060"/>
      <c r="BJ1723" s="2060"/>
      <c r="BK1723" s="2060"/>
      <c r="BL1723" s="2060"/>
      <c r="BM1723" s="2060"/>
      <c r="BN1723" s="2060"/>
      <c r="BO1723" s="2060"/>
      <c r="BP1723" s="2060"/>
      <c r="BQ1723" s="2060"/>
      <c r="BR1723" s="2060"/>
      <c r="BS1723" s="2060"/>
      <c r="BT1723" s="2060"/>
      <c r="BU1723" s="2060"/>
      <c r="BV1723" s="2060"/>
      <c r="BW1723" s="2060"/>
      <c r="BX1723" s="2060"/>
      <c r="BY1723" s="2060"/>
      <c r="BZ1723" s="2060"/>
      <c r="CA1723" s="2060"/>
      <c r="CB1723" s="2060"/>
      <c r="CC1723" s="2060"/>
      <c r="CD1723" s="2060"/>
      <c r="CE1723" s="2060"/>
      <c r="CF1723" s="2060"/>
      <c r="CG1723" s="2060"/>
      <c r="CH1723" s="2060"/>
      <c r="CI1723" s="2060"/>
      <c r="CJ1723" s="2060"/>
      <c r="CK1723" s="2060"/>
      <c r="CL1723" s="2060"/>
      <c r="CM1723" s="2060"/>
      <c r="CN1723" s="2060"/>
      <c r="CO1723" s="2060"/>
      <c r="CP1723" s="2060"/>
      <c r="CQ1723" s="2060"/>
      <c r="CR1723" s="2060"/>
      <c r="CS1723" s="2060"/>
      <c r="CT1723" s="2060"/>
      <c r="CU1723" s="2060"/>
      <c r="CV1723" s="2060"/>
      <c r="CW1723" s="2060"/>
      <c r="CX1723" s="2060"/>
      <c r="CY1723" s="2060"/>
      <c r="CZ1723" s="2060"/>
      <c r="DA1723" s="2060"/>
      <c r="DB1723" s="2060"/>
      <c r="DC1723" s="2060"/>
      <c r="DD1723" s="2060"/>
      <c r="DE1723" s="2060"/>
      <c r="DF1723" s="2060"/>
      <c r="DG1723" s="2060"/>
      <c r="DH1723" s="2060"/>
      <c r="DI1723" s="2060"/>
      <c r="DJ1723" s="2060"/>
      <c r="DK1723" s="2060"/>
      <c r="DL1723" s="2060"/>
      <c r="DM1723" s="2060"/>
      <c r="DN1723" s="2060"/>
      <c r="DO1723" s="2060"/>
      <c r="DP1723" s="2060"/>
      <c r="DQ1723" s="2060"/>
      <c r="DR1723" s="2060"/>
      <c r="DS1723" s="2060"/>
      <c r="DT1723" s="2060"/>
      <c r="DU1723" s="2060"/>
      <c r="DV1723" s="2060"/>
      <c r="DW1723" s="2060"/>
      <c r="DX1723" s="2060"/>
      <c r="DY1723" s="2060"/>
      <c r="DZ1723" s="2060"/>
      <c r="EA1723" s="2060"/>
      <c r="EB1723" s="2060"/>
      <c r="EC1723" s="2060"/>
      <c r="ED1723" s="2060"/>
      <c r="EE1723" s="2060"/>
      <c r="EF1723" s="2060"/>
      <c r="EG1723" s="2060"/>
      <c r="EH1723" s="2060"/>
      <c r="EI1723" s="2060"/>
      <c r="EJ1723" s="2060"/>
      <c r="EK1723" s="2060"/>
      <c r="EL1723" s="2060"/>
      <c r="EM1723" s="2060"/>
      <c r="EN1723" s="2060"/>
      <c r="EO1723" s="2060"/>
      <c r="EP1723" s="2060"/>
      <c r="EQ1723" s="2060"/>
      <c r="ER1723" s="2060"/>
      <c r="ES1723" s="2060"/>
      <c r="ET1723" s="2060"/>
      <c r="EU1723" s="2060"/>
      <c r="EV1723" s="2060"/>
      <c r="EW1723" s="2060"/>
      <c r="EX1723" s="2060"/>
      <c r="EY1723" s="2060"/>
      <c r="EZ1723" s="2060"/>
      <c r="FA1723" s="2060"/>
      <c r="FB1723" s="2060"/>
      <c r="FC1723" s="2060"/>
      <c r="FD1723" s="2060"/>
      <c r="FE1723" s="2060"/>
      <c r="FF1723" s="2060"/>
      <c r="FG1723" s="2060"/>
      <c r="FH1723" s="2060"/>
      <c r="FI1723" s="2060"/>
      <c r="FJ1723" s="2060"/>
      <c r="FK1723" s="2060"/>
      <c r="FL1723" s="2060"/>
      <c r="FM1723" s="2060"/>
      <c r="FN1723" s="2060"/>
      <c r="FO1723" s="2060"/>
      <c r="FP1723" s="2060"/>
      <c r="FQ1723" s="2060"/>
      <c r="FR1723" s="2060"/>
      <c r="FS1723" s="2060"/>
      <c r="FT1723" s="2060"/>
      <c r="FU1723" s="2060"/>
      <c r="FV1723" s="2060"/>
      <c r="FW1723" s="2060"/>
      <c r="FX1723" s="2060"/>
      <c r="FY1723" s="2060"/>
      <c r="FZ1723" s="2060"/>
      <c r="GA1723" s="2060"/>
      <c r="GB1723" s="2060"/>
      <c r="GC1723" s="2060"/>
      <c r="GD1723" s="2060"/>
      <c r="GE1723" s="2060"/>
      <c r="GF1723" s="2060"/>
      <c r="GG1723" s="2060"/>
      <c r="GH1723" s="2060"/>
      <c r="GI1723" s="2060"/>
      <c r="GJ1723" s="2060"/>
      <c r="GK1723" s="2060"/>
      <c r="GL1723" s="2060"/>
      <c r="GM1723" s="2060"/>
      <c r="GN1723" s="2060"/>
      <c r="GO1723" s="2060"/>
      <c r="GP1723" s="2060"/>
      <c r="GQ1723" s="2060"/>
      <c r="GR1723" s="2060"/>
      <c r="GS1723" s="2060"/>
      <c r="GT1723" s="2060"/>
      <c r="GU1723" s="2060"/>
      <c r="GV1723" s="2060"/>
      <c r="GW1723" s="2060"/>
      <c r="GX1723" s="2060"/>
      <c r="GY1723" s="2060"/>
      <c r="GZ1723" s="2060"/>
      <c r="HA1723" s="2060"/>
      <c r="HB1723" s="2060"/>
      <c r="HC1723" s="2060"/>
      <c r="HD1723" s="2060"/>
      <c r="HE1723" s="2060"/>
      <c r="HF1723" s="2060"/>
      <c r="HG1723" s="2060"/>
      <c r="HH1723" s="2060"/>
      <c r="HI1723" s="2060"/>
      <c r="HJ1723" s="2060"/>
      <c r="HK1723" s="2060"/>
      <c r="HL1723" s="2060"/>
      <c r="HM1723" s="2060"/>
      <c r="HN1723" s="2060"/>
      <c r="HO1723" s="2060"/>
      <c r="HP1723" s="2060"/>
      <c r="HQ1723" s="2060"/>
      <c r="HR1723" s="2060"/>
      <c r="HS1723" s="2060"/>
      <c r="HT1723" s="2060"/>
      <c r="HU1723" s="2060"/>
      <c r="HV1723" s="2060"/>
      <c r="HW1723" s="2060"/>
      <c r="HX1723" s="2060"/>
      <c r="HY1723" s="2060"/>
      <c r="HZ1723" s="2060"/>
      <c r="IA1723" s="2060"/>
      <c r="IB1723" s="2060"/>
      <c r="IC1723" s="2060"/>
      <c r="ID1723" s="2060"/>
      <c r="IE1723" s="2060"/>
      <c r="IF1723" s="2060"/>
      <c r="IG1723" s="2060"/>
      <c r="IH1723" s="2060"/>
      <c r="II1723" s="2060"/>
      <c r="IJ1723" s="2060"/>
      <c r="IK1723" s="2060"/>
      <c r="IL1723" s="2060"/>
      <c r="IM1723" s="2060"/>
      <c r="IN1723" s="2060"/>
      <c r="IO1723" s="2060"/>
      <c r="IP1723" s="2060"/>
      <c r="IQ1723" s="2060"/>
      <c r="IR1723" s="2060"/>
      <c r="IS1723" s="2060"/>
      <c r="IT1723" s="2060"/>
      <c r="IU1723" s="2060"/>
      <c r="IV1723" s="2060"/>
      <c r="IW1723" s="2060"/>
      <c r="IX1723" s="2060"/>
      <c r="IY1723" s="2060"/>
      <c r="IZ1723" s="2060"/>
      <c r="JA1723" s="2060"/>
      <c r="JB1723" s="2060"/>
      <c r="JC1723" s="2060"/>
      <c r="JD1723" s="2060"/>
      <c r="JE1723" s="2060"/>
      <c r="JF1723" s="2060"/>
      <c r="JG1723" s="2060"/>
      <c r="JH1723" s="2060"/>
      <c r="JI1723" s="2060"/>
      <c r="JJ1723" s="2060"/>
      <c r="JK1723" s="2060"/>
      <c r="JL1723" s="2060"/>
      <c r="JM1723" s="2060"/>
      <c r="JN1723" s="2060"/>
      <c r="JO1723" s="2060"/>
      <c r="JP1723" s="2060"/>
      <c r="JQ1723" s="2060"/>
      <c r="JR1723" s="2060"/>
      <c r="JS1723" s="2060"/>
      <c r="JT1723" s="2060"/>
      <c r="JU1723" s="2060"/>
      <c r="JV1723" s="2060"/>
      <c r="JW1723" s="2060"/>
      <c r="JX1723" s="2060"/>
      <c r="JY1723" s="2060"/>
      <c r="JZ1723" s="2060"/>
      <c r="KA1723" s="2060"/>
      <c r="KB1723" s="2060"/>
      <c r="KC1723" s="2060"/>
      <c r="KD1723" s="2060"/>
      <c r="KE1723" s="2060"/>
      <c r="KF1723" s="2060"/>
      <c r="KG1723" s="2060"/>
      <c r="KH1723" s="2060"/>
      <c r="KI1723" s="2060"/>
      <c r="KJ1723" s="2060"/>
      <c r="KK1723" s="2060"/>
      <c r="KL1723" s="2060"/>
      <c r="KM1723" s="2060"/>
      <c r="KN1723" s="2060"/>
      <c r="KO1723" s="2060"/>
      <c r="KP1723" s="2060"/>
      <c r="KQ1723" s="2060"/>
      <c r="KR1723" s="2060"/>
      <c r="KS1723" s="2060"/>
      <c r="KT1723" s="2060"/>
      <c r="KU1723" s="2060"/>
      <c r="KV1723" s="2060"/>
      <c r="KW1723" s="2060"/>
      <c r="KX1723" s="2060"/>
      <c r="KY1723" s="2060"/>
      <c r="KZ1723" s="2060"/>
      <c r="LA1723" s="2060"/>
      <c r="LB1723" s="2060"/>
      <c r="LC1723" s="2060"/>
      <c r="LD1723" s="2060"/>
      <c r="LE1723" s="2060"/>
      <c r="LF1723" s="2060"/>
      <c r="LG1723" s="2060"/>
      <c r="LH1723" s="2060"/>
    </row>
    <row r="1724" spans="1:320" s="1499" customFormat="1" ht="13.9">
      <c r="A1724" s="269" t="str">
        <f t="shared" si="473"/>
        <v>n</v>
      </c>
      <c r="B1724" s="2060"/>
      <c r="C1724" s="2060"/>
      <c r="D1724" s="2060"/>
      <c r="E1724" s="1661">
        <v>21</v>
      </c>
      <c r="F1724" s="1353" t="str">
        <f>F$149</f>
        <v>--</v>
      </c>
      <c r="G1724" s="128">
        <f>G$149</f>
        <v>0</v>
      </c>
      <c r="H1724" s="128" t="str">
        <f>H$149</f>
        <v>--</v>
      </c>
      <c r="I1724" s="89" t="s">
        <v>774</v>
      </c>
      <c r="J1724" s="2197" t="str">
        <f>IF($G1724=0,"",_xll.ciqfunctions.udf.CIQ($G1724,$I1724,J1580,$H1724,FXMode)*Scale)</f>
        <v/>
      </c>
      <c r="K1724" s="2197" t="str">
        <f>IF($G1724=0,"",_xll.ciqfunctions.udf.CIQ($G1724,$I1724,K1580,$H1724,FXMode)*Scale)</f>
        <v/>
      </c>
      <c r="L1724" s="2197" t="str">
        <f>IF($G1724=0,"",_xll.ciqfunctions.udf.CIQ($G1724,$I1724,L1580,$H1724,FXMode)*Scale)</f>
        <v/>
      </c>
      <c r="M1724" s="2197" t="str">
        <f>IF($G1724=0,"",_xll.ciqfunctions.udf.CIQ($G1724,$I1724,M1580,$H1724,FXMode)*Scale)</f>
        <v/>
      </c>
      <c r="N1724" s="2197" t="str">
        <f>IF($G1724=0,"",_xll.ciqfunctions.udf.CIQ($G1724,$I1724,N1580,$H1724,FXMode)*Scale)</f>
        <v/>
      </c>
      <c r="O1724" s="2197" t="str">
        <f>IF($G1724=0,"",_xll.ciqfunctions.udf.CIQ($G1724,$I1724,O1580,$H1724,FXMode)*Scale)</f>
        <v/>
      </c>
      <c r="P1724" s="2197" t="str">
        <f>IF($G1724=0,"",_xll.ciqfunctions.udf.CIQ($G1724,$I1724,P1580,$H1724,FXMode)*Scale)</f>
        <v/>
      </c>
      <c r="Q1724" s="2197" t="str">
        <f>IF($G1724=0,"",_xll.ciqfunctions.udf.CIQ($G1724,$I1724,Q1580,$H1724,FXMode)*Scale)</f>
        <v/>
      </c>
      <c r="R1724" s="2197" t="str">
        <f>IF($G1724=0,"",_xll.ciqfunctions.udf.CIQ($G1724,$I1724,R1580,$H1724,FXMode)*Scale)</f>
        <v/>
      </c>
      <c r="S1724" s="2197" t="str">
        <f>IF($G1724=0,"",_xll.ciqfunctions.udf.CIQ($G1724,$I1724,S1580,$H1724,FXMode)*Scale)</f>
        <v/>
      </c>
      <c r="T1724" s="2197" t="str">
        <f>IF($G1724=0,"",_xll.ciqfunctions.udf.CIQ($G1724,$I1724,T1580,$H1724,FXMode)*Scale)</f>
        <v/>
      </c>
      <c r="U1724" s="2197" t="str">
        <f>IF($G1724=0,"",_xll.ciqfunctions.udf.CIQ($G1724,$I1724,U1580,$H1724,FXMode)*Scale)</f>
        <v/>
      </c>
      <c r="V1724" s="2197" t="str">
        <f>IF($G1724=0,"",_xll.ciqfunctions.udf.CIQ($G1724,$I1724,V1580,$H1724,FXMode)*Scale)</f>
        <v/>
      </c>
      <c r="W1724" s="1479"/>
      <c r="X1724" s="255"/>
      <c r="Y1724" s="255"/>
      <c r="Z1724" s="2060"/>
      <c r="AA1724" s="2060"/>
      <c r="AB1724" s="2060"/>
      <c r="AC1724" s="2060"/>
      <c r="AD1724" s="2060"/>
      <c r="AE1724" s="2060"/>
      <c r="AF1724" s="2060"/>
      <c r="AG1724" s="2060"/>
      <c r="AH1724" s="2060"/>
      <c r="AI1724" s="2060"/>
      <c r="AJ1724" s="2060"/>
      <c r="AK1724" s="2060"/>
      <c r="AL1724" s="2060"/>
      <c r="AM1724" s="2060"/>
      <c r="AN1724" s="2060"/>
      <c r="AO1724" s="2060"/>
      <c r="AP1724" s="2060"/>
      <c r="AQ1724" s="2060"/>
      <c r="AR1724" s="2060"/>
      <c r="AS1724" s="2060"/>
      <c r="AT1724" s="2060"/>
      <c r="AU1724" s="2060"/>
      <c r="AV1724" s="2060"/>
      <c r="AW1724" s="2060"/>
      <c r="AX1724" s="2060"/>
      <c r="AY1724" s="2060"/>
      <c r="AZ1724" s="2060"/>
      <c r="BA1724" s="2060"/>
      <c r="BB1724" s="2060"/>
      <c r="BC1724" s="2060"/>
      <c r="BD1724" s="2060"/>
      <c r="BE1724" s="2060"/>
      <c r="BF1724" s="2060"/>
      <c r="BG1724" s="2060"/>
      <c r="BH1724" s="2060"/>
      <c r="BI1724" s="2060"/>
      <c r="BJ1724" s="2060"/>
      <c r="BK1724" s="2060"/>
      <c r="BL1724" s="2060"/>
      <c r="BM1724" s="2060"/>
      <c r="BN1724" s="2060"/>
      <c r="BO1724" s="2060"/>
      <c r="BP1724" s="2060"/>
      <c r="BQ1724" s="2060"/>
      <c r="BR1724" s="2060"/>
      <c r="BS1724" s="2060"/>
      <c r="BT1724" s="2060"/>
      <c r="BU1724" s="2060"/>
      <c r="BV1724" s="2060"/>
      <c r="BW1724" s="2060"/>
      <c r="BX1724" s="2060"/>
      <c r="BY1724" s="2060"/>
      <c r="BZ1724" s="2060"/>
      <c r="CA1724" s="2060"/>
      <c r="CB1724" s="2060"/>
      <c r="CC1724" s="2060"/>
      <c r="CD1724" s="2060"/>
      <c r="CE1724" s="2060"/>
      <c r="CF1724" s="2060"/>
      <c r="CG1724" s="2060"/>
      <c r="CH1724" s="2060"/>
      <c r="CI1724" s="2060"/>
      <c r="CJ1724" s="2060"/>
      <c r="CK1724" s="2060"/>
      <c r="CL1724" s="2060"/>
      <c r="CM1724" s="2060"/>
      <c r="CN1724" s="2060"/>
      <c r="CO1724" s="2060"/>
      <c r="CP1724" s="2060"/>
      <c r="CQ1724" s="2060"/>
      <c r="CR1724" s="2060"/>
      <c r="CS1724" s="2060"/>
      <c r="CT1724" s="2060"/>
      <c r="CU1724" s="2060"/>
      <c r="CV1724" s="2060"/>
      <c r="CW1724" s="2060"/>
      <c r="CX1724" s="2060"/>
      <c r="CY1724" s="2060"/>
      <c r="CZ1724" s="2060"/>
      <c r="DA1724" s="2060"/>
      <c r="DB1724" s="2060"/>
      <c r="DC1724" s="2060"/>
      <c r="DD1724" s="2060"/>
      <c r="DE1724" s="2060"/>
      <c r="DF1724" s="2060"/>
      <c r="DG1724" s="2060"/>
      <c r="DH1724" s="2060"/>
      <c r="DI1724" s="2060"/>
      <c r="DJ1724" s="2060"/>
      <c r="DK1724" s="2060"/>
      <c r="DL1724" s="2060"/>
      <c r="DM1724" s="2060"/>
      <c r="DN1724" s="2060"/>
      <c r="DO1724" s="2060"/>
      <c r="DP1724" s="2060"/>
      <c r="DQ1724" s="2060"/>
      <c r="DR1724" s="2060"/>
      <c r="DS1724" s="2060"/>
      <c r="DT1724" s="2060"/>
      <c r="DU1724" s="2060"/>
      <c r="DV1724" s="2060"/>
      <c r="DW1724" s="2060"/>
      <c r="DX1724" s="2060"/>
      <c r="DY1724" s="2060"/>
      <c r="DZ1724" s="2060"/>
      <c r="EA1724" s="2060"/>
      <c r="EB1724" s="2060"/>
      <c r="EC1724" s="2060"/>
      <c r="ED1724" s="2060"/>
      <c r="EE1724" s="2060"/>
      <c r="EF1724" s="2060"/>
      <c r="EG1724" s="2060"/>
      <c r="EH1724" s="2060"/>
      <c r="EI1724" s="2060"/>
      <c r="EJ1724" s="2060"/>
      <c r="EK1724" s="2060"/>
      <c r="EL1724" s="2060"/>
      <c r="EM1724" s="2060"/>
      <c r="EN1724" s="2060"/>
      <c r="EO1724" s="2060"/>
      <c r="EP1724" s="2060"/>
      <c r="EQ1724" s="2060"/>
      <c r="ER1724" s="2060"/>
      <c r="ES1724" s="2060"/>
      <c r="ET1724" s="2060"/>
      <c r="EU1724" s="2060"/>
      <c r="EV1724" s="2060"/>
      <c r="EW1724" s="2060"/>
      <c r="EX1724" s="2060"/>
      <c r="EY1724" s="2060"/>
      <c r="EZ1724" s="2060"/>
      <c r="FA1724" s="2060"/>
      <c r="FB1724" s="2060"/>
      <c r="FC1724" s="2060"/>
      <c r="FD1724" s="2060"/>
      <c r="FE1724" s="2060"/>
      <c r="FF1724" s="2060"/>
      <c r="FG1724" s="2060"/>
      <c r="FH1724" s="2060"/>
      <c r="FI1724" s="2060"/>
      <c r="FJ1724" s="2060"/>
      <c r="FK1724" s="2060"/>
      <c r="FL1724" s="2060"/>
      <c r="FM1724" s="2060"/>
      <c r="FN1724" s="2060"/>
      <c r="FO1724" s="2060"/>
      <c r="FP1724" s="2060"/>
      <c r="FQ1724" s="2060"/>
      <c r="FR1724" s="2060"/>
      <c r="FS1724" s="2060"/>
      <c r="FT1724" s="2060"/>
      <c r="FU1724" s="2060"/>
      <c r="FV1724" s="2060"/>
      <c r="FW1724" s="2060"/>
      <c r="FX1724" s="2060"/>
      <c r="FY1724" s="2060"/>
      <c r="FZ1724" s="2060"/>
      <c r="GA1724" s="2060"/>
      <c r="GB1724" s="2060"/>
      <c r="GC1724" s="2060"/>
      <c r="GD1724" s="2060"/>
      <c r="GE1724" s="2060"/>
      <c r="GF1724" s="2060"/>
      <c r="GG1724" s="2060"/>
      <c r="GH1724" s="2060"/>
      <c r="GI1724" s="2060"/>
      <c r="GJ1724" s="2060"/>
      <c r="GK1724" s="2060"/>
      <c r="GL1724" s="2060"/>
      <c r="GM1724" s="2060"/>
      <c r="GN1724" s="2060"/>
      <c r="GO1724" s="2060"/>
      <c r="GP1724" s="2060"/>
      <c r="GQ1724" s="2060"/>
      <c r="GR1724" s="2060"/>
      <c r="GS1724" s="2060"/>
      <c r="GT1724" s="2060"/>
      <c r="GU1724" s="2060"/>
      <c r="GV1724" s="2060"/>
      <c r="GW1724" s="2060"/>
      <c r="GX1724" s="2060"/>
      <c r="GY1724" s="2060"/>
      <c r="GZ1724" s="2060"/>
      <c r="HA1724" s="2060"/>
      <c r="HB1724" s="2060"/>
      <c r="HC1724" s="2060"/>
      <c r="HD1724" s="2060"/>
      <c r="HE1724" s="2060"/>
      <c r="HF1724" s="2060"/>
      <c r="HG1724" s="2060"/>
      <c r="HH1724" s="2060"/>
      <c r="HI1724" s="2060"/>
      <c r="HJ1724" s="2060"/>
      <c r="HK1724" s="2060"/>
      <c r="HL1724" s="2060"/>
      <c r="HM1724" s="2060"/>
      <c r="HN1724" s="2060"/>
      <c r="HO1724" s="2060"/>
      <c r="HP1724" s="2060"/>
      <c r="HQ1724" s="2060"/>
      <c r="HR1724" s="2060"/>
      <c r="HS1724" s="2060"/>
      <c r="HT1724" s="2060"/>
      <c r="HU1724" s="2060"/>
      <c r="HV1724" s="2060"/>
      <c r="HW1724" s="2060"/>
      <c r="HX1724" s="2060"/>
      <c r="HY1724" s="2060"/>
      <c r="HZ1724" s="2060"/>
      <c r="IA1724" s="2060"/>
      <c r="IB1724" s="2060"/>
      <c r="IC1724" s="2060"/>
      <c r="ID1724" s="2060"/>
      <c r="IE1724" s="2060"/>
      <c r="IF1724" s="2060"/>
      <c r="IG1724" s="2060"/>
      <c r="IH1724" s="2060"/>
      <c r="II1724" s="2060"/>
      <c r="IJ1724" s="2060"/>
      <c r="IK1724" s="2060"/>
      <c r="IL1724" s="2060"/>
      <c r="IM1724" s="2060"/>
      <c r="IN1724" s="2060"/>
      <c r="IO1724" s="2060"/>
      <c r="IP1724" s="2060"/>
      <c r="IQ1724" s="2060"/>
      <c r="IR1724" s="2060"/>
      <c r="IS1724" s="2060"/>
      <c r="IT1724" s="2060"/>
      <c r="IU1724" s="2060"/>
      <c r="IV1724" s="2060"/>
      <c r="IW1724" s="2060"/>
      <c r="IX1724" s="2060"/>
      <c r="IY1724" s="2060"/>
      <c r="IZ1724" s="2060"/>
      <c r="JA1724" s="2060"/>
      <c r="JB1724" s="2060"/>
      <c r="JC1724" s="2060"/>
      <c r="JD1724" s="2060"/>
      <c r="JE1724" s="2060"/>
      <c r="JF1724" s="2060"/>
      <c r="JG1724" s="2060"/>
      <c r="JH1724" s="2060"/>
      <c r="JI1724" s="2060"/>
      <c r="JJ1724" s="2060"/>
      <c r="JK1724" s="2060"/>
      <c r="JL1724" s="2060"/>
      <c r="JM1724" s="2060"/>
      <c r="JN1724" s="2060"/>
      <c r="JO1724" s="2060"/>
      <c r="JP1724" s="2060"/>
      <c r="JQ1724" s="2060"/>
      <c r="JR1724" s="2060"/>
      <c r="JS1724" s="2060"/>
      <c r="JT1724" s="2060"/>
      <c r="JU1724" s="2060"/>
      <c r="JV1724" s="2060"/>
      <c r="JW1724" s="2060"/>
      <c r="JX1724" s="2060"/>
      <c r="JY1724" s="2060"/>
      <c r="JZ1724" s="2060"/>
      <c r="KA1724" s="2060"/>
      <c r="KB1724" s="2060"/>
      <c r="KC1724" s="2060"/>
      <c r="KD1724" s="2060"/>
      <c r="KE1724" s="2060"/>
      <c r="KF1724" s="2060"/>
      <c r="KG1724" s="2060"/>
      <c r="KH1724" s="2060"/>
      <c r="KI1724" s="2060"/>
      <c r="KJ1724" s="2060"/>
      <c r="KK1724" s="2060"/>
      <c r="KL1724" s="2060"/>
      <c r="KM1724" s="2060"/>
      <c r="KN1724" s="2060"/>
      <c r="KO1724" s="2060"/>
      <c r="KP1724" s="2060"/>
      <c r="KQ1724" s="2060"/>
      <c r="KR1724" s="2060"/>
      <c r="KS1724" s="2060"/>
      <c r="KT1724" s="2060"/>
      <c r="KU1724" s="2060"/>
      <c r="KV1724" s="2060"/>
      <c r="KW1724" s="2060"/>
      <c r="KX1724" s="2060"/>
      <c r="KY1724" s="2060"/>
      <c r="KZ1724" s="2060"/>
      <c r="LA1724" s="2060"/>
      <c r="LB1724" s="2060"/>
      <c r="LC1724" s="2060"/>
      <c r="LD1724" s="2060"/>
      <c r="LE1724" s="2060"/>
      <c r="LF1724" s="2060"/>
      <c r="LG1724" s="2060"/>
      <c r="LH1724" s="2060"/>
    </row>
    <row r="1725" spans="1:320" s="1499" customFormat="1" ht="13.9">
      <c r="A1725" s="269" t="str">
        <f t="shared" si="473"/>
        <v>n</v>
      </c>
      <c r="B1725" s="2060"/>
      <c r="C1725" s="2060"/>
      <c r="D1725" s="2060"/>
      <c r="E1725" s="1661">
        <v>22</v>
      </c>
      <c r="F1725" s="1353" t="str">
        <f>F$150</f>
        <v>--</v>
      </c>
      <c r="G1725" s="128">
        <f>G$150</f>
        <v>0</v>
      </c>
      <c r="H1725" s="128" t="str">
        <f>H$150</f>
        <v>--</v>
      </c>
      <c r="I1725" s="89" t="s">
        <v>774</v>
      </c>
      <c r="J1725" s="2197" t="str">
        <f>IF($G1725=0,"",_xll.ciqfunctions.udf.CIQ($G1725,$I1725,J1581,$H1725,FXMode)*Scale)</f>
        <v/>
      </c>
      <c r="K1725" s="2197" t="str">
        <f>IF($G1725=0,"",_xll.ciqfunctions.udf.CIQ($G1725,$I1725,K1581,$H1725,FXMode)*Scale)</f>
        <v/>
      </c>
      <c r="L1725" s="2197" t="str">
        <f>IF($G1725=0,"",_xll.ciqfunctions.udf.CIQ($G1725,$I1725,L1581,$H1725,FXMode)*Scale)</f>
        <v/>
      </c>
      <c r="M1725" s="2197" t="str">
        <f>IF($G1725=0,"",_xll.ciqfunctions.udf.CIQ($G1725,$I1725,M1581,$H1725,FXMode)*Scale)</f>
        <v/>
      </c>
      <c r="N1725" s="2197" t="str">
        <f>IF($G1725=0,"",_xll.ciqfunctions.udf.CIQ($G1725,$I1725,N1581,$H1725,FXMode)*Scale)</f>
        <v/>
      </c>
      <c r="O1725" s="2197" t="str">
        <f>IF($G1725=0,"",_xll.ciqfunctions.udf.CIQ($G1725,$I1725,O1581,$H1725,FXMode)*Scale)</f>
        <v/>
      </c>
      <c r="P1725" s="2197" t="str">
        <f>IF($G1725=0,"",_xll.ciqfunctions.udf.CIQ($G1725,$I1725,P1581,$H1725,FXMode)*Scale)</f>
        <v/>
      </c>
      <c r="Q1725" s="2197" t="str">
        <f>IF($G1725=0,"",_xll.ciqfunctions.udf.CIQ($G1725,$I1725,Q1581,$H1725,FXMode)*Scale)</f>
        <v/>
      </c>
      <c r="R1725" s="2197" t="str">
        <f>IF($G1725=0,"",_xll.ciqfunctions.udf.CIQ($G1725,$I1725,R1581,$H1725,FXMode)*Scale)</f>
        <v/>
      </c>
      <c r="S1725" s="2197" t="str">
        <f>IF($G1725=0,"",_xll.ciqfunctions.udf.CIQ($G1725,$I1725,S1581,$H1725,FXMode)*Scale)</f>
        <v/>
      </c>
      <c r="T1725" s="2197" t="str">
        <f>IF($G1725=0,"",_xll.ciqfunctions.udf.CIQ($G1725,$I1725,T1581,$H1725,FXMode)*Scale)</f>
        <v/>
      </c>
      <c r="U1725" s="2197" t="str">
        <f>IF($G1725=0,"",_xll.ciqfunctions.udf.CIQ($G1725,$I1725,U1581,$H1725,FXMode)*Scale)</f>
        <v/>
      </c>
      <c r="V1725" s="2197" t="str">
        <f>IF($G1725=0,"",_xll.ciqfunctions.udf.CIQ($G1725,$I1725,V1581,$H1725,FXMode)*Scale)</f>
        <v/>
      </c>
      <c r="W1725" s="1479"/>
      <c r="X1725" s="255"/>
      <c r="Y1725" s="255"/>
      <c r="Z1725" s="2060"/>
      <c r="AA1725" s="2060"/>
      <c r="AB1725" s="2060"/>
      <c r="AC1725" s="2060"/>
      <c r="AD1725" s="2060"/>
      <c r="AE1725" s="2060"/>
      <c r="AF1725" s="2060"/>
      <c r="AG1725" s="2060"/>
      <c r="AH1725" s="2060"/>
      <c r="AI1725" s="2060"/>
      <c r="AJ1725" s="2060"/>
      <c r="AK1725" s="2060"/>
      <c r="AL1725" s="2060"/>
      <c r="AM1725" s="2060"/>
      <c r="AN1725" s="2060"/>
      <c r="AO1725" s="2060"/>
      <c r="AP1725" s="2060"/>
      <c r="AQ1725" s="2060"/>
      <c r="AR1725" s="2060"/>
      <c r="AS1725" s="2060"/>
      <c r="AT1725" s="2060"/>
      <c r="AU1725" s="2060"/>
      <c r="AV1725" s="2060"/>
      <c r="AW1725" s="2060"/>
      <c r="AX1725" s="2060"/>
      <c r="AY1725" s="2060"/>
      <c r="AZ1725" s="2060"/>
      <c r="BA1725" s="2060"/>
      <c r="BB1725" s="2060"/>
      <c r="BC1725" s="2060"/>
      <c r="BD1725" s="2060"/>
      <c r="BE1725" s="2060"/>
      <c r="BF1725" s="2060"/>
      <c r="BG1725" s="2060"/>
      <c r="BH1725" s="2060"/>
      <c r="BI1725" s="2060"/>
      <c r="BJ1725" s="2060"/>
      <c r="BK1725" s="2060"/>
      <c r="BL1725" s="2060"/>
      <c r="BM1725" s="2060"/>
      <c r="BN1725" s="2060"/>
      <c r="BO1725" s="2060"/>
      <c r="BP1725" s="2060"/>
      <c r="BQ1725" s="2060"/>
      <c r="BR1725" s="2060"/>
      <c r="BS1725" s="2060"/>
      <c r="BT1725" s="2060"/>
      <c r="BU1725" s="2060"/>
      <c r="BV1725" s="2060"/>
      <c r="BW1725" s="2060"/>
      <c r="BX1725" s="2060"/>
      <c r="BY1725" s="2060"/>
      <c r="BZ1725" s="2060"/>
      <c r="CA1725" s="2060"/>
      <c r="CB1725" s="2060"/>
      <c r="CC1725" s="2060"/>
      <c r="CD1725" s="2060"/>
      <c r="CE1725" s="2060"/>
      <c r="CF1725" s="2060"/>
      <c r="CG1725" s="2060"/>
      <c r="CH1725" s="2060"/>
      <c r="CI1725" s="2060"/>
      <c r="CJ1725" s="2060"/>
      <c r="CK1725" s="2060"/>
      <c r="CL1725" s="2060"/>
      <c r="CM1725" s="2060"/>
      <c r="CN1725" s="2060"/>
      <c r="CO1725" s="2060"/>
      <c r="CP1725" s="2060"/>
      <c r="CQ1725" s="2060"/>
      <c r="CR1725" s="2060"/>
      <c r="CS1725" s="2060"/>
      <c r="CT1725" s="2060"/>
      <c r="CU1725" s="2060"/>
      <c r="CV1725" s="2060"/>
      <c r="CW1725" s="2060"/>
      <c r="CX1725" s="2060"/>
      <c r="CY1725" s="2060"/>
      <c r="CZ1725" s="2060"/>
      <c r="DA1725" s="2060"/>
      <c r="DB1725" s="2060"/>
      <c r="DC1725" s="2060"/>
      <c r="DD1725" s="2060"/>
      <c r="DE1725" s="2060"/>
      <c r="DF1725" s="2060"/>
      <c r="DG1725" s="2060"/>
      <c r="DH1725" s="2060"/>
      <c r="DI1725" s="2060"/>
      <c r="DJ1725" s="2060"/>
      <c r="DK1725" s="2060"/>
      <c r="DL1725" s="2060"/>
      <c r="DM1725" s="2060"/>
      <c r="DN1725" s="2060"/>
      <c r="DO1725" s="2060"/>
      <c r="DP1725" s="2060"/>
      <c r="DQ1725" s="2060"/>
      <c r="DR1725" s="2060"/>
      <c r="DS1725" s="2060"/>
      <c r="DT1725" s="2060"/>
      <c r="DU1725" s="2060"/>
      <c r="DV1725" s="2060"/>
      <c r="DW1725" s="2060"/>
      <c r="DX1725" s="2060"/>
      <c r="DY1725" s="2060"/>
      <c r="DZ1725" s="2060"/>
      <c r="EA1725" s="2060"/>
      <c r="EB1725" s="2060"/>
      <c r="EC1725" s="2060"/>
      <c r="ED1725" s="2060"/>
      <c r="EE1725" s="2060"/>
      <c r="EF1725" s="2060"/>
      <c r="EG1725" s="2060"/>
      <c r="EH1725" s="2060"/>
      <c r="EI1725" s="2060"/>
      <c r="EJ1725" s="2060"/>
      <c r="EK1725" s="2060"/>
      <c r="EL1725" s="2060"/>
      <c r="EM1725" s="2060"/>
      <c r="EN1725" s="2060"/>
      <c r="EO1725" s="2060"/>
      <c r="EP1725" s="2060"/>
      <c r="EQ1725" s="2060"/>
      <c r="ER1725" s="2060"/>
      <c r="ES1725" s="2060"/>
      <c r="ET1725" s="2060"/>
      <c r="EU1725" s="2060"/>
      <c r="EV1725" s="2060"/>
      <c r="EW1725" s="2060"/>
      <c r="EX1725" s="2060"/>
      <c r="EY1725" s="2060"/>
      <c r="EZ1725" s="2060"/>
      <c r="FA1725" s="2060"/>
      <c r="FB1725" s="2060"/>
      <c r="FC1725" s="2060"/>
      <c r="FD1725" s="2060"/>
      <c r="FE1725" s="2060"/>
      <c r="FF1725" s="2060"/>
      <c r="FG1725" s="2060"/>
      <c r="FH1725" s="2060"/>
      <c r="FI1725" s="2060"/>
      <c r="FJ1725" s="2060"/>
      <c r="FK1725" s="2060"/>
      <c r="FL1725" s="2060"/>
      <c r="FM1725" s="2060"/>
      <c r="FN1725" s="2060"/>
      <c r="FO1725" s="2060"/>
      <c r="FP1725" s="2060"/>
      <c r="FQ1725" s="2060"/>
      <c r="FR1725" s="2060"/>
      <c r="FS1725" s="2060"/>
      <c r="FT1725" s="2060"/>
      <c r="FU1725" s="2060"/>
      <c r="FV1725" s="2060"/>
      <c r="FW1725" s="2060"/>
      <c r="FX1725" s="2060"/>
      <c r="FY1725" s="2060"/>
      <c r="FZ1725" s="2060"/>
      <c r="GA1725" s="2060"/>
      <c r="GB1725" s="2060"/>
      <c r="GC1725" s="2060"/>
      <c r="GD1725" s="2060"/>
      <c r="GE1725" s="2060"/>
      <c r="GF1725" s="2060"/>
      <c r="GG1725" s="2060"/>
      <c r="GH1725" s="2060"/>
      <c r="GI1725" s="2060"/>
      <c r="GJ1725" s="2060"/>
      <c r="GK1725" s="2060"/>
      <c r="GL1725" s="2060"/>
      <c r="GM1725" s="2060"/>
      <c r="GN1725" s="2060"/>
      <c r="GO1725" s="2060"/>
      <c r="GP1725" s="2060"/>
      <c r="GQ1725" s="2060"/>
      <c r="GR1725" s="2060"/>
      <c r="GS1725" s="2060"/>
      <c r="GT1725" s="2060"/>
      <c r="GU1725" s="2060"/>
      <c r="GV1725" s="2060"/>
      <c r="GW1725" s="2060"/>
      <c r="GX1725" s="2060"/>
      <c r="GY1725" s="2060"/>
      <c r="GZ1725" s="2060"/>
      <c r="HA1725" s="2060"/>
      <c r="HB1725" s="2060"/>
      <c r="HC1725" s="2060"/>
      <c r="HD1725" s="2060"/>
      <c r="HE1725" s="2060"/>
      <c r="HF1725" s="2060"/>
      <c r="HG1725" s="2060"/>
      <c r="HH1725" s="2060"/>
      <c r="HI1725" s="2060"/>
      <c r="HJ1725" s="2060"/>
      <c r="HK1725" s="2060"/>
      <c r="HL1725" s="2060"/>
      <c r="HM1725" s="2060"/>
      <c r="HN1725" s="2060"/>
      <c r="HO1725" s="2060"/>
      <c r="HP1725" s="2060"/>
      <c r="HQ1725" s="2060"/>
      <c r="HR1725" s="2060"/>
      <c r="HS1725" s="2060"/>
      <c r="HT1725" s="2060"/>
      <c r="HU1725" s="2060"/>
      <c r="HV1725" s="2060"/>
      <c r="HW1725" s="2060"/>
      <c r="HX1725" s="2060"/>
      <c r="HY1725" s="2060"/>
      <c r="HZ1725" s="2060"/>
      <c r="IA1725" s="2060"/>
      <c r="IB1725" s="2060"/>
      <c r="IC1725" s="2060"/>
      <c r="ID1725" s="2060"/>
      <c r="IE1725" s="2060"/>
      <c r="IF1725" s="2060"/>
      <c r="IG1725" s="2060"/>
      <c r="IH1725" s="2060"/>
      <c r="II1725" s="2060"/>
      <c r="IJ1725" s="2060"/>
      <c r="IK1725" s="2060"/>
      <c r="IL1725" s="2060"/>
      <c r="IM1725" s="2060"/>
      <c r="IN1725" s="2060"/>
      <c r="IO1725" s="2060"/>
      <c r="IP1725" s="2060"/>
      <c r="IQ1725" s="2060"/>
      <c r="IR1725" s="2060"/>
      <c r="IS1725" s="2060"/>
      <c r="IT1725" s="2060"/>
      <c r="IU1725" s="2060"/>
      <c r="IV1725" s="2060"/>
      <c r="IW1725" s="2060"/>
      <c r="IX1725" s="2060"/>
      <c r="IY1725" s="2060"/>
      <c r="IZ1725" s="2060"/>
      <c r="JA1725" s="2060"/>
      <c r="JB1725" s="2060"/>
      <c r="JC1725" s="2060"/>
      <c r="JD1725" s="2060"/>
      <c r="JE1725" s="2060"/>
      <c r="JF1725" s="2060"/>
      <c r="JG1725" s="2060"/>
      <c r="JH1725" s="2060"/>
      <c r="JI1725" s="2060"/>
      <c r="JJ1725" s="2060"/>
      <c r="JK1725" s="2060"/>
      <c r="JL1725" s="2060"/>
      <c r="JM1725" s="2060"/>
      <c r="JN1725" s="2060"/>
      <c r="JO1725" s="2060"/>
      <c r="JP1725" s="2060"/>
      <c r="JQ1725" s="2060"/>
      <c r="JR1725" s="2060"/>
      <c r="JS1725" s="2060"/>
      <c r="JT1725" s="2060"/>
      <c r="JU1725" s="2060"/>
      <c r="JV1725" s="2060"/>
      <c r="JW1725" s="2060"/>
      <c r="JX1725" s="2060"/>
      <c r="JY1725" s="2060"/>
      <c r="JZ1725" s="2060"/>
      <c r="KA1725" s="2060"/>
      <c r="KB1725" s="2060"/>
      <c r="KC1725" s="2060"/>
      <c r="KD1725" s="2060"/>
      <c r="KE1725" s="2060"/>
      <c r="KF1725" s="2060"/>
      <c r="KG1725" s="2060"/>
      <c r="KH1725" s="2060"/>
      <c r="KI1725" s="2060"/>
      <c r="KJ1725" s="2060"/>
      <c r="KK1725" s="2060"/>
      <c r="KL1725" s="2060"/>
      <c r="KM1725" s="2060"/>
      <c r="KN1725" s="2060"/>
      <c r="KO1725" s="2060"/>
      <c r="KP1725" s="2060"/>
      <c r="KQ1725" s="2060"/>
      <c r="KR1725" s="2060"/>
      <c r="KS1725" s="2060"/>
      <c r="KT1725" s="2060"/>
      <c r="KU1725" s="2060"/>
      <c r="KV1725" s="2060"/>
      <c r="KW1725" s="2060"/>
      <c r="KX1725" s="2060"/>
      <c r="KY1725" s="2060"/>
      <c r="KZ1725" s="2060"/>
      <c r="LA1725" s="2060"/>
      <c r="LB1725" s="2060"/>
      <c r="LC1725" s="2060"/>
      <c r="LD1725" s="2060"/>
      <c r="LE1725" s="2060"/>
      <c r="LF1725" s="2060"/>
      <c r="LG1725" s="2060"/>
      <c r="LH1725" s="2060"/>
    </row>
    <row r="1726" spans="1:320" s="1499" customFormat="1" ht="13.9">
      <c r="A1726" s="269" t="str">
        <f t="shared" si="473"/>
        <v>n</v>
      </c>
      <c r="B1726" s="2060"/>
      <c r="C1726" s="2060"/>
      <c r="D1726" s="2060"/>
      <c r="E1726" s="1661">
        <v>23</v>
      </c>
      <c r="F1726" s="1353" t="str">
        <f>F$151</f>
        <v>--</v>
      </c>
      <c r="G1726" s="128">
        <f>G$151</f>
        <v>0</v>
      </c>
      <c r="H1726" s="128" t="str">
        <f>H$151</f>
        <v>--</v>
      </c>
      <c r="I1726" s="89" t="s">
        <v>774</v>
      </c>
      <c r="J1726" s="2197" t="str">
        <f>IF($G1726=0,"",_xll.ciqfunctions.udf.CIQ($G1726,$I1726,J1582,$H1726,FXMode)*Scale)</f>
        <v/>
      </c>
      <c r="K1726" s="2197" t="str">
        <f>IF($G1726=0,"",_xll.ciqfunctions.udf.CIQ($G1726,$I1726,K1582,$H1726,FXMode)*Scale)</f>
        <v/>
      </c>
      <c r="L1726" s="2197" t="str">
        <f>IF($G1726=0,"",_xll.ciqfunctions.udf.CIQ($G1726,$I1726,L1582,$H1726,FXMode)*Scale)</f>
        <v/>
      </c>
      <c r="M1726" s="2197" t="str">
        <f>IF($G1726=0,"",_xll.ciqfunctions.udf.CIQ($G1726,$I1726,M1582,$H1726,FXMode)*Scale)</f>
        <v/>
      </c>
      <c r="N1726" s="2197" t="str">
        <f>IF($G1726=0,"",_xll.ciqfunctions.udf.CIQ($G1726,$I1726,N1582,$H1726,FXMode)*Scale)</f>
        <v/>
      </c>
      <c r="O1726" s="2197" t="str">
        <f>IF($G1726=0,"",_xll.ciqfunctions.udf.CIQ($G1726,$I1726,O1582,$H1726,FXMode)*Scale)</f>
        <v/>
      </c>
      <c r="P1726" s="2197" t="str">
        <f>IF($G1726=0,"",_xll.ciqfunctions.udf.CIQ($G1726,$I1726,P1582,$H1726,FXMode)*Scale)</f>
        <v/>
      </c>
      <c r="Q1726" s="2197" t="str">
        <f>IF($G1726=0,"",_xll.ciqfunctions.udf.CIQ($G1726,$I1726,Q1582,$H1726,FXMode)*Scale)</f>
        <v/>
      </c>
      <c r="R1726" s="2197" t="str">
        <f>IF($G1726=0,"",_xll.ciqfunctions.udf.CIQ($G1726,$I1726,R1582,$H1726,FXMode)*Scale)</f>
        <v/>
      </c>
      <c r="S1726" s="2197" t="str">
        <f>IF($G1726=0,"",_xll.ciqfunctions.udf.CIQ($G1726,$I1726,S1582,$H1726,FXMode)*Scale)</f>
        <v/>
      </c>
      <c r="T1726" s="2197" t="str">
        <f>IF($G1726=0,"",_xll.ciqfunctions.udf.CIQ($G1726,$I1726,T1582,$H1726,FXMode)*Scale)</f>
        <v/>
      </c>
      <c r="U1726" s="2197" t="str">
        <f>IF($G1726=0,"",_xll.ciqfunctions.udf.CIQ($G1726,$I1726,U1582,$H1726,FXMode)*Scale)</f>
        <v/>
      </c>
      <c r="V1726" s="2197" t="str">
        <f>IF($G1726=0,"",_xll.ciqfunctions.udf.CIQ($G1726,$I1726,V1582,$H1726,FXMode)*Scale)</f>
        <v/>
      </c>
      <c r="W1726" s="1479"/>
      <c r="X1726" s="255"/>
      <c r="Y1726" s="255"/>
      <c r="Z1726" s="2060"/>
      <c r="AA1726" s="2060"/>
      <c r="AB1726" s="2060"/>
      <c r="AC1726" s="2060"/>
      <c r="AD1726" s="2060"/>
      <c r="AE1726" s="2060"/>
      <c r="AF1726" s="2060"/>
      <c r="AG1726" s="2060"/>
      <c r="AH1726" s="2060"/>
      <c r="AI1726" s="2060"/>
      <c r="AJ1726" s="2060"/>
      <c r="AK1726" s="2060"/>
      <c r="AL1726" s="2060"/>
      <c r="AM1726" s="2060"/>
      <c r="AN1726" s="2060"/>
      <c r="AO1726" s="2060"/>
      <c r="AP1726" s="2060"/>
      <c r="AQ1726" s="2060"/>
      <c r="AR1726" s="2060"/>
      <c r="AS1726" s="2060"/>
      <c r="AT1726" s="2060"/>
      <c r="AU1726" s="2060"/>
      <c r="AV1726" s="2060"/>
      <c r="AW1726" s="2060"/>
      <c r="AX1726" s="2060"/>
      <c r="AY1726" s="2060"/>
      <c r="AZ1726" s="2060"/>
      <c r="BA1726" s="2060"/>
      <c r="BB1726" s="2060"/>
      <c r="BC1726" s="2060"/>
      <c r="BD1726" s="2060"/>
      <c r="BE1726" s="2060"/>
      <c r="BF1726" s="2060"/>
      <c r="BG1726" s="2060"/>
      <c r="BH1726" s="2060"/>
      <c r="BI1726" s="2060"/>
      <c r="BJ1726" s="2060"/>
      <c r="BK1726" s="2060"/>
      <c r="BL1726" s="2060"/>
      <c r="BM1726" s="2060"/>
      <c r="BN1726" s="2060"/>
      <c r="BO1726" s="2060"/>
      <c r="BP1726" s="2060"/>
      <c r="BQ1726" s="2060"/>
      <c r="BR1726" s="2060"/>
      <c r="BS1726" s="2060"/>
      <c r="BT1726" s="2060"/>
      <c r="BU1726" s="2060"/>
      <c r="BV1726" s="2060"/>
      <c r="BW1726" s="2060"/>
      <c r="BX1726" s="2060"/>
      <c r="BY1726" s="2060"/>
      <c r="BZ1726" s="2060"/>
      <c r="CA1726" s="2060"/>
      <c r="CB1726" s="2060"/>
      <c r="CC1726" s="2060"/>
      <c r="CD1726" s="2060"/>
      <c r="CE1726" s="2060"/>
      <c r="CF1726" s="2060"/>
      <c r="CG1726" s="2060"/>
      <c r="CH1726" s="2060"/>
      <c r="CI1726" s="2060"/>
      <c r="CJ1726" s="2060"/>
      <c r="CK1726" s="2060"/>
      <c r="CL1726" s="2060"/>
      <c r="CM1726" s="2060"/>
      <c r="CN1726" s="2060"/>
      <c r="CO1726" s="2060"/>
      <c r="CP1726" s="2060"/>
      <c r="CQ1726" s="2060"/>
      <c r="CR1726" s="2060"/>
      <c r="CS1726" s="2060"/>
      <c r="CT1726" s="2060"/>
      <c r="CU1726" s="2060"/>
      <c r="CV1726" s="2060"/>
      <c r="CW1726" s="2060"/>
      <c r="CX1726" s="2060"/>
      <c r="CY1726" s="2060"/>
      <c r="CZ1726" s="2060"/>
      <c r="DA1726" s="2060"/>
      <c r="DB1726" s="2060"/>
      <c r="DC1726" s="2060"/>
      <c r="DD1726" s="2060"/>
      <c r="DE1726" s="2060"/>
      <c r="DF1726" s="2060"/>
      <c r="DG1726" s="2060"/>
      <c r="DH1726" s="2060"/>
      <c r="DI1726" s="2060"/>
      <c r="DJ1726" s="2060"/>
      <c r="DK1726" s="2060"/>
      <c r="DL1726" s="2060"/>
      <c r="DM1726" s="2060"/>
      <c r="DN1726" s="2060"/>
      <c r="DO1726" s="2060"/>
      <c r="DP1726" s="2060"/>
      <c r="DQ1726" s="2060"/>
      <c r="DR1726" s="2060"/>
      <c r="DS1726" s="2060"/>
      <c r="DT1726" s="2060"/>
      <c r="DU1726" s="2060"/>
      <c r="DV1726" s="2060"/>
      <c r="DW1726" s="2060"/>
      <c r="DX1726" s="2060"/>
      <c r="DY1726" s="2060"/>
      <c r="DZ1726" s="2060"/>
      <c r="EA1726" s="2060"/>
      <c r="EB1726" s="2060"/>
      <c r="EC1726" s="2060"/>
      <c r="ED1726" s="2060"/>
      <c r="EE1726" s="2060"/>
      <c r="EF1726" s="2060"/>
      <c r="EG1726" s="2060"/>
      <c r="EH1726" s="2060"/>
      <c r="EI1726" s="2060"/>
      <c r="EJ1726" s="2060"/>
      <c r="EK1726" s="2060"/>
      <c r="EL1726" s="2060"/>
      <c r="EM1726" s="2060"/>
      <c r="EN1726" s="2060"/>
      <c r="EO1726" s="2060"/>
      <c r="EP1726" s="2060"/>
      <c r="EQ1726" s="2060"/>
      <c r="ER1726" s="2060"/>
      <c r="ES1726" s="2060"/>
      <c r="ET1726" s="2060"/>
      <c r="EU1726" s="2060"/>
      <c r="EV1726" s="2060"/>
      <c r="EW1726" s="2060"/>
      <c r="EX1726" s="2060"/>
      <c r="EY1726" s="2060"/>
      <c r="EZ1726" s="2060"/>
      <c r="FA1726" s="2060"/>
      <c r="FB1726" s="2060"/>
      <c r="FC1726" s="2060"/>
      <c r="FD1726" s="2060"/>
      <c r="FE1726" s="2060"/>
      <c r="FF1726" s="2060"/>
      <c r="FG1726" s="2060"/>
      <c r="FH1726" s="2060"/>
      <c r="FI1726" s="2060"/>
      <c r="FJ1726" s="2060"/>
      <c r="FK1726" s="2060"/>
      <c r="FL1726" s="2060"/>
      <c r="FM1726" s="2060"/>
      <c r="FN1726" s="2060"/>
      <c r="FO1726" s="2060"/>
      <c r="FP1726" s="2060"/>
      <c r="FQ1726" s="2060"/>
      <c r="FR1726" s="2060"/>
      <c r="FS1726" s="2060"/>
      <c r="FT1726" s="2060"/>
      <c r="FU1726" s="2060"/>
      <c r="FV1726" s="2060"/>
      <c r="FW1726" s="2060"/>
      <c r="FX1726" s="2060"/>
      <c r="FY1726" s="2060"/>
      <c r="FZ1726" s="2060"/>
      <c r="GA1726" s="2060"/>
      <c r="GB1726" s="2060"/>
      <c r="GC1726" s="2060"/>
      <c r="GD1726" s="2060"/>
      <c r="GE1726" s="2060"/>
      <c r="GF1726" s="2060"/>
      <c r="GG1726" s="2060"/>
      <c r="GH1726" s="2060"/>
      <c r="GI1726" s="2060"/>
      <c r="GJ1726" s="2060"/>
      <c r="GK1726" s="2060"/>
      <c r="GL1726" s="2060"/>
      <c r="GM1726" s="2060"/>
      <c r="GN1726" s="2060"/>
      <c r="GO1726" s="2060"/>
      <c r="GP1726" s="2060"/>
      <c r="GQ1726" s="2060"/>
      <c r="GR1726" s="2060"/>
      <c r="GS1726" s="2060"/>
      <c r="GT1726" s="2060"/>
      <c r="GU1726" s="2060"/>
      <c r="GV1726" s="2060"/>
      <c r="GW1726" s="2060"/>
      <c r="GX1726" s="2060"/>
      <c r="GY1726" s="2060"/>
      <c r="GZ1726" s="2060"/>
      <c r="HA1726" s="2060"/>
      <c r="HB1726" s="2060"/>
      <c r="HC1726" s="2060"/>
      <c r="HD1726" s="2060"/>
      <c r="HE1726" s="2060"/>
      <c r="HF1726" s="2060"/>
      <c r="HG1726" s="2060"/>
      <c r="HH1726" s="2060"/>
      <c r="HI1726" s="2060"/>
      <c r="HJ1726" s="2060"/>
      <c r="HK1726" s="2060"/>
      <c r="HL1726" s="2060"/>
      <c r="HM1726" s="2060"/>
      <c r="HN1726" s="2060"/>
      <c r="HO1726" s="2060"/>
      <c r="HP1726" s="2060"/>
      <c r="HQ1726" s="2060"/>
      <c r="HR1726" s="2060"/>
      <c r="HS1726" s="2060"/>
      <c r="HT1726" s="2060"/>
      <c r="HU1726" s="2060"/>
      <c r="HV1726" s="2060"/>
      <c r="HW1726" s="2060"/>
      <c r="HX1726" s="2060"/>
      <c r="HY1726" s="2060"/>
      <c r="HZ1726" s="2060"/>
      <c r="IA1726" s="2060"/>
      <c r="IB1726" s="2060"/>
      <c r="IC1726" s="2060"/>
      <c r="ID1726" s="2060"/>
      <c r="IE1726" s="2060"/>
      <c r="IF1726" s="2060"/>
      <c r="IG1726" s="2060"/>
      <c r="IH1726" s="2060"/>
      <c r="II1726" s="2060"/>
      <c r="IJ1726" s="2060"/>
      <c r="IK1726" s="2060"/>
      <c r="IL1726" s="2060"/>
      <c r="IM1726" s="2060"/>
      <c r="IN1726" s="2060"/>
      <c r="IO1726" s="2060"/>
      <c r="IP1726" s="2060"/>
      <c r="IQ1726" s="2060"/>
      <c r="IR1726" s="2060"/>
      <c r="IS1726" s="2060"/>
      <c r="IT1726" s="2060"/>
      <c r="IU1726" s="2060"/>
      <c r="IV1726" s="2060"/>
      <c r="IW1726" s="2060"/>
      <c r="IX1726" s="2060"/>
      <c r="IY1726" s="2060"/>
      <c r="IZ1726" s="2060"/>
      <c r="JA1726" s="2060"/>
      <c r="JB1726" s="2060"/>
      <c r="JC1726" s="2060"/>
      <c r="JD1726" s="2060"/>
      <c r="JE1726" s="2060"/>
      <c r="JF1726" s="2060"/>
      <c r="JG1726" s="2060"/>
      <c r="JH1726" s="2060"/>
      <c r="JI1726" s="2060"/>
      <c r="JJ1726" s="2060"/>
      <c r="JK1726" s="2060"/>
      <c r="JL1726" s="2060"/>
      <c r="JM1726" s="2060"/>
      <c r="JN1726" s="2060"/>
      <c r="JO1726" s="2060"/>
      <c r="JP1726" s="2060"/>
      <c r="JQ1726" s="2060"/>
      <c r="JR1726" s="2060"/>
      <c r="JS1726" s="2060"/>
      <c r="JT1726" s="2060"/>
      <c r="JU1726" s="2060"/>
      <c r="JV1726" s="2060"/>
      <c r="JW1726" s="2060"/>
      <c r="JX1726" s="2060"/>
      <c r="JY1726" s="2060"/>
      <c r="JZ1726" s="2060"/>
      <c r="KA1726" s="2060"/>
      <c r="KB1726" s="2060"/>
      <c r="KC1726" s="2060"/>
      <c r="KD1726" s="2060"/>
      <c r="KE1726" s="2060"/>
      <c r="KF1726" s="2060"/>
      <c r="KG1726" s="2060"/>
      <c r="KH1726" s="2060"/>
      <c r="KI1726" s="2060"/>
      <c r="KJ1726" s="2060"/>
      <c r="KK1726" s="2060"/>
      <c r="KL1726" s="2060"/>
      <c r="KM1726" s="2060"/>
      <c r="KN1726" s="2060"/>
      <c r="KO1726" s="2060"/>
      <c r="KP1726" s="2060"/>
      <c r="KQ1726" s="2060"/>
      <c r="KR1726" s="2060"/>
      <c r="KS1726" s="2060"/>
      <c r="KT1726" s="2060"/>
      <c r="KU1726" s="2060"/>
      <c r="KV1726" s="2060"/>
      <c r="KW1726" s="2060"/>
      <c r="KX1726" s="2060"/>
      <c r="KY1726" s="2060"/>
      <c r="KZ1726" s="2060"/>
      <c r="LA1726" s="2060"/>
      <c r="LB1726" s="2060"/>
      <c r="LC1726" s="2060"/>
      <c r="LD1726" s="2060"/>
      <c r="LE1726" s="2060"/>
      <c r="LF1726" s="2060"/>
      <c r="LG1726" s="2060"/>
      <c r="LH1726" s="2060"/>
    </row>
    <row r="1727" spans="1:320" s="1499" customFormat="1" ht="13.9">
      <c r="A1727" s="269" t="str">
        <f t="shared" si="473"/>
        <v>n</v>
      </c>
      <c r="B1727" s="2060"/>
      <c r="C1727" s="2060"/>
      <c r="D1727" s="2060"/>
      <c r="E1727" s="1661">
        <v>24</v>
      </c>
      <c r="F1727" s="1353" t="str">
        <f>F$152</f>
        <v>--</v>
      </c>
      <c r="G1727" s="128">
        <f>G$152</f>
        <v>0</v>
      </c>
      <c r="H1727" s="128" t="str">
        <f>H$152</f>
        <v>--</v>
      </c>
      <c r="I1727" s="89" t="s">
        <v>774</v>
      </c>
      <c r="J1727" s="2197" t="str">
        <f>IF($G1727=0,"",_xll.ciqfunctions.udf.CIQ($G1727,$I1727,J1583,$H1727,FXMode)*Scale)</f>
        <v/>
      </c>
      <c r="K1727" s="2197" t="str">
        <f>IF($G1727=0,"",_xll.ciqfunctions.udf.CIQ($G1727,$I1727,K1583,$H1727,FXMode)*Scale)</f>
        <v/>
      </c>
      <c r="L1727" s="2197" t="str">
        <f>IF($G1727=0,"",_xll.ciqfunctions.udf.CIQ($G1727,$I1727,L1583,$H1727,FXMode)*Scale)</f>
        <v/>
      </c>
      <c r="M1727" s="2197" t="str">
        <f>IF($G1727=0,"",_xll.ciqfunctions.udf.CIQ($G1727,$I1727,M1583,$H1727,FXMode)*Scale)</f>
        <v/>
      </c>
      <c r="N1727" s="2197" t="str">
        <f>IF($G1727=0,"",_xll.ciqfunctions.udf.CIQ($G1727,$I1727,N1583,$H1727,FXMode)*Scale)</f>
        <v/>
      </c>
      <c r="O1727" s="2197" t="str">
        <f>IF($G1727=0,"",_xll.ciqfunctions.udf.CIQ($G1727,$I1727,O1583,$H1727,FXMode)*Scale)</f>
        <v/>
      </c>
      <c r="P1727" s="2197" t="str">
        <f>IF($G1727=0,"",_xll.ciqfunctions.udf.CIQ($G1727,$I1727,P1583,$H1727,FXMode)*Scale)</f>
        <v/>
      </c>
      <c r="Q1727" s="2197" t="str">
        <f>IF($G1727=0,"",_xll.ciqfunctions.udf.CIQ($G1727,$I1727,Q1583,$H1727,FXMode)*Scale)</f>
        <v/>
      </c>
      <c r="R1727" s="2197" t="str">
        <f>IF($G1727=0,"",_xll.ciqfunctions.udf.CIQ($G1727,$I1727,R1583,$H1727,FXMode)*Scale)</f>
        <v/>
      </c>
      <c r="S1727" s="2197" t="str">
        <f>IF($G1727=0,"",_xll.ciqfunctions.udf.CIQ($G1727,$I1727,S1583,$H1727,FXMode)*Scale)</f>
        <v/>
      </c>
      <c r="T1727" s="2197" t="str">
        <f>IF($G1727=0,"",_xll.ciqfunctions.udf.CIQ($G1727,$I1727,T1583,$H1727,FXMode)*Scale)</f>
        <v/>
      </c>
      <c r="U1727" s="2197" t="str">
        <f>IF($G1727=0,"",_xll.ciqfunctions.udf.CIQ($G1727,$I1727,U1583,$H1727,FXMode)*Scale)</f>
        <v/>
      </c>
      <c r="V1727" s="2197" t="str">
        <f>IF($G1727=0,"",_xll.ciqfunctions.udf.CIQ($G1727,$I1727,V1583,$H1727,FXMode)*Scale)</f>
        <v/>
      </c>
      <c r="W1727" s="1479"/>
      <c r="X1727" s="255"/>
      <c r="Y1727" s="255"/>
      <c r="Z1727" s="2060"/>
      <c r="AA1727" s="2060"/>
      <c r="AB1727" s="2060"/>
      <c r="AC1727" s="2060"/>
      <c r="AD1727" s="2060"/>
      <c r="AE1727" s="2060"/>
      <c r="AF1727" s="2060"/>
      <c r="AG1727" s="2060"/>
      <c r="AH1727" s="2060"/>
      <c r="AI1727" s="2060"/>
      <c r="AJ1727" s="2060"/>
      <c r="AK1727" s="2060"/>
      <c r="AL1727" s="2060"/>
      <c r="AM1727" s="2060"/>
      <c r="AN1727" s="2060"/>
      <c r="AO1727" s="2060"/>
      <c r="AP1727" s="2060"/>
      <c r="AQ1727" s="2060"/>
      <c r="AR1727" s="2060"/>
      <c r="AS1727" s="2060"/>
      <c r="AT1727" s="2060"/>
      <c r="AU1727" s="2060"/>
      <c r="AV1727" s="2060"/>
      <c r="AW1727" s="2060"/>
      <c r="AX1727" s="2060"/>
      <c r="AY1727" s="2060"/>
      <c r="AZ1727" s="2060"/>
      <c r="BA1727" s="2060"/>
      <c r="BB1727" s="2060"/>
      <c r="BC1727" s="2060"/>
      <c r="BD1727" s="2060"/>
      <c r="BE1727" s="2060"/>
      <c r="BF1727" s="2060"/>
      <c r="BG1727" s="2060"/>
      <c r="BH1727" s="2060"/>
      <c r="BI1727" s="2060"/>
      <c r="BJ1727" s="2060"/>
      <c r="BK1727" s="2060"/>
      <c r="BL1727" s="2060"/>
      <c r="BM1727" s="2060"/>
      <c r="BN1727" s="2060"/>
      <c r="BO1727" s="2060"/>
      <c r="BP1727" s="2060"/>
      <c r="BQ1727" s="2060"/>
      <c r="BR1727" s="2060"/>
      <c r="BS1727" s="2060"/>
      <c r="BT1727" s="2060"/>
      <c r="BU1727" s="2060"/>
      <c r="BV1727" s="2060"/>
      <c r="BW1727" s="2060"/>
      <c r="BX1727" s="2060"/>
      <c r="BY1727" s="2060"/>
      <c r="BZ1727" s="2060"/>
      <c r="CA1727" s="2060"/>
      <c r="CB1727" s="2060"/>
      <c r="CC1727" s="2060"/>
      <c r="CD1727" s="2060"/>
      <c r="CE1727" s="2060"/>
      <c r="CF1727" s="2060"/>
      <c r="CG1727" s="2060"/>
      <c r="CH1727" s="2060"/>
      <c r="CI1727" s="2060"/>
      <c r="CJ1727" s="2060"/>
      <c r="CK1727" s="2060"/>
      <c r="CL1727" s="2060"/>
      <c r="CM1727" s="2060"/>
      <c r="CN1727" s="2060"/>
      <c r="CO1727" s="2060"/>
      <c r="CP1727" s="2060"/>
      <c r="CQ1727" s="2060"/>
      <c r="CR1727" s="2060"/>
      <c r="CS1727" s="2060"/>
      <c r="CT1727" s="2060"/>
      <c r="CU1727" s="2060"/>
      <c r="CV1727" s="2060"/>
      <c r="CW1727" s="2060"/>
      <c r="CX1727" s="2060"/>
      <c r="CY1727" s="2060"/>
      <c r="CZ1727" s="2060"/>
      <c r="DA1727" s="2060"/>
      <c r="DB1727" s="2060"/>
      <c r="DC1727" s="2060"/>
      <c r="DD1727" s="2060"/>
      <c r="DE1727" s="2060"/>
      <c r="DF1727" s="2060"/>
      <c r="DG1727" s="2060"/>
      <c r="DH1727" s="2060"/>
      <c r="DI1727" s="2060"/>
      <c r="DJ1727" s="2060"/>
      <c r="DK1727" s="2060"/>
      <c r="DL1727" s="2060"/>
      <c r="DM1727" s="2060"/>
      <c r="DN1727" s="2060"/>
      <c r="DO1727" s="2060"/>
      <c r="DP1727" s="2060"/>
      <c r="DQ1727" s="2060"/>
      <c r="DR1727" s="2060"/>
      <c r="DS1727" s="2060"/>
      <c r="DT1727" s="2060"/>
      <c r="DU1727" s="2060"/>
      <c r="DV1727" s="2060"/>
      <c r="DW1727" s="2060"/>
      <c r="DX1727" s="2060"/>
      <c r="DY1727" s="2060"/>
      <c r="DZ1727" s="2060"/>
      <c r="EA1727" s="2060"/>
      <c r="EB1727" s="2060"/>
      <c r="EC1727" s="2060"/>
      <c r="ED1727" s="2060"/>
      <c r="EE1727" s="2060"/>
      <c r="EF1727" s="2060"/>
      <c r="EG1727" s="2060"/>
      <c r="EH1727" s="2060"/>
      <c r="EI1727" s="2060"/>
      <c r="EJ1727" s="2060"/>
      <c r="EK1727" s="2060"/>
      <c r="EL1727" s="2060"/>
      <c r="EM1727" s="2060"/>
      <c r="EN1727" s="2060"/>
      <c r="EO1727" s="2060"/>
      <c r="EP1727" s="2060"/>
      <c r="EQ1727" s="2060"/>
      <c r="ER1727" s="2060"/>
      <c r="ES1727" s="2060"/>
      <c r="ET1727" s="2060"/>
      <c r="EU1727" s="2060"/>
      <c r="EV1727" s="2060"/>
      <c r="EW1727" s="2060"/>
      <c r="EX1727" s="2060"/>
      <c r="EY1727" s="2060"/>
      <c r="EZ1727" s="2060"/>
      <c r="FA1727" s="2060"/>
      <c r="FB1727" s="2060"/>
      <c r="FC1727" s="2060"/>
      <c r="FD1727" s="2060"/>
      <c r="FE1727" s="2060"/>
      <c r="FF1727" s="2060"/>
      <c r="FG1727" s="2060"/>
      <c r="FH1727" s="2060"/>
      <c r="FI1727" s="2060"/>
      <c r="FJ1727" s="2060"/>
      <c r="FK1727" s="2060"/>
      <c r="FL1727" s="2060"/>
      <c r="FM1727" s="2060"/>
      <c r="FN1727" s="2060"/>
      <c r="FO1727" s="2060"/>
      <c r="FP1727" s="2060"/>
      <c r="FQ1727" s="2060"/>
      <c r="FR1727" s="2060"/>
      <c r="FS1727" s="2060"/>
      <c r="FT1727" s="2060"/>
      <c r="FU1727" s="2060"/>
      <c r="FV1727" s="2060"/>
      <c r="FW1727" s="2060"/>
      <c r="FX1727" s="2060"/>
      <c r="FY1727" s="2060"/>
      <c r="FZ1727" s="2060"/>
      <c r="GA1727" s="2060"/>
      <c r="GB1727" s="2060"/>
      <c r="GC1727" s="2060"/>
      <c r="GD1727" s="2060"/>
      <c r="GE1727" s="2060"/>
      <c r="GF1727" s="2060"/>
      <c r="GG1727" s="2060"/>
      <c r="GH1727" s="2060"/>
      <c r="GI1727" s="2060"/>
      <c r="GJ1727" s="2060"/>
      <c r="GK1727" s="2060"/>
      <c r="GL1727" s="2060"/>
      <c r="GM1727" s="2060"/>
      <c r="GN1727" s="2060"/>
      <c r="GO1727" s="2060"/>
      <c r="GP1727" s="2060"/>
      <c r="GQ1727" s="2060"/>
      <c r="GR1727" s="2060"/>
      <c r="GS1727" s="2060"/>
      <c r="GT1727" s="2060"/>
      <c r="GU1727" s="2060"/>
      <c r="GV1727" s="2060"/>
      <c r="GW1727" s="2060"/>
      <c r="GX1727" s="2060"/>
      <c r="GY1727" s="2060"/>
      <c r="GZ1727" s="2060"/>
      <c r="HA1727" s="2060"/>
      <c r="HB1727" s="2060"/>
      <c r="HC1727" s="2060"/>
      <c r="HD1727" s="2060"/>
      <c r="HE1727" s="2060"/>
      <c r="HF1727" s="2060"/>
      <c r="HG1727" s="2060"/>
      <c r="HH1727" s="2060"/>
      <c r="HI1727" s="2060"/>
      <c r="HJ1727" s="2060"/>
      <c r="HK1727" s="2060"/>
      <c r="HL1727" s="2060"/>
      <c r="HM1727" s="2060"/>
      <c r="HN1727" s="2060"/>
      <c r="HO1727" s="2060"/>
      <c r="HP1727" s="2060"/>
      <c r="HQ1727" s="2060"/>
      <c r="HR1727" s="2060"/>
      <c r="HS1727" s="2060"/>
      <c r="HT1727" s="2060"/>
      <c r="HU1727" s="2060"/>
      <c r="HV1727" s="2060"/>
      <c r="HW1727" s="2060"/>
      <c r="HX1727" s="2060"/>
      <c r="HY1727" s="2060"/>
      <c r="HZ1727" s="2060"/>
      <c r="IA1727" s="2060"/>
      <c r="IB1727" s="2060"/>
      <c r="IC1727" s="2060"/>
      <c r="ID1727" s="2060"/>
      <c r="IE1727" s="2060"/>
      <c r="IF1727" s="2060"/>
      <c r="IG1727" s="2060"/>
      <c r="IH1727" s="2060"/>
      <c r="II1727" s="2060"/>
      <c r="IJ1727" s="2060"/>
      <c r="IK1727" s="2060"/>
      <c r="IL1727" s="2060"/>
      <c r="IM1727" s="2060"/>
      <c r="IN1727" s="2060"/>
      <c r="IO1727" s="2060"/>
      <c r="IP1727" s="2060"/>
      <c r="IQ1727" s="2060"/>
      <c r="IR1727" s="2060"/>
      <c r="IS1727" s="2060"/>
      <c r="IT1727" s="2060"/>
      <c r="IU1727" s="2060"/>
      <c r="IV1727" s="2060"/>
      <c r="IW1727" s="2060"/>
      <c r="IX1727" s="2060"/>
      <c r="IY1727" s="2060"/>
      <c r="IZ1727" s="2060"/>
      <c r="JA1727" s="2060"/>
      <c r="JB1727" s="2060"/>
      <c r="JC1727" s="2060"/>
      <c r="JD1727" s="2060"/>
      <c r="JE1727" s="2060"/>
      <c r="JF1727" s="2060"/>
      <c r="JG1727" s="2060"/>
      <c r="JH1727" s="2060"/>
      <c r="JI1727" s="2060"/>
      <c r="JJ1727" s="2060"/>
      <c r="JK1727" s="2060"/>
      <c r="JL1727" s="2060"/>
      <c r="JM1727" s="2060"/>
      <c r="JN1727" s="2060"/>
      <c r="JO1727" s="2060"/>
      <c r="JP1727" s="2060"/>
      <c r="JQ1727" s="2060"/>
      <c r="JR1727" s="2060"/>
      <c r="JS1727" s="2060"/>
      <c r="JT1727" s="2060"/>
      <c r="JU1727" s="2060"/>
      <c r="JV1727" s="2060"/>
      <c r="JW1727" s="2060"/>
      <c r="JX1727" s="2060"/>
      <c r="JY1727" s="2060"/>
      <c r="JZ1727" s="2060"/>
      <c r="KA1727" s="2060"/>
      <c r="KB1727" s="2060"/>
      <c r="KC1727" s="2060"/>
      <c r="KD1727" s="2060"/>
      <c r="KE1727" s="2060"/>
      <c r="KF1727" s="2060"/>
      <c r="KG1727" s="2060"/>
      <c r="KH1727" s="2060"/>
      <c r="KI1727" s="2060"/>
      <c r="KJ1727" s="2060"/>
      <c r="KK1727" s="2060"/>
      <c r="KL1727" s="2060"/>
      <c r="KM1727" s="2060"/>
      <c r="KN1727" s="2060"/>
      <c r="KO1727" s="2060"/>
      <c r="KP1727" s="2060"/>
      <c r="KQ1727" s="2060"/>
      <c r="KR1727" s="2060"/>
      <c r="KS1727" s="2060"/>
      <c r="KT1727" s="2060"/>
      <c r="KU1727" s="2060"/>
      <c r="KV1727" s="2060"/>
      <c r="KW1727" s="2060"/>
      <c r="KX1727" s="2060"/>
      <c r="KY1727" s="2060"/>
      <c r="KZ1727" s="2060"/>
      <c r="LA1727" s="2060"/>
      <c r="LB1727" s="2060"/>
      <c r="LC1727" s="2060"/>
      <c r="LD1727" s="2060"/>
      <c r="LE1727" s="2060"/>
      <c r="LF1727" s="2060"/>
      <c r="LG1727" s="2060"/>
      <c r="LH1727" s="2060"/>
    </row>
    <row r="1728" spans="1:320" s="449" customFormat="1" ht="13.9">
      <c r="A1728" s="269" t="str">
        <f t="shared" si="473"/>
        <v>n</v>
      </c>
      <c r="B1728" s="2060"/>
      <c r="C1728" s="2060"/>
      <c r="D1728" s="2060"/>
      <c r="E1728" s="1661">
        <v>25</v>
      </c>
      <c r="F1728" s="1353" t="str">
        <f>F$153</f>
        <v>--</v>
      </c>
      <c r="G1728" s="128">
        <f>G$153</f>
        <v>0</v>
      </c>
      <c r="H1728" s="128" t="str">
        <f>H$153</f>
        <v>--</v>
      </c>
      <c r="I1728" s="89" t="s">
        <v>774</v>
      </c>
      <c r="J1728" s="2197" t="str">
        <f>IF($G1728=0,"",_xll.ciqfunctions.udf.CIQ($G1728,$I1728,J1584,$H1728,FXMode)*Scale)</f>
        <v/>
      </c>
      <c r="K1728" s="2197" t="str">
        <f>IF($G1728=0,"",_xll.ciqfunctions.udf.CIQ($G1728,$I1728,K1584,$H1728,FXMode)*Scale)</f>
        <v/>
      </c>
      <c r="L1728" s="2197" t="str">
        <f>IF($G1728=0,"",_xll.ciqfunctions.udf.CIQ($G1728,$I1728,L1584,$H1728,FXMode)*Scale)</f>
        <v/>
      </c>
      <c r="M1728" s="2197" t="str">
        <f>IF($G1728=0,"",_xll.ciqfunctions.udf.CIQ($G1728,$I1728,M1584,$H1728,FXMode)*Scale)</f>
        <v/>
      </c>
      <c r="N1728" s="2197" t="str">
        <f>IF($G1728=0,"",_xll.ciqfunctions.udf.CIQ($G1728,$I1728,N1584,$H1728,FXMode)*Scale)</f>
        <v/>
      </c>
      <c r="O1728" s="2197" t="str">
        <f>IF($G1728=0,"",_xll.ciqfunctions.udf.CIQ($G1728,$I1728,O1584,$H1728,FXMode)*Scale)</f>
        <v/>
      </c>
      <c r="P1728" s="2197" t="str">
        <f>IF($G1728=0,"",_xll.ciqfunctions.udf.CIQ($G1728,$I1728,P1584,$H1728,FXMode)*Scale)</f>
        <v/>
      </c>
      <c r="Q1728" s="2197" t="str">
        <f>IF($G1728=0,"",_xll.ciqfunctions.udf.CIQ($G1728,$I1728,Q1584,$H1728,FXMode)*Scale)</f>
        <v/>
      </c>
      <c r="R1728" s="2197" t="str">
        <f>IF($G1728=0,"",_xll.ciqfunctions.udf.CIQ($G1728,$I1728,R1584,$H1728,FXMode)*Scale)</f>
        <v/>
      </c>
      <c r="S1728" s="2197" t="str">
        <f>IF($G1728=0,"",_xll.ciqfunctions.udf.CIQ($G1728,$I1728,S1584,$H1728,FXMode)*Scale)</f>
        <v/>
      </c>
      <c r="T1728" s="2197" t="str">
        <f>IF($G1728=0,"",_xll.ciqfunctions.udf.CIQ($G1728,$I1728,T1584,$H1728,FXMode)*Scale)</f>
        <v/>
      </c>
      <c r="U1728" s="2197" t="str">
        <f>IF($G1728=0,"",_xll.ciqfunctions.udf.CIQ($G1728,$I1728,U1584,$H1728,FXMode)*Scale)</f>
        <v/>
      </c>
      <c r="V1728" s="2197" t="str">
        <f>IF($G1728=0,"",_xll.ciqfunctions.udf.CIQ($G1728,$I1728,V1584,$H1728,FXMode)*Scale)</f>
        <v/>
      </c>
      <c r="W1728" s="1479"/>
      <c r="X1728" s="255"/>
      <c r="Y1728" s="89"/>
      <c r="Z1728" s="2060"/>
      <c r="AA1728" s="2060"/>
      <c r="AB1728" s="2060"/>
      <c r="AC1728" s="2060"/>
      <c r="AD1728" s="2060"/>
      <c r="AE1728" s="2060"/>
      <c r="AF1728" s="2060"/>
      <c r="AG1728" s="2060"/>
      <c r="AH1728" s="2060"/>
      <c r="AI1728" s="2060"/>
      <c r="AJ1728" s="2060"/>
      <c r="AK1728" s="2060"/>
      <c r="AL1728" s="2060"/>
      <c r="AM1728" s="2060"/>
      <c r="AN1728" s="2060"/>
      <c r="AO1728" s="2060"/>
      <c r="AP1728" s="2060"/>
      <c r="AQ1728" s="2060"/>
      <c r="AR1728" s="2060"/>
      <c r="AS1728" s="2060"/>
      <c r="AT1728" s="2060"/>
      <c r="AU1728" s="2060"/>
      <c r="AV1728" s="2060"/>
      <c r="AW1728" s="2060"/>
      <c r="AX1728" s="2060"/>
      <c r="AY1728" s="2060"/>
      <c r="AZ1728" s="2060"/>
      <c r="BA1728" s="2060"/>
      <c r="BB1728" s="2060"/>
      <c r="BC1728" s="2060"/>
      <c r="BD1728" s="2060"/>
      <c r="BE1728" s="2060"/>
      <c r="BF1728" s="2060"/>
      <c r="BG1728" s="2060"/>
      <c r="BH1728" s="2060"/>
      <c r="BI1728" s="2060"/>
      <c r="BJ1728" s="2060"/>
      <c r="BK1728" s="2060"/>
      <c r="BL1728" s="2060"/>
      <c r="BM1728" s="2060"/>
      <c r="BN1728" s="2060"/>
      <c r="BO1728" s="2060"/>
      <c r="BP1728" s="2060"/>
      <c r="BQ1728" s="2060"/>
      <c r="BR1728" s="2060"/>
      <c r="BS1728" s="2060"/>
      <c r="BT1728" s="2060"/>
      <c r="BU1728" s="2060"/>
      <c r="BV1728" s="2060"/>
      <c r="BW1728" s="2060"/>
      <c r="BX1728" s="2060"/>
      <c r="BY1728" s="2060"/>
      <c r="BZ1728" s="2060"/>
      <c r="CA1728" s="2060"/>
      <c r="CB1728" s="2060"/>
      <c r="CC1728" s="2060"/>
      <c r="CD1728" s="2060"/>
      <c r="CE1728" s="2060"/>
      <c r="CF1728" s="2060"/>
      <c r="CG1728" s="2060"/>
      <c r="CH1728" s="2060"/>
      <c r="CI1728" s="2060"/>
      <c r="CJ1728" s="2060"/>
      <c r="CK1728" s="2060"/>
      <c r="CL1728" s="2060"/>
      <c r="CM1728" s="2060"/>
      <c r="CN1728" s="2060"/>
      <c r="CO1728" s="2060"/>
      <c r="CP1728" s="2060"/>
      <c r="CQ1728" s="2060"/>
      <c r="CR1728" s="2060"/>
      <c r="CS1728" s="2060"/>
      <c r="CT1728" s="2060"/>
      <c r="CU1728" s="2060"/>
      <c r="CV1728" s="2060"/>
      <c r="CW1728" s="2060"/>
      <c r="CX1728" s="2060"/>
      <c r="CY1728" s="2060"/>
      <c r="CZ1728" s="2060"/>
      <c r="DA1728" s="2060"/>
      <c r="DB1728" s="2060"/>
      <c r="DC1728" s="2060"/>
      <c r="DD1728" s="2060"/>
      <c r="DE1728" s="2060"/>
      <c r="DF1728" s="2060"/>
      <c r="DG1728" s="2060"/>
      <c r="DH1728" s="2060"/>
      <c r="DI1728" s="2060"/>
      <c r="DJ1728" s="2060"/>
      <c r="DK1728" s="2060"/>
      <c r="DL1728" s="2060"/>
      <c r="DM1728" s="2060"/>
      <c r="DN1728" s="2060"/>
      <c r="DO1728" s="2060"/>
      <c r="DP1728" s="2060"/>
      <c r="DQ1728" s="2060"/>
      <c r="DR1728" s="2060"/>
      <c r="DS1728" s="2060"/>
      <c r="DT1728" s="2060"/>
      <c r="DU1728" s="2060"/>
      <c r="DV1728" s="2060"/>
      <c r="DW1728" s="2060"/>
      <c r="DX1728" s="2060"/>
      <c r="DY1728" s="2060"/>
      <c r="DZ1728" s="2060"/>
      <c r="EA1728" s="2060"/>
      <c r="EB1728" s="2060"/>
      <c r="EC1728" s="2060"/>
      <c r="ED1728" s="2060"/>
      <c r="EE1728" s="2060"/>
      <c r="EF1728" s="2060"/>
      <c r="EG1728" s="2060"/>
      <c r="EH1728" s="2060"/>
      <c r="EI1728" s="2060"/>
      <c r="EJ1728" s="2060"/>
      <c r="EK1728" s="2060"/>
      <c r="EL1728" s="2060"/>
      <c r="EM1728" s="2060"/>
      <c r="EN1728" s="2060"/>
      <c r="EO1728" s="2060"/>
      <c r="EP1728" s="2060"/>
      <c r="EQ1728" s="2060"/>
      <c r="ER1728" s="2060"/>
      <c r="ES1728" s="2060"/>
      <c r="ET1728" s="2060"/>
      <c r="EU1728" s="2060"/>
      <c r="EV1728" s="2060"/>
      <c r="EW1728" s="2060"/>
      <c r="EX1728" s="2060"/>
      <c r="EY1728" s="2060"/>
      <c r="EZ1728" s="2060"/>
      <c r="FA1728" s="2060"/>
      <c r="FB1728" s="2060"/>
      <c r="FC1728" s="2060"/>
      <c r="FD1728" s="2060"/>
      <c r="FE1728" s="2060"/>
      <c r="FF1728" s="2060"/>
      <c r="FG1728" s="2060"/>
      <c r="FH1728" s="2060"/>
      <c r="FI1728" s="2060"/>
      <c r="FJ1728" s="2060"/>
      <c r="FK1728" s="2060"/>
      <c r="FL1728" s="2060"/>
      <c r="FM1728" s="2060"/>
      <c r="FN1728" s="2060"/>
      <c r="FO1728" s="2060"/>
      <c r="FP1728" s="2060"/>
      <c r="FQ1728" s="2060"/>
      <c r="FR1728" s="2060"/>
      <c r="FS1728" s="2060"/>
      <c r="FT1728" s="2060"/>
      <c r="FU1728" s="2060"/>
      <c r="FV1728" s="2060"/>
      <c r="FW1728" s="2060"/>
      <c r="FX1728" s="2060"/>
      <c r="FY1728" s="2060"/>
      <c r="FZ1728" s="2060"/>
      <c r="GA1728" s="2060"/>
      <c r="GB1728" s="2060"/>
      <c r="GC1728" s="2060"/>
      <c r="GD1728" s="2060"/>
      <c r="GE1728" s="2060"/>
      <c r="GF1728" s="2060"/>
      <c r="GG1728" s="2060"/>
      <c r="GH1728" s="2060"/>
      <c r="GI1728" s="2060"/>
      <c r="GJ1728" s="2060"/>
      <c r="GK1728" s="2060"/>
      <c r="GL1728" s="2060"/>
      <c r="GM1728" s="2060"/>
      <c r="GN1728" s="2060"/>
      <c r="GO1728" s="2060"/>
      <c r="GP1728" s="2060"/>
      <c r="GQ1728" s="2060"/>
      <c r="GR1728" s="2060"/>
      <c r="GS1728" s="2060"/>
      <c r="GT1728" s="2060"/>
      <c r="GU1728" s="2060"/>
      <c r="GV1728" s="2060"/>
      <c r="GW1728" s="2060"/>
      <c r="GX1728" s="2060"/>
      <c r="GY1728" s="2060"/>
      <c r="GZ1728" s="2060"/>
      <c r="HA1728" s="2060"/>
      <c r="HB1728" s="2060"/>
      <c r="HC1728" s="2060"/>
      <c r="HD1728" s="2060"/>
      <c r="HE1728" s="2060"/>
      <c r="HF1728" s="2060"/>
      <c r="HG1728" s="2060"/>
      <c r="HH1728" s="2060"/>
      <c r="HI1728" s="2060"/>
      <c r="HJ1728" s="2060"/>
      <c r="HK1728" s="2060"/>
      <c r="HL1728" s="2060"/>
      <c r="HM1728" s="2060"/>
      <c r="HN1728" s="2060"/>
      <c r="HO1728" s="2060"/>
      <c r="HP1728" s="2060"/>
      <c r="HQ1728" s="2060"/>
      <c r="HR1728" s="2060"/>
      <c r="HS1728" s="2060"/>
      <c r="HT1728" s="2060"/>
      <c r="HU1728" s="2060"/>
      <c r="HV1728" s="2060"/>
      <c r="HW1728" s="2060"/>
      <c r="HX1728" s="2060"/>
      <c r="HY1728" s="2060"/>
      <c r="HZ1728" s="2060"/>
      <c r="IA1728" s="2060"/>
      <c r="IB1728" s="2060"/>
      <c r="IC1728" s="2060"/>
      <c r="ID1728" s="2060"/>
      <c r="IE1728" s="2060"/>
      <c r="IF1728" s="2060"/>
      <c r="IG1728" s="2060"/>
      <c r="IH1728" s="2060"/>
      <c r="II1728" s="2060"/>
      <c r="IJ1728" s="2060"/>
      <c r="IK1728" s="2060"/>
      <c r="IL1728" s="2060"/>
      <c r="IM1728" s="2060"/>
      <c r="IN1728" s="2060"/>
      <c r="IO1728" s="2060"/>
      <c r="IP1728" s="2060"/>
      <c r="IQ1728" s="2060"/>
      <c r="IR1728" s="2060"/>
      <c r="IS1728" s="2060"/>
      <c r="IT1728" s="2060"/>
      <c r="IU1728" s="2060"/>
      <c r="IV1728" s="2060"/>
      <c r="IW1728" s="2060"/>
      <c r="IX1728" s="2060"/>
      <c r="IY1728" s="2060"/>
      <c r="IZ1728" s="2060"/>
      <c r="JA1728" s="2060"/>
      <c r="JB1728" s="2060"/>
      <c r="JC1728" s="2060"/>
      <c r="JD1728" s="2060"/>
      <c r="JE1728" s="2060"/>
      <c r="JF1728" s="2060"/>
      <c r="JG1728" s="2060"/>
      <c r="JH1728" s="2060"/>
      <c r="JI1728" s="2060"/>
      <c r="JJ1728" s="2060"/>
      <c r="JK1728" s="2060"/>
      <c r="JL1728" s="2060"/>
      <c r="JM1728" s="2060"/>
      <c r="JN1728" s="2060"/>
      <c r="JO1728" s="2060"/>
      <c r="JP1728" s="2060"/>
      <c r="JQ1728" s="2060"/>
      <c r="JR1728" s="2060"/>
      <c r="JS1728" s="2060"/>
      <c r="JT1728" s="2060"/>
      <c r="JU1728" s="2060"/>
      <c r="JV1728" s="2060"/>
      <c r="JW1728" s="2060"/>
      <c r="JX1728" s="2060"/>
      <c r="JY1728" s="2060"/>
      <c r="JZ1728" s="2060"/>
      <c r="KA1728" s="2060"/>
      <c r="KB1728" s="2060"/>
      <c r="KC1728" s="2060"/>
      <c r="KD1728" s="2060"/>
      <c r="KE1728" s="2060"/>
      <c r="KF1728" s="2060"/>
      <c r="KG1728" s="2060"/>
      <c r="KH1728" s="2060"/>
      <c r="KI1728" s="2060"/>
      <c r="KJ1728" s="2060"/>
      <c r="KK1728" s="2060"/>
      <c r="KL1728" s="2060"/>
      <c r="KM1728" s="2060"/>
      <c r="KN1728" s="2060"/>
      <c r="KO1728" s="2060"/>
      <c r="KP1728" s="2060"/>
      <c r="KQ1728" s="2060"/>
      <c r="KR1728" s="2060"/>
      <c r="KS1728" s="2060"/>
      <c r="KT1728" s="2060"/>
      <c r="KU1728" s="2060"/>
      <c r="KV1728" s="2060"/>
      <c r="KW1728" s="2060"/>
      <c r="KX1728" s="2060"/>
      <c r="KY1728" s="2060"/>
      <c r="KZ1728" s="2060"/>
      <c r="LA1728" s="2060"/>
      <c r="LB1728" s="2060"/>
      <c r="LC1728" s="2060"/>
      <c r="LD1728" s="2060"/>
      <c r="LE1728" s="2060"/>
      <c r="LF1728" s="2060"/>
      <c r="LG1728" s="2060"/>
      <c r="LH1728" s="2060"/>
    </row>
    <row r="1729" spans="1:320" s="449" customFormat="1" ht="13.9">
      <c r="A1729" s="2060"/>
      <c r="B1729" s="2060"/>
      <c r="C1729" s="2060"/>
      <c r="D1729" s="2060"/>
      <c r="E1729" s="505"/>
      <c r="F1729" s="1349"/>
      <c r="G1729" s="1349"/>
      <c r="H1729" s="1349"/>
      <c r="I1729" s="89"/>
      <c r="J1729" s="1558"/>
      <c r="K1729" s="1558"/>
      <c r="L1729" s="1558"/>
      <c r="M1729" s="1558"/>
      <c r="N1729" s="1558"/>
      <c r="O1729" s="1558"/>
      <c r="P1729" s="1558"/>
      <c r="Q1729" s="1558"/>
      <c r="R1729" s="1558"/>
      <c r="S1729" s="1558"/>
      <c r="T1729" s="1558"/>
      <c r="U1729" s="1558"/>
      <c r="V1729" s="1558"/>
      <c r="W1729" s="1479"/>
      <c r="X1729" s="255"/>
      <c r="Y1729" s="89"/>
      <c r="Z1729" s="2060"/>
      <c r="AA1729" s="2060"/>
      <c r="AB1729" s="2060"/>
      <c r="AC1729" s="2060"/>
      <c r="AD1729" s="2060"/>
      <c r="AE1729" s="2060"/>
      <c r="AF1729" s="2060"/>
      <c r="AG1729" s="2060"/>
      <c r="AH1729" s="2060"/>
      <c r="AI1729" s="2060"/>
      <c r="AJ1729" s="2060"/>
      <c r="AK1729" s="2060"/>
      <c r="AL1729" s="2060"/>
      <c r="AM1729" s="2060"/>
      <c r="AN1729" s="2060"/>
      <c r="AO1729" s="2060"/>
      <c r="AP1729" s="2060"/>
      <c r="AQ1729" s="2060"/>
      <c r="AR1729" s="2060"/>
      <c r="AS1729" s="2060"/>
      <c r="AT1729" s="2060"/>
      <c r="AU1729" s="2060"/>
      <c r="AV1729" s="2060"/>
      <c r="AW1729" s="2060"/>
      <c r="AX1729" s="2060"/>
      <c r="AY1729" s="2060"/>
      <c r="AZ1729" s="2060"/>
      <c r="BA1729" s="2060"/>
      <c r="BB1729" s="2060"/>
      <c r="BC1729" s="2060"/>
      <c r="BD1729" s="2060"/>
      <c r="BE1729" s="2060"/>
      <c r="BF1729" s="2060"/>
      <c r="BG1729" s="2060"/>
      <c r="BH1729" s="2060"/>
      <c r="BI1729" s="2060"/>
      <c r="BJ1729" s="2060"/>
      <c r="BK1729" s="2060"/>
      <c r="BL1729" s="2060"/>
      <c r="BM1729" s="2060"/>
      <c r="BN1729" s="2060"/>
      <c r="BO1729" s="2060"/>
      <c r="BP1729" s="2060"/>
      <c r="BQ1729" s="2060"/>
      <c r="BR1729" s="2060"/>
      <c r="BS1729" s="2060"/>
      <c r="BT1729" s="2060"/>
      <c r="BU1729" s="2060"/>
      <c r="BV1729" s="2060"/>
      <c r="BW1729" s="2060"/>
      <c r="BX1729" s="2060"/>
      <c r="BY1729" s="2060"/>
      <c r="BZ1729" s="2060"/>
      <c r="CA1729" s="2060"/>
      <c r="CB1729" s="2060"/>
      <c r="CC1729" s="2060"/>
      <c r="CD1729" s="2060"/>
      <c r="CE1729" s="2060"/>
      <c r="CF1729" s="2060"/>
      <c r="CG1729" s="2060"/>
      <c r="CH1729" s="2060"/>
      <c r="CI1729" s="2060"/>
      <c r="CJ1729" s="2060"/>
      <c r="CK1729" s="2060"/>
      <c r="CL1729" s="2060"/>
      <c r="CM1729" s="2060"/>
      <c r="CN1729" s="2060"/>
      <c r="CO1729" s="2060"/>
      <c r="CP1729" s="2060"/>
      <c r="CQ1729" s="2060"/>
      <c r="CR1729" s="2060"/>
      <c r="CS1729" s="2060"/>
      <c r="CT1729" s="2060"/>
      <c r="CU1729" s="2060"/>
      <c r="CV1729" s="2060"/>
      <c r="CW1729" s="2060"/>
      <c r="CX1729" s="2060"/>
      <c r="CY1729" s="2060"/>
      <c r="CZ1729" s="2060"/>
      <c r="DA1729" s="2060"/>
      <c r="DB1729" s="2060"/>
      <c r="DC1729" s="2060"/>
      <c r="DD1729" s="2060"/>
      <c r="DE1729" s="2060"/>
      <c r="DF1729" s="2060"/>
      <c r="DG1729" s="2060"/>
      <c r="DH1729" s="2060"/>
      <c r="DI1729" s="2060"/>
      <c r="DJ1729" s="2060"/>
      <c r="DK1729" s="2060"/>
      <c r="DL1729" s="2060"/>
      <c r="DM1729" s="2060"/>
      <c r="DN1729" s="2060"/>
      <c r="DO1729" s="2060"/>
      <c r="DP1729" s="2060"/>
      <c r="DQ1729" s="2060"/>
      <c r="DR1729" s="2060"/>
      <c r="DS1729" s="2060"/>
      <c r="DT1729" s="2060"/>
      <c r="DU1729" s="2060"/>
      <c r="DV1729" s="2060"/>
      <c r="DW1729" s="2060"/>
      <c r="DX1729" s="2060"/>
      <c r="DY1729" s="2060"/>
      <c r="DZ1729" s="2060"/>
      <c r="EA1729" s="2060"/>
      <c r="EB1729" s="2060"/>
      <c r="EC1729" s="2060"/>
      <c r="ED1729" s="2060"/>
      <c r="EE1729" s="2060"/>
      <c r="EF1729" s="2060"/>
      <c r="EG1729" s="2060"/>
      <c r="EH1729" s="2060"/>
      <c r="EI1729" s="2060"/>
      <c r="EJ1729" s="2060"/>
      <c r="EK1729" s="2060"/>
      <c r="EL1729" s="2060"/>
      <c r="EM1729" s="2060"/>
      <c r="EN1729" s="2060"/>
      <c r="EO1729" s="2060"/>
      <c r="EP1729" s="2060"/>
      <c r="EQ1729" s="2060"/>
      <c r="ER1729" s="2060"/>
      <c r="ES1729" s="2060"/>
      <c r="ET1729" s="2060"/>
      <c r="EU1729" s="2060"/>
      <c r="EV1729" s="2060"/>
      <c r="EW1729" s="2060"/>
      <c r="EX1729" s="2060"/>
      <c r="EY1729" s="2060"/>
      <c r="EZ1729" s="2060"/>
      <c r="FA1729" s="2060"/>
      <c r="FB1729" s="2060"/>
      <c r="FC1729" s="2060"/>
      <c r="FD1729" s="2060"/>
      <c r="FE1729" s="2060"/>
      <c r="FF1729" s="2060"/>
      <c r="FG1729" s="2060"/>
      <c r="FH1729" s="2060"/>
      <c r="FI1729" s="2060"/>
      <c r="FJ1729" s="2060"/>
      <c r="FK1729" s="2060"/>
      <c r="FL1729" s="2060"/>
      <c r="FM1729" s="2060"/>
      <c r="FN1729" s="2060"/>
      <c r="FO1729" s="2060"/>
      <c r="FP1729" s="2060"/>
      <c r="FQ1729" s="2060"/>
      <c r="FR1729" s="2060"/>
      <c r="FS1729" s="2060"/>
      <c r="FT1729" s="2060"/>
      <c r="FU1729" s="2060"/>
      <c r="FV1729" s="2060"/>
      <c r="FW1729" s="2060"/>
      <c r="FX1729" s="2060"/>
      <c r="FY1729" s="2060"/>
      <c r="FZ1729" s="2060"/>
      <c r="GA1729" s="2060"/>
      <c r="GB1729" s="2060"/>
      <c r="GC1729" s="2060"/>
      <c r="GD1729" s="2060"/>
      <c r="GE1729" s="2060"/>
      <c r="GF1729" s="2060"/>
      <c r="GG1729" s="2060"/>
      <c r="GH1729" s="2060"/>
      <c r="GI1729" s="2060"/>
      <c r="GJ1729" s="2060"/>
      <c r="GK1729" s="2060"/>
      <c r="GL1729" s="2060"/>
      <c r="GM1729" s="2060"/>
      <c r="GN1729" s="2060"/>
      <c r="GO1729" s="2060"/>
      <c r="GP1729" s="2060"/>
      <c r="GQ1729" s="2060"/>
      <c r="GR1729" s="2060"/>
      <c r="GS1729" s="2060"/>
      <c r="GT1729" s="2060"/>
      <c r="GU1729" s="2060"/>
      <c r="GV1729" s="2060"/>
      <c r="GW1729" s="2060"/>
      <c r="GX1729" s="2060"/>
      <c r="GY1729" s="2060"/>
      <c r="GZ1729" s="2060"/>
      <c r="HA1729" s="2060"/>
      <c r="HB1729" s="2060"/>
      <c r="HC1729" s="2060"/>
      <c r="HD1729" s="2060"/>
      <c r="HE1729" s="2060"/>
      <c r="HF1729" s="2060"/>
      <c r="HG1729" s="2060"/>
      <c r="HH1729" s="2060"/>
      <c r="HI1729" s="2060"/>
      <c r="HJ1729" s="2060"/>
      <c r="HK1729" s="2060"/>
      <c r="HL1729" s="2060"/>
      <c r="HM1729" s="2060"/>
      <c r="HN1729" s="2060"/>
      <c r="HO1729" s="2060"/>
      <c r="HP1729" s="2060"/>
      <c r="HQ1729" s="2060"/>
      <c r="HR1729" s="2060"/>
      <c r="HS1729" s="2060"/>
      <c r="HT1729" s="2060"/>
      <c r="HU1729" s="2060"/>
      <c r="HV1729" s="2060"/>
      <c r="HW1729" s="2060"/>
      <c r="HX1729" s="2060"/>
      <c r="HY1729" s="2060"/>
      <c r="HZ1729" s="2060"/>
      <c r="IA1729" s="2060"/>
      <c r="IB1729" s="2060"/>
      <c r="IC1729" s="2060"/>
      <c r="ID1729" s="2060"/>
      <c r="IE1729" s="2060"/>
      <c r="IF1729" s="2060"/>
      <c r="IG1729" s="2060"/>
      <c r="IH1729" s="2060"/>
      <c r="II1729" s="2060"/>
      <c r="IJ1729" s="2060"/>
      <c r="IK1729" s="2060"/>
      <c r="IL1729" s="2060"/>
      <c r="IM1729" s="2060"/>
      <c r="IN1729" s="2060"/>
      <c r="IO1729" s="2060"/>
      <c r="IP1729" s="2060"/>
      <c r="IQ1729" s="2060"/>
      <c r="IR1729" s="2060"/>
      <c r="IS1729" s="2060"/>
      <c r="IT1729" s="2060"/>
      <c r="IU1729" s="2060"/>
      <c r="IV1729" s="2060"/>
      <c r="IW1729" s="2060"/>
      <c r="IX1729" s="2060"/>
      <c r="IY1729" s="2060"/>
      <c r="IZ1729" s="2060"/>
      <c r="JA1729" s="2060"/>
      <c r="JB1729" s="2060"/>
      <c r="JC1729" s="2060"/>
      <c r="JD1729" s="2060"/>
      <c r="JE1729" s="2060"/>
      <c r="JF1729" s="2060"/>
      <c r="JG1729" s="2060"/>
      <c r="JH1729" s="2060"/>
      <c r="JI1729" s="2060"/>
      <c r="JJ1729" s="2060"/>
      <c r="JK1729" s="2060"/>
      <c r="JL1729" s="2060"/>
      <c r="JM1729" s="2060"/>
      <c r="JN1729" s="2060"/>
      <c r="JO1729" s="2060"/>
      <c r="JP1729" s="2060"/>
      <c r="JQ1729" s="2060"/>
      <c r="JR1729" s="2060"/>
      <c r="JS1729" s="2060"/>
      <c r="JT1729" s="2060"/>
      <c r="JU1729" s="2060"/>
      <c r="JV1729" s="2060"/>
      <c r="JW1729" s="2060"/>
      <c r="JX1729" s="2060"/>
      <c r="JY1729" s="2060"/>
      <c r="JZ1729" s="2060"/>
      <c r="KA1729" s="2060"/>
      <c r="KB1729" s="2060"/>
      <c r="KC1729" s="2060"/>
      <c r="KD1729" s="2060"/>
      <c r="KE1729" s="2060"/>
      <c r="KF1729" s="2060"/>
      <c r="KG1729" s="2060"/>
      <c r="KH1729" s="2060"/>
      <c r="KI1729" s="2060"/>
      <c r="KJ1729" s="2060"/>
      <c r="KK1729" s="2060"/>
      <c r="KL1729" s="2060"/>
      <c r="KM1729" s="2060"/>
      <c r="KN1729" s="2060"/>
      <c r="KO1729" s="2060"/>
      <c r="KP1729" s="2060"/>
      <c r="KQ1729" s="2060"/>
      <c r="KR1729" s="2060"/>
      <c r="KS1729" s="2060"/>
      <c r="KT1729" s="2060"/>
      <c r="KU1729" s="2060"/>
      <c r="KV1729" s="2060"/>
      <c r="KW1729" s="2060"/>
      <c r="KX1729" s="2060"/>
      <c r="KY1729" s="2060"/>
      <c r="KZ1729" s="2060"/>
      <c r="LA1729" s="2060"/>
      <c r="LB1729" s="2060"/>
      <c r="LC1729" s="2060"/>
      <c r="LD1729" s="2060"/>
      <c r="LE1729" s="2060"/>
      <c r="LF1729" s="2060"/>
      <c r="LG1729" s="2060"/>
      <c r="LH1729" s="2060"/>
    </row>
    <row r="1730" spans="1:320" s="449" customFormat="1" ht="13.9">
      <c r="A1730" s="2060"/>
      <c r="B1730" s="2060"/>
      <c r="C1730" s="2060"/>
      <c r="D1730" s="2060"/>
      <c r="E1730" s="505"/>
      <c r="F1730" s="128"/>
      <c r="G1730" s="1349"/>
      <c r="H1730" s="128"/>
      <c r="I1730" s="89"/>
      <c r="J1730" s="506"/>
      <c r="K1730" s="1558"/>
      <c r="L1730" s="1558"/>
      <c r="M1730" s="1558"/>
      <c r="N1730" s="1558"/>
      <c r="O1730" s="1558"/>
      <c r="P1730" s="1558"/>
      <c r="Q1730" s="1558"/>
      <c r="R1730" s="1558"/>
      <c r="S1730" s="1558"/>
      <c r="T1730" s="1558"/>
      <c r="U1730" s="1558"/>
      <c r="V1730" s="1558"/>
      <c r="W1730" s="1479"/>
      <c r="X1730" s="255"/>
      <c r="Y1730" s="89"/>
      <c r="Z1730" s="2060"/>
      <c r="AA1730" s="2060"/>
      <c r="AB1730" s="2060"/>
      <c r="AC1730" s="2060"/>
      <c r="AD1730" s="2060"/>
      <c r="AE1730" s="2060"/>
      <c r="AF1730" s="2060"/>
      <c r="AG1730" s="2060"/>
      <c r="AH1730" s="2060"/>
      <c r="AI1730" s="2060"/>
      <c r="AJ1730" s="2060"/>
      <c r="AK1730" s="2060"/>
      <c r="AL1730" s="2060"/>
      <c r="AM1730" s="2060"/>
      <c r="AN1730" s="2060"/>
      <c r="AO1730" s="2060"/>
      <c r="AP1730" s="2060"/>
      <c r="AQ1730" s="2060"/>
      <c r="AR1730" s="2060"/>
      <c r="AS1730" s="2060"/>
      <c r="AT1730" s="2060"/>
      <c r="AU1730" s="2060"/>
      <c r="AV1730" s="2060"/>
      <c r="AW1730" s="2060"/>
      <c r="AX1730" s="2060"/>
      <c r="AY1730" s="2060"/>
      <c r="AZ1730" s="2060"/>
      <c r="BA1730" s="2060"/>
      <c r="BB1730" s="2060"/>
      <c r="BC1730" s="2060"/>
      <c r="BD1730" s="2060"/>
      <c r="BE1730" s="2060"/>
      <c r="BF1730" s="2060"/>
      <c r="BG1730" s="2060"/>
      <c r="BH1730" s="2060"/>
      <c r="BI1730" s="2060"/>
      <c r="BJ1730" s="2060"/>
      <c r="BK1730" s="2060"/>
      <c r="BL1730" s="2060"/>
      <c r="BM1730" s="2060"/>
      <c r="BN1730" s="2060"/>
      <c r="BO1730" s="2060"/>
      <c r="BP1730" s="2060"/>
      <c r="BQ1730" s="2060"/>
      <c r="BR1730" s="2060"/>
      <c r="BS1730" s="2060"/>
      <c r="BT1730" s="2060"/>
      <c r="BU1730" s="2060"/>
      <c r="BV1730" s="2060"/>
      <c r="BW1730" s="2060"/>
      <c r="BX1730" s="2060"/>
      <c r="BY1730" s="2060"/>
      <c r="BZ1730" s="2060"/>
      <c r="CA1730" s="2060"/>
      <c r="CB1730" s="2060"/>
      <c r="CC1730" s="2060"/>
      <c r="CD1730" s="2060"/>
      <c r="CE1730" s="2060"/>
      <c r="CF1730" s="2060"/>
      <c r="CG1730" s="2060"/>
      <c r="CH1730" s="2060"/>
      <c r="CI1730" s="2060"/>
      <c r="CJ1730" s="2060"/>
      <c r="CK1730" s="2060"/>
      <c r="CL1730" s="2060"/>
      <c r="CM1730" s="2060"/>
      <c r="CN1730" s="2060"/>
      <c r="CO1730" s="2060"/>
      <c r="CP1730" s="2060"/>
      <c r="CQ1730" s="2060"/>
      <c r="CR1730" s="2060"/>
      <c r="CS1730" s="2060"/>
      <c r="CT1730" s="2060"/>
      <c r="CU1730" s="2060"/>
      <c r="CV1730" s="2060"/>
      <c r="CW1730" s="2060"/>
      <c r="CX1730" s="2060"/>
      <c r="CY1730" s="2060"/>
      <c r="CZ1730" s="2060"/>
      <c r="DA1730" s="2060"/>
      <c r="DB1730" s="2060"/>
      <c r="DC1730" s="2060"/>
      <c r="DD1730" s="2060"/>
      <c r="DE1730" s="2060"/>
      <c r="DF1730" s="2060"/>
      <c r="DG1730" s="2060"/>
      <c r="DH1730" s="2060"/>
      <c r="DI1730" s="2060"/>
      <c r="DJ1730" s="2060"/>
      <c r="DK1730" s="2060"/>
      <c r="DL1730" s="2060"/>
      <c r="DM1730" s="2060"/>
      <c r="DN1730" s="2060"/>
      <c r="DO1730" s="2060"/>
      <c r="DP1730" s="2060"/>
      <c r="DQ1730" s="2060"/>
      <c r="DR1730" s="2060"/>
      <c r="DS1730" s="2060"/>
      <c r="DT1730" s="2060"/>
      <c r="DU1730" s="2060"/>
      <c r="DV1730" s="2060"/>
      <c r="DW1730" s="2060"/>
      <c r="DX1730" s="2060"/>
      <c r="DY1730" s="2060"/>
      <c r="DZ1730" s="2060"/>
      <c r="EA1730" s="2060"/>
      <c r="EB1730" s="2060"/>
      <c r="EC1730" s="2060"/>
      <c r="ED1730" s="2060"/>
      <c r="EE1730" s="2060"/>
      <c r="EF1730" s="2060"/>
      <c r="EG1730" s="2060"/>
      <c r="EH1730" s="2060"/>
      <c r="EI1730" s="2060"/>
      <c r="EJ1730" s="2060"/>
      <c r="EK1730" s="2060"/>
      <c r="EL1730" s="2060"/>
      <c r="EM1730" s="2060"/>
      <c r="EN1730" s="2060"/>
      <c r="EO1730" s="2060"/>
      <c r="EP1730" s="2060"/>
      <c r="EQ1730" s="2060"/>
      <c r="ER1730" s="2060"/>
      <c r="ES1730" s="2060"/>
      <c r="ET1730" s="2060"/>
      <c r="EU1730" s="2060"/>
      <c r="EV1730" s="2060"/>
      <c r="EW1730" s="2060"/>
      <c r="EX1730" s="2060"/>
      <c r="EY1730" s="2060"/>
      <c r="EZ1730" s="2060"/>
      <c r="FA1730" s="2060"/>
      <c r="FB1730" s="2060"/>
      <c r="FC1730" s="2060"/>
      <c r="FD1730" s="2060"/>
      <c r="FE1730" s="2060"/>
      <c r="FF1730" s="2060"/>
      <c r="FG1730" s="2060"/>
      <c r="FH1730" s="2060"/>
      <c r="FI1730" s="2060"/>
      <c r="FJ1730" s="2060"/>
      <c r="FK1730" s="2060"/>
      <c r="FL1730" s="2060"/>
      <c r="FM1730" s="2060"/>
      <c r="FN1730" s="2060"/>
      <c r="FO1730" s="2060"/>
      <c r="FP1730" s="2060"/>
      <c r="FQ1730" s="2060"/>
      <c r="FR1730" s="2060"/>
      <c r="FS1730" s="2060"/>
      <c r="FT1730" s="2060"/>
      <c r="FU1730" s="2060"/>
      <c r="FV1730" s="2060"/>
      <c r="FW1730" s="2060"/>
      <c r="FX1730" s="2060"/>
      <c r="FY1730" s="2060"/>
      <c r="FZ1730" s="2060"/>
      <c r="GA1730" s="2060"/>
      <c r="GB1730" s="2060"/>
      <c r="GC1730" s="2060"/>
      <c r="GD1730" s="2060"/>
      <c r="GE1730" s="2060"/>
      <c r="GF1730" s="2060"/>
      <c r="GG1730" s="2060"/>
      <c r="GH1730" s="2060"/>
      <c r="GI1730" s="2060"/>
      <c r="GJ1730" s="2060"/>
      <c r="GK1730" s="2060"/>
      <c r="GL1730" s="2060"/>
      <c r="GM1730" s="2060"/>
      <c r="GN1730" s="2060"/>
      <c r="GO1730" s="2060"/>
      <c r="GP1730" s="2060"/>
      <c r="GQ1730" s="2060"/>
      <c r="GR1730" s="2060"/>
      <c r="GS1730" s="2060"/>
      <c r="GT1730" s="2060"/>
      <c r="GU1730" s="2060"/>
      <c r="GV1730" s="2060"/>
      <c r="GW1730" s="2060"/>
      <c r="GX1730" s="2060"/>
      <c r="GY1730" s="2060"/>
      <c r="GZ1730" s="2060"/>
      <c r="HA1730" s="2060"/>
      <c r="HB1730" s="2060"/>
      <c r="HC1730" s="2060"/>
      <c r="HD1730" s="2060"/>
      <c r="HE1730" s="2060"/>
      <c r="HF1730" s="2060"/>
      <c r="HG1730" s="2060"/>
      <c r="HH1730" s="2060"/>
      <c r="HI1730" s="2060"/>
      <c r="HJ1730" s="2060"/>
      <c r="HK1730" s="2060"/>
      <c r="HL1730" s="2060"/>
      <c r="HM1730" s="2060"/>
      <c r="HN1730" s="2060"/>
      <c r="HO1730" s="2060"/>
      <c r="HP1730" s="2060"/>
      <c r="HQ1730" s="2060"/>
      <c r="HR1730" s="2060"/>
      <c r="HS1730" s="2060"/>
      <c r="HT1730" s="2060"/>
      <c r="HU1730" s="2060"/>
      <c r="HV1730" s="2060"/>
      <c r="HW1730" s="2060"/>
      <c r="HX1730" s="2060"/>
      <c r="HY1730" s="2060"/>
      <c r="HZ1730" s="2060"/>
      <c r="IA1730" s="2060"/>
      <c r="IB1730" s="2060"/>
      <c r="IC1730" s="2060"/>
      <c r="ID1730" s="2060"/>
      <c r="IE1730" s="2060"/>
      <c r="IF1730" s="2060"/>
      <c r="IG1730" s="2060"/>
      <c r="IH1730" s="2060"/>
      <c r="II1730" s="2060"/>
      <c r="IJ1730" s="2060"/>
      <c r="IK1730" s="2060"/>
      <c r="IL1730" s="2060"/>
      <c r="IM1730" s="2060"/>
      <c r="IN1730" s="2060"/>
      <c r="IO1730" s="2060"/>
      <c r="IP1730" s="2060"/>
      <c r="IQ1730" s="2060"/>
      <c r="IR1730" s="2060"/>
      <c r="IS1730" s="2060"/>
      <c r="IT1730" s="2060"/>
      <c r="IU1730" s="2060"/>
      <c r="IV1730" s="2060"/>
      <c r="IW1730" s="2060"/>
      <c r="IX1730" s="2060"/>
      <c r="IY1730" s="2060"/>
      <c r="IZ1730" s="2060"/>
      <c r="JA1730" s="2060"/>
      <c r="JB1730" s="2060"/>
      <c r="JC1730" s="2060"/>
      <c r="JD1730" s="2060"/>
      <c r="JE1730" s="2060"/>
      <c r="JF1730" s="2060"/>
      <c r="JG1730" s="2060"/>
      <c r="JH1730" s="2060"/>
      <c r="JI1730" s="2060"/>
      <c r="JJ1730" s="2060"/>
      <c r="JK1730" s="2060"/>
      <c r="JL1730" s="2060"/>
      <c r="JM1730" s="2060"/>
      <c r="JN1730" s="2060"/>
      <c r="JO1730" s="2060"/>
      <c r="JP1730" s="2060"/>
      <c r="JQ1730" s="2060"/>
      <c r="JR1730" s="2060"/>
      <c r="JS1730" s="2060"/>
      <c r="JT1730" s="2060"/>
      <c r="JU1730" s="2060"/>
      <c r="JV1730" s="2060"/>
      <c r="JW1730" s="2060"/>
      <c r="JX1730" s="2060"/>
      <c r="JY1730" s="2060"/>
      <c r="JZ1730" s="2060"/>
      <c r="KA1730" s="2060"/>
      <c r="KB1730" s="2060"/>
      <c r="KC1730" s="2060"/>
      <c r="KD1730" s="2060"/>
      <c r="KE1730" s="2060"/>
      <c r="KF1730" s="2060"/>
      <c r="KG1730" s="2060"/>
      <c r="KH1730" s="2060"/>
      <c r="KI1730" s="2060"/>
      <c r="KJ1730" s="2060"/>
      <c r="KK1730" s="2060"/>
      <c r="KL1730" s="2060"/>
      <c r="KM1730" s="2060"/>
      <c r="KN1730" s="2060"/>
      <c r="KO1730" s="2060"/>
      <c r="KP1730" s="2060"/>
      <c r="KQ1730" s="2060"/>
      <c r="KR1730" s="2060"/>
      <c r="KS1730" s="2060"/>
      <c r="KT1730" s="2060"/>
      <c r="KU1730" s="2060"/>
      <c r="KV1730" s="2060"/>
      <c r="KW1730" s="2060"/>
      <c r="KX1730" s="2060"/>
      <c r="KY1730" s="2060"/>
      <c r="KZ1730" s="2060"/>
      <c r="LA1730" s="2060"/>
      <c r="LB1730" s="2060"/>
      <c r="LC1730" s="2060"/>
      <c r="LD1730" s="2060"/>
      <c r="LE1730" s="2060"/>
      <c r="LF1730" s="2060"/>
      <c r="LG1730" s="2060"/>
      <c r="LH1730" s="2060"/>
    </row>
    <row r="1731" spans="1:320" s="449" customFormat="1" ht="13.9">
      <c r="A1731" s="2060"/>
      <c r="B1731" s="2060"/>
      <c r="C1731" s="2060"/>
      <c r="D1731" s="2060"/>
      <c r="E1731" s="505"/>
      <c r="F1731" s="953" t="s">
        <v>363</v>
      </c>
      <c r="G1731" s="737" t="s">
        <v>851</v>
      </c>
      <c r="H1731" s="741"/>
      <c r="I1731" s="724"/>
      <c r="J1731" s="726" t="str">
        <f>J$1558</f>
        <v>LQ-12</v>
      </c>
      <c r="K1731" s="726" t="str">
        <f t="shared" ref="K1731:V1731" si="474">K$1558</f>
        <v>LQ-11</v>
      </c>
      <c r="L1731" s="726" t="str">
        <f t="shared" si="474"/>
        <v>LQ-10</v>
      </c>
      <c r="M1731" s="726" t="str">
        <f t="shared" si="474"/>
        <v>LQ-9</v>
      </c>
      <c r="N1731" s="726" t="str">
        <f t="shared" si="474"/>
        <v>LQ-8</v>
      </c>
      <c r="O1731" s="726" t="str">
        <f t="shared" si="474"/>
        <v>LQ-7</v>
      </c>
      <c r="P1731" s="726" t="str">
        <f t="shared" si="474"/>
        <v>LQ-6</v>
      </c>
      <c r="Q1731" s="726" t="str">
        <f t="shared" si="474"/>
        <v>LQ-5</v>
      </c>
      <c r="R1731" s="726" t="str">
        <f t="shared" si="474"/>
        <v>LQ-4</v>
      </c>
      <c r="S1731" s="726" t="str">
        <f t="shared" si="474"/>
        <v>LQ-3</v>
      </c>
      <c r="T1731" s="726" t="str">
        <f t="shared" si="474"/>
        <v>LQ-2</v>
      </c>
      <c r="U1731" s="726" t="str">
        <f t="shared" si="474"/>
        <v>LQ-1</v>
      </c>
      <c r="V1731" s="726" t="str">
        <f t="shared" si="474"/>
        <v>Last Qtr</v>
      </c>
      <c r="W1731" s="1479"/>
      <c r="X1731" s="255"/>
      <c r="Y1731" s="89"/>
      <c r="Z1731" s="2060"/>
      <c r="AA1731" s="2060"/>
      <c r="AB1731" s="2060"/>
      <c r="AC1731" s="2060"/>
      <c r="AD1731" s="2060"/>
      <c r="AE1731" s="2060"/>
      <c r="AF1731" s="2060"/>
      <c r="AG1731" s="2060"/>
      <c r="AH1731" s="2060"/>
      <c r="AI1731" s="2060"/>
      <c r="AJ1731" s="2060"/>
      <c r="AK1731" s="2060"/>
      <c r="AL1731" s="2060"/>
      <c r="AM1731" s="2060"/>
      <c r="AN1731" s="2060"/>
      <c r="AO1731" s="2060"/>
      <c r="AP1731" s="2060"/>
      <c r="AQ1731" s="2060"/>
      <c r="AR1731" s="2060"/>
      <c r="AS1731" s="2060"/>
      <c r="AT1731" s="2060"/>
      <c r="AU1731" s="2060"/>
      <c r="AV1731" s="2060"/>
      <c r="AW1731" s="2060"/>
      <c r="AX1731" s="2060"/>
      <c r="AY1731" s="2060"/>
      <c r="AZ1731" s="2060"/>
      <c r="BA1731" s="2060"/>
      <c r="BB1731" s="2060"/>
      <c r="BC1731" s="2060"/>
      <c r="BD1731" s="2060"/>
      <c r="BE1731" s="2060"/>
      <c r="BF1731" s="2060"/>
      <c r="BG1731" s="2060"/>
      <c r="BH1731" s="2060"/>
      <c r="BI1731" s="2060"/>
      <c r="BJ1731" s="2060"/>
      <c r="BK1731" s="2060"/>
      <c r="BL1731" s="2060"/>
      <c r="BM1731" s="2060"/>
      <c r="BN1731" s="2060"/>
      <c r="BO1731" s="2060"/>
      <c r="BP1731" s="2060"/>
      <c r="BQ1731" s="2060"/>
      <c r="BR1731" s="2060"/>
      <c r="BS1731" s="2060"/>
      <c r="BT1731" s="2060"/>
      <c r="BU1731" s="2060"/>
      <c r="BV1731" s="2060"/>
      <c r="BW1731" s="2060"/>
      <c r="BX1731" s="2060"/>
      <c r="BY1731" s="2060"/>
      <c r="BZ1731" s="2060"/>
      <c r="CA1731" s="2060"/>
      <c r="CB1731" s="2060"/>
      <c r="CC1731" s="2060"/>
      <c r="CD1731" s="2060"/>
      <c r="CE1731" s="2060"/>
      <c r="CF1731" s="2060"/>
      <c r="CG1731" s="2060"/>
      <c r="CH1731" s="2060"/>
      <c r="CI1731" s="2060"/>
      <c r="CJ1731" s="2060"/>
      <c r="CK1731" s="2060"/>
      <c r="CL1731" s="2060"/>
      <c r="CM1731" s="2060"/>
      <c r="CN1731" s="2060"/>
      <c r="CO1731" s="2060"/>
      <c r="CP1731" s="2060"/>
      <c r="CQ1731" s="2060"/>
      <c r="CR1731" s="2060"/>
      <c r="CS1731" s="2060"/>
      <c r="CT1731" s="2060"/>
      <c r="CU1731" s="2060"/>
      <c r="CV1731" s="2060"/>
      <c r="CW1731" s="2060"/>
      <c r="CX1731" s="2060"/>
      <c r="CY1731" s="2060"/>
      <c r="CZ1731" s="2060"/>
      <c r="DA1731" s="2060"/>
      <c r="DB1731" s="2060"/>
      <c r="DC1731" s="2060"/>
      <c r="DD1731" s="2060"/>
      <c r="DE1731" s="2060"/>
      <c r="DF1731" s="2060"/>
      <c r="DG1731" s="2060"/>
      <c r="DH1731" s="2060"/>
      <c r="DI1731" s="2060"/>
      <c r="DJ1731" s="2060"/>
      <c r="DK1731" s="2060"/>
      <c r="DL1731" s="2060"/>
      <c r="DM1731" s="2060"/>
      <c r="DN1731" s="2060"/>
      <c r="DO1731" s="2060"/>
      <c r="DP1731" s="2060"/>
      <c r="DQ1731" s="2060"/>
      <c r="DR1731" s="2060"/>
      <c r="DS1731" s="2060"/>
      <c r="DT1731" s="2060"/>
      <c r="DU1731" s="2060"/>
      <c r="DV1731" s="2060"/>
      <c r="DW1731" s="2060"/>
      <c r="DX1731" s="2060"/>
      <c r="DY1731" s="2060"/>
      <c r="DZ1731" s="2060"/>
      <c r="EA1731" s="2060"/>
      <c r="EB1731" s="2060"/>
      <c r="EC1731" s="2060"/>
      <c r="ED1731" s="2060"/>
      <c r="EE1731" s="2060"/>
      <c r="EF1731" s="2060"/>
      <c r="EG1731" s="2060"/>
      <c r="EH1731" s="2060"/>
      <c r="EI1731" s="2060"/>
      <c r="EJ1731" s="2060"/>
      <c r="EK1731" s="2060"/>
      <c r="EL1731" s="2060"/>
      <c r="EM1731" s="2060"/>
      <c r="EN1731" s="2060"/>
      <c r="EO1731" s="2060"/>
      <c r="EP1731" s="2060"/>
      <c r="EQ1731" s="2060"/>
      <c r="ER1731" s="2060"/>
      <c r="ES1731" s="2060"/>
      <c r="ET1731" s="2060"/>
      <c r="EU1731" s="2060"/>
      <c r="EV1731" s="2060"/>
      <c r="EW1731" s="2060"/>
      <c r="EX1731" s="2060"/>
      <c r="EY1731" s="2060"/>
      <c r="EZ1731" s="2060"/>
      <c r="FA1731" s="2060"/>
      <c r="FB1731" s="2060"/>
      <c r="FC1731" s="2060"/>
      <c r="FD1731" s="2060"/>
      <c r="FE1731" s="2060"/>
      <c r="FF1731" s="2060"/>
      <c r="FG1731" s="2060"/>
      <c r="FH1731" s="2060"/>
      <c r="FI1731" s="2060"/>
      <c r="FJ1731" s="2060"/>
      <c r="FK1731" s="2060"/>
      <c r="FL1731" s="2060"/>
      <c r="FM1731" s="2060"/>
      <c r="FN1731" s="2060"/>
      <c r="FO1731" s="2060"/>
      <c r="FP1731" s="2060"/>
      <c r="FQ1731" s="2060"/>
      <c r="FR1731" s="2060"/>
      <c r="FS1731" s="2060"/>
      <c r="FT1731" s="2060"/>
      <c r="FU1731" s="2060"/>
      <c r="FV1731" s="2060"/>
      <c r="FW1731" s="2060"/>
      <c r="FX1731" s="2060"/>
      <c r="FY1731" s="2060"/>
      <c r="FZ1731" s="2060"/>
      <c r="GA1731" s="2060"/>
      <c r="GB1731" s="2060"/>
      <c r="GC1731" s="2060"/>
      <c r="GD1731" s="2060"/>
      <c r="GE1731" s="2060"/>
      <c r="GF1731" s="2060"/>
      <c r="GG1731" s="2060"/>
      <c r="GH1731" s="2060"/>
      <c r="GI1731" s="2060"/>
      <c r="GJ1731" s="2060"/>
      <c r="GK1731" s="2060"/>
      <c r="GL1731" s="2060"/>
      <c r="GM1731" s="2060"/>
      <c r="GN1731" s="2060"/>
      <c r="GO1731" s="2060"/>
      <c r="GP1731" s="2060"/>
      <c r="GQ1731" s="2060"/>
      <c r="GR1731" s="2060"/>
      <c r="GS1731" s="2060"/>
      <c r="GT1731" s="2060"/>
      <c r="GU1731" s="2060"/>
      <c r="GV1731" s="2060"/>
      <c r="GW1731" s="2060"/>
      <c r="GX1731" s="2060"/>
      <c r="GY1731" s="2060"/>
      <c r="GZ1731" s="2060"/>
      <c r="HA1731" s="2060"/>
      <c r="HB1731" s="2060"/>
      <c r="HC1731" s="2060"/>
      <c r="HD1731" s="2060"/>
      <c r="HE1731" s="2060"/>
      <c r="HF1731" s="2060"/>
      <c r="HG1731" s="2060"/>
      <c r="HH1731" s="2060"/>
      <c r="HI1731" s="2060"/>
      <c r="HJ1731" s="2060"/>
      <c r="HK1731" s="2060"/>
      <c r="HL1731" s="2060"/>
      <c r="HM1731" s="2060"/>
      <c r="HN1731" s="2060"/>
      <c r="HO1731" s="2060"/>
      <c r="HP1731" s="2060"/>
      <c r="HQ1731" s="2060"/>
      <c r="HR1731" s="2060"/>
      <c r="HS1731" s="2060"/>
      <c r="HT1731" s="2060"/>
      <c r="HU1731" s="2060"/>
      <c r="HV1731" s="2060"/>
      <c r="HW1731" s="2060"/>
      <c r="HX1731" s="2060"/>
      <c r="HY1731" s="2060"/>
      <c r="HZ1731" s="2060"/>
      <c r="IA1731" s="2060"/>
      <c r="IB1731" s="2060"/>
      <c r="IC1731" s="2060"/>
      <c r="ID1731" s="2060"/>
      <c r="IE1731" s="2060"/>
      <c r="IF1731" s="2060"/>
      <c r="IG1731" s="2060"/>
      <c r="IH1731" s="2060"/>
      <c r="II1731" s="2060"/>
      <c r="IJ1731" s="2060"/>
      <c r="IK1731" s="2060"/>
      <c r="IL1731" s="2060"/>
      <c r="IM1731" s="2060"/>
      <c r="IN1731" s="2060"/>
      <c r="IO1731" s="2060"/>
      <c r="IP1731" s="2060"/>
      <c r="IQ1731" s="2060"/>
      <c r="IR1731" s="2060"/>
      <c r="IS1731" s="2060"/>
      <c r="IT1731" s="2060"/>
      <c r="IU1731" s="2060"/>
      <c r="IV1731" s="2060"/>
      <c r="IW1731" s="2060"/>
      <c r="IX1731" s="2060"/>
      <c r="IY1731" s="2060"/>
      <c r="IZ1731" s="2060"/>
      <c r="JA1731" s="2060"/>
      <c r="JB1731" s="2060"/>
      <c r="JC1731" s="2060"/>
      <c r="JD1731" s="2060"/>
      <c r="JE1731" s="2060"/>
      <c r="JF1731" s="2060"/>
      <c r="JG1731" s="2060"/>
      <c r="JH1731" s="2060"/>
      <c r="JI1731" s="2060"/>
      <c r="JJ1731" s="2060"/>
      <c r="JK1731" s="2060"/>
      <c r="JL1731" s="2060"/>
      <c r="JM1731" s="2060"/>
      <c r="JN1731" s="2060"/>
      <c r="JO1731" s="2060"/>
      <c r="JP1731" s="2060"/>
      <c r="JQ1731" s="2060"/>
      <c r="JR1731" s="2060"/>
      <c r="JS1731" s="2060"/>
      <c r="JT1731" s="2060"/>
      <c r="JU1731" s="2060"/>
      <c r="JV1731" s="2060"/>
      <c r="JW1731" s="2060"/>
      <c r="JX1731" s="2060"/>
      <c r="JY1731" s="2060"/>
      <c r="JZ1731" s="2060"/>
      <c r="KA1731" s="2060"/>
      <c r="KB1731" s="2060"/>
      <c r="KC1731" s="2060"/>
      <c r="KD1731" s="2060"/>
      <c r="KE1731" s="2060"/>
      <c r="KF1731" s="2060"/>
      <c r="KG1731" s="2060"/>
      <c r="KH1731" s="2060"/>
      <c r="KI1731" s="2060"/>
      <c r="KJ1731" s="2060"/>
      <c r="KK1731" s="2060"/>
      <c r="KL1731" s="2060"/>
      <c r="KM1731" s="2060"/>
      <c r="KN1731" s="2060"/>
      <c r="KO1731" s="2060"/>
      <c r="KP1731" s="2060"/>
      <c r="KQ1731" s="2060"/>
      <c r="KR1731" s="2060"/>
      <c r="KS1731" s="2060"/>
      <c r="KT1731" s="2060"/>
      <c r="KU1731" s="2060"/>
      <c r="KV1731" s="2060"/>
      <c r="KW1731" s="2060"/>
      <c r="KX1731" s="2060"/>
      <c r="KY1731" s="2060"/>
      <c r="KZ1731" s="2060"/>
      <c r="LA1731" s="2060"/>
      <c r="LB1731" s="2060"/>
      <c r="LC1731" s="2060"/>
      <c r="LD1731" s="2060"/>
      <c r="LE1731" s="2060"/>
      <c r="LF1731" s="2060"/>
      <c r="LG1731" s="2060"/>
      <c r="LH1731" s="2060"/>
    </row>
    <row r="1732" spans="1:320" s="449" customFormat="1" ht="13.9">
      <c r="A1732" s="2060"/>
      <c r="B1732" s="2060"/>
      <c r="C1732" s="2060"/>
      <c r="D1732" s="2060"/>
      <c r="E1732" s="508">
        <v>0</v>
      </c>
      <c r="F1732" s="1453" t="str">
        <f>F$128</f>
        <v/>
      </c>
      <c r="G1732" s="1454">
        <f>G$128</f>
        <v>0</v>
      </c>
      <c r="H1732" s="1455" t="str">
        <f>H$128</f>
        <v>USD</v>
      </c>
      <c r="I1732" s="507" t="s">
        <v>793</v>
      </c>
      <c r="J1732" s="2196" t="str">
        <f>IF($G1732=0,"",IFERROR(_xll.ciqfunctions.udf.CIQ($G1732,$I1732,J$1557,Valuation_Date_GC,ReportType,DataMode,$H1732,FXMode),"n/a"))</f>
        <v/>
      </c>
      <c r="K1732" s="2196" t="str">
        <f>IF($G1732=0,"",IFERROR(_xll.ciqfunctions.udf.CIQ($G1732,$I1732,K$1557,Valuation_Date_GC,ReportType,DataMode,$H1732,FXMode),"n/a"))</f>
        <v/>
      </c>
      <c r="L1732" s="2196" t="str">
        <f>IF($G1732=0,"",IFERROR(_xll.ciqfunctions.udf.CIQ($G1732,$I1732,L$1557,Valuation_Date_GC,ReportType,DataMode,$H1732,FXMode),"n/a"))</f>
        <v/>
      </c>
      <c r="M1732" s="2196" t="str">
        <f>IF($G1732=0,"",IFERROR(_xll.ciqfunctions.udf.CIQ($G1732,$I1732,M$1557,Valuation_Date_GC,ReportType,DataMode,$H1732,FXMode),"n/a"))</f>
        <v/>
      </c>
      <c r="N1732" s="2196" t="str">
        <f>IF($G1732=0,"",IFERROR(_xll.ciqfunctions.udf.CIQ($G1732,$I1732,N$1557,Valuation_Date_GC,ReportType,DataMode,$H1732,FXMode),"n/a"))</f>
        <v/>
      </c>
      <c r="O1732" s="2196" t="str">
        <f>IF($G1732=0,"",IFERROR(_xll.ciqfunctions.udf.CIQ($G1732,$I1732,O$1557,Valuation_Date_GC,ReportType,DataMode,$H1732,FXMode),"n/a"))</f>
        <v/>
      </c>
      <c r="P1732" s="2196" t="str">
        <f>IF($G1732=0,"",IFERROR(_xll.ciqfunctions.udf.CIQ($G1732,$I1732,P$1557,Valuation_Date_GC,ReportType,DataMode,$H1732,FXMode),"n/a"))</f>
        <v/>
      </c>
      <c r="Q1732" s="2196" t="str">
        <f>IF($G1732=0,"",IFERROR(_xll.ciqfunctions.udf.CIQ($G1732,$I1732,Q$1557,Valuation_Date_GC,ReportType,DataMode,$H1732,FXMode),"n/a"))</f>
        <v/>
      </c>
      <c r="R1732" s="2196" t="str">
        <f>IF($G1732=0,"",IFERROR(_xll.ciqfunctions.udf.CIQ($G1732,$I1732,R$1557,Valuation_Date_GC,ReportType,DataMode,$H1732,FXMode),"n/a"))</f>
        <v/>
      </c>
      <c r="S1732" s="2196" t="str">
        <f>IF($G1732=0,"",IFERROR(_xll.ciqfunctions.udf.CIQ($G1732,$I1732,S$1557,Valuation_Date_GC,ReportType,DataMode,$H1732,FXMode),"n/a"))</f>
        <v/>
      </c>
      <c r="T1732" s="2196" t="str">
        <f>IF($G1732=0,"",IFERROR(_xll.ciqfunctions.udf.CIQ($G1732,$I1732,T$1557,Valuation_Date_GC,ReportType,DataMode,$H1732,FXMode),"n/a"))</f>
        <v/>
      </c>
      <c r="U1732" s="2196" t="str">
        <f>IF($G1732=0,"",IFERROR(_xll.ciqfunctions.udf.CIQ($G1732,$I1732,U$1557,Valuation_Date_GC,ReportType,DataMode,$H1732,FXMode),"n/a"))</f>
        <v/>
      </c>
      <c r="V1732" s="2196" t="str">
        <f>IF($G1732=0,"",IFERROR(_xll.ciqfunctions.udf.CIQ($G1732,$I1732,V$1557,Valuation_Date_GC,ReportType,DataMode,$H1732,FXMode),"n/a"))</f>
        <v/>
      </c>
      <c r="W1732" s="1479"/>
      <c r="X1732" s="255"/>
      <c r="Y1732" s="89"/>
      <c r="Z1732" s="2060"/>
      <c r="AA1732" s="2060"/>
      <c r="AB1732" s="2060"/>
      <c r="AC1732" s="2060"/>
      <c r="AD1732" s="2060"/>
      <c r="AE1732" s="2060"/>
      <c r="AF1732" s="2060"/>
      <c r="AG1732" s="2060"/>
      <c r="AH1732" s="2060"/>
      <c r="AI1732" s="2060"/>
      <c r="AJ1732" s="2060"/>
      <c r="AK1732" s="2060"/>
      <c r="AL1732" s="2060"/>
      <c r="AM1732" s="2060"/>
      <c r="AN1732" s="2060"/>
      <c r="AO1732" s="2060"/>
      <c r="AP1732" s="2060"/>
      <c r="AQ1732" s="2060"/>
      <c r="AR1732" s="2060"/>
      <c r="AS1732" s="2060"/>
      <c r="AT1732" s="2060"/>
      <c r="AU1732" s="2060"/>
      <c r="AV1732" s="2060"/>
      <c r="AW1732" s="2060"/>
      <c r="AX1732" s="2060"/>
      <c r="AY1732" s="2060"/>
      <c r="AZ1732" s="2060"/>
      <c r="BA1732" s="2060"/>
      <c r="BB1732" s="2060"/>
      <c r="BC1732" s="2060"/>
      <c r="BD1732" s="2060"/>
      <c r="BE1732" s="2060"/>
      <c r="BF1732" s="2060"/>
      <c r="BG1732" s="2060"/>
      <c r="BH1732" s="2060"/>
      <c r="BI1732" s="2060"/>
      <c r="BJ1732" s="2060"/>
      <c r="BK1732" s="2060"/>
      <c r="BL1732" s="2060"/>
      <c r="BM1732" s="2060"/>
      <c r="BN1732" s="2060"/>
      <c r="BO1732" s="2060"/>
      <c r="BP1732" s="2060"/>
      <c r="BQ1732" s="2060"/>
      <c r="BR1732" s="2060"/>
      <c r="BS1732" s="2060"/>
      <c r="BT1732" s="2060"/>
      <c r="BU1732" s="2060"/>
      <c r="BV1732" s="2060"/>
      <c r="BW1732" s="2060"/>
      <c r="BX1732" s="2060"/>
      <c r="BY1732" s="2060"/>
      <c r="BZ1732" s="2060"/>
      <c r="CA1732" s="2060"/>
      <c r="CB1732" s="2060"/>
      <c r="CC1732" s="2060"/>
      <c r="CD1732" s="2060"/>
      <c r="CE1732" s="2060"/>
      <c r="CF1732" s="2060"/>
      <c r="CG1732" s="2060"/>
      <c r="CH1732" s="2060"/>
      <c r="CI1732" s="2060"/>
      <c r="CJ1732" s="2060"/>
      <c r="CK1732" s="2060"/>
      <c r="CL1732" s="2060"/>
      <c r="CM1732" s="2060"/>
      <c r="CN1732" s="2060"/>
      <c r="CO1732" s="2060"/>
      <c r="CP1732" s="2060"/>
      <c r="CQ1732" s="2060"/>
      <c r="CR1732" s="2060"/>
      <c r="CS1732" s="2060"/>
      <c r="CT1732" s="2060"/>
      <c r="CU1732" s="2060"/>
      <c r="CV1732" s="2060"/>
      <c r="CW1732" s="2060"/>
      <c r="CX1732" s="2060"/>
      <c r="CY1732" s="2060"/>
      <c r="CZ1732" s="2060"/>
      <c r="DA1732" s="2060"/>
      <c r="DB1732" s="2060"/>
      <c r="DC1732" s="2060"/>
      <c r="DD1732" s="2060"/>
      <c r="DE1732" s="2060"/>
      <c r="DF1732" s="2060"/>
      <c r="DG1732" s="2060"/>
      <c r="DH1732" s="2060"/>
      <c r="DI1732" s="2060"/>
      <c r="DJ1732" s="2060"/>
      <c r="DK1732" s="2060"/>
      <c r="DL1732" s="2060"/>
      <c r="DM1732" s="2060"/>
      <c r="DN1732" s="2060"/>
      <c r="DO1732" s="2060"/>
      <c r="DP1732" s="2060"/>
      <c r="DQ1732" s="2060"/>
      <c r="DR1732" s="2060"/>
      <c r="DS1732" s="2060"/>
      <c r="DT1732" s="2060"/>
      <c r="DU1732" s="2060"/>
      <c r="DV1732" s="2060"/>
      <c r="DW1732" s="2060"/>
      <c r="DX1732" s="2060"/>
      <c r="DY1732" s="2060"/>
      <c r="DZ1732" s="2060"/>
      <c r="EA1732" s="2060"/>
      <c r="EB1732" s="2060"/>
      <c r="EC1732" s="2060"/>
      <c r="ED1732" s="2060"/>
      <c r="EE1732" s="2060"/>
      <c r="EF1732" s="2060"/>
      <c r="EG1732" s="2060"/>
      <c r="EH1732" s="2060"/>
      <c r="EI1732" s="2060"/>
      <c r="EJ1732" s="2060"/>
      <c r="EK1732" s="2060"/>
      <c r="EL1732" s="2060"/>
      <c r="EM1732" s="2060"/>
      <c r="EN1732" s="2060"/>
      <c r="EO1732" s="2060"/>
      <c r="EP1732" s="2060"/>
      <c r="EQ1732" s="2060"/>
      <c r="ER1732" s="2060"/>
      <c r="ES1732" s="2060"/>
      <c r="ET1732" s="2060"/>
      <c r="EU1732" s="2060"/>
      <c r="EV1732" s="2060"/>
      <c r="EW1732" s="2060"/>
      <c r="EX1732" s="2060"/>
      <c r="EY1732" s="2060"/>
      <c r="EZ1732" s="2060"/>
      <c r="FA1732" s="2060"/>
      <c r="FB1732" s="2060"/>
      <c r="FC1732" s="2060"/>
      <c r="FD1732" s="2060"/>
      <c r="FE1732" s="2060"/>
      <c r="FF1732" s="2060"/>
      <c r="FG1732" s="2060"/>
      <c r="FH1732" s="2060"/>
      <c r="FI1732" s="2060"/>
      <c r="FJ1732" s="2060"/>
      <c r="FK1732" s="2060"/>
      <c r="FL1732" s="2060"/>
      <c r="FM1732" s="2060"/>
      <c r="FN1732" s="2060"/>
      <c r="FO1732" s="2060"/>
      <c r="FP1732" s="2060"/>
      <c r="FQ1732" s="2060"/>
      <c r="FR1732" s="2060"/>
      <c r="FS1732" s="2060"/>
      <c r="FT1732" s="2060"/>
      <c r="FU1732" s="2060"/>
      <c r="FV1732" s="2060"/>
      <c r="FW1732" s="2060"/>
      <c r="FX1732" s="2060"/>
      <c r="FY1732" s="2060"/>
      <c r="FZ1732" s="2060"/>
      <c r="GA1732" s="2060"/>
      <c r="GB1732" s="2060"/>
      <c r="GC1732" s="2060"/>
      <c r="GD1732" s="2060"/>
      <c r="GE1732" s="2060"/>
      <c r="GF1732" s="2060"/>
      <c r="GG1732" s="2060"/>
      <c r="GH1732" s="2060"/>
      <c r="GI1732" s="2060"/>
      <c r="GJ1732" s="2060"/>
      <c r="GK1732" s="2060"/>
      <c r="GL1732" s="2060"/>
      <c r="GM1732" s="2060"/>
      <c r="GN1732" s="2060"/>
      <c r="GO1732" s="2060"/>
      <c r="GP1732" s="2060"/>
      <c r="GQ1732" s="2060"/>
      <c r="GR1732" s="2060"/>
      <c r="GS1732" s="2060"/>
      <c r="GT1732" s="2060"/>
      <c r="GU1732" s="2060"/>
      <c r="GV1732" s="2060"/>
      <c r="GW1732" s="2060"/>
      <c r="GX1732" s="2060"/>
      <c r="GY1732" s="2060"/>
      <c r="GZ1732" s="2060"/>
      <c r="HA1732" s="2060"/>
      <c r="HB1732" s="2060"/>
      <c r="HC1732" s="2060"/>
      <c r="HD1732" s="2060"/>
      <c r="HE1732" s="2060"/>
      <c r="HF1732" s="2060"/>
      <c r="HG1732" s="2060"/>
      <c r="HH1732" s="2060"/>
      <c r="HI1732" s="2060"/>
      <c r="HJ1732" s="2060"/>
      <c r="HK1732" s="2060"/>
      <c r="HL1732" s="2060"/>
      <c r="HM1732" s="2060"/>
      <c r="HN1732" s="2060"/>
      <c r="HO1732" s="2060"/>
      <c r="HP1732" s="2060"/>
      <c r="HQ1732" s="2060"/>
      <c r="HR1732" s="2060"/>
      <c r="HS1732" s="2060"/>
      <c r="HT1732" s="2060"/>
      <c r="HU1732" s="2060"/>
      <c r="HV1732" s="2060"/>
      <c r="HW1732" s="2060"/>
      <c r="HX1732" s="2060"/>
      <c r="HY1732" s="2060"/>
      <c r="HZ1732" s="2060"/>
      <c r="IA1732" s="2060"/>
      <c r="IB1732" s="2060"/>
      <c r="IC1732" s="2060"/>
      <c r="ID1732" s="2060"/>
      <c r="IE1732" s="2060"/>
      <c r="IF1732" s="2060"/>
      <c r="IG1732" s="2060"/>
      <c r="IH1732" s="2060"/>
      <c r="II1732" s="2060"/>
      <c r="IJ1732" s="2060"/>
      <c r="IK1732" s="2060"/>
      <c r="IL1732" s="2060"/>
      <c r="IM1732" s="2060"/>
      <c r="IN1732" s="2060"/>
      <c r="IO1732" s="2060"/>
      <c r="IP1732" s="2060"/>
      <c r="IQ1732" s="2060"/>
      <c r="IR1732" s="2060"/>
      <c r="IS1732" s="2060"/>
      <c r="IT1732" s="2060"/>
      <c r="IU1732" s="2060"/>
      <c r="IV1732" s="2060"/>
      <c r="IW1732" s="2060"/>
      <c r="IX1732" s="2060"/>
      <c r="IY1732" s="2060"/>
      <c r="IZ1732" s="2060"/>
      <c r="JA1732" s="2060"/>
      <c r="JB1732" s="2060"/>
      <c r="JC1732" s="2060"/>
      <c r="JD1732" s="2060"/>
      <c r="JE1732" s="2060"/>
      <c r="JF1732" s="2060"/>
      <c r="JG1732" s="2060"/>
      <c r="JH1732" s="2060"/>
      <c r="JI1732" s="2060"/>
      <c r="JJ1732" s="2060"/>
      <c r="JK1732" s="2060"/>
      <c r="JL1732" s="2060"/>
      <c r="JM1732" s="2060"/>
      <c r="JN1732" s="2060"/>
      <c r="JO1732" s="2060"/>
      <c r="JP1732" s="2060"/>
      <c r="JQ1732" s="2060"/>
      <c r="JR1732" s="2060"/>
      <c r="JS1732" s="2060"/>
      <c r="JT1732" s="2060"/>
      <c r="JU1732" s="2060"/>
      <c r="JV1732" s="2060"/>
      <c r="JW1732" s="2060"/>
      <c r="JX1732" s="2060"/>
      <c r="JY1732" s="2060"/>
      <c r="JZ1732" s="2060"/>
      <c r="KA1732" s="2060"/>
      <c r="KB1732" s="2060"/>
      <c r="KC1732" s="2060"/>
      <c r="KD1732" s="2060"/>
      <c r="KE1732" s="2060"/>
      <c r="KF1732" s="2060"/>
      <c r="KG1732" s="2060"/>
      <c r="KH1732" s="2060"/>
      <c r="KI1732" s="2060"/>
      <c r="KJ1732" s="2060"/>
      <c r="KK1732" s="2060"/>
      <c r="KL1732" s="2060"/>
      <c r="KM1732" s="2060"/>
      <c r="KN1732" s="2060"/>
      <c r="KO1732" s="2060"/>
      <c r="KP1732" s="2060"/>
      <c r="KQ1732" s="2060"/>
      <c r="KR1732" s="2060"/>
      <c r="KS1732" s="2060"/>
      <c r="KT1732" s="2060"/>
      <c r="KU1732" s="2060"/>
      <c r="KV1732" s="2060"/>
      <c r="KW1732" s="2060"/>
      <c r="KX1732" s="2060"/>
      <c r="KY1732" s="2060"/>
      <c r="KZ1732" s="2060"/>
      <c r="LA1732" s="2060"/>
      <c r="LB1732" s="2060"/>
      <c r="LC1732" s="2060"/>
      <c r="LD1732" s="2060"/>
      <c r="LE1732" s="2060"/>
      <c r="LF1732" s="2060"/>
      <c r="LG1732" s="2060"/>
      <c r="LH1732" s="2060"/>
    </row>
    <row r="1733" spans="1:320" s="449" customFormat="1" ht="13.9">
      <c r="A1733" s="269" t="str">
        <f>IF(F1733="--","n","")</f>
        <v>n</v>
      </c>
      <c r="B1733" s="2060"/>
      <c r="C1733" s="2060"/>
      <c r="D1733" s="2060"/>
      <c r="E1733" s="1661">
        <v>1</v>
      </c>
      <c r="F1733" s="1353" t="str">
        <f>F$129</f>
        <v>--</v>
      </c>
      <c r="G1733" s="128">
        <f>G$129</f>
        <v>0</v>
      </c>
      <c r="H1733" s="128" t="str">
        <f>H$129</f>
        <v>--</v>
      </c>
      <c r="I1733" s="89" t="s">
        <v>793</v>
      </c>
      <c r="J1733" s="2197" t="str">
        <f>IF($G1733=0,"",IFERROR(_xll.ciqfunctions.udf.CIQ($G1733,$I1733,J$1557,Valuation_Date_GC,ReportType,DataMode,$H1733,FXMode),"n/a"))</f>
        <v/>
      </c>
      <c r="K1733" s="2197" t="str">
        <f>IF($G1733=0,"",IFERROR(_xll.ciqfunctions.udf.CIQ($G1733,$I1733,K$1557,Valuation_Date_GC,ReportType,DataMode,$H1733,FXMode),"n/a"))</f>
        <v/>
      </c>
      <c r="L1733" s="2197" t="str">
        <f>IF($G1733=0,"",IFERROR(_xll.ciqfunctions.udf.CIQ($G1733,$I1733,L$1557,Valuation_Date_GC,ReportType,DataMode,$H1733,FXMode),"n/a"))</f>
        <v/>
      </c>
      <c r="M1733" s="2197" t="str">
        <f>IF($G1733=0,"",IFERROR(_xll.ciqfunctions.udf.CIQ($G1733,$I1733,M$1557,Valuation_Date_GC,ReportType,DataMode,$H1733,FXMode),"n/a"))</f>
        <v/>
      </c>
      <c r="N1733" s="2197" t="str">
        <f>IF($G1733=0,"",IFERROR(_xll.ciqfunctions.udf.CIQ($G1733,$I1733,N$1557,Valuation_Date_GC,ReportType,DataMode,$H1733,FXMode),"n/a"))</f>
        <v/>
      </c>
      <c r="O1733" s="2197" t="str">
        <f>IF($G1733=0,"",IFERROR(_xll.ciqfunctions.udf.CIQ($G1733,$I1733,O$1557,Valuation_Date_GC,ReportType,DataMode,$H1733,FXMode),"n/a"))</f>
        <v/>
      </c>
      <c r="P1733" s="2197" t="str">
        <f>IF($G1733=0,"",IFERROR(_xll.ciqfunctions.udf.CIQ($G1733,$I1733,P$1557,Valuation_Date_GC,ReportType,DataMode,$H1733,FXMode),"n/a"))</f>
        <v/>
      </c>
      <c r="Q1733" s="2197" t="str">
        <f>IF($G1733=0,"",IFERROR(_xll.ciqfunctions.udf.CIQ($G1733,$I1733,Q$1557,Valuation_Date_GC,ReportType,DataMode,$H1733,FXMode),"n/a"))</f>
        <v/>
      </c>
      <c r="R1733" s="2197" t="str">
        <f>IF($G1733=0,"",IFERROR(_xll.ciqfunctions.udf.CIQ($G1733,$I1733,R$1557,Valuation_Date_GC,ReportType,DataMode,$H1733,FXMode),"n/a"))</f>
        <v/>
      </c>
      <c r="S1733" s="2197" t="str">
        <f>IF($G1733=0,"",IFERROR(_xll.ciqfunctions.udf.CIQ($G1733,$I1733,S$1557,Valuation_Date_GC,ReportType,DataMode,$H1733,FXMode),"n/a"))</f>
        <v/>
      </c>
      <c r="T1733" s="2197" t="str">
        <f>IF($G1733=0,"",IFERROR(_xll.ciqfunctions.udf.CIQ($G1733,$I1733,T$1557,Valuation_Date_GC,ReportType,DataMode,$H1733,FXMode),"n/a"))</f>
        <v/>
      </c>
      <c r="U1733" s="2197" t="str">
        <f>IF($G1733=0,"",IFERROR(_xll.ciqfunctions.udf.CIQ($G1733,$I1733,U$1557,Valuation_Date_GC,ReportType,DataMode,$H1733,FXMode),"n/a"))</f>
        <v/>
      </c>
      <c r="V1733" s="2197" t="str">
        <f>IF($G1733=0,"",IFERROR(_xll.ciqfunctions.udf.CIQ($G1733,$I1733,V$1557,Valuation_Date_GC,ReportType,DataMode,$H1733,FXMode),"n/a"))</f>
        <v/>
      </c>
      <c r="W1733" s="1479"/>
      <c r="X1733" s="255"/>
      <c r="Y1733" s="89"/>
      <c r="Z1733" s="2060"/>
      <c r="AA1733" s="2060"/>
      <c r="AB1733" s="2060"/>
      <c r="AC1733" s="2060"/>
      <c r="AD1733" s="2060"/>
      <c r="AE1733" s="2060"/>
      <c r="AF1733" s="2060"/>
      <c r="AG1733" s="2060"/>
      <c r="AH1733" s="2060"/>
      <c r="AI1733" s="2060"/>
      <c r="AJ1733" s="2060"/>
      <c r="AK1733" s="2060"/>
      <c r="AL1733" s="2060"/>
      <c r="AM1733" s="2060"/>
      <c r="AN1733" s="2060"/>
      <c r="AO1733" s="2060"/>
      <c r="AP1733" s="2060"/>
      <c r="AQ1733" s="2060"/>
      <c r="AR1733" s="2060"/>
      <c r="AS1733" s="2060"/>
      <c r="AT1733" s="2060"/>
      <c r="AU1733" s="2060"/>
      <c r="AV1733" s="2060"/>
      <c r="AW1733" s="2060"/>
      <c r="AX1733" s="2060"/>
      <c r="AY1733" s="2060"/>
      <c r="AZ1733" s="2060"/>
      <c r="BA1733" s="2060"/>
      <c r="BB1733" s="2060"/>
      <c r="BC1733" s="2060"/>
      <c r="BD1733" s="2060"/>
      <c r="BE1733" s="2060"/>
      <c r="BF1733" s="2060"/>
      <c r="BG1733" s="2060"/>
      <c r="BH1733" s="2060"/>
      <c r="BI1733" s="2060"/>
      <c r="BJ1733" s="2060"/>
      <c r="BK1733" s="2060"/>
      <c r="BL1733" s="2060"/>
      <c r="BM1733" s="2060"/>
      <c r="BN1733" s="2060"/>
      <c r="BO1733" s="2060"/>
      <c r="BP1733" s="2060"/>
      <c r="BQ1733" s="2060"/>
      <c r="BR1733" s="2060"/>
      <c r="BS1733" s="2060"/>
      <c r="BT1733" s="2060"/>
      <c r="BU1733" s="2060"/>
      <c r="BV1733" s="2060"/>
      <c r="BW1733" s="2060"/>
      <c r="BX1733" s="2060"/>
      <c r="BY1733" s="2060"/>
      <c r="BZ1733" s="2060"/>
      <c r="CA1733" s="2060"/>
      <c r="CB1733" s="2060"/>
      <c r="CC1733" s="2060"/>
      <c r="CD1733" s="2060"/>
      <c r="CE1733" s="2060"/>
      <c r="CF1733" s="2060"/>
      <c r="CG1733" s="2060"/>
      <c r="CH1733" s="2060"/>
      <c r="CI1733" s="2060"/>
      <c r="CJ1733" s="2060"/>
      <c r="CK1733" s="2060"/>
      <c r="CL1733" s="2060"/>
      <c r="CM1733" s="2060"/>
      <c r="CN1733" s="2060"/>
      <c r="CO1733" s="2060"/>
      <c r="CP1733" s="2060"/>
      <c r="CQ1733" s="2060"/>
      <c r="CR1733" s="2060"/>
      <c r="CS1733" s="2060"/>
      <c r="CT1733" s="2060"/>
      <c r="CU1733" s="2060"/>
      <c r="CV1733" s="2060"/>
      <c r="CW1733" s="2060"/>
      <c r="CX1733" s="2060"/>
      <c r="CY1733" s="2060"/>
      <c r="CZ1733" s="2060"/>
      <c r="DA1733" s="2060"/>
      <c r="DB1733" s="2060"/>
      <c r="DC1733" s="2060"/>
      <c r="DD1733" s="2060"/>
      <c r="DE1733" s="2060"/>
      <c r="DF1733" s="2060"/>
      <c r="DG1733" s="2060"/>
      <c r="DH1733" s="2060"/>
      <c r="DI1733" s="2060"/>
      <c r="DJ1733" s="2060"/>
      <c r="DK1733" s="2060"/>
      <c r="DL1733" s="2060"/>
      <c r="DM1733" s="2060"/>
      <c r="DN1733" s="2060"/>
      <c r="DO1733" s="2060"/>
      <c r="DP1733" s="2060"/>
      <c r="DQ1733" s="2060"/>
      <c r="DR1733" s="2060"/>
      <c r="DS1733" s="2060"/>
      <c r="DT1733" s="2060"/>
      <c r="DU1733" s="2060"/>
      <c r="DV1733" s="2060"/>
      <c r="DW1733" s="2060"/>
      <c r="DX1733" s="2060"/>
      <c r="DY1733" s="2060"/>
      <c r="DZ1733" s="2060"/>
      <c r="EA1733" s="2060"/>
      <c r="EB1733" s="2060"/>
      <c r="EC1733" s="2060"/>
      <c r="ED1733" s="2060"/>
      <c r="EE1733" s="2060"/>
      <c r="EF1733" s="2060"/>
      <c r="EG1733" s="2060"/>
      <c r="EH1733" s="2060"/>
      <c r="EI1733" s="2060"/>
      <c r="EJ1733" s="2060"/>
      <c r="EK1733" s="2060"/>
      <c r="EL1733" s="2060"/>
      <c r="EM1733" s="2060"/>
      <c r="EN1733" s="2060"/>
      <c r="EO1733" s="2060"/>
      <c r="EP1733" s="2060"/>
      <c r="EQ1733" s="2060"/>
      <c r="ER1733" s="2060"/>
      <c r="ES1733" s="2060"/>
      <c r="ET1733" s="2060"/>
      <c r="EU1733" s="2060"/>
      <c r="EV1733" s="2060"/>
      <c r="EW1733" s="2060"/>
      <c r="EX1733" s="2060"/>
      <c r="EY1733" s="2060"/>
      <c r="EZ1733" s="2060"/>
      <c r="FA1733" s="2060"/>
      <c r="FB1733" s="2060"/>
      <c r="FC1733" s="2060"/>
      <c r="FD1733" s="2060"/>
      <c r="FE1733" s="2060"/>
      <c r="FF1733" s="2060"/>
      <c r="FG1733" s="2060"/>
      <c r="FH1733" s="2060"/>
      <c r="FI1733" s="2060"/>
      <c r="FJ1733" s="2060"/>
      <c r="FK1733" s="2060"/>
      <c r="FL1733" s="2060"/>
      <c r="FM1733" s="2060"/>
      <c r="FN1733" s="2060"/>
      <c r="FO1733" s="2060"/>
      <c r="FP1733" s="2060"/>
      <c r="FQ1733" s="2060"/>
      <c r="FR1733" s="2060"/>
      <c r="FS1733" s="2060"/>
      <c r="FT1733" s="2060"/>
      <c r="FU1733" s="2060"/>
      <c r="FV1733" s="2060"/>
      <c r="FW1733" s="2060"/>
      <c r="FX1733" s="2060"/>
      <c r="FY1733" s="2060"/>
      <c r="FZ1733" s="2060"/>
      <c r="GA1733" s="2060"/>
      <c r="GB1733" s="2060"/>
      <c r="GC1733" s="2060"/>
      <c r="GD1733" s="2060"/>
      <c r="GE1733" s="2060"/>
      <c r="GF1733" s="2060"/>
      <c r="GG1733" s="2060"/>
      <c r="GH1733" s="2060"/>
      <c r="GI1733" s="2060"/>
      <c r="GJ1733" s="2060"/>
      <c r="GK1733" s="2060"/>
      <c r="GL1733" s="2060"/>
      <c r="GM1733" s="2060"/>
      <c r="GN1733" s="2060"/>
      <c r="GO1733" s="2060"/>
      <c r="GP1733" s="2060"/>
      <c r="GQ1733" s="2060"/>
      <c r="GR1733" s="2060"/>
      <c r="GS1733" s="2060"/>
      <c r="GT1733" s="2060"/>
      <c r="GU1733" s="2060"/>
      <c r="GV1733" s="2060"/>
      <c r="GW1733" s="2060"/>
      <c r="GX1733" s="2060"/>
      <c r="GY1733" s="2060"/>
      <c r="GZ1733" s="2060"/>
      <c r="HA1733" s="2060"/>
      <c r="HB1733" s="2060"/>
      <c r="HC1733" s="2060"/>
      <c r="HD1733" s="2060"/>
      <c r="HE1733" s="2060"/>
      <c r="HF1733" s="2060"/>
      <c r="HG1733" s="2060"/>
      <c r="HH1733" s="2060"/>
      <c r="HI1733" s="2060"/>
      <c r="HJ1733" s="2060"/>
      <c r="HK1733" s="2060"/>
      <c r="HL1733" s="2060"/>
      <c r="HM1733" s="2060"/>
      <c r="HN1733" s="2060"/>
      <c r="HO1733" s="2060"/>
      <c r="HP1733" s="2060"/>
      <c r="HQ1733" s="2060"/>
      <c r="HR1733" s="2060"/>
      <c r="HS1733" s="2060"/>
      <c r="HT1733" s="2060"/>
      <c r="HU1733" s="2060"/>
      <c r="HV1733" s="2060"/>
      <c r="HW1733" s="2060"/>
      <c r="HX1733" s="2060"/>
      <c r="HY1733" s="2060"/>
      <c r="HZ1733" s="2060"/>
      <c r="IA1733" s="2060"/>
      <c r="IB1733" s="2060"/>
      <c r="IC1733" s="2060"/>
      <c r="ID1733" s="2060"/>
      <c r="IE1733" s="2060"/>
      <c r="IF1733" s="2060"/>
      <c r="IG1733" s="2060"/>
      <c r="IH1733" s="2060"/>
      <c r="II1733" s="2060"/>
      <c r="IJ1733" s="2060"/>
      <c r="IK1733" s="2060"/>
      <c r="IL1733" s="2060"/>
      <c r="IM1733" s="2060"/>
      <c r="IN1733" s="2060"/>
      <c r="IO1733" s="2060"/>
      <c r="IP1733" s="2060"/>
      <c r="IQ1733" s="2060"/>
      <c r="IR1733" s="2060"/>
      <c r="IS1733" s="2060"/>
      <c r="IT1733" s="2060"/>
      <c r="IU1733" s="2060"/>
      <c r="IV1733" s="2060"/>
      <c r="IW1733" s="2060"/>
      <c r="IX1733" s="2060"/>
      <c r="IY1733" s="2060"/>
      <c r="IZ1733" s="2060"/>
      <c r="JA1733" s="2060"/>
      <c r="JB1733" s="2060"/>
      <c r="JC1733" s="2060"/>
      <c r="JD1733" s="2060"/>
      <c r="JE1733" s="2060"/>
      <c r="JF1733" s="2060"/>
      <c r="JG1733" s="2060"/>
      <c r="JH1733" s="2060"/>
      <c r="JI1733" s="2060"/>
      <c r="JJ1733" s="2060"/>
      <c r="JK1733" s="2060"/>
      <c r="JL1733" s="2060"/>
      <c r="JM1733" s="2060"/>
      <c r="JN1733" s="2060"/>
      <c r="JO1733" s="2060"/>
      <c r="JP1733" s="2060"/>
      <c r="JQ1733" s="2060"/>
      <c r="JR1733" s="2060"/>
      <c r="JS1733" s="2060"/>
      <c r="JT1733" s="2060"/>
      <c r="JU1733" s="2060"/>
      <c r="JV1733" s="2060"/>
      <c r="JW1733" s="2060"/>
      <c r="JX1733" s="2060"/>
      <c r="JY1733" s="2060"/>
      <c r="JZ1733" s="2060"/>
      <c r="KA1733" s="2060"/>
      <c r="KB1733" s="2060"/>
      <c r="KC1733" s="2060"/>
      <c r="KD1733" s="2060"/>
      <c r="KE1733" s="2060"/>
      <c r="KF1733" s="2060"/>
      <c r="KG1733" s="2060"/>
      <c r="KH1733" s="2060"/>
      <c r="KI1733" s="2060"/>
      <c r="KJ1733" s="2060"/>
      <c r="KK1733" s="2060"/>
      <c r="KL1733" s="2060"/>
      <c r="KM1733" s="2060"/>
      <c r="KN1733" s="2060"/>
      <c r="KO1733" s="2060"/>
      <c r="KP1733" s="2060"/>
      <c r="KQ1733" s="2060"/>
      <c r="KR1733" s="2060"/>
      <c r="KS1733" s="2060"/>
      <c r="KT1733" s="2060"/>
      <c r="KU1733" s="2060"/>
      <c r="KV1733" s="2060"/>
      <c r="KW1733" s="2060"/>
      <c r="KX1733" s="2060"/>
      <c r="KY1733" s="2060"/>
      <c r="KZ1733" s="2060"/>
      <c r="LA1733" s="2060"/>
      <c r="LB1733" s="2060"/>
      <c r="LC1733" s="2060"/>
      <c r="LD1733" s="2060"/>
      <c r="LE1733" s="2060"/>
      <c r="LF1733" s="2060"/>
      <c r="LG1733" s="2060"/>
      <c r="LH1733" s="2060"/>
    </row>
    <row r="1734" spans="1:320" s="449" customFormat="1" ht="13.9">
      <c r="A1734" s="269" t="str">
        <f t="shared" ref="A1734:A1757" si="475">IF(F1734="--","n","")</f>
        <v>n</v>
      </c>
      <c r="B1734" s="2060"/>
      <c r="C1734" s="2060"/>
      <c r="D1734" s="2060"/>
      <c r="E1734" s="1661">
        <v>2</v>
      </c>
      <c r="F1734" s="1353" t="str">
        <f>F$130</f>
        <v>--</v>
      </c>
      <c r="G1734" s="128">
        <f>G$130</f>
        <v>0</v>
      </c>
      <c r="H1734" s="128" t="str">
        <f>H$130</f>
        <v>--</v>
      </c>
      <c r="I1734" s="89" t="s">
        <v>793</v>
      </c>
      <c r="J1734" s="2197" t="str">
        <f>IF($G1734=0,"",IFERROR(_xll.ciqfunctions.udf.CIQ($G1734,$I1734,J$1557,Valuation_Date_GC,ReportType,DataMode,$H1734,FXMode),"n/a"))</f>
        <v/>
      </c>
      <c r="K1734" s="2197" t="str">
        <f>IF($G1734=0,"",IFERROR(_xll.ciqfunctions.udf.CIQ($G1734,$I1734,K$1557,Valuation_Date_GC,ReportType,DataMode,$H1734,FXMode),"n/a"))</f>
        <v/>
      </c>
      <c r="L1734" s="2197" t="str">
        <f>IF($G1734=0,"",IFERROR(_xll.ciqfunctions.udf.CIQ($G1734,$I1734,L$1557,Valuation_Date_GC,ReportType,DataMode,$H1734,FXMode),"n/a"))</f>
        <v/>
      </c>
      <c r="M1734" s="2197" t="str">
        <f>IF($G1734=0,"",IFERROR(_xll.ciqfunctions.udf.CIQ($G1734,$I1734,M$1557,Valuation_Date_GC,ReportType,DataMode,$H1734,FXMode),"n/a"))</f>
        <v/>
      </c>
      <c r="N1734" s="2197" t="str">
        <f>IF($G1734=0,"",IFERROR(_xll.ciqfunctions.udf.CIQ($G1734,$I1734,N$1557,Valuation_Date_GC,ReportType,DataMode,$H1734,FXMode),"n/a"))</f>
        <v/>
      </c>
      <c r="O1734" s="2197" t="str">
        <f>IF($G1734=0,"",IFERROR(_xll.ciqfunctions.udf.CIQ($G1734,$I1734,O$1557,Valuation_Date_GC,ReportType,DataMode,$H1734,FXMode),"n/a"))</f>
        <v/>
      </c>
      <c r="P1734" s="2197" t="str">
        <f>IF($G1734=0,"",IFERROR(_xll.ciqfunctions.udf.CIQ($G1734,$I1734,P$1557,Valuation_Date_GC,ReportType,DataMode,$H1734,FXMode),"n/a"))</f>
        <v/>
      </c>
      <c r="Q1734" s="2197" t="str">
        <f>IF($G1734=0,"",IFERROR(_xll.ciqfunctions.udf.CIQ($G1734,$I1734,Q$1557,Valuation_Date_GC,ReportType,DataMode,$H1734,FXMode),"n/a"))</f>
        <v/>
      </c>
      <c r="R1734" s="2197" t="str">
        <f>IF($G1734=0,"",IFERROR(_xll.ciqfunctions.udf.CIQ($G1734,$I1734,R$1557,Valuation_Date_GC,ReportType,DataMode,$H1734,FXMode),"n/a"))</f>
        <v/>
      </c>
      <c r="S1734" s="2197" t="str">
        <f>IF($G1734=0,"",IFERROR(_xll.ciqfunctions.udf.CIQ($G1734,$I1734,S$1557,Valuation_Date_GC,ReportType,DataMode,$H1734,FXMode),"n/a"))</f>
        <v/>
      </c>
      <c r="T1734" s="2197" t="str">
        <f>IF($G1734=0,"",IFERROR(_xll.ciqfunctions.udf.CIQ($G1734,$I1734,T$1557,Valuation_Date_GC,ReportType,DataMode,$H1734,FXMode),"n/a"))</f>
        <v/>
      </c>
      <c r="U1734" s="2197" t="str">
        <f>IF($G1734=0,"",IFERROR(_xll.ciqfunctions.udf.CIQ($G1734,$I1734,U$1557,Valuation_Date_GC,ReportType,DataMode,$H1734,FXMode),"n/a"))</f>
        <v/>
      </c>
      <c r="V1734" s="2197" t="str">
        <f>IF($G1734=0,"",IFERROR(_xll.ciqfunctions.udf.CIQ($G1734,$I1734,V$1557,Valuation_Date_GC,ReportType,DataMode,$H1734,FXMode),"n/a"))</f>
        <v/>
      </c>
      <c r="W1734" s="1479"/>
      <c r="X1734" s="255"/>
      <c r="Y1734" s="89"/>
      <c r="Z1734" s="2060"/>
      <c r="AA1734" s="2060"/>
      <c r="AB1734" s="2060"/>
      <c r="AC1734" s="2060"/>
      <c r="AD1734" s="2060"/>
      <c r="AE1734" s="2060"/>
      <c r="AF1734" s="2060"/>
      <c r="AG1734" s="2060"/>
      <c r="AH1734" s="2060"/>
      <c r="AI1734" s="2060"/>
      <c r="AJ1734" s="2060"/>
      <c r="AK1734" s="2060"/>
      <c r="AL1734" s="2060"/>
      <c r="AM1734" s="2060"/>
      <c r="AN1734" s="2060"/>
      <c r="AO1734" s="2060"/>
      <c r="AP1734" s="2060"/>
      <c r="AQ1734" s="2060"/>
      <c r="AR1734" s="2060"/>
      <c r="AS1734" s="2060"/>
      <c r="AT1734" s="2060"/>
      <c r="AU1734" s="2060"/>
      <c r="AV1734" s="2060"/>
      <c r="AW1734" s="2060"/>
      <c r="AX1734" s="2060"/>
      <c r="AY1734" s="2060"/>
      <c r="AZ1734" s="2060"/>
      <c r="BA1734" s="2060"/>
      <c r="BB1734" s="2060"/>
      <c r="BC1734" s="2060"/>
      <c r="BD1734" s="2060"/>
      <c r="BE1734" s="2060"/>
      <c r="BF1734" s="2060"/>
      <c r="BG1734" s="2060"/>
      <c r="BH1734" s="2060"/>
      <c r="BI1734" s="2060"/>
      <c r="BJ1734" s="2060"/>
      <c r="BK1734" s="2060"/>
      <c r="BL1734" s="2060"/>
      <c r="BM1734" s="2060"/>
      <c r="BN1734" s="2060"/>
      <c r="BO1734" s="2060"/>
      <c r="BP1734" s="2060"/>
      <c r="BQ1734" s="2060"/>
      <c r="BR1734" s="2060"/>
      <c r="BS1734" s="2060"/>
      <c r="BT1734" s="2060"/>
      <c r="BU1734" s="2060"/>
      <c r="BV1734" s="2060"/>
      <c r="BW1734" s="2060"/>
      <c r="BX1734" s="2060"/>
      <c r="BY1734" s="2060"/>
      <c r="BZ1734" s="2060"/>
      <c r="CA1734" s="2060"/>
      <c r="CB1734" s="2060"/>
      <c r="CC1734" s="2060"/>
      <c r="CD1734" s="2060"/>
      <c r="CE1734" s="2060"/>
      <c r="CF1734" s="2060"/>
      <c r="CG1734" s="2060"/>
      <c r="CH1734" s="2060"/>
      <c r="CI1734" s="2060"/>
      <c r="CJ1734" s="2060"/>
      <c r="CK1734" s="2060"/>
      <c r="CL1734" s="2060"/>
      <c r="CM1734" s="2060"/>
      <c r="CN1734" s="2060"/>
      <c r="CO1734" s="2060"/>
      <c r="CP1734" s="2060"/>
      <c r="CQ1734" s="2060"/>
      <c r="CR1734" s="2060"/>
      <c r="CS1734" s="2060"/>
      <c r="CT1734" s="2060"/>
      <c r="CU1734" s="2060"/>
      <c r="CV1734" s="2060"/>
      <c r="CW1734" s="2060"/>
      <c r="CX1734" s="2060"/>
      <c r="CY1734" s="2060"/>
      <c r="CZ1734" s="2060"/>
      <c r="DA1734" s="2060"/>
      <c r="DB1734" s="2060"/>
      <c r="DC1734" s="2060"/>
      <c r="DD1734" s="2060"/>
      <c r="DE1734" s="2060"/>
      <c r="DF1734" s="2060"/>
      <c r="DG1734" s="2060"/>
      <c r="DH1734" s="2060"/>
      <c r="DI1734" s="2060"/>
      <c r="DJ1734" s="2060"/>
      <c r="DK1734" s="2060"/>
      <c r="DL1734" s="2060"/>
      <c r="DM1734" s="2060"/>
      <c r="DN1734" s="2060"/>
      <c r="DO1734" s="2060"/>
      <c r="DP1734" s="2060"/>
      <c r="DQ1734" s="2060"/>
      <c r="DR1734" s="2060"/>
      <c r="DS1734" s="2060"/>
      <c r="DT1734" s="2060"/>
      <c r="DU1734" s="2060"/>
      <c r="DV1734" s="2060"/>
      <c r="DW1734" s="2060"/>
      <c r="DX1734" s="2060"/>
      <c r="DY1734" s="2060"/>
      <c r="DZ1734" s="2060"/>
      <c r="EA1734" s="2060"/>
      <c r="EB1734" s="2060"/>
      <c r="EC1734" s="2060"/>
      <c r="ED1734" s="2060"/>
      <c r="EE1734" s="2060"/>
      <c r="EF1734" s="2060"/>
      <c r="EG1734" s="2060"/>
      <c r="EH1734" s="2060"/>
      <c r="EI1734" s="2060"/>
      <c r="EJ1734" s="2060"/>
      <c r="EK1734" s="2060"/>
      <c r="EL1734" s="2060"/>
      <c r="EM1734" s="2060"/>
      <c r="EN1734" s="2060"/>
      <c r="EO1734" s="2060"/>
      <c r="EP1734" s="2060"/>
      <c r="EQ1734" s="2060"/>
      <c r="ER1734" s="2060"/>
      <c r="ES1734" s="2060"/>
      <c r="ET1734" s="2060"/>
      <c r="EU1734" s="2060"/>
      <c r="EV1734" s="2060"/>
      <c r="EW1734" s="2060"/>
      <c r="EX1734" s="2060"/>
      <c r="EY1734" s="2060"/>
      <c r="EZ1734" s="2060"/>
      <c r="FA1734" s="2060"/>
      <c r="FB1734" s="2060"/>
      <c r="FC1734" s="2060"/>
      <c r="FD1734" s="2060"/>
      <c r="FE1734" s="2060"/>
      <c r="FF1734" s="2060"/>
      <c r="FG1734" s="2060"/>
      <c r="FH1734" s="2060"/>
      <c r="FI1734" s="2060"/>
      <c r="FJ1734" s="2060"/>
      <c r="FK1734" s="2060"/>
      <c r="FL1734" s="2060"/>
      <c r="FM1734" s="2060"/>
      <c r="FN1734" s="2060"/>
      <c r="FO1734" s="2060"/>
      <c r="FP1734" s="2060"/>
      <c r="FQ1734" s="2060"/>
      <c r="FR1734" s="2060"/>
      <c r="FS1734" s="2060"/>
      <c r="FT1734" s="2060"/>
      <c r="FU1734" s="2060"/>
      <c r="FV1734" s="2060"/>
      <c r="FW1734" s="2060"/>
      <c r="FX1734" s="2060"/>
      <c r="FY1734" s="2060"/>
      <c r="FZ1734" s="2060"/>
      <c r="GA1734" s="2060"/>
      <c r="GB1734" s="2060"/>
      <c r="GC1734" s="2060"/>
      <c r="GD1734" s="2060"/>
      <c r="GE1734" s="2060"/>
      <c r="GF1734" s="2060"/>
      <c r="GG1734" s="2060"/>
      <c r="GH1734" s="2060"/>
      <c r="GI1734" s="2060"/>
      <c r="GJ1734" s="2060"/>
      <c r="GK1734" s="2060"/>
      <c r="GL1734" s="2060"/>
      <c r="GM1734" s="2060"/>
      <c r="GN1734" s="2060"/>
      <c r="GO1734" s="2060"/>
      <c r="GP1734" s="2060"/>
      <c r="GQ1734" s="2060"/>
      <c r="GR1734" s="2060"/>
      <c r="GS1734" s="2060"/>
      <c r="GT1734" s="2060"/>
      <c r="GU1734" s="2060"/>
      <c r="GV1734" s="2060"/>
      <c r="GW1734" s="2060"/>
      <c r="GX1734" s="2060"/>
      <c r="GY1734" s="2060"/>
      <c r="GZ1734" s="2060"/>
      <c r="HA1734" s="2060"/>
      <c r="HB1734" s="2060"/>
      <c r="HC1734" s="2060"/>
      <c r="HD1734" s="2060"/>
      <c r="HE1734" s="2060"/>
      <c r="HF1734" s="2060"/>
      <c r="HG1734" s="2060"/>
      <c r="HH1734" s="2060"/>
      <c r="HI1734" s="2060"/>
      <c r="HJ1734" s="2060"/>
      <c r="HK1734" s="2060"/>
      <c r="HL1734" s="2060"/>
      <c r="HM1734" s="2060"/>
      <c r="HN1734" s="2060"/>
      <c r="HO1734" s="2060"/>
      <c r="HP1734" s="2060"/>
      <c r="HQ1734" s="2060"/>
      <c r="HR1734" s="2060"/>
      <c r="HS1734" s="2060"/>
      <c r="HT1734" s="2060"/>
      <c r="HU1734" s="2060"/>
      <c r="HV1734" s="2060"/>
      <c r="HW1734" s="2060"/>
      <c r="HX1734" s="2060"/>
      <c r="HY1734" s="2060"/>
      <c r="HZ1734" s="2060"/>
      <c r="IA1734" s="2060"/>
      <c r="IB1734" s="2060"/>
      <c r="IC1734" s="2060"/>
      <c r="ID1734" s="2060"/>
      <c r="IE1734" s="2060"/>
      <c r="IF1734" s="2060"/>
      <c r="IG1734" s="2060"/>
      <c r="IH1734" s="2060"/>
      <c r="II1734" s="2060"/>
      <c r="IJ1734" s="2060"/>
      <c r="IK1734" s="2060"/>
      <c r="IL1734" s="2060"/>
      <c r="IM1734" s="2060"/>
      <c r="IN1734" s="2060"/>
      <c r="IO1734" s="2060"/>
      <c r="IP1734" s="2060"/>
      <c r="IQ1734" s="2060"/>
      <c r="IR1734" s="2060"/>
      <c r="IS1734" s="2060"/>
      <c r="IT1734" s="2060"/>
      <c r="IU1734" s="2060"/>
      <c r="IV1734" s="2060"/>
      <c r="IW1734" s="2060"/>
      <c r="IX1734" s="2060"/>
      <c r="IY1734" s="2060"/>
      <c r="IZ1734" s="2060"/>
      <c r="JA1734" s="2060"/>
      <c r="JB1734" s="2060"/>
      <c r="JC1734" s="2060"/>
      <c r="JD1734" s="2060"/>
      <c r="JE1734" s="2060"/>
      <c r="JF1734" s="2060"/>
      <c r="JG1734" s="2060"/>
      <c r="JH1734" s="2060"/>
      <c r="JI1734" s="2060"/>
      <c r="JJ1734" s="2060"/>
      <c r="JK1734" s="2060"/>
      <c r="JL1734" s="2060"/>
      <c r="JM1734" s="2060"/>
      <c r="JN1734" s="2060"/>
      <c r="JO1734" s="2060"/>
      <c r="JP1734" s="2060"/>
      <c r="JQ1734" s="2060"/>
      <c r="JR1734" s="2060"/>
      <c r="JS1734" s="2060"/>
      <c r="JT1734" s="2060"/>
      <c r="JU1734" s="2060"/>
      <c r="JV1734" s="2060"/>
      <c r="JW1734" s="2060"/>
      <c r="JX1734" s="2060"/>
      <c r="JY1734" s="2060"/>
      <c r="JZ1734" s="2060"/>
      <c r="KA1734" s="2060"/>
      <c r="KB1734" s="2060"/>
      <c r="KC1734" s="2060"/>
      <c r="KD1734" s="2060"/>
      <c r="KE1734" s="2060"/>
      <c r="KF1734" s="2060"/>
      <c r="KG1734" s="2060"/>
      <c r="KH1734" s="2060"/>
      <c r="KI1734" s="2060"/>
      <c r="KJ1734" s="2060"/>
      <c r="KK1734" s="2060"/>
      <c r="KL1734" s="2060"/>
      <c r="KM1734" s="2060"/>
      <c r="KN1734" s="2060"/>
      <c r="KO1734" s="2060"/>
      <c r="KP1734" s="2060"/>
      <c r="KQ1734" s="2060"/>
      <c r="KR1734" s="2060"/>
      <c r="KS1734" s="2060"/>
      <c r="KT1734" s="2060"/>
      <c r="KU1734" s="2060"/>
      <c r="KV1734" s="2060"/>
      <c r="KW1734" s="2060"/>
      <c r="KX1734" s="2060"/>
      <c r="KY1734" s="2060"/>
      <c r="KZ1734" s="2060"/>
      <c r="LA1734" s="2060"/>
      <c r="LB1734" s="2060"/>
      <c r="LC1734" s="2060"/>
      <c r="LD1734" s="2060"/>
      <c r="LE1734" s="2060"/>
      <c r="LF1734" s="2060"/>
      <c r="LG1734" s="2060"/>
      <c r="LH1734" s="2060"/>
    </row>
    <row r="1735" spans="1:320" s="449" customFormat="1" ht="13.9">
      <c r="A1735" s="269" t="str">
        <f t="shared" si="475"/>
        <v>n</v>
      </c>
      <c r="B1735" s="2060"/>
      <c r="C1735" s="2060"/>
      <c r="D1735" s="2060"/>
      <c r="E1735" s="1661">
        <v>3</v>
      </c>
      <c r="F1735" s="1353" t="str">
        <f>F$131</f>
        <v>--</v>
      </c>
      <c r="G1735" s="128">
        <f>G$131</f>
        <v>0</v>
      </c>
      <c r="H1735" s="128" t="str">
        <f>H$131</f>
        <v>--</v>
      </c>
      <c r="I1735" s="89" t="s">
        <v>793</v>
      </c>
      <c r="J1735" s="2197" t="str">
        <f>IF($G1735=0,"",IFERROR(_xll.ciqfunctions.udf.CIQ($G1735,$I1735,J$1557,Valuation_Date_GC,ReportType,DataMode,$H1735,FXMode),"n/a"))</f>
        <v/>
      </c>
      <c r="K1735" s="2197" t="str">
        <f>IF($G1735=0,"",IFERROR(_xll.ciqfunctions.udf.CIQ($G1735,$I1735,K$1557,Valuation_Date_GC,ReportType,DataMode,$H1735,FXMode),"n/a"))</f>
        <v/>
      </c>
      <c r="L1735" s="2197" t="str">
        <f>IF($G1735=0,"",IFERROR(_xll.ciqfunctions.udf.CIQ($G1735,$I1735,L$1557,Valuation_Date_GC,ReportType,DataMode,$H1735,FXMode),"n/a"))</f>
        <v/>
      </c>
      <c r="M1735" s="2197" t="str">
        <f>IF($G1735=0,"",IFERROR(_xll.ciqfunctions.udf.CIQ($G1735,$I1735,M$1557,Valuation_Date_GC,ReportType,DataMode,$H1735,FXMode),"n/a"))</f>
        <v/>
      </c>
      <c r="N1735" s="2197" t="str">
        <f>IF($G1735=0,"",IFERROR(_xll.ciqfunctions.udf.CIQ($G1735,$I1735,N$1557,Valuation_Date_GC,ReportType,DataMode,$H1735,FXMode),"n/a"))</f>
        <v/>
      </c>
      <c r="O1735" s="2197" t="str">
        <f>IF($G1735=0,"",IFERROR(_xll.ciqfunctions.udf.CIQ($G1735,$I1735,O$1557,Valuation_Date_GC,ReportType,DataMode,$H1735,FXMode),"n/a"))</f>
        <v/>
      </c>
      <c r="P1735" s="2197" t="str">
        <f>IF($G1735=0,"",IFERROR(_xll.ciqfunctions.udf.CIQ($G1735,$I1735,P$1557,Valuation_Date_GC,ReportType,DataMode,$H1735,FXMode),"n/a"))</f>
        <v/>
      </c>
      <c r="Q1735" s="2197" t="str">
        <f>IF($G1735=0,"",IFERROR(_xll.ciqfunctions.udf.CIQ($G1735,$I1735,Q$1557,Valuation_Date_GC,ReportType,DataMode,$H1735,FXMode),"n/a"))</f>
        <v/>
      </c>
      <c r="R1735" s="2197" t="str">
        <f>IF($G1735=0,"",IFERROR(_xll.ciqfunctions.udf.CIQ($G1735,$I1735,R$1557,Valuation_Date_GC,ReportType,DataMode,$H1735,FXMode),"n/a"))</f>
        <v/>
      </c>
      <c r="S1735" s="2197" t="str">
        <f>IF($G1735=0,"",IFERROR(_xll.ciqfunctions.udf.CIQ($G1735,$I1735,S$1557,Valuation_Date_GC,ReportType,DataMode,$H1735,FXMode),"n/a"))</f>
        <v/>
      </c>
      <c r="T1735" s="2197" t="str">
        <f>IF($G1735=0,"",IFERROR(_xll.ciqfunctions.udf.CIQ($G1735,$I1735,T$1557,Valuation_Date_GC,ReportType,DataMode,$H1735,FXMode),"n/a"))</f>
        <v/>
      </c>
      <c r="U1735" s="2197" t="str">
        <f>IF($G1735=0,"",IFERROR(_xll.ciqfunctions.udf.CIQ($G1735,$I1735,U$1557,Valuation_Date_GC,ReportType,DataMode,$H1735,FXMode),"n/a"))</f>
        <v/>
      </c>
      <c r="V1735" s="2197" t="str">
        <f>IF($G1735=0,"",IFERROR(_xll.ciqfunctions.udf.CIQ($G1735,$I1735,V$1557,Valuation_Date_GC,ReportType,DataMode,$H1735,FXMode),"n/a"))</f>
        <v/>
      </c>
      <c r="W1735" s="1479"/>
      <c r="X1735" s="255"/>
      <c r="Y1735" s="89"/>
      <c r="Z1735" s="2060"/>
      <c r="AA1735" s="2060"/>
      <c r="AB1735" s="2060"/>
      <c r="AC1735" s="2060"/>
      <c r="AD1735" s="2060"/>
      <c r="AE1735" s="2060"/>
      <c r="AF1735" s="2060"/>
      <c r="AG1735" s="2060"/>
      <c r="AH1735" s="2060"/>
      <c r="AI1735" s="2060"/>
      <c r="AJ1735" s="2060"/>
      <c r="AK1735" s="2060"/>
      <c r="AL1735" s="2060"/>
      <c r="AM1735" s="2060"/>
      <c r="AN1735" s="2060"/>
      <c r="AO1735" s="2060"/>
      <c r="AP1735" s="2060"/>
      <c r="AQ1735" s="2060"/>
      <c r="AR1735" s="2060"/>
      <c r="AS1735" s="2060"/>
      <c r="AT1735" s="2060"/>
      <c r="AU1735" s="2060"/>
      <c r="AV1735" s="2060"/>
      <c r="AW1735" s="2060"/>
      <c r="AX1735" s="2060"/>
      <c r="AY1735" s="2060"/>
      <c r="AZ1735" s="2060"/>
      <c r="BA1735" s="2060"/>
      <c r="BB1735" s="2060"/>
      <c r="BC1735" s="2060"/>
      <c r="BD1735" s="2060"/>
      <c r="BE1735" s="2060"/>
      <c r="BF1735" s="2060"/>
      <c r="BG1735" s="2060"/>
      <c r="BH1735" s="2060"/>
      <c r="BI1735" s="2060"/>
      <c r="BJ1735" s="2060"/>
      <c r="BK1735" s="2060"/>
      <c r="BL1735" s="2060"/>
      <c r="BM1735" s="2060"/>
      <c r="BN1735" s="2060"/>
      <c r="BO1735" s="2060"/>
      <c r="BP1735" s="2060"/>
      <c r="BQ1735" s="2060"/>
      <c r="BR1735" s="2060"/>
      <c r="BS1735" s="2060"/>
      <c r="BT1735" s="2060"/>
      <c r="BU1735" s="2060"/>
      <c r="BV1735" s="2060"/>
      <c r="BW1735" s="2060"/>
      <c r="BX1735" s="2060"/>
      <c r="BY1735" s="2060"/>
      <c r="BZ1735" s="2060"/>
      <c r="CA1735" s="2060"/>
      <c r="CB1735" s="2060"/>
      <c r="CC1735" s="2060"/>
      <c r="CD1735" s="2060"/>
      <c r="CE1735" s="2060"/>
      <c r="CF1735" s="2060"/>
      <c r="CG1735" s="2060"/>
      <c r="CH1735" s="2060"/>
      <c r="CI1735" s="2060"/>
      <c r="CJ1735" s="2060"/>
      <c r="CK1735" s="2060"/>
      <c r="CL1735" s="2060"/>
      <c r="CM1735" s="2060"/>
      <c r="CN1735" s="2060"/>
      <c r="CO1735" s="2060"/>
      <c r="CP1735" s="2060"/>
      <c r="CQ1735" s="2060"/>
      <c r="CR1735" s="2060"/>
      <c r="CS1735" s="2060"/>
      <c r="CT1735" s="2060"/>
      <c r="CU1735" s="2060"/>
      <c r="CV1735" s="2060"/>
      <c r="CW1735" s="2060"/>
      <c r="CX1735" s="2060"/>
      <c r="CY1735" s="2060"/>
      <c r="CZ1735" s="2060"/>
      <c r="DA1735" s="2060"/>
      <c r="DB1735" s="2060"/>
      <c r="DC1735" s="2060"/>
      <c r="DD1735" s="2060"/>
      <c r="DE1735" s="2060"/>
      <c r="DF1735" s="2060"/>
      <c r="DG1735" s="2060"/>
      <c r="DH1735" s="2060"/>
      <c r="DI1735" s="2060"/>
      <c r="DJ1735" s="2060"/>
      <c r="DK1735" s="2060"/>
      <c r="DL1735" s="2060"/>
      <c r="DM1735" s="2060"/>
      <c r="DN1735" s="2060"/>
      <c r="DO1735" s="2060"/>
      <c r="DP1735" s="2060"/>
      <c r="DQ1735" s="2060"/>
      <c r="DR1735" s="2060"/>
      <c r="DS1735" s="2060"/>
      <c r="DT1735" s="2060"/>
      <c r="DU1735" s="2060"/>
      <c r="DV1735" s="2060"/>
      <c r="DW1735" s="2060"/>
      <c r="DX1735" s="2060"/>
      <c r="DY1735" s="2060"/>
      <c r="DZ1735" s="2060"/>
      <c r="EA1735" s="2060"/>
      <c r="EB1735" s="2060"/>
      <c r="EC1735" s="2060"/>
      <c r="ED1735" s="2060"/>
      <c r="EE1735" s="2060"/>
      <c r="EF1735" s="2060"/>
      <c r="EG1735" s="2060"/>
      <c r="EH1735" s="2060"/>
      <c r="EI1735" s="2060"/>
      <c r="EJ1735" s="2060"/>
      <c r="EK1735" s="2060"/>
      <c r="EL1735" s="2060"/>
      <c r="EM1735" s="2060"/>
      <c r="EN1735" s="2060"/>
      <c r="EO1735" s="2060"/>
      <c r="EP1735" s="2060"/>
      <c r="EQ1735" s="2060"/>
      <c r="ER1735" s="2060"/>
      <c r="ES1735" s="2060"/>
      <c r="ET1735" s="2060"/>
      <c r="EU1735" s="2060"/>
      <c r="EV1735" s="2060"/>
      <c r="EW1735" s="2060"/>
      <c r="EX1735" s="2060"/>
      <c r="EY1735" s="2060"/>
      <c r="EZ1735" s="2060"/>
      <c r="FA1735" s="2060"/>
      <c r="FB1735" s="2060"/>
      <c r="FC1735" s="2060"/>
      <c r="FD1735" s="2060"/>
      <c r="FE1735" s="2060"/>
      <c r="FF1735" s="2060"/>
      <c r="FG1735" s="2060"/>
      <c r="FH1735" s="2060"/>
      <c r="FI1735" s="2060"/>
      <c r="FJ1735" s="2060"/>
      <c r="FK1735" s="2060"/>
      <c r="FL1735" s="2060"/>
      <c r="FM1735" s="2060"/>
      <c r="FN1735" s="2060"/>
      <c r="FO1735" s="2060"/>
      <c r="FP1735" s="2060"/>
      <c r="FQ1735" s="2060"/>
      <c r="FR1735" s="2060"/>
      <c r="FS1735" s="2060"/>
      <c r="FT1735" s="2060"/>
      <c r="FU1735" s="2060"/>
      <c r="FV1735" s="2060"/>
      <c r="FW1735" s="2060"/>
      <c r="FX1735" s="2060"/>
      <c r="FY1735" s="2060"/>
      <c r="FZ1735" s="2060"/>
      <c r="GA1735" s="2060"/>
      <c r="GB1735" s="2060"/>
      <c r="GC1735" s="2060"/>
      <c r="GD1735" s="2060"/>
      <c r="GE1735" s="2060"/>
      <c r="GF1735" s="2060"/>
      <c r="GG1735" s="2060"/>
      <c r="GH1735" s="2060"/>
      <c r="GI1735" s="2060"/>
      <c r="GJ1735" s="2060"/>
      <c r="GK1735" s="2060"/>
      <c r="GL1735" s="2060"/>
      <c r="GM1735" s="2060"/>
      <c r="GN1735" s="2060"/>
      <c r="GO1735" s="2060"/>
      <c r="GP1735" s="2060"/>
      <c r="GQ1735" s="2060"/>
      <c r="GR1735" s="2060"/>
      <c r="GS1735" s="2060"/>
      <c r="GT1735" s="2060"/>
      <c r="GU1735" s="2060"/>
      <c r="GV1735" s="2060"/>
      <c r="GW1735" s="2060"/>
      <c r="GX1735" s="2060"/>
      <c r="GY1735" s="2060"/>
      <c r="GZ1735" s="2060"/>
      <c r="HA1735" s="2060"/>
      <c r="HB1735" s="2060"/>
      <c r="HC1735" s="2060"/>
      <c r="HD1735" s="2060"/>
      <c r="HE1735" s="2060"/>
      <c r="HF1735" s="2060"/>
      <c r="HG1735" s="2060"/>
      <c r="HH1735" s="2060"/>
      <c r="HI1735" s="2060"/>
      <c r="HJ1735" s="2060"/>
      <c r="HK1735" s="2060"/>
      <c r="HL1735" s="2060"/>
      <c r="HM1735" s="2060"/>
      <c r="HN1735" s="2060"/>
      <c r="HO1735" s="2060"/>
      <c r="HP1735" s="2060"/>
      <c r="HQ1735" s="2060"/>
      <c r="HR1735" s="2060"/>
      <c r="HS1735" s="2060"/>
      <c r="HT1735" s="2060"/>
      <c r="HU1735" s="2060"/>
      <c r="HV1735" s="2060"/>
      <c r="HW1735" s="2060"/>
      <c r="HX1735" s="2060"/>
      <c r="HY1735" s="2060"/>
      <c r="HZ1735" s="2060"/>
      <c r="IA1735" s="2060"/>
      <c r="IB1735" s="2060"/>
      <c r="IC1735" s="2060"/>
      <c r="ID1735" s="2060"/>
      <c r="IE1735" s="2060"/>
      <c r="IF1735" s="2060"/>
      <c r="IG1735" s="2060"/>
      <c r="IH1735" s="2060"/>
      <c r="II1735" s="2060"/>
      <c r="IJ1735" s="2060"/>
      <c r="IK1735" s="2060"/>
      <c r="IL1735" s="2060"/>
      <c r="IM1735" s="2060"/>
      <c r="IN1735" s="2060"/>
      <c r="IO1735" s="2060"/>
      <c r="IP1735" s="2060"/>
      <c r="IQ1735" s="2060"/>
      <c r="IR1735" s="2060"/>
      <c r="IS1735" s="2060"/>
      <c r="IT1735" s="2060"/>
      <c r="IU1735" s="2060"/>
      <c r="IV1735" s="2060"/>
      <c r="IW1735" s="2060"/>
      <c r="IX1735" s="2060"/>
      <c r="IY1735" s="2060"/>
      <c r="IZ1735" s="2060"/>
      <c r="JA1735" s="2060"/>
      <c r="JB1735" s="2060"/>
      <c r="JC1735" s="2060"/>
      <c r="JD1735" s="2060"/>
      <c r="JE1735" s="2060"/>
      <c r="JF1735" s="2060"/>
      <c r="JG1735" s="2060"/>
      <c r="JH1735" s="2060"/>
      <c r="JI1735" s="2060"/>
      <c r="JJ1735" s="2060"/>
      <c r="JK1735" s="2060"/>
      <c r="JL1735" s="2060"/>
      <c r="JM1735" s="2060"/>
      <c r="JN1735" s="2060"/>
      <c r="JO1735" s="2060"/>
      <c r="JP1735" s="2060"/>
      <c r="JQ1735" s="2060"/>
      <c r="JR1735" s="2060"/>
      <c r="JS1735" s="2060"/>
      <c r="JT1735" s="2060"/>
      <c r="JU1735" s="2060"/>
      <c r="JV1735" s="2060"/>
      <c r="JW1735" s="2060"/>
      <c r="JX1735" s="2060"/>
      <c r="JY1735" s="2060"/>
      <c r="JZ1735" s="2060"/>
      <c r="KA1735" s="2060"/>
      <c r="KB1735" s="2060"/>
      <c r="KC1735" s="2060"/>
      <c r="KD1735" s="2060"/>
      <c r="KE1735" s="2060"/>
      <c r="KF1735" s="2060"/>
      <c r="KG1735" s="2060"/>
      <c r="KH1735" s="2060"/>
      <c r="KI1735" s="2060"/>
      <c r="KJ1735" s="2060"/>
      <c r="KK1735" s="2060"/>
      <c r="KL1735" s="2060"/>
      <c r="KM1735" s="2060"/>
      <c r="KN1735" s="2060"/>
      <c r="KO1735" s="2060"/>
      <c r="KP1735" s="2060"/>
      <c r="KQ1735" s="2060"/>
      <c r="KR1735" s="2060"/>
      <c r="KS1735" s="2060"/>
      <c r="KT1735" s="2060"/>
      <c r="KU1735" s="2060"/>
      <c r="KV1735" s="2060"/>
      <c r="KW1735" s="2060"/>
      <c r="KX1735" s="2060"/>
      <c r="KY1735" s="2060"/>
      <c r="KZ1735" s="2060"/>
      <c r="LA1735" s="2060"/>
      <c r="LB1735" s="2060"/>
      <c r="LC1735" s="2060"/>
      <c r="LD1735" s="2060"/>
      <c r="LE1735" s="2060"/>
      <c r="LF1735" s="2060"/>
      <c r="LG1735" s="2060"/>
      <c r="LH1735" s="2060"/>
    </row>
    <row r="1736" spans="1:320" s="449" customFormat="1" ht="13.9">
      <c r="A1736" s="269" t="str">
        <f t="shared" si="475"/>
        <v>n</v>
      </c>
      <c r="B1736" s="2060"/>
      <c r="C1736" s="2060"/>
      <c r="D1736" s="2060"/>
      <c r="E1736" s="1661">
        <v>4</v>
      </c>
      <c r="F1736" s="1353" t="str">
        <f>F$132</f>
        <v>--</v>
      </c>
      <c r="G1736" s="128">
        <f>G$132</f>
        <v>0</v>
      </c>
      <c r="H1736" s="128" t="str">
        <f>H$132</f>
        <v>--</v>
      </c>
      <c r="I1736" s="89" t="s">
        <v>793</v>
      </c>
      <c r="J1736" s="2197" t="str">
        <f>IF($G1736=0,"",IFERROR(_xll.ciqfunctions.udf.CIQ($G1736,$I1736,J$1557,Valuation_Date_GC,ReportType,DataMode,$H1736,FXMode),"n/a"))</f>
        <v/>
      </c>
      <c r="K1736" s="2197" t="str">
        <f>IF($G1736=0,"",IFERROR(_xll.ciqfunctions.udf.CIQ($G1736,$I1736,K$1557,Valuation_Date_GC,ReportType,DataMode,$H1736,FXMode),"n/a"))</f>
        <v/>
      </c>
      <c r="L1736" s="2197" t="str">
        <f>IF($G1736=0,"",IFERROR(_xll.ciqfunctions.udf.CIQ($G1736,$I1736,L$1557,Valuation_Date_GC,ReportType,DataMode,$H1736,FXMode),"n/a"))</f>
        <v/>
      </c>
      <c r="M1736" s="2197" t="str">
        <f>IF($G1736=0,"",IFERROR(_xll.ciqfunctions.udf.CIQ($G1736,$I1736,M$1557,Valuation_Date_GC,ReportType,DataMode,$H1736,FXMode),"n/a"))</f>
        <v/>
      </c>
      <c r="N1736" s="2197" t="str">
        <f>IF($G1736=0,"",IFERROR(_xll.ciqfunctions.udf.CIQ($G1736,$I1736,N$1557,Valuation_Date_GC,ReportType,DataMode,$H1736,FXMode),"n/a"))</f>
        <v/>
      </c>
      <c r="O1736" s="2197" t="str">
        <f>IF($G1736=0,"",IFERROR(_xll.ciqfunctions.udf.CIQ($G1736,$I1736,O$1557,Valuation_Date_GC,ReportType,DataMode,$H1736,FXMode),"n/a"))</f>
        <v/>
      </c>
      <c r="P1736" s="2197" t="str">
        <f>IF($G1736=0,"",IFERROR(_xll.ciqfunctions.udf.CIQ($G1736,$I1736,P$1557,Valuation_Date_GC,ReportType,DataMode,$H1736,FXMode),"n/a"))</f>
        <v/>
      </c>
      <c r="Q1736" s="2197" t="str">
        <f>IF($G1736=0,"",IFERROR(_xll.ciqfunctions.udf.CIQ($G1736,$I1736,Q$1557,Valuation_Date_GC,ReportType,DataMode,$H1736,FXMode),"n/a"))</f>
        <v/>
      </c>
      <c r="R1736" s="2197" t="str">
        <f>IF($G1736=0,"",IFERROR(_xll.ciqfunctions.udf.CIQ($G1736,$I1736,R$1557,Valuation_Date_GC,ReportType,DataMode,$H1736,FXMode),"n/a"))</f>
        <v/>
      </c>
      <c r="S1736" s="2197" t="str">
        <f>IF($G1736=0,"",IFERROR(_xll.ciqfunctions.udf.CIQ($G1736,$I1736,S$1557,Valuation_Date_GC,ReportType,DataMode,$H1736,FXMode),"n/a"))</f>
        <v/>
      </c>
      <c r="T1736" s="2197" t="str">
        <f>IF($G1736=0,"",IFERROR(_xll.ciqfunctions.udf.CIQ($G1736,$I1736,T$1557,Valuation_Date_GC,ReportType,DataMode,$H1736,FXMode),"n/a"))</f>
        <v/>
      </c>
      <c r="U1736" s="2197" t="str">
        <f>IF($G1736=0,"",IFERROR(_xll.ciqfunctions.udf.CIQ($G1736,$I1736,U$1557,Valuation_Date_GC,ReportType,DataMode,$H1736,FXMode),"n/a"))</f>
        <v/>
      </c>
      <c r="V1736" s="2197" t="str">
        <f>IF($G1736=0,"",IFERROR(_xll.ciqfunctions.udf.CIQ($G1736,$I1736,V$1557,Valuation_Date_GC,ReportType,DataMode,$H1736,FXMode),"n/a"))</f>
        <v/>
      </c>
      <c r="W1736" s="1479"/>
      <c r="X1736" s="255"/>
      <c r="Y1736" s="89"/>
      <c r="Z1736" s="2060"/>
      <c r="AA1736" s="2060"/>
      <c r="AB1736" s="2060"/>
      <c r="AC1736" s="2060"/>
      <c r="AD1736" s="2060"/>
      <c r="AE1736" s="2060"/>
      <c r="AF1736" s="2060"/>
      <c r="AG1736" s="2060"/>
      <c r="AH1736" s="2060"/>
      <c r="AI1736" s="2060"/>
      <c r="AJ1736" s="2060"/>
      <c r="AK1736" s="2060"/>
      <c r="AL1736" s="2060"/>
      <c r="AM1736" s="2060"/>
      <c r="AN1736" s="2060"/>
      <c r="AO1736" s="2060"/>
      <c r="AP1736" s="2060"/>
      <c r="AQ1736" s="2060"/>
      <c r="AR1736" s="2060"/>
      <c r="AS1736" s="2060"/>
      <c r="AT1736" s="2060"/>
      <c r="AU1736" s="2060"/>
      <c r="AV1736" s="2060"/>
      <c r="AW1736" s="2060"/>
      <c r="AX1736" s="2060"/>
      <c r="AY1736" s="2060"/>
      <c r="AZ1736" s="2060"/>
      <c r="BA1736" s="2060"/>
      <c r="BB1736" s="2060"/>
      <c r="BC1736" s="2060"/>
      <c r="BD1736" s="2060"/>
      <c r="BE1736" s="2060"/>
      <c r="BF1736" s="2060"/>
      <c r="BG1736" s="2060"/>
      <c r="BH1736" s="2060"/>
      <c r="BI1736" s="2060"/>
      <c r="BJ1736" s="2060"/>
      <c r="BK1736" s="2060"/>
      <c r="BL1736" s="2060"/>
      <c r="BM1736" s="2060"/>
      <c r="BN1736" s="2060"/>
      <c r="BO1736" s="2060"/>
      <c r="BP1736" s="2060"/>
      <c r="BQ1736" s="2060"/>
      <c r="BR1736" s="2060"/>
      <c r="BS1736" s="2060"/>
      <c r="BT1736" s="2060"/>
      <c r="BU1736" s="2060"/>
      <c r="BV1736" s="2060"/>
      <c r="BW1736" s="2060"/>
      <c r="BX1736" s="2060"/>
      <c r="BY1736" s="2060"/>
      <c r="BZ1736" s="2060"/>
      <c r="CA1736" s="2060"/>
      <c r="CB1736" s="2060"/>
      <c r="CC1736" s="2060"/>
      <c r="CD1736" s="2060"/>
      <c r="CE1736" s="2060"/>
      <c r="CF1736" s="2060"/>
      <c r="CG1736" s="2060"/>
      <c r="CH1736" s="2060"/>
      <c r="CI1736" s="2060"/>
      <c r="CJ1736" s="2060"/>
      <c r="CK1736" s="2060"/>
      <c r="CL1736" s="2060"/>
      <c r="CM1736" s="2060"/>
      <c r="CN1736" s="2060"/>
      <c r="CO1736" s="2060"/>
      <c r="CP1736" s="2060"/>
      <c r="CQ1736" s="2060"/>
      <c r="CR1736" s="2060"/>
      <c r="CS1736" s="2060"/>
      <c r="CT1736" s="2060"/>
      <c r="CU1736" s="2060"/>
      <c r="CV1736" s="2060"/>
      <c r="CW1736" s="2060"/>
      <c r="CX1736" s="2060"/>
      <c r="CY1736" s="2060"/>
      <c r="CZ1736" s="2060"/>
      <c r="DA1736" s="2060"/>
      <c r="DB1736" s="2060"/>
      <c r="DC1736" s="2060"/>
      <c r="DD1736" s="2060"/>
      <c r="DE1736" s="2060"/>
      <c r="DF1736" s="2060"/>
      <c r="DG1736" s="2060"/>
      <c r="DH1736" s="2060"/>
      <c r="DI1736" s="2060"/>
      <c r="DJ1736" s="2060"/>
      <c r="DK1736" s="2060"/>
      <c r="DL1736" s="2060"/>
      <c r="DM1736" s="2060"/>
      <c r="DN1736" s="2060"/>
      <c r="DO1736" s="2060"/>
      <c r="DP1736" s="2060"/>
      <c r="DQ1736" s="2060"/>
      <c r="DR1736" s="2060"/>
      <c r="DS1736" s="2060"/>
      <c r="DT1736" s="2060"/>
      <c r="DU1736" s="2060"/>
      <c r="DV1736" s="2060"/>
      <c r="DW1736" s="2060"/>
      <c r="DX1736" s="2060"/>
      <c r="DY1736" s="2060"/>
      <c r="DZ1736" s="2060"/>
      <c r="EA1736" s="2060"/>
      <c r="EB1736" s="2060"/>
      <c r="EC1736" s="2060"/>
      <c r="ED1736" s="2060"/>
      <c r="EE1736" s="2060"/>
      <c r="EF1736" s="2060"/>
      <c r="EG1736" s="2060"/>
      <c r="EH1736" s="2060"/>
      <c r="EI1736" s="2060"/>
      <c r="EJ1736" s="2060"/>
      <c r="EK1736" s="2060"/>
      <c r="EL1736" s="2060"/>
      <c r="EM1736" s="2060"/>
      <c r="EN1736" s="2060"/>
      <c r="EO1736" s="2060"/>
      <c r="EP1736" s="2060"/>
      <c r="EQ1736" s="2060"/>
      <c r="ER1736" s="2060"/>
      <c r="ES1736" s="2060"/>
      <c r="ET1736" s="2060"/>
      <c r="EU1736" s="2060"/>
      <c r="EV1736" s="2060"/>
      <c r="EW1736" s="2060"/>
      <c r="EX1736" s="2060"/>
      <c r="EY1736" s="2060"/>
      <c r="EZ1736" s="2060"/>
      <c r="FA1736" s="2060"/>
      <c r="FB1736" s="2060"/>
      <c r="FC1736" s="2060"/>
      <c r="FD1736" s="2060"/>
      <c r="FE1736" s="2060"/>
      <c r="FF1736" s="2060"/>
      <c r="FG1736" s="2060"/>
      <c r="FH1736" s="2060"/>
      <c r="FI1736" s="2060"/>
      <c r="FJ1736" s="2060"/>
      <c r="FK1736" s="2060"/>
      <c r="FL1736" s="2060"/>
      <c r="FM1736" s="2060"/>
      <c r="FN1736" s="2060"/>
      <c r="FO1736" s="2060"/>
      <c r="FP1736" s="2060"/>
      <c r="FQ1736" s="2060"/>
      <c r="FR1736" s="2060"/>
      <c r="FS1736" s="2060"/>
      <c r="FT1736" s="2060"/>
      <c r="FU1736" s="2060"/>
      <c r="FV1736" s="2060"/>
      <c r="FW1736" s="2060"/>
      <c r="FX1736" s="2060"/>
      <c r="FY1736" s="2060"/>
      <c r="FZ1736" s="2060"/>
      <c r="GA1736" s="2060"/>
      <c r="GB1736" s="2060"/>
      <c r="GC1736" s="2060"/>
      <c r="GD1736" s="2060"/>
      <c r="GE1736" s="2060"/>
      <c r="GF1736" s="2060"/>
      <c r="GG1736" s="2060"/>
      <c r="GH1736" s="2060"/>
      <c r="GI1736" s="2060"/>
      <c r="GJ1736" s="2060"/>
      <c r="GK1736" s="2060"/>
      <c r="GL1736" s="2060"/>
      <c r="GM1736" s="2060"/>
      <c r="GN1736" s="2060"/>
      <c r="GO1736" s="2060"/>
      <c r="GP1736" s="2060"/>
      <c r="GQ1736" s="2060"/>
      <c r="GR1736" s="2060"/>
      <c r="GS1736" s="2060"/>
      <c r="GT1736" s="2060"/>
      <c r="GU1736" s="2060"/>
      <c r="GV1736" s="2060"/>
      <c r="GW1736" s="2060"/>
      <c r="GX1736" s="2060"/>
      <c r="GY1736" s="2060"/>
      <c r="GZ1736" s="2060"/>
      <c r="HA1736" s="2060"/>
      <c r="HB1736" s="2060"/>
      <c r="HC1736" s="2060"/>
      <c r="HD1736" s="2060"/>
      <c r="HE1736" s="2060"/>
      <c r="HF1736" s="2060"/>
      <c r="HG1736" s="2060"/>
      <c r="HH1736" s="2060"/>
      <c r="HI1736" s="2060"/>
      <c r="HJ1736" s="2060"/>
      <c r="HK1736" s="2060"/>
      <c r="HL1736" s="2060"/>
      <c r="HM1736" s="2060"/>
      <c r="HN1736" s="2060"/>
      <c r="HO1736" s="2060"/>
      <c r="HP1736" s="2060"/>
      <c r="HQ1736" s="2060"/>
      <c r="HR1736" s="2060"/>
      <c r="HS1736" s="2060"/>
      <c r="HT1736" s="2060"/>
      <c r="HU1736" s="2060"/>
      <c r="HV1736" s="2060"/>
      <c r="HW1736" s="2060"/>
      <c r="HX1736" s="2060"/>
      <c r="HY1736" s="2060"/>
      <c r="HZ1736" s="2060"/>
      <c r="IA1736" s="2060"/>
      <c r="IB1736" s="2060"/>
      <c r="IC1736" s="2060"/>
      <c r="ID1736" s="2060"/>
      <c r="IE1736" s="2060"/>
      <c r="IF1736" s="2060"/>
      <c r="IG1736" s="2060"/>
      <c r="IH1736" s="2060"/>
      <c r="II1736" s="2060"/>
      <c r="IJ1736" s="2060"/>
      <c r="IK1736" s="2060"/>
      <c r="IL1736" s="2060"/>
      <c r="IM1736" s="2060"/>
      <c r="IN1736" s="2060"/>
      <c r="IO1736" s="2060"/>
      <c r="IP1736" s="2060"/>
      <c r="IQ1736" s="2060"/>
      <c r="IR1736" s="2060"/>
      <c r="IS1736" s="2060"/>
      <c r="IT1736" s="2060"/>
      <c r="IU1736" s="2060"/>
      <c r="IV1736" s="2060"/>
      <c r="IW1736" s="2060"/>
      <c r="IX1736" s="2060"/>
      <c r="IY1736" s="2060"/>
      <c r="IZ1736" s="2060"/>
      <c r="JA1736" s="2060"/>
      <c r="JB1736" s="2060"/>
      <c r="JC1736" s="2060"/>
      <c r="JD1736" s="2060"/>
      <c r="JE1736" s="2060"/>
      <c r="JF1736" s="2060"/>
      <c r="JG1736" s="2060"/>
      <c r="JH1736" s="2060"/>
      <c r="JI1736" s="2060"/>
      <c r="JJ1736" s="2060"/>
      <c r="JK1736" s="2060"/>
      <c r="JL1736" s="2060"/>
      <c r="JM1736" s="2060"/>
      <c r="JN1736" s="2060"/>
      <c r="JO1736" s="2060"/>
      <c r="JP1736" s="2060"/>
      <c r="JQ1736" s="2060"/>
      <c r="JR1736" s="2060"/>
      <c r="JS1736" s="2060"/>
      <c r="JT1736" s="2060"/>
      <c r="JU1736" s="2060"/>
      <c r="JV1736" s="2060"/>
      <c r="JW1736" s="2060"/>
      <c r="JX1736" s="2060"/>
      <c r="JY1736" s="2060"/>
      <c r="JZ1736" s="2060"/>
      <c r="KA1736" s="2060"/>
      <c r="KB1736" s="2060"/>
      <c r="KC1736" s="2060"/>
      <c r="KD1736" s="2060"/>
      <c r="KE1736" s="2060"/>
      <c r="KF1736" s="2060"/>
      <c r="KG1736" s="2060"/>
      <c r="KH1736" s="2060"/>
      <c r="KI1736" s="2060"/>
      <c r="KJ1736" s="2060"/>
      <c r="KK1736" s="2060"/>
      <c r="KL1736" s="2060"/>
      <c r="KM1736" s="2060"/>
      <c r="KN1736" s="2060"/>
      <c r="KO1736" s="2060"/>
      <c r="KP1736" s="2060"/>
      <c r="KQ1736" s="2060"/>
      <c r="KR1736" s="2060"/>
      <c r="KS1736" s="2060"/>
      <c r="KT1736" s="2060"/>
      <c r="KU1736" s="2060"/>
      <c r="KV1736" s="2060"/>
      <c r="KW1736" s="2060"/>
      <c r="KX1736" s="2060"/>
      <c r="KY1736" s="2060"/>
      <c r="KZ1736" s="2060"/>
      <c r="LA1736" s="2060"/>
      <c r="LB1736" s="2060"/>
      <c r="LC1736" s="2060"/>
      <c r="LD1736" s="2060"/>
      <c r="LE1736" s="2060"/>
      <c r="LF1736" s="2060"/>
      <c r="LG1736" s="2060"/>
      <c r="LH1736" s="2060"/>
    </row>
    <row r="1737" spans="1:320" s="449" customFormat="1" ht="13.9">
      <c r="A1737" s="269" t="str">
        <f t="shared" si="475"/>
        <v>n</v>
      </c>
      <c r="B1737" s="2060"/>
      <c r="C1737" s="2060"/>
      <c r="D1737" s="2060"/>
      <c r="E1737" s="1661">
        <v>5</v>
      </c>
      <c r="F1737" s="1353" t="str">
        <f>F$133</f>
        <v>--</v>
      </c>
      <c r="G1737" s="128">
        <f>G$133</f>
        <v>0</v>
      </c>
      <c r="H1737" s="128" t="str">
        <f>H$133</f>
        <v>--</v>
      </c>
      <c r="I1737" s="89" t="s">
        <v>793</v>
      </c>
      <c r="J1737" s="2197" t="str">
        <f>IF($G1737=0,"",IFERROR(_xll.ciqfunctions.udf.CIQ($G1737,$I1737,J$1557,Valuation_Date_GC,ReportType,DataMode,$H1737,FXMode),"n/a"))</f>
        <v/>
      </c>
      <c r="K1737" s="2197" t="str">
        <f>IF($G1737=0,"",IFERROR(_xll.ciqfunctions.udf.CIQ($G1737,$I1737,K$1557,Valuation_Date_GC,ReportType,DataMode,$H1737,FXMode),"n/a"))</f>
        <v/>
      </c>
      <c r="L1737" s="2197" t="str">
        <f>IF($G1737=0,"",IFERROR(_xll.ciqfunctions.udf.CIQ($G1737,$I1737,L$1557,Valuation_Date_GC,ReportType,DataMode,$H1737,FXMode),"n/a"))</f>
        <v/>
      </c>
      <c r="M1737" s="2197" t="str">
        <f>IF($G1737=0,"",IFERROR(_xll.ciqfunctions.udf.CIQ($G1737,$I1737,M$1557,Valuation_Date_GC,ReportType,DataMode,$H1737,FXMode),"n/a"))</f>
        <v/>
      </c>
      <c r="N1737" s="2197" t="str">
        <f>IF($G1737=0,"",IFERROR(_xll.ciqfunctions.udf.CIQ($G1737,$I1737,N$1557,Valuation_Date_GC,ReportType,DataMode,$H1737,FXMode),"n/a"))</f>
        <v/>
      </c>
      <c r="O1737" s="2197" t="str">
        <f>IF($G1737=0,"",IFERROR(_xll.ciqfunctions.udf.CIQ($G1737,$I1737,O$1557,Valuation_Date_GC,ReportType,DataMode,$H1737,FXMode),"n/a"))</f>
        <v/>
      </c>
      <c r="P1737" s="2197" t="str">
        <f>IF($G1737=0,"",IFERROR(_xll.ciqfunctions.udf.CIQ($G1737,$I1737,P$1557,Valuation_Date_GC,ReportType,DataMode,$H1737,FXMode),"n/a"))</f>
        <v/>
      </c>
      <c r="Q1737" s="2197" t="str">
        <f>IF($G1737=0,"",IFERROR(_xll.ciqfunctions.udf.CIQ($G1737,$I1737,Q$1557,Valuation_Date_GC,ReportType,DataMode,$H1737,FXMode),"n/a"))</f>
        <v/>
      </c>
      <c r="R1737" s="2197" t="str">
        <f>IF($G1737=0,"",IFERROR(_xll.ciqfunctions.udf.CIQ($G1737,$I1737,R$1557,Valuation_Date_GC,ReportType,DataMode,$H1737,FXMode),"n/a"))</f>
        <v/>
      </c>
      <c r="S1737" s="2197" t="str">
        <f>IF($G1737=0,"",IFERROR(_xll.ciqfunctions.udf.CIQ($G1737,$I1737,S$1557,Valuation_Date_GC,ReportType,DataMode,$H1737,FXMode),"n/a"))</f>
        <v/>
      </c>
      <c r="T1737" s="2197" t="str">
        <f>IF($G1737=0,"",IFERROR(_xll.ciqfunctions.udf.CIQ($G1737,$I1737,T$1557,Valuation_Date_GC,ReportType,DataMode,$H1737,FXMode),"n/a"))</f>
        <v/>
      </c>
      <c r="U1737" s="2197" t="str">
        <f>IF($G1737=0,"",IFERROR(_xll.ciqfunctions.udf.CIQ($G1737,$I1737,U$1557,Valuation_Date_GC,ReportType,DataMode,$H1737,FXMode),"n/a"))</f>
        <v/>
      </c>
      <c r="V1737" s="2197" t="str">
        <f>IF($G1737=0,"",IFERROR(_xll.ciqfunctions.udf.CIQ($G1737,$I1737,V$1557,Valuation_Date_GC,ReportType,DataMode,$H1737,FXMode),"n/a"))</f>
        <v/>
      </c>
      <c r="W1737" s="1479"/>
      <c r="X1737" s="255"/>
      <c r="Y1737" s="89"/>
      <c r="Z1737" s="2060"/>
      <c r="AA1737" s="2060"/>
      <c r="AB1737" s="2060"/>
      <c r="AC1737" s="2060"/>
      <c r="AD1737" s="2060"/>
      <c r="AE1737" s="2060"/>
      <c r="AF1737" s="2060"/>
      <c r="AG1737" s="2060"/>
      <c r="AH1737" s="2060"/>
      <c r="AI1737" s="2060"/>
      <c r="AJ1737" s="2060"/>
      <c r="AK1737" s="2060"/>
      <c r="AL1737" s="2060"/>
      <c r="AM1737" s="2060"/>
      <c r="AN1737" s="2060"/>
      <c r="AO1737" s="2060"/>
      <c r="AP1737" s="2060"/>
      <c r="AQ1737" s="2060"/>
      <c r="AR1737" s="2060"/>
      <c r="AS1737" s="2060"/>
      <c r="AT1737" s="2060"/>
      <c r="AU1737" s="2060"/>
      <c r="AV1737" s="2060"/>
      <c r="AW1737" s="2060"/>
      <c r="AX1737" s="2060"/>
      <c r="AY1737" s="2060"/>
      <c r="AZ1737" s="2060"/>
      <c r="BA1737" s="2060"/>
      <c r="BB1737" s="2060"/>
      <c r="BC1737" s="2060"/>
      <c r="BD1737" s="2060"/>
      <c r="BE1737" s="2060"/>
      <c r="BF1737" s="2060"/>
      <c r="BG1737" s="2060"/>
      <c r="BH1737" s="2060"/>
      <c r="BI1737" s="2060"/>
      <c r="BJ1737" s="2060"/>
      <c r="BK1737" s="2060"/>
      <c r="BL1737" s="2060"/>
      <c r="BM1737" s="2060"/>
      <c r="BN1737" s="2060"/>
      <c r="BO1737" s="2060"/>
      <c r="BP1737" s="2060"/>
      <c r="BQ1737" s="2060"/>
      <c r="BR1737" s="2060"/>
      <c r="BS1737" s="2060"/>
      <c r="BT1737" s="2060"/>
      <c r="BU1737" s="2060"/>
      <c r="BV1737" s="2060"/>
      <c r="BW1737" s="2060"/>
      <c r="BX1737" s="2060"/>
      <c r="BY1737" s="2060"/>
      <c r="BZ1737" s="2060"/>
      <c r="CA1737" s="2060"/>
      <c r="CB1737" s="2060"/>
      <c r="CC1737" s="2060"/>
      <c r="CD1737" s="2060"/>
      <c r="CE1737" s="2060"/>
      <c r="CF1737" s="2060"/>
      <c r="CG1737" s="2060"/>
      <c r="CH1737" s="2060"/>
      <c r="CI1737" s="2060"/>
      <c r="CJ1737" s="2060"/>
      <c r="CK1737" s="2060"/>
      <c r="CL1737" s="2060"/>
      <c r="CM1737" s="2060"/>
      <c r="CN1737" s="2060"/>
      <c r="CO1737" s="2060"/>
      <c r="CP1737" s="2060"/>
      <c r="CQ1737" s="2060"/>
      <c r="CR1737" s="2060"/>
      <c r="CS1737" s="2060"/>
      <c r="CT1737" s="2060"/>
      <c r="CU1737" s="2060"/>
      <c r="CV1737" s="2060"/>
      <c r="CW1737" s="2060"/>
      <c r="CX1737" s="2060"/>
      <c r="CY1737" s="2060"/>
      <c r="CZ1737" s="2060"/>
      <c r="DA1737" s="2060"/>
      <c r="DB1737" s="2060"/>
      <c r="DC1737" s="2060"/>
      <c r="DD1737" s="2060"/>
      <c r="DE1737" s="2060"/>
      <c r="DF1737" s="2060"/>
      <c r="DG1737" s="2060"/>
      <c r="DH1737" s="2060"/>
      <c r="DI1737" s="2060"/>
      <c r="DJ1737" s="2060"/>
      <c r="DK1737" s="2060"/>
      <c r="DL1737" s="2060"/>
      <c r="DM1737" s="2060"/>
      <c r="DN1737" s="2060"/>
      <c r="DO1737" s="2060"/>
      <c r="DP1737" s="2060"/>
      <c r="DQ1737" s="2060"/>
      <c r="DR1737" s="2060"/>
      <c r="DS1737" s="2060"/>
      <c r="DT1737" s="2060"/>
      <c r="DU1737" s="2060"/>
      <c r="DV1737" s="2060"/>
      <c r="DW1737" s="2060"/>
      <c r="DX1737" s="2060"/>
      <c r="DY1737" s="2060"/>
      <c r="DZ1737" s="2060"/>
      <c r="EA1737" s="2060"/>
      <c r="EB1737" s="2060"/>
      <c r="EC1737" s="2060"/>
      <c r="ED1737" s="2060"/>
      <c r="EE1737" s="2060"/>
      <c r="EF1737" s="2060"/>
      <c r="EG1737" s="2060"/>
      <c r="EH1737" s="2060"/>
      <c r="EI1737" s="2060"/>
      <c r="EJ1737" s="2060"/>
      <c r="EK1737" s="2060"/>
      <c r="EL1737" s="2060"/>
      <c r="EM1737" s="2060"/>
      <c r="EN1737" s="2060"/>
      <c r="EO1737" s="2060"/>
      <c r="EP1737" s="2060"/>
      <c r="EQ1737" s="2060"/>
      <c r="ER1737" s="2060"/>
      <c r="ES1737" s="2060"/>
      <c r="ET1737" s="2060"/>
      <c r="EU1737" s="2060"/>
      <c r="EV1737" s="2060"/>
      <c r="EW1737" s="2060"/>
      <c r="EX1737" s="2060"/>
      <c r="EY1737" s="2060"/>
      <c r="EZ1737" s="2060"/>
      <c r="FA1737" s="2060"/>
      <c r="FB1737" s="2060"/>
      <c r="FC1737" s="2060"/>
      <c r="FD1737" s="2060"/>
      <c r="FE1737" s="2060"/>
      <c r="FF1737" s="2060"/>
      <c r="FG1737" s="2060"/>
      <c r="FH1737" s="2060"/>
      <c r="FI1737" s="2060"/>
      <c r="FJ1737" s="2060"/>
      <c r="FK1737" s="2060"/>
      <c r="FL1737" s="2060"/>
      <c r="FM1737" s="2060"/>
      <c r="FN1737" s="2060"/>
      <c r="FO1737" s="2060"/>
      <c r="FP1737" s="2060"/>
      <c r="FQ1737" s="2060"/>
      <c r="FR1737" s="2060"/>
      <c r="FS1737" s="2060"/>
      <c r="FT1737" s="2060"/>
      <c r="FU1737" s="2060"/>
      <c r="FV1737" s="2060"/>
      <c r="FW1737" s="2060"/>
      <c r="FX1737" s="2060"/>
      <c r="FY1737" s="2060"/>
      <c r="FZ1737" s="2060"/>
      <c r="GA1737" s="2060"/>
      <c r="GB1737" s="2060"/>
      <c r="GC1737" s="2060"/>
      <c r="GD1737" s="2060"/>
      <c r="GE1737" s="2060"/>
      <c r="GF1737" s="2060"/>
      <c r="GG1737" s="2060"/>
      <c r="GH1737" s="2060"/>
      <c r="GI1737" s="2060"/>
      <c r="GJ1737" s="2060"/>
      <c r="GK1737" s="2060"/>
      <c r="GL1737" s="2060"/>
      <c r="GM1737" s="2060"/>
      <c r="GN1737" s="2060"/>
      <c r="GO1737" s="2060"/>
      <c r="GP1737" s="2060"/>
      <c r="GQ1737" s="2060"/>
      <c r="GR1737" s="2060"/>
      <c r="GS1737" s="2060"/>
      <c r="GT1737" s="2060"/>
      <c r="GU1737" s="2060"/>
      <c r="GV1737" s="2060"/>
      <c r="GW1737" s="2060"/>
      <c r="GX1737" s="2060"/>
      <c r="GY1737" s="2060"/>
      <c r="GZ1737" s="2060"/>
      <c r="HA1737" s="2060"/>
      <c r="HB1737" s="2060"/>
      <c r="HC1737" s="2060"/>
      <c r="HD1737" s="2060"/>
      <c r="HE1737" s="2060"/>
      <c r="HF1737" s="2060"/>
      <c r="HG1737" s="2060"/>
      <c r="HH1737" s="2060"/>
      <c r="HI1737" s="2060"/>
      <c r="HJ1737" s="2060"/>
      <c r="HK1737" s="2060"/>
      <c r="HL1737" s="2060"/>
      <c r="HM1737" s="2060"/>
      <c r="HN1737" s="2060"/>
      <c r="HO1737" s="2060"/>
      <c r="HP1737" s="2060"/>
      <c r="HQ1737" s="2060"/>
      <c r="HR1737" s="2060"/>
      <c r="HS1737" s="2060"/>
      <c r="HT1737" s="2060"/>
      <c r="HU1737" s="2060"/>
      <c r="HV1737" s="2060"/>
      <c r="HW1737" s="2060"/>
      <c r="HX1737" s="2060"/>
      <c r="HY1737" s="2060"/>
      <c r="HZ1737" s="2060"/>
      <c r="IA1737" s="2060"/>
      <c r="IB1737" s="2060"/>
      <c r="IC1737" s="2060"/>
      <c r="ID1737" s="2060"/>
      <c r="IE1737" s="2060"/>
      <c r="IF1737" s="2060"/>
      <c r="IG1737" s="2060"/>
      <c r="IH1737" s="2060"/>
      <c r="II1737" s="2060"/>
      <c r="IJ1737" s="2060"/>
      <c r="IK1737" s="2060"/>
      <c r="IL1737" s="2060"/>
      <c r="IM1737" s="2060"/>
      <c r="IN1737" s="2060"/>
      <c r="IO1737" s="2060"/>
      <c r="IP1737" s="2060"/>
      <c r="IQ1737" s="2060"/>
      <c r="IR1737" s="2060"/>
      <c r="IS1737" s="2060"/>
      <c r="IT1737" s="2060"/>
      <c r="IU1737" s="2060"/>
      <c r="IV1737" s="2060"/>
      <c r="IW1737" s="2060"/>
      <c r="IX1737" s="2060"/>
      <c r="IY1737" s="2060"/>
      <c r="IZ1737" s="2060"/>
      <c r="JA1737" s="2060"/>
      <c r="JB1737" s="2060"/>
      <c r="JC1737" s="2060"/>
      <c r="JD1737" s="2060"/>
      <c r="JE1737" s="2060"/>
      <c r="JF1737" s="2060"/>
      <c r="JG1737" s="2060"/>
      <c r="JH1737" s="2060"/>
      <c r="JI1737" s="2060"/>
      <c r="JJ1737" s="2060"/>
      <c r="JK1737" s="2060"/>
      <c r="JL1737" s="2060"/>
      <c r="JM1737" s="2060"/>
      <c r="JN1737" s="2060"/>
      <c r="JO1737" s="2060"/>
      <c r="JP1737" s="2060"/>
      <c r="JQ1737" s="2060"/>
      <c r="JR1737" s="2060"/>
      <c r="JS1737" s="2060"/>
      <c r="JT1737" s="2060"/>
      <c r="JU1737" s="2060"/>
      <c r="JV1737" s="2060"/>
      <c r="JW1737" s="2060"/>
      <c r="JX1737" s="2060"/>
      <c r="JY1737" s="2060"/>
      <c r="JZ1737" s="2060"/>
      <c r="KA1737" s="2060"/>
      <c r="KB1737" s="2060"/>
      <c r="KC1737" s="2060"/>
      <c r="KD1737" s="2060"/>
      <c r="KE1737" s="2060"/>
      <c r="KF1737" s="2060"/>
      <c r="KG1737" s="2060"/>
      <c r="KH1737" s="2060"/>
      <c r="KI1737" s="2060"/>
      <c r="KJ1737" s="2060"/>
      <c r="KK1737" s="2060"/>
      <c r="KL1737" s="2060"/>
      <c r="KM1737" s="2060"/>
      <c r="KN1737" s="2060"/>
      <c r="KO1737" s="2060"/>
      <c r="KP1737" s="2060"/>
      <c r="KQ1737" s="2060"/>
      <c r="KR1737" s="2060"/>
      <c r="KS1737" s="2060"/>
      <c r="KT1737" s="2060"/>
      <c r="KU1737" s="2060"/>
      <c r="KV1737" s="2060"/>
      <c r="KW1737" s="2060"/>
      <c r="KX1737" s="2060"/>
      <c r="KY1737" s="2060"/>
      <c r="KZ1737" s="2060"/>
      <c r="LA1737" s="2060"/>
      <c r="LB1737" s="2060"/>
      <c r="LC1737" s="2060"/>
      <c r="LD1737" s="2060"/>
      <c r="LE1737" s="2060"/>
      <c r="LF1737" s="2060"/>
      <c r="LG1737" s="2060"/>
      <c r="LH1737" s="2060"/>
    </row>
    <row r="1738" spans="1:320" s="449" customFormat="1" ht="13.9">
      <c r="A1738" s="269" t="str">
        <f t="shared" si="475"/>
        <v>n</v>
      </c>
      <c r="B1738" s="2060"/>
      <c r="C1738" s="2060"/>
      <c r="D1738" s="2060"/>
      <c r="E1738" s="1661">
        <v>6</v>
      </c>
      <c r="F1738" s="1353" t="str">
        <f>F$134</f>
        <v>--</v>
      </c>
      <c r="G1738" s="128">
        <f>G$134</f>
        <v>0</v>
      </c>
      <c r="H1738" s="128" t="str">
        <f>H$134</f>
        <v>--</v>
      </c>
      <c r="I1738" s="89" t="s">
        <v>793</v>
      </c>
      <c r="J1738" s="2197" t="str">
        <f>IF($G1738=0,"",IFERROR(_xll.ciqfunctions.udf.CIQ($G1738,$I1738,J$1557,Valuation_Date_GC,ReportType,DataMode,$H1738,FXMode),"n/a"))</f>
        <v/>
      </c>
      <c r="K1738" s="2197" t="str">
        <f>IF($G1738=0,"",IFERROR(_xll.ciqfunctions.udf.CIQ($G1738,$I1738,K$1557,Valuation_Date_GC,ReportType,DataMode,$H1738,FXMode),"n/a"))</f>
        <v/>
      </c>
      <c r="L1738" s="2197" t="str">
        <f>IF($G1738=0,"",IFERROR(_xll.ciqfunctions.udf.CIQ($G1738,$I1738,L$1557,Valuation_Date_GC,ReportType,DataMode,$H1738,FXMode),"n/a"))</f>
        <v/>
      </c>
      <c r="M1738" s="2197" t="str">
        <f>IF($G1738=0,"",IFERROR(_xll.ciqfunctions.udf.CIQ($G1738,$I1738,M$1557,Valuation_Date_GC,ReportType,DataMode,$H1738,FXMode),"n/a"))</f>
        <v/>
      </c>
      <c r="N1738" s="2197" t="str">
        <f>IF($G1738=0,"",IFERROR(_xll.ciqfunctions.udf.CIQ($G1738,$I1738,N$1557,Valuation_Date_GC,ReportType,DataMode,$H1738,FXMode),"n/a"))</f>
        <v/>
      </c>
      <c r="O1738" s="2197" t="str">
        <f>IF($G1738=0,"",IFERROR(_xll.ciqfunctions.udf.CIQ($G1738,$I1738,O$1557,Valuation_Date_GC,ReportType,DataMode,$H1738,FXMode),"n/a"))</f>
        <v/>
      </c>
      <c r="P1738" s="2197" t="str">
        <f>IF($G1738=0,"",IFERROR(_xll.ciqfunctions.udf.CIQ($G1738,$I1738,P$1557,Valuation_Date_GC,ReportType,DataMode,$H1738,FXMode),"n/a"))</f>
        <v/>
      </c>
      <c r="Q1738" s="2197" t="str">
        <f>IF($G1738=0,"",IFERROR(_xll.ciqfunctions.udf.CIQ($G1738,$I1738,Q$1557,Valuation_Date_GC,ReportType,DataMode,$H1738,FXMode),"n/a"))</f>
        <v/>
      </c>
      <c r="R1738" s="2197" t="str">
        <f>IF($G1738=0,"",IFERROR(_xll.ciqfunctions.udf.CIQ($G1738,$I1738,R$1557,Valuation_Date_GC,ReportType,DataMode,$H1738,FXMode),"n/a"))</f>
        <v/>
      </c>
      <c r="S1738" s="2197" t="str">
        <f>IF($G1738=0,"",IFERROR(_xll.ciqfunctions.udf.CIQ($G1738,$I1738,S$1557,Valuation_Date_GC,ReportType,DataMode,$H1738,FXMode),"n/a"))</f>
        <v/>
      </c>
      <c r="T1738" s="2197" t="str">
        <f>IF($G1738=0,"",IFERROR(_xll.ciqfunctions.udf.CIQ($G1738,$I1738,T$1557,Valuation_Date_GC,ReportType,DataMode,$H1738,FXMode),"n/a"))</f>
        <v/>
      </c>
      <c r="U1738" s="2197" t="str">
        <f>IF($G1738=0,"",IFERROR(_xll.ciqfunctions.udf.CIQ($G1738,$I1738,U$1557,Valuation_Date_GC,ReportType,DataMode,$H1738,FXMode),"n/a"))</f>
        <v/>
      </c>
      <c r="V1738" s="2197" t="str">
        <f>IF($G1738=0,"",IFERROR(_xll.ciqfunctions.udf.CIQ($G1738,$I1738,V$1557,Valuation_Date_GC,ReportType,DataMode,$H1738,FXMode),"n/a"))</f>
        <v/>
      </c>
      <c r="W1738" s="1479"/>
      <c r="X1738" s="255"/>
      <c r="Y1738" s="89"/>
      <c r="Z1738" s="2060"/>
      <c r="AA1738" s="2060"/>
      <c r="AB1738" s="2060"/>
      <c r="AC1738" s="2060"/>
      <c r="AD1738" s="2060"/>
      <c r="AE1738" s="2060"/>
      <c r="AF1738" s="2060"/>
      <c r="AG1738" s="2060"/>
      <c r="AH1738" s="2060"/>
      <c r="AI1738" s="2060"/>
      <c r="AJ1738" s="2060"/>
      <c r="AK1738" s="2060"/>
      <c r="AL1738" s="2060"/>
      <c r="AM1738" s="2060"/>
      <c r="AN1738" s="2060"/>
      <c r="AO1738" s="2060"/>
      <c r="AP1738" s="2060"/>
      <c r="AQ1738" s="2060"/>
      <c r="AR1738" s="2060"/>
      <c r="AS1738" s="2060"/>
      <c r="AT1738" s="2060"/>
      <c r="AU1738" s="2060"/>
      <c r="AV1738" s="2060"/>
      <c r="AW1738" s="2060"/>
      <c r="AX1738" s="2060"/>
      <c r="AY1738" s="2060"/>
      <c r="AZ1738" s="2060"/>
      <c r="BA1738" s="2060"/>
      <c r="BB1738" s="2060"/>
      <c r="BC1738" s="2060"/>
      <c r="BD1738" s="2060"/>
      <c r="BE1738" s="2060"/>
      <c r="BF1738" s="2060"/>
      <c r="BG1738" s="2060"/>
      <c r="BH1738" s="2060"/>
      <c r="BI1738" s="2060"/>
      <c r="BJ1738" s="2060"/>
      <c r="BK1738" s="2060"/>
      <c r="BL1738" s="2060"/>
      <c r="BM1738" s="2060"/>
      <c r="BN1738" s="2060"/>
      <c r="BO1738" s="2060"/>
      <c r="BP1738" s="2060"/>
      <c r="BQ1738" s="2060"/>
      <c r="BR1738" s="2060"/>
      <c r="BS1738" s="2060"/>
      <c r="BT1738" s="2060"/>
      <c r="BU1738" s="2060"/>
      <c r="BV1738" s="2060"/>
      <c r="BW1738" s="2060"/>
      <c r="BX1738" s="2060"/>
      <c r="BY1738" s="2060"/>
      <c r="BZ1738" s="2060"/>
      <c r="CA1738" s="2060"/>
      <c r="CB1738" s="2060"/>
      <c r="CC1738" s="2060"/>
      <c r="CD1738" s="2060"/>
      <c r="CE1738" s="2060"/>
      <c r="CF1738" s="2060"/>
      <c r="CG1738" s="2060"/>
      <c r="CH1738" s="2060"/>
      <c r="CI1738" s="2060"/>
      <c r="CJ1738" s="2060"/>
      <c r="CK1738" s="2060"/>
      <c r="CL1738" s="2060"/>
      <c r="CM1738" s="2060"/>
      <c r="CN1738" s="2060"/>
      <c r="CO1738" s="2060"/>
      <c r="CP1738" s="2060"/>
      <c r="CQ1738" s="2060"/>
      <c r="CR1738" s="2060"/>
      <c r="CS1738" s="2060"/>
      <c r="CT1738" s="2060"/>
      <c r="CU1738" s="2060"/>
      <c r="CV1738" s="2060"/>
      <c r="CW1738" s="2060"/>
      <c r="CX1738" s="2060"/>
      <c r="CY1738" s="2060"/>
      <c r="CZ1738" s="2060"/>
      <c r="DA1738" s="2060"/>
      <c r="DB1738" s="2060"/>
      <c r="DC1738" s="2060"/>
      <c r="DD1738" s="2060"/>
      <c r="DE1738" s="2060"/>
      <c r="DF1738" s="2060"/>
      <c r="DG1738" s="2060"/>
      <c r="DH1738" s="2060"/>
      <c r="DI1738" s="2060"/>
      <c r="DJ1738" s="2060"/>
      <c r="DK1738" s="2060"/>
      <c r="DL1738" s="2060"/>
      <c r="DM1738" s="2060"/>
      <c r="DN1738" s="2060"/>
      <c r="DO1738" s="2060"/>
      <c r="DP1738" s="2060"/>
      <c r="DQ1738" s="2060"/>
      <c r="DR1738" s="2060"/>
      <c r="DS1738" s="2060"/>
      <c r="DT1738" s="2060"/>
      <c r="DU1738" s="2060"/>
      <c r="DV1738" s="2060"/>
      <c r="DW1738" s="2060"/>
      <c r="DX1738" s="2060"/>
      <c r="DY1738" s="2060"/>
      <c r="DZ1738" s="2060"/>
      <c r="EA1738" s="2060"/>
      <c r="EB1738" s="2060"/>
      <c r="EC1738" s="2060"/>
      <c r="ED1738" s="2060"/>
      <c r="EE1738" s="2060"/>
      <c r="EF1738" s="2060"/>
      <c r="EG1738" s="2060"/>
      <c r="EH1738" s="2060"/>
      <c r="EI1738" s="2060"/>
      <c r="EJ1738" s="2060"/>
      <c r="EK1738" s="2060"/>
      <c r="EL1738" s="2060"/>
      <c r="EM1738" s="2060"/>
      <c r="EN1738" s="2060"/>
      <c r="EO1738" s="2060"/>
      <c r="EP1738" s="2060"/>
      <c r="EQ1738" s="2060"/>
      <c r="ER1738" s="2060"/>
      <c r="ES1738" s="2060"/>
      <c r="ET1738" s="2060"/>
      <c r="EU1738" s="2060"/>
      <c r="EV1738" s="2060"/>
      <c r="EW1738" s="2060"/>
      <c r="EX1738" s="2060"/>
      <c r="EY1738" s="2060"/>
      <c r="EZ1738" s="2060"/>
      <c r="FA1738" s="2060"/>
      <c r="FB1738" s="2060"/>
      <c r="FC1738" s="2060"/>
      <c r="FD1738" s="2060"/>
      <c r="FE1738" s="2060"/>
      <c r="FF1738" s="2060"/>
      <c r="FG1738" s="2060"/>
      <c r="FH1738" s="2060"/>
      <c r="FI1738" s="2060"/>
      <c r="FJ1738" s="2060"/>
      <c r="FK1738" s="2060"/>
      <c r="FL1738" s="2060"/>
      <c r="FM1738" s="2060"/>
      <c r="FN1738" s="2060"/>
      <c r="FO1738" s="2060"/>
      <c r="FP1738" s="2060"/>
      <c r="FQ1738" s="2060"/>
      <c r="FR1738" s="2060"/>
      <c r="FS1738" s="2060"/>
      <c r="FT1738" s="2060"/>
      <c r="FU1738" s="2060"/>
      <c r="FV1738" s="2060"/>
      <c r="FW1738" s="2060"/>
      <c r="FX1738" s="2060"/>
      <c r="FY1738" s="2060"/>
      <c r="FZ1738" s="2060"/>
      <c r="GA1738" s="2060"/>
      <c r="GB1738" s="2060"/>
      <c r="GC1738" s="2060"/>
      <c r="GD1738" s="2060"/>
      <c r="GE1738" s="2060"/>
      <c r="GF1738" s="2060"/>
      <c r="GG1738" s="2060"/>
      <c r="GH1738" s="2060"/>
      <c r="GI1738" s="2060"/>
      <c r="GJ1738" s="2060"/>
      <c r="GK1738" s="2060"/>
      <c r="GL1738" s="2060"/>
      <c r="GM1738" s="2060"/>
      <c r="GN1738" s="2060"/>
      <c r="GO1738" s="2060"/>
      <c r="GP1738" s="2060"/>
      <c r="GQ1738" s="2060"/>
      <c r="GR1738" s="2060"/>
      <c r="GS1738" s="2060"/>
      <c r="GT1738" s="2060"/>
      <c r="GU1738" s="2060"/>
      <c r="GV1738" s="2060"/>
      <c r="GW1738" s="2060"/>
      <c r="GX1738" s="2060"/>
      <c r="GY1738" s="2060"/>
      <c r="GZ1738" s="2060"/>
      <c r="HA1738" s="2060"/>
      <c r="HB1738" s="2060"/>
      <c r="HC1738" s="2060"/>
      <c r="HD1738" s="2060"/>
      <c r="HE1738" s="2060"/>
      <c r="HF1738" s="2060"/>
      <c r="HG1738" s="2060"/>
      <c r="HH1738" s="2060"/>
      <c r="HI1738" s="2060"/>
      <c r="HJ1738" s="2060"/>
      <c r="HK1738" s="2060"/>
      <c r="HL1738" s="2060"/>
      <c r="HM1738" s="2060"/>
      <c r="HN1738" s="2060"/>
      <c r="HO1738" s="2060"/>
      <c r="HP1738" s="2060"/>
      <c r="HQ1738" s="2060"/>
      <c r="HR1738" s="2060"/>
      <c r="HS1738" s="2060"/>
      <c r="HT1738" s="2060"/>
      <c r="HU1738" s="2060"/>
      <c r="HV1738" s="2060"/>
      <c r="HW1738" s="2060"/>
      <c r="HX1738" s="2060"/>
      <c r="HY1738" s="2060"/>
      <c r="HZ1738" s="2060"/>
      <c r="IA1738" s="2060"/>
      <c r="IB1738" s="2060"/>
      <c r="IC1738" s="2060"/>
      <c r="ID1738" s="2060"/>
      <c r="IE1738" s="2060"/>
      <c r="IF1738" s="2060"/>
      <c r="IG1738" s="2060"/>
      <c r="IH1738" s="2060"/>
      <c r="II1738" s="2060"/>
      <c r="IJ1738" s="2060"/>
      <c r="IK1738" s="2060"/>
      <c r="IL1738" s="2060"/>
      <c r="IM1738" s="2060"/>
      <c r="IN1738" s="2060"/>
      <c r="IO1738" s="2060"/>
      <c r="IP1738" s="2060"/>
      <c r="IQ1738" s="2060"/>
      <c r="IR1738" s="2060"/>
      <c r="IS1738" s="2060"/>
      <c r="IT1738" s="2060"/>
      <c r="IU1738" s="2060"/>
      <c r="IV1738" s="2060"/>
      <c r="IW1738" s="2060"/>
      <c r="IX1738" s="2060"/>
      <c r="IY1738" s="2060"/>
      <c r="IZ1738" s="2060"/>
      <c r="JA1738" s="2060"/>
      <c r="JB1738" s="2060"/>
      <c r="JC1738" s="2060"/>
      <c r="JD1738" s="2060"/>
      <c r="JE1738" s="2060"/>
      <c r="JF1738" s="2060"/>
      <c r="JG1738" s="2060"/>
      <c r="JH1738" s="2060"/>
      <c r="JI1738" s="2060"/>
      <c r="JJ1738" s="2060"/>
      <c r="JK1738" s="2060"/>
      <c r="JL1738" s="2060"/>
      <c r="JM1738" s="2060"/>
      <c r="JN1738" s="2060"/>
      <c r="JO1738" s="2060"/>
      <c r="JP1738" s="2060"/>
      <c r="JQ1738" s="2060"/>
      <c r="JR1738" s="2060"/>
      <c r="JS1738" s="2060"/>
      <c r="JT1738" s="2060"/>
      <c r="JU1738" s="2060"/>
      <c r="JV1738" s="2060"/>
      <c r="JW1738" s="2060"/>
      <c r="JX1738" s="2060"/>
      <c r="JY1738" s="2060"/>
      <c r="JZ1738" s="2060"/>
      <c r="KA1738" s="2060"/>
      <c r="KB1738" s="2060"/>
      <c r="KC1738" s="2060"/>
      <c r="KD1738" s="2060"/>
      <c r="KE1738" s="2060"/>
      <c r="KF1738" s="2060"/>
      <c r="KG1738" s="2060"/>
      <c r="KH1738" s="2060"/>
      <c r="KI1738" s="2060"/>
      <c r="KJ1738" s="2060"/>
      <c r="KK1738" s="2060"/>
      <c r="KL1738" s="2060"/>
      <c r="KM1738" s="2060"/>
      <c r="KN1738" s="2060"/>
      <c r="KO1738" s="2060"/>
      <c r="KP1738" s="2060"/>
      <c r="KQ1738" s="2060"/>
      <c r="KR1738" s="2060"/>
      <c r="KS1738" s="2060"/>
      <c r="KT1738" s="2060"/>
      <c r="KU1738" s="2060"/>
      <c r="KV1738" s="2060"/>
      <c r="KW1738" s="2060"/>
      <c r="KX1738" s="2060"/>
      <c r="KY1738" s="2060"/>
      <c r="KZ1738" s="2060"/>
      <c r="LA1738" s="2060"/>
      <c r="LB1738" s="2060"/>
      <c r="LC1738" s="2060"/>
      <c r="LD1738" s="2060"/>
      <c r="LE1738" s="2060"/>
      <c r="LF1738" s="2060"/>
      <c r="LG1738" s="2060"/>
      <c r="LH1738" s="2060"/>
    </row>
    <row r="1739" spans="1:320" s="449" customFormat="1" ht="13.9">
      <c r="A1739" s="269" t="str">
        <f t="shared" si="475"/>
        <v>n</v>
      </c>
      <c r="B1739" s="2060"/>
      <c r="C1739" s="2060"/>
      <c r="D1739" s="2060"/>
      <c r="E1739" s="1661">
        <v>7</v>
      </c>
      <c r="F1739" s="1353" t="str">
        <f>F$135</f>
        <v>--</v>
      </c>
      <c r="G1739" s="128">
        <f>G$135</f>
        <v>0</v>
      </c>
      <c r="H1739" s="128" t="str">
        <f>H$135</f>
        <v>--</v>
      </c>
      <c r="I1739" s="89" t="s">
        <v>793</v>
      </c>
      <c r="J1739" s="2197" t="str">
        <f>IF($G1739=0,"",IFERROR(_xll.ciqfunctions.udf.CIQ($G1739,$I1739,J$1557,Valuation_Date_GC,ReportType,DataMode,$H1739,FXMode),"n/a"))</f>
        <v/>
      </c>
      <c r="K1739" s="2197" t="str">
        <f>IF($G1739=0,"",IFERROR(_xll.ciqfunctions.udf.CIQ($G1739,$I1739,K$1557,Valuation_Date_GC,ReportType,DataMode,$H1739,FXMode),"n/a"))</f>
        <v/>
      </c>
      <c r="L1739" s="2197" t="str">
        <f>IF($G1739=0,"",IFERROR(_xll.ciqfunctions.udf.CIQ($G1739,$I1739,L$1557,Valuation_Date_GC,ReportType,DataMode,$H1739,FXMode),"n/a"))</f>
        <v/>
      </c>
      <c r="M1739" s="2197" t="str">
        <f>IF($G1739=0,"",IFERROR(_xll.ciqfunctions.udf.CIQ($G1739,$I1739,M$1557,Valuation_Date_GC,ReportType,DataMode,$H1739,FXMode),"n/a"))</f>
        <v/>
      </c>
      <c r="N1739" s="2197" t="str">
        <f>IF($G1739=0,"",IFERROR(_xll.ciqfunctions.udf.CIQ($G1739,$I1739,N$1557,Valuation_Date_GC,ReportType,DataMode,$H1739,FXMode),"n/a"))</f>
        <v/>
      </c>
      <c r="O1739" s="2197" t="str">
        <f>IF($G1739=0,"",IFERROR(_xll.ciqfunctions.udf.CIQ($G1739,$I1739,O$1557,Valuation_Date_GC,ReportType,DataMode,$H1739,FXMode),"n/a"))</f>
        <v/>
      </c>
      <c r="P1739" s="2197" t="str">
        <f>IF($G1739=0,"",IFERROR(_xll.ciqfunctions.udf.CIQ($G1739,$I1739,P$1557,Valuation_Date_GC,ReportType,DataMode,$H1739,FXMode),"n/a"))</f>
        <v/>
      </c>
      <c r="Q1739" s="2197" t="str">
        <f>IF($G1739=0,"",IFERROR(_xll.ciqfunctions.udf.CIQ($G1739,$I1739,Q$1557,Valuation_Date_GC,ReportType,DataMode,$H1739,FXMode),"n/a"))</f>
        <v/>
      </c>
      <c r="R1739" s="2197" t="str">
        <f>IF($G1739=0,"",IFERROR(_xll.ciqfunctions.udf.CIQ($G1739,$I1739,R$1557,Valuation_Date_GC,ReportType,DataMode,$H1739,FXMode),"n/a"))</f>
        <v/>
      </c>
      <c r="S1739" s="2197" t="str">
        <f>IF($G1739=0,"",IFERROR(_xll.ciqfunctions.udf.CIQ($G1739,$I1739,S$1557,Valuation_Date_GC,ReportType,DataMode,$H1739,FXMode),"n/a"))</f>
        <v/>
      </c>
      <c r="T1739" s="2197" t="str">
        <f>IF($G1739=0,"",IFERROR(_xll.ciqfunctions.udf.CIQ($G1739,$I1739,T$1557,Valuation_Date_GC,ReportType,DataMode,$H1739,FXMode),"n/a"))</f>
        <v/>
      </c>
      <c r="U1739" s="2197" t="str">
        <f>IF($G1739=0,"",IFERROR(_xll.ciqfunctions.udf.CIQ($G1739,$I1739,U$1557,Valuation_Date_GC,ReportType,DataMode,$H1739,FXMode),"n/a"))</f>
        <v/>
      </c>
      <c r="V1739" s="2197" t="str">
        <f>IF($G1739=0,"",IFERROR(_xll.ciqfunctions.udf.CIQ($G1739,$I1739,V$1557,Valuation_Date_GC,ReportType,DataMode,$H1739,FXMode),"n/a"))</f>
        <v/>
      </c>
      <c r="W1739" s="1479"/>
      <c r="X1739" s="255"/>
      <c r="Y1739" s="89"/>
      <c r="Z1739" s="2060"/>
      <c r="AA1739" s="2060"/>
      <c r="AB1739" s="2060"/>
      <c r="AC1739" s="2060"/>
      <c r="AD1739" s="2060"/>
      <c r="AE1739" s="2060"/>
      <c r="AF1739" s="2060"/>
      <c r="AG1739" s="2060"/>
      <c r="AH1739" s="2060"/>
      <c r="AI1739" s="2060"/>
      <c r="AJ1739" s="2060"/>
      <c r="AK1739" s="2060"/>
      <c r="AL1739" s="2060"/>
      <c r="AM1739" s="2060"/>
      <c r="AN1739" s="2060"/>
      <c r="AO1739" s="2060"/>
      <c r="AP1739" s="2060"/>
      <c r="AQ1739" s="2060"/>
      <c r="AR1739" s="2060"/>
      <c r="AS1739" s="2060"/>
      <c r="AT1739" s="2060"/>
      <c r="AU1739" s="2060"/>
      <c r="AV1739" s="2060"/>
      <c r="AW1739" s="2060"/>
      <c r="AX1739" s="2060"/>
      <c r="AY1739" s="2060"/>
      <c r="AZ1739" s="2060"/>
      <c r="BA1739" s="2060"/>
      <c r="BB1739" s="2060"/>
      <c r="BC1739" s="2060"/>
      <c r="BD1739" s="2060"/>
      <c r="BE1739" s="2060"/>
      <c r="BF1739" s="2060"/>
      <c r="BG1739" s="2060"/>
      <c r="BH1739" s="2060"/>
      <c r="BI1739" s="2060"/>
      <c r="BJ1739" s="2060"/>
      <c r="BK1739" s="2060"/>
      <c r="BL1739" s="2060"/>
      <c r="BM1739" s="2060"/>
      <c r="BN1739" s="2060"/>
      <c r="BO1739" s="2060"/>
      <c r="BP1739" s="2060"/>
      <c r="BQ1739" s="2060"/>
      <c r="BR1739" s="2060"/>
      <c r="BS1739" s="2060"/>
      <c r="BT1739" s="2060"/>
      <c r="BU1739" s="2060"/>
      <c r="BV1739" s="2060"/>
      <c r="BW1739" s="2060"/>
      <c r="BX1739" s="2060"/>
      <c r="BY1739" s="2060"/>
      <c r="BZ1739" s="2060"/>
      <c r="CA1739" s="2060"/>
      <c r="CB1739" s="2060"/>
      <c r="CC1739" s="2060"/>
      <c r="CD1739" s="2060"/>
      <c r="CE1739" s="2060"/>
      <c r="CF1739" s="2060"/>
      <c r="CG1739" s="2060"/>
      <c r="CH1739" s="2060"/>
      <c r="CI1739" s="2060"/>
      <c r="CJ1739" s="2060"/>
      <c r="CK1739" s="2060"/>
      <c r="CL1739" s="2060"/>
      <c r="CM1739" s="2060"/>
      <c r="CN1739" s="2060"/>
      <c r="CO1739" s="2060"/>
      <c r="CP1739" s="2060"/>
      <c r="CQ1739" s="2060"/>
      <c r="CR1739" s="2060"/>
      <c r="CS1739" s="2060"/>
      <c r="CT1739" s="2060"/>
      <c r="CU1739" s="2060"/>
      <c r="CV1739" s="2060"/>
      <c r="CW1739" s="2060"/>
      <c r="CX1739" s="2060"/>
      <c r="CY1739" s="2060"/>
      <c r="CZ1739" s="2060"/>
      <c r="DA1739" s="2060"/>
      <c r="DB1739" s="2060"/>
      <c r="DC1739" s="2060"/>
      <c r="DD1739" s="2060"/>
      <c r="DE1739" s="2060"/>
      <c r="DF1739" s="2060"/>
      <c r="DG1739" s="2060"/>
      <c r="DH1739" s="2060"/>
      <c r="DI1739" s="2060"/>
      <c r="DJ1739" s="2060"/>
      <c r="DK1739" s="2060"/>
      <c r="DL1739" s="2060"/>
      <c r="DM1739" s="2060"/>
      <c r="DN1739" s="2060"/>
      <c r="DO1739" s="2060"/>
      <c r="DP1739" s="2060"/>
      <c r="DQ1739" s="2060"/>
      <c r="DR1739" s="2060"/>
      <c r="DS1739" s="2060"/>
      <c r="DT1739" s="2060"/>
      <c r="DU1739" s="2060"/>
      <c r="DV1739" s="2060"/>
      <c r="DW1739" s="2060"/>
      <c r="DX1739" s="2060"/>
      <c r="DY1739" s="2060"/>
      <c r="DZ1739" s="2060"/>
      <c r="EA1739" s="2060"/>
      <c r="EB1739" s="2060"/>
      <c r="EC1739" s="2060"/>
      <c r="ED1739" s="2060"/>
      <c r="EE1739" s="2060"/>
      <c r="EF1739" s="2060"/>
      <c r="EG1739" s="2060"/>
      <c r="EH1739" s="2060"/>
      <c r="EI1739" s="2060"/>
      <c r="EJ1739" s="2060"/>
      <c r="EK1739" s="2060"/>
      <c r="EL1739" s="2060"/>
      <c r="EM1739" s="2060"/>
      <c r="EN1739" s="2060"/>
      <c r="EO1739" s="2060"/>
      <c r="EP1739" s="2060"/>
      <c r="EQ1739" s="2060"/>
      <c r="ER1739" s="2060"/>
      <c r="ES1739" s="2060"/>
      <c r="ET1739" s="2060"/>
      <c r="EU1739" s="2060"/>
      <c r="EV1739" s="2060"/>
      <c r="EW1739" s="2060"/>
      <c r="EX1739" s="2060"/>
      <c r="EY1739" s="2060"/>
      <c r="EZ1739" s="2060"/>
      <c r="FA1739" s="2060"/>
      <c r="FB1739" s="2060"/>
      <c r="FC1739" s="2060"/>
      <c r="FD1739" s="2060"/>
      <c r="FE1739" s="2060"/>
      <c r="FF1739" s="2060"/>
      <c r="FG1739" s="2060"/>
      <c r="FH1739" s="2060"/>
      <c r="FI1739" s="2060"/>
      <c r="FJ1739" s="2060"/>
      <c r="FK1739" s="2060"/>
      <c r="FL1739" s="2060"/>
      <c r="FM1739" s="2060"/>
      <c r="FN1739" s="2060"/>
      <c r="FO1739" s="2060"/>
      <c r="FP1739" s="2060"/>
      <c r="FQ1739" s="2060"/>
      <c r="FR1739" s="2060"/>
      <c r="FS1739" s="2060"/>
      <c r="FT1739" s="2060"/>
      <c r="FU1739" s="2060"/>
      <c r="FV1739" s="2060"/>
      <c r="FW1739" s="2060"/>
      <c r="FX1739" s="2060"/>
      <c r="FY1739" s="2060"/>
      <c r="FZ1739" s="2060"/>
      <c r="GA1739" s="2060"/>
      <c r="GB1739" s="2060"/>
      <c r="GC1739" s="2060"/>
      <c r="GD1739" s="2060"/>
      <c r="GE1739" s="2060"/>
      <c r="GF1739" s="2060"/>
      <c r="GG1739" s="2060"/>
      <c r="GH1739" s="2060"/>
      <c r="GI1739" s="2060"/>
      <c r="GJ1739" s="2060"/>
      <c r="GK1739" s="2060"/>
      <c r="GL1739" s="2060"/>
      <c r="GM1739" s="2060"/>
      <c r="GN1739" s="2060"/>
      <c r="GO1739" s="2060"/>
      <c r="GP1739" s="2060"/>
      <c r="GQ1739" s="2060"/>
      <c r="GR1739" s="2060"/>
      <c r="GS1739" s="2060"/>
      <c r="GT1739" s="2060"/>
      <c r="GU1739" s="2060"/>
      <c r="GV1739" s="2060"/>
      <c r="GW1739" s="2060"/>
      <c r="GX1739" s="2060"/>
      <c r="GY1739" s="2060"/>
      <c r="GZ1739" s="2060"/>
      <c r="HA1739" s="2060"/>
      <c r="HB1739" s="2060"/>
      <c r="HC1739" s="2060"/>
      <c r="HD1739" s="2060"/>
      <c r="HE1739" s="2060"/>
      <c r="HF1739" s="2060"/>
      <c r="HG1739" s="2060"/>
      <c r="HH1739" s="2060"/>
      <c r="HI1739" s="2060"/>
      <c r="HJ1739" s="2060"/>
      <c r="HK1739" s="2060"/>
      <c r="HL1739" s="2060"/>
      <c r="HM1739" s="2060"/>
      <c r="HN1739" s="2060"/>
      <c r="HO1739" s="2060"/>
      <c r="HP1739" s="2060"/>
      <c r="HQ1739" s="2060"/>
      <c r="HR1739" s="2060"/>
      <c r="HS1739" s="2060"/>
      <c r="HT1739" s="2060"/>
      <c r="HU1739" s="2060"/>
      <c r="HV1739" s="2060"/>
      <c r="HW1739" s="2060"/>
      <c r="HX1739" s="2060"/>
      <c r="HY1739" s="2060"/>
      <c r="HZ1739" s="2060"/>
      <c r="IA1739" s="2060"/>
      <c r="IB1739" s="2060"/>
      <c r="IC1739" s="2060"/>
      <c r="ID1739" s="2060"/>
      <c r="IE1739" s="2060"/>
      <c r="IF1739" s="2060"/>
      <c r="IG1739" s="2060"/>
      <c r="IH1739" s="2060"/>
      <c r="II1739" s="2060"/>
      <c r="IJ1739" s="2060"/>
      <c r="IK1739" s="2060"/>
      <c r="IL1739" s="2060"/>
      <c r="IM1739" s="2060"/>
      <c r="IN1739" s="2060"/>
      <c r="IO1739" s="2060"/>
      <c r="IP1739" s="2060"/>
      <c r="IQ1739" s="2060"/>
      <c r="IR1739" s="2060"/>
      <c r="IS1739" s="2060"/>
      <c r="IT1739" s="2060"/>
      <c r="IU1739" s="2060"/>
      <c r="IV1739" s="2060"/>
      <c r="IW1739" s="2060"/>
      <c r="IX1739" s="2060"/>
      <c r="IY1739" s="2060"/>
      <c r="IZ1739" s="2060"/>
      <c r="JA1739" s="2060"/>
      <c r="JB1739" s="2060"/>
      <c r="JC1739" s="2060"/>
      <c r="JD1739" s="2060"/>
      <c r="JE1739" s="2060"/>
      <c r="JF1739" s="2060"/>
      <c r="JG1739" s="2060"/>
      <c r="JH1739" s="2060"/>
      <c r="JI1739" s="2060"/>
      <c r="JJ1739" s="2060"/>
      <c r="JK1739" s="2060"/>
      <c r="JL1739" s="2060"/>
      <c r="JM1739" s="2060"/>
      <c r="JN1739" s="2060"/>
      <c r="JO1739" s="2060"/>
      <c r="JP1739" s="2060"/>
      <c r="JQ1739" s="2060"/>
      <c r="JR1739" s="2060"/>
      <c r="JS1739" s="2060"/>
      <c r="JT1739" s="2060"/>
      <c r="JU1739" s="2060"/>
      <c r="JV1739" s="2060"/>
      <c r="JW1739" s="2060"/>
      <c r="JX1739" s="2060"/>
      <c r="JY1739" s="2060"/>
      <c r="JZ1739" s="2060"/>
      <c r="KA1739" s="2060"/>
      <c r="KB1739" s="2060"/>
      <c r="KC1739" s="2060"/>
      <c r="KD1739" s="2060"/>
      <c r="KE1739" s="2060"/>
      <c r="KF1739" s="2060"/>
      <c r="KG1739" s="2060"/>
      <c r="KH1739" s="2060"/>
      <c r="KI1739" s="2060"/>
      <c r="KJ1739" s="2060"/>
      <c r="KK1739" s="2060"/>
      <c r="KL1739" s="2060"/>
      <c r="KM1739" s="2060"/>
      <c r="KN1739" s="2060"/>
      <c r="KO1739" s="2060"/>
      <c r="KP1739" s="2060"/>
      <c r="KQ1739" s="2060"/>
      <c r="KR1739" s="2060"/>
      <c r="KS1739" s="2060"/>
      <c r="KT1739" s="2060"/>
      <c r="KU1739" s="2060"/>
      <c r="KV1739" s="2060"/>
      <c r="KW1739" s="2060"/>
      <c r="KX1739" s="2060"/>
      <c r="KY1739" s="2060"/>
      <c r="KZ1739" s="2060"/>
      <c r="LA1739" s="2060"/>
      <c r="LB1739" s="2060"/>
      <c r="LC1739" s="2060"/>
      <c r="LD1739" s="2060"/>
      <c r="LE1739" s="2060"/>
      <c r="LF1739" s="2060"/>
      <c r="LG1739" s="2060"/>
      <c r="LH1739" s="2060"/>
    </row>
    <row r="1740" spans="1:320" s="449" customFormat="1" ht="13.9">
      <c r="A1740" s="269" t="str">
        <f t="shared" si="475"/>
        <v>n</v>
      </c>
      <c r="B1740" s="2060"/>
      <c r="C1740" s="2060"/>
      <c r="D1740" s="2060"/>
      <c r="E1740" s="1661">
        <v>8</v>
      </c>
      <c r="F1740" s="1353" t="str">
        <f>F$136</f>
        <v>--</v>
      </c>
      <c r="G1740" s="128">
        <f>G$136</f>
        <v>0</v>
      </c>
      <c r="H1740" s="128" t="str">
        <f>H$136</f>
        <v>--</v>
      </c>
      <c r="I1740" s="89" t="s">
        <v>793</v>
      </c>
      <c r="J1740" s="2197" t="str">
        <f>IF($G1740=0,"",IFERROR(_xll.ciqfunctions.udf.CIQ($G1740,$I1740,J$1557,Valuation_Date_GC,ReportType,DataMode,$H1740,FXMode),"n/a"))</f>
        <v/>
      </c>
      <c r="K1740" s="2197" t="str">
        <f>IF($G1740=0,"",IFERROR(_xll.ciqfunctions.udf.CIQ($G1740,$I1740,K$1557,Valuation_Date_GC,ReportType,DataMode,$H1740,FXMode),"n/a"))</f>
        <v/>
      </c>
      <c r="L1740" s="2197" t="str">
        <f>IF($G1740=0,"",IFERROR(_xll.ciqfunctions.udf.CIQ($G1740,$I1740,L$1557,Valuation_Date_GC,ReportType,DataMode,$H1740,FXMode),"n/a"))</f>
        <v/>
      </c>
      <c r="M1740" s="2197" t="str">
        <f>IF($G1740=0,"",IFERROR(_xll.ciqfunctions.udf.CIQ($G1740,$I1740,M$1557,Valuation_Date_GC,ReportType,DataMode,$H1740,FXMode),"n/a"))</f>
        <v/>
      </c>
      <c r="N1740" s="2197" t="str">
        <f>IF($G1740=0,"",IFERROR(_xll.ciqfunctions.udf.CIQ($G1740,$I1740,N$1557,Valuation_Date_GC,ReportType,DataMode,$H1740,FXMode),"n/a"))</f>
        <v/>
      </c>
      <c r="O1740" s="2197" t="str">
        <f>IF($G1740=0,"",IFERROR(_xll.ciqfunctions.udf.CIQ($G1740,$I1740,O$1557,Valuation_Date_GC,ReportType,DataMode,$H1740,FXMode),"n/a"))</f>
        <v/>
      </c>
      <c r="P1740" s="2197" t="str">
        <f>IF($G1740=0,"",IFERROR(_xll.ciqfunctions.udf.CIQ($G1740,$I1740,P$1557,Valuation_Date_GC,ReportType,DataMode,$H1740,FXMode),"n/a"))</f>
        <v/>
      </c>
      <c r="Q1740" s="2197" t="str">
        <f>IF($G1740=0,"",IFERROR(_xll.ciqfunctions.udf.CIQ($G1740,$I1740,Q$1557,Valuation_Date_GC,ReportType,DataMode,$H1740,FXMode),"n/a"))</f>
        <v/>
      </c>
      <c r="R1740" s="2197" t="str">
        <f>IF($G1740=0,"",IFERROR(_xll.ciqfunctions.udf.CIQ($G1740,$I1740,R$1557,Valuation_Date_GC,ReportType,DataMode,$H1740,FXMode),"n/a"))</f>
        <v/>
      </c>
      <c r="S1740" s="2197" t="str">
        <f>IF($G1740=0,"",IFERROR(_xll.ciqfunctions.udf.CIQ($G1740,$I1740,S$1557,Valuation_Date_GC,ReportType,DataMode,$H1740,FXMode),"n/a"))</f>
        <v/>
      </c>
      <c r="T1740" s="2197" t="str">
        <f>IF($G1740=0,"",IFERROR(_xll.ciqfunctions.udf.CIQ($G1740,$I1740,T$1557,Valuation_Date_GC,ReportType,DataMode,$H1740,FXMode),"n/a"))</f>
        <v/>
      </c>
      <c r="U1740" s="2197" t="str">
        <f>IF($G1740=0,"",IFERROR(_xll.ciqfunctions.udf.CIQ($G1740,$I1740,U$1557,Valuation_Date_GC,ReportType,DataMode,$H1740,FXMode),"n/a"))</f>
        <v/>
      </c>
      <c r="V1740" s="2197" t="str">
        <f>IF($G1740=0,"",IFERROR(_xll.ciqfunctions.udf.CIQ($G1740,$I1740,V$1557,Valuation_Date_GC,ReportType,DataMode,$H1740,FXMode),"n/a"))</f>
        <v/>
      </c>
      <c r="W1740" s="1479"/>
      <c r="X1740" s="255"/>
      <c r="Y1740" s="89"/>
      <c r="Z1740" s="2060"/>
      <c r="AA1740" s="2060"/>
      <c r="AB1740" s="2060"/>
      <c r="AC1740" s="2060"/>
      <c r="AD1740" s="2060"/>
      <c r="AE1740" s="2060"/>
      <c r="AF1740" s="2060"/>
      <c r="AG1740" s="2060"/>
      <c r="AH1740" s="2060"/>
      <c r="AI1740" s="2060"/>
      <c r="AJ1740" s="2060"/>
      <c r="AK1740" s="2060"/>
      <c r="AL1740" s="2060"/>
      <c r="AM1740" s="2060"/>
      <c r="AN1740" s="2060"/>
      <c r="AO1740" s="2060"/>
      <c r="AP1740" s="2060"/>
      <c r="AQ1740" s="2060"/>
      <c r="AR1740" s="2060"/>
      <c r="AS1740" s="2060"/>
      <c r="AT1740" s="2060"/>
      <c r="AU1740" s="2060"/>
      <c r="AV1740" s="2060"/>
      <c r="AW1740" s="2060"/>
      <c r="AX1740" s="2060"/>
      <c r="AY1740" s="2060"/>
      <c r="AZ1740" s="2060"/>
      <c r="BA1740" s="2060"/>
      <c r="BB1740" s="2060"/>
      <c r="BC1740" s="2060"/>
      <c r="BD1740" s="2060"/>
      <c r="BE1740" s="2060"/>
      <c r="BF1740" s="2060"/>
      <c r="BG1740" s="2060"/>
      <c r="BH1740" s="2060"/>
      <c r="BI1740" s="2060"/>
      <c r="BJ1740" s="2060"/>
      <c r="BK1740" s="2060"/>
      <c r="BL1740" s="2060"/>
      <c r="BM1740" s="2060"/>
      <c r="BN1740" s="2060"/>
      <c r="BO1740" s="2060"/>
      <c r="BP1740" s="2060"/>
      <c r="BQ1740" s="2060"/>
      <c r="BR1740" s="2060"/>
      <c r="BS1740" s="2060"/>
      <c r="BT1740" s="2060"/>
      <c r="BU1740" s="2060"/>
      <c r="BV1740" s="2060"/>
      <c r="BW1740" s="2060"/>
      <c r="BX1740" s="2060"/>
      <c r="BY1740" s="2060"/>
      <c r="BZ1740" s="2060"/>
      <c r="CA1740" s="2060"/>
      <c r="CB1740" s="2060"/>
      <c r="CC1740" s="2060"/>
      <c r="CD1740" s="2060"/>
      <c r="CE1740" s="2060"/>
      <c r="CF1740" s="2060"/>
      <c r="CG1740" s="2060"/>
      <c r="CH1740" s="2060"/>
      <c r="CI1740" s="2060"/>
      <c r="CJ1740" s="2060"/>
      <c r="CK1740" s="2060"/>
      <c r="CL1740" s="2060"/>
      <c r="CM1740" s="2060"/>
      <c r="CN1740" s="2060"/>
      <c r="CO1740" s="2060"/>
      <c r="CP1740" s="2060"/>
      <c r="CQ1740" s="2060"/>
      <c r="CR1740" s="2060"/>
      <c r="CS1740" s="2060"/>
      <c r="CT1740" s="2060"/>
      <c r="CU1740" s="2060"/>
      <c r="CV1740" s="2060"/>
      <c r="CW1740" s="2060"/>
      <c r="CX1740" s="2060"/>
      <c r="CY1740" s="2060"/>
      <c r="CZ1740" s="2060"/>
      <c r="DA1740" s="2060"/>
      <c r="DB1740" s="2060"/>
      <c r="DC1740" s="2060"/>
      <c r="DD1740" s="2060"/>
      <c r="DE1740" s="2060"/>
      <c r="DF1740" s="2060"/>
      <c r="DG1740" s="2060"/>
      <c r="DH1740" s="2060"/>
      <c r="DI1740" s="2060"/>
      <c r="DJ1740" s="2060"/>
      <c r="DK1740" s="2060"/>
      <c r="DL1740" s="2060"/>
      <c r="DM1740" s="2060"/>
      <c r="DN1740" s="2060"/>
      <c r="DO1740" s="2060"/>
      <c r="DP1740" s="2060"/>
      <c r="DQ1740" s="2060"/>
      <c r="DR1740" s="2060"/>
      <c r="DS1740" s="2060"/>
      <c r="DT1740" s="2060"/>
      <c r="DU1740" s="2060"/>
      <c r="DV1740" s="2060"/>
      <c r="DW1740" s="2060"/>
      <c r="DX1740" s="2060"/>
      <c r="DY1740" s="2060"/>
      <c r="DZ1740" s="2060"/>
      <c r="EA1740" s="2060"/>
      <c r="EB1740" s="2060"/>
      <c r="EC1740" s="2060"/>
      <c r="ED1740" s="2060"/>
      <c r="EE1740" s="2060"/>
      <c r="EF1740" s="2060"/>
      <c r="EG1740" s="2060"/>
      <c r="EH1740" s="2060"/>
      <c r="EI1740" s="2060"/>
      <c r="EJ1740" s="2060"/>
      <c r="EK1740" s="2060"/>
      <c r="EL1740" s="2060"/>
      <c r="EM1740" s="2060"/>
      <c r="EN1740" s="2060"/>
      <c r="EO1740" s="2060"/>
      <c r="EP1740" s="2060"/>
      <c r="EQ1740" s="2060"/>
      <c r="ER1740" s="2060"/>
      <c r="ES1740" s="2060"/>
      <c r="ET1740" s="2060"/>
      <c r="EU1740" s="2060"/>
      <c r="EV1740" s="2060"/>
      <c r="EW1740" s="2060"/>
      <c r="EX1740" s="2060"/>
      <c r="EY1740" s="2060"/>
      <c r="EZ1740" s="2060"/>
      <c r="FA1740" s="2060"/>
      <c r="FB1740" s="2060"/>
      <c r="FC1740" s="2060"/>
      <c r="FD1740" s="2060"/>
      <c r="FE1740" s="2060"/>
      <c r="FF1740" s="2060"/>
      <c r="FG1740" s="2060"/>
      <c r="FH1740" s="2060"/>
      <c r="FI1740" s="2060"/>
      <c r="FJ1740" s="2060"/>
      <c r="FK1740" s="2060"/>
      <c r="FL1740" s="2060"/>
      <c r="FM1740" s="2060"/>
      <c r="FN1740" s="2060"/>
      <c r="FO1740" s="2060"/>
      <c r="FP1740" s="2060"/>
      <c r="FQ1740" s="2060"/>
      <c r="FR1740" s="2060"/>
      <c r="FS1740" s="2060"/>
      <c r="FT1740" s="2060"/>
      <c r="FU1740" s="2060"/>
      <c r="FV1740" s="2060"/>
      <c r="FW1740" s="2060"/>
      <c r="FX1740" s="2060"/>
      <c r="FY1740" s="2060"/>
      <c r="FZ1740" s="2060"/>
      <c r="GA1740" s="2060"/>
      <c r="GB1740" s="2060"/>
      <c r="GC1740" s="2060"/>
      <c r="GD1740" s="2060"/>
      <c r="GE1740" s="2060"/>
      <c r="GF1740" s="2060"/>
      <c r="GG1740" s="2060"/>
      <c r="GH1740" s="2060"/>
      <c r="GI1740" s="2060"/>
      <c r="GJ1740" s="2060"/>
      <c r="GK1740" s="2060"/>
      <c r="GL1740" s="2060"/>
      <c r="GM1740" s="2060"/>
      <c r="GN1740" s="2060"/>
      <c r="GO1740" s="2060"/>
      <c r="GP1740" s="2060"/>
      <c r="GQ1740" s="2060"/>
      <c r="GR1740" s="2060"/>
      <c r="GS1740" s="2060"/>
      <c r="GT1740" s="2060"/>
      <c r="GU1740" s="2060"/>
      <c r="GV1740" s="2060"/>
      <c r="GW1740" s="2060"/>
      <c r="GX1740" s="2060"/>
      <c r="GY1740" s="2060"/>
      <c r="GZ1740" s="2060"/>
      <c r="HA1740" s="2060"/>
      <c r="HB1740" s="2060"/>
      <c r="HC1740" s="2060"/>
      <c r="HD1740" s="2060"/>
      <c r="HE1740" s="2060"/>
      <c r="HF1740" s="2060"/>
      <c r="HG1740" s="2060"/>
      <c r="HH1740" s="2060"/>
      <c r="HI1740" s="2060"/>
      <c r="HJ1740" s="2060"/>
      <c r="HK1740" s="2060"/>
      <c r="HL1740" s="2060"/>
      <c r="HM1740" s="2060"/>
      <c r="HN1740" s="2060"/>
      <c r="HO1740" s="2060"/>
      <c r="HP1740" s="2060"/>
      <c r="HQ1740" s="2060"/>
      <c r="HR1740" s="2060"/>
      <c r="HS1740" s="2060"/>
      <c r="HT1740" s="2060"/>
      <c r="HU1740" s="2060"/>
      <c r="HV1740" s="2060"/>
      <c r="HW1740" s="2060"/>
      <c r="HX1740" s="2060"/>
      <c r="HY1740" s="2060"/>
      <c r="HZ1740" s="2060"/>
      <c r="IA1740" s="2060"/>
      <c r="IB1740" s="2060"/>
      <c r="IC1740" s="2060"/>
      <c r="ID1740" s="2060"/>
      <c r="IE1740" s="2060"/>
      <c r="IF1740" s="2060"/>
      <c r="IG1740" s="2060"/>
      <c r="IH1740" s="2060"/>
      <c r="II1740" s="2060"/>
      <c r="IJ1740" s="2060"/>
      <c r="IK1740" s="2060"/>
      <c r="IL1740" s="2060"/>
      <c r="IM1740" s="2060"/>
      <c r="IN1740" s="2060"/>
      <c r="IO1740" s="2060"/>
      <c r="IP1740" s="2060"/>
      <c r="IQ1740" s="2060"/>
      <c r="IR1740" s="2060"/>
      <c r="IS1740" s="2060"/>
      <c r="IT1740" s="2060"/>
      <c r="IU1740" s="2060"/>
      <c r="IV1740" s="2060"/>
      <c r="IW1740" s="2060"/>
      <c r="IX1740" s="2060"/>
      <c r="IY1740" s="2060"/>
      <c r="IZ1740" s="2060"/>
      <c r="JA1740" s="2060"/>
      <c r="JB1740" s="2060"/>
      <c r="JC1740" s="2060"/>
      <c r="JD1740" s="2060"/>
      <c r="JE1740" s="2060"/>
      <c r="JF1740" s="2060"/>
      <c r="JG1740" s="2060"/>
      <c r="JH1740" s="2060"/>
      <c r="JI1740" s="2060"/>
      <c r="JJ1740" s="2060"/>
      <c r="JK1740" s="2060"/>
      <c r="JL1740" s="2060"/>
      <c r="JM1740" s="2060"/>
      <c r="JN1740" s="2060"/>
      <c r="JO1740" s="2060"/>
      <c r="JP1740" s="2060"/>
      <c r="JQ1740" s="2060"/>
      <c r="JR1740" s="2060"/>
      <c r="JS1740" s="2060"/>
      <c r="JT1740" s="2060"/>
      <c r="JU1740" s="2060"/>
      <c r="JV1740" s="2060"/>
      <c r="JW1740" s="2060"/>
      <c r="JX1740" s="2060"/>
      <c r="JY1740" s="2060"/>
      <c r="JZ1740" s="2060"/>
      <c r="KA1740" s="2060"/>
      <c r="KB1740" s="2060"/>
      <c r="KC1740" s="2060"/>
      <c r="KD1740" s="2060"/>
      <c r="KE1740" s="2060"/>
      <c r="KF1740" s="2060"/>
      <c r="KG1740" s="2060"/>
      <c r="KH1740" s="2060"/>
      <c r="KI1740" s="2060"/>
      <c r="KJ1740" s="2060"/>
      <c r="KK1740" s="2060"/>
      <c r="KL1740" s="2060"/>
      <c r="KM1740" s="2060"/>
      <c r="KN1740" s="2060"/>
      <c r="KO1740" s="2060"/>
      <c r="KP1740" s="2060"/>
      <c r="KQ1740" s="2060"/>
      <c r="KR1740" s="2060"/>
      <c r="KS1740" s="2060"/>
      <c r="KT1740" s="2060"/>
      <c r="KU1740" s="2060"/>
      <c r="KV1740" s="2060"/>
      <c r="KW1740" s="2060"/>
      <c r="KX1740" s="2060"/>
      <c r="KY1740" s="2060"/>
      <c r="KZ1740" s="2060"/>
      <c r="LA1740" s="2060"/>
      <c r="LB1740" s="2060"/>
      <c r="LC1740" s="2060"/>
      <c r="LD1740" s="2060"/>
      <c r="LE1740" s="2060"/>
      <c r="LF1740" s="2060"/>
      <c r="LG1740" s="2060"/>
      <c r="LH1740" s="2060"/>
    </row>
    <row r="1741" spans="1:320" s="449" customFormat="1" ht="13.9">
      <c r="A1741" s="269" t="str">
        <f t="shared" si="475"/>
        <v>n</v>
      </c>
      <c r="B1741" s="2060"/>
      <c r="C1741" s="2060"/>
      <c r="D1741" s="2060"/>
      <c r="E1741" s="1661">
        <v>9</v>
      </c>
      <c r="F1741" s="1353" t="str">
        <f>F$137</f>
        <v>--</v>
      </c>
      <c r="G1741" s="128">
        <f>G$137</f>
        <v>0</v>
      </c>
      <c r="H1741" s="128" t="str">
        <f>H$137</f>
        <v>--</v>
      </c>
      <c r="I1741" s="89" t="s">
        <v>793</v>
      </c>
      <c r="J1741" s="2197" t="str">
        <f>IF($G1741=0,"",IFERROR(_xll.ciqfunctions.udf.CIQ($G1741,$I1741,J$1557,Valuation_Date_GC,ReportType,DataMode,$H1741,FXMode),"n/a"))</f>
        <v/>
      </c>
      <c r="K1741" s="2197" t="str">
        <f>IF($G1741=0,"",IFERROR(_xll.ciqfunctions.udf.CIQ($G1741,$I1741,K$1557,Valuation_Date_GC,ReportType,DataMode,$H1741,FXMode),"n/a"))</f>
        <v/>
      </c>
      <c r="L1741" s="2197" t="str">
        <f>IF($G1741=0,"",IFERROR(_xll.ciqfunctions.udf.CIQ($G1741,$I1741,L$1557,Valuation_Date_GC,ReportType,DataMode,$H1741,FXMode),"n/a"))</f>
        <v/>
      </c>
      <c r="M1741" s="2197" t="str">
        <f>IF($G1741=0,"",IFERROR(_xll.ciqfunctions.udf.CIQ($G1741,$I1741,M$1557,Valuation_Date_GC,ReportType,DataMode,$H1741,FXMode),"n/a"))</f>
        <v/>
      </c>
      <c r="N1741" s="2197" t="str">
        <f>IF($G1741=0,"",IFERROR(_xll.ciqfunctions.udf.CIQ($G1741,$I1741,N$1557,Valuation_Date_GC,ReportType,DataMode,$H1741,FXMode),"n/a"))</f>
        <v/>
      </c>
      <c r="O1741" s="2197" t="str">
        <f>IF($G1741=0,"",IFERROR(_xll.ciqfunctions.udf.CIQ($G1741,$I1741,O$1557,Valuation_Date_GC,ReportType,DataMode,$H1741,FXMode),"n/a"))</f>
        <v/>
      </c>
      <c r="P1741" s="2197" t="str">
        <f>IF($G1741=0,"",IFERROR(_xll.ciqfunctions.udf.CIQ($G1741,$I1741,P$1557,Valuation_Date_GC,ReportType,DataMode,$H1741,FXMode),"n/a"))</f>
        <v/>
      </c>
      <c r="Q1741" s="2197" t="str">
        <f>IF($G1741=0,"",IFERROR(_xll.ciqfunctions.udf.CIQ($G1741,$I1741,Q$1557,Valuation_Date_GC,ReportType,DataMode,$H1741,FXMode),"n/a"))</f>
        <v/>
      </c>
      <c r="R1741" s="2197" t="str">
        <f>IF($G1741=0,"",IFERROR(_xll.ciqfunctions.udf.CIQ($G1741,$I1741,R$1557,Valuation_Date_GC,ReportType,DataMode,$H1741,FXMode),"n/a"))</f>
        <v/>
      </c>
      <c r="S1741" s="2197" t="str">
        <f>IF($G1741=0,"",IFERROR(_xll.ciqfunctions.udf.CIQ($G1741,$I1741,S$1557,Valuation_Date_GC,ReportType,DataMode,$H1741,FXMode),"n/a"))</f>
        <v/>
      </c>
      <c r="T1741" s="2197" t="str">
        <f>IF($G1741=0,"",IFERROR(_xll.ciqfunctions.udf.CIQ($G1741,$I1741,T$1557,Valuation_Date_GC,ReportType,DataMode,$H1741,FXMode),"n/a"))</f>
        <v/>
      </c>
      <c r="U1741" s="2197" t="str">
        <f>IF($G1741=0,"",IFERROR(_xll.ciqfunctions.udf.CIQ($G1741,$I1741,U$1557,Valuation_Date_GC,ReportType,DataMode,$H1741,FXMode),"n/a"))</f>
        <v/>
      </c>
      <c r="V1741" s="2197" t="str">
        <f>IF($G1741=0,"",IFERROR(_xll.ciqfunctions.udf.CIQ($G1741,$I1741,V$1557,Valuation_Date_GC,ReportType,DataMode,$H1741,FXMode),"n/a"))</f>
        <v/>
      </c>
      <c r="W1741" s="1479"/>
      <c r="X1741" s="255"/>
      <c r="Y1741" s="89"/>
      <c r="Z1741" s="2060"/>
      <c r="AA1741" s="2060"/>
      <c r="AB1741" s="2060"/>
      <c r="AC1741" s="2060"/>
      <c r="AD1741" s="2060"/>
      <c r="AE1741" s="2060"/>
      <c r="AF1741" s="2060"/>
      <c r="AG1741" s="2060"/>
      <c r="AH1741" s="2060"/>
      <c r="AI1741" s="2060"/>
      <c r="AJ1741" s="2060"/>
      <c r="AK1741" s="2060"/>
      <c r="AL1741" s="2060"/>
      <c r="AM1741" s="2060"/>
      <c r="AN1741" s="2060"/>
      <c r="AO1741" s="2060"/>
      <c r="AP1741" s="2060"/>
      <c r="AQ1741" s="2060"/>
      <c r="AR1741" s="2060"/>
      <c r="AS1741" s="2060"/>
      <c r="AT1741" s="2060"/>
      <c r="AU1741" s="2060"/>
      <c r="AV1741" s="2060"/>
      <c r="AW1741" s="2060"/>
      <c r="AX1741" s="2060"/>
      <c r="AY1741" s="2060"/>
      <c r="AZ1741" s="2060"/>
      <c r="BA1741" s="2060"/>
      <c r="BB1741" s="2060"/>
      <c r="BC1741" s="2060"/>
      <c r="BD1741" s="2060"/>
      <c r="BE1741" s="2060"/>
      <c r="BF1741" s="2060"/>
      <c r="BG1741" s="2060"/>
      <c r="BH1741" s="2060"/>
      <c r="BI1741" s="2060"/>
      <c r="BJ1741" s="2060"/>
      <c r="BK1741" s="2060"/>
      <c r="BL1741" s="2060"/>
      <c r="BM1741" s="2060"/>
      <c r="BN1741" s="2060"/>
      <c r="BO1741" s="2060"/>
      <c r="BP1741" s="2060"/>
      <c r="BQ1741" s="2060"/>
      <c r="BR1741" s="2060"/>
      <c r="BS1741" s="2060"/>
      <c r="BT1741" s="2060"/>
      <c r="BU1741" s="2060"/>
      <c r="BV1741" s="2060"/>
      <c r="BW1741" s="2060"/>
      <c r="BX1741" s="2060"/>
      <c r="BY1741" s="2060"/>
      <c r="BZ1741" s="2060"/>
      <c r="CA1741" s="2060"/>
      <c r="CB1741" s="2060"/>
      <c r="CC1741" s="2060"/>
      <c r="CD1741" s="2060"/>
      <c r="CE1741" s="2060"/>
      <c r="CF1741" s="2060"/>
      <c r="CG1741" s="2060"/>
      <c r="CH1741" s="2060"/>
      <c r="CI1741" s="2060"/>
      <c r="CJ1741" s="2060"/>
      <c r="CK1741" s="2060"/>
      <c r="CL1741" s="2060"/>
      <c r="CM1741" s="2060"/>
      <c r="CN1741" s="2060"/>
      <c r="CO1741" s="2060"/>
      <c r="CP1741" s="2060"/>
      <c r="CQ1741" s="2060"/>
      <c r="CR1741" s="2060"/>
      <c r="CS1741" s="2060"/>
      <c r="CT1741" s="2060"/>
      <c r="CU1741" s="2060"/>
      <c r="CV1741" s="2060"/>
      <c r="CW1741" s="2060"/>
      <c r="CX1741" s="2060"/>
      <c r="CY1741" s="2060"/>
      <c r="CZ1741" s="2060"/>
      <c r="DA1741" s="2060"/>
      <c r="DB1741" s="2060"/>
      <c r="DC1741" s="2060"/>
      <c r="DD1741" s="2060"/>
      <c r="DE1741" s="2060"/>
      <c r="DF1741" s="2060"/>
      <c r="DG1741" s="2060"/>
      <c r="DH1741" s="2060"/>
      <c r="DI1741" s="2060"/>
      <c r="DJ1741" s="2060"/>
      <c r="DK1741" s="2060"/>
      <c r="DL1741" s="2060"/>
      <c r="DM1741" s="2060"/>
      <c r="DN1741" s="2060"/>
      <c r="DO1741" s="2060"/>
      <c r="DP1741" s="2060"/>
      <c r="DQ1741" s="2060"/>
      <c r="DR1741" s="2060"/>
      <c r="DS1741" s="2060"/>
      <c r="DT1741" s="2060"/>
      <c r="DU1741" s="2060"/>
      <c r="DV1741" s="2060"/>
      <c r="DW1741" s="2060"/>
      <c r="DX1741" s="2060"/>
      <c r="DY1741" s="2060"/>
      <c r="DZ1741" s="2060"/>
      <c r="EA1741" s="2060"/>
      <c r="EB1741" s="2060"/>
      <c r="EC1741" s="2060"/>
      <c r="ED1741" s="2060"/>
      <c r="EE1741" s="2060"/>
      <c r="EF1741" s="2060"/>
      <c r="EG1741" s="2060"/>
      <c r="EH1741" s="2060"/>
      <c r="EI1741" s="2060"/>
      <c r="EJ1741" s="2060"/>
      <c r="EK1741" s="2060"/>
      <c r="EL1741" s="2060"/>
      <c r="EM1741" s="2060"/>
      <c r="EN1741" s="2060"/>
      <c r="EO1741" s="2060"/>
      <c r="EP1741" s="2060"/>
      <c r="EQ1741" s="2060"/>
      <c r="ER1741" s="2060"/>
      <c r="ES1741" s="2060"/>
      <c r="ET1741" s="2060"/>
      <c r="EU1741" s="2060"/>
      <c r="EV1741" s="2060"/>
      <c r="EW1741" s="2060"/>
      <c r="EX1741" s="2060"/>
      <c r="EY1741" s="2060"/>
      <c r="EZ1741" s="2060"/>
      <c r="FA1741" s="2060"/>
      <c r="FB1741" s="2060"/>
      <c r="FC1741" s="2060"/>
      <c r="FD1741" s="2060"/>
      <c r="FE1741" s="2060"/>
      <c r="FF1741" s="2060"/>
      <c r="FG1741" s="2060"/>
      <c r="FH1741" s="2060"/>
      <c r="FI1741" s="2060"/>
      <c r="FJ1741" s="2060"/>
      <c r="FK1741" s="2060"/>
      <c r="FL1741" s="2060"/>
      <c r="FM1741" s="2060"/>
      <c r="FN1741" s="2060"/>
      <c r="FO1741" s="2060"/>
      <c r="FP1741" s="2060"/>
      <c r="FQ1741" s="2060"/>
      <c r="FR1741" s="2060"/>
      <c r="FS1741" s="2060"/>
      <c r="FT1741" s="2060"/>
      <c r="FU1741" s="2060"/>
      <c r="FV1741" s="2060"/>
      <c r="FW1741" s="2060"/>
      <c r="FX1741" s="2060"/>
      <c r="FY1741" s="2060"/>
      <c r="FZ1741" s="2060"/>
      <c r="GA1741" s="2060"/>
      <c r="GB1741" s="2060"/>
      <c r="GC1741" s="2060"/>
      <c r="GD1741" s="2060"/>
      <c r="GE1741" s="2060"/>
      <c r="GF1741" s="2060"/>
      <c r="GG1741" s="2060"/>
      <c r="GH1741" s="2060"/>
      <c r="GI1741" s="2060"/>
      <c r="GJ1741" s="2060"/>
      <c r="GK1741" s="2060"/>
      <c r="GL1741" s="2060"/>
      <c r="GM1741" s="2060"/>
      <c r="GN1741" s="2060"/>
      <c r="GO1741" s="2060"/>
      <c r="GP1741" s="2060"/>
      <c r="GQ1741" s="2060"/>
      <c r="GR1741" s="2060"/>
      <c r="GS1741" s="2060"/>
      <c r="GT1741" s="2060"/>
      <c r="GU1741" s="2060"/>
      <c r="GV1741" s="2060"/>
      <c r="GW1741" s="2060"/>
      <c r="GX1741" s="2060"/>
      <c r="GY1741" s="2060"/>
      <c r="GZ1741" s="2060"/>
      <c r="HA1741" s="2060"/>
      <c r="HB1741" s="2060"/>
      <c r="HC1741" s="2060"/>
      <c r="HD1741" s="2060"/>
      <c r="HE1741" s="2060"/>
      <c r="HF1741" s="2060"/>
      <c r="HG1741" s="2060"/>
      <c r="HH1741" s="2060"/>
      <c r="HI1741" s="2060"/>
      <c r="HJ1741" s="2060"/>
      <c r="HK1741" s="2060"/>
      <c r="HL1741" s="2060"/>
      <c r="HM1741" s="2060"/>
      <c r="HN1741" s="2060"/>
      <c r="HO1741" s="2060"/>
      <c r="HP1741" s="2060"/>
      <c r="HQ1741" s="2060"/>
      <c r="HR1741" s="2060"/>
      <c r="HS1741" s="2060"/>
      <c r="HT1741" s="2060"/>
      <c r="HU1741" s="2060"/>
      <c r="HV1741" s="2060"/>
      <c r="HW1741" s="2060"/>
      <c r="HX1741" s="2060"/>
      <c r="HY1741" s="2060"/>
      <c r="HZ1741" s="2060"/>
      <c r="IA1741" s="2060"/>
      <c r="IB1741" s="2060"/>
      <c r="IC1741" s="2060"/>
      <c r="ID1741" s="2060"/>
      <c r="IE1741" s="2060"/>
      <c r="IF1741" s="2060"/>
      <c r="IG1741" s="2060"/>
      <c r="IH1741" s="2060"/>
      <c r="II1741" s="2060"/>
      <c r="IJ1741" s="2060"/>
      <c r="IK1741" s="2060"/>
      <c r="IL1741" s="2060"/>
      <c r="IM1741" s="2060"/>
      <c r="IN1741" s="2060"/>
      <c r="IO1741" s="2060"/>
      <c r="IP1741" s="2060"/>
      <c r="IQ1741" s="2060"/>
      <c r="IR1741" s="2060"/>
      <c r="IS1741" s="2060"/>
      <c r="IT1741" s="2060"/>
      <c r="IU1741" s="2060"/>
      <c r="IV1741" s="2060"/>
      <c r="IW1741" s="2060"/>
      <c r="IX1741" s="2060"/>
      <c r="IY1741" s="2060"/>
      <c r="IZ1741" s="2060"/>
      <c r="JA1741" s="2060"/>
      <c r="JB1741" s="2060"/>
      <c r="JC1741" s="2060"/>
      <c r="JD1741" s="2060"/>
      <c r="JE1741" s="2060"/>
      <c r="JF1741" s="2060"/>
      <c r="JG1741" s="2060"/>
      <c r="JH1741" s="2060"/>
      <c r="JI1741" s="2060"/>
      <c r="JJ1741" s="2060"/>
      <c r="JK1741" s="2060"/>
      <c r="JL1741" s="2060"/>
      <c r="JM1741" s="2060"/>
      <c r="JN1741" s="2060"/>
      <c r="JO1741" s="2060"/>
      <c r="JP1741" s="2060"/>
      <c r="JQ1741" s="2060"/>
      <c r="JR1741" s="2060"/>
      <c r="JS1741" s="2060"/>
      <c r="JT1741" s="2060"/>
      <c r="JU1741" s="2060"/>
      <c r="JV1741" s="2060"/>
      <c r="JW1741" s="2060"/>
      <c r="JX1741" s="2060"/>
      <c r="JY1741" s="2060"/>
      <c r="JZ1741" s="2060"/>
      <c r="KA1741" s="2060"/>
      <c r="KB1741" s="2060"/>
      <c r="KC1741" s="2060"/>
      <c r="KD1741" s="2060"/>
      <c r="KE1741" s="2060"/>
      <c r="KF1741" s="2060"/>
      <c r="KG1741" s="2060"/>
      <c r="KH1741" s="2060"/>
      <c r="KI1741" s="2060"/>
      <c r="KJ1741" s="2060"/>
      <c r="KK1741" s="2060"/>
      <c r="KL1741" s="2060"/>
      <c r="KM1741" s="2060"/>
      <c r="KN1741" s="2060"/>
      <c r="KO1741" s="2060"/>
      <c r="KP1741" s="2060"/>
      <c r="KQ1741" s="2060"/>
      <c r="KR1741" s="2060"/>
      <c r="KS1741" s="2060"/>
      <c r="KT1741" s="2060"/>
      <c r="KU1741" s="2060"/>
      <c r="KV1741" s="2060"/>
      <c r="KW1741" s="2060"/>
      <c r="KX1741" s="2060"/>
      <c r="KY1741" s="2060"/>
      <c r="KZ1741" s="2060"/>
      <c r="LA1741" s="2060"/>
      <c r="LB1741" s="2060"/>
      <c r="LC1741" s="2060"/>
      <c r="LD1741" s="2060"/>
      <c r="LE1741" s="2060"/>
      <c r="LF1741" s="2060"/>
      <c r="LG1741" s="2060"/>
      <c r="LH1741" s="2060"/>
    </row>
    <row r="1742" spans="1:320" s="449" customFormat="1" ht="13.9">
      <c r="A1742" s="269" t="str">
        <f t="shared" si="475"/>
        <v>n</v>
      </c>
      <c r="B1742" s="2060"/>
      <c r="C1742" s="2060"/>
      <c r="D1742" s="2060"/>
      <c r="E1742" s="1661">
        <v>10</v>
      </c>
      <c r="F1742" s="1353" t="str">
        <f>F$138</f>
        <v>--</v>
      </c>
      <c r="G1742" s="128">
        <f>G$138</f>
        <v>0</v>
      </c>
      <c r="H1742" s="128" t="str">
        <f>H$138</f>
        <v>--</v>
      </c>
      <c r="I1742" s="89" t="s">
        <v>793</v>
      </c>
      <c r="J1742" s="2197" t="str">
        <f>IF($G1742=0,"",IFERROR(_xll.ciqfunctions.udf.CIQ($G1742,$I1742,J$1557,Valuation_Date_GC,ReportType,DataMode,$H1742,FXMode),"n/a"))</f>
        <v/>
      </c>
      <c r="K1742" s="2197" t="str">
        <f>IF($G1742=0,"",IFERROR(_xll.ciqfunctions.udf.CIQ($G1742,$I1742,K$1557,Valuation_Date_GC,ReportType,DataMode,$H1742,FXMode),"n/a"))</f>
        <v/>
      </c>
      <c r="L1742" s="2197" t="str">
        <f>IF($G1742=0,"",IFERROR(_xll.ciqfunctions.udf.CIQ($G1742,$I1742,L$1557,Valuation_Date_GC,ReportType,DataMode,$H1742,FXMode),"n/a"))</f>
        <v/>
      </c>
      <c r="M1742" s="2197" t="str">
        <f>IF($G1742=0,"",IFERROR(_xll.ciqfunctions.udf.CIQ($G1742,$I1742,M$1557,Valuation_Date_GC,ReportType,DataMode,$H1742,FXMode),"n/a"))</f>
        <v/>
      </c>
      <c r="N1742" s="2197" t="str">
        <f>IF($G1742=0,"",IFERROR(_xll.ciqfunctions.udf.CIQ($G1742,$I1742,N$1557,Valuation_Date_GC,ReportType,DataMode,$H1742,FXMode),"n/a"))</f>
        <v/>
      </c>
      <c r="O1742" s="2197" t="str">
        <f>IF($G1742=0,"",IFERROR(_xll.ciqfunctions.udf.CIQ($G1742,$I1742,O$1557,Valuation_Date_GC,ReportType,DataMode,$H1742,FXMode),"n/a"))</f>
        <v/>
      </c>
      <c r="P1742" s="2197" t="str">
        <f>IF($G1742=0,"",IFERROR(_xll.ciqfunctions.udf.CIQ($G1742,$I1742,P$1557,Valuation_Date_GC,ReportType,DataMode,$H1742,FXMode),"n/a"))</f>
        <v/>
      </c>
      <c r="Q1742" s="2197" t="str">
        <f>IF($G1742=0,"",IFERROR(_xll.ciqfunctions.udf.CIQ($G1742,$I1742,Q$1557,Valuation_Date_GC,ReportType,DataMode,$H1742,FXMode),"n/a"))</f>
        <v/>
      </c>
      <c r="R1742" s="2197" t="str">
        <f>IF($G1742=0,"",IFERROR(_xll.ciqfunctions.udf.CIQ($G1742,$I1742,R$1557,Valuation_Date_GC,ReportType,DataMode,$H1742,FXMode),"n/a"))</f>
        <v/>
      </c>
      <c r="S1742" s="2197" t="str">
        <f>IF($G1742=0,"",IFERROR(_xll.ciqfunctions.udf.CIQ($G1742,$I1742,S$1557,Valuation_Date_GC,ReportType,DataMode,$H1742,FXMode),"n/a"))</f>
        <v/>
      </c>
      <c r="T1742" s="2197" t="str">
        <f>IF($G1742=0,"",IFERROR(_xll.ciqfunctions.udf.CIQ($G1742,$I1742,T$1557,Valuation_Date_GC,ReportType,DataMode,$H1742,FXMode),"n/a"))</f>
        <v/>
      </c>
      <c r="U1742" s="2197" t="str">
        <f>IF($G1742=0,"",IFERROR(_xll.ciqfunctions.udf.CIQ($G1742,$I1742,U$1557,Valuation_Date_GC,ReportType,DataMode,$H1742,FXMode),"n/a"))</f>
        <v/>
      </c>
      <c r="V1742" s="2197" t="str">
        <f>IF($G1742=0,"",IFERROR(_xll.ciqfunctions.udf.CIQ($G1742,$I1742,V$1557,Valuation_Date_GC,ReportType,DataMode,$H1742,FXMode),"n/a"))</f>
        <v/>
      </c>
      <c r="W1742" s="1479"/>
      <c r="X1742" s="255"/>
      <c r="Y1742" s="89"/>
      <c r="Z1742" s="2060"/>
      <c r="AA1742" s="2060"/>
      <c r="AB1742" s="2060"/>
      <c r="AC1742" s="2060"/>
      <c r="AD1742" s="2060"/>
      <c r="AE1742" s="2060"/>
      <c r="AF1742" s="2060"/>
      <c r="AG1742" s="2060"/>
      <c r="AH1742" s="2060"/>
      <c r="AI1742" s="2060"/>
      <c r="AJ1742" s="2060"/>
      <c r="AK1742" s="2060"/>
      <c r="AL1742" s="2060"/>
      <c r="AM1742" s="2060"/>
      <c r="AN1742" s="2060"/>
      <c r="AO1742" s="2060"/>
      <c r="AP1742" s="2060"/>
      <c r="AQ1742" s="2060"/>
      <c r="AR1742" s="2060"/>
      <c r="AS1742" s="2060"/>
      <c r="AT1742" s="2060"/>
      <c r="AU1742" s="2060"/>
      <c r="AV1742" s="2060"/>
      <c r="AW1742" s="2060"/>
      <c r="AX1742" s="2060"/>
      <c r="AY1742" s="2060"/>
      <c r="AZ1742" s="2060"/>
      <c r="BA1742" s="2060"/>
      <c r="BB1742" s="2060"/>
      <c r="BC1742" s="2060"/>
      <c r="BD1742" s="2060"/>
      <c r="BE1742" s="2060"/>
      <c r="BF1742" s="2060"/>
      <c r="BG1742" s="2060"/>
      <c r="BH1742" s="2060"/>
      <c r="BI1742" s="2060"/>
      <c r="BJ1742" s="2060"/>
      <c r="BK1742" s="2060"/>
      <c r="BL1742" s="2060"/>
      <c r="BM1742" s="2060"/>
      <c r="BN1742" s="2060"/>
      <c r="BO1742" s="2060"/>
      <c r="BP1742" s="2060"/>
      <c r="BQ1742" s="2060"/>
      <c r="BR1742" s="2060"/>
      <c r="BS1742" s="2060"/>
      <c r="BT1742" s="2060"/>
      <c r="BU1742" s="2060"/>
      <c r="BV1742" s="2060"/>
      <c r="BW1742" s="2060"/>
      <c r="BX1742" s="2060"/>
      <c r="BY1742" s="2060"/>
      <c r="BZ1742" s="2060"/>
      <c r="CA1742" s="2060"/>
      <c r="CB1742" s="2060"/>
      <c r="CC1742" s="2060"/>
      <c r="CD1742" s="2060"/>
      <c r="CE1742" s="2060"/>
      <c r="CF1742" s="2060"/>
      <c r="CG1742" s="2060"/>
      <c r="CH1742" s="2060"/>
      <c r="CI1742" s="2060"/>
      <c r="CJ1742" s="2060"/>
      <c r="CK1742" s="2060"/>
      <c r="CL1742" s="2060"/>
      <c r="CM1742" s="2060"/>
      <c r="CN1742" s="2060"/>
      <c r="CO1742" s="2060"/>
      <c r="CP1742" s="2060"/>
      <c r="CQ1742" s="2060"/>
      <c r="CR1742" s="2060"/>
      <c r="CS1742" s="2060"/>
      <c r="CT1742" s="2060"/>
      <c r="CU1742" s="2060"/>
      <c r="CV1742" s="2060"/>
      <c r="CW1742" s="2060"/>
      <c r="CX1742" s="2060"/>
      <c r="CY1742" s="2060"/>
      <c r="CZ1742" s="2060"/>
      <c r="DA1742" s="2060"/>
      <c r="DB1742" s="2060"/>
      <c r="DC1742" s="2060"/>
      <c r="DD1742" s="2060"/>
      <c r="DE1742" s="2060"/>
      <c r="DF1742" s="2060"/>
      <c r="DG1742" s="2060"/>
      <c r="DH1742" s="2060"/>
      <c r="DI1742" s="2060"/>
      <c r="DJ1742" s="2060"/>
      <c r="DK1742" s="2060"/>
      <c r="DL1742" s="2060"/>
      <c r="DM1742" s="2060"/>
      <c r="DN1742" s="2060"/>
      <c r="DO1742" s="2060"/>
      <c r="DP1742" s="2060"/>
      <c r="DQ1742" s="2060"/>
      <c r="DR1742" s="2060"/>
      <c r="DS1742" s="2060"/>
      <c r="DT1742" s="2060"/>
      <c r="DU1742" s="2060"/>
      <c r="DV1742" s="2060"/>
      <c r="DW1742" s="2060"/>
      <c r="DX1742" s="2060"/>
      <c r="DY1742" s="2060"/>
      <c r="DZ1742" s="2060"/>
      <c r="EA1742" s="2060"/>
      <c r="EB1742" s="2060"/>
      <c r="EC1742" s="2060"/>
      <c r="ED1742" s="2060"/>
      <c r="EE1742" s="2060"/>
      <c r="EF1742" s="2060"/>
      <c r="EG1742" s="2060"/>
      <c r="EH1742" s="2060"/>
      <c r="EI1742" s="2060"/>
      <c r="EJ1742" s="2060"/>
      <c r="EK1742" s="2060"/>
      <c r="EL1742" s="2060"/>
      <c r="EM1742" s="2060"/>
      <c r="EN1742" s="2060"/>
      <c r="EO1742" s="2060"/>
      <c r="EP1742" s="2060"/>
      <c r="EQ1742" s="2060"/>
      <c r="ER1742" s="2060"/>
      <c r="ES1742" s="2060"/>
      <c r="ET1742" s="2060"/>
      <c r="EU1742" s="2060"/>
      <c r="EV1742" s="2060"/>
      <c r="EW1742" s="2060"/>
      <c r="EX1742" s="2060"/>
      <c r="EY1742" s="2060"/>
      <c r="EZ1742" s="2060"/>
      <c r="FA1742" s="2060"/>
      <c r="FB1742" s="2060"/>
      <c r="FC1742" s="2060"/>
      <c r="FD1742" s="2060"/>
      <c r="FE1742" s="2060"/>
      <c r="FF1742" s="2060"/>
      <c r="FG1742" s="2060"/>
      <c r="FH1742" s="2060"/>
      <c r="FI1742" s="2060"/>
      <c r="FJ1742" s="2060"/>
      <c r="FK1742" s="2060"/>
      <c r="FL1742" s="2060"/>
      <c r="FM1742" s="2060"/>
      <c r="FN1742" s="2060"/>
      <c r="FO1742" s="2060"/>
      <c r="FP1742" s="2060"/>
      <c r="FQ1742" s="2060"/>
      <c r="FR1742" s="2060"/>
      <c r="FS1742" s="2060"/>
      <c r="FT1742" s="2060"/>
      <c r="FU1742" s="2060"/>
      <c r="FV1742" s="2060"/>
      <c r="FW1742" s="2060"/>
      <c r="FX1742" s="2060"/>
      <c r="FY1742" s="2060"/>
      <c r="FZ1742" s="2060"/>
      <c r="GA1742" s="2060"/>
      <c r="GB1742" s="2060"/>
      <c r="GC1742" s="2060"/>
      <c r="GD1742" s="2060"/>
      <c r="GE1742" s="2060"/>
      <c r="GF1742" s="2060"/>
      <c r="GG1742" s="2060"/>
      <c r="GH1742" s="2060"/>
      <c r="GI1742" s="2060"/>
      <c r="GJ1742" s="2060"/>
      <c r="GK1742" s="2060"/>
      <c r="GL1742" s="2060"/>
      <c r="GM1742" s="2060"/>
      <c r="GN1742" s="2060"/>
      <c r="GO1742" s="2060"/>
      <c r="GP1742" s="2060"/>
      <c r="GQ1742" s="2060"/>
      <c r="GR1742" s="2060"/>
      <c r="GS1742" s="2060"/>
      <c r="GT1742" s="2060"/>
      <c r="GU1742" s="2060"/>
      <c r="GV1742" s="2060"/>
      <c r="GW1742" s="2060"/>
      <c r="GX1742" s="2060"/>
      <c r="GY1742" s="2060"/>
      <c r="GZ1742" s="2060"/>
      <c r="HA1742" s="2060"/>
      <c r="HB1742" s="2060"/>
      <c r="HC1742" s="2060"/>
      <c r="HD1742" s="2060"/>
      <c r="HE1742" s="2060"/>
      <c r="HF1742" s="2060"/>
      <c r="HG1742" s="2060"/>
      <c r="HH1742" s="2060"/>
      <c r="HI1742" s="2060"/>
      <c r="HJ1742" s="2060"/>
      <c r="HK1742" s="2060"/>
      <c r="HL1742" s="2060"/>
      <c r="HM1742" s="2060"/>
      <c r="HN1742" s="2060"/>
      <c r="HO1742" s="2060"/>
      <c r="HP1742" s="2060"/>
      <c r="HQ1742" s="2060"/>
      <c r="HR1742" s="2060"/>
      <c r="HS1742" s="2060"/>
      <c r="HT1742" s="2060"/>
      <c r="HU1742" s="2060"/>
      <c r="HV1742" s="2060"/>
      <c r="HW1742" s="2060"/>
      <c r="HX1742" s="2060"/>
      <c r="HY1742" s="2060"/>
      <c r="HZ1742" s="2060"/>
      <c r="IA1742" s="2060"/>
      <c r="IB1742" s="2060"/>
      <c r="IC1742" s="2060"/>
      <c r="ID1742" s="2060"/>
      <c r="IE1742" s="2060"/>
      <c r="IF1742" s="2060"/>
      <c r="IG1742" s="2060"/>
      <c r="IH1742" s="2060"/>
      <c r="II1742" s="2060"/>
      <c r="IJ1742" s="2060"/>
      <c r="IK1742" s="2060"/>
      <c r="IL1742" s="2060"/>
      <c r="IM1742" s="2060"/>
      <c r="IN1742" s="2060"/>
      <c r="IO1742" s="2060"/>
      <c r="IP1742" s="2060"/>
      <c r="IQ1742" s="2060"/>
      <c r="IR1742" s="2060"/>
      <c r="IS1742" s="2060"/>
      <c r="IT1742" s="2060"/>
      <c r="IU1742" s="2060"/>
      <c r="IV1742" s="2060"/>
      <c r="IW1742" s="2060"/>
      <c r="IX1742" s="2060"/>
      <c r="IY1742" s="2060"/>
      <c r="IZ1742" s="2060"/>
      <c r="JA1742" s="2060"/>
      <c r="JB1742" s="2060"/>
      <c r="JC1742" s="2060"/>
      <c r="JD1742" s="2060"/>
      <c r="JE1742" s="2060"/>
      <c r="JF1742" s="2060"/>
      <c r="JG1742" s="2060"/>
      <c r="JH1742" s="2060"/>
      <c r="JI1742" s="2060"/>
      <c r="JJ1742" s="2060"/>
      <c r="JK1742" s="2060"/>
      <c r="JL1742" s="2060"/>
      <c r="JM1742" s="2060"/>
      <c r="JN1742" s="2060"/>
      <c r="JO1742" s="2060"/>
      <c r="JP1742" s="2060"/>
      <c r="JQ1742" s="2060"/>
      <c r="JR1742" s="2060"/>
      <c r="JS1742" s="2060"/>
      <c r="JT1742" s="2060"/>
      <c r="JU1742" s="2060"/>
      <c r="JV1742" s="2060"/>
      <c r="JW1742" s="2060"/>
      <c r="JX1742" s="2060"/>
      <c r="JY1742" s="2060"/>
      <c r="JZ1742" s="2060"/>
      <c r="KA1742" s="2060"/>
      <c r="KB1742" s="2060"/>
      <c r="KC1742" s="2060"/>
      <c r="KD1742" s="2060"/>
      <c r="KE1742" s="2060"/>
      <c r="KF1742" s="2060"/>
      <c r="KG1742" s="2060"/>
      <c r="KH1742" s="2060"/>
      <c r="KI1742" s="2060"/>
      <c r="KJ1742" s="2060"/>
      <c r="KK1742" s="2060"/>
      <c r="KL1742" s="2060"/>
      <c r="KM1742" s="2060"/>
      <c r="KN1742" s="2060"/>
      <c r="KO1742" s="2060"/>
      <c r="KP1742" s="2060"/>
      <c r="KQ1742" s="2060"/>
      <c r="KR1742" s="2060"/>
      <c r="KS1742" s="2060"/>
      <c r="KT1742" s="2060"/>
      <c r="KU1742" s="2060"/>
      <c r="KV1742" s="2060"/>
      <c r="KW1742" s="2060"/>
      <c r="KX1742" s="2060"/>
      <c r="KY1742" s="2060"/>
      <c r="KZ1742" s="2060"/>
      <c r="LA1742" s="2060"/>
      <c r="LB1742" s="2060"/>
      <c r="LC1742" s="2060"/>
      <c r="LD1742" s="2060"/>
      <c r="LE1742" s="2060"/>
      <c r="LF1742" s="2060"/>
      <c r="LG1742" s="2060"/>
      <c r="LH1742" s="2060"/>
    </row>
    <row r="1743" spans="1:320" s="449" customFormat="1" ht="13.9">
      <c r="A1743" s="269" t="str">
        <f t="shared" si="475"/>
        <v>n</v>
      </c>
      <c r="B1743" s="2060"/>
      <c r="C1743" s="2060"/>
      <c r="D1743" s="2060"/>
      <c r="E1743" s="1661">
        <v>11</v>
      </c>
      <c r="F1743" s="1353" t="str">
        <f>F$139</f>
        <v>--</v>
      </c>
      <c r="G1743" s="128">
        <f>G$139</f>
        <v>0</v>
      </c>
      <c r="H1743" s="128" t="str">
        <f>H$139</f>
        <v>--</v>
      </c>
      <c r="I1743" s="89" t="s">
        <v>793</v>
      </c>
      <c r="J1743" s="2197" t="str">
        <f>IF($G1743=0,"",IFERROR(_xll.ciqfunctions.udf.CIQ($G1743,$I1743,J$1557,Valuation_Date_GC,ReportType,DataMode,$H1743,FXMode),"n/a"))</f>
        <v/>
      </c>
      <c r="K1743" s="2197" t="str">
        <f>IF($G1743=0,"",IFERROR(_xll.ciqfunctions.udf.CIQ($G1743,$I1743,K$1557,Valuation_Date_GC,ReportType,DataMode,$H1743,FXMode),"n/a"))</f>
        <v/>
      </c>
      <c r="L1743" s="2197" t="str">
        <f>IF($G1743=0,"",IFERROR(_xll.ciqfunctions.udf.CIQ($G1743,$I1743,L$1557,Valuation_Date_GC,ReportType,DataMode,$H1743,FXMode),"n/a"))</f>
        <v/>
      </c>
      <c r="M1743" s="2197" t="str">
        <f>IF($G1743=0,"",IFERROR(_xll.ciqfunctions.udf.CIQ($G1743,$I1743,M$1557,Valuation_Date_GC,ReportType,DataMode,$H1743,FXMode),"n/a"))</f>
        <v/>
      </c>
      <c r="N1743" s="2197" t="str">
        <f>IF($G1743=0,"",IFERROR(_xll.ciqfunctions.udf.CIQ($G1743,$I1743,N$1557,Valuation_Date_GC,ReportType,DataMode,$H1743,FXMode),"n/a"))</f>
        <v/>
      </c>
      <c r="O1743" s="2197" t="str">
        <f>IF($G1743=0,"",IFERROR(_xll.ciqfunctions.udf.CIQ($G1743,$I1743,O$1557,Valuation_Date_GC,ReportType,DataMode,$H1743,FXMode),"n/a"))</f>
        <v/>
      </c>
      <c r="P1743" s="2197" t="str">
        <f>IF($G1743=0,"",IFERROR(_xll.ciqfunctions.udf.CIQ($G1743,$I1743,P$1557,Valuation_Date_GC,ReportType,DataMode,$H1743,FXMode),"n/a"))</f>
        <v/>
      </c>
      <c r="Q1743" s="2197" t="str">
        <f>IF($G1743=0,"",IFERROR(_xll.ciqfunctions.udf.CIQ($G1743,$I1743,Q$1557,Valuation_Date_GC,ReportType,DataMode,$H1743,FXMode),"n/a"))</f>
        <v/>
      </c>
      <c r="R1743" s="2197" t="str">
        <f>IF($G1743=0,"",IFERROR(_xll.ciqfunctions.udf.CIQ($G1743,$I1743,R$1557,Valuation_Date_GC,ReportType,DataMode,$H1743,FXMode),"n/a"))</f>
        <v/>
      </c>
      <c r="S1743" s="2197" t="str">
        <f>IF($G1743=0,"",IFERROR(_xll.ciqfunctions.udf.CIQ($G1743,$I1743,S$1557,Valuation_Date_GC,ReportType,DataMode,$H1743,FXMode),"n/a"))</f>
        <v/>
      </c>
      <c r="T1743" s="2197" t="str">
        <f>IF($G1743=0,"",IFERROR(_xll.ciqfunctions.udf.CIQ($G1743,$I1743,T$1557,Valuation_Date_GC,ReportType,DataMode,$H1743,FXMode),"n/a"))</f>
        <v/>
      </c>
      <c r="U1743" s="2197" t="str">
        <f>IF($G1743=0,"",IFERROR(_xll.ciqfunctions.udf.CIQ($G1743,$I1743,U$1557,Valuation_Date_GC,ReportType,DataMode,$H1743,FXMode),"n/a"))</f>
        <v/>
      </c>
      <c r="V1743" s="2197" t="str">
        <f>IF($G1743=0,"",IFERROR(_xll.ciqfunctions.udf.CIQ($G1743,$I1743,V$1557,Valuation_Date_GC,ReportType,DataMode,$H1743,FXMode),"n/a"))</f>
        <v/>
      </c>
      <c r="W1743" s="1479"/>
      <c r="X1743" s="255"/>
      <c r="Y1743" s="89"/>
      <c r="Z1743" s="2060"/>
      <c r="AA1743" s="2060"/>
      <c r="AB1743" s="2060"/>
      <c r="AC1743" s="2060"/>
      <c r="AD1743" s="2060"/>
      <c r="AE1743" s="2060"/>
      <c r="AF1743" s="2060"/>
      <c r="AG1743" s="2060"/>
      <c r="AH1743" s="2060"/>
      <c r="AI1743" s="2060"/>
      <c r="AJ1743" s="2060"/>
      <c r="AK1743" s="2060"/>
      <c r="AL1743" s="2060"/>
      <c r="AM1743" s="2060"/>
      <c r="AN1743" s="2060"/>
      <c r="AO1743" s="2060"/>
      <c r="AP1743" s="2060"/>
      <c r="AQ1743" s="2060"/>
      <c r="AR1743" s="2060"/>
      <c r="AS1743" s="2060"/>
      <c r="AT1743" s="2060"/>
      <c r="AU1743" s="2060"/>
      <c r="AV1743" s="2060"/>
      <c r="AW1743" s="2060"/>
      <c r="AX1743" s="2060"/>
      <c r="AY1743" s="2060"/>
      <c r="AZ1743" s="2060"/>
      <c r="BA1743" s="2060"/>
      <c r="BB1743" s="2060"/>
      <c r="BC1743" s="2060"/>
      <c r="BD1743" s="2060"/>
      <c r="BE1743" s="2060"/>
      <c r="BF1743" s="2060"/>
      <c r="BG1743" s="2060"/>
      <c r="BH1743" s="2060"/>
      <c r="BI1743" s="2060"/>
      <c r="BJ1743" s="2060"/>
      <c r="BK1743" s="2060"/>
      <c r="BL1743" s="2060"/>
      <c r="BM1743" s="2060"/>
      <c r="BN1743" s="2060"/>
      <c r="BO1743" s="2060"/>
      <c r="BP1743" s="2060"/>
      <c r="BQ1743" s="2060"/>
      <c r="BR1743" s="2060"/>
      <c r="BS1743" s="2060"/>
      <c r="BT1743" s="2060"/>
      <c r="BU1743" s="2060"/>
      <c r="BV1743" s="2060"/>
      <c r="BW1743" s="2060"/>
      <c r="BX1743" s="2060"/>
      <c r="BY1743" s="2060"/>
      <c r="BZ1743" s="2060"/>
      <c r="CA1743" s="2060"/>
      <c r="CB1743" s="2060"/>
      <c r="CC1743" s="2060"/>
      <c r="CD1743" s="2060"/>
      <c r="CE1743" s="2060"/>
      <c r="CF1743" s="2060"/>
      <c r="CG1743" s="2060"/>
      <c r="CH1743" s="2060"/>
      <c r="CI1743" s="2060"/>
      <c r="CJ1743" s="2060"/>
      <c r="CK1743" s="2060"/>
      <c r="CL1743" s="2060"/>
      <c r="CM1743" s="2060"/>
      <c r="CN1743" s="2060"/>
      <c r="CO1743" s="2060"/>
      <c r="CP1743" s="2060"/>
      <c r="CQ1743" s="2060"/>
      <c r="CR1743" s="2060"/>
      <c r="CS1743" s="2060"/>
      <c r="CT1743" s="2060"/>
      <c r="CU1743" s="2060"/>
      <c r="CV1743" s="2060"/>
      <c r="CW1743" s="2060"/>
      <c r="CX1743" s="2060"/>
      <c r="CY1743" s="2060"/>
      <c r="CZ1743" s="2060"/>
      <c r="DA1743" s="2060"/>
      <c r="DB1743" s="2060"/>
      <c r="DC1743" s="2060"/>
      <c r="DD1743" s="2060"/>
      <c r="DE1743" s="2060"/>
      <c r="DF1743" s="2060"/>
      <c r="DG1743" s="2060"/>
      <c r="DH1743" s="2060"/>
      <c r="DI1743" s="2060"/>
      <c r="DJ1743" s="2060"/>
      <c r="DK1743" s="2060"/>
      <c r="DL1743" s="2060"/>
      <c r="DM1743" s="2060"/>
      <c r="DN1743" s="2060"/>
      <c r="DO1743" s="2060"/>
      <c r="DP1743" s="2060"/>
      <c r="DQ1743" s="2060"/>
      <c r="DR1743" s="2060"/>
      <c r="DS1743" s="2060"/>
      <c r="DT1743" s="2060"/>
      <c r="DU1743" s="2060"/>
      <c r="DV1743" s="2060"/>
      <c r="DW1743" s="2060"/>
      <c r="DX1743" s="2060"/>
      <c r="DY1743" s="2060"/>
      <c r="DZ1743" s="2060"/>
      <c r="EA1743" s="2060"/>
      <c r="EB1743" s="2060"/>
      <c r="EC1743" s="2060"/>
      <c r="ED1743" s="2060"/>
      <c r="EE1743" s="2060"/>
      <c r="EF1743" s="2060"/>
      <c r="EG1743" s="2060"/>
      <c r="EH1743" s="2060"/>
      <c r="EI1743" s="2060"/>
      <c r="EJ1743" s="2060"/>
      <c r="EK1743" s="2060"/>
      <c r="EL1743" s="2060"/>
      <c r="EM1743" s="2060"/>
      <c r="EN1743" s="2060"/>
      <c r="EO1743" s="2060"/>
      <c r="EP1743" s="2060"/>
      <c r="EQ1743" s="2060"/>
      <c r="ER1743" s="2060"/>
      <c r="ES1743" s="2060"/>
      <c r="ET1743" s="2060"/>
      <c r="EU1743" s="2060"/>
      <c r="EV1743" s="2060"/>
      <c r="EW1743" s="2060"/>
      <c r="EX1743" s="2060"/>
      <c r="EY1743" s="2060"/>
      <c r="EZ1743" s="2060"/>
      <c r="FA1743" s="2060"/>
      <c r="FB1743" s="2060"/>
      <c r="FC1743" s="2060"/>
      <c r="FD1743" s="2060"/>
      <c r="FE1743" s="2060"/>
      <c r="FF1743" s="2060"/>
      <c r="FG1743" s="2060"/>
      <c r="FH1743" s="2060"/>
      <c r="FI1743" s="2060"/>
      <c r="FJ1743" s="2060"/>
      <c r="FK1743" s="2060"/>
      <c r="FL1743" s="2060"/>
      <c r="FM1743" s="2060"/>
      <c r="FN1743" s="2060"/>
      <c r="FO1743" s="2060"/>
      <c r="FP1743" s="2060"/>
      <c r="FQ1743" s="2060"/>
      <c r="FR1743" s="2060"/>
      <c r="FS1743" s="2060"/>
      <c r="FT1743" s="2060"/>
      <c r="FU1743" s="2060"/>
      <c r="FV1743" s="2060"/>
      <c r="FW1743" s="2060"/>
      <c r="FX1743" s="2060"/>
      <c r="FY1743" s="2060"/>
      <c r="FZ1743" s="2060"/>
      <c r="GA1743" s="2060"/>
      <c r="GB1743" s="2060"/>
      <c r="GC1743" s="2060"/>
      <c r="GD1743" s="2060"/>
      <c r="GE1743" s="2060"/>
      <c r="GF1743" s="2060"/>
      <c r="GG1743" s="2060"/>
      <c r="GH1743" s="2060"/>
      <c r="GI1743" s="2060"/>
      <c r="GJ1743" s="2060"/>
      <c r="GK1743" s="2060"/>
      <c r="GL1743" s="2060"/>
      <c r="GM1743" s="2060"/>
      <c r="GN1743" s="2060"/>
      <c r="GO1743" s="2060"/>
      <c r="GP1743" s="2060"/>
      <c r="GQ1743" s="2060"/>
      <c r="GR1743" s="2060"/>
      <c r="GS1743" s="2060"/>
      <c r="GT1743" s="2060"/>
      <c r="GU1743" s="2060"/>
      <c r="GV1743" s="2060"/>
      <c r="GW1743" s="2060"/>
      <c r="GX1743" s="2060"/>
      <c r="GY1743" s="2060"/>
      <c r="GZ1743" s="2060"/>
      <c r="HA1743" s="2060"/>
      <c r="HB1743" s="2060"/>
      <c r="HC1743" s="2060"/>
      <c r="HD1743" s="2060"/>
      <c r="HE1743" s="2060"/>
      <c r="HF1743" s="2060"/>
      <c r="HG1743" s="2060"/>
      <c r="HH1743" s="2060"/>
      <c r="HI1743" s="2060"/>
      <c r="HJ1743" s="2060"/>
      <c r="HK1743" s="2060"/>
      <c r="HL1743" s="2060"/>
      <c r="HM1743" s="2060"/>
      <c r="HN1743" s="2060"/>
      <c r="HO1743" s="2060"/>
      <c r="HP1743" s="2060"/>
      <c r="HQ1743" s="2060"/>
      <c r="HR1743" s="2060"/>
      <c r="HS1743" s="2060"/>
      <c r="HT1743" s="2060"/>
      <c r="HU1743" s="2060"/>
      <c r="HV1743" s="2060"/>
      <c r="HW1743" s="2060"/>
      <c r="HX1743" s="2060"/>
      <c r="HY1743" s="2060"/>
      <c r="HZ1743" s="2060"/>
      <c r="IA1743" s="2060"/>
      <c r="IB1743" s="2060"/>
      <c r="IC1743" s="2060"/>
      <c r="ID1743" s="2060"/>
      <c r="IE1743" s="2060"/>
      <c r="IF1743" s="2060"/>
      <c r="IG1743" s="2060"/>
      <c r="IH1743" s="2060"/>
      <c r="II1743" s="2060"/>
      <c r="IJ1743" s="2060"/>
      <c r="IK1743" s="2060"/>
      <c r="IL1743" s="2060"/>
      <c r="IM1743" s="2060"/>
      <c r="IN1743" s="2060"/>
      <c r="IO1743" s="2060"/>
      <c r="IP1743" s="2060"/>
      <c r="IQ1743" s="2060"/>
      <c r="IR1743" s="2060"/>
      <c r="IS1743" s="2060"/>
      <c r="IT1743" s="2060"/>
      <c r="IU1743" s="2060"/>
      <c r="IV1743" s="2060"/>
      <c r="IW1743" s="2060"/>
      <c r="IX1743" s="2060"/>
      <c r="IY1743" s="2060"/>
      <c r="IZ1743" s="2060"/>
      <c r="JA1743" s="2060"/>
      <c r="JB1743" s="2060"/>
      <c r="JC1743" s="2060"/>
      <c r="JD1743" s="2060"/>
      <c r="JE1743" s="2060"/>
      <c r="JF1743" s="2060"/>
      <c r="JG1743" s="2060"/>
      <c r="JH1743" s="2060"/>
      <c r="JI1743" s="2060"/>
      <c r="JJ1743" s="2060"/>
      <c r="JK1743" s="2060"/>
      <c r="JL1743" s="2060"/>
      <c r="JM1743" s="2060"/>
      <c r="JN1743" s="2060"/>
      <c r="JO1743" s="2060"/>
      <c r="JP1743" s="2060"/>
      <c r="JQ1743" s="2060"/>
      <c r="JR1743" s="2060"/>
      <c r="JS1743" s="2060"/>
      <c r="JT1743" s="2060"/>
      <c r="JU1743" s="2060"/>
      <c r="JV1743" s="2060"/>
      <c r="JW1743" s="2060"/>
      <c r="JX1743" s="2060"/>
      <c r="JY1743" s="2060"/>
      <c r="JZ1743" s="2060"/>
      <c r="KA1743" s="2060"/>
      <c r="KB1743" s="2060"/>
      <c r="KC1743" s="2060"/>
      <c r="KD1743" s="2060"/>
      <c r="KE1743" s="2060"/>
      <c r="KF1743" s="2060"/>
      <c r="KG1743" s="2060"/>
      <c r="KH1743" s="2060"/>
      <c r="KI1743" s="2060"/>
      <c r="KJ1743" s="2060"/>
      <c r="KK1743" s="2060"/>
      <c r="KL1743" s="2060"/>
      <c r="KM1743" s="2060"/>
      <c r="KN1743" s="2060"/>
      <c r="KO1743" s="2060"/>
      <c r="KP1743" s="2060"/>
      <c r="KQ1743" s="2060"/>
      <c r="KR1743" s="2060"/>
      <c r="KS1743" s="2060"/>
      <c r="KT1743" s="2060"/>
      <c r="KU1743" s="2060"/>
      <c r="KV1743" s="2060"/>
      <c r="KW1743" s="2060"/>
      <c r="KX1743" s="2060"/>
      <c r="KY1743" s="2060"/>
      <c r="KZ1743" s="2060"/>
      <c r="LA1743" s="2060"/>
      <c r="LB1743" s="2060"/>
      <c r="LC1743" s="2060"/>
      <c r="LD1743" s="2060"/>
      <c r="LE1743" s="2060"/>
      <c r="LF1743" s="2060"/>
      <c r="LG1743" s="2060"/>
      <c r="LH1743" s="2060"/>
    </row>
    <row r="1744" spans="1:320" s="449" customFormat="1" ht="13.9">
      <c r="A1744" s="269" t="str">
        <f t="shared" si="475"/>
        <v>n</v>
      </c>
      <c r="B1744" s="2060"/>
      <c r="C1744" s="2060"/>
      <c r="D1744" s="2060"/>
      <c r="E1744" s="1661">
        <v>12</v>
      </c>
      <c r="F1744" s="1353" t="str">
        <f>F$140</f>
        <v>--</v>
      </c>
      <c r="G1744" s="128">
        <f>G$140</f>
        <v>0</v>
      </c>
      <c r="H1744" s="128" t="str">
        <f>H$140</f>
        <v>--</v>
      </c>
      <c r="I1744" s="89" t="s">
        <v>793</v>
      </c>
      <c r="J1744" s="2197" t="str">
        <f>IF($G1744=0,"",IFERROR(_xll.ciqfunctions.udf.CIQ($G1744,$I1744,J$1557,Valuation_Date_GC,ReportType,DataMode,$H1744,FXMode),"n/a"))</f>
        <v/>
      </c>
      <c r="K1744" s="2197" t="str">
        <f>IF($G1744=0,"",IFERROR(_xll.ciqfunctions.udf.CIQ($G1744,$I1744,K$1557,Valuation_Date_GC,ReportType,DataMode,$H1744,FXMode),"n/a"))</f>
        <v/>
      </c>
      <c r="L1744" s="2197" t="str">
        <f>IF($G1744=0,"",IFERROR(_xll.ciqfunctions.udf.CIQ($G1744,$I1744,L$1557,Valuation_Date_GC,ReportType,DataMode,$H1744,FXMode),"n/a"))</f>
        <v/>
      </c>
      <c r="M1744" s="2197" t="str">
        <f>IF($G1744=0,"",IFERROR(_xll.ciqfunctions.udf.CIQ($G1744,$I1744,M$1557,Valuation_Date_GC,ReportType,DataMode,$H1744,FXMode),"n/a"))</f>
        <v/>
      </c>
      <c r="N1744" s="2197" t="str">
        <f>IF($G1744=0,"",IFERROR(_xll.ciqfunctions.udf.CIQ($G1744,$I1744,N$1557,Valuation_Date_GC,ReportType,DataMode,$H1744,FXMode),"n/a"))</f>
        <v/>
      </c>
      <c r="O1744" s="2197" t="str">
        <f>IF($G1744=0,"",IFERROR(_xll.ciqfunctions.udf.CIQ($G1744,$I1744,O$1557,Valuation_Date_GC,ReportType,DataMode,$H1744,FXMode),"n/a"))</f>
        <v/>
      </c>
      <c r="P1744" s="2197" t="str">
        <f>IF($G1744=0,"",IFERROR(_xll.ciqfunctions.udf.CIQ($G1744,$I1744,P$1557,Valuation_Date_GC,ReportType,DataMode,$H1744,FXMode),"n/a"))</f>
        <v/>
      </c>
      <c r="Q1744" s="2197" t="str">
        <f>IF($G1744=0,"",IFERROR(_xll.ciqfunctions.udf.CIQ($G1744,$I1744,Q$1557,Valuation_Date_GC,ReportType,DataMode,$H1744,FXMode),"n/a"))</f>
        <v/>
      </c>
      <c r="R1744" s="2197" t="str">
        <f>IF($G1744=0,"",IFERROR(_xll.ciqfunctions.udf.CIQ($G1744,$I1744,R$1557,Valuation_Date_GC,ReportType,DataMode,$H1744,FXMode),"n/a"))</f>
        <v/>
      </c>
      <c r="S1744" s="2197" t="str">
        <f>IF($G1744=0,"",IFERROR(_xll.ciqfunctions.udf.CIQ($G1744,$I1744,S$1557,Valuation_Date_GC,ReportType,DataMode,$H1744,FXMode),"n/a"))</f>
        <v/>
      </c>
      <c r="T1744" s="2197" t="str">
        <f>IF($G1744=0,"",IFERROR(_xll.ciqfunctions.udf.CIQ($G1744,$I1744,T$1557,Valuation_Date_GC,ReportType,DataMode,$H1744,FXMode),"n/a"))</f>
        <v/>
      </c>
      <c r="U1744" s="2197" t="str">
        <f>IF($G1744=0,"",IFERROR(_xll.ciqfunctions.udf.CIQ($G1744,$I1744,U$1557,Valuation_Date_GC,ReportType,DataMode,$H1744,FXMode),"n/a"))</f>
        <v/>
      </c>
      <c r="V1744" s="2197" t="str">
        <f>IF($G1744=0,"",IFERROR(_xll.ciqfunctions.udf.CIQ($G1744,$I1744,V$1557,Valuation_Date_GC,ReportType,DataMode,$H1744,FXMode),"n/a"))</f>
        <v/>
      </c>
      <c r="W1744" s="1479"/>
      <c r="X1744" s="255"/>
      <c r="Y1744" s="255"/>
      <c r="Z1744" s="2060"/>
      <c r="AA1744" s="2060"/>
      <c r="AB1744" s="2060"/>
      <c r="AC1744" s="2060"/>
      <c r="AD1744" s="2060"/>
      <c r="AE1744" s="2060"/>
      <c r="AF1744" s="2060"/>
      <c r="AG1744" s="2060"/>
      <c r="AH1744" s="2060"/>
      <c r="AI1744" s="2060"/>
      <c r="AJ1744" s="2060"/>
      <c r="AK1744" s="2060"/>
      <c r="AL1744" s="2060"/>
      <c r="AM1744" s="2060"/>
      <c r="AN1744" s="2060"/>
      <c r="AO1744" s="2060"/>
      <c r="AP1744" s="2060"/>
      <c r="AQ1744" s="2060"/>
      <c r="AR1744" s="2060"/>
      <c r="AS1744" s="2060"/>
      <c r="AT1744" s="2060"/>
      <c r="AU1744" s="2060"/>
      <c r="AV1744" s="2060"/>
      <c r="AW1744" s="2060"/>
      <c r="AX1744" s="2060"/>
      <c r="AY1744" s="2060"/>
      <c r="AZ1744" s="2060"/>
      <c r="BA1744" s="2060"/>
      <c r="BB1744" s="2060"/>
      <c r="BC1744" s="2060"/>
      <c r="BD1744" s="2060"/>
      <c r="BE1744" s="2060"/>
      <c r="BF1744" s="2060"/>
      <c r="BG1744" s="2060"/>
      <c r="BH1744" s="2060"/>
      <c r="BI1744" s="2060"/>
      <c r="BJ1744" s="2060"/>
      <c r="BK1744" s="2060"/>
      <c r="BL1744" s="2060"/>
      <c r="BM1744" s="2060"/>
      <c r="BN1744" s="2060"/>
      <c r="BO1744" s="2060"/>
      <c r="BP1744" s="2060"/>
      <c r="BQ1744" s="2060"/>
      <c r="BR1744" s="2060"/>
      <c r="BS1744" s="2060"/>
      <c r="BT1744" s="2060"/>
      <c r="BU1744" s="2060"/>
      <c r="BV1744" s="2060"/>
      <c r="BW1744" s="2060"/>
      <c r="BX1744" s="2060"/>
      <c r="BY1744" s="2060"/>
      <c r="BZ1744" s="2060"/>
      <c r="CA1744" s="2060"/>
      <c r="CB1744" s="2060"/>
      <c r="CC1744" s="2060"/>
      <c r="CD1744" s="2060"/>
      <c r="CE1744" s="2060"/>
      <c r="CF1744" s="2060"/>
      <c r="CG1744" s="2060"/>
      <c r="CH1744" s="2060"/>
      <c r="CI1744" s="2060"/>
      <c r="CJ1744" s="2060"/>
      <c r="CK1744" s="2060"/>
      <c r="CL1744" s="2060"/>
      <c r="CM1744" s="2060"/>
      <c r="CN1744" s="2060"/>
      <c r="CO1744" s="2060"/>
      <c r="CP1744" s="2060"/>
      <c r="CQ1744" s="2060"/>
      <c r="CR1744" s="2060"/>
      <c r="CS1744" s="2060"/>
      <c r="CT1744" s="2060"/>
      <c r="CU1744" s="2060"/>
      <c r="CV1744" s="2060"/>
      <c r="CW1744" s="2060"/>
      <c r="CX1744" s="2060"/>
      <c r="CY1744" s="2060"/>
      <c r="CZ1744" s="2060"/>
      <c r="DA1744" s="2060"/>
      <c r="DB1744" s="2060"/>
      <c r="DC1744" s="2060"/>
      <c r="DD1744" s="2060"/>
      <c r="DE1744" s="2060"/>
      <c r="DF1744" s="2060"/>
      <c r="DG1744" s="2060"/>
      <c r="DH1744" s="2060"/>
      <c r="DI1744" s="2060"/>
      <c r="DJ1744" s="2060"/>
      <c r="DK1744" s="2060"/>
      <c r="DL1744" s="2060"/>
      <c r="DM1744" s="2060"/>
      <c r="DN1744" s="2060"/>
      <c r="DO1744" s="2060"/>
      <c r="DP1744" s="2060"/>
      <c r="DQ1744" s="2060"/>
      <c r="DR1744" s="2060"/>
      <c r="DS1744" s="2060"/>
      <c r="DT1744" s="2060"/>
      <c r="DU1744" s="2060"/>
      <c r="DV1744" s="2060"/>
      <c r="DW1744" s="2060"/>
      <c r="DX1744" s="2060"/>
      <c r="DY1744" s="2060"/>
      <c r="DZ1744" s="2060"/>
      <c r="EA1744" s="2060"/>
      <c r="EB1744" s="2060"/>
      <c r="EC1744" s="2060"/>
      <c r="ED1744" s="2060"/>
      <c r="EE1744" s="2060"/>
      <c r="EF1744" s="2060"/>
      <c r="EG1744" s="2060"/>
      <c r="EH1744" s="2060"/>
      <c r="EI1744" s="2060"/>
      <c r="EJ1744" s="2060"/>
      <c r="EK1744" s="2060"/>
      <c r="EL1744" s="2060"/>
      <c r="EM1744" s="2060"/>
      <c r="EN1744" s="2060"/>
      <c r="EO1744" s="2060"/>
      <c r="EP1744" s="2060"/>
      <c r="EQ1744" s="2060"/>
      <c r="ER1744" s="2060"/>
      <c r="ES1744" s="2060"/>
      <c r="ET1744" s="2060"/>
      <c r="EU1744" s="2060"/>
      <c r="EV1744" s="2060"/>
      <c r="EW1744" s="2060"/>
      <c r="EX1744" s="2060"/>
      <c r="EY1744" s="2060"/>
      <c r="EZ1744" s="2060"/>
      <c r="FA1744" s="2060"/>
      <c r="FB1744" s="2060"/>
      <c r="FC1744" s="2060"/>
      <c r="FD1744" s="2060"/>
      <c r="FE1744" s="2060"/>
      <c r="FF1744" s="2060"/>
      <c r="FG1744" s="2060"/>
      <c r="FH1744" s="2060"/>
      <c r="FI1744" s="2060"/>
      <c r="FJ1744" s="2060"/>
      <c r="FK1744" s="2060"/>
      <c r="FL1744" s="2060"/>
      <c r="FM1744" s="2060"/>
      <c r="FN1744" s="2060"/>
      <c r="FO1744" s="2060"/>
      <c r="FP1744" s="2060"/>
      <c r="FQ1744" s="2060"/>
      <c r="FR1744" s="2060"/>
      <c r="FS1744" s="2060"/>
      <c r="FT1744" s="2060"/>
      <c r="FU1744" s="2060"/>
      <c r="FV1744" s="2060"/>
      <c r="FW1744" s="2060"/>
      <c r="FX1744" s="2060"/>
      <c r="FY1744" s="2060"/>
      <c r="FZ1744" s="2060"/>
      <c r="GA1744" s="2060"/>
      <c r="GB1744" s="2060"/>
      <c r="GC1744" s="2060"/>
      <c r="GD1744" s="2060"/>
      <c r="GE1744" s="2060"/>
      <c r="GF1744" s="2060"/>
      <c r="GG1744" s="2060"/>
      <c r="GH1744" s="2060"/>
      <c r="GI1744" s="2060"/>
      <c r="GJ1744" s="2060"/>
      <c r="GK1744" s="2060"/>
      <c r="GL1744" s="2060"/>
      <c r="GM1744" s="2060"/>
      <c r="GN1744" s="2060"/>
      <c r="GO1744" s="2060"/>
      <c r="GP1744" s="2060"/>
      <c r="GQ1744" s="2060"/>
      <c r="GR1744" s="2060"/>
      <c r="GS1744" s="2060"/>
      <c r="GT1744" s="2060"/>
      <c r="GU1744" s="2060"/>
      <c r="GV1744" s="2060"/>
      <c r="GW1744" s="2060"/>
      <c r="GX1744" s="2060"/>
      <c r="GY1744" s="2060"/>
      <c r="GZ1744" s="2060"/>
      <c r="HA1744" s="2060"/>
      <c r="HB1744" s="2060"/>
      <c r="HC1744" s="2060"/>
      <c r="HD1744" s="2060"/>
      <c r="HE1744" s="2060"/>
      <c r="HF1744" s="2060"/>
      <c r="HG1744" s="2060"/>
      <c r="HH1744" s="2060"/>
      <c r="HI1744" s="2060"/>
      <c r="HJ1744" s="2060"/>
      <c r="HK1744" s="2060"/>
      <c r="HL1744" s="2060"/>
      <c r="HM1744" s="2060"/>
      <c r="HN1744" s="2060"/>
      <c r="HO1744" s="2060"/>
      <c r="HP1744" s="2060"/>
      <c r="HQ1744" s="2060"/>
      <c r="HR1744" s="2060"/>
      <c r="HS1744" s="2060"/>
      <c r="HT1744" s="2060"/>
      <c r="HU1744" s="2060"/>
      <c r="HV1744" s="2060"/>
      <c r="HW1744" s="2060"/>
      <c r="HX1744" s="2060"/>
      <c r="HY1744" s="2060"/>
      <c r="HZ1744" s="2060"/>
      <c r="IA1744" s="2060"/>
      <c r="IB1744" s="2060"/>
      <c r="IC1744" s="2060"/>
      <c r="ID1744" s="2060"/>
      <c r="IE1744" s="2060"/>
      <c r="IF1744" s="2060"/>
      <c r="IG1744" s="2060"/>
      <c r="IH1744" s="2060"/>
      <c r="II1744" s="2060"/>
      <c r="IJ1744" s="2060"/>
      <c r="IK1744" s="2060"/>
      <c r="IL1744" s="2060"/>
      <c r="IM1744" s="2060"/>
      <c r="IN1744" s="2060"/>
      <c r="IO1744" s="2060"/>
      <c r="IP1744" s="2060"/>
      <c r="IQ1744" s="2060"/>
      <c r="IR1744" s="2060"/>
      <c r="IS1744" s="2060"/>
      <c r="IT1744" s="2060"/>
      <c r="IU1744" s="2060"/>
      <c r="IV1744" s="2060"/>
      <c r="IW1744" s="2060"/>
      <c r="IX1744" s="2060"/>
      <c r="IY1744" s="2060"/>
      <c r="IZ1744" s="2060"/>
      <c r="JA1744" s="2060"/>
      <c r="JB1744" s="2060"/>
      <c r="JC1744" s="2060"/>
      <c r="JD1744" s="2060"/>
      <c r="JE1744" s="2060"/>
      <c r="JF1744" s="2060"/>
      <c r="JG1744" s="2060"/>
      <c r="JH1744" s="2060"/>
      <c r="JI1744" s="2060"/>
      <c r="JJ1744" s="2060"/>
      <c r="JK1744" s="2060"/>
      <c r="JL1744" s="2060"/>
      <c r="JM1744" s="2060"/>
      <c r="JN1744" s="2060"/>
      <c r="JO1744" s="2060"/>
      <c r="JP1744" s="2060"/>
      <c r="JQ1744" s="2060"/>
      <c r="JR1744" s="2060"/>
      <c r="JS1744" s="2060"/>
      <c r="JT1744" s="2060"/>
      <c r="JU1744" s="2060"/>
      <c r="JV1744" s="2060"/>
      <c r="JW1744" s="2060"/>
      <c r="JX1744" s="2060"/>
      <c r="JY1744" s="2060"/>
      <c r="JZ1744" s="2060"/>
      <c r="KA1744" s="2060"/>
      <c r="KB1744" s="2060"/>
      <c r="KC1744" s="2060"/>
      <c r="KD1744" s="2060"/>
      <c r="KE1744" s="2060"/>
      <c r="KF1744" s="2060"/>
      <c r="KG1744" s="2060"/>
      <c r="KH1744" s="2060"/>
      <c r="KI1744" s="2060"/>
      <c r="KJ1744" s="2060"/>
      <c r="KK1744" s="2060"/>
      <c r="KL1744" s="2060"/>
      <c r="KM1744" s="2060"/>
      <c r="KN1744" s="2060"/>
      <c r="KO1744" s="2060"/>
      <c r="KP1744" s="2060"/>
      <c r="KQ1744" s="2060"/>
      <c r="KR1744" s="2060"/>
      <c r="KS1744" s="2060"/>
      <c r="KT1744" s="2060"/>
      <c r="KU1744" s="2060"/>
      <c r="KV1744" s="2060"/>
      <c r="KW1744" s="2060"/>
      <c r="KX1744" s="2060"/>
      <c r="KY1744" s="2060"/>
      <c r="KZ1744" s="2060"/>
      <c r="LA1744" s="2060"/>
      <c r="LB1744" s="2060"/>
      <c r="LC1744" s="2060"/>
      <c r="LD1744" s="2060"/>
      <c r="LE1744" s="2060"/>
      <c r="LF1744" s="2060"/>
      <c r="LG1744" s="2060"/>
      <c r="LH1744" s="2060"/>
    </row>
    <row r="1745" spans="1:320" s="449" customFormat="1" ht="13.9">
      <c r="A1745" s="269" t="str">
        <f t="shared" si="475"/>
        <v>n</v>
      </c>
      <c r="B1745" s="2060"/>
      <c r="C1745" s="2060"/>
      <c r="D1745" s="2060"/>
      <c r="E1745" s="1661">
        <v>13</v>
      </c>
      <c r="F1745" s="1353" t="str">
        <f>F$141</f>
        <v>--</v>
      </c>
      <c r="G1745" s="128">
        <f>G$141</f>
        <v>0</v>
      </c>
      <c r="H1745" s="128" t="str">
        <f>H$141</f>
        <v>--</v>
      </c>
      <c r="I1745" s="89" t="s">
        <v>793</v>
      </c>
      <c r="J1745" s="2197" t="str">
        <f>IF($G1745=0,"",IFERROR(_xll.ciqfunctions.udf.CIQ($G1745,$I1745,J$1557,Valuation_Date_GC,ReportType,DataMode,$H1745,FXMode),"n/a"))</f>
        <v/>
      </c>
      <c r="K1745" s="2197" t="str">
        <f>IF($G1745=0,"",IFERROR(_xll.ciqfunctions.udf.CIQ($G1745,$I1745,K$1557,Valuation_Date_GC,ReportType,DataMode,$H1745,FXMode),"n/a"))</f>
        <v/>
      </c>
      <c r="L1745" s="2197" t="str">
        <f>IF($G1745=0,"",IFERROR(_xll.ciqfunctions.udf.CIQ($G1745,$I1745,L$1557,Valuation_Date_GC,ReportType,DataMode,$H1745,FXMode),"n/a"))</f>
        <v/>
      </c>
      <c r="M1745" s="2197" t="str">
        <f>IF($G1745=0,"",IFERROR(_xll.ciqfunctions.udf.CIQ($G1745,$I1745,M$1557,Valuation_Date_GC,ReportType,DataMode,$H1745,FXMode),"n/a"))</f>
        <v/>
      </c>
      <c r="N1745" s="2197" t="str">
        <f>IF($G1745=0,"",IFERROR(_xll.ciqfunctions.udf.CIQ($G1745,$I1745,N$1557,Valuation_Date_GC,ReportType,DataMode,$H1745,FXMode),"n/a"))</f>
        <v/>
      </c>
      <c r="O1745" s="2197" t="str">
        <f>IF($G1745=0,"",IFERROR(_xll.ciqfunctions.udf.CIQ($G1745,$I1745,O$1557,Valuation_Date_GC,ReportType,DataMode,$H1745,FXMode),"n/a"))</f>
        <v/>
      </c>
      <c r="P1745" s="2197" t="str">
        <f>IF($G1745=0,"",IFERROR(_xll.ciqfunctions.udf.CIQ($G1745,$I1745,P$1557,Valuation_Date_GC,ReportType,DataMode,$H1745,FXMode),"n/a"))</f>
        <v/>
      </c>
      <c r="Q1745" s="2197" t="str">
        <f>IF($G1745=0,"",IFERROR(_xll.ciqfunctions.udf.CIQ($G1745,$I1745,Q$1557,Valuation_Date_GC,ReportType,DataMode,$H1745,FXMode),"n/a"))</f>
        <v/>
      </c>
      <c r="R1745" s="2197" t="str">
        <f>IF($G1745=0,"",IFERROR(_xll.ciqfunctions.udf.CIQ($G1745,$I1745,R$1557,Valuation_Date_GC,ReportType,DataMode,$H1745,FXMode),"n/a"))</f>
        <v/>
      </c>
      <c r="S1745" s="2197" t="str">
        <f>IF($G1745=0,"",IFERROR(_xll.ciqfunctions.udf.CIQ($G1745,$I1745,S$1557,Valuation_Date_GC,ReportType,DataMode,$H1745,FXMode),"n/a"))</f>
        <v/>
      </c>
      <c r="T1745" s="2197" t="str">
        <f>IF($G1745=0,"",IFERROR(_xll.ciqfunctions.udf.CIQ($G1745,$I1745,T$1557,Valuation_Date_GC,ReportType,DataMode,$H1745,FXMode),"n/a"))</f>
        <v/>
      </c>
      <c r="U1745" s="2197" t="str">
        <f>IF($G1745=0,"",IFERROR(_xll.ciqfunctions.udf.CIQ($G1745,$I1745,U$1557,Valuation_Date_GC,ReportType,DataMode,$H1745,FXMode),"n/a"))</f>
        <v/>
      </c>
      <c r="V1745" s="2197" t="str">
        <f>IF($G1745=0,"",IFERROR(_xll.ciqfunctions.udf.CIQ($G1745,$I1745,V$1557,Valuation_Date_GC,ReportType,DataMode,$H1745,FXMode),"n/a"))</f>
        <v/>
      </c>
      <c r="W1745" s="1479"/>
      <c r="X1745" s="255"/>
      <c r="Y1745" s="255"/>
      <c r="Z1745" s="2060"/>
      <c r="AA1745" s="2060"/>
      <c r="AB1745" s="2060"/>
      <c r="AC1745" s="2060"/>
      <c r="AD1745" s="2060"/>
      <c r="AE1745" s="2060"/>
      <c r="AF1745" s="2060"/>
      <c r="AG1745" s="2060"/>
      <c r="AH1745" s="2060"/>
      <c r="AI1745" s="2060"/>
      <c r="AJ1745" s="2060"/>
      <c r="AK1745" s="2060"/>
      <c r="AL1745" s="2060"/>
      <c r="AM1745" s="2060"/>
      <c r="AN1745" s="2060"/>
      <c r="AO1745" s="2060"/>
      <c r="AP1745" s="2060"/>
      <c r="AQ1745" s="2060"/>
      <c r="AR1745" s="2060"/>
      <c r="AS1745" s="2060"/>
      <c r="AT1745" s="2060"/>
      <c r="AU1745" s="2060"/>
      <c r="AV1745" s="2060"/>
      <c r="AW1745" s="2060"/>
      <c r="AX1745" s="2060"/>
      <c r="AY1745" s="2060"/>
      <c r="AZ1745" s="2060"/>
      <c r="BA1745" s="2060"/>
      <c r="BB1745" s="2060"/>
      <c r="BC1745" s="2060"/>
      <c r="BD1745" s="2060"/>
      <c r="BE1745" s="2060"/>
      <c r="BF1745" s="2060"/>
      <c r="BG1745" s="2060"/>
      <c r="BH1745" s="2060"/>
      <c r="BI1745" s="2060"/>
      <c r="BJ1745" s="2060"/>
      <c r="BK1745" s="2060"/>
      <c r="BL1745" s="2060"/>
      <c r="BM1745" s="2060"/>
      <c r="BN1745" s="2060"/>
      <c r="BO1745" s="2060"/>
      <c r="BP1745" s="2060"/>
      <c r="BQ1745" s="2060"/>
      <c r="BR1745" s="2060"/>
      <c r="BS1745" s="2060"/>
      <c r="BT1745" s="2060"/>
      <c r="BU1745" s="2060"/>
      <c r="BV1745" s="2060"/>
      <c r="BW1745" s="2060"/>
      <c r="BX1745" s="2060"/>
      <c r="BY1745" s="2060"/>
      <c r="BZ1745" s="2060"/>
      <c r="CA1745" s="2060"/>
      <c r="CB1745" s="2060"/>
      <c r="CC1745" s="2060"/>
      <c r="CD1745" s="2060"/>
      <c r="CE1745" s="2060"/>
      <c r="CF1745" s="2060"/>
      <c r="CG1745" s="2060"/>
      <c r="CH1745" s="2060"/>
      <c r="CI1745" s="2060"/>
      <c r="CJ1745" s="2060"/>
      <c r="CK1745" s="2060"/>
      <c r="CL1745" s="2060"/>
      <c r="CM1745" s="2060"/>
      <c r="CN1745" s="2060"/>
      <c r="CO1745" s="2060"/>
      <c r="CP1745" s="2060"/>
      <c r="CQ1745" s="2060"/>
      <c r="CR1745" s="2060"/>
      <c r="CS1745" s="2060"/>
      <c r="CT1745" s="2060"/>
      <c r="CU1745" s="2060"/>
      <c r="CV1745" s="2060"/>
      <c r="CW1745" s="2060"/>
      <c r="CX1745" s="2060"/>
      <c r="CY1745" s="2060"/>
      <c r="CZ1745" s="2060"/>
      <c r="DA1745" s="2060"/>
      <c r="DB1745" s="2060"/>
      <c r="DC1745" s="2060"/>
      <c r="DD1745" s="2060"/>
      <c r="DE1745" s="2060"/>
      <c r="DF1745" s="2060"/>
      <c r="DG1745" s="2060"/>
      <c r="DH1745" s="2060"/>
      <c r="DI1745" s="2060"/>
      <c r="DJ1745" s="2060"/>
      <c r="DK1745" s="2060"/>
      <c r="DL1745" s="2060"/>
      <c r="DM1745" s="2060"/>
      <c r="DN1745" s="2060"/>
      <c r="DO1745" s="2060"/>
      <c r="DP1745" s="2060"/>
      <c r="DQ1745" s="2060"/>
      <c r="DR1745" s="2060"/>
      <c r="DS1745" s="2060"/>
      <c r="DT1745" s="2060"/>
      <c r="DU1745" s="2060"/>
      <c r="DV1745" s="2060"/>
      <c r="DW1745" s="2060"/>
      <c r="DX1745" s="2060"/>
      <c r="DY1745" s="2060"/>
      <c r="DZ1745" s="2060"/>
      <c r="EA1745" s="2060"/>
      <c r="EB1745" s="2060"/>
      <c r="EC1745" s="2060"/>
      <c r="ED1745" s="2060"/>
      <c r="EE1745" s="2060"/>
      <c r="EF1745" s="2060"/>
      <c r="EG1745" s="2060"/>
      <c r="EH1745" s="2060"/>
      <c r="EI1745" s="2060"/>
      <c r="EJ1745" s="2060"/>
      <c r="EK1745" s="2060"/>
      <c r="EL1745" s="2060"/>
      <c r="EM1745" s="2060"/>
      <c r="EN1745" s="2060"/>
      <c r="EO1745" s="2060"/>
      <c r="EP1745" s="2060"/>
      <c r="EQ1745" s="2060"/>
      <c r="ER1745" s="2060"/>
      <c r="ES1745" s="2060"/>
      <c r="ET1745" s="2060"/>
      <c r="EU1745" s="2060"/>
      <c r="EV1745" s="2060"/>
      <c r="EW1745" s="2060"/>
      <c r="EX1745" s="2060"/>
      <c r="EY1745" s="2060"/>
      <c r="EZ1745" s="2060"/>
      <c r="FA1745" s="2060"/>
      <c r="FB1745" s="2060"/>
      <c r="FC1745" s="2060"/>
      <c r="FD1745" s="2060"/>
      <c r="FE1745" s="2060"/>
      <c r="FF1745" s="2060"/>
      <c r="FG1745" s="2060"/>
      <c r="FH1745" s="2060"/>
      <c r="FI1745" s="2060"/>
      <c r="FJ1745" s="2060"/>
      <c r="FK1745" s="2060"/>
      <c r="FL1745" s="2060"/>
      <c r="FM1745" s="2060"/>
      <c r="FN1745" s="2060"/>
      <c r="FO1745" s="2060"/>
      <c r="FP1745" s="2060"/>
      <c r="FQ1745" s="2060"/>
      <c r="FR1745" s="2060"/>
      <c r="FS1745" s="2060"/>
      <c r="FT1745" s="2060"/>
      <c r="FU1745" s="2060"/>
      <c r="FV1745" s="2060"/>
      <c r="FW1745" s="2060"/>
      <c r="FX1745" s="2060"/>
      <c r="FY1745" s="2060"/>
      <c r="FZ1745" s="2060"/>
      <c r="GA1745" s="2060"/>
      <c r="GB1745" s="2060"/>
      <c r="GC1745" s="2060"/>
      <c r="GD1745" s="2060"/>
      <c r="GE1745" s="2060"/>
      <c r="GF1745" s="2060"/>
      <c r="GG1745" s="2060"/>
      <c r="GH1745" s="2060"/>
      <c r="GI1745" s="2060"/>
      <c r="GJ1745" s="2060"/>
      <c r="GK1745" s="2060"/>
      <c r="GL1745" s="2060"/>
      <c r="GM1745" s="2060"/>
      <c r="GN1745" s="2060"/>
      <c r="GO1745" s="2060"/>
      <c r="GP1745" s="2060"/>
      <c r="GQ1745" s="2060"/>
      <c r="GR1745" s="2060"/>
      <c r="GS1745" s="2060"/>
      <c r="GT1745" s="2060"/>
      <c r="GU1745" s="2060"/>
      <c r="GV1745" s="2060"/>
      <c r="GW1745" s="2060"/>
      <c r="GX1745" s="2060"/>
      <c r="GY1745" s="2060"/>
      <c r="GZ1745" s="2060"/>
      <c r="HA1745" s="2060"/>
      <c r="HB1745" s="2060"/>
      <c r="HC1745" s="2060"/>
      <c r="HD1745" s="2060"/>
      <c r="HE1745" s="2060"/>
      <c r="HF1745" s="2060"/>
      <c r="HG1745" s="2060"/>
      <c r="HH1745" s="2060"/>
      <c r="HI1745" s="2060"/>
      <c r="HJ1745" s="2060"/>
      <c r="HK1745" s="2060"/>
      <c r="HL1745" s="2060"/>
      <c r="HM1745" s="2060"/>
      <c r="HN1745" s="2060"/>
      <c r="HO1745" s="2060"/>
      <c r="HP1745" s="2060"/>
      <c r="HQ1745" s="2060"/>
      <c r="HR1745" s="2060"/>
      <c r="HS1745" s="2060"/>
      <c r="HT1745" s="2060"/>
      <c r="HU1745" s="2060"/>
      <c r="HV1745" s="2060"/>
      <c r="HW1745" s="2060"/>
      <c r="HX1745" s="2060"/>
      <c r="HY1745" s="2060"/>
      <c r="HZ1745" s="2060"/>
      <c r="IA1745" s="2060"/>
      <c r="IB1745" s="2060"/>
      <c r="IC1745" s="2060"/>
      <c r="ID1745" s="2060"/>
      <c r="IE1745" s="2060"/>
      <c r="IF1745" s="2060"/>
      <c r="IG1745" s="2060"/>
      <c r="IH1745" s="2060"/>
      <c r="II1745" s="2060"/>
      <c r="IJ1745" s="2060"/>
      <c r="IK1745" s="2060"/>
      <c r="IL1745" s="2060"/>
      <c r="IM1745" s="2060"/>
      <c r="IN1745" s="2060"/>
      <c r="IO1745" s="2060"/>
      <c r="IP1745" s="2060"/>
      <c r="IQ1745" s="2060"/>
      <c r="IR1745" s="2060"/>
      <c r="IS1745" s="2060"/>
      <c r="IT1745" s="2060"/>
      <c r="IU1745" s="2060"/>
      <c r="IV1745" s="2060"/>
      <c r="IW1745" s="2060"/>
      <c r="IX1745" s="2060"/>
      <c r="IY1745" s="2060"/>
      <c r="IZ1745" s="2060"/>
      <c r="JA1745" s="2060"/>
      <c r="JB1745" s="2060"/>
      <c r="JC1745" s="2060"/>
      <c r="JD1745" s="2060"/>
      <c r="JE1745" s="2060"/>
      <c r="JF1745" s="2060"/>
      <c r="JG1745" s="2060"/>
      <c r="JH1745" s="2060"/>
      <c r="JI1745" s="2060"/>
      <c r="JJ1745" s="2060"/>
      <c r="JK1745" s="2060"/>
      <c r="JL1745" s="2060"/>
      <c r="JM1745" s="2060"/>
      <c r="JN1745" s="2060"/>
      <c r="JO1745" s="2060"/>
      <c r="JP1745" s="2060"/>
      <c r="JQ1745" s="2060"/>
      <c r="JR1745" s="2060"/>
      <c r="JS1745" s="2060"/>
      <c r="JT1745" s="2060"/>
      <c r="JU1745" s="2060"/>
      <c r="JV1745" s="2060"/>
      <c r="JW1745" s="2060"/>
      <c r="JX1745" s="2060"/>
      <c r="JY1745" s="2060"/>
      <c r="JZ1745" s="2060"/>
      <c r="KA1745" s="2060"/>
      <c r="KB1745" s="2060"/>
      <c r="KC1745" s="2060"/>
      <c r="KD1745" s="2060"/>
      <c r="KE1745" s="2060"/>
      <c r="KF1745" s="2060"/>
      <c r="KG1745" s="2060"/>
      <c r="KH1745" s="2060"/>
      <c r="KI1745" s="2060"/>
      <c r="KJ1745" s="2060"/>
      <c r="KK1745" s="2060"/>
      <c r="KL1745" s="2060"/>
      <c r="KM1745" s="2060"/>
      <c r="KN1745" s="2060"/>
      <c r="KO1745" s="2060"/>
      <c r="KP1745" s="2060"/>
      <c r="KQ1745" s="2060"/>
      <c r="KR1745" s="2060"/>
      <c r="KS1745" s="2060"/>
      <c r="KT1745" s="2060"/>
      <c r="KU1745" s="2060"/>
      <c r="KV1745" s="2060"/>
      <c r="KW1745" s="2060"/>
      <c r="KX1745" s="2060"/>
      <c r="KY1745" s="2060"/>
      <c r="KZ1745" s="2060"/>
      <c r="LA1745" s="2060"/>
      <c r="LB1745" s="2060"/>
      <c r="LC1745" s="2060"/>
      <c r="LD1745" s="2060"/>
      <c r="LE1745" s="2060"/>
      <c r="LF1745" s="2060"/>
      <c r="LG1745" s="2060"/>
      <c r="LH1745" s="2060"/>
    </row>
    <row r="1746" spans="1:320" s="449" customFormat="1" ht="13.9">
      <c r="A1746" s="269" t="str">
        <f t="shared" si="475"/>
        <v>n</v>
      </c>
      <c r="B1746" s="2060"/>
      <c r="C1746" s="2060"/>
      <c r="D1746" s="2060"/>
      <c r="E1746" s="1661">
        <v>14</v>
      </c>
      <c r="F1746" s="1353" t="str">
        <f>F$142</f>
        <v>--</v>
      </c>
      <c r="G1746" s="128">
        <f>G$142</f>
        <v>0</v>
      </c>
      <c r="H1746" s="128" t="str">
        <f>H$142</f>
        <v>--</v>
      </c>
      <c r="I1746" s="89" t="s">
        <v>793</v>
      </c>
      <c r="J1746" s="2197" t="str">
        <f>IF($G1746=0,"",IFERROR(_xll.ciqfunctions.udf.CIQ($G1746,$I1746,J$1557,Valuation_Date_GC,ReportType,DataMode,$H1746,FXMode),"n/a"))</f>
        <v/>
      </c>
      <c r="K1746" s="2197" t="str">
        <f>IF($G1746=0,"",IFERROR(_xll.ciqfunctions.udf.CIQ($G1746,$I1746,K$1557,Valuation_Date_GC,ReportType,DataMode,$H1746,FXMode),"n/a"))</f>
        <v/>
      </c>
      <c r="L1746" s="2197" t="str">
        <f>IF($G1746=0,"",IFERROR(_xll.ciqfunctions.udf.CIQ($G1746,$I1746,L$1557,Valuation_Date_GC,ReportType,DataMode,$H1746,FXMode),"n/a"))</f>
        <v/>
      </c>
      <c r="M1746" s="2197" t="str">
        <f>IF($G1746=0,"",IFERROR(_xll.ciqfunctions.udf.CIQ($G1746,$I1746,M$1557,Valuation_Date_GC,ReportType,DataMode,$H1746,FXMode),"n/a"))</f>
        <v/>
      </c>
      <c r="N1746" s="2197" t="str">
        <f>IF($G1746=0,"",IFERROR(_xll.ciqfunctions.udf.CIQ($G1746,$I1746,N$1557,Valuation_Date_GC,ReportType,DataMode,$H1746,FXMode),"n/a"))</f>
        <v/>
      </c>
      <c r="O1746" s="2197" t="str">
        <f>IF($G1746=0,"",IFERROR(_xll.ciqfunctions.udf.CIQ($G1746,$I1746,O$1557,Valuation_Date_GC,ReportType,DataMode,$H1746,FXMode),"n/a"))</f>
        <v/>
      </c>
      <c r="P1746" s="2197" t="str">
        <f>IF($G1746=0,"",IFERROR(_xll.ciqfunctions.udf.CIQ($G1746,$I1746,P$1557,Valuation_Date_GC,ReportType,DataMode,$H1746,FXMode),"n/a"))</f>
        <v/>
      </c>
      <c r="Q1746" s="2197" t="str">
        <f>IF($G1746=0,"",IFERROR(_xll.ciqfunctions.udf.CIQ($G1746,$I1746,Q$1557,Valuation_Date_GC,ReportType,DataMode,$H1746,FXMode),"n/a"))</f>
        <v/>
      </c>
      <c r="R1746" s="2197" t="str">
        <f>IF($G1746=0,"",IFERROR(_xll.ciqfunctions.udf.CIQ($G1746,$I1746,R$1557,Valuation_Date_GC,ReportType,DataMode,$H1746,FXMode),"n/a"))</f>
        <v/>
      </c>
      <c r="S1746" s="2197" t="str">
        <f>IF($G1746=0,"",IFERROR(_xll.ciqfunctions.udf.CIQ($G1746,$I1746,S$1557,Valuation_Date_GC,ReportType,DataMode,$H1746,FXMode),"n/a"))</f>
        <v/>
      </c>
      <c r="T1746" s="2197" t="str">
        <f>IF($G1746=0,"",IFERROR(_xll.ciqfunctions.udf.CIQ($G1746,$I1746,T$1557,Valuation_Date_GC,ReportType,DataMode,$H1746,FXMode),"n/a"))</f>
        <v/>
      </c>
      <c r="U1746" s="2197" t="str">
        <f>IF($G1746=0,"",IFERROR(_xll.ciqfunctions.udf.CIQ($G1746,$I1746,U$1557,Valuation_Date_GC,ReportType,DataMode,$H1746,FXMode),"n/a"))</f>
        <v/>
      </c>
      <c r="V1746" s="2197" t="str">
        <f>IF($G1746=0,"",IFERROR(_xll.ciqfunctions.udf.CIQ($G1746,$I1746,V$1557,Valuation_Date_GC,ReportType,DataMode,$H1746,FXMode),"n/a"))</f>
        <v/>
      </c>
      <c r="W1746" s="1479"/>
      <c r="X1746" s="255"/>
      <c r="Y1746" s="255"/>
      <c r="Z1746" s="2060"/>
      <c r="AA1746" s="2060"/>
      <c r="AB1746" s="2060"/>
      <c r="AC1746" s="2060"/>
      <c r="AD1746" s="2060"/>
      <c r="AE1746" s="2060"/>
      <c r="AF1746" s="2060"/>
      <c r="AG1746" s="2060"/>
      <c r="AH1746" s="2060"/>
      <c r="AI1746" s="2060"/>
      <c r="AJ1746" s="2060"/>
      <c r="AK1746" s="2060"/>
      <c r="AL1746" s="2060"/>
      <c r="AM1746" s="2060"/>
      <c r="AN1746" s="2060"/>
      <c r="AO1746" s="2060"/>
      <c r="AP1746" s="2060"/>
      <c r="AQ1746" s="2060"/>
      <c r="AR1746" s="2060"/>
      <c r="AS1746" s="2060"/>
      <c r="AT1746" s="2060"/>
      <c r="AU1746" s="2060"/>
      <c r="AV1746" s="2060"/>
      <c r="AW1746" s="2060"/>
      <c r="AX1746" s="2060"/>
      <c r="AY1746" s="2060"/>
      <c r="AZ1746" s="2060"/>
      <c r="BA1746" s="2060"/>
      <c r="BB1746" s="2060"/>
      <c r="BC1746" s="2060"/>
      <c r="BD1746" s="2060"/>
      <c r="BE1746" s="2060"/>
      <c r="BF1746" s="2060"/>
      <c r="BG1746" s="2060"/>
      <c r="BH1746" s="2060"/>
      <c r="BI1746" s="2060"/>
      <c r="BJ1746" s="2060"/>
      <c r="BK1746" s="2060"/>
      <c r="BL1746" s="2060"/>
      <c r="BM1746" s="2060"/>
      <c r="BN1746" s="2060"/>
      <c r="BO1746" s="2060"/>
      <c r="BP1746" s="2060"/>
      <c r="BQ1746" s="2060"/>
      <c r="BR1746" s="2060"/>
      <c r="BS1746" s="2060"/>
      <c r="BT1746" s="2060"/>
      <c r="BU1746" s="2060"/>
      <c r="BV1746" s="2060"/>
      <c r="BW1746" s="2060"/>
      <c r="BX1746" s="2060"/>
      <c r="BY1746" s="2060"/>
      <c r="BZ1746" s="2060"/>
      <c r="CA1746" s="2060"/>
      <c r="CB1746" s="2060"/>
      <c r="CC1746" s="2060"/>
      <c r="CD1746" s="2060"/>
      <c r="CE1746" s="2060"/>
      <c r="CF1746" s="2060"/>
      <c r="CG1746" s="2060"/>
      <c r="CH1746" s="2060"/>
      <c r="CI1746" s="2060"/>
      <c r="CJ1746" s="2060"/>
      <c r="CK1746" s="2060"/>
      <c r="CL1746" s="2060"/>
      <c r="CM1746" s="2060"/>
      <c r="CN1746" s="2060"/>
      <c r="CO1746" s="2060"/>
      <c r="CP1746" s="2060"/>
      <c r="CQ1746" s="2060"/>
      <c r="CR1746" s="2060"/>
      <c r="CS1746" s="2060"/>
      <c r="CT1746" s="2060"/>
      <c r="CU1746" s="2060"/>
      <c r="CV1746" s="2060"/>
      <c r="CW1746" s="2060"/>
      <c r="CX1746" s="2060"/>
      <c r="CY1746" s="2060"/>
      <c r="CZ1746" s="2060"/>
      <c r="DA1746" s="2060"/>
      <c r="DB1746" s="2060"/>
      <c r="DC1746" s="2060"/>
      <c r="DD1746" s="2060"/>
      <c r="DE1746" s="2060"/>
      <c r="DF1746" s="2060"/>
      <c r="DG1746" s="2060"/>
      <c r="DH1746" s="2060"/>
      <c r="DI1746" s="2060"/>
      <c r="DJ1746" s="2060"/>
      <c r="DK1746" s="2060"/>
      <c r="DL1746" s="2060"/>
      <c r="DM1746" s="2060"/>
      <c r="DN1746" s="2060"/>
      <c r="DO1746" s="2060"/>
      <c r="DP1746" s="2060"/>
      <c r="DQ1746" s="2060"/>
      <c r="DR1746" s="2060"/>
      <c r="DS1746" s="2060"/>
      <c r="DT1746" s="2060"/>
      <c r="DU1746" s="2060"/>
      <c r="DV1746" s="2060"/>
      <c r="DW1746" s="2060"/>
      <c r="DX1746" s="2060"/>
      <c r="DY1746" s="2060"/>
      <c r="DZ1746" s="2060"/>
      <c r="EA1746" s="2060"/>
      <c r="EB1746" s="2060"/>
      <c r="EC1746" s="2060"/>
      <c r="ED1746" s="2060"/>
      <c r="EE1746" s="2060"/>
      <c r="EF1746" s="2060"/>
      <c r="EG1746" s="2060"/>
      <c r="EH1746" s="2060"/>
      <c r="EI1746" s="2060"/>
      <c r="EJ1746" s="2060"/>
      <c r="EK1746" s="2060"/>
      <c r="EL1746" s="2060"/>
      <c r="EM1746" s="2060"/>
      <c r="EN1746" s="2060"/>
      <c r="EO1746" s="2060"/>
      <c r="EP1746" s="2060"/>
      <c r="EQ1746" s="2060"/>
      <c r="ER1746" s="2060"/>
      <c r="ES1746" s="2060"/>
      <c r="ET1746" s="2060"/>
      <c r="EU1746" s="2060"/>
      <c r="EV1746" s="2060"/>
      <c r="EW1746" s="2060"/>
      <c r="EX1746" s="2060"/>
      <c r="EY1746" s="2060"/>
      <c r="EZ1746" s="2060"/>
      <c r="FA1746" s="2060"/>
      <c r="FB1746" s="2060"/>
      <c r="FC1746" s="2060"/>
      <c r="FD1746" s="2060"/>
      <c r="FE1746" s="2060"/>
      <c r="FF1746" s="2060"/>
      <c r="FG1746" s="2060"/>
      <c r="FH1746" s="2060"/>
      <c r="FI1746" s="2060"/>
      <c r="FJ1746" s="2060"/>
      <c r="FK1746" s="2060"/>
      <c r="FL1746" s="2060"/>
      <c r="FM1746" s="2060"/>
      <c r="FN1746" s="2060"/>
      <c r="FO1746" s="2060"/>
      <c r="FP1746" s="2060"/>
      <c r="FQ1746" s="2060"/>
      <c r="FR1746" s="2060"/>
      <c r="FS1746" s="2060"/>
      <c r="FT1746" s="2060"/>
      <c r="FU1746" s="2060"/>
      <c r="FV1746" s="2060"/>
      <c r="FW1746" s="2060"/>
      <c r="FX1746" s="2060"/>
      <c r="FY1746" s="2060"/>
      <c r="FZ1746" s="2060"/>
      <c r="GA1746" s="2060"/>
      <c r="GB1746" s="2060"/>
      <c r="GC1746" s="2060"/>
      <c r="GD1746" s="2060"/>
      <c r="GE1746" s="2060"/>
      <c r="GF1746" s="2060"/>
      <c r="GG1746" s="2060"/>
      <c r="GH1746" s="2060"/>
      <c r="GI1746" s="2060"/>
      <c r="GJ1746" s="2060"/>
      <c r="GK1746" s="2060"/>
      <c r="GL1746" s="2060"/>
      <c r="GM1746" s="2060"/>
      <c r="GN1746" s="2060"/>
      <c r="GO1746" s="2060"/>
      <c r="GP1746" s="2060"/>
      <c r="GQ1746" s="2060"/>
      <c r="GR1746" s="2060"/>
      <c r="GS1746" s="2060"/>
      <c r="GT1746" s="2060"/>
      <c r="GU1746" s="2060"/>
      <c r="GV1746" s="2060"/>
      <c r="GW1746" s="2060"/>
      <c r="GX1746" s="2060"/>
      <c r="GY1746" s="2060"/>
      <c r="GZ1746" s="2060"/>
      <c r="HA1746" s="2060"/>
      <c r="HB1746" s="2060"/>
      <c r="HC1746" s="2060"/>
      <c r="HD1746" s="2060"/>
      <c r="HE1746" s="2060"/>
      <c r="HF1746" s="2060"/>
      <c r="HG1746" s="2060"/>
      <c r="HH1746" s="2060"/>
      <c r="HI1746" s="2060"/>
      <c r="HJ1746" s="2060"/>
      <c r="HK1746" s="2060"/>
      <c r="HL1746" s="2060"/>
      <c r="HM1746" s="2060"/>
      <c r="HN1746" s="2060"/>
      <c r="HO1746" s="2060"/>
      <c r="HP1746" s="2060"/>
      <c r="HQ1746" s="2060"/>
      <c r="HR1746" s="2060"/>
      <c r="HS1746" s="2060"/>
      <c r="HT1746" s="2060"/>
      <c r="HU1746" s="2060"/>
      <c r="HV1746" s="2060"/>
      <c r="HW1746" s="2060"/>
      <c r="HX1746" s="2060"/>
      <c r="HY1746" s="2060"/>
      <c r="HZ1746" s="2060"/>
      <c r="IA1746" s="2060"/>
      <c r="IB1746" s="2060"/>
      <c r="IC1746" s="2060"/>
      <c r="ID1746" s="2060"/>
      <c r="IE1746" s="2060"/>
      <c r="IF1746" s="2060"/>
      <c r="IG1746" s="2060"/>
      <c r="IH1746" s="2060"/>
      <c r="II1746" s="2060"/>
      <c r="IJ1746" s="2060"/>
      <c r="IK1746" s="2060"/>
      <c r="IL1746" s="2060"/>
      <c r="IM1746" s="2060"/>
      <c r="IN1746" s="2060"/>
      <c r="IO1746" s="2060"/>
      <c r="IP1746" s="2060"/>
      <c r="IQ1746" s="2060"/>
      <c r="IR1746" s="2060"/>
      <c r="IS1746" s="2060"/>
      <c r="IT1746" s="2060"/>
      <c r="IU1746" s="2060"/>
      <c r="IV1746" s="2060"/>
      <c r="IW1746" s="2060"/>
      <c r="IX1746" s="2060"/>
      <c r="IY1746" s="2060"/>
      <c r="IZ1746" s="2060"/>
      <c r="JA1746" s="2060"/>
      <c r="JB1746" s="2060"/>
      <c r="JC1746" s="2060"/>
      <c r="JD1746" s="2060"/>
      <c r="JE1746" s="2060"/>
      <c r="JF1746" s="2060"/>
      <c r="JG1746" s="2060"/>
      <c r="JH1746" s="2060"/>
      <c r="JI1746" s="2060"/>
      <c r="JJ1746" s="2060"/>
      <c r="JK1746" s="2060"/>
      <c r="JL1746" s="2060"/>
      <c r="JM1746" s="2060"/>
      <c r="JN1746" s="2060"/>
      <c r="JO1746" s="2060"/>
      <c r="JP1746" s="2060"/>
      <c r="JQ1746" s="2060"/>
      <c r="JR1746" s="2060"/>
      <c r="JS1746" s="2060"/>
      <c r="JT1746" s="2060"/>
      <c r="JU1746" s="2060"/>
      <c r="JV1746" s="2060"/>
      <c r="JW1746" s="2060"/>
      <c r="JX1746" s="2060"/>
      <c r="JY1746" s="2060"/>
      <c r="JZ1746" s="2060"/>
      <c r="KA1746" s="2060"/>
      <c r="KB1746" s="2060"/>
      <c r="KC1746" s="2060"/>
      <c r="KD1746" s="2060"/>
      <c r="KE1746" s="2060"/>
      <c r="KF1746" s="2060"/>
      <c r="KG1746" s="2060"/>
      <c r="KH1746" s="2060"/>
      <c r="KI1746" s="2060"/>
      <c r="KJ1746" s="2060"/>
      <c r="KK1746" s="2060"/>
      <c r="KL1746" s="2060"/>
      <c r="KM1746" s="2060"/>
      <c r="KN1746" s="2060"/>
      <c r="KO1746" s="2060"/>
      <c r="KP1746" s="2060"/>
      <c r="KQ1746" s="2060"/>
      <c r="KR1746" s="2060"/>
      <c r="KS1746" s="2060"/>
      <c r="KT1746" s="2060"/>
      <c r="KU1746" s="2060"/>
      <c r="KV1746" s="2060"/>
      <c r="KW1746" s="2060"/>
      <c r="KX1746" s="2060"/>
      <c r="KY1746" s="2060"/>
      <c r="KZ1746" s="2060"/>
      <c r="LA1746" s="2060"/>
      <c r="LB1746" s="2060"/>
      <c r="LC1746" s="2060"/>
      <c r="LD1746" s="2060"/>
      <c r="LE1746" s="2060"/>
      <c r="LF1746" s="2060"/>
      <c r="LG1746" s="2060"/>
      <c r="LH1746" s="2060"/>
    </row>
    <row r="1747" spans="1:320" s="1499" customFormat="1" ht="13.9">
      <c r="A1747" s="269" t="str">
        <f t="shared" si="475"/>
        <v>n</v>
      </c>
      <c r="B1747" s="2060"/>
      <c r="C1747" s="2060"/>
      <c r="D1747" s="2060"/>
      <c r="E1747" s="1661">
        <v>15</v>
      </c>
      <c r="F1747" s="1353" t="str">
        <f>F$143</f>
        <v>--</v>
      </c>
      <c r="G1747" s="128">
        <f>G$143</f>
        <v>0</v>
      </c>
      <c r="H1747" s="128" t="str">
        <f>H$143</f>
        <v>--</v>
      </c>
      <c r="I1747" s="89" t="s">
        <v>793</v>
      </c>
      <c r="J1747" s="2197" t="str">
        <f>IF($G1747=0,"",IFERROR(_xll.ciqfunctions.udf.CIQ($G1747,$I1747,J$1557,Valuation_Date_GC,ReportType,DataMode,$H1747,FXMode),"n/a"))</f>
        <v/>
      </c>
      <c r="K1747" s="2197" t="str">
        <f>IF($G1747=0,"",IFERROR(_xll.ciqfunctions.udf.CIQ($G1747,$I1747,K$1557,Valuation_Date_GC,ReportType,DataMode,$H1747,FXMode),"n/a"))</f>
        <v/>
      </c>
      <c r="L1747" s="2197" t="str">
        <f>IF($G1747=0,"",IFERROR(_xll.ciqfunctions.udf.CIQ($G1747,$I1747,L$1557,Valuation_Date_GC,ReportType,DataMode,$H1747,FXMode),"n/a"))</f>
        <v/>
      </c>
      <c r="M1747" s="2197" t="str">
        <f>IF($G1747=0,"",IFERROR(_xll.ciqfunctions.udf.CIQ($G1747,$I1747,M$1557,Valuation_Date_GC,ReportType,DataMode,$H1747,FXMode),"n/a"))</f>
        <v/>
      </c>
      <c r="N1747" s="2197" t="str">
        <f>IF($G1747=0,"",IFERROR(_xll.ciqfunctions.udf.CIQ($G1747,$I1747,N$1557,Valuation_Date_GC,ReportType,DataMode,$H1747,FXMode),"n/a"))</f>
        <v/>
      </c>
      <c r="O1747" s="2197" t="str">
        <f>IF($G1747=0,"",IFERROR(_xll.ciqfunctions.udf.CIQ($G1747,$I1747,O$1557,Valuation_Date_GC,ReportType,DataMode,$H1747,FXMode),"n/a"))</f>
        <v/>
      </c>
      <c r="P1747" s="2197" t="str">
        <f>IF($G1747=0,"",IFERROR(_xll.ciqfunctions.udf.CIQ($G1747,$I1747,P$1557,Valuation_Date_GC,ReportType,DataMode,$H1747,FXMode),"n/a"))</f>
        <v/>
      </c>
      <c r="Q1747" s="2197" t="str">
        <f>IF($G1747=0,"",IFERROR(_xll.ciqfunctions.udf.CIQ($G1747,$I1747,Q$1557,Valuation_Date_GC,ReportType,DataMode,$H1747,FXMode),"n/a"))</f>
        <v/>
      </c>
      <c r="R1747" s="2197" t="str">
        <f>IF($G1747=0,"",IFERROR(_xll.ciqfunctions.udf.CIQ($G1747,$I1747,R$1557,Valuation_Date_GC,ReportType,DataMode,$H1747,FXMode),"n/a"))</f>
        <v/>
      </c>
      <c r="S1747" s="2197" t="str">
        <f>IF($G1747=0,"",IFERROR(_xll.ciqfunctions.udf.CIQ($G1747,$I1747,S$1557,Valuation_Date_GC,ReportType,DataMode,$H1747,FXMode),"n/a"))</f>
        <v/>
      </c>
      <c r="T1747" s="2197" t="str">
        <f>IF($G1747=0,"",IFERROR(_xll.ciqfunctions.udf.CIQ($G1747,$I1747,T$1557,Valuation_Date_GC,ReportType,DataMode,$H1747,FXMode),"n/a"))</f>
        <v/>
      </c>
      <c r="U1747" s="2197" t="str">
        <f>IF($G1747=0,"",IFERROR(_xll.ciqfunctions.udf.CIQ($G1747,$I1747,U$1557,Valuation_Date_GC,ReportType,DataMode,$H1747,FXMode),"n/a"))</f>
        <v/>
      </c>
      <c r="V1747" s="2197" t="str">
        <f>IF($G1747=0,"",IFERROR(_xll.ciqfunctions.udf.CIQ($G1747,$I1747,V$1557,Valuation_Date_GC,ReportType,DataMode,$H1747,FXMode),"n/a"))</f>
        <v/>
      </c>
      <c r="W1747" s="1479"/>
      <c r="X1747" s="255"/>
      <c r="Y1747" s="255"/>
      <c r="Z1747" s="2060"/>
      <c r="AA1747" s="2060"/>
      <c r="AB1747" s="2060"/>
      <c r="AC1747" s="2060"/>
      <c r="AD1747" s="2060"/>
      <c r="AE1747" s="2060"/>
      <c r="AF1747" s="2060"/>
      <c r="AG1747" s="2060"/>
      <c r="AH1747" s="2060"/>
      <c r="AI1747" s="2060"/>
      <c r="AJ1747" s="2060"/>
      <c r="AK1747" s="2060"/>
      <c r="AL1747" s="2060"/>
      <c r="AM1747" s="2060"/>
      <c r="AN1747" s="2060"/>
      <c r="AO1747" s="2060"/>
      <c r="AP1747" s="2060"/>
      <c r="AQ1747" s="2060"/>
      <c r="AR1747" s="2060"/>
      <c r="AS1747" s="2060"/>
      <c r="AT1747" s="2060"/>
      <c r="AU1747" s="2060"/>
      <c r="AV1747" s="2060"/>
      <c r="AW1747" s="2060"/>
      <c r="AX1747" s="2060"/>
      <c r="AY1747" s="2060"/>
      <c r="AZ1747" s="2060"/>
      <c r="BA1747" s="2060"/>
      <c r="BB1747" s="2060"/>
      <c r="BC1747" s="2060"/>
      <c r="BD1747" s="2060"/>
      <c r="BE1747" s="2060"/>
      <c r="BF1747" s="2060"/>
      <c r="BG1747" s="2060"/>
      <c r="BH1747" s="2060"/>
      <c r="BI1747" s="2060"/>
      <c r="BJ1747" s="2060"/>
      <c r="BK1747" s="2060"/>
      <c r="BL1747" s="2060"/>
      <c r="BM1747" s="2060"/>
      <c r="BN1747" s="2060"/>
      <c r="BO1747" s="2060"/>
      <c r="BP1747" s="2060"/>
      <c r="BQ1747" s="2060"/>
      <c r="BR1747" s="2060"/>
      <c r="BS1747" s="2060"/>
      <c r="BT1747" s="2060"/>
      <c r="BU1747" s="2060"/>
      <c r="BV1747" s="2060"/>
      <c r="BW1747" s="2060"/>
      <c r="BX1747" s="2060"/>
      <c r="BY1747" s="2060"/>
      <c r="BZ1747" s="2060"/>
      <c r="CA1747" s="2060"/>
      <c r="CB1747" s="2060"/>
      <c r="CC1747" s="2060"/>
      <c r="CD1747" s="2060"/>
      <c r="CE1747" s="2060"/>
      <c r="CF1747" s="2060"/>
      <c r="CG1747" s="2060"/>
      <c r="CH1747" s="2060"/>
      <c r="CI1747" s="2060"/>
      <c r="CJ1747" s="2060"/>
      <c r="CK1747" s="2060"/>
      <c r="CL1747" s="2060"/>
      <c r="CM1747" s="2060"/>
      <c r="CN1747" s="2060"/>
      <c r="CO1747" s="2060"/>
      <c r="CP1747" s="2060"/>
      <c r="CQ1747" s="2060"/>
      <c r="CR1747" s="2060"/>
      <c r="CS1747" s="2060"/>
      <c r="CT1747" s="2060"/>
      <c r="CU1747" s="2060"/>
      <c r="CV1747" s="2060"/>
      <c r="CW1747" s="2060"/>
      <c r="CX1747" s="2060"/>
      <c r="CY1747" s="2060"/>
      <c r="CZ1747" s="2060"/>
      <c r="DA1747" s="2060"/>
      <c r="DB1747" s="2060"/>
      <c r="DC1747" s="2060"/>
      <c r="DD1747" s="2060"/>
      <c r="DE1747" s="2060"/>
      <c r="DF1747" s="2060"/>
      <c r="DG1747" s="2060"/>
      <c r="DH1747" s="2060"/>
      <c r="DI1747" s="2060"/>
      <c r="DJ1747" s="2060"/>
      <c r="DK1747" s="2060"/>
      <c r="DL1747" s="2060"/>
      <c r="DM1747" s="2060"/>
      <c r="DN1747" s="2060"/>
      <c r="DO1747" s="2060"/>
      <c r="DP1747" s="2060"/>
      <c r="DQ1747" s="2060"/>
      <c r="DR1747" s="2060"/>
      <c r="DS1747" s="2060"/>
      <c r="DT1747" s="2060"/>
      <c r="DU1747" s="2060"/>
      <c r="DV1747" s="2060"/>
      <c r="DW1747" s="2060"/>
      <c r="DX1747" s="2060"/>
      <c r="DY1747" s="2060"/>
      <c r="DZ1747" s="2060"/>
      <c r="EA1747" s="2060"/>
      <c r="EB1747" s="2060"/>
      <c r="EC1747" s="2060"/>
      <c r="ED1747" s="2060"/>
      <c r="EE1747" s="2060"/>
      <c r="EF1747" s="2060"/>
      <c r="EG1747" s="2060"/>
      <c r="EH1747" s="2060"/>
      <c r="EI1747" s="2060"/>
      <c r="EJ1747" s="2060"/>
      <c r="EK1747" s="2060"/>
      <c r="EL1747" s="2060"/>
      <c r="EM1747" s="2060"/>
      <c r="EN1747" s="2060"/>
      <c r="EO1747" s="2060"/>
      <c r="EP1747" s="2060"/>
      <c r="EQ1747" s="2060"/>
      <c r="ER1747" s="2060"/>
      <c r="ES1747" s="2060"/>
      <c r="ET1747" s="2060"/>
      <c r="EU1747" s="2060"/>
      <c r="EV1747" s="2060"/>
      <c r="EW1747" s="2060"/>
      <c r="EX1747" s="2060"/>
      <c r="EY1747" s="2060"/>
      <c r="EZ1747" s="2060"/>
      <c r="FA1747" s="2060"/>
      <c r="FB1747" s="2060"/>
      <c r="FC1747" s="2060"/>
      <c r="FD1747" s="2060"/>
      <c r="FE1747" s="2060"/>
      <c r="FF1747" s="2060"/>
      <c r="FG1747" s="2060"/>
      <c r="FH1747" s="2060"/>
      <c r="FI1747" s="2060"/>
      <c r="FJ1747" s="2060"/>
      <c r="FK1747" s="2060"/>
      <c r="FL1747" s="2060"/>
      <c r="FM1747" s="2060"/>
      <c r="FN1747" s="2060"/>
      <c r="FO1747" s="2060"/>
      <c r="FP1747" s="2060"/>
      <c r="FQ1747" s="2060"/>
      <c r="FR1747" s="2060"/>
      <c r="FS1747" s="2060"/>
      <c r="FT1747" s="2060"/>
      <c r="FU1747" s="2060"/>
      <c r="FV1747" s="2060"/>
      <c r="FW1747" s="2060"/>
      <c r="FX1747" s="2060"/>
      <c r="FY1747" s="2060"/>
      <c r="FZ1747" s="2060"/>
      <c r="GA1747" s="2060"/>
      <c r="GB1747" s="2060"/>
      <c r="GC1747" s="2060"/>
      <c r="GD1747" s="2060"/>
      <c r="GE1747" s="2060"/>
      <c r="GF1747" s="2060"/>
      <c r="GG1747" s="2060"/>
      <c r="GH1747" s="2060"/>
      <c r="GI1747" s="2060"/>
      <c r="GJ1747" s="2060"/>
      <c r="GK1747" s="2060"/>
      <c r="GL1747" s="2060"/>
      <c r="GM1747" s="2060"/>
      <c r="GN1747" s="2060"/>
      <c r="GO1747" s="2060"/>
      <c r="GP1747" s="2060"/>
      <c r="GQ1747" s="2060"/>
      <c r="GR1747" s="2060"/>
      <c r="GS1747" s="2060"/>
      <c r="GT1747" s="2060"/>
      <c r="GU1747" s="2060"/>
      <c r="GV1747" s="2060"/>
      <c r="GW1747" s="2060"/>
      <c r="GX1747" s="2060"/>
      <c r="GY1747" s="2060"/>
      <c r="GZ1747" s="2060"/>
      <c r="HA1747" s="2060"/>
      <c r="HB1747" s="2060"/>
      <c r="HC1747" s="2060"/>
      <c r="HD1747" s="2060"/>
      <c r="HE1747" s="2060"/>
      <c r="HF1747" s="2060"/>
      <c r="HG1747" s="2060"/>
      <c r="HH1747" s="2060"/>
      <c r="HI1747" s="2060"/>
      <c r="HJ1747" s="2060"/>
      <c r="HK1747" s="2060"/>
      <c r="HL1747" s="2060"/>
      <c r="HM1747" s="2060"/>
      <c r="HN1747" s="2060"/>
      <c r="HO1747" s="2060"/>
      <c r="HP1747" s="2060"/>
      <c r="HQ1747" s="2060"/>
      <c r="HR1747" s="2060"/>
      <c r="HS1747" s="2060"/>
      <c r="HT1747" s="2060"/>
      <c r="HU1747" s="2060"/>
      <c r="HV1747" s="2060"/>
      <c r="HW1747" s="2060"/>
      <c r="HX1747" s="2060"/>
      <c r="HY1747" s="2060"/>
      <c r="HZ1747" s="2060"/>
      <c r="IA1747" s="2060"/>
      <c r="IB1747" s="2060"/>
      <c r="IC1747" s="2060"/>
      <c r="ID1747" s="2060"/>
      <c r="IE1747" s="2060"/>
      <c r="IF1747" s="2060"/>
      <c r="IG1747" s="2060"/>
      <c r="IH1747" s="2060"/>
      <c r="II1747" s="2060"/>
      <c r="IJ1747" s="2060"/>
      <c r="IK1747" s="2060"/>
      <c r="IL1747" s="2060"/>
      <c r="IM1747" s="2060"/>
      <c r="IN1747" s="2060"/>
      <c r="IO1747" s="2060"/>
      <c r="IP1747" s="2060"/>
      <c r="IQ1747" s="2060"/>
      <c r="IR1747" s="2060"/>
      <c r="IS1747" s="2060"/>
      <c r="IT1747" s="2060"/>
      <c r="IU1747" s="2060"/>
      <c r="IV1747" s="2060"/>
      <c r="IW1747" s="2060"/>
      <c r="IX1747" s="2060"/>
      <c r="IY1747" s="2060"/>
      <c r="IZ1747" s="2060"/>
      <c r="JA1747" s="2060"/>
      <c r="JB1747" s="2060"/>
      <c r="JC1747" s="2060"/>
      <c r="JD1747" s="2060"/>
      <c r="JE1747" s="2060"/>
      <c r="JF1747" s="2060"/>
      <c r="JG1747" s="2060"/>
      <c r="JH1747" s="2060"/>
      <c r="JI1747" s="2060"/>
      <c r="JJ1747" s="2060"/>
      <c r="JK1747" s="2060"/>
      <c r="JL1747" s="2060"/>
      <c r="JM1747" s="2060"/>
      <c r="JN1747" s="2060"/>
      <c r="JO1747" s="2060"/>
      <c r="JP1747" s="2060"/>
      <c r="JQ1747" s="2060"/>
      <c r="JR1747" s="2060"/>
      <c r="JS1747" s="2060"/>
      <c r="JT1747" s="2060"/>
      <c r="JU1747" s="2060"/>
      <c r="JV1747" s="2060"/>
      <c r="JW1747" s="2060"/>
      <c r="JX1747" s="2060"/>
      <c r="JY1747" s="2060"/>
      <c r="JZ1747" s="2060"/>
      <c r="KA1747" s="2060"/>
      <c r="KB1747" s="2060"/>
      <c r="KC1747" s="2060"/>
      <c r="KD1747" s="2060"/>
      <c r="KE1747" s="2060"/>
      <c r="KF1747" s="2060"/>
      <c r="KG1747" s="2060"/>
      <c r="KH1747" s="2060"/>
      <c r="KI1747" s="2060"/>
      <c r="KJ1747" s="2060"/>
      <c r="KK1747" s="2060"/>
      <c r="KL1747" s="2060"/>
      <c r="KM1747" s="2060"/>
      <c r="KN1747" s="2060"/>
      <c r="KO1747" s="2060"/>
      <c r="KP1747" s="2060"/>
      <c r="KQ1747" s="2060"/>
      <c r="KR1747" s="2060"/>
      <c r="KS1747" s="2060"/>
      <c r="KT1747" s="2060"/>
      <c r="KU1747" s="2060"/>
      <c r="KV1747" s="2060"/>
      <c r="KW1747" s="2060"/>
      <c r="KX1747" s="2060"/>
      <c r="KY1747" s="2060"/>
      <c r="KZ1747" s="2060"/>
      <c r="LA1747" s="2060"/>
      <c r="LB1747" s="2060"/>
      <c r="LC1747" s="2060"/>
      <c r="LD1747" s="2060"/>
      <c r="LE1747" s="2060"/>
      <c r="LF1747" s="2060"/>
      <c r="LG1747" s="2060"/>
      <c r="LH1747" s="2060"/>
    </row>
    <row r="1748" spans="1:320" s="1499" customFormat="1" ht="13.9">
      <c r="A1748" s="269" t="str">
        <f t="shared" si="475"/>
        <v>n</v>
      </c>
      <c r="B1748" s="2060"/>
      <c r="C1748" s="2060"/>
      <c r="D1748" s="2060"/>
      <c r="E1748" s="1661">
        <v>16</v>
      </c>
      <c r="F1748" s="1353" t="str">
        <f>F$144</f>
        <v>--</v>
      </c>
      <c r="G1748" s="128">
        <f>G$144</f>
        <v>0</v>
      </c>
      <c r="H1748" s="128" t="str">
        <f>H$144</f>
        <v>--</v>
      </c>
      <c r="I1748" s="89" t="s">
        <v>793</v>
      </c>
      <c r="J1748" s="2197" t="str">
        <f>IF($G1748=0,"",IFERROR(_xll.ciqfunctions.udf.CIQ($G1748,$I1748,J$1557,Valuation_Date_GC,ReportType,DataMode,$H1748,FXMode),"n/a"))</f>
        <v/>
      </c>
      <c r="K1748" s="2197" t="str">
        <f>IF($G1748=0,"",IFERROR(_xll.ciqfunctions.udf.CIQ($G1748,$I1748,K$1557,Valuation_Date_GC,ReportType,DataMode,$H1748,FXMode),"n/a"))</f>
        <v/>
      </c>
      <c r="L1748" s="2197" t="str">
        <f>IF($G1748=0,"",IFERROR(_xll.ciqfunctions.udf.CIQ($G1748,$I1748,L$1557,Valuation_Date_GC,ReportType,DataMode,$H1748,FXMode),"n/a"))</f>
        <v/>
      </c>
      <c r="M1748" s="2197" t="str">
        <f>IF($G1748=0,"",IFERROR(_xll.ciqfunctions.udf.CIQ($G1748,$I1748,M$1557,Valuation_Date_GC,ReportType,DataMode,$H1748,FXMode),"n/a"))</f>
        <v/>
      </c>
      <c r="N1748" s="2197" t="str">
        <f>IF($G1748=0,"",IFERROR(_xll.ciqfunctions.udf.CIQ($G1748,$I1748,N$1557,Valuation_Date_GC,ReportType,DataMode,$H1748,FXMode),"n/a"))</f>
        <v/>
      </c>
      <c r="O1748" s="2197" t="str">
        <f>IF($G1748=0,"",IFERROR(_xll.ciqfunctions.udf.CIQ($G1748,$I1748,O$1557,Valuation_Date_GC,ReportType,DataMode,$H1748,FXMode),"n/a"))</f>
        <v/>
      </c>
      <c r="P1748" s="2197" t="str">
        <f>IF($G1748=0,"",IFERROR(_xll.ciqfunctions.udf.CIQ($G1748,$I1748,P$1557,Valuation_Date_GC,ReportType,DataMode,$H1748,FXMode),"n/a"))</f>
        <v/>
      </c>
      <c r="Q1748" s="2197" t="str">
        <f>IF($G1748=0,"",IFERROR(_xll.ciqfunctions.udf.CIQ($G1748,$I1748,Q$1557,Valuation_Date_GC,ReportType,DataMode,$H1748,FXMode),"n/a"))</f>
        <v/>
      </c>
      <c r="R1748" s="2197" t="str">
        <f>IF($G1748=0,"",IFERROR(_xll.ciqfunctions.udf.CIQ($G1748,$I1748,R$1557,Valuation_Date_GC,ReportType,DataMode,$H1748,FXMode),"n/a"))</f>
        <v/>
      </c>
      <c r="S1748" s="2197" t="str">
        <f>IF($G1748=0,"",IFERROR(_xll.ciqfunctions.udf.CIQ($G1748,$I1748,S$1557,Valuation_Date_GC,ReportType,DataMode,$H1748,FXMode),"n/a"))</f>
        <v/>
      </c>
      <c r="T1748" s="2197" t="str">
        <f>IF($G1748=0,"",IFERROR(_xll.ciqfunctions.udf.CIQ($G1748,$I1748,T$1557,Valuation_Date_GC,ReportType,DataMode,$H1748,FXMode),"n/a"))</f>
        <v/>
      </c>
      <c r="U1748" s="2197" t="str">
        <f>IF($G1748=0,"",IFERROR(_xll.ciqfunctions.udf.CIQ($G1748,$I1748,U$1557,Valuation_Date_GC,ReportType,DataMode,$H1748,FXMode),"n/a"))</f>
        <v/>
      </c>
      <c r="V1748" s="2197" t="str">
        <f>IF($G1748=0,"",IFERROR(_xll.ciqfunctions.udf.CIQ($G1748,$I1748,V$1557,Valuation_Date_GC,ReportType,DataMode,$H1748,FXMode),"n/a"))</f>
        <v/>
      </c>
      <c r="W1748" s="1479"/>
      <c r="X1748" s="255"/>
      <c r="Y1748" s="255"/>
      <c r="Z1748" s="2060"/>
      <c r="AA1748" s="2060"/>
      <c r="AB1748" s="2060"/>
      <c r="AC1748" s="2060"/>
      <c r="AD1748" s="2060"/>
      <c r="AE1748" s="2060"/>
      <c r="AF1748" s="2060"/>
      <c r="AG1748" s="2060"/>
      <c r="AH1748" s="2060"/>
      <c r="AI1748" s="2060"/>
      <c r="AJ1748" s="2060"/>
      <c r="AK1748" s="2060"/>
      <c r="AL1748" s="2060"/>
      <c r="AM1748" s="2060"/>
      <c r="AN1748" s="2060"/>
      <c r="AO1748" s="2060"/>
      <c r="AP1748" s="2060"/>
      <c r="AQ1748" s="2060"/>
      <c r="AR1748" s="2060"/>
      <c r="AS1748" s="2060"/>
      <c r="AT1748" s="2060"/>
      <c r="AU1748" s="2060"/>
      <c r="AV1748" s="2060"/>
      <c r="AW1748" s="2060"/>
      <c r="AX1748" s="2060"/>
      <c r="AY1748" s="2060"/>
      <c r="AZ1748" s="2060"/>
      <c r="BA1748" s="2060"/>
      <c r="BB1748" s="2060"/>
      <c r="BC1748" s="2060"/>
      <c r="BD1748" s="2060"/>
      <c r="BE1748" s="2060"/>
      <c r="BF1748" s="2060"/>
      <c r="BG1748" s="2060"/>
      <c r="BH1748" s="2060"/>
      <c r="BI1748" s="2060"/>
      <c r="BJ1748" s="2060"/>
      <c r="BK1748" s="2060"/>
      <c r="BL1748" s="2060"/>
      <c r="BM1748" s="2060"/>
      <c r="BN1748" s="2060"/>
      <c r="BO1748" s="2060"/>
      <c r="BP1748" s="2060"/>
      <c r="BQ1748" s="2060"/>
      <c r="BR1748" s="2060"/>
      <c r="BS1748" s="2060"/>
      <c r="BT1748" s="2060"/>
      <c r="BU1748" s="2060"/>
      <c r="BV1748" s="2060"/>
      <c r="BW1748" s="2060"/>
      <c r="BX1748" s="2060"/>
      <c r="BY1748" s="2060"/>
      <c r="BZ1748" s="2060"/>
      <c r="CA1748" s="2060"/>
      <c r="CB1748" s="2060"/>
      <c r="CC1748" s="2060"/>
      <c r="CD1748" s="2060"/>
      <c r="CE1748" s="2060"/>
      <c r="CF1748" s="2060"/>
      <c r="CG1748" s="2060"/>
      <c r="CH1748" s="2060"/>
      <c r="CI1748" s="2060"/>
      <c r="CJ1748" s="2060"/>
      <c r="CK1748" s="2060"/>
      <c r="CL1748" s="2060"/>
      <c r="CM1748" s="2060"/>
      <c r="CN1748" s="2060"/>
      <c r="CO1748" s="2060"/>
      <c r="CP1748" s="2060"/>
      <c r="CQ1748" s="2060"/>
      <c r="CR1748" s="2060"/>
      <c r="CS1748" s="2060"/>
      <c r="CT1748" s="2060"/>
      <c r="CU1748" s="2060"/>
      <c r="CV1748" s="2060"/>
      <c r="CW1748" s="2060"/>
      <c r="CX1748" s="2060"/>
      <c r="CY1748" s="2060"/>
      <c r="CZ1748" s="2060"/>
      <c r="DA1748" s="2060"/>
      <c r="DB1748" s="2060"/>
      <c r="DC1748" s="2060"/>
      <c r="DD1748" s="2060"/>
      <c r="DE1748" s="2060"/>
      <c r="DF1748" s="2060"/>
      <c r="DG1748" s="2060"/>
      <c r="DH1748" s="2060"/>
      <c r="DI1748" s="2060"/>
      <c r="DJ1748" s="2060"/>
      <c r="DK1748" s="2060"/>
      <c r="DL1748" s="2060"/>
      <c r="DM1748" s="2060"/>
      <c r="DN1748" s="2060"/>
      <c r="DO1748" s="2060"/>
      <c r="DP1748" s="2060"/>
      <c r="DQ1748" s="2060"/>
      <c r="DR1748" s="2060"/>
      <c r="DS1748" s="2060"/>
      <c r="DT1748" s="2060"/>
      <c r="DU1748" s="2060"/>
      <c r="DV1748" s="2060"/>
      <c r="DW1748" s="2060"/>
      <c r="DX1748" s="2060"/>
      <c r="DY1748" s="2060"/>
      <c r="DZ1748" s="2060"/>
      <c r="EA1748" s="2060"/>
      <c r="EB1748" s="2060"/>
      <c r="EC1748" s="2060"/>
      <c r="ED1748" s="2060"/>
      <c r="EE1748" s="2060"/>
      <c r="EF1748" s="2060"/>
      <c r="EG1748" s="2060"/>
      <c r="EH1748" s="2060"/>
      <c r="EI1748" s="2060"/>
      <c r="EJ1748" s="2060"/>
      <c r="EK1748" s="2060"/>
      <c r="EL1748" s="2060"/>
      <c r="EM1748" s="2060"/>
      <c r="EN1748" s="2060"/>
      <c r="EO1748" s="2060"/>
      <c r="EP1748" s="2060"/>
      <c r="EQ1748" s="2060"/>
      <c r="ER1748" s="2060"/>
      <c r="ES1748" s="2060"/>
      <c r="ET1748" s="2060"/>
      <c r="EU1748" s="2060"/>
      <c r="EV1748" s="2060"/>
      <c r="EW1748" s="2060"/>
      <c r="EX1748" s="2060"/>
      <c r="EY1748" s="2060"/>
      <c r="EZ1748" s="2060"/>
      <c r="FA1748" s="2060"/>
      <c r="FB1748" s="2060"/>
      <c r="FC1748" s="2060"/>
      <c r="FD1748" s="2060"/>
      <c r="FE1748" s="2060"/>
      <c r="FF1748" s="2060"/>
      <c r="FG1748" s="2060"/>
      <c r="FH1748" s="2060"/>
      <c r="FI1748" s="2060"/>
      <c r="FJ1748" s="2060"/>
      <c r="FK1748" s="2060"/>
      <c r="FL1748" s="2060"/>
      <c r="FM1748" s="2060"/>
      <c r="FN1748" s="2060"/>
      <c r="FO1748" s="2060"/>
      <c r="FP1748" s="2060"/>
      <c r="FQ1748" s="2060"/>
      <c r="FR1748" s="2060"/>
      <c r="FS1748" s="2060"/>
      <c r="FT1748" s="2060"/>
      <c r="FU1748" s="2060"/>
      <c r="FV1748" s="2060"/>
      <c r="FW1748" s="2060"/>
      <c r="FX1748" s="2060"/>
      <c r="FY1748" s="2060"/>
      <c r="FZ1748" s="2060"/>
      <c r="GA1748" s="2060"/>
      <c r="GB1748" s="2060"/>
      <c r="GC1748" s="2060"/>
      <c r="GD1748" s="2060"/>
      <c r="GE1748" s="2060"/>
      <c r="GF1748" s="2060"/>
      <c r="GG1748" s="2060"/>
      <c r="GH1748" s="2060"/>
      <c r="GI1748" s="2060"/>
      <c r="GJ1748" s="2060"/>
      <c r="GK1748" s="2060"/>
      <c r="GL1748" s="2060"/>
      <c r="GM1748" s="2060"/>
      <c r="GN1748" s="2060"/>
      <c r="GO1748" s="2060"/>
      <c r="GP1748" s="2060"/>
      <c r="GQ1748" s="2060"/>
      <c r="GR1748" s="2060"/>
      <c r="GS1748" s="2060"/>
      <c r="GT1748" s="2060"/>
      <c r="GU1748" s="2060"/>
      <c r="GV1748" s="2060"/>
      <c r="GW1748" s="2060"/>
      <c r="GX1748" s="2060"/>
      <c r="GY1748" s="2060"/>
      <c r="GZ1748" s="2060"/>
      <c r="HA1748" s="2060"/>
      <c r="HB1748" s="2060"/>
      <c r="HC1748" s="2060"/>
      <c r="HD1748" s="2060"/>
      <c r="HE1748" s="2060"/>
      <c r="HF1748" s="2060"/>
      <c r="HG1748" s="2060"/>
      <c r="HH1748" s="2060"/>
      <c r="HI1748" s="2060"/>
      <c r="HJ1748" s="2060"/>
      <c r="HK1748" s="2060"/>
      <c r="HL1748" s="2060"/>
      <c r="HM1748" s="2060"/>
      <c r="HN1748" s="2060"/>
      <c r="HO1748" s="2060"/>
      <c r="HP1748" s="2060"/>
      <c r="HQ1748" s="2060"/>
      <c r="HR1748" s="2060"/>
      <c r="HS1748" s="2060"/>
      <c r="HT1748" s="2060"/>
      <c r="HU1748" s="2060"/>
      <c r="HV1748" s="2060"/>
      <c r="HW1748" s="2060"/>
      <c r="HX1748" s="2060"/>
      <c r="HY1748" s="2060"/>
      <c r="HZ1748" s="2060"/>
      <c r="IA1748" s="2060"/>
      <c r="IB1748" s="2060"/>
      <c r="IC1748" s="2060"/>
      <c r="ID1748" s="2060"/>
      <c r="IE1748" s="2060"/>
      <c r="IF1748" s="2060"/>
      <c r="IG1748" s="2060"/>
      <c r="IH1748" s="2060"/>
      <c r="II1748" s="2060"/>
      <c r="IJ1748" s="2060"/>
      <c r="IK1748" s="2060"/>
      <c r="IL1748" s="2060"/>
      <c r="IM1748" s="2060"/>
      <c r="IN1748" s="2060"/>
      <c r="IO1748" s="2060"/>
      <c r="IP1748" s="2060"/>
      <c r="IQ1748" s="2060"/>
      <c r="IR1748" s="2060"/>
      <c r="IS1748" s="2060"/>
      <c r="IT1748" s="2060"/>
      <c r="IU1748" s="2060"/>
      <c r="IV1748" s="2060"/>
      <c r="IW1748" s="2060"/>
      <c r="IX1748" s="2060"/>
      <c r="IY1748" s="2060"/>
      <c r="IZ1748" s="2060"/>
      <c r="JA1748" s="2060"/>
      <c r="JB1748" s="2060"/>
      <c r="JC1748" s="2060"/>
      <c r="JD1748" s="2060"/>
      <c r="JE1748" s="2060"/>
      <c r="JF1748" s="2060"/>
      <c r="JG1748" s="2060"/>
      <c r="JH1748" s="2060"/>
      <c r="JI1748" s="2060"/>
      <c r="JJ1748" s="2060"/>
      <c r="JK1748" s="2060"/>
      <c r="JL1748" s="2060"/>
      <c r="JM1748" s="2060"/>
      <c r="JN1748" s="2060"/>
      <c r="JO1748" s="2060"/>
      <c r="JP1748" s="2060"/>
      <c r="JQ1748" s="2060"/>
      <c r="JR1748" s="2060"/>
      <c r="JS1748" s="2060"/>
      <c r="JT1748" s="2060"/>
      <c r="JU1748" s="2060"/>
      <c r="JV1748" s="2060"/>
      <c r="JW1748" s="2060"/>
      <c r="JX1748" s="2060"/>
      <c r="JY1748" s="2060"/>
      <c r="JZ1748" s="2060"/>
      <c r="KA1748" s="2060"/>
      <c r="KB1748" s="2060"/>
      <c r="KC1748" s="2060"/>
      <c r="KD1748" s="2060"/>
      <c r="KE1748" s="2060"/>
      <c r="KF1748" s="2060"/>
      <c r="KG1748" s="2060"/>
      <c r="KH1748" s="2060"/>
      <c r="KI1748" s="2060"/>
      <c r="KJ1748" s="2060"/>
      <c r="KK1748" s="2060"/>
      <c r="KL1748" s="2060"/>
      <c r="KM1748" s="2060"/>
      <c r="KN1748" s="2060"/>
      <c r="KO1748" s="2060"/>
      <c r="KP1748" s="2060"/>
      <c r="KQ1748" s="2060"/>
      <c r="KR1748" s="2060"/>
      <c r="KS1748" s="2060"/>
      <c r="KT1748" s="2060"/>
      <c r="KU1748" s="2060"/>
      <c r="KV1748" s="2060"/>
      <c r="KW1748" s="2060"/>
      <c r="KX1748" s="2060"/>
      <c r="KY1748" s="2060"/>
      <c r="KZ1748" s="2060"/>
      <c r="LA1748" s="2060"/>
      <c r="LB1748" s="2060"/>
      <c r="LC1748" s="2060"/>
      <c r="LD1748" s="2060"/>
      <c r="LE1748" s="2060"/>
      <c r="LF1748" s="2060"/>
      <c r="LG1748" s="2060"/>
      <c r="LH1748" s="2060"/>
    </row>
    <row r="1749" spans="1:320" s="1499" customFormat="1" ht="13.9">
      <c r="A1749" s="269" t="str">
        <f t="shared" si="475"/>
        <v>n</v>
      </c>
      <c r="B1749" s="2060"/>
      <c r="C1749" s="2060"/>
      <c r="D1749" s="2060"/>
      <c r="E1749" s="1661">
        <v>17</v>
      </c>
      <c r="F1749" s="1353" t="str">
        <f>F$145</f>
        <v>--</v>
      </c>
      <c r="G1749" s="128">
        <f>G$145</f>
        <v>0</v>
      </c>
      <c r="H1749" s="128" t="str">
        <f>H$145</f>
        <v>--</v>
      </c>
      <c r="I1749" s="89" t="s">
        <v>793</v>
      </c>
      <c r="J1749" s="2197" t="str">
        <f>IF($G1749=0,"",IFERROR(_xll.ciqfunctions.udf.CIQ($G1749,$I1749,J$1557,Valuation_Date_GC,ReportType,DataMode,$H1749,FXMode),"n/a"))</f>
        <v/>
      </c>
      <c r="K1749" s="2197" t="str">
        <f>IF($G1749=0,"",IFERROR(_xll.ciqfunctions.udf.CIQ($G1749,$I1749,K$1557,Valuation_Date_GC,ReportType,DataMode,$H1749,FXMode),"n/a"))</f>
        <v/>
      </c>
      <c r="L1749" s="2197" t="str">
        <f>IF($G1749=0,"",IFERROR(_xll.ciqfunctions.udf.CIQ($G1749,$I1749,L$1557,Valuation_Date_GC,ReportType,DataMode,$H1749,FXMode),"n/a"))</f>
        <v/>
      </c>
      <c r="M1749" s="2197" t="str">
        <f>IF($G1749=0,"",IFERROR(_xll.ciqfunctions.udf.CIQ($G1749,$I1749,M$1557,Valuation_Date_GC,ReportType,DataMode,$H1749,FXMode),"n/a"))</f>
        <v/>
      </c>
      <c r="N1749" s="2197" t="str">
        <f>IF($G1749=0,"",IFERROR(_xll.ciqfunctions.udf.CIQ($G1749,$I1749,N$1557,Valuation_Date_GC,ReportType,DataMode,$H1749,FXMode),"n/a"))</f>
        <v/>
      </c>
      <c r="O1749" s="2197" t="str">
        <f>IF($G1749=0,"",IFERROR(_xll.ciqfunctions.udf.CIQ($G1749,$I1749,O$1557,Valuation_Date_GC,ReportType,DataMode,$H1749,FXMode),"n/a"))</f>
        <v/>
      </c>
      <c r="P1749" s="2197" t="str">
        <f>IF($G1749=0,"",IFERROR(_xll.ciqfunctions.udf.CIQ($G1749,$I1749,P$1557,Valuation_Date_GC,ReportType,DataMode,$H1749,FXMode),"n/a"))</f>
        <v/>
      </c>
      <c r="Q1749" s="2197" t="str">
        <f>IF($G1749=0,"",IFERROR(_xll.ciqfunctions.udf.CIQ($G1749,$I1749,Q$1557,Valuation_Date_GC,ReportType,DataMode,$H1749,FXMode),"n/a"))</f>
        <v/>
      </c>
      <c r="R1749" s="2197" t="str">
        <f>IF($G1749=0,"",IFERROR(_xll.ciqfunctions.udf.CIQ($G1749,$I1749,R$1557,Valuation_Date_GC,ReportType,DataMode,$H1749,FXMode),"n/a"))</f>
        <v/>
      </c>
      <c r="S1749" s="2197" t="str">
        <f>IF($G1749=0,"",IFERROR(_xll.ciqfunctions.udf.CIQ($G1749,$I1749,S$1557,Valuation_Date_GC,ReportType,DataMode,$H1749,FXMode),"n/a"))</f>
        <v/>
      </c>
      <c r="T1749" s="2197" t="str">
        <f>IF($G1749=0,"",IFERROR(_xll.ciqfunctions.udf.CIQ($G1749,$I1749,T$1557,Valuation_Date_GC,ReportType,DataMode,$H1749,FXMode),"n/a"))</f>
        <v/>
      </c>
      <c r="U1749" s="2197" t="str">
        <f>IF($G1749=0,"",IFERROR(_xll.ciqfunctions.udf.CIQ($G1749,$I1749,U$1557,Valuation_Date_GC,ReportType,DataMode,$H1749,FXMode),"n/a"))</f>
        <v/>
      </c>
      <c r="V1749" s="2197" t="str">
        <f>IF($G1749=0,"",IFERROR(_xll.ciqfunctions.udf.CIQ($G1749,$I1749,V$1557,Valuation_Date_GC,ReportType,DataMode,$H1749,FXMode),"n/a"))</f>
        <v/>
      </c>
      <c r="W1749" s="1479"/>
      <c r="X1749" s="255"/>
      <c r="Y1749" s="255"/>
      <c r="Z1749" s="2060"/>
      <c r="AA1749" s="2060"/>
      <c r="AB1749" s="2060"/>
      <c r="AC1749" s="2060"/>
      <c r="AD1749" s="2060"/>
      <c r="AE1749" s="2060"/>
      <c r="AF1749" s="2060"/>
      <c r="AG1749" s="2060"/>
      <c r="AH1749" s="2060"/>
      <c r="AI1749" s="2060"/>
      <c r="AJ1749" s="2060"/>
      <c r="AK1749" s="2060"/>
      <c r="AL1749" s="2060"/>
      <c r="AM1749" s="2060"/>
      <c r="AN1749" s="2060"/>
      <c r="AO1749" s="2060"/>
      <c r="AP1749" s="2060"/>
      <c r="AQ1749" s="2060"/>
      <c r="AR1749" s="2060"/>
      <c r="AS1749" s="2060"/>
      <c r="AT1749" s="2060"/>
      <c r="AU1749" s="2060"/>
      <c r="AV1749" s="2060"/>
      <c r="AW1749" s="2060"/>
      <c r="AX1749" s="2060"/>
      <c r="AY1749" s="2060"/>
      <c r="AZ1749" s="2060"/>
      <c r="BA1749" s="2060"/>
      <c r="BB1749" s="2060"/>
      <c r="BC1749" s="2060"/>
      <c r="BD1749" s="2060"/>
      <c r="BE1749" s="2060"/>
      <c r="BF1749" s="2060"/>
      <c r="BG1749" s="2060"/>
      <c r="BH1749" s="2060"/>
      <c r="BI1749" s="2060"/>
      <c r="BJ1749" s="2060"/>
      <c r="BK1749" s="2060"/>
      <c r="BL1749" s="2060"/>
      <c r="BM1749" s="2060"/>
      <c r="BN1749" s="2060"/>
      <c r="BO1749" s="2060"/>
      <c r="BP1749" s="2060"/>
      <c r="BQ1749" s="2060"/>
      <c r="BR1749" s="2060"/>
      <c r="BS1749" s="2060"/>
      <c r="BT1749" s="2060"/>
      <c r="BU1749" s="2060"/>
      <c r="BV1749" s="2060"/>
      <c r="BW1749" s="2060"/>
      <c r="BX1749" s="2060"/>
      <c r="BY1749" s="2060"/>
      <c r="BZ1749" s="2060"/>
      <c r="CA1749" s="2060"/>
      <c r="CB1749" s="2060"/>
      <c r="CC1749" s="2060"/>
      <c r="CD1749" s="2060"/>
      <c r="CE1749" s="2060"/>
      <c r="CF1749" s="2060"/>
      <c r="CG1749" s="2060"/>
      <c r="CH1749" s="2060"/>
      <c r="CI1749" s="2060"/>
      <c r="CJ1749" s="2060"/>
      <c r="CK1749" s="2060"/>
      <c r="CL1749" s="2060"/>
      <c r="CM1749" s="2060"/>
      <c r="CN1749" s="2060"/>
      <c r="CO1749" s="2060"/>
      <c r="CP1749" s="2060"/>
      <c r="CQ1749" s="2060"/>
      <c r="CR1749" s="2060"/>
      <c r="CS1749" s="2060"/>
      <c r="CT1749" s="2060"/>
      <c r="CU1749" s="2060"/>
      <c r="CV1749" s="2060"/>
      <c r="CW1749" s="2060"/>
      <c r="CX1749" s="2060"/>
      <c r="CY1749" s="2060"/>
      <c r="CZ1749" s="2060"/>
      <c r="DA1749" s="2060"/>
      <c r="DB1749" s="2060"/>
      <c r="DC1749" s="2060"/>
      <c r="DD1749" s="2060"/>
      <c r="DE1749" s="2060"/>
      <c r="DF1749" s="2060"/>
      <c r="DG1749" s="2060"/>
      <c r="DH1749" s="2060"/>
      <c r="DI1749" s="2060"/>
      <c r="DJ1749" s="2060"/>
      <c r="DK1749" s="2060"/>
      <c r="DL1749" s="2060"/>
      <c r="DM1749" s="2060"/>
      <c r="DN1749" s="2060"/>
      <c r="DO1749" s="2060"/>
      <c r="DP1749" s="2060"/>
      <c r="DQ1749" s="2060"/>
      <c r="DR1749" s="2060"/>
      <c r="DS1749" s="2060"/>
      <c r="DT1749" s="2060"/>
      <c r="DU1749" s="2060"/>
      <c r="DV1749" s="2060"/>
      <c r="DW1749" s="2060"/>
      <c r="DX1749" s="2060"/>
      <c r="DY1749" s="2060"/>
      <c r="DZ1749" s="2060"/>
      <c r="EA1749" s="2060"/>
      <c r="EB1749" s="2060"/>
      <c r="EC1749" s="2060"/>
      <c r="ED1749" s="2060"/>
      <c r="EE1749" s="2060"/>
      <c r="EF1749" s="2060"/>
      <c r="EG1749" s="2060"/>
      <c r="EH1749" s="2060"/>
      <c r="EI1749" s="2060"/>
      <c r="EJ1749" s="2060"/>
      <c r="EK1749" s="2060"/>
      <c r="EL1749" s="2060"/>
      <c r="EM1749" s="2060"/>
      <c r="EN1749" s="2060"/>
      <c r="EO1749" s="2060"/>
      <c r="EP1749" s="2060"/>
      <c r="EQ1749" s="2060"/>
      <c r="ER1749" s="2060"/>
      <c r="ES1749" s="2060"/>
      <c r="ET1749" s="2060"/>
      <c r="EU1749" s="2060"/>
      <c r="EV1749" s="2060"/>
      <c r="EW1749" s="2060"/>
      <c r="EX1749" s="2060"/>
      <c r="EY1749" s="2060"/>
      <c r="EZ1749" s="2060"/>
      <c r="FA1749" s="2060"/>
      <c r="FB1749" s="2060"/>
      <c r="FC1749" s="2060"/>
      <c r="FD1749" s="2060"/>
      <c r="FE1749" s="2060"/>
      <c r="FF1749" s="2060"/>
      <c r="FG1749" s="2060"/>
      <c r="FH1749" s="2060"/>
      <c r="FI1749" s="2060"/>
      <c r="FJ1749" s="2060"/>
      <c r="FK1749" s="2060"/>
      <c r="FL1749" s="2060"/>
      <c r="FM1749" s="2060"/>
      <c r="FN1749" s="2060"/>
      <c r="FO1749" s="2060"/>
      <c r="FP1749" s="2060"/>
      <c r="FQ1749" s="2060"/>
      <c r="FR1749" s="2060"/>
      <c r="FS1749" s="2060"/>
      <c r="FT1749" s="2060"/>
      <c r="FU1749" s="2060"/>
      <c r="FV1749" s="2060"/>
      <c r="FW1749" s="2060"/>
      <c r="FX1749" s="2060"/>
      <c r="FY1749" s="2060"/>
      <c r="FZ1749" s="2060"/>
      <c r="GA1749" s="2060"/>
      <c r="GB1749" s="2060"/>
      <c r="GC1749" s="2060"/>
      <c r="GD1749" s="2060"/>
      <c r="GE1749" s="2060"/>
      <c r="GF1749" s="2060"/>
      <c r="GG1749" s="2060"/>
      <c r="GH1749" s="2060"/>
      <c r="GI1749" s="2060"/>
      <c r="GJ1749" s="2060"/>
      <c r="GK1749" s="2060"/>
      <c r="GL1749" s="2060"/>
      <c r="GM1749" s="2060"/>
      <c r="GN1749" s="2060"/>
      <c r="GO1749" s="2060"/>
      <c r="GP1749" s="2060"/>
      <c r="GQ1749" s="2060"/>
      <c r="GR1749" s="2060"/>
      <c r="GS1749" s="2060"/>
      <c r="GT1749" s="2060"/>
      <c r="GU1749" s="2060"/>
      <c r="GV1749" s="2060"/>
      <c r="GW1749" s="2060"/>
      <c r="GX1749" s="2060"/>
      <c r="GY1749" s="2060"/>
      <c r="GZ1749" s="2060"/>
      <c r="HA1749" s="2060"/>
      <c r="HB1749" s="2060"/>
      <c r="HC1749" s="2060"/>
      <c r="HD1749" s="2060"/>
      <c r="HE1749" s="2060"/>
      <c r="HF1749" s="2060"/>
      <c r="HG1749" s="2060"/>
      <c r="HH1749" s="2060"/>
      <c r="HI1749" s="2060"/>
      <c r="HJ1749" s="2060"/>
      <c r="HK1749" s="2060"/>
      <c r="HL1749" s="2060"/>
      <c r="HM1749" s="2060"/>
      <c r="HN1749" s="2060"/>
      <c r="HO1749" s="2060"/>
      <c r="HP1749" s="2060"/>
      <c r="HQ1749" s="2060"/>
      <c r="HR1749" s="2060"/>
      <c r="HS1749" s="2060"/>
      <c r="HT1749" s="2060"/>
      <c r="HU1749" s="2060"/>
      <c r="HV1749" s="2060"/>
      <c r="HW1749" s="2060"/>
      <c r="HX1749" s="2060"/>
      <c r="HY1749" s="2060"/>
      <c r="HZ1749" s="2060"/>
      <c r="IA1749" s="2060"/>
      <c r="IB1749" s="2060"/>
      <c r="IC1749" s="2060"/>
      <c r="ID1749" s="2060"/>
      <c r="IE1749" s="2060"/>
      <c r="IF1749" s="2060"/>
      <c r="IG1749" s="2060"/>
      <c r="IH1749" s="2060"/>
      <c r="II1749" s="2060"/>
      <c r="IJ1749" s="2060"/>
      <c r="IK1749" s="2060"/>
      <c r="IL1749" s="2060"/>
      <c r="IM1749" s="2060"/>
      <c r="IN1749" s="2060"/>
      <c r="IO1749" s="2060"/>
      <c r="IP1749" s="2060"/>
      <c r="IQ1749" s="2060"/>
      <c r="IR1749" s="2060"/>
      <c r="IS1749" s="2060"/>
      <c r="IT1749" s="2060"/>
      <c r="IU1749" s="2060"/>
      <c r="IV1749" s="2060"/>
      <c r="IW1749" s="2060"/>
      <c r="IX1749" s="2060"/>
      <c r="IY1749" s="2060"/>
      <c r="IZ1749" s="2060"/>
      <c r="JA1749" s="2060"/>
      <c r="JB1749" s="2060"/>
      <c r="JC1749" s="2060"/>
      <c r="JD1749" s="2060"/>
      <c r="JE1749" s="2060"/>
      <c r="JF1749" s="2060"/>
      <c r="JG1749" s="2060"/>
      <c r="JH1749" s="2060"/>
      <c r="JI1749" s="2060"/>
      <c r="JJ1749" s="2060"/>
      <c r="JK1749" s="2060"/>
      <c r="JL1749" s="2060"/>
      <c r="JM1749" s="2060"/>
      <c r="JN1749" s="2060"/>
      <c r="JO1749" s="2060"/>
      <c r="JP1749" s="2060"/>
      <c r="JQ1749" s="2060"/>
      <c r="JR1749" s="2060"/>
      <c r="JS1749" s="2060"/>
      <c r="JT1749" s="2060"/>
      <c r="JU1749" s="2060"/>
      <c r="JV1749" s="2060"/>
      <c r="JW1749" s="2060"/>
      <c r="JX1749" s="2060"/>
      <c r="JY1749" s="2060"/>
      <c r="JZ1749" s="2060"/>
      <c r="KA1749" s="2060"/>
      <c r="KB1749" s="2060"/>
      <c r="KC1749" s="2060"/>
      <c r="KD1749" s="2060"/>
      <c r="KE1749" s="2060"/>
      <c r="KF1749" s="2060"/>
      <c r="KG1749" s="2060"/>
      <c r="KH1749" s="2060"/>
      <c r="KI1749" s="2060"/>
      <c r="KJ1749" s="2060"/>
      <c r="KK1749" s="2060"/>
      <c r="KL1749" s="2060"/>
      <c r="KM1749" s="2060"/>
      <c r="KN1749" s="2060"/>
      <c r="KO1749" s="2060"/>
      <c r="KP1749" s="2060"/>
      <c r="KQ1749" s="2060"/>
      <c r="KR1749" s="2060"/>
      <c r="KS1749" s="2060"/>
      <c r="KT1749" s="2060"/>
      <c r="KU1749" s="2060"/>
      <c r="KV1749" s="2060"/>
      <c r="KW1749" s="2060"/>
      <c r="KX1749" s="2060"/>
      <c r="KY1749" s="2060"/>
      <c r="KZ1749" s="2060"/>
      <c r="LA1749" s="2060"/>
      <c r="LB1749" s="2060"/>
      <c r="LC1749" s="2060"/>
      <c r="LD1749" s="2060"/>
      <c r="LE1749" s="2060"/>
      <c r="LF1749" s="2060"/>
      <c r="LG1749" s="2060"/>
      <c r="LH1749" s="2060"/>
    </row>
    <row r="1750" spans="1:320" s="1499" customFormat="1" ht="13.9">
      <c r="A1750" s="269" t="str">
        <f t="shared" si="475"/>
        <v>n</v>
      </c>
      <c r="B1750" s="2060"/>
      <c r="C1750" s="2060"/>
      <c r="D1750" s="2060"/>
      <c r="E1750" s="1661">
        <v>18</v>
      </c>
      <c r="F1750" s="1353" t="str">
        <f>F$146</f>
        <v>--</v>
      </c>
      <c r="G1750" s="128">
        <f>G$146</f>
        <v>0</v>
      </c>
      <c r="H1750" s="128" t="str">
        <f>H$146</f>
        <v>--</v>
      </c>
      <c r="I1750" s="89" t="s">
        <v>793</v>
      </c>
      <c r="J1750" s="2197" t="str">
        <f>IF($G1750=0,"",IFERROR(_xll.ciqfunctions.udf.CIQ($G1750,$I1750,J$1557,Valuation_Date_GC,ReportType,DataMode,$H1750,FXMode),"n/a"))</f>
        <v/>
      </c>
      <c r="K1750" s="2197" t="str">
        <f>IF($G1750=0,"",IFERROR(_xll.ciqfunctions.udf.CIQ($G1750,$I1750,K$1557,Valuation_Date_GC,ReportType,DataMode,$H1750,FXMode),"n/a"))</f>
        <v/>
      </c>
      <c r="L1750" s="2197" t="str">
        <f>IF($G1750=0,"",IFERROR(_xll.ciqfunctions.udf.CIQ($G1750,$I1750,L$1557,Valuation_Date_GC,ReportType,DataMode,$H1750,FXMode),"n/a"))</f>
        <v/>
      </c>
      <c r="M1750" s="2197" t="str">
        <f>IF($G1750=0,"",IFERROR(_xll.ciqfunctions.udf.CIQ($G1750,$I1750,M$1557,Valuation_Date_GC,ReportType,DataMode,$H1750,FXMode),"n/a"))</f>
        <v/>
      </c>
      <c r="N1750" s="2197" t="str">
        <f>IF($G1750=0,"",IFERROR(_xll.ciqfunctions.udf.CIQ($G1750,$I1750,N$1557,Valuation_Date_GC,ReportType,DataMode,$H1750,FXMode),"n/a"))</f>
        <v/>
      </c>
      <c r="O1750" s="2197" t="str">
        <f>IF($G1750=0,"",IFERROR(_xll.ciqfunctions.udf.CIQ($G1750,$I1750,O$1557,Valuation_Date_GC,ReportType,DataMode,$H1750,FXMode),"n/a"))</f>
        <v/>
      </c>
      <c r="P1750" s="2197" t="str">
        <f>IF($G1750=0,"",IFERROR(_xll.ciqfunctions.udf.CIQ($G1750,$I1750,P$1557,Valuation_Date_GC,ReportType,DataMode,$H1750,FXMode),"n/a"))</f>
        <v/>
      </c>
      <c r="Q1750" s="2197" t="str">
        <f>IF($G1750=0,"",IFERROR(_xll.ciqfunctions.udf.CIQ($G1750,$I1750,Q$1557,Valuation_Date_GC,ReportType,DataMode,$H1750,FXMode),"n/a"))</f>
        <v/>
      </c>
      <c r="R1750" s="2197" t="str">
        <f>IF($G1750=0,"",IFERROR(_xll.ciqfunctions.udf.CIQ($G1750,$I1750,R$1557,Valuation_Date_GC,ReportType,DataMode,$H1750,FXMode),"n/a"))</f>
        <v/>
      </c>
      <c r="S1750" s="2197" t="str">
        <f>IF($G1750=0,"",IFERROR(_xll.ciqfunctions.udf.CIQ($G1750,$I1750,S$1557,Valuation_Date_GC,ReportType,DataMode,$H1750,FXMode),"n/a"))</f>
        <v/>
      </c>
      <c r="T1750" s="2197" t="str">
        <f>IF($G1750=0,"",IFERROR(_xll.ciqfunctions.udf.CIQ($G1750,$I1750,T$1557,Valuation_Date_GC,ReportType,DataMode,$H1750,FXMode),"n/a"))</f>
        <v/>
      </c>
      <c r="U1750" s="2197" t="str">
        <f>IF($G1750=0,"",IFERROR(_xll.ciqfunctions.udf.CIQ($G1750,$I1750,U$1557,Valuation_Date_GC,ReportType,DataMode,$H1750,FXMode),"n/a"))</f>
        <v/>
      </c>
      <c r="V1750" s="2197" t="str">
        <f>IF($G1750=0,"",IFERROR(_xll.ciqfunctions.udf.CIQ($G1750,$I1750,V$1557,Valuation_Date_GC,ReportType,DataMode,$H1750,FXMode),"n/a"))</f>
        <v/>
      </c>
      <c r="W1750" s="1479"/>
      <c r="X1750" s="255"/>
      <c r="Y1750" s="255"/>
      <c r="Z1750" s="2060"/>
      <c r="AA1750" s="2060"/>
      <c r="AB1750" s="2060"/>
      <c r="AC1750" s="2060"/>
      <c r="AD1750" s="2060"/>
      <c r="AE1750" s="2060"/>
      <c r="AF1750" s="2060"/>
      <c r="AG1750" s="2060"/>
      <c r="AH1750" s="2060"/>
      <c r="AI1750" s="2060"/>
      <c r="AJ1750" s="2060"/>
      <c r="AK1750" s="2060"/>
      <c r="AL1750" s="2060"/>
      <c r="AM1750" s="2060"/>
      <c r="AN1750" s="2060"/>
      <c r="AO1750" s="2060"/>
      <c r="AP1750" s="2060"/>
      <c r="AQ1750" s="2060"/>
      <c r="AR1750" s="2060"/>
      <c r="AS1750" s="2060"/>
      <c r="AT1750" s="2060"/>
      <c r="AU1750" s="2060"/>
      <c r="AV1750" s="2060"/>
      <c r="AW1750" s="2060"/>
      <c r="AX1750" s="2060"/>
      <c r="AY1750" s="2060"/>
      <c r="AZ1750" s="2060"/>
      <c r="BA1750" s="2060"/>
      <c r="BB1750" s="2060"/>
      <c r="BC1750" s="2060"/>
      <c r="BD1750" s="2060"/>
      <c r="BE1750" s="2060"/>
      <c r="BF1750" s="2060"/>
      <c r="BG1750" s="2060"/>
      <c r="BH1750" s="2060"/>
      <c r="BI1750" s="2060"/>
      <c r="BJ1750" s="2060"/>
      <c r="BK1750" s="2060"/>
      <c r="BL1750" s="2060"/>
      <c r="BM1750" s="2060"/>
      <c r="BN1750" s="2060"/>
      <c r="BO1750" s="2060"/>
      <c r="BP1750" s="2060"/>
      <c r="BQ1750" s="2060"/>
      <c r="BR1750" s="2060"/>
      <c r="BS1750" s="2060"/>
      <c r="BT1750" s="2060"/>
      <c r="BU1750" s="2060"/>
      <c r="BV1750" s="2060"/>
      <c r="BW1750" s="2060"/>
      <c r="BX1750" s="2060"/>
      <c r="BY1750" s="2060"/>
      <c r="BZ1750" s="2060"/>
      <c r="CA1750" s="2060"/>
      <c r="CB1750" s="2060"/>
      <c r="CC1750" s="2060"/>
      <c r="CD1750" s="2060"/>
      <c r="CE1750" s="2060"/>
      <c r="CF1750" s="2060"/>
      <c r="CG1750" s="2060"/>
      <c r="CH1750" s="2060"/>
      <c r="CI1750" s="2060"/>
      <c r="CJ1750" s="2060"/>
      <c r="CK1750" s="2060"/>
      <c r="CL1750" s="2060"/>
      <c r="CM1750" s="2060"/>
      <c r="CN1750" s="2060"/>
      <c r="CO1750" s="2060"/>
      <c r="CP1750" s="2060"/>
      <c r="CQ1750" s="2060"/>
      <c r="CR1750" s="2060"/>
      <c r="CS1750" s="2060"/>
      <c r="CT1750" s="2060"/>
      <c r="CU1750" s="2060"/>
      <c r="CV1750" s="2060"/>
      <c r="CW1750" s="2060"/>
      <c r="CX1750" s="2060"/>
      <c r="CY1750" s="2060"/>
      <c r="CZ1750" s="2060"/>
      <c r="DA1750" s="2060"/>
      <c r="DB1750" s="2060"/>
      <c r="DC1750" s="2060"/>
      <c r="DD1750" s="2060"/>
      <c r="DE1750" s="2060"/>
      <c r="DF1750" s="2060"/>
      <c r="DG1750" s="2060"/>
      <c r="DH1750" s="2060"/>
      <c r="DI1750" s="2060"/>
      <c r="DJ1750" s="2060"/>
      <c r="DK1750" s="2060"/>
      <c r="DL1750" s="2060"/>
      <c r="DM1750" s="2060"/>
      <c r="DN1750" s="2060"/>
      <c r="DO1750" s="2060"/>
      <c r="DP1750" s="2060"/>
      <c r="DQ1750" s="2060"/>
      <c r="DR1750" s="2060"/>
      <c r="DS1750" s="2060"/>
      <c r="DT1750" s="2060"/>
      <c r="DU1750" s="2060"/>
      <c r="DV1750" s="2060"/>
      <c r="DW1750" s="2060"/>
      <c r="DX1750" s="2060"/>
      <c r="DY1750" s="2060"/>
      <c r="DZ1750" s="2060"/>
      <c r="EA1750" s="2060"/>
      <c r="EB1750" s="2060"/>
      <c r="EC1750" s="2060"/>
      <c r="ED1750" s="2060"/>
      <c r="EE1750" s="2060"/>
      <c r="EF1750" s="2060"/>
      <c r="EG1750" s="2060"/>
      <c r="EH1750" s="2060"/>
      <c r="EI1750" s="2060"/>
      <c r="EJ1750" s="2060"/>
      <c r="EK1750" s="2060"/>
      <c r="EL1750" s="2060"/>
      <c r="EM1750" s="2060"/>
      <c r="EN1750" s="2060"/>
      <c r="EO1750" s="2060"/>
      <c r="EP1750" s="2060"/>
      <c r="EQ1750" s="2060"/>
      <c r="ER1750" s="2060"/>
      <c r="ES1750" s="2060"/>
      <c r="ET1750" s="2060"/>
      <c r="EU1750" s="2060"/>
      <c r="EV1750" s="2060"/>
      <c r="EW1750" s="2060"/>
      <c r="EX1750" s="2060"/>
      <c r="EY1750" s="2060"/>
      <c r="EZ1750" s="2060"/>
      <c r="FA1750" s="2060"/>
      <c r="FB1750" s="2060"/>
      <c r="FC1750" s="2060"/>
      <c r="FD1750" s="2060"/>
      <c r="FE1750" s="2060"/>
      <c r="FF1750" s="2060"/>
      <c r="FG1750" s="2060"/>
      <c r="FH1750" s="2060"/>
      <c r="FI1750" s="2060"/>
      <c r="FJ1750" s="2060"/>
      <c r="FK1750" s="2060"/>
      <c r="FL1750" s="2060"/>
      <c r="FM1750" s="2060"/>
      <c r="FN1750" s="2060"/>
      <c r="FO1750" s="2060"/>
      <c r="FP1750" s="2060"/>
      <c r="FQ1750" s="2060"/>
      <c r="FR1750" s="2060"/>
      <c r="FS1750" s="2060"/>
      <c r="FT1750" s="2060"/>
      <c r="FU1750" s="2060"/>
      <c r="FV1750" s="2060"/>
      <c r="FW1750" s="2060"/>
      <c r="FX1750" s="2060"/>
      <c r="FY1750" s="2060"/>
      <c r="FZ1750" s="2060"/>
      <c r="GA1750" s="2060"/>
      <c r="GB1750" s="2060"/>
      <c r="GC1750" s="2060"/>
      <c r="GD1750" s="2060"/>
      <c r="GE1750" s="2060"/>
      <c r="GF1750" s="2060"/>
      <c r="GG1750" s="2060"/>
      <c r="GH1750" s="2060"/>
      <c r="GI1750" s="2060"/>
      <c r="GJ1750" s="2060"/>
      <c r="GK1750" s="2060"/>
      <c r="GL1750" s="2060"/>
      <c r="GM1750" s="2060"/>
      <c r="GN1750" s="2060"/>
      <c r="GO1750" s="2060"/>
      <c r="GP1750" s="2060"/>
      <c r="GQ1750" s="2060"/>
      <c r="GR1750" s="2060"/>
      <c r="GS1750" s="2060"/>
      <c r="GT1750" s="2060"/>
      <c r="GU1750" s="2060"/>
      <c r="GV1750" s="2060"/>
      <c r="GW1750" s="2060"/>
      <c r="GX1750" s="2060"/>
      <c r="GY1750" s="2060"/>
      <c r="GZ1750" s="2060"/>
      <c r="HA1750" s="2060"/>
      <c r="HB1750" s="2060"/>
      <c r="HC1750" s="2060"/>
      <c r="HD1750" s="2060"/>
      <c r="HE1750" s="2060"/>
      <c r="HF1750" s="2060"/>
      <c r="HG1750" s="2060"/>
      <c r="HH1750" s="2060"/>
      <c r="HI1750" s="2060"/>
      <c r="HJ1750" s="2060"/>
      <c r="HK1750" s="2060"/>
      <c r="HL1750" s="2060"/>
      <c r="HM1750" s="2060"/>
      <c r="HN1750" s="2060"/>
      <c r="HO1750" s="2060"/>
      <c r="HP1750" s="2060"/>
      <c r="HQ1750" s="2060"/>
      <c r="HR1750" s="2060"/>
      <c r="HS1750" s="2060"/>
      <c r="HT1750" s="2060"/>
      <c r="HU1750" s="2060"/>
      <c r="HV1750" s="2060"/>
      <c r="HW1750" s="2060"/>
      <c r="HX1750" s="2060"/>
      <c r="HY1750" s="2060"/>
      <c r="HZ1750" s="2060"/>
      <c r="IA1750" s="2060"/>
      <c r="IB1750" s="2060"/>
      <c r="IC1750" s="2060"/>
      <c r="ID1750" s="2060"/>
      <c r="IE1750" s="2060"/>
      <c r="IF1750" s="2060"/>
      <c r="IG1750" s="2060"/>
      <c r="IH1750" s="2060"/>
      <c r="II1750" s="2060"/>
      <c r="IJ1750" s="2060"/>
      <c r="IK1750" s="2060"/>
      <c r="IL1750" s="2060"/>
      <c r="IM1750" s="2060"/>
      <c r="IN1750" s="2060"/>
      <c r="IO1750" s="2060"/>
      <c r="IP1750" s="2060"/>
      <c r="IQ1750" s="2060"/>
      <c r="IR1750" s="2060"/>
      <c r="IS1750" s="2060"/>
      <c r="IT1750" s="2060"/>
      <c r="IU1750" s="2060"/>
      <c r="IV1750" s="2060"/>
      <c r="IW1750" s="2060"/>
      <c r="IX1750" s="2060"/>
      <c r="IY1750" s="2060"/>
      <c r="IZ1750" s="2060"/>
      <c r="JA1750" s="2060"/>
      <c r="JB1750" s="2060"/>
      <c r="JC1750" s="2060"/>
      <c r="JD1750" s="2060"/>
      <c r="JE1750" s="2060"/>
      <c r="JF1750" s="2060"/>
      <c r="JG1750" s="2060"/>
      <c r="JH1750" s="2060"/>
      <c r="JI1750" s="2060"/>
      <c r="JJ1750" s="2060"/>
      <c r="JK1750" s="2060"/>
      <c r="JL1750" s="2060"/>
      <c r="JM1750" s="2060"/>
      <c r="JN1750" s="2060"/>
      <c r="JO1750" s="2060"/>
      <c r="JP1750" s="2060"/>
      <c r="JQ1750" s="2060"/>
      <c r="JR1750" s="2060"/>
      <c r="JS1750" s="2060"/>
      <c r="JT1750" s="2060"/>
      <c r="JU1750" s="2060"/>
      <c r="JV1750" s="2060"/>
      <c r="JW1750" s="2060"/>
      <c r="JX1750" s="2060"/>
      <c r="JY1750" s="2060"/>
      <c r="JZ1750" s="2060"/>
      <c r="KA1750" s="2060"/>
      <c r="KB1750" s="2060"/>
      <c r="KC1750" s="2060"/>
      <c r="KD1750" s="2060"/>
      <c r="KE1750" s="2060"/>
      <c r="KF1750" s="2060"/>
      <c r="KG1750" s="2060"/>
      <c r="KH1750" s="2060"/>
      <c r="KI1750" s="2060"/>
      <c r="KJ1750" s="2060"/>
      <c r="KK1750" s="2060"/>
      <c r="KL1750" s="2060"/>
      <c r="KM1750" s="2060"/>
      <c r="KN1750" s="2060"/>
      <c r="KO1750" s="2060"/>
      <c r="KP1750" s="2060"/>
      <c r="KQ1750" s="2060"/>
      <c r="KR1750" s="2060"/>
      <c r="KS1750" s="2060"/>
      <c r="KT1750" s="2060"/>
      <c r="KU1750" s="2060"/>
      <c r="KV1750" s="2060"/>
      <c r="KW1750" s="2060"/>
      <c r="KX1750" s="2060"/>
      <c r="KY1750" s="2060"/>
      <c r="KZ1750" s="2060"/>
      <c r="LA1750" s="2060"/>
      <c r="LB1750" s="2060"/>
      <c r="LC1750" s="2060"/>
      <c r="LD1750" s="2060"/>
      <c r="LE1750" s="2060"/>
      <c r="LF1750" s="2060"/>
      <c r="LG1750" s="2060"/>
      <c r="LH1750" s="2060"/>
    </row>
    <row r="1751" spans="1:320" s="1499" customFormat="1" ht="13.9">
      <c r="A1751" s="269" t="str">
        <f t="shared" si="475"/>
        <v>n</v>
      </c>
      <c r="B1751" s="2060"/>
      <c r="C1751" s="2060"/>
      <c r="D1751" s="2060"/>
      <c r="E1751" s="1661">
        <v>19</v>
      </c>
      <c r="F1751" s="1353" t="str">
        <f>F$147</f>
        <v>--</v>
      </c>
      <c r="G1751" s="128">
        <f>G$147</f>
        <v>0</v>
      </c>
      <c r="H1751" s="128" t="str">
        <f>H$147</f>
        <v>--</v>
      </c>
      <c r="I1751" s="89" t="s">
        <v>793</v>
      </c>
      <c r="J1751" s="2197" t="str">
        <f>IF($G1751=0,"",IFERROR(_xll.ciqfunctions.udf.CIQ($G1751,$I1751,J$1557,Valuation_Date_GC,ReportType,DataMode,$H1751,FXMode),"n/a"))</f>
        <v/>
      </c>
      <c r="K1751" s="2197" t="str">
        <f>IF($G1751=0,"",IFERROR(_xll.ciqfunctions.udf.CIQ($G1751,$I1751,K$1557,Valuation_Date_GC,ReportType,DataMode,$H1751,FXMode),"n/a"))</f>
        <v/>
      </c>
      <c r="L1751" s="2197" t="str">
        <f>IF($G1751=0,"",IFERROR(_xll.ciqfunctions.udf.CIQ($G1751,$I1751,L$1557,Valuation_Date_GC,ReportType,DataMode,$H1751,FXMode),"n/a"))</f>
        <v/>
      </c>
      <c r="M1751" s="2197" t="str">
        <f>IF($G1751=0,"",IFERROR(_xll.ciqfunctions.udf.CIQ($G1751,$I1751,M$1557,Valuation_Date_GC,ReportType,DataMode,$H1751,FXMode),"n/a"))</f>
        <v/>
      </c>
      <c r="N1751" s="2197" t="str">
        <f>IF($G1751=0,"",IFERROR(_xll.ciqfunctions.udf.CIQ($G1751,$I1751,N$1557,Valuation_Date_GC,ReportType,DataMode,$H1751,FXMode),"n/a"))</f>
        <v/>
      </c>
      <c r="O1751" s="2197" t="str">
        <f>IF($G1751=0,"",IFERROR(_xll.ciqfunctions.udf.CIQ($G1751,$I1751,O$1557,Valuation_Date_GC,ReportType,DataMode,$H1751,FXMode),"n/a"))</f>
        <v/>
      </c>
      <c r="P1751" s="2197" t="str">
        <f>IF($G1751=0,"",IFERROR(_xll.ciqfunctions.udf.CIQ($G1751,$I1751,P$1557,Valuation_Date_GC,ReportType,DataMode,$H1751,FXMode),"n/a"))</f>
        <v/>
      </c>
      <c r="Q1751" s="2197" t="str">
        <f>IF($G1751=0,"",IFERROR(_xll.ciqfunctions.udf.CIQ($G1751,$I1751,Q$1557,Valuation_Date_GC,ReportType,DataMode,$H1751,FXMode),"n/a"))</f>
        <v/>
      </c>
      <c r="R1751" s="2197" t="str">
        <f>IF($G1751=0,"",IFERROR(_xll.ciqfunctions.udf.CIQ($G1751,$I1751,R$1557,Valuation_Date_GC,ReportType,DataMode,$H1751,FXMode),"n/a"))</f>
        <v/>
      </c>
      <c r="S1751" s="2197" t="str">
        <f>IF($G1751=0,"",IFERROR(_xll.ciqfunctions.udf.CIQ($G1751,$I1751,S$1557,Valuation_Date_GC,ReportType,DataMode,$H1751,FXMode),"n/a"))</f>
        <v/>
      </c>
      <c r="T1751" s="2197" t="str">
        <f>IF($G1751=0,"",IFERROR(_xll.ciqfunctions.udf.CIQ($G1751,$I1751,T$1557,Valuation_Date_GC,ReportType,DataMode,$H1751,FXMode),"n/a"))</f>
        <v/>
      </c>
      <c r="U1751" s="2197" t="str">
        <f>IF($G1751=0,"",IFERROR(_xll.ciqfunctions.udf.CIQ($G1751,$I1751,U$1557,Valuation_Date_GC,ReportType,DataMode,$H1751,FXMode),"n/a"))</f>
        <v/>
      </c>
      <c r="V1751" s="2197" t="str">
        <f>IF($G1751=0,"",IFERROR(_xll.ciqfunctions.udf.CIQ($G1751,$I1751,V$1557,Valuation_Date_GC,ReportType,DataMode,$H1751,FXMode),"n/a"))</f>
        <v/>
      </c>
      <c r="W1751" s="1479"/>
      <c r="X1751" s="255"/>
      <c r="Y1751" s="255"/>
      <c r="Z1751" s="2060"/>
      <c r="AA1751" s="2060"/>
      <c r="AB1751" s="2060"/>
      <c r="AC1751" s="2060"/>
      <c r="AD1751" s="2060"/>
      <c r="AE1751" s="2060"/>
      <c r="AF1751" s="2060"/>
      <c r="AG1751" s="2060"/>
      <c r="AH1751" s="2060"/>
      <c r="AI1751" s="2060"/>
      <c r="AJ1751" s="2060"/>
      <c r="AK1751" s="2060"/>
      <c r="AL1751" s="2060"/>
      <c r="AM1751" s="2060"/>
      <c r="AN1751" s="2060"/>
      <c r="AO1751" s="2060"/>
      <c r="AP1751" s="2060"/>
      <c r="AQ1751" s="2060"/>
      <c r="AR1751" s="2060"/>
      <c r="AS1751" s="2060"/>
      <c r="AT1751" s="2060"/>
      <c r="AU1751" s="2060"/>
      <c r="AV1751" s="2060"/>
      <c r="AW1751" s="2060"/>
      <c r="AX1751" s="2060"/>
      <c r="AY1751" s="2060"/>
      <c r="AZ1751" s="2060"/>
      <c r="BA1751" s="2060"/>
      <c r="BB1751" s="2060"/>
      <c r="BC1751" s="2060"/>
      <c r="BD1751" s="2060"/>
      <c r="BE1751" s="2060"/>
      <c r="BF1751" s="2060"/>
      <c r="BG1751" s="2060"/>
      <c r="BH1751" s="2060"/>
      <c r="BI1751" s="2060"/>
      <c r="BJ1751" s="2060"/>
      <c r="BK1751" s="2060"/>
      <c r="BL1751" s="2060"/>
      <c r="BM1751" s="2060"/>
      <c r="BN1751" s="2060"/>
      <c r="BO1751" s="2060"/>
      <c r="BP1751" s="2060"/>
      <c r="BQ1751" s="2060"/>
      <c r="BR1751" s="2060"/>
      <c r="BS1751" s="2060"/>
      <c r="BT1751" s="2060"/>
      <c r="BU1751" s="2060"/>
      <c r="BV1751" s="2060"/>
      <c r="BW1751" s="2060"/>
      <c r="BX1751" s="2060"/>
      <c r="BY1751" s="2060"/>
      <c r="BZ1751" s="2060"/>
      <c r="CA1751" s="2060"/>
      <c r="CB1751" s="2060"/>
      <c r="CC1751" s="2060"/>
      <c r="CD1751" s="2060"/>
      <c r="CE1751" s="2060"/>
      <c r="CF1751" s="2060"/>
      <c r="CG1751" s="2060"/>
      <c r="CH1751" s="2060"/>
      <c r="CI1751" s="2060"/>
      <c r="CJ1751" s="2060"/>
      <c r="CK1751" s="2060"/>
      <c r="CL1751" s="2060"/>
      <c r="CM1751" s="2060"/>
      <c r="CN1751" s="2060"/>
      <c r="CO1751" s="2060"/>
      <c r="CP1751" s="2060"/>
      <c r="CQ1751" s="2060"/>
      <c r="CR1751" s="2060"/>
      <c r="CS1751" s="2060"/>
      <c r="CT1751" s="2060"/>
      <c r="CU1751" s="2060"/>
      <c r="CV1751" s="2060"/>
      <c r="CW1751" s="2060"/>
      <c r="CX1751" s="2060"/>
      <c r="CY1751" s="2060"/>
      <c r="CZ1751" s="2060"/>
      <c r="DA1751" s="2060"/>
      <c r="DB1751" s="2060"/>
      <c r="DC1751" s="2060"/>
      <c r="DD1751" s="2060"/>
      <c r="DE1751" s="2060"/>
      <c r="DF1751" s="2060"/>
      <c r="DG1751" s="2060"/>
      <c r="DH1751" s="2060"/>
      <c r="DI1751" s="2060"/>
      <c r="DJ1751" s="2060"/>
      <c r="DK1751" s="2060"/>
      <c r="DL1751" s="2060"/>
      <c r="DM1751" s="2060"/>
      <c r="DN1751" s="2060"/>
      <c r="DO1751" s="2060"/>
      <c r="DP1751" s="2060"/>
      <c r="DQ1751" s="2060"/>
      <c r="DR1751" s="2060"/>
      <c r="DS1751" s="2060"/>
      <c r="DT1751" s="2060"/>
      <c r="DU1751" s="2060"/>
      <c r="DV1751" s="2060"/>
      <c r="DW1751" s="2060"/>
      <c r="DX1751" s="2060"/>
      <c r="DY1751" s="2060"/>
      <c r="DZ1751" s="2060"/>
      <c r="EA1751" s="2060"/>
      <c r="EB1751" s="2060"/>
      <c r="EC1751" s="2060"/>
      <c r="ED1751" s="2060"/>
      <c r="EE1751" s="2060"/>
      <c r="EF1751" s="2060"/>
      <c r="EG1751" s="2060"/>
      <c r="EH1751" s="2060"/>
      <c r="EI1751" s="2060"/>
      <c r="EJ1751" s="2060"/>
      <c r="EK1751" s="2060"/>
      <c r="EL1751" s="2060"/>
      <c r="EM1751" s="2060"/>
      <c r="EN1751" s="2060"/>
      <c r="EO1751" s="2060"/>
      <c r="EP1751" s="2060"/>
      <c r="EQ1751" s="2060"/>
      <c r="ER1751" s="2060"/>
      <c r="ES1751" s="2060"/>
      <c r="ET1751" s="2060"/>
      <c r="EU1751" s="2060"/>
      <c r="EV1751" s="2060"/>
      <c r="EW1751" s="2060"/>
      <c r="EX1751" s="2060"/>
      <c r="EY1751" s="2060"/>
      <c r="EZ1751" s="2060"/>
      <c r="FA1751" s="2060"/>
      <c r="FB1751" s="2060"/>
      <c r="FC1751" s="2060"/>
      <c r="FD1751" s="2060"/>
      <c r="FE1751" s="2060"/>
      <c r="FF1751" s="2060"/>
      <c r="FG1751" s="2060"/>
      <c r="FH1751" s="2060"/>
      <c r="FI1751" s="2060"/>
      <c r="FJ1751" s="2060"/>
      <c r="FK1751" s="2060"/>
      <c r="FL1751" s="2060"/>
      <c r="FM1751" s="2060"/>
      <c r="FN1751" s="2060"/>
      <c r="FO1751" s="2060"/>
      <c r="FP1751" s="2060"/>
      <c r="FQ1751" s="2060"/>
      <c r="FR1751" s="2060"/>
      <c r="FS1751" s="2060"/>
      <c r="FT1751" s="2060"/>
      <c r="FU1751" s="2060"/>
      <c r="FV1751" s="2060"/>
      <c r="FW1751" s="2060"/>
      <c r="FX1751" s="2060"/>
      <c r="FY1751" s="2060"/>
      <c r="FZ1751" s="2060"/>
      <c r="GA1751" s="2060"/>
      <c r="GB1751" s="2060"/>
      <c r="GC1751" s="2060"/>
      <c r="GD1751" s="2060"/>
      <c r="GE1751" s="2060"/>
      <c r="GF1751" s="2060"/>
      <c r="GG1751" s="2060"/>
      <c r="GH1751" s="2060"/>
      <c r="GI1751" s="2060"/>
      <c r="GJ1751" s="2060"/>
      <c r="GK1751" s="2060"/>
      <c r="GL1751" s="2060"/>
      <c r="GM1751" s="2060"/>
      <c r="GN1751" s="2060"/>
      <c r="GO1751" s="2060"/>
      <c r="GP1751" s="2060"/>
      <c r="GQ1751" s="2060"/>
      <c r="GR1751" s="2060"/>
      <c r="GS1751" s="2060"/>
      <c r="GT1751" s="2060"/>
      <c r="GU1751" s="2060"/>
      <c r="GV1751" s="2060"/>
      <c r="GW1751" s="2060"/>
      <c r="GX1751" s="2060"/>
      <c r="GY1751" s="2060"/>
      <c r="GZ1751" s="2060"/>
      <c r="HA1751" s="2060"/>
      <c r="HB1751" s="2060"/>
      <c r="HC1751" s="2060"/>
      <c r="HD1751" s="2060"/>
      <c r="HE1751" s="2060"/>
      <c r="HF1751" s="2060"/>
      <c r="HG1751" s="2060"/>
      <c r="HH1751" s="2060"/>
      <c r="HI1751" s="2060"/>
      <c r="HJ1751" s="2060"/>
      <c r="HK1751" s="2060"/>
      <c r="HL1751" s="2060"/>
      <c r="HM1751" s="2060"/>
      <c r="HN1751" s="2060"/>
      <c r="HO1751" s="2060"/>
      <c r="HP1751" s="2060"/>
      <c r="HQ1751" s="2060"/>
      <c r="HR1751" s="2060"/>
      <c r="HS1751" s="2060"/>
      <c r="HT1751" s="2060"/>
      <c r="HU1751" s="2060"/>
      <c r="HV1751" s="2060"/>
      <c r="HW1751" s="2060"/>
      <c r="HX1751" s="2060"/>
      <c r="HY1751" s="2060"/>
      <c r="HZ1751" s="2060"/>
      <c r="IA1751" s="2060"/>
      <c r="IB1751" s="2060"/>
      <c r="IC1751" s="2060"/>
      <c r="ID1751" s="2060"/>
      <c r="IE1751" s="2060"/>
      <c r="IF1751" s="2060"/>
      <c r="IG1751" s="2060"/>
      <c r="IH1751" s="2060"/>
      <c r="II1751" s="2060"/>
      <c r="IJ1751" s="2060"/>
      <c r="IK1751" s="2060"/>
      <c r="IL1751" s="2060"/>
      <c r="IM1751" s="2060"/>
      <c r="IN1751" s="2060"/>
      <c r="IO1751" s="2060"/>
      <c r="IP1751" s="2060"/>
      <c r="IQ1751" s="2060"/>
      <c r="IR1751" s="2060"/>
      <c r="IS1751" s="2060"/>
      <c r="IT1751" s="2060"/>
      <c r="IU1751" s="2060"/>
      <c r="IV1751" s="2060"/>
      <c r="IW1751" s="2060"/>
      <c r="IX1751" s="2060"/>
      <c r="IY1751" s="2060"/>
      <c r="IZ1751" s="2060"/>
      <c r="JA1751" s="2060"/>
      <c r="JB1751" s="2060"/>
      <c r="JC1751" s="2060"/>
      <c r="JD1751" s="2060"/>
      <c r="JE1751" s="2060"/>
      <c r="JF1751" s="2060"/>
      <c r="JG1751" s="2060"/>
      <c r="JH1751" s="2060"/>
      <c r="JI1751" s="2060"/>
      <c r="JJ1751" s="2060"/>
      <c r="JK1751" s="2060"/>
      <c r="JL1751" s="2060"/>
      <c r="JM1751" s="2060"/>
      <c r="JN1751" s="2060"/>
      <c r="JO1751" s="2060"/>
      <c r="JP1751" s="2060"/>
      <c r="JQ1751" s="2060"/>
      <c r="JR1751" s="2060"/>
      <c r="JS1751" s="2060"/>
      <c r="JT1751" s="2060"/>
      <c r="JU1751" s="2060"/>
      <c r="JV1751" s="2060"/>
      <c r="JW1751" s="2060"/>
      <c r="JX1751" s="2060"/>
      <c r="JY1751" s="2060"/>
      <c r="JZ1751" s="2060"/>
      <c r="KA1751" s="2060"/>
      <c r="KB1751" s="2060"/>
      <c r="KC1751" s="2060"/>
      <c r="KD1751" s="2060"/>
      <c r="KE1751" s="2060"/>
      <c r="KF1751" s="2060"/>
      <c r="KG1751" s="2060"/>
      <c r="KH1751" s="2060"/>
      <c r="KI1751" s="2060"/>
      <c r="KJ1751" s="2060"/>
      <c r="KK1751" s="2060"/>
      <c r="KL1751" s="2060"/>
      <c r="KM1751" s="2060"/>
      <c r="KN1751" s="2060"/>
      <c r="KO1751" s="2060"/>
      <c r="KP1751" s="2060"/>
      <c r="KQ1751" s="2060"/>
      <c r="KR1751" s="2060"/>
      <c r="KS1751" s="2060"/>
      <c r="KT1751" s="2060"/>
      <c r="KU1751" s="2060"/>
      <c r="KV1751" s="2060"/>
      <c r="KW1751" s="2060"/>
      <c r="KX1751" s="2060"/>
      <c r="KY1751" s="2060"/>
      <c r="KZ1751" s="2060"/>
      <c r="LA1751" s="2060"/>
      <c r="LB1751" s="2060"/>
      <c r="LC1751" s="2060"/>
      <c r="LD1751" s="2060"/>
      <c r="LE1751" s="2060"/>
      <c r="LF1751" s="2060"/>
      <c r="LG1751" s="2060"/>
      <c r="LH1751" s="2060"/>
    </row>
    <row r="1752" spans="1:320" s="1499" customFormat="1" ht="13.9">
      <c r="A1752" s="269" t="str">
        <f t="shared" si="475"/>
        <v>n</v>
      </c>
      <c r="B1752" s="2060"/>
      <c r="C1752" s="2060"/>
      <c r="D1752" s="2060"/>
      <c r="E1752" s="1661">
        <v>20</v>
      </c>
      <c r="F1752" s="1353" t="str">
        <f>F$148</f>
        <v>--</v>
      </c>
      <c r="G1752" s="128">
        <f>G$148</f>
        <v>0</v>
      </c>
      <c r="H1752" s="128" t="str">
        <f>H$148</f>
        <v>--</v>
      </c>
      <c r="I1752" s="89" t="s">
        <v>793</v>
      </c>
      <c r="J1752" s="2197" t="str">
        <f>IF($G1752=0,"",IFERROR(_xll.ciqfunctions.udf.CIQ($G1752,$I1752,J$1557,Valuation_Date_GC,ReportType,DataMode,$H1752,FXMode),"n/a"))</f>
        <v/>
      </c>
      <c r="K1752" s="2197" t="str">
        <f>IF($G1752=0,"",IFERROR(_xll.ciqfunctions.udf.CIQ($G1752,$I1752,K$1557,Valuation_Date_GC,ReportType,DataMode,$H1752,FXMode),"n/a"))</f>
        <v/>
      </c>
      <c r="L1752" s="2197" t="str">
        <f>IF($G1752=0,"",IFERROR(_xll.ciqfunctions.udf.CIQ($G1752,$I1752,L$1557,Valuation_Date_GC,ReportType,DataMode,$H1752,FXMode),"n/a"))</f>
        <v/>
      </c>
      <c r="M1752" s="2197" t="str">
        <f>IF($G1752=0,"",IFERROR(_xll.ciqfunctions.udf.CIQ($G1752,$I1752,M$1557,Valuation_Date_GC,ReportType,DataMode,$H1752,FXMode),"n/a"))</f>
        <v/>
      </c>
      <c r="N1752" s="2197" t="str">
        <f>IF($G1752=0,"",IFERROR(_xll.ciqfunctions.udf.CIQ($G1752,$I1752,N$1557,Valuation_Date_GC,ReportType,DataMode,$H1752,FXMode),"n/a"))</f>
        <v/>
      </c>
      <c r="O1752" s="2197" t="str">
        <f>IF($G1752=0,"",IFERROR(_xll.ciqfunctions.udf.CIQ($G1752,$I1752,O$1557,Valuation_Date_GC,ReportType,DataMode,$H1752,FXMode),"n/a"))</f>
        <v/>
      </c>
      <c r="P1752" s="2197" t="str">
        <f>IF($G1752=0,"",IFERROR(_xll.ciqfunctions.udf.CIQ($G1752,$I1752,P$1557,Valuation_Date_GC,ReportType,DataMode,$H1752,FXMode),"n/a"))</f>
        <v/>
      </c>
      <c r="Q1752" s="2197" t="str">
        <f>IF($G1752=0,"",IFERROR(_xll.ciqfunctions.udf.CIQ($G1752,$I1752,Q$1557,Valuation_Date_GC,ReportType,DataMode,$H1752,FXMode),"n/a"))</f>
        <v/>
      </c>
      <c r="R1752" s="2197" t="str">
        <f>IF($G1752=0,"",IFERROR(_xll.ciqfunctions.udf.CIQ($G1752,$I1752,R$1557,Valuation_Date_GC,ReportType,DataMode,$H1752,FXMode),"n/a"))</f>
        <v/>
      </c>
      <c r="S1752" s="2197" t="str">
        <f>IF($G1752=0,"",IFERROR(_xll.ciqfunctions.udf.CIQ($G1752,$I1752,S$1557,Valuation_Date_GC,ReportType,DataMode,$H1752,FXMode),"n/a"))</f>
        <v/>
      </c>
      <c r="T1752" s="2197" t="str">
        <f>IF($G1752=0,"",IFERROR(_xll.ciqfunctions.udf.CIQ($G1752,$I1752,T$1557,Valuation_Date_GC,ReportType,DataMode,$H1752,FXMode),"n/a"))</f>
        <v/>
      </c>
      <c r="U1752" s="2197" t="str">
        <f>IF($G1752=0,"",IFERROR(_xll.ciqfunctions.udf.CIQ($G1752,$I1752,U$1557,Valuation_Date_GC,ReportType,DataMode,$H1752,FXMode),"n/a"))</f>
        <v/>
      </c>
      <c r="V1752" s="2197" t="str">
        <f>IF($G1752=0,"",IFERROR(_xll.ciqfunctions.udf.CIQ($G1752,$I1752,V$1557,Valuation_Date_GC,ReportType,DataMode,$H1752,FXMode),"n/a"))</f>
        <v/>
      </c>
      <c r="W1752" s="1479"/>
      <c r="X1752" s="255"/>
      <c r="Y1752" s="255"/>
      <c r="Z1752" s="2060"/>
      <c r="AA1752" s="2060"/>
      <c r="AB1752" s="2060"/>
      <c r="AC1752" s="2060"/>
      <c r="AD1752" s="2060"/>
      <c r="AE1752" s="2060"/>
      <c r="AF1752" s="2060"/>
      <c r="AG1752" s="2060"/>
      <c r="AH1752" s="2060"/>
      <c r="AI1752" s="2060"/>
      <c r="AJ1752" s="2060"/>
      <c r="AK1752" s="2060"/>
      <c r="AL1752" s="2060"/>
      <c r="AM1752" s="2060"/>
      <c r="AN1752" s="2060"/>
      <c r="AO1752" s="2060"/>
      <c r="AP1752" s="2060"/>
      <c r="AQ1752" s="2060"/>
      <c r="AR1752" s="2060"/>
      <c r="AS1752" s="2060"/>
      <c r="AT1752" s="2060"/>
      <c r="AU1752" s="2060"/>
      <c r="AV1752" s="2060"/>
      <c r="AW1752" s="2060"/>
      <c r="AX1752" s="2060"/>
      <c r="AY1752" s="2060"/>
      <c r="AZ1752" s="2060"/>
      <c r="BA1752" s="2060"/>
      <c r="BB1752" s="2060"/>
      <c r="BC1752" s="2060"/>
      <c r="BD1752" s="2060"/>
      <c r="BE1752" s="2060"/>
      <c r="BF1752" s="2060"/>
      <c r="BG1752" s="2060"/>
      <c r="BH1752" s="2060"/>
      <c r="BI1752" s="2060"/>
      <c r="BJ1752" s="2060"/>
      <c r="BK1752" s="2060"/>
      <c r="BL1752" s="2060"/>
      <c r="BM1752" s="2060"/>
      <c r="BN1752" s="2060"/>
      <c r="BO1752" s="2060"/>
      <c r="BP1752" s="2060"/>
      <c r="BQ1752" s="2060"/>
      <c r="BR1752" s="2060"/>
      <c r="BS1752" s="2060"/>
      <c r="BT1752" s="2060"/>
      <c r="BU1752" s="2060"/>
      <c r="BV1752" s="2060"/>
      <c r="BW1752" s="2060"/>
      <c r="BX1752" s="2060"/>
      <c r="BY1752" s="2060"/>
      <c r="BZ1752" s="2060"/>
      <c r="CA1752" s="2060"/>
      <c r="CB1752" s="2060"/>
      <c r="CC1752" s="2060"/>
      <c r="CD1752" s="2060"/>
      <c r="CE1752" s="2060"/>
      <c r="CF1752" s="2060"/>
      <c r="CG1752" s="2060"/>
      <c r="CH1752" s="2060"/>
      <c r="CI1752" s="2060"/>
      <c r="CJ1752" s="2060"/>
      <c r="CK1752" s="2060"/>
      <c r="CL1752" s="2060"/>
      <c r="CM1752" s="2060"/>
      <c r="CN1752" s="2060"/>
      <c r="CO1752" s="2060"/>
      <c r="CP1752" s="2060"/>
      <c r="CQ1752" s="2060"/>
      <c r="CR1752" s="2060"/>
      <c r="CS1752" s="2060"/>
      <c r="CT1752" s="2060"/>
      <c r="CU1752" s="2060"/>
      <c r="CV1752" s="2060"/>
      <c r="CW1752" s="2060"/>
      <c r="CX1752" s="2060"/>
      <c r="CY1752" s="2060"/>
      <c r="CZ1752" s="2060"/>
      <c r="DA1752" s="2060"/>
      <c r="DB1752" s="2060"/>
      <c r="DC1752" s="2060"/>
      <c r="DD1752" s="2060"/>
      <c r="DE1752" s="2060"/>
      <c r="DF1752" s="2060"/>
      <c r="DG1752" s="2060"/>
      <c r="DH1752" s="2060"/>
      <c r="DI1752" s="2060"/>
      <c r="DJ1752" s="2060"/>
      <c r="DK1752" s="2060"/>
      <c r="DL1752" s="2060"/>
      <c r="DM1752" s="2060"/>
      <c r="DN1752" s="2060"/>
      <c r="DO1752" s="2060"/>
      <c r="DP1752" s="2060"/>
      <c r="DQ1752" s="2060"/>
      <c r="DR1752" s="2060"/>
      <c r="DS1752" s="2060"/>
      <c r="DT1752" s="2060"/>
      <c r="DU1752" s="2060"/>
      <c r="DV1752" s="2060"/>
      <c r="DW1752" s="2060"/>
      <c r="DX1752" s="2060"/>
      <c r="DY1752" s="2060"/>
      <c r="DZ1752" s="2060"/>
      <c r="EA1752" s="2060"/>
      <c r="EB1752" s="2060"/>
      <c r="EC1752" s="2060"/>
      <c r="ED1752" s="2060"/>
      <c r="EE1752" s="2060"/>
      <c r="EF1752" s="2060"/>
      <c r="EG1752" s="2060"/>
      <c r="EH1752" s="2060"/>
      <c r="EI1752" s="2060"/>
      <c r="EJ1752" s="2060"/>
      <c r="EK1752" s="2060"/>
      <c r="EL1752" s="2060"/>
      <c r="EM1752" s="2060"/>
      <c r="EN1752" s="2060"/>
      <c r="EO1752" s="2060"/>
      <c r="EP1752" s="2060"/>
      <c r="EQ1752" s="2060"/>
      <c r="ER1752" s="2060"/>
      <c r="ES1752" s="2060"/>
      <c r="ET1752" s="2060"/>
      <c r="EU1752" s="2060"/>
      <c r="EV1752" s="2060"/>
      <c r="EW1752" s="2060"/>
      <c r="EX1752" s="2060"/>
      <c r="EY1752" s="2060"/>
      <c r="EZ1752" s="2060"/>
      <c r="FA1752" s="2060"/>
      <c r="FB1752" s="2060"/>
      <c r="FC1752" s="2060"/>
      <c r="FD1752" s="2060"/>
      <c r="FE1752" s="2060"/>
      <c r="FF1752" s="2060"/>
      <c r="FG1752" s="2060"/>
      <c r="FH1752" s="2060"/>
      <c r="FI1752" s="2060"/>
      <c r="FJ1752" s="2060"/>
      <c r="FK1752" s="2060"/>
      <c r="FL1752" s="2060"/>
      <c r="FM1752" s="2060"/>
      <c r="FN1752" s="2060"/>
      <c r="FO1752" s="2060"/>
      <c r="FP1752" s="2060"/>
      <c r="FQ1752" s="2060"/>
      <c r="FR1752" s="2060"/>
      <c r="FS1752" s="2060"/>
      <c r="FT1752" s="2060"/>
      <c r="FU1752" s="2060"/>
      <c r="FV1752" s="2060"/>
      <c r="FW1752" s="2060"/>
      <c r="FX1752" s="2060"/>
      <c r="FY1752" s="2060"/>
      <c r="FZ1752" s="2060"/>
      <c r="GA1752" s="2060"/>
      <c r="GB1752" s="2060"/>
      <c r="GC1752" s="2060"/>
      <c r="GD1752" s="2060"/>
      <c r="GE1752" s="2060"/>
      <c r="GF1752" s="2060"/>
      <c r="GG1752" s="2060"/>
      <c r="GH1752" s="2060"/>
      <c r="GI1752" s="2060"/>
      <c r="GJ1752" s="2060"/>
      <c r="GK1752" s="2060"/>
      <c r="GL1752" s="2060"/>
      <c r="GM1752" s="2060"/>
      <c r="GN1752" s="2060"/>
      <c r="GO1752" s="2060"/>
      <c r="GP1752" s="2060"/>
      <c r="GQ1752" s="2060"/>
      <c r="GR1752" s="2060"/>
      <c r="GS1752" s="2060"/>
      <c r="GT1752" s="2060"/>
      <c r="GU1752" s="2060"/>
      <c r="GV1752" s="2060"/>
      <c r="GW1752" s="2060"/>
      <c r="GX1752" s="2060"/>
      <c r="GY1752" s="2060"/>
      <c r="GZ1752" s="2060"/>
      <c r="HA1752" s="2060"/>
      <c r="HB1752" s="2060"/>
      <c r="HC1752" s="2060"/>
      <c r="HD1752" s="2060"/>
      <c r="HE1752" s="2060"/>
      <c r="HF1752" s="2060"/>
      <c r="HG1752" s="2060"/>
      <c r="HH1752" s="2060"/>
      <c r="HI1752" s="2060"/>
      <c r="HJ1752" s="2060"/>
      <c r="HK1752" s="2060"/>
      <c r="HL1752" s="2060"/>
      <c r="HM1752" s="2060"/>
      <c r="HN1752" s="2060"/>
      <c r="HO1752" s="2060"/>
      <c r="HP1752" s="2060"/>
      <c r="HQ1752" s="2060"/>
      <c r="HR1752" s="2060"/>
      <c r="HS1752" s="2060"/>
      <c r="HT1752" s="2060"/>
      <c r="HU1752" s="2060"/>
      <c r="HV1752" s="2060"/>
      <c r="HW1752" s="2060"/>
      <c r="HX1752" s="2060"/>
      <c r="HY1752" s="2060"/>
      <c r="HZ1752" s="2060"/>
      <c r="IA1752" s="2060"/>
      <c r="IB1752" s="2060"/>
      <c r="IC1752" s="2060"/>
      <c r="ID1752" s="2060"/>
      <c r="IE1752" s="2060"/>
      <c r="IF1752" s="2060"/>
      <c r="IG1752" s="2060"/>
      <c r="IH1752" s="2060"/>
      <c r="II1752" s="2060"/>
      <c r="IJ1752" s="2060"/>
      <c r="IK1752" s="2060"/>
      <c r="IL1752" s="2060"/>
      <c r="IM1752" s="2060"/>
      <c r="IN1752" s="2060"/>
      <c r="IO1752" s="2060"/>
      <c r="IP1752" s="2060"/>
      <c r="IQ1752" s="2060"/>
      <c r="IR1752" s="2060"/>
      <c r="IS1752" s="2060"/>
      <c r="IT1752" s="2060"/>
      <c r="IU1752" s="2060"/>
      <c r="IV1752" s="2060"/>
      <c r="IW1752" s="2060"/>
      <c r="IX1752" s="2060"/>
      <c r="IY1752" s="2060"/>
      <c r="IZ1752" s="2060"/>
      <c r="JA1752" s="2060"/>
      <c r="JB1752" s="2060"/>
      <c r="JC1752" s="2060"/>
      <c r="JD1752" s="2060"/>
      <c r="JE1752" s="2060"/>
      <c r="JF1752" s="2060"/>
      <c r="JG1752" s="2060"/>
      <c r="JH1752" s="2060"/>
      <c r="JI1752" s="2060"/>
      <c r="JJ1752" s="2060"/>
      <c r="JK1752" s="2060"/>
      <c r="JL1752" s="2060"/>
      <c r="JM1752" s="2060"/>
      <c r="JN1752" s="2060"/>
      <c r="JO1752" s="2060"/>
      <c r="JP1752" s="2060"/>
      <c r="JQ1752" s="2060"/>
      <c r="JR1752" s="2060"/>
      <c r="JS1752" s="2060"/>
      <c r="JT1752" s="2060"/>
      <c r="JU1752" s="2060"/>
      <c r="JV1752" s="2060"/>
      <c r="JW1752" s="2060"/>
      <c r="JX1752" s="2060"/>
      <c r="JY1752" s="2060"/>
      <c r="JZ1752" s="2060"/>
      <c r="KA1752" s="2060"/>
      <c r="KB1752" s="2060"/>
      <c r="KC1752" s="2060"/>
      <c r="KD1752" s="2060"/>
      <c r="KE1752" s="2060"/>
      <c r="KF1752" s="2060"/>
      <c r="KG1752" s="2060"/>
      <c r="KH1752" s="2060"/>
      <c r="KI1752" s="2060"/>
      <c r="KJ1752" s="2060"/>
      <c r="KK1752" s="2060"/>
      <c r="KL1752" s="2060"/>
      <c r="KM1752" s="2060"/>
      <c r="KN1752" s="2060"/>
      <c r="KO1752" s="2060"/>
      <c r="KP1752" s="2060"/>
      <c r="KQ1752" s="2060"/>
      <c r="KR1752" s="2060"/>
      <c r="KS1752" s="2060"/>
      <c r="KT1752" s="2060"/>
      <c r="KU1752" s="2060"/>
      <c r="KV1752" s="2060"/>
      <c r="KW1752" s="2060"/>
      <c r="KX1752" s="2060"/>
      <c r="KY1752" s="2060"/>
      <c r="KZ1752" s="2060"/>
      <c r="LA1752" s="2060"/>
      <c r="LB1752" s="2060"/>
      <c r="LC1752" s="2060"/>
      <c r="LD1752" s="2060"/>
      <c r="LE1752" s="2060"/>
      <c r="LF1752" s="2060"/>
      <c r="LG1752" s="2060"/>
      <c r="LH1752" s="2060"/>
    </row>
    <row r="1753" spans="1:320" s="1499" customFormat="1" ht="13.9">
      <c r="A1753" s="269" t="str">
        <f t="shared" si="475"/>
        <v>n</v>
      </c>
      <c r="B1753" s="2060"/>
      <c r="C1753" s="2060"/>
      <c r="D1753" s="2060"/>
      <c r="E1753" s="1661">
        <v>21</v>
      </c>
      <c r="F1753" s="1353" t="str">
        <f>F$149</f>
        <v>--</v>
      </c>
      <c r="G1753" s="128">
        <f>G$149</f>
        <v>0</v>
      </c>
      <c r="H1753" s="128" t="str">
        <f>H$149</f>
        <v>--</v>
      </c>
      <c r="I1753" s="89" t="s">
        <v>793</v>
      </c>
      <c r="J1753" s="2197" t="str">
        <f>IF($G1753=0,"",IFERROR(_xll.ciqfunctions.udf.CIQ($G1753,$I1753,J$1557,Valuation_Date_GC,ReportType,DataMode,$H1753,FXMode),"n/a"))</f>
        <v/>
      </c>
      <c r="K1753" s="2197" t="str">
        <f>IF($G1753=0,"",IFERROR(_xll.ciqfunctions.udf.CIQ($G1753,$I1753,K$1557,Valuation_Date_GC,ReportType,DataMode,$H1753,FXMode),"n/a"))</f>
        <v/>
      </c>
      <c r="L1753" s="2197" t="str">
        <f>IF($G1753=0,"",IFERROR(_xll.ciqfunctions.udf.CIQ($G1753,$I1753,L$1557,Valuation_Date_GC,ReportType,DataMode,$H1753,FXMode),"n/a"))</f>
        <v/>
      </c>
      <c r="M1753" s="2197" t="str">
        <f>IF($G1753=0,"",IFERROR(_xll.ciqfunctions.udf.CIQ($G1753,$I1753,M$1557,Valuation_Date_GC,ReportType,DataMode,$H1753,FXMode),"n/a"))</f>
        <v/>
      </c>
      <c r="N1753" s="2197" t="str">
        <f>IF($G1753=0,"",IFERROR(_xll.ciqfunctions.udf.CIQ($G1753,$I1753,N$1557,Valuation_Date_GC,ReportType,DataMode,$H1753,FXMode),"n/a"))</f>
        <v/>
      </c>
      <c r="O1753" s="2197" t="str">
        <f>IF($G1753=0,"",IFERROR(_xll.ciqfunctions.udf.CIQ($G1753,$I1753,O$1557,Valuation_Date_GC,ReportType,DataMode,$H1753,FXMode),"n/a"))</f>
        <v/>
      </c>
      <c r="P1753" s="2197" t="str">
        <f>IF($G1753=0,"",IFERROR(_xll.ciqfunctions.udf.CIQ($G1753,$I1753,P$1557,Valuation_Date_GC,ReportType,DataMode,$H1753,FXMode),"n/a"))</f>
        <v/>
      </c>
      <c r="Q1753" s="2197" t="str">
        <f>IF($G1753=0,"",IFERROR(_xll.ciqfunctions.udf.CIQ($G1753,$I1753,Q$1557,Valuation_Date_GC,ReportType,DataMode,$H1753,FXMode),"n/a"))</f>
        <v/>
      </c>
      <c r="R1753" s="2197" t="str">
        <f>IF($G1753=0,"",IFERROR(_xll.ciqfunctions.udf.CIQ($G1753,$I1753,R$1557,Valuation_Date_GC,ReportType,DataMode,$H1753,FXMode),"n/a"))</f>
        <v/>
      </c>
      <c r="S1753" s="2197" t="str">
        <f>IF($G1753=0,"",IFERROR(_xll.ciqfunctions.udf.CIQ($G1753,$I1753,S$1557,Valuation_Date_GC,ReportType,DataMode,$H1753,FXMode),"n/a"))</f>
        <v/>
      </c>
      <c r="T1753" s="2197" t="str">
        <f>IF($G1753=0,"",IFERROR(_xll.ciqfunctions.udf.CIQ($G1753,$I1753,T$1557,Valuation_Date_GC,ReportType,DataMode,$H1753,FXMode),"n/a"))</f>
        <v/>
      </c>
      <c r="U1753" s="2197" t="str">
        <f>IF($G1753=0,"",IFERROR(_xll.ciqfunctions.udf.CIQ($G1753,$I1753,U$1557,Valuation_Date_GC,ReportType,DataMode,$H1753,FXMode),"n/a"))</f>
        <v/>
      </c>
      <c r="V1753" s="2197" t="str">
        <f>IF($G1753=0,"",IFERROR(_xll.ciqfunctions.udf.CIQ($G1753,$I1753,V$1557,Valuation_Date_GC,ReportType,DataMode,$H1753,FXMode),"n/a"))</f>
        <v/>
      </c>
      <c r="W1753" s="1479"/>
      <c r="X1753" s="255"/>
      <c r="Y1753" s="255"/>
      <c r="Z1753" s="2060"/>
      <c r="AA1753" s="2060"/>
      <c r="AB1753" s="2060"/>
      <c r="AC1753" s="2060"/>
      <c r="AD1753" s="2060"/>
      <c r="AE1753" s="2060"/>
      <c r="AF1753" s="2060"/>
      <c r="AG1753" s="2060"/>
      <c r="AH1753" s="2060"/>
      <c r="AI1753" s="2060"/>
      <c r="AJ1753" s="2060"/>
      <c r="AK1753" s="2060"/>
      <c r="AL1753" s="2060"/>
      <c r="AM1753" s="2060"/>
      <c r="AN1753" s="2060"/>
      <c r="AO1753" s="2060"/>
      <c r="AP1753" s="2060"/>
      <c r="AQ1753" s="2060"/>
      <c r="AR1753" s="2060"/>
      <c r="AS1753" s="2060"/>
      <c r="AT1753" s="2060"/>
      <c r="AU1753" s="2060"/>
      <c r="AV1753" s="2060"/>
      <c r="AW1753" s="2060"/>
      <c r="AX1753" s="2060"/>
      <c r="AY1753" s="2060"/>
      <c r="AZ1753" s="2060"/>
      <c r="BA1753" s="2060"/>
      <c r="BB1753" s="2060"/>
      <c r="BC1753" s="2060"/>
      <c r="BD1753" s="2060"/>
      <c r="BE1753" s="2060"/>
      <c r="BF1753" s="2060"/>
      <c r="BG1753" s="2060"/>
      <c r="BH1753" s="2060"/>
      <c r="BI1753" s="2060"/>
      <c r="BJ1753" s="2060"/>
      <c r="BK1753" s="2060"/>
      <c r="BL1753" s="2060"/>
      <c r="BM1753" s="2060"/>
      <c r="BN1753" s="2060"/>
      <c r="BO1753" s="2060"/>
      <c r="BP1753" s="2060"/>
      <c r="BQ1753" s="2060"/>
      <c r="BR1753" s="2060"/>
      <c r="BS1753" s="2060"/>
      <c r="BT1753" s="2060"/>
      <c r="BU1753" s="2060"/>
      <c r="BV1753" s="2060"/>
      <c r="BW1753" s="2060"/>
      <c r="BX1753" s="2060"/>
      <c r="BY1753" s="2060"/>
      <c r="BZ1753" s="2060"/>
      <c r="CA1753" s="2060"/>
      <c r="CB1753" s="2060"/>
      <c r="CC1753" s="2060"/>
      <c r="CD1753" s="2060"/>
      <c r="CE1753" s="2060"/>
      <c r="CF1753" s="2060"/>
      <c r="CG1753" s="2060"/>
      <c r="CH1753" s="2060"/>
      <c r="CI1753" s="2060"/>
      <c r="CJ1753" s="2060"/>
      <c r="CK1753" s="2060"/>
      <c r="CL1753" s="2060"/>
      <c r="CM1753" s="2060"/>
      <c r="CN1753" s="2060"/>
      <c r="CO1753" s="2060"/>
      <c r="CP1753" s="2060"/>
      <c r="CQ1753" s="2060"/>
      <c r="CR1753" s="2060"/>
      <c r="CS1753" s="2060"/>
      <c r="CT1753" s="2060"/>
      <c r="CU1753" s="2060"/>
      <c r="CV1753" s="2060"/>
      <c r="CW1753" s="2060"/>
      <c r="CX1753" s="2060"/>
      <c r="CY1753" s="2060"/>
      <c r="CZ1753" s="2060"/>
      <c r="DA1753" s="2060"/>
      <c r="DB1753" s="2060"/>
      <c r="DC1753" s="2060"/>
      <c r="DD1753" s="2060"/>
      <c r="DE1753" s="2060"/>
      <c r="DF1753" s="2060"/>
      <c r="DG1753" s="2060"/>
      <c r="DH1753" s="2060"/>
      <c r="DI1753" s="2060"/>
      <c r="DJ1753" s="2060"/>
      <c r="DK1753" s="2060"/>
      <c r="DL1753" s="2060"/>
      <c r="DM1753" s="2060"/>
      <c r="DN1753" s="2060"/>
      <c r="DO1753" s="2060"/>
      <c r="DP1753" s="2060"/>
      <c r="DQ1753" s="2060"/>
      <c r="DR1753" s="2060"/>
      <c r="DS1753" s="2060"/>
      <c r="DT1753" s="2060"/>
      <c r="DU1753" s="2060"/>
      <c r="DV1753" s="2060"/>
      <c r="DW1753" s="2060"/>
      <c r="DX1753" s="2060"/>
      <c r="DY1753" s="2060"/>
      <c r="DZ1753" s="2060"/>
      <c r="EA1753" s="2060"/>
      <c r="EB1753" s="2060"/>
      <c r="EC1753" s="2060"/>
      <c r="ED1753" s="2060"/>
      <c r="EE1753" s="2060"/>
      <c r="EF1753" s="2060"/>
      <c r="EG1753" s="2060"/>
      <c r="EH1753" s="2060"/>
      <c r="EI1753" s="2060"/>
      <c r="EJ1753" s="2060"/>
      <c r="EK1753" s="2060"/>
      <c r="EL1753" s="2060"/>
      <c r="EM1753" s="2060"/>
      <c r="EN1753" s="2060"/>
      <c r="EO1753" s="2060"/>
      <c r="EP1753" s="2060"/>
      <c r="EQ1753" s="2060"/>
      <c r="ER1753" s="2060"/>
      <c r="ES1753" s="2060"/>
      <c r="ET1753" s="2060"/>
      <c r="EU1753" s="2060"/>
      <c r="EV1753" s="2060"/>
      <c r="EW1753" s="2060"/>
      <c r="EX1753" s="2060"/>
      <c r="EY1753" s="2060"/>
      <c r="EZ1753" s="2060"/>
      <c r="FA1753" s="2060"/>
      <c r="FB1753" s="2060"/>
      <c r="FC1753" s="2060"/>
      <c r="FD1753" s="2060"/>
      <c r="FE1753" s="2060"/>
      <c r="FF1753" s="2060"/>
      <c r="FG1753" s="2060"/>
      <c r="FH1753" s="2060"/>
      <c r="FI1753" s="2060"/>
      <c r="FJ1753" s="2060"/>
      <c r="FK1753" s="2060"/>
      <c r="FL1753" s="2060"/>
      <c r="FM1753" s="2060"/>
      <c r="FN1753" s="2060"/>
      <c r="FO1753" s="2060"/>
      <c r="FP1753" s="2060"/>
      <c r="FQ1753" s="2060"/>
      <c r="FR1753" s="2060"/>
      <c r="FS1753" s="2060"/>
      <c r="FT1753" s="2060"/>
      <c r="FU1753" s="2060"/>
      <c r="FV1753" s="2060"/>
      <c r="FW1753" s="2060"/>
      <c r="FX1753" s="2060"/>
      <c r="FY1753" s="2060"/>
      <c r="FZ1753" s="2060"/>
      <c r="GA1753" s="2060"/>
      <c r="GB1753" s="2060"/>
      <c r="GC1753" s="2060"/>
      <c r="GD1753" s="2060"/>
      <c r="GE1753" s="2060"/>
      <c r="GF1753" s="2060"/>
      <c r="GG1753" s="2060"/>
      <c r="GH1753" s="2060"/>
      <c r="GI1753" s="2060"/>
      <c r="GJ1753" s="2060"/>
      <c r="GK1753" s="2060"/>
      <c r="GL1753" s="2060"/>
      <c r="GM1753" s="2060"/>
      <c r="GN1753" s="2060"/>
      <c r="GO1753" s="2060"/>
      <c r="GP1753" s="2060"/>
      <c r="GQ1753" s="2060"/>
      <c r="GR1753" s="2060"/>
      <c r="GS1753" s="2060"/>
      <c r="GT1753" s="2060"/>
      <c r="GU1753" s="2060"/>
      <c r="GV1753" s="2060"/>
      <c r="GW1753" s="2060"/>
      <c r="GX1753" s="2060"/>
      <c r="GY1753" s="2060"/>
      <c r="GZ1753" s="2060"/>
      <c r="HA1753" s="2060"/>
      <c r="HB1753" s="2060"/>
      <c r="HC1753" s="2060"/>
      <c r="HD1753" s="2060"/>
      <c r="HE1753" s="2060"/>
      <c r="HF1753" s="2060"/>
      <c r="HG1753" s="2060"/>
      <c r="HH1753" s="2060"/>
      <c r="HI1753" s="2060"/>
      <c r="HJ1753" s="2060"/>
      <c r="HK1753" s="2060"/>
      <c r="HL1753" s="2060"/>
      <c r="HM1753" s="2060"/>
      <c r="HN1753" s="2060"/>
      <c r="HO1753" s="2060"/>
      <c r="HP1753" s="2060"/>
      <c r="HQ1753" s="2060"/>
      <c r="HR1753" s="2060"/>
      <c r="HS1753" s="2060"/>
      <c r="HT1753" s="2060"/>
      <c r="HU1753" s="2060"/>
      <c r="HV1753" s="2060"/>
      <c r="HW1753" s="2060"/>
      <c r="HX1753" s="2060"/>
      <c r="HY1753" s="2060"/>
      <c r="HZ1753" s="2060"/>
      <c r="IA1753" s="2060"/>
      <c r="IB1753" s="2060"/>
      <c r="IC1753" s="2060"/>
      <c r="ID1753" s="2060"/>
      <c r="IE1753" s="2060"/>
      <c r="IF1753" s="2060"/>
      <c r="IG1753" s="2060"/>
      <c r="IH1753" s="2060"/>
      <c r="II1753" s="2060"/>
      <c r="IJ1753" s="2060"/>
      <c r="IK1753" s="2060"/>
      <c r="IL1753" s="2060"/>
      <c r="IM1753" s="2060"/>
      <c r="IN1753" s="2060"/>
      <c r="IO1753" s="2060"/>
      <c r="IP1753" s="2060"/>
      <c r="IQ1753" s="2060"/>
      <c r="IR1753" s="2060"/>
      <c r="IS1753" s="2060"/>
      <c r="IT1753" s="2060"/>
      <c r="IU1753" s="2060"/>
      <c r="IV1753" s="2060"/>
      <c r="IW1753" s="2060"/>
      <c r="IX1753" s="2060"/>
      <c r="IY1753" s="2060"/>
      <c r="IZ1753" s="2060"/>
      <c r="JA1753" s="2060"/>
      <c r="JB1753" s="2060"/>
      <c r="JC1753" s="2060"/>
      <c r="JD1753" s="2060"/>
      <c r="JE1753" s="2060"/>
      <c r="JF1753" s="2060"/>
      <c r="JG1753" s="2060"/>
      <c r="JH1753" s="2060"/>
      <c r="JI1753" s="2060"/>
      <c r="JJ1753" s="2060"/>
      <c r="JK1753" s="2060"/>
      <c r="JL1753" s="2060"/>
      <c r="JM1753" s="2060"/>
      <c r="JN1753" s="2060"/>
      <c r="JO1753" s="2060"/>
      <c r="JP1753" s="2060"/>
      <c r="JQ1753" s="2060"/>
      <c r="JR1753" s="2060"/>
      <c r="JS1753" s="2060"/>
      <c r="JT1753" s="2060"/>
      <c r="JU1753" s="2060"/>
      <c r="JV1753" s="2060"/>
      <c r="JW1753" s="2060"/>
      <c r="JX1753" s="2060"/>
      <c r="JY1753" s="2060"/>
      <c r="JZ1753" s="2060"/>
      <c r="KA1753" s="2060"/>
      <c r="KB1753" s="2060"/>
      <c r="KC1753" s="2060"/>
      <c r="KD1753" s="2060"/>
      <c r="KE1753" s="2060"/>
      <c r="KF1753" s="2060"/>
      <c r="KG1753" s="2060"/>
      <c r="KH1753" s="2060"/>
      <c r="KI1753" s="2060"/>
      <c r="KJ1753" s="2060"/>
      <c r="KK1753" s="2060"/>
      <c r="KL1753" s="2060"/>
      <c r="KM1753" s="2060"/>
      <c r="KN1753" s="2060"/>
      <c r="KO1753" s="2060"/>
      <c r="KP1753" s="2060"/>
      <c r="KQ1753" s="2060"/>
      <c r="KR1753" s="2060"/>
      <c r="KS1753" s="2060"/>
      <c r="KT1753" s="2060"/>
      <c r="KU1753" s="2060"/>
      <c r="KV1753" s="2060"/>
      <c r="KW1753" s="2060"/>
      <c r="KX1753" s="2060"/>
      <c r="KY1753" s="2060"/>
      <c r="KZ1753" s="2060"/>
      <c r="LA1753" s="2060"/>
      <c r="LB1753" s="2060"/>
      <c r="LC1753" s="2060"/>
      <c r="LD1753" s="2060"/>
      <c r="LE1753" s="2060"/>
      <c r="LF1753" s="2060"/>
      <c r="LG1753" s="2060"/>
      <c r="LH1753" s="2060"/>
    </row>
    <row r="1754" spans="1:320" s="1499" customFormat="1" ht="13.9">
      <c r="A1754" s="269" t="str">
        <f t="shared" si="475"/>
        <v>n</v>
      </c>
      <c r="B1754" s="2060"/>
      <c r="C1754" s="2060"/>
      <c r="D1754" s="2060"/>
      <c r="E1754" s="1661">
        <v>22</v>
      </c>
      <c r="F1754" s="1353" t="str">
        <f>F$150</f>
        <v>--</v>
      </c>
      <c r="G1754" s="128">
        <f>G$150</f>
        <v>0</v>
      </c>
      <c r="H1754" s="128" t="str">
        <f>H$150</f>
        <v>--</v>
      </c>
      <c r="I1754" s="89" t="s">
        <v>793</v>
      </c>
      <c r="J1754" s="2197" t="str">
        <f>IF($G1754=0,"",IFERROR(_xll.ciqfunctions.udf.CIQ($G1754,$I1754,J$1557,Valuation_Date_GC,ReportType,DataMode,$H1754,FXMode),"n/a"))</f>
        <v/>
      </c>
      <c r="K1754" s="2197" t="str">
        <f>IF($G1754=0,"",IFERROR(_xll.ciqfunctions.udf.CIQ($G1754,$I1754,K$1557,Valuation_Date_GC,ReportType,DataMode,$H1754,FXMode),"n/a"))</f>
        <v/>
      </c>
      <c r="L1754" s="2197" t="str">
        <f>IF($G1754=0,"",IFERROR(_xll.ciqfunctions.udf.CIQ($G1754,$I1754,L$1557,Valuation_Date_GC,ReportType,DataMode,$H1754,FXMode),"n/a"))</f>
        <v/>
      </c>
      <c r="M1754" s="2197" t="str">
        <f>IF($G1754=0,"",IFERROR(_xll.ciqfunctions.udf.CIQ($G1754,$I1754,M$1557,Valuation_Date_GC,ReportType,DataMode,$H1754,FXMode),"n/a"))</f>
        <v/>
      </c>
      <c r="N1754" s="2197" t="str">
        <f>IF($G1754=0,"",IFERROR(_xll.ciqfunctions.udf.CIQ($G1754,$I1754,N$1557,Valuation_Date_GC,ReportType,DataMode,$H1754,FXMode),"n/a"))</f>
        <v/>
      </c>
      <c r="O1754" s="2197" t="str">
        <f>IF($G1754=0,"",IFERROR(_xll.ciqfunctions.udf.CIQ($G1754,$I1754,O$1557,Valuation_Date_GC,ReportType,DataMode,$H1754,FXMode),"n/a"))</f>
        <v/>
      </c>
      <c r="P1754" s="2197" t="str">
        <f>IF($G1754=0,"",IFERROR(_xll.ciqfunctions.udf.CIQ($G1754,$I1754,P$1557,Valuation_Date_GC,ReportType,DataMode,$H1754,FXMode),"n/a"))</f>
        <v/>
      </c>
      <c r="Q1754" s="2197" t="str">
        <f>IF($G1754=0,"",IFERROR(_xll.ciqfunctions.udf.CIQ($G1754,$I1754,Q$1557,Valuation_Date_GC,ReportType,DataMode,$H1754,FXMode),"n/a"))</f>
        <v/>
      </c>
      <c r="R1754" s="2197" t="str">
        <f>IF($G1754=0,"",IFERROR(_xll.ciqfunctions.udf.CIQ($G1754,$I1754,R$1557,Valuation_Date_GC,ReportType,DataMode,$H1754,FXMode),"n/a"))</f>
        <v/>
      </c>
      <c r="S1754" s="2197" t="str">
        <f>IF($G1754=0,"",IFERROR(_xll.ciqfunctions.udf.CIQ($G1754,$I1754,S$1557,Valuation_Date_GC,ReportType,DataMode,$H1754,FXMode),"n/a"))</f>
        <v/>
      </c>
      <c r="T1754" s="2197" t="str">
        <f>IF($G1754=0,"",IFERROR(_xll.ciqfunctions.udf.CIQ($G1754,$I1754,T$1557,Valuation_Date_GC,ReportType,DataMode,$H1754,FXMode),"n/a"))</f>
        <v/>
      </c>
      <c r="U1754" s="2197" t="str">
        <f>IF($G1754=0,"",IFERROR(_xll.ciqfunctions.udf.CIQ($G1754,$I1754,U$1557,Valuation_Date_GC,ReportType,DataMode,$H1754,FXMode),"n/a"))</f>
        <v/>
      </c>
      <c r="V1754" s="2197" t="str">
        <f>IF($G1754=0,"",IFERROR(_xll.ciqfunctions.udf.CIQ($G1754,$I1754,V$1557,Valuation_Date_GC,ReportType,DataMode,$H1754,FXMode),"n/a"))</f>
        <v/>
      </c>
      <c r="W1754" s="1479"/>
      <c r="X1754" s="255"/>
      <c r="Y1754" s="255"/>
      <c r="Z1754" s="2060"/>
      <c r="AA1754" s="2060"/>
      <c r="AB1754" s="2060"/>
      <c r="AC1754" s="2060"/>
      <c r="AD1754" s="2060"/>
      <c r="AE1754" s="2060"/>
      <c r="AF1754" s="2060"/>
      <c r="AG1754" s="2060"/>
      <c r="AH1754" s="2060"/>
      <c r="AI1754" s="2060"/>
      <c r="AJ1754" s="2060"/>
      <c r="AK1754" s="2060"/>
      <c r="AL1754" s="2060"/>
      <c r="AM1754" s="2060"/>
      <c r="AN1754" s="2060"/>
      <c r="AO1754" s="2060"/>
      <c r="AP1754" s="2060"/>
      <c r="AQ1754" s="2060"/>
      <c r="AR1754" s="2060"/>
      <c r="AS1754" s="2060"/>
      <c r="AT1754" s="2060"/>
      <c r="AU1754" s="2060"/>
      <c r="AV1754" s="2060"/>
      <c r="AW1754" s="2060"/>
      <c r="AX1754" s="2060"/>
      <c r="AY1754" s="2060"/>
      <c r="AZ1754" s="2060"/>
      <c r="BA1754" s="2060"/>
      <c r="BB1754" s="2060"/>
      <c r="BC1754" s="2060"/>
      <c r="BD1754" s="2060"/>
      <c r="BE1754" s="2060"/>
      <c r="BF1754" s="2060"/>
      <c r="BG1754" s="2060"/>
      <c r="BH1754" s="2060"/>
      <c r="BI1754" s="2060"/>
      <c r="BJ1754" s="2060"/>
      <c r="BK1754" s="2060"/>
      <c r="BL1754" s="2060"/>
      <c r="BM1754" s="2060"/>
      <c r="BN1754" s="2060"/>
      <c r="BO1754" s="2060"/>
      <c r="BP1754" s="2060"/>
      <c r="BQ1754" s="2060"/>
      <c r="BR1754" s="2060"/>
      <c r="BS1754" s="2060"/>
      <c r="BT1754" s="2060"/>
      <c r="BU1754" s="2060"/>
      <c r="BV1754" s="2060"/>
      <c r="BW1754" s="2060"/>
      <c r="BX1754" s="2060"/>
      <c r="BY1754" s="2060"/>
      <c r="BZ1754" s="2060"/>
      <c r="CA1754" s="2060"/>
      <c r="CB1754" s="2060"/>
      <c r="CC1754" s="2060"/>
      <c r="CD1754" s="2060"/>
      <c r="CE1754" s="2060"/>
      <c r="CF1754" s="2060"/>
      <c r="CG1754" s="2060"/>
      <c r="CH1754" s="2060"/>
      <c r="CI1754" s="2060"/>
      <c r="CJ1754" s="2060"/>
      <c r="CK1754" s="2060"/>
      <c r="CL1754" s="2060"/>
      <c r="CM1754" s="2060"/>
      <c r="CN1754" s="2060"/>
      <c r="CO1754" s="2060"/>
      <c r="CP1754" s="2060"/>
      <c r="CQ1754" s="2060"/>
      <c r="CR1754" s="2060"/>
      <c r="CS1754" s="2060"/>
      <c r="CT1754" s="2060"/>
      <c r="CU1754" s="2060"/>
      <c r="CV1754" s="2060"/>
      <c r="CW1754" s="2060"/>
      <c r="CX1754" s="2060"/>
      <c r="CY1754" s="2060"/>
      <c r="CZ1754" s="2060"/>
      <c r="DA1754" s="2060"/>
      <c r="DB1754" s="2060"/>
      <c r="DC1754" s="2060"/>
      <c r="DD1754" s="2060"/>
      <c r="DE1754" s="2060"/>
      <c r="DF1754" s="2060"/>
      <c r="DG1754" s="2060"/>
      <c r="DH1754" s="2060"/>
      <c r="DI1754" s="2060"/>
      <c r="DJ1754" s="2060"/>
      <c r="DK1754" s="2060"/>
      <c r="DL1754" s="2060"/>
      <c r="DM1754" s="2060"/>
      <c r="DN1754" s="2060"/>
      <c r="DO1754" s="2060"/>
      <c r="DP1754" s="2060"/>
      <c r="DQ1754" s="2060"/>
      <c r="DR1754" s="2060"/>
      <c r="DS1754" s="2060"/>
      <c r="DT1754" s="2060"/>
      <c r="DU1754" s="2060"/>
      <c r="DV1754" s="2060"/>
      <c r="DW1754" s="2060"/>
      <c r="DX1754" s="2060"/>
      <c r="DY1754" s="2060"/>
      <c r="DZ1754" s="2060"/>
      <c r="EA1754" s="2060"/>
      <c r="EB1754" s="2060"/>
      <c r="EC1754" s="2060"/>
      <c r="ED1754" s="2060"/>
      <c r="EE1754" s="2060"/>
      <c r="EF1754" s="2060"/>
      <c r="EG1754" s="2060"/>
      <c r="EH1754" s="2060"/>
      <c r="EI1754" s="2060"/>
      <c r="EJ1754" s="2060"/>
      <c r="EK1754" s="2060"/>
      <c r="EL1754" s="2060"/>
      <c r="EM1754" s="2060"/>
      <c r="EN1754" s="2060"/>
      <c r="EO1754" s="2060"/>
      <c r="EP1754" s="2060"/>
      <c r="EQ1754" s="2060"/>
      <c r="ER1754" s="2060"/>
      <c r="ES1754" s="2060"/>
      <c r="ET1754" s="2060"/>
      <c r="EU1754" s="2060"/>
      <c r="EV1754" s="2060"/>
      <c r="EW1754" s="2060"/>
      <c r="EX1754" s="2060"/>
      <c r="EY1754" s="2060"/>
      <c r="EZ1754" s="2060"/>
      <c r="FA1754" s="2060"/>
      <c r="FB1754" s="2060"/>
      <c r="FC1754" s="2060"/>
      <c r="FD1754" s="2060"/>
      <c r="FE1754" s="2060"/>
      <c r="FF1754" s="2060"/>
      <c r="FG1754" s="2060"/>
      <c r="FH1754" s="2060"/>
      <c r="FI1754" s="2060"/>
      <c r="FJ1754" s="2060"/>
      <c r="FK1754" s="2060"/>
      <c r="FL1754" s="2060"/>
      <c r="FM1754" s="2060"/>
      <c r="FN1754" s="2060"/>
      <c r="FO1754" s="2060"/>
      <c r="FP1754" s="2060"/>
      <c r="FQ1754" s="2060"/>
      <c r="FR1754" s="2060"/>
      <c r="FS1754" s="2060"/>
      <c r="FT1754" s="2060"/>
      <c r="FU1754" s="2060"/>
      <c r="FV1754" s="2060"/>
      <c r="FW1754" s="2060"/>
      <c r="FX1754" s="2060"/>
      <c r="FY1754" s="2060"/>
      <c r="FZ1754" s="2060"/>
      <c r="GA1754" s="2060"/>
      <c r="GB1754" s="2060"/>
      <c r="GC1754" s="2060"/>
      <c r="GD1754" s="2060"/>
      <c r="GE1754" s="2060"/>
      <c r="GF1754" s="2060"/>
      <c r="GG1754" s="2060"/>
      <c r="GH1754" s="2060"/>
      <c r="GI1754" s="2060"/>
      <c r="GJ1754" s="2060"/>
      <c r="GK1754" s="2060"/>
      <c r="GL1754" s="2060"/>
      <c r="GM1754" s="2060"/>
      <c r="GN1754" s="2060"/>
      <c r="GO1754" s="2060"/>
      <c r="GP1754" s="2060"/>
      <c r="GQ1754" s="2060"/>
      <c r="GR1754" s="2060"/>
      <c r="GS1754" s="2060"/>
      <c r="GT1754" s="2060"/>
      <c r="GU1754" s="2060"/>
      <c r="GV1754" s="2060"/>
      <c r="GW1754" s="2060"/>
      <c r="GX1754" s="2060"/>
      <c r="GY1754" s="2060"/>
      <c r="GZ1754" s="2060"/>
      <c r="HA1754" s="2060"/>
      <c r="HB1754" s="2060"/>
      <c r="HC1754" s="2060"/>
      <c r="HD1754" s="2060"/>
      <c r="HE1754" s="2060"/>
      <c r="HF1754" s="2060"/>
      <c r="HG1754" s="2060"/>
      <c r="HH1754" s="2060"/>
      <c r="HI1754" s="2060"/>
      <c r="HJ1754" s="2060"/>
      <c r="HK1754" s="2060"/>
      <c r="HL1754" s="2060"/>
      <c r="HM1754" s="2060"/>
      <c r="HN1754" s="2060"/>
      <c r="HO1754" s="2060"/>
      <c r="HP1754" s="2060"/>
      <c r="HQ1754" s="2060"/>
      <c r="HR1754" s="2060"/>
      <c r="HS1754" s="2060"/>
      <c r="HT1754" s="2060"/>
      <c r="HU1754" s="2060"/>
      <c r="HV1754" s="2060"/>
      <c r="HW1754" s="2060"/>
      <c r="HX1754" s="2060"/>
      <c r="HY1754" s="2060"/>
      <c r="HZ1754" s="2060"/>
      <c r="IA1754" s="2060"/>
      <c r="IB1754" s="2060"/>
      <c r="IC1754" s="2060"/>
      <c r="ID1754" s="2060"/>
      <c r="IE1754" s="2060"/>
      <c r="IF1754" s="2060"/>
      <c r="IG1754" s="2060"/>
      <c r="IH1754" s="2060"/>
      <c r="II1754" s="2060"/>
      <c r="IJ1754" s="2060"/>
      <c r="IK1754" s="2060"/>
      <c r="IL1754" s="2060"/>
      <c r="IM1754" s="2060"/>
      <c r="IN1754" s="2060"/>
      <c r="IO1754" s="2060"/>
      <c r="IP1754" s="2060"/>
      <c r="IQ1754" s="2060"/>
      <c r="IR1754" s="2060"/>
      <c r="IS1754" s="2060"/>
      <c r="IT1754" s="2060"/>
      <c r="IU1754" s="2060"/>
      <c r="IV1754" s="2060"/>
      <c r="IW1754" s="2060"/>
      <c r="IX1754" s="2060"/>
      <c r="IY1754" s="2060"/>
      <c r="IZ1754" s="2060"/>
      <c r="JA1754" s="2060"/>
      <c r="JB1754" s="2060"/>
      <c r="JC1754" s="2060"/>
      <c r="JD1754" s="2060"/>
      <c r="JE1754" s="2060"/>
      <c r="JF1754" s="2060"/>
      <c r="JG1754" s="2060"/>
      <c r="JH1754" s="2060"/>
      <c r="JI1754" s="2060"/>
      <c r="JJ1754" s="2060"/>
      <c r="JK1754" s="2060"/>
      <c r="JL1754" s="2060"/>
      <c r="JM1754" s="2060"/>
      <c r="JN1754" s="2060"/>
      <c r="JO1754" s="2060"/>
      <c r="JP1754" s="2060"/>
      <c r="JQ1754" s="2060"/>
      <c r="JR1754" s="2060"/>
      <c r="JS1754" s="2060"/>
      <c r="JT1754" s="2060"/>
      <c r="JU1754" s="2060"/>
      <c r="JV1754" s="2060"/>
      <c r="JW1754" s="2060"/>
      <c r="JX1754" s="2060"/>
      <c r="JY1754" s="2060"/>
      <c r="JZ1754" s="2060"/>
      <c r="KA1754" s="2060"/>
      <c r="KB1754" s="2060"/>
      <c r="KC1754" s="2060"/>
      <c r="KD1754" s="2060"/>
      <c r="KE1754" s="2060"/>
      <c r="KF1754" s="2060"/>
      <c r="KG1754" s="2060"/>
      <c r="KH1754" s="2060"/>
      <c r="KI1754" s="2060"/>
      <c r="KJ1754" s="2060"/>
      <c r="KK1754" s="2060"/>
      <c r="KL1754" s="2060"/>
      <c r="KM1754" s="2060"/>
      <c r="KN1754" s="2060"/>
      <c r="KO1754" s="2060"/>
      <c r="KP1754" s="2060"/>
      <c r="KQ1754" s="2060"/>
      <c r="KR1754" s="2060"/>
      <c r="KS1754" s="2060"/>
      <c r="KT1754" s="2060"/>
      <c r="KU1754" s="2060"/>
      <c r="KV1754" s="2060"/>
      <c r="KW1754" s="2060"/>
      <c r="KX1754" s="2060"/>
      <c r="KY1754" s="2060"/>
      <c r="KZ1754" s="2060"/>
      <c r="LA1754" s="2060"/>
      <c r="LB1754" s="2060"/>
      <c r="LC1754" s="2060"/>
      <c r="LD1754" s="2060"/>
      <c r="LE1754" s="2060"/>
      <c r="LF1754" s="2060"/>
      <c r="LG1754" s="2060"/>
      <c r="LH1754" s="2060"/>
    </row>
    <row r="1755" spans="1:320" s="1499" customFormat="1" ht="13.9">
      <c r="A1755" s="269" t="str">
        <f t="shared" si="475"/>
        <v>n</v>
      </c>
      <c r="B1755" s="2060"/>
      <c r="C1755" s="2060"/>
      <c r="D1755" s="2060"/>
      <c r="E1755" s="1661">
        <v>23</v>
      </c>
      <c r="F1755" s="1353" t="str">
        <f>F$151</f>
        <v>--</v>
      </c>
      <c r="G1755" s="128">
        <f>G$151</f>
        <v>0</v>
      </c>
      <c r="H1755" s="128" t="str">
        <f>H$151</f>
        <v>--</v>
      </c>
      <c r="I1755" s="89" t="s">
        <v>793</v>
      </c>
      <c r="J1755" s="2197" t="str">
        <f>IF($G1755=0,"",IFERROR(_xll.ciqfunctions.udf.CIQ($G1755,$I1755,J$1557,Valuation_Date_GC,ReportType,DataMode,$H1755,FXMode),"n/a"))</f>
        <v/>
      </c>
      <c r="K1755" s="2197" t="str">
        <f>IF($G1755=0,"",IFERROR(_xll.ciqfunctions.udf.CIQ($G1755,$I1755,K$1557,Valuation_Date_GC,ReportType,DataMode,$H1755,FXMode),"n/a"))</f>
        <v/>
      </c>
      <c r="L1755" s="2197" t="str">
        <f>IF($G1755=0,"",IFERROR(_xll.ciqfunctions.udf.CIQ($G1755,$I1755,L$1557,Valuation_Date_GC,ReportType,DataMode,$H1755,FXMode),"n/a"))</f>
        <v/>
      </c>
      <c r="M1755" s="2197" t="str">
        <f>IF($G1755=0,"",IFERROR(_xll.ciqfunctions.udf.CIQ($G1755,$I1755,M$1557,Valuation_Date_GC,ReportType,DataMode,$H1755,FXMode),"n/a"))</f>
        <v/>
      </c>
      <c r="N1755" s="2197" t="str">
        <f>IF($G1755=0,"",IFERROR(_xll.ciqfunctions.udf.CIQ($G1755,$I1755,N$1557,Valuation_Date_GC,ReportType,DataMode,$H1755,FXMode),"n/a"))</f>
        <v/>
      </c>
      <c r="O1755" s="2197" t="str">
        <f>IF($G1755=0,"",IFERROR(_xll.ciqfunctions.udf.CIQ($G1755,$I1755,O$1557,Valuation_Date_GC,ReportType,DataMode,$H1755,FXMode),"n/a"))</f>
        <v/>
      </c>
      <c r="P1755" s="2197" t="str">
        <f>IF($G1755=0,"",IFERROR(_xll.ciqfunctions.udf.CIQ($G1755,$I1755,P$1557,Valuation_Date_GC,ReportType,DataMode,$H1755,FXMode),"n/a"))</f>
        <v/>
      </c>
      <c r="Q1755" s="2197" t="str">
        <f>IF($G1755=0,"",IFERROR(_xll.ciqfunctions.udf.CIQ($G1755,$I1755,Q$1557,Valuation_Date_GC,ReportType,DataMode,$H1755,FXMode),"n/a"))</f>
        <v/>
      </c>
      <c r="R1755" s="2197" t="str">
        <f>IF($G1755=0,"",IFERROR(_xll.ciqfunctions.udf.CIQ($G1755,$I1755,R$1557,Valuation_Date_GC,ReportType,DataMode,$H1755,FXMode),"n/a"))</f>
        <v/>
      </c>
      <c r="S1755" s="2197" t="str">
        <f>IF($G1755=0,"",IFERROR(_xll.ciqfunctions.udf.CIQ($G1755,$I1755,S$1557,Valuation_Date_GC,ReportType,DataMode,$H1755,FXMode),"n/a"))</f>
        <v/>
      </c>
      <c r="T1755" s="2197" t="str">
        <f>IF($G1755=0,"",IFERROR(_xll.ciqfunctions.udf.CIQ($G1755,$I1755,T$1557,Valuation_Date_GC,ReportType,DataMode,$H1755,FXMode),"n/a"))</f>
        <v/>
      </c>
      <c r="U1755" s="2197" t="str">
        <f>IF($G1755=0,"",IFERROR(_xll.ciqfunctions.udf.CIQ($G1755,$I1755,U$1557,Valuation_Date_GC,ReportType,DataMode,$H1755,FXMode),"n/a"))</f>
        <v/>
      </c>
      <c r="V1755" s="2197" t="str">
        <f>IF($G1755=0,"",IFERROR(_xll.ciqfunctions.udf.CIQ($G1755,$I1755,V$1557,Valuation_Date_GC,ReportType,DataMode,$H1755,FXMode),"n/a"))</f>
        <v/>
      </c>
      <c r="W1755" s="1479"/>
      <c r="X1755" s="255"/>
      <c r="Y1755" s="255"/>
      <c r="Z1755" s="2060"/>
      <c r="AA1755" s="2060"/>
      <c r="AB1755" s="2060"/>
      <c r="AC1755" s="2060"/>
      <c r="AD1755" s="2060"/>
      <c r="AE1755" s="2060"/>
      <c r="AF1755" s="2060"/>
      <c r="AG1755" s="2060"/>
      <c r="AH1755" s="2060"/>
      <c r="AI1755" s="2060"/>
      <c r="AJ1755" s="2060"/>
      <c r="AK1755" s="2060"/>
      <c r="AL1755" s="2060"/>
      <c r="AM1755" s="2060"/>
      <c r="AN1755" s="2060"/>
      <c r="AO1755" s="2060"/>
      <c r="AP1755" s="2060"/>
      <c r="AQ1755" s="2060"/>
      <c r="AR1755" s="2060"/>
      <c r="AS1755" s="2060"/>
      <c r="AT1755" s="2060"/>
      <c r="AU1755" s="2060"/>
      <c r="AV1755" s="2060"/>
      <c r="AW1755" s="2060"/>
      <c r="AX1755" s="2060"/>
      <c r="AY1755" s="2060"/>
      <c r="AZ1755" s="2060"/>
      <c r="BA1755" s="2060"/>
      <c r="BB1755" s="2060"/>
      <c r="BC1755" s="2060"/>
      <c r="BD1755" s="2060"/>
      <c r="BE1755" s="2060"/>
      <c r="BF1755" s="2060"/>
      <c r="BG1755" s="2060"/>
      <c r="BH1755" s="2060"/>
      <c r="BI1755" s="2060"/>
      <c r="BJ1755" s="2060"/>
      <c r="BK1755" s="2060"/>
      <c r="BL1755" s="2060"/>
      <c r="BM1755" s="2060"/>
      <c r="BN1755" s="2060"/>
      <c r="BO1755" s="2060"/>
      <c r="BP1755" s="2060"/>
      <c r="BQ1755" s="2060"/>
      <c r="BR1755" s="2060"/>
      <c r="BS1755" s="2060"/>
      <c r="BT1755" s="2060"/>
      <c r="BU1755" s="2060"/>
      <c r="BV1755" s="2060"/>
      <c r="BW1755" s="2060"/>
      <c r="BX1755" s="2060"/>
      <c r="BY1755" s="2060"/>
      <c r="BZ1755" s="2060"/>
      <c r="CA1755" s="2060"/>
      <c r="CB1755" s="2060"/>
      <c r="CC1755" s="2060"/>
      <c r="CD1755" s="2060"/>
      <c r="CE1755" s="2060"/>
      <c r="CF1755" s="2060"/>
      <c r="CG1755" s="2060"/>
      <c r="CH1755" s="2060"/>
      <c r="CI1755" s="2060"/>
      <c r="CJ1755" s="2060"/>
      <c r="CK1755" s="2060"/>
      <c r="CL1755" s="2060"/>
      <c r="CM1755" s="2060"/>
      <c r="CN1755" s="2060"/>
      <c r="CO1755" s="2060"/>
      <c r="CP1755" s="2060"/>
      <c r="CQ1755" s="2060"/>
      <c r="CR1755" s="2060"/>
      <c r="CS1755" s="2060"/>
      <c r="CT1755" s="2060"/>
      <c r="CU1755" s="2060"/>
      <c r="CV1755" s="2060"/>
      <c r="CW1755" s="2060"/>
      <c r="CX1755" s="2060"/>
      <c r="CY1755" s="2060"/>
      <c r="CZ1755" s="2060"/>
      <c r="DA1755" s="2060"/>
      <c r="DB1755" s="2060"/>
      <c r="DC1755" s="2060"/>
      <c r="DD1755" s="2060"/>
      <c r="DE1755" s="2060"/>
      <c r="DF1755" s="2060"/>
      <c r="DG1755" s="2060"/>
      <c r="DH1755" s="2060"/>
      <c r="DI1755" s="2060"/>
      <c r="DJ1755" s="2060"/>
      <c r="DK1755" s="2060"/>
      <c r="DL1755" s="2060"/>
      <c r="DM1755" s="2060"/>
      <c r="DN1755" s="2060"/>
      <c r="DO1755" s="2060"/>
      <c r="DP1755" s="2060"/>
      <c r="DQ1755" s="2060"/>
      <c r="DR1755" s="2060"/>
      <c r="DS1755" s="2060"/>
      <c r="DT1755" s="2060"/>
      <c r="DU1755" s="2060"/>
      <c r="DV1755" s="2060"/>
      <c r="DW1755" s="2060"/>
      <c r="DX1755" s="2060"/>
      <c r="DY1755" s="2060"/>
      <c r="DZ1755" s="2060"/>
      <c r="EA1755" s="2060"/>
      <c r="EB1755" s="2060"/>
      <c r="EC1755" s="2060"/>
      <c r="ED1755" s="2060"/>
      <c r="EE1755" s="2060"/>
      <c r="EF1755" s="2060"/>
      <c r="EG1755" s="2060"/>
      <c r="EH1755" s="2060"/>
      <c r="EI1755" s="2060"/>
      <c r="EJ1755" s="2060"/>
      <c r="EK1755" s="2060"/>
      <c r="EL1755" s="2060"/>
      <c r="EM1755" s="2060"/>
      <c r="EN1755" s="2060"/>
      <c r="EO1755" s="2060"/>
      <c r="EP1755" s="2060"/>
      <c r="EQ1755" s="2060"/>
      <c r="ER1755" s="2060"/>
      <c r="ES1755" s="2060"/>
      <c r="ET1755" s="2060"/>
      <c r="EU1755" s="2060"/>
      <c r="EV1755" s="2060"/>
      <c r="EW1755" s="2060"/>
      <c r="EX1755" s="2060"/>
      <c r="EY1755" s="2060"/>
      <c r="EZ1755" s="2060"/>
      <c r="FA1755" s="2060"/>
      <c r="FB1755" s="2060"/>
      <c r="FC1755" s="2060"/>
      <c r="FD1755" s="2060"/>
      <c r="FE1755" s="2060"/>
      <c r="FF1755" s="2060"/>
      <c r="FG1755" s="2060"/>
      <c r="FH1755" s="2060"/>
      <c r="FI1755" s="2060"/>
      <c r="FJ1755" s="2060"/>
      <c r="FK1755" s="2060"/>
      <c r="FL1755" s="2060"/>
      <c r="FM1755" s="2060"/>
      <c r="FN1755" s="2060"/>
      <c r="FO1755" s="2060"/>
      <c r="FP1755" s="2060"/>
      <c r="FQ1755" s="2060"/>
      <c r="FR1755" s="2060"/>
      <c r="FS1755" s="2060"/>
      <c r="FT1755" s="2060"/>
      <c r="FU1755" s="2060"/>
      <c r="FV1755" s="2060"/>
      <c r="FW1755" s="2060"/>
      <c r="FX1755" s="2060"/>
      <c r="FY1755" s="2060"/>
      <c r="FZ1755" s="2060"/>
      <c r="GA1755" s="2060"/>
      <c r="GB1755" s="2060"/>
      <c r="GC1755" s="2060"/>
      <c r="GD1755" s="2060"/>
      <c r="GE1755" s="2060"/>
      <c r="GF1755" s="2060"/>
      <c r="GG1755" s="2060"/>
      <c r="GH1755" s="2060"/>
      <c r="GI1755" s="2060"/>
      <c r="GJ1755" s="2060"/>
      <c r="GK1755" s="2060"/>
      <c r="GL1755" s="2060"/>
      <c r="GM1755" s="2060"/>
      <c r="GN1755" s="2060"/>
      <c r="GO1755" s="2060"/>
      <c r="GP1755" s="2060"/>
      <c r="GQ1755" s="2060"/>
      <c r="GR1755" s="2060"/>
      <c r="GS1755" s="2060"/>
      <c r="GT1755" s="2060"/>
      <c r="GU1755" s="2060"/>
      <c r="GV1755" s="2060"/>
      <c r="GW1755" s="2060"/>
      <c r="GX1755" s="2060"/>
      <c r="GY1755" s="2060"/>
      <c r="GZ1755" s="2060"/>
      <c r="HA1755" s="2060"/>
      <c r="HB1755" s="2060"/>
      <c r="HC1755" s="2060"/>
      <c r="HD1755" s="2060"/>
      <c r="HE1755" s="2060"/>
      <c r="HF1755" s="2060"/>
      <c r="HG1755" s="2060"/>
      <c r="HH1755" s="2060"/>
      <c r="HI1755" s="2060"/>
      <c r="HJ1755" s="2060"/>
      <c r="HK1755" s="2060"/>
      <c r="HL1755" s="2060"/>
      <c r="HM1755" s="2060"/>
      <c r="HN1755" s="2060"/>
      <c r="HO1755" s="2060"/>
      <c r="HP1755" s="2060"/>
      <c r="HQ1755" s="2060"/>
      <c r="HR1755" s="2060"/>
      <c r="HS1755" s="2060"/>
      <c r="HT1755" s="2060"/>
      <c r="HU1755" s="2060"/>
      <c r="HV1755" s="2060"/>
      <c r="HW1755" s="2060"/>
      <c r="HX1755" s="2060"/>
      <c r="HY1755" s="2060"/>
      <c r="HZ1755" s="2060"/>
      <c r="IA1755" s="2060"/>
      <c r="IB1755" s="2060"/>
      <c r="IC1755" s="2060"/>
      <c r="ID1755" s="2060"/>
      <c r="IE1755" s="2060"/>
      <c r="IF1755" s="2060"/>
      <c r="IG1755" s="2060"/>
      <c r="IH1755" s="2060"/>
      <c r="II1755" s="2060"/>
      <c r="IJ1755" s="2060"/>
      <c r="IK1755" s="2060"/>
      <c r="IL1755" s="2060"/>
      <c r="IM1755" s="2060"/>
      <c r="IN1755" s="2060"/>
      <c r="IO1755" s="2060"/>
      <c r="IP1755" s="2060"/>
      <c r="IQ1755" s="2060"/>
      <c r="IR1755" s="2060"/>
      <c r="IS1755" s="2060"/>
      <c r="IT1755" s="2060"/>
      <c r="IU1755" s="2060"/>
      <c r="IV1755" s="2060"/>
      <c r="IW1755" s="2060"/>
      <c r="IX1755" s="2060"/>
      <c r="IY1755" s="2060"/>
      <c r="IZ1755" s="2060"/>
      <c r="JA1755" s="2060"/>
      <c r="JB1755" s="2060"/>
      <c r="JC1755" s="2060"/>
      <c r="JD1755" s="2060"/>
      <c r="JE1755" s="2060"/>
      <c r="JF1755" s="2060"/>
      <c r="JG1755" s="2060"/>
      <c r="JH1755" s="2060"/>
      <c r="JI1755" s="2060"/>
      <c r="JJ1755" s="2060"/>
      <c r="JK1755" s="2060"/>
      <c r="JL1755" s="2060"/>
      <c r="JM1755" s="2060"/>
      <c r="JN1755" s="2060"/>
      <c r="JO1755" s="2060"/>
      <c r="JP1755" s="2060"/>
      <c r="JQ1755" s="2060"/>
      <c r="JR1755" s="2060"/>
      <c r="JS1755" s="2060"/>
      <c r="JT1755" s="2060"/>
      <c r="JU1755" s="2060"/>
      <c r="JV1755" s="2060"/>
      <c r="JW1755" s="2060"/>
      <c r="JX1755" s="2060"/>
      <c r="JY1755" s="2060"/>
      <c r="JZ1755" s="2060"/>
      <c r="KA1755" s="2060"/>
      <c r="KB1755" s="2060"/>
      <c r="KC1755" s="2060"/>
      <c r="KD1755" s="2060"/>
      <c r="KE1755" s="2060"/>
      <c r="KF1755" s="2060"/>
      <c r="KG1755" s="2060"/>
      <c r="KH1755" s="2060"/>
      <c r="KI1755" s="2060"/>
      <c r="KJ1755" s="2060"/>
      <c r="KK1755" s="2060"/>
      <c r="KL1755" s="2060"/>
      <c r="KM1755" s="2060"/>
      <c r="KN1755" s="2060"/>
      <c r="KO1755" s="2060"/>
      <c r="KP1755" s="2060"/>
      <c r="KQ1755" s="2060"/>
      <c r="KR1755" s="2060"/>
      <c r="KS1755" s="2060"/>
      <c r="KT1755" s="2060"/>
      <c r="KU1755" s="2060"/>
      <c r="KV1755" s="2060"/>
      <c r="KW1755" s="2060"/>
      <c r="KX1755" s="2060"/>
      <c r="KY1755" s="2060"/>
      <c r="KZ1755" s="2060"/>
      <c r="LA1755" s="2060"/>
      <c r="LB1755" s="2060"/>
      <c r="LC1755" s="2060"/>
      <c r="LD1755" s="2060"/>
      <c r="LE1755" s="2060"/>
      <c r="LF1755" s="2060"/>
      <c r="LG1755" s="2060"/>
      <c r="LH1755" s="2060"/>
    </row>
    <row r="1756" spans="1:320" s="1499" customFormat="1" ht="13.9">
      <c r="A1756" s="269" t="str">
        <f t="shared" si="475"/>
        <v>n</v>
      </c>
      <c r="B1756" s="2060"/>
      <c r="C1756" s="2060"/>
      <c r="D1756" s="2060"/>
      <c r="E1756" s="1661">
        <v>24</v>
      </c>
      <c r="F1756" s="1353" t="str">
        <f>F$152</f>
        <v>--</v>
      </c>
      <c r="G1756" s="128">
        <f>G$152</f>
        <v>0</v>
      </c>
      <c r="H1756" s="128" t="str">
        <f>H$152</f>
        <v>--</v>
      </c>
      <c r="I1756" s="89" t="s">
        <v>793</v>
      </c>
      <c r="J1756" s="2197" t="str">
        <f>IF($G1756=0,"",IFERROR(_xll.ciqfunctions.udf.CIQ($G1756,$I1756,J$1557,Valuation_Date_GC,ReportType,DataMode,$H1756,FXMode),"n/a"))</f>
        <v/>
      </c>
      <c r="K1756" s="2197" t="str">
        <f>IF($G1756=0,"",IFERROR(_xll.ciqfunctions.udf.CIQ($G1756,$I1756,K$1557,Valuation_Date_GC,ReportType,DataMode,$H1756,FXMode),"n/a"))</f>
        <v/>
      </c>
      <c r="L1756" s="2197" t="str">
        <f>IF($G1756=0,"",IFERROR(_xll.ciqfunctions.udf.CIQ($G1756,$I1756,L$1557,Valuation_Date_GC,ReportType,DataMode,$H1756,FXMode),"n/a"))</f>
        <v/>
      </c>
      <c r="M1756" s="2197" t="str">
        <f>IF($G1756=0,"",IFERROR(_xll.ciqfunctions.udf.CIQ($G1756,$I1756,M$1557,Valuation_Date_GC,ReportType,DataMode,$H1756,FXMode),"n/a"))</f>
        <v/>
      </c>
      <c r="N1756" s="2197" t="str">
        <f>IF($G1756=0,"",IFERROR(_xll.ciqfunctions.udf.CIQ($G1756,$I1756,N$1557,Valuation_Date_GC,ReportType,DataMode,$H1756,FXMode),"n/a"))</f>
        <v/>
      </c>
      <c r="O1756" s="2197" t="str">
        <f>IF($G1756=0,"",IFERROR(_xll.ciqfunctions.udf.CIQ($G1756,$I1756,O$1557,Valuation_Date_GC,ReportType,DataMode,$H1756,FXMode),"n/a"))</f>
        <v/>
      </c>
      <c r="P1756" s="2197" t="str">
        <f>IF($G1756=0,"",IFERROR(_xll.ciqfunctions.udf.CIQ($G1756,$I1756,P$1557,Valuation_Date_GC,ReportType,DataMode,$H1756,FXMode),"n/a"))</f>
        <v/>
      </c>
      <c r="Q1756" s="2197" t="str">
        <f>IF($G1756=0,"",IFERROR(_xll.ciqfunctions.udf.CIQ($G1756,$I1756,Q$1557,Valuation_Date_GC,ReportType,DataMode,$H1756,FXMode),"n/a"))</f>
        <v/>
      </c>
      <c r="R1756" s="2197" t="str">
        <f>IF($G1756=0,"",IFERROR(_xll.ciqfunctions.udf.CIQ($G1756,$I1756,R$1557,Valuation_Date_GC,ReportType,DataMode,$H1756,FXMode),"n/a"))</f>
        <v/>
      </c>
      <c r="S1756" s="2197" t="str">
        <f>IF($G1756=0,"",IFERROR(_xll.ciqfunctions.udf.CIQ($G1756,$I1756,S$1557,Valuation_Date_GC,ReportType,DataMode,$H1756,FXMode),"n/a"))</f>
        <v/>
      </c>
      <c r="T1756" s="2197" t="str">
        <f>IF($G1756=0,"",IFERROR(_xll.ciqfunctions.udf.CIQ($G1756,$I1756,T$1557,Valuation_Date_GC,ReportType,DataMode,$H1756,FXMode),"n/a"))</f>
        <v/>
      </c>
      <c r="U1756" s="2197" t="str">
        <f>IF($G1756=0,"",IFERROR(_xll.ciqfunctions.udf.CIQ($G1756,$I1756,U$1557,Valuation_Date_GC,ReportType,DataMode,$H1756,FXMode),"n/a"))</f>
        <v/>
      </c>
      <c r="V1756" s="2197" t="str">
        <f>IF($G1756=0,"",IFERROR(_xll.ciqfunctions.udf.CIQ($G1756,$I1756,V$1557,Valuation_Date_GC,ReportType,DataMode,$H1756,FXMode),"n/a"))</f>
        <v/>
      </c>
      <c r="W1756" s="1479"/>
      <c r="X1756" s="255"/>
      <c r="Y1756" s="255"/>
      <c r="Z1756" s="2060"/>
      <c r="AA1756" s="2060"/>
      <c r="AB1756" s="2060"/>
      <c r="AC1756" s="2060"/>
      <c r="AD1756" s="2060"/>
      <c r="AE1756" s="2060"/>
      <c r="AF1756" s="2060"/>
      <c r="AG1756" s="2060"/>
      <c r="AH1756" s="2060"/>
      <c r="AI1756" s="2060"/>
      <c r="AJ1756" s="2060"/>
      <c r="AK1756" s="2060"/>
      <c r="AL1756" s="2060"/>
      <c r="AM1756" s="2060"/>
      <c r="AN1756" s="2060"/>
      <c r="AO1756" s="2060"/>
      <c r="AP1756" s="2060"/>
      <c r="AQ1756" s="2060"/>
      <c r="AR1756" s="2060"/>
      <c r="AS1756" s="2060"/>
      <c r="AT1756" s="2060"/>
      <c r="AU1756" s="2060"/>
      <c r="AV1756" s="2060"/>
      <c r="AW1756" s="2060"/>
      <c r="AX1756" s="2060"/>
      <c r="AY1756" s="2060"/>
      <c r="AZ1756" s="2060"/>
      <c r="BA1756" s="2060"/>
      <c r="BB1756" s="2060"/>
      <c r="BC1756" s="2060"/>
      <c r="BD1756" s="2060"/>
      <c r="BE1756" s="2060"/>
      <c r="BF1756" s="2060"/>
      <c r="BG1756" s="2060"/>
      <c r="BH1756" s="2060"/>
      <c r="BI1756" s="2060"/>
      <c r="BJ1756" s="2060"/>
      <c r="BK1756" s="2060"/>
      <c r="BL1756" s="2060"/>
      <c r="BM1756" s="2060"/>
      <c r="BN1756" s="2060"/>
      <c r="BO1756" s="2060"/>
      <c r="BP1756" s="2060"/>
      <c r="BQ1756" s="2060"/>
      <c r="BR1756" s="2060"/>
      <c r="BS1756" s="2060"/>
      <c r="BT1756" s="2060"/>
      <c r="BU1756" s="2060"/>
      <c r="BV1756" s="2060"/>
      <c r="BW1756" s="2060"/>
      <c r="BX1756" s="2060"/>
      <c r="BY1756" s="2060"/>
      <c r="BZ1756" s="2060"/>
      <c r="CA1756" s="2060"/>
      <c r="CB1756" s="2060"/>
      <c r="CC1756" s="2060"/>
      <c r="CD1756" s="2060"/>
      <c r="CE1756" s="2060"/>
      <c r="CF1756" s="2060"/>
      <c r="CG1756" s="2060"/>
      <c r="CH1756" s="2060"/>
      <c r="CI1756" s="2060"/>
      <c r="CJ1756" s="2060"/>
      <c r="CK1756" s="2060"/>
      <c r="CL1756" s="2060"/>
      <c r="CM1756" s="2060"/>
      <c r="CN1756" s="2060"/>
      <c r="CO1756" s="2060"/>
      <c r="CP1756" s="2060"/>
      <c r="CQ1756" s="2060"/>
      <c r="CR1756" s="2060"/>
      <c r="CS1756" s="2060"/>
      <c r="CT1756" s="2060"/>
      <c r="CU1756" s="2060"/>
      <c r="CV1756" s="2060"/>
      <c r="CW1756" s="2060"/>
      <c r="CX1756" s="2060"/>
      <c r="CY1756" s="2060"/>
      <c r="CZ1756" s="2060"/>
      <c r="DA1756" s="2060"/>
      <c r="DB1756" s="2060"/>
      <c r="DC1756" s="2060"/>
      <c r="DD1756" s="2060"/>
      <c r="DE1756" s="2060"/>
      <c r="DF1756" s="2060"/>
      <c r="DG1756" s="2060"/>
      <c r="DH1756" s="2060"/>
      <c r="DI1756" s="2060"/>
      <c r="DJ1756" s="2060"/>
      <c r="DK1756" s="2060"/>
      <c r="DL1756" s="2060"/>
      <c r="DM1756" s="2060"/>
      <c r="DN1756" s="2060"/>
      <c r="DO1756" s="2060"/>
      <c r="DP1756" s="2060"/>
      <c r="DQ1756" s="2060"/>
      <c r="DR1756" s="2060"/>
      <c r="DS1756" s="2060"/>
      <c r="DT1756" s="2060"/>
      <c r="DU1756" s="2060"/>
      <c r="DV1756" s="2060"/>
      <c r="DW1756" s="2060"/>
      <c r="DX1756" s="2060"/>
      <c r="DY1756" s="2060"/>
      <c r="DZ1756" s="2060"/>
      <c r="EA1756" s="2060"/>
      <c r="EB1756" s="2060"/>
      <c r="EC1756" s="2060"/>
      <c r="ED1756" s="2060"/>
      <c r="EE1756" s="2060"/>
      <c r="EF1756" s="2060"/>
      <c r="EG1756" s="2060"/>
      <c r="EH1756" s="2060"/>
      <c r="EI1756" s="2060"/>
      <c r="EJ1756" s="2060"/>
      <c r="EK1756" s="2060"/>
      <c r="EL1756" s="2060"/>
      <c r="EM1756" s="2060"/>
      <c r="EN1756" s="2060"/>
      <c r="EO1756" s="2060"/>
      <c r="EP1756" s="2060"/>
      <c r="EQ1756" s="2060"/>
      <c r="ER1756" s="2060"/>
      <c r="ES1756" s="2060"/>
      <c r="ET1756" s="2060"/>
      <c r="EU1756" s="2060"/>
      <c r="EV1756" s="2060"/>
      <c r="EW1756" s="2060"/>
      <c r="EX1756" s="2060"/>
      <c r="EY1756" s="2060"/>
      <c r="EZ1756" s="2060"/>
      <c r="FA1756" s="2060"/>
      <c r="FB1756" s="2060"/>
      <c r="FC1756" s="2060"/>
      <c r="FD1756" s="2060"/>
      <c r="FE1756" s="2060"/>
      <c r="FF1756" s="2060"/>
      <c r="FG1756" s="2060"/>
      <c r="FH1756" s="2060"/>
      <c r="FI1756" s="2060"/>
      <c r="FJ1756" s="2060"/>
      <c r="FK1756" s="2060"/>
      <c r="FL1756" s="2060"/>
      <c r="FM1756" s="2060"/>
      <c r="FN1756" s="2060"/>
      <c r="FO1756" s="2060"/>
      <c r="FP1756" s="2060"/>
      <c r="FQ1756" s="2060"/>
      <c r="FR1756" s="2060"/>
      <c r="FS1756" s="2060"/>
      <c r="FT1756" s="2060"/>
      <c r="FU1756" s="2060"/>
      <c r="FV1756" s="2060"/>
      <c r="FW1756" s="2060"/>
      <c r="FX1756" s="2060"/>
      <c r="FY1756" s="2060"/>
      <c r="FZ1756" s="2060"/>
      <c r="GA1756" s="2060"/>
      <c r="GB1756" s="2060"/>
      <c r="GC1756" s="2060"/>
      <c r="GD1756" s="2060"/>
      <c r="GE1756" s="2060"/>
      <c r="GF1756" s="2060"/>
      <c r="GG1756" s="2060"/>
      <c r="GH1756" s="2060"/>
      <c r="GI1756" s="2060"/>
      <c r="GJ1756" s="2060"/>
      <c r="GK1756" s="2060"/>
      <c r="GL1756" s="2060"/>
      <c r="GM1756" s="2060"/>
      <c r="GN1756" s="2060"/>
      <c r="GO1756" s="2060"/>
      <c r="GP1756" s="2060"/>
      <c r="GQ1756" s="2060"/>
      <c r="GR1756" s="2060"/>
      <c r="GS1756" s="2060"/>
      <c r="GT1756" s="2060"/>
      <c r="GU1756" s="2060"/>
      <c r="GV1756" s="2060"/>
      <c r="GW1756" s="2060"/>
      <c r="GX1756" s="2060"/>
      <c r="GY1756" s="2060"/>
      <c r="GZ1756" s="2060"/>
      <c r="HA1756" s="2060"/>
      <c r="HB1756" s="2060"/>
      <c r="HC1756" s="2060"/>
      <c r="HD1756" s="2060"/>
      <c r="HE1756" s="2060"/>
      <c r="HF1756" s="2060"/>
      <c r="HG1756" s="2060"/>
      <c r="HH1756" s="2060"/>
      <c r="HI1756" s="2060"/>
      <c r="HJ1756" s="2060"/>
      <c r="HK1756" s="2060"/>
      <c r="HL1756" s="2060"/>
      <c r="HM1756" s="2060"/>
      <c r="HN1756" s="2060"/>
      <c r="HO1756" s="2060"/>
      <c r="HP1756" s="2060"/>
      <c r="HQ1756" s="2060"/>
      <c r="HR1756" s="2060"/>
      <c r="HS1756" s="2060"/>
      <c r="HT1756" s="2060"/>
      <c r="HU1756" s="2060"/>
      <c r="HV1756" s="2060"/>
      <c r="HW1756" s="2060"/>
      <c r="HX1756" s="2060"/>
      <c r="HY1756" s="2060"/>
      <c r="HZ1756" s="2060"/>
      <c r="IA1756" s="2060"/>
      <c r="IB1756" s="2060"/>
      <c r="IC1756" s="2060"/>
      <c r="ID1756" s="2060"/>
      <c r="IE1756" s="2060"/>
      <c r="IF1756" s="2060"/>
      <c r="IG1756" s="2060"/>
      <c r="IH1756" s="2060"/>
      <c r="II1756" s="2060"/>
      <c r="IJ1756" s="2060"/>
      <c r="IK1756" s="2060"/>
      <c r="IL1756" s="2060"/>
      <c r="IM1756" s="2060"/>
      <c r="IN1756" s="2060"/>
      <c r="IO1756" s="2060"/>
      <c r="IP1756" s="2060"/>
      <c r="IQ1756" s="2060"/>
      <c r="IR1756" s="2060"/>
      <c r="IS1756" s="2060"/>
      <c r="IT1756" s="2060"/>
      <c r="IU1756" s="2060"/>
      <c r="IV1756" s="2060"/>
      <c r="IW1756" s="2060"/>
      <c r="IX1756" s="2060"/>
      <c r="IY1756" s="2060"/>
      <c r="IZ1756" s="2060"/>
      <c r="JA1756" s="2060"/>
      <c r="JB1756" s="2060"/>
      <c r="JC1756" s="2060"/>
      <c r="JD1756" s="2060"/>
      <c r="JE1756" s="2060"/>
      <c r="JF1756" s="2060"/>
      <c r="JG1756" s="2060"/>
      <c r="JH1756" s="2060"/>
      <c r="JI1756" s="2060"/>
      <c r="JJ1756" s="2060"/>
      <c r="JK1756" s="2060"/>
      <c r="JL1756" s="2060"/>
      <c r="JM1756" s="2060"/>
      <c r="JN1756" s="2060"/>
      <c r="JO1756" s="2060"/>
      <c r="JP1756" s="2060"/>
      <c r="JQ1756" s="2060"/>
      <c r="JR1756" s="2060"/>
      <c r="JS1756" s="2060"/>
      <c r="JT1756" s="2060"/>
      <c r="JU1756" s="2060"/>
      <c r="JV1756" s="2060"/>
      <c r="JW1756" s="2060"/>
      <c r="JX1756" s="2060"/>
      <c r="JY1756" s="2060"/>
      <c r="JZ1756" s="2060"/>
      <c r="KA1756" s="2060"/>
      <c r="KB1756" s="2060"/>
      <c r="KC1756" s="2060"/>
      <c r="KD1756" s="2060"/>
      <c r="KE1756" s="2060"/>
      <c r="KF1756" s="2060"/>
      <c r="KG1756" s="2060"/>
      <c r="KH1756" s="2060"/>
      <c r="KI1756" s="2060"/>
      <c r="KJ1756" s="2060"/>
      <c r="KK1756" s="2060"/>
      <c r="KL1756" s="2060"/>
      <c r="KM1756" s="2060"/>
      <c r="KN1756" s="2060"/>
      <c r="KO1756" s="2060"/>
      <c r="KP1756" s="2060"/>
      <c r="KQ1756" s="2060"/>
      <c r="KR1756" s="2060"/>
      <c r="KS1756" s="2060"/>
      <c r="KT1756" s="2060"/>
      <c r="KU1756" s="2060"/>
      <c r="KV1756" s="2060"/>
      <c r="KW1756" s="2060"/>
      <c r="KX1756" s="2060"/>
      <c r="KY1756" s="2060"/>
      <c r="KZ1756" s="2060"/>
      <c r="LA1756" s="2060"/>
      <c r="LB1756" s="2060"/>
      <c r="LC1756" s="2060"/>
      <c r="LD1756" s="2060"/>
      <c r="LE1756" s="2060"/>
      <c r="LF1756" s="2060"/>
      <c r="LG1756" s="2060"/>
      <c r="LH1756" s="2060"/>
    </row>
    <row r="1757" spans="1:320" s="449" customFormat="1" ht="13.9">
      <c r="A1757" s="269" t="str">
        <f t="shared" si="475"/>
        <v>n</v>
      </c>
      <c r="B1757" s="2060"/>
      <c r="C1757" s="2060"/>
      <c r="D1757" s="2060"/>
      <c r="E1757" s="1661">
        <v>25</v>
      </c>
      <c r="F1757" s="1353" t="str">
        <f>F$153</f>
        <v>--</v>
      </c>
      <c r="G1757" s="128">
        <f>G$153</f>
        <v>0</v>
      </c>
      <c r="H1757" s="128" t="str">
        <f>H$153</f>
        <v>--</v>
      </c>
      <c r="I1757" s="89" t="s">
        <v>793</v>
      </c>
      <c r="J1757" s="2197" t="str">
        <f>IF($G1757=0,"",IFERROR(_xll.ciqfunctions.udf.CIQ($G1757,$I1757,J$1557,Valuation_Date_GC,ReportType,DataMode,$H1757,FXMode),"n/a"))</f>
        <v/>
      </c>
      <c r="K1757" s="2197" t="str">
        <f>IF($G1757=0,"",IFERROR(_xll.ciqfunctions.udf.CIQ($G1757,$I1757,K$1557,Valuation_Date_GC,ReportType,DataMode,$H1757,FXMode),"n/a"))</f>
        <v/>
      </c>
      <c r="L1757" s="2197" t="str">
        <f>IF($G1757=0,"",IFERROR(_xll.ciqfunctions.udf.CIQ($G1757,$I1757,L$1557,Valuation_Date_GC,ReportType,DataMode,$H1757,FXMode),"n/a"))</f>
        <v/>
      </c>
      <c r="M1757" s="2197" t="str">
        <f>IF($G1757=0,"",IFERROR(_xll.ciqfunctions.udf.CIQ($G1757,$I1757,M$1557,Valuation_Date_GC,ReportType,DataMode,$H1757,FXMode),"n/a"))</f>
        <v/>
      </c>
      <c r="N1757" s="2197" t="str">
        <f>IF($G1757=0,"",IFERROR(_xll.ciqfunctions.udf.CIQ($G1757,$I1757,N$1557,Valuation_Date_GC,ReportType,DataMode,$H1757,FXMode),"n/a"))</f>
        <v/>
      </c>
      <c r="O1757" s="2197" t="str">
        <f>IF($G1757=0,"",IFERROR(_xll.ciqfunctions.udf.CIQ($G1757,$I1757,O$1557,Valuation_Date_GC,ReportType,DataMode,$H1757,FXMode),"n/a"))</f>
        <v/>
      </c>
      <c r="P1757" s="2197" t="str">
        <f>IF($G1757=0,"",IFERROR(_xll.ciqfunctions.udf.CIQ($G1757,$I1757,P$1557,Valuation_Date_GC,ReportType,DataMode,$H1757,FXMode),"n/a"))</f>
        <v/>
      </c>
      <c r="Q1757" s="2197" t="str">
        <f>IF($G1757=0,"",IFERROR(_xll.ciqfunctions.udf.CIQ($G1757,$I1757,Q$1557,Valuation_Date_GC,ReportType,DataMode,$H1757,FXMode),"n/a"))</f>
        <v/>
      </c>
      <c r="R1757" s="2197" t="str">
        <f>IF($G1757=0,"",IFERROR(_xll.ciqfunctions.udf.CIQ($G1757,$I1757,R$1557,Valuation_Date_GC,ReportType,DataMode,$H1757,FXMode),"n/a"))</f>
        <v/>
      </c>
      <c r="S1757" s="2197" t="str">
        <f>IF($G1757=0,"",IFERROR(_xll.ciqfunctions.udf.CIQ($G1757,$I1757,S$1557,Valuation_Date_GC,ReportType,DataMode,$H1757,FXMode),"n/a"))</f>
        <v/>
      </c>
      <c r="T1757" s="2197" t="str">
        <f>IF($G1757=0,"",IFERROR(_xll.ciqfunctions.udf.CIQ($G1757,$I1757,T$1557,Valuation_Date_GC,ReportType,DataMode,$H1757,FXMode),"n/a"))</f>
        <v/>
      </c>
      <c r="U1757" s="2197" t="str">
        <f>IF($G1757=0,"",IFERROR(_xll.ciqfunctions.udf.CIQ($G1757,$I1757,U$1557,Valuation_Date_GC,ReportType,DataMode,$H1757,FXMode),"n/a"))</f>
        <v/>
      </c>
      <c r="V1757" s="2197" t="str">
        <f>IF($G1757=0,"",IFERROR(_xll.ciqfunctions.udf.CIQ($G1757,$I1757,V$1557,Valuation_Date_GC,ReportType,DataMode,$H1757,FXMode),"n/a"))</f>
        <v/>
      </c>
      <c r="W1757" s="1479"/>
      <c r="X1757" s="255"/>
      <c r="Y1757" s="89"/>
      <c r="Z1757" s="2060"/>
      <c r="AA1757" s="2060"/>
      <c r="AB1757" s="2060"/>
      <c r="AC1757" s="2060"/>
      <c r="AD1757" s="2060"/>
      <c r="AE1757" s="2060"/>
      <c r="AF1757" s="2060"/>
      <c r="AG1757" s="2060"/>
      <c r="AH1757" s="2060"/>
      <c r="AI1757" s="2060"/>
      <c r="AJ1757" s="2060"/>
      <c r="AK1757" s="2060"/>
      <c r="AL1757" s="2060"/>
      <c r="AM1757" s="2060"/>
      <c r="AN1757" s="2060"/>
      <c r="AO1757" s="2060"/>
      <c r="AP1757" s="2060"/>
      <c r="AQ1757" s="2060"/>
      <c r="AR1757" s="2060"/>
      <c r="AS1757" s="2060"/>
      <c r="AT1757" s="2060"/>
      <c r="AU1757" s="2060"/>
      <c r="AV1757" s="2060"/>
      <c r="AW1757" s="2060"/>
      <c r="AX1757" s="2060"/>
      <c r="AY1757" s="2060"/>
      <c r="AZ1757" s="2060"/>
      <c r="BA1757" s="2060"/>
      <c r="BB1757" s="2060"/>
      <c r="BC1757" s="2060"/>
      <c r="BD1757" s="2060"/>
      <c r="BE1757" s="2060"/>
      <c r="BF1757" s="2060"/>
      <c r="BG1757" s="2060"/>
      <c r="BH1757" s="2060"/>
      <c r="BI1757" s="2060"/>
      <c r="BJ1757" s="2060"/>
      <c r="BK1757" s="2060"/>
      <c r="BL1757" s="2060"/>
      <c r="BM1757" s="2060"/>
      <c r="BN1757" s="2060"/>
      <c r="BO1757" s="2060"/>
      <c r="BP1757" s="2060"/>
      <c r="BQ1757" s="2060"/>
      <c r="BR1757" s="2060"/>
      <c r="BS1757" s="2060"/>
      <c r="BT1757" s="2060"/>
      <c r="BU1757" s="2060"/>
      <c r="BV1757" s="2060"/>
      <c r="BW1757" s="2060"/>
      <c r="BX1757" s="2060"/>
      <c r="BY1757" s="2060"/>
      <c r="BZ1757" s="2060"/>
      <c r="CA1757" s="2060"/>
      <c r="CB1757" s="2060"/>
      <c r="CC1757" s="2060"/>
      <c r="CD1757" s="2060"/>
      <c r="CE1757" s="2060"/>
      <c r="CF1757" s="2060"/>
      <c r="CG1757" s="2060"/>
      <c r="CH1757" s="2060"/>
      <c r="CI1757" s="2060"/>
      <c r="CJ1757" s="2060"/>
      <c r="CK1757" s="2060"/>
      <c r="CL1757" s="2060"/>
      <c r="CM1757" s="2060"/>
      <c r="CN1757" s="2060"/>
      <c r="CO1757" s="2060"/>
      <c r="CP1757" s="2060"/>
      <c r="CQ1757" s="2060"/>
      <c r="CR1757" s="2060"/>
      <c r="CS1757" s="2060"/>
      <c r="CT1757" s="2060"/>
      <c r="CU1757" s="2060"/>
      <c r="CV1757" s="2060"/>
      <c r="CW1757" s="2060"/>
      <c r="CX1757" s="2060"/>
      <c r="CY1757" s="2060"/>
      <c r="CZ1757" s="2060"/>
      <c r="DA1757" s="2060"/>
      <c r="DB1757" s="2060"/>
      <c r="DC1757" s="2060"/>
      <c r="DD1757" s="2060"/>
      <c r="DE1757" s="2060"/>
      <c r="DF1757" s="2060"/>
      <c r="DG1757" s="2060"/>
      <c r="DH1757" s="2060"/>
      <c r="DI1757" s="2060"/>
      <c r="DJ1757" s="2060"/>
      <c r="DK1757" s="2060"/>
      <c r="DL1757" s="2060"/>
      <c r="DM1757" s="2060"/>
      <c r="DN1757" s="2060"/>
      <c r="DO1757" s="2060"/>
      <c r="DP1757" s="2060"/>
      <c r="DQ1757" s="2060"/>
      <c r="DR1757" s="2060"/>
      <c r="DS1757" s="2060"/>
      <c r="DT1757" s="2060"/>
      <c r="DU1757" s="2060"/>
      <c r="DV1757" s="2060"/>
      <c r="DW1757" s="2060"/>
      <c r="DX1757" s="2060"/>
      <c r="DY1757" s="2060"/>
      <c r="DZ1757" s="2060"/>
      <c r="EA1757" s="2060"/>
      <c r="EB1757" s="2060"/>
      <c r="EC1757" s="2060"/>
      <c r="ED1757" s="2060"/>
      <c r="EE1757" s="2060"/>
      <c r="EF1757" s="2060"/>
      <c r="EG1757" s="2060"/>
      <c r="EH1757" s="2060"/>
      <c r="EI1757" s="2060"/>
      <c r="EJ1757" s="2060"/>
      <c r="EK1757" s="2060"/>
      <c r="EL1757" s="2060"/>
      <c r="EM1757" s="2060"/>
      <c r="EN1757" s="2060"/>
      <c r="EO1757" s="2060"/>
      <c r="EP1757" s="2060"/>
      <c r="EQ1757" s="2060"/>
      <c r="ER1757" s="2060"/>
      <c r="ES1757" s="2060"/>
      <c r="ET1757" s="2060"/>
      <c r="EU1757" s="2060"/>
      <c r="EV1757" s="2060"/>
      <c r="EW1757" s="2060"/>
      <c r="EX1757" s="2060"/>
      <c r="EY1757" s="2060"/>
      <c r="EZ1757" s="2060"/>
      <c r="FA1757" s="2060"/>
      <c r="FB1757" s="2060"/>
      <c r="FC1757" s="2060"/>
      <c r="FD1757" s="2060"/>
      <c r="FE1757" s="2060"/>
      <c r="FF1757" s="2060"/>
      <c r="FG1757" s="2060"/>
      <c r="FH1757" s="2060"/>
      <c r="FI1757" s="2060"/>
      <c r="FJ1757" s="2060"/>
      <c r="FK1757" s="2060"/>
      <c r="FL1757" s="2060"/>
      <c r="FM1757" s="2060"/>
      <c r="FN1757" s="2060"/>
      <c r="FO1757" s="2060"/>
      <c r="FP1757" s="2060"/>
      <c r="FQ1757" s="2060"/>
      <c r="FR1757" s="2060"/>
      <c r="FS1757" s="2060"/>
      <c r="FT1757" s="2060"/>
      <c r="FU1757" s="2060"/>
      <c r="FV1757" s="2060"/>
      <c r="FW1757" s="2060"/>
      <c r="FX1757" s="2060"/>
      <c r="FY1757" s="2060"/>
      <c r="FZ1757" s="2060"/>
      <c r="GA1757" s="2060"/>
      <c r="GB1757" s="2060"/>
      <c r="GC1757" s="2060"/>
      <c r="GD1757" s="2060"/>
      <c r="GE1757" s="2060"/>
      <c r="GF1757" s="2060"/>
      <c r="GG1757" s="2060"/>
      <c r="GH1757" s="2060"/>
      <c r="GI1757" s="2060"/>
      <c r="GJ1757" s="2060"/>
      <c r="GK1757" s="2060"/>
      <c r="GL1757" s="2060"/>
      <c r="GM1757" s="2060"/>
      <c r="GN1757" s="2060"/>
      <c r="GO1757" s="2060"/>
      <c r="GP1757" s="2060"/>
      <c r="GQ1757" s="2060"/>
      <c r="GR1757" s="2060"/>
      <c r="GS1757" s="2060"/>
      <c r="GT1757" s="2060"/>
      <c r="GU1757" s="2060"/>
      <c r="GV1757" s="2060"/>
      <c r="GW1757" s="2060"/>
      <c r="GX1757" s="2060"/>
      <c r="GY1757" s="2060"/>
      <c r="GZ1757" s="2060"/>
      <c r="HA1757" s="2060"/>
      <c r="HB1757" s="2060"/>
      <c r="HC1757" s="2060"/>
      <c r="HD1757" s="2060"/>
      <c r="HE1757" s="2060"/>
      <c r="HF1757" s="2060"/>
      <c r="HG1757" s="2060"/>
      <c r="HH1757" s="2060"/>
      <c r="HI1757" s="2060"/>
      <c r="HJ1757" s="2060"/>
      <c r="HK1757" s="2060"/>
      <c r="HL1757" s="2060"/>
      <c r="HM1757" s="2060"/>
      <c r="HN1757" s="2060"/>
      <c r="HO1757" s="2060"/>
      <c r="HP1757" s="2060"/>
      <c r="HQ1757" s="2060"/>
      <c r="HR1757" s="2060"/>
      <c r="HS1757" s="2060"/>
      <c r="HT1757" s="2060"/>
      <c r="HU1757" s="2060"/>
      <c r="HV1757" s="2060"/>
      <c r="HW1757" s="2060"/>
      <c r="HX1757" s="2060"/>
      <c r="HY1757" s="2060"/>
      <c r="HZ1757" s="2060"/>
      <c r="IA1757" s="2060"/>
      <c r="IB1757" s="2060"/>
      <c r="IC1757" s="2060"/>
      <c r="ID1757" s="2060"/>
      <c r="IE1757" s="2060"/>
      <c r="IF1757" s="2060"/>
      <c r="IG1757" s="2060"/>
      <c r="IH1757" s="2060"/>
      <c r="II1757" s="2060"/>
      <c r="IJ1757" s="2060"/>
      <c r="IK1757" s="2060"/>
      <c r="IL1757" s="2060"/>
      <c r="IM1757" s="2060"/>
      <c r="IN1757" s="2060"/>
      <c r="IO1757" s="2060"/>
      <c r="IP1757" s="2060"/>
      <c r="IQ1757" s="2060"/>
      <c r="IR1757" s="2060"/>
      <c r="IS1757" s="2060"/>
      <c r="IT1757" s="2060"/>
      <c r="IU1757" s="2060"/>
      <c r="IV1757" s="2060"/>
      <c r="IW1757" s="2060"/>
      <c r="IX1757" s="2060"/>
      <c r="IY1757" s="2060"/>
      <c r="IZ1757" s="2060"/>
      <c r="JA1757" s="2060"/>
      <c r="JB1757" s="2060"/>
      <c r="JC1757" s="2060"/>
      <c r="JD1757" s="2060"/>
      <c r="JE1757" s="2060"/>
      <c r="JF1757" s="2060"/>
      <c r="JG1757" s="2060"/>
      <c r="JH1757" s="2060"/>
      <c r="JI1757" s="2060"/>
      <c r="JJ1757" s="2060"/>
      <c r="JK1757" s="2060"/>
      <c r="JL1757" s="2060"/>
      <c r="JM1757" s="2060"/>
      <c r="JN1757" s="2060"/>
      <c r="JO1757" s="2060"/>
      <c r="JP1757" s="2060"/>
      <c r="JQ1757" s="2060"/>
      <c r="JR1757" s="2060"/>
      <c r="JS1757" s="2060"/>
      <c r="JT1757" s="2060"/>
      <c r="JU1757" s="2060"/>
      <c r="JV1757" s="2060"/>
      <c r="JW1757" s="2060"/>
      <c r="JX1757" s="2060"/>
      <c r="JY1757" s="2060"/>
      <c r="JZ1757" s="2060"/>
      <c r="KA1757" s="2060"/>
      <c r="KB1757" s="2060"/>
      <c r="KC1757" s="2060"/>
      <c r="KD1757" s="2060"/>
      <c r="KE1757" s="2060"/>
      <c r="KF1757" s="2060"/>
      <c r="KG1757" s="2060"/>
      <c r="KH1757" s="2060"/>
      <c r="KI1757" s="2060"/>
      <c r="KJ1757" s="2060"/>
      <c r="KK1757" s="2060"/>
      <c r="KL1757" s="2060"/>
      <c r="KM1757" s="2060"/>
      <c r="KN1757" s="2060"/>
      <c r="KO1757" s="2060"/>
      <c r="KP1757" s="2060"/>
      <c r="KQ1757" s="2060"/>
      <c r="KR1757" s="2060"/>
      <c r="KS1757" s="2060"/>
      <c r="KT1757" s="2060"/>
      <c r="KU1757" s="2060"/>
      <c r="KV1757" s="2060"/>
      <c r="KW1757" s="2060"/>
      <c r="KX1757" s="2060"/>
      <c r="KY1757" s="2060"/>
      <c r="KZ1757" s="2060"/>
      <c r="LA1757" s="2060"/>
      <c r="LB1757" s="2060"/>
      <c r="LC1757" s="2060"/>
      <c r="LD1757" s="2060"/>
      <c r="LE1757" s="2060"/>
      <c r="LF1757" s="2060"/>
      <c r="LG1757" s="2060"/>
      <c r="LH1757" s="2060"/>
    </row>
    <row r="1758" spans="1:320" s="449" customFormat="1" ht="13.9">
      <c r="A1758" s="2060"/>
      <c r="B1758" s="2060"/>
      <c r="C1758" s="2060"/>
      <c r="D1758" s="2060"/>
      <c r="E1758" s="505"/>
      <c r="F1758" s="1349"/>
      <c r="G1758" s="1349"/>
      <c r="H1758" s="1349"/>
      <c r="I1758" s="89"/>
      <c r="J1758" s="1558"/>
      <c r="K1758" s="1558"/>
      <c r="L1758" s="1558"/>
      <c r="M1758" s="1558"/>
      <c r="N1758" s="1558"/>
      <c r="O1758" s="1558"/>
      <c r="P1758" s="1558"/>
      <c r="Q1758" s="1558"/>
      <c r="R1758" s="1558"/>
      <c r="S1758" s="1558"/>
      <c r="T1758" s="1558"/>
      <c r="U1758" s="1558"/>
      <c r="V1758" s="1558"/>
      <c r="W1758" s="1479"/>
      <c r="X1758" s="255"/>
      <c r="Y1758" s="89"/>
      <c r="Z1758" s="2060"/>
      <c r="AA1758" s="2060"/>
      <c r="AB1758" s="2060"/>
      <c r="AC1758" s="2060"/>
      <c r="AD1758" s="2060"/>
      <c r="AE1758" s="2060"/>
      <c r="AF1758" s="2060"/>
      <c r="AG1758" s="2060"/>
      <c r="AH1758" s="2060"/>
      <c r="AI1758" s="2060"/>
      <c r="AJ1758" s="2060"/>
      <c r="AK1758" s="2060"/>
      <c r="AL1758" s="2060"/>
      <c r="AM1758" s="2060"/>
      <c r="AN1758" s="2060"/>
      <c r="AO1758" s="2060"/>
      <c r="AP1758" s="2060"/>
      <c r="AQ1758" s="2060"/>
      <c r="AR1758" s="2060"/>
      <c r="AS1758" s="2060"/>
      <c r="AT1758" s="2060"/>
      <c r="AU1758" s="2060"/>
      <c r="AV1758" s="2060"/>
      <c r="AW1758" s="2060"/>
      <c r="AX1758" s="2060"/>
      <c r="AY1758" s="2060"/>
      <c r="AZ1758" s="2060"/>
      <c r="BA1758" s="2060"/>
      <c r="BB1758" s="2060"/>
      <c r="BC1758" s="2060"/>
      <c r="BD1758" s="2060"/>
      <c r="BE1758" s="2060"/>
      <c r="BF1758" s="2060"/>
      <c r="BG1758" s="2060"/>
      <c r="BH1758" s="2060"/>
      <c r="BI1758" s="2060"/>
      <c r="BJ1758" s="2060"/>
      <c r="BK1758" s="2060"/>
      <c r="BL1758" s="2060"/>
      <c r="BM1758" s="2060"/>
      <c r="BN1758" s="2060"/>
      <c r="BO1758" s="2060"/>
      <c r="BP1758" s="2060"/>
      <c r="BQ1758" s="2060"/>
      <c r="BR1758" s="2060"/>
      <c r="BS1758" s="2060"/>
      <c r="BT1758" s="2060"/>
      <c r="BU1758" s="2060"/>
      <c r="BV1758" s="2060"/>
      <c r="BW1758" s="2060"/>
      <c r="BX1758" s="2060"/>
      <c r="BY1758" s="2060"/>
      <c r="BZ1758" s="2060"/>
      <c r="CA1758" s="2060"/>
      <c r="CB1758" s="2060"/>
      <c r="CC1758" s="2060"/>
      <c r="CD1758" s="2060"/>
      <c r="CE1758" s="2060"/>
      <c r="CF1758" s="2060"/>
      <c r="CG1758" s="2060"/>
      <c r="CH1758" s="2060"/>
      <c r="CI1758" s="2060"/>
      <c r="CJ1758" s="2060"/>
      <c r="CK1758" s="2060"/>
      <c r="CL1758" s="2060"/>
      <c r="CM1758" s="2060"/>
      <c r="CN1758" s="2060"/>
      <c r="CO1758" s="2060"/>
      <c r="CP1758" s="2060"/>
      <c r="CQ1758" s="2060"/>
      <c r="CR1758" s="2060"/>
      <c r="CS1758" s="2060"/>
      <c r="CT1758" s="2060"/>
      <c r="CU1758" s="2060"/>
      <c r="CV1758" s="2060"/>
      <c r="CW1758" s="2060"/>
      <c r="CX1758" s="2060"/>
      <c r="CY1758" s="2060"/>
      <c r="CZ1758" s="2060"/>
      <c r="DA1758" s="2060"/>
      <c r="DB1758" s="2060"/>
      <c r="DC1758" s="2060"/>
      <c r="DD1758" s="2060"/>
      <c r="DE1758" s="2060"/>
      <c r="DF1758" s="2060"/>
      <c r="DG1758" s="2060"/>
      <c r="DH1758" s="2060"/>
      <c r="DI1758" s="2060"/>
      <c r="DJ1758" s="2060"/>
      <c r="DK1758" s="2060"/>
      <c r="DL1758" s="2060"/>
      <c r="DM1758" s="2060"/>
      <c r="DN1758" s="2060"/>
      <c r="DO1758" s="2060"/>
      <c r="DP1758" s="2060"/>
      <c r="DQ1758" s="2060"/>
      <c r="DR1758" s="2060"/>
      <c r="DS1758" s="2060"/>
      <c r="DT1758" s="2060"/>
      <c r="DU1758" s="2060"/>
      <c r="DV1758" s="2060"/>
      <c r="DW1758" s="2060"/>
      <c r="DX1758" s="2060"/>
      <c r="DY1758" s="2060"/>
      <c r="DZ1758" s="2060"/>
      <c r="EA1758" s="2060"/>
      <c r="EB1758" s="2060"/>
      <c r="EC1758" s="2060"/>
      <c r="ED1758" s="2060"/>
      <c r="EE1758" s="2060"/>
      <c r="EF1758" s="2060"/>
      <c r="EG1758" s="2060"/>
      <c r="EH1758" s="2060"/>
      <c r="EI1758" s="2060"/>
      <c r="EJ1758" s="2060"/>
      <c r="EK1758" s="2060"/>
      <c r="EL1758" s="2060"/>
      <c r="EM1758" s="2060"/>
      <c r="EN1758" s="2060"/>
      <c r="EO1758" s="2060"/>
      <c r="EP1758" s="2060"/>
      <c r="EQ1758" s="2060"/>
      <c r="ER1758" s="2060"/>
      <c r="ES1758" s="2060"/>
      <c r="ET1758" s="2060"/>
      <c r="EU1758" s="2060"/>
      <c r="EV1758" s="2060"/>
      <c r="EW1758" s="2060"/>
      <c r="EX1758" s="2060"/>
      <c r="EY1758" s="2060"/>
      <c r="EZ1758" s="2060"/>
      <c r="FA1758" s="2060"/>
      <c r="FB1758" s="2060"/>
      <c r="FC1758" s="2060"/>
      <c r="FD1758" s="2060"/>
      <c r="FE1758" s="2060"/>
      <c r="FF1758" s="2060"/>
      <c r="FG1758" s="2060"/>
      <c r="FH1758" s="2060"/>
      <c r="FI1758" s="2060"/>
      <c r="FJ1758" s="2060"/>
      <c r="FK1758" s="2060"/>
      <c r="FL1758" s="2060"/>
      <c r="FM1758" s="2060"/>
      <c r="FN1758" s="2060"/>
      <c r="FO1758" s="2060"/>
      <c r="FP1758" s="2060"/>
      <c r="FQ1758" s="2060"/>
      <c r="FR1758" s="2060"/>
      <c r="FS1758" s="2060"/>
      <c r="FT1758" s="2060"/>
      <c r="FU1758" s="2060"/>
      <c r="FV1758" s="2060"/>
      <c r="FW1758" s="2060"/>
      <c r="FX1758" s="2060"/>
      <c r="FY1758" s="2060"/>
      <c r="FZ1758" s="2060"/>
      <c r="GA1758" s="2060"/>
      <c r="GB1758" s="2060"/>
      <c r="GC1758" s="2060"/>
      <c r="GD1758" s="2060"/>
      <c r="GE1758" s="2060"/>
      <c r="GF1758" s="2060"/>
      <c r="GG1758" s="2060"/>
      <c r="GH1758" s="2060"/>
      <c r="GI1758" s="2060"/>
      <c r="GJ1758" s="2060"/>
      <c r="GK1758" s="2060"/>
      <c r="GL1758" s="2060"/>
      <c r="GM1758" s="2060"/>
      <c r="GN1758" s="2060"/>
      <c r="GO1758" s="2060"/>
      <c r="GP1758" s="2060"/>
      <c r="GQ1758" s="2060"/>
      <c r="GR1758" s="2060"/>
      <c r="GS1758" s="2060"/>
      <c r="GT1758" s="2060"/>
      <c r="GU1758" s="2060"/>
      <c r="GV1758" s="2060"/>
      <c r="GW1758" s="2060"/>
      <c r="GX1758" s="2060"/>
      <c r="GY1758" s="2060"/>
      <c r="GZ1758" s="2060"/>
      <c r="HA1758" s="2060"/>
      <c r="HB1758" s="2060"/>
      <c r="HC1758" s="2060"/>
      <c r="HD1758" s="2060"/>
      <c r="HE1758" s="2060"/>
      <c r="HF1758" s="2060"/>
      <c r="HG1758" s="2060"/>
      <c r="HH1758" s="2060"/>
      <c r="HI1758" s="2060"/>
      <c r="HJ1758" s="2060"/>
      <c r="HK1758" s="2060"/>
      <c r="HL1758" s="2060"/>
      <c r="HM1758" s="2060"/>
      <c r="HN1758" s="2060"/>
      <c r="HO1758" s="2060"/>
      <c r="HP1758" s="2060"/>
      <c r="HQ1758" s="2060"/>
      <c r="HR1758" s="2060"/>
      <c r="HS1758" s="2060"/>
      <c r="HT1758" s="2060"/>
      <c r="HU1758" s="2060"/>
      <c r="HV1758" s="2060"/>
      <c r="HW1758" s="2060"/>
      <c r="HX1758" s="2060"/>
      <c r="HY1758" s="2060"/>
      <c r="HZ1758" s="2060"/>
      <c r="IA1758" s="2060"/>
      <c r="IB1758" s="2060"/>
      <c r="IC1758" s="2060"/>
      <c r="ID1758" s="2060"/>
      <c r="IE1758" s="2060"/>
      <c r="IF1758" s="2060"/>
      <c r="IG1758" s="2060"/>
      <c r="IH1758" s="2060"/>
      <c r="II1758" s="2060"/>
      <c r="IJ1758" s="2060"/>
      <c r="IK1758" s="2060"/>
      <c r="IL1758" s="2060"/>
      <c r="IM1758" s="2060"/>
      <c r="IN1758" s="2060"/>
      <c r="IO1758" s="2060"/>
      <c r="IP1758" s="2060"/>
      <c r="IQ1758" s="2060"/>
      <c r="IR1758" s="2060"/>
      <c r="IS1758" s="2060"/>
      <c r="IT1758" s="2060"/>
      <c r="IU1758" s="2060"/>
      <c r="IV1758" s="2060"/>
      <c r="IW1758" s="2060"/>
      <c r="IX1758" s="2060"/>
      <c r="IY1758" s="2060"/>
      <c r="IZ1758" s="2060"/>
      <c r="JA1758" s="2060"/>
      <c r="JB1758" s="2060"/>
      <c r="JC1758" s="2060"/>
      <c r="JD1758" s="2060"/>
      <c r="JE1758" s="2060"/>
      <c r="JF1758" s="2060"/>
      <c r="JG1758" s="2060"/>
      <c r="JH1758" s="2060"/>
      <c r="JI1758" s="2060"/>
      <c r="JJ1758" s="2060"/>
      <c r="JK1758" s="2060"/>
      <c r="JL1758" s="2060"/>
      <c r="JM1758" s="2060"/>
      <c r="JN1758" s="2060"/>
      <c r="JO1758" s="2060"/>
      <c r="JP1758" s="2060"/>
      <c r="JQ1758" s="2060"/>
      <c r="JR1758" s="2060"/>
      <c r="JS1758" s="2060"/>
      <c r="JT1758" s="2060"/>
      <c r="JU1758" s="2060"/>
      <c r="JV1758" s="2060"/>
      <c r="JW1758" s="2060"/>
      <c r="JX1758" s="2060"/>
      <c r="JY1758" s="2060"/>
      <c r="JZ1758" s="2060"/>
      <c r="KA1758" s="2060"/>
      <c r="KB1758" s="2060"/>
      <c r="KC1758" s="2060"/>
      <c r="KD1758" s="2060"/>
      <c r="KE1758" s="2060"/>
      <c r="KF1758" s="2060"/>
      <c r="KG1758" s="2060"/>
      <c r="KH1758" s="2060"/>
      <c r="KI1758" s="2060"/>
      <c r="KJ1758" s="2060"/>
      <c r="KK1758" s="2060"/>
      <c r="KL1758" s="2060"/>
      <c r="KM1758" s="2060"/>
      <c r="KN1758" s="2060"/>
      <c r="KO1758" s="2060"/>
      <c r="KP1758" s="2060"/>
      <c r="KQ1758" s="2060"/>
      <c r="KR1758" s="2060"/>
      <c r="KS1758" s="2060"/>
      <c r="KT1758" s="2060"/>
      <c r="KU1758" s="2060"/>
      <c r="KV1758" s="2060"/>
      <c r="KW1758" s="2060"/>
      <c r="KX1758" s="2060"/>
      <c r="KY1758" s="2060"/>
      <c r="KZ1758" s="2060"/>
      <c r="LA1758" s="2060"/>
      <c r="LB1758" s="2060"/>
      <c r="LC1758" s="2060"/>
      <c r="LD1758" s="2060"/>
      <c r="LE1758" s="2060"/>
      <c r="LF1758" s="2060"/>
      <c r="LG1758" s="2060"/>
      <c r="LH1758" s="2060"/>
    </row>
    <row r="1759" spans="1:320" s="449" customFormat="1" ht="13.9">
      <c r="A1759" s="2060"/>
      <c r="B1759" s="2060"/>
      <c r="C1759" s="2060"/>
      <c r="D1759" s="2060"/>
      <c r="E1759" s="505"/>
      <c r="F1759" s="128"/>
      <c r="G1759" s="1349"/>
      <c r="H1759" s="128"/>
      <c r="I1759" s="89"/>
      <c r="J1759" s="506"/>
      <c r="K1759" s="1558"/>
      <c r="L1759" s="1558"/>
      <c r="M1759" s="1558"/>
      <c r="N1759" s="1558"/>
      <c r="O1759" s="1558"/>
      <c r="P1759" s="1558"/>
      <c r="Q1759" s="1558"/>
      <c r="R1759" s="1558"/>
      <c r="S1759" s="1558"/>
      <c r="T1759" s="1558"/>
      <c r="U1759" s="1558"/>
      <c r="V1759" s="1558"/>
      <c r="W1759" s="1479"/>
      <c r="X1759" s="255"/>
      <c r="Y1759" s="89"/>
      <c r="Z1759" s="2060"/>
      <c r="AA1759" s="2060"/>
      <c r="AB1759" s="2060"/>
      <c r="AC1759" s="2060"/>
      <c r="AD1759" s="2060"/>
      <c r="AE1759" s="2060"/>
      <c r="AF1759" s="2060"/>
      <c r="AG1759" s="2060"/>
      <c r="AH1759" s="2060"/>
      <c r="AI1759" s="2060"/>
      <c r="AJ1759" s="2060"/>
      <c r="AK1759" s="2060"/>
      <c r="AL1759" s="2060"/>
      <c r="AM1759" s="2060"/>
      <c r="AN1759" s="2060"/>
      <c r="AO1759" s="2060"/>
      <c r="AP1759" s="2060"/>
      <c r="AQ1759" s="2060"/>
      <c r="AR1759" s="2060"/>
      <c r="AS1759" s="2060"/>
      <c r="AT1759" s="2060"/>
      <c r="AU1759" s="2060"/>
      <c r="AV1759" s="2060"/>
      <c r="AW1759" s="2060"/>
      <c r="AX1759" s="2060"/>
      <c r="AY1759" s="2060"/>
      <c r="AZ1759" s="2060"/>
      <c r="BA1759" s="2060"/>
      <c r="BB1759" s="2060"/>
      <c r="BC1759" s="2060"/>
      <c r="BD1759" s="2060"/>
      <c r="BE1759" s="2060"/>
      <c r="BF1759" s="2060"/>
      <c r="BG1759" s="2060"/>
      <c r="BH1759" s="2060"/>
      <c r="BI1759" s="2060"/>
      <c r="BJ1759" s="2060"/>
      <c r="BK1759" s="2060"/>
      <c r="BL1759" s="2060"/>
      <c r="BM1759" s="2060"/>
      <c r="BN1759" s="2060"/>
      <c r="BO1759" s="2060"/>
      <c r="BP1759" s="2060"/>
      <c r="BQ1759" s="2060"/>
      <c r="BR1759" s="2060"/>
      <c r="BS1759" s="2060"/>
      <c r="BT1759" s="2060"/>
      <c r="BU1759" s="2060"/>
      <c r="BV1759" s="2060"/>
      <c r="BW1759" s="2060"/>
      <c r="BX1759" s="2060"/>
      <c r="BY1759" s="2060"/>
      <c r="BZ1759" s="2060"/>
      <c r="CA1759" s="2060"/>
      <c r="CB1759" s="2060"/>
      <c r="CC1759" s="2060"/>
      <c r="CD1759" s="2060"/>
      <c r="CE1759" s="2060"/>
      <c r="CF1759" s="2060"/>
      <c r="CG1759" s="2060"/>
      <c r="CH1759" s="2060"/>
      <c r="CI1759" s="2060"/>
      <c r="CJ1759" s="2060"/>
      <c r="CK1759" s="2060"/>
      <c r="CL1759" s="2060"/>
      <c r="CM1759" s="2060"/>
      <c r="CN1759" s="2060"/>
      <c r="CO1759" s="2060"/>
      <c r="CP1759" s="2060"/>
      <c r="CQ1759" s="2060"/>
      <c r="CR1759" s="2060"/>
      <c r="CS1759" s="2060"/>
      <c r="CT1759" s="2060"/>
      <c r="CU1759" s="2060"/>
      <c r="CV1759" s="2060"/>
      <c r="CW1759" s="2060"/>
      <c r="CX1759" s="2060"/>
      <c r="CY1759" s="2060"/>
      <c r="CZ1759" s="2060"/>
      <c r="DA1759" s="2060"/>
      <c r="DB1759" s="2060"/>
      <c r="DC1759" s="2060"/>
      <c r="DD1759" s="2060"/>
      <c r="DE1759" s="2060"/>
      <c r="DF1759" s="2060"/>
      <c r="DG1759" s="2060"/>
      <c r="DH1759" s="2060"/>
      <c r="DI1759" s="2060"/>
      <c r="DJ1759" s="2060"/>
      <c r="DK1759" s="2060"/>
      <c r="DL1759" s="2060"/>
      <c r="DM1759" s="2060"/>
      <c r="DN1759" s="2060"/>
      <c r="DO1759" s="2060"/>
      <c r="DP1759" s="2060"/>
      <c r="DQ1759" s="2060"/>
      <c r="DR1759" s="2060"/>
      <c r="DS1759" s="2060"/>
      <c r="DT1759" s="2060"/>
      <c r="DU1759" s="2060"/>
      <c r="DV1759" s="2060"/>
      <c r="DW1759" s="2060"/>
      <c r="DX1759" s="2060"/>
      <c r="DY1759" s="2060"/>
      <c r="DZ1759" s="2060"/>
      <c r="EA1759" s="2060"/>
      <c r="EB1759" s="2060"/>
      <c r="EC1759" s="2060"/>
      <c r="ED1759" s="2060"/>
      <c r="EE1759" s="2060"/>
      <c r="EF1759" s="2060"/>
      <c r="EG1759" s="2060"/>
      <c r="EH1759" s="2060"/>
      <c r="EI1759" s="2060"/>
      <c r="EJ1759" s="2060"/>
      <c r="EK1759" s="2060"/>
      <c r="EL1759" s="2060"/>
      <c r="EM1759" s="2060"/>
      <c r="EN1759" s="2060"/>
      <c r="EO1759" s="2060"/>
      <c r="EP1759" s="2060"/>
      <c r="EQ1759" s="2060"/>
      <c r="ER1759" s="2060"/>
      <c r="ES1759" s="2060"/>
      <c r="ET1759" s="2060"/>
      <c r="EU1759" s="2060"/>
      <c r="EV1759" s="2060"/>
      <c r="EW1759" s="2060"/>
      <c r="EX1759" s="2060"/>
      <c r="EY1759" s="2060"/>
      <c r="EZ1759" s="2060"/>
      <c r="FA1759" s="2060"/>
      <c r="FB1759" s="2060"/>
      <c r="FC1759" s="2060"/>
      <c r="FD1759" s="2060"/>
      <c r="FE1759" s="2060"/>
      <c r="FF1759" s="2060"/>
      <c r="FG1759" s="2060"/>
      <c r="FH1759" s="2060"/>
      <c r="FI1759" s="2060"/>
      <c r="FJ1759" s="2060"/>
      <c r="FK1759" s="2060"/>
      <c r="FL1759" s="2060"/>
      <c r="FM1759" s="2060"/>
      <c r="FN1759" s="2060"/>
      <c r="FO1759" s="2060"/>
      <c r="FP1759" s="2060"/>
      <c r="FQ1759" s="2060"/>
      <c r="FR1759" s="2060"/>
      <c r="FS1759" s="2060"/>
      <c r="FT1759" s="2060"/>
      <c r="FU1759" s="2060"/>
      <c r="FV1759" s="2060"/>
      <c r="FW1759" s="2060"/>
      <c r="FX1759" s="2060"/>
      <c r="FY1759" s="2060"/>
      <c r="FZ1759" s="2060"/>
      <c r="GA1759" s="2060"/>
      <c r="GB1759" s="2060"/>
      <c r="GC1759" s="2060"/>
      <c r="GD1759" s="2060"/>
      <c r="GE1759" s="2060"/>
      <c r="GF1759" s="2060"/>
      <c r="GG1759" s="2060"/>
      <c r="GH1759" s="2060"/>
      <c r="GI1759" s="2060"/>
      <c r="GJ1759" s="2060"/>
      <c r="GK1759" s="2060"/>
      <c r="GL1759" s="2060"/>
      <c r="GM1759" s="2060"/>
      <c r="GN1759" s="2060"/>
      <c r="GO1759" s="2060"/>
      <c r="GP1759" s="2060"/>
      <c r="GQ1759" s="2060"/>
      <c r="GR1759" s="2060"/>
      <c r="GS1759" s="2060"/>
      <c r="GT1759" s="2060"/>
      <c r="GU1759" s="2060"/>
      <c r="GV1759" s="2060"/>
      <c r="GW1759" s="2060"/>
      <c r="GX1759" s="2060"/>
      <c r="GY1759" s="2060"/>
      <c r="GZ1759" s="2060"/>
      <c r="HA1759" s="2060"/>
      <c r="HB1759" s="2060"/>
      <c r="HC1759" s="2060"/>
      <c r="HD1759" s="2060"/>
      <c r="HE1759" s="2060"/>
      <c r="HF1759" s="2060"/>
      <c r="HG1759" s="2060"/>
      <c r="HH1759" s="2060"/>
      <c r="HI1759" s="2060"/>
      <c r="HJ1759" s="2060"/>
      <c r="HK1759" s="2060"/>
      <c r="HL1759" s="2060"/>
      <c r="HM1759" s="2060"/>
      <c r="HN1759" s="2060"/>
      <c r="HO1759" s="2060"/>
      <c r="HP1759" s="2060"/>
      <c r="HQ1759" s="2060"/>
      <c r="HR1759" s="2060"/>
      <c r="HS1759" s="2060"/>
      <c r="HT1759" s="2060"/>
      <c r="HU1759" s="2060"/>
      <c r="HV1759" s="2060"/>
      <c r="HW1759" s="2060"/>
      <c r="HX1759" s="2060"/>
      <c r="HY1759" s="2060"/>
      <c r="HZ1759" s="2060"/>
      <c r="IA1759" s="2060"/>
      <c r="IB1759" s="2060"/>
      <c r="IC1759" s="2060"/>
      <c r="ID1759" s="2060"/>
      <c r="IE1759" s="2060"/>
      <c r="IF1759" s="2060"/>
      <c r="IG1759" s="2060"/>
      <c r="IH1759" s="2060"/>
      <c r="II1759" s="2060"/>
      <c r="IJ1759" s="2060"/>
      <c r="IK1759" s="2060"/>
      <c r="IL1759" s="2060"/>
      <c r="IM1759" s="2060"/>
      <c r="IN1759" s="2060"/>
      <c r="IO1759" s="2060"/>
      <c r="IP1759" s="2060"/>
      <c r="IQ1759" s="2060"/>
      <c r="IR1759" s="2060"/>
      <c r="IS1759" s="2060"/>
      <c r="IT1759" s="2060"/>
      <c r="IU1759" s="2060"/>
      <c r="IV1759" s="2060"/>
      <c r="IW1759" s="2060"/>
      <c r="IX1759" s="2060"/>
      <c r="IY1759" s="2060"/>
      <c r="IZ1759" s="2060"/>
      <c r="JA1759" s="2060"/>
      <c r="JB1759" s="2060"/>
      <c r="JC1759" s="2060"/>
      <c r="JD1759" s="2060"/>
      <c r="JE1759" s="2060"/>
      <c r="JF1759" s="2060"/>
      <c r="JG1759" s="2060"/>
      <c r="JH1759" s="2060"/>
      <c r="JI1759" s="2060"/>
      <c r="JJ1759" s="2060"/>
      <c r="JK1759" s="2060"/>
      <c r="JL1759" s="2060"/>
      <c r="JM1759" s="2060"/>
      <c r="JN1759" s="2060"/>
      <c r="JO1759" s="2060"/>
      <c r="JP1759" s="2060"/>
      <c r="JQ1759" s="2060"/>
      <c r="JR1759" s="2060"/>
      <c r="JS1759" s="2060"/>
      <c r="JT1759" s="2060"/>
      <c r="JU1759" s="2060"/>
      <c r="JV1759" s="2060"/>
      <c r="JW1759" s="2060"/>
      <c r="JX1759" s="2060"/>
      <c r="JY1759" s="2060"/>
      <c r="JZ1759" s="2060"/>
      <c r="KA1759" s="2060"/>
      <c r="KB1759" s="2060"/>
      <c r="KC1759" s="2060"/>
      <c r="KD1759" s="2060"/>
      <c r="KE1759" s="2060"/>
      <c r="KF1759" s="2060"/>
      <c r="KG1759" s="2060"/>
      <c r="KH1759" s="2060"/>
      <c r="KI1759" s="2060"/>
      <c r="KJ1759" s="2060"/>
      <c r="KK1759" s="2060"/>
      <c r="KL1759" s="2060"/>
      <c r="KM1759" s="2060"/>
      <c r="KN1759" s="2060"/>
      <c r="KO1759" s="2060"/>
      <c r="KP1759" s="2060"/>
      <c r="KQ1759" s="2060"/>
      <c r="KR1759" s="2060"/>
      <c r="KS1759" s="2060"/>
      <c r="KT1759" s="2060"/>
      <c r="KU1759" s="2060"/>
      <c r="KV1759" s="2060"/>
      <c r="KW1759" s="2060"/>
      <c r="KX1759" s="2060"/>
      <c r="KY1759" s="2060"/>
      <c r="KZ1759" s="2060"/>
      <c r="LA1759" s="2060"/>
      <c r="LB1759" s="2060"/>
      <c r="LC1759" s="2060"/>
      <c r="LD1759" s="2060"/>
      <c r="LE1759" s="2060"/>
      <c r="LF1759" s="2060"/>
      <c r="LG1759" s="2060"/>
      <c r="LH1759" s="2060"/>
    </row>
    <row r="1760" spans="1:320" s="449" customFormat="1" ht="13.9">
      <c r="A1760" s="2060"/>
      <c r="B1760" s="2060"/>
      <c r="C1760" s="2060"/>
      <c r="D1760" s="2060"/>
      <c r="E1760" s="505"/>
      <c r="F1760" s="953" t="s">
        <v>443</v>
      </c>
      <c r="G1760" s="737" t="s">
        <v>851</v>
      </c>
      <c r="H1760" s="741"/>
      <c r="I1760" s="724"/>
      <c r="J1760" s="726" t="str">
        <f>J$1558</f>
        <v>LQ-12</v>
      </c>
      <c r="K1760" s="726" t="str">
        <f t="shared" ref="K1760:V1760" si="476">K$1558</f>
        <v>LQ-11</v>
      </c>
      <c r="L1760" s="726" t="str">
        <f t="shared" si="476"/>
        <v>LQ-10</v>
      </c>
      <c r="M1760" s="726" t="str">
        <f t="shared" si="476"/>
        <v>LQ-9</v>
      </c>
      <c r="N1760" s="726" t="str">
        <f t="shared" si="476"/>
        <v>LQ-8</v>
      </c>
      <c r="O1760" s="726" t="str">
        <f t="shared" si="476"/>
        <v>LQ-7</v>
      </c>
      <c r="P1760" s="726" t="str">
        <f t="shared" si="476"/>
        <v>LQ-6</v>
      </c>
      <c r="Q1760" s="726" t="str">
        <f t="shared" si="476"/>
        <v>LQ-5</v>
      </c>
      <c r="R1760" s="726" t="str">
        <f t="shared" si="476"/>
        <v>LQ-4</v>
      </c>
      <c r="S1760" s="726" t="str">
        <f t="shared" si="476"/>
        <v>LQ-3</v>
      </c>
      <c r="T1760" s="726" t="str">
        <f t="shared" si="476"/>
        <v>LQ-2</v>
      </c>
      <c r="U1760" s="726" t="str">
        <f t="shared" si="476"/>
        <v>LQ-1</v>
      </c>
      <c r="V1760" s="726" t="str">
        <f t="shared" si="476"/>
        <v>Last Qtr</v>
      </c>
      <c r="W1760" s="1479"/>
      <c r="X1760" s="255"/>
      <c r="Y1760" s="89"/>
      <c r="Z1760" s="2060"/>
      <c r="AA1760" s="2060"/>
      <c r="AB1760" s="2060"/>
      <c r="AC1760" s="2060"/>
      <c r="AD1760" s="2060"/>
      <c r="AE1760" s="2060"/>
      <c r="AF1760" s="2060"/>
      <c r="AG1760" s="2060"/>
      <c r="AH1760" s="2060"/>
      <c r="AI1760" s="2060"/>
      <c r="AJ1760" s="2060"/>
      <c r="AK1760" s="2060"/>
      <c r="AL1760" s="2060"/>
      <c r="AM1760" s="2060"/>
      <c r="AN1760" s="2060"/>
      <c r="AO1760" s="2060"/>
      <c r="AP1760" s="2060"/>
      <c r="AQ1760" s="2060"/>
      <c r="AR1760" s="2060"/>
      <c r="AS1760" s="2060"/>
      <c r="AT1760" s="2060"/>
      <c r="AU1760" s="2060"/>
      <c r="AV1760" s="2060"/>
      <c r="AW1760" s="2060"/>
      <c r="AX1760" s="2060"/>
      <c r="AY1760" s="2060"/>
      <c r="AZ1760" s="2060"/>
      <c r="BA1760" s="2060"/>
      <c r="BB1760" s="2060"/>
      <c r="BC1760" s="2060"/>
      <c r="BD1760" s="2060"/>
      <c r="BE1760" s="2060"/>
      <c r="BF1760" s="2060"/>
      <c r="BG1760" s="2060"/>
      <c r="BH1760" s="2060"/>
      <c r="BI1760" s="2060"/>
      <c r="BJ1760" s="2060"/>
      <c r="BK1760" s="2060"/>
      <c r="BL1760" s="2060"/>
      <c r="BM1760" s="2060"/>
      <c r="BN1760" s="2060"/>
      <c r="BO1760" s="2060"/>
      <c r="BP1760" s="2060"/>
      <c r="BQ1760" s="2060"/>
      <c r="BR1760" s="2060"/>
      <c r="BS1760" s="2060"/>
      <c r="BT1760" s="2060"/>
      <c r="BU1760" s="2060"/>
      <c r="BV1760" s="2060"/>
      <c r="BW1760" s="2060"/>
      <c r="BX1760" s="2060"/>
      <c r="BY1760" s="2060"/>
      <c r="BZ1760" s="2060"/>
      <c r="CA1760" s="2060"/>
      <c r="CB1760" s="2060"/>
      <c r="CC1760" s="2060"/>
      <c r="CD1760" s="2060"/>
      <c r="CE1760" s="2060"/>
      <c r="CF1760" s="2060"/>
      <c r="CG1760" s="2060"/>
      <c r="CH1760" s="2060"/>
      <c r="CI1760" s="2060"/>
      <c r="CJ1760" s="2060"/>
      <c r="CK1760" s="2060"/>
      <c r="CL1760" s="2060"/>
      <c r="CM1760" s="2060"/>
      <c r="CN1760" s="2060"/>
      <c r="CO1760" s="2060"/>
      <c r="CP1760" s="2060"/>
      <c r="CQ1760" s="2060"/>
      <c r="CR1760" s="2060"/>
      <c r="CS1760" s="2060"/>
      <c r="CT1760" s="2060"/>
      <c r="CU1760" s="2060"/>
      <c r="CV1760" s="2060"/>
      <c r="CW1760" s="2060"/>
      <c r="CX1760" s="2060"/>
      <c r="CY1760" s="2060"/>
      <c r="CZ1760" s="2060"/>
      <c r="DA1760" s="2060"/>
      <c r="DB1760" s="2060"/>
      <c r="DC1760" s="2060"/>
      <c r="DD1760" s="2060"/>
      <c r="DE1760" s="2060"/>
      <c r="DF1760" s="2060"/>
      <c r="DG1760" s="2060"/>
      <c r="DH1760" s="2060"/>
      <c r="DI1760" s="2060"/>
      <c r="DJ1760" s="2060"/>
      <c r="DK1760" s="2060"/>
      <c r="DL1760" s="2060"/>
      <c r="DM1760" s="2060"/>
      <c r="DN1760" s="2060"/>
      <c r="DO1760" s="2060"/>
      <c r="DP1760" s="2060"/>
      <c r="DQ1760" s="2060"/>
      <c r="DR1760" s="2060"/>
      <c r="DS1760" s="2060"/>
      <c r="DT1760" s="2060"/>
      <c r="DU1760" s="2060"/>
      <c r="DV1760" s="2060"/>
      <c r="DW1760" s="2060"/>
      <c r="DX1760" s="2060"/>
      <c r="DY1760" s="2060"/>
      <c r="DZ1760" s="2060"/>
      <c r="EA1760" s="2060"/>
      <c r="EB1760" s="2060"/>
      <c r="EC1760" s="2060"/>
      <c r="ED1760" s="2060"/>
      <c r="EE1760" s="2060"/>
      <c r="EF1760" s="2060"/>
      <c r="EG1760" s="2060"/>
      <c r="EH1760" s="2060"/>
      <c r="EI1760" s="2060"/>
      <c r="EJ1760" s="2060"/>
      <c r="EK1760" s="2060"/>
      <c r="EL1760" s="2060"/>
      <c r="EM1760" s="2060"/>
      <c r="EN1760" s="2060"/>
      <c r="EO1760" s="2060"/>
      <c r="EP1760" s="2060"/>
      <c r="EQ1760" s="2060"/>
      <c r="ER1760" s="2060"/>
      <c r="ES1760" s="2060"/>
      <c r="ET1760" s="2060"/>
      <c r="EU1760" s="2060"/>
      <c r="EV1760" s="2060"/>
      <c r="EW1760" s="2060"/>
      <c r="EX1760" s="2060"/>
      <c r="EY1760" s="2060"/>
      <c r="EZ1760" s="2060"/>
      <c r="FA1760" s="2060"/>
      <c r="FB1760" s="2060"/>
      <c r="FC1760" s="2060"/>
      <c r="FD1760" s="2060"/>
      <c r="FE1760" s="2060"/>
      <c r="FF1760" s="2060"/>
      <c r="FG1760" s="2060"/>
      <c r="FH1760" s="2060"/>
      <c r="FI1760" s="2060"/>
      <c r="FJ1760" s="2060"/>
      <c r="FK1760" s="2060"/>
      <c r="FL1760" s="2060"/>
      <c r="FM1760" s="2060"/>
      <c r="FN1760" s="2060"/>
      <c r="FO1760" s="2060"/>
      <c r="FP1760" s="2060"/>
      <c r="FQ1760" s="2060"/>
      <c r="FR1760" s="2060"/>
      <c r="FS1760" s="2060"/>
      <c r="FT1760" s="2060"/>
      <c r="FU1760" s="2060"/>
      <c r="FV1760" s="2060"/>
      <c r="FW1760" s="2060"/>
      <c r="FX1760" s="2060"/>
      <c r="FY1760" s="2060"/>
      <c r="FZ1760" s="2060"/>
      <c r="GA1760" s="2060"/>
      <c r="GB1760" s="2060"/>
      <c r="GC1760" s="2060"/>
      <c r="GD1760" s="2060"/>
      <c r="GE1760" s="2060"/>
      <c r="GF1760" s="2060"/>
      <c r="GG1760" s="2060"/>
      <c r="GH1760" s="2060"/>
      <c r="GI1760" s="2060"/>
      <c r="GJ1760" s="2060"/>
      <c r="GK1760" s="2060"/>
      <c r="GL1760" s="2060"/>
      <c r="GM1760" s="2060"/>
      <c r="GN1760" s="2060"/>
      <c r="GO1760" s="2060"/>
      <c r="GP1760" s="2060"/>
      <c r="GQ1760" s="2060"/>
      <c r="GR1760" s="2060"/>
      <c r="GS1760" s="2060"/>
      <c r="GT1760" s="2060"/>
      <c r="GU1760" s="2060"/>
      <c r="GV1760" s="2060"/>
      <c r="GW1760" s="2060"/>
      <c r="GX1760" s="2060"/>
      <c r="GY1760" s="2060"/>
      <c r="GZ1760" s="2060"/>
      <c r="HA1760" s="2060"/>
      <c r="HB1760" s="2060"/>
      <c r="HC1760" s="2060"/>
      <c r="HD1760" s="2060"/>
      <c r="HE1760" s="2060"/>
      <c r="HF1760" s="2060"/>
      <c r="HG1760" s="2060"/>
      <c r="HH1760" s="2060"/>
      <c r="HI1760" s="2060"/>
      <c r="HJ1760" s="2060"/>
      <c r="HK1760" s="2060"/>
      <c r="HL1760" s="2060"/>
      <c r="HM1760" s="2060"/>
      <c r="HN1760" s="2060"/>
      <c r="HO1760" s="2060"/>
      <c r="HP1760" s="2060"/>
      <c r="HQ1760" s="2060"/>
      <c r="HR1760" s="2060"/>
      <c r="HS1760" s="2060"/>
      <c r="HT1760" s="2060"/>
      <c r="HU1760" s="2060"/>
      <c r="HV1760" s="2060"/>
      <c r="HW1760" s="2060"/>
      <c r="HX1760" s="2060"/>
      <c r="HY1760" s="2060"/>
      <c r="HZ1760" s="2060"/>
      <c r="IA1760" s="2060"/>
      <c r="IB1760" s="2060"/>
      <c r="IC1760" s="2060"/>
      <c r="ID1760" s="2060"/>
      <c r="IE1760" s="2060"/>
      <c r="IF1760" s="2060"/>
      <c r="IG1760" s="2060"/>
      <c r="IH1760" s="2060"/>
      <c r="II1760" s="2060"/>
      <c r="IJ1760" s="2060"/>
      <c r="IK1760" s="2060"/>
      <c r="IL1760" s="2060"/>
      <c r="IM1760" s="2060"/>
      <c r="IN1760" s="2060"/>
      <c r="IO1760" s="2060"/>
      <c r="IP1760" s="2060"/>
      <c r="IQ1760" s="2060"/>
      <c r="IR1760" s="2060"/>
      <c r="IS1760" s="2060"/>
      <c r="IT1760" s="2060"/>
      <c r="IU1760" s="2060"/>
      <c r="IV1760" s="2060"/>
      <c r="IW1760" s="2060"/>
      <c r="IX1760" s="2060"/>
      <c r="IY1760" s="2060"/>
      <c r="IZ1760" s="2060"/>
      <c r="JA1760" s="2060"/>
      <c r="JB1760" s="2060"/>
      <c r="JC1760" s="2060"/>
      <c r="JD1760" s="2060"/>
      <c r="JE1760" s="2060"/>
      <c r="JF1760" s="2060"/>
      <c r="JG1760" s="2060"/>
      <c r="JH1760" s="2060"/>
      <c r="JI1760" s="2060"/>
      <c r="JJ1760" s="2060"/>
      <c r="JK1760" s="2060"/>
      <c r="JL1760" s="2060"/>
      <c r="JM1760" s="2060"/>
      <c r="JN1760" s="2060"/>
      <c r="JO1760" s="2060"/>
      <c r="JP1760" s="2060"/>
      <c r="JQ1760" s="2060"/>
      <c r="JR1760" s="2060"/>
      <c r="JS1760" s="2060"/>
      <c r="JT1760" s="2060"/>
      <c r="JU1760" s="2060"/>
      <c r="JV1760" s="2060"/>
      <c r="JW1760" s="2060"/>
      <c r="JX1760" s="2060"/>
      <c r="JY1760" s="2060"/>
      <c r="JZ1760" s="2060"/>
      <c r="KA1760" s="2060"/>
      <c r="KB1760" s="2060"/>
      <c r="KC1760" s="2060"/>
      <c r="KD1760" s="2060"/>
      <c r="KE1760" s="2060"/>
      <c r="KF1760" s="2060"/>
      <c r="KG1760" s="2060"/>
      <c r="KH1760" s="2060"/>
      <c r="KI1760" s="2060"/>
      <c r="KJ1760" s="2060"/>
      <c r="KK1760" s="2060"/>
      <c r="KL1760" s="2060"/>
      <c r="KM1760" s="2060"/>
      <c r="KN1760" s="2060"/>
      <c r="KO1760" s="2060"/>
      <c r="KP1760" s="2060"/>
      <c r="KQ1760" s="2060"/>
      <c r="KR1760" s="2060"/>
      <c r="KS1760" s="2060"/>
      <c r="KT1760" s="2060"/>
      <c r="KU1760" s="2060"/>
      <c r="KV1760" s="2060"/>
      <c r="KW1760" s="2060"/>
      <c r="KX1760" s="2060"/>
      <c r="KY1760" s="2060"/>
      <c r="KZ1760" s="2060"/>
      <c r="LA1760" s="2060"/>
      <c r="LB1760" s="2060"/>
      <c r="LC1760" s="2060"/>
      <c r="LD1760" s="2060"/>
      <c r="LE1760" s="2060"/>
      <c r="LF1760" s="2060"/>
      <c r="LG1760" s="2060"/>
      <c r="LH1760" s="2060"/>
    </row>
    <row r="1761" spans="1:320" s="449" customFormat="1" ht="13.9">
      <c r="A1761" s="2060"/>
      <c r="B1761" s="2060"/>
      <c r="C1761" s="2060"/>
      <c r="D1761" s="2060"/>
      <c r="E1761" s="508">
        <v>0</v>
      </c>
      <c r="F1761" s="1453" t="str">
        <f>F$128</f>
        <v/>
      </c>
      <c r="G1761" s="1454">
        <f>G$128</f>
        <v>0</v>
      </c>
      <c r="H1761" s="1455" t="str">
        <f>H$128</f>
        <v>USD</v>
      </c>
      <c r="I1761" s="507" t="s">
        <v>794</v>
      </c>
      <c r="J1761" s="2196" t="str">
        <f>IF($G1761=0,"",IFERROR(_xll.ciqfunctions.udf.CIQ($G1761,$I1761,J$1557,Valuation_Date_GC,ReportType,DataMode,$H1761,FXMode),"n/a"))</f>
        <v/>
      </c>
      <c r="K1761" s="2196" t="str">
        <f>IF($G1761=0,"",IFERROR(_xll.ciqfunctions.udf.CIQ($G1761,$I1761,K$1557,Valuation_Date_GC,ReportType,DataMode,$H1761,FXMode),"n/a"))</f>
        <v/>
      </c>
      <c r="L1761" s="2196" t="str">
        <f>IF($G1761=0,"",IFERROR(_xll.ciqfunctions.udf.CIQ($G1761,$I1761,L$1557,Valuation_Date_GC,ReportType,DataMode,$H1761,FXMode),"n/a"))</f>
        <v/>
      </c>
      <c r="M1761" s="2196" t="str">
        <f>IF($G1761=0,"",IFERROR(_xll.ciqfunctions.udf.CIQ($G1761,$I1761,M$1557,Valuation_Date_GC,ReportType,DataMode,$H1761,FXMode),"n/a"))</f>
        <v/>
      </c>
      <c r="N1761" s="2196" t="str">
        <f>IF($G1761=0,"",IFERROR(_xll.ciqfunctions.udf.CIQ($G1761,$I1761,N$1557,Valuation_Date_GC,ReportType,DataMode,$H1761,FXMode),"n/a"))</f>
        <v/>
      </c>
      <c r="O1761" s="2196" t="str">
        <f>IF($G1761=0,"",IFERROR(_xll.ciqfunctions.udf.CIQ($G1761,$I1761,O$1557,Valuation_Date_GC,ReportType,DataMode,$H1761,FXMode),"n/a"))</f>
        <v/>
      </c>
      <c r="P1761" s="2196" t="str">
        <f>IF($G1761=0,"",IFERROR(_xll.ciqfunctions.udf.CIQ($G1761,$I1761,P$1557,Valuation_Date_GC,ReportType,DataMode,$H1761,FXMode),"n/a"))</f>
        <v/>
      </c>
      <c r="Q1761" s="2196" t="str">
        <f>IF($G1761=0,"",IFERROR(_xll.ciqfunctions.udf.CIQ($G1761,$I1761,Q$1557,Valuation_Date_GC,ReportType,DataMode,$H1761,FXMode),"n/a"))</f>
        <v/>
      </c>
      <c r="R1761" s="2196" t="str">
        <f>IF($G1761=0,"",IFERROR(_xll.ciqfunctions.udf.CIQ($G1761,$I1761,R$1557,Valuation_Date_GC,ReportType,DataMode,$H1761,FXMode),"n/a"))</f>
        <v/>
      </c>
      <c r="S1761" s="2196" t="str">
        <f>IF($G1761=0,"",IFERROR(_xll.ciqfunctions.udf.CIQ($G1761,$I1761,S$1557,Valuation_Date_GC,ReportType,DataMode,$H1761,FXMode),"n/a"))</f>
        <v/>
      </c>
      <c r="T1761" s="2196" t="str">
        <f>IF($G1761=0,"",IFERROR(_xll.ciqfunctions.udf.CIQ($G1761,$I1761,T$1557,Valuation_Date_GC,ReportType,DataMode,$H1761,FXMode),"n/a"))</f>
        <v/>
      </c>
      <c r="U1761" s="2196" t="str">
        <f>IF($G1761=0,"",IFERROR(_xll.ciqfunctions.udf.CIQ($G1761,$I1761,U$1557,Valuation_Date_GC,ReportType,DataMode,$H1761,FXMode),"n/a"))</f>
        <v/>
      </c>
      <c r="V1761" s="2196" t="str">
        <f>IF($G1761=0,"",IFERROR(_xll.ciqfunctions.udf.CIQ($G1761,$I1761,V$1557,Valuation_Date_GC,ReportType,DataMode,$H1761,FXMode),"n/a"))</f>
        <v/>
      </c>
      <c r="W1761" s="1479"/>
      <c r="X1761" s="255"/>
      <c r="Y1761" s="89"/>
      <c r="Z1761" s="2060"/>
      <c r="AA1761" s="2060"/>
      <c r="AB1761" s="2060"/>
      <c r="AC1761" s="2060"/>
      <c r="AD1761" s="2060"/>
      <c r="AE1761" s="2060"/>
      <c r="AF1761" s="2060"/>
      <c r="AG1761" s="2060"/>
      <c r="AH1761" s="2060"/>
      <c r="AI1761" s="2060"/>
      <c r="AJ1761" s="2060"/>
      <c r="AK1761" s="2060"/>
      <c r="AL1761" s="2060"/>
      <c r="AM1761" s="2060"/>
      <c r="AN1761" s="2060"/>
      <c r="AO1761" s="2060"/>
      <c r="AP1761" s="2060"/>
      <c r="AQ1761" s="2060"/>
      <c r="AR1761" s="2060"/>
      <c r="AS1761" s="2060"/>
      <c r="AT1761" s="2060"/>
      <c r="AU1761" s="2060"/>
      <c r="AV1761" s="2060"/>
      <c r="AW1761" s="2060"/>
      <c r="AX1761" s="2060"/>
      <c r="AY1761" s="2060"/>
      <c r="AZ1761" s="2060"/>
      <c r="BA1761" s="2060"/>
      <c r="BB1761" s="2060"/>
      <c r="BC1761" s="2060"/>
      <c r="BD1761" s="2060"/>
      <c r="BE1761" s="2060"/>
      <c r="BF1761" s="2060"/>
      <c r="BG1761" s="2060"/>
      <c r="BH1761" s="2060"/>
      <c r="BI1761" s="2060"/>
      <c r="BJ1761" s="2060"/>
      <c r="BK1761" s="2060"/>
      <c r="BL1761" s="2060"/>
      <c r="BM1761" s="2060"/>
      <c r="BN1761" s="2060"/>
      <c r="BO1761" s="2060"/>
      <c r="BP1761" s="2060"/>
      <c r="BQ1761" s="2060"/>
      <c r="BR1761" s="2060"/>
      <c r="BS1761" s="2060"/>
      <c r="BT1761" s="2060"/>
      <c r="BU1761" s="2060"/>
      <c r="BV1761" s="2060"/>
      <c r="BW1761" s="2060"/>
      <c r="BX1761" s="2060"/>
      <c r="BY1761" s="2060"/>
      <c r="BZ1761" s="2060"/>
      <c r="CA1761" s="2060"/>
      <c r="CB1761" s="2060"/>
      <c r="CC1761" s="2060"/>
      <c r="CD1761" s="2060"/>
      <c r="CE1761" s="2060"/>
      <c r="CF1761" s="2060"/>
      <c r="CG1761" s="2060"/>
      <c r="CH1761" s="2060"/>
      <c r="CI1761" s="2060"/>
      <c r="CJ1761" s="2060"/>
      <c r="CK1761" s="2060"/>
      <c r="CL1761" s="2060"/>
      <c r="CM1761" s="2060"/>
      <c r="CN1761" s="2060"/>
      <c r="CO1761" s="2060"/>
      <c r="CP1761" s="2060"/>
      <c r="CQ1761" s="2060"/>
      <c r="CR1761" s="2060"/>
      <c r="CS1761" s="2060"/>
      <c r="CT1761" s="2060"/>
      <c r="CU1761" s="2060"/>
      <c r="CV1761" s="2060"/>
      <c r="CW1761" s="2060"/>
      <c r="CX1761" s="2060"/>
      <c r="CY1761" s="2060"/>
      <c r="CZ1761" s="2060"/>
      <c r="DA1761" s="2060"/>
      <c r="DB1761" s="2060"/>
      <c r="DC1761" s="2060"/>
      <c r="DD1761" s="2060"/>
      <c r="DE1761" s="2060"/>
      <c r="DF1761" s="2060"/>
      <c r="DG1761" s="2060"/>
      <c r="DH1761" s="2060"/>
      <c r="DI1761" s="2060"/>
      <c r="DJ1761" s="2060"/>
      <c r="DK1761" s="2060"/>
      <c r="DL1761" s="2060"/>
      <c r="DM1761" s="2060"/>
      <c r="DN1761" s="2060"/>
      <c r="DO1761" s="2060"/>
      <c r="DP1761" s="2060"/>
      <c r="DQ1761" s="2060"/>
      <c r="DR1761" s="2060"/>
      <c r="DS1761" s="2060"/>
      <c r="DT1761" s="2060"/>
      <c r="DU1761" s="2060"/>
      <c r="DV1761" s="2060"/>
      <c r="DW1761" s="2060"/>
      <c r="DX1761" s="2060"/>
      <c r="DY1761" s="2060"/>
      <c r="DZ1761" s="2060"/>
      <c r="EA1761" s="2060"/>
      <c r="EB1761" s="2060"/>
      <c r="EC1761" s="2060"/>
      <c r="ED1761" s="2060"/>
      <c r="EE1761" s="2060"/>
      <c r="EF1761" s="2060"/>
      <c r="EG1761" s="2060"/>
      <c r="EH1761" s="2060"/>
      <c r="EI1761" s="2060"/>
      <c r="EJ1761" s="2060"/>
      <c r="EK1761" s="2060"/>
      <c r="EL1761" s="2060"/>
      <c r="EM1761" s="2060"/>
      <c r="EN1761" s="2060"/>
      <c r="EO1761" s="2060"/>
      <c r="EP1761" s="2060"/>
      <c r="EQ1761" s="2060"/>
      <c r="ER1761" s="2060"/>
      <c r="ES1761" s="2060"/>
      <c r="ET1761" s="2060"/>
      <c r="EU1761" s="2060"/>
      <c r="EV1761" s="2060"/>
      <c r="EW1761" s="2060"/>
      <c r="EX1761" s="2060"/>
      <c r="EY1761" s="2060"/>
      <c r="EZ1761" s="2060"/>
      <c r="FA1761" s="2060"/>
      <c r="FB1761" s="2060"/>
      <c r="FC1761" s="2060"/>
      <c r="FD1761" s="2060"/>
      <c r="FE1761" s="2060"/>
      <c r="FF1761" s="2060"/>
      <c r="FG1761" s="2060"/>
      <c r="FH1761" s="2060"/>
      <c r="FI1761" s="2060"/>
      <c r="FJ1761" s="2060"/>
      <c r="FK1761" s="2060"/>
      <c r="FL1761" s="2060"/>
      <c r="FM1761" s="2060"/>
      <c r="FN1761" s="2060"/>
      <c r="FO1761" s="2060"/>
      <c r="FP1761" s="2060"/>
      <c r="FQ1761" s="2060"/>
      <c r="FR1761" s="2060"/>
      <c r="FS1761" s="2060"/>
      <c r="FT1761" s="2060"/>
      <c r="FU1761" s="2060"/>
      <c r="FV1761" s="2060"/>
      <c r="FW1761" s="2060"/>
      <c r="FX1761" s="2060"/>
      <c r="FY1761" s="2060"/>
      <c r="FZ1761" s="2060"/>
      <c r="GA1761" s="2060"/>
      <c r="GB1761" s="2060"/>
      <c r="GC1761" s="2060"/>
      <c r="GD1761" s="2060"/>
      <c r="GE1761" s="2060"/>
      <c r="GF1761" s="2060"/>
      <c r="GG1761" s="2060"/>
      <c r="GH1761" s="2060"/>
      <c r="GI1761" s="2060"/>
      <c r="GJ1761" s="2060"/>
      <c r="GK1761" s="2060"/>
      <c r="GL1761" s="2060"/>
      <c r="GM1761" s="2060"/>
      <c r="GN1761" s="2060"/>
      <c r="GO1761" s="2060"/>
      <c r="GP1761" s="2060"/>
      <c r="GQ1761" s="2060"/>
      <c r="GR1761" s="2060"/>
      <c r="GS1761" s="2060"/>
      <c r="GT1761" s="2060"/>
      <c r="GU1761" s="2060"/>
      <c r="GV1761" s="2060"/>
      <c r="GW1761" s="2060"/>
      <c r="GX1761" s="2060"/>
      <c r="GY1761" s="2060"/>
      <c r="GZ1761" s="2060"/>
      <c r="HA1761" s="2060"/>
      <c r="HB1761" s="2060"/>
      <c r="HC1761" s="2060"/>
      <c r="HD1761" s="2060"/>
      <c r="HE1761" s="2060"/>
      <c r="HF1761" s="2060"/>
      <c r="HG1761" s="2060"/>
      <c r="HH1761" s="2060"/>
      <c r="HI1761" s="2060"/>
      <c r="HJ1761" s="2060"/>
      <c r="HK1761" s="2060"/>
      <c r="HL1761" s="2060"/>
      <c r="HM1761" s="2060"/>
      <c r="HN1761" s="2060"/>
      <c r="HO1761" s="2060"/>
      <c r="HP1761" s="2060"/>
      <c r="HQ1761" s="2060"/>
      <c r="HR1761" s="2060"/>
      <c r="HS1761" s="2060"/>
      <c r="HT1761" s="2060"/>
      <c r="HU1761" s="2060"/>
      <c r="HV1761" s="2060"/>
      <c r="HW1761" s="2060"/>
      <c r="HX1761" s="2060"/>
      <c r="HY1761" s="2060"/>
      <c r="HZ1761" s="2060"/>
      <c r="IA1761" s="2060"/>
      <c r="IB1761" s="2060"/>
      <c r="IC1761" s="2060"/>
      <c r="ID1761" s="2060"/>
      <c r="IE1761" s="2060"/>
      <c r="IF1761" s="2060"/>
      <c r="IG1761" s="2060"/>
      <c r="IH1761" s="2060"/>
      <c r="II1761" s="2060"/>
      <c r="IJ1761" s="2060"/>
      <c r="IK1761" s="2060"/>
      <c r="IL1761" s="2060"/>
      <c r="IM1761" s="2060"/>
      <c r="IN1761" s="2060"/>
      <c r="IO1761" s="2060"/>
      <c r="IP1761" s="2060"/>
      <c r="IQ1761" s="2060"/>
      <c r="IR1761" s="2060"/>
      <c r="IS1761" s="2060"/>
      <c r="IT1761" s="2060"/>
      <c r="IU1761" s="2060"/>
      <c r="IV1761" s="2060"/>
      <c r="IW1761" s="2060"/>
      <c r="IX1761" s="2060"/>
      <c r="IY1761" s="2060"/>
      <c r="IZ1761" s="2060"/>
      <c r="JA1761" s="2060"/>
      <c r="JB1761" s="2060"/>
      <c r="JC1761" s="2060"/>
      <c r="JD1761" s="2060"/>
      <c r="JE1761" s="2060"/>
      <c r="JF1761" s="2060"/>
      <c r="JG1761" s="2060"/>
      <c r="JH1761" s="2060"/>
      <c r="JI1761" s="2060"/>
      <c r="JJ1761" s="2060"/>
      <c r="JK1761" s="2060"/>
      <c r="JL1761" s="2060"/>
      <c r="JM1761" s="2060"/>
      <c r="JN1761" s="2060"/>
      <c r="JO1761" s="2060"/>
      <c r="JP1761" s="2060"/>
      <c r="JQ1761" s="2060"/>
      <c r="JR1761" s="2060"/>
      <c r="JS1761" s="2060"/>
      <c r="JT1761" s="2060"/>
      <c r="JU1761" s="2060"/>
      <c r="JV1761" s="2060"/>
      <c r="JW1761" s="2060"/>
      <c r="JX1761" s="2060"/>
      <c r="JY1761" s="2060"/>
      <c r="JZ1761" s="2060"/>
      <c r="KA1761" s="2060"/>
      <c r="KB1761" s="2060"/>
      <c r="KC1761" s="2060"/>
      <c r="KD1761" s="2060"/>
      <c r="KE1761" s="2060"/>
      <c r="KF1761" s="2060"/>
      <c r="KG1761" s="2060"/>
      <c r="KH1761" s="2060"/>
      <c r="KI1761" s="2060"/>
      <c r="KJ1761" s="2060"/>
      <c r="KK1761" s="2060"/>
      <c r="KL1761" s="2060"/>
      <c r="KM1761" s="2060"/>
      <c r="KN1761" s="2060"/>
      <c r="KO1761" s="2060"/>
      <c r="KP1761" s="2060"/>
      <c r="KQ1761" s="2060"/>
      <c r="KR1761" s="2060"/>
      <c r="KS1761" s="2060"/>
      <c r="KT1761" s="2060"/>
      <c r="KU1761" s="2060"/>
      <c r="KV1761" s="2060"/>
      <c r="KW1761" s="2060"/>
      <c r="KX1761" s="2060"/>
      <c r="KY1761" s="2060"/>
      <c r="KZ1761" s="2060"/>
      <c r="LA1761" s="2060"/>
      <c r="LB1761" s="2060"/>
      <c r="LC1761" s="2060"/>
      <c r="LD1761" s="2060"/>
      <c r="LE1761" s="2060"/>
      <c r="LF1761" s="2060"/>
      <c r="LG1761" s="2060"/>
      <c r="LH1761" s="2060"/>
    </row>
    <row r="1762" spans="1:320" s="449" customFormat="1" ht="13.9">
      <c r="A1762" s="269" t="str">
        <f>IF(F1762="--","n","")</f>
        <v>n</v>
      </c>
      <c r="B1762" s="2060"/>
      <c r="C1762" s="2060"/>
      <c r="D1762" s="2060"/>
      <c r="E1762" s="1661">
        <v>1</v>
      </c>
      <c r="F1762" s="1353" t="str">
        <f>F$129</f>
        <v>--</v>
      </c>
      <c r="G1762" s="128">
        <f>G$129</f>
        <v>0</v>
      </c>
      <c r="H1762" s="128" t="str">
        <f>H$129</f>
        <v>--</v>
      </c>
      <c r="I1762" s="89" t="s">
        <v>794</v>
      </c>
      <c r="J1762" s="2197" t="str">
        <f>IF($G1762=0,"",IFERROR(_xll.ciqfunctions.udf.CIQ($G1762,$I1762,J$1557,Valuation_Date_GC,ReportType,DataMode,$H1762,FXMode),"n/a"))</f>
        <v/>
      </c>
      <c r="K1762" s="2197" t="str">
        <f>IF($G1762=0,"",IFERROR(_xll.ciqfunctions.udf.CIQ($G1762,$I1762,K$1557,Valuation_Date_GC,ReportType,DataMode,$H1762,FXMode),"n/a"))</f>
        <v/>
      </c>
      <c r="L1762" s="2197" t="str">
        <f>IF($G1762=0,"",IFERROR(_xll.ciqfunctions.udf.CIQ($G1762,$I1762,L$1557,Valuation_Date_GC,ReportType,DataMode,$H1762,FXMode),"n/a"))</f>
        <v/>
      </c>
      <c r="M1762" s="2197" t="str">
        <f>IF($G1762=0,"",IFERROR(_xll.ciqfunctions.udf.CIQ($G1762,$I1762,M$1557,Valuation_Date_GC,ReportType,DataMode,$H1762,FXMode),"n/a"))</f>
        <v/>
      </c>
      <c r="N1762" s="2197" t="str">
        <f>IF($G1762=0,"",IFERROR(_xll.ciqfunctions.udf.CIQ($G1762,$I1762,N$1557,Valuation_Date_GC,ReportType,DataMode,$H1762,FXMode),"n/a"))</f>
        <v/>
      </c>
      <c r="O1762" s="2197" t="str">
        <f>IF($G1762=0,"",IFERROR(_xll.ciqfunctions.udf.CIQ($G1762,$I1762,O$1557,Valuation_Date_GC,ReportType,DataMode,$H1762,FXMode),"n/a"))</f>
        <v/>
      </c>
      <c r="P1762" s="2197" t="str">
        <f>IF($G1762=0,"",IFERROR(_xll.ciqfunctions.udf.CIQ($G1762,$I1762,P$1557,Valuation_Date_GC,ReportType,DataMode,$H1762,FXMode),"n/a"))</f>
        <v/>
      </c>
      <c r="Q1762" s="2197" t="str">
        <f>IF($G1762=0,"",IFERROR(_xll.ciqfunctions.udf.CIQ($G1762,$I1762,Q$1557,Valuation_Date_GC,ReportType,DataMode,$H1762,FXMode),"n/a"))</f>
        <v/>
      </c>
      <c r="R1762" s="2197" t="str">
        <f>IF($G1762=0,"",IFERROR(_xll.ciqfunctions.udf.CIQ($G1762,$I1762,R$1557,Valuation_Date_GC,ReportType,DataMode,$H1762,FXMode),"n/a"))</f>
        <v/>
      </c>
      <c r="S1762" s="2197" t="str">
        <f>IF($G1762=0,"",IFERROR(_xll.ciqfunctions.udf.CIQ($G1762,$I1762,S$1557,Valuation_Date_GC,ReportType,DataMode,$H1762,FXMode),"n/a"))</f>
        <v/>
      </c>
      <c r="T1762" s="2197" t="str">
        <f>IF($G1762=0,"",IFERROR(_xll.ciqfunctions.udf.CIQ($G1762,$I1762,T$1557,Valuation_Date_GC,ReportType,DataMode,$H1762,FXMode),"n/a"))</f>
        <v/>
      </c>
      <c r="U1762" s="2197" t="str">
        <f>IF($G1762=0,"",IFERROR(_xll.ciqfunctions.udf.CIQ($G1762,$I1762,U$1557,Valuation_Date_GC,ReportType,DataMode,$H1762,FXMode),"n/a"))</f>
        <v/>
      </c>
      <c r="V1762" s="2197" t="str">
        <f>IF($G1762=0,"",IFERROR(_xll.ciqfunctions.udf.CIQ($G1762,$I1762,V$1557,Valuation_Date_GC,ReportType,DataMode,$H1762,FXMode),"n/a"))</f>
        <v/>
      </c>
      <c r="W1762" s="1479"/>
      <c r="X1762" s="255"/>
      <c r="Y1762" s="89"/>
      <c r="Z1762" s="2060"/>
      <c r="AA1762" s="2060"/>
      <c r="AB1762" s="2060"/>
      <c r="AC1762" s="2060"/>
      <c r="AD1762" s="2060"/>
      <c r="AE1762" s="2060"/>
      <c r="AF1762" s="2060"/>
      <c r="AG1762" s="2060"/>
      <c r="AH1762" s="2060"/>
      <c r="AI1762" s="2060"/>
      <c r="AJ1762" s="2060"/>
      <c r="AK1762" s="2060"/>
      <c r="AL1762" s="2060"/>
      <c r="AM1762" s="2060"/>
      <c r="AN1762" s="2060"/>
      <c r="AO1762" s="2060"/>
      <c r="AP1762" s="2060"/>
      <c r="AQ1762" s="2060"/>
      <c r="AR1762" s="2060"/>
      <c r="AS1762" s="2060"/>
      <c r="AT1762" s="2060"/>
      <c r="AU1762" s="2060"/>
      <c r="AV1762" s="2060"/>
      <c r="AW1762" s="2060"/>
      <c r="AX1762" s="2060"/>
      <c r="AY1762" s="2060"/>
      <c r="AZ1762" s="2060"/>
      <c r="BA1762" s="2060"/>
      <c r="BB1762" s="2060"/>
      <c r="BC1762" s="2060"/>
      <c r="BD1762" s="2060"/>
      <c r="BE1762" s="2060"/>
      <c r="BF1762" s="2060"/>
      <c r="BG1762" s="2060"/>
      <c r="BH1762" s="2060"/>
      <c r="BI1762" s="2060"/>
      <c r="BJ1762" s="2060"/>
      <c r="BK1762" s="2060"/>
      <c r="BL1762" s="2060"/>
      <c r="BM1762" s="2060"/>
      <c r="BN1762" s="2060"/>
      <c r="BO1762" s="2060"/>
      <c r="BP1762" s="2060"/>
      <c r="BQ1762" s="2060"/>
      <c r="BR1762" s="2060"/>
      <c r="BS1762" s="2060"/>
      <c r="BT1762" s="2060"/>
      <c r="BU1762" s="2060"/>
      <c r="BV1762" s="2060"/>
      <c r="BW1762" s="2060"/>
      <c r="BX1762" s="2060"/>
      <c r="BY1762" s="2060"/>
      <c r="BZ1762" s="2060"/>
      <c r="CA1762" s="2060"/>
      <c r="CB1762" s="2060"/>
      <c r="CC1762" s="2060"/>
      <c r="CD1762" s="2060"/>
      <c r="CE1762" s="2060"/>
      <c r="CF1762" s="2060"/>
      <c r="CG1762" s="2060"/>
      <c r="CH1762" s="2060"/>
      <c r="CI1762" s="2060"/>
      <c r="CJ1762" s="2060"/>
      <c r="CK1762" s="2060"/>
      <c r="CL1762" s="2060"/>
      <c r="CM1762" s="2060"/>
      <c r="CN1762" s="2060"/>
      <c r="CO1762" s="2060"/>
      <c r="CP1762" s="2060"/>
      <c r="CQ1762" s="2060"/>
      <c r="CR1762" s="2060"/>
      <c r="CS1762" s="2060"/>
      <c r="CT1762" s="2060"/>
      <c r="CU1762" s="2060"/>
      <c r="CV1762" s="2060"/>
      <c r="CW1762" s="2060"/>
      <c r="CX1762" s="2060"/>
      <c r="CY1762" s="2060"/>
      <c r="CZ1762" s="2060"/>
      <c r="DA1762" s="2060"/>
      <c r="DB1762" s="2060"/>
      <c r="DC1762" s="2060"/>
      <c r="DD1762" s="2060"/>
      <c r="DE1762" s="2060"/>
      <c r="DF1762" s="2060"/>
      <c r="DG1762" s="2060"/>
      <c r="DH1762" s="2060"/>
      <c r="DI1762" s="2060"/>
      <c r="DJ1762" s="2060"/>
      <c r="DK1762" s="2060"/>
      <c r="DL1762" s="2060"/>
      <c r="DM1762" s="2060"/>
      <c r="DN1762" s="2060"/>
      <c r="DO1762" s="2060"/>
      <c r="DP1762" s="2060"/>
      <c r="DQ1762" s="2060"/>
      <c r="DR1762" s="2060"/>
      <c r="DS1762" s="2060"/>
      <c r="DT1762" s="2060"/>
      <c r="DU1762" s="2060"/>
      <c r="DV1762" s="2060"/>
      <c r="DW1762" s="2060"/>
      <c r="DX1762" s="2060"/>
      <c r="DY1762" s="2060"/>
      <c r="DZ1762" s="2060"/>
      <c r="EA1762" s="2060"/>
      <c r="EB1762" s="2060"/>
      <c r="EC1762" s="2060"/>
      <c r="ED1762" s="2060"/>
      <c r="EE1762" s="2060"/>
      <c r="EF1762" s="2060"/>
      <c r="EG1762" s="2060"/>
      <c r="EH1762" s="2060"/>
      <c r="EI1762" s="2060"/>
      <c r="EJ1762" s="2060"/>
      <c r="EK1762" s="2060"/>
      <c r="EL1762" s="2060"/>
      <c r="EM1762" s="2060"/>
      <c r="EN1762" s="2060"/>
      <c r="EO1762" s="2060"/>
      <c r="EP1762" s="2060"/>
      <c r="EQ1762" s="2060"/>
      <c r="ER1762" s="2060"/>
      <c r="ES1762" s="2060"/>
      <c r="ET1762" s="2060"/>
      <c r="EU1762" s="2060"/>
      <c r="EV1762" s="2060"/>
      <c r="EW1762" s="2060"/>
      <c r="EX1762" s="2060"/>
      <c r="EY1762" s="2060"/>
      <c r="EZ1762" s="2060"/>
      <c r="FA1762" s="2060"/>
      <c r="FB1762" s="2060"/>
      <c r="FC1762" s="2060"/>
      <c r="FD1762" s="2060"/>
      <c r="FE1762" s="2060"/>
      <c r="FF1762" s="2060"/>
      <c r="FG1762" s="2060"/>
      <c r="FH1762" s="2060"/>
      <c r="FI1762" s="2060"/>
      <c r="FJ1762" s="2060"/>
      <c r="FK1762" s="2060"/>
      <c r="FL1762" s="2060"/>
      <c r="FM1762" s="2060"/>
      <c r="FN1762" s="2060"/>
      <c r="FO1762" s="2060"/>
      <c r="FP1762" s="2060"/>
      <c r="FQ1762" s="2060"/>
      <c r="FR1762" s="2060"/>
      <c r="FS1762" s="2060"/>
      <c r="FT1762" s="2060"/>
      <c r="FU1762" s="2060"/>
      <c r="FV1762" s="2060"/>
      <c r="FW1762" s="2060"/>
      <c r="FX1762" s="2060"/>
      <c r="FY1762" s="2060"/>
      <c r="FZ1762" s="2060"/>
      <c r="GA1762" s="2060"/>
      <c r="GB1762" s="2060"/>
      <c r="GC1762" s="2060"/>
      <c r="GD1762" s="2060"/>
      <c r="GE1762" s="2060"/>
      <c r="GF1762" s="2060"/>
      <c r="GG1762" s="2060"/>
      <c r="GH1762" s="2060"/>
      <c r="GI1762" s="2060"/>
      <c r="GJ1762" s="2060"/>
      <c r="GK1762" s="2060"/>
      <c r="GL1762" s="2060"/>
      <c r="GM1762" s="2060"/>
      <c r="GN1762" s="2060"/>
      <c r="GO1762" s="2060"/>
      <c r="GP1762" s="2060"/>
      <c r="GQ1762" s="2060"/>
      <c r="GR1762" s="2060"/>
      <c r="GS1762" s="2060"/>
      <c r="GT1762" s="2060"/>
      <c r="GU1762" s="2060"/>
      <c r="GV1762" s="2060"/>
      <c r="GW1762" s="2060"/>
      <c r="GX1762" s="2060"/>
      <c r="GY1762" s="2060"/>
      <c r="GZ1762" s="2060"/>
      <c r="HA1762" s="2060"/>
      <c r="HB1762" s="2060"/>
      <c r="HC1762" s="2060"/>
      <c r="HD1762" s="2060"/>
      <c r="HE1762" s="2060"/>
      <c r="HF1762" s="2060"/>
      <c r="HG1762" s="2060"/>
      <c r="HH1762" s="2060"/>
      <c r="HI1762" s="2060"/>
      <c r="HJ1762" s="2060"/>
      <c r="HK1762" s="2060"/>
      <c r="HL1762" s="2060"/>
      <c r="HM1762" s="2060"/>
      <c r="HN1762" s="2060"/>
      <c r="HO1762" s="2060"/>
      <c r="HP1762" s="2060"/>
      <c r="HQ1762" s="2060"/>
      <c r="HR1762" s="2060"/>
      <c r="HS1762" s="2060"/>
      <c r="HT1762" s="2060"/>
      <c r="HU1762" s="2060"/>
      <c r="HV1762" s="2060"/>
      <c r="HW1762" s="2060"/>
      <c r="HX1762" s="2060"/>
      <c r="HY1762" s="2060"/>
      <c r="HZ1762" s="2060"/>
      <c r="IA1762" s="2060"/>
      <c r="IB1762" s="2060"/>
      <c r="IC1762" s="2060"/>
      <c r="ID1762" s="2060"/>
      <c r="IE1762" s="2060"/>
      <c r="IF1762" s="2060"/>
      <c r="IG1762" s="2060"/>
      <c r="IH1762" s="2060"/>
      <c r="II1762" s="2060"/>
      <c r="IJ1762" s="2060"/>
      <c r="IK1762" s="2060"/>
      <c r="IL1762" s="2060"/>
      <c r="IM1762" s="2060"/>
      <c r="IN1762" s="2060"/>
      <c r="IO1762" s="2060"/>
      <c r="IP1762" s="2060"/>
      <c r="IQ1762" s="2060"/>
      <c r="IR1762" s="2060"/>
      <c r="IS1762" s="2060"/>
      <c r="IT1762" s="2060"/>
      <c r="IU1762" s="2060"/>
      <c r="IV1762" s="2060"/>
      <c r="IW1762" s="2060"/>
      <c r="IX1762" s="2060"/>
      <c r="IY1762" s="2060"/>
      <c r="IZ1762" s="2060"/>
      <c r="JA1762" s="2060"/>
      <c r="JB1762" s="2060"/>
      <c r="JC1762" s="2060"/>
      <c r="JD1762" s="2060"/>
      <c r="JE1762" s="2060"/>
      <c r="JF1762" s="2060"/>
      <c r="JG1762" s="2060"/>
      <c r="JH1762" s="2060"/>
      <c r="JI1762" s="2060"/>
      <c r="JJ1762" s="2060"/>
      <c r="JK1762" s="2060"/>
      <c r="JL1762" s="2060"/>
      <c r="JM1762" s="2060"/>
      <c r="JN1762" s="2060"/>
      <c r="JO1762" s="2060"/>
      <c r="JP1762" s="2060"/>
      <c r="JQ1762" s="2060"/>
      <c r="JR1762" s="2060"/>
      <c r="JS1762" s="2060"/>
      <c r="JT1762" s="2060"/>
      <c r="JU1762" s="2060"/>
      <c r="JV1762" s="2060"/>
      <c r="JW1762" s="2060"/>
      <c r="JX1762" s="2060"/>
      <c r="JY1762" s="2060"/>
      <c r="JZ1762" s="2060"/>
      <c r="KA1762" s="2060"/>
      <c r="KB1762" s="2060"/>
      <c r="KC1762" s="2060"/>
      <c r="KD1762" s="2060"/>
      <c r="KE1762" s="2060"/>
      <c r="KF1762" s="2060"/>
      <c r="KG1762" s="2060"/>
      <c r="KH1762" s="2060"/>
      <c r="KI1762" s="2060"/>
      <c r="KJ1762" s="2060"/>
      <c r="KK1762" s="2060"/>
      <c r="KL1762" s="2060"/>
      <c r="KM1762" s="2060"/>
      <c r="KN1762" s="2060"/>
      <c r="KO1762" s="2060"/>
      <c r="KP1762" s="2060"/>
      <c r="KQ1762" s="2060"/>
      <c r="KR1762" s="2060"/>
      <c r="KS1762" s="2060"/>
      <c r="KT1762" s="2060"/>
      <c r="KU1762" s="2060"/>
      <c r="KV1762" s="2060"/>
      <c r="KW1762" s="2060"/>
      <c r="KX1762" s="2060"/>
      <c r="KY1762" s="2060"/>
      <c r="KZ1762" s="2060"/>
      <c r="LA1762" s="2060"/>
      <c r="LB1762" s="2060"/>
      <c r="LC1762" s="2060"/>
      <c r="LD1762" s="2060"/>
      <c r="LE1762" s="2060"/>
      <c r="LF1762" s="2060"/>
      <c r="LG1762" s="2060"/>
      <c r="LH1762" s="2060"/>
    </row>
    <row r="1763" spans="1:320" s="449" customFormat="1" ht="13.9">
      <c r="A1763" s="269" t="str">
        <f t="shared" ref="A1763:A1786" si="477">IF(F1763="--","n","")</f>
        <v>n</v>
      </c>
      <c r="B1763" s="2060"/>
      <c r="C1763" s="2060"/>
      <c r="D1763" s="2060"/>
      <c r="E1763" s="1661">
        <v>2</v>
      </c>
      <c r="F1763" s="1353" t="str">
        <f>F$130</f>
        <v>--</v>
      </c>
      <c r="G1763" s="128">
        <f>G$130</f>
        <v>0</v>
      </c>
      <c r="H1763" s="128" t="str">
        <f>H$130</f>
        <v>--</v>
      </c>
      <c r="I1763" s="89" t="s">
        <v>794</v>
      </c>
      <c r="J1763" s="2197" t="str">
        <f>IF($G1763=0,"",IFERROR(_xll.ciqfunctions.udf.CIQ($G1763,$I1763,J$1557,Valuation_Date_GC,ReportType,DataMode,$H1763,FXMode),"n/a"))</f>
        <v/>
      </c>
      <c r="K1763" s="2197" t="str">
        <f>IF($G1763=0,"",IFERROR(_xll.ciqfunctions.udf.CIQ($G1763,$I1763,K$1557,Valuation_Date_GC,ReportType,DataMode,$H1763,FXMode),"n/a"))</f>
        <v/>
      </c>
      <c r="L1763" s="2197" t="str">
        <f>IF($G1763=0,"",IFERROR(_xll.ciqfunctions.udf.CIQ($G1763,$I1763,L$1557,Valuation_Date_GC,ReportType,DataMode,$H1763,FXMode),"n/a"))</f>
        <v/>
      </c>
      <c r="M1763" s="2197" t="str">
        <f>IF($G1763=0,"",IFERROR(_xll.ciqfunctions.udf.CIQ($G1763,$I1763,M$1557,Valuation_Date_GC,ReportType,DataMode,$H1763,FXMode),"n/a"))</f>
        <v/>
      </c>
      <c r="N1763" s="2197" t="str">
        <f>IF($G1763=0,"",IFERROR(_xll.ciqfunctions.udf.CIQ($G1763,$I1763,N$1557,Valuation_Date_GC,ReportType,DataMode,$H1763,FXMode),"n/a"))</f>
        <v/>
      </c>
      <c r="O1763" s="2197" t="str">
        <f>IF($G1763=0,"",IFERROR(_xll.ciqfunctions.udf.CIQ($G1763,$I1763,O$1557,Valuation_Date_GC,ReportType,DataMode,$H1763,FXMode),"n/a"))</f>
        <v/>
      </c>
      <c r="P1763" s="2197" t="str">
        <f>IF($G1763=0,"",IFERROR(_xll.ciqfunctions.udf.CIQ($G1763,$I1763,P$1557,Valuation_Date_GC,ReportType,DataMode,$H1763,FXMode),"n/a"))</f>
        <v/>
      </c>
      <c r="Q1763" s="2197" t="str">
        <f>IF($G1763=0,"",IFERROR(_xll.ciqfunctions.udf.CIQ($G1763,$I1763,Q$1557,Valuation_Date_GC,ReportType,DataMode,$H1763,FXMode),"n/a"))</f>
        <v/>
      </c>
      <c r="R1763" s="2197" t="str">
        <f>IF($G1763=0,"",IFERROR(_xll.ciqfunctions.udf.CIQ($G1763,$I1763,R$1557,Valuation_Date_GC,ReportType,DataMode,$H1763,FXMode),"n/a"))</f>
        <v/>
      </c>
      <c r="S1763" s="2197" t="str">
        <f>IF($G1763=0,"",IFERROR(_xll.ciqfunctions.udf.CIQ($G1763,$I1763,S$1557,Valuation_Date_GC,ReportType,DataMode,$H1763,FXMode),"n/a"))</f>
        <v/>
      </c>
      <c r="T1763" s="2197" t="str">
        <f>IF($G1763=0,"",IFERROR(_xll.ciqfunctions.udf.CIQ($G1763,$I1763,T$1557,Valuation_Date_GC,ReportType,DataMode,$H1763,FXMode),"n/a"))</f>
        <v/>
      </c>
      <c r="U1763" s="2197" t="str">
        <f>IF($G1763=0,"",IFERROR(_xll.ciqfunctions.udf.CIQ($G1763,$I1763,U$1557,Valuation_Date_GC,ReportType,DataMode,$H1763,FXMode),"n/a"))</f>
        <v/>
      </c>
      <c r="V1763" s="2197" t="str">
        <f>IF($G1763=0,"",IFERROR(_xll.ciqfunctions.udf.CIQ($G1763,$I1763,V$1557,Valuation_Date_GC,ReportType,DataMode,$H1763,FXMode),"n/a"))</f>
        <v/>
      </c>
      <c r="W1763" s="1479"/>
      <c r="X1763" s="255"/>
      <c r="Y1763" s="89"/>
      <c r="Z1763" s="2060"/>
      <c r="AA1763" s="2060"/>
      <c r="AB1763" s="2060"/>
      <c r="AC1763" s="2060"/>
      <c r="AD1763" s="2060"/>
      <c r="AE1763" s="2060"/>
      <c r="AF1763" s="2060"/>
      <c r="AG1763" s="2060"/>
      <c r="AH1763" s="2060"/>
      <c r="AI1763" s="2060"/>
      <c r="AJ1763" s="2060"/>
      <c r="AK1763" s="2060"/>
      <c r="AL1763" s="2060"/>
      <c r="AM1763" s="2060"/>
      <c r="AN1763" s="2060"/>
      <c r="AO1763" s="2060"/>
      <c r="AP1763" s="2060"/>
      <c r="AQ1763" s="2060"/>
      <c r="AR1763" s="2060"/>
      <c r="AS1763" s="2060"/>
      <c r="AT1763" s="2060"/>
      <c r="AU1763" s="2060"/>
      <c r="AV1763" s="2060"/>
      <c r="AW1763" s="2060"/>
      <c r="AX1763" s="2060"/>
      <c r="AY1763" s="2060"/>
      <c r="AZ1763" s="2060"/>
      <c r="BA1763" s="2060"/>
      <c r="BB1763" s="2060"/>
      <c r="BC1763" s="2060"/>
      <c r="BD1763" s="2060"/>
      <c r="BE1763" s="2060"/>
      <c r="BF1763" s="2060"/>
      <c r="BG1763" s="2060"/>
      <c r="BH1763" s="2060"/>
      <c r="BI1763" s="2060"/>
      <c r="BJ1763" s="2060"/>
      <c r="BK1763" s="2060"/>
      <c r="BL1763" s="2060"/>
      <c r="BM1763" s="2060"/>
      <c r="BN1763" s="2060"/>
      <c r="BO1763" s="2060"/>
      <c r="BP1763" s="2060"/>
      <c r="BQ1763" s="2060"/>
      <c r="BR1763" s="2060"/>
      <c r="BS1763" s="2060"/>
      <c r="BT1763" s="2060"/>
      <c r="BU1763" s="2060"/>
      <c r="BV1763" s="2060"/>
      <c r="BW1763" s="2060"/>
      <c r="BX1763" s="2060"/>
      <c r="BY1763" s="2060"/>
      <c r="BZ1763" s="2060"/>
      <c r="CA1763" s="2060"/>
      <c r="CB1763" s="2060"/>
      <c r="CC1763" s="2060"/>
      <c r="CD1763" s="2060"/>
      <c r="CE1763" s="2060"/>
      <c r="CF1763" s="2060"/>
      <c r="CG1763" s="2060"/>
      <c r="CH1763" s="2060"/>
      <c r="CI1763" s="2060"/>
      <c r="CJ1763" s="2060"/>
      <c r="CK1763" s="2060"/>
      <c r="CL1763" s="2060"/>
      <c r="CM1763" s="2060"/>
      <c r="CN1763" s="2060"/>
      <c r="CO1763" s="2060"/>
      <c r="CP1763" s="2060"/>
      <c r="CQ1763" s="2060"/>
      <c r="CR1763" s="2060"/>
      <c r="CS1763" s="2060"/>
      <c r="CT1763" s="2060"/>
      <c r="CU1763" s="2060"/>
      <c r="CV1763" s="2060"/>
      <c r="CW1763" s="2060"/>
      <c r="CX1763" s="2060"/>
      <c r="CY1763" s="2060"/>
      <c r="CZ1763" s="2060"/>
      <c r="DA1763" s="2060"/>
      <c r="DB1763" s="2060"/>
      <c r="DC1763" s="2060"/>
      <c r="DD1763" s="2060"/>
      <c r="DE1763" s="2060"/>
      <c r="DF1763" s="2060"/>
      <c r="DG1763" s="2060"/>
      <c r="DH1763" s="2060"/>
      <c r="DI1763" s="2060"/>
      <c r="DJ1763" s="2060"/>
      <c r="DK1763" s="2060"/>
      <c r="DL1763" s="2060"/>
      <c r="DM1763" s="2060"/>
      <c r="DN1763" s="2060"/>
      <c r="DO1763" s="2060"/>
      <c r="DP1763" s="2060"/>
      <c r="DQ1763" s="2060"/>
      <c r="DR1763" s="2060"/>
      <c r="DS1763" s="2060"/>
      <c r="DT1763" s="2060"/>
      <c r="DU1763" s="2060"/>
      <c r="DV1763" s="2060"/>
      <c r="DW1763" s="2060"/>
      <c r="DX1763" s="2060"/>
      <c r="DY1763" s="2060"/>
      <c r="DZ1763" s="2060"/>
      <c r="EA1763" s="2060"/>
      <c r="EB1763" s="2060"/>
      <c r="EC1763" s="2060"/>
      <c r="ED1763" s="2060"/>
      <c r="EE1763" s="2060"/>
      <c r="EF1763" s="2060"/>
      <c r="EG1763" s="2060"/>
      <c r="EH1763" s="2060"/>
      <c r="EI1763" s="2060"/>
      <c r="EJ1763" s="2060"/>
      <c r="EK1763" s="2060"/>
      <c r="EL1763" s="2060"/>
      <c r="EM1763" s="2060"/>
      <c r="EN1763" s="2060"/>
      <c r="EO1763" s="2060"/>
      <c r="EP1763" s="2060"/>
      <c r="EQ1763" s="2060"/>
      <c r="ER1763" s="2060"/>
      <c r="ES1763" s="2060"/>
      <c r="ET1763" s="2060"/>
      <c r="EU1763" s="2060"/>
      <c r="EV1763" s="2060"/>
      <c r="EW1763" s="2060"/>
      <c r="EX1763" s="2060"/>
      <c r="EY1763" s="2060"/>
      <c r="EZ1763" s="2060"/>
      <c r="FA1763" s="2060"/>
      <c r="FB1763" s="2060"/>
      <c r="FC1763" s="2060"/>
      <c r="FD1763" s="2060"/>
      <c r="FE1763" s="2060"/>
      <c r="FF1763" s="2060"/>
      <c r="FG1763" s="2060"/>
      <c r="FH1763" s="2060"/>
      <c r="FI1763" s="2060"/>
      <c r="FJ1763" s="2060"/>
      <c r="FK1763" s="2060"/>
      <c r="FL1763" s="2060"/>
      <c r="FM1763" s="2060"/>
      <c r="FN1763" s="2060"/>
      <c r="FO1763" s="2060"/>
      <c r="FP1763" s="2060"/>
      <c r="FQ1763" s="2060"/>
      <c r="FR1763" s="2060"/>
      <c r="FS1763" s="2060"/>
      <c r="FT1763" s="2060"/>
      <c r="FU1763" s="2060"/>
      <c r="FV1763" s="2060"/>
      <c r="FW1763" s="2060"/>
      <c r="FX1763" s="2060"/>
      <c r="FY1763" s="2060"/>
      <c r="FZ1763" s="2060"/>
      <c r="GA1763" s="2060"/>
      <c r="GB1763" s="2060"/>
      <c r="GC1763" s="2060"/>
      <c r="GD1763" s="2060"/>
      <c r="GE1763" s="2060"/>
      <c r="GF1763" s="2060"/>
      <c r="GG1763" s="2060"/>
      <c r="GH1763" s="2060"/>
      <c r="GI1763" s="2060"/>
      <c r="GJ1763" s="2060"/>
      <c r="GK1763" s="2060"/>
      <c r="GL1763" s="2060"/>
      <c r="GM1763" s="2060"/>
      <c r="GN1763" s="2060"/>
      <c r="GO1763" s="2060"/>
      <c r="GP1763" s="2060"/>
      <c r="GQ1763" s="2060"/>
      <c r="GR1763" s="2060"/>
      <c r="GS1763" s="2060"/>
      <c r="GT1763" s="2060"/>
      <c r="GU1763" s="2060"/>
      <c r="GV1763" s="2060"/>
      <c r="GW1763" s="2060"/>
      <c r="GX1763" s="2060"/>
      <c r="GY1763" s="2060"/>
      <c r="GZ1763" s="2060"/>
      <c r="HA1763" s="2060"/>
      <c r="HB1763" s="2060"/>
      <c r="HC1763" s="2060"/>
      <c r="HD1763" s="2060"/>
      <c r="HE1763" s="2060"/>
      <c r="HF1763" s="2060"/>
      <c r="HG1763" s="2060"/>
      <c r="HH1763" s="2060"/>
      <c r="HI1763" s="2060"/>
      <c r="HJ1763" s="2060"/>
      <c r="HK1763" s="2060"/>
      <c r="HL1763" s="2060"/>
      <c r="HM1763" s="2060"/>
      <c r="HN1763" s="2060"/>
      <c r="HO1763" s="2060"/>
      <c r="HP1763" s="2060"/>
      <c r="HQ1763" s="2060"/>
      <c r="HR1763" s="2060"/>
      <c r="HS1763" s="2060"/>
      <c r="HT1763" s="2060"/>
      <c r="HU1763" s="2060"/>
      <c r="HV1763" s="2060"/>
      <c r="HW1763" s="2060"/>
      <c r="HX1763" s="2060"/>
      <c r="HY1763" s="2060"/>
      <c r="HZ1763" s="2060"/>
      <c r="IA1763" s="2060"/>
      <c r="IB1763" s="2060"/>
      <c r="IC1763" s="2060"/>
      <c r="ID1763" s="2060"/>
      <c r="IE1763" s="2060"/>
      <c r="IF1763" s="2060"/>
      <c r="IG1763" s="2060"/>
      <c r="IH1763" s="2060"/>
      <c r="II1763" s="2060"/>
      <c r="IJ1763" s="2060"/>
      <c r="IK1763" s="2060"/>
      <c r="IL1763" s="2060"/>
      <c r="IM1763" s="2060"/>
      <c r="IN1763" s="2060"/>
      <c r="IO1763" s="2060"/>
      <c r="IP1763" s="2060"/>
      <c r="IQ1763" s="2060"/>
      <c r="IR1763" s="2060"/>
      <c r="IS1763" s="2060"/>
      <c r="IT1763" s="2060"/>
      <c r="IU1763" s="2060"/>
      <c r="IV1763" s="2060"/>
      <c r="IW1763" s="2060"/>
      <c r="IX1763" s="2060"/>
      <c r="IY1763" s="2060"/>
      <c r="IZ1763" s="2060"/>
      <c r="JA1763" s="2060"/>
      <c r="JB1763" s="2060"/>
      <c r="JC1763" s="2060"/>
      <c r="JD1763" s="2060"/>
      <c r="JE1763" s="2060"/>
      <c r="JF1763" s="2060"/>
      <c r="JG1763" s="2060"/>
      <c r="JH1763" s="2060"/>
      <c r="JI1763" s="2060"/>
      <c r="JJ1763" s="2060"/>
      <c r="JK1763" s="2060"/>
      <c r="JL1763" s="2060"/>
      <c r="JM1763" s="2060"/>
      <c r="JN1763" s="2060"/>
      <c r="JO1763" s="2060"/>
      <c r="JP1763" s="2060"/>
      <c r="JQ1763" s="2060"/>
      <c r="JR1763" s="2060"/>
      <c r="JS1763" s="2060"/>
      <c r="JT1763" s="2060"/>
      <c r="JU1763" s="2060"/>
      <c r="JV1763" s="2060"/>
      <c r="JW1763" s="2060"/>
      <c r="JX1763" s="2060"/>
      <c r="JY1763" s="2060"/>
      <c r="JZ1763" s="2060"/>
      <c r="KA1763" s="2060"/>
      <c r="KB1763" s="2060"/>
      <c r="KC1763" s="2060"/>
      <c r="KD1763" s="2060"/>
      <c r="KE1763" s="2060"/>
      <c r="KF1763" s="2060"/>
      <c r="KG1763" s="2060"/>
      <c r="KH1763" s="2060"/>
      <c r="KI1763" s="2060"/>
      <c r="KJ1763" s="2060"/>
      <c r="KK1763" s="2060"/>
      <c r="KL1763" s="2060"/>
      <c r="KM1763" s="2060"/>
      <c r="KN1763" s="2060"/>
      <c r="KO1763" s="2060"/>
      <c r="KP1763" s="2060"/>
      <c r="KQ1763" s="2060"/>
      <c r="KR1763" s="2060"/>
      <c r="KS1763" s="2060"/>
      <c r="KT1763" s="2060"/>
      <c r="KU1763" s="2060"/>
      <c r="KV1763" s="2060"/>
      <c r="KW1763" s="2060"/>
      <c r="KX1763" s="2060"/>
      <c r="KY1763" s="2060"/>
      <c r="KZ1763" s="2060"/>
      <c r="LA1763" s="2060"/>
      <c r="LB1763" s="2060"/>
      <c r="LC1763" s="2060"/>
      <c r="LD1763" s="2060"/>
      <c r="LE1763" s="2060"/>
      <c r="LF1763" s="2060"/>
      <c r="LG1763" s="2060"/>
      <c r="LH1763" s="2060"/>
    </row>
    <row r="1764" spans="1:320" s="449" customFormat="1" ht="13.9">
      <c r="A1764" s="269" t="str">
        <f t="shared" si="477"/>
        <v>n</v>
      </c>
      <c r="B1764" s="2060"/>
      <c r="C1764" s="2060"/>
      <c r="D1764" s="2060"/>
      <c r="E1764" s="1661">
        <v>3</v>
      </c>
      <c r="F1764" s="1353" t="str">
        <f>F$131</f>
        <v>--</v>
      </c>
      <c r="G1764" s="128">
        <f>G$131</f>
        <v>0</v>
      </c>
      <c r="H1764" s="128" t="str">
        <f>H$131</f>
        <v>--</v>
      </c>
      <c r="I1764" s="89" t="s">
        <v>794</v>
      </c>
      <c r="J1764" s="2197" t="str">
        <f>IF($G1764=0,"",IFERROR(_xll.ciqfunctions.udf.CIQ($G1764,$I1764,J$1557,Valuation_Date_GC,ReportType,DataMode,$H1764,FXMode),"n/a"))</f>
        <v/>
      </c>
      <c r="K1764" s="2197" t="str">
        <f>IF($G1764=0,"",IFERROR(_xll.ciqfunctions.udf.CIQ($G1764,$I1764,K$1557,Valuation_Date_GC,ReportType,DataMode,$H1764,FXMode),"n/a"))</f>
        <v/>
      </c>
      <c r="L1764" s="2197" t="str">
        <f>IF($G1764=0,"",IFERROR(_xll.ciqfunctions.udf.CIQ($G1764,$I1764,L$1557,Valuation_Date_GC,ReportType,DataMode,$H1764,FXMode),"n/a"))</f>
        <v/>
      </c>
      <c r="M1764" s="2197" t="str">
        <f>IF($G1764=0,"",IFERROR(_xll.ciqfunctions.udf.CIQ($G1764,$I1764,M$1557,Valuation_Date_GC,ReportType,DataMode,$H1764,FXMode),"n/a"))</f>
        <v/>
      </c>
      <c r="N1764" s="2197" t="str">
        <f>IF($G1764=0,"",IFERROR(_xll.ciqfunctions.udf.CIQ($G1764,$I1764,N$1557,Valuation_Date_GC,ReportType,DataMode,$H1764,FXMode),"n/a"))</f>
        <v/>
      </c>
      <c r="O1764" s="2197" t="str">
        <f>IF($G1764=0,"",IFERROR(_xll.ciqfunctions.udf.CIQ($G1764,$I1764,O$1557,Valuation_Date_GC,ReportType,DataMode,$H1764,FXMode),"n/a"))</f>
        <v/>
      </c>
      <c r="P1764" s="2197" t="str">
        <f>IF($G1764=0,"",IFERROR(_xll.ciqfunctions.udf.CIQ($G1764,$I1764,P$1557,Valuation_Date_GC,ReportType,DataMode,$H1764,FXMode),"n/a"))</f>
        <v/>
      </c>
      <c r="Q1764" s="2197" t="str">
        <f>IF($G1764=0,"",IFERROR(_xll.ciqfunctions.udf.CIQ($G1764,$I1764,Q$1557,Valuation_Date_GC,ReportType,DataMode,$H1764,FXMode),"n/a"))</f>
        <v/>
      </c>
      <c r="R1764" s="2197" t="str">
        <f>IF($G1764=0,"",IFERROR(_xll.ciqfunctions.udf.CIQ($G1764,$I1764,R$1557,Valuation_Date_GC,ReportType,DataMode,$H1764,FXMode),"n/a"))</f>
        <v/>
      </c>
      <c r="S1764" s="2197" t="str">
        <f>IF($G1764=0,"",IFERROR(_xll.ciqfunctions.udf.CIQ($G1764,$I1764,S$1557,Valuation_Date_GC,ReportType,DataMode,$H1764,FXMode),"n/a"))</f>
        <v/>
      </c>
      <c r="T1764" s="2197" t="str">
        <f>IF($G1764=0,"",IFERROR(_xll.ciqfunctions.udf.CIQ($G1764,$I1764,T$1557,Valuation_Date_GC,ReportType,DataMode,$H1764,FXMode),"n/a"))</f>
        <v/>
      </c>
      <c r="U1764" s="2197" t="str">
        <f>IF($G1764=0,"",IFERROR(_xll.ciqfunctions.udf.CIQ($G1764,$I1764,U$1557,Valuation_Date_GC,ReportType,DataMode,$H1764,FXMode),"n/a"))</f>
        <v/>
      </c>
      <c r="V1764" s="2197" t="str">
        <f>IF($G1764=0,"",IFERROR(_xll.ciqfunctions.udf.CIQ($G1764,$I1764,V$1557,Valuation_Date_GC,ReportType,DataMode,$H1764,FXMode),"n/a"))</f>
        <v/>
      </c>
      <c r="W1764" s="1479"/>
      <c r="X1764" s="255"/>
      <c r="Y1764" s="89"/>
      <c r="Z1764" s="2060"/>
      <c r="AA1764" s="2060"/>
      <c r="AB1764" s="2060"/>
      <c r="AC1764" s="2060"/>
      <c r="AD1764" s="2060"/>
      <c r="AE1764" s="2060"/>
      <c r="AF1764" s="2060"/>
      <c r="AG1764" s="2060"/>
      <c r="AH1764" s="2060"/>
      <c r="AI1764" s="2060"/>
      <c r="AJ1764" s="2060"/>
      <c r="AK1764" s="2060"/>
      <c r="AL1764" s="2060"/>
      <c r="AM1764" s="2060"/>
      <c r="AN1764" s="2060"/>
      <c r="AO1764" s="2060"/>
      <c r="AP1764" s="2060"/>
      <c r="AQ1764" s="2060"/>
      <c r="AR1764" s="2060"/>
      <c r="AS1764" s="2060"/>
      <c r="AT1764" s="2060"/>
      <c r="AU1764" s="2060"/>
      <c r="AV1764" s="2060"/>
      <c r="AW1764" s="2060"/>
      <c r="AX1764" s="2060"/>
      <c r="AY1764" s="2060"/>
      <c r="AZ1764" s="2060"/>
      <c r="BA1764" s="2060"/>
      <c r="BB1764" s="2060"/>
      <c r="BC1764" s="2060"/>
      <c r="BD1764" s="2060"/>
      <c r="BE1764" s="2060"/>
      <c r="BF1764" s="2060"/>
      <c r="BG1764" s="2060"/>
      <c r="BH1764" s="2060"/>
      <c r="BI1764" s="2060"/>
      <c r="BJ1764" s="2060"/>
      <c r="BK1764" s="2060"/>
      <c r="BL1764" s="2060"/>
      <c r="BM1764" s="2060"/>
      <c r="BN1764" s="2060"/>
      <c r="BO1764" s="2060"/>
      <c r="BP1764" s="2060"/>
      <c r="BQ1764" s="2060"/>
      <c r="BR1764" s="2060"/>
      <c r="BS1764" s="2060"/>
      <c r="BT1764" s="2060"/>
      <c r="BU1764" s="2060"/>
      <c r="BV1764" s="2060"/>
      <c r="BW1764" s="2060"/>
      <c r="BX1764" s="2060"/>
      <c r="BY1764" s="2060"/>
      <c r="BZ1764" s="2060"/>
      <c r="CA1764" s="2060"/>
      <c r="CB1764" s="2060"/>
      <c r="CC1764" s="2060"/>
      <c r="CD1764" s="2060"/>
      <c r="CE1764" s="2060"/>
      <c r="CF1764" s="2060"/>
      <c r="CG1764" s="2060"/>
      <c r="CH1764" s="2060"/>
      <c r="CI1764" s="2060"/>
      <c r="CJ1764" s="2060"/>
      <c r="CK1764" s="2060"/>
      <c r="CL1764" s="2060"/>
      <c r="CM1764" s="2060"/>
      <c r="CN1764" s="2060"/>
      <c r="CO1764" s="2060"/>
      <c r="CP1764" s="2060"/>
      <c r="CQ1764" s="2060"/>
      <c r="CR1764" s="2060"/>
      <c r="CS1764" s="2060"/>
      <c r="CT1764" s="2060"/>
      <c r="CU1764" s="2060"/>
      <c r="CV1764" s="2060"/>
      <c r="CW1764" s="2060"/>
      <c r="CX1764" s="2060"/>
      <c r="CY1764" s="2060"/>
      <c r="CZ1764" s="2060"/>
      <c r="DA1764" s="2060"/>
      <c r="DB1764" s="2060"/>
      <c r="DC1764" s="2060"/>
      <c r="DD1764" s="2060"/>
      <c r="DE1764" s="2060"/>
      <c r="DF1764" s="2060"/>
      <c r="DG1764" s="2060"/>
      <c r="DH1764" s="2060"/>
      <c r="DI1764" s="2060"/>
      <c r="DJ1764" s="2060"/>
      <c r="DK1764" s="2060"/>
      <c r="DL1764" s="2060"/>
      <c r="DM1764" s="2060"/>
      <c r="DN1764" s="2060"/>
      <c r="DO1764" s="2060"/>
      <c r="DP1764" s="2060"/>
      <c r="DQ1764" s="2060"/>
      <c r="DR1764" s="2060"/>
      <c r="DS1764" s="2060"/>
      <c r="DT1764" s="2060"/>
      <c r="DU1764" s="2060"/>
      <c r="DV1764" s="2060"/>
      <c r="DW1764" s="2060"/>
      <c r="DX1764" s="2060"/>
      <c r="DY1764" s="2060"/>
      <c r="DZ1764" s="2060"/>
      <c r="EA1764" s="2060"/>
      <c r="EB1764" s="2060"/>
      <c r="EC1764" s="2060"/>
      <c r="ED1764" s="2060"/>
      <c r="EE1764" s="2060"/>
      <c r="EF1764" s="2060"/>
      <c r="EG1764" s="2060"/>
      <c r="EH1764" s="2060"/>
      <c r="EI1764" s="2060"/>
      <c r="EJ1764" s="2060"/>
      <c r="EK1764" s="2060"/>
      <c r="EL1764" s="2060"/>
      <c r="EM1764" s="2060"/>
      <c r="EN1764" s="2060"/>
      <c r="EO1764" s="2060"/>
      <c r="EP1764" s="2060"/>
      <c r="EQ1764" s="2060"/>
      <c r="ER1764" s="2060"/>
      <c r="ES1764" s="2060"/>
      <c r="ET1764" s="2060"/>
      <c r="EU1764" s="2060"/>
      <c r="EV1764" s="2060"/>
      <c r="EW1764" s="2060"/>
      <c r="EX1764" s="2060"/>
      <c r="EY1764" s="2060"/>
      <c r="EZ1764" s="2060"/>
      <c r="FA1764" s="2060"/>
      <c r="FB1764" s="2060"/>
      <c r="FC1764" s="2060"/>
      <c r="FD1764" s="2060"/>
      <c r="FE1764" s="2060"/>
      <c r="FF1764" s="2060"/>
      <c r="FG1764" s="2060"/>
      <c r="FH1764" s="2060"/>
      <c r="FI1764" s="2060"/>
      <c r="FJ1764" s="2060"/>
      <c r="FK1764" s="2060"/>
      <c r="FL1764" s="2060"/>
      <c r="FM1764" s="2060"/>
      <c r="FN1764" s="2060"/>
      <c r="FO1764" s="2060"/>
      <c r="FP1764" s="2060"/>
      <c r="FQ1764" s="2060"/>
      <c r="FR1764" s="2060"/>
      <c r="FS1764" s="2060"/>
      <c r="FT1764" s="2060"/>
      <c r="FU1764" s="2060"/>
      <c r="FV1764" s="2060"/>
      <c r="FW1764" s="2060"/>
      <c r="FX1764" s="2060"/>
      <c r="FY1764" s="2060"/>
      <c r="FZ1764" s="2060"/>
      <c r="GA1764" s="2060"/>
      <c r="GB1764" s="2060"/>
      <c r="GC1764" s="2060"/>
      <c r="GD1764" s="2060"/>
      <c r="GE1764" s="2060"/>
      <c r="GF1764" s="2060"/>
      <c r="GG1764" s="2060"/>
      <c r="GH1764" s="2060"/>
      <c r="GI1764" s="2060"/>
      <c r="GJ1764" s="2060"/>
      <c r="GK1764" s="2060"/>
      <c r="GL1764" s="2060"/>
      <c r="GM1764" s="2060"/>
      <c r="GN1764" s="2060"/>
      <c r="GO1764" s="2060"/>
      <c r="GP1764" s="2060"/>
      <c r="GQ1764" s="2060"/>
      <c r="GR1764" s="2060"/>
      <c r="GS1764" s="2060"/>
      <c r="GT1764" s="2060"/>
      <c r="GU1764" s="2060"/>
      <c r="GV1764" s="2060"/>
      <c r="GW1764" s="2060"/>
      <c r="GX1764" s="2060"/>
      <c r="GY1764" s="2060"/>
      <c r="GZ1764" s="2060"/>
      <c r="HA1764" s="2060"/>
      <c r="HB1764" s="2060"/>
      <c r="HC1764" s="2060"/>
      <c r="HD1764" s="2060"/>
      <c r="HE1764" s="2060"/>
      <c r="HF1764" s="2060"/>
      <c r="HG1764" s="2060"/>
      <c r="HH1764" s="2060"/>
      <c r="HI1764" s="2060"/>
      <c r="HJ1764" s="2060"/>
      <c r="HK1764" s="2060"/>
      <c r="HL1764" s="2060"/>
      <c r="HM1764" s="2060"/>
      <c r="HN1764" s="2060"/>
      <c r="HO1764" s="2060"/>
      <c r="HP1764" s="2060"/>
      <c r="HQ1764" s="2060"/>
      <c r="HR1764" s="2060"/>
      <c r="HS1764" s="2060"/>
      <c r="HT1764" s="2060"/>
      <c r="HU1764" s="2060"/>
      <c r="HV1764" s="2060"/>
      <c r="HW1764" s="2060"/>
      <c r="HX1764" s="2060"/>
      <c r="HY1764" s="2060"/>
      <c r="HZ1764" s="2060"/>
      <c r="IA1764" s="2060"/>
      <c r="IB1764" s="2060"/>
      <c r="IC1764" s="2060"/>
      <c r="ID1764" s="2060"/>
      <c r="IE1764" s="2060"/>
      <c r="IF1764" s="2060"/>
      <c r="IG1764" s="2060"/>
      <c r="IH1764" s="2060"/>
      <c r="II1764" s="2060"/>
      <c r="IJ1764" s="2060"/>
      <c r="IK1764" s="2060"/>
      <c r="IL1764" s="2060"/>
      <c r="IM1764" s="2060"/>
      <c r="IN1764" s="2060"/>
      <c r="IO1764" s="2060"/>
      <c r="IP1764" s="2060"/>
      <c r="IQ1764" s="2060"/>
      <c r="IR1764" s="2060"/>
      <c r="IS1764" s="2060"/>
      <c r="IT1764" s="2060"/>
      <c r="IU1764" s="2060"/>
      <c r="IV1764" s="2060"/>
      <c r="IW1764" s="2060"/>
      <c r="IX1764" s="2060"/>
      <c r="IY1764" s="2060"/>
      <c r="IZ1764" s="2060"/>
      <c r="JA1764" s="2060"/>
      <c r="JB1764" s="2060"/>
      <c r="JC1764" s="2060"/>
      <c r="JD1764" s="2060"/>
      <c r="JE1764" s="2060"/>
      <c r="JF1764" s="2060"/>
      <c r="JG1764" s="2060"/>
      <c r="JH1764" s="2060"/>
      <c r="JI1764" s="2060"/>
      <c r="JJ1764" s="2060"/>
      <c r="JK1764" s="2060"/>
      <c r="JL1764" s="2060"/>
      <c r="JM1764" s="2060"/>
      <c r="JN1764" s="2060"/>
      <c r="JO1764" s="2060"/>
      <c r="JP1764" s="2060"/>
      <c r="JQ1764" s="2060"/>
      <c r="JR1764" s="2060"/>
      <c r="JS1764" s="2060"/>
      <c r="JT1764" s="2060"/>
      <c r="JU1764" s="2060"/>
      <c r="JV1764" s="2060"/>
      <c r="JW1764" s="2060"/>
      <c r="JX1764" s="2060"/>
      <c r="JY1764" s="2060"/>
      <c r="JZ1764" s="2060"/>
      <c r="KA1764" s="2060"/>
      <c r="KB1764" s="2060"/>
      <c r="KC1764" s="2060"/>
      <c r="KD1764" s="2060"/>
      <c r="KE1764" s="2060"/>
      <c r="KF1764" s="2060"/>
      <c r="KG1764" s="2060"/>
      <c r="KH1764" s="2060"/>
      <c r="KI1764" s="2060"/>
      <c r="KJ1764" s="2060"/>
      <c r="KK1764" s="2060"/>
      <c r="KL1764" s="2060"/>
      <c r="KM1764" s="2060"/>
      <c r="KN1764" s="2060"/>
      <c r="KO1764" s="2060"/>
      <c r="KP1764" s="2060"/>
      <c r="KQ1764" s="2060"/>
      <c r="KR1764" s="2060"/>
      <c r="KS1764" s="2060"/>
      <c r="KT1764" s="2060"/>
      <c r="KU1764" s="2060"/>
      <c r="KV1764" s="2060"/>
      <c r="KW1764" s="2060"/>
      <c r="KX1764" s="2060"/>
      <c r="KY1764" s="2060"/>
      <c r="KZ1764" s="2060"/>
      <c r="LA1764" s="2060"/>
      <c r="LB1764" s="2060"/>
      <c r="LC1764" s="2060"/>
      <c r="LD1764" s="2060"/>
      <c r="LE1764" s="2060"/>
      <c r="LF1764" s="2060"/>
      <c r="LG1764" s="2060"/>
      <c r="LH1764" s="2060"/>
    </row>
    <row r="1765" spans="1:320" s="449" customFormat="1" ht="13.9">
      <c r="A1765" s="269" t="str">
        <f t="shared" si="477"/>
        <v>n</v>
      </c>
      <c r="B1765" s="2060"/>
      <c r="C1765" s="2060"/>
      <c r="D1765" s="2060"/>
      <c r="E1765" s="1661">
        <v>4</v>
      </c>
      <c r="F1765" s="1353" t="str">
        <f>F$132</f>
        <v>--</v>
      </c>
      <c r="G1765" s="128">
        <f>G$132</f>
        <v>0</v>
      </c>
      <c r="H1765" s="128" t="str">
        <f>H$132</f>
        <v>--</v>
      </c>
      <c r="I1765" s="89" t="s">
        <v>794</v>
      </c>
      <c r="J1765" s="2197" t="str">
        <f>IF($G1765=0,"",IFERROR(_xll.ciqfunctions.udf.CIQ($G1765,$I1765,J$1557,Valuation_Date_GC,ReportType,DataMode,$H1765,FXMode),"n/a"))</f>
        <v/>
      </c>
      <c r="K1765" s="2197" t="str">
        <f>IF($G1765=0,"",IFERROR(_xll.ciqfunctions.udf.CIQ($G1765,$I1765,K$1557,Valuation_Date_GC,ReportType,DataMode,$H1765,FXMode),"n/a"))</f>
        <v/>
      </c>
      <c r="L1765" s="2197" t="str">
        <f>IF($G1765=0,"",IFERROR(_xll.ciqfunctions.udf.CIQ($G1765,$I1765,L$1557,Valuation_Date_GC,ReportType,DataMode,$H1765,FXMode),"n/a"))</f>
        <v/>
      </c>
      <c r="M1765" s="2197" t="str">
        <f>IF($G1765=0,"",IFERROR(_xll.ciqfunctions.udf.CIQ($G1765,$I1765,M$1557,Valuation_Date_GC,ReportType,DataMode,$H1765,FXMode),"n/a"))</f>
        <v/>
      </c>
      <c r="N1765" s="2197" t="str">
        <f>IF($G1765=0,"",IFERROR(_xll.ciqfunctions.udf.CIQ($G1765,$I1765,N$1557,Valuation_Date_GC,ReportType,DataMode,$H1765,FXMode),"n/a"))</f>
        <v/>
      </c>
      <c r="O1765" s="2197" t="str">
        <f>IF($G1765=0,"",IFERROR(_xll.ciqfunctions.udf.CIQ($G1765,$I1765,O$1557,Valuation_Date_GC,ReportType,DataMode,$H1765,FXMode),"n/a"))</f>
        <v/>
      </c>
      <c r="P1765" s="2197" t="str">
        <f>IF($G1765=0,"",IFERROR(_xll.ciqfunctions.udf.CIQ($G1765,$I1765,P$1557,Valuation_Date_GC,ReportType,DataMode,$H1765,FXMode),"n/a"))</f>
        <v/>
      </c>
      <c r="Q1765" s="2197" t="str">
        <f>IF($G1765=0,"",IFERROR(_xll.ciqfunctions.udf.CIQ($G1765,$I1765,Q$1557,Valuation_Date_GC,ReportType,DataMode,$H1765,FXMode),"n/a"))</f>
        <v/>
      </c>
      <c r="R1765" s="2197" t="str">
        <f>IF($G1765=0,"",IFERROR(_xll.ciqfunctions.udf.CIQ($G1765,$I1765,R$1557,Valuation_Date_GC,ReportType,DataMode,$H1765,FXMode),"n/a"))</f>
        <v/>
      </c>
      <c r="S1765" s="2197" t="str">
        <f>IF($G1765=0,"",IFERROR(_xll.ciqfunctions.udf.CIQ($G1765,$I1765,S$1557,Valuation_Date_GC,ReportType,DataMode,$H1765,FXMode),"n/a"))</f>
        <v/>
      </c>
      <c r="T1765" s="2197" t="str">
        <f>IF($G1765=0,"",IFERROR(_xll.ciqfunctions.udf.CIQ($G1765,$I1765,T$1557,Valuation_Date_GC,ReportType,DataMode,$H1765,FXMode),"n/a"))</f>
        <v/>
      </c>
      <c r="U1765" s="2197" t="str">
        <f>IF($G1765=0,"",IFERROR(_xll.ciqfunctions.udf.CIQ($G1765,$I1765,U$1557,Valuation_Date_GC,ReportType,DataMode,$H1765,FXMode),"n/a"))</f>
        <v/>
      </c>
      <c r="V1765" s="2197" t="str">
        <f>IF($G1765=0,"",IFERROR(_xll.ciqfunctions.udf.CIQ($G1765,$I1765,V$1557,Valuation_Date_GC,ReportType,DataMode,$H1765,FXMode),"n/a"))</f>
        <v/>
      </c>
      <c r="W1765" s="1479"/>
      <c r="X1765" s="255"/>
      <c r="Y1765" s="89"/>
      <c r="Z1765" s="2060"/>
      <c r="AA1765" s="2060"/>
      <c r="AB1765" s="2060"/>
      <c r="AC1765" s="2060"/>
      <c r="AD1765" s="2060"/>
      <c r="AE1765" s="2060"/>
      <c r="AF1765" s="2060"/>
      <c r="AG1765" s="2060"/>
      <c r="AH1765" s="2060"/>
      <c r="AI1765" s="2060"/>
      <c r="AJ1765" s="2060"/>
      <c r="AK1765" s="2060"/>
      <c r="AL1765" s="2060"/>
      <c r="AM1765" s="2060"/>
      <c r="AN1765" s="2060"/>
      <c r="AO1765" s="2060"/>
      <c r="AP1765" s="2060"/>
      <c r="AQ1765" s="2060"/>
      <c r="AR1765" s="2060"/>
      <c r="AS1765" s="2060"/>
      <c r="AT1765" s="2060"/>
      <c r="AU1765" s="2060"/>
      <c r="AV1765" s="2060"/>
      <c r="AW1765" s="2060"/>
      <c r="AX1765" s="2060"/>
      <c r="AY1765" s="2060"/>
      <c r="AZ1765" s="2060"/>
      <c r="BA1765" s="2060"/>
      <c r="BB1765" s="2060"/>
      <c r="BC1765" s="2060"/>
      <c r="BD1765" s="2060"/>
      <c r="BE1765" s="2060"/>
      <c r="BF1765" s="2060"/>
      <c r="BG1765" s="2060"/>
      <c r="BH1765" s="2060"/>
      <c r="BI1765" s="2060"/>
      <c r="BJ1765" s="2060"/>
      <c r="BK1765" s="2060"/>
      <c r="BL1765" s="2060"/>
      <c r="BM1765" s="2060"/>
      <c r="BN1765" s="2060"/>
      <c r="BO1765" s="2060"/>
      <c r="BP1765" s="2060"/>
      <c r="BQ1765" s="2060"/>
      <c r="BR1765" s="2060"/>
      <c r="BS1765" s="2060"/>
      <c r="BT1765" s="2060"/>
      <c r="BU1765" s="2060"/>
      <c r="BV1765" s="2060"/>
      <c r="BW1765" s="2060"/>
      <c r="BX1765" s="2060"/>
      <c r="BY1765" s="2060"/>
      <c r="BZ1765" s="2060"/>
      <c r="CA1765" s="2060"/>
      <c r="CB1765" s="2060"/>
      <c r="CC1765" s="2060"/>
      <c r="CD1765" s="2060"/>
      <c r="CE1765" s="2060"/>
      <c r="CF1765" s="2060"/>
      <c r="CG1765" s="2060"/>
      <c r="CH1765" s="2060"/>
      <c r="CI1765" s="2060"/>
      <c r="CJ1765" s="2060"/>
      <c r="CK1765" s="2060"/>
      <c r="CL1765" s="2060"/>
      <c r="CM1765" s="2060"/>
      <c r="CN1765" s="2060"/>
      <c r="CO1765" s="2060"/>
      <c r="CP1765" s="2060"/>
      <c r="CQ1765" s="2060"/>
      <c r="CR1765" s="2060"/>
      <c r="CS1765" s="2060"/>
      <c r="CT1765" s="2060"/>
      <c r="CU1765" s="2060"/>
      <c r="CV1765" s="2060"/>
      <c r="CW1765" s="2060"/>
      <c r="CX1765" s="2060"/>
      <c r="CY1765" s="2060"/>
      <c r="CZ1765" s="2060"/>
      <c r="DA1765" s="2060"/>
      <c r="DB1765" s="2060"/>
      <c r="DC1765" s="2060"/>
      <c r="DD1765" s="2060"/>
      <c r="DE1765" s="2060"/>
      <c r="DF1765" s="2060"/>
      <c r="DG1765" s="2060"/>
      <c r="DH1765" s="2060"/>
      <c r="DI1765" s="2060"/>
      <c r="DJ1765" s="2060"/>
      <c r="DK1765" s="2060"/>
      <c r="DL1765" s="2060"/>
      <c r="DM1765" s="2060"/>
      <c r="DN1765" s="2060"/>
      <c r="DO1765" s="2060"/>
      <c r="DP1765" s="2060"/>
      <c r="DQ1765" s="2060"/>
      <c r="DR1765" s="2060"/>
      <c r="DS1765" s="2060"/>
      <c r="DT1765" s="2060"/>
      <c r="DU1765" s="2060"/>
      <c r="DV1765" s="2060"/>
      <c r="DW1765" s="2060"/>
      <c r="DX1765" s="2060"/>
      <c r="DY1765" s="2060"/>
      <c r="DZ1765" s="2060"/>
      <c r="EA1765" s="2060"/>
      <c r="EB1765" s="2060"/>
      <c r="EC1765" s="2060"/>
      <c r="ED1765" s="2060"/>
      <c r="EE1765" s="2060"/>
      <c r="EF1765" s="2060"/>
      <c r="EG1765" s="2060"/>
      <c r="EH1765" s="2060"/>
      <c r="EI1765" s="2060"/>
      <c r="EJ1765" s="2060"/>
      <c r="EK1765" s="2060"/>
      <c r="EL1765" s="2060"/>
      <c r="EM1765" s="2060"/>
      <c r="EN1765" s="2060"/>
      <c r="EO1765" s="2060"/>
      <c r="EP1765" s="2060"/>
      <c r="EQ1765" s="2060"/>
      <c r="ER1765" s="2060"/>
      <c r="ES1765" s="2060"/>
      <c r="ET1765" s="2060"/>
      <c r="EU1765" s="2060"/>
      <c r="EV1765" s="2060"/>
      <c r="EW1765" s="2060"/>
      <c r="EX1765" s="2060"/>
      <c r="EY1765" s="2060"/>
      <c r="EZ1765" s="2060"/>
      <c r="FA1765" s="2060"/>
      <c r="FB1765" s="2060"/>
      <c r="FC1765" s="2060"/>
      <c r="FD1765" s="2060"/>
      <c r="FE1765" s="2060"/>
      <c r="FF1765" s="2060"/>
      <c r="FG1765" s="2060"/>
      <c r="FH1765" s="2060"/>
      <c r="FI1765" s="2060"/>
      <c r="FJ1765" s="2060"/>
      <c r="FK1765" s="2060"/>
      <c r="FL1765" s="2060"/>
      <c r="FM1765" s="2060"/>
      <c r="FN1765" s="2060"/>
      <c r="FO1765" s="2060"/>
      <c r="FP1765" s="2060"/>
      <c r="FQ1765" s="2060"/>
      <c r="FR1765" s="2060"/>
      <c r="FS1765" s="2060"/>
      <c r="FT1765" s="2060"/>
      <c r="FU1765" s="2060"/>
      <c r="FV1765" s="2060"/>
      <c r="FW1765" s="2060"/>
      <c r="FX1765" s="2060"/>
      <c r="FY1765" s="2060"/>
      <c r="FZ1765" s="2060"/>
      <c r="GA1765" s="2060"/>
      <c r="GB1765" s="2060"/>
      <c r="GC1765" s="2060"/>
      <c r="GD1765" s="2060"/>
      <c r="GE1765" s="2060"/>
      <c r="GF1765" s="2060"/>
      <c r="GG1765" s="2060"/>
      <c r="GH1765" s="2060"/>
      <c r="GI1765" s="2060"/>
      <c r="GJ1765" s="2060"/>
      <c r="GK1765" s="2060"/>
      <c r="GL1765" s="2060"/>
      <c r="GM1765" s="2060"/>
      <c r="GN1765" s="2060"/>
      <c r="GO1765" s="2060"/>
      <c r="GP1765" s="2060"/>
      <c r="GQ1765" s="2060"/>
      <c r="GR1765" s="2060"/>
      <c r="GS1765" s="2060"/>
      <c r="GT1765" s="2060"/>
      <c r="GU1765" s="2060"/>
      <c r="GV1765" s="2060"/>
      <c r="GW1765" s="2060"/>
      <c r="GX1765" s="2060"/>
      <c r="GY1765" s="2060"/>
      <c r="GZ1765" s="2060"/>
      <c r="HA1765" s="2060"/>
      <c r="HB1765" s="2060"/>
      <c r="HC1765" s="2060"/>
      <c r="HD1765" s="2060"/>
      <c r="HE1765" s="2060"/>
      <c r="HF1765" s="2060"/>
      <c r="HG1765" s="2060"/>
      <c r="HH1765" s="2060"/>
      <c r="HI1765" s="2060"/>
      <c r="HJ1765" s="2060"/>
      <c r="HK1765" s="2060"/>
      <c r="HL1765" s="2060"/>
      <c r="HM1765" s="2060"/>
      <c r="HN1765" s="2060"/>
      <c r="HO1765" s="2060"/>
      <c r="HP1765" s="2060"/>
      <c r="HQ1765" s="2060"/>
      <c r="HR1765" s="2060"/>
      <c r="HS1765" s="2060"/>
      <c r="HT1765" s="2060"/>
      <c r="HU1765" s="2060"/>
      <c r="HV1765" s="2060"/>
      <c r="HW1765" s="2060"/>
      <c r="HX1765" s="2060"/>
      <c r="HY1765" s="2060"/>
      <c r="HZ1765" s="2060"/>
      <c r="IA1765" s="2060"/>
      <c r="IB1765" s="2060"/>
      <c r="IC1765" s="2060"/>
      <c r="ID1765" s="2060"/>
      <c r="IE1765" s="2060"/>
      <c r="IF1765" s="2060"/>
      <c r="IG1765" s="2060"/>
      <c r="IH1765" s="2060"/>
      <c r="II1765" s="2060"/>
      <c r="IJ1765" s="2060"/>
      <c r="IK1765" s="2060"/>
      <c r="IL1765" s="2060"/>
      <c r="IM1765" s="2060"/>
      <c r="IN1765" s="2060"/>
      <c r="IO1765" s="2060"/>
      <c r="IP1765" s="2060"/>
      <c r="IQ1765" s="2060"/>
      <c r="IR1765" s="2060"/>
      <c r="IS1765" s="2060"/>
      <c r="IT1765" s="2060"/>
      <c r="IU1765" s="2060"/>
      <c r="IV1765" s="2060"/>
      <c r="IW1765" s="2060"/>
      <c r="IX1765" s="2060"/>
      <c r="IY1765" s="2060"/>
      <c r="IZ1765" s="2060"/>
      <c r="JA1765" s="2060"/>
      <c r="JB1765" s="2060"/>
      <c r="JC1765" s="2060"/>
      <c r="JD1765" s="2060"/>
      <c r="JE1765" s="2060"/>
      <c r="JF1765" s="2060"/>
      <c r="JG1765" s="2060"/>
      <c r="JH1765" s="2060"/>
      <c r="JI1765" s="2060"/>
      <c r="JJ1765" s="2060"/>
      <c r="JK1765" s="2060"/>
      <c r="JL1765" s="2060"/>
      <c r="JM1765" s="2060"/>
      <c r="JN1765" s="2060"/>
      <c r="JO1765" s="2060"/>
      <c r="JP1765" s="2060"/>
      <c r="JQ1765" s="2060"/>
      <c r="JR1765" s="2060"/>
      <c r="JS1765" s="2060"/>
      <c r="JT1765" s="2060"/>
      <c r="JU1765" s="2060"/>
      <c r="JV1765" s="2060"/>
      <c r="JW1765" s="2060"/>
      <c r="JX1765" s="2060"/>
      <c r="JY1765" s="2060"/>
      <c r="JZ1765" s="2060"/>
      <c r="KA1765" s="2060"/>
      <c r="KB1765" s="2060"/>
      <c r="KC1765" s="2060"/>
      <c r="KD1765" s="2060"/>
      <c r="KE1765" s="2060"/>
      <c r="KF1765" s="2060"/>
      <c r="KG1765" s="2060"/>
      <c r="KH1765" s="2060"/>
      <c r="KI1765" s="2060"/>
      <c r="KJ1765" s="2060"/>
      <c r="KK1765" s="2060"/>
      <c r="KL1765" s="2060"/>
      <c r="KM1765" s="2060"/>
      <c r="KN1765" s="2060"/>
      <c r="KO1765" s="2060"/>
      <c r="KP1765" s="2060"/>
      <c r="KQ1765" s="2060"/>
      <c r="KR1765" s="2060"/>
      <c r="KS1765" s="2060"/>
      <c r="KT1765" s="2060"/>
      <c r="KU1765" s="2060"/>
      <c r="KV1765" s="2060"/>
      <c r="KW1765" s="2060"/>
      <c r="KX1765" s="2060"/>
      <c r="KY1765" s="2060"/>
      <c r="KZ1765" s="2060"/>
      <c r="LA1765" s="2060"/>
      <c r="LB1765" s="2060"/>
      <c r="LC1765" s="2060"/>
      <c r="LD1765" s="2060"/>
      <c r="LE1765" s="2060"/>
      <c r="LF1765" s="2060"/>
      <c r="LG1765" s="2060"/>
      <c r="LH1765" s="2060"/>
    </row>
    <row r="1766" spans="1:320" s="449" customFormat="1" ht="13.9">
      <c r="A1766" s="269" t="str">
        <f t="shared" si="477"/>
        <v>n</v>
      </c>
      <c r="B1766" s="2060"/>
      <c r="C1766" s="2060"/>
      <c r="D1766" s="2060"/>
      <c r="E1766" s="1661">
        <v>5</v>
      </c>
      <c r="F1766" s="1353" t="str">
        <f>F$133</f>
        <v>--</v>
      </c>
      <c r="G1766" s="128">
        <f>G$133</f>
        <v>0</v>
      </c>
      <c r="H1766" s="128" t="str">
        <f>H$133</f>
        <v>--</v>
      </c>
      <c r="I1766" s="89" t="s">
        <v>794</v>
      </c>
      <c r="J1766" s="2197" t="str">
        <f>IF($G1766=0,"",IFERROR(_xll.ciqfunctions.udf.CIQ($G1766,$I1766,J$1557,Valuation_Date_GC,ReportType,DataMode,$H1766,FXMode),"n/a"))</f>
        <v/>
      </c>
      <c r="K1766" s="2197" t="str">
        <f>IF($G1766=0,"",IFERROR(_xll.ciqfunctions.udf.CIQ($G1766,$I1766,K$1557,Valuation_Date_GC,ReportType,DataMode,$H1766,FXMode),"n/a"))</f>
        <v/>
      </c>
      <c r="L1766" s="2197" t="str">
        <f>IF($G1766=0,"",IFERROR(_xll.ciqfunctions.udf.CIQ($G1766,$I1766,L$1557,Valuation_Date_GC,ReportType,DataMode,$H1766,FXMode),"n/a"))</f>
        <v/>
      </c>
      <c r="M1766" s="2197" t="str">
        <f>IF($G1766=0,"",IFERROR(_xll.ciqfunctions.udf.CIQ($G1766,$I1766,M$1557,Valuation_Date_GC,ReportType,DataMode,$H1766,FXMode),"n/a"))</f>
        <v/>
      </c>
      <c r="N1766" s="2197" t="str">
        <f>IF($G1766=0,"",IFERROR(_xll.ciqfunctions.udf.CIQ($G1766,$I1766,N$1557,Valuation_Date_GC,ReportType,DataMode,$H1766,FXMode),"n/a"))</f>
        <v/>
      </c>
      <c r="O1766" s="2197" t="str">
        <f>IF($G1766=0,"",IFERROR(_xll.ciqfunctions.udf.CIQ($G1766,$I1766,O$1557,Valuation_Date_GC,ReportType,DataMode,$H1766,FXMode),"n/a"))</f>
        <v/>
      </c>
      <c r="P1766" s="2197" t="str">
        <f>IF($G1766=0,"",IFERROR(_xll.ciqfunctions.udf.CIQ($G1766,$I1766,P$1557,Valuation_Date_GC,ReportType,DataMode,$H1766,FXMode),"n/a"))</f>
        <v/>
      </c>
      <c r="Q1766" s="2197" t="str">
        <f>IF($G1766=0,"",IFERROR(_xll.ciqfunctions.udf.CIQ($G1766,$I1766,Q$1557,Valuation_Date_GC,ReportType,DataMode,$H1766,FXMode),"n/a"))</f>
        <v/>
      </c>
      <c r="R1766" s="2197" t="str">
        <f>IF($G1766=0,"",IFERROR(_xll.ciqfunctions.udf.CIQ($G1766,$I1766,R$1557,Valuation_Date_GC,ReportType,DataMode,$H1766,FXMode),"n/a"))</f>
        <v/>
      </c>
      <c r="S1766" s="2197" t="str">
        <f>IF($G1766=0,"",IFERROR(_xll.ciqfunctions.udf.CIQ($G1766,$I1766,S$1557,Valuation_Date_GC,ReportType,DataMode,$H1766,FXMode),"n/a"))</f>
        <v/>
      </c>
      <c r="T1766" s="2197" t="str">
        <f>IF($G1766=0,"",IFERROR(_xll.ciqfunctions.udf.CIQ($G1766,$I1766,T$1557,Valuation_Date_GC,ReportType,DataMode,$H1766,FXMode),"n/a"))</f>
        <v/>
      </c>
      <c r="U1766" s="2197" t="str">
        <f>IF($G1766=0,"",IFERROR(_xll.ciqfunctions.udf.CIQ($G1766,$I1766,U$1557,Valuation_Date_GC,ReportType,DataMode,$H1766,FXMode),"n/a"))</f>
        <v/>
      </c>
      <c r="V1766" s="2197" t="str">
        <f>IF($G1766=0,"",IFERROR(_xll.ciqfunctions.udf.CIQ($G1766,$I1766,V$1557,Valuation_Date_GC,ReportType,DataMode,$H1766,FXMode),"n/a"))</f>
        <v/>
      </c>
      <c r="W1766" s="1479"/>
      <c r="X1766" s="255"/>
      <c r="Y1766" s="89"/>
      <c r="Z1766" s="2060"/>
      <c r="AA1766" s="2060"/>
      <c r="AB1766" s="2060"/>
      <c r="AC1766" s="2060"/>
      <c r="AD1766" s="2060"/>
      <c r="AE1766" s="2060"/>
      <c r="AF1766" s="2060"/>
      <c r="AG1766" s="2060"/>
      <c r="AH1766" s="2060"/>
      <c r="AI1766" s="2060"/>
      <c r="AJ1766" s="2060"/>
      <c r="AK1766" s="2060"/>
      <c r="AL1766" s="2060"/>
      <c r="AM1766" s="2060"/>
      <c r="AN1766" s="2060"/>
      <c r="AO1766" s="2060"/>
      <c r="AP1766" s="2060"/>
      <c r="AQ1766" s="2060"/>
      <c r="AR1766" s="2060"/>
      <c r="AS1766" s="2060"/>
      <c r="AT1766" s="2060"/>
      <c r="AU1766" s="2060"/>
      <c r="AV1766" s="2060"/>
      <c r="AW1766" s="2060"/>
      <c r="AX1766" s="2060"/>
      <c r="AY1766" s="2060"/>
      <c r="AZ1766" s="2060"/>
      <c r="BA1766" s="2060"/>
      <c r="BB1766" s="2060"/>
      <c r="BC1766" s="2060"/>
      <c r="BD1766" s="2060"/>
      <c r="BE1766" s="2060"/>
      <c r="BF1766" s="2060"/>
      <c r="BG1766" s="2060"/>
      <c r="BH1766" s="2060"/>
      <c r="BI1766" s="2060"/>
      <c r="BJ1766" s="2060"/>
      <c r="BK1766" s="2060"/>
      <c r="BL1766" s="2060"/>
      <c r="BM1766" s="2060"/>
      <c r="BN1766" s="2060"/>
      <c r="BO1766" s="2060"/>
      <c r="BP1766" s="2060"/>
      <c r="BQ1766" s="2060"/>
      <c r="BR1766" s="2060"/>
      <c r="BS1766" s="2060"/>
      <c r="BT1766" s="2060"/>
      <c r="BU1766" s="2060"/>
      <c r="BV1766" s="2060"/>
      <c r="BW1766" s="2060"/>
      <c r="BX1766" s="2060"/>
      <c r="BY1766" s="2060"/>
      <c r="BZ1766" s="2060"/>
      <c r="CA1766" s="2060"/>
      <c r="CB1766" s="2060"/>
      <c r="CC1766" s="2060"/>
      <c r="CD1766" s="2060"/>
      <c r="CE1766" s="2060"/>
      <c r="CF1766" s="2060"/>
      <c r="CG1766" s="2060"/>
      <c r="CH1766" s="2060"/>
      <c r="CI1766" s="2060"/>
      <c r="CJ1766" s="2060"/>
      <c r="CK1766" s="2060"/>
      <c r="CL1766" s="2060"/>
      <c r="CM1766" s="2060"/>
      <c r="CN1766" s="2060"/>
      <c r="CO1766" s="2060"/>
      <c r="CP1766" s="2060"/>
      <c r="CQ1766" s="2060"/>
      <c r="CR1766" s="2060"/>
      <c r="CS1766" s="2060"/>
      <c r="CT1766" s="2060"/>
      <c r="CU1766" s="2060"/>
      <c r="CV1766" s="2060"/>
      <c r="CW1766" s="2060"/>
      <c r="CX1766" s="2060"/>
      <c r="CY1766" s="2060"/>
      <c r="CZ1766" s="2060"/>
      <c r="DA1766" s="2060"/>
      <c r="DB1766" s="2060"/>
      <c r="DC1766" s="2060"/>
      <c r="DD1766" s="2060"/>
      <c r="DE1766" s="2060"/>
      <c r="DF1766" s="2060"/>
      <c r="DG1766" s="2060"/>
      <c r="DH1766" s="2060"/>
      <c r="DI1766" s="2060"/>
      <c r="DJ1766" s="2060"/>
      <c r="DK1766" s="2060"/>
      <c r="DL1766" s="2060"/>
      <c r="DM1766" s="2060"/>
      <c r="DN1766" s="2060"/>
      <c r="DO1766" s="2060"/>
      <c r="DP1766" s="2060"/>
      <c r="DQ1766" s="2060"/>
      <c r="DR1766" s="2060"/>
      <c r="DS1766" s="2060"/>
      <c r="DT1766" s="2060"/>
      <c r="DU1766" s="2060"/>
      <c r="DV1766" s="2060"/>
      <c r="DW1766" s="2060"/>
      <c r="DX1766" s="2060"/>
      <c r="DY1766" s="2060"/>
      <c r="DZ1766" s="2060"/>
      <c r="EA1766" s="2060"/>
      <c r="EB1766" s="2060"/>
      <c r="EC1766" s="2060"/>
      <c r="ED1766" s="2060"/>
      <c r="EE1766" s="2060"/>
      <c r="EF1766" s="2060"/>
      <c r="EG1766" s="2060"/>
      <c r="EH1766" s="2060"/>
      <c r="EI1766" s="2060"/>
      <c r="EJ1766" s="2060"/>
      <c r="EK1766" s="2060"/>
      <c r="EL1766" s="2060"/>
      <c r="EM1766" s="2060"/>
      <c r="EN1766" s="2060"/>
      <c r="EO1766" s="2060"/>
      <c r="EP1766" s="2060"/>
      <c r="EQ1766" s="2060"/>
      <c r="ER1766" s="2060"/>
      <c r="ES1766" s="2060"/>
      <c r="ET1766" s="2060"/>
      <c r="EU1766" s="2060"/>
      <c r="EV1766" s="2060"/>
      <c r="EW1766" s="2060"/>
      <c r="EX1766" s="2060"/>
      <c r="EY1766" s="2060"/>
      <c r="EZ1766" s="2060"/>
      <c r="FA1766" s="2060"/>
      <c r="FB1766" s="2060"/>
      <c r="FC1766" s="2060"/>
      <c r="FD1766" s="2060"/>
      <c r="FE1766" s="2060"/>
      <c r="FF1766" s="2060"/>
      <c r="FG1766" s="2060"/>
      <c r="FH1766" s="2060"/>
      <c r="FI1766" s="2060"/>
      <c r="FJ1766" s="2060"/>
      <c r="FK1766" s="2060"/>
      <c r="FL1766" s="2060"/>
      <c r="FM1766" s="2060"/>
      <c r="FN1766" s="2060"/>
      <c r="FO1766" s="2060"/>
      <c r="FP1766" s="2060"/>
      <c r="FQ1766" s="2060"/>
      <c r="FR1766" s="2060"/>
      <c r="FS1766" s="2060"/>
      <c r="FT1766" s="2060"/>
      <c r="FU1766" s="2060"/>
      <c r="FV1766" s="2060"/>
      <c r="FW1766" s="2060"/>
      <c r="FX1766" s="2060"/>
      <c r="FY1766" s="2060"/>
      <c r="FZ1766" s="2060"/>
      <c r="GA1766" s="2060"/>
      <c r="GB1766" s="2060"/>
      <c r="GC1766" s="2060"/>
      <c r="GD1766" s="2060"/>
      <c r="GE1766" s="2060"/>
      <c r="GF1766" s="2060"/>
      <c r="GG1766" s="2060"/>
      <c r="GH1766" s="2060"/>
      <c r="GI1766" s="2060"/>
      <c r="GJ1766" s="2060"/>
      <c r="GK1766" s="2060"/>
      <c r="GL1766" s="2060"/>
      <c r="GM1766" s="2060"/>
      <c r="GN1766" s="2060"/>
      <c r="GO1766" s="2060"/>
      <c r="GP1766" s="2060"/>
      <c r="GQ1766" s="2060"/>
      <c r="GR1766" s="2060"/>
      <c r="GS1766" s="2060"/>
      <c r="GT1766" s="2060"/>
      <c r="GU1766" s="2060"/>
      <c r="GV1766" s="2060"/>
      <c r="GW1766" s="2060"/>
      <c r="GX1766" s="2060"/>
      <c r="GY1766" s="2060"/>
      <c r="GZ1766" s="2060"/>
      <c r="HA1766" s="2060"/>
      <c r="HB1766" s="2060"/>
      <c r="HC1766" s="2060"/>
      <c r="HD1766" s="2060"/>
      <c r="HE1766" s="2060"/>
      <c r="HF1766" s="2060"/>
      <c r="HG1766" s="2060"/>
      <c r="HH1766" s="2060"/>
      <c r="HI1766" s="2060"/>
      <c r="HJ1766" s="2060"/>
      <c r="HK1766" s="2060"/>
      <c r="HL1766" s="2060"/>
      <c r="HM1766" s="2060"/>
      <c r="HN1766" s="2060"/>
      <c r="HO1766" s="2060"/>
      <c r="HP1766" s="2060"/>
      <c r="HQ1766" s="2060"/>
      <c r="HR1766" s="2060"/>
      <c r="HS1766" s="2060"/>
      <c r="HT1766" s="2060"/>
      <c r="HU1766" s="2060"/>
      <c r="HV1766" s="2060"/>
      <c r="HW1766" s="2060"/>
      <c r="HX1766" s="2060"/>
      <c r="HY1766" s="2060"/>
      <c r="HZ1766" s="2060"/>
      <c r="IA1766" s="2060"/>
      <c r="IB1766" s="2060"/>
      <c r="IC1766" s="2060"/>
      <c r="ID1766" s="2060"/>
      <c r="IE1766" s="2060"/>
      <c r="IF1766" s="2060"/>
      <c r="IG1766" s="2060"/>
      <c r="IH1766" s="2060"/>
      <c r="II1766" s="2060"/>
      <c r="IJ1766" s="2060"/>
      <c r="IK1766" s="2060"/>
      <c r="IL1766" s="2060"/>
      <c r="IM1766" s="2060"/>
      <c r="IN1766" s="2060"/>
      <c r="IO1766" s="2060"/>
      <c r="IP1766" s="2060"/>
      <c r="IQ1766" s="2060"/>
      <c r="IR1766" s="2060"/>
      <c r="IS1766" s="2060"/>
      <c r="IT1766" s="2060"/>
      <c r="IU1766" s="2060"/>
      <c r="IV1766" s="2060"/>
      <c r="IW1766" s="2060"/>
      <c r="IX1766" s="2060"/>
      <c r="IY1766" s="2060"/>
      <c r="IZ1766" s="2060"/>
      <c r="JA1766" s="2060"/>
      <c r="JB1766" s="2060"/>
      <c r="JC1766" s="2060"/>
      <c r="JD1766" s="2060"/>
      <c r="JE1766" s="2060"/>
      <c r="JF1766" s="2060"/>
      <c r="JG1766" s="2060"/>
      <c r="JH1766" s="2060"/>
      <c r="JI1766" s="2060"/>
      <c r="JJ1766" s="2060"/>
      <c r="JK1766" s="2060"/>
      <c r="JL1766" s="2060"/>
      <c r="JM1766" s="2060"/>
      <c r="JN1766" s="2060"/>
      <c r="JO1766" s="2060"/>
      <c r="JP1766" s="2060"/>
      <c r="JQ1766" s="2060"/>
      <c r="JR1766" s="2060"/>
      <c r="JS1766" s="2060"/>
      <c r="JT1766" s="2060"/>
      <c r="JU1766" s="2060"/>
      <c r="JV1766" s="2060"/>
      <c r="JW1766" s="2060"/>
      <c r="JX1766" s="2060"/>
      <c r="JY1766" s="2060"/>
      <c r="JZ1766" s="2060"/>
      <c r="KA1766" s="2060"/>
      <c r="KB1766" s="2060"/>
      <c r="KC1766" s="2060"/>
      <c r="KD1766" s="2060"/>
      <c r="KE1766" s="2060"/>
      <c r="KF1766" s="2060"/>
      <c r="KG1766" s="2060"/>
      <c r="KH1766" s="2060"/>
      <c r="KI1766" s="2060"/>
      <c r="KJ1766" s="2060"/>
      <c r="KK1766" s="2060"/>
      <c r="KL1766" s="2060"/>
      <c r="KM1766" s="2060"/>
      <c r="KN1766" s="2060"/>
      <c r="KO1766" s="2060"/>
      <c r="KP1766" s="2060"/>
      <c r="KQ1766" s="2060"/>
      <c r="KR1766" s="2060"/>
      <c r="KS1766" s="2060"/>
      <c r="KT1766" s="2060"/>
      <c r="KU1766" s="2060"/>
      <c r="KV1766" s="2060"/>
      <c r="KW1766" s="2060"/>
      <c r="KX1766" s="2060"/>
      <c r="KY1766" s="2060"/>
      <c r="KZ1766" s="2060"/>
      <c r="LA1766" s="2060"/>
      <c r="LB1766" s="2060"/>
      <c r="LC1766" s="2060"/>
      <c r="LD1766" s="2060"/>
      <c r="LE1766" s="2060"/>
      <c r="LF1766" s="2060"/>
      <c r="LG1766" s="2060"/>
      <c r="LH1766" s="2060"/>
    </row>
    <row r="1767" spans="1:320" s="449" customFormat="1" ht="13.9">
      <c r="A1767" s="269" t="str">
        <f t="shared" si="477"/>
        <v>n</v>
      </c>
      <c r="B1767" s="2060"/>
      <c r="C1767" s="2060"/>
      <c r="D1767" s="2060"/>
      <c r="E1767" s="1661">
        <v>6</v>
      </c>
      <c r="F1767" s="1353" t="str">
        <f>F$134</f>
        <v>--</v>
      </c>
      <c r="G1767" s="128">
        <f>G$134</f>
        <v>0</v>
      </c>
      <c r="H1767" s="128" t="str">
        <f>H$134</f>
        <v>--</v>
      </c>
      <c r="I1767" s="89" t="s">
        <v>794</v>
      </c>
      <c r="J1767" s="2197" t="str">
        <f>IF($G1767=0,"",IFERROR(_xll.ciqfunctions.udf.CIQ($G1767,$I1767,J$1557,Valuation_Date_GC,ReportType,DataMode,$H1767,FXMode),"n/a"))</f>
        <v/>
      </c>
      <c r="K1767" s="2197" t="str">
        <f>IF($G1767=0,"",IFERROR(_xll.ciqfunctions.udf.CIQ($G1767,$I1767,K$1557,Valuation_Date_GC,ReportType,DataMode,$H1767,FXMode),"n/a"))</f>
        <v/>
      </c>
      <c r="L1767" s="2197" t="str">
        <f>IF($G1767=0,"",IFERROR(_xll.ciqfunctions.udf.CIQ($G1767,$I1767,L$1557,Valuation_Date_GC,ReportType,DataMode,$H1767,FXMode),"n/a"))</f>
        <v/>
      </c>
      <c r="M1767" s="2197" t="str">
        <f>IF($G1767=0,"",IFERROR(_xll.ciqfunctions.udf.CIQ($G1767,$I1767,M$1557,Valuation_Date_GC,ReportType,DataMode,$H1767,FXMode),"n/a"))</f>
        <v/>
      </c>
      <c r="N1767" s="2197" t="str">
        <f>IF($G1767=0,"",IFERROR(_xll.ciqfunctions.udf.CIQ($G1767,$I1767,N$1557,Valuation_Date_GC,ReportType,DataMode,$H1767,FXMode),"n/a"))</f>
        <v/>
      </c>
      <c r="O1767" s="2197" t="str">
        <f>IF($G1767=0,"",IFERROR(_xll.ciqfunctions.udf.CIQ($G1767,$I1767,O$1557,Valuation_Date_GC,ReportType,DataMode,$H1767,FXMode),"n/a"))</f>
        <v/>
      </c>
      <c r="P1767" s="2197" t="str">
        <f>IF($G1767=0,"",IFERROR(_xll.ciqfunctions.udf.CIQ($G1767,$I1767,P$1557,Valuation_Date_GC,ReportType,DataMode,$H1767,FXMode),"n/a"))</f>
        <v/>
      </c>
      <c r="Q1767" s="2197" t="str">
        <f>IF($G1767=0,"",IFERROR(_xll.ciqfunctions.udf.CIQ($G1767,$I1767,Q$1557,Valuation_Date_GC,ReportType,DataMode,$H1767,FXMode),"n/a"))</f>
        <v/>
      </c>
      <c r="R1767" s="2197" t="str">
        <f>IF($G1767=0,"",IFERROR(_xll.ciqfunctions.udf.CIQ($G1767,$I1767,R$1557,Valuation_Date_GC,ReportType,DataMode,$H1767,FXMode),"n/a"))</f>
        <v/>
      </c>
      <c r="S1767" s="2197" t="str">
        <f>IF($G1767=0,"",IFERROR(_xll.ciqfunctions.udf.CIQ($G1767,$I1767,S$1557,Valuation_Date_GC,ReportType,DataMode,$H1767,FXMode),"n/a"))</f>
        <v/>
      </c>
      <c r="T1767" s="2197" t="str">
        <f>IF($G1767=0,"",IFERROR(_xll.ciqfunctions.udf.CIQ($G1767,$I1767,T$1557,Valuation_Date_GC,ReportType,DataMode,$H1767,FXMode),"n/a"))</f>
        <v/>
      </c>
      <c r="U1767" s="2197" t="str">
        <f>IF($G1767=0,"",IFERROR(_xll.ciqfunctions.udf.CIQ($G1767,$I1767,U$1557,Valuation_Date_GC,ReportType,DataMode,$H1767,FXMode),"n/a"))</f>
        <v/>
      </c>
      <c r="V1767" s="2197" t="str">
        <f>IF($G1767=0,"",IFERROR(_xll.ciqfunctions.udf.CIQ($G1767,$I1767,V$1557,Valuation_Date_GC,ReportType,DataMode,$H1767,FXMode),"n/a"))</f>
        <v/>
      </c>
      <c r="W1767" s="1479"/>
      <c r="X1767" s="255"/>
      <c r="Y1767" s="89"/>
      <c r="Z1767" s="2060"/>
      <c r="AA1767" s="2060"/>
      <c r="AB1767" s="2060"/>
      <c r="AC1767" s="2060"/>
      <c r="AD1767" s="2060"/>
      <c r="AE1767" s="2060"/>
      <c r="AF1767" s="2060"/>
      <c r="AG1767" s="2060"/>
      <c r="AH1767" s="2060"/>
      <c r="AI1767" s="2060"/>
      <c r="AJ1767" s="2060"/>
      <c r="AK1767" s="2060"/>
      <c r="AL1767" s="2060"/>
      <c r="AM1767" s="2060"/>
      <c r="AN1767" s="2060"/>
      <c r="AO1767" s="2060"/>
      <c r="AP1767" s="2060"/>
      <c r="AQ1767" s="2060"/>
      <c r="AR1767" s="2060"/>
      <c r="AS1767" s="2060"/>
      <c r="AT1767" s="2060"/>
      <c r="AU1767" s="2060"/>
      <c r="AV1767" s="2060"/>
      <c r="AW1767" s="2060"/>
      <c r="AX1767" s="2060"/>
      <c r="AY1767" s="2060"/>
      <c r="AZ1767" s="2060"/>
      <c r="BA1767" s="2060"/>
      <c r="BB1767" s="2060"/>
      <c r="BC1767" s="2060"/>
      <c r="BD1767" s="2060"/>
      <c r="BE1767" s="2060"/>
      <c r="BF1767" s="2060"/>
      <c r="BG1767" s="2060"/>
      <c r="BH1767" s="2060"/>
      <c r="BI1767" s="2060"/>
      <c r="BJ1767" s="2060"/>
      <c r="BK1767" s="2060"/>
      <c r="BL1767" s="2060"/>
      <c r="BM1767" s="2060"/>
      <c r="BN1767" s="2060"/>
      <c r="BO1767" s="2060"/>
      <c r="BP1767" s="2060"/>
      <c r="BQ1767" s="2060"/>
      <c r="BR1767" s="2060"/>
      <c r="BS1767" s="2060"/>
      <c r="BT1767" s="2060"/>
      <c r="BU1767" s="2060"/>
      <c r="BV1767" s="2060"/>
      <c r="BW1767" s="2060"/>
      <c r="BX1767" s="2060"/>
      <c r="BY1767" s="2060"/>
      <c r="BZ1767" s="2060"/>
      <c r="CA1767" s="2060"/>
      <c r="CB1767" s="2060"/>
      <c r="CC1767" s="2060"/>
      <c r="CD1767" s="2060"/>
      <c r="CE1767" s="2060"/>
      <c r="CF1767" s="2060"/>
      <c r="CG1767" s="2060"/>
      <c r="CH1767" s="2060"/>
      <c r="CI1767" s="2060"/>
      <c r="CJ1767" s="2060"/>
      <c r="CK1767" s="2060"/>
      <c r="CL1767" s="2060"/>
      <c r="CM1767" s="2060"/>
      <c r="CN1767" s="2060"/>
      <c r="CO1767" s="2060"/>
      <c r="CP1767" s="2060"/>
      <c r="CQ1767" s="2060"/>
      <c r="CR1767" s="2060"/>
      <c r="CS1767" s="2060"/>
      <c r="CT1767" s="2060"/>
      <c r="CU1767" s="2060"/>
      <c r="CV1767" s="2060"/>
      <c r="CW1767" s="2060"/>
      <c r="CX1767" s="2060"/>
      <c r="CY1767" s="2060"/>
      <c r="CZ1767" s="2060"/>
      <c r="DA1767" s="2060"/>
      <c r="DB1767" s="2060"/>
      <c r="DC1767" s="2060"/>
      <c r="DD1767" s="2060"/>
      <c r="DE1767" s="2060"/>
      <c r="DF1767" s="2060"/>
      <c r="DG1767" s="2060"/>
      <c r="DH1767" s="2060"/>
      <c r="DI1767" s="2060"/>
      <c r="DJ1767" s="2060"/>
      <c r="DK1767" s="2060"/>
      <c r="DL1767" s="2060"/>
      <c r="DM1767" s="2060"/>
      <c r="DN1767" s="2060"/>
      <c r="DO1767" s="2060"/>
      <c r="DP1767" s="2060"/>
      <c r="DQ1767" s="2060"/>
      <c r="DR1767" s="2060"/>
      <c r="DS1767" s="2060"/>
      <c r="DT1767" s="2060"/>
      <c r="DU1767" s="2060"/>
      <c r="DV1767" s="2060"/>
      <c r="DW1767" s="2060"/>
      <c r="DX1767" s="2060"/>
      <c r="DY1767" s="2060"/>
      <c r="DZ1767" s="2060"/>
      <c r="EA1767" s="2060"/>
      <c r="EB1767" s="2060"/>
      <c r="EC1767" s="2060"/>
      <c r="ED1767" s="2060"/>
      <c r="EE1767" s="2060"/>
      <c r="EF1767" s="2060"/>
      <c r="EG1767" s="2060"/>
      <c r="EH1767" s="2060"/>
      <c r="EI1767" s="2060"/>
      <c r="EJ1767" s="2060"/>
      <c r="EK1767" s="2060"/>
      <c r="EL1767" s="2060"/>
      <c r="EM1767" s="2060"/>
      <c r="EN1767" s="2060"/>
      <c r="EO1767" s="2060"/>
      <c r="EP1767" s="2060"/>
      <c r="EQ1767" s="2060"/>
      <c r="ER1767" s="2060"/>
      <c r="ES1767" s="2060"/>
      <c r="ET1767" s="2060"/>
      <c r="EU1767" s="2060"/>
      <c r="EV1767" s="2060"/>
      <c r="EW1767" s="2060"/>
      <c r="EX1767" s="2060"/>
      <c r="EY1767" s="2060"/>
      <c r="EZ1767" s="2060"/>
      <c r="FA1767" s="2060"/>
      <c r="FB1767" s="2060"/>
      <c r="FC1767" s="2060"/>
      <c r="FD1767" s="2060"/>
      <c r="FE1767" s="2060"/>
      <c r="FF1767" s="2060"/>
      <c r="FG1767" s="2060"/>
      <c r="FH1767" s="2060"/>
      <c r="FI1767" s="2060"/>
      <c r="FJ1767" s="2060"/>
      <c r="FK1767" s="2060"/>
      <c r="FL1767" s="2060"/>
      <c r="FM1767" s="2060"/>
      <c r="FN1767" s="2060"/>
      <c r="FO1767" s="2060"/>
      <c r="FP1767" s="2060"/>
      <c r="FQ1767" s="2060"/>
      <c r="FR1767" s="2060"/>
      <c r="FS1767" s="2060"/>
      <c r="FT1767" s="2060"/>
      <c r="FU1767" s="2060"/>
      <c r="FV1767" s="2060"/>
      <c r="FW1767" s="2060"/>
      <c r="FX1767" s="2060"/>
      <c r="FY1767" s="2060"/>
      <c r="FZ1767" s="2060"/>
      <c r="GA1767" s="2060"/>
      <c r="GB1767" s="2060"/>
      <c r="GC1767" s="2060"/>
      <c r="GD1767" s="2060"/>
      <c r="GE1767" s="2060"/>
      <c r="GF1767" s="2060"/>
      <c r="GG1767" s="2060"/>
      <c r="GH1767" s="2060"/>
      <c r="GI1767" s="2060"/>
      <c r="GJ1767" s="2060"/>
      <c r="GK1767" s="2060"/>
      <c r="GL1767" s="2060"/>
      <c r="GM1767" s="2060"/>
      <c r="GN1767" s="2060"/>
      <c r="GO1767" s="2060"/>
      <c r="GP1767" s="2060"/>
      <c r="GQ1767" s="2060"/>
      <c r="GR1767" s="2060"/>
      <c r="GS1767" s="2060"/>
      <c r="GT1767" s="2060"/>
      <c r="GU1767" s="2060"/>
      <c r="GV1767" s="2060"/>
      <c r="GW1767" s="2060"/>
      <c r="GX1767" s="2060"/>
      <c r="GY1767" s="2060"/>
      <c r="GZ1767" s="2060"/>
      <c r="HA1767" s="2060"/>
      <c r="HB1767" s="2060"/>
      <c r="HC1767" s="2060"/>
      <c r="HD1767" s="2060"/>
      <c r="HE1767" s="2060"/>
      <c r="HF1767" s="2060"/>
      <c r="HG1767" s="2060"/>
      <c r="HH1767" s="2060"/>
      <c r="HI1767" s="2060"/>
      <c r="HJ1767" s="2060"/>
      <c r="HK1767" s="2060"/>
      <c r="HL1767" s="2060"/>
      <c r="HM1767" s="2060"/>
      <c r="HN1767" s="2060"/>
      <c r="HO1767" s="2060"/>
      <c r="HP1767" s="2060"/>
      <c r="HQ1767" s="2060"/>
      <c r="HR1767" s="2060"/>
      <c r="HS1767" s="2060"/>
      <c r="HT1767" s="2060"/>
      <c r="HU1767" s="2060"/>
      <c r="HV1767" s="2060"/>
      <c r="HW1767" s="2060"/>
      <c r="HX1767" s="2060"/>
      <c r="HY1767" s="2060"/>
      <c r="HZ1767" s="2060"/>
      <c r="IA1767" s="2060"/>
      <c r="IB1767" s="2060"/>
      <c r="IC1767" s="2060"/>
      <c r="ID1767" s="2060"/>
      <c r="IE1767" s="2060"/>
      <c r="IF1767" s="2060"/>
      <c r="IG1767" s="2060"/>
      <c r="IH1767" s="2060"/>
      <c r="II1767" s="2060"/>
      <c r="IJ1767" s="2060"/>
      <c r="IK1767" s="2060"/>
      <c r="IL1767" s="2060"/>
      <c r="IM1767" s="2060"/>
      <c r="IN1767" s="2060"/>
      <c r="IO1767" s="2060"/>
      <c r="IP1767" s="2060"/>
      <c r="IQ1767" s="2060"/>
      <c r="IR1767" s="2060"/>
      <c r="IS1767" s="2060"/>
      <c r="IT1767" s="2060"/>
      <c r="IU1767" s="2060"/>
      <c r="IV1767" s="2060"/>
      <c r="IW1767" s="2060"/>
      <c r="IX1767" s="2060"/>
      <c r="IY1767" s="2060"/>
      <c r="IZ1767" s="2060"/>
      <c r="JA1767" s="2060"/>
      <c r="JB1767" s="2060"/>
      <c r="JC1767" s="2060"/>
      <c r="JD1767" s="2060"/>
      <c r="JE1767" s="2060"/>
      <c r="JF1767" s="2060"/>
      <c r="JG1767" s="2060"/>
      <c r="JH1767" s="2060"/>
      <c r="JI1767" s="2060"/>
      <c r="JJ1767" s="2060"/>
      <c r="JK1767" s="2060"/>
      <c r="JL1767" s="2060"/>
      <c r="JM1767" s="2060"/>
      <c r="JN1767" s="2060"/>
      <c r="JO1767" s="2060"/>
      <c r="JP1767" s="2060"/>
      <c r="JQ1767" s="2060"/>
      <c r="JR1767" s="2060"/>
      <c r="JS1767" s="2060"/>
      <c r="JT1767" s="2060"/>
      <c r="JU1767" s="2060"/>
      <c r="JV1767" s="2060"/>
      <c r="JW1767" s="2060"/>
      <c r="JX1767" s="2060"/>
      <c r="JY1767" s="2060"/>
      <c r="JZ1767" s="2060"/>
      <c r="KA1767" s="2060"/>
      <c r="KB1767" s="2060"/>
      <c r="KC1767" s="2060"/>
      <c r="KD1767" s="2060"/>
      <c r="KE1767" s="2060"/>
      <c r="KF1767" s="2060"/>
      <c r="KG1767" s="2060"/>
      <c r="KH1767" s="2060"/>
      <c r="KI1767" s="2060"/>
      <c r="KJ1767" s="2060"/>
      <c r="KK1767" s="2060"/>
      <c r="KL1767" s="2060"/>
      <c r="KM1767" s="2060"/>
      <c r="KN1767" s="2060"/>
      <c r="KO1767" s="2060"/>
      <c r="KP1767" s="2060"/>
      <c r="KQ1767" s="2060"/>
      <c r="KR1767" s="2060"/>
      <c r="KS1767" s="2060"/>
      <c r="KT1767" s="2060"/>
      <c r="KU1767" s="2060"/>
      <c r="KV1767" s="2060"/>
      <c r="KW1767" s="2060"/>
      <c r="KX1767" s="2060"/>
      <c r="KY1767" s="2060"/>
      <c r="KZ1767" s="2060"/>
      <c r="LA1767" s="2060"/>
      <c r="LB1767" s="2060"/>
      <c r="LC1767" s="2060"/>
      <c r="LD1767" s="2060"/>
      <c r="LE1767" s="2060"/>
      <c r="LF1767" s="2060"/>
      <c r="LG1767" s="2060"/>
      <c r="LH1767" s="2060"/>
    </row>
    <row r="1768" spans="1:320" s="449" customFormat="1" ht="13.9">
      <c r="A1768" s="269" t="str">
        <f t="shared" si="477"/>
        <v>n</v>
      </c>
      <c r="B1768" s="2060"/>
      <c r="C1768" s="2060"/>
      <c r="D1768" s="2060"/>
      <c r="E1768" s="1661">
        <v>7</v>
      </c>
      <c r="F1768" s="1353" t="str">
        <f>F$135</f>
        <v>--</v>
      </c>
      <c r="G1768" s="128">
        <f>G$135</f>
        <v>0</v>
      </c>
      <c r="H1768" s="128" t="str">
        <f>H$135</f>
        <v>--</v>
      </c>
      <c r="I1768" s="89" t="s">
        <v>794</v>
      </c>
      <c r="J1768" s="2197" t="str">
        <f>IF($G1768=0,"",IFERROR(_xll.ciqfunctions.udf.CIQ($G1768,$I1768,J$1557,Valuation_Date_GC,ReportType,DataMode,$H1768,FXMode),"n/a"))</f>
        <v/>
      </c>
      <c r="K1768" s="2197" t="str">
        <f>IF($G1768=0,"",IFERROR(_xll.ciqfunctions.udf.CIQ($G1768,$I1768,K$1557,Valuation_Date_GC,ReportType,DataMode,$H1768,FXMode),"n/a"))</f>
        <v/>
      </c>
      <c r="L1768" s="2197" t="str">
        <f>IF($G1768=0,"",IFERROR(_xll.ciqfunctions.udf.CIQ($G1768,$I1768,L$1557,Valuation_Date_GC,ReportType,DataMode,$H1768,FXMode),"n/a"))</f>
        <v/>
      </c>
      <c r="M1768" s="2197" t="str">
        <f>IF($G1768=0,"",IFERROR(_xll.ciqfunctions.udf.CIQ($G1768,$I1768,M$1557,Valuation_Date_GC,ReportType,DataMode,$H1768,FXMode),"n/a"))</f>
        <v/>
      </c>
      <c r="N1768" s="2197" t="str">
        <f>IF($G1768=0,"",IFERROR(_xll.ciqfunctions.udf.CIQ($G1768,$I1768,N$1557,Valuation_Date_GC,ReportType,DataMode,$H1768,FXMode),"n/a"))</f>
        <v/>
      </c>
      <c r="O1768" s="2197" t="str">
        <f>IF($G1768=0,"",IFERROR(_xll.ciqfunctions.udf.CIQ($G1768,$I1768,O$1557,Valuation_Date_GC,ReportType,DataMode,$H1768,FXMode),"n/a"))</f>
        <v/>
      </c>
      <c r="P1768" s="2197" t="str">
        <f>IF($G1768=0,"",IFERROR(_xll.ciqfunctions.udf.CIQ($G1768,$I1768,P$1557,Valuation_Date_GC,ReportType,DataMode,$H1768,FXMode),"n/a"))</f>
        <v/>
      </c>
      <c r="Q1768" s="2197" t="str">
        <f>IF($G1768=0,"",IFERROR(_xll.ciqfunctions.udf.CIQ($G1768,$I1768,Q$1557,Valuation_Date_GC,ReportType,DataMode,$H1768,FXMode),"n/a"))</f>
        <v/>
      </c>
      <c r="R1768" s="2197" t="str">
        <f>IF($G1768=0,"",IFERROR(_xll.ciqfunctions.udf.CIQ($G1768,$I1768,R$1557,Valuation_Date_GC,ReportType,DataMode,$H1768,FXMode),"n/a"))</f>
        <v/>
      </c>
      <c r="S1768" s="2197" t="str">
        <f>IF($G1768=0,"",IFERROR(_xll.ciqfunctions.udf.CIQ($G1768,$I1768,S$1557,Valuation_Date_GC,ReportType,DataMode,$H1768,FXMode),"n/a"))</f>
        <v/>
      </c>
      <c r="T1768" s="2197" t="str">
        <f>IF($G1768=0,"",IFERROR(_xll.ciqfunctions.udf.CIQ($G1768,$I1768,T$1557,Valuation_Date_GC,ReportType,DataMode,$H1768,FXMode),"n/a"))</f>
        <v/>
      </c>
      <c r="U1768" s="2197" t="str">
        <f>IF($G1768=0,"",IFERROR(_xll.ciqfunctions.udf.CIQ($G1768,$I1768,U$1557,Valuation_Date_GC,ReportType,DataMode,$H1768,FXMode),"n/a"))</f>
        <v/>
      </c>
      <c r="V1768" s="2197" t="str">
        <f>IF($G1768=0,"",IFERROR(_xll.ciqfunctions.udf.CIQ($G1768,$I1768,V$1557,Valuation_Date_GC,ReportType,DataMode,$H1768,FXMode),"n/a"))</f>
        <v/>
      </c>
      <c r="W1768" s="1479"/>
      <c r="X1768" s="255"/>
      <c r="Y1768" s="89"/>
      <c r="Z1768" s="2060"/>
      <c r="AA1768" s="2060"/>
      <c r="AB1768" s="2060"/>
      <c r="AC1768" s="2060"/>
      <c r="AD1768" s="2060"/>
      <c r="AE1768" s="2060"/>
      <c r="AF1768" s="2060"/>
      <c r="AG1768" s="2060"/>
      <c r="AH1768" s="2060"/>
      <c r="AI1768" s="2060"/>
      <c r="AJ1768" s="2060"/>
      <c r="AK1768" s="2060"/>
      <c r="AL1768" s="2060"/>
      <c r="AM1768" s="2060"/>
      <c r="AN1768" s="2060"/>
      <c r="AO1768" s="2060"/>
      <c r="AP1768" s="2060"/>
      <c r="AQ1768" s="2060"/>
      <c r="AR1768" s="2060"/>
      <c r="AS1768" s="2060"/>
      <c r="AT1768" s="2060"/>
      <c r="AU1768" s="2060"/>
      <c r="AV1768" s="2060"/>
      <c r="AW1768" s="2060"/>
      <c r="AX1768" s="2060"/>
      <c r="AY1768" s="2060"/>
      <c r="AZ1768" s="2060"/>
      <c r="BA1768" s="2060"/>
      <c r="BB1768" s="2060"/>
      <c r="BC1768" s="2060"/>
      <c r="BD1768" s="2060"/>
      <c r="BE1768" s="2060"/>
      <c r="BF1768" s="2060"/>
      <c r="BG1768" s="2060"/>
      <c r="BH1768" s="2060"/>
      <c r="BI1768" s="2060"/>
      <c r="BJ1768" s="2060"/>
      <c r="BK1768" s="2060"/>
      <c r="BL1768" s="2060"/>
      <c r="BM1768" s="2060"/>
      <c r="BN1768" s="2060"/>
      <c r="BO1768" s="2060"/>
      <c r="BP1768" s="2060"/>
      <c r="BQ1768" s="2060"/>
      <c r="BR1768" s="2060"/>
      <c r="BS1768" s="2060"/>
      <c r="BT1768" s="2060"/>
      <c r="BU1768" s="2060"/>
      <c r="BV1768" s="2060"/>
      <c r="BW1768" s="2060"/>
      <c r="BX1768" s="2060"/>
      <c r="BY1768" s="2060"/>
      <c r="BZ1768" s="2060"/>
      <c r="CA1768" s="2060"/>
      <c r="CB1768" s="2060"/>
      <c r="CC1768" s="2060"/>
      <c r="CD1768" s="2060"/>
      <c r="CE1768" s="2060"/>
      <c r="CF1768" s="2060"/>
      <c r="CG1768" s="2060"/>
      <c r="CH1768" s="2060"/>
      <c r="CI1768" s="2060"/>
      <c r="CJ1768" s="2060"/>
      <c r="CK1768" s="2060"/>
      <c r="CL1768" s="2060"/>
      <c r="CM1768" s="2060"/>
      <c r="CN1768" s="2060"/>
      <c r="CO1768" s="2060"/>
      <c r="CP1768" s="2060"/>
      <c r="CQ1768" s="2060"/>
      <c r="CR1768" s="2060"/>
      <c r="CS1768" s="2060"/>
      <c r="CT1768" s="2060"/>
      <c r="CU1768" s="2060"/>
      <c r="CV1768" s="2060"/>
      <c r="CW1768" s="2060"/>
      <c r="CX1768" s="2060"/>
      <c r="CY1768" s="2060"/>
      <c r="CZ1768" s="2060"/>
      <c r="DA1768" s="2060"/>
      <c r="DB1768" s="2060"/>
      <c r="DC1768" s="2060"/>
      <c r="DD1768" s="2060"/>
      <c r="DE1768" s="2060"/>
      <c r="DF1768" s="2060"/>
      <c r="DG1768" s="2060"/>
      <c r="DH1768" s="2060"/>
      <c r="DI1768" s="2060"/>
      <c r="DJ1768" s="2060"/>
      <c r="DK1768" s="2060"/>
      <c r="DL1768" s="2060"/>
      <c r="DM1768" s="2060"/>
      <c r="DN1768" s="2060"/>
      <c r="DO1768" s="2060"/>
      <c r="DP1768" s="2060"/>
      <c r="DQ1768" s="2060"/>
      <c r="DR1768" s="2060"/>
      <c r="DS1768" s="2060"/>
      <c r="DT1768" s="2060"/>
      <c r="DU1768" s="2060"/>
      <c r="DV1768" s="2060"/>
      <c r="DW1768" s="2060"/>
      <c r="DX1768" s="2060"/>
      <c r="DY1768" s="2060"/>
      <c r="DZ1768" s="2060"/>
      <c r="EA1768" s="2060"/>
      <c r="EB1768" s="2060"/>
      <c r="EC1768" s="2060"/>
      <c r="ED1768" s="2060"/>
      <c r="EE1768" s="2060"/>
      <c r="EF1768" s="2060"/>
      <c r="EG1768" s="2060"/>
      <c r="EH1768" s="2060"/>
      <c r="EI1768" s="2060"/>
      <c r="EJ1768" s="2060"/>
      <c r="EK1768" s="2060"/>
      <c r="EL1768" s="2060"/>
      <c r="EM1768" s="2060"/>
      <c r="EN1768" s="2060"/>
      <c r="EO1768" s="2060"/>
      <c r="EP1768" s="2060"/>
      <c r="EQ1768" s="2060"/>
      <c r="ER1768" s="2060"/>
      <c r="ES1768" s="2060"/>
      <c r="ET1768" s="2060"/>
      <c r="EU1768" s="2060"/>
      <c r="EV1768" s="2060"/>
      <c r="EW1768" s="2060"/>
      <c r="EX1768" s="2060"/>
      <c r="EY1768" s="2060"/>
      <c r="EZ1768" s="2060"/>
      <c r="FA1768" s="2060"/>
      <c r="FB1768" s="2060"/>
      <c r="FC1768" s="2060"/>
      <c r="FD1768" s="2060"/>
      <c r="FE1768" s="2060"/>
      <c r="FF1768" s="2060"/>
      <c r="FG1768" s="2060"/>
      <c r="FH1768" s="2060"/>
      <c r="FI1768" s="2060"/>
      <c r="FJ1768" s="2060"/>
      <c r="FK1768" s="2060"/>
      <c r="FL1768" s="2060"/>
      <c r="FM1768" s="2060"/>
      <c r="FN1768" s="2060"/>
      <c r="FO1768" s="2060"/>
      <c r="FP1768" s="2060"/>
      <c r="FQ1768" s="2060"/>
      <c r="FR1768" s="2060"/>
      <c r="FS1768" s="2060"/>
      <c r="FT1768" s="2060"/>
      <c r="FU1768" s="2060"/>
      <c r="FV1768" s="2060"/>
      <c r="FW1768" s="2060"/>
      <c r="FX1768" s="2060"/>
      <c r="FY1768" s="2060"/>
      <c r="FZ1768" s="2060"/>
      <c r="GA1768" s="2060"/>
      <c r="GB1768" s="2060"/>
      <c r="GC1768" s="2060"/>
      <c r="GD1768" s="2060"/>
      <c r="GE1768" s="2060"/>
      <c r="GF1768" s="2060"/>
      <c r="GG1768" s="2060"/>
      <c r="GH1768" s="2060"/>
      <c r="GI1768" s="2060"/>
      <c r="GJ1768" s="2060"/>
      <c r="GK1768" s="2060"/>
      <c r="GL1768" s="2060"/>
      <c r="GM1768" s="2060"/>
      <c r="GN1768" s="2060"/>
      <c r="GO1768" s="2060"/>
      <c r="GP1768" s="2060"/>
      <c r="GQ1768" s="2060"/>
      <c r="GR1768" s="2060"/>
      <c r="GS1768" s="2060"/>
      <c r="GT1768" s="2060"/>
      <c r="GU1768" s="2060"/>
      <c r="GV1768" s="2060"/>
      <c r="GW1768" s="2060"/>
      <c r="GX1768" s="2060"/>
      <c r="GY1768" s="2060"/>
      <c r="GZ1768" s="2060"/>
      <c r="HA1768" s="2060"/>
      <c r="HB1768" s="2060"/>
      <c r="HC1768" s="2060"/>
      <c r="HD1768" s="2060"/>
      <c r="HE1768" s="2060"/>
      <c r="HF1768" s="2060"/>
      <c r="HG1768" s="2060"/>
      <c r="HH1768" s="2060"/>
      <c r="HI1768" s="2060"/>
      <c r="HJ1768" s="2060"/>
      <c r="HK1768" s="2060"/>
      <c r="HL1768" s="2060"/>
      <c r="HM1768" s="2060"/>
      <c r="HN1768" s="2060"/>
      <c r="HO1768" s="2060"/>
      <c r="HP1768" s="2060"/>
      <c r="HQ1768" s="2060"/>
      <c r="HR1768" s="2060"/>
      <c r="HS1768" s="2060"/>
      <c r="HT1768" s="2060"/>
      <c r="HU1768" s="2060"/>
      <c r="HV1768" s="2060"/>
      <c r="HW1768" s="2060"/>
      <c r="HX1768" s="2060"/>
      <c r="HY1768" s="2060"/>
      <c r="HZ1768" s="2060"/>
      <c r="IA1768" s="2060"/>
      <c r="IB1768" s="2060"/>
      <c r="IC1768" s="2060"/>
      <c r="ID1768" s="2060"/>
      <c r="IE1768" s="2060"/>
      <c r="IF1768" s="2060"/>
      <c r="IG1768" s="2060"/>
      <c r="IH1768" s="2060"/>
      <c r="II1768" s="2060"/>
      <c r="IJ1768" s="2060"/>
      <c r="IK1768" s="2060"/>
      <c r="IL1768" s="2060"/>
      <c r="IM1768" s="2060"/>
      <c r="IN1768" s="2060"/>
      <c r="IO1768" s="2060"/>
      <c r="IP1768" s="2060"/>
      <c r="IQ1768" s="2060"/>
      <c r="IR1768" s="2060"/>
      <c r="IS1768" s="2060"/>
      <c r="IT1768" s="2060"/>
      <c r="IU1768" s="2060"/>
      <c r="IV1768" s="2060"/>
      <c r="IW1768" s="2060"/>
      <c r="IX1768" s="2060"/>
      <c r="IY1768" s="2060"/>
      <c r="IZ1768" s="2060"/>
      <c r="JA1768" s="2060"/>
      <c r="JB1768" s="2060"/>
      <c r="JC1768" s="2060"/>
      <c r="JD1768" s="2060"/>
      <c r="JE1768" s="2060"/>
      <c r="JF1768" s="2060"/>
      <c r="JG1768" s="2060"/>
      <c r="JH1768" s="2060"/>
      <c r="JI1768" s="2060"/>
      <c r="JJ1768" s="2060"/>
      <c r="JK1768" s="2060"/>
      <c r="JL1768" s="2060"/>
      <c r="JM1768" s="2060"/>
      <c r="JN1768" s="2060"/>
      <c r="JO1768" s="2060"/>
      <c r="JP1768" s="2060"/>
      <c r="JQ1768" s="2060"/>
      <c r="JR1768" s="2060"/>
      <c r="JS1768" s="2060"/>
      <c r="JT1768" s="2060"/>
      <c r="JU1768" s="2060"/>
      <c r="JV1768" s="2060"/>
      <c r="JW1768" s="2060"/>
      <c r="JX1768" s="2060"/>
      <c r="JY1768" s="2060"/>
      <c r="JZ1768" s="2060"/>
      <c r="KA1768" s="2060"/>
      <c r="KB1768" s="2060"/>
      <c r="KC1768" s="2060"/>
      <c r="KD1768" s="2060"/>
      <c r="KE1768" s="2060"/>
      <c r="KF1768" s="2060"/>
      <c r="KG1768" s="2060"/>
      <c r="KH1768" s="2060"/>
      <c r="KI1768" s="2060"/>
      <c r="KJ1768" s="2060"/>
      <c r="KK1768" s="2060"/>
      <c r="KL1768" s="2060"/>
      <c r="KM1768" s="2060"/>
      <c r="KN1768" s="2060"/>
      <c r="KO1768" s="2060"/>
      <c r="KP1768" s="2060"/>
      <c r="KQ1768" s="2060"/>
      <c r="KR1768" s="2060"/>
      <c r="KS1768" s="2060"/>
      <c r="KT1768" s="2060"/>
      <c r="KU1768" s="2060"/>
      <c r="KV1768" s="2060"/>
      <c r="KW1768" s="2060"/>
      <c r="KX1768" s="2060"/>
      <c r="KY1768" s="2060"/>
      <c r="KZ1768" s="2060"/>
      <c r="LA1768" s="2060"/>
      <c r="LB1768" s="2060"/>
      <c r="LC1768" s="2060"/>
      <c r="LD1768" s="2060"/>
      <c r="LE1768" s="2060"/>
      <c r="LF1768" s="2060"/>
      <c r="LG1768" s="2060"/>
      <c r="LH1768" s="2060"/>
    </row>
    <row r="1769" spans="1:320" s="449" customFormat="1" ht="13.9">
      <c r="A1769" s="269" t="str">
        <f t="shared" si="477"/>
        <v>n</v>
      </c>
      <c r="B1769" s="2060"/>
      <c r="C1769" s="2060"/>
      <c r="D1769" s="2060"/>
      <c r="E1769" s="1661">
        <v>8</v>
      </c>
      <c r="F1769" s="1353" t="str">
        <f>F$136</f>
        <v>--</v>
      </c>
      <c r="G1769" s="128">
        <f>G$136</f>
        <v>0</v>
      </c>
      <c r="H1769" s="128" t="str">
        <f>H$136</f>
        <v>--</v>
      </c>
      <c r="I1769" s="89" t="s">
        <v>794</v>
      </c>
      <c r="J1769" s="2197" t="str">
        <f>IF($G1769=0,"",IFERROR(_xll.ciqfunctions.udf.CIQ($G1769,$I1769,J$1557,Valuation_Date_GC,ReportType,DataMode,$H1769,FXMode),"n/a"))</f>
        <v/>
      </c>
      <c r="K1769" s="2197" t="str">
        <f>IF($G1769=0,"",IFERROR(_xll.ciqfunctions.udf.CIQ($G1769,$I1769,K$1557,Valuation_Date_GC,ReportType,DataMode,$H1769,FXMode),"n/a"))</f>
        <v/>
      </c>
      <c r="L1769" s="2197" t="str">
        <f>IF($G1769=0,"",IFERROR(_xll.ciqfunctions.udf.CIQ($G1769,$I1769,L$1557,Valuation_Date_GC,ReportType,DataMode,$H1769,FXMode),"n/a"))</f>
        <v/>
      </c>
      <c r="M1769" s="2197" t="str">
        <f>IF($G1769=0,"",IFERROR(_xll.ciqfunctions.udf.CIQ($G1769,$I1769,M$1557,Valuation_Date_GC,ReportType,DataMode,$H1769,FXMode),"n/a"))</f>
        <v/>
      </c>
      <c r="N1769" s="2197" t="str">
        <f>IF($G1769=0,"",IFERROR(_xll.ciqfunctions.udf.CIQ($G1769,$I1769,N$1557,Valuation_Date_GC,ReportType,DataMode,$H1769,FXMode),"n/a"))</f>
        <v/>
      </c>
      <c r="O1769" s="2197" t="str">
        <f>IF($G1769=0,"",IFERROR(_xll.ciqfunctions.udf.CIQ($G1769,$I1769,O$1557,Valuation_Date_GC,ReportType,DataMode,$H1769,FXMode),"n/a"))</f>
        <v/>
      </c>
      <c r="P1769" s="2197" t="str">
        <f>IF($G1769=0,"",IFERROR(_xll.ciqfunctions.udf.CIQ($G1769,$I1769,P$1557,Valuation_Date_GC,ReportType,DataMode,$H1769,FXMode),"n/a"))</f>
        <v/>
      </c>
      <c r="Q1769" s="2197" t="str">
        <f>IF($G1769=0,"",IFERROR(_xll.ciqfunctions.udf.CIQ($G1769,$I1769,Q$1557,Valuation_Date_GC,ReportType,DataMode,$H1769,FXMode),"n/a"))</f>
        <v/>
      </c>
      <c r="R1769" s="2197" t="str">
        <f>IF($G1769=0,"",IFERROR(_xll.ciqfunctions.udf.CIQ($G1769,$I1769,R$1557,Valuation_Date_GC,ReportType,DataMode,$H1769,FXMode),"n/a"))</f>
        <v/>
      </c>
      <c r="S1769" s="2197" t="str">
        <f>IF($G1769=0,"",IFERROR(_xll.ciqfunctions.udf.CIQ($G1769,$I1769,S$1557,Valuation_Date_GC,ReportType,DataMode,$H1769,FXMode),"n/a"))</f>
        <v/>
      </c>
      <c r="T1769" s="2197" t="str">
        <f>IF($G1769=0,"",IFERROR(_xll.ciqfunctions.udf.CIQ($G1769,$I1769,T$1557,Valuation_Date_GC,ReportType,DataMode,$H1769,FXMode),"n/a"))</f>
        <v/>
      </c>
      <c r="U1769" s="2197" t="str">
        <f>IF($G1769=0,"",IFERROR(_xll.ciqfunctions.udf.CIQ($G1769,$I1769,U$1557,Valuation_Date_GC,ReportType,DataMode,$H1769,FXMode),"n/a"))</f>
        <v/>
      </c>
      <c r="V1769" s="2197" t="str">
        <f>IF($G1769=0,"",IFERROR(_xll.ciqfunctions.udf.CIQ($G1769,$I1769,V$1557,Valuation_Date_GC,ReportType,DataMode,$H1769,FXMode),"n/a"))</f>
        <v/>
      </c>
      <c r="W1769" s="1479"/>
      <c r="X1769" s="255"/>
      <c r="Y1769" s="89"/>
      <c r="Z1769" s="2060"/>
      <c r="AA1769" s="2060"/>
      <c r="AB1769" s="2060"/>
      <c r="AC1769" s="2060"/>
      <c r="AD1769" s="2060"/>
      <c r="AE1769" s="2060"/>
      <c r="AF1769" s="2060"/>
      <c r="AG1769" s="2060"/>
      <c r="AH1769" s="2060"/>
      <c r="AI1769" s="2060"/>
      <c r="AJ1769" s="2060"/>
      <c r="AK1769" s="2060"/>
      <c r="AL1769" s="2060"/>
      <c r="AM1769" s="2060"/>
      <c r="AN1769" s="2060"/>
      <c r="AO1769" s="2060"/>
      <c r="AP1769" s="2060"/>
      <c r="AQ1769" s="2060"/>
      <c r="AR1769" s="2060"/>
      <c r="AS1769" s="2060"/>
      <c r="AT1769" s="2060"/>
      <c r="AU1769" s="2060"/>
      <c r="AV1769" s="2060"/>
      <c r="AW1769" s="2060"/>
      <c r="AX1769" s="2060"/>
      <c r="AY1769" s="2060"/>
      <c r="AZ1769" s="2060"/>
      <c r="BA1769" s="2060"/>
      <c r="BB1769" s="2060"/>
      <c r="BC1769" s="2060"/>
      <c r="BD1769" s="2060"/>
      <c r="BE1769" s="2060"/>
      <c r="BF1769" s="2060"/>
      <c r="BG1769" s="2060"/>
      <c r="BH1769" s="2060"/>
      <c r="BI1769" s="2060"/>
      <c r="BJ1769" s="2060"/>
      <c r="BK1769" s="2060"/>
      <c r="BL1769" s="2060"/>
      <c r="BM1769" s="2060"/>
      <c r="BN1769" s="2060"/>
      <c r="BO1769" s="2060"/>
      <c r="BP1769" s="2060"/>
      <c r="BQ1769" s="2060"/>
      <c r="BR1769" s="2060"/>
      <c r="BS1769" s="2060"/>
      <c r="BT1769" s="2060"/>
      <c r="BU1769" s="2060"/>
      <c r="BV1769" s="2060"/>
      <c r="BW1769" s="2060"/>
      <c r="BX1769" s="2060"/>
      <c r="BY1769" s="2060"/>
      <c r="BZ1769" s="2060"/>
      <c r="CA1769" s="2060"/>
      <c r="CB1769" s="2060"/>
      <c r="CC1769" s="2060"/>
      <c r="CD1769" s="2060"/>
      <c r="CE1769" s="2060"/>
      <c r="CF1769" s="2060"/>
      <c r="CG1769" s="2060"/>
      <c r="CH1769" s="2060"/>
      <c r="CI1769" s="2060"/>
      <c r="CJ1769" s="2060"/>
      <c r="CK1769" s="2060"/>
      <c r="CL1769" s="2060"/>
      <c r="CM1769" s="2060"/>
      <c r="CN1769" s="2060"/>
      <c r="CO1769" s="2060"/>
      <c r="CP1769" s="2060"/>
      <c r="CQ1769" s="2060"/>
      <c r="CR1769" s="2060"/>
      <c r="CS1769" s="2060"/>
      <c r="CT1769" s="2060"/>
      <c r="CU1769" s="2060"/>
      <c r="CV1769" s="2060"/>
      <c r="CW1769" s="2060"/>
      <c r="CX1769" s="2060"/>
      <c r="CY1769" s="2060"/>
      <c r="CZ1769" s="2060"/>
      <c r="DA1769" s="2060"/>
      <c r="DB1769" s="2060"/>
      <c r="DC1769" s="2060"/>
      <c r="DD1769" s="2060"/>
      <c r="DE1769" s="2060"/>
      <c r="DF1769" s="2060"/>
      <c r="DG1769" s="2060"/>
      <c r="DH1769" s="2060"/>
      <c r="DI1769" s="2060"/>
      <c r="DJ1769" s="2060"/>
      <c r="DK1769" s="2060"/>
      <c r="DL1769" s="2060"/>
      <c r="DM1769" s="2060"/>
      <c r="DN1769" s="2060"/>
      <c r="DO1769" s="2060"/>
      <c r="DP1769" s="2060"/>
      <c r="DQ1769" s="2060"/>
      <c r="DR1769" s="2060"/>
      <c r="DS1769" s="2060"/>
      <c r="DT1769" s="2060"/>
      <c r="DU1769" s="2060"/>
      <c r="DV1769" s="2060"/>
      <c r="DW1769" s="2060"/>
      <c r="DX1769" s="2060"/>
      <c r="DY1769" s="2060"/>
      <c r="DZ1769" s="2060"/>
      <c r="EA1769" s="2060"/>
      <c r="EB1769" s="2060"/>
      <c r="EC1769" s="2060"/>
      <c r="ED1769" s="2060"/>
      <c r="EE1769" s="2060"/>
      <c r="EF1769" s="2060"/>
      <c r="EG1769" s="2060"/>
      <c r="EH1769" s="2060"/>
      <c r="EI1769" s="2060"/>
      <c r="EJ1769" s="2060"/>
      <c r="EK1769" s="2060"/>
      <c r="EL1769" s="2060"/>
      <c r="EM1769" s="2060"/>
      <c r="EN1769" s="2060"/>
      <c r="EO1769" s="2060"/>
      <c r="EP1769" s="2060"/>
      <c r="EQ1769" s="2060"/>
      <c r="ER1769" s="2060"/>
      <c r="ES1769" s="2060"/>
      <c r="ET1769" s="2060"/>
      <c r="EU1769" s="2060"/>
      <c r="EV1769" s="2060"/>
      <c r="EW1769" s="2060"/>
      <c r="EX1769" s="2060"/>
      <c r="EY1769" s="2060"/>
      <c r="EZ1769" s="2060"/>
      <c r="FA1769" s="2060"/>
      <c r="FB1769" s="2060"/>
      <c r="FC1769" s="2060"/>
      <c r="FD1769" s="2060"/>
      <c r="FE1769" s="2060"/>
      <c r="FF1769" s="2060"/>
      <c r="FG1769" s="2060"/>
      <c r="FH1769" s="2060"/>
      <c r="FI1769" s="2060"/>
      <c r="FJ1769" s="2060"/>
      <c r="FK1769" s="2060"/>
      <c r="FL1769" s="2060"/>
      <c r="FM1769" s="2060"/>
      <c r="FN1769" s="2060"/>
      <c r="FO1769" s="2060"/>
      <c r="FP1769" s="2060"/>
      <c r="FQ1769" s="2060"/>
      <c r="FR1769" s="2060"/>
      <c r="FS1769" s="2060"/>
      <c r="FT1769" s="2060"/>
      <c r="FU1769" s="2060"/>
      <c r="FV1769" s="2060"/>
      <c r="FW1769" s="2060"/>
      <c r="FX1769" s="2060"/>
      <c r="FY1769" s="2060"/>
      <c r="FZ1769" s="2060"/>
      <c r="GA1769" s="2060"/>
      <c r="GB1769" s="2060"/>
      <c r="GC1769" s="2060"/>
      <c r="GD1769" s="2060"/>
      <c r="GE1769" s="2060"/>
      <c r="GF1769" s="2060"/>
      <c r="GG1769" s="2060"/>
      <c r="GH1769" s="2060"/>
      <c r="GI1769" s="2060"/>
      <c r="GJ1769" s="2060"/>
      <c r="GK1769" s="2060"/>
      <c r="GL1769" s="2060"/>
      <c r="GM1769" s="2060"/>
      <c r="GN1769" s="2060"/>
      <c r="GO1769" s="2060"/>
      <c r="GP1769" s="2060"/>
      <c r="GQ1769" s="2060"/>
      <c r="GR1769" s="2060"/>
      <c r="GS1769" s="2060"/>
      <c r="GT1769" s="2060"/>
      <c r="GU1769" s="2060"/>
      <c r="GV1769" s="2060"/>
      <c r="GW1769" s="2060"/>
      <c r="GX1769" s="2060"/>
      <c r="GY1769" s="2060"/>
      <c r="GZ1769" s="2060"/>
      <c r="HA1769" s="2060"/>
      <c r="HB1769" s="2060"/>
      <c r="HC1769" s="2060"/>
      <c r="HD1769" s="2060"/>
      <c r="HE1769" s="2060"/>
      <c r="HF1769" s="2060"/>
      <c r="HG1769" s="2060"/>
      <c r="HH1769" s="2060"/>
      <c r="HI1769" s="2060"/>
      <c r="HJ1769" s="2060"/>
      <c r="HK1769" s="2060"/>
      <c r="HL1769" s="2060"/>
      <c r="HM1769" s="2060"/>
      <c r="HN1769" s="2060"/>
      <c r="HO1769" s="2060"/>
      <c r="HP1769" s="2060"/>
      <c r="HQ1769" s="2060"/>
      <c r="HR1769" s="2060"/>
      <c r="HS1769" s="2060"/>
      <c r="HT1769" s="2060"/>
      <c r="HU1769" s="2060"/>
      <c r="HV1769" s="2060"/>
      <c r="HW1769" s="2060"/>
      <c r="HX1769" s="2060"/>
      <c r="HY1769" s="2060"/>
      <c r="HZ1769" s="2060"/>
      <c r="IA1769" s="2060"/>
      <c r="IB1769" s="2060"/>
      <c r="IC1769" s="2060"/>
      <c r="ID1769" s="2060"/>
      <c r="IE1769" s="2060"/>
      <c r="IF1769" s="2060"/>
      <c r="IG1769" s="2060"/>
      <c r="IH1769" s="2060"/>
      <c r="II1769" s="2060"/>
      <c r="IJ1769" s="2060"/>
      <c r="IK1769" s="2060"/>
      <c r="IL1769" s="2060"/>
      <c r="IM1769" s="2060"/>
      <c r="IN1769" s="2060"/>
      <c r="IO1769" s="2060"/>
      <c r="IP1769" s="2060"/>
      <c r="IQ1769" s="2060"/>
      <c r="IR1769" s="2060"/>
      <c r="IS1769" s="2060"/>
      <c r="IT1769" s="2060"/>
      <c r="IU1769" s="2060"/>
      <c r="IV1769" s="2060"/>
      <c r="IW1769" s="2060"/>
      <c r="IX1769" s="2060"/>
      <c r="IY1769" s="2060"/>
      <c r="IZ1769" s="2060"/>
      <c r="JA1769" s="2060"/>
      <c r="JB1769" s="2060"/>
      <c r="JC1769" s="2060"/>
      <c r="JD1769" s="2060"/>
      <c r="JE1769" s="2060"/>
      <c r="JF1769" s="2060"/>
      <c r="JG1769" s="2060"/>
      <c r="JH1769" s="2060"/>
      <c r="JI1769" s="2060"/>
      <c r="JJ1769" s="2060"/>
      <c r="JK1769" s="2060"/>
      <c r="JL1769" s="2060"/>
      <c r="JM1769" s="2060"/>
      <c r="JN1769" s="2060"/>
      <c r="JO1769" s="2060"/>
      <c r="JP1769" s="2060"/>
      <c r="JQ1769" s="2060"/>
      <c r="JR1769" s="2060"/>
      <c r="JS1769" s="2060"/>
      <c r="JT1769" s="2060"/>
      <c r="JU1769" s="2060"/>
      <c r="JV1769" s="2060"/>
      <c r="JW1769" s="2060"/>
      <c r="JX1769" s="2060"/>
      <c r="JY1769" s="2060"/>
      <c r="JZ1769" s="2060"/>
      <c r="KA1769" s="2060"/>
      <c r="KB1769" s="2060"/>
      <c r="KC1769" s="2060"/>
      <c r="KD1769" s="2060"/>
      <c r="KE1769" s="2060"/>
      <c r="KF1769" s="2060"/>
      <c r="KG1769" s="2060"/>
      <c r="KH1769" s="2060"/>
      <c r="KI1769" s="2060"/>
      <c r="KJ1769" s="2060"/>
      <c r="KK1769" s="2060"/>
      <c r="KL1769" s="2060"/>
      <c r="KM1769" s="2060"/>
      <c r="KN1769" s="2060"/>
      <c r="KO1769" s="2060"/>
      <c r="KP1769" s="2060"/>
      <c r="KQ1769" s="2060"/>
      <c r="KR1769" s="2060"/>
      <c r="KS1769" s="2060"/>
      <c r="KT1769" s="2060"/>
      <c r="KU1769" s="2060"/>
      <c r="KV1769" s="2060"/>
      <c r="KW1769" s="2060"/>
      <c r="KX1769" s="2060"/>
      <c r="KY1769" s="2060"/>
      <c r="KZ1769" s="2060"/>
      <c r="LA1769" s="2060"/>
      <c r="LB1769" s="2060"/>
      <c r="LC1769" s="2060"/>
      <c r="LD1769" s="2060"/>
      <c r="LE1769" s="2060"/>
      <c r="LF1769" s="2060"/>
      <c r="LG1769" s="2060"/>
      <c r="LH1769" s="2060"/>
    </row>
    <row r="1770" spans="1:320" s="646" customFormat="1" ht="13.9">
      <c r="A1770" s="269" t="str">
        <f t="shared" si="477"/>
        <v>n</v>
      </c>
      <c r="B1770" s="2060"/>
      <c r="C1770" s="2060"/>
      <c r="D1770" s="2060"/>
      <c r="E1770" s="1661">
        <v>9</v>
      </c>
      <c r="F1770" s="1353" t="str">
        <f>F$137</f>
        <v>--</v>
      </c>
      <c r="G1770" s="128">
        <f>G$137</f>
        <v>0</v>
      </c>
      <c r="H1770" s="128" t="str">
        <f>H$137</f>
        <v>--</v>
      </c>
      <c r="I1770" s="89" t="s">
        <v>794</v>
      </c>
      <c r="J1770" s="2197" t="str">
        <f>IF($G1770=0,"",IFERROR(_xll.ciqfunctions.udf.CIQ($G1770,$I1770,J$1557,Valuation_Date_GC,ReportType,DataMode,$H1770,FXMode),"n/a"))</f>
        <v/>
      </c>
      <c r="K1770" s="2197" t="str">
        <f>IF($G1770=0,"",IFERROR(_xll.ciqfunctions.udf.CIQ($G1770,$I1770,K$1557,Valuation_Date_GC,ReportType,DataMode,$H1770,FXMode),"n/a"))</f>
        <v/>
      </c>
      <c r="L1770" s="2197" t="str">
        <f>IF($G1770=0,"",IFERROR(_xll.ciqfunctions.udf.CIQ($G1770,$I1770,L$1557,Valuation_Date_GC,ReportType,DataMode,$H1770,FXMode),"n/a"))</f>
        <v/>
      </c>
      <c r="M1770" s="2197" t="str">
        <f>IF($G1770=0,"",IFERROR(_xll.ciqfunctions.udf.CIQ($G1770,$I1770,M$1557,Valuation_Date_GC,ReportType,DataMode,$H1770,FXMode),"n/a"))</f>
        <v/>
      </c>
      <c r="N1770" s="2197" t="str">
        <f>IF($G1770=0,"",IFERROR(_xll.ciqfunctions.udf.CIQ($G1770,$I1770,N$1557,Valuation_Date_GC,ReportType,DataMode,$H1770,FXMode),"n/a"))</f>
        <v/>
      </c>
      <c r="O1770" s="2197" t="str">
        <f>IF($G1770=0,"",IFERROR(_xll.ciqfunctions.udf.CIQ($G1770,$I1770,O$1557,Valuation_Date_GC,ReportType,DataMode,$H1770,FXMode),"n/a"))</f>
        <v/>
      </c>
      <c r="P1770" s="2197" t="str">
        <f>IF($G1770=0,"",IFERROR(_xll.ciqfunctions.udf.CIQ($G1770,$I1770,P$1557,Valuation_Date_GC,ReportType,DataMode,$H1770,FXMode),"n/a"))</f>
        <v/>
      </c>
      <c r="Q1770" s="2197" t="str">
        <f>IF($G1770=0,"",IFERROR(_xll.ciqfunctions.udf.CIQ($G1770,$I1770,Q$1557,Valuation_Date_GC,ReportType,DataMode,$H1770,FXMode),"n/a"))</f>
        <v/>
      </c>
      <c r="R1770" s="2197" t="str">
        <f>IF($G1770=0,"",IFERROR(_xll.ciqfunctions.udf.CIQ($G1770,$I1770,R$1557,Valuation_Date_GC,ReportType,DataMode,$H1770,FXMode),"n/a"))</f>
        <v/>
      </c>
      <c r="S1770" s="2197" t="str">
        <f>IF($G1770=0,"",IFERROR(_xll.ciqfunctions.udf.CIQ($G1770,$I1770,S$1557,Valuation_Date_GC,ReportType,DataMode,$H1770,FXMode),"n/a"))</f>
        <v/>
      </c>
      <c r="T1770" s="2197" t="str">
        <f>IF($G1770=0,"",IFERROR(_xll.ciqfunctions.udf.CIQ($G1770,$I1770,T$1557,Valuation_Date_GC,ReportType,DataMode,$H1770,FXMode),"n/a"))</f>
        <v/>
      </c>
      <c r="U1770" s="2197" t="str">
        <f>IF($G1770=0,"",IFERROR(_xll.ciqfunctions.udf.CIQ($G1770,$I1770,U$1557,Valuation_Date_GC,ReportType,DataMode,$H1770,FXMode),"n/a"))</f>
        <v/>
      </c>
      <c r="V1770" s="2197" t="str">
        <f>IF($G1770=0,"",IFERROR(_xll.ciqfunctions.udf.CIQ($G1770,$I1770,V$1557,Valuation_Date_GC,ReportType,DataMode,$H1770,FXMode),"n/a"))</f>
        <v/>
      </c>
      <c r="W1770" s="1479"/>
      <c r="X1770" s="255"/>
      <c r="Y1770" s="89"/>
      <c r="Z1770" s="2060"/>
      <c r="AA1770" s="2060"/>
      <c r="AB1770" s="2060"/>
      <c r="AC1770" s="2060"/>
      <c r="AD1770" s="2060"/>
      <c r="AE1770" s="2060"/>
      <c r="AF1770" s="2060"/>
      <c r="AG1770" s="2060"/>
      <c r="AH1770" s="2060"/>
      <c r="AI1770" s="2060"/>
      <c r="AJ1770" s="2060"/>
      <c r="AK1770" s="2060"/>
      <c r="AL1770" s="2060"/>
      <c r="AM1770" s="2060"/>
      <c r="AN1770" s="2060"/>
      <c r="AO1770" s="2060"/>
      <c r="AP1770" s="2060"/>
      <c r="AQ1770" s="2060"/>
      <c r="AR1770" s="2060"/>
      <c r="AS1770" s="2060"/>
      <c r="AT1770" s="2060"/>
      <c r="AU1770" s="2060"/>
      <c r="AV1770" s="2060"/>
      <c r="AW1770" s="2060"/>
      <c r="AX1770" s="2060"/>
      <c r="AY1770" s="2060"/>
      <c r="AZ1770" s="2060"/>
      <c r="BA1770" s="2060"/>
      <c r="BB1770" s="2060"/>
      <c r="BC1770" s="2060"/>
      <c r="BD1770" s="2060"/>
      <c r="BE1770" s="2060"/>
      <c r="BF1770" s="2060"/>
      <c r="BG1770" s="2060"/>
      <c r="BH1770" s="2060"/>
      <c r="BI1770" s="2060"/>
      <c r="BJ1770" s="2060"/>
      <c r="BK1770" s="2060"/>
      <c r="BL1770" s="2060"/>
      <c r="BM1770" s="2060"/>
      <c r="BN1770" s="2060"/>
      <c r="BO1770" s="2060"/>
      <c r="BP1770" s="2060"/>
      <c r="BQ1770" s="2060"/>
      <c r="BR1770" s="2060"/>
      <c r="BS1770" s="2060"/>
      <c r="BT1770" s="2060"/>
      <c r="BU1770" s="2060"/>
      <c r="BV1770" s="2060"/>
      <c r="BW1770" s="2060"/>
      <c r="BX1770" s="2060"/>
      <c r="BY1770" s="2060"/>
      <c r="BZ1770" s="2060"/>
      <c r="CA1770" s="2060"/>
      <c r="CB1770" s="2060"/>
      <c r="CC1770" s="2060"/>
      <c r="CD1770" s="2060"/>
      <c r="CE1770" s="2060"/>
      <c r="CF1770" s="2060"/>
      <c r="CG1770" s="2060"/>
      <c r="CH1770" s="2060"/>
      <c r="CI1770" s="2060"/>
      <c r="CJ1770" s="2060"/>
      <c r="CK1770" s="2060"/>
      <c r="CL1770" s="2060"/>
      <c r="CM1770" s="2060"/>
      <c r="CN1770" s="2060"/>
      <c r="CO1770" s="2060"/>
      <c r="CP1770" s="2060"/>
      <c r="CQ1770" s="2060"/>
      <c r="CR1770" s="2060"/>
      <c r="CS1770" s="2060"/>
      <c r="CT1770" s="2060"/>
      <c r="CU1770" s="2060"/>
      <c r="CV1770" s="2060"/>
      <c r="CW1770" s="2060"/>
      <c r="CX1770" s="2060"/>
      <c r="CY1770" s="2060"/>
      <c r="CZ1770" s="2060"/>
      <c r="DA1770" s="2060"/>
      <c r="DB1770" s="2060"/>
      <c r="DC1770" s="2060"/>
      <c r="DD1770" s="2060"/>
      <c r="DE1770" s="2060"/>
      <c r="DF1770" s="2060"/>
      <c r="DG1770" s="2060"/>
      <c r="DH1770" s="2060"/>
      <c r="DI1770" s="2060"/>
      <c r="DJ1770" s="2060"/>
      <c r="DK1770" s="2060"/>
      <c r="DL1770" s="2060"/>
      <c r="DM1770" s="2060"/>
      <c r="DN1770" s="2060"/>
      <c r="DO1770" s="2060"/>
      <c r="DP1770" s="2060"/>
      <c r="DQ1770" s="2060"/>
      <c r="DR1770" s="2060"/>
      <c r="DS1770" s="2060"/>
      <c r="DT1770" s="2060"/>
      <c r="DU1770" s="2060"/>
      <c r="DV1770" s="2060"/>
      <c r="DW1770" s="2060"/>
      <c r="DX1770" s="2060"/>
      <c r="DY1770" s="2060"/>
      <c r="DZ1770" s="2060"/>
      <c r="EA1770" s="2060"/>
      <c r="EB1770" s="2060"/>
      <c r="EC1770" s="2060"/>
      <c r="ED1770" s="2060"/>
      <c r="EE1770" s="2060"/>
      <c r="EF1770" s="2060"/>
      <c r="EG1770" s="2060"/>
      <c r="EH1770" s="2060"/>
      <c r="EI1770" s="2060"/>
      <c r="EJ1770" s="2060"/>
      <c r="EK1770" s="2060"/>
      <c r="EL1770" s="2060"/>
      <c r="EM1770" s="2060"/>
      <c r="EN1770" s="2060"/>
      <c r="EO1770" s="2060"/>
      <c r="EP1770" s="2060"/>
      <c r="EQ1770" s="2060"/>
      <c r="ER1770" s="2060"/>
      <c r="ES1770" s="2060"/>
      <c r="ET1770" s="2060"/>
      <c r="EU1770" s="2060"/>
      <c r="EV1770" s="2060"/>
      <c r="EW1770" s="2060"/>
      <c r="EX1770" s="2060"/>
      <c r="EY1770" s="2060"/>
      <c r="EZ1770" s="2060"/>
      <c r="FA1770" s="2060"/>
      <c r="FB1770" s="2060"/>
      <c r="FC1770" s="2060"/>
      <c r="FD1770" s="2060"/>
      <c r="FE1770" s="2060"/>
      <c r="FF1770" s="2060"/>
      <c r="FG1770" s="2060"/>
      <c r="FH1770" s="2060"/>
      <c r="FI1770" s="2060"/>
      <c r="FJ1770" s="2060"/>
      <c r="FK1770" s="2060"/>
      <c r="FL1770" s="2060"/>
      <c r="FM1770" s="2060"/>
      <c r="FN1770" s="2060"/>
      <c r="FO1770" s="2060"/>
      <c r="FP1770" s="2060"/>
      <c r="FQ1770" s="2060"/>
      <c r="FR1770" s="2060"/>
      <c r="FS1770" s="2060"/>
      <c r="FT1770" s="2060"/>
      <c r="FU1770" s="2060"/>
      <c r="FV1770" s="2060"/>
      <c r="FW1770" s="2060"/>
      <c r="FX1770" s="2060"/>
      <c r="FY1770" s="2060"/>
      <c r="FZ1770" s="2060"/>
      <c r="GA1770" s="2060"/>
      <c r="GB1770" s="2060"/>
      <c r="GC1770" s="2060"/>
      <c r="GD1770" s="2060"/>
      <c r="GE1770" s="2060"/>
      <c r="GF1770" s="2060"/>
      <c r="GG1770" s="2060"/>
      <c r="GH1770" s="2060"/>
      <c r="GI1770" s="2060"/>
      <c r="GJ1770" s="2060"/>
      <c r="GK1770" s="2060"/>
      <c r="GL1770" s="2060"/>
      <c r="GM1770" s="2060"/>
      <c r="GN1770" s="2060"/>
      <c r="GO1770" s="2060"/>
      <c r="GP1770" s="2060"/>
      <c r="GQ1770" s="2060"/>
      <c r="GR1770" s="2060"/>
      <c r="GS1770" s="2060"/>
      <c r="GT1770" s="2060"/>
      <c r="GU1770" s="2060"/>
      <c r="GV1770" s="2060"/>
      <c r="GW1770" s="2060"/>
      <c r="GX1770" s="2060"/>
      <c r="GY1770" s="2060"/>
      <c r="GZ1770" s="2060"/>
      <c r="HA1770" s="2060"/>
      <c r="HB1770" s="2060"/>
      <c r="HC1770" s="2060"/>
      <c r="HD1770" s="2060"/>
      <c r="HE1770" s="2060"/>
      <c r="HF1770" s="2060"/>
      <c r="HG1770" s="2060"/>
      <c r="HH1770" s="2060"/>
      <c r="HI1770" s="2060"/>
      <c r="HJ1770" s="2060"/>
      <c r="HK1770" s="2060"/>
      <c r="HL1770" s="2060"/>
      <c r="HM1770" s="2060"/>
      <c r="HN1770" s="2060"/>
      <c r="HO1770" s="2060"/>
      <c r="HP1770" s="2060"/>
      <c r="HQ1770" s="2060"/>
      <c r="HR1770" s="2060"/>
      <c r="HS1770" s="2060"/>
      <c r="HT1770" s="2060"/>
      <c r="HU1770" s="2060"/>
      <c r="HV1770" s="2060"/>
      <c r="HW1770" s="2060"/>
      <c r="HX1770" s="2060"/>
      <c r="HY1770" s="2060"/>
      <c r="HZ1770" s="2060"/>
      <c r="IA1770" s="2060"/>
      <c r="IB1770" s="2060"/>
      <c r="IC1770" s="2060"/>
      <c r="ID1770" s="2060"/>
      <c r="IE1770" s="2060"/>
      <c r="IF1770" s="2060"/>
      <c r="IG1770" s="2060"/>
      <c r="IH1770" s="2060"/>
      <c r="II1770" s="2060"/>
      <c r="IJ1770" s="2060"/>
      <c r="IK1770" s="2060"/>
      <c r="IL1770" s="2060"/>
      <c r="IM1770" s="2060"/>
      <c r="IN1770" s="2060"/>
      <c r="IO1770" s="2060"/>
      <c r="IP1770" s="2060"/>
      <c r="IQ1770" s="2060"/>
      <c r="IR1770" s="2060"/>
      <c r="IS1770" s="2060"/>
      <c r="IT1770" s="2060"/>
      <c r="IU1770" s="2060"/>
      <c r="IV1770" s="2060"/>
      <c r="IW1770" s="2060"/>
      <c r="IX1770" s="2060"/>
      <c r="IY1770" s="2060"/>
      <c r="IZ1770" s="2060"/>
      <c r="JA1770" s="2060"/>
      <c r="JB1770" s="2060"/>
      <c r="JC1770" s="2060"/>
      <c r="JD1770" s="2060"/>
      <c r="JE1770" s="2060"/>
      <c r="JF1770" s="2060"/>
      <c r="JG1770" s="2060"/>
      <c r="JH1770" s="2060"/>
      <c r="JI1770" s="2060"/>
      <c r="JJ1770" s="2060"/>
      <c r="JK1770" s="2060"/>
      <c r="JL1770" s="2060"/>
      <c r="JM1770" s="2060"/>
      <c r="JN1770" s="2060"/>
      <c r="JO1770" s="2060"/>
      <c r="JP1770" s="2060"/>
      <c r="JQ1770" s="2060"/>
      <c r="JR1770" s="2060"/>
      <c r="JS1770" s="2060"/>
      <c r="JT1770" s="2060"/>
      <c r="JU1770" s="2060"/>
      <c r="JV1770" s="2060"/>
      <c r="JW1770" s="2060"/>
      <c r="JX1770" s="2060"/>
      <c r="JY1770" s="2060"/>
      <c r="JZ1770" s="2060"/>
      <c r="KA1770" s="2060"/>
      <c r="KB1770" s="2060"/>
      <c r="KC1770" s="2060"/>
      <c r="KD1770" s="2060"/>
      <c r="KE1770" s="2060"/>
      <c r="KF1770" s="2060"/>
      <c r="KG1770" s="2060"/>
      <c r="KH1770" s="2060"/>
      <c r="KI1770" s="2060"/>
      <c r="KJ1770" s="2060"/>
      <c r="KK1770" s="2060"/>
      <c r="KL1770" s="2060"/>
      <c r="KM1770" s="2060"/>
      <c r="KN1770" s="2060"/>
      <c r="KO1770" s="2060"/>
      <c r="KP1770" s="2060"/>
      <c r="KQ1770" s="2060"/>
      <c r="KR1770" s="2060"/>
      <c r="KS1770" s="2060"/>
      <c r="KT1770" s="2060"/>
      <c r="KU1770" s="2060"/>
      <c r="KV1770" s="2060"/>
      <c r="KW1770" s="2060"/>
      <c r="KX1770" s="2060"/>
      <c r="KY1770" s="2060"/>
      <c r="KZ1770" s="2060"/>
      <c r="LA1770" s="2060"/>
      <c r="LB1770" s="2060"/>
      <c r="LC1770" s="2060"/>
      <c r="LD1770" s="2060"/>
      <c r="LE1770" s="2060"/>
      <c r="LF1770" s="2060"/>
      <c r="LG1770" s="2060"/>
      <c r="LH1770" s="2060"/>
    </row>
    <row r="1771" spans="1:320" s="646" customFormat="1" ht="13.9">
      <c r="A1771" s="269" t="str">
        <f t="shared" si="477"/>
        <v>n</v>
      </c>
      <c r="B1771" s="2060"/>
      <c r="C1771" s="2060"/>
      <c r="D1771" s="2060"/>
      <c r="E1771" s="1661">
        <v>10</v>
      </c>
      <c r="F1771" s="1353" t="str">
        <f>F$138</f>
        <v>--</v>
      </c>
      <c r="G1771" s="128">
        <f>G$138</f>
        <v>0</v>
      </c>
      <c r="H1771" s="128" t="str">
        <f>H$138</f>
        <v>--</v>
      </c>
      <c r="I1771" s="89" t="s">
        <v>794</v>
      </c>
      <c r="J1771" s="2197" t="str">
        <f>IF($G1771=0,"",IFERROR(_xll.ciqfunctions.udf.CIQ($G1771,$I1771,J$1557,Valuation_Date_GC,ReportType,DataMode,$H1771,FXMode),"n/a"))</f>
        <v/>
      </c>
      <c r="K1771" s="2197" t="str">
        <f>IF($G1771=0,"",IFERROR(_xll.ciqfunctions.udf.CIQ($G1771,$I1771,K$1557,Valuation_Date_GC,ReportType,DataMode,$H1771,FXMode),"n/a"))</f>
        <v/>
      </c>
      <c r="L1771" s="2197" t="str">
        <f>IF($G1771=0,"",IFERROR(_xll.ciqfunctions.udf.CIQ($G1771,$I1771,L$1557,Valuation_Date_GC,ReportType,DataMode,$H1771,FXMode),"n/a"))</f>
        <v/>
      </c>
      <c r="M1771" s="2197" t="str">
        <f>IF($G1771=0,"",IFERROR(_xll.ciqfunctions.udf.CIQ($G1771,$I1771,M$1557,Valuation_Date_GC,ReportType,DataMode,$H1771,FXMode),"n/a"))</f>
        <v/>
      </c>
      <c r="N1771" s="2197" t="str">
        <f>IF($G1771=0,"",IFERROR(_xll.ciqfunctions.udf.CIQ($G1771,$I1771,N$1557,Valuation_Date_GC,ReportType,DataMode,$H1771,FXMode),"n/a"))</f>
        <v/>
      </c>
      <c r="O1771" s="2197" t="str">
        <f>IF($G1771=0,"",IFERROR(_xll.ciqfunctions.udf.CIQ($G1771,$I1771,O$1557,Valuation_Date_GC,ReportType,DataMode,$H1771,FXMode),"n/a"))</f>
        <v/>
      </c>
      <c r="P1771" s="2197" t="str">
        <f>IF($G1771=0,"",IFERROR(_xll.ciqfunctions.udf.CIQ($G1771,$I1771,P$1557,Valuation_Date_GC,ReportType,DataMode,$H1771,FXMode),"n/a"))</f>
        <v/>
      </c>
      <c r="Q1771" s="2197" t="str">
        <f>IF($G1771=0,"",IFERROR(_xll.ciqfunctions.udf.CIQ($G1771,$I1771,Q$1557,Valuation_Date_GC,ReportType,DataMode,$H1771,FXMode),"n/a"))</f>
        <v/>
      </c>
      <c r="R1771" s="2197" t="str">
        <f>IF($G1771=0,"",IFERROR(_xll.ciqfunctions.udf.CIQ($G1771,$I1771,R$1557,Valuation_Date_GC,ReportType,DataMode,$H1771,FXMode),"n/a"))</f>
        <v/>
      </c>
      <c r="S1771" s="2197" t="str">
        <f>IF($G1771=0,"",IFERROR(_xll.ciqfunctions.udf.CIQ($G1771,$I1771,S$1557,Valuation_Date_GC,ReportType,DataMode,$H1771,FXMode),"n/a"))</f>
        <v/>
      </c>
      <c r="T1771" s="2197" t="str">
        <f>IF($G1771=0,"",IFERROR(_xll.ciqfunctions.udf.CIQ($G1771,$I1771,T$1557,Valuation_Date_GC,ReportType,DataMode,$H1771,FXMode),"n/a"))</f>
        <v/>
      </c>
      <c r="U1771" s="2197" t="str">
        <f>IF($G1771=0,"",IFERROR(_xll.ciqfunctions.udf.CIQ($G1771,$I1771,U$1557,Valuation_Date_GC,ReportType,DataMode,$H1771,FXMode),"n/a"))</f>
        <v/>
      </c>
      <c r="V1771" s="2197" t="str">
        <f>IF($G1771=0,"",IFERROR(_xll.ciqfunctions.udf.CIQ($G1771,$I1771,V$1557,Valuation_Date_GC,ReportType,DataMode,$H1771,FXMode),"n/a"))</f>
        <v/>
      </c>
      <c r="W1771" s="1479"/>
      <c r="X1771" s="255"/>
      <c r="Y1771" s="89"/>
      <c r="Z1771" s="2060"/>
      <c r="AA1771" s="2060"/>
      <c r="AB1771" s="2060"/>
      <c r="AC1771" s="2060"/>
      <c r="AD1771" s="2060"/>
      <c r="AE1771" s="2060"/>
      <c r="AF1771" s="2060"/>
      <c r="AG1771" s="2060"/>
      <c r="AH1771" s="2060"/>
      <c r="AI1771" s="2060"/>
      <c r="AJ1771" s="2060"/>
      <c r="AK1771" s="2060"/>
      <c r="AL1771" s="2060"/>
      <c r="AM1771" s="2060"/>
      <c r="AN1771" s="2060"/>
      <c r="AO1771" s="2060"/>
      <c r="AP1771" s="2060"/>
      <c r="AQ1771" s="2060"/>
      <c r="AR1771" s="2060"/>
      <c r="AS1771" s="2060"/>
      <c r="AT1771" s="2060"/>
      <c r="AU1771" s="2060"/>
      <c r="AV1771" s="2060"/>
      <c r="AW1771" s="2060"/>
      <c r="AX1771" s="2060"/>
      <c r="AY1771" s="2060"/>
      <c r="AZ1771" s="2060"/>
      <c r="BA1771" s="2060"/>
      <c r="BB1771" s="2060"/>
      <c r="BC1771" s="2060"/>
      <c r="BD1771" s="2060"/>
      <c r="BE1771" s="2060"/>
      <c r="BF1771" s="2060"/>
      <c r="BG1771" s="2060"/>
      <c r="BH1771" s="2060"/>
      <c r="BI1771" s="2060"/>
      <c r="BJ1771" s="2060"/>
      <c r="BK1771" s="2060"/>
      <c r="BL1771" s="2060"/>
      <c r="BM1771" s="2060"/>
      <c r="BN1771" s="2060"/>
      <c r="BO1771" s="2060"/>
      <c r="BP1771" s="2060"/>
      <c r="BQ1771" s="2060"/>
      <c r="BR1771" s="2060"/>
      <c r="BS1771" s="2060"/>
      <c r="BT1771" s="2060"/>
      <c r="BU1771" s="2060"/>
      <c r="BV1771" s="2060"/>
      <c r="BW1771" s="2060"/>
      <c r="BX1771" s="2060"/>
      <c r="BY1771" s="2060"/>
      <c r="BZ1771" s="2060"/>
      <c r="CA1771" s="2060"/>
      <c r="CB1771" s="2060"/>
      <c r="CC1771" s="2060"/>
      <c r="CD1771" s="2060"/>
      <c r="CE1771" s="2060"/>
      <c r="CF1771" s="2060"/>
      <c r="CG1771" s="2060"/>
      <c r="CH1771" s="2060"/>
      <c r="CI1771" s="2060"/>
      <c r="CJ1771" s="2060"/>
      <c r="CK1771" s="2060"/>
      <c r="CL1771" s="2060"/>
      <c r="CM1771" s="2060"/>
      <c r="CN1771" s="2060"/>
      <c r="CO1771" s="2060"/>
      <c r="CP1771" s="2060"/>
      <c r="CQ1771" s="2060"/>
      <c r="CR1771" s="2060"/>
      <c r="CS1771" s="2060"/>
      <c r="CT1771" s="2060"/>
      <c r="CU1771" s="2060"/>
      <c r="CV1771" s="2060"/>
      <c r="CW1771" s="2060"/>
      <c r="CX1771" s="2060"/>
      <c r="CY1771" s="2060"/>
      <c r="CZ1771" s="2060"/>
      <c r="DA1771" s="2060"/>
      <c r="DB1771" s="2060"/>
      <c r="DC1771" s="2060"/>
      <c r="DD1771" s="2060"/>
      <c r="DE1771" s="2060"/>
      <c r="DF1771" s="2060"/>
      <c r="DG1771" s="2060"/>
      <c r="DH1771" s="2060"/>
      <c r="DI1771" s="2060"/>
      <c r="DJ1771" s="2060"/>
      <c r="DK1771" s="2060"/>
      <c r="DL1771" s="2060"/>
      <c r="DM1771" s="2060"/>
      <c r="DN1771" s="2060"/>
      <c r="DO1771" s="2060"/>
      <c r="DP1771" s="2060"/>
      <c r="DQ1771" s="2060"/>
      <c r="DR1771" s="2060"/>
      <c r="DS1771" s="2060"/>
      <c r="DT1771" s="2060"/>
      <c r="DU1771" s="2060"/>
      <c r="DV1771" s="2060"/>
      <c r="DW1771" s="2060"/>
      <c r="DX1771" s="2060"/>
      <c r="DY1771" s="2060"/>
      <c r="DZ1771" s="2060"/>
      <c r="EA1771" s="2060"/>
      <c r="EB1771" s="2060"/>
      <c r="EC1771" s="2060"/>
      <c r="ED1771" s="2060"/>
      <c r="EE1771" s="2060"/>
      <c r="EF1771" s="2060"/>
      <c r="EG1771" s="2060"/>
      <c r="EH1771" s="2060"/>
      <c r="EI1771" s="2060"/>
      <c r="EJ1771" s="2060"/>
      <c r="EK1771" s="2060"/>
      <c r="EL1771" s="2060"/>
      <c r="EM1771" s="2060"/>
      <c r="EN1771" s="2060"/>
      <c r="EO1771" s="2060"/>
      <c r="EP1771" s="2060"/>
      <c r="EQ1771" s="2060"/>
      <c r="ER1771" s="2060"/>
      <c r="ES1771" s="2060"/>
      <c r="ET1771" s="2060"/>
      <c r="EU1771" s="2060"/>
      <c r="EV1771" s="2060"/>
      <c r="EW1771" s="2060"/>
      <c r="EX1771" s="2060"/>
      <c r="EY1771" s="2060"/>
      <c r="EZ1771" s="2060"/>
      <c r="FA1771" s="2060"/>
      <c r="FB1771" s="2060"/>
      <c r="FC1771" s="2060"/>
      <c r="FD1771" s="2060"/>
      <c r="FE1771" s="2060"/>
      <c r="FF1771" s="2060"/>
      <c r="FG1771" s="2060"/>
      <c r="FH1771" s="2060"/>
      <c r="FI1771" s="2060"/>
      <c r="FJ1771" s="2060"/>
      <c r="FK1771" s="2060"/>
      <c r="FL1771" s="2060"/>
      <c r="FM1771" s="2060"/>
      <c r="FN1771" s="2060"/>
      <c r="FO1771" s="2060"/>
      <c r="FP1771" s="2060"/>
      <c r="FQ1771" s="2060"/>
      <c r="FR1771" s="2060"/>
      <c r="FS1771" s="2060"/>
      <c r="FT1771" s="2060"/>
      <c r="FU1771" s="2060"/>
      <c r="FV1771" s="2060"/>
      <c r="FW1771" s="2060"/>
      <c r="FX1771" s="2060"/>
      <c r="FY1771" s="2060"/>
      <c r="FZ1771" s="2060"/>
      <c r="GA1771" s="2060"/>
      <c r="GB1771" s="2060"/>
      <c r="GC1771" s="2060"/>
      <c r="GD1771" s="2060"/>
      <c r="GE1771" s="2060"/>
      <c r="GF1771" s="2060"/>
      <c r="GG1771" s="2060"/>
      <c r="GH1771" s="2060"/>
      <c r="GI1771" s="2060"/>
      <c r="GJ1771" s="2060"/>
      <c r="GK1771" s="2060"/>
      <c r="GL1771" s="2060"/>
      <c r="GM1771" s="2060"/>
      <c r="GN1771" s="2060"/>
      <c r="GO1771" s="2060"/>
      <c r="GP1771" s="2060"/>
      <c r="GQ1771" s="2060"/>
      <c r="GR1771" s="2060"/>
      <c r="GS1771" s="2060"/>
      <c r="GT1771" s="2060"/>
      <c r="GU1771" s="2060"/>
      <c r="GV1771" s="2060"/>
      <c r="GW1771" s="2060"/>
      <c r="GX1771" s="2060"/>
      <c r="GY1771" s="2060"/>
      <c r="GZ1771" s="2060"/>
      <c r="HA1771" s="2060"/>
      <c r="HB1771" s="2060"/>
      <c r="HC1771" s="2060"/>
      <c r="HD1771" s="2060"/>
      <c r="HE1771" s="2060"/>
      <c r="HF1771" s="2060"/>
      <c r="HG1771" s="2060"/>
      <c r="HH1771" s="2060"/>
      <c r="HI1771" s="2060"/>
      <c r="HJ1771" s="2060"/>
      <c r="HK1771" s="2060"/>
      <c r="HL1771" s="2060"/>
      <c r="HM1771" s="2060"/>
      <c r="HN1771" s="2060"/>
      <c r="HO1771" s="2060"/>
      <c r="HP1771" s="2060"/>
      <c r="HQ1771" s="2060"/>
      <c r="HR1771" s="2060"/>
      <c r="HS1771" s="2060"/>
      <c r="HT1771" s="2060"/>
      <c r="HU1771" s="2060"/>
      <c r="HV1771" s="2060"/>
      <c r="HW1771" s="2060"/>
      <c r="HX1771" s="2060"/>
      <c r="HY1771" s="2060"/>
      <c r="HZ1771" s="2060"/>
      <c r="IA1771" s="2060"/>
      <c r="IB1771" s="2060"/>
      <c r="IC1771" s="2060"/>
      <c r="ID1771" s="2060"/>
      <c r="IE1771" s="2060"/>
      <c r="IF1771" s="2060"/>
      <c r="IG1771" s="2060"/>
      <c r="IH1771" s="2060"/>
      <c r="II1771" s="2060"/>
      <c r="IJ1771" s="2060"/>
      <c r="IK1771" s="2060"/>
      <c r="IL1771" s="2060"/>
      <c r="IM1771" s="2060"/>
      <c r="IN1771" s="2060"/>
      <c r="IO1771" s="2060"/>
      <c r="IP1771" s="2060"/>
      <c r="IQ1771" s="2060"/>
      <c r="IR1771" s="2060"/>
      <c r="IS1771" s="2060"/>
      <c r="IT1771" s="2060"/>
      <c r="IU1771" s="2060"/>
      <c r="IV1771" s="2060"/>
      <c r="IW1771" s="2060"/>
      <c r="IX1771" s="2060"/>
      <c r="IY1771" s="2060"/>
      <c r="IZ1771" s="2060"/>
      <c r="JA1771" s="2060"/>
      <c r="JB1771" s="2060"/>
      <c r="JC1771" s="2060"/>
      <c r="JD1771" s="2060"/>
      <c r="JE1771" s="2060"/>
      <c r="JF1771" s="2060"/>
      <c r="JG1771" s="2060"/>
      <c r="JH1771" s="2060"/>
      <c r="JI1771" s="2060"/>
      <c r="JJ1771" s="2060"/>
      <c r="JK1771" s="2060"/>
      <c r="JL1771" s="2060"/>
      <c r="JM1771" s="2060"/>
      <c r="JN1771" s="2060"/>
      <c r="JO1771" s="2060"/>
      <c r="JP1771" s="2060"/>
      <c r="JQ1771" s="2060"/>
      <c r="JR1771" s="2060"/>
      <c r="JS1771" s="2060"/>
      <c r="JT1771" s="2060"/>
      <c r="JU1771" s="2060"/>
      <c r="JV1771" s="2060"/>
      <c r="JW1771" s="2060"/>
      <c r="JX1771" s="2060"/>
      <c r="JY1771" s="2060"/>
      <c r="JZ1771" s="2060"/>
      <c r="KA1771" s="2060"/>
      <c r="KB1771" s="2060"/>
      <c r="KC1771" s="2060"/>
      <c r="KD1771" s="2060"/>
      <c r="KE1771" s="2060"/>
      <c r="KF1771" s="2060"/>
      <c r="KG1771" s="2060"/>
      <c r="KH1771" s="2060"/>
      <c r="KI1771" s="2060"/>
      <c r="KJ1771" s="2060"/>
      <c r="KK1771" s="2060"/>
      <c r="KL1771" s="2060"/>
      <c r="KM1771" s="2060"/>
      <c r="KN1771" s="2060"/>
      <c r="KO1771" s="2060"/>
      <c r="KP1771" s="2060"/>
      <c r="KQ1771" s="2060"/>
      <c r="KR1771" s="2060"/>
      <c r="KS1771" s="2060"/>
      <c r="KT1771" s="2060"/>
      <c r="KU1771" s="2060"/>
      <c r="KV1771" s="2060"/>
      <c r="KW1771" s="2060"/>
      <c r="KX1771" s="2060"/>
      <c r="KY1771" s="2060"/>
      <c r="KZ1771" s="2060"/>
      <c r="LA1771" s="2060"/>
      <c r="LB1771" s="2060"/>
      <c r="LC1771" s="2060"/>
      <c r="LD1771" s="2060"/>
      <c r="LE1771" s="2060"/>
      <c r="LF1771" s="2060"/>
      <c r="LG1771" s="2060"/>
      <c r="LH1771" s="2060"/>
    </row>
    <row r="1772" spans="1:320" s="646" customFormat="1" ht="13.9">
      <c r="A1772" s="269" t="str">
        <f t="shared" si="477"/>
        <v>n</v>
      </c>
      <c r="B1772" s="2060"/>
      <c r="C1772" s="2060"/>
      <c r="D1772" s="2060"/>
      <c r="E1772" s="1661">
        <v>11</v>
      </c>
      <c r="F1772" s="1353" t="str">
        <f>F$139</f>
        <v>--</v>
      </c>
      <c r="G1772" s="128">
        <f>G$139</f>
        <v>0</v>
      </c>
      <c r="H1772" s="128" t="str">
        <f>H$139</f>
        <v>--</v>
      </c>
      <c r="I1772" s="89" t="s">
        <v>794</v>
      </c>
      <c r="J1772" s="2197" t="str">
        <f>IF($G1772=0,"",IFERROR(_xll.ciqfunctions.udf.CIQ($G1772,$I1772,J$1557,Valuation_Date_GC,ReportType,DataMode,$H1772,FXMode),"n/a"))</f>
        <v/>
      </c>
      <c r="K1772" s="2197" t="str">
        <f>IF($G1772=0,"",IFERROR(_xll.ciqfunctions.udf.CIQ($G1772,$I1772,K$1557,Valuation_Date_GC,ReportType,DataMode,$H1772,FXMode),"n/a"))</f>
        <v/>
      </c>
      <c r="L1772" s="2197" t="str">
        <f>IF($G1772=0,"",IFERROR(_xll.ciqfunctions.udf.CIQ($G1772,$I1772,L$1557,Valuation_Date_GC,ReportType,DataMode,$H1772,FXMode),"n/a"))</f>
        <v/>
      </c>
      <c r="M1772" s="2197" t="str">
        <f>IF($G1772=0,"",IFERROR(_xll.ciqfunctions.udf.CIQ($G1772,$I1772,M$1557,Valuation_Date_GC,ReportType,DataMode,$H1772,FXMode),"n/a"))</f>
        <v/>
      </c>
      <c r="N1772" s="2197" t="str">
        <f>IF($G1772=0,"",IFERROR(_xll.ciqfunctions.udf.CIQ($G1772,$I1772,N$1557,Valuation_Date_GC,ReportType,DataMode,$H1772,FXMode),"n/a"))</f>
        <v/>
      </c>
      <c r="O1772" s="2197" t="str">
        <f>IF($G1772=0,"",IFERROR(_xll.ciqfunctions.udf.CIQ($G1772,$I1772,O$1557,Valuation_Date_GC,ReportType,DataMode,$H1772,FXMode),"n/a"))</f>
        <v/>
      </c>
      <c r="P1772" s="2197" t="str">
        <f>IF($G1772=0,"",IFERROR(_xll.ciqfunctions.udf.CIQ($G1772,$I1772,P$1557,Valuation_Date_GC,ReportType,DataMode,$H1772,FXMode),"n/a"))</f>
        <v/>
      </c>
      <c r="Q1772" s="2197" t="str">
        <f>IF($G1772=0,"",IFERROR(_xll.ciqfunctions.udf.CIQ($G1772,$I1772,Q$1557,Valuation_Date_GC,ReportType,DataMode,$H1772,FXMode),"n/a"))</f>
        <v/>
      </c>
      <c r="R1772" s="2197" t="str">
        <f>IF($G1772=0,"",IFERROR(_xll.ciqfunctions.udf.CIQ($G1772,$I1772,R$1557,Valuation_Date_GC,ReportType,DataMode,$H1772,FXMode),"n/a"))</f>
        <v/>
      </c>
      <c r="S1772" s="2197" t="str">
        <f>IF($G1772=0,"",IFERROR(_xll.ciqfunctions.udf.CIQ($G1772,$I1772,S$1557,Valuation_Date_GC,ReportType,DataMode,$H1772,FXMode),"n/a"))</f>
        <v/>
      </c>
      <c r="T1772" s="2197" t="str">
        <f>IF($G1772=0,"",IFERROR(_xll.ciqfunctions.udf.CIQ($G1772,$I1772,T$1557,Valuation_Date_GC,ReportType,DataMode,$H1772,FXMode),"n/a"))</f>
        <v/>
      </c>
      <c r="U1772" s="2197" t="str">
        <f>IF($G1772=0,"",IFERROR(_xll.ciqfunctions.udf.CIQ($G1772,$I1772,U$1557,Valuation_Date_GC,ReportType,DataMode,$H1772,FXMode),"n/a"))</f>
        <v/>
      </c>
      <c r="V1772" s="2197" t="str">
        <f>IF($G1772=0,"",IFERROR(_xll.ciqfunctions.udf.CIQ($G1772,$I1772,V$1557,Valuation_Date_GC,ReportType,DataMode,$H1772,FXMode),"n/a"))</f>
        <v/>
      </c>
      <c r="W1772" s="1479"/>
      <c r="X1772" s="255"/>
      <c r="Y1772" s="89"/>
      <c r="Z1772" s="2060"/>
      <c r="AA1772" s="2060"/>
      <c r="AB1772" s="2060"/>
      <c r="AC1772" s="2060"/>
      <c r="AD1772" s="2060"/>
      <c r="AE1772" s="2060"/>
      <c r="AF1772" s="2060"/>
      <c r="AG1772" s="2060"/>
      <c r="AH1772" s="2060"/>
      <c r="AI1772" s="2060"/>
      <c r="AJ1772" s="2060"/>
      <c r="AK1772" s="2060"/>
      <c r="AL1772" s="2060"/>
      <c r="AM1772" s="2060"/>
      <c r="AN1772" s="2060"/>
      <c r="AO1772" s="2060"/>
      <c r="AP1772" s="2060"/>
      <c r="AQ1772" s="2060"/>
      <c r="AR1772" s="2060"/>
      <c r="AS1772" s="2060"/>
      <c r="AT1772" s="2060"/>
      <c r="AU1772" s="2060"/>
      <c r="AV1772" s="2060"/>
      <c r="AW1772" s="2060"/>
      <c r="AX1772" s="2060"/>
      <c r="AY1772" s="2060"/>
      <c r="AZ1772" s="2060"/>
      <c r="BA1772" s="2060"/>
      <c r="BB1772" s="2060"/>
      <c r="BC1772" s="2060"/>
      <c r="BD1772" s="2060"/>
      <c r="BE1772" s="2060"/>
      <c r="BF1772" s="2060"/>
      <c r="BG1772" s="2060"/>
      <c r="BH1772" s="2060"/>
      <c r="BI1772" s="2060"/>
      <c r="BJ1772" s="2060"/>
      <c r="BK1772" s="2060"/>
      <c r="BL1772" s="2060"/>
      <c r="BM1772" s="2060"/>
      <c r="BN1772" s="2060"/>
      <c r="BO1772" s="2060"/>
      <c r="BP1772" s="2060"/>
      <c r="BQ1772" s="2060"/>
      <c r="BR1772" s="2060"/>
      <c r="BS1772" s="2060"/>
      <c r="BT1772" s="2060"/>
      <c r="BU1772" s="2060"/>
      <c r="BV1772" s="2060"/>
      <c r="BW1772" s="2060"/>
      <c r="BX1772" s="2060"/>
      <c r="BY1772" s="2060"/>
      <c r="BZ1772" s="2060"/>
      <c r="CA1772" s="2060"/>
      <c r="CB1772" s="2060"/>
      <c r="CC1772" s="2060"/>
      <c r="CD1772" s="2060"/>
      <c r="CE1772" s="2060"/>
      <c r="CF1772" s="2060"/>
      <c r="CG1772" s="2060"/>
      <c r="CH1772" s="2060"/>
      <c r="CI1772" s="2060"/>
      <c r="CJ1772" s="2060"/>
      <c r="CK1772" s="2060"/>
      <c r="CL1772" s="2060"/>
      <c r="CM1772" s="2060"/>
      <c r="CN1772" s="2060"/>
      <c r="CO1772" s="2060"/>
      <c r="CP1772" s="2060"/>
      <c r="CQ1772" s="2060"/>
      <c r="CR1772" s="2060"/>
      <c r="CS1772" s="2060"/>
      <c r="CT1772" s="2060"/>
      <c r="CU1772" s="2060"/>
      <c r="CV1772" s="2060"/>
      <c r="CW1772" s="2060"/>
      <c r="CX1772" s="2060"/>
      <c r="CY1772" s="2060"/>
      <c r="CZ1772" s="2060"/>
      <c r="DA1772" s="2060"/>
      <c r="DB1772" s="2060"/>
      <c r="DC1772" s="2060"/>
      <c r="DD1772" s="2060"/>
      <c r="DE1772" s="2060"/>
      <c r="DF1772" s="2060"/>
      <c r="DG1772" s="2060"/>
      <c r="DH1772" s="2060"/>
      <c r="DI1772" s="2060"/>
      <c r="DJ1772" s="2060"/>
      <c r="DK1772" s="2060"/>
      <c r="DL1772" s="2060"/>
      <c r="DM1772" s="2060"/>
      <c r="DN1772" s="2060"/>
      <c r="DO1772" s="2060"/>
      <c r="DP1772" s="2060"/>
      <c r="DQ1772" s="2060"/>
      <c r="DR1772" s="2060"/>
      <c r="DS1772" s="2060"/>
      <c r="DT1772" s="2060"/>
      <c r="DU1772" s="2060"/>
      <c r="DV1772" s="2060"/>
      <c r="DW1772" s="2060"/>
      <c r="DX1772" s="2060"/>
      <c r="DY1772" s="2060"/>
      <c r="DZ1772" s="2060"/>
      <c r="EA1772" s="2060"/>
      <c r="EB1772" s="2060"/>
      <c r="EC1772" s="2060"/>
      <c r="ED1772" s="2060"/>
      <c r="EE1772" s="2060"/>
      <c r="EF1772" s="2060"/>
      <c r="EG1772" s="2060"/>
      <c r="EH1772" s="2060"/>
      <c r="EI1772" s="2060"/>
      <c r="EJ1772" s="2060"/>
      <c r="EK1772" s="2060"/>
      <c r="EL1772" s="2060"/>
      <c r="EM1772" s="2060"/>
      <c r="EN1772" s="2060"/>
      <c r="EO1772" s="2060"/>
      <c r="EP1772" s="2060"/>
      <c r="EQ1772" s="2060"/>
      <c r="ER1772" s="2060"/>
      <c r="ES1772" s="2060"/>
      <c r="ET1772" s="2060"/>
      <c r="EU1772" s="2060"/>
      <c r="EV1772" s="2060"/>
      <c r="EW1772" s="2060"/>
      <c r="EX1772" s="2060"/>
      <c r="EY1772" s="2060"/>
      <c r="EZ1772" s="2060"/>
      <c r="FA1772" s="2060"/>
      <c r="FB1772" s="2060"/>
      <c r="FC1772" s="2060"/>
      <c r="FD1772" s="2060"/>
      <c r="FE1772" s="2060"/>
      <c r="FF1772" s="2060"/>
      <c r="FG1772" s="2060"/>
      <c r="FH1772" s="2060"/>
      <c r="FI1772" s="2060"/>
      <c r="FJ1772" s="2060"/>
      <c r="FK1772" s="2060"/>
      <c r="FL1772" s="2060"/>
      <c r="FM1772" s="2060"/>
      <c r="FN1772" s="2060"/>
      <c r="FO1772" s="2060"/>
      <c r="FP1772" s="2060"/>
      <c r="FQ1772" s="2060"/>
      <c r="FR1772" s="2060"/>
      <c r="FS1772" s="2060"/>
      <c r="FT1772" s="2060"/>
      <c r="FU1772" s="2060"/>
      <c r="FV1772" s="2060"/>
      <c r="FW1772" s="2060"/>
      <c r="FX1772" s="2060"/>
      <c r="FY1772" s="2060"/>
      <c r="FZ1772" s="2060"/>
      <c r="GA1772" s="2060"/>
      <c r="GB1772" s="2060"/>
      <c r="GC1772" s="2060"/>
      <c r="GD1772" s="2060"/>
      <c r="GE1772" s="2060"/>
      <c r="GF1772" s="2060"/>
      <c r="GG1772" s="2060"/>
      <c r="GH1772" s="2060"/>
      <c r="GI1772" s="2060"/>
      <c r="GJ1772" s="2060"/>
      <c r="GK1772" s="2060"/>
      <c r="GL1772" s="2060"/>
      <c r="GM1772" s="2060"/>
      <c r="GN1772" s="2060"/>
      <c r="GO1772" s="2060"/>
      <c r="GP1772" s="2060"/>
      <c r="GQ1772" s="2060"/>
      <c r="GR1772" s="2060"/>
      <c r="GS1772" s="2060"/>
      <c r="GT1772" s="2060"/>
      <c r="GU1772" s="2060"/>
      <c r="GV1772" s="2060"/>
      <c r="GW1772" s="2060"/>
      <c r="GX1772" s="2060"/>
      <c r="GY1772" s="2060"/>
      <c r="GZ1772" s="2060"/>
      <c r="HA1772" s="2060"/>
      <c r="HB1772" s="2060"/>
      <c r="HC1772" s="2060"/>
      <c r="HD1772" s="2060"/>
      <c r="HE1772" s="2060"/>
      <c r="HF1772" s="2060"/>
      <c r="HG1772" s="2060"/>
      <c r="HH1772" s="2060"/>
      <c r="HI1772" s="2060"/>
      <c r="HJ1772" s="2060"/>
      <c r="HK1772" s="2060"/>
      <c r="HL1772" s="2060"/>
      <c r="HM1772" s="2060"/>
      <c r="HN1772" s="2060"/>
      <c r="HO1772" s="2060"/>
      <c r="HP1772" s="2060"/>
      <c r="HQ1772" s="2060"/>
      <c r="HR1772" s="2060"/>
      <c r="HS1772" s="2060"/>
      <c r="HT1772" s="2060"/>
      <c r="HU1772" s="2060"/>
      <c r="HV1772" s="2060"/>
      <c r="HW1772" s="2060"/>
      <c r="HX1772" s="2060"/>
      <c r="HY1772" s="2060"/>
      <c r="HZ1772" s="2060"/>
      <c r="IA1772" s="2060"/>
      <c r="IB1772" s="2060"/>
      <c r="IC1772" s="2060"/>
      <c r="ID1772" s="2060"/>
      <c r="IE1772" s="2060"/>
      <c r="IF1772" s="2060"/>
      <c r="IG1772" s="2060"/>
      <c r="IH1772" s="2060"/>
      <c r="II1772" s="2060"/>
      <c r="IJ1772" s="2060"/>
      <c r="IK1772" s="2060"/>
      <c r="IL1772" s="2060"/>
      <c r="IM1772" s="2060"/>
      <c r="IN1772" s="2060"/>
      <c r="IO1772" s="2060"/>
      <c r="IP1772" s="2060"/>
      <c r="IQ1772" s="2060"/>
      <c r="IR1772" s="2060"/>
      <c r="IS1772" s="2060"/>
      <c r="IT1772" s="2060"/>
      <c r="IU1772" s="2060"/>
      <c r="IV1772" s="2060"/>
      <c r="IW1772" s="2060"/>
      <c r="IX1772" s="2060"/>
      <c r="IY1772" s="2060"/>
      <c r="IZ1772" s="2060"/>
      <c r="JA1772" s="2060"/>
      <c r="JB1772" s="2060"/>
      <c r="JC1772" s="2060"/>
      <c r="JD1772" s="2060"/>
      <c r="JE1772" s="2060"/>
      <c r="JF1772" s="2060"/>
      <c r="JG1772" s="2060"/>
      <c r="JH1772" s="2060"/>
      <c r="JI1772" s="2060"/>
      <c r="JJ1772" s="2060"/>
      <c r="JK1772" s="2060"/>
      <c r="JL1772" s="2060"/>
      <c r="JM1772" s="2060"/>
      <c r="JN1772" s="2060"/>
      <c r="JO1772" s="2060"/>
      <c r="JP1772" s="2060"/>
      <c r="JQ1772" s="2060"/>
      <c r="JR1772" s="2060"/>
      <c r="JS1772" s="2060"/>
      <c r="JT1772" s="2060"/>
      <c r="JU1772" s="2060"/>
      <c r="JV1772" s="2060"/>
      <c r="JW1772" s="2060"/>
      <c r="JX1772" s="2060"/>
      <c r="JY1772" s="2060"/>
      <c r="JZ1772" s="2060"/>
      <c r="KA1772" s="2060"/>
      <c r="KB1772" s="2060"/>
      <c r="KC1772" s="2060"/>
      <c r="KD1772" s="2060"/>
      <c r="KE1772" s="2060"/>
      <c r="KF1772" s="2060"/>
      <c r="KG1772" s="2060"/>
      <c r="KH1772" s="2060"/>
      <c r="KI1772" s="2060"/>
      <c r="KJ1772" s="2060"/>
      <c r="KK1772" s="2060"/>
      <c r="KL1772" s="2060"/>
      <c r="KM1772" s="2060"/>
      <c r="KN1772" s="2060"/>
      <c r="KO1772" s="2060"/>
      <c r="KP1772" s="2060"/>
      <c r="KQ1772" s="2060"/>
      <c r="KR1772" s="2060"/>
      <c r="KS1772" s="2060"/>
      <c r="KT1772" s="2060"/>
      <c r="KU1772" s="2060"/>
      <c r="KV1772" s="2060"/>
      <c r="KW1772" s="2060"/>
      <c r="KX1772" s="2060"/>
      <c r="KY1772" s="2060"/>
      <c r="KZ1772" s="2060"/>
      <c r="LA1772" s="2060"/>
      <c r="LB1772" s="2060"/>
      <c r="LC1772" s="2060"/>
      <c r="LD1772" s="2060"/>
      <c r="LE1772" s="2060"/>
      <c r="LF1772" s="2060"/>
      <c r="LG1772" s="2060"/>
      <c r="LH1772" s="2060"/>
    </row>
    <row r="1773" spans="1:320" s="646" customFormat="1" ht="13.9">
      <c r="A1773" s="269" t="str">
        <f t="shared" si="477"/>
        <v>n</v>
      </c>
      <c r="B1773" s="2060"/>
      <c r="C1773" s="2060"/>
      <c r="D1773" s="2060"/>
      <c r="E1773" s="1661">
        <v>12</v>
      </c>
      <c r="F1773" s="1353" t="str">
        <f>F$140</f>
        <v>--</v>
      </c>
      <c r="G1773" s="128">
        <f>G$140</f>
        <v>0</v>
      </c>
      <c r="H1773" s="128" t="str">
        <f>H$140</f>
        <v>--</v>
      </c>
      <c r="I1773" s="89" t="s">
        <v>794</v>
      </c>
      <c r="J1773" s="2197" t="str">
        <f>IF($G1773=0,"",IFERROR(_xll.ciqfunctions.udf.CIQ($G1773,$I1773,J$1557,Valuation_Date_GC,ReportType,DataMode,$H1773,FXMode),"n/a"))</f>
        <v/>
      </c>
      <c r="K1773" s="2197" t="str">
        <f>IF($G1773=0,"",IFERROR(_xll.ciqfunctions.udf.CIQ($G1773,$I1773,K$1557,Valuation_Date_GC,ReportType,DataMode,$H1773,FXMode),"n/a"))</f>
        <v/>
      </c>
      <c r="L1773" s="2197" t="str">
        <f>IF($G1773=0,"",IFERROR(_xll.ciqfunctions.udf.CIQ($G1773,$I1773,L$1557,Valuation_Date_GC,ReportType,DataMode,$H1773,FXMode),"n/a"))</f>
        <v/>
      </c>
      <c r="M1773" s="2197" t="str">
        <f>IF($G1773=0,"",IFERROR(_xll.ciqfunctions.udf.CIQ($G1773,$I1773,M$1557,Valuation_Date_GC,ReportType,DataMode,$H1773,FXMode),"n/a"))</f>
        <v/>
      </c>
      <c r="N1773" s="2197" t="str">
        <f>IF($G1773=0,"",IFERROR(_xll.ciqfunctions.udf.CIQ($G1773,$I1773,N$1557,Valuation_Date_GC,ReportType,DataMode,$H1773,FXMode),"n/a"))</f>
        <v/>
      </c>
      <c r="O1773" s="2197" t="str">
        <f>IF($G1773=0,"",IFERROR(_xll.ciqfunctions.udf.CIQ($G1773,$I1773,O$1557,Valuation_Date_GC,ReportType,DataMode,$H1773,FXMode),"n/a"))</f>
        <v/>
      </c>
      <c r="P1773" s="2197" t="str">
        <f>IF($G1773=0,"",IFERROR(_xll.ciqfunctions.udf.CIQ($G1773,$I1773,P$1557,Valuation_Date_GC,ReportType,DataMode,$H1773,FXMode),"n/a"))</f>
        <v/>
      </c>
      <c r="Q1773" s="2197" t="str">
        <f>IF($G1773=0,"",IFERROR(_xll.ciqfunctions.udf.CIQ($G1773,$I1773,Q$1557,Valuation_Date_GC,ReportType,DataMode,$H1773,FXMode),"n/a"))</f>
        <v/>
      </c>
      <c r="R1773" s="2197" t="str">
        <f>IF($G1773=0,"",IFERROR(_xll.ciqfunctions.udf.CIQ($G1773,$I1773,R$1557,Valuation_Date_GC,ReportType,DataMode,$H1773,FXMode),"n/a"))</f>
        <v/>
      </c>
      <c r="S1773" s="2197" t="str">
        <f>IF($G1773=0,"",IFERROR(_xll.ciqfunctions.udf.CIQ($G1773,$I1773,S$1557,Valuation_Date_GC,ReportType,DataMode,$H1773,FXMode),"n/a"))</f>
        <v/>
      </c>
      <c r="T1773" s="2197" t="str">
        <f>IF($G1773=0,"",IFERROR(_xll.ciqfunctions.udf.CIQ($G1773,$I1773,T$1557,Valuation_Date_GC,ReportType,DataMode,$H1773,FXMode),"n/a"))</f>
        <v/>
      </c>
      <c r="U1773" s="2197" t="str">
        <f>IF($G1773=0,"",IFERROR(_xll.ciqfunctions.udf.CIQ($G1773,$I1773,U$1557,Valuation_Date_GC,ReportType,DataMode,$H1773,FXMode),"n/a"))</f>
        <v/>
      </c>
      <c r="V1773" s="2197" t="str">
        <f>IF($G1773=0,"",IFERROR(_xll.ciqfunctions.udf.CIQ($G1773,$I1773,V$1557,Valuation_Date_GC,ReportType,DataMode,$H1773,FXMode),"n/a"))</f>
        <v/>
      </c>
      <c r="W1773" s="1479"/>
      <c r="X1773" s="255"/>
      <c r="Y1773" s="255"/>
      <c r="Z1773" s="2060"/>
      <c r="AA1773" s="2060"/>
      <c r="AB1773" s="2060"/>
      <c r="AC1773" s="2060"/>
      <c r="AD1773" s="2060"/>
      <c r="AE1773" s="2060"/>
      <c r="AF1773" s="2060"/>
      <c r="AG1773" s="2060"/>
      <c r="AH1773" s="2060"/>
      <c r="AI1773" s="2060"/>
      <c r="AJ1773" s="2060"/>
      <c r="AK1773" s="2060"/>
      <c r="AL1773" s="2060"/>
      <c r="AM1773" s="2060"/>
      <c r="AN1773" s="2060"/>
      <c r="AO1773" s="2060"/>
      <c r="AP1773" s="2060"/>
      <c r="AQ1773" s="2060"/>
      <c r="AR1773" s="2060"/>
      <c r="AS1773" s="2060"/>
      <c r="AT1773" s="2060"/>
      <c r="AU1773" s="2060"/>
      <c r="AV1773" s="2060"/>
      <c r="AW1773" s="2060"/>
      <c r="AX1773" s="2060"/>
      <c r="AY1773" s="2060"/>
      <c r="AZ1773" s="2060"/>
      <c r="BA1773" s="2060"/>
      <c r="BB1773" s="2060"/>
      <c r="BC1773" s="2060"/>
      <c r="BD1773" s="2060"/>
      <c r="BE1773" s="2060"/>
      <c r="BF1773" s="2060"/>
      <c r="BG1773" s="2060"/>
      <c r="BH1773" s="2060"/>
      <c r="BI1773" s="2060"/>
      <c r="BJ1773" s="2060"/>
      <c r="BK1773" s="2060"/>
      <c r="BL1773" s="2060"/>
      <c r="BM1773" s="2060"/>
      <c r="BN1773" s="2060"/>
      <c r="BO1773" s="2060"/>
      <c r="BP1773" s="2060"/>
      <c r="BQ1773" s="2060"/>
      <c r="BR1773" s="2060"/>
      <c r="BS1773" s="2060"/>
      <c r="BT1773" s="2060"/>
      <c r="BU1773" s="2060"/>
      <c r="BV1773" s="2060"/>
      <c r="BW1773" s="2060"/>
      <c r="BX1773" s="2060"/>
      <c r="BY1773" s="2060"/>
      <c r="BZ1773" s="2060"/>
      <c r="CA1773" s="2060"/>
      <c r="CB1773" s="2060"/>
      <c r="CC1773" s="2060"/>
      <c r="CD1773" s="2060"/>
      <c r="CE1773" s="2060"/>
      <c r="CF1773" s="2060"/>
      <c r="CG1773" s="2060"/>
      <c r="CH1773" s="2060"/>
      <c r="CI1773" s="2060"/>
      <c r="CJ1773" s="2060"/>
      <c r="CK1773" s="2060"/>
      <c r="CL1773" s="2060"/>
      <c r="CM1773" s="2060"/>
      <c r="CN1773" s="2060"/>
      <c r="CO1773" s="2060"/>
      <c r="CP1773" s="2060"/>
      <c r="CQ1773" s="2060"/>
      <c r="CR1773" s="2060"/>
      <c r="CS1773" s="2060"/>
      <c r="CT1773" s="2060"/>
      <c r="CU1773" s="2060"/>
      <c r="CV1773" s="2060"/>
      <c r="CW1773" s="2060"/>
      <c r="CX1773" s="2060"/>
      <c r="CY1773" s="2060"/>
      <c r="CZ1773" s="2060"/>
      <c r="DA1773" s="2060"/>
      <c r="DB1773" s="2060"/>
      <c r="DC1773" s="2060"/>
      <c r="DD1773" s="2060"/>
      <c r="DE1773" s="2060"/>
      <c r="DF1773" s="2060"/>
      <c r="DG1773" s="2060"/>
      <c r="DH1773" s="2060"/>
      <c r="DI1773" s="2060"/>
      <c r="DJ1773" s="2060"/>
      <c r="DK1773" s="2060"/>
      <c r="DL1773" s="2060"/>
      <c r="DM1773" s="2060"/>
      <c r="DN1773" s="2060"/>
      <c r="DO1773" s="2060"/>
      <c r="DP1773" s="2060"/>
      <c r="DQ1773" s="2060"/>
      <c r="DR1773" s="2060"/>
      <c r="DS1773" s="2060"/>
      <c r="DT1773" s="2060"/>
      <c r="DU1773" s="2060"/>
      <c r="DV1773" s="2060"/>
      <c r="DW1773" s="2060"/>
      <c r="DX1773" s="2060"/>
      <c r="DY1773" s="2060"/>
      <c r="DZ1773" s="2060"/>
      <c r="EA1773" s="2060"/>
      <c r="EB1773" s="2060"/>
      <c r="EC1773" s="2060"/>
      <c r="ED1773" s="2060"/>
      <c r="EE1773" s="2060"/>
      <c r="EF1773" s="2060"/>
      <c r="EG1773" s="2060"/>
      <c r="EH1773" s="2060"/>
      <c r="EI1773" s="2060"/>
      <c r="EJ1773" s="2060"/>
      <c r="EK1773" s="2060"/>
      <c r="EL1773" s="2060"/>
      <c r="EM1773" s="2060"/>
      <c r="EN1773" s="2060"/>
      <c r="EO1773" s="2060"/>
      <c r="EP1773" s="2060"/>
      <c r="EQ1773" s="2060"/>
      <c r="ER1773" s="2060"/>
      <c r="ES1773" s="2060"/>
      <c r="ET1773" s="2060"/>
      <c r="EU1773" s="2060"/>
      <c r="EV1773" s="2060"/>
      <c r="EW1773" s="2060"/>
      <c r="EX1773" s="2060"/>
      <c r="EY1773" s="2060"/>
      <c r="EZ1773" s="2060"/>
      <c r="FA1773" s="2060"/>
      <c r="FB1773" s="2060"/>
      <c r="FC1773" s="2060"/>
      <c r="FD1773" s="2060"/>
      <c r="FE1773" s="2060"/>
      <c r="FF1773" s="2060"/>
      <c r="FG1773" s="2060"/>
      <c r="FH1773" s="2060"/>
      <c r="FI1773" s="2060"/>
      <c r="FJ1773" s="2060"/>
      <c r="FK1773" s="2060"/>
      <c r="FL1773" s="2060"/>
      <c r="FM1773" s="2060"/>
      <c r="FN1773" s="2060"/>
      <c r="FO1773" s="2060"/>
      <c r="FP1773" s="2060"/>
      <c r="FQ1773" s="2060"/>
      <c r="FR1773" s="2060"/>
      <c r="FS1773" s="2060"/>
      <c r="FT1773" s="2060"/>
      <c r="FU1773" s="2060"/>
      <c r="FV1773" s="2060"/>
      <c r="FW1773" s="2060"/>
      <c r="FX1773" s="2060"/>
      <c r="FY1773" s="2060"/>
      <c r="FZ1773" s="2060"/>
      <c r="GA1773" s="2060"/>
      <c r="GB1773" s="2060"/>
      <c r="GC1773" s="2060"/>
      <c r="GD1773" s="2060"/>
      <c r="GE1773" s="2060"/>
      <c r="GF1773" s="2060"/>
      <c r="GG1773" s="2060"/>
      <c r="GH1773" s="2060"/>
      <c r="GI1773" s="2060"/>
      <c r="GJ1773" s="2060"/>
      <c r="GK1773" s="2060"/>
      <c r="GL1773" s="2060"/>
      <c r="GM1773" s="2060"/>
      <c r="GN1773" s="2060"/>
      <c r="GO1773" s="2060"/>
      <c r="GP1773" s="2060"/>
      <c r="GQ1773" s="2060"/>
      <c r="GR1773" s="2060"/>
      <c r="GS1773" s="2060"/>
      <c r="GT1773" s="2060"/>
      <c r="GU1773" s="2060"/>
      <c r="GV1773" s="2060"/>
      <c r="GW1773" s="2060"/>
      <c r="GX1773" s="2060"/>
      <c r="GY1773" s="2060"/>
      <c r="GZ1773" s="2060"/>
      <c r="HA1773" s="2060"/>
      <c r="HB1773" s="2060"/>
      <c r="HC1773" s="2060"/>
      <c r="HD1773" s="2060"/>
      <c r="HE1773" s="2060"/>
      <c r="HF1773" s="2060"/>
      <c r="HG1773" s="2060"/>
      <c r="HH1773" s="2060"/>
      <c r="HI1773" s="2060"/>
      <c r="HJ1773" s="2060"/>
      <c r="HK1773" s="2060"/>
      <c r="HL1773" s="2060"/>
      <c r="HM1773" s="2060"/>
      <c r="HN1773" s="2060"/>
      <c r="HO1773" s="2060"/>
      <c r="HP1773" s="2060"/>
      <c r="HQ1773" s="2060"/>
      <c r="HR1773" s="2060"/>
      <c r="HS1773" s="2060"/>
      <c r="HT1773" s="2060"/>
      <c r="HU1773" s="2060"/>
      <c r="HV1773" s="2060"/>
      <c r="HW1773" s="2060"/>
      <c r="HX1773" s="2060"/>
      <c r="HY1773" s="2060"/>
      <c r="HZ1773" s="2060"/>
      <c r="IA1773" s="2060"/>
      <c r="IB1773" s="2060"/>
      <c r="IC1773" s="2060"/>
      <c r="ID1773" s="2060"/>
      <c r="IE1773" s="2060"/>
      <c r="IF1773" s="2060"/>
      <c r="IG1773" s="2060"/>
      <c r="IH1773" s="2060"/>
      <c r="II1773" s="2060"/>
      <c r="IJ1773" s="2060"/>
      <c r="IK1773" s="2060"/>
      <c r="IL1773" s="2060"/>
      <c r="IM1773" s="2060"/>
      <c r="IN1773" s="2060"/>
      <c r="IO1773" s="2060"/>
      <c r="IP1773" s="2060"/>
      <c r="IQ1773" s="2060"/>
      <c r="IR1773" s="2060"/>
      <c r="IS1773" s="2060"/>
      <c r="IT1773" s="2060"/>
      <c r="IU1773" s="2060"/>
      <c r="IV1773" s="2060"/>
      <c r="IW1773" s="2060"/>
      <c r="IX1773" s="2060"/>
      <c r="IY1773" s="2060"/>
      <c r="IZ1773" s="2060"/>
      <c r="JA1773" s="2060"/>
      <c r="JB1773" s="2060"/>
      <c r="JC1773" s="2060"/>
      <c r="JD1773" s="2060"/>
      <c r="JE1773" s="2060"/>
      <c r="JF1773" s="2060"/>
      <c r="JG1773" s="2060"/>
      <c r="JH1773" s="2060"/>
      <c r="JI1773" s="2060"/>
      <c r="JJ1773" s="2060"/>
      <c r="JK1773" s="2060"/>
      <c r="JL1773" s="2060"/>
      <c r="JM1773" s="2060"/>
      <c r="JN1773" s="2060"/>
      <c r="JO1773" s="2060"/>
      <c r="JP1773" s="2060"/>
      <c r="JQ1773" s="2060"/>
      <c r="JR1773" s="2060"/>
      <c r="JS1773" s="2060"/>
      <c r="JT1773" s="2060"/>
      <c r="JU1773" s="2060"/>
      <c r="JV1773" s="2060"/>
      <c r="JW1773" s="2060"/>
      <c r="JX1773" s="2060"/>
      <c r="JY1773" s="2060"/>
      <c r="JZ1773" s="2060"/>
      <c r="KA1773" s="2060"/>
      <c r="KB1773" s="2060"/>
      <c r="KC1773" s="2060"/>
      <c r="KD1773" s="2060"/>
      <c r="KE1773" s="2060"/>
      <c r="KF1773" s="2060"/>
      <c r="KG1773" s="2060"/>
      <c r="KH1773" s="2060"/>
      <c r="KI1773" s="2060"/>
      <c r="KJ1773" s="2060"/>
      <c r="KK1773" s="2060"/>
      <c r="KL1773" s="2060"/>
      <c r="KM1773" s="2060"/>
      <c r="KN1773" s="2060"/>
      <c r="KO1773" s="2060"/>
      <c r="KP1773" s="2060"/>
      <c r="KQ1773" s="2060"/>
      <c r="KR1773" s="2060"/>
      <c r="KS1773" s="2060"/>
      <c r="KT1773" s="2060"/>
      <c r="KU1773" s="2060"/>
      <c r="KV1773" s="2060"/>
      <c r="KW1773" s="2060"/>
      <c r="KX1773" s="2060"/>
      <c r="KY1773" s="2060"/>
      <c r="KZ1773" s="2060"/>
      <c r="LA1773" s="2060"/>
      <c r="LB1773" s="2060"/>
      <c r="LC1773" s="2060"/>
      <c r="LD1773" s="2060"/>
      <c r="LE1773" s="2060"/>
      <c r="LF1773" s="2060"/>
      <c r="LG1773" s="2060"/>
      <c r="LH1773" s="2060"/>
    </row>
    <row r="1774" spans="1:320" s="646" customFormat="1" ht="13.9">
      <c r="A1774" s="269" t="str">
        <f t="shared" si="477"/>
        <v>n</v>
      </c>
      <c r="B1774" s="2060"/>
      <c r="C1774" s="2060"/>
      <c r="D1774" s="2060"/>
      <c r="E1774" s="1661">
        <v>13</v>
      </c>
      <c r="F1774" s="1353" t="str">
        <f>F$141</f>
        <v>--</v>
      </c>
      <c r="G1774" s="128">
        <f>G$141</f>
        <v>0</v>
      </c>
      <c r="H1774" s="128" t="str">
        <f>H$141</f>
        <v>--</v>
      </c>
      <c r="I1774" s="89" t="s">
        <v>794</v>
      </c>
      <c r="J1774" s="2197" t="str">
        <f>IF($G1774=0,"",IFERROR(_xll.ciqfunctions.udf.CIQ($G1774,$I1774,J$1557,Valuation_Date_GC,ReportType,DataMode,$H1774,FXMode),"n/a"))</f>
        <v/>
      </c>
      <c r="K1774" s="2197" t="str">
        <f>IF($G1774=0,"",IFERROR(_xll.ciqfunctions.udf.CIQ($G1774,$I1774,K$1557,Valuation_Date_GC,ReportType,DataMode,$H1774,FXMode),"n/a"))</f>
        <v/>
      </c>
      <c r="L1774" s="2197" t="str">
        <f>IF($G1774=0,"",IFERROR(_xll.ciqfunctions.udf.CIQ($G1774,$I1774,L$1557,Valuation_Date_GC,ReportType,DataMode,$H1774,FXMode),"n/a"))</f>
        <v/>
      </c>
      <c r="M1774" s="2197" t="str">
        <f>IF($G1774=0,"",IFERROR(_xll.ciqfunctions.udf.CIQ($G1774,$I1774,M$1557,Valuation_Date_GC,ReportType,DataMode,$H1774,FXMode),"n/a"))</f>
        <v/>
      </c>
      <c r="N1774" s="2197" t="str">
        <f>IF($G1774=0,"",IFERROR(_xll.ciqfunctions.udf.CIQ($G1774,$I1774,N$1557,Valuation_Date_GC,ReportType,DataMode,$H1774,FXMode),"n/a"))</f>
        <v/>
      </c>
      <c r="O1774" s="2197" t="str">
        <f>IF($G1774=0,"",IFERROR(_xll.ciqfunctions.udf.CIQ($G1774,$I1774,O$1557,Valuation_Date_GC,ReportType,DataMode,$H1774,FXMode),"n/a"))</f>
        <v/>
      </c>
      <c r="P1774" s="2197" t="str">
        <f>IF($G1774=0,"",IFERROR(_xll.ciqfunctions.udf.CIQ($G1774,$I1774,P$1557,Valuation_Date_GC,ReportType,DataMode,$H1774,FXMode),"n/a"))</f>
        <v/>
      </c>
      <c r="Q1774" s="2197" t="str">
        <f>IF($G1774=0,"",IFERROR(_xll.ciqfunctions.udf.CIQ($G1774,$I1774,Q$1557,Valuation_Date_GC,ReportType,DataMode,$H1774,FXMode),"n/a"))</f>
        <v/>
      </c>
      <c r="R1774" s="2197" t="str">
        <f>IF($G1774=0,"",IFERROR(_xll.ciqfunctions.udf.CIQ($G1774,$I1774,R$1557,Valuation_Date_GC,ReportType,DataMode,$H1774,FXMode),"n/a"))</f>
        <v/>
      </c>
      <c r="S1774" s="2197" t="str">
        <f>IF($G1774=0,"",IFERROR(_xll.ciqfunctions.udf.CIQ($G1774,$I1774,S$1557,Valuation_Date_GC,ReportType,DataMode,$H1774,FXMode),"n/a"))</f>
        <v/>
      </c>
      <c r="T1774" s="2197" t="str">
        <f>IF($G1774=0,"",IFERROR(_xll.ciqfunctions.udf.CIQ($G1774,$I1774,T$1557,Valuation_Date_GC,ReportType,DataMode,$H1774,FXMode),"n/a"))</f>
        <v/>
      </c>
      <c r="U1774" s="2197" t="str">
        <f>IF($G1774=0,"",IFERROR(_xll.ciqfunctions.udf.CIQ($G1774,$I1774,U$1557,Valuation_Date_GC,ReportType,DataMode,$H1774,FXMode),"n/a"))</f>
        <v/>
      </c>
      <c r="V1774" s="2197" t="str">
        <f>IF($G1774=0,"",IFERROR(_xll.ciqfunctions.udf.CIQ($G1774,$I1774,V$1557,Valuation_Date_GC,ReportType,DataMode,$H1774,FXMode),"n/a"))</f>
        <v/>
      </c>
      <c r="W1774" s="1479"/>
      <c r="X1774" s="255"/>
      <c r="Y1774" s="255"/>
      <c r="Z1774" s="2060"/>
      <c r="AA1774" s="2060"/>
      <c r="AB1774" s="2060"/>
      <c r="AC1774" s="2060"/>
      <c r="AD1774" s="2060"/>
      <c r="AE1774" s="2060"/>
      <c r="AF1774" s="2060"/>
      <c r="AG1774" s="2060"/>
      <c r="AH1774" s="2060"/>
      <c r="AI1774" s="2060"/>
      <c r="AJ1774" s="2060"/>
      <c r="AK1774" s="2060"/>
      <c r="AL1774" s="2060"/>
      <c r="AM1774" s="2060"/>
      <c r="AN1774" s="2060"/>
      <c r="AO1774" s="2060"/>
      <c r="AP1774" s="2060"/>
      <c r="AQ1774" s="2060"/>
      <c r="AR1774" s="2060"/>
      <c r="AS1774" s="2060"/>
      <c r="AT1774" s="2060"/>
      <c r="AU1774" s="2060"/>
      <c r="AV1774" s="2060"/>
      <c r="AW1774" s="2060"/>
      <c r="AX1774" s="2060"/>
      <c r="AY1774" s="2060"/>
      <c r="AZ1774" s="2060"/>
      <c r="BA1774" s="2060"/>
      <c r="BB1774" s="2060"/>
      <c r="BC1774" s="2060"/>
      <c r="BD1774" s="2060"/>
      <c r="BE1774" s="2060"/>
      <c r="BF1774" s="2060"/>
      <c r="BG1774" s="2060"/>
      <c r="BH1774" s="2060"/>
      <c r="BI1774" s="2060"/>
      <c r="BJ1774" s="2060"/>
      <c r="BK1774" s="2060"/>
      <c r="BL1774" s="2060"/>
      <c r="BM1774" s="2060"/>
      <c r="BN1774" s="2060"/>
      <c r="BO1774" s="2060"/>
      <c r="BP1774" s="2060"/>
      <c r="BQ1774" s="2060"/>
      <c r="BR1774" s="2060"/>
      <c r="BS1774" s="2060"/>
      <c r="BT1774" s="2060"/>
      <c r="BU1774" s="2060"/>
      <c r="BV1774" s="2060"/>
      <c r="BW1774" s="2060"/>
      <c r="BX1774" s="2060"/>
      <c r="BY1774" s="2060"/>
      <c r="BZ1774" s="2060"/>
      <c r="CA1774" s="2060"/>
      <c r="CB1774" s="2060"/>
      <c r="CC1774" s="2060"/>
      <c r="CD1774" s="2060"/>
      <c r="CE1774" s="2060"/>
      <c r="CF1774" s="2060"/>
      <c r="CG1774" s="2060"/>
      <c r="CH1774" s="2060"/>
      <c r="CI1774" s="2060"/>
      <c r="CJ1774" s="2060"/>
      <c r="CK1774" s="2060"/>
      <c r="CL1774" s="2060"/>
      <c r="CM1774" s="2060"/>
      <c r="CN1774" s="2060"/>
      <c r="CO1774" s="2060"/>
      <c r="CP1774" s="2060"/>
      <c r="CQ1774" s="2060"/>
      <c r="CR1774" s="2060"/>
      <c r="CS1774" s="2060"/>
      <c r="CT1774" s="2060"/>
      <c r="CU1774" s="2060"/>
      <c r="CV1774" s="2060"/>
      <c r="CW1774" s="2060"/>
      <c r="CX1774" s="2060"/>
      <c r="CY1774" s="2060"/>
      <c r="CZ1774" s="2060"/>
      <c r="DA1774" s="2060"/>
      <c r="DB1774" s="2060"/>
      <c r="DC1774" s="2060"/>
      <c r="DD1774" s="2060"/>
      <c r="DE1774" s="2060"/>
      <c r="DF1774" s="2060"/>
      <c r="DG1774" s="2060"/>
      <c r="DH1774" s="2060"/>
      <c r="DI1774" s="2060"/>
      <c r="DJ1774" s="2060"/>
      <c r="DK1774" s="2060"/>
      <c r="DL1774" s="2060"/>
      <c r="DM1774" s="2060"/>
      <c r="DN1774" s="2060"/>
      <c r="DO1774" s="2060"/>
      <c r="DP1774" s="2060"/>
      <c r="DQ1774" s="2060"/>
      <c r="DR1774" s="2060"/>
      <c r="DS1774" s="2060"/>
      <c r="DT1774" s="2060"/>
      <c r="DU1774" s="2060"/>
      <c r="DV1774" s="2060"/>
      <c r="DW1774" s="2060"/>
      <c r="DX1774" s="2060"/>
      <c r="DY1774" s="2060"/>
      <c r="DZ1774" s="2060"/>
      <c r="EA1774" s="2060"/>
      <c r="EB1774" s="2060"/>
      <c r="EC1774" s="2060"/>
      <c r="ED1774" s="2060"/>
      <c r="EE1774" s="2060"/>
      <c r="EF1774" s="2060"/>
      <c r="EG1774" s="2060"/>
      <c r="EH1774" s="2060"/>
      <c r="EI1774" s="2060"/>
      <c r="EJ1774" s="2060"/>
      <c r="EK1774" s="2060"/>
      <c r="EL1774" s="2060"/>
      <c r="EM1774" s="2060"/>
      <c r="EN1774" s="2060"/>
      <c r="EO1774" s="2060"/>
      <c r="EP1774" s="2060"/>
      <c r="EQ1774" s="2060"/>
      <c r="ER1774" s="2060"/>
      <c r="ES1774" s="2060"/>
      <c r="ET1774" s="2060"/>
      <c r="EU1774" s="2060"/>
      <c r="EV1774" s="2060"/>
      <c r="EW1774" s="2060"/>
      <c r="EX1774" s="2060"/>
      <c r="EY1774" s="2060"/>
      <c r="EZ1774" s="2060"/>
      <c r="FA1774" s="2060"/>
      <c r="FB1774" s="2060"/>
      <c r="FC1774" s="2060"/>
      <c r="FD1774" s="2060"/>
      <c r="FE1774" s="2060"/>
      <c r="FF1774" s="2060"/>
      <c r="FG1774" s="2060"/>
      <c r="FH1774" s="2060"/>
      <c r="FI1774" s="2060"/>
      <c r="FJ1774" s="2060"/>
      <c r="FK1774" s="2060"/>
      <c r="FL1774" s="2060"/>
      <c r="FM1774" s="2060"/>
      <c r="FN1774" s="2060"/>
      <c r="FO1774" s="2060"/>
      <c r="FP1774" s="2060"/>
      <c r="FQ1774" s="2060"/>
      <c r="FR1774" s="2060"/>
      <c r="FS1774" s="2060"/>
      <c r="FT1774" s="2060"/>
      <c r="FU1774" s="2060"/>
      <c r="FV1774" s="2060"/>
      <c r="FW1774" s="2060"/>
      <c r="FX1774" s="2060"/>
      <c r="FY1774" s="2060"/>
      <c r="FZ1774" s="2060"/>
      <c r="GA1774" s="2060"/>
      <c r="GB1774" s="2060"/>
      <c r="GC1774" s="2060"/>
      <c r="GD1774" s="2060"/>
      <c r="GE1774" s="2060"/>
      <c r="GF1774" s="2060"/>
      <c r="GG1774" s="2060"/>
      <c r="GH1774" s="2060"/>
      <c r="GI1774" s="2060"/>
      <c r="GJ1774" s="2060"/>
      <c r="GK1774" s="2060"/>
      <c r="GL1774" s="2060"/>
      <c r="GM1774" s="2060"/>
      <c r="GN1774" s="2060"/>
      <c r="GO1774" s="2060"/>
      <c r="GP1774" s="2060"/>
      <c r="GQ1774" s="2060"/>
      <c r="GR1774" s="2060"/>
      <c r="GS1774" s="2060"/>
      <c r="GT1774" s="2060"/>
      <c r="GU1774" s="2060"/>
      <c r="GV1774" s="2060"/>
      <c r="GW1774" s="2060"/>
      <c r="GX1774" s="2060"/>
      <c r="GY1774" s="2060"/>
      <c r="GZ1774" s="2060"/>
      <c r="HA1774" s="2060"/>
      <c r="HB1774" s="2060"/>
      <c r="HC1774" s="2060"/>
      <c r="HD1774" s="2060"/>
      <c r="HE1774" s="2060"/>
      <c r="HF1774" s="2060"/>
      <c r="HG1774" s="2060"/>
      <c r="HH1774" s="2060"/>
      <c r="HI1774" s="2060"/>
      <c r="HJ1774" s="2060"/>
      <c r="HK1774" s="2060"/>
      <c r="HL1774" s="2060"/>
      <c r="HM1774" s="2060"/>
      <c r="HN1774" s="2060"/>
      <c r="HO1774" s="2060"/>
      <c r="HP1774" s="2060"/>
      <c r="HQ1774" s="2060"/>
      <c r="HR1774" s="2060"/>
      <c r="HS1774" s="2060"/>
      <c r="HT1774" s="2060"/>
      <c r="HU1774" s="2060"/>
      <c r="HV1774" s="2060"/>
      <c r="HW1774" s="2060"/>
      <c r="HX1774" s="2060"/>
      <c r="HY1774" s="2060"/>
      <c r="HZ1774" s="2060"/>
      <c r="IA1774" s="2060"/>
      <c r="IB1774" s="2060"/>
      <c r="IC1774" s="2060"/>
      <c r="ID1774" s="2060"/>
      <c r="IE1774" s="2060"/>
      <c r="IF1774" s="2060"/>
      <c r="IG1774" s="2060"/>
      <c r="IH1774" s="2060"/>
      <c r="II1774" s="2060"/>
      <c r="IJ1774" s="2060"/>
      <c r="IK1774" s="2060"/>
      <c r="IL1774" s="2060"/>
      <c r="IM1774" s="2060"/>
      <c r="IN1774" s="2060"/>
      <c r="IO1774" s="2060"/>
      <c r="IP1774" s="2060"/>
      <c r="IQ1774" s="2060"/>
      <c r="IR1774" s="2060"/>
      <c r="IS1774" s="2060"/>
      <c r="IT1774" s="2060"/>
      <c r="IU1774" s="2060"/>
      <c r="IV1774" s="2060"/>
      <c r="IW1774" s="2060"/>
      <c r="IX1774" s="2060"/>
      <c r="IY1774" s="2060"/>
      <c r="IZ1774" s="2060"/>
      <c r="JA1774" s="2060"/>
      <c r="JB1774" s="2060"/>
      <c r="JC1774" s="2060"/>
      <c r="JD1774" s="2060"/>
      <c r="JE1774" s="2060"/>
      <c r="JF1774" s="2060"/>
      <c r="JG1774" s="2060"/>
      <c r="JH1774" s="2060"/>
      <c r="JI1774" s="2060"/>
      <c r="JJ1774" s="2060"/>
      <c r="JK1774" s="2060"/>
      <c r="JL1774" s="2060"/>
      <c r="JM1774" s="2060"/>
      <c r="JN1774" s="2060"/>
      <c r="JO1774" s="2060"/>
      <c r="JP1774" s="2060"/>
      <c r="JQ1774" s="2060"/>
      <c r="JR1774" s="2060"/>
      <c r="JS1774" s="2060"/>
      <c r="JT1774" s="2060"/>
      <c r="JU1774" s="2060"/>
      <c r="JV1774" s="2060"/>
      <c r="JW1774" s="2060"/>
      <c r="JX1774" s="2060"/>
      <c r="JY1774" s="2060"/>
      <c r="JZ1774" s="2060"/>
      <c r="KA1774" s="2060"/>
      <c r="KB1774" s="2060"/>
      <c r="KC1774" s="2060"/>
      <c r="KD1774" s="2060"/>
      <c r="KE1774" s="2060"/>
      <c r="KF1774" s="2060"/>
      <c r="KG1774" s="2060"/>
      <c r="KH1774" s="2060"/>
      <c r="KI1774" s="2060"/>
      <c r="KJ1774" s="2060"/>
      <c r="KK1774" s="2060"/>
      <c r="KL1774" s="2060"/>
      <c r="KM1774" s="2060"/>
      <c r="KN1774" s="2060"/>
      <c r="KO1774" s="2060"/>
      <c r="KP1774" s="2060"/>
      <c r="KQ1774" s="2060"/>
      <c r="KR1774" s="2060"/>
      <c r="KS1774" s="2060"/>
      <c r="KT1774" s="2060"/>
      <c r="KU1774" s="2060"/>
      <c r="KV1774" s="2060"/>
      <c r="KW1774" s="2060"/>
      <c r="KX1774" s="2060"/>
      <c r="KY1774" s="2060"/>
      <c r="KZ1774" s="2060"/>
      <c r="LA1774" s="2060"/>
      <c r="LB1774" s="2060"/>
      <c r="LC1774" s="2060"/>
      <c r="LD1774" s="2060"/>
      <c r="LE1774" s="2060"/>
      <c r="LF1774" s="2060"/>
      <c r="LG1774" s="2060"/>
      <c r="LH1774" s="2060"/>
    </row>
    <row r="1775" spans="1:320" s="646" customFormat="1" ht="13.9">
      <c r="A1775" s="269" t="str">
        <f t="shared" si="477"/>
        <v>n</v>
      </c>
      <c r="B1775" s="2060"/>
      <c r="C1775" s="2060"/>
      <c r="D1775" s="2060"/>
      <c r="E1775" s="1661">
        <v>14</v>
      </c>
      <c r="F1775" s="1353" t="str">
        <f>F$142</f>
        <v>--</v>
      </c>
      <c r="G1775" s="128">
        <f>G$142</f>
        <v>0</v>
      </c>
      <c r="H1775" s="128" t="str">
        <f>H$142</f>
        <v>--</v>
      </c>
      <c r="I1775" s="89" t="s">
        <v>794</v>
      </c>
      <c r="J1775" s="2197" t="str">
        <f>IF($G1775=0,"",IFERROR(_xll.ciqfunctions.udf.CIQ($G1775,$I1775,J$1557,Valuation_Date_GC,ReportType,DataMode,$H1775,FXMode),"n/a"))</f>
        <v/>
      </c>
      <c r="K1775" s="2197" t="str">
        <f>IF($G1775=0,"",IFERROR(_xll.ciqfunctions.udf.CIQ($G1775,$I1775,K$1557,Valuation_Date_GC,ReportType,DataMode,$H1775,FXMode),"n/a"))</f>
        <v/>
      </c>
      <c r="L1775" s="2197" t="str">
        <f>IF($G1775=0,"",IFERROR(_xll.ciqfunctions.udf.CIQ($G1775,$I1775,L$1557,Valuation_Date_GC,ReportType,DataMode,$H1775,FXMode),"n/a"))</f>
        <v/>
      </c>
      <c r="M1775" s="2197" t="str">
        <f>IF($G1775=0,"",IFERROR(_xll.ciqfunctions.udf.CIQ($G1775,$I1775,M$1557,Valuation_Date_GC,ReportType,DataMode,$H1775,FXMode),"n/a"))</f>
        <v/>
      </c>
      <c r="N1775" s="2197" t="str">
        <f>IF($G1775=0,"",IFERROR(_xll.ciqfunctions.udf.CIQ($G1775,$I1775,N$1557,Valuation_Date_GC,ReportType,DataMode,$H1775,FXMode),"n/a"))</f>
        <v/>
      </c>
      <c r="O1775" s="2197" t="str">
        <f>IF($G1775=0,"",IFERROR(_xll.ciqfunctions.udf.CIQ($G1775,$I1775,O$1557,Valuation_Date_GC,ReportType,DataMode,$H1775,FXMode),"n/a"))</f>
        <v/>
      </c>
      <c r="P1775" s="2197" t="str">
        <f>IF($G1775=0,"",IFERROR(_xll.ciqfunctions.udf.CIQ($G1775,$I1775,P$1557,Valuation_Date_GC,ReportType,DataMode,$H1775,FXMode),"n/a"))</f>
        <v/>
      </c>
      <c r="Q1775" s="2197" t="str">
        <f>IF($G1775=0,"",IFERROR(_xll.ciqfunctions.udf.CIQ($G1775,$I1775,Q$1557,Valuation_Date_GC,ReportType,DataMode,$H1775,FXMode),"n/a"))</f>
        <v/>
      </c>
      <c r="R1775" s="2197" t="str">
        <f>IF($G1775=0,"",IFERROR(_xll.ciqfunctions.udf.CIQ($G1775,$I1775,R$1557,Valuation_Date_GC,ReportType,DataMode,$H1775,FXMode),"n/a"))</f>
        <v/>
      </c>
      <c r="S1775" s="2197" t="str">
        <f>IF($G1775=0,"",IFERROR(_xll.ciqfunctions.udf.CIQ($G1775,$I1775,S$1557,Valuation_Date_GC,ReportType,DataMode,$H1775,FXMode),"n/a"))</f>
        <v/>
      </c>
      <c r="T1775" s="2197" t="str">
        <f>IF($G1775=0,"",IFERROR(_xll.ciqfunctions.udf.CIQ($G1775,$I1775,T$1557,Valuation_Date_GC,ReportType,DataMode,$H1775,FXMode),"n/a"))</f>
        <v/>
      </c>
      <c r="U1775" s="2197" t="str">
        <f>IF($G1775=0,"",IFERROR(_xll.ciqfunctions.udf.CIQ($G1775,$I1775,U$1557,Valuation_Date_GC,ReportType,DataMode,$H1775,FXMode),"n/a"))</f>
        <v/>
      </c>
      <c r="V1775" s="2197" t="str">
        <f>IF($G1775=0,"",IFERROR(_xll.ciqfunctions.udf.CIQ($G1775,$I1775,V$1557,Valuation_Date_GC,ReportType,DataMode,$H1775,FXMode),"n/a"))</f>
        <v/>
      </c>
      <c r="W1775" s="1479"/>
      <c r="X1775" s="255"/>
      <c r="Y1775" s="255"/>
      <c r="Z1775" s="2060"/>
      <c r="AA1775" s="2060"/>
      <c r="AB1775" s="2060"/>
      <c r="AC1775" s="2060"/>
      <c r="AD1775" s="2060"/>
      <c r="AE1775" s="2060"/>
      <c r="AF1775" s="2060"/>
      <c r="AG1775" s="2060"/>
      <c r="AH1775" s="2060"/>
      <c r="AI1775" s="2060"/>
      <c r="AJ1775" s="2060"/>
      <c r="AK1775" s="2060"/>
      <c r="AL1775" s="2060"/>
      <c r="AM1775" s="2060"/>
      <c r="AN1775" s="2060"/>
      <c r="AO1775" s="2060"/>
      <c r="AP1775" s="2060"/>
      <c r="AQ1775" s="2060"/>
      <c r="AR1775" s="2060"/>
      <c r="AS1775" s="2060"/>
      <c r="AT1775" s="2060"/>
      <c r="AU1775" s="2060"/>
      <c r="AV1775" s="2060"/>
      <c r="AW1775" s="2060"/>
      <c r="AX1775" s="2060"/>
      <c r="AY1775" s="2060"/>
      <c r="AZ1775" s="2060"/>
      <c r="BA1775" s="2060"/>
      <c r="BB1775" s="2060"/>
      <c r="BC1775" s="2060"/>
      <c r="BD1775" s="2060"/>
      <c r="BE1775" s="2060"/>
      <c r="BF1775" s="2060"/>
      <c r="BG1775" s="2060"/>
      <c r="BH1775" s="2060"/>
      <c r="BI1775" s="2060"/>
      <c r="BJ1775" s="2060"/>
      <c r="BK1775" s="2060"/>
      <c r="BL1775" s="2060"/>
      <c r="BM1775" s="2060"/>
      <c r="BN1775" s="2060"/>
      <c r="BO1775" s="2060"/>
      <c r="BP1775" s="2060"/>
      <c r="BQ1775" s="2060"/>
      <c r="BR1775" s="2060"/>
      <c r="BS1775" s="2060"/>
      <c r="BT1775" s="2060"/>
      <c r="BU1775" s="2060"/>
      <c r="BV1775" s="2060"/>
      <c r="BW1775" s="2060"/>
      <c r="BX1775" s="2060"/>
      <c r="BY1775" s="2060"/>
      <c r="BZ1775" s="2060"/>
      <c r="CA1775" s="2060"/>
      <c r="CB1775" s="2060"/>
      <c r="CC1775" s="2060"/>
      <c r="CD1775" s="2060"/>
      <c r="CE1775" s="2060"/>
      <c r="CF1775" s="2060"/>
      <c r="CG1775" s="2060"/>
      <c r="CH1775" s="2060"/>
      <c r="CI1775" s="2060"/>
      <c r="CJ1775" s="2060"/>
      <c r="CK1775" s="2060"/>
      <c r="CL1775" s="2060"/>
      <c r="CM1775" s="2060"/>
      <c r="CN1775" s="2060"/>
      <c r="CO1775" s="2060"/>
      <c r="CP1775" s="2060"/>
      <c r="CQ1775" s="2060"/>
      <c r="CR1775" s="2060"/>
      <c r="CS1775" s="2060"/>
      <c r="CT1775" s="2060"/>
      <c r="CU1775" s="2060"/>
      <c r="CV1775" s="2060"/>
      <c r="CW1775" s="2060"/>
      <c r="CX1775" s="2060"/>
      <c r="CY1775" s="2060"/>
      <c r="CZ1775" s="2060"/>
      <c r="DA1775" s="2060"/>
      <c r="DB1775" s="2060"/>
      <c r="DC1775" s="2060"/>
      <c r="DD1775" s="2060"/>
      <c r="DE1775" s="2060"/>
      <c r="DF1775" s="2060"/>
      <c r="DG1775" s="2060"/>
      <c r="DH1775" s="2060"/>
      <c r="DI1775" s="2060"/>
      <c r="DJ1775" s="2060"/>
      <c r="DK1775" s="2060"/>
      <c r="DL1775" s="2060"/>
      <c r="DM1775" s="2060"/>
      <c r="DN1775" s="2060"/>
      <c r="DO1775" s="2060"/>
      <c r="DP1775" s="2060"/>
      <c r="DQ1775" s="2060"/>
      <c r="DR1775" s="2060"/>
      <c r="DS1775" s="2060"/>
      <c r="DT1775" s="2060"/>
      <c r="DU1775" s="2060"/>
      <c r="DV1775" s="2060"/>
      <c r="DW1775" s="2060"/>
      <c r="DX1775" s="2060"/>
      <c r="DY1775" s="2060"/>
      <c r="DZ1775" s="2060"/>
      <c r="EA1775" s="2060"/>
      <c r="EB1775" s="2060"/>
      <c r="EC1775" s="2060"/>
      <c r="ED1775" s="2060"/>
      <c r="EE1775" s="2060"/>
      <c r="EF1775" s="2060"/>
      <c r="EG1775" s="2060"/>
      <c r="EH1775" s="2060"/>
      <c r="EI1775" s="2060"/>
      <c r="EJ1775" s="2060"/>
      <c r="EK1775" s="2060"/>
      <c r="EL1775" s="2060"/>
      <c r="EM1775" s="2060"/>
      <c r="EN1775" s="2060"/>
      <c r="EO1775" s="2060"/>
      <c r="EP1775" s="2060"/>
      <c r="EQ1775" s="2060"/>
      <c r="ER1775" s="2060"/>
      <c r="ES1775" s="2060"/>
      <c r="ET1775" s="2060"/>
      <c r="EU1775" s="2060"/>
      <c r="EV1775" s="2060"/>
      <c r="EW1775" s="2060"/>
      <c r="EX1775" s="2060"/>
      <c r="EY1775" s="2060"/>
      <c r="EZ1775" s="2060"/>
      <c r="FA1775" s="2060"/>
      <c r="FB1775" s="2060"/>
      <c r="FC1775" s="2060"/>
      <c r="FD1775" s="2060"/>
      <c r="FE1775" s="2060"/>
      <c r="FF1775" s="2060"/>
      <c r="FG1775" s="2060"/>
      <c r="FH1775" s="2060"/>
      <c r="FI1775" s="2060"/>
      <c r="FJ1775" s="2060"/>
      <c r="FK1775" s="2060"/>
      <c r="FL1775" s="2060"/>
      <c r="FM1775" s="2060"/>
      <c r="FN1775" s="2060"/>
      <c r="FO1775" s="2060"/>
      <c r="FP1775" s="2060"/>
      <c r="FQ1775" s="2060"/>
      <c r="FR1775" s="2060"/>
      <c r="FS1775" s="2060"/>
      <c r="FT1775" s="2060"/>
      <c r="FU1775" s="2060"/>
      <c r="FV1775" s="2060"/>
      <c r="FW1775" s="2060"/>
      <c r="FX1775" s="2060"/>
      <c r="FY1775" s="2060"/>
      <c r="FZ1775" s="2060"/>
      <c r="GA1775" s="2060"/>
      <c r="GB1775" s="2060"/>
      <c r="GC1775" s="2060"/>
      <c r="GD1775" s="2060"/>
      <c r="GE1775" s="2060"/>
      <c r="GF1775" s="2060"/>
      <c r="GG1775" s="2060"/>
      <c r="GH1775" s="2060"/>
      <c r="GI1775" s="2060"/>
      <c r="GJ1775" s="2060"/>
      <c r="GK1775" s="2060"/>
      <c r="GL1775" s="2060"/>
      <c r="GM1775" s="2060"/>
      <c r="GN1775" s="2060"/>
      <c r="GO1775" s="2060"/>
      <c r="GP1775" s="2060"/>
      <c r="GQ1775" s="2060"/>
      <c r="GR1775" s="2060"/>
      <c r="GS1775" s="2060"/>
      <c r="GT1775" s="2060"/>
      <c r="GU1775" s="2060"/>
      <c r="GV1775" s="2060"/>
      <c r="GW1775" s="2060"/>
      <c r="GX1775" s="2060"/>
      <c r="GY1775" s="2060"/>
      <c r="GZ1775" s="2060"/>
      <c r="HA1775" s="2060"/>
      <c r="HB1775" s="2060"/>
      <c r="HC1775" s="2060"/>
      <c r="HD1775" s="2060"/>
      <c r="HE1775" s="2060"/>
      <c r="HF1775" s="2060"/>
      <c r="HG1775" s="2060"/>
      <c r="HH1775" s="2060"/>
      <c r="HI1775" s="2060"/>
      <c r="HJ1775" s="2060"/>
      <c r="HK1775" s="2060"/>
      <c r="HL1775" s="2060"/>
      <c r="HM1775" s="2060"/>
      <c r="HN1775" s="2060"/>
      <c r="HO1775" s="2060"/>
      <c r="HP1775" s="2060"/>
      <c r="HQ1775" s="2060"/>
      <c r="HR1775" s="2060"/>
      <c r="HS1775" s="2060"/>
      <c r="HT1775" s="2060"/>
      <c r="HU1775" s="2060"/>
      <c r="HV1775" s="2060"/>
      <c r="HW1775" s="2060"/>
      <c r="HX1775" s="2060"/>
      <c r="HY1775" s="2060"/>
      <c r="HZ1775" s="2060"/>
      <c r="IA1775" s="2060"/>
      <c r="IB1775" s="2060"/>
      <c r="IC1775" s="2060"/>
      <c r="ID1775" s="2060"/>
      <c r="IE1775" s="2060"/>
      <c r="IF1775" s="2060"/>
      <c r="IG1775" s="2060"/>
      <c r="IH1775" s="2060"/>
      <c r="II1775" s="2060"/>
      <c r="IJ1775" s="2060"/>
      <c r="IK1775" s="2060"/>
      <c r="IL1775" s="2060"/>
      <c r="IM1775" s="2060"/>
      <c r="IN1775" s="2060"/>
      <c r="IO1775" s="2060"/>
      <c r="IP1775" s="2060"/>
      <c r="IQ1775" s="2060"/>
      <c r="IR1775" s="2060"/>
      <c r="IS1775" s="2060"/>
      <c r="IT1775" s="2060"/>
      <c r="IU1775" s="2060"/>
      <c r="IV1775" s="2060"/>
      <c r="IW1775" s="2060"/>
      <c r="IX1775" s="2060"/>
      <c r="IY1775" s="2060"/>
      <c r="IZ1775" s="2060"/>
      <c r="JA1775" s="2060"/>
      <c r="JB1775" s="2060"/>
      <c r="JC1775" s="2060"/>
      <c r="JD1775" s="2060"/>
      <c r="JE1775" s="2060"/>
      <c r="JF1775" s="2060"/>
      <c r="JG1775" s="2060"/>
      <c r="JH1775" s="2060"/>
      <c r="JI1775" s="2060"/>
      <c r="JJ1775" s="2060"/>
      <c r="JK1775" s="2060"/>
      <c r="JL1775" s="2060"/>
      <c r="JM1775" s="2060"/>
      <c r="JN1775" s="2060"/>
      <c r="JO1775" s="2060"/>
      <c r="JP1775" s="2060"/>
      <c r="JQ1775" s="2060"/>
      <c r="JR1775" s="2060"/>
      <c r="JS1775" s="2060"/>
      <c r="JT1775" s="2060"/>
      <c r="JU1775" s="2060"/>
      <c r="JV1775" s="2060"/>
      <c r="JW1775" s="2060"/>
      <c r="JX1775" s="2060"/>
      <c r="JY1775" s="2060"/>
      <c r="JZ1775" s="2060"/>
      <c r="KA1775" s="2060"/>
      <c r="KB1775" s="2060"/>
      <c r="KC1775" s="2060"/>
      <c r="KD1775" s="2060"/>
      <c r="KE1775" s="2060"/>
      <c r="KF1775" s="2060"/>
      <c r="KG1775" s="2060"/>
      <c r="KH1775" s="2060"/>
      <c r="KI1775" s="2060"/>
      <c r="KJ1775" s="2060"/>
      <c r="KK1775" s="2060"/>
      <c r="KL1775" s="2060"/>
      <c r="KM1775" s="2060"/>
      <c r="KN1775" s="2060"/>
      <c r="KO1775" s="2060"/>
      <c r="KP1775" s="2060"/>
      <c r="KQ1775" s="2060"/>
      <c r="KR1775" s="2060"/>
      <c r="KS1775" s="2060"/>
      <c r="KT1775" s="2060"/>
      <c r="KU1775" s="2060"/>
      <c r="KV1775" s="2060"/>
      <c r="KW1775" s="2060"/>
      <c r="KX1775" s="2060"/>
      <c r="KY1775" s="2060"/>
      <c r="KZ1775" s="2060"/>
      <c r="LA1775" s="2060"/>
      <c r="LB1775" s="2060"/>
      <c r="LC1775" s="2060"/>
      <c r="LD1775" s="2060"/>
      <c r="LE1775" s="2060"/>
      <c r="LF1775" s="2060"/>
      <c r="LG1775" s="2060"/>
      <c r="LH1775" s="2060"/>
    </row>
    <row r="1776" spans="1:320" s="1499" customFormat="1" ht="13.9">
      <c r="A1776" s="269" t="str">
        <f t="shared" si="477"/>
        <v>n</v>
      </c>
      <c r="B1776" s="2060"/>
      <c r="C1776" s="2060"/>
      <c r="D1776" s="2060"/>
      <c r="E1776" s="1661">
        <v>15</v>
      </c>
      <c r="F1776" s="1353" t="str">
        <f>F$143</f>
        <v>--</v>
      </c>
      <c r="G1776" s="128">
        <f>G$143</f>
        <v>0</v>
      </c>
      <c r="H1776" s="128" t="str">
        <f>H$143</f>
        <v>--</v>
      </c>
      <c r="I1776" s="89" t="s">
        <v>794</v>
      </c>
      <c r="J1776" s="2197" t="str">
        <f>IF($G1776=0,"",IFERROR(_xll.ciqfunctions.udf.CIQ($G1776,$I1776,J$1557,Valuation_Date_GC,ReportType,DataMode,$H1776,FXMode),"n/a"))</f>
        <v/>
      </c>
      <c r="K1776" s="2197" t="str">
        <f>IF($G1776=0,"",IFERROR(_xll.ciqfunctions.udf.CIQ($G1776,$I1776,K$1557,Valuation_Date_GC,ReportType,DataMode,$H1776,FXMode),"n/a"))</f>
        <v/>
      </c>
      <c r="L1776" s="2197" t="str">
        <f>IF($G1776=0,"",IFERROR(_xll.ciqfunctions.udf.CIQ($G1776,$I1776,L$1557,Valuation_Date_GC,ReportType,DataMode,$H1776,FXMode),"n/a"))</f>
        <v/>
      </c>
      <c r="M1776" s="2197" t="str">
        <f>IF($G1776=0,"",IFERROR(_xll.ciqfunctions.udf.CIQ($G1776,$I1776,M$1557,Valuation_Date_GC,ReportType,DataMode,$H1776,FXMode),"n/a"))</f>
        <v/>
      </c>
      <c r="N1776" s="2197" t="str">
        <f>IF($G1776=0,"",IFERROR(_xll.ciqfunctions.udf.CIQ($G1776,$I1776,N$1557,Valuation_Date_GC,ReportType,DataMode,$H1776,FXMode),"n/a"))</f>
        <v/>
      </c>
      <c r="O1776" s="2197" t="str">
        <f>IF($G1776=0,"",IFERROR(_xll.ciqfunctions.udf.CIQ($G1776,$I1776,O$1557,Valuation_Date_GC,ReportType,DataMode,$H1776,FXMode),"n/a"))</f>
        <v/>
      </c>
      <c r="P1776" s="2197" t="str">
        <f>IF($G1776=0,"",IFERROR(_xll.ciqfunctions.udf.CIQ($G1776,$I1776,P$1557,Valuation_Date_GC,ReportType,DataMode,$H1776,FXMode),"n/a"))</f>
        <v/>
      </c>
      <c r="Q1776" s="2197" t="str">
        <f>IF($G1776=0,"",IFERROR(_xll.ciqfunctions.udf.CIQ($G1776,$I1776,Q$1557,Valuation_Date_GC,ReportType,DataMode,$H1776,FXMode),"n/a"))</f>
        <v/>
      </c>
      <c r="R1776" s="2197" t="str">
        <f>IF($G1776=0,"",IFERROR(_xll.ciqfunctions.udf.CIQ($G1776,$I1776,R$1557,Valuation_Date_GC,ReportType,DataMode,$H1776,FXMode),"n/a"))</f>
        <v/>
      </c>
      <c r="S1776" s="2197" t="str">
        <f>IF($G1776=0,"",IFERROR(_xll.ciqfunctions.udf.CIQ($G1776,$I1776,S$1557,Valuation_Date_GC,ReportType,DataMode,$H1776,FXMode),"n/a"))</f>
        <v/>
      </c>
      <c r="T1776" s="2197" t="str">
        <f>IF($G1776=0,"",IFERROR(_xll.ciqfunctions.udf.CIQ($G1776,$I1776,T$1557,Valuation_Date_GC,ReportType,DataMode,$H1776,FXMode),"n/a"))</f>
        <v/>
      </c>
      <c r="U1776" s="2197" t="str">
        <f>IF($G1776=0,"",IFERROR(_xll.ciqfunctions.udf.CIQ($G1776,$I1776,U$1557,Valuation_Date_GC,ReportType,DataMode,$H1776,FXMode),"n/a"))</f>
        <v/>
      </c>
      <c r="V1776" s="2197" t="str">
        <f>IF($G1776=0,"",IFERROR(_xll.ciqfunctions.udf.CIQ($G1776,$I1776,V$1557,Valuation_Date_GC,ReportType,DataMode,$H1776,FXMode),"n/a"))</f>
        <v/>
      </c>
      <c r="W1776" s="1479"/>
      <c r="X1776" s="255"/>
      <c r="Y1776" s="255"/>
      <c r="Z1776" s="2060"/>
      <c r="AA1776" s="2060"/>
      <c r="AB1776" s="2060"/>
      <c r="AC1776" s="2060"/>
      <c r="AD1776" s="2060"/>
      <c r="AE1776" s="2060"/>
      <c r="AF1776" s="2060"/>
      <c r="AG1776" s="2060"/>
      <c r="AH1776" s="2060"/>
      <c r="AI1776" s="2060"/>
      <c r="AJ1776" s="2060"/>
      <c r="AK1776" s="2060"/>
      <c r="AL1776" s="2060"/>
      <c r="AM1776" s="2060"/>
      <c r="AN1776" s="2060"/>
      <c r="AO1776" s="2060"/>
      <c r="AP1776" s="2060"/>
      <c r="AQ1776" s="2060"/>
      <c r="AR1776" s="2060"/>
      <c r="AS1776" s="2060"/>
      <c r="AT1776" s="2060"/>
      <c r="AU1776" s="2060"/>
      <c r="AV1776" s="2060"/>
      <c r="AW1776" s="2060"/>
      <c r="AX1776" s="2060"/>
      <c r="AY1776" s="2060"/>
      <c r="AZ1776" s="2060"/>
      <c r="BA1776" s="2060"/>
      <c r="BB1776" s="2060"/>
      <c r="BC1776" s="2060"/>
      <c r="BD1776" s="2060"/>
      <c r="BE1776" s="2060"/>
      <c r="BF1776" s="2060"/>
      <c r="BG1776" s="2060"/>
      <c r="BH1776" s="2060"/>
      <c r="BI1776" s="2060"/>
      <c r="BJ1776" s="2060"/>
      <c r="BK1776" s="2060"/>
      <c r="BL1776" s="2060"/>
      <c r="BM1776" s="2060"/>
      <c r="BN1776" s="2060"/>
      <c r="BO1776" s="2060"/>
      <c r="BP1776" s="2060"/>
      <c r="BQ1776" s="2060"/>
      <c r="BR1776" s="2060"/>
      <c r="BS1776" s="2060"/>
      <c r="BT1776" s="2060"/>
      <c r="BU1776" s="2060"/>
      <c r="BV1776" s="2060"/>
      <c r="BW1776" s="2060"/>
      <c r="BX1776" s="2060"/>
      <c r="BY1776" s="2060"/>
      <c r="BZ1776" s="2060"/>
      <c r="CA1776" s="2060"/>
      <c r="CB1776" s="2060"/>
      <c r="CC1776" s="2060"/>
      <c r="CD1776" s="2060"/>
      <c r="CE1776" s="2060"/>
      <c r="CF1776" s="2060"/>
      <c r="CG1776" s="2060"/>
      <c r="CH1776" s="2060"/>
      <c r="CI1776" s="2060"/>
      <c r="CJ1776" s="2060"/>
      <c r="CK1776" s="2060"/>
      <c r="CL1776" s="2060"/>
      <c r="CM1776" s="2060"/>
      <c r="CN1776" s="2060"/>
      <c r="CO1776" s="2060"/>
      <c r="CP1776" s="2060"/>
      <c r="CQ1776" s="2060"/>
      <c r="CR1776" s="2060"/>
      <c r="CS1776" s="2060"/>
      <c r="CT1776" s="2060"/>
      <c r="CU1776" s="2060"/>
      <c r="CV1776" s="2060"/>
      <c r="CW1776" s="2060"/>
      <c r="CX1776" s="2060"/>
      <c r="CY1776" s="2060"/>
      <c r="CZ1776" s="2060"/>
      <c r="DA1776" s="2060"/>
      <c r="DB1776" s="2060"/>
      <c r="DC1776" s="2060"/>
      <c r="DD1776" s="2060"/>
      <c r="DE1776" s="2060"/>
      <c r="DF1776" s="2060"/>
      <c r="DG1776" s="2060"/>
      <c r="DH1776" s="2060"/>
      <c r="DI1776" s="2060"/>
      <c r="DJ1776" s="2060"/>
      <c r="DK1776" s="2060"/>
      <c r="DL1776" s="2060"/>
      <c r="DM1776" s="2060"/>
      <c r="DN1776" s="2060"/>
      <c r="DO1776" s="2060"/>
      <c r="DP1776" s="2060"/>
      <c r="DQ1776" s="2060"/>
      <c r="DR1776" s="2060"/>
      <c r="DS1776" s="2060"/>
      <c r="DT1776" s="2060"/>
      <c r="DU1776" s="2060"/>
      <c r="DV1776" s="2060"/>
      <c r="DW1776" s="2060"/>
      <c r="DX1776" s="2060"/>
      <c r="DY1776" s="2060"/>
      <c r="DZ1776" s="2060"/>
      <c r="EA1776" s="2060"/>
      <c r="EB1776" s="2060"/>
      <c r="EC1776" s="2060"/>
      <c r="ED1776" s="2060"/>
      <c r="EE1776" s="2060"/>
      <c r="EF1776" s="2060"/>
      <c r="EG1776" s="2060"/>
      <c r="EH1776" s="2060"/>
      <c r="EI1776" s="2060"/>
      <c r="EJ1776" s="2060"/>
      <c r="EK1776" s="2060"/>
      <c r="EL1776" s="2060"/>
      <c r="EM1776" s="2060"/>
      <c r="EN1776" s="2060"/>
      <c r="EO1776" s="2060"/>
      <c r="EP1776" s="2060"/>
      <c r="EQ1776" s="2060"/>
      <c r="ER1776" s="2060"/>
      <c r="ES1776" s="2060"/>
      <c r="ET1776" s="2060"/>
      <c r="EU1776" s="2060"/>
      <c r="EV1776" s="2060"/>
      <c r="EW1776" s="2060"/>
      <c r="EX1776" s="2060"/>
      <c r="EY1776" s="2060"/>
      <c r="EZ1776" s="2060"/>
      <c r="FA1776" s="2060"/>
      <c r="FB1776" s="2060"/>
      <c r="FC1776" s="2060"/>
      <c r="FD1776" s="2060"/>
      <c r="FE1776" s="2060"/>
      <c r="FF1776" s="2060"/>
      <c r="FG1776" s="2060"/>
      <c r="FH1776" s="2060"/>
      <c r="FI1776" s="2060"/>
      <c r="FJ1776" s="2060"/>
      <c r="FK1776" s="2060"/>
      <c r="FL1776" s="2060"/>
      <c r="FM1776" s="2060"/>
      <c r="FN1776" s="2060"/>
      <c r="FO1776" s="2060"/>
      <c r="FP1776" s="2060"/>
      <c r="FQ1776" s="2060"/>
      <c r="FR1776" s="2060"/>
      <c r="FS1776" s="2060"/>
      <c r="FT1776" s="2060"/>
      <c r="FU1776" s="2060"/>
      <c r="FV1776" s="2060"/>
      <c r="FW1776" s="2060"/>
      <c r="FX1776" s="2060"/>
      <c r="FY1776" s="2060"/>
      <c r="FZ1776" s="2060"/>
      <c r="GA1776" s="2060"/>
      <c r="GB1776" s="2060"/>
      <c r="GC1776" s="2060"/>
      <c r="GD1776" s="2060"/>
      <c r="GE1776" s="2060"/>
      <c r="GF1776" s="2060"/>
      <c r="GG1776" s="2060"/>
      <c r="GH1776" s="2060"/>
      <c r="GI1776" s="2060"/>
      <c r="GJ1776" s="2060"/>
      <c r="GK1776" s="2060"/>
      <c r="GL1776" s="2060"/>
      <c r="GM1776" s="2060"/>
      <c r="GN1776" s="2060"/>
      <c r="GO1776" s="2060"/>
      <c r="GP1776" s="2060"/>
      <c r="GQ1776" s="2060"/>
      <c r="GR1776" s="2060"/>
      <c r="GS1776" s="2060"/>
      <c r="GT1776" s="2060"/>
      <c r="GU1776" s="2060"/>
      <c r="GV1776" s="2060"/>
      <c r="GW1776" s="2060"/>
      <c r="GX1776" s="2060"/>
      <c r="GY1776" s="2060"/>
      <c r="GZ1776" s="2060"/>
      <c r="HA1776" s="2060"/>
      <c r="HB1776" s="2060"/>
      <c r="HC1776" s="2060"/>
      <c r="HD1776" s="2060"/>
      <c r="HE1776" s="2060"/>
      <c r="HF1776" s="2060"/>
      <c r="HG1776" s="2060"/>
      <c r="HH1776" s="2060"/>
      <c r="HI1776" s="2060"/>
      <c r="HJ1776" s="2060"/>
      <c r="HK1776" s="2060"/>
      <c r="HL1776" s="2060"/>
      <c r="HM1776" s="2060"/>
      <c r="HN1776" s="2060"/>
      <c r="HO1776" s="2060"/>
      <c r="HP1776" s="2060"/>
      <c r="HQ1776" s="2060"/>
      <c r="HR1776" s="2060"/>
      <c r="HS1776" s="2060"/>
      <c r="HT1776" s="2060"/>
      <c r="HU1776" s="2060"/>
      <c r="HV1776" s="2060"/>
      <c r="HW1776" s="2060"/>
      <c r="HX1776" s="2060"/>
      <c r="HY1776" s="2060"/>
      <c r="HZ1776" s="2060"/>
      <c r="IA1776" s="2060"/>
      <c r="IB1776" s="2060"/>
      <c r="IC1776" s="2060"/>
      <c r="ID1776" s="2060"/>
      <c r="IE1776" s="2060"/>
      <c r="IF1776" s="2060"/>
      <c r="IG1776" s="2060"/>
      <c r="IH1776" s="2060"/>
      <c r="II1776" s="2060"/>
      <c r="IJ1776" s="2060"/>
      <c r="IK1776" s="2060"/>
      <c r="IL1776" s="2060"/>
      <c r="IM1776" s="2060"/>
      <c r="IN1776" s="2060"/>
      <c r="IO1776" s="2060"/>
      <c r="IP1776" s="2060"/>
      <c r="IQ1776" s="2060"/>
      <c r="IR1776" s="2060"/>
      <c r="IS1776" s="2060"/>
      <c r="IT1776" s="2060"/>
      <c r="IU1776" s="2060"/>
      <c r="IV1776" s="2060"/>
      <c r="IW1776" s="2060"/>
      <c r="IX1776" s="2060"/>
      <c r="IY1776" s="2060"/>
      <c r="IZ1776" s="2060"/>
      <c r="JA1776" s="2060"/>
      <c r="JB1776" s="2060"/>
      <c r="JC1776" s="2060"/>
      <c r="JD1776" s="2060"/>
      <c r="JE1776" s="2060"/>
      <c r="JF1776" s="2060"/>
      <c r="JG1776" s="2060"/>
      <c r="JH1776" s="2060"/>
      <c r="JI1776" s="2060"/>
      <c r="JJ1776" s="2060"/>
      <c r="JK1776" s="2060"/>
      <c r="JL1776" s="2060"/>
      <c r="JM1776" s="2060"/>
      <c r="JN1776" s="2060"/>
      <c r="JO1776" s="2060"/>
      <c r="JP1776" s="2060"/>
      <c r="JQ1776" s="2060"/>
      <c r="JR1776" s="2060"/>
      <c r="JS1776" s="2060"/>
      <c r="JT1776" s="2060"/>
      <c r="JU1776" s="2060"/>
      <c r="JV1776" s="2060"/>
      <c r="JW1776" s="2060"/>
      <c r="JX1776" s="2060"/>
      <c r="JY1776" s="2060"/>
      <c r="JZ1776" s="2060"/>
      <c r="KA1776" s="2060"/>
      <c r="KB1776" s="2060"/>
      <c r="KC1776" s="2060"/>
      <c r="KD1776" s="2060"/>
      <c r="KE1776" s="2060"/>
      <c r="KF1776" s="2060"/>
      <c r="KG1776" s="2060"/>
      <c r="KH1776" s="2060"/>
      <c r="KI1776" s="2060"/>
      <c r="KJ1776" s="2060"/>
      <c r="KK1776" s="2060"/>
      <c r="KL1776" s="2060"/>
      <c r="KM1776" s="2060"/>
      <c r="KN1776" s="2060"/>
      <c r="KO1776" s="2060"/>
      <c r="KP1776" s="2060"/>
      <c r="KQ1776" s="2060"/>
      <c r="KR1776" s="2060"/>
      <c r="KS1776" s="2060"/>
      <c r="KT1776" s="2060"/>
      <c r="KU1776" s="2060"/>
      <c r="KV1776" s="2060"/>
      <c r="KW1776" s="2060"/>
      <c r="KX1776" s="2060"/>
      <c r="KY1776" s="2060"/>
      <c r="KZ1776" s="2060"/>
      <c r="LA1776" s="2060"/>
      <c r="LB1776" s="2060"/>
      <c r="LC1776" s="2060"/>
      <c r="LD1776" s="2060"/>
      <c r="LE1776" s="2060"/>
      <c r="LF1776" s="2060"/>
      <c r="LG1776" s="2060"/>
      <c r="LH1776" s="2060"/>
    </row>
    <row r="1777" spans="1:320" s="1499" customFormat="1" ht="13.9">
      <c r="A1777" s="269" t="str">
        <f t="shared" si="477"/>
        <v>n</v>
      </c>
      <c r="B1777" s="2060"/>
      <c r="C1777" s="2060"/>
      <c r="D1777" s="2060"/>
      <c r="E1777" s="1661">
        <v>16</v>
      </c>
      <c r="F1777" s="1353" t="str">
        <f>F$144</f>
        <v>--</v>
      </c>
      <c r="G1777" s="128">
        <f>G$144</f>
        <v>0</v>
      </c>
      <c r="H1777" s="128" t="str">
        <f>H$144</f>
        <v>--</v>
      </c>
      <c r="I1777" s="89" t="s">
        <v>794</v>
      </c>
      <c r="J1777" s="2197" t="str">
        <f>IF($G1777=0,"",IFERROR(_xll.ciqfunctions.udf.CIQ($G1777,$I1777,J$1557,Valuation_Date_GC,ReportType,DataMode,$H1777,FXMode),"n/a"))</f>
        <v/>
      </c>
      <c r="K1777" s="2197" t="str">
        <f>IF($G1777=0,"",IFERROR(_xll.ciqfunctions.udf.CIQ($G1777,$I1777,K$1557,Valuation_Date_GC,ReportType,DataMode,$H1777,FXMode),"n/a"))</f>
        <v/>
      </c>
      <c r="L1777" s="2197" t="str">
        <f>IF($G1777=0,"",IFERROR(_xll.ciqfunctions.udf.CIQ($G1777,$I1777,L$1557,Valuation_Date_GC,ReportType,DataMode,$H1777,FXMode),"n/a"))</f>
        <v/>
      </c>
      <c r="M1777" s="2197" t="str">
        <f>IF($G1777=0,"",IFERROR(_xll.ciqfunctions.udf.CIQ($G1777,$I1777,M$1557,Valuation_Date_GC,ReportType,DataMode,$H1777,FXMode),"n/a"))</f>
        <v/>
      </c>
      <c r="N1777" s="2197" t="str">
        <f>IF($G1777=0,"",IFERROR(_xll.ciqfunctions.udf.CIQ($G1777,$I1777,N$1557,Valuation_Date_GC,ReportType,DataMode,$H1777,FXMode),"n/a"))</f>
        <v/>
      </c>
      <c r="O1777" s="2197" t="str">
        <f>IF($G1777=0,"",IFERROR(_xll.ciqfunctions.udf.CIQ($G1777,$I1777,O$1557,Valuation_Date_GC,ReportType,DataMode,$H1777,FXMode),"n/a"))</f>
        <v/>
      </c>
      <c r="P1777" s="2197" t="str">
        <f>IF($G1777=0,"",IFERROR(_xll.ciqfunctions.udf.CIQ($G1777,$I1777,P$1557,Valuation_Date_GC,ReportType,DataMode,$H1777,FXMode),"n/a"))</f>
        <v/>
      </c>
      <c r="Q1777" s="2197" t="str">
        <f>IF($G1777=0,"",IFERROR(_xll.ciqfunctions.udf.CIQ($G1777,$I1777,Q$1557,Valuation_Date_GC,ReportType,DataMode,$H1777,FXMode),"n/a"))</f>
        <v/>
      </c>
      <c r="R1777" s="2197" t="str">
        <f>IF($G1777=0,"",IFERROR(_xll.ciqfunctions.udf.CIQ($G1777,$I1777,R$1557,Valuation_Date_GC,ReportType,DataMode,$H1777,FXMode),"n/a"))</f>
        <v/>
      </c>
      <c r="S1777" s="2197" t="str">
        <f>IF($G1777=0,"",IFERROR(_xll.ciqfunctions.udf.CIQ($G1777,$I1777,S$1557,Valuation_Date_GC,ReportType,DataMode,$H1777,FXMode),"n/a"))</f>
        <v/>
      </c>
      <c r="T1777" s="2197" t="str">
        <f>IF($G1777=0,"",IFERROR(_xll.ciqfunctions.udf.CIQ($G1777,$I1777,T$1557,Valuation_Date_GC,ReportType,DataMode,$H1777,FXMode),"n/a"))</f>
        <v/>
      </c>
      <c r="U1777" s="2197" t="str">
        <f>IF($G1777=0,"",IFERROR(_xll.ciqfunctions.udf.CIQ($G1777,$I1777,U$1557,Valuation_Date_GC,ReportType,DataMode,$H1777,FXMode),"n/a"))</f>
        <v/>
      </c>
      <c r="V1777" s="2197" t="str">
        <f>IF($G1777=0,"",IFERROR(_xll.ciqfunctions.udf.CIQ($G1777,$I1777,V$1557,Valuation_Date_GC,ReportType,DataMode,$H1777,FXMode),"n/a"))</f>
        <v/>
      </c>
      <c r="W1777" s="1479"/>
      <c r="X1777" s="255"/>
      <c r="Y1777" s="255"/>
      <c r="Z1777" s="2060"/>
      <c r="AA1777" s="2060"/>
      <c r="AB1777" s="2060"/>
      <c r="AC1777" s="2060"/>
      <c r="AD1777" s="2060"/>
      <c r="AE1777" s="2060"/>
      <c r="AF1777" s="2060"/>
      <c r="AG1777" s="2060"/>
      <c r="AH1777" s="2060"/>
      <c r="AI1777" s="2060"/>
      <c r="AJ1777" s="2060"/>
      <c r="AK1777" s="2060"/>
      <c r="AL1777" s="2060"/>
      <c r="AM1777" s="2060"/>
      <c r="AN1777" s="2060"/>
      <c r="AO1777" s="2060"/>
      <c r="AP1777" s="2060"/>
      <c r="AQ1777" s="2060"/>
      <c r="AR1777" s="2060"/>
      <c r="AS1777" s="2060"/>
      <c r="AT1777" s="2060"/>
      <c r="AU1777" s="2060"/>
      <c r="AV1777" s="2060"/>
      <c r="AW1777" s="2060"/>
      <c r="AX1777" s="2060"/>
      <c r="AY1777" s="2060"/>
      <c r="AZ1777" s="2060"/>
      <c r="BA1777" s="2060"/>
      <c r="BB1777" s="2060"/>
      <c r="BC1777" s="2060"/>
      <c r="BD1777" s="2060"/>
      <c r="BE1777" s="2060"/>
      <c r="BF1777" s="2060"/>
      <c r="BG1777" s="2060"/>
      <c r="BH1777" s="2060"/>
      <c r="BI1777" s="2060"/>
      <c r="BJ1777" s="2060"/>
      <c r="BK1777" s="2060"/>
      <c r="BL1777" s="2060"/>
      <c r="BM1777" s="2060"/>
      <c r="BN1777" s="2060"/>
      <c r="BO1777" s="2060"/>
      <c r="BP1777" s="2060"/>
      <c r="BQ1777" s="2060"/>
      <c r="BR1777" s="2060"/>
      <c r="BS1777" s="2060"/>
      <c r="BT1777" s="2060"/>
      <c r="BU1777" s="2060"/>
      <c r="BV1777" s="2060"/>
      <c r="BW1777" s="2060"/>
      <c r="BX1777" s="2060"/>
      <c r="BY1777" s="2060"/>
      <c r="BZ1777" s="2060"/>
      <c r="CA1777" s="2060"/>
      <c r="CB1777" s="2060"/>
      <c r="CC1777" s="2060"/>
      <c r="CD1777" s="2060"/>
      <c r="CE1777" s="2060"/>
      <c r="CF1777" s="2060"/>
      <c r="CG1777" s="2060"/>
      <c r="CH1777" s="2060"/>
      <c r="CI1777" s="2060"/>
      <c r="CJ1777" s="2060"/>
      <c r="CK1777" s="2060"/>
      <c r="CL1777" s="2060"/>
      <c r="CM1777" s="2060"/>
      <c r="CN1777" s="2060"/>
      <c r="CO1777" s="2060"/>
      <c r="CP1777" s="2060"/>
      <c r="CQ1777" s="2060"/>
      <c r="CR1777" s="2060"/>
      <c r="CS1777" s="2060"/>
      <c r="CT1777" s="2060"/>
      <c r="CU1777" s="2060"/>
      <c r="CV1777" s="2060"/>
      <c r="CW1777" s="2060"/>
      <c r="CX1777" s="2060"/>
      <c r="CY1777" s="2060"/>
      <c r="CZ1777" s="2060"/>
      <c r="DA1777" s="2060"/>
      <c r="DB1777" s="2060"/>
      <c r="DC1777" s="2060"/>
      <c r="DD1777" s="2060"/>
      <c r="DE1777" s="2060"/>
      <c r="DF1777" s="2060"/>
      <c r="DG1777" s="2060"/>
      <c r="DH1777" s="2060"/>
      <c r="DI1777" s="2060"/>
      <c r="DJ1777" s="2060"/>
      <c r="DK1777" s="2060"/>
      <c r="DL1777" s="2060"/>
      <c r="DM1777" s="2060"/>
      <c r="DN1777" s="2060"/>
      <c r="DO1777" s="2060"/>
      <c r="DP1777" s="2060"/>
      <c r="DQ1777" s="2060"/>
      <c r="DR1777" s="2060"/>
      <c r="DS1777" s="2060"/>
      <c r="DT1777" s="2060"/>
      <c r="DU1777" s="2060"/>
      <c r="DV1777" s="2060"/>
      <c r="DW1777" s="2060"/>
      <c r="DX1777" s="2060"/>
      <c r="DY1777" s="2060"/>
      <c r="DZ1777" s="2060"/>
      <c r="EA1777" s="2060"/>
      <c r="EB1777" s="2060"/>
      <c r="EC1777" s="2060"/>
      <c r="ED1777" s="2060"/>
      <c r="EE1777" s="2060"/>
      <c r="EF1777" s="2060"/>
      <c r="EG1777" s="2060"/>
      <c r="EH1777" s="2060"/>
      <c r="EI1777" s="2060"/>
      <c r="EJ1777" s="2060"/>
      <c r="EK1777" s="2060"/>
      <c r="EL1777" s="2060"/>
      <c r="EM1777" s="2060"/>
      <c r="EN1777" s="2060"/>
      <c r="EO1777" s="2060"/>
      <c r="EP1777" s="2060"/>
      <c r="EQ1777" s="2060"/>
      <c r="ER1777" s="2060"/>
      <c r="ES1777" s="2060"/>
      <c r="ET1777" s="2060"/>
      <c r="EU1777" s="2060"/>
      <c r="EV1777" s="2060"/>
      <c r="EW1777" s="2060"/>
      <c r="EX1777" s="2060"/>
      <c r="EY1777" s="2060"/>
      <c r="EZ1777" s="2060"/>
      <c r="FA1777" s="2060"/>
      <c r="FB1777" s="2060"/>
      <c r="FC1777" s="2060"/>
      <c r="FD1777" s="2060"/>
      <c r="FE1777" s="2060"/>
      <c r="FF1777" s="2060"/>
      <c r="FG1777" s="2060"/>
      <c r="FH1777" s="2060"/>
      <c r="FI1777" s="2060"/>
      <c r="FJ1777" s="2060"/>
      <c r="FK1777" s="2060"/>
      <c r="FL1777" s="2060"/>
      <c r="FM1777" s="2060"/>
      <c r="FN1777" s="2060"/>
      <c r="FO1777" s="2060"/>
      <c r="FP1777" s="2060"/>
      <c r="FQ1777" s="2060"/>
      <c r="FR1777" s="2060"/>
      <c r="FS1777" s="2060"/>
      <c r="FT1777" s="2060"/>
      <c r="FU1777" s="2060"/>
      <c r="FV1777" s="2060"/>
      <c r="FW1777" s="2060"/>
      <c r="FX1777" s="2060"/>
      <c r="FY1777" s="2060"/>
      <c r="FZ1777" s="2060"/>
      <c r="GA1777" s="2060"/>
      <c r="GB1777" s="2060"/>
      <c r="GC1777" s="2060"/>
      <c r="GD1777" s="2060"/>
      <c r="GE1777" s="2060"/>
      <c r="GF1777" s="2060"/>
      <c r="GG1777" s="2060"/>
      <c r="GH1777" s="2060"/>
      <c r="GI1777" s="2060"/>
      <c r="GJ1777" s="2060"/>
      <c r="GK1777" s="2060"/>
      <c r="GL1777" s="2060"/>
      <c r="GM1777" s="2060"/>
      <c r="GN1777" s="2060"/>
      <c r="GO1777" s="2060"/>
      <c r="GP1777" s="2060"/>
      <c r="GQ1777" s="2060"/>
      <c r="GR1777" s="2060"/>
      <c r="GS1777" s="2060"/>
      <c r="GT1777" s="2060"/>
      <c r="GU1777" s="2060"/>
      <c r="GV1777" s="2060"/>
      <c r="GW1777" s="2060"/>
      <c r="GX1777" s="2060"/>
      <c r="GY1777" s="2060"/>
      <c r="GZ1777" s="2060"/>
      <c r="HA1777" s="2060"/>
      <c r="HB1777" s="2060"/>
      <c r="HC1777" s="2060"/>
      <c r="HD1777" s="2060"/>
      <c r="HE1777" s="2060"/>
      <c r="HF1777" s="2060"/>
      <c r="HG1777" s="2060"/>
      <c r="HH1777" s="2060"/>
      <c r="HI1777" s="2060"/>
      <c r="HJ1777" s="2060"/>
      <c r="HK1777" s="2060"/>
      <c r="HL1777" s="2060"/>
      <c r="HM1777" s="2060"/>
      <c r="HN1777" s="2060"/>
      <c r="HO1777" s="2060"/>
      <c r="HP1777" s="2060"/>
      <c r="HQ1777" s="2060"/>
      <c r="HR1777" s="2060"/>
      <c r="HS1777" s="2060"/>
      <c r="HT1777" s="2060"/>
      <c r="HU1777" s="2060"/>
      <c r="HV1777" s="2060"/>
      <c r="HW1777" s="2060"/>
      <c r="HX1777" s="2060"/>
      <c r="HY1777" s="2060"/>
      <c r="HZ1777" s="2060"/>
      <c r="IA1777" s="2060"/>
      <c r="IB1777" s="2060"/>
      <c r="IC1777" s="2060"/>
      <c r="ID1777" s="2060"/>
      <c r="IE1777" s="2060"/>
      <c r="IF1777" s="2060"/>
      <c r="IG1777" s="2060"/>
      <c r="IH1777" s="2060"/>
      <c r="II1777" s="2060"/>
      <c r="IJ1777" s="2060"/>
      <c r="IK1777" s="2060"/>
      <c r="IL1777" s="2060"/>
      <c r="IM1777" s="2060"/>
      <c r="IN1777" s="2060"/>
      <c r="IO1777" s="2060"/>
      <c r="IP1777" s="2060"/>
      <c r="IQ1777" s="2060"/>
      <c r="IR1777" s="2060"/>
      <c r="IS1777" s="2060"/>
      <c r="IT1777" s="2060"/>
      <c r="IU1777" s="2060"/>
      <c r="IV1777" s="2060"/>
      <c r="IW1777" s="2060"/>
      <c r="IX1777" s="2060"/>
      <c r="IY1777" s="2060"/>
      <c r="IZ1777" s="2060"/>
      <c r="JA1777" s="2060"/>
      <c r="JB1777" s="2060"/>
      <c r="JC1777" s="2060"/>
      <c r="JD1777" s="2060"/>
      <c r="JE1777" s="2060"/>
      <c r="JF1777" s="2060"/>
      <c r="JG1777" s="2060"/>
      <c r="JH1777" s="2060"/>
      <c r="JI1777" s="2060"/>
      <c r="JJ1777" s="2060"/>
      <c r="JK1777" s="2060"/>
      <c r="JL1777" s="2060"/>
      <c r="JM1777" s="2060"/>
      <c r="JN1777" s="2060"/>
      <c r="JO1777" s="2060"/>
      <c r="JP1777" s="2060"/>
      <c r="JQ1777" s="2060"/>
      <c r="JR1777" s="2060"/>
      <c r="JS1777" s="2060"/>
      <c r="JT1777" s="2060"/>
      <c r="JU1777" s="2060"/>
      <c r="JV1777" s="2060"/>
      <c r="JW1777" s="2060"/>
      <c r="JX1777" s="2060"/>
      <c r="JY1777" s="2060"/>
      <c r="JZ1777" s="2060"/>
      <c r="KA1777" s="2060"/>
      <c r="KB1777" s="2060"/>
      <c r="KC1777" s="2060"/>
      <c r="KD1777" s="2060"/>
      <c r="KE1777" s="2060"/>
      <c r="KF1777" s="2060"/>
      <c r="KG1777" s="2060"/>
      <c r="KH1777" s="2060"/>
      <c r="KI1777" s="2060"/>
      <c r="KJ1777" s="2060"/>
      <c r="KK1777" s="2060"/>
      <c r="KL1777" s="2060"/>
      <c r="KM1777" s="2060"/>
      <c r="KN1777" s="2060"/>
      <c r="KO1777" s="2060"/>
      <c r="KP1777" s="2060"/>
      <c r="KQ1777" s="2060"/>
      <c r="KR1777" s="2060"/>
      <c r="KS1777" s="2060"/>
      <c r="KT1777" s="2060"/>
      <c r="KU1777" s="2060"/>
      <c r="KV1777" s="2060"/>
      <c r="KW1777" s="2060"/>
      <c r="KX1777" s="2060"/>
      <c r="KY1777" s="2060"/>
      <c r="KZ1777" s="2060"/>
      <c r="LA1777" s="2060"/>
      <c r="LB1777" s="2060"/>
      <c r="LC1777" s="2060"/>
      <c r="LD1777" s="2060"/>
      <c r="LE1777" s="2060"/>
      <c r="LF1777" s="2060"/>
      <c r="LG1777" s="2060"/>
      <c r="LH1777" s="2060"/>
    </row>
    <row r="1778" spans="1:320" s="1499" customFormat="1" ht="13.9">
      <c r="A1778" s="269" t="str">
        <f t="shared" si="477"/>
        <v>n</v>
      </c>
      <c r="B1778" s="2060"/>
      <c r="C1778" s="2060"/>
      <c r="D1778" s="2060"/>
      <c r="E1778" s="1661">
        <v>17</v>
      </c>
      <c r="F1778" s="1353" t="str">
        <f>F$145</f>
        <v>--</v>
      </c>
      <c r="G1778" s="128">
        <f>G$145</f>
        <v>0</v>
      </c>
      <c r="H1778" s="128" t="str">
        <f>H$145</f>
        <v>--</v>
      </c>
      <c r="I1778" s="89" t="s">
        <v>794</v>
      </c>
      <c r="J1778" s="2197" t="str">
        <f>IF($G1778=0,"",IFERROR(_xll.ciqfunctions.udf.CIQ($G1778,$I1778,J$1557,Valuation_Date_GC,ReportType,DataMode,$H1778,FXMode),"n/a"))</f>
        <v/>
      </c>
      <c r="K1778" s="2197" t="str">
        <f>IF($G1778=0,"",IFERROR(_xll.ciqfunctions.udf.CIQ($G1778,$I1778,K$1557,Valuation_Date_GC,ReportType,DataMode,$H1778,FXMode),"n/a"))</f>
        <v/>
      </c>
      <c r="L1778" s="2197" t="str">
        <f>IF($G1778=0,"",IFERROR(_xll.ciqfunctions.udf.CIQ($G1778,$I1778,L$1557,Valuation_Date_GC,ReportType,DataMode,$H1778,FXMode),"n/a"))</f>
        <v/>
      </c>
      <c r="M1778" s="2197" t="str">
        <f>IF($G1778=0,"",IFERROR(_xll.ciqfunctions.udf.CIQ($G1778,$I1778,M$1557,Valuation_Date_GC,ReportType,DataMode,$H1778,FXMode),"n/a"))</f>
        <v/>
      </c>
      <c r="N1778" s="2197" t="str">
        <f>IF($G1778=0,"",IFERROR(_xll.ciqfunctions.udf.CIQ($G1778,$I1778,N$1557,Valuation_Date_GC,ReportType,DataMode,$H1778,FXMode),"n/a"))</f>
        <v/>
      </c>
      <c r="O1778" s="2197" t="str">
        <f>IF($G1778=0,"",IFERROR(_xll.ciqfunctions.udf.CIQ($G1778,$I1778,O$1557,Valuation_Date_GC,ReportType,DataMode,$H1778,FXMode),"n/a"))</f>
        <v/>
      </c>
      <c r="P1778" s="2197" t="str">
        <f>IF($G1778=0,"",IFERROR(_xll.ciqfunctions.udf.CIQ($G1778,$I1778,P$1557,Valuation_Date_GC,ReportType,DataMode,$H1778,FXMode),"n/a"))</f>
        <v/>
      </c>
      <c r="Q1778" s="2197" t="str">
        <f>IF($G1778=0,"",IFERROR(_xll.ciqfunctions.udf.CIQ($G1778,$I1778,Q$1557,Valuation_Date_GC,ReportType,DataMode,$H1778,FXMode),"n/a"))</f>
        <v/>
      </c>
      <c r="R1778" s="2197" t="str">
        <f>IF($G1778=0,"",IFERROR(_xll.ciqfunctions.udf.CIQ($G1778,$I1778,R$1557,Valuation_Date_GC,ReportType,DataMode,$H1778,FXMode),"n/a"))</f>
        <v/>
      </c>
      <c r="S1778" s="2197" t="str">
        <f>IF($G1778=0,"",IFERROR(_xll.ciqfunctions.udf.CIQ($G1778,$I1778,S$1557,Valuation_Date_GC,ReportType,DataMode,$H1778,FXMode),"n/a"))</f>
        <v/>
      </c>
      <c r="T1778" s="2197" t="str">
        <f>IF($G1778=0,"",IFERROR(_xll.ciqfunctions.udf.CIQ($G1778,$I1778,T$1557,Valuation_Date_GC,ReportType,DataMode,$H1778,FXMode),"n/a"))</f>
        <v/>
      </c>
      <c r="U1778" s="2197" t="str">
        <f>IF($G1778=0,"",IFERROR(_xll.ciqfunctions.udf.CIQ($G1778,$I1778,U$1557,Valuation_Date_GC,ReportType,DataMode,$H1778,FXMode),"n/a"))</f>
        <v/>
      </c>
      <c r="V1778" s="2197" t="str">
        <f>IF($G1778=0,"",IFERROR(_xll.ciqfunctions.udf.CIQ($G1778,$I1778,V$1557,Valuation_Date_GC,ReportType,DataMode,$H1778,FXMode),"n/a"))</f>
        <v/>
      </c>
      <c r="W1778" s="1479"/>
      <c r="X1778" s="255"/>
      <c r="Y1778" s="255"/>
      <c r="Z1778" s="2060"/>
      <c r="AA1778" s="2060"/>
      <c r="AB1778" s="2060"/>
      <c r="AC1778" s="2060"/>
      <c r="AD1778" s="2060"/>
      <c r="AE1778" s="2060"/>
      <c r="AF1778" s="2060"/>
      <c r="AG1778" s="2060"/>
      <c r="AH1778" s="2060"/>
      <c r="AI1778" s="2060"/>
      <c r="AJ1778" s="2060"/>
      <c r="AK1778" s="2060"/>
      <c r="AL1778" s="2060"/>
      <c r="AM1778" s="2060"/>
      <c r="AN1778" s="2060"/>
      <c r="AO1778" s="2060"/>
      <c r="AP1778" s="2060"/>
      <c r="AQ1778" s="2060"/>
      <c r="AR1778" s="2060"/>
      <c r="AS1778" s="2060"/>
      <c r="AT1778" s="2060"/>
      <c r="AU1778" s="2060"/>
      <c r="AV1778" s="2060"/>
      <c r="AW1778" s="2060"/>
      <c r="AX1778" s="2060"/>
      <c r="AY1778" s="2060"/>
      <c r="AZ1778" s="2060"/>
      <c r="BA1778" s="2060"/>
      <c r="BB1778" s="2060"/>
      <c r="BC1778" s="2060"/>
      <c r="BD1778" s="2060"/>
      <c r="BE1778" s="2060"/>
      <c r="BF1778" s="2060"/>
      <c r="BG1778" s="2060"/>
      <c r="BH1778" s="2060"/>
      <c r="BI1778" s="2060"/>
      <c r="BJ1778" s="2060"/>
      <c r="BK1778" s="2060"/>
      <c r="BL1778" s="2060"/>
      <c r="BM1778" s="2060"/>
      <c r="BN1778" s="2060"/>
      <c r="BO1778" s="2060"/>
      <c r="BP1778" s="2060"/>
      <c r="BQ1778" s="2060"/>
      <c r="BR1778" s="2060"/>
      <c r="BS1778" s="2060"/>
      <c r="BT1778" s="2060"/>
      <c r="BU1778" s="2060"/>
      <c r="BV1778" s="2060"/>
      <c r="BW1778" s="2060"/>
      <c r="BX1778" s="2060"/>
      <c r="BY1778" s="2060"/>
      <c r="BZ1778" s="2060"/>
      <c r="CA1778" s="2060"/>
      <c r="CB1778" s="2060"/>
      <c r="CC1778" s="2060"/>
      <c r="CD1778" s="2060"/>
      <c r="CE1778" s="2060"/>
      <c r="CF1778" s="2060"/>
      <c r="CG1778" s="2060"/>
      <c r="CH1778" s="2060"/>
      <c r="CI1778" s="2060"/>
      <c r="CJ1778" s="2060"/>
      <c r="CK1778" s="2060"/>
      <c r="CL1778" s="2060"/>
      <c r="CM1778" s="2060"/>
      <c r="CN1778" s="2060"/>
      <c r="CO1778" s="2060"/>
      <c r="CP1778" s="2060"/>
      <c r="CQ1778" s="2060"/>
      <c r="CR1778" s="2060"/>
      <c r="CS1778" s="2060"/>
      <c r="CT1778" s="2060"/>
      <c r="CU1778" s="2060"/>
      <c r="CV1778" s="2060"/>
      <c r="CW1778" s="2060"/>
      <c r="CX1778" s="2060"/>
      <c r="CY1778" s="2060"/>
      <c r="CZ1778" s="2060"/>
      <c r="DA1778" s="2060"/>
      <c r="DB1778" s="2060"/>
      <c r="DC1778" s="2060"/>
      <c r="DD1778" s="2060"/>
      <c r="DE1778" s="2060"/>
      <c r="DF1778" s="2060"/>
      <c r="DG1778" s="2060"/>
      <c r="DH1778" s="2060"/>
      <c r="DI1778" s="2060"/>
      <c r="DJ1778" s="2060"/>
      <c r="DK1778" s="2060"/>
      <c r="DL1778" s="2060"/>
      <c r="DM1778" s="2060"/>
      <c r="DN1778" s="2060"/>
      <c r="DO1778" s="2060"/>
      <c r="DP1778" s="2060"/>
      <c r="DQ1778" s="2060"/>
      <c r="DR1778" s="2060"/>
      <c r="DS1778" s="2060"/>
      <c r="DT1778" s="2060"/>
      <c r="DU1778" s="2060"/>
      <c r="DV1778" s="2060"/>
      <c r="DW1778" s="2060"/>
      <c r="DX1778" s="2060"/>
      <c r="DY1778" s="2060"/>
      <c r="DZ1778" s="2060"/>
      <c r="EA1778" s="2060"/>
      <c r="EB1778" s="2060"/>
      <c r="EC1778" s="2060"/>
      <c r="ED1778" s="2060"/>
      <c r="EE1778" s="2060"/>
      <c r="EF1778" s="2060"/>
      <c r="EG1778" s="2060"/>
      <c r="EH1778" s="2060"/>
      <c r="EI1778" s="2060"/>
      <c r="EJ1778" s="2060"/>
      <c r="EK1778" s="2060"/>
      <c r="EL1778" s="2060"/>
      <c r="EM1778" s="2060"/>
      <c r="EN1778" s="2060"/>
      <c r="EO1778" s="2060"/>
      <c r="EP1778" s="2060"/>
      <c r="EQ1778" s="2060"/>
      <c r="ER1778" s="2060"/>
      <c r="ES1778" s="2060"/>
      <c r="ET1778" s="2060"/>
      <c r="EU1778" s="2060"/>
      <c r="EV1778" s="2060"/>
      <c r="EW1778" s="2060"/>
      <c r="EX1778" s="2060"/>
      <c r="EY1778" s="2060"/>
      <c r="EZ1778" s="2060"/>
      <c r="FA1778" s="2060"/>
      <c r="FB1778" s="2060"/>
      <c r="FC1778" s="2060"/>
      <c r="FD1778" s="2060"/>
      <c r="FE1778" s="2060"/>
      <c r="FF1778" s="2060"/>
      <c r="FG1778" s="2060"/>
      <c r="FH1778" s="2060"/>
      <c r="FI1778" s="2060"/>
      <c r="FJ1778" s="2060"/>
      <c r="FK1778" s="2060"/>
      <c r="FL1778" s="2060"/>
      <c r="FM1778" s="2060"/>
      <c r="FN1778" s="2060"/>
      <c r="FO1778" s="2060"/>
      <c r="FP1778" s="2060"/>
      <c r="FQ1778" s="2060"/>
      <c r="FR1778" s="2060"/>
      <c r="FS1778" s="2060"/>
      <c r="FT1778" s="2060"/>
      <c r="FU1778" s="2060"/>
      <c r="FV1778" s="2060"/>
      <c r="FW1778" s="2060"/>
      <c r="FX1778" s="2060"/>
      <c r="FY1778" s="2060"/>
      <c r="FZ1778" s="2060"/>
      <c r="GA1778" s="2060"/>
      <c r="GB1778" s="2060"/>
      <c r="GC1778" s="2060"/>
      <c r="GD1778" s="2060"/>
      <c r="GE1778" s="2060"/>
      <c r="GF1778" s="2060"/>
      <c r="GG1778" s="2060"/>
      <c r="GH1778" s="2060"/>
      <c r="GI1778" s="2060"/>
      <c r="GJ1778" s="2060"/>
      <c r="GK1778" s="2060"/>
      <c r="GL1778" s="2060"/>
      <c r="GM1778" s="2060"/>
      <c r="GN1778" s="2060"/>
      <c r="GO1778" s="2060"/>
      <c r="GP1778" s="2060"/>
      <c r="GQ1778" s="2060"/>
      <c r="GR1778" s="2060"/>
      <c r="GS1778" s="2060"/>
      <c r="GT1778" s="2060"/>
      <c r="GU1778" s="2060"/>
      <c r="GV1778" s="2060"/>
      <c r="GW1778" s="2060"/>
      <c r="GX1778" s="2060"/>
      <c r="GY1778" s="2060"/>
      <c r="GZ1778" s="2060"/>
      <c r="HA1778" s="2060"/>
      <c r="HB1778" s="2060"/>
      <c r="HC1778" s="2060"/>
      <c r="HD1778" s="2060"/>
      <c r="HE1778" s="2060"/>
      <c r="HF1778" s="2060"/>
      <c r="HG1778" s="2060"/>
      <c r="HH1778" s="2060"/>
      <c r="HI1778" s="2060"/>
      <c r="HJ1778" s="2060"/>
      <c r="HK1778" s="2060"/>
      <c r="HL1778" s="2060"/>
      <c r="HM1778" s="2060"/>
      <c r="HN1778" s="2060"/>
      <c r="HO1778" s="2060"/>
      <c r="HP1778" s="2060"/>
      <c r="HQ1778" s="2060"/>
      <c r="HR1778" s="2060"/>
      <c r="HS1778" s="2060"/>
      <c r="HT1778" s="2060"/>
      <c r="HU1778" s="2060"/>
      <c r="HV1778" s="2060"/>
      <c r="HW1778" s="2060"/>
      <c r="HX1778" s="2060"/>
      <c r="HY1778" s="2060"/>
      <c r="HZ1778" s="2060"/>
      <c r="IA1778" s="2060"/>
      <c r="IB1778" s="2060"/>
      <c r="IC1778" s="2060"/>
      <c r="ID1778" s="2060"/>
      <c r="IE1778" s="2060"/>
      <c r="IF1778" s="2060"/>
      <c r="IG1778" s="2060"/>
      <c r="IH1778" s="2060"/>
      <c r="II1778" s="2060"/>
      <c r="IJ1778" s="2060"/>
      <c r="IK1778" s="2060"/>
      <c r="IL1778" s="2060"/>
      <c r="IM1778" s="2060"/>
      <c r="IN1778" s="2060"/>
      <c r="IO1778" s="2060"/>
      <c r="IP1778" s="2060"/>
      <c r="IQ1778" s="2060"/>
      <c r="IR1778" s="2060"/>
      <c r="IS1778" s="2060"/>
      <c r="IT1778" s="2060"/>
      <c r="IU1778" s="2060"/>
      <c r="IV1778" s="2060"/>
      <c r="IW1778" s="2060"/>
      <c r="IX1778" s="2060"/>
      <c r="IY1778" s="2060"/>
      <c r="IZ1778" s="2060"/>
      <c r="JA1778" s="2060"/>
      <c r="JB1778" s="2060"/>
      <c r="JC1778" s="2060"/>
      <c r="JD1778" s="2060"/>
      <c r="JE1778" s="2060"/>
      <c r="JF1778" s="2060"/>
      <c r="JG1778" s="2060"/>
      <c r="JH1778" s="2060"/>
      <c r="JI1778" s="2060"/>
      <c r="JJ1778" s="2060"/>
      <c r="JK1778" s="2060"/>
      <c r="JL1778" s="2060"/>
      <c r="JM1778" s="2060"/>
      <c r="JN1778" s="2060"/>
      <c r="JO1778" s="2060"/>
      <c r="JP1778" s="2060"/>
      <c r="JQ1778" s="2060"/>
      <c r="JR1778" s="2060"/>
      <c r="JS1778" s="2060"/>
      <c r="JT1778" s="2060"/>
      <c r="JU1778" s="2060"/>
      <c r="JV1778" s="2060"/>
      <c r="JW1778" s="2060"/>
      <c r="JX1778" s="2060"/>
      <c r="JY1778" s="2060"/>
      <c r="JZ1778" s="2060"/>
      <c r="KA1778" s="2060"/>
      <c r="KB1778" s="2060"/>
      <c r="KC1778" s="2060"/>
      <c r="KD1778" s="2060"/>
      <c r="KE1778" s="2060"/>
      <c r="KF1778" s="2060"/>
      <c r="KG1778" s="2060"/>
      <c r="KH1778" s="2060"/>
      <c r="KI1778" s="2060"/>
      <c r="KJ1778" s="2060"/>
      <c r="KK1778" s="2060"/>
      <c r="KL1778" s="2060"/>
      <c r="KM1778" s="2060"/>
      <c r="KN1778" s="2060"/>
      <c r="KO1778" s="2060"/>
      <c r="KP1778" s="2060"/>
      <c r="KQ1778" s="2060"/>
      <c r="KR1778" s="2060"/>
      <c r="KS1778" s="2060"/>
      <c r="KT1778" s="2060"/>
      <c r="KU1778" s="2060"/>
      <c r="KV1778" s="2060"/>
      <c r="KW1778" s="2060"/>
      <c r="KX1778" s="2060"/>
      <c r="KY1778" s="2060"/>
      <c r="KZ1778" s="2060"/>
      <c r="LA1778" s="2060"/>
      <c r="LB1778" s="2060"/>
      <c r="LC1778" s="2060"/>
      <c r="LD1778" s="2060"/>
      <c r="LE1778" s="2060"/>
      <c r="LF1778" s="2060"/>
      <c r="LG1778" s="2060"/>
      <c r="LH1778" s="2060"/>
    </row>
    <row r="1779" spans="1:320" s="1499" customFormat="1" ht="13.9">
      <c r="A1779" s="269" t="str">
        <f t="shared" si="477"/>
        <v>n</v>
      </c>
      <c r="B1779" s="2060"/>
      <c r="C1779" s="2060"/>
      <c r="D1779" s="2060"/>
      <c r="E1779" s="1661">
        <v>18</v>
      </c>
      <c r="F1779" s="1353" t="str">
        <f>F$146</f>
        <v>--</v>
      </c>
      <c r="G1779" s="128">
        <f>G$146</f>
        <v>0</v>
      </c>
      <c r="H1779" s="128" t="str">
        <f>H$146</f>
        <v>--</v>
      </c>
      <c r="I1779" s="89" t="s">
        <v>794</v>
      </c>
      <c r="J1779" s="2197" t="str">
        <f>IF($G1779=0,"",IFERROR(_xll.ciqfunctions.udf.CIQ($G1779,$I1779,J$1557,Valuation_Date_GC,ReportType,DataMode,$H1779,FXMode),"n/a"))</f>
        <v/>
      </c>
      <c r="K1779" s="2197" t="str">
        <f>IF($G1779=0,"",IFERROR(_xll.ciqfunctions.udf.CIQ($G1779,$I1779,K$1557,Valuation_Date_GC,ReportType,DataMode,$H1779,FXMode),"n/a"))</f>
        <v/>
      </c>
      <c r="L1779" s="2197" t="str">
        <f>IF($G1779=0,"",IFERROR(_xll.ciqfunctions.udf.CIQ($G1779,$I1779,L$1557,Valuation_Date_GC,ReportType,DataMode,$H1779,FXMode),"n/a"))</f>
        <v/>
      </c>
      <c r="M1779" s="2197" t="str">
        <f>IF($G1779=0,"",IFERROR(_xll.ciqfunctions.udf.CIQ($G1779,$I1779,M$1557,Valuation_Date_GC,ReportType,DataMode,$H1779,FXMode),"n/a"))</f>
        <v/>
      </c>
      <c r="N1779" s="2197" t="str">
        <f>IF($G1779=0,"",IFERROR(_xll.ciqfunctions.udf.CIQ($G1779,$I1779,N$1557,Valuation_Date_GC,ReportType,DataMode,$H1779,FXMode),"n/a"))</f>
        <v/>
      </c>
      <c r="O1779" s="2197" t="str">
        <f>IF($G1779=0,"",IFERROR(_xll.ciqfunctions.udf.CIQ($G1779,$I1779,O$1557,Valuation_Date_GC,ReportType,DataMode,$H1779,FXMode),"n/a"))</f>
        <v/>
      </c>
      <c r="P1779" s="2197" t="str">
        <f>IF($G1779=0,"",IFERROR(_xll.ciqfunctions.udf.CIQ($G1779,$I1779,P$1557,Valuation_Date_GC,ReportType,DataMode,$H1779,FXMode),"n/a"))</f>
        <v/>
      </c>
      <c r="Q1779" s="2197" t="str">
        <f>IF($G1779=0,"",IFERROR(_xll.ciqfunctions.udf.CIQ($G1779,$I1779,Q$1557,Valuation_Date_GC,ReportType,DataMode,$H1779,FXMode),"n/a"))</f>
        <v/>
      </c>
      <c r="R1779" s="2197" t="str">
        <f>IF($G1779=0,"",IFERROR(_xll.ciqfunctions.udf.CIQ($G1779,$I1779,R$1557,Valuation_Date_GC,ReportType,DataMode,$H1779,FXMode),"n/a"))</f>
        <v/>
      </c>
      <c r="S1779" s="2197" t="str">
        <f>IF($G1779=0,"",IFERROR(_xll.ciqfunctions.udf.CIQ($G1779,$I1779,S$1557,Valuation_Date_GC,ReportType,DataMode,$H1779,FXMode),"n/a"))</f>
        <v/>
      </c>
      <c r="T1779" s="2197" t="str">
        <f>IF($G1779=0,"",IFERROR(_xll.ciqfunctions.udf.CIQ($G1779,$I1779,T$1557,Valuation_Date_GC,ReportType,DataMode,$H1779,FXMode),"n/a"))</f>
        <v/>
      </c>
      <c r="U1779" s="2197" t="str">
        <f>IF($G1779=0,"",IFERROR(_xll.ciqfunctions.udf.CIQ($G1779,$I1779,U$1557,Valuation_Date_GC,ReportType,DataMode,$H1779,FXMode),"n/a"))</f>
        <v/>
      </c>
      <c r="V1779" s="2197" t="str">
        <f>IF($G1779=0,"",IFERROR(_xll.ciqfunctions.udf.CIQ($G1779,$I1779,V$1557,Valuation_Date_GC,ReportType,DataMode,$H1779,FXMode),"n/a"))</f>
        <v/>
      </c>
      <c r="W1779" s="1479"/>
      <c r="X1779" s="255"/>
      <c r="Y1779" s="255"/>
      <c r="Z1779" s="2060"/>
      <c r="AA1779" s="2060"/>
      <c r="AB1779" s="2060"/>
      <c r="AC1779" s="2060"/>
      <c r="AD1779" s="2060"/>
      <c r="AE1779" s="2060"/>
      <c r="AF1779" s="2060"/>
      <c r="AG1779" s="2060"/>
      <c r="AH1779" s="2060"/>
      <c r="AI1779" s="2060"/>
      <c r="AJ1779" s="2060"/>
      <c r="AK1779" s="2060"/>
      <c r="AL1779" s="2060"/>
      <c r="AM1779" s="2060"/>
      <c r="AN1779" s="2060"/>
      <c r="AO1779" s="2060"/>
      <c r="AP1779" s="2060"/>
      <c r="AQ1779" s="2060"/>
      <c r="AR1779" s="2060"/>
      <c r="AS1779" s="2060"/>
      <c r="AT1779" s="2060"/>
      <c r="AU1779" s="2060"/>
      <c r="AV1779" s="2060"/>
      <c r="AW1779" s="2060"/>
      <c r="AX1779" s="2060"/>
      <c r="AY1779" s="2060"/>
      <c r="AZ1779" s="2060"/>
      <c r="BA1779" s="2060"/>
      <c r="BB1779" s="2060"/>
      <c r="BC1779" s="2060"/>
      <c r="BD1779" s="2060"/>
      <c r="BE1779" s="2060"/>
      <c r="BF1779" s="2060"/>
      <c r="BG1779" s="2060"/>
      <c r="BH1779" s="2060"/>
      <c r="BI1779" s="2060"/>
      <c r="BJ1779" s="2060"/>
      <c r="BK1779" s="2060"/>
      <c r="BL1779" s="2060"/>
      <c r="BM1779" s="2060"/>
      <c r="BN1779" s="2060"/>
      <c r="BO1779" s="2060"/>
      <c r="BP1779" s="2060"/>
      <c r="BQ1779" s="2060"/>
      <c r="BR1779" s="2060"/>
      <c r="BS1779" s="2060"/>
      <c r="BT1779" s="2060"/>
      <c r="BU1779" s="2060"/>
      <c r="BV1779" s="2060"/>
      <c r="BW1779" s="2060"/>
      <c r="BX1779" s="2060"/>
      <c r="BY1779" s="2060"/>
      <c r="BZ1779" s="2060"/>
      <c r="CA1779" s="2060"/>
      <c r="CB1779" s="2060"/>
      <c r="CC1779" s="2060"/>
      <c r="CD1779" s="2060"/>
      <c r="CE1779" s="2060"/>
      <c r="CF1779" s="2060"/>
      <c r="CG1779" s="2060"/>
      <c r="CH1779" s="2060"/>
      <c r="CI1779" s="2060"/>
      <c r="CJ1779" s="2060"/>
      <c r="CK1779" s="2060"/>
      <c r="CL1779" s="2060"/>
      <c r="CM1779" s="2060"/>
      <c r="CN1779" s="2060"/>
      <c r="CO1779" s="2060"/>
      <c r="CP1779" s="2060"/>
      <c r="CQ1779" s="2060"/>
      <c r="CR1779" s="2060"/>
      <c r="CS1779" s="2060"/>
      <c r="CT1779" s="2060"/>
      <c r="CU1779" s="2060"/>
      <c r="CV1779" s="2060"/>
      <c r="CW1779" s="2060"/>
      <c r="CX1779" s="2060"/>
      <c r="CY1779" s="2060"/>
      <c r="CZ1779" s="2060"/>
      <c r="DA1779" s="2060"/>
      <c r="DB1779" s="2060"/>
      <c r="DC1779" s="2060"/>
      <c r="DD1779" s="2060"/>
      <c r="DE1779" s="2060"/>
      <c r="DF1779" s="2060"/>
      <c r="DG1779" s="2060"/>
      <c r="DH1779" s="2060"/>
      <c r="DI1779" s="2060"/>
      <c r="DJ1779" s="2060"/>
      <c r="DK1779" s="2060"/>
      <c r="DL1779" s="2060"/>
      <c r="DM1779" s="2060"/>
      <c r="DN1779" s="2060"/>
      <c r="DO1779" s="2060"/>
      <c r="DP1779" s="2060"/>
      <c r="DQ1779" s="2060"/>
      <c r="DR1779" s="2060"/>
      <c r="DS1779" s="2060"/>
      <c r="DT1779" s="2060"/>
      <c r="DU1779" s="2060"/>
      <c r="DV1779" s="2060"/>
      <c r="DW1779" s="2060"/>
      <c r="DX1779" s="2060"/>
      <c r="DY1779" s="2060"/>
      <c r="DZ1779" s="2060"/>
      <c r="EA1779" s="2060"/>
      <c r="EB1779" s="2060"/>
      <c r="EC1779" s="2060"/>
      <c r="ED1779" s="2060"/>
      <c r="EE1779" s="2060"/>
      <c r="EF1779" s="2060"/>
      <c r="EG1779" s="2060"/>
      <c r="EH1779" s="2060"/>
      <c r="EI1779" s="2060"/>
      <c r="EJ1779" s="2060"/>
      <c r="EK1779" s="2060"/>
      <c r="EL1779" s="2060"/>
      <c r="EM1779" s="2060"/>
      <c r="EN1779" s="2060"/>
      <c r="EO1779" s="2060"/>
      <c r="EP1779" s="2060"/>
      <c r="EQ1779" s="2060"/>
      <c r="ER1779" s="2060"/>
      <c r="ES1779" s="2060"/>
      <c r="ET1779" s="2060"/>
      <c r="EU1779" s="2060"/>
      <c r="EV1779" s="2060"/>
      <c r="EW1779" s="2060"/>
      <c r="EX1779" s="2060"/>
      <c r="EY1779" s="2060"/>
      <c r="EZ1779" s="2060"/>
      <c r="FA1779" s="2060"/>
      <c r="FB1779" s="2060"/>
      <c r="FC1779" s="2060"/>
      <c r="FD1779" s="2060"/>
      <c r="FE1779" s="2060"/>
      <c r="FF1779" s="2060"/>
      <c r="FG1779" s="2060"/>
      <c r="FH1779" s="2060"/>
      <c r="FI1779" s="2060"/>
      <c r="FJ1779" s="2060"/>
      <c r="FK1779" s="2060"/>
      <c r="FL1779" s="2060"/>
      <c r="FM1779" s="2060"/>
      <c r="FN1779" s="2060"/>
      <c r="FO1779" s="2060"/>
      <c r="FP1779" s="2060"/>
      <c r="FQ1779" s="2060"/>
      <c r="FR1779" s="2060"/>
      <c r="FS1779" s="2060"/>
      <c r="FT1779" s="2060"/>
      <c r="FU1779" s="2060"/>
      <c r="FV1779" s="2060"/>
      <c r="FW1779" s="2060"/>
      <c r="FX1779" s="2060"/>
      <c r="FY1779" s="2060"/>
      <c r="FZ1779" s="2060"/>
      <c r="GA1779" s="2060"/>
      <c r="GB1779" s="2060"/>
      <c r="GC1779" s="2060"/>
      <c r="GD1779" s="2060"/>
      <c r="GE1779" s="2060"/>
      <c r="GF1779" s="2060"/>
      <c r="GG1779" s="2060"/>
      <c r="GH1779" s="2060"/>
      <c r="GI1779" s="2060"/>
      <c r="GJ1779" s="2060"/>
      <c r="GK1779" s="2060"/>
      <c r="GL1779" s="2060"/>
      <c r="GM1779" s="2060"/>
      <c r="GN1779" s="2060"/>
      <c r="GO1779" s="2060"/>
      <c r="GP1779" s="2060"/>
      <c r="GQ1779" s="2060"/>
      <c r="GR1779" s="2060"/>
      <c r="GS1779" s="2060"/>
      <c r="GT1779" s="2060"/>
      <c r="GU1779" s="2060"/>
      <c r="GV1779" s="2060"/>
      <c r="GW1779" s="2060"/>
      <c r="GX1779" s="2060"/>
      <c r="GY1779" s="2060"/>
      <c r="GZ1779" s="2060"/>
      <c r="HA1779" s="2060"/>
      <c r="HB1779" s="2060"/>
      <c r="HC1779" s="2060"/>
      <c r="HD1779" s="2060"/>
      <c r="HE1779" s="2060"/>
      <c r="HF1779" s="2060"/>
      <c r="HG1779" s="2060"/>
      <c r="HH1779" s="2060"/>
      <c r="HI1779" s="2060"/>
      <c r="HJ1779" s="2060"/>
      <c r="HK1779" s="2060"/>
      <c r="HL1779" s="2060"/>
      <c r="HM1779" s="2060"/>
      <c r="HN1779" s="2060"/>
      <c r="HO1779" s="2060"/>
      <c r="HP1779" s="2060"/>
      <c r="HQ1779" s="2060"/>
      <c r="HR1779" s="2060"/>
      <c r="HS1779" s="2060"/>
      <c r="HT1779" s="2060"/>
      <c r="HU1779" s="2060"/>
      <c r="HV1779" s="2060"/>
      <c r="HW1779" s="2060"/>
      <c r="HX1779" s="2060"/>
      <c r="HY1779" s="2060"/>
      <c r="HZ1779" s="2060"/>
      <c r="IA1779" s="2060"/>
      <c r="IB1779" s="2060"/>
      <c r="IC1779" s="2060"/>
      <c r="ID1779" s="2060"/>
      <c r="IE1779" s="2060"/>
      <c r="IF1779" s="2060"/>
      <c r="IG1779" s="2060"/>
      <c r="IH1779" s="2060"/>
      <c r="II1779" s="2060"/>
      <c r="IJ1779" s="2060"/>
      <c r="IK1779" s="2060"/>
      <c r="IL1779" s="2060"/>
      <c r="IM1779" s="2060"/>
      <c r="IN1779" s="2060"/>
      <c r="IO1779" s="2060"/>
      <c r="IP1779" s="2060"/>
      <c r="IQ1779" s="2060"/>
      <c r="IR1779" s="2060"/>
      <c r="IS1779" s="2060"/>
      <c r="IT1779" s="2060"/>
      <c r="IU1779" s="2060"/>
      <c r="IV1779" s="2060"/>
      <c r="IW1779" s="2060"/>
      <c r="IX1779" s="2060"/>
      <c r="IY1779" s="2060"/>
      <c r="IZ1779" s="2060"/>
      <c r="JA1779" s="2060"/>
      <c r="JB1779" s="2060"/>
      <c r="JC1779" s="2060"/>
      <c r="JD1779" s="2060"/>
      <c r="JE1779" s="2060"/>
      <c r="JF1779" s="2060"/>
      <c r="JG1779" s="2060"/>
      <c r="JH1779" s="2060"/>
      <c r="JI1779" s="2060"/>
      <c r="JJ1779" s="2060"/>
      <c r="JK1779" s="2060"/>
      <c r="JL1779" s="2060"/>
      <c r="JM1779" s="2060"/>
      <c r="JN1779" s="2060"/>
      <c r="JO1779" s="2060"/>
      <c r="JP1779" s="2060"/>
      <c r="JQ1779" s="2060"/>
      <c r="JR1779" s="2060"/>
      <c r="JS1779" s="2060"/>
      <c r="JT1779" s="2060"/>
      <c r="JU1779" s="2060"/>
      <c r="JV1779" s="2060"/>
      <c r="JW1779" s="2060"/>
      <c r="JX1779" s="2060"/>
      <c r="JY1779" s="2060"/>
      <c r="JZ1779" s="2060"/>
      <c r="KA1779" s="2060"/>
      <c r="KB1779" s="2060"/>
      <c r="KC1779" s="2060"/>
      <c r="KD1779" s="2060"/>
      <c r="KE1779" s="2060"/>
      <c r="KF1779" s="2060"/>
      <c r="KG1779" s="2060"/>
      <c r="KH1779" s="2060"/>
      <c r="KI1779" s="2060"/>
      <c r="KJ1779" s="2060"/>
      <c r="KK1779" s="2060"/>
      <c r="KL1779" s="2060"/>
      <c r="KM1779" s="2060"/>
      <c r="KN1779" s="2060"/>
      <c r="KO1779" s="2060"/>
      <c r="KP1779" s="2060"/>
      <c r="KQ1779" s="2060"/>
      <c r="KR1779" s="2060"/>
      <c r="KS1779" s="2060"/>
      <c r="KT1779" s="2060"/>
      <c r="KU1779" s="2060"/>
      <c r="KV1779" s="2060"/>
      <c r="KW1779" s="2060"/>
      <c r="KX1779" s="2060"/>
      <c r="KY1779" s="2060"/>
      <c r="KZ1779" s="2060"/>
      <c r="LA1779" s="2060"/>
      <c r="LB1779" s="2060"/>
      <c r="LC1779" s="2060"/>
      <c r="LD1779" s="2060"/>
      <c r="LE1779" s="2060"/>
      <c r="LF1779" s="2060"/>
      <c r="LG1779" s="2060"/>
      <c r="LH1779" s="2060"/>
    </row>
    <row r="1780" spans="1:320" s="1499" customFormat="1" ht="13.9">
      <c r="A1780" s="269" t="str">
        <f t="shared" si="477"/>
        <v>n</v>
      </c>
      <c r="B1780" s="2060"/>
      <c r="C1780" s="2060"/>
      <c r="D1780" s="2060"/>
      <c r="E1780" s="1661">
        <v>19</v>
      </c>
      <c r="F1780" s="1353" t="str">
        <f>F$147</f>
        <v>--</v>
      </c>
      <c r="G1780" s="128">
        <f>G$147</f>
        <v>0</v>
      </c>
      <c r="H1780" s="128" t="str">
        <f>H$147</f>
        <v>--</v>
      </c>
      <c r="I1780" s="89" t="s">
        <v>794</v>
      </c>
      <c r="J1780" s="2197" t="str">
        <f>IF($G1780=0,"",IFERROR(_xll.ciqfunctions.udf.CIQ($G1780,$I1780,J$1557,Valuation_Date_GC,ReportType,DataMode,$H1780,FXMode),"n/a"))</f>
        <v/>
      </c>
      <c r="K1780" s="2197" t="str">
        <f>IF($G1780=0,"",IFERROR(_xll.ciqfunctions.udf.CIQ($G1780,$I1780,K$1557,Valuation_Date_GC,ReportType,DataMode,$H1780,FXMode),"n/a"))</f>
        <v/>
      </c>
      <c r="L1780" s="2197" t="str">
        <f>IF($G1780=0,"",IFERROR(_xll.ciqfunctions.udf.CIQ($G1780,$I1780,L$1557,Valuation_Date_GC,ReportType,DataMode,$H1780,FXMode),"n/a"))</f>
        <v/>
      </c>
      <c r="M1780" s="2197" t="str">
        <f>IF($G1780=0,"",IFERROR(_xll.ciqfunctions.udf.CIQ($G1780,$I1780,M$1557,Valuation_Date_GC,ReportType,DataMode,$H1780,FXMode),"n/a"))</f>
        <v/>
      </c>
      <c r="N1780" s="2197" t="str">
        <f>IF($G1780=0,"",IFERROR(_xll.ciqfunctions.udf.CIQ($G1780,$I1780,N$1557,Valuation_Date_GC,ReportType,DataMode,$H1780,FXMode),"n/a"))</f>
        <v/>
      </c>
      <c r="O1780" s="2197" t="str">
        <f>IF($G1780=0,"",IFERROR(_xll.ciqfunctions.udf.CIQ($G1780,$I1780,O$1557,Valuation_Date_GC,ReportType,DataMode,$H1780,FXMode),"n/a"))</f>
        <v/>
      </c>
      <c r="P1780" s="2197" t="str">
        <f>IF($G1780=0,"",IFERROR(_xll.ciqfunctions.udf.CIQ($G1780,$I1780,P$1557,Valuation_Date_GC,ReportType,DataMode,$H1780,FXMode),"n/a"))</f>
        <v/>
      </c>
      <c r="Q1780" s="2197" t="str">
        <f>IF($G1780=0,"",IFERROR(_xll.ciqfunctions.udf.CIQ($G1780,$I1780,Q$1557,Valuation_Date_GC,ReportType,DataMode,$H1780,FXMode),"n/a"))</f>
        <v/>
      </c>
      <c r="R1780" s="2197" t="str">
        <f>IF($G1780=0,"",IFERROR(_xll.ciqfunctions.udf.CIQ($G1780,$I1780,R$1557,Valuation_Date_GC,ReportType,DataMode,$H1780,FXMode),"n/a"))</f>
        <v/>
      </c>
      <c r="S1780" s="2197" t="str">
        <f>IF($G1780=0,"",IFERROR(_xll.ciqfunctions.udf.CIQ($G1780,$I1780,S$1557,Valuation_Date_GC,ReportType,DataMode,$H1780,FXMode),"n/a"))</f>
        <v/>
      </c>
      <c r="T1780" s="2197" t="str">
        <f>IF($G1780=0,"",IFERROR(_xll.ciqfunctions.udf.CIQ($G1780,$I1780,T$1557,Valuation_Date_GC,ReportType,DataMode,$H1780,FXMode),"n/a"))</f>
        <v/>
      </c>
      <c r="U1780" s="2197" t="str">
        <f>IF($G1780=0,"",IFERROR(_xll.ciqfunctions.udf.CIQ($G1780,$I1780,U$1557,Valuation_Date_GC,ReportType,DataMode,$H1780,FXMode),"n/a"))</f>
        <v/>
      </c>
      <c r="V1780" s="2197" t="str">
        <f>IF($G1780=0,"",IFERROR(_xll.ciqfunctions.udf.CIQ($G1780,$I1780,V$1557,Valuation_Date_GC,ReportType,DataMode,$H1780,FXMode),"n/a"))</f>
        <v/>
      </c>
      <c r="W1780" s="1479"/>
      <c r="X1780" s="255"/>
      <c r="Y1780" s="255"/>
      <c r="Z1780" s="2060"/>
      <c r="AA1780" s="2060"/>
      <c r="AB1780" s="2060"/>
      <c r="AC1780" s="2060"/>
      <c r="AD1780" s="2060"/>
      <c r="AE1780" s="2060"/>
      <c r="AF1780" s="2060"/>
      <c r="AG1780" s="2060"/>
      <c r="AH1780" s="2060"/>
      <c r="AI1780" s="2060"/>
      <c r="AJ1780" s="2060"/>
      <c r="AK1780" s="2060"/>
      <c r="AL1780" s="2060"/>
      <c r="AM1780" s="2060"/>
      <c r="AN1780" s="2060"/>
      <c r="AO1780" s="2060"/>
      <c r="AP1780" s="2060"/>
      <c r="AQ1780" s="2060"/>
      <c r="AR1780" s="2060"/>
      <c r="AS1780" s="2060"/>
      <c r="AT1780" s="2060"/>
      <c r="AU1780" s="2060"/>
      <c r="AV1780" s="2060"/>
      <c r="AW1780" s="2060"/>
      <c r="AX1780" s="2060"/>
      <c r="AY1780" s="2060"/>
      <c r="AZ1780" s="2060"/>
      <c r="BA1780" s="2060"/>
      <c r="BB1780" s="2060"/>
      <c r="BC1780" s="2060"/>
      <c r="BD1780" s="2060"/>
      <c r="BE1780" s="2060"/>
      <c r="BF1780" s="2060"/>
      <c r="BG1780" s="2060"/>
      <c r="BH1780" s="2060"/>
      <c r="BI1780" s="2060"/>
      <c r="BJ1780" s="2060"/>
      <c r="BK1780" s="2060"/>
      <c r="BL1780" s="2060"/>
      <c r="BM1780" s="2060"/>
      <c r="BN1780" s="2060"/>
      <c r="BO1780" s="2060"/>
      <c r="BP1780" s="2060"/>
      <c r="BQ1780" s="2060"/>
      <c r="BR1780" s="2060"/>
      <c r="BS1780" s="2060"/>
      <c r="BT1780" s="2060"/>
      <c r="BU1780" s="2060"/>
      <c r="BV1780" s="2060"/>
      <c r="BW1780" s="2060"/>
      <c r="BX1780" s="2060"/>
      <c r="BY1780" s="2060"/>
      <c r="BZ1780" s="2060"/>
      <c r="CA1780" s="2060"/>
      <c r="CB1780" s="2060"/>
      <c r="CC1780" s="2060"/>
      <c r="CD1780" s="2060"/>
      <c r="CE1780" s="2060"/>
      <c r="CF1780" s="2060"/>
      <c r="CG1780" s="2060"/>
      <c r="CH1780" s="2060"/>
      <c r="CI1780" s="2060"/>
      <c r="CJ1780" s="2060"/>
      <c r="CK1780" s="2060"/>
      <c r="CL1780" s="2060"/>
      <c r="CM1780" s="2060"/>
      <c r="CN1780" s="2060"/>
      <c r="CO1780" s="2060"/>
      <c r="CP1780" s="2060"/>
      <c r="CQ1780" s="2060"/>
      <c r="CR1780" s="2060"/>
      <c r="CS1780" s="2060"/>
      <c r="CT1780" s="2060"/>
      <c r="CU1780" s="2060"/>
      <c r="CV1780" s="2060"/>
      <c r="CW1780" s="2060"/>
      <c r="CX1780" s="2060"/>
      <c r="CY1780" s="2060"/>
      <c r="CZ1780" s="2060"/>
      <c r="DA1780" s="2060"/>
      <c r="DB1780" s="2060"/>
      <c r="DC1780" s="2060"/>
      <c r="DD1780" s="2060"/>
      <c r="DE1780" s="2060"/>
      <c r="DF1780" s="2060"/>
      <c r="DG1780" s="2060"/>
      <c r="DH1780" s="2060"/>
      <c r="DI1780" s="2060"/>
      <c r="DJ1780" s="2060"/>
      <c r="DK1780" s="2060"/>
      <c r="DL1780" s="2060"/>
      <c r="DM1780" s="2060"/>
      <c r="DN1780" s="2060"/>
      <c r="DO1780" s="2060"/>
      <c r="DP1780" s="2060"/>
      <c r="DQ1780" s="2060"/>
      <c r="DR1780" s="2060"/>
      <c r="DS1780" s="2060"/>
      <c r="DT1780" s="2060"/>
      <c r="DU1780" s="2060"/>
      <c r="DV1780" s="2060"/>
      <c r="DW1780" s="2060"/>
      <c r="DX1780" s="2060"/>
      <c r="DY1780" s="2060"/>
      <c r="DZ1780" s="2060"/>
      <c r="EA1780" s="2060"/>
      <c r="EB1780" s="2060"/>
      <c r="EC1780" s="2060"/>
      <c r="ED1780" s="2060"/>
      <c r="EE1780" s="2060"/>
      <c r="EF1780" s="2060"/>
      <c r="EG1780" s="2060"/>
      <c r="EH1780" s="2060"/>
      <c r="EI1780" s="2060"/>
      <c r="EJ1780" s="2060"/>
      <c r="EK1780" s="2060"/>
      <c r="EL1780" s="2060"/>
      <c r="EM1780" s="2060"/>
      <c r="EN1780" s="2060"/>
      <c r="EO1780" s="2060"/>
      <c r="EP1780" s="2060"/>
      <c r="EQ1780" s="2060"/>
      <c r="ER1780" s="2060"/>
      <c r="ES1780" s="2060"/>
      <c r="ET1780" s="2060"/>
      <c r="EU1780" s="2060"/>
      <c r="EV1780" s="2060"/>
      <c r="EW1780" s="2060"/>
      <c r="EX1780" s="2060"/>
      <c r="EY1780" s="2060"/>
      <c r="EZ1780" s="2060"/>
      <c r="FA1780" s="2060"/>
      <c r="FB1780" s="2060"/>
      <c r="FC1780" s="2060"/>
      <c r="FD1780" s="2060"/>
      <c r="FE1780" s="2060"/>
      <c r="FF1780" s="2060"/>
      <c r="FG1780" s="2060"/>
      <c r="FH1780" s="2060"/>
      <c r="FI1780" s="2060"/>
      <c r="FJ1780" s="2060"/>
      <c r="FK1780" s="2060"/>
      <c r="FL1780" s="2060"/>
      <c r="FM1780" s="2060"/>
      <c r="FN1780" s="2060"/>
      <c r="FO1780" s="2060"/>
      <c r="FP1780" s="2060"/>
      <c r="FQ1780" s="2060"/>
      <c r="FR1780" s="2060"/>
      <c r="FS1780" s="2060"/>
      <c r="FT1780" s="2060"/>
      <c r="FU1780" s="2060"/>
      <c r="FV1780" s="2060"/>
      <c r="FW1780" s="2060"/>
      <c r="FX1780" s="2060"/>
      <c r="FY1780" s="2060"/>
      <c r="FZ1780" s="2060"/>
      <c r="GA1780" s="2060"/>
      <c r="GB1780" s="2060"/>
      <c r="GC1780" s="2060"/>
      <c r="GD1780" s="2060"/>
      <c r="GE1780" s="2060"/>
      <c r="GF1780" s="2060"/>
      <c r="GG1780" s="2060"/>
      <c r="GH1780" s="2060"/>
      <c r="GI1780" s="2060"/>
      <c r="GJ1780" s="2060"/>
      <c r="GK1780" s="2060"/>
      <c r="GL1780" s="2060"/>
      <c r="GM1780" s="2060"/>
      <c r="GN1780" s="2060"/>
      <c r="GO1780" s="2060"/>
      <c r="GP1780" s="2060"/>
      <c r="GQ1780" s="2060"/>
      <c r="GR1780" s="2060"/>
      <c r="GS1780" s="2060"/>
      <c r="GT1780" s="2060"/>
      <c r="GU1780" s="2060"/>
      <c r="GV1780" s="2060"/>
      <c r="GW1780" s="2060"/>
      <c r="GX1780" s="2060"/>
      <c r="GY1780" s="2060"/>
      <c r="GZ1780" s="2060"/>
      <c r="HA1780" s="2060"/>
      <c r="HB1780" s="2060"/>
      <c r="HC1780" s="2060"/>
      <c r="HD1780" s="2060"/>
      <c r="HE1780" s="2060"/>
      <c r="HF1780" s="2060"/>
      <c r="HG1780" s="2060"/>
      <c r="HH1780" s="2060"/>
      <c r="HI1780" s="2060"/>
      <c r="HJ1780" s="2060"/>
      <c r="HK1780" s="2060"/>
      <c r="HL1780" s="2060"/>
      <c r="HM1780" s="2060"/>
      <c r="HN1780" s="2060"/>
      <c r="HO1780" s="2060"/>
      <c r="HP1780" s="2060"/>
      <c r="HQ1780" s="2060"/>
      <c r="HR1780" s="2060"/>
      <c r="HS1780" s="2060"/>
      <c r="HT1780" s="2060"/>
      <c r="HU1780" s="2060"/>
      <c r="HV1780" s="2060"/>
      <c r="HW1780" s="2060"/>
      <c r="HX1780" s="2060"/>
      <c r="HY1780" s="2060"/>
      <c r="HZ1780" s="2060"/>
      <c r="IA1780" s="2060"/>
      <c r="IB1780" s="2060"/>
      <c r="IC1780" s="2060"/>
      <c r="ID1780" s="2060"/>
      <c r="IE1780" s="2060"/>
      <c r="IF1780" s="2060"/>
      <c r="IG1780" s="2060"/>
      <c r="IH1780" s="2060"/>
      <c r="II1780" s="2060"/>
      <c r="IJ1780" s="2060"/>
      <c r="IK1780" s="2060"/>
      <c r="IL1780" s="2060"/>
      <c r="IM1780" s="2060"/>
      <c r="IN1780" s="2060"/>
      <c r="IO1780" s="2060"/>
      <c r="IP1780" s="2060"/>
      <c r="IQ1780" s="2060"/>
      <c r="IR1780" s="2060"/>
      <c r="IS1780" s="2060"/>
      <c r="IT1780" s="2060"/>
      <c r="IU1780" s="2060"/>
      <c r="IV1780" s="2060"/>
      <c r="IW1780" s="2060"/>
      <c r="IX1780" s="2060"/>
      <c r="IY1780" s="2060"/>
      <c r="IZ1780" s="2060"/>
      <c r="JA1780" s="2060"/>
      <c r="JB1780" s="2060"/>
      <c r="JC1780" s="2060"/>
      <c r="JD1780" s="2060"/>
      <c r="JE1780" s="2060"/>
      <c r="JF1780" s="2060"/>
      <c r="JG1780" s="2060"/>
      <c r="JH1780" s="2060"/>
      <c r="JI1780" s="2060"/>
      <c r="JJ1780" s="2060"/>
      <c r="JK1780" s="2060"/>
      <c r="JL1780" s="2060"/>
      <c r="JM1780" s="2060"/>
      <c r="JN1780" s="2060"/>
      <c r="JO1780" s="2060"/>
      <c r="JP1780" s="2060"/>
      <c r="JQ1780" s="2060"/>
      <c r="JR1780" s="2060"/>
      <c r="JS1780" s="2060"/>
      <c r="JT1780" s="2060"/>
      <c r="JU1780" s="2060"/>
      <c r="JV1780" s="2060"/>
      <c r="JW1780" s="2060"/>
      <c r="JX1780" s="2060"/>
      <c r="JY1780" s="2060"/>
      <c r="JZ1780" s="2060"/>
      <c r="KA1780" s="2060"/>
      <c r="KB1780" s="2060"/>
      <c r="KC1780" s="2060"/>
      <c r="KD1780" s="2060"/>
      <c r="KE1780" s="2060"/>
      <c r="KF1780" s="2060"/>
      <c r="KG1780" s="2060"/>
      <c r="KH1780" s="2060"/>
      <c r="KI1780" s="2060"/>
      <c r="KJ1780" s="2060"/>
      <c r="KK1780" s="2060"/>
      <c r="KL1780" s="2060"/>
      <c r="KM1780" s="2060"/>
      <c r="KN1780" s="2060"/>
      <c r="KO1780" s="2060"/>
      <c r="KP1780" s="2060"/>
      <c r="KQ1780" s="2060"/>
      <c r="KR1780" s="2060"/>
      <c r="KS1780" s="2060"/>
      <c r="KT1780" s="2060"/>
      <c r="KU1780" s="2060"/>
      <c r="KV1780" s="2060"/>
      <c r="KW1780" s="2060"/>
      <c r="KX1780" s="2060"/>
      <c r="KY1780" s="2060"/>
      <c r="KZ1780" s="2060"/>
      <c r="LA1780" s="2060"/>
      <c r="LB1780" s="2060"/>
      <c r="LC1780" s="2060"/>
      <c r="LD1780" s="2060"/>
      <c r="LE1780" s="2060"/>
      <c r="LF1780" s="2060"/>
      <c r="LG1780" s="2060"/>
      <c r="LH1780" s="2060"/>
    </row>
    <row r="1781" spans="1:320" s="1499" customFormat="1" ht="13.9">
      <c r="A1781" s="269" t="str">
        <f t="shared" si="477"/>
        <v>n</v>
      </c>
      <c r="B1781" s="2060"/>
      <c r="C1781" s="2060"/>
      <c r="D1781" s="2060"/>
      <c r="E1781" s="1661">
        <v>20</v>
      </c>
      <c r="F1781" s="1353" t="str">
        <f>F$148</f>
        <v>--</v>
      </c>
      <c r="G1781" s="128">
        <f>G$148</f>
        <v>0</v>
      </c>
      <c r="H1781" s="128" t="str">
        <f>H$148</f>
        <v>--</v>
      </c>
      <c r="I1781" s="89" t="s">
        <v>794</v>
      </c>
      <c r="J1781" s="2197" t="str">
        <f>IF($G1781=0,"",IFERROR(_xll.ciqfunctions.udf.CIQ($G1781,$I1781,J$1557,Valuation_Date_GC,ReportType,DataMode,$H1781,FXMode),"n/a"))</f>
        <v/>
      </c>
      <c r="K1781" s="2197" t="str">
        <f>IF($G1781=0,"",IFERROR(_xll.ciqfunctions.udf.CIQ($G1781,$I1781,K$1557,Valuation_Date_GC,ReportType,DataMode,$H1781,FXMode),"n/a"))</f>
        <v/>
      </c>
      <c r="L1781" s="2197" t="str">
        <f>IF($G1781=0,"",IFERROR(_xll.ciqfunctions.udf.CIQ($G1781,$I1781,L$1557,Valuation_Date_GC,ReportType,DataMode,$H1781,FXMode),"n/a"))</f>
        <v/>
      </c>
      <c r="M1781" s="2197" t="str">
        <f>IF($G1781=0,"",IFERROR(_xll.ciqfunctions.udf.CIQ($G1781,$I1781,M$1557,Valuation_Date_GC,ReportType,DataMode,$H1781,FXMode),"n/a"))</f>
        <v/>
      </c>
      <c r="N1781" s="2197" t="str">
        <f>IF($G1781=0,"",IFERROR(_xll.ciqfunctions.udf.CIQ($G1781,$I1781,N$1557,Valuation_Date_GC,ReportType,DataMode,$H1781,FXMode),"n/a"))</f>
        <v/>
      </c>
      <c r="O1781" s="2197" t="str">
        <f>IF($G1781=0,"",IFERROR(_xll.ciqfunctions.udf.CIQ($G1781,$I1781,O$1557,Valuation_Date_GC,ReportType,DataMode,$H1781,FXMode),"n/a"))</f>
        <v/>
      </c>
      <c r="P1781" s="2197" t="str">
        <f>IF($G1781=0,"",IFERROR(_xll.ciqfunctions.udf.CIQ($G1781,$I1781,P$1557,Valuation_Date_GC,ReportType,DataMode,$H1781,FXMode),"n/a"))</f>
        <v/>
      </c>
      <c r="Q1781" s="2197" t="str">
        <f>IF($G1781=0,"",IFERROR(_xll.ciqfunctions.udf.CIQ($G1781,$I1781,Q$1557,Valuation_Date_GC,ReportType,DataMode,$H1781,FXMode),"n/a"))</f>
        <v/>
      </c>
      <c r="R1781" s="2197" t="str">
        <f>IF($G1781=0,"",IFERROR(_xll.ciqfunctions.udf.CIQ($G1781,$I1781,R$1557,Valuation_Date_GC,ReportType,DataMode,$H1781,FXMode),"n/a"))</f>
        <v/>
      </c>
      <c r="S1781" s="2197" t="str">
        <f>IF($G1781=0,"",IFERROR(_xll.ciqfunctions.udf.CIQ($G1781,$I1781,S$1557,Valuation_Date_GC,ReportType,DataMode,$H1781,FXMode),"n/a"))</f>
        <v/>
      </c>
      <c r="T1781" s="2197" t="str">
        <f>IF($G1781=0,"",IFERROR(_xll.ciqfunctions.udf.CIQ($G1781,$I1781,T$1557,Valuation_Date_GC,ReportType,DataMode,$H1781,FXMode),"n/a"))</f>
        <v/>
      </c>
      <c r="U1781" s="2197" t="str">
        <f>IF($G1781=0,"",IFERROR(_xll.ciqfunctions.udf.CIQ($G1781,$I1781,U$1557,Valuation_Date_GC,ReportType,DataMode,$H1781,FXMode),"n/a"))</f>
        <v/>
      </c>
      <c r="V1781" s="2197" t="str">
        <f>IF($G1781=0,"",IFERROR(_xll.ciqfunctions.udf.CIQ($G1781,$I1781,V$1557,Valuation_Date_GC,ReportType,DataMode,$H1781,FXMode),"n/a"))</f>
        <v/>
      </c>
      <c r="W1781" s="1479"/>
      <c r="X1781" s="255"/>
      <c r="Y1781" s="255"/>
      <c r="Z1781" s="2060"/>
      <c r="AA1781" s="2060"/>
      <c r="AB1781" s="2060"/>
      <c r="AC1781" s="2060"/>
      <c r="AD1781" s="2060"/>
      <c r="AE1781" s="2060"/>
      <c r="AF1781" s="2060"/>
      <c r="AG1781" s="2060"/>
      <c r="AH1781" s="2060"/>
      <c r="AI1781" s="2060"/>
      <c r="AJ1781" s="2060"/>
      <c r="AK1781" s="2060"/>
      <c r="AL1781" s="2060"/>
      <c r="AM1781" s="2060"/>
      <c r="AN1781" s="2060"/>
      <c r="AO1781" s="2060"/>
      <c r="AP1781" s="2060"/>
      <c r="AQ1781" s="2060"/>
      <c r="AR1781" s="2060"/>
      <c r="AS1781" s="2060"/>
      <c r="AT1781" s="2060"/>
      <c r="AU1781" s="2060"/>
      <c r="AV1781" s="2060"/>
      <c r="AW1781" s="2060"/>
      <c r="AX1781" s="2060"/>
      <c r="AY1781" s="2060"/>
      <c r="AZ1781" s="2060"/>
      <c r="BA1781" s="2060"/>
      <c r="BB1781" s="2060"/>
      <c r="BC1781" s="2060"/>
      <c r="BD1781" s="2060"/>
      <c r="BE1781" s="2060"/>
      <c r="BF1781" s="2060"/>
      <c r="BG1781" s="2060"/>
      <c r="BH1781" s="2060"/>
      <c r="BI1781" s="2060"/>
      <c r="BJ1781" s="2060"/>
      <c r="BK1781" s="2060"/>
      <c r="BL1781" s="2060"/>
      <c r="BM1781" s="2060"/>
      <c r="BN1781" s="2060"/>
      <c r="BO1781" s="2060"/>
      <c r="BP1781" s="2060"/>
      <c r="BQ1781" s="2060"/>
      <c r="BR1781" s="2060"/>
      <c r="BS1781" s="2060"/>
      <c r="BT1781" s="2060"/>
      <c r="BU1781" s="2060"/>
      <c r="BV1781" s="2060"/>
      <c r="BW1781" s="2060"/>
      <c r="BX1781" s="2060"/>
      <c r="BY1781" s="2060"/>
      <c r="BZ1781" s="2060"/>
      <c r="CA1781" s="2060"/>
      <c r="CB1781" s="2060"/>
      <c r="CC1781" s="2060"/>
      <c r="CD1781" s="2060"/>
      <c r="CE1781" s="2060"/>
      <c r="CF1781" s="2060"/>
      <c r="CG1781" s="2060"/>
      <c r="CH1781" s="2060"/>
      <c r="CI1781" s="2060"/>
      <c r="CJ1781" s="2060"/>
      <c r="CK1781" s="2060"/>
      <c r="CL1781" s="2060"/>
      <c r="CM1781" s="2060"/>
      <c r="CN1781" s="2060"/>
      <c r="CO1781" s="2060"/>
      <c r="CP1781" s="2060"/>
      <c r="CQ1781" s="2060"/>
      <c r="CR1781" s="2060"/>
      <c r="CS1781" s="2060"/>
      <c r="CT1781" s="2060"/>
      <c r="CU1781" s="2060"/>
      <c r="CV1781" s="2060"/>
      <c r="CW1781" s="2060"/>
      <c r="CX1781" s="2060"/>
      <c r="CY1781" s="2060"/>
      <c r="CZ1781" s="2060"/>
      <c r="DA1781" s="2060"/>
      <c r="DB1781" s="2060"/>
      <c r="DC1781" s="2060"/>
      <c r="DD1781" s="2060"/>
      <c r="DE1781" s="2060"/>
      <c r="DF1781" s="2060"/>
      <c r="DG1781" s="2060"/>
      <c r="DH1781" s="2060"/>
      <c r="DI1781" s="2060"/>
      <c r="DJ1781" s="2060"/>
      <c r="DK1781" s="2060"/>
      <c r="DL1781" s="2060"/>
      <c r="DM1781" s="2060"/>
      <c r="DN1781" s="2060"/>
      <c r="DO1781" s="2060"/>
      <c r="DP1781" s="2060"/>
      <c r="DQ1781" s="2060"/>
      <c r="DR1781" s="2060"/>
      <c r="DS1781" s="2060"/>
      <c r="DT1781" s="2060"/>
      <c r="DU1781" s="2060"/>
      <c r="DV1781" s="2060"/>
      <c r="DW1781" s="2060"/>
      <c r="DX1781" s="2060"/>
      <c r="DY1781" s="2060"/>
      <c r="DZ1781" s="2060"/>
      <c r="EA1781" s="2060"/>
      <c r="EB1781" s="2060"/>
      <c r="EC1781" s="2060"/>
      <c r="ED1781" s="2060"/>
      <c r="EE1781" s="2060"/>
      <c r="EF1781" s="2060"/>
      <c r="EG1781" s="2060"/>
      <c r="EH1781" s="2060"/>
      <c r="EI1781" s="2060"/>
      <c r="EJ1781" s="2060"/>
      <c r="EK1781" s="2060"/>
      <c r="EL1781" s="2060"/>
      <c r="EM1781" s="2060"/>
      <c r="EN1781" s="2060"/>
      <c r="EO1781" s="2060"/>
      <c r="EP1781" s="2060"/>
      <c r="EQ1781" s="2060"/>
      <c r="ER1781" s="2060"/>
      <c r="ES1781" s="2060"/>
      <c r="ET1781" s="2060"/>
      <c r="EU1781" s="2060"/>
      <c r="EV1781" s="2060"/>
      <c r="EW1781" s="2060"/>
      <c r="EX1781" s="2060"/>
      <c r="EY1781" s="2060"/>
      <c r="EZ1781" s="2060"/>
      <c r="FA1781" s="2060"/>
      <c r="FB1781" s="2060"/>
      <c r="FC1781" s="2060"/>
      <c r="FD1781" s="2060"/>
      <c r="FE1781" s="2060"/>
      <c r="FF1781" s="2060"/>
      <c r="FG1781" s="2060"/>
      <c r="FH1781" s="2060"/>
      <c r="FI1781" s="2060"/>
      <c r="FJ1781" s="2060"/>
      <c r="FK1781" s="2060"/>
      <c r="FL1781" s="2060"/>
      <c r="FM1781" s="2060"/>
      <c r="FN1781" s="2060"/>
      <c r="FO1781" s="2060"/>
      <c r="FP1781" s="2060"/>
      <c r="FQ1781" s="2060"/>
      <c r="FR1781" s="2060"/>
      <c r="FS1781" s="2060"/>
      <c r="FT1781" s="2060"/>
      <c r="FU1781" s="2060"/>
      <c r="FV1781" s="2060"/>
      <c r="FW1781" s="2060"/>
      <c r="FX1781" s="2060"/>
      <c r="FY1781" s="2060"/>
      <c r="FZ1781" s="2060"/>
      <c r="GA1781" s="2060"/>
      <c r="GB1781" s="2060"/>
      <c r="GC1781" s="2060"/>
      <c r="GD1781" s="2060"/>
      <c r="GE1781" s="2060"/>
      <c r="GF1781" s="2060"/>
      <c r="GG1781" s="2060"/>
      <c r="GH1781" s="2060"/>
      <c r="GI1781" s="2060"/>
      <c r="GJ1781" s="2060"/>
      <c r="GK1781" s="2060"/>
      <c r="GL1781" s="2060"/>
      <c r="GM1781" s="2060"/>
      <c r="GN1781" s="2060"/>
      <c r="GO1781" s="2060"/>
      <c r="GP1781" s="2060"/>
      <c r="GQ1781" s="2060"/>
      <c r="GR1781" s="2060"/>
      <c r="GS1781" s="2060"/>
      <c r="GT1781" s="2060"/>
      <c r="GU1781" s="2060"/>
      <c r="GV1781" s="2060"/>
      <c r="GW1781" s="2060"/>
      <c r="GX1781" s="2060"/>
      <c r="GY1781" s="2060"/>
      <c r="GZ1781" s="2060"/>
      <c r="HA1781" s="2060"/>
      <c r="HB1781" s="2060"/>
      <c r="HC1781" s="2060"/>
      <c r="HD1781" s="2060"/>
      <c r="HE1781" s="2060"/>
      <c r="HF1781" s="2060"/>
      <c r="HG1781" s="2060"/>
      <c r="HH1781" s="2060"/>
      <c r="HI1781" s="2060"/>
      <c r="HJ1781" s="2060"/>
      <c r="HK1781" s="2060"/>
      <c r="HL1781" s="2060"/>
      <c r="HM1781" s="2060"/>
      <c r="HN1781" s="2060"/>
      <c r="HO1781" s="2060"/>
      <c r="HP1781" s="2060"/>
      <c r="HQ1781" s="2060"/>
      <c r="HR1781" s="2060"/>
      <c r="HS1781" s="2060"/>
      <c r="HT1781" s="2060"/>
      <c r="HU1781" s="2060"/>
      <c r="HV1781" s="2060"/>
      <c r="HW1781" s="2060"/>
      <c r="HX1781" s="2060"/>
      <c r="HY1781" s="2060"/>
      <c r="HZ1781" s="2060"/>
      <c r="IA1781" s="2060"/>
      <c r="IB1781" s="2060"/>
      <c r="IC1781" s="2060"/>
      <c r="ID1781" s="2060"/>
      <c r="IE1781" s="2060"/>
      <c r="IF1781" s="2060"/>
      <c r="IG1781" s="2060"/>
      <c r="IH1781" s="2060"/>
      <c r="II1781" s="2060"/>
      <c r="IJ1781" s="2060"/>
      <c r="IK1781" s="2060"/>
      <c r="IL1781" s="2060"/>
      <c r="IM1781" s="2060"/>
      <c r="IN1781" s="2060"/>
      <c r="IO1781" s="2060"/>
      <c r="IP1781" s="2060"/>
      <c r="IQ1781" s="2060"/>
      <c r="IR1781" s="2060"/>
      <c r="IS1781" s="2060"/>
      <c r="IT1781" s="2060"/>
      <c r="IU1781" s="2060"/>
      <c r="IV1781" s="2060"/>
      <c r="IW1781" s="2060"/>
      <c r="IX1781" s="2060"/>
      <c r="IY1781" s="2060"/>
      <c r="IZ1781" s="2060"/>
      <c r="JA1781" s="2060"/>
      <c r="JB1781" s="2060"/>
      <c r="JC1781" s="2060"/>
      <c r="JD1781" s="2060"/>
      <c r="JE1781" s="2060"/>
      <c r="JF1781" s="2060"/>
      <c r="JG1781" s="2060"/>
      <c r="JH1781" s="2060"/>
      <c r="JI1781" s="2060"/>
      <c r="JJ1781" s="2060"/>
      <c r="JK1781" s="2060"/>
      <c r="JL1781" s="2060"/>
      <c r="JM1781" s="2060"/>
      <c r="JN1781" s="2060"/>
      <c r="JO1781" s="2060"/>
      <c r="JP1781" s="2060"/>
      <c r="JQ1781" s="2060"/>
      <c r="JR1781" s="2060"/>
      <c r="JS1781" s="2060"/>
      <c r="JT1781" s="2060"/>
      <c r="JU1781" s="2060"/>
      <c r="JV1781" s="2060"/>
      <c r="JW1781" s="2060"/>
      <c r="JX1781" s="2060"/>
      <c r="JY1781" s="2060"/>
      <c r="JZ1781" s="2060"/>
      <c r="KA1781" s="2060"/>
      <c r="KB1781" s="2060"/>
      <c r="KC1781" s="2060"/>
      <c r="KD1781" s="2060"/>
      <c r="KE1781" s="2060"/>
      <c r="KF1781" s="2060"/>
      <c r="KG1781" s="2060"/>
      <c r="KH1781" s="2060"/>
      <c r="KI1781" s="2060"/>
      <c r="KJ1781" s="2060"/>
      <c r="KK1781" s="2060"/>
      <c r="KL1781" s="2060"/>
      <c r="KM1781" s="2060"/>
      <c r="KN1781" s="2060"/>
      <c r="KO1781" s="2060"/>
      <c r="KP1781" s="2060"/>
      <c r="KQ1781" s="2060"/>
      <c r="KR1781" s="2060"/>
      <c r="KS1781" s="2060"/>
      <c r="KT1781" s="2060"/>
      <c r="KU1781" s="2060"/>
      <c r="KV1781" s="2060"/>
      <c r="KW1781" s="2060"/>
      <c r="KX1781" s="2060"/>
      <c r="KY1781" s="2060"/>
      <c r="KZ1781" s="2060"/>
      <c r="LA1781" s="2060"/>
      <c r="LB1781" s="2060"/>
      <c r="LC1781" s="2060"/>
      <c r="LD1781" s="2060"/>
      <c r="LE1781" s="2060"/>
      <c r="LF1781" s="2060"/>
      <c r="LG1781" s="2060"/>
      <c r="LH1781" s="2060"/>
    </row>
    <row r="1782" spans="1:320" s="1499" customFormat="1" ht="13.9">
      <c r="A1782" s="269" t="str">
        <f t="shared" si="477"/>
        <v>n</v>
      </c>
      <c r="B1782" s="2060"/>
      <c r="C1782" s="2060"/>
      <c r="D1782" s="2060"/>
      <c r="E1782" s="1661">
        <v>21</v>
      </c>
      <c r="F1782" s="1353" t="str">
        <f>F$149</f>
        <v>--</v>
      </c>
      <c r="G1782" s="128">
        <f>G$149</f>
        <v>0</v>
      </c>
      <c r="H1782" s="128" t="str">
        <f>H$149</f>
        <v>--</v>
      </c>
      <c r="I1782" s="89" t="s">
        <v>794</v>
      </c>
      <c r="J1782" s="2197" t="str">
        <f>IF($G1782=0,"",IFERROR(_xll.ciqfunctions.udf.CIQ($G1782,$I1782,J$1557,Valuation_Date_GC,ReportType,DataMode,$H1782,FXMode),"n/a"))</f>
        <v/>
      </c>
      <c r="K1782" s="2197" t="str">
        <f>IF($G1782=0,"",IFERROR(_xll.ciqfunctions.udf.CIQ($G1782,$I1782,K$1557,Valuation_Date_GC,ReportType,DataMode,$H1782,FXMode),"n/a"))</f>
        <v/>
      </c>
      <c r="L1782" s="2197" t="str">
        <f>IF($G1782=0,"",IFERROR(_xll.ciqfunctions.udf.CIQ($G1782,$I1782,L$1557,Valuation_Date_GC,ReportType,DataMode,$H1782,FXMode),"n/a"))</f>
        <v/>
      </c>
      <c r="M1782" s="2197" t="str">
        <f>IF($G1782=0,"",IFERROR(_xll.ciqfunctions.udf.CIQ($G1782,$I1782,M$1557,Valuation_Date_GC,ReportType,DataMode,$H1782,FXMode),"n/a"))</f>
        <v/>
      </c>
      <c r="N1782" s="2197" t="str">
        <f>IF($G1782=0,"",IFERROR(_xll.ciqfunctions.udf.CIQ($G1782,$I1782,N$1557,Valuation_Date_GC,ReportType,DataMode,$H1782,FXMode),"n/a"))</f>
        <v/>
      </c>
      <c r="O1782" s="2197" t="str">
        <f>IF($G1782=0,"",IFERROR(_xll.ciqfunctions.udf.CIQ($G1782,$I1782,O$1557,Valuation_Date_GC,ReportType,DataMode,$H1782,FXMode),"n/a"))</f>
        <v/>
      </c>
      <c r="P1782" s="2197" t="str">
        <f>IF($G1782=0,"",IFERROR(_xll.ciqfunctions.udf.CIQ($G1782,$I1782,P$1557,Valuation_Date_GC,ReportType,DataMode,$H1782,FXMode),"n/a"))</f>
        <v/>
      </c>
      <c r="Q1782" s="2197" t="str">
        <f>IF($G1782=0,"",IFERROR(_xll.ciqfunctions.udf.CIQ($G1782,$I1782,Q$1557,Valuation_Date_GC,ReportType,DataMode,$H1782,FXMode),"n/a"))</f>
        <v/>
      </c>
      <c r="R1782" s="2197" t="str">
        <f>IF($G1782=0,"",IFERROR(_xll.ciqfunctions.udf.CIQ($G1782,$I1782,R$1557,Valuation_Date_GC,ReportType,DataMode,$H1782,FXMode),"n/a"))</f>
        <v/>
      </c>
      <c r="S1782" s="2197" t="str">
        <f>IF($G1782=0,"",IFERROR(_xll.ciqfunctions.udf.CIQ($G1782,$I1782,S$1557,Valuation_Date_GC,ReportType,DataMode,$H1782,FXMode),"n/a"))</f>
        <v/>
      </c>
      <c r="T1782" s="2197" t="str">
        <f>IF($G1782=0,"",IFERROR(_xll.ciqfunctions.udf.CIQ($G1782,$I1782,T$1557,Valuation_Date_GC,ReportType,DataMode,$H1782,FXMode),"n/a"))</f>
        <v/>
      </c>
      <c r="U1782" s="2197" t="str">
        <f>IF($G1782=0,"",IFERROR(_xll.ciqfunctions.udf.CIQ($G1782,$I1782,U$1557,Valuation_Date_GC,ReportType,DataMode,$H1782,FXMode),"n/a"))</f>
        <v/>
      </c>
      <c r="V1782" s="2197" t="str">
        <f>IF($G1782=0,"",IFERROR(_xll.ciqfunctions.udf.CIQ($G1782,$I1782,V$1557,Valuation_Date_GC,ReportType,DataMode,$H1782,FXMode),"n/a"))</f>
        <v/>
      </c>
      <c r="W1782" s="1479"/>
      <c r="X1782" s="255"/>
      <c r="Y1782" s="255"/>
      <c r="Z1782" s="2060"/>
      <c r="AA1782" s="2060"/>
      <c r="AB1782" s="2060"/>
      <c r="AC1782" s="2060"/>
      <c r="AD1782" s="2060"/>
      <c r="AE1782" s="2060"/>
      <c r="AF1782" s="2060"/>
      <c r="AG1782" s="2060"/>
      <c r="AH1782" s="2060"/>
      <c r="AI1782" s="2060"/>
      <c r="AJ1782" s="2060"/>
      <c r="AK1782" s="2060"/>
      <c r="AL1782" s="2060"/>
      <c r="AM1782" s="2060"/>
      <c r="AN1782" s="2060"/>
      <c r="AO1782" s="2060"/>
      <c r="AP1782" s="2060"/>
      <c r="AQ1782" s="2060"/>
      <c r="AR1782" s="2060"/>
      <c r="AS1782" s="2060"/>
      <c r="AT1782" s="2060"/>
      <c r="AU1782" s="2060"/>
      <c r="AV1782" s="2060"/>
      <c r="AW1782" s="2060"/>
      <c r="AX1782" s="2060"/>
      <c r="AY1782" s="2060"/>
      <c r="AZ1782" s="2060"/>
      <c r="BA1782" s="2060"/>
      <c r="BB1782" s="2060"/>
      <c r="BC1782" s="2060"/>
      <c r="BD1782" s="2060"/>
      <c r="BE1782" s="2060"/>
      <c r="BF1782" s="2060"/>
      <c r="BG1782" s="2060"/>
      <c r="BH1782" s="2060"/>
      <c r="BI1782" s="2060"/>
      <c r="BJ1782" s="2060"/>
      <c r="BK1782" s="2060"/>
      <c r="BL1782" s="2060"/>
      <c r="BM1782" s="2060"/>
      <c r="BN1782" s="2060"/>
      <c r="BO1782" s="2060"/>
      <c r="BP1782" s="2060"/>
      <c r="BQ1782" s="2060"/>
      <c r="BR1782" s="2060"/>
      <c r="BS1782" s="2060"/>
      <c r="BT1782" s="2060"/>
      <c r="BU1782" s="2060"/>
      <c r="BV1782" s="2060"/>
      <c r="BW1782" s="2060"/>
      <c r="BX1782" s="2060"/>
      <c r="BY1782" s="2060"/>
      <c r="BZ1782" s="2060"/>
      <c r="CA1782" s="2060"/>
      <c r="CB1782" s="2060"/>
      <c r="CC1782" s="2060"/>
      <c r="CD1782" s="2060"/>
      <c r="CE1782" s="2060"/>
      <c r="CF1782" s="2060"/>
      <c r="CG1782" s="2060"/>
      <c r="CH1782" s="2060"/>
      <c r="CI1782" s="2060"/>
      <c r="CJ1782" s="2060"/>
      <c r="CK1782" s="2060"/>
      <c r="CL1782" s="2060"/>
      <c r="CM1782" s="2060"/>
      <c r="CN1782" s="2060"/>
      <c r="CO1782" s="2060"/>
      <c r="CP1782" s="2060"/>
      <c r="CQ1782" s="2060"/>
      <c r="CR1782" s="2060"/>
      <c r="CS1782" s="2060"/>
      <c r="CT1782" s="2060"/>
      <c r="CU1782" s="2060"/>
      <c r="CV1782" s="2060"/>
      <c r="CW1782" s="2060"/>
      <c r="CX1782" s="2060"/>
      <c r="CY1782" s="2060"/>
      <c r="CZ1782" s="2060"/>
      <c r="DA1782" s="2060"/>
      <c r="DB1782" s="2060"/>
      <c r="DC1782" s="2060"/>
      <c r="DD1782" s="2060"/>
      <c r="DE1782" s="2060"/>
      <c r="DF1782" s="2060"/>
      <c r="DG1782" s="2060"/>
      <c r="DH1782" s="2060"/>
      <c r="DI1782" s="2060"/>
      <c r="DJ1782" s="2060"/>
      <c r="DK1782" s="2060"/>
      <c r="DL1782" s="2060"/>
      <c r="DM1782" s="2060"/>
      <c r="DN1782" s="2060"/>
      <c r="DO1782" s="2060"/>
      <c r="DP1782" s="2060"/>
      <c r="DQ1782" s="2060"/>
      <c r="DR1782" s="2060"/>
      <c r="DS1782" s="2060"/>
      <c r="DT1782" s="2060"/>
      <c r="DU1782" s="2060"/>
      <c r="DV1782" s="2060"/>
      <c r="DW1782" s="2060"/>
      <c r="DX1782" s="2060"/>
      <c r="DY1782" s="2060"/>
      <c r="DZ1782" s="2060"/>
      <c r="EA1782" s="2060"/>
      <c r="EB1782" s="2060"/>
      <c r="EC1782" s="2060"/>
      <c r="ED1782" s="2060"/>
      <c r="EE1782" s="2060"/>
      <c r="EF1782" s="2060"/>
      <c r="EG1782" s="2060"/>
      <c r="EH1782" s="2060"/>
      <c r="EI1782" s="2060"/>
      <c r="EJ1782" s="2060"/>
      <c r="EK1782" s="2060"/>
      <c r="EL1782" s="2060"/>
      <c r="EM1782" s="2060"/>
      <c r="EN1782" s="2060"/>
      <c r="EO1782" s="2060"/>
      <c r="EP1782" s="2060"/>
      <c r="EQ1782" s="2060"/>
      <c r="ER1782" s="2060"/>
      <c r="ES1782" s="2060"/>
      <c r="ET1782" s="2060"/>
      <c r="EU1782" s="2060"/>
      <c r="EV1782" s="2060"/>
      <c r="EW1782" s="2060"/>
      <c r="EX1782" s="2060"/>
      <c r="EY1782" s="2060"/>
      <c r="EZ1782" s="2060"/>
      <c r="FA1782" s="2060"/>
      <c r="FB1782" s="2060"/>
      <c r="FC1782" s="2060"/>
      <c r="FD1782" s="2060"/>
      <c r="FE1782" s="2060"/>
      <c r="FF1782" s="2060"/>
      <c r="FG1782" s="2060"/>
      <c r="FH1782" s="2060"/>
      <c r="FI1782" s="2060"/>
      <c r="FJ1782" s="2060"/>
      <c r="FK1782" s="2060"/>
      <c r="FL1782" s="2060"/>
      <c r="FM1782" s="2060"/>
      <c r="FN1782" s="2060"/>
      <c r="FO1782" s="2060"/>
      <c r="FP1782" s="2060"/>
      <c r="FQ1782" s="2060"/>
      <c r="FR1782" s="2060"/>
      <c r="FS1782" s="2060"/>
      <c r="FT1782" s="2060"/>
      <c r="FU1782" s="2060"/>
      <c r="FV1782" s="2060"/>
      <c r="FW1782" s="2060"/>
      <c r="FX1782" s="2060"/>
      <c r="FY1782" s="2060"/>
      <c r="FZ1782" s="2060"/>
      <c r="GA1782" s="2060"/>
      <c r="GB1782" s="2060"/>
      <c r="GC1782" s="2060"/>
      <c r="GD1782" s="2060"/>
      <c r="GE1782" s="2060"/>
      <c r="GF1782" s="2060"/>
      <c r="GG1782" s="2060"/>
      <c r="GH1782" s="2060"/>
      <c r="GI1782" s="2060"/>
      <c r="GJ1782" s="2060"/>
      <c r="GK1782" s="2060"/>
      <c r="GL1782" s="2060"/>
      <c r="GM1782" s="2060"/>
      <c r="GN1782" s="2060"/>
      <c r="GO1782" s="2060"/>
      <c r="GP1782" s="2060"/>
      <c r="GQ1782" s="2060"/>
      <c r="GR1782" s="2060"/>
      <c r="GS1782" s="2060"/>
      <c r="GT1782" s="2060"/>
      <c r="GU1782" s="2060"/>
      <c r="GV1782" s="2060"/>
      <c r="GW1782" s="2060"/>
      <c r="GX1782" s="2060"/>
      <c r="GY1782" s="2060"/>
      <c r="GZ1782" s="2060"/>
      <c r="HA1782" s="2060"/>
      <c r="HB1782" s="2060"/>
      <c r="HC1782" s="2060"/>
      <c r="HD1782" s="2060"/>
      <c r="HE1782" s="2060"/>
      <c r="HF1782" s="2060"/>
      <c r="HG1782" s="2060"/>
      <c r="HH1782" s="2060"/>
      <c r="HI1782" s="2060"/>
      <c r="HJ1782" s="2060"/>
      <c r="HK1782" s="2060"/>
      <c r="HL1782" s="2060"/>
      <c r="HM1782" s="2060"/>
      <c r="HN1782" s="2060"/>
      <c r="HO1782" s="2060"/>
      <c r="HP1782" s="2060"/>
      <c r="HQ1782" s="2060"/>
      <c r="HR1782" s="2060"/>
      <c r="HS1782" s="2060"/>
      <c r="HT1782" s="2060"/>
      <c r="HU1782" s="2060"/>
      <c r="HV1782" s="2060"/>
      <c r="HW1782" s="2060"/>
      <c r="HX1782" s="2060"/>
      <c r="HY1782" s="2060"/>
      <c r="HZ1782" s="2060"/>
      <c r="IA1782" s="2060"/>
      <c r="IB1782" s="2060"/>
      <c r="IC1782" s="2060"/>
      <c r="ID1782" s="2060"/>
      <c r="IE1782" s="2060"/>
      <c r="IF1782" s="2060"/>
      <c r="IG1782" s="2060"/>
      <c r="IH1782" s="2060"/>
      <c r="II1782" s="2060"/>
      <c r="IJ1782" s="2060"/>
      <c r="IK1782" s="2060"/>
      <c r="IL1782" s="2060"/>
      <c r="IM1782" s="2060"/>
      <c r="IN1782" s="2060"/>
      <c r="IO1782" s="2060"/>
      <c r="IP1782" s="2060"/>
      <c r="IQ1782" s="2060"/>
      <c r="IR1782" s="2060"/>
      <c r="IS1782" s="2060"/>
      <c r="IT1782" s="2060"/>
      <c r="IU1782" s="2060"/>
      <c r="IV1782" s="2060"/>
      <c r="IW1782" s="2060"/>
      <c r="IX1782" s="2060"/>
      <c r="IY1782" s="2060"/>
      <c r="IZ1782" s="2060"/>
      <c r="JA1782" s="2060"/>
      <c r="JB1782" s="2060"/>
      <c r="JC1782" s="2060"/>
      <c r="JD1782" s="2060"/>
      <c r="JE1782" s="2060"/>
      <c r="JF1782" s="2060"/>
      <c r="JG1782" s="2060"/>
      <c r="JH1782" s="2060"/>
      <c r="JI1782" s="2060"/>
      <c r="JJ1782" s="2060"/>
      <c r="JK1782" s="2060"/>
      <c r="JL1782" s="2060"/>
      <c r="JM1782" s="2060"/>
      <c r="JN1782" s="2060"/>
      <c r="JO1782" s="2060"/>
      <c r="JP1782" s="2060"/>
      <c r="JQ1782" s="2060"/>
      <c r="JR1782" s="2060"/>
      <c r="JS1782" s="2060"/>
      <c r="JT1782" s="2060"/>
      <c r="JU1782" s="2060"/>
      <c r="JV1782" s="2060"/>
      <c r="JW1782" s="2060"/>
      <c r="JX1782" s="2060"/>
      <c r="JY1782" s="2060"/>
      <c r="JZ1782" s="2060"/>
      <c r="KA1782" s="2060"/>
      <c r="KB1782" s="2060"/>
      <c r="KC1782" s="2060"/>
      <c r="KD1782" s="2060"/>
      <c r="KE1782" s="2060"/>
      <c r="KF1782" s="2060"/>
      <c r="KG1782" s="2060"/>
      <c r="KH1782" s="2060"/>
      <c r="KI1782" s="2060"/>
      <c r="KJ1782" s="2060"/>
      <c r="KK1782" s="2060"/>
      <c r="KL1782" s="2060"/>
      <c r="KM1782" s="2060"/>
      <c r="KN1782" s="2060"/>
      <c r="KO1782" s="2060"/>
      <c r="KP1782" s="2060"/>
      <c r="KQ1782" s="2060"/>
      <c r="KR1782" s="2060"/>
      <c r="KS1782" s="2060"/>
      <c r="KT1782" s="2060"/>
      <c r="KU1782" s="2060"/>
      <c r="KV1782" s="2060"/>
      <c r="KW1782" s="2060"/>
      <c r="KX1782" s="2060"/>
      <c r="KY1782" s="2060"/>
      <c r="KZ1782" s="2060"/>
      <c r="LA1782" s="2060"/>
      <c r="LB1782" s="2060"/>
      <c r="LC1782" s="2060"/>
      <c r="LD1782" s="2060"/>
      <c r="LE1782" s="2060"/>
      <c r="LF1782" s="2060"/>
      <c r="LG1782" s="2060"/>
      <c r="LH1782" s="2060"/>
    </row>
    <row r="1783" spans="1:320" s="1499" customFormat="1" ht="13.9">
      <c r="A1783" s="269" t="str">
        <f t="shared" si="477"/>
        <v>n</v>
      </c>
      <c r="B1783" s="2060"/>
      <c r="C1783" s="2060"/>
      <c r="D1783" s="2060"/>
      <c r="E1783" s="1661">
        <v>22</v>
      </c>
      <c r="F1783" s="1353" t="str">
        <f>F$150</f>
        <v>--</v>
      </c>
      <c r="G1783" s="128">
        <f>G$150</f>
        <v>0</v>
      </c>
      <c r="H1783" s="128" t="str">
        <f>H$150</f>
        <v>--</v>
      </c>
      <c r="I1783" s="89" t="s">
        <v>794</v>
      </c>
      <c r="J1783" s="2197" t="str">
        <f>IF($G1783=0,"",IFERROR(_xll.ciqfunctions.udf.CIQ($G1783,$I1783,J$1557,Valuation_Date_GC,ReportType,DataMode,$H1783,FXMode),"n/a"))</f>
        <v/>
      </c>
      <c r="K1783" s="2197" t="str">
        <f>IF($G1783=0,"",IFERROR(_xll.ciqfunctions.udf.CIQ($G1783,$I1783,K$1557,Valuation_Date_GC,ReportType,DataMode,$H1783,FXMode),"n/a"))</f>
        <v/>
      </c>
      <c r="L1783" s="2197" t="str">
        <f>IF($G1783=0,"",IFERROR(_xll.ciqfunctions.udf.CIQ($G1783,$I1783,L$1557,Valuation_Date_GC,ReportType,DataMode,$H1783,FXMode),"n/a"))</f>
        <v/>
      </c>
      <c r="M1783" s="2197" t="str">
        <f>IF($G1783=0,"",IFERROR(_xll.ciqfunctions.udf.CIQ($G1783,$I1783,M$1557,Valuation_Date_GC,ReportType,DataMode,$H1783,FXMode),"n/a"))</f>
        <v/>
      </c>
      <c r="N1783" s="2197" t="str">
        <f>IF($G1783=0,"",IFERROR(_xll.ciqfunctions.udf.CIQ($G1783,$I1783,N$1557,Valuation_Date_GC,ReportType,DataMode,$H1783,FXMode),"n/a"))</f>
        <v/>
      </c>
      <c r="O1783" s="2197" t="str">
        <f>IF($G1783=0,"",IFERROR(_xll.ciqfunctions.udf.CIQ($G1783,$I1783,O$1557,Valuation_Date_GC,ReportType,DataMode,$H1783,FXMode),"n/a"))</f>
        <v/>
      </c>
      <c r="P1783" s="2197" t="str">
        <f>IF($G1783=0,"",IFERROR(_xll.ciqfunctions.udf.CIQ($G1783,$I1783,P$1557,Valuation_Date_GC,ReportType,DataMode,$H1783,FXMode),"n/a"))</f>
        <v/>
      </c>
      <c r="Q1783" s="2197" t="str">
        <f>IF($G1783=0,"",IFERROR(_xll.ciqfunctions.udf.CIQ($G1783,$I1783,Q$1557,Valuation_Date_GC,ReportType,DataMode,$H1783,FXMode),"n/a"))</f>
        <v/>
      </c>
      <c r="R1783" s="2197" t="str">
        <f>IF($G1783=0,"",IFERROR(_xll.ciqfunctions.udf.CIQ($G1783,$I1783,R$1557,Valuation_Date_GC,ReportType,DataMode,$H1783,FXMode),"n/a"))</f>
        <v/>
      </c>
      <c r="S1783" s="2197" t="str">
        <f>IF($G1783=0,"",IFERROR(_xll.ciqfunctions.udf.CIQ($G1783,$I1783,S$1557,Valuation_Date_GC,ReportType,DataMode,$H1783,FXMode),"n/a"))</f>
        <v/>
      </c>
      <c r="T1783" s="2197" t="str">
        <f>IF($G1783=0,"",IFERROR(_xll.ciqfunctions.udf.CIQ($G1783,$I1783,T$1557,Valuation_Date_GC,ReportType,DataMode,$H1783,FXMode),"n/a"))</f>
        <v/>
      </c>
      <c r="U1783" s="2197" t="str">
        <f>IF($G1783=0,"",IFERROR(_xll.ciqfunctions.udf.CIQ($G1783,$I1783,U$1557,Valuation_Date_GC,ReportType,DataMode,$H1783,FXMode),"n/a"))</f>
        <v/>
      </c>
      <c r="V1783" s="2197" t="str">
        <f>IF($G1783=0,"",IFERROR(_xll.ciqfunctions.udf.CIQ($G1783,$I1783,V$1557,Valuation_Date_GC,ReportType,DataMode,$H1783,FXMode),"n/a"))</f>
        <v/>
      </c>
      <c r="W1783" s="1479"/>
      <c r="X1783" s="255"/>
      <c r="Y1783" s="255"/>
      <c r="Z1783" s="2060"/>
      <c r="AA1783" s="2060"/>
      <c r="AB1783" s="2060"/>
      <c r="AC1783" s="2060"/>
      <c r="AD1783" s="2060"/>
      <c r="AE1783" s="2060"/>
      <c r="AF1783" s="2060"/>
      <c r="AG1783" s="2060"/>
      <c r="AH1783" s="2060"/>
      <c r="AI1783" s="2060"/>
      <c r="AJ1783" s="2060"/>
      <c r="AK1783" s="2060"/>
      <c r="AL1783" s="2060"/>
      <c r="AM1783" s="2060"/>
      <c r="AN1783" s="2060"/>
      <c r="AO1783" s="2060"/>
      <c r="AP1783" s="2060"/>
      <c r="AQ1783" s="2060"/>
      <c r="AR1783" s="2060"/>
      <c r="AS1783" s="2060"/>
      <c r="AT1783" s="2060"/>
      <c r="AU1783" s="2060"/>
      <c r="AV1783" s="2060"/>
      <c r="AW1783" s="2060"/>
      <c r="AX1783" s="2060"/>
      <c r="AY1783" s="2060"/>
      <c r="AZ1783" s="2060"/>
      <c r="BA1783" s="2060"/>
      <c r="BB1783" s="2060"/>
      <c r="BC1783" s="2060"/>
      <c r="BD1783" s="2060"/>
      <c r="BE1783" s="2060"/>
      <c r="BF1783" s="2060"/>
      <c r="BG1783" s="2060"/>
      <c r="BH1783" s="2060"/>
      <c r="BI1783" s="2060"/>
      <c r="BJ1783" s="2060"/>
      <c r="BK1783" s="2060"/>
      <c r="BL1783" s="2060"/>
      <c r="BM1783" s="2060"/>
      <c r="BN1783" s="2060"/>
      <c r="BO1783" s="2060"/>
      <c r="BP1783" s="2060"/>
      <c r="BQ1783" s="2060"/>
      <c r="BR1783" s="2060"/>
      <c r="BS1783" s="2060"/>
      <c r="BT1783" s="2060"/>
      <c r="BU1783" s="2060"/>
      <c r="BV1783" s="2060"/>
      <c r="BW1783" s="2060"/>
      <c r="BX1783" s="2060"/>
      <c r="BY1783" s="2060"/>
      <c r="BZ1783" s="2060"/>
      <c r="CA1783" s="2060"/>
      <c r="CB1783" s="2060"/>
      <c r="CC1783" s="2060"/>
      <c r="CD1783" s="2060"/>
      <c r="CE1783" s="2060"/>
      <c r="CF1783" s="2060"/>
      <c r="CG1783" s="2060"/>
      <c r="CH1783" s="2060"/>
      <c r="CI1783" s="2060"/>
      <c r="CJ1783" s="2060"/>
      <c r="CK1783" s="2060"/>
      <c r="CL1783" s="2060"/>
      <c r="CM1783" s="2060"/>
      <c r="CN1783" s="2060"/>
      <c r="CO1783" s="2060"/>
      <c r="CP1783" s="2060"/>
      <c r="CQ1783" s="2060"/>
      <c r="CR1783" s="2060"/>
      <c r="CS1783" s="2060"/>
      <c r="CT1783" s="2060"/>
      <c r="CU1783" s="2060"/>
      <c r="CV1783" s="2060"/>
      <c r="CW1783" s="2060"/>
      <c r="CX1783" s="2060"/>
      <c r="CY1783" s="2060"/>
      <c r="CZ1783" s="2060"/>
      <c r="DA1783" s="2060"/>
      <c r="DB1783" s="2060"/>
      <c r="DC1783" s="2060"/>
      <c r="DD1783" s="2060"/>
      <c r="DE1783" s="2060"/>
      <c r="DF1783" s="2060"/>
      <c r="DG1783" s="2060"/>
      <c r="DH1783" s="2060"/>
      <c r="DI1783" s="2060"/>
      <c r="DJ1783" s="2060"/>
      <c r="DK1783" s="2060"/>
      <c r="DL1783" s="2060"/>
      <c r="DM1783" s="2060"/>
      <c r="DN1783" s="2060"/>
      <c r="DO1783" s="2060"/>
      <c r="DP1783" s="2060"/>
      <c r="DQ1783" s="2060"/>
      <c r="DR1783" s="2060"/>
      <c r="DS1783" s="2060"/>
      <c r="DT1783" s="2060"/>
      <c r="DU1783" s="2060"/>
      <c r="DV1783" s="2060"/>
      <c r="DW1783" s="2060"/>
      <c r="DX1783" s="2060"/>
      <c r="DY1783" s="2060"/>
      <c r="DZ1783" s="2060"/>
      <c r="EA1783" s="2060"/>
      <c r="EB1783" s="2060"/>
      <c r="EC1783" s="2060"/>
      <c r="ED1783" s="2060"/>
      <c r="EE1783" s="2060"/>
      <c r="EF1783" s="2060"/>
      <c r="EG1783" s="2060"/>
      <c r="EH1783" s="2060"/>
      <c r="EI1783" s="2060"/>
      <c r="EJ1783" s="2060"/>
      <c r="EK1783" s="2060"/>
      <c r="EL1783" s="2060"/>
      <c r="EM1783" s="2060"/>
      <c r="EN1783" s="2060"/>
      <c r="EO1783" s="2060"/>
      <c r="EP1783" s="2060"/>
      <c r="EQ1783" s="2060"/>
      <c r="ER1783" s="2060"/>
      <c r="ES1783" s="2060"/>
      <c r="ET1783" s="2060"/>
      <c r="EU1783" s="2060"/>
      <c r="EV1783" s="2060"/>
      <c r="EW1783" s="2060"/>
      <c r="EX1783" s="2060"/>
      <c r="EY1783" s="2060"/>
      <c r="EZ1783" s="2060"/>
      <c r="FA1783" s="2060"/>
      <c r="FB1783" s="2060"/>
      <c r="FC1783" s="2060"/>
      <c r="FD1783" s="2060"/>
      <c r="FE1783" s="2060"/>
      <c r="FF1783" s="2060"/>
      <c r="FG1783" s="2060"/>
      <c r="FH1783" s="2060"/>
      <c r="FI1783" s="2060"/>
      <c r="FJ1783" s="2060"/>
      <c r="FK1783" s="2060"/>
      <c r="FL1783" s="2060"/>
      <c r="FM1783" s="2060"/>
      <c r="FN1783" s="2060"/>
      <c r="FO1783" s="2060"/>
      <c r="FP1783" s="2060"/>
      <c r="FQ1783" s="2060"/>
      <c r="FR1783" s="2060"/>
      <c r="FS1783" s="2060"/>
      <c r="FT1783" s="2060"/>
      <c r="FU1783" s="2060"/>
      <c r="FV1783" s="2060"/>
      <c r="FW1783" s="2060"/>
      <c r="FX1783" s="2060"/>
      <c r="FY1783" s="2060"/>
      <c r="FZ1783" s="2060"/>
      <c r="GA1783" s="2060"/>
      <c r="GB1783" s="2060"/>
      <c r="GC1783" s="2060"/>
      <c r="GD1783" s="2060"/>
      <c r="GE1783" s="2060"/>
      <c r="GF1783" s="2060"/>
      <c r="GG1783" s="2060"/>
      <c r="GH1783" s="2060"/>
      <c r="GI1783" s="2060"/>
      <c r="GJ1783" s="2060"/>
      <c r="GK1783" s="2060"/>
      <c r="GL1783" s="2060"/>
      <c r="GM1783" s="2060"/>
      <c r="GN1783" s="2060"/>
      <c r="GO1783" s="2060"/>
      <c r="GP1783" s="2060"/>
      <c r="GQ1783" s="2060"/>
      <c r="GR1783" s="2060"/>
      <c r="GS1783" s="2060"/>
      <c r="GT1783" s="2060"/>
      <c r="GU1783" s="2060"/>
      <c r="GV1783" s="2060"/>
      <c r="GW1783" s="2060"/>
      <c r="GX1783" s="2060"/>
      <c r="GY1783" s="2060"/>
      <c r="GZ1783" s="2060"/>
      <c r="HA1783" s="2060"/>
      <c r="HB1783" s="2060"/>
      <c r="HC1783" s="2060"/>
      <c r="HD1783" s="2060"/>
      <c r="HE1783" s="2060"/>
      <c r="HF1783" s="2060"/>
      <c r="HG1783" s="2060"/>
      <c r="HH1783" s="2060"/>
      <c r="HI1783" s="2060"/>
      <c r="HJ1783" s="2060"/>
      <c r="HK1783" s="2060"/>
      <c r="HL1783" s="2060"/>
      <c r="HM1783" s="2060"/>
      <c r="HN1783" s="2060"/>
      <c r="HO1783" s="2060"/>
      <c r="HP1783" s="2060"/>
      <c r="HQ1783" s="2060"/>
      <c r="HR1783" s="2060"/>
      <c r="HS1783" s="2060"/>
      <c r="HT1783" s="2060"/>
      <c r="HU1783" s="2060"/>
      <c r="HV1783" s="2060"/>
      <c r="HW1783" s="2060"/>
      <c r="HX1783" s="2060"/>
      <c r="HY1783" s="2060"/>
      <c r="HZ1783" s="2060"/>
      <c r="IA1783" s="2060"/>
      <c r="IB1783" s="2060"/>
      <c r="IC1783" s="2060"/>
      <c r="ID1783" s="2060"/>
      <c r="IE1783" s="2060"/>
      <c r="IF1783" s="2060"/>
      <c r="IG1783" s="2060"/>
      <c r="IH1783" s="2060"/>
      <c r="II1783" s="2060"/>
      <c r="IJ1783" s="2060"/>
      <c r="IK1783" s="2060"/>
      <c r="IL1783" s="2060"/>
      <c r="IM1783" s="2060"/>
      <c r="IN1783" s="2060"/>
      <c r="IO1783" s="2060"/>
      <c r="IP1783" s="2060"/>
      <c r="IQ1783" s="2060"/>
      <c r="IR1783" s="2060"/>
      <c r="IS1783" s="2060"/>
      <c r="IT1783" s="2060"/>
      <c r="IU1783" s="2060"/>
      <c r="IV1783" s="2060"/>
      <c r="IW1783" s="2060"/>
      <c r="IX1783" s="2060"/>
      <c r="IY1783" s="2060"/>
      <c r="IZ1783" s="2060"/>
      <c r="JA1783" s="2060"/>
      <c r="JB1783" s="2060"/>
      <c r="JC1783" s="2060"/>
      <c r="JD1783" s="2060"/>
      <c r="JE1783" s="2060"/>
      <c r="JF1783" s="2060"/>
      <c r="JG1783" s="2060"/>
      <c r="JH1783" s="2060"/>
      <c r="JI1783" s="2060"/>
      <c r="JJ1783" s="2060"/>
      <c r="JK1783" s="2060"/>
      <c r="JL1783" s="2060"/>
      <c r="JM1783" s="2060"/>
      <c r="JN1783" s="2060"/>
      <c r="JO1783" s="2060"/>
      <c r="JP1783" s="2060"/>
      <c r="JQ1783" s="2060"/>
      <c r="JR1783" s="2060"/>
      <c r="JS1783" s="2060"/>
      <c r="JT1783" s="2060"/>
      <c r="JU1783" s="2060"/>
      <c r="JV1783" s="2060"/>
      <c r="JW1783" s="2060"/>
      <c r="JX1783" s="2060"/>
      <c r="JY1783" s="2060"/>
      <c r="JZ1783" s="2060"/>
      <c r="KA1783" s="2060"/>
      <c r="KB1783" s="2060"/>
      <c r="KC1783" s="2060"/>
      <c r="KD1783" s="2060"/>
      <c r="KE1783" s="2060"/>
      <c r="KF1783" s="2060"/>
      <c r="KG1783" s="2060"/>
      <c r="KH1783" s="2060"/>
      <c r="KI1783" s="2060"/>
      <c r="KJ1783" s="2060"/>
      <c r="KK1783" s="2060"/>
      <c r="KL1783" s="2060"/>
      <c r="KM1783" s="2060"/>
      <c r="KN1783" s="2060"/>
      <c r="KO1783" s="2060"/>
      <c r="KP1783" s="2060"/>
      <c r="KQ1783" s="2060"/>
      <c r="KR1783" s="2060"/>
      <c r="KS1783" s="2060"/>
      <c r="KT1783" s="2060"/>
      <c r="KU1783" s="2060"/>
      <c r="KV1783" s="2060"/>
      <c r="KW1783" s="2060"/>
      <c r="KX1783" s="2060"/>
      <c r="KY1783" s="2060"/>
      <c r="KZ1783" s="2060"/>
      <c r="LA1783" s="2060"/>
      <c r="LB1783" s="2060"/>
      <c r="LC1783" s="2060"/>
      <c r="LD1783" s="2060"/>
      <c r="LE1783" s="2060"/>
      <c r="LF1783" s="2060"/>
      <c r="LG1783" s="2060"/>
      <c r="LH1783" s="2060"/>
    </row>
    <row r="1784" spans="1:320" s="1499" customFormat="1" ht="13.9">
      <c r="A1784" s="269" t="str">
        <f t="shared" si="477"/>
        <v>n</v>
      </c>
      <c r="B1784" s="2060"/>
      <c r="C1784" s="2060"/>
      <c r="D1784" s="2060"/>
      <c r="E1784" s="1661">
        <v>23</v>
      </c>
      <c r="F1784" s="1353" t="str">
        <f>F$151</f>
        <v>--</v>
      </c>
      <c r="G1784" s="128">
        <f>G$151</f>
        <v>0</v>
      </c>
      <c r="H1784" s="128" t="str">
        <f>H$151</f>
        <v>--</v>
      </c>
      <c r="I1784" s="89" t="s">
        <v>794</v>
      </c>
      <c r="J1784" s="2197" t="str">
        <f>IF($G1784=0,"",IFERROR(_xll.ciqfunctions.udf.CIQ($G1784,$I1784,J$1557,Valuation_Date_GC,ReportType,DataMode,$H1784,FXMode),"n/a"))</f>
        <v/>
      </c>
      <c r="K1784" s="2197" t="str">
        <f>IF($G1784=0,"",IFERROR(_xll.ciqfunctions.udf.CIQ($G1784,$I1784,K$1557,Valuation_Date_GC,ReportType,DataMode,$H1784,FXMode),"n/a"))</f>
        <v/>
      </c>
      <c r="L1784" s="2197" t="str">
        <f>IF($G1784=0,"",IFERROR(_xll.ciqfunctions.udf.CIQ($G1784,$I1784,L$1557,Valuation_Date_GC,ReportType,DataMode,$H1784,FXMode),"n/a"))</f>
        <v/>
      </c>
      <c r="M1784" s="2197" t="str">
        <f>IF($G1784=0,"",IFERROR(_xll.ciqfunctions.udf.CIQ($G1784,$I1784,M$1557,Valuation_Date_GC,ReportType,DataMode,$H1784,FXMode),"n/a"))</f>
        <v/>
      </c>
      <c r="N1784" s="2197" t="str">
        <f>IF($G1784=0,"",IFERROR(_xll.ciqfunctions.udf.CIQ($G1784,$I1784,N$1557,Valuation_Date_GC,ReportType,DataMode,$H1784,FXMode),"n/a"))</f>
        <v/>
      </c>
      <c r="O1784" s="2197" t="str">
        <f>IF($G1784=0,"",IFERROR(_xll.ciqfunctions.udf.CIQ($G1784,$I1784,O$1557,Valuation_Date_GC,ReportType,DataMode,$H1784,FXMode),"n/a"))</f>
        <v/>
      </c>
      <c r="P1784" s="2197" t="str">
        <f>IF($G1784=0,"",IFERROR(_xll.ciqfunctions.udf.CIQ($G1784,$I1784,P$1557,Valuation_Date_GC,ReportType,DataMode,$H1784,FXMode),"n/a"))</f>
        <v/>
      </c>
      <c r="Q1784" s="2197" t="str">
        <f>IF($G1784=0,"",IFERROR(_xll.ciqfunctions.udf.CIQ($G1784,$I1784,Q$1557,Valuation_Date_GC,ReportType,DataMode,$H1784,FXMode),"n/a"))</f>
        <v/>
      </c>
      <c r="R1784" s="2197" t="str">
        <f>IF($G1784=0,"",IFERROR(_xll.ciqfunctions.udf.CIQ($G1784,$I1784,R$1557,Valuation_Date_GC,ReportType,DataMode,$H1784,FXMode),"n/a"))</f>
        <v/>
      </c>
      <c r="S1784" s="2197" t="str">
        <f>IF($G1784=0,"",IFERROR(_xll.ciqfunctions.udf.CIQ($G1784,$I1784,S$1557,Valuation_Date_GC,ReportType,DataMode,$H1784,FXMode),"n/a"))</f>
        <v/>
      </c>
      <c r="T1784" s="2197" t="str">
        <f>IF($G1784=0,"",IFERROR(_xll.ciqfunctions.udf.CIQ($G1784,$I1784,T$1557,Valuation_Date_GC,ReportType,DataMode,$H1784,FXMode),"n/a"))</f>
        <v/>
      </c>
      <c r="U1784" s="2197" t="str">
        <f>IF($G1784=0,"",IFERROR(_xll.ciqfunctions.udf.CIQ($G1784,$I1784,U$1557,Valuation_Date_GC,ReportType,DataMode,$H1784,FXMode),"n/a"))</f>
        <v/>
      </c>
      <c r="V1784" s="2197" t="str">
        <f>IF($G1784=0,"",IFERROR(_xll.ciqfunctions.udf.CIQ($G1784,$I1784,V$1557,Valuation_Date_GC,ReportType,DataMode,$H1784,FXMode),"n/a"))</f>
        <v/>
      </c>
      <c r="W1784" s="1479"/>
      <c r="X1784" s="255"/>
      <c r="Y1784" s="255"/>
      <c r="Z1784" s="2060"/>
      <c r="AA1784" s="2060"/>
      <c r="AB1784" s="2060"/>
      <c r="AC1784" s="2060"/>
      <c r="AD1784" s="2060"/>
      <c r="AE1784" s="2060"/>
      <c r="AF1784" s="2060"/>
      <c r="AG1784" s="2060"/>
      <c r="AH1784" s="2060"/>
      <c r="AI1784" s="2060"/>
      <c r="AJ1784" s="2060"/>
      <c r="AK1784" s="2060"/>
      <c r="AL1784" s="2060"/>
      <c r="AM1784" s="2060"/>
      <c r="AN1784" s="2060"/>
      <c r="AO1784" s="2060"/>
      <c r="AP1784" s="2060"/>
      <c r="AQ1784" s="2060"/>
      <c r="AR1784" s="2060"/>
      <c r="AS1784" s="2060"/>
      <c r="AT1784" s="2060"/>
      <c r="AU1784" s="2060"/>
      <c r="AV1784" s="2060"/>
      <c r="AW1784" s="2060"/>
      <c r="AX1784" s="2060"/>
      <c r="AY1784" s="2060"/>
      <c r="AZ1784" s="2060"/>
      <c r="BA1784" s="2060"/>
      <c r="BB1784" s="2060"/>
      <c r="BC1784" s="2060"/>
      <c r="BD1784" s="2060"/>
      <c r="BE1784" s="2060"/>
      <c r="BF1784" s="2060"/>
      <c r="BG1784" s="2060"/>
      <c r="BH1784" s="2060"/>
      <c r="BI1784" s="2060"/>
      <c r="BJ1784" s="2060"/>
      <c r="BK1784" s="2060"/>
      <c r="BL1784" s="2060"/>
      <c r="BM1784" s="2060"/>
      <c r="BN1784" s="2060"/>
      <c r="BO1784" s="2060"/>
      <c r="BP1784" s="2060"/>
      <c r="BQ1784" s="2060"/>
      <c r="BR1784" s="2060"/>
      <c r="BS1784" s="2060"/>
      <c r="BT1784" s="2060"/>
      <c r="BU1784" s="2060"/>
      <c r="BV1784" s="2060"/>
      <c r="BW1784" s="2060"/>
      <c r="BX1784" s="2060"/>
      <c r="BY1784" s="2060"/>
      <c r="BZ1784" s="2060"/>
      <c r="CA1784" s="2060"/>
      <c r="CB1784" s="2060"/>
      <c r="CC1784" s="2060"/>
      <c r="CD1784" s="2060"/>
      <c r="CE1784" s="2060"/>
      <c r="CF1784" s="2060"/>
      <c r="CG1784" s="2060"/>
      <c r="CH1784" s="2060"/>
      <c r="CI1784" s="2060"/>
      <c r="CJ1784" s="2060"/>
      <c r="CK1784" s="2060"/>
      <c r="CL1784" s="2060"/>
      <c r="CM1784" s="2060"/>
      <c r="CN1784" s="2060"/>
      <c r="CO1784" s="2060"/>
      <c r="CP1784" s="2060"/>
      <c r="CQ1784" s="2060"/>
      <c r="CR1784" s="2060"/>
      <c r="CS1784" s="2060"/>
      <c r="CT1784" s="2060"/>
      <c r="CU1784" s="2060"/>
      <c r="CV1784" s="2060"/>
      <c r="CW1784" s="2060"/>
      <c r="CX1784" s="2060"/>
      <c r="CY1784" s="2060"/>
      <c r="CZ1784" s="2060"/>
      <c r="DA1784" s="2060"/>
      <c r="DB1784" s="2060"/>
      <c r="DC1784" s="2060"/>
      <c r="DD1784" s="2060"/>
      <c r="DE1784" s="2060"/>
      <c r="DF1784" s="2060"/>
      <c r="DG1784" s="2060"/>
      <c r="DH1784" s="2060"/>
      <c r="DI1784" s="2060"/>
      <c r="DJ1784" s="2060"/>
      <c r="DK1784" s="2060"/>
      <c r="DL1784" s="2060"/>
      <c r="DM1784" s="2060"/>
      <c r="DN1784" s="2060"/>
      <c r="DO1784" s="2060"/>
      <c r="DP1784" s="2060"/>
      <c r="DQ1784" s="2060"/>
      <c r="DR1784" s="2060"/>
      <c r="DS1784" s="2060"/>
      <c r="DT1784" s="2060"/>
      <c r="DU1784" s="2060"/>
      <c r="DV1784" s="2060"/>
      <c r="DW1784" s="2060"/>
      <c r="DX1784" s="2060"/>
      <c r="DY1784" s="2060"/>
      <c r="DZ1784" s="2060"/>
      <c r="EA1784" s="2060"/>
      <c r="EB1784" s="2060"/>
      <c r="EC1784" s="2060"/>
      <c r="ED1784" s="2060"/>
      <c r="EE1784" s="2060"/>
      <c r="EF1784" s="2060"/>
      <c r="EG1784" s="2060"/>
      <c r="EH1784" s="2060"/>
      <c r="EI1784" s="2060"/>
      <c r="EJ1784" s="2060"/>
      <c r="EK1784" s="2060"/>
      <c r="EL1784" s="2060"/>
      <c r="EM1784" s="2060"/>
      <c r="EN1784" s="2060"/>
      <c r="EO1784" s="2060"/>
      <c r="EP1784" s="2060"/>
      <c r="EQ1784" s="2060"/>
      <c r="ER1784" s="2060"/>
      <c r="ES1784" s="2060"/>
      <c r="ET1784" s="2060"/>
      <c r="EU1784" s="2060"/>
      <c r="EV1784" s="2060"/>
      <c r="EW1784" s="2060"/>
      <c r="EX1784" s="2060"/>
      <c r="EY1784" s="2060"/>
      <c r="EZ1784" s="2060"/>
      <c r="FA1784" s="2060"/>
      <c r="FB1784" s="2060"/>
      <c r="FC1784" s="2060"/>
      <c r="FD1784" s="2060"/>
      <c r="FE1784" s="2060"/>
      <c r="FF1784" s="2060"/>
      <c r="FG1784" s="2060"/>
      <c r="FH1784" s="2060"/>
      <c r="FI1784" s="2060"/>
      <c r="FJ1784" s="2060"/>
      <c r="FK1784" s="2060"/>
      <c r="FL1784" s="2060"/>
      <c r="FM1784" s="2060"/>
      <c r="FN1784" s="2060"/>
      <c r="FO1784" s="2060"/>
      <c r="FP1784" s="2060"/>
      <c r="FQ1784" s="2060"/>
      <c r="FR1784" s="2060"/>
      <c r="FS1784" s="2060"/>
      <c r="FT1784" s="2060"/>
      <c r="FU1784" s="2060"/>
      <c r="FV1784" s="2060"/>
      <c r="FW1784" s="2060"/>
      <c r="FX1784" s="2060"/>
      <c r="FY1784" s="2060"/>
      <c r="FZ1784" s="2060"/>
      <c r="GA1784" s="2060"/>
      <c r="GB1784" s="2060"/>
      <c r="GC1784" s="2060"/>
      <c r="GD1784" s="2060"/>
      <c r="GE1784" s="2060"/>
      <c r="GF1784" s="2060"/>
      <c r="GG1784" s="2060"/>
      <c r="GH1784" s="2060"/>
      <c r="GI1784" s="2060"/>
      <c r="GJ1784" s="2060"/>
      <c r="GK1784" s="2060"/>
      <c r="GL1784" s="2060"/>
      <c r="GM1784" s="2060"/>
      <c r="GN1784" s="2060"/>
      <c r="GO1784" s="2060"/>
      <c r="GP1784" s="2060"/>
      <c r="GQ1784" s="2060"/>
      <c r="GR1784" s="2060"/>
      <c r="GS1784" s="2060"/>
      <c r="GT1784" s="2060"/>
      <c r="GU1784" s="2060"/>
      <c r="GV1784" s="2060"/>
      <c r="GW1784" s="2060"/>
      <c r="GX1784" s="2060"/>
      <c r="GY1784" s="2060"/>
      <c r="GZ1784" s="2060"/>
      <c r="HA1784" s="2060"/>
      <c r="HB1784" s="2060"/>
      <c r="HC1784" s="2060"/>
      <c r="HD1784" s="2060"/>
      <c r="HE1784" s="2060"/>
      <c r="HF1784" s="2060"/>
      <c r="HG1784" s="2060"/>
      <c r="HH1784" s="2060"/>
      <c r="HI1784" s="2060"/>
      <c r="HJ1784" s="2060"/>
      <c r="HK1784" s="2060"/>
      <c r="HL1784" s="2060"/>
      <c r="HM1784" s="2060"/>
      <c r="HN1784" s="2060"/>
      <c r="HO1784" s="2060"/>
      <c r="HP1784" s="2060"/>
      <c r="HQ1784" s="2060"/>
      <c r="HR1784" s="2060"/>
      <c r="HS1784" s="2060"/>
      <c r="HT1784" s="2060"/>
      <c r="HU1784" s="2060"/>
      <c r="HV1784" s="2060"/>
      <c r="HW1784" s="2060"/>
      <c r="HX1784" s="2060"/>
      <c r="HY1784" s="2060"/>
      <c r="HZ1784" s="2060"/>
      <c r="IA1784" s="2060"/>
      <c r="IB1784" s="2060"/>
      <c r="IC1784" s="2060"/>
      <c r="ID1784" s="2060"/>
      <c r="IE1784" s="2060"/>
      <c r="IF1784" s="2060"/>
      <c r="IG1784" s="2060"/>
      <c r="IH1784" s="2060"/>
      <c r="II1784" s="2060"/>
      <c r="IJ1784" s="2060"/>
      <c r="IK1784" s="2060"/>
      <c r="IL1784" s="2060"/>
      <c r="IM1784" s="2060"/>
      <c r="IN1784" s="2060"/>
      <c r="IO1784" s="2060"/>
      <c r="IP1784" s="2060"/>
      <c r="IQ1784" s="2060"/>
      <c r="IR1784" s="2060"/>
      <c r="IS1784" s="2060"/>
      <c r="IT1784" s="2060"/>
      <c r="IU1784" s="2060"/>
      <c r="IV1784" s="2060"/>
      <c r="IW1784" s="2060"/>
      <c r="IX1784" s="2060"/>
      <c r="IY1784" s="2060"/>
      <c r="IZ1784" s="2060"/>
      <c r="JA1784" s="2060"/>
      <c r="JB1784" s="2060"/>
      <c r="JC1784" s="2060"/>
      <c r="JD1784" s="2060"/>
      <c r="JE1784" s="2060"/>
      <c r="JF1784" s="2060"/>
      <c r="JG1784" s="2060"/>
      <c r="JH1784" s="2060"/>
      <c r="JI1784" s="2060"/>
      <c r="JJ1784" s="2060"/>
      <c r="JK1784" s="2060"/>
      <c r="JL1784" s="2060"/>
      <c r="JM1784" s="2060"/>
      <c r="JN1784" s="2060"/>
      <c r="JO1784" s="2060"/>
      <c r="JP1784" s="2060"/>
      <c r="JQ1784" s="2060"/>
      <c r="JR1784" s="2060"/>
      <c r="JS1784" s="2060"/>
      <c r="JT1784" s="2060"/>
      <c r="JU1784" s="2060"/>
      <c r="JV1784" s="2060"/>
      <c r="JW1784" s="2060"/>
      <c r="JX1784" s="2060"/>
      <c r="JY1784" s="2060"/>
      <c r="JZ1784" s="2060"/>
      <c r="KA1784" s="2060"/>
      <c r="KB1784" s="2060"/>
      <c r="KC1784" s="2060"/>
      <c r="KD1784" s="2060"/>
      <c r="KE1784" s="2060"/>
      <c r="KF1784" s="2060"/>
      <c r="KG1784" s="2060"/>
      <c r="KH1784" s="2060"/>
      <c r="KI1784" s="2060"/>
      <c r="KJ1784" s="2060"/>
      <c r="KK1784" s="2060"/>
      <c r="KL1784" s="2060"/>
      <c r="KM1784" s="2060"/>
      <c r="KN1784" s="2060"/>
      <c r="KO1784" s="2060"/>
      <c r="KP1784" s="2060"/>
      <c r="KQ1784" s="2060"/>
      <c r="KR1784" s="2060"/>
      <c r="KS1784" s="2060"/>
      <c r="KT1784" s="2060"/>
      <c r="KU1784" s="2060"/>
      <c r="KV1784" s="2060"/>
      <c r="KW1784" s="2060"/>
      <c r="KX1784" s="2060"/>
      <c r="KY1784" s="2060"/>
      <c r="KZ1784" s="2060"/>
      <c r="LA1784" s="2060"/>
      <c r="LB1784" s="2060"/>
      <c r="LC1784" s="2060"/>
      <c r="LD1784" s="2060"/>
      <c r="LE1784" s="2060"/>
      <c r="LF1784" s="2060"/>
      <c r="LG1784" s="2060"/>
      <c r="LH1784" s="2060"/>
    </row>
    <row r="1785" spans="1:320" s="1499" customFormat="1" ht="13.9">
      <c r="A1785" s="269" t="str">
        <f t="shared" si="477"/>
        <v>n</v>
      </c>
      <c r="B1785" s="2060"/>
      <c r="C1785" s="2060"/>
      <c r="D1785" s="2060"/>
      <c r="E1785" s="1661">
        <v>24</v>
      </c>
      <c r="F1785" s="1353" t="str">
        <f>F$152</f>
        <v>--</v>
      </c>
      <c r="G1785" s="128">
        <f>G$152</f>
        <v>0</v>
      </c>
      <c r="H1785" s="128" t="str">
        <f>H$152</f>
        <v>--</v>
      </c>
      <c r="I1785" s="89" t="s">
        <v>794</v>
      </c>
      <c r="J1785" s="2197" t="str">
        <f>IF($G1785=0,"",IFERROR(_xll.ciqfunctions.udf.CIQ($G1785,$I1785,J$1557,Valuation_Date_GC,ReportType,DataMode,$H1785,FXMode),"n/a"))</f>
        <v/>
      </c>
      <c r="K1785" s="2197" t="str">
        <f>IF($G1785=0,"",IFERROR(_xll.ciqfunctions.udf.CIQ($G1785,$I1785,K$1557,Valuation_Date_GC,ReportType,DataMode,$H1785,FXMode),"n/a"))</f>
        <v/>
      </c>
      <c r="L1785" s="2197" t="str">
        <f>IF($G1785=0,"",IFERROR(_xll.ciqfunctions.udf.CIQ($G1785,$I1785,L$1557,Valuation_Date_GC,ReportType,DataMode,$H1785,FXMode),"n/a"))</f>
        <v/>
      </c>
      <c r="M1785" s="2197" t="str">
        <f>IF($G1785=0,"",IFERROR(_xll.ciqfunctions.udf.CIQ($G1785,$I1785,M$1557,Valuation_Date_GC,ReportType,DataMode,$H1785,FXMode),"n/a"))</f>
        <v/>
      </c>
      <c r="N1785" s="2197" t="str">
        <f>IF($G1785=0,"",IFERROR(_xll.ciqfunctions.udf.CIQ($G1785,$I1785,N$1557,Valuation_Date_GC,ReportType,DataMode,$H1785,FXMode),"n/a"))</f>
        <v/>
      </c>
      <c r="O1785" s="2197" t="str">
        <f>IF($G1785=0,"",IFERROR(_xll.ciqfunctions.udf.CIQ($G1785,$I1785,O$1557,Valuation_Date_GC,ReportType,DataMode,$H1785,FXMode),"n/a"))</f>
        <v/>
      </c>
      <c r="P1785" s="2197" t="str">
        <f>IF($G1785=0,"",IFERROR(_xll.ciqfunctions.udf.CIQ($G1785,$I1785,P$1557,Valuation_Date_GC,ReportType,DataMode,$H1785,FXMode),"n/a"))</f>
        <v/>
      </c>
      <c r="Q1785" s="2197" t="str">
        <f>IF($G1785=0,"",IFERROR(_xll.ciqfunctions.udf.CIQ($G1785,$I1785,Q$1557,Valuation_Date_GC,ReportType,DataMode,$H1785,FXMode),"n/a"))</f>
        <v/>
      </c>
      <c r="R1785" s="2197" t="str">
        <f>IF($G1785=0,"",IFERROR(_xll.ciqfunctions.udf.CIQ($G1785,$I1785,R$1557,Valuation_Date_GC,ReportType,DataMode,$H1785,FXMode),"n/a"))</f>
        <v/>
      </c>
      <c r="S1785" s="2197" t="str">
        <f>IF($G1785=0,"",IFERROR(_xll.ciqfunctions.udf.CIQ($G1785,$I1785,S$1557,Valuation_Date_GC,ReportType,DataMode,$H1785,FXMode),"n/a"))</f>
        <v/>
      </c>
      <c r="T1785" s="2197" t="str">
        <f>IF($G1785=0,"",IFERROR(_xll.ciqfunctions.udf.CIQ($G1785,$I1785,T$1557,Valuation_Date_GC,ReportType,DataMode,$H1785,FXMode),"n/a"))</f>
        <v/>
      </c>
      <c r="U1785" s="2197" t="str">
        <f>IF($G1785=0,"",IFERROR(_xll.ciqfunctions.udf.CIQ($G1785,$I1785,U$1557,Valuation_Date_GC,ReportType,DataMode,$H1785,FXMode),"n/a"))</f>
        <v/>
      </c>
      <c r="V1785" s="2197" t="str">
        <f>IF($G1785=0,"",IFERROR(_xll.ciqfunctions.udf.CIQ($G1785,$I1785,V$1557,Valuation_Date_GC,ReportType,DataMode,$H1785,FXMode),"n/a"))</f>
        <v/>
      </c>
      <c r="W1785" s="1479"/>
      <c r="X1785" s="255"/>
      <c r="Y1785" s="255"/>
      <c r="Z1785" s="2060"/>
      <c r="AA1785" s="2060"/>
      <c r="AB1785" s="2060"/>
      <c r="AC1785" s="2060"/>
      <c r="AD1785" s="2060"/>
      <c r="AE1785" s="2060"/>
      <c r="AF1785" s="2060"/>
      <c r="AG1785" s="2060"/>
      <c r="AH1785" s="2060"/>
      <c r="AI1785" s="2060"/>
      <c r="AJ1785" s="2060"/>
      <c r="AK1785" s="2060"/>
      <c r="AL1785" s="2060"/>
      <c r="AM1785" s="2060"/>
      <c r="AN1785" s="2060"/>
      <c r="AO1785" s="2060"/>
      <c r="AP1785" s="2060"/>
      <c r="AQ1785" s="2060"/>
      <c r="AR1785" s="2060"/>
      <c r="AS1785" s="2060"/>
      <c r="AT1785" s="2060"/>
      <c r="AU1785" s="2060"/>
      <c r="AV1785" s="2060"/>
      <c r="AW1785" s="2060"/>
      <c r="AX1785" s="2060"/>
      <c r="AY1785" s="2060"/>
      <c r="AZ1785" s="2060"/>
      <c r="BA1785" s="2060"/>
      <c r="BB1785" s="2060"/>
      <c r="BC1785" s="2060"/>
      <c r="BD1785" s="2060"/>
      <c r="BE1785" s="2060"/>
      <c r="BF1785" s="2060"/>
      <c r="BG1785" s="2060"/>
      <c r="BH1785" s="2060"/>
      <c r="BI1785" s="2060"/>
      <c r="BJ1785" s="2060"/>
      <c r="BK1785" s="2060"/>
      <c r="BL1785" s="2060"/>
      <c r="BM1785" s="2060"/>
      <c r="BN1785" s="2060"/>
      <c r="BO1785" s="2060"/>
      <c r="BP1785" s="2060"/>
      <c r="BQ1785" s="2060"/>
      <c r="BR1785" s="2060"/>
      <c r="BS1785" s="2060"/>
      <c r="BT1785" s="2060"/>
      <c r="BU1785" s="2060"/>
      <c r="BV1785" s="2060"/>
      <c r="BW1785" s="2060"/>
      <c r="BX1785" s="2060"/>
      <c r="BY1785" s="2060"/>
      <c r="BZ1785" s="2060"/>
      <c r="CA1785" s="2060"/>
      <c r="CB1785" s="2060"/>
      <c r="CC1785" s="2060"/>
      <c r="CD1785" s="2060"/>
      <c r="CE1785" s="2060"/>
      <c r="CF1785" s="2060"/>
      <c r="CG1785" s="2060"/>
      <c r="CH1785" s="2060"/>
      <c r="CI1785" s="2060"/>
      <c r="CJ1785" s="2060"/>
      <c r="CK1785" s="2060"/>
      <c r="CL1785" s="2060"/>
      <c r="CM1785" s="2060"/>
      <c r="CN1785" s="2060"/>
      <c r="CO1785" s="2060"/>
      <c r="CP1785" s="2060"/>
      <c r="CQ1785" s="2060"/>
      <c r="CR1785" s="2060"/>
      <c r="CS1785" s="2060"/>
      <c r="CT1785" s="2060"/>
      <c r="CU1785" s="2060"/>
      <c r="CV1785" s="2060"/>
      <c r="CW1785" s="2060"/>
      <c r="CX1785" s="2060"/>
      <c r="CY1785" s="2060"/>
      <c r="CZ1785" s="2060"/>
      <c r="DA1785" s="2060"/>
      <c r="DB1785" s="2060"/>
      <c r="DC1785" s="2060"/>
      <c r="DD1785" s="2060"/>
      <c r="DE1785" s="2060"/>
      <c r="DF1785" s="2060"/>
      <c r="DG1785" s="2060"/>
      <c r="DH1785" s="2060"/>
      <c r="DI1785" s="2060"/>
      <c r="DJ1785" s="2060"/>
      <c r="DK1785" s="2060"/>
      <c r="DL1785" s="2060"/>
      <c r="DM1785" s="2060"/>
      <c r="DN1785" s="2060"/>
      <c r="DO1785" s="2060"/>
      <c r="DP1785" s="2060"/>
      <c r="DQ1785" s="2060"/>
      <c r="DR1785" s="2060"/>
      <c r="DS1785" s="2060"/>
      <c r="DT1785" s="2060"/>
      <c r="DU1785" s="2060"/>
      <c r="DV1785" s="2060"/>
      <c r="DW1785" s="2060"/>
      <c r="DX1785" s="2060"/>
      <c r="DY1785" s="2060"/>
      <c r="DZ1785" s="2060"/>
      <c r="EA1785" s="2060"/>
      <c r="EB1785" s="2060"/>
      <c r="EC1785" s="2060"/>
      <c r="ED1785" s="2060"/>
      <c r="EE1785" s="2060"/>
      <c r="EF1785" s="2060"/>
      <c r="EG1785" s="2060"/>
      <c r="EH1785" s="2060"/>
      <c r="EI1785" s="2060"/>
      <c r="EJ1785" s="2060"/>
      <c r="EK1785" s="2060"/>
      <c r="EL1785" s="2060"/>
      <c r="EM1785" s="2060"/>
      <c r="EN1785" s="2060"/>
      <c r="EO1785" s="2060"/>
      <c r="EP1785" s="2060"/>
      <c r="EQ1785" s="2060"/>
      <c r="ER1785" s="2060"/>
      <c r="ES1785" s="2060"/>
      <c r="ET1785" s="2060"/>
      <c r="EU1785" s="2060"/>
      <c r="EV1785" s="2060"/>
      <c r="EW1785" s="2060"/>
      <c r="EX1785" s="2060"/>
      <c r="EY1785" s="2060"/>
      <c r="EZ1785" s="2060"/>
      <c r="FA1785" s="2060"/>
      <c r="FB1785" s="2060"/>
      <c r="FC1785" s="2060"/>
      <c r="FD1785" s="2060"/>
      <c r="FE1785" s="2060"/>
      <c r="FF1785" s="2060"/>
      <c r="FG1785" s="2060"/>
      <c r="FH1785" s="2060"/>
      <c r="FI1785" s="2060"/>
      <c r="FJ1785" s="2060"/>
      <c r="FK1785" s="2060"/>
      <c r="FL1785" s="2060"/>
      <c r="FM1785" s="2060"/>
      <c r="FN1785" s="2060"/>
      <c r="FO1785" s="2060"/>
      <c r="FP1785" s="2060"/>
      <c r="FQ1785" s="2060"/>
      <c r="FR1785" s="2060"/>
      <c r="FS1785" s="2060"/>
      <c r="FT1785" s="2060"/>
      <c r="FU1785" s="2060"/>
      <c r="FV1785" s="2060"/>
      <c r="FW1785" s="2060"/>
      <c r="FX1785" s="2060"/>
      <c r="FY1785" s="2060"/>
      <c r="FZ1785" s="2060"/>
      <c r="GA1785" s="2060"/>
      <c r="GB1785" s="2060"/>
      <c r="GC1785" s="2060"/>
      <c r="GD1785" s="2060"/>
      <c r="GE1785" s="2060"/>
      <c r="GF1785" s="2060"/>
      <c r="GG1785" s="2060"/>
      <c r="GH1785" s="2060"/>
      <c r="GI1785" s="2060"/>
      <c r="GJ1785" s="2060"/>
      <c r="GK1785" s="2060"/>
      <c r="GL1785" s="2060"/>
      <c r="GM1785" s="2060"/>
      <c r="GN1785" s="2060"/>
      <c r="GO1785" s="2060"/>
      <c r="GP1785" s="2060"/>
      <c r="GQ1785" s="2060"/>
      <c r="GR1785" s="2060"/>
      <c r="GS1785" s="2060"/>
      <c r="GT1785" s="2060"/>
      <c r="GU1785" s="2060"/>
      <c r="GV1785" s="2060"/>
      <c r="GW1785" s="2060"/>
      <c r="GX1785" s="2060"/>
      <c r="GY1785" s="2060"/>
      <c r="GZ1785" s="2060"/>
      <c r="HA1785" s="2060"/>
      <c r="HB1785" s="2060"/>
      <c r="HC1785" s="2060"/>
      <c r="HD1785" s="2060"/>
      <c r="HE1785" s="2060"/>
      <c r="HF1785" s="2060"/>
      <c r="HG1785" s="2060"/>
      <c r="HH1785" s="2060"/>
      <c r="HI1785" s="2060"/>
      <c r="HJ1785" s="2060"/>
      <c r="HK1785" s="2060"/>
      <c r="HL1785" s="2060"/>
      <c r="HM1785" s="2060"/>
      <c r="HN1785" s="2060"/>
      <c r="HO1785" s="2060"/>
      <c r="HP1785" s="2060"/>
      <c r="HQ1785" s="2060"/>
      <c r="HR1785" s="2060"/>
      <c r="HS1785" s="2060"/>
      <c r="HT1785" s="2060"/>
      <c r="HU1785" s="2060"/>
      <c r="HV1785" s="2060"/>
      <c r="HW1785" s="2060"/>
      <c r="HX1785" s="2060"/>
      <c r="HY1785" s="2060"/>
      <c r="HZ1785" s="2060"/>
      <c r="IA1785" s="2060"/>
      <c r="IB1785" s="2060"/>
      <c r="IC1785" s="2060"/>
      <c r="ID1785" s="2060"/>
      <c r="IE1785" s="2060"/>
      <c r="IF1785" s="2060"/>
      <c r="IG1785" s="2060"/>
      <c r="IH1785" s="2060"/>
      <c r="II1785" s="2060"/>
      <c r="IJ1785" s="2060"/>
      <c r="IK1785" s="2060"/>
      <c r="IL1785" s="2060"/>
      <c r="IM1785" s="2060"/>
      <c r="IN1785" s="2060"/>
      <c r="IO1785" s="2060"/>
      <c r="IP1785" s="2060"/>
      <c r="IQ1785" s="2060"/>
      <c r="IR1785" s="2060"/>
      <c r="IS1785" s="2060"/>
      <c r="IT1785" s="2060"/>
      <c r="IU1785" s="2060"/>
      <c r="IV1785" s="2060"/>
      <c r="IW1785" s="2060"/>
      <c r="IX1785" s="2060"/>
      <c r="IY1785" s="2060"/>
      <c r="IZ1785" s="2060"/>
      <c r="JA1785" s="2060"/>
      <c r="JB1785" s="2060"/>
      <c r="JC1785" s="2060"/>
      <c r="JD1785" s="2060"/>
      <c r="JE1785" s="2060"/>
      <c r="JF1785" s="2060"/>
      <c r="JG1785" s="2060"/>
      <c r="JH1785" s="2060"/>
      <c r="JI1785" s="2060"/>
      <c r="JJ1785" s="2060"/>
      <c r="JK1785" s="2060"/>
      <c r="JL1785" s="2060"/>
      <c r="JM1785" s="2060"/>
      <c r="JN1785" s="2060"/>
      <c r="JO1785" s="2060"/>
      <c r="JP1785" s="2060"/>
      <c r="JQ1785" s="2060"/>
      <c r="JR1785" s="2060"/>
      <c r="JS1785" s="2060"/>
      <c r="JT1785" s="2060"/>
      <c r="JU1785" s="2060"/>
      <c r="JV1785" s="2060"/>
      <c r="JW1785" s="2060"/>
      <c r="JX1785" s="2060"/>
      <c r="JY1785" s="2060"/>
      <c r="JZ1785" s="2060"/>
      <c r="KA1785" s="2060"/>
      <c r="KB1785" s="2060"/>
      <c r="KC1785" s="2060"/>
      <c r="KD1785" s="2060"/>
      <c r="KE1785" s="2060"/>
      <c r="KF1785" s="2060"/>
      <c r="KG1785" s="2060"/>
      <c r="KH1785" s="2060"/>
      <c r="KI1785" s="2060"/>
      <c r="KJ1785" s="2060"/>
      <c r="KK1785" s="2060"/>
      <c r="KL1785" s="2060"/>
      <c r="KM1785" s="2060"/>
      <c r="KN1785" s="2060"/>
      <c r="KO1785" s="2060"/>
      <c r="KP1785" s="2060"/>
      <c r="KQ1785" s="2060"/>
      <c r="KR1785" s="2060"/>
      <c r="KS1785" s="2060"/>
      <c r="KT1785" s="2060"/>
      <c r="KU1785" s="2060"/>
      <c r="KV1785" s="2060"/>
      <c r="KW1785" s="2060"/>
      <c r="KX1785" s="2060"/>
      <c r="KY1785" s="2060"/>
      <c r="KZ1785" s="2060"/>
      <c r="LA1785" s="2060"/>
      <c r="LB1785" s="2060"/>
      <c r="LC1785" s="2060"/>
      <c r="LD1785" s="2060"/>
      <c r="LE1785" s="2060"/>
      <c r="LF1785" s="2060"/>
      <c r="LG1785" s="2060"/>
      <c r="LH1785" s="2060"/>
    </row>
    <row r="1786" spans="1:320" ht="12" customHeight="1">
      <c r="A1786" s="269" t="str">
        <f t="shared" si="477"/>
        <v>n</v>
      </c>
      <c r="B1786" s="2060"/>
      <c r="C1786" s="2060"/>
      <c r="D1786" s="2060"/>
      <c r="E1786" s="1661">
        <v>25</v>
      </c>
      <c r="F1786" s="1353" t="str">
        <f>F$153</f>
        <v>--</v>
      </c>
      <c r="G1786" s="128">
        <f>G$153</f>
        <v>0</v>
      </c>
      <c r="H1786" s="128" t="str">
        <f>H$153</f>
        <v>--</v>
      </c>
      <c r="I1786" s="89" t="s">
        <v>794</v>
      </c>
      <c r="J1786" s="2197" t="str">
        <f>IF($G1786=0,"",IFERROR(_xll.ciqfunctions.udf.CIQ($G1786,$I1786,J$1557,Valuation_Date_GC,ReportType,DataMode,$H1786,FXMode),"n/a"))</f>
        <v/>
      </c>
      <c r="K1786" s="2197" t="str">
        <f>IF($G1786=0,"",IFERROR(_xll.ciqfunctions.udf.CIQ($G1786,$I1786,K$1557,Valuation_Date_GC,ReportType,DataMode,$H1786,FXMode),"n/a"))</f>
        <v/>
      </c>
      <c r="L1786" s="2197" t="str">
        <f>IF($G1786=0,"",IFERROR(_xll.ciqfunctions.udf.CIQ($G1786,$I1786,L$1557,Valuation_Date_GC,ReportType,DataMode,$H1786,FXMode),"n/a"))</f>
        <v/>
      </c>
      <c r="M1786" s="2197" t="str">
        <f>IF($G1786=0,"",IFERROR(_xll.ciqfunctions.udf.CIQ($G1786,$I1786,M$1557,Valuation_Date_GC,ReportType,DataMode,$H1786,FXMode),"n/a"))</f>
        <v/>
      </c>
      <c r="N1786" s="2197" t="str">
        <f>IF($G1786=0,"",IFERROR(_xll.ciqfunctions.udf.CIQ($G1786,$I1786,N$1557,Valuation_Date_GC,ReportType,DataMode,$H1786,FXMode),"n/a"))</f>
        <v/>
      </c>
      <c r="O1786" s="2197" t="str">
        <f>IF($G1786=0,"",IFERROR(_xll.ciqfunctions.udf.CIQ($G1786,$I1786,O$1557,Valuation_Date_GC,ReportType,DataMode,$H1786,FXMode),"n/a"))</f>
        <v/>
      </c>
      <c r="P1786" s="2197" t="str">
        <f>IF($G1786=0,"",IFERROR(_xll.ciqfunctions.udf.CIQ($G1786,$I1786,P$1557,Valuation_Date_GC,ReportType,DataMode,$H1786,FXMode),"n/a"))</f>
        <v/>
      </c>
      <c r="Q1786" s="2197" t="str">
        <f>IF($G1786=0,"",IFERROR(_xll.ciqfunctions.udf.CIQ($G1786,$I1786,Q$1557,Valuation_Date_GC,ReportType,DataMode,$H1786,FXMode),"n/a"))</f>
        <v/>
      </c>
      <c r="R1786" s="2197" t="str">
        <f>IF($G1786=0,"",IFERROR(_xll.ciqfunctions.udf.CIQ($G1786,$I1786,R$1557,Valuation_Date_GC,ReportType,DataMode,$H1786,FXMode),"n/a"))</f>
        <v/>
      </c>
      <c r="S1786" s="2197" t="str">
        <f>IF($G1786=0,"",IFERROR(_xll.ciqfunctions.udf.CIQ($G1786,$I1786,S$1557,Valuation_Date_GC,ReportType,DataMode,$H1786,FXMode),"n/a"))</f>
        <v/>
      </c>
      <c r="T1786" s="2197" t="str">
        <f>IF($G1786=0,"",IFERROR(_xll.ciqfunctions.udf.CIQ($G1786,$I1786,T$1557,Valuation_Date_GC,ReportType,DataMode,$H1786,FXMode),"n/a"))</f>
        <v/>
      </c>
      <c r="U1786" s="2197" t="str">
        <f>IF($G1786=0,"",IFERROR(_xll.ciqfunctions.udf.CIQ($G1786,$I1786,U$1557,Valuation_Date_GC,ReportType,DataMode,$H1786,FXMode),"n/a"))</f>
        <v/>
      </c>
      <c r="V1786" s="2197" t="str">
        <f>IF($G1786=0,"",IFERROR(_xll.ciqfunctions.udf.CIQ($G1786,$I1786,V$1557,Valuation_Date_GC,ReportType,DataMode,$H1786,FXMode),"n/a"))</f>
        <v/>
      </c>
      <c r="W1786" s="1479"/>
      <c r="X1786" s="255"/>
      <c r="Y1786" s="89"/>
      <c r="Z1786" s="2060"/>
      <c r="AA1786" s="2060"/>
      <c r="AB1786" s="2060"/>
      <c r="AC1786" s="2060"/>
      <c r="AD1786" s="2060"/>
      <c r="AE1786" s="2060"/>
      <c r="AF1786" s="2060"/>
      <c r="AG1786" s="2060"/>
      <c r="AH1786" s="2060"/>
      <c r="AI1786" s="2060"/>
      <c r="AJ1786" s="2060"/>
      <c r="AK1786" s="2060"/>
      <c r="AL1786" s="2060"/>
      <c r="AM1786" s="2060"/>
      <c r="AN1786" s="2060"/>
      <c r="AO1786" s="2060"/>
      <c r="AP1786" s="2060"/>
      <c r="AQ1786" s="2060"/>
      <c r="AR1786" s="2060"/>
      <c r="AS1786" s="2060"/>
      <c r="AT1786" s="2060"/>
      <c r="AU1786" s="2060"/>
      <c r="AV1786" s="2060"/>
      <c r="AW1786" s="2060"/>
      <c r="AX1786" s="2060"/>
      <c r="AY1786" s="2060"/>
      <c r="AZ1786" s="2060"/>
      <c r="BA1786" s="2060"/>
      <c r="BB1786" s="2060"/>
      <c r="BC1786" s="2060"/>
      <c r="BD1786" s="2060"/>
      <c r="BE1786" s="2060"/>
      <c r="BF1786" s="2060"/>
      <c r="BG1786" s="2060"/>
      <c r="BH1786" s="2060"/>
      <c r="BI1786" s="2060"/>
      <c r="BJ1786" s="2060"/>
      <c r="BK1786" s="2060"/>
      <c r="BL1786" s="2060"/>
      <c r="BM1786" s="2060"/>
      <c r="BN1786" s="2060"/>
      <c r="BO1786" s="2060"/>
      <c r="BP1786" s="2060"/>
      <c r="BQ1786" s="1530"/>
      <c r="BR1786" s="1530"/>
      <c r="BS1786" s="1530"/>
      <c r="BT1786" s="1530"/>
      <c r="BU1786" s="1530"/>
      <c r="BV1786" s="1530"/>
      <c r="BW1786" s="1530"/>
      <c r="BX1786" s="1530"/>
      <c r="BY1786" s="1530"/>
      <c r="BZ1786" s="1530"/>
      <c r="CA1786" s="1530"/>
      <c r="CB1786" s="1530"/>
      <c r="CC1786" s="1530"/>
      <c r="CD1786" s="1530"/>
      <c r="CE1786" s="1530"/>
      <c r="CF1786" s="1530"/>
      <c r="CG1786" s="1530"/>
      <c r="CH1786" s="1530"/>
      <c r="CI1786" s="1530"/>
      <c r="CJ1786" s="1530"/>
      <c r="CK1786" s="1530"/>
      <c r="CL1786" s="1530"/>
      <c r="CM1786" s="1530"/>
      <c r="CN1786" s="1530"/>
      <c r="CO1786" s="1530"/>
      <c r="CP1786" s="1530"/>
      <c r="CQ1786" s="1530"/>
      <c r="CR1786" s="1530"/>
      <c r="CS1786" s="1530"/>
      <c r="CT1786" s="1530"/>
      <c r="CU1786" s="1530"/>
      <c r="CV1786" s="1530"/>
      <c r="CW1786" s="1530"/>
      <c r="CX1786" s="1530"/>
      <c r="CY1786" s="1530"/>
      <c r="CZ1786" s="1530"/>
      <c r="DA1786" s="1530"/>
      <c r="DB1786" s="1530"/>
      <c r="DC1786" s="1530"/>
      <c r="DD1786" s="1530"/>
      <c r="DE1786" s="1530"/>
      <c r="DF1786" s="1530"/>
      <c r="DG1786" s="1530"/>
      <c r="DH1786" s="1530"/>
      <c r="DI1786" s="1530"/>
      <c r="DJ1786" s="1530"/>
      <c r="DK1786" s="1530"/>
      <c r="DL1786" s="1530"/>
      <c r="DM1786" s="1530"/>
      <c r="DN1786" s="1530"/>
      <c r="DO1786" s="1530"/>
      <c r="DP1786" s="1530"/>
      <c r="DQ1786" s="1530"/>
      <c r="DR1786" s="1530"/>
      <c r="DS1786" s="1530"/>
      <c r="DT1786" s="1530"/>
      <c r="DU1786" s="1530"/>
      <c r="DV1786" s="1530"/>
      <c r="DW1786" s="1530"/>
      <c r="DX1786" s="1530"/>
      <c r="DY1786" s="1530"/>
      <c r="DZ1786" s="1530"/>
      <c r="EA1786" s="1530"/>
      <c r="EB1786" s="1530"/>
      <c r="EC1786" s="1530"/>
      <c r="ED1786" s="1530"/>
      <c r="EE1786" s="1530"/>
      <c r="EF1786" s="1530"/>
      <c r="EG1786" s="1530"/>
      <c r="EH1786" s="1530"/>
      <c r="EI1786" s="1530"/>
      <c r="EJ1786" s="1530"/>
      <c r="EK1786" s="1530"/>
      <c r="EL1786" s="1530"/>
      <c r="EM1786" s="1530"/>
      <c r="EN1786" s="1530"/>
      <c r="EO1786" s="1530"/>
      <c r="EP1786" s="1530"/>
      <c r="EQ1786" s="1530"/>
      <c r="ER1786" s="1530"/>
      <c r="ES1786" s="1530"/>
      <c r="ET1786" s="1530"/>
      <c r="EU1786" s="1530"/>
      <c r="EV1786" s="1530"/>
      <c r="EW1786" s="1530"/>
      <c r="EX1786" s="1530"/>
      <c r="EY1786" s="1530"/>
      <c r="EZ1786" s="1530"/>
      <c r="FA1786" s="1530"/>
      <c r="FB1786" s="1530"/>
      <c r="FC1786" s="1530"/>
      <c r="FD1786" s="1530"/>
      <c r="FE1786" s="1530"/>
      <c r="FF1786" s="1530"/>
      <c r="FG1786" s="1530"/>
      <c r="FH1786" s="1530"/>
      <c r="FI1786" s="1530"/>
      <c r="FJ1786" s="1530"/>
      <c r="FK1786" s="1530"/>
      <c r="FL1786" s="1530"/>
      <c r="FM1786" s="1530"/>
      <c r="FN1786" s="1530"/>
      <c r="FO1786" s="1530"/>
      <c r="FP1786" s="1530"/>
      <c r="FQ1786" s="1530"/>
      <c r="FR1786" s="1530"/>
      <c r="FS1786" s="1530"/>
      <c r="FT1786" s="1530"/>
      <c r="FU1786" s="1530"/>
      <c r="FV1786" s="1530"/>
      <c r="FW1786" s="1530"/>
      <c r="FX1786" s="1530"/>
      <c r="FY1786" s="1530"/>
      <c r="FZ1786" s="1530"/>
      <c r="GA1786" s="1530"/>
      <c r="GB1786" s="1530"/>
      <c r="GC1786" s="1530"/>
      <c r="GD1786" s="1530"/>
      <c r="GE1786" s="1530"/>
      <c r="GF1786" s="1530"/>
      <c r="GG1786" s="1530"/>
      <c r="GH1786" s="1530"/>
      <c r="GI1786" s="1530"/>
      <c r="GJ1786" s="1530"/>
      <c r="GK1786" s="1530"/>
      <c r="GL1786" s="1530"/>
      <c r="GM1786" s="1530"/>
      <c r="GN1786" s="1530"/>
      <c r="GO1786" s="1530"/>
      <c r="GP1786" s="1530"/>
      <c r="GQ1786" s="1530"/>
      <c r="GR1786" s="1530"/>
      <c r="GS1786" s="1530"/>
      <c r="GT1786" s="1530"/>
      <c r="GU1786" s="1530"/>
      <c r="GV1786" s="1530"/>
      <c r="GW1786" s="1530"/>
      <c r="GX1786" s="1530"/>
      <c r="GY1786" s="1530"/>
      <c r="GZ1786" s="1530"/>
      <c r="HA1786" s="1530"/>
      <c r="HB1786" s="1530"/>
      <c r="HC1786" s="1530"/>
      <c r="HD1786" s="1530"/>
      <c r="HE1786" s="1530"/>
      <c r="HF1786" s="1530"/>
      <c r="HG1786" s="1530"/>
      <c r="HH1786" s="1530"/>
      <c r="HI1786" s="1530"/>
      <c r="HJ1786" s="1530"/>
      <c r="HK1786" s="1530"/>
      <c r="HL1786" s="1530"/>
      <c r="HM1786" s="1530"/>
      <c r="HN1786" s="1530"/>
      <c r="HO1786" s="1530"/>
      <c r="HP1786" s="1530"/>
      <c r="HQ1786" s="1530"/>
      <c r="HR1786" s="1530"/>
      <c r="HS1786" s="1530"/>
      <c r="HT1786" s="1530"/>
      <c r="HU1786" s="1530"/>
      <c r="HV1786" s="1530"/>
      <c r="HW1786" s="1530"/>
      <c r="HX1786" s="1530"/>
      <c r="HY1786" s="1530"/>
      <c r="HZ1786" s="1530"/>
      <c r="IA1786" s="1530"/>
      <c r="IB1786" s="1530"/>
      <c r="IC1786" s="1530"/>
      <c r="ID1786" s="1530"/>
      <c r="IE1786" s="1530"/>
      <c r="IF1786" s="1530"/>
      <c r="IG1786" s="1530"/>
      <c r="IH1786" s="1530"/>
      <c r="II1786" s="1530"/>
      <c r="IJ1786" s="1530"/>
      <c r="IK1786" s="1530"/>
      <c r="IL1786" s="1530"/>
      <c r="IM1786" s="1530"/>
      <c r="IN1786" s="1530"/>
      <c r="IO1786" s="1530"/>
      <c r="IP1786" s="1530"/>
      <c r="IQ1786" s="1530"/>
      <c r="IR1786" s="1530"/>
      <c r="IS1786" s="1530"/>
      <c r="IT1786" s="1530"/>
      <c r="IU1786" s="1530"/>
      <c r="IV1786" s="1530"/>
      <c r="IW1786" s="1530"/>
      <c r="IX1786" s="1530"/>
      <c r="IY1786" s="1530"/>
      <c r="IZ1786" s="1530"/>
      <c r="JA1786" s="1530"/>
      <c r="JB1786" s="1530"/>
      <c r="JC1786" s="1530"/>
      <c r="JD1786" s="1530"/>
      <c r="JE1786" s="1530"/>
      <c r="JF1786" s="1530"/>
      <c r="JG1786" s="1530"/>
      <c r="JH1786" s="1530"/>
      <c r="JI1786" s="1530"/>
      <c r="JJ1786" s="1530"/>
      <c r="JK1786" s="1530"/>
      <c r="JL1786" s="1530"/>
      <c r="JM1786" s="1530"/>
      <c r="JN1786" s="1530"/>
      <c r="JO1786" s="1530"/>
      <c r="JP1786" s="1530"/>
      <c r="JQ1786" s="1530"/>
      <c r="JR1786" s="1530"/>
      <c r="JS1786" s="1530"/>
      <c r="JT1786" s="1530"/>
      <c r="JU1786" s="1530"/>
      <c r="JV1786" s="1530"/>
      <c r="JW1786" s="1530"/>
      <c r="JX1786" s="1530"/>
      <c r="JY1786" s="1530"/>
      <c r="JZ1786" s="1530"/>
      <c r="KA1786" s="1530"/>
      <c r="KB1786" s="1530"/>
      <c r="KC1786" s="1530"/>
      <c r="KD1786" s="1530"/>
      <c r="KE1786" s="1530"/>
      <c r="KF1786" s="1530"/>
      <c r="KG1786" s="1530"/>
      <c r="KH1786" s="1530"/>
      <c r="KI1786" s="1530"/>
      <c r="KJ1786" s="1530"/>
      <c r="KK1786" s="1530"/>
      <c r="KL1786" s="1530"/>
      <c r="KM1786" s="1530"/>
      <c r="KN1786" s="1530"/>
      <c r="KO1786" s="1530"/>
      <c r="KP1786" s="1530"/>
      <c r="KQ1786" s="1530"/>
      <c r="KR1786" s="1530"/>
      <c r="KS1786" s="1530"/>
      <c r="KT1786" s="1530"/>
      <c r="KU1786" s="1530"/>
      <c r="KV1786" s="1530"/>
      <c r="KW1786" s="1530"/>
      <c r="KX1786" s="1530"/>
      <c r="KY1786" s="1530"/>
      <c r="KZ1786" s="1530"/>
      <c r="LA1786" s="1530"/>
      <c r="LB1786" s="1530"/>
      <c r="LC1786" s="1530"/>
      <c r="LD1786" s="1530"/>
      <c r="LE1786" s="1530"/>
      <c r="LF1786" s="1530"/>
      <c r="LG1786" s="1530"/>
      <c r="LH1786" s="1530"/>
    </row>
    <row r="1787" spans="1:320" ht="12" customHeight="1">
      <c r="A1787" s="2060"/>
      <c r="B1787" s="2060"/>
      <c r="C1787" s="2060"/>
      <c r="D1787" s="2060"/>
      <c r="E1787" s="505"/>
      <c r="F1787" s="1349"/>
      <c r="G1787" s="1349"/>
      <c r="H1787" s="1349"/>
      <c r="I1787" s="89"/>
      <c r="J1787" s="1558"/>
      <c r="K1787" s="1558"/>
      <c r="L1787" s="1558"/>
      <c r="M1787" s="1558"/>
      <c r="N1787" s="1558"/>
      <c r="O1787" s="1558"/>
      <c r="P1787" s="1558"/>
      <c r="Q1787" s="1558"/>
      <c r="R1787" s="1558"/>
      <c r="S1787" s="1558"/>
      <c r="T1787" s="1558"/>
      <c r="U1787" s="1558"/>
      <c r="V1787" s="1558"/>
      <c r="W1787" s="1479"/>
      <c r="X1787" s="255"/>
      <c r="Y1787" s="89"/>
      <c r="Z1787" s="2060"/>
      <c r="AA1787" s="2060"/>
      <c r="AB1787" s="2060"/>
      <c r="AC1787" s="2060"/>
      <c r="AD1787" s="2060"/>
      <c r="AE1787" s="2060"/>
      <c r="AF1787" s="2060"/>
      <c r="AG1787" s="2060"/>
      <c r="AH1787" s="1530"/>
      <c r="AI1787" s="1530"/>
      <c r="AJ1787" s="1530"/>
      <c r="AK1787" s="1530"/>
      <c r="AL1787" s="1530"/>
      <c r="AM1787" s="1530"/>
      <c r="AN1787" s="1530"/>
      <c r="AO1787" s="1530"/>
      <c r="AP1787" s="1530"/>
      <c r="AQ1787" s="1530"/>
      <c r="AR1787" s="1530"/>
      <c r="AS1787" s="1530"/>
      <c r="AT1787" s="1530"/>
      <c r="AU1787" s="1530"/>
      <c r="AV1787" s="2060"/>
      <c r="AW1787" s="2060"/>
      <c r="AX1787" s="2060"/>
      <c r="AY1787" s="2060"/>
      <c r="AZ1787" s="2060"/>
      <c r="BA1787" s="2060"/>
      <c r="BB1787" s="2060"/>
      <c r="BC1787" s="2060"/>
      <c r="BD1787" s="2060"/>
      <c r="BE1787" s="2060"/>
      <c r="BF1787" s="2060"/>
      <c r="BG1787" s="2060"/>
      <c r="BH1787" s="2060"/>
      <c r="BI1787" s="2060"/>
      <c r="BJ1787" s="2060"/>
      <c r="BK1787" s="2060"/>
      <c r="BL1787" s="2060"/>
      <c r="BM1787" s="2060"/>
      <c r="BN1787" s="2060"/>
      <c r="BO1787" s="2060"/>
      <c r="BP1787" s="2060"/>
      <c r="BQ1787" s="1530"/>
      <c r="BR1787" s="1530"/>
      <c r="BS1787" s="1530"/>
      <c r="BT1787" s="1530"/>
      <c r="BU1787" s="1530"/>
      <c r="BV1787" s="1530"/>
      <c r="BW1787" s="1530"/>
      <c r="BX1787" s="1530"/>
      <c r="BY1787" s="1530"/>
      <c r="BZ1787" s="1530"/>
      <c r="CA1787" s="1530"/>
      <c r="CB1787" s="1530"/>
      <c r="CC1787" s="1530"/>
      <c r="CD1787" s="1530"/>
      <c r="CE1787" s="1530"/>
      <c r="CF1787" s="1530"/>
      <c r="CG1787" s="1530"/>
      <c r="CH1787" s="1530"/>
      <c r="CI1787" s="1530"/>
      <c r="CJ1787" s="1530"/>
      <c r="CK1787" s="1530"/>
      <c r="CL1787" s="1530"/>
      <c r="CM1787" s="1530"/>
      <c r="CN1787" s="1530"/>
      <c r="CO1787" s="1530"/>
      <c r="CP1787" s="1530"/>
      <c r="CQ1787" s="1530"/>
      <c r="CR1787" s="1530"/>
      <c r="CS1787" s="1530"/>
      <c r="CT1787" s="1530"/>
      <c r="CU1787" s="1530"/>
      <c r="CV1787" s="1530"/>
      <c r="CW1787" s="1530"/>
      <c r="CX1787" s="1530"/>
      <c r="CY1787" s="1530"/>
      <c r="CZ1787" s="1530"/>
      <c r="DA1787" s="1530"/>
      <c r="DB1787" s="1530"/>
      <c r="DC1787" s="1530"/>
      <c r="DD1787" s="1530"/>
      <c r="DE1787" s="1530"/>
      <c r="DF1787" s="1530"/>
      <c r="DG1787" s="1530"/>
      <c r="DH1787" s="1530"/>
      <c r="DI1787" s="1530"/>
      <c r="DJ1787" s="1530"/>
      <c r="DK1787" s="1530"/>
      <c r="DL1787" s="1530"/>
      <c r="DM1787" s="1530"/>
      <c r="DN1787" s="1530"/>
      <c r="DO1787" s="1530"/>
      <c r="DP1787" s="1530"/>
      <c r="DQ1787" s="1530"/>
      <c r="DR1787" s="1530"/>
      <c r="DS1787" s="1530"/>
      <c r="DT1787" s="1530"/>
      <c r="DU1787" s="1530"/>
      <c r="DV1787" s="1530"/>
      <c r="DW1787" s="1530"/>
      <c r="DX1787" s="1530"/>
      <c r="DY1787" s="1530"/>
      <c r="DZ1787" s="1530"/>
      <c r="EA1787" s="1530"/>
      <c r="EB1787" s="1530"/>
      <c r="EC1787" s="1530"/>
      <c r="ED1787" s="1530"/>
      <c r="EE1787" s="1530"/>
      <c r="EF1787" s="1530"/>
      <c r="EG1787" s="1530"/>
      <c r="EH1787" s="1530"/>
      <c r="EI1787" s="1530"/>
      <c r="EJ1787" s="1530"/>
      <c r="EK1787" s="1530"/>
      <c r="EL1787" s="1530"/>
      <c r="EM1787" s="1530"/>
      <c r="EN1787" s="1530"/>
      <c r="EO1787" s="1530"/>
      <c r="EP1787" s="1530"/>
      <c r="EQ1787" s="1530"/>
      <c r="ER1787" s="1530"/>
      <c r="ES1787" s="1530"/>
      <c r="ET1787" s="1530"/>
      <c r="EU1787" s="1530"/>
      <c r="EV1787" s="1530"/>
      <c r="EW1787" s="1530"/>
      <c r="EX1787" s="1530"/>
      <c r="EY1787" s="1530"/>
      <c r="EZ1787" s="1530"/>
      <c r="FA1787" s="1530"/>
      <c r="FB1787" s="1530"/>
      <c r="FC1787" s="1530"/>
      <c r="FD1787" s="1530"/>
      <c r="FE1787" s="1530"/>
      <c r="FF1787" s="1530"/>
      <c r="FG1787" s="1530"/>
      <c r="FH1787" s="1530"/>
      <c r="FI1787" s="1530"/>
      <c r="FJ1787" s="1530"/>
      <c r="FK1787" s="1530"/>
      <c r="FL1787" s="1530"/>
      <c r="FM1787" s="1530"/>
      <c r="FN1787" s="1530"/>
      <c r="FO1787" s="1530"/>
      <c r="FP1787" s="1530"/>
      <c r="FQ1787" s="1530"/>
      <c r="FR1787" s="1530"/>
      <c r="FS1787" s="1530"/>
      <c r="FT1787" s="1530"/>
      <c r="FU1787" s="1530"/>
      <c r="FV1787" s="1530"/>
      <c r="FW1787" s="1530"/>
      <c r="FX1787" s="1530"/>
      <c r="FY1787" s="1530"/>
      <c r="FZ1787" s="1530"/>
      <c r="GA1787" s="1530"/>
      <c r="GB1787" s="1530"/>
      <c r="GC1787" s="1530"/>
      <c r="GD1787" s="1530"/>
      <c r="GE1787" s="1530"/>
      <c r="GF1787" s="1530"/>
      <c r="GG1787" s="1530"/>
      <c r="GH1787" s="1530"/>
      <c r="GI1787" s="1530"/>
      <c r="GJ1787" s="1530"/>
      <c r="GK1787" s="1530"/>
      <c r="GL1787" s="1530"/>
      <c r="GM1787" s="1530"/>
      <c r="GN1787" s="1530"/>
      <c r="GO1787" s="1530"/>
      <c r="GP1787" s="1530"/>
      <c r="GQ1787" s="1530"/>
      <c r="GR1787" s="1530"/>
      <c r="GS1787" s="1530"/>
      <c r="GT1787" s="1530"/>
      <c r="GU1787" s="1530"/>
      <c r="GV1787" s="1530"/>
      <c r="GW1787" s="1530"/>
      <c r="GX1787" s="1530"/>
      <c r="GY1787" s="1530"/>
      <c r="GZ1787" s="1530"/>
      <c r="HA1787" s="1530"/>
      <c r="HB1787" s="1530"/>
      <c r="HC1787" s="1530"/>
      <c r="HD1787" s="1530"/>
      <c r="HE1787" s="1530"/>
      <c r="HF1787" s="1530"/>
      <c r="HG1787" s="1530"/>
      <c r="HH1787" s="1530"/>
      <c r="HI1787" s="1530"/>
      <c r="HJ1787" s="1530"/>
      <c r="HK1787" s="1530"/>
      <c r="HL1787" s="1530"/>
      <c r="HM1787" s="1530"/>
      <c r="HN1787" s="1530"/>
      <c r="HO1787" s="1530"/>
      <c r="HP1787" s="1530"/>
      <c r="HQ1787" s="1530"/>
      <c r="HR1787" s="1530"/>
      <c r="HS1787" s="1530"/>
      <c r="HT1787" s="1530"/>
      <c r="HU1787" s="1530"/>
      <c r="HV1787" s="1530"/>
      <c r="HW1787" s="1530"/>
      <c r="HX1787" s="1530"/>
      <c r="HY1787" s="1530"/>
      <c r="HZ1787" s="1530"/>
      <c r="IA1787" s="1530"/>
      <c r="IB1787" s="1530"/>
      <c r="IC1787" s="1530"/>
      <c r="ID1787" s="1530"/>
      <c r="IE1787" s="1530"/>
      <c r="IF1787" s="1530"/>
      <c r="IG1787" s="1530"/>
      <c r="IH1787" s="1530"/>
      <c r="II1787" s="1530"/>
      <c r="IJ1787" s="1530"/>
      <c r="IK1787" s="1530"/>
      <c r="IL1787" s="1530"/>
      <c r="IM1787" s="1530"/>
      <c r="IN1787" s="1530"/>
      <c r="IO1787" s="1530"/>
      <c r="IP1787" s="1530"/>
      <c r="IQ1787" s="1530"/>
      <c r="IR1787" s="1530"/>
      <c r="IS1787" s="1530"/>
      <c r="IT1787" s="1530"/>
      <c r="IU1787" s="1530"/>
      <c r="IV1787" s="1530"/>
      <c r="IW1787" s="1530"/>
      <c r="IX1787" s="1530"/>
      <c r="IY1787" s="1530"/>
      <c r="IZ1787" s="1530"/>
      <c r="JA1787" s="1530"/>
      <c r="JB1787" s="1530"/>
      <c r="JC1787" s="1530"/>
      <c r="JD1787" s="1530"/>
      <c r="JE1787" s="1530"/>
      <c r="JF1787" s="1530"/>
      <c r="JG1787" s="1530"/>
      <c r="JH1787" s="1530"/>
      <c r="JI1787" s="1530"/>
      <c r="JJ1787" s="1530"/>
      <c r="JK1787" s="1530"/>
      <c r="JL1787" s="1530"/>
      <c r="JM1787" s="1530"/>
      <c r="JN1787" s="1530"/>
      <c r="JO1787" s="1530"/>
      <c r="JP1787" s="1530"/>
      <c r="JQ1787" s="1530"/>
      <c r="JR1787" s="1530"/>
      <c r="JS1787" s="1530"/>
      <c r="JT1787" s="1530"/>
      <c r="JU1787" s="1530"/>
      <c r="JV1787" s="1530"/>
      <c r="JW1787" s="1530"/>
      <c r="JX1787" s="1530"/>
      <c r="JY1787" s="1530"/>
      <c r="JZ1787" s="1530"/>
      <c r="KA1787" s="1530"/>
      <c r="KB1787" s="1530"/>
      <c r="KC1787" s="1530"/>
      <c r="KD1787" s="1530"/>
      <c r="KE1787" s="1530"/>
      <c r="KF1787" s="1530"/>
      <c r="KG1787" s="1530"/>
      <c r="KH1787" s="1530"/>
      <c r="KI1787" s="1530"/>
      <c r="KJ1787" s="1530"/>
      <c r="KK1787" s="1530"/>
      <c r="KL1787" s="1530"/>
      <c r="KM1787" s="1530"/>
      <c r="KN1787" s="1530"/>
      <c r="KO1787" s="1530"/>
      <c r="KP1787" s="1530"/>
      <c r="KQ1787" s="1530"/>
      <c r="KR1787" s="1530"/>
      <c r="KS1787" s="1530"/>
      <c r="KT1787" s="1530"/>
      <c r="KU1787" s="1530"/>
      <c r="KV1787" s="1530"/>
      <c r="KW1787" s="1530"/>
      <c r="KX1787" s="1530"/>
      <c r="KY1787" s="1530"/>
      <c r="KZ1787" s="1530"/>
      <c r="LA1787" s="1530"/>
      <c r="LB1787" s="1530"/>
      <c r="LC1787" s="1530"/>
      <c r="LD1787" s="1530"/>
      <c r="LE1787" s="1530"/>
      <c r="LF1787" s="1530"/>
      <c r="LG1787" s="1530"/>
      <c r="LH1787" s="1530"/>
    </row>
    <row r="1788" spans="1:320" ht="12" customHeight="1">
      <c r="A1788" s="2060"/>
      <c r="B1788" s="2060"/>
      <c r="C1788" s="2060"/>
      <c r="D1788" s="2060"/>
      <c r="E1788" s="505"/>
      <c r="F1788" s="741"/>
      <c r="G1788" s="741"/>
      <c r="H1788" s="741"/>
      <c r="I1788" s="724"/>
      <c r="J1788" s="734" t="s">
        <v>328</v>
      </c>
      <c r="K1788" s="734" t="s">
        <v>852</v>
      </c>
      <c r="L1788" s="734"/>
      <c r="M1788" s="734"/>
      <c r="N1788" s="734"/>
      <c r="O1788" s="726"/>
      <c r="P1788" s="726"/>
      <c r="Q1788" s="726"/>
      <c r="R1788" s="726"/>
      <c r="S1788" s="726"/>
      <c r="T1788" s="726"/>
      <c r="U1788" s="726"/>
      <c r="V1788" s="726"/>
      <c r="W1788" s="1479"/>
      <c r="X1788" s="255"/>
      <c r="Y1788" s="89"/>
      <c r="Z1788" s="2060"/>
      <c r="AA1788" s="2060"/>
      <c r="AB1788" s="2060"/>
      <c r="AC1788" s="2060"/>
      <c r="AD1788" s="2060"/>
      <c r="AE1788" s="2060"/>
      <c r="AF1788" s="2060"/>
      <c r="AG1788" s="1530"/>
      <c r="AH1788" s="1530"/>
      <c r="AI1788" s="1530"/>
      <c r="AJ1788" s="1530"/>
      <c r="AK1788" s="1530"/>
      <c r="AL1788" s="1530"/>
      <c r="AM1788" s="1530"/>
      <c r="AN1788" s="1530"/>
      <c r="AO1788" s="1530"/>
      <c r="AP1788" s="1530"/>
      <c r="AQ1788" s="1530"/>
      <c r="AR1788" s="1530"/>
      <c r="AS1788" s="1530"/>
      <c r="AT1788" s="1530"/>
      <c r="AU1788" s="1530"/>
      <c r="AV1788" s="1530"/>
      <c r="AW1788" s="1530"/>
      <c r="AX1788" s="1530"/>
      <c r="AY1788" s="1530"/>
      <c r="AZ1788" s="1530"/>
      <c r="BA1788" s="1530"/>
      <c r="BB1788" s="1530"/>
      <c r="BC1788" s="1530"/>
      <c r="BD1788" s="1530"/>
      <c r="BE1788" s="1530"/>
      <c r="BF1788" s="1530"/>
      <c r="BG1788" s="1530"/>
      <c r="BH1788" s="1530"/>
      <c r="BI1788" s="1530"/>
      <c r="BJ1788" s="1530"/>
      <c r="BK1788" s="1530"/>
      <c r="BL1788" s="1530"/>
      <c r="BM1788" s="1530"/>
      <c r="BN1788" s="1530"/>
      <c r="BO1788" s="1530"/>
      <c r="BP1788" s="1530"/>
      <c r="BQ1788" s="1530"/>
      <c r="BR1788" s="1530"/>
      <c r="BS1788" s="1530"/>
      <c r="BT1788" s="1530"/>
      <c r="BU1788" s="1530"/>
      <c r="BV1788" s="1530"/>
      <c r="BW1788" s="1530"/>
      <c r="BX1788" s="1530"/>
      <c r="BY1788" s="1530"/>
      <c r="BZ1788" s="1530"/>
      <c r="CA1788" s="1530"/>
      <c r="CB1788" s="1530"/>
      <c r="CC1788" s="1530"/>
      <c r="CD1788" s="1530"/>
      <c r="CE1788" s="1530"/>
      <c r="CF1788" s="1530"/>
      <c r="CG1788" s="1530"/>
      <c r="CH1788" s="1530"/>
      <c r="CI1788" s="1530"/>
      <c r="CJ1788" s="1530"/>
      <c r="CK1788" s="1530"/>
      <c r="CL1788" s="1530"/>
      <c r="CM1788" s="1530"/>
      <c r="CN1788" s="1530"/>
      <c r="CO1788" s="1530"/>
      <c r="CP1788" s="1530"/>
      <c r="CQ1788" s="1530"/>
      <c r="CR1788" s="1530"/>
      <c r="CS1788" s="1530"/>
      <c r="CT1788" s="1530"/>
      <c r="CU1788" s="1530"/>
      <c r="CV1788" s="1530"/>
      <c r="CW1788" s="1530"/>
      <c r="CX1788" s="1530"/>
      <c r="CY1788" s="1530"/>
      <c r="CZ1788" s="1530"/>
      <c r="DA1788" s="1530"/>
      <c r="DB1788" s="1530"/>
      <c r="DC1788" s="1530"/>
      <c r="DD1788" s="1530"/>
      <c r="DE1788" s="1530"/>
      <c r="DF1788" s="1530"/>
      <c r="DG1788" s="1530"/>
      <c r="DH1788" s="1530"/>
      <c r="DI1788" s="1530"/>
      <c r="DJ1788" s="1530"/>
      <c r="DK1788" s="1530"/>
      <c r="DL1788" s="1530"/>
      <c r="DM1788" s="1530"/>
      <c r="DN1788" s="1530"/>
      <c r="DO1788" s="1530"/>
      <c r="DP1788" s="1530"/>
      <c r="DQ1788" s="1530"/>
      <c r="DR1788" s="1530"/>
      <c r="DS1788" s="1530"/>
      <c r="DT1788" s="1530"/>
      <c r="DU1788" s="1530"/>
      <c r="DV1788" s="1530"/>
      <c r="DW1788" s="1530"/>
      <c r="DX1788" s="1530"/>
      <c r="DY1788" s="1530"/>
      <c r="DZ1788" s="1530"/>
      <c r="EA1788" s="1530"/>
      <c r="EB1788" s="1530"/>
      <c r="EC1788" s="1530"/>
      <c r="ED1788" s="1530"/>
      <c r="EE1788" s="1530"/>
      <c r="EF1788" s="1530"/>
      <c r="EG1788" s="1530"/>
      <c r="EH1788" s="1530"/>
      <c r="EI1788" s="1530"/>
      <c r="EJ1788" s="1530"/>
      <c r="EK1788" s="1530"/>
      <c r="EL1788" s="1530"/>
      <c r="EM1788" s="1530"/>
      <c r="EN1788" s="1530"/>
      <c r="EO1788" s="1530"/>
      <c r="EP1788" s="1530"/>
      <c r="EQ1788" s="1530"/>
      <c r="ER1788" s="1530"/>
      <c r="ES1788" s="1530"/>
      <c r="ET1788" s="1530"/>
      <c r="EU1788" s="1530"/>
      <c r="EV1788" s="1530"/>
      <c r="EW1788" s="1530"/>
      <c r="EX1788" s="1530"/>
      <c r="EY1788" s="1530"/>
      <c r="EZ1788" s="1530"/>
      <c r="FA1788" s="1530"/>
      <c r="FB1788" s="1530"/>
      <c r="FC1788" s="1530"/>
      <c r="FD1788" s="1530"/>
      <c r="FE1788" s="1530"/>
      <c r="FF1788" s="1530"/>
      <c r="FG1788" s="1530"/>
      <c r="FH1788" s="1530"/>
      <c r="FI1788" s="1530"/>
      <c r="FJ1788" s="1530"/>
      <c r="FK1788" s="1530"/>
      <c r="FL1788" s="1530"/>
      <c r="FM1788" s="1530"/>
      <c r="FN1788" s="1530"/>
      <c r="FO1788" s="1530"/>
      <c r="FP1788" s="1530"/>
      <c r="FQ1788" s="1530"/>
      <c r="FR1788" s="1530"/>
      <c r="FS1788" s="1530"/>
      <c r="FT1788" s="1530"/>
      <c r="FU1788" s="1530"/>
      <c r="FV1788" s="1530"/>
      <c r="FW1788" s="1530"/>
      <c r="FX1788" s="1530"/>
      <c r="FY1788" s="1530"/>
      <c r="FZ1788" s="1530"/>
      <c r="GA1788" s="1530"/>
      <c r="GB1788" s="1530"/>
      <c r="GC1788" s="1530"/>
      <c r="GD1788" s="1530"/>
      <c r="GE1788" s="1530"/>
      <c r="GF1788" s="1530"/>
      <c r="GG1788" s="1530"/>
      <c r="GH1788" s="1530"/>
      <c r="GI1788" s="1530"/>
      <c r="GJ1788" s="1530"/>
      <c r="GK1788" s="1530"/>
      <c r="GL1788" s="1530"/>
      <c r="GM1788" s="1530"/>
      <c r="GN1788" s="1530"/>
      <c r="GO1788" s="1530"/>
      <c r="GP1788" s="1530"/>
      <c r="GQ1788" s="1530"/>
      <c r="GR1788" s="1530"/>
      <c r="GS1788" s="1530"/>
      <c r="GT1788" s="1530"/>
      <c r="GU1788" s="1530"/>
      <c r="GV1788" s="1530"/>
      <c r="GW1788" s="1530"/>
      <c r="GX1788" s="1530"/>
      <c r="GY1788" s="1530"/>
      <c r="GZ1788" s="1530"/>
      <c r="HA1788" s="1530"/>
      <c r="HB1788" s="1530"/>
      <c r="HC1788" s="1530"/>
      <c r="HD1788" s="1530"/>
      <c r="HE1788" s="1530"/>
      <c r="HF1788" s="1530"/>
      <c r="HG1788" s="1530"/>
      <c r="HH1788" s="1530"/>
      <c r="HI1788" s="1530"/>
      <c r="HJ1788" s="1530"/>
      <c r="HK1788" s="1530"/>
      <c r="HL1788" s="1530"/>
      <c r="HM1788" s="1530"/>
      <c r="HN1788" s="1530"/>
      <c r="HO1788" s="1530"/>
      <c r="HP1788" s="1530"/>
      <c r="HQ1788" s="1530"/>
      <c r="HR1788" s="1530"/>
      <c r="HS1788" s="1530"/>
      <c r="HT1788" s="1530"/>
      <c r="HU1788" s="1530"/>
      <c r="HV1788" s="1530"/>
      <c r="HW1788" s="1530"/>
      <c r="HX1788" s="1530"/>
      <c r="HY1788" s="1530"/>
      <c r="HZ1788" s="1530"/>
      <c r="IA1788" s="1530"/>
      <c r="IB1788" s="1530"/>
      <c r="IC1788" s="1530"/>
      <c r="ID1788" s="1530"/>
      <c r="IE1788" s="1530"/>
      <c r="IF1788" s="1530"/>
      <c r="IG1788" s="1530"/>
      <c r="IH1788" s="1530"/>
      <c r="II1788" s="1530"/>
      <c r="IJ1788" s="1530"/>
      <c r="IK1788" s="1530"/>
      <c r="IL1788" s="1530"/>
      <c r="IM1788" s="1530"/>
      <c r="IN1788" s="1530"/>
      <c r="IO1788" s="1530"/>
      <c r="IP1788" s="1530"/>
      <c r="IQ1788" s="1530"/>
      <c r="IR1788" s="1530"/>
      <c r="IS1788" s="1530"/>
      <c r="IT1788" s="1530"/>
      <c r="IU1788" s="1530"/>
      <c r="IV1788" s="1530"/>
      <c r="IW1788" s="1530"/>
      <c r="IX1788" s="1530"/>
      <c r="IY1788" s="1530"/>
      <c r="IZ1788" s="1530"/>
      <c r="JA1788" s="1530"/>
      <c r="JB1788" s="1530"/>
      <c r="JC1788" s="1530"/>
      <c r="JD1788" s="1530"/>
      <c r="JE1788" s="1530"/>
      <c r="JF1788" s="1530"/>
      <c r="JG1788" s="1530"/>
      <c r="JH1788" s="1530"/>
      <c r="JI1788" s="1530"/>
      <c r="JJ1788" s="1530"/>
      <c r="JK1788" s="1530"/>
      <c r="JL1788" s="1530"/>
      <c r="JM1788" s="1530"/>
      <c r="JN1788" s="1530"/>
      <c r="JO1788" s="1530"/>
      <c r="JP1788" s="1530"/>
      <c r="JQ1788" s="1530"/>
      <c r="JR1788" s="1530"/>
      <c r="JS1788" s="1530"/>
      <c r="JT1788" s="1530"/>
      <c r="JU1788" s="1530"/>
      <c r="JV1788" s="1530"/>
      <c r="JW1788" s="1530"/>
      <c r="JX1788" s="1530"/>
      <c r="JY1788" s="1530"/>
      <c r="JZ1788" s="1530"/>
      <c r="KA1788" s="1530"/>
      <c r="KB1788" s="1530"/>
      <c r="KC1788" s="1530"/>
      <c r="KD1788" s="1530"/>
      <c r="KE1788" s="1530"/>
      <c r="KF1788" s="1530"/>
      <c r="KG1788" s="1530"/>
      <c r="KH1788" s="1530"/>
      <c r="KI1788" s="1530"/>
      <c r="KJ1788" s="1530"/>
      <c r="KK1788" s="1530"/>
      <c r="KL1788" s="1530"/>
      <c r="KM1788" s="1530"/>
      <c r="KN1788" s="1530"/>
      <c r="KO1788" s="1530"/>
      <c r="KP1788" s="1530"/>
      <c r="KQ1788" s="1530"/>
      <c r="KR1788" s="1530"/>
      <c r="KS1788" s="1530"/>
      <c r="KT1788" s="1530"/>
      <c r="KU1788" s="1530"/>
      <c r="KV1788" s="1530"/>
      <c r="KW1788" s="1530"/>
      <c r="KX1788" s="1530"/>
      <c r="KY1788" s="1530"/>
      <c r="KZ1788" s="1530"/>
      <c r="LA1788" s="1530"/>
      <c r="LB1788" s="1530"/>
      <c r="LC1788" s="1530"/>
      <c r="LD1788" s="1530"/>
      <c r="LE1788" s="1530"/>
      <c r="LF1788" s="1530"/>
      <c r="LG1788" s="1530"/>
      <c r="LH1788" s="1530"/>
    </row>
    <row r="1789" spans="1:320" ht="12" customHeight="1">
      <c r="A1789" s="2060"/>
      <c r="B1789" s="2060"/>
      <c r="C1789" s="2060"/>
      <c r="D1789" s="2060"/>
      <c r="E1789" s="505"/>
      <c r="F1789" s="953" t="s">
        <v>337</v>
      </c>
      <c r="G1789" s="737" t="s">
        <v>851</v>
      </c>
      <c r="H1789" s="724"/>
      <c r="I1789" s="724"/>
      <c r="J1789" s="726" t="str">
        <f>J$1558</f>
        <v>LQ-12</v>
      </c>
      <c r="K1789" s="726" t="str">
        <f t="shared" ref="K1789:V1789" si="478">K$1558</f>
        <v>LQ-11</v>
      </c>
      <c r="L1789" s="726" t="str">
        <f t="shared" si="478"/>
        <v>LQ-10</v>
      </c>
      <c r="M1789" s="726" t="str">
        <f t="shared" si="478"/>
        <v>LQ-9</v>
      </c>
      <c r="N1789" s="726" t="str">
        <f t="shared" si="478"/>
        <v>LQ-8</v>
      </c>
      <c r="O1789" s="726" t="str">
        <f t="shared" si="478"/>
        <v>LQ-7</v>
      </c>
      <c r="P1789" s="726" t="str">
        <f t="shared" si="478"/>
        <v>LQ-6</v>
      </c>
      <c r="Q1789" s="726" t="str">
        <f t="shared" si="478"/>
        <v>LQ-5</v>
      </c>
      <c r="R1789" s="726" t="str">
        <f t="shared" si="478"/>
        <v>LQ-4</v>
      </c>
      <c r="S1789" s="726" t="str">
        <f t="shared" si="478"/>
        <v>LQ-3</v>
      </c>
      <c r="T1789" s="726" t="str">
        <f t="shared" si="478"/>
        <v>LQ-2</v>
      </c>
      <c r="U1789" s="726" t="str">
        <f t="shared" si="478"/>
        <v>LQ-1</v>
      </c>
      <c r="V1789" s="726" t="str">
        <f t="shared" si="478"/>
        <v>Last Qtr</v>
      </c>
      <c r="W1789" s="1479"/>
      <c r="X1789" s="255"/>
      <c r="Y1789" s="89"/>
      <c r="Z1789" s="2060"/>
      <c r="AA1789" s="2060"/>
      <c r="AB1789" s="2060"/>
      <c r="AC1789" s="2060"/>
      <c r="AD1789" s="2060"/>
      <c r="AE1789" s="2060"/>
      <c r="AF1789" s="2060"/>
      <c r="AG1789" s="1530"/>
      <c r="AH1789" s="1530"/>
      <c r="AI1789" s="1530"/>
      <c r="AJ1789" s="1530"/>
      <c r="AK1789" s="1530"/>
      <c r="AL1789" s="1530"/>
      <c r="AM1789" s="1530"/>
      <c r="AN1789" s="1530"/>
      <c r="AO1789" s="1530"/>
      <c r="AP1789" s="1530"/>
      <c r="AQ1789" s="1530"/>
      <c r="AR1789" s="1530"/>
      <c r="AS1789" s="1530"/>
      <c r="AT1789" s="1530"/>
      <c r="AU1789" s="1530"/>
      <c r="AV1789" s="1530"/>
      <c r="AW1789" s="1530"/>
      <c r="AX1789" s="1530"/>
      <c r="AY1789" s="1530"/>
      <c r="AZ1789" s="1530"/>
      <c r="BA1789" s="1530"/>
      <c r="BB1789" s="1530"/>
      <c r="BC1789" s="1530"/>
      <c r="BD1789" s="1530"/>
      <c r="BE1789" s="1530"/>
      <c r="BF1789" s="1530"/>
      <c r="BG1789" s="1530"/>
      <c r="BH1789" s="1530"/>
      <c r="BI1789" s="1530"/>
      <c r="BJ1789" s="1530"/>
      <c r="BK1789" s="1530"/>
      <c r="BL1789" s="1530"/>
      <c r="BM1789" s="1530"/>
      <c r="BN1789" s="1530"/>
      <c r="BO1789" s="1530"/>
      <c r="BP1789" s="1530"/>
      <c r="BQ1789" s="1530"/>
      <c r="BR1789" s="1530"/>
      <c r="BS1789" s="1530"/>
      <c r="BT1789" s="1530"/>
      <c r="BU1789" s="1530"/>
      <c r="BV1789" s="1530"/>
      <c r="BW1789" s="1530"/>
      <c r="BX1789" s="1530"/>
      <c r="BY1789" s="1530"/>
      <c r="BZ1789" s="1530"/>
      <c r="CA1789" s="1530"/>
      <c r="CB1789" s="1530"/>
      <c r="CC1789" s="1530"/>
      <c r="CD1789" s="1530"/>
      <c r="CE1789" s="1530"/>
      <c r="CF1789" s="1530"/>
      <c r="CG1789" s="1530"/>
      <c r="CH1789" s="1530"/>
      <c r="CI1789" s="1530"/>
      <c r="CJ1789" s="1530"/>
      <c r="CK1789" s="1530"/>
      <c r="CL1789" s="1530"/>
      <c r="CM1789" s="1530"/>
      <c r="CN1789" s="1530"/>
      <c r="CO1789" s="1530"/>
      <c r="CP1789" s="1530"/>
      <c r="CQ1789" s="1530"/>
      <c r="CR1789" s="1530"/>
      <c r="CS1789" s="1530"/>
      <c r="CT1789" s="1530"/>
      <c r="CU1789" s="1530"/>
      <c r="CV1789" s="1530"/>
      <c r="CW1789" s="1530"/>
      <c r="CX1789" s="1530"/>
      <c r="CY1789" s="1530"/>
      <c r="CZ1789" s="1530"/>
      <c r="DA1789" s="1530"/>
      <c r="DB1789" s="1530"/>
      <c r="DC1789" s="1530"/>
      <c r="DD1789" s="1530"/>
      <c r="DE1789" s="1530"/>
      <c r="DF1789" s="1530"/>
      <c r="DG1789" s="1530"/>
      <c r="DH1789" s="1530"/>
      <c r="DI1789" s="1530"/>
      <c r="DJ1789" s="1530"/>
      <c r="DK1789" s="1530"/>
      <c r="DL1789" s="1530"/>
      <c r="DM1789" s="1530"/>
      <c r="DN1789" s="1530"/>
      <c r="DO1789" s="1530"/>
      <c r="DP1789" s="1530"/>
      <c r="DQ1789" s="1530"/>
      <c r="DR1789" s="1530"/>
      <c r="DS1789" s="1530"/>
      <c r="DT1789" s="1530"/>
      <c r="DU1789" s="1530"/>
      <c r="DV1789" s="1530"/>
      <c r="DW1789" s="1530"/>
      <c r="DX1789" s="1530"/>
      <c r="DY1789" s="1530"/>
      <c r="DZ1789" s="1530"/>
      <c r="EA1789" s="1530"/>
      <c r="EB1789" s="1530"/>
      <c r="EC1789" s="1530"/>
      <c r="ED1789" s="1530"/>
      <c r="EE1789" s="1530"/>
      <c r="EF1789" s="1530"/>
      <c r="EG1789" s="1530"/>
      <c r="EH1789" s="1530"/>
      <c r="EI1789" s="1530"/>
      <c r="EJ1789" s="1530"/>
      <c r="EK1789" s="1530"/>
      <c r="EL1789" s="1530"/>
      <c r="EM1789" s="1530"/>
      <c r="EN1789" s="1530"/>
      <c r="EO1789" s="1530"/>
      <c r="EP1789" s="1530"/>
      <c r="EQ1789" s="1530"/>
      <c r="ER1789" s="1530"/>
      <c r="ES1789" s="1530"/>
      <c r="ET1789" s="1530"/>
      <c r="EU1789" s="1530"/>
      <c r="EV1789" s="1530"/>
      <c r="EW1789" s="1530"/>
      <c r="EX1789" s="1530"/>
      <c r="EY1789" s="1530"/>
      <c r="EZ1789" s="1530"/>
      <c r="FA1789" s="1530"/>
      <c r="FB1789" s="1530"/>
      <c r="FC1789" s="1530"/>
      <c r="FD1789" s="1530"/>
      <c r="FE1789" s="1530"/>
      <c r="FF1789" s="1530"/>
      <c r="FG1789" s="1530"/>
      <c r="FH1789" s="1530"/>
      <c r="FI1789" s="1530"/>
      <c r="FJ1789" s="1530"/>
      <c r="FK1789" s="1530"/>
      <c r="FL1789" s="1530"/>
      <c r="FM1789" s="1530"/>
      <c r="FN1789" s="1530"/>
      <c r="FO1789" s="1530"/>
      <c r="FP1789" s="1530"/>
      <c r="FQ1789" s="1530"/>
      <c r="FR1789" s="1530"/>
      <c r="FS1789" s="1530"/>
      <c r="FT1789" s="1530"/>
      <c r="FU1789" s="1530"/>
      <c r="FV1789" s="1530"/>
      <c r="FW1789" s="1530"/>
      <c r="FX1789" s="1530"/>
      <c r="FY1789" s="1530"/>
      <c r="FZ1789" s="1530"/>
      <c r="GA1789" s="1530"/>
      <c r="GB1789" s="1530"/>
      <c r="GC1789" s="1530"/>
      <c r="GD1789" s="1530"/>
      <c r="GE1789" s="1530"/>
      <c r="GF1789" s="1530"/>
      <c r="GG1789" s="1530"/>
      <c r="GH1789" s="1530"/>
      <c r="GI1789" s="1530"/>
      <c r="GJ1789" s="1530"/>
      <c r="GK1789" s="1530"/>
      <c r="GL1789" s="1530"/>
      <c r="GM1789" s="1530"/>
      <c r="GN1789" s="1530"/>
      <c r="GO1789" s="1530"/>
      <c r="GP1789" s="1530"/>
      <c r="GQ1789" s="1530"/>
      <c r="GR1789" s="1530"/>
      <c r="GS1789" s="1530"/>
      <c r="GT1789" s="1530"/>
      <c r="GU1789" s="1530"/>
      <c r="GV1789" s="1530"/>
      <c r="GW1789" s="1530"/>
      <c r="GX1789" s="1530"/>
      <c r="GY1789" s="1530"/>
      <c r="GZ1789" s="1530"/>
      <c r="HA1789" s="1530"/>
      <c r="HB1789" s="1530"/>
      <c r="HC1789" s="1530"/>
      <c r="HD1789" s="1530"/>
      <c r="HE1789" s="1530"/>
      <c r="HF1789" s="1530"/>
      <c r="HG1789" s="1530"/>
      <c r="HH1789" s="1530"/>
      <c r="HI1789" s="1530"/>
      <c r="HJ1789" s="1530"/>
      <c r="HK1789" s="1530"/>
      <c r="HL1789" s="1530"/>
      <c r="HM1789" s="1530"/>
      <c r="HN1789" s="1530"/>
      <c r="HO1789" s="1530"/>
      <c r="HP1789" s="1530"/>
      <c r="HQ1789" s="1530"/>
      <c r="HR1789" s="1530"/>
      <c r="HS1789" s="1530"/>
      <c r="HT1789" s="1530"/>
      <c r="HU1789" s="1530"/>
      <c r="HV1789" s="1530"/>
      <c r="HW1789" s="1530"/>
      <c r="HX1789" s="1530"/>
      <c r="HY1789" s="1530"/>
      <c r="HZ1789" s="1530"/>
      <c r="IA1789" s="1530"/>
      <c r="IB1789" s="1530"/>
      <c r="IC1789" s="1530"/>
      <c r="ID1789" s="1530"/>
      <c r="IE1789" s="1530"/>
      <c r="IF1789" s="1530"/>
      <c r="IG1789" s="1530"/>
      <c r="IH1789" s="1530"/>
      <c r="II1789" s="1530"/>
      <c r="IJ1789" s="1530"/>
      <c r="IK1789" s="1530"/>
      <c r="IL1789" s="1530"/>
      <c r="IM1789" s="1530"/>
      <c r="IN1789" s="1530"/>
      <c r="IO1789" s="1530"/>
      <c r="IP1789" s="1530"/>
      <c r="IQ1789" s="1530"/>
      <c r="IR1789" s="1530"/>
      <c r="IS1789" s="1530"/>
      <c r="IT1789" s="1530"/>
      <c r="IU1789" s="1530"/>
      <c r="IV1789" s="1530"/>
      <c r="IW1789" s="1530"/>
      <c r="IX1789" s="1530"/>
      <c r="IY1789" s="1530"/>
      <c r="IZ1789" s="1530"/>
      <c r="JA1789" s="1530"/>
      <c r="JB1789" s="1530"/>
      <c r="JC1789" s="1530"/>
      <c r="JD1789" s="1530"/>
      <c r="JE1789" s="1530"/>
      <c r="JF1789" s="1530"/>
      <c r="JG1789" s="1530"/>
      <c r="JH1789" s="1530"/>
      <c r="JI1789" s="1530"/>
      <c r="JJ1789" s="1530"/>
      <c r="JK1789" s="1530"/>
      <c r="JL1789" s="1530"/>
      <c r="JM1789" s="1530"/>
      <c r="JN1789" s="1530"/>
      <c r="JO1789" s="1530"/>
      <c r="JP1789" s="1530"/>
      <c r="JQ1789" s="1530"/>
      <c r="JR1789" s="1530"/>
      <c r="JS1789" s="1530"/>
      <c r="JT1789" s="1530"/>
      <c r="JU1789" s="1530"/>
      <c r="JV1789" s="1530"/>
      <c r="JW1789" s="1530"/>
      <c r="JX1789" s="1530"/>
      <c r="JY1789" s="1530"/>
      <c r="JZ1789" s="1530"/>
      <c r="KA1789" s="1530"/>
      <c r="KB1789" s="1530"/>
      <c r="KC1789" s="1530"/>
      <c r="KD1789" s="1530"/>
      <c r="KE1789" s="1530"/>
      <c r="KF1789" s="1530"/>
      <c r="KG1789" s="1530"/>
      <c r="KH1789" s="1530"/>
      <c r="KI1789" s="1530"/>
      <c r="KJ1789" s="1530"/>
      <c r="KK1789" s="1530"/>
      <c r="KL1789" s="1530"/>
      <c r="KM1789" s="1530"/>
      <c r="KN1789" s="1530"/>
      <c r="KO1789" s="1530"/>
      <c r="KP1789" s="1530"/>
      <c r="KQ1789" s="1530"/>
      <c r="KR1789" s="1530"/>
      <c r="KS1789" s="1530"/>
      <c r="KT1789" s="1530"/>
      <c r="KU1789" s="1530"/>
      <c r="KV1789" s="1530"/>
      <c r="KW1789" s="1530"/>
      <c r="KX1789" s="1530"/>
      <c r="KY1789" s="1530"/>
      <c r="KZ1789" s="1530"/>
      <c r="LA1789" s="1530"/>
      <c r="LB1789" s="1530"/>
      <c r="LC1789" s="1530"/>
      <c r="LD1789" s="1530"/>
      <c r="LE1789" s="1530"/>
      <c r="LF1789" s="1530"/>
      <c r="LG1789" s="1530"/>
      <c r="LH1789" s="1530"/>
    </row>
    <row r="1790" spans="1:320" ht="12" customHeight="1">
      <c r="A1790" s="2060"/>
      <c r="B1790" s="2060"/>
      <c r="C1790" s="2060"/>
      <c r="D1790" s="2060"/>
      <c r="E1790" s="508">
        <v>0</v>
      </c>
      <c r="F1790" s="1453" t="str">
        <f>F$128</f>
        <v/>
      </c>
      <c r="G1790" s="1454">
        <f>G$128</f>
        <v>0</v>
      </c>
      <c r="H1790" s="1455" t="str">
        <f>H$128</f>
        <v>USD</v>
      </c>
      <c r="I1790" s="507"/>
      <c r="J1790" s="2196" t="str">
        <f t="shared" ref="J1790:V1790" si="479">IFERROR(J1703+N(J1732)+N(J1761),"n/a")</f>
        <v>n/a</v>
      </c>
      <c r="K1790" s="2196" t="str">
        <f t="shared" si="479"/>
        <v>n/a</v>
      </c>
      <c r="L1790" s="2196" t="str">
        <f t="shared" ref="L1790:N1815" si="480">IFERROR(L1703+N(L1732)+N(L1761),"n/a")</f>
        <v>n/a</v>
      </c>
      <c r="M1790" s="2196" t="str">
        <f t="shared" si="480"/>
        <v>n/a</v>
      </c>
      <c r="N1790" s="2196" t="str">
        <f t="shared" si="480"/>
        <v>n/a</v>
      </c>
      <c r="O1790" s="2196" t="str">
        <f t="shared" si="479"/>
        <v>n/a</v>
      </c>
      <c r="P1790" s="2196" t="str">
        <f t="shared" si="479"/>
        <v>n/a</v>
      </c>
      <c r="Q1790" s="2196" t="str">
        <f t="shared" si="479"/>
        <v>n/a</v>
      </c>
      <c r="R1790" s="2196" t="str">
        <f t="shared" si="479"/>
        <v>n/a</v>
      </c>
      <c r="S1790" s="2196" t="str">
        <f t="shared" si="479"/>
        <v>n/a</v>
      </c>
      <c r="T1790" s="2196" t="str">
        <f t="shared" si="479"/>
        <v>n/a</v>
      </c>
      <c r="U1790" s="2196" t="str">
        <f t="shared" si="479"/>
        <v>n/a</v>
      </c>
      <c r="V1790" s="2196" t="str">
        <f t="shared" si="479"/>
        <v>n/a</v>
      </c>
      <c r="W1790" s="1479"/>
      <c r="X1790" s="255"/>
      <c r="Y1790" s="89"/>
      <c r="Z1790" s="2060"/>
      <c r="AA1790" s="2060"/>
      <c r="AB1790" s="2060"/>
      <c r="AC1790" s="2060"/>
      <c r="AD1790" s="2060"/>
      <c r="AE1790" s="2060"/>
      <c r="AF1790" s="2060"/>
      <c r="AG1790" s="1530"/>
      <c r="AH1790" s="1530"/>
      <c r="AI1790" s="1530"/>
      <c r="AJ1790" s="1530"/>
      <c r="AK1790" s="1530"/>
      <c r="AL1790" s="1530"/>
      <c r="AM1790" s="1530"/>
      <c r="AN1790" s="1530"/>
      <c r="AO1790" s="1530"/>
      <c r="AP1790" s="1530"/>
      <c r="AQ1790" s="1530"/>
      <c r="AR1790" s="1530"/>
      <c r="AS1790" s="1530"/>
      <c r="AT1790" s="1530"/>
      <c r="AU1790" s="1530"/>
      <c r="AV1790" s="1530"/>
      <c r="AW1790" s="1530"/>
      <c r="AX1790" s="1530"/>
      <c r="AY1790" s="1530"/>
      <c r="AZ1790" s="1530"/>
      <c r="BA1790" s="1530"/>
      <c r="BB1790" s="1530"/>
      <c r="BC1790" s="1530"/>
      <c r="BD1790" s="1530"/>
      <c r="BE1790" s="1530"/>
      <c r="BF1790" s="1530"/>
      <c r="BG1790" s="1530"/>
      <c r="BH1790" s="1530"/>
      <c r="BI1790" s="1530"/>
      <c r="BJ1790" s="1530"/>
      <c r="BK1790" s="1530"/>
      <c r="BL1790" s="1530"/>
      <c r="BM1790" s="1530"/>
      <c r="BN1790" s="1530"/>
      <c r="BO1790" s="1530"/>
      <c r="BP1790" s="1530"/>
      <c r="BQ1790" s="1530"/>
      <c r="BR1790" s="1530"/>
      <c r="BS1790" s="1530"/>
      <c r="BT1790" s="1530"/>
      <c r="BU1790" s="1530"/>
      <c r="BV1790" s="1530"/>
      <c r="BW1790" s="1530"/>
      <c r="BX1790" s="1530"/>
      <c r="BY1790" s="1530"/>
      <c r="BZ1790" s="1530"/>
      <c r="CA1790" s="1530"/>
      <c r="CB1790" s="1530"/>
      <c r="CC1790" s="1530"/>
      <c r="CD1790" s="1530"/>
      <c r="CE1790" s="1530"/>
      <c r="CF1790" s="1530"/>
      <c r="CG1790" s="1530"/>
      <c r="CH1790" s="1530"/>
      <c r="CI1790" s="1530"/>
      <c r="CJ1790" s="1530"/>
      <c r="CK1790" s="1530"/>
      <c r="CL1790" s="1530"/>
      <c r="CM1790" s="1530"/>
      <c r="CN1790" s="1530"/>
      <c r="CO1790" s="1530"/>
      <c r="CP1790" s="1530"/>
      <c r="CQ1790" s="1530"/>
      <c r="CR1790" s="1530"/>
      <c r="CS1790" s="1530"/>
      <c r="CT1790" s="1530"/>
      <c r="CU1790" s="1530"/>
      <c r="CV1790" s="1530"/>
      <c r="CW1790" s="1530"/>
      <c r="CX1790" s="1530"/>
      <c r="CY1790" s="1530"/>
      <c r="CZ1790" s="1530"/>
      <c r="DA1790" s="1530"/>
      <c r="DB1790" s="1530"/>
      <c r="DC1790" s="1530"/>
      <c r="DD1790" s="1530"/>
      <c r="DE1790" s="1530"/>
      <c r="DF1790" s="1530"/>
      <c r="DG1790" s="1530"/>
      <c r="DH1790" s="1530"/>
      <c r="DI1790" s="1530"/>
      <c r="DJ1790" s="1530"/>
      <c r="DK1790" s="1530"/>
      <c r="DL1790" s="1530"/>
      <c r="DM1790" s="1530"/>
      <c r="DN1790" s="1530"/>
      <c r="DO1790" s="1530"/>
      <c r="DP1790" s="1530"/>
      <c r="DQ1790" s="1530"/>
      <c r="DR1790" s="1530"/>
      <c r="DS1790" s="1530"/>
      <c r="DT1790" s="1530"/>
      <c r="DU1790" s="1530"/>
      <c r="DV1790" s="1530"/>
      <c r="DW1790" s="1530"/>
      <c r="DX1790" s="1530"/>
      <c r="DY1790" s="1530"/>
      <c r="DZ1790" s="1530"/>
      <c r="EA1790" s="1530"/>
      <c r="EB1790" s="1530"/>
      <c r="EC1790" s="1530"/>
      <c r="ED1790" s="1530"/>
      <c r="EE1790" s="1530"/>
      <c r="EF1790" s="1530"/>
      <c r="EG1790" s="1530"/>
      <c r="EH1790" s="1530"/>
      <c r="EI1790" s="1530"/>
      <c r="EJ1790" s="1530"/>
      <c r="EK1790" s="1530"/>
      <c r="EL1790" s="1530"/>
      <c r="EM1790" s="1530"/>
      <c r="EN1790" s="1530"/>
      <c r="EO1790" s="1530"/>
      <c r="EP1790" s="1530"/>
      <c r="EQ1790" s="1530"/>
      <c r="ER1790" s="1530"/>
      <c r="ES1790" s="1530"/>
      <c r="ET1790" s="1530"/>
      <c r="EU1790" s="1530"/>
      <c r="EV1790" s="1530"/>
      <c r="EW1790" s="1530"/>
      <c r="EX1790" s="1530"/>
      <c r="EY1790" s="1530"/>
      <c r="EZ1790" s="1530"/>
      <c r="FA1790" s="1530"/>
      <c r="FB1790" s="1530"/>
      <c r="FC1790" s="1530"/>
      <c r="FD1790" s="1530"/>
      <c r="FE1790" s="1530"/>
      <c r="FF1790" s="1530"/>
      <c r="FG1790" s="1530"/>
      <c r="FH1790" s="1530"/>
      <c r="FI1790" s="1530"/>
      <c r="FJ1790" s="1530"/>
      <c r="FK1790" s="1530"/>
      <c r="FL1790" s="1530"/>
      <c r="FM1790" s="1530"/>
      <c r="FN1790" s="1530"/>
      <c r="FO1790" s="1530"/>
      <c r="FP1790" s="1530"/>
      <c r="FQ1790" s="1530"/>
      <c r="FR1790" s="1530"/>
      <c r="FS1790" s="1530"/>
      <c r="FT1790" s="1530"/>
      <c r="FU1790" s="1530"/>
      <c r="FV1790" s="1530"/>
      <c r="FW1790" s="1530"/>
      <c r="FX1790" s="1530"/>
      <c r="FY1790" s="1530"/>
      <c r="FZ1790" s="1530"/>
      <c r="GA1790" s="1530"/>
      <c r="GB1790" s="1530"/>
      <c r="GC1790" s="1530"/>
      <c r="GD1790" s="1530"/>
      <c r="GE1790" s="1530"/>
      <c r="GF1790" s="1530"/>
      <c r="GG1790" s="1530"/>
      <c r="GH1790" s="1530"/>
      <c r="GI1790" s="1530"/>
      <c r="GJ1790" s="1530"/>
      <c r="GK1790" s="1530"/>
      <c r="GL1790" s="1530"/>
      <c r="GM1790" s="1530"/>
      <c r="GN1790" s="1530"/>
      <c r="GO1790" s="1530"/>
      <c r="GP1790" s="1530"/>
      <c r="GQ1790" s="1530"/>
      <c r="GR1790" s="1530"/>
      <c r="GS1790" s="1530"/>
      <c r="GT1790" s="1530"/>
      <c r="GU1790" s="1530"/>
      <c r="GV1790" s="1530"/>
      <c r="GW1790" s="1530"/>
      <c r="GX1790" s="1530"/>
      <c r="GY1790" s="1530"/>
      <c r="GZ1790" s="1530"/>
      <c r="HA1790" s="1530"/>
      <c r="HB1790" s="1530"/>
      <c r="HC1790" s="1530"/>
      <c r="HD1790" s="1530"/>
      <c r="HE1790" s="1530"/>
      <c r="HF1790" s="1530"/>
      <c r="HG1790" s="1530"/>
      <c r="HH1790" s="1530"/>
      <c r="HI1790" s="1530"/>
      <c r="HJ1790" s="1530"/>
      <c r="HK1790" s="1530"/>
      <c r="HL1790" s="1530"/>
      <c r="HM1790" s="1530"/>
      <c r="HN1790" s="1530"/>
      <c r="HO1790" s="1530"/>
      <c r="HP1790" s="1530"/>
      <c r="HQ1790" s="1530"/>
      <c r="HR1790" s="1530"/>
      <c r="HS1790" s="1530"/>
      <c r="HT1790" s="1530"/>
      <c r="HU1790" s="1530"/>
      <c r="HV1790" s="1530"/>
      <c r="HW1790" s="1530"/>
      <c r="HX1790" s="1530"/>
      <c r="HY1790" s="1530"/>
      <c r="HZ1790" s="1530"/>
      <c r="IA1790" s="1530"/>
      <c r="IB1790" s="1530"/>
      <c r="IC1790" s="1530"/>
      <c r="ID1790" s="1530"/>
      <c r="IE1790" s="1530"/>
      <c r="IF1790" s="1530"/>
      <c r="IG1790" s="1530"/>
      <c r="IH1790" s="1530"/>
      <c r="II1790" s="1530"/>
      <c r="IJ1790" s="1530"/>
      <c r="IK1790" s="1530"/>
      <c r="IL1790" s="1530"/>
      <c r="IM1790" s="1530"/>
      <c r="IN1790" s="1530"/>
      <c r="IO1790" s="1530"/>
      <c r="IP1790" s="1530"/>
      <c r="IQ1790" s="1530"/>
      <c r="IR1790" s="1530"/>
      <c r="IS1790" s="1530"/>
      <c r="IT1790" s="1530"/>
      <c r="IU1790" s="1530"/>
      <c r="IV1790" s="1530"/>
      <c r="IW1790" s="1530"/>
      <c r="IX1790" s="1530"/>
      <c r="IY1790" s="1530"/>
      <c r="IZ1790" s="1530"/>
      <c r="JA1790" s="1530"/>
      <c r="JB1790" s="1530"/>
      <c r="JC1790" s="1530"/>
      <c r="JD1790" s="1530"/>
      <c r="JE1790" s="1530"/>
      <c r="JF1790" s="1530"/>
      <c r="JG1790" s="1530"/>
      <c r="JH1790" s="1530"/>
      <c r="JI1790" s="1530"/>
      <c r="JJ1790" s="1530"/>
      <c r="JK1790" s="1530"/>
      <c r="JL1790" s="1530"/>
      <c r="JM1790" s="1530"/>
      <c r="JN1790" s="1530"/>
      <c r="JO1790" s="1530"/>
      <c r="JP1790" s="1530"/>
      <c r="JQ1790" s="1530"/>
      <c r="JR1790" s="1530"/>
      <c r="JS1790" s="1530"/>
      <c r="JT1790" s="1530"/>
      <c r="JU1790" s="1530"/>
      <c r="JV1790" s="1530"/>
      <c r="JW1790" s="1530"/>
      <c r="JX1790" s="1530"/>
      <c r="JY1790" s="1530"/>
      <c r="JZ1790" s="1530"/>
      <c r="KA1790" s="1530"/>
      <c r="KB1790" s="1530"/>
      <c r="KC1790" s="1530"/>
      <c r="KD1790" s="1530"/>
      <c r="KE1790" s="1530"/>
      <c r="KF1790" s="1530"/>
      <c r="KG1790" s="1530"/>
      <c r="KH1790" s="1530"/>
      <c r="KI1790" s="1530"/>
      <c r="KJ1790" s="1530"/>
      <c r="KK1790" s="1530"/>
      <c r="KL1790" s="1530"/>
      <c r="KM1790" s="1530"/>
      <c r="KN1790" s="1530"/>
      <c r="KO1790" s="1530"/>
      <c r="KP1790" s="1530"/>
      <c r="KQ1790" s="1530"/>
      <c r="KR1790" s="1530"/>
      <c r="KS1790" s="1530"/>
      <c r="KT1790" s="1530"/>
      <c r="KU1790" s="1530"/>
      <c r="KV1790" s="1530"/>
      <c r="KW1790" s="1530"/>
      <c r="KX1790" s="1530"/>
      <c r="KY1790" s="1530"/>
      <c r="KZ1790" s="1530"/>
      <c r="LA1790" s="1530"/>
      <c r="LB1790" s="1530"/>
      <c r="LC1790" s="1530"/>
      <c r="LD1790" s="1530"/>
      <c r="LE1790" s="1530"/>
      <c r="LF1790" s="1530"/>
      <c r="LG1790" s="1530"/>
      <c r="LH1790" s="1530"/>
    </row>
    <row r="1791" spans="1:320" ht="12" customHeight="1">
      <c r="A1791" s="269" t="str">
        <f>IF(F1791="--","n","")</f>
        <v>n</v>
      </c>
      <c r="B1791" s="2060"/>
      <c r="C1791" s="2060"/>
      <c r="D1791" s="2060"/>
      <c r="E1791" s="1661">
        <v>1</v>
      </c>
      <c r="F1791" s="1353" t="str">
        <f>F$129</f>
        <v>--</v>
      </c>
      <c r="G1791" s="128">
        <f>G$129</f>
        <v>0</v>
      </c>
      <c r="H1791" s="128" t="str">
        <f>H$129</f>
        <v>--</v>
      </c>
      <c r="I1791" s="89"/>
      <c r="J1791" s="2198" t="str">
        <f t="shared" ref="J1791:V1791" si="481">IFERROR(J1704+N(J1733)+N(J1762),"n/a")</f>
        <v>n/a</v>
      </c>
      <c r="K1791" s="2198" t="str">
        <f t="shared" si="481"/>
        <v>n/a</v>
      </c>
      <c r="L1791" s="2198" t="str">
        <f t="shared" si="480"/>
        <v>n/a</v>
      </c>
      <c r="M1791" s="2198" t="str">
        <f t="shared" si="480"/>
        <v>n/a</v>
      </c>
      <c r="N1791" s="2198" t="str">
        <f t="shared" si="480"/>
        <v>n/a</v>
      </c>
      <c r="O1791" s="2198" t="str">
        <f t="shared" si="481"/>
        <v>n/a</v>
      </c>
      <c r="P1791" s="2198" t="str">
        <f t="shared" si="481"/>
        <v>n/a</v>
      </c>
      <c r="Q1791" s="2198" t="str">
        <f t="shared" si="481"/>
        <v>n/a</v>
      </c>
      <c r="R1791" s="2198" t="str">
        <f t="shared" si="481"/>
        <v>n/a</v>
      </c>
      <c r="S1791" s="2198" t="str">
        <f t="shared" si="481"/>
        <v>n/a</v>
      </c>
      <c r="T1791" s="2198" t="str">
        <f t="shared" si="481"/>
        <v>n/a</v>
      </c>
      <c r="U1791" s="2198" t="str">
        <f t="shared" si="481"/>
        <v>n/a</v>
      </c>
      <c r="V1791" s="2198" t="str">
        <f t="shared" si="481"/>
        <v>n/a</v>
      </c>
      <c r="W1791" s="1479"/>
      <c r="X1791" s="255"/>
      <c r="Y1791" s="89"/>
      <c r="Z1791" s="2060"/>
      <c r="AA1791" s="2060"/>
      <c r="AB1791" s="2060"/>
      <c r="AC1791" s="2060"/>
      <c r="AD1791" s="2060"/>
      <c r="AE1791" s="2060"/>
      <c r="AF1791" s="2060"/>
      <c r="AG1791" s="1530"/>
      <c r="AH1791" s="1530"/>
      <c r="AI1791" s="1530"/>
      <c r="AJ1791" s="1530"/>
      <c r="AK1791" s="1530"/>
      <c r="AL1791" s="1530"/>
      <c r="AM1791" s="1530"/>
      <c r="AN1791" s="1530"/>
      <c r="AO1791" s="1530"/>
      <c r="AP1791" s="1530"/>
      <c r="AQ1791" s="1530"/>
      <c r="AR1791" s="1530"/>
      <c r="AS1791" s="1530"/>
      <c r="AT1791" s="1530"/>
      <c r="AU1791" s="1530"/>
      <c r="AV1791" s="1530"/>
      <c r="AW1791" s="1530"/>
      <c r="AX1791" s="1530"/>
      <c r="AY1791" s="1530"/>
      <c r="AZ1791" s="1530"/>
      <c r="BA1791" s="1530"/>
      <c r="BB1791" s="1530"/>
      <c r="BC1791" s="1530"/>
      <c r="BD1791" s="1530"/>
      <c r="BE1791" s="1530"/>
      <c r="BF1791" s="1530"/>
      <c r="BG1791" s="1530"/>
      <c r="BH1791" s="1530"/>
      <c r="BI1791" s="1530"/>
      <c r="BJ1791" s="1530"/>
      <c r="BK1791" s="1530"/>
      <c r="BL1791" s="1530"/>
      <c r="BM1791" s="1530"/>
      <c r="BN1791" s="1530"/>
      <c r="BO1791" s="1530"/>
      <c r="BP1791" s="1530"/>
      <c r="BQ1791" s="1530"/>
      <c r="BR1791" s="1530"/>
      <c r="BS1791" s="1530"/>
      <c r="BT1791" s="1530"/>
      <c r="BU1791" s="1530"/>
      <c r="BV1791" s="1530"/>
      <c r="BW1791" s="1530"/>
      <c r="BX1791" s="1530"/>
      <c r="BY1791" s="1530"/>
      <c r="BZ1791" s="1530"/>
      <c r="CA1791" s="1530"/>
      <c r="CB1791" s="1530"/>
      <c r="CC1791" s="1530"/>
      <c r="CD1791" s="1530"/>
      <c r="CE1791" s="1530"/>
      <c r="CF1791" s="1530"/>
      <c r="CG1791" s="1530"/>
      <c r="CH1791" s="1530"/>
      <c r="CI1791" s="1530"/>
      <c r="CJ1791" s="1530"/>
      <c r="CK1791" s="1530"/>
      <c r="CL1791" s="1530"/>
      <c r="CM1791" s="1530"/>
      <c r="CN1791" s="1530"/>
      <c r="CO1791" s="1530"/>
      <c r="CP1791" s="1530"/>
      <c r="CQ1791" s="1530"/>
      <c r="CR1791" s="1530"/>
      <c r="CS1791" s="1530"/>
      <c r="CT1791" s="1530"/>
      <c r="CU1791" s="1530"/>
      <c r="CV1791" s="1530"/>
      <c r="CW1791" s="1530"/>
      <c r="CX1791" s="1530"/>
      <c r="CY1791" s="1530"/>
      <c r="CZ1791" s="1530"/>
      <c r="DA1791" s="1530"/>
      <c r="DB1791" s="1530"/>
      <c r="DC1791" s="1530"/>
      <c r="DD1791" s="1530"/>
      <c r="DE1791" s="1530"/>
      <c r="DF1791" s="1530"/>
      <c r="DG1791" s="1530"/>
      <c r="DH1791" s="1530"/>
      <c r="DI1791" s="1530"/>
      <c r="DJ1791" s="1530"/>
      <c r="DK1791" s="1530"/>
      <c r="DL1791" s="1530"/>
      <c r="DM1791" s="1530"/>
      <c r="DN1791" s="1530"/>
      <c r="DO1791" s="1530"/>
      <c r="DP1791" s="1530"/>
      <c r="DQ1791" s="1530"/>
      <c r="DR1791" s="1530"/>
      <c r="DS1791" s="1530"/>
      <c r="DT1791" s="1530"/>
      <c r="DU1791" s="1530"/>
      <c r="DV1791" s="1530"/>
      <c r="DW1791" s="1530"/>
      <c r="DX1791" s="1530"/>
      <c r="DY1791" s="1530"/>
      <c r="DZ1791" s="1530"/>
      <c r="EA1791" s="1530"/>
      <c r="EB1791" s="1530"/>
      <c r="EC1791" s="1530"/>
      <c r="ED1791" s="1530"/>
      <c r="EE1791" s="1530"/>
      <c r="EF1791" s="1530"/>
      <c r="EG1791" s="1530"/>
      <c r="EH1791" s="1530"/>
      <c r="EI1791" s="1530"/>
      <c r="EJ1791" s="1530"/>
      <c r="EK1791" s="1530"/>
      <c r="EL1791" s="1530"/>
      <c r="EM1791" s="1530"/>
      <c r="EN1791" s="1530"/>
      <c r="EO1791" s="1530"/>
      <c r="EP1791" s="1530"/>
      <c r="EQ1791" s="1530"/>
      <c r="ER1791" s="1530"/>
      <c r="ES1791" s="1530"/>
      <c r="ET1791" s="1530"/>
      <c r="EU1791" s="1530"/>
      <c r="EV1791" s="1530"/>
      <c r="EW1791" s="1530"/>
      <c r="EX1791" s="1530"/>
      <c r="EY1791" s="1530"/>
      <c r="EZ1791" s="1530"/>
      <c r="FA1791" s="1530"/>
      <c r="FB1791" s="1530"/>
      <c r="FC1791" s="1530"/>
      <c r="FD1791" s="1530"/>
      <c r="FE1791" s="1530"/>
      <c r="FF1791" s="1530"/>
      <c r="FG1791" s="1530"/>
      <c r="FH1791" s="1530"/>
      <c r="FI1791" s="1530"/>
      <c r="FJ1791" s="1530"/>
      <c r="FK1791" s="1530"/>
      <c r="FL1791" s="1530"/>
      <c r="FM1791" s="1530"/>
      <c r="FN1791" s="1530"/>
      <c r="FO1791" s="1530"/>
      <c r="FP1791" s="1530"/>
      <c r="FQ1791" s="1530"/>
      <c r="FR1791" s="1530"/>
      <c r="FS1791" s="1530"/>
      <c r="FT1791" s="1530"/>
      <c r="FU1791" s="1530"/>
      <c r="FV1791" s="1530"/>
      <c r="FW1791" s="1530"/>
      <c r="FX1791" s="1530"/>
      <c r="FY1791" s="1530"/>
      <c r="FZ1791" s="1530"/>
      <c r="GA1791" s="1530"/>
      <c r="GB1791" s="1530"/>
      <c r="GC1791" s="1530"/>
      <c r="GD1791" s="1530"/>
      <c r="GE1791" s="1530"/>
      <c r="GF1791" s="1530"/>
      <c r="GG1791" s="1530"/>
      <c r="GH1791" s="1530"/>
      <c r="GI1791" s="1530"/>
      <c r="GJ1791" s="1530"/>
      <c r="GK1791" s="1530"/>
      <c r="GL1791" s="1530"/>
      <c r="GM1791" s="1530"/>
      <c r="GN1791" s="1530"/>
      <c r="GO1791" s="1530"/>
      <c r="GP1791" s="1530"/>
      <c r="GQ1791" s="1530"/>
      <c r="GR1791" s="1530"/>
      <c r="GS1791" s="1530"/>
      <c r="GT1791" s="1530"/>
      <c r="GU1791" s="1530"/>
      <c r="GV1791" s="1530"/>
      <c r="GW1791" s="1530"/>
      <c r="GX1791" s="1530"/>
      <c r="GY1791" s="1530"/>
      <c r="GZ1791" s="1530"/>
      <c r="HA1791" s="1530"/>
      <c r="HB1791" s="1530"/>
      <c r="HC1791" s="1530"/>
      <c r="HD1791" s="1530"/>
      <c r="HE1791" s="1530"/>
      <c r="HF1791" s="1530"/>
      <c r="HG1791" s="1530"/>
      <c r="HH1791" s="1530"/>
      <c r="HI1791" s="1530"/>
      <c r="HJ1791" s="1530"/>
      <c r="HK1791" s="1530"/>
      <c r="HL1791" s="1530"/>
      <c r="HM1791" s="1530"/>
      <c r="HN1791" s="1530"/>
      <c r="HO1791" s="1530"/>
      <c r="HP1791" s="1530"/>
      <c r="HQ1791" s="1530"/>
      <c r="HR1791" s="1530"/>
      <c r="HS1791" s="1530"/>
      <c r="HT1791" s="1530"/>
      <c r="HU1791" s="1530"/>
      <c r="HV1791" s="1530"/>
      <c r="HW1791" s="1530"/>
      <c r="HX1791" s="1530"/>
      <c r="HY1791" s="1530"/>
      <c r="HZ1791" s="1530"/>
      <c r="IA1791" s="1530"/>
      <c r="IB1791" s="1530"/>
      <c r="IC1791" s="1530"/>
      <c r="ID1791" s="1530"/>
      <c r="IE1791" s="1530"/>
      <c r="IF1791" s="1530"/>
      <c r="IG1791" s="1530"/>
      <c r="IH1791" s="1530"/>
      <c r="II1791" s="1530"/>
      <c r="IJ1791" s="1530"/>
      <c r="IK1791" s="1530"/>
      <c r="IL1791" s="1530"/>
      <c r="IM1791" s="1530"/>
      <c r="IN1791" s="1530"/>
      <c r="IO1791" s="1530"/>
      <c r="IP1791" s="1530"/>
      <c r="IQ1791" s="1530"/>
      <c r="IR1791" s="1530"/>
      <c r="IS1791" s="1530"/>
      <c r="IT1791" s="1530"/>
      <c r="IU1791" s="1530"/>
      <c r="IV1791" s="1530"/>
      <c r="IW1791" s="1530"/>
      <c r="IX1791" s="1530"/>
      <c r="IY1791" s="1530"/>
      <c r="IZ1791" s="1530"/>
      <c r="JA1791" s="1530"/>
      <c r="JB1791" s="1530"/>
      <c r="JC1791" s="1530"/>
      <c r="JD1791" s="1530"/>
      <c r="JE1791" s="1530"/>
      <c r="JF1791" s="1530"/>
      <c r="JG1791" s="1530"/>
      <c r="JH1791" s="1530"/>
      <c r="JI1791" s="1530"/>
      <c r="JJ1791" s="1530"/>
      <c r="JK1791" s="1530"/>
      <c r="JL1791" s="1530"/>
      <c r="JM1791" s="1530"/>
      <c r="JN1791" s="1530"/>
      <c r="JO1791" s="1530"/>
      <c r="JP1791" s="1530"/>
      <c r="JQ1791" s="1530"/>
      <c r="JR1791" s="1530"/>
      <c r="JS1791" s="1530"/>
      <c r="JT1791" s="1530"/>
      <c r="JU1791" s="1530"/>
      <c r="JV1791" s="1530"/>
      <c r="JW1791" s="1530"/>
      <c r="JX1791" s="1530"/>
      <c r="JY1791" s="1530"/>
      <c r="JZ1791" s="1530"/>
      <c r="KA1791" s="1530"/>
      <c r="KB1791" s="1530"/>
      <c r="KC1791" s="1530"/>
      <c r="KD1791" s="1530"/>
      <c r="KE1791" s="1530"/>
      <c r="KF1791" s="1530"/>
      <c r="KG1791" s="1530"/>
      <c r="KH1791" s="1530"/>
      <c r="KI1791" s="1530"/>
      <c r="KJ1791" s="1530"/>
      <c r="KK1791" s="1530"/>
      <c r="KL1791" s="1530"/>
      <c r="KM1791" s="1530"/>
      <c r="KN1791" s="1530"/>
      <c r="KO1791" s="1530"/>
      <c r="KP1791" s="1530"/>
      <c r="KQ1791" s="1530"/>
      <c r="KR1791" s="1530"/>
      <c r="KS1791" s="1530"/>
      <c r="KT1791" s="1530"/>
      <c r="KU1791" s="1530"/>
      <c r="KV1791" s="1530"/>
      <c r="KW1791" s="1530"/>
      <c r="KX1791" s="1530"/>
      <c r="KY1791" s="1530"/>
      <c r="KZ1791" s="1530"/>
      <c r="LA1791" s="1530"/>
      <c r="LB1791" s="1530"/>
      <c r="LC1791" s="1530"/>
      <c r="LD1791" s="1530"/>
      <c r="LE1791" s="1530"/>
      <c r="LF1791" s="1530"/>
      <c r="LG1791" s="1530"/>
      <c r="LH1791" s="1530"/>
    </row>
    <row r="1792" spans="1:320" ht="12" customHeight="1">
      <c r="A1792" s="269" t="str">
        <f t="shared" ref="A1792:A1815" si="482">IF(F1792="--","n","")</f>
        <v>n</v>
      </c>
      <c r="B1792" s="2060"/>
      <c r="C1792" s="2060"/>
      <c r="D1792" s="2060"/>
      <c r="E1792" s="1661">
        <v>2</v>
      </c>
      <c r="F1792" s="1353" t="str">
        <f>F$130</f>
        <v>--</v>
      </c>
      <c r="G1792" s="128">
        <f>G$130</f>
        <v>0</v>
      </c>
      <c r="H1792" s="128" t="str">
        <f>H$130</f>
        <v>--</v>
      </c>
      <c r="I1792" s="89"/>
      <c r="J1792" s="2198" t="str">
        <f t="shared" ref="J1792:V1792" si="483">IFERROR(J1705+N(J1734)+N(J1763),"n/a")</f>
        <v>n/a</v>
      </c>
      <c r="K1792" s="2198" t="str">
        <f t="shared" si="483"/>
        <v>n/a</v>
      </c>
      <c r="L1792" s="2198" t="str">
        <f t="shared" si="480"/>
        <v>n/a</v>
      </c>
      <c r="M1792" s="2198" t="str">
        <f t="shared" si="480"/>
        <v>n/a</v>
      </c>
      <c r="N1792" s="2198" t="str">
        <f t="shared" si="480"/>
        <v>n/a</v>
      </c>
      <c r="O1792" s="2198" t="str">
        <f t="shared" si="483"/>
        <v>n/a</v>
      </c>
      <c r="P1792" s="2198" t="str">
        <f t="shared" si="483"/>
        <v>n/a</v>
      </c>
      <c r="Q1792" s="2198" t="str">
        <f t="shared" si="483"/>
        <v>n/a</v>
      </c>
      <c r="R1792" s="2198" t="str">
        <f t="shared" si="483"/>
        <v>n/a</v>
      </c>
      <c r="S1792" s="2198" t="str">
        <f t="shared" si="483"/>
        <v>n/a</v>
      </c>
      <c r="T1792" s="2198" t="str">
        <f t="shared" si="483"/>
        <v>n/a</v>
      </c>
      <c r="U1792" s="2198" t="str">
        <f t="shared" si="483"/>
        <v>n/a</v>
      </c>
      <c r="V1792" s="2198" t="str">
        <f t="shared" si="483"/>
        <v>n/a</v>
      </c>
      <c r="W1792" s="1479"/>
      <c r="X1792" s="255"/>
      <c r="Y1792" s="89"/>
      <c r="Z1792" s="2060"/>
      <c r="AA1792" s="2060"/>
      <c r="AB1792" s="2060"/>
      <c r="AC1792" s="2060"/>
      <c r="AD1792" s="2060"/>
      <c r="AE1792" s="2060"/>
      <c r="AF1792" s="2060"/>
      <c r="AG1792" s="1530"/>
      <c r="AH1792" s="1530"/>
      <c r="AI1792" s="1530"/>
      <c r="AJ1792" s="1530"/>
      <c r="AK1792" s="1530"/>
      <c r="AL1792" s="1530"/>
      <c r="AM1792" s="1530"/>
      <c r="AN1792" s="1530"/>
      <c r="AO1792" s="1530"/>
      <c r="AP1792" s="1530"/>
      <c r="AQ1792" s="1530"/>
      <c r="AR1792" s="1530"/>
      <c r="AS1792" s="1530"/>
      <c r="AT1792" s="1530"/>
      <c r="AU1792" s="1530"/>
      <c r="AV1792" s="1530"/>
      <c r="AW1792" s="1530"/>
      <c r="AX1792" s="1530"/>
      <c r="AY1792" s="1530"/>
      <c r="AZ1792" s="1530"/>
      <c r="BA1792" s="1530"/>
      <c r="BB1792" s="1530"/>
      <c r="BC1792" s="1530"/>
      <c r="BD1792" s="1530"/>
      <c r="BE1792" s="1530"/>
      <c r="BF1792" s="1530"/>
      <c r="BG1792" s="1530"/>
      <c r="BH1792" s="1530"/>
      <c r="BI1792" s="1530"/>
      <c r="BJ1792" s="1530"/>
      <c r="BK1792" s="1530"/>
      <c r="BL1792" s="1530"/>
      <c r="BM1792" s="1530"/>
      <c r="BN1792" s="1530"/>
      <c r="BO1792" s="1530"/>
      <c r="BP1792" s="1530"/>
      <c r="BQ1792" s="1530"/>
      <c r="BR1792" s="1530"/>
      <c r="BS1792" s="1530"/>
      <c r="BT1792" s="1530"/>
      <c r="BU1792" s="1530"/>
      <c r="BV1792" s="1530"/>
      <c r="BW1792" s="1530"/>
      <c r="BX1792" s="1530"/>
      <c r="BY1792" s="1530"/>
      <c r="BZ1792" s="1530"/>
      <c r="CA1792" s="1530"/>
      <c r="CB1792" s="1530"/>
      <c r="CC1792" s="1530"/>
      <c r="CD1792" s="1530"/>
      <c r="CE1792" s="1530"/>
      <c r="CF1792" s="1530"/>
      <c r="CG1792" s="1530"/>
      <c r="CH1792" s="1530"/>
      <c r="CI1792" s="1530"/>
      <c r="CJ1792" s="1530"/>
      <c r="CK1792" s="1530"/>
      <c r="CL1792" s="1530"/>
      <c r="CM1792" s="1530"/>
      <c r="CN1792" s="1530"/>
      <c r="CO1792" s="1530"/>
      <c r="CP1792" s="1530"/>
      <c r="CQ1792" s="1530"/>
      <c r="CR1792" s="1530"/>
      <c r="CS1792" s="1530"/>
      <c r="CT1792" s="1530"/>
      <c r="CU1792" s="1530"/>
      <c r="CV1792" s="1530"/>
      <c r="CW1792" s="1530"/>
      <c r="CX1792" s="1530"/>
      <c r="CY1792" s="1530"/>
      <c r="CZ1792" s="1530"/>
      <c r="DA1792" s="1530"/>
      <c r="DB1792" s="1530"/>
      <c r="DC1792" s="1530"/>
      <c r="DD1792" s="1530"/>
      <c r="DE1792" s="1530"/>
      <c r="DF1792" s="1530"/>
      <c r="DG1792" s="1530"/>
      <c r="DH1792" s="1530"/>
      <c r="DI1792" s="1530"/>
      <c r="DJ1792" s="1530"/>
      <c r="DK1792" s="1530"/>
      <c r="DL1792" s="1530"/>
      <c r="DM1792" s="1530"/>
      <c r="DN1792" s="1530"/>
      <c r="DO1792" s="1530"/>
      <c r="DP1792" s="1530"/>
      <c r="DQ1792" s="1530"/>
      <c r="DR1792" s="1530"/>
      <c r="DS1792" s="1530"/>
      <c r="DT1792" s="1530"/>
      <c r="DU1792" s="1530"/>
      <c r="DV1792" s="1530"/>
      <c r="DW1792" s="1530"/>
      <c r="DX1792" s="1530"/>
      <c r="DY1792" s="1530"/>
      <c r="DZ1792" s="1530"/>
      <c r="EA1792" s="1530"/>
      <c r="EB1792" s="1530"/>
      <c r="EC1792" s="1530"/>
      <c r="ED1792" s="1530"/>
      <c r="EE1792" s="1530"/>
      <c r="EF1792" s="1530"/>
      <c r="EG1792" s="1530"/>
      <c r="EH1792" s="1530"/>
      <c r="EI1792" s="1530"/>
      <c r="EJ1792" s="1530"/>
      <c r="EK1792" s="1530"/>
      <c r="EL1792" s="1530"/>
      <c r="EM1792" s="1530"/>
      <c r="EN1792" s="1530"/>
      <c r="EO1792" s="1530"/>
      <c r="EP1792" s="1530"/>
      <c r="EQ1792" s="1530"/>
      <c r="ER1792" s="1530"/>
      <c r="ES1792" s="1530"/>
      <c r="ET1792" s="1530"/>
      <c r="EU1792" s="1530"/>
      <c r="EV1792" s="1530"/>
      <c r="EW1792" s="1530"/>
      <c r="EX1792" s="1530"/>
      <c r="EY1792" s="1530"/>
      <c r="EZ1792" s="1530"/>
      <c r="FA1792" s="1530"/>
      <c r="FB1792" s="1530"/>
      <c r="FC1792" s="1530"/>
      <c r="FD1792" s="1530"/>
      <c r="FE1792" s="1530"/>
      <c r="FF1792" s="1530"/>
      <c r="FG1792" s="1530"/>
      <c r="FH1792" s="1530"/>
      <c r="FI1792" s="1530"/>
      <c r="FJ1792" s="1530"/>
      <c r="FK1792" s="1530"/>
      <c r="FL1792" s="1530"/>
      <c r="FM1792" s="1530"/>
      <c r="FN1792" s="1530"/>
      <c r="FO1792" s="1530"/>
      <c r="FP1792" s="1530"/>
      <c r="FQ1792" s="1530"/>
      <c r="FR1792" s="1530"/>
      <c r="FS1792" s="1530"/>
      <c r="FT1792" s="1530"/>
      <c r="FU1792" s="1530"/>
      <c r="FV1792" s="1530"/>
      <c r="FW1792" s="1530"/>
      <c r="FX1792" s="1530"/>
      <c r="FY1792" s="1530"/>
      <c r="FZ1792" s="1530"/>
      <c r="GA1792" s="1530"/>
      <c r="GB1792" s="1530"/>
      <c r="GC1792" s="1530"/>
      <c r="GD1792" s="1530"/>
      <c r="GE1792" s="1530"/>
      <c r="GF1792" s="1530"/>
      <c r="GG1792" s="1530"/>
      <c r="GH1792" s="1530"/>
      <c r="GI1792" s="1530"/>
      <c r="GJ1792" s="1530"/>
      <c r="GK1792" s="1530"/>
      <c r="GL1792" s="1530"/>
      <c r="GM1792" s="1530"/>
      <c r="GN1792" s="1530"/>
      <c r="GO1792" s="1530"/>
      <c r="GP1792" s="1530"/>
      <c r="GQ1792" s="1530"/>
      <c r="GR1792" s="1530"/>
      <c r="GS1792" s="1530"/>
      <c r="GT1792" s="1530"/>
      <c r="GU1792" s="1530"/>
      <c r="GV1792" s="1530"/>
      <c r="GW1792" s="1530"/>
      <c r="GX1792" s="1530"/>
      <c r="GY1792" s="1530"/>
      <c r="GZ1792" s="1530"/>
      <c r="HA1792" s="1530"/>
      <c r="HB1792" s="1530"/>
      <c r="HC1792" s="1530"/>
      <c r="HD1792" s="1530"/>
      <c r="HE1792" s="1530"/>
      <c r="HF1792" s="1530"/>
      <c r="HG1792" s="1530"/>
      <c r="HH1792" s="1530"/>
      <c r="HI1792" s="1530"/>
      <c r="HJ1792" s="1530"/>
      <c r="HK1792" s="1530"/>
      <c r="HL1792" s="1530"/>
      <c r="HM1792" s="1530"/>
      <c r="HN1792" s="1530"/>
      <c r="HO1792" s="1530"/>
      <c r="HP1792" s="1530"/>
      <c r="HQ1792" s="1530"/>
      <c r="HR1792" s="1530"/>
      <c r="HS1792" s="1530"/>
      <c r="HT1792" s="1530"/>
      <c r="HU1792" s="1530"/>
      <c r="HV1792" s="1530"/>
      <c r="HW1792" s="1530"/>
      <c r="HX1792" s="1530"/>
      <c r="HY1792" s="1530"/>
      <c r="HZ1792" s="1530"/>
      <c r="IA1792" s="1530"/>
      <c r="IB1792" s="1530"/>
      <c r="IC1792" s="1530"/>
      <c r="ID1792" s="1530"/>
      <c r="IE1792" s="1530"/>
      <c r="IF1792" s="1530"/>
      <c r="IG1792" s="1530"/>
      <c r="IH1792" s="1530"/>
      <c r="II1792" s="1530"/>
      <c r="IJ1792" s="1530"/>
      <c r="IK1792" s="1530"/>
      <c r="IL1792" s="1530"/>
      <c r="IM1792" s="1530"/>
      <c r="IN1792" s="1530"/>
      <c r="IO1792" s="1530"/>
      <c r="IP1792" s="1530"/>
      <c r="IQ1792" s="1530"/>
      <c r="IR1792" s="1530"/>
      <c r="IS1792" s="1530"/>
      <c r="IT1792" s="1530"/>
      <c r="IU1792" s="1530"/>
      <c r="IV1792" s="1530"/>
      <c r="IW1792" s="1530"/>
      <c r="IX1792" s="1530"/>
      <c r="IY1792" s="1530"/>
      <c r="IZ1792" s="1530"/>
      <c r="JA1792" s="1530"/>
      <c r="JB1792" s="1530"/>
      <c r="JC1792" s="1530"/>
      <c r="JD1792" s="1530"/>
      <c r="JE1792" s="1530"/>
      <c r="JF1792" s="1530"/>
      <c r="JG1792" s="1530"/>
      <c r="JH1792" s="1530"/>
      <c r="JI1792" s="1530"/>
      <c r="JJ1792" s="1530"/>
      <c r="JK1792" s="1530"/>
      <c r="JL1792" s="1530"/>
      <c r="JM1792" s="1530"/>
      <c r="JN1792" s="1530"/>
      <c r="JO1792" s="1530"/>
      <c r="JP1792" s="1530"/>
      <c r="JQ1792" s="1530"/>
      <c r="JR1792" s="1530"/>
      <c r="JS1792" s="1530"/>
      <c r="JT1792" s="1530"/>
      <c r="JU1792" s="1530"/>
      <c r="JV1792" s="1530"/>
      <c r="JW1792" s="1530"/>
      <c r="JX1792" s="1530"/>
      <c r="JY1792" s="1530"/>
      <c r="JZ1792" s="1530"/>
      <c r="KA1792" s="1530"/>
      <c r="KB1792" s="1530"/>
      <c r="KC1792" s="1530"/>
      <c r="KD1792" s="1530"/>
      <c r="KE1792" s="1530"/>
      <c r="KF1792" s="1530"/>
      <c r="KG1792" s="1530"/>
      <c r="KH1792" s="1530"/>
      <c r="KI1792" s="1530"/>
      <c r="KJ1792" s="1530"/>
      <c r="KK1792" s="1530"/>
      <c r="KL1792" s="1530"/>
      <c r="KM1792" s="1530"/>
      <c r="KN1792" s="1530"/>
      <c r="KO1792" s="1530"/>
      <c r="KP1792" s="1530"/>
      <c r="KQ1792" s="1530"/>
      <c r="KR1792" s="1530"/>
      <c r="KS1792" s="1530"/>
      <c r="KT1792" s="1530"/>
      <c r="KU1792" s="1530"/>
      <c r="KV1792" s="1530"/>
      <c r="KW1792" s="1530"/>
      <c r="KX1792" s="1530"/>
      <c r="KY1792" s="1530"/>
      <c r="KZ1792" s="1530"/>
      <c r="LA1792" s="1530"/>
      <c r="LB1792" s="1530"/>
      <c r="LC1792" s="1530"/>
      <c r="LD1792" s="1530"/>
      <c r="LE1792" s="1530"/>
      <c r="LF1792" s="1530"/>
      <c r="LG1792" s="1530"/>
      <c r="LH1792" s="1530"/>
    </row>
    <row r="1793" spans="1:320" ht="12" customHeight="1">
      <c r="A1793" s="269" t="str">
        <f t="shared" si="482"/>
        <v>n</v>
      </c>
      <c r="B1793" s="2060"/>
      <c r="C1793" s="2060"/>
      <c r="D1793" s="2060"/>
      <c r="E1793" s="1661">
        <v>3</v>
      </c>
      <c r="F1793" s="1353" t="str">
        <f>F$131</f>
        <v>--</v>
      </c>
      <c r="G1793" s="128">
        <f>G$131</f>
        <v>0</v>
      </c>
      <c r="H1793" s="128" t="str">
        <f>H$131</f>
        <v>--</v>
      </c>
      <c r="I1793" s="89"/>
      <c r="J1793" s="2198" t="str">
        <f t="shared" ref="J1793:V1793" si="484">IFERROR(J1706+N(J1735)+N(J1764),"n/a")</f>
        <v>n/a</v>
      </c>
      <c r="K1793" s="2198" t="str">
        <f t="shared" si="484"/>
        <v>n/a</v>
      </c>
      <c r="L1793" s="2198" t="str">
        <f t="shared" si="480"/>
        <v>n/a</v>
      </c>
      <c r="M1793" s="2198" t="str">
        <f t="shared" si="480"/>
        <v>n/a</v>
      </c>
      <c r="N1793" s="2198" t="str">
        <f t="shared" si="480"/>
        <v>n/a</v>
      </c>
      <c r="O1793" s="2198" t="str">
        <f t="shared" si="484"/>
        <v>n/a</v>
      </c>
      <c r="P1793" s="2198" t="str">
        <f t="shared" si="484"/>
        <v>n/a</v>
      </c>
      <c r="Q1793" s="2198" t="str">
        <f t="shared" si="484"/>
        <v>n/a</v>
      </c>
      <c r="R1793" s="2198" t="str">
        <f t="shared" si="484"/>
        <v>n/a</v>
      </c>
      <c r="S1793" s="2198" t="str">
        <f t="shared" si="484"/>
        <v>n/a</v>
      </c>
      <c r="T1793" s="2198" t="str">
        <f t="shared" si="484"/>
        <v>n/a</v>
      </c>
      <c r="U1793" s="2198" t="str">
        <f t="shared" si="484"/>
        <v>n/a</v>
      </c>
      <c r="V1793" s="2198" t="str">
        <f t="shared" si="484"/>
        <v>n/a</v>
      </c>
      <c r="W1793" s="1479"/>
      <c r="X1793" s="255"/>
      <c r="Y1793" s="89"/>
      <c r="Z1793" s="2060"/>
      <c r="AA1793" s="2060"/>
      <c r="AB1793" s="2060"/>
      <c r="AC1793" s="2060"/>
      <c r="AD1793" s="2060"/>
      <c r="AE1793" s="2060"/>
      <c r="AF1793" s="2060"/>
      <c r="AG1793" s="1530"/>
      <c r="AH1793" s="1530"/>
      <c r="AI1793" s="1530"/>
      <c r="AJ1793" s="1530"/>
      <c r="AK1793" s="1530"/>
      <c r="AL1793" s="1530"/>
      <c r="AM1793" s="1530"/>
      <c r="AN1793" s="1530"/>
      <c r="AO1793" s="1530"/>
      <c r="AP1793" s="1530"/>
      <c r="AQ1793" s="1530"/>
      <c r="AR1793" s="1530"/>
      <c r="AS1793" s="1530"/>
      <c r="AT1793" s="1530"/>
      <c r="AU1793" s="1530"/>
      <c r="AV1793" s="1530"/>
      <c r="AW1793" s="1530"/>
      <c r="AX1793" s="1530"/>
      <c r="AY1793" s="1530"/>
      <c r="AZ1793" s="1530"/>
      <c r="BA1793" s="1530"/>
      <c r="BB1793" s="1530"/>
      <c r="BC1793" s="1530"/>
      <c r="BD1793" s="1530"/>
      <c r="BE1793" s="1530"/>
      <c r="BF1793" s="1530"/>
      <c r="BG1793" s="1530"/>
      <c r="BH1793" s="1530"/>
      <c r="BI1793" s="1530"/>
      <c r="BJ1793" s="1530"/>
      <c r="BK1793" s="1530"/>
      <c r="BL1793" s="1530"/>
      <c r="BM1793" s="1530"/>
      <c r="BN1793" s="1530"/>
      <c r="BO1793" s="1530"/>
      <c r="BP1793" s="1530"/>
      <c r="BQ1793" s="1530"/>
      <c r="BR1793" s="1530"/>
      <c r="BS1793" s="1530"/>
      <c r="BT1793" s="1530"/>
      <c r="BU1793" s="1530"/>
      <c r="BV1793" s="1530"/>
      <c r="BW1793" s="1530"/>
      <c r="BX1793" s="1530"/>
      <c r="BY1793" s="1530"/>
      <c r="BZ1793" s="1530"/>
      <c r="CA1793" s="1530"/>
      <c r="CB1793" s="1530"/>
      <c r="CC1793" s="1530"/>
      <c r="CD1793" s="1530"/>
      <c r="CE1793" s="1530"/>
      <c r="CF1793" s="1530"/>
      <c r="CG1793" s="1530"/>
      <c r="CH1793" s="1530"/>
      <c r="CI1793" s="1530"/>
      <c r="CJ1793" s="1530"/>
      <c r="CK1793" s="1530"/>
      <c r="CL1793" s="1530"/>
      <c r="CM1793" s="1530"/>
      <c r="CN1793" s="1530"/>
      <c r="CO1793" s="1530"/>
      <c r="CP1793" s="1530"/>
      <c r="CQ1793" s="1530"/>
      <c r="CR1793" s="1530"/>
      <c r="CS1793" s="1530"/>
      <c r="CT1793" s="1530"/>
      <c r="CU1793" s="1530"/>
      <c r="CV1793" s="1530"/>
      <c r="CW1793" s="1530"/>
      <c r="CX1793" s="1530"/>
      <c r="CY1793" s="1530"/>
      <c r="CZ1793" s="1530"/>
      <c r="DA1793" s="1530"/>
      <c r="DB1793" s="1530"/>
      <c r="DC1793" s="1530"/>
      <c r="DD1793" s="1530"/>
      <c r="DE1793" s="1530"/>
      <c r="DF1793" s="1530"/>
      <c r="DG1793" s="1530"/>
      <c r="DH1793" s="1530"/>
      <c r="DI1793" s="1530"/>
      <c r="DJ1793" s="1530"/>
      <c r="DK1793" s="1530"/>
      <c r="DL1793" s="1530"/>
      <c r="DM1793" s="1530"/>
      <c r="DN1793" s="1530"/>
      <c r="DO1793" s="1530"/>
      <c r="DP1793" s="1530"/>
      <c r="DQ1793" s="1530"/>
      <c r="DR1793" s="1530"/>
      <c r="DS1793" s="1530"/>
      <c r="DT1793" s="1530"/>
      <c r="DU1793" s="1530"/>
      <c r="DV1793" s="1530"/>
      <c r="DW1793" s="1530"/>
      <c r="DX1793" s="1530"/>
      <c r="DY1793" s="1530"/>
      <c r="DZ1793" s="1530"/>
      <c r="EA1793" s="1530"/>
      <c r="EB1793" s="1530"/>
      <c r="EC1793" s="1530"/>
      <c r="ED1793" s="1530"/>
      <c r="EE1793" s="1530"/>
      <c r="EF1793" s="1530"/>
      <c r="EG1793" s="1530"/>
      <c r="EH1793" s="1530"/>
      <c r="EI1793" s="1530"/>
      <c r="EJ1793" s="1530"/>
      <c r="EK1793" s="1530"/>
      <c r="EL1793" s="1530"/>
      <c r="EM1793" s="1530"/>
      <c r="EN1793" s="1530"/>
      <c r="EO1793" s="1530"/>
      <c r="EP1793" s="1530"/>
      <c r="EQ1793" s="1530"/>
      <c r="ER1793" s="1530"/>
      <c r="ES1793" s="1530"/>
      <c r="ET1793" s="1530"/>
      <c r="EU1793" s="1530"/>
      <c r="EV1793" s="1530"/>
      <c r="EW1793" s="1530"/>
      <c r="EX1793" s="1530"/>
      <c r="EY1793" s="1530"/>
      <c r="EZ1793" s="1530"/>
      <c r="FA1793" s="1530"/>
      <c r="FB1793" s="1530"/>
      <c r="FC1793" s="1530"/>
      <c r="FD1793" s="1530"/>
      <c r="FE1793" s="1530"/>
      <c r="FF1793" s="1530"/>
      <c r="FG1793" s="1530"/>
      <c r="FH1793" s="1530"/>
      <c r="FI1793" s="1530"/>
      <c r="FJ1793" s="1530"/>
      <c r="FK1793" s="1530"/>
      <c r="FL1793" s="1530"/>
      <c r="FM1793" s="1530"/>
      <c r="FN1793" s="1530"/>
      <c r="FO1793" s="1530"/>
      <c r="FP1793" s="1530"/>
      <c r="FQ1793" s="1530"/>
      <c r="FR1793" s="1530"/>
      <c r="FS1793" s="1530"/>
      <c r="FT1793" s="1530"/>
      <c r="FU1793" s="1530"/>
      <c r="FV1793" s="1530"/>
      <c r="FW1793" s="1530"/>
      <c r="FX1793" s="1530"/>
      <c r="FY1793" s="1530"/>
      <c r="FZ1793" s="1530"/>
      <c r="GA1793" s="1530"/>
      <c r="GB1793" s="1530"/>
      <c r="GC1793" s="1530"/>
      <c r="GD1793" s="1530"/>
      <c r="GE1793" s="1530"/>
      <c r="GF1793" s="1530"/>
      <c r="GG1793" s="1530"/>
      <c r="GH1793" s="1530"/>
      <c r="GI1793" s="1530"/>
      <c r="GJ1793" s="1530"/>
      <c r="GK1793" s="1530"/>
      <c r="GL1793" s="1530"/>
      <c r="GM1793" s="1530"/>
      <c r="GN1793" s="1530"/>
      <c r="GO1793" s="1530"/>
      <c r="GP1793" s="1530"/>
      <c r="GQ1793" s="1530"/>
      <c r="GR1793" s="1530"/>
      <c r="GS1793" s="1530"/>
      <c r="GT1793" s="1530"/>
      <c r="GU1793" s="1530"/>
      <c r="GV1793" s="1530"/>
      <c r="GW1793" s="1530"/>
      <c r="GX1793" s="1530"/>
      <c r="GY1793" s="1530"/>
      <c r="GZ1793" s="1530"/>
      <c r="HA1793" s="1530"/>
      <c r="HB1793" s="1530"/>
      <c r="HC1793" s="1530"/>
      <c r="HD1793" s="1530"/>
      <c r="HE1793" s="1530"/>
      <c r="HF1793" s="1530"/>
      <c r="HG1793" s="1530"/>
      <c r="HH1793" s="1530"/>
      <c r="HI1793" s="1530"/>
      <c r="HJ1793" s="1530"/>
      <c r="HK1793" s="1530"/>
      <c r="HL1793" s="1530"/>
      <c r="HM1793" s="1530"/>
      <c r="HN1793" s="1530"/>
      <c r="HO1793" s="1530"/>
      <c r="HP1793" s="1530"/>
      <c r="HQ1793" s="1530"/>
      <c r="HR1793" s="1530"/>
      <c r="HS1793" s="1530"/>
      <c r="HT1793" s="1530"/>
      <c r="HU1793" s="1530"/>
      <c r="HV1793" s="1530"/>
      <c r="HW1793" s="1530"/>
      <c r="HX1793" s="1530"/>
      <c r="HY1793" s="1530"/>
      <c r="HZ1793" s="1530"/>
      <c r="IA1793" s="1530"/>
      <c r="IB1793" s="1530"/>
      <c r="IC1793" s="1530"/>
      <c r="ID1793" s="1530"/>
      <c r="IE1793" s="1530"/>
      <c r="IF1793" s="1530"/>
      <c r="IG1793" s="1530"/>
      <c r="IH1793" s="1530"/>
      <c r="II1793" s="1530"/>
      <c r="IJ1793" s="1530"/>
      <c r="IK1793" s="1530"/>
      <c r="IL1793" s="1530"/>
      <c r="IM1793" s="1530"/>
      <c r="IN1793" s="1530"/>
      <c r="IO1793" s="1530"/>
      <c r="IP1793" s="1530"/>
      <c r="IQ1793" s="1530"/>
      <c r="IR1793" s="1530"/>
      <c r="IS1793" s="1530"/>
      <c r="IT1793" s="1530"/>
      <c r="IU1793" s="1530"/>
      <c r="IV1793" s="1530"/>
      <c r="IW1793" s="1530"/>
      <c r="IX1793" s="1530"/>
      <c r="IY1793" s="1530"/>
      <c r="IZ1793" s="1530"/>
      <c r="JA1793" s="1530"/>
      <c r="JB1793" s="1530"/>
      <c r="JC1793" s="1530"/>
      <c r="JD1793" s="1530"/>
      <c r="JE1793" s="1530"/>
      <c r="JF1793" s="1530"/>
      <c r="JG1793" s="1530"/>
      <c r="JH1793" s="1530"/>
      <c r="JI1793" s="1530"/>
      <c r="JJ1793" s="1530"/>
      <c r="JK1793" s="1530"/>
      <c r="JL1793" s="1530"/>
      <c r="JM1793" s="1530"/>
      <c r="JN1793" s="1530"/>
      <c r="JO1793" s="1530"/>
      <c r="JP1793" s="1530"/>
      <c r="JQ1793" s="1530"/>
      <c r="JR1793" s="1530"/>
      <c r="JS1793" s="1530"/>
      <c r="JT1793" s="1530"/>
      <c r="JU1793" s="1530"/>
      <c r="JV1793" s="1530"/>
      <c r="JW1793" s="1530"/>
      <c r="JX1793" s="1530"/>
      <c r="JY1793" s="1530"/>
      <c r="JZ1793" s="1530"/>
      <c r="KA1793" s="1530"/>
      <c r="KB1793" s="1530"/>
      <c r="KC1793" s="1530"/>
      <c r="KD1793" s="1530"/>
      <c r="KE1793" s="1530"/>
      <c r="KF1793" s="1530"/>
      <c r="KG1793" s="1530"/>
      <c r="KH1793" s="1530"/>
      <c r="KI1793" s="1530"/>
      <c r="KJ1793" s="1530"/>
      <c r="KK1793" s="1530"/>
      <c r="KL1793" s="1530"/>
      <c r="KM1793" s="1530"/>
      <c r="KN1793" s="1530"/>
      <c r="KO1793" s="1530"/>
      <c r="KP1793" s="1530"/>
      <c r="KQ1793" s="1530"/>
      <c r="KR1793" s="1530"/>
      <c r="KS1793" s="1530"/>
      <c r="KT1793" s="1530"/>
      <c r="KU1793" s="1530"/>
      <c r="KV1793" s="1530"/>
      <c r="KW1793" s="1530"/>
      <c r="KX1793" s="1530"/>
      <c r="KY1793" s="1530"/>
      <c r="KZ1793" s="1530"/>
      <c r="LA1793" s="1530"/>
      <c r="LB1793" s="1530"/>
      <c r="LC1793" s="1530"/>
      <c r="LD1793" s="1530"/>
      <c r="LE1793" s="1530"/>
      <c r="LF1793" s="1530"/>
      <c r="LG1793" s="1530"/>
      <c r="LH1793" s="1530"/>
    </row>
    <row r="1794" spans="1:320" ht="12" customHeight="1">
      <c r="A1794" s="269" t="str">
        <f t="shared" si="482"/>
        <v>n</v>
      </c>
      <c r="B1794" s="2060"/>
      <c r="C1794" s="2060"/>
      <c r="D1794" s="2060"/>
      <c r="E1794" s="1661">
        <v>4</v>
      </c>
      <c r="F1794" s="1353" t="str">
        <f>F$132</f>
        <v>--</v>
      </c>
      <c r="G1794" s="128">
        <f>G$132</f>
        <v>0</v>
      </c>
      <c r="H1794" s="128" t="str">
        <f>H$132</f>
        <v>--</v>
      </c>
      <c r="I1794" s="89"/>
      <c r="J1794" s="2198" t="str">
        <f t="shared" ref="J1794:V1794" si="485">IFERROR(J1707+N(J1736)+N(J1765),"n/a")</f>
        <v>n/a</v>
      </c>
      <c r="K1794" s="2198" t="str">
        <f t="shared" si="485"/>
        <v>n/a</v>
      </c>
      <c r="L1794" s="2198" t="str">
        <f t="shared" si="480"/>
        <v>n/a</v>
      </c>
      <c r="M1794" s="2198" t="str">
        <f t="shared" si="480"/>
        <v>n/a</v>
      </c>
      <c r="N1794" s="2198" t="str">
        <f t="shared" si="480"/>
        <v>n/a</v>
      </c>
      <c r="O1794" s="2198" t="str">
        <f t="shared" si="485"/>
        <v>n/a</v>
      </c>
      <c r="P1794" s="2198" t="str">
        <f t="shared" si="485"/>
        <v>n/a</v>
      </c>
      <c r="Q1794" s="2198" t="str">
        <f t="shared" si="485"/>
        <v>n/a</v>
      </c>
      <c r="R1794" s="2198" t="str">
        <f t="shared" si="485"/>
        <v>n/a</v>
      </c>
      <c r="S1794" s="2198" t="str">
        <f t="shared" si="485"/>
        <v>n/a</v>
      </c>
      <c r="T1794" s="2198" t="str">
        <f t="shared" si="485"/>
        <v>n/a</v>
      </c>
      <c r="U1794" s="2198" t="str">
        <f t="shared" si="485"/>
        <v>n/a</v>
      </c>
      <c r="V1794" s="2198" t="str">
        <f t="shared" si="485"/>
        <v>n/a</v>
      </c>
      <c r="W1794" s="1479"/>
      <c r="X1794" s="255"/>
      <c r="Y1794" s="89"/>
      <c r="Z1794" s="2060"/>
      <c r="AA1794" s="2060"/>
      <c r="AB1794" s="2060"/>
      <c r="AC1794" s="2060"/>
      <c r="AD1794" s="2060"/>
      <c r="AE1794" s="2060"/>
      <c r="AF1794" s="2060"/>
      <c r="AG1794" s="1530"/>
      <c r="AH1794" s="1530"/>
      <c r="AI1794" s="1530"/>
      <c r="AJ1794" s="1530"/>
      <c r="AK1794" s="1530"/>
      <c r="AL1794" s="1530"/>
      <c r="AM1794" s="1530"/>
      <c r="AN1794" s="1530"/>
      <c r="AO1794" s="1530"/>
      <c r="AP1794" s="1530"/>
      <c r="AQ1794" s="1530"/>
      <c r="AR1794" s="1530"/>
      <c r="AS1794" s="1530"/>
      <c r="AT1794" s="1530"/>
      <c r="AU1794" s="1530"/>
      <c r="AV1794" s="1530"/>
      <c r="AW1794" s="1530"/>
      <c r="AX1794" s="1530"/>
      <c r="AY1794" s="1530"/>
      <c r="AZ1794" s="1530"/>
      <c r="BA1794" s="1530"/>
      <c r="BB1794" s="1530"/>
      <c r="BC1794" s="1530"/>
      <c r="BD1794" s="1530"/>
      <c r="BE1794" s="1530"/>
      <c r="BF1794" s="1530"/>
      <c r="BG1794" s="1530"/>
      <c r="BH1794" s="1530"/>
      <c r="BI1794" s="1530"/>
      <c r="BJ1794" s="1530"/>
      <c r="BK1794" s="1530"/>
      <c r="BL1794" s="1530"/>
      <c r="BM1794" s="1530"/>
      <c r="BN1794" s="1530"/>
      <c r="BO1794" s="1530"/>
      <c r="BP1794" s="1530"/>
      <c r="BQ1794" s="1530"/>
      <c r="BR1794" s="1530"/>
      <c r="BS1794" s="1530"/>
      <c r="BT1794" s="1530"/>
      <c r="BU1794" s="1530"/>
      <c r="BV1794" s="1530"/>
      <c r="BW1794" s="1530"/>
      <c r="BX1794" s="1530"/>
      <c r="BY1794" s="1530"/>
      <c r="BZ1794" s="1530"/>
      <c r="CA1794" s="1530"/>
      <c r="CB1794" s="1530"/>
      <c r="CC1794" s="1530"/>
      <c r="CD1794" s="1530"/>
      <c r="CE1794" s="1530"/>
      <c r="CF1794" s="1530"/>
      <c r="CG1794" s="1530"/>
      <c r="CH1794" s="1530"/>
      <c r="CI1794" s="1530"/>
      <c r="CJ1794" s="1530"/>
      <c r="CK1794" s="1530"/>
      <c r="CL1794" s="1530"/>
      <c r="CM1794" s="1530"/>
      <c r="CN1794" s="1530"/>
      <c r="CO1794" s="1530"/>
      <c r="CP1794" s="1530"/>
      <c r="CQ1794" s="1530"/>
      <c r="CR1794" s="1530"/>
      <c r="CS1794" s="1530"/>
      <c r="CT1794" s="1530"/>
      <c r="CU1794" s="1530"/>
      <c r="CV1794" s="1530"/>
      <c r="CW1794" s="1530"/>
      <c r="CX1794" s="1530"/>
      <c r="CY1794" s="1530"/>
      <c r="CZ1794" s="1530"/>
      <c r="DA1794" s="1530"/>
      <c r="DB1794" s="1530"/>
      <c r="DC1794" s="1530"/>
      <c r="DD1794" s="1530"/>
      <c r="DE1794" s="1530"/>
      <c r="DF1794" s="1530"/>
      <c r="DG1794" s="1530"/>
      <c r="DH1794" s="1530"/>
      <c r="DI1794" s="1530"/>
      <c r="DJ1794" s="1530"/>
      <c r="DK1794" s="1530"/>
      <c r="DL1794" s="1530"/>
      <c r="DM1794" s="1530"/>
      <c r="DN1794" s="1530"/>
      <c r="DO1794" s="1530"/>
      <c r="DP1794" s="1530"/>
      <c r="DQ1794" s="1530"/>
      <c r="DR1794" s="1530"/>
      <c r="DS1794" s="1530"/>
      <c r="DT1794" s="1530"/>
      <c r="DU1794" s="1530"/>
      <c r="DV1794" s="1530"/>
      <c r="DW1794" s="1530"/>
      <c r="DX1794" s="1530"/>
      <c r="DY1794" s="1530"/>
      <c r="DZ1794" s="1530"/>
      <c r="EA1794" s="1530"/>
      <c r="EB1794" s="1530"/>
      <c r="EC1794" s="1530"/>
      <c r="ED1794" s="1530"/>
      <c r="EE1794" s="1530"/>
      <c r="EF1794" s="1530"/>
      <c r="EG1794" s="1530"/>
      <c r="EH1794" s="1530"/>
      <c r="EI1794" s="1530"/>
      <c r="EJ1794" s="1530"/>
      <c r="EK1794" s="1530"/>
      <c r="EL1794" s="1530"/>
      <c r="EM1794" s="1530"/>
      <c r="EN1794" s="1530"/>
      <c r="EO1794" s="1530"/>
      <c r="EP1794" s="1530"/>
      <c r="EQ1794" s="1530"/>
      <c r="ER1794" s="1530"/>
      <c r="ES1794" s="1530"/>
      <c r="ET1794" s="1530"/>
      <c r="EU1794" s="1530"/>
      <c r="EV1794" s="1530"/>
      <c r="EW1794" s="1530"/>
      <c r="EX1794" s="1530"/>
      <c r="EY1794" s="1530"/>
      <c r="EZ1794" s="1530"/>
      <c r="FA1794" s="1530"/>
      <c r="FB1794" s="1530"/>
      <c r="FC1794" s="1530"/>
      <c r="FD1794" s="1530"/>
      <c r="FE1794" s="1530"/>
      <c r="FF1794" s="1530"/>
      <c r="FG1794" s="1530"/>
      <c r="FH1794" s="1530"/>
      <c r="FI1794" s="1530"/>
      <c r="FJ1794" s="1530"/>
      <c r="FK1794" s="1530"/>
      <c r="FL1794" s="1530"/>
      <c r="FM1794" s="1530"/>
      <c r="FN1794" s="1530"/>
      <c r="FO1794" s="1530"/>
      <c r="FP1794" s="1530"/>
      <c r="FQ1794" s="1530"/>
      <c r="FR1794" s="1530"/>
      <c r="FS1794" s="1530"/>
      <c r="FT1794" s="1530"/>
      <c r="FU1794" s="1530"/>
      <c r="FV1794" s="1530"/>
      <c r="FW1794" s="1530"/>
      <c r="FX1794" s="1530"/>
      <c r="FY1794" s="1530"/>
      <c r="FZ1794" s="1530"/>
      <c r="GA1794" s="1530"/>
      <c r="GB1794" s="1530"/>
      <c r="GC1794" s="1530"/>
      <c r="GD1794" s="1530"/>
      <c r="GE1794" s="1530"/>
      <c r="GF1794" s="1530"/>
      <c r="GG1794" s="1530"/>
      <c r="GH1794" s="1530"/>
      <c r="GI1794" s="1530"/>
      <c r="GJ1794" s="1530"/>
      <c r="GK1794" s="1530"/>
      <c r="GL1794" s="1530"/>
      <c r="GM1794" s="1530"/>
      <c r="GN1794" s="1530"/>
      <c r="GO1794" s="1530"/>
      <c r="GP1794" s="1530"/>
      <c r="GQ1794" s="1530"/>
      <c r="GR1794" s="1530"/>
      <c r="GS1794" s="1530"/>
      <c r="GT1794" s="1530"/>
      <c r="GU1794" s="1530"/>
      <c r="GV1794" s="1530"/>
      <c r="GW1794" s="1530"/>
      <c r="GX1794" s="1530"/>
      <c r="GY1794" s="1530"/>
      <c r="GZ1794" s="1530"/>
      <c r="HA1794" s="1530"/>
      <c r="HB1794" s="1530"/>
      <c r="HC1794" s="1530"/>
      <c r="HD1794" s="1530"/>
      <c r="HE1794" s="1530"/>
      <c r="HF1794" s="1530"/>
      <c r="HG1794" s="1530"/>
      <c r="HH1794" s="1530"/>
      <c r="HI1794" s="1530"/>
      <c r="HJ1794" s="1530"/>
      <c r="HK1794" s="1530"/>
      <c r="HL1794" s="1530"/>
      <c r="HM1794" s="1530"/>
      <c r="HN1794" s="1530"/>
      <c r="HO1794" s="1530"/>
      <c r="HP1794" s="1530"/>
      <c r="HQ1794" s="1530"/>
      <c r="HR1794" s="1530"/>
      <c r="HS1794" s="1530"/>
      <c r="HT1794" s="1530"/>
      <c r="HU1794" s="1530"/>
      <c r="HV1794" s="1530"/>
      <c r="HW1794" s="1530"/>
      <c r="HX1794" s="1530"/>
      <c r="HY1794" s="1530"/>
      <c r="HZ1794" s="1530"/>
      <c r="IA1794" s="1530"/>
      <c r="IB1794" s="1530"/>
      <c r="IC1794" s="1530"/>
      <c r="ID1794" s="1530"/>
      <c r="IE1794" s="1530"/>
      <c r="IF1794" s="1530"/>
      <c r="IG1794" s="1530"/>
      <c r="IH1794" s="1530"/>
      <c r="II1794" s="1530"/>
      <c r="IJ1794" s="1530"/>
      <c r="IK1794" s="1530"/>
      <c r="IL1794" s="1530"/>
      <c r="IM1794" s="1530"/>
      <c r="IN1794" s="1530"/>
      <c r="IO1794" s="1530"/>
      <c r="IP1794" s="1530"/>
      <c r="IQ1794" s="1530"/>
      <c r="IR1794" s="1530"/>
      <c r="IS1794" s="1530"/>
      <c r="IT1794" s="1530"/>
      <c r="IU1794" s="1530"/>
      <c r="IV1794" s="1530"/>
      <c r="IW1794" s="1530"/>
      <c r="IX1794" s="1530"/>
      <c r="IY1794" s="1530"/>
      <c r="IZ1794" s="1530"/>
      <c r="JA1794" s="1530"/>
      <c r="JB1794" s="1530"/>
      <c r="JC1794" s="1530"/>
      <c r="JD1794" s="1530"/>
      <c r="JE1794" s="1530"/>
      <c r="JF1794" s="1530"/>
      <c r="JG1794" s="1530"/>
      <c r="JH1794" s="1530"/>
      <c r="JI1794" s="1530"/>
      <c r="JJ1794" s="1530"/>
      <c r="JK1794" s="1530"/>
      <c r="JL1794" s="1530"/>
      <c r="JM1794" s="1530"/>
      <c r="JN1794" s="1530"/>
      <c r="JO1794" s="1530"/>
      <c r="JP1794" s="1530"/>
      <c r="JQ1794" s="1530"/>
      <c r="JR1794" s="1530"/>
      <c r="JS1794" s="1530"/>
      <c r="JT1794" s="1530"/>
      <c r="JU1794" s="1530"/>
      <c r="JV1794" s="1530"/>
      <c r="JW1794" s="1530"/>
      <c r="JX1794" s="1530"/>
      <c r="JY1794" s="1530"/>
      <c r="JZ1794" s="1530"/>
      <c r="KA1794" s="1530"/>
      <c r="KB1794" s="1530"/>
      <c r="KC1794" s="1530"/>
      <c r="KD1794" s="1530"/>
      <c r="KE1794" s="1530"/>
      <c r="KF1794" s="1530"/>
      <c r="KG1794" s="1530"/>
      <c r="KH1794" s="1530"/>
      <c r="KI1794" s="1530"/>
      <c r="KJ1794" s="1530"/>
      <c r="KK1794" s="1530"/>
      <c r="KL1794" s="1530"/>
      <c r="KM1794" s="1530"/>
      <c r="KN1794" s="1530"/>
      <c r="KO1794" s="1530"/>
      <c r="KP1794" s="1530"/>
      <c r="KQ1794" s="1530"/>
      <c r="KR1794" s="1530"/>
      <c r="KS1794" s="1530"/>
      <c r="KT1794" s="1530"/>
      <c r="KU1794" s="1530"/>
      <c r="KV1794" s="1530"/>
      <c r="KW1794" s="1530"/>
      <c r="KX1794" s="1530"/>
      <c r="KY1794" s="1530"/>
      <c r="KZ1794" s="1530"/>
      <c r="LA1794" s="1530"/>
      <c r="LB1794" s="1530"/>
      <c r="LC1794" s="1530"/>
      <c r="LD1794" s="1530"/>
      <c r="LE1794" s="1530"/>
      <c r="LF1794" s="1530"/>
      <c r="LG1794" s="1530"/>
      <c r="LH1794" s="1530"/>
    </row>
    <row r="1795" spans="1:320" ht="12" customHeight="1">
      <c r="A1795" s="269" t="str">
        <f t="shared" si="482"/>
        <v>n</v>
      </c>
      <c r="B1795" s="2060"/>
      <c r="C1795" s="2060"/>
      <c r="D1795" s="2060"/>
      <c r="E1795" s="1661">
        <v>5</v>
      </c>
      <c r="F1795" s="1353" t="str">
        <f>F$133</f>
        <v>--</v>
      </c>
      <c r="G1795" s="128">
        <f>G$133</f>
        <v>0</v>
      </c>
      <c r="H1795" s="128" t="str">
        <f>H$133</f>
        <v>--</v>
      </c>
      <c r="I1795" s="89"/>
      <c r="J1795" s="2198" t="str">
        <f t="shared" ref="J1795:V1795" si="486">IFERROR(J1708+N(J1737)+N(J1766),"n/a")</f>
        <v>n/a</v>
      </c>
      <c r="K1795" s="2198" t="str">
        <f t="shared" si="486"/>
        <v>n/a</v>
      </c>
      <c r="L1795" s="2198" t="str">
        <f t="shared" si="480"/>
        <v>n/a</v>
      </c>
      <c r="M1795" s="2198" t="str">
        <f t="shared" si="480"/>
        <v>n/a</v>
      </c>
      <c r="N1795" s="2198" t="str">
        <f t="shared" si="480"/>
        <v>n/a</v>
      </c>
      <c r="O1795" s="2198" t="str">
        <f t="shared" si="486"/>
        <v>n/a</v>
      </c>
      <c r="P1795" s="2198" t="str">
        <f t="shared" si="486"/>
        <v>n/a</v>
      </c>
      <c r="Q1795" s="2198" t="str">
        <f t="shared" si="486"/>
        <v>n/a</v>
      </c>
      <c r="R1795" s="2198" t="str">
        <f t="shared" si="486"/>
        <v>n/a</v>
      </c>
      <c r="S1795" s="2198" t="str">
        <f t="shared" si="486"/>
        <v>n/a</v>
      </c>
      <c r="T1795" s="2198" t="str">
        <f t="shared" si="486"/>
        <v>n/a</v>
      </c>
      <c r="U1795" s="2198" t="str">
        <f t="shared" si="486"/>
        <v>n/a</v>
      </c>
      <c r="V1795" s="2198" t="str">
        <f t="shared" si="486"/>
        <v>n/a</v>
      </c>
      <c r="W1795" s="1479"/>
      <c r="X1795" s="255"/>
      <c r="Y1795" s="89"/>
      <c r="Z1795" s="2060"/>
      <c r="AA1795" s="2060"/>
      <c r="AB1795" s="2060"/>
      <c r="AC1795" s="2060"/>
      <c r="AD1795" s="2060"/>
      <c r="AE1795" s="2060"/>
      <c r="AF1795" s="2060"/>
      <c r="AG1795" s="1530"/>
      <c r="AH1795" s="1530"/>
      <c r="AI1795" s="1530"/>
      <c r="AJ1795" s="1530"/>
      <c r="AK1795" s="1530"/>
      <c r="AL1795" s="1530"/>
      <c r="AM1795" s="1530"/>
      <c r="AN1795" s="1530"/>
      <c r="AO1795" s="1530"/>
      <c r="AP1795" s="1530"/>
      <c r="AQ1795" s="1530"/>
      <c r="AR1795" s="1530"/>
      <c r="AS1795" s="1530"/>
      <c r="AT1795" s="1530"/>
      <c r="AU1795" s="1530"/>
      <c r="AV1795" s="1530"/>
      <c r="AW1795" s="1530"/>
      <c r="AX1795" s="1530"/>
      <c r="AY1795" s="1530"/>
      <c r="AZ1795" s="1530"/>
      <c r="BA1795" s="1530"/>
      <c r="BB1795" s="1530"/>
      <c r="BC1795" s="1530"/>
      <c r="BD1795" s="1530"/>
      <c r="BE1795" s="1530"/>
      <c r="BF1795" s="1530"/>
      <c r="BG1795" s="1530"/>
      <c r="BH1795" s="1530"/>
      <c r="BI1795" s="1530"/>
      <c r="BJ1795" s="1530"/>
      <c r="BK1795" s="1530"/>
      <c r="BL1795" s="1530"/>
      <c r="BM1795" s="1530"/>
      <c r="BN1795" s="1530"/>
      <c r="BO1795" s="1530"/>
      <c r="BP1795" s="1530"/>
      <c r="BQ1795" s="1530"/>
      <c r="BR1795" s="1530"/>
      <c r="BS1795" s="1530"/>
      <c r="BT1795" s="1530"/>
      <c r="BU1795" s="1530"/>
      <c r="BV1795" s="1530"/>
      <c r="BW1795" s="1530"/>
      <c r="BX1795" s="1530"/>
      <c r="BY1795" s="1530"/>
      <c r="BZ1795" s="1530"/>
      <c r="CA1795" s="1530"/>
      <c r="CB1795" s="1530"/>
      <c r="CC1795" s="1530"/>
      <c r="CD1795" s="1530"/>
      <c r="CE1795" s="1530"/>
      <c r="CF1795" s="1530"/>
      <c r="CG1795" s="1530"/>
      <c r="CH1795" s="1530"/>
      <c r="CI1795" s="1530"/>
      <c r="CJ1795" s="1530"/>
      <c r="CK1795" s="1530"/>
      <c r="CL1795" s="1530"/>
      <c r="CM1795" s="1530"/>
      <c r="CN1795" s="1530"/>
      <c r="CO1795" s="1530"/>
      <c r="CP1795" s="1530"/>
      <c r="CQ1795" s="1530"/>
      <c r="CR1795" s="1530"/>
      <c r="CS1795" s="1530"/>
      <c r="CT1795" s="1530"/>
      <c r="CU1795" s="1530"/>
      <c r="CV1795" s="1530"/>
      <c r="CW1795" s="1530"/>
      <c r="CX1795" s="1530"/>
      <c r="CY1795" s="1530"/>
      <c r="CZ1795" s="1530"/>
      <c r="DA1795" s="1530"/>
      <c r="DB1795" s="1530"/>
      <c r="DC1795" s="1530"/>
      <c r="DD1795" s="1530"/>
      <c r="DE1795" s="1530"/>
      <c r="DF1795" s="1530"/>
      <c r="DG1795" s="1530"/>
      <c r="DH1795" s="1530"/>
      <c r="DI1795" s="1530"/>
      <c r="DJ1795" s="1530"/>
      <c r="DK1795" s="1530"/>
      <c r="DL1795" s="1530"/>
      <c r="DM1795" s="1530"/>
      <c r="DN1795" s="1530"/>
      <c r="DO1795" s="1530"/>
      <c r="DP1795" s="1530"/>
      <c r="DQ1795" s="1530"/>
      <c r="DR1795" s="1530"/>
      <c r="DS1795" s="1530"/>
      <c r="DT1795" s="1530"/>
      <c r="DU1795" s="1530"/>
      <c r="DV1795" s="1530"/>
      <c r="DW1795" s="1530"/>
      <c r="DX1795" s="1530"/>
      <c r="DY1795" s="1530"/>
      <c r="DZ1795" s="1530"/>
      <c r="EA1795" s="1530"/>
      <c r="EB1795" s="1530"/>
      <c r="EC1795" s="1530"/>
      <c r="ED1795" s="1530"/>
      <c r="EE1795" s="1530"/>
      <c r="EF1795" s="1530"/>
      <c r="EG1795" s="1530"/>
      <c r="EH1795" s="1530"/>
      <c r="EI1795" s="1530"/>
      <c r="EJ1795" s="1530"/>
      <c r="EK1795" s="1530"/>
      <c r="EL1795" s="1530"/>
      <c r="EM1795" s="1530"/>
      <c r="EN1795" s="1530"/>
      <c r="EO1795" s="1530"/>
      <c r="EP1795" s="1530"/>
      <c r="EQ1795" s="1530"/>
      <c r="ER1795" s="1530"/>
      <c r="ES1795" s="1530"/>
      <c r="ET1795" s="1530"/>
      <c r="EU1795" s="1530"/>
      <c r="EV1795" s="1530"/>
      <c r="EW1795" s="1530"/>
      <c r="EX1795" s="1530"/>
      <c r="EY1795" s="1530"/>
      <c r="EZ1795" s="1530"/>
      <c r="FA1795" s="1530"/>
      <c r="FB1795" s="1530"/>
      <c r="FC1795" s="1530"/>
      <c r="FD1795" s="1530"/>
      <c r="FE1795" s="1530"/>
      <c r="FF1795" s="1530"/>
      <c r="FG1795" s="1530"/>
      <c r="FH1795" s="1530"/>
      <c r="FI1795" s="1530"/>
      <c r="FJ1795" s="1530"/>
      <c r="FK1795" s="1530"/>
      <c r="FL1795" s="1530"/>
      <c r="FM1795" s="1530"/>
      <c r="FN1795" s="1530"/>
      <c r="FO1795" s="1530"/>
      <c r="FP1795" s="1530"/>
      <c r="FQ1795" s="1530"/>
      <c r="FR1795" s="1530"/>
      <c r="FS1795" s="1530"/>
      <c r="FT1795" s="1530"/>
      <c r="FU1795" s="1530"/>
      <c r="FV1795" s="1530"/>
      <c r="FW1795" s="1530"/>
      <c r="FX1795" s="1530"/>
      <c r="FY1795" s="1530"/>
      <c r="FZ1795" s="1530"/>
      <c r="GA1795" s="1530"/>
      <c r="GB1795" s="1530"/>
      <c r="GC1795" s="1530"/>
      <c r="GD1795" s="1530"/>
      <c r="GE1795" s="1530"/>
      <c r="GF1795" s="1530"/>
      <c r="GG1795" s="1530"/>
      <c r="GH1795" s="1530"/>
      <c r="GI1795" s="1530"/>
      <c r="GJ1795" s="1530"/>
      <c r="GK1795" s="1530"/>
      <c r="GL1795" s="1530"/>
      <c r="GM1795" s="1530"/>
      <c r="GN1795" s="1530"/>
      <c r="GO1795" s="1530"/>
      <c r="GP1795" s="1530"/>
      <c r="GQ1795" s="1530"/>
      <c r="GR1795" s="1530"/>
      <c r="GS1795" s="1530"/>
      <c r="GT1795" s="1530"/>
      <c r="GU1795" s="1530"/>
      <c r="GV1795" s="1530"/>
      <c r="GW1795" s="1530"/>
      <c r="GX1795" s="1530"/>
      <c r="GY1795" s="1530"/>
      <c r="GZ1795" s="1530"/>
      <c r="HA1795" s="1530"/>
      <c r="HB1795" s="1530"/>
      <c r="HC1795" s="1530"/>
      <c r="HD1795" s="1530"/>
      <c r="HE1795" s="1530"/>
      <c r="HF1795" s="1530"/>
      <c r="HG1795" s="1530"/>
      <c r="HH1795" s="1530"/>
      <c r="HI1795" s="1530"/>
      <c r="HJ1795" s="1530"/>
      <c r="HK1795" s="1530"/>
      <c r="HL1795" s="1530"/>
      <c r="HM1795" s="1530"/>
      <c r="HN1795" s="1530"/>
      <c r="HO1795" s="1530"/>
      <c r="HP1795" s="1530"/>
      <c r="HQ1795" s="1530"/>
      <c r="HR1795" s="1530"/>
      <c r="HS1795" s="1530"/>
      <c r="HT1795" s="1530"/>
      <c r="HU1795" s="1530"/>
      <c r="HV1795" s="1530"/>
      <c r="HW1795" s="1530"/>
      <c r="HX1795" s="1530"/>
      <c r="HY1795" s="1530"/>
      <c r="HZ1795" s="1530"/>
      <c r="IA1795" s="1530"/>
      <c r="IB1795" s="1530"/>
      <c r="IC1795" s="1530"/>
      <c r="ID1795" s="1530"/>
      <c r="IE1795" s="1530"/>
      <c r="IF1795" s="1530"/>
      <c r="IG1795" s="1530"/>
      <c r="IH1795" s="1530"/>
      <c r="II1795" s="1530"/>
      <c r="IJ1795" s="1530"/>
      <c r="IK1795" s="1530"/>
      <c r="IL1795" s="1530"/>
      <c r="IM1795" s="1530"/>
      <c r="IN1795" s="1530"/>
      <c r="IO1795" s="1530"/>
      <c r="IP1795" s="1530"/>
      <c r="IQ1795" s="1530"/>
      <c r="IR1795" s="1530"/>
      <c r="IS1795" s="1530"/>
      <c r="IT1795" s="1530"/>
      <c r="IU1795" s="1530"/>
      <c r="IV1795" s="1530"/>
      <c r="IW1795" s="1530"/>
      <c r="IX1795" s="1530"/>
      <c r="IY1795" s="1530"/>
      <c r="IZ1795" s="1530"/>
      <c r="JA1795" s="1530"/>
      <c r="JB1795" s="1530"/>
      <c r="JC1795" s="1530"/>
      <c r="JD1795" s="1530"/>
      <c r="JE1795" s="1530"/>
      <c r="JF1795" s="1530"/>
      <c r="JG1795" s="1530"/>
      <c r="JH1795" s="1530"/>
      <c r="JI1795" s="1530"/>
      <c r="JJ1795" s="1530"/>
      <c r="JK1795" s="1530"/>
      <c r="JL1795" s="1530"/>
      <c r="JM1795" s="1530"/>
      <c r="JN1795" s="1530"/>
      <c r="JO1795" s="1530"/>
      <c r="JP1795" s="1530"/>
      <c r="JQ1795" s="1530"/>
      <c r="JR1795" s="1530"/>
      <c r="JS1795" s="1530"/>
      <c r="JT1795" s="1530"/>
      <c r="JU1795" s="1530"/>
      <c r="JV1795" s="1530"/>
      <c r="JW1795" s="1530"/>
      <c r="JX1795" s="1530"/>
      <c r="JY1795" s="1530"/>
      <c r="JZ1795" s="1530"/>
      <c r="KA1795" s="1530"/>
      <c r="KB1795" s="1530"/>
      <c r="KC1795" s="1530"/>
      <c r="KD1795" s="1530"/>
      <c r="KE1795" s="1530"/>
      <c r="KF1795" s="1530"/>
      <c r="KG1795" s="1530"/>
      <c r="KH1795" s="1530"/>
      <c r="KI1795" s="1530"/>
      <c r="KJ1795" s="1530"/>
      <c r="KK1795" s="1530"/>
      <c r="KL1795" s="1530"/>
      <c r="KM1795" s="1530"/>
      <c r="KN1795" s="1530"/>
      <c r="KO1795" s="1530"/>
      <c r="KP1795" s="1530"/>
      <c r="KQ1795" s="1530"/>
      <c r="KR1795" s="1530"/>
      <c r="KS1795" s="1530"/>
      <c r="KT1795" s="1530"/>
      <c r="KU1795" s="1530"/>
      <c r="KV1795" s="1530"/>
      <c r="KW1795" s="1530"/>
      <c r="KX1795" s="1530"/>
      <c r="KY1795" s="1530"/>
      <c r="KZ1795" s="1530"/>
      <c r="LA1795" s="1530"/>
      <c r="LB1795" s="1530"/>
      <c r="LC1795" s="1530"/>
      <c r="LD1795" s="1530"/>
      <c r="LE1795" s="1530"/>
      <c r="LF1795" s="1530"/>
      <c r="LG1795" s="1530"/>
      <c r="LH1795" s="1530"/>
    </row>
    <row r="1796" spans="1:320" ht="12" customHeight="1">
      <c r="A1796" s="269" t="str">
        <f t="shared" si="482"/>
        <v>n</v>
      </c>
      <c r="B1796" s="2060"/>
      <c r="C1796" s="2060"/>
      <c r="D1796" s="2060"/>
      <c r="E1796" s="1661">
        <v>6</v>
      </c>
      <c r="F1796" s="1353" t="str">
        <f>F$134</f>
        <v>--</v>
      </c>
      <c r="G1796" s="128">
        <f>G$134</f>
        <v>0</v>
      </c>
      <c r="H1796" s="128" t="str">
        <f>H$134</f>
        <v>--</v>
      </c>
      <c r="I1796" s="89"/>
      <c r="J1796" s="2198" t="str">
        <f t="shared" ref="J1796:V1796" si="487">IFERROR(J1709+N(J1738)+N(J1767),"n/a")</f>
        <v>n/a</v>
      </c>
      <c r="K1796" s="2198" t="str">
        <f t="shared" si="487"/>
        <v>n/a</v>
      </c>
      <c r="L1796" s="2198" t="str">
        <f t="shared" si="480"/>
        <v>n/a</v>
      </c>
      <c r="M1796" s="2198" t="str">
        <f t="shared" si="480"/>
        <v>n/a</v>
      </c>
      <c r="N1796" s="2198" t="str">
        <f t="shared" si="480"/>
        <v>n/a</v>
      </c>
      <c r="O1796" s="2198" t="str">
        <f t="shared" si="487"/>
        <v>n/a</v>
      </c>
      <c r="P1796" s="2198" t="str">
        <f t="shared" si="487"/>
        <v>n/a</v>
      </c>
      <c r="Q1796" s="2198" t="str">
        <f t="shared" si="487"/>
        <v>n/a</v>
      </c>
      <c r="R1796" s="2198" t="str">
        <f t="shared" si="487"/>
        <v>n/a</v>
      </c>
      <c r="S1796" s="2198" t="str">
        <f t="shared" si="487"/>
        <v>n/a</v>
      </c>
      <c r="T1796" s="2198" t="str">
        <f t="shared" si="487"/>
        <v>n/a</v>
      </c>
      <c r="U1796" s="2198" t="str">
        <f t="shared" si="487"/>
        <v>n/a</v>
      </c>
      <c r="V1796" s="2198" t="str">
        <f t="shared" si="487"/>
        <v>n/a</v>
      </c>
      <c r="W1796" s="1479"/>
      <c r="X1796" s="255"/>
      <c r="Y1796" s="89"/>
      <c r="Z1796" s="2060"/>
      <c r="AA1796" s="2060"/>
      <c r="AB1796" s="2060"/>
      <c r="AC1796" s="2060"/>
      <c r="AD1796" s="2060"/>
      <c r="AE1796" s="2060"/>
      <c r="AF1796" s="2060"/>
      <c r="AG1796" s="1530"/>
      <c r="AH1796" s="1530"/>
      <c r="AI1796" s="1530"/>
      <c r="AJ1796" s="1530"/>
      <c r="AK1796" s="1530"/>
      <c r="AL1796" s="1530"/>
      <c r="AM1796" s="1530"/>
      <c r="AN1796" s="1530"/>
      <c r="AO1796" s="1530"/>
      <c r="AP1796" s="1530"/>
      <c r="AQ1796" s="1530"/>
      <c r="AR1796" s="1530"/>
      <c r="AS1796" s="1530"/>
      <c r="AT1796" s="1530"/>
      <c r="AU1796" s="1530"/>
      <c r="AV1796" s="1530"/>
      <c r="AW1796" s="1530"/>
      <c r="AX1796" s="1530"/>
      <c r="AY1796" s="1530"/>
      <c r="AZ1796" s="1530"/>
      <c r="BA1796" s="1530"/>
      <c r="BB1796" s="1530"/>
      <c r="BC1796" s="1530"/>
      <c r="BD1796" s="1530"/>
      <c r="BE1796" s="1530"/>
      <c r="BF1796" s="1530"/>
      <c r="BG1796" s="1530"/>
      <c r="BH1796" s="1530"/>
      <c r="BI1796" s="1530"/>
      <c r="BJ1796" s="1530"/>
      <c r="BK1796" s="1530"/>
      <c r="BL1796" s="1530"/>
      <c r="BM1796" s="1530"/>
      <c r="BN1796" s="1530"/>
      <c r="BO1796" s="1530"/>
      <c r="BP1796" s="1530"/>
      <c r="BQ1796" s="1530"/>
      <c r="BR1796" s="1530"/>
      <c r="BS1796" s="1530"/>
      <c r="BT1796" s="1530"/>
      <c r="BU1796" s="1530"/>
      <c r="BV1796" s="1530"/>
      <c r="BW1796" s="1530"/>
      <c r="BX1796" s="1530"/>
      <c r="BY1796" s="1530"/>
      <c r="BZ1796" s="1530"/>
      <c r="CA1796" s="1530"/>
      <c r="CB1796" s="1530"/>
      <c r="CC1796" s="1530"/>
      <c r="CD1796" s="1530"/>
      <c r="CE1796" s="1530"/>
      <c r="CF1796" s="1530"/>
      <c r="CG1796" s="1530"/>
      <c r="CH1796" s="1530"/>
      <c r="CI1796" s="1530"/>
      <c r="CJ1796" s="1530"/>
      <c r="CK1796" s="1530"/>
      <c r="CL1796" s="1530"/>
      <c r="CM1796" s="1530"/>
      <c r="CN1796" s="1530"/>
      <c r="CO1796" s="1530"/>
      <c r="CP1796" s="1530"/>
      <c r="CQ1796" s="1530"/>
      <c r="CR1796" s="1530"/>
      <c r="CS1796" s="1530"/>
      <c r="CT1796" s="1530"/>
      <c r="CU1796" s="1530"/>
      <c r="CV1796" s="1530"/>
      <c r="CW1796" s="1530"/>
      <c r="CX1796" s="1530"/>
      <c r="CY1796" s="1530"/>
      <c r="CZ1796" s="1530"/>
      <c r="DA1796" s="1530"/>
      <c r="DB1796" s="1530"/>
      <c r="DC1796" s="1530"/>
      <c r="DD1796" s="1530"/>
      <c r="DE1796" s="1530"/>
      <c r="DF1796" s="1530"/>
      <c r="DG1796" s="1530"/>
      <c r="DH1796" s="1530"/>
      <c r="DI1796" s="1530"/>
      <c r="DJ1796" s="1530"/>
      <c r="DK1796" s="1530"/>
      <c r="DL1796" s="1530"/>
      <c r="DM1796" s="1530"/>
      <c r="DN1796" s="1530"/>
      <c r="DO1796" s="1530"/>
      <c r="DP1796" s="1530"/>
      <c r="DQ1796" s="1530"/>
      <c r="DR1796" s="1530"/>
      <c r="DS1796" s="1530"/>
      <c r="DT1796" s="1530"/>
      <c r="DU1796" s="1530"/>
      <c r="DV1796" s="1530"/>
      <c r="DW1796" s="1530"/>
      <c r="DX1796" s="1530"/>
      <c r="DY1796" s="1530"/>
      <c r="DZ1796" s="1530"/>
      <c r="EA1796" s="1530"/>
      <c r="EB1796" s="1530"/>
      <c r="EC1796" s="1530"/>
      <c r="ED1796" s="1530"/>
      <c r="EE1796" s="1530"/>
      <c r="EF1796" s="1530"/>
      <c r="EG1796" s="1530"/>
      <c r="EH1796" s="1530"/>
      <c r="EI1796" s="1530"/>
      <c r="EJ1796" s="1530"/>
      <c r="EK1796" s="1530"/>
      <c r="EL1796" s="1530"/>
      <c r="EM1796" s="1530"/>
      <c r="EN1796" s="1530"/>
      <c r="EO1796" s="1530"/>
      <c r="EP1796" s="1530"/>
      <c r="EQ1796" s="1530"/>
      <c r="ER1796" s="1530"/>
      <c r="ES1796" s="1530"/>
      <c r="ET1796" s="1530"/>
      <c r="EU1796" s="1530"/>
      <c r="EV1796" s="1530"/>
      <c r="EW1796" s="1530"/>
      <c r="EX1796" s="1530"/>
      <c r="EY1796" s="1530"/>
      <c r="EZ1796" s="1530"/>
      <c r="FA1796" s="1530"/>
      <c r="FB1796" s="1530"/>
      <c r="FC1796" s="1530"/>
      <c r="FD1796" s="1530"/>
      <c r="FE1796" s="1530"/>
      <c r="FF1796" s="1530"/>
      <c r="FG1796" s="1530"/>
      <c r="FH1796" s="1530"/>
      <c r="FI1796" s="1530"/>
      <c r="FJ1796" s="1530"/>
      <c r="FK1796" s="1530"/>
      <c r="FL1796" s="1530"/>
      <c r="FM1796" s="1530"/>
      <c r="FN1796" s="1530"/>
      <c r="FO1796" s="1530"/>
      <c r="FP1796" s="1530"/>
      <c r="FQ1796" s="1530"/>
      <c r="FR1796" s="1530"/>
      <c r="FS1796" s="1530"/>
      <c r="FT1796" s="1530"/>
      <c r="FU1796" s="1530"/>
      <c r="FV1796" s="1530"/>
      <c r="FW1796" s="1530"/>
      <c r="FX1796" s="1530"/>
      <c r="FY1796" s="1530"/>
      <c r="FZ1796" s="1530"/>
      <c r="GA1796" s="1530"/>
      <c r="GB1796" s="1530"/>
      <c r="GC1796" s="1530"/>
      <c r="GD1796" s="1530"/>
      <c r="GE1796" s="1530"/>
      <c r="GF1796" s="1530"/>
      <c r="GG1796" s="1530"/>
      <c r="GH1796" s="1530"/>
      <c r="GI1796" s="1530"/>
      <c r="GJ1796" s="1530"/>
      <c r="GK1796" s="1530"/>
      <c r="GL1796" s="1530"/>
      <c r="GM1796" s="1530"/>
      <c r="GN1796" s="1530"/>
      <c r="GO1796" s="1530"/>
      <c r="GP1796" s="1530"/>
      <c r="GQ1796" s="1530"/>
      <c r="GR1796" s="1530"/>
      <c r="GS1796" s="1530"/>
      <c r="GT1796" s="1530"/>
      <c r="GU1796" s="1530"/>
      <c r="GV1796" s="1530"/>
      <c r="GW1796" s="1530"/>
      <c r="GX1796" s="1530"/>
      <c r="GY1796" s="1530"/>
      <c r="GZ1796" s="1530"/>
      <c r="HA1796" s="1530"/>
      <c r="HB1796" s="1530"/>
      <c r="HC1796" s="1530"/>
      <c r="HD1796" s="1530"/>
      <c r="HE1796" s="1530"/>
      <c r="HF1796" s="1530"/>
      <c r="HG1796" s="1530"/>
      <c r="HH1796" s="1530"/>
      <c r="HI1796" s="1530"/>
      <c r="HJ1796" s="1530"/>
      <c r="HK1796" s="1530"/>
      <c r="HL1796" s="1530"/>
      <c r="HM1796" s="1530"/>
      <c r="HN1796" s="1530"/>
      <c r="HO1796" s="1530"/>
      <c r="HP1796" s="1530"/>
      <c r="HQ1796" s="1530"/>
      <c r="HR1796" s="1530"/>
      <c r="HS1796" s="1530"/>
      <c r="HT1796" s="1530"/>
      <c r="HU1796" s="1530"/>
      <c r="HV1796" s="1530"/>
      <c r="HW1796" s="1530"/>
      <c r="HX1796" s="1530"/>
      <c r="HY1796" s="1530"/>
      <c r="HZ1796" s="1530"/>
      <c r="IA1796" s="1530"/>
      <c r="IB1796" s="1530"/>
      <c r="IC1796" s="1530"/>
      <c r="ID1796" s="1530"/>
      <c r="IE1796" s="1530"/>
      <c r="IF1796" s="1530"/>
      <c r="IG1796" s="1530"/>
      <c r="IH1796" s="1530"/>
      <c r="II1796" s="1530"/>
      <c r="IJ1796" s="1530"/>
      <c r="IK1796" s="1530"/>
      <c r="IL1796" s="1530"/>
      <c r="IM1796" s="1530"/>
      <c r="IN1796" s="1530"/>
      <c r="IO1796" s="1530"/>
      <c r="IP1796" s="1530"/>
      <c r="IQ1796" s="1530"/>
      <c r="IR1796" s="1530"/>
      <c r="IS1796" s="1530"/>
      <c r="IT1796" s="1530"/>
      <c r="IU1796" s="1530"/>
      <c r="IV1796" s="1530"/>
      <c r="IW1796" s="1530"/>
      <c r="IX1796" s="1530"/>
      <c r="IY1796" s="1530"/>
      <c r="IZ1796" s="1530"/>
      <c r="JA1796" s="1530"/>
      <c r="JB1796" s="1530"/>
      <c r="JC1796" s="1530"/>
      <c r="JD1796" s="1530"/>
      <c r="JE1796" s="1530"/>
      <c r="JF1796" s="1530"/>
      <c r="JG1796" s="1530"/>
      <c r="JH1796" s="1530"/>
      <c r="JI1796" s="1530"/>
      <c r="JJ1796" s="1530"/>
      <c r="JK1796" s="1530"/>
      <c r="JL1796" s="1530"/>
      <c r="JM1796" s="1530"/>
      <c r="JN1796" s="1530"/>
      <c r="JO1796" s="1530"/>
      <c r="JP1796" s="1530"/>
      <c r="JQ1796" s="1530"/>
      <c r="JR1796" s="1530"/>
      <c r="JS1796" s="1530"/>
      <c r="JT1796" s="1530"/>
      <c r="JU1796" s="1530"/>
      <c r="JV1796" s="1530"/>
      <c r="JW1796" s="1530"/>
      <c r="JX1796" s="1530"/>
      <c r="JY1796" s="1530"/>
      <c r="JZ1796" s="1530"/>
      <c r="KA1796" s="1530"/>
      <c r="KB1796" s="1530"/>
      <c r="KC1796" s="1530"/>
      <c r="KD1796" s="1530"/>
      <c r="KE1796" s="1530"/>
      <c r="KF1796" s="1530"/>
      <c r="KG1796" s="1530"/>
      <c r="KH1796" s="1530"/>
      <c r="KI1796" s="1530"/>
      <c r="KJ1796" s="1530"/>
      <c r="KK1796" s="1530"/>
      <c r="KL1796" s="1530"/>
      <c r="KM1796" s="1530"/>
      <c r="KN1796" s="1530"/>
      <c r="KO1796" s="1530"/>
      <c r="KP1796" s="1530"/>
      <c r="KQ1796" s="1530"/>
      <c r="KR1796" s="1530"/>
      <c r="KS1796" s="1530"/>
      <c r="KT1796" s="1530"/>
      <c r="KU1796" s="1530"/>
      <c r="KV1796" s="1530"/>
      <c r="KW1796" s="1530"/>
      <c r="KX1796" s="1530"/>
      <c r="KY1796" s="1530"/>
      <c r="KZ1796" s="1530"/>
      <c r="LA1796" s="1530"/>
      <c r="LB1796" s="1530"/>
      <c r="LC1796" s="1530"/>
      <c r="LD1796" s="1530"/>
      <c r="LE1796" s="1530"/>
      <c r="LF1796" s="1530"/>
      <c r="LG1796" s="1530"/>
      <c r="LH1796" s="1530"/>
    </row>
    <row r="1797" spans="1:320" ht="12" customHeight="1">
      <c r="A1797" s="269" t="str">
        <f t="shared" si="482"/>
        <v>n</v>
      </c>
      <c r="B1797" s="2060"/>
      <c r="C1797" s="2060"/>
      <c r="D1797" s="2060"/>
      <c r="E1797" s="1661">
        <v>7</v>
      </c>
      <c r="F1797" s="1353" t="str">
        <f>F$135</f>
        <v>--</v>
      </c>
      <c r="G1797" s="128">
        <f>G$135</f>
        <v>0</v>
      </c>
      <c r="H1797" s="128" t="str">
        <f>H$135</f>
        <v>--</v>
      </c>
      <c r="I1797" s="89"/>
      <c r="J1797" s="2198" t="str">
        <f t="shared" ref="J1797:V1797" si="488">IFERROR(J1710+N(J1739)+N(J1768),"n/a")</f>
        <v>n/a</v>
      </c>
      <c r="K1797" s="2198" t="str">
        <f t="shared" si="488"/>
        <v>n/a</v>
      </c>
      <c r="L1797" s="2198" t="str">
        <f t="shared" si="480"/>
        <v>n/a</v>
      </c>
      <c r="M1797" s="2198" t="str">
        <f t="shared" si="480"/>
        <v>n/a</v>
      </c>
      <c r="N1797" s="2198" t="str">
        <f t="shared" si="480"/>
        <v>n/a</v>
      </c>
      <c r="O1797" s="2198" t="str">
        <f t="shared" si="488"/>
        <v>n/a</v>
      </c>
      <c r="P1797" s="2198" t="str">
        <f t="shared" si="488"/>
        <v>n/a</v>
      </c>
      <c r="Q1797" s="2198" t="str">
        <f t="shared" si="488"/>
        <v>n/a</v>
      </c>
      <c r="R1797" s="2198" t="str">
        <f t="shared" si="488"/>
        <v>n/a</v>
      </c>
      <c r="S1797" s="2198" t="str">
        <f t="shared" si="488"/>
        <v>n/a</v>
      </c>
      <c r="T1797" s="2198" t="str">
        <f t="shared" si="488"/>
        <v>n/a</v>
      </c>
      <c r="U1797" s="2198" t="str">
        <f t="shared" si="488"/>
        <v>n/a</v>
      </c>
      <c r="V1797" s="2198" t="str">
        <f t="shared" si="488"/>
        <v>n/a</v>
      </c>
      <c r="W1797" s="1479"/>
      <c r="X1797" s="255"/>
      <c r="Y1797" s="89"/>
      <c r="Z1797" s="2060"/>
      <c r="AA1797" s="2060"/>
      <c r="AB1797" s="2060"/>
      <c r="AC1797" s="2060"/>
      <c r="AD1797" s="2060"/>
      <c r="AE1797" s="2060"/>
      <c r="AF1797" s="2060"/>
      <c r="AG1797" s="1530"/>
      <c r="AH1797" s="1530"/>
      <c r="AI1797" s="1530"/>
      <c r="AJ1797" s="1530"/>
      <c r="AK1797" s="1530"/>
      <c r="AL1797" s="1530"/>
      <c r="AM1797" s="1530"/>
      <c r="AN1797" s="1530"/>
      <c r="AO1797" s="1530"/>
      <c r="AP1797" s="1530"/>
      <c r="AQ1797" s="1530"/>
      <c r="AR1797" s="1530"/>
      <c r="AS1797" s="1530"/>
      <c r="AT1797" s="1530"/>
      <c r="AU1797" s="1530"/>
      <c r="AV1797" s="1530"/>
      <c r="AW1797" s="1530"/>
      <c r="AX1797" s="1530"/>
      <c r="AY1797" s="1530"/>
      <c r="AZ1797" s="1530"/>
      <c r="BA1797" s="1530"/>
      <c r="BB1797" s="1530"/>
      <c r="BC1797" s="1530"/>
      <c r="BD1797" s="1530"/>
      <c r="BE1797" s="1530"/>
      <c r="BF1797" s="1530"/>
      <c r="BG1797" s="1530"/>
      <c r="BH1797" s="1530"/>
      <c r="BI1797" s="1530"/>
      <c r="BJ1797" s="1530"/>
      <c r="BK1797" s="1530"/>
      <c r="BL1797" s="1530"/>
      <c r="BM1797" s="1530"/>
      <c r="BN1797" s="1530"/>
      <c r="BO1797" s="1530"/>
      <c r="BP1797" s="1530"/>
      <c r="BQ1797" s="1530"/>
      <c r="BR1797" s="1530"/>
      <c r="BS1797" s="1530"/>
      <c r="BT1797" s="1530"/>
      <c r="BU1797" s="1530"/>
      <c r="BV1797" s="1530"/>
      <c r="BW1797" s="1530"/>
      <c r="BX1797" s="1530"/>
      <c r="BY1797" s="1530"/>
      <c r="BZ1797" s="1530"/>
      <c r="CA1797" s="1530"/>
      <c r="CB1797" s="1530"/>
      <c r="CC1797" s="1530"/>
      <c r="CD1797" s="1530"/>
      <c r="CE1797" s="1530"/>
      <c r="CF1797" s="1530"/>
      <c r="CG1797" s="1530"/>
      <c r="CH1797" s="1530"/>
      <c r="CI1797" s="1530"/>
      <c r="CJ1797" s="1530"/>
      <c r="CK1797" s="1530"/>
      <c r="CL1797" s="1530"/>
      <c r="CM1797" s="1530"/>
      <c r="CN1797" s="1530"/>
      <c r="CO1797" s="1530"/>
      <c r="CP1797" s="1530"/>
      <c r="CQ1797" s="1530"/>
      <c r="CR1797" s="1530"/>
      <c r="CS1797" s="1530"/>
      <c r="CT1797" s="1530"/>
      <c r="CU1797" s="1530"/>
      <c r="CV1797" s="1530"/>
      <c r="CW1797" s="1530"/>
      <c r="CX1797" s="1530"/>
      <c r="CY1797" s="1530"/>
      <c r="CZ1797" s="1530"/>
      <c r="DA1797" s="1530"/>
      <c r="DB1797" s="1530"/>
      <c r="DC1797" s="1530"/>
      <c r="DD1797" s="1530"/>
      <c r="DE1797" s="1530"/>
      <c r="DF1797" s="1530"/>
      <c r="DG1797" s="1530"/>
      <c r="DH1797" s="1530"/>
      <c r="DI1797" s="1530"/>
      <c r="DJ1797" s="1530"/>
      <c r="DK1797" s="1530"/>
      <c r="DL1797" s="1530"/>
      <c r="DM1797" s="1530"/>
      <c r="DN1797" s="1530"/>
      <c r="DO1797" s="1530"/>
      <c r="DP1797" s="1530"/>
      <c r="DQ1797" s="1530"/>
      <c r="DR1797" s="1530"/>
      <c r="DS1797" s="1530"/>
      <c r="DT1797" s="1530"/>
      <c r="DU1797" s="1530"/>
      <c r="DV1797" s="1530"/>
      <c r="DW1797" s="1530"/>
      <c r="DX1797" s="1530"/>
      <c r="DY1797" s="1530"/>
      <c r="DZ1797" s="1530"/>
      <c r="EA1797" s="1530"/>
      <c r="EB1797" s="1530"/>
      <c r="EC1797" s="1530"/>
      <c r="ED1797" s="1530"/>
      <c r="EE1797" s="1530"/>
      <c r="EF1797" s="1530"/>
      <c r="EG1797" s="1530"/>
      <c r="EH1797" s="1530"/>
      <c r="EI1797" s="1530"/>
      <c r="EJ1797" s="1530"/>
      <c r="EK1797" s="1530"/>
      <c r="EL1797" s="1530"/>
      <c r="EM1797" s="1530"/>
      <c r="EN1797" s="1530"/>
      <c r="EO1797" s="1530"/>
      <c r="EP1797" s="1530"/>
      <c r="EQ1797" s="1530"/>
      <c r="ER1797" s="1530"/>
      <c r="ES1797" s="1530"/>
      <c r="ET1797" s="1530"/>
      <c r="EU1797" s="1530"/>
      <c r="EV1797" s="1530"/>
      <c r="EW1797" s="1530"/>
      <c r="EX1797" s="1530"/>
      <c r="EY1797" s="1530"/>
      <c r="EZ1797" s="1530"/>
      <c r="FA1797" s="1530"/>
      <c r="FB1797" s="1530"/>
      <c r="FC1797" s="1530"/>
      <c r="FD1797" s="1530"/>
      <c r="FE1797" s="1530"/>
      <c r="FF1797" s="1530"/>
      <c r="FG1797" s="1530"/>
      <c r="FH1797" s="1530"/>
      <c r="FI1797" s="1530"/>
      <c r="FJ1797" s="1530"/>
      <c r="FK1797" s="1530"/>
      <c r="FL1797" s="1530"/>
      <c r="FM1797" s="1530"/>
      <c r="FN1797" s="1530"/>
      <c r="FO1797" s="1530"/>
      <c r="FP1797" s="1530"/>
      <c r="FQ1797" s="1530"/>
      <c r="FR1797" s="1530"/>
      <c r="FS1797" s="1530"/>
      <c r="FT1797" s="1530"/>
      <c r="FU1797" s="1530"/>
      <c r="FV1797" s="1530"/>
      <c r="FW1797" s="1530"/>
      <c r="FX1797" s="1530"/>
      <c r="FY1797" s="1530"/>
      <c r="FZ1797" s="1530"/>
      <c r="GA1797" s="1530"/>
      <c r="GB1797" s="1530"/>
      <c r="GC1797" s="1530"/>
      <c r="GD1797" s="1530"/>
      <c r="GE1797" s="1530"/>
      <c r="GF1797" s="1530"/>
      <c r="GG1797" s="1530"/>
      <c r="GH1797" s="1530"/>
      <c r="GI1797" s="1530"/>
      <c r="GJ1797" s="1530"/>
      <c r="GK1797" s="1530"/>
      <c r="GL1797" s="1530"/>
      <c r="GM1797" s="1530"/>
      <c r="GN1797" s="1530"/>
      <c r="GO1797" s="1530"/>
      <c r="GP1797" s="1530"/>
      <c r="GQ1797" s="1530"/>
      <c r="GR1797" s="1530"/>
      <c r="GS1797" s="1530"/>
      <c r="GT1797" s="1530"/>
      <c r="GU1797" s="1530"/>
      <c r="GV1797" s="1530"/>
      <c r="GW1797" s="1530"/>
      <c r="GX1797" s="1530"/>
      <c r="GY1797" s="1530"/>
      <c r="GZ1797" s="1530"/>
      <c r="HA1797" s="1530"/>
      <c r="HB1797" s="1530"/>
      <c r="HC1797" s="1530"/>
      <c r="HD1797" s="1530"/>
      <c r="HE1797" s="1530"/>
      <c r="HF1797" s="1530"/>
      <c r="HG1797" s="1530"/>
      <c r="HH1797" s="1530"/>
      <c r="HI1797" s="1530"/>
      <c r="HJ1797" s="1530"/>
      <c r="HK1797" s="1530"/>
      <c r="HL1797" s="1530"/>
      <c r="HM1797" s="1530"/>
      <c r="HN1797" s="1530"/>
      <c r="HO1797" s="1530"/>
      <c r="HP1797" s="1530"/>
      <c r="HQ1797" s="1530"/>
      <c r="HR1797" s="1530"/>
      <c r="HS1797" s="1530"/>
      <c r="HT1797" s="1530"/>
      <c r="HU1797" s="1530"/>
      <c r="HV1797" s="1530"/>
      <c r="HW1797" s="1530"/>
      <c r="HX1797" s="1530"/>
      <c r="HY1797" s="1530"/>
      <c r="HZ1797" s="1530"/>
      <c r="IA1797" s="1530"/>
      <c r="IB1797" s="1530"/>
      <c r="IC1797" s="1530"/>
      <c r="ID1797" s="1530"/>
      <c r="IE1797" s="1530"/>
      <c r="IF1797" s="1530"/>
      <c r="IG1797" s="1530"/>
      <c r="IH1797" s="1530"/>
      <c r="II1797" s="1530"/>
      <c r="IJ1797" s="1530"/>
      <c r="IK1797" s="1530"/>
      <c r="IL1797" s="1530"/>
      <c r="IM1797" s="1530"/>
      <c r="IN1797" s="1530"/>
      <c r="IO1797" s="1530"/>
      <c r="IP1797" s="1530"/>
      <c r="IQ1797" s="1530"/>
      <c r="IR1797" s="1530"/>
      <c r="IS1797" s="1530"/>
      <c r="IT1797" s="1530"/>
      <c r="IU1797" s="1530"/>
      <c r="IV1797" s="1530"/>
      <c r="IW1797" s="1530"/>
      <c r="IX1797" s="1530"/>
      <c r="IY1797" s="1530"/>
      <c r="IZ1797" s="1530"/>
      <c r="JA1797" s="1530"/>
      <c r="JB1797" s="1530"/>
      <c r="JC1797" s="1530"/>
      <c r="JD1797" s="1530"/>
      <c r="JE1797" s="1530"/>
      <c r="JF1797" s="1530"/>
      <c r="JG1797" s="1530"/>
      <c r="JH1797" s="1530"/>
      <c r="JI1797" s="1530"/>
      <c r="JJ1797" s="1530"/>
      <c r="JK1797" s="1530"/>
      <c r="JL1797" s="1530"/>
      <c r="JM1797" s="1530"/>
      <c r="JN1797" s="1530"/>
      <c r="JO1797" s="1530"/>
      <c r="JP1797" s="1530"/>
      <c r="JQ1797" s="1530"/>
      <c r="JR1797" s="1530"/>
      <c r="JS1797" s="1530"/>
      <c r="JT1797" s="1530"/>
      <c r="JU1797" s="1530"/>
      <c r="JV1797" s="1530"/>
      <c r="JW1797" s="1530"/>
      <c r="JX1797" s="1530"/>
      <c r="JY1797" s="1530"/>
      <c r="JZ1797" s="1530"/>
      <c r="KA1797" s="1530"/>
      <c r="KB1797" s="1530"/>
      <c r="KC1797" s="1530"/>
      <c r="KD1797" s="1530"/>
      <c r="KE1797" s="1530"/>
      <c r="KF1797" s="1530"/>
      <c r="KG1797" s="1530"/>
      <c r="KH1797" s="1530"/>
      <c r="KI1797" s="1530"/>
      <c r="KJ1797" s="1530"/>
      <c r="KK1797" s="1530"/>
      <c r="KL1797" s="1530"/>
      <c r="KM1797" s="1530"/>
      <c r="KN1797" s="1530"/>
      <c r="KO1797" s="1530"/>
      <c r="KP1797" s="1530"/>
      <c r="KQ1797" s="1530"/>
      <c r="KR1797" s="1530"/>
      <c r="KS1797" s="1530"/>
      <c r="KT1797" s="1530"/>
      <c r="KU1797" s="1530"/>
      <c r="KV1797" s="1530"/>
      <c r="KW1797" s="1530"/>
      <c r="KX1797" s="1530"/>
      <c r="KY1797" s="1530"/>
      <c r="KZ1797" s="1530"/>
      <c r="LA1797" s="1530"/>
      <c r="LB1797" s="1530"/>
      <c r="LC1797" s="1530"/>
      <c r="LD1797" s="1530"/>
      <c r="LE1797" s="1530"/>
      <c r="LF1797" s="1530"/>
      <c r="LG1797" s="1530"/>
      <c r="LH1797" s="1530"/>
    </row>
    <row r="1798" spans="1:320" ht="12" customHeight="1">
      <c r="A1798" s="269" t="str">
        <f t="shared" si="482"/>
        <v>n</v>
      </c>
      <c r="B1798" s="2060"/>
      <c r="C1798" s="2060"/>
      <c r="D1798" s="2060"/>
      <c r="E1798" s="1661">
        <v>8</v>
      </c>
      <c r="F1798" s="1353" t="str">
        <f>F$136</f>
        <v>--</v>
      </c>
      <c r="G1798" s="128">
        <f>G$136</f>
        <v>0</v>
      </c>
      <c r="H1798" s="128" t="str">
        <f>H$136</f>
        <v>--</v>
      </c>
      <c r="I1798" s="89"/>
      <c r="J1798" s="2198" t="str">
        <f t="shared" ref="J1798:V1798" si="489">IFERROR(J1711+N(J1740)+N(J1769),"n/a")</f>
        <v>n/a</v>
      </c>
      <c r="K1798" s="2198" t="str">
        <f t="shared" si="489"/>
        <v>n/a</v>
      </c>
      <c r="L1798" s="2198" t="str">
        <f t="shared" si="480"/>
        <v>n/a</v>
      </c>
      <c r="M1798" s="2198" t="str">
        <f t="shared" si="480"/>
        <v>n/a</v>
      </c>
      <c r="N1798" s="2198" t="str">
        <f t="shared" si="480"/>
        <v>n/a</v>
      </c>
      <c r="O1798" s="2198" t="str">
        <f t="shared" si="489"/>
        <v>n/a</v>
      </c>
      <c r="P1798" s="2198" t="str">
        <f t="shared" si="489"/>
        <v>n/a</v>
      </c>
      <c r="Q1798" s="2198" t="str">
        <f t="shared" si="489"/>
        <v>n/a</v>
      </c>
      <c r="R1798" s="2198" t="str">
        <f t="shared" si="489"/>
        <v>n/a</v>
      </c>
      <c r="S1798" s="2198" t="str">
        <f t="shared" si="489"/>
        <v>n/a</v>
      </c>
      <c r="T1798" s="2198" t="str">
        <f t="shared" si="489"/>
        <v>n/a</v>
      </c>
      <c r="U1798" s="2198" t="str">
        <f t="shared" si="489"/>
        <v>n/a</v>
      </c>
      <c r="V1798" s="2198" t="str">
        <f t="shared" si="489"/>
        <v>n/a</v>
      </c>
      <c r="W1798" s="1479"/>
      <c r="X1798" s="255"/>
      <c r="Y1798" s="89"/>
      <c r="Z1798" s="2060"/>
      <c r="AA1798" s="2060"/>
      <c r="AB1798" s="2060"/>
      <c r="AC1798" s="2060"/>
      <c r="AD1798" s="2060"/>
      <c r="AE1798" s="2060"/>
      <c r="AF1798" s="2060"/>
      <c r="AG1798" s="1530"/>
      <c r="AH1798" s="1530"/>
      <c r="AI1798" s="1530"/>
      <c r="AJ1798" s="1530"/>
      <c r="AK1798" s="1530"/>
      <c r="AL1798" s="1530"/>
      <c r="AM1798" s="1530"/>
      <c r="AN1798" s="1530"/>
      <c r="AO1798" s="1530"/>
      <c r="AP1798" s="1530"/>
      <c r="AQ1798" s="1530"/>
      <c r="AR1798" s="1530"/>
      <c r="AS1798" s="1530"/>
      <c r="AT1798" s="1530"/>
      <c r="AU1798" s="1530"/>
      <c r="AV1798" s="1530"/>
      <c r="AW1798" s="1530"/>
      <c r="AX1798" s="1530"/>
      <c r="AY1798" s="1530"/>
      <c r="AZ1798" s="1530"/>
      <c r="BA1798" s="1530"/>
      <c r="BB1798" s="1530"/>
      <c r="BC1798" s="1530"/>
      <c r="BD1798" s="1530"/>
      <c r="BE1798" s="1530"/>
      <c r="BF1798" s="1530"/>
      <c r="BG1798" s="1530"/>
      <c r="BH1798" s="1530"/>
      <c r="BI1798" s="1530"/>
      <c r="BJ1798" s="1530"/>
      <c r="BK1798" s="1530"/>
      <c r="BL1798" s="1530"/>
      <c r="BM1798" s="1530"/>
      <c r="BN1798" s="1530"/>
      <c r="BO1798" s="1530"/>
      <c r="BP1798" s="1530"/>
      <c r="BQ1798" s="1530"/>
      <c r="BR1798" s="1530"/>
      <c r="BS1798" s="1530"/>
      <c r="BT1798" s="1530"/>
      <c r="BU1798" s="1530"/>
      <c r="BV1798" s="1530"/>
      <c r="BW1798" s="1530"/>
      <c r="BX1798" s="1530"/>
      <c r="BY1798" s="1530"/>
      <c r="BZ1798" s="1530"/>
      <c r="CA1798" s="1530"/>
      <c r="CB1798" s="1530"/>
      <c r="CC1798" s="1530"/>
      <c r="CD1798" s="1530"/>
      <c r="CE1798" s="1530"/>
      <c r="CF1798" s="1530"/>
      <c r="CG1798" s="1530"/>
      <c r="CH1798" s="1530"/>
      <c r="CI1798" s="1530"/>
      <c r="CJ1798" s="1530"/>
      <c r="CK1798" s="1530"/>
      <c r="CL1798" s="1530"/>
      <c r="CM1798" s="1530"/>
      <c r="CN1798" s="1530"/>
      <c r="CO1798" s="1530"/>
      <c r="CP1798" s="1530"/>
      <c r="CQ1798" s="1530"/>
      <c r="CR1798" s="1530"/>
      <c r="CS1798" s="1530"/>
      <c r="CT1798" s="1530"/>
      <c r="CU1798" s="1530"/>
      <c r="CV1798" s="1530"/>
      <c r="CW1798" s="1530"/>
      <c r="CX1798" s="1530"/>
      <c r="CY1798" s="1530"/>
      <c r="CZ1798" s="1530"/>
      <c r="DA1798" s="1530"/>
      <c r="DB1798" s="1530"/>
      <c r="DC1798" s="1530"/>
      <c r="DD1798" s="1530"/>
      <c r="DE1798" s="1530"/>
      <c r="DF1798" s="1530"/>
      <c r="DG1798" s="1530"/>
      <c r="DH1798" s="1530"/>
      <c r="DI1798" s="1530"/>
      <c r="DJ1798" s="1530"/>
      <c r="DK1798" s="1530"/>
      <c r="DL1798" s="1530"/>
      <c r="DM1798" s="1530"/>
      <c r="DN1798" s="1530"/>
      <c r="DO1798" s="1530"/>
      <c r="DP1798" s="1530"/>
      <c r="DQ1798" s="1530"/>
      <c r="DR1798" s="1530"/>
      <c r="DS1798" s="1530"/>
      <c r="DT1798" s="1530"/>
      <c r="DU1798" s="1530"/>
      <c r="DV1798" s="1530"/>
      <c r="DW1798" s="1530"/>
      <c r="DX1798" s="1530"/>
      <c r="DY1798" s="1530"/>
      <c r="DZ1798" s="1530"/>
      <c r="EA1798" s="1530"/>
      <c r="EB1798" s="1530"/>
      <c r="EC1798" s="1530"/>
      <c r="ED1798" s="1530"/>
      <c r="EE1798" s="1530"/>
      <c r="EF1798" s="1530"/>
      <c r="EG1798" s="1530"/>
      <c r="EH1798" s="1530"/>
      <c r="EI1798" s="1530"/>
      <c r="EJ1798" s="1530"/>
      <c r="EK1798" s="1530"/>
      <c r="EL1798" s="1530"/>
      <c r="EM1798" s="1530"/>
      <c r="EN1798" s="1530"/>
      <c r="EO1798" s="1530"/>
      <c r="EP1798" s="1530"/>
      <c r="EQ1798" s="1530"/>
      <c r="ER1798" s="1530"/>
      <c r="ES1798" s="1530"/>
      <c r="ET1798" s="1530"/>
      <c r="EU1798" s="1530"/>
      <c r="EV1798" s="1530"/>
      <c r="EW1798" s="1530"/>
      <c r="EX1798" s="1530"/>
      <c r="EY1798" s="1530"/>
      <c r="EZ1798" s="1530"/>
      <c r="FA1798" s="1530"/>
      <c r="FB1798" s="1530"/>
      <c r="FC1798" s="1530"/>
      <c r="FD1798" s="1530"/>
      <c r="FE1798" s="1530"/>
      <c r="FF1798" s="1530"/>
      <c r="FG1798" s="1530"/>
      <c r="FH1798" s="1530"/>
      <c r="FI1798" s="1530"/>
      <c r="FJ1798" s="1530"/>
      <c r="FK1798" s="1530"/>
      <c r="FL1798" s="1530"/>
      <c r="FM1798" s="1530"/>
      <c r="FN1798" s="1530"/>
      <c r="FO1798" s="1530"/>
      <c r="FP1798" s="1530"/>
      <c r="FQ1798" s="1530"/>
      <c r="FR1798" s="1530"/>
      <c r="FS1798" s="1530"/>
      <c r="FT1798" s="1530"/>
      <c r="FU1798" s="1530"/>
      <c r="FV1798" s="1530"/>
      <c r="FW1798" s="1530"/>
      <c r="FX1798" s="1530"/>
      <c r="FY1798" s="1530"/>
      <c r="FZ1798" s="1530"/>
      <c r="GA1798" s="1530"/>
      <c r="GB1798" s="1530"/>
      <c r="GC1798" s="1530"/>
      <c r="GD1798" s="1530"/>
      <c r="GE1798" s="1530"/>
      <c r="GF1798" s="1530"/>
      <c r="GG1798" s="1530"/>
      <c r="GH1798" s="1530"/>
      <c r="GI1798" s="1530"/>
      <c r="GJ1798" s="1530"/>
      <c r="GK1798" s="1530"/>
      <c r="GL1798" s="1530"/>
      <c r="GM1798" s="1530"/>
      <c r="GN1798" s="1530"/>
      <c r="GO1798" s="1530"/>
      <c r="GP1798" s="1530"/>
      <c r="GQ1798" s="1530"/>
      <c r="GR1798" s="1530"/>
      <c r="GS1798" s="1530"/>
      <c r="GT1798" s="1530"/>
      <c r="GU1798" s="1530"/>
      <c r="GV1798" s="1530"/>
      <c r="GW1798" s="1530"/>
      <c r="GX1798" s="1530"/>
      <c r="GY1798" s="1530"/>
      <c r="GZ1798" s="1530"/>
      <c r="HA1798" s="1530"/>
      <c r="HB1798" s="1530"/>
      <c r="HC1798" s="1530"/>
      <c r="HD1798" s="1530"/>
      <c r="HE1798" s="1530"/>
      <c r="HF1798" s="1530"/>
      <c r="HG1798" s="1530"/>
      <c r="HH1798" s="1530"/>
      <c r="HI1798" s="1530"/>
      <c r="HJ1798" s="1530"/>
      <c r="HK1798" s="1530"/>
      <c r="HL1798" s="1530"/>
      <c r="HM1798" s="1530"/>
      <c r="HN1798" s="1530"/>
      <c r="HO1798" s="1530"/>
      <c r="HP1798" s="1530"/>
      <c r="HQ1798" s="1530"/>
      <c r="HR1798" s="1530"/>
      <c r="HS1798" s="1530"/>
      <c r="HT1798" s="1530"/>
      <c r="HU1798" s="1530"/>
      <c r="HV1798" s="1530"/>
      <c r="HW1798" s="1530"/>
      <c r="HX1798" s="1530"/>
      <c r="HY1798" s="1530"/>
      <c r="HZ1798" s="1530"/>
      <c r="IA1798" s="1530"/>
      <c r="IB1798" s="1530"/>
      <c r="IC1798" s="1530"/>
      <c r="ID1798" s="1530"/>
      <c r="IE1798" s="1530"/>
      <c r="IF1798" s="1530"/>
      <c r="IG1798" s="1530"/>
      <c r="IH1798" s="1530"/>
      <c r="II1798" s="1530"/>
      <c r="IJ1798" s="1530"/>
      <c r="IK1798" s="1530"/>
      <c r="IL1798" s="1530"/>
      <c r="IM1798" s="1530"/>
      <c r="IN1798" s="1530"/>
      <c r="IO1798" s="1530"/>
      <c r="IP1798" s="1530"/>
      <c r="IQ1798" s="1530"/>
      <c r="IR1798" s="1530"/>
      <c r="IS1798" s="1530"/>
      <c r="IT1798" s="1530"/>
      <c r="IU1798" s="1530"/>
      <c r="IV1798" s="1530"/>
      <c r="IW1798" s="1530"/>
      <c r="IX1798" s="1530"/>
      <c r="IY1798" s="1530"/>
      <c r="IZ1798" s="1530"/>
      <c r="JA1798" s="1530"/>
      <c r="JB1798" s="1530"/>
      <c r="JC1798" s="1530"/>
      <c r="JD1798" s="1530"/>
      <c r="JE1798" s="1530"/>
      <c r="JF1798" s="1530"/>
      <c r="JG1798" s="1530"/>
      <c r="JH1798" s="1530"/>
      <c r="JI1798" s="1530"/>
      <c r="JJ1798" s="1530"/>
      <c r="JK1798" s="1530"/>
      <c r="JL1798" s="1530"/>
      <c r="JM1798" s="1530"/>
      <c r="JN1798" s="1530"/>
      <c r="JO1798" s="1530"/>
      <c r="JP1798" s="1530"/>
      <c r="JQ1798" s="1530"/>
      <c r="JR1798" s="1530"/>
      <c r="JS1798" s="1530"/>
      <c r="JT1798" s="1530"/>
      <c r="JU1798" s="1530"/>
      <c r="JV1798" s="1530"/>
      <c r="JW1798" s="1530"/>
      <c r="JX1798" s="1530"/>
      <c r="JY1798" s="1530"/>
      <c r="JZ1798" s="1530"/>
      <c r="KA1798" s="1530"/>
      <c r="KB1798" s="1530"/>
      <c r="KC1798" s="1530"/>
      <c r="KD1798" s="1530"/>
      <c r="KE1798" s="1530"/>
      <c r="KF1798" s="1530"/>
      <c r="KG1798" s="1530"/>
      <c r="KH1798" s="1530"/>
      <c r="KI1798" s="1530"/>
      <c r="KJ1798" s="1530"/>
      <c r="KK1798" s="1530"/>
      <c r="KL1798" s="1530"/>
      <c r="KM1798" s="1530"/>
      <c r="KN1798" s="1530"/>
      <c r="KO1798" s="1530"/>
      <c r="KP1798" s="1530"/>
      <c r="KQ1798" s="1530"/>
      <c r="KR1798" s="1530"/>
      <c r="KS1798" s="1530"/>
      <c r="KT1798" s="1530"/>
      <c r="KU1798" s="1530"/>
      <c r="KV1798" s="1530"/>
      <c r="KW1798" s="1530"/>
      <c r="KX1798" s="1530"/>
      <c r="KY1798" s="1530"/>
      <c r="KZ1798" s="1530"/>
      <c r="LA1798" s="1530"/>
      <c r="LB1798" s="1530"/>
      <c r="LC1798" s="1530"/>
      <c r="LD1798" s="1530"/>
      <c r="LE1798" s="1530"/>
      <c r="LF1798" s="1530"/>
      <c r="LG1798" s="1530"/>
      <c r="LH1798" s="1530"/>
    </row>
    <row r="1799" spans="1:320" ht="12" customHeight="1">
      <c r="A1799" s="269" t="str">
        <f t="shared" si="482"/>
        <v>n</v>
      </c>
      <c r="B1799" s="2060"/>
      <c r="C1799" s="2060"/>
      <c r="D1799" s="2060"/>
      <c r="E1799" s="1661">
        <v>9</v>
      </c>
      <c r="F1799" s="1353" t="str">
        <f>F$137</f>
        <v>--</v>
      </c>
      <c r="G1799" s="128">
        <f>G$137</f>
        <v>0</v>
      </c>
      <c r="H1799" s="128" t="str">
        <f>H$137</f>
        <v>--</v>
      </c>
      <c r="I1799" s="89"/>
      <c r="J1799" s="2198" t="str">
        <f t="shared" ref="J1799:V1799" si="490">IFERROR(J1712+N(J1741)+N(J1770),"n/a")</f>
        <v>n/a</v>
      </c>
      <c r="K1799" s="2198" t="str">
        <f t="shared" si="490"/>
        <v>n/a</v>
      </c>
      <c r="L1799" s="2198" t="str">
        <f t="shared" si="480"/>
        <v>n/a</v>
      </c>
      <c r="M1799" s="2198" t="str">
        <f t="shared" si="480"/>
        <v>n/a</v>
      </c>
      <c r="N1799" s="2198" t="str">
        <f t="shared" si="480"/>
        <v>n/a</v>
      </c>
      <c r="O1799" s="2198" t="str">
        <f t="shared" si="490"/>
        <v>n/a</v>
      </c>
      <c r="P1799" s="2198" t="str">
        <f t="shared" si="490"/>
        <v>n/a</v>
      </c>
      <c r="Q1799" s="2198" t="str">
        <f t="shared" si="490"/>
        <v>n/a</v>
      </c>
      <c r="R1799" s="2198" t="str">
        <f t="shared" si="490"/>
        <v>n/a</v>
      </c>
      <c r="S1799" s="2198" t="str">
        <f t="shared" si="490"/>
        <v>n/a</v>
      </c>
      <c r="T1799" s="2198" t="str">
        <f t="shared" si="490"/>
        <v>n/a</v>
      </c>
      <c r="U1799" s="2198" t="str">
        <f t="shared" si="490"/>
        <v>n/a</v>
      </c>
      <c r="V1799" s="2198" t="str">
        <f t="shared" si="490"/>
        <v>n/a</v>
      </c>
      <c r="W1799" s="1479"/>
      <c r="X1799" s="255"/>
      <c r="Y1799" s="89"/>
      <c r="Z1799" s="2060"/>
      <c r="AA1799" s="2060"/>
      <c r="AB1799" s="2060"/>
      <c r="AC1799" s="2060"/>
      <c r="AD1799" s="2060"/>
      <c r="AE1799" s="2060"/>
      <c r="AF1799" s="2060"/>
      <c r="AG1799" s="1530"/>
      <c r="AH1799" s="1530"/>
      <c r="AI1799" s="1530"/>
      <c r="AJ1799" s="1530"/>
      <c r="AK1799" s="1530"/>
      <c r="AL1799" s="1530"/>
      <c r="AM1799" s="1530"/>
      <c r="AN1799" s="1530"/>
      <c r="AO1799" s="1530"/>
      <c r="AP1799" s="1530"/>
      <c r="AQ1799" s="1530"/>
      <c r="AR1799" s="1530"/>
      <c r="AS1799" s="1530"/>
      <c r="AT1799" s="1530"/>
      <c r="AU1799" s="1530"/>
      <c r="AV1799" s="1530"/>
      <c r="AW1799" s="1530"/>
      <c r="AX1799" s="1530"/>
      <c r="AY1799" s="1530"/>
      <c r="AZ1799" s="1530"/>
      <c r="BA1799" s="1530"/>
      <c r="BB1799" s="1530"/>
      <c r="BC1799" s="1530"/>
      <c r="BD1799" s="1530"/>
      <c r="BE1799" s="1530"/>
      <c r="BF1799" s="1530"/>
      <c r="BG1799" s="1530"/>
      <c r="BH1799" s="1530"/>
      <c r="BI1799" s="1530"/>
      <c r="BJ1799" s="1530"/>
      <c r="BK1799" s="1530"/>
      <c r="BL1799" s="1530"/>
      <c r="BM1799" s="1530"/>
      <c r="BN1799" s="1530"/>
      <c r="BO1799" s="1530"/>
      <c r="BP1799" s="1530"/>
      <c r="BQ1799" s="1530"/>
      <c r="BR1799" s="1530"/>
      <c r="BS1799" s="1530"/>
      <c r="BT1799" s="1530"/>
      <c r="BU1799" s="1530"/>
      <c r="BV1799" s="1530"/>
      <c r="BW1799" s="1530"/>
      <c r="BX1799" s="1530"/>
      <c r="BY1799" s="1530"/>
      <c r="BZ1799" s="1530"/>
      <c r="CA1799" s="1530"/>
      <c r="CB1799" s="1530"/>
      <c r="CC1799" s="1530"/>
      <c r="CD1799" s="1530"/>
      <c r="CE1799" s="1530"/>
      <c r="CF1799" s="1530"/>
      <c r="CG1799" s="1530"/>
      <c r="CH1799" s="1530"/>
      <c r="CI1799" s="1530"/>
      <c r="CJ1799" s="1530"/>
      <c r="CK1799" s="1530"/>
      <c r="CL1799" s="1530"/>
      <c r="CM1799" s="1530"/>
      <c r="CN1799" s="1530"/>
      <c r="CO1799" s="1530"/>
      <c r="CP1799" s="1530"/>
      <c r="CQ1799" s="1530"/>
      <c r="CR1799" s="1530"/>
      <c r="CS1799" s="1530"/>
      <c r="CT1799" s="1530"/>
      <c r="CU1799" s="1530"/>
      <c r="CV1799" s="1530"/>
      <c r="CW1799" s="1530"/>
      <c r="CX1799" s="1530"/>
      <c r="CY1799" s="1530"/>
      <c r="CZ1799" s="1530"/>
      <c r="DA1799" s="1530"/>
      <c r="DB1799" s="1530"/>
      <c r="DC1799" s="1530"/>
      <c r="DD1799" s="1530"/>
      <c r="DE1799" s="1530"/>
      <c r="DF1799" s="1530"/>
      <c r="DG1799" s="1530"/>
      <c r="DH1799" s="1530"/>
      <c r="DI1799" s="1530"/>
      <c r="DJ1799" s="1530"/>
      <c r="DK1799" s="1530"/>
      <c r="DL1799" s="1530"/>
      <c r="DM1799" s="1530"/>
      <c r="DN1799" s="1530"/>
      <c r="DO1799" s="1530"/>
      <c r="DP1799" s="1530"/>
      <c r="DQ1799" s="1530"/>
      <c r="DR1799" s="1530"/>
      <c r="DS1799" s="1530"/>
      <c r="DT1799" s="1530"/>
      <c r="DU1799" s="1530"/>
      <c r="DV1799" s="1530"/>
      <c r="DW1799" s="1530"/>
      <c r="DX1799" s="1530"/>
      <c r="DY1799" s="1530"/>
      <c r="DZ1799" s="1530"/>
      <c r="EA1799" s="1530"/>
      <c r="EB1799" s="1530"/>
      <c r="EC1799" s="1530"/>
      <c r="ED1799" s="1530"/>
      <c r="EE1799" s="1530"/>
      <c r="EF1799" s="1530"/>
      <c r="EG1799" s="1530"/>
      <c r="EH1799" s="1530"/>
      <c r="EI1799" s="1530"/>
      <c r="EJ1799" s="1530"/>
      <c r="EK1799" s="1530"/>
      <c r="EL1799" s="1530"/>
      <c r="EM1799" s="1530"/>
      <c r="EN1799" s="1530"/>
      <c r="EO1799" s="1530"/>
      <c r="EP1799" s="1530"/>
      <c r="EQ1799" s="1530"/>
      <c r="ER1799" s="1530"/>
      <c r="ES1799" s="1530"/>
      <c r="ET1799" s="1530"/>
      <c r="EU1799" s="1530"/>
      <c r="EV1799" s="1530"/>
      <c r="EW1799" s="1530"/>
      <c r="EX1799" s="1530"/>
      <c r="EY1799" s="1530"/>
      <c r="EZ1799" s="1530"/>
      <c r="FA1799" s="1530"/>
      <c r="FB1799" s="1530"/>
      <c r="FC1799" s="1530"/>
      <c r="FD1799" s="1530"/>
      <c r="FE1799" s="1530"/>
      <c r="FF1799" s="1530"/>
      <c r="FG1799" s="1530"/>
      <c r="FH1799" s="1530"/>
      <c r="FI1799" s="1530"/>
      <c r="FJ1799" s="1530"/>
      <c r="FK1799" s="1530"/>
      <c r="FL1799" s="1530"/>
      <c r="FM1799" s="1530"/>
      <c r="FN1799" s="1530"/>
      <c r="FO1799" s="1530"/>
      <c r="FP1799" s="1530"/>
      <c r="FQ1799" s="1530"/>
      <c r="FR1799" s="1530"/>
      <c r="FS1799" s="1530"/>
      <c r="FT1799" s="1530"/>
      <c r="FU1799" s="1530"/>
      <c r="FV1799" s="1530"/>
      <c r="FW1799" s="1530"/>
      <c r="FX1799" s="1530"/>
      <c r="FY1799" s="1530"/>
      <c r="FZ1799" s="1530"/>
      <c r="GA1799" s="1530"/>
      <c r="GB1799" s="1530"/>
      <c r="GC1799" s="1530"/>
      <c r="GD1799" s="1530"/>
      <c r="GE1799" s="1530"/>
      <c r="GF1799" s="1530"/>
      <c r="GG1799" s="1530"/>
      <c r="GH1799" s="1530"/>
      <c r="GI1799" s="1530"/>
      <c r="GJ1799" s="1530"/>
      <c r="GK1799" s="1530"/>
      <c r="GL1799" s="1530"/>
      <c r="GM1799" s="1530"/>
      <c r="GN1799" s="1530"/>
      <c r="GO1799" s="1530"/>
      <c r="GP1799" s="1530"/>
      <c r="GQ1799" s="1530"/>
      <c r="GR1799" s="1530"/>
      <c r="GS1799" s="1530"/>
      <c r="GT1799" s="1530"/>
      <c r="GU1799" s="1530"/>
      <c r="GV1799" s="1530"/>
      <c r="GW1799" s="1530"/>
      <c r="GX1799" s="1530"/>
      <c r="GY1799" s="1530"/>
      <c r="GZ1799" s="1530"/>
      <c r="HA1799" s="1530"/>
      <c r="HB1799" s="1530"/>
      <c r="HC1799" s="1530"/>
      <c r="HD1799" s="1530"/>
      <c r="HE1799" s="1530"/>
      <c r="HF1799" s="1530"/>
      <c r="HG1799" s="1530"/>
      <c r="HH1799" s="1530"/>
      <c r="HI1799" s="1530"/>
      <c r="HJ1799" s="1530"/>
      <c r="HK1799" s="1530"/>
      <c r="HL1799" s="1530"/>
      <c r="HM1799" s="1530"/>
      <c r="HN1799" s="1530"/>
      <c r="HO1799" s="1530"/>
      <c r="HP1799" s="1530"/>
      <c r="HQ1799" s="1530"/>
      <c r="HR1799" s="1530"/>
      <c r="HS1799" s="1530"/>
      <c r="HT1799" s="1530"/>
      <c r="HU1799" s="1530"/>
      <c r="HV1799" s="1530"/>
      <c r="HW1799" s="1530"/>
      <c r="HX1799" s="1530"/>
      <c r="HY1799" s="1530"/>
      <c r="HZ1799" s="1530"/>
      <c r="IA1799" s="1530"/>
      <c r="IB1799" s="1530"/>
      <c r="IC1799" s="1530"/>
      <c r="ID1799" s="1530"/>
      <c r="IE1799" s="1530"/>
      <c r="IF1799" s="1530"/>
      <c r="IG1799" s="1530"/>
      <c r="IH1799" s="1530"/>
      <c r="II1799" s="1530"/>
      <c r="IJ1799" s="1530"/>
      <c r="IK1799" s="1530"/>
      <c r="IL1799" s="1530"/>
      <c r="IM1799" s="1530"/>
      <c r="IN1799" s="1530"/>
      <c r="IO1799" s="1530"/>
      <c r="IP1799" s="1530"/>
      <c r="IQ1799" s="1530"/>
      <c r="IR1799" s="1530"/>
      <c r="IS1799" s="1530"/>
      <c r="IT1799" s="1530"/>
      <c r="IU1799" s="1530"/>
      <c r="IV1799" s="1530"/>
      <c r="IW1799" s="1530"/>
      <c r="IX1799" s="1530"/>
      <c r="IY1799" s="1530"/>
      <c r="IZ1799" s="1530"/>
      <c r="JA1799" s="1530"/>
      <c r="JB1799" s="1530"/>
      <c r="JC1799" s="1530"/>
      <c r="JD1799" s="1530"/>
      <c r="JE1799" s="1530"/>
      <c r="JF1799" s="1530"/>
      <c r="JG1799" s="1530"/>
      <c r="JH1799" s="1530"/>
      <c r="JI1799" s="1530"/>
      <c r="JJ1799" s="1530"/>
      <c r="JK1799" s="1530"/>
      <c r="JL1799" s="1530"/>
      <c r="JM1799" s="1530"/>
      <c r="JN1799" s="1530"/>
      <c r="JO1799" s="1530"/>
      <c r="JP1799" s="1530"/>
      <c r="JQ1799" s="1530"/>
      <c r="JR1799" s="1530"/>
      <c r="JS1799" s="1530"/>
      <c r="JT1799" s="1530"/>
      <c r="JU1799" s="1530"/>
      <c r="JV1799" s="1530"/>
      <c r="JW1799" s="1530"/>
      <c r="JX1799" s="1530"/>
      <c r="JY1799" s="1530"/>
      <c r="JZ1799" s="1530"/>
      <c r="KA1799" s="1530"/>
      <c r="KB1799" s="1530"/>
      <c r="KC1799" s="1530"/>
      <c r="KD1799" s="1530"/>
      <c r="KE1799" s="1530"/>
      <c r="KF1799" s="1530"/>
      <c r="KG1799" s="1530"/>
      <c r="KH1799" s="1530"/>
      <c r="KI1799" s="1530"/>
      <c r="KJ1799" s="1530"/>
      <c r="KK1799" s="1530"/>
      <c r="KL1799" s="1530"/>
      <c r="KM1799" s="1530"/>
      <c r="KN1799" s="1530"/>
      <c r="KO1799" s="1530"/>
      <c r="KP1799" s="1530"/>
      <c r="KQ1799" s="1530"/>
      <c r="KR1799" s="1530"/>
      <c r="KS1799" s="1530"/>
      <c r="KT1799" s="1530"/>
      <c r="KU1799" s="1530"/>
      <c r="KV1799" s="1530"/>
      <c r="KW1799" s="1530"/>
      <c r="KX1799" s="1530"/>
      <c r="KY1799" s="1530"/>
      <c r="KZ1799" s="1530"/>
      <c r="LA1799" s="1530"/>
      <c r="LB1799" s="1530"/>
      <c r="LC1799" s="1530"/>
      <c r="LD1799" s="1530"/>
      <c r="LE1799" s="1530"/>
      <c r="LF1799" s="1530"/>
      <c r="LG1799" s="1530"/>
      <c r="LH1799" s="1530"/>
    </row>
    <row r="1800" spans="1:320" ht="12" customHeight="1">
      <c r="A1800" s="269" t="str">
        <f t="shared" si="482"/>
        <v>n</v>
      </c>
      <c r="B1800" s="2060"/>
      <c r="C1800" s="2060"/>
      <c r="D1800" s="2060"/>
      <c r="E1800" s="1661">
        <v>10</v>
      </c>
      <c r="F1800" s="1353" t="str">
        <f>F$138</f>
        <v>--</v>
      </c>
      <c r="G1800" s="128">
        <f>G$138</f>
        <v>0</v>
      </c>
      <c r="H1800" s="128" t="str">
        <f>H$138</f>
        <v>--</v>
      </c>
      <c r="I1800" s="89"/>
      <c r="J1800" s="2198" t="str">
        <f t="shared" ref="J1800:V1800" si="491">IFERROR(J1713+N(J1742)+N(J1771),"n/a")</f>
        <v>n/a</v>
      </c>
      <c r="K1800" s="2198" t="str">
        <f t="shared" si="491"/>
        <v>n/a</v>
      </c>
      <c r="L1800" s="2198" t="str">
        <f t="shared" si="480"/>
        <v>n/a</v>
      </c>
      <c r="M1800" s="2198" t="str">
        <f t="shared" si="480"/>
        <v>n/a</v>
      </c>
      <c r="N1800" s="2198" t="str">
        <f t="shared" si="480"/>
        <v>n/a</v>
      </c>
      <c r="O1800" s="2198" t="str">
        <f t="shared" si="491"/>
        <v>n/a</v>
      </c>
      <c r="P1800" s="2198" t="str">
        <f t="shared" si="491"/>
        <v>n/a</v>
      </c>
      <c r="Q1800" s="2198" t="str">
        <f t="shared" si="491"/>
        <v>n/a</v>
      </c>
      <c r="R1800" s="2198" t="str">
        <f t="shared" si="491"/>
        <v>n/a</v>
      </c>
      <c r="S1800" s="2198" t="str">
        <f t="shared" si="491"/>
        <v>n/a</v>
      </c>
      <c r="T1800" s="2198" t="str">
        <f t="shared" si="491"/>
        <v>n/a</v>
      </c>
      <c r="U1800" s="2198" t="str">
        <f t="shared" si="491"/>
        <v>n/a</v>
      </c>
      <c r="V1800" s="2198" t="str">
        <f t="shared" si="491"/>
        <v>n/a</v>
      </c>
      <c r="W1800" s="1479"/>
      <c r="X1800" s="255"/>
      <c r="Y1800" s="89"/>
      <c r="Z1800" s="2060"/>
      <c r="AA1800" s="2060"/>
      <c r="AB1800" s="2060"/>
      <c r="AC1800" s="2060"/>
      <c r="AD1800" s="2060"/>
      <c r="AE1800" s="2060"/>
      <c r="AF1800" s="2060"/>
      <c r="AG1800" s="1530"/>
      <c r="AH1800" s="1530"/>
      <c r="AI1800" s="1530"/>
      <c r="AJ1800" s="1530"/>
      <c r="AK1800" s="1530"/>
      <c r="AL1800" s="1530"/>
      <c r="AM1800" s="1530"/>
      <c r="AN1800" s="1530"/>
      <c r="AO1800" s="1530"/>
      <c r="AP1800" s="1530"/>
      <c r="AQ1800" s="1530"/>
      <c r="AR1800" s="1530"/>
      <c r="AS1800" s="1530"/>
      <c r="AT1800" s="1530"/>
      <c r="AU1800" s="1530"/>
      <c r="AV1800" s="1530"/>
      <c r="AW1800" s="1530"/>
      <c r="AX1800" s="1530"/>
      <c r="AY1800" s="1530"/>
      <c r="AZ1800" s="1530"/>
      <c r="BA1800" s="1530"/>
      <c r="BB1800" s="1530"/>
      <c r="BC1800" s="1530"/>
      <c r="BD1800" s="1530"/>
      <c r="BE1800" s="1530"/>
      <c r="BF1800" s="1530"/>
      <c r="BG1800" s="1530"/>
      <c r="BH1800" s="1530"/>
      <c r="BI1800" s="1530"/>
      <c r="BJ1800" s="1530"/>
      <c r="BK1800" s="1530"/>
      <c r="BL1800" s="1530"/>
      <c r="BM1800" s="1530"/>
      <c r="BN1800" s="1530"/>
      <c r="BO1800" s="1530"/>
      <c r="BP1800" s="1530"/>
      <c r="BQ1800" s="1530"/>
      <c r="BR1800" s="1530"/>
      <c r="BS1800" s="1530"/>
      <c r="BT1800" s="1530"/>
      <c r="BU1800" s="1530"/>
      <c r="BV1800" s="1530"/>
      <c r="BW1800" s="1530"/>
      <c r="BX1800" s="1530"/>
      <c r="BY1800" s="1530"/>
      <c r="BZ1800" s="1530"/>
      <c r="CA1800" s="1530"/>
      <c r="CB1800" s="1530"/>
      <c r="CC1800" s="1530"/>
      <c r="CD1800" s="1530"/>
      <c r="CE1800" s="1530"/>
      <c r="CF1800" s="1530"/>
      <c r="CG1800" s="1530"/>
      <c r="CH1800" s="1530"/>
      <c r="CI1800" s="1530"/>
      <c r="CJ1800" s="1530"/>
      <c r="CK1800" s="1530"/>
      <c r="CL1800" s="1530"/>
      <c r="CM1800" s="1530"/>
      <c r="CN1800" s="1530"/>
      <c r="CO1800" s="1530"/>
      <c r="CP1800" s="1530"/>
      <c r="CQ1800" s="1530"/>
      <c r="CR1800" s="1530"/>
      <c r="CS1800" s="1530"/>
      <c r="CT1800" s="1530"/>
      <c r="CU1800" s="1530"/>
      <c r="CV1800" s="1530"/>
      <c r="CW1800" s="1530"/>
      <c r="CX1800" s="1530"/>
      <c r="CY1800" s="1530"/>
      <c r="CZ1800" s="1530"/>
      <c r="DA1800" s="1530"/>
      <c r="DB1800" s="1530"/>
      <c r="DC1800" s="1530"/>
      <c r="DD1800" s="1530"/>
      <c r="DE1800" s="1530"/>
      <c r="DF1800" s="1530"/>
      <c r="DG1800" s="1530"/>
      <c r="DH1800" s="1530"/>
      <c r="DI1800" s="1530"/>
      <c r="DJ1800" s="1530"/>
      <c r="DK1800" s="1530"/>
      <c r="DL1800" s="1530"/>
      <c r="DM1800" s="1530"/>
      <c r="DN1800" s="1530"/>
      <c r="DO1800" s="1530"/>
      <c r="DP1800" s="1530"/>
      <c r="DQ1800" s="1530"/>
      <c r="DR1800" s="1530"/>
      <c r="DS1800" s="1530"/>
      <c r="DT1800" s="1530"/>
      <c r="DU1800" s="1530"/>
      <c r="DV1800" s="1530"/>
      <c r="DW1800" s="1530"/>
      <c r="DX1800" s="1530"/>
      <c r="DY1800" s="1530"/>
      <c r="DZ1800" s="1530"/>
      <c r="EA1800" s="1530"/>
      <c r="EB1800" s="1530"/>
      <c r="EC1800" s="1530"/>
      <c r="ED1800" s="1530"/>
      <c r="EE1800" s="1530"/>
      <c r="EF1800" s="1530"/>
      <c r="EG1800" s="1530"/>
      <c r="EH1800" s="1530"/>
      <c r="EI1800" s="1530"/>
      <c r="EJ1800" s="1530"/>
      <c r="EK1800" s="1530"/>
      <c r="EL1800" s="1530"/>
      <c r="EM1800" s="1530"/>
      <c r="EN1800" s="1530"/>
      <c r="EO1800" s="1530"/>
      <c r="EP1800" s="1530"/>
      <c r="EQ1800" s="1530"/>
      <c r="ER1800" s="1530"/>
      <c r="ES1800" s="1530"/>
      <c r="ET1800" s="1530"/>
      <c r="EU1800" s="1530"/>
      <c r="EV1800" s="1530"/>
      <c r="EW1800" s="1530"/>
      <c r="EX1800" s="1530"/>
      <c r="EY1800" s="1530"/>
      <c r="EZ1800" s="1530"/>
      <c r="FA1800" s="1530"/>
      <c r="FB1800" s="1530"/>
      <c r="FC1800" s="1530"/>
      <c r="FD1800" s="1530"/>
      <c r="FE1800" s="1530"/>
      <c r="FF1800" s="1530"/>
      <c r="FG1800" s="1530"/>
      <c r="FH1800" s="1530"/>
      <c r="FI1800" s="1530"/>
      <c r="FJ1800" s="1530"/>
      <c r="FK1800" s="1530"/>
      <c r="FL1800" s="1530"/>
      <c r="FM1800" s="1530"/>
      <c r="FN1800" s="1530"/>
      <c r="FO1800" s="1530"/>
      <c r="FP1800" s="1530"/>
      <c r="FQ1800" s="1530"/>
      <c r="FR1800" s="1530"/>
      <c r="FS1800" s="1530"/>
      <c r="FT1800" s="1530"/>
      <c r="FU1800" s="1530"/>
      <c r="FV1800" s="1530"/>
      <c r="FW1800" s="1530"/>
      <c r="FX1800" s="1530"/>
      <c r="FY1800" s="1530"/>
      <c r="FZ1800" s="1530"/>
      <c r="GA1800" s="1530"/>
      <c r="GB1800" s="1530"/>
      <c r="GC1800" s="1530"/>
      <c r="GD1800" s="1530"/>
      <c r="GE1800" s="1530"/>
      <c r="GF1800" s="1530"/>
      <c r="GG1800" s="1530"/>
      <c r="GH1800" s="1530"/>
      <c r="GI1800" s="1530"/>
      <c r="GJ1800" s="1530"/>
      <c r="GK1800" s="1530"/>
      <c r="GL1800" s="1530"/>
      <c r="GM1800" s="1530"/>
      <c r="GN1800" s="1530"/>
      <c r="GO1800" s="1530"/>
      <c r="GP1800" s="1530"/>
      <c r="GQ1800" s="1530"/>
      <c r="GR1800" s="1530"/>
      <c r="GS1800" s="1530"/>
      <c r="GT1800" s="1530"/>
      <c r="GU1800" s="1530"/>
      <c r="GV1800" s="1530"/>
      <c r="GW1800" s="1530"/>
      <c r="GX1800" s="1530"/>
      <c r="GY1800" s="1530"/>
      <c r="GZ1800" s="1530"/>
      <c r="HA1800" s="1530"/>
      <c r="HB1800" s="1530"/>
      <c r="HC1800" s="1530"/>
      <c r="HD1800" s="1530"/>
      <c r="HE1800" s="1530"/>
      <c r="HF1800" s="1530"/>
      <c r="HG1800" s="1530"/>
      <c r="HH1800" s="1530"/>
      <c r="HI1800" s="1530"/>
      <c r="HJ1800" s="1530"/>
      <c r="HK1800" s="1530"/>
      <c r="HL1800" s="1530"/>
      <c r="HM1800" s="1530"/>
      <c r="HN1800" s="1530"/>
      <c r="HO1800" s="1530"/>
      <c r="HP1800" s="1530"/>
      <c r="HQ1800" s="1530"/>
      <c r="HR1800" s="1530"/>
      <c r="HS1800" s="1530"/>
      <c r="HT1800" s="1530"/>
      <c r="HU1800" s="1530"/>
      <c r="HV1800" s="1530"/>
      <c r="HW1800" s="1530"/>
      <c r="HX1800" s="1530"/>
      <c r="HY1800" s="1530"/>
      <c r="HZ1800" s="1530"/>
      <c r="IA1800" s="1530"/>
      <c r="IB1800" s="1530"/>
      <c r="IC1800" s="1530"/>
      <c r="ID1800" s="1530"/>
      <c r="IE1800" s="1530"/>
      <c r="IF1800" s="1530"/>
      <c r="IG1800" s="1530"/>
      <c r="IH1800" s="1530"/>
      <c r="II1800" s="1530"/>
      <c r="IJ1800" s="1530"/>
      <c r="IK1800" s="1530"/>
      <c r="IL1800" s="1530"/>
      <c r="IM1800" s="1530"/>
      <c r="IN1800" s="1530"/>
      <c r="IO1800" s="1530"/>
      <c r="IP1800" s="1530"/>
      <c r="IQ1800" s="1530"/>
      <c r="IR1800" s="1530"/>
      <c r="IS1800" s="1530"/>
      <c r="IT1800" s="1530"/>
      <c r="IU1800" s="1530"/>
      <c r="IV1800" s="1530"/>
      <c r="IW1800" s="1530"/>
      <c r="IX1800" s="1530"/>
      <c r="IY1800" s="1530"/>
      <c r="IZ1800" s="1530"/>
      <c r="JA1800" s="1530"/>
      <c r="JB1800" s="1530"/>
      <c r="JC1800" s="1530"/>
      <c r="JD1800" s="1530"/>
      <c r="JE1800" s="1530"/>
      <c r="JF1800" s="1530"/>
      <c r="JG1800" s="1530"/>
      <c r="JH1800" s="1530"/>
      <c r="JI1800" s="1530"/>
      <c r="JJ1800" s="1530"/>
      <c r="JK1800" s="1530"/>
      <c r="JL1800" s="1530"/>
      <c r="JM1800" s="1530"/>
      <c r="JN1800" s="1530"/>
      <c r="JO1800" s="1530"/>
      <c r="JP1800" s="1530"/>
      <c r="JQ1800" s="1530"/>
      <c r="JR1800" s="1530"/>
      <c r="JS1800" s="1530"/>
      <c r="JT1800" s="1530"/>
      <c r="JU1800" s="1530"/>
      <c r="JV1800" s="1530"/>
      <c r="JW1800" s="1530"/>
      <c r="JX1800" s="1530"/>
      <c r="JY1800" s="1530"/>
      <c r="JZ1800" s="1530"/>
      <c r="KA1800" s="1530"/>
      <c r="KB1800" s="1530"/>
      <c r="KC1800" s="1530"/>
      <c r="KD1800" s="1530"/>
      <c r="KE1800" s="1530"/>
      <c r="KF1800" s="1530"/>
      <c r="KG1800" s="1530"/>
      <c r="KH1800" s="1530"/>
      <c r="KI1800" s="1530"/>
      <c r="KJ1800" s="1530"/>
      <c r="KK1800" s="1530"/>
      <c r="KL1800" s="1530"/>
      <c r="KM1800" s="1530"/>
      <c r="KN1800" s="1530"/>
      <c r="KO1800" s="1530"/>
      <c r="KP1800" s="1530"/>
      <c r="KQ1800" s="1530"/>
      <c r="KR1800" s="1530"/>
      <c r="KS1800" s="1530"/>
      <c r="KT1800" s="1530"/>
      <c r="KU1800" s="1530"/>
      <c r="KV1800" s="1530"/>
      <c r="KW1800" s="1530"/>
      <c r="KX1800" s="1530"/>
      <c r="KY1800" s="1530"/>
      <c r="KZ1800" s="1530"/>
      <c r="LA1800" s="1530"/>
      <c r="LB1800" s="1530"/>
      <c r="LC1800" s="1530"/>
      <c r="LD1800" s="1530"/>
      <c r="LE1800" s="1530"/>
      <c r="LF1800" s="1530"/>
      <c r="LG1800" s="1530"/>
      <c r="LH1800" s="1530"/>
    </row>
    <row r="1801" spans="1:320" ht="12" customHeight="1">
      <c r="A1801" s="269" t="str">
        <f t="shared" si="482"/>
        <v>n</v>
      </c>
      <c r="B1801" s="2060"/>
      <c r="C1801" s="2060"/>
      <c r="D1801" s="2060"/>
      <c r="E1801" s="1661">
        <v>11</v>
      </c>
      <c r="F1801" s="1353" t="str">
        <f>F$139</f>
        <v>--</v>
      </c>
      <c r="G1801" s="128">
        <f>G$139</f>
        <v>0</v>
      </c>
      <c r="H1801" s="128" t="str">
        <f>H$139</f>
        <v>--</v>
      </c>
      <c r="I1801" s="89"/>
      <c r="J1801" s="2198" t="str">
        <f t="shared" ref="J1801:V1801" si="492">IFERROR(J1714+N(J1743)+N(J1772),"n/a")</f>
        <v>n/a</v>
      </c>
      <c r="K1801" s="2198" t="str">
        <f t="shared" si="492"/>
        <v>n/a</v>
      </c>
      <c r="L1801" s="2198" t="str">
        <f t="shared" si="480"/>
        <v>n/a</v>
      </c>
      <c r="M1801" s="2198" t="str">
        <f t="shared" si="480"/>
        <v>n/a</v>
      </c>
      <c r="N1801" s="2198" t="str">
        <f t="shared" si="480"/>
        <v>n/a</v>
      </c>
      <c r="O1801" s="2198" t="str">
        <f t="shared" si="492"/>
        <v>n/a</v>
      </c>
      <c r="P1801" s="2198" t="str">
        <f t="shared" si="492"/>
        <v>n/a</v>
      </c>
      <c r="Q1801" s="2198" t="str">
        <f t="shared" si="492"/>
        <v>n/a</v>
      </c>
      <c r="R1801" s="2198" t="str">
        <f t="shared" si="492"/>
        <v>n/a</v>
      </c>
      <c r="S1801" s="2198" t="str">
        <f t="shared" si="492"/>
        <v>n/a</v>
      </c>
      <c r="T1801" s="2198" t="str">
        <f t="shared" si="492"/>
        <v>n/a</v>
      </c>
      <c r="U1801" s="2198" t="str">
        <f t="shared" si="492"/>
        <v>n/a</v>
      </c>
      <c r="V1801" s="2198" t="str">
        <f t="shared" si="492"/>
        <v>n/a</v>
      </c>
      <c r="W1801" s="1479"/>
      <c r="X1801" s="255"/>
      <c r="Y1801" s="89"/>
      <c r="Z1801" s="2060"/>
      <c r="AA1801" s="2060"/>
      <c r="AB1801" s="2060"/>
      <c r="AC1801" s="2060"/>
      <c r="AD1801" s="2060"/>
      <c r="AE1801" s="2060"/>
      <c r="AF1801" s="2060"/>
      <c r="AG1801" s="1530"/>
      <c r="AH1801" s="1530"/>
      <c r="AI1801" s="1530"/>
      <c r="AJ1801" s="1530"/>
      <c r="AK1801" s="1530"/>
      <c r="AL1801" s="1530"/>
      <c r="AM1801" s="1530"/>
      <c r="AN1801" s="1530"/>
      <c r="AO1801" s="1530"/>
      <c r="AP1801" s="1530"/>
      <c r="AQ1801" s="1530"/>
      <c r="AR1801" s="1530"/>
      <c r="AS1801" s="1530"/>
      <c r="AT1801" s="1530"/>
      <c r="AU1801" s="1530"/>
      <c r="AV1801" s="1530"/>
      <c r="AW1801" s="1530"/>
      <c r="AX1801" s="1530"/>
      <c r="AY1801" s="1530"/>
      <c r="AZ1801" s="1530"/>
      <c r="BA1801" s="1530"/>
      <c r="BB1801" s="1530"/>
      <c r="BC1801" s="1530"/>
      <c r="BD1801" s="1530"/>
      <c r="BE1801" s="1530"/>
      <c r="BF1801" s="1530"/>
      <c r="BG1801" s="1530"/>
      <c r="BH1801" s="1530"/>
      <c r="BI1801" s="1530"/>
      <c r="BJ1801" s="1530"/>
      <c r="BK1801" s="1530"/>
      <c r="BL1801" s="1530"/>
      <c r="BM1801" s="1530"/>
      <c r="BN1801" s="1530"/>
      <c r="BO1801" s="1530"/>
      <c r="BP1801" s="1530"/>
      <c r="BQ1801" s="1530"/>
      <c r="BR1801" s="1530"/>
      <c r="BS1801" s="1530"/>
      <c r="BT1801" s="1530"/>
      <c r="BU1801" s="1530"/>
      <c r="BV1801" s="1530"/>
      <c r="BW1801" s="1530"/>
      <c r="BX1801" s="1530"/>
      <c r="BY1801" s="1530"/>
      <c r="BZ1801" s="1530"/>
      <c r="CA1801" s="1530"/>
      <c r="CB1801" s="1530"/>
      <c r="CC1801" s="1530"/>
      <c r="CD1801" s="1530"/>
      <c r="CE1801" s="1530"/>
      <c r="CF1801" s="1530"/>
      <c r="CG1801" s="1530"/>
      <c r="CH1801" s="1530"/>
      <c r="CI1801" s="1530"/>
      <c r="CJ1801" s="1530"/>
      <c r="CK1801" s="1530"/>
      <c r="CL1801" s="1530"/>
      <c r="CM1801" s="1530"/>
      <c r="CN1801" s="1530"/>
      <c r="CO1801" s="1530"/>
      <c r="CP1801" s="1530"/>
      <c r="CQ1801" s="1530"/>
      <c r="CR1801" s="1530"/>
      <c r="CS1801" s="1530"/>
      <c r="CT1801" s="1530"/>
      <c r="CU1801" s="1530"/>
      <c r="CV1801" s="1530"/>
      <c r="CW1801" s="1530"/>
      <c r="CX1801" s="1530"/>
      <c r="CY1801" s="1530"/>
      <c r="CZ1801" s="1530"/>
      <c r="DA1801" s="1530"/>
      <c r="DB1801" s="1530"/>
      <c r="DC1801" s="1530"/>
      <c r="DD1801" s="1530"/>
      <c r="DE1801" s="1530"/>
      <c r="DF1801" s="1530"/>
      <c r="DG1801" s="1530"/>
      <c r="DH1801" s="1530"/>
      <c r="DI1801" s="1530"/>
      <c r="DJ1801" s="1530"/>
      <c r="DK1801" s="1530"/>
      <c r="DL1801" s="1530"/>
      <c r="DM1801" s="1530"/>
      <c r="DN1801" s="1530"/>
      <c r="DO1801" s="1530"/>
      <c r="DP1801" s="1530"/>
      <c r="DQ1801" s="1530"/>
      <c r="DR1801" s="1530"/>
      <c r="DS1801" s="1530"/>
      <c r="DT1801" s="1530"/>
      <c r="DU1801" s="1530"/>
      <c r="DV1801" s="1530"/>
      <c r="DW1801" s="1530"/>
      <c r="DX1801" s="1530"/>
      <c r="DY1801" s="1530"/>
      <c r="DZ1801" s="1530"/>
      <c r="EA1801" s="1530"/>
      <c r="EB1801" s="1530"/>
      <c r="EC1801" s="1530"/>
      <c r="ED1801" s="1530"/>
      <c r="EE1801" s="1530"/>
      <c r="EF1801" s="1530"/>
      <c r="EG1801" s="1530"/>
      <c r="EH1801" s="1530"/>
      <c r="EI1801" s="1530"/>
      <c r="EJ1801" s="1530"/>
      <c r="EK1801" s="1530"/>
      <c r="EL1801" s="1530"/>
      <c r="EM1801" s="1530"/>
      <c r="EN1801" s="1530"/>
      <c r="EO1801" s="1530"/>
      <c r="EP1801" s="1530"/>
      <c r="EQ1801" s="1530"/>
      <c r="ER1801" s="1530"/>
      <c r="ES1801" s="1530"/>
      <c r="ET1801" s="1530"/>
      <c r="EU1801" s="1530"/>
      <c r="EV1801" s="1530"/>
      <c r="EW1801" s="1530"/>
      <c r="EX1801" s="1530"/>
      <c r="EY1801" s="1530"/>
      <c r="EZ1801" s="1530"/>
      <c r="FA1801" s="1530"/>
      <c r="FB1801" s="1530"/>
      <c r="FC1801" s="1530"/>
      <c r="FD1801" s="1530"/>
      <c r="FE1801" s="1530"/>
      <c r="FF1801" s="1530"/>
      <c r="FG1801" s="1530"/>
      <c r="FH1801" s="1530"/>
      <c r="FI1801" s="1530"/>
      <c r="FJ1801" s="1530"/>
      <c r="FK1801" s="1530"/>
      <c r="FL1801" s="1530"/>
      <c r="FM1801" s="1530"/>
      <c r="FN1801" s="1530"/>
      <c r="FO1801" s="1530"/>
      <c r="FP1801" s="1530"/>
      <c r="FQ1801" s="1530"/>
      <c r="FR1801" s="1530"/>
      <c r="FS1801" s="1530"/>
      <c r="FT1801" s="1530"/>
      <c r="FU1801" s="1530"/>
      <c r="FV1801" s="1530"/>
      <c r="FW1801" s="1530"/>
      <c r="FX1801" s="1530"/>
      <c r="FY1801" s="1530"/>
      <c r="FZ1801" s="1530"/>
      <c r="GA1801" s="1530"/>
      <c r="GB1801" s="1530"/>
      <c r="GC1801" s="1530"/>
      <c r="GD1801" s="1530"/>
      <c r="GE1801" s="1530"/>
      <c r="GF1801" s="1530"/>
      <c r="GG1801" s="1530"/>
      <c r="GH1801" s="1530"/>
      <c r="GI1801" s="1530"/>
      <c r="GJ1801" s="1530"/>
      <c r="GK1801" s="1530"/>
      <c r="GL1801" s="1530"/>
      <c r="GM1801" s="1530"/>
      <c r="GN1801" s="1530"/>
      <c r="GO1801" s="1530"/>
      <c r="GP1801" s="1530"/>
      <c r="GQ1801" s="1530"/>
      <c r="GR1801" s="1530"/>
      <c r="GS1801" s="1530"/>
      <c r="GT1801" s="1530"/>
      <c r="GU1801" s="1530"/>
      <c r="GV1801" s="1530"/>
      <c r="GW1801" s="1530"/>
      <c r="GX1801" s="1530"/>
      <c r="GY1801" s="1530"/>
      <c r="GZ1801" s="1530"/>
      <c r="HA1801" s="1530"/>
      <c r="HB1801" s="1530"/>
      <c r="HC1801" s="1530"/>
      <c r="HD1801" s="1530"/>
      <c r="HE1801" s="1530"/>
      <c r="HF1801" s="1530"/>
      <c r="HG1801" s="1530"/>
      <c r="HH1801" s="1530"/>
      <c r="HI1801" s="1530"/>
      <c r="HJ1801" s="1530"/>
      <c r="HK1801" s="1530"/>
      <c r="HL1801" s="1530"/>
      <c r="HM1801" s="1530"/>
      <c r="HN1801" s="1530"/>
      <c r="HO1801" s="1530"/>
      <c r="HP1801" s="1530"/>
      <c r="HQ1801" s="1530"/>
      <c r="HR1801" s="1530"/>
      <c r="HS1801" s="1530"/>
      <c r="HT1801" s="1530"/>
      <c r="HU1801" s="1530"/>
      <c r="HV1801" s="1530"/>
      <c r="HW1801" s="1530"/>
      <c r="HX1801" s="1530"/>
      <c r="HY1801" s="1530"/>
      <c r="HZ1801" s="1530"/>
      <c r="IA1801" s="1530"/>
      <c r="IB1801" s="1530"/>
      <c r="IC1801" s="1530"/>
      <c r="ID1801" s="1530"/>
      <c r="IE1801" s="1530"/>
      <c r="IF1801" s="1530"/>
      <c r="IG1801" s="1530"/>
      <c r="IH1801" s="1530"/>
      <c r="II1801" s="1530"/>
      <c r="IJ1801" s="1530"/>
      <c r="IK1801" s="1530"/>
      <c r="IL1801" s="1530"/>
      <c r="IM1801" s="1530"/>
      <c r="IN1801" s="1530"/>
      <c r="IO1801" s="1530"/>
      <c r="IP1801" s="1530"/>
      <c r="IQ1801" s="1530"/>
      <c r="IR1801" s="1530"/>
      <c r="IS1801" s="1530"/>
      <c r="IT1801" s="1530"/>
      <c r="IU1801" s="1530"/>
      <c r="IV1801" s="1530"/>
      <c r="IW1801" s="1530"/>
      <c r="IX1801" s="1530"/>
      <c r="IY1801" s="1530"/>
      <c r="IZ1801" s="1530"/>
      <c r="JA1801" s="1530"/>
      <c r="JB1801" s="1530"/>
      <c r="JC1801" s="1530"/>
      <c r="JD1801" s="1530"/>
      <c r="JE1801" s="1530"/>
      <c r="JF1801" s="1530"/>
      <c r="JG1801" s="1530"/>
      <c r="JH1801" s="1530"/>
      <c r="JI1801" s="1530"/>
      <c r="JJ1801" s="1530"/>
      <c r="JK1801" s="1530"/>
      <c r="JL1801" s="1530"/>
      <c r="JM1801" s="1530"/>
      <c r="JN1801" s="1530"/>
      <c r="JO1801" s="1530"/>
      <c r="JP1801" s="1530"/>
      <c r="JQ1801" s="1530"/>
      <c r="JR1801" s="1530"/>
      <c r="JS1801" s="1530"/>
      <c r="JT1801" s="1530"/>
      <c r="JU1801" s="1530"/>
      <c r="JV1801" s="1530"/>
      <c r="JW1801" s="1530"/>
      <c r="JX1801" s="1530"/>
      <c r="JY1801" s="1530"/>
      <c r="JZ1801" s="1530"/>
      <c r="KA1801" s="1530"/>
      <c r="KB1801" s="1530"/>
      <c r="KC1801" s="1530"/>
      <c r="KD1801" s="1530"/>
      <c r="KE1801" s="1530"/>
      <c r="KF1801" s="1530"/>
      <c r="KG1801" s="1530"/>
      <c r="KH1801" s="1530"/>
      <c r="KI1801" s="1530"/>
      <c r="KJ1801" s="1530"/>
      <c r="KK1801" s="1530"/>
      <c r="KL1801" s="1530"/>
      <c r="KM1801" s="1530"/>
      <c r="KN1801" s="1530"/>
      <c r="KO1801" s="1530"/>
      <c r="KP1801" s="1530"/>
      <c r="KQ1801" s="1530"/>
      <c r="KR1801" s="1530"/>
      <c r="KS1801" s="1530"/>
      <c r="KT1801" s="1530"/>
      <c r="KU1801" s="1530"/>
      <c r="KV1801" s="1530"/>
      <c r="KW1801" s="1530"/>
      <c r="KX1801" s="1530"/>
      <c r="KY1801" s="1530"/>
      <c r="KZ1801" s="1530"/>
      <c r="LA1801" s="1530"/>
      <c r="LB1801" s="1530"/>
      <c r="LC1801" s="1530"/>
      <c r="LD1801" s="1530"/>
      <c r="LE1801" s="1530"/>
      <c r="LF1801" s="1530"/>
      <c r="LG1801" s="1530"/>
      <c r="LH1801" s="1530"/>
    </row>
    <row r="1802" spans="1:320" ht="12" customHeight="1">
      <c r="A1802" s="269" t="str">
        <f t="shared" si="482"/>
        <v>n</v>
      </c>
      <c r="B1802" s="2060"/>
      <c r="C1802" s="2060"/>
      <c r="D1802" s="2060"/>
      <c r="E1802" s="1661">
        <v>12</v>
      </c>
      <c r="F1802" s="1353" t="str">
        <f>F$140</f>
        <v>--</v>
      </c>
      <c r="G1802" s="128">
        <f>G$140</f>
        <v>0</v>
      </c>
      <c r="H1802" s="128" t="str">
        <f>H$140</f>
        <v>--</v>
      </c>
      <c r="I1802" s="255"/>
      <c r="J1802" s="2198" t="str">
        <f t="shared" ref="J1802:V1802" si="493">IFERROR(J1715+N(J1744)+N(J1773),"n/a")</f>
        <v>n/a</v>
      </c>
      <c r="K1802" s="2198" t="str">
        <f t="shared" si="493"/>
        <v>n/a</v>
      </c>
      <c r="L1802" s="2198" t="str">
        <f t="shared" si="480"/>
        <v>n/a</v>
      </c>
      <c r="M1802" s="2198" t="str">
        <f t="shared" si="480"/>
        <v>n/a</v>
      </c>
      <c r="N1802" s="2198" t="str">
        <f t="shared" si="480"/>
        <v>n/a</v>
      </c>
      <c r="O1802" s="2198" t="str">
        <f t="shared" si="493"/>
        <v>n/a</v>
      </c>
      <c r="P1802" s="2198" t="str">
        <f t="shared" si="493"/>
        <v>n/a</v>
      </c>
      <c r="Q1802" s="2198" t="str">
        <f t="shared" si="493"/>
        <v>n/a</v>
      </c>
      <c r="R1802" s="2198" t="str">
        <f t="shared" si="493"/>
        <v>n/a</v>
      </c>
      <c r="S1802" s="2198" t="str">
        <f t="shared" si="493"/>
        <v>n/a</v>
      </c>
      <c r="T1802" s="2198" t="str">
        <f t="shared" si="493"/>
        <v>n/a</v>
      </c>
      <c r="U1802" s="2198" t="str">
        <f t="shared" si="493"/>
        <v>n/a</v>
      </c>
      <c r="V1802" s="2198" t="str">
        <f t="shared" si="493"/>
        <v>n/a</v>
      </c>
      <c r="W1802" s="1479"/>
      <c r="X1802" s="255"/>
      <c r="Y1802" s="255"/>
      <c r="Z1802" s="2060"/>
      <c r="AA1802" s="2060"/>
      <c r="AB1802" s="2060"/>
      <c r="AC1802" s="2060"/>
      <c r="AD1802" s="2060"/>
      <c r="AE1802" s="2060"/>
      <c r="AF1802" s="2060"/>
      <c r="AG1802" s="1530"/>
      <c r="AH1802" s="1530"/>
      <c r="AI1802" s="1530"/>
      <c r="AJ1802" s="1530"/>
      <c r="AK1802" s="1530"/>
      <c r="AL1802" s="1530"/>
      <c r="AM1802" s="1530"/>
      <c r="AN1802" s="1530"/>
      <c r="AO1802" s="1530"/>
      <c r="AP1802" s="1530"/>
      <c r="AQ1802" s="1530"/>
      <c r="AR1802" s="1530"/>
      <c r="AS1802" s="1530"/>
      <c r="AT1802" s="1530"/>
      <c r="AU1802" s="1530"/>
      <c r="AV1802" s="1530"/>
      <c r="AW1802" s="1530"/>
      <c r="AX1802" s="1530"/>
      <c r="AY1802" s="1530"/>
      <c r="AZ1802" s="1530"/>
      <c r="BA1802" s="1530"/>
      <c r="BB1802" s="1530"/>
      <c r="BC1802" s="1530"/>
      <c r="BD1802" s="1530"/>
      <c r="BE1802" s="1530"/>
      <c r="BF1802" s="1530"/>
      <c r="BG1802" s="1530"/>
      <c r="BH1802" s="1530"/>
      <c r="BI1802" s="1530"/>
      <c r="BJ1802" s="1530"/>
      <c r="BK1802" s="1530"/>
      <c r="BL1802" s="1530"/>
      <c r="BM1802" s="1530"/>
      <c r="BN1802" s="1530"/>
      <c r="BO1802" s="1530"/>
      <c r="BP1802" s="1530"/>
      <c r="BQ1802" s="1530"/>
      <c r="BR1802" s="1530"/>
      <c r="BS1802" s="1530"/>
      <c r="BT1802" s="1530"/>
      <c r="BU1802" s="1530"/>
      <c r="BV1802" s="1530"/>
      <c r="BW1802" s="1530"/>
      <c r="BX1802" s="1530"/>
      <c r="BY1802" s="1530"/>
      <c r="BZ1802" s="1530"/>
      <c r="CA1802" s="1530"/>
      <c r="CB1802" s="1530"/>
      <c r="CC1802" s="1530"/>
      <c r="CD1802" s="1530"/>
      <c r="CE1802" s="1530"/>
      <c r="CF1802" s="1530"/>
      <c r="CG1802" s="1530"/>
      <c r="CH1802" s="1530"/>
      <c r="CI1802" s="1530"/>
      <c r="CJ1802" s="1530"/>
      <c r="CK1802" s="1530"/>
      <c r="CL1802" s="1530"/>
      <c r="CM1802" s="1530"/>
      <c r="CN1802" s="1530"/>
      <c r="CO1802" s="1530"/>
      <c r="CP1802" s="1530"/>
      <c r="CQ1802" s="1530"/>
      <c r="CR1802" s="1530"/>
      <c r="CS1802" s="1530"/>
      <c r="CT1802" s="1530"/>
      <c r="CU1802" s="1530"/>
      <c r="CV1802" s="1530"/>
      <c r="CW1802" s="1530"/>
      <c r="CX1802" s="1530"/>
      <c r="CY1802" s="1530"/>
      <c r="CZ1802" s="1530"/>
      <c r="DA1802" s="1530"/>
      <c r="DB1802" s="1530"/>
      <c r="DC1802" s="1530"/>
      <c r="DD1802" s="1530"/>
      <c r="DE1802" s="1530"/>
      <c r="DF1802" s="1530"/>
      <c r="DG1802" s="1530"/>
      <c r="DH1802" s="1530"/>
      <c r="DI1802" s="1530"/>
      <c r="DJ1802" s="1530"/>
      <c r="DK1802" s="1530"/>
      <c r="DL1802" s="1530"/>
      <c r="DM1802" s="1530"/>
      <c r="DN1802" s="1530"/>
      <c r="DO1802" s="1530"/>
      <c r="DP1802" s="1530"/>
      <c r="DQ1802" s="1530"/>
      <c r="DR1802" s="1530"/>
      <c r="DS1802" s="1530"/>
      <c r="DT1802" s="1530"/>
      <c r="DU1802" s="1530"/>
      <c r="DV1802" s="1530"/>
      <c r="DW1802" s="1530"/>
      <c r="DX1802" s="1530"/>
      <c r="DY1802" s="1530"/>
      <c r="DZ1802" s="1530"/>
      <c r="EA1802" s="1530"/>
      <c r="EB1802" s="1530"/>
      <c r="EC1802" s="1530"/>
      <c r="ED1802" s="1530"/>
      <c r="EE1802" s="1530"/>
      <c r="EF1802" s="1530"/>
      <c r="EG1802" s="1530"/>
      <c r="EH1802" s="1530"/>
      <c r="EI1802" s="1530"/>
      <c r="EJ1802" s="1530"/>
      <c r="EK1802" s="1530"/>
      <c r="EL1802" s="1530"/>
      <c r="EM1802" s="1530"/>
      <c r="EN1802" s="1530"/>
      <c r="EO1802" s="1530"/>
      <c r="EP1802" s="1530"/>
      <c r="EQ1802" s="1530"/>
      <c r="ER1802" s="1530"/>
      <c r="ES1802" s="1530"/>
      <c r="ET1802" s="1530"/>
      <c r="EU1802" s="1530"/>
      <c r="EV1802" s="1530"/>
      <c r="EW1802" s="1530"/>
      <c r="EX1802" s="1530"/>
      <c r="EY1802" s="1530"/>
      <c r="EZ1802" s="1530"/>
      <c r="FA1802" s="1530"/>
      <c r="FB1802" s="1530"/>
      <c r="FC1802" s="1530"/>
      <c r="FD1802" s="1530"/>
      <c r="FE1802" s="1530"/>
      <c r="FF1802" s="1530"/>
      <c r="FG1802" s="1530"/>
      <c r="FH1802" s="1530"/>
      <c r="FI1802" s="1530"/>
      <c r="FJ1802" s="1530"/>
      <c r="FK1802" s="1530"/>
      <c r="FL1802" s="1530"/>
      <c r="FM1802" s="1530"/>
      <c r="FN1802" s="1530"/>
      <c r="FO1802" s="1530"/>
      <c r="FP1802" s="1530"/>
      <c r="FQ1802" s="1530"/>
      <c r="FR1802" s="1530"/>
      <c r="FS1802" s="1530"/>
      <c r="FT1802" s="1530"/>
      <c r="FU1802" s="1530"/>
      <c r="FV1802" s="1530"/>
      <c r="FW1802" s="1530"/>
      <c r="FX1802" s="1530"/>
      <c r="FY1802" s="1530"/>
      <c r="FZ1802" s="1530"/>
      <c r="GA1802" s="1530"/>
      <c r="GB1802" s="1530"/>
      <c r="GC1802" s="1530"/>
      <c r="GD1802" s="1530"/>
      <c r="GE1802" s="1530"/>
      <c r="GF1802" s="1530"/>
      <c r="GG1802" s="1530"/>
      <c r="GH1802" s="1530"/>
      <c r="GI1802" s="1530"/>
      <c r="GJ1802" s="1530"/>
      <c r="GK1802" s="1530"/>
      <c r="GL1802" s="1530"/>
      <c r="GM1802" s="1530"/>
      <c r="GN1802" s="1530"/>
      <c r="GO1802" s="1530"/>
      <c r="GP1802" s="1530"/>
      <c r="GQ1802" s="1530"/>
      <c r="GR1802" s="1530"/>
      <c r="GS1802" s="1530"/>
      <c r="GT1802" s="1530"/>
      <c r="GU1802" s="1530"/>
      <c r="GV1802" s="1530"/>
      <c r="GW1802" s="1530"/>
      <c r="GX1802" s="1530"/>
      <c r="GY1802" s="1530"/>
      <c r="GZ1802" s="1530"/>
      <c r="HA1802" s="1530"/>
      <c r="HB1802" s="1530"/>
      <c r="HC1802" s="1530"/>
      <c r="HD1802" s="1530"/>
      <c r="HE1802" s="1530"/>
      <c r="HF1802" s="1530"/>
      <c r="HG1802" s="1530"/>
      <c r="HH1802" s="1530"/>
      <c r="HI1802" s="1530"/>
      <c r="HJ1802" s="1530"/>
      <c r="HK1802" s="1530"/>
      <c r="HL1802" s="1530"/>
      <c r="HM1802" s="1530"/>
      <c r="HN1802" s="1530"/>
      <c r="HO1802" s="1530"/>
      <c r="HP1802" s="1530"/>
      <c r="HQ1802" s="1530"/>
      <c r="HR1802" s="1530"/>
      <c r="HS1802" s="1530"/>
      <c r="HT1802" s="1530"/>
      <c r="HU1802" s="1530"/>
      <c r="HV1802" s="1530"/>
      <c r="HW1802" s="1530"/>
      <c r="HX1802" s="1530"/>
      <c r="HY1802" s="1530"/>
      <c r="HZ1802" s="1530"/>
      <c r="IA1802" s="1530"/>
      <c r="IB1802" s="1530"/>
      <c r="IC1802" s="1530"/>
      <c r="ID1802" s="1530"/>
      <c r="IE1802" s="1530"/>
      <c r="IF1802" s="1530"/>
      <c r="IG1802" s="1530"/>
      <c r="IH1802" s="1530"/>
      <c r="II1802" s="1530"/>
      <c r="IJ1802" s="1530"/>
      <c r="IK1802" s="1530"/>
      <c r="IL1802" s="1530"/>
      <c r="IM1802" s="1530"/>
      <c r="IN1802" s="1530"/>
      <c r="IO1802" s="1530"/>
      <c r="IP1802" s="1530"/>
      <c r="IQ1802" s="1530"/>
      <c r="IR1802" s="1530"/>
      <c r="IS1802" s="1530"/>
      <c r="IT1802" s="1530"/>
      <c r="IU1802" s="1530"/>
      <c r="IV1802" s="1530"/>
      <c r="IW1802" s="1530"/>
      <c r="IX1802" s="1530"/>
      <c r="IY1802" s="1530"/>
      <c r="IZ1802" s="1530"/>
      <c r="JA1802" s="1530"/>
      <c r="JB1802" s="1530"/>
      <c r="JC1802" s="1530"/>
      <c r="JD1802" s="1530"/>
      <c r="JE1802" s="1530"/>
      <c r="JF1802" s="1530"/>
      <c r="JG1802" s="1530"/>
      <c r="JH1802" s="1530"/>
      <c r="JI1802" s="1530"/>
      <c r="JJ1802" s="1530"/>
      <c r="JK1802" s="1530"/>
      <c r="JL1802" s="1530"/>
      <c r="JM1802" s="1530"/>
      <c r="JN1802" s="1530"/>
      <c r="JO1802" s="1530"/>
      <c r="JP1802" s="1530"/>
      <c r="JQ1802" s="1530"/>
      <c r="JR1802" s="1530"/>
      <c r="JS1802" s="1530"/>
      <c r="JT1802" s="1530"/>
      <c r="JU1802" s="1530"/>
      <c r="JV1802" s="1530"/>
      <c r="JW1802" s="1530"/>
      <c r="JX1802" s="1530"/>
      <c r="JY1802" s="1530"/>
      <c r="JZ1802" s="1530"/>
      <c r="KA1802" s="1530"/>
      <c r="KB1802" s="1530"/>
      <c r="KC1802" s="1530"/>
      <c r="KD1802" s="1530"/>
      <c r="KE1802" s="1530"/>
      <c r="KF1802" s="1530"/>
      <c r="KG1802" s="1530"/>
      <c r="KH1802" s="1530"/>
      <c r="KI1802" s="1530"/>
      <c r="KJ1802" s="1530"/>
      <c r="KK1802" s="1530"/>
      <c r="KL1802" s="1530"/>
      <c r="KM1802" s="1530"/>
      <c r="KN1802" s="1530"/>
      <c r="KO1802" s="1530"/>
      <c r="KP1802" s="1530"/>
      <c r="KQ1802" s="1530"/>
      <c r="KR1802" s="1530"/>
      <c r="KS1802" s="1530"/>
      <c r="KT1802" s="1530"/>
      <c r="KU1802" s="1530"/>
      <c r="KV1802" s="1530"/>
      <c r="KW1802" s="1530"/>
      <c r="KX1802" s="1530"/>
      <c r="KY1802" s="1530"/>
      <c r="KZ1802" s="1530"/>
      <c r="LA1802" s="1530"/>
      <c r="LB1802" s="1530"/>
      <c r="LC1802" s="1530"/>
      <c r="LD1802" s="1530"/>
      <c r="LE1802" s="1530"/>
      <c r="LF1802" s="1530"/>
      <c r="LG1802" s="1530"/>
      <c r="LH1802" s="1530"/>
    </row>
    <row r="1803" spans="1:320" ht="12" customHeight="1">
      <c r="A1803" s="269" t="str">
        <f t="shared" si="482"/>
        <v>n</v>
      </c>
      <c r="B1803" s="2060"/>
      <c r="C1803" s="2060"/>
      <c r="D1803" s="2060"/>
      <c r="E1803" s="1661">
        <v>13</v>
      </c>
      <c r="F1803" s="1353" t="str">
        <f>F$141</f>
        <v>--</v>
      </c>
      <c r="G1803" s="128">
        <f>G$141</f>
        <v>0</v>
      </c>
      <c r="H1803" s="128" t="str">
        <f>H$141</f>
        <v>--</v>
      </c>
      <c r="I1803" s="255"/>
      <c r="J1803" s="2198" t="str">
        <f t="shared" ref="J1803:V1803" si="494">IFERROR(J1716+N(J1745)+N(J1774),"n/a")</f>
        <v>n/a</v>
      </c>
      <c r="K1803" s="2198" t="str">
        <f t="shared" si="494"/>
        <v>n/a</v>
      </c>
      <c r="L1803" s="2198" t="str">
        <f t="shared" si="480"/>
        <v>n/a</v>
      </c>
      <c r="M1803" s="2198" t="str">
        <f t="shared" si="480"/>
        <v>n/a</v>
      </c>
      <c r="N1803" s="2198" t="str">
        <f t="shared" si="480"/>
        <v>n/a</v>
      </c>
      <c r="O1803" s="2198" t="str">
        <f t="shared" si="494"/>
        <v>n/a</v>
      </c>
      <c r="P1803" s="2198" t="str">
        <f t="shared" si="494"/>
        <v>n/a</v>
      </c>
      <c r="Q1803" s="2198" t="str">
        <f t="shared" si="494"/>
        <v>n/a</v>
      </c>
      <c r="R1803" s="2198" t="str">
        <f t="shared" si="494"/>
        <v>n/a</v>
      </c>
      <c r="S1803" s="2198" t="str">
        <f t="shared" si="494"/>
        <v>n/a</v>
      </c>
      <c r="T1803" s="2198" t="str">
        <f t="shared" si="494"/>
        <v>n/a</v>
      </c>
      <c r="U1803" s="2198" t="str">
        <f t="shared" si="494"/>
        <v>n/a</v>
      </c>
      <c r="V1803" s="2198" t="str">
        <f t="shared" si="494"/>
        <v>n/a</v>
      </c>
      <c r="W1803" s="1479"/>
      <c r="X1803" s="255"/>
      <c r="Y1803" s="255"/>
      <c r="Z1803" s="2060"/>
      <c r="AA1803" s="2060"/>
      <c r="AB1803" s="2060"/>
      <c r="AC1803" s="2060"/>
      <c r="AD1803" s="2060"/>
      <c r="AE1803" s="2060"/>
      <c r="AF1803" s="2060"/>
      <c r="AG1803" s="1530"/>
      <c r="AH1803" s="1530"/>
      <c r="AI1803" s="1530"/>
      <c r="AJ1803" s="1530"/>
      <c r="AK1803" s="1530"/>
      <c r="AL1803" s="1530"/>
      <c r="AM1803" s="1530"/>
      <c r="AN1803" s="1530"/>
      <c r="AO1803" s="1530"/>
      <c r="AP1803" s="1530"/>
      <c r="AQ1803" s="1530"/>
      <c r="AR1803" s="1530"/>
      <c r="AS1803" s="1530"/>
      <c r="AT1803" s="1530"/>
      <c r="AU1803" s="1530"/>
      <c r="AV1803" s="1530"/>
      <c r="AW1803" s="1530"/>
      <c r="AX1803" s="1530"/>
      <c r="AY1803" s="1530"/>
      <c r="AZ1803" s="1530"/>
      <c r="BA1803" s="1530"/>
      <c r="BB1803" s="1530"/>
      <c r="BC1803" s="1530"/>
      <c r="BD1803" s="1530"/>
      <c r="BE1803" s="1530"/>
      <c r="BF1803" s="1530"/>
      <c r="BG1803" s="1530"/>
      <c r="BH1803" s="1530"/>
      <c r="BI1803" s="1530"/>
      <c r="BJ1803" s="1530"/>
      <c r="BK1803" s="1530"/>
      <c r="BL1803" s="1530"/>
      <c r="BM1803" s="1530"/>
      <c r="BN1803" s="1530"/>
      <c r="BO1803" s="1530"/>
      <c r="BP1803" s="1530"/>
      <c r="BQ1803" s="1530"/>
      <c r="BR1803" s="1530"/>
      <c r="BS1803" s="1530"/>
      <c r="BT1803" s="1530"/>
      <c r="BU1803" s="1530"/>
      <c r="BV1803" s="1530"/>
      <c r="BW1803" s="1530"/>
      <c r="BX1803" s="1530"/>
      <c r="BY1803" s="1530"/>
      <c r="BZ1803" s="1530"/>
      <c r="CA1803" s="1530"/>
      <c r="CB1803" s="1530"/>
      <c r="CC1803" s="1530"/>
      <c r="CD1803" s="1530"/>
      <c r="CE1803" s="1530"/>
      <c r="CF1803" s="1530"/>
      <c r="CG1803" s="1530"/>
      <c r="CH1803" s="1530"/>
      <c r="CI1803" s="1530"/>
      <c r="CJ1803" s="1530"/>
      <c r="CK1803" s="1530"/>
      <c r="CL1803" s="1530"/>
      <c r="CM1803" s="1530"/>
      <c r="CN1803" s="1530"/>
      <c r="CO1803" s="1530"/>
      <c r="CP1803" s="1530"/>
      <c r="CQ1803" s="1530"/>
      <c r="CR1803" s="1530"/>
      <c r="CS1803" s="1530"/>
      <c r="CT1803" s="1530"/>
      <c r="CU1803" s="1530"/>
      <c r="CV1803" s="1530"/>
      <c r="CW1803" s="1530"/>
      <c r="CX1803" s="1530"/>
      <c r="CY1803" s="1530"/>
      <c r="CZ1803" s="1530"/>
      <c r="DA1803" s="1530"/>
      <c r="DB1803" s="1530"/>
      <c r="DC1803" s="1530"/>
      <c r="DD1803" s="1530"/>
      <c r="DE1803" s="1530"/>
      <c r="DF1803" s="1530"/>
      <c r="DG1803" s="1530"/>
      <c r="DH1803" s="1530"/>
      <c r="DI1803" s="1530"/>
      <c r="DJ1803" s="1530"/>
      <c r="DK1803" s="1530"/>
      <c r="DL1803" s="1530"/>
      <c r="DM1803" s="1530"/>
      <c r="DN1803" s="1530"/>
      <c r="DO1803" s="1530"/>
      <c r="DP1803" s="1530"/>
      <c r="DQ1803" s="1530"/>
      <c r="DR1803" s="1530"/>
      <c r="DS1803" s="1530"/>
      <c r="DT1803" s="1530"/>
      <c r="DU1803" s="1530"/>
      <c r="DV1803" s="1530"/>
      <c r="DW1803" s="1530"/>
      <c r="DX1803" s="1530"/>
      <c r="DY1803" s="1530"/>
      <c r="DZ1803" s="1530"/>
      <c r="EA1803" s="1530"/>
      <c r="EB1803" s="1530"/>
      <c r="EC1803" s="1530"/>
      <c r="ED1803" s="1530"/>
      <c r="EE1803" s="1530"/>
      <c r="EF1803" s="1530"/>
      <c r="EG1803" s="1530"/>
      <c r="EH1803" s="1530"/>
      <c r="EI1803" s="1530"/>
      <c r="EJ1803" s="1530"/>
      <c r="EK1803" s="1530"/>
      <c r="EL1803" s="1530"/>
      <c r="EM1803" s="1530"/>
      <c r="EN1803" s="1530"/>
      <c r="EO1803" s="1530"/>
      <c r="EP1803" s="1530"/>
      <c r="EQ1803" s="1530"/>
      <c r="ER1803" s="1530"/>
      <c r="ES1803" s="1530"/>
      <c r="ET1803" s="1530"/>
      <c r="EU1803" s="1530"/>
      <c r="EV1803" s="1530"/>
      <c r="EW1803" s="1530"/>
      <c r="EX1803" s="1530"/>
      <c r="EY1803" s="1530"/>
      <c r="EZ1803" s="1530"/>
      <c r="FA1803" s="1530"/>
      <c r="FB1803" s="1530"/>
      <c r="FC1803" s="1530"/>
      <c r="FD1803" s="1530"/>
      <c r="FE1803" s="1530"/>
      <c r="FF1803" s="1530"/>
      <c r="FG1803" s="1530"/>
      <c r="FH1803" s="1530"/>
      <c r="FI1803" s="1530"/>
      <c r="FJ1803" s="1530"/>
      <c r="FK1803" s="1530"/>
      <c r="FL1803" s="1530"/>
      <c r="FM1803" s="1530"/>
      <c r="FN1803" s="1530"/>
      <c r="FO1803" s="1530"/>
      <c r="FP1803" s="1530"/>
      <c r="FQ1803" s="1530"/>
      <c r="FR1803" s="1530"/>
      <c r="FS1803" s="1530"/>
      <c r="FT1803" s="1530"/>
      <c r="FU1803" s="1530"/>
      <c r="FV1803" s="1530"/>
      <c r="FW1803" s="1530"/>
      <c r="FX1803" s="1530"/>
      <c r="FY1803" s="1530"/>
      <c r="FZ1803" s="1530"/>
      <c r="GA1803" s="1530"/>
      <c r="GB1803" s="1530"/>
      <c r="GC1803" s="1530"/>
      <c r="GD1803" s="1530"/>
      <c r="GE1803" s="1530"/>
      <c r="GF1803" s="1530"/>
      <c r="GG1803" s="1530"/>
      <c r="GH1803" s="1530"/>
      <c r="GI1803" s="1530"/>
      <c r="GJ1803" s="1530"/>
      <c r="GK1803" s="1530"/>
      <c r="GL1803" s="1530"/>
      <c r="GM1803" s="1530"/>
      <c r="GN1803" s="1530"/>
      <c r="GO1803" s="1530"/>
      <c r="GP1803" s="1530"/>
      <c r="GQ1803" s="1530"/>
      <c r="GR1803" s="1530"/>
      <c r="GS1803" s="1530"/>
      <c r="GT1803" s="1530"/>
      <c r="GU1803" s="1530"/>
      <c r="GV1803" s="1530"/>
      <c r="GW1803" s="1530"/>
      <c r="GX1803" s="1530"/>
      <c r="GY1803" s="1530"/>
      <c r="GZ1803" s="1530"/>
      <c r="HA1803" s="1530"/>
      <c r="HB1803" s="1530"/>
      <c r="HC1803" s="1530"/>
      <c r="HD1803" s="1530"/>
      <c r="HE1803" s="1530"/>
      <c r="HF1803" s="1530"/>
      <c r="HG1803" s="1530"/>
      <c r="HH1803" s="1530"/>
      <c r="HI1803" s="1530"/>
      <c r="HJ1803" s="1530"/>
      <c r="HK1803" s="1530"/>
      <c r="HL1803" s="1530"/>
      <c r="HM1803" s="1530"/>
      <c r="HN1803" s="1530"/>
      <c r="HO1803" s="1530"/>
      <c r="HP1803" s="1530"/>
      <c r="HQ1803" s="1530"/>
      <c r="HR1803" s="1530"/>
      <c r="HS1803" s="1530"/>
      <c r="HT1803" s="1530"/>
      <c r="HU1803" s="1530"/>
      <c r="HV1803" s="1530"/>
      <c r="HW1803" s="1530"/>
      <c r="HX1803" s="1530"/>
      <c r="HY1803" s="1530"/>
      <c r="HZ1803" s="1530"/>
      <c r="IA1803" s="1530"/>
      <c r="IB1803" s="1530"/>
      <c r="IC1803" s="1530"/>
      <c r="ID1803" s="1530"/>
      <c r="IE1803" s="1530"/>
      <c r="IF1803" s="1530"/>
      <c r="IG1803" s="1530"/>
      <c r="IH1803" s="1530"/>
      <c r="II1803" s="1530"/>
      <c r="IJ1803" s="1530"/>
      <c r="IK1803" s="1530"/>
      <c r="IL1803" s="1530"/>
      <c r="IM1803" s="1530"/>
      <c r="IN1803" s="1530"/>
      <c r="IO1803" s="1530"/>
      <c r="IP1803" s="1530"/>
      <c r="IQ1803" s="1530"/>
      <c r="IR1803" s="1530"/>
      <c r="IS1803" s="1530"/>
      <c r="IT1803" s="1530"/>
      <c r="IU1803" s="1530"/>
      <c r="IV1803" s="1530"/>
      <c r="IW1803" s="1530"/>
      <c r="IX1803" s="1530"/>
      <c r="IY1803" s="1530"/>
      <c r="IZ1803" s="1530"/>
      <c r="JA1803" s="1530"/>
      <c r="JB1803" s="1530"/>
      <c r="JC1803" s="1530"/>
      <c r="JD1803" s="1530"/>
      <c r="JE1803" s="1530"/>
      <c r="JF1803" s="1530"/>
      <c r="JG1803" s="1530"/>
      <c r="JH1803" s="1530"/>
      <c r="JI1803" s="1530"/>
      <c r="JJ1803" s="1530"/>
      <c r="JK1803" s="1530"/>
      <c r="JL1803" s="1530"/>
      <c r="JM1803" s="1530"/>
      <c r="JN1803" s="1530"/>
      <c r="JO1803" s="1530"/>
      <c r="JP1803" s="1530"/>
      <c r="JQ1803" s="1530"/>
      <c r="JR1803" s="1530"/>
      <c r="JS1803" s="1530"/>
      <c r="JT1803" s="1530"/>
      <c r="JU1803" s="1530"/>
      <c r="JV1803" s="1530"/>
      <c r="JW1803" s="1530"/>
      <c r="JX1803" s="1530"/>
      <c r="JY1803" s="1530"/>
      <c r="JZ1803" s="1530"/>
      <c r="KA1803" s="1530"/>
      <c r="KB1803" s="1530"/>
      <c r="KC1803" s="1530"/>
      <c r="KD1803" s="1530"/>
      <c r="KE1803" s="1530"/>
      <c r="KF1803" s="1530"/>
      <c r="KG1803" s="1530"/>
      <c r="KH1803" s="1530"/>
      <c r="KI1803" s="1530"/>
      <c r="KJ1803" s="1530"/>
      <c r="KK1803" s="1530"/>
      <c r="KL1803" s="1530"/>
      <c r="KM1803" s="1530"/>
      <c r="KN1803" s="1530"/>
      <c r="KO1803" s="1530"/>
      <c r="KP1803" s="1530"/>
      <c r="KQ1803" s="1530"/>
      <c r="KR1803" s="1530"/>
      <c r="KS1803" s="1530"/>
      <c r="KT1803" s="1530"/>
      <c r="KU1803" s="1530"/>
      <c r="KV1803" s="1530"/>
      <c r="KW1803" s="1530"/>
      <c r="KX1803" s="1530"/>
      <c r="KY1803" s="1530"/>
      <c r="KZ1803" s="1530"/>
      <c r="LA1803" s="1530"/>
      <c r="LB1803" s="1530"/>
      <c r="LC1803" s="1530"/>
      <c r="LD1803" s="1530"/>
      <c r="LE1803" s="1530"/>
      <c r="LF1803" s="1530"/>
      <c r="LG1803" s="1530"/>
      <c r="LH1803" s="1530"/>
    </row>
    <row r="1804" spans="1:320" ht="12" customHeight="1">
      <c r="A1804" s="269" t="str">
        <f t="shared" si="482"/>
        <v>n</v>
      </c>
      <c r="B1804" s="2060"/>
      <c r="C1804" s="2060"/>
      <c r="D1804" s="2060"/>
      <c r="E1804" s="1661">
        <v>14</v>
      </c>
      <c r="F1804" s="1353" t="str">
        <f>F$142</f>
        <v>--</v>
      </c>
      <c r="G1804" s="128">
        <f>G$142</f>
        <v>0</v>
      </c>
      <c r="H1804" s="128" t="str">
        <f>H$142</f>
        <v>--</v>
      </c>
      <c r="I1804" s="255"/>
      <c r="J1804" s="2198" t="str">
        <f t="shared" ref="J1804:V1804" si="495">IFERROR(J1717+N(J1746)+N(J1775),"n/a")</f>
        <v>n/a</v>
      </c>
      <c r="K1804" s="2198" t="str">
        <f t="shared" si="495"/>
        <v>n/a</v>
      </c>
      <c r="L1804" s="2198" t="str">
        <f t="shared" si="480"/>
        <v>n/a</v>
      </c>
      <c r="M1804" s="2198" t="str">
        <f t="shared" si="480"/>
        <v>n/a</v>
      </c>
      <c r="N1804" s="2198" t="str">
        <f t="shared" si="480"/>
        <v>n/a</v>
      </c>
      <c r="O1804" s="2198" t="str">
        <f t="shared" si="495"/>
        <v>n/a</v>
      </c>
      <c r="P1804" s="2198" t="str">
        <f t="shared" si="495"/>
        <v>n/a</v>
      </c>
      <c r="Q1804" s="2198" t="str">
        <f t="shared" si="495"/>
        <v>n/a</v>
      </c>
      <c r="R1804" s="2198" t="str">
        <f t="shared" si="495"/>
        <v>n/a</v>
      </c>
      <c r="S1804" s="2198" t="str">
        <f t="shared" si="495"/>
        <v>n/a</v>
      </c>
      <c r="T1804" s="2198" t="str">
        <f t="shared" si="495"/>
        <v>n/a</v>
      </c>
      <c r="U1804" s="2198" t="str">
        <f t="shared" si="495"/>
        <v>n/a</v>
      </c>
      <c r="V1804" s="2198" t="str">
        <f t="shared" si="495"/>
        <v>n/a</v>
      </c>
      <c r="W1804" s="1479"/>
      <c r="X1804" s="255"/>
      <c r="Y1804" s="255"/>
      <c r="Z1804" s="2060"/>
      <c r="AA1804" s="2060"/>
      <c r="AB1804" s="2060"/>
      <c r="AC1804" s="2060"/>
      <c r="AD1804" s="2060"/>
      <c r="AE1804" s="2060"/>
      <c r="AF1804" s="2060"/>
      <c r="AG1804" s="1530"/>
      <c r="AH1804" s="1530"/>
      <c r="AI1804" s="1530"/>
      <c r="AJ1804" s="1530"/>
      <c r="AK1804" s="1530"/>
      <c r="AL1804" s="1530"/>
      <c r="AM1804" s="1530"/>
      <c r="AN1804" s="1530"/>
      <c r="AO1804" s="1530"/>
      <c r="AP1804" s="1530"/>
      <c r="AQ1804" s="1530"/>
      <c r="AR1804" s="1530"/>
      <c r="AS1804" s="1530"/>
      <c r="AT1804" s="1530"/>
      <c r="AU1804" s="1530"/>
      <c r="AV1804" s="1530"/>
      <c r="AW1804" s="1530"/>
      <c r="AX1804" s="1530"/>
      <c r="AY1804" s="1530"/>
      <c r="AZ1804" s="1530"/>
      <c r="BA1804" s="1530"/>
      <c r="BB1804" s="1530"/>
      <c r="BC1804" s="1530"/>
      <c r="BD1804" s="1530"/>
      <c r="BE1804" s="1530"/>
      <c r="BF1804" s="1530"/>
      <c r="BG1804" s="1530"/>
      <c r="BH1804" s="1530"/>
      <c r="BI1804" s="1530"/>
      <c r="BJ1804" s="1530"/>
      <c r="BK1804" s="1530"/>
      <c r="BL1804" s="1530"/>
      <c r="BM1804" s="1530"/>
      <c r="BN1804" s="1530"/>
      <c r="BO1804" s="1530"/>
      <c r="BP1804" s="1530"/>
      <c r="BQ1804" s="1530"/>
      <c r="BR1804" s="1530"/>
      <c r="BS1804" s="1530"/>
      <c r="BT1804" s="1530"/>
      <c r="BU1804" s="1530"/>
      <c r="BV1804" s="1530"/>
      <c r="BW1804" s="1530"/>
      <c r="BX1804" s="1530"/>
      <c r="BY1804" s="1530"/>
      <c r="BZ1804" s="1530"/>
      <c r="CA1804" s="1530"/>
      <c r="CB1804" s="1530"/>
      <c r="CC1804" s="1530"/>
      <c r="CD1804" s="1530"/>
      <c r="CE1804" s="1530"/>
      <c r="CF1804" s="1530"/>
      <c r="CG1804" s="1530"/>
      <c r="CH1804" s="1530"/>
      <c r="CI1804" s="1530"/>
      <c r="CJ1804" s="1530"/>
      <c r="CK1804" s="1530"/>
      <c r="CL1804" s="1530"/>
      <c r="CM1804" s="1530"/>
      <c r="CN1804" s="1530"/>
      <c r="CO1804" s="1530"/>
      <c r="CP1804" s="1530"/>
      <c r="CQ1804" s="1530"/>
      <c r="CR1804" s="1530"/>
      <c r="CS1804" s="1530"/>
      <c r="CT1804" s="1530"/>
      <c r="CU1804" s="1530"/>
      <c r="CV1804" s="1530"/>
      <c r="CW1804" s="1530"/>
      <c r="CX1804" s="1530"/>
      <c r="CY1804" s="1530"/>
      <c r="CZ1804" s="1530"/>
      <c r="DA1804" s="1530"/>
      <c r="DB1804" s="1530"/>
      <c r="DC1804" s="1530"/>
      <c r="DD1804" s="1530"/>
      <c r="DE1804" s="1530"/>
      <c r="DF1804" s="1530"/>
      <c r="DG1804" s="1530"/>
      <c r="DH1804" s="1530"/>
      <c r="DI1804" s="1530"/>
      <c r="DJ1804" s="1530"/>
      <c r="DK1804" s="1530"/>
      <c r="DL1804" s="1530"/>
      <c r="DM1804" s="1530"/>
      <c r="DN1804" s="1530"/>
      <c r="DO1804" s="1530"/>
      <c r="DP1804" s="1530"/>
      <c r="DQ1804" s="1530"/>
      <c r="DR1804" s="1530"/>
      <c r="DS1804" s="1530"/>
      <c r="DT1804" s="1530"/>
      <c r="DU1804" s="1530"/>
      <c r="DV1804" s="1530"/>
      <c r="DW1804" s="1530"/>
      <c r="DX1804" s="1530"/>
      <c r="DY1804" s="1530"/>
      <c r="DZ1804" s="1530"/>
      <c r="EA1804" s="1530"/>
      <c r="EB1804" s="1530"/>
      <c r="EC1804" s="1530"/>
      <c r="ED1804" s="1530"/>
      <c r="EE1804" s="1530"/>
      <c r="EF1804" s="1530"/>
      <c r="EG1804" s="1530"/>
      <c r="EH1804" s="1530"/>
      <c r="EI1804" s="1530"/>
      <c r="EJ1804" s="1530"/>
      <c r="EK1804" s="1530"/>
      <c r="EL1804" s="1530"/>
      <c r="EM1804" s="1530"/>
      <c r="EN1804" s="1530"/>
      <c r="EO1804" s="1530"/>
      <c r="EP1804" s="1530"/>
      <c r="EQ1804" s="1530"/>
      <c r="ER1804" s="1530"/>
      <c r="ES1804" s="1530"/>
      <c r="ET1804" s="1530"/>
      <c r="EU1804" s="1530"/>
      <c r="EV1804" s="1530"/>
      <c r="EW1804" s="1530"/>
      <c r="EX1804" s="1530"/>
      <c r="EY1804" s="1530"/>
      <c r="EZ1804" s="1530"/>
      <c r="FA1804" s="1530"/>
      <c r="FB1804" s="1530"/>
      <c r="FC1804" s="1530"/>
      <c r="FD1804" s="1530"/>
      <c r="FE1804" s="1530"/>
      <c r="FF1804" s="1530"/>
      <c r="FG1804" s="1530"/>
      <c r="FH1804" s="1530"/>
      <c r="FI1804" s="1530"/>
      <c r="FJ1804" s="1530"/>
      <c r="FK1804" s="1530"/>
      <c r="FL1804" s="1530"/>
      <c r="FM1804" s="1530"/>
      <c r="FN1804" s="1530"/>
      <c r="FO1804" s="1530"/>
      <c r="FP1804" s="1530"/>
      <c r="FQ1804" s="1530"/>
      <c r="FR1804" s="1530"/>
      <c r="FS1804" s="1530"/>
      <c r="FT1804" s="1530"/>
      <c r="FU1804" s="1530"/>
      <c r="FV1804" s="1530"/>
      <c r="FW1804" s="1530"/>
      <c r="FX1804" s="1530"/>
      <c r="FY1804" s="1530"/>
      <c r="FZ1804" s="1530"/>
      <c r="GA1804" s="1530"/>
      <c r="GB1804" s="1530"/>
      <c r="GC1804" s="1530"/>
      <c r="GD1804" s="1530"/>
      <c r="GE1804" s="1530"/>
      <c r="GF1804" s="1530"/>
      <c r="GG1804" s="1530"/>
      <c r="GH1804" s="1530"/>
      <c r="GI1804" s="1530"/>
      <c r="GJ1804" s="1530"/>
      <c r="GK1804" s="1530"/>
      <c r="GL1804" s="1530"/>
      <c r="GM1804" s="1530"/>
      <c r="GN1804" s="1530"/>
      <c r="GO1804" s="1530"/>
      <c r="GP1804" s="1530"/>
      <c r="GQ1804" s="1530"/>
      <c r="GR1804" s="1530"/>
      <c r="GS1804" s="1530"/>
      <c r="GT1804" s="1530"/>
      <c r="GU1804" s="1530"/>
      <c r="GV1804" s="1530"/>
      <c r="GW1804" s="1530"/>
      <c r="GX1804" s="1530"/>
      <c r="GY1804" s="1530"/>
      <c r="GZ1804" s="1530"/>
      <c r="HA1804" s="1530"/>
      <c r="HB1804" s="1530"/>
      <c r="HC1804" s="1530"/>
      <c r="HD1804" s="1530"/>
      <c r="HE1804" s="1530"/>
      <c r="HF1804" s="1530"/>
      <c r="HG1804" s="1530"/>
      <c r="HH1804" s="1530"/>
      <c r="HI1804" s="1530"/>
      <c r="HJ1804" s="1530"/>
      <c r="HK1804" s="1530"/>
      <c r="HL1804" s="1530"/>
      <c r="HM1804" s="1530"/>
      <c r="HN1804" s="1530"/>
      <c r="HO1804" s="1530"/>
      <c r="HP1804" s="1530"/>
      <c r="HQ1804" s="1530"/>
      <c r="HR1804" s="1530"/>
      <c r="HS1804" s="1530"/>
      <c r="HT1804" s="1530"/>
      <c r="HU1804" s="1530"/>
      <c r="HV1804" s="1530"/>
      <c r="HW1804" s="1530"/>
      <c r="HX1804" s="1530"/>
      <c r="HY1804" s="1530"/>
      <c r="HZ1804" s="1530"/>
      <c r="IA1804" s="1530"/>
      <c r="IB1804" s="1530"/>
      <c r="IC1804" s="1530"/>
      <c r="ID1804" s="1530"/>
      <c r="IE1804" s="1530"/>
      <c r="IF1804" s="1530"/>
      <c r="IG1804" s="1530"/>
      <c r="IH1804" s="1530"/>
      <c r="II1804" s="1530"/>
      <c r="IJ1804" s="1530"/>
      <c r="IK1804" s="1530"/>
      <c r="IL1804" s="1530"/>
      <c r="IM1804" s="1530"/>
      <c r="IN1804" s="1530"/>
      <c r="IO1804" s="1530"/>
      <c r="IP1804" s="1530"/>
      <c r="IQ1804" s="1530"/>
      <c r="IR1804" s="1530"/>
      <c r="IS1804" s="1530"/>
      <c r="IT1804" s="1530"/>
      <c r="IU1804" s="1530"/>
      <c r="IV1804" s="1530"/>
      <c r="IW1804" s="1530"/>
      <c r="IX1804" s="1530"/>
      <c r="IY1804" s="1530"/>
      <c r="IZ1804" s="1530"/>
      <c r="JA1804" s="1530"/>
      <c r="JB1804" s="1530"/>
      <c r="JC1804" s="1530"/>
      <c r="JD1804" s="1530"/>
      <c r="JE1804" s="1530"/>
      <c r="JF1804" s="1530"/>
      <c r="JG1804" s="1530"/>
      <c r="JH1804" s="1530"/>
      <c r="JI1804" s="1530"/>
      <c r="JJ1804" s="1530"/>
      <c r="JK1804" s="1530"/>
      <c r="JL1804" s="1530"/>
      <c r="JM1804" s="1530"/>
      <c r="JN1804" s="1530"/>
      <c r="JO1804" s="1530"/>
      <c r="JP1804" s="1530"/>
      <c r="JQ1804" s="1530"/>
      <c r="JR1804" s="1530"/>
      <c r="JS1804" s="1530"/>
      <c r="JT1804" s="1530"/>
      <c r="JU1804" s="1530"/>
      <c r="JV1804" s="1530"/>
      <c r="JW1804" s="1530"/>
      <c r="JX1804" s="1530"/>
      <c r="JY1804" s="1530"/>
      <c r="JZ1804" s="1530"/>
      <c r="KA1804" s="1530"/>
      <c r="KB1804" s="1530"/>
      <c r="KC1804" s="1530"/>
      <c r="KD1804" s="1530"/>
      <c r="KE1804" s="1530"/>
      <c r="KF1804" s="1530"/>
      <c r="KG1804" s="1530"/>
      <c r="KH1804" s="1530"/>
      <c r="KI1804" s="1530"/>
      <c r="KJ1804" s="1530"/>
      <c r="KK1804" s="1530"/>
      <c r="KL1804" s="1530"/>
      <c r="KM1804" s="1530"/>
      <c r="KN1804" s="1530"/>
      <c r="KO1804" s="1530"/>
      <c r="KP1804" s="1530"/>
      <c r="KQ1804" s="1530"/>
      <c r="KR1804" s="1530"/>
      <c r="KS1804" s="1530"/>
      <c r="KT1804" s="1530"/>
      <c r="KU1804" s="1530"/>
      <c r="KV1804" s="1530"/>
      <c r="KW1804" s="1530"/>
      <c r="KX1804" s="1530"/>
      <c r="KY1804" s="1530"/>
      <c r="KZ1804" s="1530"/>
      <c r="LA1804" s="1530"/>
      <c r="LB1804" s="1530"/>
      <c r="LC1804" s="1530"/>
      <c r="LD1804" s="1530"/>
      <c r="LE1804" s="1530"/>
      <c r="LF1804" s="1530"/>
      <c r="LG1804" s="1530"/>
      <c r="LH1804" s="1530"/>
    </row>
    <row r="1805" spans="1:320" s="1530" customFormat="1" ht="12" customHeight="1">
      <c r="A1805" s="269" t="str">
        <f t="shared" si="482"/>
        <v>n</v>
      </c>
      <c r="B1805" s="2060"/>
      <c r="C1805" s="2060"/>
      <c r="D1805" s="2060"/>
      <c r="E1805" s="1661">
        <v>15</v>
      </c>
      <c r="F1805" s="1353" t="str">
        <f>F$143</f>
        <v>--</v>
      </c>
      <c r="G1805" s="128">
        <f>G$143</f>
        <v>0</v>
      </c>
      <c r="H1805" s="128" t="str">
        <f>H$143</f>
        <v>--</v>
      </c>
      <c r="I1805" s="255"/>
      <c r="J1805" s="2198" t="str">
        <f t="shared" ref="J1805:V1805" si="496">IFERROR(J1718+N(J1747)+N(J1776),"n/a")</f>
        <v>n/a</v>
      </c>
      <c r="K1805" s="2198" t="str">
        <f t="shared" si="496"/>
        <v>n/a</v>
      </c>
      <c r="L1805" s="2198" t="str">
        <f t="shared" si="480"/>
        <v>n/a</v>
      </c>
      <c r="M1805" s="2198" t="str">
        <f t="shared" si="480"/>
        <v>n/a</v>
      </c>
      <c r="N1805" s="2198" t="str">
        <f t="shared" si="480"/>
        <v>n/a</v>
      </c>
      <c r="O1805" s="2198" t="str">
        <f t="shared" si="496"/>
        <v>n/a</v>
      </c>
      <c r="P1805" s="2198" t="str">
        <f t="shared" si="496"/>
        <v>n/a</v>
      </c>
      <c r="Q1805" s="2198" t="str">
        <f t="shared" si="496"/>
        <v>n/a</v>
      </c>
      <c r="R1805" s="2198" t="str">
        <f t="shared" si="496"/>
        <v>n/a</v>
      </c>
      <c r="S1805" s="2198" t="str">
        <f t="shared" si="496"/>
        <v>n/a</v>
      </c>
      <c r="T1805" s="2198" t="str">
        <f t="shared" si="496"/>
        <v>n/a</v>
      </c>
      <c r="U1805" s="2198" t="str">
        <f t="shared" si="496"/>
        <v>n/a</v>
      </c>
      <c r="V1805" s="2198" t="str">
        <f t="shared" si="496"/>
        <v>n/a</v>
      </c>
      <c r="W1805" s="1479"/>
      <c r="X1805" s="255"/>
      <c r="Y1805" s="255"/>
      <c r="Z1805" s="2060"/>
      <c r="AA1805" s="2060"/>
      <c r="AB1805" s="2060"/>
      <c r="AC1805" s="2060"/>
      <c r="AD1805" s="2060"/>
      <c r="AE1805" s="2060"/>
      <c r="AF1805" s="2060"/>
    </row>
    <row r="1806" spans="1:320" s="1530" customFormat="1" ht="12" customHeight="1">
      <c r="A1806" s="269" t="str">
        <f t="shared" si="482"/>
        <v>n</v>
      </c>
      <c r="B1806" s="2060"/>
      <c r="C1806" s="2060"/>
      <c r="D1806" s="2060"/>
      <c r="E1806" s="1661">
        <v>16</v>
      </c>
      <c r="F1806" s="1353" t="str">
        <f>F$144</f>
        <v>--</v>
      </c>
      <c r="G1806" s="128">
        <f>G$144</f>
        <v>0</v>
      </c>
      <c r="H1806" s="128" t="str">
        <f>H$144</f>
        <v>--</v>
      </c>
      <c r="I1806" s="255"/>
      <c r="J1806" s="2198" t="str">
        <f t="shared" ref="J1806:V1806" si="497">IFERROR(J1719+N(J1748)+N(J1777),"n/a")</f>
        <v>n/a</v>
      </c>
      <c r="K1806" s="2198" t="str">
        <f t="shared" si="497"/>
        <v>n/a</v>
      </c>
      <c r="L1806" s="2198" t="str">
        <f t="shared" si="480"/>
        <v>n/a</v>
      </c>
      <c r="M1806" s="2198" t="str">
        <f t="shared" si="480"/>
        <v>n/a</v>
      </c>
      <c r="N1806" s="2198" t="str">
        <f t="shared" si="480"/>
        <v>n/a</v>
      </c>
      <c r="O1806" s="2198" t="str">
        <f t="shared" si="497"/>
        <v>n/a</v>
      </c>
      <c r="P1806" s="2198" t="str">
        <f t="shared" si="497"/>
        <v>n/a</v>
      </c>
      <c r="Q1806" s="2198" t="str">
        <f t="shared" si="497"/>
        <v>n/a</v>
      </c>
      <c r="R1806" s="2198" t="str">
        <f t="shared" si="497"/>
        <v>n/a</v>
      </c>
      <c r="S1806" s="2198" t="str">
        <f t="shared" si="497"/>
        <v>n/a</v>
      </c>
      <c r="T1806" s="2198" t="str">
        <f t="shared" si="497"/>
        <v>n/a</v>
      </c>
      <c r="U1806" s="2198" t="str">
        <f t="shared" si="497"/>
        <v>n/a</v>
      </c>
      <c r="V1806" s="2198" t="str">
        <f t="shared" si="497"/>
        <v>n/a</v>
      </c>
      <c r="W1806" s="1479"/>
      <c r="X1806" s="255"/>
      <c r="Y1806" s="255"/>
      <c r="Z1806" s="2060"/>
      <c r="AA1806" s="2060"/>
      <c r="AB1806" s="2060"/>
      <c r="AC1806" s="2060"/>
      <c r="AD1806" s="2060"/>
      <c r="AE1806" s="2060"/>
      <c r="AF1806" s="2060"/>
    </row>
    <row r="1807" spans="1:320" s="1530" customFormat="1" ht="12" customHeight="1">
      <c r="A1807" s="269" t="str">
        <f t="shared" si="482"/>
        <v>n</v>
      </c>
      <c r="B1807" s="2060"/>
      <c r="C1807" s="2060"/>
      <c r="D1807" s="2060"/>
      <c r="E1807" s="1661">
        <v>17</v>
      </c>
      <c r="F1807" s="1353" t="str">
        <f>F$145</f>
        <v>--</v>
      </c>
      <c r="G1807" s="128">
        <f>G$145</f>
        <v>0</v>
      </c>
      <c r="H1807" s="128" t="str">
        <f>H$145</f>
        <v>--</v>
      </c>
      <c r="I1807" s="255"/>
      <c r="J1807" s="2198" t="str">
        <f t="shared" ref="J1807:V1807" si="498">IFERROR(J1720+N(J1749)+N(J1778),"n/a")</f>
        <v>n/a</v>
      </c>
      <c r="K1807" s="2198" t="str">
        <f t="shared" si="498"/>
        <v>n/a</v>
      </c>
      <c r="L1807" s="2198" t="str">
        <f t="shared" si="480"/>
        <v>n/a</v>
      </c>
      <c r="M1807" s="2198" t="str">
        <f t="shared" si="480"/>
        <v>n/a</v>
      </c>
      <c r="N1807" s="2198" t="str">
        <f t="shared" si="480"/>
        <v>n/a</v>
      </c>
      <c r="O1807" s="2198" t="str">
        <f t="shared" si="498"/>
        <v>n/a</v>
      </c>
      <c r="P1807" s="2198" t="str">
        <f t="shared" si="498"/>
        <v>n/a</v>
      </c>
      <c r="Q1807" s="2198" t="str">
        <f t="shared" si="498"/>
        <v>n/a</v>
      </c>
      <c r="R1807" s="2198" t="str">
        <f t="shared" si="498"/>
        <v>n/a</v>
      </c>
      <c r="S1807" s="2198" t="str">
        <f t="shared" si="498"/>
        <v>n/a</v>
      </c>
      <c r="T1807" s="2198" t="str">
        <f t="shared" si="498"/>
        <v>n/a</v>
      </c>
      <c r="U1807" s="2198" t="str">
        <f t="shared" si="498"/>
        <v>n/a</v>
      </c>
      <c r="V1807" s="2198" t="str">
        <f t="shared" si="498"/>
        <v>n/a</v>
      </c>
      <c r="W1807" s="1479"/>
      <c r="X1807" s="255"/>
      <c r="Y1807" s="255"/>
      <c r="Z1807" s="2060"/>
      <c r="AA1807" s="2060"/>
      <c r="AB1807" s="2060"/>
      <c r="AC1807" s="2060"/>
      <c r="AD1807" s="2060"/>
      <c r="AE1807" s="2060"/>
      <c r="AF1807" s="2060"/>
    </row>
    <row r="1808" spans="1:320" s="1530" customFormat="1" ht="12" customHeight="1">
      <c r="A1808" s="269" t="str">
        <f t="shared" si="482"/>
        <v>n</v>
      </c>
      <c r="B1808" s="2060"/>
      <c r="C1808" s="2060"/>
      <c r="D1808" s="2060"/>
      <c r="E1808" s="1661">
        <v>18</v>
      </c>
      <c r="F1808" s="1353" t="str">
        <f>F$146</f>
        <v>--</v>
      </c>
      <c r="G1808" s="128">
        <f>G$146</f>
        <v>0</v>
      </c>
      <c r="H1808" s="128" t="str">
        <f>H$146</f>
        <v>--</v>
      </c>
      <c r="I1808" s="255"/>
      <c r="J1808" s="2198" t="str">
        <f t="shared" ref="J1808:V1808" si="499">IFERROR(J1721+N(J1750)+N(J1779),"n/a")</f>
        <v>n/a</v>
      </c>
      <c r="K1808" s="2198" t="str">
        <f t="shared" si="499"/>
        <v>n/a</v>
      </c>
      <c r="L1808" s="2198" t="str">
        <f t="shared" si="480"/>
        <v>n/a</v>
      </c>
      <c r="M1808" s="2198" t="str">
        <f t="shared" si="480"/>
        <v>n/a</v>
      </c>
      <c r="N1808" s="2198" t="str">
        <f t="shared" si="480"/>
        <v>n/a</v>
      </c>
      <c r="O1808" s="2198" t="str">
        <f t="shared" si="499"/>
        <v>n/a</v>
      </c>
      <c r="P1808" s="2198" t="str">
        <f t="shared" si="499"/>
        <v>n/a</v>
      </c>
      <c r="Q1808" s="2198" t="str">
        <f t="shared" si="499"/>
        <v>n/a</v>
      </c>
      <c r="R1808" s="2198" t="str">
        <f t="shared" si="499"/>
        <v>n/a</v>
      </c>
      <c r="S1808" s="2198" t="str">
        <f t="shared" si="499"/>
        <v>n/a</v>
      </c>
      <c r="T1808" s="2198" t="str">
        <f t="shared" si="499"/>
        <v>n/a</v>
      </c>
      <c r="U1808" s="2198" t="str">
        <f t="shared" si="499"/>
        <v>n/a</v>
      </c>
      <c r="V1808" s="2198" t="str">
        <f t="shared" si="499"/>
        <v>n/a</v>
      </c>
      <c r="W1808" s="1479"/>
      <c r="X1808" s="255"/>
      <c r="Y1808" s="255"/>
      <c r="Z1808" s="2060"/>
      <c r="AA1808" s="2060"/>
      <c r="AB1808" s="2060"/>
      <c r="AC1808" s="2060"/>
      <c r="AD1808" s="2060"/>
      <c r="AE1808" s="2060"/>
      <c r="AF1808" s="2060"/>
    </row>
    <row r="1809" spans="1:320" s="1530" customFormat="1" ht="12" customHeight="1">
      <c r="A1809" s="269" t="str">
        <f t="shared" si="482"/>
        <v>n</v>
      </c>
      <c r="B1809" s="2060"/>
      <c r="C1809" s="2060"/>
      <c r="D1809" s="2060"/>
      <c r="E1809" s="1661">
        <v>19</v>
      </c>
      <c r="F1809" s="1353" t="str">
        <f>F$147</f>
        <v>--</v>
      </c>
      <c r="G1809" s="128">
        <f>G$147</f>
        <v>0</v>
      </c>
      <c r="H1809" s="128" t="str">
        <f>H$147</f>
        <v>--</v>
      </c>
      <c r="I1809" s="255"/>
      <c r="J1809" s="2198" t="str">
        <f t="shared" ref="J1809:V1809" si="500">IFERROR(J1722+N(J1751)+N(J1780),"n/a")</f>
        <v>n/a</v>
      </c>
      <c r="K1809" s="2198" t="str">
        <f t="shared" si="500"/>
        <v>n/a</v>
      </c>
      <c r="L1809" s="2198" t="str">
        <f t="shared" si="480"/>
        <v>n/a</v>
      </c>
      <c r="M1809" s="2198" t="str">
        <f t="shared" si="480"/>
        <v>n/a</v>
      </c>
      <c r="N1809" s="2198" t="str">
        <f t="shared" si="480"/>
        <v>n/a</v>
      </c>
      <c r="O1809" s="2198" t="str">
        <f t="shared" si="500"/>
        <v>n/a</v>
      </c>
      <c r="P1809" s="2198" t="str">
        <f t="shared" si="500"/>
        <v>n/a</v>
      </c>
      <c r="Q1809" s="2198" t="str">
        <f t="shared" si="500"/>
        <v>n/a</v>
      </c>
      <c r="R1809" s="2198" t="str">
        <f t="shared" si="500"/>
        <v>n/a</v>
      </c>
      <c r="S1809" s="2198" t="str">
        <f t="shared" si="500"/>
        <v>n/a</v>
      </c>
      <c r="T1809" s="2198" t="str">
        <f t="shared" si="500"/>
        <v>n/a</v>
      </c>
      <c r="U1809" s="2198" t="str">
        <f t="shared" si="500"/>
        <v>n/a</v>
      </c>
      <c r="V1809" s="2198" t="str">
        <f t="shared" si="500"/>
        <v>n/a</v>
      </c>
      <c r="W1809" s="1479"/>
      <c r="X1809" s="255"/>
      <c r="Y1809" s="255"/>
      <c r="Z1809" s="2060"/>
      <c r="AA1809" s="2060"/>
      <c r="AB1809" s="2060"/>
      <c r="AC1809" s="2060"/>
      <c r="AD1809" s="2060"/>
      <c r="AE1809" s="2060"/>
      <c r="AF1809" s="2060"/>
    </row>
    <row r="1810" spans="1:320" s="1530" customFormat="1" ht="12" customHeight="1">
      <c r="A1810" s="269" t="str">
        <f t="shared" si="482"/>
        <v>n</v>
      </c>
      <c r="B1810" s="2060"/>
      <c r="C1810" s="2060"/>
      <c r="D1810" s="2060"/>
      <c r="E1810" s="1661">
        <v>20</v>
      </c>
      <c r="F1810" s="1353" t="str">
        <f>F$148</f>
        <v>--</v>
      </c>
      <c r="G1810" s="128">
        <f>G$148</f>
        <v>0</v>
      </c>
      <c r="H1810" s="128" t="str">
        <f>H$148</f>
        <v>--</v>
      </c>
      <c r="I1810" s="255"/>
      <c r="J1810" s="2198" t="str">
        <f t="shared" ref="J1810:V1810" si="501">IFERROR(J1723+N(J1752)+N(J1781),"n/a")</f>
        <v>n/a</v>
      </c>
      <c r="K1810" s="2198" t="str">
        <f t="shared" si="501"/>
        <v>n/a</v>
      </c>
      <c r="L1810" s="2198" t="str">
        <f t="shared" si="480"/>
        <v>n/a</v>
      </c>
      <c r="M1810" s="2198" t="str">
        <f t="shared" si="480"/>
        <v>n/a</v>
      </c>
      <c r="N1810" s="2198" t="str">
        <f t="shared" si="480"/>
        <v>n/a</v>
      </c>
      <c r="O1810" s="2198" t="str">
        <f t="shared" si="501"/>
        <v>n/a</v>
      </c>
      <c r="P1810" s="2198" t="str">
        <f t="shared" si="501"/>
        <v>n/a</v>
      </c>
      <c r="Q1810" s="2198" t="str">
        <f t="shared" si="501"/>
        <v>n/a</v>
      </c>
      <c r="R1810" s="2198" t="str">
        <f t="shared" si="501"/>
        <v>n/a</v>
      </c>
      <c r="S1810" s="2198" t="str">
        <f t="shared" si="501"/>
        <v>n/a</v>
      </c>
      <c r="T1810" s="2198" t="str">
        <f t="shared" si="501"/>
        <v>n/a</v>
      </c>
      <c r="U1810" s="2198" t="str">
        <f t="shared" si="501"/>
        <v>n/a</v>
      </c>
      <c r="V1810" s="2198" t="str">
        <f t="shared" si="501"/>
        <v>n/a</v>
      </c>
      <c r="W1810" s="1479"/>
      <c r="X1810" s="255"/>
      <c r="Y1810" s="255"/>
      <c r="Z1810" s="2060"/>
      <c r="AA1810" s="2060"/>
      <c r="AB1810" s="2060"/>
      <c r="AC1810" s="2060"/>
      <c r="AD1810" s="2060"/>
      <c r="AE1810" s="2060"/>
      <c r="AF1810" s="2060"/>
    </row>
    <row r="1811" spans="1:320" s="1530" customFormat="1" ht="12" customHeight="1">
      <c r="A1811" s="269" t="str">
        <f t="shared" si="482"/>
        <v>n</v>
      </c>
      <c r="B1811" s="2060"/>
      <c r="C1811" s="2060"/>
      <c r="D1811" s="2060"/>
      <c r="E1811" s="1661">
        <v>21</v>
      </c>
      <c r="F1811" s="1353" t="str">
        <f>F$149</f>
        <v>--</v>
      </c>
      <c r="G1811" s="128">
        <f>G$149</f>
        <v>0</v>
      </c>
      <c r="H1811" s="128" t="str">
        <f>H$149</f>
        <v>--</v>
      </c>
      <c r="I1811" s="255"/>
      <c r="J1811" s="2198" t="str">
        <f t="shared" ref="J1811:V1811" si="502">IFERROR(J1724+N(J1753)+N(J1782),"n/a")</f>
        <v>n/a</v>
      </c>
      <c r="K1811" s="2198" t="str">
        <f t="shared" si="502"/>
        <v>n/a</v>
      </c>
      <c r="L1811" s="2198" t="str">
        <f t="shared" si="480"/>
        <v>n/a</v>
      </c>
      <c r="M1811" s="2198" t="str">
        <f t="shared" si="480"/>
        <v>n/a</v>
      </c>
      <c r="N1811" s="2198" t="str">
        <f t="shared" si="480"/>
        <v>n/a</v>
      </c>
      <c r="O1811" s="2198" t="str">
        <f t="shared" si="502"/>
        <v>n/a</v>
      </c>
      <c r="P1811" s="2198" t="str">
        <f t="shared" si="502"/>
        <v>n/a</v>
      </c>
      <c r="Q1811" s="2198" t="str">
        <f t="shared" si="502"/>
        <v>n/a</v>
      </c>
      <c r="R1811" s="2198" t="str">
        <f t="shared" si="502"/>
        <v>n/a</v>
      </c>
      <c r="S1811" s="2198" t="str">
        <f t="shared" si="502"/>
        <v>n/a</v>
      </c>
      <c r="T1811" s="2198" t="str">
        <f t="shared" si="502"/>
        <v>n/a</v>
      </c>
      <c r="U1811" s="2198" t="str">
        <f t="shared" si="502"/>
        <v>n/a</v>
      </c>
      <c r="V1811" s="2198" t="str">
        <f t="shared" si="502"/>
        <v>n/a</v>
      </c>
      <c r="W1811" s="1479"/>
      <c r="X1811" s="255"/>
      <c r="Y1811" s="255"/>
      <c r="Z1811" s="2060"/>
      <c r="AA1811" s="2060"/>
      <c r="AB1811" s="2060"/>
      <c r="AC1811" s="2060"/>
      <c r="AD1811" s="2060"/>
      <c r="AE1811" s="2060"/>
      <c r="AF1811" s="2060"/>
    </row>
    <row r="1812" spans="1:320" s="1530" customFormat="1" ht="12" customHeight="1">
      <c r="A1812" s="269" t="str">
        <f t="shared" si="482"/>
        <v>n</v>
      </c>
      <c r="B1812" s="2060"/>
      <c r="C1812" s="2060"/>
      <c r="D1812" s="2060"/>
      <c r="E1812" s="1661">
        <v>22</v>
      </c>
      <c r="F1812" s="1353" t="str">
        <f>F$150</f>
        <v>--</v>
      </c>
      <c r="G1812" s="128">
        <f>G$150</f>
        <v>0</v>
      </c>
      <c r="H1812" s="128" t="str">
        <f>H$150</f>
        <v>--</v>
      </c>
      <c r="I1812" s="255"/>
      <c r="J1812" s="2198" t="str">
        <f t="shared" ref="J1812:V1812" si="503">IFERROR(J1725+N(J1754)+N(J1783),"n/a")</f>
        <v>n/a</v>
      </c>
      <c r="K1812" s="2198" t="str">
        <f t="shared" si="503"/>
        <v>n/a</v>
      </c>
      <c r="L1812" s="2198" t="str">
        <f t="shared" si="480"/>
        <v>n/a</v>
      </c>
      <c r="M1812" s="2198" t="str">
        <f t="shared" si="480"/>
        <v>n/a</v>
      </c>
      <c r="N1812" s="2198" t="str">
        <f t="shared" si="480"/>
        <v>n/a</v>
      </c>
      <c r="O1812" s="2198" t="str">
        <f t="shared" si="503"/>
        <v>n/a</v>
      </c>
      <c r="P1812" s="2198" t="str">
        <f t="shared" si="503"/>
        <v>n/a</v>
      </c>
      <c r="Q1812" s="2198" t="str">
        <f t="shared" si="503"/>
        <v>n/a</v>
      </c>
      <c r="R1812" s="2198" t="str">
        <f t="shared" si="503"/>
        <v>n/a</v>
      </c>
      <c r="S1812" s="2198" t="str">
        <f t="shared" si="503"/>
        <v>n/a</v>
      </c>
      <c r="T1812" s="2198" t="str">
        <f t="shared" si="503"/>
        <v>n/a</v>
      </c>
      <c r="U1812" s="2198" t="str">
        <f t="shared" si="503"/>
        <v>n/a</v>
      </c>
      <c r="V1812" s="2198" t="str">
        <f t="shared" si="503"/>
        <v>n/a</v>
      </c>
      <c r="W1812" s="1479"/>
      <c r="X1812" s="255"/>
      <c r="Y1812" s="255"/>
      <c r="Z1812" s="2060"/>
      <c r="AA1812" s="2060"/>
      <c r="AB1812" s="2060"/>
      <c r="AC1812" s="2060"/>
      <c r="AD1812" s="2060"/>
      <c r="AE1812" s="2060"/>
      <c r="AF1812" s="2060"/>
    </row>
    <row r="1813" spans="1:320" s="1530" customFormat="1" ht="12" customHeight="1">
      <c r="A1813" s="269" t="str">
        <f t="shared" si="482"/>
        <v>n</v>
      </c>
      <c r="B1813" s="2060"/>
      <c r="C1813" s="2060"/>
      <c r="D1813" s="2060"/>
      <c r="E1813" s="1661">
        <v>23</v>
      </c>
      <c r="F1813" s="1353" t="str">
        <f>F$151</f>
        <v>--</v>
      </c>
      <c r="G1813" s="128">
        <f>G$151</f>
        <v>0</v>
      </c>
      <c r="H1813" s="128" t="str">
        <f>H$151</f>
        <v>--</v>
      </c>
      <c r="I1813" s="255"/>
      <c r="J1813" s="2198" t="str">
        <f t="shared" ref="J1813:V1813" si="504">IFERROR(J1726+N(J1755)+N(J1784),"n/a")</f>
        <v>n/a</v>
      </c>
      <c r="K1813" s="2198" t="str">
        <f t="shared" si="504"/>
        <v>n/a</v>
      </c>
      <c r="L1813" s="2198" t="str">
        <f t="shared" si="480"/>
        <v>n/a</v>
      </c>
      <c r="M1813" s="2198" t="str">
        <f t="shared" si="480"/>
        <v>n/a</v>
      </c>
      <c r="N1813" s="2198" t="str">
        <f t="shared" si="480"/>
        <v>n/a</v>
      </c>
      <c r="O1813" s="2198" t="str">
        <f t="shared" si="504"/>
        <v>n/a</v>
      </c>
      <c r="P1813" s="2198" t="str">
        <f t="shared" si="504"/>
        <v>n/a</v>
      </c>
      <c r="Q1813" s="2198" t="str">
        <f t="shared" si="504"/>
        <v>n/a</v>
      </c>
      <c r="R1813" s="2198" t="str">
        <f t="shared" si="504"/>
        <v>n/a</v>
      </c>
      <c r="S1813" s="2198" t="str">
        <f t="shared" si="504"/>
        <v>n/a</v>
      </c>
      <c r="T1813" s="2198" t="str">
        <f t="shared" si="504"/>
        <v>n/a</v>
      </c>
      <c r="U1813" s="2198" t="str">
        <f t="shared" si="504"/>
        <v>n/a</v>
      </c>
      <c r="V1813" s="2198" t="str">
        <f t="shared" si="504"/>
        <v>n/a</v>
      </c>
      <c r="W1813" s="1479"/>
      <c r="X1813" s="255"/>
      <c r="Y1813" s="255"/>
      <c r="Z1813" s="2060"/>
      <c r="AA1813" s="2060"/>
      <c r="AB1813" s="2060"/>
      <c r="AC1813" s="2060"/>
      <c r="AD1813" s="2060"/>
      <c r="AE1813" s="2060"/>
      <c r="AF1813" s="2060"/>
    </row>
    <row r="1814" spans="1:320" s="1530" customFormat="1" ht="12" customHeight="1">
      <c r="A1814" s="269" t="str">
        <f t="shared" si="482"/>
        <v>n</v>
      </c>
      <c r="B1814" s="2060"/>
      <c r="C1814" s="2060"/>
      <c r="D1814" s="2060"/>
      <c r="E1814" s="1661">
        <v>24</v>
      </c>
      <c r="F1814" s="1353" t="str">
        <f>F$152</f>
        <v>--</v>
      </c>
      <c r="G1814" s="128">
        <f>G$152</f>
        <v>0</v>
      </c>
      <c r="H1814" s="128" t="str">
        <f>H$152</f>
        <v>--</v>
      </c>
      <c r="I1814" s="255"/>
      <c r="J1814" s="2198" t="str">
        <f t="shared" ref="J1814:V1814" si="505">IFERROR(J1727+N(J1756)+N(J1785),"n/a")</f>
        <v>n/a</v>
      </c>
      <c r="K1814" s="2198" t="str">
        <f t="shared" si="505"/>
        <v>n/a</v>
      </c>
      <c r="L1814" s="2198" t="str">
        <f t="shared" si="480"/>
        <v>n/a</v>
      </c>
      <c r="M1814" s="2198" t="str">
        <f t="shared" si="480"/>
        <v>n/a</v>
      </c>
      <c r="N1814" s="2198" t="str">
        <f t="shared" si="480"/>
        <v>n/a</v>
      </c>
      <c r="O1814" s="2198" t="str">
        <f t="shared" si="505"/>
        <v>n/a</v>
      </c>
      <c r="P1814" s="2198" t="str">
        <f t="shared" si="505"/>
        <v>n/a</v>
      </c>
      <c r="Q1814" s="2198" t="str">
        <f t="shared" si="505"/>
        <v>n/a</v>
      </c>
      <c r="R1814" s="2198" t="str">
        <f t="shared" si="505"/>
        <v>n/a</v>
      </c>
      <c r="S1814" s="2198" t="str">
        <f t="shared" si="505"/>
        <v>n/a</v>
      </c>
      <c r="T1814" s="2198" t="str">
        <f t="shared" si="505"/>
        <v>n/a</v>
      </c>
      <c r="U1814" s="2198" t="str">
        <f t="shared" si="505"/>
        <v>n/a</v>
      </c>
      <c r="V1814" s="2198" t="str">
        <f t="shared" si="505"/>
        <v>n/a</v>
      </c>
      <c r="W1814" s="1479"/>
      <c r="X1814" s="255"/>
      <c r="Y1814" s="255"/>
      <c r="Z1814" s="2060"/>
      <c r="AA1814" s="2060"/>
      <c r="AB1814" s="2060"/>
      <c r="AC1814" s="2060"/>
      <c r="AD1814" s="2060"/>
      <c r="AE1814" s="2060"/>
      <c r="AF1814" s="2060"/>
    </row>
    <row r="1815" spans="1:320" ht="12" customHeight="1">
      <c r="A1815" s="269" t="str">
        <f t="shared" si="482"/>
        <v>n</v>
      </c>
      <c r="B1815" s="2060"/>
      <c r="C1815" s="2060"/>
      <c r="D1815" s="2060"/>
      <c r="E1815" s="1661">
        <v>25</v>
      </c>
      <c r="F1815" s="1353" t="str">
        <f>F$153</f>
        <v>--</v>
      </c>
      <c r="G1815" s="128">
        <f>G$153</f>
        <v>0</v>
      </c>
      <c r="H1815" s="128" t="str">
        <f>H$153</f>
        <v>--</v>
      </c>
      <c r="I1815" s="255"/>
      <c r="J1815" s="2198" t="str">
        <f t="shared" ref="J1815:V1815" si="506">IFERROR(J1728+N(J1757)+N(J1786),"n/a")</f>
        <v>n/a</v>
      </c>
      <c r="K1815" s="2198" t="str">
        <f t="shared" si="506"/>
        <v>n/a</v>
      </c>
      <c r="L1815" s="2198" t="str">
        <f t="shared" si="480"/>
        <v>n/a</v>
      </c>
      <c r="M1815" s="2198" t="str">
        <f t="shared" si="480"/>
        <v>n/a</v>
      </c>
      <c r="N1815" s="2198" t="str">
        <f t="shared" si="480"/>
        <v>n/a</v>
      </c>
      <c r="O1815" s="2198" t="str">
        <f t="shared" si="506"/>
        <v>n/a</v>
      </c>
      <c r="P1815" s="2198" t="str">
        <f t="shared" si="506"/>
        <v>n/a</v>
      </c>
      <c r="Q1815" s="2198" t="str">
        <f t="shared" si="506"/>
        <v>n/a</v>
      </c>
      <c r="R1815" s="2198" t="str">
        <f t="shared" si="506"/>
        <v>n/a</v>
      </c>
      <c r="S1815" s="2198" t="str">
        <f t="shared" si="506"/>
        <v>n/a</v>
      </c>
      <c r="T1815" s="2198" t="str">
        <f t="shared" si="506"/>
        <v>n/a</v>
      </c>
      <c r="U1815" s="2198" t="str">
        <f t="shared" si="506"/>
        <v>n/a</v>
      </c>
      <c r="V1815" s="2198" t="str">
        <f t="shared" si="506"/>
        <v>n/a</v>
      </c>
      <c r="W1815" s="1479"/>
      <c r="X1815" s="255"/>
      <c r="Y1815" s="89"/>
      <c r="Z1815" s="2060"/>
      <c r="AA1815" s="2060"/>
      <c r="AB1815" s="2060"/>
      <c r="AC1815" s="2060"/>
      <c r="AD1815" s="2060"/>
      <c r="AE1815" s="2060"/>
      <c r="AF1815" s="2060"/>
      <c r="AG1815" s="1530"/>
      <c r="AH1815" s="1530"/>
      <c r="AI1815" s="1530"/>
      <c r="AJ1815" s="1530"/>
      <c r="AK1815" s="1530"/>
      <c r="AL1815" s="1530"/>
      <c r="AM1815" s="1530"/>
      <c r="AN1815" s="1530"/>
      <c r="AO1815" s="1530"/>
      <c r="AP1815" s="1530"/>
      <c r="AQ1815" s="1530"/>
      <c r="AR1815" s="1530"/>
      <c r="AS1815" s="1530"/>
      <c r="AT1815" s="1530"/>
      <c r="AU1815" s="1530"/>
      <c r="AV1815" s="1530"/>
      <c r="AW1815" s="1530"/>
      <c r="AX1815" s="1530"/>
      <c r="AY1815" s="1530"/>
      <c r="AZ1815" s="1530"/>
      <c r="BA1815" s="1530"/>
      <c r="BB1815" s="1530"/>
      <c r="BC1815" s="1530"/>
      <c r="BD1815" s="1530"/>
      <c r="BE1815" s="1530"/>
      <c r="BF1815" s="1530"/>
      <c r="BG1815" s="1530"/>
      <c r="BH1815" s="1530"/>
      <c r="BI1815" s="1530"/>
      <c r="BJ1815" s="1530"/>
      <c r="BK1815" s="1530"/>
      <c r="BL1815" s="1530"/>
      <c r="BM1815" s="1530"/>
      <c r="BN1815" s="1530"/>
      <c r="BO1815" s="1530"/>
      <c r="BP1815" s="1530"/>
      <c r="BQ1815" s="1530"/>
      <c r="BR1815" s="1530"/>
      <c r="BS1815" s="1530"/>
      <c r="BT1815" s="1530"/>
      <c r="BU1815" s="1530"/>
      <c r="BV1815" s="1530"/>
      <c r="BW1815" s="1530"/>
      <c r="BX1815" s="1530"/>
      <c r="BY1815" s="1530"/>
      <c r="BZ1815" s="1530"/>
      <c r="CA1815" s="1530"/>
      <c r="CB1815" s="1530"/>
      <c r="CC1815" s="1530"/>
      <c r="CD1815" s="1530"/>
      <c r="CE1815" s="1530"/>
      <c r="CF1815" s="1530"/>
      <c r="CG1815" s="1530"/>
      <c r="CH1815" s="1530"/>
      <c r="CI1815" s="1530"/>
      <c r="CJ1815" s="1530"/>
      <c r="CK1815" s="1530"/>
      <c r="CL1815" s="1530"/>
      <c r="CM1815" s="1530"/>
      <c r="CN1815" s="1530"/>
      <c r="CO1815" s="1530"/>
      <c r="CP1815" s="1530"/>
      <c r="CQ1815" s="1530"/>
      <c r="CR1815" s="1530"/>
      <c r="CS1815" s="1530"/>
      <c r="CT1815" s="1530"/>
      <c r="CU1815" s="1530"/>
      <c r="CV1815" s="1530"/>
      <c r="CW1815" s="1530"/>
      <c r="CX1815" s="1530"/>
      <c r="CY1815" s="1530"/>
      <c r="CZ1815" s="1530"/>
      <c r="DA1815" s="1530"/>
      <c r="DB1815" s="1530"/>
      <c r="DC1815" s="1530"/>
      <c r="DD1815" s="1530"/>
      <c r="DE1815" s="1530"/>
      <c r="DF1815" s="1530"/>
      <c r="DG1815" s="1530"/>
      <c r="DH1815" s="1530"/>
      <c r="DI1815" s="1530"/>
      <c r="DJ1815" s="1530"/>
      <c r="DK1815" s="1530"/>
      <c r="DL1815" s="1530"/>
      <c r="DM1815" s="1530"/>
      <c r="DN1815" s="1530"/>
      <c r="DO1815" s="1530"/>
      <c r="DP1815" s="1530"/>
      <c r="DQ1815" s="1530"/>
      <c r="DR1815" s="1530"/>
      <c r="DS1815" s="1530"/>
      <c r="DT1815" s="1530"/>
      <c r="DU1815" s="1530"/>
      <c r="DV1815" s="1530"/>
      <c r="DW1815" s="1530"/>
      <c r="DX1815" s="1530"/>
      <c r="DY1815" s="1530"/>
      <c r="DZ1815" s="1530"/>
      <c r="EA1815" s="1530"/>
      <c r="EB1815" s="1530"/>
      <c r="EC1815" s="1530"/>
      <c r="ED1815" s="1530"/>
      <c r="EE1815" s="1530"/>
      <c r="EF1815" s="1530"/>
      <c r="EG1815" s="1530"/>
      <c r="EH1815" s="1530"/>
      <c r="EI1815" s="1530"/>
      <c r="EJ1815" s="1530"/>
      <c r="EK1815" s="1530"/>
      <c r="EL1815" s="1530"/>
      <c r="EM1815" s="1530"/>
      <c r="EN1815" s="1530"/>
      <c r="EO1815" s="1530"/>
      <c r="EP1815" s="1530"/>
      <c r="EQ1815" s="1530"/>
      <c r="ER1815" s="1530"/>
      <c r="ES1815" s="1530"/>
      <c r="ET1815" s="1530"/>
      <c r="EU1815" s="1530"/>
      <c r="EV1815" s="1530"/>
      <c r="EW1815" s="1530"/>
      <c r="EX1815" s="1530"/>
      <c r="EY1815" s="1530"/>
      <c r="EZ1815" s="1530"/>
      <c r="FA1815" s="1530"/>
      <c r="FB1815" s="1530"/>
      <c r="FC1815" s="1530"/>
      <c r="FD1815" s="1530"/>
      <c r="FE1815" s="1530"/>
      <c r="FF1815" s="1530"/>
      <c r="FG1815" s="1530"/>
      <c r="FH1815" s="1530"/>
      <c r="FI1815" s="1530"/>
      <c r="FJ1815" s="1530"/>
      <c r="FK1815" s="1530"/>
      <c r="FL1815" s="1530"/>
      <c r="FM1815" s="1530"/>
      <c r="FN1815" s="1530"/>
      <c r="FO1815" s="1530"/>
      <c r="FP1815" s="1530"/>
      <c r="FQ1815" s="1530"/>
      <c r="FR1815" s="1530"/>
      <c r="FS1815" s="1530"/>
      <c r="FT1815" s="1530"/>
      <c r="FU1815" s="1530"/>
      <c r="FV1815" s="1530"/>
      <c r="FW1815" s="1530"/>
      <c r="FX1815" s="1530"/>
      <c r="FY1815" s="1530"/>
      <c r="FZ1815" s="1530"/>
      <c r="GA1815" s="1530"/>
      <c r="GB1815" s="1530"/>
      <c r="GC1815" s="1530"/>
      <c r="GD1815" s="1530"/>
      <c r="GE1815" s="1530"/>
      <c r="GF1815" s="1530"/>
      <c r="GG1815" s="1530"/>
      <c r="GH1815" s="1530"/>
      <c r="GI1815" s="1530"/>
      <c r="GJ1815" s="1530"/>
      <c r="GK1815" s="1530"/>
      <c r="GL1815" s="1530"/>
      <c r="GM1815" s="1530"/>
      <c r="GN1815" s="1530"/>
      <c r="GO1815" s="1530"/>
      <c r="GP1815" s="1530"/>
      <c r="GQ1815" s="1530"/>
      <c r="GR1815" s="1530"/>
      <c r="GS1815" s="1530"/>
      <c r="GT1815" s="1530"/>
      <c r="GU1815" s="1530"/>
      <c r="GV1815" s="1530"/>
      <c r="GW1815" s="1530"/>
      <c r="GX1815" s="1530"/>
      <c r="GY1815" s="1530"/>
      <c r="GZ1815" s="1530"/>
      <c r="HA1815" s="1530"/>
      <c r="HB1815" s="1530"/>
      <c r="HC1815" s="1530"/>
      <c r="HD1815" s="1530"/>
      <c r="HE1815" s="1530"/>
      <c r="HF1815" s="1530"/>
      <c r="HG1815" s="1530"/>
      <c r="HH1815" s="1530"/>
      <c r="HI1815" s="1530"/>
      <c r="HJ1815" s="1530"/>
      <c r="HK1815" s="1530"/>
      <c r="HL1815" s="1530"/>
      <c r="HM1815" s="1530"/>
      <c r="HN1815" s="1530"/>
      <c r="HO1815" s="1530"/>
      <c r="HP1815" s="1530"/>
      <c r="HQ1815" s="1530"/>
      <c r="HR1815" s="1530"/>
      <c r="HS1815" s="1530"/>
      <c r="HT1815" s="1530"/>
      <c r="HU1815" s="1530"/>
      <c r="HV1815" s="1530"/>
      <c r="HW1815" s="1530"/>
      <c r="HX1815" s="1530"/>
      <c r="HY1815" s="1530"/>
      <c r="HZ1815" s="1530"/>
      <c r="IA1815" s="1530"/>
      <c r="IB1815" s="1530"/>
      <c r="IC1815" s="1530"/>
      <c r="ID1815" s="1530"/>
      <c r="IE1815" s="1530"/>
      <c r="IF1815" s="1530"/>
      <c r="IG1815" s="1530"/>
      <c r="IH1815" s="1530"/>
      <c r="II1815" s="1530"/>
      <c r="IJ1815" s="1530"/>
      <c r="IK1815" s="1530"/>
      <c r="IL1815" s="1530"/>
      <c r="IM1815" s="1530"/>
      <c r="IN1815" s="1530"/>
      <c r="IO1815" s="1530"/>
      <c r="IP1815" s="1530"/>
      <c r="IQ1815" s="1530"/>
      <c r="IR1815" s="1530"/>
      <c r="IS1815" s="1530"/>
      <c r="IT1815" s="1530"/>
      <c r="IU1815" s="1530"/>
      <c r="IV1815" s="1530"/>
      <c r="IW1815" s="1530"/>
      <c r="IX1815" s="1530"/>
      <c r="IY1815" s="1530"/>
      <c r="IZ1815" s="1530"/>
      <c r="JA1815" s="1530"/>
      <c r="JB1815" s="1530"/>
      <c r="JC1815" s="1530"/>
      <c r="JD1815" s="1530"/>
      <c r="JE1815" s="1530"/>
      <c r="JF1815" s="1530"/>
      <c r="JG1815" s="1530"/>
      <c r="JH1815" s="1530"/>
      <c r="JI1815" s="1530"/>
      <c r="JJ1815" s="1530"/>
      <c r="JK1815" s="1530"/>
      <c r="JL1815" s="1530"/>
      <c r="JM1815" s="1530"/>
      <c r="JN1815" s="1530"/>
      <c r="JO1815" s="1530"/>
      <c r="JP1815" s="1530"/>
      <c r="JQ1815" s="1530"/>
      <c r="JR1815" s="1530"/>
      <c r="JS1815" s="1530"/>
      <c r="JT1815" s="1530"/>
      <c r="JU1815" s="1530"/>
      <c r="JV1815" s="1530"/>
      <c r="JW1815" s="1530"/>
      <c r="JX1815" s="1530"/>
      <c r="JY1815" s="1530"/>
      <c r="JZ1815" s="1530"/>
      <c r="KA1815" s="1530"/>
      <c r="KB1815" s="1530"/>
      <c r="KC1815" s="1530"/>
      <c r="KD1815" s="1530"/>
      <c r="KE1815" s="1530"/>
      <c r="KF1815" s="1530"/>
      <c r="KG1815" s="1530"/>
      <c r="KH1815" s="1530"/>
      <c r="KI1815" s="1530"/>
      <c r="KJ1815" s="1530"/>
      <c r="KK1815" s="1530"/>
      <c r="KL1815" s="1530"/>
      <c r="KM1815" s="1530"/>
      <c r="KN1815" s="1530"/>
      <c r="KO1815" s="1530"/>
      <c r="KP1815" s="1530"/>
      <c r="KQ1815" s="1530"/>
      <c r="KR1815" s="1530"/>
      <c r="KS1815" s="1530"/>
      <c r="KT1815" s="1530"/>
      <c r="KU1815" s="1530"/>
      <c r="KV1815" s="1530"/>
      <c r="KW1815" s="1530"/>
      <c r="KX1815" s="1530"/>
      <c r="KY1815" s="1530"/>
      <c r="KZ1815" s="1530"/>
      <c r="LA1815" s="1530"/>
      <c r="LB1815" s="1530"/>
      <c r="LC1815" s="1530"/>
      <c r="LD1815" s="1530"/>
      <c r="LE1815" s="1530"/>
      <c r="LF1815" s="1530"/>
      <c r="LG1815" s="1530"/>
      <c r="LH1815" s="1530"/>
    </row>
    <row r="1816" spans="1:320" ht="12" customHeight="1">
      <c r="A1816" s="2060"/>
      <c r="B1816" s="2060"/>
      <c r="C1816" s="2060"/>
      <c r="D1816" s="2060"/>
      <c r="E1816" s="505"/>
      <c r="F1816" s="1349"/>
      <c r="G1816" s="1349"/>
      <c r="H1816" s="1349"/>
      <c r="I1816" s="89"/>
      <c r="J1816" s="1558"/>
      <c r="K1816" s="1558"/>
      <c r="L1816" s="1558"/>
      <c r="M1816" s="1558"/>
      <c r="N1816" s="1558"/>
      <c r="O1816" s="1558"/>
      <c r="P1816" s="1558"/>
      <c r="Q1816" s="1558"/>
      <c r="R1816" s="1558"/>
      <c r="S1816" s="1558"/>
      <c r="T1816" s="1558"/>
      <c r="U1816" s="1558"/>
      <c r="V1816" s="1558"/>
      <c r="W1816" s="1479"/>
      <c r="X1816" s="255"/>
      <c r="Y1816" s="89"/>
      <c r="Z1816" s="2060"/>
      <c r="AA1816" s="2060"/>
      <c r="AB1816" s="2060"/>
      <c r="AC1816" s="2060"/>
      <c r="AD1816" s="2060"/>
      <c r="AE1816" s="2060"/>
      <c r="AF1816" s="2060"/>
      <c r="AG1816" s="1530"/>
      <c r="AH1816" s="1530"/>
      <c r="AI1816" s="1530"/>
      <c r="AJ1816" s="1530"/>
      <c r="AK1816" s="1530"/>
      <c r="AL1816" s="1530"/>
      <c r="AM1816" s="1530"/>
      <c r="AN1816" s="1530"/>
      <c r="AO1816" s="1530"/>
      <c r="AP1816" s="1530"/>
      <c r="AQ1816" s="1530"/>
      <c r="AR1816" s="1530"/>
      <c r="AS1816" s="1530"/>
      <c r="AT1816" s="1530"/>
      <c r="AU1816" s="1530"/>
      <c r="AV1816" s="1530"/>
      <c r="AW1816" s="1530"/>
      <c r="AX1816" s="1530"/>
      <c r="AY1816" s="1530"/>
      <c r="AZ1816" s="1530"/>
      <c r="BA1816" s="1530"/>
      <c r="BB1816" s="1530"/>
      <c r="BC1816" s="1530"/>
      <c r="BD1816" s="1530"/>
      <c r="BE1816" s="1530"/>
      <c r="BF1816" s="1530"/>
      <c r="BG1816" s="1530"/>
      <c r="BH1816" s="1530"/>
      <c r="BI1816" s="1530"/>
      <c r="BJ1816" s="1530"/>
      <c r="BK1816" s="1530"/>
      <c r="BL1816" s="1530"/>
      <c r="BM1816" s="1530"/>
      <c r="BN1816" s="1530"/>
      <c r="BO1816" s="1530"/>
      <c r="BP1816" s="1530"/>
      <c r="BQ1816" s="1530"/>
      <c r="BR1816" s="1530"/>
      <c r="BS1816" s="1530"/>
      <c r="BT1816" s="1530"/>
      <c r="BU1816" s="1530"/>
      <c r="BV1816" s="1530"/>
      <c r="BW1816" s="1530"/>
      <c r="BX1816" s="1530"/>
      <c r="BY1816" s="1530"/>
      <c r="BZ1816" s="1530"/>
      <c r="CA1816" s="1530"/>
      <c r="CB1816" s="1530"/>
      <c r="CC1816" s="1530"/>
      <c r="CD1816" s="1530"/>
      <c r="CE1816" s="1530"/>
      <c r="CF1816" s="1530"/>
      <c r="CG1816" s="1530"/>
      <c r="CH1816" s="1530"/>
      <c r="CI1816" s="1530"/>
      <c r="CJ1816" s="1530"/>
      <c r="CK1816" s="1530"/>
      <c r="CL1816" s="1530"/>
      <c r="CM1816" s="1530"/>
      <c r="CN1816" s="1530"/>
      <c r="CO1816" s="1530"/>
      <c r="CP1816" s="1530"/>
      <c r="CQ1816" s="1530"/>
      <c r="CR1816" s="1530"/>
      <c r="CS1816" s="1530"/>
      <c r="CT1816" s="1530"/>
      <c r="CU1816" s="1530"/>
      <c r="CV1816" s="1530"/>
      <c r="CW1816" s="1530"/>
      <c r="CX1816" s="1530"/>
      <c r="CY1816" s="1530"/>
      <c r="CZ1816" s="1530"/>
      <c r="DA1816" s="1530"/>
      <c r="DB1816" s="1530"/>
      <c r="DC1816" s="1530"/>
      <c r="DD1816" s="1530"/>
      <c r="DE1816" s="1530"/>
      <c r="DF1816" s="1530"/>
      <c r="DG1816" s="1530"/>
      <c r="DH1816" s="1530"/>
      <c r="DI1816" s="1530"/>
      <c r="DJ1816" s="1530"/>
      <c r="DK1816" s="1530"/>
      <c r="DL1816" s="1530"/>
      <c r="DM1816" s="1530"/>
      <c r="DN1816" s="1530"/>
      <c r="DO1816" s="1530"/>
      <c r="DP1816" s="1530"/>
      <c r="DQ1816" s="1530"/>
      <c r="DR1816" s="1530"/>
      <c r="DS1816" s="1530"/>
      <c r="DT1816" s="1530"/>
      <c r="DU1816" s="1530"/>
      <c r="DV1816" s="1530"/>
      <c r="DW1816" s="1530"/>
      <c r="DX1816" s="1530"/>
      <c r="DY1816" s="1530"/>
      <c r="DZ1816" s="1530"/>
      <c r="EA1816" s="1530"/>
      <c r="EB1816" s="1530"/>
      <c r="EC1816" s="1530"/>
      <c r="ED1816" s="1530"/>
      <c r="EE1816" s="1530"/>
      <c r="EF1816" s="1530"/>
      <c r="EG1816" s="1530"/>
      <c r="EH1816" s="1530"/>
      <c r="EI1816" s="1530"/>
      <c r="EJ1816" s="1530"/>
      <c r="EK1816" s="1530"/>
      <c r="EL1816" s="1530"/>
      <c r="EM1816" s="1530"/>
      <c r="EN1816" s="1530"/>
      <c r="EO1816" s="1530"/>
      <c r="EP1816" s="1530"/>
      <c r="EQ1816" s="1530"/>
      <c r="ER1816" s="1530"/>
      <c r="ES1816" s="1530"/>
      <c r="ET1816" s="1530"/>
      <c r="EU1816" s="1530"/>
      <c r="EV1816" s="1530"/>
      <c r="EW1816" s="1530"/>
      <c r="EX1816" s="1530"/>
      <c r="EY1816" s="1530"/>
      <c r="EZ1816" s="1530"/>
      <c r="FA1816" s="1530"/>
      <c r="FB1816" s="1530"/>
      <c r="FC1816" s="1530"/>
      <c r="FD1816" s="1530"/>
      <c r="FE1816" s="1530"/>
      <c r="FF1816" s="1530"/>
      <c r="FG1816" s="1530"/>
      <c r="FH1816" s="1530"/>
      <c r="FI1816" s="1530"/>
      <c r="FJ1816" s="1530"/>
      <c r="FK1816" s="1530"/>
      <c r="FL1816" s="1530"/>
      <c r="FM1816" s="1530"/>
      <c r="FN1816" s="1530"/>
      <c r="FO1816" s="1530"/>
      <c r="FP1816" s="1530"/>
      <c r="FQ1816" s="1530"/>
      <c r="FR1816" s="1530"/>
      <c r="FS1816" s="1530"/>
      <c r="FT1816" s="1530"/>
      <c r="FU1816" s="1530"/>
      <c r="FV1816" s="1530"/>
      <c r="FW1816" s="1530"/>
      <c r="FX1816" s="1530"/>
      <c r="FY1816" s="1530"/>
      <c r="FZ1816" s="1530"/>
      <c r="GA1816" s="1530"/>
      <c r="GB1816" s="1530"/>
      <c r="GC1816" s="1530"/>
      <c r="GD1816" s="1530"/>
      <c r="GE1816" s="1530"/>
      <c r="GF1816" s="1530"/>
      <c r="GG1816" s="1530"/>
      <c r="GH1816" s="1530"/>
      <c r="GI1816" s="1530"/>
      <c r="GJ1816" s="1530"/>
      <c r="GK1816" s="1530"/>
      <c r="GL1816" s="1530"/>
      <c r="GM1816" s="1530"/>
      <c r="GN1816" s="1530"/>
      <c r="GO1816" s="1530"/>
      <c r="GP1816" s="1530"/>
      <c r="GQ1816" s="1530"/>
      <c r="GR1816" s="1530"/>
      <c r="GS1816" s="1530"/>
      <c r="GT1816" s="1530"/>
      <c r="GU1816" s="1530"/>
      <c r="GV1816" s="1530"/>
      <c r="GW1816" s="1530"/>
      <c r="GX1816" s="1530"/>
      <c r="GY1816" s="1530"/>
      <c r="GZ1816" s="1530"/>
      <c r="HA1816" s="1530"/>
      <c r="HB1816" s="1530"/>
      <c r="HC1816" s="1530"/>
      <c r="HD1816" s="1530"/>
      <c r="HE1816" s="1530"/>
      <c r="HF1816" s="1530"/>
      <c r="HG1816" s="1530"/>
      <c r="HH1816" s="1530"/>
      <c r="HI1816" s="1530"/>
      <c r="HJ1816" s="1530"/>
      <c r="HK1816" s="1530"/>
      <c r="HL1816" s="1530"/>
      <c r="HM1816" s="1530"/>
      <c r="HN1816" s="1530"/>
      <c r="HO1816" s="1530"/>
      <c r="HP1816" s="1530"/>
      <c r="HQ1816" s="1530"/>
      <c r="HR1816" s="1530"/>
      <c r="HS1816" s="1530"/>
      <c r="HT1816" s="1530"/>
      <c r="HU1816" s="1530"/>
      <c r="HV1816" s="1530"/>
      <c r="HW1816" s="1530"/>
      <c r="HX1816" s="1530"/>
      <c r="HY1816" s="1530"/>
      <c r="HZ1816" s="1530"/>
      <c r="IA1816" s="1530"/>
      <c r="IB1816" s="1530"/>
      <c r="IC1816" s="1530"/>
      <c r="ID1816" s="1530"/>
      <c r="IE1816" s="1530"/>
      <c r="IF1816" s="1530"/>
      <c r="IG1816" s="1530"/>
      <c r="IH1816" s="1530"/>
      <c r="II1816" s="1530"/>
      <c r="IJ1816" s="1530"/>
      <c r="IK1816" s="1530"/>
      <c r="IL1816" s="1530"/>
      <c r="IM1816" s="1530"/>
      <c r="IN1816" s="1530"/>
      <c r="IO1816" s="1530"/>
      <c r="IP1816" s="1530"/>
      <c r="IQ1816" s="1530"/>
      <c r="IR1816" s="1530"/>
      <c r="IS1816" s="1530"/>
      <c r="IT1816" s="1530"/>
      <c r="IU1816" s="1530"/>
      <c r="IV1816" s="1530"/>
      <c r="IW1816" s="1530"/>
      <c r="IX1816" s="1530"/>
      <c r="IY1816" s="1530"/>
      <c r="IZ1816" s="1530"/>
      <c r="JA1816" s="1530"/>
      <c r="JB1816" s="1530"/>
      <c r="JC1816" s="1530"/>
      <c r="JD1816" s="1530"/>
      <c r="JE1816" s="1530"/>
      <c r="JF1816" s="1530"/>
      <c r="JG1816" s="1530"/>
      <c r="JH1816" s="1530"/>
      <c r="JI1816" s="1530"/>
      <c r="JJ1816" s="1530"/>
      <c r="JK1816" s="1530"/>
      <c r="JL1816" s="1530"/>
      <c r="JM1816" s="1530"/>
      <c r="JN1816" s="1530"/>
      <c r="JO1816" s="1530"/>
      <c r="JP1816" s="1530"/>
      <c r="JQ1816" s="1530"/>
      <c r="JR1816" s="1530"/>
      <c r="JS1816" s="1530"/>
      <c r="JT1816" s="1530"/>
      <c r="JU1816" s="1530"/>
      <c r="JV1816" s="1530"/>
      <c r="JW1816" s="1530"/>
      <c r="JX1816" s="1530"/>
      <c r="JY1816" s="1530"/>
      <c r="JZ1816" s="1530"/>
      <c r="KA1816" s="1530"/>
      <c r="KB1816" s="1530"/>
      <c r="KC1816" s="1530"/>
      <c r="KD1816" s="1530"/>
      <c r="KE1816" s="1530"/>
      <c r="KF1816" s="1530"/>
      <c r="KG1816" s="1530"/>
      <c r="KH1816" s="1530"/>
      <c r="KI1816" s="1530"/>
      <c r="KJ1816" s="1530"/>
      <c r="KK1816" s="1530"/>
      <c r="KL1816" s="1530"/>
      <c r="KM1816" s="1530"/>
      <c r="KN1816" s="1530"/>
      <c r="KO1816" s="1530"/>
      <c r="KP1816" s="1530"/>
      <c r="KQ1816" s="1530"/>
      <c r="KR1816" s="1530"/>
      <c r="KS1816" s="1530"/>
      <c r="KT1816" s="1530"/>
      <c r="KU1816" s="1530"/>
      <c r="KV1816" s="1530"/>
      <c r="KW1816" s="1530"/>
      <c r="KX1816" s="1530"/>
      <c r="KY1816" s="1530"/>
      <c r="KZ1816" s="1530"/>
      <c r="LA1816" s="1530"/>
      <c r="LB1816" s="1530"/>
      <c r="LC1816" s="1530"/>
      <c r="LD1816" s="1530"/>
      <c r="LE1816" s="1530"/>
      <c r="LF1816" s="1530"/>
      <c r="LG1816" s="1530"/>
      <c r="LH1816" s="1530"/>
    </row>
    <row r="1817" spans="1:320" ht="12" customHeight="1">
      <c r="A1817" s="2060"/>
      <c r="B1817" s="2060"/>
      <c r="C1817" s="2060"/>
      <c r="D1817" s="2060"/>
      <c r="E1817" s="505"/>
      <c r="F1817" s="741"/>
      <c r="G1817" s="741"/>
      <c r="H1817" s="741"/>
      <c r="I1817" s="724"/>
      <c r="J1817" s="737" t="str">
        <f>$F$1673&amp;"/Market Cap (Calculated from the tables above)."</f>
        <v>Total debt Quarterly/Market Cap (Calculated from the tables above).</v>
      </c>
      <c r="K1817" s="726"/>
      <c r="L1817" s="726"/>
      <c r="M1817" s="726"/>
      <c r="N1817" s="737" t="s">
        <v>853</v>
      </c>
      <c r="O1817" s="726"/>
      <c r="P1817" s="726"/>
      <c r="Q1817" s="726"/>
      <c r="R1817" s="726"/>
      <c r="S1817" s="726"/>
      <c r="T1817" s="726"/>
      <c r="U1817" s="726"/>
      <c r="V1817" s="726"/>
      <c r="W1817" s="1479"/>
      <c r="X1817" s="255"/>
      <c r="Y1817" s="89"/>
      <c r="Z1817" s="2060"/>
      <c r="AA1817" s="2060"/>
      <c r="AB1817" s="2060"/>
      <c r="AC1817" s="2060"/>
      <c r="AD1817" s="2060"/>
      <c r="AE1817" s="2060"/>
      <c r="AF1817" s="2060"/>
      <c r="AG1817" s="1530"/>
      <c r="AH1817" s="1530"/>
      <c r="AI1817" s="1530"/>
      <c r="AJ1817" s="1530"/>
      <c r="AK1817" s="1530"/>
      <c r="AL1817" s="1530"/>
      <c r="AM1817" s="1530"/>
      <c r="AN1817" s="1530"/>
      <c r="AO1817" s="1530"/>
      <c r="AP1817" s="1530"/>
      <c r="AQ1817" s="1530"/>
      <c r="AR1817" s="1530"/>
      <c r="AS1817" s="1530"/>
      <c r="AT1817" s="1530"/>
      <c r="AU1817" s="1530"/>
      <c r="AV1817" s="1530"/>
      <c r="AW1817" s="1530"/>
      <c r="AX1817" s="1530"/>
      <c r="AY1817" s="1530"/>
      <c r="AZ1817" s="1530"/>
      <c r="BA1817" s="1530"/>
      <c r="BB1817" s="1530"/>
      <c r="BC1817" s="1530"/>
      <c r="BD1817" s="1530"/>
      <c r="BE1817" s="1530"/>
      <c r="BF1817" s="1530"/>
      <c r="BG1817" s="1530"/>
      <c r="BH1817" s="1530"/>
      <c r="BI1817" s="1530"/>
      <c r="BJ1817" s="1530"/>
      <c r="BK1817" s="1530"/>
      <c r="BL1817" s="1530"/>
      <c r="BM1817" s="1530"/>
      <c r="BN1817" s="1530"/>
      <c r="BO1817" s="1530"/>
      <c r="BP1817" s="1530"/>
      <c r="BQ1817" s="1530"/>
      <c r="BR1817" s="1530"/>
      <c r="BS1817" s="1530"/>
      <c r="BT1817" s="1530"/>
      <c r="BU1817" s="1530"/>
      <c r="BV1817" s="1530"/>
      <c r="BW1817" s="1530"/>
      <c r="BX1817" s="1530"/>
      <c r="BY1817" s="1530"/>
      <c r="BZ1817" s="1530"/>
      <c r="CA1817" s="1530"/>
      <c r="CB1817" s="1530"/>
      <c r="CC1817" s="1530"/>
      <c r="CD1817" s="1530"/>
      <c r="CE1817" s="1530"/>
      <c r="CF1817" s="1530"/>
      <c r="CG1817" s="1530"/>
      <c r="CH1817" s="1530"/>
      <c r="CI1817" s="1530"/>
      <c r="CJ1817" s="1530"/>
      <c r="CK1817" s="1530"/>
      <c r="CL1817" s="1530"/>
      <c r="CM1817" s="1530"/>
      <c r="CN1817" s="1530"/>
      <c r="CO1817" s="1530"/>
      <c r="CP1817" s="1530"/>
      <c r="CQ1817" s="1530"/>
      <c r="CR1817" s="1530"/>
      <c r="CS1817" s="1530"/>
      <c r="CT1817" s="1530"/>
      <c r="CU1817" s="1530"/>
      <c r="CV1817" s="1530"/>
      <c r="CW1817" s="1530"/>
      <c r="CX1817" s="1530"/>
      <c r="CY1817" s="1530"/>
      <c r="CZ1817" s="1530"/>
      <c r="DA1817" s="1530"/>
      <c r="DB1817" s="1530"/>
      <c r="DC1817" s="1530"/>
      <c r="DD1817" s="1530"/>
      <c r="DE1817" s="1530"/>
      <c r="DF1817" s="1530"/>
      <c r="DG1817" s="1530"/>
      <c r="DH1817" s="1530"/>
      <c r="DI1817" s="1530"/>
      <c r="DJ1817" s="1530"/>
      <c r="DK1817" s="1530"/>
      <c r="DL1817" s="1530"/>
      <c r="DM1817" s="1530"/>
      <c r="DN1817" s="1530"/>
      <c r="DO1817" s="1530"/>
      <c r="DP1817" s="1530"/>
      <c r="DQ1817" s="1530"/>
      <c r="DR1817" s="1530"/>
      <c r="DS1817" s="1530"/>
      <c r="DT1817" s="1530"/>
      <c r="DU1817" s="1530"/>
      <c r="DV1817" s="1530"/>
      <c r="DW1817" s="1530"/>
      <c r="DX1817" s="1530"/>
      <c r="DY1817" s="1530"/>
      <c r="DZ1817" s="1530"/>
      <c r="EA1817" s="1530"/>
      <c r="EB1817" s="1530"/>
      <c r="EC1817" s="1530"/>
      <c r="ED1817" s="1530"/>
      <c r="EE1817" s="1530"/>
      <c r="EF1817" s="1530"/>
      <c r="EG1817" s="1530"/>
      <c r="EH1817" s="1530"/>
      <c r="EI1817" s="1530"/>
      <c r="EJ1817" s="1530"/>
      <c r="EK1817" s="1530"/>
      <c r="EL1817" s="1530"/>
      <c r="EM1817" s="1530"/>
      <c r="EN1817" s="1530"/>
      <c r="EO1817" s="1530"/>
      <c r="EP1817" s="1530"/>
      <c r="EQ1817" s="1530"/>
      <c r="ER1817" s="1530"/>
      <c r="ES1817" s="1530"/>
      <c r="ET1817" s="1530"/>
      <c r="EU1817" s="1530"/>
      <c r="EV1817" s="1530"/>
      <c r="EW1817" s="1530"/>
      <c r="EX1817" s="1530"/>
      <c r="EY1817" s="1530"/>
      <c r="EZ1817" s="1530"/>
      <c r="FA1817" s="1530"/>
      <c r="FB1817" s="1530"/>
      <c r="FC1817" s="1530"/>
      <c r="FD1817" s="1530"/>
      <c r="FE1817" s="1530"/>
      <c r="FF1817" s="1530"/>
      <c r="FG1817" s="1530"/>
      <c r="FH1817" s="1530"/>
      <c r="FI1817" s="1530"/>
      <c r="FJ1817" s="1530"/>
      <c r="FK1817" s="1530"/>
      <c r="FL1817" s="1530"/>
      <c r="FM1817" s="1530"/>
      <c r="FN1817" s="1530"/>
      <c r="FO1817" s="1530"/>
      <c r="FP1817" s="1530"/>
      <c r="FQ1817" s="1530"/>
      <c r="FR1817" s="1530"/>
      <c r="FS1817" s="1530"/>
      <c r="FT1817" s="1530"/>
      <c r="FU1817" s="1530"/>
      <c r="FV1817" s="1530"/>
      <c r="FW1817" s="1530"/>
      <c r="FX1817" s="1530"/>
      <c r="FY1817" s="1530"/>
      <c r="FZ1817" s="1530"/>
      <c r="GA1817" s="1530"/>
      <c r="GB1817" s="1530"/>
      <c r="GC1817" s="1530"/>
      <c r="GD1817" s="1530"/>
      <c r="GE1817" s="1530"/>
      <c r="GF1817" s="1530"/>
      <c r="GG1817" s="1530"/>
      <c r="GH1817" s="1530"/>
      <c r="GI1817" s="1530"/>
      <c r="GJ1817" s="1530"/>
      <c r="GK1817" s="1530"/>
      <c r="GL1817" s="1530"/>
      <c r="GM1817" s="1530"/>
      <c r="GN1817" s="1530"/>
      <c r="GO1817" s="1530"/>
      <c r="GP1817" s="1530"/>
      <c r="GQ1817" s="1530"/>
      <c r="GR1817" s="1530"/>
      <c r="GS1817" s="1530"/>
      <c r="GT1817" s="1530"/>
      <c r="GU1817" s="1530"/>
      <c r="GV1817" s="1530"/>
      <c r="GW1817" s="1530"/>
      <c r="GX1817" s="1530"/>
      <c r="GY1817" s="1530"/>
      <c r="GZ1817" s="1530"/>
      <c r="HA1817" s="1530"/>
      <c r="HB1817" s="1530"/>
      <c r="HC1817" s="1530"/>
      <c r="HD1817" s="1530"/>
      <c r="HE1817" s="1530"/>
      <c r="HF1817" s="1530"/>
      <c r="HG1817" s="1530"/>
      <c r="HH1817" s="1530"/>
      <c r="HI1817" s="1530"/>
      <c r="HJ1817" s="1530"/>
      <c r="HK1817" s="1530"/>
      <c r="HL1817" s="1530"/>
      <c r="HM1817" s="1530"/>
      <c r="HN1817" s="1530"/>
      <c r="HO1817" s="1530"/>
      <c r="HP1817" s="1530"/>
      <c r="HQ1817" s="1530"/>
      <c r="HR1817" s="1530"/>
      <c r="HS1817" s="1530"/>
      <c r="HT1817" s="1530"/>
      <c r="HU1817" s="1530"/>
      <c r="HV1817" s="1530"/>
      <c r="HW1817" s="1530"/>
      <c r="HX1817" s="1530"/>
      <c r="HY1817" s="1530"/>
      <c r="HZ1817" s="1530"/>
      <c r="IA1817" s="1530"/>
      <c r="IB1817" s="1530"/>
      <c r="IC1817" s="1530"/>
      <c r="ID1817" s="1530"/>
      <c r="IE1817" s="1530"/>
      <c r="IF1817" s="1530"/>
      <c r="IG1817" s="1530"/>
      <c r="IH1817" s="1530"/>
      <c r="II1817" s="1530"/>
      <c r="IJ1817" s="1530"/>
      <c r="IK1817" s="1530"/>
      <c r="IL1817" s="1530"/>
      <c r="IM1817" s="1530"/>
      <c r="IN1817" s="1530"/>
      <c r="IO1817" s="1530"/>
      <c r="IP1817" s="1530"/>
      <c r="IQ1817" s="1530"/>
      <c r="IR1817" s="1530"/>
      <c r="IS1817" s="1530"/>
      <c r="IT1817" s="1530"/>
      <c r="IU1817" s="1530"/>
      <c r="IV1817" s="1530"/>
      <c r="IW1817" s="1530"/>
      <c r="IX1817" s="1530"/>
      <c r="IY1817" s="1530"/>
      <c r="IZ1817" s="1530"/>
      <c r="JA1817" s="1530"/>
      <c r="JB1817" s="1530"/>
      <c r="JC1817" s="1530"/>
      <c r="JD1817" s="1530"/>
      <c r="JE1817" s="1530"/>
      <c r="JF1817" s="1530"/>
      <c r="JG1817" s="1530"/>
      <c r="JH1817" s="1530"/>
      <c r="JI1817" s="1530"/>
      <c r="JJ1817" s="1530"/>
      <c r="JK1817" s="1530"/>
      <c r="JL1817" s="1530"/>
      <c r="JM1817" s="1530"/>
      <c r="JN1817" s="1530"/>
      <c r="JO1817" s="1530"/>
      <c r="JP1817" s="1530"/>
      <c r="JQ1817" s="1530"/>
      <c r="JR1817" s="1530"/>
      <c r="JS1817" s="1530"/>
      <c r="JT1817" s="1530"/>
      <c r="JU1817" s="1530"/>
      <c r="JV1817" s="1530"/>
      <c r="JW1817" s="1530"/>
      <c r="JX1817" s="1530"/>
      <c r="JY1817" s="1530"/>
      <c r="JZ1817" s="1530"/>
      <c r="KA1817" s="1530"/>
      <c r="KB1817" s="1530"/>
      <c r="KC1817" s="1530"/>
      <c r="KD1817" s="1530"/>
      <c r="KE1817" s="1530"/>
      <c r="KF1817" s="1530"/>
      <c r="KG1817" s="1530"/>
      <c r="KH1817" s="1530"/>
      <c r="KI1817" s="1530"/>
      <c r="KJ1817" s="1530"/>
      <c r="KK1817" s="1530"/>
      <c r="KL1817" s="1530"/>
      <c r="KM1817" s="1530"/>
      <c r="KN1817" s="1530"/>
      <c r="KO1817" s="1530"/>
      <c r="KP1817" s="1530"/>
      <c r="KQ1817" s="1530"/>
      <c r="KR1817" s="1530"/>
      <c r="KS1817" s="1530"/>
      <c r="KT1817" s="1530"/>
      <c r="KU1817" s="1530"/>
      <c r="KV1817" s="1530"/>
      <c r="KW1817" s="1530"/>
      <c r="KX1817" s="1530"/>
      <c r="KY1817" s="1530"/>
      <c r="KZ1817" s="1530"/>
      <c r="LA1817" s="1530"/>
      <c r="LB1817" s="1530"/>
      <c r="LC1817" s="1530"/>
      <c r="LD1817" s="1530"/>
      <c r="LE1817" s="1530"/>
      <c r="LF1817" s="1530"/>
      <c r="LG1817" s="1530"/>
      <c r="LH1817" s="1530"/>
    </row>
    <row r="1818" spans="1:320" ht="12" customHeight="1">
      <c r="A1818" s="2060"/>
      <c r="B1818" s="2060"/>
      <c r="C1818" s="2060"/>
      <c r="D1818" s="2060"/>
      <c r="E1818" s="505"/>
      <c r="F1818" s="953" t="str">
        <f>$F$1673&amp;"/Market capital"</f>
        <v>Total debt Quarterly/Market capital</v>
      </c>
      <c r="G1818" s="737" t="s">
        <v>851</v>
      </c>
      <c r="H1818" s="741"/>
      <c r="I1818" s="724"/>
      <c r="J1818" s="726" t="str">
        <f>J$1558</f>
        <v>LQ-12</v>
      </c>
      <c r="K1818" s="726" t="str">
        <f t="shared" ref="K1818:V1818" si="507">K$1558</f>
        <v>LQ-11</v>
      </c>
      <c r="L1818" s="726" t="str">
        <f t="shared" si="507"/>
        <v>LQ-10</v>
      </c>
      <c r="M1818" s="726" t="str">
        <f t="shared" si="507"/>
        <v>LQ-9</v>
      </c>
      <c r="N1818" s="726" t="str">
        <f t="shared" si="507"/>
        <v>LQ-8</v>
      </c>
      <c r="O1818" s="726" t="str">
        <f t="shared" si="507"/>
        <v>LQ-7</v>
      </c>
      <c r="P1818" s="726" t="str">
        <f t="shared" si="507"/>
        <v>LQ-6</v>
      </c>
      <c r="Q1818" s="726" t="str">
        <f t="shared" si="507"/>
        <v>LQ-5</v>
      </c>
      <c r="R1818" s="726" t="str">
        <f t="shared" si="507"/>
        <v>LQ-4</v>
      </c>
      <c r="S1818" s="726" t="str">
        <f t="shared" si="507"/>
        <v>LQ-3</v>
      </c>
      <c r="T1818" s="726" t="str">
        <f t="shared" si="507"/>
        <v>LQ-2</v>
      </c>
      <c r="U1818" s="726" t="str">
        <f t="shared" si="507"/>
        <v>LQ-1</v>
      </c>
      <c r="V1818" s="726" t="str">
        <f t="shared" si="507"/>
        <v>Last Qtr</v>
      </c>
      <c r="W1818" s="1479"/>
      <c r="X1818" s="255"/>
      <c r="Y1818" s="89"/>
      <c r="Z1818" s="2060"/>
      <c r="AA1818" s="2060"/>
      <c r="AB1818" s="2060"/>
      <c r="AC1818" s="2060"/>
      <c r="AD1818" s="2060"/>
      <c r="AE1818" s="2060"/>
      <c r="AF1818" s="2060"/>
      <c r="AG1818" s="1530"/>
      <c r="AH1818" s="1530"/>
      <c r="AI1818" s="1530"/>
      <c r="AJ1818" s="1530"/>
      <c r="AK1818" s="1530"/>
      <c r="AL1818" s="1530"/>
      <c r="AM1818" s="1530"/>
      <c r="AN1818" s="1530"/>
      <c r="AO1818" s="1530"/>
      <c r="AP1818" s="1530"/>
      <c r="AQ1818" s="1530"/>
      <c r="AR1818" s="1530"/>
      <c r="AS1818" s="1530"/>
      <c r="AT1818" s="1530"/>
      <c r="AU1818" s="1530"/>
      <c r="AV1818" s="1530"/>
      <c r="AW1818" s="1530"/>
      <c r="AX1818" s="1530"/>
      <c r="AY1818" s="1530"/>
      <c r="AZ1818" s="1530"/>
      <c r="BA1818" s="1530"/>
      <c r="BB1818" s="1530"/>
      <c r="BC1818" s="1530"/>
      <c r="BD1818" s="1530"/>
      <c r="BE1818" s="1530"/>
      <c r="BF1818" s="1530"/>
      <c r="BG1818" s="1530"/>
      <c r="BH1818" s="1530"/>
      <c r="BI1818" s="1530"/>
      <c r="BJ1818" s="1530"/>
      <c r="BK1818" s="1530"/>
      <c r="BL1818" s="1530"/>
      <c r="BM1818" s="1530"/>
      <c r="BN1818" s="1530"/>
      <c r="BO1818" s="1530"/>
      <c r="BP1818" s="1530"/>
      <c r="BQ1818" s="1530"/>
      <c r="BR1818" s="1530"/>
      <c r="BS1818" s="1530"/>
      <c r="BT1818" s="1530"/>
      <c r="BU1818" s="1530"/>
      <c r="BV1818" s="1530"/>
      <c r="BW1818" s="1530"/>
      <c r="BX1818" s="1530"/>
      <c r="BY1818" s="1530"/>
      <c r="BZ1818" s="1530"/>
      <c r="CA1818" s="1530"/>
      <c r="CB1818" s="1530"/>
      <c r="CC1818" s="1530"/>
      <c r="CD1818" s="1530"/>
      <c r="CE1818" s="1530"/>
      <c r="CF1818" s="1530"/>
      <c r="CG1818" s="1530"/>
      <c r="CH1818" s="1530"/>
      <c r="CI1818" s="1530"/>
      <c r="CJ1818" s="1530"/>
      <c r="CK1818" s="1530"/>
      <c r="CL1818" s="1530"/>
      <c r="CM1818" s="1530"/>
      <c r="CN1818" s="1530"/>
      <c r="CO1818" s="1530"/>
      <c r="CP1818" s="1530"/>
      <c r="CQ1818" s="1530"/>
      <c r="CR1818" s="1530"/>
      <c r="CS1818" s="1530"/>
      <c r="CT1818" s="1530"/>
      <c r="CU1818" s="1530"/>
      <c r="CV1818" s="1530"/>
      <c r="CW1818" s="1530"/>
      <c r="CX1818" s="1530"/>
      <c r="CY1818" s="1530"/>
      <c r="CZ1818" s="1530"/>
      <c r="DA1818" s="1530"/>
      <c r="DB1818" s="1530"/>
      <c r="DC1818" s="1530"/>
      <c r="DD1818" s="1530"/>
      <c r="DE1818" s="1530"/>
      <c r="DF1818" s="1530"/>
      <c r="DG1818" s="1530"/>
      <c r="DH1818" s="1530"/>
      <c r="DI1818" s="1530"/>
      <c r="DJ1818" s="1530"/>
      <c r="DK1818" s="1530"/>
      <c r="DL1818" s="1530"/>
      <c r="DM1818" s="1530"/>
      <c r="DN1818" s="1530"/>
      <c r="DO1818" s="1530"/>
      <c r="DP1818" s="1530"/>
      <c r="DQ1818" s="1530"/>
      <c r="DR1818" s="1530"/>
      <c r="DS1818" s="1530"/>
      <c r="DT1818" s="1530"/>
      <c r="DU1818" s="1530"/>
      <c r="DV1818" s="1530"/>
      <c r="DW1818" s="1530"/>
      <c r="DX1818" s="1530"/>
      <c r="DY1818" s="1530"/>
      <c r="DZ1818" s="1530"/>
      <c r="EA1818" s="1530"/>
      <c r="EB1818" s="1530"/>
      <c r="EC1818" s="1530"/>
      <c r="ED1818" s="1530"/>
      <c r="EE1818" s="1530"/>
      <c r="EF1818" s="1530"/>
      <c r="EG1818" s="1530"/>
      <c r="EH1818" s="1530"/>
      <c r="EI1818" s="1530"/>
      <c r="EJ1818" s="1530"/>
      <c r="EK1818" s="1530"/>
      <c r="EL1818" s="1530"/>
      <c r="EM1818" s="1530"/>
      <c r="EN1818" s="1530"/>
      <c r="EO1818" s="1530"/>
      <c r="EP1818" s="1530"/>
      <c r="EQ1818" s="1530"/>
      <c r="ER1818" s="1530"/>
      <c r="ES1818" s="1530"/>
      <c r="ET1818" s="1530"/>
      <c r="EU1818" s="1530"/>
      <c r="EV1818" s="1530"/>
      <c r="EW1818" s="1530"/>
      <c r="EX1818" s="1530"/>
      <c r="EY1818" s="1530"/>
      <c r="EZ1818" s="1530"/>
      <c r="FA1818" s="1530"/>
      <c r="FB1818" s="1530"/>
      <c r="FC1818" s="1530"/>
      <c r="FD1818" s="1530"/>
      <c r="FE1818" s="1530"/>
      <c r="FF1818" s="1530"/>
      <c r="FG1818" s="1530"/>
      <c r="FH1818" s="1530"/>
      <c r="FI1818" s="1530"/>
      <c r="FJ1818" s="1530"/>
      <c r="FK1818" s="1530"/>
      <c r="FL1818" s="1530"/>
      <c r="FM1818" s="1530"/>
      <c r="FN1818" s="1530"/>
      <c r="FO1818" s="1530"/>
      <c r="FP1818" s="1530"/>
      <c r="FQ1818" s="1530"/>
      <c r="FR1818" s="1530"/>
      <c r="FS1818" s="1530"/>
      <c r="FT1818" s="1530"/>
      <c r="FU1818" s="1530"/>
      <c r="FV1818" s="1530"/>
      <c r="FW1818" s="1530"/>
      <c r="FX1818" s="1530"/>
      <c r="FY1818" s="1530"/>
      <c r="FZ1818" s="1530"/>
      <c r="GA1818" s="1530"/>
      <c r="GB1818" s="1530"/>
      <c r="GC1818" s="1530"/>
      <c r="GD1818" s="1530"/>
      <c r="GE1818" s="1530"/>
      <c r="GF1818" s="1530"/>
      <c r="GG1818" s="1530"/>
      <c r="GH1818" s="1530"/>
      <c r="GI1818" s="1530"/>
      <c r="GJ1818" s="1530"/>
      <c r="GK1818" s="1530"/>
      <c r="GL1818" s="1530"/>
      <c r="GM1818" s="1530"/>
      <c r="GN1818" s="1530"/>
      <c r="GO1818" s="1530"/>
      <c r="GP1818" s="1530"/>
      <c r="GQ1818" s="1530"/>
      <c r="GR1818" s="1530"/>
      <c r="GS1818" s="1530"/>
      <c r="GT1818" s="1530"/>
      <c r="GU1818" s="1530"/>
      <c r="GV1818" s="1530"/>
      <c r="GW1818" s="1530"/>
      <c r="GX1818" s="1530"/>
      <c r="GY1818" s="1530"/>
      <c r="GZ1818" s="1530"/>
      <c r="HA1818" s="1530"/>
      <c r="HB1818" s="1530"/>
      <c r="HC1818" s="1530"/>
      <c r="HD1818" s="1530"/>
      <c r="HE1818" s="1530"/>
      <c r="HF1818" s="1530"/>
      <c r="HG1818" s="1530"/>
      <c r="HH1818" s="1530"/>
      <c r="HI1818" s="1530"/>
      <c r="HJ1818" s="1530"/>
      <c r="HK1818" s="1530"/>
      <c r="HL1818" s="1530"/>
      <c r="HM1818" s="1530"/>
      <c r="HN1818" s="1530"/>
      <c r="HO1818" s="1530"/>
      <c r="HP1818" s="1530"/>
      <c r="HQ1818" s="1530"/>
      <c r="HR1818" s="1530"/>
      <c r="HS1818" s="1530"/>
      <c r="HT1818" s="1530"/>
      <c r="HU1818" s="1530"/>
      <c r="HV1818" s="1530"/>
      <c r="HW1818" s="1530"/>
      <c r="HX1818" s="1530"/>
      <c r="HY1818" s="1530"/>
      <c r="HZ1818" s="1530"/>
      <c r="IA1818" s="1530"/>
      <c r="IB1818" s="1530"/>
      <c r="IC1818" s="1530"/>
      <c r="ID1818" s="1530"/>
      <c r="IE1818" s="1530"/>
      <c r="IF1818" s="1530"/>
      <c r="IG1818" s="1530"/>
      <c r="IH1818" s="1530"/>
      <c r="II1818" s="1530"/>
      <c r="IJ1818" s="1530"/>
      <c r="IK1818" s="1530"/>
      <c r="IL1818" s="1530"/>
      <c r="IM1818" s="1530"/>
      <c r="IN1818" s="1530"/>
      <c r="IO1818" s="1530"/>
      <c r="IP1818" s="1530"/>
      <c r="IQ1818" s="1530"/>
      <c r="IR1818" s="1530"/>
      <c r="IS1818" s="1530"/>
      <c r="IT1818" s="1530"/>
      <c r="IU1818" s="1530"/>
      <c r="IV1818" s="1530"/>
      <c r="IW1818" s="1530"/>
      <c r="IX1818" s="1530"/>
      <c r="IY1818" s="1530"/>
      <c r="IZ1818" s="1530"/>
      <c r="JA1818" s="1530"/>
      <c r="JB1818" s="1530"/>
      <c r="JC1818" s="1530"/>
      <c r="JD1818" s="1530"/>
      <c r="JE1818" s="1530"/>
      <c r="JF1818" s="1530"/>
      <c r="JG1818" s="1530"/>
      <c r="JH1818" s="1530"/>
      <c r="JI1818" s="1530"/>
      <c r="JJ1818" s="1530"/>
      <c r="JK1818" s="1530"/>
      <c r="JL1818" s="1530"/>
      <c r="JM1818" s="1530"/>
      <c r="JN1818" s="1530"/>
      <c r="JO1818" s="1530"/>
      <c r="JP1818" s="1530"/>
      <c r="JQ1818" s="1530"/>
      <c r="JR1818" s="1530"/>
      <c r="JS1818" s="1530"/>
      <c r="JT1818" s="1530"/>
      <c r="JU1818" s="1530"/>
      <c r="JV1818" s="1530"/>
      <c r="JW1818" s="1530"/>
      <c r="JX1818" s="1530"/>
      <c r="JY1818" s="1530"/>
      <c r="JZ1818" s="1530"/>
      <c r="KA1818" s="1530"/>
      <c r="KB1818" s="1530"/>
      <c r="KC1818" s="1530"/>
      <c r="KD1818" s="1530"/>
      <c r="KE1818" s="1530"/>
      <c r="KF1818" s="1530"/>
      <c r="KG1818" s="1530"/>
      <c r="KH1818" s="1530"/>
      <c r="KI1818" s="1530"/>
      <c r="KJ1818" s="1530"/>
      <c r="KK1818" s="1530"/>
      <c r="KL1818" s="1530"/>
      <c r="KM1818" s="1530"/>
      <c r="KN1818" s="1530"/>
      <c r="KO1818" s="1530"/>
      <c r="KP1818" s="1530"/>
      <c r="KQ1818" s="1530"/>
      <c r="KR1818" s="1530"/>
      <c r="KS1818" s="1530"/>
      <c r="KT1818" s="1530"/>
      <c r="KU1818" s="1530"/>
      <c r="KV1818" s="1530"/>
      <c r="KW1818" s="1530"/>
      <c r="KX1818" s="1530"/>
      <c r="KY1818" s="1530"/>
      <c r="KZ1818" s="1530"/>
      <c r="LA1818" s="1530"/>
      <c r="LB1818" s="1530"/>
      <c r="LC1818" s="1530"/>
      <c r="LD1818" s="1530"/>
      <c r="LE1818" s="1530"/>
      <c r="LF1818" s="1530"/>
      <c r="LG1818" s="1530"/>
      <c r="LH1818" s="1530"/>
    </row>
    <row r="1819" spans="1:320" ht="12" customHeight="1">
      <c r="A1819" s="2060"/>
      <c r="B1819" s="2060"/>
      <c r="C1819" s="2060"/>
      <c r="D1819" s="2060"/>
      <c r="E1819" s="508">
        <v>0</v>
      </c>
      <c r="F1819" s="1453" t="str">
        <f>F$128</f>
        <v/>
      </c>
      <c r="G1819" s="1454">
        <f>G$128</f>
        <v>0</v>
      </c>
      <c r="H1819" s="1455" t="str">
        <f>H$128</f>
        <v>USD</v>
      </c>
      <c r="I1819" s="507"/>
      <c r="J1819" s="2199" t="e">
        <f t="shared" ref="J1819:K1844" si="508">IFERROR(J1674/J1790,NA())</f>
        <v>#N/A</v>
      </c>
      <c r="K1819" s="2199" t="e">
        <f t="shared" si="508"/>
        <v>#N/A</v>
      </c>
      <c r="L1819" s="2199" t="e">
        <f t="shared" ref="L1819:V1819" si="509">IFERROR(L1674/L1790,NA())</f>
        <v>#N/A</v>
      </c>
      <c r="M1819" s="2199" t="e">
        <f t="shared" si="509"/>
        <v>#N/A</v>
      </c>
      <c r="N1819" s="2199" t="e">
        <f t="shared" si="509"/>
        <v>#N/A</v>
      </c>
      <c r="O1819" s="2199" t="e">
        <f t="shared" si="509"/>
        <v>#N/A</v>
      </c>
      <c r="P1819" s="2199" t="e">
        <f t="shared" si="509"/>
        <v>#N/A</v>
      </c>
      <c r="Q1819" s="2199" t="e">
        <f t="shared" si="509"/>
        <v>#N/A</v>
      </c>
      <c r="R1819" s="2199" t="e">
        <f t="shared" si="509"/>
        <v>#N/A</v>
      </c>
      <c r="S1819" s="2199" t="e">
        <f t="shared" si="509"/>
        <v>#N/A</v>
      </c>
      <c r="T1819" s="2199" t="e">
        <f t="shared" si="509"/>
        <v>#N/A</v>
      </c>
      <c r="U1819" s="2199" t="e">
        <f t="shared" si="509"/>
        <v>#N/A</v>
      </c>
      <c r="V1819" s="2199" t="e">
        <f t="shared" si="509"/>
        <v>#N/A</v>
      </c>
      <c r="W1819" s="1479"/>
      <c r="X1819" s="255"/>
      <c r="Y1819" s="89"/>
      <c r="Z1819" s="2060"/>
      <c r="AA1819" s="2060"/>
      <c r="AB1819" s="2060"/>
      <c r="AC1819" s="2060"/>
      <c r="AD1819" s="2060"/>
      <c r="AE1819" s="2060"/>
      <c r="AF1819" s="2060"/>
      <c r="AG1819" s="1530"/>
      <c r="AH1819" s="1530"/>
      <c r="AI1819" s="1530"/>
      <c r="AJ1819" s="1530"/>
      <c r="AK1819" s="1530"/>
      <c r="AL1819" s="1530"/>
      <c r="AM1819" s="1530"/>
      <c r="AN1819" s="1530"/>
      <c r="AO1819" s="1530"/>
      <c r="AP1819" s="1530"/>
      <c r="AQ1819" s="1530"/>
      <c r="AR1819" s="1530"/>
      <c r="AS1819" s="1530"/>
      <c r="AT1819" s="1530"/>
      <c r="AU1819" s="1530"/>
      <c r="AV1819" s="1530"/>
      <c r="AW1819" s="1530"/>
      <c r="AX1819" s="1530"/>
      <c r="AY1819" s="1530"/>
      <c r="AZ1819" s="1530"/>
      <c r="BA1819" s="1530"/>
      <c r="BB1819" s="1530"/>
      <c r="BC1819" s="1530"/>
      <c r="BD1819" s="1530"/>
      <c r="BE1819" s="1530"/>
      <c r="BF1819" s="1530"/>
      <c r="BG1819" s="1530"/>
      <c r="BH1819" s="1530"/>
      <c r="BI1819" s="1530"/>
      <c r="BJ1819" s="1530"/>
      <c r="BK1819" s="1530"/>
      <c r="BL1819" s="1530"/>
      <c r="BM1819" s="1530"/>
      <c r="BN1819" s="1530"/>
      <c r="BO1819" s="1530"/>
      <c r="BP1819" s="1530"/>
      <c r="BQ1819" s="1530"/>
      <c r="BR1819" s="1530"/>
      <c r="BS1819" s="1530"/>
      <c r="BT1819" s="1530"/>
      <c r="BU1819" s="1530"/>
      <c r="BV1819" s="1530"/>
      <c r="BW1819" s="1530"/>
      <c r="BX1819" s="1530"/>
      <c r="BY1819" s="1530"/>
      <c r="BZ1819" s="1530"/>
      <c r="CA1819" s="1530"/>
      <c r="CB1819" s="1530"/>
      <c r="CC1819" s="1530"/>
      <c r="CD1819" s="1530"/>
      <c r="CE1819" s="1530"/>
      <c r="CF1819" s="1530"/>
      <c r="CG1819" s="1530"/>
      <c r="CH1819" s="1530"/>
      <c r="CI1819" s="1530"/>
      <c r="CJ1819" s="1530"/>
      <c r="CK1819" s="1530"/>
      <c r="CL1819" s="1530"/>
      <c r="CM1819" s="1530"/>
      <c r="CN1819" s="1530"/>
      <c r="CO1819" s="1530"/>
      <c r="CP1819" s="1530"/>
      <c r="CQ1819" s="1530"/>
      <c r="CR1819" s="1530"/>
      <c r="CS1819" s="1530"/>
      <c r="CT1819" s="1530"/>
      <c r="CU1819" s="1530"/>
      <c r="CV1819" s="1530"/>
      <c r="CW1819" s="1530"/>
      <c r="CX1819" s="1530"/>
      <c r="CY1819" s="1530"/>
      <c r="CZ1819" s="1530"/>
      <c r="DA1819" s="1530"/>
      <c r="DB1819" s="1530"/>
      <c r="DC1819" s="1530"/>
      <c r="DD1819" s="1530"/>
      <c r="DE1819" s="1530"/>
      <c r="DF1819" s="1530"/>
      <c r="DG1819" s="1530"/>
      <c r="DH1819" s="1530"/>
      <c r="DI1819" s="1530"/>
      <c r="DJ1819" s="1530"/>
      <c r="DK1819" s="1530"/>
      <c r="DL1819" s="1530"/>
      <c r="DM1819" s="1530"/>
      <c r="DN1819" s="1530"/>
      <c r="DO1819" s="1530"/>
      <c r="DP1819" s="1530"/>
      <c r="DQ1819" s="1530"/>
      <c r="DR1819" s="1530"/>
      <c r="DS1819" s="1530"/>
      <c r="DT1819" s="1530"/>
      <c r="DU1819" s="1530"/>
      <c r="DV1819" s="1530"/>
      <c r="DW1819" s="1530"/>
      <c r="DX1819" s="1530"/>
      <c r="DY1819" s="1530"/>
      <c r="DZ1819" s="1530"/>
      <c r="EA1819" s="1530"/>
      <c r="EB1819" s="1530"/>
      <c r="EC1819" s="1530"/>
      <c r="ED1819" s="1530"/>
      <c r="EE1819" s="1530"/>
      <c r="EF1819" s="1530"/>
      <c r="EG1819" s="1530"/>
      <c r="EH1819" s="1530"/>
      <c r="EI1819" s="1530"/>
      <c r="EJ1819" s="1530"/>
      <c r="EK1819" s="1530"/>
      <c r="EL1819" s="1530"/>
      <c r="EM1819" s="1530"/>
      <c r="EN1819" s="1530"/>
      <c r="EO1819" s="1530"/>
      <c r="EP1819" s="1530"/>
      <c r="EQ1819" s="1530"/>
      <c r="ER1819" s="1530"/>
      <c r="ES1819" s="1530"/>
      <c r="ET1819" s="1530"/>
      <c r="EU1819" s="1530"/>
      <c r="EV1819" s="1530"/>
      <c r="EW1819" s="1530"/>
      <c r="EX1819" s="1530"/>
      <c r="EY1819" s="1530"/>
      <c r="EZ1819" s="1530"/>
      <c r="FA1819" s="1530"/>
      <c r="FB1819" s="1530"/>
      <c r="FC1819" s="1530"/>
      <c r="FD1819" s="1530"/>
      <c r="FE1819" s="1530"/>
      <c r="FF1819" s="1530"/>
      <c r="FG1819" s="1530"/>
      <c r="FH1819" s="1530"/>
      <c r="FI1819" s="1530"/>
      <c r="FJ1819" s="1530"/>
      <c r="FK1819" s="1530"/>
      <c r="FL1819" s="1530"/>
      <c r="FM1819" s="1530"/>
      <c r="FN1819" s="1530"/>
      <c r="FO1819" s="1530"/>
      <c r="FP1819" s="1530"/>
      <c r="FQ1819" s="1530"/>
      <c r="FR1819" s="1530"/>
      <c r="FS1819" s="1530"/>
      <c r="FT1819" s="1530"/>
      <c r="FU1819" s="1530"/>
      <c r="FV1819" s="1530"/>
      <c r="FW1819" s="1530"/>
      <c r="FX1819" s="1530"/>
      <c r="FY1819" s="1530"/>
      <c r="FZ1819" s="1530"/>
      <c r="GA1819" s="1530"/>
      <c r="GB1819" s="1530"/>
      <c r="GC1819" s="1530"/>
      <c r="GD1819" s="1530"/>
      <c r="GE1819" s="1530"/>
      <c r="GF1819" s="1530"/>
      <c r="GG1819" s="1530"/>
      <c r="GH1819" s="1530"/>
      <c r="GI1819" s="1530"/>
      <c r="GJ1819" s="1530"/>
      <c r="GK1819" s="1530"/>
      <c r="GL1819" s="1530"/>
      <c r="GM1819" s="1530"/>
      <c r="GN1819" s="1530"/>
      <c r="GO1819" s="1530"/>
      <c r="GP1819" s="1530"/>
      <c r="GQ1819" s="1530"/>
      <c r="GR1819" s="1530"/>
      <c r="GS1819" s="1530"/>
      <c r="GT1819" s="1530"/>
      <c r="GU1819" s="1530"/>
      <c r="GV1819" s="1530"/>
      <c r="GW1819" s="1530"/>
      <c r="GX1819" s="1530"/>
      <c r="GY1819" s="1530"/>
      <c r="GZ1819" s="1530"/>
      <c r="HA1819" s="1530"/>
      <c r="HB1819" s="1530"/>
      <c r="HC1819" s="1530"/>
      <c r="HD1819" s="1530"/>
      <c r="HE1819" s="1530"/>
      <c r="HF1819" s="1530"/>
      <c r="HG1819" s="1530"/>
      <c r="HH1819" s="1530"/>
      <c r="HI1819" s="1530"/>
      <c r="HJ1819" s="1530"/>
      <c r="HK1819" s="1530"/>
      <c r="HL1819" s="1530"/>
      <c r="HM1819" s="1530"/>
      <c r="HN1819" s="1530"/>
      <c r="HO1819" s="1530"/>
      <c r="HP1819" s="1530"/>
      <c r="HQ1819" s="1530"/>
      <c r="HR1819" s="1530"/>
      <c r="HS1819" s="1530"/>
      <c r="HT1819" s="1530"/>
      <c r="HU1819" s="1530"/>
      <c r="HV1819" s="1530"/>
      <c r="HW1819" s="1530"/>
      <c r="HX1819" s="1530"/>
      <c r="HY1819" s="1530"/>
      <c r="HZ1819" s="1530"/>
      <c r="IA1819" s="1530"/>
      <c r="IB1819" s="1530"/>
      <c r="IC1819" s="1530"/>
      <c r="ID1819" s="1530"/>
      <c r="IE1819" s="1530"/>
      <c r="IF1819" s="1530"/>
      <c r="IG1819" s="1530"/>
      <c r="IH1819" s="1530"/>
      <c r="II1819" s="1530"/>
      <c r="IJ1819" s="1530"/>
      <c r="IK1819" s="1530"/>
      <c r="IL1819" s="1530"/>
      <c r="IM1819" s="1530"/>
      <c r="IN1819" s="1530"/>
      <c r="IO1819" s="1530"/>
      <c r="IP1819" s="1530"/>
      <c r="IQ1819" s="1530"/>
      <c r="IR1819" s="1530"/>
      <c r="IS1819" s="1530"/>
      <c r="IT1819" s="1530"/>
      <c r="IU1819" s="1530"/>
      <c r="IV1819" s="1530"/>
      <c r="IW1819" s="1530"/>
      <c r="IX1819" s="1530"/>
      <c r="IY1819" s="1530"/>
      <c r="IZ1819" s="1530"/>
      <c r="JA1819" s="1530"/>
      <c r="JB1819" s="1530"/>
      <c r="JC1819" s="1530"/>
      <c r="JD1819" s="1530"/>
      <c r="JE1819" s="1530"/>
      <c r="JF1819" s="1530"/>
      <c r="JG1819" s="1530"/>
      <c r="JH1819" s="1530"/>
      <c r="JI1819" s="1530"/>
      <c r="JJ1819" s="1530"/>
      <c r="JK1819" s="1530"/>
      <c r="JL1819" s="1530"/>
      <c r="JM1819" s="1530"/>
      <c r="JN1819" s="1530"/>
      <c r="JO1819" s="1530"/>
      <c r="JP1819" s="1530"/>
      <c r="JQ1819" s="1530"/>
      <c r="JR1819" s="1530"/>
      <c r="JS1819" s="1530"/>
      <c r="JT1819" s="1530"/>
      <c r="JU1819" s="1530"/>
      <c r="JV1819" s="1530"/>
      <c r="JW1819" s="1530"/>
      <c r="JX1819" s="1530"/>
      <c r="JY1819" s="1530"/>
      <c r="JZ1819" s="1530"/>
      <c r="KA1819" s="1530"/>
      <c r="KB1819" s="1530"/>
      <c r="KC1819" s="1530"/>
      <c r="KD1819" s="1530"/>
      <c r="KE1819" s="1530"/>
      <c r="KF1819" s="1530"/>
      <c r="KG1819" s="1530"/>
      <c r="KH1819" s="1530"/>
      <c r="KI1819" s="1530"/>
      <c r="KJ1819" s="1530"/>
      <c r="KK1819" s="1530"/>
      <c r="KL1819" s="1530"/>
      <c r="KM1819" s="1530"/>
      <c r="KN1819" s="1530"/>
      <c r="KO1819" s="1530"/>
      <c r="KP1819" s="1530"/>
      <c r="KQ1819" s="1530"/>
      <c r="KR1819" s="1530"/>
      <c r="KS1819" s="1530"/>
      <c r="KT1819" s="1530"/>
      <c r="KU1819" s="1530"/>
      <c r="KV1819" s="1530"/>
      <c r="KW1819" s="1530"/>
      <c r="KX1819" s="1530"/>
      <c r="KY1819" s="1530"/>
      <c r="KZ1819" s="1530"/>
      <c r="LA1819" s="1530"/>
      <c r="LB1819" s="1530"/>
      <c r="LC1819" s="1530"/>
      <c r="LD1819" s="1530"/>
      <c r="LE1819" s="1530"/>
      <c r="LF1819" s="1530"/>
      <c r="LG1819" s="1530"/>
      <c r="LH1819" s="1530"/>
    </row>
    <row r="1820" spans="1:320" ht="12" customHeight="1">
      <c r="A1820" s="269" t="str">
        <f>IF(F1820="--","n","")</f>
        <v>n</v>
      </c>
      <c r="B1820" s="2060"/>
      <c r="C1820" s="2060"/>
      <c r="D1820" s="2060"/>
      <c r="E1820" s="1661">
        <v>1</v>
      </c>
      <c r="F1820" s="1353" t="str">
        <f>F$129</f>
        <v>--</v>
      </c>
      <c r="G1820" s="128">
        <f>G$129</f>
        <v>0</v>
      </c>
      <c r="H1820" s="128" t="str">
        <f>H$129</f>
        <v>--</v>
      </c>
      <c r="I1820" s="89"/>
      <c r="J1820" s="2200" t="e">
        <f t="shared" si="508"/>
        <v>#N/A</v>
      </c>
      <c r="K1820" s="2200" t="e">
        <f t="shared" si="508"/>
        <v>#N/A</v>
      </c>
      <c r="L1820" s="2200" t="e">
        <f t="shared" ref="L1820:V1820" si="510">IFERROR(L1675/L1791,NA())</f>
        <v>#N/A</v>
      </c>
      <c r="M1820" s="2200" t="e">
        <f t="shared" si="510"/>
        <v>#N/A</v>
      </c>
      <c r="N1820" s="2200" t="e">
        <f t="shared" si="510"/>
        <v>#N/A</v>
      </c>
      <c r="O1820" s="2200" t="e">
        <f t="shared" si="510"/>
        <v>#N/A</v>
      </c>
      <c r="P1820" s="2200" t="e">
        <f t="shared" si="510"/>
        <v>#N/A</v>
      </c>
      <c r="Q1820" s="2200" t="e">
        <f t="shared" si="510"/>
        <v>#N/A</v>
      </c>
      <c r="R1820" s="2200" t="e">
        <f t="shared" si="510"/>
        <v>#N/A</v>
      </c>
      <c r="S1820" s="2200" t="e">
        <f t="shared" si="510"/>
        <v>#N/A</v>
      </c>
      <c r="T1820" s="2200" t="e">
        <f t="shared" si="510"/>
        <v>#N/A</v>
      </c>
      <c r="U1820" s="2200" t="e">
        <f t="shared" si="510"/>
        <v>#N/A</v>
      </c>
      <c r="V1820" s="2200" t="e">
        <f t="shared" si="510"/>
        <v>#N/A</v>
      </c>
      <c r="W1820" s="1479"/>
      <c r="X1820" s="255"/>
      <c r="Y1820" s="89"/>
      <c r="Z1820" s="2060"/>
      <c r="AA1820" s="2060"/>
      <c r="AB1820" s="2060"/>
      <c r="AC1820" s="2060"/>
      <c r="AD1820" s="2060"/>
      <c r="AE1820" s="2060"/>
      <c r="AF1820" s="2060"/>
      <c r="AG1820" s="1530"/>
      <c r="AH1820" s="1530"/>
      <c r="AI1820" s="1530"/>
      <c r="AJ1820" s="1530"/>
      <c r="AK1820" s="1530"/>
      <c r="AL1820" s="1530"/>
      <c r="AM1820" s="1530"/>
      <c r="AN1820" s="1530"/>
      <c r="AO1820" s="1530"/>
      <c r="AP1820" s="1530"/>
      <c r="AQ1820" s="1530"/>
      <c r="AR1820" s="1530"/>
      <c r="AS1820" s="1530"/>
      <c r="AT1820" s="1530"/>
      <c r="AU1820" s="1530"/>
      <c r="AV1820" s="1530"/>
      <c r="AW1820" s="1530"/>
      <c r="AX1820" s="1530"/>
      <c r="AY1820" s="1530"/>
      <c r="AZ1820" s="1530"/>
      <c r="BA1820" s="1530"/>
      <c r="BB1820" s="1530"/>
      <c r="BC1820" s="1530"/>
      <c r="BD1820" s="1530"/>
      <c r="BE1820" s="1530"/>
      <c r="BF1820" s="1530"/>
      <c r="BG1820" s="1530"/>
      <c r="BH1820" s="1530"/>
      <c r="BI1820" s="1530"/>
      <c r="BJ1820" s="1530"/>
      <c r="BK1820" s="1530"/>
      <c r="BL1820" s="1530"/>
      <c r="BM1820" s="1530"/>
      <c r="BN1820" s="1530"/>
      <c r="BO1820" s="1530"/>
      <c r="BP1820" s="1530"/>
      <c r="BQ1820" s="1530"/>
      <c r="BR1820" s="1530"/>
      <c r="BS1820" s="1530"/>
      <c r="BT1820" s="1530"/>
      <c r="BU1820" s="1530"/>
      <c r="BV1820" s="1530"/>
      <c r="BW1820" s="1530"/>
      <c r="BX1820" s="1530"/>
      <c r="BY1820" s="1530"/>
      <c r="BZ1820" s="1530"/>
      <c r="CA1820" s="1530"/>
      <c r="CB1820" s="1530"/>
      <c r="CC1820" s="1530"/>
      <c r="CD1820" s="1530"/>
      <c r="CE1820" s="1530"/>
      <c r="CF1820" s="1530"/>
      <c r="CG1820" s="1530"/>
      <c r="CH1820" s="1530"/>
      <c r="CI1820" s="1530"/>
      <c r="CJ1820" s="1530"/>
      <c r="CK1820" s="1530"/>
      <c r="CL1820" s="1530"/>
      <c r="CM1820" s="1530"/>
      <c r="CN1820" s="1530"/>
      <c r="CO1820" s="1530"/>
      <c r="CP1820" s="1530"/>
      <c r="CQ1820" s="1530"/>
      <c r="CR1820" s="1530"/>
      <c r="CS1820" s="1530"/>
      <c r="CT1820" s="1530"/>
      <c r="CU1820" s="1530"/>
      <c r="CV1820" s="1530"/>
      <c r="CW1820" s="1530"/>
      <c r="CX1820" s="1530"/>
      <c r="CY1820" s="1530"/>
      <c r="CZ1820" s="1530"/>
      <c r="DA1820" s="1530"/>
      <c r="DB1820" s="1530"/>
      <c r="DC1820" s="1530"/>
      <c r="DD1820" s="1530"/>
      <c r="DE1820" s="1530"/>
      <c r="DF1820" s="1530"/>
      <c r="DG1820" s="1530"/>
      <c r="DH1820" s="1530"/>
      <c r="DI1820" s="1530"/>
      <c r="DJ1820" s="1530"/>
      <c r="DK1820" s="1530"/>
      <c r="DL1820" s="1530"/>
      <c r="DM1820" s="1530"/>
      <c r="DN1820" s="1530"/>
      <c r="DO1820" s="1530"/>
      <c r="DP1820" s="1530"/>
      <c r="DQ1820" s="1530"/>
      <c r="DR1820" s="1530"/>
      <c r="DS1820" s="1530"/>
      <c r="DT1820" s="1530"/>
      <c r="DU1820" s="1530"/>
      <c r="DV1820" s="1530"/>
      <c r="DW1820" s="1530"/>
      <c r="DX1820" s="1530"/>
      <c r="DY1820" s="1530"/>
      <c r="DZ1820" s="1530"/>
      <c r="EA1820" s="1530"/>
      <c r="EB1820" s="1530"/>
      <c r="EC1820" s="1530"/>
      <c r="ED1820" s="1530"/>
      <c r="EE1820" s="1530"/>
      <c r="EF1820" s="1530"/>
      <c r="EG1820" s="1530"/>
      <c r="EH1820" s="1530"/>
      <c r="EI1820" s="1530"/>
      <c r="EJ1820" s="1530"/>
      <c r="EK1820" s="1530"/>
      <c r="EL1820" s="1530"/>
      <c r="EM1820" s="1530"/>
      <c r="EN1820" s="1530"/>
      <c r="EO1820" s="1530"/>
      <c r="EP1820" s="1530"/>
      <c r="EQ1820" s="1530"/>
      <c r="ER1820" s="1530"/>
      <c r="ES1820" s="1530"/>
      <c r="ET1820" s="1530"/>
      <c r="EU1820" s="1530"/>
      <c r="EV1820" s="1530"/>
      <c r="EW1820" s="1530"/>
      <c r="EX1820" s="1530"/>
      <c r="EY1820" s="1530"/>
      <c r="EZ1820" s="1530"/>
      <c r="FA1820" s="1530"/>
      <c r="FB1820" s="1530"/>
      <c r="FC1820" s="1530"/>
      <c r="FD1820" s="1530"/>
      <c r="FE1820" s="1530"/>
      <c r="FF1820" s="1530"/>
      <c r="FG1820" s="1530"/>
      <c r="FH1820" s="1530"/>
      <c r="FI1820" s="1530"/>
      <c r="FJ1820" s="1530"/>
      <c r="FK1820" s="1530"/>
      <c r="FL1820" s="1530"/>
      <c r="FM1820" s="1530"/>
      <c r="FN1820" s="1530"/>
      <c r="FO1820" s="1530"/>
      <c r="FP1820" s="1530"/>
      <c r="FQ1820" s="1530"/>
      <c r="FR1820" s="1530"/>
      <c r="FS1820" s="1530"/>
      <c r="FT1820" s="1530"/>
      <c r="FU1820" s="1530"/>
      <c r="FV1820" s="1530"/>
      <c r="FW1820" s="1530"/>
      <c r="FX1820" s="1530"/>
      <c r="FY1820" s="1530"/>
      <c r="FZ1820" s="1530"/>
      <c r="GA1820" s="1530"/>
      <c r="GB1820" s="1530"/>
      <c r="GC1820" s="1530"/>
      <c r="GD1820" s="1530"/>
      <c r="GE1820" s="1530"/>
      <c r="GF1820" s="1530"/>
      <c r="GG1820" s="1530"/>
      <c r="GH1820" s="1530"/>
      <c r="GI1820" s="1530"/>
      <c r="GJ1820" s="1530"/>
      <c r="GK1820" s="1530"/>
      <c r="GL1820" s="1530"/>
      <c r="GM1820" s="1530"/>
      <c r="GN1820" s="1530"/>
      <c r="GO1820" s="1530"/>
      <c r="GP1820" s="1530"/>
      <c r="GQ1820" s="1530"/>
      <c r="GR1820" s="1530"/>
      <c r="GS1820" s="1530"/>
      <c r="GT1820" s="1530"/>
      <c r="GU1820" s="1530"/>
      <c r="GV1820" s="1530"/>
      <c r="GW1820" s="1530"/>
      <c r="GX1820" s="1530"/>
      <c r="GY1820" s="1530"/>
      <c r="GZ1820" s="1530"/>
      <c r="HA1820" s="1530"/>
      <c r="HB1820" s="1530"/>
      <c r="HC1820" s="1530"/>
      <c r="HD1820" s="1530"/>
      <c r="HE1820" s="1530"/>
      <c r="HF1820" s="1530"/>
      <c r="HG1820" s="1530"/>
      <c r="HH1820" s="1530"/>
      <c r="HI1820" s="1530"/>
      <c r="HJ1820" s="1530"/>
      <c r="HK1820" s="1530"/>
      <c r="HL1820" s="1530"/>
      <c r="HM1820" s="1530"/>
      <c r="HN1820" s="1530"/>
      <c r="HO1820" s="1530"/>
      <c r="HP1820" s="1530"/>
      <c r="HQ1820" s="1530"/>
      <c r="HR1820" s="1530"/>
      <c r="HS1820" s="1530"/>
      <c r="HT1820" s="1530"/>
      <c r="HU1820" s="1530"/>
      <c r="HV1820" s="1530"/>
      <c r="HW1820" s="1530"/>
      <c r="HX1820" s="1530"/>
      <c r="HY1820" s="1530"/>
      <c r="HZ1820" s="1530"/>
      <c r="IA1820" s="1530"/>
      <c r="IB1820" s="1530"/>
      <c r="IC1820" s="1530"/>
      <c r="ID1820" s="1530"/>
      <c r="IE1820" s="1530"/>
      <c r="IF1820" s="1530"/>
      <c r="IG1820" s="1530"/>
      <c r="IH1820" s="1530"/>
      <c r="II1820" s="1530"/>
      <c r="IJ1820" s="1530"/>
      <c r="IK1820" s="1530"/>
      <c r="IL1820" s="1530"/>
      <c r="IM1820" s="1530"/>
      <c r="IN1820" s="1530"/>
      <c r="IO1820" s="1530"/>
      <c r="IP1820" s="1530"/>
      <c r="IQ1820" s="1530"/>
      <c r="IR1820" s="1530"/>
      <c r="IS1820" s="1530"/>
      <c r="IT1820" s="1530"/>
      <c r="IU1820" s="1530"/>
      <c r="IV1820" s="1530"/>
      <c r="IW1820" s="1530"/>
      <c r="IX1820" s="1530"/>
      <c r="IY1820" s="1530"/>
      <c r="IZ1820" s="1530"/>
      <c r="JA1820" s="1530"/>
      <c r="JB1820" s="1530"/>
      <c r="JC1820" s="1530"/>
      <c r="JD1820" s="1530"/>
      <c r="JE1820" s="1530"/>
      <c r="JF1820" s="1530"/>
      <c r="JG1820" s="1530"/>
      <c r="JH1820" s="1530"/>
      <c r="JI1820" s="1530"/>
      <c r="JJ1820" s="1530"/>
      <c r="JK1820" s="1530"/>
      <c r="JL1820" s="1530"/>
      <c r="JM1820" s="1530"/>
      <c r="JN1820" s="1530"/>
      <c r="JO1820" s="1530"/>
      <c r="JP1820" s="1530"/>
      <c r="JQ1820" s="1530"/>
      <c r="JR1820" s="1530"/>
      <c r="JS1820" s="1530"/>
      <c r="JT1820" s="1530"/>
      <c r="JU1820" s="1530"/>
      <c r="JV1820" s="1530"/>
      <c r="JW1820" s="1530"/>
      <c r="JX1820" s="1530"/>
      <c r="JY1820" s="1530"/>
      <c r="JZ1820" s="1530"/>
      <c r="KA1820" s="1530"/>
      <c r="KB1820" s="1530"/>
      <c r="KC1820" s="1530"/>
      <c r="KD1820" s="1530"/>
      <c r="KE1820" s="1530"/>
      <c r="KF1820" s="1530"/>
      <c r="KG1820" s="1530"/>
      <c r="KH1820" s="1530"/>
      <c r="KI1820" s="1530"/>
      <c r="KJ1820" s="1530"/>
      <c r="KK1820" s="1530"/>
      <c r="KL1820" s="1530"/>
      <c r="KM1820" s="1530"/>
      <c r="KN1820" s="1530"/>
      <c r="KO1820" s="1530"/>
      <c r="KP1820" s="1530"/>
      <c r="KQ1820" s="1530"/>
      <c r="KR1820" s="1530"/>
      <c r="KS1820" s="1530"/>
      <c r="KT1820" s="1530"/>
      <c r="KU1820" s="1530"/>
      <c r="KV1820" s="1530"/>
      <c r="KW1820" s="1530"/>
      <c r="KX1820" s="1530"/>
      <c r="KY1820" s="1530"/>
      <c r="KZ1820" s="1530"/>
      <c r="LA1820" s="1530"/>
      <c r="LB1820" s="1530"/>
      <c r="LC1820" s="1530"/>
      <c r="LD1820" s="1530"/>
      <c r="LE1820" s="1530"/>
      <c r="LF1820" s="1530"/>
      <c r="LG1820" s="1530"/>
      <c r="LH1820" s="1530"/>
    </row>
    <row r="1821" spans="1:320" ht="12" customHeight="1">
      <c r="A1821" s="269" t="str">
        <f t="shared" ref="A1821:A1844" si="511">IF(F1821="--","n","")</f>
        <v>n</v>
      </c>
      <c r="B1821" s="2060"/>
      <c r="C1821" s="2060"/>
      <c r="D1821" s="2060"/>
      <c r="E1821" s="1661">
        <v>2</v>
      </c>
      <c r="F1821" s="1353" t="str">
        <f>F$130</f>
        <v>--</v>
      </c>
      <c r="G1821" s="128">
        <f>G$130</f>
        <v>0</v>
      </c>
      <c r="H1821" s="128" t="str">
        <f>H$130</f>
        <v>--</v>
      </c>
      <c r="I1821" s="89"/>
      <c r="J1821" s="2200" t="e">
        <f t="shared" si="508"/>
        <v>#N/A</v>
      </c>
      <c r="K1821" s="2200" t="e">
        <f t="shared" si="508"/>
        <v>#N/A</v>
      </c>
      <c r="L1821" s="2200" t="e">
        <f t="shared" ref="L1821:V1821" si="512">IFERROR(L1676/L1792,NA())</f>
        <v>#N/A</v>
      </c>
      <c r="M1821" s="2200" t="e">
        <f t="shared" si="512"/>
        <v>#N/A</v>
      </c>
      <c r="N1821" s="2200" t="e">
        <f t="shared" si="512"/>
        <v>#N/A</v>
      </c>
      <c r="O1821" s="2200" t="e">
        <f t="shared" si="512"/>
        <v>#N/A</v>
      </c>
      <c r="P1821" s="2200" t="e">
        <f t="shared" si="512"/>
        <v>#N/A</v>
      </c>
      <c r="Q1821" s="2200" t="e">
        <f t="shared" si="512"/>
        <v>#N/A</v>
      </c>
      <c r="R1821" s="2200" t="e">
        <f t="shared" si="512"/>
        <v>#N/A</v>
      </c>
      <c r="S1821" s="2200" t="e">
        <f t="shared" si="512"/>
        <v>#N/A</v>
      </c>
      <c r="T1821" s="2200" t="e">
        <f t="shared" si="512"/>
        <v>#N/A</v>
      </c>
      <c r="U1821" s="2200" t="e">
        <f t="shared" si="512"/>
        <v>#N/A</v>
      </c>
      <c r="V1821" s="2200" t="e">
        <f t="shared" si="512"/>
        <v>#N/A</v>
      </c>
      <c r="W1821" s="1479"/>
      <c r="X1821" s="255"/>
      <c r="Y1821" s="89"/>
      <c r="Z1821" s="2060"/>
      <c r="AA1821" s="2060"/>
      <c r="AB1821" s="2060"/>
      <c r="AC1821" s="2060"/>
      <c r="AD1821" s="2060"/>
      <c r="AE1821" s="2060"/>
      <c r="AF1821" s="2060"/>
      <c r="AG1821" s="1530"/>
      <c r="AH1821" s="1530"/>
      <c r="AI1821" s="1530"/>
      <c r="AJ1821" s="1530"/>
      <c r="AK1821" s="1530"/>
      <c r="AL1821" s="1530"/>
      <c r="AM1821" s="1530"/>
      <c r="AN1821" s="1530"/>
      <c r="AO1821" s="1530"/>
      <c r="AP1821" s="1530"/>
      <c r="AQ1821" s="1530"/>
      <c r="AR1821" s="1530"/>
      <c r="AS1821" s="1530"/>
      <c r="AT1821" s="1530"/>
      <c r="AU1821" s="1530"/>
      <c r="AV1821" s="1530"/>
      <c r="AW1821" s="1530"/>
      <c r="AX1821" s="1530"/>
      <c r="AY1821" s="1530"/>
      <c r="AZ1821" s="1530"/>
      <c r="BA1821" s="1530"/>
      <c r="BB1821" s="1530"/>
      <c r="BC1821" s="1530"/>
      <c r="BD1821" s="1530"/>
      <c r="BE1821" s="1530"/>
      <c r="BF1821" s="1530"/>
      <c r="BG1821" s="1530"/>
      <c r="BH1821" s="1530"/>
      <c r="BI1821" s="1530"/>
      <c r="BJ1821" s="1530"/>
      <c r="BK1821" s="1530"/>
      <c r="BL1821" s="1530"/>
      <c r="BM1821" s="1530"/>
      <c r="BN1821" s="1530"/>
      <c r="BO1821" s="1530"/>
      <c r="BP1821" s="1530"/>
      <c r="BQ1821" s="1530"/>
      <c r="BR1821" s="1530"/>
      <c r="BS1821" s="1530"/>
      <c r="BT1821" s="1530"/>
      <c r="BU1821" s="1530"/>
      <c r="BV1821" s="1530"/>
      <c r="BW1821" s="1530"/>
      <c r="BX1821" s="1530"/>
      <c r="BY1821" s="1530"/>
      <c r="BZ1821" s="1530"/>
      <c r="CA1821" s="1530"/>
      <c r="CB1821" s="1530"/>
      <c r="CC1821" s="1530"/>
      <c r="CD1821" s="1530"/>
      <c r="CE1821" s="1530"/>
      <c r="CF1821" s="1530"/>
      <c r="CG1821" s="1530"/>
      <c r="CH1821" s="1530"/>
      <c r="CI1821" s="1530"/>
      <c r="CJ1821" s="1530"/>
      <c r="CK1821" s="1530"/>
      <c r="CL1821" s="1530"/>
      <c r="CM1821" s="1530"/>
      <c r="CN1821" s="1530"/>
      <c r="CO1821" s="1530"/>
      <c r="CP1821" s="1530"/>
      <c r="CQ1821" s="1530"/>
      <c r="CR1821" s="1530"/>
      <c r="CS1821" s="1530"/>
      <c r="CT1821" s="1530"/>
      <c r="CU1821" s="1530"/>
      <c r="CV1821" s="1530"/>
      <c r="CW1821" s="1530"/>
      <c r="CX1821" s="1530"/>
      <c r="CY1821" s="1530"/>
      <c r="CZ1821" s="1530"/>
      <c r="DA1821" s="1530"/>
      <c r="DB1821" s="1530"/>
      <c r="DC1821" s="1530"/>
      <c r="DD1821" s="1530"/>
      <c r="DE1821" s="1530"/>
      <c r="DF1821" s="1530"/>
      <c r="DG1821" s="1530"/>
      <c r="DH1821" s="1530"/>
      <c r="DI1821" s="1530"/>
      <c r="DJ1821" s="1530"/>
      <c r="DK1821" s="1530"/>
      <c r="DL1821" s="1530"/>
      <c r="DM1821" s="1530"/>
      <c r="DN1821" s="1530"/>
      <c r="DO1821" s="1530"/>
      <c r="DP1821" s="1530"/>
      <c r="DQ1821" s="1530"/>
      <c r="DR1821" s="1530"/>
      <c r="DS1821" s="1530"/>
      <c r="DT1821" s="1530"/>
      <c r="DU1821" s="1530"/>
      <c r="DV1821" s="1530"/>
      <c r="DW1821" s="1530"/>
      <c r="DX1821" s="1530"/>
      <c r="DY1821" s="1530"/>
      <c r="DZ1821" s="1530"/>
      <c r="EA1821" s="1530"/>
      <c r="EB1821" s="1530"/>
      <c r="EC1821" s="1530"/>
      <c r="ED1821" s="1530"/>
      <c r="EE1821" s="1530"/>
      <c r="EF1821" s="1530"/>
      <c r="EG1821" s="1530"/>
      <c r="EH1821" s="1530"/>
      <c r="EI1821" s="1530"/>
      <c r="EJ1821" s="1530"/>
      <c r="EK1821" s="1530"/>
      <c r="EL1821" s="1530"/>
      <c r="EM1821" s="1530"/>
      <c r="EN1821" s="1530"/>
      <c r="EO1821" s="1530"/>
      <c r="EP1821" s="1530"/>
      <c r="EQ1821" s="1530"/>
      <c r="ER1821" s="1530"/>
      <c r="ES1821" s="1530"/>
      <c r="ET1821" s="1530"/>
      <c r="EU1821" s="1530"/>
      <c r="EV1821" s="1530"/>
      <c r="EW1821" s="1530"/>
      <c r="EX1821" s="1530"/>
      <c r="EY1821" s="1530"/>
      <c r="EZ1821" s="1530"/>
      <c r="FA1821" s="1530"/>
      <c r="FB1821" s="1530"/>
      <c r="FC1821" s="1530"/>
      <c r="FD1821" s="1530"/>
      <c r="FE1821" s="1530"/>
      <c r="FF1821" s="1530"/>
      <c r="FG1821" s="1530"/>
      <c r="FH1821" s="1530"/>
      <c r="FI1821" s="1530"/>
      <c r="FJ1821" s="1530"/>
      <c r="FK1821" s="1530"/>
      <c r="FL1821" s="1530"/>
      <c r="FM1821" s="1530"/>
      <c r="FN1821" s="1530"/>
      <c r="FO1821" s="1530"/>
      <c r="FP1821" s="1530"/>
      <c r="FQ1821" s="1530"/>
      <c r="FR1821" s="1530"/>
      <c r="FS1821" s="1530"/>
      <c r="FT1821" s="1530"/>
      <c r="FU1821" s="1530"/>
      <c r="FV1821" s="1530"/>
      <c r="FW1821" s="1530"/>
      <c r="FX1821" s="1530"/>
      <c r="FY1821" s="1530"/>
      <c r="FZ1821" s="1530"/>
      <c r="GA1821" s="1530"/>
      <c r="GB1821" s="1530"/>
      <c r="GC1821" s="1530"/>
      <c r="GD1821" s="1530"/>
      <c r="GE1821" s="1530"/>
      <c r="GF1821" s="1530"/>
      <c r="GG1821" s="1530"/>
      <c r="GH1821" s="1530"/>
      <c r="GI1821" s="1530"/>
      <c r="GJ1821" s="1530"/>
      <c r="GK1821" s="1530"/>
      <c r="GL1821" s="1530"/>
      <c r="GM1821" s="1530"/>
      <c r="GN1821" s="1530"/>
      <c r="GO1821" s="1530"/>
      <c r="GP1821" s="1530"/>
      <c r="GQ1821" s="1530"/>
      <c r="GR1821" s="1530"/>
      <c r="GS1821" s="1530"/>
      <c r="GT1821" s="1530"/>
      <c r="GU1821" s="1530"/>
      <c r="GV1821" s="1530"/>
      <c r="GW1821" s="1530"/>
      <c r="GX1821" s="1530"/>
      <c r="GY1821" s="1530"/>
      <c r="GZ1821" s="1530"/>
      <c r="HA1821" s="1530"/>
      <c r="HB1821" s="1530"/>
      <c r="HC1821" s="1530"/>
      <c r="HD1821" s="1530"/>
      <c r="HE1821" s="1530"/>
      <c r="HF1821" s="1530"/>
      <c r="HG1821" s="1530"/>
      <c r="HH1821" s="1530"/>
      <c r="HI1821" s="1530"/>
      <c r="HJ1821" s="1530"/>
      <c r="HK1821" s="1530"/>
      <c r="HL1821" s="1530"/>
      <c r="HM1821" s="1530"/>
      <c r="HN1821" s="1530"/>
      <c r="HO1821" s="1530"/>
      <c r="HP1821" s="1530"/>
      <c r="HQ1821" s="1530"/>
      <c r="HR1821" s="1530"/>
      <c r="HS1821" s="1530"/>
      <c r="HT1821" s="1530"/>
      <c r="HU1821" s="1530"/>
      <c r="HV1821" s="1530"/>
      <c r="HW1821" s="1530"/>
      <c r="HX1821" s="1530"/>
      <c r="HY1821" s="1530"/>
      <c r="HZ1821" s="1530"/>
      <c r="IA1821" s="1530"/>
      <c r="IB1821" s="1530"/>
      <c r="IC1821" s="1530"/>
      <c r="ID1821" s="1530"/>
      <c r="IE1821" s="1530"/>
      <c r="IF1821" s="1530"/>
      <c r="IG1821" s="1530"/>
      <c r="IH1821" s="1530"/>
      <c r="II1821" s="1530"/>
      <c r="IJ1821" s="1530"/>
      <c r="IK1821" s="1530"/>
      <c r="IL1821" s="1530"/>
      <c r="IM1821" s="1530"/>
      <c r="IN1821" s="1530"/>
      <c r="IO1821" s="1530"/>
      <c r="IP1821" s="1530"/>
      <c r="IQ1821" s="1530"/>
      <c r="IR1821" s="1530"/>
      <c r="IS1821" s="1530"/>
      <c r="IT1821" s="1530"/>
      <c r="IU1821" s="1530"/>
      <c r="IV1821" s="1530"/>
      <c r="IW1821" s="1530"/>
      <c r="IX1821" s="1530"/>
      <c r="IY1821" s="1530"/>
      <c r="IZ1821" s="1530"/>
      <c r="JA1821" s="1530"/>
      <c r="JB1821" s="1530"/>
      <c r="JC1821" s="1530"/>
      <c r="JD1821" s="1530"/>
      <c r="JE1821" s="1530"/>
      <c r="JF1821" s="1530"/>
      <c r="JG1821" s="1530"/>
      <c r="JH1821" s="1530"/>
      <c r="JI1821" s="1530"/>
      <c r="JJ1821" s="1530"/>
      <c r="JK1821" s="1530"/>
      <c r="JL1821" s="1530"/>
      <c r="JM1821" s="1530"/>
      <c r="JN1821" s="1530"/>
      <c r="JO1821" s="1530"/>
      <c r="JP1821" s="1530"/>
      <c r="JQ1821" s="1530"/>
      <c r="JR1821" s="1530"/>
      <c r="JS1821" s="1530"/>
      <c r="JT1821" s="1530"/>
      <c r="JU1821" s="1530"/>
      <c r="JV1821" s="1530"/>
      <c r="JW1821" s="1530"/>
      <c r="JX1821" s="1530"/>
      <c r="JY1821" s="1530"/>
      <c r="JZ1821" s="1530"/>
      <c r="KA1821" s="1530"/>
      <c r="KB1821" s="1530"/>
      <c r="KC1821" s="1530"/>
      <c r="KD1821" s="1530"/>
      <c r="KE1821" s="1530"/>
      <c r="KF1821" s="1530"/>
      <c r="KG1821" s="1530"/>
      <c r="KH1821" s="1530"/>
      <c r="KI1821" s="1530"/>
      <c r="KJ1821" s="1530"/>
      <c r="KK1821" s="1530"/>
      <c r="KL1821" s="1530"/>
      <c r="KM1821" s="1530"/>
      <c r="KN1821" s="1530"/>
      <c r="KO1821" s="1530"/>
      <c r="KP1821" s="1530"/>
      <c r="KQ1821" s="1530"/>
      <c r="KR1821" s="1530"/>
      <c r="KS1821" s="1530"/>
      <c r="KT1821" s="1530"/>
      <c r="KU1821" s="1530"/>
      <c r="KV1821" s="1530"/>
      <c r="KW1821" s="1530"/>
      <c r="KX1821" s="1530"/>
      <c r="KY1821" s="1530"/>
      <c r="KZ1821" s="1530"/>
      <c r="LA1821" s="1530"/>
      <c r="LB1821" s="1530"/>
      <c r="LC1821" s="1530"/>
      <c r="LD1821" s="1530"/>
      <c r="LE1821" s="1530"/>
      <c r="LF1821" s="1530"/>
      <c r="LG1821" s="1530"/>
      <c r="LH1821" s="1530"/>
    </row>
    <row r="1822" spans="1:320" ht="12" customHeight="1">
      <c r="A1822" s="269" t="str">
        <f t="shared" si="511"/>
        <v>n</v>
      </c>
      <c r="B1822" s="2060"/>
      <c r="C1822" s="2060"/>
      <c r="D1822" s="2060"/>
      <c r="E1822" s="1661">
        <v>3</v>
      </c>
      <c r="F1822" s="1353" t="str">
        <f>F$131</f>
        <v>--</v>
      </c>
      <c r="G1822" s="128">
        <f>G$131</f>
        <v>0</v>
      </c>
      <c r="H1822" s="128" t="str">
        <f>H$131</f>
        <v>--</v>
      </c>
      <c r="I1822" s="89"/>
      <c r="J1822" s="2200" t="e">
        <f t="shared" si="508"/>
        <v>#N/A</v>
      </c>
      <c r="K1822" s="2200" t="e">
        <f t="shared" si="508"/>
        <v>#N/A</v>
      </c>
      <c r="L1822" s="2200" t="e">
        <f t="shared" ref="L1822:V1822" si="513">IFERROR(L1677/L1793,NA())</f>
        <v>#N/A</v>
      </c>
      <c r="M1822" s="2200" t="e">
        <f t="shared" si="513"/>
        <v>#N/A</v>
      </c>
      <c r="N1822" s="2200" t="e">
        <f t="shared" si="513"/>
        <v>#N/A</v>
      </c>
      <c r="O1822" s="2200" t="e">
        <f t="shared" si="513"/>
        <v>#N/A</v>
      </c>
      <c r="P1822" s="2200" t="e">
        <f t="shared" si="513"/>
        <v>#N/A</v>
      </c>
      <c r="Q1822" s="2200" t="e">
        <f t="shared" si="513"/>
        <v>#N/A</v>
      </c>
      <c r="R1822" s="2200" t="e">
        <f t="shared" si="513"/>
        <v>#N/A</v>
      </c>
      <c r="S1822" s="2200" t="e">
        <f t="shared" si="513"/>
        <v>#N/A</v>
      </c>
      <c r="T1822" s="2200" t="e">
        <f t="shared" si="513"/>
        <v>#N/A</v>
      </c>
      <c r="U1822" s="2200" t="e">
        <f t="shared" si="513"/>
        <v>#N/A</v>
      </c>
      <c r="V1822" s="2200" t="e">
        <f t="shared" si="513"/>
        <v>#N/A</v>
      </c>
      <c r="W1822" s="1479"/>
      <c r="X1822" s="255"/>
      <c r="Y1822" s="89"/>
      <c r="Z1822" s="2060"/>
      <c r="AA1822" s="2060"/>
      <c r="AB1822" s="2060"/>
      <c r="AC1822" s="2060"/>
      <c r="AD1822" s="2060"/>
      <c r="AE1822" s="2060"/>
      <c r="AF1822" s="2060"/>
      <c r="AG1822" s="1530"/>
      <c r="AH1822" s="1530"/>
      <c r="AI1822" s="1530"/>
      <c r="AJ1822" s="1530"/>
      <c r="AK1822" s="1530"/>
      <c r="AL1822" s="1530"/>
      <c r="AM1822" s="1530"/>
      <c r="AN1822" s="1530"/>
      <c r="AO1822" s="1530"/>
      <c r="AP1822" s="1530"/>
      <c r="AQ1822" s="1530"/>
      <c r="AR1822" s="1530"/>
      <c r="AS1822" s="1530"/>
      <c r="AT1822" s="1530"/>
      <c r="AU1822" s="1530"/>
      <c r="AV1822" s="1530"/>
      <c r="AW1822" s="1530"/>
      <c r="AX1822" s="1530"/>
      <c r="AY1822" s="1530"/>
      <c r="AZ1822" s="1530"/>
      <c r="BA1822" s="1530"/>
      <c r="BB1822" s="1530"/>
      <c r="BC1822" s="1530"/>
      <c r="BD1822" s="1530"/>
      <c r="BE1822" s="1530"/>
      <c r="BF1822" s="1530"/>
      <c r="BG1822" s="1530"/>
      <c r="BH1822" s="1530"/>
      <c r="BI1822" s="1530"/>
      <c r="BJ1822" s="1530"/>
      <c r="BK1822" s="1530"/>
      <c r="BL1822" s="1530"/>
      <c r="BM1822" s="1530"/>
      <c r="BN1822" s="1530"/>
      <c r="BO1822" s="1530"/>
      <c r="BP1822" s="1530"/>
      <c r="BQ1822" s="1530"/>
      <c r="BR1822" s="1530"/>
      <c r="BS1822" s="1530"/>
      <c r="BT1822" s="1530"/>
      <c r="BU1822" s="1530"/>
      <c r="BV1822" s="1530"/>
      <c r="BW1822" s="1530"/>
      <c r="BX1822" s="1530"/>
      <c r="BY1822" s="1530"/>
      <c r="BZ1822" s="1530"/>
      <c r="CA1822" s="1530"/>
      <c r="CB1822" s="1530"/>
      <c r="CC1822" s="1530"/>
      <c r="CD1822" s="1530"/>
      <c r="CE1822" s="1530"/>
      <c r="CF1822" s="1530"/>
      <c r="CG1822" s="1530"/>
      <c r="CH1822" s="1530"/>
      <c r="CI1822" s="1530"/>
      <c r="CJ1822" s="1530"/>
      <c r="CK1822" s="1530"/>
      <c r="CL1822" s="1530"/>
      <c r="CM1822" s="1530"/>
      <c r="CN1822" s="1530"/>
      <c r="CO1822" s="1530"/>
      <c r="CP1822" s="1530"/>
      <c r="CQ1822" s="1530"/>
      <c r="CR1822" s="1530"/>
      <c r="CS1822" s="1530"/>
      <c r="CT1822" s="1530"/>
      <c r="CU1822" s="1530"/>
      <c r="CV1822" s="1530"/>
      <c r="CW1822" s="1530"/>
      <c r="CX1822" s="1530"/>
      <c r="CY1822" s="1530"/>
      <c r="CZ1822" s="1530"/>
      <c r="DA1822" s="1530"/>
      <c r="DB1822" s="1530"/>
      <c r="DC1822" s="1530"/>
      <c r="DD1822" s="1530"/>
      <c r="DE1822" s="1530"/>
      <c r="DF1822" s="1530"/>
      <c r="DG1822" s="1530"/>
      <c r="DH1822" s="1530"/>
      <c r="DI1822" s="1530"/>
      <c r="DJ1822" s="1530"/>
      <c r="DK1822" s="1530"/>
      <c r="DL1822" s="1530"/>
      <c r="DM1822" s="1530"/>
      <c r="DN1822" s="1530"/>
      <c r="DO1822" s="1530"/>
      <c r="DP1822" s="1530"/>
      <c r="DQ1822" s="1530"/>
      <c r="DR1822" s="1530"/>
      <c r="DS1822" s="1530"/>
      <c r="DT1822" s="1530"/>
      <c r="DU1822" s="1530"/>
      <c r="DV1822" s="1530"/>
      <c r="DW1822" s="1530"/>
      <c r="DX1822" s="1530"/>
      <c r="DY1822" s="1530"/>
      <c r="DZ1822" s="1530"/>
      <c r="EA1822" s="1530"/>
      <c r="EB1822" s="1530"/>
      <c r="EC1822" s="1530"/>
      <c r="ED1822" s="1530"/>
      <c r="EE1822" s="1530"/>
      <c r="EF1822" s="1530"/>
      <c r="EG1822" s="1530"/>
      <c r="EH1822" s="1530"/>
      <c r="EI1822" s="1530"/>
      <c r="EJ1822" s="1530"/>
      <c r="EK1822" s="1530"/>
      <c r="EL1822" s="1530"/>
      <c r="EM1822" s="1530"/>
      <c r="EN1822" s="1530"/>
      <c r="EO1822" s="1530"/>
      <c r="EP1822" s="1530"/>
      <c r="EQ1822" s="1530"/>
      <c r="ER1822" s="1530"/>
      <c r="ES1822" s="1530"/>
      <c r="ET1822" s="1530"/>
      <c r="EU1822" s="1530"/>
      <c r="EV1822" s="1530"/>
      <c r="EW1822" s="1530"/>
      <c r="EX1822" s="1530"/>
      <c r="EY1822" s="1530"/>
      <c r="EZ1822" s="1530"/>
      <c r="FA1822" s="1530"/>
      <c r="FB1822" s="1530"/>
      <c r="FC1822" s="1530"/>
      <c r="FD1822" s="1530"/>
      <c r="FE1822" s="1530"/>
      <c r="FF1822" s="1530"/>
      <c r="FG1822" s="1530"/>
      <c r="FH1822" s="1530"/>
      <c r="FI1822" s="1530"/>
      <c r="FJ1822" s="1530"/>
      <c r="FK1822" s="1530"/>
      <c r="FL1822" s="1530"/>
      <c r="FM1822" s="1530"/>
      <c r="FN1822" s="1530"/>
      <c r="FO1822" s="1530"/>
      <c r="FP1822" s="1530"/>
      <c r="FQ1822" s="1530"/>
      <c r="FR1822" s="1530"/>
      <c r="FS1822" s="1530"/>
      <c r="FT1822" s="1530"/>
      <c r="FU1822" s="1530"/>
      <c r="FV1822" s="1530"/>
      <c r="FW1822" s="1530"/>
      <c r="FX1822" s="1530"/>
      <c r="FY1822" s="1530"/>
      <c r="FZ1822" s="1530"/>
      <c r="GA1822" s="1530"/>
      <c r="GB1822" s="1530"/>
      <c r="GC1822" s="1530"/>
      <c r="GD1822" s="1530"/>
      <c r="GE1822" s="1530"/>
      <c r="GF1822" s="1530"/>
      <c r="GG1822" s="1530"/>
      <c r="GH1822" s="1530"/>
      <c r="GI1822" s="1530"/>
      <c r="GJ1822" s="1530"/>
      <c r="GK1822" s="1530"/>
      <c r="GL1822" s="1530"/>
      <c r="GM1822" s="1530"/>
      <c r="GN1822" s="1530"/>
      <c r="GO1822" s="1530"/>
      <c r="GP1822" s="1530"/>
      <c r="GQ1822" s="1530"/>
      <c r="GR1822" s="1530"/>
      <c r="GS1822" s="1530"/>
      <c r="GT1822" s="1530"/>
      <c r="GU1822" s="1530"/>
      <c r="GV1822" s="1530"/>
      <c r="GW1822" s="1530"/>
      <c r="GX1822" s="1530"/>
      <c r="GY1822" s="1530"/>
      <c r="GZ1822" s="1530"/>
      <c r="HA1822" s="1530"/>
      <c r="HB1822" s="1530"/>
      <c r="HC1822" s="1530"/>
      <c r="HD1822" s="1530"/>
      <c r="HE1822" s="1530"/>
      <c r="HF1822" s="1530"/>
      <c r="HG1822" s="1530"/>
      <c r="HH1822" s="1530"/>
      <c r="HI1822" s="1530"/>
      <c r="HJ1822" s="1530"/>
      <c r="HK1822" s="1530"/>
      <c r="HL1822" s="1530"/>
      <c r="HM1822" s="1530"/>
      <c r="HN1822" s="1530"/>
      <c r="HO1822" s="1530"/>
      <c r="HP1822" s="1530"/>
      <c r="HQ1822" s="1530"/>
      <c r="HR1822" s="1530"/>
      <c r="HS1822" s="1530"/>
      <c r="HT1822" s="1530"/>
      <c r="HU1822" s="1530"/>
      <c r="HV1822" s="1530"/>
      <c r="HW1822" s="1530"/>
      <c r="HX1822" s="1530"/>
      <c r="HY1822" s="1530"/>
      <c r="HZ1822" s="1530"/>
      <c r="IA1822" s="1530"/>
      <c r="IB1822" s="1530"/>
      <c r="IC1822" s="1530"/>
      <c r="ID1822" s="1530"/>
      <c r="IE1822" s="1530"/>
      <c r="IF1822" s="1530"/>
      <c r="IG1822" s="1530"/>
      <c r="IH1822" s="1530"/>
      <c r="II1822" s="1530"/>
      <c r="IJ1822" s="1530"/>
      <c r="IK1822" s="1530"/>
      <c r="IL1822" s="1530"/>
      <c r="IM1822" s="1530"/>
      <c r="IN1822" s="1530"/>
      <c r="IO1822" s="1530"/>
      <c r="IP1822" s="1530"/>
      <c r="IQ1822" s="1530"/>
      <c r="IR1822" s="1530"/>
      <c r="IS1822" s="1530"/>
      <c r="IT1822" s="1530"/>
      <c r="IU1822" s="1530"/>
      <c r="IV1822" s="1530"/>
      <c r="IW1822" s="1530"/>
      <c r="IX1822" s="1530"/>
      <c r="IY1822" s="1530"/>
      <c r="IZ1822" s="1530"/>
      <c r="JA1822" s="1530"/>
      <c r="JB1822" s="1530"/>
      <c r="JC1822" s="1530"/>
      <c r="JD1822" s="1530"/>
      <c r="JE1822" s="1530"/>
      <c r="JF1822" s="1530"/>
      <c r="JG1822" s="1530"/>
      <c r="JH1822" s="1530"/>
      <c r="JI1822" s="1530"/>
      <c r="JJ1822" s="1530"/>
      <c r="JK1822" s="1530"/>
      <c r="JL1822" s="1530"/>
      <c r="JM1822" s="1530"/>
      <c r="JN1822" s="1530"/>
      <c r="JO1822" s="1530"/>
      <c r="JP1822" s="1530"/>
      <c r="JQ1822" s="1530"/>
      <c r="JR1822" s="1530"/>
      <c r="JS1822" s="1530"/>
      <c r="JT1822" s="1530"/>
      <c r="JU1822" s="1530"/>
      <c r="JV1822" s="1530"/>
      <c r="JW1822" s="1530"/>
      <c r="JX1822" s="1530"/>
      <c r="JY1822" s="1530"/>
      <c r="JZ1822" s="1530"/>
      <c r="KA1822" s="1530"/>
      <c r="KB1822" s="1530"/>
      <c r="KC1822" s="1530"/>
      <c r="KD1822" s="1530"/>
      <c r="KE1822" s="1530"/>
      <c r="KF1822" s="1530"/>
      <c r="KG1822" s="1530"/>
      <c r="KH1822" s="1530"/>
      <c r="KI1822" s="1530"/>
      <c r="KJ1822" s="1530"/>
      <c r="KK1822" s="1530"/>
      <c r="KL1822" s="1530"/>
      <c r="KM1822" s="1530"/>
      <c r="KN1822" s="1530"/>
      <c r="KO1822" s="1530"/>
      <c r="KP1822" s="1530"/>
      <c r="KQ1822" s="1530"/>
      <c r="KR1822" s="1530"/>
      <c r="KS1822" s="1530"/>
      <c r="KT1822" s="1530"/>
      <c r="KU1822" s="1530"/>
      <c r="KV1822" s="1530"/>
      <c r="KW1822" s="1530"/>
      <c r="KX1822" s="1530"/>
      <c r="KY1822" s="1530"/>
      <c r="KZ1822" s="1530"/>
      <c r="LA1822" s="1530"/>
      <c r="LB1822" s="1530"/>
      <c r="LC1822" s="1530"/>
      <c r="LD1822" s="1530"/>
      <c r="LE1822" s="1530"/>
      <c r="LF1822" s="1530"/>
      <c r="LG1822" s="1530"/>
      <c r="LH1822" s="1530"/>
    </row>
    <row r="1823" spans="1:320" ht="12" customHeight="1">
      <c r="A1823" s="269" t="str">
        <f t="shared" si="511"/>
        <v>n</v>
      </c>
      <c r="B1823" s="2060"/>
      <c r="C1823" s="2060"/>
      <c r="D1823" s="2060"/>
      <c r="E1823" s="1661">
        <v>4</v>
      </c>
      <c r="F1823" s="1353" t="str">
        <f>F$132</f>
        <v>--</v>
      </c>
      <c r="G1823" s="128">
        <f>G$132</f>
        <v>0</v>
      </c>
      <c r="H1823" s="128" t="str">
        <f>H$132</f>
        <v>--</v>
      </c>
      <c r="I1823" s="89"/>
      <c r="J1823" s="2200" t="e">
        <f t="shared" si="508"/>
        <v>#N/A</v>
      </c>
      <c r="K1823" s="2200" t="e">
        <f t="shared" si="508"/>
        <v>#N/A</v>
      </c>
      <c r="L1823" s="2200" t="e">
        <f t="shared" ref="L1823:V1823" si="514">IFERROR(L1678/L1794,NA())</f>
        <v>#N/A</v>
      </c>
      <c r="M1823" s="2200" t="e">
        <f t="shared" si="514"/>
        <v>#N/A</v>
      </c>
      <c r="N1823" s="2200" t="e">
        <f t="shared" si="514"/>
        <v>#N/A</v>
      </c>
      <c r="O1823" s="2200" t="e">
        <f t="shared" si="514"/>
        <v>#N/A</v>
      </c>
      <c r="P1823" s="2200" t="e">
        <f t="shared" si="514"/>
        <v>#N/A</v>
      </c>
      <c r="Q1823" s="2200" t="e">
        <f t="shared" si="514"/>
        <v>#N/A</v>
      </c>
      <c r="R1823" s="2200" t="e">
        <f t="shared" si="514"/>
        <v>#N/A</v>
      </c>
      <c r="S1823" s="2200" t="e">
        <f t="shared" si="514"/>
        <v>#N/A</v>
      </c>
      <c r="T1823" s="2200" t="e">
        <f t="shared" si="514"/>
        <v>#N/A</v>
      </c>
      <c r="U1823" s="2200" t="e">
        <f t="shared" si="514"/>
        <v>#N/A</v>
      </c>
      <c r="V1823" s="2200" t="e">
        <f t="shared" si="514"/>
        <v>#N/A</v>
      </c>
      <c r="W1823" s="1479"/>
      <c r="X1823" s="255"/>
      <c r="Y1823" s="89"/>
      <c r="Z1823" s="2060"/>
      <c r="AA1823" s="2060"/>
      <c r="AB1823" s="2060"/>
      <c r="AC1823" s="2060"/>
      <c r="AD1823" s="2060"/>
      <c r="AE1823" s="2060"/>
      <c r="AF1823" s="2060"/>
      <c r="AG1823" s="1530"/>
      <c r="AH1823" s="1530"/>
      <c r="AI1823" s="1530"/>
      <c r="AJ1823" s="1530"/>
      <c r="AK1823" s="1530"/>
      <c r="AL1823" s="1530"/>
      <c r="AM1823" s="1530"/>
      <c r="AN1823" s="1530"/>
      <c r="AO1823" s="1530"/>
      <c r="AP1823" s="1530"/>
      <c r="AQ1823" s="1530"/>
      <c r="AR1823" s="1530"/>
      <c r="AS1823" s="1530"/>
      <c r="AT1823" s="1530"/>
      <c r="AU1823" s="1530"/>
      <c r="AV1823" s="1530"/>
      <c r="AW1823" s="1530"/>
      <c r="AX1823" s="1530"/>
      <c r="AY1823" s="1530"/>
      <c r="AZ1823" s="1530"/>
      <c r="BA1823" s="1530"/>
      <c r="BB1823" s="1530"/>
      <c r="BC1823" s="1530"/>
      <c r="BD1823" s="1530"/>
      <c r="BE1823" s="1530"/>
      <c r="BF1823" s="1530"/>
      <c r="BG1823" s="1530"/>
      <c r="BH1823" s="1530"/>
      <c r="BI1823" s="1530"/>
      <c r="BJ1823" s="1530"/>
      <c r="BK1823" s="1530"/>
      <c r="BL1823" s="1530"/>
      <c r="BM1823" s="1530"/>
      <c r="BN1823" s="1530"/>
      <c r="BO1823" s="1530"/>
      <c r="BP1823" s="1530"/>
      <c r="BQ1823" s="1530"/>
      <c r="BR1823" s="1530"/>
      <c r="BS1823" s="1530"/>
      <c r="BT1823" s="1530"/>
      <c r="BU1823" s="1530"/>
      <c r="BV1823" s="1530"/>
      <c r="BW1823" s="1530"/>
      <c r="BX1823" s="1530"/>
      <c r="BY1823" s="1530"/>
      <c r="BZ1823" s="1530"/>
      <c r="CA1823" s="1530"/>
      <c r="CB1823" s="1530"/>
      <c r="CC1823" s="1530"/>
      <c r="CD1823" s="1530"/>
      <c r="CE1823" s="1530"/>
      <c r="CF1823" s="1530"/>
      <c r="CG1823" s="1530"/>
      <c r="CH1823" s="1530"/>
      <c r="CI1823" s="1530"/>
      <c r="CJ1823" s="1530"/>
      <c r="CK1823" s="1530"/>
      <c r="CL1823" s="1530"/>
      <c r="CM1823" s="1530"/>
      <c r="CN1823" s="1530"/>
      <c r="CO1823" s="1530"/>
      <c r="CP1823" s="1530"/>
      <c r="CQ1823" s="1530"/>
      <c r="CR1823" s="1530"/>
      <c r="CS1823" s="1530"/>
      <c r="CT1823" s="1530"/>
      <c r="CU1823" s="1530"/>
      <c r="CV1823" s="1530"/>
      <c r="CW1823" s="1530"/>
      <c r="CX1823" s="1530"/>
      <c r="CY1823" s="1530"/>
      <c r="CZ1823" s="1530"/>
      <c r="DA1823" s="1530"/>
      <c r="DB1823" s="1530"/>
      <c r="DC1823" s="1530"/>
      <c r="DD1823" s="1530"/>
      <c r="DE1823" s="1530"/>
      <c r="DF1823" s="1530"/>
      <c r="DG1823" s="1530"/>
      <c r="DH1823" s="1530"/>
      <c r="DI1823" s="1530"/>
      <c r="DJ1823" s="1530"/>
      <c r="DK1823" s="1530"/>
      <c r="DL1823" s="1530"/>
      <c r="DM1823" s="1530"/>
      <c r="DN1823" s="1530"/>
      <c r="DO1823" s="1530"/>
      <c r="DP1823" s="1530"/>
      <c r="DQ1823" s="1530"/>
      <c r="DR1823" s="1530"/>
      <c r="DS1823" s="1530"/>
      <c r="DT1823" s="1530"/>
      <c r="DU1823" s="1530"/>
      <c r="DV1823" s="1530"/>
      <c r="DW1823" s="1530"/>
      <c r="DX1823" s="1530"/>
      <c r="DY1823" s="1530"/>
      <c r="DZ1823" s="1530"/>
      <c r="EA1823" s="1530"/>
      <c r="EB1823" s="1530"/>
      <c r="EC1823" s="1530"/>
      <c r="ED1823" s="1530"/>
      <c r="EE1823" s="1530"/>
      <c r="EF1823" s="1530"/>
      <c r="EG1823" s="1530"/>
      <c r="EH1823" s="1530"/>
      <c r="EI1823" s="1530"/>
      <c r="EJ1823" s="1530"/>
      <c r="EK1823" s="1530"/>
      <c r="EL1823" s="1530"/>
      <c r="EM1823" s="1530"/>
      <c r="EN1823" s="1530"/>
      <c r="EO1823" s="1530"/>
      <c r="EP1823" s="1530"/>
      <c r="EQ1823" s="1530"/>
      <c r="ER1823" s="1530"/>
      <c r="ES1823" s="1530"/>
      <c r="ET1823" s="1530"/>
      <c r="EU1823" s="1530"/>
      <c r="EV1823" s="1530"/>
      <c r="EW1823" s="1530"/>
      <c r="EX1823" s="1530"/>
      <c r="EY1823" s="1530"/>
      <c r="EZ1823" s="1530"/>
      <c r="FA1823" s="1530"/>
      <c r="FB1823" s="1530"/>
      <c r="FC1823" s="1530"/>
      <c r="FD1823" s="1530"/>
      <c r="FE1823" s="1530"/>
      <c r="FF1823" s="1530"/>
      <c r="FG1823" s="1530"/>
      <c r="FH1823" s="1530"/>
      <c r="FI1823" s="1530"/>
      <c r="FJ1823" s="1530"/>
      <c r="FK1823" s="1530"/>
      <c r="FL1823" s="1530"/>
      <c r="FM1823" s="1530"/>
      <c r="FN1823" s="1530"/>
      <c r="FO1823" s="1530"/>
      <c r="FP1823" s="1530"/>
      <c r="FQ1823" s="1530"/>
      <c r="FR1823" s="1530"/>
      <c r="FS1823" s="1530"/>
      <c r="FT1823" s="1530"/>
      <c r="FU1823" s="1530"/>
      <c r="FV1823" s="1530"/>
      <c r="FW1823" s="1530"/>
      <c r="FX1823" s="1530"/>
      <c r="FY1823" s="1530"/>
      <c r="FZ1823" s="1530"/>
      <c r="GA1823" s="1530"/>
      <c r="GB1823" s="1530"/>
      <c r="GC1823" s="1530"/>
      <c r="GD1823" s="1530"/>
      <c r="GE1823" s="1530"/>
      <c r="GF1823" s="1530"/>
      <c r="GG1823" s="1530"/>
      <c r="GH1823" s="1530"/>
      <c r="GI1823" s="1530"/>
      <c r="GJ1823" s="1530"/>
      <c r="GK1823" s="1530"/>
      <c r="GL1823" s="1530"/>
      <c r="GM1823" s="1530"/>
      <c r="GN1823" s="1530"/>
      <c r="GO1823" s="1530"/>
      <c r="GP1823" s="1530"/>
      <c r="GQ1823" s="1530"/>
      <c r="GR1823" s="1530"/>
      <c r="GS1823" s="1530"/>
      <c r="GT1823" s="1530"/>
      <c r="GU1823" s="1530"/>
      <c r="GV1823" s="1530"/>
      <c r="GW1823" s="1530"/>
      <c r="GX1823" s="1530"/>
      <c r="GY1823" s="1530"/>
      <c r="GZ1823" s="1530"/>
      <c r="HA1823" s="1530"/>
      <c r="HB1823" s="1530"/>
      <c r="HC1823" s="1530"/>
      <c r="HD1823" s="1530"/>
      <c r="HE1823" s="1530"/>
      <c r="HF1823" s="1530"/>
      <c r="HG1823" s="1530"/>
      <c r="HH1823" s="1530"/>
      <c r="HI1823" s="1530"/>
      <c r="HJ1823" s="1530"/>
      <c r="HK1823" s="1530"/>
      <c r="HL1823" s="1530"/>
      <c r="HM1823" s="1530"/>
      <c r="HN1823" s="1530"/>
      <c r="HO1823" s="1530"/>
      <c r="HP1823" s="1530"/>
      <c r="HQ1823" s="1530"/>
      <c r="HR1823" s="1530"/>
      <c r="HS1823" s="1530"/>
      <c r="HT1823" s="1530"/>
      <c r="HU1823" s="1530"/>
      <c r="HV1823" s="1530"/>
      <c r="HW1823" s="1530"/>
      <c r="HX1823" s="1530"/>
      <c r="HY1823" s="1530"/>
      <c r="HZ1823" s="1530"/>
      <c r="IA1823" s="1530"/>
      <c r="IB1823" s="1530"/>
      <c r="IC1823" s="1530"/>
      <c r="ID1823" s="1530"/>
      <c r="IE1823" s="1530"/>
      <c r="IF1823" s="1530"/>
      <c r="IG1823" s="1530"/>
      <c r="IH1823" s="1530"/>
      <c r="II1823" s="1530"/>
      <c r="IJ1823" s="1530"/>
      <c r="IK1823" s="1530"/>
      <c r="IL1823" s="1530"/>
      <c r="IM1823" s="1530"/>
      <c r="IN1823" s="1530"/>
      <c r="IO1823" s="1530"/>
      <c r="IP1823" s="1530"/>
      <c r="IQ1823" s="1530"/>
      <c r="IR1823" s="1530"/>
      <c r="IS1823" s="1530"/>
      <c r="IT1823" s="1530"/>
      <c r="IU1823" s="1530"/>
      <c r="IV1823" s="1530"/>
      <c r="IW1823" s="1530"/>
      <c r="IX1823" s="1530"/>
      <c r="IY1823" s="1530"/>
      <c r="IZ1823" s="1530"/>
      <c r="JA1823" s="1530"/>
      <c r="JB1823" s="1530"/>
      <c r="JC1823" s="1530"/>
      <c r="JD1823" s="1530"/>
      <c r="JE1823" s="1530"/>
      <c r="JF1823" s="1530"/>
      <c r="JG1823" s="1530"/>
      <c r="JH1823" s="1530"/>
      <c r="JI1823" s="1530"/>
      <c r="JJ1823" s="1530"/>
      <c r="JK1823" s="1530"/>
      <c r="JL1823" s="1530"/>
      <c r="JM1823" s="1530"/>
      <c r="JN1823" s="1530"/>
      <c r="JO1823" s="1530"/>
      <c r="JP1823" s="1530"/>
      <c r="JQ1823" s="1530"/>
      <c r="JR1823" s="1530"/>
      <c r="JS1823" s="1530"/>
      <c r="JT1823" s="1530"/>
      <c r="JU1823" s="1530"/>
      <c r="JV1823" s="1530"/>
      <c r="JW1823" s="1530"/>
      <c r="JX1823" s="1530"/>
      <c r="JY1823" s="1530"/>
      <c r="JZ1823" s="1530"/>
      <c r="KA1823" s="1530"/>
      <c r="KB1823" s="1530"/>
      <c r="KC1823" s="1530"/>
      <c r="KD1823" s="1530"/>
      <c r="KE1823" s="1530"/>
      <c r="KF1823" s="1530"/>
      <c r="KG1823" s="1530"/>
      <c r="KH1823" s="1530"/>
      <c r="KI1823" s="1530"/>
      <c r="KJ1823" s="1530"/>
      <c r="KK1823" s="1530"/>
      <c r="KL1823" s="1530"/>
      <c r="KM1823" s="1530"/>
      <c r="KN1823" s="1530"/>
      <c r="KO1823" s="1530"/>
      <c r="KP1823" s="1530"/>
      <c r="KQ1823" s="1530"/>
      <c r="KR1823" s="1530"/>
      <c r="KS1823" s="1530"/>
      <c r="KT1823" s="1530"/>
      <c r="KU1823" s="1530"/>
      <c r="KV1823" s="1530"/>
      <c r="KW1823" s="1530"/>
      <c r="KX1823" s="1530"/>
      <c r="KY1823" s="1530"/>
      <c r="KZ1823" s="1530"/>
      <c r="LA1823" s="1530"/>
      <c r="LB1823" s="1530"/>
      <c r="LC1823" s="1530"/>
      <c r="LD1823" s="1530"/>
      <c r="LE1823" s="1530"/>
      <c r="LF1823" s="1530"/>
      <c r="LG1823" s="1530"/>
      <c r="LH1823" s="1530"/>
    </row>
    <row r="1824" spans="1:320" ht="12" customHeight="1">
      <c r="A1824" s="269" t="str">
        <f t="shared" si="511"/>
        <v>n</v>
      </c>
      <c r="B1824" s="2060"/>
      <c r="C1824" s="2060"/>
      <c r="D1824" s="2060"/>
      <c r="E1824" s="1661">
        <v>5</v>
      </c>
      <c r="F1824" s="1353" t="str">
        <f>F$133</f>
        <v>--</v>
      </c>
      <c r="G1824" s="128">
        <f>G$133</f>
        <v>0</v>
      </c>
      <c r="H1824" s="128" t="str">
        <f>H$133</f>
        <v>--</v>
      </c>
      <c r="I1824" s="89"/>
      <c r="J1824" s="2200" t="e">
        <f t="shared" si="508"/>
        <v>#N/A</v>
      </c>
      <c r="K1824" s="2200" t="e">
        <f t="shared" si="508"/>
        <v>#N/A</v>
      </c>
      <c r="L1824" s="2200" t="e">
        <f t="shared" ref="L1824:V1824" si="515">IFERROR(L1679/L1795,NA())</f>
        <v>#N/A</v>
      </c>
      <c r="M1824" s="2200" t="e">
        <f t="shared" si="515"/>
        <v>#N/A</v>
      </c>
      <c r="N1824" s="2200" t="e">
        <f t="shared" si="515"/>
        <v>#N/A</v>
      </c>
      <c r="O1824" s="2200" t="e">
        <f t="shared" si="515"/>
        <v>#N/A</v>
      </c>
      <c r="P1824" s="2200" t="e">
        <f t="shared" si="515"/>
        <v>#N/A</v>
      </c>
      <c r="Q1824" s="2200" t="e">
        <f t="shared" si="515"/>
        <v>#N/A</v>
      </c>
      <c r="R1824" s="2200" t="e">
        <f t="shared" si="515"/>
        <v>#N/A</v>
      </c>
      <c r="S1824" s="2200" t="e">
        <f t="shared" si="515"/>
        <v>#N/A</v>
      </c>
      <c r="T1824" s="2200" t="e">
        <f t="shared" si="515"/>
        <v>#N/A</v>
      </c>
      <c r="U1824" s="2200" t="e">
        <f t="shared" si="515"/>
        <v>#N/A</v>
      </c>
      <c r="V1824" s="2200" t="e">
        <f t="shared" si="515"/>
        <v>#N/A</v>
      </c>
      <c r="W1824" s="1479"/>
      <c r="X1824" s="255"/>
      <c r="Y1824" s="89"/>
      <c r="Z1824" s="2060"/>
      <c r="AA1824" s="2060"/>
      <c r="AB1824" s="2060"/>
      <c r="AC1824" s="2060"/>
      <c r="AD1824" s="2060"/>
      <c r="AE1824" s="2060"/>
      <c r="AF1824" s="2060"/>
      <c r="AG1824" s="1530"/>
      <c r="AH1824" s="1530"/>
      <c r="AI1824" s="1530"/>
      <c r="AJ1824" s="1530"/>
      <c r="AK1824" s="1530"/>
      <c r="AL1824" s="1530"/>
      <c r="AM1824" s="1530"/>
      <c r="AN1824" s="1530"/>
      <c r="AO1824" s="1530"/>
      <c r="AP1824" s="1530"/>
      <c r="AQ1824" s="1530"/>
      <c r="AR1824" s="1530"/>
      <c r="AS1824" s="1530"/>
      <c r="AT1824" s="1530"/>
      <c r="AU1824" s="1530"/>
      <c r="AV1824" s="1530"/>
      <c r="AW1824" s="1530"/>
      <c r="AX1824" s="1530"/>
      <c r="AY1824" s="1530"/>
      <c r="AZ1824" s="1530"/>
      <c r="BA1824" s="1530"/>
      <c r="BB1824" s="1530"/>
      <c r="BC1824" s="1530"/>
      <c r="BD1824" s="1530"/>
      <c r="BE1824" s="1530"/>
      <c r="BF1824" s="1530"/>
      <c r="BG1824" s="1530"/>
      <c r="BH1824" s="1530"/>
      <c r="BI1824" s="1530"/>
      <c r="BJ1824" s="1530"/>
      <c r="BK1824" s="1530"/>
      <c r="BL1824" s="1530"/>
      <c r="BM1824" s="1530"/>
      <c r="BN1824" s="1530"/>
      <c r="BO1824" s="1530"/>
      <c r="BP1824" s="1530"/>
      <c r="BQ1824" s="1530"/>
      <c r="BR1824" s="1530"/>
      <c r="BS1824" s="1530"/>
      <c r="BT1824" s="1530"/>
      <c r="BU1824" s="1530"/>
      <c r="BV1824" s="1530"/>
      <c r="BW1824" s="1530"/>
      <c r="BX1824" s="1530"/>
      <c r="BY1824" s="1530"/>
      <c r="BZ1824" s="1530"/>
      <c r="CA1824" s="1530"/>
      <c r="CB1824" s="1530"/>
      <c r="CC1824" s="1530"/>
      <c r="CD1824" s="1530"/>
      <c r="CE1824" s="1530"/>
      <c r="CF1824" s="1530"/>
      <c r="CG1824" s="1530"/>
      <c r="CH1824" s="1530"/>
      <c r="CI1824" s="1530"/>
      <c r="CJ1824" s="1530"/>
      <c r="CK1824" s="1530"/>
      <c r="CL1824" s="1530"/>
      <c r="CM1824" s="1530"/>
      <c r="CN1824" s="1530"/>
      <c r="CO1824" s="1530"/>
      <c r="CP1824" s="1530"/>
      <c r="CQ1824" s="1530"/>
      <c r="CR1824" s="1530"/>
      <c r="CS1824" s="1530"/>
      <c r="CT1824" s="1530"/>
      <c r="CU1824" s="1530"/>
      <c r="CV1824" s="1530"/>
      <c r="CW1824" s="1530"/>
      <c r="CX1824" s="1530"/>
      <c r="CY1824" s="1530"/>
      <c r="CZ1824" s="1530"/>
      <c r="DA1824" s="1530"/>
      <c r="DB1824" s="1530"/>
      <c r="DC1824" s="1530"/>
      <c r="DD1824" s="1530"/>
      <c r="DE1824" s="1530"/>
      <c r="DF1824" s="1530"/>
      <c r="DG1824" s="1530"/>
      <c r="DH1824" s="1530"/>
      <c r="DI1824" s="1530"/>
      <c r="DJ1824" s="1530"/>
      <c r="DK1824" s="1530"/>
      <c r="DL1824" s="1530"/>
      <c r="DM1824" s="1530"/>
      <c r="DN1824" s="1530"/>
      <c r="DO1824" s="1530"/>
      <c r="DP1824" s="1530"/>
      <c r="DQ1824" s="1530"/>
      <c r="DR1824" s="1530"/>
      <c r="DS1824" s="1530"/>
      <c r="DT1824" s="1530"/>
      <c r="DU1824" s="1530"/>
      <c r="DV1824" s="1530"/>
      <c r="DW1824" s="1530"/>
      <c r="DX1824" s="1530"/>
      <c r="DY1824" s="1530"/>
      <c r="DZ1824" s="1530"/>
      <c r="EA1824" s="1530"/>
      <c r="EB1824" s="1530"/>
      <c r="EC1824" s="1530"/>
      <c r="ED1824" s="1530"/>
      <c r="EE1824" s="1530"/>
      <c r="EF1824" s="1530"/>
      <c r="EG1824" s="1530"/>
      <c r="EH1824" s="1530"/>
      <c r="EI1824" s="1530"/>
      <c r="EJ1824" s="1530"/>
      <c r="EK1824" s="1530"/>
      <c r="EL1824" s="1530"/>
      <c r="EM1824" s="1530"/>
      <c r="EN1824" s="1530"/>
      <c r="EO1824" s="1530"/>
      <c r="EP1824" s="1530"/>
      <c r="EQ1824" s="1530"/>
      <c r="ER1824" s="1530"/>
      <c r="ES1824" s="1530"/>
      <c r="ET1824" s="1530"/>
      <c r="EU1824" s="1530"/>
      <c r="EV1824" s="1530"/>
      <c r="EW1824" s="1530"/>
      <c r="EX1824" s="1530"/>
      <c r="EY1824" s="1530"/>
      <c r="EZ1824" s="1530"/>
      <c r="FA1824" s="1530"/>
      <c r="FB1824" s="1530"/>
      <c r="FC1824" s="1530"/>
      <c r="FD1824" s="1530"/>
      <c r="FE1824" s="1530"/>
      <c r="FF1824" s="1530"/>
      <c r="FG1824" s="1530"/>
      <c r="FH1824" s="1530"/>
      <c r="FI1824" s="1530"/>
      <c r="FJ1824" s="1530"/>
      <c r="FK1824" s="1530"/>
      <c r="FL1824" s="1530"/>
      <c r="FM1824" s="1530"/>
      <c r="FN1824" s="1530"/>
      <c r="FO1824" s="1530"/>
      <c r="FP1824" s="1530"/>
      <c r="FQ1824" s="1530"/>
      <c r="FR1824" s="1530"/>
      <c r="FS1824" s="1530"/>
      <c r="FT1824" s="1530"/>
      <c r="FU1824" s="1530"/>
      <c r="FV1824" s="1530"/>
      <c r="FW1824" s="1530"/>
      <c r="FX1824" s="1530"/>
      <c r="FY1824" s="1530"/>
      <c r="FZ1824" s="1530"/>
      <c r="GA1824" s="1530"/>
      <c r="GB1824" s="1530"/>
      <c r="GC1824" s="1530"/>
      <c r="GD1824" s="1530"/>
      <c r="GE1824" s="1530"/>
      <c r="GF1824" s="1530"/>
      <c r="GG1824" s="1530"/>
      <c r="GH1824" s="1530"/>
      <c r="GI1824" s="1530"/>
      <c r="GJ1824" s="1530"/>
      <c r="GK1824" s="1530"/>
      <c r="GL1824" s="1530"/>
      <c r="GM1824" s="1530"/>
      <c r="GN1824" s="1530"/>
      <c r="GO1824" s="1530"/>
      <c r="GP1824" s="1530"/>
      <c r="GQ1824" s="1530"/>
      <c r="GR1824" s="1530"/>
      <c r="GS1824" s="1530"/>
      <c r="GT1824" s="1530"/>
      <c r="GU1824" s="1530"/>
      <c r="GV1824" s="1530"/>
      <c r="GW1824" s="1530"/>
      <c r="GX1824" s="1530"/>
      <c r="GY1824" s="1530"/>
      <c r="GZ1824" s="1530"/>
      <c r="HA1824" s="1530"/>
      <c r="HB1824" s="1530"/>
      <c r="HC1824" s="1530"/>
      <c r="HD1824" s="1530"/>
      <c r="HE1824" s="1530"/>
      <c r="HF1824" s="1530"/>
      <c r="HG1824" s="1530"/>
      <c r="HH1824" s="1530"/>
      <c r="HI1824" s="1530"/>
      <c r="HJ1824" s="1530"/>
      <c r="HK1824" s="1530"/>
      <c r="HL1824" s="1530"/>
      <c r="HM1824" s="1530"/>
      <c r="HN1824" s="1530"/>
      <c r="HO1824" s="1530"/>
      <c r="HP1824" s="1530"/>
      <c r="HQ1824" s="1530"/>
      <c r="HR1824" s="1530"/>
      <c r="HS1824" s="1530"/>
      <c r="HT1824" s="1530"/>
      <c r="HU1824" s="1530"/>
      <c r="HV1824" s="1530"/>
      <c r="HW1824" s="1530"/>
      <c r="HX1824" s="1530"/>
      <c r="HY1824" s="1530"/>
      <c r="HZ1824" s="1530"/>
      <c r="IA1824" s="1530"/>
      <c r="IB1824" s="1530"/>
      <c r="IC1824" s="1530"/>
      <c r="ID1824" s="1530"/>
      <c r="IE1824" s="1530"/>
      <c r="IF1824" s="1530"/>
      <c r="IG1824" s="1530"/>
      <c r="IH1824" s="1530"/>
      <c r="II1824" s="1530"/>
      <c r="IJ1824" s="1530"/>
      <c r="IK1824" s="1530"/>
      <c r="IL1824" s="1530"/>
      <c r="IM1824" s="1530"/>
      <c r="IN1824" s="1530"/>
      <c r="IO1824" s="1530"/>
      <c r="IP1824" s="1530"/>
      <c r="IQ1824" s="1530"/>
      <c r="IR1824" s="1530"/>
      <c r="IS1824" s="1530"/>
      <c r="IT1824" s="1530"/>
      <c r="IU1824" s="1530"/>
      <c r="IV1824" s="1530"/>
      <c r="IW1824" s="1530"/>
      <c r="IX1824" s="1530"/>
      <c r="IY1824" s="1530"/>
      <c r="IZ1824" s="1530"/>
      <c r="JA1824" s="1530"/>
      <c r="JB1824" s="1530"/>
      <c r="JC1824" s="1530"/>
      <c r="JD1824" s="1530"/>
      <c r="JE1824" s="1530"/>
      <c r="JF1824" s="1530"/>
      <c r="JG1824" s="1530"/>
      <c r="JH1824" s="1530"/>
      <c r="JI1824" s="1530"/>
      <c r="JJ1824" s="1530"/>
      <c r="JK1824" s="1530"/>
      <c r="JL1824" s="1530"/>
      <c r="JM1824" s="1530"/>
      <c r="JN1824" s="1530"/>
      <c r="JO1824" s="1530"/>
      <c r="JP1824" s="1530"/>
      <c r="JQ1824" s="1530"/>
      <c r="JR1824" s="1530"/>
      <c r="JS1824" s="1530"/>
      <c r="JT1824" s="1530"/>
      <c r="JU1824" s="1530"/>
      <c r="JV1824" s="1530"/>
      <c r="JW1824" s="1530"/>
      <c r="JX1824" s="1530"/>
      <c r="JY1824" s="1530"/>
      <c r="JZ1824" s="1530"/>
      <c r="KA1824" s="1530"/>
      <c r="KB1824" s="1530"/>
      <c r="KC1824" s="1530"/>
      <c r="KD1824" s="1530"/>
      <c r="KE1824" s="1530"/>
      <c r="KF1824" s="1530"/>
      <c r="KG1824" s="1530"/>
      <c r="KH1824" s="1530"/>
      <c r="KI1824" s="1530"/>
      <c r="KJ1824" s="1530"/>
      <c r="KK1824" s="1530"/>
      <c r="KL1824" s="1530"/>
      <c r="KM1824" s="1530"/>
      <c r="KN1824" s="1530"/>
      <c r="KO1824" s="1530"/>
      <c r="KP1824" s="1530"/>
      <c r="KQ1824" s="1530"/>
      <c r="KR1824" s="1530"/>
      <c r="KS1824" s="1530"/>
      <c r="KT1824" s="1530"/>
      <c r="KU1824" s="1530"/>
      <c r="KV1824" s="1530"/>
      <c r="KW1824" s="1530"/>
      <c r="KX1824" s="1530"/>
      <c r="KY1824" s="1530"/>
      <c r="KZ1824" s="1530"/>
      <c r="LA1824" s="1530"/>
      <c r="LB1824" s="1530"/>
      <c r="LC1824" s="1530"/>
      <c r="LD1824" s="1530"/>
      <c r="LE1824" s="1530"/>
      <c r="LF1824" s="1530"/>
      <c r="LG1824" s="1530"/>
      <c r="LH1824" s="1530"/>
    </row>
    <row r="1825" spans="1:320" ht="12" customHeight="1">
      <c r="A1825" s="269" t="str">
        <f t="shared" si="511"/>
        <v>n</v>
      </c>
      <c r="B1825" s="2060"/>
      <c r="C1825" s="2060"/>
      <c r="D1825" s="2060"/>
      <c r="E1825" s="1661">
        <v>6</v>
      </c>
      <c r="F1825" s="1353" t="str">
        <f>F$134</f>
        <v>--</v>
      </c>
      <c r="G1825" s="128">
        <f>G$134</f>
        <v>0</v>
      </c>
      <c r="H1825" s="128" t="str">
        <f>H$134</f>
        <v>--</v>
      </c>
      <c r="I1825" s="89"/>
      <c r="J1825" s="2200" t="e">
        <f t="shared" si="508"/>
        <v>#N/A</v>
      </c>
      <c r="K1825" s="2200" t="e">
        <f t="shared" si="508"/>
        <v>#N/A</v>
      </c>
      <c r="L1825" s="2200" t="e">
        <f t="shared" ref="L1825:V1825" si="516">IFERROR(L1680/L1796,NA())</f>
        <v>#N/A</v>
      </c>
      <c r="M1825" s="2200" t="e">
        <f t="shared" si="516"/>
        <v>#N/A</v>
      </c>
      <c r="N1825" s="2200" t="e">
        <f t="shared" si="516"/>
        <v>#N/A</v>
      </c>
      <c r="O1825" s="2200" t="e">
        <f t="shared" si="516"/>
        <v>#N/A</v>
      </c>
      <c r="P1825" s="2200" t="e">
        <f t="shared" si="516"/>
        <v>#N/A</v>
      </c>
      <c r="Q1825" s="2200" t="e">
        <f t="shared" si="516"/>
        <v>#N/A</v>
      </c>
      <c r="R1825" s="2200" t="e">
        <f t="shared" si="516"/>
        <v>#N/A</v>
      </c>
      <c r="S1825" s="2200" t="e">
        <f t="shared" si="516"/>
        <v>#N/A</v>
      </c>
      <c r="T1825" s="2200" t="e">
        <f t="shared" si="516"/>
        <v>#N/A</v>
      </c>
      <c r="U1825" s="2200" t="e">
        <f t="shared" si="516"/>
        <v>#N/A</v>
      </c>
      <c r="V1825" s="2200" t="e">
        <f t="shared" si="516"/>
        <v>#N/A</v>
      </c>
      <c r="W1825" s="1479"/>
      <c r="X1825" s="255"/>
      <c r="Y1825" s="89"/>
      <c r="Z1825" s="2060"/>
      <c r="AA1825" s="2060"/>
      <c r="AB1825" s="2060"/>
      <c r="AC1825" s="2060"/>
      <c r="AD1825" s="2060"/>
      <c r="AE1825" s="2060"/>
      <c r="AF1825" s="2060"/>
      <c r="AG1825" s="1530"/>
      <c r="AH1825" s="1530"/>
      <c r="AI1825" s="1530"/>
      <c r="AJ1825" s="1530"/>
      <c r="AK1825" s="1530"/>
      <c r="AL1825" s="1530"/>
      <c r="AM1825" s="1530"/>
      <c r="AN1825" s="1530"/>
      <c r="AO1825" s="1530"/>
      <c r="AP1825" s="1530"/>
      <c r="AQ1825" s="1530"/>
      <c r="AR1825" s="1530"/>
      <c r="AS1825" s="1530"/>
      <c r="AT1825" s="1530"/>
      <c r="AU1825" s="1530"/>
      <c r="AV1825" s="1530"/>
      <c r="AW1825" s="1530"/>
      <c r="AX1825" s="1530"/>
      <c r="AY1825" s="1530"/>
      <c r="AZ1825" s="1530"/>
      <c r="BA1825" s="1530"/>
      <c r="BB1825" s="1530"/>
      <c r="BC1825" s="1530"/>
      <c r="BD1825" s="1530"/>
      <c r="BE1825" s="1530"/>
      <c r="BF1825" s="1530"/>
      <c r="BG1825" s="1530"/>
      <c r="BH1825" s="1530"/>
      <c r="BI1825" s="1530"/>
      <c r="BJ1825" s="1530"/>
      <c r="BK1825" s="1530"/>
      <c r="BL1825" s="1530"/>
      <c r="BM1825" s="1530"/>
      <c r="BN1825" s="1530"/>
      <c r="BO1825" s="1530"/>
      <c r="BP1825" s="1530"/>
      <c r="BQ1825" s="1530"/>
      <c r="BR1825" s="1530"/>
      <c r="BS1825" s="1530"/>
      <c r="BT1825" s="1530"/>
      <c r="BU1825" s="1530"/>
      <c r="BV1825" s="1530"/>
      <c r="BW1825" s="1530"/>
      <c r="BX1825" s="1530"/>
      <c r="BY1825" s="1530"/>
      <c r="BZ1825" s="1530"/>
      <c r="CA1825" s="1530"/>
      <c r="CB1825" s="1530"/>
      <c r="CC1825" s="1530"/>
      <c r="CD1825" s="1530"/>
      <c r="CE1825" s="1530"/>
      <c r="CF1825" s="1530"/>
      <c r="CG1825" s="1530"/>
      <c r="CH1825" s="1530"/>
      <c r="CI1825" s="1530"/>
      <c r="CJ1825" s="1530"/>
      <c r="CK1825" s="1530"/>
      <c r="CL1825" s="1530"/>
      <c r="CM1825" s="1530"/>
      <c r="CN1825" s="1530"/>
      <c r="CO1825" s="1530"/>
      <c r="CP1825" s="1530"/>
      <c r="CQ1825" s="1530"/>
      <c r="CR1825" s="1530"/>
      <c r="CS1825" s="1530"/>
      <c r="CT1825" s="1530"/>
      <c r="CU1825" s="1530"/>
      <c r="CV1825" s="1530"/>
      <c r="CW1825" s="1530"/>
      <c r="CX1825" s="1530"/>
      <c r="CY1825" s="1530"/>
      <c r="CZ1825" s="1530"/>
      <c r="DA1825" s="1530"/>
      <c r="DB1825" s="1530"/>
      <c r="DC1825" s="1530"/>
      <c r="DD1825" s="1530"/>
      <c r="DE1825" s="1530"/>
      <c r="DF1825" s="1530"/>
      <c r="DG1825" s="1530"/>
      <c r="DH1825" s="1530"/>
      <c r="DI1825" s="1530"/>
      <c r="DJ1825" s="1530"/>
      <c r="DK1825" s="1530"/>
      <c r="DL1825" s="1530"/>
      <c r="DM1825" s="1530"/>
      <c r="DN1825" s="1530"/>
      <c r="DO1825" s="1530"/>
      <c r="DP1825" s="1530"/>
      <c r="DQ1825" s="1530"/>
      <c r="DR1825" s="1530"/>
      <c r="DS1825" s="1530"/>
      <c r="DT1825" s="1530"/>
      <c r="DU1825" s="1530"/>
      <c r="DV1825" s="1530"/>
      <c r="DW1825" s="1530"/>
      <c r="DX1825" s="1530"/>
      <c r="DY1825" s="1530"/>
      <c r="DZ1825" s="1530"/>
      <c r="EA1825" s="1530"/>
      <c r="EB1825" s="1530"/>
      <c r="EC1825" s="1530"/>
      <c r="ED1825" s="1530"/>
      <c r="EE1825" s="1530"/>
      <c r="EF1825" s="1530"/>
      <c r="EG1825" s="1530"/>
      <c r="EH1825" s="1530"/>
      <c r="EI1825" s="1530"/>
      <c r="EJ1825" s="1530"/>
      <c r="EK1825" s="1530"/>
      <c r="EL1825" s="1530"/>
      <c r="EM1825" s="1530"/>
      <c r="EN1825" s="1530"/>
      <c r="EO1825" s="1530"/>
      <c r="EP1825" s="1530"/>
      <c r="EQ1825" s="1530"/>
      <c r="ER1825" s="1530"/>
      <c r="ES1825" s="1530"/>
      <c r="ET1825" s="1530"/>
      <c r="EU1825" s="1530"/>
      <c r="EV1825" s="1530"/>
      <c r="EW1825" s="1530"/>
      <c r="EX1825" s="1530"/>
      <c r="EY1825" s="1530"/>
      <c r="EZ1825" s="1530"/>
      <c r="FA1825" s="1530"/>
      <c r="FB1825" s="1530"/>
      <c r="FC1825" s="1530"/>
      <c r="FD1825" s="1530"/>
      <c r="FE1825" s="1530"/>
      <c r="FF1825" s="1530"/>
      <c r="FG1825" s="1530"/>
      <c r="FH1825" s="1530"/>
      <c r="FI1825" s="1530"/>
      <c r="FJ1825" s="1530"/>
      <c r="FK1825" s="1530"/>
      <c r="FL1825" s="1530"/>
      <c r="FM1825" s="1530"/>
      <c r="FN1825" s="1530"/>
      <c r="FO1825" s="1530"/>
      <c r="FP1825" s="1530"/>
      <c r="FQ1825" s="1530"/>
      <c r="FR1825" s="1530"/>
      <c r="FS1825" s="1530"/>
      <c r="FT1825" s="1530"/>
      <c r="FU1825" s="1530"/>
      <c r="FV1825" s="1530"/>
      <c r="FW1825" s="1530"/>
      <c r="FX1825" s="1530"/>
      <c r="FY1825" s="1530"/>
      <c r="FZ1825" s="1530"/>
      <c r="GA1825" s="1530"/>
      <c r="GB1825" s="1530"/>
      <c r="GC1825" s="1530"/>
      <c r="GD1825" s="1530"/>
      <c r="GE1825" s="1530"/>
      <c r="GF1825" s="1530"/>
      <c r="GG1825" s="1530"/>
      <c r="GH1825" s="1530"/>
      <c r="GI1825" s="1530"/>
      <c r="GJ1825" s="1530"/>
      <c r="GK1825" s="1530"/>
      <c r="GL1825" s="1530"/>
      <c r="GM1825" s="1530"/>
      <c r="GN1825" s="1530"/>
      <c r="GO1825" s="1530"/>
      <c r="GP1825" s="1530"/>
      <c r="GQ1825" s="1530"/>
      <c r="GR1825" s="1530"/>
      <c r="GS1825" s="1530"/>
      <c r="GT1825" s="1530"/>
      <c r="GU1825" s="1530"/>
      <c r="GV1825" s="1530"/>
      <c r="GW1825" s="1530"/>
      <c r="GX1825" s="1530"/>
      <c r="GY1825" s="1530"/>
      <c r="GZ1825" s="1530"/>
      <c r="HA1825" s="1530"/>
      <c r="HB1825" s="1530"/>
      <c r="HC1825" s="1530"/>
      <c r="HD1825" s="1530"/>
      <c r="HE1825" s="1530"/>
      <c r="HF1825" s="1530"/>
      <c r="HG1825" s="1530"/>
      <c r="HH1825" s="1530"/>
      <c r="HI1825" s="1530"/>
      <c r="HJ1825" s="1530"/>
      <c r="HK1825" s="1530"/>
      <c r="HL1825" s="1530"/>
      <c r="HM1825" s="1530"/>
      <c r="HN1825" s="1530"/>
      <c r="HO1825" s="1530"/>
      <c r="HP1825" s="1530"/>
      <c r="HQ1825" s="1530"/>
      <c r="HR1825" s="1530"/>
      <c r="HS1825" s="1530"/>
      <c r="HT1825" s="1530"/>
      <c r="HU1825" s="1530"/>
      <c r="HV1825" s="1530"/>
      <c r="HW1825" s="1530"/>
      <c r="HX1825" s="1530"/>
      <c r="HY1825" s="1530"/>
      <c r="HZ1825" s="1530"/>
      <c r="IA1825" s="1530"/>
      <c r="IB1825" s="1530"/>
      <c r="IC1825" s="1530"/>
      <c r="ID1825" s="1530"/>
      <c r="IE1825" s="1530"/>
      <c r="IF1825" s="1530"/>
      <c r="IG1825" s="1530"/>
      <c r="IH1825" s="1530"/>
      <c r="II1825" s="1530"/>
      <c r="IJ1825" s="1530"/>
      <c r="IK1825" s="1530"/>
      <c r="IL1825" s="1530"/>
      <c r="IM1825" s="1530"/>
      <c r="IN1825" s="1530"/>
      <c r="IO1825" s="1530"/>
      <c r="IP1825" s="1530"/>
      <c r="IQ1825" s="1530"/>
      <c r="IR1825" s="1530"/>
      <c r="IS1825" s="1530"/>
      <c r="IT1825" s="1530"/>
      <c r="IU1825" s="1530"/>
      <c r="IV1825" s="1530"/>
      <c r="IW1825" s="1530"/>
      <c r="IX1825" s="1530"/>
      <c r="IY1825" s="1530"/>
      <c r="IZ1825" s="1530"/>
      <c r="JA1825" s="1530"/>
      <c r="JB1825" s="1530"/>
      <c r="JC1825" s="1530"/>
      <c r="JD1825" s="1530"/>
      <c r="JE1825" s="1530"/>
      <c r="JF1825" s="1530"/>
      <c r="JG1825" s="1530"/>
      <c r="JH1825" s="1530"/>
      <c r="JI1825" s="1530"/>
      <c r="JJ1825" s="1530"/>
      <c r="JK1825" s="1530"/>
      <c r="JL1825" s="1530"/>
      <c r="JM1825" s="1530"/>
      <c r="JN1825" s="1530"/>
      <c r="JO1825" s="1530"/>
      <c r="JP1825" s="1530"/>
      <c r="JQ1825" s="1530"/>
      <c r="JR1825" s="1530"/>
      <c r="JS1825" s="1530"/>
      <c r="JT1825" s="1530"/>
      <c r="JU1825" s="1530"/>
      <c r="JV1825" s="1530"/>
      <c r="JW1825" s="1530"/>
      <c r="JX1825" s="1530"/>
      <c r="JY1825" s="1530"/>
      <c r="JZ1825" s="1530"/>
      <c r="KA1825" s="1530"/>
      <c r="KB1825" s="1530"/>
      <c r="KC1825" s="1530"/>
      <c r="KD1825" s="1530"/>
      <c r="KE1825" s="1530"/>
      <c r="KF1825" s="1530"/>
      <c r="KG1825" s="1530"/>
      <c r="KH1825" s="1530"/>
      <c r="KI1825" s="1530"/>
      <c r="KJ1825" s="1530"/>
      <c r="KK1825" s="1530"/>
      <c r="KL1825" s="1530"/>
      <c r="KM1825" s="1530"/>
      <c r="KN1825" s="1530"/>
      <c r="KO1825" s="1530"/>
      <c r="KP1825" s="1530"/>
      <c r="KQ1825" s="1530"/>
      <c r="KR1825" s="1530"/>
      <c r="KS1825" s="1530"/>
      <c r="KT1825" s="1530"/>
      <c r="KU1825" s="1530"/>
      <c r="KV1825" s="1530"/>
      <c r="KW1825" s="1530"/>
      <c r="KX1825" s="1530"/>
      <c r="KY1825" s="1530"/>
      <c r="KZ1825" s="1530"/>
      <c r="LA1825" s="1530"/>
      <c r="LB1825" s="1530"/>
      <c r="LC1825" s="1530"/>
      <c r="LD1825" s="1530"/>
      <c r="LE1825" s="1530"/>
      <c r="LF1825" s="1530"/>
      <c r="LG1825" s="1530"/>
      <c r="LH1825" s="1530"/>
    </row>
    <row r="1826" spans="1:320" ht="12" customHeight="1">
      <c r="A1826" s="269" t="str">
        <f t="shared" si="511"/>
        <v>n</v>
      </c>
      <c r="B1826" s="2060"/>
      <c r="C1826" s="2060"/>
      <c r="D1826" s="2060"/>
      <c r="E1826" s="1661">
        <v>7</v>
      </c>
      <c r="F1826" s="1353" t="str">
        <f>F$135</f>
        <v>--</v>
      </c>
      <c r="G1826" s="128">
        <f>G$135</f>
        <v>0</v>
      </c>
      <c r="H1826" s="128" t="str">
        <f>H$135</f>
        <v>--</v>
      </c>
      <c r="I1826" s="89"/>
      <c r="J1826" s="2200" t="e">
        <f t="shared" si="508"/>
        <v>#N/A</v>
      </c>
      <c r="K1826" s="2200" t="e">
        <f t="shared" si="508"/>
        <v>#N/A</v>
      </c>
      <c r="L1826" s="2200" t="e">
        <f t="shared" ref="L1826:V1826" si="517">IFERROR(L1681/L1797,NA())</f>
        <v>#N/A</v>
      </c>
      <c r="M1826" s="2200" t="e">
        <f t="shared" si="517"/>
        <v>#N/A</v>
      </c>
      <c r="N1826" s="2200" t="e">
        <f t="shared" si="517"/>
        <v>#N/A</v>
      </c>
      <c r="O1826" s="2200" t="e">
        <f t="shared" si="517"/>
        <v>#N/A</v>
      </c>
      <c r="P1826" s="2200" t="e">
        <f t="shared" si="517"/>
        <v>#N/A</v>
      </c>
      <c r="Q1826" s="2200" t="e">
        <f t="shared" si="517"/>
        <v>#N/A</v>
      </c>
      <c r="R1826" s="2200" t="e">
        <f t="shared" si="517"/>
        <v>#N/A</v>
      </c>
      <c r="S1826" s="2200" t="e">
        <f t="shared" si="517"/>
        <v>#N/A</v>
      </c>
      <c r="T1826" s="2200" t="e">
        <f t="shared" si="517"/>
        <v>#N/A</v>
      </c>
      <c r="U1826" s="2200" t="e">
        <f t="shared" si="517"/>
        <v>#N/A</v>
      </c>
      <c r="V1826" s="2200" t="e">
        <f t="shared" si="517"/>
        <v>#N/A</v>
      </c>
      <c r="W1826" s="1479"/>
      <c r="X1826" s="255"/>
      <c r="Y1826" s="89"/>
      <c r="Z1826" s="2060"/>
      <c r="AA1826" s="2060"/>
      <c r="AB1826" s="2060"/>
      <c r="AC1826" s="2060"/>
      <c r="AD1826" s="2060"/>
      <c r="AE1826" s="2060"/>
      <c r="AF1826" s="2060"/>
      <c r="AG1826" s="1530"/>
      <c r="AH1826" s="1530"/>
      <c r="AI1826" s="1530"/>
      <c r="AJ1826" s="1530"/>
      <c r="AK1826" s="1530"/>
      <c r="AL1826" s="1530"/>
      <c r="AM1826" s="1530"/>
      <c r="AN1826" s="1530"/>
      <c r="AO1826" s="1530"/>
      <c r="AP1826" s="1530"/>
      <c r="AQ1826" s="1530"/>
      <c r="AR1826" s="1530"/>
      <c r="AS1826" s="1530"/>
      <c r="AT1826" s="1530"/>
      <c r="AU1826" s="1530"/>
      <c r="AV1826" s="1530"/>
      <c r="AW1826" s="1530"/>
      <c r="AX1826" s="1530"/>
      <c r="AY1826" s="1530"/>
      <c r="AZ1826" s="1530"/>
      <c r="BA1826" s="1530"/>
      <c r="BB1826" s="1530"/>
      <c r="BC1826" s="1530"/>
      <c r="BD1826" s="1530"/>
      <c r="BE1826" s="1530"/>
      <c r="BF1826" s="1530"/>
      <c r="BG1826" s="1530"/>
      <c r="BH1826" s="1530"/>
      <c r="BI1826" s="1530"/>
      <c r="BJ1826" s="1530"/>
      <c r="BK1826" s="1530"/>
      <c r="BL1826" s="1530"/>
      <c r="BM1826" s="1530"/>
      <c r="BN1826" s="1530"/>
      <c r="BO1826" s="1530"/>
      <c r="BP1826" s="1530"/>
      <c r="BQ1826" s="1530"/>
      <c r="BR1826" s="1530"/>
      <c r="BS1826" s="1530"/>
      <c r="BT1826" s="1530"/>
      <c r="BU1826" s="1530"/>
      <c r="BV1826" s="1530"/>
      <c r="BW1826" s="1530"/>
      <c r="BX1826" s="1530"/>
      <c r="BY1826" s="1530"/>
      <c r="BZ1826" s="1530"/>
      <c r="CA1826" s="1530"/>
      <c r="CB1826" s="1530"/>
      <c r="CC1826" s="1530"/>
      <c r="CD1826" s="1530"/>
      <c r="CE1826" s="1530"/>
      <c r="CF1826" s="1530"/>
      <c r="CG1826" s="1530"/>
      <c r="CH1826" s="1530"/>
      <c r="CI1826" s="1530"/>
      <c r="CJ1826" s="1530"/>
      <c r="CK1826" s="1530"/>
      <c r="CL1826" s="1530"/>
      <c r="CM1826" s="1530"/>
      <c r="CN1826" s="1530"/>
      <c r="CO1826" s="1530"/>
      <c r="CP1826" s="1530"/>
      <c r="CQ1826" s="1530"/>
      <c r="CR1826" s="1530"/>
      <c r="CS1826" s="1530"/>
      <c r="CT1826" s="1530"/>
      <c r="CU1826" s="1530"/>
      <c r="CV1826" s="1530"/>
      <c r="CW1826" s="1530"/>
      <c r="CX1826" s="1530"/>
      <c r="CY1826" s="1530"/>
      <c r="CZ1826" s="1530"/>
      <c r="DA1826" s="1530"/>
      <c r="DB1826" s="1530"/>
      <c r="DC1826" s="1530"/>
      <c r="DD1826" s="1530"/>
      <c r="DE1826" s="1530"/>
      <c r="DF1826" s="1530"/>
      <c r="DG1826" s="1530"/>
      <c r="DH1826" s="1530"/>
      <c r="DI1826" s="1530"/>
      <c r="DJ1826" s="1530"/>
      <c r="DK1826" s="1530"/>
      <c r="DL1826" s="1530"/>
      <c r="DM1826" s="1530"/>
      <c r="DN1826" s="1530"/>
      <c r="DO1826" s="1530"/>
      <c r="DP1826" s="1530"/>
      <c r="DQ1826" s="1530"/>
      <c r="DR1826" s="1530"/>
      <c r="DS1826" s="1530"/>
      <c r="DT1826" s="1530"/>
      <c r="DU1826" s="1530"/>
      <c r="DV1826" s="1530"/>
      <c r="DW1826" s="1530"/>
      <c r="DX1826" s="1530"/>
      <c r="DY1826" s="1530"/>
      <c r="DZ1826" s="1530"/>
      <c r="EA1826" s="1530"/>
      <c r="EB1826" s="1530"/>
      <c r="EC1826" s="1530"/>
      <c r="ED1826" s="1530"/>
      <c r="EE1826" s="1530"/>
      <c r="EF1826" s="1530"/>
      <c r="EG1826" s="1530"/>
      <c r="EH1826" s="1530"/>
      <c r="EI1826" s="1530"/>
      <c r="EJ1826" s="1530"/>
      <c r="EK1826" s="1530"/>
      <c r="EL1826" s="1530"/>
      <c r="EM1826" s="1530"/>
      <c r="EN1826" s="1530"/>
      <c r="EO1826" s="1530"/>
      <c r="EP1826" s="1530"/>
      <c r="EQ1826" s="1530"/>
      <c r="ER1826" s="1530"/>
      <c r="ES1826" s="1530"/>
      <c r="ET1826" s="1530"/>
      <c r="EU1826" s="1530"/>
      <c r="EV1826" s="1530"/>
      <c r="EW1826" s="1530"/>
      <c r="EX1826" s="1530"/>
      <c r="EY1826" s="1530"/>
      <c r="EZ1826" s="1530"/>
      <c r="FA1826" s="1530"/>
      <c r="FB1826" s="1530"/>
      <c r="FC1826" s="1530"/>
      <c r="FD1826" s="1530"/>
      <c r="FE1826" s="1530"/>
      <c r="FF1826" s="1530"/>
      <c r="FG1826" s="1530"/>
      <c r="FH1826" s="1530"/>
      <c r="FI1826" s="1530"/>
      <c r="FJ1826" s="1530"/>
      <c r="FK1826" s="1530"/>
      <c r="FL1826" s="1530"/>
      <c r="FM1826" s="1530"/>
      <c r="FN1826" s="1530"/>
      <c r="FO1826" s="1530"/>
      <c r="FP1826" s="1530"/>
      <c r="FQ1826" s="1530"/>
      <c r="FR1826" s="1530"/>
      <c r="FS1826" s="1530"/>
      <c r="FT1826" s="1530"/>
      <c r="FU1826" s="1530"/>
      <c r="FV1826" s="1530"/>
      <c r="FW1826" s="1530"/>
      <c r="FX1826" s="1530"/>
      <c r="FY1826" s="1530"/>
      <c r="FZ1826" s="1530"/>
      <c r="GA1826" s="1530"/>
      <c r="GB1826" s="1530"/>
      <c r="GC1826" s="1530"/>
      <c r="GD1826" s="1530"/>
      <c r="GE1826" s="1530"/>
      <c r="GF1826" s="1530"/>
      <c r="GG1826" s="1530"/>
      <c r="GH1826" s="1530"/>
      <c r="GI1826" s="1530"/>
      <c r="GJ1826" s="1530"/>
      <c r="GK1826" s="1530"/>
      <c r="GL1826" s="1530"/>
      <c r="GM1826" s="1530"/>
      <c r="GN1826" s="1530"/>
      <c r="GO1826" s="1530"/>
      <c r="GP1826" s="1530"/>
      <c r="GQ1826" s="1530"/>
      <c r="GR1826" s="1530"/>
      <c r="GS1826" s="1530"/>
      <c r="GT1826" s="1530"/>
      <c r="GU1826" s="1530"/>
      <c r="GV1826" s="1530"/>
      <c r="GW1826" s="1530"/>
      <c r="GX1826" s="1530"/>
      <c r="GY1826" s="1530"/>
      <c r="GZ1826" s="1530"/>
      <c r="HA1826" s="1530"/>
      <c r="HB1826" s="1530"/>
      <c r="HC1826" s="1530"/>
      <c r="HD1826" s="1530"/>
      <c r="HE1826" s="1530"/>
      <c r="HF1826" s="1530"/>
      <c r="HG1826" s="1530"/>
      <c r="HH1826" s="1530"/>
      <c r="HI1826" s="1530"/>
      <c r="HJ1826" s="1530"/>
      <c r="HK1826" s="1530"/>
      <c r="HL1826" s="1530"/>
      <c r="HM1826" s="1530"/>
      <c r="HN1826" s="1530"/>
      <c r="HO1826" s="1530"/>
      <c r="HP1826" s="1530"/>
      <c r="HQ1826" s="1530"/>
      <c r="HR1826" s="1530"/>
      <c r="HS1826" s="1530"/>
      <c r="HT1826" s="1530"/>
      <c r="HU1826" s="1530"/>
      <c r="HV1826" s="1530"/>
      <c r="HW1826" s="1530"/>
      <c r="HX1826" s="1530"/>
      <c r="HY1826" s="1530"/>
      <c r="HZ1826" s="1530"/>
      <c r="IA1826" s="1530"/>
      <c r="IB1826" s="1530"/>
      <c r="IC1826" s="1530"/>
      <c r="ID1826" s="1530"/>
      <c r="IE1826" s="1530"/>
      <c r="IF1826" s="1530"/>
      <c r="IG1826" s="1530"/>
      <c r="IH1826" s="1530"/>
      <c r="II1826" s="1530"/>
      <c r="IJ1826" s="1530"/>
      <c r="IK1826" s="1530"/>
      <c r="IL1826" s="1530"/>
      <c r="IM1826" s="1530"/>
      <c r="IN1826" s="1530"/>
      <c r="IO1826" s="1530"/>
      <c r="IP1826" s="1530"/>
      <c r="IQ1826" s="1530"/>
      <c r="IR1826" s="1530"/>
      <c r="IS1826" s="1530"/>
      <c r="IT1826" s="1530"/>
      <c r="IU1826" s="1530"/>
      <c r="IV1826" s="1530"/>
      <c r="IW1826" s="1530"/>
      <c r="IX1826" s="1530"/>
      <c r="IY1826" s="1530"/>
      <c r="IZ1826" s="1530"/>
      <c r="JA1826" s="1530"/>
      <c r="JB1826" s="1530"/>
      <c r="JC1826" s="1530"/>
      <c r="JD1826" s="1530"/>
      <c r="JE1826" s="1530"/>
      <c r="JF1826" s="1530"/>
      <c r="JG1826" s="1530"/>
      <c r="JH1826" s="1530"/>
      <c r="JI1826" s="1530"/>
      <c r="JJ1826" s="1530"/>
      <c r="JK1826" s="1530"/>
      <c r="JL1826" s="1530"/>
      <c r="JM1826" s="1530"/>
      <c r="JN1826" s="1530"/>
      <c r="JO1826" s="1530"/>
      <c r="JP1826" s="1530"/>
      <c r="JQ1826" s="1530"/>
      <c r="JR1826" s="1530"/>
      <c r="JS1826" s="1530"/>
      <c r="JT1826" s="1530"/>
      <c r="JU1826" s="1530"/>
      <c r="JV1826" s="1530"/>
      <c r="JW1826" s="1530"/>
      <c r="JX1826" s="1530"/>
      <c r="JY1826" s="1530"/>
      <c r="JZ1826" s="1530"/>
      <c r="KA1826" s="1530"/>
      <c r="KB1826" s="1530"/>
      <c r="KC1826" s="1530"/>
      <c r="KD1826" s="1530"/>
      <c r="KE1826" s="1530"/>
      <c r="KF1826" s="1530"/>
      <c r="KG1826" s="1530"/>
      <c r="KH1826" s="1530"/>
      <c r="KI1826" s="1530"/>
      <c r="KJ1826" s="1530"/>
      <c r="KK1826" s="1530"/>
      <c r="KL1826" s="1530"/>
      <c r="KM1826" s="1530"/>
      <c r="KN1826" s="1530"/>
      <c r="KO1826" s="1530"/>
      <c r="KP1826" s="1530"/>
      <c r="KQ1826" s="1530"/>
      <c r="KR1826" s="1530"/>
      <c r="KS1826" s="1530"/>
      <c r="KT1826" s="1530"/>
      <c r="KU1826" s="1530"/>
      <c r="KV1826" s="1530"/>
      <c r="KW1826" s="1530"/>
      <c r="KX1826" s="1530"/>
      <c r="KY1826" s="1530"/>
      <c r="KZ1826" s="1530"/>
      <c r="LA1826" s="1530"/>
      <c r="LB1826" s="1530"/>
      <c r="LC1826" s="1530"/>
      <c r="LD1826" s="1530"/>
      <c r="LE1826" s="1530"/>
      <c r="LF1826" s="1530"/>
      <c r="LG1826" s="1530"/>
      <c r="LH1826" s="1530"/>
    </row>
    <row r="1827" spans="1:320" ht="12" customHeight="1">
      <c r="A1827" s="269" t="str">
        <f t="shared" si="511"/>
        <v>n</v>
      </c>
      <c r="B1827" s="2060"/>
      <c r="C1827" s="2060"/>
      <c r="D1827" s="2060"/>
      <c r="E1827" s="1661">
        <v>8</v>
      </c>
      <c r="F1827" s="1353" t="str">
        <f>F$136</f>
        <v>--</v>
      </c>
      <c r="G1827" s="128">
        <f>G$136</f>
        <v>0</v>
      </c>
      <c r="H1827" s="128" t="str">
        <f>H$136</f>
        <v>--</v>
      </c>
      <c r="I1827" s="89"/>
      <c r="J1827" s="2200" t="e">
        <f t="shared" si="508"/>
        <v>#N/A</v>
      </c>
      <c r="K1827" s="2200" t="e">
        <f t="shared" si="508"/>
        <v>#N/A</v>
      </c>
      <c r="L1827" s="2200" t="e">
        <f t="shared" ref="L1827:V1827" si="518">IFERROR(L1682/L1798,NA())</f>
        <v>#N/A</v>
      </c>
      <c r="M1827" s="2200" t="e">
        <f t="shared" si="518"/>
        <v>#N/A</v>
      </c>
      <c r="N1827" s="2200" t="e">
        <f t="shared" si="518"/>
        <v>#N/A</v>
      </c>
      <c r="O1827" s="2200" t="e">
        <f t="shared" si="518"/>
        <v>#N/A</v>
      </c>
      <c r="P1827" s="2200" t="e">
        <f t="shared" si="518"/>
        <v>#N/A</v>
      </c>
      <c r="Q1827" s="2200" t="e">
        <f t="shared" si="518"/>
        <v>#N/A</v>
      </c>
      <c r="R1827" s="2200" t="e">
        <f t="shared" si="518"/>
        <v>#N/A</v>
      </c>
      <c r="S1827" s="2200" t="e">
        <f t="shared" si="518"/>
        <v>#N/A</v>
      </c>
      <c r="T1827" s="2200" t="e">
        <f t="shared" si="518"/>
        <v>#N/A</v>
      </c>
      <c r="U1827" s="2200" t="e">
        <f t="shared" si="518"/>
        <v>#N/A</v>
      </c>
      <c r="V1827" s="2200" t="e">
        <f t="shared" si="518"/>
        <v>#N/A</v>
      </c>
      <c r="W1827" s="1479"/>
      <c r="X1827" s="255"/>
      <c r="Y1827" s="89"/>
      <c r="Z1827" s="2060"/>
      <c r="AA1827" s="2060"/>
      <c r="AB1827" s="2060"/>
      <c r="AC1827" s="2060"/>
      <c r="AD1827" s="2060"/>
      <c r="AE1827" s="2060"/>
      <c r="AF1827" s="2060"/>
      <c r="AG1827" s="1530"/>
      <c r="AH1827" s="1530"/>
      <c r="AI1827" s="1530"/>
      <c r="AJ1827" s="1530"/>
      <c r="AK1827" s="1530"/>
      <c r="AL1827" s="1530"/>
      <c r="AM1827" s="1530"/>
      <c r="AN1827" s="1530"/>
      <c r="AO1827" s="1530"/>
      <c r="AP1827" s="1530"/>
      <c r="AQ1827" s="1530"/>
      <c r="AR1827" s="1530"/>
      <c r="AS1827" s="1530"/>
      <c r="AT1827" s="1530"/>
      <c r="AU1827" s="1530"/>
      <c r="AV1827" s="1530"/>
      <c r="AW1827" s="1530"/>
      <c r="AX1827" s="1530"/>
      <c r="AY1827" s="1530"/>
      <c r="AZ1827" s="1530"/>
      <c r="BA1827" s="1530"/>
      <c r="BB1827" s="1530"/>
      <c r="BC1827" s="1530"/>
      <c r="BD1827" s="1530"/>
      <c r="BE1827" s="1530"/>
      <c r="BF1827" s="1530"/>
      <c r="BG1827" s="1530"/>
      <c r="BH1827" s="1530"/>
      <c r="BI1827" s="1530"/>
      <c r="BJ1827" s="1530"/>
      <c r="BK1827" s="1530"/>
      <c r="BL1827" s="1530"/>
      <c r="BM1827" s="1530"/>
      <c r="BN1827" s="1530"/>
      <c r="BO1827" s="1530"/>
      <c r="BP1827" s="1530"/>
      <c r="BQ1827" s="1530"/>
      <c r="BR1827" s="1530"/>
      <c r="BS1827" s="1530"/>
      <c r="BT1827" s="1530"/>
      <c r="BU1827" s="1530"/>
      <c r="BV1827" s="1530"/>
      <c r="BW1827" s="1530"/>
      <c r="BX1827" s="1530"/>
      <c r="BY1827" s="1530"/>
      <c r="BZ1827" s="1530"/>
      <c r="CA1827" s="1530"/>
      <c r="CB1827" s="1530"/>
      <c r="CC1827" s="1530"/>
      <c r="CD1827" s="1530"/>
      <c r="CE1827" s="1530"/>
      <c r="CF1827" s="1530"/>
      <c r="CG1827" s="1530"/>
      <c r="CH1827" s="1530"/>
      <c r="CI1827" s="1530"/>
      <c r="CJ1827" s="1530"/>
      <c r="CK1827" s="1530"/>
      <c r="CL1827" s="1530"/>
      <c r="CM1827" s="1530"/>
      <c r="CN1827" s="1530"/>
      <c r="CO1827" s="1530"/>
      <c r="CP1827" s="1530"/>
      <c r="CQ1827" s="1530"/>
      <c r="CR1827" s="1530"/>
      <c r="CS1827" s="1530"/>
      <c r="CT1827" s="1530"/>
      <c r="CU1827" s="1530"/>
      <c r="CV1827" s="1530"/>
      <c r="CW1827" s="1530"/>
      <c r="CX1827" s="1530"/>
      <c r="CY1827" s="1530"/>
      <c r="CZ1827" s="1530"/>
      <c r="DA1827" s="1530"/>
      <c r="DB1827" s="1530"/>
      <c r="DC1827" s="1530"/>
      <c r="DD1827" s="1530"/>
      <c r="DE1827" s="1530"/>
      <c r="DF1827" s="1530"/>
      <c r="DG1827" s="1530"/>
      <c r="DH1827" s="1530"/>
      <c r="DI1827" s="1530"/>
      <c r="DJ1827" s="1530"/>
      <c r="DK1827" s="1530"/>
      <c r="DL1827" s="1530"/>
      <c r="DM1827" s="1530"/>
      <c r="DN1827" s="1530"/>
      <c r="DO1827" s="1530"/>
      <c r="DP1827" s="1530"/>
      <c r="DQ1827" s="1530"/>
      <c r="DR1827" s="1530"/>
      <c r="DS1827" s="1530"/>
      <c r="DT1827" s="1530"/>
      <c r="DU1827" s="1530"/>
      <c r="DV1827" s="1530"/>
      <c r="DW1827" s="1530"/>
      <c r="DX1827" s="1530"/>
      <c r="DY1827" s="1530"/>
      <c r="DZ1827" s="1530"/>
      <c r="EA1827" s="1530"/>
      <c r="EB1827" s="1530"/>
      <c r="EC1827" s="1530"/>
      <c r="ED1827" s="1530"/>
      <c r="EE1827" s="1530"/>
      <c r="EF1827" s="1530"/>
      <c r="EG1827" s="1530"/>
      <c r="EH1827" s="1530"/>
      <c r="EI1827" s="1530"/>
      <c r="EJ1827" s="1530"/>
      <c r="EK1827" s="1530"/>
      <c r="EL1827" s="1530"/>
      <c r="EM1827" s="1530"/>
      <c r="EN1827" s="1530"/>
      <c r="EO1827" s="1530"/>
      <c r="EP1827" s="1530"/>
      <c r="EQ1827" s="1530"/>
      <c r="ER1827" s="1530"/>
      <c r="ES1827" s="1530"/>
      <c r="ET1827" s="1530"/>
      <c r="EU1827" s="1530"/>
      <c r="EV1827" s="1530"/>
      <c r="EW1827" s="1530"/>
      <c r="EX1827" s="1530"/>
      <c r="EY1827" s="1530"/>
      <c r="EZ1827" s="1530"/>
      <c r="FA1827" s="1530"/>
      <c r="FB1827" s="1530"/>
      <c r="FC1827" s="1530"/>
      <c r="FD1827" s="1530"/>
      <c r="FE1827" s="1530"/>
      <c r="FF1827" s="1530"/>
      <c r="FG1827" s="1530"/>
      <c r="FH1827" s="1530"/>
      <c r="FI1827" s="1530"/>
      <c r="FJ1827" s="1530"/>
      <c r="FK1827" s="1530"/>
      <c r="FL1827" s="1530"/>
      <c r="FM1827" s="1530"/>
      <c r="FN1827" s="1530"/>
      <c r="FO1827" s="1530"/>
      <c r="FP1827" s="1530"/>
      <c r="FQ1827" s="1530"/>
      <c r="FR1827" s="1530"/>
      <c r="FS1827" s="1530"/>
      <c r="FT1827" s="1530"/>
      <c r="FU1827" s="1530"/>
      <c r="FV1827" s="1530"/>
      <c r="FW1827" s="1530"/>
      <c r="FX1827" s="1530"/>
      <c r="FY1827" s="1530"/>
      <c r="FZ1827" s="1530"/>
      <c r="GA1827" s="1530"/>
      <c r="GB1827" s="1530"/>
      <c r="GC1827" s="1530"/>
      <c r="GD1827" s="1530"/>
      <c r="GE1827" s="1530"/>
      <c r="GF1827" s="1530"/>
      <c r="GG1827" s="1530"/>
      <c r="GH1827" s="1530"/>
      <c r="GI1827" s="1530"/>
      <c r="GJ1827" s="1530"/>
      <c r="GK1827" s="1530"/>
      <c r="GL1827" s="1530"/>
      <c r="GM1827" s="1530"/>
      <c r="GN1827" s="1530"/>
      <c r="GO1827" s="1530"/>
      <c r="GP1827" s="1530"/>
      <c r="GQ1827" s="1530"/>
      <c r="GR1827" s="1530"/>
      <c r="GS1827" s="1530"/>
      <c r="GT1827" s="1530"/>
      <c r="GU1827" s="1530"/>
      <c r="GV1827" s="1530"/>
      <c r="GW1827" s="1530"/>
      <c r="GX1827" s="1530"/>
      <c r="GY1827" s="1530"/>
      <c r="GZ1827" s="1530"/>
      <c r="HA1827" s="1530"/>
      <c r="HB1827" s="1530"/>
      <c r="HC1827" s="1530"/>
      <c r="HD1827" s="1530"/>
      <c r="HE1827" s="1530"/>
      <c r="HF1827" s="1530"/>
      <c r="HG1827" s="1530"/>
      <c r="HH1827" s="1530"/>
      <c r="HI1827" s="1530"/>
      <c r="HJ1827" s="1530"/>
      <c r="HK1827" s="1530"/>
      <c r="HL1827" s="1530"/>
      <c r="HM1827" s="1530"/>
      <c r="HN1827" s="1530"/>
      <c r="HO1827" s="1530"/>
      <c r="HP1827" s="1530"/>
      <c r="HQ1827" s="1530"/>
      <c r="HR1827" s="1530"/>
      <c r="HS1827" s="1530"/>
      <c r="HT1827" s="1530"/>
      <c r="HU1827" s="1530"/>
      <c r="HV1827" s="1530"/>
      <c r="HW1827" s="1530"/>
      <c r="HX1827" s="1530"/>
      <c r="HY1827" s="1530"/>
      <c r="HZ1827" s="1530"/>
      <c r="IA1827" s="1530"/>
      <c r="IB1827" s="1530"/>
      <c r="IC1827" s="1530"/>
      <c r="ID1827" s="1530"/>
      <c r="IE1827" s="1530"/>
      <c r="IF1827" s="1530"/>
      <c r="IG1827" s="1530"/>
      <c r="IH1827" s="1530"/>
      <c r="II1827" s="1530"/>
      <c r="IJ1827" s="1530"/>
      <c r="IK1827" s="1530"/>
      <c r="IL1827" s="1530"/>
      <c r="IM1827" s="1530"/>
      <c r="IN1827" s="1530"/>
      <c r="IO1827" s="1530"/>
      <c r="IP1827" s="1530"/>
      <c r="IQ1827" s="1530"/>
      <c r="IR1827" s="1530"/>
      <c r="IS1827" s="1530"/>
      <c r="IT1827" s="1530"/>
      <c r="IU1827" s="1530"/>
      <c r="IV1827" s="1530"/>
      <c r="IW1827" s="1530"/>
      <c r="IX1827" s="1530"/>
      <c r="IY1827" s="1530"/>
      <c r="IZ1827" s="1530"/>
      <c r="JA1827" s="1530"/>
      <c r="JB1827" s="1530"/>
      <c r="JC1827" s="1530"/>
      <c r="JD1827" s="1530"/>
      <c r="JE1827" s="1530"/>
      <c r="JF1827" s="1530"/>
      <c r="JG1827" s="1530"/>
      <c r="JH1827" s="1530"/>
      <c r="JI1827" s="1530"/>
      <c r="JJ1827" s="1530"/>
      <c r="JK1827" s="1530"/>
      <c r="JL1827" s="1530"/>
      <c r="JM1827" s="1530"/>
      <c r="JN1827" s="1530"/>
      <c r="JO1827" s="1530"/>
      <c r="JP1827" s="1530"/>
      <c r="JQ1827" s="1530"/>
      <c r="JR1827" s="1530"/>
      <c r="JS1827" s="1530"/>
      <c r="JT1827" s="1530"/>
      <c r="JU1827" s="1530"/>
      <c r="JV1827" s="1530"/>
      <c r="JW1827" s="1530"/>
      <c r="JX1827" s="1530"/>
      <c r="JY1827" s="1530"/>
      <c r="JZ1827" s="1530"/>
      <c r="KA1827" s="1530"/>
      <c r="KB1827" s="1530"/>
      <c r="KC1827" s="1530"/>
      <c r="KD1827" s="1530"/>
      <c r="KE1827" s="1530"/>
      <c r="KF1827" s="1530"/>
      <c r="KG1827" s="1530"/>
      <c r="KH1827" s="1530"/>
      <c r="KI1827" s="1530"/>
      <c r="KJ1827" s="1530"/>
      <c r="KK1827" s="1530"/>
      <c r="KL1827" s="1530"/>
      <c r="KM1827" s="1530"/>
      <c r="KN1827" s="1530"/>
      <c r="KO1827" s="1530"/>
      <c r="KP1827" s="1530"/>
      <c r="KQ1827" s="1530"/>
      <c r="KR1827" s="1530"/>
      <c r="KS1827" s="1530"/>
      <c r="KT1827" s="1530"/>
      <c r="KU1827" s="1530"/>
      <c r="KV1827" s="1530"/>
      <c r="KW1827" s="1530"/>
      <c r="KX1827" s="1530"/>
      <c r="KY1827" s="1530"/>
      <c r="KZ1827" s="1530"/>
      <c r="LA1827" s="1530"/>
      <c r="LB1827" s="1530"/>
      <c r="LC1827" s="1530"/>
      <c r="LD1827" s="1530"/>
      <c r="LE1827" s="1530"/>
      <c r="LF1827" s="1530"/>
      <c r="LG1827" s="1530"/>
      <c r="LH1827" s="1530"/>
    </row>
    <row r="1828" spans="1:320" ht="12" customHeight="1">
      <c r="A1828" s="269" t="str">
        <f t="shared" si="511"/>
        <v>n</v>
      </c>
      <c r="B1828" s="2060"/>
      <c r="C1828" s="2060"/>
      <c r="D1828" s="2060"/>
      <c r="E1828" s="1661">
        <v>9</v>
      </c>
      <c r="F1828" s="1353" t="str">
        <f>F$137</f>
        <v>--</v>
      </c>
      <c r="G1828" s="128">
        <f>G$137</f>
        <v>0</v>
      </c>
      <c r="H1828" s="128" t="str">
        <f>H$137</f>
        <v>--</v>
      </c>
      <c r="I1828" s="89"/>
      <c r="J1828" s="2200" t="e">
        <f t="shared" si="508"/>
        <v>#N/A</v>
      </c>
      <c r="K1828" s="2200" t="e">
        <f t="shared" si="508"/>
        <v>#N/A</v>
      </c>
      <c r="L1828" s="2200" t="e">
        <f t="shared" ref="L1828:V1828" si="519">IFERROR(L1683/L1799,NA())</f>
        <v>#N/A</v>
      </c>
      <c r="M1828" s="2200" t="e">
        <f t="shared" si="519"/>
        <v>#N/A</v>
      </c>
      <c r="N1828" s="2200" t="e">
        <f t="shared" si="519"/>
        <v>#N/A</v>
      </c>
      <c r="O1828" s="2200" t="e">
        <f t="shared" si="519"/>
        <v>#N/A</v>
      </c>
      <c r="P1828" s="2200" t="e">
        <f t="shared" si="519"/>
        <v>#N/A</v>
      </c>
      <c r="Q1828" s="2200" t="e">
        <f t="shared" si="519"/>
        <v>#N/A</v>
      </c>
      <c r="R1828" s="2200" t="e">
        <f t="shared" si="519"/>
        <v>#N/A</v>
      </c>
      <c r="S1828" s="2200" t="e">
        <f t="shared" si="519"/>
        <v>#N/A</v>
      </c>
      <c r="T1828" s="2200" t="e">
        <f t="shared" si="519"/>
        <v>#N/A</v>
      </c>
      <c r="U1828" s="2200" t="e">
        <f t="shared" si="519"/>
        <v>#N/A</v>
      </c>
      <c r="V1828" s="2200" t="e">
        <f t="shared" si="519"/>
        <v>#N/A</v>
      </c>
      <c r="W1828" s="1479"/>
      <c r="X1828" s="255"/>
      <c r="Y1828" s="89"/>
      <c r="Z1828" s="2060"/>
      <c r="AA1828" s="2060"/>
      <c r="AB1828" s="2060"/>
      <c r="AC1828" s="2060"/>
      <c r="AD1828" s="2060"/>
      <c r="AE1828" s="2060"/>
      <c r="AF1828" s="2060"/>
      <c r="AG1828" s="1530"/>
      <c r="AH1828" s="1530"/>
      <c r="AI1828" s="1530"/>
      <c r="AJ1828" s="1530"/>
      <c r="AK1828" s="1530"/>
      <c r="AL1828" s="1530"/>
      <c r="AM1828" s="1530"/>
      <c r="AN1828" s="1530"/>
      <c r="AO1828" s="1530"/>
      <c r="AP1828" s="1530"/>
      <c r="AQ1828" s="1530"/>
      <c r="AR1828" s="1530"/>
      <c r="AS1828" s="1530"/>
      <c r="AT1828" s="1530"/>
      <c r="AU1828" s="1530"/>
      <c r="AV1828" s="1530"/>
      <c r="AW1828" s="1530"/>
      <c r="AX1828" s="1530"/>
      <c r="AY1828" s="1530"/>
      <c r="AZ1828" s="1530"/>
      <c r="BA1828" s="1530"/>
      <c r="BB1828" s="1530"/>
      <c r="BC1828" s="1530"/>
      <c r="BD1828" s="1530"/>
      <c r="BE1828" s="1530"/>
      <c r="BF1828" s="1530"/>
      <c r="BG1828" s="1530"/>
      <c r="BH1828" s="1530"/>
      <c r="BI1828" s="1530"/>
      <c r="BJ1828" s="1530"/>
      <c r="BK1828" s="1530"/>
      <c r="BL1828" s="1530"/>
      <c r="BM1828" s="1530"/>
      <c r="BN1828" s="1530"/>
      <c r="BO1828" s="1530"/>
      <c r="BP1828" s="1530"/>
      <c r="BQ1828" s="1530"/>
      <c r="BR1828" s="1530"/>
      <c r="BS1828" s="1530"/>
      <c r="BT1828" s="1530"/>
      <c r="BU1828" s="1530"/>
      <c r="BV1828" s="1530"/>
      <c r="BW1828" s="1530"/>
      <c r="BX1828" s="1530"/>
      <c r="BY1828" s="1530"/>
      <c r="BZ1828" s="1530"/>
      <c r="CA1828" s="1530"/>
      <c r="CB1828" s="1530"/>
      <c r="CC1828" s="1530"/>
      <c r="CD1828" s="1530"/>
      <c r="CE1828" s="1530"/>
      <c r="CF1828" s="1530"/>
      <c r="CG1828" s="1530"/>
      <c r="CH1828" s="1530"/>
      <c r="CI1828" s="1530"/>
      <c r="CJ1828" s="1530"/>
      <c r="CK1828" s="1530"/>
      <c r="CL1828" s="1530"/>
      <c r="CM1828" s="1530"/>
      <c r="CN1828" s="1530"/>
      <c r="CO1828" s="1530"/>
      <c r="CP1828" s="1530"/>
      <c r="CQ1828" s="1530"/>
      <c r="CR1828" s="1530"/>
      <c r="CS1828" s="1530"/>
      <c r="CT1828" s="1530"/>
      <c r="CU1828" s="1530"/>
      <c r="CV1828" s="1530"/>
      <c r="CW1828" s="1530"/>
      <c r="CX1828" s="1530"/>
      <c r="CY1828" s="1530"/>
      <c r="CZ1828" s="1530"/>
      <c r="DA1828" s="1530"/>
      <c r="DB1828" s="1530"/>
      <c r="DC1828" s="1530"/>
      <c r="DD1828" s="1530"/>
      <c r="DE1828" s="1530"/>
      <c r="DF1828" s="1530"/>
      <c r="DG1828" s="1530"/>
      <c r="DH1828" s="1530"/>
      <c r="DI1828" s="1530"/>
      <c r="DJ1828" s="1530"/>
      <c r="DK1828" s="1530"/>
      <c r="DL1828" s="1530"/>
      <c r="DM1828" s="1530"/>
      <c r="DN1828" s="1530"/>
      <c r="DO1828" s="1530"/>
      <c r="DP1828" s="1530"/>
      <c r="DQ1828" s="1530"/>
      <c r="DR1828" s="1530"/>
      <c r="DS1828" s="1530"/>
      <c r="DT1828" s="1530"/>
      <c r="DU1828" s="1530"/>
      <c r="DV1828" s="1530"/>
      <c r="DW1828" s="1530"/>
      <c r="DX1828" s="1530"/>
      <c r="DY1828" s="1530"/>
      <c r="DZ1828" s="1530"/>
      <c r="EA1828" s="1530"/>
      <c r="EB1828" s="1530"/>
      <c r="EC1828" s="1530"/>
      <c r="ED1828" s="1530"/>
      <c r="EE1828" s="1530"/>
      <c r="EF1828" s="1530"/>
      <c r="EG1828" s="1530"/>
      <c r="EH1828" s="1530"/>
      <c r="EI1828" s="1530"/>
      <c r="EJ1828" s="1530"/>
      <c r="EK1828" s="1530"/>
      <c r="EL1828" s="1530"/>
      <c r="EM1828" s="1530"/>
      <c r="EN1828" s="1530"/>
      <c r="EO1828" s="1530"/>
      <c r="EP1828" s="1530"/>
      <c r="EQ1828" s="1530"/>
      <c r="ER1828" s="1530"/>
      <c r="ES1828" s="1530"/>
      <c r="ET1828" s="1530"/>
      <c r="EU1828" s="1530"/>
      <c r="EV1828" s="1530"/>
      <c r="EW1828" s="1530"/>
      <c r="EX1828" s="1530"/>
      <c r="EY1828" s="1530"/>
      <c r="EZ1828" s="1530"/>
      <c r="FA1828" s="1530"/>
      <c r="FB1828" s="1530"/>
      <c r="FC1828" s="1530"/>
      <c r="FD1828" s="1530"/>
      <c r="FE1828" s="1530"/>
      <c r="FF1828" s="1530"/>
      <c r="FG1828" s="1530"/>
      <c r="FH1828" s="1530"/>
      <c r="FI1828" s="1530"/>
      <c r="FJ1828" s="1530"/>
      <c r="FK1828" s="1530"/>
      <c r="FL1828" s="1530"/>
      <c r="FM1828" s="1530"/>
      <c r="FN1828" s="1530"/>
      <c r="FO1828" s="1530"/>
      <c r="FP1828" s="1530"/>
      <c r="FQ1828" s="1530"/>
      <c r="FR1828" s="1530"/>
      <c r="FS1828" s="1530"/>
      <c r="FT1828" s="1530"/>
      <c r="FU1828" s="1530"/>
      <c r="FV1828" s="1530"/>
      <c r="FW1828" s="1530"/>
      <c r="FX1828" s="1530"/>
      <c r="FY1828" s="1530"/>
      <c r="FZ1828" s="1530"/>
      <c r="GA1828" s="1530"/>
      <c r="GB1828" s="1530"/>
      <c r="GC1828" s="1530"/>
      <c r="GD1828" s="1530"/>
      <c r="GE1828" s="1530"/>
      <c r="GF1828" s="1530"/>
      <c r="GG1828" s="1530"/>
      <c r="GH1828" s="1530"/>
      <c r="GI1828" s="1530"/>
      <c r="GJ1828" s="1530"/>
      <c r="GK1828" s="1530"/>
      <c r="GL1828" s="1530"/>
      <c r="GM1828" s="1530"/>
      <c r="GN1828" s="1530"/>
      <c r="GO1828" s="1530"/>
      <c r="GP1828" s="1530"/>
      <c r="GQ1828" s="1530"/>
      <c r="GR1828" s="1530"/>
      <c r="GS1828" s="1530"/>
      <c r="GT1828" s="1530"/>
      <c r="GU1828" s="1530"/>
      <c r="GV1828" s="1530"/>
      <c r="GW1828" s="1530"/>
      <c r="GX1828" s="1530"/>
      <c r="GY1828" s="1530"/>
      <c r="GZ1828" s="1530"/>
      <c r="HA1828" s="1530"/>
      <c r="HB1828" s="1530"/>
      <c r="HC1828" s="1530"/>
      <c r="HD1828" s="1530"/>
      <c r="HE1828" s="1530"/>
      <c r="HF1828" s="1530"/>
      <c r="HG1828" s="1530"/>
      <c r="HH1828" s="1530"/>
      <c r="HI1828" s="1530"/>
      <c r="HJ1828" s="1530"/>
      <c r="HK1828" s="1530"/>
      <c r="HL1828" s="1530"/>
      <c r="HM1828" s="1530"/>
      <c r="HN1828" s="1530"/>
      <c r="HO1828" s="1530"/>
      <c r="HP1828" s="1530"/>
      <c r="HQ1828" s="1530"/>
      <c r="HR1828" s="1530"/>
      <c r="HS1828" s="1530"/>
      <c r="HT1828" s="1530"/>
      <c r="HU1828" s="1530"/>
      <c r="HV1828" s="1530"/>
      <c r="HW1828" s="1530"/>
      <c r="HX1828" s="1530"/>
      <c r="HY1828" s="1530"/>
      <c r="HZ1828" s="1530"/>
      <c r="IA1828" s="1530"/>
      <c r="IB1828" s="1530"/>
      <c r="IC1828" s="1530"/>
      <c r="ID1828" s="1530"/>
      <c r="IE1828" s="1530"/>
      <c r="IF1828" s="1530"/>
      <c r="IG1828" s="1530"/>
      <c r="IH1828" s="1530"/>
      <c r="II1828" s="1530"/>
      <c r="IJ1828" s="1530"/>
      <c r="IK1828" s="1530"/>
      <c r="IL1828" s="1530"/>
      <c r="IM1828" s="1530"/>
      <c r="IN1828" s="1530"/>
      <c r="IO1828" s="1530"/>
      <c r="IP1828" s="1530"/>
      <c r="IQ1828" s="1530"/>
      <c r="IR1828" s="1530"/>
      <c r="IS1828" s="1530"/>
      <c r="IT1828" s="1530"/>
      <c r="IU1828" s="1530"/>
      <c r="IV1828" s="1530"/>
      <c r="IW1828" s="1530"/>
      <c r="IX1828" s="1530"/>
      <c r="IY1828" s="1530"/>
      <c r="IZ1828" s="1530"/>
      <c r="JA1828" s="1530"/>
      <c r="JB1828" s="1530"/>
      <c r="JC1828" s="1530"/>
      <c r="JD1828" s="1530"/>
      <c r="JE1828" s="1530"/>
      <c r="JF1828" s="1530"/>
      <c r="JG1828" s="1530"/>
      <c r="JH1828" s="1530"/>
      <c r="JI1828" s="1530"/>
      <c r="JJ1828" s="1530"/>
      <c r="JK1828" s="1530"/>
      <c r="JL1828" s="1530"/>
      <c r="JM1828" s="1530"/>
      <c r="JN1828" s="1530"/>
      <c r="JO1828" s="1530"/>
      <c r="JP1828" s="1530"/>
      <c r="JQ1828" s="1530"/>
      <c r="JR1828" s="1530"/>
      <c r="JS1828" s="1530"/>
      <c r="JT1828" s="1530"/>
      <c r="JU1828" s="1530"/>
      <c r="JV1828" s="1530"/>
      <c r="JW1828" s="1530"/>
      <c r="JX1828" s="1530"/>
      <c r="JY1828" s="1530"/>
      <c r="JZ1828" s="1530"/>
      <c r="KA1828" s="1530"/>
      <c r="KB1828" s="1530"/>
      <c r="KC1828" s="1530"/>
      <c r="KD1828" s="1530"/>
      <c r="KE1828" s="1530"/>
      <c r="KF1828" s="1530"/>
      <c r="KG1828" s="1530"/>
      <c r="KH1828" s="1530"/>
      <c r="KI1828" s="1530"/>
      <c r="KJ1828" s="1530"/>
      <c r="KK1828" s="1530"/>
      <c r="KL1828" s="1530"/>
      <c r="KM1828" s="1530"/>
      <c r="KN1828" s="1530"/>
      <c r="KO1828" s="1530"/>
      <c r="KP1828" s="1530"/>
      <c r="KQ1828" s="1530"/>
      <c r="KR1828" s="1530"/>
      <c r="KS1828" s="1530"/>
      <c r="KT1828" s="1530"/>
      <c r="KU1828" s="1530"/>
      <c r="KV1828" s="1530"/>
      <c r="KW1828" s="1530"/>
      <c r="KX1828" s="1530"/>
      <c r="KY1828" s="1530"/>
      <c r="KZ1828" s="1530"/>
      <c r="LA1828" s="1530"/>
      <c r="LB1828" s="1530"/>
      <c r="LC1828" s="1530"/>
      <c r="LD1828" s="1530"/>
      <c r="LE1828" s="1530"/>
      <c r="LF1828" s="1530"/>
      <c r="LG1828" s="1530"/>
      <c r="LH1828" s="1530"/>
    </row>
    <row r="1829" spans="1:320" ht="12" customHeight="1">
      <c r="A1829" s="269" t="str">
        <f t="shared" si="511"/>
        <v>n</v>
      </c>
      <c r="B1829" s="2060"/>
      <c r="C1829" s="2060"/>
      <c r="D1829" s="2060"/>
      <c r="E1829" s="1661">
        <v>10</v>
      </c>
      <c r="F1829" s="1353" t="str">
        <f>F$138</f>
        <v>--</v>
      </c>
      <c r="G1829" s="128">
        <f>G$138</f>
        <v>0</v>
      </c>
      <c r="H1829" s="128" t="str">
        <f>H$138</f>
        <v>--</v>
      </c>
      <c r="I1829" s="89"/>
      <c r="J1829" s="2200" t="e">
        <f t="shared" si="508"/>
        <v>#N/A</v>
      </c>
      <c r="K1829" s="2200" t="e">
        <f t="shared" si="508"/>
        <v>#N/A</v>
      </c>
      <c r="L1829" s="2200" t="e">
        <f t="shared" ref="L1829:V1829" si="520">IFERROR(L1684/L1800,NA())</f>
        <v>#N/A</v>
      </c>
      <c r="M1829" s="2200" t="e">
        <f t="shared" si="520"/>
        <v>#N/A</v>
      </c>
      <c r="N1829" s="2200" t="e">
        <f t="shared" si="520"/>
        <v>#N/A</v>
      </c>
      <c r="O1829" s="2200" t="e">
        <f t="shared" si="520"/>
        <v>#N/A</v>
      </c>
      <c r="P1829" s="2200" t="e">
        <f t="shared" si="520"/>
        <v>#N/A</v>
      </c>
      <c r="Q1829" s="2200" t="e">
        <f t="shared" si="520"/>
        <v>#N/A</v>
      </c>
      <c r="R1829" s="2200" t="e">
        <f t="shared" si="520"/>
        <v>#N/A</v>
      </c>
      <c r="S1829" s="2200" t="e">
        <f t="shared" si="520"/>
        <v>#N/A</v>
      </c>
      <c r="T1829" s="2200" t="e">
        <f t="shared" si="520"/>
        <v>#N/A</v>
      </c>
      <c r="U1829" s="2200" t="e">
        <f t="shared" si="520"/>
        <v>#N/A</v>
      </c>
      <c r="V1829" s="2200" t="e">
        <f t="shared" si="520"/>
        <v>#N/A</v>
      </c>
      <c r="W1829" s="1479"/>
      <c r="X1829" s="255"/>
      <c r="Y1829" s="89"/>
      <c r="Z1829" s="2060"/>
      <c r="AA1829" s="2060"/>
      <c r="AB1829" s="2060"/>
      <c r="AC1829" s="2060"/>
      <c r="AD1829" s="2060"/>
      <c r="AE1829" s="2060"/>
      <c r="AF1829" s="2060"/>
      <c r="AG1829" s="1530"/>
      <c r="AH1829" s="1530"/>
      <c r="AI1829" s="1530"/>
      <c r="AJ1829" s="1530"/>
      <c r="AK1829" s="1530"/>
      <c r="AL1829" s="1530"/>
      <c r="AM1829" s="1530"/>
      <c r="AN1829" s="1530"/>
      <c r="AO1829" s="1530"/>
      <c r="AP1829" s="1530"/>
      <c r="AQ1829" s="1530"/>
      <c r="AR1829" s="1530"/>
      <c r="AS1829" s="1530"/>
      <c r="AT1829" s="1530"/>
      <c r="AU1829" s="1530"/>
      <c r="AV1829" s="1530"/>
      <c r="AW1829" s="1530"/>
      <c r="AX1829" s="1530"/>
      <c r="AY1829" s="1530"/>
      <c r="AZ1829" s="1530"/>
      <c r="BA1829" s="1530"/>
      <c r="BB1829" s="1530"/>
      <c r="BC1829" s="1530"/>
      <c r="BD1829" s="1530"/>
      <c r="BE1829" s="1530"/>
      <c r="BF1829" s="1530"/>
      <c r="BG1829" s="1530"/>
      <c r="BH1829" s="1530"/>
      <c r="BI1829" s="1530"/>
      <c r="BJ1829" s="1530"/>
      <c r="BK1829" s="1530"/>
      <c r="BL1829" s="1530"/>
      <c r="BM1829" s="1530"/>
      <c r="BN1829" s="1530"/>
      <c r="BO1829" s="1530"/>
      <c r="BP1829" s="1530"/>
      <c r="BQ1829" s="1530"/>
      <c r="BR1829" s="1530"/>
      <c r="BS1829" s="1530"/>
      <c r="BT1829" s="1530"/>
      <c r="BU1829" s="1530"/>
      <c r="BV1829" s="1530"/>
      <c r="BW1829" s="1530"/>
      <c r="BX1829" s="1530"/>
      <c r="BY1829" s="1530"/>
      <c r="BZ1829" s="1530"/>
      <c r="CA1829" s="1530"/>
      <c r="CB1829" s="1530"/>
      <c r="CC1829" s="1530"/>
      <c r="CD1829" s="1530"/>
      <c r="CE1829" s="1530"/>
      <c r="CF1829" s="1530"/>
      <c r="CG1829" s="1530"/>
      <c r="CH1829" s="1530"/>
      <c r="CI1829" s="1530"/>
      <c r="CJ1829" s="1530"/>
      <c r="CK1829" s="1530"/>
      <c r="CL1829" s="1530"/>
      <c r="CM1829" s="1530"/>
      <c r="CN1829" s="1530"/>
      <c r="CO1829" s="1530"/>
      <c r="CP1829" s="1530"/>
      <c r="CQ1829" s="1530"/>
      <c r="CR1829" s="1530"/>
      <c r="CS1829" s="1530"/>
      <c r="CT1829" s="1530"/>
      <c r="CU1829" s="1530"/>
      <c r="CV1829" s="1530"/>
      <c r="CW1829" s="1530"/>
      <c r="CX1829" s="1530"/>
      <c r="CY1829" s="1530"/>
      <c r="CZ1829" s="1530"/>
      <c r="DA1829" s="1530"/>
      <c r="DB1829" s="1530"/>
      <c r="DC1829" s="1530"/>
      <c r="DD1829" s="1530"/>
      <c r="DE1829" s="1530"/>
      <c r="DF1829" s="1530"/>
      <c r="DG1829" s="1530"/>
      <c r="DH1829" s="1530"/>
      <c r="DI1829" s="1530"/>
      <c r="DJ1829" s="1530"/>
      <c r="DK1829" s="1530"/>
      <c r="DL1829" s="1530"/>
      <c r="DM1829" s="1530"/>
      <c r="DN1829" s="1530"/>
      <c r="DO1829" s="1530"/>
      <c r="DP1829" s="1530"/>
      <c r="DQ1829" s="1530"/>
      <c r="DR1829" s="1530"/>
      <c r="DS1829" s="1530"/>
      <c r="DT1829" s="1530"/>
      <c r="DU1829" s="1530"/>
      <c r="DV1829" s="1530"/>
      <c r="DW1829" s="1530"/>
      <c r="DX1829" s="1530"/>
      <c r="DY1829" s="1530"/>
      <c r="DZ1829" s="1530"/>
      <c r="EA1829" s="1530"/>
      <c r="EB1829" s="1530"/>
      <c r="EC1829" s="1530"/>
      <c r="ED1829" s="1530"/>
      <c r="EE1829" s="1530"/>
      <c r="EF1829" s="1530"/>
      <c r="EG1829" s="1530"/>
      <c r="EH1829" s="1530"/>
      <c r="EI1829" s="1530"/>
      <c r="EJ1829" s="1530"/>
      <c r="EK1829" s="1530"/>
      <c r="EL1829" s="1530"/>
      <c r="EM1829" s="1530"/>
      <c r="EN1829" s="1530"/>
      <c r="EO1829" s="1530"/>
      <c r="EP1829" s="1530"/>
      <c r="EQ1829" s="1530"/>
      <c r="ER1829" s="1530"/>
      <c r="ES1829" s="1530"/>
      <c r="ET1829" s="1530"/>
      <c r="EU1829" s="1530"/>
      <c r="EV1829" s="1530"/>
      <c r="EW1829" s="1530"/>
      <c r="EX1829" s="1530"/>
      <c r="EY1829" s="1530"/>
      <c r="EZ1829" s="1530"/>
      <c r="FA1829" s="1530"/>
      <c r="FB1829" s="1530"/>
      <c r="FC1829" s="1530"/>
      <c r="FD1829" s="1530"/>
      <c r="FE1829" s="1530"/>
      <c r="FF1829" s="1530"/>
      <c r="FG1829" s="1530"/>
      <c r="FH1829" s="1530"/>
      <c r="FI1829" s="1530"/>
      <c r="FJ1829" s="1530"/>
      <c r="FK1829" s="1530"/>
      <c r="FL1829" s="1530"/>
      <c r="FM1829" s="1530"/>
      <c r="FN1829" s="1530"/>
      <c r="FO1829" s="1530"/>
      <c r="FP1829" s="1530"/>
      <c r="FQ1829" s="1530"/>
      <c r="FR1829" s="1530"/>
      <c r="FS1829" s="1530"/>
      <c r="FT1829" s="1530"/>
      <c r="FU1829" s="1530"/>
      <c r="FV1829" s="1530"/>
      <c r="FW1829" s="1530"/>
      <c r="FX1829" s="1530"/>
      <c r="FY1829" s="1530"/>
      <c r="FZ1829" s="1530"/>
      <c r="GA1829" s="1530"/>
      <c r="GB1829" s="1530"/>
      <c r="GC1829" s="1530"/>
      <c r="GD1829" s="1530"/>
      <c r="GE1829" s="1530"/>
      <c r="GF1829" s="1530"/>
      <c r="GG1829" s="1530"/>
      <c r="GH1829" s="1530"/>
      <c r="GI1829" s="1530"/>
      <c r="GJ1829" s="1530"/>
      <c r="GK1829" s="1530"/>
      <c r="GL1829" s="1530"/>
      <c r="GM1829" s="1530"/>
      <c r="GN1829" s="1530"/>
      <c r="GO1829" s="1530"/>
      <c r="GP1829" s="1530"/>
      <c r="GQ1829" s="1530"/>
      <c r="GR1829" s="1530"/>
      <c r="GS1829" s="1530"/>
      <c r="GT1829" s="1530"/>
      <c r="GU1829" s="1530"/>
      <c r="GV1829" s="1530"/>
      <c r="GW1829" s="1530"/>
      <c r="GX1829" s="1530"/>
      <c r="GY1829" s="1530"/>
      <c r="GZ1829" s="1530"/>
      <c r="HA1829" s="1530"/>
      <c r="HB1829" s="1530"/>
      <c r="HC1829" s="1530"/>
      <c r="HD1829" s="1530"/>
      <c r="HE1829" s="1530"/>
      <c r="HF1829" s="1530"/>
      <c r="HG1829" s="1530"/>
      <c r="HH1829" s="1530"/>
      <c r="HI1829" s="1530"/>
      <c r="HJ1829" s="1530"/>
      <c r="HK1829" s="1530"/>
      <c r="HL1829" s="1530"/>
      <c r="HM1829" s="1530"/>
      <c r="HN1829" s="1530"/>
      <c r="HO1829" s="1530"/>
      <c r="HP1829" s="1530"/>
      <c r="HQ1829" s="1530"/>
      <c r="HR1829" s="1530"/>
      <c r="HS1829" s="1530"/>
      <c r="HT1829" s="1530"/>
      <c r="HU1829" s="1530"/>
      <c r="HV1829" s="1530"/>
      <c r="HW1829" s="1530"/>
      <c r="HX1829" s="1530"/>
      <c r="HY1829" s="1530"/>
      <c r="HZ1829" s="1530"/>
      <c r="IA1829" s="1530"/>
      <c r="IB1829" s="1530"/>
      <c r="IC1829" s="1530"/>
      <c r="ID1829" s="1530"/>
      <c r="IE1829" s="1530"/>
      <c r="IF1829" s="1530"/>
      <c r="IG1829" s="1530"/>
      <c r="IH1829" s="1530"/>
      <c r="II1829" s="1530"/>
      <c r="IJ1829" s="1530"/>
      <c r="IK1829" s="1530"/>
      <c r="IL1829" s="1530"/>
      <c r="IM1829" s="1530"/>
      <c r="IN1829" s="1530"/>
      <c r="IO1829" s="1530"/>
      <c r="IP1829" s="1530"/>
      <c r="IQ1829" s="1530"/>
      <c r="IR1829" s="1530"/>
      <c r="IS1829" s="1530"/>
      <c r="IT1829" s="1530"/>
      <c r="IU1829" s="1530"/>
      <c r="IV1829" s="1530"/>
      <c r="IW1829" s="1530"/>
      <c r="IX1829" s="1530"/>
      <c r="IY1829" s="1530"/>
      <c r="IZ1829" s="1530"/>
      <c r="JA1829" s="1530"/>
      <c r="JB1829" s="1530"/>
      <c r="JC1829" s="1530"/>
      <c r="JD1829" s="1530"/>
      <c r="JE1829" s="1530"/>
      <c r="JF1829" s="1530"/>
      <c r="JG1829" s="1530"/>
      <c r="JH1829" s="1530"/>
      <c r="JI1829" s="1530"/>
      <c r="JJ1829" s="1530"/>
      <c r="JK1829" s="1530"/>
      <c r="JL1829" s="1530"/>
      <c r="JM1829" s="1530"/>
      <c r="JN1829" s="1530"/>
      <c r="JO1829" s="1530"/>
      <c r="JP1829" s="1530"/>
      <c r="JQ1829" s="1530"/>
      <c r="JR1829" s="1530"/>
      <c r="JS1829" s="1530"/>
      <c r="JT1829" s="1530"/>
      <c r="JU1829" s="1530"/>
      <c r="JV1829" s="1530"/>
      <c r="JW1829" s="1530"/>
      <c r="JX1829" s="1530"/>
      <c r="JY1829" s="1530"/>
      <c r="JZ1829" s="1530"/>
      <c r="KA1829" s="1530"/>
      <c r="KB1829" s="1530"/>
      <c r="KC1829" s="1530"/>
      <c r="KD1829" s="1530"/>
      <c r="KE1829" s="1530"/>
      <c r="KF1829" s="1530"/>
      <c r="KG1829" s="1530"/>
      <c r="KH1829" s="1530"/>
      <c r="KI1829" s="1530"/>
      <c r="KJ1829" s="1530"/>
      <c r="KK1829" s="1530"/>
      <c r="KL1829" s="1530"/>
      <c r="KM1829" s="1530"/>
      <c r="KN1829" s="1530"/>
      <c r="KO1829" s="1530"/>
      <c r="KP1829" s="1530"/>
      <c r="KQ1829" s="1530"/>
      <c r="KR1829" s="1530"/>
      <c r="KS1829" s="1530"/>
      <c r="KT1829" s="1530"/>
      <c r="KU1829" s="1530"/>
      <c r="KV1829" s="1530"/>
      <c r="KW1829" s="1530"/>
      <c r="KX1829" s="1530"/>
      <c r="KY1829" s="1530"/>
      <c r="KZ1829" s="1530"/>
      <c r="LA1829" s="1530"/>
      <c r="LB1829" s="1530"/>
      <c r="LC1829" s="1530"/>
      <c r="LD1829" s="1530"/>
      <c r="LE1829" s="1530"/>
      <c r="LF1829" s="1530"/>
      <c r="LG1829" s="1530"/>
      <c r="LH1829" s="1530"/>
    </row>
    <row r="1830" spans="1:320" ht="12" customHeight="1">
      <c r="A1830" s="269" t="str">
        <f t="shared" si="511"/>
        <v>n</v>
      </c>
      <c r="B1830" s="2060"/>
      <c r="C1830" s="2060"/>
      <c r="D1830" s="2060"/>
      <c r="E1830" s="1661">
        <v>11</v>
      </c>
      <c r="F1830" s="1353" t="str">
        <f>F$139</f>
        <v>--</v>
      </c>
      <c r="G1830" s="128">
        <f>G$139</f>
        <v>0</v>
      </c>
      <c r="H1830" s="128" t="str">
        <f>H$139</f>
        <v>--</v>
      </c>
      <c r="I1830" s="89"/>
      <c r="J1830" s="2200" t="e">
        <f t="shared" si="508"/>
        <v>#N/A</v>
      </c>
      <c r="K1830" s="2200" t="e">
        <f t="shared" si="508"/>
        <v>#N/A</v>
      </c>
      <c r="L1830" s="2200" t="e">
        <f t="shared" ref="L1830:V1830" si="521">IFERROR(L1685/L1801,NA())</f>
        <v>#N/A</v>
      </c>
      <c r="M1830" s="2200" t="e">
        <f t="shared" si="521"/>
        <v>#N/A</v>
      </c>
      <c r="N1830" s="2200" t="e">
        <f t="shared" si="521"/>
        <v>#N/A</v>
      </c>
      <c r="O1830" s="2200" t="e">
        <f t="shared" si="521"/>
        <v>#N/A</v>
      </c>
      <c r="P1830" s="2200" t="e">
        <f t="shared" si="521"/>
        <v>#N/A</v>
      </c>
      <c r="Q1830" s="2200" t="e">
        <f t="shared" si="521"/>
        <v>#N/A</v>
      </c>
      <c r="R1830" s="2200" t="e">
        <f t="shared" si="521"/>
        <v>#N/A</v>
      </c>
      <c r="S1830" s="2200" t="e">
        <f t="shared" si="521"/>
        <v>#N/A</v>
      </c>
      <c r="T1830" s="2200" t="e">
        <f t="shared" si="521"/>
        <v>#N/A</v>
      </c>
      <c r="U1830" s="2200" t="e">
        <f t="shared" si="521"/>
        <v>#N/A</v>
      </c>
      <c r="V1830" s="2200" t="e">
        <f t="shared" si="521"/>
        <v>#N/A</v>
      </c>
      <c r="W1830" s="1479"/>
      <c r="X1830" s="255"/>
      <c r="Y1830" s="89"/>
      <c r="Z1830" s="2060"/>
      <c r="AA1830" s="2060"/>
      <c r="AB1830" s="2060"/>
      <c r="AC1830" s="2060"/>
      <c r="AD1830" s="2060"/>
      <c r="AE1830" s="2060"/>
      <c r="AF1830" s="2060"/>
      <c r="AG1830" s="1530"/>
      <c r="AH1830" s="1530"/>
      <c r="AI1830" s="1530"/>
      <c r="AJ1830" s="1530"/>
      <c r="AK1830" s="1530"/>
      <c r="AL1830" s="1530"/>
      <c r="AM1830" s="1530"/>
      <c r="AN1830" s="1530"/>
      <c r="AO1830" s="1530"/>
      <c r="AP1830" s="1530"/>
      <c r="AQ1830" s="1530"/>
      <c r="AR1830" s="1530"/>
      <c r="AS1830" s="1530"/>
      <c r="AT1830" s="1530"/>
      <c r="AU1830" s="1530"/>
      <c r="AV1830" s="1530"/>
      <c r="AW1830" s="1530"/>
      <c r="AX1830" s="1530"/>
      <c r="AY1830" s="1530"/>
      <c r="AZ1830" s="1530"/>
      <c r="BA1830" s="1530"/>
      <c r="BB1830" s="1530"/>
      <c r="BC1830" s="1530"/>
      <c r="BD1830" s="1530"/>
      <c r="BE1830" s="1530"/>
      <c r="BF1830" s="1530"/>
      <c r="BG1830" s="1530"/>
      <c r="BH1830" s="1530"/>
      <c r="BI1830" s="1530"/>
      <c r="BJ1830" s="1530"/>
      <c r="BK1830" s="1530"/>
      <c r="BL1830" s="1530"/>
      <c r="BM1830" s="1530"/>
      <c r="BN1830" s="1530"/>
      <c r="BO1830" s="1530"/>
      <c r="BP1830" s="1530"/>
      <c r="BQ1830" s="1530"/>
      <c r="BR1830" s="1530"/>
      <c r="BS1830" s="1530"/>
      <c r="BT1830" s="1530"/>
      <c r="BU1830" s="1530"/>
      <c r="BV1830" s="1530"/>
      <c r="BW1830" s="1530"/>
      <c r="BX1830" s="1530"/>
      <c r="BY1830" s="1530"/>
      <c r="BZ1830" s="1530"/>
      <c r="CA1830" s="1530"/>
      <c r="CB1830" s="1530"/>
      <c r="CC1830" s="1530"/>
      <c r="CD1830" s="1530"/>
      <c r="CE1830" s="1530"/>
      <c r="CF1830" s="1530"/>
      <c r="CG1830" s="1530"/>
      <c r="CH1830" s="1530"/>
      <c r="CI1830" s="1530"/>
      <c r="CJ1830" s="1530"/>
      <c r="CK1830" s="1530"/>
      <c r="CL1830" s="1530"/>
      <c r="CM1830" s="1530"/>
      <c r="CN1830" s="1530"/>
      <c r="CO1830" s="1530"/>
      <c r="CP1830" s="1530"/>
      <c r="CQ1830" s="1530"/>
      <c r="CR1830" s="1530"/>
      <c r="CS1830" s="1530"/>
      <c r="CT1830" s="1530"/>
      <c r="CU1830" s="1530"/>
      <c r="CV1830" s="1530"/>
      <c r="CW1830" s="1530"/>
      <c r="CX1830" s="1530"/>
      <c r="CY1830" s="1530"/>
      <c r="CZ1830" s="1530"/>
      <c r="DA1830" s="1530"/>
      <c r="DB1830" s="1530"/>
      <c r="DC1830" s="1530"/>
      <c r="DD1830" s="1530"/>
      <c r="DE1830" s="1530"/>
      <c r="DF1830" s="1530"/>
      <c r="DG1830" s="1530"/>
      <c r="DH1830" s="1530"/>
      <c r="DI1830" s="1530"/>
      <c r="DJ1830" s="1530"/>
      <c r="DK1830" s="1530"/>
      <c r="DL1830" s="1530"/>
      <c r="DM1830" s="1530"/>
      <c r="DN1830" s="1530"/>
      <c r="DO1830" s="1530"/>
      <c r="DP1830" s="1530"/>
      <c r="DQ1830" s="1530"/>
      <c r="DR1830" s="1530"/>
      <c r="DS1830" s="1530"/>
      <c r="DT1830" s="1530"/>
      <c r="DU1830" s="1530"/>
      <c r="DV1830" s="1530"/>
      <c r="DW1830" s="1530"/>
      <c r="DX1830" s="1530"/>
      <c r="DY1830" s="1530"/>
      <c r="DZ1830" s="1530"/>
      <c r="EA1830" s="1530"/>
      <c r="EB1830" s="1530"/>
      <c r="EC1830" s="1530"/>
      <c r="ED1830" s="1530"/>
      <c r="EE1830" s="1530"/>
      <c r="EF1830" s="1530"/>
      <c r="EG1830" s="1530"/>
      <c r="EH1830" s="1530"/>
      <c r="EI1830" s="1530"/>
      <c r="EJ1830" s="1530"/>
      <c r="EK1830" s="1530"/>
      <c r="EL1830" s="1530"/>
      <c r="EM1830" s="1530"/>
      <c r="EN1830" s="1530"/>
      <c r="EO1830" s="1530"/>
      <c r="EP1830" s="1530"/>
      <c r="EQ1830" s="1530"/>
      <c r="ER1830" s="1530"/>
      <c r="ES1830" s="1530"/>
      <c r="ET1830" s="1530"/>
      <c r="EU1830" s="1530"/>
      <c r="EV1830" s="1530"/>
      <c r="EW1830" s="1530"/>
      <c r="EX1830" s="1530"/>
      <c r="EY1830" s="1530"/>
      <c r="EZ1830" s="1530"/>
      <c r="FA1830" s="1530"/>
      <c r="FB1830" s="1530"/>
      <c r="FC1830" s="1530"/>
      <c r="FD1830" s="1530"/>
      <c r="FE1830" s="1530"/>
      <c r="FF1830" s="1530"/>
      <c r="FG1830" s="1530"/>
      <c r="FH1830" s="1530"/>
      <c r="FI1830" s="1530"/>
      <c r="FJ1830" s="1530"/>
      <c r="FK1830" s="1530"/>
      <c r="FL1830" s="1530"/>
      <c r="FM1830" s="1530"/>
      <c r="FN1830" s="1530"/>
      <c r="FO1830" s="1530"/>
      <c r="FP1830" s="1530"/>
      <c r="FQ1830" s="1530"/>
      <c r="FR1830" s="1530"/>
      <c r="FS1830" s="1530"/>
      <c r="FT1830" s="1530"/>
      <c r="FU1830" s="1530"/>
      <c r="FV1830" s="1530"/>
      <c r="FW1830" s="1530"/>
      <c r="FX1830" s="1530"/>
      <c r="FY1830" s="1530"/>
      <c r="FZ1830" s="1530"/>
      <c r="GA1830" s="1530"/>
      <c r="GB1830" s="1530"/>
      <c r="GC1830" s="1530"/>
      <c r="GD1830" s="1530"/>
      <c r="GE1830" s="1530"/>
      <c r="GF1830" s="1530"/>
      <c r="GG1830" s="1530"/>
      <c r="GH1830" s="1530"/>
      <c r="GI1830" s="1530"/>
      <c r="GJ1830" s="1530"/>
      <c r="GK1830" s="1530"/>
      <c r="GL1830" s="1530"/>
      <c r="GM1830" s="1530"/>
      <c r="GN1830" s="1530"/>
      <c r="GO1830" s="1530"/>
      <c r="GP1830" s="1530"/>
      <c r="GQ1830" s="1530"/>
      <c r="GR1830" s="1530"/>
      <c r="GS1830" s="1530"/>
      <c r="GT1830" s="1530"/>
      <c r="GU1830" s="1530"/>
      <c r="GV1830" s="1530"/>
      <c r="GW1830" s="1530"/>
      <c r="GX1830" s="1530"/>
      <c r="GY1830" s="1530"/>
      <c r="GZ1830" s="1530"/>
      <c r="HA1830" s="1530"/>
      <c r="HB1830" s="1530"/>
      <c r="HC1830" s="1530"/>
      <c r="HD1830" s="1530"/>
      <c r="HE1830" s="1530"/>
      <c r="HF1830" s="1530"/>
      <c r="HG1830" s="1530"/>
      <c r="HH1830" s="1530"/>
      <c r="HI1830" s="1530"/>
      <c r="HJ1830" s="1530"/>
      <c r="HK1830" s="1530"/>
      <c r="HL1830" s="1530"/>
      <c r="HM1830" s="1530"/>
      <c r="HN1830" s="1530"/>
      <c r="HO1830" s="1530"/>
      <c r="HP1830" s="1530"/>
      <c r="HQ1830" s="1530"/>
      <c r="HR1830" s="1530"/>
      <c r="HS1830" s="1530"/>
      <c r="HT1830" s="1530"/>
      <c r="HU1830" s="1530"/>
      <c r="HV1830" s="1530"/>
      <c r="HW1830" s="1530"/>
      <c r="HX1830" s="1530"/>
      <c r="HY1830" s="1530"/>
      <c r="HZ1830" s="1530"/>
      <c r="IA1830" s="1530"/>
      <c r="IB1830" s="1530"/>
      <c r="IC1830" s="1530"/>
      <c r="ID1830" s="1530"/>
      <c r="IE1830" s="1530"/>
      <c r="IF1830" s="1530"/>
      <c r="IG1830" s="1530"/>
      <c r="IH1830" s="1530"/>
      <c r="II1830" s="1530"/>
      <c r="IJ1830" s="1530"/>
      <c r="IK1830" s="1530"/>
      <c r="IL1830" s="1530"/>
      <c r="IM1830" s="1530"/>
      <c r="IN1830" s="1530"/>
      <c r="IO1830" s="1530"/>
      <c r="IP1830" s="1530"/>
      <c r="IQ1830" s="1530"/>
      <c r="IR1830" s="1530"/>
      <c r="IS1830" s="1530"/>
      <c r="IT1830" s="1530"/>
      <c r="IU1830" s="1530"/>
      <c r="IV1830" s="1530"/>
      <c r="IW1830" s="1530"/>
      <c r="IX1830" s="1530"/>
      <c r="IY1830" s="1530"/>
      <c r="IZ1830" s="1530"/>
      <c r="JA1830" s="1530"/>
      <c r="JB1830" s="1530"/>
      <c r="JC1830" s="1530"/>
      <c r="JD1830" s="1530"/>
      <c r="JE1830" s="1530"/>
      <c r="JF1830" s="1530"/>
      <c r="JG1830" s="1530"/>
      <c r="JH1830" s="1530"/>
      <c r="JI1830" s="1530"/>
      <c r="JJ1830" s="1530"/>
      <c r="JK1830" s="1530"/>
      <c r="JL1830" s="1530"/>
      <c r="JM1830" s="1530"/>
      <c r="JN1830" s="1530"/>
      <c r="JO1830" s="1530"/>
      <c r="JP1830" s="1530"/>
      <c r="JQ1830" s="1530"/>
      <c r="JR1830" s="1530"/>
      <c r="JS1830" s="1530"/>
      <c r="JT1830" s="1530"/>
      <c r="JU1830" s="1530"/>
      <c r="JV1830" s="1530"/>
      <c r="JW1830" s="1530"/>
      <c r="JX1830" s="1530"/>
      <c r="JY1830" s="1530"/>
      <c r="JZ1830" s="1530"/>
      <c r="KA1830" s="1530"/>
      <c r="KB1830" s="1530"/>
      <c r="KC1830" s="1530"/>
      <c r="KD1830" s="1530"/>
      <c r="KE1830" s="1530"/>
      <c r="KF1830" s="1530"/>
      <c r="KG1830" s="1530"/>
      <c r="KH1830" s="1530"/>
      <c r="KI1830" s="1530"/>
      <c r="KJ1830" s="1530"/>
      <c r="KK1830" s="1530"/>
      <c r="KL1830" s="1530"/>
      <c r="KM1830" s="1530"/>
      <c r="KN1830" s="1530"/>
      <c r="KO1830" s="1530"/>
      <c r="KP1830" s="1530"/>
      <c r="KQ1830" s="1530"/>
      <c r="KR1830" s="1530"/>
      <c r="KS1830" s="1530"/>
      <c r="KT1830" s="1530"/>
      <c r="KU1830" s="1530"/>
      <c r="KV1830" s="1530"/>
      <c r="KW1830" s="1530"/>
      <c r="KX1830" s="1530"/>
      <c r="KY1830" s="1530"/>
      <c r="KZ1830" s="1530"/>
      <c r="LA1830" s="1530"/>
      <c r="LB1830" s="1530"/>
      <c r="LC1830" s="1530"/>
      <c r="LD1830" s="1530"/>
      <c r="LE1830" s="1530"/>
      <c r="LF1830" s="1530"/>
      <c r="LG1830" s="1530"/>
      <c r="LH1830" s="1530"/>
    </row>
    <row r="1831" spans="1:320" ht="12" customHeight="1">
      <c r="A1831" s="269" t="str">
        <f t="shared" si="511"/>
        <v>n</v>
      </c>
      <c r="B1831" s="2060"/>
      <c r="C1831" s="2060"/>
      <c r="D1831" s="2060"/>
      <c r="E1831" s="1661">
        <v>12</v>
      </c>
      <c r="F1831" s="1353" t="str">
        <f>F$140</f>
        <v>--</v>
      </c>
      <c r="G1831" s="128">
        <f>G$140</f>
        <v>0</v>
      </c>
      <c r="H1831" s="128" t="str">
        <f>H$140</f>
        <v>--</v>
      </c>
      <c r="I1831" s="89"/>
      <c r="J1831" s="2200" t="e">
        <f t="shared" si="508"/>
        <v>#N/A</v>
      </c>
      <c r="K1831" s="2200" t="e">
        <f t="shared" si="508"/>
        <v>#N/A</v>
      </c>
      <c r="L1831" s="2200" t="e">
        <f t="shared" ref="L1831:V1831" si="522">IFERROR(L1686/L1802,NA())</f>
        <v>#N/A</v>
      </c>
      <c r="M1831" s="2200" t="e">
        <f t="shared" si="522"/>
        <v>#N/A</v>
      </c>
      <c r="N1831" s="2200" t="e">
        <f t="shared" si="522"/>
        <v>#N/A</v>
      </c>
      <c r="O1831" s="2200" t="e">
        <f t="shared" si="522"/>
        <v>#N/A</v>
      </c>
      <c r="P1831" s="2200" t="e">
        <f t="shared" si="522"/>
        <v>#N/A</v>
      </c>
      <c r="Q1831" s="2200" t="e">
        <f t="shared" si="522"/>
        <v>#N/A</v>
      </c>
      <c r="R1831" s="2200" t="e">
        <f t="shared" si="522"/>
        <v>#N/A</v>
      </c>
      <c r="S1831" s="2200" t="e">
        <f t="shared" si="522"/>
        <v>#N/A</v>
      </c>
      <c r="T1831" s="2200" t="e">
        <f t="shared" si="522"/>
        <v>#N/A</v>
      </c>
      <c r="U1831" s="2200" t="e">
        <f t="shared" si="522"/>
        <v>#N/A</v>
      </c>
      <c r="V1831" s="2200" t="e">
        <f t="shared" si="522"/>
        <v>#N/A</v>
      </c>
      <c r="W1831" s="1479"/>
      <c r="X1831" s="255"/>
      <c r="Y1831" s="255"/>
      <c r="Z1831" s="2060"/>
      <c r="AA1831" s="2060"/>
      <c r="AB1831" s="2060"/>
      <c r="AC1831" s="2060"/>
      <c r="AD1831" s="2060"/>
      <c r="AE1831" s="2060"/>
      <c r="AF1831" s="2060"/>
      <c r="AG1831" s="1530"/>
      <c r="AH1831" s="1530"/>
      <c r="AI1831" s="1530"/>
      <c r="AJ1831" s="1530"/>
      <c r="AK1831" s="1530"/>
      <c r="AL1831" s="1530"/>
      <c r="AM1831" s="1530"/>
      <c r="AN1831" s="1530"/>
      <c r="AO1831" s="1530"/>
      <c r="AP1831" s="1530"/>
      <c r="AQ1831" s="1530"/>
      <c r="AR1831" s="1530"/>
      <c r="AS1831" s="1530"/>
      <c r="AT1831" s="1530"/>
      <c r="AU1831" s="1530"/>
      <c r="AV1831" s="1530"/>
      <c r="AW1831" s="1530"/>
      <c r="AX1831" s="1530"/>
      <c r="AY1831" s="1530"/>
      <c r="AZ1831" s="1530"/>
      <c r="BA1831" s="1530"/>
      <c r="BB1831" s="1530"/>
      <c r="BC1831" s="1530"/>
      <c r="BD1831" s="1530"/>
      <c r="BE1831" s="1530"/>
      <c r="BF1831" s="1530"/>
      <c r="BG1831" s="1530"/>
      <c r="BH1831" s="1530"/>
      <c r="BI1831" s="1530"/>
      <c r="BJ1831" s="1530"/>
      <c r="BK1831" s="1530"/>
      <c r="BL1831" s="1530"/>
      <c r="BM1831" s="1530"/>
      <c r="BN1831" s="1530"/>
      <c r="BO1831" s="1530"/>
      <c r="BP1831" s="1530"/>
      <c r="BQ1831" s="1530"/>
      <c r="BR1831" s="1530"/>
      <c r="BS1831" s="1530"/>
      <c r="BT1831" s="1530"/>
      <c r="BU1831" s="1530"/>
      <c r="BV1831" s="1530"/>
      <c r="BW1831" s="1530"/>
      <c r="BX1831" s="1530"/>
      <c r="BY1831" s="1530"/>
      <c r="BZ1831" s="1530"/>
      <c r="CA1831" s="1530"/>
      <c r="CB1831" s="1530"/>
      <c r="CC1831" s="1530"/>
      <c r="CD1831" s="1530"/>
      <c r="CE1831" s="1530"/>
      <c r="CF1831" s="1530"/>
      <c r="CG1831" s="1530"/>
      <c r="CH1831" s="1530"/>
      <c r="CI1831" s="1530"/>
      <c r="CJ1831" s="1530"/>
      <c r="CK1831" s="1530"/>
      <c r="CL1831" s="1530"/>
      <c r="CM1831" s="1530"/>
      <c r="CN1831" s="1530"/>
      <c r="CO1831" s="1530"/>
      <c r="CP1831" s="1530"/>
      <c r="CQ1831" s="1530"/>
      <c r="CR1831" s="1530"/>
      <c r="CS1831" s="1530"/>
      <c r="CT1831" s="1530"/>
      <c r="CU1831" s="1530"/>
      <c r="CV1831" s="1530"/>
      <c r="CW1831" s="1530"/>
      <c r="CX1831" s="1530"/>
      <c r="CY1831" s="1530"/>
      <c r="CZ1831" s="1530"/>
      <c r="DA1831" s="1530"/>
      <c r="DB1831" s="1530"/>
      <c r="DC1831" s="1530"/>
      <c r="DD1831" s="1530"/>
      <c r="DE1831" s="1530"/>
      <c r="DF1831" s="1530"/>
      <c r="DG1831" s="1530"/>
      <c r="DH1831" s="1530"/>
      <c r="DI1831" s="1530"/>
      <c r="DJ1831" s="1530"/>
      <c r="DK1831" s="1530"/>
      <c r="DL1831" s="1530"/>
      <c r="DM1831" s="1530"/>
      <c r="DN1831" s="1530"/>
      <c r="DO1831" s="1530"/>
      <c r="DP1831" s="1530"/>
      <c r="DQ1831" s="1530"/>
      <c r="DR1831" s="1530"/>
      <c r="DS1831" s="1530"/>
      <c r="DT1831" s="1530"/>
      <c r="DU1831" s="1530"/>
      <c r="DV1831" s="1530"/>
      <c r="DW1831" s="1530"/>
      <c r="DX1831" s="1530"/>
      <c r="DY1831" s="1530"/>
      <c r="DZ1831" s="1530"/>
      <c r="EA1831" s="1530"/>
      <c r="EB1831" s="1530"/>
      <c r="EC1831" s="1530"/>
      <c r="ED1831" s="1530"/>
      <c r="EE1831" s="1530"/>
      <c r="EF1831" s="1530"/>
      <c r="EG1831" s="1530"/>
      <c r="EH1831" s="1530"/>
      <c r="EI1831" s="1530"/>
      <c r="EJ1831" s="1530"/>
      <c r="EK1831" s="1530"/>
      <c r="EL1831" s="1530"/>
      <c r="EM1831" s="1530"/>
      <c r="EN1831" s="1530"/>
      <c r="EO1831" s="1530"/>
      <c r="EP1831" s="1530"/>
      <c r="EQ1831" s="1530"/>
      <c r="ER1831" s="1530"/>
      <c r="ES1831" s="1530"/>
      <c r="ET1831" s="1530"/>
      <c r="EU1831" s="1530"/>
      <c r="EV1831" s="1530"/>
      <c r="EW1831" s="1530"/>
      <c r="EX1831" s="1530"/>
      <c r="EY1831" s="1530"/>
      <c r="EZ1831" s="1530"/>
      <c r="FA1831" s="1530"/>
      <c r="FB1831" s="1530"/>
      <c r="FC1831" s="1530"/>
      <c r="FD1831" s="1530"/>
      <c r="FE1831" s="1530"/>
      <c r="FF1831" s="1530"/>
      <c r="FG1831" s="1530"/>
      <c r="FH1831" s="1530"/>
      <c r="FI1831" s="1530"/>
      <c r="FJ1831" s="1530"/>
      <c r="FK1831" s="1530"/>
      <c r="FL1831" s="1530"/>
      <c r="FM1831" s="1530"/>
      <c r="FN1831" s="1530"/>
      <c r="FO1831" s="1530"/>
      <c r="FP1831" s="1530"/>
      <c r="FQ1831" s="1530"/>
      <c r="FR1831" s="1530"/>
      <c r="FS1831" s="1530"/>
      <c r="FT1831" s="1530"/>
      <c r="FU1831" s="1530"/>
      <c r="FV1831" s="1530"/>
      <c r="FW1831" s="1530"/>
      <c r="FX1831" s="1530"/>
      <c r="FY1831" s="1530"/>
      <c r="FZ1831" s="1530"/>
      <c r="GA1831" s="1530"/>
      <c r="GB1831" s="1530"/>
      <c r="GC1831" s="1530"/>
      <c r="GD1831" s="1530"/>
      <c r="GE1831" s="1530"/>
      <c r="GF1831" s="1530"/>
      <c r="GG1831" s="1530"/>
      <c r="GH1831" s="1530"/>
      <c r="GI1831" s="1530"/>
      <c r="GJ1831" s="1530"/>
      <c r="GK1831" s="1530"/>
      <c r="GL1831" s="1530"/>
      <c r="GM1831" s="1530"/>
      <c r="GN1831" s="1530"/>
      <c r="GO1831" s="1530"/>
      <c r="GP1831" s="1530"/>
      <c r="GQ1831" s="1530"/>
      <c r="GR1831" s="1530"/>
      <c r="GS1831" s="1530"/>
      <c r="GT1831" s="1530"/>
      <c r="GU1831" s="1530"/>
      <c r="GV1831" s="1530"/>
      <c r="GW1831" s="1530"/>
      <c r="GX1831" s="1530"/>
      <c r="GY1831" s="1530"/>
      <c r="GZ1831" s="1530"/>
      <c r="HA1831" s="1530"/>
      <c r="HB1831" s="1530"/>
      <c r="HC1831" s="1530"/>
      <c r="HD1831" s="1530"/>
      <c r="HE1831" s="1530"/>
      <c r="HF1831" s="1530"/>
      <c r="HG1831" s="1530"/>
      <c r="HH1831" s="1530"/>
      <c r="HI1831" s="1530"/>
      <c r="HJ1831" s="1530"/>
      <c r="HK1831" s="1530"/>
      <c r="HL1831" s="1530"/>
      <c r="HM1831" s="1530"/>
      <c r="HN1831" s="1530"/>
      <c r="HO1831" s="1530"/>
      <c r="HP1831" s="1530"/>
      <c r="HQ1831" s="1530"/>
      <c r="HR1831" s="1530"/>
      <c r="HS1831" s="1530"/>
      <c r="HT1831" s="1530"/>
      <c r="HU1831" s="1530"/>
      <c r="HV1831" s="1530"/>
      <c r="HW1831" s="1530"/>
      <c r="HX1831" s="1530"/>
      <c r="HY1831" s="1530"/>
      <c r="HZ1831" s="1530"/>
      <c r="IA1831" s="1530"/>
      <c r="IB1831" s="1530"/>
      <c r="IC1831" s="1530"/>
      <c r="ID1831" s="1530"/>
      <c r="IE1831" s="1530"/>
      <c r="IF1831" s="1530"/>
      <c r="IG1831" s="1530"/>
      <c r="IH1831" s="1530"/>
      <c r="II1831" s="1530"/>
      <c r="IJ1831" s="1530"/>
      <c r="IK1831" s="1530"/>
      <c r="IL1831" s="1530"/>
      <c r="IM1831" s="1530"/>
      <c r="IN1831" s="1530"/>
      <c r="IO1831" s="1530"/>
      <c r="IP1831" s="1530"/>
      <c r="IQ1831" s="1530"/>
      <c r="IR1831" s="1530"/>
      <c r="IS1831" s="1530"/>
      <c r="IT1831" s="1530"/>
      <c r="IU1831" s="1530"/>
      <c r="IV1831" s="1530"/>
      <c r="IW1831" s="1530"/>
      <c r="IX1831" s="1530"/>
      <c r="IY1831" s="1530"/>
      <c r="IZ1831" s="1530"/>
      <c r="JA1831" s="1530"/>
      <c r="JB1831" s="1530"/>
      <c r="JC1831" s="1530"/>
      <c r="JD1831" s="1530"/>
      <c r="JE1831" s="1530"/>
      <c r="JF1831" s="1530"/>
      <c r="JG1831" s="1530"/>
      <c r="JH1831" s="1530"/>
      <c r="JI1831" s="1530"/>
      <c r="JJ1831" s="1530"/>
      <c r="JK1831" s="1530"/>
      <c r="JL1831" s="1530"/>
      <c r="JM1831" s="1530"/>
      <c r="JN1831" s="1530"/>
      <c r="JO1831" s="1530"/>
      <c r="JP1831" s="1530"/>
      <c r="JQ1831" s="1530"/>
      <c r="JR1831" s="1530"/>
      <c r="JS1831" s="1530"/>
      <c r="JT1831" s="1530"/>
      <c r="JU1831" s="1530"/>
      <c r="JV1831" s="1530"/>
      <c r="JW1831" s="1530"/>
      <c r="JX1831" s="1530"/>
      <c r="JY1831" s="1530"/>
      <c r="JZ1831" s="1530"/>
      <c r="KA1831" s="1530"/>
      <c r="KB1831" s="1530"/>
      <c r="KC1831" s="1530"/>
      <c r="KD1831" s="1530"/>
      <c r="KE1831" s="1530"/>
      <c r="KF1831" s="1530"/>
      <c r="KG1831" s="1530"/>
      <c r="KH1831" s="1530"/>
      <c r="KI1831" s="1530"/>
      <c r="KJ1831" s="1530"/>
      <c r="KK1831" s="1530"/>
      <c r="KL1831" s="1530"/>
      <c r="KM1831" s="1530"/>
      <c r="KN1831" s="1530"/>
      <c r="KO1831" s="1530"/>
      <c r="KP1831" s="1530"/>
      <c r="KQ1831" s="1530"/>
      <c r="KR1831" s="1530"/>
      <c r="KS1831" s="1530"/>
      <c r="KT1831" s="1530"/>
      <c r="KU1831" s="1530"/>
      <c r="KV1831" s="1530"/>
      <c r="KW1831" s="1530"/>
      <c r="KX1831" s="1530"/>
      <c r="KY1831" s="1530"/>
      <c r="KZ1831" s="1530"/>
      <c r="LA1831" s="1530"/>
      <c r="LB1831" s="1530"/>
      <c r="LC1831" s="1530"/>
      <c r="LD1831" s="1530"/>
      <c r="LE1831" s="1530"/>
      <c r="LF1831" s="1530"/>
      <c r="LG1831" s="1530"/>
      <c r="LH1831" s="1530"/>
    </row>
    <row r="1832" spans="1:320" ht="12" customHeight="1">
      <c r="A1832" s="269" t="str">
        <f t="shared" si="511"/>
        <v>n</v>
      </c>
      <c r="B1832" s="2060"/>
      <c r="C1832" s="2060"/>
      <c r="D1832" s="2060"/>
      <c r="E1832" s="1661">
        <v>13</v>
      </c>
      <c r="F1832" s="1353" t="str">
        <f>F$141</f>
        <v>--</v>
      </c>
      <c r="G1832" s="128">
        <f>G$141</f>
        <v>0</v>
      </c>
      <c r="H1832" s="128" t="str">
        <f>H$141</f>
        <v>--</v>
      </c>
      <c r="I1832" s="89"/>
      <c r="J1832" s="2200" t="e">
        <f t="shared" si="508"/>
        <v>#N/A</v>
      </c>
      <c r="K1832" s="2200" t="e">
        <f t="shared" si="508"/>
        <v>#N/A</v>
      </c>
      <c r="L1832" s="2200" t="e">
        <f t="shared" ref="L1832:V1832" si="523">IFERROR(L1687/L1803,NA())</f>
        <v>#N/A</v>
      </c>
      <c r="M1832" s="2200" t="e">
        <f t="shared" si="523"/>
        <v>#N/A</v>
      </c>
      <c r="N1832" s="2200" t="e">
        <f t="shared" si="523"/>
        <v>#N/A</v>
      </c>
      <c r="O1832" s="2200" t="e">
        <f t="shared" si="523"/>
        <v>#N/A</v>
      </c>
      <c r="P1832" s="2200" t="e">
        <f t="shared" si="523"/>
        <v>#N/A</v>
      </c>
      <c r="Q1832" s="2200" t="e">
        <f t="shared" si="523"/>
        <v>#N/A</v>
      </c>
      <c r="R1832" s="2200" t="e">
        <f t="shared" si="523"/>
        <v>#N/A</v>
      </c>
      <c r="S1832" s="2200" t="e">
        <f t="shared" si="523"/>
        <v>#N/A</v>
      </c>
      <c r="T1832" s="2200" t="e">
        <f t="shared" si="523"/>
        <v>#N/A</v>
      </c>
      <c r="U1832" s="2200" t="e">
        <f t="shared" si="523"/>
        <v>#N/A</v>
      </c>
      <c r="V1832" s="2200" t="e">
        <f t="shared" si="523"/>
        <v>#N/A</v>
      </c>
      <c r="W1832" s="1479"/>
      <c r="X1832" s="255"/>
      <c r="Y1832" s="255"/>
      <c r="Z1832" s="2060"/>
      <c r="AA1832" s="2060"/>
      <c r="AB1832" s="2060"/>
      <c r="AC1832" s="2060"/>
      <c r="AD1832" s="2060"/>
      <c r="AE1832" s="2060"/>
      <c r="AF1832" s="2060"/>
      <c r="AG1832" s="1530"/>
      <c r="AH1832" s="1530"/>
      <c r="AI1832" s="1530"/>
      <c r="AJ1832" s="1530"/>
      <c r="AK1832" s="1530"/>
      <c r="AL1832" s="1530"/>
      <c r="AM1832" s="1530"/>
      <c r="AN1832" s="1530"/>
      <c r="AO1832" s="1530"/>
      <c r="AP1832" s="1530"/>
      <c r="AQ1832" s="1530"/>
      <c r="AR1832" s="1530"/>
      <c r="AS1832" s="1530"/>
      <c r="AT1832" s="1530"/>
      <c r="AU1832" s="1530"/>
      <c r="AV1832" s="1530"/>
      <c r="AW1832" s="1530"/>
      <c r="AX1832" s="1530"/>
      <c r="AY1832" s="1530"/>
      <c r="AZ1832" s="1530"/>
      <c r="BA1832" s="1530"/>
      <c r="BB1832" s="1530"/>
      <c r="BC1832" s="1530"/>
      <c r="BD1832" s="1530"/>
      <c r="BE1832" s="1530"/>
      <c r="BF1832" s="1530"/>
      <c r="BG1832" s="1530"/>
      <c r="BH1832" s="1530"/>
      <c r="BI1832" s="1530"/>
      <c r="BJ1832" s="1530"/>
      <c r="BK1832" s="1530"/>
      <c r="BL1832" s="1530"/>
      <c r="BM1832" s="1530"/>
      <c r="BN1832" s="1530"/>
      <c r="BO1832" s="1530"/>
      <c r="BP1832" s="1530"/>
      <c r="BQ1832" s="1530"/>
      <c r="BR1832" s="1530"/>
      <c r="BS1832" s="1530"/>
      <c r="BT1832" s="1530"/>
      <c r="BU1832" s="1530"/>
      <c r="BV1832" s="1530"/>
      <c r="BW1832" s="1530"/>
      <c r="BX1832" s="1530"/>
      <c r="BY1832" s="1530"/>
      <c r="BZ1832" s="1530"/>
      <c r="CA1832" s="1530"/>
      <c r="CB1832" s="1530"/>
      <c r="CC1832" s="1530"/>
      <c r="CD1832" s="1530"/>
      <c r="CE1832" s="1530"/>
      <c r="CF1832" s="1530"/>
      <c r="CG1832" s="1530"/>
      <c r="CH1832" s="1530"/>
      <c r="CI1832" s="1530"/>
      <c r="CJ1832" s="1530"/>
      <c r="CK1832" s="1530"/>
      <c r="CL1832" s="1530"/>
      <c r="CM1832" s="1530"/>
      <c r="CN1832" s="1530"/>
      <c r="CO1832" s="1530"/>
      <c r="CP1832" s="1530"/>
      <c r="CQ1832" s="1530"/>
      <c r="CR1832" s="1530"/>
      <c r="CS1832" s="1530"/>
      <c r="CT1832" s="1530"/>
      <c r="CU1832" s="1530"/>
      <c r="CV1832" s="1530"/>
      <c r="CW1832" s="1530"/>
      <c r="CX1832" s="1530"/>
      <c r="CY1832" s="1530"/>
      <c r="CZ1832" s="1530"/>
      <c r="DA1832" s="1530"/>
      <c r="DB1832" s="1530"/>
      <c r="DC1832" s="1530"/>
      <c r="DD1832" s="1530"/>
      <c r="DE1832" s="1530"/>
      <c r="DF1832" s="1530"/>
      <c r="DG1832" s="1530"/>
      <c r="DH1832" s="1530"/>
      <c r="DI1832" s="1530"/>
      <c r="DJ1832" s="1530"/>
      <c r="DK1832" s="1530"/>
      <c r="DL1832" s="1530"/>
      <c r="DM1832" s="1530"/>
      <c r="DN1832" s="1530"/>
      <c r="DO1832" s="1530"/>
      <c r="DP1832" s="1530"/>
      <c r="DQ1832" s="1530"/>
      <c r="DR1832" s="1530"/>
      <c r="DS1832" s="1530"/>
      <c r="DT1832" s="1530"/>
      <c r="DU1832" s="1530"/>
      <c r="DV1832" s="1530"/>
      <c r="DW1832" s="1530"/>
      <c r="DX1832" s="1530"/>
      <c r="DY1832" s="1530"/>
      <c r="DZ1832" s="1530"/>
      <c r="EA1832" s="1530"/>
      <c r="EB1832" s="1530"/>
      <c r="EC1832" s="1530"/>
      <c r="ED1832" s="1530"/>
      <c r="EE1832" s="1530"/>
      <c r="EF1832" s="1530"/>
      <c r="EG1832" s="1530"/>
      <c r="EH1832" s="1530"/>
      <c r="EI1832" s="1530"/>
      <c r="EJ1832" s="1530"/>
      <c r="EK1832" s="1530"/>
      <c r="EL1832" s="1530"/>
      <c r="EM1832" s="1530"/>
      <c r="EN1832" s="1530"/>
      <c r="EO1832" s="1530"/>
      <c r="EP1832" s="1530"/>
      <c r="EQ1832" s="1530"/>
      <c r="ER1832" s="1530"/>
      <c r="ES1832" s="1530"/>
      <c r="ET1832" s="1530"/>
      <c r="EU1832" s="1530"/>
      <c r="EV1832" s="1530"/>
      <c r="EW1832" s="1530"/>
      <c r="EX1832" s="1530"/>
      <c r="EY1832" s="1530"/>
      <c r="EZ1832" s="1530"/>
      <c r="FA1832" s="1530"/>
      <c r="FB1832" s="1530"/>
      <c r="FC1832" s="1530"/>
      <c r="FD1832" s="1530"/>
      <c r="FE1832" s="1530"/>
      <c r="FF1832" s="1530"/>
      <c r="FG1832" s="1530"/>
      <c r="FH1832" s="1530"/>
      <c r="FI1832" s="1530"/>
      <c r="FJ1832" s="1530"/>
      <c r="FK1832" s="1530"/>
      <c r="FL1832" s="1530"/>
      <c r="FM1832" s="1530"/>
      <c r="FN1832" s="1530"/>
      <c r="FO1832" s="1530"/>
      <c r="FP1832" s="1530"/>
      <c r="FQ1832" s="1530"/>
      <c r="FR1832" s="1530"/>
      <c r="FS1832" s="1530"/>
      <c r="FT1832" s="1530"/>
      <c r="FU1832" s="1530"/>
      <c r="FV1832" s="1530"/>
      <c r="FW1832" s="1530"/>
      <c r="FX1832" s="1530"/>
      <c r="FY1832" s="1530"/>
      <c r="FZ1832" s="1530"/>
      <c r="GA1832" s="1530"/>
      <c r="GB1832" s="1530"/>
      <c r="GC1832" s="1530"/>
      <c r="GD1832" s="1530"/>
      <c r="GE1832" s="1530"/>
      <c r="GF1832" s="1530"/>
      <c r="GG1832" s="1530"/>
      <c r="GH1832" s="1530"/>
      <c r="GI1832" s="1530"/>
      <c r="GJ1832" s="1530"/>
      <c r="GK1832" s="1530"/>
      <c r="GL1832" s="1530"/>
      <c r="GM1832" s="1530"/>
      <c r="GN1832" s="1530"/>
      <c r="GO1832" s="1530"/>
      <c r="GP1832" s="1530"/>
      <c r="GQ1832" s="1530"/>
      <c r="GR1832" s="1530"/>
      <c r="GS1832" s="1530"/>
      <c r="GT1832" s="1530"/>
      <c r="GU1832" s="1530"/>
      <c r="GV1832" s="1530"/>
      <c r="GW1832" s="1530"/>
      <c r="GX1832" s="1530"/>
      <c r="GY1832" s="1530"/>
      <c r="GZ1832" s="1530"/>
      <c r="HA1832" s="1530"/>
      <c r="HB1832" s="1530"/>
      <c r="HC1832" s="1530"/>
      <c r="HD1832" s="1530"/>
      <c r="HE1832" s="1530"/>
      <c r="HF1832" s="1530"/>
      <c r="HG1832" s="1530"/>
      <c r="HH1832" s="1530"/>
      <c r="HI1832" s="1530"/>
      <c r="HJ1832" s="1530"/>
      <c r="HK1832" s="1530"/>
      <c r="HL1832" s="1530"/>
      <c r="HM1832" s="1530"/>
      <c r="HN1832" s="1530"/>
      <c r="HO1832" s="1530"/>
      <c r="HP1832" s="1530"/>
      <c r="HQ1832" s="1530"/>
      <c r="HR1832" s="1530"/>
      <c r="HS1832" s="1530"/>
      <c r="HT1832" s="1530"/>
      <c r="HU1832" s="1530"/>
      <c r="HV1832" s="1530"/>
      <c r="HW1832" s="1530"/>
      <c r="HX1832" s="1530"/>
      <c r="HY1832" s="1530"/>
      <c r="HZ1832" s="1530"/>
      <c r="IA1832" s="1530"/>
      <c r="IB1832" s="1530"/>
      <c r="IC1832" s="1530"/>
      <c r="ID1832" s="1530"/>
      <c r="IE1832" s="1530"/>
      <c r="IF1832" s="1530"/>
      <c r="IG1832" s="1530"/>
      <c r="IH1832" s="1530"/>
      <c r="II1832" s="1530"/>
      <c r="IJ1832" s="1530"/>
      <c r="IK1832" s="1530"/>
      <c r="IL1832" s="1530"/>
      <c r="IM1832" s="1530"/>
      <c r="IN1832" s="1530"/>
      <c r="IO1832" s="1530"/>
      <c r="IP1832" s="1530"/>
      <c r="IQ1832" s="1530"/>
      <c r="IR1832" s="1530"/>
      <c r="IS1832" s="1530"/>
      <c r="IT1832" s="1530"/>
      <c r="IU1832" s="1530"/>
      <c r="IV1832" s="1530"/>
      <c r="IW1832" s="1530"/>
      <c r="IX1832" s="1530"/>
      <c r="IY1832" s="1530"/>
      <c r="IZ1832" s="1530"/>
      <c r="JA1832" s="1530"/>
      <c r="JB1832" s="1530"/>
      <c r="JC1832" s="1530"/>
      <c r="JD1832" s="1530"/>
      <c r="JE1832" s="1530"/>
      <c r="JF1832" s="1530"/>
      <c r="JG1832" s="1530"/>
      <c r="JH1832" s="1530"/>
      <c r="JI1832" s="1530"/>
      <c r="JJ1832" s="1530"/>
      <c r="JK1832" s="1530"/>
      <c r="JL1832" s="1530"/>
      <c r="JM1832" s="1530"/>
      <c r="JN1832" s="1530"/>
      <c r="JO1832" s="1530"/>
      <c r="JP1832" s="1530"/>
      <c r="JQ1832" s="1530"/>
      <c r="JR1832" s="1530"/>
      <c r="JS1832" s="1530"/>
      <c r="JT1832" s="1530"/>
      <c r="JU1832" s="1530"/>
      <c r="JV1832" s="1530"/>
      <c r="JW1832" s="1530"/>
      <c r="JX1832" s="1530"/>
      <c r="JY1832" s="1530"/>
      <c r="JZ1832" s="1530"/>
      <c r="KA1832" s="1530"/>
      <c r="KB1832" s="1530"/>
      <c r="KC1832" s="1530"/>
      <c r="KD1832" s="1530"/>
      <c r="KE1832" s="1530"/>
      <c r="KF1832" s="1530"/>
      <c r="KG1832" s="1530"/>
      <c r="KH1832" s="1530"/>
      <c r="KI1832" s="1530"/>
      <c r="KJ1832" s="1530"/>
      <c r="KK1832" s="1530"/>
      <c r="KL1832" s="1530"/>
      <c r="KM1832" s="1530"/>
      <c r="KN1832" s="1530"/>
      <c r="KO1832" s="1530"/>
      <c r="KP1832" s="1530"/>
      <c r="KQ1832" s="1530"/>
      <c r="KR1832" s="1530"/>
      <c r="KS1832" s="1530"/>
      <c r="KT1832" s="1530"/>
      <c r="KU1832" s="1530"/>
      <c r="KV1832" s="1530"/>
      <c r="KW1832" s="1530"/>
      <c r="KX1832" s="1530"/>
      <c r="KY1832" s="1530"/>
      <c r="KZ1832" s="1530"/>
      <c r="LA1832" s="1530"/>
      <c r="LB1832" s="1530"/>
      <c r="LC1832" s="1530"/>
      <c r="LD1832" s="1530"/>
      <c r="LE1832" s="1530"/>
      <c r="LF1832" s="1530"/>
      <c r="LG1832" s="1530"/>
      <c r="LH1832" s="1530"/>
    </row>
    <row r="1833" spans="1:320" ht="12" customHeight="1">
      <c r="A1833" s="269" t="str">
        <f t="shared" si="511"/>
        <v>n</v>
      </c>
      <c r="B1833" s="2060"/>
      <c r="C1833" s="2060"/>
      <c r="D1833" s="2060"/>
      <c r="E1833" s="1661">
        <v>14</v>
      </c>
      <c r="F1833" s="1353" t="str">
        <f>F$142</f>
        <v>--</v>
      </c>
      <c r="G1833" s="128">
        <f>G$142</f>
        <v>0</v>
      </c>
      <c r="H1833" s="128" t="str">
        <f>H$142</f>
        <v>--</v>
      </c>
      <c r="I1833" s="89"/>
      <c r="J1833" s="2200" t="e">
        <f t="shared" si="508"/>
        <v>#N/A</v>
      </c>
      <c r="K1833" s="2200" t="e">
        <f t="shared" si="508"/>
        <v>#N/A</v>
      </c>
      <c r="L1833" s="2200" t="e">
        <f t="shared" ref="L1833:V1833" si="524">IFERROR(L1688/L1804,NA())</f>
        <v>#N/A</v>
      </c>
      <c r="M1833" s="2200" t="e">
        <f t="shared" si="524"/>
        <v>#N/A</v>
      </c>
      <c r="N1833" s="2200" t="e">
        <f t="shared" si="524"/>
        <v>#N/A</v>
      </c>
      <c r="O1833" s="2200" t="e">
        <f t="shared" si="524"/>
        <v>#N/A</v>
      </c>
      <c r="P1833" s="2200" t="e">
        <f t="shared" si="524"/>
        <v>#N/A</v>
      </c>
      <c r="Q1833" s="2200" t="e">
        <f t="shared" si="524"/>
        <v>#N/A</v>
      </c>
      <c r="R1833" s="2200" t="e">
        <f t="shared" si="524"/>
        <v>#N/A</v>
      </c>
      <c r="S1833" s="2200" t="e">
        <f t="shared" si="524"/>
        <v>#N/A</v>
      </c>
      <c r="T1833" s="2200" t="e">
        <f t="shared" si="524"/>
        <v>#N/A</v>
      </c>
      <c r="U1833" s="2200" t="e">
        <f t="shared" si="524"/>
        <v>#N/A</v>
      </c>
      <c r="V1833" s="2200" t="e">
        <f t="shared" si="524"/>
        <v>#N/A</v>
      </c>
      <c r="W1833" s="1479"/>
      <c r="X1833" s="255"/>
      <c r="Y1833" s="255"/>
      <c r="Z1833" s="2060"/>
      <c r="AA1833" s="2060"/>
      <c r="AB1833" s="2060"/>
      <c r="AC1833" s="2060"/>
      <c r="AD1833" s="2060"/>
      <c r="AE1833" s="2060"/>
      <c r="AF1833" s="2060"/>
      <c r="AG1833" s="1530"/>
      <c r="AH1833" s="1530"/>
      <c r="AI1833" s="1530"/>
      <c r="AJ1833" s="1530"/>
      <c r="AK1833" s="1530"/>
      <c r="AL1833" s="1530"/>
      <c r="AM1833" s="1530"/>
      <c r="AN1833" s="1530"/>
      <c r="AO1833" s="1530"/>
      <c r="AP1833" s="1530"/>
      <c r="AQ1833" s="1530"/>
      <c r="AR1833" s="1530"/>
      <c r="AS1833" s="1530"/>
      <c r="AT1833" s="1530"/>
      <c r="AU1833" s="1530"/>
      <c r="AV1833" s="1530"/>
      <c r="AW1833" s="1530"/>
      <c r="AX1833" s="1530"/>
      <c r="AY1833" s="1530"/>
      <c r="AZ1833" s="1530"/>
      <c r="BA1833" s="1530"/>
      <c r="BB1833" s="1530"/>
      <c r="BC1833" s="1530"/>
      <c r="BD1833" s="1530"/>
      <c r="BE1833" s="1530"/>
      <c r="BF1833" s="1530"/>
      <c r="BG1833" s="1530"/>
      <c r="BH1833" s="1530"/>
      <c r="BI1833" s="1530"/>
      <c r="BJ1833" s="1530"/>
      <c r="BK1833" s="1530"/>
      <c r="BL1833" s="1530"/>
      <c r="BM1833" s="1530"/>
      <c r="BN1833" s="1530"/>
      <c r="BO1833" s="1530"/>
      <c r="BP1833" s="1530"/>
      <c r="BQ1833" s="1530"/>
      <c r="BR1833" s="1530"/>
      <c r="BS1833" s="1530"/>
      <c r="BT1833" s="1530"/>
      <c r="BU1833" s="1530"/>
      <c r="BV1833" s="1530"/>
      <c r="BW1833" s="1530"/>
      <c r="BX1833" s="1530"/>
      <c r="BY1833" s="1530"/>
      <c r="BZ1833" s="1530"/>
      <c r="CA1833" s="1530"/>
      <c r="CB1833" s="1530"/>
      <c r="CC1833" s="1530"/>
      <c r="CD1833" s="1530"/>
      <c r="CE1833" s="1530"/>
      <c r="CF1833" s="1530"/>
      <c r="CG1833" s="1530"/>
      <c r="CH1833" s="1530"/>
      <c r="CI1833" s="1530"/>
      <c r="CJ1833" s="1530"/>
      <c r="CK1833" s="1530"/>
      <c r="CL1833" s="1530"/>
      <c r="CM1833" s="1530"/>
      <c r="CN1833" s="1530"/>
      <c r="CO1833" s="1530"/>
      <c r="CP1833" s="1530"/>
      <c r="CQ1833" s="1530"/>
      <c r="CR1833" s="1530"/>
      <c r="CS1833" s="1530"/>
      <c r="CT1833" s="1530"/>
      <c r="CU1833" s="1530"/>
      <c r="CV1833" s="1530"/>
      <c r="CW1833" s="1530"/>
      <c r="CX1833" s="1530"/>
      <c r="CY1833" s="1530"/>
      <c r="CZ1833" s="1530"/>
      <c r="DA1833" s="1530"/>
      <c r="DB1833" s="1530"/>
      <c r="DC1833" s="1530"/>
      <c r="DD1833" s="1530"/>
      <c r="DE1833" s="1530"/>
      <c r="DF1833" s="1530"/>
      <c r="DG1833" s="1530"/>
      <c r="DH1833" s="1530"/>
      <c r="DI1833" s="1530"/>
      <c r="DJ1833" s="1530"/>
      <c r="DK1833" s="1530"/>
      <c r="DL1833" s="1530"/>
      <c r="DM1833" s="1530"/>
      <c r="DN1833" s="1530"/>
      <c r="DO1833" s="1530"/>
      <c r="DP1833" s="1530"/>
      <c r="DQ1833" s="1530"/>
      <c r="DR1833" s="1530"/>
      <c r="DS1833" s="1530"/>
      <c r="DT1833" s="1530"/>
      <c r="DU1833" s="1530"/>
      <c r="DV1833" s="1530"/>
      <c r="DW1833" s="1530"/>
      <c r="DX1833" s="1530"/>
      <c r="DY1833" s="1530"/>
      <c r="DZ1833" s="1530"/>
      <c r="EA1833" s="1530"/>
      <c r="EB1833" s="1530"/>
      <c r="EC1833" s="1530"/>
      <c r="ED1833" s="1530"/>
      <c r="EE1833" s="1530"/>
      <c r="EF1833" s="1530"/>
      <c r="EG1833" s="1530"/>
      <c r="EH1833" s="1530"/>
      <c r="EI1833" s="1530"/>
      <c r="EJ1833" s="1530"/>
      <c r="EK1833" s="1530"/>
      <c r="EL1833" s="1530"/>
      <c r="EM1833" s="1530"/>
      <c r="EN1833" s="1530"/>
      <c r="EO1833" s="1530"/>
      <c r="EP1833" s="1530"/>
      <c r="EQ1833" s="1530"/>
      <c r="ER1833" s="1530"/>
      <c r="ES1833" s="1530"/>
      <c r="ET1833" s="1530"/>
      <c r="EU1833" s="1530"/>
      <c r="EV1833" s="1530"/>
      <c r="EW1833" s="1530"/>
      <c r="EX1833" s="1530"/>
      <c r="EY1833" s="1530"/>
      <c r="EZ1833" s="1530"/>
      <c r="FA1833" s="1530"/>
      <c r="FB1833" s="1530"/>
      <c r="FC1833" s="1530"/>
      <c r="FD1833" s="1530"/>
      <c r="FE1833" s="1530"/>
      <c r="FF1833" s="1530"/>
      <c r="FG1833" s="1530"/>
      <c r="FH1833" s="1530"/>
      <c r="FI1833" s="1530"/>
      <c r="FJ1833" s="1530"/>
      <c r="FK1833" s="1530"/>
      <c r="FL1833" s="1530"/>
      <c r="FM1833" s="1530"/>
      <c r="FN1833" s="1530"/>
      <c r="FO1833" s="1530"/>
      <c r="FP1833" s="1530"/>
      <c r="FQ1833" s="1530"/>
      <c r="FR1833" s="1530"/>
      <c r="FS1833" s="1530"/>
      <c r="FT1833" s="1530"/>
      <c r="FU1833" s="1530"/>
      <c r="FV1833" s="1530"/>
      <c r="FW1833" s="1530"/>
      <c r="FX1833" s="1530"/>
      <c r="FY1833" s="1530"/>
      <c r="FZ1833" s="1530"/>
      <c r="GA1833" s="1530"/>
      <c r="GB1833" s="1530"/>
      <c r="GC1833" s="1530"/>
      <c r="GD1833" s="1530"/>
      <c r="GE1833" s="1530"/>
      <c r="GF1833" s="1530"/>
      <c r="GG1833" s="1530"/>
      <c r="GH1833" s="1530"/>
      <c r="GI1833" s="1530"/>
      <c r="GJ1833" s="1530"/>
      <c r="GK1833" s="1530"/>
      <c r="GL1833" s="1530"/>
      <c r="GM1833" s="1530"/>
      <c r="GN1833" s="1530"/>
      <c r="GO1833" s="1530"/>
      <c r="GP1833" s="1530"/>
      <c r="GQ1833" s="1530"/>
      <c r="GR1833" s="1530"/>
      <c r="GS1833" s="1530"/>
      <c r="GT1833" s="1530"/>
      <c r="GU1833" s="1530"/>
      <c r="GV1833" s="1530"/>
      <c r="GW1833" s="1530"/>
      <c r="GX1833" s="1530"/>
      <c r="GY1833" s="1530"/>
      <c r="GZ1833" s="1530"/>
      <c r="HA1833" s="1530"/>
      <c r="HB1833" s="1530"/>
      <c r="HC1833" s="1530"/>
      <c r="HD1833" s="1530"/>
      <c r="HE1833" s="1530"/>
      <c r="HF1833" s="1530"/>
      <c r="HG1833" s="1530"/>
      <c r="HH1833" s="1530"/>
      <c r="HI1833" s="1530"/>
      <c r="HJ1833" s="1530"/>
      <c r="HK1833" s="1530"/>
      <c r="HL1833" s="1530"/>
      <c r="HM1833" s="1530"/>
      <c r="HN1833" s="1530"/>
      <c r="HO1833" s="1530"/>
      <c r="HP1833" s="1530"/>
      <c r="HQ1833" s="1530"/>
      <c r="HR1833" s="1530"/>
      <c r="HS1833" s="1530"/>
      <c r="HT1833" s="1530"/>
      <c r="HU1833" s="1530"/>
      <c r="HV1833" s="1530"/>
      <c r="HW1833" s="1530"/>
      <c r="HX1833" s="1530"/>
      <c r="HY1833" s="1530"/>
      <c r="HZ1833" s="1530"/>
      <c r="IA1833" s="1530"/>
      <c r="IB1833" s="1530"/>
      <c r="IC1833" s="1530"/>
      <c r="ID1833" s="1530"/>
      <c r="IE1833" s="1530"/>
      <c r="IF1833" s="1530"/>
      <c r="IG1833" s="1530"/>
      <c r="IH1833" s="1530"/>
      <c r="II1833" s="1530"/>
      <c r="IJ1833" s="1530"/>
      <c r="IK1833" s="1530"/>
      <c r="IL1833" s="1530"/>
      <c r="IM1833" s="1530"/>
      <c r="IN1833" s="1530"/>
      <c r="IO1833" s="1530"/>
      <c r="IP1833" s="1530"/>
      <c r="IQ1833" s="1530"/>
      <c r="IR1833" s="1530"/>
      <c r="IS1833" s="1530"/>
      <c r="IT1833" s="1530"/>
      <c r="IU1833" s="1530"/>
      <c r="IV1833" s="1530"/>
      <c r="IW1833" s="1530"/>
      <c r="IX1833" s="1530"/>
      <c r="IY1833" s="1530"/>
      <c r="IZ1833" s="1530"/>
      <c r="JA1833" s="1530"/>
      <c r="JB1833" s="1530"/>
      <c r="JC1833" s="1530"/>
      <c r="JD1833" s="1530"/>
      <c r="JE1833" s="1530"/>
      <c r="JF1833" s="1530"/>
      <c r="JG1833" s="1530"/>
      <c r="JH1833" s="1530"/>
      <c r="JI1833" s="1530"/>
      <c r="JJ1833" s="1530"/>
      <c r="JK1833" s="1530"/>
      <c r="JL1833" s="1530"/>
      <c r="JM1833" s="1530"/>
      <c r="JN1833" s="1530"/>
      <c r="JO1833" s="1530"/>
      <c r="JP1833" s="1530"/>
      <c r="JQ1833" s="1530"/>
      <c r="JR1833" s="1530"/>
      <c r="JS1833" s="1530"/>
      <c r="JT1833" s="1530"/>
      <c r="JU1833" s="1530"/>
      <c r="JV1833" s="1530"/>
      <c r="JW1833" s="1530"/>
      <c r="JX1833" s="1530"/>
      <c r="JY1833" s="1530"/>
      <c r="JZ1833" s="1530"/>
      <c r="KA1833" s="1530"/>
      <c r="KB1833" s="1530"/>
      <c r="KC1833" s="1530"/>
      <c r="KD1833" s="1530"/>
      <c r="KE1833" s="1530"/>
      <c r="KF1833" s="1530"/>
      <c r="KG1833" s="1530"/>
      <c r="KH1833" s="1530"/>
      <c r="KI1833" s="1530"/>
      <c r="KJ1833" s="1530"/>
      <c r="KK1833" s="1530"/>
      <c r="KL1833" s="1530"/>
      <c r="KM1833" s="1530"/>
      <c r="KN1833" s="1530"/>
      <c r="KO1833" s="1530"/>
      <c r="KP1833" s="1530"/>
      <c r="KQ1833" s="1530"/>
      <c r="KR1833" s="1530"/>
      <c r="KS1833" s="1530"/>
      <c r="KT1833" s="1530"/>
      <c r="KU1833" s="1530"/>
      <c r="KV1833" s="1530"/>
      <c r="KW1833" s="1530"/>
      <c r="KX1833" s="1530"/>
      <c r="KY1833" s="1530"/>
      <c r="KZ1833" s="1530"/>
      <c r="LA1833" s="1530"/>
      <c r="LB1833" s="1530"/>
      <c r="LC1833" s="1530"/>
      <c r="LD1833" s="1530"/>
      <c r="LE1833" s="1530"/>
      <c r="LF1833" s="1530"/>
      <c r="LG1833" s="1530"/>
      <c r="LH1833" s="1530"/>
    </row>
    <row r="1834" spans="1:320" s="1530" customFormat="1" ht="12" customHeight="1">
      <c r="A1834" s="269" t="str">
        <f t="shared" si="511"/>
        <v>n</v>
      </c>
      <c r="B1834" s="2060"/>
      <c r="C1834" s="2060"/>
      <c r="D1834" s="2060"/>
      <c r="E1834" s="1661">
        <v>15</v>
      </c>
      <c r="F1834" s="1353" t="str">
        <f>F$143</f>
        <v>--</v>
      </c>
      <c r="G1834" s="128">
        <f>G$143</f>
        <v>0</v>
      </c>
      <c r="H1834" s="128" t="str">
        <f>H$143</f>
        <v>--</v>
      </c>
      <c r="I1834" s="89"/>
      <c r="J1834" s="2200" t="e">
        <f t="shared" si="508"/>
        <v>#N/A</v>
      </c>
      <c r="K1834" s="2200" t="e">
        <f t="shared" si="508"/>
        <v>#N/A</v>
      </c>
      <c r="L1834" s="2200" t="e">
        <f t="shared" ref="L1834:V1834" si="525">IFERROR(L1689/L1805,NA())</f>
        <v>#N/A</v>
      </c>
      <c r="M1834" s="2200" t="e">
        <f t="shared" si="525"/>
        <v>#N/A</v>
      </c>
      <c r="N1834" s="2200" t="e">
        <f t="shared" si="525"/>
        <v>#N/A</v>
      </c>
      <c r="O1834" s="2200" t="e">
        <f t="shared" si="525"/>
        <v>#N/A</v>
      </c>
      <c r="P1834" s="2200" t="e">
        <f t="shared" si="525"/>
        <v>#N/A</v>
      </c>
      <c r="Q1834" s="2200" t="e">
        <f t="shared" si="525"/>
        <v>#N/A</v>
      </c>
      <c r="R1834" s="2200" t="e">
        <f t="shared" si="525"/>
        <v>#N/A</v>
      </c>
      <c r="S1834" s="2200" t="e">
        <f t="shared" si="525"/>
        <v>#N/A</v>
      </c>
      <c r="T1834" s="2200" t="e">
        <f t="shared" si="525"/>
        <v>#N/A</v>
      </c>
      <c r="U1834" s="2200" t="e">
        <f t="shared" si="525"/>
        <v>#N/A</v>
      </c>
      <c r="V1834" s="2200" t="e">
        <f t="shared" si="525"/>
        <v>#N/A</v>
      </c>
      <c r="W1834" s="1479"/>
      <c r="X1834" s="255"/>
      <c r="Y1834" s="255"/>
      <c r="Z1834" s="2060"/>
      <c r="AA1834" s="2060"/>
      <c r="AB1834" s="2060"/>
      <c r="AC1834" s="2060"/>
      <c r="AD1834" s="2060"/>
      <c r="AE1834" s="2060"/>
      <c r="AF1834" s="2060"/>
    </row>
    <row r="1835" spans="1:320" s="1530" customFormat="1" ht="12" customHeight="1">
      <c r="A1835" s="269" t="str">
        <f t="shared" si="511"/>
        <v>n</v>
      </c>
      <c r="B1835" s="2060"/>
      <c r="C1835" s="2060"/>
      <c r="D1835" s="2060"/>
      <c r="E1835" s="1661">
        <v>16</v>
      </c>
      <c r="F1835" s="1353" t="str">
        <f>F$144</f>
        <v>--</v>
      </c>
      <c r="G1835" s="128">
        <f>G$144</f>
        <v>0</v>
      </c>
      <c r="H1835" s="128" t="str">
        <f>H$144</f>
        <v>--</v>
      </c>
      <c r="I1835" s="89"/>
      <c r="J1835" s="2200" t="e">
        <f t="shared" si="508"/>
        <v>#N/A</v>
      </c>
      <c r="K1835" s="2200" t="e">
        <f t="shared" si="508"/>
        <v>#N/A</v>
      </c>
      <c r="L1835" s="2200" t="e">
        <f t="shared" ref="L1835:V1835" si="526">IFERROR(L1690/L1806,NA())</f>
        <v>#N/A</v>
      </c>
      <c r="M1835" s="2200" t="e">
        <f t="shared" si="526"/>
        <v>#N/A</v>
      </c>
      <c r="N1835" s="2200" t="e">
        <f t="shared" si="526"/>
        <v>#N/A</v>
      </c>
      <c r="O1835" s="2200" t="e">
        <f t="shared" si="526"/>
        <v>#N/A</v>
      </c>
      <c r="P1835" s="2200" t="e">
        <f t="shared" si="526"/>
        <v>#N/A</v>
      </c>
      <c r="Q1835" s="2200" t="e">
        <f t="shared" si="526"/>
        <v>#N/A</v>
      </c>
      <c r="R1835" s="2200" t="e">
        <f t="shared" si="526"/>
        <v>#N/A</v>
      </c>
      <c r="S1835" s="2200" t="e">
        <f t="shared" si="526"/>
        <v>#N/A</v>
      </c>
      <c r="T1835" s="2200" t="e">
        <f t="shared" si="526"/>
        <v>#N/A</v>
      </c>
      <c r="U1835" s="2200" t="e">
        <f t="shared" si="526"/>
        <v>#N/A</v>
      </c>
      <c r="V1835" s="2200" t="e">
        <f t="shared" si="526"/>
        <v>#N/A</v>
      </c>
      <c r="W1835" s="1479"/>
      <c r="X1835" s="255"/>
      <c r="Y1835" s="255"/>
      <c r="Z1835" s="2060"/>
      <c r="AA1835" s="2060"/>
      <c r="AB1835" s="2060"/>
      <c r="AC1835" s="2060"/>
      <c r="AD1835" s="2060"/>
      <c r="AE1835" s="2060"/>
      <c r="AF1835" s="2060"/>
    </row>
    <row r="1836" spans="1:320" s="1530" customFormat="1" ht="12" customHeight="1">
      <c r="A1836" s="269" t="str">
        <f t="shared" si="511"/>
        <v>n</v>
      </c>
      <c r="B1836" s="2060"/>
      <c r="C1836" s="2060"/>
      <c r="D1836" s="2060"/>
      <c r="E1836" s="1661">
        <v>17</v>
      </c>
      <c r="F1836" s="1353" t="str">
        <f>F$145</f>
        <v>--</v>
      </c>
      <c r="G1836" s="128">
        <f>G$145</f>
        <v>0</v>
      </c>
      <c r="H1836" s="128" t="str">
        <f>H$145</f>
        <v>--</v>
      </c>
      <c r="I1836" s="89"/>
      <c r="J1836" s="2200" t="e">
        <f t="shared" si="508"/>
        <v>#N/A</v>
      </c>
      <c r="K1836" s="2200" t="e">
        <f t="shared" si="508"/>
        <v>#N/A</v>
      </c>
      <c r="L1836" s="2200" t="e">
        <f t="shared" ref="L1836:V1836" si="527">IFERROR(L1691/L1807,NA())</f>
        <v>#N/A</v>
      </c>
      <c r="M1836" s="2200" t="e">
        <f t="shared" si="527"/>
        <v>#N/A</v>
      </c>
      <c r="N1836" s="2200" t="e">
        <f t="shared" si="527"/>
        <v>#N/A</v>
      </c>
      <c r="O1836" s="2200" t="e">
        <f t="shared" si="527"/>
        <v>#N/A</v>
      </c>
      <c r="P1836" s="2200" t="e">
        <f t="shared" si="527"/>
        <v>#N/A</v>
      </c>
      <c r="Q1836" s="2200" t="e">
        <f t="shared" si="527"/>
        <v>#N/A</v>
      </c>
      <c r="R1836" s="2200" t="e">
        <f t="shared" si="527"/>
        <v>#N/A</v>
      </c>
      <c r="S1836" s="2200" t="e">
        <f t="shared" si="527"/>
        <v>#N/A</v>
      </c>
      <c r="T1836" s="2200" t="e">
        <f t="shared" si="527"/>
        <v>#N/A</v>
      </c>
      <c r="U1836" s="2200" t="e">
        <f t="shared" si="527"/>
        <v>#N/A</v>
      </c>
      <c r="V1836" s="2200" t="e">
        <f t="shared" si="527"/>
        <v>#N/A</v>
      </c>
      <c r="W1836" s="1479"/>
      <c r="X1836" s="255"/>
      <c r="Y1836" s="255"/>
      <c r="Z1836" s="2060"/>
      <c r="AA1836" s="2060"/>
      <c r="AB1836" s="2060"/>
      <c r="AC1836" s="2060"/>
      <c r="AD1836" s="2060"/>
      <c r="AE1836" s="2060"/>
      <c r="AF1836" s="2060"/>
    </row>
    <row r="1837" spans="1:320" s="1530" customFormat="1" ht="12" customHeight="1">
      <c r="A1837" s="269" t="str">
        <f t="shared" si="511"/>
        <v>n</v>
      </c>
      <c r="B1837" s="2060"/>
      <c r="C1837" s="2060"/>
      <c r="D1837" s="2060"/>
      <c r="E1837" s="1661">
        <v>18</v>
      </c>
      <c r="F1837" s="1353" t="str">
        <f>F$146</f>
        <v>--</v>
      </c>
      <c r="G1837" s="128">
        <f>G$146</f>
        <v>0</v>
      </c>
      <c r="H1837" s="128" t="str">
        <f>H$146</f>
        <v>--</v>
      </c>
      <c r="I1837" s="89"/>
      <c r="J1837" s="2200" t="e">
        <f t="shared" si="508"/>
        <v>#N/A</v>
      </c>
      <c r="K1837" s="2200" t="e">
        <f t="shared" si="508"/>
        <v>#N/A</v>
      </c>
      <c r="L1837" s="2200" t="e">
        <f t="shared" ref="L1837:V1837" si="528">IFERROR(L1692/L1808,NA())</f>
        <v>#N/A</v>
      </c>
      <c r="M1837" s="2200" t="e">
        <f t="shared" si="528"/>
        <v>#N/A</v>
      </c>
      <c r="N1837" s="2200" t="e">
        <f t="shared" si="528"/>
        <v>#N/A</v>
      </c>
      <c r="O1837" s="2200" t="e">
        <f t="shared" si="528"/>
        <v>#N/A</v>
      </c>
      <c r="P1837" s="2200" t="e">
        <f t="shared" si="528"/>
        <v>#N/A</v>
      </c>
      <c r="Q1837" s="2200" t="e">
        <f t="shared" si="528"/>
        <v>#N/A</v>
      </c>
      <c r="R1837" s="2200" t="e">
        <f t="shared" si="528"/>
        <v>#N/A</v>
      </c>
      <c r="S1837" s="2200" t="e">
        <f t="shared" si="528"/>
        <v>#N/A</v>
      </c>
      <c r="T1837" s="2200" t="e">
        <f t="shared" si="528"/>
        <v>#N/A</v>
      </c>
      <c r="U1837" s="2200" t="e">
        <f t="shared" si="528"/>
        <v>#N/A</v>
      </c>
      <c r="V1837" s="2200" t="e">
        <f t="shared" si="528"/>
        <v>#N/A</v>
      </c>
      <c r="W1837" s="1479"/>
      <c r="X1837" s="255"/>
      <c r="Y1837" s="255"/>
      <c r="Z1837" s="2060"/>
      <c r="AA1837" s="2060"/>
      <c r="AB1837" s="2060"/>
      <c r="AC1837" s="2060"/>
      <c r="AD1837" s="2060"/>
      <c r="AE1837" s="2060"/>
      <c r="AF1837" s="2060"/>
    </row>
    <row r="1838" spans="1:320" s="1530" customFormat="1" ht="12" customHeight="1">
      <c r="A1838" s="269" t="str">
        <f t="shared" si="511"/>
        <v>n</v>
      </c>
      <c r="B1838" s="2060"/>
      <c r="C1838" s="2060"/>
      <c r="D1838" s="2060"/>
      <c r="E1838" s="1661">
        <v>19</v>
      </c>
      <c r="F1838" s="1353" t="str">
        <f>F$147</f>
        <v>--</v>
      </c>
      <c r="G1838" s="128">
        <f>G$147</f>
        <v>0</v>
      </c>
      <c r="H1838" s="128" t="str">
        <f>H$147</f>
        <v>--</v>
      </c>
      <c r="I1838" s="89"/>
      <c r="J1838" s="2200" t="e">
        <f t="shared" si="508"/>
        <v>#N/A</v>
      </c>
      <c r="K1838" s="2200" t="e">
        <f t="shared" si="508"/>
        <v>#N/A</v>
      </c>
      <c r="L1838" s="2200" t="e">
        <f t="shared" ref="L1838:V1838" si="529">IFERROR(L1693/L1809,NA())</f>
        <v>#N/A</v>
      </c>
      <c r="M1838" s="2200" t="e">
        <f t="shared" si="529"/>
        <v>#N/A</v>
      </c>
      <c r="N1838" s="2200" t="e">
        <f t="shared" si="529"/>
        <v>#N/A</v>
      </c>
      <c r="O1838" s="2200" t="e">
        <f t="shared" si="529"/>
        <v>#N/A</v>
      </c>
      <c r="P1838" s="2200" t="e">
        <f t="shared" si="529"/>
        <v>#N/A</v>
      </c>
      <c r="Q1838" s="2200" t="e">
        <f t="shared" si="529"/>
        <v>#N/A</v>
      </c>
      <c r="R1838" s="2200" t="e">
        <f t="shared" si="529"/>
        <v>#N/A</v>
      </c>
      <c r="S1838" s="2200" t="e">
        <f t="shared" si="529"/>
        <v>#N/A</v>
      </c>
      <c r="T1838" s="2200" t="e">
        <f t="shared" si="529"/>
        <v>#N/A</v>
      </c>
      <c r="U1838" s="2200" t="e">
        <f t="shared" si="529"/>
        <v>#N/A</v>
      </c>
      <c r="V1838" s="2200" t="e">
        <f t="shared" si="529"/>
        <v>#N/A</v>
      </c>
      <c r="W1838" s="1479"/>
      <c r="X1838" s="255"/>
      <c r="Y1838" s="255"/>
      <c r="Z1838" s="2060"/>
      <c r="AA1838" s="2060"/>
      <c r="AB1838" s="2060"/>
      <c r="AC1838" s="2060"/>
      <c r="AD1838" s="2060"/>
      <c r="AE1838" s="2060"/>
      <c r="AF1838" s="2060"/>
    </row>
    <row r="1839" spans="1:320" s="1530" customFormat="1" ht="12" customHeight="1">
      <c r="A1839" s="269" t="str">
        <f t="shared" si="511"/>
        <v>n</v>
      </c>
      <c r="B1839" s="2060"/>
      <c r="C1839" s="2060"/>
      <c r="D1839" s="2060"/>
      <c r="E1839" s="1661">
        <v>20</v>
      </c>
      <c r="F1839" s="1353" t="str">
        <f>F$148</f>
        <v>--</v>
      </c>
      <c r="G1839" s="128">
        <f>G$148</f>
        <v>0</v>
      </c>
      <c r="H1839" s="128" t="str">
        <f>H$148</f>
        <v>--</v>
      </c>
      <c r="I1839" s="89"/>
      <c r="J1839" s="2200" t="e">
        <f t="shared" si="508"/>
        <v>#N/A</v>
      </c>
      <c r="K1839" s="2200" t="e">
        <f t="shared" si="508"/>
        <v>#N/A</v>
      </c>
      <c r="L1839" s="2200" t="e">
        <f t="shared" ref="L1839:V1839" si="530">IFERROR(L1694/L1810,NA())</f>
        <v>#N/A</v>
      </c>
      <c r="M1839" s="2200" t="e">
        <f t="shared" si="530"/>
        <v>#N/A</v>
      </c>
      <c r="N1839" s="2200" t="e">
        <f t="shared" si="530"/>
        <v>#N/A</v>
      </c>
      <c r="O1839" s="2200" t="e">
        <f t="shared" si="530"/>
        <v>#N/A</v>
      </c>
      <c r="P1839" s="2200" t="e">
        <f t="shared" si="530"/>
        <v>#N/A</v>
      </c>
      <c r="Q1839" s="2200" t="e">
        <f t="shared" si="530"/>
        <v>#N/A</v>
      </c>
      <c r="R1839" s="2200" t="e">
        <f t="shared" si="530"/>
        <v>#N/A</v>
      </c>
      <c r="S1839" s="2200" t="e">
        <f t="shared" si="530"/>
        <v>#N/A</v>
      </c>
      <c r="T1839" s="2200" t="e">
        <f t="shared" si="530"/>
        <v>#N/A</v>
      </c>
      <c r="U1839" s="2200" t="e">
        <f t="shared" si="530"/>
        <v>#N/A</v>
      </c>
      <c r="V1839" s="2200" t="e">
        <f t="shared" si="530"/>
        <v>#N/A</v>
      </c>
      <c r="W1839" s="1479"/>
      <c r="X1839" s="255"/>
      <c r="Y1839" s="255"/>
      <c r="Z1839" s="2060"/>
      <c r="AA1839" s="2060"/>
      <c r="AB1839" s="2060"/>
      <c r="AC1839" s="2060"/>
      <c r="AD1839" s="2060"/>
      <c r="AE1839" s="2060"/>
      <c r="AF1839" s="2060"/>
    </row>
    <row r="1840" spans="1:320" s="1530" customFormat="1" ht="12" customHeight="1">
      <c r="A1840" s="269" t="str">
        <f t="shared" si="511"/>
        <v>n</v>
      </c>
      <c r="B1840" s="2060"/>
      <c r="C1840" s="2060"/>
      <c r="D1840" s="2060"/>
      <c r="E1840" s="1661">
        <v>21</v>
      </c>
      <c r="F1840" s="1353" t="str">
        <f>F$149</f>
        <v>--</v>
      </c>
      <c r="G1840" s="128">
        <f>G$149</f>
        <v>0</v>
      </c>
      <c r="H1840" s="128" t="str">
        <f>H$149</f>
        <v>--</v>
      </c>
      <c r="I1840" s="89"/>
      <c r="J1840" s="2200" t="e">
        <f t="shared" si="508"/>
        <v>#N/A</v>
      </c>
      <c r="K1840" s="2200" t="e">
        <f t="shared" si="508"/>
        <v>#N/A</v>
      </c>
      <c r="L1840" s="2200" t="e">
        <f t="shared" ref="L1840:V1840" si="531">IFERROR(L1695/L1811,NA())</f>
        <v>#N/A</v>
      </c>
      <c r="M1840" s="2200" t="e">
        <f t="shared" si="531"/>
        <v>#N/A</v>
      </c>
      <c r="N1840" s="2200" t="e">
        <f t="shared" si="531"/>
        <v>#N/A</v>
      </c>
      <c r="O1840" s="2200" t="e">
        <f t="shared" si="531"/>
        <v>#N/A</v>
      </c>
      <c r="P1840" s="2200" t="e">
        <f t="shared" si="531"/>
        <v>#N/A</v>
      </c>
      <c r="Q1840" s="2200" t="e">
        <f t="shared" si="531"/>
        <v>#N/A</v>
      </c>
      <c r="R1840" s="2200" t="e">
        <f t="shared" si="531"/>
        <v>#N/A</v>
      </c>
      <c r="S1840" s="2200" t="e">
        <f t="shared" si="531"/>
        <v>#N/A</v>
      </c>
      <c r="T1840" s="2200" t="e">
        <f t="shared" si="531"/>
        <v>#N/A</v>
      </c>
      <c r="U1840" s="2200" t="e">
        <f t="shared" si="531"/>
        <v>#N/A</v>
      </c>
      <c r="V1840" s="2200" t="e">
        <f t="shared" si="531"/>
        <v>#N/A</v>
      </c>
      <c r="W1840" s="1479"/>
      <c r="X1840" s="255"/>
      <c r="Y1840" s="255"/>
      <c r="Z1840" s="2060"/>
      <c r="AA1840" s="2060"/>
      <c r="AB1840" s="2060"/>
      <c r="AC1840" s="2060"/>
      <c r="AD1840" s="2060"/>
      <c r="AE1840" s="2060"/>
      <c r="AF1840" s="2060"/>
    </row>
    <row r="1841" spans="1:320" s="1530" customFormat="1" ht="12" customHeight="1">
      <c r="A1841" s="269" t="str">
        <f t="shared" si="511"/>
        <v>n</v>
      </c>
      <c r="B1841" s="2060"/>
      <c r="C1841" s="2060"/>
      <c r="D1841" s="2060"/>
      <c r="E1841" s="1661">
        <v>22</v>
      </c>
      <c r="F1841" s="1353" t="str">
        <f>F$150</f>
        <v>--</v>
      </c>
      <c r="G1841" s="128">
        <f>G$150</f>
        <v>0</v>
      </c>
      <c r="H1841" s="128" t="str">
        <f>H$150</f>
        <v>--</v>
      </c>
      <c r="I1841" s="89"/>
      <c r="J1841" s="2200" t="e">
        <f t="shared" si="508"/>
        <v>#N/A</v>
      </c>
      <c r="K1841" s="2200" t="e">
        <f t="shared" si="508"/>
        <v>#N/A</v>
      </c>
      <c r="L1841" s="2200" t="e">
        <f t="shared" ref="L1841:V1841" si="532">IFERROR(L1696/L1812,NA())</f>
        <v>#N/A</v>
      </c>
      <c r="M1841" s="2200" t="e">
        <f t="shared" si="532"/>
        <v>#N/A</v>
      </c>
      <c r="N1841" s="2200" t="e">
        <f t="shared" si="532"/>
        <v>#N/A</v>
      </c>
      <c r="O1841" s="2200" t="e">
        <f t="shared" si="532"/>
        <v>#N/A</v>
      </c>
      <c r="P1841" s="2200" t="e">
        <f t="shared" si="532"/>
        <v>#N/A</v>
      </c>
      <c r="Q1841" s="2200" t="e">
        <f t="shared" si="532"/>
        <v>#N/A</v>
      </c>
      <c r="R1841" s="2200" t="e">
        <f t="shared" si="532"/>
        <v>#N/A</v>
      </c>
      <c r="S1841" s="2200" t="e">
        <f t="shared" si="532"/>
        <v>#N/A</v>
      </c>
      <c r="T1841" s="2200" t="e">
        <f t="shared" si="532"/>
        <v>#N/A</v>
      </c>
      <c r="U1841" s="2200" t="e">
        <f t="shared" si="532"/>
        <v>#N/A</v>
      </c>
      <c r="V1841" s="2200" t="e">
        <f t="shared" si="532"/>
        <v>#N/A</v>
      </c>
      <c r="W1841" s="1479"/>
      <c r="X1841" s="255"/>
      <c r="Y1841" s="255"/>
      <c r="Z1841" s="2060"/>
      <c r="AA1841" s="2060"/>
      <c r="AB1841" s="2060"/>
      <c r="AC1841" s="2060"/>
      <c r="AD1841" s="2060"/>
      <c r="AE1841" s="2060"/>
      <c r="AF1841" s="2060"/>
    </row>
    <row r="1842" spans="1:320" s="1530" customFormat="1" ht="12" customHeight="1">
      <c r="A1842" s="269" t="str">
        <f t="shared" si="511"/>
        <v>n</v>
      </c>
      <c r="B1842" s="2060"/>
      <c r="C1842" s="2060"/>
      <c r="D1842" s="2060"/>
      <c r="E1842" s="1661">
        <v>23</v>
      </c>
      <c r="F1842" s="1353" t="str">
        <f>F$151</f>
        <v>--</v>
      </c>
      <c r="G1842" s="128">
        <f>G$151</f>
        <v>0</v>
      </c>
      <c r="H1842" s="128" t="str">
        <f>H$151</f>
        <v>--</v>
      </c>
      <c r="I1842" s="89"/>
      <c r="J1842" s="2200" t="e">
        <f t="shared" si="508"/>
        <v>#N/A</v>
      </c>
      <c r="K1842" s="2200" t="e">
        <f t="shared" si="508"/>
        <v>#N/A</v>
      </c>
      <c r="L1842" s="2200" t="e">
        <f t="shared" ref="L1842:V1842" si="533">IFERROR(L1697/L1813,NA())</f>
        <v>#N/A</v>
      </c>
      <c r="M1842" s="2200" t="e">
        <f t="shared" si="533"/>
        <v>#N/A</v>
      </c>
      <c r="N1842" s="2200" t="e">
        <f t="shared" si="533"/>
        <v>#N/A</v>
      </c>
      <c r="O1842" s="2200" t="e">
        <f t="shared" si="533"/>
        <v>#N/A</v>
      </c>
      <c r="P1842" s="2200" t="e">
        <f t="shared" si="533"/>
        <v>#N/A</v>
      </c>
      <c r="Q1842" s="2200" t="e">
        <f t="shared" si="533"/>
        <v>#N/A</v>
      </c>
      <c r="R1842" s="2200" t="e">
        <f t="shared" si="533"/>
        <v>#N/A</v>
      </c>
      <c r="S1842" s="2200" t="e">
        <f t="shared" si="533"/>
        <v>#N/A</v>
      </c>
      <c r="T1842" s="2200" t="e">
        <f t="shared" si="533"/>
        <v>#N/A</v>
      </c>
      <c r="U1842" s="2200" t="e">
        <f t="shared" si="533"/>
        <v>#N/A</v>
      </c>
      <c r="V1842" s="2200" t="e">
        <f t="shared" si="533"/>
        <v>#N/A</v>
      </c>
      <c r="W1842" s="1479"/>
      <c r="X1842" s="255"/>
      <c r="Y1842" s="255"/>
      <c r="Z1842" s="2060"/>
      <c r="AA1842" s="2060"/>
      <c r="AB1842" s="2060"/>
      <c r="AC1842" s="2060"/>
      <c r="AD1842" s="2060"/>
      <c r="AE1842" s="2060"/>
      <c r="AF1842" s="2060"/>
    </row>
    <row r="1843" spans="1:320" s="1530" customFormat="1" ht="12" customHeight="1">
      <c r="A1843" s="269" t="str">
        <f t="shared" si="511"/>
        <v>n</v>
      </c>
      <c r="B1843" s="2060"/>
      <c r="C1843" s="2060"/>
      <c r="D1843" s="2060"/>
      <c r="E1843" s="1661">
        <v>24</v>
      </c>
      <c r="F1843" s="1353" t="str">
        <f>F$152</f>
        <v>--</v>
      </c>
      <c r="G1843" s="128">
        <f>G$152</f>
        <v>0</v>
      </c>
      <c r="H1843" s="128" t="str">
        <f>H$152</f>
        <v>--</v>
      </c>
      <c r="I1843" s="89"/>
      <c r="J1843" s="2200" t="e">
        <f t="shared" si="508"/>
        <v>#N/A</v>
      </c>
      <c r="K1843" s="2200" t="e">
        <f t="shared" si="508"/>
        <v>#N/A</v>
      </c>
      <c r="L1843" s="2200" t="e">
        <f t="shared" ref="L1843:V1843" si="534">IFERROR(L1698/L1814,NA())</f>
        <v>#N/A</v>
      </c>
      <c r="M1843" s="2200" t="e">
        <f t="shared" si="534"/>
        <v>#N/A</v>
      </c>
      <c r="N1843" s="2200" t="e">
        <f t="shared" si="534"/>
        <v>#N/A</v>
      </c>
      <c r="O1843" s="2200" t="e">
        <f t="shared" si="534"/>
        <v>#N/A</v>
      </c>
      <c r="P1843" s="2200" t="e">
        <f t="shared" si="534"/>
        <v>#N/A</v>
      </c>
      <c r="Q1843" s="2200" t="e">
        <f t="shared" si="534"/>
        <v>#N/A</v>
      </c>
      <c r="R1843" s="2200" t="e">
        <f t="shared" si="534"/>
        <v>#N/A</v>
      </c>
      <c r="S1843" s="2200" t="e">
        <f t="shared" si="534"/>
        <v>#N/A</v>
      </c>
      <c r="T1843" s="2200" t="e">
        <f t="shared" si="534"/>
        <v>#N/A</v>
      </c>
      <c r="U1843" s="2200" t="e">
        <f t="shared" si="534"/>
        <v>#N/A</v>
      </c>
      <c r="V1843" s="2200" t="e">
        <f t="shared" si="534"/>
        <v>#N/A</v>
      </c>
      <c r="W1843" s="1479"/>
      <c r="X1843" s="255"/>
      <c r="Y1843" s="255"/>
      <c r="Z1843" s="2060"/>
      <c r="AA1843" s="2060"/>
      <c r="AB1843" s="2060"/>
      <c r="AC1843" s="2060"/>
      <c r="AD1843" s="2060"/>
      <c r="AE1843" s="2060"/>
      <c r="AF1843" s="2060"/>
    </row>
    <row r="1844" spans="1:320" ht="12" customHeight="1">
      <c r="A1844" s="269" t="str">
        <f t="shared" si="511"/>
        <v>n</v>
      </c>
      <c r="B1844" s="2060"/>
      <c r="C1844" s="2060"/>
      <c r="D1844" s="2060"/>
      <c r="E1844" s="1661">
        <v>25</v>
      </c>
      <c r="F1844" s="1353" t="str">
        <f>F$153</f>
        <v>--</v>
      </c>
      <c r="G1844" s="128">
        <f>G$153</f>
        <v>0</v>
      </c>
      <c r="H1844" s="128" t="str">
        <f>H$153</f>
        <v>--</v>
      </c>
      <c r="I1844" s="89"/>
      <c r="J1844" s="2200" t="e">
        <f t="shared" si="508"/>
        <v>#N/A</v>
      </c>
      <c r="K1844" s="2200" t="e">
        <f t="shared" si="508"/>
        <v>#N/A</v>
      </c>
      <c r="L1844" s="2200" t="e">
        <f t="shared" ref="L1844:V1844" si="535">IFERROR(L1699/L1815,NA())</f>
        <v>#N/A</v>
      </c>
      <c r="M1844" s="2200" t="e">
        <f t="shared" si="535"/>
        <v>#N/A</v>
      </c>
      <c r="N1844" s="2200" t="e">
        <f t="shared" si="535"/>
        <v>#N/A</v>
      </c>
      <c r="O1844" s="2200" t="e">
        <f t="shared" si="535"/>
        <v>#N/A</v>
      </c>
      <c r="P1844" s="2200" t="e">
        <f t="shared" si="535"/>
        <v>#N/A</v>
      </c>
      <c r="Q1844" s="2200" t="e">
        <f t="shared" si="535"/>
        <v>#N/A</v>
      </c>
      <c r="R1844" s="2200" t="e">
        <f t="shared" si="535"/>
        <v>#N/A</v>
      </c>
      <c r="S1844" s="2200" t="e">
        <f t="shared" si="535"/>
        <v>#N/A</v>
      </c>
      <c r="T1844" s="2200" t="e">
        <f t="shared" si="535"/>
        <v>#N/A</v>
      </c>
      <c r="U1844" s="2200" t="e">
        <f t="shared" si="535"/>
        <v>#N/A</v>
      </c>
      <c r="V1844" s="2200" t="e">
        <f t="shared" si="535"/>
        <v>#N/A</v>
      </c>
      <c r="W1844" s="1479"/>
      <c r="X1844" s="255"/>
      <c r="Y1844" s="89"/>
      <c r="Z1844" s="2060"/>
      <c r="AA1844" s="2060"/>
      <c r="AB1844" s="2060"/>
      <c r="AC1844" s="2060"/>
      <c r="AD1844" s="2060"/>
      <c r="AE1844" s="2060"/>
      <c r="AF1844" s="2060"/>
      <c r="AG1844" s="1530"/>
      <c r="AH1844" s="1530"/>
      <c r="AI1844" s="1530"/>
      <c r="AJ1844" s="1530"/>
      <c r="AK1844" s="1530"/>
      <c r="AL1844" s="1530"/>
      <c r="AM1844" s="1530"/>
      <c r="AN1844" s="1530"/>
      <c r="AO1844" s="1530"/>
      <c r="AP1844" s="1530"/>
      <c r="AQ1844" s="1530"/>
      <c r="AR1844" s="1530"/>
      <c r="AS1844" s="1530"/>
      <c r="AT1844" s="1530"/>
      <c r="AU1844" s="1530"/>
      <c r="AV1844" s="1530"/>
      <c r="AW1844" s="1530"/>
      <c r="AX1844" s="1530"/>
      <c r="AY1844" s="1530"/>
      <c r="AZ1844" s="1530"/>
      <c r="BA1844" s="1530"/>
      <c r="BB1844" s="1530"/>
      <c r="BC1844" s="1530"/>
      <c r="BD1844" s="1530"/>
      <c r="BE1844" s="1530"/>
      <c r="BF1844" s="1530"/>
      <c r="BG1844" s="1530"/>
      <c r="BH1844" s="1530"/>
      <c r="BI1844" s="1530"/>
      <c r="BJ1844" s="1530"/>
      <c r="BK1844" s="1530"/>
      <c r="BL1844" s="1530"/>
      <c r="BM1844" s="1530"/>
      <c r="BN1844" s="1530"/>
      <c r="BO1844" s="1530"/>
      <c r="BP1844" s="1530"/>
      <c r="BQ1844" s="1530"/>
      <c r="BR1844" s="1530"/>
      <c r="BS1844" s="1530"/>
      <c r="BT1844" s="1530"/>
      <c r="BU1844" s="1530"/>
      <c r="BV1844" s="1530"/>
      <c r="BW1844" s="1530"/>
      <c r="BX1844" s="1530"/>
      <c r="BY1844" s="1530"/>
      <c r="BZ1844" s="1530"/>
      <c r="CA1844" s="1530"/>
      <c r="CB1844" s="1530"/>
      <c r="CC1844" s="1530"/>
      <c r="CD1844" s="1530"/>
      <c r="CE1844" s="1530"/>
      <c r="CF1844" s="1530"/>
      <c r="CG1844" s="1530"/>
      <c r="CH1844" s="1530"/>
      <c r="CI1844" s="1530"/>
      <c r="CJ1844" s="1530"/>
      <c r="CK1844" s="1530"/>
      <c r="CL1844" s="1530"/>
      <c r="CM1844" s="1530"/>
      <c r="CN1844" s="1530"/>
      <c r="CO1844" s="1530"/>
      <c r="CP1844" s="1530"/>
      <c r="CQ1844" s="1530"/>
      <c r="CR1844" s="1530"/>
      <c r="CS1844" s="1530"/>
      <c r="CT1844" s="1530"/>
      <c r="CU1844" s="1530"/>
      <c r="CV1844" s="1530"/>
      <c r="CW1844" s="1530"/>
      <c r="CX1844" s="1530"/>
      <c r="CY1844" s="1530"/>
      <c r="CZ1844" s="1530"/>
      <c r="DA1844" s="1530"/>
      <c r="DB1844" s="1530"/>
      <c r="DC1844" s="1530"/>
      <c r="DD1844" s="1530"/>
      <c r="DE1844" s="1530"/>
      <c r="DF1844" s="1530"/>
      <c r="DG1844" s="1530"/>
      <c r="DH1844" s="1530"/>
      <c r="DI1844" s="1530"/>
      <c r="DJ1844" s="1530"/>
      <c r="DK1844" s="1530"/>
      <c r="DL1844" s="1530"/>
      <c r="DM1844" s="1530"/>
      <c r="DN1844" s="1530"/>
      <c r="DO1844" s="1530"/>
      <c r="DP1844" s="1530"/>
      <c r="DQ1844" s="1530"/>
      <c r="DR1844" s="1530"/>
      <c r="DS1844" s="1530"/>
      <c r="DT1844" s="1530"/>
      <c r="DU1844" s="1530"/>
      <c r="DV1844" s="1530"/>
      <c r="DW1844" s="1530"/>
      <c r="DX1844" s="1530"/>
      <c r="DY1844" s="1530"/>
      <c r="DZ1844" s="1530"/>
      <c r="EA1844" s="1530"/>
      <c r="EB1844" s="1530"/>
      <c r="EC1844" s="1530"/>
      <c r="ED1844" s="1530"/>
      <c r="EE1844" s="1530"/>
      <c r="EF1844" s="1530"/>
      <c r="EG1844" s="1530"/>
      <c r="EH1844" s="1530"/>
      <c r="EI1844" s="1530"/>
      <c r="EJ1844" s="1530"/>
      <c r="EK1844" s="1530"/>
      <c r="EL1844" s="1530"/>
      <c r="EM1844" s="1530"/>
      <c r="EN1844" s="1530"/>
      <c r="EO1844" s="1530"/>
      <c r="EP1844" s="1530"/>
      <c r="EQ1844" s="1530"/>
      <c r="ER1844" s="1530"/>
      <c r="ES1844" s="1530"/>
      <c r="ET1844" s="1530"/>
      <c r="EU1844" s="1530"/>
      <c r="EV1844" s="1530"/>
      <c r="EW1844" s="1530"/>
      <c r="EX1844" s="1530"/>
      <c r="EY1844" s="1530"/>
      <c r="EZ1844" s="1530"/>
      <c r="FA1844" s="1530"/>
      <c r="FB1844" s="1530"/>
      <c r="FC1844" s="1530"/>
      <c r="FD1844" s="1530"/>
      <c r="FE1844" s="1530"/>
      <c r="FF1844" s="1530"/>
      <c r="FG1844" s="1530"/>
      <c r="FH1844" s="1530"/>
      <c r="FI1844" s="1530"/>
      <c r="FJ1844" s="1530"/>
      <c r="FK1844" s="1530"/>
      <c r="FL1844" s="1530"/>
      <c r="FM1844" s="1530"/>
      <c r="FN1844" s="1530"/>
      <c r="FO1844" s="1530"/>
      <c r="FP1844" s="1530"/>
      <c r="FQ1844" s="1530"/>
      <c r="FR1844" s="1530"/>
      <c r="FS1844" s="1530"/>
      <c r="FT1844" s="1530"/>
      <c r="FU1844" s="1530"/>
      <c r="FV1844" s="1530"/>
      <c r="FW1844" s="1530"/>
      <c r="FX1844" s="1530"/>
      <c r="FY1844" s="1530"/>
      <c r="FZ1844" s="1530"/>
      <c r="GA1844" s="1530"/>
      <c r="GB1844" s="1530"/>
      <c r="GC1844" s="1530"/>
      <c r="GD1844" s="1530"/>
      <c r="GE1844" s="1530"/>
      <c r="GF1844" s="1530"/>
      <c r="GG1844" s="1530"/>
      <c r="GH1844" s="1530"/>
      <c r="GI1844" s="1530"/>
      <c r="GJ1844" s="1530"/>
      <c r="GK1844" s="1530"/>
      <c r="GL1844" s="1530"/>
      <c r="GM1844" s="1530"/>
      <c r="GN1844" s="1530"/>
      <c r="GO1844" s="1530"/>
      <c r="GP1844" s="1530"/>
      <c r="GQ1844" s="1530"/>
      <c r="GR1844" s="1530"/>
      <c r="GS1844" s="1530"/>
      <c r="GT1844" s="1530"/>
      <c r="GU1844" s="1530"/>
      <c r="GV1844" s="1530"/>
      <c r="GW1844" s="1530"/>
      <c r="GX1844" s="1530"/>
      <c r="GY1844" s="1530"/>
      <c r="GZ1844" s="1530"/>
      <c r="HA1844" s="1530"/>
      <c r="HB1844" s="1530"/>
      <c r="HC1844" s="1530"/>
      <c r="HD1844" s="1530"/>
      <c r="HE1844" s="1530"/>
      <c r="HF1844" s="1530"/>
      <c r="HG1844" s="1530"/>
      <c r="HH1844" s="1530"/>
      <c r="HI1844" s="1530"/>
      <c r="HJ1844" s="1530"/>
      <c r="HK1844" s="1530"/>
      <c r="HL1844" s="1530"/>
      <c r="HM1844" s="1530"/>
      <c r="HN1844" s="1530"/>
      <c r="HO1844" s="1530"/>
      <c r="HP1844" s="1530"/>
      <c r="HQ1844" s="1530"/>
      <c r="HR1844" s="1530"/>
      <c r="HS1844" s="1530"/>
      <c r="HT1844" s="1530"/>
      <c r="HU1844" s="1530"/>
      <c r="HV1844" s="1530"/>
      <c r="HW1844" s="1530"/>
      <c r="HX1844" s="1530"/>
      <c r="HY1844" s="1530"/>
      <c r="HZ1844" s="1530"/>
      <c r="IA1844" s="1530"/>
      <c r="IB1844" s="1530"/>
      <c r="IC1844" s="1530"/>
      <c r="ID1844" s="1530"/>
      <c r="IE1844" s="1530"/>
      <c r="IF1844" s="1530"/>
      <c r="IG1844" s="1530"/>
      <c r="IH1844" s="1530"/>
      <c r="II1844" s="1530"/>
      <c r="IJ1844" s="1530"/>
      <c r="IK1844" s="1530"/>
      <c r="IL1844" s="1530"/>
      <c r="IM1844" s="1530"/>
      <c r="IN1844" s="1530"/>
      <c r="IO1844" s="1530"/>
      <c r="IP1844" s="1530"/>
      <c r="IQ1844" s="1530"/>
      <c r="IR1844" s="1530"/>
      <c r="IS1844" s="1530"/>
      <c r="IT1844" s="1530"/>
      <c r="IU1844" s="1530"/>
      <c r="IV1844" s="1530"/>
      <c r="IW1844" s="1530"/>
      <c r="IX1844" s="1530"/>
      <c r="IY1844" s="1530"/>
      <c r="IZ1844" s="1530"/>
      <c r="JA1844" s="1530"/>
      <c r="JB1844" s="1530"/>
      <c r="JC1844" s="1530"/>
      <c r="JD1844" s="1530"/>
      <c r="JE1844" s="1530"/>
      <c r="JF1844" s="1530"/>
      <c r="JG1844" s="1530"/>
      <c r="JH1844" s="1530"/>
      <c r="JI1844" s="1530"/>
      <c r="JJ1844" s="1530"/>
      <c r="JK1844" s="1530"/>
      <c r="JL1844" s="1530"/>
      <c r="JM1844" s="1530"/>
      <c r="JN1844" s="1530"/>
      <c r="JO1844" s="1530"/>
      <c r="JP1844" s="1530"/>
      <c r="JQ1844" s="1530"/>
      <c r="JR1844" s="1530"/>
      <c r="JS1844" s="1530"/>
      <c r="JT1844" s="1530"/>
      <c r="JU1844" s="1530"/>
      <c r="JV1844" s="1530"/>
      <c r="JW1844" s="1530"/>
      <c r="JX1844" s="1530"/>
      <c r="JY1844" s="1530"/>
      <c r="JZ1844" s="1530"/>
      <c r="KA1844" s="1530"/>
      <c r="KB1844" s="1530"/>
      <c r="KC1844" s="1530"/>
      <c r="KD1844" s="1530"/>
      <c r="KE1844" s="1530"/>
      <c r="KF1844" s="1530"/>
      <c r="KG1844" s="1530"/>
      <c r="KH1844" s="1530"/>
      <c r="KI1844" s="1530"/>
      <c r="KJ1844" s="1530"/>
      <c r="KK1844" s="1530"/>
      <c r="KL1844" s="1530"/>
      <c r="KM1844" s="1530"/>
      <c r="KN1844" s="1530"/>
      <c r="KO1844" s="1530"/>
      <c r="KP1844" s="1530"/>
      <c r="KQ1844" s="1530"/>
      <c r="KR1844" s="1530"/>
      <c r="KS1844" s="1530"/>
      <c r="KT1844" s="1530"/>
      <c r="KU1844" s="1530"/>
      <c r="KV1844" s="1530"/>
      <c r="KW1844" s="1530"/>
      <c r="KX1844" s="1530"/>
      <c r="KY1844" s="1530"/>
      <c r="KZ1844" s="1530"/>
      <c r="LA1844" s="1530"/>
      <c r="LB1844" s="1530"/>
      <c r="LC1844" s="1530"/>
      <c r="LD1844" s="1530"/>
      <c r="LE1844" s="1530"/>
      <c r="LF1844" s="1530"/>
      <c r="LG1844" s="1530"/>
      <c r="LH1844" s="1530"/>
    </row>
    <row r="1845" spans="1:320" ht="12" customHeight="1">
      <c r="A1845" s="2060"/>
      <c r="B1845" s="2060"/>
      <c r="C1845" s="2060"/>
      <c r="D1845" s="2060"/>
      <c r="E1845" s="635"/>
      <c r="F1845" s="1458"/>
      <c r="G1845" s="1458"/>
      <c r="H1845" s="1458"/>
      <c r="I1845" s="1458"/>
      <c r="J1845" s="636"/>
      <c r="K1845" s="636"/>
      <c r="L1845" s="636"/>
      <c r="M1845" s="636"/>
      <c r="N1845" s="636"/>
      <c r="O1845" s="636"/>
      <c r="P1845" s="636"/>
      <c r="Q1845" s="636"/>
      <c r="R1845" s="636"/>
      <c r="S1845" s="636"/>
      <c r="T1845" s="636"/>
      <c r="U1845" s="636"/>
      <c r="V1845" s="636"/>
      <c r="W1845" s="1483"/>
      <c r="X1845" s="255"/>
      <c r="Y1845" s="89"/>
      <c r="Z1845" s="2060"/>
      <c r="AA1845" s="2060"/>
      <c r="AB1845" s="2060"/>
      <c r="AC1845" s="2060"/>
      <c r="AD1845" s="2060"/>
      <c r="AE1845" s="2060"/>
      <c r="AF1845" s="1530"/>
      <c r="AG1845" s="1530"/>
      <c r="AH1845" s="1530"/>
      <c r="AI1845" s="1530"/>
      <c r="AJ1845" s="1530"/>
      <c r="AK1845" s="1530"/>
      <c r="AL1845" s="1530"/>
      <c r="AM1845" s="1530"/>
      <c r="AN1845" s="1530"/>
      <c r="AO1845" s="1530"/>
      <c r="AP1845" s="1530"/>
      <c r="AQ1845" s="1530"/>
      <c r="AR1845" s="1530"/>
      <c r="AS1845" s="1530"/>
      <c r="AT1845" s="1530"/>
      <c r="AU1845" s="1530"/>
      <c r="AV1845" s="1530"/>
      <c r="AW1845" s="1530"/>
      <c r="AX1845" s="1530"/>
      <c r="AY1845" s="1530"/>
      <c r="AZ1845" s="1530"/>
      <c r="BA1845" s="1530"/>
      <c r="BB1845" s="1530"/>
      <c r="BC1845" s="1530"/>
      <c r="BD1845" s="1530"/>
      <c r="BE1845" s="1530"/>
      <c r="BF1845" s="1530"/>
      <c r="BG1845" s="1530"/>
      <c r="BH1845" s="1530"/>
      <c r="BI1845" s="1530"/>
      <c r="BJ1845" s="1530"/>
      <c r="BK1845" s="1530"/>
      <c r="BL1845" s="1530"/>
      <c r="BM1845" s="1530"/>
      <c r="BN1845" s="1530"/>
      <c r="BO1845" s="1530"/>
      <c r="BP1845" s="1530"/>
      <c r="BQ1845" s="1530"/>
      <c r="BR1845" s="1530"/>
      <c r="BS1845" s="1530"/>
      <c r="BT1845" s="1530"/>
      <c r="BU1845" s="1530"/>
      <c r="BV1845" s="1530"/>
      <c r="BW1845" s="1530"/>
      <c r="BX1845" s="1530"/>
      <c r="BY1845" s="1530"/>
      <c r="BZ1845" s="1530"/>
      <c r="CA1845" s="1530"/>
      <c r="CB1845" s="1530"/>
      <c r="CC1845" s="1530"/>
      <c r="CD1845" s="1530"/>
      <c r="CE1845" s="1530"/>
      <c r="CF1845" s="1530"/>
      <c r="CG1845" s="1530"/>
      <c r="CH1845" s="1530"/>
      <c r="CI1845" s="1530"/>
      <c r="CJ1845" s="1530"/>
      <c r="CK1845" s="1530"/>
      <c r="CL1845" s="1530"/>
      <c r="CM1845" s="1530"/>
      <c r="CN1845" s="1530"/>
      <c r="CO1845" s="1530"/>
      <c r="CP1845" s="1530"/>
      <c r="CQ1845" s="1530"/>
      <c r="CR1845" s="1530"/>
      <c r="CS1845" s="1530"/>
      <c r="CT1845" s="1530"/>
      <c r="CU1845" s="1530"/>
      <c r="CV1845" s="1530"/>
      <c r="CW1845" s="1530"/>
      <c r="CX1845" s="1530"/>
      <c r="CY1845" s="1530"/>
      <c r="CZ1845" s="1530"/>
      <c r="DA1845" s="1530"/>
      <c r="DB1845" s="1530"/>
      <c r="DC1845" s="1530"/>
      <c r="DD1845" s="1530"/>
      <c r="DE1845" s="1530"/>
      <c r="DF1845" s="1530"/>
      <c r="DG1845" s="1530"/>
      <c r="DH1845" s="1530"/>
      <c r="DI1845" s="1530"/>
      <c r="DJ1845" s="1530"/>
      <c r="DK1845" s="1530"/>
      <c r="DL1845" s="1530"/>
      <c r="DM1845" s="1530"/>
      <c r="DN1845" s="1530"/>
      <c r="DO1845" s="1530"/>
      <c r="DP1845" s="1530"/>
      <c r="DQ1845" s="1530"/>
      <c r="DR1845" s="1530"/>
      <c r="DS1845" s="1530"/>
      <c r="DT1845" s="1530"/>
      <c r="DU1845" s="1530"/>
      <c r="DV1845" s="1530"/>
      <c r="DW1845" s="1530"/>
      <c r="DX1845" s="1530"/>
      <c r="DY1845" s="1530"/>
      <c r="DZ1845" s="1530"/>
      <c r="EA1845" s="1530"/>
      <c r="EB1845" s="1530"/>
      <c r="EC1845" s="1530"/>
      <c r="ED1845" s="1530"/>
      <c r="EE1845" s="1530"/>
      <c r="EF1845" s="1530"/>
      <c r="EG1845" s="1530"/>
      <c r="EH1845" s="1530"/>
      <c r="EI1845" s="1530"/>
      <c r="EJ1845" s="1530"/>
      <c r="EK1845" s="1530"/>
      <c r="EL1845" s="1530"/>
      <c r="EM1845" s="1530"/>
      <c r="EN1845" s="1530"/>
      <c r="EO1845" s="1530"/>
      <c r="EP1845" s="1530"/>
      <c r="EQ1845" s="1530"/>
      <c r="ER1845" s="1530"/>
      <c r="ES1845" s="1530"/>
      <c r="ET1845" s="1530"/>
      <c r="EU1845" s="1530"/>
      <c r="EV1845" s="1530"/>
      <c r="EW1845" s="1530"/>
      <c r="EX1845" s="1530"/>
      <c r="EY1845" s="1530"/>
      <c r="EZ1845" s="1530"/>
      <c r="FA1845" s="1530"/>
      <c r="FB1845" s="1530"/>
      <c r="FC1845" s="1530"/>
      <c r="FD1845" s="1530"/>
      <c r="FE1845" s="1530"/>
      <c r="FF1845" s="1530"/>
      <c r="FG1845" s="1530"/>
      <c r="FH1845" s="1530"/>
      <c r="FI1845" s="1530"/>
      <c r="FJ1845" s="1530"/>
      <c r="FK1845" s="1530"/>
      <c r="FL1845" s="1530"/>
      <c r="FM1845" s="1530"/>
      <c r="FN1845" s="1530"/>
      <c r="FO1845" s="1530"/>
      <c r="FP1845" s="1530"/>
      <c r="FQ1845" s="1530"/>
      <c r="FR1845" s="1530"/>
      <c r="FS1845" s="1530"/>
      <c r="FT1845" s="1530"/>
      <c r="FU1845" s="1530"/>
      <c r="FV1845" s="1530"/>
      <c r="FW1845" s="1530"/>
      <c r="FX1845" s="1530"/>
      <c r="FY1845" s="1530"/>
      <c r="FZ1845" s="1530"/>
      <c r="GA1845" s="1530"/>
      <c r="GB1845" s="1530"/>
      <c r="GC1845" s="1530"/>
      <c r="GD1845" s="1530"/>
      <c r="GE1845" s="1530"/>
      <c r="GF1845" s="1530"/>
      <c r="GG1845" s="1530"/>
      <c r="GH1845" s="1530"/>
      <c r="GI1845" s="1530"/>
      <c r="GJ1845" s="1530"/>
      <c r="GK1845" s="1530"/>
      <c r="GL1845" s="1530"/>
      <c r="GM1845" s="1530"/>
      <c r="GN1845" s="1530"/>
      <c r="GO1845" s="1530"/>
      <c r="GP1845" s="1530"/>
      <c r="GQ1845" s="1530"/>
      <c r="GR1845" s="1530"/>
      <c r="GS1845" s="1530"/>
      <c r="GT1845" s="1530"/>
      <c r="GU1845" s="1530"/>
      <c r="GV1845" s="1530"/>
      <c r="GW1845" s="1530"/>
      <c r="GX1845" s="1530"/>
      <c r="GY1845" s="1530"/>
      <c r="GZ1845" s="1530"/>
      <c r="HA1845" s="1530"/>
      <c r="HB1845" s="1530"/>
      <c r="HC1845" s="1530"/>
      <c r="HD1845" s="1530"/>
      <c r="HE1845" s="1530"/>
      <c r="HF1845" s="1530"/>
      <c r="HG1845" s="1530"/>
      <c r="HH1845" s="1530"/>
      <c r="HI1845" s="1530"/>
      <c r="HJ1845" s="1530"/>
      <c r="HK1845" s="1530"/>
      <c r="HL1845" s="1530"/>
      <c r="HM1845" s="1530"/>
      <c r="HN1845" s="1530"/>
      <c r="HO1845" s="1530"/>
      <c r="HP1845" s="1530"/>
      <c r="HQ1845" s="1530"/>
      <c r="HR1845" s="1530"/>
      <c r="HS1845" s="1530"/>
      <c r="HT1845" s="1530"/>
      <c r="HU1845" s="1530"/>
      <c r="HV1845" s="1530"/>
      <c r="HW1845" s="1530"/>
      <c r="HX1845" s="1530"/>
      <c r="HY1845" s="1530"/>
      <c r="HZ1845" s="1530"/>
      <c r="IA1845" s="1530"/>
      <c r="IB1845" s="1530"/>
      <c r="IC1845" s="1530"/>
      <c r="ID1845" s="1530"/>
      <c r="IE1845" s="1530"/>
      <c r="IF1845" s="1530"/>
      <c r="IG1845" s="1530"/>
      <c r="IH1845" s="1530"/>
      <c r="II1845" s="1530"/>
      <c r="IJ1845" s="1530"/>
      <c r="IK1845" s="1530"/>
      <c r="IL1845" s="1530"/>
      <c r="IM1845" s="1530"/>
      <c r="IN1845" s="1530"/>
      <c r="IO1845" s="1530"/>
      <c r="IP1845" s="1530"/>
      <c r="IQ1845" s="1530"/>
      <c r="IR1845" s="1530"/>
      <c r="IS1845" s="1530"/>
      <c r="IT1845" s="1530"/>
      <c r="IU1845" s="1530"/>
      <c r="IV1845" s="1530"/>
      <c r="IW1845" s="1530"/>
      <c r="IX1845" s="1530"/>
      <c r="IY1845" s="1530"/>
      <c r="IZ1845" s="1530"/>
      <c r="JA1845" s="1530"/>
      <c r="JB1845" s="1530"/>
      <c r="JC1845" s="1530"/>
      <c r="JD1845" s="1530"/>
      <c r="JE1845" s="1530"/>
      <c r="JF1845" s="1530"/>
      <c r="JG1845" s="1530"/>
      <c r="JH1845" s="1530"/>
      <c r="JI1845" s="1530"/>
      <c r="JJ1845" s="1530"/>
      <c r="JK1845" s="1530"/>
      <c r="JL1845" s="1530"/>
      <c r="JM1845" s="1530"/>
      <c r="JN1845" s="1530"/>
      <c r="JO1845" s="1530"/>
      <c r="JP1845" s="1530"/>
      <c r="JQ1845" s="1530"/>
      <c r="JR1845" s="1530"/>
      <c r="JS1845" s="1530"/>
      <c r="JT1845" s="1530"/>
      <c r="JU1845" s="1530"/>
      <c r="JV1845" s="1530"/>
      <c r="JW1845" s="1530"/>
      <c r="JX1845" s="1530"/>
      <c r="JY1845" s="1530"/>
      <c r="JZ1845" s="1530"/>
      <c r="KA1845" s="1530"/>
      <c r="KB1845" s="1530"/>
      <c r="KC1845" s="1530"/>
      <c r="KD1845" s="1530"/>
      <c r="KE1845" s="1530"/>
      <c r="KF1845" s="1530"/>
      <c r="KG1845" s="1530"/>
      <c r="KH1845" s="1530"/>
      <c r="KI1845" s="1530"/>
      <c r="KJ1845" s="1530"/>
      <c r="KK1845" s="1530"/>
      <c r="KL1845" s="1530"/>
      <c r="KM1845" s="1530"/>
      <c r="KN1845" s="1530"/>
      <c r="KO1845" s="1530"/>
      <c r="KP1845" s="1530"/>
      <c r="KQ1845" s="1530"/>
      <c r="KR1845" s="1530"/>
      <c r="KS1845" s="1530"/>
      <c r="KT1845" s="1530"/>
      <c r="KU1845" s="1530"/>
      <c r="KV1845" s="1530"/>
      <c r="KW1845" s="1530"/>
      <c r="KX1845" s="1530"/>
      <c r="KY1845" s="1530"/>
      <c r="KZ1845" s="1530"/>
      <c r="LA1845" s="1530"/>
      <c r="LB1845" s="1530"/>
      <c r="LC1845" s="1530"/>
      <c r="LD1845" s="1530"/>
      <c r="LE1845" s="1530"/>
      <c r="LF1845" s="1530"/>
      <c r="LG1845" s="1530"/>
      <c r="LH1845" s="1530"/>
    </row>
    <row r="1846" spans="1:320" ht="12" customHeight="1">
      <c r="A1846" s="1530"/>
      <c r="B1846" s="1530"/>
      <c r="C1846" s="1530"/>
      <c r="D1846" s="1530"/>
      <c r="E1846" s="1530"/>
      <c r="F1846" s="1530"/>
      <c r="G1846" s="1530"/>
      <c r="H1846" s="1530"/>
      <c r="I1846" s="1530"/>
      <c r="J1846" s="1530"/>
      <c r="K1846" s="1530"/>
      <c r="L1846" s="1530"/>
      <c r="M1846" s="1530"/>
      <c r="N1846" s="1530"/>
      <c r="O1846" s="1530"/>
      <c r="P1846" s="1530"/>
      <c r="Q1846" s="1530"/>
      <c r="R1846" s="1530"/>
      <c r="S1846" s="1530"/>
      <c r="T1846" s="1530"/>
      <c r="U1846" s="1530"/>
      <c r="V1846" s="1530"/>
      <c r="W1846" s="1530"/>
      <c r="X1846" s="1530"/>
      <c r="Y1846" s="1530"/>
      <c r="Z1846" s="1530"/>
      <c r="AA1846" s="1530"/>
      <c r="AB1846" s="1530"/>
      <c r="AC1846" s="1530"/>
      <c r="AD1846" s="1530"/>
      <c r="AE1846" s="1530"/>
      <c r="AF1846" s="1530"/>
      <c r="AG1846" s="1530"/>
      <c r="AH1846" s="1530"/>
      <c r="AI1846" s="1530"/>
      <c r="AJ1846" s="1530"/>
      <c r="AK1846" s="1530"/>
      <c r="AL1846" s="1530"/>
      <c r="AM1846" s="1530"/>
      <c r="AN1846" s="1530"/>
      <c r="AO1846" s="1530"/>
      <c r="AP1846" s="1530"/>
      <c r="AQ1846" s="1530"/>
      <c r="AR1846" s="1530"/>
      <c r="AS1846" s="1530"/>
      <c r="AT1846" s="1530"/>
      <c r="AU1846" s="1530"/>
      <c r="AV1846" s="1530"/>
      <c r="AW1846" s="1530"/>
      <c r="AX1846" s="1530"/>
      <c r="AY1846" s="1530"/>
      <c r="AZ1846" s="1530"/>
      <c r="BA1846" s="1530"/>
      <c r="BB1846" s="1530"/>
      <c r="BC1846" s="1530"/>
      <c r="BD1846" s="1530"/>
      <c r="BE1846" s="1530"/>
      <c r="BF1846" s="1530"/>
      <c r="BG1846" s="1530"/>
      <c r="BH1846" s="1530"/>
      <c r="BI1846" s="1530"/>
      <c r="BJ1846" s="1530"/>
      <c r="BK1846" s="1530"/>
      <c r="BL1846" s="1530"/>
      <c r="BM1846" s="1530"/>
      <c r="BN1846" s="1530"/>
      <c r="BO1846" s="1530"/>
      <c r="BP1846" s="1530"/>
      <c r="BQ1846" s="1530"/>
      <c r="BR1846" s="1530"/>
      <c r="BS1846" s="1530"/>
      <c r="BT1846" s="1530"/>
      <c r="BU1846" s="1530"/>
      <c r="BV1846" s="1530"/>
      <c r="BW1846" s="1530"/>
      <c r="BX1846" s="1530"/>
      <c r="BY1846" s="1530"/>
      <c r="BZ1846" s="1530"/>
      <c r="CA1846" s="1530"/>
      <c r="CB1846" s="1530"/>
      <c r="CC1846" s="1530"/>
      <c r="CD1846" s="1530"/>
      <c r="CE1846" s="1530"/>
      <c r="CF1846" s="1530"/>
      <c r="CG1846" s="1530"/>
      <c r="CH1846" s="1530"/>
      <c r="CI1846" s="1530"/>
      <c r="CJ1846" s="1530"/>
      <c r="CK1846" s="1530"/>
      <c r="CL1846" s="1530"/>
      <c r="CM1846" s="1530"/>
      <c r="CN1846" s="1530"/>
      <c r="CO1846" s="1530"/>
      <c r="CP1846" s="1530"/>
      <c r="CQ1846" s="1530"/>
      <c r="CR1846" s="1530"/>
      <c r="CS1846" s="1530"/>
      <c r="CT1846" s="1530"/>
      <c r="CU1846" s="1530"/>
      <c r="CV1846" s="1530"/>
      <c r="CW1846" s="1530"/>
      <c r="CX1846" s="1530"/>
      <c r="CY1846" s="1530"/>
      <c r="CZ1846" s="1530"/>
      <c r="DA1846" s="1530"/>
      <c r="DB1846" s="1530"/>
      <c r="DC1846" s="1530"/>
      <c r="DD1846" s="1530"/>
      <c r="DE1846" s="1530"/>
      <c r="DF1846" s="1530"/>
      <c r="DG1846" s="1530"/>
      <c r="DH1846" s="1530"/>
      <c r="DI1846" s="1530"/>
      <c r="DJ1846" s="1530"/>
      <c r="DK1846" s="1530"/>
      <c r="DL1846" s="1530"/>
      <c r="DM1846" s="1530"/>
      <c r="DN1846" s="1530"/>
      <c r="DO1846" s="1530"/>
      <c r="DP1846" s="1530"/>
      <c r="DQ1846" s="1530"/>
      <c r="DR1846" s="1530"/>
      <c r="DS1846" s="1530"/>
      <c r="DT1846" s="1530"/>
      <c r="DU1846" s="1530"/>
      <c r="DV1846" s="1530"/>
      <c r="DW1846" s="1530"/>
      <c r="DX1846" s="1530"/>
      <c r="DY1846" s="1530"/>
      <c r="DZ1846" s="1530"/>
      <c r="EA1846" s="1530"/>
      <c r="EB1846" s="1530"/>
      <c r="EC1846" s="1530"/>
      <c r="ED1846" s="1530"/>
      <c r="EE1846" s="1530"/>
      <c r="EF1846" s="1530"/>
      <c r="EG1846" s="1530"/>
      <c r="EH1846" s="1530"/>
      <c r="EI1846" s="1530"/>
      <c r="EJ1846" s="1530"/>
      <c r="EK1846" s="1530"/>
      <c r="EL1846" s="1530"/>
      <c r="EM1846" s="1530"/>
      <c r="EN1846" s="1530"/>
      <c r="EO1846" s="1530"/>
      <c r="EP1846" s="1530"/>
      <c r="EQ1846" s="1530"/>
      <c r="ER1846" s="1530"/>
      <c r="ES1846" s="1530"/>
      <c r="ET1846" s="1530"/>
      <c r="EU1846" s="1530"/>
      <c r="EV1846" s="1530"/>
      <c r="EW1846" s="1530"/>
      <c r="EX1846" s="1530"/>
      <c r="EY1846" s="1530"/>
      <c r="EZ1846" s="1530"/>
      <c r="FA1846" s="1530"/>
      <c r="FB1846" s="1530"/>
      <c r="FC1846" s="1530"/>
      <c r="FD1846" s="1530"/>
      <c r="FE1846" s="1530"/>
      <c r="FF1846" s="1530"/>
      <c r="FG1846" s="1530"/>
      <c r="FH1846" s="1530"/>
      <c r="FI1846" s="1530"/>
      <c r="FJ1846" s="1530"/>
      <c r="FK1846" s="1530"/>
      <c r="FL1846" s="1530"/>
      <c r="FM1846" s="1530"/>
      <c r="FN1846" s="1530"/>
      <c r="FO1846" s="1530"/>
      <c r="FP1846" s="1530"/>
      <c r="FQ1846" s="1530"/>
      <c r="FR1846" s="1530"/>
      <c r="FS1846" s="1530"/>
      <c r="FT1846" s="1530"/>
      <c r="FU1846" s="1530"/>
      <c r="FV1846" s="1530"/>
      <c r="FW1846" s="1530"/>
      <c r="FX1846" s="1530"/>
      <c r="FY1846" s="1530"/>
      <c r="FZ1846" s="1530"/>
      <c r="GA1846" s="1530"/>
      <c r="GB1846" s="1530"/>
      <c r="GC1846" s="1530"/>
      <c r="GD1846" s="1530"/>
      <c r="GE1846" s="1530"/>
      <c r="GF1846" s="1530"/>
      <c r="GG1846" s="1530"/>
      <c r="GH1846" s="1530"/>
      <c r="GI1846" s="1530"/>
      <c r="GJ1846" s="1530"/>
      <c r="GK1846" s="1530"/>
      <c r="GL1846" s="1530"/>
      <c r="GM1846" s="1530"/>
      <c r="GN1846" s="1530"/>
      <c r="GO1846" s="1530"/>
      <c r="GP1846" s="1530"/>
      <c r="GQ1846" s="1530"/>
      <c r="GR1846" s="1530"/>
      <c r="GS1846" s="1530"/>
      <c r="GT1846" s="1530"/>
      <c r="GU1846" s="1530"/>
      <c r="GV1846" s="1530"/>
      <c r="GW1846" s="1530"/>
      <c r="GX1846" s="1530"/>
      <c r="GY1846" s="1530"/>
      <c r="GZ1846" s="1530"/>
      <c r="HA1846" s="1530"/>
      <c r="HB1846" s="1530"/>
      <c r="HC1846" s="1530"/>
      <c r="HD1846" s="1530"/>
      <c r="HE1846" s="1530"/>
      <c r="HF1846" s="1530"/>
      <c r="HG1846" s="1530"/>
      <c r="HH1846" s="1530"/>
      <c r="HI1846" s="1530"/>
      <c r="HJ1846" s="1530"/>
      <c r="HK1846" s="1530"/>
      <c r="HL1846" s="1530"/>
      <c r="HM1846" s="1530"/>
      <c r="HN1846" s="1530"/>
      <c r="HO1846" s="1530"/>
      <c r="HP1846" s="1530"/>
      <c r="HQ1846" s="1530"/>
      <c r="HR1846" s="1530"/>
      <c r="HS1846" s="1530"/>
      <c r="HT1846" s="1530"/>
      <c r="HU1846" s="1530"/>
      <c r="HV1846" s="1530"/>
      <c r="HW1846" s="1530"/>
      <c r="HX1846" s="1530"/>
      <c r="HY1846" s="1530"/>
      <c r="HZ1846" s="1530"/>
      <c r="IA1846" s="1530"/>
      <c r="IB1846" s="1530"/>
      <c r="IC1846" s="1530"/>
      <c r="ID1846" s="1530"/>
      <c r="IE1846" s="1530"/>
      <c r="IF1846" s="1530"/>
      <c r="IG1846" s="1530"/>
      <c r="IH1846" s="1530"/>
      <c r="II1846" s="1530"/>
      <c r="IJ1846" s="1530"/>
      <c r="IK1846" s="1530"/>
      <c r="IL1846" s="1530"/>
      <c r="IM1846" s="1530"/>
      <c r="IN1846" s="1530"/>
      <c r="IO1846" s="1530"/>
      <c r="IP1846" s="1530"/>
      <c r="IQ1846" s="1530"/>
      <c r="IR1846" s="1530"/>
      <c r="IS1846" s="1530"/>
      <c r="IT1846" s="1530"/>
      <c r="IU1846" s="1530"/>
      <c r="IV1846" s="1530"/>
      <c r="IW1846" s="1530"/>
      <c r="IX1846" s="1530"/>
      <c r="IY1846" s="1530"/>
      <c r="IZ1846" s="1530"/>
      <c r="JA1846" s="1530"/>
      <c r="JB1846" s="1530"/>
      <c r="JC1846" s="1530"/>
      <c r="JD1846" s="1530"/>
      <c r="JE1846" s="1530"/>
      <c r="JF1846" s="1530"/>
      <c r="JG1846" s="1530"/>
      <c r="JH1846" s="1530"/>
      <c r="JI1846" s="1530"/>
      <c r="JJ1846" s="1530"/>
      <c r="JK1846" s="1530"/>
      <c r="JL1846" s="1530"/>
      <c r="JM1846" s="1530"/>
      <c r="JN1846" s="1530"/>
      <c r="JO1846" s="1530"/>
      <c r="JP1846" s="1530"/>
      <c r="JQ1846" s="1530"/>
      <c r="JR1846" s="1530"/>
      <c r="JS1846" s="1530"/>
      <c r="JT1846" s="1530"/>
      <c r="JU1846" s="1530"/>
      <c r="JV1846" s="1530"/>
      <c r="JW1846" s="1530"/>
      <c r="JX1846" s="1530"/>
      <c r="JY1846" s="1530"/>
      <c r="JZ1846" s="1530"/>
      <c r="KA1846" s="1530"/>
      <c r="KB1846" s="1530"/>
      <c r="KC1846" s="1530"/>
      <c r="KD1846" s="1530"/>
      <c r="KE1846" s="1530"/>
      <c r="KF1846" s="1530"/>
      <c r="KG1846" s="1530"/>
      <c r="KH1846" s="1530"/>
      <c r="KI1846" s="1530"/>
      <c r="KJ1846" s="1530"/>
      <c r="KK1846" s="1530"/>
      <c r="KL1846" s="1530"/>
      <c r="KM1846" s="1530"/>
      <c r="KN1846" s="1530"/>
      <c r="KO1846" s="1530"/>
      <c r="KP1846" s="1530"/>
      <c r="KQ1846" s="1530"/>
      <c r="KR1846" s="1530"/>
      <c r="KS1846" s="1530"/>
      <c r="KT1846" s="1530"/>
      <c r="KU1846" s="1530"/>
      <c r="KV1846" s="1530"/>
      <c r="KW1846" s="1530"/>
      <c r="KX1846" s="1530"/>
      <c r="KY1846" s="1530"/>
      <c r="KZ1846" s="1530"/>
      <c r="LA1846" s="1530"/>
      <c r="LB1846" s="1530"/>
      <c r="LC1846" s="1530"/>
      <c r="LD1846" s="1530"/>
      <c r="LE1846" s="1530"/>
      <c r="LF1846" s="1530"/>
      <c r="LG1846" s="1530"/>
      <c r="LH1846" s="1530"/>
    </row>
    <row r="1847" spans="1:320" ht="12" customHeight="1">
      <c r="A1847" s="1510" t="s">
        <v>17</v>
      </c>
      <c r="B1847" s="1510"/>
      <c r="C1847" s="1510"/>
      <c r="D1847" s="1510"/>
      <c r="E1847" s="1510"/>
      <c r="F1847" s="1510"/>
      <c r="G1847" s="1510"/>
      <c r="H1847" s="1510"/>
      <c r="I1847" s="1510"/>
      <c r="J1847" s="1552"/>
      <c r="K1847" s="1552"/>
      <c r="L1847" s="1552"/>
      <c r="M1847" s="1552"/>
      <c r="N1847" s="1552"/>
      <c r="O1847" s="1552"/>
      <c r="P1847" s="1552"/>
      <c r="Q1847" s="1552"/>
      <c r="R1847" s="1552"/>
      <c r="S1847" s="1552"/>
      <c r="T1847" s="1552"/>
      <c r="U1847" s="1552"/>
      <c r="V1847" s="1552"/>
      <c r="W1847" s="1484" t="s">
        <v>18</v>
      </c>
      <c r="X1847" s="1530"/>
      <c r="Y1847" s="1530"/>
      <c r="Z1847" s="1530"/>
      <c r="AA1847" s="1530"/>
      <c r="AB1847" s="1530"/>
      <c r="AC1847" s="1530"/>
      <c r="AD1847" s="1530"/>
      <c r="AE1847" s="1530"/>
      <c r="AF1847" s="1530"/>
      <c r="AG1847" s="1530"/>
      <c r="AH1847" s="1530"/>
      <c r="AI1847" s="1530"/>
      <c r="AJ1847" s="1530"/>
      <c r="AK1847" s="1530"/>
      <c r="AL1847" s="1530"/>
      <c r="AM1847" s="1530"/>
      <c r="AN1847" s="1530"/>
      <c r="AO1847" s="1530"/>
      <c r="AP1847" s="1530"/>
      <c r="AQ1847" s="1530"/>
      <c r="AR1847" s="1530"/>
      <c r="AS1847" s="1530"/>
      <c r="AT1847" s="1530"/>
      <c r="AU1847" s="1530"/>
      <c r="AV1847" s="1530"/>
      <c r="AW1847" s="1530"/>
      <c r="AX1847" s="1530"/>
      <c r="AY1847" s="1530"/>
      <c r="AZ1847" s="1530"/>
      <c r="BA1847" s="1530"/>
      <c r="BB1847" s="1530"/>
      <c r="BC1847" s="1530"/>
      <c r="BD1847" s="1530"/>
      <c r="BE1847" s="1530"/>
      <c r="BF1847" s="1530"/>
      <c r="BG1847" s="1530"/>
      <c r="BH1847" s="1530"/>
      <c r="BI1847" s="1530"/>
      <c r="BJ1847" s="1530"/>
      <c r="BK1847" s="1530"/>
      <c r="BL1847" s="1530"/>
      <c r="BM1847" s="1530"/>
      <c r="BN1847" s="1530"/>
      <c r="BO1847" s="1530"/>
      <c r="BP1847" s="1530"/>
      <c r="BQ1847" s="1530"/>
      <c r="BR1847" s="1530"/>
      <c r="BS1847" s="1530"/>
      <c r="BT1847" s="1530"/>
      <c r="BU1847" s="1530"/>
      <c r="BV1847" s="1530"/>
      <c r="BW1847" s="1530"/>
      <c r="BX1847" s="1530"/>
      <c r="BY1847" s="1530"/>
      <c r="BZ1847" s="1530"/>
      <c r="CA1847" s="1530"/>
      <c r="CB1847" s="1530"/>
      <c r="CC1847" s="1530"/>
      <c r="CD1847" s="1530"/>
      <c r="CE1847" s="1530"/>
      <c r="CF1847" s="1530"/>
      <c r="CG1847" s="1530"/>
      <c r="CH1847" s="1530"/>
      <c r="CI1847" s="1530"/>
      <c r="CJ1847" s="1530"/>
      <c r="CK1847" s="1530"/>
      <c r="CL1847" s="1530"/>
      <c r="CM1847" s="1530"/>
      <c r="CN1847" s="1530"/>
      <c r="CO1847" s="1530"/>
      <c r="CP1847" s="1530"/>
      <c r="CQ1847" s="1530"/>
      <c r="CR1847" s="1530"/>
      <c r="CS1847" s="1530"/>
      <c r="CT1847" s="1530"/>
      <c r="CU1847" s="1530"/>
      <c r="CV1847" s="1530"/>
      <c r="CW1847" s="1530"/>
      <c r="CX1847" s="1530"/>
      <c r="CY1847" s="1530"/>
      <c r="CZ1847" s="1530"/>
      <c r="DA1847" s="1530"/>
      <c r="DB1847" s="1530"/>
      <c r="DC1847" s="1530"/>
      <c r="DD1847" s="1530"/>
      <c r="DE1847" s="1530"/>
      <c r="DF1847" s="1530"/>
      <c r="DG1847" s="1530"/>
      <c r="DH1847" s="1530"/>
      <c r="DI1847" s="1530"/>
      <c r="DJ1847" s="1530"/>
      <c r="DK1847" s="1530"/>
      <c r="DL1847" s="1530"/>
      <c r="DM1847" s="1530"/>
      <c r="DN1847" s="1530"/>
      <c r="DO1847" s="1530"/>
      <c r="DP1847" s="1530"/>
      <c r="DQ1847" s="1530"/>
      <c r="DR1847" s="1530"/>
      <c r="DS1847" s="1530"/>
      <c r="DT1847" s="1530"/>
      <c r="DU1847" s="1530"/>
      <c r="DV1847" s="1530"/>
      <c r="DW1847" s="1530"/>
      <c r="DX1847" s="1530"/>
      <c r="DY1847" s="1530"/>
      <c r="DZ1847" s="1530"/>
      <c r="EA1847" s="1530"/>
      <c r="EB1847" s="1530"/>
      <c r="EC1847" s="1530"/>
      <c r="ED1847" s="1530"/>
      <c r="EE1847" s="1530"/>
      <c r="EF1847" s="1530"/>
      <c r="EG1847" s="1530"/>
      <c r="EH1847" s="1530"/>
      <c r="EI1847" s="1530"/>
      <c r="EJ1847" s="1530"/>
      <c r="EK1847" s="1530"/>
      <c r="EL1847" s="1530"/>
      <c r="EM1847" s="1530"/>
      <c r="EN1847" s="1530"/>
      <c r="EO1847" s="1530"/>
      <c r="EP1847" s="1530"/>
      <c r="EQ1847" s="1530"/>
      <c r="ER1847" s="1530"/>
      <c r="ES1847" s="1530"/>
      <c r="ET1847" s="1530"/>
      <c r="EU1847" s="1530"/>
      <c r="EV1847" s="1530"/>
      <c r="EW1847" s="1530"/>
      <c r="EX1847" s="1530"/>
      <c r="EY1847" s="1530"/>
      <c r="EZ1847" s="1530"/>
      <c r="FA1847" s="1530"/>
      <c r="FB1847" s="1530"/>
      <c r="FC1847" s="1530"/>
      <c r="FD1847" s="1530"/>
      <c r="FE1847" s="1530"/>
      <c r="FF1847" s="1530"/>
      <c r="FG1847" s="1530"/>
      <c r="FH1847" s="1530"/>
      <c r="FI1847" s="1530"/>
      <c r="FJ1847" s="1530"/>
      <c r="FK1847" s="1530"/>
      <c r="FL1847" s="1530"/>
      <c r="FM1847" s="1530"/>
      <c r="FN1847" s="1530"/>
      <c r="FO1847" s="1530"/>
      <c r="FP1847" s="1530"/>
      <c r="FQ1847" s="1530"/>
      <c r="FR1847" s="1530"/>
      <c r="FS1847" s="1530"/>
      <c r="FT1847" s="1530"/>
      <c r="FU1847" s="1530"/>
      <c r="FV1847" s="1530"/>
      <c r="FW1847" s="1530"/>
      <c r="FX1847" s="1530"/>
      <c r="FY1847" s="1530"/>
      <c r="FZ1847" s="1530"/>
      <c r="GA1847" s="1530"/>
      <c r="GB1847" s="1530"/>
      <c r="GC1847" s="1530"/>
      <c r="GD1847" s="1530"/>
      <c r="GE1847" s="1530"/>
      <c r="GF1847" s="1530"/>
      <c r="GG1847" s="1530"/>
      <c r="GH1847" s="1530"/>
      <c r="GI1847" s="1530"/>
      <c r="GJ1847" s="1530"/>
      <c r="GK1847" s="1530"/>
      <c r="GL1847" s="1530"/>
      <c r="GM1847" s="1530"/>
      <c r="GN1847" s="1530"/>
      <c r="GO1847" s="1530"/>
      <c r="GP1847" s="1530"/>
      <c r="GQ1847" s="1530"/>
      <c r="GR1847" s="1530"/>
      <c r="GS1847" s="1530"/>
      <c r="GT1847" s="1530"/>
      <c r="GU1847" s="1530"/>
      <c r="GV1847" s="1530"/>
      <c r="GW1847" s="1530"/>
      <c r="GX1847" s="1530"/>
      <c r="GY1847" s="1530"/>
      <c r="GZ1847" s="1530"/>
      <c r="HA1847" s="1530"/>
      <c r="HB1847" s="1530"/>
      <c r="HC1847" s="1530"/>
      <c r="HD1847" s="1530"/>
      <c r="HE1847" s="1530"/>
      <c r="HF1847" s="1530"/>
      <c r="HG1847" s="1530"/>
      <c r="HH1847" s="1530"/>
      <c r="HI1847" s="1530"/>
      <c r="HJ1847" s="1530"/>
      <c r="HK1847" s="1530"/>
      <c r="HL1847" s="1530"/>
      <c r="HM1847" s="1530"/>
      <c r="HN1847" s="1530"/>
      <c r="HO1847" s="1530"/>
      <c r="HP1847" s="1530"/>
      <c r="HQ1847" s="1530"/>
      <c r="HR1847" s="1530"/>
      <c r="HS1847" s="1530"/>
      <c r="HT1847" s="1530"/>
      <c r="HU1847" s="1530"/>
      <c r="HV1847" s="1530"/>
      <c r="HW1847" s="1530"/>
      <c r="HX1847" s="1530"/>
      <c r="HY1847" s="1530"/>
      <c r="HZ1847" s="1530"/>
      <c r="IA1847" s="1530"/>
      <c r="IB1847" s="1530"/>
      <c r="IC1847" s="1530"/>
      <c r="ID1847" s="1530"/>
      <c r="IE1847" s="1530"/>
      <c r="IF1847" s="1530"/>
      <c r="IG1847" s="1530"/>
      <c r="IH1847" s="1530"/>
      <c r="II1847" s="1530"/>
      <c r="IJ1847" s="1530"/>
      <c r="IK1847" s="1530"/>
      <c r="IL1847" s="1530"/>
      <c r="IM1847" s="1530"/>
      <c r="IN1847" s="1530"/>
      <c r="IO1847" s="1530"/>
      <c r="IP1847" s="1530"/>
      <c r="IQ1847" s="1530"/>
      <c r="IR1847" s="1530"/>
      <c r="IS1847" s="1530"/>
      <c r="IT1847" s="1530"/>
      <c r="IU1847" s="1530"/>
      <c r="IV1847" s="1530"/>
      <c r="IW1847" s="1530"/>
      <c r="IX1847" s="1530"/>
      <c r="IY1847" s="1530"/>
      <c r="IZ1847" s="1530"/>
      <c r="JA1847" s="1530"/>
      <c r="JB1847" s="1530"/>
      <c r="JC1847" s="1530"/>
      <c r="JD1847" s="1530"/>
      <c r="JE1847" s="1530"/>
      <c r="JF1847" s="1530"/>
      <c r="JG1847" s="1530"/>
      <c r="JH1847" s="1530"/>
      <c r="JI1847" s="1530"/>
      <c r="JJ1847" s="1530"/>
      <c r="JK1847" s="1530"/>
      <c r="JL1847" s="1530"/>
      <c r="JM1847" s="1530"/>
      <c r="JN1847" s="1530"/>
      <c r="JO1847" s="1530"/>
      <c r="JP1847" s="1530"/>
      <c r="JQ1847" s="1530"/>
      <c r="JR1847" s="1530"/>
      <c r="JS1847" s="1530"/>
      <c r="JT1847" s="1530"/>
      <c r="JU1847" s="1530"/>
      <c r="JV1847" s="1530"/>
      <c r="JW1847" s="1530"/>
      <c r="JX1847" s="1530"/>
      <c r="JY1847" s="1530"/>
      <c r="JZ1847" s="1530"/>
      <c r="KA1847" s="1530"/>
      <c r="KB1847" s="1530"/>
      <c r="KC1847" s="1530"/>
      <c r="KD1847" s="1530"/>
      <c r="KE1847" s="1530"/>
      <c r="KF1847" s="1530"/>
      <c r="KG1847" s="1530"/>
      <c r="KH1847" s="1530"/>
      <c r="KI1847" s="1530"/>
      <c r="KJ1847" s="1530"/>
      <c r="KK1847" s="1530"/>
      <c r="KL1847" s="1530"/>
      <c r="KM1847" s="1530"/>
      <c r="KN1847" s="1530"/>
      <c r="KO1847" s="1530"/>
      <c r="KP1847" s="1530"/>
      <c r="KQ1847" s="1530"/>
      <c r="KR1847" s="1530"/>
      <c r="KS1847" s="1530"/>
      <c r="KT1847" s="1530"/>
      <c r="KU1847" s="1530"/>
      <c r="KV1847" s="1530"/>
      <c r="KW1847" s="1530"/>
      <c r="KX1847" s="1530"/>
      <c r="KY1847" s="1530"/>
      <c r="KZ1847" s="1530"/>
      <c r="LA1847" s="1530"/>
      <c r="LB1847" s="1530"/>
      <c r="LC1847" s="1530"/>
      <c r="LD1847" s="1530"/>
      <c r="LE1847" s="1530"/>
      <c r="LF1847" s="1530"/>
      <c r="LG1847" s="1530"/>
      <c r="LH1847" s="1530"/>
    </row>
  </sheetData>
  <sortState ref="AC20:AC44">
    <sortCondition ref="AC20"/>
  </sortState>
  <mergeCells count="25">
    <mergeCell ref="K20:M20"/>
    <mergeCell ref="K21:M21"/>
    <mergeCell ref="K22:M22"/>
    <mergeCell ref="K23:M23"/>
    <mergeCell ref="K24:M24"/>
    <mergeCell ref="K26:M26"/>
    <mergeCell ref="K27:M27"/>
    <mergeCell ref="K28:M28"/>
    <mergeCell ref="K29:M29"/>
    <mergeCell ref="K25:M25"/>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s>
  <conditionalFormatting sqref="H100:H115 H117:H123">
    <cfRule type="cellIs" dxfId="446" priority="30" operator="equal">
      <formula>1</formula>
    </cfRule>
  </conditionalFormatting>
  <conditionalFormatting sqref="J1561:V1584">
    <cfRule type="cellIs" dxfId="445" priority="29" operator="equal">
      <formula>"Average"</formula>
    </cfRule>
  </conditionalFormatting>
  <conditionalFormatting sqref="J1559:V1559">
    <cfRule type="cellIs" dxfId="444" priority="28" operator="equal">
      <formula>"Average"</formula>
    </cfRule>
  </conditionalFormatting>
  <conditionalFormatting sqref="J1560:V1560">
    <cfRule type="cellIs" dxfId="443" priority="27" operator="equal">
      <formula>"Average"</formula>
    </cfRule>
  </conditionalFormatting>
  <conditionalFormatting sqref="K19:M19">
    <cfRule type="expression" dxfId="442" priority="771">
      <formula>LEFT($K$19,7)&lt;&gt;"Trading"</formula>
    </cfRule>
  </conditionalFormatting>
  <conditionalFormatting sqref="O128">
    <cfRule type="expression" dxfId="441" priority="18">
      <formula>O253=1001</formula>
    </cfRule>
  </conditionalFormatting>
  <conditionalFormatting sqref="J128:N128">
    <cfRule type="expression" dxfId="440" priority="17">
      <formula>J253=1001</formula>
    </cfRule>
  </conditionalFormatting>
  <conditionalFormatting sqref="O20:O44">
    <cfRule type="expression" dxfId="439" priority="984">
      <formula>$N20&lt;&gt;$O20</formula>
    </cfRule>
  </conditionalFormatting>
  <conditionalFormatting sqref="I55:I79 M55:M79">
    <cfRule type="cellIs" dxfId="438" priority="15" operator="lessThan">
      <formula>-4</formula>
    </cfRule>
  </conditionalFormatting>
  <conditionalFormatting sqref="I1550">
    <cfRule type="cellIs" dxfId="437" priority="12" operator="equal">
      <formula>1</formula>
    </cfRule>
  </conditionalFormatting>
  <conditionalFormatting sqref="H145">
    <cfRule type="cellIs" dxfId="436" priority="9" operator="equal">
      <formula>1</formula>
    </cfRule>
  </conditionalFormatting>
  <conditionalFormatting sqref="H116">
    <cfRule type="cellIs" dxfId="435" priority="8" operator="equal">
      <formula>1</formula>
    </cfRule>
  </conditionalFormatting>
  <conditionalFormatting sqref="H124">
    <cfRule type="cellIs" dxfId="434" priority="7" operator="equal">
      <formula>1</formula>
    </cfRule>
  </conditionalFormatting>
  <hyperlinks>
    <hyperlink ref="I21" location="'Conclusion of Value'!A1" display="Conclusion of Value"/>
  </hyperlinks>
  <pageMargins left="0.6" right="0.4" top="0.5" bottom="0.5" header="0" footer="0.3"/>
  <pageSetup scale="70" orientation="landscape" blackAndWhite="1" r:id="rId1"/>
  <headerFooter>
    <oddFooter>&amp;CReliance restricted&amp;LSome totals may not add due to rounding. See Statement of Limiting Conditions.&amp;R© 2017 Ernst &amp; Young LLP. All Rights Reserved.</oddFooter>
  </headerFooter>
  <rowBreaks count="3" manualBreakCount="3">
    <brk id="59" max="16383" man="1"/>
    <brk id="1552" max="18" man="1"/>
    <brk id="1847"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5" id="{DD85C50B-2C85-4DB0-8FE2-1698D8F1A5BA}">
            <xm:f>START!$C36="x"</xm:f>
            <x14:dxf>
              <font>
                <color theme="0" tint="-0.499984740745262"/>
              </font>
              <fill>
                <patternFill>
                  <bgColor theme="0" tint="-4.9989318521683403E-2"/>
                </patternFill>
              </fill>
            </x14:dxf>
          </x14:cfRule>
          <xm:sqref>E43 I41:I43 S34:S36 E34:F36 I34:I36 S41:S43 S32 E32:F32 I32</xm:sqref>
        </x14:conditionalFormatting>
        <x14:conditionalFormatting xmlns:xm="http://schemas.microsoft.com/office/excel/2006/main">
          <x14:cfRule type="containsText" priority="24" operator="containsText" id="{0AB8DA19-1A31-4689-AAC2-0DE43D60C373}">
            <xm:f>NOT(ISERROR(SEARCH("Select INDEX!",START!O26)))</xm:f>
            <xm:f>"Select INDEX!"</xm:f>
            <x14:dxf>
              <font>
                <b/>
                <i val="0"/>
                <color rgb="FFFF0000"/>
              </font>
            </x14:dxf>
          </x14:cfRule>
          <xm:sqref>S23:S44</xm:sqref>
        </x14:conditionalFormatting>
        <x14:conditionalFormatting xmlns:xm="http://schemas.microsoft.com/office/excel/2006/main">
          <x14:cfRule type="expression" priority="26" id="{164A5F5C-9286-42F1-BAB8-D651D42C797E}">
            <xm:f>AND(MasterState=TRUE,'User''s Guide'!#REF!="Auto load by CIQ")</xm:f>
            <x14:dxf>
              <font>
                <b val="0"/>
                <i val="0"/>
                <color auto="1"/>
              </font>
              <fill>
                <patternFill patternType="none">
                  <bgColor auto="1"/>
                </patternFill>
              </fill>
            </x14:dxf>
          </x14:cfRule>
          <xm:sqref>G20:G29</xm:sqref>
        </x14:conditionalFormatting>
        <x14:conditionalFormatting xmlns:xm="http://schemas.microsoft.com/office/excel/2006/main">
          <x14:cfRule type="expression" priority="22" id="{2C082C89-B2EE-4BC3-A58C-CC4D57481AA0}">
            <xm:f>AND(MasterState=TRUE,'User''s Guide'!#REF!="Auto load by CIQ")</xm:f>
            <x14:dxf>
              <font>
                <b val="0"/>
                <i val="0"/>
                <color auto="1"/>
              </font>
              <fill>
                <patternFill patternType="none">
                  <bgColor auto="1"/>
                </patternFill>
              </fill>
            </x14:dxf>
          </x14:cfRule>
          <xm:sqref>G13</xm:sqref>
        </x14:conditionalFormatting>
        <x14:conditionalFormatting xmlns:xm="http://schemas.microsoft.com/office/excel/2006/main">
          <x14:cfRule type="expression" priority="775" id="{DD85C50B-2C85-4DB0-8FE2-1698D8F1A5BA}">
            <xm:f>START!#REF!="x"</xm:f>
            <x14:dxf>
              <font>
                <color theme="0" tint="-0.499984740745262"/>
              </font>
              <fill>
                <patternFill>
                  <bgColor theme="0" tint="-4.9989318521683403E-2"/>
                </patternFill>
              </fill>
            </x14:dxf>
          </x14:cfRule>
          <xm:sqref>E31:F31 S31 I31</xm:sqref>
        </x14:conditionalFormatting>
        <x14:conditionalFormatting xmlns:xm="http://schemas.microsoft.com/office/excel/2006/main">
          <x14:cfRule type="containsText" priority="791" operator="containsText" id="{0AB8DA19-1A31-4689-AAC2-0DE43D60C373}">
            <xm:f>NOT(ISERROR(SEARCH("Select INDEX!",START!#REF!)))</xm:f>
            <xm:f>"Select INDEX!"</xm:f>
            <x14:dxf>
              <font>
                <b/>
                <i val="0"/>
                <color rgb="FFFF0000"/>
              </font>
            </x14:dxf>
          </x14:cfRule>
          <xm:sqref>S31</xm:sqref>
        </x14:conditionalFormatting>
        <x14:conditionalFormatting xmlns:xm="http://schemas.microsoft.com/office/excel/2006/main">
          <x14:cfRule type="containsText" priority="21" operator="containsText" id="{7975C334-F39B-473B-9E70-E194347FD837}">
            <xm:f>NOT(ISERROR(SEARCH(Fail,S128)))</xm:f>
            <xm:f>Fail</xm:f>
            <x14:dxf>
              <fill>
                <patternFill>
                  <bgColor rgb="FFFF0000"/>
                </patternFill>
              </fill>
            </x14:dxf>
          </x14:cfRule>
          <xm:sqref>S128:S153</xm:sqref>
        </x14:conditionalFormatting>
        <x14:conditionalFormatting xmlns:xm="http://schemas.microsoft.com/office/excel/2006/main">
          <x14:cfRule type="expression" priority="1049" id="{DD85C50B-2C85-4DB0-8FE2-1698D8F1A5BA}">
            <xm:f>START!$C15="x"</xm:f>
            <x14:dxf>
              <font>
                <color theme="0" tint="-0.499984740745262"/>
              </font>
              <fill>
                <patternFill>
                  <bgColor theme="0" tint="-4.9989318521683403E-2"/>
                </patternFill>
              </fill>
            </x14:dxf>
          </x14:cfRule>
          <xm:sqref>I39:I40 S39:S40 I26</xm:sqref>
        </x14:conditionalFormatting>
        <x14:conditionalFormatting xmlns:xm="http://schemas.microsoft.com/office/excel/2006/main">
          <x14:cfRule type="expression" priority="1056" id="{DD85C50B-2C85-4DB0-8FE2-1698D8F1A5BA}">
            <xm:f>START!$C38="x"</xm:f>
            <x14:dxf>
              <font>
                <color theme="0" tint="-0.499984740745262"/>
              </font>
              <fill>
                <patternFill>
                  <bgColor theme="0" tint="-4.9989318521683403E-2"/>
                </patternFill>
              </fill>
            </x14:dxf>
          </x14:cfRule>
          <xm:sqref>S44 E44 I44</xm:sqref>
        </x14:conditionalFormatting>
        <x14:conditionalFormatting xmlns:xm="http://schemas.microsoft.com/office/excel/2006/main">
          <x14:cfRule type="containsText" priority="1105" operator="containsText" id="{0AB8DA19-1A31-4689-AAC2-0DE43D60C373}">
            <xm:f>NOT(ISERROR(SEARCH("Select INDEX!",START!O38)))</xm:f>
            <xm:f>"Select INDEX!"</xm:f>
            <x14:dxf>
              <font>
                <b/>
                <i val="0"/>
                <color rgb="FFFF0000"/>
              </font>
            </x14:dxf>
          </x14:cfRule>
          <xm:sqref>S44</xm:sqref>
        </x14:conditionalFormatting>
        <x14:conditionalFormatting xmlns:xm="http://schemas.microsoft.com/office/excel/2006/main">
          <x14:cfRule type="expression" priority="1132" id="{DD85C50B-2C85-4DB0-8FE2-1698D8F1A5BA}">
            <xm:f>START!$C15="x"</xm:f>
            <x14:dxf>
              <font>
                <color theme="0" tint="-0.499984740745262"/>
              </font>
              <fill>
                <patternFill>
                  <bgColor theme="0" tint="-4.9989318521683403E-2"/>
                </patternFill>
              </fill>
            </x14:dxf>
          </x14:cfRule>
          <xm:sqref>S25 E25:F25 I25</xm:sqref>
        </x14:conditionalFormatting>
        <x14:conditionalFormatting xmlns:xm="http://schemas.microsoft.com/office/excel/2006/main">
          <x14:cfRule type="expression" priority="1220" id="{DD85C50B-2C85-4DB0-8FE2-1698D8F1A5BA}">
            <xm:f>START!$C26="x"</xm:f>
            <x14:dxf>
              <font>
                <color theme="0" tint="-0.499984740745262"/>
              </font>
              <fill>
                <patternFill>
                  <bgColor theme="0" tint="-4.9989318521683403E-2"/>
                </patternFill>
              </fill>
            </x14:dxf>
          </x14:cfRule>
          <xm:sqref>S42 S23:S24 E23:F24 I23:I24 I27:I30 S27:S30 E27:F30 E42:E44 I42:I44</xm:sqref>
        </x14:conditionalFormatting>
        <x14:conditionalFormatting xmlns:xm="http://schemas.microsoft.com/office/excel/2006/main">
          <x14:cfRule type="containsText" priority="1240" operator="containsText" id="{0AB8DA19-1A31-4689-AAC2-0DE43D60C373}">
            <xm:f>NOT(ISERROR(SEARCH("Select INDEX!",START!O24)))</xm:f>
            <xm:f>"Select INDEX!"</xm:f>
            <x14:dxf>
              <font>
                <b/>
                <i val="0"/>
                <color rgb="FFFF0000"/>
              </font>
            </x14:dxf>
          </x14:cfRule>
          <xm:sqref>S22</xm:sqref>
        </x14:conditionalFormatting>
        <x14:conditionalFormatting xmlns:xm="http://schemas.microsoft.com/office/excel/2006/main">
          <x14:cfRule type="expression" priority="1284" id="{DD85C50B-2C85-4DB0-8FE2-1698D8F1A5BA}">
            <xm:f>START!$C28="x"</xm:f>
            <x14:dxf>
              <font>
                <color theme="0" tint="-0.499984740745262"/>
              </font>
              <fill>
                <patternFill>
                  <bgColor theme="0" tint="-4.9989318521683403E-2"/>
                </patternFill>
              </fill>
            </x14:dxf>
          </x14:cfRule>
          <xm:sqref>S40:S41 I40:I41 E40:E41</xm:sqref>
        </x14:conditionalFormatting>
        <x14:conditionalFormatting xmlns:xm="http://schemas.microsoft.com/office/excel/2006/main">
          <x14:cfRule type="expression" priority="1293" id="{DD85C50B-2C85-4DB0-8FE2-1698D8F1A5BA}">
            <xm:f>START!$C42="x"</xm:f>
            <x14:dxf>
              <font>
                <color theme="0" tint="-0.499984740745262"/>
              </font>
              <fill>
                <patternFill>
                  <bgColor theme="0" tint="-4.9989318521683403E-2"/>
                </patternFill>
              </fill>
            </x14:dxf>
          </x14:cfRule>
          <xm:sqref>I36:I38 S36:S38</xm:sqref>
        </x14:conditionalFormatting>
        <x14:conditionalFormatting xmlns:xm="http://schemas.microsoft.com/office/excel/2006/main">
          <x14:cfRule type="expression" priority="1308" id="{DD85C50B-2C85-4DB0-8FE2-1698D8F1A5BA}">
            <xm:f>START!$C36="x"</xm:f>
            <x14:dxf>
              <font>
                <color theme="0" tint="-0.499984740745262"/>
              </font>
              <fill>
                <patternFill>
                  <bgColor theme="0" tint="-4.9989318521683403E-2"/>
                </patternFill>
              </fill>
            </x14:dxf>
          </x14:cfRule>
          <xm:sqref>S37:S39 I31 S31 E31 I37:I39 I33:I35 S33:S35 E33:E39</xm:sqref>
        </x14:conditionalFormatting>
        <x14:conditionalFormatting xmlns:xm="http://schemas.microsoft.com/office/excel/2006/main">
          <x14:cfRule type="expression" priority="1310" id="{DD85C50B-2C85-4DB0-8FE2-1698D8F1A5BA}">
            <xm:f>START!#REF!="x"</xm:f>
            <x14:dxf>
              <font>
                <color theme="0" tint="-0.499984740745262"/>
              </font>
              <fill>
                <patternFill>
                  <bgColor theme="0" tint="-4.9989318521683403E-2"/>
                </patternFill>
              </fill>
            </x14:dxf>
          </x14:cfRule>
          <xm:sqref>I27</xm:sqref>
        </x14:conditionalFormatting>
        <x14:conditionalFormatting xmlns:xm="http://schemas.microsoft.com/office/excel/2006/main">
          <x14:cfRule type="expression" priority="1345" id="{DD85C50B-2C85-4DB0-8FE2-1698D8F1A5BA}">
            <xm:f>START!#REF!="x"</xm:f>
            <x14:dxf>
              <font>
                <color theme="0" tint="-0.499984740745262"/>
              </font>
              <fill>
                <patternFill>
                  <bgColor theme="0" tint="-4.9989318521683403E-2"/>
                </patternFill>
              </fill>
            </x14:dxf>
          </x14:cfRule>
          <xm:sqref>I26 S26 E26:F26</xm:sqref>
        </x14:conditionalFormatting>
        <x14:conditionalFormatting xmlns:xm="http://schemas.microsoft.com/office/excel/2006/main">
          <x14:cfRule type="expression" priority="1369" id="{DD85C50B-2C85-4DB0-8FE2-1698D8F1A5BA}">
            <xm:f>START!$C22="x"</xm:f>
            <x14:dxf>
              <font>
                <color theme="0" tint="-0.499984740745262"/>
              </font>
              <fill>
                <patternFill>
                  <bgColor theme="0" tint="-4.9989318521683403E-2"/>
                </patternFill>
              </fill>
            </x14:dxf>
          </x14:cfRule>
          <xm:sqref>I28:I31 S20:S22 E20:F22 I20:I25 E20:E25 K20:K44</xm:sqref>
        </x14:conditionalFormatting>
        <x14:conditionalFormatting xmlns:xm="http://schemas.microsoft.com/office/excel/2006/main">
          <x14:cfRule type="expression" priority="1389" id="{DD85C50B-2C85-4DB0-8FE2-1698D8F1A5BA}">
            <xm:f>START!#REF!="x"</xm:f>
            <x14:dxf>
              <font>
                <color theme="0" tint="-0.499984740745262"/>
              </font>
              <fill>
                <patternFill>
                  <bgColor theme="0" tint="-4.9989318521683403E-2"/>
                </patternFill>
              </fill>
            </x14:dxf>
          </x14:cfRule>
          <xm:sqref>S33 E33:F33 I33</xm:sqref>
        </x14:conditionalFormatting>
        <x14:conditionalFormatting xmlns:xm="http://schemas.microsoft.com/office/excel/2006/main">
          <x14:cfRule type="expression" priority="1426" id="{DD85C50B-2C85-4DB0-8FE2-1698D8F1A5BA}">
            <xm:f>START!#REF!="x"</xm:f>
            <x14:dxf>
              <font>
                <color theme="0" tint="-0.499984740745262"/>
              </font>
              <fill>
                <patternFill>
                  <bgColor theme="0" tint="-4.9989318521683403E-2"/>
                </patternFill>
              </fill>
            </x14:dxf>
          </x14:cfRule>
          <xm:sqref>I32 S32 E32</xm:sqref>
        </x14:conditionalFormatting>
        <x14:conditionalFormatting xmlns:xm="http://schemas.microsoft.com/office/excel/2006/main">
          <x14:cfRule type="containsText" priority="1500" operator="containsText" id="{0AB8DA19-1A31-4689-AAC2-0DE43D60C373}">
            <xm:f>NOT(ISERROR(SEARCH("Select INDEX!",Settings!I80)))</xm:f>
            <xm:f>"Select INDEX!"</xm:f>
            <x14:dxf>
              <font>
                <b/>
                <i val="0"/>
                <color rgb="FFFF0000"/>
              </font>
            </x14:dxf>
          </x14:cfRule>
          <xm:sqref>S20:S21</xm:sqref>
        </x14:conditionalFormatting>
        <x14:conditionalFormatting xmlns:xm="http://schemas.microsoft.com/office/excel/2006/main">
          <x14:cfRule type="expression" priority="1560" id="{DD85C50B-2C85-4DB0-8FE2-1698D8F1A5BA}">
            <xm:f>START!$C52="x"</xm:f>
            <x14:dxf>
              <font>
                <color theme="0" tint="-0.499984740745262"/>
              </font>
              <fill>
                <patternFill>
                  <bgColor theme="0" tint="-4.9989318521683403E-2"/>
                </patternFill>
              </fill>
            </x14:dxf>
          </x14:cfRule>
          <xm:sqref>I44 S44</xm:sqref>
        </x14:conditionalFormatting>
        <x14:conditionalFormatting xmlns:xm="http://schemas.microsoft.com/office/excel/2006/main">
          <x14:cfRule type="expression" priority="6" id="{CF4F5F56-2F41-4281-9C65-A627BCC1248A}">
            <xm:f>AND(MasterState=TRUE,'User''s Guide'!#REF!="Auto load by CIQ")</xm:f>
            <x14:dxf>
              <font>
                <b val="0"/>
                <i val="0"/>
                <color auto="1"/>
              </font>
              <fill>
                <patternFill patternType="none">
                  <bgColor auto="1"/>
                </patternFill>
              </fill>
            </x14:dxf>
          </x14:cfRule>
          <xm:sqref>G30:G39</xm:sqref>
        </x14:conditionalFormatting>
        <x14:conditionalFormatting xmlns:xm="http://schemas.microsoft.com/office/excel/2006/main">
          <x14:cfRule type="expression" priority="5" id="{4D4CE9D6-B746-4CE1-8DF1-09705B9D4233}">
            <xm:f>AND(MasterState=TRUE,'User''s Guide'!#REF!="Auto load by CIQ")</xm:f>
            <x14:dxf>
              <font>
                <b val="0"/>
                <i val="0"/>
                <color auto="1"/>
              </font>
              <fill>
                <patternFill patternType="none">
                  <bgColor auto="1"/>
                </patternFill>
              </fill>
            </x14:dxf>
          </x14:cfRule>
          <xm:sqref>G40</xm:sqref>
        </x14:conditionalFormatting>
        <x14:conditionalFormatting xmlns:xm="http://schemas.microsoft.com/office/excel/2006/main">
          <x14:cfRule type="expression" priority="4" id="{BB8F1442-A9EF-498F-8C0A-3A05E08692E1}">
            <xm:f>AND(MasterState=TRUE,'User''s Guide'!#REF!="Auto load by CIQ")</xm:f>
            <x14:dxf>
              <font>
                <b val="0"/>
                <i val="0"/>
                <color auto="1"/>
              </font>
              <fill>
                <patternFill patternType="none">
                  <bgColor auto="1"/>
                </patternFill>
              </fill>
            </x14:dxf>
          </x14:cfRule>
          <xm:sqref>G41</xm:sqref>
        </x14:conditionalFormatting>
        <x14:conditionalFormatting xmlns:xm="http://schemas.microsoft.com/office/excel/2006/main">
          <x14:cfRule type="expression" priority="3" id="{C7FFD70C-3887-47BC-918E-D47741652B89}">
            <xm:f>AND(MasterState=TRUE,'User''s Guide'!#REF!="Auto load by CIQ")</xm:f>
            <x14:dxf>
              <font>
                <b val="0"/>
                <i val="0"/>
                <color auto="1"/>
              </font>
              <fill>
                <patternFill patternType="none">
                  <bgColor auto="1"/>
                </patternFill>
              </fill>
            </x14:dxf>
          </x14:cfRule>
          <xm:sqref>G42</xm:sqref>
        </x14:conditionalFormatting>
        <x14:conditionalFormatting xmlns:xm="http://schemas.microsoft.com/office/excel/2006/main">
          <x14:cfRule type="expression" priority="2" id="{89FA07D6-DDF8-4B42-AE2B-DDEF86FD237C}">
            <xm:f>AND(MasterState=TRUE,'User''s Guide'!#REF!="Auto load by CIQ")</xm:f>
            <x14:dxf>
              <font>
                <b val="0"/>
                <i val="0"/>
                <color auto="1"/>
              </font>
              <fill>
                <patternFill patternType="none">
                  <bgColor auto="1"/>
                </patternFill>
              </fill>
            </x14:dxf>
          </x14:cfRule>
          <xm:sqref>G43</xm:sqref>
        </x14:conditionalFormatting>
        <x14:conditionalFormatting xmlns:xm="http://schemas.microsoft.com/office/excel/2006/main">
          <x14:cfRule type="expression" priority="1" id="{109EB457-6AF5-4A69-A9F5-3E8BBD564B82}">
            <xm:f>AND(MasterState=TRUE,'User''s Guide'!#REF!="Auto load by CIQ")</xm:f>
            <x14:dxf>
              <font>
                <b val="0"/>
                <i val="0"/>
                <color auto="1"/>
              </font>
              <fill>
                <patternFill patternType="none">
                  <bgColor auto="1"/>
                </patternFill>
              </fill>
            </x14:dxf>
          </x14:cfRule>
          <xm:sqref>G44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clusionOfValue">
    <tabColor rgb="FF99FF66"/>
    <pageSetUpPr autoPageBreaks="0"/>
  </sheetPr>
  <dimension ref="A1:K68"/>
  <sheetViews>
    <sheetView showGridLines="0" zoomScale="85" zoomScaleNormal="85" zoomScaleSheetLayoutView="85" workbookViewId="0"/>
  </sheetViews>
  <sheetFormatPr defaultColWidth="9.33203125" defaultRowHeight="12" customHeight="1"/>
  <cols>
    <col min="1" max="1" width="4" style="285" customWidth="1"/>
    <col min="2" max="2" width="3.83203125" style="285" customWidth="1"/>
    <col min="3" max="3" width="35.5" style="286" customWidth="1"/>
    <col min="4" max="4" width="2.1640625" style="334" customWidth="1"/>
    <col min="5" max="5" width="69.83203125" style="334" customWidth="1"/>
    <col min="6" max="6" width="14.6640625" style="334" customWidth="1"/>
    <col min="7" max="7" width="2.83203125" style="334" customWidth="1"/>
    <col min="8" max="8" width="19" style="334" customWidth="1"/>
    <col min="9" max="9" width="2.1640625" style="334" customWidth="1"/>
    <col min="10" max="10" width="65.5" style="285" customWidth="1"/>
    <col min="11" max="11" width="8.83203125" style="285" customWidth="1"/>
    <col min="12" max="12" width="12.33203125" style="285" customWidth="1"/>
    <col min="13" max="16384" width="9.33203125" style="285"/>
  </cols>
  <sheetData>
    <row r="1" spans="1:11" ht="18" customHeight="1">
      <c r="A1" s="1510"/>
      <c r="B1" s="649">
        <f ca="1">SUMPRODUCT(--ISERROR($C$1:J41))+COUNTIF($C$1:J41,Fail)</f>
        <v>0</v>
      </c>
      <c r="C1" s="1372" t="str">
        <f>START!$C$1</f>
        <v>Client Name</v>
      </c>
      <c r="D1" s="292"/>
      <c r="E1" s="292"/>
      <c r="F1" s="292"/>
      <c r="G1" s="292"/>
      <c r="H1" s="852"/>
      <c r="I1" s="852"/>
      <c r="J1" s="398" t="s">
        <v>854</v>
      </c>
      <c r="K1" s="1546"/>
    </row>
    <row r="2" spans="1:11" ht="18" customHeight="1">
      <c r="A2" s="1510"/>
      <c r="B2" s="1510"/>
      <c r="C2" s="1372" t="str">
        <f>START!$C$2</f>
        <v xml:space="preserve">Please enter project description in START worksheet cell G13 </v>
      </c>
      <c r="D2" s="369"/>
      <c r="E2" s="369"/>
      <c r="F2" s="369"/>
      <c r="G2" s="369"/>
      <c r="H2" s="1525"/>
      <c r="I2" s="1525"/>
      <c r="J2" s="1525"/>
      <c r="K2" s="1546"/>
    </row>
    <row r="3" spans="1:11" ht="18" customHeight="1">
      <c r="A3" s="1510"/>
      <c r="B3" s="1510"/>
      <c r="C3" s="839" t="s">
        <v>855</v>
      </c>
      <c r="D3" s="2062"/>
      <c r="E3" s="2062"/>
      <c r="F3" s="2062"/>
      <c r="G3" s="2062"/>
      <c r="H3" s="1526"/>
      <c r="I3" s="1526"/>
      <c r="J3" s="1525"/>
      <c r="K3" s="1546"/>
    </row>
    <row r="4" spans="1:11" ht="18" customHeight="1">
      <c r="A4" s="1510"/>
      <c r="B4" s="1510"/>
      <c r="C4" s="840" t="str">
        <f>ValDateHeading</f>
        <v>Estimation of value as of 28 February 2017</v>
      </c>
      <c r="D4" s="366"/>
      <c r="E4" s="366"/>
      <c r="F4" s="366"/>
      <c r="G4" s="366"/>
      <c r="H4" s="1526"/>
      <c r="I4" s="1526"/>
      <c r="J4" s="1525"/>
      <c r="K4" s="1546"/>
    </row>
    <row r="5" spans="1:11" s="1027" customFormat="1" ht="18" customHeight="1">
      <c r="A5" s="1510"/>
      <c r="B5" s="1510"/>
      <c r="C5" s="769" t="str">
        <f>SubjCurrencyHeading</f>
        <v>(USD in Millions)</v>
      </c>
      <c r="D5" s="366"/>
      <c r="E5" s="366"/>
      <c r="F5" s="366"/>
      <c r="G5" s="366"/>
      <c r="H5" s="1526"/>
      <c r="I5" s="1526"/>
      <c r="J5" s="1525"/>
      <c r="K5" s="1546"/>
    </row>
    <row r="6" spans="1:11" ht="13.9">
      <c r="A6" s="1510"/>
      <c r="B6" s="1414" t="str">
        <f>IF(MasterCheck,"Please check the "&amp;'Error Check'!$G$8,"")</f>
        <v/>
      </c>
      <c r="C6" s="340"/>
      <c r="D6" s="340"/>
      <c r="E6" s="340"/>
      <c r="F6" s="340"/>
      <c r="G6" s="340"/>
      <c r="H6" s="1526"/>
      <c r="I6" s="1526"/>
      <c r="J6" s="1525"/>
      <c r="K6" s="1546"/>
    </row>
    <row r="7" spans="1:11" s="288" customFormat="1" ht="13.9">
      <c r="A7" s="1510"/>
      <c r="B7" s="1510"/>
      <c r="C7" s="2060"/>
      <c r="D7" s="463"/>
      <c r="E7" s="1513"/>
      <c r="F7" s="1513"/>
      <c r="G7" s="464"/>
      <c r="H7" s="464"/>
      <c r="I7" s="464"/>
      <c r="J7" s="2060"/>
      <c r="K7" s="1546"/>
    </row>
    <row r="8" spans="1:11" s="288" customFormat="1" ht="18">
      <c r="A8" s="1510"/>
      <c r="B8" s="1510"/>
      <c r="C8" s="2060"/>
      <c r="D8" s="891"/>
      <c r="E8" s="1152"/>
      <c r="F8" s="1153" t="s">
        <v>856</v>
      </c>
      <c r="G8" s="1154"/>
      <c r="H8" s="1153" t="s">
        <v>857</v>
      </c>
      <c r="I8" s="1155"/>
      <c r="J8" s="2060"/>
      <c r="K8" s="1546"/>
    </row>
    <row r="9" spans="1:11" s="288" customFormat="1" ht="18">
      <c r="A9" s="1510"/>
      <c r="B9" s="1510"/>
      <c r="C9" s="2060"/>
      <c r="D9" s="893"/>
      <c r="E9" s="894" t="s">
        <v>858</v>
      </c>
      <c r="F9" s="893"/>
      <c r="G9" s="893"/>
      <c r="H9" s="893"/>
      <c r="I9" s="893"/>
      <c r="J9" s="2060"/>
      <c r="K9" s="1546"/>
    </row>
    <row r="10" spans="1:11" s="288" customFormat="1" ht="18">
      <c r="A10" s="1510" t="str">
        <f ca="1">IF(N(H10),"","n")</f>
        <v>n</v>
      </c>
      <c r="B10" s="1510"/>
      <c r="C10" s="2060"/>
      <c r="D10" s="891"/>
      <c r="E10" s="895" t="s">
        <v>859</v>
      </c>
      <c r="F10" s="2201">
        <v>1</v>
      </c>
      <c r="G10" s="1016"/>
      <c r="H10" s="1017">
        <f ca="1">DCF!$G$56</f>
        <v>0</v>
      </c>
      <c r="I10" s="892"/>
      <c r="J10" s="2060"/>
      <c r="K10" s="1546"/>
    </row>
    <row r="11" spans="1:11" s="288" customFormat="1" ht="18">
      <c r="A11" s="1510" t="str">
        <f>IF(N(H11),"","n")</f>
        <v>n</v>
      </c>
      <c r="B11" s="1510"/>
      <c r="C11" s="2060"/>
      <c r="D11" s="897"/>
      <c r="E11" s="898" t="s">
        <v>860</v>
      </c>
      <c r="F11" s="2201">
        <v>0</v>
      </c>
      <c r="G11" s="1016"/>
      <c r="H11" s="1018">
        <v>0</v>
      </c>
      <c r="I11" s="892"/>
      <c r="J11" s="2060"/>
      <c r="K11" s="1546"/>
    </row>
    <row r="12" spans="1:11" s="288" customFormat="1" ht="18">
      <c r="A12" s="1510"/>
      <c r="B12" s="1510"/>
      <c r="C12" s="2060"/>
      <c r="D12" s="897"/>
      <c r="E12" s="892"/>
      <c r="F12" s="1016"/>
      <c r="G12" s="1016"/>
      <c r="H12" s="1017"/>
      <c r="I12" s="892"/>
      <c r="J12" s="2060"/>
      <c r="K12" s="1546"/>
    </row>
    <row r="13" spans="1:11" s="288" customFormat="1" ht="18">
      <c r="A13" s="1510"/>
      <c r="B13" s="1510"/>
      <c r="C13" s="2060"/>
      <c r="D13" s="897"/>
      <c r="E13" s="894" t="s">
        <v>861</v>
      </c>
      <c r="F13" s="1016"/>
      <c r="G13" s="1016"/>
      <c r="H13" s="1017"/>
      <c r="I13" s="893"/>
      <c r="J13" s="2060"/>
      <c r="K13" s="1546"/>
    </row>
    <row r="14" spans="1:11" s="288" customFormat="1" ht="18">
      <c r="A14" s="1510" t="str">
        <f ca="1">IF(N(H14),"","n")</f>
        <v>n</v>
      </c>
      <c r="B14" s="1510"/>
      <c r="C14" s="2060"/>
      <c r="D14" s="897"/>
      <c r="E14" s="899" t="s">
        <v>862</v>
      </c>
      <c r="F14" s="2201">
        <v>0</v>
      </c>
      <c r="G14" s="1016"/>
      <c r="H14" s="1017">
        <f ca="1">IFERROR('Guideline Public Company Method'!$N$31,"n/a")</f>
        <v>0</v>
      </c>
      <c r="I14" s="892"/>
      <c r="J14" s="2060"/>
      <c r="K14" s="1546"/>
    </row>
    <row r="15" spans="1:11" s="288" customFormat="1" ht="18">
      <c r="A15" s="1510" t="str">
        <f ca="1">IF(N(H15),"","n")</f>
        <v>n</v>
      </c>
      <c r="B15" s="1510"/>
      <c r="C15" s="2060"/>
      <c r="D15" s="891"/>
      <c r="E15" s="899" t="s">
        <v>863</v>
      </c>
      <c r="F15" s="2201">
        <v>0</v>
      </c>
      <c r="G15" s="1016"/>
      <c r="H15" s="1017">
        <f ca="1">IFERROR('Guideline Transactions Method'!$N$24,"n/a")</f>
        <v>0</v>
      </c>
      <c r="I15" s="892"/>
      <c r="J15" s="2060"/>
      <c r="K15" s="1546"/>
    </row>
    <row r="16" spans="1:11" s="288" customFormat="1" ht="18">
      <c r="A16" s="1510"/>
      <c r="B16" s="1510"/>
      <c r="C16" s="2060"/>
      <c r="D16" s="897"/>
      <c r="E16" s="900"/>
      <c r="F16" s="892"/>
      <c r="G16" s="893"/>
      <c r="H16" s="896"/>
      <c r="I16" s="893"/>
      <c r="J16" s="2060"/>
      <c r="K16" s="1546"/>
    </row>
    <row r="17" spans="1:11" s="288" customFormat="1" ht="18">
      <c r="A17" s="1510" t="str">
        <f t="shared" ref="A17:A26" ca="1" si="0">IF(N(H17),"","n")</f>
        <v>n</v>
      </c>
      <c r="B17" s="1510"/>
      <c r="C17" s="2060"/>
      <c r="D17" s="897"/>
      <c r="E17" s="901" t="str">
        <f>"Indicated unadjusted "&amp;EVorTIC</f>
        <v>Indicated unadjusted TIC</v>
      </c>
      <c r="F17" s="902">
        <f>SUM(F10:F11,F14:F15)</f>
        <v>1</v>
      </c>
      <c r="G17" s="893"/>
      <c r="H17" s="896">
        <f ca="1">SUMPRODUCT($F$10:$F$15,H$10:H15)</f>
        <v>0</v>
      </c>
      <c r="I17" s="892"/>
      <c r="J17" s="2060"/>
      <c r="K17" s="1546"/>
    </row>
    <row r="18" spans="1:11" s="288" customFormat="1" ht="18">
      <c r="A18" s="1510"/>
      <c r="B18" s="1510"/>
      <c r="C18" s="2060"/>
      <c r="D18" s="897"/>
      <c r="E18" s="903"/>
      <c r="F18" s="904" t="str">
        <f>IF(OR(F17=0,F17=100%),"",Fail)</f>
        <v/>
      </c>
      <c r="G18" s="897"/>
      <c r="H18" s="897"/>
      <c r="I18" s="897"/>
      <c r="J18" s="2060"/>
      <c r="K18" s="1546"/>
    </row>
    <row r="19" spans="1:11" s="288" customFormat="1" ht="18">
      <c r="A19" s="1510" t="str">
        <f t="shared" si="0"/>
        <v>n</v>
      </c>
      <c r="B19" s="1510"/>
      <c r="C19" s="2060"/>
      <c r="D19" s="897"/>
      <c r="E19" s="905" t="s">
        <v>864</v>
      </c>
      <c r="F19" s="897"/>
      <c r="G19" s="897"/>
      <c r="H19" s="897">
        <f>'DATA GPC'!P285</f>
        <v>0</v>
      </c>
      <c r="I19" s="897"/>
      <c r="J19" s="2060"/>
      <c r="K19" s="1546"/>
    </row>
    <row r="20" spans="1:11" s="336" customFormat="1" ht="18">
      <c r="A20" s="1510" t="str">
        <f t="shared" si="0"/>
        <v>n</v>
      </c>
      <c r="B20" s="1510"/>
      <c r="C20" s="2060"/>
      <c r="D20" s="897"/>
      <c r="E20" s="905" t="s">
        <v>865</v>
      </c>
      <c r="F20" s="897"/>
      <c r="G20" s="897"/>
      <c r="H20" s="897">
        <f>'PFI Inputs'!$F$302</f>
        <v>0</v>
      </c>
      <c r="I20" s="897"/>
      <c r="J20" s="2060"/>
      <c r="K20" s="1546"/>
    </row>
    <row r="21" spans="1:11" s="288" customFormat="1" ht="18">
      <c r="A21" s="1510" t="str">
        <f t="shared" si="0"/>
        <v>n</v>
      </c>
      <c r="B21" s="1510"/>
      <c r="C21" s="2060"/>
      <c r="D21" s="2060"/>
      <c r="E21" s="905" t="s">
        <v>866</v>
      </c>
      <c r="F21" s="897"/>
      <c r="G21" s="897"/>
      <c r="H21" s="1018">
        <v>0</v>
      </c>
      <c r="I21" s="897"/>
      <c r="J21" s="2060"/>
      <c r="K21" s="1546"/>
    </row>
    <row r="22" spans="1:11" s="288" customFormat="1" ht="18">
      <c r="A22" s="1510" t="str">
        <f t="shared" si="0"/>
        <v>n</v>
      </c>
      <c r="B22" s="1510"/>
      <c r="C22" s="2060"/>
      <c r="D22" s="2060"/>
      <c r="E22" s="905" t="s">
        <v>867</v>
      </c>
      <c r="F22" s="897"/>
      <c r="G22" s="897"/>
      <c r="H22" s="1018">
        <v>0</v>
      </c>
      <c r="I22" s="897"/>
      <c r="J22" s="2060"/>
      <c r="K22" s="1546"/>
    </row>
    <row r="23" spans="1:11" s="288" customFormat="1" ht="18">
      <c r="A23" s="1510" t="str">
        <f t="shared" ca="1" si="0"/>
        <v>n</v>
      </c>
      <c r="B23" s="1510"/>
      <c r="C23" s="2060"/>
      <c r="D23" s="2060"/>
      <c r="E23" s="1339" t="str">
        <f>"Indicated "&amp;EVorTIC</f>
        <v>Indicated TIC</v>
      </c>
      <c r="F23" s="1340"/>
      <c r="G23" s="1340"/>
      <c r="H23" s="1341">
        <f ca="1">SUM(H17:H22)</f>
        <v>0</v>
      </c>
      <c r="I23" s="1340"/>
      <c r="J23" s="2060"/>
      <c r="K23" s="1546"/>
    </row>
    <row r="24" spans="1:11" s="288" customFormat="1" ht="18">
      <c r="A24" s="1510"/>
      <c r="B24" s="1510"/>
      <c r="C24" s="2060"/>
      <c r="D24" s="2060"/>
      <c r="E24" s="900"/>
      <c r="F24" s="892"/>
      <c r="G24" s="893"/>
      <c r="H24" s="896"/>
      <c r="I24" s="893"/>
      <c r="J24" s="2060"/>
      <c r="K24" s="1546"/>
    </row>
    <row r="25" spans="1:11" s="288" customFormat="1" ht="18">
      <c r="A25" s="1510" t="str">
        <f t="shared" si="0"/>
        <v>n</v>
      </c>
      <c r="B25" s="1510"/>
      <c r="C25" s="2060"/>
      <c r="D25" s="2060"/>
      <c r="E25" s="906" t="str">
        <f>"Less: "&amp;IF(PensionSetting="Y","Total debt (incl pension liabilities) &amp; capital leases","Total debt &amp; capital leases")&amp;IFERROR(" at "&amp;TEXT(IF('BAL SHEET Hist Input'!K64,'BAL SHEET Hist Input'!K9,'BAL SHEET Hist Input'!J9),"mmm-yyyy"),"")</f>
        <v>Less: Total debt &amp; capital leases at Mar-2016</v>
      </c>
      <c r="F25" s="892"/>
      <c r="G25" s="893"/>
      <c r="H25" s="907">
        <f>IFERROR(IF('BAL SHEET Hist Input'!K64,'BAL SHEET Hist Input'!K64,'BAL SHEET Hist Input'!J64),0)</f>
        <v>0</v>
      </c>
      <c r="I25" s="893"/>
      <c r="J25" s="2060"/>
      <c r="K25" s="1546"/>
    </row>
    <row r="26" spans="1:11" s="288" customFormat="1" ht="18">
      <c r="A26" s="1510" t="str">
        <f t="shared" ca="1" si="0"/>
        <v>n</v>
      </c>
      <c r="B26" s="1510"/>
      <c r="C26" s="2060"/>
      <c r="D26" s="2060"/>
      <c r="E26" s="1339" t="s">
        <v>868</v>
      </c>
      <c r="F26" s="1340"/>
      <c r="G26" s="1340"/>
      <c r="H26" s="1342">
        <f ca="1">H23-H25</f>
        <v>0</v>
      </c>
      <c r="I26" s="1340"/>
      <c r="J26" s="2060"/>
      <c r="K26" s="1546"/>
    </row>
    <row r="27" spans="1:11" s="288" customFormat="1" ht="18">
      <c r="A27" s="1510"/>
      <c r="B27" s="1510"/>
      <c r="C27" s="2060"/>
      <c r="D27" s="2060"/>
      <c r="E27" s="900"/>
      <c r="F27" s="893"/>
      <c r="G27" s="893"/>
      <c r="H27" s="896"/>
      <c r="I27" s="893"/>
      <c r="J27" s="2060"/>
      <c r="K27" s="1546"/>
    </row>
    <row r="28" spans="1:11" s="288" customFormat="1" ht="18">
      <c r="A28" s="1510" t="str">
        <f>IF(N(H28),"","n")</f>
        <v/>
      </c>
      <c r="B28" s="1510"/>
      <c r="C28" s="2060"/>
      <c r="D28" s="2060"/>
      <c r="E28" s="900" t="s">
        <v>869</v>
      </c>
      <c r="F28" s="893"/>
      <c r="G28" s="893"/>
      <c r="H28" s="1723">
        <v>1</v>
      </c>
      <c r="I28" s="893"/>
      <c r="J28" s="2060"/>
      <c r="K28" s="1546"/>
    </row>
    <row r="29" spans="1:11" s="288" customFormat="1" ht="18">
      <c r="A29" s="1510" t="str">
        <f ca="1">IF(H29,"","n")</f>
        <v>n</v>
      </c>
      <c r="B29" s="1510"/>
      <c r="C29" s="2060"/>
      <c r="D29" s="2060"/>
      <c r="E29" s="1339" t="s">
        <v>870</v>
      </c>
      <c r="F29" s="1340"/>
      <c r="G29" s="1340"/>
      <c r="H29" s="1342">
        <f ca="1">H26*H28</f>
        <v>0</v>
      </c>
      <c r="I29" s="1340"/>
      <c r="J29" s="2060"/>
      <c r="K29" s="1546"/>
    </row>
    <row r="30" spans="1:11" s="288" customFormat="1" ht="18">
      <c r="A30" s="1510" t="str">
        <f ca="1">A33</f>
        <v>n</v>
      </c>
      <c r="B30" s="1510"/>
      <c r="C30" s="2060"/>
      <c r="D30" s="2060"/>
      <c r="E30" s="900"/>
      <c r="F30" s="892"/>
      <c r="G30" s="893"/>
      <c r="H30" s="896"/>
      <c r="I30" s="892"/>
      <c r="J30" s="2060"/>
      <c r="K30" s="1546"/>
    </row>
    <row r="31" spans="1:11" s="288" customFormat="1" ht="18">
      <c r="A31" s="1510" t="str">
        <f>IF(N(H31),"","n")</f>
        <v>n</v>
      </c>
      <c r="B31" s="1510"/>
      <c r="C31" s="2060"/>
      <c r="D31" s="2060"/>
      <c r="E31" s="900" t="s">
        <v>871</v>
      </c>
      <c r="F31" s="893"/>
      <c r="G31" s="893"/>
      <c r="H31" s="2043">
        <v>0</v>
      </c>
      <c r="I31" s="893"/>
      <c r="J31" s="2060"/>
      <c r="K31" s="1546"/>
    </row>
    <row r="32" spans="1:11" ht="18">
      <c r="A32" s="1510" t="str">
        <f>IF(N(H32),"","n")</f>
        <v>n</v>
      </c>
      <c r="B32" s="1510"/>
      <c r="C32" s="1525"/>
      <c r="D32" s="2060"/>
      <c r="E32" s="900" t="s">
        <v>872</v>
      </c>
      <c r="F32" s="893"/>
      <c r="G32" s="893"/>
      <c r="H32" s="2043">
        <v>0</v>
      </c>
      <c r="I32" s="893"/>
      <c r="J32" s="363"/>
      <c r="K32" s="1546"/>
    </row>
    <row r="33" spans="1:11" ht="16.5" customHeight="1">
      <c r="A33" s="1510" t="str">
        <f ca="1">IF(H33=H29,"n","")</f>
        <v>n</v>
      </c>
      <c r="B33" s="1510"/>
      <c r="C33" s="1525"/>
      <c r="D33" s="2060"/>
      <c r="E33" s="1343" t="str">
        <f>START!G19&amp;" of a "&amp;TEXT(H28,"0.0%")&amp;" equity interest (minority, non-marketable)"</f>
        <v>Recommended value of a 100.0% equity interest (minority, non-marketable)</v>
      </c>
      <c r="F33" s="1340"/>
      <c r="G33" s="1340"/>
      <c r="H33" s="1342">
        <f ca="1">IF(H29&lt;0,"nmf",ROUND(H$29*(1-H31)*(1-H32),-RoundingDigit))</f>
        <v>0</v>
      </c>
      <c r="I33" s="1340"/>
      <c r="J33" s="2060"/>
      <c r="K33" s="1546"/>
    </row>
    <row r="34" spans="1:11" ht="12" customHeight="1">
      <c r="A34" s="1510"/>
      <c r="B34" s="1510"/>
      <c r="C34" s="1525"/>
      <c r="D34" s="2060"/>
      <c r="E34" s="901"/>
      <c r="F34" s="893"/>
      <c r="G34" s="892"/>
      <c r="H34" s="908"/>
      <c r="I34" s="893"/>
      <c r="J34" s="1525"/>
      <c r="K34" s="1546"/>
    </row>
    <row r="35" spans="1:11" s="1525" customFormat="1" ht="12" customHeight="1">
      <c r="A35" s="1510"/>
      <c r="B35" s="1510"/>
      <c r="C35" s="1525" t="str">
        <f>"DFNWC=Debt-free net working capital; "&amp;EVorTIC&amp;"="&amp;EVorTICFull</f>
        <v>DFNWC=Debt-free net working capital; TIC=Total invested capital</v>
      </c>
      <c r="D35" s="2060"/>
      <c r="F35" s="893"/>
      <c r="G35" s="892"/>
      <c r="H35" s="908"/>
      <c r="I35" s="893"/>
      <c r="K35" s="1546"/>
    </row>
    <row r="36" spans="1:11" s="1525" customFormat="1" ht="12" customHeight="1">
      <c r="A36" s="1510"/>
      <c r="B36" s="1510"/>
      <c r="D36" s="2060"/>
      <c r="F36" s="893"/>
      <c r="G36" s="892"/>
      <c r="H36" s="908"/>
      <c r="I36" s="893"/>
      <c r="K36" s="1546"/>
    </row>
    <row r="37" spans="1:11" ht="12" customHeight="1">
      <c r="A37" s="1510"/>
      <c r="B37" s="1510"/>
      <c r="C37" s="1525" t="str">
        <f ca="1">FootnoteDRAFT</f>
        <v>Run date: 05-August-2018  02:34 PM.   DRAFT document. All data subject to change upon completion of additional analysis.</v>
      </c>
      <c r="D37" s="1513"/>
      <c r="E37" s="1525"/>
      <c r="F37" s="1513"/>
      <c r="G37" s="1513"/>
      <c r="H37" s="1513"/>
      <c r="I37" s="1513"/>
      <c r="J37" s="1525"/>
      <c r="K37" s="1546"/>
    </row>
    <row r="38" spans="1:11" ht="12" customHeight="1">
      <c r="A38" s="1510"/>
      <c r="B38" s="1510"/>
      <c r="C38" s="1525"/>
      <c r="D38" s="1525"/>
      <c r="E38" s="1505"/>
      <c r="F38" s="1525"/>
      <c r="G38" s="1525"/>
      <c r="H38" s="1525"/>
      <c r="I38" s="1525"/>
      <c r="J38" s="1525"/>
      <c r="K38" s="1546"/>
    </row>
    <row r="39" spans="1:11" ht="12" customHeight="1">
      <c r="A39" s="1510"/>
      <c r="B39" s="1510"/>
      <c r="C39" s="1507"/>
      <c r="D39" s="1525"/>
      <c r="E39" s="1505"/>
      <c r="F39" s="1525"/>
      <c r="G39" s="1525"/>
      <c r="H39" s="1525"/>
      <c r="I39" s="1525"/>
      <c r="J39" s="1525"/>
      <c r="K39" s="1546"/>
    </row>
    <row r="40" spans="1:11" ht="12" customHeight="1">
      <c r="A40" s="1510"/>
      <c r="B40" s="1510"/>
      <c r="C40" s="1525"/>
      <c r="D40" s="1525"/>
      <c r="E40" s="1505"/>
      <c r="F40" s="1525"/>
      <c r="G40" s="1525"/>
      <c r="H40" s="1525"/>
      <c r="I40" s="1525"/>
      <c r="J40" s="1525"/>
      <c r="K40" s="1546"/>
    </row>
    <row r="41" spans="1:11" ht="12" customHeight="1">
      <c r="A41" s="1510" t="s">
        <v>17</v>
      </c>
      <c r="B41" s="1546"/>
      <c r="C41" s="1546"/>
      <c r="D41" s="1546"/>
      <c r="E41" s="703"/>
      <c r="F41" s="1546"/>
      <c r="G41" s="1546"/>
      <c r="H41" s="1546"/>
      <c r="I41" s="1546"/>
      <c r="J41" s="1546" t="s">
        <v>18</v>
      </c>
      <c r="K41" s="1546"/>
    </row>
    <row r="42" spans="1:11" ht="12" customHeight="1">
      <c r="A42" s="1510"/>
      <c r="B42" s="1546"/>
      <c r="C42" s="1546"/>
      <c r="D42" s="1546"/>
      <c r="E42" s="703"/>
      <c r="F42" s="1546"/>
      <c r="G42" s="1546"/>
      <c r="H42" s="1546"/>
      <c r="I42" s="1546"/>
      <c r="J42" s="1546"/>
      <c r="K42" s="1546"/>
    </row>
    <row r="43" spans="1:11" ht="12" customHeight="1">
      <c r="A43" s="1525"/>
      <c r="B43" s="1525"/>
      <c r="C43" s="1525"/>
      <c r="D43" s="1525"/>
      <c r="E43" s="1505"/>
      <c r="F43" s="1525"/>
      <c r="G43" s="1525"/>
      <c r="H43" s="1525"/>
      <c r="I43" s="1525"/>
      <c r="J43" s="1525"/>
      <c r="K43" s="1525"/>
    </row>
    <row r="44" spans="1:11" ht="12" customHeight="1">
      <c r="A44" s="1525"/>
      <c r="B44" s="1525"/>
      <c r="C44" s="1525"/>
      <c r="D44" s="1525"/>
      <c r="E44" s="1505"/>
      <c r="F44" s="1525"/>
      <c r="G44" s="1525"/>
      <c r="H44" s="1525"/>
      <c r="I44" s="1525"/>
      <c r="J44" s="1525"/>
      <c r="K44" s="1525"/>
    </row>
    <row r="45" spans="1:11" ht="12" customHeight="1">
      <c r="A45" s="1525"/>
      <c r="B45" s="1525"/>
      <c r="C45" s="1525"/>
      <c r="D45" s="1525"/>
      <c r="E45" s="1505"/>
      <c r="F45" s="1525"/>
      <c r="G45" s="1525"/>
      <c r="H45" s="1525"/>
      <c r="I45" s="1525"/>
      <c r="J45" s="1525"/>
      <c r="K45" s="1525"/>
    </row>
    <row r="46" spans="1:11" ht="12" customHeight="1">
      <c r="A46" s="1525"/>
      <c r="B46" s="1525"/>
      <c r="C46" s="1525"/>
      <c r="D46" s="1525"/>
      <c r="E46" s="1505"/>
      <c r="F46" s="1525"/>
      <c r="G46" s="1525"/>
      <c r="H46" s="1525"/>
      <c r="I46" s="1525"/>
      <c r="J46" s="1525"/>
      <c r="K46" s="1525"/>
    </row>
    <row r="47" spans="1:11" ht="12" customHeight="1">
      <c r="A47" s="1525"/>
      <c r="B47" s="1525"/>
      <c r="C47" s="1525"/>
      <c r="D47" s="1525"/>
      <c r="E47" s="1505"/>
      <c r="F47" s="1525"/>
      <c r="G47" s="1525"/>
      <c r="H47" s="1525"/>
      <c r="I47" s="1525"/>
      <c r="J47" s="1525"/>
      <c r="K47" s="1525"/>
    </row>
    <row r="48" spans="1:11" ht="12" customHeight="1">
      <c r="A48" s="1525"/>
      <c r="B48" s="1525"/>
      <c r="C48" s="1525"/>
      <c r="D48" s="1525"/>
      <c r="E48" s="1505"/>
      <c r="F48" s="1525"/>
      <c r="G48" s="1525"/>
      <c r="H48" s="1525"/>
      <c r="I48" s="1525"/>
      <c r="J48" s="1525"/>
      <c r="K48" s="1525"/>
    </row>
    <row r="49" spans="5:5" ht="12" customHeight="1">
      <c r="E49" s="1578"/>
    </row>
    <row r="50" spans="5:5" ht="12" customHeight="1">
      <c r="E50" s="1578"/>
    </row>
    <row r="51" spans="5:5" ht="12" customHeight="1">
      <c r="E51" s="1578"/>
    </row>
    <row r="52" spans="5:5" ht="12" customHeight="1">
      <c r="E52" s="1578"/>
    </row>
    <row r="53" spans="5:5" ht="12" customHeight="1">
      <c r="E53" s="1578"/>
    </row>
    <row r="54" spans="5:5" ht="12" customHeight="1">
      <c r="E54" s="1578"/>
    </row>
    <row r="55" spans="5:5" ht="12" customHeight="1">
      <c r="E55" s="1578"/>
    </row>
    <row r="56" spans="5:5" ht="12" customHeight="1">
      <c r="E56" s="1578"/>
    </row>
    <row r="57" spans="5:5" ht="12" customHeight="1">
      <c r="E57" s="1578"/>
    </row>
    <row r="58" spans="5:5" ht="12" customHeight="1">
      <c r="E58" s="1578"/>
    </row>
    <row r="59" spans="5:5" ht="12" customHeight="1">
      <c r="E59" s="1578"/>
    </row>
    <row r="60" spans="5:5" ht="12" customHeight="1">
      <c r="E60" s="1578"/>
    </row>
    <row r="61" spans="5:5" ht="12" customHeight="1">
      <c r="E61" s="1578"/>
    </row>
    <row r="62" spans="5:5" ht="12" customHeight="1">
      <c r="E62" s="1578"/>
    </row>
    <row r="63" spans="5:5" ht="12" customHeight="1">
      <c r="E63" s="1578"/>
    </row>
    <row r="64" spans="5:5" ht="12" customHeight="1">
      <c r="E64" s="1505"/>
    </row>
    <row r="65" spans="5:5" ht="12" customHeight="1">
      <c r="E65" s="1505"/>
    </row>
    <row r="66" spans="5:5" ht="12" customHeight="1">
      <c r="E66" s="1578"/>
    </row>
    <row r="67" spans="5:5" ht="12" customHeight="1">
      <c r="E67" s="1578"/>
    </row>
    <row r="68" spans="5:5" ht="12" customHeight="1">
      <c r="E68" s="1578"/>
    </row>
  </sheetData>
  <autoFilter ref="A1:A41"/>
  <conditionalFormatting sqref="F17">
    <cfRule type="cellIs" dxfId="404" priority="5" operator="equal">
      <formula>1</formula>
    </cfRule>
    <cfRule type="cellIs" dxfId="403" priority="6" stopIfTrue="1" operator="notEqual">
      <formula>1</formula>
    </cfRule>
  </conditionalFormatting>
  <conditionalFormatting sqref="B1">
    <cfRule type="cellIs" dxfId="402" priority="4" operator="notEqual">
      <formula>0</formula>
    </cfRule>
  </conditionalFormatting>
  <conditionalFormatting sqref="A1:A5 A7:A42">
    <cfRule type="expression" dxfId="401" priority="3">
      <formula>AND(MasterCheck&gt;0,RedAlertY=TRUE)</formula>
    </cfRule>
  </conditionalFormatting>
  <conditionalFormatting sqref="B6">
    <cfRule type="expression" dxfId="400" priority="2">
      <formula>AND(MasterCheck&gt;0,RedAlertY=TRUE)</formula>
    </cfRule>
  </conditionalFormatting>
  <conditionalFormatting sqref="A6">
    <cfRule type="expression" dxfId="399" priority="1">
      <formula>AND(MasterCheck&gt;0,RedAlertY=TRUE)</formula>
    </cfRule>
  </conditionalFormatting>
  <pageMargins left="0.6" right="0.4" top="0.5" bottom="0.5" header="0" footer="0.3"/>
  <pageSetup scale="70" orientation="landscape" cellComments="atEnd" r:id="rId1"/>
  <headerFooter>
    <oddFooter>&amp;CReliance restricted&amp;LSome totals may not add due to rounding. See Statement of Limiting Conditions.&amp;R© 2016 Ernst &amp; Young LLP. All Rights Reserved</oddFooter>
  </headerFooter>
  <rowBreaks count="1" manualBreakCount="1">
    <brk id="41"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rketCapReconciliation">
    <tabColor rgb="FF99FF66"/>
    <pageSetUpPr autoPageBreaks="0"/>
  </sheetPr>
  <dimension ref="A1:R69"/>
  <sheetViews>
    <sheetView showGridLines="0" zoomScale="85" zoomScaleNormal="85" zoomScaleSheetLayoutView="85" workbookViewId="0"/>
  </sheetViews>
  <sheetFormatPr defaultColWidth="9.33203125" defaultRowHeight="12" customHeight="1"/>
  <cols>
    <col min="1" max="1" width="2.83203125" style="334" customWidth="1"/>
    <col min="2" max="2" width="3.83203125" style="334" customWidth="1"/>
    <col min="3" max="3" width="20.6640625" style="334" customWidth="1"/>
    <col min="4" max="6" width="12.83203125" style="334" customWidth="1"/>
    <col min="7" max="10" width="21.1640625" style="334" customWidth="1"/>
    <col min="11" max="11" width="17.1640625" style="334" customWidth="1"/>
    <col min="12" max="12" width="52.33203125" style="334" customWidth="1"/>
    <col min="13" max="13" width="8.83203125" style="334" customWidth="1"/>
    <col min="14" max="16384" width="9.33203125" style="334"/>
  </cols>
  <sheetData>
    <row r="1" spans="1:13" ht="18" customHeight="1">
      <c r="A1" s="1510"/>
      <c r="B1" s="649">
        <f ca="1">SUMPRODUCT(--ISERROR($C$1:L26))+COUNTIF($C$1:L26,Fail)</f>
        <v>0</v>
      </c>
      <c r="C1" s="1372" t="str">
        <f>START!$C$1</f>
        <v>Client Name</v>
      </c>
      <c r="D1" s="852"/>
      <c r="E1" s="852"/>
      <c r="F1" s="852"/>
      <c r="G1" s="852"/>
      <c r="H1" s="852"/>
      <c r="I1" s="852"/>
      <c r="J1" s="852"/>
      <c r="K1" s="852"/>
      <c r="L1" s="398" t="s">
        <v>873</v>
      </c>
      <c r="M1" s="1510"/>
    </row>
    <row r="2" spans="1:13" s="1027" customFormat="1" ht="18" customHeight="1">
      <c r="A2" s="1510"/>
      <c r="B2" s="649"/>
      <c r="C2" s="1372" t="str">
        <f>START!$C$2</f>
        <v xml:space="preserve">Please enter project description in START worksheet cell G13 </v>
      </c>
      <c r="D2" s="852"/>
      <c r="E2" s="852"/>
      <c r="F2" s="852"/>
      <c r="G2" s="852"/>
      <c r="H2" s="852"/>
      <c r="I2" s="852"/>
      <c r="J2" s="852"/>
      <c r="K2" s="852"/>
      <c r="L2" s="398"/>
      <c r="M2" s="1510"/>
    </row>
    <row r="3" spans="1:13" ht="18" customHeight="1">
      <c r="A3" s="1510"/>
      <c r="B3" s="1510"/>
      <c r="C3" s="839" t="s">
        <v>874</v>
      </c>
      <c r="D3" s="1526"/>
      <c r="E3" s="1526"/>
      <c r="F3" s="1526"/>
      <c r="G3" s="1526"/>
      <c r="H3" s="1526"/>
      <c r="I3" s="1526"/>
      <c r="J3" s="1526"/>
      <c r="K3" s="1526"/>
      <c r="L3" s="1525"/>
      <c r="M3" s="1510"/>
    </row>
    <row r="4" spans="1:13" ht="18" customHeight="1">
      <c r="A4" s="1510"/>
      <c r="B4" s="1510"/>
      <c r="C4" s="840" t="str">
        <f>ValDateHeading</f>
        <v>Estimation of value as of 28 February 2017</v>
      </c>
      <c r="D4" s="1526"/>
      <c r="E4" s="1526"/>
      <c r="F4" s="1526"/>
      <c r="G4" s="1526"/>
      <c r="H4" s="1526"/>
      <c r="I4" s="1526"/>
      <c r="J4" s="1526"/>
      <c r="K4" s="1526"/>
      <c r="L4" s="1525"/>
      <c r="M4" s="1510"/>
    </row>
    <row r="5" spans="1:13" ht="18" customHeight="1">
      <c r="A5" s="1510"/>
      <c r="B5" s="1510"/>
      <c r="C5" s="769" t="str">
        <f>SubjCurrencyHeading</f>
        <v>(USD in Millions)</v>
      </c>
      <c r="D5" s="1526"/>
      <c r="E5" s="1526"/>
      <c r="F5" s="1526"/>
      <c r="G5" s="1526"/>
      <c r="H5" s="1526"/>
      <c r="I5" s="1526"/>
      <c r="J5" s="1526"/>
      <c r="K5" s="1526"/>
      <c r="L5" s="1525"/>
      <c r="M5" s="1510"/>
    </row>
    <row r="6" spans="1:13" ht="13.9">
      <c r="A6" s="1510"/>
      <c r="B6" s="1413" t="str">
        <f>IF(MasterCheck,"Please check the "&amp;'Error Check'!$G$8,"")</f>
        <v/>
      </c>
      <c r="C6" s="1525"/>
      <c r="D6" s="2060"/>
      <c r="E6" s="2060"/>
      <c r="F6" s="2060"/>
      <c r="G6" s="2060"/>
      <c r="H6" s="2060"/>
      <c r="I6" s="2060"/>
      <c r="J6" s="2060"/>
      <c r="K6" s="2060"/>
      <c r="L6" s="1525"/>
      <c r="M6" s="1510"/>
    </row>
    <row r="7" spans="1:13" s="332" customFormat="1" ht="13.5" customHeight="1">
      <c r="A7" s="1510"/>
      <c r="B7" s="1510"/>
      <c r="C7" s="2060"/>
      <c r="D7" s="2060"/>
      <c r="E7" s="2060"/>
      <c r="F7" s="2060"/>
      <c r="G7" s="2060"/>
      <c r="H7" s="2060"/>
      <c r="I7" s="2060"/>
      <c r="J7" s="2060"/>
      <c r="K7" s="2060"/>
      <c r="L7" s="2060"/>
      <c r="M7" s="1510"/>
    </row>
    <row r="8" spans="1:13" ht="13.9">
      <c r="A8" s="1510"/>
      <c r="B8" s="1510"/>
      <c r="C8" s="2060"/>
      <c r="D8" s="2060"/>
      <c r="E8" s="2060"/>
      <c r="F8" s="2060"/>
      <c r="G8" s="2060"/>
      <c r="H8" s="2060"/>
      <c r="I8" s="2060"/>
      <c r="J8" s="2060"/>
      <c r="K8" s="2060"/>
      <c r="L8" s="2060"/>
      <c r="M8" s="1510"/>
    </row>
    <row r="9" spans="1:13" ht="15.6">
      <c r="A9" s="1510"/>
      <c r="B9" s="1510"/>
      <c r="C9" s="2060"/>
      <c r="D9" s="2060"/>
      <c r="E9" s="2060"/>
      <c r="F9" s="2060"/>
      <c r="G9" s="1156" t="s">
        <v>875</v>
      </c>
      <c r="H9" s="1157"/>
      <c r="I9" s="1157"/>
      <c r="J9" s="1157"/>
      <c r="K9" s="2060"/>
      <c r="L9" s="2060"/>
      <c r="M9" s="1510"/>
    </row>
    <row r="10" spans="1:13" s="312" customFormat="1" ht="15.6">
      <c r="A10" s="1510"/>
      <c r="B10" s="1510"/>
      <c r="C10" s="2060"/>
      <c r="D10" s="2060"/>
      <c r="E10" s="2060"/>
      <c r="F10" s="2060"/>
      <c r="G10" s="628" t="s">
        <v>876</v>
      </c>
      <c r="H10" s="628"/>
      <c r="I10" s="628"/>
      <c r="J10" s="773" t="str">
        <f>IF(Public,_xll.ciqfunctions.udf.CIQ(SubjCoID,"IQ_LASTSALEPRICE",Valuation_date,SubjOutputCurrencyCode,FXMode),"--")</f>
        <v>--</v>
      </c>
      <c r="K10" s="2060"/>
      <c r="L10" s="2060"/>
      <c r="M10" s="1510"/>
    </row>
    <row r="11" spans="1:13" s="312" customFormat="1" ht="15.6">
      <c r="A11" s="1510"/>
      <c r="B11" s="1510"/>
      <c r="C11" s="2060"/>
      <c r="D11" s="2060"/>
      <c r="E11" s="2060"/>
      <c r="F11" s="2060"/>
      <c r="G11" s="1160" t="s">
        <v>877</v>
      </c>
      <c r="H11" s="1160"/>
      <c r="I11" s="1160"/>
      <c r="J11" s="1164" t="str">
        <f>IF(Public,IF(ISBLANK(SubjCoID)=TRUE,"--",_xll.ciqfunctions.udf.CIQ(SubjCoID,"IQ_CLASS_SHARESOUTSTANDING",Valuation_date)*Scale),"--")</f>
        <v>--</v>
      </c>
      <c r="K11" s="2060"/>
      <c r="L11" s="2060"/>
      <c r="M11" s="1510"/>
    </row>
    <row r="12" spans="1:13" s="312" customFormat="1" ht="15.6">
      <c r="A12" s="1510"/>
      <c r="B12" s="1510"/>
      <c r="C12" s="2060"/>
      <c r="D12" s="2060"/>
      <c r="E12" s="2060"/>
      <c r="F12" s="2060"/>
      <c r="G12" s="1162" t="s">
        <v>878</v>
      </c>
      <c r="H12" s="1162"/>
      <c r="I12" s="1162"/>
      <c r="J12" s="1163" t="str">
        <f>IF(Public,IFERROR(_xll.ciqfunctions.udf.CIQ(SubjCoID,"IQ_MARKETCAP",Valuation_date,Valuation_date,ReportType,DataMode,SubjOutputCurrencyCode,FXMode)*Scale,"--"),"--")</f>
        <v>--</v>
      </c>
      <c r="K12" s="107"/>
      <c r="L12" s="2060"/>
      <c r="M12" s="1510"/>
    </row>
    <row r="13" spans="1:13" s="312" customFormat="1" ht="15.6">
      <c r="A13" s="1510"/>
      <c r="B13" s="1510"/>
      <c r="C13" s="2060"/>
      <c r="D13" s="2060"/>
      <c r="E13" s="2060"/>
      <c r="F13" s="2060"/>
      <c r="G13" s="628" t="s">
        <v>879</v>
      </c>
      <c r="H13" s="628"/>
      <c r="I13" s="628"/>
      <c r="J13" s="774">
        <f>-J17</f>
        <v>0</v>
      </c>
      <c r="K13" s="526"/>
      <c r="L13" s="2060"/>
      <c r="M13" s="1510"/>
    </row>
    <row r="14" spans="1:13" ht="15.6">
      <c r="A14" s="1510"/>
      <c r="B14" s="1510"/>
      <c r="C14" s="2060"/>
      <c r="D14" s="2060"/>
      <c r="E14" s="1505"/>
      <c r="F14" s="2060"/>
      <c r="G14" s="628" t="str">
        <f>"Market value of "&amp;LOWER(EVorTICFull)</f>
        <v>Market value of total invested capital</v>
      </c>
      <c r="H14" s="628"/>
      <c r="I14" s="628"/>
      <c r="J14" s="774">
        <f>N(J12)+N(J13)</f>
        <v>0</v>
      </c>
      <c r="K14" s="2060"/>
      <c r="L14" s="2060"/>
      <c r="M14" s="1510"/>
    </row>
    <row r="15" spans="1:13" ht="15.6">
      <c r="A15" s="1510"/>
      <c r="B15" s="1510"/>
      <c r="C15" s="2060"/>
      <c r="D15" s="2060"/>
      <c r="E15" s="1505"/>
      <c r="F15" s="2060"/>
      <c r="G15" s="1156" t="s">
        <v>880</v>
      </c>
      <c r="H15" s="1157"/>
      <c r="I15" s="1157"/>
      <c r="J15" s="1157"/>
      <c r="K15" s="2060"/>
      <c r="L15" s="2060"/>
      <c r="M15" s="1510"/>
    </row>
    <row r="16" spans="1:13" ht="15.6">
      <c r="A16" s="1510"/>
      <c r="B16" s="1510"/>
      <c r="C16" s="2060"/>
      <c r="D16" s="2060"/>
      <c r="E16" s="1505"/>
      <c r="F16" s="2060"/>
      <c r="G16" s="628" t="str">
        <f>EVorTICFull</f>
        <v>Total invested capital</v>
      </c>
      <c r="H16" s="628"/>
      <c r="I16" s="628"/>
      <c r="J16" s="775">
        <f ca="1">IFERROR('Conclusion of Value'!H23,"n/a")</f>
        <v>0</v>
      </c>
      <c r="K16" s="2060"/>
      <c r="L16" s="2060"/>
      <c r="M16" s="1510"/>
    </row>
    <row r="17" spans="1:18" ht="15.6">
      <c r="A17" s="1510"/>
      <c r="B17" s="1510"/>
      <c r="C17" s="2060"/>
      <c r="D17" s="2060"/>
      <c r="E17" s="1505"/>
      <c r="F17" s="2060"/>
      <c r="G17" s="1160" t="s">
        <v>879</v>
      </c>
      <c r="H17" s="1160"/>
      <c r="I17" s="1160"/>
      <c r="J17" s="774">
        <f>IFERROR(-'BAL SHEET Hist Input'!$K$64,"n/a")</f>
        <v>0</v>
      </c>
      <c r="K17" s="2060"/>
      <c r="L17" s="2060"/>
      <c r="M17" s="1510"/>
      <c r="N17" s="1525"/>
      <c r="O17" s="1525"/>
      <c r="P17" s="1525"/>
      <c r="Q17" s="1525"/>
      <c r="R17" s="1525"/>
    </row>
    <row r="18" spans="1:18" ht="15.6">
      <c r="A18" s="1510"/>
      <c r="B18" s="1510"/>
      <c r="C18" s="2060"/>
      <c r="D18" s="2060"/>
      <c r="E18" s="1505"/>
      <c r="F18" s="2060"/>
      <c r="G18" s="1161" t="s">
        <v>881</v>
      </c>
      <c r="H18" s="1162"/>
      <c r="I18" s="1162"/>
      <c r="J18" s="1163">
        <f ca="1">IFERROR(J16+J17,"nmf")</f>
        <v>0</v>
      </c>
      <c r="K18" s="2060"/>
      <c r="L18" s="2060"/>
      <c r="M18" s="1510"/>
      <c r="N18" s="1525"/>
      <c r="O18" s="1525"/>
      <c r="P18" s="1525"/>
      <c r="Q18" s="1525"/>
      <c r="R18" s="1525" t="s">
        <v>882</v>
      </c>
    </row>
    <row r="19" spans="1:18" s="312" customFormat="1" ht="15.6">
      <c r="A19" s="1510"/>
      <c r="B19" s="1510"/>
      <c r="C19" s="2060"/>
      <c r="D19" s="2060"/>
      <c r="E19" s="1505"/>
      <c r="F19" s="2060"/>
      <c r="G19" s="628"/>
      <c r="H19" s="628"/>
      <c r="I19" s="628"/>
      <c r="J19" s="628"/>
      <c r="K19" s="2060"/>
      <c r="L19" s="2060"/>
      <c r="M19" s="1510"/>
    </row>
    <row r="20" spans="1:18" ht="15.6">
      <c r="A20" s="1510"/>
      <c r="B20" s="1510"/>
      <c r="C20" s="2060"/>
      <c r="D20" s="2060"/>
      <c r="E20" s="1505"/>
      <c r="F20" s="2060"/>
      <c r="G20" s="1158" t="s">
        <v>883</v>
      </c>
      <c r="H20" s="1159"/>
      <c r="I20" s="1159"/>
      <c r="J20" s="1724" t="str">
        <f ca="1">IFERROR(J18/J12-1,"n/a")</f>
        <v>n/a</v>
      </c>
      <c r="K20" s="2060"/>
      <c r="L20" s="2060"/>
      <c r="M20" s="1510"/>
      <c r="N20" s="1525"/>
      <c r="O20" s="1525"/>
      <c r="P20" s="1525"/>
      <c r="Q20" s="1525"/>
      <c r="R20" s="1525"/>
    </row>
    <row r="21" spans="1:18" ht="15.6">
      <c r="A21" s="1510"/>
      <c r="B21" s="1510"/>
      <c r="C21" s="2060"/>
      <c r="D21" s="2060"/>
      <c r="E21" s="1578"/>
      <c r="F21" s="2060"/>
      <c r="G21" s="1158" t="str">
        <f>"Implied "&amp;EVorTIC&amp;" control premium"</f>
        <v>Implied TIC control premium</v>
      </c>
      <c r="H21" s="1159"/>
      <c r="I21" s="1159"/>
      <c r="J21" s="1724" t="str">
        <f ca="1">IFERROR(J16/J14-1,"n/a")</f>
        <v>n/a</v>
      </c>
      <c r="K21" s="2060"/>
      <c r="L21" s="2060"/>
      <c r="M21" s="1510"/>
      <c r="N21" s="1525"/>
      <c r="O21" s="1525"/>
      <c r="P21" s="1525"/>
      <c r="Q21" s="1525"/>
      <c r="R21" s="1525"/>
    </row>
    <row r="22" spans="1:18" ht="12" customHeight="1">
      <c r="A22" s="1510"/>
      <c r="B22" s="1510"/>
      <c r="C22" s="1525"/>
      <c r="D22" s="1541"/>
      <c r="E22" s="624"/>
      <c r="F22" s="1540"/>
      <c r="G22" s="1540"/>
      <c r="H22" s="1540"/>
      <c r="I22" s="1540"/>
      <c r="J22" s="1525"/>
      <c r="K22" s="1525"/>
      <c r="L22" s="1525"/>
      <c r="M22" s="1510"/>
      <c r="N22" s="1525"/>
      <c r="O22" s="1525"/>
      <c r="P22" s="1525"/>
      <c r="Q22" s="1525"/>
      <c r="R22" s="1525"/>
    </row>
    <row r="23" spans="1:18" s="1525" customFormat="1" ht="12" customHeight="1">
      <c r="A23" s="1510"/>
      <c r="B23" s="1510"/>
      <c r="C23" s="1525" t="str">
        <f>EVorTIC&amp;"="&amp;EVorTICFull</f>
        <v>TIC=Total invested capital</v>
      </c>
      <c r="D23" s="1541"/>
      <c r="E23" s="624"/>
      <c r="F23" s="1540"/>
      <c r="G23" s="1540"/>
      <c r="H23" s="1540"/>
      <c r="I23" s="1540"/>
      <c r="M23" s="1510"/>
    </row>
    <row r="24" spans="1:18" s="1525" customFormat="1" ht="12" customHeight="1">
      <c r="A24" s="1510"/>
      <c r="B24" s="1510"/>
      <c r="D24" s="1541"/>
      <c r="E24" s="624"/>
      <c r="F24" s="1540"/>
      <c r="G24" s="1540"/>
      <c r="H24" s="1540"/>
      <c r="I24" s="1540"/>
      <c r="M24" s="1510"/>
    </row>
    <row r="25" spans="1:18" ht="12" customHeight="1">
      <c r="A25" s="1510"/>
      <c r="B25" s="1510"/>
      <c r="C25" s="373" t="str">
        <f ca="1">FootnoteDRAFT</f>
        <v>Run date: 05-August-2018  02:34 PM.   DRAFT document. All data subject to change upon completion of additional analysis.</v>
      </c>
      <c r="D25" s="1525"/>
      <c r="E25" s="1505"/>
      <c r="F25" s="1525"/>
      <c r="G25" s="1525"/>
      <c r="H25" s="1525"/>
      <c r="I25" s="1525"/>
      <c r="J25" s="1525"/>
      <c r="K25" s="1525"/>
      <c r="L25" s="1525"/>
      <c r="M25" s="1510"/>
      <c r="N25" s="1525"/>
      <c r="O25" s="1525"/>
      <c r="P25" s="1525"/>
      <c r="Q25" s="1525"/>
      <c r="R25" s="1525"/>
    </row>
    <row r="26" spans="1:18" ht="12" customHeight="1">
      <c r="A26" s="1510" t="s">
        <v>17</v>
      </c>
      <c r="B26" s="1510"/>
      <c r="C26" s="1510"/>
      <c r="D26" s="1510"/>
      <c r="E26" s="683"/>
      <c r="F26" s="1510"/>
      <c r="G26" s="1510"/>
      <c r="H26" s="1510"/>
      <c r="I26" s="1510"/>
      <c r="J26" s="1510"/>
      <c r="K26" s="1510"/>
      <c r="L26" s="1484" t="s">
        <v>18</v>
      </c>
      <c r="M26" s="1510"/>
      <c r="N26" s="1525"/>
      <c r="O26" s="1525"/>
      <c r="P26" s="1525"/>
      <c r="Q26" s="1525"/>
      <c r="R26" s="1525"/>
    </row>
    <row r="27" spans="1:18" ht="12" customHeight="1">
      <c r="A27" s="1510"/>
      <c r="B27" s="592"/>
      <c r="C27" s="592"/>
      <c r="D27" s="592"/>
      <c r="E27" s="685"/>
      <c r="F27" s="592"/>
      <c r="G27" s="592"/>
      <c r="H27" s="592"/>
      <c r="I27" s="592"/>
      <c r="J27" s="592"/>
      <c r="K27" s="592"/>
      <c r="L27" s="592"/>
      <c r="M27" s="592"/>
      <c r="N27" s="1525"/>
      <c r="O27" s="1525"/>
      <c r="P27" s="1525"/>
      <c r="Q27" s="1525"/>
      <c r="R27" s="1525"/>
    </row>
    <row r="28" spans="1:18" ht="12" customHeight="1">
      <c r="A28" s="1525"/>
      <c r="B28" s="1525"/>
      <c r="C28" s="627"/>
      <c r="D28" s="627"/>
      <c r="E28" s="688"/>
      <c r="F28" s="627"/>
      <c r="G28" s="627"/>
      <c r="H28" s="627"/>
      <c r="I28" s="627"/>
      <c r="J28" s="627"/>
      <c r="K28" s="627"/>
      <c r="L28" s="627"/>
      <c r="M28" s="1525"/>
      <c r="N28" s="1525"/>
      <c r="O28" s="1525"/>
      <c r="P28" s="1525"/>
      <c r="Q28" s="1525"/>
      <c r="R28" s="1525"/>
    </row>
    <row r="29" spans="1:18" ht="12" customHeight="1">
      <c r="A29" s="1525"/>
      <c r="B29" s="1525"/>
      <c r="C29" s="1525"/>
      <c r="D29" s="1525"/>
      <c r="E29" s="1505"/>
      <c r="F29" s="1525"/>
      <c r="G29" s="1525"/>
      <c r="H29" s="1525"/>
      <c r="I29" s="1525"/>
      <c r="J29" s="1525"/>
      <c r="K29" s="1525"/>
      <c r="L29" s="1525"/>
      <c r="M29" s="1525"/>
      <c r="N29" s="1525"/>
      <c r="O29" s="1525"/>
      <c r="P29" s="1525"/>
      <c r="Q29" s="1525"/>
      <c r="R29" s="1525"/>
    </row>
    <row r="30" spans="1:18" ht="12" customHeight="1">
      <c r="A30" s="1525"/>
      <c r="B30" s="1525"/>
      <c r="C30" s="1525"/>
      <c r="D30" s="1525"/>
      <c r="E30" s="1578"/>
      <c r="F30" s="1525"/>
      <c r="G30" s="1525"/>
      <c r="H30" s="1525"/>
      <c r="I30" s="1525"/>
      <c r="J30" s="1525"/>
      <c r="K30" s="1525"/>
      <c r="L30" s="1525"/>
      <c r="M30" s="1525"/>
      <c r="N30" s="1525"/>
      <c r="O30" s="1525"/>
      <c r="P30" s="1525"/>
      <c r="Q30" s="1525"/>
      <c r="R30" s="1525"/>
    </row>
    <row r="31" spans="1:18" ht="12" customHeight="1">
      <c r="A31" s="1525"/>
      <c r="B31" s="1525"/>
      <c r="C31" s="1525"/>
      <c r="D31" s="1525"/>
      <c r="E31" s="1505"/>
      <c r="F31" s="1525"/>
      <c r="G31" s="1525"/>
      <c r="H31" s="1525"/>
      <c r="I31" s="1525"/>
      <c r="J31" s="1525"/>
      <c r="K31" s="1525"/>
      <c r="L31" s="1525"/>
      <c r="M31" s="1525"/>
      <c r="N31" s="1525"/>
      <c r="O31" s="1525"/>
      <c r="P31" s="1525"/>
      <c r="Q31" s="1525"/>
      <c r="R31" s="1525"/>
    </row>
    <row r="32" spans="1:18" ht="12" customHeight="1">
      <c r="A32" s="1525"/>
      <c r="B32" s="1525"/>
      <c r="C32" s="1525"/>
      <c r="D32" s="1525"/>
      <c r="E32" s="1505"/>
      <c r="F32" s="1525"/>
      <c r="G32" s="1525"/>
      <c r="H32" s="1525"/>
      <c r="I32" s="1525"/>
      <c r="J32" s="1525"/>
      <c r="K32" s="1525"/>
      <c r="L32" s="1525"/>
      <c r="M32" s="1525"/>
      <c r="N32" s="1525"/>
      <c r="O32" s="1525"/>
      <c r="P32" s="1525"/>
      <c r="Q32" s="1525"/>
      <c r="R32" s="1525"/>
    </row>
    <row r="33" spans="5:5" ht="12" customHeight="1">
      <c r="E33" s="1505"/>
    </row>
    <row r="34" spans="5:5" ht="12" customHeight="1">
      <c r="E34" s="1505"/>
    </row>
    <row r="35" spans="5:5" ht="12" customHeight="1">
      <c r="E35" s="1505"/>
    </row>
    <row r="36" spans="5:5" ht="12" customHeight="1">
      <c r="E36" s="1578"/>
    </row>
    <row r="37" spans="5:5" ht="12" customHeight="1">
      <c r="E37" s="1505"/>
    </row>
    <row r="38" spans="5:5" ht="12" customHeight="1">
      <c r="E38" s="1505"/>
    </row>
    <row r="39" spans="5:5" ht="12" customHeight="1">
      <c r="E39" s="1505"/>
    </row>
    <row r="40" spans="5:5" ht="12" customHeight="1">
      <c r="E40" s="1505"/>
    </row>
    <row r="41" spans="5:5" ht="12" customHeight="1">
      <c r="E41" s="1505"/>
    </row>
    <row r="42" spans="5:5" ht="12" customHeight="1">
      <c r="E42" s="1505"/>
    </row>
    <row r="43" spans="5:5" ht="12" customHeight="1">
      <c r="E43" s="1505"/>
    </row>
    <row r="44" spans="5:5" ht="12" customHeight="1">
      <c r="E44" s="1505"/>
    </row>
    <row r="45" spans="5:5" ht="12" customHeight="1">
      <c r="E45" s="1505"/>
    </row>
    <row r="46" spans="5:5" ht="12" customHeight="1">
      <c r="E46" s="1505"/>
    </row>
    <row r="47" spans="5:5" ht="12" customHeight="1">
      <c r="E47" s="1505"/>
    </row>
    <row r="48" spans="5:5" ht="12" customHeight="1">
      <c r="E48" s="1505"/>
    </row>
    <row r="49" spans="5:5" ht="12" customHeight="1">
      <c r="E49" s="1505"/>
    </row>
    <row r="50" spans="5:5" ht="12" customHeight="1">
      <c r="E50" s="1578"/>
    </row>
    <row r="51" spans="5:5" ht="12" customHeight="1">
      <c r="E51" s="1578"/>
    </row>
    <row r="52" spans="5:5" ht="12" customHeight="1">
      <c r="E52" s="1578"/>
    </row>
    <row r="53" spans="5:5" ht="12" customHeight="1">
      <c r="E53" s="1578"/>
    </row>
    <row r="54" spans="5:5" ht="12" customHeight="1">
      <c r="E54" s="1578"/>
    </row>
    <row r="55" spans="5:5" ht="12" customHeight="1">
      <c r="E55" s="1578"/>
    </row>
    <row r="56" spans="5:5" ht="12" customHeight="1">
      <c r="E56" s="1578"/>
    </row>
    <row r="57" spans="5:5" ht="12" customHeight="1">
      <c r="E57" s="1578"/>
    </row>
    <row r="58" spans="5:5" ht="12" customHeight="1">
      <c r="E58" s="1578"/>
    </row>
    <row r="59" spans="5:5" ht="12" customHeight="1">
      <c r="E59" s="1578"/>
    </row>
    <row r="60" spans="5:5" ht="12" customHeight="1">
      <c r="E60" s="1578"/>
    </row>
    <row r="61" spans="5:5" ht="12" customHeight="1">
      <c r="E61" s="1578"/>
    </row>
    <row r="62" spans="5:5" ht="12" customHeight="1">
      <c r="E62" s="1578"/>
    </row>
    <row r="63" spans="5:5" ht="12" customHeight="1">
      <c r="E63" s="1578"/>
    </row>
    <row r="64" spans="5:5" ht="12" customHeight="1">
      <c r="E64" s="1578"/>
    </row>
    <row r="65" spans="5:5" ht="12" customHeight="1">
      <c r="E65" s="1505"/>
    </row>
    <row r="66" spans="5:5" ht="12" customHeight="1">
      <c r="E66" s="1505"/>
    </row>
    <row r="67" spans="5:5" ht="12" customHeight="1">
      <c r="E67" s="1578"/>
    </row>
    <row r="68" spans="5:5" ht="12" customHeight="1">
      <c r="E68" s="1578"/>
    </row>
    <row r="69" spans="5:5" ht="12" customHeight="1">
      <c r="E69" s="1578"/>
    </row>
  </sheetData>
  <autoFilter ref="A1:A27"/>
  <conditionalFormatting sqref="B1:B2">
    <cfRule type="cellIs" dxfId="398" priority="4" operator="notEqual">
      <formula>0</formula>
    </cfRule>
  </conditionalFormatting>
  <conditionalFormatting sqref="A1:A5 A7:A27">
    <cfRule type="expression" dxfId="397" priority="3">
      <formula>AND(MasterCheck&gt;0,RedAlertY=TRUE)</formula>
    </cfRule>
  </conditionalFormatting>
  <conditionalFormatting sqref="B6">
    <cfRule type="expression" dxfId="396" priority="2">
      <formula>AND(MasterCheck&gt;0,RedAlertY=TRUE)</formula>
    </cfRule>
  </conditionalFormatting>
  <conditionalFormatting sqref="A6">
    <cfRule type="expression" dxfId="395"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26"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istoricalIS">
    <tabColor rgb="FFFFFF00"/>
    <pageSetUpPr autoPageBreaks="0"/>
  </sheetPr>
  <dimension ref="A1:AO68"/>
  <sheetViews>
    <sheetView showGridLines="0" zoomScale="85" zoomScaleNormal="85" zoomScaleSheetLayoutView="80" workbookViewId="0">
      <selection activeCell="F11" sqref="F11"/>
    </sheetView>
  </sheetViews>
  <sheetFormatPr defaultColWidth="9.33203125" defaultRowHeight="12" customHeight="1"/>
  <cols>
    <col min="1" max="1" width="2.83203125" style="285" customWidth="1"/>
    <col min="2" max="2" width="3.83203125" style="285" customWidth="1"/>
    <col min="3" max="3" width="28.1640625" style="285" customWidth="1"/>
    <col min="4" max="4" width="6.83203125" style="334" customWidth="1"/>
    <col min="5" max="5" width="14.5" style="334" customWidth="1"/>
    <col min="6" max="11" width="11.33203125" style="285" customWidth="1"/>
    <col min="12" max="12" width="11.33203125" style="334" customWidth="1"/>
    <col min="13" max="13" width="3.83203125" style="285" customWidth="1"/>
    <col min="14" max="19" width="11.33203125" style="285" customWidth="1"/>
    <col min="20" max="20" width="11.33203125" style="334" customWidth="1"/>
    <col min="21" max="21" width="8.83203125" style="285" customWidth="1"/>
    <col min="22" max="22" width="8.83203125" style="291" customWidth="1"/>
    <col min="23" max="23" width="9.33203125" style="285"/>
    <col min="24" max="24" width="9"/>
    <col min="25" max="26" width="9.33203125" style="646"/>
    <col min="27" max="27" width="11.83203125" style="285" customWidth="1"/>
    <col min="28" max="28" width="29.6640625" style="285" bestFit="1" customWidth="1"/>
    <col min="29" max="29" width="38.33203125" style="285" customWidth="1"/>
    <col min="30" max="31" width="10.1640625" style="285" customWidth="1"/>
    <col min="32" max="33" width="11.33203125" style="285" customWidth="1"/>
    <col min="34" max="34" width="11.33203125" style="334" customWidth="1"/>
    <col min="35" max="38" width="11.33203125" style="285" customWidth="1"/>
    <col min="39" max="39" width="9.33203125" style="285"/>
    <col min="40" max="40" width="11.33203125" style="285" customWidth="1"/>
    <col min="41" max="16384" width="9.33203125" style="285"/>
  </cols>
  <sheetData>
    <row r="1" spans="1:41" ht="18" customHeight="1">
      <c r="A1" s="2060"/>
      <c r="B1" s="649">
        <f ca="1">SUMPRODUCT(--ISERROR($B$2:U49))+COUNTIF($B$2:U49,Fail)</f>
        <v>0</v>
      </c>
      <c r="C1" s="1372" t="str">
        <f>START!$C$1</f>
        <v>Client Name</v>
      </c>
      <c r="D1" s="838"/>
      <c r="E1" s="292"/>
      <c r="F1" s="852"/>
      <c r="G1" s="852"/>
      <c r="H1" s="852"/>
      <c r="I1" s="852"/>
      <c r="J1" s="852"/>
      <c r="K1" s="852"/>
      <c r="L1" s="852"/>
      <c r="M1" s="852"/>
      <c r="N1" s="852"/>
      <c r="O1" s="852"/>
      <c r="P1" s="852"/>
      <c r="Q1" s="852"/>
      <c r="R1" s="1525"/>
      <c r="S1" s="1525"/>
      <c r="T1" s="1525"/>
      <c r="U1" s="398" t="s">
        <v>854</v>
      </c>
      <c r="V1" s="1510"/>
      <c r="W1" s="1525"/>
      <c r="X1" s="2060"/>
      <c r="Y1" s="2060"/>
      <c r="Z1" s="2060"/>
      <c r="AA1" s="1525"/>
      <c r="AB1" s="1530" t="s">
        <v>884</v>
      </c>
      <c r="AC1" s="875" t="b">
        <f>IF(ISTEXT(SubjCoID)=TRUE,TRUE,FALSE)</f>
        <v>0</v>
      </c>
      <c r="AD1" s="1525"/>
      <c r="AE1" s="1525"/>
      <c r="AF1" s="1525"/>
      <c r="AG1" s="1525"/>
      <c r="AH1" s="1525"/>
      <c r="AI1" s="1525"/>
      <c r="AJ1" s="1525"/>
      <c r="AK1" s="1525"/>
      <c r="AL1" s="1525"/>
      <c r="AM1" s="1525"/>
      <c r="AN1" s="1525"/>
      <c r="AO1" s="1525"/>
    </row>
    <row r="2" spans="1:41" ht="18" customHeight="1">
      <c r="A2" s="1510"/>
      <c r="B2" s="1510"/>
      <c r="C2" s="1372" t="str">
        <f>START!$C$2</f>
        <v xml:space="preserve">Please enter project description in START worksheet cell G13 </v>
      </c>
      <c r="D2" s="839"/>
      <c r="E2" s="369"/>
      <c r="F2" s="2060"/>
      <c r="G2" s="1526"/>
      <c r="H2" s="1526"/>
      <c r="I2" s="1526"/>
      <c r="J2" s="1526"/>
      <c r="K2" s="1525"/>
      <c r="L2" s="1526"/>
      <c r="M2" s="1526"/>
      <c r="N2" s="1526"/>
      <c r="O2" s="1526"/>
      <c r="P2" s="1526"/>
      <c r="Q2" s="1526"/>
      <c r="R2" s="1526"/>
      <c r="S2" s="1526"/>
      <c r="T2" s="1526"/>
      <c r="U2" s="1525"/>
      <c r="V2" s="1510"/>
      <c r="W2" s="1525"/>
      <c r="X2" s="2060"/>
      <c r="Y2" s="2060"/>
      <c r="Z2" s="2060"/>
      <c r="AA2" s="2060"/>
      <c r="AB2" s="1525"/>
      <c r="AC2" s="1525"/>
      <c r="AD2" s="1525"/>
      <c r="AE2" s="2060"/>
      <c r="AF2" s="2060"/>
      <c r="AG2" s="2060"/>
      <c r="AH2" s="2060"/>
      <c r="AI2" s="2060"/>
      <c r="AJ2" s="2060"/>
      <c r="AK2" s="2060"/>
      <c r="AL2" s="2060"/>
      <c r="AM2" s="1525"/>
      <c r="AN2" s="1525"/>
      <c r="AO2" s="1525"/>
    </row>
    <row r="3" spans="1:41" ht="18" customHeight="1">
      <c r="A3" s="1510"/>
      <c r="B3" s="1510"/>
      <c r="C3" s="839" t="s">
        <v>885</v>
      </c>
      <c r="D3" s="840"/>
      <c r="E3" s="2062"/>
      <c r="F3" s="2060"/>
      <c r="G3" s="1526"/>
      <c r="H3" s="1526"/>
      <c r="I3" s="1526"/>
      <c r="J3" s="1526"/>
      <c r="K3" s="1526"/>
      <c r="L3" s="1526"/>
      <c r="M3" s="1526"/>
      <c r="N3" s="1526"/>
      <c r="O3" s="1526"/>
      <c r="P3" s="1526"/>
      <c r="Q3" s="1526"/>
      <c r="R3" s="1526"/>
      <c r="S3" s="1526"/>
      <c r="T3" s="1526"/>
      <c r="U3" s="1525"/>
      <c r="V3" s="1510"/>
      <c r="W3" s="1525"/>
      <c r="X3" s="2060"/>
      <c r="Y3" s="2060"/>
      <c r="Z3" s="2060"/>
      <c r="AA3" s="1525"/>
      <c r="AB3" s="1525"/>
      <c r="AC3" s="1525"/>
      <c r="AD3" s="1525"/>
      <c r="AE3" s="2060"/>
      <c r="AF3" s="1525"/>
      <c r="AG3" s="1525"/>
      <c r="AH3" s="1525"/>
      <c r="AI3" s="1525"/>
      <c r="AJ3" s="1525"/>
      <c r="AK3" s="1525">
        <f>IFERROR(IF(SubjCoID="",DAYS360(LFY,Valuation_date)/30,DAYS360(AJ9,AL9)/30),0)</f>
        <v>10.933333333333334</v>
      </c>
      <c r="AL3" s="1525" t="s">
        <v>886</v>
      </c>
      <c r="AM3" s="1525"/>
      <c r="AN3" s="1525"/>
      <c r="AO3" s="1525"/>
    </row>
    <row r="4" spans="1:41" ht="18" customHeight="1">
      <c r="A4" s="1049" t="str">
        <f>IF(MasterCheck,"Please check the "&amp;'Error Check'!$G$8,"")</f>
        <v/>
      </c>
      <c r="B4" s="1510"/>
      <c r="C4" s="840" t="str">
        <f>ValDateHeading</f>
        <v>Estimation of value as of 28 February 2017</v>
      </c>
      <c r="D4" s="366"/>
      <c r="E4" s="366"/>
      <c r="F4" s="2060"/>
      <c r="G4" s="340"/>
      <c r="H4" s="340"/>
      <c r="I4" s="340"/>
      <c r="J4" s="340"/>
      <c r="K4" s="340"/>
      <c r="L4" s="340"/>
      <c r="M4" s="340"/>
      <c r="N4" s="340"/>
      <c r="O4" s="340"/>
      <c r="P4" s="340"/>
      <c r="Q4" s="340"/>
      <c r="R4" s="340"/>
      <c r="S4" s="340"/>
      <c r="T4" s="340"/>
      <c r="U4" s="340"/>
      <c r="V4" s="1510"/>
      <c r="W4" s="1525"/>
      <c r="X4" s="2060"/>
      <c r="Y4" s="2060"/>
      <c r="Z4" s="2060"/>
      <c r="AA4" s="1525"/>
      <c r="AB4" s="1525"/>
      <c r="AC4" s="1525"/>
      <c r="AD4" s="1525"/>
      <c r="AE4" s="2060"/>
      <c r="AF4" s="1525"/>
      <c r="AG4" s="1525"/>
      <c r="AH4" s="1525"/>
      <c r="AI4" s="1525"/>
      <c r="AJ4" s="1525"/>
      <c r="AK4" s="1525">
        <f>12-AK3</f>
        <v>1.0666666666666664</v>
      </c>
      <c r="AL4" s="1525" t="s">
        <v>887</v>
      </c>
      <c r="AM4" s="1525"/>
      <c r="AN4" s="1525"/>
      <c r="AO4" s="1525"/>
    </row>
    <row r="5" spans="1:41" s="1027" customFormat="1" ht="18" customHeight="1">
      <c r="A5" s="1049"/>
      <c r="B5" s="1510"/>
      <c r="C5" s="840"/>
      <c r="D5" s="366"/>
      <c r="E5" s="366"/>
      <c r="F5" s="2060"/>
      <c r="G5" s="340"/>
      <c r="H5" s="340"/>
      <c r="I5" s="340"/>
      <c r="J5" s="340"/>
      <c r="K5" s="340"/>
      <c r="L5" s="340"/>
      <c r="M5" s="340"/>
      <c r="N5" s="340"/>
      <c r="O5" s="340"/>
      <c r="P5" s="340"/>
      <c r="Q5" s="340"/>
      <c r="R5" s="340"/>
      <c r="S5" s="340"/>
      <c r="T5" s="340"/>
      <c r="U5" s="340"/>
      <c r="V5" s="1510"/>
      <c r="W5" s="1525"/>
      <c r="X5" s="2060"/>
      <c r="Y5" s="2060"/>
      <c r="Z5" s="2060"/>
      <c r="AA5" s="1525"/>
      <c r="AB5" s="1525"/>
      <c r="AC5" s="1525"/>
      <c r="AD5" s="1525"/>
      <c r="AE5" s="2060"/>
      <c r="AF5" s="1525"/>
      <c r="AG5" s="1525"/>
      <c r="AH5" s="1525"/>
      <c r="AI5" s="1525"/>
      <c r="AJ5" s="1525"/>
      <c r="AK5" s="1525"/>
      <c r="AL5" s="1525" t="s">
        <v>888</v>
      </c>
      <c r="AM5" s="1525"/>
      <c r="AN5" s="1525"/>
      <c r="AO5" s="1525"/>
    </row>
    <row r="6" spans="1:41" s="334" customFormat="1" ht="13.9">
      <c r="A6" s="1416" t="str">
        <f>IF(MasterCheck,"Please check the "&amp;'Error Check'!$G$8,"")</f>
        <v/>
      </c>
      <c r="B6" s="1415"/>
      <c r="C6" s="1525"/>
      <c r="D6" s="2060"/>
      <c r="E6" s="2060"/>
      <c r="F6" s="2060"/>
      <c r="G6" s="2060"/>
      <c r="H6" s="2060"/>
      <c r="I6" s="2060"/>
      <c r="J6" s="2060"/>
      <c r="K6" s="2060"/>
      <c r="L6" s="2060"/>
      <c r="M6" s="2060"/>
      <c r="N6" s="2060"/>
      <c r="O6" s="2060"/>
      <c r="P6" s="2060"/>
      <c r="Q6" s="2060"/>
      <c r="R6" s="2060"/>
      <c r="S6" s="2060"/>
      <c r="T6" s="2060"/>
      <c r="U6" s="2060"/>
      <c r="V6" s="1510"/>
      <c r="W6" s="1525"/>
      <c r="X6" s="2060"/>
      <c r="Y6" s="2060"/>
      <c r="Z6" s="2060"/>
      <c r="AA6" s="1525"/>
      <c r="AB6" s="1525"/>
      <c r="AC6" s="1527"/>
      <c r="AD6" s="1525"/>
      <c r="AE6" s="2060"/>
      <c r="AF6" s="1525"/>
      <c r="AG6" s="1525"/>
      <c r="AH6" s="1525"/>
      <c r="AI6" s="1525"/>
      <c r="AJ6" s="1525"/>
      <c r="AK6" s="1056">
        <v>2000</v>
      </c>
      <c r="AL6" s="1056">
        <v>3000</v>
      </c>
      <c r="AM6" s="1525"/>
      <c r="AN6" s="1056">
        <f>AN8</f>
        <v>999</v>
      </c>
      <c r="AO6" s="1525"/>
    </row>
    <row r="7" spans="1:41" ht="13.9">
      <c r="A7" s="1510"/>
      <c r="B7" s="1510"/>
      <c r="C7" s="342"/>
      <c r="D7" s="342"/>
      <c r="E7" s="342"/>
      <c r="F7" s="341"/>
      <c r="G7" s="341"/>
      <c r="H7" s="341"/>
      <c r="I7" s="341"/>
      <c r="J7" s="341"/>
      <c r="K7" s="341"/>
      <c r="L7" s="341"/>
      <c r="M7" s="1526"/>
      <c r="N7" s="1526"/>
      <c r="O7" s="341"/>
      <c r="P7" s="341"/>
      <c r="Q7" s="341"/>
      <c r="R7" s="341"/>
      <c r="S7" s="341"/>
      <c r="T7" s="341"/>
      <c r="U7" s="1525"/>
      <c r="V7" s="1510"/>
      <c r="W7" s="1525"/>
      <c r="X7" s="2060"/>
      <c r="Y7" s="2060"/>
      <c r="Z7" s="2060"/>
      <c r="AA7" s="1525"/>
      <c r="AB7" s="1525"/>
      <c r="AC7" s="1525"/>
      <c r="AD7" s="1525"/>
      <c r="AE7" s="2060"/>
      <c r="AF7" s="1525"/>
      <c r="AG7" s="1525"/>
      <c r="AH7" s="1525"/>
      <c r="AI7" s="1525"/>
      <c r="AJ7" s="338" t="s">
        <v>704</v>
      </c>
      <c r="AK7" s="338" t="s">
        <v>705</v>
      </c>
      <c r="AL7" s="338" t="str">
        <f>IF(StubMonths=0,"","YTD")</f>
        <v>YTD</v>
      </c>
      <c r="AM7" s="1525"/>
      <c r="AN7" s="338" t="s">
        <v>705</v>
      </c>
      <c r="AO7" s="1525"/>
    </row>
    <row r="8" spans="1:41" ht="13.9">
      <c r="A8" s="1510"/>
      <c r="B8" s="1510"/>
      <c r="C8" s="1165"/>
      <c r="D8" s="1165"/>
      <c r="E8" s="1165"/>
      <c r="F8" s="1166" t="str">
        <f>"For years ended "&amp;IF(Public,TEXT('INC STAT Hist Input'!$AJ$9,"mmmm d"),TEXT(FYear,"mmmm d"))</f>
        <v>For years ended March 31</v>
      </c>
      <c r="G8" s="1166"/>
      <c r="H8" s="1166"/>
      <c r="I8" s="1166"/>
      <c r="J8" s="1166"/>
      <c r="K8" s="1168" t="str">
        <f>"LTM ended "</f>
        <v xml:space="preserve">LTM ended </v>
      </c>
      <c r="L8" s="1167" t="s">
        <v>889</v>
      </c>
      <c r="M8" s="1526"/>
      <c r="N8" s="1165" t="str">
        <f>F8</f>
        <v>For years ended March 31</v>
      </c>
      <c r="O8" s="1165"/>
      <c r="P8" s="1165"/>
      <c r="Q8" s="1165"/>
      <c r="R8" s="1166"/>
      <c r="S8" s="1168" t="str">
        <f>"LTM ended "</f>
        <v xml:space="preserve">LTM ended </v>
      </c>
      <c r="T8" s="1167" t="s">
        <v>889</v>
      </c>
      <c r="U8" s="1525"/>
      <c r="V8" s="1510"/>
      <c r="W8" s="1525"/>
      <c r="X8" s="2060"/>
      <c r="Y8" s="2060"/>
      <c r="Z8" s="2060"/>
      <c r="AA8" s="1525"/>
      <c r="AB8" s="1525"/>
      <c r="AC8" s="332"/>
      <c r="AD8" s="1525"/>
      <c r="AE8" s="2060"/>
      <c r="AF8" s="1056">
        <v>996</v>
      </c>
      <c r="AG8" s="1056">
        <v>997</v>
      </c>
      <c r="AH8" s="1056">
        <v>998</v>
      </c>
      <c r="AI8" s="1056">
        <v>999</v>
      </c>
      <c r="AJ8" s="1056">
        <v>1000</v>
      </c>
      <c r="AK8" s="1056">
        <f>IF(AJ$9=AK9,1000,2000)</f>
        <v>1000</v>
      </c>
      <c r="AL8" s="1056">
        <f>IF(AJ$9=AL9,1000,3000)</f>
        <v>1000</v>
      </c>
      <c r="AM8" s="1525"/>
      <c r="AN8" s="1056">
        <f>IF(AK8=2000,1996,999)</f>
        <v>999</v>
      </c>
      <c r="AO8" s="1525"/>
    </row>
    <row r="9" spans="1:41" s="288" customFormat="1" ht="13.9">
      <c r="A9" s="1510"/>
      <c r="B9" s="1510"/>
      <c r="C9" s="718" t="str">
        <f>SubjCurrencyHeading</f>
        <v>(USD in Millions)</v>
      </c>
      <c r="D9" s="718"/>
      <c r="E9" s="719" t="s">
        <v>890</v>
      </c>
      <c r="F9" s="1653">
        <f>EOMONTH(G9,-12)</f>
        <v>40999</v>
      </c>
      <c r="G9" s="1653">
        <f>EOMONTH(H9,-12)</f>
        <v>41364</v>
      </c>
      <c r="H9" s="1653">
        <f>EOMONTH(I9,-12)</f>
        <v>41729</v>
      </c>
      <c r="I9" s="1653">
        <f>EOMONTH(J9,-12)</f>
        <v>42094</v>
      </c>
      <c r="J9" s="1653">
        <f>LFY</f>
        <v>42460</v>
      </c>
      <c r="K9" s="1652">
        <f>LFQLTM</f>
        <v>42643</v>
      </c>
      <c r="L9" s="1652">
        <f>LFQLTM</f>
        <v>42643</v>
      </c>
      <c r="M9" s="1526"/>
      <c r="N9" s="1653">
        <f>F9</f>
        <v>40999</v>
      </c>
      <c r="O9" s="1653">
        <f t="shared" ref="O9:T9" si="0">G9</f>
        <v>41364</v>
      </c>
      <c r="P9" s="1653">
        <f t="shared" si="0"/>
        <v>41729</v>
      </c>
      <c r="Q9" s="1653">
        <f t="shared" si="0"/>
        <v>42094</v>
      </c>
      <c r="R9" s="1653">
        <f t="shared" si="0"/>
        <v>42460</v>
      </c>
      <c r="S9" s="1652">
        <f t="shared" si="0"/>
        <v>42643</v>
      </c>
      <c r="T9" s="1652">
        <f t="shared" si="0"/>
        <v>42643</v>
      </c>
      <c r="U9" s="1525"/>
      <c r="V9" s="1510"/>
      <c r="W9" s="1525"/>
      <c r="X9" s="2060"/>
      <c r="Y9" s="2060"/>
      <c r="Z9" s="2060"/>
      <c r="AA9" s="400"/>
      <c r="AB9" s="1507" t="s">
        <v>891</v>
      </c>
      <c r="AC9" s="811" t="s">
        <v>892</v>
      </c>
      <c r="AD9" s="1527"/>
      <c r="AE9" s="2060"/>
      <c r="AF9" s="294">
        <f>IF(Public,_xll.ciqfunctions.udf.CIQ(SubjCoID,"IQ_PERIODDATE",AF8,Valuation_date,ReportType,DataMode),0)</f>
        <v>0</v>
      </c>
      <c r="AG9" s="294">
        <f>IF(Public,_xll.ciqfunctions.udf.CIQ(SubjCoID,"IQ_PERIODDATE",AG8,Valuation_date,ReportType,DataMode),0)</f>
        <v>0</v>
      </c>
      <c r="AH9" s="294">
        <f>IF(Public,_xll.ciqfunctions.udf.CIQ(SubjCoID,"IQ_PERIODDATE",AH8,Valuation_date,ReportType,DataMode),0)</f>
        <v>0</v>
      </c>
      <c r="AI9" s="294">
        <f>IF(Public,_xll.ciqfunctions.udf.CIQ(SubjCoID,"IQ_PERIODDATE",AI8,Valuation_date,ReportType,DataMode),0)</f>
        <v>0</v>
      </c>
      <c r="AJ9" s="294">
        <f>IF(Public,_xll.ciqfunctions.udf.CIQ(SubjCoID,"IQ_PERIODDATE",AJ8,Valuation_date,ReportType,DataMode),0)</f>
        <v>0</v>
      </c>
      <c r="AK9" s="1427">
        <f>IF(Public,_xll.ciqfunctions.udf.CIQ(SubjCoID,"IQ_PERIODDATE",AK6,Valuation_date,ReportType,DataMode),0)</f>
        <v>0</v>
      </c>
      <c r="AL9" s="1427">
        <f>IF(Public,_xll.ciqfunctions.udf.CIQ(SubjCoID,"IQ_PERIODDATE",AL6,Valuation_date,ReportType,DataMode),0)</f>
        <v>0</v>
      </c>
      <c r="AM9" s="1527"/>
      <c r="AN9" s="1427">
        <f>IF(Public,_xll.ciqfunctions.udf.CIQ(SubjCoID,"IQ_PERIODDATE",AN6,Valuation_date,ReportType,DataMode),0)</f>
        <v>0</v>
      </c>
      <c r="AO9" s="1527" t="s">
        <v>893</v>
      </c>
    </row>
    <row r="10" spans="1:41" ht="13.9">
      <c r="A10" s="1510" t="str">
        <f t="shared" ref="A10:A32" si="1">IF(OR(MAX(F10:K10)&gt;0.01,MIN(,F10:K10)&lt;-0.01),"","n")</f>
        <v>n</v>
      </c>
      <c r="B10" s="1040" t="str">
        <f>IF(SubjCoID="","",IF(ROUND(SUM(F10:K10)-SUM(AF10:AK10),0)=0,"",Fail))</f>
        <v/>
      </c>
      <c r="C10" s="973" t="s">
        <v>463</v>
      </c>
      <c r="D10" s="331"/>
      <c r="E10" s="715"/>
      <c r="F10" s="824">
        <f>AF10</f>
        <v>0</v>
      </c>
      <c r="G10" s="824">
        <f t="shared" ref="G10:L11" si="2">AG10</f>
        <v>0</v>
      </c>
      <c r="H10" s="824">
        <f t="shared" si="2"/>
        <v>0</v>
      </c>
      <c r="I10" s="824">
        <f t="shared" si="2"/>
        <v>0</v>
      </c>
      <c r="J10" s="824">
        <f t="shared" si="2"/>
        <v>0</v>
      </c>
      <c r="K10" s="824">
        <f t="shared" si="2"/>
        <v>0</v>
      </c>
      <c r="L10" s="824">
        <f t="shared" si="2"/>
        <v>0</v>
      </c>
      <c r="M10" s="1526"/>
      <c r="N10" s="457" t="str">
        <f t="shared" ref="N10:N32" si="3">IFERROR(F10/F$10,"n/a")</f>
        <v>n/a</v>
      </c>
      <c r="O10" s="457" t="str">
        <f t="shared" ref="O10:O32" si="4">IFERROR(G10/G$10,"n/a")</f>
        <v>n/a</v>
      </c>
      <c r="P10" s="457" t="str">
        <f t="shared" ref="P10:P32" si="5">IFERROR(H10/H$10,"n/a")</f>
        <v>n/a</v>
      </c>
      <c r="Q10" s="457" t="str">
        <f t="shared" ref="Q10:Q32" si="6">IFERROR(I10/I$10,"n/a")</f>
        <v>n/a</v>
      </c>
      <c r="R10" s="457" t="str">
        <f t="shared" ref="R10:R32" si="7">IFERROR(J10/J$10,"n/a")</f>
        <v>n/a</v>
      </c>
      <c r="S10" s="457" t="str">
        <f t="shared" ref="S10:S32" si="8">IFERROR(K10/K$10,"n/a")</f>
        <v>n/a</v>
      </c>
      <c r="T10" s="457" t="str">
        <f t="shared" ref="T10:T32" si="9">IFERROR(L10/L$10,"n/a")</f>
        <v>n/a</v>
      </c>
      <c r="U10" s="1525"/>
      <c r="V10" s="1510"/>
      <c r="W10" s="1525"/>
      <c r="X10" s="2060"/>
      <c r="Y10" s="2060"/>
      <c r="Z10" s="2060"/>
      <c r="AA10" s="400">
        <f>ROW('INC STAT Hist Input'!C10)</f>
        <v>10</v>
      </c>
      <c r="AB10" s="1525" t="s">
        <v>894</v>
      </c>
      <c r="AC10" s="1588" t="s">
        <v>463</v>
      </c>
      <c r="AD10" s="1525"/>
      <c r="AE10" s="2060"/>
      <c r="AF10" s="2060">
        <f>IFERROR(IF(Public,_xll.ciqfunctions.udf.CIQ(SubjCoID,$AB10,AF$8,Valuation_date, ReportType,DataMode,SubjOutputCurrencyCode,FXMode)*Scale,0),0)</f>
        <v>0</v>
      </c>
      <c r="AG10" s="2060">
        <f>IFERROR(IF(Public,_xll.ciqfunctions.udf.CIQ(SubjCoID,$AB10,AG$8,Valuation_date, ReportType,DataMode,SubjOutputCurrencyCode,FXMode)*Scale,0),0)</f>
        <v>0</v>
      </c>
      <c r="AH10" s="2060">
        <f>IFERROR(IF(Public,_xll.ciqfunctions.udf.CIQ(SubjCoID,$AB10,AH$8,Valuation_date, ReportType,DataMode,SubjOutputCurrencyCode,FXMode)*Scale,0),0)</f>
        <v>0</v>
      </c>
      <c r="AI10" s="2060">
        <f>IFERROR(IF(Public,_xll.ciqfunctions.udf.CIQ(SubjCoID,$AB10,AI$8,Valuation_date, ReportType,DataMode,SubjOutputCurrencyCode,FXMode)*Scale,0),0)</f>
        <v>0</v>
      </c>
      <c r="AJ10" s="2060">
        <f>IFERROR(IF(Public,_xll.ciqfunctions.udf.CIQ(SubjCoID,$AB10,AJ$8,Valuation_date, ReportType,DataMode,SubjOutputCurrencyCode,FXMode)*Scale,0),0)</f>
        <v>0</v>
      </c>
      <c r="AK10" s="2060">
        <f>IFERROR(IF(Public,_xll.ciqfunctions.udf.CIQ(SubjCoID,$AB10,AK$8,Valuation_date, ReportType,DataMode,SubjOutputCurrencyCode,FXMode)*Scale,0),0)</f>
        <v>0</v>
      </c>
      <c r="AL10" s="2060">
        <f>IFERROR(IF(Public,_xll.ciqfunctions.udf.CIQ(SubjCoID,$AB10,AL$8,Valuation_date, ReportType,DataMode,SubjOutputCurrencyCode,FXMode)*Scale,0),0)</f>
        <v>0</v>
      </c>
      <c r="AM10" s="1525"/>
      <c r="AN10" s="2060">
        <f>IFERROR(IF(Public,_xll.ciqfunctions.udf.CIQ(SubjCoID,$AB10,AN$8,Valuation_date, ReportType,DataMode,SubjOutputCurrencyCode,FXMode)*Scale,0),0)</f>
        <v>0</v>
      </c>
      <c r="AO10" s="1369" t="str">
        <f>IFERROR(AK10/AN10-1,"n/a")</f>
        <v>n/a</v>
      </c>
    </row>
    <row r="11" spans="1:41" s="297" customFormat="1" ht="13.9">
      <c r="A11" s="1510" t="str">
        <f t="shared" si="1"/>
        <v>n</v>
      </c>
      <c r="B11" s="1510"/>
      <c r="C11" s="1539" t="s">
        <v>895</v>
      </c>
      <c r="D11" s="1531"/>
      <c r="E11" s="1531"/>
      <c r="F11" s="824">
        <f>AF11</f>
        <v>0</v>
      </c>
      <c r="G11" s="824">
        <f t="shared" si="2"/>
        <v>0</v>
      </c>
      <c r="H11" s="824">
        <f t="shared" si="2"/>
        <v>0</v>
      </c>
      <c r="I11" s="824">
        <f t="shared" si="2"/>
        <v>0</v>
      </c>
      <c r="J11" s="824">
        <f t="shared" si="2"/>
        <v>0</v>
      </c>
      <c r="K11" s="824">
        <f t="shared" si="2"/>
        <v>0</v>
      </c>
      <c r="L11" s="824">
        <f t="shared" si="2"/>
        <v>0</v>
      </c>
      <c r="M11" s="1532"/>
      <c r="N11" s="457" t="str">
        <f t="shared" si="3"/>
        <v>n/a</v>
      </c>
      <c r="O11" s="457" t="str">
        <f t="shared" si="4"/>
        <v>n/a</v>
      </c>
      <c r="P11" s="457" t="str">
        <f t="shared" si="5"/>
        <v>n/a</v>
      </c>
      <c r="Q11" s="457" t="str">
        <f t="shared" si="6"/>
        <v>n/a</v>
      </c>
      <c r="R11" s="457" t="str">
        <f t="shared" si="7"/>
        <v>n/a</v>
      </c>
      <c r="S11" s="457" t="str">
        <f t="shared" si="8"/>
        <v>n/a</v>
      </c>
      <c r="T11" s="457" t="str">
        <f t="shared" si="9"/>
        <v>n/a</v>
      </c>
      <c r="U11" s="1525"/>
      <c r="V11" s="1510"/>
      <c r="W11" s="312"/>
      <c r="X11" s="2060"/>
      <c r="Y11" s="2060"/>
      <c r="Z11" s="2060"/>
      <c r="AA11" s="400">
        <f>ROW('INC STAT Hist Input'!C11)</f>
        <v>11</v>
      </c>
      <c r="AB11" s="312"/>
      <c r="AC11" s="1539" t="s">
        <v>895</v>
      </c>
      <c r="AD11" s="312"/>
      <c r="AE11" s="312"/>
      <c r="AF11" s="1004">
        <f t="shared" ref="AF11:AK11" si="10">AF12-AF10</f>
        <v>0</v>
      </c>
      <c r="AG11" s="1004">
        <f t="shared" si="10"/>
        <v>0</v>
      </c>
      <c r="AH11" s="1004">
        <f t="shared" si="10"/>
        <v>0</v>
      </c>
      <c r="AI11" s="1004">
        <f t="shared" si="10"/>
        <v>0</v>
      </c>
      <c r="AJ11" s="1004">
        <f t="shared" si="10"/>
        <v>0</v>
      </c>
      <c r="AK11" s="1004">
        <f t="shared" si="10"/>
        <v>0</v>
      </c>
      <c r="AL11" s="1004">
        <f>AL12-AL10</f>
        <v>0</v>
      </c>
      <c r="AM11" s="312"/>
      <c r="AN11" s="1004">
        <f>AN12-AN10</f>
        <v>0</v>
      </c>
      <c r="AO11" s="312"/>
    </row>
    <row r="12" spans="1:41" s="297" customFormat="1" ht="13.9">
      <c r="A12" s="1510" t="str">
        <f t="shared" si="1"/>
        <v>n</v>
      </c>
      <c r="B12" s="1040" t="str">
        <f>IF(SubjCoID="","",IF(ROUND(SUM(F12:K12)-SUM(AF12:AK12),0)=0,"",Fail))</f>
        <v/>
      </c>
      <c r="C12" s="812" t="s">
        <v>896</v>
      </c>
      <c r="D12" s="298"/>
      <c r="E12" s="298"/>
      <c r="F12" s="1816">
        <f>SUM(F10:F11)</f>
        <v>0</v>
      </c>
      <c r="G12" s="1816">
        <f t="shared" ref="G12:L12" si="11">SUM(G10:G11)</f>
        <v>0</v>
      </c>
      <c r="H12" s="1816">
        <f t="shared" si="11"/>
        <v>0</v>
      </c>
      <c r="I12" s="1816">
        <f t="shared" si="11"/>
        <v>0</v>
      </c>
      <c r="J12" s="1816">
        <f t="shared" si="11"/>
        <v>0</v>
      </c>
      <c r="K12" s="1816">
        <f t="shared" si="11"/>
        <v>0</v>
      </c>
      <c r="L12" s="1816">
        <f t="shared" si="11"/>
        <v>0</v>
      </c>
      <c r="M12" s="2060"/>
      <c r="N12" s="975" t="str">
        <f t="shared" si="3"/>
        <v>n/a</v>
      </c>
      <c r="O12" s="975" t="str">
        <f t="shared" si="4"/>
        <v>n/a</v>
      </c>
      <c r="P12" s="975" t="str">
        <f t="shared" si="5"/>
        <v>n/a</v>
      </c>
      <c r="Q12" s="975" t="str">
        <f t="shared" si="6"/>
        <v>n/a</v>
      </c>
      <c r="R12" s="975" t="str">
        <f t="shared" si="7"/>
        <v>n/a</v>
      </c>
      <c r="S12" s="975" t="str">
        <f t="shared" si="8"/>
        <v>n/a</v>
      </c>
      <c r="T12" s="975" t="str">
        <f t="shared" si="9"/>
        <v>n/a</v>
      </c>
      <c r="U12" s="1525"/>
      <c r="V12" s="1510"/>
      <c r="W12" s="312"/>
      <c r="X12" s="2060"/>
      <c r="Y12" s="2060"/>
      <c r="Z12" s="2060"/>
      <c r="AA12" s="400"/>
      <c r="AB12" s="312" t="s">
        <v>897</v>
      </c>
      <c r="AC12" s="812" t="s">
        <v>896</v>
      </c>
      <c r="AD12" s="360"/>
      <c r="AE12" s="360"/>
      <c r="AF12" s="1005">
        <f>IFERROR(IF(Public,_xll.ciqfunctions.udf.CIQ(SubjCoID,$AB12,AF$8,Valuation_date, ReportType,DataMode,SubjOutputCurrencyCode,FXMode)*Scale,0),0)</f>
        <v>0</v>
      </c>
      <c r="AG12" s="1005">
        <f>IFERROR(IF(Public,_xll.ciqfunctions.udf.CIQ(SubjCoID,$AB12,AG$8,Valuation_date, ReportType,DataMode,SubjOutputCurrencyCode,FXMode)*Scale,0),0)</f>
        <v>0</v>
      </c>
      <c r="AH12" s="1005">
        <f>IFERROR(IF(Public,_xll.ciqfunctions.udf.CIQ(SubjCoID,$AB12,AH$8,Valuation_date, ReportType,DataMode,SubjOutputCurrencyCode,FXMode)*Scale,0),0)</f>
        <v>0</v>
      </c>
      <c r="AI12" s="1005">
        <f>IFERROR(IF(Public,_xll.ciqfunctions.udf.CIQ(SubjCoID,$AB12,AI$8,Valuation_date, ReportType,DataMode,SubjOutputCurrencyCode,FXMode)*Scale,0),0)</f>
        <v>0</v>
      </c>
      <c r="AJ12" s="1005">
        <f>IFERROR(IF(Public,_xll.ciqfunctions.udf.CIQ(SubjCoID,$AB12,AJ$8,Valuation_date, ReportType,DataMode,SubjOutputCurrencyCode,FXMode)*Scale,0),0)</f>
        <v>0</v>
      </c>
      <c r="AK12" s="1005">
        <f>IFERROR(IF(Public,_xll.ciqfunctions.udf.CIQ(SubjCoID,$AB12,AK$8,Valuation_date, ReportType,DataMode,SubjOutputCurrencyCode,FXMode)*Scale,0),0)</f>
        <v>0</v>
      </c>
      <c r="AL12" s="1005">
        <f>IFERROR(IF(Public,_xll.ciqfunctions.udf.CIQ(SubjCoID,$AB12,AL$8,Valuation_date, ReportType,DataMode,SubjOutputCurrencyCode,FXMode)*Scale,0),0)</f>
        <v>0</v>
      </c>
      <c r="AM12" s="312"/>
      <c r="AN12" s="1005">
        <f>IFERROR(IF(Public,_xll.ciqfunctions.udf.CIQ(SubjCoID,$AB12,AN$8,Valuation_date, ReportType,DataMode,SubjOutputCurrencyCode,FXMode)*Scale,0),0)</f>
        <v>0</v>
      </c>
      <c r="AO12" s="1369" t="str">
        <f>IFERROR(AK12/AN12-1,"n/a")</f>
        <v>n/a</v>
      </c>
    </row>
    <row r="13" spans="1:41" ht="13.9">
      <c r="A13" s="1510" t="str">
        <f t="shared" si="1"/>
        <v>n</v>
      </c>
      <c r="B13" s="1510"/>
      <c r="C13" s="1588" t="s">
        <v>898</v>
      </c>
      <c r="D13" s="1528"/>
      <c r="E13" s="1528"/>
      <c r="F13" s="824">
        <f t="shared" ref="F13:F19" si="12">AF13</f>
        <v>0</v>
      </c>
      <c r="G13" s="824">
        <f t="shared" ref="G13:L19" si="13">AG13</f>
        <v>0</v>
      </c>
      <c r="H13" s="824">
        <f t="shared" si="13"/>
        <v>0</v>
      </c>
      <c r="I13" s="824">
        <f t="shared" si="13"/>
        <v>0</v>
      </c>
      <c r="J13" s="824">
        <f t="shared" si="13"/>
        <v>0</v>
      </c>
      <c r="K13" s="824">
        <f t="shared" si="13"/>
        <v>0</v>
      </c>
      <c r="L13" s="824">
        <f t="shared" si="13"/>
        <v>0</v>
      </c>
      <c r="M13" s="2060"/>
      <c r="N13" s="457" t="str">
        <f t="shared" si="3"/>
        <v>n/a</v>
      </c>
      <c r="O13" s="457" t="str">
        <f t="shared" si="4"/>
        <v>n/a</v>
      </c>
      <c r="P13" s="457" t="str">
        <f t="shared" si="5"/>
        <v>n/a</v>
      </c>
      <c r="Q13" s="457" t="str">
        <f t="shared" si="6"/>
        <v>n/a</v>
      </c>
      <c r="R13" s="457" t="str">
        <f t="shared" si="7"/>
        <v>n/a</v>
      </c>
      <c r="S13" s="457" t="str">
        <f t="shared" si="8"/>
        <v>n/a</v>
      </c>
      <c r="T13" s="457" t="str">
        <f t="shared" si="9"/>
        <v>n/a</v>
      </c>
      <c r="U13" s="1525"/>
      <c r="V13" s="1510"/>
      <c r="W13" s="1525"/>
      <c r="X13" s="2060"/>
      <c r="Y13" s="2060"/>
      <c r="Z13" s="2060"/>
      <c r="AA13" s="400">
        <f>ROW('INC STAT Hist Input'!C13)</f>
        <v>13</v>
      </c>
      <c r="AB13" s="1525" t="s">
        <v>899</v>
      </c>
      <c r="AC13" s="1588" t="s">
        <v>900</v>
      </c>
      <c r="AD13" s="1525"/>
      <c r="AE13" s="1525"/>
      <c r="AF13" s="2060">
        <f>IFERROR(IF(Public,-_xll.ciqfunctions.udf.CIQ(SubjCoID,$AB13,AF$8,Valuation_date, ReportType,DataMode,SubjOutputCurrencyCode,FXMode)*Scale,0),0)-AF21-AF22</f>
        <v>0</v>
      </c>
      <c r="AG13" s="2060">
        <f>IFERROR(IF(Public,-_xll.ciqfunctions.udf.CIQ(SubjCoID,$AB13,AG$8,Valuation_date, ReportType,DataMode,SubjOutputCurrencyCode,FXMode)*Scale,0),0)-AG21-AG22</f>
        <v>0</v>
      </c>
      <c r="AH13" s="2060">
        <f>IFERROR(IF(Public,-_xll.ciqfunctions.udf.CIQ(SubjCoID,$AB13,AH$8,Valuation_date, ReportType,DataMode,SubjOutputCurrencyCode,FXMode)*Scale,0),0)-AH21-AH22</f>
        <v>0</v>
      </c>
      <c r="AI13" s="2060">
        <f>IFERROR(IF(Public,-_xll.ciqfunctions.udf.CIQ(SubjCoID,$AB13,AI$8,Valuation_date, ReportType,DataMode,SubjOutputCurrencyCode,FXMode)*Scale,0),0)-AI21-AI22</f>
        <v>0</v>
      </c>
      <c r="AJ13" s="2060">
        <f>IFERROR(IF(Public,-_xll.ciqfunctions.udf.CIQ(SubjCoID,$AB13,AJ$8,Valuation_date, ReportType,DataMode,SubjOutputCurrencyCode,FXMode)*Scale,0),0)-AJ21-AJ22</f>
        <v>0</v>
      </c>
      <c r="AK13" s="2060">
        <f>IFERROR(IF(Public,-_xll.ciqfunctions.udf.CIQ(SubjCoID,$AB13,AK$8,Valuation_date, ReportType,DataMode,SubjOutputCurrencyCode,FXMode)*Scale,0),0)-AK21-AK22</f>
        <v>0</v>
      </c>
      <c r="AL13" s="2060">
        <f>IFERROR(IF(Public,-_xll.ciqfunctions.udf.CIQ(SubjCoID,$AB13,AL$8,Valuation_date, ReportType,DataMode,SubjOutputCurrencyCode,FXMode)*Scale,0),0)-AL21-AL22</f>
        <v>0</v>
      </c>
      <c r="AM13" s="1525"/>
      <c r="AN13" s="2060">
        <f>IFERROR(IF(Public,-_xll.ciqfunctions.udf.CIQ(SubjCoID,$AB13,AN$8,Valuation_date, ReportType,DataMode,SubjOutputCurrencyCode,FXMode)*Scale,0),0)-AN21-AN22</f>
        <v>0</v>
      </c>
      <c r="AO13" s="1525"/>
    </row>
    <row r="14" spans="1:41" ht="13.9">
      <c r="A14" s="1510" t="str">
        <f t="shared" si="1"/>
        <v>n</v>
      </c>
      <c r="B14" s="1510"/>
      <c r="C14" s="1539" t="s">
        <v>901</v>
      </c>
      <c r="D14" s="1531"/>
      <c r="E14" s="1531"/>
      <c r="F14" s="824">
        <f t="shared" si="12"/>
        <v>0</v>
      </c>
      <c r="G14" s="824">
        <f t="shared" si="13"/>
        <v>0</v>
      </c>
      <c r="H14" s="824">
        <f t="shared" si="13"/>
        <v>0</v>
      </c>
      <c r="I14" s="824">
        <f t="shared" si="13"/>
        <v>0</v>
      </c>
      <c r="J14" s="824">
        <f t="shared" si="13"/>
        <v>0</v>
      </c>
      <c r="K14" s="824">
        <f t="shared" si="13"/>
        <v>0</v>
      </c>
      <c r="L14" s="824">
        <f t="shared" si="13"/>
        <v>0</v>
      </c>
      <c r="M14" s="2060"/>
      <c r="N14" s="457" t="str">
        <f t="shared" si="3"/>
        <v>n/a</v>
      </c>
      <c r="O14" s="457" t="str">
        <f t="shared" si="4"/>
        <v>n/a</v>
      </c>
      <c r="P14" s="457" t="str">
        <f t="shared" si="5"/>
        <v>n/a</v>
      </c>
      <c r="Q14" s="457" t="str">
        <f t="shared" si="6"/>
        <v>n/a</v>
      </c>
      <c r="R14" s="457" t="str">
        <f t="shared" si="7"/>
        <v>n/a</v>
      </c>
      <c r="S14" s="457" t="str">
        <f t="shared" si="8"/>
        <v>n/a</v>
      </c>
      <c r="T14" s="457" t="str">
        <f t="shared" si="9"/>
        <v>n/a</v>
      </c>
      <c r="U14" s="1525"/>
      <c r="V14" s="1510"/>
      <c r="W14" s="1525"/>
      <c r="X14" s="2060"/>
      <c r="Y14" s="2060"/>
      <c r="Z14" s="2060"/>
      <c r="AA14" s="400">
        <f>ROW('INC STAT Hist Input'!C14)</f>
        <v>14</v>
      </c>
      <c r="AB14" s="1525" t="s">
        <v>902</v>
      </c>
      <c r="AC14" s="1539" t="s">
        <v>901</v>
      </c>
      <c r="AD14" s="1525"/>
      <c r="AE14" s="1525"/>
      <c r="AF14" s="2060">
        <f>IFERROR(IF(Public,-_xll.ciqfunctions.udf.CIQ(SubjCoID,$AB14,AF$8,Valuation_date, ReportType,DataMode,SubjOutputCurrencyCode,FXMode)*Scale,0),0)</f>
        <v>0</v>
      </c>
      <c r="AG14" s="2060">
        <f>IFERROR(IF(Public,-_xll.ciqfunctions.udf.CIQ(SubjCoID,$AB14,AG$8,Valuation_date, ReportType,DataMode,SubjOutputCurrencyCode,FXMode)*Scale,0),0)</f>
        <v>0</v>
      </c>
      <c r="AH14" s="2060">
        <f>IFERROR(IF(Public,-_xll.ciqfunctions.udf.CIQ(SubjCoID,$AB14,AH$8,Valuation_date, ReportType,DataMode,SubjOutputCurrencyCode,FXMode)*Scale,0),0)</f>
        <v>0</v>
      </c>
      <c r="AI14" s="2060">
        <f>IFERROR(IF(Public,-_xll.ciqfunctions.udf.CIQ(SubjCoID,$AB14,AI$8,Valuation_date, ReportType,DataMode,SubjOutputCurrencyCode,FXMode)*Scale,0),0)</f>
        <v>0</v>
      </c>
      <c r="AJ14" s="2060">
        <f>IFERROR(IF(Public,-_xll.ciqfunctions.udf.CIQ(SubjCoID,$AB14,AJ$8,Valuation_date, ReportType,DataMode,SubjOutputCurrencyCode,FXMode)*Scale,0),0)</f>
        <v>0</v>
      </c>
      <c r="AK14" s="2060">
        <f>IFERROR(IF(Public,-_xll.ciqfunctions.udf.CIQ(SubjCoID,$AB14,AK$8,Valuation_date, ReportType,DataMode,SubjOutputCurrencyCode,FXMode)*Scale,0),0)</f>
        <v>0</v>
      </c>
      <c r="AL14" s="2060">
        <f>IFERROR(IF(Public,-_xll.ciqfunctions.udf.CIQ(SubjCoID,$AB14,AL$8,Valuation_date, ReportType,DataMode,SubjOutputCurrencyCode,FXMode)*Scale,0),0)</f>
        <v>0</v>
      </c>
      <c r="AM14" s="1525"/>
      <c r="AN14" s="2060">
        <f>IFERROR(IF(Public,-_xll.ciqfunctions.udf.CIQ(SubjCoID,$AB14,AN$8,Valuation_date, ReportType,DataMode,SubjOutputCurrencyCode,FXMode)*Scale,0),0)</f>
        <v>0</v>
      </c>
      <c r="AO14" s="1525"/>
    </row>
    <row r="15" spans="1:41" s="334" customFormat="1" ht="13.9">
      <c r="A15" s="1510" t="str">
        <f t="shared" si="1"/>
        <v>n</v>
      </c>
      <c r="B15" s="1510"/>
      <c r="C15" s="1539" t="s">
        <v>903</v>
      </c>
      <c r="D15" s="1531"/>
      <c r="E15" s="1531"/>
      <c r="F15" s="824">
        <f t="shared" si="12"/>
        <v>0</v>
      </c>
      <c r="G15" s="824">
        <f t="shared" si="13"/>
        <v>0</v>
      </c>
      <c r="H15" s="824">
        <f t="shared" si="13"/>
        <v>0</v>
      </c>
      <c r="I15" s="824">
        <f t="shared" si="13"/>
        <v>0</v>
      </c>
      <c r="J15" s="824">
        <f t="shared" si="13"/>
        <v>0</v>
      </c>
      <c r="K15" s="824">
        <f t="shared" si="13"/>
        <v>0</v>
      </c>
      <c r="L15" s="824">
        <f t="shared" si="13"/>
        <v>0</v>
      </c>
      <c r="M15" s="2060"/>
      <c r="N15" s="457" t="str">
        <f t="shared" si="3"/>
        <v>n/a</v>
      </c>
      <c r="O15" s="457" t="str">
        <f t="shared" si="4"/>
        <v>n/a</v>
      </c>
      <c r="P15" s="457" t="str">
        <f t="shared" si="5"/>
        <v>n/a</v>
      </c>
      <c r="Q15" s="457" t="str">
        <f t="shared" si="6"/>
        <v>n/a</v>
      </c>
      <c r="R15" s="457" t="str">
        <f t="shared" si="7"/>
        <v>n/a</v>
      </c>
      <c r="S15" s="457" t="str">
        <f t="shared" si="8"/>
        <v>n/a</v>
      </c>
      <c r="T15" s="457" t="str">
        <f t="shared" si="9"/>
        <v>n/a</v>
      </c>
      <c r="U15" s="1525"/>
      <c r="V15" s="1510"/>
      <c r="W15" s="1525"/>
      <c r="X15" s="2060"/>
      <c r="Y15" s="2060"/>
      <c r="Z15" s="2060"/>
      <c r="AA15" s="400">
        <f>ROW('INC STAT Hist Input'!C15)</f>
        <v>15</v>
      </c>
      <c r="AB15" s="1525"/>
      <c r="AC15" s="1539" t="s">
        <v>904</v>
      </c>
      <c r="AD15" s="1525"/>
      <c r="AE15" s="1525"/>
      <c r="AF15" s="1003">
        <f t="shared" ref="AF15:AK15" si="14">ROUND(AF20-AF12-AF13-AF14,4)</f>
        <v>0</v>
      </c>
      <c r="AG15" s="1003">
        <f t="shared" si="14"/>
        <v>0</v>
      </c>
      <c r="AH15" s="1003">
        <f t="shared" si="14"/>
        <v>0</v>
      </c>
      <c r="AI15" s="1003">
        <f t="shared" si="14"/>
        <v>0</v>
      </c>
      <c r="AJ15" s="1003">
        <f t="shared" si="14"/>
        <v>0</v>
      </c>
      <c r="AK15" s="1003">
        <f t="shared" si="14"/>
        <v>0</v>
      </c>
      <c r="AL15" s="1003">
        <f>ROUND(AL20-AL12-AL13-AL14,4)</f>
        <v>0</v>
      </c>
      <c r="AM15" s="1525"/>
      <c r="AN15" s="1003">
        <f>ROUND(AN20-AN12-AN13-AN14,4)</f>
        <v>0</v>
      </c>
      <c r="AO15" s="1525"/>
    </row>
    <row r="16" spans="1:41" s="334" customFormat="1" ht="13.9">
      <c r="A16" s="1510" t="str">
        <f t="shared" si="1"/>
        <v>n</v>
      </c>
      <c r="B16" s="1510"/>
      <c r="C16" s="1539" t="s">
        <v>903</v>
      </c>
      <c r="D16" s="1531"/>
      <c r="E16" s="1531"/>
      <c r="F16" s="824">
        <f t="shared" si="12"/>
        <v>0</v>
      </c>
      <c r="G16" s="824">
        <f t="shared" si="13"/>
        <v>0</v>
      </c>
      <c r="H16" s="824">
        <f t="shared" si="13"/>
        <v>0</v>
      </c>
      <c r="I16" s="824">
        <f t="shared" si="13"/>
        <v>0</v>
      </c>
      <c r="J16" s="824">
        <f t="shared" si="13"/>
        <v>0</v>
      </c>
      <c r="K16" s="824">
        <f t="shared" si="13"/>
        <v>0</v>
      </c>
      <c r="L16" s="824">
        <f t="shared" si="13"/>
        <v>0</v>
      </c>
      <c r="M16" s="2060"/>
      <c r="N16" s="457" t="str">
        <f t="shared" si="3"/>
        <v>n/a</v>
      </c>
      <c r="O16" s="457" t="str">
        <f t="shared" si="4"/>
        <v>n/a</v>
      </c>
      <c r="P16" s="457" t="str">
        <f t="shared" si="5"/>
        <v>n/a</v>
      </c>
      <c r="Q16" s="457" t="str">
        <f t="shared" si="6"/>
        <v>n/a</v>
      </c>
      <c r="R16" s="457" t="str">
        <f t="shared" si="7"/>
        <v>n/a</v>
      </c>
      <c r="S16" s="457" t="str">
        <f t="shared" si="8"/>
        <v>n/a</v>
      </c>
      <c r="T16" s="457" t="str">
        <f t="shared" si="9"/>
        <v>n/a</v>
      </c>
      <c r="U16" s="1525"/>
      <c r="V16" s="1510"/>
      <c r="W16" s="1525"/>
      <c r="X16" s="2060"/>
      <c r="Y16" s="2060"/>
      <c r="Z16" s="2060"/>
      <c r="AA16" s="400">
        <f>ROW('INC STAT Hist Input'!C16)</f>
        <v>16</v>
      </c>
      <c r="AB16" s="1525"/>
      <c r="AC16" s="1539"/>
      <c r="AD16" s="1525"/>
      <c r="AE16" s="1525"/>
      <c r="AF16" s="2060"/>
      <c r="AG16" s="2060"/>
      <c r="AH16" s="2060"/>
      <c r="AI16" s="2060"/>
      <c r="AJ16" s="2060"/>
      <c r="AK16" s="2060"/>
      <c r="AL16" s="2060"/>
      <c r="AM16" s="1525"/>
      <c r="AN16" s="2060"/>
      <c r="AO16" s="1525"/>
    </row>
    <row r="17" spans="1:41" s="334" customFormat="1" ht="13.9">
      <c r="A17" s="1510" t="str">
        <f t="shared" si="1"/>
        <v>n</v>
      </c>
      <c r="B17" s="1510"/>
      <c r="C17" s="1539" t="s">
        <v>903</v>
      </c>
      <c r="D17" s="1531"/>
      <c r="E17" s="1531"/>
      <c r="F17" s="824">
        <f t="shared" si="12"/>
        <v>0</v>
      </c>
      <c r="G17" s="824">
        <f t="shared" si="13"/>
        <v>0</v>
      </c>
      <c r="H17" s="824">
        <f t="shared" si="13"/>
        <v>0</v>
      </c>
      <c r="I17" s="824">
        <f t="shared" si="13"/>
        <v>0</v>
      </c>
      <c r="J17" s="824">
        <f t="shared" si="13"/>
        <v>0</v>
      </c>
      <c r="K17" s="824">
        <f t="shared" si="13"/>
        <v>0</v>
      </c>
      <c r="L17" s="824">
        <f t="shared" si="13"/>
        <v>0</v>
      </c>
      <c r="M17" s="2060"/>
      <c r="N17" s="457" t="str">
        <f t="shared" si="3"/>
        <v>n/a</v>
      </c>
      <c r="O17" s="457" t="str">
        <f t="shared" si="4"/>
        <v>n/a</v>
      </c>
      <c r="P17" s="457" t="str">
        <f t="shared" si="5"/>
        <v>n/a</v>
      </c>
      <c r="Q17" s="457" t="str">
        <f t="shared" si="6"/>
        <v>n/a</v>
      </c>
      <c r="R17" s="457" t="str">
        <f t="shared" si="7"/>
        <v>n/a</v>
      </c>
      <c r="S17" s="457" t="str">
        <f t="shared" si="8"/>
        <v>n/a</v>
      </c>
      <c r="T17" s="457" t="str">
        <f t="shared" si="9"/>
        <v>n/a</v>
      </c>
      <c r="U17" s="1525"/>
      <c r="V17" s="1510"/>
      <c r="W17" s="1525"/>
      <c r="X17" s="2060"/>
      <c r="Y17" s="2060"/>
      <c r="Z17" s="2060"/>
      <c r="AA17" s="400">
        <f>ROW('INC STAT Hist Input'!C17)</f>
        <v>17</v>
      </c>
      <c r="AB17" s="1525"/>
      <c r="AC17" s="1539"/>
      <c r="AD17" s="1525"/>
      <c r="AE17" s="1525"/>
      <c r="AF17" s="2060"/>
      <c r="AG17" s="2060"/>
      <c r="AH17" s="2060"/>
      <c r="AI17" s="2060"/>
      <c r="AJ17" s="2060"/>
      <c r="AK17" s="2060"/>
      <c r="AL17" s="2060"/>
      <c r="AM17" s="1525"/>
      <c r="AN17" s="2060"/>
      <c r="AO17" s="1525"/>
    </row>
    <row r="18" spans="1:41" s="334" customFormat="1" ht="13.9">
      <c r="A18" s="1510" t="str">
        <f t="shared" si="1"/>
        <v>n</v>
      </c>
      <c r="B18" s="1510"/>
      <c r="C18" s="1539" t="s">
        <v>903</v>
      </c>
      <c r="D18" s="1531"/>
      <c r="E18" s="1531"/>
      <c r="F18" s="824">
        <f t="shared" si="12"/>
        <v>0</v>
      </c>
      <c r="G18" s="824">
        <f t="shared" si="13"/>
        <v>0</v>
      </c>
      <c r="H18" s="824">
        <f t="shared" si="13"/>
        <v>0</v>
      </c>
      <c r="I18" s="824">
        <f t="shared" si="13"/>
        <v>0</v>
      </c>
      <c r="J18" s="824">
        <f t="shared" si="13"/>
        <v>0</v>
      </c>
      <c r="K18" s="824">
        <f t="shared" si="13"/>
        <v>0</v>
      </c>
      <c r="L18" s="824">
        <f t="shared" si="13"/>
        <v>0</v>
      </c>
      <c r="M18" s="2060"/>
      <c r="N18" s="457" t="str">
        <f t="shared" si="3"/>
        <v>n/a</v>
      </c>
      <c r="O18" s="457" t="str">
        <f t="shared" si="4"/>
        <v>n/a</v>
      </c>
      <c r="P18" s="457" t="str">
        <f t="shared" si="5"/>
        <v>n/a</v>
      </c>
      <c r="Q18" s="457" t="str">
        <f t="shared" si="6"/>
        <v>n/a</v>
      </c>
      <c r="R18" s="457" t="str">
        <f t="shared" si="7"/>
        <v>n/a</v>
      </c>
      <c r="S18" s="457" t="str">
        <f t="shared" si="8"/>
        <v>n/a</v>
      </c>
      <c r="T18" s="457" t="str">
        <f t="shared" si="9"/>
        <v>n/a</v>
      </c>
      <c r="U18" s="1525"/>
      <c r="V18" s="1510"/>
      <c r="W18" s="1525"/>
      <c r="X18" s="2060"/>
      <c r="Y18" s="2060"/>
      <c r="Z18" s="2060"/>
      <c r="AA18" s="400">
        <f>ROW('INC STAT Hist Input'!C18)</f>
        <v>18</v>
      </c>
      <c r="AB18" s="1525"/>
      <c r="AC18" s="1539"/>
      <c r="AD18" s="1525"/>
      <c r="AE18" s="1525"/>
      <c r="AF18" s="2060"/>
      <c r="AG18" s="2060"/>
      <c r="AH18" s="2060"/>
      <c r="AI18" s="2060"/>
      <c r="AJ18" s="2060"/>
      <c r="AK18" s="2060"/>
      <c r="AL18" s="2060"/>
      <c r="AM18" s="1525"/>
      <c r="AN18" s="2060"/>
      <c r="AO18" s="1525"/>
    </row>
    <row r="19" spans="1:41" ht="13.9">
      <c r="A19" s="1510" t="str">
        <f t="shared" si="1"/>
        <v>n</v>
      </c>
      <c r="B19" s="1510"/>
      <c r="C19" s="1539" t="s">
        <v>903</v>
      </c>
      <c r="D19" s="1531"/>
      <c r="E19" s="1531"/>
      <c r="F19" s="824">
        <f t="shared" si="12"/>
        <v>0</v>
      </c>
      <c r="G19" s="824">
        <f t="shared" si="13"/>
        <v>0</v>
      </c>
      <c r="H19" s="824">
        <f t="shared" si="13"/>
        <v>0</v>
      </c>
      <c r="I19" s="824">
        <f t="shared" si="13"/>
        <v>0</v>
      </c>
      <c r="J19" s="824">
        <f t="shared" si="13"/>
        <v>0</v>
      </c>
      <c r="K19" s="824">
        <f t="shared" si="13"/>
        <v>0</v>
      </c>
      <c r="L19" s="824">
        <f t="shared" si="13"/>
        <v>0</v>
      </c>
      <c r="M19" s="2060"/>
      <c r="N19" s="457" t="str">
        <f t="shared" si="3"/>
        <v>n/a</v>
      </c>
      <c r="O19" s="457" t="str">
        <f t="shared" si="4"/>
        <v>n/a</v>
      </c>
      <c r="P19" s="457" t="str">
        <f t="shared" si="5"/>
        <v>n/a</v>
      </c>
      <c r="Q19" s="457" t="str">
        <f t="shared" si="6"/>
        <v>n/a</v>
      </c>
      <c r="R19" s="457" t="str">
        <f t="shared" si="7"/>
        <v>n/a</v>
      </c>
      <c r="S19" s="457" t="str">
        <f t="shared" si="8"/>
        <v>n/a</v>
      </c>
      <c r="T19" s="457" t="str">
        <f t="shared" si="9"/>
        <v>n/a</v>
      </c>
      <c r="U19" s="1525"/>
      <c r="V19" s="1510"/>
      <c r="W19" s="1525"/>
      <c r="X19" s="2060"/>
      <c r="Y19" s="2060"/>
      <c r="Z19" s="2060"/>
      <c r="AA19" s="400">
        <f>ROW('INC STAT Hist Input'!C19)</f>
        <v>19</v>
      </c>
      <c r="AB19" s="1525"/>
      <c r="AC19" s="1525"/>
      <c r="AD19" s="1525"/>
      <c r="AE19" s="1525"/>
      <c r="AF19" s="2060"/>
      <c r="AG19" s="2060"/>
      <c r="AH19" s="2060"/>
      <c r="AI19" s="2060"/>
      <c r="AJ19" s="2060"/>
      <c r="AK19" s="2060"/>
      <c r="AL19" s="2060"/>
      <c r="AM19" s="1525"/>
      <c r="AN19" s="2060"/>
      <c r="AO19" s="1525"/>
    </row>
    <row r="20" spans="1:41" ht="13.9">
      <c r="A20" s="1510" t="str">
        <f t="shared" si="1"/>
        <v>n</v>
      </c>
      <c r="B20" s="1040" t="str">
        <f>IF(SubjCoID="","",IF(ROUND(SUM(F20:K20)-SUM(AF20:AK20),0)=0,"",Fail))</f>
        <v/>
      </c>
      <c r="C20" s="812" t="s">
        <v>247</v>
      </c>
      <c r="D20" s="298"/>
      <c r="E20" s="298"/>
      <c r="F20" s="974">
        <f>SUM(F12:F19)</f>
        <v>0</v>
      </c>
      <c r="G20" s="974">
        <f t="shared" ref="G20:L20" si="15">SUM(G12:G19)</f>
        <v>0</v>
      </c>
      <c r="H20" s="974">
        <f t="shared" si="15"/>
        <v>0</v>
      </c>
      <c r="I20" s="974">
        <f t="shared" si="15"/>
        <v>0</v>
      </c>
      <c r="J20" s="974">
        <f t="shared" si="15"/>
        <v>0</v>
      </c>
      <c r="K20" s="974">
        <f t="shared" si="15"/>
        <v>0</v>
      </c>
      <c r="L20" s="974">
        <f t="shared" si="15"/>
        <v>0</v>
      </c>
      <c r="M20" s="2060"/>
      <c r="N20" s="1692" t="str">
        <f t="shared" si="3"/>
        <v>n/a</v>
      </c>
      <c r="O20" s="1692" t="str">
        <f t="shared" si="4"/>
        <v>n/a</v>
      </c>
      <c r="P20" s="1692" t="str">
        <f t="shared" si="5"/>
        <v>n/a</v>
      </c>
      <c r="Q20" s="1692" t="str">
        <f t="shared" si="6"/>
        <v>n/a</v>
      </c>
      <c r="R20" s="1692" t="str">
        <f t="shared" si="7"/>
        <v>n/a</v>
      </c>
      <c r="S20" s="1692" t="str">
        <f t="shared" si="8"/>
        <v>n/a</v>
      </c>
      <c r="T20" s="1692" t="str">
        <f t="shared" si="9"/>
        <v>n/a</v>
      </c>
      <c r="U20" s="1525"/>
      <c r="V20" s="1510"/>
      <c r="W20" s="1525"/>
      <c r="X20" s="2060"/>
      <c r="Y20" s="2060"/>
      <c r="Z20" s="2060"/>
      <c r="AA20" s="400"/>
      <c r="AB20" s="1525" t="s">
        <v>905</v>
      </c>
      <c r="AC20" s="812" t="s">
        <v>247</v>
      </c>
      <c r="AD20" s="360"/>
      <c r="AE20" s="360"/>
      <c r="AF20" s="1005">
        <f>IFERROR(IF(Public,_xll.ciqfunctions.udf.CIQ(SubjCoID,$AB20,AF$8,Valuation_date, ReportType,DataMode,SubjOutputCurrencyCode,FXMode)*Scale,0),0)</f>
        <v>0</v>
      </c>
      <c r="AG20" s="1005">
        <f>IFERROR(IF(Public,_xll.ciqfunctions.udf.CIQ(SubjCoID,$AB20,AG$8,Valuation_date, ReportType,DataMode,SubjOutputCurrencyCode,FXMode)*Scale,0),0)</f>
        <v>0</v>
      </c>
      <c r="AH20" s="1005">
        <f>IFERROR(IF(Public,_xll.ciqfunctions.udf.CIQ(SubjCoID,$AB20,AH$8,Valuation_date, ReportType,DataMode,SubjOutputCurrencyCode,FXMode)*Scale,0),0)</f>
        <v>0</v>
      </c>
      <c r="AI20" s="1005">
        <f>IFERROR(IF(Public,_xll.ciqfunctions.udf.CIQ(SubjCoID,$AB20,AI$8,Valuation_date, ReportType,DataMode,SubjOutputCurrencyCode,FXMode)*Scale,0),0)</f>
        <v>0</v>
      </c>
      <c r="AJ20" s="1005">
        <f>IFERROR(IF(Public,_xll.ciqfunctions.udf.CIQ(SubjCoID,$AB20,AJ$8,Valuation_date, ReportType,DataMode,SubjOutputCurrencyCode,FXMode)*Scale,0),0)</f>
        <v>0</v>
      </c>
      <c r="AK20" s="1005">
        <f>IFERROR(IF(Public,_xll.ciqfunctions.udf.CIQ(SubjCoID,$AB20,AK$8,Valuation_date, ReportType,DataMode,SubjOutputCurrencyCode,FXMode)*Scale,0),0)</f>
        <v>0</v>
      </c>
      <c r="AL20" s="1005">
        <f>IFERROR(IF(Public,_xll.ciqfunctions.udf.CIQ(SubjCoID,$AB20,AL$8,Valuation_date, ReportType,DataMode,SubjOutputCurrencyCode,FXMode)*Scale,0),0)</f>
        <v>0</v>
      </c>
      <c r="AM20" s="1525"/>
      <c r="AN20" s="1005">
        <f>IFERROR(IF(Public,_xll.ciqfunctions.udf.CIQ(SubjCoID,$AB20,AN$8,Valuation_date, ReportType,DataMode,SubjOutputCurrencyCode,FXMode)*Scale,0),0)</f>
        <v>0</v>
      </c>
      <c r="AO20" s="1369" t="str">
        <f>IFERROR(AK20/AN20-1,"n/a")</f>
        <v>n/a</v>
      </c>
    </row>
    <row r="21" spans="1:41" s="334" customFormat="1" ht="13.9">
      <c r="A21" s="1510" t="str">
        <f t="shared" si="1"/>
        <v>n</v>
      </c>
      <c r="B21" s="1510"/>
      <c r="C21" s="813" t="s">
        <v>202</v>
      </c>
      <c r="D21" s="289"/>
      <c r="E21" s="289"/>
      <c r="F21" s="824">
        <f>AF21</f>
        <v>0</v>
      </c>
      <c r="G21" s="824">
        <f t="shared" ref="G21:L22" si="16">AG21</f>
        <v>0</v>
      </c>
      <c r="H21" s="824">
        <f t="shared" si="16"/>
        <v>0</v>
      </c>
      <c r="I21" s="824">
        <f t="shared" si="16"/>
        <v>0</v>
      </c>
      <c r="J21" s="824">
        <f t="shared" si="16"/>
        <v>0</v>
      </c>
      <c r="K21" s="824">
        <f t="shared" si="16"/>
        <v>0</v>
      </c>
      <c r="L21" s="824">
        <f t="shared" si="16"/>
        <v>0</v>
      </c>
      <c r="M21" s="2060"/>
      <c r="N21" s="457" t="str">
        <f t="shared" si="3"/>
        <v>n/a</v>
      </c>
      <c r="O21" s="457" t="str">
        <f t="shared" si="4"/>
        <v>n/a</v>
      </c>
      <c r="P21" s="457" t="str">
        <f t="shared" si="5"/>
        <v>n/a</v>
      </c>
      <c r="Q21" s="457" t="str">
        <f t="shared" si="6"/>
        <v>n/a</v>
      </c>
      <c r="R21" s="457" t="str">
        <f t="shared" si="7"/>
        <v>n/a</v>
      </c>
      <c r="S21" s="457" t="str">
        <f t="shared" si="8"/>
        <v>n/a</v>
      </c>
      <c r="T21" s="457" t="str">
        <f t="shared" si="9"/>
        <v>n/a</v>
      </c>
      <c r="U21" s="1525"/>
      <c r="V21" s="1510"/>
      <c r="W21" s="1525"/>
      <c r="X21" s="2060"/>
      <c r="Y21" s="2060"/>
      <c r="Z21" s="2060"/>
      <c r="AA21" s="400">
        <f>ROW('INC STAT Hist Input'!C21)</f>
        <v>21</v>
      </c>
      <c r="AB21" s="89" t="s">
        <v>811</v>
      </c>
      <c r="AC21" s="813" t="s">
        <v>202</v>
      </c>
      <c r="AD21" s="1525"/>
      <c r="AE21" s="1525"/>
      <c r="AF21" s="2060">
        <f>IFERROR(IF(Public,-_xll.ciqfunctions.udf.CIQ(SubjCoID,$AB21,AF$8,Valuation_date, ReportType,DataMode,SubjOutputCurrencyCode,FXMode)*Scale,0),0)</f>
        <v>0</v>
      </c>
      <c r="AG21" s="2060">
        <f>IFERROR(IF(Public,-_xll.ciqfunctions.udf.CIQ(SubjCoID,$AB21,AG$8,Valuation_date, ReportType,DataMode,SubjOutputCurrencyCode,FXMode)*Scale,0),0)</f>
        <v>0</v>
      </c>
      <c r="AH21" s="2060">
        <f>IFERROR(IF(Public,-_xll.ciqfunctions.udf.CIQ(SubjCoID,$AB21,AH$8,Valuation_date, ReportType,DataMode,SubjOutputCurrencyCode,FXMode)*Scale,0),0)</f>
        <v>0</v>
      </c>
      <c r="AI21" s="2060">
        <f>IFERROR(IF(Public,-_xll.ciqfunctions.udf.CIQ(SubjCoID,$AB21,AI$8,Valuation_date, ReportType,DataMode,SubjOutputCurrencyCode,FXMode)*Scale,0),0)</f>
        <v>0</v>
      </c>
      <c r="AJ21" s="2060">
        <f>IFERROR(IF(Public,-_xll.ciqfunctions.udf.CIQ(SubjCoID,$AB21,AJ$8,Valuation_date, ReportType,DataMode,SubjOutputCurrencyCode,FXMode)*Scale,0),0)</f>
        <v>0</v>
      </c>
      <c r="AK21" s="2060">
        <f>IFERROR(IF(Public,-_xll.ciqfunctions.udf.CIQ(SubjCoID,$AB21,AK$8,Valuation_date, ReportType,DataMode,SubjOutputCurrencyCode,FXMode)*Scale,0),0)</f>
        <v>0</v>
      </c>
      <c r="AL21" s="2060">
        <f>IFERROR(IF(Public,-_xll.ciqfunctions.udf.CIQ(SubjCoID,$AB21,AL$8,Valuation_date, ReportType,DataMode,SubjOutputCurrencyCode,FXMode)*Scale,0),0)</f>
        <v>0</v>
      </c>
      <c r="AM21" s="1525"/>
      <c r="AN21" s="2060">
        <f>IFERROR(IF(Public,-_xll.ciqfunctions.udf.CIQ(SubjCoID,$AB21,AN$8,Valuation_date, ReportType,DataMode,SubjOutputCurrencyCode,FXMode)*Scale,0),0)</f>
        <v>0</v>
      </c>
      <c r="AO21" s="1525"/>
    </row>
    <row r="22" spans="1:41" s="334" customFormat="1" ht="13.9">
      <c r="A22" s="1510" t="str">
        <f t="shared" si="1"/>
        <v>n</v>
      </c>
      <c r="B22" s="1510"/>
      <c r="C22" s="814" t="s">
        <v>88</v>
      </c>
      <c r="D22" s="299"/>
      <c r="E22" s="299"/>
      <c r="F22" s="824">
        <f>AF22</f>
        <v>0</v>
      </c>
      <c r="G22" s="824">
        <f t="shared" si="16"/>
        <v>0</v>
      </c>
      <c r="H22" s="824">
        <f t="shared" si="16"/>
        <v>0</v>
      </c>
      <c r="I22" s="824">
        <f t="shared" si="16"/>
        <v>0</v>
      </c>
      <c r="J22" s="824">
        <f t="shared" si="16"/>
        <v>0</v>
      </c>
      <c r="K22" s="824">
        <f t="shared" si="16"/>
        <v>0</v>
      </c>
      <c r="L22" s="824">
        <f t="shared" si="16"/>
        <v>0</v>
      </c>
      <c r="M22" s="2060"/>
      <c r="N22" s="457" t="str">
        <f t="shared" si="3"/>
        <v>n/a</v>
      </c>
      <c r="O22" s="457" t="str">
        <f t="shared" si="4"/>
        <v>n/a</v>
      </c>
      <c r="P22" s="457" t="str">
        <f t="shared" si="5"/>
        <v>n/a</v>
      </c>
      <c r="Q22" s="457" t="str">
        <f t="shared" si="6"/>
        <v>n/a</v>
      </c>
      <c r="R22" s="457" t="str">
        <f t="shared" si="7"/>
        <v>n/a</v>
      </c>
      <c r="S22" s="457" t="str">
        <f t="shared" si="8"/>
        <v>n/a</v>
      </c>
      <c r="T22" s="457" t="str">
        <f t="shared" si="9"/>
        <v>n/a</v>
      </c>
      <c r="U22" s="1525"/>
      <c r="V22" s="1510"/>
      <c r="W22" s="1525"/>
      <c r="X22" s="2060"/>
      <c r="Y22" s="2060"/>
      <c r="Z22" s="2060"/>
      <c r="AA22" s="400">
        <f>ROW('INC STAT Hist Input'!C22)</f>
        <v>22</v>
      </c>
      <c r="AB22" s="1525" t="s">
        <v>906</v>
      </c>
      <c r="AC22" s="814" t="s">
        <v>88</v>
      </c>
      <c r="AD22" s="1525"/>
      <c r="AE22" s="1525"/>
      <c r="AF22" s="2060">
        <f>IFERROR(IF(Public,-_xll.ciqfunctions.udf.CIQ(SubjCoID,$AB22,AF$8,Valuation_date, ReportType,DataMode,SubjOutputCurrencyCode,FXMode)*Scale,0),0)</f>
        <v>0</v>
      </c>
      <c r="AG22" s="2060">
        <f>IFERROR(IF(Public,-_xll.ciqfunctions.udf.CIQ(SubjCoID,$AB22,AG$8,Valuation_date, ReportType,DataMode,SubjOutputCurrencyCode,FXMode)*Scale,0),0)</f>
        <v>0</v>
      </c>
      <c r="AH22" s="2060">
        <f>IFERROR(IF(Public,-_xll.ciqfunctions.udf.CIQ(SubjCoID,$AB22,AH$8,Valuation_date, ReportType,DataMode,SubjOutputCurrencyCode,FXMode)*Scale,0),0)</f>
        <v>0</v>
      </c>
      <c r="AI22" s="2060">
        <f>IFERROR(IF(Public,-_xll.ciqfunctions.udf.CIQ(SubjCoID,$AB22,AI$8,Valuation_date, ReportType,DataMode,SubjOutputCurrencyCode,FXMode)*Scale,0),0)</f>
        <v>0</v>
      </c>
      <c r="AJ22" s="2060">
        <f>IFERROR(IF(Public,-_xll.ciqfunctions.udf.CIQ(SubjCoID,$AB22,AJ$8,Valuation_date, ReportType,DataMode,SubjOutputCurrencyCode,FXMode)*Scale,0),0)</f>
        <v>0</v>
      </c>
      <c r="AK22" s="2060">
        <f>IFERROR(IF(Public,-_xll.ciqfunctions.udf.CIQ(SubjCoID,$AB22,AK$8,Valuation_date, ReportType,DataMode,SubjOutputCurrencyCode,FXMode)*Scale,0),0)</f>
        <v>0</v>
      </c>
      <c r="AL22" s="2060">
        <f>IFERROR(IF(Public,-_xll.ciqfunctions.udf.CIQ(SubjCoID,$AB22,AL$8,Valuation_date, ReportType,DataMode,SubjOutputCurrencyCode,FXMode)*Scale,0),0)</f>
        <v>0</v>
      </c>
      <c r="AM22" s="1525"/>
      <c r="AN22" s="2060">
        <f>IFERROR(IF(Public,-_xll.ciqfunctions.udf.CIQ(SubjCoID,$AB22,AN$8,Valuation_date, ReportType,DataMode,SubjOutputCurrencyCode,FXMode)*Scale,0),0)</f>
        <v>0</v>
      </c>
      <c r="AO22" s="1525"/>
    </row>
    <row r="23" spans="1:41" ht="13.9">
      <c r="A23" s="1510" t="str">
        <f t="shared" si="1"/>
        <v>n</v>
      </c>
      <c r="B23" s="1040" t="str">
        <f>IF(SubjCoID="","",IF(ROUND(SUM(F23:K23)-SUM(AF23:AK23),0)=0,"",Fail))</f>
        <v/>
      </c>
      <c r="C23" s="812" t="s">
        <v>211</v>
      </c>
      <c r="D23" s="298"/>
      <c r="E23" s="298"/>
      <c r="F23" s="974">
        <f>SUM(F20:F22)</f>
        <v>0</v>
      </c>
      <c r="G23" s="974">
        <f t="shared" ref="G23:L23" si="17">SUM(G20:G22)</f>
        <v>0</v>
      </c>
      <c r="H23" s="974">
        <f t="shared" si="17"/>
        <v>0</v>
      </c>
      <c r="I23" s="974">
        <f t="shared" si="17"/>
        <v>0</v>
      </c>
      <c r="J23" s="974">
        <f t="shared" si="17"/>
        <v>0</v>
      </c>
      <c r="K23" s="974">
        <f t="shared" si="17"/>
        <v>0</v>
      </c>
      <c r="L23" s="974">
        <f t="shared" si="17"/>
        <v>0</v>
      </c>
      <c r="M23" s="2060"/>
      <c r="N23" s="1692" t="str">
        <f t="shared" si="3"/>
        <v>n/a</v>
      </c>
      <c r="O23" s="1692" t="str">
        <f t="shared" si="4"/>
        <v>n/a</v>
      </c>
      <c r="P23" s="1692" t="str">
        <f t="shared" si="5"/>
        <v>n/a</v>
      </c>
      <c r="Q23" s="1692" t="str">
        <f t="shared" si="6"/>
        <v>n/a</v>
      </c>
      <c r="R23" s="1692" t="str">
        <f t="shared" si="7"/>
        <v>n/a</v>
      </c>
      <c r="S23" s="1692" t="str">
        <f t="shared" si="8"/>
        <v>n/a</v>
      </c>
      <c r="T23" s="1692" t="str">
        <f t="shared" si="9"/>
        <v>n/a</v>
      </c>
      <c r="U23" s="1525"/>
      <c r="V23" s="1510"/>
      <c r="W23" s="1525"/>
      <c r="X23" s="2060"/>
      <c r="Y23" s="2060"/>
      <c r="Z23" s="2060"/>
      <c r="AA23" s="400"/>
      <c r="AB23" s="1525" t="s">
        <v>810</v>
      </c>
      <c r="AC23" s="812" t="s">
        <v>211</v>
      </c>
      <c r="AD23" s="360"/>
      <c r="AE23" s="360"/>
      <c r="AF23" s="1005">
        <f>IFERROR(IF(Public,_xll.ciqfunctions.udf.CIQ(SubjCoID,$AB23,AF$8,Valuation_date, ReportType,DataMode,SubjOutputCurrencyCode,FXMode)*Scale,0),0)</f>
        <v>0</v>
      </c>
      <c r="AG23" s="1005">
        <f>IFERROR(IF(Public,_xll.ciqfunctions.udf.CIQ(SubjCoID,$AB23,AG$8,Valuation_date, ReportType,DataMode,SubjOutputCurrencyCode,FXMode)*Scale,0),0)</f>
        <v>0</v>
      </c>
      <c r="AH23" s="1005">
        <f>IFERROR(IF(Public,_xll.ciqfunctions.udf.CIQ(SubjCoID,$AB23,AH$8,Valuation_date, ReportType,DataMode,SubjOutputCurrencyCode,FXMode)*Scale,0),0)</f>
        <v>0</v>
      </c>
      <c r="AI23" s="1005">
        <f>IFERROR(IF(Public,_xll.ciqfunctions.udf.CIQ(SubjCoID,$AB23,AI$8,Valuation_date, ReportType,DataMode,SubjOutputCurrencyCode,FXMode)*Scale,0),0)</f>
        <v>0</v>
      </c>
      <c r="AJ23" s="1005">
        <f>IFERROR(IF(Public,_xll.ciqfunctions.udf.CIQ(SubjCoID,$AB23,AJ$8,Valuation_date, ReportType,DataMode,SubjOutputCurrencyCode,FXMode)*Scale,0),0)</f>
        <v>0</v>
      </c>
      <c r="AK23" s="1005">
        <f>IFERROR(IF(Public,_xll.ciqfunctions.udf.CIQ(SubjCoID,$AB23,AK$8,Valuation_date, ReportType,DataMode,SubjOutputCurrencyCode,FXMode)*Scale,0),0)</f>
        <v>0</v>
      </c>
      <c r="AL23" s="1005">
        <f>IFERROR(IF(Public,_xll.ciqfunctions.udf.CIQ(SubjCoID,$AB23,AL$8,Valuation_date, ReportType,DataMode,SubjOutputCurrencyCode,FXMode)*Scale,0),0)</f>
        <v>0</v>
      </c>
      <c r="AM23" s="1525"/>
      <c r="AN23" s="1005">
        <f>IFERROR(IF(Public,_xll.ciqfunctions.udf.CIQ(SubjCoID,$AB23,AN$8,Valuation_date, ReportType,DataMode,SubjOutputCurrencyCode,FXMode)*Scale,0),0)</f>
        <v>0</v>
      </c>
      <c r="AO23" s="1369" t="str">
        <f>IFERROR(AK23/AN23-1,"n/a")</f>
        <v>n/a</v>
      </c>
    </row>
    <row r="24" spans="1:41" s="334" customFormat="1" ht="13.9">
      <c r="A24" s="1510" t="str">
        <f t="shared" si="1"/>
        <v>n</v>
      </c>
      <c r="B24" s="1510"/>
      <c r="C24" s="815" t="s">
        <v>907</v>
      </c>
      <c r="D24" s="331"/>
      <c r="E24" s="315"/>
      <c r="F24" s="824">
        <f>AF24</f>
        <v>0</v>
      </c>
      <c r="G24" s="824">
        <f t="shared" ref="G24:L26" si="18">AG24</f>
        <v>0</v>
      </c>
      <c r="H24" s="824">
        <f t="shared" si="18"/>
        <v>0</v>
      </c>
      <c r="I24" s="824">
        <f t="shared" si="18"/>
        <v>0</v>
      </c>
      <c r="J24" s="824">
        <f t="shared" si="18"/>
        <v>0</v>
      </c>
      <c r="K24" s="824">
        <f t="shared" si="18"/>
        <v>0</v>
      </c>
      <c r="L24" s="824">
        <f t="shared" si="18"/>
        <v>0</v>
      </c>
      <c r="M24" s="2060"/>
      <c r="N24" s="457" t="str">
        <f t="shared" si="3"/>
        <v>n/a</v>
      </c>
      <c r="O24" s="457" t="str">
        <f t="shared" si="4"/>
        <v>n/a</v>
      </c>
      <c r="P24" s="457" t="str">
        <f t="shared" si="5"/>
        <v>n/a</v>
      </c>
      <c r="Q24" s="457" t="str">
        <f t="shared" si="6"/>
        <v>n/a</v>
      </c>
      <c r="R24" s="457" t="str">
        <f t="shared" si="7"/>
        <v>n/a</v>
      </c>
      <c r="S24" s="457" t="str">
        <f t="shared" si="8"/>
        <v>n/a</v>
      </c>
      <c r="T24" s="457" t="str">
        <f t="shared" si="9"/>
        <v>n/a</v>
      </c>
      <c r="U24" s="1525"/>
      <c r="V24" s="1510"/>
      <c r="W24" s="1525"/>
      <c r="X24" s="2060"/>
      <c r="Y24" s="2060"/>
      <c r="Z24" s="2060"/>
      <c r="AA24" s="400">
        <f>ROW('INC STAT Hist Input'!C24)</f>
        <v>24</v>
      </c>
      <c r="AB24" s="972" t="s">
        <v>813</v>
      </c>
      <c r="AC24" s="815" t="s">
        <v>296</v>
      </c>
      <c r="AD24" s="1527"/>
      <c r="AE24" s="1527"/>
      <c r="AF24" s="2060">
        <f>IFERROR(IF(Public,_xll.ciqfunctions.udf.CIQ(SubjCoID,$AB24,AF$8,Valuation_date, ReportType,DataMode,SubjOutputCurrencyCode,FXMode)*Scale,0),0)</f>
        <v>0</v>
      </c>
      <c r="AG24" s="2060">
        <f>IFERROR(IF(Public,_xll.ciqfunctions.udf.CIQ(SubjCoID,$AB24,AG$8,Valuation_date, ReportType,DataMode,SubjOutputCurrencyCode,FXMode)*Scale,0),0)</f>
        <v>0</v>
      </c>
      <c r="AH24" s="2060">
        <f>IFERROR(IF(Public,_xll.ciqfunctions.udf.CIQ(SubjCoID,$AB24,AH$8,Valuation_date, ReportType,DataMode,SubjOutputCurrencyCode,FXMode)*Scale,0),0)</f>
        <v>0</v>
      </c>
      <c r="AI24" s="2060">
        <f>IFERROR(IF(Public,_xll.ciqfunctions.udf.CIQ(SubjCoID,$AB24,AI$8,Valuation_date, ReportType,DataMode,SubjOutputCurrencyCode,FXMode)*Scale,0),0)</f>
        <v>0</v>
      </c>
      <c r="AJ24" s="2060">
        <f>IFERROR(IF(Public,_xll.ciqfunctions.udf.CIQ(SubjCoID,$AB24,AJ$8,Valuation_date, ReportType,DataMode,SubjOutputCurrencyCode,FXMode)*Scale,0),0)</f>
        <v>0</v>
      </c>
      <c r="AK24" s="2060">
        <f>IFERROR(IF(Public,_xll.ciqfunctions.udf.CIQ(SubjCoID,$AB24,AK$8,Valuation_date, ReportType,DataMode,SubjOutputCurrencyCode,FXMode)*Scale,0),0)</f>
        <v>0</v>
      </c>
      <c r="AL24" s="2060">
        <f>IFERROR(IF(Public,_xll.ciqfunctions.udf.CIQ(SubjCoID,$AB24,AL$8,Valuation_date, ReportType,DataMode,SubjOutputCurrencyCode,FXMode)*Scale,0),0)</f>
        <v>0</v>
      </c>
      <c r="AM24" s="1525"/>
      <c r="AN24" s="2060">
        <f>IFERROR(IF(Public,_xll.ciqfunctions.udf.CIQ(SubjCoID,$AB24,AN$8,Valuation_date, ReportType,DataMode,SubjOutputCurrencyCode,FXMode)*Scale,0),0)</f>
        <v>0</v>
      </c>
      <c r="AO24" s="1525"/>
    </row>
    <row r="25" spans="1:41" s="334" customFormat="1" ht="13.9">
      <c r="A25" s="1510" t="str">
        <f t="shared" si="1"/>
        <v>n</v>
      </c>
      <c r="B25" s="1510"/>
      <c r="C25" s="815" t="s">
        <v>908</v>
      </c>
      <c r="D25" s="331"/>
      <c r="E25" s="315"/>
      <c r="F25" s="824">
        <f>AF25</f>
        <v>0</v>
      </c>
      <c r="G25" s="824">
        <f t="shared" si="18"/>
        <v>0</v>
      </c>
      <c r="H25" s="824">
        <f t="shared" si="18"/>
        <v>0</v>
      </c>
      <c r="I25" s="824">
        <f t="shared" si="18"/>
        <v>0</v>
      </c>
      <c r="J25" s="824">
        <f t="shared" si="18"/>
        <v>0</v>
      </c>
      <c r="K25" s="824">
        <f t="shared" si="18"/>
        <v>0</v>
      </c>
      <c r="L25" s="824">
        <f t="shared" si="18"/>
        <v>0</v>
      </c>
      <c r="M25" s="2060"/>
      <c r="N25" s="457" t="str">
        <f t="shared" si="3"/>
        <v>n/a</v>
      </c>
      <c r="O25" s="457" t="str">
        <f t="shared" si="4"/>
        <v>n/a</v>
      </c>
      <c r="P25" s="457" t="str">
        <f t="shared" si="5"/>
        <v>n/a</v>
      </c>
      <c r="Q25" s="457" t="str">
        <f t="shared" si="6"/>
        <v>n/a</v>
      </c>
      <c r="R25" s="457" t="str">
        <f t="shared" si="7"/>
        <v>n/a</v>
      </c>
      <c r="S25" s="457" t="str">
        <f t="shared" si="8"/>
        <v>n/a</v>
      </c>
      <c r="T25" s="457" t="str">
        <f t="shared" si="9"/>
        <v>n/a</v>
      </c>
      <c r="U25" s="1525"/>
      <c r="V25" s="1510"/>
      <c r="W25" s="1525"/>
      <c r="X25" s="2060"/>
      <c r="Y25" s="2060"/>
      <c r="Z25" s="2060"/>
      <c r="AA25" s="400">
        <f>ROW('INC STAT Hist Input'!C25)</f>
        <v>25</v>
      </c>
      <c r="AB25" s="972" t="s">
        <v>909</v>
      </c>
      <c r="AC25" s="815" t="s">
        <v>910</v>
      </c>
      <c r="AD25" s="1527"/>
      <c r="AE25" s="1527"/>
      <c r="AF25" s="2060">
        <f>IFERROR(IF(Public,_xll.ciqfunctions.udf.CIQ(SubjCoID,$AB25,AF$8,Valuation_date, ReportType,DataMode,SubjOutputCurrencyCode,FXMode)*Scale,0),0)</f>
        <v>0</v>
      </c>
      <c r="AG25" s="2060">
        <f>IFERROR(IF(Public,_xll.ciqfunctions.udf.CIQ(SubjCoID,$AB25,AG$8,Valuation_date, ReportType,DataMode,SubjOutputCurrencyCode,FXMode)*Scale,0),0)</f>
        <v>0</v>
      </c>
      <c r="AH25" s="2060">
        <f>IFERROR(IF(Public,_xll.ciqfunctions.udf.CIQ(SubjCoID,$AB25,AH$8,Valuation_date, ReportType,DataMode,SubjOutputCurrencyCode,FXMode)*Scale,0),0)</f>
        <v>0</v>
      </c>
      <c r="AI25" s="2060">
        <f>IFERROR(IF(Public,_xll.ciqfunctions.udf.CIQ(SubjCoID,$AB25,AI$8,Valuation_date, ReportType,DataMode,SubjOutputCurrencyCode,FXMode)*Scale,0),0)</f>
        <v>0</v>
      </c>
      <c r="AJ25" s="2060">
        <f>IFERROR(IF(Public,_xll.ciqfunctions.udf.CIQ(SubjCoID,$AB25,AJ$8,Valuation_date, ReportType,DataMode,SubjOutputCurrencyCode,FXMode)*Scale,0),0)</f>
        <v>0</v>
      </c>
      <c r="AK25" s="2060">
        <f>IFERROR(IF(Public,_xll.ciqfunctions.udf.CIQ(SubjCoID,$AB25,AK$8,Valuation_date, ReportType,DataMode,SubjOutputCurrencyCode,FXMode)*Scale,0),0)</f>
        <v>0</v>
      </c>
      <c r="AL25" s="2060">
        <f>IFERROR(IF(Public,_xll.ciqfunctions.udf.CIQ(SubjCoID,$AB25,AL$8,Valuation_date, ReportType,DataMode,SubjOutputCurrencyCode,FXMode)*Scale,0),0)</f>
        <v>0</v>
      </c>
      <c r="AM25" s="1525"/>
      <c r="AN25" s="2060">
        <f>IFERROR(IF(Public,_xll.ciqfunctions.udf.CIQ(SubjCoID,$AB25,AN$8,Valuation_date, ReportType,DataMode,SubjOutputCurrencyCode,FXMode)*Scale,0),0)</f>
        <v>0</v>
      </c>
      <c r="AO25" s="1525"/>
    </row>
    <row r="26" spans="1:41" s="334" customFormat="1" ht="13.9">
      <c r="A26" s="1510" t="str">
        <f t="shared" si="1"/>
        <v>n</v>
      </c>
      <c r="B26" s="1510"/>
      <c r="C26" s="815" t="s">
        <v>911</v>
      </c>
      <c r="D26" s="331"/>
      <c r="E26" s="315"/>
      <c r="F26" s="824">
        <f>AF26</f>
        <v>0</v>
      </c>
      <c r="G26" s="824">
        <f t="shared" si="18"/>
        <v>0</v>
      </c>
      <c r="H26" s="824">
        <f t="shared" si="18"/>
        <v>0</v>
      </c>
      <c r="I26" s="824">
        <f t="shared" si="18"/>
        <v>0</v>
      </c>
      <c r="J26" s="824">
        <f t="shared" si="18"/>
        <v>0</v>
      </c>
      <c r="K26" s="824">
        <f t="shared" si="18"/>
        <v>0</v>
      </c>
      <c r="L26" s="824">
        <f t="shared" si="18"/>
        <v>0</v>
      </c>
      <c r="M26" s="2060"/>
      <c r="N26" s="457" t="str">
        <f t="shared" si="3"/>
        <v>n/a</v>
      </c>
      <c r="O26" s="457" t="str">
        <f t="shared" si="4"/>
        <v>n/a</v>
      </c>
      <c r="P26" s="457" t="str">
        <f t="shared" si="5"/>
        <v>n/a</v>
      </c>
      <c r="Q26" s="457" t="str">
        <f t="shared" si="6"/>
        <v>n/a</v>
      </c>
      <c r="R26" s="457" t="str">
        <f t="shared" si="7"/>
        <v>n/a</v>
      </c>
      <c r="S26" s="457" t="str">
        <f t="shared" si="8"/>
        <v>n/a</v>
      </c>
      <c r="T26" s="457" t="str">
        <f t="shared" si="9"/>
        <v>n/a</v>
      </c>
      <c r="U26" s="1525"/>
      <c r="V26" s="1510"/>
      <c r="W26" s="1525"/>
      <c r="X26" s="2060"/>
      <c r="Y26" s="2060"/>
      <c r="Z26" s="2060"/>
      <c r="AA26" s="400">
        <f>ROW('INC STAT Hist Input'!C26)</f>
        <v>26</v>
      </c>
      <c r="AB26" s="89"/>
      <c r="AC26" s="815" t="s">
        <v>912</v>
      </c>
      <c r="AD26" s="1527"/>
      <c r="AE26" s="1527"/>
      <c r="AF26" s="1003">
        <f t="shared" ref="AF26:AL26" si="19">AF27-SUM(AF23:AF25)</f>
        <v>0</v>
      </c>
      <c r="AG26" s="1003">
        <f t="shared" si="19"/>
        <v>0</v>
      </c>
      <c r="AH26" s="1003">
        <f t="shared" si="19"/>
        <v>0</v>
      </c>
      <c r="AI26" s="1003">
        <f t="shared" si="19"/>
        <v>0</v>
      </c>
      <c r="AJ26" s="1003">
        <f t="shared" si="19"/>
        <v>0</v>
      </c>
      <c r="AK26" s="1003">
        <f t="shared" si="19"/>
        <v>0</v>
      </c>
      <c r="AL26" s="1003">
        <f t="shared" si="19"/>
        <v>0</v>
      </c>
      <c r="AM26" s="1525"/>
      <c r="AN26" s="1003">
        <f>AN27-SUM(AN23:AN25)</f>
        <v>0</v>
      </c>
      <c r="AO26" s="1525"/>
    </row>
    <row r="27" spans="1:41" s="334" customFormat="1" ht="13.9">
      <c r="A27" s="1510" t="str">
        <f t="shared" si="1"/>
        <v>n</v>
      </c>
      <c r="B27" s="1040" t="str">
        <f>IF(SubjCoID="","",IF(ROUND(SUM(F27:K27)-SUM(AF27:AK27),0)=0,"",Fail))</f>
        <v/>
      </c>
      <c r="C27" s="812" t="s">
        <v>913</v>
      </c>
      <c r="D27" s="976"/>
      <c r="E27" s="298"/>
      <c r="F27" s="974">
        <f>SUM(F23:F26)</f>
        <v>0</v>
      </c>
      <c r="G27" s="974">
        <f t="shared" ref="G27:L27" si="20">SUM(G23:G26)</f>
        <v>0</v>
      </c>
      <c r="H27" s="974">
        <f t="shared" si="20"/>
        <v>0</v>
      </c>
      <c r="I27" s="974">
        <f t="shared" si="20"/>
        <v>0</v>
      </c>
      <c r="J27" s="974">
        <f t="shared" si="20"/>
        <v>0</v>
      </c>
      <c r="K27" s="974">
        <f t="shared" si="20"/>
        <v>0</v>
      </c>
      <c r="L27" s="974">
        <f t="shared" si="20"/>
        <v>0</v>
      </c>
      <c r="M27" s="2060"/>
      <c r="N27" s="1692" t="str">
        <f t="shared" si="3"/>
        <v>n/a</v>
      </c>
      <c r="O27" s="1692" t="str">
        <f t="shared" si="4"/>
        <v>n/a</v>
      </c>
      <c r="P27" s="1692" t="str">
        <f t="shared" si="5"/>
        <v>n/a</v>
      </c>
      <c r="Q27" s="1692" t="str">
        <f t="shared" si="6"/>
        <v>n/a</v>
      </c>
      <c r="R27" s="1692" t="str">
        <f t="shared" si="7"/>
        <v>n/a</v>
      </c>
      <c r="S27" s="1692" t="str">
        <f t="shared" si="8"/>
        <v>n/a</v>
      </c>
      <c r="T27" s="1692" t="str">
        <f t="shared" si="9"/>
        <v>n/a</v>
      </c>
      <c r="U27" s="1525"/>
      <c r="V27" s="1510"/>
      <c r="W27" s="1525"/>
      <c r="X27" s="2060"/>
      <c r="Y27" s="2060"/>
      <c r="Z27" s="2060"/>
      <c r="AA27" s="400"/>
      <c r="AB27" s="312" t="s">
        <v>914</v>
      </c>
      <c r="AC27" s="812" t="s">
        <v>915</v>
      </c>
      <c r="AD27" s="300"/>
      <c r="AE27" s="300"/>
      <c r="AF27" s="1005">
        <f>IFERROR(IF(Public,_xll.ciqfunctions.udf.CIQ(SubjCoID,$AB27,AF$8,Valuation_date, ReportType,DataMode,SubjOutputCurrencyCode,FXMode)*Scale,0),0)</f>
        <v>0</v>
      </c>
      <c r="AG27" s="1005">
        <f>IFERROR(IF(Public,_xll.ciqfunctions.udf.CIQ(SubjCoID,$AB27,AG$8,Valuation_date, ReportType,DataMode,SubjOutputCurrencyCode,FXMode)*Scale,0),0)</f>
        <v>0</v>
      </c>
      <c r="AH27" s="1005">
        <f>IFERROR(IF(Public,_xll.ciqfunctions.udf.CIQ(SubjCoID,$AB27,AH$8,Valuation_date, ReportType,DataMode,SubjOutputCurrencyCode,FXMode)*Scale,0),0)</f>
        <v>0</v>
      </c>
      <c r="AI27" s="1005">
        <f>IFERROR(IF(Public,_xll.ciqfunctions.udf.CIQ(SubjCoID,$AB27,AI$8,Valuation_date, ReportType,DataMode,SubjOutputCurrencyCode,FXMode)*Scale,0),0)</f>
        <v>0</v>
      </c>
      <c r="AJ27" s="1005">
        <f>IFERROR(IF(Public,_xll.ciqfunctions.udf.CIQ(SubjCoID,$AB27,AJ$8,Valuation_date, ReportType,DataMode,SubjOutputCurrencyCode,FXMode)*Scale,0),0)</f>
        <v>0</v>
      </c>
      <c r="AK27" s="1005">
        <f>IFERROR(IF(Public,_xll.ciqfunctions.udf.CIQ(SubjCoID,$AB27,AK$8,Valuation_date, ReportType,DataMode,SubjOutputCurrencyCode,FXMode)*Scale,0),0)</f>
        <v>0</v>
      </c>
      <c r="AL27" s="1005">
        <f>IFERROR(IF(Public,_xll.ciqfunctions.udf.CIQ(SubjCoID,$AB27,AL$8,Valuation_date, ReportType,DataMode,SubjOutputCurrencyCode,FXMode)*Scale,0),0)</f>
        <v>0</v>
      </c>
      <c r="AM27" s="1525"/>
      <c r="AN27" s="1005">
        <f>IFERROR(IF(Public,_xll.ciqfunctions.udf.CIQ(SubjCoID,$AB27,AN$8,Valuation_date, ReportType,DataMode,SubjOutputCurrencyCode,FXMode)*Scale,0),0)</f>
        <v>0</v>
      </c>
      <c r="AO27" s="1525"/>
    </row>
    <row r="28" spans="1:41" s="334" customFormat="1" ht="13.9">
      <c r="A28" s="1510" t="str">
        <f t="shared" si="1"/>
        <v>n</v>
      </c>
      <c r="B28" s="1510"/>
      <c r="C28" s="815" t="s">
        <v>916</v>
      </c>
      <c r="D28" s="331"/>
      <c r="E28" s="315"/>
      <c r="F28" s="824">
        <f>AF28</f>
        <v>0</v>
      </c>
      <c r="G28" s="824">
        <f t="shared" ref="G28:L28" si="21">AG28</f>
        <v>0</v>
      </c>
      <c r="H28" s="824">
        <f t="shared" si="21"/>
        <v>0</v>
      </c>
      <c r="I28" s="824">
        <f t="shared" si="21"/>
        <v>0</v>
      </c>
      <c r="J28" s="824">
        <f t="shared" si="21"/>
        <v>0</v>
      </c>
      <c r="K28" s="824">
        <f t="shared" si="21"/>
        <v>0</v>
      </c>
      <c r="L28" s="824">
        <f t="shared" si="21"/>
        <v>0</v>
      </c>
      <c r="M28" s="2060"/>
      <c r="N28" s="457" t="str">
        <f t="shared" si="3"/>
        <v>n/a</v>
      </c>
      <c r="O28" s="457" t="str">
        <f t="shared" si="4"/>
        <v>n/a</v>
      </c>
      <c r="P28" s="457" t="str">
        <f t="shared" si="5"/>
        <v>n/a</v>
      </c>
      <c r="Q28" s="457" t="str">
        <f t="shared" si="6"/>
        <v>n/a</v>
      </c>
      <c r="R28" s="457" t="str">
        <f t="shared" si="7"/>
        <v>n/a</v>
      </c>
      <c r="S28" s="457" t="str">
        <f t="shared" si="8"/>
        <v>n/a</v>
      </c>
      <c r="T28" s="457" t="str">
        <f t="shared" si="9"/>
        <v>n/a</v>
      </c>
      <c r="U28" s="1525"/>
      <c r="V28" s="1510"/>
      <c r="W28" s="1525"/>
      <c r="X28" s="2060"/>
      <c r="Y28" s="2060"/>
      <c r="Z28" s="2060"/>
      <c r="AA28" s="400">
        <f>ROW('INC STAT Hist Input'!C28)</f>
        <v>28</v>
      </c>
      <c r="AB28" s="89"/>
      <c r="AC28" s="815" t="s">
        <v>917</v>
      </c>
      <c r="AD28" s="1527"/>
      <c r="AE28" s="1527"/>
      <c r="AF28" s="1003">
        <f t="shared" ref="AF28:AL28" si="22">AF29-AF27</f>
        <v>0</v>
      </c>
      <c r="AG28" s="1003">
        <f t="shared" si="22"/>
        <v>0</v>
      </c>
      <c r="AH28" s="1003">
        <f t="shared" si="22"/>
        <v>0</v>
      </c>
      <c r="AI28" s="1003">
        <f t="shared" si="22"/>
        <v>0</v>
      </c>
      <c r="AJ28" s="1003">
        <f t="shared" si="22"/>
        <v>0</v>
      </c>
      <c r="AK28" s="1003">
        <f t="shared" si="22"/>
        <v>0</v>
      </c>
      <c r="AL28" s="1003">
        <f t="shared" si="22"/>
        <v>0</v>
      </c>
      <c r="AM28" s="1525"/>
      <c r="AN28" s="1003">
        <f>AN29-AN27</f>
        <v>0</v>
      </c>
      <c r="AO28" s="1525"/>
    </row>
    <row r="29" spans="1:41" s="297" customFormat="1" ht="13.9">
      <c r="A29" s="1510" t="str">
        <f t="shared" si="1"/>
        <v>n</v>
      </c>
      <c r="B29" s="1040" t="str">
        <f>IF(SubjCoID="","",IF(ROUND(SUM(F29:K29)-SUM(AF29:AK29),0)=0,"",Fail))</f>
        <v/>
      </c>
      <c r="C29" s="812" t="s">
        <v>449</v>
      </c>
      <c r="D29" s="298"/>
      <c r="E29" s="298"/>
      <c r="F29" s="974">
        <f>SUM(F27:F28)</f>
        <v>0</v>
      </c>
      <c r="G29" s="974">
        <f t="shared" ref="G29:L29" si="23">SUM(G27:G28)</f>
        <v>0</v>
      </c>
      <c r="H29" s="974">
        <f t="shared" si="23"/>
        <v>0</v>
      </c>
      <c r="I29" s="974">
        <f t="shared" si="23"/>
        <v>0</v>
      </c>
      <c r="J29" s="974">
        <f t="shared" si="23"/>
        <v>0</v>
      </c>
      <c r="K29" s="974">
        <f t="shared" si="23"/>
        <v>0</v>
      </c>
      <c r="L29" s="974">
        <f t="shared" si="23"/>
        <v>0</v>
      </c>
      <c r="M29" s="2060"/>
      <c r="N29" s="1692" t="str">
        <f t="shared" si="3"/>
        <v>n/a</v>
      </c>
      <c r="O29" s="1692" t="str">
        <f t="shared" si="4"/>
        <v>n/a</v>
      </c>
      <c r="P29" s="1692" t="str">
        <f t="shared" si="5"/>
        <v>n/a</v>
      </c>
      <c r="Q29" s="1692" t="str">
        <f t="shared" si="6"/>
        <v>n/a</v>
      </c>
      <c r="R29" s="1692" t="str">
        <f t="shared" si="7"/>
        <v>n/a</v>
      </c>
      <c r="S29" s="1692" t="str">
        <f t="shared" si="8"/>
        <v>n/a</v>
      </c>
      <c r="T29" s="1692" t="str">
        <f t="shared" si="9"/>
        <v>n/a</v>
      </c>
      <c r="U29" s="1525"/>
      <c r="V29" s="1510"/>
      <c r="W29" s="312"/>
      <c r="X29" s="2060"/>
      <c r="Y29" s="2060"/>
      <c r="Z29" s="2060"/>
      <c r="AA29" s="401"/>
      <c r="AB29" s="312" t="s">
        <v>918</v>
      </c>
      <c r="AC29" s="812" t="s">
        <v>449</v>
      </c>
      <c r="AD29" s="300"/>
      <c r="AE29" s="300"/>
      <c r="AF29" s="1005">
        <f>IFERROR(IF(Public,_xll.ciqfunctions.udf.CIQ(SubjCoID,$AB29,AF$8,Valuation_date, ReportType,DataMode,SubjOutputCurrencyCode,FXMode)*Scale,0),0)</f>
        <v>0</v>
      </c>
      <c r="AG29" s="1005">
        <f>IFERROR(IF(Public,_xll.ciqfunctions.udf.CIQ(SubjCoID,$AB29,AG$8,Valuation_date, ReportType,DataMode,SubjOutputCurrencyCode,FXMode)*Scale,0),0)</f>
        <v>0</v>
      </c>
      <c r="AH29" s="1005">
        <f>IFERROR(IF(Public,_xll.ciqfunctions.udf.CIQ(SubjCoID,$AB29,AH$8,Valuation_date, ReportType,DataMode,SubjOutputCurrencyCode,FXMode)*Scale,0),0)</f>
        <v>0</v>
      </c>
      <c r="AI29" s="1005">
        <f>IFERROR(IF(Public,_xll.ciqfunctions.udf.CIQ(SubjCoID,$AB29,AI$8,Valuation_date, ReportType,DataMode,SubjOutputCurrencyCode,FXMode)*Scale,0),0)</f>
        <v>0</v>
      </c>
      <c r="AJ29" s="1005">
        <f>IFERROR(IF(Public,_xll.ciqfunctions.udf.CIQ(SubjCoID,$AB29,AJ$8,Valuation_date, ReportType,DataMode,SubjOutputCurrencyCode,FXMode)*Scale,0),0)</f>
        <v>0</v>
      </c>
      <c r="AK29" s="1005">
        <f>IFERROR(IF(Public,_xll.ciqfunctions.udf.CIQ(SubjCoID,$AB29,AK$8,Valuation_date, ReportType,DataMode,SubjOutputCurrencyCode,FXMode)*Scale,0),0)</f>
        <v>0</v>
      </c>
      <c r="AL29" s="1005">
        <f>IFERROR(IF(Public,_xll.ciqfunctions.udf.CIQ(SubjCoID,$AB29,AL$8,Valuation_date, ReportType,DataMode,SubjOutputCurrencyCode,FXMode)*Scale,0),0)</f>
        <v>0</v>
      </c>
      <c r="AM29" s="312"/>
      <c r="AN29" s="1005">
        <f>IFERROR(IF(Public,_xll.ciqfunctions.udf.CIQ(SubjCoID,$AB29,AN$8,Valuation_date, ReportType,DataMode,SubjOutputCurrencyCode,FXMode)*Scale,0),0)</f>
        <v>0</v>
      </c>
      <c r="AO29" s="312"/>
    </row>
    <row r="30" spans="1:41" ht="13.9">
      <c r="A30" s="1510" t="str">
        <f t="shared" si="1"/>
        <v>n</v>
      </c>
      <c r="B30" s="1510"/>
      <c r="C30" s="1539" t="s">
        <v>919</v>
      </c>
      <c r="D30" s="1531"/>
      <c r="E30" s="1531"/>
      <c r="F30" s="824">
        <f>AF30</f>
        <v>0</v>
      </c>
      <c r="G30" s="824">
        <f t="shared" ref="G30:L31" si="24">AG30</f>
        <v>0</v>
      </c>
      <c r="H30" s="824">
        <f t="shared" si="24"/>
        <v>0</v>
      </c>
      <c r="I30" s="824">
        <f t="shared" si="24"/>
        <v>0</v>
      </c>
      <c r="J30" s="824">
        <f t="shared" si="24"/>
        <v>0</v>
      </c>
      <c r="K30" s="824">
        <f t="shared" si="24"/>
        <v>0</v>
      </c>
      <c r="L30" s="824">
        <f t="shared" si="24"/>
        <v>0</v>
      </c>
      <c r="M30" s="2060"/>
      <c r="N30" s="457" t="str">
        <f t="shared" si="3"/>
        <v>n/a</v>
      </c>
      <c r="O30" s="457" t="str">
        <f t="shared" si="4"/>
        <v>n/a</v>
      </c>
      <c r="P30" s="457" t="str">
        <f t="shared" si="5"/>
        <v>n/a</v>
      </c>
      <c r="Q30" s="457" t="str">
        <f t="shared" si="6"/>
        <v>n/a</v>
      </c>
      <c r="R30" s="457" t="str">
        <f t="shared" si="7"/>
        <v>n/a</v>
      </c>
      <c r="S30" s="457" t="str">
        <f t="shared" si="8"/>
        <v>n/a</v>
      </c>
      <c r="T30" s="457" t="str">
        <f t="shared" si="9"/>
        <v>n/a</v>
      </c>
      <c r="U30" s="1525"/>
      <c r="V30" s="1510"/>
      <c r="W30" s="1525"/>
      <c r="X30" s="2060"/>
      <c r="Y30" s="2060"/>
      <c r="Z30" s="2060"/>
      <c r="AA30" s="400">
        <f>ROW('INC STAT Hist Input'!C30)</f>
        <v>30</v>
      </c>
      <c r="AB30" s="1525" t="s">
        <v>920</v>
      </c>
      <c r="AC30" s="1539" t="s">
        <v>919</v>
      </c>
      <c r="AD30" s="1525"/>
      <c r="AE30" s="1525"/>
      <c r="AF30" s="2060">
        <f>IFERROR(IF(Public,-_xll.ciqfunctions.udf.CIQ(SubjCoID,$AB30,AF$8,Valuation_date, ReportType,DataMode,SubjOutputCurrencyCode,FXMode)*Scale,0),0)</f>
        <v>0</v>
      </c>
      <c r="AG30" s="2060">
        <f>IFERROR(IF(Public,-_xll.ciqfunctions.udf.CIQ(SubjCoID,$AB30,AG$8,Valuation_date, ReportType,DataMode,SubjOutputCurrencyCode,FXMode)*Scale,0),0)</f>
        <v>0</v>
      </c>
      <c r="AH30" s="2060">
        <f>IFERROR(IF(Public,-_xll.ciqfunctions.udf.CIQ(SubjCoID,$AB30,AH$8,Valuation_date, ReportType,DataMode,SubjOutputCurrencyCode,FXMode)*Scale,0),0)</f>
        <v>0</v>
      </c>
      <c r="AI30" s="2060">
        <f>IFERROR(IF(Public,-_xll.ciqfunctions.udf.CIQ(SubjCoID,$AB30,AI$8,Valuation_date, ReportType,DataMode,SubjOutputCurrencyCode,FXMode)*Scale,0),0)</f>
        <v>0</v>
      </c>
      <c r="AJ30" s="2060">
        <f>IFERROR(IF(Public,-_xll.ciqfunctions.udf.CIQ(SubjCoID,$AB30,AJ$8,Valuation_date, ReportType,DataMode,SubjOutputCurrencyCode,FXMode)*Scale,0),0)</f>
        <v>0</v>
      </c>
      <c r="AK30" s="2060">
        <f>IFERROR(IF(Public,-_xll.ciqfunctions.udf.CIQ(SubjCoID,$AB30,AK$8,Valuation_date, ReportType,DataMode,SubjOutputCurrencyCode,FXMode)*Scale,0),0)</f>
        <v>0</v>
      </c>
      <c r="AL30" s="2060">
        <f>IFERROR(IF(Public,-_xll.ciqfunctions.udf.CIQ(SubjCoID,$AB30,AL$8,Valuation_date, ReportType,DataMode,SubjOutputCurrencyCode,FXMode)*Scale,0),0)</f>
        <v>0</v>
      </c>
      <c r="AM30" s="1525"/>
      <c r="AN30" s="2060">
        <f>IFERROR(IF(Public,-_xll.ciqfunctions.udf.CIQ(SubjCoID,$AB30,AN$8,Valuation_date, ReportType,DataMode,SubjOutputCurrencyCode,FXMode)*Scale,0),0)</f>
        <v>0</v>
      </c>
      <c r="AO30" s="1525"/>
    </row>
    <row r="31" spans="1:41" ht="13.9">
      <c r="A31" s="1510" t="str">
        <f t="shared" si="1"/>
        <v>n</v>
      </c>
      <c r="B31" s="1510"/>
      <c r="C31" s="1539" t="s">
        <v>921</v>
      </c>
      <c r="D31" s="1531"/>
      <c r="E31" s="1531"/>
      <c r="F31" s="824">
        <f>AF31</f>
        <v>0</v>
      </c>
      <c r="G31" s="824">
        <f t="shared" si="24"/>
        <v>0</v>
      </c>
      <c r="H31" s="824">
        <f t="shared" si="24"/>
        <v>0</v>
      </c>
      <c r="I31" s="824">
        <f t="shared" si="24"/>
        <v>0</v>
      </c>
      <c r="J31" s="824">
        <f t="shared" si="24"/>
        <v>0</v>
      </c>
      <c r="K31" s="824">
        <f t="shared" si="24"/>
        <v>0</v>
      </c>
      <c r="L31" s="824">
        <f t="shared" si="24"/>
        <v>0</v>
      </c>
      <c r="M31" s="2060"/>
      <c r="N31" s="457" t="str">
        <f t="shared" si="3"/>
        <v>n/a</v>
      </c>
      <c r="O31" s="457" t="str">
        <f t="shared" si="4"/>
        <v>n/a</v>
      </c>
      <c r="P31" s="457" t="str">
        <f t="shared" si="5"/>
        <v>n/a</v>
      </c>
      <c r="Q31" s="457" t="str">
        <f t="shared" si="6"/>
        <v>n/a</v>
      </c>
      <c r="R31" s="457" t="str">
        <f t="shared" si="7"/>
        <v>n/a</v>
      </c>
      <c r="S31" s="457" t="str">
        <f t="shared" si="8"/>
        <v>n/a</v>
      </c>
      <c r="T31" s="457" t="str">
        <f t="shared" si="9"/>
        <v>n/a</v>
      </c>
      <c r="U31" s="1525"/>
      <c r="V31" s="1510"/>
      <c r="W31" s="1525"/>
      <c r="X31" s="2060"/>
      <c r="Y31" s="2060"/>
      <c r="Z31" s="2060"/>
      <c r="AA31" s="400">
        <f>ROW('INC STAT Hist Input'!C31)</f>
        <v>31</v>
      </c>
      <c r="AB31" s="1525"/>
      <c r="AC31" s="1539" t="s">
        <v>921</v>
      </c>
      <c r="AD31" s="1525"/>
      <c r="AE31" s="1525"/>
      <c r="AF31" s="1003">
        <f t="shared" ref="AF31:AK31" si="25">AF32-AF29-AF30</f>
        <v>0</v>
      </c>
      <c r="AG31" s="1003">
        <f t="shared" si="25"/>
        <v>0</v>
      </c>
      <c r="AH31" s="1003">
        <f t="shared" si="25"/>
        <v>0</v>
      </c>
      <c r="AI31" s="1003">
        <f t="shared" si="25"/>
        <v>0</v>
      </c>
      <c r="AJ31" s="1003">
        <f t="shared" si="25"/>
        <v>0</v>
      </c>
      <c r="AK31" s="1003">
        <f t="shared" si="25"/>
        <v>0</v>
      </c>
      <c r="AL31" s="1003">
        <f>AL32-AL29-AL30</f>
        <v>0</v>
      </c>
      <c r="AM31" s="1525"/>
      <c r="AN31" s="1003">
        <f>AN32-AN29-AN30</f>
        <v>0</v>
      </c>
      <c r="AO31" s="1525"/>
    </row>
    <row r="32" spans="1:41" ht="13.9">
      <c r="A32" s="1510" t="str">
        <f t="shared" si="1"/>
        <v>n</v>
      </c>
      <c r="B32" s="1040" t="str">
        <f>IF(SubjCoID="","",IF(ROUND(SUM(F32:K32)-SUM(AF32:AK32),0)=0,"",Fail))</f>
        <v/>
      </c>
      <c r="C32" s="1407" t="s">
        <v>395</v>
      </c>
      <c r="D32" s="1117"/>
      <c r="E32" s="1117"/>
      <c r="F32" s="1408">
        <f>SUM(F29:F31)</f>
        <v>0</v>
      </c>
      <c r="G32" s="1408">
        <f t="shared" ref="G32:L32" si="26">SUM(G29:G31)</f>
        <v>0</v>
      </c>
      <c r="H32" s="1408">
        <f t="shared" si="26"/>
        <v>0</v>
      </c>
      <c r="I32" s="1408">
        <f t="shared" si="26"/>
        <v>0</v>
      </c>
      <c r="J32" s="1408">
        <f t="shared" si="26"/>
        <v>0</v>
      </c>
      <c r="K32" s="1408">
        <f t="shared" si="26"/>
        <v>0</v>
      </c>
      <c r="L32" s="1408">
        <f t="shared" si="26"/>
        <v>0</v>
      </c>
      <c r="M32" s="2060"/>
      <c r="N32" s="1409" t="str">
        <f t="shared" si="3"/>
        <v>n/a</v>
      </c>
      <c r="O32" s="1409" t="str">
        <f t="shared" si="4"/>
        <v>n/a</v>
      </c>
      <c r="P32" s="1409" t="str">
        <f t="shared" si="5"/>
        <v>n/a</v>
      </c>
      <c r="Q32" s="1409" t="str">
        <f t="shared" si="6"/>
        <v>n/a</v>
      </c>
      <c r="R32" s="1409" t="str">
        <f t="shared" si="7"/>
        <v>n/a</v>
      </c>
      <c r="S32" s="1409" t="str">
        <f t="shared" si="8"/>
        <v>n/a</v>
      </c>
      <c r="T32" s="1409" t="str">
        <f t="shared" si="9"/>
        <v>n/a</v>
      </c>
      <c r="U32" s="1525"/>
      <c r="V32" s="1510"/>
      <c r="W32" s="1525"/>
      <c r="X32" s="2060"/>
      <c r="Y32" s="2060"/>
      <c r="Z32" s="2060"/>
      <c r="AA32" s="400"/>
      <c r="AB32" s="1525" t="s">
        <v>922</v>
      </c>
      <c r="AC32" s="812" t="s">
        <v>395</v>
      </c>
      <c r="AD32" s="360"/>
      <c r="AE32" s="360"/>
      <c r="AF32" s="1005">
        <f>IFERROR(IF(Public,_xll.ciqfunctions.udf.CIQ(SubjCoID,$AB32,AF$8,Valuation_date, ReportType,DataMode,SubjOutputCurrencyCode,FXMode)*Scale,0),0)</f>
        <v>0</v>
      </c>
      <c r="AG32" s="1005">
        <f>IFERROR(IF(Public,_xll.ciqfunctions.udf.CIQ(SubjCoID,$AB32,AG$8,Valuation_date, ReportType,DataMode,SubjOutputCurrencyCode,FXMode)*Scale,0),0)</f>
        <v>0</v>
      </c>
      <c r="AH32" s="1005">
        <f>IFERROR(IF(Public,_xll.ciqfunctions.udf.CIQ(SubjCoID,$AB32,AH$8,Valuation_date, ReportType,DataMode,SubjOutputCurrencyCode,FXMode)*Scale,0),0)</f>
        <v>0</v>
      </c>
      <c r="AI32" s="1005">
        <f>IFERROR(IF(Public,_xll.ciqfunctions.udf.CIQ(SubjCoID,$AB32,AI$8,Valuation_date, ReportType,DataMode,SubjOutputCurrencyCode,FXMode)*Scale,0),0)</f>
        <v>0</v>
      </c>
      <c r="AJ32" s="1005">
        <f>IFERROR(IF(Public,_xll.ciqfunctions.udf.CIQ(SubjCoID,$AB32,AJ$8,Valuation_date, ReportType,DataMode,SubjOutputCurrencyCode,FXMode)*Scale,0),0)</f>
        <v>0</v>
      </c>
      <c r="AK32" s="1005">
        <f>IFERROR(IF(Public,_xll.ciqfunctions.udf.CIQ(SubjCoID,$AB32,AK$8,Valuation_date, ReportType,DataMode,SubjOutputCurrencyCode,FXMode)*Scale,0),0)</f>
        <v>0</v>
      </c>
      <c r="AL32" s="1005">
        <f>IFERROR(IF(Public,_xll.ciqfunctions.udf.CIQ(SubjCoID,$AB32,AL$8,Valuation_date, ReportType,DataMode,SubjOutputCurrencyCode,FXMode)*Scale,0),0)</f>
        <v>0</v>
      </c>
      <c r="AM32" s="1525"/>
      <c r="AN32" s="1005">
        <f>IFERROR(IF(Public,_xll.ciqfunctions.udf.CIQ(SubjCoID,$AB32,AN$8,Valuation_date, ReportType,DataMode,SubjOutputCurrencyCode,FXMode)*Scale,0),0)</f>
        <v>0</v>
      </c>
      <c r="AO32" s="1525"/>
    </row>
    <row r="33" spans="1:40" ht="13.9">
      <c r="A33" s="1510"/>
      <c r="B33" s="1510"/>
      <c r="C33" s="837"/>
      <c r="D33" s="1527"/>
      <c r="E33" s="529"/>
      <c r="F33" s="361"/>
      <c r="G33" s="361"/>
      <c r="H33" s="361"/>
      <c r="I33" s="361"/>
      <c r="J33" s="361"/>
      <c r="K33" s="361"/>
      <c r="L33" s="361"/>
      <c r="M33" s="295"/>
      <c r="N33" s="372"/>
      <c r="O33" s="372"/>
      <c r="P33" s="372"/>
      <c r="Q33" s="372"/>
      <c r="R33" s="372"/>
      <c r="S33" s="372"/>
      <c r="T33" s="372"/>
      <c r="U33" s="1525"/>
      <c r="V33" s="1510"/>
      <c r="W33" s="1525"/>
      <c r="X33" s="2060"/>
      <c r="Y33" s="2060"/>
      <c r="Z33" s="2060"/>
      <c r="AA33" s="400"/>
      <c r="AB33" s="1525"/>
      <c r="AC33" s="816"/>
      <c r="AD33" s="360"/>
      <c r="AE33" s="360"/>
      <c r="AF33" s="1005"/>
      <c r="AG33" s="1005"/>
      <c r="AH33" s="1005"/>
      <c r="AI33" s="1005"/>
      <c r="AJ33" s="1005"/>
      <c r="AK33" s="1005"/>
      <c r="AL33" s="1005"/>
      <c r="AM33" s="1525"/>
      <c r="AN33" s="1005"/>
    </row>
    <row r="34" spans="1:40" ht="13.9">
      <c r="A34" s="1510"/>
      <c r="B34" s="1040" t="str">
        <f>IF(SubjCoID="","",IF(ROUND(SUM(F34:K34)-SUM(AF34:AK34),0)=0,"",Fail))</f>
        <v/>
      </c>
      <c r="C34" s="815" t="s">
        <v>923</v>
      </c>
      <c r="D34" s="331"/>
      <c r="E34" s="331"/>
      <c r="F34" s="824">
        <f>AF34</f>
        <v>0</v>
      </c>
      <c r="G34" s="824">
        <f t="shared" ref="G34:L34" si="27">AG34</f>
        <v>0</v>
      </c>
      <c r="H34" s="824">
        <f t="shared" si="27"/>
        <v>0</v>
      </c>
      <c r="I34" s="824">
        <f t="shared" si="27"/>
        <v>0</v>
      </c>
      <c r="J34" s="824">
        <f t="shared" si="27"/>
        <v>0</v>
      </c>
      <c r="K34" s="824">
        <f t="shared" si="27"/>
        <v>0</v>
      </c>
      <c r="L34" s="824">
        <f t="shared" si="27"/>
        <v>0</v>
      </c>
      <c r="M34" s="295"/>
      <c r="N34" s="457" t="str">
        <f t="shared" ref="N34:T34" si="28">IFERROR(F34/F$10,"n/a")</f>
        <v>n/a</v>
      </c>
      <c r="O34" s="457" t="str">
        <f t="shared" si="28"/>
        <v>n/a</v>
      </c>
      <c r="P34" s="457" t="str">
        <f t="shared" si="28"/>
        <v>n/a</v>
      </c>
      <c r="Q34" s="457" t="str">
        <f t="shared" si="28"/>
        <v>n/a</v>
      </c>
      <c r="R34" s="457" t="str">
        <f t="shared" si="28"/>
        <v>n/a</v>
      </c>
      <c r="S34" s="457" t="str">
        <f t="shared" si="28"/>
        <v>n/a</v>
      </c>
      <c r="T34" s="457" t="str">
        <f t="shared" si="28"/>
        <v>n/a</v>
      </c>
      <c r="U34" s="1525"/>
      <c r="V34" s="1510"/>
      <c r="W34" s="1525"/>
      <c r="X34" s="2060"/>
      <c r="Y34" s="2060"/>
      <c r="Z34" s="2060"/>
      <c r="AA34" s="400">
        <f>ROW('INC STAT Hist Input'!C34)</f>
        <v>34</v>
      </c>
      <c r="AB34" s="1525" t="s">
        <v>817</v>
      </c>
      <c r="AC34" s="332" t="s">
        <v>923</v>
      </c>
      <c r="AD34" s="1525"/>
      <c r="AE34" s="1525"/>
      <c r="AF34" s="2060">
        <f>IFERROR(IF(Public,-_xll.ciqfunctions.udf.CIQ(SubjCoID,$AB34,AF$8,Valuation_date, ReportType,DataMode,SubjOutputCurrencyCode,FXMode)*Scale,0),0)</f>
        <v>0</v>
      </c>
      <c r="AG34" s="2060">
        <f>IFERROR(IF(Public,-_xll.ciqfunctions.udf.CIQ(SubjCoID,$AB34,AG$8,Valuation_date, ReportType,DataMode,SubjOutputCurrencyCode,FXMode)*Scale,0),0)</f>
        <v>0</v>
      </c>
      <c r="AH34" s="2060">
        <f>IFERROR(IF(Public,-_xll.ciqfunctions.udf.CIQ(SubjCoID,$AB34,AH$8,Valuation_date, ReportType,DataMode,SubjOutputCurrencyCode,FXMode)*Scale,0),0)</f>
        <v>0</v>
      </c>
      <c r="AI34" s="2060">
        <f>IFERROR(IF(Public,-_xll.ciqfunctions.udf.CIQ(SubjCoID,$AB34,AI$8,Valuation_date, ReportType,DataMode,SubjOutputCurrencyCode,FXMode)*Scale,0),0)</f>
        <v>0</v>
      </c>
      <c r="AJ34" s="2060">
        <f>IFERROR(IF(Public,-_xll.ciqfunctions.udf.CIQ(SubjCoID,$AB34,AJ$8,Valuation_date, ReportType,DataMode,SubjOutputCurrencyCode,FXMode)*Scale,0),0)</f>
        <v>0</v>
      </c>
      <c r="AK34" s="2060">
        <f>IFERROR(IF(Public,-_xll.ciqfunctions.udf.CIQ(SubjCoID,$AB34,AK$8,Valuation_date, ReportType,DataMode,SubjOutputCurrencyCode,FXMode)*Scale,0),0)</f>
        <v>0</v>
      </c>
      <c r="AL34" s="2060">
        <f>IFERROR(IF(Public,-_xll.ciqfunctions.udf.CIQ(SubjCoID,$AB34,AL$8,Valuation_date, ReportType,DataMode,SubjOutputCurrencyCode,FXMode)*Scale,0),0)</f>
        <v>0</v>
      </c>
      <c r="AM34" s="1525"/>
      <c r="AN34" s="2060">
        <f>IFERROR(IF(Public,-_xll.ciqfunctions.udf.CIQ(SubjCoID,$AB34,AN$8,Valuation_date, ReportType,DataMode,SubjOutputCurrencyCode,FXMode)*Scale,0),0)</f>
        <v>0</v>
      </c>
    </row>
    <row r="35" spans="1:40" ht="13.9">
      <c r="A35" s="1510"/>
      <c r="B35" s="1510"/>
      <c r="C35" s="1529"/>
      <c r="D35" s="1529"/>
      <c r="E35" s="436"/>
      <c r="F35" s="687"/>
      <c r="G35" s="361"/>
      <c r="H35" s="361"/>
      <c r="I35" s="361"/>
      <c r="J35" s="361"/>
      <c r="K35" s="361"/>
      <c r="L35" s="361"/>
      <c r="M35" s="295"/>
      <c r="N35" s="326"/>
      <c r="O35" s="326"/>
      <c r="P35" s="326"/>
      <c r="Q35" s="1529"/>
      <c r="R35" s="326"/>
      <c r="S35" s="326"/>
      <c r="T35" s="326"/>
      <c r="U35" s="1525"/>
      <c r="V35" s="1510"/>
      <c r="W35" s="1525"/>
      <c r="X35" s="2060"/>
      <c r="Y35" s="2060"/>
      <c r="Z35" s="2060"/>
      <c r="AA35" s="1525"/>
      <c r="AB35" s="1525"/>
      <c r="AC35" s="332"/>
      <c r="AD35" s="1525"/>
      <c r="AE35" s="1525"/>
      <c r="AF35" s="1525"/>
      <c r="AG35" s="1525"/>
      <c r="AH35" s="1525"/>
      <c r="AI35" s="1525"/>
      <c r="AJ35" s="1525"/>
      <c r="AK35" s="1525"/>
      <c r="AL35" s="1525"/>
      <c r="AM35" s="1525"/>
      <c r="AN35" s="1525"/>
    </row>
    <row r="36" spans="1:40" s="303" customFormat="1" ht="13.9">
      <c r="A36" s="1510"/>
      <c r="B36" s="1510"/>
      <c r="C36" s="1169" t="s">
        <v>924</v>
      </c>
      <c r="D36" s="1120"/>
      <c r="E36" s="1120"/>
      <c r="F36" s="1170"/>
      <c r="G36" s="1171"/>
      <c r="H36" s="1171"/>
      <c r="I36" s="1171"/>
      <c r="J36" s="1171"/>
      <c r="K36" s="1171"/>
      <c r="L36" s="1171"/>
      <c r="M36" s="1172"/>
      <c r="N36" s="1173"/>
      <c r="O36" s="1174" t="s">
        <v>925</v>
      </c>
      <c r="P36" s="1174" t="s">
        <v>926</v>
      </c>
      <c r="Q36" s="1174" t="s">
        <v>927</v>
      </c>
      <c r="R36" s="1173"/>
      <c r="S36" s="1174" t="s">
        <v>928</v>
      </c>
      <c r="T36" s="1173"/>
      <c r="U36" s="1525"/>
      <c r="V36" s="1510"/>
      <c r="W36" s="1533"/>
      <c r="X36" s="2060"/>
      <c r="Y36" s="2060"/>
      <c r="Z36" s="2060"/>
      <c r="AA36" s="1525"/>
      <c r="AB36" s="1533"/>
      <c r="AC36" s="1533"/>
      <c r="AD36" s="1533"/>
      <c r="AE36" s="1533"/>
      <c r="AF36" s="1533"/>
      <c r="AG36" s="1533"/>
      <c r="AH36" s="1533"/>
      <c r="AI36" s="1533"/>
      <c r="AJ36" s="1533"/>
      <c r="AK36" s="1533"/>
      <c r="AL36" s="1533"/>
      <c r="AM36" s="1533"/>
      <c r="AN36" s="1533"/>
    </row>
    <row r="37" spans="1:40" s="286" customFormat="1" ht="13.9">
      <c r="A37" s="1510" t="str">
        <f t="shared" ref="A37:A44" si="29">IF(OR(MAX(F37:K37)&gt;0.01,MIN(,F37:K37)&lt;-0.01),"","n")</f>
        <v>n</v>
      </c>
      <c r="B37" s="1510"/>
      <c r="C37" s="1588" t="s">
        <v>466</v>
      </c>
      <c r="D37" s="1528"/>
      <c r="E37" s="1528"/>
      <c r="F37" s="1628" t="str">
        <f>IFERROR((F10-C10)/ABS(C10),"n/a")</f>
        <v>n/a</v>
      </c>
      <c r="G37" s="1628" t="str">
        <f>IFERROR((G10-F10)/ABS(F10),"n/a")</f>
        <v>n/a</v>
      </c>
      <c r="H37" s="1628" t="str">
        <f>IFERROR((H10-G10)/ABS(G10),"n/a")</f>
        <v>n/a</v>
      </c>
      <c r="I37" s="1628" t="str">
        <f>IFERROR((I10-H10)/ABS(H10),"n/a")</f>
        <v>n/a</v>
      </c>
      <c r="J37" s="1628" t="str">
        <f>IFERROR((J10-I10)/ABS(I10),"n/a")</f>
        <v>n/a</v>
      </c>
      <c r="K37" s="1627" t="str">
        <f t="shared" ref="K37:L40" si="30">IF(K10=$J10,J37,"n/a")</f>
        <v>n/a</v>
      </c>
      <c r="L37" s="1627" t="str">
        <f t="shared" si="30"/>
        <v>n/a</v>
      </c>
      <c r="M37" s="295"/>
      <c r="N37" s="1531" t="s">
        <v>929</v>
      </c>
      <c r="O37" s="1628" t="str">
        <f>IFERROR(($J10/F10)^(1/4)-1,"n/a")</f>
        <v>n/a</v>
      </c>
      <c r="P37" s="1628" t="str">
        <f>IFERROR(($J10/G10)^(1/3)-1,"n/a")</f>
        <v>n/a</v>
      </c>
      <c r="Q37" s="1628" t="str">
        <f>IFERROR(($J10/H10)^(1/2)-1,"n/a")</f>
        <v>n/a</v>
      </c>
      <c r="R37" s="1730"/>
      <c r="S37" s="1614" t="str">
        <f>AO10</f>
        <v>n/a</v>
      </c>
      <c r="T37" s="1531"/>
      <c r="U37" s="1525"/>
      <c r="V37" s="1510"/>
      <c r="W37" s="1525"/>
      <c r="X37" s="2060"/>
      <c r="Y37" s="2060"/>
      <c r="Z37" s="2060"/>
      <c r="AA37" s="1525"/>
      <c r="AB37" s="1525"/>
      <c r="AC37" s="1525"/>
      <c r="AD37" s="1525"/>
      <c r="AE37" s="1525"/>
      <c r="AF37" s="1525"/>
      <c r="AG37" s="1525"/>
      <c r="AH37" s="1525"/>
      <c r="AI37" s="1525"/>
      <c r="AJ37" s="1525"/>
      <c r="AK37" s="1525"/>
      <c r="AL37" s="1525"/>
      <c r="AM37" s="1525"/>
      <c r="AN37" s="1525"/>
    </row>
    <row r="38" spans="1:40" s="286" customFormat="1" ht="13.9">
      <c r="A38" s="1510" t="str">
        <f t="shared" si="29"/>
        <v>n</v>
      </c>
      <c r="B38" s="1510"/>
      <c r="C38" s="1588" t="s">
        <v>930</v>
      </c>
      <c r="D38" s="1528"/>
      <c r="E38" s="1528"/>
      <c r="F38" s="1628" t="str">
        <f>IFERROR((F12-C12)/ABS(C12),"n/a")</f>
        <v>n/a</v>
      </c>
      <c r="G38" s="1628" t="str">
        <f>IFERROR((G12-F12)/ABS(F12),"n/a")</f>
        <v>n/a</v>
      </c>
      <c r="H38" s="1628" t="str">
        <f>IFERROR((H12-G12)/ABS(G12),"n/a")</f>
        <v>n/a</v>
      </c>
      <c r="I38" s="1628" t="str">
        <f>IFERROR((I12-H12)/ABS(H12),"n/a")</f>
        <v>n/a</v>
      </c>
      <c r="J38" s="1628" t="str">
        <f>IFERROR((J12-I12)/ABS(I12),"n/a")</f>
        <v>n/a</v>
      </c>
      <c r="K38" s="1627" t="str">
        <f t="shared" si="30"/>
        <v>n/a</v>
      </c>
      <c r="L38" s="1627" t="str">
        <f t="shared" si="30"/>
        <v>n/a</v>
      </c>
      <c r="M38" s="295"/>
      <c r="N38" s="1531" t="s">
        <v>929</v>
      </c>
      <c r="O38" s="1628" t="str">
        <f>IFERROR(($J12/F12)^(1/4)-1,"n/a")</f>
        <v>n/a</v>
      </c>
      <c r="P38" s="1628" t="str">
        <f>IFERROR(($J12/G12)^(1/4)-1,"n/a")</f>
        <v>n/a</v>
      </c>
      <c r="Q38" s="1628" t="str">
        <f>IFERROR(($J12/H12)^(1/4)-1,"n/a")</f>
        <v>n/a</v>
      </c>
      <c r="R38" s="1730"/>
      <c r="S38" s="1614" t="str">
        <f>AO12</f>
        <v>n/a</v>
      </c>
      <c r="T38" s="1531"/>
      <c r="U38" s="1525"/>
      <c r="V38" s="1510"/>
      <c r="W38" s="1525"/>
      <c r="X38" s="2060"/>
      <c r="Y38" s="2060"/>
      <c r="Z38" s="2060"/>
      <c r="AA38" s="1525"/>
      <c r="AB38" s="1525"/>
      <c r="AC38" s="1525"/>
      <c r="AD38" s="1525"/>
      <c r="AE38" s="1525"/>
      <c r="AF38" s="1525"/>
      <c r="AG38" s="1525"/>
      <c r="AH38" s="1525"/>
      <c r="AI38" s="1525"/>
      <c r="AJ38" s="1525"/>
      <c r="AK38" s="1525"/>
      <c r="AL38" s="1525"/>
      <c r="AM38" s="1525"/>
      <c r="AN38" s="1525"/>
    </row>
    <row r="39" spans="1:40" s="286" customFormat="1" ht="13.9">
      <c r="A39" s="1510" t="str">
        <f t="shared" si="29"/>
        <v>n</v>
      </c>
      <c r="B39" s="1510"/>
      <c r="C39" s="1588" t="s">
        <v>258</v>
      </c>
      <c r="D39" s="1528"/>
      <c r="E39" s="1528"/>
      <c r="F39" s="1628" t="str">
        <f>IFERROR((F20-C20)/ABS(C20),"n/a")</f>
        <v>n/a</v>
      </c>
      <c r="G39" s="1628" t="str">
        <f>IFERROR((G20-F20)/ABS(F20),"n/a")</f>
        <v>n/a</v>
      </c>
      <c r="H39" s="1628" t="str">
        <f>IFERROR((H20-G20)/ABS(G20),"n/a")</f>
        <v>n/a</v>
      </c>
      <c r="I39" s="1628" t="str">
        <f>IFERROR((I20-H20)/ABS(H20),"n/a")</f>
        <v>n/a</v>
      </c>
      <c r="J39" s="1628" t="str">
        <f>IFERROR((J20-I20)/ABS(I20),"n/a")</f>
        <v>n/a</v>
      </c>
      <c r="K39" s="1627" t="str">
        <f t="shared" si="30"/>
        <v>n/a</v>
      </c>
      <c r="L39" s="1627" t="str">
        <f t="shared" si="30"/>
        <v>n/a</v>
      </c>
      <c r="M39" s="295"/>
      <c r="N39" s="1531" t="s">
        <v>929</v>
      </c>
      <c r="O39" s="1628" t="str">
        <f>IFERROR(($J20/F20)^(1/4)-1,"n/a")</f>
        <v>n/a</v>
      </c>
      <c r="P39" s="1628" t="str">
        <f>IFERROR(($J20/G20)^(1/4)-1,"n/a")</f>
        <v>n/a</v>
      </c>
      <c r="Q39" s="1628" t="str">
        <f>IFERROR(($J20/H20)^(1/4)-1,"n/a")</f>
        <v>n/a</v>
      </c>
      <c r="R39" s="1730"/>
      <c r="S39" s="1614" t="str">
        <f>AO20</f>
        <v>n/a</v>
      </c>
      <c r="T39" s="1531"/>
      <c r="U39" s="1525"/>
      <c r="V39" s="1510"/>
      <c r="W39" s="1525"/>
      <c r="X39" s="2060"/>
      <c r="Y39" s="2060"/>
      <c r="Z39" s="2060"/>
      <c r="AA39" s="1525"/>
      <c r="AB39" s="1525"/>
      <c r="AC39" s="1525"/>
      <c r="AD39" s="1525"/>
      <c r="AE39" s="1525"/>
      <c r="AF39" s="1525"/>
      <c r="AG39" s="1525"/>
      <c r="AH39" s="1525"/>
      <c r="AI39" s="1525"/>
      <c r="AJ39" s="1525"/>
      <c r="AK39" s="1525"/>
      <c r="AL39" s="1525"/>
      <c r="AM39" s="1525"/>
      <c r="AN39" s="1525"/>
    </row>
    <row r="40" spans="1:40" s="286" customFormat="1" ht="13.9">
      <c r="A40" s="1510" t="str">
        <f t="shared" si="29"/>
        <v>n</v>
      </c>
      <c r="B40" s="1510"/>
      <c r="C40" s="1588" t="s">
        <v>226</v>
      </c>
      <c r="D40" s="1528"/>
      <c r="E40" s="1528"/>
      <c r="F40" s="1628" t="str">
        <f>IFERROR((F23-C23)/ABS(C23),"n/a")</f>
        <v>n/a</v>
      </c>
      <c r="G40" s="1628" t="str">
        <f>IFERROR((G23-F23)/ABS(F23),"n/a")</f>
        <v>n/a</v>
      </c>
      <c r="H40" s="1628" t="str">
        <f>IFERROR((H23-G23)/ABS(G23),"n/a")</f>
        <v>n/a</v>
      </c>
      <c r="I40" s="1628" t="str">
        <f>IFERROR((I23-H23)/ABS(H23),"n/a")</f>
        <v>n/a</v>
      </c>
      <c r="J40" s="1628" t="str">
        <f>IFERROR((J23-I23)/ABS(I23),"n/a")</f>
        <v>n/a</v>
      </c>
      <c r="K40" s="1627" t="str">
        <f t="shared" si="30"/>
        <v>n/a</v>
      </c>
      <c r="L40" s="1627" t="str">
        <f t="shared" si="30"/>
        <v>n/a</v>
      </c>
      <c r="M40" s="295"/>
      <c r="N40" s="1531" t="s">
        <v>929</v>
      </c>
      <c r="O40" s="1628" t="str">
        <f>IFERROR(($J23/F23)^(1/4)-1,"n/a")</f>
        <v>n/a</v>
      </c>
      <c r="P40" s="1628" t="str">
        <f>IFERROR(($J23/G23)^(1/4)-1,"n/a")</f>
        <v>n/a</v>
      </c>
      <c r="Q40" s="1628" t="str">
        <f>IFERROR(($J23/H23)^(1/4)-1,"n/a")</f>
        <v>n/a</v>
      </c>
      <c r="R40" s="1730"/>
      <c r="S40" s="1614" t="str">
        <f>AO23</f>
        <v>n/a</v>
      </c>
      <c r="T40" s="1531"/>
      <c r="U40" s="1525"/>
      <c r="V40" s="1510"/>
      <c r="W40" s="1525"/>
      <c r="X40" s="2060"/>
      <c r="Y40" s="2060"/>
      <c r="Z40" s="2060"/>
      <c r="AA40" s="1525"/>
      <c r="AB40" s="1525"/>
      <c r="AC40" s="1525"/>
      <c r="AD40" s="1525"/>
      <c r="AE40" s="1525"/>
      <c r="AF40" s="1525"/>
      <c r="AG40" s="1525"/>
      <c r="AH40" s="1525"/>
      <c r="AI40" s="1525"/>
      <c r="AJ40" s="1525"/>
      <c r="AK40" s="1525"/>
      <c r="AL40" s="1525"/>
      <c r="AM40" s="1525"/>
      <c r="AN40" s="1525"/>
    </row>
    <row r="41" spans="1:40" s="286" customFormat="1" ht="13.9">
      <c r="A41" s="1510" t="str">
        <f t="shared" si="29"/>
        <v>n</v>
      </c>
      <c r="B41" s="1510"/>
      <c r="C41" s="1588" t="s">
        <v>931</v>
      </c>
      <c r="D41" s="1528"/>
      <c r="E41" s="1528"/>
      <c r="F41" s="1628" t="str">
        <f t="shared" ref="F41:L41" si="31">N12</f>
        <v>n/a</v>
      </c>
      <c r="G41" s="1628" t="str">
        <f t="shared" si="31"/>
        <v>n/a</v>
      </c>
      <c r="H41" s="1628" t="str">
        <f t="shared" si="31"/>
        <v>n/a</v>
      </c>
      <c r="I41" s="1628" t="str">
        <f t="shared" si="31"/>
        <v>n/a</v>
      </c>
      <c r="J41" s="1628" t="str">
        <f t="shared" si="31"/>
        <v>n/a</v>
      </c>
      <c r="K41" s="1628" t="str">
        <f t="shared" si="31"/>
        <v>n/a</v>
      </c>
      <c r="L41" s="1628" t="str">
        <f t="shared" si="31"/>
        <v>n/a</v>
      </c>
      <c r="M41" s="295"/>
      <c r="N41" s="1531" t="s">
        <v>932</v>
      </c>
      <c r="O41" s="1628" t="str">
        <f>IFERROR(AVERAGE(G41:$J41),"n/a")</f>
        <v>n/a</v>
      </c>
      <c r="P41" s="1628" t="str">
        <f>IFERROR(AVERAGE(H41:$J41),"n/a")</f>
        <v>n/a</v>
      </c>
      <c r="Q41" s="1628" t="str">
        <f>IFERROR(AVERAGE(I41:$J41),"n/a")</f>
        <v>n/a</v>
      </c>
      <c r="R41" s="1730"/>
      <c r="S41" s="1614" t="str">
        <f>IFERROR(AN12/AN$10,"n/a")</f>
        <v>n/a</v>
      </c>
      <c r="T41" s="1531"/>
      <c r="U41" s="1525"/>
      <c r="V41" s="1510"/>
      <c r="W41" s="1525"/>
      <c r="X41" s="2060"/>
      <c r="Y41" s="2060"/>
      <c r="Z41" s="2060"/>
      <c r="AA41" s="1525"/>
      <c r="AB41" s="1525"/>
      <c r="AC41" s="1525"/>
      <c r="AD41" s="1525"/>
      <c r="AE41" s="1525"/>
      <c r="AF41" s="1525"/>
      <c r="AG41" s="1525"/>
      <c r="AH41" s="1525"/>
      <c r="AI41" s="1525"/>
      <c r="AJ41" s="1525"/>
      <c r="AK41" s="1525"/>
      <c r="AL41" s="1525"/>
      <c r="AM41" s="1525"/>
      <c r="AN41" s="1525"/>
    </row>
    <row r="42" spans="1:40" s="286" customFormat="1" ht="13.5" customHeight="1">
      <c r="A42" s="1510" t="str">
        <f t="shared" si="29"/>
        <v>n</v>
      </c>
      <c r="B42" s="1510"/>
      <c r="C42" s="1588" t="s">
        <v>278</v>
      </c>
      <c r="D42" s="1528"/>
      <c r="E42" s="1528"/>
      <c r="F42" s="1628" t="str">
        <f t="shared" ref="F42:L42" si="32">N20</f>
        <v>n/a</v>
      </c>
      <c r="G42" s="1628" t="str">
        <f t="shared" si="32"/>
        <v>n/a</v>
      </c>
      <c r="H42" s="1628" t="str">
        <f t="shared" si="32"/>
        <v>n/a</v>
      </c>
      <c r="I42" s="1628" t="str">
        <f t="shared" si="32"/>
        <v>n/a</v>
      </c>
      <c r="J42" s="1628" t="str">
        <f t="shared" si="32"/>
        <v>n/a</v>
      </c>
      <c r="K42" s="1628" t="str">
        <f t="shared" si="32"/>
        <v>n/a</v>
      </c>
      <c r="L42" s="1628" t="str">
        <f t="shared" si="32"/>
        <v>n/a</v>
      </c>
      <c r="M42" s="295"/>
      <c r="N42" s="1531" t="s">
        <v>932</v>
      </c>
      <c r="O42" s="1628" t="str">
        <f>IFERROR(AVERAGE(G42:$J42),"n/a")</f>
        <v>n/a</v>
      </c>
      <c r="P42" s="1628" t="str">
        <f>IFERROR(AVERAGE(H42:$J42),"n/a")</f>
        <v>n/a</v>
      </c>
      <c r="Q42" s="1628" t="str">
        <f>IFERROR(AVERAGE(I42:$J42),"n/a")</f>
        <v>n/a</v>
      </c>
      <c r="R42" s="1730"/>
      <c r="S42" s="1614" t="str">
        <f>IFERROR(AN20/AN$10,"n/a")</f>
        <v>n/a</v>
      </c>
      <c r="T42" s="1531"/>
      <c r="U42" s="1525"/>
      <c r="V42" s="1510"/>
      <c r="W42" s="1525"/>
      <c r="X42" s="2060"/>
      <c r="Y42" s="2060"/>
      <c r="Z42" s="2060"/>
      <c r="AA42" s="1525"/>
      <c r="AB42" s="1525"/>
      <c r="AC42" s="1525"/>
      <c r="AD42" s="1525"/>
      <c r="AE42" s="1525"/>
      <c r="AF42" s="1525"/>
      <c r="AG42" s="1525"/>
      <c r="AH42" s="1525"/>
      <c r="AI42" s="1525"/>
      <c r="AJ42" s="1525"/>
      <c r="AK42" s="1525"/>
      <c r="AL42" s="1525"/>
      <c r="AM42" s="1525"/>
      <c r="AN42" s="1525"/>
    </row>
    <row r="43" spans="1:40" s="286" customFormat="1" ht="13.5" customHeight="1">
      <c r="A43" s="1510" t="str">
        <f t="shared" si="29"/>
        <v>n</v>
      </c>
      <c r="B43" s="1510"/>
      <c r="C43" s="1588" t="s">
        <v>240</v>
      </c>
      <c r="D43" s="1528"/>
      <c r="E43" s="1528"/>
      <c r="F43" s="1628" t="str">
        <f t="shared" ref="F43:L43" si="33">N23</f>
        <v>n/a</v>
      </c>
      <c r="G43" s="1628" t="str">
        <f t="shared" si="33"/>
        <v>n/a</v>
      </c>
      <c r="H43" s="1628" t="str">
        <f t="shared" si="33"/>
        <v>n/a</v>
      </c>
      <c r="I43" s="1628" t="str">
        <f t="shared" si="33"/>
        <v>n/a</v>
      </c>
      <c r="J43" s="1628" t="str">
        <f t="shared" si="33"/>
        <v>n/a</v>
      </c>
      <c r="K43" s="1628" t="str">
        <f t="shared" si="33"/>
        <v>n/a</v>
      </c>
      <c r="L43" s="1628" t="str">
        <f t="shared" si="33"/>
        <v>n/a</v>
      </c>
      <c r="M43" s="2060"/>
      <c r="N43" s="1531" t="s">
        <v>932</v>
      </c>
      <c r="O43" s="1628" t="str">
        <f>IFERROR(AVERAGE(G43:$J43),"n/a")</f>
        <v>n/a</v>
      </c>
      <c r="P43" s="1628" t="str">
        <f>IFERROR(AVERAGE(H43:$J43),"n/a")</f>
        <v>n/a</v>
      </c>
      <c r="Q43" s="1628" t="str">
        <f>IFERROR(AVERAGE(I43:$J43),"n/a")</f>
        <v>n/a</v>
      </c>
      <c r="R43" s="1730"/>
      <c r="S43" s="1614" t="str">
        <f>IFERROR(AN23/AN$10,"n/a")</f>
        <v>n/a</v>
      </c>
      <c r="T43" s="1531"/>
      <c r="U43" s="1525"/>
      <c r="V43" s="1510"/>
      <c r="W43" s="1525"/>
      <c r="X43" s="2060"/>
      <c r="Y43" s="2060"/>
      <c r="Z43" s="2060"/>
      <c r="AA43" s="1525"/>
      <c r="AB43" s="1525"/>
      <c r="AC43" s="1525"/>
      <c r="AD43" s="1525"/>
      <c r="AE43" s="1525"/>
      <c r="AF43" s="1525"/>
      <c r="AG43" s="1525"/>
      <c r="AH43" s="1525"/>
      <c r="AI43" s="1525"/>
      <c r="AJ43" s="1525"/>
      <c r="AK43" s="1525"/>
      <c r="AL43" s="1525"/>
      <c r="AM43" s="1525"/>
      <c r="AN43" s="1525"/>
    </row>
    <row r="44" spans="1:40" s="334" customFormat="1" ht="13.5" customHeight="1">
      <c r="A44" s="1510" t="str">
        <f t="shared" si="29"/>
        <v>n</v>
      </c>
      <c r="B44" s="1510"/>
      <c r="C44" s="1302" t="s">
        <v>933</v>
      </c>
      <c r="D44" s="1303"/>
      <c r="E44" s="1303"/>
      <c r="F44" s="1630" t="str">
        <f t="shared" ref="F44:L44" si="34">IFERROR(-F30/F29,"n/a")</f>
        <v>n/a</v>
      </c>
      <c r="G44" s="1630" t="str">
        <f t="shared" si="34"/>
        <v>n/a</v>
      </c>
      <c r="H44" s="1630" t="str">
        <f t="shared" si="34"/>
        <v>n/a</v>
      </c>
      <c r="I44" s="1630" t="str">
        <f t="shared" si="34"/>
        <v>n/a</v>
      </c>
      <c r="J44" s="1630" t="str">
        <f t="shared" si="34"/>
        <v>n/a</v>
      </c>
      <c r="K44" s="1630" t="str">
        <f t="shared" si="34"/>
        <v>n/a</v>
      </c>
      <c r="L44" s="1630" t="str">
        <f t="shared" si="34"/>
        <v>n/a</v>
      </c>
      <c r="M44" s="2060"/>
      <c r="N44" s="1137" t="s">
        <v>932</v>
      </c>
      <c r="O44" s="1630" t="str">
        <f>IFERROR(AVERAGE(G44:$J44),"n/a")</f>
        <v>n/a</v>
      </c>
      <c r="P44" s="1630" t="str">
        <f>IFERROR(AVERAGE(H44:$J44),"n/a")</f>
        <v>n/a</v>
      </c>
      <c r="Q44" s="1630" t="str">
        <f>IFERROR(AVERAGE(I44:$J44),"n/a")</f>
        <v>n/a</v>
      </c>
      <c r="R44" s="1731"/>
      <c r="S44" s="1717" t="str">
        <f>IFERROR(-AN30/AN$29,"n/a")</f>
        <v>n/a</v>
      </c>
      <c r="T44" s="1137"/>
      <c r="U44" s="1525"/>
      <c r="V44" s="1510"/>
      <c r="W44" s="1525"/>
      <c r="X44" s="2060"/>
      <c r="Y44" s="2060"/>
      <c r="Z44" s="2060"/>
      <c r="AA44" s="1525"/>
      <c r="AB44" s="1525"/>
      <c r="AC44" s="1525"/>
      <c r="AD44" s="1525"/>
      <c r="AE44" s="1525"/>
      <c r="AF44" s="1525"/>
      <c r="AG44" s="1525"/>
      <c r="AH44" s="1525"/>
      <c r="AI44" s="1525"/>
      <c r="AJ44" s="1525"/>
      <c r="AK44" s="1525"/>
      <c r="AL44" s="1525"/>
      <c r="AM44" s="1525"/>
      <c r="AN44" s="1525"/>
    </row>
    <row r="45" spans="1:40" s="334" customFormat="1" ht="13.5" customHeight="1">
      <c r="A45" s="1510"/>
      <c r="B45" s="1510"/>
      <c r="C45" s="1588"/>
      <c r="D45" s="1528"/>
      <c r="E45" s="1528"/>
      <c r="F45" s="1583"/>
      <c r="G45" s="1583"/>
      <c r="H45" s="1583"/>
      <c r="I45" s="1583"/>
      <c r="J45" s="1583"/>
      <c r="K45" s="1583"/>
      <c r="L45" s="1583"/>
      <c r="M45" s="2060"/>
      <c r="N45" s="1531"/>
      <c r="O45" s="1554"/>
      <c r="P45" s="1554"/>
      <c r="Q45" s="1554"/>
      <c r="R45" s="1531"/>
      <c r="S45" s="1529"/>
      <c r="T45" s="1531"/>
      <c r="U45" s="1525"/>
      <c r="V45" s="1510"/>
      <c r="W45" s="1525"/>
      <c r="X45" s="2060"/>
      <c r="Y45" s="2060"/>
      <c r="Z45" s="2060"/>
      <c r="AA45" s="1525"/>
      <c r="AB45" s="1525"/>
      <c r="AC45" s="1525"/>
      <c r="AD45" s="1525"/>
      <c r="AE45" s="1525"/>
      <c r="AF45" s="1525"/>
      <c r="AG45" s="1525"/>
      <c r="AH45" s="1525"/>
      <c r="AI45" s="1525"/>
      <c r="AJ45" s="1525"/>
      <c r="AK45" s="1525"/>
      <c r="AL45" s="1525"/>
      <c r="AM45" s="1525"/>
      <c r="AN45" s="1525"/>
    </row>
    <row r="46" spans="1:40" s="1525" customFormat="1" ht="13.5" customHeight="1">
      <c r="A46" s="1510"/>
      <c r="B46" s="1510"/>
      <c r="C46" s="1588" t="s">
        <v>934</v>
      </c>
      <c r="D46" s="1528"/>
      <c r="E46" s="1528"/>
      <c r="F46" s="1583"/>
      <c r="G46" s="1583"/>
      <c r="H46" s="1583"/>
      <c r="I46" s="1583"/>
      <c r="J46" s="1583"/>
      <c r="K46" s="1583"/>
      <c r="L46" s="1583"/>
      <c r="M46" s="2060"/>
      <c r="N46" s="1531"/>
      <c r="O46" s="1554"/>
      <c r="P46" s="1554"/>
      <c r="Q46" s="1554"/>
      <c r="R46" s="1531"/>
      <c r="S46" s="1529"/>
      <c r="T46" s="1531"/>
      <c r="V46" s="1510"/>
      <c r="X46" s="2060"/>
      <c r="Y46" s="2060"/>
      <c r="Z46" s="2060"/>
    </row>
    <row r="47" spans="1:40" ht="12" customHeight="1">
      <c r="A47" s="1510"/>
      <c r="B47" s="1510"/>
      <c r="C47" s="1545" t="str">
        <f>IF(Public,"Source: Capital IQ","")</f>
        <v/>
      </c>
      <c r="D47" s="1545"/>
      <c r="E47" s="1550"/>
      <c r="F47" s="1584"/>
      <c r="G47" s="1527"/>
      <c r="H47" s="1527"/>
      <c r="I47" s="1527"/>
      <c r="J47" s="1527"/>
      <c r="K47" s="1527"/>
      <c r="L47" s="1527"/>
      <c r="M47" s="1532"/>
      <c r="N47" s="1527"/>
      <c r="O47" s="1527"/>
      <c r="P47" s="410"/>
      <c r="Q47" s="1537"/>
      <c r="R47" s="1537"/>
      <c r="S47" s="1537"/>
      <c r="T47" s="1537"/>
      <c r="U47" s="1525"/>
      <c r="V47" s="1510"/>
      <c r="W47" s="1525"/>
      <c r="X47" s="2060"/>
      <c r="Y47" s="2060"/>
      <c r="Z47" s="2060"/>
      <c r="AA47" s="1525"/>
      <c r="AB47" s="1525"/>
      <c r="AC47" s="1525"/>
      <c r="AD47" s="1525"/>
      <c r="AE47" s="1525"/>
      <c r="AF47" s="1525"/>
      <c r="AG47" s="1525"/>
      <c r="AH47" s="1525"/>
      <c r="AI47" s="1525"/>
      <c r="AJ47" s="1525"/>
      <c r="AK47" s="1525"/>
      <c r="AL47" s="1525"/>
      <c r="AM47" s="1525"/>
      <c r="AN47" s="1525"/>
    </row>
    <row r="48" spans="1:40" ht="13.9">
      <c r="A48" s="1510"/>
      <c r="B48" s="1510"/>
      <c r="C48" s="373" t="str">
        <f ca="1">FootnoteDRAFT</f>
        <v>Run date: 05-August-2018  02:34 PM.   DRAFT document. All data subject to change upon completion of additional analysis.</v>
      </c>
      <c r="D48" s="373"/>
      <c r="E48" s="176"/>
      <c r="F48" s="622"/>
      <c r="G48" s="356"/>
      <c r="H48" s="356"/>
      <c r="I48" s="356"/>
      <c r="J48" s="356"/>
      <c r="K48" s="356"/>
      <c r="L48" s="356"/>
      <c r="M48" s="356"/>
      <c r="N48" s="356"/>
      <c r="O48" s="356"/>
      <c r="P48" s="357"/>
      <c r="Q48" s="357"/>
      <c r="R48" s="357"/>
      <c r="S48" s="1525"/>
      <c r="T48" s="357"/>
      <c r="U48" s="358"/>
      <c r="V48" s="1510"/>
      <c r="W48" s="1525"/>
      <c r="X48" s="2060"/>
      <c r="Y48" s="2060"/>
      <c r="Z48" s="2060"/>
      <c r="AA48" s="1525"/>
      <c r="AB48" s="1525"/>
      <c r="AC48" s="1525"/>
      <c r="AD48" s="1525"/>
      <c r="AE48" s="1525"/>
      <c r="AF48" s="1525"/>
      <c r="AG48" s="1525"/>
      <c r="AH48" s="1525"/>
      <c r="AI48" s="1525"/>
      <c r="AJ48" s="1525"/>
      <c r="AK48" s="1525"/>
      <c r="AL48" s="1525"/>
      <c r="AM48" s="1525"/>
      <c r="AN48" s="1525"/>
    </row>
    <row r="49" spans="1:34" s="291" customFormat="1" ht="12" customHeight="1">
      <c r="A49" s="1510" t="s">
        <v>17</v>
      </c>
      <c r="B49" s="1510"/>
      <c r="C49" s="1510"/>
      <c r="D49" s="1510"/>
      <c r="E49" s="1510"/>
      <c r="F49" s="701"/>
      <c r="G49" s="1510"/>
      <c r="H49" s="1510"/>
      <c r="I49" s="1510"/>
      <c r="J49" s="1510"/>
      <c r="K49" s="1510"/>
      <c r="L49" s="1510"/>
      <c r="M49" s="1510"/>
      <c r="N49" s="1510"/>
      <c r="O49" s="1510"/>
      <c r="P49" s="1510"/>
      <c r="Q49" s="1510"/>
      <c r="R49" s="1510"/>
      <c r="S49" s="1510"/>
      <c r="T49" s="1510"/>
      <c r="U49" s="1484" t="s">
        <v>18</v>
      </c>
      <c r="V49" s="1510"/>
      <c r="W49" s="1530"/>
      <c r="X49" s="2060"/>
      <c r="Y49" s="2060"/>
      <c r="Z49" s="2060"/>
      <c r="AA49" s="1530"/>
      <c r="AB49" s="1530"/>
      <c r="AC49" s="1530"/>
      <c r="AD49" s="1530"/>
      <c r="AE49" s="1530"/>
      <c r="AF49" s="1530"/>
      <c r="AG49" s="1530"/>
      <c r="AH49" s="1530"/>
    </row>
    <row r="50" spans="1:34" ht="12" customHeight="1">
      <c r="A50" s="1510"/>
      <c r="B50" s="1510"/>
      <c r="C50" s="1510"/>
      <c r="D50" s="1510"/>
      <c r="E50" s="1510"/>
      <c r="F50" s="701"/>
      <c r="G50" s="1510"/>
      <c r="H50" s="1510"/>
      <c r="I50" s="1510"/>
      <c r="J50" s="1510"/>
      <c r="K50" s="1510"/>
      <c r="L50" s="1510"/>
      <c r="M50" s="1510"/>
      <c r="N50" s="1510"/>
      <c r="O50" s="1510"/>
      <c r="P50" s="1510"/>
      <c r="Q50" s="1510"/>
      <c r="R50" s="1510"/>
      <c r="S50" s="1510"/>
      <c r="T50" s="1510"/>
      <c r="U50" s="1510"/>
      <c r="V50" s="1510"/>
      <c r="W50" s="1525"/>
      <c r="X50" s="2060"/>
      <c r="Y50" s="2060"/>
      <c r="Z50" s="2060"/>
      <c r="AA50" s="1525"/>
      <c r="AB50" s="1525"/>
      <c r="AC50" s="1525"/>
      <c r="AD50" s="1525"/>
      <c r="AE50" s="1525"/>
      <c r="AF50" s="1525"/>
      <c r="AG50" s="1525"/>
      <c r="AH50" s="1525"/>
    </row>
    <row r="51" spans="1:34" ht="12" customHeight="1">
      <c r="A51" s="1525"/>
      <c r="B51" s="1525"/>
      <c r="C51" s="1525"/>
      <c r="D51" s="1525"/>
      <c r="E51" s="1525"/>
      <c r="F51" s="1578"/>
      <c r="G51" s="1525"/>
      <c r="H51" s="1525"/>
      <c r="I51" s="1525"/>
      <c r="J51" s="1525"/>
      <c r="K51" s="1525"/>
      <c r="L51" s="1525"/>
      <c r="M51" s="1525"/>
      <c r="N51" s="1525"/>
      <c r="O51" s="1525"/>
      <c r="P51" s="1525"/>
      <c r="Q51" s="1525"/>
      <c r="R51" s="1525"/>
      <c r="S51" s="1525"/>
      <c r="T51" s="1525"/>
      <c r="U51" s="1525"/>
      <c r="V51" s="1525"/>
      <c r="W51" s="1525"/>
      <c r="X51" s="2060"/>
      <c r="Y51" s="2060"/>
      <c r="Z51" s="2060"/>
      <c r="AA51" s="1525"/>
      <c r="AB51" s="1525"/>
      <c r="AC51" s="1525"/>
      <c r="AD51" s="1525"/>
      <c r="AE51" s="1525"/>
      <c r="AF51" s="1525"/>
      <c r="AG51" s="1525"/>
      <c r="AH51" s="1525"/>
    </row>
    <row r="52" spans="1:34" ht="12" customHeight="1">
      <c r="A52" s="1525"/>
      <c r="B52" s="1525"/>
      <c r="C52" s="1525"/>
      <c r="D52" s="1525"/>
      <c r="E52" s="1525"/>
      <c r="F52" s="1578"/>
      <c r="G52" s="1525"/>
      <c r="H52" s="1525"/>
      <c r="I52" s="1525"/>
      <c r="J52" s="1525"/>
      <c r="K52" s="1525"/>
      <c r="L52" s="1525"/>
      <c r="M52" s="1525"/>
      <c r="N52" s="1525"/>
      <c r="O52" s="1525"/>
      <c r="P52" s="1525"/>
      <c r="Q52" s="1525"/>
      <c r="R52" s="1525"/>
      <c r="S52" s="1525"/>
      <c r="T52" s="1525"/>
      <c r="U52" s="1525"/>
      <c r="V52" s="1530"/>
      <c r="W52" s="1525"/>
      <c r="X52" s="2060"/>
      <c r="Y52" s="2060"/>
      <c r="Z52" s="2060"/>
      <c r="AA52" s="1525"/>
      <c r="AB52" s="1525"/>
      <c r="AC52" s="1525"/>
      <c r="AD52" s="1525"/>
      <c r="AE52" s="1525"/>
      <c r="AF52" s="1525"/>
      <c r="AG52" s="1525"/>
      <c r="AH52" s="1525"/>
    </row>
    <row r="53" spans="1:34" ht="12" customHeight="1">
      <c r="A53" s="1525"/>
      <c r="B53" s="1525"/>
      <c r="C53" s="1525"/>
      <c r="D53" s="1525"/>
      <c r="E53" s="1525"/>
      <c r="F53" s="1578"/>
      <c r="G53" s="1525"/>
      <c r="H53" s="1525"/>
      <c r="I53" s="1525"/>
      <c r="J53" s="1525"/>
      <c r="K53" s="1525"/>
      <c r="L53" s="1525"/>
      <c r="M53" s="1525"/>
      <c r="N53" s="1525"/>
      <c r="O53" s="1525"/>
      <c r="P53" s="1525"/>
      <c r="Q53" s="1525"/>
      <c r="R53" s="1525"/>
      <c r="S53" s="1525"/>
      <c r="T53" s="1525"/>
      <c r="U53" s="1525"/>
      <c r="V53" s="1530"/>
      <c r="W53" s="1525"/>
      <c r="X53" s="2060"/>
      <c r="Y53" s="2060"/>
      <c r="Z53" s="2060"/>
      <c r="AA53" s="1525"/>
      <c r="AB53" s="1525"/>
      <c r="AC53" s="1525"/>
      <c r="AD53" s="1525"/>
      <c r="AE53" s="1525"/>
      <c r="AF53" s="1525"/>
      <c r="AG53" s="1525"/>
      <c r="AH53" s="1525"/>
    </row>
    <row r="54" spans="1:34" ht="12" customHeight="1">
      <c r="A54" s="1525"/>
      <c r="B54" s="1525"/>
      <c r="C54" s="1525"/>
      <c r="D54" s="1525"/>
      <c r="E54" s="1525"/>
      <c r="F54" s="1578"/>
      <c r="G54" s="1525"/>
      <c r="H54" s="1525"/>
      <c r="I54" s="1525"/>
      <c r="J54" s="1525"/>
      <c r="K54" s="1525"/>
      <c r="L54" s="1525"/>
      <c r="M54" s="1525"/>
      <c r="N54" s="1525"/>
      <c r="O54" s="1525"/>
      <c r="P54" s="1525"/>
      <c r="Q54" s="1525"/>
      <c r="R54" s="1525"/>
      <c r="S54" s="1525"/>
      <c r="T54" s="1525"/>
      <c r="U54" s="1525"/>
      <c r="V54" s="1530"/>
      <c r="W54" s="1525"/>
      <c r="X54" s="2060"/>
      <c r="Y54" s="2060"/>
      <c r="Z54" s="2060"/>
      <c r="AA54" s="1525"/>
      <c r="AB54" s="1525"/>
      <c r="AC54" s="1525"/>
      <c r="AD54" s="1525"/>
      <c r="AE54" s="1525"/>
      <c r="AF54" s="1525"/>
      <c r="AG54" s="1525"/>
      <c r="AH54" s="1525"/>
    </row>
    <row r="55" spans="1:34" ht="12" customHeight="1">
      <c r="A55" s="1525"/>
      <c r="B55" s="1525"/>
      <c r="C55" s="1525"/>
      <c r="D55" s="1525"/>
      <c r="E55" s="1525"/>
      <c r="F55" s="1578"/>
      <c r="G55" s="1525"/>
      <c r="H55" s="1525"/>
      <c r="I55" s="1525"/>
      <c r="J55" s="1525"/>
      <c r="K55" s="1525"/>
      <c r="L55" s="1525"/>
      <c r="M55" s="1525"/>
      <c r="N55" s="1525"/>
      <c r="O55" s="1525"/>
      <c r="P55" s="1525"/>
      <c r="Q55" s="1525"/>
      <c r="R55" s="1525"/>
      <c r="S55" s="1525"/>
      <c r="T55" s="1525"/>
      <c r="U55" s="1525"/>
      <c r="V55" s="1530"/>
      <c r="W55" s="1525"/>
      <c r="X55" s="2060"/>
      <c r="Y55" s="2060"/>
      <c r="Z55" s="2060"/>
      <c r="AA55" s="1525"/>
      <c r="AB55" s="1525"/>
      <c r="AC55" s="1525"/>
      <c r="AD55" s="1525"/>
      <c r="AE55" s="1525"/>
      <c r="AF55" s="1525"/>
      <c r="AG55" s="1525"/>
      <c r="AH55" s="1525"/>
    </row>
    <row r="56" spans="1:34" ht="12" customHeight="1">
      <c r="A56" s="1525"/>
      <c r="B56" s="1525"/>
      <c r="C56" s="1525"/>
      <c r="D56" s="1525"/>
      <c r="E56" s="1525"/>
      <c r="F56" s="1578"/>
      <c r="G56" s="1525"/>
      <c r="H56" s="1525"/>
      <c r="I56" s="1525"/>
      <c r="J56" s="1525"/>
      <c r="K56" s="1525"/>
      <c r="L56" s="1525"/>
      <c r="M56" s="1525"/>
      <c r="N56" s="1525"/>
      <c r="O56" s="1525"/>
      <c r="P56" s="1525"/>
      <c r="Q56" s="1525"/>
      <c r="R56" s="1525"/>
      <c r="S56" s="1525"/>
      <c r="T56" s="1525"/>
      <c r="U56" s="1525"/>
      <c r="V56" s="1530"/>
      <c r="W56" s="1525"/>
      <c r="X56" s="2060"/>
      <c r="Y56" s="2060"/>
      <c r="Z56" s="2060"/>
      <c r="AA56" s="1525"/>
      <c r="AB56" s="1525"/>
      <c r="AC56" s="1525"/>
      <c r="AD56" s="1525"/>
      <c r="AE56" s="1525"/>
      <c r="AF56" s="1525"/>
      <c r="AG56" s="1525"/>
      <c r="AH56" s="1525"/>
    </row>
    <row r="57" spans="1:34" ht="12" customHeight="1">
      <c r="A57" s="1525"/>
      <c r="B57" s="1525"/>
      <c r="C57" s="1525"/>
      <c r="D57" s="1525"/>
      <c r="E57" s="1525"/>
      <c r="F57" s="1578"/>
      <c r="G57" s="1525"/>
      <c r="H57" s="1525"/>
      <c r="I57" s="1525"/>
      <c r="J57" s="1525"/>
      <c r="K57" s="1525"/>
      <c r="L57" s="1525"/>
      <c r="M57" s="1525"/>
      <c r="N57" s="1525"/>
      <c r="O57" s="1525"/>
      <c r="P57" s="1525"/>
      <c r="Q57" s="1525"/>
      <c r="R57" s="1525"/>
      <c r="S57" s="1525"/>
      <c r="T57" s="1525"/>
      <c r="U57" s="1525"/>
      <c r="V57" s="1530"/>
      <c r="W57" s="1525"/>
      <c r="X57" s="2060"/>
      <c r="Y57" s="2060"/>
      <c r="Z57" s="2060"/>
      <c r="AA57" s="1525"/>
      <c r="AB57" s="1525"/>
      <c r="AC57" s="1525"/>
      <c r="AD57" s="1525"/>
      <c r="AE57" s="1525"/>
      <c r="AF57" s="1525"/>
      <c r="AG57" s="1525"/>
      <c r="AH57" s="1525"/>
    </row>
    <row r="58" spans="1:34" ht="12" customHeight="1">
      <c r="A58" s="1525"/>
      <c r="B58" s="1525"/>
      <c r="C58" s="1525"/>
      <c r="D58" s="1525"/>
      <c r="E58" s="1525"/>
      <c r="F58" s="1578"/>
      <c r="G58" s="1525"/>
      <c r="H58" s="1525"/>
      <c r="I58" s="1525"/>
      <c r="J58" s="1525"/>
      <c r="K58" s="1525"/>
      <c r="L58" s="1525"/>
      <c r="M58" s="1525"/>
      <c r="N58" s="1525"/>
      <c r="O58" s="1525"/>
      <c r="P58" s="1525"/>
      <c r="Q58" s="1525"/>
      <c r="R58" s="1525"/>
      <c r="S58" s="1525"/>
      <c r="T58" s="1525"/>
      <c r="U58" s="1525"/>
      <c r="V58" s="1530"/>
      <c r="W58" s="1525"/>
      <c r="X58" s="2060"/>
      <c r="Y58" s="2060"/>
      <c r="Z58" s="2060"/>
      <c r="AA58" s="1525"/>
      <c r="AB58" s="1525"/>
      <c r="AC58" s="1525"/>
      <c r="AD58" s="1525"/>
      <c r="AE58" s="1525"/>
      <c r="AF58" s="1525"/>
      <c r="AG58" s="1525"/>
      <c r="AH58" s="1525"/>
    </row>
    <row r="59" spans="1:34" ht="12" customHeight="1">
      <c r="A59" s="1525"/>
      <c r="B59" s="1525"/>
      <c r="C59" s="1525"/>
      <c r="D59" s="1525"/>
      <c r="E59" s="1525"/>
      <c r="F59" s="1578"/>
      <c r="G59" s="1525"/>
      <c r="H59" s="1525"/>
      <c r="I59" s="1525"/>
      <c r="J59" s="1525"/>
      <c r="K59" s="1525"/>
      <c r="L59" s="1525"/>
      <c r="M59" s="1525"/>
      <c r="N59" s="1525"/>
      <c r="O59" s="1525"/>
      <c r="P59" s="1525"/>
      <c r="Q59" s="1525"/>
      <c r="R59" s="1525"/>
      <c r="S59" s="1525"/>
      <c r="T59" s="1525"/>
      <c r="U59" s="1525"/>
      <c r="V59" s="1530"/>
      <c r="W59" s="1525"/>
      <c r="X59" s="2060"/>
      <c r="Y59" s="2060"/>
      <c r="Z59" s="2060"/>
      <c r="AA59" s="1525"/>
      <c r="AB59" s="1525"/>
      <c r="AC59" s="1525"/>
      <c r="AD59" s="1525"/>
      <c r="AE59" s="1525"/>
      <c r="AF59" s="1525"/>
      <c r="AG59" s="1525"/>
      <c r="AH59" s="1525"/>
    </row>
    <row r="60" spans="1:34" ht="12" customHeight="1">
      <c r="A60" s="1525"/>
      <c r="B60" s="1525"/>
      <c r="C60" s="1525"/>
      <c r="D60" s="1525"/>
      <c r="E60" s="1525"/>
      <c r="F60" s="1578"/>
      <c r="G60" s="1525"/>
      <c r="H60" s="1525"/>
      <c r="I60" s="1525"/>
      <c r="J60" s="1525"/>
      <c r="K60" s="1525"/>
      <c r="L60" s="1525"/>
      <c r="M60" s="1525"/>
      <c r="N60" s="1525"/>
      <c r="O60" s="1525"/>
      <c r="P60" s="1525"/>
      <c r="Q60" s="1525"/>
      <c r="R60" s="1525"/>
      <c r="S60" s="1525"/>
      <c r="T60" s="1525"/>
      <c r="U60" s="1525"/>
      <c r="V60" s="1530"/>
      <c r="W60" s="1525"/>
      <c r="X60" s="2060"/>
      <c r="Y60" s="2060"/>
      <c r="Z60" s="2060"/>
      <c r="AA60" s="1525"/>
      <c r="AB60" s="1525"/>
      <c r="AC60" s="1525"/>
      <c r="AD60" s="1525"/>
      <c r="AE60" s="1525"/>
      <c r="AF60" s="1525"/>
      <c r="AG60" s="1525"/>
      <c r="AH60" s="1525"/>
    </row>
    <row r="61" spans="1:34" ht="12" customHeight="1">
      <c r="A61" s="1525"/>
      <c r="B61" s="1525"/>
      <c r="C61" s="1525"/>
      <c r="D61" s="1525"/>
      <c r="E61" s="1525"/>
      <c r="F61" s="1578"/>
      <c r="G61" s="1525"/>
      <c r="H61" s="1525"/>
      <c r="I61" s="1525"/>
      <c r="J61" s="1525"/>
      <c r="K61" s="1525"/>
      <c r="L61" s="1525"/>
      <c r="M61" s="1525"/>
      <c r="N61" s="1525"/>
      <c r="O61" s="1525"/>
      <c r="P61" s="1525"/>
      <c r="Q61" s="1525"/>
      <c r="R61" s="1525"/>
      <c r="S61" s="1525"/>
      <c r="T61" s="1525"/>
      <c r="U61" s="1525"/>
      <c r="V61" s="1530"/>
      <c r="W61" s="1525"/>
      <c r="X61" s="2060"/>
      <c r="Y61" s="2060"/>
      <c r="Z61" s="2060"/>
      <c r="AA61" s="1525"/>
      <c r="AB61" s="1525"/>
      <c r="AC61" s="1525"/>
      <c r="AD61" s="1525"/>
      <c r="AE61" s="1525"/>
      <c r="AF61" s="1525"/>
      <c r="AG61" s="1525"/>
      <c r="AH61" s="1525"/>
    </row>
    <row r="62" spans="1:34" ht="12" customHeight="1">
      <c r="A62" s="1525"/>
      <c r="B62" s="1525"/>
      <c r="C62" s="1525"/>
      <c r="D62" s="1525"/>
      <c r="E62" s="1525"/>
      <c r="F62" s="1578"/>
      <c r="G62" s="1525"/>
      <c r="H62" s="1525"/>
      <c r="I62" s="1525"/>
      <c r="J62" s="1525"/>
      <c r="K62" s="1525"/>
      <c r="L62" s="1525"/>
      <c r="M62" s="1525"/>
      <c r="N62" s="1525"/>
      <c r="O62" s="1525"/>
      <c r="P62" s="1525"/>
      <c r="Q62" s="1525"/>
      <c r="R62" s="1525"/>
      <c r="S62" s="1525"/>
      <c r="T62" s="1525"/>
      <c r="U62" s="1525"/>
      <c r="V62" s="1530"/>
      <c r="W62" s="1525"/>
      <c r="X62" s="2060"/>
      <c r="Y62" s="2060"/>
      <c r="Z62" s="2060"/>
      <c r="AA62" s="1525"/>
      <c r="AB62" s="1525"/>
      <c r="AC62" s="1525"/>
      <c r="AD62" s="1525"/>
      <c r="AE62" s="1525"/>
      <c r="AF62" s="1525"/>
      <c r="AG62" s="1525"/>
      <c r="AH62" s="1525"/>
    </row>
    <row r="63" spans="1:34" ht="12" customHeight="1">
      <c r="A63" s="1525"/>
      <c r="B63" s="1525"/>
      <c r="C63" s="1525"/>
      <c r="D63" s="1525"/>
      <c r="E63" s="1525"/>
      <c r="F63" s="1578"/>
      <c r="G63" s="1525"/>
      <c r="H63" s="1525"/>
      <c r="I63" s="1525"/>
      <c r="J63" s="1525"/>
      <c r="K63" s="1525"/>
      <c r="L63" s="1525"/>
      <c r="M63" s="1525"/>
      <c r="N63" s="1525"/>
      <c r="O63" s="1525"/>
      <c r="P63" s="1525"/>
      <c r="Q63" s="1525"/>
      <c r="R63" s="1525"/>
      <c r="S63" s="1525"/>
      <c r="T63" s="1525"/>
      <c r="U63" s="1525"/>
      <c r="V63" s="1530"/>
      <c r="W63" s="1525"/>
      <c r="X63" s="2060"/>
      <c r="Y63" s="2060"/>
      <c r="Z63" s="2060"/>
      <c r="AA63" s="1525"/>
      <c r="AB63" s="1525"/>
      <c r="AC63" s="1525"/>
      <c r="AD63" s="1525"/>
      <c r="AE63" s="1525"/>
      <c r="AF63" s="1525"/>
      <c r="AG63" s="1525"/>
      <c r="AH63" s="1525"/>
    </row>
    <row r="64" spans="1:34" ht="12" customHeight="1">
      <c r="A64" s="1525"/>
      <c r="B64" s="1525"/>
      <c r="C64" s="1525"/>
      <c r="D64" s="1525"/>
      <c r="E64" s="1525"/>
      <c r="F64" s="1505"/>
      <c r="G64" s="1525"/>
      <c r="H64" s="1525"/>
      <c r="I64" s="1525"/>
      <c r="J64" s="1525"/>
      <c r="K64" s="1525"/>
      <c r="L64" s="1525"/>
      <c r="M64" s="1525"/>
      <c r="N64" s="1525"/>
      <c r="O64" s="1525"/>
      <c r="P64" s="1525"/>
      <c r="Q64" s="1525"/>
      <c r="R64" s="1525"/>
      <c r="S64" s="1525"/>
      <c r="T64" s="1525"/>
      <c r="U64" s="1525"/>
      <c r="V64" s="1530"/>
      <c r="W64" s="1525"/>
      <c r="X64" s="2060"/>
      <c r="Y64" s="2060"/>
      <c r="Z64" s="2060"/>
      <c r="AA64" s="1525"/>
      <c r="AB64" s="1525"/>
      <c r="AC64" s="1525"/>
      <c r="AD64" s="1525"/>
      <c r="AE64" s="1525"/>
      <c r="AF64" s="1525"/>
      <c r="AG64" s="1525"/>
      <c r="AH64" s="1525"/>
    </row>
    <row r="65" spans="6:6" ht="12" customHeight="1">
      <c r="F65" s="1505"/>
    </row>
    <row r="66" spans="6:6" ht="12" customHeight="1">
      <c r="F66" s="1578"/>
    </row>
    <row r="67" spans="6:6" ht="12" customHeight="1">
      <c r="F67" s="1578"/>
    </row>
    <row r="68" spans="6:6" ht="12" customHeight="1">
      <c r="F68" s="1578"/>
    </row>
  </sheetData>
  <conditionalFormatting sqref="B1">
    <cfRule type="cellIs" dxfId="394" priority="10" operator="notEqual">
      <formula>0</formula>
    </cfRule>
  </conditionalFormatting>
  <conditionalFormatting sqref="F24:L26 F28:L28 F30:L31 F34:L34 F21:L22 F13:L19 F10:L11">
    <cfRule type="expression" dxfId="393" priority="5">
      <formula>(Public=TRUE)</formula>
    </cfRule>
  </conditionalFormatting>
  <conditionalFormatting sqref="A2:A50">
    <cfRule type="expression" dxfId="392" priority="3">
      <formula>AND(MasterCheck&gt;0,RedAlertY=TRUE)</formula>
    </cfRule>
  </conditionalFormatting>
  <conditionalFormatting sqref="A6">
    <cfRule type="expression" dxfId="391"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4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FIInput">
    <tabColor rgb="FFFFFF00"/>
    <pageSetUpPr autoPageBreaks="0"/>
  </sheetPr>
  <dimension ref="A1:AT350"/>
  <sheetViews>
    <sheetView showGridLines="0" showWhiteSpace="0" zoomScale="85" zoomScaleNormal="85" zoomScaleSheetLayoutView="80" workbookViewId="0">
      <selection activeCell="G33" sqref="G33"/>
    </sheetView>
  </sheetViews>
  <sheetFormatPr defaultColWidth="9.33203125" defaultRowHeight="12" customHeight="1"/>
  <cols>
    <col min="1" max="1" width="4.33203125" style="334" customWidth="1"/>
    <col min="2" max="2" width="3.83203125" style="285" customWidth="1"/>
    <col min="3" max="3" width="39.5" style="335" customWidth="1"/>
    <col min="4" max="4" width="7.33203125" style="334" customWidth="1"/>
    <col min="5" max="7" width="11.33203125" style="285" customWidth="1"/>
    <col min="8" max="8" width="11.33203125" style="1027" customWidth="1"/>
    <col min="9" max="12" width="11.33203125" style="285" customWidth="1"/>
    <col min="13" max="13" width="11.33203125" style="1027" customWidth="1"/>
    <col min="14" max="17" width="11.33203125" style="285" customWidth="1"/>
    <col min="18" max="18" width="1.83203125" style="1027" customWidth="1"/>
    <col min="19" max="19" width="12.5" style="1027" bestFit="1" customWidth="1"/>
    <col min="20" max="20" width="12.83203125" style="285" customWidth="1"/>
    <col min="21" max="21" width="8.83203125" style="285" customWidth="1"/>
    <col min="22" max="22" width="9.33203125" style="285"/>
    <col min="23" max="23" width="17.33203125" style="285" customWidth="1"/>
    <col min="24" max="24" width="9.33203125" style="285"/>
    <col min="25" max="25" width="25.5" style="285" customWidth="1"/>
    <col min="26" max="26" width="12.5" style="285" bestFit="1" customWidth="1"/>
    <col min="27" max="16384" width="9.33203125" style="285"/>
  </cols>
  <sheetData>
    <row r="1" spans="1:46" ht="18" customHeight="1">
      <c r="A1" s="2060"/>
      <c r="B1" s="1510">
        <f ca="1">SUMPRODUCT(--ISERROR($C$1:T328))+COUNTIF($C$1:T322,Fail)</f>
        <v>0</v>
      </c>
      <c r="C1" s="1372" t="str">
        <f>START!$C$1</f>
        <v>Client Name</v>
      </c>
      <c r="D1" s="292"/>
      <c r="E1" s="852"/>
      <c r="F1" s="852"/>
      <c r="G1" s="852"/>
      <c r="H1" s="852"/>
      <c r="I1" s="852"/>
      <c r="J1" s="852"/>
      <c r="K1" s="852"/>
      <c r="L1" s="852"/>
      <c r="M1" s="852"/>
      <c r="N1" s="852"/>
      <c r="O1" s="852"/>
      <c r="P1" s="1525"/>
      <c r="Q1" s="1525"/>
      <c r="R1" s="1525"/>
      <c r="S1" s="1525"/>
      <c r="T1" s="398" t="s">
        <v>935</v>
      </c>
      <c r="U1" s="1510"/>
      <c r="V1" s="1525"/>
      <c r="W1" s="1525"/>
      <c r="X1" s="1525"/>
      <c r="Y1" s="1525"/>
      <c r="Z1" s="1525"/>
      <c r="AA1" s="1525"/>
      <c r="AB1" s="1525"/>
      <c r="AC1" s="1525"/>
      <c r="AD1" s="1525"/>
      <c r="AE1" s="1525"/>
      <c r="AF1" s="1525"/>
      <c r="AG1" s="1525"/>
      <c r="AH1" s="1525"/>
      <c r="AI1" s="1525"/>
      <c r="AJ1" s="1525"/>
      <c r="AK1" s="1525"/>
      <c r="AL1" s="1525"/>
      <c r="AM1" s="1525"/>
      <c r="AN1" s="1525"/>
      <c r="AO1" s="1525"/>
      <c r="AP1" s="1525"/>
      <c r="AQ1" s="1525"/>
      <c r="AR1" s="1525"/>
      <c r="AS1" s="1525"/>
      <c r="AT1" s="1525"/>
    </row>
    <row r="2" spans="1:46" ht="18" customHeight="1">
      <c r="A2" s="1510"/>
      <c r="B2" s="1510"/>
      <c r="C2" s="1372" t="str">
        <f>START!$C$2</f>
        <v xml:space="preserve">Please enter project description in START worksheet cell G13 </v>
      </c>
      <c r="D2" s="369"/>
      <c r="E2" s="1526"/>
      <c r="F2" s="1526"/>
      <c r="G2" s="647"/>
      <c r="H2" s="1526"/>
      <c r="I2" s="1526"/>
      <c r="J2" s="1526"/>
      <c r="K2" s="1526"/>
      <c r="L2" s="1526"/>
      <c r="M2" s="1526"/>
      <c r="N2" s="1526"/>
      <c r="O2" s="1526"/>
      <c r="P2" s="1526"/>
      <c r="Q2" s="1526"/>
      <c r="R2" s="1526"/>
      <c r="S2" s="1526"/>
      <c r="T2" s="1525"/>
      <c r="U2" s="1510"/>
      <c r="V2" s="1525"/>
      <c r="W2" s="1525"/>
      <c r="X2" s="1525"/>
      <c r="Y2" s="1525"/>
      <c r="Z2" s="1525"/>
      <c r="AA2" s="1525"/>
      <c r="AB2" s="1525"/>
      <c r="AC2" s="1525"/>
      <c r="AD2" s="1525"/>
      <c r="AE2" s="1525"/>
      <c r="AF2" s="1525"/>
      <c r="AG2" s="1525"/>
      <c r="AH2" s="1525"/>
      <c r="AI2" s="1525"/>
      <c r="AJ2" s="1525"/>
      <c r="AK2" s="1525"/>
      <c r="AL2" s="1525"/>
      <c r="AM2" s="1525"/>
      <c r="AN2" s="1525"/>
      <c r="AO2" s="1525"/>
      <c r="AP2" s="1525"/>
      <c r="AQ2" s="1525"/>
      <c r="AR2" s="1525"/>
      <c r="AS2" s="1525"/>
      <c r="AT2" s="1525"/>
    </row>
    <row r="3" spans="1:46" ht="18" customHeight="1">
      <c r="A3" s="1510"/>
      <c r="B3" s="1049"/>
      <c r="C3" s="1373" t="s">
        <v>936</v>
      </c>
      <c r="D3" s="2062"/>
      <c r="E3" s="1526"/>
      <c r="F3" s="1526"/>
      <c r="G3" s="647"/>
      <c r="H3" s="1526"/>
      <c r="I3" s="1526"/>
      <c r="J3" s="1526"/>
      <c r="K3" s="1526"/>
      <c r="L3" s="1526"/>
      <c r="M3" s="1526"/>
      <c r="N3" s="1526"/>
      <c r="O3" s="1526"/>
      <c r="P3" s="1526"/>
      <c r="Q3" s="1526"/>
      <c r="R3" s="1526"/>
      <c r="S3" s="1526"/>
      <c r="T3" s="1525"/>
      <c r="U3" s="1510"/>
      <c r="V3" s="1525"/>
      <c r="W3" s="1525"/>
      <c r="X3" s="1525"/>
      <c r="Y3" s="1525"/>
      <c r="Z3" s="1525"/>
      <c r="AA3" s="1525"/>
      <c r="AB3" s="1525"/>
      <c r="AC3" s="1525"/>
      <c r="AD3" s="1525"/>
      <c r="AE3" s="1525"/>
      <c r="AF3" s="1525"/>
      <c r="AG3" s="1525"/>
      <c r="AH3" s="1525"/>
      <c r="AI3" s="1525"/>
      <c r="AJ3" s="1525"/>
      <c r="AK3" s="1525"/>
      <c r="AL3" s="1525"/>
      <c r="AM3" s="1525"/>
      <c r="AN3" s="1525"/>
      <c r="AO3" s="1525"/>
      <c r="AP3" s="1525"/>
      <c r="AQ3" s="1525"/>
      <c r="AR3" s="1525"/>
      <c r="AS3" s="1525"/>
      <c r="AT3" s="1525"/>
    </row>
    <row r="4" spans="1:46" s="1027" customFormat="1" ht="18" customHeight="1">
      <c r="A4" s="1510"/>
      <c r="B4" s="1049"/>
      <c r="C4" s="1374" t="str">
        <f>ValDateHeading</f>
        <v>Estimation of value as of 28 February 2017</v>
      </c>
      <c r="D4" s="2062"/>
      <c r="E4" s="1526"/>
      <c r="F4" s="1526"/>
      <c r="G4" s="647"/>
      <c r="H4" s="1526"/>
      <c r="I4" s="1526"/>
      <c r="J4" s="1526"/>
      <c r="K4" s="1526"/>
      <c r="L4" s="1526"/>
      <c r="M4" s="1526"/>
      <c r="N4" s="1526"/>
      <c r="O4" s="1526"/>
      <c r="P4" s="1526"/>
      <c r="Q4" s="1526"/>
      <c r="R4" s="1526"/>
      <c r="S4" s="1526"/>
      <c r="T4" s="1525"/>
      <c r="U4" s="1510"/>
      <c r="V4" s="1525"/>
      <c r="W4" s="1525"/>
      <c r="X4" s="1525"/>
      <c r="Y4" s="1525"/>
      <c r="Z4" s="1525"/>
      <c r="AA4" s="1525"/>
      <c r="AB4" s="1525"/>
      <c r="AC4" s="1525"/>
      <c r="AD4" s="1525"/>
      <c r="AE4" s="1525"/>
      <c r="AF4" s="1525"/>
      <c r="AG4" s="1525"/>
      <c r="AH4" s="1525"/>
      <c r="AI4" s="1525"/>
      <c r="AJ4" s="1525"/>
      <c r="AK4" s="1525"/>
      <c r="AL4" s="1525"/>
      <c r="AM4" s="1525"/>
      <c r="AN4" s="1525"/>
      <c r="AO4" s="1525"/>
      <c r="AP4" s="1525"/>
      <c r="AQ4" s="1525"/>
      <c r="AR4" s="1525"/>
      <c r="AS4" s="1525"/>
      <c r="AT4" s="1525"/>
    </row>
    <row r="5" spans="1:46" ht="18" customHeight="1">
      <c r="A5" s="1510" t="s">
        <v>17</v>
      </c>
      <c r="B5" s="1413" t="str">
        <f>IF(MasterCheck,"Please check the "&amp;'Error Check'!$G$8,"")</f>
        <v/>
      </c>
      <c r="C5" s="1412"/>
      <c r="D5" s="340"/>
      <c r="E5" s="1526"/>
      <c r="F5" s="328"/>
      <c r="G5" s="1525"/>
      <c r="H5" s="1526"/>
      <c r="I5" s="1526"/>
      <c r="J5" s="1526"/>
      <c r="K5" s="1526"/>
      <c r="L5" s="1526"/>
      <c r="M5" s="1526"/>
      <c r="N5" s="1526"/>
      <c r="O5" s="1526"/>
      <c r="P5" s="1526"/>
      <c r="Q5" s="1526"/>
      <c r="R5" s="2060"/>
      <c r="S5" s="2060"/>
      <c r="T5" s="1525"/>
      <c r="U5" s="1510"/>
      <c r="V5" s="1525"/>
      <c r="W5" s="1525"/>
      <c r="X5" s="1525"/>
      <c r="Y5" s="1525"/>
      <c r="Z5" s="1525"/>
      <c r="AA5" s="1525"/>
      <c r="AB5" s="1525"/>
      <c r="AC5" s="1525"/>
      <c r="AD5" s="1525"/>
      <c r="AE5" s="1525"/>
      <c r="AF5" s="1525"/>
      <c r="AG5" s="1525"/>
      <c r="AH5" s="1525"/>
      <c r="AI5" s="1525"/>
      <c r="AJ5" s="1525"/>
      <c r="AK5" s="1525"/>
      <c r="AL5" s="1525"/>
      <c r="AM5" s="1525"/>
      <c r="AN5" s="1525"/>
      <c r="AO5" s="1525"/>
      <c r="AP5" s="1525"/>
      <c r="AQ5" s="1525"/>
      <c r="AR5" s="1525"/>
      <c r="AS5" s="1525"/>
      <c r="AT5" s="1525"/>
    </row>
    <row r="6" spans="1:46" ht="13.9">
      <c r="A6" s="1510" t="s">
        <v>17</v>
      </c>
      <c r="B6" s="1510"/>
      <c r="C6" s="2073"/>
      <c r="D6" s="405"/>
      <c r="E6" s="405"/>
      <c r="F6" s="341"/>
      <c r="G6" s="341"/>
      <c r="H6" s="341"/>
      <c r="I6" s="341"/>
      <c r="J6" s="1525"/>
      <c r="K6" s="341"/>
      <c r="L6" s="341"/>
      <c r="M6" s="341"/>
      <c r="N6" s="341"/>
      <c r="O6" s="341"/>
      <c r="P6" s="341"/>
      <c r="Q6" s="341"/>
      <c r="R6" s="2060"/>
      <c r="S6" s="2060"/>
      <c r="T6" s="1525"/>
      <c r="U6" s="1510"/>
      <c r="V6" s="2060"/>
      <c r="W6" s="2060"/>
      <c r="X6" s="2060"/>
      <c r="Y6" s="2060"/>
      <c r="Z6" s="2060"/>
      <c r="AA6" s="2060"/>
      <c r="AB6" s="2060"/>
      <c r="AC6" s="2060"/>
      <c r="AD6" s="2060"/>
      <c r="AE6" s="2060"/>
      <c r="AF6" s="2060"/>
      <c r="AG6" s="2060"/>
      <c r="AH6" s="2060"/>
      <c r="AI6" s="2060"/>
      <c r="AJ6" s="2060"/>
      <c r="AK6" s="2060"/>
      <c r="AL6" s="2060"/>
      <c r="AM6" s="2060"/>
      <c r="AN6" s="2060"/>
      <c r="AO6" s="2060"/>
      <c r="AP6" s="2060"/>
      <c r="AQ6" s="2060"/>
      <c r="AR6" s="2060"/>
      <c r="AS6" s="2060"/>
      <c r="AT6" s="2060"/>
    </row>
    <row r="7" spans="1:46" s="1499" customFormat="1" ht="18">
      <c r="A7" s="659"/>
      <c r="B7" s="659"/>
      <c r="C7" s="1634" t="s">
        <v>937</v>
      </c>
      <c r="D7" s="1635"/>
      <c r="E7" s="1635"/>
      <c r="F7" s="1636"/>
      <c r="G7" s="1640"/>
      <c r="H7" s="1638"/>
      <c r="I7" s="1638"/>
      <c r="J7" s="1638"/>
      <c r="K7" s="1638"/>
      <c r="L7" s="1638"/>
      <c r="M7" s="1638"/>
      <c r="N7" s="1638"/>
      <c r="O7" s="1638"/>
      <c r="P7" s="1638"/>
      <c r="Q7" s="1004"/>
      <c r="R7" s="1004"/>
      <c r="S7" s="1004"/>
      <c r="T7" s="1004"/>
      <c r="U7" s="1510"/>
      <c r="V7" s="2060"/>
      <c r="W7" s="2060"/>
      <c r="X7" s="2060"/>
      <c r="Y7" s="2060"/>
      <c r="Z7" s="2060"/>
      <c r="AA7" s="2060"/>
      <c r="AB7" s="2060"/>
      <c r="AC7" s="2060"/>
      <c r="AD7" s="2060"/>
      <c r="AE7" s="2060"/>
      <c r="AF7" s="2060"/>
      <c r="AG7" s="2060"/>
      <c r="AH7" s="2060"/>
      <c r="AI7" s="2060"/>
      <c r="AJ7" s="2060"/>
      <c r="AK7" s="2060"/>
      <c r="AL7" s="2060"/>
      <c r="AM7" s="2060"/>
      <c r="AN7" s="2060"/>
      <c r="AO7" s="2060"/>
      <c r="AP7" s="2060"/>
      <c r="AQ7" s="2060"/>
      <c r="AR7" s="2060"/>
      <c r="AS7" s="2060"/>
      <c r="AT7" s="2060"/>
    </row>
    <row r="8" spans="1:46" s="1499" customFormat="1" ht="12.75" customHeight="1">
      <c r="A8" s="1004"/>
      <c r="B8" s="1004"/>
      <c r="C8" s="1502"/>
      <c r="D8" s="2060"/>
      <c r="E8" s="1578"/>
      <c r="F8" s="2060"/>
      <c r="G8" s="2060"/>
      <c r="H8" s="145"/>
      <c r="I8" s="2060"/>
      <c r="J8" s="2060"/>
      <c r="K8" s="2060"/>
      <c r="L8" s="2060"/>
      <c r="M8" s="2060"/>
      <c r="N8" s="2060"/>
      <c r="O8" s="2060"/>
      <c r="P8" s="2060"/>
      <c r="Q8" s="2060"/>
      <c r="R8" s="2060"/>
      <c r="S8" s="2060"/>
      <c r="T8" s="2060"/>
      <c r="U8" s="1510"/>
      <c r="V8" s="2060"/>
      <c r="W8" s="2060"/>
      <c r="X8" s="2060"/>
      <c r="Y8" s="2060"/>
      <c r="Z8" s="2060"/>
      <c r="AA8" s="2060"/>
      <c r="AB8" s="2060"/>
      <c r="AC8" s="2060"/>
      <c r="AD8" s="2060"/>
      <c r="AE8" s="2060"/>
      <c r="AF8" s="2060"/>
      <c r="AG8" s="2060"/>
      <c r="AH8" s="2060"/>
      <c r="AI8" s="2060"/>
      <c r="AJ8" s="2060"/>
      <c r="AK8" s="2060"/>
      <c r="AL8" s="2060"/>
      <c r="AM8" s="2060"/>
      <c r="AN8" s="2060"/>
      <c r="AO8" s="2060"/>
      <c r="AP8" s="2060"/>
      <c r="AQ8" s="2060"/>
      <c r="AR8" s="2060"/>
      <c r="AS8" s="2060"/>
      <c r="AT8" s="2060"/>
    </row>
    <row r="9" spans="1:46" s="1499" customFormat="1" ht="12.75" customHeight="1">
      <c r="A9" s="1004"/>
      <c r="B9" s="1004"/>
      <c r="C9" s="1029" t="s">
        <v>938</v>
      </c>
      <c r="D9" s="2060"/>
      <c r="E9" s="2060"/>
      <c r="F9" s="2060"/>
      <c r="G9" s="2060"/>
      <c r="H9" s="1029" t="str">
        <f>"Weighting for "&amp;EVorTIC</f>
        <v>Weighting for TIC</v>
      </c>
      <c r="I9" s="2060"/>
      <c r="J9" s="1365" t="s">
        <v>939</v>
      </c>
      <c r="K9" s="2060"/>
      <c r="L9" s="2060"/>
      <c r="M9" s="2060"/>
      <c r="N9" s="2060"/>
      <c r="O9" s="2060"/>
      <c r="P9" s="2060"/>
      <c r="Q9" s="2060"/>
      <c r="R9" s="2060"/>
      <c r="S9" s="2060"/>
      <c r="T9" s="2060"/>
      <c r="U9" s="1510"/>
      <c r="V9" s="2060"/>
      <c r="W9" s="2060"/>
      <c r="X9" s="2060"/>
      <c r="Y9" s="2060"/>
      <c r="Z9" s="2060"/>
      <c r="AA9" s="2060"/>
      <c r="AB9" s="2060"/>
      <c r="AC9" s="2060"/>
      <c r="AD9" s="2060"/>
      <c r="AE9" s="2060"/>
      <c r="AF9" s="2060"/>
      <c r="AG9" s="2060"/>
      <c r="AH9" s="2060"/>
      <c r="AI9" s="2060"/>
      <c r="AJ9" s="2060"/>
      <c r="AK9" s="2060"/>
      <c r="AL9" s="2060"/>
      <c r="AM9" s="2060"/>
      <c r="AN9" s="2060"/>
      <c r="AO9" s="2060"/>
      <c r="AP9" s="2060"/>
      <c r="AQ9" s="2060"/>
      <c r="AR9" s="2060"/>
      <c r="AS9" s="2060"/>
      <c r="AT9" s="2060"/>
    </row>
    <row r="10" spans="1:46" s="1499" customFormat="1" ht="12.75" customHeight="1">
      <c r="A10" s="1004"/>
      <c r="B10" s="1004"/>
      <c r="C10" s="374" t="s">
        <v>940</v>
      </c>
      <c r="D10" s="374"/>
      <c r="E10" s="1578"/>
      <c r="F10" s="2202">
        <v>0.03</v>
      </c>
      <c r="G10" s="2060"/>
      <c r="H10" s="2202">
        <v>1</v>
      </c>
      <c r="I10" s="2060"/>
      <c r="J10" s="1365" t="s">
        <v>941</v>
      </c>
      <c r="K10" s="2060"/>
      <c r="L10" s="2060"/>
      <c r="M10" s="2060"/>
      <c r="N10" s="2060"/>
      <c r="O10" s="2060"/>
      <c r="P10" s="2060"/>
      <c r="Q10" s="2060"/>
      <c r="R10" s="2060"/>
      <c r="S10" s="2060"/>
      <c r="T10" s="2060"/>
      <c r="U10" s="1510"/>
      <c r="V10" s="2060"/>
      <c r="W10" s="2060"/>
      <c r="X10" s="2060"/>
      <c r="Y10" s="2060"/>
      <c r="Z10" s="2060"/>
      <c r="AA10" s="2060"/>
      <c r="AB10" s="2060"/>
      <c r="AC10" s="2060"/>
      <c r="AD10" s="2060"/>
      <c r="AE10" s="2060"/>
      <c r="AF10" s="2060"/>
      <c r="AG10" s="2060"/>
      <c r="AH10" s="2060"/>
      <c r="AI10" s="2060"/>
      <c r="AJ10" s="2060"/>
      <c r="AK10" s="2060"/>
      <c r="AL10" s="2060"/>
      <c r="AM10" s="2060"/>
      <c r="AN10" s="2060"/>
      <c r="AO10" s="2060"/>
      <c r="AP10" s="2060"/>
      <c r="AQ10" s="2060"/>
      <c r="AR10" s="2060"/>
      <c r="AS10" s="2060"/>
      <c r="AT10" s="2060"/>
    </row>
    <row r="11" spans="1:46" s="1499" customFormat="1" ht="12.75" customHeight="1">
      <c r="A11" s="1004"/>
      <c r="B11" s="1004"/>
      <c r="C11" s="1578"/>
      <c r="D11" s="2060"/>
      <c r="E11" s="2060"/>
      <c r="F11" s="145"/>
      <c r="G11" s="2060"/>
      <c r="H11" s="2060"/>
      <c r="I11" s="2060"/>
      <c r="J11" s="1365" t="s">
        <v>942</v>
      </c>
      <c r="K11" s="2060"/>
      <c r="L11" s="2060"/>
      <c r="M11" s="2060"/>
      <c r="N11" s="2060"/>
      <c r="O11" s="2060"/>
      <c r="P11" s="2060"/>
      <c r="Q11" s="2060"/>
      <c r="R11" s="2060"/>
      <c r="S11" s="2060"/>
      <c r="T11" s="2060"/>
      <c r="U11" s="1510"/>
      <c r="V11" s="2060"/>
      <c r="W11" s="2060"/>
      <c r="X11" s="2060"/>
      <c r="Y11" s="2060"/>
      <c r="Z11" s="2060"/>
      <c r="AA11" s="2060"/>
      <c r="AB11" s="2060"/>
      <c r="AC11" s="2060"/>
      <c r="AD11" s="2060"/>
      <c r="AE11" s="2060"/>
      <c r="AF11" s="2060"/>
      <c r="AG11" s="2060"/>
      <c r="AH11" s="2060"/>
      <c r="AI11" s="2060"/>
      <c r="AJ11" s="2060"/>
      <c r="AK11" s="2060"/>
      <c r="AL11" s="2060"/>
      <c r="AM11" s="2060"/>
      <c r="AN11" s="2060"/>
      <c r="AO11" s="2060"/>
      <c r="AP11" s="2060"/>
      <c r="AQ11" s="2060"/>
      <c r="AR11" s="2060"/>
      <c r="AS11" s="2060"/>
      <c r="AT11" s="2060"/>
    </row>
    <row r="12" spans="1:46" s="1499" customFormat="1" ht="12.75" customHeight="1">
      <c r="A12" s="1004"/>
      <c r="B12" s="1004"/>
      <c r="C12" s="1029" t="s">
        <v>943</v>
      </c>
      <c r="D12" s="2060"/>
      <c r="E12" s="2060"/>
      <c r="F12" s="145"/>
      <c r="G12" s="2060"/>
      <c r="H12" s="2060"/>
      <c r="I12" s="2060"/>
      <c r="J12" s="1365" t="s">
        <v>944</v>
      </c>
      <c r="K12" s="2060"/>
      <c r="L12" s="2060"/>
      <c r="M12" s="2060"/>
      <c r="N12" s="2060"/>
      <c r="O12" s="2060"/>
      <c r="P12" s="2060"/>
      <c r="Q12" s="2060"/>
      <c r="R12" s="2060"/>
      <c r="S12" s="2060"/>
      <c r="T12" s="2060"/>
      <c r="U12" s="1510"/>
      <c r="V12" s="2060"/>
      <c r="W12" s="2060"/>
      <c r="X12" s="2060"/>
      <c r="Y12" s="2060"/>
      <c r="Z12" s="2060"/>
      <c r="AA12" s="2060"/>
      <c r="AB12" s="2060"/>
      <c r="AC12" s="2060"/>
      <c r="AD12" s="2060"/>
      <c r="AE12" s="2060"/>
      <c r="AF12" s="2060"/>
      <c r="AG12" s="2060"/>
      <c r="AH12" s="2060"/>
      <c r="AI12" s="2060"/>
      <c r="AJ12" s="2060"/>
      <c r="AK12" s="2060"/>
      <c r="AL12" s="2060"/>
      <c r="AM12" s="2060"/>
      <c r="AN12" s="2060"/>
      <c r="AO12" s="2060"/>
      <c r="AP12" s="2060"/>
      <c r="AQ12" s="2060"/>
      <c r="AR12" s="2060"/>
      <c r="AS12" s="2060"/>
      <c r="AT12" s="2060"/>
    </row>
    <row r="13" spans="1:46" s="1499" customFormat="1" ht="12.75" customHeight="1">
      <c r="A13" s="1004"/>
      <c r="B13" s="1004"/>
      <c r="C13" s="1525" t="s">
        <v>945</v>
      </c>
      <c r="D13" s="1525"/>
      <c r="E13" s="1525"/>
      <c r="F13" s="2203">
        <v>0</v>
      </c>
      <c r="G13" s="44" t="s">
        <v>946</v>
      </c>
      <c r="H13" s="2060"/>
      <c r="I13" s="2060"/>
      <c r="J13" s="2060"/>
      <c r="K13" s="2060"/>
      <c r="L13" s="2060"/>
      <c r="M13" s="2060"/>
      <c r="N13" s="2060"/>
      <c r="O13" s="2060"/>
      <c r="P13" s="2060"/>
      <c r="Q13" s="2060"/>
      <c r="R13" s="2060"/>
      <c r="S13" s="2060"/>
      <c r="T13" s="2060"/>
      <c r="U13" s="1510"/>
      <c r="V13" s="2060"/>
      <c r="W13" s="2060"/>
      <c r="X13" s="2060"/>
      <c r="Y13" s="2060"/>
      <c r="Z13" s="2060"/>
      <c r="AA13" s="2060"/>
      <c r="AB13" s="2060"/>
      <c r="AC13" s="2060"/>
      <c r="AD13" s="2060"/>
      <c r="AE13" s="2060"/>
      <c r="AF13" s="2060"/>
      <c r="AG13" s="2060"/>
      <c r="AH13" s="2060"/>
      <c r="AI13" s="2060"/>
      <c r="AJ13" s="2060"/>
      <c r="AK13" s="2060"/>
      <c r="AL13" s="2060"/>
      <c r="AM13" s="2060"/>
      <c r="AN13" s="2060"/>
      <c r="AO13" s="2060"/>
      <c r="AP13" s="2060"/>
      <c r="AQ13" s="2060"/>
      <c r="AR13" s="2060"/>
      <c r="AS13" s="2060"/>
      <c r="AT13" s="2060"/>
    </row>
    <row r="14" spans="1:46" s="1499" customFormat="1" ht="12.75" customHeight="1">
      <c r="A14" s="1004"/>
      <c r="B14" s="1004"/>
      <c r="C14" s="30" t="s">
        <v>947</v>
      </c>
      <c r="D14" s="2060"/>
      <c r="E14" s="2060"/>
      <c r="F14" s="2202">
        <v>0</v>
      </c>
      <c r="G14" s="2060"/>
      <c r="H14" s="2202">
        <v>0</v>
      </c>
      <c r="I14" s="2060"/>
      <c r="J14" s="2060"/>
      <c r="K14" s="2060"/>
      <c r="L14" s="2060"/>
      <c r="M14" s="2060"/>
      <c r="N14" s="2060"/>
      <c r="O14" s="2060"/>
      <c r="P14" s="2060"/>
      <c r="Q14" s="2060"/>
      <c r="R14" s="2060"/>
      <c r="S14" s="2060"/>
      <c r="T14" s="2060"/>
      <c r="U14" s="1510"/>
      <c r="V14" s="2060"/>
      <c r="W14" s="2060"/>
      <c r="X14" s="2060"/>
      <c r="Y14" s="2060"/>
      <c r="Z14" s="2060"/>
      <c r="AA14" s="2060"/>
      <c r="AB14" s="2060"/>
      <c r="AC14" s="2060"/>
      <c r="AD14" s="2060"/>
      <c r="AE14" s="2060"/>
      <c r="AF14" s="2060"/>
      <c r="AG14" s="2060"/>
      <c r="AH14" s="2060"/>
      <c r="AI14" s="2060"/>
      <c r="AJ14" s="2060"/>
      <c r="AK14" s="2060"/>
      <c r="AL14" s="2060"/>
      <c r="AM14" s="2060"/>
      <c r="AN14" s="2060"/>
      <c r="AO14" s="2060"/>
      <c r="AP14" s="2060"/>
      <c r="AQ14" s="2060"/>
      <c r="AR14" s="2060"/>
      <c r="AS14" s="2060"/>
      <c r="AT14" s="2060"/>
    </row>
    <row r="15" spans="1:46" s="1499" customFormat="1" ht="12.75" customHeight="1">
      <c r="A15" s="1004"/>
      <c r="B15" s="1004"/>
      <c r="C15" s="1578"/>
      <c r="D15" s="2060"/>
      <c r="E15" s="2060"/>
      <c r="F15" s="145"/>
      <c r="G15" s="2060"/>
      <c r="H15" s="2060"/>
      <c r="I15" s="2060"/>
      <c r="J15" s="2060"/>
      <c r="K15" s="2060"/>
      <c r="L15" s="2060"/>
      <c r="M15" s="2060"/>
      <c r="N15" s="2060"/>
      <c r="O15" s="2060"/>
      <c r="P15" s="2060"/>
      <c r="Q15" s="2060"/>
      <c r="R15" s="2060"/>
      <c r="S15" s="2060"/>
      <c r="T15" s="2060"/>
      <c r="U15" s="1510"/>
      <c r="V15" s="2060"/>
      <c r="W15" s="2060"/>
      <c r="X15" s="2060"/>
      <c r="Y15" s="2060"/>
      <c r="Z15" s="2060"/>
      <c r="AA15" s="2060"/>
      <c r="AB15" s="2060"/>
      <c r="AC15" s="2060"/>
      <c r="AD15" s="2060"/>
      <c r="AE15" s="2060"/>
      <c r="AF15" s="2060"/>
      <c r="AG15" s="2060"/>
      <c r="AH15" s="2060"/>
      <c r="AI15" s="2060"/>
      <c r="AJ15" s="2060"/>
      <c r="AK15" s="2060"/>
      <c r="AL15" s="2060"/>
      <c r="AM15" s="2060"/>
      <c r="AN15" s="2060"/>
      <c r="AO15" s="2060"/>
      <c r="AP15" s="2060"/>
      <c r="AQ15" s="2060"/>
      <c r="AR15" s="2060"/>
      <c r="AS15" s="2060"/>
      <c r="AT15" s="2060"/>
    </row>
    <row r="16" spans="1:46" s="1499" customFormat="1" ht="12.75" customHeight="1">
      <c r="A16" s="1004"/>
      <c r="B16" s="1004"/>
      <c r="C16" s="1029" t="s">
        <v>948</v>
      </c>
      <c r="D16" s="2060"/>
      <c r="E16" s="2060"/>
      <c r="F16" s="145"/>
      <c r="G16" s="2060"/>
      <c r="H16" s="2060"/>
      <c r="I16" s="2060"/>
      <c r="J16" s="2060"/>
      <c r="K16" s="2060"/>
      <c r="L16" s="2060"/>
      <c r="M16" s="2060"/>
      <c r="N16" s="2060"/>
      <c r="O16" s="2060"/>
      <c r="P16" s="2060"/>
      <c r="Q16" s="2060"/>
      <c r="R16" s="2060"/>
      <c r="S16" s="2060"/>
      <c r="T16" s="2060"/>
      <c r="U16" s="1510"/>
      <c r="V16" s="2060"/>
      <c r="W16" s="2060"/>
      <c r="X16" s="2060"/>
      <c r="Y16" s="2060"/>
      <c r="Z16" s="2060"/>
      <c r="AA16" s="2060"/>
      <c r="AB16" s="2060"/>
      <c r="AC16" s="2060"/>
      <c r="AD16" s="2060"/>
      <c r="AE16" s="2060"/>
      <c r="AF16" s="2060"/>
      <c r="AG16" s="2060"/>
      <c r="AH16" s="2060"/>
      <c r="AI16" s="2060"/>
      <c r="AJ16" s="2060"/>
      <c r="AK16" s="2060"/>
      <c r="AL16" s="2060"/>
      <c r="AM16" s="2060"/>
      <c r="AN16" s="2060"/>
      <c r="AO16" s="2060"/>
      <c r="AP16" s="2060"/>
      <c r="AQ16" s="2060"/>
      <c r="AR16" s="2060"/>
      <c r="AS16" s="2060"/>
      <c r="AT16" s="2060"/>
    </row>
    <row r="17" spans="1:46" s="1499" customFormat="1" ht="12.75" customHeight="1">
      <c r="A17" s="1004"/>
      <c r="B17" s="1004"/>
      <c r="C17" s="255" t="s">
        <v>949</v>
      </c>
      <c r="D17" s="2060"/>
      <c r="E17" s="2060"/>
      <c r="F17" s="2204">
        <v>0</v>
      </c>
      <c r="G17" s="2060"/>
      <c r="H17" s="2202">
        <v>0</v>
      </c>
      <c r="I17" s="2060"/>
      <c r="J17" s="2060"/>
      <c r="K17" s="2060"/>
      <c r="L17" s="2060"/>
      <c r="M17" s="2060"/>
      <c r="N17" s="2060"/>
      <c r="O17" s="2060"/>
      <c r="P17" s="2060"/>
      <c r="Q17" s="2060"/>
      <c r="R17" s="2060"/>
      <c r="S17" s="2060"/>
      <c r="T17" s="2060"/>
      <c r="U17" s="1510"/>
      <c r="V17" s="2060"/>
      <c r="W17" s="2060"/>
      <c r="X17" s="2060"/>
      <c r="Y17" s="2060"/>
      <c r="Z17" s="2060"/>
      <c r="AA17" s="2060"/>
      <c r="AB17" s="2060"/>
      <c r="AC17" s="2060"/>
      <c r="AD17" s="2060"/>
      <c r="AE17" s="2060"/>
      <c r="AF17" s="2060"/>
      <c r="AG17" s="2060"/>
      <c r="AH17" s="2060"/>
      <c r="AI17" s="2060"/>
      <c r="AJ17" s="2060"/>
      <c r="AK17" s="2060"/>
      <c r="AL17" s="2060"/>
      <c r="AM17" s="2060"/>
      <c r="AN17" s="2060"/>
      <c r="AO17" s="2060"/>
      <c r="AP17" s="2060"/>
      <c r="AQ17" s="2060"/>
      <c r="AR17" s="2060"/>
      <c r="AS17" s="2060"/>
      <c r="AT17" s="2060"/>
    </row>
    <row r="18" spans="1:46" s="1499" customFormat="1" ht="12.75" customHeight="1">
      <c r="A18" s="1004"/>
      <c r="B18" s="1004"/>
      <c r="C18" s="1578"/>
      <c r="D18" s="2060"/>
      <c r="E18" s="2060"/>
      <c r="F18" s="145"/>
      <c r="G18" s="2060"/>
      <c r="H18" s="936">
        <f>H10+H14+H17</f>
        <v>1</v>
      </c>
      <c r="I18" s="958" t="str">
        <f>IF(H18&lt;&gt;1,"The total weighting must equal 100%","")</f>
        <v/>
      </c>
      <c r="J18" s="2060"/>
      <c r="K18" s="2060"/>
      <c r="L18" s="2060"/>
      <c r="M18" s="2060"/>
      <c r="N18" s="2060"/>
      <c r="O18" s="2060"/>
      <c r="P18" s="2060"/>
      <c r="Q18" s="2060"/>
      <c r="R18" s="2060"/>
      <c r="S18" s="2060"/>
      <c r="T18" s="2060"/>
      <c r="U18" s="1510"/>
      <c r="V18" s="2060"/>
      <c r="W18" s="2060"/>
      <c r="X18" s="2060"/>
      <c r="Y18" s="2060"/>
      <c r="Z18" s="2060"/>
      <c r="AA18" s="2060"/>
      <c r="AB18" s="2060"/>
      <c r="AC18" s="2060"/>
      <c r="AD18" s="2060"/>
      <c r="AE18" s="2060"/>
      <c r="AF18" s="2060"/>
      <c r="AG18" s="2060"/>
      <c r="AH18" s="2060"/>
      <c r="AI18" s="2060"/>
      <c r="AJ18" s="2060"/>
      <c r="AK18" s="2060"/>
      <c r="AL18" s="2060"/>
      <c r="AM18" s="2060"/>
      <c r="AN18" s="2060"/>
      <c r="AO18" s="2060"/>
      <c r="AP18" s="2060"/>
      <c r="AQ18" s="2060"/>
      <c r="AR18" s="2060"/>
      <c r="AS18" s="2060"/>
      <c r="AT18" s="2060"/>
    </row>
    <row r="19" spans="1:46" s="1499" customFormat="1" ht="12.75" customHeight="1">
      <c r="A19" s="1004"/>
      <c r="B19" s="1004"/>
      <c r="C19" s="1578"/>
      <c r="D19" s="2060"/>
      <c r="E19" s="2060"/>
      <c r="F19" s="2060"/>
      <c r="G19" s="2060"/>
      <c r="H19" s="2060"/>
      <c r="I19" s="2060"/>
      <c r="J19" s="2060"/>
      <c r="K19" s="2060"/>
      <c r="L19" s="2060"/>
      <c r="M19" s="2060"/>
      <c r="N19" s="2060"/>
      <c r="O19" s="2060"/>
      <c r="P19" s="2060"/>
      <c r="Q19" s="2060"/>
      <c r="R19" s="2060"/>
      <c r="S19" s="2060"/>
      <c r="T19" s="2060"/>
      <c r="U19" s="1510"/>
      <c r="V19" s="2060"/>
      <c r="W19" s="2060"/>
      <c r="X19" s="2060"/>
      <c r="Y19" s="2060"/>
      <c r="Z19" s="2060"/>
      <c r="AA19" s="2060"/>
      <c r="AB19" s="2060"/>
      <c r="AC19" s="2060"/>
      <c r="AD19" s="2060"/>
      <c r="AE19" s="2060"/>
      <c r="AF19" s="2060"/>
      <c r="AG19" s="2060"/>
      <c r="AH19" s="2060"/>
      <c r="AI19" s="2060"/>
      <c r="AJ19" s="2060"/>
      <c r="AK19" s="2060"/>
      <c r="AL19" s="2060"/>
      <c r="AM19" s="2060"/>
      <c r="AN19" s="2060"/>
      <c r="AO19" s="2060"/>
      <c r="AP19" s="2060"/>
      <c r="AQ19" s="2060"/>
      <c r="AR19" s="2060"/>
      <c r="AS19" s="2060"/>
      <c r="AT19" s="2060"/>
    </row>
    <row r="20" spans="1:46" s="1525" customFormat="1" ht="13.9">
      <c r="A20" s="1510"/>
      <c r="B20" s="1510"/>
      <c r="C20" s="2073"/>
      <c r="D20" s="405"/>
      <c r="E20" s="341"/>
      <c r="F20" s="341"/>
      <c r="G20" s="341">
        <f>COUNTIF(G24:Q24,"&gt;0")</f>
        <v>8</v>
      </c>
      <c r="H20" s="341"/>
      <c r="I20" s="341"/>
      <c r="J20" s="341"/>
      <c r="K20" s="341"/>
      <c r="L20" s="341"/>
      <c r="M20" s="341"/>
      <c r="N20" s="341"/>
      <c r="O20" s="341"/>
      <c r="P20" s="341"/>
      <c r="Q20" s="341"/>
      <c r="R20" s="2060"/>
      <c r="S20" s="2060"/>
      <c r="U20" s="1510"/>
      <c r="V20" s="2060"/>
      <c r="Z20" s="2060"/>
      <c r="AA20" s="2060"/>
      <c r="AB20" s="2060"/>
      <c r="AC20" s="2060"/>
      <c r="AD20" s="2060"/>
      <c r="AE20" s="2060"/>
      <c r="AF20" s="2060"/>
      <c r="AG20" s="2060"/>
      <c r="AH20" s="2060"/>
      <c r="AI20" s="2060"/>
      <c r="AJ20" s="2060"/>
      <c r="AK20" s="2060"/>
      <c r="AL20" s="2060"/>
      <c r="AM20" s="2060"/>
      <c r="AN20" s="2060"/>
      <c r="AO20" s="2060"/>
      <c r="AP20" s="2060"/>
      <c r="AQ20" s="2060"/>
      <c r="AR20" s="2060"/>
      <c r="AS20" s="2060"/>
      <c r="AT20" s="2060"/>
    </row>
    <row r="21" spans="1:46" s="1525" customFormat="1" ht="18">
      <c r="A21" s="1510"/>
      <c r="B21" s="1510"/>
      <c r="C21" s="1634" t="s">
        <v>950</v>
      </c>
      <c r="D21" s="1635"/>
      <c r="E21" s="1635"/>
      <c r="F21" s="1636"/>
      <c r="G21" s="1640"/>
      <c r="H21" s="1638"/>
      <c r="I21" s="1638"/>
      <c r="J21" s="1638"/>
      <c r="K21" s="1638"/>
      <c r="L21" s="1638"/>
      <c r="M21" s="1638"/>
      <c r="N21" s="1638"/>
      <c r="O21" s="1638"/>
      <c r="P21" s="1638"/>
      <c r="Q21" s="1004"/>
      <c r="R21" s="1004"/>
      <c r="S21" s="1004"/>
      <c r="T21" s="1004"/>
      <c r="U21" s="1510"/>
      <c r="V21" s="2060"/>
      <c r="Z21" s="2060"/>
      <c r="AB21" s="2060"/>
      <c r="AC21" s="2060"/>
      <c r="AD21" s="2060"/>
      <c r="AE21" s="2060"/>
      <c r="AF21" s="2060"/>
      <c r="AG21" s="2060"/>
      <c r="AH21" s="2060"/>
      <c r="AI21" s="2060"/>
      <c r="AJ21" s="2060"/>
      <c r="AK21" s="2060"/>
      <c r="AL21" s="2060"/>
      <c r="AM21" s="2060"/>
      <c r="AN21" s="2060"/>
      <c r="AO21" s="2060"/>
      <c r="AP21" s="2060"/>
      <c r="AQ21" s="2060"/>
      <c r="AR21" s="2060"/>
      <c r="AS21" s="2060"/>
      <c r="AT21" s="2060"/>
    </row>
    <row r="22" spans="1:46" s="1499" customFormat="1" ht="18">
      <c r="A22" s="1510"/>
      <c r="B22" s="659"/>
      <c r="C22" s="1994" t="s">
        <v>951</v>
      </c>
      <c r="D22" s="1635"/>
      <c r="E22" s="1635"/>
      <c r="F22" s="1636"/>
      <c r="G22" s="1640"/>
      <c r="H22" s="1638"/>
      <c r="I22" s="1638"/>
      <c r="J22" s="1638"/>
      <c r="K22" s="1638"/>
      <c r="L22" s="1638"/>
      <c r="M22" s="1638"/>
      <c r="N22" s="1638"/>
      <c r="O22" s="1638"/>
      <c r="P22" s="1638"/>
      <c r="Q22" s="1004"/>
      <c r="R22" s="1004"/>
      <c r="S22" s="1004"/>
      <c r="T22" s="1004"/>
      <c r="U22" s="1510"/>
      <c r="V22" s="2060"/>
      <c r="W22" s="2060"/>
      <c r="X22" s="2060"/>
      <c r="Y22" s="2060"/>
      <c r="Z22" s="2060"/>
      <c r="AA22" s="2060"/>
      <c r="AB22" s="2060"/>
      <c r="AC22" s="2060"/>
      <c r="AD22" s="2060"/>
      <c r="AE22" s="2060"/>
      <c r="AF22" s="2060"/>
      <c r="AG22" s="2060"/>
      <c r="AH22" s="2060"/>
      <c r="AI22" s="2060"/>
      <c r="AJ22" s="2060"/>
      <c r="AK22" s="2060"/>
      <c r="AL22" s="2060"/>
      <c r="AM22" s="2060"/>
      <c r="AN22" s="2060"/>
      <c r="AO22" s="2060"/>
      <c r="AP22" s="2060"/>
      <c r="AQ22" s="2060"/>
      <c r="AR22" s="2060"/>
      <c r="AS22" s="2060"/>
      <c r="AT22" s="2060"/>
    </row>
    <row r="23" spans="1:46" s="334" customFormat="1" ht="13.9">
      <c r="A23" s="1510" t="s">
        <v>17</v>
      </c>
      <c r="B23" s="1510"/>
      <c r="C23" s="1175"/>
      <c r="D23" s="1175"/>
      <c r="E23" s="1175">
        <f>PFIAnchor-1</f>
        <v>-1</v>
      </c>
      <c r="F23" s="1176">
        <v>0</v>
      </c>
      <c r="G23" s="1175">
        <f>IF(StubY,0,1)</f>
        <v>0</v>
      </c>
      <c r="H23" s="1175">
        <f>IF(MAX($G23:G23)&lt;NoOfPFIYrs,G23+1,"")</f>
        <v>1</v>
      </c>
      <c r="I23" s="1175">
        <f>IF(MAX($G23:H23)&lt;NoOfPFIYrs,H23+1,"")</f>
        <v>2</v>
      </c>
      <c r="J23" s="1175">
        <f>IF(MAX($G23:I23)&lt;NoOfPFIYrs,I23+1,"")</f>
        <v>3</v>
      </c>
      <c r="K23" s="1175">
        <f>IF(MAX($G23:J23)&lt;NoOfPFIYrs,J23+1,"")</f>
        <v>4</v>
      </c>
      <c r="L23" s="1175">
        <f>IF(MAX($G23:K23)&lt;NoOfPFIYrs,K23+1,"")</f>
        <v>5</v>
      </c>
      <c r="M23" s="1175">
        <f>IF(MAX($G23:L23)&lt;NoOfPFIYrs,L23+1,"")</f>
        <v>6</v>
      </c>
      <c r="N23" s="1175">
        <f>IF(MAX($G23:M23)&lt;NoOfPFIYrs,M23+1,"")</f>
        <v>7</v>
      </c>
      <c r="O23" s="1175" t="str">
        <f>IF(MAX($G23:N23)&lt;NoOfPFIYrs,N23+1,"")</f>
        <v/>
      </c>
      <c r="P23" s="1175" t="str">
        <f>IF(MAX($G23:O23)&lt;NoOfPFIYrs,O23+1,"")</f>
        <v/>
      </c>
      <c r="Q23" s="1175" t="str">
        <f>IF(MAX($G23:P23)&lt;NoOfPFIYrs,P23+1,"")</f>
        <v/>
      </c>
      <c r="R23" s="1175" t="str">
        <f>IF(MAX($G23:Q23)&lt;NoOfPFIYrs,Q23+1,"")</f>
        <v/>
      </c>
      <c r="S23" s="1175" t="str">
        <f>IF(MAX($G23:R23)&lt;NoOfPFIYrs,R23+1,"")</f>
        <v/>
      </c>
      <c r="T23" s="1175" t="str">
        <f>IF(MAX($G23:S23)&lt;NoOfPFIYrs,S23+1,"")</f>
        <v/>
      </c>
      <c r="U23" s="1510"/>
      <c r="V23" s="2060"/>
      <c r="W23" s="1525"/>
      <c r="X23" s="1525"/>
      <c r="Y23" s="1525"/>
      <c r="Z23" s="2060"/>
      <c r="AA23" s="2060"/>
      <c r="AB23" s="2060"/>
      <c r="AC23" s="2060"/>
      <c r="AD23" s="2060"/>
      <c r="AE23" s="2060"/>
      <c r="AF23" s="2060"/>
      <c r="AG23" s="2060"/>
      <c r="AH23" s="2060"/>
      <c r="AI23" s="2060"/>
      <c r="AJ23" s="2060"/>
      <c r="AK23" s="2060"/>
      <c r="AL23" s="2060"/>
      <c r="AM23" s="2060"/>
      <c r="AN23" s="2060"/>
      <c r="AO23" s="2060"/>
      <c r="AP23" s="2060"/>
      <c r="AQ23" s="2060"/>
      <c r="AR23" s="2060"/>
      <c r="AS23" s="2060"/>
      <c r="AT23" s="2060"/>
    </row>
    <row r="24" spans="1:46" s="334" customFormat="1" ht="13.9">
      <c r="A24" s="1510" t="s">
        <v>17</v>
      </c>
      <c r="B24" s="1510"/>
      <c r="C24" s="405"/>
      <c r="D24" s="405"/>
      <c r="E24" s="1006"/>
      <c r="F24" s="1008"/>
      <c r="G24" s="1007">
        <f>IF(StubY,MonthsInStub/12,1)</f>
        <v>0.5</v>
      </c>
      <c r="H24" s="1006">
        <f>IF(H23="",0,1)</f>
        <v>1</v>
      </c>
      <c r="I24" s="1006">
        <f t="shared" ref="I24:Q24" si="0">IF(I23="",0,1)</f>
        <v>1</v>
      </c>
      <c r="J24" s="1006">
        <f t="shared" si="0"/>
        <v>1</v>
      </c>
      <c r="K24" s="1006">
        <f t="shared" si="0"/>
        <v>1</v>
      </c>
      <c r="L24" s="1006">
        <f t="shared" si="0"/>
        <v>1</v>
      </c>
      <c r="M24" s="1006">
        <f t="shared" si="0"/>
        <v>1</v>
      </c>
      <c r="N24" s="1006">
        <f t="shared" si="0"/>
        <v>1</v>
      </c>
      <c r="O24" s="1006">
        <f t="shared" si="0"/>
        <v>0</v>
      </c>
      <c r="P24" s="1006">
        <f t="shared" si="0"/>
        <v>0</v>
      </c>
      <c r="Q24" s="1006">
        <f t="shared" si="0"/>
        <v>0</v>
      </c>
      <c r="R24" s="2060"/>
      <c r="S24" s="2060"/>
      <c r="T24" s="1525"/>
      <c r="U24" s="1510"/>
      <c r="V24" s="2060"/>
      <c r="W24" s="1525"/>
      <c r="X24" s="1525"/>
      <c r="Y24" s="1525"/>
      <c r="Z24" s="2060"/>
      <c r="AA24" s="2060"/>
      <c r="AB24" s="2060"/>
      <c r="AC24" s="2060"/>
      <c r="AD24" s="2060"/>
      <c r="AE24" s="2060"/>
      <c r="AF24" s="2060"/>
      <c r="AG24" s="2060"/>
      <c r="AH24" s="2060"/>
      <c r="AI24" s="2060"/>
      <c r="AJ24" s="2060"/>
      <c r="AK24" s="2060"/>
      <c r="AL24" s="2060"/>
      <c r="AM24" s="2060"/>
      <c r="AN24" s="2060"/>
      <c r="AO24" s="2060"/>
      <c r="AP24" s="2060"/>
      <c r="AQ24" s="2060"/>
      <c r="AR24" s="2060"/>
      <c r="AS24" s="2060"/>
      <c r="AT24" s="2060"/>
    </row>
    <row r="25" spans="1:46" ht="13.9">
      <c r="A25" s="1510"/>
      <c r="B25" s="1510"/>
      <c r="C25" s="830"/>
      <c r="D25" s="830"/>
      <c r="E25" s="831"/>
      <c r="F25" s="1131" t="str">
        <f>IF(StubY,"YTD "&amp;12-MonthsInStub&amp;" mos","")</f>
        <v>YTD 6 mos</v>
      </c>
      <c r="G25" s="1132" t="str">
        <f>IF(StubY,ROUND(MonthsInStub,0)&amp;" mos","")</f>
        <v>6 mos</v>
      </c>
      <c r="H25" s="1814" t="str">
        <f>REPT("             ",NoOfPFIYrs/2)&amp;'BAL SHEET Hist Input'!$F$8</f>
        <v xml:space="preserve">                                       For years ended March 31</v>
      </c>
      <c r="I25" s="1814"/>
      <c r="J25" s="1815"/>
      <c r="K25" s="1815"/>
      <c r="L25" s="1815"/>
      <c r="M25" s="1814"/>
      <c r="N25" s="1815"/>
      <c r="O25" s="1815"/>
      <c r="P25" s="1815"/>
      <c r="Q25" s="1815"/>
      <c r="R25" s="588"/>
      <c r="S25" s="1140" t="s">
        <v>952</v>
      </c>
      <c r="T25" s="1525"/>
      <c r="U25" s="1510"/>
      <c r="V25" s="2060"/>
      <c r="W25" s="1525"/>
      <c r="X25" s="1525"/>
      <c r="Y25" s="1525"/>
      <c r="Z25" s="2060"/>
      <c r="AA25" s="2060"/>
      <c r="AB25" s="2060"/>
      <c r="AC25" s="2060"/>
      <c r="AD25" s="2060"/>
      <c r="AE25" s="2060"/>
      <c r="AF25" s="2060"/>
      <c r="AG25" s="2060"/>
      <c r="AH25" s="2060"/>
      <c r="AI25" s="2060"/>
      <c r="AJ25" s="2060"/>
      <c r="AK25" s="2060"/>
      <c r="AL25" s="2060"/>
      <c r="AM25" s="2060"/>
      <c r="AN25" s="2060"/>
      <c r="AO25" s="2060"/>
      <c r="AP25" s="2060"/>
      <c r="AQ25" s="2060"/>
      <c r="AR25" s="2060"/>
      <c r="AS25" s="2060"/>
      <c r="AT25" s="2060"/>
    </row>
    <row r="26" spans="1:46" ht="13.9">
      <c r="A26" s="1510"/>
      <c r="B26" s="1510"/>
      <c r="C26" s="1375" t="str">
        <f>SubjCurrencyHeading</f>
        <v>(USD in Millions)</v>
      </c>
      <c r="D26" s="832"/>
      <c r="E26" s="1811">
        <f>IF(StubY,'INC STAT Hist Input'!J9,'INC STAT Hist Input'!I9)</f>
        <v>42460</v>
      </c>
      <c r="F26" s="1654">
        <f>'INC STAT Hist Input'!L9</f>
        <v>42643</v>
      </c>
      <c r="G26" s="1648">
        <f>IF(StubY,EOMONTH(E26,12),EOMONTH(F26,12))</f>
        <v>42825</v>
      </c>
      <c r="H26" s="1648">
        <f t="shared" ref="H26:Q26" si="1">IF(G23&gt;=NoOfPFIYrs,0,EOMONTH(G26,12))</f>
        <v>43190</v>
      </c>
      <c r="I26" s="1648">
        <f t="shared" si="1"/>
        <v>43555</v>
      </c>
      <c r="J26" s="1648">
        <f t="shared" si="1"/>
        <v>43921</v>
      </c>
      <c r="K26" s="1648">
        <f t="shared" si="1"/>
        <v>44286</v>
      </c>
      <c r="L26" s="1648">
        <f t="shared" si="1"/>
        <v>44651</v>
      </c>
      <c r="M26" s="1648">
        <f t="shared" si="1"/>
        <v>45016</v>
      </c>
      <c r="N26" s="1648">
        <f t="shared" si="1"/>
        <v>45382</v>
      </c>
      <c r="O26" s="1648">
        <f t="shared" si="1"/>
        <v>0</v>
      </c>
      <c r="P26" s="1648">
        <f t="shared" si="1"/>
        <v>0</v>
      </c>
      <c r="Q26" s="1648">
        <f t="shared" si="1"/>
        <v>0</v>
      </c>
      <c r="R26" s="588"/>
      <c r="S26" s="1648">
        <f>MAX(G26:Q26)</f>
        <v>45382</v>
      </c>
      <c r="T26" s="2060"/>
      <c r="U26" s="1510"/>
      <c r="V26" s="2060"/>
      <c r="W26" s="1525"/>
      <c r="X26" s="1525"/>
      <c r="Y26" s="1525"/>
      <c r="Z26" s="2060"/>
      <c r="AA26" s="2060"/>
      <c r="AB26" s="2060"/>
      <c r="AC26" s="2060"/>
      <c r="AD26" s="2060"/>
      <c r="AE26" s="2060"/>
      <c r="AF26" s="2060"/>
      <c r="AG26" s="2060"/>
      <c r="AH26" s="2060"/>
      <c r="AI26" s="2060"/>
      <c r="AJ26" s="2060"/>
      <c r="AK26" s="2060"/>
      <c r="AL26" s="2060"/>
      <c r="AM26" s="2060"/>
      <c r="AN26" s="2060"/>
      <c r="AO26" s="2060"/>
      <c r="AP26" s="2060"/>
      <c r="AQ26" s="2060"/>
      <c r="AR26" s="2060"/>
      <c r="AS26" s="2060"/>
      <c r="AT26" s="2060"/>
    </row>
    <row r="27" spans="1:46" s="334" customFormat="1" ht="15.6">
      <c r="A27" s="1510"/>
      <c r="B27" s="1510"/>
      <c r="C27" s="1996" t="s">
        <v>892</v>
      </c>
      <c r="D27" s="559"/>
      <c r="E27" s="872"/>
      <c r="F27" s="1009"/>
      <c r="G27" s="873"/>
      <c r="H27" s="873"/>
      <c r="I27" s="328"/>
      <c r="J27" s="873"/>
      <c r="K27" s="873"/>
      <c r="L27" s="873"/>
      <c r="M27" s="873"/>
      <c r="N27" s="873"/>
      <c r="O27" s="873"/>
      <c r="P27" s="873"/>
      <c r="Q27" s="873"/>
      <c r="R27" s="2060"/>
      <c r="S27" s="873"/>
      <c r="T27" s="2060"/>
      <c r="U27" s="1510"/>
      <c r="V27" s="1525"/>
      <c r="W27" s="2060"/>
      <c r="X27" s="2060"/>
      <c r="Y27" s="1525"/>
      <c r="Z27" s="1525"/>
      <c r="AA27" s="1525"/>
      <c r="AB27" s="1525"/>
      <c r="AC27" s="1525"/>
      <c r="AD27" s="1525"/>
      <c r="AE27" s="1525"/>
      <c r="AF27" s="1525"/>
      <c r="AG27" s="1525"/>
      <c r="AH27" s="1525"/>
      <c r="AI27" s="1525"/>
      <c r="AJ27" s="1525"/>
      <c r="AK27" s="1525"/>
      <c r="AL27" s="1525"/>
      <c r="AM27" s="1525"/>
      <c r="AN27" s="1525"/>
      <c r="AO27" s="1525"/>
      <c r="AP27" s="1525"/>
      <c r="AQ27" s="1525"/>
      <c r="AR27" s="1525"/>
      <c r="AS27" s="1525"/>
      <c r="AT27" s="1525"/>
    </row>
    <row r="28" spans="1:46" ht="13.9">
      <c r="A28" s="1510"/>
      <c r="B28" s="1510"/>
      <c r="C28" s="304" t="s">
        <v>463</v>
      </c>
      <c r="D28" s="1528"/>
      <c r="E28" s="328">
        <f>IF(StubY,'INC STAT Hist Input'!J10,'INC STAT Hist Input'!I10)</f>
        <v>0</v>
      </c>
      <c r="F28" s="1010">
        <f>IF(StubY,'INC STAT Hist Input'!L10,'INC STAT Hist Input'!J10)</f>
        <v>0</v>
      </c>
      <c r="G28" s="328">
        <f>SUMIFS($E28:F28,$E23:F23,G23-1)*(1+G31)-IF(F23=G23,F28,0)</f>
        <v>0</v>
      </c>
      <c r="H28" s="328">
        <f>SUMIFS($E28:G28,$E23:G23,H23-1)*(1+H31)-IF(G23=H23,G28,0)</f>
        <v>0</v>
      </c>
      <c r="I28" s="328">
        <f>SUMIFS($E28:H28,$E23:H23,I23-1)*(1+I31)-IF(H23=I23,H28,0)</f>
        <v>0</v>
      </c>
      <c r="J28" s="328">
        <f>SUMIFS($E28:I28,$E23:I23,J23-1)*(1+J31)-IF(I23=J23,I28,0)</f>
        <v>0</v>
      </c>
      <c r="K28" s="328">
        <f>SUMIFS($E28:J28,$E23:J23,K23-1)*(1+K31)-IF(J23=K23,J28,0)</f>
        <v>0</v>
      </c>
      <c r="L28" s="328">
        <f>SUMIFS($E28:K28,$E23:K23,L23-1)*(1+L31)-IF(K23=L23,K28,0)</f>
        <v>0</v>
      </c>
      <c r="M28" s="328">
        <f>SUMIFS($E28:L28,$E23:L23,M23-1)*(1+M31)-IF(L23=M23,L28,0)</f>
        <v>0</v>
      </c>
      <c r="N28" s="328">
        <f>SUMIFS($E28:M28,$E23:M23,N23-1)*(1+N31)-IF(M23=N23,M28,0)</f>
        <v>0</v>
      </c>
      <c r="O28" s="328">
        <f>SUMIFS($E28:N28,$E23:N23,O23-1)*(1+O31)-IF(N23=O23,N28,0)</f>
        <v>0</v>
      </c>
      <c r="P28" s="328">
        <f>SUMIFS($E28:O28,$E23:O23,P23-1)*(1+P31)-IF(O23=P23,O28,0)</f>
        <v>0</v>
      </c>
      <c r="Q28" s="328">
        <f>SUMIFS($E28:P28,$E23:P23,Q23-1)*(1+Q31)-IF(P23=Q23,P28,0)</f>
        <v>0</v>
      </c>
      <c r="R28" s="2060"/>
      <c r="S28" s="1385">
        <f>SUMIFS($G28:$Q28,$G$26:$Q$26,$S$26)</f>
        <v>0</v>
      </c>
      <c r="T28" s="1136"/>
      <c r="U28" s="1510"/>
      <c r="V28" s="1525"/>
      <c r="W28" s="2060"/>
      <c r="X28" s="2060"/>
      <c r="Y28" s="1525"/>
      <c r="Z28" s="1525"/>
      <c r="AA28" s="1525"/>
      <c r="AB28" s="1525"/>
      <c r="AC28" s="1525"/>
      <c r="AD28" s="1525"/>
      <c r="AE28" s="1525"/>
      <c r="AF28" s="1525"/>
      <c r="AG28" s="1525"/>
      <c r="AH28" s="1525"/>
      <c r="AI28" s="1525"/>
      <c r="AJ28" s="1525"/>
      <c r="AK28" s="1525"/>
      <c r="AL28" s="1525"/>
      <c r="AM28" s="1525"/>
      <c r="AN28" s="1525"/>
      <c r="AO28" s="1525"/>
      <c r="AP28" s="1525"/>
      <c r="AQ28" s="1525"/>
      <c r="AR28" s="1525"/>
      <c r="AS28" s="1525"/>
      <c r="AT28" s="1525"/>
    </row>
    <row r="29" spans="1:46" s="334" customFormat="1" ht="13.9">
      <c r="A29" s="1510"/>
      <c r="B29" s="1510"/>
      <c r="C29" s="304" t="s">
        <v>953</v>
      </c>
      <c r="D29" s="1528"/>
      <c r="E29" s="2060"/>
      <c r="F29" s="1011"/>
      <c r="G29" s="1064"/>
      <c r="H29" s="1064"/>
      <c r="I29" s="1064"/>
      <c r="J29" s="1064"/>
      <c r="K29" s="1064"/>
      <c r="L29" s="1064"/>
      <c r="M29" s="1064"/>
      <c r="N29" s="1064"/>
      <c r="O29" s="1064"/>
      <c r="P29" s="1064"/>
      <c r="Q29" s="1064"/>
      <c r="R29" s="2060"/>
      <c r="S29" s="43"/>
      <c r="T29" s="2060"/>
      <c r="U29" s="1510"/>
      <c r="V29" s="1525"/>
      <c r="W29" s="2060"/>
      <c r="X29" s="2060"/>
      <c r="Y29" s="1525"/>
      <c r="Z29" s="1525"/>
      <c r="AA29" s="1525"/>
      <c r="AB29" s="1525"/>
      <c r="AC29" s="1525"/>
      <c r="AD29" s="1525"/>
      <c r="AE29" s="1525"/>
      <c r="AF29" s="1525"/>
      <c r="AG29" s="1525"/>
      <c r="AH29" s="1525"/>
      <c r="AI29" s="1525"/>
      <c r="AJ29" s="1525"/>
      <c r="AK29" s="1525"/>
      <c r="AL29" s="1525"/>
      <c r="AM29" s="1525"/>
      <c r="AN29" s="1525"/>
      <c r="AO29" s="1525"/>
      <c r="AP29" s="1525"/>
      <c r="AQ29" s="1525"/>
      <c r="AR29" s="1525"/>
      <c r="AS29" s="1525"/>
      <c r="AT29" s="1525"/>
    </row>
    <row r="30" spans="1:46" s="334" customFormat="1" ht="13.9">
      <c r="A30" s="1510"/>
      <c r="B30" s="1510"/>
      <c r="C30" s="1376" t="s">
        <v>954</v>
      </c>
      <c r="D30" s="1528"/>
      <c r="E30" s="328"/>
      <c r="F30" s="1010"/>
      <c r="G30" s="6"/>
      <c r="H30" s="6"/>
      <c r="I30" s="6"/>
      <c r="J30" s="6"/>
      <c r="K30" s="6"/>
      <c r="L30" s="6"/>
      <c r="M30" s="6"/>
      <c r="N30" s="6"/>
      <c r="O30" s="6"/>
      <c r="P30" s="6"/>
      <c r="Q30" s="6"/>
      <c r="R30" s="2060"/>
      <c r="S30" s="1370"/>
      <c r="T30" s="2060"/>
      <c r="U30" s="1510"/>
      <c r="V30" s="1525"/>
      <c r="W30" s="2060"/>
      <c r="X30" s="2060"/>
      <c r="Y30" s="1525"/>
      <c r="Z30" s="1525"/>
      <c r="AA30" s="1525"/>
      <c r="AB30" s="1525"/>
      <c r="AC30" s="1525"/>
      <c r="AD30" s="1525"/>
      <c r="AE30" s="1525"/>
      <c r="AF30" s="1525"/>
      <c r="AG30" s="1525"/>
      <c r="AH30" s="1525"/>
      <c r="AI30" s="1525"/>
      <c r="AJ30" s="1525"/>
      <c r="AK30" s="1525"/>
      <c r="AL30" s="1525"/>
      <c r="AM30" s="1525"/>
      <c r="AN30" s="1525"/>
      <c r="AO30" s="1525"/>
      <c r="AP30" s="1525"/>
      <c r="AQ30" s="1525"/>
      <c r="AR30" s="1525"/>
      <c r="AS30" s="1525"/>
      <c r="AT30" s="1525"/>
    </row>
    <row r="31" spans="1:46" s="1525" customFormat="1" ht="13.9">
      <c r="A31" s="1510"/>
      <c r="B31" s="1510"/>
      <c r="C31" s="304" t="s">
        <v>955</v>
      </c>
      <c r="D31" s="1528"/>
      <c r="E31" s="1364" t="str">
        <f>IF(StubY,'INC STAT Hist Input'!J37,'INC STAT Hist Input'!I37)</f>
        <v>n/a</v>
      </c>
      <c r="F31" s="1740" t="str">
        <f>('INC STAT Hist Input'!S37)</f>
        <v>n/a</v>
      </c>
      <c r="G31" s="1627">
        <f t="shared" ref="G31:Q31" si="2">IFERROR(IF(G29,SUMIFS($E$29:$Q$29,$E$23:$Q$23,G23)/(SUMIFS($E$28:$Q$28,$E$23:$Q$23,G23-1))-1,IF(ISNUMBER(G30),G30,IF(F31="n/a",E31,F31)))*(ISNUMBER(G$23)*1),0)</f>
        <v>0</v>
      </c>
      <c r="H31" s="1627">
        <f t="shared" si="2"/>
        <v>0</v>
      </c>
      <c r="I31" s="1627">
        <f t="shared" si="2"/>
        <v>0</v>
      </c>
      <c r="J31" s="1627">
        <f t="shared" si="2"/>
        <v>0</v>
      </c>
      <c r="K31" s="1627">
        <f t="shared" si="2"/>
        <v>0</v>
      </c>
      <c r="L31" s="1627">
        <f t="shared" si="2"/>
        <v>0</v>
      </c>
      <c r="M31" s="1627">
        <f t="shared" si="2"/>
        <v>0</v>
      </c>
      <c r="N31" s="1627">
        <f t="shared" si="2"/>
        <v>0</v>
      </c>
      <c r="O31" s="1627">
        <f t="shared" si="2"/>
        <v>0</v>
      </c>
      <c r="P31" s="1627">
        <f t="shared" si="2"/>
        <v>0</v>
      </c>
      <c r="Q31" s="1627">
        <f t="shared" si="2"/>
        <v>0</v>
      </c>
      <c r="R31" s="2060"/>
      <c r="S31" s="1370"/>
      <c r="T31" s="2060"/>
      <c r="U31" s="1510"/>
      <c r="W31" s="2060"/>
      <c r="X31" s="2060"/>
    </row>
    <row r="32" spans="1:46" s="334" customFormat="1" ht="13.9">
      <c r="A32" s="1510"/>
      <c r="B32" s="1510"/>
      <c r="C32" s="304"/>
      <c r="D32" s="1528"/>
      <c r="E32" s="328"/>
      <c r="F32" s="1010"/>
      <c r="G32" s="328"/>
      <c r="H32" s="328"/>
      <c r="I32" s="328"/>
      <c r="J32" s="328"/>
      <c r="K32" s="328"/>
      <c r="L32" s="328"/>
      <c r="M32" s="328"/>
      <c r="N32" s="328"/>
      <c r="O32" s="328"/>
      <c r="P32" s="328"/>
      <c r="Q32" s="328"/>
      <c r="R32" s="2060"/>
      <c r="S32" s="1370"/>
      <c r="T32" s="2060"/>
      <c r="U32" s="1510"/>
      <c r="V32" s="1525"/>
      <c r="W32" s="2060"/>
      <c r="X32" s="2060"/>
      <c r="Y32" s="1525"/>
      <c r="Z32" s="1525"/>
      <c r="AA32" s="1525"/>
      <c r="AB32" s="1525"/>
      <c r="AC32" s="1525"/>
      <c r="AD32" s="1525"/>
      <c r="AE32" s="1525"/>
      <c r="AF32" s="1525"/>
      <c r="AG32" s="1525"/>
      <c r="AH32" s="1525"/>
      <c r="AI32" s="1525"/>
      <c r="AJ32" s="1525"/>
      <c r="AK32" s="1525"/>
      <c r="AL32" s="1525"/>
      <c r="AM32" s="1525"/>
      <c r="AN32" s="1525"/>
      <c r="AO32" s="1525"/>
      <c r="AP32" s="1525"/>
      <c r="AQ32" s="1525"/>
      <c r="AR32" s="1525"/>
      <c r="AS32" s="1525"/>
      <c r="AT32" s="1525"/>
    </row>
    <row r="33" spans="1:29" s="297" customFormat="1" ht="13.9">
      <c r="A33" s="1510"/>
      <c r="B33" s="1510"/>
      <c r="C33" s="1531" t="s">
        <v>895</v>
      </c>
      <c r="D33" s="331"/>
      <c r="E33" s="328">
        <f>IF(StubY,'INC STAT Hist Input'!J11,'INC STAT Hist Input'!I11)</f>
        <v>0</v>
      </c>
      <c r="F33" s="1010">
        <f>IF(StubY,'INC STAT Hist Input'!L11,'INC STAT Hist Input'!J11)</f>
        <v>0</v>
      </c>
      <c r="G33" s="328">
        <f>IFERROR(G36*G$28,0)</f>
        <v>0</v>
      </c>
      <c r="H33" s="328">
        <f>IFERROR(H36*H$28,0)</f>
        <v>0</v>
      </c>
      <c r="I33" s="328">
        <f t="shared" ref="I33:Q33" si="3">IFERROR(I36*I$28,0)</f>
        <v>0</v>
      </c>
      <c r="J33" s="328">
        <f t="shared" si="3"/>
        <v>0</v>
      </c>
      <c r="K33" s="328">
        <f t="shared" si="3"/>
        <v>0</v>
      </c>
      <c r="L33" s="328">
        <f t="shared" si="3"/>
        <v>0</v>
      </c>
      <c r="M33" s="328">
        <f t="shared" si="3"/>
        <v>0</v>
      </c>
      <c r="N33" s="328">
        <f t="shared" si="3"/>
        <v>0</v>
      </c>
      <c r="O33" s="328">
        <f t="shared" si="3"/>
        <v>0</v>
      </c>
      <c r="P33" s="328">
        <f t="shared" si="3"/>
        <v>0</v>
      </c>
      <c r="Q33" s="328">
        <f t="shared" si="3"/>
        <v>0</v>
      </c>
      <c r="R33" s="2060"/>
      <c r="S33" s="1385"/>
      <c r="T33" s="1525"/>
      <c r="U33" s="1510"/>
      <c r="V33" s="312"/>
      <c r="W33" s="2060"/>
      <c r="X33" s="2060"/>
      <c r="Y33" s="1525"/>
      <c r="Z33" s="1525"/>
      <c r="AA33" s="1525"/>
      <c r="AB33" s="1525"/>
      <c r="AC33" s="1525"/>
    </row>
    <row r="34" spans="1:29" s="312" customFormat="1" ht="13.9">
      <c r="A34" s="1510"/>
      <c r="B34" s="1510"/>
      <c r="C34" s="304" t="s">
        <v>953</v>
      </c>
      <c r="D34" s="1528"/>
      <c r="E34" s="2060"/>
      <c r="F34" s="1011"/>
      <c r="G34" s="1064"/>
      <c r="H34" s="1064"/>
      <c r="I34" s="1064"/>
      <c r="J34" s="1064"/>
      <c r="K34" s="1064"/>
      <c r="L34" s="1064"/>
      <c r="M34" s="1064"/>
      <c r="N34" s="1064"/>
      <c r="O34" s="1064"/>
      <c r="P34" s="1064"/>
      <c r="Q34" s="1064"/>
      <c r="R34" s="2060"/>
      <c r="S34" s="1370"/>
      <c r="T34" s="1525"/>
      <c r="U34" s="1510"/>
      <c r="W34" s="2060"/>
      <c r="X34" s="2060"/>
      <c r="Z34" s="328"/>
    </row>
    <row r="35" spans="1:29" s="312" customFormat="1" ht="13.9">
      <c r="A35" s="1510"/>
      <c r="B35" s="1510"/>
      <c r="C35" s="1377" t="s">
        <v>956</v>
      </c>
      <c r="D35" s="1528"/>
      <c r="E35" s="1364"/>
      <c r="F35" s="1740"/>
      <c r="G35" s="6"/>
      <c r="H35" s="6"/>
      <c r="I35" s="6"/>
      <c r="J35" s="6"/>
      <c r="K35" s="6"/>
      <c r="L35" s="6"/>
      <c r="M35" s="6"/>
      <c r="N35" s="6"/>
      <c r="O35" s="6"/>
      <c r="P35" s="6"/>
      <c r="Q35" s="6"/>
      <c r="R35" s="2060"/>
      <c r="S35" s="1370"/>
      <c r="T35" s="1525"/>
      <c r="U35" s="1510"/>
      <c r="W35" s="2060"/>
      <c r="X35" s="2060"/>
    </row>
    <row r="36" spans="1:29" s="312" customFormat="1" ht="13.9">
      <c r="A36" s="1510"/>
      <c r="B36" s="1510"/>
      <c r="C36" s="304" t="s">
        <v>957</v>
      </c>
      <c r="D36" s="1528"/>
      <c r="E36" s="1364">
        <f>IFERROR(E33/E$28,0)</f>
        <v>0</v>
      </c>
      <c r="F36" s="1740">
        <f>IFERROR(F33/F$28,0)</f>
        <v>0</v>
      </c>
      <c r="G36" s="1627">
        <f>IF(G34,G34/G$28,IF(G35,G35,F36))*(ISNUMBER(G$23)*1)</f>
        <v>0</v>
      </c>
      <c r="H36" s="1627">
        <f t="shared" ref="H36:Q36" si="4">IF(H34,H34/H$28,IF(H35,H35,G36))*(ISNUMBER(H$23)*1)</f>
        <v>0</v>
      </c>
      <c r="I36" s="1627">
        <f t="shared" si="4"/>
        <v>0</v>
      </c>
      <c r="J36" s="1627">
        <f t="shared" si="4"/>
        <v>0</v>
      </c>
      <c r="K36" s="1627">
        <f t="shared" si="4"/>
        <v>0</v>
      </c>
      <c r="L36" s="1627">
        <f t="shared" si="4"/>
        <v>0</v>
      </c>
      <c r="M36" s="1627">
        <f t="shared" si="4"/>
        <v>0</v>
      </c>
      <c r="N36" s="1627">
        <f t="shared" si="4"/>
        <v>0</v>
      </c>
      <c r="O36" s="1627">
        <f t="shared" si="4"/>
        <v>0</v>
      </c>
      <c r="P36" s="1627">
        <f t="shared" si="4"/>
        <v>0</v>
      </c>
      <c r="Q36" s="1627">
        <f t="shared" si="4"/>
        <v>0</v>
      </c>
      <c r="R36" s="2060"/>
      <c r="S36" s="1370"/>
      <c r="T36" s="1525"/>
      <c r="U36" s="1510"/>
      <c r="W36" s="2060"/>
      <c r="X36" s="2060"/>
    </row>
    <row r="37" spans="1:29" s="297" customFormat="1" ht="13.9">
      <c r="A37" s="1510"/>
      <c r="B37" s="1510"/>
      <c r="C37" s="1378" t="s">
        <v>896</v>
      </c>
      <c r="D37" s="298"/>
      <c r="E37" s="978">
        <f>SUM(E28,E33)</f>
        <v>0</v>
      </c>
      <c r="F37" s="1012">
        <f>SUM(F28,F33)</f>
        <v>0</v>
      </c>
      <c r="G37" s="978">
        <f>SUM(G28,G33)</f>
        <v>0</v>
      </c>
      <c r="H37" s="978">
        <f>SUM(H28,H33)</f>
        <v>0</v>
      </c>
      <c r="I37" s="978">
        <f t="shared" ref="I37:Q37" si="5">SUM(I28,I33)</f>
        <v>0</v>
      </c>
      <c r="J37" s="978">
        <f t="shared" si="5"/>
        <v>0</v>
      </c>
      <c r="K37" s="978">
        <f t="shared" si="5"/>
        <v>0</v>
      </c>
      <c r="L37" s="978">
        <f t="shared" si="5"/>
        <v>0</v>
      </c>
      <c r="M37" s="978">
        <f t="shared" si="5"/>
        <v>0</v>
      </c>
      <c r="N37" s="978">
        <f t="shared" si="5"/>
        <v>0</v>
      </c>
      <c r="O37" s="978">
        <f t="shared" si="5"/>
        <v>0</v>
      </c>
      <c r="P37" s="978">
        <f t="shared" si="5"/>
        <v>0</v>
      </c>
      <c r="Q37" s="978">
        <f t="shared" si="5"/>
        <v>0</v>
      </c>
      <c r="R37" s="2060"/>
      <c r="S37" s="1385">
        <f>SUMIFS($G37:$Q37,$G$26:$Q$26,$S$26)</f>
        <v>0</v>
      </c>
      <c r="T37" s="1136"/>
      <c r="U37" s="1510"/>
      <c r="V37" s="312"/>
      <c r="W37" s="2060"/>
      <c r="X37" s="2060"/>
      <c r="Y37" s="1525"/>
      <c r="Z37" s="1371"/>
      <c r="AA37" s="1525"/>
      <c r="AB37" s="1525"/>
      <c r="AC37" s="1525"/>
    </row>
    <row r="38" spans="1:29" s="312" customFormat="1" ht="13.9">
      <c r="A38" s="1510"/>
      <c r="B38" s="1510"/>
      <c r="C38" s="1531" t="s">
        <v>958</v>
      </c>
      <c r="D38" s="315"/>
      <c r="E38" s="1627">
        <f>IFERROR(E37/E$28,0)</f>
        <v>0</v>
      </c>
      <c r="F38" s="1739" t="str">
        <f t="shared" ref="F38:K38" si="6">IFERROR(F37/F$28,"n/a")</f>
        <v>n/a</v>
      </c>
      <c r="G38" s="1627" t="str">
        <f t="shared" si="6"/>
        <v>n/a</v>
      </c>
      <c r="H38" s="1627" t="str">
        <f t="shared" si="6"/>
        <v>n/a</v>
      </c>
      <c r="I38" s="1627" t="str">
        <f t="shared" si="6"/>
        <v>n/a</v>
      </c>
      <c r="J38" s="1627" t="str">
        <f t="shared" si="6"/>
        <v>n/a</v>
      </c>
      <c r="K38" s="1627" t="str">
        <f t="shared" si="6"/>
        <v>n/a</v>
      </c>
      <c r="L38" s="1627" t="str">
        <f t="shared" ref="L38:Q38" si="7">IFERROR(L37/L$28,"n/a")</f>
        <v>n/a</v>
      </c>
      <c r="M38" s="1627" t="str">
        <f t="shared" si="7"/>
        <v>n/a</v>
      </c>
      <c r="N38" s="1627" t="str">
        <f t="shared" si="7"/>
        <v>n/a</v>
      </c>
      <c r="O38" s="1627" t="str">
        <f t="shared" si="7"/>
        <v>n/a</v>
      </c>
      <c r="P38" s="1627" t="str">
        <f t="shared" si="7"/>
        <v>n/a</v>
      </c>
      <c r="Q38" s="1627" t="str">
        <f t="shared" si="7"/>
        <v>n/a</v>
      </c>
      <c r="R38" s="2060"/>
      <c r="S38" s="1370"/>
      <c r="T38" s="1136"/>
      <c r="U38" s="1510"/>
      <c r="W38" s="2060"/>
      <c r="X38" s="2060"/>
      <c r="Y38" s="1525"/>
      <c r="Z38" s="1371"/>
      <c r="AA38" s="1525"/>
      <c r="AB38" s="1525"/>
      <c r="AC38" s="1525"/>
    </row>
    <row r="39" spans="1:29" s="312" customFormat="1" ht="13.9">
      <c r="A39" s="1510"/>
      <c r="B39" s="1510"/>
      <c r="C39" s="1193"/>
      <c r="D39" s="315"/>
      <c r="E39" s="616"/>
      <c r="F39" s="1010"/>
      <c r="G39" s="328"/>
      <c r="H39" s="328"/>
      <c r="I39" s="328"/>
      <c r="J39" s="328"/>
      <c r="K39" s="328"/>
      <c r="L39" s="328"/>
      <c r="M39" s="328"/>
      <c r="N39" s="328"/>
      <c r="O39" s="328"/>
      <c r="P39" s="328"/>
      <c r="Q39" s="328"/>
      <c r="R39" s="2060"/>
      <c r="S39" s="1370"/>
      <c r="T39" s="1525"/>
      <c r="U39" s="1510"/>
      <c r="W39" s="2060"/>
      <c r="X39" s="2060"/>
    </row>
    <row r="40" spans="1:29" ht="13.9">
      <c r="A40" s="1510"/>
      <c r="B40" s="1510"/>
      <c r="C40" s="1531" t="s">
        <v>959</v>
      </c>
      <c r="D40" s="331"/>
      <c r="E40" s="328">
        <f>IF(StubY,'INC STAT Hist Input'!J13,'INC STAT Hist Input'!I13)</f>
        <v>0</v>
      </c>
      <c r="F40" s="1010">
        <f>IF(StubY,'INC STAT Hist Input'!L13,'INC STAT Hist Input'!J13)</f>
        <v>0</v>
      </c>
      <c r="G40" s="328">
        <f>IFERROR(G43*G$28,0)</f>
        <v>0</v>
      </c>
      <c r="H40" s="328">
        <f t="shared" ref="H40:Q40" si="8">IFERROR(H43*H$28,0)</f>
        <v>0</v>
      </c>
      <c r="I40" s="328">
        <f t="shared" si="8"/>
        <v>0</v>
      </c>
      <c r="J40" s="328">
        <f t="shared" si="8"/>
        <v>0</v>
      </c>
      <c r="K40" s="328">
        <f t="shared" si="8"/>
        <v>0</v>
      </c>
      <c r="L40" s="328">
        <f t="shared" si="8"/>
        <v>0</v>
      </c>
      <c r="M40" s="328">
        <f t="shared" si="8"/>
        <v>0</v>
      </c>
      <c r="N40" s="328">
        <f t="shared" si="8"/>
        <v>0</v>
      </c>
      <c r="O40" s="328">
        <f t="shared" si="8"/>
        <v>0</v>
      </c>
      <c r="P40" s="328">
        <f t="shared" si="8"/>
        <v>0</v>
      </c>
      <c r="Q40" s="328">
        <f t="shared" si="8"/>
        <v>0</v>
      </c>
      <c r="R40" s="2060"/>
      <c r="S40" s="1385">
        <f>SUMIFS($G40:$Q40,$G$26:$Q$26,$S$26)</f>
        <v>0</v>
      </c>
      <c r="T40" s="1525"/>
      <c r="U40" s="1510"/>
      <c r="V40" s="1525"/>
      <c r="W40" s="2060"/>
      <c r="X40" s="2060"/>
      <c r="Y40" s="1525"/>
      <c r="Z40" s="2060"/>
      <c r="AA40" s="1525"/>
      <c r="AB40" s="1525"/>
      <c r="AC40" s="1525"/>
    </row>
    <row r="41" spans="1:29" s="334" customFormat="1" ht="13.9">
      <c r="A41" s="1510"/>
      <c r="B41" s="1510"/>
      <c r="C41" s="304" t="s">
        <v>953</v>
      </c>
      <c r="D41" s="1528"/>
      <c r="E41" s="2060"/>
      <c r="F41" s="1011"/>
      <c r="G41" s="1064"/>
      <c r="H41" s="1064"/>
      <c r="I41" s="1064"/>
      <c r="J41" s="1064"/>
      <c r="K41" s="1064"/>
      <c r="L41" s="1064"/>
      <c r="M41" s="1064"/>
      <c r="N41" s="1064"/>
      <c r="O41" s="1064"/>
      <c r="P41" s="1064"/>
      <c r="Q41" s="1064"/>
      <c r="R41" s="2060"/>
      <c r="S41" s="1370"/>
      <c r="T41" s="1525"/>
      <c r="U41" s="1510"/>
      <c r="V41" s="1525"/>
      <c r="W41" s="2060"/>
      <c r="X41" s="2060"/>
      <c r="Y41" s="1525"/>
      <c r="Z41" s="1525"/>
      <c r="AA41" s="1525"/>
      <c r="AB41" s="1525"/>
      <c r="AC41" s="1525"/>
    </row>
    <row r="42" spans="1:29" s="334" customFormat="1" ht="13.9">
      <c r="A42" s="1510"/>
      <c r="B42" s="1510"/>
      <c r="C42" s="1377" t="s">
        <v>956</v>
      </c>
      <c r="D42" s="1528"/>
      <c r="E42" s="1364">
        <f>IFERROR(E40/E$28,0)</f>
        <v>0</v>
      </c>
      <c r="F42" s="1740">
        <f>IFERROR(F40/F$28,0)</f>
        <v>0</v>
      </c>
      <c r="G42" s="6"/>
      <c r="H42" s="6"/>
      <c r="I42" s="6"/>
      <c r="J42" s="6"/>
      <c r="K42" s="6"/>
      <c r="L42" s="6"/>
      <c r="M42" s="6"/>
      <c r="N42" s="6"/>
      <c r="O42" s="6"/>
      <c r="P42" s="6"/>
      <c r="Q42" s="6"/>
      <c r="R42" s="2060"/>
      <c r="S42" s="1370"/>
      <c r="T42" s="1525"/>
      <c r="U42" s="1510"/>
      <c r="V42" s="1525"/>
      <c r="W42" s="2060"/>
      <c r="X42" s="2060"/>
      <c r="Y42" s="1525"/>
      <c r="Z42" s="1525"/>
      <c r="AA42" s="1525"/>
      <c r="AB42" s="1525"/>
      <c r="AC42" s="1525"/>
    </row>
    <row r="43" spans="1:29" s="312" customFormat="1" ht="13.9">
      <c r="A43" s="1510"/>
      <c r="B43" s="1510"/>
      <c r="C43" s="304" t="s">
        <v>957</v>
      </c>
      <c r="D43" s="1528"/>
      <c r="E43" s="1364">
        <f>IFERROR(E40/E$28,0)</f>
        <v>0</v>
      </c>
      <c r="F43" s="1740">
        <f>IFERROR(F40/F$28,0)</f>
        <v>0</v>
      </c>
      <c r="G43" s="1627">
        <f t="shared" ref="G43:Q43" si="9">IF(G41,G41/G$28,IF(G42,G42,F43))*(ISNUMBER(G$23)*1)</f>
        <v>0</v>
      </c>
      <c r="H43" s="1627">
        <f t="shared" si="9"/>
        <v>0</v>
      </c>
      <c r="I43" s="1627">
        <f t="shared" si="9"/>
        <v>0</v>
      </c>
      <c r="J43" s="1627">
        <f t="shared" si="9"/>
        <v>0</v>
      </c>
      <c r="K43" s="1627">
        <f t="shared" si="9"/>
        <v>0</v>
      </c>
      <c r="L43" s="1627">
        <f t="shared" si="9"/>
        <v>0</v>
      </c>
      <c r="M43" s="1627">
        <f t="shared" si="9"/>
        <v>0</v>
      </c>
      <c r="N43" s="1627">
        <f t="shared" si="9"/>
        <v>0</v>
      </c>
      <c r="O43" s="1627">
        <f t="shared" si="9"/>
        <v>0</v>
      </c>
      <c r="P43" s="1627">
        <f t="shared" si="9"/>
        <v>0</v>
      </c>
      <c r="Q43" s="1627">
        <f t="shared" si="9"/>
        <v>0</v>
      </c>
      <c r="R43" s="2060"/>
      <c r="S43" s="1370"/>
      <c r="T43" s="1525"/>
      <c r="U43" s="1510"/>
      <c r="W43" s="2060"/>
      <c r="X43" s="2060"/>
    </row>
    <row r="44" spans="1:29" s="334" customFormat="1" ht="13.9">
      <c r="A44" s="1510"/>
      <c r="B44" s="1510"/>
      <c r="C44" s="1531"/>
      <c r="D44" s="331"/>
      <c r="E44" s="616"/>
      <c r="F44" s="1010"/>
      <c r="G44" s="328"/>
      <c r="H44" s="328"/>
      <c r="I44" s="328"/>
      <c r="J44" s="328"/>
      <c r="K44" s="328"/>
      <c r="L44" s="328"/>
      <c r="M44" s="328"/>
      <c r="N44" s="328"/>
      <c r="O44" s="328"/>
      <c r="P44" s="328"/>
      <c r="Q44" s="328"/>
      <c r="R44" s="2060"/>
      <c r="S44" s="1370"/>
      <c r="T44" s="1525"/>
      <c r="U44" s="1510"/>
      <c r="V44" s="1525"/>
      <c r="W44" s="2060"/>
      <c r="X44" s="2060"/>
      <c r="Y44" s="1525"/>
      <c r="Z44" s="1525"/>
      <c r="AA44" s="1525"/>
      <c r="AB44" s="1525"/>
      <c r="AC44" s="1525"/>
    </row>
    <row r="45" spans="1:29" ht="13.9">
      <c r="A45" s="1510"/>
      <c r="B45" s="1510"/>
      <c r="C45" s="1531" t="s">
        <v>901</v>
      </c>
      <c r="D45" s="1531"/>
      <c r="E45" s="328">
        <f>IF(StubY,'INC STAT Hist Input'!J14,'INC STAT Hist Input'!I14)</f>
        <v>0</v>
      </c>
      <c r="F45" s="1010">
        <f>IF(StubY,'INC STAT Hist Input'!L14,'INC STAT Hist Input'!J14)</f>
        <v>0</v>
      </c>
      <c r="G45" s="328">
        <f>IFERROR(G48*G$28,0)</f>
        <v>0</v>
      </c>
      <c r="H45" s="328">
        <f t="shared" ref="H45:Q45" si="10">IFERROR(H48*H$28,0)</f>
        <v>0</v>
      </c>
      <c r="I45" s="328">
        <f t="shared" si="10"/>
        <v>0</v>
      </c>
      <c r="J45" s="328">
        <f t="shared" si="10"/>
        <v>0</v>
      </c>
      <c r="K45" s="328">
        <f t="shared" si="10"/>
        <v>0</v>
      </c>
      <c r="L45" s="328">
        <f t="shared" si="10"/>
        <v>0</v>
      </c>
      <c r="M45" s="328">
        <f t="shared" si="10"/>
        <v>0</v>
      </c>
      <c r="N45" s="328">
        <f t="shared" si="10"/>
        <v>0</v>
      </c>
      <c r="O45" s="328">
        <f t="shared" si="10"/>
        <v>0</v>
      </c>
      <c r="P45" s="328">
        <f t="shared" si="10"/>
        <v>0</v>
      </c>
      <c r="Q45" s="328">
        <f t="shared" si="10"/>
        <v>0</v>
      </c>
      <c r="R45" s="2060"/>
      <c r="S45" s="1385">
        <f>SUMIFS($G45:$Q45,$G$26:$Q$26,$S$26)</f>
        <v>0</v>
      </c>
      <c r="T45" s="1525"/>
      <c r="U45" s="1510"/>
      <c r="V45" s="1525"/>
      <c r="W45" s="2060"/>
      <c r="X45" s="2060"/>
      <c r="Y45" s="1525"/>
      <c r="Z45" s="1525"/>
      <c r="AA45" s="1525"/>
      <c r="AB45" s="1525"/>
      <c r="AC45" s="1525"/>
    </row>
    <row r="46" spans="1:29" s="334" customFormat="1" ht="13.9">
      <c r="A46" s="1510"/>
      <c r="B46" s="1510"/>
      <c r="C46" s="304" t="s">
        <v>953</v>
      </c>
      <c r="D46" s="1528"/>
      <c r="E46" s="2060"/>
      <c r="F46" s="1011"/>
      <c r="G46" s="1064"/>
      <c r="H46" s="1064"/>
      <c r="I46" s="1064"/>
      <c r="J46" s="1064"/>
      <c r="K46" s="1064"/>
      <c r="L46" s="1064"/>
      <c r="M46" s="1064"/>
      <c r="N46" s="1064"/>
      <c r="O46" s="1064"/>
      <c r="P46" s="1064"/>
      <c r="Q46" s="1064"/>
      <c r="R46" s="2060"/>
      <c r="S46" s="1370"/>
      <c r="T46" s="1525"/>
      <c r="U46" s="1510"/>
      <c r="V46" s="1525"/>
      <c r="W46" s="2060"/>
      <c r="X46" s="2060"/>
      <c r="Y46" s="1525"/>
      <c r="Z46" s="1525"/>
      <c r="AA46" s="1525"/>
      <c r="AB46" s="1525"/>
      <c r="AC46" s="1525"/>
    </row>
    <row r="47" spans="1:29" s="334" customFormat="1" ht="13.9">
      <c r="A47" s="1510"/>
      <c r="B47" s="1510"/>
      <c r="C47" s="1377" t="s">
        <v>956</v>
      </c>
      <c r="D47" s="1528"/>
      <c r="E47" s="1364"/>
      <c r="F47" s="1740"/>
      <c r="G47" s="6"/>
      <c r="H47" s="6"/>
      <c r="I47" s="6"/>
      <c r="J47" s="6"/>
      <c r="K47" s="6"/>
      <c r="L47" s="6"/>
      <c r="M47" s="6"/>
      <c r="N47" s="6"/>
      <c r="O47" s="6"/>
      <c r="P47" s="6"/>
      <c r="Q47" s="6"/>
      <c r="R47" s="2060"/>
      <c r="S47" s="1370"/>
      <c r="T47" s="1525"/>
      <c r="U47" s="1510"/>
      <c r="V47" s="1525"/>
      <c r="W47" s="2060"/>
      <c r="X47" s="2060"/>
      <c r="Y47" s="1525"/>
      <c r="Z47" s="1525"/>
      <c r="AA47" s="1525"/>
      <c r="AB47" s="1525"/>
      <c r="AC47" s="1525"/>
    </row>
    <row r="48" spans="1:29" s="312" customFormat="1" ht="13.9">
      <c r="A48" s="1510"/>
      <c r="B48" s="1510"/>
      <c r="C48" s="304" t="s">
        <v>957</v>
      </c>
      <c r="D48" s="1528"/>
      <c r="E48" s="1364">
        <f>IFERROR(E45/E$28,0)</f>
        <v>0</v>
      </c>
      <c r="F48" s="1740">
        <f>IFERROR(F45/F$28,0)</f>
        <v>0</v>
      </c>
      <c r="G48" s="1627">
        <f t="shared" ref="G48:Q48" si="11">IF(G46,G46/G$28,IF(G47,G47,F48))*(ISNUMBER(G$23)*1)</f>
        <v>0</v>
      </c>
      <c r="H48" s="1627">
        <f t="shared" si="11"/>
        <v>0</v>
      </c>
      <c r="I48" s="1627">
        <f t="shared" si="11"/>
        <v>0</v>
      </c>
      <c r="J48" s="1627">
        <f t="shared" si="11"/>
        <v>0</v>
      </c>
      <c r="K48" s="1627">
        <f t="shared" si="11"/>
        <v>0</v>
      </c>
      <c r="L48" s="1627">
        <f t="shared" si="11"/>
        <v>0</v>
      </c>
      <c r="M48" s="1627">
        <f t="shared" si="11"/>
        <v>0</v>
      </c>
      <c r="N48" s="1627">
        <f t="shared" si="11"/>
        <v>0</v>
      </c>
      <c r="O48" s="1627">
        <f t="shared" si="11"/>
        <v>0</v>
      </c>
      <c r="P48" s="1627">
        <f t="shared" si="11"/>
        <v>0</v>
      </c>
      <c r="Q48" s="1627">
        <f t="shared" si="11"/>
        <v>0</v>
      </c>
      <c r="R48" s="2060"/>
      <c r="S48" s="1370"/>
      <c r="T48" s="1525"/>
      <c r="U48" s="1510"/>
      <c r="W48" s="2060"/>
      <c r="X48" s="2060"/>
    </row>
    <row r="49" spans="1:24" s="334" customFormat="1" ht="13.9">
      <c r="A49" s="1510"/>
      <c r="B49" s="1510"/>
      <c r="C49" s="1531"/>
      <c r="D49" s="1531"/>
      <c r="E49" s="616"/>
      <c r="F49" s="1010"/>
      <c r="G49" s="328"/>
      <c r="H49" s="328"/>
      <c r="I49" s="328"/>
      <c r="J49" s="328"/>
      <c r="K49" s="328"/>
      <c r="L49" s="328"/>
      <c r="M49" s="328"/>
      <c r="N49" s="328"/>
      <c r="O49" s="328"/>
      <c r="P49" s="328"/>
      <c r="Q49" s="328"/>
      <c r="R49" s="2060"/>
      <c r="S49" s="1370"/>
      <c r="T49" s="1525"/>
      <c r="U49" s="1510"/>
      <c r="V49" s="1525"/>
      <c r="W49" s="2060"/>
      <c r="X49" s="2060"/>
    </row>
    <row r="50" spans="1:24" ht="13.9">
      <c r="A50" s="1510"/>
      <c r="B50" s="1510"/>
      <c r="C50" s="1531" t="str">
        <f>'INC STAT Hist Input'!C15</f>
        <v>Other operating (expense) / income</v>
      </c>
      <c r="D50" s="1531"/>
      <c r="E50" s="328">
        <f>IF(StubY,'INC STAT Hist Input'!J15,'INC STAT Hist Input'!I15)</f>
        <v>0</v>
      </c>
      <c r="F50" s="1010">
        <f>IF(StubY,'INC STAT Hist Input'!L15,'INC STAT Hist Input'!J15)</f>
        <v>0</v>
      </c>
      <c r="G50" s="328">
        <f>IF(G51,G51,G$28*G52)*(N(G$23)&gt;0)</f>
        <v>0</v>
      </c>
      <c r="H50" s="328">
        <f t="shared" ref="H50:Q50" si="12">IF(H51,H51,H$28*H52)*(N(H$23)&gt;0)</f>
        <v>0</v>
      </c>
      <c r="I50" s="328">
        <f t="shared" si="12"/>
        <v>0</v>
      </c>
      <c r="J50" s="328">
        <f t="shared" si="12"/>
        <v>0</v>
      </c>
      <c r="K50" s="328">
        <f t="shared" si="12"/>
        <v>0</v>
      </c>
      <c r="L50" s="328">
        <f t="shared" si="12"/>
        <v>0</v>
      </c>
      <c r="M50" s="328">
        <f t="shared" si="12"/>
        <v>0</v>
      </c>
      <c r="N50" s="328">
        <f t="shared" si="12"/>
        <v>0</v>
      </c>
      <c r="O50" s="328">
        <f t="shared" si="12"/>
        <v>0</v>
      </c>
      <c r="P50" s="328">
        <f t="shared" si="12"/>
        <v>0</v>
      </c>
      <c r="Q50" s="328">
        <f t="shared" si="12"/>
        <v>0</v>
      </c>
      <c r="R50" s="2060"/>
      <c r="S50" s="1385">
        <f>SUMIFS($G50:$Q50,$G$26:$Q$26,$S$26)</f>
        <v>0</v>
      </c>
      <c r="T50" s="1525"/>
      <c r="U50" s="1510"/>
      <c r="V50" s="1525"/>
      <c r="W50" s="2060"/>
      <c r="X50" s="2060"/>
    </row>
    <row r="51" spans="1:24" s="334" customFormat="1" ht="13.9">
      <c r="A51" s="1510"/>
      <c r="B51" s="1510"/>
      <c r="C51" s="304" t="s">
        <v>953</v>
      </c>
      <c r="D51" s="1528"/>
      <c r="E51" s="2060"/>
      <c r="F51" s="1011"/>
      <c r="G51" s="1064"/>
      <c r="H51" s="1064"/>
      <c r="I51" s="1064"/>
      <c r="J51" s="1064"/>
      <c r="K51" s="1064"/>
      <c r="L51" s="1064"/>
      <c r="M51" s="1064"/>
      <c r="N51" s="1064"/>
      <c r="O51" s="1064"/>
      <c r="P51" s="1064"/>
      <c r="Q51" s="1064"/>
      <c r="R51" s="2060"/>
      <c r="S51" s="1370"/>
      <c r="T51" s="1525"/>
      <c r="U51" s="1510"/>
      <c r="V51" s="1525"/>
      <c r="W51" s="2060"/>
      <c r="X51" s="2060"/>
    </row>
    <row r="52" spans="1:24" s="334" customFormat="1" ht="13.9">
      <c r="A52" s="1510"/>
      <c r="B52" s="1510"/>
      <c r="C52" s="1377" t="s">
        <v>956</v>
      </c>
      <c r="D52" s="1528"/>
      <c r="E52" s="1364">
        <f>IFERROR(E50/E$28,0)</f>
        <v>0</v>
      </c>
      <c r="F52" s="1740">
        <f>IFERROR(F50/F$28,0)</f>
        <v>0</v>
      </c>
      <c r="G52" s="6"/>
      <c r="H52" s="6"/>
      <c r="I52" s="6"/>
      <c r="J52" s="6"/>
      <c r="K52" s="6"/>
      <c r="L52" s="6"/>
      <c r="M52" s="6"/>
      <c r="N52" s="6"/>
      <c r="O52" s="6"/>
      <c r="P52" s="6"/>
      <c r="Q52" s="6"/>
      <c r="R52" s="2060"/>
      <c r="S52" s="1370"/>
      <c r="T52" s="1525"/>
      <c r="U52" s="1510"/>
      <c r="V52" s="1525"/>
      <c r="W52" s="2060"/>
      <c r="X52" s="2060"/>
    </row>
    <row r="53" spans="1:24" s="334" customFormat="1" ht="13.9">
      <c r="A53" s="1510"/>
      <c r="B53" s="1510"/>
      <c r="C53" s="1531"/>
      <c r="D53" s="1531"/>
      <c r="E53" s="616"/>
      <c r="F53" s="1010"/>
      <c r="G53" s="328"/>
      <c r="H53" s="328"/>
      <c r="I53" s="328"/>
      <c r="J53" s="328"/>
      <c r="K53" s="328"/>
      <c r="L53" s="328"/>
      <c r="M53" s="328"/>
      <c r="N53" s="328"/>
      <c r="O53" s="328"/>
      <c r="P53" s="328"/>
      <c r="Q53" s="328"/>
      <c r="R53" s="2060"/>
      <c r="S53" s="1370"/>
      <c r="T53" s="1525"/>
      <c r="U53" s="1510"/>
      <c r="V53" s="1525"/>
      <c r="W53" s="2060"/>
      <c r="X53" s="2060"/>
    </row>
    <row r="54" spans="1:24" s="334" customFormat="1" ht="13.9">
      <c r="A54" s="1510"/>
      <c r="B54" s="1510"/>
      <c r="C54" s="1531" t="str">
        <f>'INC STAT Hist Input'!C16</f>
        <v>Other operating (expense) / income</v>
      </c>
      <c r="D54" s="1531"/>
      <c r="E54" s="328">
        <f>IF(StubY,'INC STAT Hist Input'!J16,'INC STAT Hist Input'!I16)</f>
        <v>0</v>
      </c>
      <c r="F54" s="1010">
        <f>IF(StubY,'INC STAT Hist Input'!L16,'INC STAT Hist Input'!J16)</f>
        <v>0</v>
      </c>
      <c r="G54" s="328">
        <f>IF(G55,G55,G$28*G56)*(N(G$23)&gt;0)</f>
        <v>0</v>
      </c>
      <c r="H54" s="328">
        <f t="shared" ref="H54:Q54" si="13">IF(H55,H55,H$28*H56)*(N(H$23)&gt;0)</f>
        <v>0</v>
      </c>
      <c r="I54" s="328">
        <f t="shared" si="13"/>
        <v>0</v>
      </c>
      <c r="J54" s="328">
        <f t="shared" si="13"/>
        <v>0</v>
      </c>
      <c r="K54" s="328">
        <f t="shared" si="13"/>
        <v>0</v>
      </c>
      <c r="L54" s="328">
        <f t="shared" si="13"/>
        <v>0</v>
      </c>
      <c r="M54" s="328">
        <f t="shared" si="13"/>
        <v>0</v>
      </c>
      <c r="N54" s="328">
        <f t="shared" si="13"/>
        <v>0</v>
      </c>
      <c r="O54" s="328">
        <f t="shared" si="13"/>
        <v>0</v>
      </c>
      <c r="P54" s="328">
        <f t="shared" si="13"/>
        <v>0</v>
      </c>
      <c r="Q54" s="328">
        <f t="shared" si="13"/>
        <v>0</v>
      </c>
      <c r="R54" s="2060"/>
      <c r="S54" s="1385">
        <f>SUMIFS($G54:$Q54,$G$26:$Q$26,$S$26)</f>
        <v>0</v>
      </c>
      <c r="T54" s="1525"/>
      <c r="U54" s="1510"/>
      <c r="V54" s="1525"/>
      <c r="W54" s="2060"/>
      <c r="X54" s="2060"/>
    </row>
    <row r="55" spans="1:24" s="334" customFormat="1" ht="13.9">
      <c r="A55" s="1510"/>
      <c r="B55" s="1510"/>
      <c r="C55" s="304" t="s">
        <v>953</v>
      </c>
      <c r="D55" s="1528"/>
      <c r="E55" s="2060"/>
      <c r="F55" s="1011"/>
      <c r="G55" s="1064"/>
      <c r="H55" s="1064"/>
      <c r="I55" s="1064"/>
      <c r="J55" s="1064"/>
      <c r="K55" s="1064"/>
      <c r="L55" s="1064"/>
      <c r="M55" s="1064"/>
      <c r="N55" s="1064"/>
      <c r="O55" s="1064"/>
      <c r="P55" s="1064"/>
      <c r="Q55" s="1064"/>
      <c r="R55" s="2060"/>
      <c r="S55" s="1370"/>
      <c r="T55" s="1525"/>
      <c r="U55" s="1510"/>
      <c r="V55" s="1525"/>
      <c r="W55" s="2060"/>
      <c r="X55" s="2060"/>
    </row>
    <row r="56" spans="1:24" s="334" customFormat="1" ht="13.9">
      <c r="A56" s="1510"/>
      <c r="B56" s="1510"/>
      <c r="C56" s="1377" t="s">
        <v>956</v>
      </c>
      <c r="D56" s="1528"/>
      <c r="E56" s="1364">
        <f>IFERROR(E54/E$28,0)</f>
        <v>0</v>
      </c>
      <c r="F56" s="1740">
        <f>IFERROR(F54/F$28,0)</f>
        <v>0</v>
      </c>
      <c r="G56" s="6"/>
      <c r="H56" s="6"/>
      <c r="I56" s="6"/>
      <c r="J56" s="6"/>
      <c r="K56" s="6"/>
      <c r="L56" s="6"/>
      <c r="M56" s="6"/>
      <c r="N56" s="6"/>
      <c r="O56" s="6"/>
      <c r="P56" s="6"/>
      <c r="Q56" s="6"/>
      <c r="R56" s="2060"/>
      <c r="S56" s="1370"/>
      <c r="T56" s="1525"/>
      <c r="U56" s="1510"/>
      <c r="V56" s="1525"/>
      <c r="W56" s="2060"/>
      <c r="X56" s="2060"/>
    </row>
    <row r="57" spans="1:24" s="334" customFormat="1" ht="13.9">
      <c r="A57" s="1510"/>
      <c r="B57" s="1510"/>
      <c r="C57" s="1531"/>
      <c r="D57" s="1531"/>
      <c r="E57" s="616"/>
      <c r="F57" s="1010"/>
      <c r="G57" s="328"/>
      <c r="H57" s="328"/>
      <c r="I57" s="328"/>
      <c r="J57" s="328"/>
      <c r="K57" s="328"/>
      <c r="L57" s="328"/>
      <c r="M57" s="328"/>
      <c r="N57" s="328"/>
      <c r="O57" s="328"/>
      <c r="P57" s="328"/>
      <c r="Q57" s="328"/>
      <c r="R57" s="2060"/>
      <c r="S57" s="1370"/>
      <c r="T57" s="1525"/>
      <c r="U57" s="1510"/>
      <c r="V57" s="1525"/>
      <c r="W57" s="2060"/>
      <c r="X57" s="2060"/>
    </row>
    <row r="58" spans="1:24" s="334" customFormat="1" ht="13.9">
      <c r="A58" s="1510"/>
      <c r="B58" s="1510"/>
      <c r="C58" s="1531" t="str">
        <f>'INC STAT Hist Input'!C17</f>
        <v>Other operating (expense) / income</v>
      </c>
      <c r="D58" s="1531"/>
      <c r="E58" s="328">
        <f>IF(StubY,'INC STAT Hist Input'!J17,'INC STAT Hist Input'!I17)</f>
        <v>0</v>
      </c>
      <c r="F58" s="1010">
        <f>IF(StubY,'INC STAT Hist Input'!L17,'INC STAT Hist Input'!J17)</f>
        <v>0</v>
      </c>
      <c r="G58" s="328">
        <f>IF(G59,G59,G$28*G60)*(N(G$23)&gt;0)</f>
        <v>0</v>
      </c>
      <c r="H58" s="328">
        <f t="shared" ref="H58:Q58" si="14">IF(H59,H59,H$28*H60)*(N(H$23)&gt;0)</f>
        <v>0</v>
      </c>
      <c r="I58" s="328">
        <f t="shared" si="14"/>
        <v>0</v>
      </c>
      <c r="J58" s="328">
        <f t="shared" si="14"/>
        <v>0</v>
      </c>
      <c r="K58" s="328">
        <f t="shared" si="14"/>
        <v>0</v>
      </c>
      <c r="L58" s="328">
        <f t="shared" si="14"/>
        <v>0</v>
      </c>
      <c r="M58" s="328">
        <f t="shared" si="14"/>
        <v>0</v>
      </c>
      <c r="N58" s="328">
        <f t="shared" si="14"/>
        <v>0</v>
      </c>
      <c r="O58" s="328">
        <f t="shared" si="14"/>
        <v>0</v>
      </c>
      <c r="P58" s="328">
        <f t="shared" si="14"/>
        <v>0</v>
      </c>
      <c r="Q58" s="328">
        <f t="shared" si="14"/>
        <v>0</v>
      </c>
      <c r="R58" s="2060"/>
      <c r="S58" s="1385">
        <f>SUMIFS($G58:$Q58,$G$26:$Q$26,$S$26)</f>
        <v>0</v>
      </c>
      <c r="T58" s="1525"/>
      <c r="U58" s="1510"/>
      <c r="V58" s="1525"/>
      <c r="W58" s="2060"/>
      <c r="X58" s="2060"/>
    </row>
    <row r="59" spans="1:24" s="334" customFormat="1" ht="13.9">
      <c r="A59" s="1510"/>
      <c r="B59" s="1510"/>
      <c r="C59" s="304" t="s">
        <v>953</v>
      </c>
      <c r="D59" s="1528"/>
      <c r="E59" s="2060"/>
      <c r="F59" s="1011"/>
      <c r="G59" s="1064"/>
      <c r="H59" s="1064"/>
      <c r="I59" s="1064"/>
      <c r="J59" s="1064"/>
      <c r="K59" s="1064"/>
      <c r="L59" s="1064"/>
      <c r="M59" s="1064"/>
      <c r="N59" s="1064"/>
      <c r="O59" s="1064"/>
      <c r="P59" s="1064"/>
      <c r="Q59" s="1064"/>
      <c r="R59" s="2060"/>
      <c r="S59" s="1370"/>
      <c r="T59" s="1525"/>
      <c r="U59" s="1510"/>
      <c r="V59" s="1525"/>
      <c r="W59" s="2060"/>
      <c r="X59" s="2060"/>
    </row>
    <row r="60" spans="1:24" s="334" customFormat="1" ht="13.9">
      <c r="A60" s="1510"/>
      <c r="B60" s="1510"/>
      <c r="C60" s="1377" t="s">
        <v>956</v>
      </c>
      <c r="D60" s="1528"/>
      <c r="E60" s="890">
        <f>IFERROR(E58/E$28,0)</f>
        <v>0</v>
      </c>
      <c r="F60" s="1740">
        <f>IFERROR(F58/F$28,0)</f>
        <v>0</v>
      </c>
      <c r="G60" s="6"/>
      <c r="H60" s="6"/>
      <c r="I60" s="6"/>
      <c r="J60" s="6"/>
      <c r="K60" s="6"/>
      <c r="L60" s="6"/>
      <c r="M60" s="6"/>
      <c r="N60" s="6"/>
      <c r="O60" s="6"/>
      <c r="P60" s="6"/>
      <c r="Q60" s="6"/>
      <c r="R60" s="2060"/>
      <c r="S60" s="1370"/>
      <c r="T60" s="1525"/>
      <c r="U60" s="1510"/>
      <c r="V60" s="1525"/>
      <c r="W60" s="2060"/>
      <c r="X60" s="2060"/>
    </row>
    <row r="61" spans="1:24" s="334" customFormat="1" ht="13.9">
      <c r="A61" s="1510"/>
      <c r="B61" s="1510"/>
      <c r="C61" s="1531"/>
      <c r="D61" s="1531"/>
      <c r="E61" s="616"/>
      <c r="F61" s="1010"/>
      <c r="G61" s="328" t="s">
        <v>960</v>
      </c>
      <c r="H61" s="328"/>
      <c r="I61" s="328"/>
      <c r="J61" s="328"/>
      <c r="K61" s="328"/>
      <c r="L61" s="328"/>
      <c r="M61" s="328"/>
      <c r="N61" s="328"/>
      <c r="O61" s="328"/>
      <c r="P61" s="328"/>
      <c r="Q61" s="328"/>
      <c r="R61" s="2060"/>
      <c r="S61" s="1370"/>
      <c r="T61" s="1525"/>
      <c r="U61" s="1510"/>
      <c r="V61" s="1525"/>
      <c r="W61" s="2060"/>
      <c r="X61" s="2060"/>
    </row>
    <row r="62" spans="1:24" s="334" customFormat="1" ht="13.9">
      <c r="A62" s="1510"/>
      <c r="B62" s="1510"/>
      <c r="C62" s="1531" t="str">
        <f>'INC STAT Hist Input'!C18</f>
        <v>Other operating (expense) / income</v>
      </c>
      <c r="D62" s="1531"/>
      <c r="E62" s="328">
        <f>IF(StubY,'INC STAT Hist Input'!J18,'INC STAT Hist Input'!I18)</f>
        <v>0</v>
      </c>
      <c r="F62" s="1010">
        <f>IF(StubY,'INC STAT Hist Input'!L18,'INC STAT Hist Input'!J18)</f>
        <v>0</v>
      </c>
      <c r="G62" s="328">
        <f>IF(G63,G63,G$28*G64)*(N(G$23)&gt;0)</f>
        <v>0</v>
      </c>
      <c r="H62" s="328">
        <f t="shared" ref="H62:Q62" si="15">IF(H63,H63,H$28*H64)*(N(H$23)&gt;0)</f>
        <v>0</v>
      </c>
      <c r="I62" s="328">
        <f t="shared" si="15"/>
        <v>0</v>
      </c>
      <c r="J62" s="328">
        <f t="shared" si="15"/>
        <v>0</v>
      </c>
      <c r="K62" s="328">
        <f t="shared" si="15"/>
        <v>0</v>
      </c>
      <c r="L62" s="328">
        <f t="shared" si="15"/>
        <v>0</v>
      </c>
      <c r="M62" s="328">
        <f t="shared" si="15"/>
        <v>0</v>
      </c>
      <c r="N62" s="328">
        <f t="shared" si="15"/>
        <v>0</v>
      </c>
      <c r="O62" s="328">
        <f t="shared" si="15"/>
        <v>0</v>
      </c>
      <c r="P62" s="328">
        <f t="shared" si="15"/>
        <v>0</v>
      </c>
      <c r="Q62" s="328">
        <f t="shared" si="15"/>
        <v>0</v>
      </c>
      <c r="R62" s="2060"/>
      <c r="S62" s="1385">
        <f>SUMIFS($G62:$Q62,$G$26:$Q$26,$S$26)</f>
        <v>0</v>
      </c>
      <c r="T62" s="1525"/>
      <c r="U62" s="1510"/>
      <c r="V62" s="1525"/>
      <c r="W62" s="2060"/>
      <c r="X62" s="2060"/>
    </row>
    <row r="63" spans="1:24" s="334" customFormat="1" ht="13.9">
      <c r="A63" s="1510"/>
      <c r="B63" s="1510"/>
      <c r="C63" s="304" t="s">
        <v>953</v>
      </c>
      <c r="D63" s="1528"/>
      <c r="E63" s="2060"/>
      <c r="F63" s="1011"/>
      <c r="G63" s="1064"/>
      <c r="H63" s="1064"/>
      <c r="I63" s="1064"/>
      <c r="J63" s="1064"/>
      <c r="K63" s="1064"/>
      <c r="L63" s="1064"/>
      <c r="M63" s="1064"/>
      <c r="N63" s="1064"/>
      <c r="O63" s="1064"/>
      <c r="P63" s="1064"/>
      <c r="Q63" s="1064"/>
      <c r="R63" s="2060"/>
      <c r="S63" s="1370"/>
      <c r="T63" s="1525"/>
      <c r="U63" s="1510"/>
      <c r="V63" s="1525"/>
      <c r="W63" s="2060"/>
      <c r="X63" s="2060"/>
    </row>
    <row r="64" spans="1:24" s="334" customFormat="1" ht="13.9">
      <c r="A64" s="1510"/>
      <c r="B64" s="1510"/>
      <c r="C64" s="1377" t="s">
        <v>956</v>
      </c>
      <c r="D64" s="1528"/>
      <c r="E64" s="1364">
        <f>IFERROR(E62/E$28,0)</f>
        <v>0</v>
      </c>
      <c r="F64" s="1740">
        <f>IFERROR(F62/F$28,0)</f>
        <v>0</v>
      </c>
      <c r="G64" s="6"/>
      <c r="H64" s="6"/>
      <c r="I64" s="6"/>
      <c r="J64" s="6"/>
      <c r="K64" s="6"/>
      <c r="L64" s="6"/>
      <c r="M64" s="6"/>
      <c r="N64" s="6"/>
      <c r="O64" s="6"/>
      <c r="P64" s="6"/>
      <c r="Q64" s="6"/>
      <c r="R64" s="2060"/>
      <c r="S64" s="1370"/>
      <c r="T64" s="1525"/>
      <c r="U64" s="1510"/>
      <c r="V64" s="1525"/>
      <c r="W64" s="2060"/>
      <c r="X64" s="2060"/>
    </row>
    <row r="65" spans="1:28" s="334" customFormat="1" ht="13.9">
      <c r="A65" s="1510"/>
      <c r="B65" s="1510"/>
      <c r="C65" s="1531"/>
      <c r="D65" s="1531"/>
      <c r="E65" s="616"/>
      <c r="F65" s="1010"/>
      <c r="G65" s="328"/>
      <c r="H65" s="328"/>
      <c r="I65" s="328"/>
      <c r="J65" s="328"/>
      <c r="K65" s="328"/>
      <c r="L65" s="328"/>
      <c r="M65" s="328"/>
      <c r="N65" s="328"/>
      <c r="O65" s="328"/>
      <c r="P65" s="328"/>
      <c r="Q65" s="328"/>
      <c r="R65" s="2060"/>
      <c r="S65" s="1370"/>
      <c r="T65" s="1525"/>
      <c r="U65" s="1510"/>
      <c r="V65" s="1525"/>
      <c r="W65" s="2060"/>
      <c r="X65" s="2060"/>
      <c r="Y65" s="1525"/>
      <c r="Z65" s="1525"/>
      <c r="AA65" s="1525"/>
      <c r="AB65" s="1525"/>
    </row>
    <row r="66" spans="1:28" s="334" customFormat="1" ht="13.9">
      <c r="A66" s="1510"/>
      <c r="B66" s="1510"/>
      <c r="C66" s="1531" t="str">
        <f>'INC STAT Hist Input'!C19</f>
        <v>Other operating (expense) / income</v>
      </c>
      <c r="D66" s="1531"/>
      <c r="E66" s="328">
        <f>IF(StubY,'INC STAT Hist Input'!J19,'INC STAT Hist Input'!I19)</f>
        <v>0</v>
      </c>
      <c r="F66" s="1010">
        <f>IF(StubY,'INC STAT Hist Input'!L19,'INC STAT Hist Input'!J19)</f>
        <v>0</v>
      </c>
      <c r="G66" s="328">
        <f>IF(G67,G67,G$28*G68)*(N(G$23)&gt;0)</f>
        <v>0</v>
      </c>
      <c r="H66" s="328">
        <f t="shared" ref="H66:Q66" si="16">IF(H67,H67,H$28*H68)*(N(H$23)&gt;0)</f>
        <v>0</v>
      </c>
      <c r="I66" s="328">
        <f t="shared" si="16"/>
        <v>0</v>
      </c>
      <c r="J66" s="328">
        <f t="shared" si="16"/>
        <v>0</v>
      </c>
      <c r="K66" s="328">
        <f t="shared" si="16"/>
        <v>0</v>
      </c>
      <c r="L66" s="328">
        <f t="shared" si="16"/>
        <v>0</v>
      </c>
      <c r="M66" s="328">
        <f t="shared" si="16"/>
        <v>0</v>
      </c>
      <c r="N66" s="328">
        <f t="shared" si="16"/>
        <v>0</v>
      </c>
      <c r="O66" s="328">
        <f t="shared" si="16"/>
        <v>0</v>
      </c>
      <c r="P66" s="328">
        <f t="shared" si="16"/>
        <v>0</v>
      </c>
      <c r="Q66" s="328">
        <f t="shared" si="16"/>
        <v>0</v>
      </c>
      <c r="R66" s="2060"/>
      <c r="S66" s="1385">
        <f>SUMIFS($G66:$Q66,$G$26:$Q$26,$S$26)</f>
        <v>0</v>
      </c>
      <c r="T66" s="1525"/>
      <c r="U66" s="1510"/>
      <c r="V66" s="1525"/>
      <c r="W66" s="2060"/>
      <c r="X66" s="2060"/>
      <c r="Y66" s="1525"/>
      <c r="Z66" s="1525"/>
      <c r="AA66" s="1525"/>
      <c r="AB66" s="1525"/>
    </row>
    <row r="67" spans="1:28" s="334" customFormat="1" ht="13.9">
      <c r="A67" s="1510"/>
      <c r="B67" s="1510"/>
      <c r="C67" s="304" t="s">
        <v>953</v>
      </c>
      <c r="D67" s="1528"/>
      <c r="E67" s="2060"/>
      <c r="F67" s="1011"/>
      <c r="G67" s="1064"/>
      <c r="H67" s="1064"/>
      <c r="I67" s="1064"/>
      <c r="J67" s="1064"/>
      <c r="K67" s="1064"/>
      <c r="L67" s="1064"/>
      <c r="M67" s="1064"/>
      <c r="N67" s="1064"/>
      <c r="O67" s="1064"/>
      <c r="P67" s="1064"/>
      <c r="Q67" s="1064"/>
      <c r="R67" s="2060"/>
      <c r="S67" s="1370"/>
      <c r="T67" s="1525"/>
      <c r="U67" s="1510"/>
      <c r="V67" s="1525"/>
      <c r="W67" s="2060"/>
      <c r="X67" s="2060"/>
      <c r="Y67" s="1525"/>
      <c r="Z67" s="1525"/>
      <c r="AA67" s="1525"/>
      <c r="AB67" s="1525"/>
    </row>
    <row r="68" spans="1:28" s="334" customFormat="1" ht="13.9">
      <c r="A68" s="1510"/>
      <c r="B68" s="1510"/>
      <c r="C68" s="1377" t="s">
        <v>956</v>
      </c>
      <c r="D68" s="1528"/>
      <c r="E68" s="1364">
        <f>IFERROR(E66/E$28,0)</f>
        <v>0</v>
      </c>
      <c r="F68" s="1740">
        <f>IFERROR(F66/F$28,0)</f>
        <v>0</v>
      </c>
      <c r="G68" s="6"/>
      <c r="H68" s="6"/>
      <c r="I68" s="6"/>
      <c r="J68" s="6"/>
      <c r="K68" s="6"/>
      <c r="L68" s="6"/>
      <c r="M68" s="6"/>
      <c r="N68" s="6"/>
      <c r="O68" s="6"/>
      <c r="P68" s="6"/>
      <c r="Q68" s="6"/>
      <c r="R68" s="2060"/>
      <c r="S68" s="1370"/>
      <c r="T68" s="1525"/>
      <c r="U68" s="1510"/>
      <c r="V68" s="1525"/>
      <c r="W68" s="2060"/>
      <c r="X68" s="2060"/>
      <c r="Y68" s="1525"/>
      <c r="Z68" s="1525"/>
      <c r="AA68" s="1525"/>
      <c r="AB68" s="1525"/>
    </row>
    <row r="69" spans="1:28" s="334" customFormat="1" ht="13.9">
      <c r="A69" s="1510"/>
      <c r="B69" s="1510"/>
      <c r="C69" s="1531"/>
      <c r="D69" s="1531"/>
      <c r="E69" s="616"/>
      <c r="F69" s="1010"/>
      <c r="G69" s="328"/>
      <c r="H69" s="328"/>
      <c r="I69" s="328"/>
      <c r="J69" s="328"/>
      <c r="K69" s="328"/>
      <c r="L69" s="328"/>
      <c r="M69" s="328"/>
      <c r="N69" s="328"/>
      <c r="O69" s="328"/>
      <c r="P69" s="328"/>
      <c r="Q69" s="328"/>
      <c r="R69" s="2060"/>
      <c r="S69" s="1370"/>
      <c r="T69" s="1525"/>
      <c r="U69" s="1510"/>
      <c r="V69" s="1525"/>
      <c r="W69" s="2060"/>
      <c r="X69" s="2060"/>
      <c r="Y69" s="1525"/>
      <c r="Z69" s="1525"/>
      <c r="AA69" s="1525"/>
      <c r="AB69" s="1525"/>
    </row>
    <row r="70" spans="1:28" s="334" customFormat="1" ht="13.9">
      <c r="A70" s="1510"/>
      <c r="B70" s="1510"/>
      <c r="C70" s="304" t="s">
        <v>961</v>
      </c>
      <c r="D70" s="2014">
        <v>10</v>
      </c>
      <c r="E70" s="616"/>
      <c r="F70" s="1013"/>
      <c r="G70" s="1369">
        <f>D70/100-0.1</f>
        <v>0</v>
      </c>
      <c r="H70" s="1369">
        <f>G70</f>
        <v>0</v>
      </c>
      <c r="I70" s="1369">
        <f t="shared" ref="I70:Q70" si="17">H70</f>
        <v>0</v>
      </c>
      <c r="J70" s="1369">
        <f t="shared" si="17"/>
        <v>0</v>
      </c>
      <c r="K70" s="1369">
        <f t="shared" si="17"/>
        <v>0</v>
      </c>
      <c r="L70" s="1369">
        <f t="shared" si="17"/>
        <v>0</v>
      </c>
      <c r="M70" s="1369">
        <f t="shared" si="17"/>
        <v>0</v>
      </c>
      <c r="N70" s="1369">
        <f t="shared" si="17"/>
        <v>0</v>
      </c>
      <c r="O70" s="1369">
        <f t="shared" si="17"/>
        <v>0</v>
      </c>
      <c r="P70" s="1369">
        <f t="shared" si="17"/>
        <v>0</v>
      </c>
      <c r="Q70" s="1369">
        <f t="shared" si="17"/>
        <v>0</v>
      </c>
      <c r="R70" s="2060"/>
      <c r="S70" s="1370"/>
      <c r="T70" s="1525"/>
      <c r="U70" s="1510"/>
      <c r="V70" s="1525"/>
      <c r="W70" s="2060"/>
      <c r="X70" s="2060"/>
      <c r="Y70" s="1525"/>
      <c r="Z70" s="1525"/>
      <c r="AA70" s="1525"/>
      <c r="AB70" s="1525"/>
    </row>
    <row r="71" spans="1:28" s="334" customFormat="1" ht="13.9">
      <c r="A71" s="1510"/>
      <c r="B71" s="1510"/>
      <c r="C71" s="1531" t="s">
        <v>962</v>
      </c>
      <c r="D71" s="1531"/>
      <c r="E71" s="616"/>
      <c r="F71" s="1010"/>
      <c r="G71" s="328">
        <f>G70*G$28</f>
        <v>0</v>
      </c>
      <c r="H71" s="328">
        <f t="shared" ref="H71:Q71" si="18">H70*H$28</f>
        <v>0</v>
      </c>
      <c r="I71" s="328">
        <f t="shared" si="18"/>
        <v>0</v>
      </c>
      <c r="J71" s="328">
        <f t="shared" si="18"/>
        <v>0</v>
      </c>
      <c r="K71" s="328">
        <f t="shared" si="18"/>
        <v>0</v>
      </c>
      <c r="L71" s="328">
        <f t="shared" si="18"/>
        <v>0</v>
      </c>
      <c r="M71" s="328">
        <f t="shared" si="18"/>
        <v>0</v>
      </c>
      <c r="N71" s="328">
        <f t="shared" si="18"/>
        <v>0</v>
      </c>
      <c r="O71" s="328">
        <f t="shared" si="18"/>
        <v>0</v>
      </c>
      <c r="P71" s="328">
        <f t="shared" si="18"/>
        <v>0</v>
      </c>
      <c r="Q71" s="328">
        <f t="shared" si="18"/>
        <v>0</v>
      </c>
      <c r="R71" s="2060"/>
      <c r="S71" s="1385">
        <f>SUMIFS($G71:$Q71,$G$26:$Q$26,$S$26)</f>
        <v>0</v>
      </c>
      <c r="T71" s="1525"/>
      <c r="U71" s="1510"/>
      <c r="V71" s="1525"/>
      <c r="W71" s="2060"/>
      <c r="X71" s="2060"/>
      <c r="Y71" s="1525"/>
      <c r="Z71" s="1525"/>
      <c r="AA71" s="1525"/>
      <c r="AB71" s="1525"/>
    </row>
    <row r="72" spans="1:28" ht="13.9">
      <c r="A72" s="1510"/>
      <c r="B72" s="1510"/>
      <c r="C72" s="1378" t="s">
        <v>247</v>
      </c>
      <c r="D72" s="298"/>
      <c r="E72" s="978">
        <f t="shared" ref="E72:Q72" si="19">SUM(E37,E40,E45,E50,E54,E58,E62,E66,E71)</f>
        <v>0</v>
      </c>
      <c r="F72" s="1012">
        <f t="shared" si="19"/>
        <v>0</v>
      </c>
      <c r="G72" s="978">
        <f t="shared" si="19"/>
        <v>0</v>
      </c>
      <c r="H72" s="978">
        <f t="shared" si="19"/>
        <v>0</v>
      </c>
      <c r="I72" s="978">
        <f t="shared" si="19"/>
        <v>0</v>
      </c>
      <c r="J72" s="978">
        <f t="shared" si="19"/>
        <v>0</v>
      </c>
      <c r="K72" s="978">
        <f t="shared" si="19"/>
        <v>0</v>
      </c>
      <c r="L72" s="978">
        <f t="shared" si="19"/>
        <v>0</v>
      </c>
      <c r="M72" s="978">
        <f t="shared" si="19"/>
        <v>0</v>
      </c>
      <c r="N72" s="978">
        <f t="shared" si="19"/>
        <v>0</v>
      </c>
      <c r="O72" s="978">
        <f t="shared" si="19"/>
        <v>0</v>
      </c>
      <c r="P72" s="978">
        <f t="shared" si="19"/>
        <v>0</v>
      </c>
      <c r="Q72" s="978">
        <f t="shared" si="19"/>
        <v>0</v>
      </c>
      <c r="R72" s="2060"/>
      <c r="S72" s="978">
        <f>IF(S73,S73*$S$28,SUMIFS($G$73:$Q$73,$G$26:$Q$26,$S$26)*$S$28)</f>
        <v>0</v>
      </c>
      <c r="T72" s="1525"/>
      <c r="U72" s="1510"/>
      <c r="V72" s="1525"/>
      <c r="W72" s="2060"/>
      <c r="X72" s="2060"/>
      <c r="Y72" s="1525"/>
      <c r="Z72" s="1525"/>
      <c r="AA72" s="1525"/>
      <c r="AB72" s="1525"/>
    </row>
    <row r="73" spans="1:28" s="334" customFormat="1" ht="13.9">
      <c r="A73" s="1510"/>
      <c r="B73" s="1510"/>
      <c r="C73" s="1531" t="s">
        <v>963</v>
      </c>
      <c r="D73" s="315"/>
      <c r="E73" s="1364">
        <f>IFERROR(E72/E$28,0)</f>
        <v>0</v>
      </c>
      <c r="F73" s="1740">
        <f>IFERROR(F72/F$28,0)</f>
        <v>0</v>
      </c>
      <c r="G73" s="1364">
        <f>IFERROR(G72/G$28,0)</f>
        <v>0</v>
      </c>
      <c r="H73" s="1364">
        <f>IFERROR(H72/H$28,0)</f>
        <v>0</v>
      </c>
      <c r="I73" s="1364">
        <f t="shared" ref="I73:Q73" si="20">IFERROR(I72/I$28,0)</f>
        <v>0</v>
      </c>
      <c r="J73" s="1364">
        <f t="shared" si="20"/>
        <v>0</v>
      </c>
      <c r="K73" s="1364">
        <f t="shared" si="20"/>
        <v>0</v>
      </c>
      <c r="L73" s="1364">
        <f t="shared" si="20"/>
        <v>0</v>
      </c>
      <c r="M73" s="1364">
        <f t="shared" si="20"/>
        <v>0</v>
      </c>
      <c r="N73" s="1364">
        <f t="shared" si="20"/>
        <v>0</v>
      </c>
      <c r="O73" s="1364">
        <f t="shared" si="20"/>
        <v>0</v>
      </c>
      <c r="P73" s="1364">
        <f t="shared" si="20"/>
        <v>0</v>
      </c>
      <c r="Q73" s="1364">
        <f t="shared" si="20"/>
        <v>0</v>
      </c>
      <c r="R73" s="2060"/>
      <c r="S73" s="1368"/>
      <c r="T73" s="1525"/>
      <c r="U73" s="1510"/>
      <c r="V73" s="1525"/>
      <c r="W73" s="2060"/>
      <c r="X73" s="2060"/>
      <c r="Y73" s="1525"/>
      <c r="Z73" s="1525"/>
      <c r="AA73" s="1525"/>
      <c r="AB73" s="1525"/>
    </row>
    <row r="74" spans="1:28" s="334" customFormat="1" ht="13.9">
      <c r="A74" s="1510"/>
      <c r="B74" s="1510"/>
      <c r="C74" s="1193"/>
      <c r="D74" s="315"/>
      <c r="E74" s="616"/>
      <c r="F74" s="1010"/>
      <c r="G74" s="328"/>
      <c r="H74" s="328"/>
      <c r="I74" s="328"/>
      <c r="J74" s="328"/>
      <c r="K74" s="328"/>
      <c r="L74" s="328"/>
      <c r="M74" s="328"/>
      <c r="N74" s="328"/>
      <c r="O74" s="328"/>
      <c r="P74" s="328"/>
      <c r="Q74" s="328"/>
      <c r="R74" s="2060"/>
      <c r="S74" s="328"/>
      <c r="T74" s="1525"/>
      <c r="U74" s="1510"/>
      <c r="V74" s="1525"/>
      <c r="W74" s="2060"/>
      <c r="X74" s="2060"/>
      <c r="Y74" s="1525"/>
      <c r="Z74" s="1525"/>
      <c r="AA74" s="1525"/>
      <c r="AB74" s="1525"/>
    </row>
    <row r="75" spans="1:28" s="293" customFormat="1" ht="13.9">
      <c r="A75" s="1510"/>
      <c r="B75" s="1510"/>
      <c r="C75" s="1379" t="s">
        <v>964</v>
      </c>
      <c r="D75" s="290"/>
      <c r="E75" s="328">
        <f>IF(StubY,'INC STAT Hist Input'!J21,'INC STAT Hist Input'!I21)</f>
        <v>0</v>
      </c>
      <c r="F75" s="1010">
        <f>IF(StubY,'INC STAT Hist Input'!L21,'INC STAT Hist Input'!J21)</f>
        <v>0</v>
      </c>
      <c r="G75" s="328">
        <f ca="1">-'Depreciation and Tax Benefit'!G54*(ISNUMBER(G23)*1)</f>
        <v>0</v>
      </c>
      <c r="H75" s="328">
        <f ca="1">-'Depreciation and Tax Benefit'!H54*(ISNUMBER(H23)*1)</f>
        <v>0</v>
      </c>
      <c r="I75" s="328">
        <f ca="1">-'Depreciation and Tax Benefit'!I54*(ISNUMBER(I23)*1)</f>
        <v>0</v>
      </c>
      <c r="J75" s="328">
        <f ca="1">-'Depreciation and Tax Benefit'!J54*(ISNUMBER(J23)*1)</f>
        <v>0</v>
      </c>
      <c r="K75" s="328">
        <f ca="1">-'Depreciation and Tax Benefit'!K54*(ISNUMBER(K23)*1)</f>
        <v>0</v>
      </c>
      <c r="L75" s="328">
        <f ca="1">-'Depreciation and Tax Benefit'!L54*(ISNUMBER(L23)*1)</f>
        <v>0</v>
      </c>
      <c r="M75" s="328">
        <f ca="1">-'Depreciation and Tax Benefit'!M54*(ISNUMBER(M23)*1)</f>
        <v>0</v>
      </c>
      <c r="N75" s="328">
        <f ca="1">-'Depreciation and Tax Benefit'!N54*(ISNUMBER(N23)*1)</f>
        <v>0</v>
      </c>
      <c r="O75" s="328">
        <f ca="1">-'Depreciation and Tax Benefit'!O54*(ISNUMBER(O23)*1)</f>
        <v>0</v>
      </c>
      <c r="P75" s="328">
        <f ca="1">-'Depreciation and Tax Benefit'!P54*(ISNUMBER(P23)*1)</f>
        <v>0</v>
      </c>
      <c r="Q75" s="328">
        <f ca="1">-'Depreciation and Tax Benefit'!Q54*(ISNUMBER(Q23)*1)</f>
        <v>0</v>
      </c>
      <c r="R75" s="2060"/>
      <c r="S75" s="328">
        <f>-S95</f>
        <v>0</v>
      </c>
      <c r="T75" s="328"/>
      <c r="U75" s="1510"/>
      <c r="V75" s="1507"/>
      <c r="W75" s="2060"/>
      <c r="X75" s="2060"/>
      <c r="Y75" s="1525"/>
      <c r="Z75" s="1525"/>
      <c r="AA75" s="1525"/>
      <c r="AB75" s="1525"/>
    </row>
    <row r="76" spans="1:28" s="321" customFormat="1" ht="13.9">
      <c r="A76" s="1510"/>
      <c r="B76" s="1510"/>
      <c r="C76" s="299"/>
      <c r="D76" s="290"/>
      <c r="E76" s="616"/>
      <c r="F76" s="1010"/>
      <c r="G76" s="328"/>
      <c r="H76" s="328"/>
      <c r="I76" s="328"/>
      <c r="J76" s="328"/>
      <c r="K76" s="328"/>
      <c r="L76" s="328"/>
      <c r="M76" s="328"/>
      <c r="N76" s="328"/>
      <c r="O76" s="328"/>
      <c r="P76" s="328"/>
      <c r="Q76" s="328"/>
      <c r="R76" s="2060"/>
      <c r="S76" s="328"/>
      <c r="T76" s="1507"/>
      <c r="U76" s="1510"/>
      <c r="V76" s="1507"/>
      <c r="W76" s="2060"/>
      <c r="X76" s="2060"/>
      <c r="Y76" s="1507"/>
      <c r="Z76" s="1507"/>
      <c r="AA76" s="1507"/>
      <c r="AB76" s="1507"/>
    </row>
    <row r="77" spans="1:28" ht="13.9">
      <c r="A77" s="1510"/>
      <c r="B77" s="1510"/>
      <c r="C77" s="299" t="s">
        <v>965</v>
      </c>
      <c r="D77" s="299"/>
      <c r="E77" s="328">
        <f>IF(StubY,'INC STAT Hist Input'!J22,'INC STAT Hist Input'!I22)</f>
        <v>0</v>
      </c>
      <c r="F77" s="1010">
        <f>IF(StubY,'INC STAT Hist Input'!L22,'INC STAT Hist Input'!J22)</f>
        <v>0</v>
      </c>
      <c r="G77" s="328">
        <f>IFERROR(G78,0)</f>
        <v>0</v>
      </c>
      <c r="H77" s="328">
        <f>IFERROR(H78,0)*(N(H$23)&gt;0)</f>
        <v>0</v>
      </c>
      <c r="I77" s="328">
        <f t="shared" ref="I77:Q77" si="21">IFERROR(I78,0)*(N(I$23)&gt;0)</f>
        <v>0</v>
      </c>
      <c r="J77" s="328">
        <f t="shared" si="21"/>
        <v>0</v>
      </c>
      <c r="K77" s="328">
        <f t="shared" si="21"/>
        <v>0</v>
      </c>
      <c r="L77" s="328">
        <f t="shared" si="21"/>
        <v>0</v>
      </c>
      <c r="M77" s="328">
        <f t="shared" si="21"/>
        <v>0</v>
      </c>
      <c r="N77" s="328">
        <f t="shared" si="21"/>
        <v>0</v>
      </c>
      <c r="O77" s="328">
        <f t="shared" si="21"/>
        <v>0</v>
      </c>
      <c r="P77" s="328">
        <f t="shared" si="21"/>
        <v>0</v>
      </c>
      <c r="Q77" s="328">
        <f t="shared" si="21"/>
        <v>0</v>
      </c>
      <c r="R77" s="2060"/>
      <c r="S77" s="328">
        <f>IF(ISNUMBER(S78),S78,0)</f>
        <v>0</v>
      </c>
      <c r="T77" s="1525"/>
      <c r="U77" s="1510"/>
      <c r="V77" s="1525"/>
      <c r="W77" s="2060"/>
      <c r="X77" s="2060"/>
      <c r="Y77" s="1525"/>
      <c r="Z77" s="1525"/>
      <c r="AA77" s="1525"/>
      <c r="AB77" s="1525"/>
    </row>
    <row r="78" spans="1:28" s="334" customFormat="1" ht="13.9">
      <c r="A78" s="1510"/>
      <c r="B78" s="1510"/>
      <c r="C78" s="1377" t="s">
        <v>953</v>
      </c>
      <c r="D78" s="1048" t="str">
        <f>IF(MAX($G$78:$Q$78)&gt;0,Fail,"")</f>
        <v/>
      </c>
      <c r="E78" s="1048" t="str">
        <f>IF(MAX($G$78:$Q$78)&gt;0,"Enter as negative!","")</f>
        <v/>
      </c>
      <c r="F78" s="1011"/>
      <c r="G78" s="1064"/>
      <c r="H78" s="1064"/>
      <c r="I78" s="1064"/>
      <c r="J78" s="1064"/>
      <c r="K78" s="1064"/>
      <c r="L78" s="1064"/>
      <c r="M78" s="1064"/>
      <c r="N78" s="1064"/>
      <c r="O78" s="1064"/>
      <c r="P78" s="1064"/>
      <c r="Q78" s="1064"/>
      <c r="R78" s="2060"/>
      <c r="S78" s="1525">
        <v>0</v>
      </c>
      <c r="T78" s="1525"/>
      <c r="U78" s="1510"/>
      <c r="V78" s="1525"/>
      <c r="W78" s="2060"/>
      <c r="X78" s="2060"/>
      <c r="Y78" s="1525"/>
      <c r="Z78" s="1525"/>
      <c r="AA78" s="1525"/>
      <c r="AB78" s="1525"/>
    </row>
    <row r="79" spans="1:28" s="293" customFormat="1" ht="13.9">
      <c r="A79" s="1510"/>
      <c r="B79" s="1510"/>
      <c r="C79" s="1378" t="s">
        <v>211</v>
      </c>
      <c r="D79" s="298"/>
      <c r="E79" s="978">
        <f t="shared" ref="E79:Q79" si="22">SUM(E72,E75,E77)</f>
        <v>0</v>
      </c>
      <c r="F79" s="1012">
        <f t="shared" si="22"/>
        <v>0</v>
      </c>
      <c r="G79" s="978">
        <f t="shared" ca="1" si="22"/>
        <v>0</v>
      </c>
      <c r="H79" s="978">
        <f t="shared" ca="1" si="22"/>
        <v>0</v>
      </c>
      <c r="I79" s="978">
        <f t="shared" ca="1" si="22"/>
        <v>0</v>
      </c>
      <c r="J79" s="978">
        <f t="shared" ca="1" si="22"/>
        <v>0</v>
      </c>
      <c r="K79" s="978">
        <f t="shared" ca="1" si="22"/>
        <v>0</v>
      </c>
      <c r="L79" s="978">
        <f t="shared" ca="1" si="22"/>
        <v>0</v>
      </c>
      <c r="M79" s="978">
        <f t="shared" ca="1" si="22"/>
        <v>0</v>
      </c>
      <c r="N79" s="978">
        <f t="shared" ca="1" si="22"/>
        <v>0</v>
      </c>
      <c r="O79" s="978">
        <f t="shared" ca="1" si="22"/>
        <v>0</v>
      </c>
      <c r="P79" s="978">
        <f t="shared" ca="1" si="22"/>
        <v>0</v>
      </c>
      <c r="Q79" s="978">
        <f t="shared" ca="1" si="22"/>
        <v>0</v>
      </c>
      <c r="R79" s="2060"/>
      <c r="S79" s="978">
        <f>SUM(S72,S75,S77)</f>
        <v>0</v>
      </c>
      <c r="T79" s="1507"/>
      <c r="U79" s="1510"/>
      <c r="V79" s="1507"/>
      <c r="W79" s="2060"/>
      <c r="X79" s="2060"/>
      <c r="Y79" s="1525"/>
      <c r="Z79" s="1525"/>
      <c r="AA79" s="1525"/>
      <c r="AB79" s="1525"/>
    </row>
    <row r="80" spans="1:28" s="321" customFormat="1" ht="13.9">
      <c r="A80" s="1510"/>
      <c r="B80" s="1510"/>
      <c r="C80" s="1531" t="s">
        <v>240</v>
      </c>
      <c r="D80" s="315"/>
      <c r="E80" s="1364">
        <f t="shared" ref="E80:Q80" si="23">IFERROR(E79/E$28,0)</f>
        <v>0</v>
      </c>
      <c r="F80" s="1740">
        <f t="shared" si="23"/>
        <v>0</v>
      </c>
      <c r="G80" s="1364">
        <f t="shared" ca="1" si="23"/>
        <v>0</v>
      </c>
      <c r="H80" s="1364">
        <f t="shared" ca="1" si="23"/>
        <v>0</v>
      </c>
      <c r="I80" s="1364">
        <f t="shared" ca="1" si="23"/>
        <v>0</v>
      </c>
      <c r="J80" s="1364">
        <f t="shared" ca="1" si="23"/>
        <v>0</v>
      </c>
      <c r="K80" s="1364">
        <f t="shared" ca="1" si="23"/>
        <v>0</v>
      </c>
      <c r="L80" s="1364">
        <f t="shared" ca="1" si="23"/>
        <v>0</v>
      </c>
      <c r="M80" s="1364">
        <f t="shared" ca="1" si="23"/>
        <v>0</v>
      </c>
      <c r="N80" s="1364">
        <f t="shared" ca="1" si="23"/>
        <v>0</v>
      </c>
      <c r="O80" s="1364">
        <f t="shared" ca="1" si="23"/>
        <v>0</v>
      </c>
      <c r="P80" s="1364">
        <f t="shared" ca="1" si="23"/>
        <v>0</v>
      </c>
      <c r="Q80" s="1364">
        <f t="shared" ca="1" si="23"/>
        <v>0</v>
      </c>
      <c r="R80" s="1369"/>
      <c r="S80" s="1364">
        <f>IFERROR(S79/S$28,0)</f>
        <v>0</v>
      </c>
      <c r="T80" s="1507"/>
      <c r="U80" s="1510"/>
      <c r="V80" s="1507"/>
      <c r="W80" s="2060"/>
      <c r="X80" s="2060"/>
      <c r="Y80" s="1507"/>
      <c r="Z80" s="1507"/>
      <c r="AA80" s="1507"/>
      <c r="AB80" s="1507"/>
    </row>
    <row r="81" spans="1:28" s="321" customFormat="1" ht="13.9">
      <c r="A81" s="1510"/>
      <c r="B81" s="1510"/>
      <c r="C81" s="1531" t="s">
        <v>966</v>
      </c>
      <c r="D81" s="328"/>
      <c r="E81" s="616" t="s">
        <v>967</v>
      </c>
      <c r="F81" s="1010" t="s">
        <v>967</v>
      </c>
      <c r="G81" s="328">
        <f t="shared" ref="G81:Q81" ca="1" si="24">-G79*G91</f>
        <v>0</v>
      </c>
      <c r="H81" s="328">
        <f t="shared" ca="1" si="24"/>
        <v>0</v>
      </c>
      <c r="I81" s="328">
        <f t="shared" ca="1" si="24"/>
        <v>0</v>
      </c>
      <c r="J81" s="328">
        <f t="shared" ca="1" si="24"/>
        <v>0</v>
      </c>
      <c r="K81" s="328">
        <f t="shared" ca="1" si="24"/>
        <v>0</v>
      </c>
      <c r="L81" s="328">
        <f t="shared" ca="1" si="24"/>
        <v>0</v>
      </c>
      <c r="M81" s="328">
        <f t="shared" ca="1" si="24"/>
        <v>0</v>
      </c>
      <c r="N81" s="328">
        <f t="shared" ca="1" si="24"/>
        <v>0</v>
      </c>
      <c r="O81" s="328">
        <f t="shared" ca="1" si="24"/>
        <v>0</v>
      </c>
      <c r="P81" s="328">
        <f t="shared" ca="1" si="24"/>
        <v>0</v>
      </c>
      <c r="Q81" s="328">
        <f t="shared" ca="1" si="24"/>
        <v>0</v>
      </c>
      <c r="R81" s="2060"/>
      <c r="S81" s="328">
        <f ca="1">-S91*$S$79</f>
        <v>0</v>
      </c>
      <c r="T81" s="1507"/>
      <c r="U81" s="1510"/>
      <c r="V81" s="1507"/>
      <c r="W81" s="2060"/>
      <c r="X81" s="2060"/>
      <c r="Y81" s="1507"/>
      <c r="Z81" s="1507"/>
      <c r="AA81" s="1507"/>
      <c r="AB81" s="1507"/>
    </row>
    <row r="82" spans="1:28" s="1507" customFormat="1" ht="13.9">
      <c r="A82" s="1510"/>
      <c r="B82" s="1510"/>
      <c r="C82" s="1193" t="s">
        <v>968</v>
      </c>
      <c r="D82" s="315"/>
      <c r="E82" s="328" t="s">
        <v>967</v>
      </c>
      <c r="F82" s="1010" t="s">
        <v>967</v>
      </c>
      <c r="G82" s="328">
        <f ca="1">G79+G81</f>
        <v>0</v>
      </c>
      <c r="H82" s="328">
        <f t="shared" ref="H82:Q82" ca="1" si="25">H79+H81</f>
        <v>0</v>
      </c>
      <c r="I82" s="328">
        <f t="shared" ca="1" si="25"/>
        <v>0</v>
      </c>
      <c r="J82" s="328">
        <f t="shared" ca="1" si="25"/>
        <v>0</v>
      </c>
      <c r="K82" s="328">
        <f t="shared" ca="1" si="25"/>
        <v>0</v>
      </c>
      <c r="L82" s="328">
        <f t="shared" ca="1" si="25"/>
        <v>0</v>
      </c>
      <c r="M82" s="328">
        <f t="shared" ca="1" si="25"/>
        <v>0</v>
      </c>
      <c r="N82" s="328">
        <f t="shared" ca="1" si="25"/>
        <v>0</v>
      </c>
      <c r="O82" s="328">
        <f t="shared" ca="1" si="25"/>
        <v>0</v>
      </c>
      <c r="P82" s="328">
        <f t="shared" ca="1" si="25"/>
        <v>0</v>
      </c>
      <c r="Q82" s="328">
        <f t="shared" ca="1" si="25"/>
        <v>0</v>
      </c>
      <c r="R82" s="2060"/>
      <c r="S82" s="328">
        <f ca="1">S79+S81</f>
        <v>0</v>
      </c>
      <c r="U82" s="1510"/>
      <c r="W82" s="2060"/>
      <c r="X82" s="2060"/>
    </row>
    <row r="83" spans="1:28" s="1507" customFormat="1" ht="13.9">
      <c r="A83" s="1510"/>
      <c r="B83" s="1510"/>
      <c r="C83" s="1193"/>
      <c r="D83" s="315"/>
      <c r="E83" s="328"/>
      <c r="F83" s="1010"/>
      <c r="G83" s="328"/>
      <c r="H83" s="328"/>
      <c r="I83" s="328"/>
      <c r="J83" s="328"/>
      <c r="K83" s="328"/>
      <c r="L83" s="328"/>
      <c r="M83" s="328"/>
      <c r="N83" s="328"/>
      <c r="O83" s="328"/>
      <c r="P83" s="328"/>
      <c r="Q83" s="328"/>
      <c r="R83" s="2060"/>
      <c r="S83" s="328"/>
      <c r="U83" s="1510"/>
      <c r="W83" s="2060"/>
      <c r="X83" s="2060"/>
    </row>
    <row r="84" spans="1:28" s="1507" customFormat="1" ht="13.9">
      <c r="A84" s="1510"/>
      <c r="B84" s="1510"/>
      <c r="C84" s="1531" t="s">
        <v>296</v>
      </c>
      <c r="D84" s="315"/>
      <c r="E84" s="328">
        <f>IF(StubY,'INC STAT Hist Input'!J24,'INC STAT Hist Input'!I24)</f>
        <v>0</v>
      </c>
      <c r="F84" s="1010">
        <f>IF(StubY,'INC STAT Hist Input'!L24,'INC STAT Hist Input'!J24)</f>
        <v>0</v>
      </c>
      <c r="G84" s="328">
        <f t="shared" ref="G84:Q84" si="26">IFERROR(G186+G232+G239+G246,0)</f>
        <v>0</v>
      </c>
      <c r="H84" s="328">
        <f t="shared" si="26"/>
        <v>0</v>
      </c>
      <c r="I84" s="328">
        <f t="shared" si="26"/>
        <v>0</v>
      </c>
      <c r="J84" s="328">
        <f t="shared" si="26"/>
        <v>0</v>
      </c>
      <c r="K84" s="328">
        <f t="shared" si="26"/>
        <v>0</v>
      </c>
      <c r="L84" s="328">
        <f t="shared" si="26"/>
        <v>0</v>
      </c>
      <c r="M84" s="328">
        <f t="shared" si="26"/>
        <v>0</v>
      </c>
      <c r="N84" s="328">
        <f t="shared" si="26"/>
        <v>0</v>
      </c>
      <c r="O84" s="328">
        <f t="shared" si="26"/>
        <v>0</v>
      </c>
      <c r="P84" s="328">
        <f t="shared" si="26"/>
        <v>0</v>
      </c>
      <c r="Q84" s="328">
        <f t="shared" si="26"/>
        <v>0</v>
      </c>
      <c r="R84" s="2060"/>
      <c r="S84" s="328">
        <f>SUMIFS($G84:$Q84,$G$26:$Q$26,$S$26)</f>
        <v>0</v>
      </c>
      <c r="U84" s="1510"/>
      <c r="W84" s="2060"/>
      <c r="X84" s="2060"/>
    </row>
    <row r="85" spans="1:28" s="1507" customFormat="1" ht="13.9">
      <c r="A85" s="1510"/>
      <c r="B85" s="1510"/>
      <c r="C85" s="1531" t="s">
        <v>910</v>
      </c>
      <c r="D85" s="315"/>
      <c r="E85" s="328">
        <f>IF(StubY,'INC STAT Hist Input'!J25,'INC STAT Hist Input'!I25)</f>
        <v>0</v>
      </c>
      <c r="F85" s="1010">
        <f>IF(StubY,'INC STAT Hist Input'!L25,'INC STAT Hist Input'!J25)</f>
        <v>0</v>
      </c>
      <c r="G85" s="328">
        <f>G106</f>
        <v>0</v>
      </c>
      <c r="H85" s="328">
        <f t="shared" ref="H85:Q85" si="27">H106</f>
        <v>0</v>
      </c>
      <c r="I85" s="328">
        <f t="shared" si="27"/>
        <v>0</v>
      </c>
      <c r="J85" s="328">
        <f t="shared" si="27"/>
        <v>0</v>
      </c>
      <c r="K85" s="328">
        <f t="shared" si="27"/>
        <v>0</v>
      </c>
      <c r="L85" s="328">
        <f t="shared" si="27"/>
        <v>0</v>
      </c>
      <c r="M85" s="328">
        <f t="shared" si="27"/>
        <v>0</v>
      </c>
      <c r="N85" s="328">
        <f t="shared" si="27"/>
        <v>0</v>
      </c>
      <c r="O85" s="328">
        <f t="shared" si="27"/>
        <v>0</v>
      </c>
      <c r="P85" s="328">
        <f t="shared" si="27"/>
        <v>0</v>
      </c>
      <c r="Q85" s="328">
        <f t="shared" si="27"/>
        <v>0</v>
      </c>
      <c r="R85" s="2060"/>
      <c r="S85" s="328">
        <f>SUMIFS($G85:$Q85,$G$26:$Q$26,$S$26)</f>
        <v>0</v>
      </c>
      <c r="U85" s="1510"/>
      <c r="W85" s="2060"/>
      <c r="X85" s="2060"/>
    </row>
    <row r="86" spans="1:28" s="1507" customFormat="1" ht="13.9">
      <c r="A86" s="1510"/>
      <c r="B86" s="1510"/>
      <c r="C86" s="815" t="s">
        <v>911</v>
      </c>
      <c r="D86" s="315"/>
      <c r="E86" s="328">
        <f>IF(StubY,'INC STAT Hist Input'!J26,'INC STAT Hist Input'!I26)</f>
        <v>0</v>
      </c>
      <c r="F86" s="1010">
        <f>IF(StubY,'INC STAT Hist Input'!L26,'INC STAT Hist Input'!J26)</f>
        <v>0</v>
      </c>
      <c r="G86" s="1064"/>
      <c r="H86" s="1064"/>
      <c r="I86" s="1064"/>
      <c r="J86" s="1064"/>
      <c r="K86" s="1064"/>
      <c r="L86" s="1064"/>
      <c r="M86" s="1064"/>
      <c r="N86" s="1064"/>
      <c r="O86" s="1064"/>
      <c r="P86" s="1064"/>
      <c r="Q86" s="1064"/>
      <c r="R86" s="2060"/>
      <c r="S86" s="328">
        <f>SUMIFS($G86:$Q86,$G$26:$Q$26,$S$26)</f>
        <v>0</v>
      </c>
      <c r="U86" s="1510"/>
      <c r="W86" s="2060"/>
      <c r="X86" s="2060"/>
    </row>
    <row r="87" spans="1:28" s="1507" customFormat="1" ht="13.9">
      <c r="A87" s="1510"/>
      <c r="B87" s="1510"/>
      <c r="C87" s="815" t="s">
        <v>916</v>
      </c>
      <c r="D87" s="315"/>
      <c r="E87" s="328">
        <f>IF(StubY,'INC STAT Hist Input'!J28,'INC STAT Hist Input'!I28)</f>
        <v>0</v>
      </c>
      <c r="F87" s="1010">
        <f>IF(StubY,'INC STAT Hist Input'!L28,'INC STAT Hist Input'!J28)</f>
        <v>0</v>
      </c>
      <c r="G87" s="1064"/>
      <c r="H87" s="1064"/>
      <c r="I87" s="1064"/>
      <c r="J87" s="1064"/>
      <c r="K87" s="1064"/>
      <c r="L87" s="1064"/>
      <c r="M87" s="1064"/>
      <c r="N87" s="1064"/>
      <c r="O87" s="1064"/>
      <c r="P87" s="1064"/>
      <c r="Q87" s="1064"/>
      <c r="R87" s="2060"/>
      <c r="S87" s="328">
        <f>SUMIFS($G87:$Q87,$G$26:$Q$26,$S$26)</f>
        <v>0</v>
      </c>
      <c r="U87" s="1510"/>
      <c r="W87" s="2060"/>
      <c r="X87" s="2060"/>
    </row>
    <row r="88" spans="1:28" s="1507" customFormat="1" ht="13.9">
      <c r="A88" s="1510"/>
      <c r="B88" s="1510"/>
      <c r="C88" s="1378" t="s">
        <v>449</v>
      </c>
      <c r="D88" s="298"/>
      <c r="E88" s="978">
        <f>E79+SUM(E84:E87)</f>
        <v>0</v>
      </c>
      <c r="F88" s="1012">
        <f>F79+SUM(F84:F87)</f>
        <v>0</v>
      </c>
      <c r="G88" s="978">
        <f t="shared" ref="G88:S88" ca="1" si="28">G79+SUM(G84:G87)</f>
        <v>0</v>
      </c>
      <c r="H88" s="978">
        <f t="shared" ca="1" si="28"/>
        <v>0</v>
      </c>
      <c r="I88" s="978">
        <f t="shared" ca="1" si="28"/>
        <v>0</v>
      </c>
      <c r="J88" s="978">
        <f t="shared" ca="1" si="28"/>
        <v>0</v>
      </c>
      <c r="K88" s="978">
        <f t="shared" ca="1" si="28"/>
        <v>0</v>
      </c>
      <c r="L88" s="978">
        <f t="shared" ca="1" si="28"/>
        <v>0</v>
      </c>
      <c r="M88" s="978">
        <f t="shared" ca="1" si="28"/>
        <v>0</v>
      </c>
      <c r="N88" s="978">
        <f t="shared" ca="1" si="28"/>
        <v>0</v>
      </c>
      <c r="O88" s="978">
        <f t="shared" ca="1" si="28"/>
        <v>0</v>
      </c>
      <c r="P88" s="978">
        <f t="shared" ca="1" si="28"/>
        <v>0</v>
      </c>
      <c r="Q88" s="978">
        <f t="shared" ca="1" si="28"/>
        <v>0</v>
      </c>
      <c r="R88" s="1502"/>
      <c r="S88" s="978">
        <f t="shared" si="28"/>
        <v>0</v>
      </c>
      <c r="U88" s="1510"/>
      <c r="W88" s="2060"/>
      <c r="X88" s="2060"/>
    </row>
    <row r="89" spans="1:28" s="297" customFormat="1" ht="13.9">
      <c r="A89" s="1510"/>
      <c r="B89" s="1510"/>
      <c r="C89" s="312"/>
      <c r="D89" s="312"/>
      <c r="E89" s="312"/>
      <c r="F89" s="2033"/>
      <c r="G89" s="312"/>
      <c r="H89" s="312"/>
      <c r="I89" s="312"/>
      <c r="J89" s="312"/>
      <c r="K89" s="312"/>
      <c r="L89" s="312"/>
      <c r="M89" s="312"/>
      <c r="N89" s="312"/>
      <c r="O89" s="312"/>
      <c r="P89" s="312"/>
      <c r="Q89" s="312"/>
      <c r="R89" s="312"/>
      <c r="S89" s="312"/>
      <c r="T89" s="1525"/>
      <c r="U89" s="1510"/>
      <c r="V89" s="312"/>
      <c r="W89" s="2060"/>
      <c r="X89" s="2060"/>
      <c r="Y89" s="312"/>
      <c r="Z89" s="312"/>
      <c r="AA89" s="312"/>
      <c r="AB89" s="312"/>
    </row>
    <row r="90" spans="1:28" s="312" customFormat="1" ht="13.9">
      <c r="A90" s="1510"/>
      <c r="B90" s="1510"/>
      <c r="C90" s="312" t="s">
        <v>498</v>
      </c>
      <c r="E90" s="312">
        <f>IF(PFIFull,-E88*N(E91),-E79*N(E91))</f>
        <v>0</v>
      </c>
      <c r="F90" s="2033">
        <f>IF(PFIFull,-F88*N(F91),-F79*N(F91))</f>
        <v>0</v>
      </c>
      <c r="G90" s="312">
        <f t="shared" ref="G90:Q90" ca="1" si="29">IF(PFIFull,-G88*G91,-G79*G91)</f>
        <v>0</v>
      </c>
      <c r="H90" s="312">
        <f t="shared" ca="1" si="29"/>
        <v>0</v>
      </c>
      <c r="I90" s="312">
        <f t="shared" ca="1" si="29"/>
        <v>0</v>
      </c>
      <c r="J90" s="312">
        <f t="shared" ca="1" si="29"/>
        <v>0</v>
      </c>
      <c r="K90" s="312">
        <f t="shared" ca="1" si="29"/>
        <v>0</v>
      </c>
      <c r="L90" s="312">
        <f t="shared" ca="1" si="29"/>
        <v>0</v>
      </c>
      <c r="M90" s="312">
        <f t="shared" ca="1" si="29"/>
        <v>0</v>
      </c>
      <c r="N90" s="312">
        <f t="shared" ca="1" si="29"/>
        <v>0</v>
      </c>
      <c r="O90" s="312">
        <f t="shared" ca="1" si="29"/>
        <v>0</v>
      </c>
      <c r="P90" s="312">
        <f t="shared" ca="1" si="29"/>
        <v>0</v>
      </c>
      <c r="Q90" s="312">
        <f t="shared" ca="1" si="29"/>
        <v>0</v>
      </c>
      <c r="S90" s="328">
        <f ca="1">SUMIFS($G90:$Q90,$G$26:$Q$26,$S$26)</f>
        <v>0</v>
      </c>
      <c r="T90" s="1525"/>
      <c r="U90" s="1510"/>
      <c r="W90" s="2060"/>
      <c r="X90" s="2060"/>
    </row>
    <row r="91" spans="1:28" s="312" customFormat="1" ht="13.9">
      <c r="A91" s="1510"/>
      <c r="B91" s="1510"/>
      <c r="C91" s="874" t="s">
        <v>933</v>
      </c>
      <c r="D91" s="1528"/>
      <c r="E91" s="1628" t="str">
        <f>IF(StubY,'INC STAT Hist Input'!J44,'INC STAT Hist Input'!I44)</f>
        <v>n/a</v>
      </c>
      <c r="F91" s="1740" t="str">
        <f>IF(StubY,'INC STAT Hist Input'!L44,'INC STAT Hist Input'!J44)</f>
        <v>n/a</v>
      </c>
      <c r="G91" s="2024"/>
      <c r="H91" s="6"/>
      <c r="I91" s="6"/>
      <c r="J91" s="6"/>
      <c r="K91" s="6"/>
      <c r="L91" s="6"/>
      <c r="M91" s="6"/>
      <c r="N91" s="6"/>
      <c r="O91" s="6"/>
      <c r="P91" s="6"/>
      <c r="Q91" s="6"/>
      <c r="R91" s="2060"/>
      <c r="S91" s="1364">
        <f ca="1">OFFSET($F91,0,NoOfPFIYrs)</f>
        <v>0</v>
      </c>
      <c r="T91" s="1525"/>
      <c r="U91" s="1510"/>
      <c r="W91" s="2060"/>
      <c r="X91" s="2060"/>
    </row>
    <row r="92" spans="1:28" s="312" customFormat="1" ht="14.45" thickBot="1">
      <c r="A92" s="1510"/>
      <c r="B92" s="1510"/>
      <c r="C92" s="2010" t="str">
        <f>IF(PFIFull,"Net income", "EBIAT")</f>
        <v>EBIAT</v>
      </c>
      <c r="D92" s="2011"/>
      <c r="E92" s="2012">
        <f t="shared" ref="E92:Q92" si="30">IF(PFIFull,E88+E90,E79+E90)</f>
        <v>0</v>
      </c>
      <c r="F92" s="2013">
        <f t="shared" si="30"/>
        <v>0</v>
      </c>
      <c r="G92" s="2012">
        <f t="shared" ca="1" si="30"/>
        <v>0</v>
      </c>
      <c r="H92" s="2012">
        <f t="shared" ca="1" si="30"/>
        <v>0</v>
      </c>
      <c r="I92" s="2012">
        <f t="shared" ca="1" si="30"/>
        <v>0</v>
      </c>
      <c r="J92" s="2012">
        <f t="shared" ca="1" si="30"/>
        <v>0</v>
      </c>
      <c r="K92" s="2012">
        <f t="shared" ca="1" si="30"/>
        <v>0</v>
      </c>
      <c r="L92" s="2012">
        <f t="shared" ca="1" si="30"/>
        <v>0</v>
      </c>
      <c r="M92" s="2012">
        <f t="shared" ca="1" si="30"/>
        <v>0</v>
      </c>
      <c r="N92" s="2012">
        <f t="shared" ca="1" si="30"/>
        <v>0</v>
      </c>
      <c r="O92" s="2012">
        <f t="shared" ca="1" si="30"/>
        <v>0</v>
      </c>
      <c r="P92" s="2012">
        <f t="shared" ca="1" si="30"/>
        <v>0</v>
      </c>
      <c r="Q92" s="2012">
        <f t="shared" ca="1" si="30"/>
        <v>0</v>
      </c>
      <c r="R92" s="2060"/>
      <c r="S92" s="2012">
        <f ca="1">S88+S90</f>
        <v>0</v>
      </c>
      <c r="T92" s="1525"/>
      <c r="U92" s="1510"/>
      <c r="W92" s="2060"/>
      <c r="X92" s="2060"/>
    </row>
    <row r="93" spans="1:28" ht="13.9">
      <c r="A93" s="1510"/>
      <c r="B93" s="1510"/>
      <c r="C93" s="1529"/>
      <c r="D93" s="1529"/>
      <c r="E93" s="691"/>
      <c r="F93" s="1014"/>
      <c r="G93" s="306"/>
      <c r="H93" s="361"/>
      <c r="I93" s="361"/>
      <c r="J93" s="361"/>
      <c r="K93" s="361"/>
      <c r="L93" s="361"/>
      <c r="M93" s="361"/>
      <c r="N93" s="361"/>
      <c r="O93" s="361"/>
      <c r="P93" s="361"/>
      <c r="Q93" s="361"/>
      <c r="R93" s="2060"/>
      <c r="S93" s="361"/>
      <c r="T93" s="1525"/>
      <c r="U93" s="1510"/>
      <c r="V93" s="1525"/>
      <c r="W93" s="2060"/>
      <c r="X93" s="2060"/>
      <c r="Y93" s="1525"/>
      <c r="Z93" s="1525"/>
      <c r="AA93" s="1525"/>
      <c r="AB93" s="1525"/>
    </row>
    <row r="94" spans="1:28" s="1027" customFormat="1" ht="15.6">
      <c r="A94" s="1510"/>
      <c r="B94" s="1510"/>
      <c r="C94" s="1997" t="s">
        <v>923</v>
      </c>
      <c r="D94" s="1528"/>
      <c r="E94" s="695"/>
      <c r="F94" s="1014"/>
      <c r="G94" s="328"/>
      <c r="H94" s="328"/>
      <c r="I94" s="328"/>
      <c r="J94" s="328"/>
      <c r="K94" s="328"/>
      <c r="L94" s="328"/>
      <c r="M94" s="328"/>
      <c r="N94" s="328"/>
      <c r="O94" s="328"/>
      <c r="P94" s="328"/>
      <c r="Q94" s="328"/>
      <c r="R94" s="370"/>
      <c r="S94" s="328"/>
      <c r="T94" s="2060"/>
      <c r="U94" s="1510"/>
      <c r="V94" s="1525"/>
      <c r="W94" s="2060"/>
      <c r="X94" s="2060"/>
      <c r="Y94" s="1525"/>
      <c r="Z94" s="1525"/>
      <c r="AA94" s="1525"/>
      <c r="AB94" s="1525"/>
    </row>
    <row r="95" spans="1:28" s="334" customFormat="1" ht="13.9">
      <c r="A95" s="1510"/>
      <c r="B95" s="1510"/>
      <c r="C95" s="1530" t="s">
        <v>923</v>
      </c>
      <c r="D95" s="1528"/>
      <c r="E95" s="328">
        <f>IF(StubY,'INC STAT Hist Input'!J34,'INC STAT Hist Input'!I34)</f>
        <v>0</v>
      </c>
      <c r="F95" s="1010">
        <f>IF(StubY,'INC STAT Hist Input'!L34,'INC STAT Hist Input'!J34)</f>
        <v>0</v>
      </c>
      <c r="G95" s="328">
        <f>IFERROR(G98*G$28,0)</f>
        <v>0</v>
      </c>
      <c r="H95" s="328">
        <f t="shared" ref="H95:Q95" si="31">IFERROR(H98*H$28,0)</f>
        <v>0</v>
      </c>
      <c r="I95" s="328">
        <f t="shared" si="31"/>
        <v>0</v>
      </c>
      <c r="J95" s="328">
        <f t="shared" si="31"/>
        <v>0</v>
      </c>
      <c r="K95" s="328">
        <f t="shared" si="31"/>
        <v>0</v>
      </c>
      <c r="L95" s="328">
        <f t="shared" si="31"/>
        <v>0</v>
      </c>
      <c r="M95" s="328">
        <f t="shared" si="31"/>
        <v>0</v>
      </c>
      <c r="N95" s="328">
        <f t="shared" si="31"/>
        <v>0</v>
      </c>
      <c r="O95" s="328">
        <f t="shared" si="31"/>
        <v>0</v>
      </c>
      <c r="P95" s="328">
        <f t="shared" si="31"/>
        <v>0</v>
      </c>
      <c r="Q95" s="328">
        <f t="shared" si="31"/>
        <v>0</v>
      </c>
      <c r="R95" s="2060"/>
      <c r="S95" s="328">
        <f>SUMIFS($G95:$Q95,$G$26:$Q$26,$S$26)</f>
        <v>0</v>
      </c>
      <c r="T95" s="1525"/>
      <c r="U95" s="1510"/>
      <c r="V95" s="1525"/>
      <c r="W95" s="2060"/>
      <c r="X95" s="2060"/>
      <c r="Y95" s="1525"/>
      <c r="Z95" s="1525"/>
      <c r="AA95" s="1525"/>
      <c r="AB95" s="1525"/>
    </row>
    <row r="96" spans="1:28" s="334" customFormat="1" ht="13.9">
      <c r="A96" s="1510"/>
      <c r="B96" s="1510"/>
      <c r="C96" s="304" t="s">
        <v>953</v>
      </c>
      <c r="D96" s="1528"/>
      <c r="E96" s="2060"/>
      <c r="F96" s="1011"/>
      <c r="G96" s="1064"/>
      <c r="H96" s="1064"/>
      <c r="I96" s="1064"/>
      <c r="J96" s="1064"/>
      <c r="K96" s="1064"/>
      <c r="L96" s="1064"/>
      <c r="M96" s="1064"/>
      <c r="N96" s="1064"/>
      <c r="O96" s="1064"/>
      <c r="P96" s="1064"/>
      <c r="Q96" s="1064"/>
      <c r="R96" s="2060"/>
      <c r="S96" s="1370"/>
      <c r="T96" s="1525"/>
      <c r="U96" s="1510"/>
      <c r="V96" s="1525"/>
      <c r="W96" s="2060"/>
      <c r="X96" s="2060"/>
      <c r="Y96" s="1525"/>
      <c r="Z96" s="1525"/>
      <c r="AA96" s="1525"/>
      <c r="AB96" s="1525"/>
    </row>
    <row r="97" spans="1:45" s="334" customFormat="1" ht="13.9">
      <c r="A97" s="1510"/>
      <c r="B97" s="1510"/>
      <c r="C97" s="1380" t="s">
        <v>956</v>
      </c>
      <c r="D97" s="1528"/>
      <c r="E97" s="1364"/>
      <c r="F97" s="1740"/>
      <c r="G97" s="6"/>
      <c r="H97" s="6"/>
      <c r="I97" s="6"/>
      <c r="J97" s="6"/>
      <c r="K97" s="6"/>
      <c r="L97" s="6"/>
      <c r="M97" s="6"/>
      <c r="N97" s="6"/>
      <c r="O97" s="6"/>
      <c r="P97" s="6"/>
      <c r="Q97" s="6"/>
      <c r="R97" s="2060"/>
      <c r="S97" s="1370"/>
      <c r="T97" s="1525"/>
      <c r="U97" s="1510"/>
      <c r="V97" s="1525"/>
      <c r="W97" s="2060"/>
      <c r="X97" s="2060"/>
      <c r="Y97" s="1525"/>
      <c r="Z97" s="1525"/>
      <c r="AA97" s="1525"/>
      <c r="AB97" s="1525"/>
      <c r="AC97" s="1525"/>
      <c r="AD97" s="1525"/>
      <c r="AE97" s="1525"/>
      <c r="AF97" s="1525"/>
      <c r="AG97" s="1525"/>
      <c r="AH97" s="1525"/>
      <c r="AI97" s="1525"/>
      <c r="AJ97" s="1525"/>
      <c r="AK97" s="1525"/>
      <c r="AL97" s="1525"/>
      <c r="AM97" s="1525"/>
      <c r="AN97" s="1525"/>
      <c r="AO97" s="1525"/>
      <c r="AP97" s="1525"/>
      <c r="AQ97" s="1525"/>
      <c r="AR97" s="1525"/>
      <c r="AS97" s="1525"/>
    </row>
    <row r="98" spans="1:45" s="312" customFormat="1" ht="13.9">
      <c r="A98" s="1510"/>
      <c r="B98" s="1510"/>
      <c r="C98" s="304" t="s">
        <v>969</v>
      </c>
      <c r="D98" s="1528"/>
      <c r="E98" s="1364">
        <f>IFERROR(E95/E$28,0)</f>
        <v>0</v>
      </c>
      <c r="F98" s="1740">
        <f>IFERROR(F95/F$28,0)</f>
        <v>0</v>
      </c>
      <c r="G98" s="1627">
        <f>IFERROR(IF(ISNUMBER(G96),G96/G$28,IF(ISNUMBER(G97),G97,F98))*(ISNUMBER(G$23)*1),0)</f>
        <v>0</v>
      </c>
      <c r="H98" s="1627">
        <f t="shared" ref="H98:Q98" si="32">IFERROR(IF(ISNUMBER(H96),H96/H$28,IF(ISNUMBER(H97),H97,G98))*(ISNUMBER(H$23)*1),0)</f>
        <v>0</v>
      </c>
      <c r="I98" s="1627">
        <f t="shared" si="32"/>
        <v>0</v>
      </c>
      <c r="J98" s="1627">
        <f t="shared" si="32"/>
        <v>0</v>
      </c>
      <c r="K98" s="1627">
        <f t="shared" si="32"/>
        <v>0</v>
      </c>
      <c r="L98" s="1627">
        <f t="shared" si="32"/>
        <v>0</v>
      </c>
      <c r="M98" s="1627">
        <f t="shared" si="32"/>
        <v>0</v>
      </c>
      <c r="N98" s="1627">
        <f t="shared" si="32"/>
        <v>0</v>
      </c>
      <c r="O98" s="1627">
        <f t="shared" si="32"/>
        <v>0</v>
      </c>
      <c r="P98" s="1627">
        <f t="shared" si="32"/>
        <v>0</v>
      </c>
      <c r="Q98" s="1627">
        <f t="shared" si="32"/>
        <v>0</v>
      </c>
      <c r="R98" s="2060"/>
      <c r="S98" s="1627">
        <f>IFERROR(S95/S28,0)</f>
        <v>0</v>
      </c>
      <c r="T98" s="1525"/>
      <c r="U98" s="1510"/>
      <c r="W98" s="2060"/>
      <c r="X98" s="2060"/>
    </row>
    <row r="99" spans="1:45" s="312" customFormat="1" ht="13.9">
      <c r="A99" s="1510"/>
      <c r="B99" s="1510"/>
      <c r="C99" s="304"/>
      <c r="D99" s="1528"/>
      <c r="E99" s="1364"/>
      <c r="F99" s="1740"/>
      <c r="G99" s="1627"/>
      <c r="H99" s="1627"/>
      <c r="I99" s="1627"/>
      <c r="J99" s="1627"/>
      <c r="K99" s="1627"/>
      <c r="L99" s="1627"/>
      <c r="M99" s="1627"/>
      <c r="N99" s="1627"/>
      <c r="O99" s="1627"/>
      <c r="P99" s="1627"/>
      <c r="Q99" s="1627"/>
      <c r="R99" s="2060"/>
      <c r="S99" s="1627"/>
      <c r="T99" s="1525"/>
      <c r="U99" s="1510"/>
      <c r="W99" s="2060"/>
      <c r="X99" s="2060"/>
    </row>
    <row r="100" spans="1:45" s="1525" customFormat="1" ht="13.9">
      <c r="A100" s="1510"/>
      <c r="B100" s="1510"/>
      <c r="C100" s="2021" t="s">
        <v>970</v>
      </c>
      <c r="D100" s="2021"/>
      <c r="E100" s="2022">
        <f>E28</f>
        <v>0</v>
      </c>
      <c r="F100" s="2023">
        <f>IF('INC STAT Hist Input'!K10,'INC STAT Hist Input'!K10,'INC STAT Hist Input'!L10*12/MonthsInStub)</f>
        <v>0</v>
      </c>
      <c r="G100" s="2021">
        <f>SUMIFS($E$28:$Q$28,$E$23:$Q$23,G$23)</f>
        <v>0</v>
      </c>
      <c r="H100" s="2021">
        <f>SUMIFS($E$28:$Q$28,$E$23:$Q$23,H$23)</f>
        <v>0</v>
      </c>
      <c r="I100" s="2021">
        <f t="shared" ref="I100:Q100" si="33">SUMIFS($E$28:$Q$28,$E$23:$Q$23,I$23)</f>
        <v>0</v>
      </c>
      <c r="J100" s="2021">
        <f t="shared" si="33"/>
        <v>0</v>
      </c>
      <c r="K100" s="2021">
        <f t="shared" si="33"/>
        <v>0</v>
      </c>
      <c r="L100" s="2021">
        <f t="shared" si="33"/>
        <v>0</v>
      </c>
      <c r="M100" s="2021">
        <f t="shared" si="33"/>
        <v>0</v>
      </c>
      <c r="N100" s="2021">
        <f t="shared" si="33"/>
        <v>0</v>
      </c>
      <c r="O100" s="2021">
        <f t="shared" si="33"/>
        <v>0</v>
      </c>
      <c r="P100" s="2021">
        <f t="shared" si="33"/>
        <v>0</v>
      </c>
      <c r="Q100" s="2021">
        <f t="shared" si="33"/>
        <v>0</v>
      </c>
      <c r="R100" s="2021"/>
      <c r="S100" s="2021"/>
      <c r="T100" s="2021"/>
      <c r="U100" s="1510"/>
      <c r="V100" s="2060"/>
      <c r="W100" s="2060"/>
      <c r="X100" s="2060"/>
      <c r="Y100" s="2060"/>
      <c r="Z100" s="2060"/>
      <c r="AA100" s="2060"/>
      <c r="AB100" s="2060"/>
      <c r="AC100" s="2060"/>
      <c r="AD100" s="2060"/>
      <c r="AE100" s="2060"/>
      <c r="AF100" s="2060"/>
      <c r="AG100" s="2060"/>
      <c r="AH100" s="2060"/>
      <c r="AI100" s="2060"/>
      <c r="AJ100" s="2060"/>
      <c r="AK100" s="2060"/>
      <c r="AL100" s="2060"/>
      <c r="AM100" s="2060"/>
      <c r="AN100" s="2060"/>
      <c r="AO100" s="2060"/>
      <c r="AP100" s="2060"/>
      <c r="AQ100" s="2060"/>
      <c r="AR100" s="2060"/>
      <c r="AS100" s="2060"/>
    </row>
    <row r="101" spans="1:45" s="1525" customFormat="1" ht="13.9">
      <c r="A101" s="1510"/>
      <c r="B101" s="1510"/>
      <c r="C101" s="2021" t="s">
        <v>971</v>
      </c>
      <c r="D101" s="2021"/>
      <c r="E101" s="2022">
        <f>-E33</f>
        <v>0</v>
      </c>
      <c r="F101" s="2023">
        <f>IF('INC STAT Hist Input'!K11,-'INC STAT Hist Input'!K11,-'INC STAT Hist Input'!L11*12/MonthsInStub)</f>
        <v>0</v>
      </c>
      <c r="G101" s="2021">
        <f>-SUMIFS($E$33:$Q$33,$E$23:$Q$23,G$23)</f>
        <v>0</v>
      </c>
      <c r="H101" s="2021">
        <f t="shared" ref="H101:Q101" si="34">-SUMIFS($E$33:$Q$33,$E$23:$Q$23,H$23)</f>
        <v>0</v>
      </c>
      <c r="I101" s="2021">
        <f t="shared" si="34"/>
        <v>0</v>
      </c>
      <c r="J101" s="2021">
        <f t="shared" si="34"/>
        <v>0</v>
      </c>
      <c r="K101" s="2021">
        <f t="shared" si="34"/>
        <v>0</v>
      </c>
      <c r="L101" s="2021">
        <f t="shared" si="34"/>
        <v>0</v>
      </c>
      <c r="M101" s="2021">
        <f t="shared" si="34"/>
        <v>0</v>
      </c>
      <c r="N101" s="2021">
        <f t="shared" si="34"/>
        <v>0</v>
      </c>
      <c r="O101" s="2021">
        <f t="shared" si="34"/>
        <v>0</v>
      </c>
      <c r="P101" s="2021">
        <f t="shared" si="34"/>
        <v>0</v>
      </c>
      <c r="Q101" s="2021">
        <f t="shared" si="34"/>
        <v>0</v>
      </c>
      <c r="R101" s="2021"/>
      <c r="S101" s="2021"/>
      <c r="T101" s="2021"/>
      <c r="U101" s="1510"/>
      <c r="V101" s="2060"/>
      <c r="W101" s="2060"/>
      <c r="X101" s="2060"/>
      <c r="Y101" s="2060"/>
      <c r="Z101" s="2060"/>
      <c r="AA101" s="2060"/>
      <c r="AB101" s="2060"/>
      <c r="AC101" s="2060"/>
      <c r="AD101" s="2060"/>
      <c r="AE101" s="2060"/>
      <c r="AF101" s="2060"/>
      <c r="AG101" s="2060"/>
      <c r="AH101" s="2060"/>
      <c r="AI101" s="2060"/>
      <c r="AJ101" s="2060"/>
      <c r="AK101" s="2060"/>
      <c r="AL101" s="2060"/>
      <c r="AM101" s="2060"/>
      <c r="AN101" s="2060"/>
      <c r="AO101" s="2060"/>
      <c r="AP101" s="2060"/>
      <c r="AQ101" s="2060"/>
      <c r="AR101" s="2060"/>
      <c r="AS101" s="2060"/>
    </row>
    <row r="102" spans="1:45" s="1525" customFormat="1" ht="13.9">
      <c r="A102" s="1510"/>
      <c r="B102" s="2020"/>
      <c r="C102" s="1530"/>
      <c r="E102" s="810"/>
      <c r="F102" s="1806"/>
      <c r="R102" s="2060"/>
      <c r="T102" s="2060"/>
      <c r="U102" s="1510"/>
      <c r="V102" s="2060"/>
      <c r="W102" s="2060"/>
      <c r="X102" s="2060"/>
      <c r="Y102" s="2060"/>
      <c r="Z102" s="2060"/>
      <c r="AA102" s="2060"/>
      <c r="AB102" s="2060"/>
      <c r="AC102" s="2060"/>
      <c r="AD102" s="2060"/>
      <c r="AE102" s="2060"/>
      <c r="AF102" s="2060"/>
      <c r="AG102" s="2060"/>
      <c r="AH102" s="2060"/>
      <c r="AI102" s="2060"/>
      <c r="AJ102" s="2060"/>
      <c r="AK102" s="2060"/>
      <c r="AL102" s="2060"/>
      <c r="AM102" s="2060"/>
      <c r="AN102" s="2060"/>
      <c r="AO102" s="2060"/>
      <c r="AP102" s="2060"/>
      <c r="AQ102" s="2060"/>
      <c r="AR102" s="2060"/>
      <c r="AS102" s="2060"/>
    </row>
    <row r="103" spans="1:45" s="1525" customFormat="1" ht="15.6">
      <c r="A103" s="1510"/>
      <c r="B103" s="2020"/>
      <c r="C103" s="2051" t="s">
        <v>972</v>
      </c>
      <c r="D103" s="2052"/>
      <c r="E103" s="2053"/>
      <c r="F103" s="2054"/>
      <c r="G103" s="2055">
        <f>G26</f>
        <v>42825</v>
      </c>
      <c r="H103" s="2055">
        <f>H26</f>
        <v>43190</v>
      </c>
      <c r="I103" s="2055">
        <f t="shared" ref="I103:Q103" si="35">I26</f>
        <v>43555</v>
      </c>
      <c r="J103" s="2055">
        <f t="shared" si="35"/>
        <v>43921</v>
      </c>
      <c r="K103" s="2055">
        <f t="shared" si="35"/>
        <v>44286</v>
      </c>
      <c r="L103" s="2055">
        <f t="shared" si="35"/>
        <v>44651</v>
      </c>
      <c r="M103" s="2055">
        <f t="shared" si="35"/>
        <v>45016</v>
      </c>
      <c r="N103" s="2055">
        <f t="shared" si="35"/>
        <v>45382</v>
      </c>
      <c r="O103" s="2055">
        <f t="shared" si="35"/>
        <v>0</v>
      </c>
      <c r="P103" s="2055">
        <f t="shared" si="35"/>
        <v>0</v>
      </c>
      <c r="Q103" s="2055">
        <f t="shared" si="35"/>
        <v>0</v>
      </c>
      <c r="R103" s="2060"/>
      <c r="T103" s="2060"/>
      <c r="U103" s="1510"/>
      <c r="V103" s="2060"/>
      <c r="W103" s="2060"/>
      <c r="X103" s="2060"/>
      <c r="Y103" s="2060"/>
      <c r="Z103" s="2060"/>
      <c r="AA103" s="2060"/>
      <c r="AB103" s="2060"/>
      <c r="AC103" s="2060"/>
      <c r="AD103" s="2060"/>
      <c r="AE103" s="2060"/>
      <c r="AF103" s="2060"/>
      <c r="AG103" s="2060"/>
      <c r="AH103" s="2060"/>
      <c r="AI103" s="2060"/>
      <c r="AJ103" s="2060"/>
      <c r="AK103" s="2060"/>
      <c r="AL103" s="2060"/>
      <c r="AM103" s="2060"/>
      <c r="AN103" s="2060"/>
      <c r="AO103" s="2060"/>
      <c r="AP103" s="2060"/>
      <c r="AQ103" s="2060"/>
      <c r="AR103" s="2060"/>
      <c r="AS103" s="2060"/>
    </row>
    <row r="104" spans="1:45" s="1525" customFormat="1" ht="15.6">
      <c r="A104" s="1510"/>
      <c r="B104" s="2020"/>
      <c r="C104" s="1998" t="s">
        <v>101</v>
      </c>
      <c r="E104" s="1505"/>
      <c r="F104" s="1806"/>
      <c r="R104" s="2060"/>
      <c r="T104" s="2060"/>
      <c r="U104" s="1510"/>
      <c r="V104" s="2060"/>
      <c r="W104" s="2060"/>
      <c r="X104" s="2060"/>
      <c r="Y104" s="2060"/>
      <c r="Z104" s="2060"/>
      <c r="AA104" s="2060"/>
      <c r="AB104" s="2060"/>
      <c r="AC104" s="2060"/>
      <c r="AD104" s="2060"/>
      <c r="AE104" s="2060"/>
      <c r="AF104" s="2060"/>
      <c r="AG104" s="2060"/>
      <c r="AH104" s="2060"/>
      <c r="AI104" s="2060"/>
      <c r="AJ104" s="2060"/>
      <c r="AK104" s="2060"/>
      <c r="AL104" s="2060"/>
      <c r="AM104" s="2060"/>
      <c r="AN104" s="2060"/>
      <c r="AO104" s="2060"/>
      <c r="AP104" s="2060"/>
      <c r="AQ104" s="2060"/>
      <c r="AR104" s="2060"/>
      <c r="AS104" s="2060"/>
    </row>
    <row r="105" spans="1:45" s="1525" customFormat="1" ht="13.9">
      <c r="A105" s="1510"/>
      <c r="B105" s="2020"/>
      <c r="C105" s="1530" t="s">
        <v>973</v>
      </c>
      <c r="E105" s="1505">
        <v>0</v>
      </c>
      <c r="F105" s="1806">
        <v>0</v>
      </c>
      <c r="G105" s="1525">
        <f>MAX(G$292,0)</f>
        <v>0</v>
      </c>
      <c r="H105" s="1525">
        <f t="shared" ref="H105:Q105" si="36">MAX(H$292,0)</f>
        <v>0</v>
      </c>
      <c r="I105" s="1525">
        <f t="shared" si="36"/>
        <v>0</v>
      </c>
      <c r="J105" s="1525">
        <f t="shared" si="36"/>
        <v>0</v>
      </c>
      <c r="K105" s="1525">
        <f t="shared" si="36"/>
        <v>0</v>
      </c>
      <c r="L105" s="1525">
        <f t="shared" si="36"/>
        <v>0</v>
      </c>
      <c r="M105" s="1525">
        <f t="shared" si="36"/>
        <v>0</v>
      </c>
      <c r="N105" s="1525">
        <f t="shared" si="36"/>
        <v>0</v>
      </c>
      <c r="O105" s="1525">
        <f t="shared" si="36"/>
        <v>0</v>
      </c>
      <c r="P105" s="1525">
        <f t="shared" si="36"/>
        <v>0</v>
      </c>
      <c r="Q105" s="1525">
        <f t="shared" si="36"/>
        <v>0</v>
      </c>
      <c r="R105" s="2060"/>
      <c r="T105" s="2060"/>
      <c r="U105" s="1510"/>
      <c r="V105" s="2060"/>
      <c r="W105" s="2060"/>
      <c r="X105" s="2060"/>
      <c r="Y105" s="2060"/>
      <c r="Z105" s="2060"/>
      <c r="AA105" s="2060"/>
      <c r="AB105" s="2060"/>
      <c r="AC105" s="2060"/>
      <c r="AD105" s="2060"/>
      <c r="AE105" s="2060"/>
      <c r="AF105" s="2060"/>
      <c r="AG105" s="2060"/>
      <c r="AH105" s="2060"/>
      <c r="AI105" s="2060"/>
      <c r="AJ105" s="2060"/>
      <c r="AK105" s="2060"/>
      <c r="AL105" s="2060"/>
      <c r="AM105" s="2060"/>
      <c r="AN105" s="2060"/>
      <c r="AO105" s="2060"/>
      <c r="AP105" s="2060"/>
      <c r="AQ105" s="2060"/>
      <c r="AR105" s="2060"/>
      <c r="AS105" s="2060"/>
    </row>
    <row r="106" spans="1:45" s="1525" customFormat="1" ht="13.9">
      <c r="A106" s="1510"/>
      <c r="B106" s="2020"/>
      <c r="C106" s="818" t="s">
        <v>910</v>
      </c>
      <c r="D106" s="2139">
        <v>0</v>
      </c>
      <c r="E106" s="1505" t="s">
        <v>974</v>
      </c>
      <c r="F106" s="1806"/>
      <c r="G106" s="1525">
        <f t="shared" ref="G106:M106" si="37">$D106*AVERAGE(F105:G105)*(ISNUMBER(G$23)*1)</f>
        <v>0</v>
      </c>
      <c r="H106" s="1525">
        <f t="shared" si="37"/>
        <v>0</v>
      </c>
      <c r="I106" s="1525">
        <f t="shared" si="37"/>
        <v>0</v>
      </c>
      <c r="J106" s="1525">
        <f t="shared" si="37"/>
        <v>0</v>
      </c>
      <c r="K106" s="1525">
        <f t="shared" si="37"/>
        <v>0</v>
      </c>
      <c r="L106" s="1525">
        <f t="shared" si="37"/>
        <v>0</v>
      </c>
      <c r="M106" s="1525">
        <f t="shared" si="37"/>
        <v>0</v>
      </c>
      <c r="N106" s="1525">
        <f>$D106*AVERAGE(M105:N105)*(ISNUMBER(N$23)*1)</f>
        <v>0</v>
      </c>
      <c r="O106" s="1525">
        <f>$D106*AVERAGE(N105:O105)*(ISNUMBER(O$23)*1)</f>
        <v>0</v>
      </c>
      <c r="P106" s="1525">
        <f>$D106*AVERAGE(O105:P105)*(ISNUMBER(P$23)*1)</f>
        <v>0</v>
      </c>
      <c r="Q106" s="1525">
        <f>$D106*AVERAGE(P105:Q105)*(ISNUMBER(Q$23)*1)</f>
        <v>0</v>
      </c>
      <c r="R106" s="2060"/>
      <c r="T106" s="2060"/>
      <c r="U106" s="1510"/>
      <c r="V106" s="2060"/>
      <c r="W106" s="2060"/>
      <c r="X106" s="2060"/>
      <c r="Y106" s="2060"/>
      <c r="Z106" s="2060"/>
      <c r="AA106" s="2060"/>
      <c r="AB106" s="2060"/>
      <c r="AC106" s="2060"/>
      <c r="AD106" s="2060"/>
      <c r="AE106" s="2060"/>
      <c r="AF106" s="2060"/>
      <c r="AG106" s="2060"/>
      <c r="AH106" s="2060"/>
      <c r="AI106" s="2060"/>
      <c r="AJ106" s="2060"/>
      <c r="AK106" s="2060"/>
      <c r="AL106" s="2060"/>
      <c r="AM106" s="2060"/>
      <c r="AN106" s="2060"/>
      <c r="AO106" s="2060"/>
      <c r="AP106" s="2060"/>
      <c r="AQ106" s="2060"/>
      <c r="AR106" s="2060"/>
      <c r="AS106" s="2060"/>
    </row>
    <row r="107" spans="1:45" s="1525" customFormat="1" ht="13.9">
      <c r="A107" s="1510"/>
      <c r="B107" s="2020"/>
      <c r="C107" s="1530"/>
      <c r="E107" s="1505"/>
      <c r="F107" s="1806"/>
      <c r="R107" s="2060"/>
      <c r="T107" s="2060"/>
      <c r="U107" s="1510"/>
      <c r="V107" s="2060"/>
      <c r="W107" s="2060"/>
      <c r="X107" s="2060"/>
      <c r="Y107" s="2060"/>
      <c r="Z107" s="2060"/>
      <c r="AA107" s="2060"/>
      <c r="AB107" s="2060"/>
      <c r="AC107" s="2060"/>
      <c r="AD107" s="2060"/>
      <c r="AE107" s="2060"/>
      <c r="AF107" s="2060"/>
      <c r="AG107" s="2060"/>
      <c r="AH107" s="2060"/>
      <c r="AI107" s="2060"/>
      <c r="AJ107" s="2060"/>
      <c r="AK107" s="2060"/>
      <c r="AL107" s="2060"/>
      <c r="AM107" s="2060"/>
      <c r="AN107" s="2060"/>
      <c r="AO107" s="2060"/>
      <c r="AP107" s="2060"/>
      <c r="AQ107" s="2060"/>
      <c r="AR107" s="2060"/>
      <c r="AS107" s="2060"/>
    </row>
    <row r="108" spans="1:45" s="1525" customFormat="1" ht="13.9">
      <c r="A108" s="1510"/>
      <c r="B108" s="2020"/>
      <c r="C108" s="1530" t="s">
        <v>975</v>
      </c>
      <c r="E108" s="328">
        <f>IF(StubY,'BAL SHEET Hist Input'!J11,'BAL SHEET Hist Input'!I11)</f>
        <v>0</v>
      </c>
      <c r="F108" s="1010">
        <f>IF(StubY,'BAL SHEET Hist Input'!K11,'BAL SHEET Hist Input'!J11)</f>
        <v>0</v>
      </c>
      <c r="G108" s="328">
        <f>IFERROR(G111*G$100,0)</f>
        <v>0</v>
      </c>
      <c r="H108" s="328">
        <f>IFERROR(H111*H$100,0)</f>
        <v>0</v>
      </c>
      <c r="I108" s="328">
        <f t="shared" ref="I108:Q108" si="38">IFERROR(I111*I$100,0)</f>
        <v>0</v>
      </c>
      <c r="J108" s="328">
        <f t="shared" si="38"/>
        <v>0</v>
      </c>
      <c r="K108" s="328">
        <f t="shared" si="38"/>
        <v>0</v>
      </c>
      <c r="L108" s="328">
        <f t="shared" si="38"/>
        <v>0</v>
      </c>
      <c r="M108" s="328">
        <f t="shared" si="38"/>
        <v>0</v>
      </c>
      <c r="N108" s="328">
        <f t="shared" si="38"/>
        <v>0</v>
      </c>
      <c r="O108" s="328">
        <f t="shared" si="38"/>
        <v>0</v>
      </c>
      <c r="P108" s="328">
        <f t="shared" si="38"/>
        <v>0</v>
      </c>
      <c r="Q108" s="328">
        <f t="shared" si="38"/>
        <v>0</v>
      </c>
      <c r="R108" s="2060"/>
      <c r="T108" s="2060"/>
      <c r="U108" s="1510"/>
      <c r="V108" s="2060"/>
      <c r="W108" s="2060"/>
      <c r="X108" s="2060"/>
      <c r="Y108" s="2060"/>
      <c r="Z108" s="2060"/>
      <c r="AA108" s="2060"/>
      <c r="AB108" s="2060"/>
      <c r="AC108" s="2060"/>
      <c r="AD108" s="2060"/>
      <c r="AE108" s="2060"/>
      <c r="AF108" s="2060"/>
      <c r="AG108" s="2060"/>
      <c r="AH108" s="2060"/>
      <c r="AI108" s="2060"/>
      <c r="AJ108" s="2060"/>
      <c r="AK108" s="2060"/>
      <c r="AL108" s="2060"/>
      <c r="AM108" s="2060"/>
      <c r="AN108" s="2060"/>
      <c r="AO108" s="2060"/>
      <c r="AP108" s="2060"/>
      <c r="AQ108" s="2060"/>
      <c r="AR108" s="2060"/>
      <c r="AS108" s="2060"/>
    </row>
    <row r="109" spans="1:45" s="1525" customFormat="1" ht="13.9">
      <c r="A109" s="1510"/>
      <c r="B109" s="2020"/>
      <c r="C109" s="304" t="s">
        <v>953</v>
      </c>
      <c r="E109" s="328"/>
      <c r="F109" s="1010"/>
      <c r="G109" s="1064"/>
      <c r="H109" s="1064"/>
      <c r="I109" s="1064"/>
      <c r="J109" s="1064"/>
      <c r="K109" s="1064"/>
      <c r="L109" s="1064"/>
      <c r="M109" s="1064"/>
      <c r="N109" s="1064"/>
      <c r="O109" s="1064"/>
      <c r="P109" s="1064"/>
      <c r="Q109" s="1064"/>
      <c r="R109" s="2060"/>
      <c r="T109" s="2060"/>
      <c r="U109" s="1510"/>
      <c r="V109" s="2060"/>
      <c r="W109" s="2060"/>
      <c r="X109" s="2060"/>
      <c r="Y109" s="2060"/>
      <c r="Z109" s="2060"/>
      <c r="AA109" s="2060"/>
      <c r="AB109" s="2060"/>
      <c r="AC109" s="2060"/>
      <c r="AD109" s="2060"/>
      <c r="AE109" s="2060"/>
      <c r="AF109" s="2060"/>
      <c r="AG109" s="2060"/>
      <c r="AH109" s="2060"/>
      <c r="AI109" s="2060"/>
      <c r="AJ109" s="2060"/>
      <c r="AK109" s="2060"/>
      <c r="AL109" s="2060"/>
      <c r="AM109" s="2060"/>
      <c r="AN109" s="2060"/>
      <c r="AO109" s="2060"/>
      <c r="AP109" s="2060"/>
      <c r="AQ109" s="2060"/>
      <c r="AR109" s="2060"/>
      <c r="AS109" s="2060"/>
    </row>
    <row r="110" spans="1:45" s="1525" customFormat="1" ht="13.9">
      <c r="A110" s="1510"/>
      <c r="B110" s="2020"/>
      <c r="C110" s="1380" t="s">
        <v>956</v>
      </c>
      <c r="E110" s="328"/>
      <c r="F110" s="1010"/>
      <c r="G110" s="6"/>
      <c r="H110" s="6"/>
      <c r="I110" s="6"/>
      <c r="J110" s="6"/>
      <c r="K110" s="6"/>
      <c r="L110" s="6"/>
      <c r="M110" s="6"/>
      <c r="N110" s="6"/>
      <c r="O110" s="6"/>
      <c r="P110" s="6"/>
      <c r="Q110" s="6"/>
      <c r="R110" s="2060"/>
      <c r="T110" s="2060"/>
      <c r="U110" s="1510"/>
      <c r="V110" s="2060"/>
      <c r="W110" s="2060"/>
      <c r="X110" s="2060"/>
      <c r="Y110" s="2060"/>
      <c r="Z110" s="2060"/>
      <c r="AA110" s="2060"/>
      <c r="AB110" s="2060"/>
      <c r="AC110" s="2060"/>
      <c r="AD110" s="2060"/>
      <c r="AE110" s="2060"/>
      <c r="AF110" s="2060"/>
      <c r="AG110" s="2060"/>
      <c r="AH110" s="2060"/>
      <c r="AI110" s="2060"/>
      <c r="AJ110" s="2060"/>
      <c r="AK110" s="2060"/>
      <c r="AL110" s="2060"/>
      <c r="AM110" s="2060"/>
      <c r="AN110" s="2060"/>
      <c r="AO110" s="2060"/>
      <c r="AP110" s="2060"/>
      <c r="AQ110" s="2060"/>
      <c r="AR110" s="2060"/>
      <c r="AS110" s="2060"/>
    </row>
    <row r="111" spans="1:45" s="1525" customFormat="1" ht="13.9">
      <c r="A111" s="1510"/>
      <c r="B111" s="2020"/>
      <c r="C111" s="304" t="s">
        <v>969</v>
      </c>
      <c r="E111" s="1364">
        <f>IFERROR(E108/E$100,0)</f>
        <v>0</v>
      </c>
      <c r="F111" s="1740">
        <f>IFERROR(F108/F$100,0)</f>
        <v>0</v>
      </c>
      <c r="G111" s="1627">
        <f t="shared" ref="G111:Q111" si="39">IFERROR(IF(ISNUMBER(G109),G109/G$100,IF(ISNUMBER(G110),G110,F111))*(ISNUMBER(G$23)*1),0)</f>
        <v>0</v>
      </c>
      <c r="H111" s="1627">
        <f t="shared" si="39"/>
        <v>0</v>
      </c>
      <c r="I111" s="1627">
        <f t="shared" si="39"/>
        <v>0</v>
      </c>
      <c r="J111" s="1627">
        <f t="shared" si="39"/>
        <v>0</v>
      </c>
      <c r="K111" s="1627">
        <f t="shared" si="39"/>
        <v>0</v>
      </c>
      <c r="L111" s="1627">
        <f t="shared" si="39"/>
        <v>0</v>
      </c>
      <c r="M111" s="1627">
        <f t="shared" si="39"/>
        <v>0</v>
      </c>
      <c r="N111" s="1627">
        <f t="shared" si="39"/>
        <v>0</v>
      </c>
      <c r="O111" s="1627">
        <f t="shared" si="39"/>
        <v>0</v>
      </c>
      <c r="P111" s="1627">
        <f t="shared" si="39"/>
        <v>0</v>
      </c>
      <c r="Q111" s="1627">
        <f t="shared" si="39"/>
        <v>0</v>
      </c>
      <c r="R111" s="2060"/>
      <c r="T111" s="2060"/>
      <c r="U111" s="1510"/>
      <c r="V111" s="2060"/>
      <c r="W111" s="2060"/>
      <c r="X111" s="2060"/>
      <c r="Y111" s="2060"/>
      <c r="Z111" s="2060"/>
      <c r="AA111" s="2060"/>
      <c r="AB111" s="2060"/>
      <c r="AC111" s="2060"/>
      <c r="AD111" s="2060"/>
      <c r="AE111" s="2060"/>
      <c r="AF111" s="2060"/>
      <c r="AG111" s="2060"/>
      <c r="AH111" s="2060"/>
      <c r="AI111" s="2060"/>
      <c r="AJ111" s="2060"/>
      <c r="AK111" s="2060"/>
      <c r="AL111" s="2060"/>
      <c r="AM111" s="2060"/>
      <c r="AN111" s="2060"/>
      <c r="AO111" s="2060"/>
      <c r="AP111" s="2060"/>
      <c r="AQ111" s="2060"/>
      <c r="AR111" s="2060"/>
      <c r="AS111" s="2060"/>
    </row>
    <row r="112" spans="1:45" s="1525" customFormat="1" ht="13.9">
      <c r="A112" s="1510"/>
      <c r="B112" s="2020"/>
      <c r="C112" s="1530"/>
      <c r="E112" s="1505"/>
      <c r="F112" s="1806"/>
      <c r="G112" s="1627"/>
      <c r="H112" s="1627"/>
      <c r="I112" s="1627"/>
      <c r="J112" s="1627"/>
      <c r="K112" s="1627"/>
      <c r="L112" s="1627"/>
      <c r="M112" s="1627"/>
      <c r="N112" s="1627"/>
      <c r="O112" s="1627"/>
      <c r="P112" s="1627"/>
      <c r="Q112" s="1627"/>
      <c r="R112" s="2060"/>
      <c r="T112" s="2060"/>
      <c r="U112" s="1510"/>
      <c r="V112" s="2060"/>
      <c r="W112" s="2060"/>
      <c r="X112" s="2060"/>
      <c r="Y112" s="2060"/>
      <c r="Z112" s="2060"/>
      <c r="AA112" s="2060"/>
      <c r="AB112" s="2060"/>
      <c r="AC112" s="2060"/>
      <c r="AD112" s="2060"/>
      <c r="AE112" s="2060"/>
      <c r="AF112" s="2060"/>
      <c r="AG112" s="2060"/>
      <c r="AH112" s="2060"/>
      <c r="AI112" s="2060"/>
      <c r="AJ112" s="2060"/>
      <c r="AK112" s="2060"/>
      <c r="AL112" s="2060"/>
      <c r="AM112" s="2060"/>
      <c r="AN112" s="2060"/>
      <c r="AO112" s="2060"/>
      <c r="AP112" s="2060"/>
      <c r="AQ112" s="2060"/>
      <c r="AR112" s="2060"/>
      <c r="AS112" s="2060"/>
    </row>
    <row r="113" spans="1:45" s="1525" customFormat="1" ht="13.9">
      <c r="A113" s="1510"/>
      <c r="B113" s="2020"/>
      <c r="C113" s="1530" t="s">
        <v>819</v>
      </c>
      <c r="E113" s="328">
        <f>IF(StubY,'BAL SHEET Hist Input'!J12,'BAL SHEET Hist Input'!I12)</f>
        <v>0</v>
      </c>
      <c r="F113" s="1010">
        <f>IF(StubY,'BAL SHEET Hist Input'!K12,'BAL SHEET Hist Input'!J12)</f>
        <v>0</v>
      </c>
      <c r="G113" s="328">
        <f t="shared" ref="G113:Q113" si="40">IFERROR(G116/G$325*G$100,0)</f>
        <v>0</v>
      </c>
      <c r="H113" s="328">
        <f t="shared" si="40"/>
        <v>0</v>
      </c>
      <c r="I113" s="328">
        <f t="shared" si="40"/>
        <v>0</v>
      </c>
      <c r="J113" s="328">
        <f t="shared" si="40"/>
        <v>0</v>
      </c>
      <c r="K113" s="328">
        <f t="shared" si="40"/>
        <v>0</v>
      </c>
      <c r="L113" s="328">
        <f t="shared" si="40"/>
        <v>0</v>
      </c>
      <c r="M113" s="328">
        <f t="shared" si="40"/>
        <v>0</v>
      </c>
      <c r="N113" s="328">
        <f t="shared" si="40"/>
        <v>0</v>
      </c>
      <c r="O113" s="328">
        <f t="shared" si="40"/>
        <v>0</v>
      </c>
      <c r="P113" s="328">
        <f t="shared" si="40"/>
        <v>0</v>
      </c>
      <c r="Q113" s="328">
        <f t="shared" si="40"/>
        <v>0</v>
      </c>
      <c r="R113" s="2060"/>
      <c r="T113" s="2060"/>
      <c r="U113" s="1510"/>
      <c r="V113" s="2060"/>
      <c r="W113" s="2060"/>
      <c r="X113" s="2060"/>
      <c r="Y113" s="2060"/>
      <c r="Z113" s="2060"/>
      <c r="AA113" s="2060"/>
      <c r="AB113" s="2060"/>
      <c r="AC113" s="2060"/>
      <c r="AD113" s="2060"/>
      <c r="AE113" s="2060"/>
      <c r="AF113" s="2060"/>
      <c r="AG113" s="2060"/>
      <c r="AH113" s="2060"/>
      <c r="AI113" s="2060"/>
      <c r="AJ113" s="2060"/>
      <c r="AK113" s="2060"/>
      <c r="AL113" s="2060"/>
      <c r="AM113" s="2060"/>
      <c r="AN113" s="2060"/>
      <c r="AO113" s="2060"/>
      <c r="AP113" s="2060"/>
      <c r="AQ113" s="2060"/>
      <c r="AR113" s="2060"/>
      <c r="AS113" s="2060"/>
    </row>
    <row r="114" spans="1:45" s="1525" customFormat="1" ht="13.9">
      <c r="A114" s="1510"/>
      <c r="B114" s="2020"/>
      <c r="C114" s="304" t="s">
        <v>953</v>
      </c>
      <c r="E114" s="328"/>
      <c r="F114" s="1010"/>
      <c r="G114" s="1064"/>
      <c r="H114" s="1064"/>
      <c r="I114" s="1064"/>
      <c r="J114" s="1064"/>
      <c r="K114" s="1064"/>
      <c r="L114" s="1064"/>
      <c r="M114" s="1064"/>
      <c r="N114" s="1064"/>
      <c r="O114" s="1064"/>
      <c r="P114" s="1064"/>
      <c r="Q114" s="1064"/>
      <c r="R114" s="2060"/>
      <c r="T114" s="2060"/>
      <c r="U114" s="1510"/>
      <c r="V114" s="2060"/>
      <c r="W114" s="2060"/>
      <c r="X114" s="2060"/>
      <c r="Y114" s="2060"/>
      <c r="Z114" s="2060"/>
      <c r="AA114" s="2060"/>
      <c r="AB114" s="2060"/>
      <c r="AC114" s="2060"/>
      <c r="AD114" s="2060"/>
      <c r="AE114" s="2060"/>
      <c r="AF114" s="2060"/>
      <c r="AG114" s="2060"/>
      <c r="AH114" s="2060"/>
      <c r="AI114" s="2060"/>
      <c r="AJ114" s="2060"/>
      <c r="AK114" s="2060"/>
      <c r="AL114" s="2060"/>
      <c r="AM114" s="2060"/>
      <c r="AN114" s="2060"/>
      <c r="AO114" s="2060"/>
      <c r="AP114" s="2060"/>
      <c r="AQ114" s="2060"/>
      <c r="AR114" s="2060"/>
      <c r="AS114" s="2060"/>
    </row>
    <row r="115" spans="1:45" s="1525" customFormat="1" ht="13.9">
      <c r="A115" s="1510"/>
      <c r="B115" s="2020"/>
      <c r="C115" s="1380" t="s">
        <v>976</v>
      </c>
      <c r="E115" s="328"/>
      <c r="F115" s="1010"/>
      <c r="G115" s="2205"/>
      <c r="H115" s="2205"/>
      <c r="I115" s="2205"/>
      <c r="J115" s="2205"/>
      <c r="K115" s="2205"/>
      <c r="L115" s="2205"/>
      <c r="M115" s="2205"/>
      <c r="N115" s="2205"/>
      <c r="O115" s="2205"/>
      <c r="P115" s="2205"/>
      <c r="Q115" s="2205"/>
      <c r="R115" s="2060"/>
      <c r="T115" s="2060"/>
      <c r="U115" s="1510"/>
      <c r="V115" s="2060"/>
      <c r="W115" s="2060"/>
      <c r="X115" s="2060"/>
      <c r="Y115" s="2060"/>
      <c r="Z115" s="2060"/>
      <c r="AA115" s="2060"/>
      <c r="AB115" s="2060"/>
      <c r="AC115" s="2060"/>
      <c r="AD115" s="2060"/>
      <c r="AE115" s="2060"/>
      <c r="AF115" s="2060"/>
      <c r="AG115" s="2060"/>
      <c r="AH115" s="2060"/>
      <c r="AI115" s="2060"/>
      <c r="AJ115" s="2060"/>
      <c r="AK115" s="2060"/>
      <c r="AL115" s="2060"/>
      <c r="AM115" s="2060"/>
      <c r="AN115" s="2060"/>
      <c r="AO115" s="2060"/>
      <c r="AP115" s="2060"/>
      <c r="AQ115" s="2060"/>
      <c r="AR115" s="2060"/>
      <c r="AS115" s="2060"/>
    </row>
    <row r="116" spans="1:45" s="1525" customFormat="1" ht="13.9">
      <c r="A116" s="1510"/>
      <c r="B116" s="2020"/>
      <c r="C116" s="304" t="s">
        <v>977</v>
      </c>
      <c r="E116" s="2000">
        <f>IFERROR(E113/E100*E$325,0)</f>
        <v>0</v>
      </c>
      <c r="F116" s="2001">
        <f>IFERROR(F113/F100*F$325,0)</f>
        <v>0</v>
      </c>
      <c r="G116" s="2000">
        <f t="shared" ref="G116:Q116" si="41">IFERROR(IF(ISNUMBER(G114),G114/G$100*G$325,IF(ISNUMBER(G115),G115,F116))*(ISNUMBER(G$23)*1),0)</f>
        <v>0</v>
      </c>
      <c r="H116" s="2000">
        <f t="shared" si="41"/>
        <v>0</v>
      </c>
      <c r="I116" s="2000">
        <f t="shared" si="41"/>
        <v>0</v>
      </c>
      <c r="J116" s="2000">
        <f t="shared" si="41"/>
        <v>0</v>
      </c>
      <c r="K116" s="2000">
        <f t="shared" si="41"/>
        <v>0</v>
      </c>
      <c r="L116" s="2000">
        <f t="shared" si="41"/>
        <v>0</v>
      </c>
      <c r="M116" s="2000">
        <f t="shared" si="41"/>
        <v>0</v>
      </c>
      <c r="N116" s="2000">
        <f t="shared" si="41"/>
        <v>0</v>
      </c>
      <c r="O116" s="2000">
        <f t="shared" si="41"/>
        <v>0</v>
      </c>
      <c r="P116" s="2000">
        <f t="shared" si="41"/>
        <v>0</v>
      </c>
      <c r="Q116" s="2000">
        <f t="shared" si="41"/>
        <v>0</v>
      </c>
      <c r="R116" s="1502"/>
      <c r="T116" s="2060"/>
      <c r="U116" s="1510"/>
      <c r="V116" s="2060"/>
      <c r="W116" s="2060"/>
      <c r="X116" s="2060"/>
      <c r="Y116" s="2060"/>
      <c r="Z116" s="2060"/>
      <c r="AA116" s="2060"/>
      <c r="AB116" s="2060"/>
      <c r="AC116" s="2060"/>
      <c r="AD116" s="2060"/>
      <c r="AE116" s="2060"/>
      <c r="AF116" s="2060"/>
      <c r="AG116" s="2060"/>
      <c r="AH116" s="2060"/>
      <c r="AI116" s="2060"/>
      <c r="AJ116" s="2060"/>
      <c r="AK116" s="2060"/>
      <c r="AL116" s="2060"/>
      <c r="AM116" s="2060"/>
      <c r="AN116" s="2060"/>
      <c r="AO116" s="2060"/>
      <c r="AP116" s="2060"/>
      <c r="AQ116" s="2060"/>
      <c r="AR116" s="2060"/>
      <c r="AS116" s="2060"/>
    </row>
    <row r="117" spans="1:45" s="1525" customFormat="1" ht="13.9">
      <c r="A117" s="1510"/>
      <c r="B117" s="2020"/>
      <c r="C117" s="1530"/>
      <c r="E117" s="1505"/>
      <c r="F117" s="1806"/>
      <c r="R117" s="2060"/>
      <c r="T117" s="2060"/>
      <c r="U117" s="1510"/>
      <c r="V117" s="2060"/>
      <c r="W117" s="2060"/>
      <c r="X117" s="2060"/>
      <c r="Y117" s="2060"/>
      <c r="Z117" s="2060"/>
      <c r="AA117" s="2060"/>
      <c r="AB117" s="2060"/>
      <c r="AC117" s="2060"/>
      <c r="AD117" s="2060"/>
      <c r="AE117" s="2060"/>
      <c r="AF117" s="2060"/>
      <c r="AG117" s="2060"/>
      <c r="AH117" s="2060"/>
      <c r="AI117" s="2060"/>
      <c r="AJ117" s="2060"/>
      <c r="AK117" s="2060"/>
      <c r="AL117" s="2060"/>
      <c r="AM117" s="2060"/>
      <c r="AN117" s="2060"/>
      <c r="AO117" s="2060"/>
      <c r="AP117" s="2060"/>
      <c r="AQ117" s="2060"/>
      <c r="AR117" s="2060"/>
      <c r="AS117" s="2060"/>
    </row>
    <row r="118" spans="1:45" s="1525" customFormat="1" ht="13.9">
      <c r="A118" s="1510"/>
      <c r="B118" s="2020"/>
      <c r="C118" s="1530" t="s">
        <v>306</v>
      </c>
      <c r="E118" s="328">
        <f>IF(StubY,'BAL SHEET Hist Input'!J13,'BAL SHEET Hist Input'!I13)</f>
        <v>0</v>
      </c>
      <c r="F118" s="1010">
        <f>IF(StubY,'BAL SHEET Hist Input'!K13,'BAL SHEET Hist Input'!J13)</f>
        <v>0</v>
      </c>
      <c r="G118" s="328">
        <f t="shared" ref="G118:Q118" si="42">IFERROR(G121/G$325*G$101,0)</f>
        <v>0</v>
      </c>
      <c r="H118" s="328">
        <f t="shared" si="42"/>
        <v>0</v>
      </c>
      <c r="I118" s="328">
        <f t="shared" si="42"/>
        <v>0</v>
      </c>
      <c r="J118" s="328">
        <f t="shared" si="42"/>
        <v>0</v>
      </c>
      <c r="K118" s="328">
        <f t="shared" si="42"/>
        <v>0</v>
      </c>
      <c r="L118" s="328">
        <f t="shared" si="42"/>
        <v>0</v>
      </c>
      <c r="M118" s="328">
        <f t="shared" si="42"/>
        <v>0</v>
      </c>
      <c r="N118" s="328">
        <f t="shared" si="42"/>
        <v>0</v>
      </c>
      <c r="O118" s="328">
        <f t="shared" si="42"/>
        <v>0</v>
      </c>
      <c r="P118" s="328">
        <f t="shared" si="42"/>
        <v>0</v>
      </c>
      <c r="Q118" s="328">
        <f t="shared" si="42"/>
        <v>0</v>
      </c>
      <c r="R118" s="2060"/>
      <c r="T118" s="2060"/>
      <c r="U118" s="1510"/>
      <c r="V118" s="2060"/>
      <c r="W118" s="2060"/>
      <c r="X118" s="2060"/>
      <c r="Y118" s="2060"/>
      <c r="Z118" s="2060"/>
      <c r="AA118" s="2060"/>
      <c r="AB118" s="2060"/>
      <c r="AC118" s="2060"/>
      <c r="AD118" s="2060"/>
      <c r="AE118" s="2060"/>
      <c r="AF118" s="2060"/>
      <c r="AG118" s="2060"/>
      <c r="AH118" s="2060"/>
      <c r="AI118" s="2060"/>
      <c r="AJ118" s="2060"/>
      <c r="AK118" s="2060"/>
      <c r="AL118" s="2060"/>
      <c r="AM118" s="2060"/>
      <c r="AN118" s="2060"/>
      <c r="AO118" s="2060"/>
      <c r="AP118" s="2060"/>
      <c r="AQ118" s="2060"/>
      <c r="AR118" s="2060"/>
      <c r="AS118" s="2060"/>
    </row>
    <row r="119" spans="1:45" s="1525" customFormat="1" ht="13.9">
      <c r="A119" s="1510"/>
      <c r="B119" s="2020"/>
      <c r="C119" s="304" t="s">
        <v>953</v>
      </c>
      <c r="E119" s="328"/>
      <c r="F119" s="1010"/>
      <c r="G119" s="1064"/>
      <c r="H119" s="1064"/>
      <c r="I119" s="1064"/>
      <c r="J119" s="1064"/>
      <c r="K119" s="1064"/>
      <c r="L119" s="1064"/>
      <c r="M119" s="1064"/>
      <c r="N119" s="1064"/>
      <c r="O119" s="1064"/>
      <c r="P119" s="1064"/>
      <c r="Q119" s="1064"/>
      <c r="R119" s="2060"/>
      <c r="T119" s="2060"/>
      <c r="U119" s="1510"/>
      <c r="V119" s="2060"/>
      <c r="W119" s="2060"/>
      <c r="X119" s="2060"/>
      <c r="Y119" s="2060"/>
      <c r="Z119" s="2060"/>
      <c r="AA119" s="2060"/>
      <c r="AB119" s="2060"/>
      <c r="AC119" s="2060"/>
      <c r="AD119" s="2060"/>
      <c r="AE119" s="2060"/>
      <c r="AF119" s="2060"/>
      <c r="AG119" s="2060"/>
      <c r="AH119" s="2060"/>
      <c r="AI119" s="2060"/>
      <c r="AJ119" s="2060"/>
      <c r="AK119" s="2060"/>
      <c r="AL119" s="2060"/>
      <c r="AM119" s="2060"/>
      <c r="AN119" s="2060"/>
      <c r="AO119" s="2060"/>
      <c r="AP119" s="2060"/>
      <c r="AQ119" s="2060"/>
      <c r="AR119" s="2060"/>
      <c r="AS119" s="2060"/>
    </row>
    <row r="120" spans="1:45" s="1525" customFormat="1" ht="13.9">
      <c r="A120" s="1510"/>
      <c r="B120" s="2020"/>
      <c r="C120" s="1380" t="s">
        <v>978</v>
      </c>
      <c r="E120" s="328"/>
      <c r="F120" s="1010"/>
      <c r="G120" s="2205"/>
      <c r="H120" s="2205"/>
      <c r="I120" s="2205"/>
      <c r="J120" s="2205"/>
      <c r="K120" s="2205"/>
      <c r="L120" s="2205"/>
      <c r="M120" s="2205"/>
      <c r="N120" s="2205"/>
      <c r="O120" s="2205"/>
      <c r="P120" s="2205"/>
      <c r="Q120" s="2205"/>
      <c r="R120" s="2060"/>
      <c r="T120" s="2060"/>
      <c r="U120" s="1510"/>
      <c r="V120" s="2060"/>
      <c r="W120" s="2060"/>
      <c r="X120" s="2060"/>
      <c r="Y120" s="2060"/>
      <c r="Z120" s="2060"/>
      <c r="AA120" s="2060"/>
      <c r="AB120" s="2060"/>
      <c r="AC120" s="2060"/>
      <c r="AD120" s="2060"/>
      <c r="AE120" s="2060"/>
      <c r="AF120" s="2060"/>
      <c r="AG120" s="2060"/>
      <c r="AH120" s="2060"/>
      <c r="AI120" s="2060"/>
      <c r="AJ120" s="2060"/>
      <c r="AK120" s="2060"/>
      <c r="AL120" s="2060"/>
      <c r="AM120" s="2060"/>
      <c r="AN120" s="2060"/>
      <c r="AO120" s="2060"/>
      <c r="AP120" s="2060"/>
      <c r="AQ120" s="2060"/>
      <c r="AR120" s="2060"/>
      <c r="AS120" s="2060"/>
    </row>
    <row r="121" spans="1:45" s="1525" customFormat="1" ht="13.9">
      <c r="A121" s="1510"/>
      <c r="B121" s="2020"/>
      <c r="C121" s="304" t="s">
        <v>979</v>
      </c>
      <c r="E121" s="2000">
        <f>IFERROR(E118/E$101*E$325,0)</f>
        <v>0</v>
      </c>
      <c r="F121" s="2001">
        <f>IFERROR(F118/F$101*F$325,0)</f>
        <v>0</v>
      </c>
      <c r="G121" s="2000">
        <f t="shared" ref="G121:Q121" si="43">IFERROR(IF(ISNUMBER(G119),G119/G$101*G$325,IF(ISNUMBER(G120),G120,F121))*(ISNUMBER(G$23)*1),0)</f>
        <v>0</v>
      </c>
      <c r="H121" s="2000">
        <f t="shared" si="43"/>
        <v>0</v>
      </c>
      <c r="I121" s="2000">
        <f t="shared" si="43"/>
        <v>0</v>
      </c>
      <c r="J121" s="2000">
        <f t="shared" si="43"/>
        <v>0</v>
      </c>
      <c r="K121" s="2000">
        <f t="shared" si="43"/>
        <v>0</v>
      </c>
      <c r="L121" s="2000">
        <f t="shared" si="43"/>
        <v>0</v>
      </c>
      <c r="M121" s="2000">
        <f t="shared" si="43"/>
        <v>0</v>
      </c>
      <c r="N121" s="2000">
        <f t="shared" si="43"/>
        <v>0</v>
      </c>
      <c r="O121" s="2000">
        <f t="shared" si="43"/>
        <v>0</v>
      </c>
      <c r="P121" s="2000">
        <f t="shared" si="43"/>
        <v>0</v>
      </c>
      <c r="Q121" s="2000">
        <f t="shared" si="43"/>
        <v>0</v>
      </c>
      <c r="R121" s="1502"/>
      <c r="T121" s="2060"/>
      <c r="U121" s="1510"/>
      <c r="V121" s="2060"/>
      <c r="W121" s="2060"/>
      <c r="X121" s="2060"/>
      <c r="Y121" s="2060"/>
      <c r="Z121" s="2060"/>
      <c r="AA121" s="2060"/>
      <c r="AB121" s="2060"/>
      <c r="AC121" s="2060"/>
      <c r="AD121" s="2060"/>
      <c r="AE121" s="2060"/>
      <c r="AF121" s="2060"/>
      <c r="AG121" s="2060"/>
      <c r="AH121" s="2060"/>
      <c r="AI121" s="2060"/>
      <c r="AJ121" s="2060"/>
      <c r="AK121" s="2060"/>
      <c r="AL121" s="2060"/>
      <c r="AM121" s="2060"/>
      <c r="AN121" s="2060"/>
      <c r="AO121" s="2060"/>
      <c r="AP121" s="2060"/>
      <c r="AQ121" s="2060"/>
      <c r="AR121" s="2060"/>
      <c r="AS121" s="2060"/>
    </row>
    <row r="122" spans="1:45" s="1525" customFormat="1" ht="13.9">
      <c r="A122" s="1510"/>
      <c r="B122" s="2020"/>
      <c r="C122" s="1530"/>
      <c r="E122" s="1505"/>
      <c r="F122" s="1806"/>
      <c r="R122" s="2060"/>
      <c r="T122" s="2060"/>
      <c r="U122" s="1510"/>
      <c r="V122" s="2060"/>
      <c r="W122" s="2060"/>
      <c r="X122" s="2060"/>
      <c r="Y122" s="2060"/>
      <c r="Z122" s="2060"/>
      <c r="AA122" s="2060"/>
      <c r="AB122" s="2060"/>
      <c r="AC122" s="2060"/>
      <c r="AD122" s="2060"/>
      <c r="AE122" s="2060"/>
      <c r="AF122" s="2060"/>
      <c r="AG122" s="2060"/>
      <c r="AH122" s="2060"/>
      <c r="AI122" s="2060"/>
      <c r="AJ122" s="2060"/>
      <c r="AK122" s="2060"/>
      <c r="AL122" s="2060"/>
      <c r="AM122" s="2060"/>
      <c r="AN122" s="2060"/>
      <c r="AO122" s="2060"/>
      <c r="AP122" s="2060"/>
      <c r="AQ122" s="2060"/>
      <c r="AR122" s="2060"/>
      <c r="AS122" s="2060"/>
    </row>
    <row r="123" spans="1:45" s="1525" customFormat="1" ht="13.9">
      <c r="A123" s="1510"/>
      <c r="B123" s="2020"/>
      <c r="C123" s="2206" t="s">
        <v>980</v>
      </c>
      <c r="E123" s="328">
        <f>IF(StubY,'BAL SHEET Hist Input'!J14,'BAL SHEET Hist Input'!I14)</f>
        <v>0</v>
      </c>
      <c r="F123" s="1010">
        <f>IF(StubY,'BAL SHEET Hist Input'!K14,'BAL SHEET Hist Input'!J14)</f>
        <v>0</v>
      </c>
      <c r="G123" s="328">
        <f>IFERROR(G126*G$100,0)</f>
        <v>0</v>
      </c>
      <c r="H123" s="328">
        <f>IFERROR(H126*H$100,0)</f>
        <v>0</v>
      </c>
      <c r="I123" s="328">
        <f t="shared" ref="I123:Q123" si="44">IFERROR(I126*I$100,0)</f>
        <v>0</v>
      </c>
      <c r="J123" s="328">
        <f t="shared" si="44"/>
        <v>0</v>
      </c>
      <c r="K123" s="328">
        <f t="shared" si="44"/>
        <v>0</v>
      </c>
      <c r="L123" s="328">
        <f t="shared" si="44"/>
        <v>0</v>
      </c>
      <c r="M123" s="328">
        <f t="shared" si="44"/>
        <v>0</v>
      </c>
      <c r="N123" s="328">
        <f t="shared" si="44"/>
        <v>0</v>
      </c>
      <c r="O123" s="328">
        <f t="shared" si="44"/>
        <v>0</v>
      </c>
      <c r="P123" s="328">
        <f t="shared" si="44"/>
        <v>0</v>
      </c>
      <c r="Q123" s="328">
        <f t="shared" si="44"/>
        <v>0</v>
      </c>
      <c r="R123" s="2060"/>
      <c r="T123" s="2060"/>
      <c r="U123" s="1510"/>
      <c r="V123" s="2060"/>
      <c r="W123" s="2060"/>
      <c r="X123" s="2060"/>
      <c r="Y123" s="2060"/>
      <c r="Z123" s="2060"/>
      <c r="AA123" s="2060"/>
      <c r="AB123" s="2060"/>
      <c r="AC123" s="2060"/>
      <c r="AD123" s="2060"/>
      <c r="AE123" s="2060"/>
      <c r="AF123" s="2060"/>
      <c r="AG123" s="2060"/>
      <c r="AH123" s="2060"/>
      <c r="AI123" s="2060"/>
      <c r="AJ123" s="2060"/>
      <c r="AK123" s="2060"/>
      <c r="AL123" s="2060"/>
      <c r="AM123" s="2060"/>
      <c r="AN123" s="2060"/>
      <c r="AO123" s="2060"/>
      <c r="AP123" s="2060"/>
      <c r="AQ123" s="2060"/>
      <c r="AR123" s="2060"/>
      <c r="AS123" s="2060"/>
    </row>
    <row r="124" spans="1:45" s="1525" customFormat="1" ht="13.9">
      <c r="A124" s="1510"/>
      <c r="B124" s="2020"/>
      <c r="C124" s="304" t="s">
        <v>953</v>
      </c>
      <c r="E124" s="328"/>
      <c r="F124" s="1010"/>
      <c r="G124" s="1064"/>
      <c r="H124" s="1064"/>
      <c r="I124" s="1064"/>
      <c r="J124" s="1064"/>
      <c r="K124" s="1064"/>
      <c r="L124" s="1064"/>
      <c r="M124" s="1064"/>
      <c r="N124" s="1064"/>
      <c r="O124" s="1064"/>
      <c r="P124" s="1064"/>
      <c r="Q124" s="1064"/>
      <c r="R124" s="2060"/>
      <c r="T124" s="2060"/>
      <c r="U124" s="1510"/>
      <c r="V124" s="2060"/>
      <c r="W124" s="2060"/>
      <c r="X124" s="2060"/>
      <c r="Y124" s="2060"/>
      <c r="Z124" s="2060"/>
      <c r="AA124" s="2060"/>
      <c r="AB124" s="2060"/>
      <c r="AC124" s="2060"/>
      <c r="AD124" s="2060"/>
      <c r="AE124" s="2060"/>
      <c r="AF124" s="2060"/>
      <c r="AG124" s="2060"/>
      <c r="AH124" s="2060"/>
      <c r="AI124" s="2060"/>
      <c r="AJ124" s="2060"/>
      <c r="AK124" s="2060"/>
      <c r="AL124" s="2060"/>
      <c r="AM124" s="2060"/>
      <c r="AN124" s="2060"/>
      <c r="AO124" s="2060"/>
      <c r="AP124" s="2060"/>
      <c r="AQ124" s="2060"/>
      <c r="AR124" s="2060"/>
      <c r="AS124" s="2060"/>
    </row>
    <row r="125" spans="1:45" s="1525" customFormat="1" ht="13.9">
      <c r="A125" s="1510"/>
      <c r="B125" s="2020"/>
      <c r="C125" s="1380" t="s">
        <v>956</v>
      </c>
      <c r="E125" s="328"/>
      <c r="F125" s="1010"/>
      <c r="G125" s="6"/>
      <c r="H125" s="6"/>
      <c r="I125" s="6"/>
      <c r="J125" s="6"/>
      <c r="K125" s="6"/>
      <c r="L125" s="6"/>
      <c r="M125" s="6"/>
      <c r="N125" s="6"/>
      <c r="O125" s="6"/>
      <c r="P125" s="6"/>
      <c r="Q125" s="6"/>
      <c r="R125" s="2060"/>
      <c r="T125" s="2060"/>
      <c r="U125" s="1510"/>
      <c r="V125" s="2060"/>
      <c r="W125" s="2060"/>
      <c r="X125" s="2060"/>
      <c r="Y125" s="2060"/>
      <c r="Z125" s="2060"/>
      <c r="AA125" s="2060"/>
      <c r="AB125" s="2060"/>
      <c r="AC125" s="2060"/>
      <c r="AD125" s="2060"/>
      <c r="AE125" s="2060"/>
      <c r="AF125" s="2060"/>
      <c r="AG125" s="2060"/>
      <c r="AH125" s="2060"/>
      <c r="AI125" s="2060"/>
      <c r="AJ125" s="2060"/>
      <c r="AK125" s="2060"/>
      <c r="AL125" s="2060"/>
      <c r="AM125" s="2060"/>
      <c r="AN125" s="2060"/>
      <c r="AO125" s="2060"/>
      <c r="AP125" s="2060"/>
      <c r="AQ125" s="2060"/>
      <c r="AR125" s="2060"/>
      <c r="AS125" s="2060"/>
    </row>
    <row r="126" spans="1:45" s="1525" customFormat="1" ht="13.9">
      <c r="A126" s="1510"/>
      <c r="B126" s="2020"/>
      <c r="C126" s="304" t="s">
        <v>969</v>
      </c>
      <c r="E126" s="1364">
        <f>IFERROR(E123/E$100,0)</f>
        <v>0</v>
      </c>
      <c r="F126" s="1740">
        <f>IFERROR(F123/F$100,0)</f>
        <v>0</v>
      </c>
      <c r="G126" s="1627">
        <f t="shared" ref="G126:Q126" si="45">IFERROR(IF(ISNUMBER(G124),G124/G$100,IF(ISNUMBER(G125),G125,F126))*(ISNUMBER(G$23)*1),0)</f>
        <v>0</v>
      </c>
      <c r="H126" s="1627">
        <f t="shared" si="45"/>
        <v>0</v>
      </c>
      <c r="I126" s="1627">
        <f t="shared" si="45"/>
        <v>0</v>
      </c>
      <c r="J126" s="1627">
        <f t="shared" si="45"/>
        <v>0</v>
      </c>
      <c r="K126" s="1627">
        <f t="shared" si="45"/>
        <v>0</v>
      </c>
      <c r="L126" s="1627">
        <f t="shared" si="45"/>
        <v>0</v>
      </c>
      <c r="M126" s="1627">
        <f t="shared" si="45"/>
        <v>0</v>
      </c>
      <c r="N126" s="1627">
        <f t="shared" si="45"/>
        <v>0</v>
      </c>
      <c r="O126" s="1627">
        <f t="shared" si="45"/>
        <v>0</v>
      </c>
      <c r="P126" s="1627">
        <f t="shared" si="45"/>
        <v>0</v>
      </c>
      <c r="Q126" s="1627">
        <f t="shared" si="45"/>
        <v>0</v>
      </c>
      <c r="R126" s="2060"/>
      <c r="T126" s="2060"/>
      <c r="U126" s="1510"/>
      <c r="V126" s="2060"/>
      <c r="W126" s="2060"/>
      <c r="X126" s="2060"/>
      <c r="Y126" s="2060"/>
      <c r="Z126" s="2060"/>
      <c r="AA126" s="2060"/>
      <c r="AB126" s="2060"/>
      <c r="AC126" s="2060"/>
      <c r="AD126" s="2060"/>
      <c r="AE126" s="2060"/>
      <c r="AF126" s="2060"/>
      <c r="AG126" s="2060"/>
      <c r="AH126" s="2060"/>
      <c r="AI126" s="2060"/>
      <c r="AJ126" s="2060"/>
      <c r="AK126" s="2060"/>
      <c r="AL126" s="2060"/>
      <c r="AM126" s="2060"/>
      <c r="AN126" s="2060"/>
      <c r="AO126" s="2060"/>
      <c r="AP126" s="2060"/>
      <c r="AQ126" s="2060"/>
      <c r="AR126" s="2060"/>
      <c r="AS126" s="2060"/>
    </row>
    <row r="127" spans="1:45" s="1525" customFormat="1" ht="13.9">
      <c r="A127" s="1510"/>
      <c r="B127" s="2020"/>
      <c r="C127" s="1530"/>
      <c r="E127" s="1505"/>
      <c r="F127" s="1806"/>
      <c r="G127" s="1627"/>
      <c r="H127" s="1627"/>
      <c r="I127" s="1627"/>
      <c r="J127" s="1627"/>
      <c r="K127" s="1627"/>
      <c r="L127" s="1627"/>
      <c r="M127" s="1627"/>
      <c r="N127" s="1627"/>
      <c r="O127" s="1627"/>
      <c r="P127" s="1627"/>
      <c r="Q127" s="1627"/>
      <c r="R127" s="2060"/>
      <c r="T127" s="2060"/>
      <c r="U127" s="1510"/>
      <c r="V127" s="2060"/>
      <c r="W127" s="2060"/>
      <c r="X127" s="2060"/>
      <c r="Y127" s="2060"/>
      <c r="Z127" s="2060"/>
      <c r="AA127" s="2060"/>
      <c r="AB127" s="2060"/>
      <c r="AC127" s="2060"/>
      <c r="AD127" s="2060"/>
      <c r="AE127" s="2060"/>
      <c r="AF127" s="2060"/>
      <c r="AG127" s="2060"/>
      <c r="AH127" s="2060"/>
      <c r="AI127" s="2060"/>
      <c r="AJ127" s="2060"/>
      <c r="AK127" s="2060"/>
      <c r="AL127" s="2060"/>
      <c r="AM127" s="2060"/>
      <c r="AN127" s="2060"/>
      <c r="AO127" s="2060"/>
      <c r="AP127" s="2060"/>
      <c r="AQ127" s="2060"/>
      <c r="AR127" s="2060"/>
      <c r="AS127" s="2060"/>
    </row>
    <row r="128" spans="1:45" s="1525" customFormat="1" ht="13.9">
      <c r="A128" s="1510"/>
      <c r="B128" s="2020"/>
      <c r="C128" s="2206" t="s">
        <v>981</v>
      </c>
      <c r="E128" s="328">
        <f>IF(StubY,'BAL SHEET Hist Input'!J15,'BAL SHEET Hist Input'!I15)</f>
        <v>0</v>
      </c>
      <c r="F128" s="1010">
        <f>IF(StubY,'BAL SHEET Hist Input'!K15,'BAL SHEET Hist Input'!J15)</f>
        <v>0</v>
      </c>
      <c r="G128" s="328">
        <f>IFERROR(G131*G$100,0)</f>
        <v>0</v>
      </c>
      <c r="H128" s="328">
        <f>IFERROR(H131*H$100,0)</f>
        <v>0</v>
      </c>
      <c r="I128" s="328">
        <f t="shared" ref="I128:Q128" si="46">IFERROR(I131*I$100,0)</f>
        <v>0</v>
      </c>
      <c r="J128" s="328">
        <f t="shared" si="46"/>
        <v>0</v>
      </c>
      <c r="K128" s="328">
        <f t="shared" si="46"/>
        <v>0</v>
      </c>
      <c r="L128" s="328">
        <f t="shared" si="46"/>
        <v>0</v>
      </c>
      <c r="M128" s="328">
        <f t="shared" si="46"/>
        <v>0</v>
      </c>
      <c r="N128" s="328">
        <f t="shared" si="46"/>
        <v>0</v>
      </c>
      <c r="O128" s="328">
        <f t="shared" si="46"/>
        <v>0</v>
      </c>
      <c r="P128" s="328">
        <f t="shared" si="46"/>
        <v>0</v>
      </c>
      <c r="Q128" s="328">
        <f t="shared" si="46"/>
        <v>0</v>
      </c>
      <c r="R128" s="2060"/>
      <c r="T128" s="2060"/>
      <c r="U128" s="1510"/>
      <c r="V128" s="2060"/>
      <c r="W128" s="2060"/>
      <c r="X128" s="2060"/>
      <c r="Y128" s="2060"/>
      <c r="Z128" s="2060"/>
      <c r="AA128" s="2060"/>
      <c r="AB128" s="2060"/>
      <c r="AC128" s="2060"/>
      <c r="AD128" s="2060"/>
      <c r="AE128" s="2060"/>
      <c r="AF128" s="2060"/>
      <c r="AG128" s="2060"/>
      <c r="AH128" s="2060"/>
      <c r="AI128" s="2060"/>
      <c r="AJ128" s="2060"/>
      <c r="AK128" s="2060"/>
      <c r="AL128" s="2060"/>
      <c r="AM128" s="2060"/>
      <c r="AN128" s="2060"/>
      <c r="AO128" s="2060"/>
      <c r="AP128" s="2060"/>
      <c r="AQ128" s="2060"/>
      <c r="AR128" s="2060"/>
      <c r="AS128" s="2060"/>
    </row>
    <row r="129" spans="1:45" s="1525" customFormat="1" ht="13.9">
      <c r="A129" s="1510"/>
      <c r="B129" s="2020"/>
      <c r="C129" s="304" t="s">
        <v>953</v>
      </c>
      <c r="E129" s="328"/>
      <c r="F129" s="1010"/>
      <c r="G129" s="1064"/>
      <c r="H129" s="1064"/>
      <c r="I129" s="1064"/>
      <c r="J129" s="1064"/>
      <c r="K129" s="1064"/>
      <c r="L129" s="1064"/>
      <c r="M129" s="1064"/>
      <c r="N129" s="1064"/>
      <c r="O129" s="1064"/>
      <c r="P129" s="1064"/>
      <c r="Q129" s="1064"/>
      <c r="R129" s="2060"/>
      <c r="T129" s="2060"/>
      <c r="U129" s="1510"/>
      <c r="V129" s="2060"/>
      <c r="W129" s="2060"/>
      <c r="X129" s="2060"/>
      <c r="Y129" s="2060"/>
      <c r="Z129" s="2060"/>
      <c r="AA129" s="2060"/>
      <c r="AB129" s="2060"/>
      <c r="AC129" s="2060"/>
      <c r="AD129" s="2060"/>
      <c r="AE129" s="2060"/>
      <c r="AF129" s="2060"/>
      <c r="AG129" s="2060"/>
      <c r="AH129" s="2060"/>
      <c r="AI129" s="2060"/>
      <c r="AJ129" s="2060"/>
      <c r="AK129" s="2060"/>
      <c r="AL129" s="2060"/>
      <c r="AM129" s="2060"/>
      <c r="AN129" s="2060"/>
      <c r="AO129" s="2060"/>
      <c r="AP129" s="2060"/>
      <c r="AQ129" s="2060"/>
      <c r="AR129" s="2060"/>
      <c r="AS129" s="2060"/>
    </row>
    <row r="130" spans="1:45" s="1525" customFormat="1" ht="13.9">
      <c r="A130" s="1510"/>
      <c r="B130" s="2020"/>
      <c r="C130" s="1380" t="s">
        <v>956</v>
      </c>
      <c r="E130" s="328"/>
      <c r="F130" s="1010"/>
      <c r="G130" s="6"/>
      <c r="H130" s="6"/>
      <c r="I130" s="6"/>
      <c r="J130" s="6"/>
      <c r="K130" s="6"/>
      <c r="L130" s="6"/>
      <c r="M130" s="6"/>
      <c r="N130" s="6"/>
      <c r="O130" s="6"/>
      <c r="P130" s="6"/>
      <c r="Q130" s="6"/>
      <c r="R130" s="2060"/>
      <c r="T130" s="2060"/>
      <c r="U130" s="1510"/>
      <c r="V130" s="2060"/>
      <c r="W130" s="2060"/>
      <c r="X130" s="2060"/>
      <c r="Y130" s="2060"/>
      <c r="Z130" s="2060"/>
      <c r="AA130" s="2060"/>
      <c r="AB130" s="2060"/>
      <c r="AC130" s="2060"/>
      <c r="AD130" s="2060"/>
      <c r="AE130" s="2060"/>
      <c r="AF130" s="2060"/>
      <c r="AG130" s="2060"/>
      <c r="AH130" s="2060"/>
      <c r="AI130" s="2060"/>
      <c r="AJ130" s="2060"/>
      <c r="AK130" s="2060"/>
      <c r="AL130" s="2060"/>
      <c r="AM130" s="2060"/>
      <c r="AN130" s="2060"/>
      <c r="AO130" s="2060"/>
      <c r="AP130" s="2060"/>
      <c r="AQ130" s="2060"/>
      <c r="AR130" s="2060"/>
      <c r="AS130" s="2060"/>
    </row>
    <row r="131" spans="1:45" s="1525" customFormat="1" ht="13.9">
      <c r="A131" s="1510"/>
      <c r="B131" s="2020"/>
      <c r="C131" s="304" t="s">
        <v>969</v>
      </c>
      <c r="E131" s="1364">
        <f>IFERROR(E128/E$100,0)</f>
        <v>0</v>
      </c>
      <c r="F131" s="1740">
        <f>IFERROR(F128/F$100,0)</f>
        <v>0</v>
      </c>
      <c r="G131" s="1627">
        <f t="shared" ref="G131:Q131" si="47">IFERROR(IF(ISNUMBER(G129),G129/G$100,IF(ISNUMBER(G130),G130,F131))*(ISNUMBER(G$23)*1),0)</f>
        <v>0</v>
      </c>
      <c r="H131" s="1627">
        <f t="shared" si="47"/>
        <v>0</v>
      </c>
      <c r="I131" s="1627">
        <f t="shared" si="47"/>
        <v>0</v>
      </c>
      <c r="J131" s="1627">
        <f t="shared" si="47"/>
        <v>0</v>
      </c>
      <c r="K131" s="1627">
        <f t="shared" si="47"/>
        <v>0</v>
      </c>
      <c r="L131" s="1627">
        <f t="shared" si="47"/>
        <v>0</v>
      </c>
      <c r="M131" s="1627">
        <f t="shared" si="47"/>
        <v>0</v>
      </c>
      <c r="N131" s="1627">
        <f t="shared" si="47"/>
        <v>0</v>
      </c>
      <c r="O131" s="1627">
        <f t="shared" si="47"/>
        <v>0</v>
      </c>
      <c r="P131" s="1627">
        <f t="shared" si="47"/>
        <v>0</v>
      </c>
      <c r="Q131" s="1627">
        <f t="shared" si="47"/>
        <v>0</v>
      </c>
      <c r="R131" s="2060"/>
      <c r="T131" s="2060"/>
      <c r="U131" s="1510"/>
      <c r="V131" s="2060"/>
      <c r="W131" s="2060"/>
      <c r="X131" s="2060"/>
      <c r="Y131" s="2060"/>
      <c r="Z131" s="2060"/>
      <c r="AA131" s="2060"/>
      <c r="AB131" s="2060"/>
      <c r="AC131" s="2060"/>
      <c r="AD131" s="2060"/>
      <c r="AE131" s="2060"/>
      <c r="AF131" s="2060"/>
      <c r="AG131" s="2060"/>
      <c r="AH131" s="2060"/>
      <c r="AI131" s="2060"/>
      <c r="AJ131" s="2060"/>
      <c r="AK131" s="2060"/>
      <c r="AL131" s="2060"/>
      <c r="AM131" s="2060"/>
      <c r="AN131" s="2060"/>
      <c r="AO131" s="2060"/>
      <c r="AP131" s="2060"/>
      <c r="AQ131" s="2060"/>
      <c r="AR131" s="2060"/>
      <c r="AS131" s="2060"/>
    </row>
    <row r="132" spans="1:45" s="1525" customFormat="1" ht="13.9">
      <c r="A132" s="1510"/>
      <c r="B132" s="2020"/>
      <c r="C132" s="1530"/>
      <c r="E132" s="1505"/>
      <c r="F132" s="1806"/>
      <c r="G132" s="1627"/>
      <c r="H132" s="1627"/>
      <c r="I132" s="1627"/>
      <c r="J132" s="1627"/>
      <c r="K132" s="1627"/>
      <c r="L132" s="1627"/>
      <c r="M132" s="1627"/>
      <c r="N132" s="1627"/>
      <c r="O132" s="1627"/>
      <c r="P132" s="1627"/>
      <c r="Q132" s="1627"/>
      <c r="R132" s="2060"/>
      <c r="T132" s="2060"/>
      <c r="U132" s="1510"/>
      <c r="V132" s="2060"/>
      <c r="W132" s="2060"/>
      <c r="X132" s="2060"/>
      <c r="Y132" s="2060"/>
      <c r="Z132" s="2060"/>
      <c r="AA132" s="2060"/>
      <c r="AB132" s="2060"/>
      <c r="AC132" s="2060"/>
      <c r="AD132" s="2060"/>
      <c r="AE132" s="2060"/>
      <c r="AF132" s="2060"/>
      <c r="AG132" s="2060"/>
      <c r="AH132" s="2060"/>
      <c r="AI132" s="2060"/>
      <c r="AJ132" s="2060"/>
      <c r="AK132" s="2060"/>
      <c r="AL132" s="2060"/>
      <c r="AM132" s="2060"/>
      <c r="AN132" s="2060"/>
      <c r="AO132" s="2060"/>
      <c r="AP132" s="2060"/>
      <c r="AQ132" s="2060"/>
      <c r="AR132" s="2060"/>
      <c r="AS132" s="2060"/>
    </row>
    <row r="133" spans="1:45" s="1525" customFormat="1" ht="13.9">
      <c r="A133" s="1510"/>
      <c r="B133" s="2020"/>
      <c r="C133" s="2206" t="s">
        <v>982</v>
      </c>
      <c r="E133" s="328">
        <f>IF(StubY,'BAL SHEET Hist Input'!J16,'BAL SHEET Hist Input'!I16)</f>
        <v>0</v>
      </c>
      <c r="F133" s="1010">
        <f>IF(StubY,'BAL SHEET Hist Input'!K16,'BAL SHEET Hist Input'!J16)</f>
        <v>0</v>
      </c>
      <c r="G133" s="328">
        <f>IFERROR(G136*G$100,0)</f>
        <v>0</v>
      </c>
      <c r="H133" s="328">
        <f>IFERROR(H136*H$100,0)</f>
        <v>0</v>
      </c>
      <c r="I133" s="328">
        <f t="shared" ref="I133:Q133" si="48">IFERROR(I136*I$100,0)</f>
        <v>0</v>
      </c>
      <c r="J133" s="328">
        <f t="shared" si="48"/>
        <v>0</v>
      </c>
      <c r="K133" s="328">
        <f t="shared" si="48"/>
        <v>0</v>
      </c>
      <c r="L133" s="328">
        <f t="shared" si="48"/>
        <v>0</v>
      </c>
      <c r="M133" s="328">
        <f t="shared" si="48"/>
        <v>0</v>
      </c>
      <c r="N133" s="328">
        <f t="shared" si="48"/>
        <v>0</v>
      </c>
      <c r="O133" s="328">
        <f t="shared" si="48"/>
        <v>0</v>
      </c>
      <c r="P133" s="328">
        <f t="shared" si="48"/>
        <v>0</v>
      </c>
      <c r="Q133" s="328">
        <f t="shared" si="48"/>
        <v>0</v>
      </c>
      <c r="R133" s="2060"/>
      <c r="T133" s="2060"/>
      <c r="U133" s="1510"/>
      <c r="V133" s="2060"/>
      <c r="W133" s="2060"/>
      <c r="X133" s="2060"/>
      <c r="Y133" s="2060"/>
      <c r="Z133" s="2060"/>
      <c r="AA133" s="2060"/>
      <c r="AB133" s="2060"/>
      <c r="AC133" s="2060"/>
      <c r="AD133" s="2060"/>
      <c r="AE133" s="2060"/>
      <c r="AF133" s="2060"/>
      <c r="AG133" s="2060"/>
      <c r="AH133" s="2060"/>
      <c r="AI133" s="2060"/>
      <c r="AJ133" s="2060"/>
      <c r="AK133" s="2060"/>
      <c r="AL133" s="2060"/>
      <c r="AM133" s="2060"/>
      <c r="AN133" s="2060"/>
      <c r="AO133" s="2060"/>
      <c r="AP133" s="2060"/>
      <c r="AQ133" s="2060"/>
      <c r="AR133" s="2060"/>
      <c r="AS133" s="2060"/>
    </row>
    <row r="134" spans="1:45" s="1525" customFormat="1" ht="13.9">
      <c r="A134" s="1510"/>
      <c r="B134" s="2020"/>
      <c r="C134" s="304" t="s">
        <v>953</v>
      </c>
      <c r="E134" s="328"/>
      <c r="F134" s="1010"/>
      <c r="G134" s="1064"/>
      <c r="H134" s="1064"/>
      <c r="I134" s="1064"/>
      <c r="J134" s="1064"/>
      <c r="K134" s="1064"/>
      <c r="L134" s="1064"/>
      <c r="M134" s="1064"/>
      <c r="N134" s="1064"/>
      <c r="O134" s="1064"/>
      <c r="P134" s="1064"/>
      <c r="Q134" s="1064"/>
      <c r="R134" s="2060"/>
      <c r="T134" s="2060"/>
      <c r="U134" s="1510"/>
      <c r="V134" s="2060"/>
      <c r="W134" s="2060"/>
      <c r="X134" s="2060"/>
      <c r="Y134" s="2060"/>
      <c r="Z134" s="2060"/>
      <c r="AA134" s="2060"/>
      <c r="AB134" s="2060"/>
      <c r="AC134" s="2060"/>
      <c r="AD134" s="2060"/>
      <c r="AE134" s="2060"/>
      <c r="AF134" s="2060"/>
      <c r="AG134" s="2060"/>
      <c r="AH134" s="2060"/>
      <c r="AI134" s="2060"/>
      <c r="AJ134" s="2060"/>
      <c r="AK134" s="2060"/>
      <c r="AL134" s="2060"/>
      <c r="AM134" s="2060"/>
      <c r="AN134" s="2060"/>
      <c r="AO134" s="2060"/>
      <c r="AP134" s="2060"/>
      <c r="AQ134" s="2060"/>
      <c r="AR134" s="2060"/>
      <c r="AS134" s="2060"/>
    </row>
    <row r="135" spans="1:45" s="1525" customFormat="1" ht="13.9">
      <c r="A135" s="1510"/>
      <c r="B135" s="2020"/>
      <c r="C135" s="1380" t="s">
        <v>956</v>
      </c>
      <c r="E135" s="328"/>
      <c r="F135" s="1010"/>
      <c r="G135" s="6"/>
      <c r="H135" s="6"/>
      <c r="I135" s="6"/>
      <c r="J135" s="6"/>
      <c r="K135" s="6"/>
      <c r="L135" s="6"/>
      <c r="M135" s="6"/>
      <c r="N135" s="6"/>
      <c r="O135" s="6"/>
      <c r="P135" s="6"/>
      <c r="Q135" s="6"/>
      <c r="R135" s="2060"/>
      <c r="T135" s="2060"/>
      <c r="U135" s="1510"/>
      <c r="V135" s="2060"/>
      <c r="W135" s="2060"/>
      <c r="X135" s="2060"/>
      <c r="Y135" s="2060"/>
      <c r="Z135" s="2060"/>
      <c r="AA135" s="2060"/>
      <c r="AB135" s="2060"/>
      <c r="AC135" s="2060"/>
      <c r="AD135" s="2060"/>
      <c r="AE135" s="2060"/>
      <c r="AF135" s="2060"/>
      <c r="AG135" s="2060"/>
      <c r="AH135" s="2060"/>
      <c r="AI135" s="2060"/>
      <c r="AJ135" s="2060"/>
      <c r="AK135" s="2060"/>
      <c r="AL135" s="2060"/>
      <c r="AM135" s="2060"/>
      <c r="AN135" s="2060"/>
      <c r="AO135" s="2060"/>
      <c r="AP135" s="2060"/>
      <c r="AQ135" s="2060"/>
      <c r="AR135" s="2060"/>
      <c r="AS135" s="2060"/>
    </row>
    <row r="136" spans="1:45" s="1525" customFormat="1" ht="13.9">
      <c r="A136" s="1510"/>
      <c r="B136" s="2020"/>
      <c r="C136" s="304" t="s">
        <v>969</v>
      </c>
      <c r="E136" s="1364">
        <f>IFERROR(E133/E$100,0)</f>
        <v>0</v>
      </c>
      <c r="F136" s="1740">
        <f>IFERROR(F133/F$100,0)</f>
        <v>0</v>
      </c>
      <c r="G136" s="1627">
        <f t="shared" ref="G136:Q136" si="49">IFERROR(IF(ISNUMBER(G134),G134/G$100,IF(ISNUMBER(G135),G135,F136))*(ISNUMBER(G$23)*1),0)</f>
        <v>0</v>
      </c>
      <c r="H136" s="1627">
        <f t="shared" si="49"/>
        <v>0</v>
      </c>
      <c r="I136" s="1627">
        <f t="shared" si="49"/>
        <v>0</v>
      </c>
      <c r="J136" s="1627">
        <f t="shared" si="49"/>
        <v>0</v>
      </c>
      <c r="K136" s="1627">
        <f t="shared" si="49"/>
        <v>0</v>
      </c>
      <c r="L136" s="1627">
        <f t="shared" si="49"/>
        <v>0</v>
      </c>
      <c r="M136" s="1627">
        <f t="shared" si="49"/>
        <v>0</v>
      </c>
      <c r="N136" s="1627">
        <f t="shared" si="49"/>
        <v>0</v>
      </c>
      <c r="O136" s="1627">
        <f t="shared" si="49"/>
        <v>0</v>
      </c>
      <c r="P136" s="1627">
        <f t="shared" si="49"/>
        <v>0</v>
      </c>
      <c r="Q136" s="1627">
        <f t="shared" si="49"/>
        <v>0</v>
      </c>
      <c r="R136" s="2060"/>
      <c r="T136" s="2060"/>
      <c r="U136" s="1510"/>
      <c r="V136" s="2060"/>
      <c r="W136" s="2060"/>
      <c r="X136" s="2060"/>
      <c r="Y136" s="2060"/>
      <c r="Z136" s="2060"/>
      <c r="AA136" s="2060"/>
      <c r="AB136" s="2060"/>
      <c r="AC136" s="2060"/>
      <c r="AD136" s="2060"/>
      <c r="AE136" s="2060"/>
      <c r="AF136" s="2060"/>
      <c r="AG136" s="2060"/>
      <c r="AH136" s="2060"/>
      <c r="AI136" s="2060"/>
      <c r="AJ136" s="2060"/>
      <c r="AK136" s="2060"/>
      <c r="AL136" s="2060"/>
      <c r="AM136" s="2060"/>
      <c r="AN136" s="2060"/>
      <c r="AO136" s="2060"/>
      <c r="AP136" s="2060"/>
      <c r="AQ136" s="2060"/>
      <c r="AR136" s="2060"/>
      <c r="AS136" s="2060"/>
    </row>
    <row r="137" spans="1:45" s="1525" customFormat="1" ht="13.9">
      <c r="A137" s="1510"/>
      <c r="B137" s="2020"/>
      <c r="C137" s="1530"/>
      <c r="E137" s="1505"/>
      <c r="F137" s="1806"/>
      <c r="G137" s="1627"/>
      <c r="H137" s="1627"/>
      <c r="I137" s="1627"/>
      <c r="J137" s="1627"/>
      <c r="K137" s="1627"/>
      <c r="L137" s="1627"/>
      <c r="M137" s="1627"/>
      <c r="N137" s="1627"/>
      <c r="O137" s="1627"/>
      <c r="P137" s="1627"/>
      <c r="Q137" s="1627"/>
      <c r="R137" s="2060"/>
      <c r="T137" s="2060"/>
      <c r="U137" s="1510"/>
      <c r="V137" s="2060"/>
      <c r="W137" s="2060"/>
      <c r="X137" s="2060"/>
      <c r="Y137" s="2060"/>
      <c r="Z137" s="2060"/>
      <c r="AA137" s="2060"/>
      <c r="AB137" s="2060"/>
      <c r="AC137" s="2060"/>
      <c r="AD137" s="2060"/>
      <c r="AE137" s="2060"/>
      <c r="AF137" s="2060"/>
      <c r="AG137" s="2060"/>
      <c r="AH137" s="2060"/>
      <c r="AI137" s="2060"/>
      <c r="AJ137" s="2060"/>
      <c r="AK137" s="2060"/>
      <c r="AL137" s="2060"/>
      <c r="AM137" s="2060"/>
      <c r="AN137" s="2060"/>
      <c r="AO137" s="2060"/>
      <c r="AP137" s="2060"/>
      <c r="AQ137" s="2060"/>
      <c r="AR137" s="2060"/>
      <c r="AS137" s="2060"/>
    </row>
    <row r="138" spans="1:45" s="1525" customFormat="1" ht="13.9">
      <c r="A138" s="1510"/>
      <c r="B138" s="2020"/>
      <c r="C138" s="2206" t="s">
        <v>983</v>
      </c>
      <c r="E138" s="328">
        <f>IF(StubY,'BAL SHEET Hist Input'!J17,'BAL SHEET Hist Input'!I17)</f>
        <v>0</v>
      </c>
      <c r="F138" s="1010">
        <f>IF(StubY,'BAL SHEET Hist Input'!K17,'BAL SHEET Hist Input'!J17)</f>
        <v>0</v>
      </c>
      <c r="G138" s="328">
        <f>IFERROR(G141*G$100,0)</f>
        <v>0</v>
      </c>
      <c r="H138" s="328">
        <f>IFERROR(H141*H$100,0)</f>
        <v>0</v>
      </c>
      <c r="I138" s="328">
        <f t="shared" ref="I138:Q138" si="50">IFERROR(I141*I$100,0)</f>
        <v>0</v>
      </c>
      <c r="J138" s="328">
        <f t="shared" si="50"/>
        <v>0</v>
      </c>
      <c r="K138" s="328">
        <f t="shared" si="50"/>
        <v>0</v>
      </c>
      <c r="L138" s="328">
        <f t="shared" si="50"/>
        <v>0</v>
      </c>
      <c r="M138" s="328">
        <f t="shared" si="50"/>
        <v>0</v>
      </c>
      <c r="N138" s="328">
        <f t="shared" si="50"/>
        <v>0</v>
      </c>
      <c r="O138" s="328">
        <f t="shared" si="50"/>
        <v>0</v>
      </c>
      <c r="P138" s="328">
        <f t="shared" si="50"/>
        <v>0</v>
      </c>
      <c r="Q138" s="328">
        <f t="shared" si="50"/>
        <v>0</v>
      </c>
      <c r="R138" s="2060"/>
      <c r="T138" s="2060"/>
      <c r="U138" s="1510"/>
      <c r="V138" s="2060"/>
      <c r="W138" s="2060"/>
      <c r="X138" s="2060"/>
      <c r="Y138" s="2060"/>
      <c r="Z138" s="2060"/>
      <c r="AA138" s="2060"/>
      <c r="AB138" s="2060"/>
      <c r="AC138" s="2060"/>
      <c r="AD138" s="2060"/>
      <c r="AE138" s="2060"/>
      <c r="AF138" s="2060"/>
      <c r="AG138" s="2060"/>
      <c r="AH138" s="2060"/>
      <c r="AI138" s="2060"/>
      <c r="AJ138" s="2060"/>
      <c r="AK138" s="2060"/>
      <c r="AL138" s="2060"/>
      <c r="AM138" s="2060"/>
      <c r="AN138" s="2060"/>
      <c r="AO138" s="2060"/>
      <c r="AP138" s="2060"/>
      <c r="AQ138" s="2060"/>
      <c r="AR138" s="2060"/>
      <c r="AS138" s="2060"/>
    </row>
    <row r="139" spans="1:45" s="1525" customFormat="1" ht="13.9">
      <c r="A139" s="1510"/>
      <c r="B139" s="2020"/>
      <c r="C139" s="304" t="s">
        <v>953</v>
      </c>
      <c r="E139" s="328"/>
      <c r="F139" s="1010"/>
      <c r="G139" s="1064"/>
      <c r="H139" s="1064"/>
      <c r="I139" s="1064"/>
      <c r="J139" s="1064"/>
      <c r="K139" s="1064"/>
      <c r="L139" s="1064"/>
      <c r="M139" s="1064"/>
      <c r="N139" s="1064"/>
      <c r="O139" s="1064"/>
      <c r="P139" s="1064"/>
      <c r="Q139" s="1064"/>
      <c r="R139" s="2060"/>
      <c r="T139" s="2060"/>
      <c r="U139" s="1510"/>
      <c r="V139" s="2060"/>
      <c r="W139" s="2060"/>
      <c r="X139" s="2060"/>
      <c r="Y139" s="2060"/>
      <c r="Z139" s="2060"/>
      <c r="AA139" s="2060"/>
      <c r="AB139" s="2060"/>
      <c r="AC139" s="2060"/>
      <c r="AD139" s="2060"/>
      <c r="AE139" s="2060"/>
      <c r="AF139" s="2060"/>
      <c r="AG139" s="2060"/>
      <c r="AH139" s="2060"/>
      <c r="AI139" s="2060"/>
      <c r="AJ139" s="2060"/>
      <c r="AK139" s="2060"/>
      <c r="AL139" s="2060"/>
      <c r="AM139" s="2060"/>
      <c r="AN139" s="2060"/>
      <c r="AO139" s="2060"/>
      <c r="AP139" s="2060"/>
      <c r="AQ139" s="2060"/>
      <c r="AR139" s="2060"/>
      <c r="AS139" s="2060"/>
    </row>
    <row r="140" spans="1:45" s="1525" customFormat="1" ht="13.9">
      <c r="A140" s="1510"/>
      <c r="B140" s="2020"/>
      <c r="C140" s="1380" t="s">
        <v>956</v>
      </c>
      <c r="E140" s="328"/>
      <c r="F140" s="1010"/>
      <c r="G140" s="6"/>
      <c r="H140" s="6"/>
      <c r="I140" s="6"/>
      <c r="J140" s="6"/>
      <c r="K140" s="6"/>
      <c r="L140" s="6"/>
      <c r="M140" s="6"/>
      <c r="N140" s="6"/>
      <c r="O140" s="6"/>
      <c r="P140" s="6"/>
      <c r="Q140" s="6"/>
      <c r="R140" s="2060"/>
      <c r="T140" s="2060"/>
      <c r="U140" s="1510"/>
      <c r="V140" s="2060"/>
      <c r="W140" s="2060"/>
      <c r="X140" s="2060"/>
      <c r="Y140" s="2060"/>
      <c r="Z140" s="2060"/>
      <c r="AA140" s="2060"/>
      <c r="AB140" s="2060"/>
      <c r="AC140" s="2060"/>
      <c r="AD140" s="2060"/>
      <c r="AE140" s="2060"/>
      <c r="AF140" s="2060"/>
      <c r="AG140" s="2060"/>
      <c r="AH140" s="2060"/>
      <c r="AI140" s="2060"/>
      <c r="AJ140" s="2060"/>
      <c r="AK140" s="2060"/>
      <c r="AL140" s="2060"/>
      <c r="AM140" s="2060"/>
      <c r="AN140" s="2060"/>
      <c r="AO140" s="2060"/>
      <c r="AP140" s="2060"/>
      <c r="AQ140" s="2060"/>
      <c r="AR140" s="2060"/>
      <c r="AS140" s="2060"/>
    </row>
    <row r="141" spans="1:45" s="1525" customFormat="1" ht="13.9">
      <c r="A141" s="1510"/>
      <c r="B141" s="2020"/>
      <c r="C141" s="304" t="s">
        <v>969</v>
      </c>
      <c r="E141" s="1364">
        <f>IFERROR(E138/E$100,0)</f>
        <v>0</v>
      </c>
      <c r="F141" s="1740">
        <f>IFERROR(F138/F$100,0)</f>
        <v>0</v>
      </c>
      <c r="G141" s="1627">
        <f t="shared" ref="G141:Q141" si="51">IFERROR(IF(ISNUMBER(G139),G139/G$100,IF(ISNUMBER(G140),G140,F141))*(ISNUMBER(G$23)*1),0)</f>
        <v>0</v>
      </c>
      <c r="H141" s="1627">
        <f t="shared" si="51"/>
        <v>0</v>
      </c>
      <c r="I141" s="1627">
        <f t="shared" si="51"/>
        <v>0</v>
      </c>
      <c r="J141" s="1627">
        <f t="shared" si="51"/>
        <v>0</v>
      </c>
      <c r="K141" s="1627">
        <f t="shared" si="51"/>
        <v>0</v>
      </c>
      <c r="L141" s="1627">
        <f t="shared" si="51"/>
        <v>0</v>
      </c>
      <c r="M141" s="1627">
        <f t="shared" si="51"/>
        <v>0</v>
      </c>
      <c r="N141" s="1627">
        <f t="shared" si="51"/>
        <v>0</v>
      </c>
      <c r="O141" s="1627">
        <f t="shared" si="51"/>
        <v>0</v>
      </c>
      <c r="P141" s="1627">
        <f t="shared" si="51"/>
        <v>0</v>
      </c>
      <c r="Q141" s="1627">
        <f t="shared" si="51"/>
        <v>0</v>
      </c>
      <c r="R141" s="2060"/>
      <c r="T141" s="2060"/>
      <c r="U141" s="1510"/>
      <c r="V141" s="2060"/>
      <c r="W141" s="2060"/>
      <c r="X141" s="2060"/>
      <c r="Y141" s="2060"/>
      <c r="Z141" s="2060"/>
      <c r="AA141" s="2060"/>
      <c r="AB141" s="2060"/>
      <c r="AC141" s="2060"/>
      <c r="AD141" s="2060"/>
      <c r="AE141" s="2060"/>
      <c r="AF141" s="2060"/>
      <c r="AG141" s="2060"/>
      <c r="AH141" s="2060"/>
      <c r="AI141" s="2060"/>
      <c r="AJ141" s="2060"/>
      <c r="AK141" s="2060"/>
      <c r="AL141" s="2060"/>
      <c r="AM141" s="2060"/>
      <c r="AN141" s="2060"/>
      <c r="AO141" s="2060"/>
      <c r="AP141" s="2060"/>
      <c r="AQ141" s="2060"/>
      <c r="AR141" s="2060"/>
      <c r="AS141" s="2060"/>
    </row>
    <row r="142" spans="1:45" s="1525" customFormat="1" ht="13.9">
      <c r="A142" s="1510"/>
      <c r="B142" s="2020"/>
      <c r="C142" s="1530"/>
      <c r="E142" s="1505"/>
      <c r="F142" s="1806"/>
      <c r="G142" s="1627"/>
      <c r="H142" s="1627"/>
      <c r="I142" s="1627"/>
      <c r="J142" s="1627"/>
      <c r="K142" s="1627"/>
      <c r="L142" s="1627"/>
      <c r="M142" s="1627"/>
      <c r="N142" s="1627"/>
      <c r="O142" s="1627"/>
      <c r="P142" s="1627"/>
      <c r="Q142" s="1627"/>
      <c r="R142" s="2060"/>
      <c r="T142" s="2060"/>
      <c r="U142" s="1510"/>
      <c r="V142" s="2060"/>
      <c r="W142" s="2060"/>
      <c r="X142" s="2060"/>
      <c r="Y142" s="2060"/>
      <c r="Z142" s="2060"/>
      <c r="AA142" s="2060"/>
      <c r="AB142" s="2060"/>
      <c r="AC142" s="2060"/>
      <c r="AD142" s="2060"/>
      <c r="AE142" s="2060"/>
      <c r="AF142" s="2060"/>
      <c r="AG142" s="2060"/>
      <c r="AH142" s="2060"/>
      <c r="AI142" s="2060"/>
      <c r="AJ142" s="2060"/>
      <c r="AK142" s="2060"/>
      <c r="AL142" s="2060"/>
      <c r="AM142" s="2060"/>
      <c r="AN142" s="2060"/>
      <c r="AO142" s="2060"/>
      <c r="AP142" s="2060"/>
      <c r="AQ142" s="2060"/>
      <c r="AR142" s="2060"/>
      <c r="AS142" s="2060"/>
    </row>
    <row r="143" spans="1:45" s="1525" customFormat="1" ht="13.9">
      <c r="A143" s="1510"/>
      <c r="B143" s="2020"/>
      <c r="C143" s="2206" t="s">
        <v>984</v>
      </c>
      <c r="E143" s="328">
        <f>IF(StubY,'BAL SHEET Hist Input'!J18,'BAL SHEET Hist Input'!I18)</f>
        <v>0</v>
      </c>
      <c r="F143" s="1010">
        <f>IF(StubY,'BAL SHEET Hist Input'!K18,'BAL SHEET Hist Input'!J18)</f>
        <v>0</v>
      </c>
      <c r="G143" s="328">
        <f>IFERROR(G146*G$100,0)</f>
        <v>0</v>
      </c>
      <c r="H143" s="328">
        <f>IFERROR(H146*H$100,0)</f>
        <v>0</v>
      </c>
      <c r="I143" s="328">
        <f t="shared" ref="I143:Q143" si="52">IFERROR(I146*I$100,0)</f>
        <v>0</v>
      </c>
      <c r="J143" s="328">
        <f t="shared" si="52"/>
        <v>0</v>
      </c>
      <c r="K143" s="328">
        <f t="shared" si="52"/>
        <v>0</v>
      </c>
      <c r="L143" s="328">
        <f t="shared" si="52"/>
        <v>0</v>
      </c>
      <c r="M143" s="328">
        <f t="shared" si="52"/>
        <v>0</v>
      </c>
      <c r="N143" s="328">
        <f t="shared" si="52"/>
        <v>0</v>
      </c>
      <c r="O143" s="328">
        <f t="shared" si="52"/>
        <v>0</v>
      </c>
      <c r="P143" s="328">
        <f t="shared" si="52"/>
        <v>0</v>
      </c>
      <c r="Q143" s="328">
        <f t="shared" si="52"/>
        <v>0</v>
      </c>
      <c r="R143" s="2060"/>
      <c r="T143" s="2060"/>
      <c r="U143" s="1510"/>
      <c r="V143" s="2060"/>
      <c r="W143" s="2060"/>
      <c r="X143" s="2060"/>
      <c r="Y143" s="2060"/>
      <c r="Z143" s="2060"/>
      <c r="AA143" s="2060"/>
      <c r="AB143" s="2060"/>
      <c r="AC143" s="2060"/>
      <c r="AD143" s="2060"/>
      <c r="AE143" s="2060"/>
      <c r="AF143" s="2060"/>
      <c r="AG143" s="2060"/>
      <c r="AH143" s="2060"/>
      <c r="AI143" s="2060"/>
      <c r="AJ143" s="2060"/>
      <c r="AK143" s="2060"/>
      <c r="AL143" s="2060"/>
      <c r="AM143" s="2060"/>
      <c r="AN143" s="2060"/>
      <c r="AO143" s="2060"/>
      <c r="AP143" s="2060"/>
      <c r="AQ143" s="2060"/>
      <c r="AR143" s="2060"/>
      <c r="AS143" s="2060"/>
    </row>
    <row r="144" spans="1:45" s="1525" customFormat="1" ht="13.9">
      <c r="A144" s="1510"/>
      <c r="B144" s="2020"/>
      <c r="C144" s="304" t="s">
        <v>953</v>
      </c>
      <c r="E144" s="328"/>
      <c r="F144" s="1010"/>
      <c r="G144" s="1064"/>
      <c r="H144" s="1064"/>
      <c r="I144" s="1064"/>
      <c r="J144" s="1064"/>
      <c r="K144" s="1064"/>
      <c r="L144" s="1064"/>
      <c r="M144" s="1064"/>
      <c r="N144" s="1064"/>
      <c r="O144" s="1064"/>
      <c r="P144" s="1064"/>
      <c r="Q144" s="1064"/>
      <c r="R144" s="2060"/>
      <c r="T144" s="2060"/>
      <c r="U144" s="1510"/>
      <c r="V144" s="2060"/>
      <c r="W144" s="2060"/>
      <c r="X144" s="2060"/>
      <c r="Y144" s="2060"/>
      <c r="Z144" s="2060"/>
      <c r="AA144" s="2060"/>
      <c r="AB144" s="2060"/>
      <c r="AC144" s="2060"/>
      <c r="AD144" s="2060"/>
      <c r="AE144" s="2060"/>
      <c r="AF144" s="2060"/>
      <c r="AG144" s="2060"/>
      <c r="AH144" s="2060"/>
      <c r="AI144" s="2060"/>
      <c r="AJ144" s="2060"/>
      <c r="AK144" s="2060"/>
      <c r="AL144" s="2060"/>
      <c r="AM144" s="2060"/>
      <c r="AN144" s="2060"/>
      <c r="AO144" s="2060"/>
      <c r="AP144" s="2060"/>
      <c r="AQ144" s="2060"/>
      <c r="AR144" s="2060"/>
      <c r="AS144" s="2060"/>
    </row>
    <row r="145" spans="1:45" s="1525" customFormat="1" ht="13.9">
      <c r="A145" s="1510"/>
      <c r="B145" s="2020"/>
      <c r="C145" s="1380" t="s">
        <v>956</v>
      </c>
      <c r="E145" s="328"/>
      <c r="F145" s="1010"/>
      <c r="G145" s="6"/>
      <c r="H145" s="6"/>
      <c r="I145" s="6"/>
      <c r="J145" s="6"/>
      <c r="K145" s="6"/>
      <c r="L145" s="6"/>
      <c r="M145" s="6"/>
      <c r="N145" s="6"/>
      <c r="O145" s="6"/>
      <c r="P145" s="6"/>
      <c r="Q145" s="6"/>
      <c r="R145" s="2060"/>
      <c r="T145" s="2060"/>
      <c r="U145" s="1510"/>
      <c r="V145" s="2060"/>
      <c r="W145" s="2060"/>
      <c r="X145" s="2060"/>
      <c r="Y145" s="2060"/>
      <c r="Z145" s="2060"/>
      <c r="AA145" s="2060"/>
      <c r="AB145" s="2060"/>
      <c r="AC145" s="2060"/>
      <c r="AD145" s="2060"/>
      <c r="AE145" s="2060"/>
      <c r="AF145" s="2060"/>
      <c r="AG145" s="2060"/>
      <c r="AH145" s="2060"/>
      <c r="AI145" s="2060"/>
      <c r="AJ145" s="2060"/>
      <c r="AK145" s="2060"/>
      <c r="AL145" s="2060"/>
      <c r="AM145" s="2060"/>
      <c r="AN145" s="2060"/>
      <c r="AO145" s="2060"/>
      <c r="AP145" s="2060"/>
      <c r="AQ145" s="2060"/>
      <c r="AR145" s="2060"/>
      <c r="AS145" s="2060"/>
    </row>
    <row r="146" spans="1:45" s="1525" customFormat="1" ht="13.9">
      <c r="A146" s="1510"/>
      <c r="B146" s="2020"/>
      <c r="C146" s="304" t="s">
        <v>969</v>
      </c>
      <c r="E146" s="1364">
        <f>IFERROR(E143/E$100,0)</f>
        <v>0</v>
      </c>
      <c r="F146" s="1740">
        <f>IFERROR(F143/F$100,0)</f>
        <v>0</v>
      </c>
      <c r="G146" s="1627">
        <f t="shared" ref="G146:Q146" si="53">IFERROR(IF(ISNUMBER(G144),G144/G$100,IF(ISNUMBER(G145),G145,F146))*(ISNUMBER(G$23)*1),0)</f>
        <v>0</v>
      </c>
      <c r="H146" s="1627">
        <f t="shared" si="53"/>
        <v>0</v>
      </c>
      <c r="I146" s="1627">
        <f t="shared" si="53"/>
        <v>0</v>
      </c>
      <c r="J146" s="1627">
        <f t="shared" si="53"/>
        <v>0</v>
      </c>
      <c r="K146" s="1627">
        <f t="shared" si="53"/>
        <v>0</v>
      </c>
      <c r="L146" s="1627">
        <f t="shared" si="53"/>
        <v>0</v>
      </c>
      <c r="M146" s="1627">
        <f t="shared" si="53"/>
        <v>0</v>
      </c>
      <c r="N146" s="1627">
        <f t="shared" si="53"/>
        <v>0</v>
      </c>
      <c r="O146" s="1627">
        <f t="shared" si="53"/>
        <v>0</v>
      </c>
      <c r="P146" s="1627">
        <f t="shared" si="53"/>
        <v>0</v>
      </c>
      <c r="Q146" s="1627">
        <f t="shared" si="53"/>
        <v>0</v>
      </c>
      <c r="R146" s="2060"/>
      <c r="T146" s="2060"/>
      <c r="U146" s="1510"/>
      <c r="V146" s="2060"/>
      <c r="W146" s="2060"/>
      <c r="X146" s="2060"/>
      <c r="Y146" s="2060"/>
      <c r="Z146" s="2060"/>
      <c r="AA146" s="2060"/>
      <c r="AB146" s="2060"/>
      <c r="AC146" s="2060"/>
      <c r="AD146" s="2060"/>
      <c r="AE146" s="2060"/>
      <c r="AF146" s="2060"/>
      <c r="AG146" s="2060"/>
      <c r="AH146" s="2060"/>
      <c r="AI146" s="2060"/>
      <c r="AJ146" s="2060"/>
      <c r="AK146" s="2060"/>
      <c r="AL146" s="2060"/>
      <c r="AM146" s="2060"/>
      <c r="AN146" s="2060"/>
      <c r="AO146" s="2060"/>
      <c r="AP146" s="2060"/>
      <c r="AQ146" s="2060"/>
      <c r="AR146" s="2060"/>
      <c r="AS146" s="2060"/>
    </row>
    <row r="147" spans="1:45" s="1525" customFormat="1" ht="13.9">
      <c r="A147" s="1510"/>
      <c r="B147" s="2020"/>
      <c r="C147" s="845" t="s">
        <v>980</v>
      </c>
      <c r="D147" s="1999"/>
      <c r="E147" s="2002">
        <f>E108+E113+E118+E123+E128+E133+E143</f>
        <v>0</v>
      </c>
      <c r="F147" s="1012">
        <f>F108+F113+F118+F123+F128+F133+F143</f>
        <v>0</v>
      </c>
      <c r="G147" s="2005">
        <f>G105+G108+G113+G118+G123+G128+G133+G143</f>
        <v>0</v>
      </c>
      <c r="H147" s="2005">
        <f t="shared" ref="H147:Q147" si="54">H105+H108+H113+H118+H123+H128+H133+H143</f>
        <v>0</v>
      </c>
      <c r="I147" s="2005">
        <f t="shared" si="54"/>
        <v>0</v>
      </c>
      <c r="J147" s="2005">
        <f t="shared" si="54"/>
        <v>0</v>
      </c>
      <c r="K147" s="2005">
        <f t="shared" si="54"/>
        <v>0</v>
      </c>
      <c r="L147" s="2005">
        <f t="shared" si="54"/>
        <v>0</v>
      </c>
      <c r="M147" s="2005">
        <f t="shared" si="54"/>
        <v>0</v>
      </c>
      <c r="N147" s="2005">
        <f t="shared" si="54"/>
        <v>0</v>
      </c>
      <c r="O147" s="2005">
        <f t="shared" si="54"/>
        <v>0</v>
      </c>
      <c r="P147" s="2005">
        <f t="shared" si="54"/>
        <v>0</v>
      </c>
      <c r="Q147" s="2005">
        <f t="shared" si="54"/>
        <v>0</v>
      </c>
      <c r="R147" s="2060"/>
      <c r="T147" s="2060"/>
      <c r="U147" s="1510"/>
      <c r="V147" s="2060"/>
      <c r="W147" s="2060"/>
      <c r="X147" s="2060"/>
      <c r="Y147" s="2060"/>
      <c r="Z147" s="2060"/>
      <c r="AA147" s="2060"/>
      <c r="AB147" s="2060"/>
      <c r="AC147" s="2060"/>
      <c r="AD147" s="2060"/>
      <c r="AE147" s="2060"/>
      <c r="AF147" s="2060"/>
      <c r="AG147" s="2060"/>
      <c r="AH147" s="2060"/>
      <c r="AI147" s="2060"/>
      <c r="AJ147" s="2060"/>
      <c r="AK147" s="2060"/>
      <c r="AL147" s="2060"/>
      <c r="AM147" s="2060"/>
      <c r="AN147" s="2060"/>
      <c r="AO147" s="2060"/>
      <c r="AP147" s="2060"/>
      <c r="AQ147" s="2060"/>
      <c r="AR147" s="2060"/>
      <c r="AS147" s="2060"/>
    </row>
    <row r="148" spans="1:45" s="1525" customFormat="1" ht="13.9">
      <c r="A148" s="1510"/>
      <c r="B148" s="2020"/>
      <c r="C148" s="1995"/>
      <c r="E148" s="1505"/>
      <c r="F148" s="1806"/>
      <c r="R148" s="2060"/>
      <c r="T148" s="2060"/>
      <c r="U148" s="1510"/>
      <c r="V148" s="2060"/>
      <c r="W148" s="2060"/>
      <c r="X148" s="2060"/>
      <c r="Y148" s="2060"/>
      <c r="Z148" s="2060"/>
      <c r="AA148" s="2060"/>
      <c r="AB148" s="2060"/>
      <c r="AC148" s="2060"/>
      <c r="AD148" s="2060"/>
      <c r="AE148" s="2060"/>
      <c r="AF148" s="2060"/>
      <c r="AG148" s="2060"/>
      <c r="AH148" s="2060"/>
      <c r="AI148" s="2060"/>
      <c r="AJ148" s="2060"/>
      <c r="AK148" s="2060"/>
      <c r="AL148" s="2060"/>
      <c r="AM148" s="2060"/>
      <c r="AN148" s="2060"/>
      <c r="AO148" s="2060"/>
      <c r="AP148" s="2060"/>
      <c r="AQ148" s="2060"/>
      <c r="AR148" s="2060"/>
      <c r="AS148" s="2060"/>
    </row>
    <row r="149" spans="1:45" s="1525" customFormat="1" ht="13.9">
      <c r="A149" s="1510"/>
      <c r="B149" s="2020"/>
      <c r="C149" s="2019" t="s">
        <v>985</v>
      </c>
      <c r="E149" s="1505"/>
      <c r="F149" s="1806"/>
      <c r="G149" s="1525">
        <f>F152*(ISNUMBER(G$23)*1)</f>
        <v>0</v>
      </c>
      <c r="H149" s="1525">
        <f t="shared" ref="H149:Q149" ca="1" si="55">G152*(ISNUMBER(H$23)*1)</f>
        <v>0</v>
      </c>
      <c r="I149" s="1525">
        <f t="shared" ca="1" si="55"/>
        <v>0</v>
      </c>
      <c r="J149" s="1525">
        <f t="shared" ca="1" si="55"/>
        <v>0</v>
      </c>
      <c r="K149" s="1525">
        <f t="shared" ca="1" si="55"/>
        <v>0</v>
      </c>
      <c r="L149" s="1525">
        <f t="shared" ca="1" si="55"/>
        <v>0</v>
      </c>
      <c r="M149" s="1525">
        <f t="shared" ca="1" si="55"/>
        <v>0</v>
      </c>
      <c r="N149" s="1525">
        <f t="shared" ca="1" si="55"/>
        <v>0</v>
      </c>
      <c r="O149" s="1525">
        <f t="shared" ca="1" si="55"/>
        <v>0</v>
      </c>
      <c r="P149" s="1525">
        <f t="shared" ca="1" si="55"/>
        <v>0</v>
      </c>
      <c r="Q149" s="1525">
        <f t="shared" ca="1" si="55"/>
        <v>0</v>
      </c>
      <c r="R149" s="2060"/>
      <c r="T149" s="2060"/>
      <c r="U149" s="1510"/>
      <c r="V149" s="2060"/>
      <c r="W149" s="2060"/>
      <c r="X149" s="2060"/>
      <c r="Y149" s="2060"/>
      <c r="Z149" s="2060"/>
      <c r="AA149" s="2060"/>
      <c r="AB149" s="2060"/>
      <c r="AC149" s="2060"/>
      <c r="AD149" s="2060"/>
      <c r="AE149" s="2060"/>
      <c r="AF149" s="2060"/>
      <c r="AG149" s="2060"/>
      <c r="AH149" s="2060"/>
      <c r="AI149" s="2060"/>
      <c r="AJ149" s="2060"/>
      <c r="AK149" s="2060"/>
      <c r="AL149" s="2060"/>
      <c r="AM149" s="2060"/>
      <c r="AN149" s="2060"/>
      <c r="AO149" s="2060"/>
      <c r="AP149" s="2060"/>
      <c r="AQ149" s="2060"/>
      <c r="AR149" s="2060"/>
      <c r="AS149" s="2060"/>
    </row>
    <row r="150" spans="1:45" s="1525" customFormat="1" ht="13.9">
      <c r="A150" s="1510"/>
      <c r="B150" s="2020"/>
      <c r="C150" s="2019" t="s">
        <v>986</v>
      </c>
      <c r="E150" s="1505"/>
      <c r="F150" s="1806"/>
      <c r="G150" s="1525">
        <f t="shared" ref="G150:Q150" si="56">G95</f>
        <v>0</v>
      </c>
      <c r="H150" s="1525">
        <f t="shared" si="56"/>
        <v>0</v>
      </c>
      <c r="I150" s="1525">
        <f t="shared" si="56"/>
        <v>0</v>
      </c>
      <c r="J150" s="1525">
        <f t="shared" si="56"/>
        <v>0</v>
      </c>
      <c r="K150" s="1525">
        <f t="shared" si="56"/>
        <v>0</v>
      </c>
      <c r="L150" s="1525">
        <f t="shared" si="56"/>
        <v>0</v>
      </c>
      <c r="M150" s="1525">
        <f t="shared" si="56"/>
        <v>0</v>
      </c>
      <c r="N150" s="1525">
        <f t="shared" si="56"/>
        <v>0</v>
      </c>
      <c r="O150" s="1525">
        <f t="shared" si="56"/>
        <v>0</v>
      </c>
      <c r="P150" s="1525">
        <f t="shared" si="56"/>
        <v>0</v>
      </c>
      <c r="Q150" s="1525">
        <f t="shared" si="56"/>
        <v>0</v>
      </c>
      <c r="R150" s="2060"/>
      <c r="T150" s="2060"/>
      <c r="U150" s="1510"/>
      <c r="V150" s="2060"/>
      <c r="W150" s="2060"/>
      <c r="X150" s="2060"/>
      <c r="Y150" s="2060"/>
      <c r="Z150" s="2060"/>
      <c r="AA150" s="2060"/>
      <c r="AB150" s="2060"/>
      <c r="AC150" s="2060"/>
      <c r="AD150" s="2060"/>
      <c r="AE150" s="2060"/>
      <c r="AF150" s="2060"/>
      <c r="AG150" s="2060"/>
      <c r="AH150" s="2060"/>
      <c r="AI150" s="2060"/>
      <c r="AJ150" s="2060"/>
      <c r="AK150" s="2060"/>
      <c r="AL150" s="2060"/>
      <c r="AM150" s="2060"/>
      <c r="AN150" s="2060"/>
      <c r="AO150" s="2060"/>
      <c r="AP150" s="2060"/>
      <c r="AQ150" s="2060"/>
      <c r="AR150" s="2060"/>
      <c r="AS150" s="2060"/>
    </row>
    <row r="151" spans="1:45" s="1525" customFormat="1" ht="13.9">
      <c r="A151" s="1510"/>
      <c r="B151" s="2020"/>
      <c r="C151" s="2019" t="s">
        <v>987</v>
      </c>
      <c r="E151" s="1505"/>
      <c r="F151" s="1806"/>
      <c r="G151" s="1525">
        <f t="shared" ref="G151:Q151" ca="1" si="57">G75</f>
        <v>0</v>
      </c>
      <c r="H151" s="1525">
        <f t="shared" ca="1" si="57"/>
        <v>0</v>
      </c>
      <c r="I151" s="1525">
        <f t="shared" ca="1" si="57"/>
        <v>0</v>
      </c>
      <c r="J151" s="1525">
        <f t="shared" ca="1" si="57"/>
        <v>0</v>
      </c>
      <c r="K151" s="1525">
        <f t="shared" ca="1" si="57"/>
        <v>0</v>
      </c>
      <c r="L151" s="1525">
        <f t="shared" ca="1" si="57"/>
        <v>0</v>
      </c>
      <c r="M151" s="1525">
        <f t="shared" ca="1" si="57"/>
        <v>0</v>
      </c>
      <c r="N151" s="1525">
        <f t="shared" ca="1" si="57"/>
        <v>0</v>
      </c>
      <c r="O151" s="1525">
        <f t="shared" ca="1" si="57"/>
        <v>0</v>
      </c>
      <c r="P151" s="1525">
        <f t="shared" ca="1" si="57"/>
        <v>0</v>
      </c>
      <c r="Q151" s="1525">
        <f t="shared" ca="1" si="57"/>
        <v>0</v>
      </c>
      <c r="R151" s="2060"/>
      <c r="T151" s="2060"/>
      <c r="U151" s="1510"/>
      <c r="V151" s="2060"/>
      <c r="W151" s="2060"/>
      <c r="X151" s="2060"/>
      <c r="Y151" s="2060"/>
      <c r="Z151" s="2060"/>
      <c r="AA151" s="2060"/>
      <c r="AB151" s="2060"/>
      <c r="AC151" s="2060"/>
      <c r="AD151" s="2060"/>
      <c r="AE151" s="2060"/>
      <c r="AF151" s="2060"/>
      <c r="AG151" s="2060"/>
      <c r="AH151" s="2060"/>
      <c r="AI151" s="2060"/>
      <c r="AJ151" s="2060"/>
      <c r="AK151" s="2060"/>
      <c r="AL151" s="2060"/>
      <c r="AM151" s="2060"/>
      <c r="AN151" s="2060"/>
      <c r="AO151" s="2060"/>
      <c r="AP151" s="2060"/>
      <c r="AQ151" s="2060"/>
      <c r="AR151" s="2060"/>
      <c r="AS151" s="2060"/>
    </row>
    <row r="152" spans="1:45" s="1525" customFormat="1" ht="13.9">
      <c r="A152" s="1510"/>
      <c r="B152" s="2020"/>
      <c r="C152" s="1530" t="s">
        <v>988</v>
      </c>
      <c r="E152" s="328">
        <f>IF(StubY,'BAL SHEET Hist Input'!J20,'BAL SHEET Hist Input'!I20)</f>
        <v>0</v>
      </c>
      <c r="F152" s="1010">
        <f>IF(StubY,'BAL SHEET Hist Input'!K20,'BAL SHEET Hist Input'!J20)</f>
        <v>0</v>
      </c>
      <c r="G152" s="1525">
        <f ca="1">SUM(G149:G151)</f>
        <v>0</v>
      </c>
      <c r="H152" s="1525">
        <f t="shared" ref="H152:Q152" ca="1" si="58">SUM(H149:H151)</f>
        <v>0</v>
      </c>
      <c r="I152" s="1525">
        <f t="shared" ca="1" si="58"/>
        <v>0</v>
      </c>
      <c r="J152" s="1525">
        <f t="shared" ca="1" si="58"/>
        <v>0</v>
      </c>
      <c r="K152" s="1525">
        <f t="shared" ca="1" si="58"/>
        <v>0</v>
      </c>
      <c r="L152" s="1525">
        <f t="shared" ca="1" si="58"/>
        <v>0</v>
      </c>
      <c r="M152" s="1525">
        <f t="shared" ca="1" si="58"/>
        <v>0</v>
      </c>
      <c r="N152" s="1525">
        <f t="shared" ca="1" si="58"/>
        <v>0</v>
      </c>
      <c r="O152" s="1525">
        <f t="shared" ca="1" si="58"/>
        <v>0</v>
      </c>
      <c r="P152" s="1525">
        <f t="shared" ca="1" si="58"/>
        <v>0</v>
      </c>
      <c r="Q152" s="1525">
        <f t="shared" ca="1" si="58"/>
        <v>0</v>
      </c>
      <c r="R152" s="2060"/>
      <c r="T152" s="2060"/>
      <c r="U152" s="1510"/>
      <c r="V152" s="2060"/>
      <c r="W152" s="2060"/>
      <c r="X152" s="2060"/>
      <c r="Y152" s="2060"/>
      <c r="Z152" s="2060"/>
      <c r="AA152" s="2060"/>
      <c r="AB152" s="2060"/>
      <c r="AC152" s="2060"/>
      <c r="AD152" s="2060"/>
      <c r="AE152" s="2060"/>
      <c r="AF152" s="2060"/>
      <c r="AG152" s="2060"/>
      <c r="AH152" s="2060"/>
      <c r="AI152" s="2060"/>
      <c r="AJ152" s="2060"/>
      <c r="AK152" s="2060"/>
      <c r="AL152" s="2060"/>
      <c r="AM152" s="2060"/>
      <c r="AN152" s="2060"/>
      <c r="AO152" s="2060"/>
      <c r="AP152" s="2060"/>
      <c r="AQ152" s="2060"/>
      <c r="AR152" s="2060"/>
      <c r="AS152" s="2060"/>
    </row>
    <row r="153" spans="1:45" s="1525" customFormat="1" ht="13.9">
      <c r="A153" s="1510"/>
      <c r="B153" s="2020"/>
      <c r="C153" s="1530"/>
      <c r="E153" s="1505"/>
      <c r="F153" s="1806"/>
      <c r="R153" s="2060"/>
      <c r="T153" s="2060"/>
      <c r="U153" s="1510"/>
      <c r="V153" s="2060"/>
      <c r="W153" s="2060"/>
      <c r="X153" s="2060"/>
      <c r="Y153" s="2060"/>
      <c r="Z153" s="2060"/>
      <c r="AA153" s="2060"/>
      <c r="AB153" s="2060"/>
      <c r="AC153" s="2060"/>
      <c r="AD153" s="2060"/>
      <c r="AE153" s="2060"/>
      <c r="AF153" s="2060"/>
      <c r="AG153" s="2060"/>
      <c r="AH153" s="2060"/>
      <c r="AI153" s="2060"/>
      <c r="AJ153" s="2060"/>
      <c r="AK153" s="2060"/>
      <c r="AL153" s="2060"/>
      <c r="AM153" s="2060"/>
      <c r="AN153" s="2060"/>
      <c r="AO153" s="2060"/>
      <c r="AP153" s="2060"/>
      <c r="AQ153" s="2060"/>
      <c r="AR153" s="2060"/>
      <c r="AS153" s="2060"/>
    </row>
    <row r="154" spans="1:45" s="1525" customFormat="1" ht="13.9">
      <c r="A154" s="1510"/>
      <c r="B154" s="2020"/>
      <c r="C154" s="1539" t="str">
        <f>'BAL SHEET Hist Input'!C21</f>
        <v>Goodwill</v>
      </c>
      <c r="E154" s="328">
        <f>IF(StubY,'BAL SHEET Hist Input'!J21,'BAL SHEET Hist Input'!I21)</f>
        <v>0</v>
      </c>
      <c r="F154" s="1010">
        <f>IF(StubY,'BAL SHEET Hist Input'!K21,'BAL SHEET Hist Input'!J21)</f>
        <v>0</v>
      </c>
      <c r="G154" s="1525">
        <f t="shared" ref="G154:M154" si="59">F154*(ISNUMBER(G$23)*1)</f>
        <v>0</v>
      </c>
      <c r="H154" s="1525">
        <f t="shared" si="59"/>
        <v>0</v>
      </c>
      <c r="I154" s="1525">
        <f t="shared" si="59"/>
        <v>0</v>
      </c>
      <c r="J154" s="1525">
        <f t="shared" si="59"/>
        <v>0</v>
      </c>
      <c r="K154" s="1525">
        <f t="shared" si="59"/>
        <v>0</v>
      </c>
      <c r="L154" s="1525">
        <f t="shared" si="59"/>
        <v>0</v>
      </c>
      <c r="M154" s="1525">
        <f t="shared" si="59"/>
        <v>0</v>
      </c>
      <c r="N154" s="1525">
        <f>M154*(ISNUMBER(N$23)*1)</f>
        <v>0</v>
      </c>
      <c r="O154" s="1525">
        <f>N154*(ISNUMBER(O$23)*1)</f>
        <v>0</v>
      </c>
      <c r="P154" s="1525">
        <f>O154*(ISNUMBER(P$23)*1)</f>
        <v>0</v>
      </c>
      <c r="Q154" s="1525">
        <f>P154*(ISNUMBER(Q$23)*1)</f>
        <v>0</v>
      </c>
      <c r="R154" s="2060"/>
      <c r="T154" s="2060"/>
      <c r="U154" s="1510"/>
      <c r="V154" s="2060"/>
      <c r="W154" s="2060"/>
      <c r="X154" s="2060"/>
      <c r="Y154" s="2060"/>
      <c r="Z154" s="2060"/>
      <c r="AA154" s="2060"/>
      <c r="AB154" s="2060"/>
      <c r="AC154" s="2060"/>
      <c r="AD154" s="2060"/>
      <c r="AE154" s="2060"/>
      <c r="AF154" s="2060"/>
      <c r="AG154" s="2060"/>
      <c r="AH154" s="2060"/>
      <c r="AI154" s="2060"/>
      <c r="AJ154" s="2060"/>
      <c r="AK154" s="2060"/>
      <c r="AL154" s="2060"/>
      <c r="AM154" s="2060"/>
      <c r="AN154" s="2060"/>
      <c r="AO154" s="2060"/>
      <c r="AP154" s="2060"/>
      <c r="AQ154" s="2060"/>
      <c r="AR154" s="2060"/>
      <c r="AS154" s="2060"/>
    </row>
    <row r="155" spans="1:45" s="1525" customFormat="1" ht="13.9">
      <c r="A155" s="1510"/>
      <c r="B155" s="2020"/>
      <c r="C155" s="1530"/>
      <c r="E155" s="1505"/>
      <c r="F155" s="1806"/>
      <c r="R155" s="2060"/>
      <c r="T155" s="2060"/>
      <c r="U155" s="1510"/>
      <c r="V155" s="2060"/>
      <c r="W155" s="2060"/>
      <c r="X155" s="2060"/>
      <c r="Y155" s="2060"/>
      <c r="Z155" s="2060"/>
      <c r="AA155" s="2060"/>
      <c r="AB155" s="2060"/>
      <c r="AC155" s="2060"/>
      <c r="AD155" s="2060"/>
      <c r="AE155" s="2060"/>
      <c r="AF155" s="2060"/>
      <c r="AG155" s="2060"/>
      <c r="AH155" s="2060"/>
      <c r="AI155" s="2060"/>
      <c r="AJ155" s="2060"/>
      <c r="AK155" s="2060"/>
      <c r="AL155" s="2060"/>
      <c r="AM155" s="2060"/>
      <c r="AN155" s="2060"/>
      <c r="AO155" s="2060"/>
      <c r="AP155" s="2060"/>
      <c r="AQ155" s="2060"/>
      <c r="AR155" s="2060"/>
      <c r="AS155" s="2060"/>
    </row>
    <row r="156" spans="1:45" s="1525" customFormat="1" ht="13.9">
      <c r="A156" s="1510"/>
      <c r="B156" s="2020"/>
      <c r="C156" s="1539" t="str">
        <f>'BAL SHEET Hist Input'!C22</f>
        <v>Intangibles</v>
      </c>
      <c r="E156" s="328">
        <f>IF(StubY,'BAL SHEET Hist Input'!J22,'BAL SHEET Hist Input'!I22)</f>
        <v>0</v>
      </c>
      <c r="F156" s="1010">
        <f>IF(StubY,'BAL SHEET Hist Input'!K22,'BAL SHEET Hist Input'!J22)</f>
        <v>0</v>
      </c>
      <c r="G156" s="1525">
        <f t="shared" ref="G156:Q156" si="60">(F156+G77)*(ISNUMBER(G$23)*1)</f>
        <v>0</v>
      </c>
      <c r="H156" s="1525">
        <f t="shared" si="60"/>
        <v>0</v>
      </c>
      <c r="I156" s="1525">
        <f t="shared" si="60"/>
        <v>0</v>
      </c>
      <c r="J156" s="1525">
        <f t="shared" si="60"/>
        <v>0</v>
      </c>
      <c r="K156" s="1525">
        <f t="shared" si="60"/>
        <v>0</v>
      </c>
      <c r="L156" s="1525">
        <f t="shared" si="60"/>
        <v>0</v>
      </c>
      <c r="M156" s="1525">
        <f t="shared" si="60"/>
        <v>0</v>
      </c>
      <c r="N156" s="1525">
        <f t="shared" si="60"/>
        <v>0</v>
      </c>
      <c r="O156" s="1525">
        <f t="shared" si="60"/>
        <v>0</v>
      </c>
      <c r="P156" s="1525">
        <f t="shared" si="60"/>
        <v>0</v>
      </c>
      <c r="Q156" s="1525">
        <f t="shared" si="60"/>
        <v>0</v>
      </c>
      <c r="R156" s="2060"/>
      <c r="T156" s="2060"/>
      <c r="U156" s="1510"/>
      <c r="V156" s="2060"/>
      <c r="W156" s="2060"/>
      <c r="X156" s="2060"/>
      <c r="Y156" s="2060"/>
      <c r="Z156" s="2060"/>
      <c r="AA156" s="2060"/>
      <c r="AB156" s="2060"/>
      <c r="AC156" s="2060"/>
      <c r="AD156" s="2060"/>
      <c r="AE156" s="2060"/>
      <c r="AF156" s="2060"/>
      <c r="AG156" s="2060"/>
      <c r="AH156" s="2060"/>
      <c r="AI156" s="2060"/>
      <c r="AJ156" s="2060"/>
      <c r="AK156" s="2060"/>
      <c r="AL156" s="2060"/>
      <c r="AM156" s="2060"/>
      <c r="AN156" s="2060"/>
      <c r="AO156" s="2060"/>
      <c r="AP156" s="2060"/>
      <c r="AQ156" s="2060"/>
      <c r="AR156" s="2060"/>
      <c r="AS156" s="2060"/>
    </row>
    <row r="157" spans="1:45" s="1525" customFormat="1" ht="13.9">
      <c r="A157" s="1510"/>
      <c r="B157" s="2020"/>
      <c r="C157" s="1530"/>
      <c r="E157" s="1505"/>
      <c r="F157" s="1806"/>
      <c r="R157" s="2060"/>
      <c r="T157" s="2060"/>
      <c r="U157" s="1510"/>
      <c r="V157" s="2060"/>
      <c r="W157" s="2060"/>
      <c r="X157" s="2060"/>
      <c r="Y157" s="2060"/>
      <c r="Z157" s="2060"/>
      <c r="AA157" s="2060"/>
      <c r="AB157" s="2060"/>
      <c r="AC157" s="2060"/>
      <c r="AD157" s="2060"/>
      <c r="AE157" s="2060"/>
      <c r="AF157" s="2060"/>
      <c r="AG157" s="2060"/>
      <c r="AH157" s="2060"/>
      <c r="AI157" s="2060"/>
      <c r="AJ157" s="2060"/>
      <c r="AK157" s="2060"/>
      <c r="AL157" s="2060"/>
      <c r="AM157" s="2060"/>
      <c r="AN157" s="2060"/>
      <c r="AO157" s="2060"/>
      <c r="AP157" s="2060"/>
      <c r="AQ157" s="2060"/>
      <c r="AR157" s="2060"/>
      <c r="AS157" s="2060"/>
    </row>
    <row r="158" spans="1:45" s="1525" customFormat="1" ht="13.9">
      <c r="A158" s="1510"/>
      <c r="B158" s="2020"/>
      <c r="C158" s="2206" t="s">
        <v>989</v>
      </c>
      <c r="E158" s="328">
        <f>IF(StubY,'BAL SHEET Hist Input'!J23,'BAL SHEET Hist Input'!I23)</f>
        <v>0</v>
      </c>
      <c r="F158" s="1010">
        <f>IF(StubY,'BAL SHEET Hist Input'!K23,'BAL SHEET Hist Input'!J23)</f>
        <v>0</v>
      </c>
      <c r="G158" s="328">
        <f>IFERROR(G161*G$100,0)</f>
        <v>0</v>
      </c>
      <c r="H158" s="328">
        <f>IFERROR(H161*H$100,0)</f>
        <v>0</v>
      </c>
      <c r="I158" s="328">
        <f t="shared" ref="I158:Q158" si="61">IFERROR(I161*I$100,0)</f>
        <v>0</v>
      </c>
      <c r="J158" s="328">
        <f t="shared" si="61"/>
        <v>0</v>
      </c>
      <c r="K158" s="328">
        <f t="shared" si="61"/>
        <v>0</v>
      </c>
      <c r="L158" s="328">
        <f t="shared" si="61"/>
        <v>0</v>
      </c>
      <c r="M158" s="328">
        <f t="shared" si="61"/>
        <v>0</v>
      </c>
      <c r="N158" s="328">
        <f t="shared" si="61"/>
        <v>0</v>
      </c>
      <c r="O158" s="328">
        <f t="shared" si="61"/>
        <v>0</v>
      </c>
      <c r="P158" s="328">
        <f t="shared" si="61"/>
        <v>0</v>
      </c>
      <c r="Q158" s="328">
        <f t="shared" si="61"/>
        <v>0</v>
      </c>
      <c r="R158" s="2060"/>
      <c r="T158" s="2060"/>
      <c r="U158" s="1510"/>
      <c r="V158" s="2060"/>
      <c r="W158" s="2060"/>
      <c r="X158" s="2060"/>
      <c r="Y158" s="2060"/>
      <c r="Z158" s="2060"/>
      <c r="AA158" s="2060"/>
      <c r="AB158" s="2060"/>
      <c r="AC158" s="2060"/>
      <c r="AD158" s="2060"/>
      <c r="AE158" s="2060"/>
      <c r="AF158" s="2060"/>
      <c r="AG158" s="2060"/>
      <c r="AH158" s="2060"/>
      <c r="AI158" s="2060"/>
      <c r="AJ158" s="2060"/>
      <c r="AK158" s="2060"/>
      <c r="AL158" s="2060"/>
      <c r="AM158" s="2060"/>
      <c r="AN158" s="2060"/>
      <c r="AO158" s="2060"/>
      <c r="AP158" s="2060"/>
      <c r="AQ158" s="2060"/>
      <c r="AR158" s="2060"/>
      <c r="AS158" s="2060"/>
    </row>
    <row r="159" spans="1:45" s="1525" customFormat="1" ht="13.9">
      <c r="A159" s="1510"/>
      <c r="B159" s="2020"/>
      <c r="C159" s="304" t="s">
        <v>953</v>
      </c>
      <c r="E159" s="328"/>
      <c r="F159" s="1010"/>
      <c r="G159" s="1064"/>
      <c r="H159" s="1064"/>
      <c r="I159" s="1064"/>
      <c r="J159" s="1064"/>
      <c r="K159" s="1064"/>
      <c r="L159" s="1064"/>
      <c r="M159" s="1064"/>
      <c r="N159" s="1064"/>
      <c r="O159" s="1064"/>
      <c r="P159" s="1064"/>
      <c r="Q159" s="1064"/>
      <c r="R159" s="2060"/>
      <c r="T159" s="2060"/>
      <c r="U159" s="1510"/>
      <c r="V159" s="2060"/>
      <c r="W159" s="2060"/>
      <c r="X159" s="2060"/>
      <c r="Y159" s="2060"/>
      <c r="Z159" s="2060"/>
      <c r="AA159" s="2060"/>
      <c r="AB159" s="2060"/>
      <c r="AC159" s="2060"/>
      <c r="AD159" s="2060"/>
      <c r="AE159" s="2060"/>
      <c r="AF159" s="2060"/>
      <c r="AG159" s="2060"/>
      <c r="AH159" s="2060"/>
      <c r="AI159" s="2060"/>
      <c r="AJ159" s="2060"/>
      <c r="AK159" s="2060"/>
      <c r="AL159" s="2060"/>
      <c r="AM159" s="2060"/>
      <c r="AN159" s="2060"/>
      <c r="AO159" s="2060"/>
      <c r="AP159" s="2060"/>
      <c r="AQ159" s="2060"/>
      <c r="AR159" s="2060"/>
      <c r="AS159" s="2060"/>
    </row>
    <row r="160" spans="1:45" s="1525" customFormat="1" ht="13.9">
      <c r="A160" s="1510"/>
      <c r="B160" s="2020"/>
      <c r="C160" s="1380" t="s">
        <v>956</v>
      </c>
      <c r="E160" s="328"/>
      <c r="F160" s="1010"/>
      <c r="G160" s="6"/>
      <c r="H160" s="6"/>
      <c r="I160" s="6"/>
      <c r="J160" s="6"/>
      <c r="K160" s="6"/>
      <c r="L160" s="6"/>
      <c r="M160" s="6"/>
      <c r="N160" s="6"/>
      <c r="O160" s="6"/>
      <c r="P160" s="6"/>
      <c r="Q160" s="6"/>
      <c r="R160" s="2060"/>
      <c r="T160" s="2060"/>
      <c r="U160" s="1510"/>
      <c r="V160" s="2060"/>
      <c r="W160" s="2060"/>
      <c r="X160" s="2060"/>
      <c r="Y160" s="2060"/>
      <c r="Z160" s="2060"/>
      <c r="AA160" s="2060"/>
      <c r="AB160" s="2060"/>
      <c r="AC160" s="2060"/>
      <c r="AD160" s="2060"/>
      <c r="AE160" s="2060"/>
      <c r="AF160" s="2060"/>
      <c r="AG160" s="2060"/>
      <c r="AH160" s="2060"/>
      <c r="AI160" s="2060"/>
      <c r="AJ160" s="2060"/>
      <c r="AK160" s="2060"/>
      <c r="AL160" s="2060"/>
      <c r="AM160" s="2060"/>
      <c r="AN160" s="2060"/>
      <c r="AO160" s="2060"/>
      <c r="AP160" s="2060"/>
      <c r="AQ160" s="2060"/>
      <c r="AR160" s="2060"/>
      <c r="AS160" s="2060"/>
    </row>
    <row r="161" spans="1:45" s="1525" customFormat="1" ht="13.9">
      <c r="A161" s="1510"/>
      <c r="B161" s="2020"/>
      <c r="C161" s="304" t="s">
        <v>969</v>
      </c>
      <c r="E161" s="1364">
        <f>IFERROR(E158/E$100,0)</f>
        <v>0</v>
      </c>
      <c r="F161" s="1740">
        <f>IFERROR(F158/F$100,0)</f>
        <v>0</v>
      </c>
      <c r="G161" s="1627">
        <f t="shared" ref="G161:Q161" si="62">IFERROR(IF(ISNUMBER(G159),G159/G$100,IF(ISNUMBER(G160),G160,F161))*(ISNUMBER(G$23)*1),0)</f>
        <v>0</v>
      </c>
      <c r="H161" s="1627">
        <f t="shared" si="62"/>
        <v>0</v>
      </c>
      <c r="I161" s="1627">
        <f t="shared" si="62"/>
        <v>0</v>
      </c>
      <c r="J161" s="1627">
        <f t="shared" si="62"/>
        <v>0</v>
      </c>
      <c r="K161" s="1627">
        <f t="shared" si="62"/>
        <v>0</v>
      </c>
      <c r="L161" s="1627">
        <f t="shared" si="62"/>
        <v>0</v>
      </c>
      <c r="M161" s="1627">
        <f t="shared" si="62"/>
        <v>0</v>
      </c>
      <c r="N161" s="1627">
        <f t="shared" si="62"/>
        <v>0</v>
      </c>
      <c r="O161" s="1627">
        <f t="shared" si="62"/>
        <v>0</v>
      </c>
      <c r="P161" s="1627">
        <f t="shared" si="62"/>
        <v>0</v>
      </c>
      <c r="Q161" s="1627">
        <f t="shared" si="62"/>
        <v>0</v>
      </c>
      <c r="R161" s="2060"/>
      <c r="T161" s="2060"/>
      <c r="U161" s="1510"/>
      <c r="V161" s="2060"/>
      <c r="W161" s="2060"/>
      <c r="X161" s="2060"/>
      <c r="Y161" s="2060"/>
      <c r="Z161" s="2060"/>
      <c r="AA161" s="2060"/>
      <c r="AB161" s="2060"/>
      <c r="AC161" s="2060"/>
      <c r="AD161" s="2060"/>
      <c r="AE161" s="2060"/>
      <c r="AF161" s="2060"/>
      <c r="AG161" s="2060"/>
      <c r="AH161" s="2060"/>
      <c r="AI161" s="2060"/>
      <c r="AJ161" s="2060"/>
      <c r="AK161" s="2060"/>
      <c r="AL161" s="2060"/>
      <c r="AM161" s="2060"/>
      <c r="AN161" s="2060"/>
      <c r="AO161" s="2060"/>
      <c r="AP161" s="2060"/>
      <c r="AQ161" s="2060"/>
      <c r="AR161" s="2060"/>
      <c r="AS161" s="2060"/>
    </row>
    <row r="162" spans="1:45" s="1525" customFormat="1" ht="13.9">
      <c r="A162" s="1510"/>
      <c r="B162" s="2020"/>
      <c r="C162" s="1530"/>
      <c r="E162" s="1505"/>
      <c r="F162" s="1806"/>
      <c r="G162" s="1627"/>
      <c r="H162" s="1627"/>
      <c r="I162" s="1627"/>
      <c r="J162" s="1627"/>
      <c r="K162" s="1627"/>
      <c r="L162" s="1627"/>
      <c r="M162" s="1627"/>
      <c r="N162" s="1627"/>
      <c r="O162" s="1627"/>
      <c r="P162" s="1627"/>
      <c r="Q162" s="1627"/>
      <c r="R162" s="2060"/>
      <c r="T162" s="2060"/>
      <c r="U162" s="1510"/>
      <c r="V162" s="2060"/>
      <c r="W162" s="2060"/>
      <c r="X162" s="2060"/>
      <c r="Y162" s="2060"/>
      <c r="Z162" s="2060"/>
      <c r="AA162" s="2060"/>
      <c r="AB162" s="2060"/>
      <c r="AC162" s="2060"/>
      <c r="AD162" s="2060"/>
      <c r="AE162" s="2060"/>
      <c r="AF162" s="2060"/>
      <c r="AG162" s="2060"/>
      <c r="AH162" s="2060"/>
      <c r="AI162" s="2060"/>
      <c r="AJ162" s="2060"/>
      <c r="AK162" s="2060"/>
      <c r="AL162" s="2060"/>
      <c r="AM162" s="2060"/>
      <c r="AN162" s="2060"/>
      <c r="AO162" s="2060"/>
      <c r="AP162" s="2060"/>
      <c r="AQ162" s="2060"/>
      <c r="AR162" s="2060"/>
      <c r="AS162" s="2060"/>
    </row>
    <row r="163" spans="1:45" s="1525" customFormat="1" ht="13.9">
      <c r="A163" s="1510"/>
      <c r="B163" s="2020"/>
      <c r="C163" s="2206" t="s">
        <v>990</v>
      </c>
      <c r="E163" s="328">
        <f>IF(StubY,'BAL SHEET Hist Input'!J24,'BAL SHEET Hist Input'!I24)</f>
        <v>0</v>
      </c>
      <c r="F163" s="1010">
        <f>IF(StubY,'BAL SHEET Hist Input'!K24,'BAL SHEET Hist Input'!J24)</f>
        <v>0</v>
      </c>
      <c r="G163" s="328">
        <f>IFERROR(G166*G$100,0)</f>
        <v>0</v>
      </c>
      <c r="H163" s="328">
        <f>IFERROR(H166*H$100,0)</f>
        <v>0</v>
      </c>
      <c r="I163" s="328">
        <f t="shared" ref="I163:Q163" si="63">IFERROR(I166*I$100,0)</f>
        <v>0</v>
      </c>
      <c r="J163" s="328">
        <f t="shared" si="63"/>
        <v>0</v>
      </c>
      <c r="K163" s="328">
        <f t="shared" si="63"/>
        <v>0</v>
      </c>
      <c r="L163" s="328">
        <f t="shared" si="63"/>
        <v>0</v>
      </c>
      <c r="M163" s="328">
        <f t="shared" si="63"/>
        <v>0</v>
      </c>
      <c r="N163" s="328">
        <f t="shared" si="63"/>
        <v>0</v>
      </c>
      <c r="O163" s="328">
        <f t="shared" si="63"/>
        <v>0</v>
      </c>
      <c r="P163" s="328">
        <f t="shared" si="63"/>
        <v>0</v>
      </c>
      <c r="Q163" s="328">
        <f t="shared" si="63"/>
        <v>0</v>
      </c>
      <c r="R163" s="2060"/>
      <c r="T163" s="2060"/>
      <c r="U163" s="1510"/>
      <c r="V163" s="2060"/>
      <c r="W163" s="2060"/>
      <c r="X163" s="2060"/>
      <c r="Y163" s="2060"/>
      <c r="Z163" s="2060"/>
      <c r="AA163" s="2060"/>
      <c r="AB163" s="2060"/>
      <c r="AC163" s="2060"/>
      <c r="AD163" s="2060"/>
      <c r="AE163" s="2060"/>
      <c r="AF163" s="2060"/>
      <c r="AG163" s="2060"/>
      <c r="AH163" s="2060"/>
      <c r="AI163" s="2060"/>
      <c r="AJ163" s="2060"/>
      <c r="AK163" s="2060"/>
      <c r="AL163" s="2060"/>
      <c r="AM163" s="2060"/>
      <c r="AN163" s="2060"/>
      <c r="AO163" s="2060"/>
      <c r="AP163" s="2060"/>
      <c r="AQ163" s="2060"/>
      <c r="AR163" s="2060"/>
      <c r="AS163" s="2060"/>
    </row>
    <row r="164" spans="1:45" s="1525" customFormat="1" ht="13.9">
      <c r="A164" s="1510"/>
      <c r="B164" s="2020"/>
      <c r="C164" s="304" t="s">
        <v>953</v>
      </c>
      <c r="E164" s="328"/>
      <c r="F164" s="1010"/>
      <c r="G164" s="1064"/>
      <c r="H164" s="1064"/>
      <c r="I164" s="1064"/>
      <c r="J164" s="1064"/>
      <c r="K164" s="1064"/>
      <c r="L164" s="1064"/>
      <c r="M164" s="1064"/>
      <c r="N164" s="1064"/>
      <c r="O164" s="1064"/>
      <c r="P164" s="1064"/>
      <c r="Q164" s="1064"/>
      <c r="R164" s="2060"/>
      <c r="T164" s="2060"/>
      <c r="U164" s="1510"/>
      <c r="V164" s="2060"/>
      <c r="W164" s="2060"/>
      <c r="X164" s="2060"/>
      <c r="Y164" s="2060"/>
      <c r="Z164" s="2060"/>
      <c r="AA164" s="2060"/>
      <c r="AB164" s="2060"/>
      <c r="AC164" s="2060"/>
      <c r="AD164" s="2060"/>
      <c r="AE164" s="2060"/>
      <c r="AF164" s="2060"/>
      <c r="AG164" s="2060"/>
      <c r="AH164" s="2060"/>
      <c r="AI164" s="2060"/>
      <c r="AJ164" s="2060"/>
      <c r="AK164" s="2060"/>
      <c r="AL164" s="2060"/>
      <c r="AM164" s="2060"/>
      <c r="AN164" s="2060"/>
      <c r="AO164" s="2060"/>
      <c r="AP164" s="2060"/>
      <c r="AQ164" s="2060"/>
      <c r="AR164" s="2060"/>
      <c r="AS164" s="2060"/>
    </row>
    <row r="165" spans="1:45" s="1525" customFormat="1" ht="13.9">
      <c r="A165" s="1510"/>
      <c r="B165" s="2020"/>
      <c r="C165" s="1380" t="s">
        <v>956</v>
      </c>
      <c r="E165" s="328"/>
      <c r="F165" s="1010"/>
      <c r="G165" s="6"/>
      <c r="H165" s="6"/>
      <c r="I165" s="6"/>
      <c r="J165" s="6"/>
      <c r="K165" s="6"/>
      <c r="L165" s="6"/>
      <c r="M165" s="6"/>
      <c r="N165" s="6"/>
      <c r="O165" s="6"/>
      <c r="P165" s="6"/>
      <c r="Q165" s="6"/>
      <c r="R165" s="2060"/>
      <c r="T165" s="2060"/>
      <c r="U165" s="1510"/>
      <c r="V165" s="2060"/>
      <c r="W165" s="2060"/>
      <c r="X165" s="2060"/>
      <c r="Y165" s="2060"/>
      <c r="Z165" s="2060"/>
      <c r="AA165" s="2060"/>
      <c r="AB165" s="2060"/>
      <c r="AC165" s="2060"/>
      <c r="AD165" s="2060"/>
      <c r="AE165" s="2060"/>
      <c r="AF165" s="2060"/>
      <c r="AG165" s="2060"/>
      <c r="AH165" s="2060"/>
      <c r="AI165" s="2060"/>
      <c r="AJ165" s="2060"/>
      <c r="AK165" s="2060"/>
      <c r="AL165" s="2060"/>
      <c r="AM165" s="2060"/>
      <c r="AN165" s="2060"/>
      <c r="AO165" s="2060"/>
      <c r="AP165" s="2060"/>
      <c r="AQ165" s="2060"/>
      <c r="AR165" s="2060"/>
      <c r="AS165" s="2060"/>
    </row>
    <row r="166" spans="1:45" s="1525" customFormat="1" ht="13.9">
      <c r="A166" s="1510"/>
      <c r="B166" s="2020"/>
      <c r="C166" s="304" t="s">
        <v>969</v>
      </c>
      <c r="E166" s="1364">
        <f>IFERROR(E163/E$100,0)</f>
        <v>0</v>
      </c>
      <c r="F166" s="1740">
        <f>IFERROR(F163/F$100,0)</f>
        <v>0</v>
      </c>
      <c r="G166" s="1627">
        <f t="shared" ref="G166:Q166" si="64">IFERROR(IF(ISNUMBER(G164),G164/G$100,IF(ISNUMBER(G165),G165,F166))*(ISNUMBER(G$23)*1),0)</f>
        <v>0</v>
      </c>
      <c r="H166" s="1627">
        <f t="shared" si="64"/>
        <v>0</v>
      </c>
      <c r="I166" s="1627">
        <f t="shared" si="64"/>
        <v>0</v>
      </c>
      <c r="J166" s="1627">
        <f t="shared" si="64"/>
        <v>0</v>
      </c>
      <c r="K166" s="1627">
        <f t="shared" si="64"/>
        <v>0</v>
      </c>
      <c r="L166" s="1627">
        <f t="shared" si="64"/>
        <v>0</v>
      </c>
      <c r="M166" s="1627">
        <f t="shared" si="64"/>
        <v>0</v>
      </c>
      <c r="N166" s="1627">
        <f t="shared" si="64"/>
        <v>0</v>
      </c>
      <c r="O166" s="1627">
        <f t="shared" si="64"/>
        <v>0</v>
      </c>
      <c r="P166" s="1627">
        <f t="shared" si="64"/>
        <v>0</v>
      </c>
      <c r="Q166" s="1627">
        <f t="shared" si="64"/>
        <v>0</v>
      </c>
      <c r="R166" s="2060"/>
      <c r="T166" s="2060"/>
      <c r="U166" s="1510"/>
      <c r="V166" s="2060"/>
      <c r="W166" s="2060"/>
      <c r="X166" s="2060"/>
      <c r="Y166" s="2060"/>
      <c r="Z166" s="2060"/>
      <c r="AA166" s="2060"/>
      <c r="AB166" s="2060"/>
      <c r="AC166" s="2060"/>
      <c r="AD166" s="2060"/>
      <c r="AE166" s="2060"/>
      <c r="AF166" s="2060"/>
      <c r="AG166" s="2060"/>
      <c r="AH166" s="2060"/>
      <c r="AI166" s="2060"/>
      <c r="AJ166" s="2060"/>
      <c r="AK166" s="2060"/>
      <c r="AL166" s="2060"/>
      <c r="AM166" s="2060"/>
      <c r="AN166" s="2060"/>
      <c r="AO166" s="2060"/>
      <c r="AP166" s="2060"/>
      <c r="AQ166" s="2060"/>
      <c r="AR166" s="2060"/>
      <c r="AS166" s="2060"/>
    </row>
    <row r="167" spans="1:45" s="1525" customFormat="1" ht="13.9">
      <c r="A167" s="1510"/>
      <c r="B167" s="2020"/>
      <c r="C167" s="1530"/>
      <c r="E167" s="1505"/>
      <c r="F167" s="1806"/>
      <c r="G167" s="1627"/>
      <c r="H167" s="1627"/>
      <c r="I167" s="1627"/>
      <c r="J167" s="1627"/>
      <c r="K167" s="1627"/>
      <c r="L167" s="1627"/>
      <c r="M167" s="1627"/>
      <c r="N167" s="1627"/>
      <c r="O167" s="1627"/>
      <c r="P167" s="1627"/>
      <c r="Q167" s="1627"/>
      <c r="R167" s="2060"/>
      <c r="T167" s="2060"/>
      <c r="U167" s="1510"/>
      <c r="V167" s="2060"/>
      <c r="W167" s="2060"/>
      <c r="X167" s="2060"/>
      <c r="Y167" s="2060"/>
      <c r="Z167" s="2060"/>
      <c r="AA167" s="2060"/>
      <c r="AB167" s="2060"/>
      <c r="AC167" s="2060"/>
      <c r="AD167" s="2060"/>
      <c r="AE167" s="2060"/>
      <c r="AF167" s="2060"/>
      <c r="AG167" s="2060"/>
      <c r="AH167" s="2060"/>
      <c r="AI167" s="2060"/>
      <c r="AJ167" s="2060"/>
      <c r="AK167" s="2060"/>
      <c r="AL167" s="2060"/>
      <c r="AM167" s="2060"/>
      <c r="AN167" s="2060"/>
      <c r="AO167" s="2060"/>
      <c r="AP167" s="2060"/>
      <c r="AQ167" s="2060"/>
      <c r="AR167" s="2060"/>
      <c r="AS167" s="2060"/>
    </row>
    <row r="168" spans="1:45" s="1525" customFormat="1" ht="13.9">
      <c r="A168" s="1510"/>
      <c r="B168" s="2020"/>
      <c r="C168" s="2206" t="s">
        <v>991</v>
      </c>
      <c r="E168" s="328">
        <f>IF(StubY,'BAL SHEET Hist Input'!J25,'BAL SHEET Hist Input'!I25)</f>
        <v>0</v>
      </c>
      <c r="F168" s="1010">
        <f>IF(StubY,'BAL SHEET Hist Input'!K25,'BAL SHEET Hist Input'!J25)</f>
        <v>0</v>
      </c>
      <c r="G168" s="328">
        <f>IFERROR(G171*G$100,0)</f>
        <v>0</v>
      </c>
      <c r="H168" s="328">
        <f>IFERROR(H171*H$100,0)</f>
        <v>0</v>
      </c>
      <c r="I168" s="328">
        <f t="shared" ref="I168:Q168" si="65">IFERROR(I171*I$100,0)</f>
        <v>0</v>
      </c>
      <c r="J168" s="328">
        <f t="shared" si="65"/>
        <v>0</v>
      </c>
      <c r="K168" s="328">
        <f t="shared" si="65"/>
        <v>0</v>
      </c>
      <c r="L168" s="328">
        <f t="shared" si="65"/>
        <v>0</v>
      </c>
      <c r="M168" s="328">
        <f t="shared" si="65"/>
        <v>0</v>
      </c>
      <c r="N168" s="328">
        <f t="shared" si="65"/>
        <v>0</v>
      </c>
      <c r="O168" s="328">
        <f t="shared" si="65"/>
        <v>0</v>
      </c>
      <c r="P168" s="328">
        <f t="shared" si="65"/>
        <v>0</v>
      </c>
      <c r="Q168" s="328">
        <f t="shared" si="65"/>
        <v>0</v>
      </c>
      <c r="R168" s="2060"/>
      <c r="T168" s="2060"/>
      <c r="U168" s="1510"/>
      <c r="V168" s="2060"/>
      <c r="W168" s="2060"/>
      <c r="X168" s="2060"/>
      <c r="Y168" s="2060"/>
      <c r="Z168" s="2060"/>
      <c r="AA168" s="2060"/>
      <c r="AB168" s="2060"/>
      <c r="AC168" s="2060"/>
      <c r="AD168" s="2060"/>
      <c r="AE168" s="2060"/>
      <c r="AF168" s="2060"/>
      <c r="AG168" s="2060"/>
      <c r="AH168" s="2060"/>
      <c r="AI168" s="2060"/>
      <c r="AJ168" s="2060"/>
      <c r="AK168" s="2060"/>
      <c r="AL168" s="2060"/>
      <c r="AM168" s="2060"/>
      <c r="AN168" s="2060"/>
      <c r="AO168" s="2060"/>
      <c r="AP168" s="2060"/>
      <c r="AQ168" s="2060"/>
      <c r="AR168" s="2060"/>
      <c r="AS168" s="2060"/>
    </row>
    <row r="169" spans="1:45" s="1525" customFormat="1" ht="13.9">
      <c r="A169" s="1510"/>
      <c r="B169" s="2020"/>
      <c r="C169" s="304" t="s">
        <v>953</v>
      </c>
      <c r="E169" s="328"/>
      <c r="F169" s="1010"/>
      <c r="G169" s="1064"/>
      <c r="H169" s="1064"/>
      <c r="I169" s="1064"/>
      <c r="J169" s="1064"/>
      <c r="K169" s="1064"/>
      <c r="L169" s="1064"/>
      <c r="M169" s="1064"/>
      <c r="N169" s="1064"/>
      <c r="O169" s="1064"/>
      <c r="P169" s="1064"/>
      <c r="Q169" s="1064"/>
      <c r="R169" s="2060"/>
      <c r="T169" s="2060"/>
      <c r="U169" s="1510"/>
      <c r="V169" s="2060"/>
      <c r="W169" s="2060"/>
      <c r="X169" s="2060"/>
      <c r="Y169" s="2060"/>
      <c r="Z169" s="2060"/>
      <c r="AA169" s="2060"/>
      <c r="AB169" s="2060"/>
      <c r="AC169" s="2060"/>
      <c r="AD169" s="2060"/>
      <c r="AE169" s="2060"/>
      <c r="AF169" s="2060"/>
      <c r="AG169" s="2060"/>
      <c r="AH169" s="2060"/>
      <c r="AI169" s="2060"/>
      <c r="AJ169" s="2060"/>
      <c r="AK169" s="2060"/>
      <c r="AL169" s="2060"/>
      <c r="AM169" s="2060"/>
      <c r="AN169" s="2060"/>
      <c r="AO169" s="2060"/>
      <c r="AP169" s="2060"/>
      <c r="AQ169" s="2060"/>
      <c r="AR169" s="2060"/>
      <c r="AS169" s="2060"/>
    </row>
    <row r="170" spans="1:45" s="1525" customFormat="1" ht="13.9">
      <c r="A170" s="1510"/>
      <c r="B170" s="2020"/>
      <c r="C170" s="1380" t="s">
        <v>956</v>
      </c>
      <c r="E170" s="328"/>
      <c r="F170" s="1010"/>
      <c r="G170" s="6"/>
      <c r="H170" s="6"/>
      <c r="I170" s="6"/>
      <c r="J170" s="6"/>
      <c r="K170" s="6"/>
      <c r="L170" s="6"/>
      <c r="M170" s="6"/>
      <c r="N170" s="6"/>
      <c r="O170" s="6"/>
      <c r="P170" s="6"/>
      <c r="Q170" s="6"/>
      <c r="R170" s="2060"/>
      <c r="T170" s="2060"/>
      <c r="U170" s="1510"/>
      <c r="V170" s="2060"/>
      <c r="W170" s="2060"/>
      <c r="X170" s="2060"/>
      <c r="Y170" s="2060"/>
      <c r="Z170" s="2060"/>
      <c r="AA170" s="2060"/>
      <c r="AB170" s="2060"/>
      <c r="AC170" s="2060"/>
      <c r="AD170" s="2060"/>
      <c r="AE170" s="2060"/>
      <c r="AF170" s="2060"/>
      <c r="AG170" s="2060"/>
      <c r="AH170" s="2060"/>
      <c r="AI170" s="2060"/>
      <c r="AJ170" s="2060"/>
      <c r="AK170" s="2060"/>
      <c r="AL170" s="2060"/>
      <c r="AM170" s="2060"/>
      <c r="AN170" s="2060"/>
      <c r="AO170" s="2060"/>
      <c r="AP170" s="2060"/>
      <c r="AQ170" s="2060"/>
      <c r="AR170" s="2060"/>
      <c r="AS170" s="2060"/>
    </row>
    <row r="171" spans="1:45" s="1525" customFormat="1" ht="13.9">
      <c r="A171" s="1510"/>
      <c r="B171" s="2020"/>
      <c r="C171" s="304" t="s">
        <v>969</v>
      </c>
      <c r="E171" s="1364">
        <f>IFERROR(E168/E$100,0)</f>
        <v>0</v>
      </c>
      <c r="F171" s="1740">
        <f>IFERROR(F168/F$100,0)</f>
        <v>0</v>
      </c>
      <c r="G171" s="1627">
        <f t="shared" ref="G171:Q171" si="66">IFERROR(IF(ISNUMBER(G169),G169/G$100,IF(ISNUMBER(G170),G170,F171))*(ISNUMBER(G$23)*1),0)</f>
        <v>0</v>
      </c>
      <c r="H171" s="1627">
        <f t="shared" si="66"/>
        <v>0</v>
      </c>
      <c r="I171" s="1627">
        <f t="shared" si="66"/>
        <v>0</v>
      </c>
      <c r="J171" s="1627">
        <f t="shared" si="66"/>
        <v>0</v>
      </c>
      <c r="K171" s="1627">
        <f t="shared" si="66"/>
        <v>0</v>
      </c>
      <c r="L171" s="1627">
        <f t="shared" si="66"/>
        <v>0</v>
      </c>
      <c r="M171" s="1627">
        <f t="shared" si="66"/>
        <v>0</v>
      </c>
      <c r="N171" s="1627">
        <f t="shared" si="66"/>
        <v>0</v>
      </c>
      <c r="O171" s="1627">
        <f t="shared" si="66"/>
        <v>0</v>
      </c>
      <c r="P171" s="1627">
        <f t="shared" si="66"/>
        <v>0</v>
      </c>
      <c r="Q171" s="1627">
        <f t="shared" si="66"/>
        <v>0</v>
      </c>
      <c r="R171" s="2060"/>
      <c r="T171" s="2060"/>
      <c r="U171" s="1510"/>
      <c r="V171" s="2060"/>
      <c r="W171" s="2060"/>
      <c r="X171" s="2060"/>
      <c r="Y171" s="2060"/>
      <c r="Z171" s="2060"/>
      <c r="AA171" s="2060"/>
      <c r="AB171" s="2060"/>
      <c r="AC171" s="2060"/>
      <c r="AD171" s="2060"/>
      <c r="AE171" s="2060"/>
      <c r="AF171" s="2060"/>
      <c r="AG171" s="2060"/>
      <c r="AH171" s="2060"/>
      <c r="AI171" s="2060"/>
      <c r="AJ171" s="2060"/>
      <c r="AK171" s="2060"/>
      <c r="AL171" s="2060"/>
      <c r="AM171" s="2060"/>
      <c r="AN171" s="2060"/>
      <c r="AO171" s="2060"/>
      <c r="AP171" s="2060"/>
      <c r="AQ171" s="2060"/>
      <c r="AR171" s="2060"/>
      <c r="AS171" s="2060"/>
    </row>
    <row r="172" spans="1:45" s="1525" customFormat="1" ht="13.9">
      <c r="A172" s="1510"/>
      <c r="B172" s="2020"/>
      <c r="C172" s="1530"/>
      <c r="E172" s="1505"/>
      <c r="F172" s="1806"/>
      <c r="G172" s="1627"/>
      <c r="H172" s="1627"/>
      <c r="I172" s="1627"/>
      <c r="J172" s="1627"/>
      <c r="K172" s="1627"/>
      <c r="L172" s="1627"/>
      <c r="M172" s="1627"/>
      <c r="N172" s="1627"/>
      <c r="O172" s="1627"/>
      <c r="P172" s="1627"/>
      <c r="Q172" s="1627"/>
      <c r="R172" s="2060"/>
      <c r="T172" s="2060"/>
      <c r="U172" s="1510"/>
      <c r="V172" s="2060"/>
      <c r="W172" s="2060"/>
      <c r="X172" s="2060"/>
      <c r="Y172" s="2060"/>
      <c r="Z172" s="2060"/>
      <c r="AA172" s="2060"/>
      <c r="AB172" s="2060"/>
      <c r="AC172" s="2060"/>
      <c r="AD172" s="2060"/>
      <c r="AE172" s="2060"/>
      <c r="AF172" s="2060"/>
      <c r="AG172" s="2060"/>
      <c r="AH172" s="2060"/>
      <c r="AI172" s="2060"/>
      <c r="AJ172" s="2060"/>
      <c r="AK172" s="2060"/>
      <c r="AL172" s="2060"/>
      <c r="AM172" s="2060"/>
      <c r="AN172" s="2060"/>
      <c r="AO172" s="2060"/>
      <c r="AP172" s="2060"/>
      <c r="AQ172" s="2060"/>
      <c r="AR172" s="2060"/>
      <c r="AS172" s="2060"/>
    </row>
    <row r="173" spans="1:45" s="1525" customFormat="1" ht="13.9">
      <c r="A173" s="1510"/>
      <c r="B173" s="2020"/>
      <c r="C173" s="2206" t="s">
        <v>992</v>
      </c>
      <c r="E173" s="328">
        <f>IF(StubY,'BAL SHEET Hist Input'!J26,'BAL SHEET Hist Input'!I26)</f>
        <v>0</v>
      </c>
      <c r="F173" s="1010">
        <f>IF(StubY,'BAL SHEET Hist Input'!K26,'BAL SHEET Hist Input'!J26)</f>
        <v>0</v>
      </c>
      <c r="G173" s="328">
        <f>IFERROR(G176*G$100,0)</f>
        <v>0</v>
      </c>
      <c r="H173" s="328">
        <f>IFERROR(H176*H$100,0)</f>
        <v>0</v>
      </c>
      <c r="I173" s="328">
        <f t="shared" ref="I173:Q173" si="67">IFERROR(I176*I$100,0)</f>
        <v>0</v>
      </c>
      <c r="J173" s="328">
        <f t="shared" si="67"/>
        <v>0</v>
      </c>
      <c r="K173" s="328">
        <f t="shared" si="67"/>
        <v>0</v>
      </c>
      <c r="L173" s="328">
        <f t="shared" si="67"/>
        <v>0</v>
      </c>
      <c r="M173" s="328">
        <f t="shared" si="67"/>
        <v>0</v>
      </c>
      <c r="N173" s="328">
        <f t="shared" si="67"/>
        <v>0</v>
      </c>
      <c r="O173" s="328">
        <f t="shared" si="67"/>
        <v>0</v>
      </c>
      <c r="P173" s="328">
        <f t="shared" si="67"/>
        <v>0</v>
      </c>
      <c r="Q173" s="328">
        <f t="shared" si="67"/>
        <v>0</v>
      </c>
      <c r="R173" s="2060"/>
      <c r="T173" s="2060"/>
      <c r="U173" s="1510"/>
      <c r="V173" s="2060"/>
      <c r="W173" s="2060"/>
      <c r="X173" s="2060"/>
      <c r="Y173" s="2060"/>
      <c r="Z173" s="2060"/>
      <c r="AA173" s="2060"/>
      <c r="AB173" s="2060"/>
      <c r="AC173" s="2060"/>
      <c r="AD173" s="2060"/>
      <c r="AE173" s="2060"/>
      <c r="AF173" s="2060"/>
      <c r="AG173" s="2060"/>
      <c r="AH173" s="2060"/>
      <c r="AI173" s="2060"/>
      <c r="AJ173" s="2060"/>
      <c r="AK173" s="2060"/>
      <c r="AL173" s="2060"/>
      <c r="AM173" s="2060"/>
      <c r="AN173" s="2060"/>
      <c r="AO173" s="2060"/>
      <c r="AP173" s="2060"/>
      <c r="AQ173" s="2060"/>
      <c r="AR173" s="2060"/>
      <c r="AS173" s="2060"/>
    </row>
    <row r="174" spans="1:45" s="1525" customFormat="1" ht="13.9">
      <c r="A174" s="1510"/>
      <c r="B174" s="2020"/>
      <c r="C174" s="304" t="s">
        <v>953</v>
      </c>
      <c r="E174" s="328"/>
      <c r="F174" s="1010"/>
      <c r="G174" s="1064"/>
      <c r="H174" s="1064"/>
      <c r="I174" s="1064"/>
      <c r="J174" s="1064"/>
      <c r="K174" s="1064"/>
      <c r="L174" s="1064"/>
      <c r="M174" s="1064"/>
      <c r="N174" s="1064"/>
      <c r="O174" s="1064"/>
      <c r="P174" s="1064"/>
      <c r="Q174" s="1064"/>
      <c r="R174" s="2060"/>
      <c r="T174" s="2060"/>
      <c r="U174" s="1510"/>
      <c r="V174" s="2060"/>
      <c r="W174" s="2060"/>
      <c r="X174" s="2060"/>
      <c r="Y174" s="2060"/>
      <c r="Z174" s="2060"/>
      <c r="AA174" s="2060"/>
      <c r="AB174" s="2060"/>
      <c r="AC174" s="2060"/>
      <c r="AD174" s="2060"/>
      <c r="AE174" s="2060"/>
      <c r="AF174" s="2060"/>
      <c r="AG174" s="2060"/>
      <c r="AH174" s="2060"/>
      <c r="AI174" s="2060"/>
      <c r="AJ174" s="2060"/>
      <c r="AK174" s="2060"/>
      <c r="AL174" s="2060"/>
      <c r="AM174" s="2060"/>
      <c r="AN174" s="2060"/>
      <c r="AO174" s="2060"/>
      <c r="AP174" s="2060"/>
      <c r="AQ174" s="2060"/>
      <c r="AR174" s="2060"/>
      <c r="AS174" s="2060"/>
    </row>
    <row r="175" spans="1:45" s="1525" customFormat="1" ht="13.9">
      <c r="A175" s="1510"/>
      <c r="B175" s="2020"/>
      <c r="C175" s="1380" t="s">
        <v>956</v>
      </c>
      <c r="E175" s="328"/>
      <c r="F175" s="1010"/>
      <c r="G175" s="6"/>
      <c r="H175" s="6"/>
      <c r="I175" s="6"/>
      <c r="J175" s="6"/>
      <c r="K175" s="6"/>
      <c r="L175" s="6"/>
      <c r="M175" s="6"/>
      <c r="N175" s="6"/>
      <c r="O175" s="6"/>
      <c r="P175" s="6"/>
      <c r="Q175" s="6"/>
      <c r="R175" s="2060"/>
      <c r="T175" s="2060"/>
      <c r="U175" s="1510"/>
      <c r="V175" s="2060"/>
      <c r="W175" s="2060"/>
      <c r="X175" s="2060"/>
      <c r="Y175" s="2060"/>
      <c r="Z175" s="2060"/>
      <c r="AA175" s="2060"/>
      <c r="AB175" s="2060"/>
      <c r="AC175" s="2060"/>
      <c r="AD175" s="2060"/>
      <c r="AE175" s="2060"/>
      <c r="AF175" s="2060"/>
      <c r="AG175" s="2060"/>
      <c r="AH175" s="2060"/>
      <c r="AI175" s="2060"/>
      <c r="AJ175" s="2060"/>
      <c r="AK175" s="2060"/>
      <c r="AL175" s="2060"/>
      <c r="AM175" s="2060"/>
      <c r="AN175" s="2060"/>
      <c r="AO175" s="2060"/>
      <c r="AP175" s="2060"/>
      <c r="AQ175" s="2060"/>
      <c r="AR175" s="2060"/>
      <c r="AS175" s="2060"/>
    </row>
    <row r="176" spans="1:45" s="1525" customFormat="1" ht="13.9">
      <c r="A176" s="1510"/>
      <c r="B176" s="2020"/>
      <c r="C176" s="304" t="s">
        <v>969</v>
      </c>
      <c r="E176" s="1364">
        <f>IFERROR(E173/E$100,0)</f>
        <v>0</v>
      </c>
      <c r="F176" s="1740">
        <f>IFERROR(F173/F$100,0)</f>
        <v>0</v>
      </c>
      <c r="G176" s="1627">
        <f t="shared" ref="G176:Q176" si="68">IFERROR(IF(ISNUMBER(G174),G174/G$100,IF(ISNUMBER(G175),G175,F176))*(ISNUMBER(G$23)*1),0)</f>
        <v>0</v>
      </c>
      <c r="H176" s="1627">
        <f t="shared" si="68"/>
        <v>0</v>
      </c>
      <c r="I176" s="1627">
        <f t="shared" si="68"/>
        <v>0</v>
      </c>
      <c r="J176" s="1627">
        <f t="shared" si="68"/>
        <v>0</v>
      </c>
      <c r="K176" s="1627">
        <f t="shared" si="68"/>
        <v>0</v>
      </c>
      <c r="L176" s="1627">
        <f t="shared" si="68"/>
        <v>0</v>
      </c>
      <c r="M176" s="1627">
        <f t="shared" si="68"/>
        <v>0</v>
      </c>
      <c r="N176" s="1627">
        <f t="shared" si="68"/>
        <v>0</v>
      </c>
      <c r="O176" s="1627">
        <f t="shared" si="68"/>
        <v>0</v>
      </c>
      <c r="P176" s="1627">
        <f t="shared" si="68"/>
        <v>0</v>
      </c>
      <c r="Q176" s="1627">
        <f t="shared" si="68"/>
        <v>0</v>
      </c>
      <c r="R176" s="2060"/>
      <c r="T176" s="2060"/>
      <c r="U176" s="1510"/>
      <c r="V176" s="2060"/>
      <c r="W176" s="2060"/>
      <c r="X176" s="2060"/>
      <c r="Y176" s="2060"/>
      <c r="Z176" s="2060"/>
      <c r="AA176" s="2060"/>
      <c r="AB176" s="2060"/>
      <c r="AC176" s="2060"/>
      <c r="AD176" s="2060"/>
      <c r="AE176" s="2060"/>
      <c r="AF176" s="2060"/>
      <c r="AG176" s="2060"/>
      <c r="AH176" s="2060"/>
      <c r="AI176" s="2060"/>
      <c r="AJ176" s="2060"/>
      <c r="AK176" s="2060"/>
      <c r="AL176" s="2060"/>
      <c r="AM176" s="2060"/>
      <c r="AN176" s="2060"/>
      <c r="AO176" s="2060"/>
      <c r="AP176" s="2060"/>
      <c r="AQ176" s="2060"/>
      <c r="AR176" s="2060"/>
      <c r="AS176" s="2060"/>
    </row>
    <row r="177" spans="1:45" s="1525" customFormat="1" ht="13.9">
      <c r="A177" s="1510"/>
      <c r="B177" s="2020"/>
      <c r="C177" s="1530"/>
      <c r="E177" s="1505"/>
      <c r="F177" s="1806"/>
      <c r="G177" s="1627"/>
      <c r="H177" s="1627"/>
      <c r="I177" s="1627"/>
      <c r="J177" s="1627"/>
      <c r="K177" s="1627"/>
      <c r="L177" s="1627"/>
      <c r="M177" s="1627"/>
      <c r="N177" s="1627"/>
      <c r="O177" s="1627"/>
      <c r="P177" s="1627"/>
      <c r="Q177" s="1627"/>
      <c r="R177" s="2060"/>
      <c r="T177" s="2060"/>
      <c r="U177" s="1510"/>
      <c r="V177" s="2060"/>
      <c r="W177" s="2060"/>
      <c r="X177" s="2060"/>
      <c r="Y177" s="2060"/>
      <c r="Z177" s="2060"/>
      <c r="AA177" s="2060"/>
      <c r="AB177" s="2060"/>
      <c r="AC177" s="2060"/>
      <c r="AD177" s="2060"/>
      <c r="AE177" s="2060"/>
      <c r="AF177" s="2060"/>
      <c r="AG177" s="2060"/>
      <c r="AH177" s="2060"/>
      <c r="AI177" s="2060"/>
      <c r="AJ177" s="2060"/>
      <c r="AK177" s="2060"/>
      <c r="AL177" s="2060"/>
      <c r="AM177" s="2060"/>
      <c r="AN177" s="2060"/>
      <c r="AO177" s="2060"/>
      <c r="AP177" s="2060"/>
      <c r="AQ177" s="2060"/>
      <c r="AR177" s="2060"/>
      <c r="AS177" s="2060"/>
    </row>
    <row r="178" spans="1:45" s="1525" customFormat="1" ht="13.9">
      <c r="A178" s="1510"/>
      <c r="B178" s="2020"/>
      <c r="C178" s="2206" t="s">
        <v>993</v>
      </c>
      <c r="E178" s="328">
        <f>IF(StubY,'BAL SHEET Hist Input'!J27,'BAL SHEET Hist Input'!I27)</f>
        <v>0</v>
      </c>
      <c r="F178" s="1010">
        <f>IF(StubY,'BAL SHEET Hist Input'!K27,'BAL SHEET Hist Input'!J27)</f>
        <v>0</v>
      </c>
      <c r="G178" s="328">
        <f>IFERROR(G181*G$100,0)</f>
        <v>0</v>
      </c>
      <c r="H178" s="328">
        <f>IFERROR(H181*H$100,0)</f>
        <v>0</v>
      </c>
      <c r="I178" s="328">
        <f t="shared" ref="I178:Q178" si="69">IFERROR(I181*I$100,0)</f>
        <v>0</v>
      </c>
      <c r="J178" s="328">
        <f t="shared" si="69"/>
        <v>0</v>
      </c>
      <c r="K178" s="328">
        <f t="shared" si="69"/>
        <v>0</v>
      </c>
      <c r="L178" s="328">
        <f t="shared" si="69"/>
        <v>0</v>
      </c>
      <c r="M178" s="328">
        <f t="shared" si="69"/>
        <v>0</v>
      </c>
      <c r="N178" s="328">
        <f t="shared" si="69"/>
        <v>0</v>
      </c>
      <c r="O178" s="328">
        <f t="shared" si="69"/>
        <v>0</v>
      </c>
      <c r="P178" s="328">
        <f t="shared" si="69"/>
        <v>0</v>
      </c>
      <c r="Q178" s="328">
        <f t="shared" si="69"/>
        <v>0</v>
      </c>
      <c r="R178" s="2060"/>
      <c r="T178" s="2060"/>
      <c r="U178" s="1510"/>
      <c r="V178" s="2060"/>
      <c r="W178" s="2060"/>
      <c r="X178" s="2060"/>
      <c r="Y178" s="2060"/>
      <c r="Z178" s="2060"/>
      <c r="AA178" s="2060"/>
      <c r="AB178" s="2060"/>
      <c r="AC178" s="2060"/>
      <c r="AD178" s="2060"/>
      <c r="AE178" s="2060"/>
      <c r="AF178" s="2060"/>
      <c r="AG178" s="2060"/>
      <c r="AH178" s="2060"/>
      <c r="AI178" s="2060"/>
      <c r="AJ178" s="2060"/>
      <c r="AK178" s="2060"/>
      <c r="AL178" s="2060"/>
      <c r="AM178" s="2060"/>
      <c r="AN178" s="2060"/>
      <c r="AO178" s="2060"/>
      <c r="AP178" s="2060"/>
      <c r="AQ178" s="2060"/>
      <c r="AR178" s="2060"/>
      <c r="AS178" s="2060"/>
    </row>
    <row r="179" spans="1:45" s="1525" customFormat="1" ht="13.9">
      <c r="A179" s="1510"/>
      <c r="B179" s="2020"/>
      <c r="C179" s="304" t="s">
        <v>953</v>
      </c>
      <c r="E179" s="328"/>
      <c r="F179" s="1010"/>
      <c r="G179" s="1064"/>
      <c r="H179" s="1064"/>
      <c r="I179" s="1064"/>
      <c r="J179" s="1064"/>
      <c r="K179" s="1064"/>
      <c r="L179" s="1064"/>
      <c r="M179" s="1064"/>
      <c r="N179" s="1064"/>
      <c r="O179" s="1064"/>
      <c r="P179" s="1064"/>
      <c r="Q179" s="1064"/>
      <c r="R179" s="2060"/>
      <c r="T179" s="2060"/>
      <c r="U179" s="1510"/>
      <c r="V179" s="2060"/>
      <c r="W179" s="2060"/>
      <c r="X179" s="2060"/>
      <c r="Y179" s="2060"/>
      <c r="Z179" s="2060"/>
      <c r="AA179" s="2060"/>
      <c r="AB179" s="2060"/>
      <c r="AC179" s="2060"/>
      <c r="AD179" s="2060"/>
      <c r="AE179" s="2060"/>
      <c r="AF179" s="2060"/>
      <c r="AG179" s="2060"/>
      <c r="AH179" s="2060"/>
      <c r="AI179" s="2060"/>
      <c r="AJ179" s="2060"/>
      <c r="AK179" s="2060"/>
      <c r="AL179" s="2060"/>
      <c r="AM179" s="2060"/>
      <c r="AN179" s="2060"/>
      <c r="AO179" s="2060"/>
      <c r="AP179" s="2060"/>
      <c r="AQ179" s="2060"/>
      <c r="AR179" s="2060"/>
      <c r="AS179" s="2060"/>
    </row>
    <row r="180" spans="1:45" s="1525" customFormat="1" ht="13.9">
      <c r="A180" s="1510"/>
      <c r="B180" s="2020"/>
      <c r="C180" s="1380" t="s">
        <v>956</v>
      </c>
      <c r="E180" s="328"/>
      <c r="F180" s="1010"/>
      <c r="G180" s="6"/>
      <c r="H180" s="6"/>
      <c r="I180" s="6"/>
      <c r="J180" s="6"/>
      <c r="K180" s="6"/>
      <c r="L180" s="6"/>
      <c r="M180" s="6"/>
      <c r="N180" s="6"/>
      <c r="O180" s="6"/>
      <c r="P180" s="6"/>
      <c r="Q180" s="6"/>
      <c r="R180" s="2060"/>
      <c r="T180" s="2060"/>
      <c r="U180" s="1510"/>
      <c r="V180" s="2060"/>
      <c r="W180" s="2060"/>
      <c r="X180" s="2060"/>
      <c r="Y180" s="2060"/>
      <c r="Z180" s="2060"/>
      <c r="AA180" s="2060"/>
      <c r="AB180" s="2060"/>
      <c r="AC180" s="2060"/>
      <c r="AD180" s="2060"/>
      <c r="AE180" s="2060"/>
      <c r="AF180" s="2060"/>
      <c r="AG180" s="2060"/>
      <c r="AH180" s="2060"/>
      <c r="AI180" s="2060"/>
      <c r="AJ180" s="2060"/>
      <c r="AK180" s="2060"/>
      <c r="AL180" s="2060"/>
      <c r="AM180" s="2060"/>
      <c r="AN180" s="2060"/>
      <c r="AO180" s="2060"/>
      <c r="AP180" s="2060"/>
      <c r="AQ180" s="2060"/>
      <c r="AR180" s="2060"/>
      <c r="AS180" s="2060"/>
    </row>
    <row r="181" spans="1:45" s="1525" customFormat="1" ht="13.9">
      <c r="A181" s="1510"/>
      <c r="B181" s="2020"/>
      <c r="C181" s="304" t="s">
        <v>969</v>
      </c>
      <c r="E181" s="1364">
        <f>IFERROR(E178/E$100,0)</f>
        <v>0</v>
      </c>
      <c r="F181" s="1740">
        <f>IFERROR(F178/F$100,0)</f>
        <v>0</v>
      </c>
      <c r="G181" s="1627">
        <f t="shared" ref="G181:Q181" si="70">IFERROR(IF(ISNUMBER(G179),G179/G$100,IF(ISNUMBER(G180),G180,F181))*(ISNUMBER(G$23)*1),0)</f>
        <v>0</v>
      </c>
      <c r="H181" s="1627">
        <f t="shared" si="70"/>
        <v>0</v>
      </c>
      <c r="I181" s="1627">
        <f t="shared" si="70"/>
        <v>0</v>
      </c>
      <c r="J181" s="1627">
        <f t="shared" si="70"/>
        <v>0</v>
      </c>
      <c r="K181" s="1627">
        <f t="shared" si="70"/>
        <v>0</v>
      </c>
      <c r="L181" s="1627">
        <f t="shared" si="70"/>
        <v>0</v>
      </c>
      <c r="M181" s="1627">
        <f t="shared" si="70"/>
        <v>0</v>
      </c>
      <c r="N181" s="1627">
        <f t="shared" si="70"/>
        <v>0</v>
      </c>
      <c r="O181" s="1627">
        <f t="shared" si="70"/>
        <v>0</v>
      </c>
      <c r="P181" s="1627">
        <f t="shared" si="70"/>
        <v>0</v>
      </c>
      <c r="Q181" s="1627">
        <f t="shared" si="70"/>
        <v>0</v>
      </c>
      <c r="R181" s="2060"/>
      <c r="T181" s="2060"/>
      <c r="U181" s="1510"/>
      <c r="V181" s="2060"/>
      <c r="W181" s="2060"/>
      <c r="X181" s="2060"/>
      <c r="Y181" s="2060"/>
      <c r="Z181" s="2060"/>
      <c r="AA181" s="2060"/>
      <c r="AB181" s="2060"/>
      <c r="AC181" s="2060"/>
      <c r="AD181" s="2060"/>
      <c r="AE181" s="2060"/>
      <c r="AF181" s="2060"/>
      <c r="AG181" s="2060"/>
      <c r="AH181" s="2060"/>
      <c r="AI181" s="2060"/>
      <c r="AJ181" s="2060"/>
      <c r="AK181" s="2060"/>
      <c r="AL181" s="2060"/>
      <c r="AM181" s="2060"/>
      <c r="AN181" s="2060"/>
      <c r="AO181" s="2060"/>
      <c r="AP181" s="2060"/>
      <c r="AQ181" s="2060"/>
      <c r="AR181" s="2060"/>
      <c r="AS181" s="2060"/>
    </row>
    <row r="182" spans="1:45" s="1525" customFormat="1" ht="14.45" thickBot="1">
      <c r="A182" s="1510"/>
      <c r="B182" s="2020"/>
      <c r="C182" s="2006" t="s">
        <v>994</v>
      </c>
      <c r="D182" s="2007"/>
      <c r="E182" s="2008">
        <f t="shared" ref="E182:Q182" si="71">E147+E152+E154+E156+E158+E163+E168+E173+E178</f>
        <v>0</v>
      </c>
      <c r="F182" s="2032">
        <f t="shared" si="71"/>
        <v>0</v>
      </c>
      <c r="G182" s="2009">
        <f t="shared" ca="1" si="71"/>
        <v>0</v>
      </c>
      <c r="H182" s="2008">
        <f t="shared" ca="1" si="71"/>
        <v>0</v>
      </c>
      <c r="I182" s="2008">
        <f t="shared" ca="1" si="71"/>
        <v>0</v>
      </c>
      <c r="J182" s="2008">
        <f t="shared" ca="1" si="71"/>
        <v>0</v>
      </c>
      <c r="K182" s="2008">
        <f t="shared" ca="1" si="71"/>
        <v>0</v>
      </c>
      <c r="L182" s="2008">
        <f t="shared" ca="1" si="71"/>
        <v>0</v>
      </c>
      <c r="M182" s="2008">
        <f t="shared" ca="1" si="71"/>
        <v>0</v>
      </c>
      <c r="N182" s="2008">
        <f t="shared" ca="1" si="71"/>
        <v>0</v>
      </c>
      <c r="O182" s="2008">
        <f t="shared" ca="1" si="71"/>
        <v>0</v>
      </c>
      <c r="P182" s="2008">
        <f t="shared" ca="1" si="71"/>
        <v>0</v>
      </c>
      <c r="Q182" s="2008">
        <f t="shared" ca="1" si="71"/>
        <v>0</v>
      </c>
      <c r="R182" s="30"/>
      <c r="T182" s="2060"/>
      <c r="U182" s="1510"/>
      <c r="V182" s="2060"/>
      <c r="W182" s="2060"/>
      <c r="X182" s="2060"/>
      <c r="Y182" s="2060"/>
      <c r="Z182" s="2060"/>
      <c r="AA182" s="2060"/>
      <c r="AB182" s="2060"/>
      <c r="AC182" s="2060"/>
      <c r="AD182" s="2060"/>
      <c r="AE182" s="2060"/>
      <c r="AF182" s="2060"/>
      <c r="AG182" s="2060"/>
      <c r="AH182" s="2060"/>
      <c r="AI182" s="2060"/>
      <c r="AJ182" s="2060"/>
      <c r="AK182" s="2060"/>
      <c r="AL182" s="2060"/>
      <c r="AM182" s="2060"/>
      <c r="AN182" s="2060"/>
      <c r="AO182" s="2060"/>
      <c r="AP182" s="2060"/>
      <c r="AQ182" s="2060"/>
      <c r="AR182" s="2060"/>
      <c r="AS182" s="2060"/>
    </row>
    <row r="183" spans="1:45" s="1525" customFormat="1" ht="13.9">
      <c r="A183" s="1510"/>
      <c r="B183" s="2020"/>
      <c r="C183" s="1530"/>
      <c r="E183" s="1505"/>
      <c r="F183" s="1806"/>
      <c r="R183" s="2060"/>
      <c r="T183" s="2060"/>
      <c r="U183" s="1510"/>
      <c r="V183" s="2060"/>
      <c r="W183" s="2060"/>
      <c r="X183" s="2060"/>
      <c r="Y183" s="2060"/>
      <c r="Z183" s="2060"/>
      <c r="AA183" s="2060"/>
      <c r="AB183" s="2060"/>
      <c r="AC183" s="2060"/>
      <c r="AD183" s="2060"/>
      <c r="AE183" s="2060"/>
      <c r="AF183" s="2060"/>
      <c r="AG183" s="2060"/>
      <c r="AH183" s="2060"/>
      <c r="AI183" s="2060"/>
      <c r="AJ183" s="2060"/>
      <c r="AK183" s="2060"/>
      <c r="AL183" s="2060"/>
      <c r="AM183" s="2060"/>
      <c r="AN183" s="2060"/>
      <c r="AO183" s="2060"/>
      <c r="AP183" s="2060"/>
      <c r="AQ183" s="2060"/>
      <c r="AR183" s="2060"/>
      <c r="AS183" s="2060"/>
    </row>
    <row r="184" spans="1:45" s="1525" customFormat="1" ht="15.6">
      <c r="A184" s="1510"/>
      <c r="B184" s="2020"/>
      <c r="C184" s="2015" t="s">
        <v>995</v>
      </c>
      <c r="E184" s="1505"/>
      <c r="F184" s="1806"/>
      <c r="R184" s="2060"/>
      <c r="T184" s="2060"/>
      <c r="U184" s="1510"/>
      <c r="V184" s="2060"/>
      <c r="W184" s="2060"/>
      <c r="X184" s="2060"/>
      <c r="Y184" s="2060"/>
      <c r="Z184" s="2060"/>
      <c r="AA184" s="2060"/>
      <c r="AB184" s="2060"/>
      <c r="AC184" s="2060"/>
      <c r="AD184" s="2060"/>
      <c r="AE184" s="2060"/>
      <c r="AF184" s="2060"/>
      <c r="AG184" s="2060"/>
      <c r="AH184" s="2060"/>
      <c r="AI184" s="2060"/>
      <c r="AJ184" s="2060"/>
      <c r="AK184" s="2060"/>
      <c r="AL184" s="2060"/>
      <c r="AM184" s="2060"/>
      <c r="AN184" s="2060"/>
      <c r="AO184" s="2060"/>
      <c r="AP184" s="2060"/>
      <c r="AQ184" s="2060"/>
      <c r="AR184" s="2060"/>
      <c r="AS184" s="2060"/>
    </row>
    <row r="185" spans="1:45" s="1525" customFormat="1" ht="13.9">
      <c r="A185" s="1510"/>
      <c r="B185" s="2020"/>
      <c r="C185" s="1525" t="s">
        <v>996</v>
      </c>
      <c r="E185" s="1505"/>
      <c r="F185" s="1806"/>
      <c r="G185" s="1525">
        <f>-MIN(G$292,0)</f>
        <v>0</v>
      </c>
      <c r="H185" s="1525">
        <f t="shared" ref="H185:Q185" si="72">-MIN(H$292,0)</f>
        <v>0</v>
      </c>
      <c r="I185" s="1525">
        <f t="shared" si="72"/>
        <v>0</v>
      </c>
      <c r="J185" s="1525">
        <f t="shared" si="72"/>
        <v>0</v>
      </c>
      <c r="K185" s="1525">
        <f t="shared" si="72"/>
        <v>0</v>
      </c>
      <c r="L185" s="1525">
        <f t="shared" si="72"/>
        <v>0</v>
      </c>
      <c r="M185" s="1525">
        <f t="shared" si="72"/>
        <v>0</v>
      </c>
      <c r="N185" s="1525">
        <f t="shared" si="72"/>
        <v>0</v>
      </c>
      <c r="O185" s="1525">
        <f t="shared" si="72"/>
        <v>0</v>
      </c>
      <c r="P185" s="1525">
        <f t="shared" si="72"/>
        <v>0</v>
      </c>
      <c r="Q185" s="1525">
        <f t="shared" si="72"/>
        <v>0</v>
      </c>
      <c r="R185" s="2060"/>
      <c r="T185" s="2060"/>
      <c r="U185" s="1510"/>
      <c r="V185" s="2060"/>
      <c r="W185" s="2060"/>
      <c r="X185" s="2060"/>
      <c r="Y185" s="2060"/>
      <c r="Z185" s="2060"/>
      <c r="AA185" s="2060"/>
      <c r="AB185" s="2060"/>
      <c r="AC185" s="2060"/>
      <c r="AD185" s="2060"/>
      <c r="AE185" s="2060"/>
      <c r="AF185" s="2060"/>
      <c r="AG185" s="2060"/>
      <c r="AH185" s="2060"/>
      <c r="AI185" s="2060"/>
      <c r="AJ185" s="2060"/>
      <c r="AK185" s="2060"/>
      <c r="AL185" s="2060"/>
      <c r="AM185" s="2060"/>
      <c r="AN185" s="2060"/>
      <c r="AO185" s="2060"/>
      <c r="AP185" s="2060"/>
      <c r="AQ185" s="2060"/>
      <c r="AR185" s="2060"/>
      <c r="AS185" s="2060"/>
    </row>
    <row r="186" spans="1:45" s="1525" customFormat="1" ht="13.9">
      <c r="A186" s="1510"/>
      <c r="B186" s="2020"/>
      <c r="C186" s="818" t="s">
        <v>296</v>
      </c>
      <c r="D186" s="2139">
        <v>0</v>
      </c>
      <c r="E186" s="1505" t="s">
        <v>974</v>
      </c>
      <c r="F186" s="1806"/>
      <c r="G186" s="1525">
        <f>-$D$186*AVERAGE(F185:G185)</f>
        <v>0</v>
      </c>
      <c r="H186" s="1525">
        <f t="shared" ref="H186:Q186" si="73">-$D$186*AVERAGE(G185:H185)</f>
        <v>0</v>
      </c>
      <c r="I186" s="1525">
        <f t="shared" si="73"/>
        <v>0</v>
      </c>
      <c r="J186" s="1525">
        <f t="shared" si="73"/>
        <v>0</v>
      </c>
      <c r="K186" s="1525">
        <f t="shared" si="73"/>
        <v>0</v>
      </c>
      <c r="L186" s="1525">
        <f t="shared" si="73"/>
        <v>0</v>
      </c>
      <c r="M186" s="1525">
        <f t="shared" si="73"/>
        <v>0</v>
      </c>
      <c r="N186" s="1525">
        <f t="shared" si="73"/>
        <v>0</v>
      </c>
      <c r="O186" s="1525">
        <f t="shared" si="73"/>
        <v>0</v>
      </c>
      <c r="P186" s="1525">
        <f t="shared" si="73"/>
        <v>0</v>
      </c>
      <c r="Q186" s="1525">
        <f t="shared" si="73"/>
        <v>0</v>
      </c>
      <c r="R186" s="2060"/>
      <c r="T186" s="2060"/>
      <c r="U186" s="1510"/>
      <c r="V186" s="2060"/>
      <c r="W186" s="2060"/>
      <c r="X186" s="2060"/>
      <c r="Y186" s="2060"/>
      <c r="Z186" s="2060"/>
      <c r="AA186" s="2060"/>
      <c r="AB186" s="2060"/>
      <c r="AC186" s="2060"/>
      <c r="AD186" s="2060"/>
      <c r="AE186" s="2060"/>
      <c r="AF186" s="2060"/>
      <c r="AG186" s="2060"/>
      <c r="AH186" s="2060"/>
      <c r="AI186" s="2060"/>
      <c r="AJ186" s="2060"/>
      <c r="AK186" s="2060"/>
      <c r="AL186" s="2060"/>
      <c r="AM186" s="2060"/>
      <c r="AN186" s="2060"/>
      <c r="AO186" s="2060"/>
      <c r="AP186" s="2060"/>
      <c r="AQ186" s="2060"/>
      <c r="AR186" s="2060"/>
      <c r="AS186" s="2060"/>
    </row>
    <row r="187" spans="1:45" s="1525" customFormat="1" ht="13.9">
      <c r="A187" s="1510"/>
      <c r="B187" s="2020"/>
      <c r="E187" s="1505"/>
      <c r="F187" s="1806"/>
      <c r="R187" s="2060"/>
      <c r="T187" s="2060"/>
      <c r="U187" s="1510"/>
      <c r="V187" s="2060"/>
      <c r="W187" s="2060"/>
      <c r="X187" s="2060"/>
      <c r="Y187" s="2060"/>
      <c r="Z187" s="2060"/>
      <c r="AA187" s="2060"/>
      <c r="AB187" s="2060"/>
      <c r="AC187" s="2060"/>
      <c r="AD187" s="2060"/>
      <c r="AE187" s="2060"/>
      <c r="AF187" s="2060"/>
      <c r="AG187" s="2060"/>
      <c r="AH187" s="2060"/>
      <c r="AI187" s="2060"/>
      <c r="AJ187" s="2060"/>
      <c r="AK187" s="2060"/>
      <c r="AL187" s="2060"/>
      <c r="AM187" s="2060"/>
      <c r="AN187" s="2060"/>
      <c r="AO187" s="2060"/>
      <c r="AP187" s="2060"/>
      <c r="AQ187" s="2060"/>
      <c r="AR187" s="2060"/>
      <c r="AS187" s="2060"/>
    </row>
    <row r="188" spans="1:45" s="1525" customFormat="1" ht="13.9">
      <c r="A188" s="1510"/>
      <c r="B188" s="2020"/>
      <c r="C188" s="1530" t="s">
        <v>822</v>
      </c>
      <c r="E188" s="328">
        <f>IF(StubY,'BAL SHEET Hist Input'!J31,'BAL SHEET Hist Input'!I31)</f>
        <v>0</v>
      </c>
      <c r="F188" s="1010">
        <f>IF(StubY,'BAL SHEET Hist Input'!K31,'BAL SHEET Hist Input'!J31)</f>
        <v>0</v>
      </c>
      <c r="G188" s="328">
        <f t="shared" ref="G188:Q188" si="74">IFERROR(G191/G$325*G$101,0)</f>
        <v>0</v>
      </c>
      <c r="H188" s="328">
        <f t="shared" si="74"/>
        <v>0</v>
      </c>
      <c r="I188" s="328">
        <f t="shared" si="74"/>
        <v>0</v>
      </c>
      <c r="J188" s="328">
        <f t="shared" si="74"/>
        <v>0</v>
      </c>
      <c r="K188" s="328">
        <f t="shared" si="74"/>
        <v>0</v>
      </c>
      <c r="L188" s="328">
        <f t="shared" si="74"/>
        <v>0</v>
      </c>
      <c r="M188" s="328">
        <f t="shared" si="74"/>
        <v>0</v>
      </c>
      <c r="N188" s="328">
        <f t="shared" si="74"/>
        <v>0</v>
      </c>
      <c r="O188" s="328">
        <f t="shared" si="74"/>
        <v>0</v>
      </c>
      <c r="P188" s="328">
        <f t="shared" si="74"/>
        <v>0</v>
      </c>
      <c r="Q188" s="328">
        <f t="shared" si="74"/>
        <v>0</v>
      </c>
      <c r="R188" s="2060"/>
      <c r="T188" s="2060"/>
      <c r="U188" s="1510"/>
      <c r="V188" s="2060"/>
      <c r="W188" s="2060"/>
      <c r="X188" s="2060"/>
      <c r="Y188" s="2060"/>
      <c r="Z188" s="2060"/>
      <c r="AA188" s="2060"/>
      <c r="AB188" s="2060"/>
      <c r="AC188" s="2060"/>
      <c r="AD188" s="2060"/>
      <c r="AE188" s="2060"/>
      <c r="AF188" s="2060"/>
      <c r="AG188" s="2060"/>
      <c r="AH188" s="2060"/>
      <c r="AI188" s="2060"/>
      <c r="AJ188" s="2060"/>
      <c r="AK188" s="2060"/>
      <c r="AL188" s="2060"/>
      <c r="AM188" s="2060"/>
      <c r="AN188" s="2060"/>
      <c r="AO188" s="2060"/>
      <c r="AP188" s="2060"/>
      <c r="AQ188" s="2060"/>
      <c r="AR188" s="2060"/>
      <c r="AS188" s="2060"/>
    </row>
    <row r="189" spans="1:45" s="1525" customFormat="1" ht="13.9">
      <c r="A189" s="1510"/>
      <c r="B189" s="2020"/>
      <c r="C189" s="304" t="s">
        <v>953</v>
      </c>
      <c r="E189" s="328"/>
      <c r="F189" s="1010"/>
      <c r="G189" s="1064"/>
      <c r="H189" s="1064"/>
      <c r="I189" s="1064"/>
      <c r="J189" s="1064"/>
      <c r="K189" s="1064"/>
      <c r="L189" s="1064"/>
      <c r="M189" s="1064"/>
      <c r="N189" s="1064"/>
      <c r="O189" s="1064"/>
      <c r="P189" s="1064"/>
      <c r="Q189" s="1064"/>
      <c r="R189" s="2060"/>
      <c r="T189" s="2060"/>
      <c r="U189" s="1510"/>
      <c r="V189" s="2060"/>
      <c r="W189" s="2060"/>
      <c r="X189" s="2060"/>
      <c r="Y189" s="2060"/>
      <c r="Z189" s="2060"/>
      <c r="AA189" s="2060"/>
      <c r="AB189" s="2060"/>
      <c r="AC189" s="2060"/>
      <c r="AD189" s="2060"/>
      <c r="AE189" s="2060"/>
      <c r="AF189" s="2060"/>
      <c r="AG189" s="2060"/>
      <c r="AH189" s="2060"/>
      <c r="AI189" s="2060"/>
      <c r="AJ189" s="2060"/>
      <c r="AK189" s="2060"/>
      <c r="AL189" s="2060"/>
      <c r="AM189" s="2060"/>
      <c r="AN189" s="2060"/>
      <c r="AO189" s="2060"/>
      <c r="AP189" s="2060"/>
      <c r="AQ189" s="2060"/>
      <c r="AR189" s="2060"/>
      <c r="AS189" s="2060"/>
    </row>
    <row r="190" spans="1:45" s="1525" customFormat="1" ht="13.9">
      <c r="A190" s="1510"/>
      <c r="B190" s="2020"/>
      <c r="C190" s="1380" t="s">
        <v>978</v>
      </c>
      <c r="E190" s="328"/>
      <c r="F190" s="1010"/>
      <c r="G190" s="2205"/>
      <c r="H190" s="2205"/>
      <c r="I190" s="2205"/>
      <c r="J190" s="2205"/>
      <c r="K190" s="2205"/>
      <c r="L190" s="2205"/>
      <c r="M190" s="2205"/>
      <c r="N190" s="2205"/>
      <c r="O190" s="2205"/>
      <c r="P190" s="2205"/>
      <c r="Q190" s="2205"/>
      <c r="R190" s="2060"/>
      <c r="T190" s="2060"/>
      <c r="U190" s="1510"/>
      <c r="V190" s="2060"/>
      <c r="W190" s="2060"/>
      <c r="X190" s="2060"/>
      <c r="Y190" s="2060"/>
      <c r="Z190" s="2060"/>
      <c r="AA190" s="2060"/>
      <c r="AB190" s="2060"/>
      <c r="AC190" s="2060"/>
      <c r="AD190" s="2060"/>
      <c r="AE190" s="2060"/>
      <c r="AF190" s="2060"/>
      <c r="AG190" s="2060"/>
      <c r="AH190" s="2060"/>
      <c r="AI190" s="2060"/>
      <c r="AJ190" s="2060"/>
      <c r="AK190" s="2060"/>
      <c r="AL190" s="2060"/>
      <c r="AM190" s="2060"/>
      <c r="AN190" s="2060"/>
      <c r="AO190" s="2060"/>
      <c r="AP190" s="2060"/>
      <c r="AQ190" s="2060"/>
      <c r="AR190" s="2060"/>
      <c r="AS190" s="2060"/>
    </row>
    <row r="191" spans="1:45" s="1525" customFormat="1" ht="13.9">
      <c r="A191" s="1510"/>
      <c r="B191" s="2020"/>
      <c r="C191" s="1530" t="s">
        <v>822</v>
      </c>
      <c r="E191" s="2000">
        <f>IFERROR(E188/E$101*E$325,0)</f>
        <v>0</v>
      </c>
      <c r="F191" s="2001">
        <f>IFERROR(F188/F$101*F$325,0)</f>
        <v>0</v>
      </c>
      <c r="G191" s="2000">
        <f t="shared" ref="G191:Q191" si="75">IFERROR(IF(ISNUMBER(G189),G189/G$101*G$325,IF(ISNUMBER(G190),G190,F191))*(ISNUMBER(G$23)*1),0)</f>
        <v>0</v>
      </c>
      <c r="H191" s="2000">
        <f t="shared" si="75"/>
        <v>0</v>
      </c>
      <c r="I191" s="2000">
        <f t="shared" si="75"/>
        <v>0</v>
      </c>
      <c r="J191" s="2000">
        <f t="shared" si="75"/>
        <v>0</v>
      </c>
      <c r="K191" s="2000">
        <f t="shared" si="75"/>
        <v>0</v>
      </c>
      <c r="L191" s="2000">
        <f t="shared" si="75"/>
        <v>0</v>
      </c>
      <c r="M191" s="2000">
        <f t="shared" si="75"/>
        <v>0</v>
      </c>
      <c r="N191" s="2000">
        <f t="shared" si="75"/>
        <v>0</v>
      </c>
      <c r="O191" s="2000">
        <f t="shared" si="75"/>
        <v>0</v>
      </c>
      <c r="P191" s="2000">
        <f t="shared" si="75"/>
        <v>0</v>
      </c>
      <c r="Q191" s="2000">
        <f t="shared" si="75"/>
        <v>0</v>
      </c>
      <c r="R191" s="1502"/>
      <c r="T191" s="2060"/>
      <c r="U191" s="1510"/>
      <c r="V191" s="2060"/>
      <c r="W191" s="2060"/>
      <c r="X191" s="2060"/>
      <c r="Y191" s="2060"/>
      <c r="Z191" s="2060"/>
      <c r="AA191" s="2060"/>
      <c r="AB191" s="2060"/>
      <c r="AC191" s="2060"/>
      <c r="AD191" s="2060"/>
      <c r="AE191" s="2060"/>
      <c r="AF191" s="2060"/>
      <c r="AG191" s="2060"/>
      <c r="AH191" s="2060"/>
      <c r="AI191" s="2060"/>
      <c r="AJ191" s="2060"/>
      <c r="AK191" s="2060"/>
      <c r="AL191" s="2060"/>
      <c r="AM191" s="2060"/>
      <c r="AN191" s="2060"/>
      <c r="AO191" s="2060"/>
      <c r="AP191" s="2060"/>
      <c r="AQ191" s="2060"/>
      <c r="AR191" s="2060"/>
      <c r="AS191" s="2060"/>
    </row>
    <row r="192" spans="1:45" s="1525" customFormat="1" ht="13.9">
      <c r="A192" s="1510"/>
      <c r="B192" s="2020"/>
      <c r="C192" s="1530"/>
      <c r="E192" s="1505"/>
      <c r="F192" s="1806"/>
      <c r="R192" s="2060"/>
      <c r="T192" s="2060"/>
      <c r="U192" s="1510"/>
      <c r="V192" s="2060"/>
      <c r="W192" s="2060"/>
      <c r="X192" s="2060"/>
      <c r="Y192" s="2060"/>
      <c r="Z192" s="2060"/>
      <c r="AA192" s="2060"/>
      <c r="AB192" s="2060"/>
      <c r="AC192" s="2060"/>
      <c r="AD192" s="2060"/>
      <c r="AE192" s="2060"/>
      <c r="AF192" s="2060"/>
      <c r="AG192" s="2060"/>
      <c r="AH192" s="2060"/>
      <c r="AI192" s="2060"/>
      <c r="AJ192" s="2060"/>
      <c r="AK192" s="2060"/>
      <c r="AL192" s="2060"/>
      <c r="AM192" s="2060"/>
      <c r="AN192" s="2060"/>
      <c r="AO192" s="2060"/>
      <c r="AP192" s="2060"/>
      <c r="AQ192" s="2060"/>
      <c r="AR192" s="2060"/>
      <c r="AS192" s="2060"/>
    </row>
    <row r="193" spans="1:45" s="1525" customFormat="1" ht="13.9">
      <c r="A193" s="1510"/>
      <c r="B193" s="2020"/>
      <c r="C193" s="2206" t="s">
        <v>997</v>
      </c>
      <c r="E193" s="328">
        <f>IF(StubY,'BAL SHEET Hist Input'!J32,'BAL SHEET Hist Input'!I32)</f>
        <v>0</v>
      </c>
      <c r="F193" s="1010">
        <f>IF(StubY,'BAL SHEET Hist Input'!K32,'BAL SHEET Hist Input'!J32)</f>
        <v>0</v>
      </c>
      <c r="G193" s="328">
        <f>IFERROR(G196*G$100,0)</f>
        <v>0</v>
      </c>
      <c r="H193" s="328">
        <f>IFERROR(H196*H$100,0)</f>
        <v>0</v>
      </c>
      <c r="I193" s="328">
        <f t="shared" ref="I193:Q193" si="76">IFERROR(I196*I$100,0)</f>
        <v>0</v>
      </c>
      <c r="J193" s="328">
        <f t="shared" si="76"/>
        <v>0</v>
      </c>
      <c r="K193" s="328">
        <f t="shared" si="76"/>
        <v>0</v>
      </c>
      <c r="L193" s="328">
        <f t="shared" si="76"/>
        <v>0</v>
      </c>
      <c r="M193" s="328">
        <f t="shared" si="76"/>
        <v>0</v>
      </c>
      <c r="N193" s="328">
        <f t="shared" si="76"/>
        <v>0</v>
      </c>
      <c r="O193" s="328">
        <f t="shared" si="76"/>
        <v>0</v>
      </c>
      <c r="P193" s="328">
        <f t="shared" si="76"/>
        <v>0</v>
      </c>
      <c r="Q193" s="328">
        <f t="shared" si="76"/>
        <v>0</v>
      </c>
      <c r="R193" s="2060"/>
      <c r="T193" s="2060"/>
      <c r="U193" s="1510"/>
      <c r="V193" s="2060"/>
      <c r="W193" s="2060"/>
      <c r="X193" s="2060"/>
      <c r="Y193" s="2060"/>
      <c r="Z193" s="2060"/>
      <c r="AA193" s="2060"/>
      <c r="AB193" s="2060"/>
      <c r="AC193" s="2060"/>
      <c r="AD193" s="2060"/>
      <c r="AE193" s="2060"/>
      <c r="AF193" s="2060"/>
      <c r="AG193" s="2060"/>
      <c r="AH193" s="2060"/>
      <c r="AI193" s="2060"/>
      <c r="AJ193" s="2060"/>
      <c r="AK193" s="2060"/>
      <c r="AL193" s="2060"/>
      <c r="AM193" s="2060"/>
      <c r="AN193" s="2060"/>
      <c r="AO193" s="2060"/>
      <c r="AP193" s="2060"/>
      <c r="AQ193" s="2060"/>
      <c r="AR193" s="2060"/>
      <c r="AS193" s="2060"/>
    </row>
    <row r="194" spans="1:45" s="1525" customFormat="1" ht="13.9">
      <c r="A194" s="1510"/>
      <c r="B194" s="2020"/>
      <c r="C194" s="304" t="s">
        <v>953</v>
      </c>
      <c r="E194" s="328"/>
      <c r="F194" s="1010"/>
      <c r="G194" s="1064"/>
      <c r="H194" s="1064"/>
      <c r="I194" s="1064"/>
      <c r="J194" s="1064"/>
      <c r="K194" s="1064"/>
      <c r="L194" s="1064"/>
      <c r="M194" s="1064"/>
      <c r="N194" s="1064"/>
      <c r="O194" s="1064"/>
      <c r="P194" s="1064"/>
      <c r="Q194" s="1064"/>
      <c r="R194" s="2060"/>
      <c r="T194" s="2060"/>
      <c r="U194" s="1510"/>
      <c r="V194" s="2060"/>
      <c r="W194" s="2060"/>
      <c r="X194" s="2060"/>
      <c r="Y194" s="2060"/>
      <c r="Z194" s="2060"/>
      <c r="AA194" s="2060"/>
      <c r="AB194" s="2060"/>
      <c r="AC194" s="2060"/>
      <c r="AD194" s="2060"/>
      <c r="AE194" s="2060"/>
      <c r="AF194" s="2060"/>
      <c r="AG194" s="2060"/>
      <c r="AH194" s="2060"/>
      <c r="AI194" s="2060"/>
      <c r="AJ194" s="2060"/>
      <c r="AK194" s="2060"/>
      <c r="AL194" s="2060"/>
      <c r="AM194" s="2060"/>
      <c r="AN194" s="2060"/>
      <c r="AO194" s="2060"/>
      <c r="AP194" s="2060"/>
      <c r="AQ194" s="2060"/>
      <c r="AR194" s="2060"/>
      <c r="AS194" s="2060"/>
    </row>
    <row r="195" spans="1:45" s="1525" customFormat="1" ht="13.9">
      <c r="A195" s="1510"/>
      <c r="B195" s="2020"/>
      <c r="C195" s="1380" t="s">
        <v>956</v>
      </c>
      <c r="E195" s="328"/>
      <c r="F195" s="1010"/>
      <c r="G195" s="6"/>
      <c r="H195" s="6"/>
      <c r="I195" s="6"/>
      <c r="J195" s="6"/>
      <c r="K195" s="6"/>
      <c r="L195" s="6"/>
      <c r="M195" s="6"/>
      <c r="N195" s="6"/>
      <c r="O195" s="6"/>
      <c r="P195" s="6"/>
      <c r="Q195" s="6"/>
      <c r="R195" s="2060"/>
      <c r="T195" s="2060"/>
      <c r="U195" s="1510"/>
      <c r="V195" s="2060"/>
      <c r="W195" s="2060"/>
      <c r="X195" s="2060"/>
      <c r="Y195" s="2060"/>
      <c r="Z195" s="2060"/>
      <c r="AA195" s="2060"/>
      <c r="AB195" s="2060"/>
      <c r="AC195" s="2060"/>
      <c r="AD195" s="2060"/>
      <c r="AE195" s="2060"/>
      <c r="AF195" s="2060"/>
      <c r="AG195" s="2060"/>
      <c r="AH195" s="2060"/>
      <c r="AI195" s="2060"/>
      <c r="AJ195" s="2060"/>
      <c r="AK195" s="2060"/>
      <c r="AL195" s="2060"/>
      <c r="AM195" s="2060"/>
      <c r="AN195" s="2060"/>
      <c r="AO195" s="2060"/>
      <c r="AP195" s="2060"/>
      <c r="AQ195" s="2060"/>
      <c r="AR195" s="2060"/>
      <c r="AS195" s="2060"/>
    </row>
    <row r="196" spans="1:45" s="1525" customFormat="1" ht="13.9">
      <c r="A196" s="1510"/>
      <c r="B196" s="2020"/>
      <c r="C196" s="304" t="s">
        <v>969</v>
      </c>
      <c r="E196" s="1364">
        <f>IFERROR(E193/E$100,0)</f>
        <v>0</v>
      </c>
      <c r="F196" s="1740">
        <f>IFERROR(F193/F$100,0)</f>
        <v>0</v>
      </c>
      <c r="G196" s="1627">
        <f t="shared" ref="G196:Q196" si="77">IFERROR(IF(ISNUMBER(G194),G194/G$100,IF(ISNUMBER(G195),G195,F196))*(ISNUMBER(G$23)*1),0)</f>
        <v>0</v>
      </c>
      <c r="H196" s="1627">
        <f t="shared" si="77"/>
        <v>0</v>
      </c>
      <c r="I196" s="1627">
        <f t="shared" si="77"/>
        <v>0</v>
      </c>
      <c r="J196" s="1627">
        <f t="shared" si="77"/>
        <v>0</v>
      </c>
      <c r="K196" s="1627">
        <f t="shared" si="77"/>
        <v>0</v>
      </c>
      <c r="L196" s="1627">
        <f t="shared" si="77"/>
        <v>0</v>
      </c>
      <c r="M196" s="1627">
        <f t="shared" si="77"/>
        <v>0</v>
      </c>
      <c r="N196" s="1627">
        <f t="shared" si="77"/>
        <v>0</v>
      </c>
      <c r="O196" s="1627">
        <f t="shared" si="77"/>
        <v>0</v>
      </c>
      <c r="P196" s="1627">
        <f t="shared" si="77"/>
        <v>0</v>
      </c>
      <c r="Q196" s="1627">
        <f t="shared" si="77"/>
        <v>0</v>
      </c>
      <c r="R196" s="2060"/>
      <c r="T196" s="2060"/>
      <c r="U196" s="1510"/>
      <c r="V196" s="2060"/>
      <c r="W196" s="2060"/>
      <c r="X196" s="2060"/>
      <c r="Y196" s="2060"/>
      <c r="Z196" s="2060"/>
      <c r="AA196" s="2060"/>
      <c r="AB196" s="2060"/>
      <c r="AC196" s="2060"/>
      <c r="AD196" s="2060"/>
      <c r="AE196" s="2060"/>
      <c r="AF196" s="2060"/>
      <c r="AG196" s="2060"/>
      <c r="AH196" s="2060"/>
      <c r="AI196" s="2060"/>
      <c r="AJ196" s="2060"/>
      <c r="AK196" s="2060"/>
      <c r="AL196" s="2060"/>
      <c r="AM196" s="2060"/>
      <c r="AN196" s="2060"/>
      <c r="AO196" s="2060"/>
      <c r="AP196" s="2060"/>
      <c r="AQ196" s="2060"/>
      <c r="AR196" s="2060"/>
      <c r="AS196" s="2060"/>
    </row>
    <row r="197" spans="1:45" s="1525" customFormat="1" ht="13.9">
      <c r="A197" s="1510"/>
      <c r="B197" s="2020"/>
      <c r="C197" s="1530"/>
      <c r="E197" s="1505"/>
      <c r="F197" s="1806"/>
      <c r="G197" s="1627"/>
      <c r="H197" s="1627"/>
      <c r="I197" s="1627"/>
      <c r="J197" s="1627"/>
      <c r="K197" s="1627"/>
      <c r="L197" s="1627"/>
      <c r="M197" s="1627"/>
      <c r="N197" s="1627"/>
      <c r="O197" s="1627"/>
      <c r="P197" s="1627"/>
      <c r="Q197" s="1627"/>
      <c r="R197" s="2060"/>
      <c r="T197" s="2060"/>
      <c r="U197" s="1510"/>
      <c r="V197" s="2060"/>
      <c r="W197" s="2060"/>
      <c r="X197" s="2060"/>
      <c r="Y197" s="2060"/>
      <c r="Z197" s="2060"/>
      <c r="AA197" s="2060"/>
      <c r="AB197" s="2060"/>
      <c r="AC197" s="2060"/>
      <c r="AD197" s="2060"/>
      <c r="AE197" s="2060"/>
      <c r="AF197" s="2060"/>
      <c r="AG197" s="2060"/>
      <c r="AH197" s="2060"/>
      <c r="AI197" s="2060"/>
      <c r="AJ197" s="2060"/>
      <c r="AK197" s="2060"/>
      <c r="AL197" s="2060"/>
      <c r="AM197" s="2060"/>
      <c r="AN197" s="2060"/>
      <c r="AO197" s="2060"/>
      <c r="AP197" s="2060"/>
      <c r="AQ197" s="2060"/>
      <c r="AR197" s="2060"/>
      <c r="AS197" s="2060"/>
    </row>
    <row r="198" spans="1:45" s="1525" customFormat="1" ht="13.9">
      <c r="A198" s="1510"/>
      <c r="B198" s="2020"/>
      <c r="C198" s="2206" t="s">
        <v>998</v>
      </c>
      <c r="E198" s="328">
        <f>IF(StubY,'BAL SHEET Hist Input'!J33,'BAL SHEET Hist Input'!I33)</f>
        <v>0</v>
      </c>
      <c r="F198" s="1010">
        <f>IF(StubY,'BAL SHEET Hist Input'!K33,'BAL SHEET Hist Input'!J33)</f>
        <v>0</v>
      </c>
      <c r="G198" s="328">
        <f>IFERROR(G201*G$100,0)</f>
        <v>0</v>
      </c>
      <c r="H198" s="328">
        <f>IFERROR(H201*H$100,0)</f>
        <v>0</v>
      </c>
      <c r="I198" s="328">
        <f t="shared" ref="I198:Q198" si="78">IFERROR(I201*I$100,0)</f>
        <v>0</v>
      </c>
      <c r="J198" s="328">
        <f t="shared" si="78"/>
        <v>0</v>
      </c>
      <c r="K198" s="328">
        <f t="shared" si="78"/>
        <v>0</v>
      </c>
      <c r="L198" s="328">
        <f t="shared" si="78"/>
        <v>0</v>
      </c>
      <c r="M198" s="328">
        <f t="shared" si="78"/>
        <v>0</v>
      </c>
      <c r="N198" s="328">
        <f t="shared" si="78"/>
        <v>0</v>
      </c>
      <c r="O198" s="328">
        <f t="shared" si="78"/>
        <v>0</v>
      </c>
      <c r="P198" s="328">
        <f t="shared" si="78"/>
        <v>0</v>
      </c>
      <c r="Q198" s="328">
        <f t="shared" si="78"/>
        <v>0</v>
      </c>
      <c r="R198" s="2060"/>
      <c r="T198" s="2060"/>
      <c r="U198" s="1510"/>
      <c r="V198" s="2060"/>
      <c r="W198" s="2060"/>
      <c r="X198" s="2060"/>
      <c r="Y198" s="2060"/>
      <c r="Z198" s="2060"/>
      <c r="AA198" s="2060"/>
      <c r="AB198" s="2060"/>
      <c r="AC198" s="2060"/>
      <c r="AD198" s="2060"/>
      <c r="AE198" s="2060"/>
      <c r="AF198" s="2060"/>
      <c r="AG198" s="2060"/>
      <c r="AH198" s="2060"/>
      <c r="AI198" s="2060"/>
      <c r="AJ198" s="2060"/>
      <c r="AK198" s="2060"/>
      <c r="AL198" s="2060"/>
      <c r="AM198" s="2060"/>
      <c r="AN198" s="2060"/>
      <c r="AO198" s="2060"/>
      <c r="AP198" s="2060"/>
      <c r="AQ198" s="2060"/>
      <c r="AR198" s="2060"/>
      <c r="AS198" s="2060"/>
    </row>
    <row r="199" spans="1:45" s="1525" customFormat="1" ht="13.9">
      <c r="A199" s="1510"/>
      <c r="B199" s="2020"/>
      <c r="C199" s="304" t="s">
        <v>953</v>
      </c>
      <c r="E199" s="328"/>
      <c r="F199" s="1010"/>
      <c r="G199" s="1064"/>
      <c r="H199" s="1064"/>
      <c r="I199" s="1064"/>
      <c r="J199" s="1064"/>
      <c r="K199" s="1064"/>
      <c r="L199" s="1064"/>
      <c r="M199" s="1064"/>
      <c r="N199" s="1064"/>
      <c r="O199" s="1064"/>
      <c r="P199" s="1064"/>
      <c r="Q199" s="1064"/>
      <c r="R199" s="2060"/>
      <c r="T199" s="2060"/>
      <c r="U199" s="1510"/>
      <c r="V199" s="2060"/>
      <c r="W199" s="2060"/>
      <c r="X199" s="2060"/>
      <c r="Y199" s="2060"/>
      <c r="Z199" s="2060"/>
      <c r="AA199" s="2060"/>
      <c r="AB199" s="2060"/>
      <c r="AC199" s="2060"/>
      <c r="AD199" s="2060"/>
      <c r="AE199" s="2060"/>
      <c r="AF199" s="2060"/>
      <c r="AG199" s="2060"/>
      <c r="AH199" s="2060"/>
      <c r="AI199" s="2060"/>
      <c r="AJ199" s="2060"/>
      <c r="AK199" s="2060"/>
      <c r="AL199" s="2060"/>
      <c r="AM199" s="2060"/>
      <c r="AN199" s="2060"/>
      <c r="AO199" s="2060"/>
      <c r="AP199" s="2060"/>
      <c r="AQ199" s="2060"/>
      <c r="AR199" s="2060"/>
      <c r="AS199" s="2060"/>
    </row>
    <row r="200" spans="1:45" s="1525" customFormat="1" ht="13.9">
      <c r="A200" s="1510"/>
      <c r="B200" s="2020"/>
      <c r="C200" s="1380" t="s">
        <v>956</v>
      </c>
      <c r="E200" s="328"/>
      <c r="F200" s="1010"/>
      <c r="G200" s="6"/>
      <c r="H200" s="6"/>
      <c r="I200" s="6"/>
      <c r="J200" s="6"/>
      <c r="K200" s="6"/>
      <c r="L200" s="6"/>
      <c r="M200" s="6"/>
      <c r="N200" s="6"/>
      <c r="O200" s="6"/>
      <c r="P200" s="6"/>
      <c r="Q200" s="6"/>
      <c r="R200" s="2060"/>
      <c r="T200" s="2060"/>
      <c r="U200" s="1510"/>
      <c r="V200" s="2060"/>
      <c r="W200" s="2060"/>
      <c r="X200" s="2060"/>
      <c r="Y200" s="2060"/>
      <c r="Z200" s="2060"/>
      <c r="AA200" s="2060"/>
      <c r="AB200" s="2060"/>
      <c r="AC200" s="2060"/>
      <c r="AD200" s="2060"/>
      <c r="AE200" s="2060"/>
      <c r="AF200" s="2060"/>
      <c r="AG200" s="2060"/>
      <c r="AH200" s="2060"/>
      <c r="AI200" s="2060"/>
      <c r="AJ200" s="2060"/>
      <c r="AK200" s="2060"/>
      <c r="AL200" s="2060"/>
      <c r="AM200" s="2060"/>
      <c r="AN200" s="2060"/>
      <c r="AO200" s="2060"/>
      <c r="AP200" s="2060"/>
      <c r="AQ200" s="2060"/>
      <c r="AR200" s="2060"/>
      <c r="AS200" s="2060"/>
    </row>
    <row r="201" spans="1:45" s="1525" customFormat="1" ht="13.9">
      <c r="A201" s="1510"/>
      <c r="B201" s="2020"/>
      <c r="C201" s="304" t="s">
        <v>969</v>
      </c>
      <c r="E201" s="1364">
        <f>IFERROR(E198/E$100,0)</f>
        <v>0</v>
      </c>
      <c r="F201" s="1740">
        <f>IFERROR(F198/F$100,0)</f>
        <v>0</v>
      </c>
      <c r="G201" s="1627">
        <f t="shared" ref="G201:Q201" si="79">IFERROR(IF(ISNUMBER(G199),G199/G$100,IF(ISNUMBER(G200),G200,F201))*(ISNUMBER(G$23)*1),0)</f>
        <v>0</v>
      </c>
      <c r="H201" s="1627">
        <f t="shared" si="79"/>
        <v>0</v>
      </c>
      <c r="I201" s="1627">
        <f t="shared" si="79"/>
        <v>0</v>
      </c>
      <c r="J201" s="1627">
        <f t="shared" si="79"/>
        <v>0</v>
      </c>
      <c r="K201" s="1627">
        <f t="shared" si="79"/>
        <v>0</v>
      </c>
      <c r="L201" s="1627">
        <f t="shared" si="79"/>
        <v>0</v>
      </c>
      <c r="M201" s="1627">
        <f t="shared" si="79"/>
        <v>0</v>
      </c>
      <c r="N201" s="1627">
        <f t="shared" si="79"/>
        <v>0</v>
      </c>
      <c r="O201" s="1627">
        <f t="shared" si="79"/>
        <v>0</v>
      </c>
      <c r="P201" s="1627">
        <f t="shared" si="79"/>
        <v>0</v>
      </c>
      <c r="Q201" s="1627">
        <f t="shared" si="79"/>
        <v>0</v>
      </c>
      <c r="R201" s="2060"/>
      <c r="T201" s="2060"/>
      <c r="U201" s="1510"/>
      <c r="V201" s="2060"/>
      <c r="W201" s="2060"/>
      <c r="X201" s="2060"/>
      <c r="Y201" s="2060"/>
      <c r="Z201" s="2060"/>
      <c r="AA201" s="2060"/>
      <c r="AB201" s="2060"/>
      <c r="AC201" s="2060"/>
      <c r="AD201" s="2060"/>
      <c r="AE201" s="2060"/>
      <c r="AF201" s="2060"/>
      <c r="AG201" s="2060"/>
      <c r="AH201" s="2060"/>
      <c r="AI201" s="2060"/>
      <c r="AJ201" s="2060"/>
      <c r="AK201" s="2060"/>
      <c r="AL201" s="2060"/>
      <c r="AM201" s="2060"/>
      <c r="AN201" s="2060"/>
      <c r="AO201" s="2060"/>
      <c r="AP201" s="2060"/>
      <c r="AQ201" s="2060"/>
      <c r="AR201" s="2060"/>
      <c r="AS201" s="2060"/>
    </row>
    <row r="202" spans="1:45" s="1525" customFormat="1" ht="13.9">
      <c r="A202" s="1510"/>
      <c r="B202" s="2020"/>
      <c r="C202" s="1530"/>
      <c r="E202" s="1505"/>
      <c r="F202" s="1806"/>
      <c r="G202" s="1627"/>
      <c r="H202" s="1627"/>
      <c r="I202" s="1627"/>
      <c r="J202" s="1627"/>
      <c r="K202" s="1627"/>
      <c r="L202" s="1627"/>
      <c r="M202" s="1627"/>
      <c r="N202" s="1627"/>
      <c r="O202" s="1627"/>
      <c r="P202" s="1627"/>
      <c r="Q202" s="1627"/>
      <c r="R202" s="2060"/>
      <c r="T202" s="2060"/>
      <c r="U202" s="1510"/>
      <c r="V202" s="2060"/>
      <c r="W202" s="2060"/>
      <c r="X202" s="2060"/>
      <c r="Y202" s="2060"/>
      <c r="Z202" s="2060"/>
      <c r="AA202" s="2060"/>
      <c r="AB202" s="2060"/>
      <c r="AC202" s="2060"/>
      <c r="AD202" s="2060"/>
      <c r="AE202" s="2060"/>
      <c r="AF202" s="2060"/>
      <c r="AG202" s="2060"/>
      <c r="AH202" s="2060"/>
      <c r="AI202" s="2060"/>
      <c r="AJ202" s="2060"/>
      <c r="AK202" s="2060"/>
      <c r="AL202" s="2060"/>
      <c r="AM202" s="2060"/>
      <c r="AN202" s="2060"/>
      <c r="AO202" s="2060"/>
      <c r="AP202" s="2060"/>
      <c r="AQ202" s="2060"/>
      <c r="AR202" s="2060"/>
      <c r="AS202" s="2060"/>
    </row>
    <row r="203" spans="1:45" s="1525" customFormat="1" ht="13.9">
      <c r="A203" s="1510"/>
      <c r="B203" s="2020"/>
      <c r="C203" s="2206" t="s">
        <v>999</v>
      </c>
      <c r="E203" s="328">
        <f>IF(StubY,'BAL SHEET Hist Input'!J34,'BAL SHEET Hist Input'!I34)</f>
        <v>0</v>
      </c>
      <c r="F203" s="1010">
        <f>IF(StubY,'BAL SHEET Hist Input'!K34,'BAL SHEET Hist Input'!J34)</f>
        <v>0</v>
      </c>
      <c r="G203" s="328">
        <f>IFERROR(G206*G$100,0)</f>
        <v>0</v>
      </c>
      <c r="H203" s="328">
        <f>IFERROR(H206*H$100,0)</f>
        <v>0</v>
      </c>
      <c r="I203" s="328">
        <f t="shared" ref="I203:Q203" si="80">IFERROR(I206*I$100,0)</f>
        <v>0</v>
      </c>
      <c r="J203" s="328">
        <f t="shared" si="80"/>
        <v>0</v>
      </c>
      <c r="K203" s="328">
        <f t="shared" si="80"/>
        <v>0</v>
      </c>
      <c r="L203" s="328">
        <f t="shared" si="80"/>
        <v>0</v>
      </c>
      <c r="M203" s="328">
        <f t="shared" si="80"/>
        <v>0</v>
      </c>
      <c r="N203" s="328">
        <f t="shared" si="80"/>
        <v>0</v>
      </c>
      <c r="O203" s="328">
        <f t="shared" si="80"/>
        <v>0</v>
      </c>
      <c r="P203" s="328">
        <f t="shared" si="80"/>
        <v>0</v>
      </c>
      <c r="Q203" s="328">
        <f t="shared" si="80"/>
        <v>0</v>
      </c>
      <c r="R203" s="2060"/>
      <c r="T203" s="2060"/>
      <c r="U203" s="1510"/>
      <c r="V203" s="2060"/>
      <c r="W203" s="2060"/>
      <c r="X203" s="2060"/>
      <c r="Y203" s="2060"/>
      <c r="Z203" s="2060"/>
      <c r="AA203" s="2060"/>
      <c r="AB203" s="2060"/>
      <c r="AC203" s="2060"/>
      <c r="AD203" s="2060"/>
      <c r="AE203" s="2060"/>
      <c r="AF203" s="2060"/>
      <c r="AG203" s="2060"/>
      <c r="AH203" s="2060"/>
      <c r="AI203" s="2060"/>
      <c r="AJ203" s="2060"/>
      <c r="AK203" s="2060"/>
      <c r="AL203" s="2060"/>
      <c r="AM203" s="2060"/>
      <c r="AN203" s="2060"/>
      <c r="AO203" s="2060"/>
      <c r="AP203" s="2060"/>
      <c r="AQ203" s="2060"/>
      <c r="AR203" s="2060"/>
      <c r="AS203" s="2060"/>
    </row>
    <row r="204" spans="1:45" s="1525" customFormat="1" ht="13.9">
      <c r="A204" s="1510"/>
      <c r="B204" s="2020"/>
      <c r="C204" s="304" t="s">
        <v>953</v>
      </c>
      <c r="E204" s="328"/>
      <c r="F204" s="1010"/>
      <c r="G204" s="1064"/>
      <c r="H204" s="1064"/>
      <c r="I204" s="1064"/>
      <c r="J204" s="1064"/>
      <c r="K204" s="1064"/>
      <c r="L204" s="1064"/>
      <c r="M204" s="1064"/>
      <c r="N204" s="1064"/>
      <c r="O204" s="1064"/>
      <c r="P204" s="1064"/>
      <c r="Q204" s="1064"/>
      <c r="R204" s="2060"/>
      <c r="T204" s="2060"/>
      <c r="U204" s="1510"/>
      <c r="V204" s="2060"/>
      <c r="W204" s="2060"/>
      <c r="X204" s="2060"/>
      <c r="Y204" s="2060"/>
      <c r="Z204" s="2060"/>
      <c r="AA204" s="2060"/>
      <c r="AB204" s="2060"/>
      <c r="AC204" s="2060"/>
      <c r="AD204" s="2060"/>
      <c r="AE204" s="2060"/>
      <c r="AF204" s="2060"/>
      <c r="AG204" s="2060"/>
      <c r="AH204" s="2060"/>
      <c r="AI204" s="2060"/>
      <c r="AJ204" s="2060"/>
      <c r="AK204" s="2060"/>
      <c r="AL204" s="2060"/>
      <c r="AM204" s="2060"/>
      <c r="AN204" s="2060"/>
      <c r="AO204" s="2060"/>
      <c r="AP204" s="2060"/>
      <c r="AQ204" s="2060"/>
      <c r="AR204" s="2060"/>
      <c r="AS204" s="2060"/>
    </row>
    <row r="205" spans="1:45" s="1525" customFormat="1" ht="13.9">
      <c r="A205" s="1510"/>
      <c r="B205" s="2020"/>
      <c r="C205" s="1380" t="s">
        <v>956</v>
      </c>
      <c r="E205" s="328"/>
      <c r="F205" s="1010"/>
      <c r="G205" s="6"/>
      <c r="H205" s="6"/>
      <c r="I205" s="6"/>
      <c r="J205" s="6"/>
      <c r="K205" s="6"/>
      <c r="L205" s="6"/>
      <c r="M205" s="6"/>
      <c r="N205" s="6"/>
      <c r="O205" s="6"/>
      <c r="P205" s="6"/>
      <c r="Q205" s="6"/>
      <c r="R205" s="2060"/>
      <c r="T205" s="2060"/>
      <c r="U205" s="1510"/>
      <c r="V205" s="2060"/>
      <c r="W205" s="2060"/>
      <c r="X205" s="2060"/>
      <c r="Y205" s="2060"/>
      <c r="Z205" s="2060"/>
      <c r="AA205" s="2060"/>
      <c r="AB205" s="2060"/>
      <c r="AC205" s="2060"/>
      <c r="AD205" s="2060"/>
      <c r="AE205" s="2060"/>
      <c r="AF205" s="2060"/>
      <c r="AG205" s="2060"/>
      <c r="AH205" s="2060"/>
      <c r="AI205" s="2060"/>
      <c r="AJ205" s="2060"/>
      <c r="AK205" s="2060"/>
      <c r="AL205" s="2060"/>
      <c r="AM205" s="2060"/>
      <c r="AN205" s="2060"/>
      <c r="AO205" s="2060"/>
      <c r="AP205" s="2060"/>
      <c r="AQ205" s="2060"/>
      <c r="AR205" s="2060"/>
      <c r="AS205" s="2060"/>
    </row>
    <row r="206" spans="1:45" s="1525" customFormat="1" ht="13.9">
      <c r="A206" s="1510"/>
      <c r="B206" s="2020"/>
      <c r="C206" s="304" t="s">
        <v>969</v>
      </c>
      <c r="E206" s="1364">
        <f>IFERROR(E203/E$100,0)</f>
        <v>0</v>
      </c>
      <c r="F206" s="1740">
        <f>IFERROR(F203/F$100,0)</f>
        <v>0</v>
      </c>
      <c r="G206" s="1627">
        <f t="shared" ref="G206:Q206" si="81">IFERROR(IF(ISNUMBER(G204),G204/G$100,IF(ISNUMBER(G205),G205,F206))*(ISNUMBER(G$23)*1),0)</f>
        <v>0</v>
      </c>
      <c r="H206" s="1627">
        <f t="shared" si="81"/>
        <v>0</v>
      </c>
      <c r="I206" s="1627">
        <f t="shared" si="81"/>
        <v>0</v>
      </c>
      <c r="J206" s="1627">
        <f t="shared" si="81"/>
        <v>0</v>
      </c>
      <c r="K206" s="1627">
        <f t="shared" si="81"/>
        <v>0</v>
      </c>
      <c r="L206" s="1627">
        <f t="shared" si="81"/>
        <v>0</v>
      </c>
      <c r="M206" s="1627">
        <f t="shared" si="81"/>
        <v>0</v>
      </c>
      <c r="N206" s="1627">
        <f t="shared" si="81"/>
        <v>0</v>
      </c>
      <c r="O206" s="1627">
        <f t="shared" si="81"/>
        <v>0</v>
      </c>
      <c r="P206" s="1627">
        <f t="shared" si="81"/>
        <v>0</v>
      </c>
      <c r="Q206" s="1627">
        <f t="shared" si="81"/>
        <v>0</v>
      </c>
      <c r="R206" s="2060"/>
      <c r="T206" s="2060"/>
      <c r="U206" s="1510"/>
      <c r="V206" s="2060"/>
      <c r="W206" s="2060"/>
      <c r="X206" s="2060"/>
      <c r="Y206" s="2060"/>
      <c r="Z206" s="2060"/>
      <c r="AA206" s="2060"/>
      <c r="AB206" s="2060"/>
      <c r="AC206" s="2060"/>
      <c r="AD206" s="2060"/>
      <c r="AE206" s="2060"/>
      <c r="AF206" s="2060"/>
      <c r="AG206" s="2060"/>
      <c r="AH206" s="2060"/>
      <c r="AI206" s="2060"/>
      <c r="AJ206" s="2060"/>
      <c r="AK206" s="2060"/>
      <c r="AL206" s="2060"/>
      <c r="AM206" s="2060"/>
      <c r="AN206" s="2060"/>
      <c r="AO206" s="2060"/>
      <c r="AP206" s="2060"/>
      <c r="AQ206" s="2060"/>
      <c r="AR206" s="2060"/>
      <c r="AS206" s="2060"/>
    </row>
    <row r="207" spans="1:45" s="1525" customFormat="1" ht="13.9">
      <c r="A207" s="1510"/>
      <c r="B207" s="2020"/>
      <c r="C207" s="1530"/>
      <c r="E207" s="1505"/>
      <c r="F207" s="1806"/>
      <c r="G207" s="1627"/>
      <c r="H207" s="1627"/>
      <c r="I207" s="1627"/>
      <c r="J207" s="1627"/>
      <c r="K207" s="1627"/>
      <c r="L207" s="1627"/>
      <c r="M207" s="1627"/>
      <c r="N207" s="1627"/>
      <c r="O207" s="1627"/>
      <c r="P207" s="1627"/>
      <c r="Q207" s="1627"/>
      <c r="R207" s="2060"/>
      <c r="T207" s="2060"/>
      <c r="U207" s="1510"/>
      <c r="V207" s="2060"/>
      <c r="W207" s="2060"/>
      <c r="X207" s="2060"/>
      <c r="Y207" s="2060"/>
      <c r="Z207" s="2060"/>
      <c r="AA207" s="2060"/>
      <c r="AB207" s="2060"/>
      <c r="AC207" s="2060"/>
      <c r="AD207" s="2060"/>
      <c r="AE207" s="2060"/>
      <c r="AF207" s="2060"/>
      <c r="AG207" s="2060"/>
      <c r="AH207" s="2060"/>
      <c r="AI207" s="2060"/>
      <c r="AJ207" s="2060"/>
      <c r="AK207" s="2060"/>
      <c r="AL207" s="2060"/>
      <c r="AM207" s="2060"/>
      <c r="AN207" s="2060"/>
      <c r="AO207" s="2060"/>
      <c r="AP207" s="2060"/>
      <c r="AQ207" s="2060"/>
      <c r="AR207" s="2060"/>
      <c r="AS207" s="2060"/>
    </row>
    <row r="208" spans="1:45" s="1525" customFormat="1" ht="13.9">
      <c r="A208" s="1510"/>
      <c r="B208" s="2020"/>
      <c r="C208" s="2206" t="s">
        <v>1000</v>
      </c>
      <c r="E208" s="328">
        <f>IF(StubY,'BAL SHEET Hist Input'!J35,'BAL SHEET Hist Input'!I35)</f>
        <v>0</v>
      </c>
      <c r="F208" s="1010">
        <f>IF(StubY,'BAL SHEET Hist Input'!K35,'BAL SHEET Hist Input'!J35)</f>
        <v>0</v>
      </c>
      <c r="G208" s="328">
        <f>IFERROR(G211*G$100,0)</f>
        <v>0</v>
      </c>
      <c r="H208" s="328">
        <f>IFERROR(H211*H$100,0)</f>
        <v>0</v>
      </c>
      <c r="I208" s="328">
        <f t="shared" ref="I208:Q208" si="82">IFERROR(I211*I$100,0)</f>
        <v>0</v>
      </c>
      <c r="J208" s="328">
        <f t="shared" si="82"/>
        <v>0</v>
      </c>
      <c r="K208" s="328">
        <f t="shared" si="82"/>
        <v>0</v>
      </c>
      <c r="L208" s="328">
        <f t="shared" si="82"/>
        <v>0</v>
      </c>
      <c r="M208" s="328">
        <f t="shared" si="82"/>
        <v>0</v>
      </c>
      <c r="N208" s="328">
        <f t="shared" si="82"/>
        <v>0</v>
      </c>
      <c r="O208" s="328">
        <f t="shared" si="82"/>
        <v>0</v>
      </c>
      <c r="P208" s="328">
        <f t="shared" si="82"/>
        <v>0</v>
      </c>
      <c r="Q208" s="328">
        <f t="shared" si="82"/>
        <v>0</v>
      </c>
      <c r="R208" s="2060"/>
      <c r="T208" s="2060"/>
      <c r="U208" s="1510"/>
      <c r="V208" s="2060"/>
      <c r="W208" s="2060"/>
      <c r="X208" s="2060"/>
      <c r="Y208" s="2060"/>
      <c r="Z208" s="2060"/>
      <c r="AA208" s="2060"/>
      <c r="AB208" s="2060"/>
      <c r="AC208" s="2060"/>
      <c r="AD208" s="2060"/>
      <c r="AE208" s="2060"/>
      <c r="AF208" s="2060"/>
      <c r="AG208" s="2060"/>
      <c r="AH208" s="2060"/>
      <c r="AI208" s="2060"/>
      <c r="AJ208" s="2060"/>
      <c r="AK208" s="2060"/>
      <c r="AL208" s="2060"/>
      <c r="AM208" s="2060"/>
      <c r="AN208" s="2060"/>
      <c r="AO208" s="2060"/>
      <c r="AP208" s="2060"/>
      <c r="AQ208" s="2060"/>
      <c r="AR208" s="2060"/>
      <c r="AS208" s="2060"/>
    </row>
    <row r="209" spans="1:45" s="1525" customFormat="1" ht="13.9">
      <c r="A209" s="1510"/>
      <c r="B209" s="2020"/>
      <c r="C209" s="304" t="s">
        <v>953</v>
      </c>
      <c r="E209" s="328"/>
      <c r="F209" s="1010"/>
      <c r="G209" s="1064"/>
      <c r="H209" s="1064"/>
      <c r="I209" s="1064"/>
      <c r="J209" s="1064"/>
      <c r="K209" s="1064"/>
      <c r="L209" s="1064"/>
      <c r="M209" s="1064"/>
      <c r="N209" s="1064"/>
      <c r="O209" s="1064"/>
      <c r="P209" s="1064"/>
      <c r="Q209" s="1064"/>
      <c r="R209" s="2060"/>
      <c r="T209" s="2060"/>
      <c r="U209" s="1510"/>
      <c r="V209" s="2060"/>
      <c r="W209" s="2060"/>
      <c r="X209" s="2060"/>
      <c r="Y209" s="2060"/>
      <c r="Z209" s="2060"/>
      <c r="AA209" s="2060"/>
      <c r="AB209" s="2060"/>
      <c r="AC209" s="2060"/>
      <c r="AD209" s="2060"/>
      <c r="AE209" s="2060"/>
      <c r="AF209" s="2060"/>
      <c r="AG209" s="2060"/>
      <c r="AH209" s="2060"/>
      <c r="AI209" s="2060"/>
      <c r="AJ209" s="2060"/>
      <c r="AK209" s="2060"/>
      <c r="AL209" s="2060"/>
      <c r="AM209" s="2060"/>
      <c r="AN209" s="2060"/>
      <c r="AO209" s="2060"/>
      <c r="AP209" s="2060"/>
      <c r="AQ209" s="2060"/>
      <c r="AR209" s="2060"/>
      <c r="AS209" s="2060"/>
    </row>
    <row r="210" spans="1:45" s="1525" customFormat="1" ht="13.9">
      <c r="A210" s="1510"/>
      <c r="B210" s="2020"/>
      <c r="C210" s="1380" t="s">
        <v>956</v>
      </c>
      <c r="E210" s="328"/>
      <c r="F210" s="1010"/>
      <c r="G210" s="6"/>
      <c r="H210" s="6"/>
      <c r="I210" s="6"/>
      <c r="J210" s="6"/>
      <c r="K210" s="6"/>
      <c r="L210" s="6"/>
      <c r="M210" s="6"/>
      <c r="N210" s="6"/>
      <c r="O210" s="6"/>
      <c r="P210" s="6"/>
      <c r="Q210" s="6"/>
      <c r="R210" s="2060"/>
      <c r="T210" s="2060"/>
      <c r="U210" s="1510"/>
      <c r="V210" s="2060"/>
      <c r="W210" s="2060"/>
      <c r="X210" s="2060"/>
      <c r="Y210" s="2060"/>
      <c r="Z210" s="2060"/>
      <c r="AA210" s="2060"/>
      <c r="AB210" s="2060"/>
      <c r="AC210" s="2060"/>
      <c r="AD210" s="2060"/>
      <c r="AE210" s="2060"/>
      <c r="AF210" s="2060"/>
      <c r="AG210" s="2060"/>
      <c r="AH210" s="2060"/>
      <c r="AI210" s="2060"/>
      <c r="AJ210" s="2060"/>
      <c r="AK210" s="2060"/>
      <c r="AL210" s="2060"/>
      <c r="AM210" s="2060"/>
      <c r="AN210" s="2060"/>
      <c r="AO210" s="2060"/>
      <c r="AP210" s="2060"/>
      <c r="AQ210" s="2060"/>
      <c r="AR210" s="2060"/>
      <c r="AS210" s="2060"/>
    </row>
    <row r="211" spans="1:45" s="1525" customFormat="1" ht="13.9">
      <c r="A211" s="1510"/>
      <c r="B211" s="2020"/>
      <c r="C211" s="304" t="s">
        <v>969</v>
      </c>
      <c r="E211" s="1364">
        <f>IFERROR(E208/E$100,0)</f>
        <v>0</v>
      </c>
      <c r="F211" s="1740">
        <f>IFERROR(F208/F$100,0)</f>
        <v>0</v>
      </c>
      <c r="G211" s="1627">
        <f t="shared" ref="G211:Q211" si="83">IFERROR(IF(ISNUMBER(G209),G209/G$100,IF(ISNUMBER(G210),G210,F211))*(ISNUMBER(G$23)*1),0)</f>
        <v>0</v>
      </c>
      <c r="H211" s="1627">
        <f t="shared" si="83"/>
        <v>0</v>
      </c>
      <c r="I211" s="1627">
        <f t="shared" si="83"/>
        <v>0</v>
      </c>
      <c r="J211" s="1627">
        <f t="shared" si="83"/>
        <v>0</v>
      </c>
      <c r="K211" s="1627">
        <f t="shared" si="83"/>
        <v>0</v>
      </c>
      <c r="L211" s="1627">
        <f t="shared" si="83"/>
        <v>0</v>
      </c>
      <c r="M211" s="1627">
        <f t="shared" si="83"/>
        <v>0</v>
      </c>
      <c r="N211" s="1627">
        <f t="shared" si="83"/>
        <v>0</v>
      </c>
      <c r="O211" s="1627">
        <f t="shared" si="83"/>
        <v>0</v>
      </c>
      <c r="P211" s="1627">
        <f t="shared" si="83"/>
        <v>0</v>
      </c>
      <c r="Q211" s="1627">
        <f t="shared" si="83"/>
        <v>0</v>
      </c>
      <c r="R211" s="2060"/>
      <c r="T211" s="2060"/>
      <c r="U211" s="1510"/>
      <c r="V211" s="2060"/>
      <c r="W211" s="2060"/>
      <c r="X211" s="2060"/>
      <c r="Y211" s="2060"/>
      <c r="Z211" s="2060"/>
      <c r="AA211" s="2060"/>
      <c r="AB211" s="2060"/>
      <c r="AC211" s="2060"/>
      <c r="AD211" s="2060"/>
      <c r="AE211" s="2060"/>
      <c r="AF211" s="2060"/>
      <c r="AG211" s="2060"/>
      <c r="AH211" s="2060"/>
      <c r="AI211" s="2060"/>
      <c r="AJ211" s="2060"/>
      <c r="AK211" s="2060"/>
      <c r="AL211" s="2060"/>
      <c r="AM211" s="2060"/>
      <c r="AN211" s="2060"/>
      <c r="AO211" s="2060"/>
      <c r="AP211" s="2060"/>
      <c r="AQ211" s="2060"/>
      <c r="AR211" s="2060"/>
      <c r="AS211" s="2060"/>
    </row>
    <row r="212" spans="1:45" s="1525" customFormat="1" ht="13.9">
      <c r="A212" s="1510"/>
      <c r="B212" s="2020"/>
      <c r="C212" s="1530"/>
      <c r="E212" s="1505"/>
      <c r="F212" s="1806"/>
      <c r="G212" s="1627"/>
      <c r="H212" s="1627"/>
      <c r="I212" s="1627"/>
      <c r="J212" s="1627"/>
      <c r="K212" s="1627"/>
      <c r="L212" s="1627"/>
      <c r="M212" s="1627"/>
      <c r="N212" s="1627"/>
      <c r="O212" s="1627"/>
      <c r="P212" s="1627"/>
      <c r="Q212" s="1627"/>
      <c r="R212" s="2060"/>
      <c r="T212" s="2060"/>
      <c r="U212" s="1510"/>
      <c r="V212" s="2060"/>
      <c r="W212" s="2060"/>
      <c r="X212" s="2060"/>
      <c r="Y212" s="2060"/>
      <c r="Z212" s="2060"/>
      <c r="AA212" s="2060"/>
      <c r="AB212" s="2060"/>
      <c r="AC212" s="2060"/>
      <c r="AD212" s="2060"/>
      <c r="AE212" s="2060"/>
      <c r="AF212" s="2060"/>
      <c r="AG212" s="2060"/>
      <c r="AH212" s="2060"/>
      <c r="AI212" s="2060"/>
      <c r="AJ212" s="2060"/>
      <c r="AK212" s="2060"/>
      <c r="AL212" s="2060"/>
      <c r="AM212" s="2060"/>
      <c r="AN212" s="2060"/>
      <c r="AO212" s="2060"/>
      <c r="AP212" s="2060"/>
      <c r="AQ212" s="2060"/>
      <c r="AR212" s="2060"/>
      <c r="AS212" s="2060"/>
    </row>
    <row r="213" spans="1:45" s="1525" customFormat="1" ht="13.9">
      <c r="A213" s="1510"/>
      <c r="B213" s="2020"/>
      <c r="C213" s="2206" t="s">
        <v>1001</v>
      </c>
      <c r="E213" s="328">
        <f>IF(StubY,'BAL SHEET Hist Input'!J36,'BAL SHEET Hist Input'!I36)</f>
        <v>0</v>
      </c>
      <c r="F213" s="1010">
        <f>IF(StubY,'BAL SHEET Hist Input'!K36,'BAL SHEET Hist Input'!J36)</f>
        <v>0</v>
      </c>
      <c r="G213" s="328">
        <f>IFERROR(G216*G$100,0)</f>
        <v>0</v>
      </c>
      <c r="H213" s="328">
        <f>IFERROR(H216*H$100,0)</f>
        <v>0</v>
      </c>
      <c r="I213" s="328">
        <f t="shared" ref="I213:Q213" si="84">IFERROR(I216*I$100,0)</f>
        <v>0</v>
      </c>
      <c r="J213" s="328">
        <f t="shared" si="84"/>
        <v>0</v>
      </c>
      <c r="K213" s="328">
        <f t="shared" si="84"/>
        <v>0</v>
      </c>
      <c r="L213" s="328">
        <f t="shared" si="84"/>
        <v>0</v>
      </c>
      <c r="M213" s="328">
        <f t="shared" si="84"/>
        <v>0</v>
      </c>
      <c r="N213" s="328">
        <f t="shared" si="84"/>
        <v>0</v>
      </c>
      <c r="O213" s="328">
        <f t="shared" si="84"/>
        <v>0</v>
      </c>
      <c r="P213" s="328">
        <f t="shared" si="84"/>
        <v>0</v>
      </c>
      <c r="Q213" s="328">
        <f t="shared" si="84"/>
        <v>0</v>
      </c>
      <c r="R213" s="2060"/>
      <c r="T213" s="2060"/>
      <c r="U213" s="1510"/>
      <c r="V213" s="2060"/>
      <c r="W213" s="2060"/>
      <c r="X213" s="2060"/>
      <c r="Y213" s="2060"/>
      <c r="Z213" s="2060"/>
      <c r="AA213" s="2060"/>
      <c r="AB213" s="2060"/>
      <c r="AC213" s="2060"/>
      <c r="AD213" s="2060"/>
      <c r="AE213" s="2060"/>
      <c r="AF213" s="2060"/>
      <c r="AG213" s="2060"/>
      <c r="AH213" s="2060"/>
      <c r="AI213" s="2060"/>
      <c r="AJ213" s="2060"/>
      <c r="AK213" s="2060"/>
      <c r="AL213" s="2060"/>
      <c r="AM213" s="2060"/>
      <c r="AN213" s="2060"/>
      <c r="AO213" s="2060"/>
      <c r="AP213" s="2060"/>
      <c r="AQ213" s="2060"/>
      <c r="AR213" s="2060"/>
      <c r="AS213" s="2060"/>
    </row>
    <row r="214" spans="1:45" s="1525" customFormat="1" ht="13.9">
      <c r="A214" s="1510"/>
      <c r="B214" s="2020"/>
      <c r="C214" s="304" t="s">
        <v>953</v>
      </c>
      <c r="E214" s="328"/>
      <c r="F214" s="1010"/>
      <c r="G214" s="1064"/>
      <c r="H214" s="1064"/>
      <c r="I214" s="1064"/>
      <c r="J214" s="1064"/>
      <c r="K214" s="1064"/>
      <c r="L214" s="1064"/>
      <c r="M214" s="1064"/>
      <c r="N214" s="1064"/>
      <c r="O214" s="1064"/>
      <c r="P214" s="1064"/>
      <c r="Q214" s="1064"/>
      <c r="R214" s="2060"/>
      <c r="T214" s="2060"/>
      <c r="U214" s="1510"/>
      <c r="V214" s="2060"/>
      <c r="W214" s="2060"/>
      <c r="X214" s="2060"/>
      <c r="Y214" s="2060"/>
      <c r="Z214" s="2060"/>
      <c r="AA214" s="2060"/>
      <c r="AB214" s="2060"/>
      <c r="AC214" s="2060"/>
      <c r="AD214" s="2060"/>
      <c r="AE214" s="2060"/>
      <c r="AF214" s="2060"/>
      <c r="AG214" s="2060"/>
      <c r="AH214" s="2060"/>
      <c r="AI214" s="2060"/>
      <c r="AJ214" s="2060"/>
      <c r="AK214" s="2060"/>
      <c r="AL214" s="2060"/>
      <c r="AM214" s="2060"/>
      <c r="AN214" s="2060"/>
      <c r="AO214" s="2060"/>
      <c r="AP214" s="2060"/>
      <c r="AQ214" s="2060"/>
      <c r="AR214" s="2060"/>
      <c r="AS214" s="2060"/>
    </row>
    <row r="215" spans="1:45" s="1525" customFormat="1" ht="13.9">
      <c r="A215" s="1510"/>
      <c r="B215" s="2020"/>
      <c r="C215" s="1380" t="s">
        <v>956</v>
      </c>
      <c r="E215" s="328"/>
      <c r="F215" s="1010"/>
      <c r="G215" s="6"/>
      <c r="H215" s="6"/>
      <c r="I215" s="6"/>
      <c r="J215" s="6"/>
      <c r="K215" s="6"/>
      <c r="L215" s="6"/>
      <c r="M215" s="6"/>
      <c r="N215" s="6"/>
      <c r="O215" s="6"/>
      <c r="P215" s="6"/>
      <c r="Q215" s="6"/>
      <c r="R215" s="2060"/>
      <c r="T215" s="2060"/>
      <c r="U215" s="1510"/>
      <c r="V215" s="2060"/>
      <c r="W215" s="2060"/>
      <c r="X215" s="2060"/>
      <c r="Y215" s="2060"/>
      <c r="Z215" s="2060"/>
      <c r="AA215" s="2060"/>
      <c r="AB215" s="2060"/>
      <c r="AC215" s="2060"/>
      <c r="AD215" s="2060"/>
      <c r="AE215" s="2060"/>
      <c r="AF215" s="2060"/>
      <c r="AG215" s="2060"/>
      <c r="AH215" s="2060"/>
      <c r="AI215" s="2060"/>
      <c r="AJ215" s="2060"/>
      <c r="AK215" s="2060"/>
      <c r="AL215" s="2060"/>
      <c r="AM215" s="2060"/>
      <c r="AN215" s="2060"/>
      <c r="AO215" s="2060"/>
      <c r="AP215" s="2060"/>
      <c r="AQ215" s="2060"/>
      <c r="AR215" s="2060"/>
      <c r="AS215" s="2060"/>
    </row>
    <row r="216" spans="1:45" s="1525" customFormat="1" ht="13.9">
      <c r="A216" s="1510"/>
      <c r="B216" s="2020"/>
      <c r="C216" s="304" t="s">
        <v>969</v>
      </c>
      <c r="E216" s="1364">
        <f>IFERROR(E213/E$100,0)</f>
        <v>0</v>
      </c>
      <c r="F216" s="1740">
        <f>IFERROR(F213/F$100,0)</f>
        <v>0</v>
      </c>
      <c r="G216" s="1627">
        <f t="shared" ref="G216:Q216" si="85">IFERROR(IF(ISNUMBER(G214),G214/G$100,IF(ISNUMBER(G215),G215,F216))*(ISNUMBER(G$23)*1),0)</f>
        <v>0</v>
      </c>
      <c r="H216" s="1627">
        <f t="shared" si="85"/>
        <v>0</v>
      </c>
      <c r="I216" s="1627">
        <f t="shared" si="85"/>
        <v>0</v>
      </c>
      <c r="J216" s="1627">
        <f t="shared" si="85"/>
        <v>0</v>
      </c>
      <c r="K216" s="1627">
        <f t="shared" si="85"/>
        <v>0</v>
      </c>
      <c r="L216" s="1627">
        <f t="shared" si="85"/>
        <v>0</v>
      </c>
      <c r="M216" s="1627">
        <f t="shared" si="85"/>
        <v>0</v>
      </c>
      <c r="N216" s="1627">
        <f t="shared" si="85"/>
        <v>0</v>
      </c>
      <c r="O216" s="1627">
        <f t="shared" si="85"/>
        <v>0</v>
      </c>
      <c r="P216" s="1627">
        <f t="shared" si="85"/>
        <v>0</v>
      </c>
      <c r="Q216" s="1627">
        <f t="shared" si="85"/>
        <v>0</v>
      </c>
      <c r="R216" s="2060"/>
      <c r="T216" s="2060"/>
      <c r="U216" s="1510"/>
      <c r="V216" s="2060"/>
      <c r="W216" s="2060"/>
      <c r="X216" s="2060"/>
      <c r="Y216" s="2060"/>
      <c r="Z216" s="2060"/>
      <c r="AA216" s="2060"/>
      <c r="AB216" s="2060"/>
      <c r="AC216" s="2060"/>
      <c r="AD216" s="2060"/>
      <c r="AE216" s="2060"/>
      <c r="AF216" s="2060"/>
      <c r="AG216" s="2060"/>
      <c r="AH216" s="2060"/>
      <c r="AI216" s="2060"/>
      <c r="AJ216" s="2060"/>
      <c r="AK216" s="2060"/>
      <c r="AL216" s="2060"/>
      <c r="AM216" s="2060"/>
      <c r="AN216" s="2060"/>
      <c r="AO216" s="2060"/>
      <c r="AP216" s="2060"/>
      <c r="AQ216" s="2060"/>
      <c r="AR216" s="2060"/>
      <c r="AS216" s="2060"/>
    </row>
    <row r="217" spans="1:45" s="1525" customFormat="1" ht="13.9">
      <c r="A217" s="1510"/>
      <c r="B217" s="2020"/>
      <c r="C217" s="818"/>
      <c r="E217" s="1505"/>
      <c r="F217" s="1806"/>
      <c r="R217" s="2060"/>
      <c r="T217" s="2060"/>
      <c r="U217" s="1510"/>
      <c r="V217" s="2060"/>
      <c r="W217" s="2060"/>
      <c r="X217" s="2060"/>
      <c r="Y217" s="2060"/>
      <c r="Z217" s="2060"/>
      <c r="AA217" s="2060"/>
      <c r="AB217" s="2060"/>
      <c r="AC217" s="2060"/>
      <c r="AD217" s="2060"/>
      <c r="AE217" s="2060"/>
      <c r="AF217" s="2060"/>
      <c r="AG217" s="2060"/>
      <c r="AH217" s="2060"/>
      <c r="AI217" s="2060"/>
      <c r="AJ217" s="2060"/>
      <c r="AK217" s="2060"/>
      <c r="AL217" s="2060"/>
      <c r="AM217" s="2060"/>
      <c r="AN217" s="2060"/>
      <c r="AO217" s="2060"/>
      <c r="AP217" s="2060"/>
      <c r="AQ217" s="2060"/>
      <c r="AR217" s="2060"/>
      <c r="AS217" s="2060"/>
    </row>
    <row r="218" spans="1:45" s="1525" customFormat="1" ht="13.9">
      <c r="A218" s="1510"/>
      <c r="B218" s="2020"/>
      <c r="C218" s="818" t="s">
        <v>1002</v>
      </c>
      <c r="E218" s="328">
        <f>IF(StubY,'BAL SHEET Hist Input'!J37,'BAL SHEET Hist Input'!I37)</f>
        <v>0</v>
      </c>
      <c r="F218" s="1010">
        <f>IF(StubY,'BAL SHEET Hist Input'!K37,'BAL SHEET Hist Input'!J37)</f>
        <v>0</v>
      </c>
      <c r="G218" s="1525">
        <f t="shared" ref="G218:N218" si="86">G219*(ISNUMBER(G$23)*1)</f>
        <v>0</v>
      </c>
      <c r="H218" s="1525">
        <f t="shared" si="86"/>
        <v>0</v>
      </c>
      <c r="I218" s="1525">
        <f t="shared" si="86"/>
        <v>0</v>
      </c>
      <c r="J218" s="1525">
        <f t="shared" si="86"/>
        <v>0</v>
      </c>
      <c r="K218" s="1525">
        <f t="shared" si="86"/>
        <v>0</v>
      </c>
      <c r="L218" s="1525">
        <f t="shared" si="86"/>
        <v>0</v>
      </c>
      <c r="M218" s="1525">
        <f t="shared" si="86"/>
        <v>0</v>
      </c>
      <c r="N218" s="1525">
        <f t="shared" si="86"/>
        <v>0</v>
      </c>
      <c r="O218" s="1525">
        <f>O219*(ISNUMBER(O$23)*1)</f>
        <v>0</v>
      </c>
      <c r="P218" s="1525">
        <f>P219*(ISNUMBER(P$23)*1)</f>
        <v>0</v>
      </c>
      <c r="Q218" s="1525">
        <f>Q219*(ISNUMBER(Q$23)*1)</f>
        <v>0</v>
      </c>
      <c r="R218" s="2060"/>
      <c r="T218" s="2060"/>
      <c r="U218" s="1510"/>
      <c r="V218" s="2060"/>
      <c r="W218" s="2060"/>
      <c r="X218" s="2060"/>
      <c r="Y218" s="2060"/>
      <c r="Z218" s="2060"/>
      <c r="AA218" s="2060"/>
      <c r="AB218" s="2060"/>
      <c r="AC218" s="2060"/>
      <c r="AD218" s="2060"/>
      <c r="AE218" s="2060"/>
      <c r="AF218" s="2060"/>
      <c r="AG218" s="2060"/>
      <c r="AH218" s="2060"/>
      <c r="AI218" s="2060"/>
      <c r="AJ218" s="2060"/>
      <c r="AK218" s="2060"/>
      <c r="AL218" s="2060"/>
      <c r="AM218" s="2060"/>
      <c r="AN218" s="2060"/>
      <c r="AO218" s="2060"/>
      <c r="AP218" s="2060"/>
      <c r="AQ218" s="2060"/>
      <c r="AR218" s="2060"/>
      <c r="AS218" s="2060"/>
    </row>
    <row r="219" spans="1:45" s="1525" customFormat="1" ht="13.9">
      <c r="A219" s="1510"/>
      <c r="B219" s="2020"/>
      <c r="C219" s="304" t="s">
        <v>953</v>
      </c>
      <c r="E219" s="328"/>
      <c r="F219" s="1010"/>
      <c r="G219" s="1064"/>
      <c r="H219" s="1064"/>
      <c r="I219" s="1064"/>
      <c r="J219" s="1064"/>
      <c r="K219" s="1064"/>
      <c r="L219" s="1064"/>
      <c r="M219" s="1064"/>
      <c r="N219" s="1064"/>
      <c r="O219" s="1064"/>
      <c r="P219" s="1064"/>
      <c r="Q219" s="1064"/>
      <c r="R219" s="2060"/>
      <c r="T219" s="2060"/>
      <c r="U219" s="1510"/>
      <c r="V219" s="2060"/>
      <c r="W219" s="2060"/>
      <c r="X219" s="2060"/>
      <c r="Y219" s="2060"/>
      <c r="Z219" s="2060"/>
      <c r="AA219" s="2060"/>
      <c r="AB219" s="2060"/>
      <c r="AC219" s="2060"/>
      <c r="AD219" s="2060"/>
      <c r="AE219" s="2060"/>
      <c r="AF219" s="2060"/>
      <c r="AG219" s="2060"/>
      <c r="AH219" s="2060"/>
      <c r="AI219" s="2060"/>
      <c r="AJ219" s="2060"/>
      <c r="AK219" s="2060"/>
      <c r="AL219" s="2060"/>
      <c r="AM219" s="2060"/>
      <c r="AN219" s="2060"/>
      <c r="AO219" s="2060"/>
      <c r="AP219" s="2060"/>
      <c r="AQ219" s="2060"/>
      <c r="AR219" s="2060"/>
      <c r="AS219" s="2060"/>
    </row>
    <row r="220" spans="1:45" s="1525" customFormat="1" ht="13.9">
      <c r="A220" s="1510"/>
      <c r="B220" s="2020"/>
      <c r="C220" s="818" t="s">
        <v>1003</v>
      </c>
      <c r="E220" s="1505"/>
      <c r="F220" s="1806"/>
      <c r="G220" s="1525">
        <f>(G218-F218)*(ISNUMBER(G$23)*1)</f>
        <v>0</v>
      </c>
      <c r="H220" s="1525">
        <f t="shared" ref="H220:Q220" si="87">(H218-G218)*(ISNUMBER(H$23)*1)</f>
        <v>0</v>
      </c>
      <c r="I220" s="1525">
        <f t="shared" si="87"/>
        <v>0</v>
      </c>
      <c r="J220" s="1525">
        <f t="shared" si="87"/>
        <v>0</v>
      </c>
      <c r="K220" s="1525">
        <f t="shared" si="87"/>
        <v>0</v>
      </c>
      <c r="L220" s="1525">
        <f t="shared" si="87"/>
        <v>0</v>
      </c>
      <c r="M220" s="1525">
        <f t="shared" si="87"/>
        <v>0</v>
      </c>
      <c r="N220" s="1525">
        <f t="shared" si="87"/>
        <v>0</v>
      </c>
      <c r="O220" s="1525">
        <f t="shared" si="87"/>
        <v>0</v>
      </c>
      <c r="P220" s="1525">
        <f t="shared" si="87"/>
        <v>0</v>
      </c>
      <c r="Q220" s="1525">
        <f t="shared" si="87"/>
        <v>0</v>
      </c>
      <c r="R220" s="2060"/>
      <c r="T220" s="2060"/>
      <c r="U220" s="1510"/>
      <c r="V220" s="2060"/>
      <c r="W220" s="2060"/>
      <c r="X220" s="2060"/>
      <c r="Y220" s="2060"/>
      <c r="Z220" s="2060"/>
      <c r="AA220" s="2060"/>
      <c r="AB220" s="2060"/>
      <c r="AC220" s="2060"/>
      <c r="AD220" s="2060"/>
      <c r="AE220" s="2060"/>
      <c r="AF220" s="2060"/>
      <c r="AG220" s="2060"/>
      <c r="AH220" s="2060"/>
      <c r="AI220" s="2060"/>
      <c r="AJ220" s="2060"/>
      <c r="AK220" s="2060"/>
      <c r="AL220" s="2060"/>
      <c r="AM220" s="2060"/>
      <c r="AN220" s="2060"/>
      <c r="AO220" s="2060"/>
      <c r="AP220" s="2060"/>
      <c r="AQ220" s="2060"/>
      <c r="AR220" s="2060"/>
      <c r="AS220" s="2060"/>
    </row>
    <row r="221" spans="1:45" s="1525" customFormat="1" ht="13.9">
      <c r="A221" s="1510"/>
      <c r="B221" s="2020"/>
      <c r="C221" s="818"/>
      <c r="E221" s="1505"/>
      <c r="F221" s="1806"/>
      <c r="R221" s="2060"/>
      <c r="T221" s="2060"/>
      <c r="U221" s="1510"/>
      <c r="V221" s="2060"/>
      <c r="W221" s="2060"/>
      <c r="X221" s="2060"/>
      <c r="Y221" s="2060"/>
      <c r="Z221" s="2060"/>
      <c r="AA221" s="2060"/>
      <c r="AB221" s="2060"/>
      <c r="AC221" s="2060"/>
      <c r="AD221" s="2060"/>
      <c r="AE221" s="2060"/>
      <c r="AF221" s="2060"/>
      <c r="AG221" s="2060"/>
      <c r="AH221" s="2060"/>
      <c r="AI221" s="2060"/>
      <c r="AJ221" s="2060"/>
      <c r="AK221" s="2060"/>
      <c r="AL221" s="2060"/>
      <c r="AM221" s="2060"/>
      <c r="AN221" s="2060"/>
      <c r="AO221" s="2060"/>
      <c r="AP221" s="2060"/>
      <c r="AQ221" s="2060"/>
      <c r="AR221" s="2060"/>
      <c r="AS221" s="2060"/>
    </row>
    <row r="222" spans="1:45" s="1525" customFormat="1" ht="13.9">
      <c r="A222" s="1510"/>
      <c r="B222" s="2020"/>
      <c r="C222" s="818" t="s">
        <v>1004</v>
      </c>
      <c r="D222" s="1530"/>
      <c r="E222" s="1530">
        <f>IF(StubY,'BAL SHEET Hist Input'!J38,'BAL SHEET Hist Input'!I38)</f>
        <v>0</v>
      </c>
      <c r="F222" s="1010">
        <f>IF(StubY,'BAL SHEET Hist Input'!K38,'BAL SHEET Hist Input'!J38)</f>
        <v>0</v>
      </c>
      <c r="G222" s="1525">
        <f t="shared" ref="G222:M222" si="88">G223*(ISNUMBER(G$23)*1)</f>
        <v>0</v>
      </c>
      <c r="H222" s="1525">
        <f t="shared" si="88"/>
        <v>0</v>
      </c>
      <c r="I222" s="1525">
        <f t="shared" si="88"/>
        <v>0</v>
      </c>
      <c r="J222" s="1525">
        <f t="shared" si="88"/>
        <v>0</v>
      </c>
      <c r="K222" s="1525">
        <f t="shared" si="88"/>
        <v>0</v>
      </c>
      <c r="L222" s="1525">
        <f t="shared" si="88"/>
        <v>0</v>
      </c>
      <c r="M222" s="1525">
        <f t="shared" si="88"/>
        <v>0</v>
      </c>
      <c r="N222" s="1525">
        <f>N223*(ISNUMBER(N$23)*1)</f>
        <v>0</v>
      </c>
      <c r="O222" s="1525">
        <f>O223*(ISNUMBER(O$23)*1)</f>
        <v>0</v>
      </c>
      <c r="P222" s="1525">
        <f>P223*(ISNUMBER(P$23)*1)</f>
        <v>0</v>
      </c>
      <c r="Q222" s="1525">
        <f>Q223*(ISNUMBER(Q$23)*1)</f>
        <v>0</v>
      </c>
      <c r="R222" s="2060"/>
      <c r="T222" s="2060"/>
      <c r="U222" s="1510"/>
      <c r="V222" s="2060"/>
      <c r="W222" s="2060"/>
      <c r="X222" s="2060"/>
      <c r="Y222" s="2060"/>
      <c r="Z222" s="2060"/>
      <c r="AA222" s="2060"/>
      <c r="AB222" s="2060"/>
      <c r="AC222" s="2060"/>
      <c r="AD222" s="2060"/>
      <c r="AE222" s="2060"/>
      <c r="AF222" s="2060"/>
      <c r="AG222" s="2060"/>
      <c r="AH222" s="2060"/>
      <c r="AI222" s="2060"/>
      <c r="AJ222" s="2060"/>
      <c r="AK222" s="2060"/>
      <c r="AL222" s="2060"/>
      <c r="AM222" s="2060"/>
      <c r="AN222" s="2060"/>
      <c r="AO222" s="2060"/>
      <c r="AP222" s="2060"/>
      <c r="AQ222" s="2060"/>
      <c r="AR222" s="2060"/>
      <c r="AS222" s="2060"/>
    </row>
    <row r="223" spans="1:45" s="1525" customFormat="1" ht="13.9">
      <c r="A223" s="1510"/>
      <c r="B223" s="2020"/>
      <c r="C223" s="304" t="s">
        <v>953</v>
      </c>
      <c r="E223" s="328"/>
      <c r="F223" s="1010"/>
      <c r="G223" s="1103"/>
      <c r="H223" s="1064"/>
      <c r="I223" s="1064"/>
      <c r="J223" s="1064"/>
      <c r="K223" s="1064"/>
      <c r="L223" s="1064"/>
      <c r="M223" s="1064"/>
      <c r="N223" s="1064"/>
      <c r="O223" s="1064"/>
      <c r="P223" s="1064"/>
      <c r="Q223" s="1064"/>
      <c r="R223" s="2060"/>
      <c r="T223" s="2060"/>
      <c r="U223" s="1510"/>
      <c r="V223" s="2060"/>
      <c r="W223" s="2060"/>
      <c r="X223" s="2060"/>
      <c r="Y223" s="2060"/>
      <c r="Z223" s="2060"/>
      <c r="AA223" s="2060"/>
      <c r="AB223" s="2060"/>
      <c r="AC223" s="2060"/>
      <c r="AD223" s="2060"/>
      <c r="AE223" s="2060"/>
      <c r="AF223" s="2060"/>
      <c r="AG223" s="2060"/>
      <c r="AH223" s="2060"/>
      <c r="AI223" s="2060"/>
      <c r="AJ223" s="2060"/>
      <c r="AK223" s="2060"/>
      <c r="AL223" s="2060"/>
      <c r="AM223" s="2060"/>
      <c r="AN223" s="2060"/>
      <c r="AO223" s="2060"/>
      <c r="AP223" s="2060"/>
      <c r="AQ223" s="2060"/>
      <c r="AR223" s="2060"/>
      <c r="AS223" s="2060"/>
    </row>
    <row r="224" spans="1:45" s="1525" customFormat="1" ht="13.9">
      <c r="A224" s="1510"/>
      <c r="B224" s="2020"/>
      <c r="C224" s="818" t="s">
        <v>1003</v>
      </c>
      <c r="E224" s="1505"/>
      <c r="F224" s="1806"/>
      <c r="G224" s="1525">
        <f>(G222-F222)*(ISNUMBER(G$23)*1)</f>
        <v>0</v>
      </c>
      <c r="H224" s="1525">
        <f t="shared" ref="H224:Q224" si="89">(H222-G222)*(ISNUMBER(H$23)*1)</f>
        <v>0</v>
      </c>
      <c r="I224" s="1525">
        <f t="shared" si="89"/>
        <v>0</v>
      </c>
      <c r="J224" s="1525">
        <f t="shared" si="89"/>
        <v>0</v>
      </c>
      <c r="K224" s="1525">
        <f t="shared" si="89"/>
        <v>0</v>
      </c>
      <c r="L224" s="1525">
        <f t="shared" si="89"/>
        <v>0</v>
      </c>
      <c r="M224" s="1525">
        <f t="shared" si="89"/>
        <v>0</v>
      </c>
      <c r="N224" s="1525">
        <f t="shared" si="89"/>
        <v>0</v>
      </c>
      <c r="O224" s="1525">
        <f t="shared" si="89"/>
        <v>0</v>
      </c>
      <c r="P224" s="1525">
        <f t="shared" si="89"/>
        <v>0</v>
      </c>
      <c r="Q224" s="1525">
        <f t="shared" si="89"/>
        <v>0</v>
      </c>
      <c r="R224" s="2060"/>
      <c r="T224" s="2060"/>
      <c r="U224" s="1510"/>
      <c r="V224" s="2060"/>
      <c r="W224" s="2060"/>
      <c r="X224" s="2060"/>
      <c r="Y224" s="2060"/>
      <c r="Z224" s="2060"/>
      <c r="AA224" s="2060"/>
      <c r="AB224" s="2060"/>
      <c r="AC224" s="2060"/>
      <c r="AD224" s="2060"/>
      <c r="AE224" s="2060"/>
      <c r="AF224" s="2060"/>
      <c r="AG224" s="2060"/>
      <c r="AH224" s="2060"/>
      <c r="AI224" s="2060"/>
      <c r="AJ224" s="2060"/>
      <c r="AK224" s="2060"/>
      <c r="AL224" s="2060"/>
      <c r="AM224" s="2060"/>
      <c r="AN224" s="2060"/>
      <c r="AO224" s="2060"/>
      <c r="AP224" s="2060"/>
      <c r="AQ224" s="2060"/>
      <c r="AR224" s="2060"/>
      <c r="AS224" s="2060"/>
    </row>
    <row r="225" spans="1:45" s="1525" customFormat="1" ht="13.9">
      <c r="A225" s="1510"/>
      <c r="B225" s="2020"/>
      <c r="C225" s="845" t="s">
        <v>997</v>
      </c>
      <c r="D225" s="1999"/>
      <c r="E225" s="2002">
        <f>E188+E193+E198+E203+E208+E213+E218+E222</f>
        <v>0</v>
      </c>
      <c r="F225" s="2004">
        <f>F188+F193+F198+F203+F208+F213+F218+F222</f>
        <v>0</v>
      </c>
      <c r="G225" s="2005">
        <f>G185+G188+G193+G198+G203+G208+G213+G218+G222</f>
        <v>0</v>
      </c>
      <c r="H225" s="2005">
        <f t="shared" ref="H225:Q225" si="90">H185+H188+H193+H198+H203+H208+H213+H218+H222</f>
        <v>0</v>
      </c>
      <c r="I225" s="2005">
        <f t="shared" si="90"/>
        <v>0</v>
      </c>
      <c r="J225" s="2005">
        <f t="shared" si="90"/>
        <v>0</v>
      </c>
      <c r="K225" s="2005">
        <f t="shared" si="90"/>
        <v>0</v>
      </c>
      <c r="L225" s="2005">
        <f t="shared" si="90"/>
        <v>0</v>
      </c>
      <c r="M225" s="2005">
        <f t="shared" si="90"/>
        <v>0</v>
      </c>
      <c r="N225" s="2005">
        <f t="shared" si="90"/>
        <v>0</v>
      </c>
      <c r="O225" s="2005">
        <f t="shared" si="90"/>
        <v>0</v>
      </c>
      <c r="P225" s="2005">
        <f t="shared" si="90"/>
        <v>0</v>
      </c>
      <c r="Q225" s="2005">
        <f t="shared" si="90"/>
        <v>0</v>
      </c>
      <c r="R225" s="2060"/>
      <c r="T225" s="2060"/>
      <c r="U225" s="1510"/>
      <c r="V225" s="2060"/>
      <c r="W225" s="2060"/>
      <c r="X225" s="2060"/>
      <c r="Y225" s="2060"/>
      <c r="Z225" s="2060"/>
      <c r="AA225" s="2060"/>
      <c r="AB225" s="2060"/>
      <c r="AC225" s="2060"/>
      <c r="AD225" s="2060"/>
      <c r="AE225" s="2060"/>
      <c r="AF225" s="2060"/>
      <c r="AG225" s="2060"/>
      <c r="AH225" s="2060"/>
      <c r="AI225" s="2060"/>
      <c r="AJ225" s="2060"/>
      <c r="AK225" s="2060"/>
      <c r="AL225" s="2060"/>
      <c r="AM225" s="2060"/>
      <c r="AN225" s="2060"/>
      <c r="AO225" s="2060"/>
      <c r="AP225" s="2060"/>
      <c r="AQ225" s="2060"/>
      <c r="AR225" s="2060"/>
      <c r="AS225" s="2060"/>
    </row>
    <row r="226" spans="1:45" s="1525" customFormat="1" ht="13.9">
      <c r="A226" s="1510"/>
      <c r="B226" s="2020"/>
      <c r="C226" s="820"/>
      <c r="E226" s="1505"/>
      <c r="F226" s="1806"/>
      <c r="R226" s="2060"/>
      <c r="T226" s="2060"/>
      <c r="U226" s="1510"/>
      <c r="V226" s="2060"/>
      <c r="W226" s="2060"/>
      <c r="X226" s="2060"/>
      <c r="Y226" s="2060"/>
      <c r="Z226" s="2060"/>
      <c r="AA226" s="2060"/>
      <c r="AB226" s="2060"/>
      <c r="AC226" s="2060"/>
      <c r="AD226" s="2060"/>
      <c r="AE226" s="2060"/>
      <c r="AF226" s="2060"/>
      <c r="AG226" s="2060"/>
      <c r="AH226" s="2060"/>
      <c r="AI226" s="2060"/>
      <c r="AJ226" s="2060"/>
      <c r="AK226" s="2060"/>
      <c r="AL226" s="2060"/>
      <c r="AM226" s="2060"/>
      <c r="AN226" s="2060"/>
      <c r="AO226" s="2060"/>
      <c r="AP226" s="2060"/>
      <c r="AQ226" s="2060"/>
      <c r="AR226" s="2060"/>
      <c r="AS226" s="2060"/>
    </row>
    <row r="227" spans="1:45" s="1525" customFormat="1" ht="13.9">
      <c r="A227" s="1510"/>
      <c r="B227" s="2020"/>
      <c r="C227" s="818" t="s">
        <v>1005</v>
      </c>
      <c r="E227" s="1530">
        <f>IF(StubY,'BAL SHEET Hist Input'!J40,'BAL SHEET Hist Input'!I40)</f>
        <v>0</v>
      </c>
      <c r="F227" s="1010">
        <f>IF(StubY,'BAL SHEET Hist Input'!K40,'BAL SHEET Hist Input'!J40)</f>
        <v>0</v>
      </c>
      <c r="G227" s="1525">
        <f t="shared" ref="G227:Q227" si="91">MAX((F227+G231),0)*(ISNUMBER(G$23)*1)</f>
        <v>0</v>
      </c>
      <c r="H227" s="1525">
        <f t="shared" si="91"/>
        <v>0</v>
      </c>
      <c r="I227" s="1525">
        <f t="shared" si="91"/>
        <v>0</v>
      </c>
      <c r="J227" s="1525">
        <f t="shared" si="91"/>
        <v>0</v>
      </c>
      <c r="K227" s="1525">
        <f t="shared" si="91"/>
        <v>0</v>
      </c>
      <c r="L227" s="1525">
        <f t="shared" si="91"/>
        <v>0</v>
      </c>
      <c r="M227" s="1525">
        <f t="shared" si="91"/>
        <v>0</v>
      </c>
      <c r="N227" s="1525">
        <f t="shared" si="91"/>
        <v>0</v>
      </c>
      <c r="O227" s="1525">
        <f t="shared" si="91"/>
        <v>0</v>
      </c>
      <c r="P227" s="1525">
        <f t="shared" si="91"/>
        <v>0</v>
      </c>
      <c r="Q227" s="1525">
        <f t="shared" si="91"/>
        <v>0</v>
      </c>
      <c r="R227" s="2060"/>
      <c r="T227" s="2060"/>
      <c r="U227" s="1510"/>
      <c r="V227" s="2060"/>
      <c r="W227" s="2060"/>
      <c r="X227" s="2060"/>
      <c r="Y227" s="2060"/>
      <c r="Z227" s="2060"/>
      <c r="AA227" s="2060"/>
      <c r="AB227" s="2060"/>
      <c r="AC227" s="2060"/>
      <c r="AD227" s="2060"/>
      <c r="AE227" s="2060"/>
      <c r="AF227" s="2060"/>
      <c r="AG227" s="2060"/>
      <c r="AH227" s="2060"/>
      <c r="AI227" s="2060"/>
      <c r="AJ227" s="2060"/>
      <c r="AK227" s="2060"/>
      <c r="AL227" s="2060"/>
      <c r="AM227" s="2060"/>
      <c r="AN227" s="2060"/>
      <c r="AO227" s="2060"/>
      <c r="AP227" s="2060"/>
      <c r="AQ227" s="2060"/>
      <c r="AR227" s="2060"/>
      <c r="AS227" s="2060"/>
    </row>
    <row r="228" spans="1:45" s="1525" customFormat="1" ht="13.9">
      <c r="A228" s="1510"/>
      <c r="B228" s="2020"/>
      <c r="C228" s="304" t="s">
        <v>1006</v>
      </c>
      <c r="D228" s="1539"/>
      <c r="E228" s="1539"/>
      <c r="F228" s="1010"/>
      <c r="G228" s="1103"/>
      <c r="H228" s="1064"/>
      <c r="I228" s="1064"/>
      <c r="J228" s="1064"/>
      <c r="K228" s="1064"/>
      <c r="L228" s="1064"/>
      <c r="M228" s="1064"/>
      <c r="N228" s="1064"/>
      <c r="O228" s="1064"/>
      <c r="P228" s="1064"/>
      <c r="Q228" s="1064"/>
      <c r="R228" s="2060"/>
      <c r="T228" s="2060"/>
      <c r="U228" s="1510"/>
      <c r="V228" s="2060"/>
      <c r="W228" s="2060"/>
      <c r="X228" s="2060"/>
      <c r="Y228" s="2060"/>
      <c r="Z228" s="2060"/>
      <c r="AA228" s="2060"/>
      <c r="AB228" s="2060"/>
      <c r="AC228" s="2060"/>
      <c r="AD228" s="2060"/>
      <c r="AE228" s="2060"/>
      <c r="AF228" s="2060"/>
      <c r="AG228" s="2060"/>
      <c r="AH228" s="2060"/>
      <c r="AI228" s="2060"/>
      <c r="AJ228" s="2060"/>
      <c r="AK228" s="2060"/>
      <c r="AL228" s="2060"/>
      <c r="AM228" s="2060"/>
      <c r="AN228" s="2060"/>
      <c r="AO228" s="2060"/>
      <c r="AP228" s="2060"/>
      <c r="AQ228" s="2060"/>
      <c r="AR228" s="2060"/>
      <c r="AS228" s="2060"/>
    </row>
    <row r="229" spans="1:45" s="1525" customFormat="1" ht="13.9">
      <c r="A229" s="1510"/>
      <c r="B229" s="2020"/>
      <c r="C229" s="304" t="s">
        <v>1007</v>
      </c>
      <c r="D229" s="2207" t="s">
        <v>55</v>
      </c>
      <c r="E229" s="2074">
        <v>5</v>
      </c>
      <c r="F229" s="2076" t="str">
        <f>IF(AND(D229="Y",E229=0),"&lt;== Yrs!","")</f>
        <v/>
      </c>
      <c r="G229" s="2075">
        <f>IF(OR($D229&lt;&gt;"Y",G$24=0),0,IF(G$24&lt;1,SUM($G$24:G$24),MIN($E229-SUM($F229:F229),1)))</f>
        <v>0.5</v>
      </c>
      <c r="H229" s="2075">
        <f>IF(OR($D229&lt;&gt;"Y",H$24=0),0,IF(H$24&lt;1,SUM($G$24:H$24),MIN($E229-SUM($F229:G229),1)))</f>
        <v>1</v>
      </c>
      <c r="I229" s="2075">
        <f>IF(OR($D229&lt;&gt;"Y",I$24=0),0,IF(I$24&lt;1,SUM($G$24:I$24),MIN($E229-SUM($F229:H229),1)))</f>
        <v>1</v>
      </c>
      <c r="J229" s="2075">
        <f>IF(OR($D229&lt;&gt;"Y",J$24=0),0,IF(J$24&lt;1,SUM($G$24:J$24),MIN($E229-SUM($F229:I229),1)))</f>
        <v>1</v>
      </c>
      <c r="K229" s="2075">
        <f>IF(OR($D229&lt;&gt;"Y",K$24=0),0,IF(K$24&lt;1,SUM($G$24:K$24),MIN($E229-SUM($F229:J229),1)))</f>
        <v>1</v>
      </c>
      <c r="L229" s="2075">
        <f>IF(OR($D229&lt;&gt;"Y",L$24=0),0,IF(L$24&lt;1,SUM($G$24:L$24),MIN($E229-SUM($F229:K229),1)))</f>
        <v>0.5</v>
      </c>
      <c r="M229" s="2075">
        <f>IF(OR($D229&lt;&gt;"Y",M$24=0),0,IF(M$24&lt;1,SUM($G$24:M$24),MIN($E229-SUM($F229:L229),1)))</f>
        <v>0</v>
      </c>
      <c r="N229" s="2075">
        <f>IF(OR($D229&lt;&gt;"Y",N$24=0),0,IF(N$24&lt;1,SUM($G$24:N$24),MIN($E229-SUM($F229:M229),1)))</f>
        <v>0</v>
      </c>
      <c r="O229" s="2075">
        <f>IF(OR($D229&lt;&gt;"Y",O$24=0),0,IF(O$24&lt;1,SUM($G$24:O$24),MIN($E229-SUM($F229:N229),1)))</f>
        <v>0</v>
      </c>
      <c r="P229" s="2075">
        <f>IF(OR($D229&lt;&gt;"Y",P$24=0),0,IF(P$24&lt;1,SUM($G$24:P$24),MIN($E229-SUM($F229:O229),1)))</f>
        <v>0</v>
      </c>
      <c r="Q229" s="2075">
        <f>IF(OR($D229&lt;&gt;"Y",Q$24=0),0,IF(Q$24&lt;1,SUM($G$24:Q$24),MIN($E229-SUM($F229:P229),1)))</f>
        <v>0</v>
      </c>
      <c r="R229" s="2060"/>
      <c r="T229" s="2060"/>
      <c r="U229" s="1510"/>
      <c r="V229" s="2060"/>
      <c r="W229" s="2060"/>
      <c r="X229" s="2060"/>
      <c r="Y229" s="2060"/>
      <c r="Z229" s="2060"/>
      <c r="AA229" s="2060"/>
      <c r="AB229" s="2060"/>
      <c r="AC229" s="2060"/>
      <c r="AD229" s="2060"/>
      <c r="AE229" s="2060"/>
      <c r="AF229" s="2060"/>
      <c r="AG229" s="2060"/>
      <c r="AH229" s="2060"/>
      <c r="AI229" s="2060"/>
      <c r="AJ229" s="2060"/>
      <c r="AK229" s="2060"/>
      <c r="AL229" s="2060"/>
      <c r="AM229" s="2060"/>
      <c r="AN229" s="2060"/>
      <c r="AO229" s="2060"/>
      <c r="AP229" s="2060"/>
      <c r="AQ229" s="2060"/>
      <c r="AR229" s="2060"/>
      <c r="AS229" s="2060"/>
    </row>
    <row r="230" spans="1:45" s="1525" customFormat="1" ht="13.9">
      <c r="A230" s="1510"/>
      <c r="B230" s="2020"/>
      <c r="C230" s="304" t="s">
        <v>1008</v>
      </c>
      <c r="E230" s="2208">
        <f>IFERROR(IF($D229="Y",PMT($D232,$E229,$F227,0,0),0),0)</f>
        <v>0</v>
      </c>
      <c r="F230" s="1806"/>
      <c r="G230" s="1525">
        <f t="shared" ref="G230:Q230" si="92">IF(H229=0,SUM(G231:G232),$E230*G229)</f>
        <v>0</v>
      </c>
      <c r="H230" s="1525">
        <f t="shared" si="92"/>
        <v>0</v>
      </c>
      <c r="I230" s="1525">
        <f t="shared" si="92"/>
        <v>0</v>
      </c>
      <c r="J230" s="1525">
        <f t="shared" si="92"/>
        <v>0</v>
      </c>
      <c r="K230" s="1525">
        <f t="shared" si="92"/>
        <v>0</v>
      </c>
      <c r="L230" s="1525">
        <f t="shared" si="92"/>
        <v>0</v>
      </c>
      <c r="M230" s="1525">
        <f t="shared" si="92"/>
        <v>0</v>
      </c>
      <c r="N230" s="1525">
        <f t="shared" si="92"/>
        <v>0</v>
      </c>
      <c r="O230" s="1525">
        <f t="shared" si="92"/>
        <v>0</v>
      </c>
      <c r="P230" s="1525">
        <f t="shared" si="92"/>
        <v>0</v>
      </c>
      <c r="Q230" s="1525">
        <f t="shared" si="92"/>
        <v>0</v>
      </c>
      <c r="R230" s="2060"/>
      <c r="T230" s="2060"/>
      <c r="U230" s="1510"/>
      <c r="V230" s="2060"/>
      <c r="W230" s="2060"/>
      <c r="X230" s="2060"/>
      <c r="Y230" s="2060"/>
      <c r="Z230" s="2060"/>
      <c r="AA230" s="2060"/>
      <c r="AB230" s="2060"/>
      <c r="AC230" s="2060"/>
      <c r="AD230" s="2060"/>
      <c r="AE230" s="2060"/>
      <c r="AF230" s="2060"/>
      <c r="AG230" s="2060"/>
      <c r="AH230" s="2060"/>
      <c r="AI230" s="2060"/>
      <c r="AJ230" s="2060"/>
      <c r="AK230" s="2060"/>
      <c r="AL230" s="2060"/>
      <c r="AM230" s="2060"/>
      <c r="AN230" s="2060"/>
      <c r="AO230" s="2060"/>
      <c r="AP230" s="2060"/>
      <c r="AQ230" s="2060"/>
      <c r="AR230" s="2060"/>
      <c r="AS230" s="2060"/>
    </row>
    <row r="231" spans="1:45" s="1525" customFormat="1" ht="13.9">
      <c r="A231" s="1510"/>
      <c r="B231" s="2020"/>
      <c r="C231" s="818" t="s">
        <v>1003</v>
      </c>
      <c r="E231" s="1505"/>
      <c r="F231" s="1806"/>
      <c r="G231" s="1525">
        <f>IF($D229="Y",IF(H229=0,-F227,G230-G232),-MIN(F227,-G228))</f>
        <v>0</v>
      </c>
      <c r="H231" s="1525">
        <f t="shared" ref="H231:Q231" si="93">IF($D229="Y",IF(I229=0,-G227,H230-H232),-MIN(G227,-H228))</f>
        <v>0</v>
      </c>
      <c r="I231" s="1525">
        <f t="shared" si="93"/>
        <v>0</v>
      </c>
      <c r="J231" s="1525">
        <f t="shared" si="93"/>
        <v>0</v>
      </c>
      <c r="K231" s="1525">
        <f t="shared" si="93"/>
        <v>0</v>
      </c>
      <c r="L231" s="1525">
        <f t="shared" si="93"/>
        <v>0</v>
      </c>
      <c r="M231" s="1525">
        <f t="shared" si="93"/>
        <v>0</v>
      </c>
      <c r="N231" s="1525">
        <f t="shared" si="93"/>
        <v>0</v>
      </c>
      <c r="O231" s="1525">
        <f t="shared" si="93"/>
        <v>0</v>
      </c>
      <c r="P231" s="1525">
        <f t="shared" si="93"/>
        <v>0</v>
      </c>
      <c r="Q231" s="1525">
        <f t="shared" si="93"/>
        <v>0</v>
      </c>
      <c r="R231" s="2060"/>
      <c r="T231" s="2060"/>
      <c r="U231" s="1510"/>
      <c r="V231" s="2060"/>
      <c r="W231" s="2060"/>
      <c r="X231" s="2060"/>
      <c r="Y231" s="2060"/>
      <c r="Z231" s="2060"/>
      <c r="AA231" s="2060"/>
      <c r="AB231" s="2060"/>
      <c r="AC231" s="2060"/>
      <c r="AD231" s="2060"/>
      <c r="AE231" s="2060"/>
      <c r="AF231" s="2060"/>
      <c r="AG231" s="2060"/>
      <c r="AH231" s="2060"/>
      <c r="AI231" s="2060"/>
      <c r="AJ231" s="2060"/>
      <c r="AK231" s="2060"/>
      <c r="AL231" s="2060"/>
      <c r="AM231" s="2060"/>
      <c r="AN231" s="2060"/>
      <c r="AO231" s="2060"/>
      <c r="AP231" s="2060"/>
      <c r="AQ231" s="2060"/>
      <c r="AR231" s="2060"/>
      <c r="AS231" s="2060"/>
    </row>
    <row r="232" spans="1:45" s="1525" customFormat="1" ht="13.9">
      <c r="A232" s="1510"/>
      <c r="B232" s="2020"/>
      <c r="C232" s="818" t="s">
        <v>296</v>
      </c>
      <c r="D232" s="2139">
        <v>0</v>
      </c>
      <c r="E232" s="1505" t="s">
        <v>974</v>
      </c>
      <c r="F232" s="2025"/>
      <c r="G232" s="1525">
        <f t="shared" ref="G232:Q232" si="94">-F227*$D232*G229</f>
        <v>0</v>
      </c>
      <c r="H232" s="1525">
        <f t="shared" si="94"/>
        <v>0</v>
      </c>
      <c r="I232" s="1525">
        <f t="shared" si="94"/>
        <v>0</v>
      </c>
      <c r="J232" s="1525">
        <f t="shared" si="94"/>
        <v>0</v>
      </c>
      <c r="K232" s="1525">
        <f t="shared" si="94"/>
        <v>0</v>
      </c>
      <c r="L232" s="1525">
        <f t="shared" si="94"/>
        <v>0</v>
      </c>
      <c r="M232" s="1525">
        <f t="shared" si="94"/>
        <v>0</v>
      </c>
      <c r="N232" s="1525">
        <f t="shared" si="94"/>
        <v>0</v>
      </c>
      <c r="O232" s="1525">
        <f t="shared" si="94"/>
        <v>0</v>
      </c>
      <c r="P232" s="1525">
        <f t="shared" si="94"/>
        <v>0</v>
      </c>
      <c r="Q232" s="1525">
        <f t="shared" si="94"/>
        <v>0</v>
      </c>
      <c r="R232" s="2060"/>
      <c r="T232" s="2060"/>
      <c r="U232" s="1510"/>
      <c r="V232" s="2060"/>
      <c r="W232" s="2060"/>
      <c r="X232" s="2060"/>
      <c r="Y232" s="2060"/>
      <c r="Z232" s="2060"/>
      <c r="AA232" s="2060"/>
      <c r="AB232" s="2060"/>
      <c r="AC232" s="2060"/>
      <c r="AD232" s="2060"/>
      <c r="AE232" s="2060"/>
      <c r="AF232" s="2060"/>
      <c r="AG232" s="2060"/>
      <c r="AH232" s="2060"/>
      <c r="AI232" s="2060"/>
      <c r="AJ232" s="2060"/>
      <c r="AK232" s="2060"/>
      <c r="AL232" s="2060"/>
      <c r="AM232" s="2060"/>
      <c r="AN232" s="2060"/>
      <c r="AO232" s="2060"/>
      <c r="AP232" s="2060"/>
      <c r="AQ232" s="2060"/>
      <c r="AR232" s="2060"/>
      <c r="AS232" s="2060"/>
    </row>
    <row r="233" spans="1:45" s="1525" customFormat="1" ht="13.9">
      <c r="A233" s="1510"/>
      <c r="B233" s="2020"/>
      <c r="C233" s="818"/>
      <c r="E233" s="1505"/>
      <c r="F233" s="1806"/>
      <c r="R233" s="2060"/>
      <c r="T233" s="2060"/>
      <c r="U233" s="1510"/>
      <c r="V233" s="2060"/>
      <c r="W233" s="2060"/>
      <c r="X233" s="2060"/>
      <c r="Y233" s="2060"/>
      <c r="Z233" s="2060"/>
      <c r="AA233" s="2060"/>
      <c r="AB233" s="2060"/>
      <c r="AC233" s="2060"/>
      <c r="AD233" s="2060"/>
      <c r="AE233" s="2060"/>
      <c r="AF233" s="2060"/>
      <c r="AG233" s="2060"/>
      <c r="AH233" s="2060"/>
      <c r="AI233" s="2060"/>
      <c r="AJ233" s="2060"/>
      <c r="AK233" s="2060"/>
      <c r="AL233" s="2060"/>
      <c r="AM233" s="2060"/>
      <c r="AN233" s="2060"/>
      <c r="AO233" s="2060"/>
      <c r="AP233" s="2060"/>
      <c r="AQ233" s="2060"/>
      <c r="AR233" s="2060"/>
      <c r="AS233" s="2060"/>
    </row>
    <row r="234" spans="1:45" s="1525" customFormat="1" ht="13.9">
      <c r="A234" s="1510"/>
      <c r="B234" s="2020"/>
      <c r="C234" s="818" t="s">
        <v>1009</v>
      </c>
      <c r="E234" s="1530">
        <f>IF(StubY,'BAL SHEET Hist Input'!J41,'BAL SHEET Hist Input'!I41)</f>
        <v>0</v>
      </c>
      <c r="F234" s="1010">
        <f>IF(StubY,'BAL SHEET Hist Input'!K41,'BAL SHEET Hist Input'!J41)</f>
        <v>0</v>
      </c>
      <c r="G234" s="1525">
        <f t="shared" ref="G234:Q234" si="95">MAX((F234+G238),0)*(ISNUMBER(G$23)*1)</f>
        <v>0</v>
      </c>
      <c r="H234" s="1525">
        <f t="shared" si="95"/>
        <v>0</v>
      </c>
      <c r="I234" s="1525">
        <f t="shared" si="95"/>
        <v>0</v>
      </c>
      <c r="J234" s="1525">
        <f t="shared" si="95"/>
        <v>0</v>
      </c>
      <c r="K234" s="1525">
        <f t="shared" si="95"/>
        <v>0</v>
      </c>
      <c r="L234" s="1525">
        <f t="shared" si="95"/>
        <v>0</v>
      </c>
      <c r="M234" s="1525">
        <f t="shared" si="95"/>
        <v>0</v>
      </c>
      <c r="N234" s="1525">
        <f t="shared" si="95"/>
        <v>0</v>
      </c>
      <c r="O234" s="1525">
        <f t="shared" si="95"/>
        <v>0</v>
      </c>
      <c r="P234" s="1525">
        <f t="shared" si="95"/>
        <v>0</v>
      </c>
      <c r="Q234" s="1525">
        <f t="shared" si="95"/>
        <v>0</v>
      </c>
      <c r="R234" s="2060"/>
      <c r="T234" s="2060"/>
      <c r="U234" s="1510"/>
      <c r="V234" s="2060"/>
      <c r="W234" s="2060"/>
      <c r="X234" s="2060"/>
      <c r="Y234" s="2060"/>
      <c r="Z234" s="2060"/>
      <c r="AA234" s="2060"/>
      <c r="AB234" s="2060"/>
      <c r="AC234" s="2060"/>
      <c r="AD234" s="2060"/>
      <c r="AE234" s="2060"/>
      <c r="AF234" s="2060"/>
      <c r="AG234" s="2060"/>
      <c r="AH234" s="2060"/>
      <c r="AI234" s="2060"/>
      <c r="AJ234" s="2060"/>
      <c r="AK234" s="2060"/>
      <c r="AL234" s="2060"/>
      <c r="AM234" s="2060"/>
      <c r="AN234" s="2060"/>
      <c r="AO234" s="2060"/>
      <c r="AP234" s="2060"/>
      <c r="AQ234" s="2060"/>
      <c r="AR234" s="2060"/>
      <c r="AS234" s="2060"/>
    </row>
    <row r="235" spans="1:45" s="1525" customFormat="1" ht="13.9">
      <c r="A235" s="1510"/>
      <c r="B235" s="2020"/>
      <c r="C235" s="304" t="s">
        <v>1006</v>
      </c>
      <c r="D235" s="2060"/>
      <c r="E235" s="2060"/>
      <c r="F235" s="1010"/>
      <c r="G235" s="1103"/>
      <c r="H235" s="1064"/>
      <c r="I235" s="1064"/>
      <c r="J235" s="1064"/>
      <c r="K235" s="1064"/>
      <c r="L235" s="1064"/>
      <c r="M235" s="1064"/>
      <c r="N235" s="1064"/>
      <c r="O235" s="1064"/>
      <c r="P235" s="1064"/>
      <c r="Q235" s="1064"/>
      <c r="R235" s="2060"/>
      <c r="T235" s="2060"/>
      <c r="U235" s="1510"/>
      <c r="V235" s="2060"/>
      <c r="W235" s="2060"/>
      <c r="X235" s="2060"/>
      <c r="Y235" s="2060"/>
      <c r="Z235" s="2060"/>
      <c r="AA235" s="2060"/>
      <c r="AB235" s="2060"/>
      <c r="AC235" s="2060"/>
      <c r="AD235" s="2060"/>
      <c r="AE235" s="2060"/>
      <c r="AF235" s="2060"/>
      <c r="AG235" s="2060"/>
      <c r="AH235" s="2060"/>
      <c r="AI235" s="2060"/>
      <c r="AJ235" s="2060"/>
      <c r="AK235" s="2060"/>
      <c r="AL235" s="2060"/>
      <c r="AM235" s="2060"/>
      <c r="AN235" s="2060"/>
      <c r="AO235" s="2060"/>
      <c r="AP235" s="2060"/>
      <c r="AQ235" s="2060"/>
      <c r="AR235" s="2060"/>
      <c r="AS235" s="2060"/>
    </row>
    <row r="236" spans="1:45" s="1525" customFormat="1" ht="13.9">
      <c r="A236" s="1510"/>
      <c r="B236" s="2020"/>
      <c r="C236" s="304" t="s">
        <v>1010</v>
      </c>
      <c r="D236" s="2207" t="s">
        <v>55</v>
      </c>
      <c r="E236" s="2074">
        <v>5</v>
      </c>
      <c r="F236" s="2076" t="str">
        <f>IF(AND(D236="Y",E236=0),"&lt;== Yrs!","")</f>
        <v/>
      </c>
      <c r="G236" s="2075">
        <f>IF(OR($D236&lt;&gt;"Y",G$24=0),0,IF(G$24&lt;1,SUM($G$24:G$24),MIN($E236-SUM($F236:F236),1)))</f>
        <v>0.5</v>
      </c>
      <c r="H236" s="2075">
        <f>IF(OR($D236&lt;&gt;"Y",H$24=0),0,IF(H$24&lt;1,SUM($G$24:H$24),MIN($E236-SUM($F236:G236),1)))</f>
        <v>1</v>
      </c>
      <c r="I236" s="2075">
        <f>IF(OR($D236&lt;&gt;"Y",I$24=0),0,IF(I$24&lt;1,SUM($G$24:I$24),MIN($E236-SUM($F236:H236),1)))</f>
        <v>1</v>
      </c>
      <c r="J236" s="2075">
        <f>IF(OR($D236&lt;&gt;"Y",J$24=0),0,IF(J$24&lt;1,SUM($G$24:J$24),MIN($E236-SUM($F236:I236),1)))</f>
        <v>1</v>
      </c>
      <c r="K236" s="2075">
        <f>IF(OR($D236&lt;&gt;"Y",K$24=0),0,IF(K$24&lt;1,SUM($G$24:K$24),MIN($E236-SUM($F236:J236),1)))</f>
        <v>1</v>
      </c>
      <c r="L236" s="2075">
        <f>IF(OR($D236&lt;&gt;"Y",L$24=0),0,IF(L$24&lt;1,SUM($G$24:L$24),MIN($E236-SUM($F236:K236),1)))</f>
        <v>0.5</v>
      </c>
      <c r="M236" s="2075">
        <f>IF(OR($D236&lt;&gt;"Y",M$24=0),0,IF(M$24&lt;1,SUM($G$24:M$24),MIN($E236-SUM($F236:L236),1)))</f>
        <v>0</v>
      </c>
      <c r="N236" s="2075">
        <f>IF(OR($D236&lt;&gt;"Y",N$24=0),0,IF(N$24&lt;1,SUM($G$24:N$24),MIN($E236-SUM($F236:M236),1)))</f>
        <v>0</v>
      </c>
      <c r="O236" s="2075">
        <f>IF(OR($D236&lt;&gt;"Y",O$24=0),0,IF(O$24&lt;1,SUM($G$24:O$24),MIN($E236-SUM($F236:N236),1)))</f>
        <v>0</v>
      </c>
      <c r="P236" s="2075">
        <f>IF(OR($D236&lt;&gt;"Y",P$24=0),0,IF(P$24&lt;1,SUM($G$24:P$24),MIN($E236-SUM($F236:O236),1)))</f>
        <v>0</v>
      </c>
      <c r="Q236" s="2075">
        <f>IF(OR($D236&lt;&gt;"Y",Q$24=0),0,IF(Q$24&lt;1,SUM($G$24:Q$24),MIN($E236-SUM($F236:P236),1)))</f>
        <v>0</v>
      </c>
      <c r="R236" s="2060"/>
      <c r="T236" s="2060"/>
      <c r="U236" s="1510"/>
      <c r="V236" s="2060"/>
      <c r="W236" s="2060"/>
      <c r="X236" s="2060"/>
      <c r="Y236" s="2060"/>
      <c r="Z236" s="2060"/>
      <c r="AA236" s="2060"/>
      <c r="AB236" s="2060"/>
      <c r="AC236" s="2060"/>
      <c r="AD236" s="2060"/>
      <c r="AE236" s="2060"/>
      <c r="AF236" s="2060"/>
      <c r="AG236" s="2060"/>
      <c r="AH236" s="2060"/>
      <c r="AI236" s="2060"/>
      <c r="AJ236" s="2060"/>
      <c r="AK236" s="2060"/>
      <c r="AL236" s="2060"/>
      <c r="AM236" s="2060"/>
      <c r="AN236" s="2060"/>
      <c r="AO236" s="2060"/>
      <c r="AP236" s="2060"/>
      <c r="AQ236" s="2060"/>
      <c r="AR236" s="2060"/>
      <c r="AS236" s="2060"/>
    </row>
    <row r="237" spans="1:45" s="1525" customFormat="1" ht="13.9">
      <c r="A237" s="1510"/>
      <c r="B237" s="2020"/>
      <c r="C237" s="304" t="s">
        <v>1008</v>
      </c>
      <c r="E237" s="2208">
        <f>IFERROR(IF($D236="Y",PMT($D239,$E236,$F234,0,0),0),0)</f>
        <v>0</v>
      </c>
      <c r="F237" s="1806"/>
      <c r="G237" s="1525">
        <f t="shared" ref="G237:Q237" si="96">IF(H236=0,SUM(G238:G239),$E237*G236)</f>
        <v>0</v>
      </c>
      <c r="H237" s="1525">
        <f t="shared" si="96"/>
        <v>0</v>
      </c>
      <c r="I237" s="1525">
        <f t="shared" si="96"/>
        <v>0</v>
      </c>
      <c r="J237" s="1525">
        <f t="shared" si="96"/>
        <v>0</v>
      </c>
      <c r="K237" s="1525">
        <f t="shared" si="96"/>
        <v>0</v>
      </c>
      <c r="L237" s="1525">
        <f t="shared" si="96"/>
        <v>0</v>
      </c>
      <c r="M237" s="1525">
        <f t="shared" si="96"/>
        <v>0</v>
      </c>
      <c r="N237" s="1525">
        <f t="shared" si="96"/>
        <v>0</v>
      </c>
      <c r="O237" s="1525">
        <f t="shared" si="96"/>
        <v>0</v>
      </c>
      <c r="P237" s="1525">
        <f t="shared" si="96"/>
        <v>0</v>
      </c>
      <c r="Q237" s="1525">
        <f t="shared" si="96"/>
        <v>0</v>
      </c>
      <c r="R237" s="2060"/>
      <c r="T237" s="2060"/>
      <c r="U237" s="1510"/>
      <c r="V237" s="2060"/>
      <c r="W237" s="2060"/>
      <c r="X237" s="2060"/>
      <c r="Y237" s="2060"/>
      <c r="Z237" s="2060"/>
      <c r="AA237" s="2060"/>
      <c r="AB237" s="2060"/>
      <c r="AC237" s="2060"/>
      <c r="AD237" s="2060"/>
      <c r="AE237" s="2060"/>
      <c r="AF237" s="2060"/>
      <c r="AG237" s="2060"/>
      <c r="AH237" s="2060"/>
      <c r="AI237" s="2060"/>
      <c r="AJ237" s="2060"/>
      <c r="AK237" s="2060"/>
      <c r="AL237" s="2060"/>
      <c r="AM237" s="2060"/>
      <c r="AN237" s="2060"/>
      <c r="AO237" s="2060"/>
      <c r="AP237" s="2060"/>
      <c r="AQ237" s="2060"/>
      <c r="AR237" s="2060"/>
      <c r="AS237" s="2060"/>
    </row>
    <row r="238" spans="1:45" s="1525" customFormat="1" ht="13.9">
      <c r="A238" s="1510"/>
      <c r="B238" s="2020"/>
      <c r="C238" s="818" t="s">
        <v>1003</v>
      </c>
      <c r="E238" s="1505"/>
      <c r="F238" s="1806"/>
      <c r="G238" s="1525">
        <f t="shared" ref="G238:Q238" si="97">IF($D236="Y",IF(H236=0,-F234,G237-G239),-MIN(F234,-G235))</f>
        <v>0</v>
      </c>
      <c r="H238" s="1525">
        <f t="shared" si="97"/>
        <v>0</v>
      </c>
      <c r="I238" s="1525">
        <f t="shared" si="97"/>
        <v>0</v>
      </c>
      <c r="J238" s="1525">
        <f t="shared" si="97"/>
        <v>0</v>
      </c>
      <c r="K238" s="1525">
        <f t="shared" si="97"/>
        <v>0</v>
      </c>
      <c r="L238" s="1525">
        <f t="shared" si="97"/>
        <v>0</v>
      </c>
      <c r="M238" s="1525">
        <f t="shared" si="97"/>
        <v>0</v>
      </c>
      <c r="N238" s="1525">
        <f t="shared" si="97"/>
        <v>0</v>
      </c>
      <c r="O238" s="1525">
        <f t="shared" si="97"/>
        <v>0</v>
      </c>
      <c r="P238" s="1525">
        <f t="shared" si="97"/>
        <v>0</v>
      </c>
      <c r="Q238" s="1525">
        <f t="shared" si="97"/>
        <v>0</v>
      </c>
      <c r="R238" s="2060"/>
      <c r="T238" s="2060"/>
      <c r="U238" s="1510"/>
      <c r="V238" s="2060"/>
      <c r="W238" s="2060"/>
      <c r="X238" s="2060"/>
      <c r="Y238" s="2060"/>
      <c r="Z238" s="2060"/>
      <c r="AA238" s="2060"/>
      <c r="AB238" s="2060"/>
      <c r="AC238" s="2060"/>
      <c r="AD238" s="2060"/>
      <c r="AE238" s="2060"/>
      <c r="AF238" s="2060"/>
      <c r="AG238" s="2060"/>
      <c r="AH238" s="2060"/>
      <c r="AI238" s="2060"/>
      <c r="AJ238" s="2060"/>
      <c r="AK238" s="2060"/>
      <c r="AL238" s="2060"/>
      <c r="AM238" s="2060"/>
      <c r="AN238" s="2060"/>
      <c r="AO238" s="2060"/>
      <c r="AP238" s="2060"/>
      <c r="AQ238" s="2060"/>
      <c r="AR238" s="2060"/>
      <c r="AS238" s="2060"/>
    </row>
    <row r="239" spans="1:45" s="1525" customFormat="1" ht="13.9">
      <c r="A239" s="1510"/>
      <c r="B239" s="2020"/>
      <c r="C239" s="818" t="s">
        <v>296</v>
      </c>
      <c r="D239" s="2139">
        <v>0</v>
      </c>
      <c r="E239" s="1505" t="s">
        <v>974</v>
      </c>
      <c r="F239" s="2025"/>
      <c r="G239" s="1525">
        <f t="shared" ref="G239:Q239" si="98">-F234*$D239*G236</f>
        <v>0</v>
      </c>
      <c r="H239" s="1525">
        <f t="shared" si="98"/>
        <v>0</v>
      </c>
      <c r="I239" s="1525">
        <f t="shared" si="98"/>
        <v>0</v>
      </c>
      <c r="J239" s="1525">
        <f t="shared" si="98"/>
        <v>0</v>
      </c>
      <c r="K239" s="1525">
        <f t="shared" si="98"/>
        <v>0</v>
      </c>
      <c r="L239" s="1525">
        <f t="shared" si="98"/>
        <v>0</v>
      </c>
      <c r="M239" s="1525">
        <f t="shared" si="98"/>
        <v>0</v>
      </c>
      <c r="N239" s="1525">
        <f t="shared" si="98"/>
        <v>0</v>
      </c>
      <c r="O239" s="1525">
        <f t="shared" si="98"/>
        <v>0</v>
      </c>
      <c r="P239" s="1525">
        <f t="shared" si="98"/>
        <v>0</v>
      </c>
      <c r="Q239" s="1525">
        <f t="shared" si="98"/>
        <v>0</v>
      </c>
      <c r="R239" s="2060"/>
      <c r="T239" s="2060"/>
      <c r="U239" s="1510"/>
      <c r="V239" s="2060"/>
      <c r="W239" s="2060"/>
      <c r="X239" s="2060"/>
      <c r="Y239" s="2060"/>
      <c r="Z239" s="2060"/>
      <c r="AA239" s="2060"/>
      <c r="AB239" s="2060"/>
      <c r="AC239" s="2060"/>
      <c r="AD239" s="2060"/>
      <c r="AE239" s="2060"/>
      <c r="AF239" s="2060"/>
      <c r="AG239" s="2060"/>
      <c r="AH239" s="2060"/>
      <c r="AI239" s="2060"/>
      <c r="AJ239" s="2060"/>
      <c r="AK239" s="2060"/>
      <c r="AL239" s="2060"/>
      <c r="AM239" s="2060"/>
      <c r="AN239" s="2060"/>
      <c r="AO239" s="2060"/>
      <c r="AP239" s="2060"/>
      <c r="AQ239" s="2060"/>
      <c r="AR239" s="2060"/>
      <c r="AS239" s="2060"/>
    </row>
    <row r="240" spans="1:45" s="1525" customFormat="1" ht="13.9">
      <c r="A240" s="1510"/>
      <c r="B240" s="2020"/>
      <c r="C240" s="818"/>
      <c r="E240" s="1505"/>
      <c r="F240" s="1806"/>
      <c r="R240" s="2060"/>
      <c r="T240" s="2060"/>
      <c r="U240" s="1510"/>
      <c r="V240" s="2060"/>
      <c r="W240" s="2060"/>
      <c r="X240" s="2060"/>
      <c r="Y240" s="2060"/>
      <c r="Z240" s="2060"/>
      <c r="AA240" s="2060"/>
      <c r="AB240" s="2060"/>
      <c r="AC240" s="2060"/>
      <c r="AD240" s="2060"/>
      <c r="AE240" s="2060"/>
      <c r="AF240" s="2060"/>
      <c r="AG240" s="2060"/>
      <c r="AH240" s="2060"/>
      <c r="AI240" s="2060"/>
      <c r="AJ240" s="2060"/>
      <c r="AK240" s="2060"/>
      <c r="AL240" s="2060"/>
      <c r="AM240" s="2060"/>
      <c r="AN240" s="2060"/>
      <c r="AO240" s="2060"/>
      <c r="AP240" s="2060"/>
      <c r="AQ240" s="2060"/>
      <c r="AR240" s="2060"/>
      <c r="AS240" s="2060"/>
    </row>
    <row r="241" spans="1:45" s="1525" customFormat="1" ht="13.9">
      <c r="A241" s="1510"/>
      <c r="B241" s="2020"/>
      <c r="C241" s="818" t="s">
        <v>1011</v>
      </c>
      <c r="E241" s="1530">
        <f>IF(StubY,'BAL SHEET Hist Input'!J42,'BAL SHEET Hist Input'!I42)</f>
        <v>0</v>
      </c>
      <c r="F241" s="1010">
        <f>IF(StubY,'BAL SHEET Hist Input'!K42,'BAL SHEET Hist Input'!J42)</f>
        <v>0</v>
      </c>
      <c r="G241" s="1525">
        <f t="shared" ref="G241:Q241" si="99">MAX((F241+G245),0)*(ISNUMBER(G$23)*1)</f>
        <v>0</v>
      </c>
      <c r="H241" s="1525">
        <f t="shared" si="99"/>
        <v>0</v>
      </c>
      <c r="I241" s="1525">
        <f t="shared" si="99"/>
        <v>0</v>
      </c>
      <c r="J241" s="1525">
        <f t="shared" si="99"/>
        <v>0</v>
      </c>
      <c r="K241" s="1525">
        <f t="shared" si="99"/>
        <v>0</v>
      </c>
      <c r="L241" s="1525">
        <f t="shared" si="99"/>
        <v>0</v>
      </c>
      <c r="M241" s="1525">
        <f t="shared" si="99"/>
        <v>0</v>
      </c>
      <c r="N241" s="1525">
        <f t="shared" si="99"/>
        <v>0</v>
      </c>
      <c r="O241" s="1525">
        <f t="shared" si="99"/>
        <v>0</v>
      </c>
      <c r="P241" s="1525">
        <f t="shared" si="99"/>
        <v>0</v>
      </c>
      <c r="Q241" s="1525">
        <f t="shared" si="99"/>
        <v>0</v>
      </c>
      <c r="R241" s="2060"/>
      <c r="T241" s="2060"/>
      <c r="U241" s="1510"/>
      <c r="V241" s="2060"/>
      <c r="W241" s="2060"/>
      <c r="X241" s="2060"/>
      <c r="Y241" s="2060"/>
      <c r="Z241" s="2060"/>
      <c r="AA241" s="2060"/>
      <c r="AB241" s="2060"/>
      <c r="AC241" s="2060"/>
      <c r="AD241" s="2060"/>
      <c r="AE241" s="2060"/>
      <c r="AF241" s="2060"/>
      <c r="AG241" s="2060"/>
      <c r="AH241" s="2060"/>
      <c r="AI241" s="2060"/>
      <c r="AJ241" s="2060"/>
      <c r="AK241" s="2060"/>
      <c r="AL241" s="2060"/>
      <c r="AM241" s="2060"/>
      <c r="AN241" s="2060"/>
      <c r="AO241" s="2060"/>
      <c r="AP241" s="2060"/>
      <c r="AQ241" s="2060"/>
      <c r="AR241" s="2060"/>
      <c r="AS241" s="2060"/>
    </row>
    <row r="242" spans="1:45" s="1525" customFormat="1" ht="13.9">
      <c r="A242" s="1510"/>
      <c r="B242" s="2020"/>
      <c r="C242" s="304" t="s">
        <v>1006</v>
      </c>
      <c r="D242" s="2060"/>
      <c r="E242" s="2060"/>
      <c r="F242" s="1010"/>
      <c r="G242" s="1103"/>
      <c r="H242" s="1064"/>
      <c r="I242" s="1064"/>
      <c r="J242" s="1064"/>
      <c r="K242" s="1064"/>
      <c r="L242" s="1064"/>
      <c r="M242" s="1064"/>
      <c r="N242" s="1064"/>
      <c r="O242" s="1064"/>
      <c r="P242" s="1064"/>
      <c r="Q242" s="1064"/>
      <c r="R242" s="2060"/>
      <c r="T242" s="2060"/>
      <c r="U242" s="1510"/>
      <c r="V242" s="2060"/>
      <c r="W242" s="2060"/>
      <c r="X242" s="2060"/>
      <c r="Y242" s="2060"/>
      <c r="Z242" s="2060"/>
      <c r="AA242" s="2060"/>
      <c r="AB242" s="2060"/>
      <c r="AC242" s="2060"/>
      <c r="AD242" s="2060"/>
      <c r="AE242" s="2060"/>
      <c r="AF242" s="2060"/>
      <c r="AG242" s="2060"/>
      <c r="AH242" s="2060"/>
      <c r="AI242" s="2060"/>
      <c r="AJ242" s="2060"/>
      <c r="AK242" s="2060"/>
      <c r="AL242" s="2060"/>
      <c r="AM242" s="2060"/>
      <c r="AN242" s="2060"/>
      <c r="AO242" s="2060"/>
      <c r="AP242" s="2060"/>
      <c r="AQ242" s="2060"/>
      <c r="AR242" s="2060"/>
      <c r="AS242" s="2060"/>
    </row>
    <row r="243" spans="1:45" s="1525" customFormat="1" ht="13.9">
      <c r="A243" s="1510"/>
      <c r="B243" s="2020"/>
      <c r="C243" s="304" t="s">
        <v>1010</v>
      </c>
      <c r="D243" s="2207" t="s">
        <v>55</v>
      </c>
      <c r="E243" s="2074">
        <v>5</v>
      </c>
      <c r="F243" s="2076" t="str">
        <f>IF(AND(D243="Y",E243=0),"&lt;== Yrs!","")</f>
        <v/>
      </c>
      <c r="G243" s="2075">
        <f>IF(OR($D243&lt;&gt;"Y",G$24=0),0,IF(G$24&lt;1,SUM($G$24:G$24),MIN($E243-SUM($F243:F243),1)))</f>
        <v>0.5</v>
      </c>
      <c r="H243" s="2075">
        <f>IF(OR($D243&lt;&gt;"Y",H$24=0),0,IF(H$24&lt;1,SUM($G$24:H$24),MIN($E243-SUM($F243:G243),1)))</f>
        <v>1</v>
      </c>
      <c r="I243" s="2075">
        <f>IF(OR($D243&lt;&gt;"Y",I$24=0),0,IF(I$24&lt;1,SUM($G$24:I$24),MIN($E243-SUM($F243:H243),1)))</f>
        <v>1</v>
      </c>
      <c r="J243" s="2075">
        <f>IF(OR($D243&lt;&gt;"Y",J$24=0),0,IF(J$24&lt;1,SUM($G$24:J$24),MIN($E243-SUM($F243:I243),1)))</f>
        <v>1</v>
      </c>
      <c r="K243" s="2075">
        <f>IF(OR($D243&lt;&gt;"Y",K$24=0),0,IF(K$24&lt;1,SUM($G$24:K$24),MIN($E243-SUM($F243:J243),1)))</f>
        <v>1</v>
      </c>
      <c r="L243" s="2075">
        <f>IF(OR($D243&lt;&gt;"Y",L$24=0),0,IF(L$24&lt;1,SUM($G$24:L$24),MIN($E243-SUM($F243:K243),1)))</f>
        <v>0.5</v>
      </c>
      <c r="M243" s="2075">
        <f>IF(OR($D243&lt;&gt;"Y",M$24=0),0,IF(M$24&lt;1,SUM($G$24:M$24),MIN($E243-SUM($F243:L243),1)))</f>
        <v>0</v>
      </c>
      <c r="N243" s="2075">
        <f>IF(OR($D243&lt;&gt;"Y",N$24=0),0,IF(N$24&lt;1,SUM($G$24:N$24),MIN($E243-SUM($F243:M243),1)))</f>
        <v>0</v>
      </c>
      <c r="O243" s="2075">
        <f>IF(OR($D243&lt;&gt;"Y",O$24=0),0,IF(O$24&lt;1,SUM($G$24:O$24),MIN($E243-SUM($F243:N243),1)))</f>
        <v>0</v>
      </c>
      <c r="P243" s="2075">
        <f>IF(OR($D243&lt;&gt;"Y",P$24=0),0,IF(P$24&lt;1,SUM($G$24:P$24),MIN($E243-SUM($F243:O243),1)))</f>
        <v>0</v>
      </c>
      <c r="Q243" s="2075">
        <f>IF(OR($D243&lt;&gt;"Y",Q$24=0),0,IF(Q$24&lt;1,SUM($G$24:Q$24),MIN($E243-SUM($F243:P243),1)))</f>
        <v>0</v>
      </c>
      <c r="R243" s="2060"/>
      <c r="T243" s="2060"/>
      <c r="U243" s="1510"/>
      <c r="V243" s="2060"/>
      <c r="W243" s="2060"/>
      <c r="X243" s="2060"/>
      <c r="Y243" s="2060"/>
      <c r="Z243" s="2060"/>
      <c r="AA243" s="2060"/>
      <c r="AB243" s="2060"/>
      <c r="AC243" s="2060"/>
      <c r="AD243" s="2060"/>
      <c r="AE243" s="2060"/>
      <c r="AF243" s="2060"/>
      <c r="AG243" s="2060"/>
      <c r="AH243" s="2060"/>
      <c r="AI243" s="2060"/>
      <c r="AJ243" s="2060"/>
      <c r="AK243" s="2060"/>
      <c r="AL243" s="2060"/>
      <c r="AM243" s="2060"/>
      <c r="AN243" s="2060"/>
      <c r="AO243" s="2060"/>
      <c r="AP243" s="2060"/>
      <c r="AQ243" s="2060"/>
      <c r="AR243" s="2060"/>
      <c r="AS243" s="2060"/>
    </row>
    <row r="244" spans="1:45" s="1525" customFormat="1" ht="13.9">
      <c r="A244" s="1510"/>
      <c r="B244" s="2020"/>
      <c r="C244" s="304" t="s">
        <v>1008</v>
      </c>
      <c r="E244" s="2208">
        <f>IFERROR(IF($D243="Y",PMT($D246,$E243,$F241,0,0),0),0)</f>
        <v>0</v>
      </c>
      <c r="F244" s="1806"/>
      <c r="G244" s="1525">
        <f t="shared" ref="G244:Q244" si="100">IF(H243=0,SUM(G245:G246),$E244*G243)</f>
        <v>0</v>
      </c>
      <c r="H244" s="1525">
        <f t="shared" si="100"/>
        <v>0</v>
      </c>
      <c r="I244" s="1525">
        <f t="shared" si="100"/>
        <v>0</v>
      </c>
      <c r="J244" s="1525">
        <f t="shared" si="100"/>
        <v>0</v>
      </c>
      <c r="K244" s="1525">
        <f t="shared" si="100"/>
        <v>0</v>
      </c>
      <c r="L244" s="1525">
        <f t="shared" si="100"/>
        <v>0</v>
      </c>
      <c r="M244" s="1525">
        <f t="shared" si="100"/>
        <v>0</v>
      </c>
      <c r="N244" s="1525">
        <f t="shared" si="100"/>
        <v>0</v>
      </c>
      <c r="O244" s="1525">
        <f t="shared" si="100"/>
        <v>0</v>
      </c>
      <c r="P244" s="1525">
        <f t="shared" si="100"/>
        <v>0</v>
      </c>
      <c r="Q244" s="1525">
        <f t="shared" si="100"/>
        <v>0</v>
      </c>
      <c r="R244" s="2060"/>
      <c r="T244" s="2060"/>
      <c r="U244" s="1510"/>
      <c r="V244" s="2060"/>
      <c r="W244" s="2060"/>
      <c r="X244" s="2060"/>
      <c r="Y244" s="2060"/>
      <c r="Z244" s="2060"/>
      <c r="AA244" s="2060"/>
      <c r="AB244" s="2060"/>
      <c r="AC244" s="2060"/>
      <c r="AD244" s="2060"/>
      <c r="AE244" s="2060"/>
      <c r="AF244" s="2060"/>
      <c r="AG244" s="2060"/>
      <c r="AH244" s="2060"/>
      <c r="AI244" s="2060"/>
      <c r="AJ244" s="2060"/>
      <c r="AK244" s="2060"/>
      <c r="AL244" s="2060"/>
      <c r="AM244" s="2060"/>
      <c r="AN244" s="2060"/>
      <c r="AO244" s="2060"/>
      <c r="AP244" s="2060"/>
      <c r="AQ244" s="2060"/>
      <c r="AR244" s="2060"/>
      <c r="AS244" s="2060"/>
    </row>
    <row r="245" spans="1:45" s="1525" customFormat="1" ht="13.9">
      <c r="A245" s="1510"/>
      <c r="B245" s="2020"/>
      <c r="C245" s="818" t="s">
        <v>1003</v>
      </c>
      <c r="E245" s="1505"/>
      <c r="F245" s="1806"/>
      <c r="G245" s="1525">
        <f t="shared" ref="G245:Q245" si="101">IF($D243="Y",IF(H243=0,-F241,G244-G246),-MIN(F241,-G242))</f>
        <v>0</v>
      </c>
      <c r="H245" s="1525">
        <f t="shared" si="101"/>
        <v>0</v>
      </c>
      <c r="I245" s="1525">
        <f t="shared" si="101"/>
        <v>0</v>
      </c>
      <c r="J245" s="1525">
        <f t="shared" si="101"/>
        <v>0</v>
      </c>
      <c r="K245" s="1525">
        <f t="shared" si="101"/>
        <v>0</v>
      </c>
      <c r="L245" s="1525">
        <f t="shared" si="101"/>
        <v>0</v>
      </c>
      <c r="M245" s="1525">
        <f t="shared" si="101"/>
        <v>0</v>
      </c>
      <c r="N245" s="1525">
        <f t="shared" si="101"/>
        <v>0</v>
      </c>
      <c r="O245" s="1525">
        <f t="shared" si="101"/>
        <v>0</v>
      </c>
      <c r="P245" s="1525">
        <f t="shared" si="101"/>
        <v>0</v>
      </c>
      <c r="Q245" s="1525">
        <f t="shared" si="101"/>
        <v>0</v>
      </c>
      <c r="R245" s="2060"/>
      <c r="T245" s="2060"/>
      <c r="U245" s="1510"/>
      <c r="V245" s="2060"/>
      <c r="W245" s="2060"/>
      <c r="X245" s="2060"/>
      <c r="Y245" s="2060"/>
      <c r="Z245" s="2060"/>
      <c r="AA245" s="2060"/>
      <c r="AB245" s="2060"/>
      <c r="AC245" s="2060"/>
      <c r="AD245" s="2060"/>
      <c r="AE245" s="2060"/>
      <c r="AF245" s="2060"/>
      <c r="AG245" s="2060"/>
      <c r="AH245" s="2060"/>
      <c r="AI245" s="2060"/>
      <c r="AJ245" s="2060"/>
      <c r="AK245" s="2060"/>
      <c r="AL245" s="2060"/>
      <c r="AM245" s="2060"/>
      <c r="AN245" s="2060"/>
      <c r="AO245" s="2060"/>
      <c r="AP245" s="2060"/>
      <c r="AQ245" s="2060"/>
      <c r="AR245" s="2060"/>
      <c r="AS245" s="2060"/>
    </row>
    <row r="246" spans="1:45" s="1525" customFormat="1" ht="13.9">
      <c r="A246" s="1510"/>
      <c r="B246" s="2020"/>
      <c r="C246" s="818" t="s">
        <v>296</v>
      </c>
      <c r="D246" s="2139">
        <v>0</v>
      </c>
      <c r="E246" s="1505" t="s">
        <v>974</v>
      </c>
      <c r="F246" s="2025"/>
      <c r="G246" s="1525">
        <f t="shared" ref="G246:Q246" si="102">-F241*$D246*G243</f>
        <v>0</v>
      </c>
      <c r="H246" s="1525">
        <f t="shared" si="102"/>
        <v>0</v>
      </c>
      <c r="I246" s="1525">
        <f t="shared" si="102"/>
        <v>0</v>
      </c>
      <c r="J246" s="1525">
        <f t="shared" si="102"/>
        <v>0</v>
      </c>
      <c r="K246" s="1525">
        <f t="shared" si="102"/>
        <v>0</v>
      </c>
      <c r="L246" s="1525">
        <f t="shared" si="102"/>
        <v>0</v>
      </c>
      <c r="M246" s="1525">
        <f t="shared" si="102"/>
        <v>0</v>
      </c>
      <c r="N246" s="1525">
        <f t="shared" si="102"/>
        <v>0</v>
      </c>
      <c r="O246" s="1525">
        <f t="shared" si="102"/>
        <v>0</v>
      </c>
      <c r="P246" s="1525">
        <f t="shared" si="102"/>
        <v>0</v>
      </c>
      <c r="Q246" s="1525">
        <f t="shared" si="102"/>
        <v>0</v>
      </c>
      <c r="R246" s="2060"/>
      <c r="T246" s="2060"/>
      <c r="U246" s="1510"/>
      <c r="V246" s="2060"/>
      <c r="W246" s="2060"/>
      <c r="X246" s="2060"/>
      <c r="Y246" s="2060"/>
      <c r="Z246" s="2060"/>
      <c r="AA246" s="2060"/>
      <c r="AB246" s="2060"/>
      <c r="AC246" s="2060"/>
      <c r="AD246" s="2060"/>
      <c r="AE246" s="2060"/>
      <c r="AF246" s="2060"/>
      <c r="AG246" s="2060"/>
      <c r="AH246" s="2060"/>
      <c r="AI246" s="2060"/>
      <c r="AJ246" s="2060"/>
      <c r="AK246" s="2060"/>
      <c r="AL246" s="2060"/>
      <c r="AM246" s="2060"/>
      <c r="AN246" s="2060"/>
      <c r="AO246" s="2060"/>
      <c r="AP246" s="2060"/>
      <c r="AQ246" s="2060"/>
      <c r="AR246" s="2060"/>
      <c r="AS246" s="2060"/>
    </row>
    <row r="247" spans="1:45" s="1525" customFormat="1" ht="13.9">
      <c r="A247" s="1510"/>
      <c r="B247" s="2020"/>
      <c r="C247" s="818"/>
      <c r="E247" s="1505"/>
      <c r="F247" s="1806"/>
      <c r="R247" s="2060"/>
      <c r="T247" s="2060"/>
      <c r="U247" s="1510"/>
      <c r="V247" s="2060"/>
      <c r="W247" s="2060"/>
      <c r="X247" s="2060"/>
      <c r="Y247" s="2060"/>
      <c r="Z247" s="2060"/>
      <c r="AA247" s="2060"/>
      <c r="AB247" s="2060"/>
      <c r="AC247" s="2060"/>
      <c r="AD247" s="2060"/>
      <c r="AE247" s="2060"/>
      <c r="AF247" s="2060"/>
      <c r="AG247" s="2060"/>
      <c r="AH247" s="2060"/>
      <c r="AI247" s="2060"/>
      <c r="AJ247" s="2060"/>
      <c r="AK247" s="2060"/>
      <c r="AL247" s="2060"/>
      <c r="AM247" s="2060"/>
      <c r="AN247" s="2060"/>
      <c r="AO247" s="2060"/>
      <c r="AP247" s="2060"/>
      <c r="AQ247" s="2060"/>
      <c r="AR247" s="2060"/>
      <c r="AS247" s="2060"/>
    </row>
    <row r="248" spans="1:45" s="1525" customFormat="1" ht="13.9">
      <c r="A248" s="1510"/>
      <c r="B248" s="2020"/>
      <c r="C248" s="818" t="s">
        <v>1012</v>
      </c>
      <c r="E248" s="1530">
        <f>IF(StubY,'BAL SHEET Hist Input'!J43,'BAL SHEET Hist Input'!I43)</f>
        <v>0</v>
      </c>
      <c r="F248" s="1010">
        <f>IF(StubY,'BAL SHEET Hist Input'!K43,'BAL SHEET Hist Input'!J43)</f>
        <v>0</v>
      </c>
      <c r="G248" s="1525">
        <f t="shared" ref="G248:L248" si="103">IF(G249,G249,F248)*(ISNUMBER(G$23)*1)</f>
        <v>0</v>
      </c>
      <c r="H248" s="1525">
        <f t="shared" si="103"/>
        <v>0</v>
      </c>
      <c r="I248" s="1525">
        <f t="shared" si="103"/>
        <v>0</v>
      </c>
      <c r="J248" s="1525">
        <f t="shared" si="103"/>
        <v>0</v>
      </c>
      <c r="K248" s="1525">
        <f t="shared" si="103"/>
        <v>0</v>
      </c>
      <c r="L248" s="1525">
        <f t="shared" si="103"/>
        <v>0</v>
      </c>
      <c r="M248" s="1525">
        <f>IF(M249,M249,L248)*(ISNUMBER(M$23)*1)</f>
        <v>0</v>
      </c>
      <c r="N248" s="1525">
        <f>IF(N249,N249,M248)*(ISNUMBER(N$23)*1)</f>
        <v>0</v>
      </c>
      <c r="O248" s="1525">
        <f>IF(O249,O249,N248)*(ISNUMBER(O$23)*1)</f>
        <v>0</v>
      </c>
      <c r="P248" s="1525">
        <f>IF(P249,P249,O248)*(ISNUMBER(P$23)*1)</f>
        <v>0</v>
      </c>
      <c r="Q248" s="1525">
        <f>IF(Q249,Q249,P248)*(ISNUMBER(Q$23)*1)</f>
        <v>0</v>
      </c>
      <c r="R248" s="2060"/>
      <c r="T248" s="2060"/>
      <c r="U248" s="1510"/>
      <c r="V248" s="2060"/>
      <c r="W248" s="2060"/>
      <c r="X248" s="2060"/>
      <c r="Y248" s="2060"/>
      <c r="Z248" s="2060"/>
      <c r="AA248" s="2060"/>
      <c r="AB248" s="2060"/>
      <c r="AC248" s="2060"/>
      <c r="AD248" s="2060"/>
      <c r="AE248" s="2060"/>
      <c r="AF248" s="2060"/>
      <c r="AG248" s="2060"/>
      <c r="AH248" s="2060"/>
      <c r="AI248" s="2060"/>
      <c r="AJ248" s="2060"/>
      <c r="AK248" s="2060"/>
      <c r="AL248" s="2060"/>
      <c r="AM248" s="2060"/>
      <c r="AN248" s="2060"/>
      <c r="AO248" s="2060"/>
      <c r="AP248" s="2060"/>
      <c r="AQ248" s="2060"/>
      <c r="AR248" s="2060"/>
      <c r="AS248" s="2060"/>
    </row>
    <row r="249" spans="1:45" s="1525" customFormat="1" ht="13.9">
      <c r="A249" s="1510"/>
      <c r="B249" s="2020"/>
      <c r="C249" s="304" t="s">
        <v>953</v>
      </c>
      <c r="F249" s="2025"/>
      <c r="G249" s="1103"/>
      <c r="H249" s="1064"/>
      <c r="I249" s="1064"/>
      <c r="J249" s="1064"/>
      <c r="K249" s="1064"/>
      <c r="L249" s="1064"/>
      <c r="M249" s="1064"/>
      <c r="N249" s="1064"/>
      <c r="O249" s="1064"/>
      <c r="P249" s="1064"/>
      <c r="Q249" s="1064"/>
      <c r="R249" s="2060"/>
      <c r="T249" s="2060"/>
      <c r="U249" s="1510"/>
      <c r="V249" s="2060"/>
      <c r="W249" s="2060"/>
      <c r="X249" s="2060"/>
      <c r="Y249" s="2060"/>
      <c r="Z249" s="2060"/>
      <c r="AA249" s="2060"/>
      <c r="AB249" s="2060"/>
      <c r="AC249" s="2060"/>
      <c r="AD249" s="2060"/>
      <c r="AE249" s="2060"/>
      <c r="AF249" s="2060"/>
      <c r="AG249" s="2060"/>
      <c r="AH249" s="2060"/>
      <c r="AI249" s="2060"/>
      <c r="AJ249" s="2060"/>
      <c r="AK249" s="2060"/>
      <c r="AL249" s="2060"/>
      <c r="AM249" s="2060"/>
      <c r="AN249" s="2060"/>
      <c r="AO249" s="2060"/>
      <c r="AP249" s="2060"/>
      <c r="AQ249" s="2060"/>
      <c r="AR249" s="2060"/>
      <c r="AS249" s="2060"/>
    </row>
    <row r="250" spans="1:45" s="1525" customFormat="1" ht="13.9">
      <c r="A250" s="1510"/>
      <c r="B250" s="2020"/>
      <c r="C250" s="818" t="s">
        <v>1013</v>
      </c>
      <c r="E250" s="1505"/>
      <c r="F250" s="1806"/>
      <c r="G250" s="1525">
        <f>(G248-F248)*(ISNUMBER(G$23)*1)</f>
        <v>0</v>
      </c>
      <c r="H250" s="1525">
        <f t="shared" ref="H250:Q250" si="104">(H248-G248)*(ISNUMBER(H$23)*1)</f>
        <v>0</v>
      </c>
      <c r="I250" s="1525">
        <f t="shared" si="104"/>
        <v>0</v>
      </c>
      <c r="J250" s="1525">
        <f t="shared" si="104"/>
        <v>0</v>
      </c>
      <c r="K250" s="1525">
        <f t="shared" si="104"/>
        <v>0</v>
      </c>
      <c r="L250" s="1525">
        <f t="shared" si="104"/>
        <v>0</v>
      </c>
      <c r="M250" s="1525">
        <f t="shared" si="104"/>
        <v>0</v>
      </c>
      <c r="N250" s="1525">
        <f t="shared" si="104"/>
        <v>0</v>
      </c>
      <c r="O250" s="1525">
        <f t="shared" si="104"/>
        <v>0</v>
      </c>
      <c r="P250" s="1525">
        <f t="shared" si="104"/>
        <v>0</v>
      </c>
      <c r="Q250" s="1525">
        <f t="shared" si="104"/>
        <v>0</v>
      </c>
      <c r="R250" s="2060"/>
      <c r="T250" s="2060"/>
      <c r="U250" s="1510"/>
      <c r="V250" s="2060"/>
      <c r="W250" s="2060"/>
      <c r="X250" s="2060"/>
      <c r="Y250" s="2060"/>
      <c r="Z250" s="2060"/>
      <c r="AA250" s="2060"/>
      <c r="AB250" s="2060"/>
      <c r="AC250" s="2060"/>
      <c r="AD250" s="2060"/>
      <c r="AE250" s="2060"/>
      <c r="AF250" s="2060"/>
      <c r="AG250" s="2060"/>
      <c r="AH250" s="2060"/>
      <c r="AI250" s="2060"/>
      <c r="AJ250" s="2060"/>
      <c r="AK250" s="2060"/>
      <c r="AL250" s="2060"/>
      <c r="AM250" s="2060"/>
      <c r="AN250" s="2060"/>
      <c r="AO250" s="2060"/>
      <c r="AP250" s="2060"/>
      <c r="AQ250" s="2060"/>
      <c r="AR250" s="2060"/>
      <c r="AS250" s="2060"/>
    </row>
    <row r="251" spans="1:45" s="1525" customFormat="1" ht="13.9">
      <c r="A251" s="1510"/>
      <c r="B251" s="2020"/>
      <c r="C251" s="818"/>
      <c r="E251" s="1505"/>
      <c r="F251" s="1806"/>
      <c r="R251" s="2060"/>
      <c r="T251" s="2060"/>
      <c r="U251" s="1510"/>
      <c r="V251" s="2060"/>
      <c r="W251" s="2060"/>
      <c r="X251" s="2060"/>
      <c r="Y251" s="2060"/>
      <c r="Z251" s="2060"/>
      <c r="AA251" s="2060"/>
      <c r="AB251" s="2060"/>
      <c r="AC251" s="2060"/>
      <c r="AD251" s="2060"/>
      <c r="AE251" s="2060"/>
      <c r="AF251" s="2060"/>
      <c r="AG251" s="2060"/>
      <c r="AH251" s="2060"/>
      <c r="AI251" s="2060"/>
      <c r="AJ251" s="2060"/>
      <c r="AK251" s="2060"/>
      <c r="AL251" s="2060"/>
      <c r="AM251" s="2060"/>
      <c r="AN251" s="2060"/>
      <c r="AO251" s="2060"/>
      <c r="AP251" s="2060"/>
      <c r="AQ251" s="2060"/>
      <c r="AR251" s="2060"/>
      <c r="AS251" s="2060"/>
    </row>
    <row r="252" spans="1:45" s="1525" customFormat="1" ht="13.9">
      <c r="A252" s="1510"/>
      <c r="B252" s="2020"/>
      <c r="C252" s="818" t="s">
        <v>423</v>
      </c>
      <c r="E252" s="1530">
        <f>IF(StubY,'BAL SHEET Hist Input'!J44,'BAL SHEET Hist Input'!I44)</f>
        <v>0</v>
      </c>
      <c r="F252" s="1010">
        <f>IF(StubY,'BAL SHEET Hist Input'!K44,'BAL SHEET Hist Input'!J44)</f>
        <v>0</v>
      </c>
      <c r="G252" s="1525">
        <f t="shared" ref="G252:L252" si="105">IF(G253,G253,F252)*(ISNUMBER(G$23)*1)</f>
        <v>0</v>
      </c>
      <c r="H252" s="1525">
        <f t="shared" si="105"/>
        <v>0</v>
      </c>
      <c r="I252" s="1525">
        <f t="shared" si="105"/>
        <v>0</v>
      </c>
      <c r="J252" s="1525">
        <f t="shared" si="105"/>
        <v>0</v>
      </c>
      <c r="K252" s="1525">
        <f t="shared" si="105"/>
        <v>0</v>
      </c>
      <c r="L252" s="1525">
        <f t="shared" si="105"/>
        <v>0</v>
      </c>
      <c r="M252" s="1525">
        <f>IF(M253,M253,L252)*(ISNUMBER(M$23)*1)</f>
        <v>0</v>
      </c>
      <c r="N252" s="1525">
        <f>IF(N253,N253,M252)*(ISNUMBER(N$23)*1)</f>
        <v>0</v>
      </c>
      <c r="O252" s="1525">
        <f>IF(O253,O253,N252)*(ISNUMBER(O$23)*1)</f>
        <v>0</v>
      </c>
      <c r="P252" s="1525">
        <f>IF(P253,P253,O252)*(ISNUMBER(P$23)*1)</f>
        <v>0</v>
      </c>
      <c r="Q252" s="1525">
        <f>IF(Q253,Q253,P252)*(ISNUMBER(Q$23)*1)</f>
        <v>0</v>
      </c>
      <c r="R252" s="2060"/>
      <c r="T252" s="2060"/>
      <c r="U252" s="1510"/>
      <c r="V252" s="2060"/>
      <c r="W252" s="2060"/>
      <c r="X252" s="2060"/>
      <c r="Y252" s="2060"/>
      <c r="Z252" s="2060"/>
      <c r="AA252" s="2060"/>
      <c r="AB252" s="2060"/>
      <c r="AC252" s="2060"/>
      <c r="AD252" s="2060"/>
      <c r="AE252" s="2060"/>
      <c r="AF252" s="2060"/>
      <c r="AG252" s="2060"/>
      <c r="AH252" s="2060"/>
      <c r="AI252" s="2060"/>
      <c r="AJ252" s="2060"/>
      <c r="AK252" s="2060"/>
      <c r="AL252" s="2060"/>
      <c r="AM252" s="2060"/>
      <c r="AN252" s="2060"/>
      <c r="AO252" s="2060"/>
      <c r="AP252" s="2060"/>
      <c r="AQ252" s="2060"/>
      <c r="AR252" s="2060"/>
      <c r="AS252" s="2060"/>
    </row>
    <row r="253" spans="1:45" s="1525" customFormat="1" ht="13.9">
      <c r="A253" s="1510"/>
      <c r="B253" s="2020"/>
      <c r="C253" s="304" t="s">
        <v>953</v>
      </c>
      <c r="F253" s="2025"/>
      <c r="G253" s="1103"/>
      <c r="H253" s="1064"/>
      <c r="I253" s="1064"/>
      <c r="J253" s="1064"/>
      <c r="K253" s="1064"/>
      <c r="L253" s="1064"/>
      <c r="M253" s="1064"/>
      <c r="N253" s="1064"/>
      <c r="O253" s="1064"/>
      <c r="P253" s="1064"/>
      <c r="Q253" s="1064"/>
      <c r="R253" s="2060"/>
      <c r="T253" s="2060"/>
      <c r="U253" s="1510"/>
      <c r="V253" s="2060"/>
      <c r="W253" s="2060"/>
      <c r="X253" s="2060"/>
      <c r="Y253" s="2060"/>
      <c r="Z253" s="2060"/>
      <c r="AA253" s="2060"/>
      <c r="AB253" s="2060"/>
      <c r="AC253" s="2060"/>
      <c r="AD253" s="2060"/>
      <c r="AE253" s="2060"/>
      <c r="AF253" s="2060"/>
      <c r="AG253" s="2060"/>
      <c r="AH253" s="2060"/>
      <c r="AI253" s="2060"/>
      <c r="AJ253" s="2060"/>
      <c r="AK253" s="2060"/>
      <c r="AL253" s="2060"/>
      <c r="AM253" s="2060"/>
      <c r="AN253" s="2060"/>
      <c r="AO253" s="2060"/>
      <c r="AP253" s="2060"/>
      <c r="AQ253" s="2060"/>
      <c r="AR253" s="2060"/>
      <c r="AS253" s="2060"/>
    </row>
    <row r="254" spans="1:45" s="1525" customFormat="1" ht="13.9">
      <c r="A254" s="1510"/>
      <c r="B254" s="2020"/>
      <c r="C254" s="818" t="s">
        <v>1013</v>
      </c>
      <c r="E254" s="1505"/>
      <c r="F254" s="1806"/>
      <c r="G254" s="1525">
        <f>(G252-F252)*(ISNUMBER(G$23)*1)</f>
        <v>0</v>
      </c>
      <c r="H254" s="1525">
        <f t="shared" ref="H254:Q254" si="106">(H252-G252)*(ISNUMBER(H$23)*1)</f>
        <v>0</v>
      </c>
      <c r="I254" s="1525">
        <f t="shared" si="106"/>
        <v>0</v>
      </c>
      <c r="J254" s="1525">
        <f t="shared" si="106"/>
        <v>0</v>
      </c>
      <c r="K254" s="1525">
        <f t="shared" si="106"/>
        <v>0</v>
      </c>
      <c r="L254" s="1525">
        <f t="shared" si="106"/>
        <v>0</v>
      </c>
      <c r="M254" s="1525">
        <f t="shared" si="106"/>
        <v>0</v>
      </c>
      <c r="N254" s="1525">
        <f t="shared" si="106"/>
        <v>0</v>
      </c>
      <c r="O254" s="1525">
        <f t="shared" si="106"/>
        <v>0</v>
      </c>
      <c r="P254" s="1525">
        <f t="shared" si="106"/>
        <v>0</v>
      </c>
      <c r="Q254" s="1525">
        <f t="shared" si="106"/>
        <v>0</v>
      </c>
      <c r="R254" s="2060"/>
      <c r="T254" s="2060"/>
      <c r="U254" s="1510"/>
      <c r="V254" s="2060"/>
      <c r="W254" s="2060"/>
      <c r="X254" s="2060"/>
      <c r="Y254" s="2060"/>
      <c r="Z254" s="2060"/>
      <c r="AA254" s="2060"/>
      <c r="AB254" s="2060"/>
      <c r="AC254" s="2060"/>
      <c r="AD254" s="2060"/>
      <c r="AE254" s="2060"/>
      <c r="AF254" s="2060"/>
      <c r="AG254" s="2060"/>
      <c r="AH254" s="2060"/>
      <c r="AI254" s="2060"/>
      <c r="AJ254" s="2060"/>
      <c r="AK254" s="2060"/>
      <c r="AL254" s="2060"/>
      <c r="AM254" s="2060"/>
      <c r="AN254" s="2060"/>
      <c r="AO254" s="2060"/>
      <c r="AP254" s="2060"/>
      <c r="AQ254" s="2060"/>
      <c r="AR254" s="2060"/>
      <c r="AS254" s="2060"/>
    </row>
    <row r="255" spans="1:45" s="1525" customFormat="1" ht="13.9">
      <c r="A255" s="1510"/>
      <c r="B255" s="2020"/>
      <c r="C255" s="818"/>
      <c r="E255" s="1505"/>
      <c r="F255" s="1806"/>
      <c r="R255" s="2060"/>
      <c r="T255" s="2060"/>
      <c r="U255" s="1510"/>
      <c r="V255" s="2060"/>
      <c r="W255" s="2060"/>
      <c r="X255" s="2060"/>
      <c r="Y255" s="2060"/>
      <c r="Z255" s="2060"/>
      <c r="AA255" s="2060"/>
      <c r="AB255" s="2060"/>
      <c r="AC255" s="2060"/>
      <c r="AD255" s="2060"/>
      <c r="AE255" s="2060"/>
      <c r="AF255" s="2060"/>
      <c r="AG255" s="2060"/>
      <c r="AH255" s="2060"/>
      <c r="AI255" s="2060"/>
      <c r="AJ255" s="2060"/>
      <c r="AK255" s="2060"/>
      <c r="AL255" s="2060"/>
      <c r="AM255" s="2060"/>
      <c r="AN255" s="2060"/>
      <c r="AO255" s="2060"/>
      <c r="AP255" s="2060"/>
      <c r="AQ255" s="2060"/>
      <c r="AR255" s="2060"/>
      <c r="AS255" s="2060"/>
    </row>
    <row r="256" spans="1:45" s="1525" customFormat="1" ht="13.9">
      <c r="A256" s="1510"/>
      <c r="B256" s="2020"/>
      <c r="C256" s="2206" t="s">
        <v>1014</v>
      </c>
      <c r="E256" s="1525">
        <f>IF(StubY,'BAL SHEET Hist Input'!J45,'BAL SHEET Hist Input'!I45)</f>
        <v>0</v>
      </c>
      <c r="F256" s="2025">
        <f>IF(StubY,'BAL SHEET Hist Input'!K45,'BAL SHEET Hist Input'!J45)</f>
        <v>0</v>
      </c>
      <c r="G256" s="328">
        <f t="shared" ref="G256:M256" si="107">IFERROR(G259*G$100,0)</f>
        <v>0</v>
      </c>
      <c r="H256" s="328">
        <f t="shared" si="107"/>
        <v>0</v>
      </c>
      <c r="I256" s="328">
        <f t="shared" si="107"/>
        <v>0</v>
      </c>
      <c r="J256" s="328">
        <f t="shared" si="107"/>
        <v>0</v>
      </c>
      <c r="K256" s="328">
        <f t="shared" si="107"/>
        <v>0</v>
      </c>
      <c r="L256" s="328">
        <f t="shared" si="107"/>
        <v>0</v>
      </c>
      <c r="M256" s="328">
        <f t="shared" si="107"/>
        <v>0</v>
      </c>
      <c r="N256" s="328">
        <f>IFERROR(N259*N$100,0)</f>
        <v>0</v>
      </c>
      <c r="O256" s="328">
        <f>IFERROR(O259*O$100,0)</f>
        <v>0</v>
      </c>
      <c r="P256" s="328">
        <f>IFERROR(P259*P$100,0)</f>
        <v>0</v>
      </c>
      <c r="Q256" s="328">
        <f>IFERROR(Q259*Q$100,0)</f>
        <v>0</v>
      </c>
      <c r="R256" s="2060"/>
      <c r="T256" s="2060"/>
      <c r="U256" s="1510"/>
      <c r="V256" s="2060"/>
      <c r="W256" s="2060"/>
      <c r="X256" s="2060"/>
      <c r="Y256" s="2060"/>
      <c r="Z256" s="2060"/>
      <c r="AA256" s="2060"/>
      <c r="AB256" s="2060"/>
      <c r="AC256" s="2060"/>
      <c r="AD256" s="2060"/>
      <c r="AE256" s="2060"/>
      <c r="AF256" s="2060"/>
      <c r="AG256" s="2060"/>
      <c r="AH256" s="2060"/>
      <c r="AI256" s="2060"/>
      <c r="AJ256" s="2060"/>
      <c r="AK256" s="2060"/>
      <c r="AL256" s="2060"/>
      <c r="AM256" s="2060"/>
      <c r="AN256" s="2060"/>
      <c r="AO256" s="2060"/>
      <c r="AP256" s="2060"/>
      <c r="AQ256" s="2060"/>
      <c r="AR256" s="2060"/>
      <c r="AS256" s="2060"/>
    </row>
    <row r="257" spans="1:45" s="1525" customFormat="1" ht="13.9">
      <c r="A257" s="1510"/>
      <c r="B257" s="2020"/>
      <c r="C257" s="304" t="s">
        <v>953</v>
      </c>
      <c r="F257" s="2025"/>
      <c r="G257" s="1103"/>
      <c r="H257" s="1064"/>
      <c r="I257" s="1064"/>
      <c r="J257" s="1064"/>
      <c r="K257" s="1064"/>
      <c r="L257" s="1064"/>
      <c r="M257" s="1064"/>
      <c r="N257" s="1064"/>
      <c r="O257" s="1064"/>
      <c r="P257" s="1064"/>
      <c r="Q257" s="1064"/>
      <c r="R257" s="2060"/>
      <c r="T257" s="2060"/>
      <c r="U257" s="1510"/>
      <c r="V257" s="2060"/>
      <c r="W257" s="2060"/>
      <c r="X257" s="2060"/>
      <c r="Y257" s="2060"/>
      <c r="Z257" s="2060"/>
      <c r="AA257" s="2060"/>
      <c r="AB257" s="2060"/>
      <c r="AC257" s="2060"/>
      <c r="AD257" s="2060"/>
      <c r="AE257" s="2060"/>
      <c r="AF257" s="2060"/>
      <c r="AG257" s="2060"/>
      <c r="AH257" s="2060"/>
      <c r="AI257" s="2060"/>
      <c r="AJ257" s="2060"/>
      <c r="AK257" s="2060"/>
      <c r="AL257" s="2060"/>
      <c r="AM257" s="2060"/>
      <c r="AN257" s="2060"/>
      <c r="AO257" s="2060"/>
      <c r="AP257" s="2060"/>
      <c r="AQ257" s="2060"/>
      <c r="AR257" s="2060"/>
      <c r="AS257" s="2060"/>
    </row>
    <row r="258" spans="1:45" s="1525" customFormat="1" ht="13.9">
      <c r="A258" s="1510"/>
      <c r="B258" s="2020"/>
      <c r="C258" s="1380" t="s">
        <v>956</v>
      </c>
      <c r="E258" s="328"/>
      <c r="F258" s="1010"/>
      <c r="G258" s="2024"/>
      <c r="H258" s="6"/>
      <c r="I258" s="6"/>
      <c r="J258" s="6"/>
      <c r="K258" s="6"/>
      <c r="L258" s="6"/>
      <c r="M258" s="6"/>
      <c r="N258" s="6"/>
      <c r="O258" s="6"/>
      <c r="P258" s="6"/>
      <c r="Q258" s="6"/>
      <c r="R258" s="2060"/>
      <c r="T258" s="2060"/>
      <c r="U258" s="1510"/>
      <c r="V258" s="2060"/>
      <c r="W258" s="2060"/>
      <c r="X258" s="2060"/>
      <c r="Y258" s="2060"/>
      <c r="Z258" s="2060"/>
      <c r="AA258" s="2060"/>
      <c r="AB258" s="2060"/>
      <c r="AC258" s="2060"/>
      <c r="AD258" s="2060"/>
      <c r="AE258" s="2060"/>
      <c r="AF258" s="2060"/>
      <c r="AG258" s="2060"/>
      <c r="AH258" s="2060"/>
      <c r="AI258" s="2060"/>
      <c r="AJ258" s="2060"/>
      <c r="AK258" s="2060"/>
      <c r="AL258" s="2060"/>
      <c r="AM258" s="2060"/>
      <c r="AN258" s="2060"/>
      <c r="AO258" s="2060"/>
      <c r="AP258" s="2060"/>
      <c r="AQ258" s="2060"/>
      <c r="AR258" s="2060"/>
      <c r="AS258" s="2060"/>
    </row>
    <row r="259" spans="1:45" s="1525" customFormat="1" ht="13.9">
      <c r="A259" s="1510"/>
      <c r="B259" s="2020"/>
      <c r="C259" s="304" t="s">
        <v>969</v>
      </c>
      <c r="E259" s="1364">
        <f>IFERROR(E256/E$100,0)</f>
        <v>0</v>
      </c>
      <c r="F259" s="1740">
        <f>IFERROR(F256/F$100,0)</f>
        <v>0</v>
      </c>
      <c r="G259" s="1627">
        <f t="shared" ref="G259:Q259" si="108">IFERROR(IF(ISNUMBER(G257),G257/G$100,IF(ISNUMBER(G258),G258,F259))*(ISNUMBER(G$23)*1),0)</f>
        <v>0</v>
      </c>
      <c r="H259" s="1627">
        <f t="shared" si="108"/>
        <v>0</v>
      </c>
      <c r="I259" s="1627">
        <f t="shared" si="108"/>
        <v>0</v>
      </c>
      <c r="J259" s="1627">
        <f t="shared" si="108"/>
        <v>0</v>
      </c>
      <c r="K259" s="1627">
        <f t="shared" si="108"/>
        <v>0</v>
      </c>
      <c r="L259" s="1627">
        <f t="shared" si="108"/>
        <v>0</v>
      </c>
      <c r="M259" s="1627">
        <f t="shared" si="108"/>
        <v>0</v>
      </c>
      <c r="N259" s="1627">
        <f t="shared" si="108"/>
        <v>0</v>
      </c>
      <c r="O259" s="1627">
        <f t="shared" si="108"/>
        <v>0</v>
      </c>
      <c r="P259" s="1627">
        <f t="shared" si="108"/>
        <v>0</v>
      </c>
      <c r="Q259" s="1627">
        <f t="shared" si="108"/>
        <v>0</v>
      </c>
      <c r="R259" s="2060"/>
      <c r="T259" s="2060"/>
      <c r="U259" s="1510"/>
      <c r="V259" s="2060"/>
      <c r="W259" s="2060"/>
      <c r="X259" s="2060"/>
      <c r="Y259" s="2060"/>
      <c r="Z259" s="2060"/>
      <c r="AA259" s="2060"/>
      <c r="AB259" s="2060"/>
      <c r="AC259" s="2060"/>
      <c r="AD259" s="2060"/>
      <c r="AE259" s="2060"/>
      <c r="AF259" s="2060"/>
      <c r="AG259" s="2060"/>
      <c r="AH259" s="2060"/>
      <c r="AI259" s="2060"/>
      <c r="AJ259" s="2060"/>
      <c r="AK259" s="2060"/>
      <c r="AL259" s="2060"/>
      <c r="AM259" s="2060"/>
      <c r="AN259" s="2060"/>
      <c r="AO259" s="2060"/>
      <c r="AP259" s="2060"/>
      <c r="AQ259" s="2060"/>
      <c r="AR259" s="2060"/>
      <c r="AS259" s="2060"/>
    </row>
    <row r="260" spans="1:45" s="1525" customFormat="1" ht="13.9">
      <c r="A260" s="1510"/>
      <c r="B260" s="2020"/>
      <c r="C260" s="1530"/>
      <c r="E260" s="1505"/>
      <c r="F260" s="1806"/>
      <c r="G260" s="1627"/>
      <c r="H260" s="1627"/>
      <c r="I260" s="1627"/>
      <c r="J260" s="1627"/>
      <c r="K260" s="1627"/>
      <c r="L260" s="1627"/>
      <c r="M260" s="1627"/>
      <c r="N260" s="1627"/>
      <c r="O260" s="1627"/>
      <c r="P260" s="1627"/>
      <c r="Q260" s="1627"/>
      <c r="R260" s="2060"/>
      <c r="T260" s="2060"/>
      <c r="U260" s="1510"/>
      <c r="V260" s="2060"/>
      <c r="W260" s="2060"/>
      <c r="X260" s="2060"/>
      <c r="Y260" s="2060"/>
      <c r="Z260" s="2060"/>
      <c r="AA260" s="2060"/>
      <c r="AB260" s="2060"/>
      <c r="AC260" s="2060"/>
      <c r="AD260" s="2060"/>
      <c r="AE260" s="2060"/>
      <c r="AF260" s="2060"/>
      <c r="AG260" s="2060"/>
      <c r="AH260" s="2060"/>
      <c r="AI260" s="2060"/>
      <c r="AJ260" s="2060"/>
      <c r="AK260" s="2060"/>
      <c r="AL260" s="2060"/>
      <c r="AM260" s="2060"/>
      <c r="AN260" s="2060"/>
      <c r="AO260" s="2060"/>
      <c r="AP260" s="2060"/>
      <c r="AQ260" s="2060"/>
      <c r="AR260" s="2060"/>
      <c r="AS260" s="2060"/>
    </row>
    <row r="261" spans="1:45" s="1525" customFormat="1" ht="13.9">
      <c r="A261" s="1510"/>
      <c r="B261" s="2020"/>
      <c r="C261" s="2206" t="s">
        <v>1015</v>
      </c>
      <c r="E261" s="1525">
        <f>IF(StubY,'BAL SHEET Hist Input'!J46,'BAL SHEET Hist Input'!I46)</f>
        <v>0</v>
      </c>
      <c r="F261" s="1806">
        <f>IF(StubY,'BAL SHEET Hist Input'!K46,'BAL SHEET Hist Input'!J46)</f>
        <v>0</v>
      </c>
      <c r="G261" s="1525">
        <f>IFERROR(G264*G$100,0)</f>
        <v>0</v>
      </c>
      <c r="H261" s="328">
        <f>IFERROR(H264*H$100,0)</f>
        <v>0</v>
      </c>
      <c r="I261" s="328">
        <f t="shared" ref="I261:Q261" si="109">IFERROR(I264*I$100,0)</f>
        <v>0</v>
      </c>
      <c r="J261" s="328">
        <f t="shared" si="109"/>
        <v>0</v>
      </c>
      <c r="K261" s="328">
        <f t="shared" si="109"/>
        <v>0</v>
      </c>
      <c r="L261" s="328">
        <f t="shared" si="109"/>
        <v>0</v>
      </c>
      <c r="M261" s="328">
        <f t="shared" si="109"/>
        <v>0</v>
      </c>
      <c r="N261" s="328">
        <f t="shared" si="109"/>
        <v>0</v>
      </c>
      <c r="O261" s="328">
        <f t="shared" si="109"/>
        <v>0</v>
      </c>
      <c r="P261" s="328">
        <f t="shared" si="109"/>
        <v>0</v>
      </c>
      <c r="Q261" s="328">
        <f t="shared" si="109"/>
        <v>0</v>
      </c>
      <c r="R261" s="2060"/>
      <c r="T261" s="2060"/>
      <c r="U261" s="1510"/>
      <c r="V261" s="2060"/>
      <c r="W261" s="2060"/>
      <c r="X261" s="2060"/>
      <c r="Y261" s="2060"/>
      <c r="Z261" s="2060"/>
      <c r="AA261" s="2060"/>
      <c r="AB261" s="2060"/>
      <c r="AC261" s="2060"/>
      <c r="AD261" s="2060"/>
      <c r="AE261" s="2060"/>
      <c r="AF261" s="2060"/>
      <c r="AG261" s="2060"/>
      <c r="AH261" s="2060"/>
      <c r="AI261" s="2060"/>
      <c r="AJ261" s="2060"/>
      <c r="AK261" s="2060"/>
      <c r="AL261" s="2060"/>
      <c r="AM261" s="2060"/>
      <c r="AN261" s="2060"/>
      <c r="AO261" s="2060"/>
      <c r="AP261" s="2060"/>
      <c r="AQ261" s="2060"/>
      <c r="AR261" s="2060"/>
      <c r="AS261" s="2060"/>
    </row>
    <row r="262" spans="1:45" s="1525" customFormat="1" ht="13.9">
      <c r="A262" s="1510"/>
      <c r="B262" s="2020"/>
      <c r="C262" s="304" t="s">
        <v>953</v>
      </c>
      <c r="F262" s="2025"/>
      <c r="G262" s="1103"/>
      <c r="H262" s="1064"/>
      <c r="I262" s="1064"/>
      <c r="J262" s="1064"/>
      <c r="K262" s="1064"/>
      <c r="L262" s="1064"/>
      <c r="M262" s="1064"/>
      <c r="N262" s="1064"/>
      <c r="O262" s="1064"/>
      <c r="P262" s="1064"/>
      <c r="Q262" s="1064"/>
      <c r="R262" s="2060"/>
      <c r="T262" s="2060"/>
      <c r="U262" s="1510"/>
      <c r="V262" s="2060"/>
      <c r="W262" s="2060"/>
      <c r="X262" s="2060"/>
      <c r="Y262" s="2060"/>
      <c r="Z262" s="2060"/>
      <c r="AA262" s="2060"/>
      <c r="AB262" s="2060"/>
      <c r="AC262" s="2060"/>
      <c r="AD262" s="2060"/>
      <c r="AE262" s="2060"/>
      <c r="AF262" s="2060"/>
      <c r="AG262" s="2060"/>
      <c r="AH262" s="2060"/>
      <c r="AI262" s="2060"/>
      <c r="AJ262" s="2060"/>
      <c r="AK262" s="2060"/>
      <c r="AL262" s="2060"/>
      <c r="AM262" s="2060"/>
      <c r="AN262" s="2060"/>
      <c r="AO262" s="2060"/>
      <c r="AP262" s="2060"/>
      <c r="AQ262" s="2060"/>
      <c r="AR262" s="2060"/>
      <c r="AS262" s="2060"/>
    </row>
    <row r="263" spans="1:45" s="1525" customFormat="1" ht="13.9">
      <c r="A263" s="1510"/>
      <c r="B263" s="2020"/>
      <c r="C263" s="1380" t="s">
        <v>956</v>
      </c>
      <c r="E263" s="328"/>
      <c r="F263" s="1010"/>
      <c r="G263" s="2024"/>
      <c r="H263" s="6"/>
      <c r="I263" s="6"/>
      <c r="J263" s="6"/>
      <c r="K263" s="6"/>
      <c r="L263" s="6"/>
      <c r="M263" s="6"/>
      <c r="N263" s="6"/>
      <c r="O263" s="6"/>
      <c r="P263" s="6"/>
      <c r="Q263" s="6"/>
      <c r="R263" s="2060"/>
      <c r="T263" s="2060"/>
      <c r="U263" s="1510"/>
      <c r="V263" s="2060"/>
      <c r="W263" s="2060"/>
      <c r="X263" s="2060"/>
      <c r="Y263" s="2060"/>
      <c r="Z263" s="2060"/>
      <c r="AA263" s="2060"/>
      <c r="AB263" s="2060"/>
      <c r="AC263" s="2060"/>
      <c r="AD263" s="2060"/>
      <c r="AE263" s="2060"/>
      <c r="AF263" s="2060"/>
      <c r="AG263" s="2060"/>
      <c r="AH263" s="2060"/>
      <c r="AI263" s="2060"/>
      <c r="AJ263" s="2060"/>
      <c r="AK263" s="2060"/>
      <c r="AL263" s="2060"/>
      <c r="AM263" s="2060"/>
      <c r="AN263" s="2060"/>
      <c r="AO263" s="2060"/>
      <c r="AP263" s="2060"/>
      <c r="AQ263" s="2060"/>
      <c r="AR263" s="2060"/>
      <c r="AS263" s="2060"/>
    </row>
    <row r="264" spans="1:45" s="1525" customFormat="1" ht="13.9">
      <c r="A264" s="1510"/>
      <c r="B264" s="2020"/>
      <c r="C264" s="304" t="s">
        <v>969</v>
      </c>
      <c r="E264" s="1364">
        <f>IFERROR(E261/E$100,0)</f>
        <v>0</v>
      </c>
      <c r="F264" s="1740">
        <f>IFERROR(F261/F$100,0)</f>
        <v>0</v>
      </c>
      <c r="G264" s="1627">
        <f t="shared" ref="G264:Q264" si="110">IFERROR(IF(ISNUMBER(G262),G262/G$100,IF(ISNUMBER(G263),G263,F264))*(ISNUMBER(G$23)*1),0)</f>
        <v>0</v>
      </c>
      <c r="H264" s="1627">
        <f t="shared" si="110"/>
        <v>0</v>
      </c>
      <c r="I264" s="1627">
        <f t="shared" si="110"/>
        <v>0</v>
      </c>
      <c r="J264" s="1627">
        <f t="shared" si="110"/>
        <v>0</v>
      </c>
      <c r="K264" s="1627">
        <f t="shared" si="110"/>
        <v>0</v>
      </c>
      <c r="L264" s="1627">
        <f t="shared" si="110"/>
        <v>0</v>
      </c>
      <c r="M264" s="1627">
        <f t="shared" si="110"/>
        <v>0</v>
      </c>
      <c r="N264" s="1627">
        <f t="shared" si="110"/>
        <v>0</v>
      </c>
      <c r="O264" s="1627">
        <f t="shared" si="110"/>
        <v>0</v>
      </c>
      <c r="P264" s="1627">
        <f t="shared" si="110"/>
        <v>0</v>
      </c>
      <c r="Q264" s="1627">
        <f t="shared" si="110"/>
        <v>0</v>
      </c>
      <c r="R264" s="2060"/>
      <c r="T264" s="2060"/>
      <c r="U264" s="1510"/>
      <c r="V264" s="2060"/>
      <c r="W264" s="2060"/>
      <c r="X264" s="2060"/>
      <c r="Y264" s="2060"/>
      <c r="Z264" s="2060"/>
      <c r="AA264" s="2060"/>
      <c r="AB264" s="2060"/>
      <c r="AC264" s="2060"/>
      <c r="AD264" s="2060"/>
      <c r="AE264" s="2060"/>
      <c r="AF264" s="2060"/>
      <c r="AG264" s="2060"/>
      <c r="AH264" s="2060"/>
      <c r="AI264" s="2060"/>
      <c r="AJ264" s="2060"/>
      <c r="AK264" s="2060"/>
      <c r="AL264" s="2060"/>
      <c r="AM264" s="2060"/>
      <c r="AN264" s="2060"/>
      <c r="AO264" s="2060"/>
      <c r="AP264" s="2060"/>
      <c r="AQ264" s="2060"/>
      <c r="AR264" s="2060"/>
      <c r="AS264" s="2060"/>
    </row>
    <row r="265" spans="1:45" s="1525" customFormat="1" ht="13.9">
      <c r="A265" s="1510"/>
      <c r="B265" s="2020"/>
      <c r="C265" s="1530"/>
      <c r="E265" s="1505"/>
      <c r="F265" s="1806"/>
      <c r="G265" s="1627"/>
      <c r="H265" s="1627"/>
      <c r="I265" s="1627"/>
      <c r="J265" s="1627"/>
      <c r="K265" s="1627"/>
      <c r="L265" s="1627"/>
      <c r="M265" s="1627"/>
      <c r="N265" s="1627"/>
      <c r="O265" s="1627"/>
      <c r="P265" s="1627"/>
      <c r="Q265" s="1627"/>
      <c r="R265" s="2060"/>
      <c r="T265" s="2060"/>
      <c r="U265" s="1510"/>
      <c r="V265" s="2060"/>
      <c r="W265" s="2060"/>
      <c r="X265" s="2060"/>
      <c r="Y265" s="2060"/>
      <c r="Z265" s="2060"/>
      <c r="AA265" s="2060"/>
      <c r="AB265" s="2060"/>
      <c r="AC265" s="2060"/>
      <c r="AD265" s="2060"/>
      <c r="AE265" s="2060"/>
      <c r="AF265" s="2060"/>
      <c r="AG265" s="2060"/>
      <c r="AH265" s="2060"/>
      <c r="AI265" s="2060"/>
      <c r="AJ265" s="2060"/>
      <c r="AK265" s="2060"/>
      <c r="AL265" s="2060"/>
      <c r="AM265" s="2060"/>
      <c r="AN265" s="2060"/>
      <c r="AO265" s="2060"/>
      <c r="AP265" s="2060"/>
      <c r="AQ265" s="2060"/>
      <c r="AR265" s="2060"/>
      <c r="AS265" s="2060"/>
    </row>
    <row r="266" spans="1:45" s="1525" customFormat="1" ht="13.9">
      <c r="A266" s="1510"/>
      <c r="B266" s="2020"/>
      <c r="C266" s="2206" t="s">
        <v>1016</v>
      </c>
      <c r="E266" s="1525">
        <f>IF(StubY,'BAL SHEET Hist Input'!J47,'BAL SHEET Hist Input'!I47)</f>
        <v>0</v>
      </c>
      <c r="F266" s="1806">
        <f>IF(StubY,'BAL SHEET Hist Input'!K47,'BAL SHEET Hist Input'!J47)</f>
        <v>0</v>
      </c>
      <c r="G266" s="1525">
        <f>IFERROR(G269*G$100,0)</f>
        <v>0</v>
      </c>
      <c r="H266" s="328">
        <f>IFERROR(H269*H$100,0)</f>
        <v>0</v>
      </c>
      <c r="I266" s="328">
        <f t="shared" ref="I266:Q266" si="111">IFERROR(I269*I$100,0)</f>
        <v>0</v>
      </c>
      <c r="J266" s="328">
        <f t="shared" si="111"/>
        <v>0</v>
      </c>
      <c r="K266" s="328">
        <f t="shared" si="111"/>
        <v>0</v>
      </c>
      <c r="L266" s="328">
        <f t="shared" si="111"/>
        <v>0</v>
      </c>
      <c r="M266" s="328">
        <f t="shared" si="111"/>
        <v>0</v>
      </c>
      <c r="N266" s="328">
        <f t="shared" si="111"/>
        <v>0</v>
      </c>
      <c r="O266" s="328">
        <f t="shared" si="111"/>
        <v>0</v>
      </c>
      <c r="P266" s="328">
        <f t="shared" si="111"/>
        <v>0</v>
      </c>
      <c r="Q266" s="328">
        <f t="shared" si="111"/>
        <v>0</v>
      </c>
      <c r="R266" s="2060"/>
      <c r="T266" s="2060"/>
      <c r="U266" s="1510"/>
      <c r="V266" s="2060"/>
      <c r="W266" s="2060"/>
      <c r="X266" s="2060"/>
      <c r="Y266" s="2060"/>
      <c r="Z266" s="2060"/>
      <c r="AA266" s="2060"/>
      <c r="AB266" s="2060"/>
      <c r="AC266" s="2060"/>
      <c r="AD266" s="2060"/>
      <c r="AE266" s="2060"/>
      <c r="AF266" s="2060"/>
      <c r="AG266" s="2060"/>
      <c r="AH266" s="2060"/>
      <c r="AI266" s="2060"/>
      <c r="AJ266" s="2060"/>
      <c r="AK266" s="2060"/>
      <c r="AL266" s="2060"/>
      <c r="AM266" s="2060"/>
      <c r="AN266" s="2060"/>
      <c r="AO266" s="2060"/>
      <c r="AP266" s="2060"/>
      <c r="AQ266" s="2060"/>
      <c r="AR266" s="2060"/>
      <c r="AS266" s="2060"/>
    </row>
    <row r="267" spans="1:45" s="1525" customFormat="1" ht="13.9">
      <c r="A267" s="1510"/>
      <c r="B267" s="2020"/>
      <c r="C267" s="304" t="s">
        <v>953</v>
      </c>
      <c r="F267" s="2025"/>
      <c r="G267" s="1103"/>
      <c r="H267" s="1064"/>
      <c r="I267" s="1064"/>
      <c r="J267" s="1064"/>
      <c r="K267" s="1064"/>
      <c r="L267" s="1064"/>
      <c r="M267" s="1064"/>
      <c r="N267" s="1064"/>
      <c r="O267" s="1064"/>
      <c r="P267" s="1064"/>
      <c r="Q267" s="1064"/>
      <c r="R267" s="2060"/>
      <c r="T267" s="2060"/>
      <c r="U267" s="1510"/>
      <c r="V267" s="2060"/>
      <c r="W267" s="2060"/>
      <c r="X267" s="2060"/>
      <c r="Y267" s="2060"/>
      <c r="Z267" s="2060"/>
      <c r="AA267" s="2060"/>
      <c r="AB267" s="2060"/>
      <c r="AC267" s="2060"/>
      <c r="AD267" s="2060"/>
      <c r="AE267" s="2060"/>
      <c r="AF267" s="2060"/>
      <c r="AG267" s="2060"/>
      <c r="AH267" s="2060"/>
      <c r="AI267" s="2060"/>
      <c r="AJ267" s="2060"/>
      <c r="AK267" s="2060"/>
      <c r="AL267" s="2060"/>
      <c r="AM267" s="2060"/>
      <c r="AN267" s="2060"/>
      <c r="AO267" s="2060"/>
      <c r="AP267" s="2060"/>
      <c r="AQ267" s="2060"/>
      <c r="AR267" s="2060"/>
      <c r="AS267" s="2060"/>
    </row>
    <row r="268" spans="1:45" s="1525" customFormat="1" ht="13.9">
      <c r="A268" s="1510"/>
      <c r="B268" s="2020"/>
      <c r="C268" s="1380" t="s">
        <v>956</v>
      </c>
      <c r="E268" s="328"/>
      <c r="F268" s="1010"/>
      <c r="G268" s="2024"/>
      <c r="H268" s="6"/>
      <c r="I268" s="6"/>
      <c r="J268" s="6"/>
      <c r="K268" s="6"/>
      <c r="L268" s="6"/>
      <c r="M268" s="6"/>
      <c r="N268" s="6"/>
      <c r="O268" s="6"/>
      <c r="P268" s="6"/>
      <c r="Q268" s="6"/>
      <c r="R268" s="2060"/>
      <c r="T268" s="2060"/>
      <c r="U268" s="1510"/>
      <c r="V268" s="2060"/>
      <c r="W268" s="2060"/>
      <c r="X268" s="2060"/>
      <c r="Y268" s="2060"/>
      <c r="Z268" s="2060"/>
      <c r="AA268" s="2060"/>
      <c r="AB268" s="2060"/>
      <c r="AC268" s="2060"/>
      <c r="AD268" s="2060"/>
      <c r="AE268" s="2060"/>
      <c r="AF268" s="2060"/>
      <c r="AG268" s="2060"/>
      <c r="AH268" s="2060"/>
      <c r="AI268" s="2060"/>
      <c r="AJ268" s="2060"/>
      <c r="AK268" s="2060"/>
      <c r="AL268" s="2060"/>
      <c r="AM268" s="2060"/>
      <c r="AN268" s="2060"/>
      <c r="AO268" s="2060"/>
      <c r="AP268" s="2060"/>
      <c r="AQ268" s="2060"/>
      <c r="AR268" s="2060"/>
      <c r="AS268" s="2060"/>
    </row>
    <row r="269" spans="1:45" s="1525" customFormat="1" ht="13.9">
      <c r="A269" s="1510"/>
      <c r="B269" s="2020"/>
      <c r="C269" s="304" t="s">
        <v>969</v>
      </c>
      <c r="E269" s="1364">
        <f>IFERROR(E266/E$100,0)</f>
        <v>0</v>
      </c>
      <c r="F269" s="1740">
        <f>IFERROR(F266/F$100,0)</f>
        <v>0</v>
      </c>
      <c r="G269" s="1627">
        <f t="shared" ref="G269:Q269" si="112">IFERROR(IF(ISNUMBER(G267),G267/G$100,IF(ISNUMBER(G268),G268,F269))*(ISNUMBER(G$23)*1),0)</f>
        <v>0</v>
      </c>
      <c r="H269" s="1627">
        <f t="shared" si="112"/>
        <v>0</v>
      </c>
      <c r="I269" s="1627">
        <f t="shared" si="112"/>
        <v>0</v>
      </c>
      <c r="J269" s="1627">
        <f t="shared" si="112"/>
        <v>0</v>
      </c>
      <c r="K269" s="1627">
        <f t="shared" si="112"/>
        <v>0</v>
      </c>
      <c r="L269" s="1627">
        <f t="shared" si="112"/>
        <v>0</v>
      </c>
      <c r="M269" s="1627">
        <f t="shared" si="112"/>
        <v>0</v>
      </c>
      <c r="N269" s="1627">
        <f t="shared" si="112"/>
        <v>0</v>
      </c>
      <c r="O269" s="1627">
        <f t="shared" si="112"/>
        <v>0</v>
      </c>
      <c r="P269" s="1627">
        <f t="shared" si="112"/>
        <v>0</v>
      </c>
      <c r="Q269" s="1627">
        <f t="shared" si="112"/>
        <v>0</v>
      </c>
      <c r="R269" s="2060"/>
      <c r="T269" s="2060"/>
      <c r="U269" s="1510"/>
      <c r="V269" s="2060"/>
      <c r="W269" s="2060"/>
      <c r="X269" s="2060"/>
      <c r="Y269" s="2060"/>
      <c r="Z269" s="2060"/>
      <c r="AA269" s="2060"/>
      <c r="AB269" s="2060"/>
      <c r="AC269" s="2060"/>
      <c r="AD269" s="2060"/>
      <c r="AE269" s="2060"/>
      <c r="AF269" s="2060"/>
      <c r="AG269" s="2060"/>
      <c r="AH269" s="2060"/>
      <c r="AI269" s="2060"/>
      <c r="AJ269" s="2060"/>
      <c r="AK269" s="2060"/>
      <c r="AL269" s="2060"/>
      <c r="AM269" s="2060"/>
      <c r="AN269" s="2060"/>
      <c r="AO269" s="2060"/>
      <c r="AP269" s="2060"/>
      <c r="AQ269" s="2060"/>
      <c r="AR269" s="2060"/>
      <c r="AS269" s="2060"/>
    </row>
    <row r="270" spans="1:45" s="1525" customFormat="1" ht="13.9">
      <c r="A270" s="1510"/>
      <c r="B270" s="2020"/>
      <c r="C270" s="1530"/>
      <c r="E270" s="1505"/>
      <c r="F270" s="1806"/>
      <c r="G270" s="1627"/>
      <c r="H270" s="1627"/>
      <c r="I270" s="1627"/>
      <c r="J270" s="1627"/>
      <c r="K270" s="1627"/>
      <c r="L270" s="1627"/>
      <c r="M270" s="1627"/>
      <c r="N270" s="1627"/>
      <c r="O270" s="1627"/>
      <c r="P270" s="1627"/>
      <c r="Q270" s="1627"/>
      <c r="R270" s="2060"/>
      <c r="T270" s="2060"/>
      <c r="U270" s="1510"/>
      <c r="V270" s="2060"/>
      <c r="W270" s="2060"/>
      <c r="X270" s="2060"/>
      <c r="Y270" s="2060"/>
      <c r="Z270" s="2060"/>
      <c r="AA270" s="2060"/>
      <c r="AB270" s="2060"/>
      <c r="AC270" s="2060"/>
      <c r="AD270" s="2060"/>
      <c r="AE270" s="2060"/>
      <c r="AF270" s="2060"/>
      <c r="AG270" s="2060"/>
      <c r="AH270" s="2060"/>
      <c r="AI270" s="2060"/>
      <c r="AJ270" s="2060"/>
      <c r="AK270" s="2060"/>
      <c r="AL270" s="2060"/>
      <c r="AM270" s="2060"/>
      <c r="AN270" s="2060"/>
      <c r="AO270" s="2060"/>
      <c r="AP270" s="2060"/>
      <c r="AQ270" s="2060"/>
      <c r="AR270" s="2060"/>
      <c r="AS270" s="2060"/>
    </row>
    <row r="271" spans="1:45" s="1525" customFormat="1" ht="13.9">
      <c r="A271" s="1510"/>
      <c r="B271" s="2020"/>
      <c r="C271" s="2206" t="s">
        <v>1017</v>
      </c>
      <c r="E271" s="1525">
        <f>IF(StubY,'BAL SHEET Hist Input'!J48,'BAL SHEET Hist Input'!I48)</f>
        <v>0</v>
      </c>
      <c r="F271" s="1806">
        <f>IF(StubY,'BAL SHEET Hist Input'!K48,'BAL SHEET Hist Input'!J48)</f>
        <v>0</v>
      </c>
      <c r="G271" s="1525">
        <f>IFERROR(G274*G$100,0)</f>
        <v>0</v>
      </c>
      <c r="H271" s="328">
        <f>IFERROR(H274*H$100,0)</f>
        <v>0</v>
      </c>
      <c r="I271" s="328">
        <f t="shared" ref="I271:Q271" si="113">IFERROR(I274*I$100,0)</f>
        <v>0</v>
      </c>
      <c r="J271" s="328">
        <f t="shared" si="113"/>
        <v>0</v>
      </c>
      <c r="K271" s="328">
        <f t="shared" si="113"/>
        <v>0</v>
      </c>
      <c r="L271" s="328">
        <f t="shared" si="113"/>
        <v>0</v>
      </c>
      <c r="M271" s="328">
        <f t="shared" si="113"/>
        <v>0</v>
      </c>
      <c r="N271" s="328">
        <f t="shared" si="113"/>
        <v>0</v>
      </c>
      <c r="O271" s="328">
        <f t="shared" si="113"/>
        <v>0</v>
      </c>
      <c r="P271" s="328">
        <f t="shared" si="113"/>
        <v>0</v>
      </c>
      <c r="Q271" s="328">
        <f t="shared" si="113"/>
        <v>0</v>
      </c>
      <c r="R271" s="2060"/>
      <c r="T271" s="2060"/>
      <c r="U271" s="1510"/>
      <c r="V271" s="2060"/>
      <c r="W271" s="2060"/>
      <c r="X271" s="2060"/>
      <c r="Y271" s="2060"/>
      <c r="Z271" s="2060"/>
      <c r="AA271" s="2060"/>
      <c r="AB271" s="2060"/>
      <c r="AC271" s="2060"/>
      <c r="AD271" s="2060"/>
      <c r="AE271" s="2060"/>
      <c r="AF271" s="2060"/>
      <c r="AG271" s="2060"/>
      <c r="AH271" s="2060"/>
      <c r="AI271" s="2060"/>
      <c r="AJ271" s="2060"/>
      <c r="AK271" s="2060"/>
      <c r="AL271" s="2060"/>
      <c r="AM271" s="2060"/>
      <c r="AN271" s="2060"/>
      <c r="AO271" s="2060"/>
      <c r="AP271" s="2060"/>
      <c r="AQ271" s="2060"/>
      <c r="AR271" s="2060"/>
      <c r="AS271" s="2060"/>
    </row>
    <row r="272" spans="1:45" s="1525" customFormat="1" ht="13.9">
      <c r="A272" s="1510"/>
      <c r="B272" s="2020"/>
      <c r="C272" s="304" t="s">
        <v>953</v>
      </c>
      <c r="F272" s="2025"/>
      <c r="G272" s="1103"/>
      <c r="H272" s="1064"/>
      <c r="I272" s="1064"/>
      <c r="J272" s="1064"/>
      <c r="K272" s="1064"/>
      <c r="L272" s="1064"/>
      <c r="M272" s="1064"/>
      <c r="N272" s="1064"/>
      <c r="O272" s="1064"/>
      <c r="P272" s="1064"/>
      <c r="Q272" s="1064"/>
      <c r="R272" s="2060"/>
      <c r="T272" s="2060"/>
      <c r="U272" s="1510"/>
      <c r="V272" s="2060"/>
      <c r="W272" s="2060"/>
      <c r="X272" s="2060"/>
      <c r="Y272" s="2060"/>
      <c r="Z272" s="2060"/>
      <c r="AA272" s="2060"/>
      <c r="AB272" s="2060"/>
      <c r="AC272" s="2060"/>
      <c r="AD272" s="2060"/>
      <c r="AE272" s="2060"/>
      <c r="AF272" s="2060"/>
      <c r="AG272" s="2060"/>
      <c r="AH272" s="2060"/>
      <c r="AI272" s="2060"/>
      <c r="AJ272" s="2060"/>
      <c r="AK272" s="2060"/>
      <c r="AL272" s="2060"/>
      <c r="AM272" s="2060"/>
      <c r="AN272" s="2060"/>
      <c r="AO272" s="2060"/>
      <c r="AP272" s="2060"/>
      <c r="AQ272" s="2060"/>
      <c r="AR272" s="2060"/>
      <c r="AS272" s="2060"/>
    </row>
    <row r="273" spans="1:45" s="1525" customFormat="1" ht="13.9">
      <c r="A273" s="1510"/>
      <c r="B273" s="2020"/>
      <c r="C273" s="1380" t="s">
        <v>956</v>
      </c>
      <c r="E273" s="328"/>
      <c r="F273" s="1010"/>
      <c r="G273" s="2024"/>
      <c r="H273" s="6"/>
      <c r="I273" s="6"/>
      <c r="J273" s="6"/>
      <c r="K273" s="6"/>
      <c r="L273" s="6"/>
      <c r="M273" s="6"/>
      <c r="N273" s="6"/>
      <c r="O273" s="6"/>
      <c r="P273" s="6"/>
      <c r="Q273" s="6"/>
      <c r="R273" s="2060"/>
      <c r="T273" s="2060"/>
      <c r="U273" s="1510"/>
      <c r="V273" s="2060"/>
      <c r="W273" s="2060"/>
      <c r="X273" s="2060"/>
      <c r="Y273" s="2060"/>
      <c r="Z273" s="2060"/>
      <c r="AA273" s="2060"/>
      <c r="AB273" s="2060"/>
      <c r="AC273" s="2060"/>
      <c r="AD273" s="2060"/>
      <c r="AE273" s="2060"/>
      <c r="AF273" s="2060"/>
      <c r="AG273" s="2060"/>
      <c r="AH273" s="2060"/>
      <c r="AI273" s="2060"/>
      <c r="AJ273" s="2060"/>
      <c r="AK273" s="2060"/>
      <c r="AL273" s="2060"/>
      <c r="AM273" s="2060"/>
      <c r="AN273" s="2060"/>
      <c r="AO273" s="2060"/>
      <c r="AP273" s="2060"/>
      <c r="AQ273" s="2060"/>
      <c r="AR273" s="2060"/>
      <c r="AS273" s="2060"/>
    </row>
    <row r="274" spans="1:45" s="1525" customFormat="1" ht="13.9">
      <c r="A274" s="1510"/>
      <c r="B274" s="2020"/>
      <c r="C274" s="304" t="s">
        <v>969</v>
      </c>
      <c r="E274" s="1364">
        <f>IFERROR(E271/E$100,0)</f>
        <v>0</v>
      </c>
      <c r="F274" s="1740">
        <f>IFERROR(F271/F$100,0)</f>
        <v>0</v>
      </c>
      <c r="G274" s="1627">
        <f t="shared" ref="G274:Q274" si="114">IFERROR(IF(ISNUMBER(G272),G272/G$100,IF(ISNUMBER(G273),G273,F274))*(ISNUMBER(G$23)*1),0)</f>
        <v>0</v>
      </c>
      <c r="H274" s="1627">
        <f t="shared" si="114"/>
        <v>0</v>
      </c>
      <c r="I274" s="1627">
        <f t="shared" si="114"/>
        <v>0</v>
      </c>
      <c r="J274" s="1627">
        <f t="shared" si="114"/>
        <v>0</v>
      </c>
      <c r="K274" s="1627">
        <f t="shared" si="114"/>
        <v>0</v>
      </c>
      <c r="L274" s="1627">
        <f t="shared" si="114"/>
        <v>0</v>
      </c>
      <c r="M274" s="1627">
        <f t="shared" si="114"/>
        <v>0</v>
      </c>
      <c r="N274" s="1627">
        <f t="shared" si="114"/>
        <v>0</v>
      </c>
      <c r="O274" s="1627">
        <f t="shared" si="114"/>
        <v>0</v>
      </c>
      <c r="P274" s="1627">
        <f t="shared" si="114"/>
        <v>0</v>
      </c>
      <c r="Q274" s="1627">
        <f t="shared" si="114"/>
        <v>0</v>
      </c>
      <c r="R274" s="2060"/>
      <c r="T274" s="2060"/>
      <c r="U274" s="1510"/>
      <c r="V274" s="2060"/>
      <c r="W274" s="2060"/>
      <c r="X274" s="2060"/>
      <c r="Y274" s="2060"/>
      <c r="Z274" s="2060"/>
      <c r="AA274" s="2060"/>
      <c r="AB274" s="2060"/>
      <c r="AC274" s="2060"/>
      <c r="AD274" s="2060"/>
      <c r="AE274" s="2060"/>
      <c r="AF274" s="2060"/>
      <c r="AG274" s="2060"/>
      <c r="AH274" s="2060"/>
      <c r="AI274" s="2060"/>
      <c r="AJ274" s="2060"/>
      <c r="AK274" s="2060"/>
      <c r="AL274" s="2060"/>
      <c r="AM274" s="2060"/>
      <c r="AN274" s="2060"/>
      <c r="AO274" s="2060"/>
      <c r="AP274" s="2060"/>
      <c r="AQ274" s="2060"/>
      <c r="AR274" s="2060"/>
      <c r="AS274" s="2060"/>
    </row>
    <row r="275" spans="1:45" s="1525" customFormat="1" ht="13.9">
      <c r="A275" s="1510"/>
      <c r="B275" s="2020"/>
      <c r="C275" s="1530"/>
      <c r="E275" s="1505"/>
      <c r="F275" s="1806"/>
      <c r="G275" s="1627"/>
      <c r="H275" s="1627"/>
      <c r="I275" s="1627"/>
      <c r="J275" s="1627"/>
      <c r="K275" s="1627"/>
      <c r="L275" s="1627"/>
      <c r="M275" s="1627"/>
      <c r="N275" s="1627"/>
      <c r="O275" s="1627"/>
      <c r="P275" s="1627"/>
      <c r="Q275" s="1627"/>
      <c r="R275" s="2060"/>
      <c r="T275" s="2060"/>
      <c r="U275" s="1510"/>
      <c r="V275" s="2060"/>
      <c r="W275" s="2060"/>
      <c r="X275" s="2060"/>
      <c r="Y275" s="2060"/>
      <c r="Z275" s="2060"/>
      <c r="AA275" s="2060"/>
      <c r="AB275" s="2060"/>
      <c r="AC275" s="2060"/>
      <c r="AD275" s="2060"/>
      <c r="AE275" s="2060"/>
      <c r="AF275" s="2060"/>
      <c r="AG275" s="2060"/>
      <c r="AH275" s="2060"/>
      <c r="AI275" s="2060"/>
      <c r="AJ275" s="2060"/>
      <c r="AK275" s="2060"/>
      <c r="AL275" s="2060"/>
      <c r="AM275" s="2060"/>
      <c r="AN275" s="2060"/>
      <c r="AO275" s="2060"/>
      <c r="AP275" s="2060"/>
      <c r="AQ275" s="2060"/>
      <c r="AR275" s="2060"/>
      <c r="AS275" s="2060"/>
    </row>
    <row r="276" spans="1:45" s="1525" customFormat="1" ht="13.9">
      <c r="A276" s="1510"/>
      <c r="B276" s="2020"/>
      <c r="C276" s="2206" t="s">
        <v>1018</v>
      </c>
      <c r="E276" s="1525">
        <f>IF(StubY,'BAL SHEET Hist Input'!J49,'BAL SHEET Hist Input'!I49)</f>
        <v>0</v>
      </c>
      <c r="F276" s="1806">
        <f>IF(StubY,'BAL SHEET Hist Input'!K49,'BAL SHEET Hist Input'!J49)</f>
        <v>0</v>
      </c>
      <c r="G276" s="1525">
        <f>IFERROR(G279*G$100,0)</f>
        <v>0</v>
      </c>
      <c r="H276" s="328">
        <f>IFERROR(H279*H$100,0)</f>
        <v>0</v>
      </c>
      <c r="I276" s="328">
        <f t="shared" ref="I276:Q276" si="115">IFERROR(I279*I$100,0)</f>
        <v>0</v>
      </c>
      <c r="J276" s="328">
        <f t="shared" si="115"/>
        <v>0</v>
      </c>
      <c r="K276" s="328">
        <f t="shared" si="115"/>
        <v>0</v>
      </c>
      <c r="L276" s="328">
        <f t="shared" si="115"/>
        <v>0</v>
      </c>
      <c r="M276" s="328">
        <f t="shared" si="115"/>
        <v>0</v>
      </c>
      <c r="N276" s="328">
        <f t="shared" si="115"/>
        <v>0</v>
      </c>
      <c r="O276" s="328">
        <f t="shared" si="115"/>
        <v>0</v>
      </c>
      <c r="P276" s="328">
        <f t="shared" si="115"/>
        <v>0</v>
      </c>
      <c r="Q276" s="328">
        <f t="shared" si="115"/>
        <v>0</v>
      </c>
      <c r="R276" s="2060"/>
      <c r="T276" s="2060"/>
      <c r="U276" s="1510"/>
      <c r="V276" s="2060"/>
      <c r="W276" s="2060"/>
      <c r="X276" s="2060"/>
      <c r="Y276" s="2060"/>
      <c r="Z276" s="2060"/>
      <c r="AA276" s="2060"/>
      <c r="AB276" s="2060"/>
      <c r="AC276" s="2060"/>
      <c r="AD276" s="2060"/>
      <c r="AE276" s="2060"/>
      <c r="AF276" s="2060"/>
      <c r="AG276" s="2060"/>
      <c r="AH276" s="2060"/>
      <c r="AI276" s="2060"/>
      <c r="AJ276" s="2060"/>
      <c r="AK276" s="2060"/>
      <c r="AL276" s="2060"/>
      <c r="AM276" s="2060"/>
      <c r="AN276" s="2060"/>
      <c r="AO276" s="2060"/>
      <c r="AP276" s="2060"/>
      <c r="AQ276" s="2060"/>
      <c r="AR276" s="2060"/>
      <c r="AS276" s="2060"/>
    </row>
    <row r="277" spans="1:45" s="1525" customFormat="1" ht="13.9">
      <c r="A277" s="1510"/>
      <c r="B277" s="2020"/>
      <c r="C277" s="304" t="s">
        <v>953</v>
      </c>
      <c r="F277" s="2025"/>
      <c r="G277" s="1103"/>
      <c r="H277" s="1064"/>
      <c r="I277" s="1064"/>
      <c r="J277" s="1064"/>
      <c r="K277" s="1064"/>
      <c r="L277" s="1064"/>
      <c r="M277" s="1064"/>
      <c r="N277" s="1064"/>
      <c r="O277" s="1064"/>
      <c r="P277" s="1064"/>
      <c r="Q277" s="1064"/>
      <c r="R277" s="2060"/>
      <c r="T277" s="2060"/>
      <c r="U277" s="1510"/>
      <c r="V277" s="2060"/>
      <c r="W277" s="2060"/>
      <c r="X277" s="2060"/>
      <c r="Y277" s="2060"/>
      <c r="Z277" s="2060"/>
      <c r="AA277" s="2060"/>
      <c r="AB277" s="2060"/>
      <c r="AC277" s="2060"/>
      <c r="AD277" s="2060"/>
      <c r="AE277" s="2060"/>
      <c r="AF277" s="2060"/>
      <c r="AG277" s="2060"/>
      <c r="AH277" s="2060"/>
      <c r="AI277" s="2060"/>
      <c r="AJ277" s="2060"/>
      <c r="AK277" s="2060"/>
      <c r="AL277" s="2060"/>
      <c r="AM277" s="2060"/>
      <c r="AN277" s="2060"/>
      <c r="AO277" s="2060"/>
      <c r="AP277" s="2060"/>
      <c r="AQ277" s="2060"/>
      <c r="AR277" s="2060"/>
      <c r="AS277" s="2060"/>
    </row>
    <row r="278" spans="1:45" s="1525" customFormat="1" ht="13.9">
      <c r="A278" s="1510"/>
      <c r="B278" s="2020"/>
      <c r="C278" s="1380" t="s">
        <v>956</v>
      </c>
      <c r="E278" s="328"/>
      <c r="F278" s="1010"/>
      <c r="G278" s="2024"/>
      <c r="H278" s="6"/>
      <c r="I278" s="6"/>
      <c r="J278" s="6"/>
      <c r="K278" s="6"/>
      <c r="L278" s="6"/>
      <c r="M278" s="6"/>
      <c r="N278" s="6"/>
      <c r="O278" s="6"/>
      <c r="P278" s="6"/>
      <c r="Q278" s="6"/>
      <c r="R278" s="2060"/>
      <c r="T278" s="2060"/>
      <c r="U278" s="1510"/>
      <c r="V278" s="2060"/>
      <c r="W278" s="2060"/>
      <c r="X278" s="2060"/>
      <c r="Y278" s="2060"/>
      <c r="Z278" s="2060"/>
      <c r="AA278" s="2060"/>
      <c r="AB278" s="2060"/>
      <c r="AC278" s="2060"/>
      <c r="AD278" s="2060"/>
      <c r="AE278" s="2060"/>
      <c r="AF278" s="2060"/>
      <c r="AG278" s="2060"/>
      <c r="AH278" s="2060"/>
      <c r="AI278" s="2060"/>
      <c r="AJ278" s="2060"/>
      <c r="AK278" s="2060"/>
      <c r="AL278" s="2060"/>
      <c r="AM278" s="2060"/>
      <c r="AN278" s="2060"/>
      <c r="AO278" s="2060"/>
      <c r="AP278" s="2060"/>
      <c r="AQ278" s="2060"/>
      <c r="AR278" s="2060"/>
      <c r="AS278" s="2060"/>
    </row>
    <row r="279" spans="1:45" s="1525" customFormat="1" ht="13.9">
      <c r="A279" s="1510"/>
      <c r="B279" s="2020"/>
      <c r="C279" s="304" t="s">
        <v>969</v>
      </c>
      <c r="E279" s="1364">
        <f>IFERROR(E276/E$100,0)</f>
        <v>0</v>
      </c>
      <c r="F279" s="1740">
        <f>IFERROR(F276/F$100,0)</f>
        <v>0</v>
      </c>
      <c r="G279" s="1627">
        <f t="shared" ref="G279:Q279" si="116">IFERROR(IF(ISNUMBER(G277),G277/G$100,IF(ISNUMBER(G278),G278,F279))*(ISNUMBER(G$23)*1),0)</f>
        <v>0</v>
      </c>
      <c r="H279" s="1627">
        <f t="shared" si="116"/>
        <v>0</v>
      </c>
      <c r="I279" s="1627">
        <f t="shared" si="116"/>
        <v>0</v>
      </c>
      <c r="J279" s="1627">
        <f t="shared" si="116"/>
        <v>0</v>
      </c>
      <c r="K279" s="1627">
        <f t="shared" si="116"/>
        <v>0</v>
      </c>
      <c r="L279" s="1627">
        <f t="shared" si="116"/>
        <v>0</v>
      </c>
      <c r="M279" s="1627">
        <f t="shared" si="116"/>
        <v>0</v>
      </c>
      <c r="N279" s="1627">
        <f t="shared" si="116"/>
        <v>0</v>
      </c>
      <c r="O279" s="1627">
        <f t="shared" si="116"/>
        <v>0</v>
      </c>
      <c r="P279" s="1627">
        <f t="shared" si="116"/>
        <v>0</v>
      </c>
      <c r="Q279" s="1627">
        <f t="shared" si="116"/>
        <v>0</v>
      </c>
      <c r="R279" s="2060"/>
      <c r="T279" s="2060"/>
      <c r="U279" s="1510"/>
      <c r="V279" s="2060"/>
      <c r="W279" s="2060"/>
      <c r="X279" s="2060"/>
      <c r="Y279" s="2060"/>
      <c r="Z279" s="2060"/>
      <c r="AA279" s="2060"/>
      <c r="AB279" s="2060"/>
      <c r="AC279" s="2060"/>
      <c r="AD279" s="2060"/>
      <c r="AE279" s="2060"/>
      <c r="AF279" s="2060"/>
      <c r="AG279" s="2060"/>
      <c r="AH279" s="2060"/>
      <c r="AI279" s="2060"/>
      <c r="AJ279" s="2060"/>
      <c r="AK279" s="2060"/>
      <c r="AL279" s="2060"/>
      <c r="AM279" s="2060"/>
      <c r="AN279" s="2060"/>
      <c r="AO279" s="2060"/>
      <c r="AP279" s="2060"/>
      <c r="AQ279" s="2060"/>
      <c r="AR279" s="2060"/>
      <c r="AS279" s="2060"/>
    </row>
    <row r="280" spans="1:45" s="1525" customFormat="1" ht="13.9">
      <c r="A280" s="1510"/>
      <c r="B280" s="2020"/>
      <c r="C280" s="845" t="s">
        <v>1019</v>
      </c>
      <c r="D280" s="1999"/>
      <c r="E280" s="2003">
        <f>E225+E227+E234+E241+E248+E252+E256+E261+E266+E271+E276</f>
        <v>0</v>
      </c>
      <c r="F280" s="2026">
        <f>F225+F227+F234+F241+F248+F252+F256+F261+F266+F271+F276</f>
        <v>0</v>
      </c>
      <c r="G280" s="2003">
        <f t="shared" ref="G280:Q280" si="117">(G225+G227+G234+G241+G248+G252+G256+G261+G266+G271+G276)*(ISNUMBER(G$23)*1)</f>
        <v>0</v>
      </c>
      <c r="H280" s="2003">
        <f t="shared" si="117"/>
        <v>0</v>
      </c>
      <c r="I280" s="2003">
        <f t="shared" si="117"/>
        <v>0</v>
      </c>
      <c r="J280" s="2003">
        <f t="shared" si="117"/>
        <v>0</v>
      </c>
      <c r="K280" s="2003">
        <f t="shared" si="117"/>
        <v>0</v>
      </c>
      <c r="L280" s="2003">
        <f t="shared" si="117"/>
        <v>0</v>
      </c>
      <c r="M280" s="2003">
        <f t="shared" si="117"/>
        <v>0</v>
      </c>
      <c r="N280" s="2003">
        <f t="shared" si="117"/>
        <v>0</v>
      </c>
      <c r="O280" s="2003">
        <f t="shared" si="117"/>
        <v>0</v>
      </c>
      <c r="P280" s="2003">
        <f t="shared" si="117"/>
        <v>0</v>
      </c>
      <c r="Q280" s="2003">
        <f t="shared" si="117"/>
        <v>0</v>
      </c>
      <c r="R280" s="2060"/>
      <c r="T280" s="2060"/>
      <c r="U280" s="1510"/>
      <c r="V280" s="2060"/>
      <c r="W280" s="2060"/>
      <c r="X280" s="2060"/>
      <c r="Y280" s="2060"/>
      <c r="Z280" s="2060"/>
      <c r="AA280" s="2060"/>
      <c r="AB280" s="2060"/>
      <c r="AC280" s="2060"/>
      <c r="AD280" s="2060"/>
      <c r="AE280" s="2060"/>
      <c r="AF280" s="2060"/>
      <c r="AG280" s="2060"/>
      <c r="AH280" s="2060"/>
      <c r="AI280" s="2060"/>
      <c r="AJ280" s="2060"/>
      <c r="AK280" s="2060"/>
      <c r="AL280" s="2060"/>
      <c r="AM280" s="2060"/>
      <c r="AN280" s="2060"/>
      <c r="AO280" s="2060"/>
      <c r="AP280" s="2060"/>
      <c r="AQ280" s="2060"/>
      <c r="AR280" s="2060"/>
      <c r="AS280" s="2060"/>
    </row>
    <row r="281" spans="1:45" s="1525" customFormat="1" ht="13.9">
      <c r="A281" s="1510"/>
      <c r="B281" s="2020"/>
      <c r="C281" s="319"/>
      <c r="E281" s="1505"/>
      <c r="F281" s="1806"/>
      <c r="R281" s="2060"/>
      <c r="T281" s="2060"/>
      <c r="U281" s="1510"/>
      <c r="V281" s="2060"/>
      <c r="W281" s="2060"/>
      <c r="X281" s="2060"/>
      <c r="Y281" s="2060"/>
      <c r="Z281" s="2060"/>
      <c r="AA281" s="2060"/>
      <c r="AB281" s="2060"/>
      <c r="AC281" s="2060"/>
      <c r="AD281" s="2060"/>
      <c r="AE281" s="2060"/>
      <c r="AF281" s="2060"/>
      <c r="AG281" s="2060"/>
      <c r="AH281" s="2060"/>
      <c r="AI281" s="2060"/>
      <c r="AJ281" s="2060"/>
      <c r="AK281" s="2060"/>
      <c r="AL281" s="2060"/>
      <c r="AM281" s="2060"/>
      <c r="AN281" s="2060"/>
      <c r="AO281" s="2060"/>
      <c r="AP281" s="2060"/>
      <c r="AQ281" s="2060"/>
      <c r="AR281" s="2060"/>
      <c r="AS281" s="2060"/>
    </row>
    <row r="282" spans="1:45" s="1525" customFormat="1" ht="13.9">
      <c r="A282" s="1510"/>
      <c r="B282" s="2020"/>
      <c r="C282" s="319" t="s">
        <v>921</v>
      </c>
      <c r="E282" s="1525">
        <f>IF(StubY,'BAL SHEET Hist Input'!J52,'BAL SHEET Hist Input'!I52)</f>
        <v>0</v>
      </c>
      <c r="F282" s="1806">
        <f>IF(StubY,'BAL SHEET Hist Input'!K52,'BAL SHEET Hist Input'!J52)</f>
        <v>0</v>
      </c>
      <c r="G282" s="1507">
        <f>IF(ISNUMBER(G283),G283,F282)*(ISNUMBER(G$23)*1)</f>
        <v>0</v>
      </c>
      <c r="H282" s="1507">
        <f t="shared" ref="H282:N282" si="118">IF(H283,H283,G282)*(ISNUMBER(H$23)*1)</f>
        <v>0</v>
      </c>
      <c r="I282" s="1507">
        <f t="shared" si="118"/>
        <v>0</v>
      </c>
      <c r="J282" s="1507">
        <f t="shared" si="118"/>
        <v>0</v>
      </c>
      <c r="K282" s="1507">
        <f t="shared" si="118"/>
        <v>0</v>
      </c>
      <c r="L282" s="1507">
        <f t="shared" si="118"/>
        <v>0</v>
      </c>
      <c r="M282" s="1507">
        <f t="shared" si="118"/>
        <v>0</v>
      </c>
      <c r="N282" s="1507">
        <f t="shared" si="118"/>
        <v>0</v>
      </c>
      <c r="O282" s="1507">
        <f>IF(O283,O283,N282)*(ISNUMBER(O$23)*1)</f>
        <v>0</v>
      </c>
      <c r="P282" s="1507">
        <f>IF(P283,P283,O282)*(ISNUMBER(P$23)*1)</f>
        <v>0</v>
      </c>
      <c r="Q282" s="1507">
        <f>IF(Q283,Q283,P282)*(ISNUMBER(Q$23)*1)</f>
        <v>0</v>
      </c>
      <c r="R282" s="2060"/>
      <c r="T282" s="2060"/>
      <c r="U282" s="1510"/>
      <c r="V282" s="2060"/>
      <c r="W282" s="2060"/>
      <c r="X282" s="2060"/>
      <c r="Y282" s="2060"/>
      <c r="Z282" s="2060"/>
      <c r="AA282" s="2060"/>
      <c r="AB282" s="2060"/>
      <c r="AC282" s="2060"/>
      <c r="AD282" s="2060"/>
      <c r="AE282" s="2060"/>
      <c r="AF282" s="2060"/>
      <c r="AG282" s="2060"/>
      <c r="AH282" s="2060"/>
      <c r="AI282" s="2060"/>
      <c r="AJ282" s="2060"/>
      <c r="AK282" s="2060"/>
      <c r="AL282" s="2060"/>
      <c r="AM282" s="2060"/>
      <c r="AN282" s="2060"/>
      <c r="AO282" s="2060"/>
      <c r="AP282" s="2060"/>
      <c r="AQ282" s="2060"/>
      <c r="AR282" s="2060"/>
      <c r="AS282" s="2060"/>
    </row>
    <row r="283" spans="1:45" s="1525" customFormat="1" ht="13.9">
      <c r="A283" s="1510"/>
      <c r="B283" s="2020"/>
      <c r="C283" s="304" t="s">
        <v>953</v>
      </c>
      <c r="F283" s="2025"/>
      <c r="G283" s="1103"/>
      <c r="H283" s="1064"/>
      <c r="I283" s="1064"/>
      <c r="J283" s="1064"/>
      <c r="K283" s="1064"/>
      <c r="L283" s="1064"/>
      <c r="M283" s="1064"/>
      <c r="N283" s="1064"/>
      <c r="O283" s="1064"/>
      <c r="P283" s="1064"/>
      <c r="Q283" s="1064"/>
      <c r="R283" s="2060"/>
      <c r="T283" s="2060"/>
      <c r="U283" s="1510"/>
      <c r="V283" s="2060"/>
      <c r="W283" s="2060"/>
      <c r="X283" s="2060"/>
      <c r="Y283" s="2060"/>
      <c r="Z283" s="2060"/>
      <c r="AA283" s="2060"/>
      <c r="AB283" s="2060"/>
      <c r="AC283" s="2060"/>
      <c r="AD283" s="2060"/>
      <c r="AE283" s="2060"/>
      <c r="AF283" s="2060"/>
      <c r="AG283" s="2060"/>
      <c r="AH283" s="2060"/>
      <c r="AI283" s="2060"/>
      <c r="AJ283" s="2060"/>
      <c r="AK283" s="2060"/>
      <c r="AL283" s="2060"/>
      <c r="AM283" s="2060"/>
      <c r="AN283" s="2060"/>
      <c r="AO283" s="2060"/>
      <c r="AP283" s="2060"/>
      <c r="AQ283" s="2060"/>
      <c r="AR283" s="2060"/>
      <c r="AS283" s="2060"/>
    </row>
    <row r="284" spans="1:45" s="1525" customFormat="1" ht="13.9">
      <c r="A284" s="1510"/>
      <c r="B284" s="2020"/>
      <c r="C284" s="319"/>
      <c r="E284" s="1505"/>
      <c r="F284" s="1806"/>
      <c r="R284" s="2060"/>
      <c r="T284" s="2060"/>
      <c r="U284" s="1510"/>
      <c r="V284" s="2060"/>
      <c r="W284" s="2060"/>
      <c r="X284" s="2060"/>
      <c r="Y284" s="2060"/>
      <c r="Z284" s="2060"/>
      <c r="AA284" s="2060"/>
      <c r="AB284" s="2060"/>
      <c r="AC284" s="2060"/>
      <c r="AD284" s="2060"/>
      <c r="AE284" s="2060"/>
      <c r="AF284" s="2060"/>
      <c r="AG284" s="2060"/>
      <c r="AH284" s="2060"/>
      <c r="AI284" s="2060"/>
      <c r="AJ284" s="2060"/>
      <c r="AK284" s="2060"/>
      <c r="AL284" s="2060"/>
      <c r="AM284" s="2060"/>
      <c r="AN284" s="2060"/>
      <c r="AO284" s="2060"/>
      <c r="AP284" s="2060"/>
      <c r="AQ284" s="2060"/>
      <c r="AR284" s="2060"/>
      <c r="AS284" s="2060"/>
    </row>
    <row r="285" spans="1:45" s="1525" customFormat="1" ht="13.9">
      <c r="A285" s="1510"/>
      <c r="B285" s="2020"/>
      <c r="C285" s="1304" t="s">
        <v>826</v>
      </c>
      <c r="D285" s="1530"/>
      <c r="E285" s="1525">
        <f>IF(StubY,'BAL SHEET Hist Input'!J54,'BAL SHEET Hist Input'!I54)</f>
        <v>0</v>
      </c>
      <c r="F285" s="2025">
        <f>IF(StubY,'BAL SHEET Hist Input'!K54,'BAL SHEET Hist Input'!J54)</f>
        <v>0</v>
      </c>
      <c r="G285" s="328">
        <f t="shared" ref="G285:Q285" ca="1" si="119">(F285+G92)*(ISNUMBER(G$23)*1)</f>
        <v>0</v>
      </c>
      <c r="H285" s="328">
        <f t="shared" ca="1" si="119"/>
        <v>0</v>
      </c>
      <c r="I285" s="328">
        <f t="shared" ca="1" si="119"/>
        <v>0</v>
      </c>
      <c r="J285" s="328">
        <f t="shared" ca="1" si="119"/>
        <v>0</v>
      </c>
      <c r="K285" s="328">
        <f t="shared" ca="1" si="119"/>
        <v>0</v>
      </c>
      <c r="L285" s="328">
        <f t="shared" ca="1" si="119"/>
        <v>0</v>
      </c>
      <c r="M285" s="328">
        <f t="shared" ca="1" si="119"/>
        <v>0</v>
      </c>
      <c r="N285" s="328">
        <f t="shared" ca="1" si="119"/>
        <v>0</v>
      </c>
      <c r="O285" s="328">
        <f t="shared" ca="1" si="119"/>
        <v>0</v>
      </c>
      <c r="P285" s="328">
        <f t="shared" ca="1" si="119"/>
        <v>0</v>
      </c>
      <c r="Q285" s="328">
        <f t="shared" ca="1" si="119"/>
        <v>0</v>
      </c>
      <c r="R285" s="2060"/>
      <c r="T285" s="2060"/>
      <c r="U285" s="1510"/>
      <c r="V285" s="2060"/>
      <c r="W285" s="2060"/>
      <c r="X285" s="2060"/>
      <c r="Y285" s="2060"/>
      <c r="Z285" s="2060"/>
      <c r="AA285" s="2060"/>
      <c r="AB285" s="2060"/>
      <c r="AC285" s="2060"/>
      <c r="AD285" s="2060"/>
      <c r="AE285" s="2060"/>
      <c r="AF285" s="2060"/>
      <c r="AG285" s="2060"/>
      <c r="AH285" s="2060"/>
      <c r="AI285" s="2060"/>
      <c r="AJ285" s="2060"/>
      <c r="AK285" s="2060"/>
      <c r="AL285" s="2060"/>
      <c r="AM285" s="2060"/>
      <c r="AN285" s="2060"/>
      <c r="AO285" s="2060"/>
      <c r="AP285" s="2060"/>
      <c r="AQ285" s="2060"/>
      <c r="AR285" s="2060"/>
      <c r="AS285" s="2060"/>
    </row>
    <row r="286" spans="1:45" s="1525" customFormat="1" ht="14.45" thickBot="1">
      <c r="A286" s="1510"/>
      <c r="B286" s="2020"/>
      <c r="C286" s="2006" t="s">
        <v>1020</v>
      </c>
      <c r="D286" s="2007"/>
      <c r="E286" s="2008">
        <f t="shared" ref="E286:Q286" si="120">E280+E282+E285</f>
        <v>0</v>
      </c>
      <c r="F286" s="2027">
        <f t="shared" si="120"/>
        <v>0</v>
      </c>
      <c r="G286" s="2008">
        <f t="shared" ca="1" si="120"/>
        <v>0</v>
      </c>
      <c r="H286" s="2008">
        <f t="shared" ca="1" si="120"/>
        <v>0</v>
      </c>
      <c r="I286" s="2008">
        <f t="shared" ca="1" si="120"/>
        <v>0</v>
      </c>
      <c r="J286" s="2008">
        <f t="shared" ca="1" si="120"/>
        <v>0</v>
      </c>
      <c r="K286" s="2008">
        <f t="shared" ca="1" si="120"/>
        <v>0</v>
      </c>
      <c r="L286" s="2008">
        <f t="shared" ca="1" si="120"/>
        <v>0</v>
      </c>
      <c r="M286" s="2008">
        <f t="shared" ca="1" si="120"/>
        <v>0</v>
      </c>
      <c r="N286" s="2008">
        <f t="shared" ca="1" si="120"/>
        <v>0</v>
      </c>
      <c r="O286" s="2008">
        <f t="shared" ca="1" si="120"/>
        <v>0</v>
      </c>
      <c r="P286" s="2008">
        <f t="shared" ca="1" si="120"/>
        <v>0</v>
      </c>
      <c r="Q286" s="2008">
        <f t="shared" ca="1" si="120"/>
        <v>0</v>
      </c>
      <c r="R286" s="2060"/>
      <c r="T286" s="2060"/>
      <c r="U286" s="1510"/>
      <c r="V286" s="2060"/>
      <c r="W286" s="2060"/>
      <c r="X286" s="2060"/>
      <c r="Y286" s="2060"/>
      <c r="Z286" s="2060"/>
      <c r="AA286" s="2060"/>
      <c r="AB286" s="2060"/>
      <c r="AC286" s="2060"/>
      <c r="AD286" s="2060"/>
      <c r="AE286" s="2060"/>
      <c r="AF286" s="2060"/>
      <c r="AG286" s="2060"/>
      <c r="AH286" s="2060"/>
      <c r="AI286" s="2060"/>
      <c r="AJ286" s="2060"/>
      <c r="AK286" s="2060"/>
      <c r="AL286" s="2060"/>
      <c r="AM286" s="2060"/>
      <c r="AN286" s="2060"/>
      <c r="AO286" s="2060"/>
      <c r="AP286" s="2060"/>
      <c r="AQ286" s="2060"/>
      <c r="AR286" s="2060"/>
      <c r="AS286" s="2060"/>
    </row>
    <row r="287" spans="1:45" s="1525" customFormat="1" ht="13.9">
      <c r="A287" s="1510"/>
      <c r="B287" s="2020"/>
      <c r="C287" s="820"/>
      <c r="D287" s="815"/>
      <c r="E287" s="2016"/>
      <c r="F287" s="2028"/>
      <c r="G287" s="2016"/>
      <c r="H287" s="2016"/>
      <c r="I287" s="2016"/>
      <c r="J287" s="2016"/>
      <c r="K287" s="2016"/>
      <c r="L287" s="2016"/>
      <c r="M287" s="2016"/>
      <c r="N287" s="2016"/>
      <c r="O287" s="2016"/>
      <c r="P287" s="2016"/>
      <c r="Q287" s="2016"/>
      <c r="R287" s="2060"/>
      <c r="T287" s="2060"/>
      <c r="U287" s="1510"/>
      <c r="V287" s="2060"/>
      <c r="W287" s="2060"/>
      <c r="X287" s="2060"/>
      <c r="Y287" s="2060"/>
      <c r="Z287" s="2060"/>
      <c r="AA287" s="2060"/>
      <c r="AB287" s="2060"/>
      <c r="AC287" s="2060"/>
      <c r="AD287" s="2060"/>
      <c r="AE287" s="2060"/>
      <c r="AF287" s="2060"/>
      <c r="AG287" s="2060"/>
      <c r="AH287" s="2060"/>
      <c r="AI287" s="2060"/>
      <c r="AJ287" s="2060"/>
      <c r="AK287" s="2060"/>
      <c r="AL287" s="2060"/>
      <c r="AM287" s="2060"/>
      <c r="AN287" s="2060"/>
      <c r="AO287" s="2060"/>
      <c r="AP287" s="2060"/>
      <c r="AQ287" s="2060"/>
      <c r="AR287" s="2060"/>
      <c r="AS287" s="2060"/>
    </row>
    <row r="288" spans="1:45" s="1525" customFormat="1" ht="13.9">
      <c r="A288" s="1510"/>
      <c r="B288" s="2020"/>
      <c r="C288" s="820" t="s">
        <v>1021</v>
      </c>
      <c r="D288" s="815"/>
      <c r="E288" s="2040">
        <f>ROUND(E286-E182,2)</f>
        <v>0</v>
      </c>
      <c r="F288" s="2041">
        <f>ROUND(F286-F182,2)</f>
        <v>0</v>
      </c>
      <c r="G288" s="2058">
        <f t="shared" ref="G288:Q288" ca="1" si="121">IF(ISNUMBER(G$23),ROUND(G286-G182,2),"-")</f>
        <v>0</v>
      </c>
      <c r="H288" s="2058">
        <f t="shared" ca="1" si="121"/>
        <v>0</v>
      </c>
      <c r="I288" s="2058">
        <f t="shared" ca="1" si="121"/>
        <v>0</v>
      </c>
      <c r="J288" s="2058">
        <f t="shared" ca="1" si="121"/>
        <v>0</v>
      </c>
      <c r="K288" s="2058">
        <f t="shared" ca="1" si="121"/>
        <v>0</v>
      </c>
      <c r="L288" s="2058">
        <f t="shared" ca="1" si="121"/>
        <v>0</v>
      </c>
      <c r="M288" s="2058">
        <f t="shared" ca="1" si="121"/>
        <v>0</v>
      </c>
      <c r="N288" s="2058">
        <f t="shared" ca="1" si="121"/>
        <v>0</v>
      </c>
      <c r="O288" s="2058" t="str">
        <f t="shared" si="121"/>
        <v>-</v>
      </c>
      <c r="P288" s="2058" t="str">
        <f t="shared" si="121"/>
        <v>-</v>
      </c>
      <c r="Q288" s="2058" t="str">
        <f t="shared" si="121"/>
        <v>-</v>
      </c>
      <c r="R288" s="2060"/>
      <c r="T288" s="2060"/>
      <c r="U288" s="1510"/>
      <c r="V288" s="2060"/>
      <c r="W288" s="2060"/>
      <c r="X288" s="2060"/>
      <c r="Y288" s="2060"/>
      <c r="Z288" s="2060"/>
      <c r="AA288" s="2060"/>
      <c r="AB288" s="2060"/>
      <c r="AC288" s="2060"/>
      <c r="AD288" s="2060"/>
      <c r="AE288" s="2060"/>
      <c r="AF288" s="2060"/>
      <c r="AG288" s="2060"/>
      <c r="AH288" s="2060"/>
      <c r="AI288" s="2060"/>
      <c r="AJ288" s="2060"/>
      <c r="AK288" s="2060"/>
      <c r="AL288" s="2060"/>
      <c r="AM288" s="2060"/>
      <c r="AN288" s="2060"/>
      <c r="AO288" s="2060"/>
      <c r="AP288" s="2060"/>
      <c r="AQ288" s="2060"/>
      <c r="AR288" s="2060"/>
      <c r="AS288" s="2060"/>
    </row>
    <row r="289" spans="1:45" s="1525" customFormat="1" ht="13.9">
      <c r="A289" s="1510"/>
      <c r="B289" s="2020"/>
      <c r="C289" s="2034" t="s">
        <v>1022</v>
      </c>
      <c r="D289" s="2034"/>
      <c r="E289" s="2035"/>
      <c r="F289" s="2036"/>
      <c r="G289" s="2037">
        <f ca="1">(G108+G113+G118+G123+G128+G133+G138+G143+G152+G154+G156+G158+G163+G168+G173+G178)*(ISNUMBER(G$23)*1)</f>
        <v>0</v>
      </c>
      <c r="H289" s="2037">
        <f ca="1">(H108+H113+H118+H123+H128+H133+H138+H143+H152+H154+H156+H158+H163+H168+H173+H178)*(ISNUMBER(H$23)*1)</f>
        <v>0</v>
      </c>
      <c r="I289" s="2037">
        <f ca="1">(I108+I113+I118+I123+I128+I133+I138+I143+I152+I154+I156+I158+I163+I168+I173+I178)*(ISNUMBER(I$23)*1)</f>
        <v>0</v>
      </c>
      <c r="J289" s="2037">
        <f t="shared" ref="J289:Q289" ca="1" si="122">(J108+J113+J118+J123+J128+J133+J138+J143+J152+J154+J156+J158+J163+J168+J173+J178)*(ISNUMBER(J$23)*1)</f>
        <v>0</v>
      </c>
      <c r="K289" s="2037">
        <f t="shared" ca="1" si="122"/>
        <v>0</v>
      </c>
      <c r="L289" s="2037">
        <f t="shared" ca="1" si="122"/>
        <v>0</v>
      </c>
      <c r="M289" s="2037">
        <f t="shared" ca="1" si="122"/>
        <v>0</v>
      </c>
      <c r="N289" s="2037">
        <f t="shared" ca="1" si="122"/>
        <v>0</v>
      </c>
      <c r="O289" s="2037">
        <f t="shared" ca="1" si="122"/>
        <v>0</v>
      </c>
      <c r="P289" s="2037">
        <f t="shared" ca="1" si="122"/>
        <v>0</v>
      </c>
      <c r="Q289" s="2037">
        <f t="shared" ca="1" si="122"/>
        <v>0</v>
      </c>
      <c r="R289" s="2060"/>
      <c r="T289" s="2060"/>
      <c r="U289" s="1510"/>
      <c r="V289" s="2060"/>
      <c r="W289" s="2060"/>
      <c r="X289" s="2060"/>
      <c r="Y289" s="2060"/>
      <c r="Z289" s="2060"/>
      <c r="AA289" s="2060"/>
      <c r="AB289" s="2060"/>
      <c r="AC289" s="2060"/>
      <c r="AD289" s="2060"/>
      <c r="AE289" s="2060"/>
      <c r="AF289" s="2060"/>
      <c r="AG289" s="2060"/>
      <c r="AH289" s="2060"/>
      <c r="AI289" s="2060"/>
      <c r="AJ289" s="2060"/>
      <c r="AK289" s="2060"/>
      <c r="AL289" s="2060"/>
      <c r="AM289" s="2060"/>
      <c r="AN289" s="2060"/>
      <c r="AO289" s="2060"/>
      <c r="AP289" s="2060"/>
      <c r="AQ289" s="2060"/>
      <c r="AR289" s="2060"/>
      <c r="AS289" s="2060"/>
    </row>
    <row r="290" spans="1:45" s="1525" customFormat="1" ht="13.9">
      <c r="A290" s="1510"/>
      <c r="B290" s="2020"/>
      <c r="C290" s="2034" t="s">
        <v>1023</v>
      </c>
      <c r="D290" s="2034"/>
      <c r="E290" s="2035"/>
      <c r="F290" s="2036"/>
      <c r="G290" s="2037">
        <f t="shared" ref="G290:Q290" ca="1" si="123">(G188+G193+G198+G203+G208+G213+G218+G222+G227+G234+G241+G248+G252+G256+G261+G266+G271+G276+G282+G285)*(ISNUMBER(G$23)*1)</f>
        <v>0</v>
      </c>
      <c r="H290" s="2037">
        <f t="shared" ca="1" si="123"/>
        <v>0</v>
      </c>
      <c r="I290" s="2037">
        <f t="shared" ca="1" si="123"/>
        <v>0</v>
      </c>
      <c r="J290" s="2037">
        <f t="shared" ca="1" si="123"/>
        <v>0</v>
      </c>
      <c r="K290" s="2037">
        <f t="shared" ca="1" si="123"/>
        <v>0</v>
      </c>
      <c r="L290" s="2037">
        <f t="shared" ca="1" si="123"/>
        <v>0</v>
      </c>
      <c r="M290" s="2037">
        <f t="shared" ca="1" si="123"/>
        <v>0</v>
      </c>
      <c r="N290" s="2037">
        <f t="shared" ca="1" si="123"/>
        <v>0</v>
      </c>
      <c r="O290" s="2037">
        <f t="shared" ca="1" si="123"/>
        <v>0</v>
      </c>
      <c r="P290" s="2037">
        <f t="shared" ca="1" si="123"/>
        <v>0</v>
      </c>
      <c r="Q290" s="2037">
        <f t="shared" ca="1" si="123"/>
        <v>0</v>
      </c>
      <c r="R290" s="2060"/>
      <c r="T290" s="2060"/>
      <c r="U290" s="1510"/>
      <c r="V290" s="2060"/>
      <c r="W290" s="2060"/>
      <c r="X290" s="2060"/>
      <c r="Y290" s="2060"/>
      <c r="Z290" s="2060"/>
      <c r="AA290" s="2060"/>
      <c r="AB290" s="2060"/>
      <c r="AC290" s="2060"/>
      <c r="AD290" s="2060"/>
      <c r="AE290" s="2060"/>
      <c r="AF290" s="2060"/>
      <c r="AG290" s="2060"/>
      <c r="AH290" s="2060"/>
      <c r="AI290" s="2060"/>
      <c r="AJ290" s="2060"/>
      <c r="AK290" s="2060"/>
      <c r="AL290" s="2060"/>
      <c r="AM290" s="2060"/>
      <c r="AN290" s="2060"/>
      <c r="AO290" s="2060"/>
      <c r="AP290" s="2060"/>
      <c r="AQ290" s="2060"/>
      <c r="AR290" s="2060"/>
      <c r="AS290" s="2060"/>
    </row>
    <row r="291" spans="1:45" s="1525" customFormat="1" ht="13.9">
      <c r="A291" s="1510"/>
      <c r="B291" s="2020"/>
      <c r="C291" s="1557" t="s">
        <v>1024</v>
      </c>
      <c r="D291" s="2034"/>
      <c r="E291" s="2034"/>
      <c r="F291" s="2038"/>
      <c r="G291" s="2039">
        <f ca="1">IFERROR(G290-G289,0)</f>
        <v>0</v>
      </c>
      <c r="H291" s="2039">
        <f t="shared" ref="H291:Q291" ca="1" si="124">IFERROR(H290-H289,0)</f>
        <v>0</v>
      </c>
      <c r="I291" s="2039">
        <f t="shared" ca="1" si="124"/>
        <v>0</v>
      </c>
      <c r="J291" s="2039">
        <f t="shared" ca="1" si="124"/>
        <v>0</v>
      </c>
      <c r="K291" s="2039">
        <f t="shared" ca="1" si="124"/>
        <v>0</v>
      </c>
      <c r="L291" s="2039">
        <f t="shared" ca="1" si="124"/>
        <v>0</v>
      </c>
      <c r="M291" s="2039">
        <f t="shared" ca="1" si="124"/>
        <v>0</v>
      </c>
      <c r="N291" s="2039">
        <f t="shared" ca="1" si="124"/>
        <v>0</v>
      </c>
      <c r="O291" s="2039">
        <f t="shared" ca="1" si="124"/>
        <v>0</v>
      </c>
      <c r="P291" s="2039">
        <f t="shared" ca="1" si="124"/>
        <v>0</v>
      </c>
      <c r="Q291" s="2039">
        <f t="shared" ca="1" si="124"/>
        <v>0</v>
      </c>
      <c r="R291" s="2060"/>
      <c r="T291" s="2060"/>
      <c r="U291" s="1510"/>
      <c r="V291" s="2060"/>
      <c r="W291" s="2060"/>
      <c r="X291" s="2060"/>
      <c r="Y291" s="2060"/>
      <c r="Z291" s="2060"/>
      <c r="AA291" s="2060"/>
      <c r="AB291" s="2060"/>
      <c r="AC291" s="2060"/>
      <c r="AD291" s="2060"/>
      <c r="AE291" s="2060"/>
      <c r="AF291" s="2060"/>
      <c r="AG291" s="2060"/>
      <c r="AH291" s="2060"/>
      <c r="AI291" s="2060"/>
      <c r="AJ291" s="2060"/>
      <c r="AK291" s="2060"/>
      <c r="AL291" s="2060"/>
      <c r="AM291" s="2060"/>
      <c r="AN291" s="2060"/>
      <c r="AO291" s="2060"/>
      <c r="AP291" s="2060"/>
      <c r="AQ291" s="2060"/>
      <c r="AR291" s="2060"/>
      <c r="AS291" s="2060"/>
    </row>
    <row r="292" spans="1:45" s="1525" customFormat="1" ht="13.9">
      <c r="A292" s="1510"/>
      <c r="B292" s="2020"/>
      <c r="C292" s="1557" t="s">
        <v>1025</v>
      </c>
      <c r="D292" s="2034"/>
      <c r="E292" s="2034"/>
      <c r="G292" s="2039">
        <v>0</v>
      </c>
      <c r="H292" s="2039">
        <v>0</v>
      </c>
      <c r="I292" s="2039">
        <v>0</v>
      </c>
      <c r="J292" s="2039">
        <v>0</v>
      </c>
      <c r="K292" s="2039">
        <v>0</v>
      </c>
      <c r="L292" s="2039">
        <v>0</v>
      </c>
      <c r="M292" s="2039">
        <v>0</v>
      </c>
      <c r="N292" s="2039">
        <v>0</v>
      </c>
      <c r="O292" s="2039">
        <v>0</v>
      </c>
      <c r="P292" s="2039">
        <v>0</v>
      </c>
      <c r="Q292" s="2039">
        <v>0</v>
      </c>
      <c r="R292" s="2060"/>
      <c r="T292" s="2060"/>
      <c r="U292" s="1510"/>
      <c r="V292" s="2060"/>
      <c r="W292" s="2060"/>
      <c r="X292" s="2060"/>
      <c r="Y292" s="2060"/>
      <c r="Z292" s="2060"/>
      <c r="AA292" s="2060"/>
      <c r="AB292" s="2060"/>
      <c r="AC292" s="2060"/>
      <c r="AD292" s="2060"/>
      <c r="AE292" s="2060"/>
      <c r="AF292" s="2060"/>
      <c r="AG292" s="2060"/>
      <c r="AH292" s="2060"/>
      <c r="AI292" s="2060"/>
      <c r="AJ292" s="2060"/>
      <c r="AK292" s="2060"/>
      <c r="AL292" s="2060"/>
      <c r="AM292" s="2060"/>
      <c r="AN292" s="2060"/>
      <c r="AO292" s="2060"/>
      <c r="AP292" s="2060"/>
      <c r="AQ292" s="2060"/>
      <c r="AR292" s="2060"/>
      <c r="AS292" s="2060"/>
    </row>
    <row r="293" spans="1:45" s="1525" customFormat="1" ht="13.9">
      <c r="A293" s="1510"/>
      <c r="B293" s="2020"/>
      <c r="C293" s="1557"/>
      <c r="D293" s="2034"/>
      <c r="E293" s="2034"/>
      <c r="F293" s="2038"/>
      <c r="G293" s="2039"/>
      <c r="H293" s="2039"/>
      <c r="I293" s="2039"/>
      <c r="J293" s="2039"/>
      <c r="K293" s="2039"/>
      <c r="L293" s="2039"/>
      <c r="M293" s="2039"/>
      <c r="N293" s="2039"/>
      <c r="O293" s="2039"/>
      <c r="P293" s="2039"/>
      <c r="Q293" s="2039"/>
      <c r="R293" s="2060"/>
      <c r="T293" s="2060"/>
      <c r="U293" s="1510"/>
      <c r="V293" s="2060"/>
      <c r="W293" s="2060"/>
      <c r="X293" s="2060"/>
      <c r="Y293" s="2060"/>
      <c r="Z293" s="2060"/>
      <c r="AA293" s="2060"/>
      <c r="AB293" s="2060"/>
      <c r="AC293" s="2060"/>
      <c r="AD293" s="2060"/>
      <c r="AE293" s="2060"/>
      <c r="AF293" s="2060"/>
      <c r="AG293" s="2060"/>
      <c r="AH293" s="2060"/>
      <c r="AI293" s="2060"/>
      <c r="AJ293" s="2060"/>
      <c r="AK293" s="2060"/>
      <c r="AL293" s="2060"/>
      <c r="AM293" s="2060"/>
      <c r="AN293" s="2060"/>
      <c r="AO293" s="2060"/>
      <c r="AP293" s="2060"/>
      <c r="AQ293" s="2060"/>
      <c r="AR293" s="2060"/>
      <c r="AS293" s="2060"/>
    </row>
    <row r="294" spans="1:45" s="1525" customFormat="1" ht="15.6">
      <c r="A294" s="1510"/>
      <c r="B294" s="1510"/>
      <c r="C294" s="1998" t="s">
        <v>1026</v>
      </c>
      <c r="E294" s="1505"/>
      <c r="F294" s="1806" t="str">
        <f>IF(StubY,"LTM","")</f>
        <v>LTM</v>
      </c>
      <c r="R294" s="2060"/>
      <c r="T294" s="2060"/>
      <c r="U294" s="1510"/>
      <c r="V294" s="2060"/>
      <c r="W294" s="2060"/>
      <c r="X294" s="2060"/>
      <c r="Y294" s="2060"/>
      <c r="Z294" s="2060"/>
      <c r="AA294" s="2060"/>
      <c r="AB294" s="2060"/>
      <c r="AC294" s="2060"/>
      <c r="AD294" s="2060"/>
      <c r="AE294" s="2060"/>
      <c r="AF294" s="2060"/>
      <c r="AG294" s="2060"/>
      <c r="AH294" s="2060"/>
      <c r="AI294" s="2060"/>
      <c r="AJ294" s="2060"/>
      <c r="AK294" s="2060"/>
      <c r="AL294" s="2060"/>
      <c r="AM294" s="2060"/>
      <c r="AN294" s="2060"/>
      <c r="AO294" s="2060"/>
      <c r="AP294" s="2060"/>
      <c r="AQ294" s="2060"/>
      <c r="AR294" s="2060"/>
      <c r="AS294" s="2060"/>
    </row>
    <row r="295" spans="1:45" s="334" customFormat="1" ht="13.9">
      <c r="A295" s="1510"/>
      <c r="B295" s="1510"/>
      <c r="C295" s="299" t="s">
        <v>1027</v>
      </c>
      <c r="D295" s="2060"/>
      <c r="E295" s="328">
        <f>IF(StubY,'BAL SHEET Hist Input'!J59,'BAL SHEET Hist Input'!I59)</f>
        <v>0</v>
      </c>
      <c r="F295" s="1015">
        <f>IF(StubY,'BAL SHEET Hist Input'!K59,'BAL SHEET Hist Input'!J59)</f>
        <v>0</v>
      </c>
      <c r="G295" s="509">
        <f t="shared" ref="G295:Q295" si="125">IF(PFIFull,G113+G118+G123+G128+G133+G138+G143-(G188+G193+G198+G203+G208+G213),IFERROR(G297*G326,0))</f>
        <v>0</v>
      </c>
      <c r="H295" s="509">
        <f t="shared" si="125"/>
        <v>0</v>
      </c>
      <c r="I295" s="509">
        <f t="shared" si="125"/>
        <v>0</v>
      </c>
      <c r="J295" s="509">
        <f t="shared" si="125"/>
        <v>0</v>
      </c>
      <c r="K295" s="509">
        <f t="shared" si="125"/>
        <v>0</v>
      </c>
      <c r="L295" s="509">
        <f t="shared" si="125"/>
        <v>0</v>
      </c>
      <c r="M295" s="509">
        <f t="shared" si="125"/>
        <v>0</v>
      </c>
      <c r="N295" s="509">
        <f t="shared" si="125"/>
        <v>0</v>
      </c>
      <c r="O295" s="509">
        <f t="shared" si="125"/>
        <v>0</v>
      </c>
      <c r="P295" s="509">
        <f t="shared" si="125"/>
        <v>0</v>
      </c>
      <c r="Q295" s="509">
        <f t="shared" si="125"/>
        <v>0</v>
      </c>
      <c r="R295" s="2060"/>
      <c r="S295" s="1370"/>
      <c r="T295" s="433"/>
      <c r="U295" s="1510"/>
      <c r="V295" s="107"/>
      <c r="W295" s="2060"/>
      <c r="X295" s="2060"/>
      <c r="Y295" s="2060"/>
      <c r="Z295" s="2060"/>
      <c r="AA295" s="2060"/>
      <c r="AB295" s="2060"/>
      <c r="AC295" s="2060"/>
      <c r="AD295" s="2060"/>
      <c r="AE295" s="2060"/>
      <c r="AF295" s="2060"/>
      <c r="AG295" s="2060"/>
      <c r="AH295" s="2060"/>
      <c r="AI295" s="2060"/>
      <c r="AJ295" s="2060"/>
      <c r="AK295" s="2060"/>
      <c r="AL295" s="2060"/>
      <c r="AM295" s="2060"/>
      <c r="AN295" s="2060"/>
      <c r="AO295" s="2060"/>
      <c r="AP295" s="2060"/>
      <c r="AQ295" s="2060"/>
      <c r="AR295" s="2060"/>
      <c r="AS295" s="2060"/>
    </row>
    <row r="296" spans="1:45" s="334" customFormat="1" ht="13.9" hidden="1">
      <c r="A296" s="1510"/>
      <c r="B296" s="1510"/>
      <c r="C296" s="299" t="s">
        <v>969</v>
      </c>
      <c r="D296" s="1807"/>
      <c r="E296" s="1627">
        <f>IFERROR(E295/E28,0)</f>
        <v>0</v>
      </c>
      <c r="F296" s="1739">
        <f>IFERROR(F295/F28,0)</f>
        <v>0</v>
      </c>
      <c r="G296" s="2024"/>
      <c r="H296" s="6"/>
      <c r="I296" s="6"/>
      <c r="J296" s="6"/>
      <c r="K296" s="6"/>
      <c r="L296" s="6"/>
      <c r="M296" s="6"/>
      <c r="N296" s="6"/>
      <c r="O296" s="6"/>
      <c r="P296" s="6"/>
      <c r="Q296" s="6"/>
      <c r="R296" s="2060"/>
      <c r="S296" s="1364">
        <f ca="1">OFFSET($F297,0,NoOfPFIYrs)</f>
        <v>0</v>
      </c>
      <c r="T296" s="1525"/>
      <c r="U296" s="1510"/>
      <c r="V296" s="2060"/>
      <c r="W296" s="2060"/>
      <c r="X296" s="2060"/>
      <c r="Y296" s="2060"/>
      <c r="Z296" s="2060"/>
      <c r="AA296" s="2060"/>
      <c r="AB296" s="2060"/>
      <c r="AC296" s="2060"/>
      <c r="AD296" s="2060"/>
      <c r="AE296" s="2060"/>
      <c r="AF296" s="2060"/>
      <c r="AG296" s="2060"/>
      <c r="AH296" s="2060"/>
      <c r="AI296" s="2060"/>
      <c r="AJ296" s="2060"/>
      <c r="AK296" s="2060"/>
      <c r="AL296" s="2060"/>
      <c r="AM296" s="2060"/>
      <c r="AN296" s="2060"/>
      <c r="AO296" s="2060"/>
      <c r="AP296" s="2060"/>
      <c r="AQ296" s="2060"/>
      <c r="AR296" s="2060"/>
      <c r="AS296" s="2060"/>
    </row>
    <row r="297" spans="1:45" s="334" customFormat="1" ht="13.9" hidden="1">
      <c r="A297" s="1510"/>
      <c r="B297" s="1510"/>
      <c r="C297" s="304" t="s">
        <v>1028</v>
      </c>
      <c r="D297" s="629"/>
      <c r="E297" s="1627" t="str">
        <f>IFERROR(E295/E28,"-")</f>
        <v>-</v>
      </c>
      <c r="F297" s="1739">
        <f>F296</f>
        <v>0</v>
      </c>
      <c r="G297" s="1627">
        <f>IF(G296,G296,F297)</f>
        <v>0</v>
      </c>
      <c r="H297" s="1627">
        <f>IF(H296,H296,G297)</f>
        <v>0</v>
      </c>
      <c r="I297" s="1627">
        <f t="shared" ref="I297:Q297" si="126">IF(I296,I296,H297)</f>
        <v>0</v>
      </c>
      <c r="J297" s="1627">
        <f t="shared" si="126"/>
        <v>0</v>
      </c>
      <c r="K297" s="1627">
        <f t="shared" si="126"/>
        <v>0</v>
      </c>
      <c r="L297" s="1627">
        <f t="shared" si="126"/>
        <v>0</v>
      </c>
      <c r="M297" s="1627">
        <f t="shared" si="126"/>
        <v>0</v>
      </c>
      <c r="N297" s="1627">
        <f t="shared" si="126"/>
        <v>0</v>
      </c>
      <c r="O297" s="1627">
        <f t="shared" si="126"/>
        <v>0</v>
      </c>
      <c r="P297" s="1627">
        <f t="shared" si="126"/>
        <v>0</v>
      </c>
      <c r="Q297" s="1627">
        <f t="shared" si="126"/>
        <v>0</v>
      </c>
      <c r="R297" s="1628"/>
      <c r="S297" s="1628">
        <f ca="1">IFERROR(IF(S296,S296,SUMIFS($G$297:$Q$297,$G$26:$Q$26,$S$26)),0)</f>
        <v>0</v>
      </c>
      <c r="T297" s="2060"/>
      <c r="U297" s="1510"/>
      <c r="V297" s="2060"/>
      <c r="W297" s="2060"/>
      <c r="X297" s="2060"/>
      <c r="Y297" s="2060"/>
      <c r="Z297" s="2060"/>
      <c r="AA297" s="2060"/>
      <c r="AB297" s="2060"/>
      <c r="AC297" s="2060"/>
      <c r="AD297" s="2060"/>
      <c r="AE297" s="2060"/>
      <c r="AF297" s="2060"/>
      <c r="AG297" s="2060"/>
      <c r="AH297" s="2060"/>
      <c r="AI297" s="2060"/>
      <c r="AJ297" s="2060"/>
      <c r="AK297" s="2060"/>
      <c r="AL297" s="2060"/>
      <c r="AM297" s="2060"/>
      <c r="AN297" s="2060"/>
      <c r="AO297" s="2060"/>
      <c r="AP297" s="2060"/>
      <c r="AQ297" s="2060"/>
      <c r="AR297" s="2060"/>
      <c r="AS297" s="2060"/>
    </row>
    <row r="298" spans="1:45" s="334" customFormat="1" ht="13.9" hidden="1">
      <c r="A298" s="1510"/>
      <c r="B298" s="1510"/>
      <c r="C298" s="1669" t="str">
        <f>IF(COUNTIF(G298:S298,"Enter days"),"Enter all days for AR/INV/AP ==&gt;","")</f>
        <v/>
      </c>
      <c r="D298" s="1528"/>
      <c r="E298" s="695"/>
      <c r="F298" s="1806" t="str">
        <f>IF(StubY,"LFQ","")</f>
        <v>LFQ</v>
      </c>
      <c r="G298" s="2060"/>
      <c r="H298" s="2060"/>
      <c r="I298" s="2060"/>
      <c r="J298" s="2060"/>
      <c r="K298" s="2060"/>
      <c r="L298" s="2060"/>
      <c r="M298" s="2060"/>
      <c r="N298" s="2060"/>
      <c r="O298" s="2060"/>
      <c r="P298" s="2060"/>
      <c r="Q298" s="2060"/>
      <c r="R298" s="2060"/>
      <c r="S298" s="2060"/>
      <c r="T298" s="2060"/>
      <c r="U298" s="1510"/>
      <c r="V298" s="1525"/>
      <c r="W298" s="2060"/>
      <c r="X298" s="2060"/>
      <c r="Y298" s="1525"/>
      <c r="Z298" s="1525"/>
      <c r="AA298" s="1525"/>
      <c r="AB298" s="1525"/>
      <c r="AC298" s="1525"/>
      <c r="AD298" s="1525"/>
      <c r="AE298" s="1525"/>
      <c r="AF298" s="1525"/>
      <c r="AG298" s="1525"/>
      <c r="AH298" s="1525"/>
      <c r="AI298" s="1525"/>
      <c r="AJ298" s="1525"/>
      <c r="AK298" s="1525"/>
      <c r="AL298" s="1525"/>
      <c r="AM298" s="1525"/>
      <c r="AN298" s="1525"/>
      <c r="AO298" s="1525"/>
      <c r="AP298" s="1525"/>
      <c r="AQ298" s="1525"/>
      <c r="AR298" s="1525"/>
      <c r="AS298" s="1525"/>
    </row>
    <row r="299" spans="1:45" s="334" customFormat="1" ht="13.9">
      <c r="A299" s="1510"/>
      <c r="B299" s="1510"/>
      <c r="C299" s="305" t="s">
        <v>1029</v>
      </c>
      <c r="D299" s="305"/>
      <c r="E299" s="616">
        <f>'BAL SHEET Hist Input'!I$59-E295</f>
        <v>0</v>
      </c>
      <c r="F299" s="1010">
        <f>(E295-'BAL SHEET Hist Input'!K59)</f>
        <v>0</v>
      </c>
      <c r="G299" s="328">
        <f t="shared" ref="G299:Q299" si="127">IF(G23="",0,F295-G295)</f>
        <v>0</v>
      </c>
      <c r="H299" s="1667">
        <f t="shared" si="127"/>
        <v>0</v>
      </c>
      <c r="I299" s="1667">
        <f t="shared" si="127"/>
        <v>0</v>
      </c>
      <c r="J299" s="1667">
        <f t="shared" si="127"/>
        <v>0</v>
      </c>
      <c r="K299" s="1667">
        <f t="shared" si="127"/>
        <v>0</v>
      </c>
      <c r="L299" s="1667">
        <f t="shared" si="127"/>
        <v>0</v>
      </c>
      <c r="M299" s="1667">
        <f t="shared" si="127"/>
        <v>0</v>
      </c>
      <c r="N299" s="1667">
        <f t="shared" si="127"/>
        <v>0</v>
      </c>
      <c r="O299" s="1667">
        <f t="shared" si="127"/>
        <v>0</v>
      </c>
      <c r="P299" s="1667">
        <f t="shared" si="127"/>
        <v>0</v>
      </c>
      <c r="Q299" s="1667">
        <f t="shared" si="127"/>
        <v>0</v>
      </c>
      <c r="R299" s="2060"/>
      <c r="S299" s="2060">
        <f ca="1">-(S28*Growth_Rate*S297/(1+Growth_Rate))</f>
        <v>0</v>
      </c>
      <c r="T299" s="2060"/>
      <c r="U299" s="1510"/>
      <c r="V299" s="1525"/>
      <c r="W299" s="2060"/>
      <c r="X299" s="2060"/>
      <c r="Y299" s="1525"/>
      <c r="Z299" s="1525"/>
      <c r="AA299" s="1525"/>
      <c r="AB299" s="1525"/>
      <c r="AC299" s="1525"/>
      <c r="AD299" s="1525"/>
      <c r="AE299" s="1525"/>
      <c r="AF299" s="1525"/>
      <c r="AG299" s="1525"/>
      <c r="AH299" s="1525"/>
      <c r="AI299" s="1525"/>
      <c r="AJ299" s="1525"/>
      <c r="AK299" s="1525"/>
      <c r="AL299" s="1525"/>
      <c r="AM299" s="1525"/>
      <c r="AN299" s="1525"/>
      <c r="AO299" s="1525"/>
      <c r="AP299" s="1525"/>
      <c r="AQ299" s="1525"/>
      <c r="AR299" s="1525"/>
      <c r="AS299" s="1525"/>
    </row>
    <row r="300" spans="1:45" s="334" customFormat="1" ht="13.9">
      <c r="A300" s="1510"/>
      <c r="B300" s="1510"/>
      <c r="C300" s="305" t="s">
        <v>1030</v>
      </c>
      <c r="D300" s="305"/>
      <c r="E300" s="616"/>
      <c r="F300" s="1010">
        <f>'BAL SHEET Hist Input'!K$59</f>
        <v>0</v>
      </c>
      <c r="G300" s="328"/>
      <c r="H300" s="1627"/>
      <c r="I300" s="328"/>
      <c r="J300" s="328"/>
      <c r="K300" s="328"/>
      <c r="L300" s="328"/>
      <c r="M300" s="328"/>
      <c r="N300" s="328"/>
      <c r="O300" s="328"/>
      <c r="P300" s="328"/>
      <c r="Q300" s="328"/>
      <c r="R300" s="2060"/>
      <c r="S300" s="2060"/>
      <c r="T300" s="2060"/>
      <c r="U300" s="1510"/>
      <c r="V300" s="1525"/>
      <c r="W300" s="2060"/>
      <c r="X300" s="2060"/>
      <c r="Y300" s="1525"/>
      <c r="Z300" s="1525"/>
      <c r="AA300" s="1525"/>
      <c r="AB300" s="1525"/>
      <c r="AC300" s="1525"/>
      <c r="AD300" s="1525"/>
      <c r="AE300" s="1525"/>
      <c r="AF300" s="1525"/>
      <c r="AG300" s="1525"/>
      <c r="AH300" s="1525"/>
      <c r="AI300" s="1525"/>
      <c r="AJ300" s="1525"/>
      <c r="AK300" s="1525"/>
      <c r="AL300" s="1525"/>
      <c r="AM300" s="1525"/>
      <c r="AN300" s="1525"/>
      <c r="AO300" s="1525"/>
      <c r="AP300" s="1525"/>
      <c r="AQ300" s="1525"/>
      <c r="AR300" s="1525"/>
      <c r="AS300" s="1525"/>
    </row>
    <row r="301" spans="1:45" s="334" customFormat="1" ht="13.9">
      <c r="A301" s="1510"/>
      <c r="B301" s="1510"/>
      <c r="C301" s="305" t="s">
        <v>1031</v>
      </c>
      <c r="D301" s="305"/>
      <c r="E301" s="616"/>
      <c r="F301" s="1015">
        <f>'INC STAT Hist Input'!$K$10*G330</f>
        <v>0</v>
      </c>
      <c r="G301" s="328"/>
      <c r="H301" s="1627"/>
      <c r="I301" s="328"/>
      <c r="J301" s="328"/>
      <c r="K301" s="328"/>
      <c r="L301" s="328"/>
      <c r="M301" s="328"/>
      <c r="N301" s="328"/>
      <c r="O301" s="328"/>
      <c r="P301" s="328"/>
      <c r="Q301" s="328"/>
      <c r="R301" s="2060"/>
      <c r="S301" s="2060"/>
      <c r="T301" s="2060"/>
      <c r="U301" s="1510"/>
      <c r="V301" s="1525"/>
      <c r="W301" s="2060"/>
      <c r="X301" s="2060"/>
      <c r="Y301" s="1525"/>
      <c r="Z301" s="1525"/>
      <c r="AA301" s="1525"/>
      <c r="AB301" s="1525"/>
      <c r="AC301" s="1525"/>
      <c r="AD301" s="1525"/>
      <c r="AE301" s="1525"/>
      <c r="AF301" s="1525"/>
      <c r="AG301" s="1525"/>
      <c r="AH301" s="1525"/>
      <c r="AI301" s="1525"/>
      <c r="AJ301" s="1525"/>
      <c r="AK301" s="1525"/>
      <c r="AL301" s="1525"/>
      <c r="AM301" s="1525"/>
      <c r="AN301" s="1525"/>
      <c r="AO301" s="1525"/>
      <c r="AP301" s="1525"/>
      <c r="AQ301" s="1525"/>
      <c r="AR301" s="1525"/>
      <c r="AS301" s="1525"/>
    </row>
    <row r="302" spans="1:45" s="334" customFormat="1" ht="13.9">
      <c r="A302" s="1510"/>
      <c r="B302" s="1510"/>
      <c r="C302" s="305" t="s">
        <v>1032</v>
      </c>
      <c r="D302" s="305"/>
      <c r="E302" s="616"/>
      <c r="F302" s="1010">
        <f>F300-F301</f>
        <v>0</v>
      </c>
      <c r="G302" s="328"/>
      <c r="H302" s="1627"/>
      <c r="I302" s="328"/>
      <c r="J302" s="328"/>
      <c r="K302" s="328"/>
      <c r="L302" s="328"/>
      <c r="M302" s="328"/>
      <c r="N302" s="328"/>
      <c r="O302" s="328"/>
      <c r="P302" s="328"/>
      <c r="Q302" s="328"/>
      <c r="R302" s="328"/>
      <c r="S302" s="328"/>
      <c r="T302" s="2060"/>
      <c r="U302" s="1510"/>
      <c r="V302" s="1525"/>
      <c r="W302" s="2060"/>
      <c r="X302" s="1820"/>
      <c r="Y302" s="1525"/>
      <c r="Z302" s="1525"/>
      <c r="AA302" s="1525"/>
      <c r="AB302" s="1525"/>
      <c r="AC302" s="1525"/>
      <c r="AD302" s="1525"/>
      <c r="AE302" s="1525"/>
      <c r="AF302" s="1525"/>
      <c r="AG302" s="1525"/>
      <c r="AH302" s="1525"/>
      <c r="AI302" s="1525"/>
      <c r="AJ302" s="1525"/>
      <c r="AK302" s="1525"/>
      <c r="AL302" s="1525"/>
      <c r="AM302" s="1525"/>
      <c r="AN302" s="1525"/>
      <c r="AO302" s="1525"/>
      <c r="AP302" s="1525"/>
      <c r="AQ302" s="1525"/>
      <c r="AR302" s="1525"/>
      <c r="AS302" s="1525"/>
    </row>
    <row r="303" spans="1:45" s="1525" customFormat="1" ht="13.9">
      <c r="A303" s="1510"/>
      <c r="B303" s="1510"/>
      <c r="C303" s="305"/>
      <c r="D303" s="305"/>
      <c r="E303" s="616"/>
      <c r="F303" s="1010"/>
      <c r="G303" s="328"/>
      <c r="H303" s="1627"/>
      <c r="I303" s="328"/>
      <c r="J303" s="328"/>
      <c r="K303" s="328"/>
      <c r="L303" s="328"/>
      <c r="M303" s="328"/>
      <c r="N303" s="328"/>
      <c r="O303" s="328"/>
      <c r="P303" s="328"/>
      <c r="Q303" s="328"/>
      <c r="R303" s="328"/>
      <c r="S303" s="328"/>
      <c r="T303" s="2060"/>
      <c r="U303" s="1510"/>
      <c r="W303" s="2060"/>
      <c r="X303" s="1820"/>
    </row>
    <row r="304" spans="1:45" s="1525" customFormat="1" ht="13.9">
      <c r="A304" s="1510"/>
      <c r="B304" s="1510"/>
      <c r="C304" s="1387" t="s">
        <v>1033</v>
      </c>
      <c r="D304" s="305"/>
      <c r="E304" s="616"/>
      <c r="F304" s="1010"/>
      <c r="G304" s="328"/>
      <c r="H304" s="1627"/>
      <c r="I304" s="328"/>
      <c r="J304" s="328"/>
      <c r="K304" s="328"/>
      <c r="L304" s="328"/>
      <c r="M304" s="328"/>
      <c r="N304" s="328"/>
      <c r="O304" s="328"/>
      <c r="P304" s="328"/>
      <c r="Q304" s="328"/>
      <c r="R304" s="328"/>
      <c r="S304" s="328">
        <f ca="1">S92+S95+S75+S299</f>
        <v>0</v>
      </c>
      <c r="T304" s="2060"/>
      <c r="U304" s="1510"/>
      <c r="W304" s="2060"/>
      <c r="X304" s="1820"/>
    </row>
    <row r="305" spans="1:24" s="334" customFormat="1" ht="13.9">
      <c r="A305" s="1510"/>
      <c r="B305" s="1510"/>
      <c r="C305" s="1531"/>
      <c r="D305" s="1528"/>
      <c r="E305" s="695"/>
      <c r="F305" s="2029"/>
      <c r="G305" s="370"/>
      <c r="H305" s="370"/>
      <c r="I305" s="370"/>
      <c r="J305" s="370"/>
      <c r="K305" s="370"/>
      <c r="L305" s="370"/>
      <c r="M305" s="370"/>
      <c r="N305" s="370"/>
      <c r="O305" s="370"/>
      <c r="P305" s="370"/>
      <c r="Q305" s="370"/>
      <c r="R305" s="370"/>
      <c r="S305" s="370"/>
      <c r="T305" s="2060"/>
      <c r="U305" s="1510"/>
      <c r="V305" s="1525"/>
      <c r="W305" s="2060"/>
      <c r="X305" s="1821"/>
    </row>
    <row r="306" spans="1:24" s="334" customFormat="1" ht="13.9">
      <c r="A306" s="1510"/>
      <c r="B306" s="1510"/>
      <c r="C306" s="1199" t="s">
        <v>924</v>
      </c>
      <c r="D306" s="404"/>
      <c r="E306" s="1810">
        <f t="shared" ref="E306:Q306" si="128">E26</f>
        <v>42460</v>
      </c>
      <c r="F306" s="2030">
        <f t="shared" si="128"/>
        <v>42643</v>
      </c>
      <c r="G306" s="1130">
        <f t="shared" si="128"/>
        <v>42825</v>
      </c>
      <c r="H306" s="1130">
        <f t="shared" si="128"/>
        <v>43190</v>
      </c>
      <c r="I306" s="1130">
        <f t="shared" si="128"/>
        <v>43555</v>
      </c>
      <c r="J306" s="1130">
        <f t="shared" si="128"/>
        <v>43921</v>
      </c>
      <c r="K306" s="1130">
        <f t="shared" si="128"/>
        <v>44286</v>
      </c>
      <c r="L306" s="1130">
        <f t="shared" si="128"/>
        <v>44651</v>
      </c>
      <c r="M306" s="1130">
        <f t="shared" si="128"/>
        <v>45016</v>
      </c>
      <c r="N306" s="1130">
        <f t="shared" si="128"/>
        <v>45382</v>
      </c>
      <c r="O306" s="1130">
        <f t="shared" si="128"/>
        <v>0</v>
      </c>
      <c r="P306" s="1130">
        <f t="shared" si="128"/>
        <v>0</v>
      </c>
      <c r="Q306" s="1130">
        <f t="shared" si="128"/>
        <v>0</v>
      </c>
      <c r="R306" s="1129"/>
      <c r="S306" s="1130">
        <f>IF(43100=0,"",S26)</f>
        <v>45382</v>
      </c>
      <c r="T306" s="1525"/>
      <c r="U306" s="1510"/>
      <c r="V306" s="1525"/>
      <c r="W306" s="2060"/>
      <c r="X306" s="2060"/>
    </row>
    <row r="307" spans="1:24" s="334" customFormat="1" ht="13.9">
      <c r="A307" s="1510"/>
      <c r="B307" s="1510"/>
      <c r="C307" s="1381" t="s">
        <v>466</v>
      </c>
      <c r="D307" s="631"/>
      <c r="E307" s="1364" t="str">
        <f>IF(StubY,'INC STAT Hist Input'!J37,'INC STAT Hist Input'!I37)</f>
        <v>n/a</v>
      </c>
      <c r="F307" s="1740" t="str">
        <f>IF(StubY,'INC STAT Hist Input'!K37,'INC STAT Hist Input'!J37)</f>
        <v>n/a</v>
      </c>
      <c r="G307" s="1628" t="str">
        <f t="shared" ref="G307:Q307" si="129">IFERROR(SUMIFS($E$28:$Q$28,$E$23:$Q$23,G$23)/SUMIFS($E$28:$Q$28,$E$23:$Q$23,G$23-1)-1,"--")</f>
        <v>--</v>
      </c>
      <c r="H307" s="1628" t="str">
        <f t="shared" si="129"/>
        <v>--</v>
      </c>
      <c r="I307" s="1628" t="str">
        <f t="shared" si="129"/>
        <v>--</v>
      </c>
      <c r="J307" s="1628" t="str">
        <f t="shared" si="129"/>
        <v>--</v>
      </c>
      <c r="K307" s="1628" t="str">
        <f t="shared" si="129"/>
        <v>--</v>
      </c>
      <c r="L307" s="1628" t="str">
        <f t="shared" si="129"/>
        <v>--</v>
      </c>
      <c r="M307" s="1628" t="str">
        <f t="shared" si="129"/>
        <v>--</v>
      </c>
      <c r="N307" s="1628" t="str">
        <f t="shared" si="129"/>
        <v>--</v>
      </c>
      <c r="O307" s="1628" t="str">
        <f t="shared" si="129"/>
        <v>--</v>
      </c>
      <c r="P307" s="1628" t="str">
        <f t="shared" si="129"/>
        <v>--</v>
      </c>
      <c r="Q307" s="1628" t="str">
        <f t="shared" si="129"/>
        <v>--</v>
      </c>
      <c r="R307" s="1628"/>
      <c r="S307" s="1628" t="str">
        <f>IFERROR(S28/SUMIFS(G28:Q28,$G$26:$Q$26,EOMONTH($S$26,-12))-1,"n/a")</f>
        <v>n/a</v>
      </c>
      <c r="T307" s="1525"/>
      <c r="U307" s="1510"/>
      <c r="V307" s="1525"/>
      <c r="W307" s="2060"/>
      <c r="X307" s="2060"/>
    </row>
    <row r="308" spans="1:24" ht="13.9">
      <c r="A308" s="1510"/>
      <c r="B308" s="1510"/>
      <c r="C308" s="304" t="s">
        <v>930</v>
      </c>
      <c r="D308" s="1528"/>
      <c r="E308" s="1364" t="str">
        <f>IF(StubY,'INC STAT Hist Input'!J38,'INC STAT Hist Input'!I38)</f>
        <v>n/a</v>
      </c>
      <c r="F308" s="1740" t="str">
        <f>IF(StubY,'INC STAT Hist Input'!K38,'INC STAT Hist Input'!J38)</f>
        <v>n/a</v>
      </c>
      <c r="G308" s="1628" t="str">
        <f t="shared" ref="G308:Q308" si="130">IFERROR(SUMIFS($E$37:$Q$37,$E$23:$Q$23,G$23)/SUMIFS($E$37:$Q$37,$E$23:$Q$23,G$23-1)-1,"--")</f>
        <v>--</v>
      </c>
      <c r="H308" s="1628" t="str">
        <f t="shared" si="130"/>
        <v>--</v>
      </c>
      <c r="I308" s="1628" t="str">
        <f t="shared" si="130"/>
        <v>--</v>
      </c>
      <c r="J308" s="1628" t="str">
        <f t="shared" si="130"/>
        <v>--</v>
      </c>
      <c r="K308" s="1628" t="str">
        <f t="shared" si="130"/>
        <v>--</v>
      </c>
      <c r="L308" s="1628" t="str">
        <f t="shared" si="130"/>
        <v>--</v>
      </c>
      <c r="M308" s="1628" t="str">
        <f t="shared" si="130"/>
        <v>--</v>
      </c>
      <c r="N308" s="1628" t="str">
        <f t="shared" si="130"/>
        <v>--</v>
      </c>
      <c r="O308" s="1628" t="str">
        <f t="shared" si="130"/>
        <v>--</v>
      </c>
      <c r="P308" s="1628" t="str">
        <f t="shared" si="130"/>
        <v>--</v>
      </c>
      <c r="Q308" s="1628" t="str">
        <f t="shared" si="130"/>
        <v>--</v>
      </c>
      <c r="R308" s="1628"/>
      <c r="S308" s="1628" t="str">
        <f>IFERROR(S37/SUMIFS(G37:Q37,$G$26:$Q$26,EOMONTH($S$26,-12))-1,"n/a")</f>
        <v>n/a</v>
      </c>
      <c r="T308" s="1525"/>
      <c r="U308" s="1510"/>
      <c r="V308" s="1525"/>
      <c r="W308" s="2060"/>
      <c r="X308" s="2060"/>
    </row>
    <row r="309" spans="1:24" ht="13.9">
      <c r="A309" s="1510"/>
      <c r="B309" s="1510"/>
      <c r="C309" s="304" t="s">
        <v>258</v>
      </c>
      <c r="D309" s="1528"/>
      <c r="E309" s="1364" t="str">
        <f>IF(StubY,'INC STAT Hist Input'!J39,'INC STAT Hist Input'!I39)</f>
        <v>n/a</v>
      </c>
      <c r="F309" s="1740" t="str">
        <f>IF(StubY,'INC STAT Hist Input'!K39,'INC STAT Hist Input'!J39)</f>
        <v>n/a</v>
      </c>
      <c r="G309" s="1628" t="str">
        <f t="shared" ref="G309:Q309" si="131">IFERROR(SUMIFS($E$72:$Q$72,$E$23:$Q$23,G$23)/SUMIFS($E$72:$Q$72,$E$23:$Q$23,G$23-1)-1,"--")</f>
        <v>--</v>
      </c>
      <c r="H309" s="1628" t="str">
        <f t="shared" si="131"/>
        <v>--</v>
      </c>
      <c r="I309" s="1628" t="str">
        <f t="shared" si="131"/>
        <v>--</v>
      </c>
      <c r="J309" s="1628" t="str">
        <f t="shared" si="131"/>
        <v>--</v>
      </c>
      <c r="K309" s="1628" t="str">
        <f t="shared" si="131"/>
        <v>--</v>
      </c>
      <c r="L309" s="1628" t="str">
        <f t="shared" si="131"/>
        <v>--</v>
      </c>
      <c r="M309" s="1628" t="str">
        <f t="shared" si="131"/>
        <v>--</v>
      </c>
      <c r="N309" s="1628" t="str">
        <f t="shared" si="131"/>
        <v>--</v>
      </c>
      <c r="O309" s="1628" t="str">
        <f t="shared" si="131"/>
        <v>--</v>
      </c>
      <c r="P309" s="1628" t="str">
        <f t="shared" si="131"/>
        <v>--</v>
      </c>
      <c r="Q309" s="1628" t="str">
        <f t="shared" si="131"/>
        <v>--</v>
      </c>
      <c r="R309" s="1628"/>
      <c r="S309" s="1628" t="str">
        <f>IFERROR(S72/SUMIFS(G72:Q72,$G$26:$Q$26,EOMONTH($S$26,-12))-1,"n/a")</f>
        <v>n/a</v>
      </c>
      <c r="T309" s="1525"/>
      <c r="U309" s="1510"/>
      <c r="V309" s="1525"/>
      <c r="W309" s="1525"/>
      <c r="X309" s="1525"/>
    </row>
    <row r="310" spans="1:24" ht="13.9">
      <c r="A310" s="1510"/>
      <c r="B310" s="1510"/>
      <c r="C310" s="304" t="s">
        <v>226</v>
      </c>
      <c r="D310" s="1528"/>
      <c r="E310" s="1364" t="str">
        <f>IF(StubY,'INC STAT Hist Input'!J40,'INC STAT Hist Input'!I40)</f>
        <v>n/a</v>
      </c>
      <c r="F310" s="1740" t="str">
        <f>IF(StubY,'INC STAT Hist Input'!K40,'INC STAT Hist Input'!J40)</f>
        <v>n/a</v>
      </c>
      <c r="G310" s="1628" t="str">
        <f t="shared" ref="G310:Q310" ca="1" si="132">IFERROR(SUMIFS($E$79:$Q$79,$E$23:$Q$23,G$23)/SUMIFS($E$79:$Q$79,$E$23:$Q$23,G$23-1)-1,"--")</f>
        <v>--</v>
      </c>
      <c r="H310" s="1628" t="str">
        <f t="shared" ca="1" si="132"/>
        <v>--</v>
      </c>
      <c r="I310" s="1628" t="str">
        <f t="shared" ca="1" si="132"/>
        <v>--</v>
      </c>
      <c r="J310" s="1628" t="str">
        <f t="shared" ca="1" si="132"/>
        <v>--</v>
      </c>
      <c r="K310" s="1628" t="str">
        <f t="shared" ca="1" si="132"/>
        <v>--</v>
      </c>
      <c r="L310" s="1628" t="str">
        <f t="shared" ca="1" si="132"/>
        <v>--</v>
      </c>
      <c r="M310" s="1628" t="str">
        <f t="shared" ca="1" si="132"/>
        <v>--</v>
      </c>
      <c r="N310" s="1628" t="str">
        <f t="shared" ca="1" si="132"/>
        <v>--</v>
      </c>
      <c r="O310" s="1628" t="str">
        <f t="shared" ca="1" si="132"/>
        <v>--</v>
      </c>
      <c r="P310" s="1628" t="str">
        <f t="shared" ca="1" si="132"/>
        <v>--</v>
      </c>
      <c r="Q310" s="1628" t="str">
        <f t="shared" ca="1" si="132"/>
        <v>--</v>
      </c>
      <c r="R310" s="1628"/>
      <c r="S310" s="1628" t="str">
        <f ca="1">IFERROR(S79/SUMIFS(G79:Q79,$G$26:$Q$26,EOMONTH($S$26,-12))-1,"n/a")</f>
        <v>n/a</v>
      </c>
      <c r="T310" s="1525"/>
      <c r="U310" s="1510"/>
      <c r="V310" s="1525"/>
      <c r="W310" s="1525"/>
      <c r="X310" s="1525"/>
    </row>
    <row r="311" spans="1:24" ht="13.9">
      <c r="A311" s="1510"/>
      <c r="B311" s="1510"/>
      <c r="C311" s="304" t="s">
        <v>931</v>
      </c>
      <c r="D311" s="1528"/>
      <c r="E311" s="1628" t="str">
        <f>IFERROR(E37/E$28,"n/a")</f>
        <v>n/a</v>
      </c>
      <c r="F311" s="1739" t="str">
        <f>IFERROR(F37/F$28,"n/a")</f>
        <v>n/a</v>
      </c>
      <c r="G311" s="1628" t="str">
        <f t="shared" ref="G311:Q311" si="133">IFERROR(G37/G$28,"--")</f>
        <v>--</v>
      </c>
      <c r="H311" s="1628" t="str">
        <f t="shared" si="133"/>
        <v>--</v>
      </c>
      <c r="I311" s="1628" t="str">
        <f t="shared" si="133"/>
        <v>--</v>
      </c>
      <c r="J311" s="1628" t="str">
        <f t="shared" si="133"/>
        <v>--</v>
      </c>
      <c r="K311" s="1628" t="str">
        <f t="shared" si="133"/>
        <v>--</v>
      </c>
      <c r="L311" s="1628" t="str">
        <f t="shared" si="133"/>
        <v>--</v>
      </c>
      <c r="M311" s="1628" t="str">
        <f t="shared" si="133"/>
        <v>--</v>
      </c>
      <c r="N311" s="1628" t="str">
        <f t="shared" si="133"/>
        <v>--</v>
      </c>
      <c r="O311" s="1628" t="str">
        <f t="shared" si="133"/>
        <v>--</v>
      </c>
      <c r="P311" s="1628" t="str">
        <f t="shared" si="133"/>
        <v>--</v>
      </c>
      <c r="Q311" s="1628" t="str">
        <f t="shared" si="133"/>
        <v>--</v>
      </c>
      <c r="R311" s="1628"/>
      <c r="S311" s="1628" t="str">
        <f>IFERROR(S37/S$28,"n/a")</f>
        <v>n/a</v>
      </c>
      <c r="T311" s="1525"/>
      <c r="U311" s="1510"/>
      <c r="V311" s="1525"/>
      <c r="W311" s="1525"/>
      <c r="X311" s="1525"/>
    </row>
    <row r="312" spans="1:24" ht="13.5" customHeight="1">
      <c r="A312" s="1510"/>
      <c r="B312" s="1510"/>
      <c r="C312" s="304" t="s">
        <v>278</v>
      </c>
      <c r="D312" s="1528"/>
      <c r="E312" s="1628" t="str">
        <f>IFERROR(E72/E$28,"n/a")</f>
        <v>n/a</v>
      </c>
      <c r="F312" s="1739" t="str">
        <f>IFERROR(F72/F$28,"n/a")</f>
        <v>n/a</v>
      </c>
      <c r="G312" s="1628" t="str">
        <f t="shared" ref="G312:Q312" si="134">IFERROR(G72/G$28,"--")</f>
        <v>--</v>
      </c>
      <c r="H312" s="1628" t="str">
        <f t="shared" si="134"/>
        <v>--</v>
      </c>
      <c r="I312" s="1628" t="str">
        <f t="shared" si="134"/>
        <v>--</v>
      </c>
      <c r="J312" s="1628" t="str">
        <f t="shared" si="134"/>
        <v>--</v>
      </c>
      <c r="K312" s="1628" t="str">
        <f t="shared" si="134"/>
        <v>--</v>
      </c>
      <c r="L312" s="1628" t="str">
        <f t="shared" si="134"/>
        <v>--</v>
      </c>
      <c r="M312" s="1628" t="str">
        <f t="shared" si="134"/>
        <v>--</v>
      </c>
      <c r="N312" s="1628" t="str">
        <f t="shared" si="134"/>
        <v>--</v>
      </c>
      <c r="O312" s="1628" t="str">
        <f t="shared" si="134"/>
        <v>--</v>
      </c>
      <c r="P312" s="1628" t="str">
        <f t="shared" si="134"/>
        <v>--</v>
      </c>
      <c r="Q312" s="1628" t="str">
        <f t="shared" si="134"/>
        <v>--</v>
      </c>
      <c r="R312" s="1628"/>
      <c r="S312" s="1628" t="str">
        <f>IFERROR(S72/S$28,"n/a")</f>
        <v>n/a</v>
      </c>
      <c r="T312" s="1525"/>
      <c r="U312" s="1510"/>
      <c r="V312" s="1525"/>
      <c r="W312" s="1525"/>
      <c r="X312" s="1525"/>
    </row>
    <row r="313" spans="1:24" ht="13.5" customHeight="1">
      <c r="A313" s="1510"/>
      <c r="B313" s="1510"/>
      <c r="C313" s="304" t="s">
        <v>240</v>
      </c>
      <c r="D313" s="1528"/>
      <c r="E313" s="1628" t="str">
        <f>IFERROR(E79/E$28,"n/a")</f>
        <v>n/a</v>
      </c>
      <c r="F313" s="1739" t="str">
        <f>IFERROR(F79/F$28,"n/a")</f>
        <v>n/a</v>
      </c>
      <c r="G313" s="1628" t="str">
        <f t="shared" ref="G313:Q313" ca="1" si="135">IFERROR(G79/G$28,"--")</f>
        <v>--</v>
      </c>
      <c r="H313" s="1628" t="str">
        <f t="shared" ca="1" si="135"/>
        <v>--</v>
      </c>
      <c r="I313" s="1628" t="str">
        <f t="shared" ca="1" si="135"/>
        <v>--</v>
      </c>
      <c r="J313" s="1628" t="str">
        <f t="shared" ca="1" si="135"/>
        <v>--</v>
      </c>
      <c r="K313" s="1628" t="str">
        <f t="shared" ca="1" si="135"/>
        <v>--</v>
      </c>
      <c r="L313" s="1628" t="str">
        <f t="shared" ca="1" si="135"/>
        <v>--</v>
      </c>
      <c r="M313" s="1628" t="str">
        <f t="shared" ca="1" si="135"/>
        <v>--</v>
      </c>
      <c r="N313" s="1628" t="str">
        <f t="shared" ca="1" si="135"/>
        <v>--</v>
      </c>
      <c r="O313" s="1628" t="str">
        <f t="shared" ca="1" si="135"/>
        <v>--</v>
      </c>
      <c r="P313" s="1628" t="str">
        <f t="shared" ca="1" si="135"/>
        <v>--</v>
      </c>
      <c r="Q313" s="1628" t="str">
        <f t="shared" ca="1" si="135"/>
        <v>--</v>
      </c>
      <c r="R313" s="1628"/>
      <c r="S313" s="1628" t="str">
        <f>IFERROR(S79/S$28,"n/a")</f>
        <v>n/a</v>
      </c>
      <c r="T313" s="1525"/>
      <c r="U313" s="1510"/>
      <c r="V313" s="1525"/>
      <c r="W313" s="1525"/>
      <c r="X313" s="1525"/>
    </row>
    <row r="314" spans="1:24" ht="13.5" customHeight="1">
      <c r="A314" s="1510"/>
      <c r="B314" s="1510"/>
      <c r="C314" s="304" t="s">
        <v>1034</v>
      </c>
      <c r="D314" s="1528"/>
      <c r="E314" s="1628" t="str">
        <f>IFERROR(-E75/E$28,"n/a")</f>
        <v>n/a</v>
      </c>
      <c r="F314" s="1739" t="str">
        <f>IFERROR(-F75/F$28,"n/a")</f>
        <v>n/a</v>
      </c>
      <c r="G314" s="1628" t="str">
        <f t="shared" ref="G314:Q314" ca="1" si="136">IFERROR(-G75/G$28,"--")</f>
        <v>--</v>
      </c>
      <c r="H314" s="1628" t="str">
        <f t="shared" ca="1" si="136"/>
        <v>--</v>
      </c>
      <c r="I314" s="1628" t="str">
        <f t="shared" ca="1" si="136"/>
        <v>--</v>
      </c>
      <c r="J314" s="1628" t="str">
        <f t="shared" ca="1" si="136"/>
        <v>--</v>
      </c>
      <c r="K314" s="1628" t="str">
        <f t="shared" ca="1" si="136"/>
        <v>--</v>
      </c>
      <c r="L314" s="1628" t="str">
        <f t="shared" ca="1" si="136"/>
        <v>--</v>
      </c>
      <c r="M314" s="1628" t="str">
        <f t="shared" ca="1" si="136"/>
        <v>--</v>
      </c>
      <c r="N314" s="1628" t="str">
        <f t="shared" ca="1" si="136"/>
        <v>--</v>
      </c>
      <c r="O314" s="1628" t="str">
        <f t="shared" ca="1" si="136"/>
        <v>--</v>
      </c>
      <c r="P314" s="1628" t="str">
        <f t="shared" ca="1" si="136"/>
        <v>--</v>
      </c>
      <c r="Q314" s="1628" t="str">
        <f t="shared" ca="1" si="136"/>
        <v>--</v>
      </c>
      <c r="R314" s="1628"/>
      <c r="S314" s="1628" t="str">
        <f>IFERROR(-S75/S$28,"n/a")</f>
        <v>n/a</v>
      </c>
      <c r="T314" s="1525"/>
      <c r="U314" s="1510"/>
      <c r="V314" s="1525"/>
      <c r="W314" s="1525"/>
      <c r="X314" s="1525"/>
    </row>
    <row r="315" spans="1:24" ht="13.5" customHeight="1">
      <c r="A315" s="1510"/>
      <c r="B315" s="1510"/>
      <c r="C315" s="304" t="s">
        <v>1035</v>
      </c>
      <c r="D315" s="1528"/>
      <c r="E315" s="1628" t="str">
        <f>IFERROR(-E77/E$28,"n/a")</f>
        <v>n/a</v>
      </c>
      <c r="F315" s="1739" t="str">
        <f>IFERROR(-F77/F$28,"n/a")</f>
        <v>n/a</v>
      </c>
      <c r="G315" s="1628" t="str">
        <f t="shared" ref="G315:Q315" si="137">IFERROR(-G77/G$28,"--")</f>
        <v>--</v>
      </c>
      <c r="H315" s="1628" t="str">
        <f t="shared" si="137"/>
        <v>--</v>
      </c>
      <c r="I315" s="1628" t="str">
        <f t="shared" si="137"/>
        <v>--</v>
      </c>
      <c r="J315" s="1628" t="str">
        <f t="shared" si="137"/>
        <v>--</v>
      </c>
      <c r="K315" s="1628" t="str">
        <f t="shared" si="137"/>
        <v>--</v>
      </c>
      <c r="L315" s="1628" t="str">
        <f t="shared" si="137"/>
        <v>--</v>
      </c>
      <c r="M315" s="1628" t="str">
        <f t="shared" si="137"/>
        <v>--</v>
      </c>
      <c r="N315" s="1628" t="str">
        <f t="shared" si="137"/>
        <v>--</v>
      </c>
      <c r="O315" s="1628" t="str">
        <f t="shared" si="137"/>
        <v>--</v>
      </c>
      <c r="P315" s="1628" t="str">
        <f t="shared" si="137"/>
        <v>--</v>
      </c>
      <c r="Q315" s="1628" t="str">
        <f t="shared" si="137"/>
        <v>--</v>
      </c>
      <c r="R315" s="1628"/>
      <c r="S315" s="1628" t="str">
        <f>IFERROR(-S77/S$28,"n/a")</f>
        <v>n/a</v>
      </c>
      <c r="T315" s="1525"/>
      <c r="U315" s="1510"/>
      <c r="V315" s="1525"/>
      <c r="W315" s="1525"/>
      <c r="X315" s="1525"/>
    </row>
    <row r="316" spans="1:24" ht="12" customHeight="1">
      <c r="A316" s="1510"/>
      <c r="B316" s="1510"/>
      <c r="C316" s="304" t="s">
        <v>1036</v>
      </c>
      <c r="D316" s="1528"/>
      <c r="E316" s="1628" t="str">
        <f>IFERROR(E95/E28,"n/a")</f>
        <v>n/a</v>
      </c>
      <c r="F316" s="1739" t="str">
        <f>IFERROR(F95/F28,"n/a")</f>
        <v>n/a</v>
      </c>
      <c r="G316" s="1628" t="str">
        <f t="shared" ref="G316:Q316" si="138">IFERROR(G95/G28,"--")</f>
        <v>--</v>
      </c>
      <c r="H316" s="1628" t="str">
        <f t="shared" si="138"/>
        <v>--</v>
      </c>
      <c r="I316" s="1628" t="str">
        <f t="shared" si="138"/>
        <v>--</v>
      </c>
      <c r="J316" s="1628" t="str">
        <f t="shared" si="138"/>
        <v>--</v>
      </c>
      <c r="K316" s="1628" t="str">
        <f t="shared" si="138"/>
        <v>--</v>
      </c>
      <c r="L316" s="1628" t="str">
        <f t="shared" si="138"/>
        <v>--</v>
      </c>
      <c r="M316" s="1628" t="str">
        <f t="shared" si="138"/>
        <v>--</v>
      </c>
      <c r="N316" s="1628" t="str">
        <f t="shared" si="138"/>
        <v>--</v>
      </c>
      <c r="O316" s="1628" t="str">
        <f t="shared" si="138"/>
        <v>--</v>
      </c>
      <c r="P316" s="1628" t="str">
        <f t="shared" si="138"/>
        <v>--</v>
      </c>
      <c r="Q316" s="1628" t="str">
        <f t="shared" si="138"/>
        <v>--</v>
      </c>
      <c r="R316" s="1628"/>
      <c r="S316" s="1628" t="str">
        <f>IFERROR(S95/S28,"n/a")</f>
        <v>n/a</v>
      </c>
      <c r="T316" s="1525"/>
      <c r="U316" s="1510"/>
      <c r="V316" s="1525"/>
      <c r="W316" s="1525"/>
      <c r="X316" s="1525"/>
    </row>
    <row r="317" spans="1:24" ht="12" customHeight="1">
      <c r="A317" s="1510"/>
      <c r="B317" s="1510"/>
      <c r="C317" s="1137" t="s">
        <v>1037</v>
      </c>
      <c r="D317" s="1137"/>
      <c r="E317" s="1630" t="str">
        <f>IFERROR(E295/E28,"n/a")</f>
        <v>n/a</v>
      </c>
      <c r="F317" s="2031" t="str">
        <f>IFERROR(F295/F28,"n/a")</f>
        <v>n/a</v>
      </c>
      <c r="G317" s="1630" t="str">
        <f t="shared" ref="G317:Q317" si="139">IFERROR(G295/G28,"--")</f>
        <v>--</v>
      </c>
      <c r="H317" s="1630" t="str">
        <f t="shared" si="139"/>
        <v>--</v>
      </c>
      <c r="I317" s="1630" t="str">
        <f t="shared" si="139"/>
        <v>--</v>
      </c>
      <c r="J317" s="1630" t="str">
        <f t="shared" si="139"/>
        <v>--</v>
      </c>
      <c r="K317" s="1630" t="str">
        <f t="shared" si="139"/>
        <v>--</v>
      </c>
      <c r="L317" s="1630" t="str">
        <f t="shared" si="139"/>
        <v>--</v>
      </c>
      <c r="M317" s="1630" t="str">
        <f t="shared" si="139"/>
        <v>--</v>
      </c>
      <c r="N317" s="1630" t="str">
        <f t="shared" si="139"/>
        <v>--</v>
      </c>
      <c r="O317" s="1630" t="str">
        <f t="shared" si="139"/>
        <v>--</v>
      </c>
      <c r="P317" s="1630" t="str">
        <f t="shared" si="139"/>
        <v>--</v>
      </c>
      <c r="Q317" s="1630" t="str">
        <f t="shared" si="139"/>
        <v>--</v>
      </c>
      <c r="R317" s="1630"/>
      <c r="S317" s="1630" t="str">
        <f>IFERROR(S295/S28,"n/a")</f>
        <v>n/a</v>
      </c>
      <c r="T317" s="1525"/>
      <c r="U317" s="1510"/>
      <c r="V317" s="1525"/>
      <c r="W317" s="1525"/>
      <c r="X317" s="1525"/>
    </row>
    <row r="318" spans="1:24" ht="12" customHeight="1">
      <c r="A318" s="1510" t="str">
        <f>IF(OR(MAX(E318:Q318)&gt;0.001,MIN(E318:Q318)&lt;0.001),"","n")</f>
        <v/>
      </c>
      <c r="B318" s="1510"/>
      <c r="C318" s="1382"/>
      <c r="D318" s="1550"/>
      <c r="E318" s="1532"/>
      <c r="F318" s="1532"/>
      <c r="G318" s="1532"/>
      <c r="H318" s="1551"/>
      <c r="I318" s="1551"/>
      <c r="J318" s="1551"/>
      <c r="K318" s="1551"/>
      <c r="L318" s="1551"/>
      <c r="M318" s="1551"/>
      <c r="N318" s="1551"/>
      <c r="O318" s="1551"/>
      <c r="P318" s="1551"/>
      <c r="Q318" s="1551"/>
      <c r="R318" s="1551"/>
      <c r="S318" s="1551"/>
      <c r="T318" s="1525"/>
      <c r="U318" s="1510"/>
      <c r="V318" s="1525"/>
      <c r="W318" s="1525"/>
      <c r="X318" s="1525"/>
    </row>
    <row r="319" spans="1:24" s="1525" customFormat="1" ht="12" customHeight="1">
      <c r="A319" s="1510"/>
      <c r="B319" s="1510"/>
      <c r="C319" s="1588" t="s">
        <v>1038</v>
      </c>
      <c r="D319" s="1550"/>
      <c r="E319" s="1532"/>
      <c r="F319" s="1532"/>
      <c r="G319" s="1532"/>
      <c r="H319" s="1551"/>
      <c r="I319" s="1551"/>
      <c r="J319" s="1551"/>
      <c r="K319" s="1551"/>
      <c r="L319" s="1551"/>
      <c r="M319" s="1551"/>
      <c r="N319" s="1551"/>
      <c r="O319" s="1551"/>
      <c r="P319" s="1551"/>
      <c r="Q319" s="1551"/>
      <c r="R319" s="1551"/>
      <c r="S319" s="1551"/>
      <c r="U319" s="1510"/>
    </row>
    <row r="320" spans="1:24" s="1525" customFormat="1" ht="12" customHeight="1">
      <c r="A320" s="1510"/>
      <c r="B320" s="1510"/>
      <c r="C320" s="1588" t="s">
        <v>1039</v>
      </c>
      <c r="D320" s="1550"/>
      <c r="E320" s="1532"/>
      <c r="F320" s="1532"/>
      <c r="G320" s="1532"/>
      <c r="H320" s="1551"/>
      <c r="I320" s="1551"/>
      <c r="J320" s="1551"/>
      <c r="K320" s="1551"/>
      <c r="L320" s="1551"/>
      <c r="M320" s="1551"/>
      <c r="N320" s="1551"/>
      <c r="O320" s="1551"/>
      <c r="P320" s="1551"/>
      <c r="Q320" s="1551"/>
      <c r="R320" s="1551"/>
      <c r="S320" s="1551"/>
      <c r="U320" s="1510"/>
    </row>
    <row r="321" spans="1:21" ht="12" customHeight="1">
      <c r="A321" s="1510"/>
      <c r="B321" s="1510"/>
      <c r="C321" s="1529" t="str">
        <f ca="1">FootnoteDRAFT</f>
        <v>Run date: 05-August-2018  02:34 PM.   DRAFT document. All data subject to change upon completion of additional analysis.</v>
      </c>
      <c r="D321" s="1529"/>
      <c r="E321" s="691"/>
      <c r="F321" s="356"/>
      <c r="G321" s="356"/>
      <c r="H321" s="356"/>
      <c r="I321" s="356"/>
      <c r="J321" s="356"/>
      <c r="K321" s="356"/>
      <c r="L321" s="356"/>
      <c r="M321" s="356"/>
      <c r="N321" s="356"/>
      <c r="O321" s="356"/>
      <c r="P321" s="356"/>
      <c r="Q321" s="356"/>
      <c r="R321" s="356"/>
      <c r="S321" s="356"/>
      <c r="T321" s="357"/>
      <c r="U321" s="1510"/>
    </row>
    <row r="322" spans="1:21" ht="12" customHeight="1">
      <c r="A322" s="1510" t="s">
        <v>17</v>
      </c>
      <c r="B322" s="1510"/>
      <c r="C322" s="1510"/>
      <c r="D322" s="1510"/>
      <c r="E322" s="701"/>
      <c r="F322" s="1510"/>
      <c r="G322" s="1510"/>
      <c r="H322" s="1510"/>
      <c r="I322" s="1510"/>
      <c r="J322" s="1510"/>
      <c r="K322" s="1510"/>
      <c r="L322" s="1510"/>
      <c r="M322" s="1510"/>
      <c r="N322" s="1510"/>
      <c r="O322" s="1510"/>
      <c r="P322" s="1510"/>
      <c r="Q322" s="1510"/>
      <c r="R322" s="1510"/>
      <c r="S322" s="1510"/>
      <c r="T322" s="1484" t="s">
        <v>18</v>
      </c>
      <c r="U322" s="1510"/>
    </row>
    <row r="323" spans="1:21" ht="12" customHeight="1">
      <c r="A323" s="1525"/>
      <c r="B323" s="1525"/>
      <c r="C323" s="1525"/>
      <c r="D323" s="1525"/>
      <c r="E323" s="1525"/>
      <c r="F323" s="1525"/>
      <c r="G323" s="1525"/>
      <c r="H323" s="1525"/>
      <c r="I323" s="1525"/>
      <c r="J323" s="1525"/>
      <c r="K323" s="1525"/>
      <c r="L323" s="1525"/>
      <c r="M323" s="1525"/>
      <c r="N323" s="1525"/>
      <c r="O323" s="1525"/>
      <c r="P323" s="1525"/>
      <c r="Q323" s="1525"/>
      <c r="R323" s="1525"/>
      <c r="S323" s="1525"/>
      <c r="T323" s="1525"/>
      <c r="U323" s="1525"/>
    </row>
    <row r="324" spans="1:21" ht="12" customHeight="1">
      <c r="A324" s="1525"/>
      <c r="B324" s="1525"/>
      <c r="C324" s="1525" t="s">
        <v>1040</v>
      </c>
      <c r="D324" s="1525"/>
      <c r="E324" s="1525"/>
      <c r="F324" s="1525"/>
      <c r="G324" s="1525"/>
      <c r="H324" s="1525"/>
      <c r="I324" s="1525"/>
      <c r="J324" s="1525"/>
      <c r="K324" s="1525"/>
      <c r="L324" s="1525"/>
      <c r="M324" s="1525"/>
      <c r="N324" s="1525"/>
      <c r="O324" s="1525"/>
      <c r="P324" s="1525"/>
      <c r="Q324" s="1525"/>
      <c r="R324" s="1525"/>
      <c r="S324" s="1525"/>
      <c r="T324" s="1525"/>
      <c r="U324" s="1525"/>
    </row>
    <row r="325" spans="1:21" ht="12" customHeight="1">
      <c r="A325" s="1525"/>
      <c r="B325" s="1525"/>
      <c r="C325" s="362" t="s">
        <v>1041</v>
      </c>
      <c r="D325" s="362"/>
      <c r="E325" s="362">
        <f t="shared" ref="E325:R325" si="140">IF(E23="",0,365+(MOD(YEAR(E306),4)=0))</f>
        <v>366</v>
      </c>
      <c r="F325" s="362">
        <f t="shared" si="140"/>
        <v>366</v>
      </c>
      <c r="G325" s="362">
        <f t="shared" si="140"/>
        <v>365</v>
      </c>
      <c r="H325" s="362">
        <f t="shared" si="140"/>
        <v>365</v>
      </c>
      <c r="I325" s="362">
        <f t="shared" si="140"/>
        <v>365</v>
      </c>
      <c r="J325" s="362">
        <f t="shared" si="140"/>
        <v>366</v>
      </c>
      <c r="K325" s="362">
        <f t="shared" si="140"/>
        <v>365</v>
      </c>
      <c r="L325" s="362">
        <f t="shared" si="140"/>
        <v>365</v>
      </c>
      <c r="M325" s="362">
        <f t="shared" si="140"/>
        <v>365</v>
      </c>
      <c r="N325" s="362">
        <f t="shared" si="140"/>
        <v>366</v>
      </c>
      <c r="O325" s="362">
        <f t="shared" si="140"/>
        <v>0</v>
      </c>
      <c r="P325" s="362">
        <f t="shared" si="140"/>
        <v>0</v>
      </c>
      <c r="Q325" s="362">
        <f t="shared" si="140"/>
        <v>0</v>
      </c>
      <c r="R325" s="362">
        <f t="shared" si="140"/>
        <v>0</v>
      </c>
      <c r="S325" s="1819">
        <f>SUMIFS($G325:$Q325,$G$26:$Q$26,$S$26)</f>
        <v>366</v>
      </c>
      <c r="T325" s="362"/>
      <c r="U325" s="362"/>
    </row>
    <row r="326" spans="1:21" ht="12" customHeight="1" thickBot="1">
      <c r="A326" s="1525"/>
      <c r="B326" s="1525"/>
      <c r="C326" s="1004" t="s">
        <v>1042</v>
      </c>
      <c r="D326" s="1004"/>
      <c r="E326" s="1004">
        <f>'INC STAT Hist Input'!J10</f>
        <v>0</v>
      </c>
      <c r="F326" s="1004"/>
      <c r="G326" s="1004">
        <f>SUMIFS($F$28:$G$28,$F$23:$G$23,G$23)</f>
        <v>0</v>
      </c>
      <c r="H326" s="1004">
        <f t="shared" ref="H326:Q326" si="141">H28</f>
        <v>0</v>
      </c>
      <c r="I326" s="1004">
        <f t="shared" si="141"/>
        <v>0</v>
      </c>
      <c r="J326" s="1004">
        <f t="shared" si="141"/>
        <v>0</v>
      </c>
      <c r="K326" s="1004">
        <f t="shared" si="141"/>
        <v>0</v>
      </c>
      <c r="L326" s="1004">
        <f t="shared" si="141"/>
        <v>0</v>
      </c>
      <c r="M326" s="1004">
        <f t="shared" si="141"/>
        <v>0</v>
      </c>
      <c r="N326" s="1004">
        <f t="shared" si="141"/>
        <v>0</v>
      </c>
      <c r="O326" s="1004">
        <f t="shared" si="141"/>
        <v>0</v>
      </c>
      <c r="P326" s="1004">
        <f t="shared" si="141"/>
        <v>0</v>
      </c>
      <c r="Q326" s="1004">
        <f t="shared" si="141"/>
        <v>0</v>
      </c>
      <c r="R326" s="1004"/>
      <c r="S326" s="1004"/>
      <c r="T326" s="362"/>
      <c r="U326" s="362"/>
    </row>
    <row r="327" spans="1:21" ht="12" customHeight="1" thickBot="1">
      <c r="A327" s="1525"/>
      <c r="B327" s="1525"/>
      <c r="C327" s="1004" t="s">
        <v>1043</v>
      </c>
      <c r="D327" s="1004"/>
      <c r="E327" s="1004">
        <f>-'INC STAT Hist Input'!J11</f>
        <v>0</v>
      </c>
      <c r="F327" s="1004"/>
      <c r="G327" s="1004">
        <f>-SUMIFS($F$33:$G$33,$F$23:$G$23,G$23)</f>
        <v>0</v>
      </c>
      <c r="H327" s="1004">
        <f t="shared" ref="H327:Q327" si="142">-H33</f>
        <v>0</v>
      </c>
      <c r="I327" s="1004">
        <f t="shared" si="142"/>
        <v>0</v>
      </c>
      <c r="J327" s="1004">
        <f t="shared" si="142"/>
        <v>0</v>
      </c>
      <c r="K327" s="1004">
        <f t="shared" si="142"/>
        <v>0</v>
      </c>
      <c r="L327" s="1004">
        <f t="shared" si="142"/>
        <v>0</v>
      </c>
      <c r="M327" s="1004">
        <f t="shared" si="142"/>
        <v>0</v>
      </c>
      <c r="N327" s="1004">
        <f t="shared" si="142"/>
        <v>0</v>
      </c>
      <c r="O327" s="1004">
        <f t="shared" si="142"/>
        <v>0</v>
      </c>
      <c r="P327" s="1004">
        <f t="shared" si="142"/>
        <v>0</v>
      </c>
      <c r="Q327" s="1004">
        <f t="shared" si="142"/>
        <v>0</v>
      </c>
      <c r="R327" s="1004"/>
      <c r="S327" s="2059">
        <f>IF(PFIFull,MAX(G288:Q288)-MIN(G288:Q288),0)</f>
        <v>0</v>
      </c>
      <c r="T327" s="362"/>
      <c r="U327" s="362"/>
    </row>
    <row r="328" spans="1:21" ht="12" customHeight="1">
      <c r="A328" s="1525"/>
      <c r="B328" s="1525"/>
      <c r="C328" s="1004" t="s">
        <v>1044</v>
      </c>
      <c r="D328" s="1004"/>
      <c r="E328" s="1004"/>
      <c r="F328" s="1004"/>
      <c r="G328" s="1004">
        <f>SUMIFS($F$72:$G$72,$F$23:$G$23,G$23)</f>
        <v>0</v>
      </c>
      <c r="H328" s="1004"/>
      <c r="I328" s="1004"/>
      <c r="J328" s="1004"/>
      <c r="K328" s="1004"/>
      <c r="L328" s="1004"/>
      <c r="M328" s="1004"/>
      <c r="N328" s="1004"/>
      <c r="O328" s="1004"/>
      <c r="P328" s="1004"/>
      <c r="Q328" s="1004"/>
      <c r="R328" s="1004"/>
      <c r="S328" s="1004"/>
      <c r="T328" s="362"/>
      <c r="U328" s="362"/>
    </row>
    <row r="329" spans="1:21" ht="12" customHeight="1">
      <c r="A329" s="1525"/>
      <c r="B329" s="1525"/>
      <c r="C329" s="1004" t="s">
        <v>1045</v>
      </c>
      <c r="D329" s="1004"/>
      <c r="E329" s="1004"/>
      <c r="F329" s="1004"/>
      <c r="G329" s="1004">
        <f ca="1">SUMIFS($F$79:$G$79,$F$23:$G$23,G$23)</f>
        <v>0</v>
      </c>
      <c r="H329" s="1004"/>
      <c r="I329" s="1004"/>
      <c r="J329" s="1004"/>
      <c r="K329" s="1004"/>
      <c r="L329" s="1004"/>
      <c r="M329" s="1004"/>
      <c r="N329" s="1004"/>
      <c r="O329" s="1004"/>
      <c r="P329" s="1004"/>
      <c r="Q329" s="1004"/>
      <c r="R329" s="1004"/>
      <c r="S329" s="1004"/>
      <c r="T329" s="362"/>
      <c r="U329" s="362"/>
    </row>
    <row r="330" spans="1:21" ht="12" customHeight="1">
      <c r="A330" s="1525"/>
      <c r="B330" s="1525"/>
      <c r="C330" s="1004" t="s">
        <v>1046</v>
      </c>
      <c r="D330" s="1004"/>
      <c r="E330" s="1004"/>
      <c r="F330" s="1004"/>
      <c r="G330" s="962">
        <f>IFERROR(G295/G326,0)</f>
        <v>0</v>
      </c>
      <c r="H330" s="1004"/>
      <c r="I330" s="1004"/>
      <c r="J330" s="1004"/>
      <c r="K330" s="1004"/>
      <c r="L330" s="1004"/>
      <c r="M330" s="1004"/>
      <c r="N330" s="1004"/>
      <c r="O330" s="1004"/>
      <c r="P330" s="1004"/>
      <c r="Q330" s="1004"/>
      <c r="R330" s="1004"/>
      <c r="S330" s="1004"/>
      <c r="T330" s="362"/>
      <c r="U330" s="362"/>
    </row>
    <row r="331" spans="1:21" ht="12" customHeight="1">
      <c r="A331" s="1525"/>
      <c r="B331" s="1525"/>
      <c r="C331" s="1004" t="s">
        <v>1047</v>
      </c>
      <c r="D331" s="1004"/>
      <c r="E331" s="1004"/>
      <c r="F331" s="1004"/>
      <c r="G331" s="1004">
        <f>'INC STAT Hist Input'!K10</f>
        <v>0</v>
      </c>
      <c r="H331" s="362"/>
      <c r="I331" s="362"/>
      <c r="J331" s="362"/>
      <c r="K331" s="362"/>
      <c r="L331" s="362"/>
      <c r="M331" s="362"/>
      <c r="N331" s="362"/>
      <c r="O331" s="362"/>
      <c r="P331" s="362"/>
      <c r="Q331" s="362"/>
      <c r="R331" s="362"/>
      <c r="S331" s="362"/>
      <c r="T331" s="362"/>
      <c r="U331" s="362"/>
    </row>
    <row r="332" spans="1:21" ht="12" customHeight="1">
      <c r="A332" s="1525"/>
      <c r="B332" s="1525"/>
      <c r="C332" s="1004" t="s">
        <v>1048</v>
      </c>
      <c r="D332" s="1004"/>
      <c r="E332" s="1004"/>
      <c r="F332" s="1004"/>
      <c r="G332" s="1004">
        <f>-'INC STAT Hist Input'!K11</f>
        <v>0</v>
      </c>
      <c r="H332" s="362"/>
      <c r="I332" s="362"/>
      <c r="J332" s="362"/>
      <c r="K332" s="362"/>
      <c r="L332" s="362"/>
      <c r="M332" s="362"/>
      <c r="N332" s="362"/>
      <c r="O332" s="362"/>
      <c r="P332" s="362"/>
      <c r="Q332" s="362"/>
      <c r="R332" s="362"/>
      <c r="S332" s="362"/>
      <c r="T332" s="362"/>
      <c r="U332" s="362"/>
    </row>
    <row r="334" spans="1:21" ht="12" customHeight="1">
      <c r="A334" s="1525"/>
      <c r="B334" s="1525"/>
      <c r="C334" s="2166" t="s">
        <v>217</v>
      </c>
      <c r="D334" s="2167"/>
      <c r="E334" s="2168"/>
      <c r="F334" s="1525"/>
      <c r="G334" s="1525"/>
      <c r="H334" s="1525"/>
      <c r="I334" s="1525"/>
      <c r="J334" s="1525"/>
      <c r="K334" s="1525"/>
      <c r="L334" s="1525"/>
      <c r="M334" s="1525"/>
      <c r="N334" s="1525"/>
      <c r="O334" s="1525"/>
      <c r="P334" s="1525"/>
      <c r="Q334" s="1525"/>
      <c r="R334" s="1525"/>
      <c r="S334" s="1525"/>
      <c r="T334" s="1525"/>
      <c r="U334" s="1525"/>
    </row>
    <row r="335" spans="1:21" ht="12" customHeight="1">
      <c r="A335" s="1525"/>
      <c r="B335" s="1525"/>
      <c r="C335" s="2060"/>
      <c r="D335" s="2060"/>
      <c r="E335" s="2060"/>
      <c r="F335" s="1525"/>
      <c r="G335" s="1525"/>
      <c r="H335" s="1525"/>
      <c r="I335" s="1525"/>
      <c r="J335" s="1525"/>
      <c r="K335" s="1525"/>
      <c r="L335" s="1525"/>
      <c r="M335" s="1525"/>
      <c r="N335" s="1525"/>
      <c r="O335" s="1525"/>
      <c r="P335" s="1525"/>
      <c r="Q335" s="1525"/>
      <c r="R335" s="1525"/>
      <c r="S335" s="1525"/>
      <c r="T335" s="1525"/>
      <c r="U335" s="1525"/>
    </row>
    <row r="336" spans="1:21" ht="12" customHeight="1">
      <c r="A336" s="1525"/>
      <c r="B336" s="1525"/>
      <c r="C336" s="2045" t="s">
        <v>1049</v>
      </c>
      <c r="D336" s="2060"/>
      <c r="E336" s="1525"/>
      <c r="F336" s="1525"/>
      <c r="G336" s="1525"/>
      <c r="H336" s="1525"/>
      <c r="I336" s="1525"/>
      <c r="J336" s="1525"/>
      <c r="K336" s="1525"/>
      <c r="L336" s="1525"/>
      <c r="M336" s="1525"/>
      <c r="N336" s="1525"/>
      <c r="O336" s="1525"/>
      <c r="P336" s="1525"/>
      <c r="Q336" s="1525"/>
      <c r="R336" s="1525"/>
      <c r="S336" s="1525"/>
      <c r="T336" s="1525"/>
      <c r="U336" s="1525"/>
    </row>
    <row r="337" spans="3:5" ht="12" customHeight="1">
      <c r="C337" s="2209">
        <v>944095156</v>
      </c>
      <c r="D337" s="2060"/>
      <c r="E337" s="1525"/>
    </row>
    <row r="338" spans="3:5" ht="12" customHeight="1">
      <c r="C338" s="1530"/>
      <c r="D338" s="2060"/>
      <c r="E338" s="1525"/>
    </row>
    <row r="339" spans="3:5" ht="12" customHeight="1">
      <c r="C339" s="1029" t="s">
        <v>1050</v>
      </c>
      <c r="D339" s="2060"/>
      <c r="E339" s="1525"/>
    </row>
    <row r="340" spans="3:5" ht="12" customHeight="1">
      <c r="C340" s="2209" t="s">
        <v>951</v>
      </c>
      <c r="D340" s="2060"/>
      <c r="E340" s="2060"/>
    </row>
    <row r="341" spans="3:5" ht="12" customHeight="1">
      <c r="C341" s="2209" t="s">
        <v>1051</v>
      </c>
      <c r="D341" s="2060"/>
      <c r="E341" s="2060"/>
    </row>
    <row r="343" spans="3:5" ht="12" customHeight="1">
      <c r="C343" s="1029" t="s">
        <v>1052</v>
      </c>
      <c r="D343" s="1525"/>
      <c r="E343" s="1525"/>
    </row>
    <row r="344" spans="3:5" ht="12" customHeight="1">
      <c r="C344" s="2210">
        <f>COUNTA(C340:C341)</f>
        <v>2</v>
      </c>
      <c r="D344" s="1525"/>
      <c r="E344" s="1525"/>
    </row>
    <row r="345" spans="3:5" ht="12" customHeight="1">
      <c r="C345" s="1530"/>
      <c r="D345" s="1525"/>
      <c r="E345" s="1525"/>
    </row>
    <row r="346" spans="3:5" ht="12" customHeight="1">
      <c r="C346" s="1995" t="s">
        <v>1053</v>
      </c>
      <c r="D346" s="1525"/>
      <c r="E346" s="1525"/>
    </row>
    <row r="347" spans="3:5" ht="12" customHeight="1">
      <c r="C347" s="2210">
        <f>IF(LEFT(PFIInputsDD,4)="FULL",1,0)</f>
        <v>0</v>
      </c>
      <c r="D347" s="1525"/>
      <c r="E347" s="1525"/>
    </row>
    <row r="349" spans="3:5" ht="12" customHeight="1">
      <c r="C349" s="1995" t="s">
        <v>1054</v>
      </c>
      <c r="D349" s="1525"/>
      <c r="E349" s="1525"/>
    </row>
    <row r="350" spans="3:5" ht="12" customHeight="1">
      <c r="C350" s="2210">
        <f>COUNTIF(G24:Q24,"&gt;0")</f>
        <v>8</v>
      </c>
      <c r="D350" s="1525"/>
      <c r="E350" s="1525"/>
    </row>
  </sheetData>
  <mergeCells count="1">
    <mergeCell ref="C334:E334"/>
  </mergeCells>
  <conditionalFormatting sqref="R306">
    <cfRule type="expression" dxfId="390" priority="208">
      <formula>StubMonths=12</formula>
    </cfRule>
  </conditionalFormatting>
  <conditionalFormatting sqref="G70 I70:L70 N70:Q70">
    <cfRule type="cellIs" dxfId="389" priority="154" operator="greaterThan">
      <formula>0</formula>
    </cfRule>
    <cfRule type="cellIs" dxfId="388" priority="155" operator="lessThan">
      <formula>0</formula>
    </cfRule>
  </conditionalFormatting>
  <conditionalFormatting sqref="G24 I24:L24 N24:Q24">
    <cfRule type="expression" dxfId="387" priority="130">
      <formula>StubMonths=12</formula>
    </cfRule>
  </conditionalFormatting>
  <conditionalFormatting sqref="B1:B6 B44:B47 B20:B21 B23:B42 B117 B122 B182:B184 B280:B282 B251:B253 B217:B219 B248 B187 B100:B105 B284:B322 B107:B113 B147:B157 B49:B97 B255 B221:B233">
    <cfRule type="expression" dxfId="386" priority="127">
      <formula>AND(MasterCheck&gt;0,RedAlertY=TRUE)</formula>
    </cfRule>
  </conditionalFormatting>
  <conditionalFormatting sqref="H38">
    <cfRule type="expression" dxfId="385" priority="90">
      <formula>StubMonths=12</formula>
    </cfRule>
  </conditionalFormatting>
  <conditionalFormatting sqref="G38 I38:L38 N38:Q38">
    <cfRule type="expression" dxfId="384" priority="111">
      <formula>StubMonths=12</formula>
    </cfRule>
  </conditionalFormatting>
  <conditionalFormatting sqref="S73">
    <cfRule type="expression" dxfId="383" priority="109">
      <formula>StubMonths=12</formula>
    </cfRule>
  </conditionalFormatting>
  <conditionalFormatting sqref="H70">
    <cfRule type="cellIs" dxfId="382" priority="93" operator="greaterThan">
      <formula>0</formula>
    </cfRule>
    <cfRule type="cellIs" dxfId="381" priority="94" operator="lessThan">
      <formula>0</formula>
    </cfRule>
  </conditionalFormatting>
  <conditionalFormatting sqref="H24:Q24">
    <cfRule type="expression" dxfId="380" priority="92">
      <formula>StubMonths=12</formula>
    </cfRule>
  </conditionalFormatting>
  <conditionalFormatting sqref="M70">
    <cfRule type="cellIs" dxfId="379" priority="87" operator="greaterThan">
      <formula>0</formula>
    </cfRule>
    <cfRule type="cellIs" dxfId="378" priority="88" operator="lessThan">
      <formula>0</formula>
    </cfRule>
  </conditionalFormatting>
  <conditionalFormatting sqref="M24">
    <cfRule type="expression" dxfId="377" priority="86">
      <formula>StubMonths=12</formula>
    </cfRule>
  </conditionalFormatting>
  <conditionalFormatting sqref="M38">
    <cfRule type="expression" dxfId="376" priority="84">
      <formula>StubMonths=12</formula>
    </cfRule>
  </conditionalFormatting>
  <conditionalFormatting sqref="S80">
    <cfRule type="expression" dxfId="375" priority="83">
      <formula>StubMonths=12</formula>
    </cfRule>
  </conditionalFormatting>
  <conditionalFormatting sqref="S91">
    <cfRule type="expression" dxfId="374" priority="80">
      <formula>StubMonths=12</formula>
    </cfRule>
  </conditionalFormatting>
  <conditionalFormatting sqref="S296">
    <cfRule type="expression" dxfId="373" priority="77">
      <formula>StubMonths=12</formula>
    </cfRule>
  </conditionalFormatting>
  <conditionalFormatting sqref="B43">
    <cfRule type="expression" dxfId="372" priority="75">
      <formula>AND(MasterCheck&gt;0,RedAlertY=TRUE)</formula>
    </cfRule>
  </conditionalFormatting>
  <conditionalFormatting sqref="B48">
    <cfRule type="expression" dxfId="371" priority="73">
      <formula>AND(MasterCheck&gt;0,RedAlertY=TRUE)</formula>
    </cfRule>
  </conditionalFormatting>
  <conditionalFormatting sqref="B98:B99">
    <cfRule type="expression" dxfId="370" priority="71">
      <formula>AND(MasterCheck&gt;0,RedAlertY=TRUE)</formula>
    </cfRule>
  </conditionalFormatting>
  <conditionalFormatting sqref="B114:B116">
    <cfRule type="expression" dxfId="369" priority="61">
      <formula>AND(MasterCheck&gt;0,RedAlertY=TRUE)</formula>
    </cfRule>
  </conditionalFormatting>
  <conditionalFormatting sqref="B118">
    <cfRule type="expression" dxfId="368" priority="60">
      <formula>AND(MasterCheck&gt;0,RedAlertY=TRUE)</formula>
    </cfRule>
  </conditionalFormatting>
  <conditionalFormatting sqref="B119:B121">
    <cfRule type="expression" dxfId="367" priority="59">
      <formula>AND(MasterCheck&gt;0,RedAlertY=TRUE)</formula>
    </cfRule>
  </conditionalFormatting>
  <conditionalFormatting sqref="B123:B127">
    <cfRule type="expression" dxfId="366" priority="56">
      <formula>AND(MasterCheck&gt;0,RedAlertY=TRUE)</formula>
    </cfRule>
  </conditionalFormatting>
  <conditionalFormatting sqref="B128:B132">
    <cfRule type="expression" dxfId="365" priority="55">
      <formula>AND(MasterCheck&gt;0,RedAlertY=TRUE)</formula>
    </cfRule>
  </conditionalFormatting>
  <conditionalFormatting sqref="B133:B137">
    <cfRule type="expression" dxfId="364" priority="54">
      <formula>AND(MasterCheck&gt;0,RedAlertY=TRUE)</formula>
    </cfRule>
  </conditionalFormatting>
  <conditionalFormatting sqref="B138:B142">
    <cfRule type="expression" dxfId="363" priority="53">
      <formula>AND(MasterCheck&gt;0,RedAlertY=TRUE)</formula>
    </cfRule>
  </conditionalFormatting>
  <conditionalFormatting sqref="B143:B146">
    <cfRule type="expression" dxfId="362" priority="52">
      <formula>AND(MasterCheck&gt;0,RedAlertY=TRUE)</formula>
    </cfRule>
  </conditionalFormatting>
  <conditionalFormatting sqref="B158:B162">
    <cfRule type="expression" dxfId="361" priority="51">
      <formula>AND(MasterCheck&gt;0,RedAlertY=TRUE)</formula>
    </cfRule>
  </conditionalFormatting>
  <conditionalFormatting sqref="B163:B167">
    <cfRule type="expression" dxfId="360" priority="50">
      <formula>AND(MasterCheck&gt;0,RedAlertY=TRUE)</formula>
    </cfRule>
  </conditionalFormatting>
  <conditionalFormatting sqref="B168:B172">
    <cfRule type="expression" dxfId="359" priority="49">
      <formula>AND(MasterCheck&gt;0,RedAlertY=TRUE)</formula>
    </cfRule>
  </conditionalFormatting>
  <conditionalFormatting sqref="B173:B177">
    <cfRule type="expression" dxfId="358" priority="48">
      <formula>AND(MasterCheck&gt;0,RedAlertY=TRUE)</formula>
    </cfRule>
  </conditionalFormatting>
  <conditionalFormatting sqref="B178:B181">
    <cfRule type="expression" dxfId="357" priority="47">
      <formula>AND(MasterCheck&gt;0,RedAlertY=TRUE)</formula>
    </cfRule>
  </conditionalFormatting>
  <conditionalFormatting sqref="B192">
    <cfRule type="expression" dxfId="356" priority="46">
      <formula>AND(MasterCheck&gt;0,RedAlertY=TRUE)</formula>
    </cfRule>
  </conditionalFormatting>
  <conditionalFormatting sqref="B188">
    <cfRule type="expression" dxfId="355" priority="45">
      <formula>AND(MasterCheck&gt;0,RedAlertY=TRUE)</formula>
    </cfRule>
  </conditionalFormatting>
  <conditionalFormatting sqref="B189:B191">
    <cfRule type="expression" dxfId="354" priority="44">
      <formula>AND(MasterCheck&gt;0,RedAlertY=TRUE)</formula>
    </cfRule>
  </conditionalFormatting>
  <conditionalFormatting sqref="B193:B197">
    <cfRule type="expression" dxfId="353" priority="43">
      <formula>AND(MasterCheck&gt;0,RedAlertY=TRUE)</formula>
    </cfRule>
  </conditionalFormatting>
  <conditionalFormatting sqref="B198:B202">
    <cfRule type="expression" dxfId="352" priority="42">
      <formula>AND(MasterCheck&gt;0,RedAlertY=TRUE)</formula>
    </cfRule>
  </conditionalFormatting>
  <conditionalFormatting sqref="B203:B207">
    <cfRule type="expression" dxfId="351" priority="41">
      <formula>AND(MasterCheck&gt;0,RedAlertY=TRUE)</formula>
    </cfRule>
  </conditionalFormatting>
  <conditionalFormatting sqref="B208:B212">
    <cfRule type="expression" dxfId="350" priority="40">
      <formula>AND(MasterCheck&gt;0,RedAlertY=TRUE)</formula>
    </cfRule>
  </conditionalFormatting>
  <conditionalFormatting sqref="B213:B216">
    <cfRule type="expression" dxfId="349" priority="39">
      <formula>AND(MasterCheck&gt;0,RedAlertY=TRUE)</formula>
    </cfRule>
  </conditionalFormatting>
  <conditionalFormatting sqref="B256:B260">
    <cfRule type="expression" dxfId="348" priority="37">
      <formula>AND(MasterCheck&gt;0,RedAlertY=TRUE)</formula>
    </cfRule>
  </conditionalFormatting>
  <conditionalFormatting sqref="B261:B265">
    <cfRule type="expression" dxfId="347" priority="36">
      <formula>AND(MasterCheck&gt;0,RedAlertY=TRUE)</formula>
    </cfRule>
  </conditionalFormatting>
  <conditionalFormatting sqref="B266:B270">
    <cfRule type="expression" dxfId="346" priority="35">
      <formula>AND(MasterCheck&gt;0,RedAlertY=TRUE)</formula>
    </cfRule>
  </conditionalFormatting>
  <conditionalFormatting sqref="B271:B275">
    <cfRule type="expression" dxfId="345" priority="34">
      <formula>AND(MasterCheck&gt;0,RedAlertY=TRUE)</formula>
    </cfRule>
  </conditionalFormatting>
  <conditionalFormatting sqref="B276:B279">
    <cfRule type="expression" dxfId="344" priority="33">
      <formula>AND(MasterCheck&gt;0,RedAlertY=TRUE)</formula>
    </cfRule>
  </conditionalFormatting>
  <conditionalFormatting sqref="B283">
    <cfRule type="expression" dxfId="343" priority="32">
      <formula>AND(MasterCheck&gt;0,RedAlertY=TRUE)</formula>
    </cfRule>
  </conditionalFormatting>
  <conditionalFormatting sqref="B249">
    <cfRule type="expression" dxfId="342" priority="31">
      <formula>AND(MasterCheck&gt;0,RedAlertY=TRUE)</formula>
    </cfRule>
  </conditionalFormatting>
  <conditionalFormatting sqref="C228:Q228">
    <cfRule type="expression" dxfId="341" priority="30">
      <formula>$D229="Y"</formula>
    </cfRule>
  </conditionalFormatting>
  <conditionalFormatting sqref="B234:B240">
    <cfRule type="expression" dxfId="340" priority="29">
      <formula>AND(MasterCheck&gt;0,RedAlertY=TRUE)</formula>
    </cfRule>
  </conditionalFormatting>
  <conditionalFormatting sqref="C235:Q235">
    <cfRule type="expression" dxfId="339" priority="28">
      <formula>$D236="Y"</formula>
    </cfRule>
  </conditionalFormatting>
  <conditionalFormatting sqref="B241:B247">
    <cfRule type="expression" dxfId="338" priority="25">
      <formula>AND(MasterCheck&gt;0,RedAlertY=TRUE)</formula>
    </cfRule>
  </conditionalFormatting>
  <conditionalFormatting sqref="C242:Q242">
    <cfRule type="expression" dxfId="337" priority="24">
      <formula>$D243="Y"</formula>
    </cfRule>
  </conditionalFormatting>
  <conditionalFormatting sqref="B185:B186">
    <cfRule type="expression" dxfId="336" priority="23">
      <formula>AND(MasterCheck&gt;0,RedAlertY=TRUE)</formula>
    </cfRule>
  </conditionalFormatting>
  <conditionalFormatting sqref="B106">
    <cfRule type="expression" dxfId="335" priority="22">
      <formula>AND(MasterCheck&gt;0,RedAlertY=TRUE)</formula>
    </cfRule>
  </conditionalFormatting>
  <conditionalFormatting sqref="E288:Q288">
    <cfRule type="cellIs" dxfId="334" priority="19" operator="equal">
      <formula>0</formula>
    </cfRule>
  </conditionalFormatting>
  <conditionalFormatting sqref="B220">
    <cfRule type="expression" dxfId="333" priority="18">
      <formula>AND(MasterCheck&gt;0,RedAlertY=TRUE)</formula>
    </cfRule>
  </conditionalFormatting>
  <conditionalFormatting sqref="B250">
    <cfRule type="expression" dxfId="332" priority="17">
      <formula>AND(MasterCheck&gt;0,RedAlertY=TRUE)</formula>
    </cfRule>
  </conditionalFormatting>
  <conditionalFormatting sqref="B254">
    <cfRule type="expression" dxfId="331" priority="16">
      <formula>AND(MasterCheck&gt;0,RedAlertY=TRUE)</formula>
    </cfRule>
  </conditionalFormatting>
  <conditionalFormatting sqref="D236">
    <cfRule type="expression" dxfId="330" priority="10">
      <formula>$E237="Y"</formula>
    </cfRule>
  </conditionalFormatting>
  <conditionalFormatting sqref="D243">
    <cfRule type="expression" dxfId="329" priority="8">
      <formula>$E244="Y"</formula>
    </cfRule>
  </conditionalFormatting>
  <conditionalFormatting sqref="E229">
    <cfRule type="expression" dxfId="328" priority="6">
      <formula>D229&lt;&gt;"Y"</formula>
    </cfRule>
  </conditionalFormatting>
  <conditionalFormatting sqref="E236">
    <cfRule type="expression" dxfId="327" priority="5">
      <formula>D236&lt;&gt;"Y"</formula>
    </cfRule>
  </conditionalFormatting>
  <conditionalFormatting sqref="E243">
    <cfRule type="expression" dxfId="326" priority="4">
      <formula>D243&lt;&gt;"Y"</formula>
    </cfRule>
  </conditionalFormatting>
  <conditionalFormatting sqref="E244">
    <cfRule type="expression" dxfId="325" priority="3">
      <formula>$D245="Y"</formula>
    </cfRule>
  </conditionalFormatting>
  <conditionalFormatting sqref="E237">
    <cfRule type="expression" dxfId="324" priority="2">
      <formula>$D238="Y"</formula>
    </cfRule>
  </conditionalFormatting>
  <conditionalFormatting sqref="E230">
    <cfRule type="expression" dxfId="323" priority="1">
      <formula>$D231="Y"</formula>
    </cfRule>
  </conditionalFormatting>
  <hyperlinks>
    <hyperlink ref="C75" location="DepreciationTabTopCorner" display="Capital expenditures"/>
  </hyperlinks>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321" min="2" max="17"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storicalBS">
    <tabColor rgb="FFFFFF00"/>
    <pageSetUpPr autoPageBreaks="0"/>
  </sheetPr>
  <dimension ref="A1:AL90"/>
  <sheetViews>
    <sheetView showGridLines="0" zoomScale="85" zoomScaleNormal="85" zoomScaleSheetLayoutView="80" workbookViewId="0"/>
  </sheetViews>
  <sheetFormatPr defaultColWidth="9.33203125" defaultRowHeight="12" customHeight="1"/>
  <cols>
    <col min="1" max="1" width="2.83203125" style="334" customWidth="1"/>
    <col min="2" max="2" width="3.83203125" style="285" customWidth="1"/>
    <col min="3" max="3" width="28.1640625" style="285" customWidth="1"/>
    <col min="4" max="4" width="6.83203125" style="334" customWidth="1"/>
    <col min="5" max="11" width="11.33203125" style="285" customWidth="1"/>
    <col min="12" max="12" width="2.83203125" style="1027" customWidth="1"/>
    <col min="13" max="13" width="11.33203125" style="285" customWidth="1"/>
    <col min="14" max="18" width="11.33203125" style="1525" customWidth="1"/>
    <col min="19" max="19" width="2.83203125" style="334" customWidth="1"/>
    <col min="20" max="20" width="16" style="334" customWidth="1"/>
    <col min="21" max="21" width="16.83203125" style="285" customWidth="1"/>
    <col min="22" max="22" width="11.33203125" style="285" customWidth="1"/>
    <col min="23" max="23" width="15.83203125" style="285" customWidth="1"/>
    <col min="24" max="24" width="11.33203125" style="334" customWidth="1"/>
    <col min="25" max="28" width="11.33203125" style="1525" customWidth="1"/>
    <col min="29" max="29" width="11.33203125" style="285" customWidth="1"/>
    <col min="30" max="30" width="31.33203125" style="285" bestFit="1" customWidth="1"/>
    <col min="31" max="31" width="31.1640625" style="285" customWidth="1"/>
    <col min="32" max="37" width="11.33203125" style="285" customWidth="1"/>
    <col min="38" max="16384" width="9.33203125" style="285"/>
  </cols>
  <sheetData>
    <row r="1" spans="1:38" ht="18" customHeight="1">
      <c r="A1" s="2060"/>
      <c r="B1" s="649">
        <f ca="1">SUMPRODUCT(--ISERROR($C$1:U70))+COUNTIF($C$1:U70,Fail)</f>
        <v>0</v>
      </c>
      <c r="C1" s="1372" t="str">
        <f>START!$C$1</f>
        <v>Client Name</v>
      </c>
      <c r="D1" s="838"/>
      <c r="E1" s="2060"/>
      <c r="F1" s="852"/>
      <c r="G1" s="852"/>
      <c r="H1" s="852"/>
      <c r="I1" s="852"/>
      <c r="J1" s="852"/>
      <c r="K1" s="852"/>
      <c r="L1" s="852"/>
      <c r="M1" s="1525"/>
      <c r="S1" s="1525"/>
      <c r="T1" s="1525"/>
      <c r="U1" s="398" t="s">
        <v>873</v>
      </c>
      <c r="V1" s="1510"/>
      <c r="W1" s="1525"/>
      <c r="X1" s="1525"/>
      <c r="AC1" s="1525"/>
      <c r="AD1" s="1525"/>
      <c r="AE1" s="1525"/>
      <c r="AF1" s="1525"/>
      <c r="AG1" s="1525"/>
      <c r="AH1" s="1525"/>
      <c r="AI1" s="1525"/>
      <c r="AJ1" s="1525"/>
      <c r="AK1" s="1525"/>
      <c r="AL1" s="1525"/>
    </row>
    <row r="2" spans="1:38" ht="18" customHeight="1">
      <c r="A2" s="1510"/>
      <c r="B2" s="1510"/>
      <c r="C2" s="1372" t="str">
        <f>START!$C$2</f>
        <v xml:space="preserve">Please enter project description in START worksheet cell G13 </v>
      </c>
      <c r="D2" s="839"/>
      <c r="E2" s="2060"/>
      <c r="F2" s="1526"/>
      <c r="G2" s="1526"/>
      <c r="H2" s="1526"/>
      <c r="I2" s="1526"/>
      <c r="J2" s="1526"/>
      <c r="K2" s="1526"/>
      <c r="L2" s="1526"/>
      <c r="M2" s="1525"/>
      <c r="S2" s="1525"/>
      <c r="T2" s="1525"/>
      <c r="U2" s="1525"/>
      <c r="V2" s="1510" t="s">
        <v>678</v>
      </c>
      <c r="W2" s="1525"/>
      <c r="X2" s="1525"/>
      <c r="AC2" s="1525"/>
      <c r="AD2" s="1525"/>
      <c r="AE2" s="1525"/>
      <c r="AF2" s="1525"/>
      <c r="AG2" s="1525"/>
      <c r="AH2" s="1525"/>
      <c r="AI2" s="1525"/>
      <c r="AJ2" s="1525"/>
      <c r="AK2" s="1525"/>
      <c r="AL2" s="1525"/>
    </row>
    <row r="3" spans="1:38" ht="18" customHeight="1">
      <c r="A3" s="1510"/>
      <c r="B3" s="1510"/>
      <c r="C3" s="839" t="s">
        <v>1055</v>
      </c>
      <c r="D3" s="840"/>
      <c r="E3" s="2060"/>
      <c r="F3" s="1526"/>
      <c r="G3" s="1526"/>
      <c r="H3" s="1525"/>
      <c r="I3" s="1525"/>
      <c r="J3" s="1526"/>
      <c r="K3" s="1526"/>
      <c r="L3" s="1526"/>
      <c r="M3" s="1526"/>
      <c r="N3" s="1526"/>
      <c r="O3" s="1526"/>
      <c r="P3" s="1526"/>
      <c r="Q3" s="1526"/>
      <c r="R3" s="1526"/>
      <c r="S3" s="1526"/>
      <c r="T3" s="1526"/>
      <c r="U3" s="1525"/>
      <c r="V3" s="1510" t="s">
        <v>678</v>
      </c>
      <c r="W3" s="1525"/>
      <c r="X3" s="1525"/>
      <c r="AC3" s="1525"/>
      <c r="AD3" s="1525"/>
      <c r="AE3" s="1525"/>
      <c r="AF3" s="1525"/>
      <c r="AG3" s="1525"/>
      <c r="AH3" s="1525"/>
      <c r="AI3" s="1525"/>
      <c r="AJ3" s="1525"/>
      <c r="AK3" s="1525"/>
      <c r="AL3" s="1525"/>
    </row>
    <row r="4" spans="1:38" s="1027" customFormat="1" ht="18" customHeight="1">
      <c r="A4" s="1510"/>
      <c r="B4" s="1510"/>
      <c r="C4" s="840" t="str">
        <f>ValDateHeading</f>
        <v>Estimation of value as of 28 February 2017</v>
      </c>
      <c r="D4" s="840"/>
      <c r="E4" s="2060"/>
      <c r="F4" s="1526"/>
      <c r="G4" s="1526"/>
      <c r="H4" s="1525"/>
      <c r="I4" s="1525"/>
      <c r="J4" s="1526"/>
      <c r="K4" s="1526"/>
      <c r="L4" s="1526"/>
      <c r="M4" s="1526"/>
      <c r="N4" s="1526"/>
      <c r="O4" s="1526"/>
      <c r="P4" s="1526"/>
      <c r="Q4" s="1526"/>
      <c r="R4" s="1526"/>
      <c r="S4" s="1526"/>
      <c r="T4" s="1526"/>
      <c r="U4" s="1525"/>
      <c r="V4" s="1510"/>
      <c r="W4" s="1525"/>
      <c r="X4" s="1525"/>
      <c r="Y4" s="1525"/>
      <c r="Z4" s="1525"/>
      <c r="AA4" s="1525"/>
      <c r="AB4" s="1525"/>
      <c r="AC4" s="1525"/>
      <c r="AD4" s="1525"/>
      <c r="AE4" s="1525"/>
      <c r="AF4" s="1525"/>
      <c r="AG4" s="1525"/>
      <c r="AH4" s="1525"/>
      <c r="AI4" s="1525"/>
      <c r="AJ4" s="1525"/>
      <c r="AK4" s="1525"/>
      <c r="AL4" s="1525"/>
    </row>
    <row r="5" spans="1:38" ht="18" customHeight="1">
      <c r="A5" s="1413" t="str">
        <f>IF(MasterCheck,"Please check the "&amp;'Error Check'!$G$8,"")</f>
        <v/>
      </c>
      <c r="B5" s="1510"/>
      <c r="C5" s="841"/>
      <c r="D5" s="366"/>
      <c r="E5" s="2060"/>
      <c r="F5" s="1526"/>
      <c r="G5" s="1526"/>
      <c r="H5" s="1525"/>
      <c r="I5" s="1525"/>
      <c r="J5" s="1526"/>
      <c r="K5" s="1526"/>
      <c r="L5" s="1526"/>
      <c r="M5" s="1526"/>
      <c r="N5" s="1526" t="s">
        <v>1056</v>
      </c>
      <c r="O5" s="1526"/>
      <c r="P5" s="1526"/>
      <c r="Q5" s="1526"/>
      <c r="R5" s="1526"/>
      <c r="S5" s="1526"/>
      <c r="T5" s="1526"/>
      <c r="U5" s="1525"/>
      <c r="V5" s="1510" t="s">
        <v>678</v>
      </c>
      <c r="W5" s="1525"/>
      <c r="X5" s="1525"/>
      <c r="AC5" s="1525"/>
      <c r="AD5" s="1525"/>
      <c r="AE5" s="1525"/>
      <c r="AF5" s="1525"/>
      <c r="AG5" s="1525"/>
      <c r="AH5" s="1525"/>
      <c r="AI5" s="1525"/>
      <c r="AJ5" s="1525"/>
      <c r="AK5" s="1525"/>
      <c r="AL5" s="1525"/>
    </row>
    <row r="6" spans="1:38" s="334" customFormat="1" ht="13.9">
      <c r="A6" s="1510"/>
      <c r="B6" s="1510"/>
      <c r="C6" s="842"/>
      <c r="D6" s="340"/>
      <c r="E6" s="1526"/>
      <c r="F6" s="1526"/>
      <c r="G6" s="1526"/>
      <c r="H6" s="1526"/>
      <c r="I6" s="1526"/>
      <c r="J6" s="1526"/>
      <c r="K6" s="341"/>
      <c r="L6" s="341"/>
      <c r="M6" s="1525"/>
      <c r="N6" s="1525"/>
      <c r="O6" s="1525"/>
      <c r="P6" s="1525"/>
      <c r="Q6" s="1525"/>
      <c r="R6" s="1525"/>
      <c r="S6" s="1525"/>
      <c r="T6" s="1525"/>
      <c r="U6" s="1525"/>
      <c r="V6" s="1510" t="s">
        <v>678</v>
      </c>
      <c r="W6" s="1525"/>
      <c r="X6" s="1525"/>
      <c r="Y6" s="1525"/>
      <c r="Z6" s="1525"/>
      <c r="AA6" s="1525"/>
      <c r="AB6" s="1525"/>
      <c r="AC6" s="2060"/>
      <c r="AD6" s="1578"/>
      <c r="AE6" s="30"/>
      <c r="AF6" s="2060"/>
      <c r="AG6" s="2060"/>
      <c r="AH6" s="2060"/>
      <c r="AI6" s="2060"/>
      <c r="AJ6" s="2060"/>
      <c r="AK6" s="2060"/>
      <c r="AL6" s="1525"/>
    </row>
    <row r="7" spans="1:38" ht="11.25" customHeight="1">
      <c r="A7" s="1510"/>
      <c r="B7" s="1510"/>
      <c r="C7" s="843"/>
      <c r="D7" s="342"/>
      <c r="E7" s="341"/>
      <c r="F7" s="341"/>
      <c r="G7" s="341"/>
      <c r="H7" s="341"/>
      <c r="I7" s="341"/>
      <c r="J7" s="341"/>
      <c r="K7" s="341"/>
      <c r="L7" s="341"/>
      <c r="M7" s="1529"/>
      <c r="N7" s="1529"/>
      <c r="O7" s="1529"/>
      <c r="P7" s="1529"/>
      <c r="Q7" s="1529"/>
      <c r="R7" s="1529"/>
      <c r="S7" s="1529"/>
      <c r="T7" s="1529"/>
      <c r="U7" s="1525"/>
      <c r="V7" s="1510" t="s">
        <v>678</v>
      </c>
      <c r="W7" s="1525"/>
      <c r="X7" s="1525"/>
      <c r="AB7" s="1525" t="s">
        <v>960</v>
      </c>
      <c r="AC7" s="1525"/>
      <c r="AD7" s="1525"/>
      <c r="AE7" s="332"/>
      <c r="AF7" s="1525"/>
      <c r="AG7" s="1525"/>
      <c r="AH7" s="1525"/>
      <c r="AI7" s="1525"/>
      <c r="AJ7" s="338" t="s">
        <v>704</v>
      </c>
      <c r="AK7" s="338" t="s">
        <v>780</v>
      </c>
      <c r="AL7" s="1525"/>
    </row>
    <row r="8" spans="1:38" s="286" customFormat="1" ht="13.9">
      <c r="A8" s="1510"/>
      <c r="B8" s="1510"/>
      <c r="C8" s="844"/>
      <c r="D8" s="720"/>
      <c r="E8" s="717"/>
      <c r="F8" s="716" t="str">
        <f>'INC STAT Hist Input'!F8</f>
        <v>For years ended March 31</v>
      </c>
      <c r="G8" s="716"/>
      <c r="H8" s="716"/>
      <c r="I8" s="716"/>
      <c r="J8" s="716"/>
      <c r="K8" s="717"/>
      <c r="L8" s="717"/>
      <c r="M8" s="1591" t="s">
        <v>1057</v>
      </c>
      <c r="N8" s="1591"/>
      <c r="O8" s="1591"/>
      <c r="P8" s="1591"/>
      <c r="Q8" s="1591"/>
      <c r="R8" s="1591"/>
      <c r="S8" s="717"/>
      <c r="T8" s="717"/>
      <c r="U8" s="1525"/>
      <c r="V8" s="1510" t="s">
        <v>678</v>
      </c>
      <c r="W8" s="1525"/>
      <c r="X8" s="1525"/>
      <c r="Y8" s="1525"/>
      <c r="Z8" s="1525"/>
      <c r="AA8" s="1525"/>
      <c r="AB8" s="1525"/>
      <c r="AC8" s="1525"/>
      <c r="AD8" s="1525"/>
      <c r="AE8" s="2060"/>
      <c r="AF8" s="1056">
        <f>AG8-1</f>
        <v>996</v>
      </c>
      <c r="AG8" s="1056">
        <f>AH8-1</f>
        <v>997</v>
      </c>
      <c r="AH8" s="1056">
        <f>AI8-1</f>
        <v>998</v>
      </c>
      <c r="AI8" s="1056">
        <f>AJ8-1</f>
        <v>999</v>
      </c>
      <c r="AJ8" s="1056">
        <v>1000</v>
      </c>
      <c r="AK8" s="1056">
        <v>2000</v>
      </c>
      <c r="AL8" s="1525"/>
    </row>
    <row r="9" spans="1:38" ht="12.75" customHeight="1">
      <c r="A9" s="1510"/>
      <c r="B9" s="1510"/>
      <c r="C9" s="718" t="str">
        <f>SubjCurrencyHeading</f>
        <v>(USD in Millions)</v>
      </c>
      <c r="D9" s="718"/>
      <c r="E9" s="721"/>
      <c r="F9" s="1653">
        <f>'INC STAT Hist Input'!F9</f>
        <v>40999</v>
      </c>
      <c r="G9" s="1653">
        <f>'INC STAT Hist Input'!G9</f>
        <v>41364</v>
      </c>
      <c r="H9" s="1653">
        <f>'INC STAT Hist Input'!H9</f>
        <v>41729</v>
      </c>
      <c r="I9" s="1653">
        <f>'INC STAT Hist Input'!I9</f>
        <v>42094</v>
      </c>
      <c r="J9" s="1653">
        <f>'INC STAT Hist Input'!J9</f>
        <v>42460</v>
      </c>
      <c r="K9" s="1652">
        <f>'INC STAT Hist Input'!K9</f>
        <v>42643</v>
      </c>
      <c r="L9" s="722"/>
      <c r="M9" s="1653">
        <f t="shared" ref="M9:R9" si="0">F9</f>
        <v>40999</v>
      </c>
      <c r="N9" s="1653">
        <f t="shared" si="0"/>
        <v>41364</v>
      </c>
      <c r="O9" s="1653">
        <f t="shared" si="0"/>
        <v>41729</v>
      </c>
      <c r="P9" s="1653">
        <f t="shared" si="0"/>
        <v>42094</v>
      </c>
      <c r="Q9" s="1653">
        <f t="shared" si="0"/>
        <v>42460</v>
      </c>
      <c r="R9" s="1652">
        <f t="shared" si="0"/>
        <v>42643</v>
      </c>
      <c r="S9" s="722"/>
      <c r="T9" s="723" t="s">
        <v>1058</v>
      </c>
      <c r="U9" s="1525"/>
      <c r="V9" s="1510" t="s">
        <v>678</v>
      </c>
      <c r="W9" s="1525"/>
      <c r="X9" s="1525"/>
      <c r="AC9" s="1525"/>
      <c r="AD9" s="1525"/>
      <c r="AE9" s="332"/>
      <c r="AF9" s="294">
        <f>'INC STAT Hist Input'!AF9</f>
        <v>0</v>
      </c>
      <c r="AG9" s="294">
        <f>'INC STAT Hist Input'!AG9</f>
        <v>0</v>
      </c>
      <c r="AH9" s="294">
        <f>'INC STAT Hist Input'!AH9</f>
        <v>0</v>
      </c>
      <c r="AI9" s="294">
        <f>'INC STAT Hist Input'!AI9</f>
        <v>0</v>
      </c>
      <c r="AJ9" s="294">
        <f>'INC STAT Hist Input'!AJ9</f>
        <v>0</v>
      </c>
      <c r="AK9" s="294">
        <f>'INC STAT Hist Input'!AL9</f>
        <v>0</v>
      </c>
      <c r="AL9" s="1525"/>
    </row>
    <row r="10" spans="1:38" s="286" customFormat="1" ht="13.9">
      <c r="A10" s="1510"/>
      <c r="B10" s="1510"/>
      <c r="C10" s="817" t="s">
        <v>101</v>
      </c>
      <c r="D10" s="512"/>
      <c r="E10" s="306"/>
      <c r="F10" s="307"/>
      <c r="G10" s="307"/>
      <c r="H10" s="308"/>
      <c r="I10" s="308"/>
      <c r="J10" s="308"/>
      <c r="K10" s="309"/>
      <c r="L10" s="309"/>
      <c r="M10" s="1534"/>
      <c r="N10" s="1534"/>
      <c r="O10" s="1534"/>
      <c r="P10" s="1534"/>
      <c r="Q10" s="1534"/>
      <c r="R10" s="1534"/>
      <c r="S10" s="1534"/>
      <c r="T10" s="1534"/>
      <c r="U10" s="1525"/>
      <c r="V10" s="1510" t="s">
        <v>678</v>
      </c>
      <c r="W10" s="1525"/>
      <c r="X10" s="1525"/>
      <c r="Y10" s="1525"/>
      <c r="Z10" s="1525"/>
      <c r="AA10" s="1525"/>
      <c r="AB10" s="1525"/>
      <c r="AC10" s="362"/>
      <c r="AD10" s="1507" t="s">
        <v>891</v>
      </c>
      <c r="AE10" s="817" t="s">
        <v>101</v>
      </c>
      <c r="AF10" s="1525"/>
      <c r="AG10" s="1525"/>
      <c r="AH10" s="1525"/>
      <c r="AI10" s="1525"/>
      <c r="AJ10" s="1525"/>
      <c r="AK10" s="1525"/>
      <c r="AL10" s="1525"/>
    </row>
    <row r="11" spans="1:38" s="286" customFormat="1" ht="13.9">
      <c r="A11" s="1510" t="str">
        <f>IF(OR(MAX(F11:K11)&gt;0.01,MIN(,F11:K11)&lt;-0.01),"","n")</f>
        <v>n</v>
      </c>
      <c r="B11" s="1510"/>
      <c r="C11" s="1539" t="s">
        <v>975</v>
      </c>
      <c r="D11" s="1531"/>
      <c r="E11" s="218"/>
      <c r="F11" s="824">
        <f t="shared" ref="F11:F18" si="1">AF11</f>
        <v>0</v>
      </c>
      <c r="G11" s="824">
        <f t="shared" ref="G11:K18" si="2">AG11</f>
        <v>0</v>
      </c>
      <c r="H11" s="824">
        <f t="shared" si="2"/>
        <v>0</v>
      </c>
      <c r="I11" s="824">
        <f t="shared" si="2"/>
        <v>0</v>
      </c>
      <c r="J11" s="824">
        <f t="shared" si="2"/>
        <v>0</v>
      </c>
      <c r="K11" s="824">
        <f t="shared" si="2"/>
        <v>0</v>
      </c>
      <c r="L11" s="370"/>
      <c r="M11" s="1628">
        <f t="shared" ref="M11:M28" si="3">IFERROR(F11/F$28,0)</f>
        <v>0</v>
      </c>
      <c r="N11" s="1628">
        <f t="shared" ref="N11:N28" si="4">IFERROR(G11/G$28,0)</f>
        <v>0</v>
      </c>
      <c r="O11" s="1628">
        <f t="shared" ref="O11:O28" si="5">IFERROR(H11/H$28,0)</f>
        <v>0</v>
      </c>
      <c r="P11" s="1628">
        <f t="shared" ref="P11:P28" si="6">IFERROR(I11/I$28,0)</f>
        <v>0</v>
      </c>
      <c r="Q11" s="1628">
        <f t="shared" ref="Q11:Q28" si="7">IFERROR(J11/J$28,0)</f>
        <v>0</v>
      </c>
      <c r="R11" s="1628">
        <f t="shared" ref="R11:R28" si="8">IFERROR(K11/K$28,0)</f>
        <v>0</v>
      </c>
      <c r="S11" s="370"/>
      <c r="T11" s="370"/>
      <c r="U11" s="1525"/>
      <c r="V11" s="1510" t="s">
        <v>678</v>
      </c>
      <c r="W11" s="1525"/>
      <c r="X11" s="1525"/>
      <c r="Y11" s="1525"/>
      <c r="Z11" s="1525"/>
      <c r="AA11" s="1525"/>
      <c r="AB11" s="1525"/>
      <c r="AC11" s="362">
        <f>ROW('BAL SHEET Hist Input'!C11)</f>
        <v>11</v>
      </c>
      <c r="AD11" s="311" t="s">
        <v>786</v>
      </c>
      <c r="AE11" s="1539" t="s">
        <v>975</v>
      </c>
      <c r="AF11" s="1525">
        <f>IFERROR(IF(Public,_xll.ciqfunctions.udf.CIQ(SubjCoID,$AD11,AF$8,Valuation_date,ReportType,DataMode,SubjOutputCurrencyCode,FXMode)*Scale,0),0)</f>
        <v>0</v>
      </c>
      <c r="AG11" s="1525">
        <f>IFERROR(IF(Public,_xll.ciqfunctions.udf.CIQ(SubjCoID,$AD11,AG$8,Valuation_date,ReportType,DataMode,SubjOutputCurrencyCode,FXMode)*Scale,0),0)</f>
        <v>0</v>
      </c>
      <c r="AH11" s="1525">
        <f>IFERROR(IF(Public,_xll.ciqfunctions.udf.CIQ(SubjCoID,$AD11,AH$8,Valuation_date,ReportType,DataMode,SubjOutputCurrencyCode,FXMode)*Scale,0),0)</f>
        <v>0</v>
      </c>
      <c r="AI11" s="1525">
        <f>IFERROR(IF(Public,_xll.ciqfunctions.udf.CIQ(SubjCoID,$AD11,AI$8,Valuation_date,ReportType,DataMode,SubjOutputCurrencyCode,FXMode)*Scale,0),0)</f>
        <v>0</v>
      </c>
      <c r="AJ11" s="1525">
        <f>IFERROR(IF(Public,_xll.ciqfunctions.udf.CIQ(SubjCoID,$AD11,AJ$8,Valuation_date,ReportType,DataMode,SubjOutputCurrencyCode,FXMode)*Scale,0),0)</f>
        <v>0</v>
      </c>
      <c r="AK11" s="1525">
        <f>IFERROR(IF(Public,IF($AJ$9=$AK$9,AJ11,_xll.ciqfunctions.udf.CIQ(SubjCoID,$AD11,AK$8,Valuation_date,ReportType,DataMode,SubjOutputCurrencyCode,FXMode)*Scale),0),0)</f>
        <v>0</v>
      </c>
      <c r="AL11" s="1525"/>
    </row>
    <row r="12" spans="1:38" s="312" customFormat="1" ht="13.9">
      <c r="A12" s="1510" t="str">
        <f t="shared" ref="A12:A28" si="9">IF(OR(MAX(F12:K12)&gt;0.01,MIN(,F12:K12)&lt;-0.01),"","n")</f>
        <v>n</v>
      </c>
      <c r="B12" s="1510"/>
      <c r="C12" s="818" t="s">
        <v>819</v>
      </c>
      <c r="D12" s="304"/>
      <c r="E12" s="218"/>
      <c r="F12" s="824">
        <f t="shared" si="1"/>
        <v>0</v>
      </c>
      <c r="G12" s="824">
        <f t="shared" si="2"/>
        <v>0</v>
      </c>
      <c r="H12" s="824">
        <f t="shared" si="2"/>
        <v>0</v>
      </c>
      <c r="I12" s="824">
        <f t="shared" si="2"/>
        <v>0</v>
      </c>
      <c r="J12" s="824">
        <f t="shared" si="2"/>
        <v>0</v>
      </c>
      <c r="K12" s="824">
        <f t="shared" si="2"/>
        <v>0</v>
      </c>
      <c r="L12" s="370"/>
      <c r="M12" s="1628">
        <f t="shared" si="3"/>
        <v>0</v>
      </c>
      <c r="N12" s="1628">
        <f t="shared" si="4"/>
        <v>0</v>
      </c>
      <c r="O12" s="1628">
        <f t="shared" si="5"/>
        <v>0</v>
      </c>
      <c r="P12" s="1628">
        <f t="shared" si="6"/>
        <v>0</v>
      </c>
      <c r="Q12" s="1628">
        <f t="shared" si="7"/>
        <v>0</v>
      </c>
      <c r="R12" s="1628">
        <f t="shared" si="8"/>
        <v>0</v>
      </c>
      <c r="S12" s="370"/>
      <c r="T12" s="370"/>
      <c r="V12" s="1510" t="s">
        <v>678</v>
      </c>
      <c r="AC12" s="362">
        <f>ROW('BAL SHEET Hist Input'!C12)</f>
        <v>12</v>
      </c>
      <c r="AD12" s="1513" t="s">
        <v>820</v>
      </c>
      <c r="AE12" s="818" t="s">
        <v>819</v>
      </c>
      <c r="AF12" s="1525">
        <f>IFERROR(IF(Public,_xll.ciqfunctions.udf.CIQ(SubjCoID,$AD12,AF$8,Valuation_date,ReportType,DataMode,SubjOutputCurrencyCode,FXMode)*Scale,0),0)</f>
        <v>0</v>
      </c>
      <c r="AG12" s="1525">
        <f>IFERROR(IF(Public,_xll.ciqfunctions.udf.CIQ(SubjCoID,$AD12,AG$8,Valuation_date,ReportType,DataMode,SubjOutputCurrencyCode,FXMode)*Scale,0),0)</f>
        <v>0</v>
      </c>
      <c r="AH12" s="1525">
        <f>IFERROR(IF(Public,_xll.ciqfunctions.udf.CIQ(SubjCoID,$AD12,AH$8,Valuation_date,ReportType,DataMode,SubjOutputCurrencyCode,FXMode)*Scale,0),0)</f>
        <v>0</v>
      </c>
      <c r="AI12" s="1525">
        <f>IFERROR(IF(Public,_xll.ciqfunctions.udf.CIQ(SubjCoID,$AD12,AI$8,Valuation_date,ReportType,DataMode,SubjOutputCurrencyCode,FXMode)*Scale,0),0)</f>
        <v>0</v>
      </c>
      <c r="AJ12" s="1525">
        <f>IFERROR(IF(Public,_xll.ciqfunctions.udf.CIQ(SubjCoID,$AD12,AJ$8,Valuation_date,ReportType,DataMode,SubjOutputCurrencyCode,FXMode)*Scale,0),0)</f>
        <v>0</v>
      </c>
      <c r="AK12" s="1525">
        <f>IFERROR(IF(Public,IF($AJ$9=$AK$9,AJ12,_xll.ciqfunctions.udf.CIQ(SubjCoID,$AD12,AK$8,Valuation_date,ReportType,DataMode,SubjOutputCurrencyCode,FXMode)*Scale),0),0)</f>
        <v>0</v>
      </c>
      <c r="AL12" s="1525"/>
    </row>
    <row r="13" spans="1:38" s="286" customFormat="1" ht="13.9">
      <c r="A13" s="1510" t="str">
        <f t="shared" si="9"/>
        <v>n</v>
      </c>
      <c r="B13" s="1510"/>
      <c r="C13" s="818" t="s">
        <v>306</v>
      </c>
      <c r="D13" s="304"/>
      <c r="E13" s="218"/>
      <c r="F13" s="824">
        <f t="shared" si="1"/>
        <v>0</v>
      </c>
      <c r="G13" s="824">
        <f t="shared" si="2"/>
        <v>0</v>
      </c>
      <c r="H13" s="824">
        <f t="shared" si="2"/>
        <v>0</v>
      </c>
      <c r="I13" s="824">
        <f t="shared" si="2"/>
        <v>0</v>
      </c>
      <c r="J13" s="824">
        <f t="shared" si="2"/>
        <v>0</v>
      </c>
      <c r="K13" s="824">
        <f t="shared" si="2"/>
        <v>0</v>
      </c>
      <c r="L13" s="370"/>
      <c r="M13" s="1628">
        <f t="shared" si="3"/>
        <v>0</v>
      </c>
      <c r="N13" s="1628">
        <f t="shared" si="4"/>
        <v>0</v>
      </c>
      <c r="O13" s="1628">
        <f t="shared" si="5"/>
        <v>0</v>
      </c>
      <c r="P13" s="1628">
        <f t="shared" si="6"/>
        <v>0</v>
      </c>
      <c r="Q13" s="1628">
        <f t="shared" si="7"/>
        <v>0</v>
      </c>
      <c r="R13" s="1628">
        <f t="shared" si="8"/>
        <v>0</v>
      </c>
      <c r="S13" s="370"/>
      <c r="T13" s="370"/>
      <c r="U13" s="1525"/>
      <c r="V13" s="1510" t="s">
        <v>678</v>
      </c>
      <c r="W13" s="1525"/>
      <c r="X13" s="1525"/>
      <c r="Y13" s="1525"/>
      <c r="Z13" s="1525"/>
      <c r="AA13" s="1525"/>
      <c r="AB13" s="1525"/>
      <c r="AC13" s="362">
        <f>ROW('BAL SHEET Hist Input'!C13)</f>
        <v>13</v>
      </c>
      <c r="AD13" s="1513" t="s">
        <v>821</v>
      </c>
      <c r="AE13" s="818" t="s">
        <v>306</v>
      </c>
      <c r="AF13" s="1525">
        <f>IFERROR(IF(Public,_xll.ciqfunctions.udf.CIQ(SubjCoID,$AD13,AF$8,Valuation_date,ReportType,DataMode,SubjOutputCurrencyCode,FXMode)*Scale,0),0)</f>
        <v>0</v>
      </c>
      <c r="AG13" s="1525">
        <f>IFERROR(IF(Public,_xll.ciqfunctions.udf.CIQ(SubjCoID,$AD13,AG$8,Valuation_date,ReportType,DataMode,SubjOutputCurrencyCode,FXMode)*Scale,0),0)</f>
        <v>0</v>
      </c>
      <c r="AH13" s="1525">
        <f>IFERROR(IF(Public,_xll.ciqfunctions.udf.CIQ(SubjCoID,$AD13,AH$8,Valuation_date,ReportType,DataMode,SubjOutputCurrencyCode,FXMode)*Scale,0),0)</f>
        <v>0</v>
      </c>
      <c r="AI13" s="1525">
        <f>IFERROR(IF(Public,_xll.ciqfunctions.udf.CIQ(SubjCoID,$AD13,AI$8,Valuation_date,ReportType,DataMode,SubjOutputCurrencyCode,FXMode)*Scale,0),0)</f>
        <v>0</v>
      </c>
      <c r="AJ13" s="1525">
        <f>IFERROR(IF(Public,_xll.ciqfunctions.udf.CIQ(SubjCoID,$AD13,AJ$8,Valuation_date,ReportType,DataMode,SubjOutputCurrencyCode,FXMode)*Scale,0),0)</f>
        <v>0</v>
      </c>
      <c r="AK13" s="1525">
        <f>IFERROR(IF(Public,IF($AJ$9=$AK$9,AJ13,_xll.ciqfunctions.udf.CIQ(SubjCoID,$AD13,AK$8,Valuation_date,ReportType,DataMode,SubjOutputCurrencyCode,FXMode)*Scale),0),0)</f>
        <v>0</v>
      </c>
      <c r="AL13" s="1525"/>
    </row>
    <row r="14" spans="1:38" s="286" customFormat="1" ht="13.9">
      <c r="A14" s="1510" t="str">
        <f t="shared" si="9"/>
        <v>n</v>
      </c>
      <c r="B14" s="1510"/>
      <c r="C14" s="1539" t="s">
        <v>1059</v>
      </c>
      <c r="D14" s="1531"/>
      <c r="E14" s="218"/>
      <c r="F14" s="824">
        <f t="shared" si="1"/>
        <v>0</v>
      </c>
      <c r="G14" s="824">
        <f t="shared" si="2"/>
        <v>0</v>
      </c>
      <c r="H14" s="824">
        <f t="shared" si="2"/>
        <v>0</v>
      </c>
      <c r="I14" s="824">
        <f t="shared" si="2"/>
        <v>0</v>
      </c>
      <c r="J14" s="824">
        <f t="shared" si="2"/>
        <v>0</v>
      </c>
      <c r="K14" s="824">
        <f t="shared" si="2"/>
        <v>0</v>
      </c>
      <c r="L14" s="370"/>
      <c r="M14" s="1628">
        <f t="shared" si="3"/>
        <v>0</v>
      </c>
      <c r="N14" s="1628">
        <f t="shared" si="4"/>
        <v>0</v>
      </c>
      <c r="O14" s="1628">
        <f t="shared" si="5"/>
        <v>0</v>
      </c>
      <c r="P14" s="1628">
        <f t="shared" si="6"/>
        <v>0</v>
      </c>
      <c r="Q14" s="1628">
        <f t="shared" si="7"/>
        <v>0</v>
      </c>
      <c r="R14" s="1628">
        <f t="shared" si="8"/>
        <v>0</v>
      </c>
      <c r="S14" s="2060"/>
      <c r="T14" s="2060"/>
      <c r="U14" s="1525"/>
      <c r="V14" s="1510" t="s">
        <v>678</v>
      </c>
      <c r="W14" s="1525"/>
      <c r="X14" s="1525"/>
      <c r="Y14" s="1525"/>
      <c r="Z14" s="1525"/>
      <c r="AA14" s="1525"/>
      <c r="AB14" s="1525"/>
      <c r="AC14" s="362">
        <f>ROW('BAL SHEET Hist Input'!C14)</f>
        <v>14</v>
      </c>
      <c r="AD14" s="1513"/>
      <c r="AE14" s="1539" t="s">
        <v>1059</v>
      </c>
      <c r="AF14" s="971">
        <f t="shared" ref="AF14:AK14" si="10">AF19-SUM(AF11:AF13)</f>
        <v>0</v>
      </c>
      <c r="AG14" s="971">
        <f t="shared" si="10"/>
        <v>0</v>
      </c>
      <c r="AH14" s="971">
        <f t="shared" si="10"/>
        <v>0</v>
      </c>
      <c r="AI14" s="971">
        <f t="shared" si="10"/>
        <v>0</v>
      </c>
      <c r="AJ14" s="971">
        <f t="shared" si="10"/>
        <v>0</v>
      </c>
      <c r="AK14" s="971">
        <f t="shared" si="10"/>
        <v>0</v>
      </c>
      <c r="AL14" s="1525"/>
    </row>
    <row r="15" spans="1:38" s="334" customFormat="1" ht="13.9">
      <c r="A15" s="1510" t="str">
        <f t="shared" si="9"/>
        <v>n</v>
      </c>
      <c r="B15" s="1510"/>
      <c r="C15" s="1539" t="s">
        <v>1059</v>
      </c>
      <c r="D15" s="1531"/>
      <c r="E15" s="218"/>
      <c r="F15" s="824">
        <f t="shared" si="1"/>
        <v>0</v>
      </c>
      <c r="G15" s="824">
        <f t="shared" si="2"/>
        <v>0</v>
      </c>
      <c r="H15" s="824">
        <f t="shared" si="2"/>
        <v>0</v>
      </c>
      <c r="I15" s="824">
        <f t="shared" si="2"/>
        <v>0</v>
      </c>
      <c r="J15" s="824">
        <f t="shared" si="2"/>
        <v>0</v>
      </c>
      <c r="K15" s="824">
        <f t="shared" si="2"/>
        <v>0</v>
      </c>
      <c r="L15" s="370"/>
      <c r="M15" s="1628">
        <f t="shared" si="3"/>
        <v>0</v>
      </c>
      <c r="N15" s="1628">
        <f t="shared" si="4"/>
        <v>0</v>
      </c>
      <c r="O15" s="1628">
        <f t="shared" si="5"/>
        <v>0</v>
      </c>
      <c r="P15" s="1628">
        <f t="shared" si="6"/>
        <v>0</v>
      </c>
      <c r="Q15" s="1628">
        <f t="shared" si="7"/>
        <v>0</v>
      </c>
      <c r="R15" s="1628">
        <f t="shared" si="8"/>
        <v>0</v>
      </c>
      <c r="S15" s="2060"/>
      <c r="T15" s="2060"/>
      <c r="U15" s="1525"/>
      <c r="V15" s="1510"/>
      <c r="W15" s="1525"/>
      <c r="X15" s="1525"/>
      <c r="Y15" s="1525"/>
      <c r="Z15" s="1525"/>
      <c r="AA15" s="1525"/>
      <c r="AB15" s="1525"/>
      <c r="AC15" s="362">
        <f>ROW('BAL SHEET Hist Input'!C15)</f>
        <v>15</v>
      </c>
      <c r="AD15" s="1513"/>
      <c r="AE15" s="2060"/>
      <c r="AF15" s="2060"/>
      <c r="AG15" s="2060"/>
      <c r="AH15" s="2060"/>
      <c r="AI15" s="2060"/>
      <c r="AJ15" s="2060"/>
      <c r="AK15" s="2060"/>
      <c r="AL15" s="1525"/>
    </row>
    <row r="16" spans="1:38" s="334" customFormat="1" ht="13.9">
      <c r="A16" s="1510" t="str">
        <f t="shared" si="9"/>
        <v>n</v>
      </c>
      <c r="B16" s="1510"/>
      <c r="C16" s="1539" t="s">
        <v>1059</v>
      </c>
      <c r="D16" s="1531"/>
      <c r="E16" s="218"/>
      <c r="F16" s="824">
        <f t="shared" si="1"/>
        <v>0</v>
      </c>
      <c r="G16" s="824">
        <f t="shared" si="2"/>
        <v>0</v>
      </c>
      <c r="H16" s="824">
        <f t="shared" si="2"/>
        <v>0</v>
      </c>
      <c r="I16" s="824">
        <f t="shared" si="2"/>
        <v>0</v>
      </c>
      <c r="J16" s="824">
        <f t="shared" si="2"/>
        <v>0</v>
      </c>
      <c r="K16" s="824">
        <f t="shared" si="2"/>
        <v>0</v>
      </c>
      <c r="L16" s="370"/>
      <c r="M16" s="1628">
        <f t="shared" si="3"/>
        <v>0</v>
      </c>
      <c r="N16" s="1628">
        <f t="shared" si="4"/>
        <v>0</v>
      </c>
      <c r="O16" s="1628">
        <f t="shared" si="5"/>
        <v>0</v>
      </c>
      <c r="P16" s="1628">
        <f t="shared" si="6"/>
        <v>0</v>
      </c>
      <c r="Q16" s="1628">
        <f t="shared" si="7"/>
        <v>0</v>
      </c>
      <c r="R16" s="1628">
        <f t="shared" si="8"/>
        <v>0</v>
      </c>
      <c r="S16" s="2060"/>
      <c r="T16" s="2060"/>
      <c r="U16" s="1525"/>
      <c r="V16" s="1510"/>
      <c r="W16" s="1525"/>
      <c r="X16" s="1525"/>
      <c r="Y16" s="1525"/>
      <c r="Z16" s="1525"/>
      <c r="AA16" s="1525"/>
      <c r="AB16" s="1525"/>
      <c r="AC16" s="362">
        <f>ROW('BAL SHEET Hist Input'!C16)</f>
        <v>16</v>
      </c>
      <c r="AD16" s="1513"/>
      <c r="AE16" s="2060"/>
      <c r="AF16" s="2060"/>
      <c r="AG16" s="2060"/>
      <c r="AH16" s="2060"/>
      <c r="AI16" s="2060"/>
      <c r="AJ16" s="2060"/>
      <c r="AK16" s="2060"/>
      <c r="AL16" s="1525"/>
    </row>
    <row r="17" spans="1:38" s="334" customFormat="1" ht="13.9">
      <c r="A17" s="1510" t="str">
        <f t="shared" si="9"/>
        <v>n</v>
      </c>
      <c r="B17" s="1510"/>
      <c r="C17" s="1539" t="s">
        <v>1059</v>
      </c>
      <c r="D17" s="1531"/>
      <c r="E17" s="218"/>
      <c r="F17" s="824">
        <f t="shared" si="1"/>
        <v>0</v>
      </c>
      <c r="G17" s="824">
        <f t="shared" si="2"/>
        <v>0</v>
      </c>
      <c r="H17" s="824">
        <f t="shared" si="2"/>
        <v>0</v>
      </c>
      <c r="I17" s="824">
        <f t="shared" si="2"/>
        <v>0</v>
      </c>
      <c r="J17" s="824">
        <f t="shared" si="2"/>
        <v>0</v>
      </c>
      <c r="K17" s="824">
        <f t="shared" si="2"/>
        <v>0</v>
      </c>
      <c r="L17" s="370"/>
      <c r="M17" s="1628">
        <f t="shared" si="3"/>
        <v>0</v>
      </c>
      <c r="N17" s="1628">
        <f t="shared" si="4"/>
        <v>0</v>
      </c>
      <c r="O17" s="1628">
        <f t="shared" si="5"/>
        <v>0</v>
      </c>
      <c r="P17" s="1628">
        <f t="shared" si="6"/>
        <v>0</v>
      </c>
      <c r="Q17" s="1628">
        <f t="shared" si="7"/>
        <v>0</v>
      </c>
      <c r="R17" s="1628">
        <f t="shared" si="8"/>
        <v>0</v>
      </c>
      <c r="S17" s="2060"/>
      <c r="T17" s="2060"/>
      <c r="U17" s="1525"/>
      <c r="V17" s="1510"/>
      <c r="W17" s="1525"/>
      <c r="X17" s="1525"/>
      <c r="Y17" s="1525"/>
      <c r="Z17" s="1525"/>
      <c r="AA17" s="1525"/>
      <c r="AB17" s="1525"/>
      <c r="AC17" s="362">
        <f>ROW('BAL SHEET Hist Input'!C17)</f>
        <v>17</v>
      </c>
      <c r="AD17" s="1513"/>
      <c r="AE17" s="2060"/>
      <c r="AF17" s="2060"/>
      <c r="AG17" s="2060"/>
      <c r="AH17" s="2060"/>
      <c r="AI17" s="2060"/>
      <c r="AJ17" s="2060"/>
      <c r="AK17" s="2060"/>
      <c r="AL17" s="1525"/>
    </row>
    <row r="18" spans="1:38" s="334" customFormat="1" ht="13.9">
      <c r="A18" s="1510" t="str">
        <f t="shared" si="9"/>
        <v>n</v>
      </c>
      <c r="B18" s="1510"/>
      <c r="C18" s="1539" t="s">
        <v>1059</v>
      </c>
      <c r="D18" s="1531"/>
      <c r="E18" s="218"/>
      <c r="F18" s="824">
        <f t="shared" si="1"/>
        <v>0</v>
      </c>
      <c r="G18" s="824">
        <f t="shared" si="2"/>
        <v>0</v>
      </c>
      <c r="H18" s="824">
        <f t="shared" si="2"/>
        <v>0</v>
      </c>
      <c r="I18" s="824">
        <f t="shared" si="2"/>
        <v>0</v>
      </c>
      <c r="J18" s="824">
        <f t="shared" si="2"/>
        <v>0</v>
      </c>
      <c r="K18" s="824">
        <f t="shared" si="2"/>
        <v>0</v>
      </c>
      <c r="L18" s="370"/>
      <c r="M18" s="1628">
        <f t="shared" si="3"/>
        <v>0</v>
      </c>
      <c r="N18" s="1628">
        <f t="shared" si="4"/>
        <v>0</v>
      </c>
      <c r="O18" s="1628">
        <f t="shared" si="5"/>
        <v>0</v>
      </c>
      <c r="P18" s="1628">
        <f t="shared" si="6"/>
        <v>0</v>
      </c>
      <c r="Q18" s="1628">
        <f t="shared" si="7"/>
        <v>0</v>
      </c>
      <c r="R18" s="1628">
        <f t="shared" si="8"/>
        <v>0</v>
      </c>
      <c r="S18" s="2060"/>
      <c r="T18" s="2060"/>
      <c r="U18" s="1525"/>
      <c r="V18" s="1510"/>
      <c r="W18" s="1525"/>
      <c r="X18" s="1525"/>
      <c r="Y18" s="1525"/>
      <c r="Z18" s="1525"/>
      <c r="AA18" s="1525"/>
      <c r="AB18" s="1525"/>
      <c r="AC18" s="362">
        <f>ROW('BAL SHEET Hist Input'!C18)</f>
        <v>18</v>
      </c>
      <c r="AD18" s="1513"/>
      <c r="AE18" s="2060"/>
      <c r="AF18" s="2060"/>
      <c r="AG18" s="2060"/>
      <c r="AH18" s="2060"/>
      <c r="AI18" s="2060"/>
      <c r="AJ18" s="2060"/>
      <c r="AK18" s="2060"/>
      <c r="AL18" s="1525"/>
    </row>
    <row r="19" spans="1:38" s="286" customFormat="1" ht="13.9">
      <c r="A19" s="1510" t="str">
        <f t="shared" si="9"/>
        <v>n</v>
      </c>
      <c r="B19" s="1510"/>
      <c r="C19" s="845" t="s">
        <v>980</v>
      </c>
      <c r="D19" s="402"/>
      <c r="E19" s="530"/>
      <c r="F19" s="455">
        <f t="shared" ref="F19:K19" si="11">SUM(F11:F18)</f>
        <v>0</v>
      </c>
      <c r="G19" s="455">
        <f t="shared" si="11"/>
        <v>0</v>
      </c>
      <c r="H19" s="455">
        <f t="shared" si="11"/>
        <v>0</v>
      </c>
      <c r="I19" s="455">
        <f t="shared" si="11"/>
        <v>0</v>
      </c>
      <c r="J19" s="455">
        <f t="shared" si="11"/>
        <v>0</v>
      </c>
      <c r="K19" s="455">
        <f t="shared" si="11"/>
        <v>0</v>
      </c>
      <c r="L19" s="403"/>
      <c r="M19" s="1629">
        <f t="shared" si="3"/>
        <v>0</v>
      </c>
      <c r="N19" s="1629">
        <f t="shared" si="4"/>
        <v>0</v>
      </c>
      <c r="O19" s="1629">
        <f t="shared" si="5"/>
        <v>0</v>
      </c>
      <c r="P19" s="1629">
        <f t="shared" si="6"/>
        <v>0</v>
      </c>
      <c r="Q19" s="1629">
        <f t="shared" si="7"/>
        <v>0</v>
      </c>
      <c r="R19" s="1629">
        <f t="shared" si="8"/>
        <v>0</v>
      </c>
      <c r="S19" s="2060"/>
      <c r="T19" s="2060"/>
      <c r="U19" s="1525"/>
      <c r="V19" s="1510" t="s">
        <v>678</v>
      </c>
      <c r="W19" s="1525"/>
      <c r="X19" s="1525"/>
      <c r="Y19" s="1525"/>
      <c r="Z19" s="1525"/>
      <c r="AA19" s="1525"/>
      <c r="AB19" s="1525"/>
      <c r="AC19" s="362"/>
      <c r="AD19" s="1513" t="s">
        <v>1060</v>
      </c>
      <c r="AE19" s="2211" t="s">
        <v>980</v>
      </c>
      <c r="AF19" s="2212">
        <f>IFERROR(IF(Public,_xll.ciqfunctions.udf.CIQ(SubjCoID,$AD19,AF$8,Valuation_date,ReportType,DataMode,SubjOutputCurrencyCode,FXMode)*Scale,0),0)</f>
        <v>0</v>
      </c>
      <c r="AG19" s="2212">
        <f>IFERROR(IF(Public,_xll.ciqfunctions.udf.CIQ(SubjCoID,$AD19,AG$8,Valuation_date,ReportType,DataMode,SubjOutputCurrencyCode,FXMode)*Scale,0),0)</f>
        <v>0</v>
      </c>
      <c r="AH19" s="2212">
        <f>IFERROR(IF(Public,_xll.ciqfunctions.udf.CIQ(SubjCoID,$AD19,AH$8,Valuation_date,ReportType,DataMode,SubjOutputCurrencyCode,FXMode)*Scale,0),0)</f>
        <v>0</v>
      </c>
      <c r="AI19" s="2212">
        <f>IFERROR(IF(Public,_xll.ciqfunctions.udf.CIQ(SubjCoID,$AD19,AI$8,Valuation_date,ReportType,DataMode,SubjOutputCurrencyCode,FXMode)*Scale,0),0)</f>
        <v>0</v>
      </c>
      <c r="AJ19" s="2212">
        <f>IFERROR(IF(Public,_xll.ciqfunctions.udf.CIQ(SubjCoID,$AD19,AJ$8,Valuation_date,ReportType,DataMode,SubjOutputCurrencyCode,FXMode)*Scale,0),0)</f>
        <v>0</v>
      </c>
      <c r="AK19" s="2212">
        <f>IFERROR(IF(Public,IF($AJ$9=$AK$9,AJ19,_xll.ciqfunctions.udf.CIQ(SubjCoID,$AD19,AK$8,Valuation_date,ReportType,DataMode,SubjOutputCurrencyCode,FXMode)*Scale),0),0)</f>
        <v>0</v>
      </c>
      <c r="AL19" s="1525"/>
    </row>
    <row r="20" spans="1:38" s="286" customFormat="1" ht="13.9">
      <c r="A20" s="1510" t="str">
        <f t="shared" si="9"/>
        <v>n</v>
      </c>
      <c r="B20" s="1510"/>
      <c r="C20" s="1539" t="s">
        <v>1061</v>
      </c>
      <c r="D20" s="1531"/>
      <c r="E20" s="218"/>
      <c r="F20" s="824">
        <f t="shared" ref="F20:F27" si="12">AF20</f>
        <v>0</v>
      </c>
      <c r="G20" s="824">
        <f t="shared" ref="G20:K27" si="13">AG20</f>
        <v>0</v>
      </c>
      <c r="H20" s="824">
        <f t="shared" si="13"/>
        <v>0</v>
      </c>
      <c r="I20" s="824">
        <f t="shared" si="13"/>
        <v>0</v>
      </c>
      <c r="J20" s="824">
        <f t="shared" si="13"/>
        <v>0</v>
      </c>
      <c r="K20" s="824">
        <f t="shared" si="13"/>
        <v>0</v>
      </c>
      <c r="L20" s="370"/>
      <c r="M20" s="1628">
        <f t="shared" si="3"/>
        <v>0</v>
      </c>
      <c r="N20" s="1628">
        <f t="shared" si="4"/>
        <v>0</v>
      </c>
      <c r="O20" s="1628">
        <f t="shared" si="5"/>
        <v>0</v>
      </c>
      <c r="P20" s="1628">
        <f t="shared" si="6"/>
        <v>0</v>
      </c>
      <c r="Q20" s="1628">
        <f t="shared" si="7"/>
        <v>0</v>
      </c>
      <c r="R20" s="1628">
        <f t="shared" si="8"/>
        <v>0</v>
      </c>
      <c r="S20" s="2060"/>
      <c r="T20" s="2060"/>
      <c r="U20" s="1525"/>
      <c r="V20" s="1510" t="s">
        <v>678</v>
      </c>
      <c r="W20" s="1525"/>
      <c r="X20" s="1525"/>
      <c r="Y20" s="1525"/>
      <c r="Z20" s="1525"/>
      <c r="AA20" s="1525"/>
      <c r="AB20" s="1525"/>
      <c r="AC20" s="362">
        <f>ROW('BAL SHEET Hist Input'!C20)</f>
        <v>20</v>
      </c>
      <c r="AD20" s="1513" t="s">
        <v>1062</v>
      </c>
      <c r="AE20" s="1539" t="s">
        <v>1061</v>
      </c>
      <c r="AF20" s="1525">
        <f>IFERROR(IF(Public,_xll.ciqfunctions.udf.CIQ(SubjCoID,$AD20,AF$8,Valuation_date,ReportType,DataMode,SubjOutputCurrencyCode,FXMode)*Scale,0),0)</f>
        <v>0</v>
      </c>
      <c r="AG20" s="1525">
        <f>IFERROR(IF(Public,_xll.ciqfunctions.udf.CIQ(SubjCoID,$AD20,AG$8,Valuation_date,ReportType,DataMode,SubjOutputCurrencyCode,FXMode)*Scale,0),0)</f>
        <v>0</v>
      </c>
      <c r="AH20" s="1525">
        <f>IFERROR(IF(Public,_xll.ciqfunctions.udf.CIQ(SubjCoID,$AD20,AH$8,Valuation_date,ReportType,DataMode,SubjOutputCurrencyCode,FXMode)*Scale,0),0)</f>
        <v>0</v>
      </c>
      <c r="AI20" s="1525">
        <f>IFERROR(IF(Public,_xll.ciqfunctions.udf.CIQ(SubjCoID,$AD20,AI$8,Valuation_date,ReportType,DataMode,SubjOutputCurrencyCode,FXMode)*Scale,0),0)</f>
        <v>0</v>
      </c>
      <c r="AJ20" s="1525">
        <f>IFERROR(IF(Public,_xll.ciqfunctions.udf.CIQ(SubjCoID,$AD20,AJ$8,Valuation_date,ReportType,DataMode,SubjOutputCurrencyCode,FXMode)*Scale,0),0)</f>
        <v>0</v>
      </c>
      <c r="AK20" s="1525">
        <f>IFERROR(IF(Public,IF($AJ$9=$AK$9,AJ20,_xll.ciqfunctions.udf.CIQ(SubjCoID,$AD20,AK$8,Valuation_date,ReportType,DataMode,SubjOutputCurrencyCode,FXMode)*Scale),0),0)</f>
        <v>0</v>
      </c>
      <c r="AL20" s="312"/>
    </row>
    <row r="21" spans="1:38" s="286" customFormat="1" ht="13.9">
      <c r="A21" s="1510" t="str">
        <f t="shared" si="9"/>
        <v>n</v>
      </c>
      <c r="B21" s="1510"/>
      <c r="C21" s="814" t="s">
        <v>1063</v>
      </c>
      <c r="D21" s="299"/>
      <c r="E21" s="218"/>
      <c r="F21" s="824">
        <f t="shared" si="12"/>
        <v>0</v>
      </c>
      <c r="G21" s="824">
        <f t="shared" si="13"/>
        <v>0</v>
      </c>
      <c r="H21" s="824">
        <f t="shared" si="13"/>
        <v>0</v>
      </c>
      <c r="I21" s="824">
        <f t="shared" si="13"/>
        <v>0</v>
      </c>
      <c r="J21" s="824">
        <f t="shared" si="13"/>
        <v>0</v>
      </c>
      <c r="K21" s="824">
        <f t="shared" si="13"/>
        <v>0</v>
      </c>
      <c r="L21" s="370"/>
      <c r="M21" s="1628">
        <f t="shared" si="3"/>
        <v>0</v>
      </c>
      <c r="N21" s="1628">
        <f t="shared" si="4"/>
        <v>0</v>
      </c>
      <c r="O21" s="1628">
        <f t="shared" si="5"/>
        <v>0</v>
      </c>
      <c r="P21" s="1628">
        <f t="shared" si="6"/>
        <v>0</v>
      </c>
      <c r="Q21" s="1628">
        <f t="shared" si="7"/>
        <v>0</v>
      </c>
      <c r="R21" s="1628">
        <f t="shared" si="8"/>
        <v>0</v>
      </c>
      <c r="S21" s="2060"/>
      <c r="T21" s="2060"/>
      <c r="U21" s="1525"/>
      <c r="V21" s="1510" t="s">
        <v>678</v>
      </c>
      <c r="W21" s="1525"/>
      <c r="X21" s="1525"/>
      <c r="Y21" s="1525"/>
      <c r="Z21" s="1525"/>
      <c r="AA21" s="1525"/>
      <c r="AB21" s="1525"/>
      <c r="AC21" s="362">
        <f>ROW('BAL SHEET Hist Input'!C21)</f>
        <v>21</v>
      </c>
      <c r="AD21" s="314" t="s">
        <v>1064</v>
      </c>
      <c r="AE21" s="814" t="s">
        <v>1063</v>
      </c>
      <c r="AF21" s="1525">
        <f>IFERROR(IF(Public,_xll.ciqfunctions.udf.CIQ(SubjCoID,$AD21,AF$8,Valuation_date,ReportType,DataMode,SubjOutputCurrencyCode,FXMode)*Scale,0),0)</f>
        <v>0</v>
      </c>
      <c r="AG21" s="1525">
        <f>IFERROR(IF(Public,_xll.ciqfunctions.udf.CIQ(SubjCoID,$AD21,AG$8,Valuation_date,ReportType,DataMode,SubjOutputCurrencyCode,FXMode)*Scale,0),0)</f>
        <v>0</v>
      </c>
      <c r="AH21" s="1525">
        <f>IFERROR(IF(Public,_xll.ciqfunctions.udf.CIQ(SubjCoID,$AD21,AH$8,Valuation_date,ReportType,DataMode,SubjOutputCurrencyCode,FXMode)*Scale,0),0)</f>
        <v>0</v>
      </c>
      <c r="AI21" s="1525">
        <f>IFERROR(IF(Public,_xll.ciqfunctions.udf.CIQ(SubjCoID,$AD21,AI$8,Valuation_date,ReportType,DataMode,SubjOutputCurrencyCode,FXMode)*Scale,0),0)</f>
        <v>0</v>
      </c>
      <c r="AJ21" s="1525">
        <f>IFERROR(IF(Public,_xll.ciqfunctions.udf.CIQ(SubjCoID,$AD21,AJ$8,Valuation_date,ReportType,DataMode,SubjOutputCurrencyCode,FXMode)*Scale,0),0)</f>
        <v>0</v>
      </c>
      <c r="AK21" s="1525">
        <f>IFERROR(IF(Public,IF($AJ$9=$AK$9,AJ21,_xll.ciqfunctions.udf.CIQ(SubjCoID,$AD21,AK$8,Valuation_date,ReportType,DataMode,SubjOutputCurrencyCode,FXMode)*Scale),0),0)</f>
        <v>0</v>
      </c>
      <c r="AL21" s="1525"/>
    </row>
    <row r="22" spans="1:38" s="312" customFormat="1" ht="13.9">
      <c r="A22" s="1510" t="str">
        <f t="shared" si="9"/>
        <v>n</v>
      </c>
      <c r="B22" s="1510"/>
      <c r="C22" s="818" t="s">
        <v>1065</v>
      </c>
      <c r="D22" s="304"/>
      <c r="E22" s="218"/>
      <c r="F22" s="824">
        <f t="shared" si="12"/>
        <v>0</v>
      </c>
      <c r="G22" s="824">
        <f t="shared" si="13"/>
        <v>0</v>
      </c>
      <c r="H22" s="824">
        <f t="shared" si="13"/>
        <v>0</v>
      </c>
      <c r="I22" s="824">
        <f t="shared" si="13"/>
        <v>0</v>
      </c>
      <c r="J22" s="824">
        <f t="shared" si="13"/>
        <v>0</v>
      </c>
      <c r="K22" s="824">
        <f t="shared" si="13"/>
        <v>0</v>
      </c>
      <c r="L22" s="370"/>
      <c r="M22" s="1628">
        <f t="shared" si="3"/>
        <v>0</v>
      </c>
      <c r="N22" s="1628">
        <f t="shared" si="4"/>
        <v>0</v>
      </c>
      <c r="O22" s="1628">
        <f t="shared" si="5"/>
        <v>0</v>
      </c>
      <c r="P22" s="1628">
        <f t="shared" si="6"/>
        <v>0</v>
      </c>
      <c r="Q22" s="1628">
        <f t="shared" si="7"/>
        <v>0</v>
      </c>
      <c r="R22" s="1628">
        <f t="shared" si="8"/>
        <v>0</v>
      </c>
      <c r="S22" s="2060"/>
      <c r="T22" s="2060"/>
      <c r="V22" s="1510" t="s">
        <v>678</v>
      </c>
      <c r="AC22" s="362">
        <f>ROW('BAL SHEET Hist Input'!C22)</f>
        <v>22</v>
      </c>
      <c r="AD22" s="314" t="s">
        <v>1066</v>
      </c>
      <c r="AE22" s="818" t="s">
        <v>1067</v>
      </c>
      <c r="AF22" s="1525">
        <f>IFERROR(IF(Public,_xll.ciqfunctions.udf.CIQ(SubjCoID,$AD22,AF$8,Valuation_date,ReportType,DataMode,SubjOutputCurrencyCode,FXMode)*Scale,0),0)</f>
        <v>0</v>
      </c>
      <c r="AG22" s="1525">
        <f>IFERROR(IF(Public,_xll.ciqfunctions.udf.CIQ(SubjCoID,$AD22,AG$8,Valuation_date,ReportType,DataMode,SubjOutputCurrencyCode,FXMode)*Scale,0),0)</f>
        <v>0</v>
      </c>
      <c r="AH22" s="1525">
        <f>IFERROR(IF(Public,_xll.ciqfunctions.udf.CIQ(SubjCoID,$AD22,AH$8,Valuation_date,ReportType,DataMode,SubjOutputCurrencyCode,FXMode)*Scale,0),0)</f>
        <v>0</v>
      </c>
      <c r="AI22" s="1525">
        <f>IFERROR(IF(Public,_xll.ciqfunctions.udf.CIQ(SubjCoID,$AD22,AI$8,Valuation_date,ReportType,DataMode,SubjOutputCurrencyCode,FXMode)*Scale,0),0)</f>
        <v>0</v>
      </c>
      <c r="AJ22" s="1525">
        <f>IFERROR(IF(Public,_xll.ciqfunctions.udf.CIQ(SubjCoID,$AD22,AJ$8,Valuation_date,ReportType,DataMode,SubjOutputCurrencyCode,FXMode)*Scale,0),0)</f>
        <v>0</v>
      </c>
      <c r="AK22" s="1525">
        <f>IFERROR(IF(Public,IF($AJ$9=$AK$9,AJ22,_xll.ciqfunctions.udf.CIQ(SubjCoID,$AD22,AK$8,Valuation_date,ReportType,DataMode,SubjOutputCurrencyCode,FXMode)*Scale),0),0)</f>
        <v>0</v>
      </c>
      <c r="AL22" s="1525"/>
    </row>
    <row r="23" spans="1:38" s="312" customFormat="1" ht="13.9">
      <c r="A23" s="1510" t="str">
        <f t="shared" si="9"/>
        <v>n</v>
      </c>
      <c r="B23" s="1510"/>
      <c r="C23" s="818" t="s">
        <v>1068</v>
      </c>
      <c r="D23" s="304"/>
      <c r="E23" s="218"/>
      <c r="F23" s="824">
        <f t="shared" si="12"/>
        <v>0</v>
      </c>
      <c r="G23" s="824">
        <f t="shared" si="13"/>
        <v>0</v>
      </c>
      <c r="H23" s="824">
        <f t="shared" si="13"/>
        <v>0</v>
      </c>
      <c r="I23" s="824">
        <f t="shared" si="13"/>
        <v>0</v>
      </c>
      <c r="J23" s="824">
        <f t="shared" si="13"/>
        <v>0</v>
      </c>
      <c r="K23" s="824">
        <f t="shared" si="13"/>
        <v>0</v>
      </c>
      <c r="L23" s="370"/>
      <c r="M23" s="1628">
        <f t="shared" si="3"/>
        <v>0</v>
      </c>
      <c r="N23" s="1628">
        <f t="shared" si="4"/>
        <v>0</v>
      </c>
      <c r="O23" s="1628">
        <f t="shared" si="5"/>
        <v>0</v>
      </c>
      <c r="P23" s="1628">
        <f t="shared" si="6"/>
        <v>0</v>
      </c>
      <c r="Q23" s="1628">
        <f t="shared" si="7"/>
        <v>0</v>
      </c>
      <c r="R23" s="1628">
        <f t="shared" si="8"/>
        <v>0</v>
      </c>
      <c r="S23" s="2060"/>
      <c r="T23" s="2060"/>
      <c r="V23" s="1510" t="s">
        <v>678</v>
      </c>
      <c r="AC23" s="362">
        <f>ROW('BAL SHEET Hist Input'!C23)</f>
        <v>23</v>
      </c>
      <c r="AD23" s="314"/>
      <c r="AE23" s="1539" t="s">
        <v>1068</v>
      </c>
      <c r="AF23" s="971">
        <f t="shared" ref="AF23:AK23" si="14">AF28-SUM(AF19:AF22)</f>
        <v>0</v>
      </c>
      <c r="AG23" s="971">
        <f t="shared" si="14"/>
        <v>0</v>
      </c>
      <c r="AH23" s="971">
        <f t="shared" si="14"/>
        <v>0</v>
      </c>
      <c r="AI23" s="971">
        <f t="shared" si="14"/>
        <v>0</v>
      </c>
      <c r="AJ23" s="971">
        <f t="shared" si="14"/>
        <v>0</v>
      </c>
      <c r="AK23" s="971">
        <f t="shared" si="14"/>
        <v>0</v>
      </c>
      <c r="AL23" s="1525"/>
    </row>
    <row r="24" spans="1:38" s="312" customFormat="1" ht="13.9">
      <c r="A24" s="1510" t="str">
        <f t="shared" si="9"/>
        <v>n</v>
      </c>
      <c r="B24" s="1510"/>
      <c r="C24" s="818" t="s">
        <v>1068</v>
      </c>
      <c r="D24" s="304"/>
      <c r="E24" s="218"/>
      <c r="F24" s="824">
        <f t="shared" si="12"/>
        <v>0</v>
      </c>
      <c r="G24" s="824">
        <f t="shared" si="13"/>
        <v>0</v>
      </c>
      <c r="H24" s="824">
        <f t="shared" si="13"/>
        <v>0</v>
      </c>
      <c r="I24" s="824">
        <f t="shared" si="13"/>
        <v>0</v>
      </c>
      <c r="J24" s="824">
        <f t="shared" si="13"/>
        <v>0</v>
      </c>
      <c r="K24" s="824">
        <f t="shared" si="13"/>
        <v>0</v>
      </c>
      <c r="L24" s="370"/>
      <c r="M24" s="1628">
        <f t="shared" si="3"/>
        <v>0</v>
      </c>
      <c r="N24" s="1628">
        <f t="shared" si="4"/>
        <v>0</v>
      </c>
      <c r="O24" s="1628">
        <f t="shared" si="5"/>
        <v>0</v>
      </c>
      <c r="P24" s="1628">
        <f t="shared" si="6"/>
        <v>0</v>
      </c>
      <c r="Q24" s="1628">
        <f t="shared" si="7"/>
        <v>0</v>
      </c>
      <c r="R24" s="1628">
        <f t="shared" si="8"/>
        <v>0</v>
      </c>
      <c r="S24" s="2060"/>
      <c r="T24" s="2060"/>
      <c r="V24" s="1510"/>
      <c r="AC24" s="362">
        <f>ROW('BAL SHEET Hist Input'!C24)</f>
        <v>24</v>
      </c>
      <c r="AD24" s="314"/>
      <c r="AE24" s="2060"/>
      <c r="AF24" s="2060"/>
      <c r="AG24" s="2060"/>
      <c r="AH24" s="2060"/>
      <c r="AI24" s="2060"/>
      <c r="AJ24" s="2060"/>
      <c r="AK24" s="2060"/>
      <c r="AL24" s="1525"/>
    </row>
    <row r="25" spans="1:38" s="312" customFormat="1" ht="13.9">
      <c r="A25" s="1510" t="str">
        <f t="shared" si="9"/>
        <v>n</v>
      </c>
      <c r="B25" s="1510"/>
      <c r="C25" s="818" t="s">
        <v>1068</v>
      </c>
      <c r="D25" s="304"/>
      <c r="E25" s="218"/>
      <c r="F25" s="824">
        <f t="shared" si="12"/>
        <v>0</v>
      </c>
      <c r="G25" s="824">
        <f t="shared" si="13"/>
        <v>0</v>
      </c>
      <c r="H25" s="824">
        <f t="shared" si="13"/>
        <v>0</v>
      </c>
      <c r="I25" s="824">
        <f t="shared" si="13"/>
        <v>0</v>
      </c>
      <c r="J25" s="824">
        <f t="shared" si="13"/>
        <v>0</v>
      </c>
      <c r="K25" s="824">
        <f t="shared" si="13"/>
        <v>0</v>
      </c>
      <c r="L25" s="370"/>
      <c r="M25" s="1628">
        <f t="shared" si="3"/>
        <v>0</v>
      </c>
      <c r="N25" s="1628">
        <f t="shared" si="4"/>
        <v>0</v>
      </c>
      <c r="O25" s="1628">
        <f t="shared" si="5"/>
        <v>0</v>
      </c>
      <c r="P25" s="1628">
        <f t="shared" si="6"/>
        <v>0</v>
      </c>
      <c r="Q25" s="1628">
        <f t="shared" si="7"/>
        <v>0</v>
      </c>
      <c r="R25" s="1628">
        <f t="shared" si="8"/>
        <v>0</v>
      </c>
      <c r="S25" s="2060"/>
      <c r="T25" s="2060"/>
      <c r="V25" s="1510"/>
      <c r="AC25" s="362">
        <f>ROW('BAL SHEET Hist Input'!C25)</f>
        <v>25</v>
      </c>
      <c r="AD25" s="314"/>
      <c r="AE25" s="2060"/>
      <c r="AF25" s="2060"/>
      <c r="AG25" s="2060"/>
      <c r="AH25" s="2060"/>
      <c r="AI25" s="2060"/>
      <c r="AJ25" s="2060"/>
      <c r="AK25" s="2060"/>
      <c r="AL25" s="1525"/>
    </row>
    <row r="26" spans="1:38" s="312" customFormat="1" ht="13.9">
      <c r="A26" s="1510" t="str">
        <f t="shared" si="9"/>
        <v>n</v>
      </c>
      <c r="B26" s="1510"/>
      <c r="C26" s="818" t="s">
        <v>1068</v>
      </c>
      <c r="D26" s="304"/>
      <c r="E26" s="218"/>
      <c r="F26" s="824">
        <f t="shared" si="12"/>
        <v>0</v>
      </c>
      <c r="G26" s="824">
        <f t="shared" si="13"/>
        <v>0</v>
      </c>
      <c r="H26" s="824">
        <f t="shared" si="13"/>
        <v>0</v>
      </c>
      <c r="I26" s="824">
        <f t="shared" si="13"/>
        <v>0</v>
      </c>
      <c r="J26" s="824">
        <f t="shared" si="13"/>
        <v>0</v>
      </c>
      <c r="K26" s="824">
        <f t="shared" si="13"/>
        <v>0</v>
      </c>
      <c r="L26" s="370"/>
      <c r="M26" s="1628">
        <f t="shared" si="3"/>
        <v>0</v>
      </c>
      <c r="N26" s="1628">
        <f t="shared" si="4"/>
        <v>0</v>
      </c>
      <c r="O26" s="1628">
        <f t="shared" si="5"/>
        <v>0</v>
      </c>
      <c r="P26" s="1628">
        <f t="shared" si="6"/>
        <v>0</v>
      </c>
      <c r="Q26" s="1628">
        <f t="shared" si="7"/>
        <v>0</v>
      </c>
      <c r="R26" s="1628">
        <f t="shared" si="8"/>
        <v>0</v>
      </c>
      <c r="S26" s="2060"/>
      <c r="T26" s="2060"/>
      <c r="V26" s="1510"/>
      <c r="AC26" s="362">
        <f>ROW('BAL SHEET Hist Input'!C26)</f>
        <v>26</v>
      </c>
      <c r="AD26" s="314"/>
      <c r="AE26" s="2060"/>
      <c r="AF26" s="2060"/>
      <c r="AG26" s="2060"/>
      <c r="AH26" s="2060"/>
      <c r="AI26" s="2060"/>
      <c r="AJ26" s="2060"/>
      <c r="AK26" s="2060"/>
      <c r="AL26" s="1525"/>
    </row>
    <row r="27" spans="1:38" s="312" customFormat="1" ht="13.9">
      <c r="A27" s="1510" t="str">
        <f t="shared" si="9"/>
        <v>n</v>
      </c>
      <c r="B27" s="1510"/>
      <c r="C27" s="818" t="s">
        <v>1068</v>
      </c>
      <c r="D27" s="304"/>
      <c r="E27" s="218"/>
      <c r="F27" s="824">
        <f t="shared" si="12"/>
        <v>0</v>
      </c>
      <c r="G27" s="824">
        <f t="shared" si="13"/>
        <v>0</v>
      </c>
      <c r="H27" s="824">
        <f t="shared" si="13"/>
        <v>0</v>
      </c>
      <c r="I27" s="824">
        <f t="shared" si="13"/>
        <v>0</v>
      </c>
      <c r="J27" s="824">
        <f t="shared" si="13"/>
        <v>0</v>
      </c>
      <c r="K27" s="824">
        <f t="shared" si="13"/>
        <v>0</v>
      </c>
      <c r="L27" s="370"/>
      <c r="M27" s="1628">
        <f t="shared" si="3"/>
        <v>0</v>
      </c>
      <c r="N27" s="1628">
        <f t="shared" si="4"/>
        <v>0</v>
      </c>
      <c r="O27" s="1628">
        <f t="shared" si="5"/>
        <v>0</v>
      </c>
      <c r="P27" s="1628">
        <f t="shared" si="6"/>
        <v>0</v>
      </c>
      <c r="Q27" s="1628">
        <f t="shared" si="7"/>
        <v>0</v>
      </c>
      <c r="R27" s="1628">
        <f t="shared" si="8"/>
        <v>0</v>
      </c>
      <c r="S27" s="2060"/>
      <c r="T27" s="2060"/>
      <c r="V27" s="1510"/>
      <c r="AC27" s="362">
        <f>ROW('BAL SHEET Hist Input'!C27)</f>
        <v>27</v>
      </c>
      <c r="AD27" s="314"/>
      <c r="AE27" s="2060"/>
      <c r="AF27" s="2060"/>
      <c r="AG27" s="2060"/>
      <c r="AH27" s="2060"/>
      <c r="AI27" s="2060"/>
      <c r="AJ27" s="2060"/>
      <c r="AK27" s="2060"/>
      <c r="AL27" s="1525"/>
    </row>
    <row r="28" spans="1:38" s="286" customFormat="1" ht="13.9">
      <c r="A28" s="1510" t="str">
        <f t="shared" si="9"/>
        <v>n</v>
      </c>
      <c r="B28" s="1510"/>
      <c r="C28" s="1407" t="s">
        <v>994</v>
      </c>
      <c r="D28" s="1117"/>
      <c r="E28" s="1410"/>
      <c r="F28" s="1411">
        <f t="shared" ref="F28:K28" si="15">SUM(F19:F27)</f>
        <v>0</v>
      </c>
      <c r="G28" s="1411">
        <f t="shared" si="15"/>
        <v>0</v>
      </c>
      <c r="H28" s="1411">
        <f t="shared" si="15"/>
        <v>0</v>
      </c>
      <c r="I28" s="1411">
        <f t="shared" si="15"/>
        <v>0</v>
      </c>
      <c r="J28" s="1411">
        <f t="shared" si="15"/>
        <v>0</v>
      </c>
      <c r="K28" s="1411">
        <f t="shared" si="15"/>
        <v>0</v>
      </c>
      <c r="L28" s="408"/>
      <c r="M28" s="1695">
        <f t="shared" si="3"/>
        <v>0</v>
      </c>
      <c r="N28" s="1695">
        <f t="shared" si="4"/>
        <v>0</v>
      </c>
      <c r="O28" s="1695">
        <f t="shared" si="5"/>
        <v>0</v>
      </c>
      <c r="P28" s="1695">
        <f t="shared" si="6"/>
        <v>0</v>
      </c>
      <c r="Q28" s="1695">
        <f t="shared" si="7"/>
        <v>0</v>
      </c>
      <c r="R28" s="1695">
        <f t="shared" si="8"/>
        <v>0</v>
      </c>
      <c r="S28" s="2060"/>
      <c r="T28" s="2060"/>
      <c r="U28" s="1525"/>
      <c r="V28" s="1510" t="s">
        <v>678</v>
      </c>
      <c r="W28" s="1525"/>
      <c r="X28" s="1525"/>
      <c r="Y28" s="1525"/>
      <c r="Z28" s="1525"/>
      <c r="AA28" s="1525"/>
      <c r="AB28" s="1525"/>
      <c r="AC28" s="362"/>
      <c r="AD28" s="311" t="s">
        <v>825</v>
      </c>
      <c r="AE28" s="2211" t="s">
        <v>994</v>
      </c>
      <c r="AF28" s="2213">
        <f>IFERROR(IF(Public,_xll.ciqfunctions.udf.CIQ(SubjCoID,$AD28,AF$8,Valuation_date,ReportType,DataMode,SubjOutputCurrencyCode,FXMode)*Scale,0),0)</f>
        <v>0</v>
      </c>
      <c r="AG28" s="2213">
        <f>IFERROR(IF(Public,_xll.ciqfunctions.udf.CIQ(SubjCoID,$AD28,AG$8,Valuation_date,ReportType,DataMode,SubjOutputCurrencyCode,FXMode)*Scale,0),0)</f>
        <v>0</v>
      </c>
      <c r="AH28" s="2213">
        <f>IFERROR(IF(Public,_xll.ciqfunctions.udf.CIQ(SubjCoID,$AD28,AH$8,Valuation_date,ReportType,DataMode,SubjOutputCurrencyCode,FXMode)*Scale,0),0)</f>
        <v>0</v>
      </c>
      <c r="AI28" s="2213">
        <f>IFERROR(IF(Public,_xll.ciqfunctions.udf.CIQ(SubjCoID,$AD28,AI$8,Valuation_date,ReportType,DataMode,SubjOutputCurrencyCode,FXMode)*Scale,0),0)</f>
        <v>0</v>
      </c>
      <c r="AJ28" s="2213">
        <f>IFERROR(IF(Public,_xll.ciqfunctions.udf.CIQ(SubjCoID,$AD28,AJ$8,Valuation_date,ReportType,DataMode,SubjOutputCurrencyCode,FXMode)*Scale,0),0)</f>
        <v>0</v>
      </c>
      <c r="AK28" s="2213">
        <f>IFERROR(IF(Public,IF($AJ$9=$AK$9,AJ28,_xll.ciqfunctions.udf.CIQ(SubjCoID,$AD28,AK$8,Valuation_date,ReportType,DataMode,SubjOutputCurrencyCode,FXMode)*Scale),0),0)</f>
        <v>0</v>
      </c>
      <c r="AL28" s="1525"/>
    </row>
    <row r="29" spans="1:38" s="286" customFormat="1" ht="13.9">
      <c r="A29" s="1510"/>
      <c r="B29" s="1510"/>
      <c r="C29" s="821"/>
      <c r="D29" s="295"/>
      <c r="E29" s="218"/>
      <c r="F29" s="316"/>
      <c r="G29" s="316"/>
      <c r="H29" s="316"/>
      <c r="I29" s="316"/>
      <c r="J29" s="316"/>
      <c r="K29" s="316"/>
      <c r="L29" s="432"/>
      <c r="M29" s="1563"/>
      <c r="N29" s="1563"/>
      <c r="O29" s="1563"/>
      <c r="P29" s="1563"/>
      <c r="Q29" s="1563"/>
      <c r="R29" s="1563"/>
      <c r="S29" s="2060"/>
      <c r="T29" s="2060"/>
      <c r="U29" s="1525"/>
      <c r="V29" s="1510" t="s">
        <v>678</v>
      </c>
      <c r="W29" s="1525"/>
      <c r="X29" s="1525"/>
      <c r="Y29" s="1525"/>
      <c r="Z29" s="1525"/>
      <c r="AA29" s="1525"/>
      <c r="AB29" s="1525"/>
      <c r="AC29" s="362"/>
      <c r="AD29" s="314"/>
      <c r="AE29" s="821"/>
      <c r="AF29" s="1525"/>
      <c r="AG29" s="1525"/>
      <c r="AH29" s="1525"/>
      <c r="AI29" s="1525"/>
      <c r="AJ29" s="1525"/>
      <c r="AK29" s="1525"/>
      <c r="AL29" s="1525"/>
    </row>
    <row r="30" spans="1:38" s="286" customFormat="1" ht="13.9">
      <c r="A30" s="1510"/>
      <c r="B30" s="1510"/>
      <c r="C30" s="817" t="s">
        <v>995</v>
      </c>
      <c r="D30" s="512"/>
      <c r="E30" s="218"/>
      <c r="F30" s="824"/>
      <c r="G30" s="824"/>
      <c r="H30" s="824"/>
      <c r="I30" s="824"/>
      <c r="J30" s="824"/>
      <c r="K30" s="824"/>
      <c r="L30" s="432"/>
      <c r="M30" s="1563"/>
      <c r="N30" s="1563"/>
      <c r="O30" s="1563"/>
      <c r="P30" s="1563"/>
      <c r="Q30" s="1563"/>
      <c r="R30" s="1563"/>
      <c r="S30" s="2060"/>
      <c r="T30" s="2060"/>
      <c r="U30" s="1525"/>
      <c r="V30" s="1510" t="s">
        <v>678</v>
      </c>
      <c r="W30" s="1525"/>
      <c r="X30" s="1525"/>
      <c r="Y30" s="1525"/>
      <c r="Z30" s="1525"/>
      <c r="AA30" s="1525"/>
      <c r="AB30" s="1525"/>
      <c r="AC30" s="362"/>
      <c r="AD30" s="314"/>
      <c r="AE30" s="817" t="s">
        <v>995</v>
      </c>
      <c r="AF30" s="1525"/>
      <c r="AG30" s="1525"/>
      <c r="AH30" s="1525"/>
      <c r="AI30" s="1525"/>
      <c r="AJ30" s="1525"/>
      <c r="AK30" s="1525"/>
      <c r="AL30" s="312"/>
    </row>
    <row r="31" spans="1:38" s="286" customFormat="1" ht="13.9">
      <c r="A31" s="1510" t="str">
        <f t="shared" ref="A31:A55" si="16">IF(OR(MAX(F31:K31)&gt;0.01,MIN(,F31:K31)&lt;-0.01),"","n")</f>
        <v>n</v>
      </c>
      <c r="B31" s="1510"/>
      <c r="C31" s="818" t="s">
        <v>1069</v>
      </c>
      <c r="D31" s="304"/>
      <c r="E31" s="218"/>
      <c r="F31" s="824">
        <f t="shared" ref="F31:F38" si="17">AF31</f>
        <v>0</v>
      </c>
      <c r="G31" s="824">
        <f t="shared" ref="G31:K38" si="18">AG31</f>
        <v>0</v>
      </c>
      <c r="H31" s="824">
        <f t="shared" si="18"/>
        <v>0</v>
      </c>
      <c r="I31" s="824">
        <f t="shared" si="18"/>
        <v>0</v>
      </c>
      <c r="J31" s="824">
        <f t="shared" si="18"/>
        <v>0</v>
      </c>
      <c r="K31" s="824">
        <f t="shared" si="18"/>
        <v>0</v>
      </c>
      <c r="L31" s="370"/>
      <c r="M31" s="1628">
        <f t="shared" ref="M31:M50" si="19">IFERROR(F31/F$28,0)</f>
        <v>0</v>
      </c>
      <c r="N31" s="1628">
        <f t="shared" ref="N31:N50" si="20">IFERROR(G31/G$28,0)</f>
        <v>0</v>
      </c>
      <c r="O31" s="1628">
        <f t="shared" ref="O31:O50" si="21">IFERROR(H31/H$28,0)</f>
        <v>0</v>
      </c>
      <c r="P31" s="1628">
        <f t="shared" ref="P31:P50" si="22">IFERROR(I31/I$28,0)</f>
        <v>0</v>
      </c>
      <c r="Q31" s="1628">
        <f t="shared" ref="Q31:Q50" si="23">IFERROR(J31/J$28,0)</f>
        <v>0</v>
      </c>
      <c r="R31" s="1628">
        <f t="shared" ref="R31:R50" si="24">IFERROR(K31/K$28,0)</f>
        <v>0</v>
      </c>
      <c r="S31" s="2060"/>
      <c r="T31" s="2060"/>
      <c r="U31" s="1525"/>
      <c r="V31" s="1510" t="s">
        <v>678</v>
      </c>
      <c r="W31" s="1525"/>
      <c r="X31" s="1525"/>
      <c r="Y31" s="1525"/>
      <c r="Z31" s="1525"/>
      <c r="AA31" s="1525"/>
      <c r="AB31" s="1525"/>
      <c r="AC31" s="362">
        <f>ROW('BAL SHEET Hist Input'!C31)</f>
        <v>31</v>
      </c>
      <c r="AD31" s="1513" t="s">
        <v>823</v>
      </c>
      <c r="AE31" s="818" t="s">
        <v>1069</v>
      </c>
      <c r="AF31" s="1525">
        <f>IFERROR(IF(Public,_xll.ciqfunctions.udf.CIQ(SubjCoID,$AD31,AF$8,Valuation_date,ReportType,DataMode,SubjOutputCurrencyCode,FXMode)*Scale,0),0)</f>
        <v>0</v>
      </c>
      <c r="AG31" s="1525">
        <f>IFERROR(IF(Public,_xll.ciqfunctions.udf.CIQ(SubjCoID,$AD31,AG$8,Valuation_date,ReportType,DataMode,SubjOutputCurrencyCode,FXMode)*Scale,0),0)</f>
        <v>0</v>
      </c>
      <c r="AH31" s="1525">
        <f>IFERROR(IF(Public,_xll.ciqfunctions.udf.CIQ(SubjCoID,$AD31,AH$8,Valuation_date,ReportType,DataMode,SubjOutputCurrencyCode,FXMode)*Scale,0),0)</f>
        <v>0</v>
      </c>
      <c r="AI31" s="1525">
        <f>IFERROR(IF(Public,_xll.ciqfunctions.udf.CIQ(SubjCoID,$AD31,AI$8,Valuation_date,ReportType,DataMode,SubjOutputCurrencyCode,FXMode)*Scale,0),0)</f>
        <v>0</v>
      </c>
      <c r="AJ31" s="1525">
        <f>IFERROR(IF(Public,_xll.ciqfunctions.udf.CIQ(SubjCoID,$AD31,AJ$8,Valuation_date,ReportType,DataMode,SubjOutputCurrencyCode,FXMode)*Scale,0),0)</f>
        <v>0</v>
      </c>
      <c r="AK31" s="1525">
        <f>IFERROR(IF(Public,_xll.ciqfunctions.udf.CIQ(SubjCoID,$AD31,AK$8,Valuation_date,ReportType,DataMode,SubjOutputCurrencyCode,FXMode)*Scale,0),0)</f>
        <v>0</v>
      </c>
      <c r="AL31" s="312"/>
    </row>
    <row r="32" spans="1:38" s="286" customFormat="1" ht="13.9">
      <c r="A32" s="1510" t="str">
        <f t="shared" si="16"/>
        <v>n</v>
      </c>
      <c r="B32" s="1510"/>
      <c r="C32" s="818" t="s">
        <v>1070</v>
      </c>
      <c r="D32" s="304"/>
      <c r="E32" s="218"/>
      <c r="F32" s="824">
        <f t="shared" si="17"/>
        <v>0</v>
      </c>
      <c r="G32" s="824">
        <f t="shared" si="18"/>
        <v>0</v>
      </c>
      <c r="H32" s="824">
        <f t="shared" si="18"/>
        <v>0</v>
      </c>
      <c r="I32" s="824">
        <f t="shared" si="18"/>
        <v>0</v>
      </c>
      <c r="J32" s="824">
        <f t="shared" si="18"/>
        <v>0</v>
      </c>
      <c r="K32" s="824">
        <f t="shared" si="18"/>
        <v>0</v>
      </c>
      <c r="L32" s="370"/>
      <c r="M32" s="1628">
        <f t="shared" si="19"/>
        <v>0</v>
      </c>
      <c r="N32" s="1628">
        <f t="shared" si="20"/>
        <v>0</v>
      </c>
      <c r="O32" s="1628">
        <f t="shared" si="21"/>
        <v>0</v>
      </c>
      <c r="P32" s="1628">
        <f t="shared" si="22"/>
        <v>0</v>
      </c>
      <c r="Q32" s="1628">
        <f t="shared" si="23"/>
        <v>0</v>
      </c>
      <c r="R32" s="1628">
        <f t="shared" si="24"/>
        <v>0</v>
      </c>
      <c r="S32" s="2060"/>
      <c r="T32" s="2060"/>
      <c r="U32" s="1525"/>
      <c r="V32" s="1510" t="s">
        <v>678</v>
      </c>
      <c r="W32" s="1525"/>
      <c r="X32" s="1525"/>
      <c r="Y32" s="1525"/>
      <c r="Z32" s="1525"/>
      <c r="AA32" s="1525"/>
      <c r="AB32" s="1525"/>
      <c r="AC32" s="362">
        <f>ROW('BAL SHEET Hist Input'!C32)</f>
        <v>32</v>
      </c>
      <c r="AD32" s="1513"/>
      <c r="AE32" s="818" t="s">
        <v>1070</v>
      </c>
      <c r="AF32" s="317">
        <f t="shared" ref="AF32:AK32" si="25">AF39-AF31-AF37-AF38</f>
        <v>0</v>
      </c>
      <c r="AG32" s="317">
        <f t="shared" si="25"/>
        <v>0</v>
      </c>
      <c r="AH32" s="317">
        <f t="shared" si="25"/>
        <v>0</v>
      </c>
      <c r="AI32" s="317">
        <f t="shared" si="25"/>
        <v>0</v>
      </c>
      <c r="AJ32" s="317">
        <f t="shared" si="25"/>
        <v>0</v>
      </c>
      <c r="AK32" s="317">
        <f t="shared" si="25"/>
        <v>0</v>
      </c>
      <c r="AL32" s="1525"/>
    </row>
    <row r="33" spans="1:38" s="334" customFormat="1" ht="13.9">
      <c r="A33" s="1510" t="str">
        <f t="shared" si="16"/>
        <v>n</v>
      </c>
      <c r="B33" s="1510"/>
      <c r="C33" s="818" t="s">
        <v>1070</v>
      </c>
      <c r="D33" s="304"/>
      <c r="E33" s="218"/>
      <c r="F33" s="824">
        <f t="shared" si="17"/>
        <v>0</v>
      </c>
      <c r="G33" s="824">
        <f t="shared" si="18"/>
        <v>0</v>
      </c>
      <c r="H33" s="824">
        <f t="shared" si="18"/>
        <v>0</v>
      </c>
      <c r="I33" s="824">
        <f t="shared" si="18"/>
        <v>0</v>
      </c>
      <c r="J33" s="824">
        <f t="shared" si="18"/>
        <v>0</v>
      </c>
      <c r="K33" s="824">
        <f t="shared" si="18"/>
        <v>0</v>
      </c>
      <c r="L33" s="370"/>
      <c r="M33" s="1628">
        <f t="shared" si="19"/>
        <v>0</v>
      </c>
      <c r="N33" s="1628">
        <f t="shared" si="20"/>
        <v>0</v>
      </c>
      <c r="O33" s="1628">
        <f t="shared" si="21"/>
        <v>0</v>
      </c>
      <c r="P33" s="1628">
        <f t="shared" si="22"/>
        <v>0</v>
      </c>
      <c r="Q33" s="1628">
        <f t="shared" si="23"/>
        <v>0</v>
      </c>
      <c r="R33" s="1628">
        <f t="shared" si="24"/>
        <v>0</v>
      </c>
      <c r="S33" s="2060"/>
      <c r="T33" s="2060"/>
      <c r="U33" s="1525"/>
      <c r="V33" s="1510"/>
      <c r="W33" s="1525"/>
      <c r="X33" s="1525"/>
      <c r="Y33" s="1525"/>
      <c r="Z33" s="1525"/>
      <c r="AA33" s="1525"/>
      <c r="AB33" s="1525"/>
      <c r="AC33" s="362">
        <f>ROW('BAL SHEET Hist Input'!C33)</f>
        <v>33</v>
      </c>
      <c r="AD33" s="1513"/>
      <c r="AE33" s="818"/>
      <c r="AF33" s="2060"/>
      <c r="AG33" s="2060"/>
      <c r="AH33" s="2060"/>
      <c r="AI33" s="2060"/>
      <c r="AJ33" s="2060"/>
      <c r="AK33" s="2060"/>
      <c r="AL33" s="1525"/>
    </row>
    <row r="34" spans="1:38" s="334" customFormat="1" ht="13.9">
      <c r="A34" s="1510" t="str">
        <f t="shared" si="16"/>
        <v>n</v>
      </c>
      <c r="B34" s="1510"/>
      <c r="C34" s="818" t="s">
        <v>1070</v>
      </c>
      <c r="D34" s="304"/>
      <c r="E34" s="218"/>
      <c r="F34" s="824">
        <f t="shared" si="17"/>
        <v>0</v>
      </c>
      <c r="G34" s="824">
        <f t="shared" si="18"/>
        <v>0</v>
      </c>
      <c r="H34" s="824">
        <f t="shared" si="18"/>
        <v>0</v>
      </c>
      <c r="I34" s="824">
        <f t="shared" si="18"/>
        <v>0</v>
      </c>
      <c r="J34" s="824">
        <f t="shared" si="18"/>
        <v>0</v>
      </c>
      <c r="K34" s="824">
        <f t="shared" si="18"/>
        <v>0</v>
      </c>
      <c r="L34" s="370"/>
      <c r="M34" s="1628">
        <f t="shared" si="19"/>
        <v>0</v>
      </c>
      <c r="N34" s="1628">
        <f t="shared" si="20"/>
        <v>0</v>
      </c>
      <c r="O34" s="1628">
        <f t="shared" si="21"/>
        <v>0</v>
      </c>
      <c r="P34" s="1628">
        <f t="shared" si="22"/>
        <v>0</v>
      </c>
      <c r="Q34" s="1628">
        <f t="shared" si="23"/>
        <v>0</v>
      </c>
      <c r="R34" s="1628">
        <f t="shared" si="24"/>
        <v>0</v>
      </c>
      <c r="S34" s="2060"/>
      <c r="T34" s="2060"/>
      <c r="U34" s="1525"/>
      <c r="V34" s="1510"/>
      <c r="W34" s="1525"/>
      <c r="X34" s="1525"/>
      <c r="Y34" s="1525"/>
      <c r="Z34" s="1525"/>
      <c r="AA34" s="1525"/>
      <c r="AB34" s="1525"/>
      <c r="AC34" s="362">
        <f>ROW('BAL SHEET Hist Input'!C34)</f>
        <v>34</v>
      </c>
      <c r="AD34" s="1513"/>
      <c r="AE34" s="818"/>
      <c r="AF34" s="2060"/>
      <c r="AG34" s="2060"/>
      <c r="AH34" s="2060"/>
      <c r="AI34" s="2060"/>
      <c r="AJ34" s="2060"/>
      <c r="AK34" s="2060"/>
      <c r="AL34" s="1525"/>
    </row>
    <row r="35" spans="1:38" s="334" customFormat="1" ht="13.9">
      <c r="A35" s="1510" t="str">
        <f t="shared" si="16"/>
        <v>n</v>
      </c>
      <c r="B35" s="1510"/>
      <c r="C35" s="818" t="s">
        <v>1070</v>
      </c>
      <c r="D35" s="304"/>
      <c r="E35" s="218"/>
      <c r="F35" s="824">
        <f t="shared" si="17"/>
        <v>0</v>
      </c>
      <c r="G35" s="824">
        <f t="shared" si="18"/>
        <v>0</v>
      </c>
      <c r="H35" s="824">
        <f t="shared" si="18"/>
        <v>0</v>
      </c>
      <c r="I35" s="824">
        <f t="shared" si="18"/>
        <v>0</v>
      </c>
      <c r="J35" s="824">
        <f t="shared" si="18"/>
        <v>0</v>
      </c>
      <c r="K35" s="824">
        <f t="shared" si="18"/>
        <v>0</v>
      </c>
      <c r="L35" s="370"/>
      <c r="M35" s="1628">
        <f t="shared" si="19"/>
        <v>0</v>
      </c>
      <c r="N35" s="1628">
        <f t="shared" si="20"/>
        <v>0</v>
      </c>
      <c r="O35" s="1628">
        <f t="shared" si="21"/>
        <v>0</v>
      </c>
      <c r="P35" s="1628">
        <f t="shared" si="22"/>
        <v>0</v>
      </c>
      <c r="Q35" s="1628">
        <f t="shared" si="23"/>
        <v>0</v>
      </c>
      <c r="R35" s="1628">
        <f t="shared" si="24"/>
        <v>0</v>
      </c>
      <c r="S35" s="2060"/>
      <c r="T35" s="2060"/>
      <c r="U35" s="1525"/>
      <c r="V35" s="1510"/>
      <c r="W35" s="1525"/>
      <c r="X35" s="1525"/>
      <c r="Y35" s="1525"/>
      <c r="Z35" s="1525"/>
      <c r="AA35" s="1525"/>
      <c r="AB35" s="1525"/>
      <c r="AC35" s="362">
        <f>ROW('BAL SHEET Hist Input'!C35)</f>
        <v>35</v>
      </c>
      <c r="AD35" s="1513"/>
      <c r="AE35" s="818"/>
      <c r="AF35" s="2060"/>
      <c r="AG35" s="2060"/>
      <c r="AH35" s="2060"/>
      <c r="AI35" s="2060"/>
      <c r="AJ35" s="2060"/>
      <c r="AK35" s="2060"/>
      <c r="AL35" s="1525"/>
    </row>
    <row r="36" spans="1:38" s="334" customFormat="1" ht="13.9">
      <c r="A36" s="1510" t="str">
        <f t="shared" si="16"/>
        <v>n</v>
      </c>
      <c r="B36" s="1510"/>
      <c r="C36" s="818" t="s">
        <v>1070</v>
      </c>
      <c r="D36" s="304"/>
      <c r="E36" s="218"/>
      <c r="F36" s="824">
        <f t="shared" si="17"/>
        <v>0</v>
      </c>
      <c r="G36" s="824">
        <f t="shared" si="18"/>
        <v>0</v>
      </c>
      <c r="H36" s="824">
        <f t="shared" si="18"/>
        <v>0</v>
      </c>
      <c r="I36" s="824">
        <f t="shared" si="18"/>
        <v>0</v>
      </c>
      <c r="J36" s="824">
        <f t="shared" si="18"/>
        <v>0</v>
      </c>
      <c r="K36" s="824">
        <f t="shared" si="18"/>
        <v>0</v>
      </c>
      <c r="L36" s="370"/>
      <c r="M36" s="1628">
        <f t="shared" si="19"/>
        <v>0</v>
      </c>
      <c r="N36" s="1628">
        <f t="shared" si="20"/>
        <v>0</v>
      </c>
      <c r="O36" s="1628">
        <f t="shared" si="21"/>
        <v>0</v>
      </c>
      <c r="P36" s="1628">
        <f t="shared" si="22"/>
        <v>0</v>
      </c>
      <c r="Q36" s="1628">
        <f t="shared" si="23"/>
        <v>0</v>
      </c>
      <c r="R36" s="1628">
        <f t="shared" si="24"/>
        <v>0</v>
      </c>
      <c r="S36" s="2060"/>
      <c r="T36" s="2060"/>
      <c r="U36" s="1525"/>
      <c r="V36" s="1510"/>
      <c r="W36" s="1525"/>
      <c r="X36" s="1525"/>
      <c r="Y36" s="1525"/>
      <c r="Z36" s="1525"/>
      <c r="AA36" s="1525"/>
      <c r="AB36" s="1525"/>
      <c r="AC36" s="362">
        <f>ROW('BAL SHEET Hist Input'!C36)</f>
        <v>36</v>
      </c>
      <c r="AD36" s="1513"/>
      <c r="AE36" s="818"/>
      <c r="AF36" s="2060"/>
      <c r="AG36" s="2060"/>
      <c r="AH36" s="2060"/>
      <c r="AI36" s="2060"/>
      <c r="AJ36" s="2060"/>
      <c r="AK36" s="2060"/>
      <c r="AL36" s="1525"/>
    </row>
    <row r="37" spans="1:38" s="286" customFormat="1" ht="13.9">
      <c r="A37" s="1510" t="str">
        <f t="shared" si="16"/>
        <v>n</v>
      </c>
      <c r="B37" s="1510"/>
      <c r="C37" s="818" t="s">
        <v>1002</v>
      </c>
      <c r="D37" s="304"/>
      <c r="E37" s="218"/>
      <c r="F37" s="824">
        <f t="shared" si="17"/>
        <v>0</v>
      </c>
      <c r="G37" s="824">
        <f t="shared" si="18"/>
        <v>0</v>
      </c>
      <c r="H37" s="824">
        <f t="shared" si="18"/>
        <v>0</v>
      </c>
      <c r="I37" s="824">
        <f t="shared" si="18"/>
        <v>0</v>
      </c>
      <c r="J37" s="824">
        <f t="shared" si="18"/>
        <v>0</v>
      </c>
      <c r="K37" s="824">
        <f t="shared" si="18"/>
        <v>0</v>
      </c>
      <c r="L37" s="370"/>
      <c r="M37" s="1628">
        <f t="shared" si="19"/>
        <v>0</v>
      </c>
      <c r="N37" s="1628">
        <f t="shared" si="20"/>
        <v>0</v>
      </c>
      <c r="O37" s="1628">
        <f t="shared" si="21"/>
        <v>0</v>
      </c>
      <c r="P37" s="1628">
        <f t="shared" si="22"/>
        <v>0</v>
      </c>
      <c r="Q37" s="1628">
        <f t="shared" si="23"/>
        <v>0</v>
      </c>
      <c r="R37" s="1628">
        <f t="shared" si="24"/>
        <v>0</v>
      </c>
      <c r="S37" s="2060"/>
      <c r="T37" s="2060"/>
      <c r="U37" s="1525"/>
      <c r="V37" s="1510" t="s">
        <v>678</v>
      </c>
      <c r="W37" s="1525"/>
      <c r="X37" s="1525"/>
      <c r="Y37" s="1525"/>
      <c r="Z37" s="1525"/>
      <c r="AA37" s="1525"/>
      <c r="AB37" s="1525"/>
      <c r="AC37" s="362">
        <f>ROW('BAL SHEET Hist Input'!C37)</f>
        <v>37</v>
      </c>
      <c r="AD37" s="1513" t="s">
        <v>1071</v>
      </c>
      <c r="AE37" s="818" t="s">
        <v>1002</v>
      </c>
      <c r="AF37" s="1525">
        <f>IFERROR(IF(Public,_xll.ciqfunctions.udf.CIQ(SubjCoID,$AD37,AF$8,Valuation_date,ReportType,DataMode,SubjOutputCurrencyCode,FXMode)*Scale,0),0)</f>
        <v>0</v>
      </c>
      <c r="AG37" s="1525">
        <f>IFERROR(IF(Public,_xll.ciqfunctions.udf.CIQ(SubjCoID,$AD37,AG$8,Valuation_date,ReportType,DataMode,SubjOutputCurrencyCode,FXMode)*Scale,0),0)</f>
        <v>0</v>
      </c>
      <c r="AH37" s="1525">
        <f>IFERROR(IF(Public,_xll.ciqfunctions.udf.CIQ(SubjCoID,$AD37,AH$8,Valuation_date,ReportType,DataMode,SubjOutputCurrencyCode,FXMode)*Scale,0),0)</f>
        <v>0</v>
      </c>
      <c r="AI37" s="1525">
        <f>IFERROR(IF(Public,_xll.ciqfunctions.udf.CIQ(SubjCoID,$AD37,AI$8,Valuation_date,ReportType,DataMode,SubjOutputCurrencyCode,FXMode)*Scale,0),0)</f>
        <v>0</v>
      </c>
      <c r="AJ37" s="1525">
        <f>IFERROR(IF(Public,_xll.ciqfunctions.udf.CIQ(SubjCoID,$AD37,AJ$8,Valuation_date,ReportType,DataMode,SubjOutputCurrencyCode,FXMode)*Scale,0),0)</f>
        <v>0</v>
      </c>
      <c r="AK37" s="1525">
        <f>IFERROR(IF(Public,IF($AJ$9=$AK$9,AJ37,_xll.ciqfunctions.udf.CIQ(SubjCoID,$AD37,AK$8,Valuation_date,ReportType,DataMode,SubjOutputCurrencyCode,FXMode)*Scale),0),0)</f>
        <v>0</v>
      </c>
      <c r="AL37" s="1525"/>
    </row>
    <row r="38" spans="1:38" s="286" customFormat="1" ht="13.9">
      <c r="A38" s="1510" t="str">
        <f t="shared" si="16"/>
        <v>n</v>
      </c>
      <c r="B38" s="1510"/>
      <c r="C38" s="818" t="s">
        <v>1004</v>
      </c>
      <c r="D38" s="304"/>
      <c r="E38" s="218"/>
      <c r="F38" s="824">
        <f t="shared" si="17"/>
        <v>0</v>
      </c>
      <c r="G38" s="824">
        <f t="shared" si="18"/>
        <v>0</v>
      </c>
      <c r="H38" s="824">
        <f t="shared" si="18"/>
        <v>0</v>
      </c>
      <c r="I38" s="824">
        <f t="shared" si="18"/>
        <v>0</v>
      </c>
      <c r="J38" s="824">
        <f t="shared" si="18"/>
        <v>0</v>
      </c>
      <c r="K38" s="824">
        <f t="shared" si="18"/>
        <v>0</v>
      </c>
      <c r="L38" s="370"/>
      <c r="M38" s="1628">
        <f t="shared" si="19"/>
        <v>0</v>
      </c>
      <c r="N38" s="1628">
        <f t="shared" si="20"/>
        <v>0</v>
      </c>
      <c r="O38" s="1628">
        <f t="shared" si="21"/>
        <v>0</v>
      </c>
      <c r="P38" s="1628">
        <f t="shared" si="22"/>
        <v>0</v>
      </c>
      <c r="Q38" s="1628">
        <f t="shared" si="23"/>
        <v>0</v>
      </c>
      <c r="R38" s="1628">
        <f t="shared" si="24"/>
        <v>0</v>
      </c>
      <c r="S38" s="2060"/>
      <c r="T38" s="2060"/>
      <c r="U38" s="1525"/>
      <c r="V38" s="1510" t="s">
        <v>678</v>
      </c>
      <c r="W38" s="1525"/>
      <c r="X38" s="1525"/>
      <c r="Y38" s="1525"/>
      <c r="Z38" s="1525"/>
      <c r="AA38" s="1525"/>
      <c r="AB38" s="1525"/>
      <c r="AC38" s="362">
        <f>ROW('BAL SHEET Hist Input'!C38)</f>
        <v>38</v>
      </c>
      <c r="AD38" s="1513" t="s">
        <v>1072</v>
      </c>
      <c r="AE38" s="819" t="s">
        <v>1073</v>
      </c>
      <c r="AF38" s="318">
        <f>IFERROR(IF(Public,_xll.ciqfunctions.udf.CIQ(SubjCoID,$AD38,AF$8,Valuation_date,ReportType,DataMode,SubjOutputCurrencyCode,FXMode)*Scale,0),0)</f>
        <v>0</v>
      </c>
      <c r="AG38" s="318">
        <f>IFERROR(IF(Public,_xll.ciqfunctions.udf.CIQ(SubjCoID,$AD38,AG$8,Valuation_date,ReportType,DataMode,SubjOutputCurrencyCode,FXMode)*Scale,0),0)</f>
        <v>0</v>
      </c>
      <c r="AH38" s="318">
        <f>IFERROR(IF(Public,_xll.ciqfunctions.udf.CIQ(SubjCoID,$AD38,AH$8,Valuation_date,ReportType,DataMode,SubjOutputCurrencyCode,FXMode)*Scale,0),0)</f>
        <v>0</v>
      </c>
      <c r="AI38" s="318">
        <f>IFERROR(IF(Public,_xll.ciqfunctions.udf.CIQ(SubjCoID,$AD38,AI$8,Valuation_date,ReportType,DataMode,SubjOutputCurrencyCode,FXMode)*Scale,0),0)</f>
        <v>0</v>
      </c>
      <c r="AJ38" s="318">
        <f>IFERROR(IF(Public,_xll.ciqfunctions.udf.CIQ(SubjCoID,$AD38,AJ$8,Valuation_date,ReportType,DataMode,SubjOutputCurrencyCode,FXMode)*Scale,0),0)</f>
        <v>0</v>
      </c>
      <c r="AK38" s="318">
        <f>IFERROR(IF(Public,IF($AJ$9=$AK$9,AJ38,_xll.ciqfunctions.udf.CIQ(SubjCoID,$AD38,AK$8,Valuation_date,ReportType,DataMode,SubjOutputCurrencyCode,FXMode)*Scale),0),0)</f>
        <v>0</v>
      </c>
      <c r="AL38" s="1525"/>
    </row>
    <row r="39" spans="1:38" s="286" customFormat="1" ht="13.9">
      <c r="A39" s="1510" t="str">
        <f t="shared" si="16"/>
        <v>n</v>
      </c>
      <c r="B39" s="1510"/>
      <c r="C39" s="845" t="s">
        <v>997</v>
      </c>
      <c r="D39" s="402"/>
      <c r="E39" s="530"/>
      <c r="F39" s="455">
        <f t="shared" ref="F39:K39" si="26">SUM(F31:F38)</f>
        <v>0</v>
      </c>
      <c r="G39" s="455">
        <f t="shared" si="26"/>
        <v>0</v>
      </c>
      <c r="H39" s="455">
        <f t="shared" si="26"/>
        <v>0</v>
      </c>
      <c r="I39" s="455">
        <f t="shared" si="26"/>
        <v>0</v>
      </c>
      <c r="J39" s="455">
        <f t="shared" si="26"/>
        <v>0</v>
      </c>
      <c r="K39" s="455">
        <f t="shared" si="26"/>
        <v>0</v>
      </c>
      <c r="L39" s="403"/>
      <c r="M39" s="1629">
        <f t="shared" si="19"/>
        <v>0</v>
      </c>
      <c r="N39" s="1629">
        <f t="shared" si="20"/>
        <v>0</v>
      </c>
      <c r="O39" s="1629">
        <f t="shared" si="21"/>
        <v>0</v>
      </c>
      <c r="P39" s="1629">
        <f t="shared" si="22"/>
        <v>0</v>
      </c>
      <c r="Q39" s="1629">
        <f t="shared" si="23"/>
        <v>0</v>
      </c>
      <c r="R39" s="1629">
        <f t="shared" si="24"/>
        <v>0</v>
      </c>
      <c r="S39" s="2060"/>
      <c r="T39" s="2060"/>
      <c r="U39" s="1525"/>
      <c r="V39" s="1510" t="s">
        <v>678</v>
      </c>
      <c r="W39" s="1525"/>
      <c r="X39" s="1525"/>
      <c r="Y39" s="1525"/>
      <c r="Z39" s="1525"/>
      <c r="AA39" s="1525"/>
      <c r="AB39" s="1525"/>
      <c r="AC39" s="362"/>
      <c r="AD39" s="1513" t="s">
        <v>1074</v>
      </c>
      <c r="AE39" s="820" t="s">
        <v>997</v>
      </c>
      <c r="AF39" s="1525">
        <f>IFERROR(IF(Public,_xll.ciqfunctions.udf.CIQ(SubjCoID,$AD39,AF$8,Valuation_date,ReportType,DataMode,SubjOutputCurrencyCode,FXMode)*Scale,0),0)</f>
        <v>0</v>
      </c>
      <c r="AG39" s="1525">
        <f>IFERROR(IF(Public,_xll.ciqfunctions.udf.CIQ(SubjCoID,$AD39,AG$8,Valuation_date,ReportType,DataMode,SubjOutputCurrencyCode,FXMode)*Scale,0),0)</f>
        <v>0</v>
      </c>
      <c r="AH39" s="1525">
        <f>IFERROR(IF(Public,_xll.ciqfunctions.udf.CIQ(SubjCoID,$AD39,AH$8,Valuation_date,ReportType,DataMode,SubjOutputCurrencyCode,FXMode)*Scale,0),0)</f>
        <v>0</v>
      </c>
      <c r="AI39" s="1525">
        <f>IFERROR(IF(Public,_xll.ciqfunctions.udf.CIQ(SubjCoID,$AD39,AI$8,Valuation_date,ReportType,DataMode,SubjOutputCurrencyCode,FXMode)*Scale,0),0)</f>
        <v>0</v>
      </c>
      <c r="AJ39" s="1525">
        <f>IFERROR(IF(Public,_xll.ciqfunctions.udf.CIQ(SubjCoID,$AD39,AJ$8,Valuation_date,ReportType,DataMode,SubjOutputCurrencyCode,FXMode)*Scale,0),0)</f>
        <v>0</v>
      </c>
      <c r="AK39" s="1525">
        <f>IFERROR(IF(Public,IF($AJ$9=$AK$9,AJ39,_xll.ciqfunctions.udf.CIQ(SubjCoID,$AD39,AK$8,Valuation_date,ReportType,DataMode,SubjOutputCurrencyCode,FXMode)*Scale),0),0)</f>
        <v>0</v>
      </c>
      <c r="AL39" s="1525"/>
    </row>
    <row r="40" spans="1:38" s="286" customFormat="1" ht="13.9">
      <c r="A40" s="1510" t="str">
        <f t="shared" si="16"/>
        <v>n</v>
      </c>
      <c r="B40" s="1510"/>
      <c r="C40" s="818" t="s">
        <v>1075</v>
      </c>
      <c r="D40" s="304"/>
      <c r="E40" s="218"/>
      <c r="F40" s="824">
        <f t="shared" ref="F40:F49" si="27">AF40</f>
        <v>0</v>
      </c>
      <c r="G40" s="824">
        <f t="shared" ref="G40:K49" si="28">AG40</f>
        <v>0</v>
      </c>
      <c r="H40" s="824">
        <f t="shared" si="28"/>
        <v>0</v>
      </c>
      <c r="I40" s="824">
        <f t="shared" si="28"/>
        <v>0</v>
      </c>
      <c r="J40" s="824">
        <f t="shared" si="28"/>
        <v>0</v>
      </c>
      <c r="K40" s="824">
        <f t="shared" si="28"/>
        <v>0</v>
      </c>
      <c r="L40" s="370"/>
      <c r="M40" s="1628">
        <f t="shared" si="19"/>
        <v>0</v>
      </c>
      <c r="N40" s="1628">
        <f t="shared" si="20"/>
        <v>0</v>
      </c>
      <c r="O40" s="1628">
        <f t="shared" si="21"/>
        <v>0</v>
      </c>
      <c r="P40" s="1628">
        <f t="shared" si="22"/>
        <v>0</v>
      </c>
      <c r="Q40" s="1628">
        <f t="shared" si="23"/>
        <v>0</v>
      </c>
      <c r="R40" s="1628">
        <f t="shared" si="24"/>
        <v>0</v>
      </c>
      <c r="S40" s="2060"/>
      <c r="T40" s="2060"/>
      <c r="U40" s="1525"/>
      <c r="V40" s="1510" t="s">
        <v>678</v>
      </c>
      <c r="W40" s="1525"/>
      <c r="X40" s="1525"/>
      <c r="Y40" s="1525"/>
      <c r="Z40" s="1525"/>
      <c r="AA40" s="1525"/>
      <c r="AB40" s="1525"/>
      <c r="AC40" s="362">
        <f>ROW('BAL SHEET Hist Input'!C40)</f>
        <v>40</v>
      </c>
      <c r="AD40" s="1513" t="str">
        <f>"IQ_LT_DEBT"</f>
        <v>IQ_LT_DEBT</v>
      </c>
      <c r="AE40" s="818" t="s">
        <v>1075</v>
      </c>
      <c r="AF40" s="1525">
        <f>IFERROR(IF(Public,_xll.ciqfunctions.udf.CIQ(SubjCoID,$AD40,AF$8,Valuation_date,ReportType,DataMode,SubjOutputCurrencyCode,FXMode)*Scale,0),0)</f>
        <v>0</v>
      </c>
      <c r="AG40" s="1525">
        <f>IFERROR(IF(Public,_xll.ciqfunctions.udf.CIQ(SubjCoID,$AD40,AG$8,Valuation_date,ReportType,DataMode,SubjOutputCurrencyCode,FXMode)*Scale,0),0)</f>
        <v>0</v>
      </c>
      <c r="AH40" s="1525">
        <f>IFERROR(IF(Public,_xll.ciqfunctions.udf.CIQ(SubjCoID,$AD40,AH$8,Valuation_date,ReportType,DataMode,SubjOutputCurrencyCode,FXMode)*Scale,0),0)</f>
        <v>0</v>
      </c>
      <c r="AI40" s="1525">
        <f>IFERROR(IF(Public,_xll.ciqfunctions.udf.CIQ(SubjCoID,$AD40,AI$8,Valuation_date,ReportType,DataMode,SubjOutputCurrencyCode,FXMode)*Scale,0),0)</f>
        <v>0</v>
      </c>
      <c r="AJ40" s="1525">
        <f>IFERROR(IF(Public,_xll.ciqfunctions.udf.CIQ(SubjCoID,$AD40,AJ$8,Valuation_date,ReportType,DataMode,SubjOutputCurrencyCode,FXMode)*Scale,0),0)</f>
        <v>0</v>
      </c>
      <c r="AK40" s="1525">
        <f>IFERROR(IF(Public,IF($AJ$9=$AK$9,AJ40,_xll.ciqfunctions.udf.CIQ(SubjCoID,$AD40,AK$8,Valuation_date,ReportType,DataMode,SubjOutputCurrencyCode,FXMode)*Scale),0),0)</f>
        <v>0</v>
      </c>
      <c r="AL40" s="1525"/>
    </row>
    <row r="41" spans="1:38" s="1525" customFormat="1" ht="13.9">
      <c r="A41" s="1510" t="str">
        <f t="shared" si="16"/>
        <v>n</v>
      </c>
      <c r="B41" s="1510"/>
      <c r="C41" s="818" t="s">
        <v>1075</v>
      </c>
      <c r="D41" s="304"/>
      <c r="E41" s="218"/>
      <c r="F41" s="824">
        <f t="shared" si="27"/>
        <v>0</v>
      </c>
      <c r="G41" s="824">
        <f t="shared" si="28"/>
        <v>0</v>
      </c>
      <c r="H41" s="824">
        <f t="shared" si="28"/>
        <v>0</v>
      </c>
      <c r="I41" s="824">
        <f t="shared" si="28"/>
        <v>0</v>
      </c>
      <c r="J41" s="824">
        <f t="shared" si="28"/>
        <v>0</v>
      </c>
      <c r="K41" s="824">
        <f t="shared" si="28"/>
        <v>0</v>
      </c>
      <c r="L41" s="370"/>
      <c r="M41" s="1628">
        <f t="shared" ref="M41:R42" si="29">IFERROR(F41/F$28,0)</f>
        <v>0</v>
      </c>
      <c r="N41" s="1628">
        <f t="shared" si="29"/>
        <v>0</v>
      </c>
      <c r="O41" s="1628">
        <f t="shared" si="29"/>
        <v>0</v>
      </c>
      <c r="P41" s="1628">
        <f t="shared" si="29"/>
        <v>0</v>
      </c>
      <c r="Q41" s="1628">
        <f t="shared" si="29"/>
        <v>0</v>
      </c>
      <c r="R41" s="1628">
        <f t="shared" si="29"/>
        <v>0</v>
      </c>
      <c r="S41" s="2060"/>
      <c r="T41" s="2060"/>
      <c r="V41" s="1510"/>
      <c r="AC41" s="362">
        <f>ROW('BAL SHEET Hist Input'!C41)</f>
        <v>41</v>
      </c>
      <c r="AD41" s="1513"/>
      <c r="AE41" s="818"/>
    </row>
    <row r="42" spans="1:38" s="1525" customFormat="1" ht="13.9">
      <c r="A42" s="1510" t="str">
        <f t="shared" si="16"/>
        <v>n</v>
      </c>
      <c r="B42" s="1510"/>
      <c r="C42" s="818" t="s">
        <v>1075</v>
      </c>
      <c r="D42" s="304"/>
      <c r="E42" s="218"/>
      <c r="F42" s="824">
        <f t="shared" si="27"/>
        <v>0</v>
      </c>
      <c r="G42" s="824">
        <f t="shared" si="28"/>
        <v>0</v>
      </c>
      <c r="H42" s="824">
        <f t="shared" si="28"/>
        <v>0</v>
      </c>
      <c r="I42" s="824">
        <f t="shared" si="28"/>
        <v>0</v>
      </c>
      <c r="J42" s="824">
        <f t="shared" si="28"/>
        <v>0</v>
      </c>
      <c r="K42" s="824">
        <f t="shared" si="28"/>
        <v>0</v>
      </c>
      <c r="L42" s="370"/>
      <c r="M42" s="1628">
        <f t="shared" si="29"/>
        <v>0</v>
      </c>
      <c r="N42" s="1628">
        <f t="shared" si="29"/>
        <v>0</v>
      </c>
      <c r="O42" s="1628">
        <f t="shared" si="29"/>
        <v>0</v>
      </c>
      <c r="P42" s="1628">
        <f t="shared" si="29"/>
        <v>0</v>
      </c>
      <c r="Q42" s="1628">
        <f t="shared" si="29"/>
        <v>0</v>
      </c>
      <c r="R42" s="1628">
        <f t="shared" si="29"/>
        <v>0</v>
      </c>
      <c r="S42" s="2060"/>
      <c r="T42" s="2060"/>
      <c r="V42" s="1510"/>
      <c r="AC42" s="362">
        <f>ROW('BAL SHEET Hist Input'!C42)</f>
        <v>42</v>
      </c>
      <c r="AD42" s="1513"/>
      <c r="AE42" s="818"/>
    </row>
    <row r="43" spans="1:38" s="1027" customFormat="1" ht="13.9">
      <c r="A43" s="1510" t="str">
        <f t="shared" si="16"/>
        <v>n</v>
      </c>
      <c r="B43" s="1510"/>
      <c r="C43" s="818" t="s">
        <v>1012</v>
      </c>
      <c r="D43" s="304"/>
      <c r="E43" s="218"/>
      <c r="F43" s="824">
        <f t="shared" si="27"/>
        <v>0</v>
      </c>
      <c r="G43" s="824">
        <f t="shared" si="28"/>
        <v>0</v>
      </c>
      <c r="H43" s="824">
        <f t="shared" si="28"/>
        <v>0</v>
      </c>
      <c r="I43" s="824">
        <f t="shared" si="28"/>
        <v>0</v>
      </c>
      <c r="J43" s="824">
        <f t="shared" si="28"/>
        <v>0</v>
      </c>
      <c r="K43" s="824">
        <f t="shared" si="28"/>
        <v>0</v>
      </c>
      <c r="L43" s="370"/>
      <c r="M43" s="1628">
        <f t="shared" si="19"/>
        <v>0</v>
      </c>
      <c r="N43" s="1628">
        <f t="shared" si="20"/>
        <v>0</v>
      </c>
      <c r="O43" s="1628">
        <f t="shared" si="21"/>
        <v>0</v>
      </c>
      <c r="P43" s="1628">
        <f t="shared" si="22"/>
        <v>0</v>
      </c>
      <c r="Q43" s="1628">
        <f t="shared" si="23"/>
        <v>0</v>
      </c>
      <c r="R43" s="1628">
        <f t="shared" si="24"/>
        <v>0</v>
      </c>
      <c r="S43" s="2060"/>
      <c r="T43" s="2060"/>
      <c r="U43" s="1525"/>
      <c r="V43" s="1510"/>
      <c r="W43" s="1525"/>
      <c r="X43" s="1525"/>
      <c r="Y43" s="1525"/>
      <c r="Z43" s="1525"/>
      <c r="AA43" s="1525"/>
      <c r="AB43" s="1525"/>
      <c r="AC43" s="362">
        <f>ROW('BAL SHEET Hist Input'!C43)</f>
        <v>43</v>
      </c>
      <c r="AD43" s="1513" t="s">
        <v>1076</v>
      </c>
      <c r="AE43" s="818" t="s">
        <v>1012</v>
      </c>
      <c r="AF43" s="1525">
        <f>IFERROR(IF(Public,_xll.ciqfunctions.udf.CIQ(SubjCoID,$AD43,AF$8,Valuation_date,ReportType,DataMode,SubjOutputCurrencyCode,FXMode)*Scale,0),0)</f>
        <v>0</v>
      </c>
      <c r="AG43" s="1525">
        <f>IFERROR(IF(Public,_xll.ciqfunctions.udf.CIQ(SubjCoID,$AD43,AG$8,Valuation_date,ReportType,DataMode,SubjOutputCurrencyCode,FXMode)*Scale,0),0)</f>
        <v>0</v>
      </c>
      <c r="AH43" s="1525">
        <f>IFERROR(IF(Public,_xll.ciqfunctions.udf.CIQ(SubjCoID,$AD43,AH$8,Valuation_date,ReportType,DataMode,SubjOutputCurrencyCode,FXMode)*Scale,0),0)</f>
        <v>0</v>
      </c>
      <c r="AI43" s="1525">
        <f>IFERROR(IF(Public,_xll.ciqfunctions.udf.CIQ(SubjCoID,$AD43,AI$8,Valuation_date,ReportType,DataMode,SubjOutputCurrencyCode,FXMode)*Scale,0),0)</f>
        <v>0</v>
      </c>
      <c r="AJ43" s="1525">
        <f>IFERROR(IF(Public,_xll.ciqfunctions.udf.CIQ(SubjCoID,$AD43,AJ$8,Valuation_date,ReportType,DataMode,SubjOutputCurrencyCode,FXMode)*Scale,0),0)</f>
        <v>0</v>
      </c>
      <c r="AK43" s="1525">
        <f>IFERROR(IF(Public,IF($AJ$9=$AK$9,AJ43,_xll.ciqfunctions.udf.CIQ(SubjCoID,$AD43,AK$8,Valuation_date,ReportType,DataMode,SubjOutputCurrencyCode,FXMode)*Scale),0),0)</f>
        <v>0</v>
      </c>
      <c r="AL43" s="1525"/>
    </row>
    <row r="44" spans="1:38" s="334" customFormat="1" ht="13.9">
      <c r="A44" s="1510" t="str">
        <f t="shared" si="16"/>
        <v>n</v>
      </c>
      <c r="B44" s="1510"/>
      <c r="C44" s="818" t="s">
        <v>423</v>
      </c>
      <c r="D44" s="304"/>
      <c r="E44" s="218"/>
      <c r="F44" s="824">
        <f t="shared" si="27"/>
        <v>0</v>
      </c>
      <c r="G44" s="824">
        <f t="shared" si="28"/>
        <v>0</v>
      </c>
      <c r="H44" s="824">
        <f t="shared" si="28"/>
        <v>0</v>
      </c>
      <c r="I44" s="824">
        <f t="shared" si="28"/>
        <v>0</v>
      </c>
      <c r="J44" s="824">
        <f t="shared" si="28"/>
        <v>0</v>
      </c>
      <c r="K44" s="824">
        <f t="shared" si="28"/>
        <v>0</v>
      </c>
      <c r="L44" s="370"/>
      <c r="M44" s="1628">
        <f t="shared" si="19"/>
        <v>0</v>
      </c>
      <c r="N44" s="1628">
        <f t="shared" si="20"/>
        <v>0</v>
      </c>
      <c r="O44" s="1628">
        <f t="shared" si="21"/>
        <v>0</v>
      </c>
      <c r="P44" s="1628">
        <f t="shared" si="22"/>
        <v>0</v>
      </c>
      <c r="Q44" s="1628">
        <f t="shared" si="23"/>
        <v>0</v>
      </c>
      <c r="R44" s="1628">
        <f t="shared" si="24"/>
        <v>0</v>
      </c>
      <c r="S44" s="2060"/>
      <c r="T44" s="2060"/>
      <c r="U44" s="1525"/>
      <c r="V44" s="1510"/>
      <c r="W44" s="1525"/>
      <c r="X44" s="1525"/>
      <c r="Y44" s="1525"/>
      <c r="Z44" s="1525"/>
      <c r="AA44" s="1525"/>
      <c r="AB44" s="1525"/>
      <c r="AC44" s="362">
        <f>ROW('BAL SHEET Hist Input'!C44)</f>
        <v>44</v>
      </c>
      <c r="AD44" s="1513" t="s">
        <v>781</v>
      </c>
      <c r="AE44" s="818" t="s">
        <v>423</v>
      </c>
      <c r="AF44" s="1525">
        <f>IFERROR(IF(Public,_xll.ciqfunctions.udf.CIQ(SubjCoID,$AD44,AF$8,Valuation_date,ReportType,DataMode,SubjOutputCurrencyCode,FXMode)*Scale,0),0)</f>
        <v>0</v>
      </c>
      <c r="AG44" s="1525">
        <f>IFERROR(IF(Public,_xll.ciqfunctions.udf.CIQ(SubjCoID,$AD44,AG$8,Valuation_date,ReportType,DataMode,SubjOutputCurrencyCode,FXMode)*Scale,0),0)</f>
        <v>0</v>
      </c>
      <c r="AH44" s="1525">
        <f>IFERROR(IF(Public,_xll.ciqfunctions.udf.CIQ(SubjCoID,$AD44,AH$8,Valuation_date,ReportType,DataMode,SubjOutputCurrencyCode,FXMode)*Scale,0),0)</f>
        <v>0</v>
      </c>
      <c r="AI44" s="1525">
        <f>IFERROR(IF(Public,_xll.ciqfunctions.udf.CIQ(SubjCoID,$AD44,AI$8,Valuation_date,ReportType,DataMode,SubjOutputCurrencyCode,FXMode)*Scale,0),0)</f>
        <v>0</v>
      </c>
      <c r="AJ44" s="1525">
        <f>IFERROR(IF(Public,_xll.ciqfunctions.udf.CIQ(SubjCoID,$AD44,AJ$8,Valuation_date,ReportType,DataMode,SubjOutputCurrencyCode,FXMode)*Scale,0),0)</f>
        <v>0</v>
      </c>
      <c r="AK44" s="1525">
        <f>IFERROR(IF(Public,IF($AJ$9=$AK$9,AJ44,_xll.ciqfunctions.udf.CIQ(SubjCoID,$AD44,AK$8,Valuation_date,ReportType,DataMode,SubjOutputCurrencyCode,FXMode)*Scale),0),0)</f>
        <v>0</v>
      </c>
      <c r="AL44" s="1525"/>
    </row>
    <row r="45" spans="1:38" s="286" customFormat="1" ht="13.9">
      <c r="A45" s="1510" t="str">
        <f t="shared" si="16"/>
        <v>n</v>
      </c>
      <c r="B45" s="1510"/>
      <c r="C45" s="1539" t="s">
        <v>1077</v>
      </c>
      <c r="D45" s="1531"/>
      <c r="E45" s="531"/>
      <c r="F45" s="824">
        <f t="shared" si="27"/>
        <v>0</v>
      </c>
      <c r="G45" s="824">
        <f t="shared" si="28"/>
        <v>0</v>
      </c>
      <c r="H45" s="824">
        <f t="shared" si="28"/>
        <v>0</v>
      </c>
      <c r="I45" s="824">
        <f t="shared" si="28"/>
        <v>0</v>
      </c>
      <c r="J45" s="824">
        <f t="shared" si="28"/>
        <v>0</v>
      </c>
      <c r="K45" s="824">
        <f t="shared" si="28"/>
        <v>0</v>
      </c>
      <c r="L45" s="370"/>
      <c r="M45" s="1628">
        <f t="shared" si="19"/>
        <v>0</v>
      </c>
      <c r="N45" s="1628">
        <f t="shared" si="20"/>
        <v>0</v>
      </c>
      <c r="O45" s="1628">
        <f t="shared" si="21"/>
        <v>0</v>
      </c>
      <c r="P45" s="1628">
        <f t="shared" si="22"/>
        <v>0</v>
      </c>
      <c r="Q45" s="1628">
        <f t="shared" si="23"/>
        <v>0</v>
      </c>
      <c r="R45" s="1628">
        <f t="shared" si="24"/>
        <v>0</v>
      </c>
      <c r="S45" s="2060"/>
      <c r="T45" s="2060"/>
      <c r="U45" s="1525"/>
      <c r="V45" s="1510" t="s">
        <v>678</v>
      </c>
      <c r="W45" s="1525"/>
      <c r="X45" s="1525"/>
      <c r="Y45" s="1525"/>
      <c r="Z45" s="1525"/>
      <c r="AA45" s="1525"/>
      <c r="AB45" s="1525"/>
      <c r="AC45" s="362">
        <f>ROW('BAL SHEET Hist Input'!C45)</f>
        <v>45</v>
      </c>
      <c r="AD45" s="314"/>
      <c r="AE45" s="1539" t="s">
        <v>1077</v>
      </c>
      <c r="AF45" s="971">
        <f t="shared" ref="AF45:AK45" si="30">AF50-SUM(AF39:AF44)</f>
        <v>0</v>
      </c>
      <c r="AG45" s="971">
        <f t="shared" si="30"/>
        <v>0</v>
      </c>
      <c r="AH45" s="971">
        <f t="shared" si="30"/>
        <v>0</v>
      </c>
      <c r="AI45" s="971">
        <f t="shared" si="30"/>
        <v>0</v>
      </c>
      <c r="AJ45" s="971">
        <f t="shared" si="30"/>
        <v>0</v>
      </c>
      <c r="AK45" s="971">
        <f t="shared" si="30"/>
        <v>0</v>
      </c>
      <c r="AL45" s="1525"/>
    </row>
    <row r="46" spans="1:38" s="334" customFormat="1" ht="13.9">
      <c r="A46" s="1510" t="str">
        <f t="shared" si="16"/>
        <v>n</v>
      </c>
      <c r="B46" s="1510"/>
      <c r="C46" s="1539" t="s">
        <v>1077</v>
      </c>
      <c r="D46" s="1531"/>
      <c r="E46" s="531"/>
      <c r="F46" s="824">
        <f t="shared" si="27"/>
        <v>0</v>
      </c>
      <c r="G46" s="824">
        <f t="shared" si="28"/>
        <v>0</v>
      </c>
      <c r="H46" s="824">
        <f t="shared" si="28"/>
        <v>0</v>
      </c>
      <c r="I46" s="824">
        <f t="shared" si="28"/>
        <v>0</v>
      </c>
      <c r="J46" s="824">
        <f t="shared" si="28"/>
        <v>0</v>
      </c>
      <c r="K46" s="824">
        <f t="shared" si="28"/>
        <v>0</v>
      </c>
      <c r="L46" s="370"/>
      <c r="M46" s="1628">
        <f t="shared" si="19"/>
        <v>0</v>
      </c>
      <c r="N46" s="1628">
        <f t="shared" si="20"/>
        <v>0</v>
      </c>
      <c r="O46" s="1628">
        <f t="shared" si="21"/>
        <v>0</v>
      </c>
      <c r="P46" s="1628">
        <f t="shared" si="22"/>
        <v>0</v>
      </c>
      <c r="Q46" s="1628">
        <f t="shared" si="23"/>
        <v>0</v>
      </c>
      <c r="R46" s="1628">
        <f t="shared" si="24"/>
        <v>0</v>
      </c>
      <c r="S46" s="2060"/>
      <c r="T46" s="2060"/>
      <c r="U46" s="1525"/>
      <c r="V46" s="1510"/>
      <c r="W46" s="1525"/>
      <c r="X46" s="1525"/>
      <c r="Y46" s="1525"/>
      <c r="Z46" s="1525"/>
      <c r="AA46" s="1525"/>
      <c r="AB46" s="1525"/>
      <c r="AC46" s="362">
        <f>ROW('BAL SHEET Hist Input'!C46)</f>
        <v>46</v>
      </c>
      <c r="AD46" s="314"/>
      <c r="AE46" s="1539"/>
      <c r="AF46" s="971"/>
      <c r="AG46" s="971"/>
      <c r="AH46" s="971"/>
      <c r="AI46" s="971"/>
      <c r="AJ46" s="971"/>
      <c r="AK46" s="971"/>
      <c r="AL46" s="1525"/>
    </row>
    <row r="47" spans="1:38" s="334" customFormat="1" ht="13.9">
      <c r="A47" s="1510" t="str">
        <f t="shared" si="16"/>
        <v>n</v>
      </c>
      <c r="B47" s="1510"/>
      <c r="C47" s="1539" t="s">
        <v>1077</v>
      </c>
      <c r="D47" s="1531"/>
      <c r="E47" s="531"/>
      <c r="F47" s="824">
        <f t="shared" si="27"/>
        <v>0</v>
      </c>
      <c r="G47" s="824">
        <f t="shared" si="28"/>
        <v>0</v>
      </c>
      <c r="H47" s="824">
        <f t="shared" si="28"/>
        <v>0</v>
      </c>
      <c r="I47" s="824">
        <f t="shared" si="28"/>
        <v>0</v>
      </c>
      <c r="J47" s="824">
        <f t="shared" si="28"/>
        <v>0</v>
      </c>
      <c r="K47" s="824">
        <f t="shared" si="28"/>
        <v>0</v>
      </c>
      <c r="L47" s="370"/>
      <c r="M47" s="1628">
        <f t="shared" si="19"/>
        <v>0</v>
      </c>
      <c r="N47" s="1628">
        <f t="shared" si="20"/>
        <v>0</v>
      </c>
      <c r="O47" s="1628">
        <f t="shared" si="21"/>
        <v>0</v>
      </c>
      <c r="P47" s="1628">
        <f t="shared" si="22"/>
        <v>0</v>
      </c>
      <c r="Q47" s="1628">
        <f t="shared" si="23"/>
        <v>0</v>
      </c>
      <c r="R47" s="1628">
        <f t="shared" si="24"/>
        <v>0</v>
      </c>
      <c r="S47" s="2060"/>
      <c r="T47" s="2060"/>
      <c r="U47" s="1525"/>
      <c r="V47" s="1510"/>
      <c r="W47" s="1525"/>
      <c r="X47" s="1525"/>
      <c r="Y47" s="1525"/>
      <c r="Z47" s="1525"/>
      <c r="AA47" s="1525"/>
      <c r="AB47" s="1525"/>
      <c r="AC47" s="362">
        <f>ROW('BAL SHEET Hist Input'!C47)</f>
        <v>47</v>
      </c>
      <c r="AD47" s="314"/>
      <c r="AE47" s="1539"/>
      <c r="AF47" s="971"/>
      <c r="AG47" s="971"/>
      <c r="AH47" s="971"/>
      <c r="AI47" s="971"/>
      <c r="AJ47" s="971"/>
      <c r="AK47" s="971"/>
      <c r="AL47" s="1525"/>
    </row>
    <row r="48" spans="1:38" s="334" customFormat="1" ht="13.9">
      <c r="A48" s="1510" t="str">
        <f t="shared" si="16"/>
        <v>n</v>
      </c>
      <c r="B48" s="1510"/>
      <c r="C48" s="1539" t="s">
        <v>1077</v>
      </c>
      <c r="D48" s="1531"/>
      <c r="E48" s="531"/>
      <c r="F48" s="824">
        <f t="shared" si="27"/>
        <v>0</v>
      </c>
      <c r="G48" s="824">
        <f t="shared" si="28"/>
        <v>0</v>
      </c>
      <c r="H48" s="824">
        <f t="shared" si="28"/>
        <v>0</v>
      </c>
      <c r="I48" s="824">
        <f t="shared" si="28"/>
        <v>0</v>
      </c>
      <c r="J48" s="824">
        <f t="shared" si="28"/>
        <v>0</v>
      </c>
      <c r="K48" s="824">
        <f t="shared" si="28"/>
        <v>0</v>
      </c>
      <c r="L48" s="370"/>
      <c r="M48" s="1628">
        <f t="shared" si="19"/>
        <v>0</v>
      </c>
      <c r="N48" s="1628">
        <f t="shared" si="20"/>
        <v>0</v>
      </c>
      <c r="O48" s="1628">
        <f t="shared" si="21"/>
        <v>0</v>
      </c>
      <c r="P48" s="1628">
        <f t="shared" si="22"/>
        <v>0</v>
      </c>
      <c r="Q48" s="1628">
        <f t="shared" si="23"/>
        <v>0</v>
      </c>
      <c r="R48" s="1628">
        <f t="shared" si="24"/>
        <v>0</v>
      </c>
      <c r="S48" s="2060"/>
      <c r="T48" s="2060"/>
      <c r="U48" s="1525"/>
      <c r="V48" s="1510"/>
      <c r="W48" s="1525"/>
      <c r="X48" s="1525"/>
      <c r="Y48" s="1525"/>
      <c r="Z48" s="1525"/>
      <c r="AA48" s="1525"/>
      <c r="AB48" s="1525"/>
      <c r="AC48" s="362">
        <f>ROW('BAL SHEET Hist Input'!C48)</f>
        <v>48</v>
      </c>
      <c r="AD48" s="314"/>
      <c r="AE48" s="1539"/>
      <c r="AF48" s="971"/>
      <c r="AG48" s="971"/>
      <c r="AH48" s="971"/>
      <c r="AI48" s="971"/>
      <c r="AJ48" s="971"/>
      <c r="AK48" s="971"/>
      <c r="AL48" s="1525"/>
    </row>
    <row r="49" spans="1:38" s="334" customFormat="1" ht="13.9">
      <c r="A49" s="1510" t="str">
        <f t="shared" si="16"/>
        <v>n</v>
      </c>
      <c r="B49" s="1510"/>
      <c r="C49" s="1539" t="s">
        <v>1077</v>
      </c>
      <c r="D49" s="1531"/>
      <c r="E49" s="531"/>
      <c r="F49" s="824">
        <f t="shared" si="27"/>
        <v>0</v>
      </c>
      <c r="G49" s="824">
        <f t="shared" si="28"/>
        <v>0</v>
      </c>
      <c r="H49" s="824">
        <f t="shared" si="28"/>
        <v>0</v>
      </c>
      <c r="I49" s="824">
        <f t="shared" si="28"/>
        <v>0</v>
      </c>
      <c r="J49" s="824">
        <f t="shared" si="28"/>
        <v>0</v>
      </c>
      <c r="K49" s="824">
        <f t="shared" si="28"/>
        <v>0</v>
      </c>
      <c r="L49" s="370"/>
      <c r="M49" s="1628">
        <f t="shared" si="19"/>
        <v>0</v>
      </c>
      <c r="N49" s="1628">
        <f t="shared" si="20"/>
        <v>0</v>
      </c>
      <c r="O49" s="1628">
        <f t="shared" si="21"/>
        <v>0</v>
      </c>
      <c r="P49" s="1628">
        <f t="shared" si="22"/>
        <v>0</v>
      </c>
      <c r="Q49" s="1628">
        <f t="shared" si="23"/>
        <v>0</v>
      </c>
      <c r="R49" s="1628">
        <f t="shared" si="24"/>
        <v>0</v>
      </c>
      <c r="S49" s="2060"/>
      <c r="T49" s="2060"/>
      <c r="U49" s="1525"/>
      <c r="V49" s="1510"/>
      <c r="W49" s="1525"/>
      <c r="X49" s="1525"/>
      <c r="Y49" s="1525"/>
      <c r="Z49" s="1525"/>
      <c r="AA49" s="1525"/>
      <c r="AB49" s="1525"/>
      <c r="AC49" s="362">
        <f>ROW('BAL SHEET Hist Input'!C49)</f>
        <v>49</v>
      </c>
      <c r="AD49" s="314"/>
      <c r="AE49" s="1539"/>
      <c r="AF49" s="971"/>
      <c r="AG49" s="971"/>
      <c r="AH49" s="971"/>
      <c r="AI49" s="971"/>
      <c r="AJ49" s="971"/>
      <c r="AK49" s="971"/>
      <c r="AL49" s="1525"/>
    </row>
    <row r="50" spans="1:38" s="286" customFormat="1" ht="13.9">
      <c r="A50" s="1510" t="str">
        <f t="shared" si="16"/>
        <v>n</v>
      </c>
      <c r="B50" s="1510"/>
      <c r="C50" s="845" t="s">
        <v>1019</v>
      </c>
      <c r="D50" s="402"/>
      <c r="E50" s="530"/>
      <c r="F50" s="456">
        <f t="shared" ref="F50:K50" si="31">SUM(F39:F49)</f>
        <v>0</v>
      </c>
      <c r="G50" s="456">
        <f t="shared" si="31"/>
        <v>0</v>
      </c>
      <c r="H50" s="456">
        <f t="shared" si="31"/>
        <v>0</v>
      </c>
      <c r="I50" s="456">
        <f t="shared" si="31"/>
        <v>0</v>
      </c>
      <c r="J50" s="456">
        <f t="shared" si="31"/>
        <v>0</v>
      </c>
      <c r="K50" s="456">
        <f t="shared" si="31"/>
        <v>0</v>
      </c>
      <c r="L50" s="408"/>
      <c r="M50" s="1693">
        <f t="shared" si="19"/>
        <v>0</v>
      </c>
      <c r="N50" s="1693">
        <f t="shared" si="20"/>
        <v>0</v>
      </c>
      <c r="O50" s="1693">
        <f t="shared" si="21"/>
        <v>0</v>
      </c>
      <c r="P50" s="1693">
        <f t="shared" si="22"/>
        <v>0</v>
      </c>
      <c r="Q50" s="1693">
        <f t="shared" si="23"/>
        <v>0</v>
      </c>
      <c r="R50" s="1693">
        <f t="shared" si="24"/>
        <v>0</v>
      </c>
      <c r="S50" s="2060"/>
      <c r="T50" s="2060"/>
      <c r="U50" s="1525"/>
      <c r="V50" s="1510" t="s">
        <v>678</v>
      </c>
      <c r="W50" s="1525"/>
      <c r="X50" s="1525"/>
      <c r="Y50" s="1525"/>
      <c r="Z50" s="1525"/>
      <c r="AA50" s="1525"/>
      <c r="AB50" s="1525"/>
      <c r="AC50" s="362"/>
      <c r="AD50" s="314" t="s">
        <v>1078</v>
      </c>
      <c r="AE50" s="2211" t="s">
        <v>1019</v>
      </c>
      <c r="AF50" s="2213">
        <f>IFERROR(IF(Public,_xll.ciqfunctions.udf.CIQ(SubjCoID,$AD50,AF$8,Valuation_date,ReportType,DataMode,SubjOutputCurrencyCode,FXMode)*Scale,0),0)</f>
        <v>0</v>
      </c>
      <c r="AG50" s="2213">
        <f>IFERROR(IF(Public,_xll.ciqfunctions.udf.CIQ(SubjCoID,$AD50,AG$8,Valuation_date,ReportType,DataMode,SubjOutputCurrencyCode,FXMode)*Scale,0),0)</f>
        <v>0</v>
      </c>
      <c r="AH50" s="2213">
        <f>IFERROR(IF(Public,_xll.ciqfunctions.udf.CIQ(SubjCoID,$AD50,AH$8,Valuation_date,ReportType,DataMode,SubjOutputCurrencyCode,FXMode)*Scale,0),0)</f>
        <v>0</v>
      </c>
      <c r="AI50" s="2213">
        <f>IFERROR(IF(Public,_xll.ciqfunctions.udf.CIQ(SubjCoID,$AD50,AI$8,Valuation_date,ReportType,DataMode,SubjOutputCurrencyCode,FXMode)*Scale,0),0)</f>
        <v>0</v>
      </c>
      <c r="AJ50" s="2213">
        <f>IFERROR(IF(Public,_xll.ciqfunctions.udf.CIQ(SubjCoID,$AD50,AJ$8,Valuation_date,ReportType,DataMode,SubjOutputCurrencyCode,FXMode)*Scale,0),0)</f>
        <v>0</v>
      </c>
      <c r="AK50" s="2213">
        <f>IFERROR(IF(Public,IF($AJ$9=$AK$9,AJ50,_xll.ciqfunctions.udf.CIQ(SubjCoID,$AD50,AK$8,Valuation_date,ReportType,DataMode,SubjOutputCurrencyCode,FXMode)*Scale),0),0)</f>
        <v>0</v>
      </c>
      <c r="AL50" s="1525"/>
    </row>
    <row r="51" spans="1:38" s="286" customFormat="1" ht="13.9">
      <c r="A51" s="1510"/>
      <c r="B51" s="1510"/>
      <c r="C51" s="319"/>
      <c r="D51" s="319"/>
      <c r="E51" s="218"/>
      <c r="F51" s="310"/>
      <c r="G51" s="310"/>
      <c r="H51" s="310"/>
      <c r="I51" s="310"/>
      <c r="J51" s="310"/>
      <c r="K51" s="310"/>
      <c r="L51" s="302"/>
      <c r="M51" s="1628"/>
      <c r="N51" s="1628"/>
      <c r="O51" s="1628"/>
      <c r="P51" s="1628"/>
      <c r="Q51" s="1628"/>
      <c r="R51" s="1628"/>
      <c r="S51" s="2060"/>
      <c r="T51" s="2060"/>
      <c r="U51" s="1525"/>
      <c r="V51" s="1510" t="s">
        <v>678</v>
      </c>
      <c r="W51" s="1525"/>
      <c r="X51" s="1525"/>
      <c r="Y51" s="1525"/>
      <c r="Z51" s="1525"/>
      <c r="AA51" s="1525"/>
      <c r="AB51" s="1525"/>
      <c r="AC51" s="362"/>
      <c r="AD51" s="314"/>
      <c r="AE51" s="319"/>
      <c r="AF51" s="1525"/>
      <c r="AG51" s="1525"/>
      <c r="AH51" s="1525"/>
      <c r="AI51" s="1525"/>
      <c r="AJ51" s="1525"/>
      <c r="AK51" s="1525"/>
      <c r="AL51" s="1525"/>
    </row>
    <row r="52" spans="1:38" s="286" customFormat="1" ht="13.9">
      <c r="A52" s="1510" t="str">
        <f t="shared" si="16"/>
        <v>n</v>
      </c>
      <c r="B52" s="1510"/>
      <c r="C52" s="319" t="s">
        <v>921</v>
      </c>
      <c r="D52" s="319"/>
      <c r="E52" s="218"/>
      <c r="F52" s="824">
        <f>AF52</f>
        <v>0</v>
      </c>
      <c r="G52" s="824">
        <f t="shared" ref="G52:K52" si="32">AG52</f>
        <v>0</v>
      </c>
      <c r="H52" s="824">
        <f t="shared" si="32"/>
        <v>0</v>
      </c>
      <c r="I52" s="824">
        <f t="shared" si="32"/>
        <v>0</v>
      </c>
      <c r="J52" s="824">
        <f t="shared" si="32"/>
        <v>0</v>
      </c>
      <c r="K52" s="824">
        <f t="shared" si="32"/>
        <v>0</v>
      </c>
      <c r="L52" s="370"/>
      <c r="M52" s="1628">
        <f t="shared" ref="M52:R52" si="33">IFERROR(F52/F$28,0)</f>
        <v>0</v>
      </c>
      <c r="N52" s="1628">
        <f t="shared" si="33"/>
        <v>0</v>
      </c>
      <c r="O52" s="1628">
        <f t="shared" si="33"/>
        <v>0</v>
      </c>
      <c r="P52" s="1628">
        <f t="shared" si="33"/>
        <v>0</v>
      </c>
      <c r="Q52" s="1628">
        <f t="shared" si="33"/>
        <v>0</v>
      </c>
      <c r="R52" s="1628">
        <f t="shared" si="33"/>
        <v>0</v>
      </c>
      <c r="S52" s="2060"/>
      <c r="T52" s="2060"/>
      <c r="U52" s="1525"/>
      <c r="V52" s="1510" t="s">
        <v>678</v>
      </c>
      <c r="W52" s="1525"/>
      <c r="X52" s="1525"/>
      <c r="Y52" s="1525"/>
      <c r="Z52" s="1525"/>
      <c r="AA52" s="1525"/>
      <c r="AB52" s="1525"/>
      <c r="AC52" s="362">
        <f>ROW('BAL SHEET Hist Input'!C52)</f>
        <v>52</v>
      </c>
      <c r="AD52" s="314" t="s">
        <v>793</v>
      </c>
      <c r="AE52" s="319" t="s">
        <v>921</v>
      </c>
      <c r="AF52" s="1507">
        <f>IFERROR(IF(Public,_xll.ciqfunctions.udf.CIQ(SubjCoID,$AD52,AF$8,Valuation_date,ReportType,DataMode,SubjOutputCurrencyCode,FXMode)*Scale,0),0)</f>
        <v>0</v>
      </c>
      <c r="AG52" s="1507">
        <f>IFERROR(IF(Public,_xll.ciqfunctions.udf.CIQ(SubjCoID,$AD52,AG$8,Valuation_date,ReportType,DataMode,SubjOutputCurrencyCode,FXMode)*Scale,0),0)</f>
        <v>0</v>
      </c>
      <c r="AH52" s="1507">
        <f>IFERROR(IF(Public,_xll.ciqfunctions.udf.CIQ(SubjCoID,$AD52,AH$8,Valuation_date,ReportType,DataMode,SubjOutputCurrencyCode,FXMode)*Scale,0),0)</f>
        <v>0</v>
      </c>
      <c r="AI52" s="1507">
        <f>IFERROR(IF(Public,_xll.ciqfunctions.udf.CIQ(SubjCoID,$AD52,AI$8,Valuation_date,ReportType,DataMode,SubjOutputCurrencyCode,FXMode)*Scale,0),0)</f>
        <v>0</v>
      </c>
      <c r="AJ52" s="1507">
        <f>IFERROR(IF(Public,_xll.ciqfunctions.udf.CIQ(SubjCoID,$AD52,AJ$8,Valuation_date,ReportType,DataMode,SubjOutputCurrencyCode,FXMode)*Scale,0),0)</f>
        <v>0</v>
      </c>
      <c r="AK52" s="1507">
        <f>IFERROR(IF(Public,IF($AJ$9=$AK$9,AJ52,_xll.ciqfunctions.udf.CIQ(SubjCoID,$AD52,AK$8,Valuation_date,ReportType,DataMode,SubjOutputCurrencyCode,FXMode)*Scale),0),0)</f>
        <v>0</v>
      </c>
      <c r="AL52" s="1525"/>
    </row>
    <row r="53" spans="1:38" s="286" customFormat="1" ht="13.9">
      <c r="A53" s="1510" t="str">
        <f>A52</f>
        <v>n</v>
      </c>
      <c r="B53" s="1510"/>
      <c r="C53" s="319"/>
      <c r="D53" s="319"/>
      <c r="E53" s="218"/>
      <c r="F53" s="310"/>
      <c r="G53" s="310"/>
      <c r="H53" s="310"/>
      <c r="I53" s="310"/>
      <c r="J53" s="310"/>
      <c r="K53" s="310"/>
      <c r="L53" s="302"/>
      <c r="M53" s="1628"/>
      <c r="N53" s="1628"/>
      <c r="O53" s="1628"/>
      <c r="P53" s="1628"/>
      <c r="Q53" s="1628"/>
      <c r="R53" s="1628"/>
      <c r="S53" s="2060"/>
      <c r="T53" s="2060"/>
      <c r="U53" s="1525"/>
      <c r="V53" s="1510" t="s">
        <v>678</v>
      </c>
      <c r="W53" s="1525"/>
      <c r="X53" s="1525"/>
      <c r="Y53" s="1525"/>
      <c r="Z53" s="1525"/>
      <c r="AA53" s="1525"/>
      <c r="AB53" s="1525"/>
      <c r="AC53" s="362"/>
      <c r="AD53" s="314"/>
      <c r="AE53" s="319"/>
      <c r="AF53" s="1525"/>
      <c r="AG53" s="1525"/>
      <c r="AH53" s="1525"/>
      <c r="AI53" s="1525"/>
      <c r="AJ53" s="1525"/>
      <c r="AK53" s="1525"/>
      <c r="AL53" s="1525"/>
    </row>
    <row r="54" spans="1:38" s="286" customFormat="1" ht="13.9">
      <c r="A54" s="1510" t="str">
        <f t="shared" si="16"/>
        <v>n</v>
      </c>
      <c r="B54" s="1510"/>
      <c r="C54" s="1302" t="s">
        <v>826</v>
      </c>
      <c r="D54" s="1303"/>
      <c r="E54" s="1308"/>
      <c r="F54" s="1309">
        <f>AF54</f>
        <v>0</v>
      </c>
      <c r="G54" s="1309">
        <f t="shared" ref="G54:K54" si="34">AG54</f>
        <v>0</v>
      </c>
      <c r="H54" s="1309">
        <f t="shared" si="34"/>
        <v>0</v>
      </c>
      <c r="I54" s="1309">
        <f t="shared" si="34"/>
        <v>0</v>
      </c>
      <c r="J54" s="1309">
        <f t="shared" si="34"/>
        <v>0</v>
      </c>
      <c r="K54" s="1309">
        <f t="shared" si="34"/>
        <v>0</v>
      </c>
      <c r="L54" s="1138"/>
      <c r="M54" s="1630">
        <f t="shared" ref="M54:R55" si="35">IFERROR(F54/F$28,0)</f>
        <v>0</v>
      </c>
      <c r="N54" s="1630">
        <f t="shared" si="35"/>
        <v>0</v>
      </c>
      <c r="O54" s="1630">
        <f t="shared" si="35"/>
        <v>0</v>
      </c>
      <c r="P54" s="1630">
        <f t="shared" si="35"/>
        <v>0</v>
      </c>
      <c r="Q54" s="1630">
        <f t="shared" si="35"/>
        <v>0</v>
      </c>
      <c r="R54" s="1630">
        <f t="shared" si="35"/>
        <v>0</v>
      </c>
      <c r="S54" s="2060"/>
      <c r="T54" s="2060"/>
      <c r="U54" s="1525"/>
      <c r="V54" s="1510" t="s">
        <v>678</v>
      </c>
      <c r="W54" s="1525"/>
      <c r="X54" s="1525"/>
      <c r="Y54" s="1525"/>
      <c r="Z54" s="1525"/>
      <c r="AA54" s="1525"/>
      <c r="AB54" s="1525"/>
      <c r="AC54" s="362">
        <f>ROW('BAL SHEET Hist Input'!C54)</f>
        <v>54</v>
      </c>
      <c r="AD54" s="1513" t="s">
        <v>827</v>
      </c>
      <c r="AE54" s="822" t="s">
        <v>826</v>
      </c>
      <c r="AF54" s="318">
        <f>IFERROR(IF(Public,_xll.ciqfunctions.udf.CIQ(SubjCoID,$AD54,AF$8,Valuation_date,ReportType,DataMode,SubjOutputCurrencyCode,FXMode)*Scale-AF52,0),0)</f>
        <v>0</v>
      </c>
      <c r="AG54" s="318">
        <f>IFERROR(IF(Public,_xll.ciqfunctions.udf.CIQ(SubjCoID,$AD54,AG$8,Valuation_date,ReportType,DataMode,SubjOutputCurrencyCode,FXMode)*Scale-AG52,0),0)</f>
        <v>0</v>
      </c>
      <c r="AH54" s="318">
        <f>IFERROR(IF(Public,_xll.ciqfunctions.udf.CIQ(SubjCoID,$AD54,AH$8,Valuation_date,ReportType,DataMode,SubjOutputCurrencyCode,FXMode)*Scale-AH52,0),0)</f>
        <v>0</v>
      </c>
      <c r="AI54" s="318">
        <f>IFERROR(IF(Public,_xll.ciqfunctions.udf.CIQ(SubjCoID,$AD54,AI$8,Valuation_date,ReportType,DataMode,SubjOutputCurrencyCode,FXMode)*Scale-AI52,0),0)</f>
        <v>0</v>
      </c>
      <c r="AJ54" s="318">
        <f>IFERROR(IF(Public,_xll.ciqfunctions.udf.CIQ(SubjCoID,$AD54,AJ$8,Valuation_date,ReportType,DataMode,SubjOutputCurrencyCode,FXMode)*Scale-AJ52,0),0)</f>
        <v>0</v>
      </c>
      <c r="AK54" s="318">
        <f>IFERROR(IF(Public,IF($AJ$9=$AK$9,AJ54,_xll.ciqfunctions.udf.CIQ(SubjCoID,$AD54,AK$8,Valuation_date,ReportType,DataMode,SubjOutputCurrencyCode,FXMode)*Scale-AK52),0),0)</f>
        <v>0</v>
      </c>
      <c r="AL54" s="1525"/>
    </row>
    <row r="55" spans="1:38" s="286" customFormat="1" ht="13.9">
      <c r="A55" s="1510" t="str">
        <f t="shared" si="16"/>
        <v>n</v>
      </c>
      <c r="B55" s="1510"/>
      <c r="C55" s="1304" t="s">
        <v>1020</v>
      </c>
      <c r="D55" s="1305"/>
      <c r="E55" s="1306"/>
      <c r="F55" s="1307">
        <f t="shared" ref="F55:K55" si="36">F50+F52+F54</f>
        <v>0</v>
      </c>
      <c r="G55" s="1307">
        <f t="shared" si="36"/>
        <v>0</v>
      </c>
      <c r="H55" s="1307">
        <f t="shared" si="36"/>
        <v>0</v>
      </c>
      <c r="I55" s="1307">
        <f t="shared" si="36"/>
        <v>0</v>
      </c>
      <c r="J55" s="1307">
        <f t="shared" si="36"/>
        <v>0</v>
      </c>
      <c r="K55" s="1307">
        <f t="shared" si="36"/>
        <v>0</v>
      </c>
      <c r="L55" s="1307"/>
      <c r="M55" s="1694">
        <f t="shared" si="35"/>
        <v>0</v>
      </c>
      <c r="N55" s="1694">
        <f t="shared" si="35"/>
        <v>0</v>
      </c>
      <c r="O55" s="1694">
        <f t="shared" si="35"/>
        <v>0</v>
      </c>
      <c r="P55" s="1694">
        <f t="shared" si="35"/>
        <v>0</v>
      </c>
      <c r="Q55" s="1694">
        <f t="shared" si="35"/>
        <v>0</v>
      </c>
      <c r="R55" s="1694">
        <f t="shared" si="35"/>
        <v>0</v>
      </c>
      <c r="S55" s="2060"/>
      <c r="T55" s="2060"/>
      <c r="U55" s="1525"/>
      <c r="V55" s="1510" t="s">
        <v>678</v>
      </c>
      <c r="W55" s="1525"/>
      <c r="X55" s="1525"/>
      <c r="Y55" s="1525"/>
      <c r="Z55" s="1525"/>
      <c r="AA55" s="1525"/>
      <c r="AB55" s="1525"/>
      <c r="AC55" s="362"/>
      <c r="AD55" s="1513" t="s">
        <v>1079</v>
      </c>
      <c r="AE55" s="820" t="s">
        <v>1020</v>
      </c>
      <c r="AF55" s="650">
        <f>IFERROR(IF(Public,_xll.ciqfunctions.udf.CIQ(SubjCoID,$AD55,AF$8,Valuation_date,ReportType,DataMode,SubjOutputCurrencyCode,FXMode)*Scale,0),0)</f>
        <v>0</v>
      </c>
      <c r="AG55" s="650">
        <f>IFERROR(IF(Public,_xll.ciqfunctions.udf.CIQ(SubjCoID,$AD55,AG$8,Valuation_date,ReportType,DataMode,SubjOutputCurrencyCode,FXMode)*Scale,0),0)</f>
        <v>0</v>
      </c>
      <c r="AH55" s="650">
        <f>IFERROR(IF(Public,_xll.ciqfunctions.udf.CIQ(SubjCoID,$AD55,AH$8,Valuation_date,ReportType,DataMode,SubjOutputCurrencyCode,FXMode)*Scale,0),0)</f>
        <v>0</v>
      </c>
      <c r="AI55" s="650">
        <f>IFERROR(IF(Public,_xll.ciqfunctions.udf.CIQ(SubjCoID,$AD55,AI$8,Valuation_date,ReportType,DataMode,SubjOutputCurrencyCode,FXMode)*Scale,0),0)</f>
        <v>0</v>
      </c>
      <c r="AJ55" s="650">
        <f>IFERROR(IF(Public,_xll.ciqfunctions.udf.CIQ(SubjCoID,$AD55,AJ$8,Valuation_date,ReportType,DataMode,SubjOutputCurrencyCode,FXMode)*Scale,0),0)</f>
        <v>0</v>
      </c>
      <c r="AK55" s="650">
        <f>IFERROR(IF(Public,IF($AJ$9=$AK$9,AJ55,_xll.ciqfunctions.udf.CIQ(SubjCoID,$AD55,AK$8,Valuation_date,ReportType,DataMode,SubjOutputCurrencyCode,FXMode)*Scale),0),0)</f>
        <v>0</v>
      </c>
      <c r="AL55" s="1525"/>
    </row>
    <row r="56" spans="1:38" s="286" customFormat="1" ht="13.9">
      <c r="A56" s="1510"/>
      <c r="B56" s="1510"/>
      <c r="C56" s="332"/>
      <c r="D56" s="1525"/>
      <c r="E56" s="531"/>
      <c r="F56" s="1582"/>
      <c r="G56" s="1535"/>
      <c r="H56" s="1535"/>
      <c r="I56" s="1535"/>
      <c r="J56" s="1535"/>
      <c r="K56" s="1535"/>
      <c r="L56" s="1535"/>
      <c r="M56" s="1507"/>
      <c r="N56" s="1507"/>
      <c r="O56" s="1507"/>
      <c r="P56" s="1507"/>
      <c r="Q56" s="1507"/>
      <c r="R56" s="1507"/>
      <c r="S56" s="2060"/>
      <c r="T56" s="2060"/>
      <c r="U56" s="1525"/>
      <c r="V56" s="1510" t="s">
        <v>678</v>
      </c>
      <c r="W56" s="1525"/>
      <c r="X56" s="1525"/>
      <c r="Y56" s="1525"/>
      <c r="Z56" s="1525"/>
      <c r="AA56" s="1525"/>
      <c r="AB56" s="1525"/>
      <c r="AC56" s="1525"/>
      <c r="AD56" s="1506"/>
      <c r="AE56" s="332"/>
      <c r="AF56" s="1525"/>
      <c r="AG56" s="1525"/>
      <c r="AH56" s="1525"/>
      <c r="AI56" s="1525"/>
      <c r="AJ56" s="1525"/>
      <c r="AK56" s="1525"/>
      <c r="AL56" s="1525"/>
    </row>
    <row r="57" spans="1:38" s="286" customFormat="1" ht="13.9">
      <c r="A57" s="1510" t="s">
        <v>17</v>
      </c>
      <c r="B57" s="1510"/>
      <c r="C57" s="323" t="s">
        <v>1080</v>
      </c>
      <c r="D57" s="323"/>
      <c r="E57" s="532"/>
      <c r="F57" s="823" t="str">
        <f t="shared" ref="F57:K57" si="37">IF(ROUND(F55-F28,0)=0,Pass,Fail)</f>
        <v>OK</v>
      </c>
      <c r="G57" s="823" t="str">
        <f t="shared" si="37"/>
        <v>OK</v>
      </c>
      <c r="H57" s="823" t="str">
        <f t="shared" si="37"/>
        <v>OK</v>
      </c>
      <c r="I57" s="823" t="str">
        <f t="shared" si="37"/>
        <v>OK</v>
      </c>
      <c r="J57" s="823" t="str">
        <f t="shared" si="37"/>
        <v>OK</v>
      </c>
      <c r="K57" s="823" t="str">
        <f t="shared" si="37"/>
        <v>OK</v>
      </c>
      <c r="L57" s="823"/>
      <c r="M57" s="1507"/>
      <c r="N57" s="1507"/>
      <c r="O57" s="1507"/>
      <c r="P57" s="1507"/>
      <c r="Q57" s="1507"/>
      <c r="R57" s="1507"/>
      <c r="S57" s="2060"/>
      <c r="T57" s="2060"/>
      <c r="U57" s="1525"/>
      <c r="V57" s="1510" t="s">
        <v>678</v>
      </c>
      <c r="W57" s="1525"/>
      <c r="X57" s="1525"/>
      <c r="Y57" s="1525"/>
      <c r="Z57" s="1525"/>
      <c r="AA57" s="1525"/>
      <c r="AB57" s="1525"/>
      <c r="AC57" s="1525"/>
      <c r="AD57" s="1513" t="s">
        <v>783</v>
      </c>
      <c r="AE57" s="332"/>
      <c r="AF57" s="1525">
        <f>IFERROR(IF(Public,_xll.ciqfunctions.udf.CIQ(SubjCoID,$AD57,AF$8,Valuation_date,ReportType,DataMode,SubjOutputCurrencyCode,FXMode)*Scale,0),0)</f>
        <v>0</v>
      </c>
      <c r="AG57" s="1525">
        <f>IFERROR(IF(Public,_xll.ciqfunctions.udf.CIQ(SubjCoID,$AD57,AG$8,Valuation_date,ReportType,DataMode,SubjOutputCurrencyCode,FXMode)*Scale,0),0)</f>
        <v>0</v>
      </c>
      <c r="AH57" s="1525">
        <f>IFERROR(IF(Public,_xll.ciqfunctions.udf.CIQ(SubjCoID,$AD57,AH$8,Valuation_date,ReportType,DataMode,SubjOutputCurrencyCode,FXMode)*Scale,0),0)</f>
        <v>0</v>
      </c>
      <c r="AI57" s="1525">
        <f>IFERROR(IF(Public,_xll.ciqfunctions.udf.CIQ(SubjCoID,$AD57,AI$8,Valuation_date,ReportType,DataMode,SubjOutputCurrencyCode,FXMode)*Scale,0),0)</f>
        <v>0</v>
      </c>
      <c r="AJ57" s="1525">
        <f>IFERROR(IF(Public,_xll.ciqfunctions.udf.CIQ(SubjCoID,$AD57,AJ$8,Valuation_date,ReportType,DataMode,SubjOutputCurrencyCode,FXMode)*Scale,0),0)</f>
        <v>0</v>
      </c>
      <c r="AK57" s="1525">
        <f>IFERROR(IF(Public,IF($AJ$9=$AK$9,AJ57,_xll.ciqfunctions.udf.CIQ(SubjCoID,$AD57,AK$8,Valuation_date,ReportType,DataMode,SubjOutputCurrencyCode,FXMode)*Scale),0),0)</f>
        <v>0</v>
      </c>
      <c r="AL57" s="1525"/>
    </row>
    <row r="58" spans="1:38" s="286" customFormat="1" ht="13.9">
      <c r="A58" s="1510" t="s">
        <v>17</v>
      </c>
      <c r="B58" s="1510"/>
      <c r="C58" s="1310"/>
      <c r="D58" s="1310"/>
      <c r="E58" s="1306"/>
      <c r="F58" s="1311"/>
      <c r="G58" s="1312"/>
      <c r="H58" s="1312"/>
      <c r="I58" s="1312"/>
      <c r="J58" s="1312"/>
      <c r="K58" s="1312"/>
      <c r="L58" s="1312"/>
      <c r="M58" s="1590"/>
      <c r="N58" s="1590"/>
      <c r="O58" s="1590"/>
      <c r="P58" s="1590"/>
      <c r="Q58" s="1590"/>
      <c r="R58" s="1590"/>
      <c r="S58" s="1590"/>
      <c r="T58" s="1590"/>
      <c r="U58" s="1525"/>
      <c r="V58" s="1510" t="s">
        <v>678</v>
      </c>
      <c r="W58" s="1525"/>
      <c r="X58" s="1525"/>
      <c r="Y58" s="1525"/>
      <c r="Z58" s="1525"/>
      <c r="AA58" s="1525"/>
      <c r="AB58" s="1525"/>
      <c r="AC58" s="2060"/>
      <c r="AD58" s="1578"/>
      <c r="AE58" s="2060"/>
      <c r="AF58" s="2060"/>
      <c r="AG58" s="2060"/>
      <c r="AH58" s="2060"/>
      <c r="AI58" s="2060"/>
      <c r="AJ58" s="2060"/>
      <c r="AK58" s="2060"/>
      <c r="AL58" s="1525"/>
    </row>
    <row r="59" spans="1:38" s="286" customFormat="1" ht="13.9">
      <c r="A59" s="1510" t="str">
        <f>IF(OR(MAX(F59:K59)&gt;0.01,MIN(,F59:K59)&lt;-0.01),"","n")</f>
        <v>n</v>
      </c>
      <c r="B59" s="1510"/>
      <c r="C59" s="1539" t="s">
        <v>1081</v>
      </c>
      <c r="D59" s="1539"/>
      <c r="E59" s="218"/>
      <c r="F59" s="1535">
        <f t="shared" ref="F59:K59" si="38">SUM(F12:F18)-SUM(F31:F36)</f>
        <v>0</v>
      </c>
      <c r="G59" s="1535">
        <f t="shared" si="38"/>
        <v>0</v>
      </c>
      <c r="H59" s="1535">
        <f t="shared" si="38"/>
        <v>0</v>
      </c>
      <c r="I59" s="1535">
        <f t="shared" si="38"/>
        <v>0</v>
      </c>
      <c r="J59" s="1535">
        <f t="shared" si="38"/>
        <v>0</v>
      </c>
      <c r="K59" s="1535">
        <f t="shared" si="38"/>
        <v>0</v>
      </c>
      <c r="L59" s="1535"/>
      <c r="M59" s="1507"/>
      <c r="N59" s="1507"/>
      <c r="O59" s="1507"/>
      <c r="P59" s="1507"/>
      <c r="Q59" s="1507"/>
      <c r="R59" s="1507"/>
      <c r="S59" s="1507"/>
      <c r="T59" s="1507"/>
      <c r="U59" s="1525"/>
      <c r="V59" s="1510" t="s">
        <v>678</v>
      </c>
      <c r="W59" s="1525"/>
      <c r="X59" s="1525"/>
      <c r="Y59" s="1525"/>
      <c r="Z59" s="1525"/>
      <c r="AA59" s="1525"/>
      <c r="AB59" s="1525"/>
      <c r="AC59" s="1525"/>
      <c r="AD59" s="1525"/>
      <c r="AE59" s="1525"/>
      <c r="AF59" s="1525"/>
      <c r="AG59" s="1525"/>
      <c r="AH59" s="1525"/>
      <c r="AI59" s="1525"/>
      <c r="AJ59" s="1525"/>
      <c r="AK59" s="1525"/>
      <c r="AL59" s="1525"/>
    </row>
    <row r="60" spans="1:38" s="286" customFormat="1" ht="13.9">
      <c r="A60" s="1510" t="str">
        <f>IF(OR(MAX(F60:K60)&gt;0.01,MIN(,F60:K60)&lt;-0.01),"","n")</f>
        <v>n</v>
      </c>
      <c r="B60" s="1510"/>
      <c r="C60" s="1539" t="s">
        <v>1082</v>
      </c>
      <c r="D60" s="1531"/>
      <c r="E60" s="218"/>
      <c r="F60" s="1824" t="str">
        <f>IFERROR(F59/'INC STAT Hist Input'!F10,"n/a")</f>
        <v>n/a</v>
      </c>
      <c r="G60" s="534" t="str">
        <f>IFERROR(G59/'INC STAT Hist Input'!G10,"n/a")</f>
        <v>n/a</v>
      </c>
      <c r="H60" s="534" t="str">
        <f>IFERROR(H59/'INC STAT Hist Input'!H10,"n/a")</f>
        <v>n/a</v>
      </c>
      <c r="I60" s="534" t="str">
        <f>IFERROR(I59/'INC STAT Hist Input'!I10,"n/a")</f>
        <v>n/a</v>
      </c>
      <c r="J60" s="534" t="str">
        <f>IFERROR(J59/'INC STAT Hist Input'!J10,"n/a")</f>
        <v>n/a</v>
      </c>
      <c r="K60" s="534" t="str">
        <f>IFERROR(K59/'INC STAT Hist Input'!K10,"n/a")</f>
        <v>n/a</v>
      </c>
      <c r="L60" s="534"/>
      <c r="M60" s="1507"/>
      <c r="N60" s="1507"/>
      <c r="O60" s="1507"/>
      <c r="P60" s="1507"/>
      <c r="Q60" s="1507"/>
      <c r="R60" s="1507"/>
      <c r="S60" s="1507"/>
      <c r="T60" s="1507"/>
      <c r="U60" s="1525"/>
      <c r="V60" s="1510" t="s">
        <v>678</v>
      </c>
      <c r="W60" s="1525"/>
      <c r="X60" s="1525"/>
      <c r="Y60" s="1525"/>
      <c r="Z60" s="1525"/>
      <c r="AA60" s="1525"/>
      <c r="AB60" s="1525"/>
      <c r="AC60" s="1525"/>
      <c r="AD60" s="1525"/>
      <c r="AE60" s="1525"/>
      <c r="AF60" s="1525"/>
      <c r="AG60" s="1525"/>
      <c r="AH60" s="1525"/>
      <c r="AI60" s="1525"/>
      <c r="AJ60" s="1525"/>
      <c r="AK60" s="1525"/>
      <c r="AL60" s="1525"/>
    </row>
    <row r="61" spans="1:38" s="1525" customFormat="1" ht="13.9">
      <c r="A61" s="1510"/>
      <c r="B61" s="1510"/>
      <c r="C61" s="299" t="s">
        <v>1083</v>
      </c>
      <c r="D61" s="1531"/>
      <c r="E61" s="218"/>
      <c r="F61" s="1805">
        <f>IFERROR(F12/'INC STAT Hist Input'!F10*365,0)</f>
        <v>0</v>
      </c>
      <c r="G61" s="1805">
        <f>IFERROR(G12/'INC STAT Hist Input'!G10*365,0)</f>
        <v>0</v>
      </c>
      <c r="H61" s="1805">
        <f>IFERROR(H12/'INC STAT Hist Input'!H10*365,0)</f>
        <v>0</v>
      </c>
      <c r="I61" s="1805">
        <f>IFERROR(I12/'INC STAT Hist Input'!I10*365,0)</f>
        <v>0</v>
      </c>
      <c r="J61" s="1805">
        <f>IFERROR(J12/'INC STAT Hist Input'!J10*365,0)</f>
        <v>0</v>
      </c>
      <c r="K61" s="1805">
        <f>IFERROR(K12/'INC STAT Hist Input'!K10*365,0)</f>
        <v>0</v>
      </c>
      <c r="L61" s="534"/>
      <c r="M61" s="1507"/>
      <c r="N61" s="1507"/>
      <c r="O61" s="1507"/>
      <c r="P61" s="1507"/>
      <c r="Q61" s="1507"/>
      <c r="R61" s="1507"/>
      <c r="S61" s="1507"/>
      <c r="T61" s="1507"/>
      <c r="V61" s="1510"/>
    </row>
    <row r="62" spans="1:38" s="1525" customFormat="1" ht="13.9">
      <c r="A62" s="1510"/>
      <c r="B62" s="1510"/>
      <c r="C62" s="299" t="s">
        <v>979</v>
      </c>
      <c r="D62" s="1531"/>
      <c r="E62" s="218"/>
      <c r="F62" s="1805">
        <f>IFERROR(F13/-'INC STAT Hist Input'!F$11*365,0)</f>
        <v>0</v>
      </c>
      <c r="G62" s="1805">
        <f>IFERROR(G13/-'INC STAT Hist Input'!G$11*365,0)</f>
        <v>0</v>
      </c>
      <c r="H62" s="1805">
        <f>IFERROR(H13/-'INC STAT Hist Input'!H$11*365,0)</f>
        <v>0</v>
      </c>
      <c r="I62" s="1805">
        <f>IFERROR(I13/-'INC STAT Hist Input'!I$11*365,0)</f>
        <v>0</v>
      </c>
      <c r="J62" s="1805">
        <f>IFERROR(J13/-'INC STAT Hist Input'!J$11*365,0)</f>
        <v>0</v>
      </c>
      <c r="K62" s="1805">
        <f>IFERROR(K13/-'INC STAT Hist Input'!K$11*365,0)</f>
        <v>0</v>
      </c>
      <c r="L62" s="534"/>
      <c r="M62" s="1507"/>
      <c r="N62" s="1507"/>
      <c r="O62" s="1507"/>
      <c r="P62" s="1507"/>
      <c r="Q62" s="1507"/>
      <c r="R62" s="1507"/>
      <c r="S62" s="1507"/>
      <c r="T62" s="1507"/>
      <c r="V62" s="1510"/>
    </row>
    <row r="63" spans="1:38" s="1525" customFormat="1" ht="13.9">
      <c r="A63" s="1510"/>
      <c r="B63" s="1510"/>
      <c r="C63" s="299" t="s">
        <v>1084</v>
      </c>
      <c r="D63" s="1531"/>
      <c r="E63" s="218"/>
      <c r="F63" s="1805">
        <f>IFERROR(F31/-'INC STAT Hist Input'!F$11*365,0)</f>
        <v>0</v>
      </c>
      <c r="G63" s="1805">
        <f>IFERROR(G31/-'INC STAT Hist Input'!G$11*365,0)</f>
        <v>0</v>
      </c>
      <c r="H63" s="1805">
        <f>IFERROR(H31/-'INC STAT Hist Input'!H$11*365,0)</f>
        <v>0</v>
      </c>
      <c r="I63" s="1805">
        <f>IFERROR(I31/-'INC STAT Hist Input'!I$11*365,0)</f>
        <v>0</v>
      </c>
      <c r="J63" s="1805">
        <f>IFERROR(J31/-'INC STAT Hist Input'!J$11*365,0)</f>
        <v>0</v>
      </c>
      <c r="K63" s="1805">
        <f>IFERROR(K31/-'INC STAT Hist Input'!K$11*365,0)</f>
        <v>0</v>
      </c>
      <c r="L63" s="534"/>
      <c r="M63" s="1507"/>
      <c r="N63" s="1507"/>
      <c r="O63" s="1507"/>
      <c r="P63" s="1507"/>
      <c r="Q63" s="1507"/>
      <c r="R63" s="1507"/>
      <c r="S63" s="1507"/>
      <c r="T63" s="1507"/>
      <c r="V63" s="1510"/>
    </row>
    <row r="64" spans="1:38" s="286" customFormat="1" ht="13.9">
      <c r="A64" s="1510" t="str">
        <f>IF(OR(MAX(F64:K64)&gt;0.01,MIN(,F64:K64)&lt;-0.01),"","n")</f>
        <v>n</v>
      </c>
      <c r="B64" s="1510"/>
      <c r="C64" s="1539" t="s">
        <v>1085</v>
      </c>
      <c r="D64" s="1531"/>
      <c r="E64" s="218"/>
      <c r="F64" s="324">
        <f t="shared" ref="F64:K64" si="39">F37+F38+F40+F41+F42+F43+IF(PensionSetting="Included in debt",F44,0)</f>
        <v>0</v>
      </c>
      <c r="G64" s="324">
        <f t="shared" si="39"/>
        <v>0</v>
      </c>
      <c r="H64" s="324">
        <f t="shared" si="39"/>
        <v>0</v>
      </c>
      <c r="I64" s="324">
        <f t="shared" si="39"/>
        <v>0</v>
      </c>
      <c r="J64" s="324">
        <f t="shared" si="39"/>
        <v>0</v>
      </c>
      <c r="K64" s="324">
        <f t="shared" si="39"/>
        <v>0</v>
      </c>
      <c r="L64" s="324"/>
      <c r="M64" s="1507"/>
      <c r="N64" s="1507"/>
      <c r="O64" s="1507"/>
      <c r="P64" s="1507"/>
      <c r="Q64" s="1507"/>
      <c r="R64" s="1507"/>
      <c r="S64" s="1507"/>
      <c r="T64" s="1507"/>
      <c r="U64" s="1525"/>
      <c r="V64" s="1510" t="s">
        <v>678</v>
      </c>
      <c r="W64" s="1525"/>
      <c r="X64" s="1525"/>
      <c r="Y64" s="1525"/>
      <c r="Z64" s="1525"/>
      <c r="AA64" s="1525"/>
      <c r="AB64" s="1525"/>
      <c r="AC64" s="1525"/>
      <c r="AD64" s="1525"/>
      <c r="AE64" s="1525"/>
      <c r="AF64" s="1525"/>
      <c r="AG64" s="1525"/>
      <c r="AH64" s="1525"/>
      <c r="AI64" s="1525"/>
      <c r="AJ64" s="1525"/>
      <c r="AK64" s="1525"/>
      <c r="AL64" s="1525"/>
    </row>
    <row r="65" spans="1:38" s="286" customFormat="1" ht="13.9">
      <c r="A65" s="1510" t="str">
        <f>IF(OR(MAX(F65:K65)&gt;0.01,MIN(,F65:K65)&lt;-0.01),"","n")</f>
        <v>n</v>
      </c>
      <c r="B65" s="1510"/>
      <c r="C65" s="1313" t="s">
        <v>1086</v>
      </c>
      <c r="D65" s="1137"/>
      <c r="E65" s="1308"/>
      <c r="F65" s="1311">
        <f t="shared" ref="F65:K65" si="40">F64-F11</f>
        <v>0</v>
      </c>
      <c r="G65" s="1312">
        <f t="shared" si="40"/>
        <v>0</v>
      </c>
      <c r="H65" s="1312">
        <f t="shared" si="40"/>
        <v>0</v>
      </c>
      <c r="I65" s="1312">
        <f t="shared" si="40"/>
        <v>0</v>
      </c>
      <c r="J65" s="1312">
        <f t="shared" si="40"/>
        <v>0</v>
      </c>
      <c r="K65" s="1312">
        <f t="shared" si="40"/>
        <v>0</v>
      </c>
      <c r="L65" s="1312"/>
      <c r="M65" s="1590"/>
      <c r="N65" s="1590"/>
      <c r="O65" s="1590"/>
      <c r="P65" s="1590"/>
      <c r="Q65" s="1590"/>
      <c r="R65" s="1590"/>
      <c r="S65" s="1590"/>
      <c r="T65" s="1590"/>
      <c r="U65" s="1525"/>
      <c r="V65" s="1510" t="s">
        <v>678</v>
      </c>
      <c r="W65" s="1525"/>
      <c r="X65" s="1525"/>
      <c r="Y65" s="1525"/>
      <c r="Z65" s="1525"/>
      <c r="AA65" s="1525"/>
      <c r="AB65" s="1525"/>
      <c r="AC65" s="1525"/>
      <c r="AD65" s="1525"/>
      <c r="AE65" s="1525"/>
      <c r="AF65" s="1525"/>
      <c r="AG65" s="1525"/>
      <c r="AH65" s="1525"/>
      <c r="AI65" s="1525"/>
      <c r="AJ65" s="1525"/>
      <c r="AK65" s="1525"/>
      <c r="AL65" s="1525"/>
    </row>
    <row r="66" spans="1:38" s="334" customFormat="1" ht="13.9">
      <c r="A66" s="1510"/>
      <c r="B66" s="1510"/>
      <c r="C66" s="1531"/>
      <c r="D66" s="1531"/>
      <c r="E66" s="1517"/>
      <c r="F66" s="1582"/>
      <c r="G66" s="1535"/>
      <c r="H66" s="1535"/>
      <c r="I66" s="1535"/>
      <c r="J66" s="1535"/>
      <c r="K66" s="1535"/>
      <c r="L66" s="1535"/>
      <c r="M66" s="1536"/>
      <c r="N66" s="1536"/>
      <c r="O66" s="1536"/>
      <c r="P66" s="1536"/>
      <c r="Q66" s="1536"/>
      <c r="R66" s="1536"/>
      <c r="S66" s="1536"/>
      <c r="T66" s="1536"/>
      <c r="U66" s="1525"/>
      <c r="V66" s="1510"/>
      <c r="W66" s="1525"/>
      <c r="X66" s="1525"/>
      <c r="Y66" s="1525"/>
      <c r="Z66" s="1525"/>
      <c r="AA66" s="1525"/>
      <c r="AB66" s="1525"/>
      <c r="AC66" s="1525"/>
      <c r="AD66" s="1525"/>
      <c r="AE66" s="1525"/>
      <c r="AF66" s="1525"/>
      <c r="AG66" s="1525"/>
      <c r="AH66" s="1525"/>
      <c r="AI66" s="1525"/>
      <c r="AJ66" s="1525"/>
      <c r="AK66" s="1525"/>
      <c r="AL66" s="1525"/>
    </row>
    <row r="67" spans="1:38" s="1525" customFormat="1" ht="13.9">
      <c r="A67" s="1510"/>
      <c r="B67" s="1510"/>
      <c r="C67" s="1539" t="s">
        <v>1087</v>
      </c>
      <c r="D67" s="1531"/>
      <c r="E67" s="1517"/>
      <c r="F67" s="1582"/>
      <c r="G67" s="1535"/>
      <c r="H67" s="1535"/>
      <c r="I67" s="1535"/>
      <c r="J67" s="1535"/>
      <c r="K67" s="1535"/>
      <c r="L67" s="1535"/>
      <c r="M67" s="1536"/>
      <c r="N67" s="1536"/>
      <c r="O67" s="1536"/>
      <c r="P67" s="1536"/>
      <c r="Q67" s="1536"/>
      <c r="R67" s="1536"/>
      <c r="S67" s="1536"/>
      <c r="T67" s="1536"/>
      <c r="V67" s="1510"/>
    </row>
    <row r="68" spans="1:38" s="286" customFormat="1" ht="13.9">
      <c r="A68" s="1510"/>
      <c r="B68" s="1510"/>
      <c r="C68" s="1545" t="str">
        <f>IF(Public,"Source: Capital IQ","")</f>
        <v/>
      </c>
      <c r="D68" s="1545"/>
      <c r="E68" s="1532"/>
      <c r="F68" s="1582"/>
      <c r="G68" s="325"/>
      <c r="H68" s="325"/>
      <c r="I68" s="325"/>
      <c r="J68" s="325"/>
      <c r="K68" s="325"/>
      <c r="L68" s="325"/>
      <c r="M68" s="1536"/>
      <c r="N68" s="1536"/>
      <c r="O68" s="1536"/>
      <c r="P68" s="1536"/>
      <c r="Q68" s="1536"/>
      <c r="R68" s="1536"/>
      <c r="S68" s="1536"/>
      <c r="T68" s="1536"/>
      <c r="U68" s="1525"/>
      <c r="V68" s="1510" t="s">
        <v>678</v>
      </c>
      <c r="W68" s="1525"/>
      <c r="X68" s="1525"/>
      <c r="Y68" s="1525"/>
      <c r="Z68" s="1525"/>
      <c r="AA68" s="1525"/>
      <c r="AB68" s="1525"/>
      <c r="AC68" s="1525"/>
      <c r="AD68" s="1525"/>
      <c r="AE68" s="1525"/>
      <c r="AF68" s="1525"/>
      <c r="AG68" s="1525"/>
      <c r="AH68" s="1525"/>
      <c r="AI68" s="1525"/>
      <c r="AJ68" s="1525"/>
      <c r="AK68" s="1525"/>
      <c r="AL68" s="1525"/>
    </row>
    <row r="69" spans="1:38" ht="13.9">
      <c r="A69" s="1510"/>
      <c r="B69" s="1510"/>
      <c r="C69" s="373" t="str">
        <f ca="1">FootnoteDRAFT</f>
        <v>Run date: 05-August-2018  02:34 PM.   DRAFT document. All data subject to change upon completion of additional analysis.</v>
      </c>
      <c r="D69" s="373"/>
      <c r="E69" s="356"/>
      <c r="F69" s="622"/>
      <c r="G69" s="356"/>
      <c r="H69" s="356"/>
      <c r="I69" s="356"/>
      <c r="J69" s="356"/>
      <c r="K69" s="356"/>
      <c r="L69" s="356"/>
      <c r="M69" s="1529"/>
      <c r="N69" s="1529"/>
      <c r="O69" s="1529"/>
      <c r="P69" s="1529"/>
      <c r="Q69" s="1529"/>
      <c r="R69" s="1529"/>
      <c r="S69" s="1529"/>
      <c r="T69" s="1529"/>
      <c r="U69" s="358"/>
      <c r="V69" s="1510" t="s">
        <v>678</v>
      </c>
      <c r="W69" s="1525"/>
      <c r="X69" s="1525"/>
      <c r="AC69" s="1525"/>
      <c r="AD69" s="1525"/>
      <c r="AE69" s="1525"/>
      <c r="AF69" s="1525"/>
      <c r="AG69" s="1525"/>
      <c r="AH69" s="1525"/>
      <c r="AI69" s="1525"/>
      <c r="AJ69" s="1525"/>
      <c r="AK69" s="1525"/>
      <c r="AL69" s="1525"/>
    </row>
    <row r="70" spans="1:38" ht="12" customHeight="1">
      <c r="A70" s="1510" t="s">
        <v>17</v>
      </c>
      <c r="B70" s="1510"/>
      <c r="C70" s="1510"/>
      <c r="D70" s="1510"/>
      <c r="E70" s="1510"/>
      <c r="F70" s="683"/>
      <c r="G70" s="1510"/>
      <c r="H70" s="1510"/>
      <c r="I70" s="1510"/>
      <c r="J70" s="1510"/>
      <c r="K70" s="1510"/>
      <c r="L70" s="1510"/>
      <c r="M70" s="1510"/>
      <c r="N70" s="1510"/>
      <c r="O70" s="1510"/>
      <c r="P70" s="1510"/>
      <c r="Q70" s="1510"/>
      <c r="R70" s="1510"/>
      <c r="S70" s="1510"/>
      <c r="T70" s="1510"/>
      <c r="U70" s="1484" t="s">
        <v>18</v>
      </c>
      <c r="V70" s="1510" t="s">
        <v>678</v>
      </c>
      <c r="W70" s="1525"/>
      <c r="X70" s="1525"/>
      <c r="AC70" s="1525"/>
      <c r="AD70" s="1525"/>
      <c r="AE70" s="1525"/>
      <c r="AF70" s="1525"/>
      <c r="AG70" s="1525"/>
      <c r="AH70" s="1525"/>
      <c r="AI70" s="1525"/>
      <c r="AJ70" s="1525"/>
      <c r="AK70" s="1525"/>
      <c r="AL70" s="1525"/>
    </row>
    <row r="71" spans="1:38" ht="12" customHeight="1">
      <c r="A71" s="1510"/>
      <c r="B71" s="1510"/>
      <c r="C71" s="1510"/>
      <c r="D71" s="1510"/>
      <c r="E71" s="1510"/>
      <c r="F71" s="701"/>
      <c r="G71" s="1510"/>
      <c r="H71" s="1510"/>
      <c r="I71" s="1510"/>
      <c r="J71" s="1510"/>
      <c r="K71" s="1510"/>
      <c r="L71" s="1510"/>
      <c r="M71" s="1510"/>
      <c r="N71" s="1510"/>
      <c r="O71" s="1510"/>
      <c r="P71" s="1510"/>
      <c r="Q71" s="1510"/>
      <c r="R71" s="1510"/>
      <c r="S71" s="1510"/>
      <c r="T71" s="1510"/>
      <c r="U71" s="1510"/>
      <c r="V71" s="1510"/>
      <c r="W71" s="1525"/>
      <c r="X71" s="1525"/>
      <c r="AC71" s="1525"/>
      <c r="AD71" s="1525"/>
      <c r="AE71" s="1525"/>
      <c r="AF71" s="1525"/>
      <c r="AG71" s="1525"/>
      <c r="AH71" s="1525"/>
      <c r="AI71" s="1525"/>
      <c r="AJ71" s="1525"/>
      <c r="AK71" s="1525"/>
      <c r="AL71" s="1525"/>
    </row>
    <row r="72" spans="1:38" ht="12" customHeight="1">
      <c r="A72" s="1525"/>
      <c r="B72" s="1525"/>
      <c r="C72" s="1525"/>
      <c r="D72" s="1525"/>
      <c r="E72" s="1525"/>
      <c r="F72" s="1578"/>
      <c r="G72" s="1525"/>
      <c r="H72" s="1525"/>
      <c r="I72" s="1525"/>
      <c r="J72" s="1525"/>
      <c r="K72" s="1525"/>
      <c r="L72" s="1525"/>
      <c r="M72" s="1525"/>
      <c r="S72" s="1525"/>
      <c r="T72" s="1525"/>
      <c r="U72" s="1525"/>
      <c r="V72" s="1525"/>
      <c r="W72" s="1525"/>
      <c r="X72" s="1525"/>
      <c r="AC72" s="1525"/>
      <c r="AD72" s="1525"/>
      <c r="AE72" s="1525"/>
      <c r="AF72" s="1525"/>
      <c r="AG72" s="1525"/>
      <c r="AH72" s="1525"/>
      <c r="AI72" s="1525"/>
      <c r="AJ72" s="1525"/>
      <c r="AK72" s="1525"/>
      <c r="AL72" s="1525"/>
    </row>
    <row r="73" spans="1:38" ht="12" customHeight="1">
      <c r="A73" s="1525"/>
      <c r="B73" s="1525"/>
      <c r="C73" s="1525"/>
      <c r="D73" s="1525"/>
      <c r="E73" s="1525"/>
      <c r="F73" s="1578"/>
      <c r="G73" s="1525"/>
      <c r="H73" s="1525"/>
      <c r="I73" s="1525"/>
      <c r="J73" s="1525"/>
      <c r="K73" s="1525"/>
      <c r="L73" s="1525"/>
      <c r="M73" s="1525"/>
      <c r="S73" s="1525"/>
      <c r="T73" s="1525"/>
      <c r="U73" s="1525"/>
      <c r="V73" s="1525"/>
      <c r="W73" s="1525"/>
      <c r="X73" s="1525"/>
      <c r="AC73" s="1525"/>
      <c r="AD73" s="1525"/>
      <c r="AE73" s="1525"/>
      <c r="AF73" s="1525"/>
      <c r="AG73" s="1525"/>
      <c r="AH73" s="1525"/>
      <c r="AI73" s="1525"/>
      <c r="AJ73" s="1525"/>
      <c r="AK73" s="1525"/>
      <c r="AL73" s="1525"/>
    </row>
    <row r="74" spans="1:38" ht="12" customHeight="1">
      <c r="A74" s="1525"/>
      <c r="B74" s="1525"/>
      <c r="C74" s="1525"/>
      <c r="D74" s="1525"/>
      <c r="E74" s="1525"/>
      <c r="F74" s="1578"/>
      <c r="G74" s="1525"/>
      <c r="H74" s="1525"/>
      <c r="I74" s="1525"/>
      <c r="J74" s="1525"/>
      <c r="K74" s="1525"/>
      <c r="L74" s="1525"/>
      <c r="M74" s="1525"/>
      <c r="S74" s="1525"/>
      <c r="T74" s="1525"/>
      <c r="U74" s="1525"/>
      <c r="V74" s="1525"/>
      <c r="W74" s="1525"/>
      <c r="X74" s="1525"/>
      <c r="AC74" s="1525"/>
      <c r="AD74" s="1525"/>
      <c r="AE74" s="1525"/>
      <c r="AF74" s="1525"/>
      <c r="AG74" s="1525"/>
      <c r="AH74" s="1525"/>
      <c r="AI74" s="1525"/>
      <c r="AJ74" s="1525"/>
      <c r="AK74" s="1525"/>
      <c r="AL74" s="1525"/>
    </row>
    <row r="75" spans="1:38" ht="12" customHeight="1">
      <c r="A75" s="1525"/>
      <c r="B75" s="1525"/>
      <c r="C75" s="1525"/>
      <c r="D75" s="1525"/>
      <c r="E75" s="1525"/>
      <c r="F75" s="1578"/>
      <c r="G75" s="1525"/>
      <c r="H75" s="1525"/>
      <c r="I75" s="1525"/>
      <c r="J75" s="1525"/>
      <c r="K75" s="1525"/>
      <c r="L75" s="1525"/>
      <c r="M75" s="1525"/>
      <c r="S75" s="1525"/>
      <c r="T75" s="1525"/>
      <c r="U75" s="1525"/>
      <c r="V75" s="1525"/>
      <c r="W75" s="1525"/>
      <c r="X75" s="1525"/>
      <c r="AC75" s="1525"/>
      <c r="AD75" s="1525"/>
      <c r="AE75" s="1525"/>
      <c r="AF75" s="1525"/>
      <c r="AG75" s="1525"/>
      <c r="AH75" s="1525"/>
      <c r="AI75" s="1525"/>
      <c r="AJ75" s="1525"/>
      <c r="AK75" s="1525"/>
      <c r="AL75" s="1525"/>
    </row>
    <row r="76" spans="1:38" ht="12" customHeight="1">
      <c r="A76" s="1525"/>
      <c r="B76" s="1525"/>
      <c r="C76" s="1525"/>
      <c r="D76" s="1525"/>
      <c r="E76" s="1525"/>
      <c r="F76" s="1578"/>
      <c r="G76" s="1525"/>
      <c r="H76" s="1525"/>
      <c r="I76" s="1525"/>
      <c r="J76" s="1525"/>
      <c r="K76" s="1525"/>
      <c r="L76" s="1525"/>
      <c r="M76" s="1525"/>
      <c r="S76" s="1525"/>
      <c r="T76" s="1525"/>
      <c r="U76" s="1525"/>
      <c r="V76" s="1525"/>
      <c r="W76" s="1525"/>
      <c r="X76" s="1525"/>
      <c r="AC76" s="1525"/>
      <c r="AD76" s="1525"/>
      <c r="AE76" s="1525"/>
      <c r="AF76" s="1525"/>
      <c r="AG76" s="1525"/>
      <c r="AH76" s="1525"/>
      <c r="AI76" s="1525"/>
      <c r="AJ76" s="1525"/>
      <c r="AK76" s="1525"/>
      <c r="AL76" s="1525"/>
    </row>
    <row r="77" spans="1:38" ht="12" customHeight="1">
      <c r="A77" s="1525"/>
      <c r="B77" s="1525"/>
      <c r="C77" s="1525"/>
      <c r="D77" s="1525"/>
      <c r="E77" s="1525"/>
      <c r="F77" s="1578"/>
      <c r="G77" s="1525"/>
      <c r="H77" s="1525"/>
      <c r="I77" s="1525"/>
      <c r="J77" s="1525"/>
      <c r="K77" s="1525"/>
      <c r="L77" s="1525"/>
      <c r="M77" s="1525"/>
      <c r="S77" s="1525"/>
      <c r="T77" s="1525"/>
      <c r="U77" s="1525"/>
      <c r="V77" s="1525"/>
      <c r="W77" s="1525"/>
      <c r="X77" s="1525"/>
      <c r="AC77" s="1525"/>
      <c r="AD77" s="1525"/>
      <c r="AE77" s="1525"/>
      <c r="AF77" s="1525"/>
      <c r="AG77" s="1525"/>
      <c r="AH77" s="1525"/>
      <c r="AI77" s="1525"/>
      <c r="AJ77" s="1525"/>
      <c r="AK77" s="1525"/>
      <c r="AL77" s="1525"/>
    </row>
    <row r="78" spans="1:38" ht="12" customHeight="1">
      <c r="A78" s="1525"/>
      <c r="B78" s="1525"/>
      <c r="C78" s="1525"/>
      <c r="D78" s="1525"/>
      <c r="E78" s="1525"/>
      <c r="F78" s="1578"/>
      <c r="G78" s="1525"/>
      <c r="H78" s="1525"/>
      <c r="I78" s="1525"/>
      <c r="J78" s="1525"/>
      <c r="K78" s="1525"/>
      <c r="L78" s="1525"/>
      <c r="M78" s="1525"/>
      <c r="S78" s="1525"/>
      <c r="T78" s="1525"/>
      <c r="U78" s="1525"/>
      <c r="V78" s="1525"/>
      <c r="W78" s="1525"/>
      <c r="X78" s="1525"/>
      <c r="AC78" s="1525"/>
      <c r="AD78" s="1525"/>
      <c r="AE78" s="1525"/>
      <c r="AF78" s="1525"/>
      <c r="AG78" s="1525"/>
      <c r="AH78" s="1525"/>
      <c r="AI78" s="1525"/>
      <c r="AJ78" s="1525"/>
      <c r="AK78" s="1525"/>
      <c r="AL78" s="1525"/>
    </row>
    <row r="79" spans="1:38" ht="12" customHeight="1">
      <c r="A79" s="1525"/>
      <c r="B79" s="1525"/>
      <c r="C79" s="1525"/>
      <c r="D79" s="1525"/>
      <c r="E79" s="1525"/>
      <c r="F79" s="1578"/>
      <c r="G79" s="1525"/>
      <c r="H79" s="1525"/>
      <c r="I79" s="1525"/>
      <c r="J79" s="1525"/>
      <c r="K79" s="1525"/>
      <c r="L79" s="1525"/>
      <c r="M79" s="1525"/>
      <c r="S79" s="1525"/>
      <c r="T79" s="1525"/>
      <c r="U79" s="1525"/>
      <c r="V79" s="1525"/>
      <c r="W79" s="1525"/>
      <c r="X79" s="1525"/>
      <c r="AC79" s="1525"/>
      <c r="AD79" s="1525"/>
      <c r="AE79" s="1525"/>
      <c r="AF79" s="1525"/>
      <c r="AG79" s="1525"/>
      <c r="AH79" s="1525"/>
      <c r="AI79" s="1525"/>
      <c r="AJ79" s="1525"/>
      <c r="AK79" s="1525"/>
      <c r="AL79" s="1525"/>
    </row>
    <row r="80" spans="1:38" ht="12" customHeight="1">
      <c r="A80" s="1525"/>
      <c r="B80" s="1525"/>
      <c r="C80" s="1525"/>
      <c r="D80" s="1525"/>
      <c r="E80" s="1525"/>
      <c r="F80" s="1578"/>
      <c r="G80" s="1525"/>
      <c r="H80" s="1525"/>
      <c r="I80" s="1525"/>
      <c r="J80" s="1525"/>
      <c r="K80" s="1525"/>
      <c r="L80" s="1525"/>
      <c r="M80" s="1525"/>
      <c r="S80" s="1525"/>
      <c r="T80" s="1525"/>
      <c r="U80" s="1525"/>
      <c r="V80" s="1525"/>
      <c r="W80" s="1525"/>
      <c r="X80" s="1525"/>
      <c r="AC80" s="1525"/>
      <c r="AD80" s="1525"/>
      <c r="AE80" s="1525"/>
      <c r="AF80" s="1525"/>
      <c r="AG80" s="1525"/>
      <c r="AH80" s="1525"/>
      <c r="AI80" s="1525"/>
      <c r="AJ80" s="1525"/>
      <c r="AK80" s="1525"/>
      <c r="AL80" s="1525"/>
    </row>
    <row r="81" spans="6:6" ht="12" customHeight="1">
      <c r="F81" s="1578"/>
    </row>
    <row r="82" spans="6:6" ht="12" customHeight="1">
      <c r="F82" s="1578"/>
    </row>
    <row r="83" spans="6:6" ht="12" customHeight="1">
      <c r="F83" s="1578"/>
    </row>
    <row r="84" spans="6:6" ht="12" customHeight="1">
      <c r="F84" s="1578"/>
    </row>
    <row r="85" spans="6:6" ht="12" customHeight="1">
      <c r="F85" s="1578"/>
    </row>
    <row r="86" spans="6:6" ht="12" customHeight="1">
      <c r="F86" s="1505"/>
    </row>
    <row r="87" spans="6:6" ht="12" customHeight="1">
      <c r="F87" s="1505"/>
    </row>
    <row r="88" spans="6:6" ht="12" customHeight="1">
      <c r="F88" s="1578"/>
    </row>
    <row r="89" spans="6:6" ht="12" customHeight="1">
      <c r="F89" s="1578"/>
    </row>
    <row r="90" spans="6:6" ht="12" customHeight="1">
      <c r="F90" s="1578"/>
    </row>
  </sheetData>
  <conditionalFormatting sqref="B1">
    <cfRule type="cellIs" dxfId="322" priority="9" operator="notEqual">
      <formula>0</formula>
    </cfRule>
  </conditionalFormatting>
  <conditionalFormatting sqref="F11:K18 F29:K38 F51:K54 F20:K27 F44:K49 F40:K42">
    <cfRule type="expression" dxfId="321" priority="5">
      <formula>Public=TRUE</formula>
    </cfRule>
  </conditionalFormatting>
  <conditionalFormatting sqref="A2:A4 A6:A71">
    <cfRule type="expression" dxfId="320" priority="3">
      <formula>AND(MasterCheck&gt;0,RedAlertY=TRUE)</formula>
    </cfRule>
  </conditionalFormatting>
  <conditionalFormatting sqref="A5">
    <cfRule type="expression" dxfId="319" priority="2">
      <formula>AND(MasterCheck,REDLAERTY=TRUE)&gt;0</formula>
    </cfRule>
  </conditionalFormatting>
  <conditionalFormatting sqref="F43:K43">
    <cfRule type="expression" dxfId="318" priority="1">
      <formula>Public=TRUE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70" max="16383" man="1"/>
  </rowBreaks>
  <extLst>
    <ext xmlns:x14="http://schemas.microsoft.com/office/spreadsheetml/2009/9/main" uri="{78C0D931-6437-407d-A8EE-F0AAD7539E65}">
      <x14:conditionalFormattings>
        <x14:conditionalFormatting xmlns:xm="http://schemas.microsoft.com/office/excel/2006/main">
          <x14:cfRule type="notContainsText" priority="16" operator="notContains" id="{C8022F86-C3E2-4EC6-B41E-DE5761E87CDE}">
            <xm:f>ISERROR(SEARCH("OK",F57))</xm:f>
            <xm:f>"OK"</xm:f>
            <x14:dxf>
              <font>
                <b/>
                <i val="0"/>
                <color rgb="FFFF0000"/>
              </font>
            </x14:dxf>
          </x14:cfRule>
          <xm:sqref>F57:L57</xm:sqref>
        </x14:conditionalFormatting>
        <x14:conditionalFormatting xmlns:xm="http://schemas.microsoft.com/office/excel/2006/main">
          <x14:cfRule type="notContainsText" priority="15" operator="notContains" id="{67CFFA6C-2BA5-4F27-A5C5-A6BA65F1AB63}">
            <xm:f>ISERROR(SEARCH("OK",F57))</xm:f>
            <xm:f>"OK"</xm:f>
            <x14:dxf>
              <font>
                <b/>
                <i val="0"/>
                <color rgb="FFFF0000"/>
              </font>
            </x14:dxf>
          </x14:cfRule>
          <xm:sqref>F57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NOLTaxBenefit">
    <tabColor rgb="FFFFFF00"/>
    <pageSetUpPr autoPageBreaks="0"/>
  </sheetPr>
  <dimension ref="A1:Y95"/>
  <sheetViews>
    <sheetView showGridLines="0" zoomScale="85" zoomScaleNormal="85" workbookViewId="0"/>
  </sheetViews>
  <sheetFormatPr defaultColWidth="9.33203125" defaultRowHeight="13.9"/>
  <cols>
    <col min="1" max="1" width="2.83203125" style="322" customWidth="1"/>
    <col min="2" max="2" width="3.83203125" style="322" customWidth="1"/>
    <col min="3" max="3" width="32.1640625" style="313" customWidth="1"/>
    <col min="4" max="4" width="10.5" style="313" customWidth="1"/>
    <col min="5" max="6" width="2" style="313" customWidth="1"/>
    <col min="7" max="21" width="11.33203125" style="313" customWidth="1"/>
    <col min="22" max="22" width="5" style="313" customWidth="1"/>
    <col min="23" max="23" width="8.83203125" style="313" customWidth="1"/>
    <col min="24" max="24" width="10" style="313" customWidth="1"/>
    <col min="25" max="16384" width="9.33203125" style="322"/>
  </cols>
  <sheetData>
    <row r="1" spans="1:25" s="292" customFormat="1" ht="18" customHeight="1">
      <c r="A1" s="1557"/>
      <c r="B1" s="649">
        <f ca="1">SUMPRODUCT(--ISERROR($C$1:V42))+COUNTIF($C$1:V42,Fail)</f>
        <v>1</v>
      </c>
      <c r="C1" s="1372" t="str">
        <f>START!$C$1</f>
        <v>Client Name</v>
      </c>
      <c r="V1" s="389" t="s">
        <v>1088</v>
      </c>
      <c r="W1" s="597"/>
    </row>
    <row r="2" spans="1:25" s="292" customFormat="1" ht="18" customHeight="1">
      <c r="A2" s="1557"/>
      <c r="B2" s="649"/>
      <c r="C2" s="1372" t="str">
        <f>START!$C$2</f>
        <v xml:space="preserve">Please enter project description in START worksheet cell G13 </v>
      </c>
      <c r="V2" s="389"/>
      <c r="W2" s="597"/>
    </row>
    <row r="3" spans="1:25" s="369" customFormat="1" ht="18" customHeight="1">
      <c r="A3" s="1510"/>
      <c r="B3" s="1510"/>
      <c r="C3" s="839" t="e">
        <f ca="1">MID(CELL("filename",A1),FIND("]",CELL("filename",A1))+1,256)&amp;" under the Gordon Growth method"</f>
        <v>#VALUE!</v>
      </c>
      <c r="W3" s="597"/>
    </row>
    <row r="4" spans="1:25" s="337" customFormat="1" ht="18" customHeight="1">
      <c r="A4" s="1510"/>
      <c r="B4" s="1510"/>
      <c r="C4" s="840" t="str">
        <f>ValDateHeading</f>
        <v>Estimation of value as of 28 February 2017</v>
      </c>
      <c r="D4" s="2062"/>
      <c r="E4" s="2062"/>
      <c r="F4" s="2062"/>
      <c r="G4" s="2062"/>
      <c r="H4" s="2062"/>
      <c r="I4" s="2062"/>
      <c r="J4" s="2062"/>
      <c r="K4" s="2062"/>
      <c r="L4" s="2062"/>
      <c r="M4" s="2062"/>
      <c r="N4" s="2062"/>
      <c r="O4" s="2062"/>
      <c r="P4" s="2062"/>
      <c r="Q4" s="2062"/>
      <c r="R4" s="2062"/>
      <c r="S4" s="2062"/>
      <c r="T4" s="2062"/>
      <c r="U4" s="2062"/>
      <c r="V4" s="2062"/>
      <c r="W4" s="598"/>
      <c r="X4" s="2062"/>
      <c r="Y4" s="2062"/>
    </row>
    <row r="5" spans="1:25" ht="18" customHeight="1">
      <c r="A5" s="1417"/>
      <c r="B5" s="1510"/>
      <c r="C5" s="769" t="str">
        <f>SubjCurrencyHeading</f>
        <v>(USD in Millions)</v>
      </c>
      <c r="D5" s="386"/>
      <c r="E5" s="386"/>
      <c r="F5" s="386"/>
      <c r="G5" s="386"/>
      <c r="H5" s="386"/>
      <c r="I5" s="386"/>
      <c r="J5" s="386"/>
      <c r="K5" s="386"/>
      <c r="L5" s="386"/>
      <c r="M5" s="386"/>
      <c r="N5" s="386"/>
      <c r="O5" s="386"/>
      <c r="P5" s="1513"/>
      <c r="Q5" s="1513"/>
      <c r="R5" s="1513"/>
      <c r="S5" s="1513"/>
      <c r="T5" s="1513"/>
      <c r="U5" s="1513"/>
      <c r="V5" s="1513"/>
      <c r="W5" s="1552"/>
      <c r="X5" s="1513"/>
      <c r="Y5" s="1506"/>
    </row>
    <row r="6" spans="1:25">
      <c r="A6" s="1413" t="str">
        <f>IF(MasterCheck,"Please check the "&amp;'Error Check'!$G$8,"")</f>
        <v/>
      </c>
      <c r="B6" s="1424"/>
      <c r="C6" s="1511"/>
      <c r="D6" s="1520"/>
      <c r="E6" s="1520"/>
      <c r="F6" s="1520"/>
      <c r="G6" s="1520"/>
      <c r="H6" s="1520"/>
      <c r="I6" s="1520"/>
      <c r="J6" s="1520"/>
      <c r="K6" s="1520"/>
      <c r="L6" s="1520"/>
      <c r="M6" s="1520"/>
      <c r="N6" s="1520"/>
      <c r="O6" s="1520"/>
      <c r="P6" s="1520"/>
      <c r="Q6" s="1520"/>
      <c r="R6" s="1520"/>
      <c r="S6" s="1520"/>
      <c r="T6" s="1520"/>
      <c r="U6" s="1520"/>
      <c r="V6" s="1520"/>
      <c r="W6" s="1552"/>
      <c r="X6" s="1513"/>
      <c r="Y6" s="1506"/>
    </row>
    <row r="7" spans="1:25">
      <c r="A7" s="1510"/>
      <c r="B7" s="1510"/>
      <c r="C7" s="1520"/>
      <c r="D7" s="1520"/>
      <c r="E7" s="1520"/>
      <c r="F7" s="1520"/>
      <c r="G7" s="1520"/>
      <c r="H7" s="1520"/>
      <c r="I7" s="1520"/>
      <c r="J7" s="1520"/>
      <c r="K7" s="1520"/>
      <c r="L7" s="1520"/>
      <c r="M7" s="1520"/>
      <c r="N7" s="1520"/>
      <c r="O7" s="1520"/>
      <c r="P7" s="1520"/>
      <c r="Q7" s="1520"/>
      <c r="R7" s="1520"/>
      <c r="S7" s="1520"/>
      <c r="T7" s="1520"/>
      <c r="U7" s="1520"/>
      <c r="V7" s="1520"/>
      <c r="W7" s="1552"/>
      <c r="X7" s="387"/>
      <c r="Y7" s="1506"/>
    </row>
    <row r="8" spans="1:25">
      <c r="A8" s="1510"/>
      <c r="B8" s="1510"/>
      <c r="C8" s="1279"/>
      <c r="D8" s="1279"/>
      <c r="E8" s="1279"/>
      <c r="F8" s="1279"/>
      <c r="G8" s="1204">
        <v>1</v>
      </c>
      <c r="H8" s="1279">
        <f>G8+1</f>
        <v>2</v>
      </c>
      <c r="I8" s="1279">
        <f t="shared" ref="I8:U8" si="0">H8+1</f>
        <v>3</v>
      </c>
      <c r="J8" s="1279">
        <f t="shared" si="0"/>
        <v>4</v>
      </c>
      <c r="K8" s="1279">
        <f t="shared" si="0"/>
        <v>5</v>
      </c>
      <c r="L8" s="1279">
        <f t="shared" si="0"/>
        <v>6</v>
      </c>
      <c r="M8" s="1279">
        <f t="shared" si="0"/>
        <v>7</v>
      </c>
      <c r="N8" s="1279">
        <f t="shared" si="0"/>
        <v>8</v>
      </c>
      <c r="O8" s="1279">
        <f t="shared" si="0"/>
        <v>9</v>
      </c>
      <c r="P8" s="1279">
        <f t="shared" si="0"/>
        <v>10</v>
      </c>
      <c r="Q8" s="1279">
        <f t="shared" si="0"/>
        <v>11</v>
      </c>
      <c r="R8" s="1279">
        <f t="shared" si="0"/>
        <v>12</v>
      </c>
      <c r="S8" s="1279">
        <f t="shared" si="0"/>
        <v>13</v>
      </c>
      <c r="T8" s="1279">
        <f t="shared" si="0"/>
        <v>14</v>
      </c>
      <c r="U8" s="1279">
        <f t="shared" si="0"/>
        <v>15</v>
      </c>
      <c r="V8" s="420"/>
      <c r="W8" s="1552"/>
      <c r="X8" s="420"/>
      <c r="Y8" s="420"/>
    </row>
    <row r="9" spans="1:25">
      <c r="A9" s="1510"/>
      <c r="B9" s="1510"/>
      <c r="C9" s="1280" t="s">
        <v>1089</v>
      </c>
      <c r="D9" s="1280"/>
      <c r="E9" s="1280"/>
      <c r="F9" s="1280"/>
      <c r="G9" s="1206">
        <f>'PFI Inputs'!G26</f>
        <v>42825</v>
      </c>
      <c r="H9" s="1206">
        <f>EOMONTH(G9,12)</f>
        <v>43190</v>
      </c>
      <c r="I9" s="1206">
        <f>EOMONTH(H9,12)</f>
        <v>43555</v>
      </c>
      <c r="J9" s="1206">
        <f>EOMONTH(I9,12)</f>
        <v>43921</v>
      </c>
      <c r="K9" s="1206">
        <f t="shared" ref="K9:U9" si="1">EOMONTH(J9,12)</f>
        <v>44286</v>
      </c>
      <c r="L9" s="1206">
        <f t="shared" si="1"/>
        <v>44651</v>
      </c>
      <c r="M9" s="1206">
        <f t="shared" si="1"/>
        <v>45016</v>
      </c>
      <c r="N9" s="1206">
        <f t="shared" si="1"/>
        <v>45382</v>
      </c>
      <c r="O9" s="1206">
        <f t="shared" si="1"/>
        <v>45747</v>
      </c>
      <c r="P9" s="1206">
        <f t="shared" si="1"/>
        <v>46112</v>
      </c>
      <c r="Q9" s="1206">
        <f t="shared" si="1"/>
        <v>46477</v>
      </c>
      <c r="R9" s="1206">
        <f t="shared" si="1"/>
        <v>46843</v>
      </c>
      <c r="S9" s="1206">
        <f t="shared" si="1"/>
        <v>47208</v>
      </c>
      <c r="T9" s="1206">
        <f t="shared" si="1"/>
        <v>47573</v>
      </c>
      <c r="U9" s="1206">
        <f t="shared" si="1"/>
        <v>47938</v>
      </c>
      <c r="V9" s="420"/>
      <c r="W9" s="1552"/>
      <c r="X9" s="420"/>
      <c r="Y9" s="420"/>
    </row>
    <row r="10" spans="1:25">
      <c r="A10" s="1510"/>
      <c r="B10" s="1510"/>
      <c r="C10" s="416"/>
      <c r="D10" s="416"/>
      <c r="E10" s="416"/>
      <c r="F10" s="416"/>
      <c r="G10" s="416"/>
      <c r="H10" s="416"/>
      <c r="I10" s="416"/>
      <c r="J10" s="416"/>
      <c r="K10" s="416"/>
      <c r="L10" s="420"/>
      <c r="M10" s="420"/>
      <c r="N10" s="420"/>
      <c r="O10" s="420"/>
      <c r="P10" s="420"/>
      <c r="Q10" s="420"/>
      <c r="R10" s="420"/>
      <c r="S10" s="420"/>
      <c r="T10" s="420"/>
      <c r="U10" s="420"/>
      <c r="V10" s="420"/>
      <c r="W10" s="1552"/>
      <c r="X10" s="420"/>
      <c r="Y10" s="420"/>
    </row>
    <row r="11" spans="1:25">
      <c r="A11" s="1510"/>
      <c r="B11" s="1510"/>
      <c r="C11" s="922" t="s">
        <v>1090</v>
      </c>
      <c r="D11" s="416"/>
      <c r="E11" s="416"/>
      <c r="F11" s="416"/>
      <c r="G11" s="416"/>
      <c r="H11" s="416"/>
      <c r="I11" s="416"/>
      <c r="J11" s="416"/>
      <c r="K11" s="416"/>
      <c r="L11" s="420"/>
      <c r="M11" s="420"/>
      <c r="N11" s="420"/>
      <c r="O11" s="420"/>
      <c r="P11" s="420"/>
      <c r="Q11" s="420"/>
      <c r="R11" s="420"/>
      <c r="S11" s="420"/>
      <c r="T11" s="420"/>
      <c r="U11" s="420"/>
      <c r="V11" s="420"/>
      <c r="W11" s="1552"/>
      <c r="X11" s="420"/>
      <c r="Y11" s="420"/>
    </row>
    <row r="12" spans="1:25">
      <c r="A12" s="1510"/>
      <c r="B12" s="1510"/>
      <c r="C12" s="923" t="s">
        <v>211</v>
      </c>
      <c r="D12" s="416"/>
      <c r="E12" s="416"/>
      <c r="F12" s="416"/>
      <c r="G12" s="416">
        <f ca="1">IF(G8&lt;=NoOfPFIYrs,'PFI Inputs'!G79,F12*(1+Growth_Rate))</f>
        <v>0</v>
      </c>
      <c r="H12" s="416">
        <f ca="1">IF(H8&lt;=NoOfPFIYrs,'PFI Inputs'!H79,G12*(1+Growth_Rate))</f>
        <v>0</v>
      </c>
      <c r="I12" s="416">
        <f ca="1">IF(I8&lt;=NoOfPFIYrs,'PFI Inputs'!I79,H12*(1+Growth_Rate))</f>
        <v>0</v>
      </c>
      <c r="J12" s="416">
        <f ca="1">IF(J8&lt;=NoOfPFIYrs,'PFI Inputs'!J79,I12*(1+Growth_Rate))</f>
        <v>0</v>
      </c>
      <c r="K12" s="416">
        <f ca="1">IF(K8&lt;=NoOfPFIYrs,'PFI Inputs'!K79,J12*(1+Growth_Rate))</f>
        <v>0</v>
      </c>
      <c r="L12" s="416">
        <f ca="1">IF(L8&lt;=NoOfPFIYrs,'PFI Inputs'!L79,K12*(1+Growth_Rate))</f>
        <v>0</v>
      </c>
      <c r="M12" s="416">
        <f ca="1">IF(M8&lt;=NoOfPFIYrs,'PFI Inputs'!M79,L12*(1+Growth_Rate))</f>
        <v>0</v>
      </c>
      <c r="N12" s="416">
        <f ca="1">IF(N8&lt;=NoOfPFIYrs,'PFI Inputs'!N79,M12*(1+Growth_Rate))</f>
        <v>0</v>
      </c>
      <c r="O12" s="416">
        <f ca="1">IF(O8&lt;=NoOfPFIYrs,'PFI Inputs'!O79,N12*(1+Growth_Rate))</f>
        <v>0</v>
      </c>
      <c r="P12" s="416">
        <f ca="1">IF(P8&lt;=NoOfPFIYrs,'PFI Inputs'!P79,O12*(1+Growth_Rate))</f>
        <v>0</v>
      </c>
      <c r="Q12" s="416">
        <f ca="1">IF(Q8&lt;=NoOfPFIYrs,'PFI Inputs'!Q79,P12*(1+Growth_Rate))</f>
        <v>0</v>
      </c>
      <c r="R12" s="416">
        <f ca="1">IF(R8&lt;=NoOfPFIYrs,'PFI Inputs'!R79,Q12*(1+Growth_Rate))</f>
        <v>0</v>
      </c>
      <c r="S12" s="416">
        <f ca="1">IF(S8&lt;=NoOfPFIYrs,'PFI Inputs'!S79,R12*(1+Growth_Rate))</f>
        <v>0</v>
      </c>
      <c r="T12" s="416">
        <f ca="1">IF(T8&lt;=NoOfPFIYrs,'PFI Inputs'!T79,S12*(1+Growth_Rate))</f>
        <v>0</v>
      </c>
      <c r="U12" s="416">
        <f ca="1">IF(U8&lt;=NoOfPFIYrs,'PFI Inputs'!U79,T12*(1+Growth_Rate))</f>
        <v>0</v>
      </c>
      <c r="V12" s="420"/>
      <c r="W12" s="1552"/>
      <c r="X12" s="420"/>
      <c r="Y12" s="420"/>
    </row>
    <row r="13" spans="1:25">
      <c r="A13" s="1510"/>
      <c r="B13" s="1510"/>
      <c r="C13" s="923" t="s">
        <v>966</v>
      </c>
      <c r="D13" s="416"/>
      <c r="E13" s="416"/>
      <c r="F13" s="416"/>
      <c r="G13" s="416">
        <f t="shared" ref="G13:P13" ca="1" si="2">-MAX(G12,0)*G14</f>
        <v>0</v>
      </c>
      <c r="H13" s="416">
        <f t="shared" ca="1" si="2"/>
        <v>0</v>
      </c>
      <c r="I13" s="416">
        <f t="shared" ca="1" si="2"/>
        <v>0</v>
      </c>
      <c r="J13" s="416">
        <f t="shared" ca="1" si="2"/>
        <v>0</v>
      </c>
      <c r="K13" s="416">
        <f t="shared" ca="1" si="2"/>
        <v>0</v>
      </c>
      <c r="L13" s="416">
        <f t="shared" ca="1" si="2"/>
        <v>0</v>
      </c>
      <c r="M13" s="416">
        <f t="shared" ca="1" si="2"/>
        <v>0</v>
      </c>
      <c r="N13" s="416">
        <f t="shared" ca="1" si="2"/>
        <v>0</v>
      </c>
      <c r="O13" s="416">
        <f t="shared" ca="1" si="2"/>
        <v>0</v>
      </c>
      <c r="P13" s="416">
        <f t="shared" ca="1" si="2"/>
        <v>0</v>
      </c>
      <c r="Q13" s="416">
        <f ca="1">-MAX(Q12,0)*Q14</f>
        <v>0</v>
      </c>
      <c r="R13" s="416">
        <f ca="1">-MAX(R12,0)*R14</f>
        <v>0</v>
      </c>
      <c r="S13" s="416">
        <f ca="1">-MAX(S12,0)*S14</f>
        <v>0</v>
      </c>
      <c r="T13" s="416">
        <f ca="1">-MAX(T12,0)*T14</f>
        <v>0</v>
      </c>
      <c r="U13" s="416">
        <f ca="1">-MAX(U12,0)*U14</f>
        <v>0</v>
      </c>
      <c r="V13" s="420"/>
      <c r="W13" s="1552"/>
      <c r="X13" s="420"/>
      <c r="Y13" s="420"/>
    </row>
    <row r="14" spans="1:25">
      <c r="A14" s="1510"/>
      <c r="B14" s="1510"/>
      <c r="C14" s="923" t="s">
        <v>933</v>
      </c>
      <c r="D14" s="951"/>
      <c r="E14" s="416"/>
      <c r="F14" s="416"/>
      <c r="G14" s="951">
        <f>IF(G8&gt;NoOfPFIYrs,F14,'PFI Inputs'!G91)</f>
        <v>0</v>
      </c>
      <c r="H14" s="951">
        <f>IF(H8&gt;NoOfPFIYrs,G14,'PFI Inputs'!H91)</f>
        <v>0</v>
      </c>
      <c r="I14" s="951">
        <f>IF(I8&gt;NoOfPFIYrs,H14,'PFI Inputs'!I91)</f>
        <v>0</v>
      </c>
      <c r="J14" s="951">
        <f>IF(J8&gt;NoOfPFIYrs,I14,'PFI Inputs'!J91)</f>
        <v>0</v>
      </c>
      <c r="K14" s="951">
        <f>IF(K8&gt;NoOfPFIYrs,J14,'PFI Inputs'!K91)</f>
        <v>0</v>
      </c>
      <c r="L14" s="951">
        <f>IF(L8&gt;NoOfPFIYrs,K14,'PFI Inputs'!L91)</f>
        <v>0</v>
      </c>
      <c r="M14" s="951">
        <f>IF(M8&gt;NoOfPFIYrs,L14,'PFI Inputs'!M91)</f>
        <v>0</v>
      </c>
      <c r="N14" s="951">
        <f>IF(N8&gt;NoOfPFIYrs,M14,'PFI Inputs'!N91)</f>
        <v>0</v>
      </c>
      <c r="O14" s="951">
        <f>IF(O8&gt;NoOfPFIYrs,N14,'PFI Inputs'!O91)</f>
        <v>0</v>
      </c>
      <c r="P14" s="951">
        <f>IF(P8&gt;NoOfPFIYrs,O14,'PFI Inputs'!P91)</f>
        <v>0</v>
      </c>
      <c r="Q14" s="951">
        <f>IF(Q8&gt;NoOfPFIYrs,P14,'PFI Inputs'!Q91)</f>
        <v>0</v>
      </c>
      <c r="R14" s="951">
        <f>IF(R8&gt;NoOfPFIYrs,Q14,'PFI Inputs'!R91)</f>
        <v>0</v>
      </c>
      <c r="S14" s="951">
        <f>IF(S8&gt;NoOfPFIYrs,R14,'PFI Inputs'!S91)</f>
        <v>0</v>
      </c>
      <c r="T14" s="951">
        <f>IF(T8&gt;NoOfPFIYrs,S14,'PFI Inputs'!T91)</f>
        <v>0</v>
      </c>
      <c r="U14" s="951">
        <f>IF(U8&gt;NoOfPFIYrs,T14,'PFI Inputs'!U91)</f>
        <v>0</v>
      </c>
      <c r="V14" s="420"/>
      <c r="W14" s="1552"/>
      <c r="X14" s="420"/>
      <c r="Y14" s="420"/>
    </row>
    <row r="15" spans="1:25">
      <c r="A15" s="1510"/>
      <c r="B15" s="1510"/>
      <c r="C15" s="923" t="s">
        <v>1091</v>
      </c>
      <c r="D15" s="416"/>
      <c r="E15" s="416"/>
      <c r="F15" s="416"/>
      <c r="G15" s="1203">
        <f ca="1">SUM(G12:G13)</f>
        <v>0</v>
      </c>
      <c r="H15" s="1203">
        <f t="shared" ref="H15:U15" ca="1" si="3">SUM(H12:H13)</f>
        <v>0</v>
      </c>
      <c r="I15" s="1203">
        <f t="shared" ca="1" si="3"/>
        <v>0</v>
      </c>
      <c r="J15" s="1203">
        <f t="shared" ca="1" si="3"/>
        <v>0</v>
      </c>
      <c r="K15" s="1203">
        <f t="shared" ca="1" si="3"/>
        <v>0</v>
      </c>
      <c r="L15" s="1203">
        <f t="shared" ca="1" si="3"/>
        <v>0</v>
      </c>
      <c r="M15" s="1203">
        <f t="shared" ca="1" si="3"/>
        <v>0</v>
      </c>
      <c r="N15" s="1203">
        <f t="shared" ca="1" si="3"/>
        <v>0</v>
      </c>
      <c r="O15" s="1203">
        <f t="shared" ca="1" si="3"/>
        <v>0</v>
      </c>
      <c r="P15" s="1203">
        <f t="shared" ca="1" si="3"/>
        <v>0</v>
      </c>
      <c r="Q15" s="1203">
        <f t="shared" ca="1" si="3"/>
        <v>0</v>
      </c>
      <c r="R15" s="1203">
        <f t="shared" ca="1" si="3"/>
        <v>0</v>
      </c>
      <c r="S15" s="1203">
        <f t="shared" ca="1" si="3"/>
        <v>0</v>
      </c>
      <c r="T15" s="1203">
        <f t="shared" ca="1" si="3"/>
        <v>0</v>
      </c>
      <c r="U15" s="1203">
        <f t="shared" ca="1" si="3"/>
        <v>0</v>
      </c>
      <c r="V15" s="420"/>
      <c r="W15" s="1552"/>
      <c r="X15" s="420"/>
      <c r="Y15" s="420"/>
    </row>
    <row r="16" spans="1:25">
      <c r="A16" s="1510"/>
      <c r="B16" s="1510"/>
      <c r="C16" s="416"/>
      <c r="D16" s="416"/>
      <c r="E16" s="416"/>
      <c r="F16" s="416"/>
      <c r="G16" s="416"/>
      <c r="H16" s="416"/>
      <c r="I16" s="416"/>
      <c r="J16" s="416"/>
      <c r="K16" s="416"/>
      <c r="L16" s="420"/>
      <c r="M16" s="420"/>
      <c r="N16" s="420"/>
      <c r="O16" s="420"/>
      <c r="P16" s="420"/>
      <c r="Q16" s="420"/>
      <c r="R16" s="420"/>
      <c r="S16" s="420"/>
      <c r="T16" s="420"/>
      <c r="U16" s="420"/>
      <c r="V16" s="420"/>
      <c r="W16" s="1552"/>
      <c r="X16" s="420"/>
      <c r="Y16" s="420"/>
    </row>
    <row r="17" spans="1:25">
      <c r="A17" s="1510"/>
      <c r="B17" s="1510"/>
      <c r="C17" s="922" t="s">
        <v>1092</v>
      </c>
      <c r="D17" s="416"/>
      <c r="E17" s="416"/>
      <c r="F17" s="416"/>
      <c r="G17" s="416"/>
      <c r="H17" s="416"/>
      <c r="I17" s="416"/>
      <c r="J17" s="416"/>
      <c r="K17" s="416"/>
      <c r="L17" s="420"/>
      <c r="M17" s="420"/>
      <c r="N17" s="420"/>
      <c r="O17" s="420"/>
      <c r="P17" s="420"/>
      <c r="Q17" s="420"/>
      <c r="R17" s="420"/>
      <c r="S17" s="420"/>
      <c r="T17" s="420"/>
      <c r="U17" s="420"/>
      <c r="V17" s="420"/>
      <c r="W17" s="1552"/>
      <c r="X17" s="420"/>
      <c r="Y17" s="420"/>
    </row>
    <row r="18" spans="1:25">
      <c r="A18" s="1510"/>
      <c r="B18" s="1510"/>
      <c r="C18" s="923" t="s">
        <v>211</v>
      </c>
      <c r="D18" s="416"/>
      <c r="E18" s="416"/>
      <c r="F18" s="416"/>
      <c r="G18" s="416">
        <f ca="1">MAX(G12,0)</f>
        <v>0</v>
      </c>
      <c r="H18" s="416">
        <f t="shared" ref="H18:U18" ca="1" si="4">MAX(H12,0)</f>
        <v>0</v>
      </c>
      <c r="I18" s="416">
        <f t="shared" ca="1" si="4"/>
        <v>0</v>
      </c>
      <c r="J18" s="416">
        <f t="shared" ca="1" si="4"/>
        <v>0</v>
      </c>
      <c r="K18" s="416">
        <f t="shared" ca="1" si="4"/>
        <v>0</v>
      </c>
      <c r="L18" s="416">
        <f t="shared" ca="1" si="4"/>
        <v>0</v>
      </c>
      <c r="M18" s="416">
        <f t="shared" ca="1" si="4"/>
        <v>0</v>
      </c>
      <c r="N18" s="416">
        <f t="shared" ca="1" si="4"/>
        <v>0</v>
      </c>
      <c r="O18" s="416">
        <f t="shared" ca="1" si="4"/>
        <v>0</v>
      </c>
      <c r="P18" s="416">
        <f t="shared" ca="1" si="4"/>
        <v>0</v>
      </c>
      <c r="Q18" s="416">
        <f t="shared" ca="1" si="4"/>
        <v>0</v>
      </c>
      <c r="R18" s="416">
        <f t="shared" ca="1" si="4"/>
        <v>0</v>
      </c>
      <c r="S18" s="416">
        <f t="shared" ca="1" si="4"/>
        <v>0</v>
      </c>
      <c r="T18" s="416">
        <f t="shared" ca="1" si="4"/>
        <v>0</v>
      </c>
      <c r="U18" s="416">
        <f t="shared" ca="1" si="4"/>
        <v>0</v>
      </c>
      <c r="V18" s="420"/>
      <c r="W18" s="1552"/>
      <c r="X18" s="420"/>
      <c r="Y18" s="420"/>
    </row>
    <row r="19" spans="1:25">
      <c r="A19" s="1510"/>
      <c r="B19" s="1510"/>
      <c r="C19" s="923"/>
      <c r="D19" s="416"/>
      <c r="E19" s="416"/>
      <c r="F19" s="416"/>
      <c r="G19" s="416"/>
      <c r="H19" s="416"/>
      <c r="I19" s="416"/>
      <c r="J19" s="416"/>
      <c r="K19" s="416"/>
      <c r="L19" s="416"/>
      <c r="M19" s="416"/>
      <c r="N19" s="416"/>
      <c r="O19" s="416"/>
      <c r="P19" s="416"/>
      <c r="Q19" s="416"/>
      <c r="R19" s="416"/>
      <c r="S19" s="416"/>
      <c r="T19" s="416"/>
      <c r="U19" s="416"/>
      <c r="V19" s="420"/>
      <c r="W19" s="1552"/>
      <c r="X19" s="420"/>
      <c r="Y19" s="420"/>
    </row>
    <row r="20" spans="1:25">
      <c r="A20" s="1510"/>
      <c r="B20" s="1510"/>
      <c r="C20" s="923" t="s">
        <v>1093</v>
      </c>
      <c r="D20" s="2214"/>
      <c r="E20" s="416"/>
      <c r="F20" s="416"/>
      <c r="G20" s="417">
        <f>$D$20</f>
        <v>0</v>
      </c>
      <c r="H20" s="417">
        <f ca="1">G23</f>
        <v>0</v>
      </c>
      <c r="I20" s="417">
        <f t="shared" ref="I20:U20" ca="1" si="5">H23</f>
        <v>0</v>
      </c>
      <c r="J20" s="417">
        <f t="shared" ca="1" si="5"/>
        <v>0</v>
      </c>
      <c r="K20" s="417">
        <f t="shared" ca="1" si="5"/>
        <v>0</v>
      </c>
      <c r="L20" s="417">
        <f t="shared" ca="1" si="5"/>
        <v>0</v>
      </c>
      <c r="M20" s="417">
        <f t="shared" ca="1" si="5"/>
        <v>0</v>
      </c>
      <c r="N20" s="417">
        <f t="shared" ca="1" si="5"/>
        <v>0</v>
      </c>
      <c r="O20" s="417">
        <f t="shared" ca="1" si="5"/>
        <v>0</v>
      </c>
      <c r="P20" s="417">
        <f t="shared" ca="1" si="5"/>
        <v>0</v>
      </c>
      <c r="Q20" s="417">
        <f t="shared" ca="1" si="5"/>
        <v>0</v>
      </c>
      <c r="R20" s="417">
        <f t="shared" ca="1" si="5"/>
        <v>0</v>
      </c>
      <c r="S20" s="417">
        <f t="shared" ca="1" si="5"/>
        <v>0</v>
      </c>
      <c r="T20" s="417">
        <f t="shared" ca="1" si="5"/>
        <v>0</v>
      </c>
      <c r="U20" s="417">
        <f t="shared" ca="1" si="5"/>
        <v>0</v>
      </c>
      <c r="V20" s="420"/>
      <c r="W20" s="1552"/>
      <c r="X20" s="420"/>
      <c r="Y20" s="420"/>
    </row>
    <row r="21" spans="1:25">
      <c r="A21" s="1510"/>
      <c r="B21" s="1510"/>
      <c r="C21" s="923" t="s">
        <v>1094</v>
      </c>
      <c r="D21" s="416"/>
      <c r="E21" s="416"/>
      <c r="F21" s="416"/>
      <c r="G21" s="417">
        <f ca="1">-MIN(G12,0)</f>
        <v>0</v>
      </c>
      <c r="H21" s="417">
        <f ca="1">-MIN(H12,0)</f>
        <v>0</v>
      </c>
      <c r="I21" s="417">
        <f t="shared" ref="I21:U21" ca="1" si="6">-MIN(I12,0)</f>
        <v>0</v>
      </c>
      <c r="J21" s="417">
        <f t="shared" ca="1" si="6"/>
        <v>0</v>
      </c>
      <c r="K21" s="417">
        <f t="shared" ca="1" si="6"/>
        <v>0</v>
      </c>
      <c r="L21" s="417">
        <f t="shared" ca="1" si="6"/>
        <v>0</v>
      </c>
      <c r="M21" s="417">
        <f t="shared" ca="1" si="6"/>
        <v>0</v>
      </c>
      <c r="N21" s="417">
        <f t="shared" ca="1" si="6"/>
        <v>0</v>
      </c>
      <c r="O21" s="417">
        <f t="shared" ca="1" si="6"/>
        <v>0</v>
      </c>
      <c r="P21" s="417">
        <f t="shared" ca="1" si="6"/>
        <v>0</v>
      </c>
      <c r="Q21" s="417">
        <f t="shared" ca="1" si="6"/>
        <v>0</v>
      </c>
      <c r="R21" s="417">
        <f t="shared" ca="1" si="6"/>
        <v>0</v>
      </c>
      <c r="S21" s="417">
        <f t="shared" ca="1" si="6"/>
        <v>0</v>
      </c>
      <c r="T21" s="417">
        <f t="shared" ca="1" si="6"/>
        <v>0</v>
      </c>
      <c r="U21" s="417">
        <f t="shared" ca="1" si="6"/>
        <v>0</v>
      </c>
      <c r="V21" s="420"/>
      <c r="W21" s="1552"/>
      <c r="X21" s="420"/>
      <c r="Y21" s="420"/>
    </row>
    <row r="22" spans="1:25">
      <c r="A22" s="1510"/>
      <c r="B22" s="1510"/>
      <c r="C22" s="923" t="s">
        <v>1095</v>
      </c>
      <c r="D22" s="2214"/>
      <c r="E22" s="416"/>
      <c r="F22" s="416"/>
      <c r="G22" s="417">
        <f ca="1">-MIN(MAX(G18,0)*90%,MIN(G20,$D$22))</f>
        <v>0</v>
      </c>
      <c r="H22" s="417">
        <f t="shared" ref="H22:U22" ca="1" si="7">-MIN(MAX(H18,0)*90%,MIN(H20,$D$22))</f>
        <v>0</v>
      </c>
      <c r="I22" s="417">
        <f t="shared" ca="1" si="7"/>
        <v>0</v>
      </c>
      <c r="J22" s="417">
        <f t="shared" ca="1" si="7"/>
        <v>0</v>
      </c>
      <c r="K22" s="417">
        <f t="shared" ca="1" si="7"/>
        <v>0</v>
      </c>
      <c r="L22" s="417">
        <f t="shared" ca="1" si="7"/>
        <v>0</v>
      </c>
      <c r="M22" s="417">
        <f t="shared" ca="1" si="7"/>
        <v>0</v>
      </c>
      <c r="N22" s="417">
        <f t="shared" ca="1" si="7"/>
        <v>0</v>
      </c>
      <c r="O22" s="417">
        <f t="shared" ca="1" si="7"/>
        <v>0</v>
      </c>
      <c r="P22" s="417">
        <f t="shared" ca="1" si="7"/>
        <v>0</v>
      </c>
      <c r="Q22" s="417">
        <f t="shared" ca="1" si="7"/>
        <v>0</v>
      </c>
      <c r="R22" s="417">
        <f t="shared" ca="1" si="7"/>
        <v>0</v>
      </c>
      <c r="S22" s="417">
        <f t="shared" ca="1" si="7"/>
        <v>0</v>
      </c>
      <c r="T22" s="417">
        <f t="shared" ca="1" si="7"/>
        <v>0</v>
      </c>
      <c r="U22" s="417">
        <f t="shared" ca="1" si="7"/>
        <v>0</v>
      </c>
      <c r="V22" s="420"/>
      <c r="W22" s="1552"/>
      <c r="X22" s="420"/>
      <c r="Y22" s="420"/>
    </row>
    <row r="23" spans="1:25">
      <c r="A23" s="1510"/>
      <c r="B23" s="1510"/>
      <c r="C23" s="923" t="s">
        <v>1096</v>
      </c>
      <c r="D23" s="550"/>
      <c r="E23" s="617"/>
      <c r="F23" s="617"/>
      <c r="G23" s="1208">
        <f t="shared" ref="G23:U23" ca="1" si="8">SUM(G20:G22)</f>
        <v>0</v>
      </c>
      <c r="H23" s="1208">
        <f t="shared" ca="1" si="8"/>
        <v>0</v>
      </c>
      <c r="I23" s="1208">
        <f t="shared" ca="1" si="8"/>
        <v>0</v>
      </c>
      <c r="J23" s="1208">
        <f t="shared" ca="1" si="8"/>
        <v>0</v>
      </c>
      <c r="K23" s="1208">
        <f t="shared" ca="1" si="8"/>
        <v>0</v>
      </c>
      <c r="L23" s="1208">
        <f t="shared" ca="1" si="8"/>
        <v>0</v>
      </c>
      <c r="M23" s="1208">
        <f t="shared" ca="1" si="8"/>
        <v>0</v>
      </c>
      <c r="N23" s="1208">
        <f t="shared" ca="1" si="8"/>
        <v>0</v>
      </c>
      <c r="O23" s="1208">
        <f t="shared" ca="1" si="8"/>
        <v>0</v>
      </c>
      <c r="P23" s="1208">
        <f t="shared" ca="1" si="8"/>
        <v>0</v>
      </c>
      <c r="Q23" s="1208">
        <f t="shared" ca="1" si="8"/>
        <v>0</v>
      </c>
      <c r="R23" s="1208">
        <f t="shared" ca="1" si="8"/>
        <v>0</v>
      </c>
      <c r="S23" s="1208">
        <f t="shared" ca="1" si="8"/>
        <v>0</v>
      </c>
      <c r="T23" s="1208">
        <f t="shared" ca="1" si="8"/>
        <v>0</v>
      </c>
      <c r="U23" s="1208">
        <f t="shared" ca="1" si="8"/>
        <v>0</v>
      </c>
      <c r="V23" s="420"/>
      <c r="W23" s="1552"/>
      <c r="X23" s="420"/>
      <c r="Y23" s="420"/>
    </row>
    <row r="24" spans="1:25">
      <c r="A24" s="1510"/>
      <c r="B24" s="1510"/>
      <c r="C24" s="550"/>
      <c r="D24" s="416"/>
      <c r="E24" s="617"/>
      <c r="F24" s="617"/>
      <c r="G24" s="427"/>
      <c r="H24" s="416"/>
      <c r="I24" s="416"/>
      <c r="J24" s="416"/>
      <c r="K24" s="416"/>
      <c r="L24" s="420"/>
      <c r="M24" s="420"/>
      <c r="N24" s="420"/>
      <c r="O24" s="420"/>
      <c r="P24" s="420"/>
      <c r="Q24" s="420"/>
      <c r="R24" s="420"/>
      <c r="S24" s="420"/>
      <c r="T24" s="420"/>
      <c r="U24" s="420"/>
      <c r="V24" s="420"/>
      <c r="W24" s="1552"/>
      <c r="X24" s="420"/>
      <c r="Y24" s="420"/>
    </row>
    <row r="25" spans="1:25">
      <c r="A25" s="1510"/>
      <c r="B25" s="1510"/>
      <c r="C25" s="923" t="s">
        <v>1097</v>
      </c>
      <c r="D25" s="416"/>
      <c r="E25" s="617"/>
      <c r="F25" s="617"/>
      <c r="G25" s="542">
        <f ca="1">G18+G22</f>
        <v>0</v>
      </c>
      <c r="H25" s="542">
        <f t="shared" ref="H25:U25" ca="1" si="9">H18+H22</f>
        <v>0</v>
      </c>
      <c r="I25" s="542">
        <f t="shared" ca="1" si="9"/>
        <v>0</v>
      </c>
      <c r="J25" s="542">
        <f t="shared" ca="1" si="9"/>
        <v>0</v>
      </c>
      <c r="K25" s="542">
        <f t="shared" ca="1" si="9"/>
        <v>0</v>
      </c>
      <c r="L25" s="542">
        <f t="shared" ca="1" si="9"/>
        <v>0</v>
      </c>
      <c r="M25" s="542">
        <f t="shared" ca="1" si="9"/>
        <v>0</v>
      </c>
      <c r="N25" s="542">
        <f t="shared" ca="1" si="9"/>
        <v>0</v>
      </c>
      <c r="O25" s="542">
        <f t="shared" ca="1" si="9"/>
        <v>0</v>
      </c>
      <c r="P25" s="542">
        <f t="shared" ca="1" si="9"/>
        <v>0</v>
      </c>
      <c r="Q25" s="542">
        <f t="shared" ca="1" si="9"/>
        <v>0</v>
      </c>
      <c r="R25" s="542">
        <f t="shared" ca="1" si="9"/>
        <v>0</v>
      </c>
      <c r="S25" s="542">
        <f t="shared" ca="1" si="9"/>
        <v>0</v>
      </c>
      <c r="T25" s="542">
        <f t="shared" ca="1" si="9"/>
        <v>0</v>
      </c>
      <c r="U25" s="542">
        <f t="shared" ca="1" si="9"/>
        <v>0</v>
      </c>
      <c r="V25" s="420"/>
      <c r="W25" s="1552"/>
      <c r="X25" s="420"/>
      <c r="Y25" s="420"/>
    </row>
    <row r="26" spans="1:25">
      <c r="A26" s="1510"/>
      <c r="B26" s="1510"/>
      <c r="C26" s="923" t="s">
        <v>1098</v>
      </c>
      <c r="D26" s="416"/>
      <c r="E26" s="617"/>
      <c r="F26" s="617"/>
      <c r="G26" s="416">
        <f t="shared" ref="G26:P26" ca="1" si="10">-MAX(G25,0)*G27</f>
        <v>0</v>
      </c>
      <c r="H26" s="542">
        <f t="shared" ca="1" si="10"/>
        <v>0</v>
      </c>
      <c r="I26" s="542">
        <f t="shared" ca="1" si="10"/>
        <v>0</v>
      </c>
      <c r="J26" s="542">
        <f t="shared" ca="1" si="10"/>
        <v>0</v>
      </c>
      <c r="K26" s="542">
        <f t="shared" ca="1" si="10"/>
        <v>0</v>
      </c>
      <c r="L26" s="542">
        <f t="shared" ca="1" si="10"/>
        <v>0</v>
      </c>
      <c r="M26" s="542">
        <f t="shared" ca="1" si="10"/>
        <v>0</v>
      </c>
      <c r="N26" s="542">
        <f t="shared" ca="1" si="10"/>
        <v>0</v>
      </c>
      <c r="O26" s="542">
        <f t="shared" ca="1" si="10"/>
        <v>0</v>
      </c>
      <c r="P26" s="542">
        <f t="shared" ca="1" si="10"/>
        <v>0</v>
      </c>
      <c r="Q26" s="542">
        <f ca="1">-MAX(Q25,0)*Q27</f>
        <v>0</v>
      </c>
      <c r="R26" s="542">
        <f ca="1">-MAX(R25,0)*R27</f>
        <v>0</v>
      </c>
      <c r="S26" s="542">
        <f ca="1">-MAX(S25,0)*S27</f>
        <v>0</v>
      </c>
      <c r="T26" s="542">
        <f ca="1">-MAX(T25,0)*T27</f>
        <v>0</v>
      </c>
      <c r="U26" s="542">
        <f ca="1">-MAX(U25,0)*U27</f>
        <v>0</v>
      </c>
      <c r="V26" s="420"/>
      <c r="W26" s="1552"/>
      <c r="X26" s="420"/>
      <c r="Y26" s="420"/>
    </row>
    <row r="27" spans="1:25">
      <c r="A27" s="1510"/>
      <c r="B27" s="1510"/>
      <c r="C27" s="923" t="s">
        <v>1099</v>
      </c>
      <c r="D27" s="951">
        <v>0.2</v>
      </c>
      <c r="E27" s="951"/>
      <c r="F27" s="617"/>
      <c r="G27" s="1722">
        <f>$D27</f>
        <v>0.2</v>
      </c>
      <c r="H27" s="1722">
        <f t="shared" ref="H27:U27" si="11">$D27</f>
        <v>0.2</v>
      </c>
      <c r="I27" s="1722">
        <f t="shared" si="11"/>
        <v>0.2</v>
      </c>
      <c r="J27" s="1722">
        <f t="shared" si="11"/>
        <v>0.2</v>
      </c>
      <c r="K27" s="1722">
        <f t="shared" si="11"/>
        <v>0.2</v>
      </c>
      <c r="L27" s="1722">
        <f t="shared" si="11"/>
        <v>0.2</v>
      </c>
      <c r="M27" s="1722">
        <f t="shared" si="11"/>
        <v>0.2</v>
      </c>
      <c r="N27" s="1722">
        <f t="shared" si="11"/>
        <v>0.2</v>
      </c>
      <c r="O27" s="1722">
        <f t="shared" si="11"/>
        <v>0.2</v>
      </c>
      <c r="P27" s="1722">
        <f t="shared" si="11"/>
        <v>0.2</v>
      </c>
      <c r="Q27" s="1722">
        <f t="shared" si="11"/>
        <v>0.2</v>
      </c>
      <c r="R27" s="1722">
        <f t="shared" si="11"/>
        <v>0.2</v>
      </c>
      <c r="S27" s="1722">
        <f t="shared" si="11"/>
        <v>0.2</v>
      </c>
      <c r="T27" s="1722">
        <f t="shared" si="11"/>
        <v>0.2</v>
      </c>
      <c r="U27" s="1722">
        <f t="shared" si="11"/>
        <v>0.2</v>
      </c>
      <c r="V27" s="420"/>
      <c r="W27" s="1552"/>
      <c r="X27" s="420"/>
      <c r="Y27" s="420"/>
    </row>
    <row r="28" spans="1:25">
      <c r="A28" s="1510"/>
      <c r="B28" s="1510"/>
      <c r="C28" s="923" t="s">
        <v>1091</v>
      </c>
      <c r="D28" s="416"/>
      <c r="E28" s="617"/>
      <c r="F28" s="617"/>
      <c r="G28" s="1203">
        <f ca="1">SUM(G25:G26)</f>
        <v>0</v>
      </c>
      <c r="H28" s="1203">
        <f t="shared" ref="H28:U28" ca="1" si="12">SUM(H25:H26)</f>
        <v>0</v>
      </c>
      <c r="I28" s="1203">
        <f t="shared" ca="1" si="12"/>
        <v>0</v>
      </c>
      <c r="J28" s="1203">
        <f t="shared" ca="1" si="12"/>
        <v>0</v>
      </c>
      <c r="K28" s="1203">
        <f t="shared" ca="1" si="12"/>
        <v>0</v>
      </c>
      <c r="L28" s="1203">
        <f t="shared" ca="1" si="12"/>
        <v>0</v>
      </c>
      <c r="M28" s="1203">
        <f t="shared" ca="1" si="12"/>
        <v>0</v>
      </c>
      <c r="N28" s="1203">
        <f t="shared" ca="1" si="12"/>
        <v>0</v>
      </c>
      <c r="O28" s="1203">
        <f t="shared" ca="1" si="12"/>
        <v>0</v>
      </c>
      <c r="P28" s="1203">
        <f t="shared" ca="1" si="12"/>
        <v>0</v>
      </c>
      <c r="Q28" s="1203">
        <f t="shared" ca="1" si="12"/>
        <v>0</v>
      </c>
      <c r="R28" s="1203">
        <f t="shared" ca="1" si="12"/>
        <v>0</v>
      </c>
      <c r="S28" s="1203">
        <f t="shared" ca="1" si="12"/>
        <v>0</v>
      </c>
      <c r="T28" s="1203">
        <f t="shared" ca="1" si="12"/>
        <v>0</v>
      </c>
      <c r="U28" s="1203">
        <f t="shared" ca="1" si="12"/>
        <v>0</v>
      </c>
      <c r="V28" s="420"/>
      <c r="W28" s="1552"/>
      <c r="X28" s="420"/>
      <c r="Y28" s="420"/>
    </row>
    <row r="29" spans="1:25">
      <c r="A29" s="1510"/>
      <c r="B29" s="1510"/>
      <c r="C29" s="550"/>
      <c r="D29" s="416"/>
      <c r="E29" s="617"/>
      <c r="F29" s="416"/>
      <c r="G29" s="542"/>
      <c r="H29" s="542"/>
      <c r="I29" s="542"/>
      <c r="J29" s="542"/>
      <c r="K29" s="542"/>
      <c r="L29" s="542"/>
      <c r="M29" s="542"/>
      <c r="N29" s="542"/>
      <c r="O29" s="542"/>
      <c r="P29" s="542"/>
      <c r="Q29" s="542"/>
      <c r="R29" s="542"/>
      <c r="S29" s="542"/>
      <c r="T29" s="542"/>
      <c r="U29" s="542"/>
      <c r="V29" s="420"/>
      <c r="W29" s="1552"/>
      <c r="X29" s="420"/>
      <c r="Y29" s="420"/>
    </row>
    <row r="30" spans="1:25">
      <c r="A30" s="1510"/>
      <c r="B30" s="1510"/>
      <c r="C30" s="138" t="s">
        <v>966</v>
      </c>
      <c r="D30" s="416"/>
      <c r="E30" s="617"/>
      <c r="F30" s="416"/>
      <c r="G30" s="417">
        <f ca="1">-G13</f>
        <v>0</v>
      </c>
      <c r="H30" s="417">
        <f t="shared" ref="H30:U30" ca="1" si="13">-H13</f>
        <v>0</v>
      </c>
      <c r="I30" s="417">
        <f t="shared" ca="1" si="13"/>
        <v>0</v>
      </c>
      <c r="J30" s="417">
        <f t="shared" ca="1" si="13"/>
        <v>0</v>
      </c>
      <c r="K30" s="417">
        <f t="shared" ca="1" si="13"/>
        <v>0</v>
      </c>
      <c r="L30" s="417">
        <f t="shared" ca="1" si="13"/>
        <v>0</v>
      </c>
      <c r="M30" s="417">
        <f t="shared" ca="1" si="13"/>
        <v>0</v>
      </c>
      <c r="N30" s="417">
        <f t="shared" ca="1" si="13"/>
        <v>0</v>
      </c>
      <c r="O30" s="417">
        <f t="shared" ca="1" si="13"/>
        <v>0</v>
      </c>
      <c r="P30" s="417">
        <f t="shared" ca="1" si="13"/>
        <v>0</v>
      </c>
      <c r="Q30" s="417">
        <f t="shared" ca="1" si="13"/>
        <v>0</v>
      </c>
      <c r="R30" s="417">
        <f t="shared" ca="1" si="13"/>
        <v>0</v>
      </c>
      <c r="S30" s="417">
        <f t="shared" ca="1" si="13"/>
        <v>0</v>
      </c>
      <c r="T30" s="417">
        <f t="shared" ca="1" si="13"/>
        <v>0</v>
      </c>
      <c r="U30" s="417">
        <f t="shared" ca="1" si="13"/>
        <v>0</v>
      </c>
      <c r="V30" s="420"/>
      <c r="W30" s="1552"/>
      <c r="X30" s="420"/>
      <c r="Y30" s="420"/>
    </row>
    <row r="31" spans="1:25">
      <c r="A31" s="1510"/>
      <c r="B31" s="1510"/>
      <c r="C31" s="138" t="s">
        <v>1098</v>
      </c>
      <c r="D31" s="416"/>
      <c r="E31" s="676"/>
      <c r="F31" s="416"/>
      <c r="G31" s="417">
        <f ca="1">IF(G20,-G26,-G13)</f>
        <v>0</v>
      </c>
      <c r="H31" s="417">
        <f ca="1">IF(H20,-H26,-H13)</f>
        <v>0</v>
      </c>
      <c r="I31" s="417">
        <f ca="1">IF(I20,-I26,-I13)</f>
        <v>0</v>
      </c>
      <c r="J31" s="417">
        <f t="shared" ref="J31:U31" ca="1" si="14">IF(J20,-J26,-J13)</f>
        <v>0</v>
      </c>
      <c r="K31" s="417">
        <f t="shared" ca="1" si="14"/>
        <v>0</v>
      </c>
      <c r="L31" s="417">
        <f t="shared" ca="1" si="14"/>
        <v>0</v>
      </c>
      <c r="M31" s="417">
        <f t="shared" ca="1" si="14"/>
        <v>0</v>
      </c>
      <c r="N31" s="417">
        <f t="shared" ca="1" si="14"/>
        <v>0</v>
      </c>
      <c r="O31" s="417">
        <f t="shared" ca="1" si="14"/>
        <v>0</v>
      </c>
      <c r="P31" s="417">
        <f t="shared" ca="1" si="14"/>
        <v>0</v>
      </c>
      <c r="Q31" s="417">
        <f t="shared" ca="1" si="14"/>
        <v>0</v>
      </c>
      <c r="R31" s="417">
        <f t="shared" ca="1" si="14"/>
        <v>0</v>
      </c>
      <c r="S31" s="417">
        <f t="shared" ca="1" si="14"/>
        <v>0</v>
      </c>
      <c r="T31" s="417">
        <f t="shared" ca="1" si="14"/>
        <v>0</v>
      </c>
      <c r="U31" s="417">
        <f t="shared" ca="1" si="14"/>
        <v>0</v>
      </c>
      <c r="V31" s="420"/>
      <c r="W31" s="1552"/>
      <c r="X31" s="420"/>
      <c r="Y31" s="420"/>
    </row>
    <row r="32" spans="1:25">
      <c r="A32" s="1510"/>
      <c r="B32" s="1510"/>
      <c r="C32" s="550" t="s">
        <v>1100</v>
      </c>
      <c r="D32" s="416"/>
      <c r="E32" s="617"/>
      <c r="F32" s="416"/>
      <c r="G32" s="1208">
        <f ca="1">G30-G31</f>
        <v>0</v>
      </c>
      <c r="H32" s="1208">
        <f ca="1">H30-H31</f>
        <v>0</v>
      </c>
      <c r="I32" s="1208">
        <f ca="1">I30-I31</f>
        <v>0</v>
      </c>
      <c r="J32" s="1208">
        <f t="shared" ref="J32:Q32" ca="1" si="15">J30-J31</f>
        <v>0</v>
      </c>
      <c r="K32" s="1208">
        <f t="shared" ca="1" si="15"/>
        <v>0</v>
      </c>
      <c r="L32" s="1208">
        <f t="shared" ca="1" si="15"/>
        <v>0</v>
      </c>
      <c r="M32" s="1208">
        <f t="shared" ca="1" si="15"/>
        <v>0</v>
      </c>
      <c r="N32" s="1208">
        <f t="shared" ca="1" si="15"/>
        <v>0</v>
      </c>
      <c r="O32" s="1208">
        <f t="shared" ca="1" si="15"/>
        <v>0</v>
      </c>
      <c r="P32" s="1208">
        <f t="shared" ca="1" si="15"/>
        <v>0</v>
      </c>
      <c r="Q32" s="1208">
        <f t="shared" ca="1" si="15"/>
        <v>0</v>
      </c>
      <c r="R32" s="1208">
        <f ca="1">R30-R31</f>
        <v>0</v>
      </c>
      <c r="S32" s="1208">
        <f ca="1">S30-S31</f>
        <v>0</v>
      </c>
      <c r="T32" s="1208">
        <f ca="1">T30-T31</f>
        <v>0</v>
      </c>
      <c r="U32" s="1208">
        <f ca="1">U30-U31</f>
        <v>0</v>
      </c>
      <c r="V32" s="420"/>
      <c r="W32" s="1552"/>
      <c r="X32" s="420"/>
      <c r="Y32" s="420"/>
    </row>
    <row r="33" spans="1:25">
      <c r="A33" s="1510" t="s">
        <v>17</v>
      </c>
      <c r="B33" s="1510"/>
      <c r="C33" s="550"/>
      <c r="D33" s="416"/>
      <c r="E33" s="617"/>
      <c r="F33" s="416"/>
      <c r="G33" s="417"/>
      <c r="H33" s="417"/>
      <c r="I33" s="417"/>
      <c r="J33" s="417"/>
      <c r="K33" s="417"/>
      <c r="L33" s="417"/>
      <c r="M33" s="417"/>
      <c r="N33" s="417"/>
      <c r="O33" s="417"/>
      <c r="P33" s="417"/>
      <c r="Q33" s="417"/>
      <c r="R33" s="417"/>
      <c r="S33" s="417"/>
      <c r="T33" s="417"/>
      <c r="U33" s="417"/>
      <c r="V33" s="420"/>
      <c r="W33" s="1552"/>
      <c r="X33" s="420"/>
      <c r="Y33" s="420"/>
    </row>
    <row r="34" spans="1:25">
      <c r="A34" s="1510" t="s">
        <v>17</v>
      </c>
      <c r="B34" s="1510"/>
      <c r="C34" s="550" t="s">
        <v>1101</v>
      </c>
      <c r="D34" s="416"/>
      <c r="E34" s="617"/>
      <c r="F34" s="416"/>
      <c r="G34" s="554">
        <f>START!G73</f>
        <v>4.2465753424657533E-2</v>
      </c>
      <c r="H34" s="554">
        <f>START!H73</f>
        <v>0.58493150684931505</v>
      </c>
      <c r="I34" s="554">
        <f>START!I73</f>
        <v>1.5849315068493151</v>
      </c>
      <c r="J34" s="554">
        <f>START!J73</f>
        <v>2.5849315068493151</v>
      </c>
      <c r="K34" s="554">
        <f>J34+1</f>
        <v>3.5849315068493151</v>
      </c>
      <c r="L34" s="554">
        <f t="shared" ref="L34:U34" si="16">K34+1</f>
        <v>4.5849315068493155</v>
      </c>
      <c r="M34" s="554">
        <f t="shared" si="16"/>
        <v>5.5849315068493155</v>
      </c>
      <c r="N34" s="554">
        <f t="shared" si="16"/>
        <v>6.5849315068493155</v>
      </c>
      <c r="O34" s="554">
        <f t="shared" si="16"/>
        <v>7.5849315068493155</v>
      </c>
      <c r="P34" s="554">
        <f t="shared" si="16"/>
        <v>8.5849315068493155</v>
      </c>
      <c r="Q34" s="554">
        <f t="shared" si="16"/>
        <v>9.5849315068493155</v>
      </c>
      <c r="R34" s="554">
        <f t="shared" si="16"/>
        <v>10.584931506849315</v>
      </c>
      <c r="S34" s="554">
        <f t="shared" si="16"/>
        <v>11.584931506849315</v>
      </c>
      <c r="T34" s="554">
        <f t="shared" si="16"/>
        <v>12.584931506849315</v>
      </c>
      <c r="U34" s="554">
        <f t="shared" si="16"/>
        <v>13.584931506849315</v>
      </c>
      <c r="V34" s="420"/>
      <c r="W34" s="1552"/>
      <c r="X34" s="420"/>
      <c r="Y34" s="420"/>
    </row>
    <row r="35" spans="1:25">
      <c r="A35" s="1510" t="s">
        <v>17</v>
      </c>
      <c r="B35" s="1510"/>
      <c r="C35" s="1564" t="s">
        <v>1102</v>
      </c>
      <c r="D35" s="1564"/>
      <c r="E35" s="1569"/>
      <c r="F35" s="912"/>
      <c r="G35" s="1605">
        <f>START!G76</f>
        <v>1</v>
      </c>
      <c r="H35" s="1605">
        <f>IFERROR(IF(START!H76,START!H76,1/(1+WACC)^H34),"n/a")</f>
        <v>1</v>
      </c>
      <c r="I35" s="1605">
        <f>IFERROR(IF(START!I76,START!I76,1/(1+WACC)^I34),"n/a")</f>
        <v>1</v>
      </c>
      <c r="J35" s="1605">
        <f>IFERROR(IF(START!J76,START!J76,1/(1+WACC)^J34),"n/a")</f>
        <v>1</v>
      </c>
      <c r="K35" s="1605">
        <f>IFERROR(IF(START!K76,START!K76,1/(1+WACC)^K34),"n/a")</f>
        <v>1</v>
      </c>
      <c r="L35" s="1605">
        <f>IFERROR(IF(START!L76,START!L76,1/(1+WACC)^L34),"n/a")</f>
        <v>1</v>
      </c>
      <c r="M35" s="1605">
        <f>IFERROR(IF(START!M76,START!M76,1/(1+WACC)^M34),"n/a")</f>
        <v>1</v>
      </c>
      <c r="N35" s="1605">
        <f>IFERROR(IF(START!N76,START!N76,1/(1+WACC)^N34),"n/a")</f>
        <v>1</v>
      </c>
      <c r="O35" s="1605">
        <f>IFERROR(IF(START!O76,START!O76,1/(1+WACC)^O34),"n/a")</f>
        <v>1</v>
      </c>
      <c r="P35" s="1605">
        <f>IFERROR(IF(START!P76,START!P76,1/(1+WACC)^P34),"n/a")</f>
        <v>1</v>
      </c>
      <c r="Q35" s="1605">
        <f>IFERROR(IF(START!Q76,START!Q76,1/(1+WACC)^Q34),"n/a")</f>
        <v>1</v>
      </c>
      <c r="R35" s="1605">
        <f>IFERROR(IF(START!R76,START!R76,1/(1+WACC)^R34),"n/a")</f>
        <v>1</v>
      </c>
      <c r="S35" s="1605">
        <f>IFERROR(IF(START!S76,START!S76,1/(1+WACC)^S34),"n/a")</f>
        <v>1</v>
      </c>
      <c r="T35" s="1605">
        <f>IFERROR(IF(START!T76,START!T76,1/(1+WACC)^T34),"n/a")</f>
        <v>1</v>
      </c>
      <c r="U35" s="1605">
        <f>IFERROR(IF(START!U76,START!U76,1/(1+WACC)^U34),"n/a")</f>
        <v>1</v>
      </c>
      <c r="V35" s="912"/>
      <c r="W35" s="599"/>
      <c r="X35" s="1520"/>
      <c r="Y35" s="1506"/>
    </row>
    <row r="36" spans="1:25">
      <c r="A36" s="1510"/>
      <c r="B36" s="1510"/>
      <c r="C36" s="146" t="s">
        <v>1103</v>
      </c>
      <c r="D36" s="421"/>
      <c r="E36" s="1567"/>
      <c r="F36" s="421"/>
      <c r="G36" s="1208">
        <f ca="1">IFERROR(G32*G35,0)</f>
        <v>0</v>
      </c>
      <c r="H36" s="1208">
        <f t="shared" ref="H36:Q36" ca="1" si="17">IFERROR(H32*H35,0)</f>
        <v>0</v>
      </c>
      <c r="I36" s="1208">
        <f t="shared" ca="1" si="17"/>
        <v>0</v>
      </c>
      <c r="J36" s="1208">
        <f t="shared" ca="1" si="17"/>
        <v>0</v>
      </c>
      <c r="K36" s="1208">
        <f t="shared" ca="1" si="17"/>
        <v>0</v>
      </c>
      <c r="L36" s="1208">
        <f t="shared" ca="1" si="17"/>
        <v>0</v>
      </c>
      <c r="M36" s="1208">
        <f t="shared" ca="1" si="17"/>
        <v>0</v>
      </c>
      <c r="N36" s="1208">
        <f t="shared" ca="1" si="17"/>
        <v>0</v>
      </c>
      <c r="O36" s="1208">
        <f t="shared" ca="1" si="17"/>
        <v>0</v>
      </c>
      <c r="P36" s="1208">
        <f t="shared" ca="1" si="17"/>
        <v>0</v>
      </c>
      <c r="Q36" s="1208">
        <f t="shared" ca="1" si="17"/>
        <v>0</v>
      </c>
      <c r="R36" s="1208">
        <f ca="1">IFERROR(R32*R35,0)</f>
        <v>0</v>
      </c>
      <c r="S36" s="1208">
        <f ca="1">IFERROR(S32*S35,0)</f>
        <v>0</v>
      </c>
      <c r="T36" s="1208">
        <f ca="1">IFERROR(T32*T35,0)</f>
        <v>0</v>
      </c>
      <c r="U36" s="1208">
        <f ca="1">IFERROR(U32*U35,0)</f>
        <v>0</v>
      </c>
      <c r="V36" s="421"/>
      <c r="W36" s="1552"/>
      <c r="X36" s="1520"/>
      <c r="Y36" s="1506"/>
    </row>
    <row r="37" spans="1:25">
      <c r="A37" s="1510"/>
      <c r="B37" s="1510"/>
      <c r="C37" s="1513" t="s">
        <v>1104</v>
      </c>
      <c r="D37" s="1513"/>
      <c r="E37" s="1567"/>
      <c r="F37" s="1513"/>
      <c r="G37" s="1281">
        <f ca="1">SUM(G36:U36)</f>
        <v>0</v>
      </c>
      <c r="H37" s="421"/>
      <c r="I37" s="421"/>
      <c r="J37" s="421"/>
      <c r="K37" s="421"/>
      <c r="L37" s="421"/>
      <c r="M37" s="421"/>
      <c r="N37" s="421"/>
      <c r="O37" s="421"/>
      <c r="P37" s="421"/>
      <c r="Q37" s="421"/>
      <c r="R37" s="421"/>
      <c r="S37" s="421"/>
      <c r="T37" s="421"/>
      <c r="U37" s="421"/>
      <c r="V37" s="421"/>
      <c r="W37" s="1552"/>
      <c r="X37" s="1520"/>
      <c r="Y37" s="1506"/>
    </row>
    <row r="38" spans="1:25">
      <c r="A38" s="1510"/>
      <c r="B38" s="1510"/>
      <c r="C38" s="1520"/>
      <c r="D38" s="1520"/>
      <c r="E38" s="672"/>
      <c r="F38" s="1520"/>
      <c r="G38" s="1520"/>
      <c r="H38" s="1520"/>
      <c r="I38" s="1520"/>
      <c r="J38" s="1520"/>
      <c r="K38" s="1520"/>
      <c r="L38" s="1520"/>
      <c r="M38" s="1520"/>
      <c r="N38" s="1520"/>
      <c r="O38" s="1520"/>
      <c r="P38" s="1520"/>
      <c r="Q38" s="1520"/>
      <c r="R38" s="1520"/>
      <c r="S38" s="1520"/>
      <c r="T38" s="1520"/>
      <c r="U38" s="1520"/>
      <c r="V38" s="1520"/>
      <c r="W38" s="1552"/>
      <c r="X38" s="1520"/>
      <c r="Y38" s="1506"/>
    </row>
    <row r="39" spans="1:25">
      <c r="A39" s="1510"/>
      <c r="B39" s="1510"/>
      <c r="C39" s="1520" t="s">
        <v>1105</v>
      </c>
      <c r="D39" s="1520"/>
      <c r="E39" s="1567"/>
      <c r="F39" s="1520"/>
      <c r="G39" s="1520"/>
      <c r="H39" s="1520"/>
      <c r="I39" s="1520"/>
      <c r="J39" s="1520"/>
      <c r="K39" s="1520"/>
      <c r="L39" s="1520"/>
      <c r="M39" s="1520"/>
      <c r="N39" s="1520"/>
      <c r="O39" s="1520"/>
      <c r="P39" s="1520"/>
      <c r="Q39" s="1520"/>
      <c r="R39" s="1520"/>
      <c r="S39" s="1520"/>
      <c r="T39" s="1520"/>
      <c r="U39" s="1520"/>
      <c r="V39" s="1520"/>
      <c r="W39" s="1552"/>
      <c r="X39" s="1520"/>
      <c r="Y39" s="1506"/>
    </row>
    <row r="40" spans="1:25" s="1506" customFormat="1">
      <c r="A40" s="1510"/>
      <c r="B40" s="1510"/>
      <c r="C40" s="1520" t="s">
        <v>1106</v>
      </c>
      <c r="D40" s="1520"/>
      <c r="E40" s="1567"/>
      <c r="F40" s="1520"/>
      <c r="G40" s="1520"/>
      <c r="H40" s="1520"/>
      <c r="I40" s="1520"/>
      <c r="J40" s="1520"/>
      <c r="K40" s="1520"/>
      <c r="L40" s="1520"/>
      <c r="M40" s="1520"/>
      <c r="N40" s="1520"/>
      <c r="O40" s="1520"/>
      <c r="P40" s="1520"/>
      <c r="Q40" s="1520"/>
      <c r="R40" s="1520"/>
      <c r="S40" s="1520"/>
      <c r="T40" s="1520"/>
      <c r="U40" s="1520"/>
      <c r="V40" s="1520"/>
      <c r="W40" s="1552"/>
      <c r="X40" s="1520"/>
    </row>
    <row r="41" spans="1:25" s="1506" customFormat="1">
      <c r="A41" s="1510"/>
      <c r="B41" s="1510"/>
      <c r="C41" s="1520"/>
      <c r="D41" s="1520"/>
      <c r="E41" s="1567"/>
      <c r="F41" s="1520"/>
      <c r="G41" s="1520"/>
      <c r="H41" s="1520"/>
      <c r="I41" s="1520"/>
      <c r="J41" s="1520"/>
      <c r="K41" s="1520"/>
      <c r="L41" s="1520"/>
      <c r="M41" s="1520"/>
      <c r="N41" s="1520"/>
      <c r="O41" s="1520"/>
      <c r="P41" s="1520"/>
      <c r="Q41" s="1520"/>
      <c r="R41" s="1520"/>
      <c r="S41" s="1520"/>
      <c r="T41" s="1520"/>
      <c r="U41" s="1520"/>
      <c r="V41" s="1520"/>
      <c r="W41" s="1552"/>
      <c r="X41" s="1520"/>
    </row>
    <row r="42" spans="1:25" s="313" customFormat="1">
      <c r="A42" s="1552"/>
      <c r="B42" s="1552"/>
      <c r="C42" s="461" t="str">
        <f ca="1">FootnoteDRAFT</f>
        <v>Run date: 05-August-2018  02:34 PM.   DRAFT document. All data subject to change upon completion of additional analysis.</v>
      </c>
      <c r="D42" s="2060"/>
      <c r="E42" s="1505"/>
      <c r="F42" s="2060"/>
      <c r="G42" s="2060"/>
      <c r="H42" s="2060"/>
      <c r="I42" s="2060"/>
      <c r="J42" s="2060"/>
      <c r="K42" s="2060"/>
      <c r="L42" s="2060"/>
      <c r="M42" s="2060"/>
      <c r="N42" s="2060"/>
      <c r="O42" s="2060"/>
      <c r="P42" s="2060"/>
      <c r="Q42" s="2060"/>
      <c r="R42" s="2060"/>
      <c r="S42" s="2060"/>
      <c r="T42" s="2060"/>
      <c r="U42" s="2060"/>
      <c r="V42" s="2060"/>
      <c r="W42" s="600"/>
      <c r="X42" s="2060"/>
      <c r="Y42" s="1513"/>
    </row>
    <row r="43" spans="1:25" s="1513" customFormat="1">
      <c r="A43" s="1552" t="s">
        <v>17</v>
      </c>
      <c r="B43" s="1546"/>
      <c r="C43" s="1546"/>
      <c r="D43" s="1546"/>
      <c r="E43" s="1546"/>
      <c r="F43" s="1546"/>
      <c r="G43" s="1546"/>
      <c r="H43" s="1546"/>
      <c r="I43" s="1546"/>
      <c r="J43" s="1546"/>
      <c r="K43" s="1546"/>
      <c r="L43" s="1546"/>
      <c r="M43" s="1546"/>
      <c r="N43" s="1546"/>
      <c r="O43" s="1546"/>
      <c r="P43" s="1546"/>
      <c r="Q43" s="1546"/>
      <c r="R43" s="1546"/>
      <c r="S43" s="1546"/>
      <c r="T43" s="1546"/>
      <c r="U43" s="1546"/>
      <c r="V43" s="1546" t="str">
        <f>IF($A43="n","Page end","This page not printed")</f>
        <v>Page end</v>
      </c>
      <c r="W43" s="1546"/>
      <c r="X43" s="2060"/>
    </row>
    <row r="44" spans="1:25" ht="17.45">
      <c r="A44" s="1557"/>
      <c r="B44" s="649">
        <f ca="1">SUMPRODUCT(--ISERROR($C$1:V85))+COUNTIF($C$1:V85,Fail)</f>
        <v>2</v>
      </c>
      <c r="C44" s="838" t="str">
        <f>CoNameHeading</f>
        <v>Client Name</v>
      </c>
      <c r="D44" s="292"/>
      <c r="E44" s="292"/>
      <c r="F44" s="292"/>
      <c r="G44" s="292"/>
      <c r="H44" s="292"/>
      <c r="I44" s="292"/>
      <c r="J44" s="292"/>
      <c r="K44" s="292"/>
      <c r="L44" s="292"/>
      <c r="M44" s="292"/>
      <c r="N44" s="292"/>
      <c r="O44" s="292"/>
      <c r="P44" s="292"/>
      <c r="Q44" s="292"/>
      <c r="R44" s="292"/>
      <c r="S44" s="292"/>
      <c r="T44" s="292"/>
      <c r="U44" s="292"/>
      <c r="V44" s="389" t="str">
        <f>V1&amp;".a"</f>
        <v>Exhibit 5.a</v>
      </c>
      <c r="W44" s="597"/>
      <c r="X44" s="1513"/>
      <c r="Y44" s="1506"/>
    </row>
    <row r="45" spans="1:25" ht="17.45">
      <c r="A45" s="1510"/>
      <c r="B45" s="1510"/>
      <c r="C45" s="839" t="e">
        <f ca="1">MID(CELL("filename",A44),FIND("]",CELL("filename",A44))+1,256)&amp;" under the Fading Growth method"</f>
        <v>#VALUE!</v>
      </c>
      <c r="D45" s="369"/>
      <c r="E45" s="369"/>
      <c r="F45" s="369"/>
      <c r="G45" s="369"/>
      <c r="H45" s="369"/>
      <c r="I45" s="369"/>
      <c r="J45" s="369"/>
      <c r="K45" s="369"/>
      <c r="L45" s="369"/>
      <c r="M45" s="369"/>
      <c r="N45" s="369"/>
      <c r="O45" s="369"/>
      <c r="P45" s="369"/>
      <c r="Q45" s="369"/>
      <c r="R45" s="369"/>
      <c r="S45" s="369"/>
      <c r="T45" s="369"/>
      <c r="U45" s="369"/>
      <c r="V45" s="369"/>
      <c r="W45" s="597"/>
      <c r="X45" s="1513"/>
      <c r="Y45" s="1506"/>
    </row>
    <row r="46" spans="1:25" ht="15.6">
      <c r="A46" s="1510"/>
      <c r="B46" s="1510"/>
      <c r="C46" s="840" t="str">
        <f>ValDateHeading</f>
        <v>Estimation of value as of 28 February 2017</v>
      </c>
      <c r="D46" s="2062"/>
      <c r="E46" s="2062"/>
      <c r="F46" s="2062"/>
      <c r="G46" s="2062"/>
      <c r="H46" s="2062"/>
      <c r="I46" s="2062"/>
      <c r="J46" s="2062"/>
      <c r="K46" s="2062"/>
      <c r="L46" s="2062"/>
      <c r="M46" s="2062"/>
      <c r="N46" s="2062"/>
      <c r="O46" s="2062"/>
      <c r="P46" s="2062"/>
      <c r="Q46" s="2062"/>
      <c r="R46" s="2062"/>
      <c r="S46" s="2062"/>
      <c r="T46" s="2062"/>
      <c r="U46" s="2062"/>
      <c r="V46" s="2062"/>
      <c r="W46" s="598"/>
      <c r="X46" s="1513"/>
      <c r="Y46" s="1506"/>
    </row>
    <row r="47" spans="1:25">
      <c r="A47" s="1510"/>
      <c r="B47" s="1510"/>
      <c r="C47" s="769" t="str">
        <f>OutputCurrencyLabel</f>
        <v>(USD in Millions)</v>
      </c>
      <c r="D47" s="386"/>
      <c r="E47" s="386"/>
      <c r="F47" s="386"/>
      <c r="G47" s="386"/>
      <c r="H47" s="386"/>
      <c r="I47" s="386"/>
      <c r="J47" s="386"/>
      <c r="K47" s="386"/>
      <c r="L47" s="386"/>
      <c r="M47" s="386"/>
      <c r="N47" s="386"/>
      <c r="O47" s="386"/>
      <c r="P47" s="1513"/>
      <c r="Q47" s="1513"/>
      <c r="R47" s="1513"/>
      <c r="S47" s="1513"/>
      <c r="T47" s="1513"/>
      <c r="U47" s="1513"/>
      <c r="V47" s="1513"/>
      <c r="W47" s="1552"/>
      <c r="X47" s="1513"/>
      <c r="Y47" s="1506"/>
    </row>
    <row r="48" spans="1:25" ht="15.6">
      <c r="A48" s="1510"/>
      <c r="B48" s="1510"/>
      <c r="C48" s="415"/>
      <c r="D48" s="1520"/>
      <c r="E48" s="1520"/>
      <c r="F48" s="1520"/>
      <c r="G48" s="1520"/>
      <c r="H48" s="1520"/>
      <c r="I48" s="1520"/>
      <c r="J48" s="1520"/>
      <c r="K48" s="1520"/>
      <c r="L48" s="1520"/>
      <c r="M48" s="1520"/>
      <c r="N48" s="1520"/>
      <c r="O48" s="1520"/>
      <c r="P48" s="1520"/>
      <c r="Q48" s="1520"/>
      <c r="R48" s="1520"/>
      <c r="S48" s="1520"/>
      <c r="T48" s="1520"/>
      <c r="U48" s="1520"/>
      <c r="V48" s="1520"/>
      <c r="W48" s="1552"/>
      <c r="X48" s="1513"/>
      <c r="Y48" s="1506"/>
    </row>
    <row r="49" spans="1:23">
      <c r="A49" s="1510"/>
      <c r="B49" s="1510"/>
      <c r="C49" s="1520"/>
      <c r="D49" s="1520"/>
      <c r="E49" s="1520"/>
      <c r="F49" s="1520"/>
      <c r="G49" s="1520"/>
      <c r="H49" s="1520"/>
      <c r="I49" s="1520"/>
      <c r="J49" s="1520"/>
      <c r="K49" s="1520"/>
      <c r="L49" s="1520"/>
      <c r="M49" s="1520"/>
      <c r="N49" s="1520"/>
      <c r="O49" s="1520"/>
      <c r="P49" s="1520"/>
      <c r="Q49" s="1520"/>
      <c r="R49" s="1520"/>
      <c r="S49" s="1520"/>
      <c r="T49" s="1520"/>
      <c r="U49" s="1520"/>
      <c r="V49" s="1520"/>
      <c r="W49" s="1552"/>
    </row>
    <row r="50" spans="1:23">
      <c r="A50" s="1510"/>
      <c r="B50" s="1510"/>
      <c r="C50" s="1279"/>
      <c r="D50" s="1279"/>
      <c r="E50" s="1279"/>
      <c r="F50" s="1279"/>
      <c r="G50" s="1204">
        <v>1</v>
      </c>
      <c r="H50" s="1279">
        <f t="shared" ref="H50:U50" si="18">G50+1</f>
        <v>2</v>
      </c>
      <c r="I50" s="1279">
        <f t="shared" si="18"/>
        <v>3</v>
      </c>
      <c r="J50" s="1279">
        <f t="shared" si="18"/>
        <v>4</v>
      </c>
      <c r="K50" s="1279">
        <f t="shared" si="18"/>
        <v>5</v>
      </c>
      <c r="L50" s="1279">
        <f t="shared" si="18"/>
        <v>6</v>
      </c>
      <c r="M50" s="1279">
        <f t="shared" si="18"/>
        <v>7</v>
      </c>
      <c r="N50" s="1279">
        <f t="shared" si="18"/>
        <v>8</v>
      </c>
      <c r="O50" s="1279">
        <f t="shared" si="18"/>
        <v>9</v>
      </c>
      <c r="P50" s="1279">
        <f t="shared" si="18"/>
        <v>10</v>
      </c>
      <c r="Q50" s="1279">
        <f t="shared" si="18"/>
        <v>11</v>
      </c>
      <c r="R50" s="1279">
        <f t="shared" si="18"/>
        <v>12</v>
      </c>
      <c r="S50" s="1279">
        <f t="shared" si="18"/>
        <v>13</v>
      </c>
      <c r="T50" s="1279">
        <f t="shared" si="18"/>
        <v>14</v>
      </c>
      <c r="U50" s="1279">
        <f t="shared" si="18"/>
        <v>15</v>
      </c>
      <c r="V50" s="420"/>
      <c r="W50" s="1552"/>
    </row>
    <row r="51" spans="1:23">
      <c r="A51" s="1510"/>
      <c r="B51" s="1510"/>
      <c r="C51" s="1280" t="s">
        <v>1089</v>
      </c>
      <c r="D51" s="1280"/>
      <c r="E51" s="1280"/>
      <c r="F51" s="1280"/>
      <c r="G51" s="1206">
        <f>G9</f>
        <v>42825</v>
      </c>
      <c r="H51" s="1206">
        <f t="shared" ref="H51:U51" si="19">EOMONTH(G51,12)</f>
        <v>43190</v>
      </c>
      <c r="I51" s="1206">
        <f t="shared" si="19"/>
        <v>43555</v>
      </c>
      <c r="J51" s="1206">
        <f t="shared" si="19"/>
        <v>43921</v>
      </c>
      <c r="K51" s="1206">
        <f t="shared" si="19"/>
        <v>44286</v>
      </c>
      <c r="L51" s="1206">
        <f t="shared" si="19"/>
        <v>44651</v>
      </c>
      <c r="M51" s="1206">
        <f t="shared" si="19"/>
        <v>45016</v>
      </c>
      <c r="N51" s="1206">
        <f t="shared" si="19"/>
        <v>45382</v>
      </c>
      <c r="O51" s="1206">
        <f t="shared" si="19"/>
        <v>45747</v>
      </c>
      <c r="P51" s="1206">
        <f t="shared" si="19"/>
        <v>46112</v>
      </c>
      <c r="Q51" s="1206">
        <f t="shared" si="19"/>
        <v>46477</v>
      </c>
      <c r="R51" s="1206">
        <f t="shared" si="19"/>
        <v>46843</v>
      </c>
      <c r="S51" s="1206">
        <f t="shared" si="19"/>
        <v>47208</v>
      </c>
      <c r="T51" s="1206">
        <f t="shared" si="19"/>
        <v>47573</v>
      </c>
      <c r="U51" s="1206">
        <f t="shared" si="19"/>
        <v>47938</v>
      </c>
      <c r="V51" s="420"/>
      <c r="W51" s="1552"/>
    </row>
    <row r="52" spans="1:23">
      <c r="A52" s="1510"/>
      <c r="B52" s="1510"/>
      <c r="C52" s="416"/>
      <c r="D52" s="416"/>
      <c r="E52" s="416"/>
      <c r="F52" s="416"/>
      <c r="G52" s="416"/>
      <c r="H52" s="416"/>
      <c r="I52" s="416"/>
      <c r="J52" s="416"/>
      <c r="K52" s="416"/>
      <c r="L52" s="420"/>
      <c r="M52" s="420"/>
      <c r="N52" s="420"/>
      <c r="O52" s="420"/>
      <c r="P52" s="420"/>
      <c r="Q52" s="420"/>
      <c r="R52" s="420"/>
      <c r="S52" s="420"/>
      <c r="T52" s="420"/>
      <c r="U52" s="420"/>
      <c r="V52" s="420"/>
      <c r="W52" s="1552"/>
    </row>
    <row r="53" spans="1:23">
      <c r="A53" s="1510"/>
      <c r="B53" s="1510"/>
      <c r="C53" s="922" t="s">
        <v>1090</v>
      </c>
      <c r="D53" s="416"/>
      <c r="E53" s="416"/>
      <c r="F53" s="416"/>
      <c r="G53" s="416"/>
      <c r="H53" s="416"/>
      <c r="I53" s="416"/>
      <c r="J53" s="416"/>
      <c r="K53" s="416"/>
      <c r="L53" s="420"/>
      <c r="M53" s="420"/>
      <c r="N53" s="420"/>
      <c r="O53" s="420"/>
      <c r="P53" s="420"/>
      <c r="Q53" s="420"/>
      <c r="R53" s="420"/>
      <c r="S53" s="420"/>
      <c r="T53" s="420"/>
      <c r="U53" s="420"/>
      <c r="V53" s="420"/>
      <c r="W53" s="1552"/>
    </row>
    <row r="54" spans="1:23">
      <c r="A54" s="1510"/>
      <c r="B54" s="1510"/>
      <c r="C54" s="923" t="s">
        <v>211</v>
      </c>
      <c r="D54" s="416"/>
      <c r="E54" s="416"/>
      <c r="F54" s="416"/>
      <c r="G54" s="416">
        <f ca="1">'PFI Inputs'!G79</f>
        <v>0</v>
      </c>
      <c r="H54" s="416">
        <f ca="1">IF(H50&lt;=NoOfPFIYrs,'PFI Inputs'!H79,G54*(1+H91))</f>
        <v>0</v>
      </c>
      <c r="I54" s="416">
        <f ca="1">IF(I50&lt;=NoOfPFIYrs,'PFI Inputs'!I79,H54*(1+I91))</f>
        <v>0</v>
      </c>
      <c r="J54" s="416">
        <f ca="1">IF(J50&lt;=NoOfPFIYrs,'PFI Inputs'!J79,I54*(1+J91))</f>
        <v>0</v>
      </c>
      <c r="K54" s="416">
        <f ca="1">IF(K50&lt;=NoOfPFIYrs,'PFI Inputs'!K79,J54*(1+K91))</f>
        <v>0</v>
      </c>
      <c r="L54" s="416">
        <f ca="1">IF(L50&lt;=NoOfPFIYrs,'PFI Inputs'!L79,K54*(1+L91))</f>
        <v>0</v>
      </c>
      <c r="M54" s="416">
        <f ca="1">IF(M50&lt;=NoOfPFIYrs,'PFI Inputs'!M79,L54*(1+M91))</f>
        <v>0</v>
      </c>
      <c r="N54" s="416">
        <f ca="1">IF(N50&lt;=NoOfPFIYrs,'PFI Inputs'!N79,M54*(1+N91))</f>
        <v>0</v>
      </c>
      <c r="O54" s="416">
        <f ca="1">IF(O50&lt;=NoOfPFIYrs,'PFI Inputs'!O79,N54*(1+O91))</f>
        <v>0</v>
      </c>
      <c r="P54" s="416">
        <f ca="1">IF(P50&lt;=NoOfPFIYrs,'PFI Inputs'!P79,O54*(1+P91))</f>
        <v>0</v>
      </c>
      <c r="Q54" s="416">
        <f ca="1">IF(Q50&lt;=NoOfPFIYrs,'PFI Inputs'!Q79,P54*(1+Q91))</f>
        <v>0</v>
      </c>
      <c r="R54" s="416">
        <f ca="1">IF(R50&lt;=NoOfPFIYrs,'PFI Inputs'!R79,Q54*(1+R91))</f>
        <v>0</v>
      </c>
      <c r="S54" s="416">
        <f ca="1">IF(S50&lt;=NoOfPFIYrs,'PFI Inputs'!S79,R54*(1+S91))</f>
        <v>0</v>
      </c>
      <c r="T54" s="416">
        <f ca="1">IF(T50&lt;=NoOfPFIYrs,'PFI Inputs'!T79,S54*(1+T91))</f>
        <v>0</v>
      </c>
      <c r="U54" s="416">
        <f ca="1">IF(U50&lt;=NoOfPFIYrs,'PFI Inputs'!U79,T54*(1+U91))</f>
        <v>0</v>
      </c>
      <c r="V54" s="420"/>
      <c r="W54" s="1552"/>
    </row>
    <row r="55" spans="1:23">
      <c r="A55" s="1510"/>
      <c r="B55" s="1510"/>
      <c r="C55" s="923" t="s">
        <v>966</v>
      </c>
      <c r="D55" s="416"/>
      <c r="E55" s="416"/>
      <c r="F55" s="416"/>
      <c r="G55" s="416">
        <f t="shared" ref="G55:P55" ca="1" si="20">-MAX(G54,0)*G56</f>
        <v>0</v>
      </c>
      <c r="H55" s="416">
        <f t="shared" ca="1" si="20"/>
        <v>0</v>
      </c>
      <c r="I55" s="416">
        <f t="shared" ca="1" si="20"/>
        <v>0</v>
      </c>
      <c r="J55" s="416">
        <f t="shared" ca="1" si="20"/>
        <v>0</v>
      </c>
      <c r="K55" s="416">
        <f t="shared" ca="1" si="20"/>
        <v>0</v>
      </c>
      <c r="L55" s="416">
        <f t="shared" ca="1" si="20"/>
        <v>0</v>
      </c>
      <c r="M55" s="416">
        <f t="shared" ca="1" si="20"/>
        <v>0</v>
      </c>
      <c r="N55" s="416">
        <f t="shared" ca="1" si="20"/>
        <v>0</v>
      </c>
      <c r="O55" s="416">
        <f t="shared" ca="1" si="20"/>
        <v>0</v>
      </c>
      <c r="P55" s="416">
        <f t="shared" ca="1" si="20"/>
        <v>0</v>
      </c>
      <c r="Q55" s="416">
        <f ca="1">-MAX(Q54,0)*Q56</f>
        <v>0</v>
      </c>
      <c r="R55" s="416">
        <f ca="1">-MAX(R54,0)*R56</f>
        <v>0</v>
      </c>
      <c r="S55" s="416">
        <f ca="1">-MAX(S54,0)*S56</f>
        <v>0</v>
      </c>
      <c r="T55" s="416">
        <f ca="1">-MAX(T54,0)*T56</f>
        <v>0</v>
      </c>
      <c r="U55" s="416">
        <f ca="1">-MAX(U54,0)*U56</f>
        <v>0</v>
      </c>
      <c r="V55" s="420"/>
      <c r="W55" s="1552"/>
    </row>
    <row r="56" spans="1:23">
      <c r="A56" s="1510"/>
      <c r="B56" s="1510"/>
      <c r="C56" s="923" t="s">
        <v>933</v>
      </c>
      <c r="D56" s="951"/>
      <c r="E56" s="416"/>
      <c r="F56" s="416"/>
      <c r="G56" s="553">
        <f>'PFI Inputs'!G91</f>
        <v>0</v>
      </c>
      <c r="H56" s="951">
        <f>IF(H50&lt;=NoOfPFIYrs,'PFI Inputs'!H91,G56)</f>
        <v>0</v>
      </c>
      <c r="I56" s="951">
        <f>IF(I50&lt;=NoOfPFIYrs,'PFI Inputs'!I91,H56)</f>
        <v>0</v>
      </c>
      <c r="J56" s="951">
        <f>IF(J50&lt;=NoOfPFIYrs,'PFI Inputs'!J91,I56)</f>
        <v>0</v>
      </c>
      <c r="K56" s="951">
        <f>IF(K50&lt;=NoOfPFIYrs,'PFI Inputs'!K91,J56)</f>
        <v>0</v>
      </c>
      <c r="L56" s="951">
        <f>IF(L50&lt;=NoOfPFIYrs,'PFI Inputs'!L91,K56)</f>
        <v>0</v>
      </c>
      <c r="M56" s="951">
        <f>IF(M50&lt;=NoOfPFIYrs,'PFI Inputs'!M91,L56)</f>
        <v>0</v>
      </c>
      <c r="N56" s="951">
        <f>IF(N50&lt;=NoOfPFIYrs,'PFI Inputs'!N91,M56)</f>
        <v>0</v>
      </c>
      <c r="O56" s="951">
        <f>IF(O50&lt;=NoOfPFIYrs,'PFI Inputs'!O91,N56)</f>
        <v>0</v>
      </c>
      <c r="P56" s="951">
        <f>IF(P50&lt;=NoOfPFIYrs,'PFI Inputs'!P91,O56)</f>
        <v>0</v>
      </c>
      <c r="Q56" s="951">
        <f>IF(Q50&lt;=NoOfPFIYrs,'PFI Inputs'!Q91,P56)</f>
        <v>0</v>
      </c>
      <c r="R56" s="951">
        <f>IF(R50&lt;=NoOfPFIYrs,'PFI Inputs'!R91,Q56)</f>
        <v>0</v>
      </c>
      <c r="S56" s="951">
        <f>IF(S50&lt;=NoOfPFIYrs,'PFI Inputs'!S91,R56)</f>
        <v>0</v>
      </c>
      <c r="T56" s="951">
        <f>IF(T50&lt;=NoOfPFIYrs,'PFI Inputs'!T91,S56)</f>
        <v>0</v>
      </c>
      <c r="U56" s="951">
        <f>IF(U50&lt;=NoOfPFIYrs,'PFI Inputs'!U91,T56)</f>
        <v>0</v>
      </c>
      <c r="V56" s="420"/>
      <c r="W56" s="1552"/>
    </row>
    <row r="57" spans="1:23">
      <c r="A57" s="1510"/>
      <c r="B57" s="1510"/>
      <c r="C57" s="923" t="s">
        <v>1091</v>
      </c>
      <c r="D57" s="416"/>
      <c r="E57" s="416"/>
      <c r="F57" s="416"/>
      <c r="G57" s="1203">
        <f ca="1">SUM(G54:G55)</f>
        <v>0</v>
      </c>
      <c r="H57" s="1203">
        <f t="shared" ref="H57:U57" ca="1" si="21">SUM(H54:H55)</f>
        <v>0</v>
      </c>
      <c r="I57" s="1203">
        <f t="shared" ca="1" si="21"/>
        <v>0</v>
      </c>
      <c r="J57" s="1203">
        <f t="shared" ca="1" si="21"/>
        <v>0</v>
      </c>
      <c r="K57" s="1203">
        <f t="shared" ca="1" si="21"/>
        <v>0</v>
      </c>
      <c r="L57" s="1203">
        <f t="shared" ca="1" si="21"/>
        <v>0</v>
      </c>
      <c r="M57" s="1203">
        <f t="shared" ca="1" si="21"/>
        <v>0</v>
      </c>
      <c r="N57" s="1203">
        <f t="shared" ca="1" si="21"/>
        <v>0</v>
      </c>
      <c r="O57" s="1203">
        <f t="shared" ca="1" si="21"/>
        <v>0</v>
      </c>
      <c r="P57" s="1203">
        <f t="shared" ca="1" si="21"/>
        <v>0</v>
      </c>
      <c r="Q57" s="1203">
        <f t="shared" ca="1" si="21"/>
        <v>0</v>
      </c>
      <c r="R57" s="1203">
        <f t="shared" ca="1" si="21"/>
        <v>0</v>
      </c>
      <c r="S57" s="1203">
        <f t="shared" ca="1" si="21"/>
        <v>0</v>
      </c>
      <c r="T57" s="1203">
        <f t="shared" ca="1" si="21"/>
        <v>0</v>
      </c>
      <c r="U57" s="1203">
        <f t="shared" ca="1" si="21"/>
        <v>0</v>
      </c>
      <c r="V57" s="420"/>
      <c r="W57" s="1552"/>
    </row>
    <row r="58" spans="1:23">
      <c r="A58" s="1510"/>
      <c r="B58" s="1510"/>
      <c r="C58" s="416"/>
      <c r="D58" s="416"/>
      <c r="E58" s="416"/>
      <c r="F58" s="416"/>
      <c r="G58" s="416"/>
      <c r="H58" s="416"/>
      <c r="I58" s="416"/>
      <c r="J58" s="416"/>
      <c r="K58" s="416"/>
      <c r="L58" s="420"/>
      <c r="M58" s="420"/>
      <c r="N58" s="420"/>
      <c r="O58" s="420"/>
      <c r="P58" s="420"/>
      <c r="Q58" s="420"/>
      <c r="R58" s="420"/>
      <c r="S58" s="420"/>
      <c r="T58" s="420"/>
      <c r="U58" s="420"/>
      <c r="V58" s="420"/>
      <c r="W58" s="1552"/>
    </row>
    <row r="59" spans="1:23">
      <c r="A59" s="1510"/>
      <c r="B59" s="1510"/>
      <c r="C59" s="922" t="s">
        <v>1092</v>
      </c>
      <c r="D59" s="416"/>
      <c r="E59" s="416"/>
      <c r="F59" s="416"/>
      <c r="G59" s="416"/>
      <c r="H59" s="416"/>
      <c r="I59" s="416"/>
      <c r="J59" s="416"/>
      <c r="K59" s="416"/>
      <c r="L59" s="420"/>
      <c r="M59" s="420"/>
      <c r="N59" s="420"/>
      <c r="O59" s="420"/>
      <c r="P59" s="420"/>
      <c r="Q59" s="420"/>
      <c r="R59" s="420"/>
      <c r="S59" s="420"/>
      <c r="T59" s="420"/>
      <c r="U59" s="420"/>
      <c r="V59" s="420"/>
      <c r="W59" s="1552"/>
    </row>
    <row r="60" spans="1:23">
      <c r="A60" s="1510"/>
      <c r="B60" s="1510"/>
      <c r="C60" s="923" t="s">
        <v>211</v>
      </c>
      <c r="D60" s="416"/>
      <c r="E60" s="416"/>
      <c r="F60" s="416"/>
      <c r="G60" s="416">
        <f ca="1">MAX(G54,0)</f>
        <v>0</v>
      </c>
      <c r="H60" s="416">
        <f t="shared" ref="H60:U60" ca="1" si="22">MAX(H54,0)</f>
        <v>0</v>
      </c>
      <c r="I60" s="416">
        <f t="shared" ca="1" si="22"/>
        <v>0</v>
      </c>
      <c r="J60" s="416">
        <f t="shared" ca="1" si="22"/>
        <v>0</v>
      </c>
      <c r="K60" s="416">
        <f t="shared" ca="1" si="22"/>
        <v>0</v>
      </c>
      <c r="L60" s="416">
        <f t="shared" ca="1" si="22"/>
        <v>0</v>
      </c>
      <c r="M60" s="416">
        <f t="shared" ca="1" si="22"/>
        <v>0</v>
      </c>
      <c r="N60" s="416">
        <f t="shared" ca="1" si="22"/>
        <v>0</v>
      </c>
      <c r="O60" s="416">
        <f t="shared" ca="1" si="22"/>
        <v>0</v>
      </c>
      <c r="P60" s="416">
        <f t="shared" ca="1" si="22"/>
        <v>0</v>
      </c>
      <c r="Q60" s="416">
        <f t="shared" ca="1" si="22"/>
        <v>0</v>
      </c>
      <c r="R60" s="416">
        <f t="shared" ca="1" si="22"/>
        <v>0</v>
      </c>
      <c r="S60" s="416">
        <f t="shared" ca="1" si="22"/>
        <v>0</v>
      </c>
      <c r="T60" s="416">
        <f t="shared" ca="1" si="22"/>
        <v>0</v>
      </c>
      <c r="U60" s="416">
        <f t="shared" ca="1" si="22"/>
        <v>0</v>
      </c>
      <c r="V60" s="420"/>
      <c r="W60" s="1552"/>
    </row>
    <row r="61" spans="1:23">
      <c r="A61" s="1510"/>
      <c r="B61" s="1510"/>
      <c r="C61" s="923"/>
      <c r="D61" s="416"/>
      <c r="E61" s="416"/>
      <c r="F61" s="416"/>
      <c r="G61" s="416"/>
      <c r="H61" s="416"/>
      <c r="I61" s="416"/>
      <c r="J61" s="416"/>
      <c r="K61" s="416"/>
      <c r="L61" s="416"/>
      <c r="M61" s="416"/>
      <c r="N61" s="416"/>
      <c r="O61" s="416"/>
      <c r="P61" s="416"/>
      <c r="Q61" s="416"/>
      <c r="R61" s="416"/>
      <c r="S61" s="416"/>
      <c r="T61" s="416"/>
      <c r="U61" s="416"/>
      <c r="V61" s="420"/>
      <c r="W61" s="1552"/>
    </row>
    <row r="62" spans="1:23">
      <c r="A62" s="1510"/>
      <c r="B62" s="1510"/>
      <c r="C62" s="923" t="s">
        <v>1093</v>
      </c>
      <c r="D62" s="2208">
        <f>D20</f>
        <v>0</v>
      </c>
      <c r="E62" s="416"/>
      <c r="F62" s="416"/>
      <c r="G62" s="417">
        <f>$D$62</f>
        <v>0</v>
      </c>
      <c r="H62" s="417">
        <f t="shared" ref="H62:U62" ca="1" si="23">G65</f>
        <v>0</v>
      </c>
      <c r="I62" s="417">
        <f t="shared" ca="1" si="23"/>
        <v>0</v>
      </c>
      <c r="J62" s="417">
        <f t="shared" ca="1" si="23"/>
        <v>0</v>
      </c>
      <c r="K62" s="417">
        <f t="shared" ca="1" si="23"/>
        <v>0</v>
      </c>
      <c r="L62" s="417">
        <f t="shared" ca="1" si="23"/>
        <v>0</v>
      </c>
      <c r="M62" s="417">
        <f t="shared" ca="1" si="23"/>
        <v>0</v>
      </c>
      <c r="N62" s="417">
        <f t="shared" ca="1" si="23"/>
        <v>0</v>
      </c>
      <c r="O62" s="417">
        <f t="shared" ca="1" si="23"/>
        <v>0</v>
      </c>
      <c r="P62" s="417">
        <f t="shared" ca="1" si="23"/>
        <v>0</v>
      </c>
      <c r="Q62" s="417">
        <f t="shared" ca="1" si="23"/>
        <v>0</v>
      </c>
      <c r="R62" s="417">
        <f t="shared" ca="1" si="23"/>
        <v>0</v>
      </c>
      <c r="S62" s="417">
        <f t="shared" ca="1" si="23"/>
        <v>0</v>
      </c>
      <c r="T62" s="417">
        <f t="shared" ca="1" si="23"/>
        <v>0</v>
      </c>
      <c r="U62" s="417">
        <f t="shared" ca="1" si="23"/>
        <v>0</v>
      </c>
      <c r="V62" s="420"/>
      <c r="W62" s="1552"/>
    </row>
    <row r="63" spans="1:23">
      <c r="A63" s="1510"/>
      <c r="B63" s="1510"/>
      <c r="C63" s="923" t="s">
        <v>1094</v>
      </c>
      <c r="D63" s="416"/>
      <c r="E63" s="416"/>
      <c r="F63" s="416"/>
      <c r="G63" s="417">
        <f ca="1">-MIN(G60,0)</f>
        <v>0</v>
      </c>
      <c r="H63" s="417">
        <f t="shared" ref="H63:U63" ca="1" si="24">-MIN(H60,0)</f>
        <v>0</v>
      </c>
      <c r="I63" s="417">
        <f t="shared" ca="1" si="24"/>
        <v>0</v>
      </c>
      <c r="J63" s="417">
        <f t="shared" ca="1" si="24"/>
        <v>0</v>
      </c>
      <c r="K63" s="417">
        <f t="shared" ca="1" si="24"/>
        <v>0</v>
      </c>
      <c r="L63" s="417">
        <f t="shared" ca="1" si="24"/>
        <v>0</v>
      </c>
      <c r="M63" s="417">
        <f t="shared" ca="1" si="24"/>
        <v>0</v>
      </c>
      <c r="N63" s="417">
        <f t="shared" ca="1" si="24"/>
        <v>0</v>
      </c>
      <c r="O63" s="417">
        <f t="shared" ca="1" si="24"/>
        <v>0</v>
      </c>
      <c r="P63" s="417">
        <f t="shared" ca="1" si="24"/>
        <v>0</v>
      </c>
      <c r="Q63" s="417">
        <f t="shared" ca="1" si="24"/>
        <v>0</v>
      </c>
      <c r="R63" s="417">
        <f t="shared" ca="1" si="24"/>
        <v>0</v>
      </c>
      <c r="S63" s="417">
        <f t="shared" ca="1" si="24"/>
        <v>0</v>
      </c>
      <c r="T63" s="417">
        <f t="shared" ca="1" si="24"/>
        <v>0</v>
      </c>
      <c r="U63" s="417">
        <f t="shared" ca="1" si="24"/>
        <v>0</v>
      </c>
      <c r="V63" s="420"/>
      <c r="W63" s="1552"/>
    </row>
    <row r="64" spans="1:23">
      <c r="A64" s="1510"/>
      <c r="B64" s="1510"/>
      <c r="C64" s="923" t="s">
        <v>1095</v>
      </c>
      <c r="D64" s="2208">
        <f>D22</f>
        <v>0</v>
      </c>
      <c r="E64" s="416"/>
      <c r="F64" s="416"/>
      <c r="G64" s="417">
        <f ca="1">-MIN(MAX(G60,0)*90%,MIN(G62,$D$64))</f>
        <v>0</v>
      </c>
      <c r="H64" s="417">
        <f t="shared" ref="H64:U64" ca="1" si="25">-MIN(MAX(H60,0)*90%,MIN(H62,$D$64))</f>
        <v>0</v>
      </c>
      <c r="I64" s="417">
        <f t="shared" ca="1" si="25"/>
        <v>0</v>
      </c>
      <c r="J64" s="417">
        <f t="shared" ca="1" si="25"/>
        <v>0</v>
      </c>
      <c r="K64" s="417">
        <f t="shared" ca="1" si="25"/>
        <v>0</v>
      </c>
      <c r="L64" s="417">
        <f t="shared" ca="1" si="25"/>
        <v>0</v>
      </c>
      <c r="M64" s="417">
        <f t="shared" ca="1" si="25"/>
        <v>0</v>
      </c>
      <c r="N64" s="417">
        <f t="shared" ca="1" si="25"/>
        <v>0</v>
      </c>
      <c r="O64" s="417">
        <f t="shared" ca="1" si="25"/>
        <v>0</v>
      </c>
      <c r="P64" s="417">
        <f t="shared" ca="1" si="25"/>
        <v>0</v>
      </c>
      <c r="Q64" s="417">
        <f t="shared" ca="1" si="25"/>
        <v>0</v>
      </c>
      <c r="R64" s="417">
        <f t="shared" ca="1" si="25"/>
        <v>0</v>
      </c>
      <c r="S64" s="417">
        <f t="shared" ca="1" si="25"/>
        <v>0</v>
      </c>
      <c r="T64" s="417">
        <f t="shared" ca="1" si="25"/>
        <v>0</v>
      </c>
      <c r="U64" s="417">
        <f t="shared" ca="1" si="25"/>
        <v>0</v>
      </c>
      <c r="V64" s="420"/>
      <c r="W64" s="1552"/>
    </row>
    <row r="65" spans="1:23">
      <c r="A65" s="1510"/>
      <c r="B65" s="1510"/>
      <c r="C65" s="923" t="s">
        <v>1096</v>
      </c>
      <c r="D65" s="550"/>
      <c r="E65" s="617"/>
      <c r="F65" s="617"/>
      <c r="G65" s="1208">
        <f ca="1">SUM(G62:G64)</f>
        <v>0</v>
      </c>
      <c r="H65" s="1208">
        <f t="shared" ref="H65:U65" ca="1" si="26">SUM(H62:H64)</f>
        <v>0</v>
      </c>
      <c r="I65" s="1208">
        <f t="shared" ca="1" si="26"/>
        <v>0</v>
      </c>
      <c r="J65" s="1208">
        <f t="shared" ca="1" si="26"/>
        <v>0</v>
      </c>
      <c r="K65" s="1208">
        <f t="shared" ca="1" si="26"/>
        <v>0</v>
      </c>
      <c r="L65" s="1208">
        <f t="shared" ca="1" si="26"/>
        <v>0</v>
      </c>
      <c r="M65" s="1208">
        <f t="shared" ca="1" si="26"/>
        <v>0</v>
      </c>
      <c r="N65" s="1208">
        <f t="shared" ca="1" si="26"/>
        <v>0</v>
      </c>
      <c r="O65" s="1208">
        <f t="shared" ca="1" si="26"/>
        <v>0</v>
      </c>
      <c r="P65" s="1208">
        <f t="shared" ca="1" si="26"/>
        <v>0</v>
      </c>
      <c r="Q65" s="1208">
        <f t="shared" ca="1" si="26"/>
        <v>0</v>
      </c>
      <c r="R65" s="1208">
        <f t="shared" ca="1" si="26"/>
        <v>0</v>
      </c>
      <c r="S65" s="1208">
        <f t="shared" ca="1" si="26"/>
        <v>0</v>
      </c>
      <c r="T65" s="1208">
        <f t="shared" ca="1" si="26"/>
        <v>0</v>
      </c>
      <c r="U65" s="1208">
        <f t="shared" ca="1" si="26"/>
        <v>0</v>
      </c>
      <c r="V65" s="420"/>
      <c r="W65" s="1552"/>
    </row>
    <row r="66" spans="1:23">
      <c r="A66" s="1510"/>
      <c r="B66" s="1510"/>
      <c r="C66" s="550"/>
      <c r="D66" s="416"/>
      <c r="E66" s="617"/>
      <c r="F66" s="617"/>
      <c r="G66" s="427"/>
      <c r="H66" s="416"/>
      <c r="I66" s="416"/>
      <c r="J66" s="416"/>
      <c r="K66" s="416"/>
      <c r="L66" s="420"/>
      <c r="M66" s="420"/>
      <c r="N66" s="420"/>
      <c r="O66" s="420"/>
      <c r="P66" s="420"/>
      <c r="Q66" s="420"/>
      <c r="R66" s="420"/>
      <c r="S66" s="420"/>
      <c r="T66" s="420"/>
      <c r="U66" s="420"/>
      <c r="V66" s="420"/>
      <c r="W66" s="1552"/>
    </row>
    <row r="67" spans="1:23">
      <c r="A67" s="1510"/>
      <c r="B67" s="1510"/>
      <c r="C67" s="923" t="s">
        <v>1097</v>
      </c>
      <c r="D67" s="416"/>
      <c r="E67" s="617"/>
      <c r="F67" s="617"/>
      <c r="G67" s="542">
        <f ca="1">G60+G64</f>
        <v>0</v>
      </c>
      <c r="H67" s="542">
        <f t="shared" ref="H67:U67" ca="1" si="27">H60+H64</f>
        <v>0</v>
      </c>
      <c r="I67" s="542">
        <f t="shared" ca="1" si="27"/>
        <v>0</v>
      </c>
      <c r="J67" s="542">
        <f t="shared" ca="1" si="27"/>
        <v>0</v>
      </c>
      <c r="K67" s="542">
        <f t="shared" ca="1" si="27"/>
        <v>0</v>
      </c>
      <c r="L67" s="542">
        <f t="shared" ca="1" si="27"/>
        <v>0</v>
      </c>
      <c r="M67" s="542">
        <f t="shared" ca="1" si="27"/>
        <v>0</v>
      </c>
      <c r="N67" s="542">
        <f t="shared" ca="1" si="27"/>
        <v>0</v>
      </c>
      <c r="O67" s="542">
        <f t="shared" ca="1" si="27"/>
        <v>0</v>
      </c>
      <c r="P67" s="542">
        <f t="shared" ca="1" si="27"/>
        <v>0</v>
      </c>
      <c r="Q67" s="542">
        <f t="shared" ca="1" si="27"/>
        <v>0</v>
      </c>
      <c r="R67" s="542">
        <f t="shared" ca="1" si="27"/>
        <v>0</v>
      </c>
      <c r="S67" s="542">
        <f t="shared" ca="1" si="27"/>
        <v>0</v>
      </c>
      <c r="T67" s="542">
        <f t="shared" ca="1" si="27"/>
        <v>0</v>
      </c>
      <c r="U67" s="542">
        <f t="shared" ca="1" si="27"/>
        <v>0</v>
      </c>
      <c r="V67" s="420"/>
      <c r="W67" s="1552"/>
    </row>
    <row r="68" spans="1:23">
      <c r="A68" s="1510"/>
      <c r="B68" s="1510"/>
      <c r="C68" s="923" t="s">
        <v>1098</v>
      </c>
      <c r="D68" s="416"/>
      <c r="E68" s="617"/>
      <c r="F68" s="617"/>
      <c r="G68" s="416">
        <f t="shared" ref="G68:P68" ca="1" si="28">-MAX(G67,0)*G69</f>
        <v>0</v>
      </c>
      <c r="H68" s="542">
        <f t="shared" ca="1" si="28"/>
        <v>0</v>
      </c>
      <c r="I68" s="542">
        <f t="shared" ca="1" si="28"/>
        <v>0</v>
      </c>
      <c r="J68" s="542">
        <f t="shared" ca="1" si="28"/>
        <v>0</v>
      </c>
      <c r="K68" s="542">
        <f t="shared" ca="1" si="28"/>
        <v>0</v>
      </c>
      <c r="L68" s="542">
        <f t="shared" ca="1" si="28"/>
        <v>0</v>
      </c>
      <c r="M68" s="542">
        <f t="shared" ca="1" si="28"/>
        <v>0</v>
      </c>
      <c r="N68" s="542">
        <f t="shared" ca="1" si="28"/>
        <v>0</v>
      </c>
      <c r="O68" s="542">
        <f t="shared" ca="1" si="28"/>
        <v>0</v>
      </c>
      <c r="P68" s="542">
        <f t="shared" ca="1" si="28"/>
        <v>0</v>
      </c>
      <c r="Q68" s="542">
        <f ca="1">-MAX(Q67,0)*Q69</f>
        <v>0</v>
      </c>
      <c r="R68" s="542">
        <f ca="1">-MAX(R67,0)*R69</f>
        <v>0</v>
      </c>
      <c r="S68" s="542">
        <f ca="1">-MAX(S67,0)*S69</f>
        <v>0</v>
      </c>
      <c r="T68" s="542">
        <f ca="1">-MAX(T67,0)*T69</f>
        <v>0</v>
      </c>
      <c r="U68" s="542">
        <f ca="1">-MAX(U67,0)*U69</f>
        <v>0</v>
      </c>
      <c r="V68" s="420"/>
      <c r="W68" s="1552"/>
    </row>
    <row r="69" spans="1:23">
      <c r="A69" s="1510"/>
      <c r="B69" s="1510"/>
      <c r="C69" s="923" t="s">
        <v>1099</v>
      </c>
      <c r="D69" s="1722">
        <f>D27</f>
        <v>0.2</v>
      </c>
      <c r="E69" s="951"/>
      <c r="F69" s="617"/>
      <c r="G69" s="1722">
        <f>$D69</f>
        <v>0.2</v>
      </c>
      <c r="H69" s="1722">
        <f t="shared" ref="H69:U69" si="29">$D69</f>
        <v>0.2</v>
      </c>
      <c r="I69" s="1722">
        <f t="shared" si="29"/>
        <v>0.2</v>
      </c>
      <c r="J69" s="1722">
        <f t="shared" si="29"/>
        <v>0.2</v>
      </c>
      <c r="K69" s="1722">
        <f t="shared" si="29"/>
        <v>0.2</v>
      </c>
      <c r="L69" s="1722">
        <f t="shared" si="29"/>
        <v>0.2</v>
      </c>
      <c r="M69" s="1722">
        <f t="shared" si="29"/>
        <v>0.2</v>
      </c>
      <c r="N69" s="1722">
        <f t="shared" si="29"/>
        <v>0.2</v>
      </c>
      <c r="O69" s="1722">
        <f t="shared" si="29"/>
        <v>0.2</v>
      </c>
      <c r="P69" s="1722">
        <f t="shared" si="29"/>
        <v>0.2</v>
      </c>
      <c r="Q69" s="1722">
        <f t="shared" si="29"/>
        <v>0.2</v>
      </c>
      <c r="R69" s="1722">
        <f t="shared" si="29"/>
        <v>0.2</v>
      </c>
      <c r="S69" s="1722">
        <f t="shared" si="29"/>
        <v>0.2</v>
      </c>
      <c r="T69" s="1722">
        <f t="shared" si="29"/>
        <v>0.2</v>
      </c>
      <c r="U69" s="1722">
        <f t="shared" si="29"/>
        <v>0.2</v>
      </c>
      <c r="V69" s="420"/>
      <c r="W69" s="1552"/>
    </row>
    <row r="70" spans="1:23">
      <c r="A70" s="1510"/>
      <c r="B70" s="1510"/>
      <c r="C70" s="923" t="s">
        <v>1091</v>
      </c>
      <c r="D70" s="416"/>
      <c r="E70" s="617"/>
      <c r="F70" s="617"/>
      <c r="G70" s="1203">
        <f ca="1">SUM(G67:G68)</f>
        <v>0</v>
      </c>
      <c r="H70" s="1203">
        <f t="shared" ref="H70:U70" ca="1" si="30">SUM(H67:H68)</f>
        <v>0</v>
      </c>
      <c r="I70" s="1203">
        <f t="shared" ca="1" si="30"/>
        <v>0</v>
      </c>
      <c r="J70" s="1203">
        <f t="shared" ca="1" si="30"/>
        <v>0</v>
      </c>
      <c r="K70" s="1203">
        <f t="shared" ca="1" si="30"/>
        <v>0</v>
      </c>
      <c r="L70" s="1203">
        <f t="shared" ca="1" si="30"/>
        <v>0</v>
      </c>
      <c r="M70" s="1203">
        <f t="shared" ca="1" si="30"/>
        <v>0</v>
      </c>
      <c r="N70" s="1203">
        <f t="shared" ca="1" si="30"/>
        <v>0</v>
      </c>
      <c r="O70" s="1203">
        <f t="shared" ca="1" si="30"/>
        <v>0</v>
      </c>
      <c r="P70" s="1203">
        <f t="shared" ca="1" si="30"/>
        <v>0</v>
      </c>
      <c r="Q70" s="1203">
        <f t="shared" ca="1" si="30"/>
        <v>0</v>
      </c>
      <c r="R70" s="1203">
        <f t="shared" ca="1" si="30"/>
        <v>0</v>
      </c>
      <c r="S70" s="1203">
        <f t="shared" ca="1" si="30"/>
        <v>0</v>
      </c>
      <c r="T70" s="1203">
        <f t="shared" ca="1" si="30"/>
        <v>0</v>
      </c>
      <c r="U70" s="1203">
        <f t="shared" ca="1" si="30"/>
        <v>0</v>
      </c>
      <c r="V70" s="420"/>
      <c r="W70" s="1552"/>
    </row>
    <row r="71" spans="1:23">
      <c r="A71" s="1510"/>
      <c r="B71" s="1510"/>
      <c r="C71" s="550"/>
      <c r="D71" s="416"/>
      <c r="E71" s="617"/>
      <c r="F71" s="416"/>
      <c r="G71" s="542"/>
      <c r="H71" s="542"/>
      <c r="I71" s="542"/>
      <c r="J71" s="542"/>
      <c r="K71" s="542"/>
      <c r="L71" s="542"/>
      <c r="M71" s="542"/>
      <c r="N71" s="542"/>
      <c r="O71" s="542"/>
      <c r="P71" s="542"/>
      <c r="Q71" s="542"/>
      <c r="R71" s="542"/>
      <c r="S71" s="542"/>
      <c r="T71" s="542"/>
      <c r="U71" s="542"/>
      <c r="V71" s="420"/>
      <c r="W71" s="1552"/>
    </row>
    <row r="72" spans="1:23">
      <c r="A72" s="1510"/>
      <c r="B72" s="1510"/>
      <c r="C72" s="138" t="s">
        <v>966</v>
      </c>
      <c r="D72" s="416"/>
      <c r="E72" s="617"/>
      <c r="F72" s="416"/>
      <c r="G72" s="417">
        <f ca="1">-G55</f>
        <v>0</v>
      </c>
      <c r="H72" s="417">
        <f t="shared" ref="H72:U72" ca="1" si="31">-H55</f>
        <v>0</v>
      </c>
      <c r="I72" s="417">
        <f t="shared" ca="1" si="31"/>
        <v>0</v>
      </c>
      <c r="J72" s="417">
        <f t="shared" ca="1" si="31"/>
        <v>0</v>
      </c>
      <c r="K72" s="417">
        <f t="shared" ca="1" si="31"/>
        <v>0</v>
      </c>
      <c r="L72" s="417">
        <f t="shared" ca="1" si="31"/>
        <v>0</v>
      </c>
      <c r="M72" s="417">
        <f t="shared" ca="1" si="31"/>
        <v>0</v>
      </c>
      <c r="N72" s="417">
        <f t="shared" ca="1" si="31"/>
        <v>0</v>
      </c>
      <c r="O72" s="417">
        <f t="shared" ca="1" si="31"/>
        <v>0</v>
      </c>
      <c r="P72" s="417">
        <f t="shared" ca="1" si="31"/>
        <v>0</v>
      </c>
      <c r="Q72" s="417">
        <f t="shared" ca="1" si="31"/>
        <v>0</v>
      </c>
      <c r="R72" s="417">
        <f t="shared" ca="1" si="31"/>
        <v>0</v>
      </c>
      <c r="S72" s="417">
        <f t="shared" ca="1" si="31"/>
        <v>0</v>
      </c>
      <c r="T72" s="417">
        <f t="shared" ca="1" si="31"/>
        <v>0</v>
      </c>
      <c r="U72" s="417">
        <f t="shared" ca="1" si="31"/>
        <v>0</v>
      </c>
      <c r="V72" s="420"/>
      <c r="W72" s="1552"/>
    </row>
    <row r="73" spans="1:23">
      <c r="A73" s="1510"/>
      <c r="B73" s="1510"/>
      <c r="C73" s="138" t="s">
        <v>1098</v>
      </c>
      <c r="D73" s="416"/>
      <c r="E73" s="676"/>
      <c r="F73" s="416"/>
      <c r="G73" s="417">
        <f ca="1">IF(G62,-G68,-G55)</f>
        <v>0</v>
      </c>
      <c r="H73" s="417">
        <f ca="1">IF(H62,-H68,-H55)</f>
        <v>0</v>
      </c>
      <c r="I73" s="417">
        <f ca="1">IF(I62,-I68,-I55)</f>
        <v>0</v>
      </c>
      <c r="J73" s="417">
        <f t="shared" ref="J73:U73" ca="1" si="32">IF(J62,-J68,-J55)</f>
        <v>0</v>
      </c>
      <c r="K73" s="417">
        <f t="shared" ca="1" si="32"/>
        <v>0</v>
      </c>
      <c r="L73" s="417">
        <f t="shared" ca="1" si="32"/>
        <v>0</v>
      </c>
      <c r="M73" s="417">
        <f t="shared" ca="1" si="32"/>
        <v>0</v>
      </c>
      <c r="N73" s="417">
        <f t="shared" ca="1" si="32"/>
        <v>0</v>
      </c>
      <c r="O73" s="417">
        <f t="shared" ca="1" si="32"/>
        <v>0</v>
      </c>
      <c r="P73" s="417">
        <f t="shared" ca="1" si="32"/>
        <v>0</v>
      </c>
      <c r="Q73" s="417">
        <f t="shared" ca="1" si="32"/>
        <v>0</v>
      </c>
      <c r="R73" s="417">
        <f t="shared" ca="1" si="32"/>
        <v>0</v>
      </c>
      <c r="S73" s="417">
        <f t="shared" ca="1" si="32"/>
        <v>0</v>
      </c>
      <c r="T73" s="417">
        <f t="shared" ca="1" si="32"/>
        <v>0</v>
      </c>
      <c r="U73" s="417">
        <f t="shared" ca="1" si="32"/>
        <v>0</v>
      </c>
      <c r="V73" s="420"/>
      <c r="W73" s="1552"/>
    </row>
    <row r="74" spans="1:23">
      <c r="A74" s="1510"/>
      <c r="B74" s="1510"/>
      <c r="C74" s="550" t="s">
        <v>1100</v>
      </c>
      <c r="D74" s="416"/>
      <c r="E74" s="617"/>
      <c r="F74" s="416"/>
      <c r="G74" s="1208">
        <f ca="1">G72-G73</f>
        <v>0</v>
      </c>
      <c r="H74" s="1208">
        <f ca="1">H72-H73</f>
        <v>0</v>
      </c>
      <c r="I74" s="1208">
        <f ca="1">I72-I73</f>
        <v>0</v>
      </c>
      <c r="J74" s="1208">
        <f t="shared" ref="J74:Q74" ca="1" si="33">J72-J73</f>
        <v>0</v>
      </c>
      <c r="K74" s="1208">
        <f t="shared" ca="1" si="33"/>
        <v>0</v>
      </c>
      <c r="L74" s="1208">
        <f t="shared" ca="1" si="33"/>
        <v>0</v>
      </c>
      <c r="M74" s="1208">
        <f t="shared" ca="1" si="33"/>
        <v>0</v>
      </c>
      <c r="N74" s="1208">
        <f t="shared" ca="1" si="33"/>
        <v>0</v>
      </c>
      <c r="O74" s="1208">
        <f t="shared" ca="1" si="33"/>
        <v>0</v>
      </c>
      <c r="P74" s="1208">
        <f t="shared" ca="1" si="33"/>
        <v>0</v>
      </c>
      <c r="Q74" s="1208">
        <f t="shared" ca="1" si="33"/>
        <v>0</v>
      </c>
      <c r="R74" s="1208">
        <f ca="1">R72-R73</f>
        <v>0</v>
      </c>
      <c r="S74" s="1208">
        <f ca="1">S72-S73</f>
        <v>0</v>
      </c>
      <c r="T74" s="1208">
        <f ca="1">T72-T73</f>
        <v>0</v>
      </c>
      <c r="U74" s="1208">
        <f ca="1">U72-U73</f>
        <v>0</v>
      </c>
      <c r="V74" s="420"/>
      <c r="W74" s="1552"/>
    </row>
    <row r="75" spans="1:23">
      <c r="A75" s="1510" t="s">
        <v>17</v>
      </c>
      <c r="B75" s="1510"/>
      <c r="C75" s="550"/>
      <c r="D75" s="416"/>
      <c r="E75" s="617"/>
      <c r="F75" s="416"/>
      <c r="G75" s="417"/>
      <c r="H75" s="417"/>
      <c r="I75" s="417"/>
      <c r="J75" s="417"/>
      <c r="K75" s="417"/>
      <c r="L75" s="417"/>
      <c r="M75" s="417"/>
      <c r="N75" s="417"/>
      <c r="O75" s="417"/>
      <c r="P75" s="417"/>
      <c r="Q75" s="417"/>
      <c r="R75" s="417"/>
      <c r="S75" s="417"/>
      <c r="T75" s="417"/>
      <c r="U75" s="417"/>
      <c r="V75" s="420"/>
      <c r="W75" s="1552"/>
    </row>
    <row r="76" spans="1:23">
      <c r="A76" s="1510" t="s">
        <v>17</v>
      </c>
      <c r="B76" s="1510"/>
      <c r="C76" s="550" t="s">
        <v>1101</v>
      </c>
      <c r="D76" s="416"/>
      <c r="E76" s="617"/>
      <c r="F76" s="416"/>
      <c r="G76" s="554">
        <f>START!G73</f>
        <v>4.2465753424657533E-2</v>
      </c>
      <c r="H76" s="554">
        <f>START!H73</f>
        <v>0.58493150684931505</v>
      </c>
      <c r="I76" s="554">
        <f>START!I73</f>
        <v>1.5849315068493151</v>
      </c>
      <c r="J76" s="554">
        <f>START!J73</f>
        <v>2.5849315068493151</v>
      </c>
      <c r="K76" s="554">
        <f>J76+1</f>
        <v>3.5849315068493151</v>
      </c>
      <c r="L76" s="554">
        <f t="shared" ref="L76:U76" si="34">K76+1</f>
        <v>4.5849315068493155</v>
      </c>
      <c r="M76" s="554">
        <f t="shared" si="34"/>
        <v>5.5849315068493155</v>
      </c>
      <c r="N76" s="554">
        <f t="shared" si="34"/>
        <v>6.5849315068493155</v>
      </c>
      <c r="O76" s="554">
        <f t="shared" si="34"/>
        <v>7.5849315068493155</v>
      </c>
      <c r="P76" s="554">
        <f t="shared" si="34"/>
        <v>8.5849315068493155</v>
      </c>
      <c r="Q76" s="554">
        <f t="shared" si="34"/>
        <v>9.5849315068493155</v>
      </c>
      <c r="R76" s="554">
        <f t="shared" si="34"/>
        <v>10.584931506849315</v>
      </c>
      <c r="S76" s="554">
        <f t="shared" si="34"/>
        <v>11.584931506849315</v>
      </c>
      <c r="T76" s="554">
        <f t="shared" si="34"/>
        <v>12.584931506849315</v>
      </c>
      <c r="U76" s="554">
        <f t="shared" si="34"/>
        <v>13.584931506849315</v>
      </c>
      <c r="V76" s="420"/>
      <c r="W76" s="1552"/>
    </row>
    <row r="77" spans="1:23">
      <c r="A77" s="1510" t="s">
        <v>17</v>
      </c>
      <c r="B77" s="1510"/>
      <c r="C77" s="1564" t="s">
        <v>1102</v>
      </c>
      <c r="D77" s="1564"/>
      <c r="E77" s="1569"/>
      <c r="F77" s="912"/>
      <c r="G77" s="1605">
        <f>G35</f>
        <v>1</v>
      </c>
      <c r="H77" s="1605">
        <f t="shared" ref="H77:U77" si="35">H35</f>
        <v>1</v>
      </c>
      <c r="I77" s="1605">
        <f t="shared" si="35"/>
        <v>1</v>
      </c>
      <c r="J77" s="1605">
        <f t="shared" si="35"/>
        <v>1</v>
      </c>
      <c r="K77" s="1605">
        <f t="shared" si="35"/>
        <v>1</v>
      </c>
      <c r="L77" s="1605">
        <f t="shared" si="35"/>
        <v>1</v>
      </c>
      <c r="M77" s="1605">
        <f t="shared" si="35"/>
        <v>1</v>
      </c>
      <c r="N77" s="1605">
        <f t="shared" si="35"/>
        <v>1</v>
      </c>
      <c r="O77" s="1605">
        <f t="shared" si="35"/>
        <v>1</v>
      </c>
      <c r="P77" s="1605">
        <f t="shared" si="35"/>
        <v>1</v>
      </c>
      <c r="Q77" s="1605">
        <f t="shared" si="35"/>
        <v>1</v>
      </c>
      <c r="R77" s="1605">
        <f t="shared" si="35"/>
        <v>1</v>
      </c>
      <c r="S77" s="1605">
        <f t="shared" si="35"/>
        <v>1</v>
      </c>
      <c r="T77" s="1605">
        <f t="shared" si="35"/>
        <v>1</v>
      </c>
      <c r="U77" s="1605">
        <f t="shared" si="35"/>
        <v>1</v>
      </c>
      <c r="V77" s="912"/>
      <c r="W77" s="599"/>
    </row>
    <row r="78" spans="1:23">
      <c r="A78" s="1510"/>
      <c r="B78" s="1510"/>
      <c r="C78" s="146" t="s">
        <v>1103</v>
      </c>
      <c r="D78" s="421"/>
      <c r="E78" s="1567"/>
      <c r="F78" s="421"/>
      <c r="G78" s="1208">
        <f ca="1">IFERROR(G74*G77,0)</f>
        <v>0</v>
      </c>
      <c r="H78" s="1208">
        <f t="shared" ref="H78:Q78" ca="1" si="36">IFERROR(H74*H77,0)</f>
        <v>0</v>
      </c>
      <c r="I78" s="1208">
        <f t="shared" ca="1" si="36"/>
        <v>0</v>
      </c>
      <c r="J78" s="1208">
        <f t="shared" ca="1" si="36"/>
        <v>0</v>
      </c>
      <c r="K78" s="1208">
        <f t="shared" ca="1" si="36"/>
        <v>0</v>
      </c>
      <c r="L78" s="1208">
        <f t="shared" ca="1" si="36"/>
        <v>0</v>
      </c>
      <c r="M78" s="1208">
        <f t="shared" ca="1" si="36"/>
        <v>0</v>
      </c>
      <c r="N78" s="1208">
        <f t="shared" ca="1" si="36"/>
        <v>0</v>
      </c>
      <c r="O78" s="1208">
        <f t="shared" ca="1" si="36"/>
        <v>0</v>
      </c>
      <c r="P78" s="1208">
        <f t="shared" ca="1" si="36"/>
        <v>0</v>
      </c>
      <c r="Q78" s="1208">
        <f t="shared" ca="1" si="36"/>
        <v>0</v>
      </c>
      <c r="R78" s="1208">
        <f ca="1">IFERROR(R74*R77,0)</f>
        <v>0</v>
      </c>
      <c r="S78" s="1208">
        <f ca="1">IFERROR(S74*S77,0)</f>
        <v>0</v>
      </c>
      <c r="T78" s="1208">
        <f ca="1">IFERROR(T74*T77,0)</f>
        <v>0</v>
      </c>
      <c r="U78" s="1208">
        <f ca="1">IFERROR(U74*U77,0)</f>
        <v>0</v>
      </c>
      <c r="V78" s="421"/>
      <c r="W78" s="1552"/>
    </row>
    <row r="79" spans="1:23">
      <c r="A79" s="1510"/>
      <c r="B79" s="1510"/>
      <c r="C79" s="1513" t="s">
        <v>1104</v>
      </c>
      <c r="D79" s="1513"/>
      <c r="E79" s="1567"/>
      <c r="F79" s="1513"/>
      <c r="G79" s="1281">
        <f ca="1">SUM(G78:U78)</f>
        <v>0</v>
      </c>
      <c r="H79" s="421"/>
      <c r="I79" s="421"/>
      <c r="J79" s="421"/>
      <c r="K79" s="421"/>
      <c r="L79" s="421"/>
      <c r="M79" s="421"/>
      <c r="N79" s="421"/>
      <c r="O79" s="421"/>
      <c r="P79" s="421"/>
      <c r="Q79" s="421"/>
      <c r="R79" s="421"/>
      <c r="S79" s="421"/>
      <c r="T79" s="421"/>
      <c r="U79" s="421"/>
      <c r="V79" s="421"/>
      <c r="W79" s="1552"/>
    </row>
    <row r="80" spans="1:23">
      <c r="A80" s="1510"/>
      <c r="B80" s="1510"/>
      <c r="C80" s="1520"/>
      <c r="D80" s="1520"/>
      <c r="E80" s="672"/>
      <c r="F80" s="1520"/>
      <c r="G80" s="1520"/>
      <c r="H80" s="1520"/>
      <c r="I80" s="1520"/>
      <c r="J80" s="1520"/>
      <c r="K80" s="1520"/>
      <c r="L80" s="1520"/>
      <c r="M80" s="1520"/>
      <c r="N80" s="1520"/>
      <c r="O80" s="1520"/>
      <c r="P80" s="1520"/>
      <c r="Q80" s="1520"/>
      <c r="R80" s="1520"/>
      <c r="S80" s="1520"/>
      <c r="T80" s="1520"/>
      <c r="U80" s="1520"/>
      <c r="V80" s="1520"/>
      <c r="W80" s="1552"/>
    </row>
    <row r="81" spans="1:24">
      <c r="A81" s="1510"/>
      <c r="B81" s="1510"/>
      <c r="C81" s="1520" t="s">
        <v>1105</v>
      </c>
      <c r="D81" s="1520"/>
      <c r="E81" s="1567"/>
      <c r="F81" s="1520"/>
      <c r="G81" s="1520"/>
      <c r="H81" s="1520"/>
      <c r="I81" s="1520"/>
      <c r="J81" s="1520"/>
      <c r="K81" s="1520"/>
      <c r="L81" s="1520"/>
      <c r="M81" s="1520"/>
      <c r="N81" s="1520"/>
      <c r="O81" s="1520"/>
      <c r="P81" s="1520"/>
      <c r="Q81" s="1520"/>
      <c r="R81" s="1520"/>
      <c r="S81" s="1520"/>
      <c r="T81" s="1520"/>
      <c r="U81" s="1520"/>
      <c r="V81" s="1520"/>
      <c r="W81" s="1552"/>
      <c r="X81" s="1513"/>
    </row>
    <row r="82" spans="1:24" s="1506" customFormat="1">
      <c r="A82" s="1510"/>
      <c r="B82" s="1510"/>
      <c r="C82" s="1520" t="s">
        <v>1106</v>
      </c>
      <c r="D82" s="1520"/>
      <c r="E82" s="1567"/>
      <c r="F82" s="1520"/>
      <c r="G82" s="1520"/>
      <c r="H82" s="1520"/>
      <c r="I82" s="1520"/>
      <c r="J82" s="1520"/>
      <c r="K82" s="1520"/>
      <c r="L82" s="1520"/>
      <c r="M82" s="1520"/>
      <c r="N82" s="1520"/>
      <c r="O82" s="1520"/>
      <c r="P82" s="1520"/>
      <c r="Q82" s="1520"/>
      <c r="R82" s="1520"/>
      <c r="S82" s="1520"/>
      <c r="T82" s="1520"/>
      <c r="U82" s="1520"/>
      <c r="V82" s="1520"/>
      <c r="W82" s="1552"/>
      <c r="X82" s="1520"/>
    </row>
    <row r="83" spans="1:24" s="1506" customFormat="1">
      <c r="A83" s="1510"/>
      <c r="B83" s="1510"/>
      <c r="C83" s="1520"/>
      <c r="D83" s="1520"/>
      <c r="E83" s="1567"/>
      <c r="F83" s="1520"/>
      <c r="G83" s="1520"/>
      <c r="H83" s="1520"/>
      <c r="I83" s="1520"/>
      <c r="J83" s="1520"/>
      <c r="K83" s="1520"/>
      <c r="L83" s="1520"/>
      <c r="M83" s="1520"/>
      <c r="N83" s="1520"/>
      <c r="O83" s="1520"/>
      <c r="P83" s="1520"/>
      <c r="Q83" s="1520"/>
      <c r="R83" s="1520"/>
      <c r="S83" s="1520"/>
      <c r="T83" s="1520"/>
      <c r="U83" s="1520"/>
      <c r="V83" s="1520"/>
      <c r="W83" s="1552"/>
      <c r="X83" s="1520"/>
    </row>
    <row r="84" spans="1:24">
      <c r="A84" s="1552"/>
      <c r="B84" s="1552"/>
      <c r="C84" s="461" t="str">
        <f ca="1">FootnoteDRAFT</f>
        <v>Run date: 05-August-2018  02:34 PM.   DRAFT document. All data subject to change upon completion of additional analysis.</v>
      </c>
      <c r="D84" s="2060"/>
      <c r="E84" s="1505"/>
      <c r="F84" s="2060"/>
      <c r="G84" s="2060"/>
      <c r="H84" s="2060"/>
      <c r="I84" s="2060"/>
      <c r="J84" s="2060"/>
      <c r="K84" s="2060"/>
      <c r="L84" s="2060"/>
      <c r="M84" s="2060"/>
      <c r="N84" s="2060"/>
      <c r="O84" s="2060"/>
      <c r="P84" s="2060"/>
      <c r="Q84" s="2060"/>
      <c r="R84" s="2060"/>
      <c r="S84" s="2060"/>
      <c r="T84" s="2060"/>
      <c r="U84" s="2060"/>
      <c r="V84" s="2060"/>
      <c r="W84" s="600"/>
      <c r="X84" s="1513"/>
    </row>
    <row r="85" spans="1:24">
      <c r="A85" s="1510" t="s">
        <v>17</v>
      </c>
      <c r="B85" s="1510"/>
      <c r="C85" s="593"/>
      <c r="D85" s="594"/>
      <c r="E85" s="696"/>
      <c r="F85" s="594"/>
      <c r="G85" s="594"/>
      <c r="H85" s="594"/>
      <c r="I85" s="594"/>
      <c r="J85" s="594"/>
      <c r="K85" s="594"/>
      <c r="L85" s="594"/>
      <c r="M85" s="594"/>
      <c r="N85" s="594"/>
      <c r="O85" s="594"/>
      <c r="P85" s="594"/>
      <c r="Q85" s="594"/>
      <c r="R85" s="594"/>
      <c r="S85" s="594"/>
      <c r="T85" s="594"/>
      <c r="U85" s="594"/>
      <c r="V85" s="595" t="s">
        <v>18</v>
      </c>
      <c r="W85" s="594"/>
      <c r="X85" s="1513"/>
    </row>
    <row r="86" spans="1:24">
      <c r="A86" s="593"/>
      <c r="B86" s="593"/>
      <c r="C86" s="593"/>
      <c r="D86" s="593"/>
      <c r="E86" s="697"/>
      <c r="F86" s="593"/>
      <c r="G86" s="593"/>
      <c r="H86" s="593"/>
      <c r="I86" s="593"/>
      <c r="J86" s="593"/>
      <c r="K86" s="593"/>
      <c r="L86" s="593"/>
      <c r="M86" s="593"/>
      <c r="N86" s="593"/>
      <c r="O86" s="593"/>
      <c r="P86" s="593"/>
      <c r="Q86" s="593"/>
      <c r="R86" s="593"/>
      <c r="S86" s="593"/>
      <c r="T86" s="593"/>
      <c r="U86" s="593"/>
      <c r="V86" s="593"/>
      <c r="W86" s="593"/>
      <c r="X86" s="1513"/>
    </row>
    <row r="89" spans="1:24">
      <c r="A89" s="1506"/>
      <c r="B89" s="1506"/>
      <c r="C89" s="1513"/>
      <c r="D89" s="1513"/>
      <c r="E89" s="1513"/>
      <c r="F89" s="1513"/>
      <c r="G89" s="1204">
        <v>1</v>
      </c>
      <c r="H89" s="1279">
        <f t="shared" ref="H89:U89" si="37">G89+1</f>
        <v>2</v>
      </c>
      <c r="I89" s="1279">
        <f t="shared" si="37"/>
        <v>3</v>
      </c>
      <c r="J89" s="1279">
        <f t="shared" si="37"/>
        <v>4</v>
      </c>
      <c r="K89" s="1279">
        <f t="shared" si="37"/>
        <v>5</v>
      </c>
      <c r="L89" s="1279">
        <f t="shared" si="37"/>
        <v>6</v>
      </c>
      <c r="M89" s="1279">
        <f t="shared" si="37"/>
        <v>7</v>
      </c>
      <c r="N89" s="1279">
        <f t="shared" si="37"/>
        <v>8</v>
      </c>
      <c r="O89" s="1279">
        <f t="shared" si="37"/>
        <v>9</v>
      </c>
      <c r="P89" s="1279">
        <f t="shared" si="37"/>
        <v>10</v>
      </c>
      <c r="Q89" s="1279">
        <f t="shared" si="37"/>
        <v>11</v>
      </c>
      <c r="R89" s="1279">
        <f t="shared" si="37"/>
        <v>12</v>
      </c>
      <c r="S89" s="1279">
        <f t="shared" si="37"/>
        <v>13</v>
      </c>
      <c r="T89" s="1279">
        <f t="shared" si="37"/>
        <v>14</v>
      </c>
      <c r="U89" s="1279">
        <f t="shared" si="37"/>
        <v>15</v>
      </c>
      <c r="V89" s="1513"/>
      <c r="W89" s="1513"/>
      <c r="X89" s="1513"/>
    </row>
    <row r="90" spans="1:24">
      <c r="A90" s="1506"/>
      <c r="B90" s="1506"/>
      <c r="C90" s="1513"/>
      <c r="D90" s="1513"/>
      <c r="E90" s="1513"/>
      <c r="F90" s="1513"/>
      <c r="G90" s="1206">
        <f>G9</f>
        <v>42825</v>
      </c>
      <c r="H90" s="1206">
        <f t="shared" ref="H90:U90" si="38">H9</f>
        <v>43190</v>
      </c>
      <c r="I90" s="1206">
        <f t="shared" si="38"/>
        <v>43555</v>
      </c>
      <c r="J90" s="1206">
        <f t="shared" si="38"/>
        <v>43921</v>
      </c>
      <c r="K90" s="1206">
        <f t="shared" si="38"/>
        <v>44286</v>
      </c>
      <c r="L90" s="1206">
        <f t="shared" si="38"/>
        <v>44651</v>
      </c>
      <c r="M90" s="1206">
        <f t="shared" si="38"/>
        <v>45016</v>
      </c>
      <c r="N90" s="1206">
        <f t="shared" si="38"/>
        <v>45382</v>
      </c>
      <c r="O90" s="1206">
        <f t="shared" si="38"/>
        <v>45747</v>
      </c>
      <c r="P90" s="1206">
        <f t="shared" si="38"/>
        <v>46112</v>
      </c>
      <c r="Q90" s="1206">
        <f t="shared" si="38"/>
        <v>46477</v>
      </c>
      <c r="R90" s="1206">
        <f t="shared" si="38"/>
        <v>46843</v>
      </c>
      <c r="S90" s="1206">
        <f t="shared" si="38"/>
        <v>47208</v>
      </c>
      <c r="T90" s="1206">
        <f t="shared" si="38"/>
        <v>47573</v>
      </c>
      <c r="U90" s="1206">
        <f t="shared" si="38"/>
        <v>47938</v>
      </c>
      <c r="V90" s="1513"/>
      <c r="W90" s="1513"/>
      <c r="X90" s="1513"/>
    </row>
    <row r="91" spans="1:24">
      <c r="A91" s="1506"/>
      <c r="B91" s="1506"/>
      <c r="C91" s="1513" t="s">
        <v>1107</v>
      </c>
      <c r="D91" s="1513"/>
      <c r="E91" s="1513"/>
      <c r="F91" s="1513"/>
      <c r="G91" s="1364">
        <f t="shared" ref="G91:U91" si="39">IF(G89=NoOfPFIYrs+1,Fading_Growth_Rate,IF(G89&gt;NoOfPFIYrs,MAX(Growth_Rate,F91-$D$95),0))</f>
        <v>0</v>
      </c>
      <c r="H91" s="1364">
        <f t="shared" si="39"/>
        <v>0</v>
      </c>
      <c r="I91" s="1364">
        <f t="shared" si="39"/>
        <v>0</v>
      </c>
      <c r="J91" s="1364">
        <f t="shared" si="39"/>
        <v>0</v>
      </c>
      <c r="K91" s="1364">
        <f t="shared" si="39"/>
        <v>0</v>
      </c>
      <c r="L91" s="1364">
        <f t="shared" si="39"/>
        <v>0</v>
      </c>
      <c r="M91" s="1364">
        <f t="shared" si="39"/>
        <v>0</v>
      </c>
      <c r="N91" s="1364">
        <f t="shared" si="39"/>
        <v>0</v>
      </c>
      <c r="O91" s="1364">
        <f t="shared" si="39"/>
        <v>0.03</v>
      </c>
      <c r="P91" s="1364">
        <f t="shared" si="39"/>
        <v>0.03</v>
      </c>
      <c r="Q91" s="1364">
        <f t="shared" si="39"/>
        <v>0.03</v>
      </c>
      <c r="R91" s="1364">
        <f t="shared" si="39"/>
        <v>0.03</v>
      </c>
      <c r="S91" s="1364">
        <f t="shared" si="39"/>
        <v>0.03</v>
      </c>
      <c r="T91" s="1364">
        <f t="shared" si="39"/>
        <v>0.03</v>
      </c>
      <c r="U91" s="1364">
        <f t="shared" si="39"/>
        <v>0.03</v>
      </c>
      <c r="V91" s="1513"/>
      <c r="W91" s="1513"/>
      <c r="X91" s="1513"/>
    </row>
    <row r="92" spans="1:24">
      <c r="A92" s="1506"/>
      <c r="B92" s="1506"/>
      <c r="C92" s="1513" t="str">
        <f>"Competitive period years (after "&amp;YEAR('PFI Inputs'!$S$26)&amp;")"</f>
        <v>Competitive period years (after 2024)</v>
      </c>
      <c r="D92" s="1513">
        <f>DCF!M37</f>
        <v>0</v>
      </c>
      <c r="E92" s="1513"/>
      <c r="F92" s="1513"/>
      <c r="G92" s="1513"/>
      <c r="H92" s="1513"/>
      <c r="I92" s="1513"/>
      <c r="J92" s="1513"/>
      <c r="K92" s="1513"/>
      <c r="L92" s="1513"/>
      <c r="M92" s="1513"/>
      <c r="N92" s="1513"/>
      <c r="O92" s="1513"/>
      <c r="P92" s="1513"/>
      <c r="Q92" s="1513"/>
      <c r="R92" s="1513"/>
      <c r="S92" s="1513"/>
      <c r="T92" s="1513"/>
      <c r="U92" s="1513"/>
      <c r="V92" s="1513"/>
      <c r="W92" s="1513"/>
      <c r="X92" s="1513"/>
    </row>
    <row r="93" spans="1:24">
      <c r="A93" s="1506"/>
      <c r="B93" s="1506"/>
      <c r="C93" s="1513" t="s">
        <v>947</v>
      </c>
      <c r="D93" s="1369">
        <f>Fading_Growth_Rate</f>
        <v>0</v>
      </c>
      <c r="E93" s="1513"/>
      <c r="F93" s="1513"/>
      <c r="G93" s="1513"/>
      <c r="H93" s="1513"/>
      <c r="I93" s="1513"/>
      <c r="J93" s="1513"/>
      <c r="K93" s="1513"/>
      <c r="L93" s="1513"/>
      <c r="M93" s="1513"/>
      <c r="N93" s="1513"/>
      <c r="O93" s="1513"/>
      <c r="P93" s="1513"/>
      <c r="Q93" s="1513"/>
      <c r="R93" s="1513"/>
      <c r="S93" s="1513"/>
      <c r="T93" s="1513"/>
      <c r="U93" s="1513"/>
      <c r="V93" s="1513"/>
      <c r="W93" s="1513"/>
      <c r="X93" s="1513"/>
    </row>
    <row r="94" spans="1:24">
      <c r="A94" s="1506"/>
      <c r="B94" s="1506"/>
      <c r="C94" s="1513" t="s">
        <v>1108</v>
      </c>
      <c r="D94" s="1369">
        <f>Growth_Rate</f>
        <v>0.03</v>
      </c>
      <c r="E94" s="1513"/>
      <c r="F94" s="1513"/>
      <c r="G94" s="1513"/>
      <c r="H94" s="1513"/>
      <c r="I94" s="1513"/>
      <c r="J94" s="1513"/>
      <c r="K94" s="1513"/>
      <c r="L94" s="1513"/>
      <c r="M94" s="1513"/>
      <c r="N94" s="1513"/>
      <c r="O94" s="1513"/>
      <c r="P94" s="1513"/>
      <c r="Q94" s="1513"/>
      <c r="R94" s="1513"/>
      <c r="S94" s="1513"/>
      <c r="T94" s="1513"/>
      <c r="U94" s="1513"/>
      <c r="V94" s="1513"/>
      <c r="W94" s="1513"/>
      <c r="X94" s="1513"/>
    </row>
    <row r="95" spans="1:24">
      <c r="A95" s="1506"/>
      <c r="B95" s="1506"/>
      <c r="C95" s="1513" t="s">
        <v>1109</v>
      </c>
      <c r="D95" s="1369">
        <f>IFERROR((D93-D94)/D92,0)</f>
        <v>0</v>
      </c>
      <c r="E95" s="1513"/>
      <c r="F95" s="1513"/>
      <c r="G95" s="1513"/>
      <c r="H95" s="1513"/>
      <c r="I95" s="1513"/>
      <c r="J95" s="1513"/>
      <c r="K95" s="1513"/>
      <c r="L95" s="1513"/>
      <c r="M95" s="1513"/>
      <c r="N95" s="1513"/>
      <c r="O95" s="1513"/>
      <c r="P95" s="1513"/>
      <c r="Q95" s="1513"/>
      <c r="R95" s="1513"/>
      <c r="S95" s="1513"/>
      <c r="T95" s="1513"/>
      <c r="U95" s="1513"/>
      <c r="V95" s="1513"/>
      <c r="W95" s="1513"/>
      <c r="X95" s="1513"/>
    </row>
  </sheetData>
  <autoFilter ref="A1:A47"/>
  <conditionalFormatting sqref="B1:B2">
    <cfRule type="cellIs" dxfId="315" priority="3" operator="notEqual">
      <formula>0</formula>
    </cfRule>
  </conditionalFormatting>
  <conditionalFormatting sqref="B44">
    <cfRule type="cellIs" dxfId="314" priority="2" operator="notEqual">
      <formula>0</formula>
    </cfRule>
  </conditionalFormatting>
  <conditionalFormatting sqref="A6">
    <cfRule type="expression" dxfId="313"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43" min="2" max="21"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etaAndTICInputs">
    <tabColor rgb="FFFFFF00"/>
    <pageSetUpPr autoPageBreaks="0"/>
  </sheetPr>
  <dimension ref="A1:GC311"/>
  <sheetViews>
    <sheetView showGridLines="0" zoomScale="85" zoomScaleNormal="85" zoomScaleSheetLayoutView="85" workbookViewId="0"/>
  </sheetViews>
  <sheetFormatPr defaultColWidth="16.5" defaultRowHeight="13.9"/>
  <cols>
    <col min="1" max="1" width="2.83203125" style="646" customWidth="1"/>
    <col min="2" max="2" width="4.6640625" style="646" customWidth="1"/>
    <col min="3" max="3" width="4.83203125" style="646" customWidth="1"/>
    <col min="4" max="4" width="8" style="646" customWidth="1"/>
    <col min="5" max="5" width="16.5" style="646" customWidth="1"/>
    <col min="6" max="6" width="21.33203125" style="646" customWidth="1"/>
    <col min="7" max="28" width="16.5" style="646" customWidth="1"/>
    <col min="29" max="29" width="16.5" style="646"/>
    <col min="30" max="30" width="7.33203125" style="646" customWidth="1"/>
    <col min="31" max="16384" width="16.5" style="646"/>
  </cols>
  <sheetData>
    <row r="1" spans="1:185" ht="18" customHeight="1">
      <c r="A1" s="2060"/>
      <c r="B1" s="649">
        <f ca="1">SUMPRODUCT(--ISERROR($C$1:T42))+COUNTIF($C$1:T42,Fail)</f>
        <v>0</v>
      </c>
      <c r="C1" s="1372" t="str">
        <f>START!$C$1</f>
        <v>Client Name</v>
      </c>
      <c r="D1" s="2060"/>
      <c r="E1" s="972"/>
      <c r="F1" s="2060"/>
      <c r="G1" s="2060"/>
      <c r="H1" s="528"/>
      <c r="I1" s="2060"/>
      <c r="J1" s="2060"/>
      <c r="K1" s="2060"/>
      <c r="L1" s="2060"/>
      <c r="M1" s="2060"/>
      <c r="N1" s="2060"/>
      <c r="O1" s="2060"/>
      <c r="P1" s="398"/>
      <c r="Q1" s="2060"/>
      <c r="R1" s="2060"/>
      <c r="S1" s="398" t="s">
        <v>935</v>
      </c>
      <c r="T1" s="2060"/>
      <c r="U1" s="2060"/>
      <c r="V1" s="2060"/>
      <c r="W1" s="2060"/>
      <c r="X1" s="2060"/>
      <c r="Y1" s="2060"/>
      <c r="Z1" s="2060"/>
      <c r="AA1" s="2060"/>
      <c r="AB1" s="2060"/>
      <c r="AC1" s="398"/>
      <c r="AD1" s="1004"/>
      <c r="AE1" s="2060"/>
      <c r="AF1" s="2060"/>
      <c r="AG1" s="2060"/>
      <c r="AH1" s="2060"/>
      <c r="AI1" s="2060"/>
      <c r="AJ1" s="2060"/>
      <c r="AK1" s="2060"/>
      <c r="AL1" s="2060"/>
      <c r="AM1" s="2060"/>
      <c r="AN1" s="2060"/>
      <c r="AO1" s="2060"/>
      <c r="AP1" s="2060"/>
      <c r="AQ1" s="2060"/>
      <c r="AR1" s="2060" t="s">
        <v>1110</v>
      </c>
      <c r="AS1" s="829" t="s">
        <v>704</v>
      </c>
      <c r="AT1" s="2060"/>
      <c r="AU1" s="2060"/>
      <c r="AV1" s="2060"/>
      <c r="AW1" s="2060"/>
      <c r="AX1" s="2060"/>
      <c r="AY1" s="2060"/>
      <c r="AZ1" s="2060"/>
      <c r="BA1" s="2060"/>
      <c r="BB1" s="2060"/>
      <c r="BC1" s="2060"/>
      <c r="BD1" s="2060"/>
      <c r="BE1" s="2060"/>
      <c r="BF1" s="2060"/>
      <c r="BG1" s="2060"/>
      <c r="BH1" s="2060"/>
      <c r="BI1" s="2060"/>
      <c r="BJ1" s="2060"/>
      <c r="BK1" s="2060"/>
      <c r="BL1" s="2060"/>
      <c r="BM1" s="2060"/>
      <c r="BN1" s="2060"/>
      <c r="BO1" s="2060"/>
      <c r="BP1" s="2060"/>
      <c r="BQ1" s="2060"/>
      <c r="BR1" s="2060"/>
      <c r="BS1" s="2060"/>
      <c r="BT1" s="2060"/>
      <c r="BU1" s="2060"/>
      <c r="BV1" s="2060"/>
      <c r="BW1" s="2060"/>
      <c r="BX1" s="2060"/>
      <c r="BY1" s="2060"/>
      <c r="BZ1" s="2060"/>
      <c r="CA1" s="2060"/>
      <c r="CB1" s="2060"/>
      <c r="CC1" s="2060"/>
      <c r="CD1" s="2060"/>
      <c r="CE1" s="2060"/>
      <c r="CF1" s="2060"/>
      <c r="CG1" s="2060"/>
      <c r="CH1" s="2060"/>
      <c r="CI1" s="2060"/>
      <c r="CJ1" s="2060"/>
      <c r="CK1" s="2060"/>
      <c r="CL1" s="2060"/>
      <c r="CM1" s="2060"/>
      <c r="CN1" s="2060"/>
      <c r="CO1" s="2060"/>
      <c r="CP1" s="2060"/>
      <c r="CQ1" s="2060"/>
      <c r="CR1" s="2060"/>
      <c r="CS1" s="2060"/>
      <c r="CT1" s="2060"/>
      <c r="CU1" s="2060"/>
      <c r="CV1" s="2060"/>
      <c r="CW1" s="2060"/>
      <c r="CX1" s="2060"/>
      <c r="CY1" s="2060"/>
      <c r="CZ1" s="2060"/>
      <c r="DA1" s="2060"/>
      <c r="DB1" s="2060"/>
      <c r="DC1" s="2060"/>
      <c r="DD1" s="2060"/>
      <c r="DE1" s="2060"/>
      <c r="DF1" s="2060"/>
      <c r="DG1" s="2060"/>
      <c r="DH1" s="2060"/>
      <c r="DI1" s="2060"/>
      <c r="DJ1" s="2060"/>
      <c r="DK1" s="2060"/>
      <c r="DL1" s="2060"/>
      <c r="DM1" s="2060"/>
      <c r="DN1" s="2060"/>
      <c r="DO1" s="2060"/>
      <c r="DP1" s="2060"/>
      <c r="DQ1" s="2060"/>
      <c r="DR1" s="2060"/>
      <c r="DS1" s="2060"/>
      <c r="DT1" s="2060"/>
      <c r="DU1" s="2060"/>
      <c r="DV1" s="2060"/>
      <c r="DW1" s="2060"/>
      <c r="DX1" s="2060"/>
      <c r="DY1" s="2060"/>
      <c r="DZ1" s="2060"/>
      <c r="EA1" s="2060"/>
      <c r="EB1" s="2060"/>
      <c r="EC1" s="2060"/>
      <c r="ED1" s="2060"/>
      <c r="EE1" s="2060"/>
      <c r="EF1" s="2060"/>
      <c r="EG1" s="2060"/>
      <c r="EH1" s="2060"/>
      <c r="EI1" s="2060"/>
      <c r="EJ1" s="2060"/>
      <c r="EK1" s="2060"/>
      <c r="EL1" s="2060"/>
      <c r="EM1" s="2060"/>
      <c r="EN1" s="2060"/>
      <c r="EO1" s="2060"/>
      <c r="EP1" s="2060"/>
      <c r="EQ1" s="2060"/>
      <c r="ER1" s="2060"/>
      <c r="ES1" s="2060"/>
      <c r="ET1" s="2060"/>
      <c r="EU1" s="2060"/>
      <c r="EV1" s="2060"/>
      <c r="EW1" s="2060"/>
      <c r="EX1" s="2060"/>
      <c r="EY1" s="2060"/>
      <c r="EZ1" s="2060"/>
      <c r="FA1" s="2060"/>
      <c r="FB1" s="2060"/>
      <c r="FC1" s="2060"/>
      <c r="FD1" s="2060"/>
      <c r="FE1" s="2060"/>
      <c r="FF1" s="2060"/>
      <c r="FG1" s="2060"/>
      <c r="FH1" s="2060"/>
      <c r="FI1" s="2060"/>
      <c r="FJ1" s="2060"/>
      <c r="FK1" s="2060"/>
      <c r="FL1" s="2060"/>
      <c r="FM1" s="2060"/>
      <c r="FN1" s="2060"/>
      <c r="FO1" s="2060"/>
      <c r="FP1" s="2060"/>
      <c r="FQ1" s="2060"/>
      <c r="FR1" s="2060"/>
      <c r="FS1" s="2060"/>
      <c r="FT1" s="2060"/>
      <c r="FU1" s="2060"/>
      <c r="FV1" s="2060"/>
      <c r="FW1" s="2060"/>
      <c r="FX1" s="2060"/>
      <c r="FY1" s="2060"/>
      <c r="FZ1" s="2060"/>
      <c r="GA1" s="2060"/>
      <c r="GB1" s="2060"/>
      <c r="GC1" s="2060"/>
    </row>
    <row r="2" spans="1:185" s="1023" customFormat="1" ht="18" customHeight="1">
      <c r="A2" s="1004"/>
      <c r="B2" s="1557"/>
      <c r="C2" s="1372" t="str">
        <f>START!$C$2</f>
        <v xml:space="preserve">Please enter project description in START worksheet cell G13 </v>
      </c>
      <c r="D2" s="2060"/>
      <c r="E2" s="972"/>
      <c r="F2" s="2060"/>
      <c r="G2" s="2060"/>
      <c r="H2" s="528"/>
      <c r="I2" s="2060"/>
      <c r="J2" s="2060"/>
      <c r="K2" s="2060"/>
      <c r="L2" s="2060"/>
      <c r="M2" s="2060"/>
      <c r="N2" s="2060"/>
      <c r="O2" s="2060"/>
      <c r="P2" s="399"/>
      <c r="Q2" s="2060"/>
      <c r="R2" s="2060"/>
      <c r="S2" s="2060"/>
      <c r="T2" s="2060"/>
      <c r="U2" s="2060"/>
      <c r="V2" s="2060"/>
      <c r="W2" s="2060"/>
      <c r="X2" s="2060"/>
      <c r="Y2" s="2060"/>
      <c r="Z2" s="2060"/>
      <c r="AA2" s="2060"/>
      <c r="AB2" s="2060"/>
      <c r="AC2" s="2060"/>
      <c r="AD2" s="1004"/>
      <c r="AE2" s="2060"/>
      <c r="AF2" s="2060"/>
      <c r="AG2" s="2060"/>
      <c r="AH2" s="2060"/>
      <c r="AI2" s="2060"/>
      <c r="AJ2" s="2060"/>
      <c r="AK2" s="2060"/>
      <c r="AL2" s="2060"/>
      <c r="AM2" s="2060"/>
      <c r="AN2" s="2060"/>
      <c r="AO2" s="2060"/>
      <c r="AP2" s="2060"/>
      <c r="AQ2" s="2060"/>
      <c r="AR2" s="2060"/>
      <c r="AS2" s="829"/>
      <c r="AT2" s="2060"/>
      <c r="AU2" s="2060"/>
      <c r="AV2" s="2060"/>
      <c r="AW2" s="2060"/>
      <c r="AX2" s="2060"/>
      <c r="AY2" s="2060"/>
      <c r="AZ2" s="2060"/>
      <c r="BA2" s="2060"/>
      <c r="BB2" s="2060"/>
      <c r="BC2" s="2060"/>
      <c r="BD2" s="2060"/>
      <c r="BE2" s="2060"/>
      <c r="BF2" s="2060"/>
      <c r="BG2" s="2060"/>
      <c r="BH2" s="2060"/>
      <c r="BI2" s="2060"/>
      <c r="BJ2" s="2060"/>
      <c r="BK2" s="2060"/>
      <c r="BL2" s="2060"/>
      <c r="BM2" s="2060"/>
      <c r="BN2" s="2060"/>
      <c r="BO2" s="2060"/>
      <c r="BP2" s="2060"/>
      <c r="BQ2" s="2060"/>
      <c r="BR2" s="2060"/>
      <c r="BS2" s="2060"/>
      <c r="BT2" s="2060"/>
      <c r="BU2" s="2060"/>
      <c r="BV2" s="2060"/>
      <c r="BW2" s="2060"/>
      <c r="BX2" s="2060"/>
      <c r="BY2" s="2060"/>
      <c r="BZ2" s="2060"/>
      <c r="CA2" s="2060"/>
      <c r="CB2" s="2060"/>
      <c r="CC2" s="2060"/>
      <c r="CD2" s="2060"/>
      <c r="CE2" s="2060"/>
      <c r="CF2" s="2060"/>
      <c r="CG2" s="2060"/>
      <c r="CH2" s="2060"/>
      <c r="CI2" s="2060"/>
      <c r="CJ2" s="2060"/>
      <c r="CK2" s="2060"/>
      <c r="CL2" s="2060"/>
      <c r="CM2" s="2060"/>
      <c r="CN2" s="2060"/>
      <c r="CO2" s="2060"/>
      <c r="CP2" s="2060"/>
      <c r="CQ2" s="2060"/>
      <c r="CR2" s="2060"/>
      <c r="CS2" s="2060"/>
      <c r="CT2" s="2060"/>
      <c r="CU2" s="2060"/>
      <c r="CV2" s="2060"/>
      <c r="CW2" s="2060"/>
      <c r="CX2" s="2060"/>
      <c r="CY2" s="2060"/>
      <c r="CZ2" s="2060"/>
      <c r="DA2" s="2060"/>
      <c r="DB2" s="2060"/>
      <c r="DC2" s="2060"/>
      <c r="DD2" s="2060"/>
      <c r="DE2" s="2060"/>
      <c r="DF2" s="2060"/>
      <c r="DG2" s="2060"/>
      <c r="DH2" s="2060"/>
      <c r="DI2" s="2060"/>
      <c r="DJ2" s="2060"/>
      <c r="DK2" s="2060"/>
      <c r="DL2" s="2060"/>
      <c r="DM2" s="2060"/>
      <c r="DN2" s="2060"/>
      <c r="DO2" s="2060"/>
      <c r="DP2" s="2060"/>
      <c r="DQ2" s="2060"/>
      <c r="DR2" s="2060"/>
      <c r="DS2" s="2060"/>
      <c r="DT2" s="2060"/>
      <c r="DU2" s="2060"/>
      <c r="DV2" s="2060"/>
      <c r="DW2" s="2060"/>
      <c r="DX2" s="2060"/>
      <c r="DY2" s="2060"/>
      <c r="DZ2" s="2060"/>
      <c r="EA2" s="2060"/>
      <c r="EB2" s="2060"/>
      <c r="EC2" s="2060"/>
      <c r="ED2" s="2060"/>
      <c r="EE2" s="2060"/>
      <c r="EF2" s="2060"/>
      <c r="EG2" s="2060"/>
      <c r="EH2" s="2060"/>
      <c r="EI2" s="2060"/>
      <c r="EJ2" s="2060"/>
      <c r="EK2" s="2060"/>
      <c r="EL2" s="2060"/>
      <c r="EM2" s="2060"/>
      <c r="EN2" s="2060"/>
      <c r="EO2" s="2060"/>
      <c r="EP2" s="2060"/>
      <c r="EQ2" s="2060"/>
      <c r="ER2" s="2060"/>
      <c r="ES2" s="2060"/>
      <c r="ET2" s="2060"/>
      <c r="EU2" s="2060"/>
      <c r="EV2" s="2060"/>
      <c r="EW2" s="2060"/>
      <c r="EX2" s="2060"/>
      <c r="EY2" s="2060"/>
      <c r="EZ2" s="2060"/>
      <c r="FA2" s="2060"/>
      <c r="FB2" s="2060"/>
      <c r="FC2" s="2060"/>
      <c r="FD2" s="2060"/>
      <c r="FE2" s="2060"/>
      <c r="FF2" s="2060"/>
      <c r="FG2" s="2060"/>
      <c r="FH2" s="2060"/>
      <c r="FI2" s="2060"/>
      <c r="FJ2" s="2060"/>
      <c r="FK2" s="2060"/>
      <c r="FL2" s="2060"/>
      <c r="FM2" s="2060"/>
      <c r="FN2" s="2060"/>
      <c r="FO2" s="2060"/>
      <c r="FP2" s="2060"/>
      <c r="FQ2" s="2060"/>
      <c r="FR2" s="2060"/>
      <c r="FS2" s="2060"/>
      <c r="FT2" s="2060"/>
      <c r="FU2" s="2060"/>
      <c r="FV2" s="2060"/>
      <c r="FW2" s="2060"/>
      <c r="FX2" s="2060"/>
      <c r="FY2" s="2060"/>
      <c r="FZ2" s="2060"/>
      <c r="GA2" s="2060"/>
      <c r="GB2" s="2060"/>
      <c r="GC2" s="2060"/>
    </row>
    <row r="3" spans="1:185" ht="18" customHeight="1">
      <c r="A3" s="1424"/>
      <c r="B3" s="1424"/>
      <c r="C3" s="839" t="str">
        <f>"WACC and "&amp;EVorTICFull&amp;" inputs"</f>
        <v>WACC and Total invested capital inputs</v>
      </c>
      <c r="D3" s="2060"/>
      <c r="E3" s="972"/>
      <c r="F3" s="2060"/>
      <c r="G3" s="2060"/>
      <c r="H3" s="2060"/>
      <c r="I3" s="2060"/>
      <c r="J3" s="2060"/>
      <c r="K3" s="2060"/>
      <c r="L3" s="2060"/>
      <c r="M3" s="2060"/>
      <c r="N3" s="2060"/>
      <c r="O3" s="2060"/>
      <c r="P3" s="2060"/>
      <c r="Q3" s="2060"/>
      <c r="R3" s="2060"/>
      <c r="S3" s="2060"/>
      <c r="T3" s="2060"/>
      <c r="U3" s="2060"/>
      <c r="V3" s="2060"/>
      <c r="W3" s="2060"/>
      <c r="X3" s="2060"/>
      <c r="Y3" s="2060"/>
      <c r="Z3" s="2060"/>
      <c r="AA3" s="1505"/>
      <c r="AB3" s="2060"/>
      <c r="AC3" s="2060"/>
      <c r="AD3" s="1004"/>
      <c r="AE3" s="2060"/>
      <c r="AF3" s="2060"/>
      <c r="AG3" s="2060"/>
      <c r="AH3" s="2060"/>
      <c r="AI3" s="2060"/>
      <c r="AJ3" s="2060"/>
      <c r="AK3" s="2060"/>
      <c r="AL3" s="2060"/>
      <c r="AM3" s="2060"/>
      <c r="AN3" s="2060"/>
      <c r="AO3" s="2060"/>
      <c r="AP3" s="2060"/>
      <c r="AQ3" s="2060"/>
      <c r="AR3" s="2060">
        <f>MATCH(DMESetting,DETime,0)</f>
        <v>6</v>
      </c>
      <c r="AS3" s="829" t="s">
        <v>1111</v>
      </c>
      <c r="AT3" s="2060"/>
      <c r="AU3" s="2060"/>
      <c r="AV3" s="2060"/>
      <c r="AW3" s="2060"/>
      <c r="AX3" s="2060"/>
      <c r="AY3" s="2060"/>
      <c r="AZ3" s="2060"/>
      <c r="BA3" s="2060"/>
      <c r="BB3" s="2060"/>
      <c r="BC3" s="2060"/>
      <c r="BD3" s="2060"/>
      <c r="BE3" s="2060"/>
      <c r="BF3" s="2060"/>
      <c r="BG3" s="2060"/>
      <c r="BH3" s="2060"/>
      <c r="BI3" s="2060"/>
      <c r="BJ3" s="2060"/>
      <c r="BK3" s="2060"/>
      <c r="BL3" s="2060"/>
      <c r="BM3" s="2060"/>
      <c r="BN3" s="2060"/>
      <c r="BO3" s="2060"/>
      <c r="BP3" s="2060"/>
      <c r="BQ3" s="2060"/>
      <c r="BR3" s="2060"/>
      <c r="BS3" s="2060"/>
      <c r="BT3" s="2060"/>
      <c r="BU3" s="2060"/>
      <c r="BV3" s="2060"/>
      <c r="BW3" s="2060"/>
      <c r="BX3" s="2060"/>
      <c r="BY3" s="2060"/>
      <c r="BZ3" s="2060"/>
      <c r="CA3" s="2060"/>
      <c r="CB3" s="2060"/>
      <c r="CC3" s="2060"/>
      <c r="CD3" s="2060"/>
      <c r="CE3" s="2060"/>
      <c r="CF3" s="2060"/>
      <c r="CG3" s="2060"/>
      <c r="CH3" s="2060"/>
      <c r="CI3" s="2060"/>
      <c r="CJ3" s="2060"/>
      <c r="CK3" s="2060"/>
      <c r="CL3" s="2060"/>
      <c r="CM3" s="2060"/>
      <c r="CN3" s="2060"/>
      <c r="CO3" s="2060"/>
      <c r="CP3" s="2060"/>
      <c r="CQ3" s="2060"/>
      <c r="CR3" s="2060"/>
      <c r="CS3" s="2060"/>
      <c r="CT3" s="2060"/>
      <c r="CU3" s="2060"/>
      <c r="CV3" s="2060"/>
      <c r="CW3" s="2060"/>
      <c r="CX3" s="2060"/>
      <c r="CY3" s="2060"/>
      <c r="CZ3" s="2060"/>
      <c r="DA3" s="2060"/>
      <c r="DB3" s="2060"/>
      <c r="DC3" s="2060"/>
      <c r="DD3" s="2060"/>
      <c r="DE3" s="2060"/>
      <c r="DF3" s="2060"/>
      <c r="DG3" s="2060"/>
      <c r="DH3" s="2060"/>
      <c r="DI3" s="2060"/>
      <c r="DJ3" s="2060"/>
      <c r="DK3" s="2060"/>
      <c r="DL3" s="2060"/>
      <c r="DM3" s="2060"/>
      <c r="DN3" s="2060"/>
      <c r="DO3" s="2060"/>
      <c r="DP3" s="2060"/>
      <c r="DQ3" s="2060"/>
      <c r="DR3" s="2060"/>
      <c r="DS3" s="2060"/>
      <c r="DT3" s="2060"/>
      <c r="DU3" s="2060"/>
      <c r="DV3" s="2060"/>
      <c r="DW3" s="2060"/>
      <c r="DX3" s="2060"/>
      <c r="DY3" s="2060"/>
      <c r="DZ3" s="2060"/>
      <c r="EA3" s="2060"/>
      <c r="EB3" s="2060"/>
      <c r="EC3" s="2060"/>
      <c r="ED3" s="2060"/>
      <c r="EE3" s="2060"/>
      <c r="EF3" s="2060"/>
      <c r="EG3" s="2060"/>
      <c r="EH3" s="2060"/>
      <c r="EI3" s="2060"/>
      <c r="EJ3" s="2060"/>
      <c r="EK3" s="2060"/>
      <c r="EL3" s="2060"/>
      <c r="EM3" s="2060"/>
      <c r="EN3" s="2060"/>
      <c r="EO3" s="2060"/>
      <c r="EP3" s="2060"/>
      <c r="EQ3" s="2060"/>
      <c r="ER3" s="2060"/>
      <c r="ES3" s="2060"/>
      <c r="ET3" s="2060"/>
      <c r="EU3" s="2060"/>
      <c r="EV3" s="2060"/>
      <c r="EW3" s="2060"/>
      <c r="EX3" s="2060"/>
      <c r="EY3" s="2060"/>
      <c r="EZ3" s="2060"/>
      <c r="FA3" s="2060"/>
      <c r="FB3" s="2060"/>
      <c r="FC3" s="2060"/>
      <c r="FD3" s="2060"/>
      <c r="FE3" s="2060"/>
      <c r="FF3" s="2060"/>
      <c r="FG3" s="2060"/>
      <c r="FH3" s="2060"/>
      <c r="FI3" s="2060"/>
      <c r="FJ3" s="2060"/>
      <c r="FK3" s="2060"/>
      <c r="FL3" s="2060"/>
      <c r="FM3" s="2060"/>
      <c r="FN3" s="2060"/>
      <c r="FO3" s="2060"/>
      <c r="FP3" s="2060"/>
      <c r="FQ3" s="2060"/>
      <c r="FR3" s="2060"/>
      <c r="FS3" s="2060"/>
      <c r="FT3" s="2060"/>
      <c r="FU3" s="2060"/>
      <c r="FV3" s="2060"/>
      <c r="FW3" s="2060"/>
      <c r="FX3" s="2060"/>
      <c r="FY3" s="2060"/>
      <c r="FZ3" s="2060"/>
      <c r="GA3" s="2060"/>
      <c r="GB3" s="2060"/>
      <c r="GC3" s="2060"/>
    </row>
    <row r="4" spans="1:185" ht="18" customHeight="1">
      <c r="A4" s="1424"/>
      <c r="B4" s="1424"/>
      <c r="C4" s="840" t="str">
        <f>ValDateHeading</f>
        <v>Estimation of value as of 28 February 2017</v>
      </c>
      <c r="D4" s="2060"/>
      <c r="E4" s="972"/>
      <c r="F4" s="2060"/>
      <c r="G4" s="2060"/>
      <c r="H4" s="2060"/>
      <c r="I4" s="2060"/>
      <c r="J4" s="2060"/>
      <c r="K4" s="2060"/>
      <c r="L4" s="2060"/>
      <c r="M4" s="2060"/>
      <c r="N4" s="2060"/>
      <c r="O4" s="2060"/>
      <c r="P4" s="2060"/>
      <c r="Q4" s="2060"/>
      <c r="R4" s="2060"/>
      <c r="S4" s="2060"/>
      <c r="T4" s="2060"/>
      <c r="U4" s="2060"/>
      <c r="V4" s="2060"/>
      <c r="W4" s="2060"/>
      <c r="X4" s="2060"/>
      <c r="Y4" s="2060"/>
      <c r="Z4" s="2060"/>
      <c r="AA4" s="2060"/>
      <c r="AB4" s="2060"/>
      <c r="AC4" s="2060"/>
      <c r="AD4" s="1004"/>
      <c r="AE4" s="2060"/>
      <c r="AF4" s="2060"/>
      <c r="AG4" s="2060"/>
      <c r="AH4" s="2060"/>
      <c r="AI4" s="2060"/>
      <c r="AJ4" s="2060"/>
      <c r="AK4" s="2060"/>
      <c r="AL4" s="2060"/>
      <c r="AM4" s="2060"/>
      <c r="AN4" s="2060"/>
      <c r="AO4" s="2060"/>
      <c r="AP4" s="2060"/>
      <c r="AQ4" s="2060"/>
      <c r="AR4" s="2060"/>
      <c r="AS4" s="829" t="s">
        <v>1112</v>
      </c>
      <c r="AT4" s="2060"/>
      <c r="AU4" s="2060"/>
      <c r="AV4" s="2060"/>
      <c r="AW4" s="2060"/>
      <c r="AX4" s="2060"/>
      <c r="AY4" s="2060"/>
      <c r="AZ4" s="2060"/>
      <c r="BA4" s="2060"/>
      <c r="BB4" s="2060"/>
      <c r="BC4" s="2060"/>
      <c r="BD4" s="2060"/>
      <c r="BE4" s="2060"/>
      <c r="BF4" s="2060"/>
      <c r="BG4" s="2060"/>
      <c r="BH4" s="2060"/>
      <c r="BI4" s="2060"/>
      <c r="BJ4" s="2060"/>
      <c r="BK4" s="2060"/>
      <c r="BL4" s="2060"/>
      <c r="BM4" s="2060"/>
      <c r="BN4" s="2060"/>
      <c r="BO4" s="2060"/>
      <c r="BP4" s="2060"/>
      <c r="BQ4" s="2060"/>
      <c r="BR4" s="2060"/>
      <c r="BS4" s="2060"/>
      <c r="BT4" s="2060"/>
      <c r="BU4" s="2060"/>
      <c r="BV4" s="2060"/>
      <c r="BW4" s="2060"/>
      <c r="BX4" s="2060"/>
      <c r="BY4" s="2060"/>
      <c r="BZ4" s="2060"/>
      <c r="CA4" s="2060"/>
      <c r="CB4" s="2060"/>
      <c r="CC4" s="2060"/>
      <c r="CD4" s="2060"/>
      <c r="CE4" s="2060"/>
      <c r="CF4" s="2060"/>
      <c r="CG4" s="2060"/>
      <c r="CH4" s="2060"/>
      <c r="CI4" s="2060"/>
      <c r="CJ4" s="2060"/>
      <c r="CK4" s="2060"/>
      <c r="CL4" s="2060"/>
      <c r="CM4" s="2060"/>
      <c r="CN4" s="2060"/>
      <c r="CO4" s="2060"/>
      <c r="CP4" s="2060"/>
      <c r="CQ4" s="2060"/>
      <c r="CR4" s="2060"/>
      <c r="CS4" s="2060"/>
      <c r="CT4" s="2060"/>
      <c r="CU4" s="2060"/>
      <c r="CV4" s="2060"/>
      <c r="CW4" s="2060"/>
      <c r="CX4" s="2060"/>
      <c r="CY4" s="2060"/>
      <c r="CZ4" s="2060"/>
      <c r="DA4" s="2060"/>
      <c r="DB4" s="2060"/>
      <c r="DC4" s="2060"/>
      <c r="DD4" s="2060"/>
      <c r="DE4" s="2060"/>
      <c r="DF4" s="2060"/>
      <c r="DG4" s="2060"/>
      <c r="DH4" s="2060"/>
      <c r="DI4" s="2060"/>
      <c r="DJ4" s="2060"/>
      <c r="DK4" s="2060"/>
      <c r="DL4" s="2060"/>
      <c r="DM4" s="2060"/>
      <c r="DN4" s="2060"/>
      <c r="DO4" s="2060"/>
      <c r="DP4" s="2060"/>
      <c r="DQ4" s="2060"/>
      <c r="DR4" s="2060"/>
      <c r="DS4" s="2060"/>
      <c r="DT4" s="2060"/>
      <c r="DU4" s="2060"/>
      <c r="DV4" s="2060"/>
      <c r="DW4" s="2060"/>
      <c r="DX4" s="2060"/>
      <c r="DY4" s="2060"/>
      <c r="DZ4" s="2060"/>
      <c r="EA4" s="2060"/>
      <c r="EB4" s="2060"/>
      <c r="EC4" s="2060"/>
      <c r="ED4" s="2060"/>
      <c r="EE4" s="2060"/>
      <c r="EF4" s="2060"/>
      <c r="EG4" s="2060"/>
      <c r="EH4" s="2060"/>
      <c r="EI4" s="2060"/>
      <c r="EJ4" s="2060"/>
      <c r="EK4" s="2060"/>
      <c r="EL4" s="2060"/>
      <c r="EM4" s="2060"/>
      <c r="EN4" s="2060"/>
      <c r="EO4" s="2060"/>
      <c r="EP4" s="2060"/>
      <c r="EQ4" s="2060"/>
      <c r="ER4" s="2060"/>
      <c r="ES4" s="2060"/>
      <c r="ET4" s="2060"/>
      <c r="EU4" s="2060"/>
      <c r="EV4" s="2060"/>
      <c r="EW4" s="2060"/>
      <c r="EX4" s="2060"/>
      <c r="EY4" s="2060"/>
      <c r="EZ4" s="2060"/>
      <c r="FA4" s="2060"/>
      <c r="FB4" s="2060"/>
      <c r="FC4" s="2060"/>
      <c r="FD4" s="2060"/>
      <c r="FE4" s="2060"/>
      <c r="FF4" s="2060"/>
      <c r="FG4" s="2060"/>
      <c r="FH4" s="2060"/>
      <c r="FI4" s="2060"/>
      <c r="FJ4" s="2060"/>
      <c r="FK4" s="2060"/>
      <c r="FL4" s="2060"/>
      <c r="FM4" s="2060"/>
      <c r="FN4" s="2060"/>
      <c r="FO4" s="2060"/>
      <c r="FP4" s="2060"/>
      <c r="FQ4" s="2060"/>
      <c r="FR4" s="2060"/>
      <c r="FS4" s="2060"/>
      <c r="FT4" s="2060"/>
      <c r="FU4" s="2060"/>
      <c r="FV4" s="2060"/>
      <c r="FW4" s="2060"/>
      <c r="FX4" s="2060"/>
      <c r="FY4" s="2060"/>
      <c r="FZ4" s="2060"/>
      <c r="GA4" s="2060"/>
      <c r="GB4" s="2060"/>
      <c r="GC4" s="2060"/>
    </row>
    <row r="5" spans="1:185">
      <c r="A5" s="1424"/>
      <c r="B5" s="1424"/>
      <c r="C5" s="769"/>
      <c r="D5" s="2060"/>
      <c r="E5" s="972"/>
      <c r="F5" s="2060"/>
      <c r="G5" s="2060"/>
      <c r="H5" s="2060"/>
      <c r="I5" s="2060"/>
      <c r="J5" s="2060"/>
      <c r="K5" s="2060"/>
      <c r="L5" s="2060"/>
      <c r="M5" s="2060"/>
      <c r="N5" s="2060"/>
      <c r="O5" s="2060"/>
      <c r="P5" s="2060"/>
      <c r="Q5" s="2060"/>
      <c r="R5" s="2060"/>
      <c r="S5" s="2060"/>
      <c r="T5" s="2060"/>
      <c r="U5" s="2060"/>
      <c r="V5" s="2060"/>
      <c r="W5" s="2060"/>
      <c r="X5" s="2060"/>
      <c r="Y5" s="2060"/>
      <c r="Z5" s="2060"/>
      <c r="AA5" s="2060"/>
      <c r="AB5" s="2060"/>
      <c r="AC5" s="2060"/>
      <c r="AD5" s="1004"/>
      <c r="AE5" s="2060"/>
      <c r="AF5" s="2060"/>
      <c r="AG5" s="2060"/>
      <c r="AH5" s="2060"/>
      <c r="AI5" s="2060"/>
      <c r="AJ5" s="2060"/>
      <c r="AK5" s="2060"/>
      <c r="AL5" s="2060"/>
      <c r="AM5" s="2060"/>
      <c r="AN5" s="2060"/>
      <c r="AO5" s="2060"/>
      <c r="AP5" s="2060"/>
      <c r="AQ5" s="2060"/>
      <c r="AR5" s="2060"/>
      <c r="AS5" s="829" t="s">
        <v>1113</v>
      </c>
      <c r="AT5" s="2060"/>
      <c r="AU5" s="2060"/>
      <c r="AV5" s="2060"/>
      <c r="AW5" s="2060"/>
      <c r="AX5" s="2060"/>
      <c r="AY5" s="2060"/>
      <c r="AZ5" s="2060"/>
      <c r="BA5" s="2060"/>
      <c r="BB5" s="2060"/>
      <c r="BC5" s="2060"/>
      <c r="BD5" s="2060"/>
      <c r="BE5" s="2060"/>
      <c r="BF5" s="2060"/>
      <c r="BG5" s="2060"/>
      <c r="BH5" s="2060"/>
      <c r="BI5" s="2060"/>
      <c r="BJ5" s="2060"/>
      <c r="BK5" s="2060"/>
      <c r="BL5" s="2060"/>
      <c r="BM5" s="2060"/>
      <c r="BN5" s="2060"/>
      <c r="BO5" s="2060"/>
      <c r="BP5" s="2060"/>
      <c r="BQ5" s="2060"/>
      <c r="BR5" s="2060"/>
      <c r="BS5" s="2060"/>
      <c r="BT5" s="2060"/>
      <c r="BU5" s="2060"/>
      <c r="BV5" s="2060"/>
      <c r="BW5" s="2060"/>
      <c r="BX5" s="2060"/>
      <c r="BY5" s="2060"/>
      <c r="BZ5" s="2060"/>
      <c r="CA5" s="2060"/>
      <c r="CB5" s="2060"/>
      <c r="CC5" s="2060"/>
      <c r="CD5" s="2060"/>
      <c r="CE5" s="2060"/>
      <c r="CF5" s="2060"/>
      <c r="CG5" s="2060"/>
      <c r="CH5" s="2060"/>
      <c r="CI5" s="2060"/>
      <c r="CJ5" s="2060"/>
      <c r="CK5" s="2060"/>
      <c r="CL5" s="2060"/>
      <c r="CM5" s="2060"/>
      <c r="CN5" s="2060"/>
      <c r="CO5" s="2060"/>
      <c r="CP5" s="2060"/>
      <c r="CQ5" s="2060"/>
      <c r="CR5" s="2060"/>
      <c r="CS5" s="2060"/>
      <c r="CT5" s="2060"/>
      <c r="CU5" s="2060"/>
      <c r="CV5" s="2060"/>
      <c r="CW5" s="2060"/>
      <c r="CX5" s="2060"/>
      <c r="CY5" s="2060"/>
      <c r="CZ5" s="2060"/>
      <c r="DA5" s="2060"/>
      <c r="DB5" s="2060"/>
      <c r="DC5" s="2060"/>
      <c r="DD5" s="2060"/>
      <c r="DE5" s="2060"/>
      <c r="DF5" s="2060"/>
      <c r="DG5" s="2060"/>
      <c r="DH5" s="2060"/>
      <c r="DI5" s="2060"/>
      <c r="DJ5" s="2060"/>
      <c r="DK5" s="2060"/>
      <c r="DL5" s="2060"/>
      <c r="DM5" s="2060"/>
      <c r="DN5" s="2060"/>
      <c r="DO5" s="2060"/>
      <c r="DP5" s="2060"/>
      <c r="DQ5" s="2060"/>
      <c r="DR5" s="2060"/>
      <c r="DS5" s="2060"/>
      <c r="DT5" s="2060"/>
      <c r="DU5" s="2060"/>
      <c r="DV5" s="2060"/>
      <c r="DW5" s="2060"/>
      <c r="DX5" s="2060"/>
      <c r="DY5" s="2060"/>
      <c r="DZ5" s="2060"/>
      <c r="EA5" s="2060"/>
      <c r="EB5" s="2060"/>
      <c r="EC5" s="2060"/>
      <c r="ED5" s="2060"/>
      <c r="EE5" s="2060"/>
      <c r="EF5" s="2060"/>
      <c r="EG5" s="2060"/>
      <c r="EH5" s="2060"/>
      <c r="EI5" s="2060"/>
      <c r="EJ5" s="2060"/>
      <c r="EK5" s="2060"/>
      <c r="EL5" s="2060"/>
      <c r="EM5" s="2060"/>
      <c r="EN5" s="2060"/>
      <c r="EO5" s="2060"/>
      <c r="EP5" s="2060"/>
      <c r="EQ5" s="2060"/>
      <c r="ER5" s="2060"/>
      <c r="ES5" s="2060"/>
      <c r="ET5" s="2060"/>
      <c r="EU5" s="2060"/>
      <c r="EV5" s="2060"/>
      <c r="EW5" s="2060"/>
      <c r="EX5" s="2060"/>
      <c r="EY5" s="2060"/>
      <c r="EZ5" s="2060"/>
      <c r="FA5" s="2060"/>
      <c r="FB5" s="2060"/>
      <c r="FC5" s="2060"/>
      <c r="FD5" s="2060"/>
      <c r="FE5" s="2060"/>
      <c r="FF5" s="2060"/>
      <c r="FG5" s="2060"/>
      <c r="FH5" s="2060"/>
      <c r="FI5" s="2060"/>
      <c r="FJ5" s="2060"/>
      <c r="FK5" s="2060"/>
      <c r="FL5" s="2060"/>
      <c r="FM5" s="2060"/>
      <c r="FN5" s="2060"/>
      <c r="FO5" s="2060"/>
      <c r="FP5" s="2060"/>
      <c r="FQ5" s="2060"/>
      <c r="FR5" s="2060"/>
      <c r="FS5" s="2060"/>
      <c r="FT5" s="2060"/>
      <c r="FU5" s="2060"/>
      <c r="FV5" s="2060"/>
      <c r="FW5" s="2060"/>
      <c r="FX5" s="2060"/>
      <c r="FY5" s="2060"/>
      <c r="FZ5" s="2060"/>
      <c r="GA5" s="2060"/>
      <c r="GB5" s="2060"/>
      <c r="GC5" s="2060"/>
    </row>
    <row r="6" spans="1:185">
      <c r="A6" s="1413" t="str">
        <f>IF(MasterCheck,"Please check the "&amp;'Error Check'!$G$8,"")</f>
        <v/>
      </c>
      <c r="B6" s="1424"/>
      <c r="C6" s="1511"/>
      <c r="D6" s="2060"/>
      <c r="E6" s="972"/>
      <c r="F6" s="2060"/>
      <c r="G6" s="2060"/>
      <c r="H6" s="2060"/>
      <c r="I6" s="2060"/>
      <c r="J6" s="2060"/>
      <c r="K6" s="2060"/>
      <c r="L6" s="2060"/>
      <c r="M6" s="2060"/>
      <c r="N6" s="2060"/>
      <c r="O6" s="2060"/>
      <c r="P6" s="2060"/>
      <c r="Q6" s="2060"/>
      <c r="R6" s="2060"/>
      <c r="S6" s="2060"/>
      <c r="T6" s="2060"/>
      <c r="U6" s="2060"/>
      <c r="V6" s="2060"/>
      <c r="W6" s="2060"/>
      <c r="X6" s="2060"/>
      <c r="Y6" s="2060"/>
      <c r="Z6" s="2060"/>
      <c r="AA6" s="2060"/>
      <c r="AB6" s="2060"/>
      <c r="AC6" s="2060"/>
      <c r="AD6" s="1004"/>
      <c r="AE6" s="2060"/>
      <c r="AF6" s="2060"/>
      <c r="AG6" s="2060"/>
      <c r="AH6" s="2060"/>
      <c r="AI6" s="2060"/>
      <c r="AJ6" s="2060"/>
      <c r="AK6" s="2060"/>
      <c r="AL6" s="2060"/>
      <c r="AM6" s="2060"/>
      <c r="AN6" s="2060"/>
      <c r="AO6" s="2060"/>
      <c r="AP6" s="2060"/>
      <c r="AQ6" s="2060"/>
      <c r="AR6" s="2060"/>
      <c r="AS6" s="829" t="s">
        <v>1114</v>
      </c>
      <c r="AT6" s="2060"/>
      <c r="AU6" s="2060"/>
      <c r="AV6" s="2060"/>
      <c r="AW6" s="2060"/>
      <c r="AX6" s="2060"/>
      <c r="AY6" s="2060"/>
      <c r="AZ6" s="2060"/>
      <c r="BA6" s="2060"/>
      <c r="BB6" s="2060"/>
      <c r="BC6" s="2060"/>
      <c r="BD6" s="2060"/>
      <c r="BE6" s="2060"/>
      <c r="BF6" s="2060"/>
      <c r="BG6" s="2060"/>
      <c r="BH6" s="2060"/>
      <c r="BI6" s="2060"/>
      <c r="BJ6" s="2060"/>
      <c r="BK6" s="2060"/>
      <c r="BL6" s="2060"/>
      <c r="BM6" s="2060"/>
      <c r="BN6" s="2060"/>
      <c r="BO6" s="2060"/>
      <c r="BP6" s="2060"/>
      <c r="BQ6" s="2060"/>
      <c r="BR6" s="2060"/>
      <c r="BS6" s="2060"/>
      <c r="BT6" s="2060"/>
      <c r="BU6" s="2060"/>
      <c r="BV6" s="2060"/>
      <c r="BW6" s="2060"/>
      <c r="BX6" s="2060"/>
      <c r="BY6" s="2060"/>
      <c r="BZ6" s="2060"/>
      <c r="CA6" s="2060"/>
      <c r="CB6" s="2060"/>
      <c r="CC6" s="2060"/>
      <c r="CD6" s="2060"/>
      <c r="CE6" s="2060"/>
      <c r="CF6" s="2060"/>
      <c r="CG6" s="2060"/>
      <c r="CH6" s="2060"/>
      <c r="CI6" s="2060"/>
      <c r="CJ6" s="2060"/>
      <c r="CK6" s="2060"/>
      <c r="CL6" s="2060"/>
      <c r="CM6" s="2060"/>
      <c r="CN6" s="2060"/>
      <c r="CO6" s="2060"/>
      <c r="CP6" s="2060"/>
      <c r="CQ6" s="2060"/>
      <c r="CR6" s="2060"/>
      <c r="CS6" s="2060"/>
      <c r="CT6" s="2060"/>
      <c r="CU6" s="2060"/>
      <c r="CV6" s="2060"/>
      <c r="CW6" s="2060"/>
      <c r="CX6" s="2060"/>
      <c r="CY6" s="2060"/>
      <c r="CZ6" s="2060"/>
      <c r="DA6" s="2060"/>
      <c r="DB6" s="2060"/>
      <c r="DC6" s="2060"/>
      <c r="DD6" s="2060"/>
      <c r="DE6" s="2060"/>
      <c r="DF6" s="2060"/>
      <c r="DG6" s="2060"/>
      <c r="DH6" s="2060"/>
      <c r="DI6" s="2060"/>
      <c r="DJ6" s="2060"/>
      <c r="DK6" s="2060"/>
      <c r="DL6" s="2060"/>
      <c r="DM6" s="2060"/>
      <c r="DN6" s="2060"/>
      <c r="DO6" s="2060"/>
      <c r="DP6" s="2060"/>
      <c r="DQ6" s="2060"/>
      <c r="DR6" s="2060"/>
      <c r="DS6" s="2060"/>
      <c r="DT6" s="2060"/>
      <c r="DU6" s="2060"/>
      <c r="DV6" s="2060"/>
      <c r="DW6" s="2060"/>
      <c r="DX6" s="2060"/>
      <c r="DY6" s="2060"/>
      <c r="DZ6" s="2060"/>
      <c r="EA6" s="2060"/>
      <c r="EB6" s="2060"/>
      <c r="EC6" s="2060"/>
      <c r="ED6" s="2060"/>
      <c r="EE6" s="2060"/>
      <c r="EF6" s="2060"/>
      <c r="EG6" s="2060"/>
      <c r="EH6" s="2060"/>
      <c r="EI6" s="2060"/>
      <c r="EJ6" s="2060"/>
      <c r="EK6" s="2060"/>
      <c r="EL6" s="2060"/>
      <c r="EM6" s="2060"/>
      <c r="EN6" s="2060"/>
      <c r="EO6" s="2060"/>
      <c r="EP6" s="2060"/>
      <c r="EQ6" s="2060"/>
      <c r="ER6" s="2060"/>
      <c r="ES6" s="2060"/>
      <c r="ET6" s="2060"/>
      <c r="EU6" s="2060"/>
      <c r="EV6" s="2060"/>
      <c r="EW6" s="2060"/>
      <c r="EX6" s="2060"/>
      <c r="EY6" s="2060"/>
      <c r="EZ6" s="2060"/>
      <c r="FA6" s="2060"/>
      <c r="FB6" s="2060"/>
      <c r="FC6" s="2060"/>
      <c r="FD6" s="2060"/>
      <c r="FE6" s="2060"/>
      <c r="FF6" s="2060"/>
      <c r="FG6" s="2060"/>
      <c r="FH6" s="2060"/>
      <c r="FI6" s="2060"/>
      <c r="FJ6" s="2060"/>
      <c r="FK6" s="2060"/>
      <c r="FL6" s="2060"/>
      <c r="FM6" s="2060"/>
      <c r="FN6" s="2060"/>
      <c r="FO6" s="2060"/>
      <c r="FP6" s="2060"/>
      <c r="FQ6" s="2060"/>
      <c r="FR6" s="2060"/>
      <c r="FS6" s="2060"/>
      <c r="FT6" s="2060"/>
      <c r="FU6" s="2060"/>
      <c r="FV6" s="2060"/>
      <c r="FW6" s="2060"/>
      <c r="FX6" s="2060"/>
      <c r="FY6" s="2060"/>
      <c r="FZ6" s="2060"/>
      <c r="GA6" s="2060"/>
      <c r="GB6" s="2060"/>
      <c r="GC6" s="2060"/>
    </row>
    <row r="7" spans="1:185" s="333" customFormat="1" ht="14.45" thickBot="1">
      <c r="A7" s="1424" t="s">
        <v>17</v>
      </c>
      <c r="B7" s="1424"/>
      <c r="C7" s="24"/>
      <c r="D7" s="61"/>
      <c r="E7" s="61"/>
      <c r="F7" s="61"/>
      <c r="G7" s="61"/>
      <c r="H7" s="61"/>
      <c r="I7" s="61"/>
      <c r="J7" s="61"/>
      <c r="K7" s="61"/>
      <c r="L7" s="74"/>
      <c r="M7" s="61"/>
      <c r="N7" s="61"/>
      <c r="O7" s="61"/>
      <c r="P7" s="61"/>
      <c r="Q7" s="61"/>
      <c r="R7" s="61"/>
      <c r="S7" s="61"/>
      <c r="T7" s="61"/>
      <c r="U7" s="61"/>
      <c r="V7" s="61"/>
      <c r="W7" s="61"/>
      <c r="X7" s="61"/>
      <c r="Y7" s="61"/>
      <c r="Z7" s="61"/>
      <c r="AA7" s="61"/>
      <c r="AB7" s="61"/>
      <c r="AC7" s="61"/>
      <c r="AD7" s="265"/>
      <c r="AS7" s="829" t="s">
        <v>1115</v>
      </c>
      <c r="AT7" s="2060"/>
      <c r="AU7" s="2060"/>
      <c r="AV7" s="2060"/>
      <c r="AW7" s="2060"/>
      <c r="AX7" s="2060"/>
      <c r="AY7" s="2060"/>
      <c r="AZ7" s="2060"/>
      <c r="BA7" s="2060"/>
      <c r="BB7" s="2060"/>
      <c r="BC7" s="2060"/>
      <c r="BD7" s="2060"/>
      <c r="BE7" s="2060"/>
      <c r="BF7" s="2060"/>
      <c r="BG7" s="2060"/>
      <c r="BH7" s="2060"/>
      <c r="BI7" s="2060"/>
      <c r="BJ7" s="2060"/>
      <c r="BK7" s="2060"/>
      <c r="BL7" s="2060"/>
      <c r="BM7" s="2060"/>
      <c r="BN7" s="2060"/>
      <c r="BO7" s="2060"/>
      <c r="BP7" s="2060"/>
      <c r="BQ7" s="2060"/>
      <c r="BR7" s="2060"/>
      <c r="BS7" s="2060"/>
      <c r="BT7" s="2060"/>
      <c r="BU7" s="2060"/>
      <c r="BV7" s="2060"/>
      <c r="BW7" s="2060"/>
      <c r="BX7" s="2060"/>
      <c r="BY7" s="2060"/>
      <c r="BZ7" s="2060"/>
      <c r="CA7" s="2060"/>
      <c r="CB7" s="2060"/>
      <c r="CC7" s="2060"/>
      <c r="CD7" s="2060"/>
      <c r="CE7" s="2060"/>
      <c r="CF7" s="2060"/>
      <c r="CG7" s="2060"/>
      <c r="CH7" s="2060"/>
      <c r="CI7" s="2060"/>
      <c r="CJ7" s="2060"/>
      <c r="CK7" s="2060"/>
      <c r="CL7" s="2060"/>
      <c r="CM7" s="2060"/>
      <c r="CN7" s="2060"/>
      <c r="CO7" s="2060"/>
      <c r="CP7" s="2060"/>
      <c r="CQ7" s="2060"/>
      <c r="CR7" s="2060"/>
      <c r="CS7" s="2060"/>
      <c r="CT7" s="2060"/>
      <c r="CU7" s="2060"/>
      <c r="CV7" s="2060"/>
      <c r="CW7" s="2060"/>
      <c r="CX7" s="2060"/>
      <c r="CY7" s="2060"/>
      <c r="CZ7" s="2060"/>
      <c r="DA7" s="2060"/>
      <c r="DB7" s="2060"/>
      <c r="DC7" s="2060"/>
      <c r="DD7" s="2060"/>
      <c r="DE7" s="2060"/>
      <c r="DF7" s="2060"/>
      <c r="DG7" s="2060"/>
      <c r="DH7" s="2060"/>
      <c r="DI7" s="2060"/>
      <c r="DJ7" s="2060"/>
      <c r="DK7" s="2060"/>
      <c r="DL7" s="2060"/>
      <c r="DM7" s="2060"/>
      <c r="DN7" s="2060"/>
      <c r="DO7" s="2060"/>
      <c r="DP7" s="2060"/>
      <c r="DQ7" s="2060"/>
      <c r="DR7" s="2060"/>
      <c r="DS7" s="2060"/>
      <c r="DT7" s="2060"/>
      <c r="DU7" s="2060"/>
      <c r="DV7" s="2060"/>
      <c r="DW7" s="2060"/>
      <c r="DX7" s="2060"/>
      <c r="DY7" s="2060"/>
      <c r="DZ7" s="2060"/>
      <c r="EA7" s="2060"/>
      <c r="EB7" s="2060"/>
      <c r="EC7" s="2060"/>
      <c r="ED7" s="2060"/>
      <c r="EE7" s="2060"/>
      <c r="EF7" s="2060"/>
      <c r="EG7" s="2060"/>
      <c r="EH7" s="2060"/>
      <c r="EI7" s="2060"/>
      <c r="EJ7" s="2060"/>
      <c r="EK7" s="2060"/>
      <c r="EL7" s="2060"/>
      <c r="EM7" s="2060"/>
      <c r="EN7" s="2060"/>
      <c r="EO7" s="2060"/>
      <c r="EP7" s="2060"/>
      <c r="EQ7" s="2060"/>
      <c r="ER7" s="2060"/>
      <c r="ES7" s="2060"/>
      <c r="ET7" s="2060"/>
      <c r="EU7" s="2060"/>
      <c r="EV7" s="2060"/>
      <c r="EW7" s="2060"/>
      <c r="EX7" s="2060"/>
      <c r="EY7" s="2060"/>
      <c r="EZ7" s="2060"/>
      <c r="FA7" s="2060"/>
      <c r="FB7" s="2060"/>
      <c r="FC7" s="2060"/>
      <c r="FD7" s="2060"/>
      <c r="FE7" s="2060"/>
      <c r="FF7" s="2060"/>
      <c r="FG7" s="2060"/>
      <c r="FH7" s="2060"/>
      <c r="FI7" s="2060"/>
      <c r="FJ7" s="2060"/>
      <c r="FK7" s="2060"/>
      <c r="FL7" s="2060"/>
      <c r="FM7" s="2060"/>
      <c r="FN7" s="2060"/>
      <c r="FO7" s="2060"/>
      <c r="FP7" s="2060"/>
      <c r="FQ7" s="2060"/>
      <c r="FR7" s="2060"/>
      <c r="FS7" s="2060"/>
      <c r="FT7" s="2060"/>
      <c r="FU7" s="2060"/>
      <c r="FV7" s="2060"/>
      <c r="FW7" s="2060"/>
      <c r="FX7" s="2060"/>
      <c r="FY7" s="2060"/>
      <c r="FZ7" s="2060"/>
      <c r="GA7" s="2060"/>
      <c r="GB7" s="2060"/>
      <c r="GC7" s="2060"/>
    </row>
    <row r="8" spans="1:185" s="20" customFormat="1" ht="14.45" thickTop="1">
      <c r="A8" s="1424"/>
      <c r="B8" s="1424"/>
      <c r="C8" s="22"/>
      <c r="D8" s="22"/>
      <c r="E8" s="22"/>
      <c r="F8" s="22"/>
      <c r="G8" s="23"/>
      <c r="H8" s="22"/>
      <c r="I8" s="22"/>
      <c r="J8" s="22"/>
      <c r="K8" s="22"/>
      <c r="L8" s="22"/>
      <c r="M8" s="22"/>
      <c r="N8" s="22"/>
      <c r="O8" s="22"/>
      <c r="P8" s="22"/>
      <c r="Q8" s="22"/>
      <c r="R8" s="22"/>
      <c r="S8" s="22"/>
      <c r="T8" s="22"/>
      <c r="U8" s="22"/>
      <c r="V8" s="22"/>
      <c r="W8" s="22"/>
      <c r="X8" s="22"/>
      <c r="Y8" s="22"/>
      <c r="Z8" s="22"/>
      <c r="AA8" s="22"/>
      <c r="AB8" s="22"/>
      <c r="AC8" s="22"/>
      <c r="AD8" s="1004"/>
      <c r="AE8" s="2073"/>
      <c r="AF8" s="2073"/>
      <c r="AG8" s="2073"/>
      <c r="AH8" s="2073"/>
      <c r="AI8" s="2073"/>
      <c r="AJ8" s="2073"/>
      <c r="AK8" s="2073"/>
      <c r="AL8" s="2073"/>
      <c r="AM8" s="2073"/>
      <c r="AN8" s="2073"/>
      <c r="AO8" s="2073"/>
      <c r="AP8" s="2073"/>
      <c r="AQ8" s="2073"/>
      <c r="AR8" s="2073"/>
      <c r="AS8" s="2060"/>
      <c r="AT8" s="2060"/>
      <c r="AU8" s="2060"/>
      <c r="AV8" s="2060"/>
      <c r="AW8" s="2060"/>
      <c r="AX8" s="2060"/>
      <c r="AY8" s="2060"/>
      <c r="AZ8" s="2060"/>
      <c r="BA8" s="2060"/>
      <c r="BB8" s="2060"/>
      <c r="BC8" s="2060"/>
      <c r="BD8" s="2060"/>
      <c r="BE8" s="2060"/>
      <c r="BF8" s="2060"/>
      <c r="BG8" s="2060"/>
      <c r="BH8" s="2060"/>
      <c r="BI8" s="2060"/>
      <c r="BJ8" s="2060"/>
      <c r="BK8" s="2060"/>
      <c r="BL8" s="2060"/>
      <c r="BM8" s="2060"/>
      <c r="BN8" s="2060"/>
      <c r="BO8" s="2060"/>
      <c r="BP8" s="2060"/>
      <c r="BQ8" s="2060"/>
      <c r="BR8" s="2060"/>
      <c r="BS8" s="2060"/>
      <c r="BT8" s="2060"/>
      <c r="BU8" s="2060"/>
      <c r="BV8" s="2060"/>
      <c r="BW8" s="2060"/>
      <c r="BX8" s="2060"/>
      <c r="BY8" s="2060"/>
      <c r="BZ8" s="2060"/>
      <c r="CA8" s="2060"/>
      <c r="CB8" s="2060"/>
      <c r="CC8" s="2060"/>
      <c r="CD8" s="2060"/>
      <c r="CE8" s="2060"/>
      <c r="CF8" s="2060"/>
      <c r="CG8" s="2060"/>
      <c r="CH8" s="2060"/>
      <c r="CI8" s="2060"/>
      <c r="CJ8" s="2060"/>
      <c r="CK8" s="2060"/>
      <c r="CL8" s="2060"/>
      <c r="CM8" s="2060"/>
      <c r="CN8" s="2060"/>
      <c r="CO8" s="2060"/>
      <c r="CP8" s="2060"/>
      <c r="CQ8" s="2060"/>
      <c r="CR8" s="2060"/>
      <c r="CS8" s="2060"/>
      <c r="CT8" s="2060"/>
      <c r="CU8" s="2060"/>
      <c r="CV8" s="2060"/>
      <c r="CW8" s="2060"/>
      <c r="CX8" s="2060"/>
      <c r="CY8" s="2060"/>
      <c r="CZ8" s="2060"/>
      <c r="DA8" s="2060"/>
      <c r="DB8" s="2060"/>
      <c r="DC8" s="2060"/>
      <c r="DD8" s="2060"/>
      <c r="DE8" s="2060"/>
      <c r="DF8" s="2060"/>
      <c r="DG8" s="2060"/>
      <c r="DH8" s="2060"/>
      <c r="DI8" s="2060"/>
      <c r="DJ8" s="2060"/>
      <c r="DK8" s="2060"/>
      <c r="DL8" s="2060"/>
      <c r="DM8" s="2060"/>
      <c r="DN8" s="2060"/>
      <c r="DO8" s="2060"/>
      <c r="DP8" s="2060"/>
      <c r="DQ8" s="2060"/>
      <c r="DR8" s="2060"/>
      <c r="DS8" s="2060"/>
      <c r="DT8" s="2060"/>
      <c r="DU8" s="2060"/>
      <c r="DV8" s="2060"/>
      <c r="DW8" s="2060"/>
      <c r="DX8" s="2060"/>
      <c r="DY8" s="2060"/>
      <c r="DZ8" s="2060"/>
      <c r="EA8" s="2060"/>
      <c r="EB8" s="2060"/>
      <c r="EC8" s="2060"/>
      <c r="ED8" s="2060"/>
      <c r="EE8" s="2060"/>
      <c r="EF8" s="2060"/>
      <c r="EG8" s="2060"/>
      <c r="EH8" s="2060"/>
      <c r="EI8" s="2060"/>
      <c r="EJ8" s="2060"/>
      <c r="EK8" s="2060"/>
      <c r="EL8" s="2060"/>
      <c r="EM8" s="2060"/>
      <c r="EN8" s="2060"/>
      <c r="EO8" s="2060"/>
      <c r="EP8" s="2060"/>
      <c r="EQ8" s="2060"/>
      <c r="ER8" s="2060"/>
      <c r="ES8" s="2060"/>
      <c r="ET8" s="2060"/>
      <c r="EU8" s="2060"/>
      <c r="EV8" s="2060"/>
      <c r="EW8" s="2060"/>
      <c r="EX8" s="2060"/>
      <c r="EY8" s="2060"/>
      <c r="EZ8" s="2060"/>
      <c r="FA8" s="2060"/>
      <c r="FB8" s="2060"/>
      <c r="FC8" s="2060"/>
      <c r="FD8" s="2060"/>
      <c r="FE8" s="2060"/>
      <c r="FF8" s="2060"/>
      <c r="FG8" s="2060"/>
      <c r="FH8" s="2060"/>
      <c r="FI8" s="2060"/>
      <c r="FJ8" s="2060"/>
      <c r="FK8" s="2060"/>
      <c r="FL8" s="2060"/>
      <c r="FM8" s="2060"/>
      <c r="FN8" s="2060"/>
      <c r="FO8" s="2060"/>
      <c r="FP8" s="2060"/>
      <c r="FQ8" s="2060"/>
      <c r="FR8" s="2060"/>
      <c r="FS8" s="2060"/>
      <c r="FT8" s="2060"/>
      <c r="FU8" s="2060"/>
      <c r="FV8" s="2060"/>
      <c r="FW8" s="2060"/>
      <c r="FX8" s="2060"/>
      <c r="FY8" s="2060"/>
      <c r="FZ8" s="2060"/>
      <c r="GA8" s="2060"/>
      <c r="GB8" s="2060"/>
      <c r="GC8" s="2060"/>
    </row>
    <row r="9" spans="1:185" customFormat="1" ht="18">
      <c r="A9" s="1004"/>
      <c r="B9" s="1004"/>
      <c r="C9" s="1633">
        <f ca="1">MAX(OFFSET(C9,-1,0,-ROW(C9)+1,1))+1</f>
        <v>1</v>
      </c>
      <c r="D9" s="1634" t="s">
        <v>1116</v>
      </c>
      <c r="E9" s="1635"/>
      <c r="F9" s="1636"/>
      <c r="G9" s="1637"/>
      <c r="H9" s="1638"/>
      <c r="I9" s="1638"/>
      <c r="J9" s="1638"/>
      <c r="K9" s="1638"/>
      <c r="L9" s="1638"/>
      <c r="M9" s="1638"/>
      <c r="N9" s="1638"/>
      <c r="O9" s="1638"/>
      <c r="P9" s="1638"/>
      <c r="Q9" s="1004"/>
      <c r="R9" s="1004"/>
      <c r="S9" s="1004"/>
      <c r="T9" s="1004"/>
      <c r="U9" s="1004"/>
      <c r="V9" s="1004"/>
      <c r="W9" s="1004"/>
      <c r="X9" s="1004"/>
      <c r="Y9" s="1004"/>
      <c r="Z9" s="1004"/>
      <c r="AA9" s="1004"/>
      <c r="AB9" s="1004"/>
      <c r="AC9" s="1004"/>
      <c r="AD9" s="1004"/>
      <c r="AE9" s="2060"/>
      <c r="AF9" s="2060"/>
      <c r="AG9" s="2060"/>
      <c r="AH9" s="2060"/>
      <c r="AI9" s="2060"/>
      <c r="AJ9" s="2060"/>
      <c r="AK9" s="2060"/>
      <c r="AL9" s="2060"/>
      <c r="AM9" s="2060"/>
      <c r="AN9" s="2060"/>
      <c r="AO9" s="2060"/>
      <c r="AP9" s="2060"/>
      <c r="AQ9" s="2060"/>
      <c r="AR9" s="2060"/>
      <c r="AS9" s="2060"/>
      <c r="AT9" s="2060"/>
      <c r="AU9" s="2060"/>
      <c r="AV9" s="2060"/>
      <c r="AW9" s="2060"/>
      <c r="AX9" s="2060"/>
      <c r="AY9" s="2060"/>
      <c r="AZ9" s="2060"/>
      <c r="BA9" s="2060"/>
      <c r="BB9" s="2060"/>
      <c r="BC9" s="2060"/>
      <c r="BD9" s="2060"/>
      <c r="BE9" s="2060"/>
      <c r="BF9" s="2060"/>
      <c r="BG9" s="2060"/>
      <c r="BH9" s="2060"/>
      <c r="BI9" s="2060"/>
      <c r="BJ9" s="2060"/>
      <c r="BK9" s="2060"/>
      <c r="BL9" s="2060"/>
      <c r="BM9" s="2060"/>
      <c r="BN9" s="2060"/>
      <c r="BO9" s="2060"/>
      <c r="BP9" s="2060"/>
      <c r="BQ9" s="2060"/>
      <c r="BR9" s="2060"/>
      <c r="BS9" s="2060"/>
      <c r="BT9" s="2060"/>
      <c r="BU9" s="2060"/>
      <c r="BV9" s="2060"/>
      <c r="BW9" s="2060"/>
      <c r="BX9" s="2060"/>
      <c r="BY9" s="2060"/>
      <c r="BZ9" s="2060"/>
      <c r="CA9" s="2060"/>
      <c r="CB9" s="2060"/>
      <c r="CC9" s="2060"/>
      <c r="CD9" s="2060"/>
      <c r="CE9" s="2060"/>
      <c r="CF9" s="2060"/>
      <c r="CG9" s="2060"/>
      <c r="CH9" s="2060"/>
      <c r="CI9" s="2060"/>
      <c r="CJ9" s="2060"/>
      <c r="CK9" s="2060"/>
      <c r="CL9" s="2060"/>
      <c r="CM9" s="2060"/>
      <c r="CN9" s="2060"/>
      <c r="CO9" s="2060"/>
      <c r="CP9" s="2060"/>
      <c r="CQ9" s="2060"/>
      <c r="CR9" s="2060"/>
      <c r="CS9" s="2060"/>
      <c r="CT9" s="2060"/>
      <c r="CU9" s="2060"/>
      <c r="CV9" s="2060"/>
      <c r="CW9" s="2060"/>
      <c r="CX9" s="2060"/>
      <c r="CY9" s="2060"/>
      <c r="CZ9" s="2060"/>
      <c r="DA9" s="2060"/>
      <c r="DB9" s="2060"/>
      <c r="DC9" s="2060"/>
      <c r="DD9" s="2060"/>
      <c r="DE9" s="2060"/>
      <c r="DF9" s="2060"/>
      <c r="DG9" s="2060"/>
      <c r="DH9" s="2060"/>
      <c r="DI9" s="2060"/>
      <c r="DJ9" s="2060"/>
      <c r="DK9" s="2060"/>
      <c r="DL9" s="2060"/>
      <c r="DM9" s="2060"/>
      <c r="DN9" s="2060"/>
      <c r="DO9" s="2060"/>
      <c r="DP9" s="2060"/>
      <c r="DQ9" s="2060"/>
      <c r="DR9" s="2060"/>
      <c r="DS9" s="2060"/>
      <c r="DT9" s="2060"/>
      <c r="DU9" s="2060"/>
      <c r="DV9" s="2060"/>
      <c r="DW9" s="2060"/>
      <c r="DX9" s="2060"/>
      <c r="DY9" s="2060"/>
      <c r="DZ9" s="2060"/>
      <c r="EA9" s="2060"/>
      <c r="EB9" s="2060"/>
      <c r="EC9" s="2060"/>
      <c r="ED9" s="2060"/>
      <c r="EE9" s="2060"/>
      <c r="EF9" s="2060"/>
      <c r="EG9" s="2060"/>
      <c r="EH9" s="2060"/>
      <c r="EI9" s="2060"/>
      <c r="EJ9" s="2060"/>
      <c r="EK9" s="2060"/>
      <c r="EL9" s="2060"/>
      <c r="EM9" s="2060"/>
      <c r="EN9" s="2060"/>
      <c r="EO9" s="2060"/>
      <c r="EP9" s="2060"/>
      <c r="EQ9" s="2060"/>
      <c r="ER9" s="2060"/>
      <c r="ES9" s="2060"/>
      <c r="ET9" s="2060"/>
      <c r="EU9" s="2060"/>
      <c r="EV9" s="2060"/>
      <c r="EW9" s="2060"/>
      <c r="EX9" s="2060"/>
      <c r="EY9" s="2060"/>
      <c r="EZ9" s="2060"/>
      <c r="FA9" s="2060"/>
      <c r="FB9" s="2060"/>
      <c r="FC9" s="2060"/>
      <c r="FD9" s="2060"/>
      <c r="FE9" s="2060"/>
      <c r="FF9" s="2060"/>
      <c r="FG9" s="2060"/>
      <c r="FH9" s="2060"/>
      <c r="FI9" s="2060"/>
      <c r="FJ9" s="2060"/>
      <c r="FK9" s="2060"/>
      <c r="FL9" s="2060"/>
      <c r="FM9" s="2060"/>
      <c r="FN9" s="2060"/>
      <c r="FO9" s="2060"/>
      <c r="FP9" s="2060"/>
      <c r="FQ9" s="2060"/>
      <c r="FR9" s="2060"/>
      <c r="FS9" s="2060"/>
      <c r="FT9" s="2060"/>
      <c r="FU9" s="2060"/>
      <c r="FV9" s="2060"/>
      <c r="FW9" s="2060"/>
      <c r="FX9" s="2060"/>
      <c r="FY9" s="2060"/>
      <c r="FZ9" s="2060"/>
      <c r="GA9" s="2060"/>
      <c r="GB9" s="2060"/>
      <c r="GC9" s="2060"/>
    </row>
    <row r="10" spans="1:185" customFormat="1">
      <c r="A10" s="1004"/>
      <c r="B10" s="1004"/>
      <c r="C10" s="1502"/>
      <c r="D10" s="2060"/>
      <c r="E10" s="1578"/>
      <c r="F10" s="2060"/>
      <c r="G10" s="2060"/>
      <c r="H10" s="1029" t="s">
        <v>1117</v>
      </c>
      <c r="I10" s="2060"/>
      <c r="J10" s="1029" t="s">
        <v>1118</v>
      </c>
      <c r="K10" s="2060"/>
      <c r="L10" s="2060"/>
      <c r="M10" s="2060"/>
      <c r="N10" s="1029" t="s">
        <v>1119</v>
      </c>
      <c r="O10" s="2060"/>
      <c r="P10" s="2060"/>
      <c r="Q10" s="2060"/>
      <c r="R10" s="2060"/>
      <c r="S10" s="2060"/>
      <c r="T10" s="2060"/>
      <c r="U10" s="2060"/>
      <c r="V10" s="2060"/>
      <c r="W10" s="2060"/>
      <c r="X10" s="2060"/>
      <c r="Y10" s="2060"/>
      <c r="Z10" s="2060"/>
      <c r="AA10" s="2060"/>
      <c r="AB10" s="2060"/>
      <c r="AC10" s="2060"/>
      <c r="AD10" s="1004"/>
      <c r="AE10" s="2060"/>
      <c r="AF10" s="2060"/>
      <c r="AG10" s="2060"/>
      <c r="AH10" s="2060"/>
      <c r="AI10" s="2060"/>
      <c r="AJ10" s="2060"/>
      <c r="AK10" s="2060"/>
      <c r="AL10" s="2060"/>
      <c r="AM10" s="2060"/>
      <c r="AN10" s="2060"/>
      <c r="AO10" s="2060"/>
      <c r="AP10" s="2060"/>
      <c r="AQ10" s="2060"/>
      <c r="AR10" s="2060"/>
      <c r="AS10" s="2060"/>
      <c r="AT10" s="2060"/>
      <c r="AU10" s="2060"/>
      <c r="AV10" s="2060"/>
      <c r="AW10" s="2060"/>
      <c r="AX10" s="2060"/>
      <c r="AY10" s="2060"/>
      <c r="AZ10" s="2060"/>
      <c r="BA10" s="2060"/>
      <c r="BB10" s="2060"/>
      <c r="BC10" s="2060"/>
      <c r="BD10" s="2060"/>
      <c r="BE10" s="2060"/>
      <c r="BF10" s="2060"/>
      <c r="BG10" s="2060"/>
      <c r="BH10" s="2060"/>
      <c r="BI10" s="2060"/>
      <c r="BJ10" s="2060"/>
      <c r="BK10" s="2060"/>
      <c r="BL10" s="2060"/>
      <c r="BM10" s="2060"/>
      <c r="BN10" s="2060"/>
      <c r="BO10" s="2060"/>
      <c r="BP10" s="2060"/>
      <c r="BQ10" s="2060"/>
      <c r="BR10" s="2060"/>
      <c r="BS10" s="2060"/>
      <c r="BT10" s="2060"/>
      <c r="BU10" s="2060"/>
      <c r="BV10" s="2060"/>
      <c r="BW10" s="2060"/>
      <c r="BX10" s="2060"/>
      <c r="BY10" s="2060"/>
      <c r="BZ10" s="2060"/>
      <c r="CA10" s="2060"/>
      <c r="CB10" s="2060"/>
      <c r="CC10" s="2060"/>
      <c r="CD10" s="2060"/>
      <c r="CE10" s="2060"/>
      <c r="CF10" s="2060"/>
      <c r="CG10" s="2060"/>
      <c r="CH10" s="2060"/>
      <c r="CI10" s="2060"/>
      <c r="CJ10" s="2060"/>
      <c r="CK10" s="2060"/>
      <c r="CL10" s="2060"/>
      <c r="CM10" s="2060"/>
      <c r="CN10" s="2060"/>
      <c r="CO10" s="2060"/>
      <c r="CP10" s="2060"/>
      <c r="CQ10" s="2060"/>
      <c r="CR10" s="2060"/>
      <c r="CS10" s="2060"/>
      <c r="CT10" s="2060"/>
      <c r="CU10" s="2060"/>
      <c r="CV10" s="2060"/>
      <c r="CW10" s="2060"/>
      <c r="CX10" s="2060"/>
      <c r="CY10" s="2060"/>
      <c r="CZ10" s="2060"/>
      <c r="DA10" s="2060"/>
      <c r="DB10" s="2060"/>
      <c r="DC10" s="2060"/>
      <c r="DD10" s="2060"/>
      <c r="DE10" s="2060"/>
      <c r="DF10" s="2060"/>
      <c r="DG10" s="2060"/>
      <c r="DH10" s="2060"/>
      <c r="DI10" s="2060"/>
      <c r="DJ10" s="2060"/>
      <c r="DK10" s="2060"/>
      <c r="DL10" s="2060"/>
      <c r="DM10" s="2060"/>
      <c r="DN10" s="2060"/>
      <c r="DO10" s="2060"/>
      <c r="DP10" s="2060"/>
      <c r="DQ10" s="2060"/>
      <c r="DR10" s="2060"/>
      <c r="DS10" s="2060"/>
      <c r="DT10" s="2060"/>
      <c r="DU10" s="2060"/>
      <c r="DV10" s="2060"/>
      <c r="DW10" s="2060"/>
      <c r="DX10" s="2060"/>
      <c r="DY10" s="2060"/>
      <c r="DZ10" s="2060"/>
      <c r="EA10" s="2060"/>
      <c r="EB10" s="2060"/>
      <c r="EC10" s="2060"/>
      <c r="ED10" s="2060"/>
      <c r="EE10" s="2060"/>
      <c r="EF10" s="2060"/>
      <c r="EG10" s="2060"/>
      <c r="EH10" s="2060"/>
      <c r="EI10" s="2060"/>
      <c r="EJ10" s="2060"/>
      <c r="EK10" s="2060"/>
      <c r="EL10" s="2060"/>
      <c r="EM10" s="2060"/>
      <c r="EN10" s="2060"/>
      <c r="EO10" s="2060"/>
      <c r="EP10" s="2060"/>
      <c r="EQ10" s="2060"/>
      <c r="ER10" s="2060"/>
      <c r="ES10" s="2060"/>
      <c r="ET10" s="2060"/>
      <c r="EU10" s="2060"/>
      <c r="EV10" s="2060"/>
      <c r="EW10" s="2060"/>
      <c r="EX10" s="2060"/>
      <c r="EY10" s="2060"/>
      <c r="EZ10" s="2060"/>
      <c r="FA10" s="2060"/>
      <c r="FB10" s="2060"/>
      <c r="FC10" s="2060"/>
      <c r="FD10" s="2060"/>
      <c r="FE10" s="2060"/>
      <c r="FF10" s="2060"/>
      <c r="FG10" s="2060"/>
      <c r="FH10" s="2060"/>
      <c r="FI10" s="2060"/>
      <c r="FJ10" s="2060"/>
      <c r="FK10" s="2060"/>
      <c r="FL10" s="2060"/>
      <c r="FM10" s="2060"/>
      <c r="FN10" s="2060"/>
      <c r="FO10" s="2060"/>
      <c r="FP10" s="2060"/>
      <c r="FQ10" s="2060"/>
      <c r="FR10" s="2060"/>
      <c r="FS10" s="2060"/>
      <c r="FT10" s="2060"/>
      <c r="FU10" s="2060"/>
      <c r="FV10" s="2060"/>
      <c r="FW10" s="2060"/>
      <c r="FX10" s="2060"/>
      <c r="FY10" s="2060"/>
      <c r="FZ10" s="2060"/>
      <c r="GA10" s="2060"/>
      <c r="GB10" s="2060"/>
      <c r="GC10" s="2060"/>
    </row>
    <row r="11" spans="1:185" s="1023" customFormat="1">
      <c r="A11" s="1004"/>
      <c r="B11" s="1004"/>
      <c r="C11" s="1502"/>
      <c r="D11" s="2060"/>
      <c r="E11" s="1398" t="s">
        <v>1120</v>
      </c>
      <c r="F11" s="1050"/>
      <c r="G11" s="1050"/>
      <c r="H11" s="1400">
        <f>IF($H$16,H16,H20)</f>
        <v>2.7000000000000003E-2</v>
      </c>
      <c r="I11" s="1050"/>
      <c r="J11" s="1399" t="str">
        <f>IF($H$16,J16&amp;"",E20)</f>
        <v>United States Treasury Constant Maturity - 20 Year</v>
      </c>
      <c r="K11" s="1050"/>
      <c r="L11" s="1050"/>
      <c r="M11" s="1050"/>
      <c r="N11" s="1399" t="str">
        <f>IF($H$16,N16&amp;"","Capital IQ")</f>
        <v>Capital IQ</v>
      </c>
      <c r="O11" s="1397"/>
      <c r="P11" s="2060"/>
      <c r="Q11" s="2060"/>
      <c r="R11" s="2060"/>
      <c r="S11" s="2060"/>
      <c r="T11" s="2060"/>
      <c r="U11" s="2060"/>
      <c r="V11" s="2060"/>
      <c r="W11" s="2060"/>
      <c r="X11" s="2060"/>
      <c r="Y11" s="2060"/>
      <c r="Z11" s="2060"/>
      <c r="AA11" s="2060"/>
      <c r="AB11" s="2060"/>
      <c r="AC11" s="2060"/>
      <c r="AD11" s="1004"/>
      <c r="AE11" s="2060"/>
      <c r="AF11" s="2060"/>
      <c r="AG11" s="2060"/>
      <c r="AH11" s="2060"/>
      <c r="AI11" s="2060"/>
      <c r="AJ11" s="2060"/>
      <c r="AK11" s="2060"/>
      <c r="AL11" s="2060"/>
      <c r="AM11" s="2060"/>
      <c r="AN11" s="2060"/>
      <c r="AO11" s="2060"/>
      <c r="AP11" s="2060"/>
      <c r="AQ11" s="2060"/>
      <c r="AR11" s="2060"/>
      <c r="AS11" s="2060"/>
      <c r="AT11" s="2060"/>
      <c r="AU11" s="2060"/>
      <c r="AV11" s="2060"/>
      <c r="AW11" s="2060"/>
      <c r="AX11" s="2060"/>
      <c r="AY11" s="2060"/>
      <c r="AZ11" s="2060"/>
      <c r="BA11" s="2060"/>
      <c r="BB11" s="2060"/>
      <c r="BC11" s="2060"/>
      <c r="BD11" s="2060"/>
      <c r="BE11" s="2060"/>
      <c r="BF11" s="2060"/>
      <c r="BG11" s="2060"/>
      <c r="BH11" s="2060"/>
      <c r="BI11" s="2060"/>
      <c r="BJ11" s="2060"/>
      <c r="BK11" s="2060"/>
      <c r="BL11" s="2060"/>
      <c r="BM11" s="2060"/>
      <c r="BN11" s="2060"/>
      <c r="BO11" s="2060"/>
      <c r="BP11" s="2060"/>
      <c r="BQ11" s="2060"/>
      <c r="BR11" s="2060"/>
      <c r="BS11" s="2060"/>
      <c r="BT11" s="2060"/>
      <c r="BU11" s="2060"/>
      <c r="BV11" s="2060"/>
      <c r="BW11" s="2060"/>
      <c r="BX11" s="2060"/>
      <c r="BY11" s="2060"/>
      <c r="BZ11" s="2060"/>
      <c r="CA11" s="2060"/>
      <c r="CB11" s="2060"/>
      <c r="CC11" s="2060"/>
      <c r="CD11" s="2060"/>
      <c r="CE11" s="2060"/>
      <c r="CF11" s="2060"/>
      <c r="CG11" s="2060"/>
      <c r="CH11" s="2060"/>
      <c r="CI11" s="2060"/>
      <c r="CJ11" s="2060"/>
      <c r="CK11" s="2060"/>
      <c r="CL11" s="2060"/>
      <c r="CM11" s="2060"/>
      <c r="CN11" s="2060"/>
      <c r="CO11" s="2060"/>
      <c r="CP11" s="2060"/>
      <c r="CQ11" s="2060"/>
      <c r="CR11" s="2060"/>
      <c r="CS11" s="2060"/>
      <c r="CT11" s="2060"/>
      <c r="CU11" s="2060"/>
      <c r="CV11" s="2060"/>
      <c r="CW11" s="2060"/>
      <c r="CX11" s="2060"/>
      <c r="CY11" s="2060"/>
      <c r="CZ11" s="2060"/>
      <c r="DA11" s="2060"/>
      <c r="DB11" s="2060"/>
      <c r="DC11" s="2060"/>
      <c r="DD11" s="2060"/>
      <c r="DE11" s="2060"/>
      <c r="DF11" s="2060"/>
      <c r="DG11" s="2060"/>
      <c r="DH11" s="2060"/>
      <c r="DI11" s="2060"/>
      <c r="DJ11" s="2060"/>
      <c r="DK11" s="2060"/>
      <c r="DL11" s="2060"/>
      <c r="DM11" s="2060"/>
      <c r="DN11" s="2060"/>
      <c r="DO11" s="2060"/>
      <c r="DP11" s="2060"/>
      <c r="DQ11" s="2060"/>
      <c r="DR11" s="2060"/>
      <c r="DS11" s="2060"/>
      <c r="DT11" s="2060"/>
      <c r="DU11" s="2060"/>
      <c r="DV11" s="2060"/>
      <c r="DW11" s="2060"/>
      <c r="DX11" s="2060"/>
      <c r="DY11" s="2060"/>
      <c r="DZ11" s="2060"/>
      <c r="EA11" s="2060"/>
      <c r="EB11" s="2060"/>
      <c r="EC11" s="2060"/>
      <c r="ED11" s="2060"/>
      <c r="EE11" s="2060"/>
      <c r="EF11" s="2060"/>
      <c r="EG11" s="2060"/>
      <c r="EH11" s="2060"/>
      <c r="EI11" s="2060"/>
      <c r="EJ11" s="2060"/>
      <c r="EK11" s="2060"/>
      <c r="EL11" s="2060"/>
      <c r="EM11" s="2060"/>
      <c r="EN11" s="2060"/>
      <c r="EO11" s="2060"/>
      <c r="EP11" s="2060"/>
      <c r="EQ11" s="2060"/>
      <c r="ER11" s="2060"/>
      <c r="ES11" s="2060"/>
      <c r="ET11" s="2060"/>
      <c r="EU11" s="2060"/>
      <c r="EV11" s="2060"/>
      <c r="EW11" s="2060"/>
      <c r="EX11" s="2060"/>
      <c r="EY11" s="2060"/>
      <c r="EZ11" s="2060"/>
      <c r="FA11" s="2060"/>
      <c r="FB11" s="2060"/>
      <c r="FC11" s="2060"/>
      <c r="FD11" s="2060"/>
      <c r="FE11" s="2060"/>
      <c r="FF11" s="2060"/>
      <c r="FG11" s="2060"/>
      <c r="FH11" s="2060"/>
      <c r="FI11" s="2060"/>
      <c r="FJ11" s="2060"/>
      <c r="FK11" s="2060"/>
      <c r="FL11" s="2060"/>
      <c r="FM11" s="2060"/>
      <c r="FN11" s="2060"/>
      <c r="FO11" s="2060"/>
      <c r="FP11" s="2060"/>
      <c r="FQ11" s="2060"/>
      <c r="FR11" s="2060"/>
      <c r="FS11" s="2060"/>
      <c r="FT11" s="2060"/>
      <c r="FU11" s="2060"/>
      <c r="FV11" s="2060"/>
      <c r="FW11" s="2060"/>
      <c r="FX11" s="2060"/>
      <c r="FY11" s="2060"/>
      <c r="FZ11" s="2060"/>
      <c r="GA11" s="2060"/>
      <c r="GB11" s="2060"/>
      <c r="GC11" s="2060"/>
    </row>
    <row r="12" spans="1:185" s="1023" customFormat="1">
      <c r="A12" s="1004"/>
      <c r="B12" s="1004"/>
      <c r="C12" s="1502"/>
      <c r="D12" s="2060"/>
      <c r="E12" s="1578"/>
      <c r="F12" s="2060"/>
      <c r="G12" s="2060"/>
      <c r="H12" s="2060"/>
      <c r="I12" s="2060"/>
      <c r="J12" s="2060"/>
      <c r="K12" s="2060"/>
      <c r="L12" s="2060"/>
      <c r="M12" s="2060"/>
      <c r="N12" s="2060"/>
      <c r="O12" s="2060"/>
      <c r="P12" s="2060"/>
      <c r="Q12" s="2060"/>
      <c r="R12" s="2060"/>
      <c r="S12" s="2060"/>
      <c r="T12" s="2060"/>
      <c r="U12" s="2060"/>
      <c r="V12" s="2060"/>
      <c r="W12" s="2060"/>
      <c r="X12" s="2060"/>
      <c r="Y12" s="2060"/>
      <c r="Z12" s="2060"/>
      <c r="AA12" s="2060"/>
      <c r="AB12" s="2060"/>
      <c r="AC12" s="2060"/>
      <c r="AD12" s="1004"/>
      <c r="AE12" s="2060"/>
      <c r="AF12" s="2060"/>
      <c r="AG12" s="2060"/>
      <c r="AH12" s="2060"/>
      <c r="AI12" s="2060"/>
      <c r="AJ12" s="2060"/>
      <c r="AK12" s="2060"/>
      <c r="AL12" s="2060"/>
      <c r="AM12" s="2060"/>
      <c r="AN12" s="2060"/>
      <c r="AO12" s="2060"/>
      <c r="AP12" s="2060"/>
      <c r="AQ12" s="2060"/>
      <c r="AR12" s="2060"/>
      <c r="AS12" s="2060"/>
      <c r="AT12" s="2060"/>
      <c r="AU12" s="2060"/>
      <c r="AV12" s="2060"/>
      <c r="AW12" s="2060"/>
      <c r="AX12" s="2060"/>
      <c r="AY12" s="2060"/>
      <c r="AZ12" s="2060"/>
      <c r="BA12" s="2060"/>
      <c r="BB12" s="2060"/>
      <c r="BC12" s="2060"/>
      <c r="BD12" s="2060"/>
      <c r="BE12" s="2060"/>
      <c r="BF12" s="2060"/>
      <c r="BG12" s="2060"/>
      <c r="BH12" s="2060"/>
      <c r="BI12" s="2060"/>
      <c r="BJ12" s="2060"/>
      <c r="BK12" s="2060"/>
      <c r="BL12" s="2060"/>
      <c r="BM12" s="2060"/>
      <c r="BN12" s="2060"/>
      <c r="BO12" s="2060"/>
      <c r="BP12" s="2060"/>
      <c r="BQ12" s="2060"/>
      <c r="BR12" s="2060"/>
      <c r="BS12" s="2060"/>
      <c r="BT12" s="2060"/>
      <c r="BU12" s="2060"/>
      <c r="BV12" s="2060"/>
      <c r="BW12" s="2060"/>
      <c r="BX12" s="2060"/>
      <c r="BY12" s="2060"/>
      <c r="BZ12" s="2060"/>
      <c r="CA12" s="2060"/>
      <c r="CB12" s="2060"/>
      <c r="CC12" s="2060"/>
      <c r="CD12" s="2060"/>
      <c r="CE12" s="2060"/>
      <c r="CF12" s="2060"/>
      <c r="CG12" s="2060"/>
      <c r="CH12" s="2060"/>
      <c r="CI12" s="2060"/>
      <c r="CJ12" s="2060"/>
      <c r="CK12" s="2060"/>
      <c r="CL12" s="2060"/>
      <c r="CM12" s="2060"/>
      <c r="CN12" s="2060"/>
      <c r="CO12" s="2060"/>
      <c r="CP12" s="2060"/>
      <c r="CQ12" s="2060"/>
      <c r="CR12" s="2060"/>
      <c r="CS12" s="2060"/>
      <c r="CT12" s="2060"/>
      <c r="CU12" s="2060"/>
      <c r="CV12" s="2060"/>
      <c r="CW12" s="2060"/>
      <c r="CX12" s="2060"/>
      <c r="CY12" s="2060"/>
      <c r="CZ12" s="2060"/>
      <c r="DA12" s="2060"/>
      <c r="DB12" s="2060"/>
      <c r="DC12" s="2060"/>
      <c r="DD12" s="2060"/>
      <c r="DE12" s="2060"/>
      <c r="DF12" s="2060"/>
      <c r="DG12" s="2060"/>
      <c r="DH12" s="2060"/>
      <c r="DI12" s="2060"/>
      <c r="DJ12" s="2060"/>
      <c r="DK12" s="2060"/>
      <c r="DL12" s="2060"/>
      <c r="DM12" s="2060"/>
      <c r="DN12" s="2060"/>
      <c r="DO12" s="2060"/>
      <c r="DP12" s="2060"/>
      <c r="DQ12" s="2060"/>
      <c r="DR12" s="2060"/>
      <c r="DS12" s="2060"/>
      <c r="DT12" s="2060"/>
      <c r="DU12" s="2060"/>
      <c r="DV12" s="2060"/>
      <c r="DW12" s="2060"/>
      <c r="DX12" s="2060"/>
      <c r="DY12" s="2060"/>
      <c r="DZ12" s="2060"/>
      <c r="EA12" s="2060"/>
      <c r="EB12" s="2060"/>
      <c r="EC12" s="2060"/>
      <c r="ED12" s="2060"/>
      <c r="EE12" s="2060"/>
      <c r="EF12" s="2060"/>
      <c r="EG12" s="2060"/>
      <c r="EH12" s="2060"/>
      <c r="EI12" s="2060"/>
      <c r="EJ12" s="2060"/>
      <c r="EK12" s="2060"/>
      <c r="EL12" s="2060"/>
      <c r="EM12" s="2060"/>
      <c r="EN12" s="2060"/>
      <c r="EO12" s="2060"/>
      <c r="EP12" s="2060"/>
      <c r="EQ12" s="2060"/>
      <c r="ER12" s="2060"/>
      <c r="ES12" s="2060"/>
      <c r="ET12" s="2060"/>
      <c r="EU12" s="2060"/>
      <c r="EV12" s="2060"/>
      <c r="EW12" s="2060"/>
      <c r="EX12" s="2060"/>
      <c r="EY12" s="2060"/>
      <c r="EZ12" s="2060"/>
      <c r="FA12" s="2060"/>
      <c r="FB12" s="2060"/>
      <c r="FC12" s="2060"/>
      <c r="FD12" s="2060"/>
      <c r="FE12" s="2060"/>
      <c r="FF12" s="2060"/>
      <c r="FG12" s="2060"/>
      <c r="FH12" s="2060"/>
      <c r="FI12" s="2060"/>
      <c r="FJ12" s="2060"/>
      <c r="FK12" s="2060"/>
      <c r="FL12" s="2060"/>
      <c r="FM12" s="2060"/>
      <c r="FN12" s="2060"/>
      <c r="FO12" s="2060"/>
      <c r="FP12" s="2060"/>
      <c r="FQ12" s="2060"/>
      <c r="FR12" s="2060"/>
      <c r="FS12" s="2060"/>
      <c r="FT12" s="2060"/>
      <c r="FU12" s="2060"/>
      <c r="FV12" s="2060"/>
      <c r="FW12" s="2060"/>
      <c r="FX12" s="2060"/>
      <c r="FY12" s="2060"/>
      <c r="FZ12" s="2060"/>
      <c r="GA12" s="2060"/>
      <c r="GB12" s="2060"/>
      <c r="GC12" s="2060"/>
    </row>
    <row r="13" spans="1:185" s="2060" customFormat="1">
      <c r="A13" s="1004"/>
      <c r="B13" s="1004"/>
      <c r="C13" s="1502"/>
      <c r="E13" s="1578"/>
      <c r="AD13" s="1004"/>
    </row>
    <row r="14" spans="1:185" s="2060" customFormat="1">
      <c r="A14" s="1004"/>
      <c r="B14" s="1004"/>
      <c r="C14" s="1502"/>
      <c r="E14" s="1578"/>
      <c r="AD14" s="1004"/>
    </row>
    <row r="15" spans="1:185" customFormat="1" ht="15.6">
      <c r="A15" s="1004"/>
      <c r="B15" s="1004"/>
      <c r="C15" s="1502"/>
      <c r="D15" s="779"/>
      <c r="E15" s="1686" t="s">
        <v>1121</v>
      </c>
      <c r="F15" s="910"/>
      <c r="G15" s="910"/>
      <c r="H15" s="572" t="s">
        <v>1122</v>
      </c>
      <c r="I15" s="910"/>
      <c r="J15" s="572" t="s">
        <v>1123</v>
      </c>
      <c r="K15" s="910"/>
      <c r="L15" s="910"/>
      <c r="M15" s="910"/>
      <c r="N15" s="572" t="s">
        <v>1124</v>
      </c>
      <c r="O15" s="910"/>
      <c r="P15" s="2060"/>
      <c r="Q15" s="2060"/>
      <c r="R15" s="2060"/>
      <c r="S15" s="2060"/>
      <c r="T15" s="2060"/>
      <c r="U15" s="2060"/>
      <c r="V15" s="2060"/>
      <c r="W15" s="2060"/>
      <c r="X15" s="2060"/>
      <c r="Y15" s="2060"/>
      <c r="Z15" s="2060"/>
      <c r="AA15" s="2060"/>
      <c r="AB15" s="2060"/>
      <c r="AC15" s="2060"/>
      <c r="AD15" s="1004"/>
      <c r="AE15" s="2060"/>
      <c r="AF15" s="2060"/>
      <c r="AG15" s="2060"/>
      <c r="AH15" s="2060"/>
      <c r="AI15" s="2060"/>
      <c r="AJ15" s="2060"/>
      <c r="AK15" s="2060"/>
      <c r="AL15" s="2060"/>
      <c r="AM15" s="2060"/>
      <c r="AN15" s="2060"/>
      <c r="AO15" s="2060"/>
      <c r="AP15" s="2060"/>
      <c r="AQ15" s="2060"/>
      <c r="AR15" s="2060"/>
      <c r="AS15" s="2060"/>
      <c r="AT15" s="2060"/>
      <c r="AU15" s="2060"/>
      <c r="AV15" s="2060"/>
      <c r="AW15" s="2060"/>
      <c r="AX15" s="2060"/>
      <c r="AY15" s="2060"/>
      <c r="AZ15" s="2060"/>
      <c r="BA15" s="2060"/>
      <c r="BB15" s="2060"/>
      <c r="BC15" s="2060"/>
      <c r="BD15" s="2060"/>
      <c r="BE15" s="2060"/>
      <c r="BF15" s="2060"/>
      <c r="BG15" s="2060"/>
      <c r="BH15" s="2060"/>
      <c r="BI15" s="2060"/>
      <c r="BJ15" s="2060"/>
      <c r="BK15" s="2060"/>
      <c r="BL15" s="2060"/>
      <c r="BM15" s="2060"/>
      <c r="BN15" s="2060"/>
      <c r="BO15" s="2060"/>
      <c r="BP15" s="2060"/>
      <c r="BQ15" s="2060"/>
      <c r="BR15" s="2060"/>
      <c r="BS15" s="2060"/>
      <c r="BT15" s="2060"/>
      <c r="BU15" s="2060"/>
      <c r="BV15" s="2060"/>
      <c r="BW15" s="2060"/>
      <c r="BX15" s="2060"/>
      <c r="BY15" s="2060"/>
      <c r="BZ15" s="2060"/>
      <c r="CA15" s="2060"/>
      <c r="CB15" s="2060"/>
      <c r="CC15" s="2060"/>
      <c r="CD15" s="2060"/>
      <c r="CE15" s="2060"/>
      <c r="CF15" s="2060"/>
      <c r="CG15" s="2060"/>
      <c r="CH15" s="2060"/>
      <c r="CI15" s="2060"/>
      <c r="CJ15" s="2060"/>
      <c r="CK15" s="2060"/>
      <c r="CL15" s="2060"/>
      <c r="CM15" s="2060"/>
      <c r="CN15" s="2060"/>
      <c r="CO15" s="2060"/>
      <c r="CP15" s="2060"/>
      <c r="CQ15" s="2060"/>
      <c r="CR15" s="2060"/>
      <c r="CS15" s="2060"/>
      <c r="CT15" s="2060"/>
      <c r="CU15" s="2060"/>
      <c r="CV15" s="2060"/>
      <c r="CW15" s="2060"/>
      <c r="CX15" s="2060"/>
      <c r="CY15" s="2060"/>
      <c r="CZ15" s="2060"/>
      <c r="DA15" s="2060"/>
      <c r="DB15" s="2060"/>
      <c r="DC15" s="2060"/>
      <c r="DD15" s="2060"/>
      <c r="DE15" s="2060"/>
      <c r="DF15" s="2060"/>
      <c r="DG15" s="2060"/>
      <c r="DH15" s="2060"/>
      <c r="DI15" s="2060"/>
      <c r="DJ15" s="2060"/>
      <c r="DK15" s="2060"/>
      <c r="DL15" s="2060"/>
      <c r="DM15" s="2060"/>
      <c r="DN15" s="2060"/>
      <c r="DO15" s="2060"/>
      <c r="DP15" s="2060"/>
      <c r="DQ15" s="2060"/>
      <c r="DR15" s="2060"/>
      <c r="DS15" s="2060"/>
      <c r="DT15" s="2060"/>
      <c r="DU15" s="2060"/>
      <c r="DV15" s="2060"/>
      <c r="DW15" s="2060"/>
      <c r="DX15" s="2060"/>
      <c r="DY15" s="2060"/>
      <c r="DZ15" s="2060"/>
      <c r="EA15" s="2060"/>
      <c r="EB15" s="2060"/>
      <c r="EC15" s="2060"/>
      <c r="ED15" s="2060"/>
      <c r="EE15" s="2060"/>
      <c r="EF15" s="2060"/>
      <c r="EG15" s="2060"/>
      <c r="EH15" s="2060"/>
      <c r="EI15" s="2060"/>
      <c r="EJ15" s="2060"/>
      <c r="EK15" s="2060"/>
      <c r="EL15" s="2060"/>
      <c r="EM15" s="2060"/>
      <c r="EN15" s="2060"/>
      <c r="EO15" s="2060"/>
      <c r="EP15" s="2060"/>
      <c r="EQ15" s="2060"/>
      <c r="ER15" s="2060"/>
      <c r="ES15" s="2060"/>
      <c r="ET15" s="2060"/>
      <c r="EU15" s="2060"/>
      <c r="EV15" s="2060"/>
      <c r="EW15" s="2060"/>
      <c r="EX15" s="2060"/>
      <c r="EY15" s="2060"/>
      <c r="EZ15" s="2060"/>
      <c r="FA15" s="2060"/>
      <c r="FB15" s="2060"/>
      <c r="FC15" s="2060"/>
      <c r="FD15" s="2060"/>
      <c r="FE15" s="2060"/>
      <c r="FF15" s="2060"/>
      <c r="FG15" s="2060"/>
      <c r="FH15" s="2060"/>
      <c r="FI15" s="2060"/>
      <c r="FJ15" s="2060"/>
      <c r="FK15" s="2060"/>
      <c r="FL15" s="2060"/>
      <c r="FM15" s="2060"/>
      <c r="FN15" s="2060"/>
      <c r="FO15" s="2060"/>
      <c r="FP15" s="2060"/>
      <c r="FQ15" s="2060"/>
      <c r="FR15" s="2060"/>
      <c r="FS15" s="2060"/>
      <c r="FT15" s="2060"/>
      <c r="FU15" s="2060"/>
      <c r="FV15" s="2060"/>
      <c r="FW15" s="2060"/>
      <c r="FX15" s="2060"/>
      <c r="FY15" s="2060"/>
      <c r="FZ15" s="2060"/>
      <c r="GA15" s="2060"/>
      <c r="GB15" s="2060"/>
      <c r="GC15" s="2060"/>
    </row>
    <row r="16" spans="1:185" customFormat="1">
      <c r="A16" s="1004"/>
      <c r="B16" s="1004"/>
      <c r="C16" s="1502"/>
      <c r="D16" s="2060"/>
      <c r="E16" s="2060" t="s">
        <v>1125</v>
      </c>
      <c r="F16" s="295"/>
      <c r="G16" s="295"/>
      <c r="H16" s="1681"/>
      <c r="I16" s="645"/>
      <c r="J16" s="1682"/>
      <c r="K16" s="1683"/>
      <c r="L16" s="1684"/>
      <c r="M16" s="2060"/>
      <c r="N16" s="1682"/>
      <c r="O16" s="1685"/>
      <c r="P16" s="295"/>
      <c r="Q16" s="2060"/>
      <c r="R16" s="2060"/>
      <c r="S16" s="2060"/>
      <c r="T16" s="2060"/>
      <c r="U16" s="2060"/>
      <c r="V16" s="2060"/>
      <c r="W16" s="2060"/>
      <c r="X16" s="2060"/>
      <c r="Y16" s="2060"/>
      <c r="Z16" s="2060"/>
      <c r="AA16" s="2060"/>
      <c r="AB16" s="2060"/>
      <c r="AC16" s="2060"/>
      <c r="AD16" s="1004"/>
      <c r="AE16" s="2060"/>
      <c r="AF16" s="2060"/>
      <c r="AG16" s="2060"/>
      <c r="AH16" s="2060"/>
      <c r="AI16" s="2060"/>
      <c r="AJ16" s="2060"/>
      <c r="AK16" s="2060"/>
      <c r="AL16" s="2060"/>
      <c r="AM16" s="2060"/>
      <c r="AN16" s="2060"/>
      <c r="AO16" s="2060"/>
      <c r="AP16" s="2060"/>
      <c r="AQ16" s="2060"/>
      <c r="AR16" s="2060"/>
      <c r="AS16" s="2060"/>
      <c r="AT16" s="2060"/>
      <c r="AU16" s="2060"/>
      <c r="AV16" s="2060"/>
      <c r="AW16" s="2060"/>
      <c r="AX16" s="2060"/>
      <c r="AY16" s="2060"/>
      <c r="AZ16" s="2060"/>
      <c r="BA16" s="2060"/>
      <c r="BB16" s="2060"/>
      <c r="BC16" s="2060"/>
      <c r="BD16" s="2060"/>
      <c r="BE16" s="2060"/>
      <c r="BF16" s="2060"/>
      <c r="BG16" s="2060"/>
      <c r="BH16" s="2060"/>
      <c r="BI16" s="2060"/>
      <c r="BJ16" s="2060"/>
      <c r="BK16" s="2060"/>
      <c r="BL16" s="2060"/>
      <c r="BM16" s="2060"/>
      <c r="BN16" s="2060"/>
      <c r="BO16" s="2060"/>
      <c r="BP16" s="2060"/>
      <c r="BQ16" s="2060"/>
      <c r="BR16" s="2060"/>
      <c r="BS16" s="2060"/>
      <c r="BT16" s="2060"/>
      <c r="BU16" s="2060"/>
      <c r="BV16" s="2060"/>
      <c r="BW16" s="2060"/>
      <c r="BX16" s="2060"/>
      <c r="BY16" s="2060"/>
      <c r="BZ16" s="2060"/>
      <c r="CA16" s="2060"/>
      <c r="CB16" s="2060"/>
      <c r="CC16" s="2060"/>
      <c r="CD16" s="2060"/>
      <c r="CE16" s="2060"/>
      <c r="CF16" s="2060"/>
      <c r="CG16" s="2060"/>
      <c r="CH16" s="2060"/>
      <c r="CI16" s="2060"/>
      <c r="CJ16" s="2060"/>
      <c r="CK16" s="2060"/>
      <c r="CL16" s="2060"/>
      <c r="CM16" s="2060"/>
      <c r="CN16" s="2060"/>
      <c r="CO16" s="2060"/>
      <c r="CP16" s="2060"/>
      <c r="CQ16" s="2060"/>
      <c r="CR16" s="2060"/>
      <c r="CS16" s="2060"/>
      <c r="CT16" s="2060"/>
      <c r="CU16" s="2060"/>
      <c r="CV16" s="2060"/>
      <c r="CW16" s="2060"/>
      <c r="CX16" s="2060"/>
      <c r="CY16" s="2060"/>
      <c r="CZ16" s="2060"/>
      <c r="DA16" s="2060"/>
      <c r="DB16" s="2060"/>
      <c r="DC16" s="2060"/>
      <c r="DD16" s="2060"/>
      <c r="DE16" s="2060"/>
      <c r="DF16" s="2060"/>
      <c r="DG16" s="2060"/>
      <c r="DH16" s="2060"/>
      <c r="DI16" s="2060"/>
      <c r="DJ16" s="2060"/>
      <c r="DK16" s="2060"/>
      <c r="DL16" s="2060"/>
      <c r="DM16" s="2060"/>
      <c r="DN16" s="2060"/>
      <c r="DO16" s="2060"/>
      <c r="DP16" s="2060"/>
      <c r="DQ16" s="2060"/>
      <c r="DR16" s="2060"/>
      <c r="DS16" s="2060"/>
      <c r="DT16" s="2060"/>
      <c r="DU16" s="2060"/>
      <c r="DV16" s="2060"/>
      <c r="DW16" s="2060"/>
      <c r="DX16" s="2060"/>
      <c r="DY16" s="2060"/>
      <c r="DZ16" s="2060"/>
      <c r="EA16" s="2060"/>
      <c r="EB16" s="2060"/>
      <c r="EC16" s="2060"/>
      <c r="ED16" s="2060"/>
      <c r="EE16" s="2060"/>
      <c r="EF16" s="2060"/>
      <c r="EG16" s="2060"/>
      <c r="EH16" s="2060"/>
      <c r="EI16" s="2060"/>
      <c r="EJ16" s="2060"/>
      <c r="EK16" s="2060"/>
      <c r="EL16" s="2060"/>
      <c r="EM16" s="2060"/>
      <c r="EN16" s="2060"/>
      <c r="EO16" s="2060"/>
      <c r="EP16" s="2060"/>
      <c r="EQ16" s="2060"/>
      <c r="ER16" s="2060"/>
      <c r="ES16" s="2060"/>
      <c r="ET16" s="2060"/>
      <c r="EU16" s="2060"/>
      <c r="EV16" s="2060"/>
      <c r="EW16" s="2060"/>
      <c r="EX16" s="2060"/>
      <c r="EY16" s="2060"/>
      <c r="EZ16" s="2060"/>
      <c r="FA16" s="2060"/>
      <c r="FB16" s="2060"/>
      <c r="FC16" s="2060"/>
      <c r="FD16" s="2060"/>
      <c r="FE16" s="2060"/>
      <c r="FF16" s="2060"/>
      <c r="FG16" s="2060"/>
      <c r="FH16" s="2060"/>
      <c r="FI16" s="2060"/>
      <c r="FJ16" s="2060"/>
      <c r="FK16" s="2060"/>
      <c r="FL16" s="2060"/>
      <c r="FM16" s="2060"/>
      <c r="FN16" s="2060"/>
      <c r="FO16" s="2060"/>
      <c r="FP16" s="2060"/>
      <c r="FQ16" s="2060"/>
      <c r="FR16" s="2060"/>
      <c r="FS16" s="2060"/>
      <c r="FT16" s="2060"/>
      <c r="FU16" s="2060"/>
      <c r="FV16" s="2060"/>
      <c r="FW16" s="2060"/>
      <c r="FX16" s="2060"/>
      <c r="FY16" s="2060"/>
      <c r="FZ16" s="2060"/>
      <c r="GA16" s="2060"/>
      <c r="GB16" s="2060"/>
      <c r="GC16" s="2060"/>
    </row>
    <row r="17" spans="1:185" s="1023" customFormat="1">
      <c r="A17" s="1004"/>
      <c r="B17" s="1004"/>
      <c r="C17" s="1502"/>
      <c r="D17" s="2060"/>
      <c r="E17" s="295"/>
      <c r="F17" s="295"/>
      <c r="G17" s="295"/>
      <c r="H17" s="1506"/>
      <c r="I17" s="645"/>
      <c r="J17" s="1029"/>
      <c r="K17" s="645"/>
      <c r="L17" s="2060"/>
      <c r="M17" s="218"/>
      <c r="N17" s="2060"/>
      <c r="O17" s="1506"/>
      <c r="P17" s="295"/>
      <c r="Q17" s="2060"/>
      <c r="R17" s="2060"/>
      <c r="S17" s="2060"/>
      <c r="T17" s="2060"/>
      <c r="U17" s="2060"/>
      <c r="V17" s="2060"/>
      <c r="W17" s="2060"/>
      <c r="X17" s="2060"/>
      <c r="Y17" s="2060"/>
      <c r="Z17" s="2060"/>
      <c r="AA17" s="2060"/>
      <c r="AB17" s="2060"/>
      <c r="AC17" s="2060"/>
      <c r="AD17" s="1004"/>
      <c r="AE17" s="2060"/>
      <c r="AF17" s="2060"/>
      <c r="AG17" s="2060"/>
      <c r="AH17" s="2060"/>
      <c r="AI17" s="2060"/>
      <c r="AJ17" s="2060"/>
      <c r="AK17" s="2060"/>
      <c r="AL17" s="2060"/>
      <c r="AM17" s="2060"/>
      <c r="AN17" s="2060"/>
      <c r="AO17" s="2060"/>
      <c r="AP17" s="2060"/>
      <c r="AQ17" s="2060"/>
      <c r="AR17" s="2060"/>
      <c r="AS17" s="2060"/>
      <c r="AT17" s="2060"/>
      <c r="AU17" s="2060"/>
      <c r="AV17" s="2060"/>
      <c r="AW17" s="2060"/>
      <c r="AX17" s="2060"/>
      <c r="AY17" s="2060"/>
      <c r="AZ17" s="2060"/>
      <c r="BA17" s="2060"/>
      <c r="BB17" s="2060"/>
      <c r="BC17" s="2060"/>
      <c r="BD17" s="2060"/>
      <c r="BE17" s="2060"/>
      <c r="BF17" s="2060"/>
      <c r="BG17" s="2060"/>
      <c r="BH17" s="2060"/>
      <c r="BI17" s="2060"/>
      <c r="BJ17" s="2060"/>
      <c r="BK17" s="2060"/>
      <c r="BL17" s="2060"/>
      <c r="BM17" s="2060"/>
      <c r="BN17" s="2060"/>
      <c r="BO17" s="2060"/>
      <c r="BP17" s="2060"/>
      <c r="BQ17" s="2060"/>
      <c r="BR17" s="2060"/>
      <c r="BS17" s="2060"/>
      <c r="BT17" s="2060"/>
      <c r="BU17" s="2060"/>
      <c r="BV17" s="2060"/>
      <c r="BW17" s="2060"/>
      <c r="BX17" s="2060"/>
      <c r="BY17" s="2060"/>
      <c r="BZ17" s="2060"/>
      <c r="CA17" s="2060"/>
      <c r="CB17" s="2060"/>
      <c r="CC17" s="2060"/>
      <c r="CD17" s="2060"/>
      <c r="CE17" s="2060"/>
      <c r="CF17" s="2060"/>
      <c r="CG17" s="2060"/>
      <c r="CH17" s="2060"/>
      <c r="CI17" s="2060"/>
      <c r="CJ17" s="2060"/>
      <c r="CK17" s="2060"/>
      <c r="CL17" s="2060"/>
      <c r="CM17" s="2060"/>
      <c r="CN17" s="2060"/>
      <c r="CO17" s="2060"/>
      <c r="CP17" s="2060"/>
      <c r="CQ17" s="2060"/>
      <c r="CR17" s="2060"/>
      <c r="CS17" s="2060"/>
      <c r="CT17" s="2060"/>
      <c r="CU17" s="2060"/>
      <c r="CV17" s="2060"/>
      <c r="CW17" s="2060"/>
      <c r="CX17" s="2060"/>
      <c r="CY17" s="2060"/>
      <c r="CZ17" s="2060"/>
      <c r="DA17" s="2060"/>
      <c r="DB17" s="2060"/>
      <c r="DC17" s="2060"/>
      <c r="DD17" s="2060"/>
      <c r="DE17" s="2060"/>
      <c r="DF17" s="2060"/>
      <c r="DG17" s="2060"/>
      <c r="DH17" s="2060"/>
      <c r="DI17" s="2060"/>
      <c r="DJ17" s="2060"/>
      <c r="DK17" s="2060"/>
      <c r="DL17" s="2060"/>
      <c r="DM17" s="2060"/>
      <c r="DN17" s="2060"/>
      <c r="DO17" s="2060"/>
      <c r="DP17" s="2060"/>
      <c r="DQ17" s="2060"/>
      <c r="DR17" s="2060"/>
      <c r="DS17" s="2060"/>
      <c r="DT17" s="2060"/>
      <c r="DU17" s="2060"/>
      <c r="DV17" s="2060"/>
      <c r="DW17" s="2060"/>
      <c r="DX17" s="2060"/>
      <c r="DY17" s="2060"/>
      <c r="DZ17" s="2060"/>
      <c r="EA17" s="2060"/>
      <c r="EB17" s="2060"/>
      <c r="EC17" s="2060"/>
      <c r="ED17" s="2060"/>
      <c r="EE17" s="2060"/>
      <c r="EF17" s="2060"/>
      <c r="EG17" s="2060"/>
      <c r="EH17" s="2060"/>
      <c r="EI17" s="2060"/>
      <c r="EJ17" s="2060"/>
      <c r="EK17" s="2060"/>
      <c r="EL17" s="2060"/>
      <c r="EM17" s="2060"/>
      <c r="EN17" s="2060"/>
      <c r="EO17" s="2060"/>
      <c r="EP17" s="2060"/>
      <c r="EQ17" s="2060"/>
      <c r="ER17" s="2060"/>
      <c r="ES17" s="2060"/>
      <c r="ET17" s="2060"/>
      <c r="EU17" s="2060"/>
      <c r="EV17" s="2060"/>
      <c r="EW17" s="2060"/>
      <c r="EX17" s="2060"/>
      <c r="EY17" s="2060"/>
      <c r="EZ17" s="2060"/>
      <c r="FA17" s="2060"/>
      <c r="FB17" s="2060"/>
      <c r="FC17" s="2060"/>
      <c r="FD17" s="2060"/>
      <c r="FE17" s="2060"/>
      <c r="FF17" s="2060"/>
      <c r="FG17" s="2060"/>
      <c r="FH17" s="2060"/>
      <c r="FI17" s="2060"/>
      <c r="FJ17" s="2060"/>
      <c r="FK17" s="2060"/>
      <c r="FL17" s="2060"/>
      <c r="FM17" s="2060"/>
      <c r="FN17" s="2060"/>
      <c r="FO17" s="2060"/>
      <c r="FP17" s="2060"/>
      <c r="FQ17" s="2060"/>
      <c r="FR17" s="2060"/>
      <c r="FS17" s="2060"/>
      <c r="FT17" s="2060"/>
      <c r="FU17" s="2060"/>
      <c r="FV17" s="2060"/>
      <c r="FW17" s="2060"/>
      <c r="FX17" s="2060"/>
      <c r="FY17" s="2060"/>
      <c r="FZ17" s="2060"/>
      <c r="GA17" s="2060"/>
      <c r="GB17" s="2060"/>
      <c r="GC17" s="2060"/>
    </row>
    <row r="18" spans="1:185" s="1023" customFormat="1">
      <c r="A18" s="1004"/>
      <c r="B18" s="1004"/>
      <c r="C18" s="1502"/>
      <c r="D18" s="2060"/>
      <c r="E18" s="2060" t="s">
        <v>1126</v>
      </c>
      <c r="F18" s="295"/>
      <c r="G18" s="295"/>
      <c r="H18" s="645">
        <f>Valuation_date</f>
        <v>42794</v>
      </c>
      <c r="I18" s="645"/>
      <c r="J18" s="2060"/>
      <c r="K18" s="2060"/>
      <c r="L18" s="218"/>
      <c r="M18" s="295"/>
      <c r="N18" s="1506"/>
      <c r="O18" s="295"/>
      <c r="P18" s="1506"/>
      <c r="Q18" s="2060"/>
      <c r="R18" s="2060"/>
      <c r="S18" s="2060"/>
      <c r="T18" s="2060"/>
      <c r="U18" s="2060"/>
      <c r="V18" s="2060"/>
      <c r="W18" s="2060"/>
      <c r="X18" s="2060"/>
      <c r="Y18" s="2060"/>
      <c r="Z18" s="2060"/>
      <c r="AA18" s="2060"/>
      <c r="AB18" s="2060"/>
      <c r="AC18" s="2060"/>
      <c r="AD18" s="1004"/>
      <c r="AE18" s="2060"/>
      <c r="AF18" s="2060"/>
      <c r="AG18" s="2060"/>
      <c r="AH18" s="2060"/>
      <c r="AI18" s="2060"/>
      <c r="AJ18" s="2060"/>
      <c r="AK18" s="2060"/>
      <c r="AL18" s="2060"/>
      <c r="AM18" s="2060"/>
      <c r="AN18" s="2060"/>
      <c r="AO18" s="2060"/>
      <c r="AP18" s="2060"/>
      <c r="AQ18" s="2060"/>
      <c r="AR18" s="2060"/>
      <c r="AS18" s="2060"/>
      <c r="AT18" s="2060"/>
      <c r="AU18" s="2060"/>
      <c r="AV18" s="2060"/>
      <c r="AW18" s="2060"/>
      <c r="AX18" s="2060"/>
      <c r="AY18" s="2060"/>
      <c r="AZ18" s="2060"/>
      <c r="BA18" s="2060"/>
      <c r="BB18" s="2060"/>
      <c r="BC18" s="2060"/>
      <c r="BD18" s="2060"/>
      <c r="BE18" s="2060"/>
      <c r="BF18" s="2060"/>
      <c r="BG18" s="2060"/>
      <c r="BH18" s="2060"/>
      <c r="BI18" s="2060"/>
      <c r="BJ18" s="2060"/>
      <c r="BK18" s="2060"/>
      <c r="BL18" s="2060"/>
      <c r="BM18" s="2060"/>
      <c r="BN18" s="2060"/>
      <c r="BO18" s="2060"/>
      <c r="BP18" s="2060"/>
      <c r="BQ18" s="2060"/>
      <c r="BR18" s="2060"/>
      <c r="BS18" s="2060"/>
      <c r="BT18" s="2060"/>
      <c r="BU18" s="2060"/>
      <c r="BV18" s="2060"/>
      <c r="BW18" s="2060"/>
      <c r="BX18" s="2060"/>
      <c r="BY18" s="2060"/>
      <c r="BZ18" s="2060"/>
      <c r="CA18" s="2060"/>
      <c r="CB18" s="2060"/>
      <c r="CC18" s="2060"/>
      <c r="CD18" s="2060"/>
      <c r="CE18" s="2060"/>
      <c r="CF18" s="2060"/>
      <c r="CG18" s="2060"/>
      <c r="CH18" s="2060"/>
      <c r="CI18" s="2060"/>
      <c r="CJ18" s="2060"/>
      <c r="CK18" s="2060"/>
      <c r="CL18" s="2060"/>
      <c r="CM18" s="2060"/>
      <c r="CN18" s="2060"/>
      <c r="CO18" s="2060"/>
      <c r="CP18" s="2060"/>
      <c r="CQ18" s="2060"/>
      <c r="CR18" s="2060"/>
      <c r="CS18" s="2060"/>
      <c r="CT18" s="2060"/>
      <c r="CU18" s="2060"/>
      <c r="CV18" s="2060"/>
      <c r="CW18" s="2060"/>
      <c r="CX18" s="2060"/>
      <c r="CY18" s="2060"/>
      <c r="CZ18" s="2060"/>
      <c r="DA18" s="2060"/>
      <c r="DB18" s="2060"/>
      <c r="DC18" s="2060"/>
      <c r="DD18" s="2060"/>
      <c r="DE18" s="2060"/>
      <c r="DF18" s="2060"/>
      <c r="DG18" s="2060"/>
      <c r="DH18" s="2060"/>
      <c r="DI18" s="2060"/>
      <c r="DJ18" s="2060"/>
      <c r="DK18" s="2060"/>
      <c r="DL18" s="2060"/>
      <c r="DM18" s="2060"/>
      <c r="DN18" s="2060"/>
      <c r="DO18" s="2060"/>
      <c r="DP18" s="2060"/>
      <c r="DQ18" s="2060"/>
      <c r="DR18" s="2060"/>
      <c r="DS18" s="2060"/>
      <c r="DT18" s="2060"/>
      <c r="DU18" s="2060"/>
      <c r="DV18" s="2060"/>
      <c r="DW18" s="2060"/>
      <c r="DX18" s="2060"/>
      <c r="DY18" s="2060"/>
      <c r="DZ18" s="2060"/>
      <c r="EA18" s="2060"/>
      <c r="EB18" s="2060"/>
      <c r="EC18" s="2060"/>
      <c r="ED18" s="2060"/>
      <c r="EE18" s="2060"/>
      <c r="EF18" s="2060"/>
      <c r="EG18" s="2060"/>
      <c r="EH18" s="2060"/>
      <c r="EI18" s="2060"/>
      <c r="EJ18" s="2060"/>
      <c r="EK18" s="2060"/>
      <c r="EL18" s="2060"/>
      <c r="EM18" s="2060"/>
      <c r="EN18" s="2060"/>
      <c r="EO18" s="2060"/>
      <c r="EP18" s="2060"/>
      <c r="EQ18" s="2060"/>
      <c r="ER18" s="2060"/>
      <c r="ES18" s="2060"/>
      <c r="ET18" s="2060"/>
      <c r="EU18" s="2060"/>
      <c r="EV18" s="2060"/>
      <c r="EW18" s="2060"/>
      <c r="EX18" s="2060"/>
      <c r="EY18" s="2060"/>
      <c r="EZ18" s="2060"/>
      <c r="FA18" s="2060"/>
      <c r="FB18" s="2060"/>
      <c r="FC18" s="2060"/>
      <c r="FD18" s="2060"/>
      <c r="FE18" s="2060"/>
      <c r="FF18" s="2060"/>
      <c r="FG18" s="2060"/>
      <c r="FH18" s="2060"/>
      <c r="FI18" s="2060"/>
      <c r="FJ18" s="2060"/>
      <c r="FK18" s="2060"/>
      <c r="FL18" s="2060"/>
      <c r="FM18" s="2060"/>
      <c r="FN18" s="2060"/>
      <c r="FO18" s="2060"/>
      <c r="FP18" s="2060"/>
      <c r="FQ18" s="2060"/>
      <c r="FR18" s="2060"/>
      <c r="FS18" s="2060"/>
      <c r="FT18" s="2060"/>
      <c r="FU18" s="2060"/>
      <c r="FV18" s="2060"/>
      <c r="FW18" s="2060"/>
      <c r="FX18" s="2060"/>
      <c r="FY18" s="2060"/>
      <c r="FZ18" s="2060"/>
      <c r="GA18" s="2060"/>
      <c r="GB18" s="2060"/>
      <c r="GC18" s="2060"/>
    </row>
    <row r="19" spans="1:185" customFormat="1">
      <c r="A19" s="1004"/>
      <c r="B19" s="1004"/>
      <c r="C19" s="1502"/>
      <c r="D19" s="2060"/>
      <c r="E19" s="1051" t="s">
        <v>1127</v>
      </c>
      <c r="F19" s="1051"/>
      <c r="G19" s="1051"/>
      <c r="H19" s="1391" t="s">
        <v>1128</v>
      </c>
      <c r="I19" s="1391"/>
      <c r="J19" s="1390" t="s">
        <v>1129</v>
      </c>
      <c r="K19" s="1392" t="s">
        <v>1129</v>
      </c>
      <c r="L19" s="1393" t="s">
        <v>107</v>
      </c>
      <c r="M19" s="1393"/>
      <c r="N19" s="1393" t="s">
        <v>105</v>
      </c>
      <c r="O19" s="1393"/>
      <c r="P19" s="2060"/>
      <c r="Q19" s="2060"/>
      <c r="R19" s="2060"/>
      <c r="S19" s="2060"/>
      <c r="T19" s="2060"/>
      <c r="U19" s="2060"/>
      <c r="V19" s="2060"/>
      <c r="W19" s="2060"/>
      <c r="X19" s="2060"/>
      <c r="Y19" s="2060"/>
      <c r="Z19" s="2060"/>
      <c r="AA19" s="2060"/>
      <c r="AB19" s="2060"/>
      <c r="AC19" s="2060"/>
      <c r="AD19" s="1004"/>
      <c r="AE19" s="2060"/>
      <c r="AF19" s="2060"/>
      <c r="AG19" s="2060"/>
      <c r="AH19" s="2060"/>
      <c r="AI19" s="2060"/>
      <c r="AJ19" s="2060"/>
      <c r="AK19" s="2060"/>
      <c r="AL19" s="2060"/>
      <c r="AM19" s="2060"/>
      <c r="AN19" s="2060"/>
      <c r="AO19" s="2060"/>
      <c r="AP19" s="2060"/>
      <c r="AQ19" s="2060"/>
      <c r="AR19" s="2060"/>
      <c r="AS19" s="2060"/>
      <c r="AT19" s="2060"/>
      <c r="AU19" s="2060"/>
      <c r="AV19" s="2060"/>
      <c r="AW19" s="2060"/>
      <c r="AX19" s="2060"/>
      <c r="AY19" s="2060"/>
      <c r="AZ19" s="2060"/>
      <c r="BA19" s="2060"/>
      <c r="BB19" s="2060"/>
      <c r="BC19" s="2060"/>
      <c r="BD19" s="2060"/>
      <c r="BE19" s="2060"/>
      <c r="BF19" s="2060"/>
      <c r="BG19" s="2060"/>
      <c r="BH19" s="2060"/>
      <c r="BI19" s="2060"/>
      <c r="BJ19" s="2060"/>
      <c r="BK19" s="2060"/>
      <c r="BL19" s="2060"/>
      <c r="BM19" s="2060"/>
      <c r="BN19" s="2060"/>
      <c r="BO19" s="2060"/>
      <c r="BP19" s="2060"/>
      <c r="BQ19" s="2060"/>
      <c r="BR19" s="2060"/>
      <c r="BS19" s="2060"/>
      <c r="BT19" s="2060"/>
      <c r="BU19" s="2060"/>
      <c r="BV19" s="2060"/>
      <c r="BW19" s="2060"/>
      <c r="BX19" s="2060"/>
      <c r="BY19" s="2060"/>
      <c r="BZ19" s="2060"/>
      <c r="CA19" s="2060"/>
      <c r="CB19" s="2060"/>
      <c r="CC19" s="2060"/>
      <c r="CD19" s="2060"/>
      <c r="CE19" s="2060"/>
      <c r="CF19" s="2060"/>
      <c r="CG19" s="2060"/>
      <c r="CH19" s="2060"/>
      <c r="CI19" s="2060"/>
      <c r="CJ19" s="2060"/>
      <c r="CK19" s="2060"/>
      <c r="CL19" s="2060"/>
      <c r="CM19" s="2060"/>
      <c r="CN19" s="2060"/>
      <c r="CO19" s="2060"/>
      <c r="CP19" s="2060"/>
      <c r="CQ19" s="2060"/>
      <c r="CR19" s="2060"/>
      <c r="CS19" s="2060"/>
      <c r="CT19" s="2060"/>
      <c r="CU19" s="2060"/>
      <c r="CV19" s="2060"/>
      <c r="CW19" s="2060"/>
      <c r="CX19" s="2060"/>
      <c r="CY19" s="2060"/>
      <c r="CZ19" s="2060"/>
      <c r="DA19" s="2060"/>
      <c r="DB19" s="2060"/>
      <c r="DC19" s="2060"/>
      <c r="DD19" s="2060"/>
      <c r="DE19" s="2060"/>
      <c r="DF19" s="2060"/>
      <c r="DG19" s="2060"/>
      <c r="DH19" s="2060"/>
      <c r="DI19" s="2060"/>
      <c r="DJ19" s="2060"/>
      <c r="DK19" s="2060"/>
      <c r="DL19" s="2060"/>
      <c r="DM19" s="2060"/>
      <c r="DN19" s="2060"/>
      <c r="DO19" s="2060"/>
      <c r="DP19" s="2060"/>
      <c r="DQ19" s="2060"/>
      <c r="DR19" s="2060"/>
      <c r="DS19" s="2060"/>
      <c r="DT19" s="2060"/>
      <c r="DU19" s="2060"/>
      <c r="DV19" s="2060"/>
      <c r="DW19" s="2060"/>
      <c r="DX19" s="2060"/>
      <c r="DY19" s="2060"/>
      <c r="DZ19" s="2060"/>
      <c r="EA19" s="2060"/>
      <c r="EB19" s="2060"/>
      <c r="EC19" s="2060"/>
      <c r="ED19" s="2060"/>
      <c r="EE19" s="2060"/>
      <c r="EF19" s="2060"/>
      <c r="EG19" s="2060"/>
      <c r="EH19" s="2060"/>
      <c r="EI19" s="2060"/>
      <c r="EJ19" s="2060"/>
      <c r="EK19" s="2060"/>
      <c r="EL19" s="2060"/>
      <c r="EM19" s="2060"/>
      <c r="EN19" s="2060"/>
      <c r="EO19" s="2060"/>
      <c r="EP19" s="2060"/>
      <c r="EQ19" s="2060"/>
      <c r="ER19" s="2060"/>
      <c r="ES19" s="2060"/>
      <c r="ET19" s="2060"/>
      <c r="EU19" s="2060"/>
      <c r="EV19" s="2060"/>
      <c r="EW19" s="2060"/>
      <c r="EX19" s="2060"/>
      <c r="EY19" s="2060"/>
      <c r="EZ19" s="2060"/>
      <c r="FA19" s="2060"/>
      <c r="FB19" s="2060"/>
      <c r="FC19" s="2060"/>
      <c r="FD19" s="2060"/>
      <c r="FE19" s="2060"/>
      <c r="FF19" s="2060"/>
      <c r="FG19" s="2060"/>
      <c r="FH19" s="2060"/>
      <c r="FI19" s="2060"/>
      <c r="FJ19" s="2060"/>
      <c r="FK19" s="2060"/>
      <c r="FL19" s="2060"/>
      <c r="FM19" s="2060"/>
      <c r="FN19" s="2060"/>
      <c r="FO19" s="2060"/>
      <c r="FP19" s="2060"/>
      <c r="FQ19" s="2060"/>
      <c r="FR19" s="2060"/>
      <c r="FS19" s="2060"/>
      <c r="FT19" s="2060"/>
      <c r="FU19" s="2060"/>
      <c r="FV19" s="2060"/>
      <c r="FW19" s="2060"/>
      <c r="FX19" s="2060"/>
      <c r="FY19" s="2060"/>
      <c r="FZ19" s="2060"/>
      <c r="GA19" s="2060"/>
      <c r="GB19" s="2060"/>
      <c r="GC19" s="2060"/>
    </row>
    <row r="20" spans="1:185" customFormat="1">
      <c r="A20" s="1004"/>
      <c r="B20" s="1004"/>
      <c r="C20" s="1502"/>
      <c r="D20" s="2060"/>
      <c r="E20" s="548" t="str">
        <f>IF($I20="","",_xll.ciqfunctions.udf.CIQ($I20,"IQ_COMPANY_NAME"))</f>
        <v>United States Treasury Constant Maturity - 20 Year</v>
      </c>
      <c r="F20" s="548"/>
      <c r="G20" s="548"/>
      <c r="H20" s="1401">
        <f>IFERROR(IF(OR(_xll.ciqfunctions.udf.CIQ($I20,"IQ_LASTSALEPRICE",Valuation_date)=0,$I20=""),"",_xll.ciqfunctions.udf.CIQ($I20,"IQ_LASTSALEPRICE",Valuation_date)/100),"n/a")</f>
        <v>2.7000000000000003E-2</v>
      </c>
      <c r="I20" s="1394" t="str">
        <f>INDEX(YSelectcolumn,MATCH(J20,$L$24:$L$38,0))</f>
        <v>IQT36183842</v>
      </c>
      <c r="J20" s="1767" t="s">
        <v>1130</v>
      </c>
      <c r="K20" s="1395" t="str">
        <f>IF($I20="","",_xll.ciqfunctions.udf.CIQ($I20,"IQ_RATE_TERM"))</f>
        <v>20 Year</v>
      </c>
      <c r="L20" s="1396" t="str">
        <f>IF($I20="","",_xll.ciqfunctions.udf.CIQ($I20,"IQ_RATE_TYPE"))</f>
        <v>Government Debt</v>
      </c>
      <c r="M20" s="1396"/>
      <c r="N20" s="1396" t="str">
        <f>IF($I20="","",IF(_xll.ciqfunctions.udf.CIQ($I20,"IQ_RATE_COUNTRY")=0,"NA",_xll.ciqfunctions.udf.CIQ($I20,"IQ_RATE_COUNTRY")))</f>
        <v>United States of America</v>
      </c>
      <c r="O20" s="1396"/>
      <c r="P20" s="2060"/>
      <c r="Q20" s="2060"/>
      <c r="R20" s="2060"/>
      <c r="S20" s="2060"/>
      <c r="T20" s="2060"/>
      <c r="U20" s="2060"/>
      <c r="V20" s="2060"/>
      <c r="W20" s="2060"/>
      <c r="X20" s="2060"/>
      <c r="Y20" s="2060"/>
      <c r="Z20" s="2060"/>
      <c r="AA20" s="2060"/>
      <c r="AB20" s="2060"/>
      <c r="AC20" s="2060"/>
      <c r="AD20" s="1004"/>
      <c r="AE20" s="2060"/>
      <c r="AF20" s="2060"/>
      <c r="AG20" s="2060"/>
      <c r="AH20" s="2060"/>
      <c r="AI20" s="2060"/>
      <c r="AJ20" s="2060"/>
      <c r="AK20" s="2060"/>
      <c r="AL20" s="2060"/>
      <c r="AM20" s="2060"/>
      <c r="AN20" s="2060"/>
      <c r="AO20" s="2060"/>
      <c r="AP20" s="2060"/>
      <c r="AQ20" s="2060"/>
      <c r="AR20" s="2060"/>
      <c r="AS20" s="2060"/>
      <c r="AT20" s="2060"/>
      <c r="AU20" s="2060"/>
      <c r="AV20" s="2060"/>
      <c r="AW20" s="2060"/>
      <c r="AX20" s="2060"/>
      <c r="AY20" s="2060"/>
      <c r="AZ20" s="2060"/>
      <c r="BA20" s="2060"/>
      <c r="BB20" s="2060"/>
      <c r="BC20" s="2060"/>
      <c r="BD20" s="2060"/>
      <c r="BE20" s="2060"/>
      <c r="BF20" s="2060"/>
      <c r="BG20" s="2060"/>
      <c r="BH20" s="2060"/>
      <c r="BI20" s="2060"/>
      <c r="BJ20" s="2060"/>
      <c r="BK20" s="2060"/>
      <c r="BL20" s="2060"/>
      <c r="BM20" s="2060"/>
      <c r="BN20" s="2060"/>
      <c r="BO20" s="2060"/>
      <c r="BP20" s="2060"/>
      <c r="BQ20" s="2060"/>
      <c r="BR20" s="2060"/>
      <c r="BS20" s="2060"/>
      <c r="BT20" s="2060"/>
      <c r="BU20" s="2060"/>
      <c r="BV20" s="2060"/>
      <c r="BW20" s="2060"/>
      <c r="BX20" s="2060"/>
      <c r="BY20" s="2060"/>
      <c r="BZ20" s="2060"/>
      <c r="CA20" s="2060"/>
      <c r="CB20" s="2060"/>
      <c r="CC20" s="2060"/>
      <c r="CD20" s="2060"/>
      <c r="CE20" s="2060"/>
      <c r="CF20" s="2060"/>
      <c r="CG20" s="2060"/>
      <c r="CH20" s="2060"/>
      <c r="CI20" s="2060"/>
      <c r="CJ20" s="2060"/>
      <c r="CK20" s="2060"/>
      <c r="CL20" s="2060"/>
      <c r="CM20" s="2060"/>
      <c r="CN20" s="2060"/>
      <c r="CO20" s="2060"/>
      <c r="CP20" s="2060"/>
      <c r="CQ20" s="2060"/>
      <c r="CR20" s="2060"/>
      <c r="CS20" s="2060"/>
      <c r="CT20" s="2060"/>
      <c r="CU20" s="2060"/>
      <c r="CV20" s="2060"/>
      <c r="CW20" s="2060"/>
      <c r="CX20" s="2060"/>
      <c r="CY20" s="2060"/>
      <c r="CZ20" s="2060"/>
      <c r="DA20" s="2060"/>
      <c r="DB20" s="2060"/>
      <c r="DC20" s="2060"/>
      <c r="DD20" s="2060"/>
      <c r="DE20" s="2060"/>
      <c r="DF20" s="2060"/>
      <c r="DG20" s="2060"/>
      <c r="DH20" s="2060"/>
      <c r="DI20" s="2060"/>
      <c r="DJ20" s="2060"/>
      <c r="DK20" s="2060"/>
      <c r="DL20" s="2060"/>
      <c r="DM20" s="2060"/>
      <c r="DN20" s="2060"/>
      <c r="DO20" s="2060"/>
      <c r="DP20" s="2060"/>
      <c r="DQ20" s="2060"/>
      <c r="DR20" s="2060"/>
      <c r="DS20" s="2060"/>
      <c r="DT20" s="2060"/>
      <c r="DU20" s="2060"/>
      <c r="DV20" s="2060"/>
      <c r="DW20" s="2060"/>
      <c r="DX20" s="2060"/>
      <c r="DY20" s="2060"/>
      <c r="DZ20" s="2060"/>
      <c r="EA20" s="2060"/>
      <c r="EB20" s="2060"/>
      <c r="EC20" s="2060"/>
      <c r="ED20" s="2060"/>
      <c r="EE20" s="2060"/>
      <c r="EF20" s="2060"/>
      <c r="EG20" s="2060"/>
      <c r="EH20" s="2060"/>
      <c r="EI20" s="2060"/>
      <c r="EJ20" s="2060"/>
      <c r="EK20" s="2060"/>
      <c r="EL20" s="2060"/>
      <c r="EM20" s="2060"/>
      <c r="EN20" s="2060"/>
      <c r="EO20" s="2060"/>
      <c r="EP20" s="2060"/>
      <c r="EQ20" s="2060"/>
      <c r="ER20" s="2060"/>
      <c r="ES20" s="2060"/>
      <c r="ET20" s="2060"/>
      <c r="EU20" s="2060"/>
      <c r="EV20" s="2060"/>
      <c r="EW20" s="2060"/>
      <c r="EX20" s="2060"/>
      <c r="EY20" s="2060"/>
      <c r="EZ20" s="2060"/>
      <c r="FA20" s="2060"/>
      <c r="FB20" s="2060"/>
      <c r="FC20" s="2060"/>
      <c r="FD20" s="2060"/>
      <c r="FE20" s="2060"/>
      <c r="FF20" s="2060"/>
      <c r="FG20" s="2060"/>
      <c r="FH20" s="2060"/>
      <c r="FI20" s="2060"/>
      <c r="FJ20" s="2060"/>
      <c r="FK20" s="2060"/>
      <c r="FL20" s="2060"/>
      <c r="FM20" s="2060"/>
      <c r="FN20" s="2060"/>
      <c r="FO20" s="2060"/>
      <c r="FP20" s="2060"/>
      <c r="FQ20" s="2060"/>
      <c r="FR20" s="2060"/>
      <c r="FS20" s="2060"/>
      <c r="FT20" s="2060"/>
      <c r="FU20" s="2060"/>
      <c r="FV20" s="2060"/>
      <c r="FW20" s="2060"/>
      <c r="FX20" s="2060"/>
      <c r="FY20" s="2060"/>
      <c r="FZ20" s="2060"/>
      <c r="GA20" s="2060"/>
      <c r="GB20" s="2060"/>
      <c r="GC20" s="2060"/>
    </row>
    <row r="21" spans="1:185" customFormat="1">
      <c r="A21" s="1004"/>
      <c r="B21" s="1004"/>
      <c r="C21" s="1502"/>
      <c r="D21" s="2060"/>
      <c r="E21" s="2060"/>
      <c r="F21" s="2060"/>
      <c r="G21" s="2060"/>
      <c r="H21" s="2060"/>
      <c r="I21" s="2060"/>
      <c r="J21" s="2060"/>
      <c r="K21" s="2060"/>
      <c r="L21" s="2060"/>
      <c r="M21" s="2060"/>
      <c r="N21" s="2060"/>
      <c r="O21" s="2060"/>
      <c r="P21" s="2060"/>
      <c r="Q21" s="2060"/>
      <c r="R21" s="2060"/>
      <c r="S21" s="2060"/>
      <c r="T21" s="2060"/>
      <c r="U21" s="2060"/>
      <c r="V21" s="2060"/>
      <c r="W21" s="2060"/>
      <c r="X21" s="2060"/>
      <c r="Y21" s="2060"/>
      <c r="Z21" s="2060"/>
      <c r="AA21" s="2060"/>
      <c r="AB21" s="2060"/>
      <c r="AC21" s="2060"/>
      <c r="AD21" s="1004"/>
      <c r="AE21" s="2060"/>
      <c r="AF21" s="2060"/>
      <c r="AG21" s="2060"/>
      <c r="AH21" s="2060"/>
      <c r="AI21" s="2060"/>
      <c r="AJ21" s="2060"/>
      <c r="AK21" s="2060"/>
      <c r="AL21" s="2060"/>
      <c r="AM21" s="2060"/>
      <c r="AN21" s="2060"/>
      <c r="AO21" s="2060"/>
      <c r="AP21" s="2060"/>
      <c r="AQ21" s="2060"/>
      <c r="AR21" s="2060"/>
      <c r="AS21" s="2060"/>
      <c r="AT21" s="2060"/>
      <c r="AU21" s="2060"/>
      <c r="AV21" s="2060"/>
      <c r="AW21" s="2060"/>
      <c r="AX21" s="2060"/>
      <c r="AY21" s="2060"/>
      <c r="AZ21" s="2060"/>
      <c r="BA21" s="2060"/>
      <c r="BB21" s="2060"/>
      <c r="BC21" s="2060"/>
      <c r="BD21" s="2060"/>
      <c r="BE21" s="2060"/>
      <c r="BF21" s="2060"/>
      <c r="BG21" s="2060"/>
      <c r="BH21" s="2060"/>
      <c r="BI21" s="2060"/>
      <c r="BJ21" s="2060"/>
      <c r="BK21" s="2060"/>
      <c r="BL21" s="2060"/>
      <c r="BM21" s="2060"/>
      <c r="BN21" s="2060"/>
      <c r="BO21" s="2060"/>
      <c r="BP21" s="2060"/>
      <c r="BQ21" s="2060"/>
      <c r="BR21" s="2060"/>
      <c r="BS21" s="2060"/>
      <c r="BT21" s="2060"/>
      <c r="BU21" s="2060"/>
      <c r="BV21" s="2060"/>
      <c r="BW21" s="2060"/>
      <c r="BX21" s="2060"/>
      <c r="BY21" s="2060"/>
      <c r="BZ21" s="2060"/>
      <c r="CA21" s="2060"/>
      <c r="CB21" s="2060"/>
      <c r="CC21" s="2060"/>
      <c r="CD21" s="2060"/>
      <c r="CE21" s="2060"/>
      <c r="CF21" s="2060"/>
      <c r="CG21" s="2060"/>
      <c r="CH21" s="2060"/>
      <c r="CI21" s="2060"/>
      <c r="CJ21" s="2060"/>
      <c r="CK21" s="2060"/>
      <c r="CL21" s="2060"/>
      <c r="CM21" s="2060"/>
      <c r="CN21" s="2060"/>
      <c r="CO21" s="2060"/>
      <c r="CP21" s="2060"/>
      <c r="CQ21" s="2060"/>
      <c r="CR21" s="2060"/>
      <c r="CS21" s="2060"/>
      <c r="CT21" s="2060"/>
      <c r="CU21" s="2060"/>
      <c r="CV21" s="2060"/>
      <c r="CW21" s="2060"/>
      <c r="CX21" s="2060"/>
      <c r="CY21" s="2060"/>
      <c r="CZ21" s="2060"/>
      <c r="DA21" s="2060"/>
      <c r="DB21" s="2060"/>
      <c r="DC21" s="2060"/>
      <c r="DD21" s="2060"/>
      <c r="DE21" s="2060"/>
      <c r="DF21" s="2060"/>
      <c r="DG21" s="2060"/>
      <c r="DH21" s="2060"/>
      <c r="DI21" s="2060"/>
      <c r="DJ21" s="2060"/>
      <c r="DK21" s="2060"/>
      <c r="DL21" s="2060"/>
      <c r="DM21" s="2060"/>
      <c r="DN21" s="2060"/>
      <c r="DO21" s="2060"/>
      <c r="DP21" s="2060"/>
      <c r="DQ21" s="2060"/>
      <c r="DR21" s="2060"/>
      <c r="DS21" s="2060"/>
      <c r="DT21" s="2060"/>
      <c r="DU21" s="2060"/>
      <c r="DV21" s="2060"/>
      <c r="DW21" s="2060"/>
      <c r="DX21" s="2060"/>
      <c r="DY21" s="2060"/>
      <c r="DZ21" s="2060"/>
      <c r="EA21" s="2060"/>
      <c r="EB21" s="2060"/>
      <c r="EC21" s="2060"/>
      <c r="ED21" s="2060"/>
      <c r="EE21" s="2060"/>
      <c r="EF21" s="2060"/>
      <c r="EG21" s="2060"/>
      <c r="EH21" s="2060"/>
      <c r="EI21" s="2060"/>
      <c r="EJ21" s="2060"/>
      <c r="EK21" s="2060"/>
      <c r="EL21" s="2060"/>
      <c r="EM21" s="2060"/>
      <c r="EN21" s="2060"/>
      <c r="EO21" s="2060"/>
      <c r="EP21" s="2060"/>
      <c r="EQ21" s="2060"/>
      <c r="ER21" s="2060"/>
      <c r="ES21" s="2060"/>
      <c r="ET21" s="2060"/>
      <c r="EU21" s="2060"/>
      <c r="EV21" s="2060"/>
      <c r="EW21" s="2060"/>
      <c r="EX21" s="2060"/>
      <c r="EY21" s="2060"/>
      <c r="EZ21" s="2060"/>
      <c r="FA21" s="2060"/>
      <c r="FB21" s="2060"/>
      <c r="FC21" s="2060"/>
      <c r="FD21" s="2060"/>
      <c r="FE21" s="2060"/>
      <c r="FF21" s="2060"/>
      <c r="FG21" s="2060"/>
      <c r="FH21" s="2060"/>
      <c r="FI21" s="2060"/>
      <c r="FJ21" s="2060"/>
      <c r="FK21" s="2060"/>
      <c r="FL21" s="2060"/>
      <c r="FM21" s="2060"/>
      <c r="FN21" s="2060"/>
      <c r="FO21" s="2060"/>
      <c r="FP21" s="2060"/>
      <c r="FQ21" s="2060"/>
      <c r="FR21" s="2060"/>
      <c r="FS21" s="2060"/>
      <c r="FT21" s="2060"/>
      <c r="FU21" s="2060"/>
      <c r="FV21" s="2060"/>
      <c r="FW21" s="2060"/>
      <c r="FX21" s="2060"/>
      <c r="FY21" s="2060"/>
      <c r="FZ21" s="2060"/>
      <c r="GA21" s="2060"/>
      <c r="GB21" s="2060"/>
      <c r="GC21" s="2060"/>
    </row>
    <row r="22" spans="1:185" s="1023" customFormat="1">
      <c r="A22" s="1004"/>
      <c r="B22" s="1004"/>
      <c r="C22" s="1502"/>
      <c r="D22" s="2060"/>
      <c r="E22" s="1056"/>
      <c r="F22" s="1056"/>
      <c r="G22" s="1056"/>
      <c r="H22" s="1513"/>
      <c r="I22" s="1056"/>
      <c r="J22" s="1056"/>
      <c r="K22" s="1513"/>
      <c r="L22" s="1056"/>
      <c r="M22" s="1052">
        <f>Valuation_date</f>
        <v>42794</v>
      </c>
      <c r="N22" s="1052">
        <f>EDATE(M22,-1)</f>
        <v>42763</v>
      </c>
      <c r="O22" s="1052">
        <f>EDATE(M22,-12)</f>
        <v>42428</v>
      </c>
      <c r="P22" s="2060"/>
      <c r="Q22" s="2060"/>
      <c r="R22" s="2060"/>
      <c r="S22" s="2060"/>
      <c r="T22" s="2060"/>
      <c r="U22" s="2060"/>
      <c r="V22" s="2060"/>
      <c r="W22" s="2060"/>
      <c r="X22" s="2060"/>
      <c r="Y22" s="2060"/>
      <c r="Z22" s="2060"/>
      <c r="AA22" s="2060"/>
      <c r="AB22" s="2060"/>
      <c r="AC22" s="2060"/>
      <c r="AD22" s="1004"/>
      <c r="AE22" s="2060"/>
      <c r="AF22" s="2060"/>
      <c r="AG22" s="2060"/>
      <c r="AH22" s="2060"/>
      <c r="AI22" s="2060"/>
      <c r="AJ22" s="2060"/>
      <c r="AK22" s="2060"/>
      <c r="AL22" s="2060"/>
      <c r="AM22" s="2060"/>
      <c r="AN22" s="2060"/>
      <c r="AO22" s="2060"/>
      <c r="AP22" s="2060"/>
      <c r="AQ22" s="2060"/>
      <c r="AR22" s="2060"/>
      <c r="AS22" s="2060"/>
      <c r="AT22" s="2060"/>
      <c r="AU22" s="2060"/>
      <c r="AV22" s="2060"/>
      <c r="AW22" s="2060"/>
      <c r="AX22" s="2060"/>
      <c r="AY22" s="2060"/>
      <c r="AZ22" s="2060"/>
      <c r="BA22" s="2060"/>
      <c r="BB22" s="2060"/>
      <c r="BC22" s="2060"/>
      <c r="BD22" s="2060"/>
      <c r="BE22" s="2060"/>
      <c r="BF22" s="2060"/>
      <c r="BG22" s="2060"/>
      <c r="BH22" s="2060"/>
      <c r="BI22" s="2060"/>
      <c r="BJ22" s="2060"/>
      <c r="BK22" s="2060"/>
      <c r="BL22" s="2060"/>
      <c r="BM22" s="2060"/>
      <c r="BN22" s="2060"/>
      <c r="BO22" s="2060"/>
      <c r="BP22" s="2060"/>
      <c r="BQ22" s="2060"/>
      <c r="BR22" s="2060"/>
      <c r="BS22" s="2060"/>
      <c r="BT22" s="2060"/>
      <c r="BU22" s="2060"/>
      <c r="BV22" s="2060"/>
      <c r="BW22" s="2060"/>
      <c r="BX22" s="2060"/>
      <c r="BY22" s="2060"/>
      <c r="BZ22" s="2060"/>
      <c r="CA22" s="2060"/>
      <c r="CB22" s="2060"/>
      <c r="CC22" s="2060"/>
      <c r="CD22" s="2060"/>
      <c r="CE22" s="2060"/>
      <c r="CF22" s="2060"/>
      <c r="CG22" s="2060"/>
      <c r="CH22" s="2060"/>
      <c r="CI22" s="2060"/>
      <c r="CJ22" s="2060"/>
      <c r="CK22" s="2060"/>
      <c r="CL22" s="2060"/>
      <c r="CM22" s="2060"/>
      <c r="CN22" s="2060"/>
      <c r="CO22" s="2060"/>
      <c r="CP22" s="2060"/>
      <c r="CQ22" s="2060"/>
      <c r="CR22" s="2060"/>
      <c r="CS22" s="2060"/>
      <c r="CT22" s="2060"/>
      <c r="CU22" s="2060"/>
      <c r="CV22" s="2060"/>
      <c r="CW22" s="2060"/>
      <c r="CX22" s="2060"/>
      <c r="CY22" s="2060"/>
      <c r="CZ22" s="2060"/>
      <c r="DA22" s="2060"/>
      <c r="DB22" s="2060"/>
      <c r="DC22" s="2060"/>
      <c r="DD22" s="2060"/>
      <c r="DE22" s="2060"/>
      <c r="DF22" s="2060"/>
      <c r="DG22" s="2060"/>
      <c r="DH22" s="2060"/>
      <c r="DI22" s="2060"/>
      <c r="DJ22" s="2060"/>
      <c r="DK22" s="2060"/>
      <c r="DL22" s="2060"/>
      <c r="DM22" s="2060"/>
      <c r="DN22" s="2060"/>
      <c r="DO22" s="2060"/>
      <c r="DP22" s="2060"/>
      <c r="DQ22" s="2060"/>
      <c r="DR22" s="2060"/>
      <c r="DS22" s="2060"/>
      <c r="DT22" s="2060"/>
      <c r="DU22" s="2060"/>
      <c r="DV22" s="2060"/>
      <c r="DW22" s="2060"/>
      <c r="DX22" s="2060"/>
      <c r="DY22" s="2060"/>
      <c r="DZ22" s="2060"/>
      <c r="EA22" s="2060"/>
      <c r="EB22" s="2060"/>
      <c r="EC22" s="2060"/>
      <c r="ED22" s="2060"/>
      <c r="EE22" s="2060"/>
      <c r="EF22" s="2060"/>
      <c r="EG22" s="2060"/>
      <c r="EH22" s="2060"/>
      <c r="EI22" s="2060"/>
      <c r="EJ22" s="2060"/>
      <c r="EK22" s="2060"/>
      <c r="EL22" s="2060"/>
      <c r="EM22" s="2060"/>
      <c r="EN22" s="2060"/>
      <c r="EO22" s="2060"/>
      <c r="EP22" s="2060"/>
      <c r="EQ22" s="2060"/>
      <c r="ER22" s="2060"/>
      <c r="ES22" s="2060"/>
      <c r="ET22" s="2060"/>
      <c r="EU22" s="2060"/>
      <c r="EV22" s="2060"/>
      <c r="EW22" s="2060"/>
      <c r="EX22" s="2060"/>
      <c r="EY22" s="2060"/>
      <c r="EZ22" s="2060"/>
      <c r="FA22" s="2060"/>
      <c r="FB22" s="2060"/>
      <c r="FC22" s="2060"/>
      <c r="FD22" s="2060"/>
      <c r="FE22" s="2060"/>
      <c r="FF22" s="2060"/>
      <c r="FG22" s="2060"/>
      <c r="FH22" s="2060"/>
      <c r="FI22" s="2060"/>
      <c r="FJ22" s="2060"/>
      <c r="FK22" s="2060"/>
      <c r="FL22" s="2060"/>
      <c r="FM22" s="2060"/>
      <c r="FN22" s="2060"/>
      <c r="FO22" s="2060"/>
      <c r="FP22" s="2060"/>
      <c r="FQ22" s="2060"/>
      <c r="FR22" s="2060"/>
      <c r="FS22" s="2060"/>
      <c r="FT22" s="2060"/>
      <c r="FU22" s="2060"/>
      <c r="FV22" s="2060"/>
      <c r="FW22" s="2060"/>
      <c r="FX22" s="2060"/>
      <c r="FY22" s="2060"/>
      <c r="FZ22" s="2060"/>
      <c r="GA22" s="2060"/>
      <c r="GB22" s="2060"/>
      <c r="GC22" s="2060"/>
    </row>
    <row r="23" spans="1:185" s="1023" customFormat="1">
      <c r="A23" s="1004"/>
      <c r="B23" s="1004"/>
      <c r="C23" s="1502"/>
      <c r="D23" s="2060"/>
      <c r="E23" s="1051" t="str">
        <f>_xll.ciqfunctions.udf.CIQRANGE(INDEX(MyIndexIDs,MyIndexRow),"IQ_YIELD_CURVE_LIST",1,,,,,,"Capital IQ ID")</f>
        <v>Capital IQ ID</v>
      </c>
      <c r="F23" s="1051" t="s">
        <v>1127</v>
      </c>
      <c r="G23" s="1051"/>
      <c r="H23" s="1051"/>
      <c r="I23" s="1051" t="s">
        <v>107</v>
      </c>
      <c r="J23" s="1051" t="s">
        <v>105</v>
      </c>
      <c r="K23" s="1051"/>
      <c r="L23" s="1051" t="s">
        <v>1129</v>
      </c>
      <c r="M23" s="1053" t="s">
        <v>1131</v>
      </c>
      <c r="N23" s="1053" t="s">
        <v>1132</v>
      </c>
      <c r="O23" s="1053" t="s">
        <v>1133</v>
      </c>
      <c r="P23" s="2060"/>
      <c r="Q23" s="2060"/>
      <c r="R23" s="2060"/>
      <c r="S23" s="2060"/>
      <c r="T23" s="2060"/>
      <c r="U23" s="2060"/>
      <c r="V23" s="2060"/>
      <c r="W23" s="2060"/>
      <c r="X23" s="2060"/>
      <c r="Y23" s="2060"/>
      <c r="Z23" s="2060"/>
      <c r="AA23" s="2060"/>
      <c r="AB23" s="2060"/>
      <c r="AC23" s="2060"/>
      <c r="AD23" s="1004"/>
      <c r="AE23" s="2060"/>
      <c r="AF23" s="2060"/>
      <c r="AG23" s="2060"/>
      <c r="AH23" s="2060"/>
      <c r="AI23" s="2060"/>
      <c r="AJ23" s="2060"/>
      <c r="AK23" s="2060"/>
      <c r="AL23" s="2060"/>
      <c r="AM23" s="2060"/>
      <c r="AN23" s="2060"/>
      <c r="AO23" s="2060"/>
      <c r="AP23" s="2060"/>
      <c r="AQ23" s="2060"/>
      <c r="AR23" s="2060"/>
      <c r="AS23" s="2060"/>
      <c r="AT23" s="2060"/>
      <c r="AU23" s="2060"/>
      <c r="AV23" s="2060"/>
      <c r="AW23" s="2060"/>
      <c r="AX23" s="2060"/>
      <c r="AY23" s="2060"/>
      <c r="AZ23" s="2060"/>
      <c r="BA23" s="2060"/>
      <c r="BB23" s="2060"/>
      <c r="BC23" s="2060"/>
      <c r="BD23" s="2060"/>
      <c r="BE23" s="2060"/>
      <c r="BF23" s="2060"/>
      <c r="BG23" s="2060"/>
      <c r="BH23" s="2060"/>
      <c r="BI23" s="2060"/>
      <c r="BJ23" s="2060"/>
      <c r="BK23" s="2060"/>
      <c r="BL23" s="2060"/>
      <c r="BM23" s="2060"/>
      <c r="BN23" s="2060"/>
      <c r="BO23" s="2060"/>
      <c r="BP23" s="2060"/>
      <c r="BQ23" s="2060"/>
      <c r="BR23" s="2060"/>
      <c r="BS23" s="2060"/>
      <c r="BT23" s="2060"/>
      <c r="BU23" s="2060"/>
      <c r="BV23" s="2060"/>
      <c r="BW23" s="2060"/>
      <c r="BX23" s="2060"/>
      <c r="BY23" s="2060"/>
      <c r="BZ23" s="2060"/>
      <c r="CA23" s="2060"/>
      <c r="CB23" s="2060"/>
      <c r="CC23" s="2060"/>
      <c r="CD23" s="2060"/>
      <c r="CE23" s="2060"/>
      <c r="CF23" s="2060"/>
      <c r="CG23" s="2060"/>
      <c r="CH23" s="2060"/>
      <c r="CI23" s="2060"/>
      <c r="CJ23" s="2060"/>
      <c r="CK23" s="2060"/>
      <c r="CL23" s="2060"/>
      <c r="CM23" s="2060"/>
      <c r="CN23" s="2060"/>
      <c r="CO23" s="2060"/>
      <c r="CP23" s="2060"/>
      <c r="CQ23" s="2060"/>
      <c r="CR23" s="2060"/>
      <c r="CS23" s="2060"/>
      <c r="CT23" s="2060"/>
      <c r="CU23" s="2060"/>
      <c r="CV23" s="2060"/>
      <c r="CW23" s="2060"/>
      <c r="CX23" s="2060"/>
      <c r="CY23" s="2060"/>
      <c r="CZ23" s="2060"/>
      <c r="DA23" s="2060"/>
      <c r="DB23" s="2060"/>
      <c r="DC23" s="2060"/>
      <c r="DD23" s="2060"/>
      <c r="DE23" s="2060"/>
      <c r="DF23" s="2060"/>
      <c r="DG23" s="2060"/>
      <c r="DH23" s="2060"/>
      <c r="DI23" s="2060"/>
      <c r="DJ23" s="2060"/>
      <c r="DK23" s="2060"/>
      <c r="DL23" s="2060"/>
      <c r="DM23" s="2060"/>
      <c r="DN23" s="2060"/>
      <c r="DO23" s="2060"/>
      <c r="DP23" s="2060"/>
      <c r="DQ23" s="2060"/>
      <c r="DR23" s="2060"/>
      <c r="DS23" s="2060"/>
      <c r="DT23" s="2060"/>
      <c r="DU23" s="2060"/>
      <c r="DV23" s="2060"/>
      <c r="DW23" s="2060"/>
      <c r="DX23" s="2060"/>
      <c r="DY23" s="2060"/>
      <c r="DZ23" s="2060"/>
      <c r="EA23" s="2060"/>
      <c r="EB23" s="2060"/>
      <c r="EC23" s="2060"/>
      <c r="ED23" s="2060"/>
      <c r="EE23" s="2060"/>
      <c r="EF23" s="2060"/>
      <c r="EG23" s="2060"/>
      <c r="EH23" s="2060"/>
      <c r="EI23" s="2060"/>
      <c r="EJ23" s="2060"/>
      <c r="EK23" s="2060"/>
      <c r="EL23" s="2060"/>
      <c r="EM23" s="2060"/>
      <c r="EN23" s="2060"/>
      <c r="EO23" s="2060"/>
      <c r="EP23" s="2060"/>
      <c r="EQ23" s="2060"/>
      <c r="ER23" s="2060"/>
      <c r="ES23" s="2060"/>
      <c r="ET23" s="2060"/>
      <c r="EU23" s="2060"/>
      <c r="EV23" s="2060"/>
      <c r="EW23" s="2060"/>
      <c r="EX23" s="2060"/>
      <c r="EY23" s="2060"/>
      <c r="EZ23" s="2060"/>
      <c r="FA23" s="2060"/>
      <c r="FB23" s="2060"/>
      <c r="FC23" s="2060"/>
      <c r="FD23" s="2060"/>
      <c r="FE23" s="2060"/>
      <c r="FF23" s="2060"/>
      <c r="FG23" s="2060"/>
      <c r="FH23" s="2060"/>
      <c r="FI23" s="2060"/>
      <c r="FJ23" s="2060"/>
      <c r="FK23" s="2060"/>
      <c r="FL23" s="2060"/>
      <c r="FM23" s="2060"/>
      <c r="FN23" s="2060"/>
      <c r="FO23" s="2060"/>
      <c r="FP23" s="2060"/>
      <c r="FQ23" s="2060"/>
      <c r="FR23" s="2060"/>
      <c r="FS23" s="2060"/>
      <c r="FT23" s="2060"/>
      <c r="FU23" s="2060"/>
      <c r="FV23" s="2060"/>
      <c r="FW23" s="2060"/>
      <c r="FX23" s="2060"/>
      <c r="FY23" s="2060"/>
      <c r="FZ23" s="2060"/>
      <c r="GA23" s="2060"/>
      <c r="GB23" s="2060"/>
      <c r="GC23" s="2060"/>
    </row>
    <row r="24" spans="1:185" s="1023" customFormat="1">
      <c r="A24" s="1004"/>
      <c r="B24" s="1004"/>
      <c r="C24" s="1502"/>
      <c r="D24" s="779">
        <f ca="1">MAX(OFFSET(D24,-1,0,-ROW(D24)+1,-2),1)+0.01</f>
        <v>1.01</v>
      </c>
      <c r="E24" s="2060" t="str">
        <f>_xll.ciqfunctions.udf.CIQ("IQT36183815", "IQ_YIELD_CURVE_LIST", 1)</f>
        <v>IQT36183815</v>
      </c>
      <c r="F24" s="2060" t="str">
        <f>IF($E24="","",_xll.ciqfunctions.udf.CIQ($E24,"IQ_COMPANY_NAME"))</f>
        <v>United States Treasury Constant Maturity - 1 Month</v>
      </c>
      <c r="G24" s="2060"/>
      <c r="H24" s="2060"/>
      <c r="I24" s="107" t="str">
        <f>IF($E24="","",_xll.ciqfunctions.udf.CIQ($E24,"IQ_RATE_TYPE"))</f>
        <v>Government Debt</v>
      </c>
      <c r="J24" s="2060" t="str">
        <f>IF($E24="","",IF(_xll.ciqfunctions.udf.CIQ($E24,"IQ_RATE_COUNTRY")=0,"NA",_xll.ciqfunctions.udf.CIQ($E24,"IQ_RATE_COUNTRY")))</f>
        <v>United States of America</v>
      </c>
      <c r="K24" s="2060"/>
      <c r="L24" s="2060" t="str">
        <f>IF($E24="","",_xll.ciqfunctions.udf.CIQ($E24,"IQ_RATE_TERM"))</f>
        <v>1 Month</v>
      </c>
      <c r="M24" s="1402">
        <f>IF(OR(_xll.ciqfunctions.udf.CIQ($E24,"IQ_LASTSALEPRICE",M$22)=0,$E24=""),"",_xll.ciqfunctions.udf.CIQ($E24,"IQ_LASTSALEPRICE",M$22)/100)</f>
        <v>4.0000000000000001E-3</v>
      </c>
      <c r="N24" s="1360">
        <f>IF(OR(_xll.ciqfunctions.udf.CIQ($E24,"IQ_LASTSALEPRICE",N$22)=0,$E24=""),"",_xll.ciqfunctions.udf.CIQ($E24,"IQ_LASTSALEPRICE",N$22)/100)</f>
        <v>4.8999999999999998E-3</v>
      </c>
      <c r="O24" s="1360">
        <f>IF(OR(_xll.ciqfunctions.udf.CIQ($E24,"IQ_LASTSALEPRICE",O$22)=0,$E24=""),"",_xll.ciqfunctions.udf.CIQ($E24,"IQ_LASTSALEPRICE",O$22)/100)</f>
        <v>2.5999999999999999E-3</v>
      </c>
      <c r="P24" s="2060"/>
      <c r="Q24" s="2060"/>
      <c r="R24" s="2060"/>
      <c r="S24" s="2060"/>
      <c r="T24" s="2060"/>
      <c r="U24" s="2060"/>
      <c r="V24" s="2060"/>
      <c r="W24" s="2060"/>
      <c r="X24" s="2060"/>
      <c r="Y24" s="2060"/>
      <c r="Z24" s="2060"/>
      <c r="AA24" s="2060"/>
      <c r="AB24" s="2060"/>
      <c r="AC24" s="2060"/>
      <c r="AD24" s="1004"/>
      <c r="AE24" s="2060"/>
      <c r="AF24" s="2060"/>
      <c r="AG24" s="2060"/>
      <c r="AH24" s="2060"/>
      <c r="AI24" s="2060"/>
      <c r="AJ24" s="2060"/>
      <c r="AK24" s="2060"/>
      <c r="AL24" s="2060"/>
      <c r="AM24" s="2060"/>
      <c r="AN24" s="2060"/>
      <c r="AO24" s="2060"/>
      <c r="AP24" s="2060"/>
      <c r="AQ24" s="2060"/>
      <c r="AR24" s="2060"/>
      <c r="AS24" s="2060"/>
      <c r="AT24" s="2060"/>
      <c r="AU24" s="2060"/>
      <c r="AV24" s="2060"/>
      <c r="AW24" s="2060"/>
      <c r="AX24" s="2060"/>
      <c r="AY24" s="2060"/>
      <c r="AZ24" s="2060"/>
      <c r="BA24" s="2060"/>
      <c r="BB24" s="2060"/>
      <c r="BC24" s="2060"/>
      <c r="BD24" s="2060"/>
      <c r="BE24" s="2060"/>
      <c r="BF24" s="2060"/>
      <c r="BG24" s="2060"/>
      <c r="BH24" s="2060"/>
      <c r="BI24" s="2060"/>
      <c r="BJ24" s="2060"/>
      <c r="BK24" s="2060"/>
      <c r="BL24" s="2060"/>
      <c r="BM24" s="2060"/>
      <c r="BN24" s="2060"/>
      <c r="BO24" s="2060"/>
      <c r="BP24" s="2060"/>
      <c r="BQ24" s="2060"/>
      <c r="BR24" s="2060"/>
      <c r="BS24" s="2060"/>
      <c r="BT24" s="2060"/>
      <c r="BU24" s="2060"/>
      <c r="BV24" s="2060"/>
      <c r="BW24" s="2060"/>
      <c r="BX24" s="2060"/>
      <c r="BY24" s="2060"/>
      <c r="BZ24" s="2060"/>
      <c r="CA24" s="2060"/>
      <c r="CB24" s="2060"/>
      <c r="CC24" s="2060"/>
      <c r="CD24" s="2060"/>
      <c r="CE24" s="2060"/>
      <c r="CF24" s="2060"/>
      <c r="CG24" s="2060"/>
      <c r="CH24" s="2060"/>
      <c r="CI24" s="2060"/>
      <c r="CJ24" s="2060"/>
      <c r="CK24" s="2060"/>
      <c r="CL24" s="2060"/>
      <c r="CM24" s="2060"/>
      <c r="CN24" s="2060"/>
      <c r="CO24" s="2060"/>
      <c r="CP24" s="2060"/>
      <c r="CQ24" s="2060"/>
      <c r="CR24" s="2060"/>
      <c r="CS24" s="2060"/>
      <c r="CT24" s="2060"/>
      <c r="CU24" s="2060"/>
      <c r="CV24" s="2060"/>
      <c r="CW24" s="2060"/>
      <c r="CX24" s="2060"/>
      <c r="CY24" s="2060"/>
      <c r="CZ24" s="2060"/>
      <c r="DA24" s="2060"/>
      <c r="DB24" s="2060"/>
      <c r="DC24" s="2060"/>
      <c r="DD24" s="2060"/>
      <c r="DE24" s="2060"/>
      <c r="DF24" s="2060"/>
      <c r="DG24" s="2060"/>
      <c r="DH24" s="2060"/>
      <c r="DI24" s="2060"/>
      <c r="DJ24" s="2060"/>
      <c r="DK24" s="2060"/>
      <c r="DL24" s="2060"/>
      <c r="DM24" s="2060"/>
      <c r="DN24" s="2060"/>
      <c r="DO24" s="2060"/>
      <c r="DP24" s="2060"/>
      <c r="DQ24" s="2060"/>
      <c r="DR24" s="2060"/>
      <c r="DS24" s="2060"/>
      <c r="DT24" s="2060"/>
      <c r="DU24" s="2060"/>
      <c r="DV24" s="2060"/>
      <c r="DW24" s="2060"/>
      <c r="DX24" s="2060"/>
      <c r="DY24" s="2060"/>
      <c r="DZ24" s="2060"/>
      <c r="EA24" s="2060"/>
      <c r="EB24" s="2060"/>
      <c r="EC24" s="2060"/>
      <c r="ED24" s="2060"/>
      <c r="EE24" s="2060"/>
      <c r="EF24" s="2060"/>
      <c r="EG24" s="2060"/>
      <c r="EH24" s="2060"/>
      <c r="EI24" s="2060"/>
      <c r="EJ24" s="2060"/>
      <c r="EK24" s="2060"/>
      <c r="EL24" s="2060"/>
      <c r="EM24" s="2060"/>
      <c r="EN24" s="2060"/>
      <c r="EO24" s="2060"/>
      <c r="EP24" s="2060"/>
      <c r="EQ24" s="2060"/>
      <c r="ER24" s="2060"/>
      <c r="ES24" s="2060"/>
      <c r="ET24" s="2060"/>
      <c r="EU24" s="2060"/>
      <c r="EV24" s="2060"/>
      <c r="EW24" s="2060"/>
      <c r="EX24" s="2060"/>
      <c r="EY24" s="2060"/>
      <c r="EZ24" s="2060"/>
      <c r="FA24" s="2060"/>
      <c r="FB24" s="2060"/>
      <c r="FC24" s="2060"/>
      <c r="FD24" s="2060"/>
      <c r="FE24" s="2060"/>
      <c r="FF24" s="2060"/>
      <c r="FG24" s="2060"/>
      <c r="FH24" s="2060"/>
      <c r="FI24" s="2060"/>
      <c r="FJ24" s="2060"/>
      <c r="FK24" s="2060"/>
      <c r="FL24" s="2060"/>
      <c r="FM24" s="2060"/>
      <c r="FN24" s="2060"/>
      <c r="FO24" s="2060"/>
      <c r="FP24" s="2060"/>
      <c r="FQ24" s="2060"/>
      <c r="FR24" s="2060"/>
      <c r="FS24" s="2060"/>
      <c r="FT24" s="2060"/>
      <c r="FU24" s="2060"/>
      <c r="FV24" s="2060"/>
      <c r="FW24" s="2060"/>
      <c r="FX24" s="2060"/>
      <c r="FY24" s="2060"/>
      <c r="FZ24" s="2060"/>
      <c r="GA24" s="2060"/>
      <c r="GB24" s="2060"/>
      <c r="GC24" s="2060"/>
    </row>
    <row r="25" spans="1:185" s="1023" customFormat="1">
      <c r="A25" s="1004"/>
      <c r="B25" s="1004"/>
      <c r="C25" s="1502"/>
      <c r="D25" s="779">
        <f t="shared" ref="D25:D38" ca="1" si="0">MAX(OFFSET(D25,-1,0,-ROW(D25)+1,-2),1)+0.01</f>
        <v>1.02</v>
      </c>
      <c r="E25" s="2060" t="str">
        <f>_xll.ciqfunctions.udf.CIQ("IQT36183815", "IQ_YIELD_CURVE_LIST", 2)</f>
        <v>IQT36183818</v>
      </c>
      <c r="F25" s="2060" t="str">
        <f>IF($E25="","",_xll.ciqfunctions.udf.CIQ($E25,"IQ_COMPANY_NAME"))</f>
        <v>United States Treasury Constant Maturity - 3 Month</v>
      </c>
      <c r="G25" s="2060"/>
      <c r="H25" s="2060"/>
      <c r="I25" s="107" t="str">
        <f>IF($E25="","",_xll.ciqfunctions.udf.CIQ($E25,"IQ_RATE_TYPE"))</f>
        <v>Government Debt</v>
      </c>
      <c r="J25" s="2060" t="str">
        <f>IF($E25="","",IF(_xll.ciqfunctions.udf.CIQ($E25,"IQ_RATE_COUNTRY")=0,"NA",_xll.ciqfunctions.udf.CIQ($E25,"IQ_RATE_COUNTRY")))</f>
        <v>United States of America</v>
      </c>
      <c r="K25" s="2060"/>
      <c r="L25" s="2060" t="str">
        <f>IF($E25="","",_xll.ciqfunctions.udf.CIQ($E25,"IQ_RATE_TERM"))</f>
        <v>3 Month</v>
      </c>
      <c r="M25" s="1402">
        <f>IF(OR(_xll.ciqfunctions.udf.CIQ($E25,"IQ_LASTSALEPRICE",M$22)=0,$E25=""),"",_xll.ciqfunctions.udf.CIQ($E25,"IQ_LASTSALEPRICE",M$22)/100)</f>
        <v>5.3E-3</v>
      </c>
      <c r="N25" s="1360">
        <f>IF(OR(_xll.ciqfunctions.udf.CIQ($E25,"IQ_LASTSALEPRICE",N$22)=0,$E25=""),"",_xll.ciqfunctions.udf.CIQ($E25,"IQ_LASTSALEPRICE",N$22)/100)</f>
        <v>5.1999999999999998E-3</v>
      </c>
      <c r="O25" s="1360">
        <f>IF(OR(_xll.ciqfunctions.udf.CIQ($E25,"IQ_LASTSALEPRICE",O$22)=0,$E25=""),"",_xll.ciqfunctions.udf.CIQ($E25,"IQ_LASTSALEPRICE",O$22)/100)</f>
        <v>3.3E-3</v>
      </c>
      <c r="P25" s="2060"/>
      <c r="Q25" s="2060"/>
      <c r="R25" s="2060"/>
      <c r="S25" s="2060"/>
      <c r="T25" s="2060"/>
      <c r="U25" s="2060"/>
      <c r="V25" s="2060"/>
      <c r="W25" s="2060"/>
      <c r="X25" s="2060"/>
      <c r="Y25" s="2060"/>
      <c r="Z25" s="2060"/>
      <c r="AA25" s="2060"/>
      <c r="AB25" s="2060"/>
      <c r="AC25" s="2060"/>
      <c r="AD25" s="1004"/>
      <c r="AE25" s="2060"/>
      <c r="AF25" s="2060"/>
      <c r="AG25" s="2060"/>
      <c r="AH25" s="2060"/>
      <c r="AI25" s="2060"/>
      <c r="AJ25" s="2060"/>
      <c r="AK25" s="2060"/>
      <c r="AL25" s="2060"/>
      <c r="AM25" s="2060"/>
      <c r="AN25" s="2060"/>
      <c r="AO25" s="2060"/>
      <c r="AP25" s="2060"/>
      <c r="AQ25" s="2060"/>
      <c r="AR25" s="2060"/>
      <c r="AS25" s="2060"/>
      <c r="AT25" s="2060"/>
      <c r="AU25" s="2060"/>
      <c r="AV25" s="2060"/>
      <c r="AW25" s="2060"/>
      <c r="AX25" s="2060"/>
      <c r="AY25" s="2060"/>
      <c r="AZ25" s="2060"/>
      <c r="BA25" s="2060"/>
      <c r="BB25" s="2060"/>
      <c r="BC25" s="2060"/>
      <c r="BD25" s="2060"/>
      <c r="BE25" s="2060"/>
      <c r="BF25" s="2060"/>
      <c r="BG25" s="2060"/>
      <c r="BH25" s="2060"/>
      <c r="BI25" s="2060"/>
      <c r="BJ25" s="2060"/>
      <c r="BK25" s="2060"/>
      <c r="BL25" s="2060"/>
      <c r="BM25" s="2060"/>
      <c r="BN25" s="2060"/>
      <c r="BO25" s="2060"/>
      <c r="BP25" s="2060"/>
      <c r="BQ25" s="2060"/>
      <c r="BR25" s="2060"/>
      <c r="BS25" s="2060"/>
      <c r="BT25" s="2060"/>
      <c r="BU25" s="2060"/>
      <c r="BV25" s="2060"/>
      <c r="BW25" s="2060"/>
      <c r="BX25" s="2060"/>
      <c r="BY25" s="2060"/>
      <c r="BZ25" s="2060"/>
      <c r="CA25" s="2060"/>
      <c r="CB25" s="2060"/>
      <c r="CC25" s="2060"/>
      <c r="CD25" s="2060"/>
      <c r="CE25" s="2060"/>
      <c r="CF25" s="2060"/>
      <c r="CG25" s="2060"/>
      <c r="CH25" s="2060"/>
      <c r="CI25" s="2060"/>
      <c r="CJ25" s="2060"/>
      <c r="CK25" s="2060"/>
      <c r="CL25" s="2060"/>
      <c r="CM25" s="2060"/>
      <c r="CN25" s="2060"/>
      <c r="CO25" s="2060"/>
      <c r="CP25" s="2060"/>
      <c r="CQ25" s="2060"/>
      <c r="CR25" s="2060"/>
      <c r="CS25" s="2060"/>
      <c r="CT25" s="2060"/>
      <c r="CU25" s="2060"/>
      <c r="CV25" s="2060"/>
      <c r="CW25" s="2060"/>
      <c r="CX25" s="2060"/>
      <c r="CY25" s="2060"/>
      <c r="CZ25" s="2060"/>
      <c r="DA25" s="2060"/>
      <c r="DB25" s="2060"/>
      <c r="DC25" s="2060"/>
      <c r="DD25" s="2060"/>
      <c r="DE25" s="2060"/>
      <c r="DF25" s="2060"/>
      <c r="DG25" s="2060"/>
      <c r="DH25" s="2060"/>
      <c r="DI25" s="2060"/>
      <c r="DJ25" s="2060"/>
      <c r="DK25" s="2060"/>
      <c r="DL25" s="2060"/>
      <c r="DM25" s="2060"/>
      <c r="DN25" s="2060"/>
      <c r="DO25" s="2060"/>
      <c r="DP25" s="2060"/>
      <c r="DQ25" s="2060"/>
      <c r="DR25" s="2060"/>
      <c r="DS25" s="2060"/>
      <c r="DT25" s="2060"/>
      <c r="DU25" s="2060"/>
      <c r="DV25" s="2060"/>
      <c r="DW25" s="2060"/>
      <c r="DX25" s="2060"/>
      <c r="DY25" s="2060"/>
      <c r="DZ25" s="2060"/>
      <c r="EA25" s="2060"/>
      <c r="EB25" s="2060"/>
      <c r="EC25" s="2060"/>
      <c r="ED25" s="2060"/>
      <c r="EE25" s="2060"/>
      <c r="EF25" s="2060"/>
      <c r="EG25" s="2060"/>
      <c r="EH25" s="2060"/>
      <c r="EI25" s="2060"/>
      <c r="EJ25" s="2060"/>
      <c r="EK25" s="2060"/>
      <c r="EL25" s="2060"/>
      <c r="EM25" s="2060"/>
      <c r="EN25" s="2060"/>
      <c r="EO25" s="2060"/>
      <c r="EP25" s="2060"/>
      <c r="EQ25" s="2060"/>
      <c r="ER25" s="2060"/>
      <c r="ES25" s="2060"/>
      <c r="ET25" s="2060"/>
      <c r="EU25" s="2060"/>
      <c r="EV25" s="2060"/>
      <c r="EW25" s="2060"/>
      <c r="EX25" s="2060"/>
      <c r="EY25" s="2060"/>
      <c r="EZ25" s="2060"/>
      <c r="FA25" s="2060"/>
      <c r="FB25" s="2060"/>
      <c r="FC25" s="2060"/>
      <c r="FD25" s="2060"/>
      <c r="FE25" s="2060"/>
      <c r="FF25" s="2060"/>
      <c r="FG25" s="2060"/>
      <c r="FH25" s="2060"/>
      <c r="FI25" s="2060"/>
      <c r="FJ25" s="2060"/>
      <c r="FK25" s="2060"/>
      <c r="FL25" s="2060"/>
      <c r="FM25" s="2060"/>
      <c r="FN25" s="2060"/>
      <c r="FO25" s="2060"/>
      <c r="FP25" s="2060"/>
      <c r="FQ25" s="2060"/>
      <c r="FR25" s="2060"/>
      <c r="FS25" s="2060"/>
      <c r="FT25" s="2060"/>
      <c r="FU25" s="2060"/>
      <c r="FV25" s="2060"/>
      <c r="FW25" s="2060"/>
      <c r="FX25" s="2060"/>
      <c r="FY25" s="2060"/>
      <c r="FZ25" s="2060"/>
      <c r="GA25" s="2060"/>
      <c r="GB25" s="2060"/>
      <c r="GC25" s="2060"/>
    </row>
    <row r="26" spans="1:185" s="1023" customFormat="1">
      <c r="A26" s="1004"/>
      <c r="B26" s="1004"/>
      <c r="C26" s="1502"/>
      <c r="D26" s="779">
        <f t="shared" ca="1" si="0"/>
        <v>1.03</v>
      </c>
      <c r="E26" s="2060" t="str">
        <f>_xll.ciqfunctions.udf.CIQ("IQT36183815", "IQ_YIELD_CURVE_LIST", 3)</f>
        <v>IQT36183821</v>
      </c>
      <c r="F26" s="2060" t="str">
        <f>IF($E26="","",_xll.ciqfunctions.udf.CIQ($E26,"IQ_COMPANY_NAME"))</f>
        <v>United States Treasury Constant Maturity - 6 Month</v>
      </c>
      <c r="G26" s="2060"/>
      <c r="H26" s="2060"/>
      <c r="I26" s="107" t="str">
        <f>IF($E26="","",_xll.ciqfunctions.udf.CIQ($E26,"IQ_RATE_TYPE"))</f>
        <v>Government Debt</v>
      </c>
      <c r="J26" s="2060" t="str">
        <f>IF($E26="","",IF(_xll.ciqfunctions.udf.CIQ($E26,"IQ_RATE_COUNTRY")=0,"NA",_xll.ciqfunctions.udf.CIQ($E26,"IQ_RATE_COUNTRY")))</f>
        <v>United States of America</v>
      </c>
      <c r="K26" s="2060"/>
      <c r="L26" s="2060" t="str">
        <f>IF($E26="","",_xll.ciqfunctions.udf.CIQ($E26,"IQ_RATE_TERM"))</f>
        <v>6 Month</v>
      </c>
      <c r="M26" s="1402">
        <f>IF(OR(_xll.ciqfunctions.udf.CIQ($E26,"IQ_LASTSALEPRICE",M$22)=0,$E26=""),"",_xll.ciqfunctions.udf.CIQ($E26,"IQ_LASTSALEPRICE",M$22)/100)</f>
        <v>6.8999999999999999E-3</v>
      </c>
      <c r="N26" s="1360">
        <f>IF(OR(_xll.ciqfunctions.udf.CIQ($E26,"IQ_LASTSALEPRICE",N$22)=0,$E26=""),"",_xll.ciqfunctions.udf.CIQ($E26,"IQ_LASTSALEPRICE",N$22)/100)</f>
        <v>6.3E-3</v>
      </c>
      <c r="O26" s="1360">
        <f>IF(OR(_xll.ciqfunctions.udf.CIQ($E26,"IQ_LASTSALEPRICE",O$22)=0,$E26=""),"",_xll.ciqfunctions.udf.CIQ($E26,"IQ_LASTSALEPRICE",O$22)/100)</f>
        <v>4.6999999999999993E-3</v>
      </c>
      <c r="P26" s="2060"/>
      <c r="Q26" s="2060"/>
      <c r="R26" s="2060"/>
      <c r="S26" s="2060"/>
      <c r="T26" s="2060"/>
      <c r="U26" s="2060"/>
      <c r="V26" s="2060"/>
      <c r="W26" s="2060"/>
      <c r="X26" s="2060"/>
      <c r="Y26" s="2060"/>
      <c r="Z26" s="2060"/>
      <c r="AA26" s="2060"/>
      <c r="AB26" s="2060"/>
      <c r="AC26" s="2060"/>
      <c r="AD26" s="1004"/>
      <c r="AE26" s="2060"/>
      <c r="AF26" s="2060"/>
      <c r="AG26" s="2060"/>
      <c r="AH26" s="2060"/>
      <c r="AI26" s="2060"/>
      <c r="AJ26" s="2060"/>
      <c r="AK26" s="2060"/>
      <c r="AL26" s="2060"/>
      <c r="AM26" s="2060"/>
      <c r="AN26" s="2060"/>
      <c r="AO26" s="2060"/>
      <c r="AP26" s="2060"/>
      <c r="AQ26" s="2060"/>
      <c r="AR26" s="2060"/>
      <c r="AS26" s="2060"/>
      <c r="AT26" s="2060"/>
      <c r="AU26" s="2060"/>
      <c r="AV26" s="2060"/>
      <c r="AW26" s="2060"/>
      <c r="AX26" s="2060"/>
      <c r="AY26" s="2060"/>
      <c r="AZ26" s="2060"/>
      <c r="BA26" s="2060"/>
      <c r="BB26" s="2060"/>
      <c r="BC26" s="2060"/>
      <c r="BD26" s="2060"/>
      <c r="BE26" s="2060"/>
      <c r="BF26" s="2060"/>
      <c r="BG26" s="2060"/>
      <c r="BH26" s="2060"/>
      <c r="BI26" s="2060"/>
      <c r="BJ26" s="2060"/>
      <c r="BK26" s="2060"/>
      <c r="BL26" s="2060"/>
      <c r="BM26" s="2060"/>
      <c r="BN26" s="2060"/>
      <c r="BO26" s="2060"/>
      <c r="BP26" s="2060"/>
      <c r="BQ26" s="2060"/>
      <c r="BR26" s="2060"/>
      <c r="BS26" s="2060"/>
      <c r="BT26" s="2060"/>
      <c r="BU26" s="2060"/>
      <c r="BV26" s="2060"/>
      <c r="BW26" s="2060"/>
      <c r="BX26" s="2060"/>
      <c r="BY26" s="2060"/>
      <c r="BZ26" s="2060"/>
      <c r="CA26" s="2060"/>
      <c r="CB26" s="2060"/>
      <c r="CC26" s="2060"/>
      <c r="CD26" s="2060"/>
      <c r="CE26" s="2060"/>
      <c r="CF26" s="2060"/>
      <c r="CG26" s="2060"/>
      <c r="CH26" s="2060"/>
      <c r="CI26" s="2060"/>
      <c r="CJ26" s="2060"/>
      <c r="CK26" s="2060"/>
      <c r="CL26" s="2060"/>
      <c r="CM26" s="2060"/>
      <c r="CN26" s="2060"/>
      <c r="CO26" s="2060"/>
      <c r="CP26" s="2060"/>
      <c r="CQ26" s="2060"/>
      <c r="CR26" s="2060"/>
      <c r="CS26" s="2060"/>
      <c r="CT26" s="2060"/>
      <c r="CU26" s="2060"/>
      <c r="CV26" s="2060"/>
      <c r="CW26" s="2060"/>
      <c r="CX26" s="2060"/>
      <c r="CY26" s="2060"/>
      <c r="CZ26" s="2060"/>
      <c r="DA26" s="2060"/>
      <c r="DB26" s="2060"/>
      <c r="DC26" s="2060"/>
      <c r="DD26" s="2060"/>
      <c r="DE26" s="2060"/>
      <c r="DF26" s="2060"/>
      <c r="DG26" s="2060"/>
      <c r="DH26" s="2060"/>
      <c r="DI26" s="2060"/>
      <c r="DJ26" s="2060"/>
      <c r="DK26" s="2060"/>
      <c r="DL26" s="2060"/>
      <c r="DM26" s="2060"/>
      <c r="DN26" s="2060"/>
      <c r="DO26" s="2060"/>
      <c r="DP26" s="2060"/>
      <c r="DQ26" s="2060"/>
      <c r="DR26" s="2060"/>
      <c r="DS26" s="2060"/>
      <c r="DT26" s="2060"/>
      <c r="DU26" s="2060"/>
      <c r="DV26" s="2060"/>
      <c r="DW26" s="2060"/>
      <c r="DX26" s="2060"/>
      <c r="DY26" s="2060"/>
      <c r="DZ26" s="2060"/>
      <c r="EA26" s="2060"/>
      <c r="EB26" s="2060"/>
      <c r="EC26" s="2060"/>
      <c r="ED26" s="2060"/>
      <c r="EE26" s="2060"/>
      <c r="EF26" s="2060"/>
      <c r="EG26" s="2060"/>
      <c r="EH26" s="2060"/>
      <c r="EI26" s="2060"/>
      <c r="EJ26" s="2060"/>
      <c r="EK26" s="2060"/>
      <c r="EL26" s="2060"/>
      <c r="EM26" s="2060"/>
      <c r="EN26" s="2060"/>
      <c r="EO26" s="2060"/>
      <c r="EP26" s="2060"/>
      <c r="EQ26" s="2060"/>
      <c r="ER26" s="2060"/>
      <c r="ES26" s="2060"/>
      <c r="ET26" s="2060"/>
      <c r="EU26" s="2060"/>
      <c r="EV26" s="2060"/>
      <c r="EW26" s="2060"/>
      <c r="EX26" s="2060"/>
      <c r="EY26" s="2060"/>
      <c r="EZ26" s="2060"/>
      <c r="FA26" s="2060"/>
      <c r="FB26" s="2060"/>
      <c r="FC26" s="2060"/>
      <c r="FD26" s="2060"/>
      <c r="FE26" s="2060"/>
      <c r="FF26" s="2060"/>
      <c r="FG26" s="2060"/>
      <c r="FH26" s="2060"/>
      <c r="FI26" s="2060"/>
      <c r="FJ26" s="2060"/>
      <c r="FK26" s="2060"/>
      <c r="FL26" s="2060"/>
      <c r="FM26" s="2060"/>
      <c r="FN26" s="2060"/>
      <c r="FO26" s="2060"/>
      <c r="FP26" s="2060"/>
      <c r="FQ26" s="2060"/>
      <c r="FR26" s="2060"/>
      <c r="FS26" s="2060"/>
      <c r="FT26" s="2060"/>
      <c r="FU26" s="2060"/>
      <c r="FV26" s="2060"/>
      <c r="FW26" s="2060"/>
      <c r="FX26" s="2060"/>
      <c r="FY26" s="2060"/>
      <c r="FZ26" s="2060"/>
      <c r="GA26" s="2060"/>
      <c r="GB26" s="2060"/>
      <c r="GC26" s="2060"/>
    </row>
    <row r="27" spans="1:185" s="1023" customFormat="1">
      <c r="A27" s="1004"/>
      <c r="B27" s="1004"/>
      <c r="C27" s="1502"/>
      <c r="D27" s="779">
        <f t="shared" ca="1" si="0"/>
        <v>1.04</v>
      </c>
      <c r="E27" s="2060" t="str">
        <f>_xll.ciqfunctions.udf.CIQ("IQT36183815", "IQ_YIELD_CURVE_LIST", 4)</f>
        <v>IQT36183824</v>
      </c>
      <c r="F27" s="2060" t="str">
        <f>IF($E27="","",_xll.ciqfunctions.udf.CIQ($E27,"IQ_COMPANY_NAME"))</f>
        <v>United States Treasury Constant Maturity - 1 Year</v>
      </c>
      <c r="G27" s="2060"/>
      <c r="H27" s="2060"/>
      <c r="I27" s="107" t="str">
        <f>IF($E27="","",_xll.ciqfunctions.udf.CIQ($E27,"IQ_RATE_TYPE"))</f>
        <v>Government Debt</v>
      </c>
      <c r="J27" s="2060" t="str">
        <f>IF($E27="","",IF(_xll.ciqfunctions.udf.CIQ($E27,"IQ_RATE_COUNTRY")=0,"NA",_xll.ciqfunctions.udf.CIQ($E27,"IQ_RATE_COUNTRY")))</f>
        <v>United States of America</v>
      </c>
      <c r="K27" s="2060"/>
      <c r="L27" s="2060" t="str">
        <f>IF($E27="","",_xll.ciqfunctions.udf.CIQ($E27,"IQ_RATE_TERM"))</f>
        <v>1 Year</v>
      </c>
      <c r="M27" s="1402">
        <f>IF(OR(_xll.ciqfunctions.udf.CIQ($E27,"IQ_LASTSALEPRICE",M$22)=0,$E27=""),"",_xll.ciqfunctions.udf.CIQ($E27,"IQ_LASTSALEPRICE",M$22)/100)</f>
        <v>8.8000000000000005E-3</v>
      </c>
      <c r="N27" s="1360">
        <f>IF(OR(_xll.ciqfunctions.udf.CIQ($E27,"IQ_LASTSALEPRICE",N$22)=0,$E27=""),"",_xll.ciqfunctions.udf.CIQ($E27,"IQ_LASTSALEPRICE",N$22)/100)</f>
        <v>8.199999999999999E-3</v>
      </c>
      <c r="O27" s="1360">
        <f>IF(OR(_xll.ciqfunctions.udf.CIQ($E27,"IQ_LASTSALEPRICE",O$22)=0,$E27=""),"",_xll.ciqfunctions.udf.CIQ($E27,"IQ_LASTSALEPRICE",O$22)/100)</f>
        <v>6.0000000000000001E-3</v>
      </c>
      <c r="P27" s="2060"/>
      <c r="Q27" s="2060"/>
      <c r="R27" s="2060"/>
      <c r="S27" s="2060"/>
      <c r="T27" s="2060"/>
      <c r="U27" s="2060"/>
      <c r="V27" s="2060"/>
      <c r="W27" s="2060"/>
      <c r="X27" s="2060"/>
      <c r="Y27" s="2060"/>
      <c r="Z27" s="2060"/>
      <c r="AA27" s="2060"/>
      <c r="AB27" s="2060"/>
      <c r="AC27" s="2060"/>
      <c r="AD27" s="1004"/>
      <c r="AE27" s="2060"/>
      <c r="AF27" s="2060"/>
      <c r="AG27" s="2060"/>
      <c r="AH27" s="2060"/>
      <c r="AI27" s="2060"/>
      <c r="AJ27" s="2060"/>
      <c r="AK27" s="2060"/>
      <c r="AL27" s="2060"/>
      <c r="AM27" s="2060"/>
      <c r="AN27" s="2060"/>
      <c r="AO27" s="2060"/>
      <c r="AP27" s="2060"/>
      <c r="AQ27" s="2060"/>
      <c r="AR27" s="2060"/>
      <c r="AS27" s="2060"/>
      <c r="AT27" s="2060"/>
      <c r="AU27" s="2060"/>
      <c r="AV27" s="2060"/>
      <c r="AW27" s="2060"/>
      <c r="AX27" s="2060"/>
      <c r="AY27" s="2060"/>
      <c r="AZ27" s="2060"/>
      <c r="BA27" s="2060"/>
      <c r="BB27" s="2060"/>
      <c r="BC27" s="2060"/>
      <c r="BD27" s="2060"/>
      <c r="BE27" s="2060"/>
      <c r="BF27" s="2060"/>
      <c r="BG27" s="2060"/>
      <c r="BH27" s="2060"/>
      <c r="BI27" s="2060"/>
      <c r="BJ27" s="2060"/>
      <c r="BK27" s="2060"/>
      <c r="BL27" s="2060"/>
      <c r="BM27" s="2060"/>
      <c r="BN27" s="2060"/>
      <c r="BO27" s="2060"/>
      <c r="BP27" s="2060"/>
      <c r="BQ27" s="2060"/>
      <c r="BR27" s="2060"/>
      <c r="BS27" s="2060"/>
      <c r="BT27" s="2060"/>
      <c r="BU27" s="2060"/>
      <c r="BV27" s="2060"/>
      <c r="BW27" s="2060"/>
      <c r="BX27" s="2060"/>
      <c r="BY27" s="2060"/>
      <c r="BZ27" s="2060"/>
      <c r="CA27" s="2060"/>
      <c r="CB27" s="2060"/>
      <c r="CC27" s="2060"/>
      <c r="CD27" s="2060"/>
      <c r="CE27" s="2060"/>
      <c r="CF27" s="2060"/>
      <c r="CG27" s="2060"/>
      <c r="CH27" s="2060"/>
      <c r="CI27" s="2060"/>
      <c r="CJ27" s="2060"/>
      <c r="CK27" s="2060"/>
      <c r="CL27" s="2060"/>
      <c r="CM27" s="2060"/>
      <c r="CN27" s="2060"/>
      <c r="CO27" s="2060"/>
      <c r="CP27" s="2060"/>
      <c r="CQ27" s="2060"/>
      <c r="CR27" s="2060"/>
      <c r="CS27" s="2060"/>
      <c r="CT27" s="2060"/>
      <c r="CU27" s="2060"/>
      <c r="CV27" s="2060"/>
      <c r="CW27" s="2060"/>
      <c r="CX27" s="2060"/>
      <c r="CY27" s="2060"/>
      <c r="CZ27" s="2060"/>
      <c r="DA27" s="2060"/>
      <c r="DB27" s="2060"/>
      <c r="DC27" s="2060"/>
      <c r="DD27" s="2060"/>
      <c r="DE27" s="2060"/>
      <c r="DF27" s="2060"/>
      <c r="DG27" s="2060"/>
      <c r="DH27" s="2060"/>
      <c r="DI27" s="2060"/>
      <c r="DJ27" s="2060"/>
      <c r="DK27" s="2060"/>
      <c r="DL27" s="2060"/>
      <c r="DM27" s="2060"/>
      <c r="DN27" s="2060"/>
      <c r="DO27" s="2060"/>
      <c r="DP27" s="2060"/>
      <c r="DQ27" s="2060"/>
      <c r="DR27" s="2060"/>
      <c r="DS27" s="2060"/>
      <c r="DT27" s="2060"/>
      <c r="DU27" s="2060"/>
      <c r="DV27" s="2060"/>
      <c r="DW27" s="2060"/>
      <c r="DX27" s="2060"/>
      <c r="DY27" s="2060"/>
      <c r="DZ27" s="2060"/>
      <c r="EA27" s="2060"/>
      <c r="EB27" s="2060"/>
      <c r="EC27" s="2060"/>
      <c r="ED27" s="2060"/>
      <c r="EE27" s="2060"/>
      <c r="EF27" s="2060"/>
      <c r="EG27" s="2060"/>
      <c r="EH27" s="2060"/>
      <c r="EI27" s="2060"/>
      <c r="EJ27" s="2060"/>
      <c r="EK27" s="2060"/>
      <c r="EL27" s="2060"/>
      <c r="EM27" s="2060"/>
      <c r="EN27" s="2060"/>
      <c r="EO27" s="2060"/>
      <c r="EP27" s="2060"/>
      <c r="EQ27" s="2060"/>
      <c r="ER27" s="2060"/>
      <c r="ES27" s="2060"/>
      <c r="ET27" s="2060"/>
      <c r="EU27" s="2060"/>
      <c r="EV27" s="2060"/>
      <c r="EW27" s="2060"/>
      <c r="EX27" s="2060"/>
      <c r="EY27" s="2060"/>
      <c r="EZ27" s="2060"/>
      <c r="FA27" s="2060"/>
      <c r="FB27" s="2060"/>
      <c r="FC27" s="2060"/>
      <c r="FD27" s="2060"/>
      <c r="FE27" s="2060"/>
      <c r="FF27" s="2060"/>
      <c r="FG27" s="2060"/>
      <c r="FH27" s="2060"/>
      <c r="FI27" s="2060"/>
      <c r="FJ27" s="2060"/>
      <c r="FK27" s="2060"/>
      <c r="FL27" s="2060"/>
      <c r="FM27" s="2060"/>
      <c r="FN27" s="2060"/>
      <c r="FO27" s="2060"/>
      <c r="FP27" s="2060"/>
      <c r="FQ27" s="2060"/>
      <c r="FR27" s="2060"/>
      <c r="FS27" s="2060"/>
      <c r="FT27" s="2060"/>
      <c r="FU27" s="2060"/>
      <c r="FV27" s="2060"/>
      <c r="FW27" s="2060"/>
      <c r="FX27" s="2060"/>
      <c r="FY27" s="2060"/>
      <c r="FZ27" s="2060"/>
      <c r="GA27" s="2060"/>
      <c r="GB27" s="2060"/>
      <c r="GC27" s="2060"/>
    </row>
    <row r="28" spans="1:185" s="1023" customFormat="1">
      <c r="A28" s="1004"/>
      <c r="B28" s="1004"/>
      <c r="C28" s="1502"/>
      <c r="D28" s="779">
        <f t="shared" ca="1" si="0"/>
        <v>1.05</v>
      </c>
      <c r="E28" s="2060" t="str">
        <f>_xll.ciqfunctions.udf.CIQ("IQT36183815", "IQ_YIELD_CURVE_LIST", 5)</f>
        <v>IQT36183827</v>
      </c>
      <c r="F28" s="2060" t="str">
        <f>IF($E28="","",_xll.ciqfunctions.udf.CIQ($E28,"IQ_COMPANY_NAME"))</f>
        <v>United States Treasury Constant Maturity - 2 Year</v>
      </c>
      <c r="G28" s="2060"/>
      <c r="H28" s="2060"/>
      <c r="I28" s="107" t="str">
        <f>IF($E28="","",_xll.ciqfunctions.udf.CIQ($E28,"IQ_RATE_TYPE"))</f>
        <v>Government Debt</v>
      </c>
      <c r="J28" s="2060" t="str">
        <f>IF($E28="","",IF(_xll.ciqfunctions.udf.CIQ($E28,"IQ_RATE_COUNTRY")=0,"NA",_xll.ciqfunctions.udf.CIQ($E28,"IQ_RATE_COUNTRY")))</f>
        <v>United States of America</v>
      </c>
      <c r="K28" s="2060"/>
      <c r="L28" s="2060" t="str">
        <f>IF($E28="","",_xll.ciqfunctions.udf.CIQ($E28,"IQ_RATE_TERM"))</f>
        <v>2 Year</v>
      </c>
      <c r="M28" s="1402">
        <f>IF(OR(_xll.ciqfunctions.udf.CIQ($E28,"IQ_LASTSALEPRICE",M$22)=0,$E28=""),"",_xll.ciqfunctions.udf.CIQ($E28,"IQ_LASTSALEPRICE",M$22)/100)</f>
        <v>1.2199999999999999E-2</v>
      </c>
      <c r="N28" s="1360">
        <f>IF(OR(_xll.ciqfunctions.udf.CIQ($E28,"IQ_LASTSALEPRICE",N$22)=0,$E28=""),"",_xll.ciqfunctions.udf.CIQ($E28,"IQ_LASTSALEPRICE",N$22)/100)</f>
        <v>1.2199999999999999E-2</v>
      </c>
      <c r="O28" s="1360">
        <f>IF(OR(_xll.ciqfunctions.udf.CIQ($E28,"IQ_LASTSALEPRICE",O$22)=0,$E28=""),"",_xll.ciqfunctions.udf.CIQ($E28,"IQ_LASTSALEPRICE",O$22)/100)</f>
        <v>8.0000000000000002E-3</v>
      </c>
      <c r="P28" s="2060"/>
      <c r="Q28" s="2060"/>
      <c r="R28" s="2060"/>
      <c r="S28" s="2060"/>
      <c r="T28" s="2060"/>
      <c r="U28" s="2060"/>
      <c r="V28" s="2060"/>
      <c r="W28" s="2060"/>
      <c r="X28" s="2060"/>
      <c r="Y28" s="2060"/>
      <c r="Z28" s="2060"/>
      <c r="AA28" s="2060"/>
      <c r="AB28" s="2060"/>
      <c r="AC28" s="2060"/>
      <c r="AD28" s="1004"/>
      <c r="AE28" s="2060"/>
      <c r="AF28" s="2060"/>
      <c r="AG28" s="2060"/>
      <c r="AH28" s="2060"/>
      <c r="AI28" s="2060"/>
      <c r="AJ28" s="2060"/>
      <c r="AK28" s="2060"/>
      <c r="AL28" s="2060"/>
      <c r="AM28" s="2060"/>
      <c r="AN28" s="2060"/>
      <c r="AO28" s="2060"/>
      <c r="AP28" s="2060"/>
      <c r="AQ28" s="2060"/>
      <c r="AR28" s="2060"/>
      <c r="AS28" s="2060"/>
      <c r="AT28" s="2060"/>
      <c r="AU28" s="2060"/>
      <c r="AV28" s="2060"/>
      <c r="AW28" s="2060"/>
      <c r="AX28" s="2060"/>
      <c r="AY28" s="2060"/>
      <c r="AZ28" s="2060"/>
      <c r="BA28" s="2060"/>
      <c r="BB28" s="2060"/>
      <c r="BC28" s="2060"/>
      <c r="BD28" s="2060"/>
      <c r="BE28" s="2060"/>
      <c r="BF28" s="2060"/>
      <c r="BG28" s="2060"/>
      <c r="BH28" s="2060"/>
      <c r="BI28" s="2060"/>
      <c r="BJ28" s="2060"/>
      <c r="BK28" s="2060"/>
      <c r="BL28" s="2060"/>
      <c r="BM28" s="2060"/>
      <c r="BN28" s="2060"/>
      <c r="BO28" s="2060"/>
      <c r="BP28" s="2060"/>
      <c r="BQ28" s="2060"/>
      <c r="BR28" s="2060"/>
      <c r="BS28" s="2060"/>
      <c r="BT28" s="2060"/>
      <c r="BU28" s="2060"/>
      <c r="BV28" s="2060"/>
      <c r="BW28" s="2060"/>
      <c r="BX28" s="2060"/>
      <c r="BY28" s="2060"/>
      <c r="BZ28" s="2060"/>
      <c r="CA28" s="2060"/>
      <c r="CB28" s="2060"/>
      <c r="CC28" s="2060"/>
      <c r="CD28" s="2060"/>
      <c r="CE28" s="2060"/>
      <c r="CF28" s="2060"/>
      <c r="CG28" s="2060"/>
      <c r="CH28" s="2060"/>
      <c r="CI28" s="2060"/>
      <c r="CJ28" s="2060"/>
      <c r="CK28" s="2060"/>
      <c r="CL28" s="2060"/>
      <c r="CM28" s="2060"/>
      <c r="CN28" s="2060"/>
      <c r="CO28" s="2060"/>
      <c r="CP28" s="2060"/>
      <c r="CQ28" s="2060"/>
      <c r="CR28" s="2060"/>
      <c r="CS28" s="2060"/>
      <c r="CT28" s="2060"/>
      <c r="CU28" s="2060"/>
      <c r="CV28" s="2060"/>
      <c r="CW28" s="2060"/>
      <c r="CX28" s="2060"/>
      <c r="CY28" s="2060"/>
      <c r="CZ28" s="2060"/>
      <c r="DA28" s="2060"/>
      <c r="DB28" s="2060"/>
      <c r="DC28" s="2060"/>
      <c r="DD28" s="2060"/>
      <c r="DE28" s="2060"/>
      <c r="DF28" s="2060"/>
      <c r="DG28" s="2060"/>
      <c r="DH28" s="2060"/>
      <c r="DI28" s="2060"/>
      <c r="DJ28" s="2060"/>
      <c r="DK28" s="2060"/>
      <c r="DL28" s="2060"/>
      <c r="DM28" s="2060"/>
      <c r="DN28" s="2060"/>
      <c r="DO28" s="2060"/>
      <c r="DP28" s="2060"/>
      <c r="DQ28" s="2060"/>
      <c r="DR28" s="2060"/>
      <c r="DS28" s="2060"/>
      <c r="DT28" s="2060"/>
      <c r="DU28" s="2060"/>
      <c r="DV28" s="2060"/>
      <c r="DW28" s="2060"/>
      <c r="DX28" s="2060"/>
      <c r="DY28" s="2060"/>
      <c r="DZ28" s="2060"/>
      <c r="EA28" s="2060"/>
      <c r="EB28" s="2060"/>
      <c r="EC28" s="2060"/>
      <c r="ED28" s="2060"/>
      <c r="EE28" s="2060"/>
      <c r="EF28" s="2060"/>
      <c r="EG28" s="2060"/>
      <c r="EH28" s="2060"/>
      <c r="EI28" s="2060"/>
      <c r="EJ28" s="2060"/>
      <c r="EK28" s="2060"/>
      <c r="EL28" s="2060"/>
      <c r="EM28" s="2060"/>
      <c r="EN28" s="2060"/>
      <c r="EO28" s="2060"/>
      <c r="EP28" s="2060"/>
      <c r="EQ28" s="2060"/>
      <c r="ER28" s="2060"/>
      <c r="ES28" s="2060"/>
      <c r="ET28" s="2060"/>
      <c r="EU28" s="2060"/>
      <c r="EV28" s="2060"/>
      <c r="EW28" s="2060"/>
      <c r="EX28" s="2060"/>
      <c r="EY28" s="2060"/>
      <c r="EZ28" s="2060"/>
      <c r="FA28" s="2060"/>
      <c r="FB28" s="2060"/>
      <c r="FC28" s="2060"/>
      <c r="FD28" s="2060"/>
      <c r="FE28" s="2060"/>
      <c r="FF28" s="2060"/>
      <c r="FG28" s="2060"/>
      <c r="FH28" s="2060"/>
      <c r="FI28" s="2060"/>
      <c r="FJ28" s="2060"/>
      <c r="FK28" s="2060"/>
      <c r="FL28" s="2060"/>
      <c r="FM28" s="2060"/>
      <c r="FN28" s="2060"/>
      <c r="FO28" s="2060"/>
      <c r="FP28" s="2060"/>
      <c r="FQ28" s="2060"/>
      <c r="FR28" s="2060"/>
      <c r="FS28" s="2060"/>
      <c r="FT28" s="2060"/>
      <c r="FU28" s="2060"/>
      <c r="FV28" s="2060"/>
      <c r="FW28" s="2060"/>
      <c r="FX28" s="2060"/>
      <c r="FY28" s="2060"/>
      <c r="FZ28" s="2060"/>
      <c r="GA28" s="2060"/>
      <c r="GB28" s="2060"/>
      <c r="GC28" s="2060"/>
    </row>
    <row r="29" spans="1:185" s="1023" customFormat="1">
      <c r="A29" s="1004"/>
      <c r="B29" s="1004"/>
      <c r="C29" s="1502"/>
      <c r="D29" s="779">
        <f t="shared" ca="1" si="0"/>
        <v>1.06</v>
      </c>
      <c r="E29" s="2060" t="str">
        <f>_xll.ciqfunctions.udf.CIQ("IQT36183815", "IQ_YIELD_CURVE_LIST", 6)</f>
        <v>IQT36183830</v>
      </c>
      <c r="F29" s="2060" t="str">
        <f>IF($E29="","",_xll.ciqfunctions.udf.CIQ($E29,"IQ_COMPANY_NAME"))</f>
        <v>United States Treasury Constant Maturity - 3 Year</v>
      </c>
      <c r="G29" s="2060"/>
      <c r="H29" s="2060"/>
      <c r="I29" s="107" t="str">
        <f>IF($E29="","",_xll.ciqfunctions.udf.CIQ($E29,"IQ_RATE_TYPE"))</f>
        <v>Government Debt</v>
      </c>
      <c r="J29" s="2060" t="str">
        <f>IF($E29="","",IF(_xll.ciqfunctions.udf.CIQ($E29,"IQ_RATE_COUNTRY")=0,"NA",_xll.ciqfunctions.udf.CIQ($E29,"IQ_RATE_COUNTRY")))</f>
        <v>United States of America</v>
      </c>
      <c r="K29" s="2060"/>
      <c r="L29" s="2060" t="str">
        <f>IF($E29="","",_xll.ciqfunctions.udf.CIQ($E29,"IQ_RATE_TERM"))</f>
        <v>3 Year</v>
      </c>
      <c r="M29" s="1402">
        <f>IF(OR(_xll.ciqfunctions.udf.CIQ($E29,"IQ_LASTSALEPRICE",M$22)=0,$E29=""),"",_xll.ciqfunctions.udf.CIQ($E29,"IQ_LASTSALEPRICE",M$22)/100)</f>
        <v>1.49E-2</v>
      </c>
      <c r="N29" s="1360">
        <f>IF(OR(_xll.ciqfunctions.udf.CIQ($E29,"IQ_LASTSALEPRICE",N$22)=0,$E29=""),"",_xll.ciqfunctions.udf.CIQ($E29,"IQ_LASTSALEPRICE",N$22)/100)</f>
        <v>1.4800000000000001E-2</v>
      </c>
      <c r="O29" s="1360">
        <f>IF(OR(_xll.ciqfunctions.udf.CIQ($E29,"IQ_LASTSALEPRICE",O$22)=0,$E29=""),"",_xll.ciqfunctions.udf.CIQ($E29,"IQ_LASTSALEPRICE",O$22)/100)</f>
        <v>9.300000000000001E-3</v>
      </c>
      <c r="P29" s="2060"/>
      <c r="Q29" s="2060"/>
      <c r="R29" s="2060"/>
      <c r="S29" s="2060"/>
      <c r="T29" s="2060"/>
      <c r="U29" s="2060"/>
      <c r="V29" s="2060"/>
      <c r="W29" s="2060"/>
      <c r="X29" s="2060"/>
      <c r="Y29" s="2060"/>
      <c r="Z29" s="2060"/>
      <c r="AA29" s="2060"/>
      <c r="AB29" s="2060"/>
      <c r="AC29" s="2060"/>
      <c r="AD29" s="1004"/>
      <c r="AE29" s="2060"/>
      <c r="AF29" s="2060"/>
      <c r="AG29" s="2060"/>
      <c r="AH29" s="2060"/>
      <c r="AI29" s="2060"/>
      <c r="AJ29" s="2060"/>
      <c r="AK29" s="2060"/>
      <c r="AL29" s="2060"/>
      <c r="AM29" s="2060"/>
      <c r="AN29" s="2060"/>
      <c r="AO29" s="2060"/>
      <c r="AP29" s="2060"/>
      <c r="AQ29" s="2060"/>
      <c r="AR29" s="2060"/>
      <c r="AS29" s="2060"/>
      <c r="AT29" s="2060"/>
      <c r="AU29" s="2060"/>
      <c r="AV29" s="2060"/>
      <c r="AW29" s="2060"/>
      <c r="AX29" s="2060"/>
      <c r="AY29" s="2060"/>
      <c r="AZ29" s="2060"/>
      <c r="BA29" s="2060"/>
      <c r="BB29" s="2060"/>
      <c r="BC29" s="2060"/>
      <c r="BD29" s="2060"/>
      <c r="BE29" s="2060"/>
      <c r="BF29" s="2060"/>
      <c r="BG29" s="2060"/>
      <c r="BH29" s="2060"/>
      <c r="BI29" s="2060"/>
      <c r="BJ29" s="2060"/>
      <c r="BK29" s="2060"/>
      <c r="BL29" s="2060"/>
      <c r="BM29" s="2060"/>
      <c r="BN29" s="2060"/>
      <c r="BO29" s="2060"/>
      <c r="BP29" s="2060"/>
      <c r="BQ29" s="2060"/>
      <c r="BR29" s="2060"/>
      <c r="BS29" s="2060"/>
      <c r="BT29" s="2060"/>
      <c r="BU29" s="2060"/>
      <c r="BV29" s="2060"/>
      <c r="BW29" s="2060"/>
      <c r="BX29" s="2060"/>
      <c r="BY29" s="2060"/>
      <c r="BZ29" s="2060"/>
      <c r="CA29" s="2060"/>
      <c r="CB29" s="2060"/>
      <c r="CC29" s="2060"/>
      <c r="CD29" s="2060"/>
      <c r="CE29" s="2060"/>
      <c r="CF29" s="2060"/>
      <c r="CG29" s="2060"/>
      <c r="CH29" s="2060"/>
      <c r="CI29" s="2060"/>
      <c r="CJ29" s="2060"/>
      <c r="CK29" s="2060"/>
      <c r="CL29" s="2060"/>
      <c r="CM29" s="2060"/>
      <c r="CN29" s="2060"/>
      <c r="CO29" s="2060"/>
      <c r="CP29" s="2060"/>
      <c r="CQ29" s="2060"/>
      <c r="CR29" s="2060"/>
      <c r="CS29" s="2060"/>
      <c r="CT29" s="2060"/>
      <c r="CU29" s="2060"/>
      <c r="CV29" s="2060"/>
      <c r="CW29" s="2060"/>
      <c r="CX29" s="2060"/>
      <c r="CY29" s="2060"/>
      <c r="CZ29" s="2060"/>
      <c r="DA29" s="2060"/>
      <c r="DB29" s="2060"/>
      <c r="DC29" s="2060"/>
      <c r="DD29" s="2060"/>
      <c r="DE29" s="2060"/>
      <c r="DF29" s="2060"/>
      <c r="DG29" s="2060"/>
      <c r="DH29" s="2060"/>
      <c r="DI29" s="2060"/>
      <c r="DJ29" s="2060"/>
      <c r="DK29" s="2060"/>
      <c r="DL29" s="2060"/>
      <c r="DM29" s="2060"/>
      <c r="DN29" s="2060"/>
      <c r="DO29" s="2060"/>
      <c r="DP29" s="2060"/>
      <c r="DQ29" s="2060"/>
      <c r="DR29" s="2060"/>
      <c r="DS29" s="2060"/>
      <c r="DT29" s="2060"/>
      <c r="DU29" s="2060"/>
      <c r="DV29" s="2060"/>
      <c r="DW29" s="2060"/>
      <c r="DX29" s="2060"/>
      <c r="DY29" s="2060"/>
      <c r="DZ29" s="2060"/>
      <c r="EA29" s="2060"/>
      <c r="EB29" s="2060"/>
      <c r="EC29" s="2060"/>
      <c r="ED29" s="2060"/>
      <c r="EE29" s="2060"/>
      <c r="EF29" s="2060"/>
      <c r="EG29" s="2060"/>
      <c r="EH29" s="2060"/>
      <c r="EI29" s="2060"/>
      <c r="EJ29" s="2060"/>
      <c r="EK29" s="2060"/>
      <c r="EL29" s="2060"/>
      <c r="EM29" s="2060"/>
      <c r="EN29" s="2060"/>
      <c r="EO29" s="2060"/>
      <c r="EP29" s="2060"/>
      <c r="EQ29" s="2060"/>
      <c r="ER29" s="2060"/>
      <c r="ES29" s="2060"/>
      <c r="ET29" s="2060"/>
      <c r="EU29" s="2060"/>
      <c r="EV29" s="2060"/>
      <c r="EW29" s="2060"/>
      <c r="EX29" s="2060"/>
      <c r="EY29" s="2060"/>
      <c r="EZ29" s="2060"/>
      <c r="FA29" s="2060"/>
      <c r="FB29" s="2060"/>
      <c r="FC29" s="2060"/>
      <c r="FD29" s="2060"/>
      <c r="FE29" s="2060"/>
      <c r="FF29" s="2060"/>
      <c r="FG29" s="2060"/>
      <c r="FH29" s="2060"/>
      <c r="FI29" s="2060"/>
      <c r="FJ29" s="2060"/>
      <c r="FK29" s="2060"/>
      <c r="FL29" s="2060"/>
      <c r="FM29" s="2060"/>
      <c r="FN29" s="2060"/>
      <c r="FO29" s="2060"/>
      <c r="FP29" s="2060"/>
      <c r="FQ29" s="2060"/>
      <c r="FR29" s="2060"/>
      <c r="FS29" s="2060"/>
      <c r="FT29" s="2060"/>
      <c r="FU29" s="2060"/>
      <c r="FV29" s="2060"/>
      <c r="FW29" s="2060"/>
      <c r="FX29" s="2060"/>
      <c r="FY29" s="2060"/>
      <c r="FZ29" s="2060"/>
      <c r="GA29" s="2060"/>
      <c r="GB29" s="2060"/>
      <c r="GC29" s="2060"/>
    </row>
    <row r="30" spans="1:185" s="1023" customFormat="1">
      <c r="A30" s="1004"/>
      <c r="B30" s="1004"/>
      <c r="C30" s="1502"/>
      <c r="D30" s="779">
        <f t="shared" ca="1" si="0"/>
        <v>1.07</v>
      </c>
      <c r="E30" s="2060" t="str">
        <f>_xll.ciqfunctions.udf.CIQ("IQT36183815", "IQ_YIELD_CURVE_LIST", 7)</f>
        <v>IQT36183833</v>
      </c>
      <c r="F30" s="2060" t="str">
        <f>IF($E30="","",_xll.ciqfunctions.udf.CIQ($E30,"IQ_COMPANY_NAME"))</f>
        <v>United States Treasury Constant Maturity - 5 Year</v>
      </c>
      <c r="G30" s="2060"/>
      <c r="H30" s="2060"/>
      <c r="I30" s="107" t="str">
        <f>IF($E30="","",_xll.ciqfunctions.udf.CIQ($E30,"IQ_RATE_TYPE"))</f>
        <v>Government Debt</v>
      </c>
      <c r="J30" s="2060" t="str">
        <f>IF($E30="","",IF(_xll.ciqfunctions.udf.CIQ($E30,"IQ_RATE_COUNTRY")=0,"NA",_xll.ciqfunctions.udf.CIQ($E30,"IQ_RATE_COUNTRY")))</f>
        <v>United States of America</v>
      </c>
      <c r="K30" s="2060"/>
      <c r="L30" s="2060" t="str">
        <f>IF($E30="","",_xll.ciqfunctions.udf.CIQ($E30,"IQ_RATE_TERM"))</f>
        <v>5 Year</v>
      </c>
      <c r="M30" s="1402">
        <f>IF(OR(_xll.ciqfunctions.udf.CIQ($E30,"IQ_LASTSALEPRICE",M$22)=0,$E30=""),"",_xll.ciqfunctions.udf.CIQ($E30,"IQ_LASTSALEPRICE",M$22)/100)</f>
        <v>1.89E-2</v>
      </c>
      <c r="N30" s="1360">
        <f>IF(OR(_xll.ciqfunctions.udf.CIQ($E30,"IQ_LASTSALEPRICE",N$22)=0,$E30=""),"",_xll.ciqfunctions.udf.CIQ($E30,"IQ_LASTSALEPRICE",N$22)/100)</f>
        <v>1.9400000000000001E-2</v>
      </c>
      <c r="O30" s="1360">
        <f>IF(OR(_xll.ciqfunctions.udf.CIQ($E30,"IQ_LASTSALEPRICE",O$22)=0,$E30=""),"",_xll.ciqfunctions.udf.CIQ($E30,"IQ_LASTSALEPRICE",O$22)/100)</f>
        <v>1.23E-2</v>
      </c>
      <c r="P30" s="2060"/>
      <c r="Q30" s="2060"/>
      <c r="R30" s="2060"/>
      <c r="S30" s="2060"/>
      <c r="T30" s="2060"/>
      <c r="U30" s="2060"/>
      <c r="V30" s="2060"/>
      <c r="W30" s="2060"/>
      <c r="X30" s="2060"/>
      <c r="Y30" s="2060"/>
      <c r="Z30" s="2060"/>
      <c r="AA30" s="2060"/>
      <c r="AB30" s="2060"/>
      <c r="AC30" s="2060"/>
      <c r="AD30" s="1004"/>
      <c r="AE30" s="2060"/>
      <c r="AF30" s="2060"/>
      <c r="AG30" s="2060"/>
      <c r="AH30" s="2060"/>
      <c r="AI30" s="2060"/>
      <c r="AJ30" s="2060"/>
      <c r="AK30" s="2060"/>
      <c r="AL30" s="2060"/>
      <c r="AM30" s="2060"/>
      <c r="AN30" s="2060"/>
      <c r="AO30" s="2060"/>
      <c r="AP30" s="2060"/>
      <c r="AQ30" s="2060"/>
      <c r="AR30" s="2060"/>
      <c r="AS30" s="2060"/>
      <c r="AT30" s="2060"/>
      <c r="AU30" s="2060"/>
      <c r="AV30" s="2060"/>
      <c r="AW30" s="2060"/>
      <c r="AX30" s="2060"/>
      <c r="AY30" s="2060"/>
      <c r="AZ30" s="2060"/>
      <c r="BA30" s="2060"/>
      <c r="BB30" s="2060"/>
      <c r="BC30" s="2060"/>
      <c r="BD30" s="2060"/>
      <c r="BE30" s="2060"/>
      <c r="BF30" s="2060"/>
      <c r="BG30" s="2060"/>
      <c r="BH30" s="2060"/>
      <c r="BI30" s="2060"/>
      <c r="BJ30" s="2060"/>
      <c r="BK30" s="2060"/>
      <c r="BL30" s="2060"/>
      <c r="BM30" s="2060"/>
      <c r="BN30" s="2060"/>
      <c r="BO30" s="2060"/>
      <c r="BP30" s="2060"/>
      <c r="BQ30" s="2060"/>
      <c r="BR30" s="2060"/>
      <c r="BS30" s="2060"/>
      <c r="BT30" s="2060"/>
      <c r="BU30" s="2060"/>
      <c r="BV30" s="2060"/>
      <c r="BW30" s="2060"/>
      <c r="BX30" s="2060"/>
      <c r="BY30" s="2060"/>
      <c r="BZ30" s="2060"/>
      <c r="CA30" s="2060"/>
      <c r="CB30" s="2060"/>
      <c r="CC30" s="2060"/>
      <c r="CD30" s="2060"/>
      <c r="CE30" s="2060"/>
      <c r="CF30" s="2060"/>
      <c r="CG30" s="2060"/>
      <c r="CH30" s="2060"/>
      <c r="CI30" s="2060"/>
      <c r="CJ30" s="2060"/>
      <c r="CK30" s="2060"/>
      <c r="CL30" s="2060"/>
      <c r="CM30" s="2060"/>
      <c r="CN30" s="2060"/>
      <c r="CO30" s="2060"/>
      <c r="CP30" s="2060"/>
      <c r="CQ30" s="2060"/>
      <c r="CR30" s="2060"/>
      <c r="CS30" s="2060"/>
      <c r="CT30" s="2060"/>
      <c r="CU30" s="2060"/>
      <c r="CV30" s="2060"/>
      <c r="CW30" s="2060"/>
      <c r="CX30" s="2060"/>
      <c r="CY30" s="2060"/>
      <c r="CZ30" s="2060"/>
      <c r="DA30" s="2060"/>
      <c r="DB30" s="2060"/>
      <c r="DC30" s="2060"/>
      <c r="DD30" s="2060"/>
      <c r="DE30" s="2060"/>
      <c r="DF30" s="2060"/>
      <c r="DG30" s="2060"/>
      <c r="DH30" s="2060"/>
      <c r="DI30" s="2060"/>
      <c r="DJ30" s="2060"/>
      <c r="DK30" s="2060"/>
      <c r="DL30" s="2060"/>
      <c r="DM30" s="2060"/>
      <c r="DN30" s="2060"/>
      <c r="DO30" s="2060"/>
      <c r="DP30" s="2060"/>
      <c r="DQ30" s="2060"/>
      <c r="DR30" s="2060"/>
      <c r="DS30" s="2060"/>
      <c r="DT30" s="2060"/>
      <c r="DU30" s="2060"/>
      <c r="DV30" s="2060"/>
      <c r="DW30" s="2060"/>
      <c r="DX30" s="2060"/>
      <c r="DY30" s="2060"/>
      <c r="DZ30" s="2060"/>
      <c r="EA30" s="2060"/>
      <c r="EB30" s="2060"/>
      <c r="EC30" s="2060"/>
      <c r="ED30" s="2060"/>
      <c r="EE30" s="2060"/>
      <c r="EF30" s="2060"/>
      <c r="EG30" s="2060"/>
      <c r="EH30" s="2060"/>
      <c r="EI30" s="2060"/>
      <c r="EJ30" s="2060"/>
      <c r="EK30" s="2060"/>
      <c r="EL30" s="2060"/>
      <c r="EM30" s="2060"/>
      <c r="EN30" s="2060"/>
      <c r="EO30" s="2060"/>
      <c r="EP30" s="2060"/>
      <c r="EQ30" s="2060"/>
      <c r="ER30" s="2060"/>
      <c r="ES30" s="2060"/>
      <c r="ET30" s="2060"/>
      <c r="EU30" s="2060"/>
      <c r="EV30" s="2060"/>
      <c r="EW30" s="2060"/>
      <c r="EX30" s="2060"/>
      <c r="EY30" s="2060"/>
      <c r="EZ30" s="2060"/>
      <c r="FA30" s="2060"/>
      <c r="FB30" s="2060"/>
      <c r="FC30" s="2060"/>
      <c r="FD30" s="2060"/>
      <c r="FE30" s="2060"/>
      <c r="FF30" s="2060"/>
      <c r="FG30" s="2060"/>
      <c r="FH30" s="2060"/>
      <c r="FI30" s="2060"/>
      <c r="FJ30" s="2060"/>
      <c r="FK30" s="2060"/>
      <c r="FL30" s="2060"/>
      <c r="FM30" s="2060"/>
      <c r="FN30" s="2060"/>
      <c r="FO30" s="2060"/>
      <c r="FP30" s="2060"/>
      <c r="FQ30" s="2060"/>
      <c r="FR30" s="2060"/>
      <c r="FS30" s="2060"/>
      <c r="FT30" s="2060"/>
      <c r="FU30" s="2060"/>
      <c r="FV30" s="2060"/>
      <c r="FW30" s="2060"/>
      <c r="FX30" s="2060"/>
      <c r="FY30" s="2060"/>
      <c r="FZ30" s="2060"/>
      <c r="GA30" s="2060"/>
      <c r="GB30" s="2060"/>
      <c r="GC30" s="2060"/>
    </row>
    <row r="31" spans="1:185" s="1023" customFormat="1">
      <c r="A31" s="1004"/>
      <c r="B31" s="1004"/>
      <c r="C31" s="1502"/>
      <c r="D31" s="779">
        <f t="shared" ca="1" si="0"/>
        <v>1.08</v>
      </c>
      <c r="E31" s="2060" t="str">
        <f>_xll.ciqfunctions.udf.CIQ("IQT36183815", "IQ_YIELD_CURVE_LIST", 8)</f>
        <v>IQT36183836</v>
      </c>
      <c r="F31" s="2060" t="str">
        <f>IF($E31="","",_xll.ciqfunctions.udf.CIQ($E31,"IQ_COMPANY_NAME"))</f>
        <v>United States Treasury Constant Maturity - 7 Year</v>
      </c>
      <c r="G31" s="2060"/>
      <c r="H31" s="2060"/>
      <c r="I31" s="107" t="str">
        <f>IF($E31="","",_xll.ciqfunctions.udf.CIQ($E31,"IQ_RATE_TYPE"))</f>
        <v>Government Debt</v>
      </c>
      <c r="J31" s="2060" t="str">
        <f>IF($E31="","",IF(_xll.ciqfunctions.udf.CIQ($E31,"IQ_RATE_COUNTRY")=0,"NA",_xll.ciqfunctions.udf.CIQ($E31,"IQ_RATE_COUNTRY")))</f>
        <v>United States of America</v>
      </c>
      <c r="K31" s="2060"/>
      <c r="L31" s="2060" t="str">
        <f>IF($E31="","",_xll.ciqfunctions.udf.CIQ($E31,"IQ_RATE_TERM"))</f>
        <v>7 Year</v>
      </c>
      <c r="M31" s="1402">
        <f>IF(OR(_xll.ciqfunctions.udf.CIQ($E31,"IQ_LASTSALEPRICE",M$22)=0,$E31=""),"",_xll.ciqfunctions.udf.CIQ($E31,"IQ_LASTSALEPRICE",M$22)/100)</f>
        <v>2.1899999999999999E-2</v>
      </c>
      <c r="N31" s="1360">
        <f>IF(OR(_xll.ciqfunctions.udf.CIQ($E31,"IQ_LASTSALEPRICE",N$22)=0,$E31=""),"",_xll.ciqfunctions.udf.CIQ($E31,"IQ_LASTSALEPRICE",N$22)/100)</f>
        <v>2.2799999999999997E-2</v>
      </c>
      <c r="O31" s="1360">
        <f>IF(OR(_xll.ciqfunctions.udf.CIQ($E31,"IQ_LASTSALEPRICE",O$22)=0,$E31=""),"",_xll.ciqfunctions.udf.CIQ($E31,"IQ_LASTSALEPRICE",O$22)/100)</f>
        <v>1.55E-2</v>
      </c>
      <c r="P31" s="2060"/>
      <c r="Q31" s="2060"/>
      <c r="R31" s="2060"/>
      <c r="S31" s="2060"/>
      <c r="T31" s="2060"/>
      <c r="U31" s="2060"/>
      <c r="V31" s="2060"/>
      <c r="W31" s="2060"/>
      <c r="X31" s="2060"/>
      <c r="Y31" s="2060"/>
      <c r="Z31" s="2060"/>
      <c r="AA31" s="2060"/>
      <c r="AB31" s="2060"/>
      <c r="AC31" s="2060"/>
      <c r="AD31" s="1004"/>
      <c r="AE31" s="2060"/>
      <c r="AF31" s="2060"/>
      <c r="AG31" s="2060"/>
      <c r="AH31" s="2060"/>
      <c r="AI31" s="2060"/>
      <c r="AJ31" s="2060"/>
      <c r="AK31" s="2060"/>
      <c r="AL31" s="2060"/>
      <c r="AM31" s="2060"/>
      <c r="AN31" s="2060"/>
      <c r="AO31" s="2060"/>
      <c r="AP31" s="2060"/>
      <c r="AQ31" s="2060"/>
      <c r="AR31" s="2060"/>
      <c r="AS31" s="2060"/>
      <c r="AT31" s="2060"/>
      <c r="AU31" s="2060"/>
      <c r="AV31" s="2060"/>
      <c r="AW31" s="2060"/>
      <c r="AX31" s="2060"/>
      <c r="AY31" s="2060"/>
      <c r="AZ31" s="2060"/>
      <c r="BA31" s="2060"/>
      <c r="BB31" s="2060"/>
      <c r="BC31" s="2060"/>
      <c r="BD31" s="2060"/>
      <c r="BE31" s="2060"/>
      <c r="BF31" s="2060"/>
      <c r="BG31" s="2060"/>
      <c r="BH31" s="2060"/>
      <c r="BI31" s="2060"/>
      <c r="BJ31" s="2060"/>
      <c r="BK31" s="2060"/>
      <c r="BL31" s="2060"/>
      <c r="BM31" s="2060"/>
      <c r="BN31" s="2060"/>
      <c r="BO31" s="2060"/>
      <c r="BP31" s="2060"/>
      <c r="BQ31" s="2060"/>
      <c r="BR31" s="2060"/>
      <c r="BS31" s="2060"/>
      <c r="BT31" s="2060"/>
      <c r="BU31" s="2060"/>
      <c r="BV31" s="2060"/>
      <c r="BW31" s="2060"/>
      <c r="BX31" s="2060"/>
      <c r="BY31" s="2060"/>
      <c r="BZ31" s="2060"/>
      <c r="CA31" s="2060"/>
      <c r="CB31" s="2060"/>
      <c r="CC31" s="2060"/>
      <c r="CD31" s="2060"/>
      <c r="CE31" s="2060"/>
      <c r="CF31" s="2060"/>
      <c r="CG31" s="2060"/>
      <c r="CH31" s="2060"/>
      <c r="CI31" s="2060"/>
      <c r="CJ31" s="2060"/>
      <c r="CK31" s="2060"/>
      <c r="CL31" s="2060"/>
      <c r="CM31" s="2060"/>
      <c r="CN31" s="2060"/>
      <c r="CO31" s="2060"/>
      <c r="CP31" s="2060"/>
      <c r="CQ31" s="2060"/>
      <c r="CR31" s="2060"/>
      <c r="CS31" s="2060"/>
      <c r="CT31" s="2060"/>
      <c r="CU31" s="2060"/>
      <c r="CV31" s="2060"/>
      <c r="CW31" s="2060"/>
      <c r="CX31" s="2060"/>
      <c r="CY31" s="2060"/>
      <c r="CZ31" s="2060"/>
      <c r="DA31" s="2060"/>
      <c r="DB31" s="2060"/>
      <c r="DC31" s="2060"/>
      <c r="DD31" s="2060"/>
      <c r="DE31" s="2060"/>
      <c r="DF31" s="2060"/>
      <c r="DG31" s="2060"/>
      <c r="DH31" s="2060"/>
      <c r="DI31" s="2060"/>
      <c r="DJ31" s="2060"/>
      <c r="DK31" s="2060"/>
      <c r="DL31" s="2060"/>
      <c r="DM31" s="2060"/>
      <c r="DN31" s="2060"/>
      <c r="DO31" s="2060"/>
      <c r="DP31" s="2060"/>
      <c r="DQ31" s="2060"/>
      <c r="DR31" s="2060"/>
      <c r="DS31" s="2060"/>
      <c r="DT31" s="2060"/>
      <c r="DU31" s="2060"/>
      <c r="DV31" s="2060"/>
      <c r="DW31" s="2060"/>
      <c r="DX31" s="2060"/>
      <c r="DY31" s="2060"/>
      <c r="DZ31" s="2060"/>
      <c r="EA31" s="2060"/>
      <c r="EB31" s="2060"/>
      <c r="EC31" s="2060"/>
      <c r="ED31" s="2060"/>
      <c r="EE31" s="2060"/>
      <c r="EF31" s="2060"/>
      <c r="EG31" s="2060"/>
      <c r="EH31" s="2060"/>
      <c r="EI31" s="2060"/>
      <c r="EJ31" s="2060"/>
      <c r="EK31" s="2060"/>
      <c r="EL31" s="2060"/>
      <c r="EM31" s="2060"/>
      <c r="EN31" s="2060"/>
      <c r="EO31" s="2060"/>
      <c r="EP31" s="2060"/>
      <c r="EQ31" s="2060"/>
      <c r="ER31" s="2060"/>
      <c r="ES31" s="2060"/>
      <c r="ET31" s="2060"/>
      <c r="EU31" s="2060"/>
      <c r="EV31" s="2060"/>
      <c r="EW31" s="2060"/>
      <c r="EX31" s="2060"/>
      <c r="EY31" s="2060"/>
      <c r="EZ31" s="2060"/>
      <c r="FA31" s="2060"/>
      <c r="FB31" s="2060"/>
      <c r="FC31" s="2060"/>
      <c r="FD31" s="2060"/>
      <c r="FE31" s="2060"/>
      <c r="FF31" s="2060"/>
      <c r="FG31" s="2060"/>
      <c r="FH31" s="2060"/>
      <c r="FI31" s="2060"/>
      <c r="FJ31" s="2060"/>
      <c r="FK31" s="2060"/>
      <c r="FL31" s="2060"/>
      <c r="FM31" s="2060"/>
      <c r="FN31" s="2060"/>
      <c r="FO31" s="2060"/>
      <c r="FP31" s="2060"/>
      <c r="FQ31" s="2060"/>
      <c r="FR31" s="2060"/>
      <c r="FS31" s="2060"/>
      <c r="FT31" s="2060"/>
      <c r="FU31" s="2060"/>
      <c r="FV31" s="2060"/>
      <c r="FW31" s="2060"/>
      <c r="FX31" s="2060"/>
      <c r="FY31" s="2060"/>
      <c r="FZ31" s="2060"/>
      <c r="GA31" s="2060"/>
      <c r="GB31" s="2060"/>
      <c r="GC31" s="2060"/>
    </row>
    <row r="32" spans="1:185" s="1023" customFormat="1">
      <c r="A32" s="1004"/>
      <c r="B32" s="1004"/>
      <c r="C32" s="1502"/>
      <c r="D32" s="779">
        <f t="shared" ca="1" si="0"/>
        <v>1.0900000000000001</v>
      </c>
      <c r="E32" s="2060" t="str">
        <f>_xll.ciqfunctions.udf.CIQ("IQT36183815", "IQ_YIELD_CURVE_LIST", 9)</f>
        <v>IQT36183839</v>
      </c>
      <c r="F32" s="2060" t="str">
        <f>IF($E32="","",_xll.ciqfunctions.udf.CIQ($E32,"IQ_COMPANY_NAME"))</f>
        <v>United States Treasury Constant Maturity - 10 Year</v>
      </c>
      <c r="G32" s="2060"/>
      <c r="H32" s="2060"/>
      <c r="I32" s="107" t="str">
        <f>IF($E32="","",_xll.ciqfunctions.udf.CIQ($E32,"IQ_RATE_TYPE"))</f>
        <v>Government Debt</v>
      </c>
      <c r="J32" s="2060" t="str">
        <f>IF($E32="","",IF(_xll.ciqfunctions.udf.CIQ($E32,"IQ_RATE_COUNTRY")=0,"NA",_xll.ciqfunctions.udf.CIQ($E32,"IQ_RATE_COUNTRY")))</f>
        <v>United States of America</v>
      </c>
      <c r="K32" s="2060"/>
      <c r="L32" s="2060" t="str">
        <f>IF($E32="","",_xll.ciqfunctions.udf.CIQ($E32,"IQ_RATE_TERM"))</f>
        <v>10 Year</v>
      </c>
      <c r="M32" s="1402">
        <f>IF(OR(_xll.ciqfunctions.udf.CIQ($E32,"IQ_LASTSALEPRICE",M$22)=0,$E32=""),"",_xll.ciqfunctions.udf.CIQ($E32,"IQ_LASTSALEPRICE",M$22)/100)</f>
        <v>2.3599999999999999E-2</v>
      </c>
      <c r="N32" s="1360">
        <f>IF(OR(_xll.ciqfunctions.udf.CIQ($E32,"IQ_LASTSALEPRICE",N$22)=0,$E32=""),"",_xll.ciqfunctions.udf.CIQ($E32,"IQ_LASTSALEPRICE",N$22)/100)</f>
        <v>2.4900000000000002E-2</v>
      </c>
      <c r="O32" s="1360">
        <f>IF(OR(_xll.ciqfunctions.udf.CIQ($E32,"IQ_LASTSALEPRICE",O$22)=0,$E32=""),"",_xll.ciqfunctions.udf.CIQ($E32,"IQ_LASTSALEPRICE",O$22)/100)</f>
        <v>1.7600000000000001E-2</v>
      </c>
      <c r="P32" s="2060"/>
      <c r="Q32" s="2060"/>
      <c r="R32" s="2060"/>
      <c r="S32" s="2060"/>
      <c r="T32" s="2060"/>
      <c r="U32" s="2060"/>
      <c r="V32" s="2060"/>
      <c r="W32" s="2060"/>
      <c r="X32" s="2060"/>
      <c r="Y32" s="2060"/>
      <c r="Z32" s="2060"/>
      <c r="AA32" s="2060"/>
      <c r="AB32" s="2060"/>
      <c r="AC32" s="2060"/>
      <c r="AD32" s="1004"/>
      <c r="AE32" s="2060"/>
      <c r="AF32" s="2060"/>
      <c r="AG32" s="2060"/>
      <c r="AH32" s="2060"/>
      <c r="AI32" s="2060"/>
      <c r="AJ32" s="2060"/>
      <c r="AK32" s="2060"/>
      <c r="AL32" s="2060"/>
      <c r="AM32" s="2060"/>
      <c r="AN32" s="2060"/>
      <c r="AO32" s="2060"/>
      <c r="AP32" s="2060"/>
      <c r="AQ32" s="2060"/>
      <c r="AR32" s="2060"/>
      <c r="AS32" s="2060"/>
      <c r="AT32" s="2060"/>
      <c r="AU32" s="2060"/>
      <c r="AV32" s="2060"/>
      <c r="AW32" s="2060"/>
      <c r="AX32" s="2060"/>
      <c r="AY32" s="2060"/>
      <c r="AZ32" s="2060"/>
      <c r="BA32" s="2060"/>
      <c r="BB32" s="2060"/>
      <c r="BC32" s="2060"/>
      <c r="BD32" s="2060"/>
      <c r="BE32" s="2060"/>
      <c r="BF32" s="2060"/>
      <c r="BG32" s="2060"/>
      <c r="BH32" s="2060"/>
      <c r="BI32" s="2060"/>
      <c r="BJ32" s="2060"/>
      <c r="BK32" s="2060"/>
      <c r="BL32" s="2060"/>
      <c r="BM32" s="2060"/>
      <c r="BN32" s="2060"/>
      <c r="BO32" s="2060"/>
      <c r="BP32" s="2060"/>
      <c r="BQ32" s="2060"/>
      <c r="BR32" s="2060"/>
      <c r="BS32" s="2060"/>
      <c r="BT32" s="2060"/>
      <c r="BU32" s="2060"/>
      <c r="BV32" s="2060"/>
      <c r="BW32" s="2060"/>
      <c r="BX32" s="2060"/>
      <c r="BY32" s="2060"/>
      <c r="BZ32" s="2060"/>
      <c r="CA32" s="2060"/>
      <c r="CB32" s="2060"/>
      <c r="CC32" s="2060"/>
      <c r="CD32" s="2060"/>
      <c r="CE32" s="2060"/>
      <c r="CF32" s="2060"/>
      <c r="CG32" s="2060"/>
      <c r="CH32" s="2060"/>
      <c r="CI32" s="2060"/>
      <c r="CJ32" s="2060"/>
      <c r="CK32" s="2060"/>
      <c r="CL32" s="2060"/>
      <c r="CM32" s="2060"/>
      <c r="CN32" s="2060"/>
      <c r="CO32" s="2060"/>
      <c r="CP32" s="2060"/>
      <c r="CQ32" s="2060"/>
      <c r="CR32" s="2060"/>
      <c r="CS32" s="2060"/>
      <c r="CT32" s="2060"/>
      <c r="CU32" s="2060"/>
      <c r="CV32" s="2060"/>
      <c r="CW32" s="2060"/>
      <c r="CX32" s="2060"/>
      <c r="CY32" s="2060"/>
      <c r="CZ32" s="2060"/>
      <c r="DA32" s="2060"/>
      <c r="DB32" s="2060"/>
      <c r="DC32" s="2060"/>
      <c r="DD32" s="2060"/>
      <c r="DE32" s="2060"/>
      <c r="DF32" s="2060"/>
      <c r="DG32" s="2060"/>
      <c r="DH32" s="2060"/>
      <c r="DI32" s="2060"/>
      <c r="DJ32" s="2060"/>
      <c r="DK32" s="2060"/>
      <c r="DL32" s="2060"/>
      <c r="DM32" s="2060"/>
      <c r="DN32" s="2060"/>
      <c r="DO32" s="2060"/>
      <c r="DP32" s="2060"/>
      <c r="DQ32" s="2060"/>
      <c r="DR32" s="2060"/>
      <c r="DS32" s="2060"/>
      <c r="DT32" s="2060"/>
      <c r="DU32" s="2060"/>
      <c r="DV32" s="2060"/>
      <c r="DW32" s="2060"/>
      <c r="DX32" s="2060"/>
      <c r="DY32" s="2060"/>
      <c r="DZ32" s="2060"/>
      <c r="EA32" s="2060"/>
      <c r="EB32" s="2060"/>
      <c r="EC32" s="2060"/>
      <c r="ED32" s="2060"/>
      <c r="EE32" s="2060"/>
      <c r="EF32" s="2060"/>
      <c r="EG32" s="2060"/>
      <c r="EH32" s="2060"/>
      <c r="EI32" s="2060"/>
      <c r="EJ32" s="2060"/>
      <c r="EK32" s="2060"/>
      <c r="EL32" s="2060"/>
      <c r="EM32" s="2060"/>
      <c r="EN32" s="2060"/>
      <c r="EO32" s="2060"/>
      <c r="EP32" s="2060"/>
      <c r="EQ32" s="2060"/>
      <c r="ER32" s="2060"/>
      <c r="ES32" s="2060"/>
      <c r="ET32" s="2060"/>
      <c r="EU32" s="2060"/>
      <c r="EV32" s="2060"/>
      <c r="EW32" s="2060"/>
      <c r="EX32" s="2060"/>
      <c r="EY32" s="2060"/>
      <c r="EZ32" s="2060"/>
      <c r="FA32" s="2060"/>
      <c r="FB32" s="2060"/>
      <c r="FC32" s="2060"/>
      <c r="FD32" s="2060"/>
      <c r="FE32" s="2060"/>
      <c r="FF32" s="2060"/>
      <c r="FG32" s="2060"/>
      <c r="FH32" s="2060"/>
      <c r="FI32" s="2060"/>
      <c r="FJ32" s="2060"/>
      <c r="FK32" s="2060"/>
      <c r="FL32" s="2060"/>
      <c r="FM32" s="2060"/>
      <c r="FN32" s="2060"/>
      <c r="FO32" s="2060"/>
      <c r="FP32" s="2060"/>
      <c r="FQ32" s="2060"/>
      <c r="FR32" s="2060"/>
      <c r="FS32" s="2060"/>
      <c r="FT32" s="2060"/>
      <c r="FU32" s="2060"/>
      <c r="FV32" s="2060"/>
      <c r="FW32" s="2060"/>
      <c r="FX32" s="2060"/>
      <c r="FY32" s="2060"/>
      <c r="FZ32" s="2060"/>
      <c r="GA32" s="2060"/>
      <c r="GB32" s="2060"/>
      <c r="GC32" s="2060"/>
    </row>
    <row r="33" spans="1:185" s="1023" customFormat="1">
      <c r="A33" s="1004"/>
      <c r="B33" s="1004"/>
      <c r="C33" s="1502"/>
      <c r="D33" s="779">
        <f t="shared" ca="1" si="0"/>
        <v>1.1000000000000001</v>
      </c>
      <c r="E33" s="2060" t="str">
        <f>_xll.ciqfunctions.udf.CIQ("IQT36183815", "IQ_YIELD_CURVE_LIST", 10)</f>
        <v>IQT36183842</v>
      </c>
      <c r="F33" s="2060" t="str">
        <f>IF($E33="","",_xll.ciqfunctions.udf.CIQ($E33,"IQ_COMPANY_NAME"))</f>
        <v>United States Treasury Constant Maturity - 20 Year</v>
      </c>
      <c r="G33" s="2060"/>
      <c r="H33" s="2060"/>
      <c r="I33" s="107" t="str">
        <f>IF($E33="","",_xll.ciqfunctions.udf.CIQ($E33,"IQ_RATE_TYPE"))</f>
        <v>Government Debt</v>
      </c>
      <c r="J33" s="2060" t="str">
        <f>IF($E33="","",IF(_xll.ciqfunctions.udf.CIQ($E33,"IQ_RATE_COUNTRY")=0,"NA",_xll.ciqfunctions.udf.CIQ($E33,"IQ_RATE_COUNTRY")))</f>
        <v>United States of America</v>
      </c>
      <c r="K33" s="2060"/>
      <c r="L33" s="2060" t="str">
        <f>IF($E33="","",_xll.ciqfunctions.udf.CIQ($E33,"IQ_RATE_TERM"))</f>
        <v>20 Year</v>
      </c>
      <c r="M33" s="1402">
        <f>IF(OR(_xll.ciqfunctions.udf.CIQ($E33,"IQ_LASTSALEPRICE",M$22)=0,$E33=""),"",_xll.ciqfunctions.udf.CIQ($E33,"IQ_LASTSALEPRICE",M$22)/100)</f>
        <v>2.7000000000000003E-2</v>
      </c>
      <c r="N33" s="1360">
        <f>IF(OR(_xll.ciqfunctions.udf.CIQ($E33,"IQ_LASTSALEPRICE",N$22)=0,$E33=""),"",_xll.ciqfunctions.udf.CIQ($E33,"IQ_LASTSALEPRICE",N$22)/100)</f>
        <v>2.7999999999999997E-2</v>
      </c>
      <c r="O33" s="1360">
        <f>IF(OR(_xll.ciqfunctions.udf.CIQ($E33,"IQ_LASTSALEPRICE",O$22)=0,$E33=""),"",_xll.ciqfunctions.udf.CIQ($E33,"IQ_LASTSALEPRICE",O$22)/100)</f>
        <v>2.2000000000000002E-2</v>
      </c>
      <c r="P33" s="2060"/>
      <c r="Q33" s="2060"/>
      <c r="R33" s="2060"/>
      <c r="S33" s="2060"/>
      <c r="T33" s="2060"/>
      <c r="U33" s="2060"/>
      <c r="V33" s="2060"/>
      <c r="W33" s="2060"/>
      <c r="X33" s="2060"/>
      <c r="Y33" s="2060"/>
      <c r="Z33" s="2060"/>
      <c r="AA33" s="2060"/>
      <c r="AB33" s="2060"/>
      <c r="AC33" s="2060"/>
      <c r="AD33" s="1004"/>
      <c r="AE33" s="2060"/>
      <c r="AF33" s="2060"/>
      <c r="AG33" s="2060"/>
      <c r="AH33" s="2060"/>
      <c r="AI33" s="2060"/>
      <c r="AJ33" s="2060"/>
      <c r="AK33" s="2060"/>
      <c r="AL33" s="2060"/>
      <c r="AM33" s="2060"/>
      <c r="AN33" s="2060"/>
      <c r="AO33" s="2060"/>
      <c r="AP33" s="2060"/>
      <c r="AQ33" s="2060"/>
      <c r="AR33" s="2060"/>
      <c r="AS33" s="2060"/>
      <c r="AT33" s="2060"/>
      <c r="AU33" s="2060"/>
      <c r="AV33" s="2060"/>
      <c r="AW33" s="2060"/>
      <c r="AX33" s="2060"/>
      <c r="AY33" s="2060"/>
      <c r="AZ33" s="2060"/>
      <c r="BA33" s="2060"/>
      <c r="BB33" s="2060"/>
      <c r="BC33" s="2060"/>
      <c r="BD33" s="2060"/>
      <c r="BE33" s="2060"/>
      <c r="BF33" s="2060"/>
      <c r="BG33" s="2060"/>
      <c r="BH33" s="2060"/>
      <c r="BI33" s="2060"/>
      <c r="BJ33" s="2060"/>
      <c r="BK33" s="2060"/>
      <c r="BL33" s="2060"/>
      <c r="BM33" s="2060"/>
      <c r="BN33" s="2060"/>
      <c r="BO33" s="2060"/>
      <c r="BP33" s="2060"/>
      <c r="BQ33" s="2060"/>
      <c r="BR33" s="2060"/>
      <c r="BS33" s="2060"/>
      <c r="BT33" s="2060"/>
      <c r="BU33" s="2060"/>
      <c r="BV33" s="2060"/>
      <c r="BW33" s="2060"/>
      <c r="BX33" s="2060"/>
      <c r="BY33" s="2060"/>
      <c r="BZ33" s="2060"/>
      <c r="CA33" s="2060"/>
      <c r="CB33" s="2060"/>
      <c r="CC33" s="2060"/>
      <c r="CD33" s="2060"/>
      <c r="CE33" s="2060"/>
      <c r="CF33" s="2060"/>
      <c r="CG33" s="2060"/>
      <c r="CH33" s="2060"/>
      <c r="CI33" s="2060"/>
      <c r="CJ33" s="2060"/>
      <c r="CK33" s="2060"/>
      <c r="CL33" s="2060"/>
      <c r="CM33" s="2060"/>
      <c r="CN33" s="2060"/>
      <c r="CO33" s="2060"/>
      <c r="CP33" s="2060"/>
      <c r="CQ33" s="2060"/>
      <c r="CR33" s="2060"/>
      <c r="CS33" s="2060"/>
      <c r="CT33" s="2060"/>
      <c r="CU33" s="2060"/>
      <c r="CV33" s="2060"/>
      <c r="CW33" s="2060"/>
      <c r="CX33" s="2060"/>
      <c r="CY33" s="2060"/>
      <c r="CZ33" s="2060"/>
      <c r="DA33" s="2060"/>
      <c r="DB33" s="2060"/>
      <c r="DC33" s="2060"/>
      <c r="DD33" s="2060"/>
      <c r="DE33" s="2060"/>
      <c r="DF33" s="2060"/>
      <c r="DG33" s="2060"/>
      <c r="DH33" s="2060"/>
      <c r="DI33" s="2060"/>
      <c r="DJ33" s="2060"/>
      <c r="DK33" s="2060"/>
      <c r="DL33" s="2060"/>
      <c r="DM33" s="2060"/>
      <c r="DN33" s="2060"/>
      <c r="DO33" s="2060"/>
      <c r="DP33" s="2060"/>
      <c r="DQ33" s="2060"/>
      <c r="DR33" s="2060"/>
      <c r="DS33" s="2060"/>
      <c r="DT33" s="2060"/>
      <c r="DU33" s="2060"/>
      <c r="DV33" s="2060"/>
      <c r="DW33" s="2060"/>
      <c r="DX33" s="2060"/>
      <c r="DY33" s="2060"/>
      <c r="DZ33" s="2060"/>
      <c r="EA33" s="2060"/>
      <c r="EB33" s="2060"/>
      <c r="EC33" s="2060"/>
      <c r="ED33" s="2060"/>
      <c r="EE33" s="2060"/>
      <c r="EF33" s="2060"/>
      <c r="EG33" s="2060"/>
      <c r="EH33" s="2060"/>
      <c r="EI33" s="2060"/>
      <c r="EJ33" s="2060"/>
      <c r="EK33" s="2060"/>
      <c r="EL33" s="2060"/>
      <c r="EM33" s="2060"/>
      <c r="EN33" s="2060"/>
      <c r="EO33" s="2060"/>
      <c r="EP33" s="2060"/>
      <c r="EQ33" s="2060"/>
      <c r="ER33" s="2060"/>
      <c r="ES33" s="2060"/>
      <c r="ET33" s="2060"/>
      <c r="EU33" s="2060"/>
      <c r="EV33" s="2060"/>
      <c r="EW33" s="2060"/>
      <c r="EX33" s="2060"/>
      <c r="EY33" s="2060"/>
      <c r="EZ33" s="2060"/>
      <c r="FA33" s="2060"/>
      <c r="FB33" s="2060"/>
      <c r="FC33" s="2060"/>
      <c r="FD33" s="2060"/>
      <c r="FE33" s="2060"/>
      <c r="FF33" s="2060"/>
      <c r="FG33" s="2060"/>
      <c r="FH33" s="2060"/>
      <c r="FI33" s="2060"/>
      <c r="FJ33" s="2060"/>
      <c r="FK33" s="2060"/>
      <c r="FL33" s="2060"/>
      <c r="FM33" s="2060"/>
      <c r="FN33" s="2060"/>
      <c r="FO33" s="2060"/>
      <c r="FP33" s="2060"/>
      <c r="FQ33" s="2060"/>
      <c r="FR33" s="2060"/>
      <c r="FS33" s="2060"/>
      <c r="FT33" s="2060"/>
      <c r="FU33" s="2060"/>
      <c r="FV33" s="2060"/>
      <c r="FW33" s="2060"/>
      <c r="FX33" s="2060"/>
      <c r="FY33" s="2060"/>
      <c r="FZ33" s="2060"/>
      <c r="GA33" s="2060"/>
      <c r="GB33" s="2060"/>
      <c r="GC33" s="2060"/>
    </row>
    <row r="34" spans="1:185" s="1023" customFormat="1">
      <c r="A34" s="1004"/>
      <c r="B34" s="1004"/>
      <c r="C34" s="1502"/>
      <c r="D34" s="779">
        <f t="shared" ca="1" si="0"/>
        <v>1.1100000000000001</v>
      </c>
      <c r="E34" s="2060" t="str">
        <f>_xll.ciqfunctions.udf.CIQ("IQT36183815", "IQ_YIELD_CURVE_LIST", 11)</f>
        <v>IQT36183845</v>
      </c>
      <c r="F34" s="2060" t="str">
        <f>IF($E34="","",_xll.ciqfunctions.udf.CIQ($E34,"IQ_COMPANY_NAME"))</f>
        <v>United States Treasury Constant Maturity - 30 Year</v>
      </c>
      <c r="G34" s="2060"/>
      <c r="H34" s="2060"/>
      <c r="I34" s="107" t="str">
        <f>IF($E34="","",_xll.ciqfunctions.udf.CIQ($E34,"IQ_RATE_TYPE"))</f>
        <v>Government Debt</v>
      </c>
      <c r="J34" s="2060" t="str">
        <f>IF($E34="","",IF(_xll.ciqfunctions.udf.CIQ($E34,"IQ_RATE_COUNTRY")=0,"NA",_xll.ciqfunctions.udf.CIQ($E34,"IQ_RATE_COUNTRY")))</f>
        <v>United States of America</v>
      </c>
      <c r="K34" s="2060"/>
      <c r="L34" s="2060" t="str">
        <f>IF($E34="","",_xll.ciqfunctions.udf.CIQ($E34,"IQ_RATE_TERM"))</f>
        <v>30 Year</v>
      </c>
      <c r="M34" s="1402">
        <f>IF(OR(_xll.ciqfunctions.udf.CIQ($E34,"IQ_LASTSALEPRICE",M$22)=0,$E34=""),"",_xll.ciqfunctions.udf.CIQ($E34,"IQ_LASTSALEPRICE",M$22)/100)</f>
        <v>2.9700000000000001E-2</v>
      </c>
      <c r="N34" s="1360">
        <f>IF(OR(_xll.ciqfunctions.udf.CIQ($E34,"IQ_LASTSALEPRICE",N$22)=0,$E34=""),"",_xll.ciqfunctions.udf.CIQ($E34,"IQ_LASTSALEPRICE",N$22)/100)</f>
        <v>3.0600000000000002E-2</v>
      </c>
      <c r="O34" s="1360">
        <f>IF(OR(_xll.ciqfunctions.udf.CIQ($E34,"IQ_LASTSALEPRICE",O$22)=0,$E34=""),"",_xll.ciqfunctions.udf.CIQ($E34,"IQ_LASTSALEPRICE",O$22)/100)</f>
        <v>2.63E-2</v>
      </c>
      <c r="P34" s="2060"/>
      <c r="Q34" s="2060"/>
      <c r="R34" s="2060"/>
      <c r="S34" s="2060"/>
      <c r="T34" s="2060"/>
      <c r="U34" s="2060"/>
      <c r="V34" s="2060"/>
      <c r="W34" s="2060"/>
      <c r="X34" s="2060"/>
      <c r="Y34" s="2060"/>
      <c r="Z34" s="2060"/>
      <c r="AA34" s="2060"/>
      <c r="AB34" s="2060"/>
      <c r="AC34" s="2060"/>
      <c r="AD34" s="1004"/>
      <c r="AE34" s="2060"/>
      <c r="AF34" s="2060"/>
      <c r="AG34" s="2060"/>
      <c r="AH34" s="2060"/>
      <c r="AI34" s="2060"/>
      <c r="AJ34" s="2060"/>
      <c r="AK34" s="2060"/>
      <c r="AL34" s="2060"/>
      <c r="AM34" s="2060"/>
      <c r="AN34" s="2060"/>
      <c r="AO34" s="2060"/>
      <c r="AP34" s="2060"/>
      <c r="AQ34" s="2060"/>
      <c r="AR34" s="2060"/>
      <c r="AS34" s="2060"/>
      <c r="AT34" s="2060"/>
      <c r="AU34" s="2060"/>
      <c r="AV34" s="2060"/>
      <c r="AW34" s="2060"/>
      <c r="AX34" s="2060"/>
      <c r="AY34" s="2060"/>
      <c r="AZ34" s="2060"/>
      <c r="BA34" s="2060"/>
      <c r="BB34" s="2060"/>
      <c r="BC34" s="2060"/>
      <c r="BD34" s="2060"/>
      <c r="BE34" s="2060"/>
      <c r="BF34" s="2060"/>
      <c r="BG34" s="2060"/>
      <c r="BH34" s="2060"/>
      <c r="BI34" s="2060"/>
      <c r="BJ34" s="2060"/>
      <c r="BK34" s="2060"/>
      <c r="BL34" s="2060"/>
      <c r="BM34" s="2060"/>
      <c r="BN34" s="2060"/>
      <c r="BO34" s="2060"/>
      <c r="BP34" s="2060"/>
      <c r="BQ34" s="2060"/>
      <c r="BR34" s="2060"/>
      <c r="BS34" s="2060"/>
      <c r="BT34" s="2060"/>
      <c r="BU34" s="2060"/>
      <c r="BV34" s="2060"/>
      <c r="BW34" s="2060"/>
      <c r="BX34" s="2060"/>
      <c r="BY34" s="2060"/>
      <c r="BZ34" s="2060"/>
      <c r="CA34" s="2060"/>
      <c r="CB34" s="2060"/>
      <c r="CC34" s="2060"/>
      <c r="CD34" s="2060"/>
      <c r="CE34" s="2060"/>
      <c r="CF34" s="2060"/>
      <c r="CG34" s="2060"/>
      <c r="CH34" s="2060"/>
      <c r="CI34" s="2060"/>
      <c r="CJ34" s="2060"/>
      <c r="CK34" s="2060"/>
      <c r="CL34" s="2060"/>
      <c r="CM34" s="2060"/>
      <c r="CN34" s="2060"/>
      <c r="CO34" s="2060"/>
      <c r="CP34" s="2060"/>
      <c r="CQ34" s="2060"/>
      <c r="CR34" s="2060"/>
      <c r="CS34" s="2060"/>
      <c r="CT34" s="2060"/>
      <c r="CU34" s="2060"/>
      <c r="CV34" s="2060"/>
      <c r="CW34" s="2060"/>
      <c r="CX34" s="2060"/>
      <c r="CY34" s="2060"/>
      <c r="CZ34" s="2060"/>
      <c r="DA34" s="2060"/>
      <c r="DB34" s="2060"/>
      <c r="DC34" s="2060"/>
      <c r="DD34" s="2060"/>
      <c r="DE34" s="2060"/>
      <c r="DF34" s="2060"/>
      <c r="DG34" s="2060"/>
      <c r="DH34" s="2060"/>
      <c r="DI34" s="2060"/>
      <c r="DJ34" s="2060"/>
      <c r="DK34" s="2060"/>
      <c r="DL34" s="2060"/>
      <c r="DM34" s="2060"/>
      <c r="DN34" s="2060"/>
      <c r="DO34" s="2060"/>
      <c r="DP34" s="2060"/>
      <c r="DQ34" s="2060"/>
      <c r="DR34" s="2060"/>
      <c r="DS34" s="2060"/>
      <c r="DT34" s="2060"/>
      <c r="DU34" s="2060"/>
      <c r="DV34" s="2060"/>
      <c r="DW34" s="2060"/>
      <c r="DX34" s="2060"/>
      <c r="DY34" s="2060"/>
      <c r="DZ34" s="2060"/>
      <c r="EA34" s="2060"/>
      <c r="EB34" s="2060"/>
      <c r="EC34" s="2060"/>
      <c r="ED34" s="2060"/>
      <c r="EE34" s="2060"/>
      <c r="EF34" s="2060"/>
      <c r="EG34" s="2060"/>
      <c r="EH34" s="2060"/>
      <c r="EI34" s="2060"/>
      <c r="EJ34" s="2060"/>
      <c r="EK34" s="2060"/>
      <c r="EL34" s="2060"/>
      <c r="EM34" s="2060"/>
      <c r="EN34" s="2060"/>
      <c r="EO34" s="2060"/>
      <c r="EP34" s="2060"/>
      <c r="EQ34" s="2060"/>
      <c r="ER34" s="2060"/>
      <c r="ES34" s="2060"/>
      <c r="ET34" s="2060"/>
      <c r="EU34" s="2060"/>
      <c r="EV34" s="2060"/>
      <c r="EW34" s="2060"/>
      <c r="EX34" s="2060"/>
      <c r="EY34" s="2060"/>
      <c r="EZ34" s="2060"/>
      <c r="FA34" s="2060"/>
      <c r="FB34" s="2060"/>
      <c r="FC34" s="2060"/>
      <c r="FD34" s="2060"/>
      <c r="FE34" s="2060"/>
      <c r="FF34" s="2060"/>
      <c r="FG34" s="2060"/>
      <c r="FH34" s="2060"/>
      <c r="FI34" s="2060"/>
      <c r="FJ34" s="2060"/>
      <c r="FK34" s="2060"/>
      <c r="FL34" s="2060"/>
      <c r="FM34" s="2060"/>
      <c r="FN34" s="2060"/>
      <c r="FO34" s="2060"/>
      <c r="FP34" s="2060"/>
      <c r="FQ34" s="2060"/>
      <c r="FR34" s="2060"/>
      <c r="FS34" s="2060"/>
      <c r="FT34" s="2060"/>
      <c r="FU34" s="2060"/>
      <c r="FV34" s="2060"/>
      <c r="FW34" s="2060"/>
      <c r="FX34" s="2060"/>
      <c r="FY34" s="2060"/>
      <c r="FZ34" s="2060"/>
      <c r="GA34" s="2060"/>
      <c r="GB34" s="2060"/>
      <c r="GC34" s="2060"/>
    </row>
    <row r="35" spans="1:185" s="1023" customFormat="1">
      <c r="A35" s="1004"/>
      <c r="B35" s="1004"/>
      <c r="C35" s="1502"/>
      <c r="D35" s="779">
        <f t="shared" ca="1" si="0"/>
        <v>1.1200000000000001</v>
      </c>
      <c r="E35" s="2060"/>
      <c r="F35" s="2060" t="str">
        <f>IF($E35="","",_xll.ciqfunctions.udf.CIQ($E35,"IQ_COMPANY_NAME"))</f>
        <v/>
      </c>
      <c r="G35" s="2060"/>
      <c r="H35" s="2060"/>
      <c r="I35" s="107" t="str">
        <f>IF($E35="","",_xll.ciqfunctions.udf.CIQ($E35,"IQ_RATE_TYPE"))</f>
        <v/>
      </c>
      <c r="J35" s="2060" t="str">
        <f>IF($E35="","",IF(_xll.ciqfunctions.udf.CIQ($E35,"IQ_RATE_COUNTRY")=0,"NA",_xll.ciqfunctions.udf.CIQ($E35,"IQ_RATE_COUNTRY")))</f>
        <v/>
      </c>
      <c r="K35" s="2060"/>
      <c r="L35" s="2060" t="str">
        <f>IF($E35="","",_xll.ciqfunctions.udf.CIQ($E35,"IQ_RATE_TERM"))</f>
        <v/>
      </c>
      <c r="M35" s="1402" t="str">
        <f>IF(OR(_xll.ciqfunctions.udf.CIQ($E35,"IQ_LASTSALEPRICE",M$22)=0,$E35=""),"",_xll.ciqfunctions.udf.CIQ($E35,"IQ_LASTSALEPRICE",M$22)/100)</f>
        <v/>
      </c>
      <c r="N35" s="1360" t="str">
        <f>IF(OR(_xll.ciqfunctions.udf.CIQ($E35,"IQ_LASTSALEPRICE",N$22)=0,$E35=""),"",_xll.ciqfunctions.udf.CIQ($E35,"IQ_LASTSALEPRICE",N$22)/100)</f>
        <v/>
      </c>
      <c r="O35" s="1360" t="str">
        <f>IF(OR(_xll.ciqfunctions.udf.CIQ($E35,"IQ_LASTSALEPRICE",O$22)=0,$E35=""),"",_xll.ciqfunctions.udf.CIQ($E35,"IQ_LASTSALEPRICE",O$22)/100)</f>
        <v/>
      </c>
      <c r="P35" s="2060"/>
      <c r="Q35" s="2060"/>
      <c r="R35" s="2060"/>
      <c r="S35" s="2060"/>
      <c r="T35" s="2060"/>
      <c r="U35" s="2060"/>
      <c r="V35" s="2060"/>
      <c r="W35" s="2060"/>
      <c r="X35" s="2060"/>
      <c r="Y35" s="2060"/>
      <c r="Z35" s="2060"/>
      <c r="AA35" s="2060"/>
      <c r="AB35" s="2060"/>
      <c r="AC35" s="2060"/>
      <c r="AD35" s="1004"/>
      <c r="AE35" s="2060"/>
      <c r="AF35" s="2060"/>
      <c r="AG35" s="2060"/>
      <c r="AH35" s="2060"/>
      <c r="AI35" s="2060"/>
      <c r="AJ35" s="2060"/>
      <c r="AK35" s="2060"/>
      <c r="AL35" s="2060"/>
      <c r="AM35" s="2060"/>
      <c r="AN35" s="2060"/>
      <c r="AO35" s="2060"/>
      <c r="AP35" s="2060"/>
      <c r="AQ35" s="2060"/>
      <c r="AR35" s="2060"/>
      <c r="AS35" s="2060"/>
      <c r="AT35" s="2060"/>
      <c r="AU35" s="2060"/>
      <c r="AV35" s="2060"/>
      <c r="AW35" s="2060"/>
      <c r="AX35" s="2060"/>
      <c r="AY35" s="2060"/>
      <c r="AZ35" s="2060"/>
      <c r="BA35" s="2060"/>
      <c r="BB35" s="2060"/>
      <c r="BC35" s="2060"/>
      <c r="BD35" s="2060"/>
      <c r="BE35" s="2060"/>
      <c r="BF35" s="2060"/>
      <c r="BG35" s="2060"/>
      <c r="BH35" s="2060"/>
      <c r="BI35" s="2060"/>
      <c r="BJ35" s="2060"/>
      <c r="BK35" s="2060"/>
      <c r="BL35" s="2060"/>
      <c r="BM35" s="2060"/>
      <c r="BN35" s="2060"/>
      <c r="BO35" s="2060"/>
      <c r="BP35" s="2060"/>
      <c r="BQ35" s="2060"/>
      <c r="BR35" s="2060"/>
      <c r="BS35" s="2060"/>
      <c r="BT35" s="2060"/>
      <c r="BU35" s="2060"/>
      <c r="BV35" s="2060"/>
      <c r="BW35" s="2060"/>
      <c r="BX35" s="2060"/>
      <c r="BY35" s="2060"/>
      <c r="BZ35" s="2060"/>
      <c r="CA35" s="2060"/>
      <c r="CB35" s="2060"/>
      <c r="CC35" s="2060"/>
      <c r="CD35" s="2060"/>
      <c r="CE35" s="2060"/>
      <c r="CF35" s="2060"/>
      <c r="CG35" s="2060"/>
      <c r="CH35" s="2060"/>
      <c r="CI35" s="2060"/>
      <c r="CJ35" s="2060"/>
      <c r="CK35" s="2060"/>
      <c r="CL35" s="2060"/>
      <c r="CM35" s="2060"/>
      <c r="CN35" s="2060"/>
      <c r="CO35" s="2060"/>
      <c r="CP35" s="2060"/>
      <c r="CQ35" s="2060"/>
      <c r="CR35" s="2060"/>
      <c r="CS35" s="2060"/>
      <c r="CT35" s="2060"/>
      <c r="CU35" s="2060"/>
      <c r="CV35" s="2060"/>
      <c r="CW35" s="2060"/>
      <c r="CX35" s="2060"/>
      <c r="CY35" s="2060"/>
      <c r="CZ35" s="2060"/>
      <c r="DA35" s="2060"/>
      <c r="DB35" s="2060"/>
      <c r="DC35" s="2060"/>
      <c r="DD35" s="2060"/>
      <c r="DE35" s="2060"/>
      <c r="DF35" s="2060"/>
      <c r="DG35" s="2060"/>
      <c r="DH35" s="2060"/>
      <c r="DI35" s="2060"/>
      <c r="DJ35" s="2060"/>
      <c r="DK35" s="2060"/>
      <c r="DL35" s="2060"/>
      <c r="DM35" s="2060"/>
      <c r="DN35" s="2060"/>
      <c r="DO35" s="2060"/>
      <c r="DP35" s="2060"/>
      <c r="DQ35" s="2060"/>
      <c r="DR35" s="2060"/>
      <c r="DS35" s="2060"/>
      <c r="DT35" s="2060"/>
      <c r="DU35" s="2060"/>
      <c r="DV35" s="2060"/>
      <c r="DW35" s="2060"/>
      <c r="DX35" s="2060"/>
      <c r="DY35" s="2060"/>
      <c r="DZ35" s="2060"/>
      <c r="EA35" s="2060"/>
      <c r="EB35" s="2060"/>
      <c r="EC35" s="2060"/>
      <c r="ED35" s="2060"/>
      <c r="EE35" s="2060"/>
      <c r="EF35" s="2060"/>
      <c r="EG35" s="2060"/>
      <c r="EH35" s="2060"/>
      <c r="EI35" s="2060"/>
      <c r="EJ35" s="2060"/>
      <c r="EK35" s="2060"/>
      <c r="EL35" s="2060"/>
      <c r="EM35" s="2060"/>
      <c r="EN35" s="2060"/>
      <c r="EO35" s="2060"/>
      <c r="EP35" s="2060"/>
      <c r="EQ35" s="2060"/>
      <c r="ER35" s="2060"/>
      <c r="ES35" s="2060"/>
      <c r="ET35" s="2060"/>
      <c r="EU35" s="2060"/>
      <c r="EV35" s="2060"/>
      <c r="EW35" s="2060"/>
      <c r="EX35" s="2060"/>
      <c r="EY35" s="2060"/>
      <c r="EZ35" s="2060"/>
      <c r="FA35" s="2060"/>
      <c r="FB35" s="2060"/>
      <c r="FC35" s="2060"/>
      <c r="FD35" s="2060"/>
      <c r="FE35" s="2060"/>
      <c r="FF35" s="2060"/>
      <c r="FG35" s="2060"/>
      <c r="FH35" s="2060"/>
      <c r="FI35" s="2060"/>
      <c r="FJ35" s="2060"/>
      <c r="FK35" s="2060"/>
      <c r="FL35" s="2060"/>
      <c r="FM35" s="2060"/>
      <c r="FN35" s="2060"/>
      <c r="FO35" s="2060"/>
      <c r="FP35" s="2060"/>
      <c r="FQ35" s="2060"/>
      <c r="FR35" s="2060"/>
      <c r="FS35" s="2060"/>
      <c r="FT35" s="2060"/>
      <c r="FU35" s="2060"/>
      <c r="FV35" s="2060"/>
      <c r="FW35" s="2060"/>
      <c r="FX35" s="2060"/>
      <c r="FY35" s="2060"/>
      <c r="FZ35" s="2060"/>
      <c r="GA35" s="2060"/>
      <c r="GB35" s="2060"/>
      <c r="GC35" s="2060"/>
    </row>
    <row r="36" spans="1:185" s="1023" customFormat="1">
      <c r="A36" s="1004"/>
      <c r="B36" s="1004"/>
      <c r="C36" s="1502"/>
      <c r="D36" s="779">
        <f t="shared" ca="1" si="0"/>
        <v>1.1300000000000001</v>
      </c>
      <c r="E36" s="2060"/>
      <c r="F36" s="2060" t="str">
        <f>IF($E36="","",_xll.ciqfunctions.udf.CIQ($E36,"IQ_COMPANY_NAME"))</f>
        <v/>
      </c>
      <c r="G36" s="2060"/>
      <c r="H36" s="2060"/>
      <c r="I36" s="107" t="str">
        <f>IF($E36="","",_xll.ciqfunctions.udf.CIQ($E36,"IQ_RATE_TYPE"))</f>
        <v/>
      </c>
      <c r="J36" s="2060" t="str">
        <f>IF($E36="","",IF(_xll.ciqfunctions.udf.CIQ($E36,"IQ_RATE_COUNTRY")=0,"NA",_xll.ciqfunctions.udf.CIQ($E36,"IQ_RATE_COUNTRY")))</f>
        <v/>
      </c>
      <c r="K36" s="2060"/>
      <c r="L36" s="2060" t="str">
        <f>IF($E36="","",_xll.ciqfunctions.udf.CIQ($E36,"IQ_RATE_TERM"))</f>
        <v/>
      </c>
      <c r="M36" s="1402" t="str">
        <f>IF(OR(_xll.ciqfunctions.udf.CIQ($E36,"IQ_LASTSALEPRICE",M$22)=0,$E36=""),"",_xll.ciqfunctions.udf.CIQ($E36,"IQ_LASTSALEPRICE",M$22)/100)</f>
        <v/>
      </c>
      <c r="N36" s="1360" t="str">
        <f>IF(OR(_xll.ciqfunctions.udf.CIQ($E36,"IQ_LASTSALEPRICE",N$22)=0,$E36=""),"",_xll.ciqfunctions.udf.CIQ($E36,"IQ_LASTSALEPRICE",N$22)/100)</f>
        <v/>
      </c>
      <c r="O36" s="1360" t="str">
        <f>IF(OR(_xll.ciqfunctions.udf.CIQ($E36,"IQ_LASTSALEPRICE",O$22)=0,$E36=""),"",_xll.ciqfunctions.udf.CIQ($E36,"IQ_LASTSALEPRICE",O$22)/100)</f>
        <v/>
      </c>
      <c r="P36" s="2060"/>
      <c r="Q36" s="2060"/>
      <c r="R36" s="2060"/>
      <c r="S36" s="2060"/>
      <c r="T36" s="2060"/>
      <c r="U36" s="2060"/>
      <c r="V36" s="2060"/>
      <c r="W36" s="2060"/>
      <c r="X36" s="2060"/>
      <c r="Y36" s="2060"/>
      <c r="Z36" s="2060"/>
      <c r="AA36" s="2060"/>
      <c r="AB36" s="2060"/>
      <c r="AC36" s="2060"/>
      <c r="AD36" s="1004"/>
      <c r="AE36" s="2060"/>
      <c r="AF36" s="2060"/>
      <c r="AG36" s="2060"/>
      <c r="AH36" s="2060"/>
      <c r="AI36" s="2060"/>
      <c r="AJ36" s="2060"/>
      <c r="AK36" s="2060"/>
      <c r="AL36" s="2060"/>
      <c r="AM36" s="2060"/>
      <c r="AN36" s="2060"/>
      <c r="AO36" s="2060"/>
      <c r="AP36" s="2060"/>
      <c r="AQ36" s="2060"/>
      <c r="AR36" s="2060"/>
      <c r="AS36" s="2060"/>
      <c r="AT36" s="2060"/>
      <c r="AU36" s="2060"/>
      <c r="AV36" s="2060"/>
      <c r="AW36" s="2060"/>
      <c r="AX36" s="2060"/>
      <c r="AY36" s="2060"/>
      <c r="AZ36" s="2060"/>
      <c r="BA36" s="2060"/>
      <c r="BB36" s="2060"/>
      <c r="BC36" s="2060"/>
      <c r="BD36" s="2060"/>
      <c r="BE36" s="2060"/>
      <c r="BF36" s="2060"/>
      <c r="BG36" s="2060"/>
      <c r="BH36" s="2060"/>
      <c r="BI36" s="2060"/>
      <c r="BJ36" s="2060"/>
      <c r="BK36" s="2060"/>
      <c r="BL36" s="2060"/>
      <c r="BM36" s="2060"/>
      <c r="BN36" s="2060"/>
      <c r="BO36" s="2060"/>
      <c r="BP36" s="2060"/>
      <c r="BQ36" s="2060"/>
      <c r="BR36" s="2060"/>
      <c r="BS36" s="2060"/>
      <c r="BT36" s="2060"/>
      <c r="BU36" s="2060"/>
      <c r="BV36" s="2060"/>
      <c r="BW36" s="2060"/>
      <c r="BX36" s="2060"/>
      <c r="BY36" s="2060"/>
      <c r="BZ36" s="2060"/>
      <c r="CA36" s="2060"/>
      <c r="CB36" s="2060"/>
      <c r="CC36" s="2060"/>
      <c r="CD36" s="2060"/>
      <c r="CE36" s="2060"/>
      <c r="CF36" s="2060"/>
      <c r="CG36" s="2060"/>
      <c r="CH36" s="2060"/>
      <c r="CI36" s="2060"/>
      <c r="CJ36" s="2060"/>
      <c r="CK36" s="2060"/>
      <c r="CL36" s="2060"/>
      <c r="CM36" s="2060"/>
      <c r="CN36" s="2060"/>
      <c r="CO36" s="2060"/>
      <c r="CP36" s="2060"/>
      <c r="CQ36" s="2060"/>
      <c r="CR36" s="2060"/>
      <c r="CS36" s="2060"/>
      <c r="CT36" s="2060"/>
      <c r="CU36" s="2060"/>
      <c r="CV36" s="2060"/>
      <c r="CW36" s="2060"/>
      <c r="CX36" s="2060"/>
      <c r="CY36" s="2060"/>
      <c r="CZ36" s="2060"/>
      <c r="DA36" s="2060"/>
      <c r="DB36" s="2060"/>
      <c r="DC36" s="2060"/>
      <c r="DD36" s="2060"/>
      <c r="DE36" s="2060"/>
      <c r="DF36" s="2060"/>
      <c r="DG36" s="2060"/>
      <c r="DH36" s="2060"/>
      <c r="DI36" s="2060"/>
      <c r="DJ36" s="2060"/>
      <c r="DK36" s="2060"/>
      <c r="DL36" s="2060"/>
      <c r="DM36" s="2060"/>
      <c r="DN36" s="2060"/>
      <c r="DO36" s="2060"/>
      <c r="DP36" s="2060"/>
      <c r="DQ36" s="2060"/>
      <c r="DR36" s="2060"/>
      <c r="DS36" s="2060"/>
      <c r="DT36" s="2060"/>
      <c r="DU36" s="2060"/>
      <c r="DV36" s="2060"/>
      <c r="DW36" s="2060"/>
      <c r="DX36" s="2060"/>
      <c r="DY36" s="2060"/>
      <c r="DZ36" s="2060"/>
      <c r="EA36" s="2060"/>
      <c r="EB36" s="2060"/>
      <c r="EC36" s="2060"/>
      <c r="ED36" s="2060"/>
      <c r="EE36" s="2060"/>
      <c r="EF36" s="2060"/>
      <c r="EG36" s="2060"/>
      <c r="EH36" s="2060"/>
      <c r="EI36" s="2060"/>
      <c r="EJ36" s="2060"/>
      <c r="EK36" s="2060"/>
      <c r="EL36" s="2060"/>
      <c r="EM36" s="2060"/>
      <c r="EN36" s="2060"/>
      <c r="EO36" s="2060"/>
      <c r="EP36" s="2060"/>
      <c r="EQ36" s="2060"/>
      <c r="ER36" s="2060"/>
      <c r="ES36" s="2060"/>
      <c r="ET36" s="2060"/>
      <c r="EU36" s="2060"/>
      <c r="EV36" s="2060"/>
      <c r="EW36" s="2060"/>
      <c r="EX36" s="2060"/>
      <c r="EY36" s="2060"/>
      <c r="EZ36" s="2060"/>
      <c r="FA36" s="2060"/>
      <c r="FB36" s="2060"/>
      <c r="FC36" s="2060"/>
      <c r="FD36" s="2060"/>
      <c r="FE36" s="2060"/>
      <c r="FF36" s="2060"/>
      <c r="FG36" s="2060"/>
      <c r="FH36" s="2060"/>
      <c r="FI36" s="2060"/>
      <c r="FJ36" s="2060"/>
      <c r="FK36" s="2060"/>
      <c r="FL36" s="2060"/>
      <c r="FM36" s="2060"/>
      <c r="FN36" s="2060"/>
      <c r="FO36" s="2060"/>
      <c r="FP36" s="2060"/>
      <c r="FQ36" s="2060"/>
      <c r="FR36" s="2060"/>
      <c r="FS36" s="2060"/>
      <c r="FT36" s="2060"/>
      <c r="FU36" s="2060"/>
      <c r="FV36" s="2060"/>
      <c r="FW36" s="2060"/>
      <c r="FX36" s="2060"/>
      <c r="FY36" s="2060"/>
      <c r="FZ36" s="2060"/>
      <c r="GA36" s="2060"/>
      <c r="GB36" s="2060"/>
      <c r="GC36" s="2060"/>
    </row>
    <row r="37" spans="1:185" s="1023" customFormat="1">
      <c r="A37" s="1004"/>
      <c r="B37" s="1004"/>
      <c r="C37" s="1502"/>
      <c r="D37" s="779">
        <f t="shared" ca="1" si="0"/>
        <v>1.1400000000000001</v>
      </c>
      <c r="E37" s="2060"/>
      <c r="F37" s="2060" t="str">
        <f>IF($E37="","",_xll.ciqfunctions.udf.CIQ($E37,"IQ_COMPANY_NAME"))</f>
        <v/>
      </c>
      <c r="G37" s="2060"/>
      <c r="H37" s="2060"/>
      <c r="I37" s="107" t="str">
        <f>IF($E37="","",_xll.ciqfunctions.udf.CIQ($E37,"IQ_RATE_TYPE"))</f>
        <v/>
      </c>
      <c r="J37" s="2060" t="str">
        <f>IF($E37="","",IF(_xll.ciqfunctions.udf.CIQ($E37,"IQ_RATE_COUNTRY")=0,"NA",_xll.ciqfunctions.udf.CIQ($E37,"IQ_RATE_COUNTRY")))</f>
        <v/>
      </c>
      <c r="K37" s="2060"/>
      <c r="L37" s="2060" t="str">
        <f>IF($E37="","",_xll.ciqfunctions.udf.CIQ($E37,"IQ_RATE_TERM"))</f>
        <v/>
      </c>
      <c r="M37" s="1402" t="str">
        <f>IF(OR(_xll.ciqfunctions.udf.CIQ($E37,"IQ_LASTSALEPRICE",M$22)=0,$E37=""),"",_xll.ciqfunctions.udf.CIQ($E37,"IQ_LASTSALEPRICE",M$22)/100)</f>
        <v/>
      </c>
      <c r="N37" s="1360" t="str">
        <f>IF(OR(_xll.ciqfunctions.udf.CIQ($E37,"IQ_LASTSALEPRICE",N$22)=0,$E37=""),"",_xll.ciqfunctions.udf.CIQ($E37,"IQ_LASTSALEPRICE",N$22)/100)</f>
        <v/>
      </c>
      <c r="O37" s="1360" t="str">
        <f>IF(OR(_xll.ciqfunctions.udf.CIQ($E37,"IQ_LASTSALEPRICE",O$22)=0,$E37=""),"",_xll.ciqfunctions.udf.CIQ($E37,"IQ_LASTSALEPRICE",O$22)/100)</f>
        <v/>
      </c>
      <c r="P37" s="2060"/>
      <c r="Q37" s="2060"/>
      <c r="R37" s="2060"/>
      <c r="S37" s="2060"/>
      <c r="T37" s="2060"/>
      <c r="U37" s="2060"/>
      <c r="V37" s="2060"/>
      <c r="W37" s="2060"/>
      <c r="X37" s="2060"/>
      <c r="Y37" s="2060"/>
      <c r="Z37" s="2060"/>
      <c r="AA37" s="2060"/>
      <c r="AB37" s="2060"/>
      <c r="AC37" s="2060"/>
      <c r="AD37" s="1004"/>
      <c r="AE37" s="2060"/>
      <c r="AF37" s="2060"/>
      <c r="AG37" s="2060"/>
      <c r="AH37" s="2060"/>
      <c r="AI37" s="2060"/>
      <c r="AJ37" s="2060"/>
      <c r="AK37" s="2060"/>
      <c r="AL37" s="2060"/>
      <c r="AM37" s="2060"/>
      <c r="AN37" s="2060"/>
      <c r="AO37" s="2060"/>
      <c r="AP37" s="2060"/>
      <c r="AQ37" s="2060"/>
      <c r="AR37" s="2060"/>
      <c r="AS37" s="2060"/>
      <c r="AT37" s="2060"/>
      <c r="AU37" s="2060"/>
      <c r="AV37" s="2060"/>
      <c r="AW37" s="2060"/>
      <c r="AX37" s="2060"/>
      <c r="AY37" s="2060"/>
      <c r="AZ37" s="2060"/>
      <c r="BA37" s="2060"/>
      <c r="BB37" s="2060"/>
      <c r="BC37" s="2060"/>
      <c r="BD37" s="2060"/>
      <c r="BE37" s="2060"/>
      <c r="BF37" s="2060"/>
      <c r="BG37" s="2060"/>
      <c r="BH37" s="2060"/>
      <c r="BI37" s="2060"/>
      <c r="BJ37" s="2060"/>
      <c r="BK37" s="2060"/>
      <c r="BL37" s="2060"/>
      <c r="BM37" s="2060"/>
      <c r="BN37" s="2060"/>
      <c r="BO37" s="2060"/>
      <c r="BP37" s="2060"/>
      <c r="BQ37" s="2060"/>
      <c r="BR37" s="2060"/>
      <c r="BS37" s="2060"/>
      <c r="BT37" s="2060"/>
      <c r="BU37" s="2060"/>
      <c r="BV37" s="2060"/>
      <c r="BW37" s="2060"/>
      <c r="BX37" s="2060"/>
      <c r="BY37" s="2060"/>
      <c r="BZ37" s="2060"/>
      <c r="CA37" s="2060"/>
      <c r="CB37" s="2060"/>
      <c r="CC37" s="2060"/>
      <c r="CD37" s="2060"/>
      <c r="CE37" s="2060"/>
      <c r="CF37" s="2060"/>
      <c r="CG37" s="2060"/>
      <c r="CH37" s="2060"/>
      <c r="CI37" s="2060"/>
      <c r="CJ37" s="2060"/>
      <c r="CK37" s="2060"/>
      <c r="CL37" s="2060"/>
      <c r="CM37" s="2060"/>
      <c r="CN37" s="2060"/>
      <c r="CO37" s="2060"/>
      <c r="CP37" s="2060"/>
      <c r="CQ37" s="2060"/>
      <c r="CR37" s="2060"/>
      <c r="CS37" s="2060"/>
      <c r="CT37" s="2060"/>
      <c r="CU37" s="2060"/>
      <c r="CV37" s="2060"/>
      <c r="CW37" s="2060"/>
      <c r="CX37" s="2060"/>
      <c r="CY37" s="2060"/>
      <c r="CZ37" s="2060"/>
      <c r="DA37" s="2060"/>
      <c r="DB37" s="2060"/>
      <c r="DC37" s="2060"/>
      <c r="DD37" s="2060"/>
      <c r="DE37" s="2060"/>
      <c r="DF37" s="2060"/>
      <c r="DG37" s="2060"/>
      <c r="DH37" s="2060"/>
      <c r="DI37" s="2060"/>
      <c r="DJ37" s="2060"/>
      <c r="DK37" s="2060"/>
      <c r="DL37" s="2060"/>
      <c r="DM37" s="2060"/>
      <c r="DN37" s="2060"/>
      <c r="DO37" s="2060"/>
      <c r="DP37" s="2060"/>
      <c r="DQ37" s="2060"/>
      <c r="DR37" s="2060"/>
      <c r="DS37" s="2060"/>
      <c r="DT37" s="2060"/>
      <c r="DU37" s="2060"/>
      <c r="DV37" s="2060"/>
      <c r="DW37" s="2060"/>
      <c r="DX37" s="2060"/>
      <c r="DY37" s="2060"/>
      <c r="DZ37" s="2060"/>
      <c r="EA37" s="2060"/>
      <c r="EB37" s="2060"/>
      <c r="EC37" s="2060"/>
      <c r="ED37" s="2060"/>
      <c r="EE37" s="2060"/>
      <c r="EF37" s="2060"/>
      <c r="EG37" s="2060"/>
      <c r="EH37" s="2060"/>
      <c r="EI37" s="2060"/>
      <c r="EJ37" s="2060"/>
      <c r="EK37" s="2060"/>
      <c r="EL37" s="2060"/>
      <c r="EM37" s="2060"/>
      <c r="EN37" s="2060"/>
      <c r="EO37" s="2060"/>
      <c r="EP37" s="2060"/>
      <c r="EQ37" s="2060"/>
      <c r="ER37" s="2060"/>
      <c r="ES37" s="2060"/>
      <c r="ET37" s="2060"/>
      <c r="EU37" s="2060"/>
      <c r="EV37" s="2060"/>
      <c r="EW37" s="2060"/>
      <c r="EX37" s="2060"/>
      <c r="EY37" s="2060"/>
      <c r="EZ37" s="2060"/>
      <c r="FA37" s="2060"/>
      <c r="FB37" s="2060"/>
      <c r="FC37" s="2060"/>
      <c r="FD37" s="2060"/>
      <c r="FE37" s="2060"/>
      <c r="FF37" s="2060"/>
      <c r="FG37" s="2060"/>
      <c r="FH37" s="2060"/>
      <c r="FI37" s="2060"/>
      <c r="FJ37" s="2060"/>
      <c r="FK37" s="2060"/>
      <c r="FL37" s="2060"/>
      <c r="FM37" s="2060"/>
      <c r="FN37" s="2060"/>
      <c r="FO37" s="2060"/>
      <c r="FP37" s="2060"/>
      <c r="FQ37" s="2060"/>
      <c r="FR37" s="2060"/>
      <c r="FS37" s="2060"/>
      <c r="FT37" s="2060"/>
      <c r="FU37" s="2060"/>
      <c r="FV37" s="2060"/>
      <c r="FW37" s="2060"/>
      <c r="FX37" s="2060"/>
      <c r="FY37" s="2060"/>
      <c r="FZ37" s="2060"/>
      <c r="GA37" s="2060"/>
      <c r="GB37" s="2060"/>
      <c r="GC37" s="2060"/>
    </row>
    <row r="38" spans="1:185" s="1023" customFormat="1">
      <c r="A38" s="1004"/>
      <c r="B38" s="1004"/>
      <c r="C38" s="1502"/>
      <c r="D38" s="779">
        <f t="shared" ca="1" si="0"/>
        <v>1.1500000000000001</v>
      </c>
      <c r="E38" s="2060"/>
      <c r="F38" s="2060" t="str">
        <f>IF($E38="","",_xll.ciqfunctions.udf.CIQ($E38,"IQ_COMPANY_NAME"))</f>
        <v/>
      </c>
      <c r="G38" s="2060"/>
      <c r="H38" s="2060"/>
      <c r="I38" s="107" t="str">
        <f>IF($E38="","",_xll.ciqfunctions.udf.CIQ($E38,"IQ_RATE_TYPE"))</f>
        <v/>
      </c>
      <c r="J38" s="2060" t="str">
        <f>IF($E38="","",IF(_xll.ciqfunctions.udf.CIQ($E38,"IQ_RATE_COUNTRY")=0,"NA",_xll.ciqfunctions.udf.CIQ($E38,"IQ_RATE_COUNTRY")))</f>
        <v/>
      </c>
      <c r="K38" s="2060"/>
      <c r="L38" s="2060" t="str">
        <f>IF($E38="","",_xll.ciqfunctions.udf.CIQ($E38,"IQ_RATE_TERM"))</f>
        <v/>
      </c>
      <c r="M38" s="1402" t="str">
        <f>IF(OR(_xll.ciqfunctions.udf.CIQ($E38,"IQ_LASTSALEPRICE",M$22)=0,$E38=""),"",_xll.ciqfunctions.udf.CIQ($E38,"IQ_LASTSALEPRICE",M$22)/100)</f>
        <v/>
      </c>
      <c r="N38" s="1360" t="str">
        <f>IF(OR(_xll.ciqfunctions.udf.CIQ($E38,"IQ_LASTSALEPRICE",N$22)=0,$E38=""),"",_xll.ciqfunctions.udf.CIQ($E38,"IQ_LASTSALEPRICE",N$22)/100)</f>
        <v/>
      </c>
      <c r="O38" s="1360" t="str">
        <f>IF(OR(_xll.ciqfunctions.udf.CIQ($E38,"IQ_LASTSALEPRICE",O$22)=0,$E38=""),"",_xll.ciqfunctions.udf.CIQ($E38,"IQ_LASTSALEPRICE",O$22)/100)</f>
        <v/>
      </c>
      <c r="P38" s="2060"/>
      <c r="Q38" s="2060"/>
      <c r="R38" s="2060"/>
      <c r="S38" s="2060"/>
      <c r="T38" s="2060"/>
      <c r="U38" s="2060"/>
      <c r="V38" s="2060"/>
      <c r="W38" s="2060"/>
      <c r="X38" s="2060"/>
      <c r="Y38" s="2060"/>
      <c r="Z38" s="2060"/>
      <c r="AA38" s="2060"/>
      <c r="AB38" s="2060"/>
      <c r="AC38" s="2060"/>
      <c r="AD38" s="1004"/>
      <c r="AE38" s="2060"/>
      <c r="AF38" s="2060"/>
      <c r="AG38" s="2060"/>
      <c r="AH38" s="2060"/>
      <c r="AI38" s="2060"/>
      <c r="AJ38" s="2060"/>
      <c r="AK38" s="2060"/>
      <c r="AL38" s="2060"/>
      <c r="AM38" s="2060"/>
      <c r="AN38" s="2060"/>
      <c r="AO38" s="2060"/>
      <c r="AP38" s="2060"/>
      <c r="AQ38" s="2060"/>
      <c r="AR38" s="2060"/>
      <c r="AS38" s="2060"/>
      <c r="AT38" s="2060"/>
      <c r="AU38" s="2060"/>
      <c r="AV38" s="2060"/>
      <c r="AW38" s="2060"/>
      <c r="AX38" s="2060"/>
      <c r="AY38" s="2060"/>
      <c r="AZ38" s="2060"/>
      <c r="BA38" s="2060"/>
      <c r="BB38" s="2060"/>
      <c r="BC38" s="2060"/>
      <c r="BD38" s="2060"/>
      <c r="BE38" s="2060"/>
      <c r="BF38" s="2060"/>
      <c r="BG38" s="2060"/>
      <c r="BH38" s="2060"/>
      <c r="BI38" s="2060"/>
      <c r="BJ38" s="2060"/>
      <c r="BK38" s="2060"/>
      <c r="BL38" s="2060"/>
      <c r="BM38" s="2060"/>
      <c r="BN38" s="2060"/>
      <c r="BO38" s="2060"/>
      <c r="BP38" s="2060"/>
      <c r="BQ38" s="2060"/>
      <c r="BR38" s="2060"/>
      <c r="BS38" s="2060"/>
      <c r="BT38" s="2060"/>
      <c r="BU38" s="2060"/>
      <c r="BV38" s="2060"/>
      <c r="BW38" s="2060"/>
      <c r="BX38" s="2060"/>
      <c r="BY38" s="2060"/>
      <c r="BZ38" s="2060"/>
      <c r="CA38" s="2060"/>
      <c r="CB38" s="2060"/>
      <c r="CC38" s="2060"/>
      <c r="CD38" s="2060"/>
      <c r="CE38" s="2060"/>
      <c r="CF38" s="2060"/>
      <c r="CG38" s="2060"/>
      <c r="CH38" s="2060"/>
      <c r="CI38" s="2060"/>
      <c r="CJ38" s="2060"/>
      <c r="CK38" s="2060"/>
      <c r="CL38" s="2060"/>
      <c r="CM38" s="2060"/>
      <c r="CN38" s="2060"/>
      <c r="CO38" s="2060"/>
      <c r="CP38" s="2060"/>
      <c r="CQ38" s="2060"/>
      <c r="CR38" s="2060"/>
      <c r="CS38" s="2060"/>
      <c r="CT38" s="2060"/>
      <c r="CU38" s="2060"/>
      <c r="CV38" s="2060"/>
      <c r="CW38" s="2060"/>
      <c r="CX38" s="2060"/>
      <c r="CY38" s="2060"/>
      <c r="CZ38" s="2060"/>
      <c r="DA38" s="2060"/>
      <c r="DB38" s="2060"/>
      <c r="DC38" s="2060"/>
      <c r="DD38" s="2060"/>
      <c r="DE38" s="2060"/>
      <c r="DF38" s="2060"/>
      <c r="DG38" s="2060"/>
      <c r="DH38" s="2060"/>
      <c r="DI38" s="2060"/>
      <c r="DJ38" s="2060"/>
      <c r="DK38" s="2060"/>
      <c r="DL38" s="2060"/>
      <c r="DM38" s="2060"/>
      <c r="DN38" s="2060"/>
      <c r="DO38" s="2060"/>
      <c r="DP38" s="2060"/>
      <c r="DQ38" s="2060"/>
      <c r="DR38" s="2060"/>
      <c r="DS38" s="2060"/>
      <c r="DT38" s="2060"/>
      <c r="DU38" s="2060"/>
      <c r="DV38" s="2060"/>
      <c r="DW38" s="2060"/>
      <c r="DX38" s="2060"/>
      <c r="DY38" s="2060"/>
      <c r="DZ38" s="2060"/>
      <c r="EA38" s="2060"/>
      <c r="EB38" s="2060"/>
      <c r="EC38" s="2060"/>
      <c r="ED38" s="2060"/>
      <c r="EE38" s="2060"/>
      <c r="EF38" s="2060"/>
      <c r="EG38" s="2060"/>
      <c r="EH38" s="2060"/>
      <c r="EI38" s="2060"/>
      <c r="EJ38" s="2060"/>
      <c r="EK38" s="2060"/>
      <c r="EL38" s="2060"/>
      <c r="EM38" s="2060"/>
      <c r="EN38" s="2060"/>
      <c r="EO38" s="2060"/>
      <c r="EP38" s="2060"/>
      <c r="EQ38" s="2060"/>
      <c r="ER38" s="2060"/>
      <c r="ES38" s="2060"/>
      <c r="ET38" s="2060"/>
      <c r="EU38" s="2060"/>
      <c r="EV38" s="2060"/>
      <c r="EW38" s="2060"/>
      <c r="EX38" s="2060"/>
      <c r="EY38" s="2060"/>
      <c r="EZ38" s="2060"/>
      <c r="FA38" s="2060"/>
      <c r="FB38" s="2060"/>
      <c r="FC38" s="2060"/>
      <c r="FD38" s="2060"/>
      <c r="FE38" s="2060"/>
      <c r="FF38" s="2060"/>
      <c r="FG38" s="2060"/>
      <c r="FH38" s="2060"/>
      <c r="FI38" s="2060"/>
      <c r="FJ38" s="2060"/>
      <c r="FK38" s="2060"/>
      <c r="FL38" s="2060"/>
      <c r="FM38" s="2060"/>
      <c r="FN38" s="2060"/>
      <c r="FO38" s="2060"/>
      <c r="FP38" s="2060"/>
      <c r="FQ38" s="2060"/>
      <c r="FR38" s="2060"/>
      <c r="FS38" s="2060"/>
      <c r="FT38" s="2060"/>
      <c r="FU38" s="2060"/>
      <c r="FV38" s="2060"/>
      <c r="FW38" s="2060"/>
      <c r="FX38" s="2060"/>
      <c r="FY38" s="2060"/>
      <c r="FZ38" s="2060"/>
      <c r="GA38" s="2060"/>
      <c r="GB38" s="2060"/>
      <c r="GC38" s="2060"/>
    </row>
    <row r="39" spans="1:185" s="1023" customFormat="1">
      <c r="A39" s="1004"/>
      <c r="B39" s="1004"/>
      <c r="C39" s="1502"/>
      <c r="D39" s="2060"/>
      <c r="E39" s="2060"/>
      <c r="F39" s="2060"/>
      <c r="G39" s="2060"/>
      <c r="H39" s="2060"/>
      <c r="I39" s="2060"/>
      <c r="J39" s="2060"/>
      <c r="K39" s="2060"/>
      <c r="L39" s="2060"/>
      <c r="M39" s="2060"/>
      <c r="N39" s="2060"/>
      <c r="O39" s="2060"/>
      <c r="P39" s="2060"/>
      <c r="Q39" s="2060"/>
      <c r="R39" s="2060"/>
      <c r="S39" s="2060"/>
      <c r="T39" s="2060"/>
      <c r="U39" s="2060"/>
      <c r="V39" s="2060"/>
      <c r="W39" s="2060"/>
      <c r="X39" s="2060"/>
      <c r="Y39" s="2060"/>
      <c r="Z39" s="2060"/>
      <c r="AA39" s="2060"/>
      <c r="AB39" s="2060"/>
      <c r="AC39" s="2060"/>
      <c r="AD39" s="1004"/>
      <c r="AE39" s="2060"/>
      <c r="AF39" s="2060"/>
      <c r="AG39" s="2060"/>
      <c r="AH39" s="2060"/>
      <c r="AI39" s="2060"/>
      <c r="AJ39" s="2060"/>
      <c r="AK39" s="2060"/>
      <c r="AL39" s="2060"/>
      <c r="AM39" s="2060"/>
      <c r="AN39" s="2060"/>
      <c r="AO39" s="2060"/>
      <c r="AP39" s="2060"/>
      <c r="AQ39" s="2060"/>
      <c r="AR39" s="2060"/>
      <c r="AS39" s="2060"/>
      <c r="AT39" s="2060"/>
      <c r="AU39" s="2060"/>
      <c r="AV39" s="2060"/>
      <c r="AW39" s="2060"/>
      <c r="AX39" s="2060"/>
      <c r="AY39" s="2060"/>
      <c r="AZ39" s="2060"/>
      <c r="BA39" s="2060"/>
      <c r="BB39" s="2060"/>
      <c r="BC39" s="2060"/>
      <c r="BD39" s="2060"/>
      <c r="BE39" s="2060"/>
      <c r="BF39" s="2060"/>
      <c r="BG39" s="2060"/>
      <c r="BH39" s="2060"/>
      <c r="BI39" s="2060"/>
      <c r="BJ39" s="2060"/>
      <c r="BK39" s="2060"/>
      <c r="BL39" s="2060"/>
      <c r="BM39" s="2060"/>
      <c r="BN39" s="2060"/>
      <c r="BO39" s="2060"/>
      <c r="BP39" s="2060"/>
      <c r="BQ39" s="2060"/>
      <c r="BR39" s="2060"/>
      <c r="BS39" s="2060"/>
      <c r="BT39" s="2060"/>
      <c r="BU39" s="2060"/>
      <c r="BV39" s="2060"/>
      <c r="BW39" s="2060"/>
      <c r="BX39" s="2060"/>
      <c r="BY39" s="2060"/>
      <c r="BZ39" s="2060"/>
      <c r="CA39" s="2060"/>
      <c r="CB39" s="2060"/>
      <c r="CC39" s="2060"/>
      <c r="CD39" s="2060"/>
      <c r="CE39" s="2060"/>
      <c r="CF39" s="2060"/>
      <c r="CG39" s="2060"/>
      <c r="CH39" s="2060"/>
      <c r="CI39" s="2060"/>
      <c r="CJ39" s="2060"/>
      <c r="CK39" s="2060"/>
      <c r="CL39" s="2060"/>
      <c r="CM39" s="2060"/>
      <c r="CN39" s="2060"/>
      <c r="CO39" s="2060"/>
      <c r="CP39" s="2060"/>
      <c r="CQ39" s="2060"/>
      <c r="CR39" s="2060"/>
      <c r="CS39" s="2060"/>
      <c r="CT39" s="2060"/>
      <c r="CU39" s="2060"/>
      <c r="CV39" s="2060"/>
      <c r="CW39" s="2060"/>
      <c r="CX39" s="2060"/>
      <c r="CY39" s="2060"/>
      <c r="CZ39" s="2060"/>
      <c r="DA39" s="2060"/>
      <c r="DB39" s="2060"/>
      <c r="DC39" s="2060"/>
      <c r="DD39" s="2060"/>
      <c r="DE39" s="2060"/>
      <c r="DF39" s="2060"/>
      <c r="DG39" s="2060"/>
      <c r="DH39" s="2060"/>
      <c r="DI39" s="2060"/>
      <c r="DJ39" s="2060"/>
      <c r="DK39" s="2060"/>
      <c r="DL39" s="2060"/>
      <c r="DM39" s="2060"/>
      <c r="DN39" s="2060"/>
      <c r="DO39" s="2060"/>
      <c r="DP39" s="2060"/>
      <c r="DQ39" s="2060"/>
      <c r="DR39" s="2060"/>
      <c r="DS39" s="2060"/>
      <c r="DT39" s="2060"/>
      <c r="DU39" s="2060"/>
      <c r="DV39" s="2060"/>
      <c r="DW39" s="2060"/>
      <c r="DX39" s="2060"/>
      <c r="DY39" s="2060"/>
      <c r="DZ39" s="2060"/>
      <c r="EA39" s="2060"/>
      <c r="EB39" s="2060"/>
      <c r="EC39" s="2060"/>
      <c r="ED39" s="2060"/>
      <c r="EE39" s="2060"/>
      <c r="EF39" s="2060"/>
      <c r="EG39" s="2060"/>
      <c r="EH39" s="2060"/>
      <c r="EI39" s="2060"/>
      <c r="EJ39" s="2060"/>
      <c r="EK39" s="2060"/>
      <c r="EL39" s="2060"/>
      <c r="EM39" s="2060"/>
      <c r="EN39" s="2060"/>
      <c r="EO39" s="2060"/>
      <c r="EP39" s="2060"/>
      <c r="EQ39" s="2060"/>
      <c r="ER39" s="2060"/>
      <c r="ES39" s="2060"/>
      <c r="ET39" s="2060"/>
      <c r="EU39" s="2060"/>
      <c r="EV39" s="2060"/>
      <c r="EW39" s="2060"/>
      <c r="EX39" s="2060"/>
      <c r="EY39" s="2060"/>
      <c r="EZ39" s="2060"/>
      <c r="FA39" s="2060"/>
      <c r="FB39" s="2060"/>
      <c r="FC39" s="2060"/>
      <c r="FD39" s="2060"/>
      <c r="FE39" s="2060"/>
      <c r="FF39" s="2060"/>
      <c r="FG39" s="2060"/>
      <c r="FH39" s="2060"/>
      <c r="FI39" s="2060"/>
      <c r="FJ39" s="2060"/>
      <c r="FK39" s="2060"/>
      <c r="FL39" s="2060"/>
      <c r="FM39" s="2060"/>
      <c r="FN39" s="2060"/>
      <c r="FO39" s="2060"/>
      <c r="FP39" s="2060"/>
      <c r="FQ39" s="2060"/>
      <c r="FR39" s="2060"/>
      <c r="FS39" s="2060"/>
      <c r="FT39" s="2060"/>
      <c r="FU39" s="2060"/>
      <c r="FV39" s="2060"/>
      <c r="FW39" s="2060"/>
      <c r="FX39" s="2060"/>
      <c r="FY39" s="2060"/>
      <c r="FZ39" s="2060"/>
      <c r="GA39" s="2060"/>
      <c r="GB39" s="2060"/>
      <c r="GC39" s="2060"/>
    </row>
    <row r="40" spans="1:185" customFormat="1" ht="18">
      <c r="A40" s="1004"/>
      <c r="B40" s="1004"/>
      <c r="C40" s="1639">
        <f ca="1">MAX(OFFSET(C40,-1,0,-ROW(C40)+1,1))+1</f>
        <v>2</v>
      </c>
      <c r="D40" s="1634" t="s">
        <v>1134</v>
      </c>
      <c r="E40" s="1635"/>
      <c r="F40" s="1636"/>
      <c r="G40" s="1640"/>
      <c r="H40" s="1638"/>
      <c r="I40" s="1638"/>
      <c r="J40" s="1638"/>
      <c r="K40" s="1638"/>
      <c r="L40" s="1638"/>
      <c r="M40" s="1638"/>
      <c r="N40" s="1638"/>
      <c r="O40" s="1638"/>
      <c r="P40" s="1638"/>
      <c r="Q40" s="1004"/>
      <c r="R40" s="1004"/>
      <c r="S40" s="1004"/>
      <c r="T40" s="1004"/>
      <c r="U40" s="1004"/>
      <c r="V40" s="1004"/>
      <c r="W40" s="1004"/>
      <c r="X40" s="1004"/>
      <c r="Y40" s="1004"/>
      <c r="Z40" s="1004"/>
      <c r="AA40" s="1004"/>
      <c r="AB40" s="1004"/>
      <c r="AC40" s="1004"/>
      <c r="AD40" s="1004"/>
      <c r="AE40" s="2060"/>
      <c r="AF40" s="2060"/>
      <c r="AG40" s="2060"/>
      <c r="AH40" s="2060"/>
      <c r="AI40" s="2060"/>
      <c r="AJ40" s="2060"/>
      <c r="AK40" s="2060"/>
      <c r="AL40" s="2060"/>
      <c r="AM40" s="2060"/>
      <c r="AN40" s="2060"/>
      <c r="AO40" s="2060"/>
      <c r="AP40" s="2060"/>
      <c r="AQ40" s="2060"/>
      <c r="AR40" s="2060"/>
      <c r="AS40" s="2060"/>
      <c r="AT40" s="2060"/>
      <c r="AU40" s="2060"/>
      <c r="AV40" s="2060"/>
      <c r="AW40" s="2060"/>
      <c r="AX40" s="2060"/>
      <c r="AY40" s="2060"/>
      <c r="AZ40" s="2060"/>
      <c r="BA40" s="2060"/>
      <c r="BB40" s="2060"/>
      <c r="BC40" s="2060"/>
      <c r="BD40" s="2060"/>
      <c r="BE40" s="2060"/>
      <c r="BF40" s="2060"/>
      <c r="BG40" s="2060"/>
      <c r="BH40" s="2060"/>
      <c r="BI40" s="2060"/>
      <c r="BJ40" s="2060"/>
      <c r="BK40" s="2060"/>
      <c r="BL40" s="2060"/>
      <c r="BM40" s="2060"/>
      <c r="BN40" s="2060"/>
      <c r="BO40" s="2060"/>
      <c r="BP40" s="2060"/>
      <c r="BQ40" s="2060"/>
      <c r="BR40" s="2060"/>
      <c r="BS40" s="2060"/>
      <c r="BT40" s="2060"/>
      <c r="BU40" s="2060"/>
      <c r="BV40" s="2060"/>
      <c r="BW40" s="2060"/>
      <c r="BX40" s="2060"/>
      <c r="BY40" s="2060"/>
      <c r="BZ40" s="2060"/>
      <c r="CA40" s="2060"/>
      <c r="CB40" s="2060"/>
      <c r="CC40" s="2060"/>
      <c r="CD40" s="2060"/>
      <c r="CE40" s="2060"/>
      <c r="CF40" s="2060"/>
      <c r="CG40" s="2060"/>
      <c r="CH40" s="2060"/>
      <c r="CI40" s="2060"/>
      <c r="CJ40" s="2060"/>
      <c r="CK40" s="2060"/>
      <c r="CL40" s="2060"/>
      <c r="CM40" s="2060"/>
      <c r="CN40" s="2060"/>
      <c r="CO40" s="2060"/>
      <c r="CP40" s="2060"/>
      <c r="CQ40" s="2060"/>
      <c r="CR40" s="2060"/>
      <c r="CS40" s="2060"/>
      <c r="CT40" s="2060"/>
      <c r="CU40" s="2060"/>
      <c r="CV40" s="2060"/>
      <c r="CW40" s="2060"/>
      <c r="CX40" s="2060"/>
      <c r="CY40" s="2060"/>
      <c r="CZ40" s="2060"/>
      <c r="DA40" s="2060"/>
      <c r="DB40" s="2060"/>
      <c r="DC40" s="2060"/>
      <c r="DD40" s="2060"/>
      <c r="DE40" s="2060"/>
      <c r="DF40" s="2060"/>
      <c r="DG40" s="2060"/>
      <c r="DH40" s="2060"/>
      <c r="DI40" s="2060"/>
      <c r="DJ40" s="2060"/>
      <c r="DK40" s="2060"/>
      <c r="DL40" s="2060"/>
      <c r="DM40" s="2060"/>
      <c r="DN40" s="2060"/>
      <c r="DO40" s="2060"/>
      <c r="DP40" s="2060"/>
      <c r="DQ40" s="2060"/>
      <c r="DR40" s="2060"/>
      <c r="DS40" s="2060"/>
      <c r="DT40" s="2060"/>
      <c r="DU40" s="2060"/>
      <c r="DV40" s="2060"/>
      <c r="DW40" s="2060"/>
      <c r="DX40" s="2060"/>
      <c r="DY40" s="2060"/>
      <c r="DZ40" s="2060"/>
      <c r="EA40" s="2060"/>
      <c r="EB40" s="2060"/>
      <c r="EC40" s="2060"/>
      <c r="ED40" s="2060"/>
      <c r="EE40" s="2060"/>
      <c r="EF40" s="2060"/>
      <c r="EG40" s="2060"/>
      <c r="EH40" s="2060"/>
      <c r="EI40" s="2060"/>
      <c r="EJ40" s="2060"/>
      <c r="EK40" s="2060"/>
      <c r="EL40" s="2060"/>
      <c r="EM40" s="2060"/>
      <c r="EN40" s="2060"/>
      <c r="EO40" s="2060"/>
      <c r="EP40" s="2060"/>
      <c r="EQ40" s="2060"/>
      <c r="ER40" s="2060"/>
      <c r="ES40" s="2060"/>
      <c r="ET40" s="2060"/>
      <c r="EU40" s="2060"/>
      <c r="EV40" s="2060"/>
      <c r="EW40" s="2060"/>
      <c r="EX40" s="2060"/>
      <c r="EY40" s="2060"/>
      <c r="EZ40" s="2060"/>
      <c r="FA40" s="2060"/>
      <c r="FB40" s="2060"/>
      <c r="FC40" s="2060"/>
      <c r="FD40" s="2060"/>
      <c r="FE40" s="2060"/>
      <c r="FF40" s="2060"/>
      <c r="FG40" s="2060"/>
      <c r="FH40" s="2060"/>
      <c r="FI40" s="2060"/>
      <c r="FJ40" s="2060"/>
      <c r="FK40" s="2060"/>
      <c r="FL40" s="2060"/>
      <c r="FM40" s="2060"/>
      <c r="FN40" s="2060"/>
      <c r="FO40" s="2060"/>
      <c r="FP40" s="2060"/>
      <c r="FQ40" s="2060"/>
      <c r="FR40" s="2060"/>
      <c r="FS40" s="2060"/>
      <c r="FT40" s="2060"/>
      <c r="FU40" s="2060"/>
      <c r="FV40" s="2060"/>
      <c r="FW40" s="2060"/>
      <c r="FX40" s="2060"/>
      <c r="FY40" s="2060"/>
      <c r="FZ40" s="2060"/>
      <c r="GA40" s="2060"/>
      <c r="GB40" s="2060"/>
      <c r="GC40" s="2060"/>
    </row>
    <row r="41" spans="1:185" customFormat="1" ht="17.45">
      <c r="A41" s="1631"/>
      <c r="B41" s="1631"/>
      <c r="C41" s="782"/>
      <c r="D41" s="779"/>
      <c r="E41" s="167" t="s">
        <v>1135</v>
      </c>
      <c r="F41" s="783"/>
      <c r="G41" s="783"/>
      <c r="H41" s="783"/>
      <c r="I41" s="783"/>
      <c r="J41" s="783"/>
      <c r="K41" s="783"/>
      <c r="L41" s="783"/>
      <c r="M41" s="783"/>
      <c r="N41" s="783"/>
      <c r="O41" s="783"/>
      <c r="P41" s="783"/>
      <c r="Q41" s="783"/>
      <c r="R41" s="2060"/>
      <c r="S41" s="2060"/>
      <c r="T41" s="2060"/>
      <c r="U41" s="2060"/>
      <c r="V41" s="2060"/>
      <c r="W41" s="128"/>
      <c r="X41" s="2060"/>
      <c r="Y41" s="2060"/>
      <c r="Z41" s="2060"/>
      <c r="AA41" s="2060"/>
      <c r="AB41" s="2060"/>
      <c r="AC41" s="2060"/>
      <c r="AD41" s="1004"/>
      <c r="AE41" s="2060"/>
      <c r="AF41" s="2060"/>
      <c r="AG41" s="2060"/>
      <c r="AH41" s="2060"/>
      <c r="AI41" s="2060"/>
      <c r="AJ41" s="2060"/>
      <c r="AK41" s="2060"/>
      <c r="AL41" s="2060"/>
      <c r="AM41" s="2060"/>
      <c r="AN41" s="2060"/>
      <c r="AO41" s="2060"/>
      <c r="AP41" s="2060"/>
      <c r="AQ41" s="2060"/>
      <c r="AR41" s="2060"/>
      <c r="AS41" s="2060"/>
      <c r="AT41" s="2060"/>
      <c r="AU41" s="2060"/>
      <c r="AV41" s="2060"/>
      <c r="AW41" s="2060"/>
      <c r="AX41" s="2060"/>
      <c r="AY41" s="2060"/>
      <c r="AZ41" s="2060"/>
      <c r="BA41" s="2060"/>
      <c r="BB41" s="2060"/>
      <c r="BC41" s="2060"/>
      <c r="BD41" s="2060"/>
      <c r="BE41" s="2060"/>
      <c r="BF41" s="2060"/>
      <c r="BG41" s="2060"/>
      <c r="BH41" s="2060"/>
      <c r="BI41" s="2060"/>
      <c r="BJ41" s="2060"/>
      <c r="BK41" s="2060"/>
      <c r="BL41" s="2060"/>
      <c r="BM41" s="2060"/>
      <c r="BN41" s="2060"/>
      <c r="BO41" s="2060"/>
      <c r="BP41" s="2060"/>
      <c r="BQ41" s="2060"/>
      <c r="BR41" s="2060"/>
      <c r="BS41" s="2060"/>
      <c r="BT41" s="2060"/>
      <c r="BU41" s="2060"/>
      <c r="BV41" s="2060"/>
      <c r="BW41" s="2060"/>
      <c r="BX41" s="2060"/>
      <c r="BY41" s="2060"/>
      <c r="BZ41" s="2060"/>
      <c r="CA41" s="2060"/>
      <c r="CB41" s="2060"/>
      <c r="CC41" s="2060"/>
      <c r="CD41" s="2060"/>
      <c r="CE41" s="2060"/>
      <c r="CF41" s="2060"/>
      <c r="CG41" s="2060"/>
      <c r="CH41" s="2060"/>
      <c r="CI41" s="2060"/>
      <c r="CJ41" s="2060"/>
      <c r="CK41" s="2060"/>
      <c r="CL41" s="2060"/>
      <c r="CM41" s="2060"/>
      <c r="CN41" s="2060"/>
      <c r="CO41" s="2060"/>
      <c r="CP41" s="2060"/>
      <c r="CQ41" s="2060"/>
      <c r="CR41" s="2060"/>
      <c r="CS41" s="2060"/>
      <c r="CT41" s="2060"/>
      <c r="CU41" s="2060"/>
      <c r="CV41" s="2060"/>
      <c r="CW41" s="2060"/>
      <c r="CX41" s="2060"/>
      <c r="CY41" s="2060"/>
      <c r="CZ41" s="2060"/>
      <c r="DA41" s="2060"/>
      <c r="DB41" s="2060"/>
      <c r="DC41" s="2060"/>
      <c r="DD41" s="2060"/>
      <c r="DE41" s="2060"/>
      <c r="DF41" s="2060"/>
      <c r="DG41" s="2060"/>
      <c r="DH41" s="2060"/>
      <c r="DI41" s="2060"/>
      <c r="DJ41" s="2060"/>
      <c r="DK41" s="2060"/>
      <c r="DL41" s="2060"/>
      <c r="DM41" s="2060"/>
      <c r="DN41" s="2060"/>
      <c r="DO41" s="2060"/>
      <c r="DP41" s="2060"/>
      <c r="DQ41" s="2060"/>
      <c r="DR41" s="2060"/>
      <c r="DS41" s="2060"/>
      <c r="DT41" s="2060"/>
      <c r="DU41" s="2060"/>
      <c r="DV41" s="2060"/>
      <c r="DW41" s="2060"/>
      <c r="DX41" s="2060"/>
      <c r="DY41" s="2060"/>
      <c r="DZ41" s="2060"/>
      <c r="EA41" s="2060"/>
      <c r="EB41" s="2060"/>
      <c r="EC41" s="2060"/>
      <c r="ED41" s="2060"/>
      <c r="EE41" s="2060"/>
      <c r="EF41" s="2060"/>
      <c r="EG41" s="2060"/>
      <c r="EH41" s="2060"/>
      <c r="EI41" s="2060"/>
      <c r="EJ41" s="2060"/>
      <c r="EK41" s="2060"/>
      <c r="EL41" s="2060"/>
      <c r="EM41" s="2060"/>
      <c r="EN41" s="2060"/>
      <c r="EO41" s="2060"/>
      <c r="EP41" s="2060"/>
      <c r="EQ41" s="2060"/>
      <c r="ER41" s="2060"/>
      <c r="ES41" s="2060"/>
      <c r="ET41" s="2060"/>
      <c r="EU41" s="2060"/>
      <c r="EV41" s="2060"/>
      <c r="EW41" s="2060"/>
      <c r="EX41" s="2060"/>
      <c r="EY41" s="2060"/>
      <c r="EZ41" s="2060"/>
      <c r="FA41" s="2060"/>
      <c r="FB41" s="2060"/>
      <c r="FC41" s="2060"/>
      <c r="FD41" s="2060"/>
      <c r="FE41" s="2060"/>
      <c r="FF41" s="2060"/>
      <c r="FG41" s="2060"/>
      <c r="FH41" s="2060"/>
      <c r="FI41" s="2060"/>
      <c r="FJ41" s="2060"/>
      <c r="FK41" s="2060"/>
      <c r="FL41" s="2060"/>
      <c r="FM41" s="2060"/>
      <c r="FN41" s="2060"/>
      <c r="FO41" s="2060"/>
      <c r="FP41" s="2060"/>
      <c r="FQ41" s="2060"/>
      <c r="FR41" s="2060"/>
      <c r="FS41" s="2060"/>
      <c r="FT41" s="2060"/>
      <c r="FU41" s="2060"/>
      <c r="FV41" s="2060"/>
      <c r="FW41" s="2060"/>
      <c r="FX41" s="2060"/>
      <c r="FY41" s="2060"/>
      <c r="FZ41" s="2060"/>
      <c r="GA41" s="2060"/>
      <c r="GB41" s="2060"/>
      <c r="GC41" s="2060"/>
    </row>
    <row r="42" spans="1:185" customFormat="1" ht="12.75" customHeight="1">
      <c r="A42" s="659"/>
      <c r="B42" s="659"/>
      <c r="C42" s="133"/>
      <c r="D42" s="133"/>
      <c r="E42" s="134"/>
      <c r="F42" s="135"/>
      <c r="G42" s="135"/>
      <c r="H42" s="135"/>
      <c r="I42" s="135"/>
      <c r="J42" s="135"/>
      <c r="K42" s="135"/>
      <c r="L42" s="135"/>
      <c r="M42" s="135"/>
      <c r="N42" s="135"/>
      <c r="O42" s="135"/>
      <c r="P42" s="135"/>
      <c r="Q42" s="135"/>
      <c r="R42" s="2060"/>
      <c r="S42" s="2060"/>
      <c r="T42" s="2060"/>
      <c r="U42" s="2060"/>
      <c r="V42" s="2060"/>
      <c r="W42" s="128"/>
      <c r="X42" s="2060"/>
      <c r="Y42" s="2060"/>
      <c r="Z42" s="2060"/>
      <c r="AA42" s="2060"/>
      <c r="AB42" s="2060"/>
      <c r="AC42" s="2060"/>
      <c r="AD42" s="1004"/>
      <c r="AE42" s="2060"/>
      <c r="AF42" s="2060"/>
      <c r="AG42" s="2060"/>
      <c r="AH42" s="2060"/>
      <c r="AI42" s="2060"/>
      <c r="AJ42" s="2060"/>
      <c r="AK42" s="2060"/>
      <c r="AL42" s="2060"/>
      <c r="AM42" s="2060"/>
      <c r="AN42" s="2060"/>
      <c r="AO42" s="2060"/>
      <c r="AP42" s="2060"/>
      <c r="AQ42" s="2060"/>
      <c r="AR42" s="2060"/>
      <c r="AS42" s="2060"/>
      <c r="AT42" s="2060"/>
      <c r="AU42" s="2060"/>
      <c r="AV42" s="2060"/>
      <c r="AW42" s="2060"/>
      <c r="AX42" s="2060"/>
      <c r="AY42" s="2060"/>
      <c r="AZ42" s="2060"/>
      <c r="BA42" s="2060"/>
      <c r="BB42" s="2060"/>
      <c r="BC42" s="2060"/>
      <c r="BD42" s="2060"/>
      <c r="BE42" s="2060"/>
      <c r="BF42" s="2060"/>
      <c r="BG42" s="2060"/>
      <c r="BH42" s="2060"/>
      <c r="BI42" s="2060"/>
      <c r="BJ42" s="2060"/>
      <c r="BK42" s="2060"/>
      <c r="BL42" s="2060"/>
      <c r="BM42" s="2060"/>
      <c r="BN42" s="2060"/>
      <c r="BO42" s="2060"/>
      <c r="BP42" s="2060"/>
      <c r="BQ42" s="2060"/>
      <c r="BR42" s="2060"/>
      <c r="BS42" s="2060"/>
      <c r="BT42" s="2060"/>
      <c r="BU42" s="2060"/>
      <c r="BV42" s="2060"/>
      <c r="BW42" s="2060"/>
      <c r="BX42" s="2060"/>
      <c r="BY42" s="2060"/>
      <c r="BZ42" s="2060"/>
      <c r="CA42" s="2060"/>
      <c r="CB42" s="2060"/>
      <c r="CC42" s="2060"/>
      <c r="CD42" s="2060"/>
      <c r="CE42" s="2060"/>
      <c r="CF42" s="2060"/>
      <c r="CG42" s="2060"/>
      <c r="CH42" s="2060"/>
      <c r="CI42" s="2060"/>
      <c r="CJ42" s="2060"/>
      <c r="CK42" s="2060"/>
      <c r="CL42" s="2060"/>
      <c r="CM42" s="2060"/>
      <c r="CN42" s="2060"/>
      <c r="CO42" s="2060"/>
      <c r="CP42" s="2060"/>
      <c r="CQ42" s="2060"/>
      <c r="CR42" s="2060"/>
      <c r="CS42" s="2060"/>
      <c r="CT42" s="2060"/>
      <c r="CU42" s="2060"/>
      <c r="CV42" s="2060"/>
      <c r="CW42" s="2060"/>
      <c r="CX42" s="2060"/>
      <c r="CY42" s="2060"/>
      <c r="CZ42" s="2060"/>
      <c r="DA42" s="2060"/>
      <c r="DB42" s="2060"/>
      <c r="DC42" s="2060"/>
      <c r="DD42" s="2060"/>
      <c r="DE42" s="2060"/>
      <c r="DF42" s="2060"/>
      <c r="DG42" s="2060"/>
      <c r="DH42" s="2060"/>
      <c r="DI42" s="2060"/>
      <c r="DJ42" s="2060"/>
      <c r="DK42" s="2060"/>
      <c r="DL42" s="2060"/>
      <c r="DM42" s="2060"/>
      <c r="DN42" s="2060"/>
      <c r="DO42" s="2060"/>
      <c r="DP42" s="2060"/>
      <c r="DQ42" s="2060"/>
      <c r="DR42" s="2060"/>
      <c r="DS42" s="2060"/>
      <c r="DT42" s="2060"/>
      <c r="DU42" s="2060"/>
      <c r="DV42" s="2060"/>
      <c r="DW42" s="2060"/>
      <c r="DX42" s="2060"/>
      <c r="DY42" s="2060"/>
      <c r="DZ42" s="2060"/>
      <c r="EA42" s="2060"/>
      <c r="EB42" s="2060"/>
      <c r="EC42" s="2060"/>
      <c r="ED42" s="2060"/>
      <c r="EE42" s="2060"/>
      <c r="EF42" s="2060"/>
      <c r="EG42" s="2060"/>
      <c r="EH42" s="2060"/>
      <c r="EI42" s="2060"/>
      <c r="EJ42" s="2060"/>
      <c r="EK42" s="2060"/>
      <c r="EL42" s="2060"/>
      <c r="EM42" s="2060"/>
      <c r="EN42" s="2060"/>
      <c r="EO42" s="2060"/>
      <c r="EP42" s="2060"/>
      <c r="EQ42" s="2060"/>
      <c r="ER42" s="2060"/>
      <c r="ES42" s="2060"/>
      <c r="ET42" s="2060"/>
      <c r="EU42" s="2060"/>
      <c r="EV42" s="2060"/>
      <c r="EW42" s="2060"/>
      <c r="EX42" s="2060"/>
      <c r="EY42" s="2060"/>
      <c r="EZ42" s="2060"/>
      <c r="FA42" s="2060"/>
      <c r="FB42" s="2060"/>
      <c r="FC42" s="2060"/>
      <c r="FD42" s="2060"/>
      <c r="FE42" s="2060"/>
      <c r="FF42" s="2060"/>
      <c r="FG42" s="2060"/>
      <c r="FH42" s="2060"/>
      <c r="FI42" s="2060"/>
      <c r="FJ42" s="2060"/>
      <c r="FK42" s="2060"/>
      <c r="FL42" s="2060"/>
      <c r="FM42" s="2060"/>
      <c r="FN42" s="2060"/>
      <c r="FO42" s="2060"/>
      <c r="FP42" s="2060"/>
      <c r="FQ42" s="2060"/>
      <c r="FR42" s="2060"/>
      <c r="FS42" s="2060"/>
      <c r="FT42" s="2060"/>
      <c r="FU42" s="2060"/>
      <c r="FV42" s="2060"/>
      <c r="FW42" s="2060"/>
      <c r="FX42" s="2060"/>
      <c r="FY42" s="2060"/>
      <c r="FZ42" s="2060"/>
      <c r="GA42" s="2060"/>
      <c r="GB42" s="2060"/>
      <c r="GC42" s="2060"/>
    </row>
    <row r="43" spans="1:185" customFormat="1" ht="12.75" customHeight="1">
      <c r="A43" s="659"/>
      <c r="B43" s="659"/>
      <c r="C43" s="133"/>
      <c r="D43" s="133"/>
      <c r="E43" s="133"/>
      <c r="F43" s="835" t="s">
        <v>1136</v>
      </c>
      <c r="G43" s="1766" t="s">
        <v>1115</v>
      </c>
      <c r="H43" s="836"/>
      <c r="I43" s="414" t="s">
        <v>1137</v>
      </c>
      <c r="J43" s="2161" t="s">
        <v>1138</v>
      </c>
      <c r="K43" s="2169"/>
      <c r="L43" s="836"/>
      <c r="M43" s="133"/>
      <c r="N43" s="836"/>
      <c r="O43" s="836"/>
      <c r="P43" s="836"/>
      <c r="Q43" s="836"/>
      <c r="R43" s="255"/>
      <c r="S43" s="2060"/>
      <c r="T43" s="2060"/>
      <c r="U43" s="2060"/>
      <c r="V43" s="2060"/>
      <c r="W43" s="128"/>
      <c r="X43" s="2060"/>
      <c r="Y43" s="2060"/>
      <c r="Z43" s="2060"/>
      <c r="AA43" s="2060"/>
      <c r="AB43" s="2060"/>
      <c r="AC43" s="2060"/>
      <c r="AD43" s="1004"/>
      <c r="AE43" s="2060"/>
      <c r="AF43" s="2060"/>
      <c r="AG43" s="2060"/>
      <c r="AH43" s="2060"/>
      <c r="AI43" s="2060"/>
      <c r="AJ43" s="2060"/>
      <c r="AK43" s="2060"/>
      <c r="AL43" s="2060"/>
      <c r="AM43" s="2060"/>
      <c r="AN43" s="2060"/>
      <c r="AO43" s="2060"/>
      <c r="AP43" s="2060"/>
      <c r="AQ43" s="2060"/>
      <c r="AR43" s="2060"/>
      <c r="AS43" s="2060"/>
      <c r="AT43" s="2060"/>
      <c r="AU43" s="2060"/>
      <c r="AV43" s="2060"/>
      <c r="AW43" s="2060"/>
      <c r="AX43" s="2060"/>
      <c r="AY43" s="2060"/>
      <c r="AZ43" s="2060"/>
      <c r="BA43" s="2060"/>
      <c r="BB43" s="2060"/>
      <c r="BC43" s="2060"/>
      <c r="BD43" s="2060"/>
      <c r="BE43" s="2060"/>
      <c r="BF43" s="2060"/>
      <c r="BG43" s="2060"/>
      <c r="BH43" s="2060"/>
      <c r="BI43" s="2060"/>
      <c r="BJ43" s="2060"/>
      <c r="BK43" s="2060"/>
      <c r="BL43" s="2060"/>
      <c r="BM43" s="2060"/>
      <c r="BN43" s="2060"/>
      <c r="BO43" s="2060"/>
      <c r="BP43" s="2060"/>
      <c r="BQ43" s="2060"/>
      <c r="BR43" s="2060"/>
      <c r="BS43" s="2060"/>
      <c r="BT43" s="2060"/>
      <c r="BU43" s="2060"/>
      <c r="BV43" s="2060"/>
      <c r="BW43" s="2060"/>
      <c r="BX43" s="2060"/>
      <c r="BY43" s="2060"/>
      <c r="BZ43" s="2060"/>
      <c r="CA43" s="2060"/>
      <c r="CB43" s="2060"/>
      <c r="CC43" s="2060"/>
      <c r="CD43" s="2060"/>
      <c r="CE43" s="2060"/>
      <c r="CF43" s="2060"/>
      <c r="CG43" s="2060"/>
      <c r="CH43" s="2060"/>
      <c r="CI43" s="2060"/>
      <c r="CJ43" s="2060"/>
      <c r="CK43" s="2060"/>
      <c r="CL43" s="2060"/>
      <c r="CM43" s="2060"/>
      <c r="CN43" s="2060"/>
      <c r="CO43" s="2060"/>
      <c r="CP43" s="2060"/>
      <c r="CQ43" s="2060"/>
      <c r="CR43" s="2060"/>
      <c r="CS43" s="2060"/>
      <c r="CT43" s="2060"/>
      <c r="CU43" s="2060"/>
      <c r="CV43" s="2060"/>
      <c r="CW43" s="2060"/>
      <c r="CX43" s="2060"/>
      <c r="CY43" s="2060"/>
      <c r="CZ43" s="2060"/>
      <c r="DA43" s="2060"/>
      <c r="DB43" s="2060"/>
      <c r="DC43" s="2060"/>
      <c r="DD43" s="2060"/>
      <c r="DE43" s="2060"/>
      <c r="DF43" s="2060"/>
      <c r="DG43" s="2060"/>
      <c r="DH43" s="2060"/>
      <c r="DI43" s="2060"/>
      <c r="DJ43" s="2060"/>
      <c r="DK43" s="2060"/>
      <c r="DL43" s="2060"/>
      <c r="DM43" s="2060"/>
      <c r="DN43" s="2060"/>
      <c r="DO43" s="2060"/>
      <c r="DP43" s="2060"/>
      <c r="DQ43" s="2060"/>
      <c r="DR43" s="2060"/>
      <c r="DS43" s="2060"/>
      <c r="DT43" s="2060"/>
      <c r="DU43" s="2060"/>
      <c r="DV43" s="2060"/>
      <c r="DW43" s="2060"/>
      <c r="DX43" s="2060"/>
      <c r="DY43" s="2060"/>
      <c r="DZ43" s="2060"/>
      <c r="EA43" s="2060"/>
      <c r="EB43" s="2060"/>
      <c r="EC43" s="2060"/>
      <c r="ED43" s="2060"/>
      <c r="EE43" s="2060"/>
      <c r="EF43" s="2060"/>
      <c r="EG43" s="2060"/>
      <c r="EH43" s="2060"/>
      <c r="EI43" s="2060"/>
      <c r="EJ43" s="2060"/>
      <c r="EK43" s="2060"/>
      <c r="EL43" s="2060"/>
      <c r="EM43" s="2060"/>
      <c r="EN43" s="2060"/>
      <c r="EO43" s="2060"/>
      <c r="EP43" s="2060"/>
      <c r="EQ43" s="2060"/>
      <c r="ER43" s="2060"/>
      <c r="ES43" s="2060"/>
      <c r="ET43" s="2060"/>
      <c r="EU43" s="2060"/>
      <c r="EV43" s="2060"/>
      <c r="EW43" s="2060"/>
      <c r="EX43" s="2060"/>
      <c r="EY43" s="2060"/>
      <c r="EZ43" s="2060"/>
      <c r="FA43" s="2060"/>
      <c r="FB43" s="2060"/>
      <c r="FC43" s="2060"/>
      <c r="FD43" s="2060"/>
      <c r="FE43" s="2060"/>
      <c r="FF43" s="2060"/>
      <c r="FG43" s="2060"/>
      <c r="FH43" s="2060"/>
      <c r="FI43" s="2060"/>
      <c r="FJ43" s="2060"/>
      <c r="FK43" s="2060"/>
      <c r="FL43" s="2060"/>
      <c r="FM43" s="2060"/>
      <c r="FN43" s="2060"/>
      <c r="FO43" s="2060"/>
      <c r="FP43" s="2060"/>
      <c r="FQ43" s="2060"/>
      <c r="FR43" s="2060"/>
      <c r="FS43" s="2060"/>
      <c r="FT43" s="2060"/>
      <c r="FU43" s="2060"/>
      <c r="FV43" s="2060"/>
      <c r="FW43" s="2060"/>
      <c r="FX43" s="2060"/>
      <c r="FY43" s="2060"/>
      <c r="FZ43" s="2060"/>
      <c r="GA43" s="2060"/>
      <c r="GB43" s="2060"/>
      <c r="GC43" s="2060"/>
    </row>
    <row r="44" spans="1:185" customFormat="1" ht="12.75" customHeight="1">
      <c r="A44" s="659"/>
      <c r="B44" s="659"/>
      <c r="C44" s="133"/>
      <c r="D44" s="133"/>
      <c r="E44" s="283"/>
      <c r="F44" s="133"/>
      <c r="G44" s="133"/>
      <c r="H44" s="836"/>
      <c r="I44" s="414" t="s">
        <v>423</v>
      </c>
      <c r="J44" s="2161" t="s">
        <v>1139</v>
      </c>
      <c r="K44" s="2169"/>
      <c r="L44" s="836"/>
      <c r="M44" s="877" t="s">
        <v>1140</v>
      </c>
      <c r="N44" s="836"/>
      <c r="O44" s="836"/>
      <c r="P44" s="2060"/>
      <c r="Q44" s="2060"/>
      <c r="R44" s="255"/>
      <c r="S44" s="2060"/>
      <c r="T44" s="2060"/>
      <c r="U44" s="2060"/>
      <c r="V44" s="2060"/>
      <c r="W44" s="128"/>
      <c r="X44" s="2060"/>
      <c r="Y44" s="2060"/>
      <c r="Z44" s="2060"/>
      <c r="AA44" s="2060"/>
      <c r="AB44" s="2060"/>
      <c r="AC44" s="2060"/>
      <c r="AD44" s="1004"/>
      <c r="AE44" s="2060"/>
      <c r="AF44" s="2060"/>
      <c r="AG44" s="2060"/>
      <c r="AH44" s="2060"/>
      <c r="AI44" s="2060"/>
      <c r="AJ44" s="2060"/>
      <c r="AK44" s="2060"/>
      <c r="AL44" s="2060"/>
      <c r="AM44" s="2060"/>
      <c r="AN44" s="2060"/>
      <c r="AO44" s="2060"/>
      <c r="AP44" s="2060"/>
      <c r="AQ44" s="2060"/>
      <c r="AR44" s="2060"/>
      <c r="AS44" s="2060"/>
      <c r="AT44" s="2060"/>
      <c r="AU44" s="2060"/>
      <c r="AV44" s="2060"/>
      <c r="AW44" s="2060"/>
      <c r="AX44" s="2060"/>
      <c r="AY44" s="2060"/>
      <c r="AZ44" s="2060"/>
      <c r="BA44" s="2060"/>
      <c r="BB44" s="2060"/>
      <c r="BC44" s="2060"/>
      <c r="BD44" s="2060"/>
      <c r="BE44" s="2060"/>
      <c r="BF44" s="2060"/>
      <c r="BG44" s="2060"/>
      <c r="BH44" s="2060"/>
      <c r="BI44" s="2060"/>
      <c r="BJ44" s="2060"/>
      <c r="BK44" s="2060"/>
      <c r="BL44" s="2060"/>
      <c r="BM44" s="2060"/>
      <c r="BN44" s="2060"/>
      <c r="BO44" s="2060"/>
      <c r="BP44" s="2060"/>
      <c r="BQ44" s="2060"/>
      <c r="BR44" s="2060"/>
      <c r="BS44" s="2060"/>
      <c r="BT44" s="2060"/>
      <c r="BU44" s="2060"/>
      <c r="BV44" s="2060"/>
      <c r="BW44" s="2060"/>
      <c r="BX44" s="2060"/>
      <c r="BY44" s="2060"/>
      <c r="BZ44" s="2060"/>
      <c r="CA44" s="2060"/>
      <c r="CB44" s="2060"/>
      <c r="CC44" s="2060"/>
      <c r="CD44" s="2060"/>
      <c r="CE44" s="2060"/>
      <c r="CF44" s="2060"/>
      <c r="CG44" s="2060"/>
      <c r="CH44" s="2060"/>
      <c r="CI44" s="2060"/>
      <c r="CJ44" s="2060"/>
      <c r="CK44" s="2060"/>
      <c r="CL44" s="2060"/>
      <c r="CM44" s="2060"/>
      <c r="CN44" s="2060"/>
      <c r="CO44" s="2060"/>
      <c r="CP44" s="2060"/>
      <c r="CQ44" s="2060"/>
      <c r="CR44" s="2060"/>
      <c r="CS44" s="2060"/>
      <c r="CT44" s="2060"/>
      <c r="CU44" s="2060"/>
      <c r="CV44" s="2060"/>
      <c r="CW44" s="2060"/>
      <c r="CX44" s="2060"/>
      <c r="CY44" s="2060"/>
      <c r="CZ44" s="2060"/>
      <c r="DA44" s="2060"/>
      <c r="DB44" s="2060"/>
      <c r="DC44" s="2060"/>
      <c r="DD44" s="2060"/>
      <c r="DE44" s="2060"/>
      <c r="DF44" s="2060"/>
      <c r="DG44" s="2060"/>
      <c r="DH44" s="2060"/>
      <c r="DI44" s="2060"/>
      <c r="DJ44" s="2060"/>
      <c r="DK44" s="2060"/>
      <c r="DL44" s="2060"/>
      <c r="DM44" s="2060"/>
      <c r="DN44" s="2060"/>
      <c r="DO44" s="2060"/>
      <c r="DP44" s="2060"/>
      <c r="DQ44" s="2060"/>
      <c r="DR44" s="2060"/>
      <c r="DS44" s="2060"/>
      <c r="DT44" s="2060"/>
      <c r="DU44" s="2060"/>
      <c r="DV44" s="2060"/>
      <c r="DW44" s="2060"/>
      <c r="DX44" s="2060"/>
      <c r="DY44" s="2060"/>
      <c r="DZ44" s="2060"/>
      <c r="EA44" s="2060"/>
      <c r="EB44" s="2060"/>
      <c r="EC44" s="2060"/>
      <c r="ED44" s="2060"/>
      <c r="EE44" s="2060"/>
      <c r="EF44" s="2060"/>
      <c r="EG44" s="2060"/>
      <c r="EH44" s="2060"/>
      <c r="EI44" s="2060"/>
      <c r="EJ44" s="2060"/>
      <c r="EK44" s="2060"/>
      <c r="EL44" s="2060"/>
      <c r="EM44" s="2060"/>
      <c r="EN44" s="2060"/>
      <c r="EO44" s="2060"/>
      <c r="EP44" s="2060"/>
      <c r="EQ44" s="2060"/>
      <c r="ER44" s="2060"/>
      <c r="ES44" s="2060"/>
      <c r="ET44" s="2060"/>
      <c r="EU44" s="2060"/>
      <c r="EV44" s="2060"/>
      <c r="EW44" s="2060"/>
      <c r="EX44" s="2060"/>
      <c r="EY44" s="2060"/>
      <c r="EZ44" s="2060"/>
      <c r="FA44" s="2060"/>
      <c r="FB44" s="2060"/>
      <c r="FC44" s="2060"/>
      <c r="FD44" s="2060"/>
      <c r="FE44" s="2060"/>
      <c r="FF44" s="2060"/>
      <c r="FG44" s="2060"/>
      <c r="FH44" s="2060"/>
      <c r="FI44" s="2060"/>
      <c r="FJ44" s="2060"/>
      <c r="FK44" s="2060"/>
      <c r="FL44" s="2060"/>
      <c r="FM44" s="2060"/>
      <c r="FN44" s="2060"/>
      <c r="FO44" s="2060"/>
      <c r="FP44" s="2060"/>
      <c r="FQ44" s="2060"/>
      <c r="FR44" s="2060"/>
      <c r="FS44" s="2060"/>
      <c r="FT44" s="2060"/>
      <c r="FU44" s="2060"/>
      <c r="FV44" s="2060"/>
      <c r="FW44" s="2060"/>
      <c r="FX44" s="2060"/>
      <c r="FY44" s="2060"/>
      <c r="FZ44" s="2060"/>
      <c r="GA44" s="2060"/>
      <c r="GB44" s="2060"/>
      <c r="GC44" s="2060"/>
    </row>
    <row r="45" spans="1:185" customFormat="1" ht="12.75" customHeight="1">
      <c r="A45" s="659"/>
      <c r="B45" s="659"/>
      <c r="C45" s="128"/>
      <c r="D45" s="128"/>
      <c r="E45" s="129"/>
      <c r="F45" s="1507"/>
      <c r="G45" s="128"/>
      <c r="H45" s="128"/>
      <c r="I45" s="128"/>
      <c r="J45" s="128"/>
      <c r="K45" s="128"/>
      <c r="L45" s="128"/>
      <c r="M45" s="128"/>
      <c r="N45" s="128"/>
      <c r="O45" s="2060"/>
      <c r="P45" s="136"/>
      <c r="Q45" s="128"/>
      <c r="R45" s="2060"/>
      <c r="S45" s="2060"/>
      <c r="T45" s="2060"/>
      <c r="U45" s="2060"/>
      <c r="V45" s="2060"/>
      <c r="W45" s="128"/>
      <c r="X45" s="2060"/>
      <c r="Y45" s="2060"/>
      <c r="Z45" s="2060"/>
      <c r="AA45" s="2060"/>
      <c r="AB45" s="2060"/>
      <c r="AC45" s="2060"/>
      <c r="AD45" s="1004"/>
      <c r="AE45" s="2060"/>
      <c r="AF45" s="2060"/>
      <c r="AG45" s="2060"/>
      <c r="AH45" s="2060"/>
      <c r="AI45" s="2060"/>
      <c r="AJ45" s="2060"/>
      <c r="AK45" s="2060"/>
      <c r="AL45" s="2060"/>
      <c r="AM45" s="2060"/>
      <c r="AN45" s="2060"/>
      <c r="AO45" s="2060"/>
      <c r="AP45" s="2060"/>
      <c r="AQ45" s="2060"/>
      <c r="AR45" s="2060"/>
      <c r="AS45" s="2060"/>
      <c r="AT45" s="2060"/>
      <c r="AU45" s="2060"/>
      <c r="AV45" s="2060"/>
      <c r="AW45" s="2060"/>
      <c r="AX45" s="2060"/>
      <c r="AY45" s="2060"/>
      <c r="AZ45" s="2060"/>
      <c r="BA45" s="2060"/>
      <c r="BB45" s="2060"/>
      <c r="BC45" s="2060"/>
      <c r="BD45" s="2060"/>
      <c r="BE45" s="2060"/>
      <c r="BF45" s="2060"/>
      <c r="BG45" s="2060"/>
      <c r="BH45" s="2060"/>
      <c r="BI45" s="2060"/>
      <c r="BJ45" s="2060"/>
      <c r="BK45" s="2060"/>
      <c r="BL45" s="2060"/>
      <c r="BM45" s="2060"/>
      <c r="BN45" s="2060"/>
      <c r="BO45" s="2060"/>
      <c r="BP45" s="2060"/>
      <c r="BQ45" s="2060"/>
      <c r="BR45" s="2060"/>
      <c r="BS45" s="2060"/>
      <c r="BT45" s="2060"/>
      <c r="BU45" s="2060"/>
      <c r="BV45" s="2060"/>
      <c r="BW45" s="2060"/>
      <c r="BX45" s="2060"/>
      <c r="BY45" s="2060"/>
      <c r="BZ45" s="2060"/>
      <c r="CA45" s="2060"/>
      <c r="CB45" s="2060"/>
      <c r="CC45" s="2060"/>
      <c r="CD45" s="2060"/>
      <c r="CE45" s="2060"/>
      <c r="CF45" s="2060"/>
      <c r="CG45" s="2060"/>
      <c r="CH45" s="2060"/>
      <c r="CI45" s="2060"/>
      <c r="CJ45" s="2060"/>
      <c r="CK45" s="2060"/>
      <c r="CL45" s="2060"/>
      <c r="CM45" s="2060"/>
      <c r="CN45" s="2060"/>
      <c r="CO45" s="2060"/>
      <c r="CP45" s="2060"/>
      <c r="CQ45" s="2060"/>
      <c r="CR45" s="2060"/>
      <c r="CS45" s="2060"/>
      <c r="CT45" s="2060"/>
      <c r="CU45" s="2060"/>
      <c r="CV45" s="2060"/>
      <c r="CW45" s="2060"/>
      <c r="CX45" s="2060"/>
      <c r="CY45" s="2060"/>
      <c r="CZ45" s="2060"/>
      <c r="DA45" s="2060"/>
      <c r="DB45" s="2060"/>
      <c r="DC45" s="2060"/>
      <c r="DD45" s="2060"/>
      <c r="DE45" s="2060"/>
      <c r="DF45" s="2060"/>
      <c r="DG45" s="2060"/>
      <c r="DH45" s="2060"/>
      <c r="DI45" s="2060"/>
      <c r="DJ45" s="2060"/>
      <c r="DK45" s="2060"/>
      <c r="DL45" s="2060"/>
      <c r="DM45" s="2060"/>
      <c r="DN45" s="2060"/>
      <c r="DO45" s="2060"/>
      <c r="DP45" s="2060"/>
      <c r="DQ45" s="2060"/>
      <c r="DR45" s="2060"/>
      <c r="DS45" s="2060"/>
      <c r="DT45" s="2060"/>
      <c r="DU45" s="2060"/>
      <c r="DV45" s="2060"/>
      <c r="DW45" s="2060"/>
      <c r="DX45" s="2060"/>
      <c r="DY45" s="2060"/>
      <c r="DZ45" s="2060"/>
      <c r="EA45" s="2060"/>
      <c r="EB45" s="2060"/>
      <c r="EC45" s="2060"/>
      <c r="ED45" s="2060"/>
      <c r="EE45" s="2060"/>
      <c r="EF45" s="2060"/>
      <c r="EG45" s="2060"/>
      <c r="EH45" s="2060"/>
      <c r="EI45" s="2060"/>
      <c r="EJ45" s="2060"/>
      <c r="EK45" s="2060"/>
      <c r="EL45" s="2060"/>
      <c r="EM45" s="2060"/>
      <c r="EN45" s="2060"/>
      <c r="EO45" s="2060"/>
      <c r="EP45" s="2060"/>
      <c r="EQ45" s="2060"/>
      <c r="ER45" s="2060"/>
      <c r="ES45" s="2060"/>
      <c r="ET45" s="2060"/>
      <c r="EU45" s="2060"/>
      <c r="EV45" s="2060"/>
      <c r="EW45" s="2060"/>
      <c r="EX45" s="2060"/>
      <c r="EY45" s="2060"/>
      <c r="EZ45" s="2060"/>
      <c r="FA45" s="2060"/>
      <c r="FB45" s="2060"/>
      <c r="FC45" s="2060"/>
      <c r="FD45" s="2060"/>
      <c r="FE45" s="2060"/>
      <c r="FF45" s="2060"/>
      <c r="FG45" s="2060"/>
      <c r="FH45" s="2060"/>
      <c r="FI45" s="2060"/>
      <c r="FJ45" s="2060"/>
      <c r="FK45" s="2060"/>
      <c r="FL45" s="2060"/>
      <c r="FM45" s="2060"/>
      <c r="FN45" s="2060"/>
      <c r="FO45" s="2060"/>
      <c r="FP45" s="2060"/>
      <c r="FQ45" s="2060"/>
      <c r="FR45" s="2060"/>
      <c r="FS45" s="2060"/>
      <c r="FT45" s="2060"/>
      <c r="FU45" s="2060"/>
      <c r="FV45" s="2060"/>
      <c r="FW45" s="2060"/>
      <c r="FX45" s="2060"/>
      <c r="FY45" s="2060"/>
      <c r="FZ45" s="2060"/>
      <c r="GA45" s="2060"/>
      <c r="GB45" s="2060"/>
      <c r="GC45" s="2060"/>
    </row>
    <row r="46" spans="1:185" s="2060" customFormat="1" ht="12.75" customHeight="1">
      <c r="A46" s="659"/>
      <c r="B46" s="659"/>
      <c r="C46" s="128"/>
      <c r="D46" s="128"/>
      <c r="E46" s="129"/>
      <c r="F46" s="1507"/>
      <c r="G46" s="128"/>
      <c r="H46" s="128"/>
      <c r="I46" s="128"/>
      <c r="J46" s="2077" t="str">
        <f>IF($G$43="Valuation date",Valuation_date,$G$43)</f>
        <v>2-Yr Avg</v>
      </c>
      <c r="K46" s="128"/>
      <c r="L46" s="128"/>
      <c r="M46" s="128"/>
      <c r="N46" s="128"/>
      <c r="P46" s="136"/>
      <c r="Q46" s="128"/>
      <c r="W46" s="128"/>
      <c r="AD46" s="1004"/>
    </row>
    <row r="47" spans="1:185" customFormat="1">
      <c r="A47" s="659"/>
      <c r="B47" s="659"/>
      <c r="C47" s="128"/>
      <c r="D47" s="128"/>
      <c r="E47" s="128"/>
      <c r="F47" s="128"/>
      <c r="G47" s="128"/>
      <c r="H47" s="271" t="str">
        <f>'DATA GPC'!P315</f>
        <v>LFQ</v>
      </c>
      <c r="I47" s="2077">
        <f>'DATA GPC'!P408</f>
        <v>42794</v>
      </c>
      <c r="J47" s="271" t="str">
        <f>IF(LEFT(DebtSetting,3)="Net","Net debt","Total debt")&amp;" /"</f>
        <v>Total debt /</v>
      </c>
      <c r="K47" s="128"/>
      <c r="L47" s="271" t="str">
        <f>'DATA GPC'!P470</f>
        <v>LTM</v>
      </c>
      <c r="M47" s="271" t="str">
        <f>'DATA GPC'!P501</f>
        <v>LTM</v>
      </c>
      <c r="N47" s="271" t="str">
        <f>IF($G$43="Valuation date","LTM",$G$43)</f>
        <v>2-Yr Avg</v>
      </c>
      <c r="O47" s="1026" t="s">
        <v>1141</v>
      </c>
      <c r="P47" s="1026" t="s">
        <v>933</v>
      </c>
      <c r="Q47" s="2060"/>
      <c r="R47" s="381" t="s">
        <v>1142</v>
      </c>
      <c r="S47" s="128"/>
      <c r="T47" s="128"/>
      <c r="U47" s="2060"/>
      <c r="V47" s="2060"/>
      <c r="W47" s="128"/>
      <c r="X47" s="2060"/>
      <c r="Y47" s="2060"/>
      <c r="Z47" s="2060"/>
      <c r="AA47" s="2060"/>
      <c r="AB47" s="2060"/>
      <c r="AC47" s="2060"/>
      <c r="AD47" s="1004"/>
      <c r="AE47" s="2060"/>
      <c r="AF47" s="2060"/>
      <c r="AG47" s="2060"/>
      <c r="AH47" s="2060"/>
      <c r="AI47" s="2060"/>
      <c r="AJ47" s="2060"/>
      <c r="AK47" s="2060"/>
      <c r="AL47" s="2060"/>
      <c r="AM47" s="2060"/>
      <c r="AN47" s="2060"/>
      <c r="AO47" s="2060"/>
      <c r="AP47" s="2060"/>
      <c r="AQ47" s="2060"/>
      <c r="AR47" s="2060"/>
      <c r="AS47" s="2060"/>
      <c r="AT47" s="2060"/>
      <c r="AU47" s="2060"/>
      <c r="AV47" s="2060"/>
      <c r="AW47" s="2060"/>
      <c r="AX47" s="2060"/>
      <c r="AY47" s="2060"/>
      <c r="AZ47" s="2060"/>
      <c r="BA47" s="2060"/>
      <c r="BB47" s="2060"/>
      <c r="BC47" s="2060"/>
      <c r="BD47" s="2060"/>
      <c r="BE47" s="2060"/>
      <c r="BF47" s="2060"/>
      <c r="BG47" s="2060"/>
      <c r="BH47" s="2060"/>
      <c r="BI47" s="2060"/>
      <c r="BJ47" s="2060"/>
      <c r="BK47" s="2060"/>
      <c r="BL47" s="2060"/>
      <c r="BM47" s="2060"/>
      <c r="BN47" s="2060"/>
      <c r="BO47" s="2060"/>
      <c r="BP47" s="2060"/>
      <c r="BQ47" s="2060"/>
      <c r="BR47" s="2060"/>
      <c r="BS47" s="2060"/>
      <c r="BT47" s="2060"/>
      <c r="BU47" s="2060"/>
      <c r="BV47" s="2060"/>
      <c r="BW47" s="2060"/>
      <c r="BX47" s="2060"/>
      <c r="BY47" s="2060"/>
      <c r="BZ47" s="2060"/>
      <c r="CA47" s="2060"/>
      <c r="CB47" s="2060"/>
      <c r="CC47" s="2060"/>
      <c r="CD47" s="2060"/>
      <c r="CE47" s="2060"/>
      <c r="CF47" s="2060"/>
      <c r="CG47" s="2060"/>
      <c r="CH47" s="2060"/>
      <c r="CI47" s="2060"/>
      <c r="CJ47" s="2060"/>
      <c r="CK47" s="2060"/>
      <c r="CL47" s="2060"/>
      <c r="CM47" s="2060"/>
      <c r="CN47" s="2060"/>
      <c r="CO47" s="2060"/>
      <c r="CP47" s="2060"/>
      <c r="CQ47" s="2060"/>
      <c r="CR47" s="2060"/>
      <c r="CS47" s="2060"/>
      <c r="CT47" s="2060"/>
      <c r="CU47" s="2060"/>
      <c r="CV47" s="2060"/>
      <c r="CW47" s="2060"/>
      <c r="CX47" s="2060"/>
      <c r="CY47" s="2060"/>
      <c r="CZ47" s="2060"/>
      <c r="DA47" s="2060"/>
      <c r="DB47" s="2060"/>
      <c r="DC47" s="2060"/>
      <c r="DD47" s="2060"/>
      <c r="DE47" s="2060"/>
      <c r="DF47" s="2060"/>
      <c r="DG47" s="2060"/>
      <c r="DH47" s="2060"/>
      <c r="DI47" s="2060"/>
      <c r="DJ47" s="2060"/>
      <c r="DK47" s="2060"/>
      <c r="DL47" s="2060"/>
      <c r="DM47" s="2060"/>
      <c r="DN47" s="2060"/>
      <c r="DO47" s="2060"/>
      <c r="DP47" s="2060"/>
      <c r="DQ47" s="2060"/>
      <c r="DR47" s="2060"/>
      <c r="DS47" s="2060"/>
      <c r="DT47" s="2060"/>
      <c r="DU47" s="2060"/>
      <c r="DV47" s="2060"/>
      <c r="DW47" s="2060"/>
      <c r="DX47" s="2060"/>
      <c r="DY47" s="2060"/>
      <c r="DZ47" s="2060"/>
      <c r="EA47" s="2060"/>
      <c r="EB47" s="2060"/>
      <c r="EC47" s="2060"/>
      <c r="ED47" s="2060"/>
      <c r="EE47" s="2060"/>
      <c r="EF47" s="2060"/>
      <c r="EG47" s="2060"/>
      <c r="EH47" s="2060"/>
      <c r="EI47" s="2060"/>
      <c r="EJ47" s="2060"/>
      <c r="EK47" s="2060"/>
      <c r="EL47" s="2060"/>
      <c r="EM47" s="2060"/>
      <c r="EN47" s="2060"/>
      <c r="EO47" s="2060"/>
      <c r="EP47" s="2060"/>
      <c r="EQ47" s="2060"/>
      <c r="ER47" s="2060"/>
      <c r="ES47" s="2060"/>
      <c r="ET47" s="2060"/>
      <c r="EU47" s="2060"/>
      <c r="EV47" s="2060"/>
      <c r="EW47" s="2060"/>
      <c r="EX47" s="2060"/>
      <c r="EY47" s="2060"/>
      <c r="EZ47" s="2060"/>
      <c r="FA47" s="2060"/>
      <c r="FB47" s="2060"/>
      <c r="FC47" s="2060"/>
      <c r="FD47" s="2060"/>
      <c r="FE47" s="2060"/>
      <c r="FF47" s="2060"/>
      <c r="FG47" s="2060"/>
      <c r="FH47" s="2060"/>
      <c r="FI47" s="2060"/>
      <c r="FJ47" s="2060"/>
      <c r="FK47" s="2060"/>
      <c r="FL47" s="2060"/>
      <c r="FM47" s="2060"/>
      <c r="FN47" s="2060"/>
      <c r="FO47" s="2060"/>
      <c r="FP47" s="2060"/>
      <c r="FQ47" s="2060"/>
      <c r="FR47" s="2060"/>
      <c r="FS47" s="2060"/>
      <c r="FT47" s="2060"/>
      <c r="FU47" s="2060"/>
      <c r="FV47" s="2060"/>
      <c r="FW47" s="2060"/>
      <c r="FX47" s="2060"/>
      <c r="FY47" s="2060"/>
      <c r="FZ47" s="2060"/>
      <c r="GA47" s="2060"/>
      <c r="GB47" s="2060"/>
      <c r="GC47" s="2060"/>
    </row>
    <row r="48" spans="1:185" customFormat="1" ht="12.75" customHeight="1">
      <c r="A48" s="659"/>
      <c r="B48" s="659"/>
      <c r="C48" s="128"/>
      <c r="D48" s="128"/>
      <c r="E48" s="1507" t="s">
        <v>1143</v>
      </c>
      <c r="F48" s="128"/>
      <c r="G48" s="1507" t="s">
        <v>1144</v>
      </c>
      <c r="H48" s="271" t="str">
        <f>IF(RIGHT(DebtSetting,2)="0)","Net debt, floor at 0",IF(DebtSetting="Total debt","Total debt","Net debt"))</f>
        <v>Total debt</v>
      </c>
      <c r="I48" s="272" t="s">
        <v>1145</v>
      </c>
      <c r="J48" s="273" t="s">
        <v>1145</v>
      </c>
      <c r="K48" s="128"/>
      <c r="L48" s="1026" t="s">
        <v>1146</v>
      </c>
      <c r="M48" s="1026" t="s">
        <v>1147</v>
      </c>
      <c r="N48" s="1026" t="s">
        <v>1148</v>
      </c>
      <c r="O48" s="1026" t="s">
        <v>1148</v>
      </c>
      <c r="P48" s="1026" t="s">
        <v>1149</v>
      </c>
      <c r="Q48" s="2060"/>
      <c r="R48" s="1504" t="s">
        <v>1150</v>
      </c>
      <c r="S48" s="128"/>
      <c r="T48" s="1935" t="s">
        <v>55</v>
      </c>
      <c r="U48" s="2060"/>
      <c r="V48" s="2060"/>
      <c r="W48" s="128"/>
      <c r="X48" s="2060"/>
      <c r="Y48" s="2060"/>
      <c r="Z48" s="2060"/>
      <c r="AA48" s="2060"/>
      <c r="AB48" s="2060"/>
      <c r="AC48" s="2060"/>
      <c r="AD48" s="1004"/>
      <c r="AE48" s="2060"/>
      <c r="AF48" s="2060"/>
      <c r="AG48" s="2060"/>
      <c r="AH48" s="2060"/>
      <c r="AI48" s="2060"/>
      <c r="AJ48" s="2060"/>
      <c r="AK48" s="2060"/>
      <c r="AL48" s="2060"/>
      <c r="AM48" s="2060"/>
      <c r="AN48" s="2060"/>
      <c r="AO48" s="2060"/>
      <c r="AP48" s="2060"/>
      <c r="AQ48" s="2060"/>
      <c r="AR48" s="2060"/>
      <c r="AS48" s="2060"/>
      <c r="AT48" s="2060"/>
      <c r="AU48" s="2060"/>
      <c r="AV48" s="2060"/>
      <c r="AW48" s="2060"/>
      <c r="AX48" s="2060"/>
      <c r="AY48" s="2060"/>
      <c r="AZ48" s="2060"/>
      <c r="BA48" s="2060"/>
      <c r="BB48" s="2060"/>
      <c r="BC48" s="2060"/>
      <c r="BD48" s="2060"/>
      <c r="BE48" s="2060"/>
      <c r="BF48" s="2060"/>
      <c r="BG48" s="2060"/>
      <c r="BH48" s="2060"/>
      <c r="BI48" s="2060"/>
      <c r="BJ48" s="2060"/>
      <c r="BK48" s="2060"/>
      <c r="BL48" s="2060"/>
      <c r="BM48" s="2060"/>
      <c r="BN48" s="2060"/>
      <c r="BO48" s="2060"/>
      <c r="BP48" s="2060"/>
      <c r="BQ48" s="2060"/>
      <c r="BR48" s="2060"/>
      <c r="BS48" s="2060"/>
      <c r="BT48" s="2060"/>
      <c r="BU48" s="2060"/>
      <c r="BV48" s="2060"/>
      <c r="BW48" s="2060"/>
      <c r="BX48" s="2060"/>
      <c r="BY48" s="2060"/>
      <c r="BZ48" s="2060"/>
      <c r="CA48" s="2060"/>
      <c r="CB48" s="2060"/>
      <c r="CC48" s="2060"/>
      <c r="CD48" s="2060"/>
      <c r="CE48" s="2060"/>
      <c r="CF48" s="2060"/>
      <c r="CG48" s="2060"/>
      <c r="CH48" s="2060"/>
      <c r="CI48" s="2060"/>
      <c r="CJ48" s="2060"/>
      <c r="CK48" s="2060"/>
      <c r="CL48" s="2060"/>
      <c r="CM48" s="2060"/>
      <c r="CN48" s="2060"/>
      <c r="CO48" s="2060"/>
      <c r="CP48" s="2060"/>
      <c r="CQ48" s="2060"/>
      <c r="CR48" s="2060"/>
      <c r="CS48" s="2060"/>
      <c r="CT48" s="2060"/>
      <c r="CU48" s="2060"/>
      <c r="CV48" s="2060"/>
      <c r="CW48" s="2060"/>
      <c r="CX48" s="2060"/>
      <c r="CY48" s="2060"/>
      <c r="CZ48" s="2060"/>
      <c r="DA48" s="2060"/>
      <c r="DB48" s="2060"/>
      <c r="DC48" s="2060"/>
      <c r="DD48" s="2060"/>
      <c r="DE48" s="2060"/>
      <c r="DF48" s="2060"/>
      <c r="DG48" s="2060"/>
      <c r="DH48" s="2060"/>
      <c r="DI48" s="2060"/>
      <c r="DJ48" s="2060"/>
      <c r="DK48" s="2060"/>
      <c r="DL48" s="2060"/>
      <c r="DM48" s="2060"/>
      <c r="DN48" s="2060"/>
      <c r="DO48" s="2060"/>
      <c r="DP48" s="2060"/>
      <c r="DQ48" s="2060"/>
      <c r="DR48" s="2060"/>
      <c r="DS48" s="2060"/>
      <c r="DT48" s="2060"/>
      <c r="DU48" s="2060"/>
      <c r="DV48" s="2060"/>
      <c r="DW48" s="2060"/>
      <c r="DX48" s="2060"/>
      <c r="DY48" s="2060"/>
      <c r="DZ48" s="2060"/>
      <c r="EA48" s="2060"/>
      <c r="EB48" s="2060"/>
      <c r="EC48" s="2060"/>
      <c r="ED48" s="2060"/>
      <c r="EE48" s="2060"/>
      <c r="EF48" s="2060"/>
      <c r="EG48" s="2060"/>
      <c r="EH48" s="2060"/>
      <c r="EI48" s="2060"/>
      <c r="EJ48" s="2060"/>
      <c r="EK48" s="2060"/>
      <c r="EL48" s="2060"/>
      <c r="EM48" s="2060"/>
      <c r="EN48" s="2060"/>
      <c r="EO48" s="2060"/>
      <c r="EP48" s="2060"/>
      <c r="EQ48" s="2060"/>
      <c r="ER48" s="2060"/>
      <c r="ES48" s="2060"/>
      <c r="ET48" s="2060"/>
      <c r="EU48" s="2060"/>
      <c r="EV48" s="2060"/>
      <c r="EW48" s="2060"/>
      <c r="EX48" s="2060"/>
      <c r="EY48" s="2060"/>
      <c r="EZ48" s="2060"/>
      <c r="FA48" s="2060"/>
      <c r="FB48" s="2060"/>
      <c r="FC48" s="2060"/>
      <c r="FD48" s="2060"/>
      <c r="FE48" s="2060"/>
      <c r="FF48" s="2060"/>
      <c r="FG48" s="2060"/>
      <c r="FH48" s="2060"/>
      <c r="FI48" s="2060"/>
      <c r="FJ48" s="2060"/>
      <c r="FK48" s="2060"/>
      <c r="FL48" s="2060"/>
      <c r="FM48" s="2060"/>
      <c r="FN48" s="2060"/>
      <c r="FO48" s="2060"/>
      <c r="FP48" s="2060"/>
      <c r="FQ48" s="2060"/>
      <c r="FR48" s="2060"/>
      <c r="FS48" s="2060"/>
      <c r="FT48" s="2060"/>
      <c r="FU48" s="2060"/>
      <c r="FV48" s="2060"/>
      <c r="FW48" s="2060"/>
      <c r="FX48" s="2060"/>
      <c r="FY48" s="2060"/>
      <c r="FZ48" s="2060"/>
      <c r="GA48" s="2060"/>
      <c r="GB48" s="2060"/>
      <c r="GC48" s="2060"/>
    </row>
    <row r="49" spans="1:185" customFormat="1">
      <c r="A49" s="1632" t="str">
        <f t="shared" ref="A49:A73" si="1">IF(E49="--","n","")</f>
        <v>n</v>
      </c>
      <c r="B49" s="1632"/>
      <c r="C49" s="128"/>
      <c r="D49" s="779">
        <f t="shared" ref="D49:D73" ca="1" si="2">MAX(OFFSET(D49,-1,0,-ROW(D49)+1,-2),1)+0.01</f>
        <v>2.0099999999999998</v>
      </c>
      <c r="E49" s="1504" t="str">
        <f>'DATA GPC'!E20</f>
        <v>--</v>
      </c>
      <c r="F49" s="128"/>
      <c r="G49" s="2215" t="str">
        <f>'DATA GPC'!J20</f>
        <v>--</v>
      </c>
      <c r="H49" s="2216" t="str">
        <f>IF($E49="--","--",'DATA GPC'!P317)</f>
        <v>--</v>
      </c>
      <c r="I49" s="2216" t="str">
        <f>IF($E49="--","--",'DATA GPC'!P410)</f>
        <v>--</v>
      </c>
      <c r="J49" s="2217" t="str">
        <f>IF($E49="--","--",CHOOSE($E$307,'DATA GPC'!O441,'DATA GPC'!P441,'DATA GPC'!S441,'DATA GPC'!T441,'DATA GPC'!U441,'DATA GPC'!V441))</f>
        <v>--</v>
      </c>
      <c r="K49" s="247"/>
      <c r="L49" s="2218" t="str">
        <f>IF($E49="--","--",'DATA GPC'!P472)</f>
        <v>--</v>
      </c>
      <c r="M49" s="2218" t="str">
        <f>IF($E49="--","--",'DATA GPC'!P503)</f>
        <v>--</v>
      </c>
      <c r="N49" s="2217" t="str">
        <f>IF($E49="--","--",CHOOSE($E$307,'DATA GPC'!O534,'DATA GPC'!P534,'DATA GPC'!S534,'DATA GPC'!T534,'DATA GPC'!U534,'DATA GPC'!V534))</f>
        <v>--</v>
      </c>
      <c r="O49" s="2202"/>
      <c r="P49" s="2217" t="str">
        <f t="shared" ref="P49:P73" si="3">IF($E49="--","--",IF(ISNUMBER(O49),O49,IF($T$48="N",N49,IFERROR(IF(OR(IF(O49,O49,N49)&gt;$T$51,IF(O49,O49,N49)&lt;$T$52),$T$49,IF(O49,O49,N49)),$T$49))))</f>
        <v>--</v>
      </c>
      <c r="Q49" s="2060"/>
      <c r="R49" s="1504" t="s">
        <v>1151</v>
      </c>
      <c r="S49" s="128"/>
      <c r="T49" s="2139">
        <v>0.4</v>
      </c>
      <c r="U49" s="2060"/>
      <c r="V49" s="2060"/>
      <c r="W49" s="128"/>
      <c r="X49" s="2060"/>
      <c r="Y49" s="2060"/>
      <c r="Z49" s="2060"/>
      <c r="AA49" s="2060"/>
      <c r="AB49" s="2060"/>
      <c r="AC49" s="2060"/>
      <c r="AD49" s="1004"/>
      <c r="AE49" s="2060"/>
      <c r="AF49" s="2060"/>
      <c r="AG49" s="2060"/>
      <c r="AH49" s="2060"/>
      <c r="AI49" s="2060"/>
      <c r="AJ49" s="2060"/>
      <c r="AK49" s="2060"/>
      <c r="AL49" s="2060"/>
      <c r="AM49" s="2060"/>
      <c r="AN49" s="2060"/>
      <c r="AO49" s="2060"/>
      <c r="AP49" s="2060"/>
      <c r="AQ49" s="2060"/>
      <c r="AR49" s="2060"/>
      <c r="AS49" s="2060"/>
      <c r="AT49" s="2060"/>
      <c r="AU49" s="2060"/>
      <c r="AV49" s="2060"/>
      <c r="AW49" s="2060"/>
      <c r="AX49" s="2060"/>
      <c r="AY49" s="2060"/>
      <c r="AZ49" s="2060"/>
      <c r="BA49" s="2060"/>
      <c r="BB49" s="2060"/>
      <c r="BC49" s="2060"/>
      <c r="BD49" s="2060"/>
      <c r="BE49" s="2060"/>
      <c r="BF49" s="2060"/>
      <c r="BG49" s="2060"/>
      <c r="BH49" s="2060"/>
      <c r="BI49" s="2060"/>
      <c r="BJ49" s="2060"/>
      <c r="BK49" s="2060"/>
      <c r="BL49" s="2060"/>
      <c r="BM49" s="2060"/>
      <c r="BN49" s="2060"/>
      <c r="BO49" s="2060"/>
      <c r="BP49" s="2060"/>
      <c r="BQ49" s="2060"/>
      <c r="BR49" s="2060"/>
      <c r="BS49" s="2060"/>
      <c r="BT49" s="2060"/>
      <c r="BU49" s="2060"/>
      <c r="BV49" s="2060"/>
      <c r="BW49" s="2060"/>
      <c r="BX49" s="2060"/>
      <c r="BY49" s="2060"/>
      <c r="BZ49" s="2060"/>
      <c r="CA49" s="2060"/>
      <c r="CB49" s="2060"/>
      <c r="CC49" s="2060"/>
      <c r="CD49" s="2060"/>
      <c r="CE49" s="2060"/>
      <c r="CF49" s="2060"/>
      <c r="CG49" s="2060"/>
      <c r="CH49" s="2060"/>
      <c r="CI49" s="2060"/>
      <c r="CJ49" s="2060"/>
      <c r="CK49" s="2060"/>
      <c r="CL49" s="2060"/>
      <c r="CM49" s="2060"/>
      <c r="CN49" s="2060"/>
      <c r="CO49" s="2060"/>
      <c r="CP49" s="2060"/>
      <c r="CQ49" s="2060"/>
      <c r="CR49" s="2060"/>
      <c r="CS49" s="2060"/>
      <c r="CT49" s="2060"/>
      <c r="CU49" s="2060"/>
      <c r="CV49" s="2060"/>
      <c r="CW49" s="2060"/>
      <c r="CX49" s="2060"/>
      <c r="CY49" s="2060"/>
      <c r="CZ49" s="2060"/>
      <c r="DA49" s="2060"/>
      <c r="DB49" s="2060"/>
      <c r="DC49" s="2060"/>
      <c r="DD49" s="2060"/>
      <c r="DE49" s="2060"/>
      <c r="DF49" s="2060"/>
      <c r="DG49" s="2060"/>
      <c r="DH49" s="2060"/>
      <c r="DI49" s="2060"/>
      <c r="DJ49" s="2060"/>
      <c r="DK49" s="2060"/>
      <c r="DL49" s="2060"/>
      <c r="DM49" s="2060"/>
      <c r="DN49" s="2060"/>
      <c r="DO49" s="2060"/>
      <c r="DP49" s="2060"/>
      <c r="DQ49" s="2060"/>
      <c r="DR49" s="2060"/>
      <c r="DS49" s="2060"/>
      <c r="DT49" s="2060"/>
      <c r="DU49" s="2060"/>
      <c r="DV49" s="2060"/>
      <c r="DW49" s="2060"/>
      <c r="DX49" s="2060"/>
      <c r="DY49" s="2060"/>
      <c r="DZ49" s="2060"/>
      <c r="EA49" s="2060"/>
      <c r="EB49" s="2060"/>
      <c r="EC49" s="2060"/>
      <c r="ED49" s="2060"/>
      <c r="EE49" s="2060"/>
      <c r="EF49" s="2060"/>
      <c r="EG49" s="2060"/>
      <c r="EH49" s="2060"/>
      <c r="EI49" s="2060"/>
      <c r="EJ49" s="2060"/>
      <c r="EK49" s="2060"/>
      <c r="EL49" s="2060"/>
      <c r="EM49" s="2060"/>
      <c r="EN49" s="2060"/>
      <c r="EO49" s="2060"/>
      <c r="EP49" s="2060"/>
      <c r="EQ49" s="2060"/>
      <c r="ER49" s="2060"/>
      <c r="ES49" s="2060"/>
      <c r="ET49" s="2060"/>
      <c r="EU49" s="2060"/>
      <c r="EV49" s="2060"/>
      <c r="EW49" s="2060"/>
      <c r="EX49" s="2060"/>
      <c r="EY49" s="2060"/>
      <c r="EZ49" s="2060"/>
      <c r="FA49" s="2060"/>
      <c r="FB49" s="2060"/>
      <c r="FC49" s="2060"/>
      <c r="FD49" s="2060"/>
      <c r="FE49" s="2060"/>
      <c r="FF49" s="2060"/>
      <c r="FG49" s="2060"/>
      <c r="FH49" s="2060"/>
      <c r="FI49" s="2060"/>
      <c r="FJ49" s="2060"/>
      <c r="FK49" s="2060"/>
      <c r="FL49" s="2060"/>
      <c r="FM49" s="2060"/>
      <c r="FN49" s="2060"/>
      <c r="FO49" s="2060"/>
      <c r="FP49" s="2060"/>
      <c r="FQ49" s="2060"/>
      <c r="FR49" s="2060"/>
      <c r="FS49" s="2060"/>
      <c r="FT49" s="2060"/>
      <c r="FU49" s="2060"/>
      <c r="FV49" s="2060"/>
      <c r="FW49" s="2060"/>
      <c r="FX49" s="2060"/>
      <c r="FY49" s="2060"/>
      <c r="FZ49" s="2060"/>
      <c r="GA49" s="2060"/>
      <c r="GB49" s="2060"/>
      <c r="GC49" s="2060"/>
    </row>
    <row r="50" spans="1:185" customFormat="1">
      <c r="A50" s="1632" t="str">
        <f t="shared" si="1"/>
        <v>n</v>
      </c>
      <c r="B50" s="1632"/>
      <c r="C50" s="128"/>
      <c r="D50" s="779">
        <f t="shared" ca="1" si="2"/>
        <v>2.0199999999999996</v>
      </c>
      <c r="E50" s="1504" t="str">
        <f>'DATA GPC'!E21</f>
        <v>--</v>
      </c>
      <c r="F50" s="128"/>
      <c r="G50" s="2215" t="str">
        <f>'DATA GPC'!J21</f>
        <v>--</v>
      </c>
      <c r="H50" s="2216" t="str">
        <f>IF($E50="--","--",'DATA GPC'!P318)</f>
        <v>--</v>
      </c>
      <c r="I50" s="2216" t="str">
        <f>IF($E50="--","--",'DATA GPC'!P411)</f>
        <v>--</v>
      </c>
      <c r="J50" s="2217" t="str">
        <f>IF($E50="--","--",CHOOSE($E$307,'DATA GPC'!O442,'DATA GPC'!P442,'DATA GPC'!S442,'DATA GPC'!T442,'DATA GPC'!U442,'DATA GPC'!V442))</f>
        <v>--</v>
      </c>
      <c r="K50" s="247"/>
      <c r="L50" s="2218" t="str">
        <f>IF($E50="--","--",'DATA GPC'!P473)</f>
        <v>--</v>
      </c>
      <c r="M50" s="2218" t="str">
        <f>IF($E50="--","--",'DATA GPC'!P504)</f>
        <v>--</v>
      </c>
      <c r="N50" s="2217" t="str">
        <f>IF($E50="--","--",CHOOSE($E$307,'DATA GPC'!O535,'DATA GPC'!P535,'DATA GPC'!S535,'DATA GPC'!T535,'DATA GPC'!U535,'DATA GPC'!V535))</f>
        <v>--</v>
      </c>
      <c r="O50" s="2202"/>
      <c r="P50" s="2217" t="str">
        <f t="shared" si="3"/>
        <v>--</v>
      </c>
      <c r="Q50" s="2060"/>
      <c r="R50" s="383" t="s">
        <v>1152</v>
      </c>
      <c r="S50" s="2060"/>
      <c r="T50" s="2060"/>
      <c r="U50" s="2060"/>
      <c r="V50" s="2060"/>
      <c r="W50" s="128"/>
      <c r="X50" s="2060"/>
      <c r="Y50" s="2060"/>
      <c r="Z50" s="2060"/>
      <c r="AA50" s="2060"/>
      <c r="AB50" s="2060"/>
      <c r="AC50" s="2060"/>
      <c r="AD50" s="1004"/>
      <c r="AE50" s="2060"/>
      <c r="AF50" s="2060"/>
      <c r="AG50" s="2060"/>
      <c r="AH50" s="2060"/>
      <c r="AI50" s="2060"/>
      <c r="AJ50" s="2060"/>
      <c r="AK50" s="2060"/>
      <c r="AL50" s="2060"/>
      <c r="AM50" s="2060"/>
      <c r="AN50" s="2060"/>
      <c r="AO50" s="2060"/>
      <c r="AP50" s="2060"/>
      <c r="AQ50" s="2060"/>
      <c r="AR50" s="2060"/>
      <c r="AS50" s="2060"/>
      <c r="AT50" s="2060"/>
      <c r="AU50" s="2060"/>
      <c r="AV50" s="2060"/>
      <c r="AW50" s="2060"/>
      <c r="AX50" s="2060"/>
      <c r="AY50" s="2060"/>
      <c r="AZ50" s="2060"/>
      <c r="BA50" s="2060"/>
      <c r="BB50" s="2060"/>
      <c r="BC50" s="2060"/>
      <c r="BD50" s="2060"/>
      <c r="BE50" s="2060"/>
      <c r="BF50" s="2060"/>
      <c r="BG50" s="2060"/>
      <c r="BH50" s="2060"/>
      <c r="BI50" s="2060"/>
      <c r="BJ50" s="2060"/>
      <c r="BK50" s="2060"/>
      <c r="BL50" s="2060"/>
      <c r="BM50" s="2060"/>
      <c r="BN50" s="2060"/>
      <c r="BO50" s="2060"/>
      <c r="BP50" s="2060"/>
      <c r="BQ50" s="2060"/>
      <c r="BR50" s="2060"/>
      <c r="BS50" s="2060"/>
      <c r="BT50" s="2060"/>
      <c r="BU50" s="2060"/>
      <c r="BV50" s="2060"/>
      <c r="BW50" s="2060"/>
      <c r="BX50" s="2060"/>
      <c r="BY50" s="2060"/>
      <c r="BZ50" s="2060"/>
      <c r="CA50" s="2060"/>
      <c r="CB50" s="2060"/>
      <c r="CC50" s="2060"/>
      <c r="CD50" s="2060"/>
      <c r="CE50" s="2060"/>
      <c r="CF50" s="2060"/>
      <c r="CG50" s="2060"/>
      <c r="CH50" s="2060"/>
      <c r="CI50" s="2060"/>
      <c r="CJ50" s="2060"/>
      <c r="CK50" s="2060"/>
      <c r="CL50" s="2060"/>
      <c r="CM50" s="2060"/>
      <c r="CN50" s="2060"/>
      <c r="CO50" s="2060"/>
      <c r="CP50" s="2060"/>
      <c r="CQ50" s="2060"/>
      <c r="CR50" s="2060"/>
      <c r="CS50" s="2060"/>
      <c r="CT50" s="2060"/>
      <c r="CU50" s="2060"/>
      <c r="CV50" s="2060"/>
      <c r="CW50" s="2060"/>
      <c r="CX50" s="2060"/>
      <c r="CY50" s="2060"/>
      <c r="CZ50" s="2060"/>
      <c r="DA50" s="2060"/>
      <c r="DB50" s="2060"/>
      <c r="DC50" s="2060"/>
      <c r="DD50" s="2060"/>
      <c r="DE50" s="2060"/>
      <c r="DF50" s="2060"/>
      <c r="DG50" s="2060"/>
      <c r="DH50" s="2060"/>
      <c r="DI50" s="2060"/>
      <c r="DJ50" s="2060"/>
      <c r="DK50" s="2060"/>
      <c r="DL50" s="2060"/>
      <c r="DM50" s="2060"/>
      <c r="DN50" s="2060"/>
      <c r="DO50" s="2060"/>
      <c r="DP50" s="2060"/>
      <c r="DQ50" s="2060"/>
      <c r="DR50" s="2060"/>
      <c r="DS50" s="2060"/>
      <c r="DT50" s="2060"/>
      <c r="DU50" s="2060"/>
      <c r="DV50" s="2060"/>
      <c r="DW50" s="2060"/>
      <c r="DX50" s="2060"/>
      <c r="DY50" s="2060"/>
      <c r="DZ50" s="2060"/>
      <c r="EA50" s="2060"/>
      <c r="EB50" s="2060"/>
      <c r="EC50" s="2060"/>
      <c r="ED50" s="2060"/>
      <c r="EE50" s="2060"/>
      <c r="EF50" s="2060"/>
      <c r="EG50" s="2060"/>
      <c r="EH50" s="2060"/>
      <c r="EI50" s="2060"/>
      <c r="EJ50" s="2060"/>
      <c r="EK50" s="2060"/>
      <c r="EL50" s="2060"/>
      <c r="EM50" s="2060"/>
      <c r="EN50" s="2060"/>
      <c r="EO50" s="2060"/>
      <c r="EP50" s="2060"/>
      <c r="EQ50" s="2060"/>
      <c r="ER50" s="2060"/>
      <c r="ES50" s="2060"/>
      <c r="ET50" s="2060"/>
      <c r="EU50" s="2060"/>
      <c r="EV50" s="2060"/>
      <c r="EW50" s="2060"/>
      <c r="EX50" s="2060"/>
      <c r="EY50" s="2060"/>
      <c r="EZ50" s="2060"/>
      <c r="FA50" s="2060"/>
      <c r="FB50" s="2060"/>
      <c r="FC50" s="2060"/>
      <c r="FD50" s="2060"/>
      <c r="FE50" s="2060"/>
      <c r="FF50" s="2060"/>
      <c r="FG50" s="2060"/>
      <c r="FH50" s="2060"/>
      <c r="FI50" s="2060"/>
      <c r="FJ50" s="2060"/>
      <c r="FK50" s="2060"/>
      <c r="FL50" s="2060"/>
      <c r="FM50" s="2060"/>
      <c r="FN50" s="2060"/>
      <c r="FO50" s="2060"/>
      <c r="FP50" s="2060"/>
      <c r="FQ50" s="2060"/>
      <c r="FR50" s="2060"/>
      <c r="FS50" s="2060"/>
      <c r="FT50" s="2060"/>
      <c r="FU50" s="2060"/>
      <c r="FV50" s="2060"/>
      <c r="FW50" s="2060"/>
      <c r="FX50" s="2060"/>
      <c r="FY50" s="2060"/>
      <c r="FZ50" s="2060"/>
      <c r="GA50" s="2060"/>
      <c r="GB50" s="2060"/>
      <c r="GC50" s="2060"/>
    </row>
    <row r="51" spans="1:185" customFormat="1" ht="12.75" customHeight="1">
      <c r="A51" s="1632" t="str">
        <f t="shared" si="1"/>
        <v>n</v>
      </c>
      <c r="B51" s="1632"/>
      <c r="C51" s="128"/>
      <c r="D51" s="779">
        <f t="shared" ca="1" si="2"/>
        <v>2.0299999999999994</v>
      </c>
      <c r="E51" s="1504" t="str">
        <f>'DATA GPC'!E22</f>
        <v>--</v>
      </c>
      <c r="F51" s="128"/>
      <c r="G51" s="2215" t="str">
        <f>'DATA GPC'!J22</f>
        <v>--</v>
      </c>
      <c r="H51" s="2216" t="str">
        <f>IF($E51="--","--",'DATA GPC'!P319)</f>
        <v>--</v>
      </c>
      <c r="I51" s="2216" t="str">
        <f>IF($E51="--","--",'DATA GPC'!P412)</f>
        <v>--</v>
      </c>
      <c r="J51" s="2217" t="str">
        <f>IF($E51="--","--",CHOOSE($E$307,'DATA GPC'!O443,'DATA GPC'!P443,'DATA GPC'!S443,'DATA GPC'!T443,'DATA GPC'!U443,'DATA GPC'!V443))</f>
        <v>--</v>
      </c>
      <c r="K51" s="247"/>
      <c r="L51" s="2218" t="str">
        <f>IF($E51="--","--",'DATA GPC'!P474)</f>
        <v>--</v>
      </c>
      <c r="M51" s="2218" t="str">
        <f>IF($E51="--","--",'DATA GPC'!P505)</f>
        <v>--</v>
      </c>
      <c r="N51" s="2217" t="str">
        <f>IF($E51="--","--",CHOOSE($E$307,'DATA GPC'!O536,'DATA GPC'!P536,'DATA GPC'!S536,'DATA GPC'!T536,'DATA GPC'!U536,'DATA GPC'!V536))</f>
        <v>--</v>
      </c>
      <c r="O51" s="2202"/>
      <c r="P51" s="2217" t="str">
        <f t="shared" si="3"/>
        <v>--</v>
      </c>
      <c r="Q51" s="2060"/>
      <c r="R51" s="1504" t="s">
        <v>1153</v>
      </c>
      <c r="S51" s="128"/>
      <c r="T51" s="2139">
        <v>0.55000000000000004</v>
      </c>
      <c r="U51" s="2060"/>
      <c r="V51" s="2060"/>
      <c r="W51" s="128"/>
      <c r="X51" s="2060"/>
      <c r="Y51" s="2060"/>
      <c r="Z51" s="2060"/>
      <c r="AA51" s="2060"/>
      <c r="AB51" s="2060"/>
      <c r="AC51" s="2060"/>
      <c r="AD51" s="1004"/>
      <c r="AE51" s="2060"/>
      <c r="AF51" s="2060"/>
      <c r="AG51" s="2060"/>
      <c r="AH51" s="2060"/>
      <c r="AI51" s="2060"/>
      <c r="AJ51" s="2060"/>
      <c r="AK51" s="2060"/>
      <c r="AL51" s="2060"/>
      <c r="AM51" s="2060"/>
      <c r="AN51" s="2060"/>
      <c r="AO51" s="2060"/>
      <c r="AP51" s="2060"/>
      <c r="AQ51" s="2060"/>
      <c r="AR51" s="2060"/>
      <c r="AS51" s="2060"/>
      <c r="AT51" s="2060"/>
      <c r="AU51" s="2060"/>
      <c r="AV51" s="2060"/>
      <c r="AW51" s="2060"/>
      <c r="AX51" s="2060"/>
      <c r="AY51" s="2060"/>
      <c r="AZ51" s="2060"/>
      <c r="BA51" s="2060"/>
      <c r="BB51" s="2060"/>
      <c r="BC51" s="2060"/>
      <c r="BD51" s="2060"/>
      <c r="BE51" s="2060"/>
      <c r="BF51" s="2060"/>
      <c r="BG51" s="2060"/>
      <c r="BH51" s="2060"/>
      <c r="BI51" s="2060"/>
      <c r="BJ51" s="2060"/>
      <c r="BK51" s="2060"/>
      <c r="BL51" s="2060"/>
      <c r="BM51" s="2060"/>
      <c r="BN51" s="2060"/>
      <c r="BO51" s="2060"/>
      <c r="BP51" s="2060"/>
      <c r="BQ51" s="2060"/>
      <c r="BR51" s="2060"/>
      <c r="BS51" s="2060"/>
      <c r="BT51" s="2060"/>
      <c r="BU51" s="2060"/>
      <c r="BV51" s="2060"/>
      <c r="BW51" s="2060"/>
      <c r="BX51" s="2060"/>
      <c r="BY51" s="2060"/>
      <c r="BZ51" s="2060"/>
      <c r="CA51" s="2060"/>
      <c r="CB51" s="2060"/>
      <c r="CC51" s="2060"/>
      <c r="CD51" s="2060"/>
      <c r="CE51" s="2060"/>
      <c r="CF51" s="2060"/>
      <c r="CG51" s="2060"/>
      <c r="CH51" s="2060"/>
      <c r="CI51" s="2060"/>
      <c r="CJ51" s="2060"/>
      <c r="CK51" s="2060"/>
      <c r="CL51" s="2060"/>
      <c r="CM51" s="2060"/>
      <c r="CN51" s="2060"/>
      <c r="CO51" s="2060"/>
      <c r="CP51" s="2060"/>
      <c r="CQ51" s="2060"/>
      <c r="CR51" s="2060"/>
      <c r="CS51" s="2060"/>
      <c r="CT51" s="2060"/>
      <c r="CU51" s="2060"/>
      <c r="CV51" s="2060"/>
      <c r="CW51" s="2060"/>
      <c r="CX51" s="2060"/>
      <c r="CY51" s="2060"/>
      <c r="CZ51" s="2060"/>
      <c r="DA51" s="2060"/>
      <c r="DB51" s="2060"/>
      <c r="DC51" s="2060"/>
      <c r="DD51" s="2060"/>
      <c r="DE51" s="2060"/>
      <c r="DF51" s="2060"/>
      <c r="DG51" s="2060"/>
      <c r="DH51" s="2060"/>
      <c r="DI51" s="2060"/>
      <c r="DJ51" s="2060"/>
      <c r="DK51" s="2060"/>
      <c r="DL51" s="2060"/>
      <c r="DM51" s="2060"/>
      <c r="DN51" s="2060"/>
      <c r="DO51" s="2060"/>
      <c r="DP51" s="2060"/>
      <c r="DQ51" s="2060"/>
      <c r="DR51" s="2060"/>
      <c r="DS51" s="2060"/>
      <c r="DT51" s="2060"/>
      <c r="DU51" s="2060"/>
      <c r="DV51" s="2060"/>
      <c r="DW51" s="2060"/>
      <c r="DX51" s="2060"/>
      <c r="DY51" s="2060"/>
      <c r="DZ51" s="2060"/>
      <c r="EA51" s="2060"/>
      <c r="EB51" s="2060"/>
      <c r="EC51" s="2060"/>
      <c r="ED51" s="2060"/>
      <c r="EE51" s="2060"/>
      <c r="EF51" s="2060"/>
      <c r="EG51" s="2060"/>
      <c r="EH51" s="2060"/>
      <c r="EI51" s="2060"/>
      <c r="EJ51" s="2060"/>
      <c r="EK51" s="2060"/>
      <c r="EL51" s="2060"/>
      <c r="EM51" s="2060"/>
      <c r="EN51" s="2060"/>
      <c r="EO51" s="2060"/>
      <c r="EP51" s="2060"/>
      <c r="EQ51" s="2060"/>
      <c r="ER51" s="2060"/>
      <c r="ES51" s="2060"/>
      <c r="ET51" s="2060"/>
      <c r="EU51" s="2060"/>
      <c r="EV51" s="2060"/>
      <c r="EW51" s="2060"/>
      <c r="EX51" s="2060"/>
      <c r="EY51" s="2060"/>
      <c r="EZ51" s="2060"/>
      <c r="FA51" s="2060"/>
      <c r="FB51" s="2060"/>
      <c r="FC51" s="2060"/>
      <c r="FD51" s="2060"/>
      <c r="FE51" s="2060"/>
      <c r="FF51" s="2060"/>
      <c r="FG51" s="2060"/>
      <c r="FH51" s="2060"/>
      <c r="FI51" s="2060"/>
      <c r="FJ51" s="2060"/>
      <c r="FK51" s="2060"/>
      <c r="FL51" s="2060"/>
      <c r="FM51" s="2060"/>
      <c r="FN51" s="2060"/>
      <c r="FO51" s="2060"/>
      <c r="FP51" s="2060"/>
      <c r="FQ51" s="2060"/>
      <c r="FR51" s="2060"/>
      <c r="FS51" s="2060"/>
      <c r="FT51" s="2060"/>
      <c r="FU51" s="2060"/>
      <c r="FV51" s="2060"/>
      <c r="FW51" s="2060"/>
      <c r="FX51" s="2060"/>
      <c r="FY51" s="2060"/>
      <c r="FZ51" s="2060"/>
      <c r="GA51" s="2060"/>
      <c r="GB51" s="2060"/>
      <c r="GC51" s="2060"/>
    </row>
    <row r="52" spans="1:185" customFormat="1" ht="12.75" customHeight="1">
      <c r="A52" s="1632" t="str">
        <f t="shared" si="1"/>
        <v>n</v>
      </c>
      <c r="B52" s="1632"/>
      <c r="C52" s="128"/>
      <c r="D52" s="779">
        <f t="shared" ca="1" si="2"/>
        <v>2.0399999999999991</v>
      </c>
      <c r="E52" s="1504" t="str">
        <f>'DATA GPC'!E23</f>
        <v>--</v>
      </c>
      <c r="F52" s="128"/>
      <c r="G52" s="2215" t="str">
        <f>'DATA GPC'!J23</f>
        <v>--</v>
      </c>
      <c r="H52" s="2216" t="str">
        <f>IF($E52="--","--",'DATA GPC'!P320)</f>
        <v>--</v>
      </c>
      <c r="I52" s="2216" t="str">
        <f>IF($E52="--","--",'DATA GPC'!P413)</f>
        <v>--</v>
      </c>
      <c r="J52" s="2217" t="str">
        <f>IF($E52="--","--",CHOOSE($E$307,'DATA GPC'!O444,'DATA GPC'!P444,'DATA GPC'!S444,'DATA GPC'!T444,'DATA GPC'!U444,'DATA GPC'!V444))</f>
        <v>--</v>
      </c>
      <c r="K52" s="247"/>
      <c r="L52" s="2218" t="str">
        <f>IF($E52="--","--",'DATA GPC'!P475)</f>
        <v>--</v>
      </c>
      <c r="M52" s="2218" t="str">
        <f>IF($E52="--","--",'DATA GPC'!P506)</f>
        <v>--</v>
      </c>
      <c r="N52" s="2217" t="str">
        <f>IF($E52="--","--",CHOOSE($E$307,'DATA GPC'!O537,'DATA GPC'!P537,'DATA GPC'!S537,'DATA GPC'!T537,'DATA GPC'!U537,'DATA GPC'!V537))</f>
        <v>--</v>
      </c>
      <c r="O52" s="2202"/>
      <c r="P52" s="2217" t="str">
        <f t="shared" si="3"/>
        <v>--</v>
      </c>
      <c r="Q52" s="2060"/>
      <c r="R52" s="1504" t="s">
        <v>1154</v>
      </c>
      <c r="S52" s="128"/>
      <c r="T52" s="2139">
        <v>0.15</v>
      </c>
      <c r="U52" s="2060"/>
      <c r="V52" s="2060"/>
      <c r="W52" s="128"/>
      <c r="X52" s="2060"/>
      <c r="Y52" s="2060"/>
      <c r="Z52" s="2060"/>
      <c r="AA52" s="2060"/>
      <c r="AB52" s="2060"/>
      <c r="AC52" s="2060"/>
      <c r="AD52" s="1004"/>
      <c r="AE52" s="2060"/>
      <c r="AF52" s="2060"/>
      <c r="AG52" s="2060"/>
      <c r="AH52" s="2060"/>
      <c r="AI52" s="2060"/>
      <c r="AJ52" s="2060"/>
      <c r="AK52" s="2060"/>
      <c r="AL52" s="2060"/>
      <c r="AM52" s="2060"/>
      <c r="AN52" s="2060"/>
      <c r="AO52" s="2060"/>
      <c r="AP52" s="2060"/>
      <c r="AQ52" s="2060"/>
      <c r="AR52" s="2060"/>
      <c r="AS52" s="2060"/>
      <c r="AT52" s="2060"/>
      <c r="AU52" s="2060"/>
      <c r="AV52" s="2060"/>
      <c r="AW52" s="2060"/>
      <c r="AX52" s="2060"/>
      <c r="AY52" s="2060"/>
      <c r="AZ52" s="2060"/>
      <c r="BA52" s="2060"/>
      <c r="BB52" s="2060"/>
      <c r="BC52" s="2060"/>
      <c r="BD52" s="2060"/>
      <c r="BE52" s="2060"/>
      <c r="BF52" s="2060"/>
      <c r="BG52" s="2060"/>
      <c r="BH52" s="2060"/>
      <c r="BI52" s="2060"/>
      <c r="BJ52" s="2060"/>
      <c r="BK52" s="2060"/>
      <c r="BL52" s="2060"/>
      <c r="BM52" s="2060"/>
      <c r="BN52" s="2060"/>
      <c r="BO52" s="2060"/>
      <c r="BP52" s="2060"/>
      <c r="BQ52" s="2060"/>
      <c r="BR52" s="2060"/>
      <c r="BS52" s="2060"/>
      <c r="BT52" s="2060"/>
      <c r="BU52" s="2060"/>
      <c r="BV52" s="2060"/>
      <c r="BW52" s="2060"/>
      <c r="BX52" s="2060"/>
      <c r="BY52" s="2060"/>
      <c r="BZ52" s="2060"/>
      <c r="CA52" s="2060"/>
      <c r="CB52" s="2060"/>
      <c r="CC52" s="2060"/>
      <c r="CD52" s="2060"/>
      <c r="CE52" s="2060"/>
      <c r="CF52" s="2060"/>
      <c r="CG52" s="2060"/>
      <c r="CH52" s="2060"/>
      <c r="CI52" s="2060"/>
      <c r="CJ52" s="2060"/>
      <c r="CK52" s="2060"/>
      <c r="CL52" s="2060"/>
      <c r="CM52" s="2060"/>
      <c r="CN52" s="2060"/>
      <c r="CO52" s="2060"/>
      <c r="CP52" s="2060"/>
      <c r="CQ52" s="2060"/>
      <c r="CR52" s="2060"/>
      <c r="CS52" s="2060"/>
      <c r="CT52" s="2060"/>
      <c r="CU52" s="2060"/>
      <c r="CV52" s="2060"/>
      <c r="CW52" s="2060"/>
      <c r="CX52" s="2060"/>
      <c r="CY52" s="2060"/>
      <c r="CZ52" s="2060"/>
      <c r="DA52" s="2060"/>
      <c r="DB52" s="2060"/>
      <c r="DC52" s="2060"/>
      <c r="DD52" s="2060"/>
      <c r="DE52" s="2060"/>
      <c r="DF52" s="2060"/>
      <c r="DG52" s="2060"/>
      <c r="DH52" s="2060"/>
      <c r="DI52" s="2060"/>
      <c r="DJ52" s="2060"/>
      <c r="DK52" s="2060"/>
      <c r="DL52" s="2060"/>
      <c r="DM52" s="2060"/>
      <c r="DN52" s="2060"/>
      <c r="DO52" s="2060"/>
      <c r="DP52" s="2060"/>
      <c r="DQ52" s="2060"/>
      <c r="DR52" s="2060"/>
      <c r="DS52" s="2060"/>
      <c r="DT52" s="2060"/>
      <c r="DU52" s="2060"/>
      <c r="DV52" s="2060"/>
      <c r="DW52" s="2060"/>
      <c r="DX52" s="2060"/>
      <c r="DY52" s="2060"/>
      <c r="DZ52" s="2060"/>
      <c r="EA52" s="2060"/>
      <c r="EB52" s="2060"/>
      <c r="EC52" s="2060"/>
      <c r="ED52" s="2060"/>
      <c r="EE52" s="2060"/>
      <c r="EF52" s="2060"/>
      <c r="EG52" s="2060"/>
      <c r="EH52" s="2060"/>
      <c r="EI52" s="2060"/>
      <c r="EJ52" s="2060"/>
      <c r="EK52" s="2060"/>
      <c r="EL52" s="2060"/>
      <c r="EM52" s="2060"/>
      <c r="EN52" s="2060"/>
      <c r="EO52" s="2060"/>
      <c r="EP52" s="2060"/>
      <c r="EQ52" s="2060"/>
      <c r="ER52" s="2060"/>
      <c r="ES52" s="2060"/>
      <c r="ET52" s="2060"/>
      <c r="EU52" s="2060"/>
      <c r="EV52" s="2060"/>
      <c r="EW52" s="2060"/>
      <c r="EX52" s="2060"/>
      <c r="EY52" s="2060"/>
      <c r="EZ52" s="2060"/>
      <c r="FA52" s="2060"/>
      <c r="FB52" s="2060"/>
      <c r="FC52" s="2060"/>
      <c r="FD52" s="2060"/>
      <c r="FE52" s="2060"/>
      <c r="FF52" s="2060"/>
      <c r="FG52" s="2060"/>
      <c r="FH52" s="2060"/>
      <c r="FI52" s="2060"/>
      <c r="FJ52" s="2060"/>
      <c r="FK52" s="2060"/>
      <c r="FL52" s="2060"/>
      <c r="FM52" s="2060"/>
      <c r="FN52" s="2060"/>
      <c r="FO52" s="2060"/>
      <c r="FP52" s="2060"/>
      <c r="FQ52" s="2060"/>
      <c r="FR52" s="2060"/>
      <c r="FS52" s="2060"/>
      <c r="FT52" s="2060"/>
      <c r="FU52" s="2060"/>
      <c r="FV52" s="2060"/>
      <c r="FW52" s="2060"/>
      <c r="FX52" s="2060"/>
      <c r="FY52" s="2060"/>
      <c r="FZ52" s="2060"/>
      <c r="GA52" s="2060"/>
      <c r="GB52" s="2060"/>
      <c r="GC52" s="2060"/>
    </row>
    <row r="53" spans="1:185" customFormat="1" ht="12.75" customHeight="1">
      <c r="A53" s="1632" t="str">
        <f t="shared" si="1"/>
        <v>n</v>
      </c>
      <c r="B53" s="1632"/>
      <c r="C53" s="128"/>
      <c r="D53" s="779">
        <f t="shared" ca="1" si="2"/>
        <v>2.0499999999999989</v>
      </c>
      <c r="E53" s="1504" t="str">
        <f>'DATA GPC'!E24</f>
        <v>--</v>
      </c>
      <c r="F53" s="128"/>
      <c r="G53" s="2215" t="str">
        <f>'DATA GPC'!J24</f>
        <v>--</v>
      </c>
      <c r="H53" s="2216" t="str">
        <f>IF($E53="--","--",'DATA GPC'!P321)</f>
        <v>--</v>
      </c>
      <c r="I53" s="2216" t="str">
        <f>IF($E53="--","--",'DATA GPC'!P414)</f>
        <v>--</v>
      </c>
      <c r="J53" s="2217" t="str">
        <f>IF($E53="--","--",CHOOSE($E$307,'DATA GPC'!O445,'DATA GPC'!P445,'DATA GPC'!S445,'DATA GPC'!T445,'DATA GPC'!U445,'DATA GPC'!V445))</f>
        <v>--</v>
      </c>
      <c r="K53" s="247"/>
      <c r="L53" s="2218" t="str">
        <f>IF($E53="--","--",'DATA GPC'!P476)</f>
        <v>--</v>
      </c>
      <c r="M53" s="2218" t="str">
        <f>IF($E53="--","--",'DATA GPC'!P507)</f>
        <v>--</v>
      </c>
      <c r="N53" s="2217" t="str">
        <f>IF($E53="--","--",CHOOSE($E$307,'DATA GPC'!O538,'DATA GPC'!P538,'DATA GPC'!S538,'DATA GPC'!T538,'DATA GPC'!U538,'DATA GPC'!V538))</f>
        <v>--</v>
      </c>
      <c r="O53" s="2202"/>
      <c r="P53" s="2217" t="str">
        <f t="shared" si="3"/>
        <v>--</v>
      </c>
      <c r="Q53" s="2060"/>
      <c r="R53" s="1504" t="s">
        <v>1155</v>
      </c>
      <c r="S53" s="128"/>
      <c r="T53" s="128"/>
      <c r="U53" s="2060"/>
      <c r="V53" s="2060"/>
      <c r="W53" s="128"/>
      <c r="X53" s="2060"/>
      <c r="Y53" s="2060"/>
      <c r="Z53" s="2060"/>
      <c r="AA53" s="2060"/>
      <c r="AB53" s="2060"/>
      <c r="AC53" s="2060"/>
      <c r="AD53" s="1004"/>
      <c r="AE53" s="2060"/>
      <c r="AF53" s="2060"/>
      <c r="AG53" s="2060"/>
      <c r="AH53" s="2060"/>
      <c r="AI53" s="2060"/>
      <c r="AJ53" s="2060"/>
      <c r="AK53" s="2060"/>
      <c r="AL53" s="2060"/>
      <c r="AM53" s="2060"/>
      <c r="AN53" s="2060"/>
      <c r="AO53" s="2060"/>
      <c r="AP53" s="2060"/>
      <c r="AQ53" s="2060"/>
      <c r="AR53" s="2060"/>
      <c r="AS53" s="2060"/>
      <c r="AT53" s="2060"/>
      <c r="AU53" s="2060"/>
      <c r="AV53" s="2060"/>
      <c r="AW53" s="2060"/>
      <c r="AX53" s="2060"/>
      <c r="AY53" s="2060"/>
      <c r="AZ53" s="2060"/>
      <c r="BA53" s="2060"/>
      <c r="BB53" s="2060"/>
      <c r="BC53" s="2060"/>
      <c r="BD53" s="2060"/>
      <c r="BE53" s="2060"/>
      <c r="BF53" s="2060"/>
      <c r="BG53" s="2060"/>
      <c r="BH53" s="2060"/>
      <c r="BI53" s="2060"/>
      <c r="BJ53" s="2060"/>
      <c r="BK53" s="2060"/>
      <c r="BL53" s="2060"/>
      <c r="BM53" s="2060"/>
      <c r="BN53" s="2060"/>
      <c r="BO53" s="2060"/>
      <c r="BP53" s="2060"/>
      <c r="BQ53" s="2060"/>
      <c r="BR53" s="2060"/>
      <c r="BS53" s="2060"/>
      <c r="BT53" s="2060"/>
      <c r="BU53" s="2060"/>
      <c r="BV53" s="2060"/>
      <c r="BW53" s="2060"/>
      <c r="BX53" s="2060"/>
      <c r="BY53" s="2060"/>
      <c r="BZ53" s="2060"/>
      <c r="CA53" s="2060"/>
      <c r="CB53" s="2060"/>
      <c r="CC53" s="2060"/>
      <c r="CD53" s="2060"/>
      <c r="CE53" s="2060"/>
      <c r="CF53" s="2060"/>
      <c r="CG53" s="2060"/>
      <c r="CH53" s="2060"/>
      <c r="CI53" s="2060"/>
      <c r="CJ53" s="2060"/>
      <c r="CK53" s="2060"/>
      <c r="CL53" s="2060"/>
      <c r="CM53" s="2060"/>
      <c r="CN53" s="2060"/>
      <c r="CO53" s="2060"/>
      <c r="CP53" s="2060"/>
      <c r="CQ53" s="2060"/>
      <c r="CR53" s="2060"/>
      <c r="CS53" s="2060"/>
      <c r="CT53" s="2060"/>
      <c r="CU53" s="2060"/>
      <c r="CV53" s="2060"/>
      <c r="CW53" s="2060"/>
      <c r="CX53" s="2060"/>
      <c r="CY53" s="2060"/>
      <c r="CZ53" s="2060"/>
      <c r="DA53" s="2060"/>
      <c r="DB53" s="2060"/>
      <c r="DC53" s="2060"/>
      <c r="DD53" s="2060"/>
      <c r="DE53" s="2060"/>
      <c r="DF53" s="2060"/>
      <c r="DG53" s="2060"/>
      <c r="DH53" s="2060"/>
      <c r="DI53" s="2060"/>
      <c r="DJ53" s="2060"/>
      <c r="DK53" s="2060"/>
      <c r="DL53" s="2060"/>
      <c r="DM53" s="2060"/>
      <c r="DN53" s="2060"/>
      <c r="DO53" s="2060"/>
      <c r="DP53" s="2060"/>
      <c r="DQ53" s="2060"/>
      <c r="DR53" s="2060"/>
      <c r="DS53" s="2060"/>
      <c r="DT53" s="2060"/>
      <c r="DU53" s="2060"/>
      <c r="DV53" s="2060"/>
      <c r="DW53" s="2060"/>
      <c r="DX53" s="2060"/>
      <c r="DY53" s="2060"/>
      <c r="DZ53" s="2060"/>
      <c r="EA53" s="2060"/>
      <c r="EB53" s="2060"/>
      <c r="EC53" s="2060"/>
      <c r="ED53" s="2060"/>
      <c r="EE53" s="2060"/>
      <c r="EF53" s="2060"/>
      <c r="EG53" s="2060"/>
      <c r="EH53" s="2060"/>
      <c r="EI53" s="2060"/>
      <c r="EJ53" s="2060"/>
      <c r="EK53" s="2060"/>
      <c r="EL53" s="2060"/>
      <c r="EM53" s="2060"/>
      <c r="EN53" s="2060"/>
      <c r="EO53" s="2060"/>
      <c r="EP53" s="2060"/>
      <c r="EQ53" s="2060"/>
      <c r="ER53" s="2060"/>
      <c r="ES53" s="2060"/>
      <c r="ET53" s="2060"/>
      <c r="EU53" s="2060"/>
      <c r="EV53" s="2060"/>
      <c r="EW53" s="2060"/>
      <c r="EX53" s="2060"/>
      <c r="EY53" s="2060"/>
      <c r="EZ53" s="2060"/>
      <c r="FA53" s="2060"/>
      <c r="FB53" s="2060"/>
      <c r="FC53" s="2060"/>
      <c r="FD53" s="2060"/>
      <c r="FE53" s="2060"/>
      <c r="FF53" s="2060"/>
      <c r="FG53" s="2060"/>
      <c r="FH53" s="2060"/>
      <c r="FI53" s="2060"/>
      <c r="FJ53" s="2060"/>
      <c r="FK53" s="2060"/>
      <c r="FL53" s="2060"/>
      <c r="FM53" s="2060"/>
      <c r="FN53" s="2060"/>
      <c r="FO53" s="2060"/>
      <c r="FP53" s="2060"/>
      <c r="FQ53" s="2060"/>
      <c r="FR53" s="2060"/>
      <c r="FS53" s="2060"/>
      <c r="FT53" s="2060"/>
      <c r="FU53" s="2060"/>
      <c r="FV53" s="2060"/>
      <c r="FW53" s="2060"/>
      <c r="FX53" s="2060"/>
      <c r="FY53" s="2060"/>
      <c r="FZ53" s="2060"/>
      <c r="GA53" s="2060"/>
      <c r="GB53" s="2060"/>
      <c r="GC53" s="2060"/>
    </row>
    <row r="54" spans="1:185" customFormat="1" ht="12.75" customHeight="1">
      <c r="A54" s="1632" t="str">
        <f t="shared" si="1"/>
        <v>n</v>
      </c>
      <c r="B54" s="1632"/>
      <c r="C54" s="128"/>
      <c r="D54" s="779">
        <f t="shared" ca="1" si="2"/>
        <v>2.0599999999999987</v>
      </c>
      <c r="E54" s="1504" t="str">
        <f>'DATA GPC'!E25</f>
        <v>--</v>
      </c>
      <c r="F54" s="128"/>
      <c r="G54" s="2215" t="str">
        <f>'DATA GPC'!J25</f>
        <v>--</v>
      </c>
      <c r="H54" s="2216" t="str">
        <f>IF($E54="--","--",'DATA GPC'!P322)</f>
        <v>--</v>
      </c>
      <c r="I54" s="2216" t="str">
        <f>IF($E54="--","--",'DATA GPC'!P415)</f>
        <v>--</v>
      </c>
      <c r="J54" s="2217" t="str">
        <f>IF($E54="--","--",CHOOSE($E$307,'DATA GPC'!O446,'DATA GPC'!P446,'DATA GPC'!S446,'DATA GPC'!T446,'DATA GPC'!U446,'DATA GPC'!V446))</f>
        <v>--</v>
      </c>
      <c r="K54" s="247"/>
      <c r="L54" s="2218" t="str">
        <f>IF($E54="--","--",'DATA GPC'!P477)</f>
        <v>--</v>
      </c>
      <c r="M54" s="2218" t="str">
        <f>IF($E54="--","--",'DATA GPC'!P508)</f>
        <v>--</v>
      </c>
      <c r="N54" s="2217" t="str">
        <f>IF($E54="--","--",CHOOSE($E$307,'DATA GPC'!O539,'DATA GPC'!P539,'DATA GPC'!S539,'DATA GPC'!T539,'DATA GPC'!U539,'DATA GPC'!V539))</f>
        <v>--</v>
      </c>
      <c r="O54" s="2202"/>
      <c r="P54" s="2217" t="str">
        <f t="shared" si="3"/>
        <v>--</v>
      </c>
      <c r="Q54" s="2060"/>
      <c r="R54" s="2060"/>
      <c r="S54" s="2060"/>
      <c r="T54" s="2060"/>
      <c r="U54" s="2060"/>
      <c r="V54" s="2060"/>
      <c r="W54" s="128"/>
      <c r="X54" s="2060"/>
      <c r="Y54" s="2060"/>
      <c r="Z54" s="2060"/>
      <c r="AA54" s="2060"/>
      <c r="AB54" s="2060"/>
      <c r="AC54" s="2060"/>
      <c r="AD54" s="1004"/>
      <c r="AE54" s="2060"/>
      <c r="AF54" s="2060"/>
      <c r="AG54" s="2060"/>
      <c r="AH54" s="2060"/>
      <c r="AI54" s="2060"/>
      <c r="AJ54" s="2060"/>
      <c r="AK54" s="2060"/>
      <c r="AL54" s="2060"/>
      <c r="AM54" s="2060"/>
      <c r="AN54" s="2060"/>
      <c r="AO54" s="2060"/>
      <c r="AP54" s="2060"/>
      <c r="AQ54" s="2060"/>
      <c r="AR54" s="2060"/>
      <c r="AS54" s="2060"/>
      <c r="AT54" s="2060"/>
      <c r="AU54" s="2060"/>
      <c r="AV54" s="2060"/>
      <c r="AW54" s="2060"/>
      <c r="AX54" s="2060"/>
      <c r="AY54" s="2060"/>
      <c r="AZ54" s="2060"/>
      <c r="BA54" s="2060"/>
      <c r="BB54" s="2060"/>
      <c r="BC54" s="2060"/>
      <c r="BD54" s="2060"/>
      <c r="BE54" s="2060"/>
      <c r="BF54" s="2060"/>
      <c r="BG54" s="2060"/>
      <c r="BH54" s="2060"/>
      <c r="BI54" s="2060"/>
      <c r="BJ54" s="2060"/>
      <c r="BK54" s="2060"/>
      <c r="BL54" s="2060"/>
      <c r="BM54" s="2060"/>
      <c r="BN54" s="2060"/>
      <c r="BO54" s="2060"/>
      <c r="BP54" s="2060"/>
      <c r="BQ54" s="2060"/>
      <c r="BR54" s="2060"/>
      <c r="BS54" s="2060"/>
      <c r="BT54" s="2060"/>
      <c r="BU54" s="2060"/>
      <c r="BV54" s="2060"/>
      <c r="BW54" s="2060"/>
      <c r="BX54" s="2060"/>
      <c r="BY54" s="2060"/>
      <c r="BZ54" s="2060"/>
      <c r="CA54" s="2060"/>
      <c r="CB54" s="2060"/>
      <c r="CC54" s="2060"/>
      <c r="CD54" s="2060"/>
      <c r="CE54" s="2060"/>
      <c r="CF54" s="2060"/>
      <c r="CG54" s="2060"/>
      <c r="CH54" s="2060"/>
      <c r="CI54" s="2060"/>
      <c r="CJ54" s="2060"/>
      <c r="CK54" s="2060"/>
      <c r="CL54" s="2060"/>
      <c r="CM54" s="2060"/>
      <c r="CN54" s="2060"/>
      <c r="CO54" s="2060"/>
      <c r="CP54" s="2060"/>
      <c r="CQ54" s="2060"/>
      <c r="CR54" s="2060"/>
      <c r="CS54" s="2060"/>
      <c r="CT54" s="2060"/>
      <c r="CU54" s="2060"/>
      <c r="CV54" s="2060"/>
      <c r="CW54" s="2060"/>
      <c r="CX54" s="2060"/>
      <c r="CY54" s="2060"/>
      <c r="CZ54" s="2060"/>
      <c r="DA54" s="2060"/>
      <c r="DB54" s="2060"/>
      <c r="DC54" s="2060"/>
      <c r="DD54" s="2060"/>
      <c r="DE54" s="2060"/>
      <c r="DF54" s="2060"/>
      <c r="DG54" s="2060"/>
      <c r="DH54" s="2060"/>
      <c r="DI54" s="2060"/>
      <c r="DJ54" s="2060"/>
      <c r="DK54" s="2060"/>
      <c r="DL54" s="2060"/>
      <c r="DM54" s="2060"/>
      <c r="DN54" s="2060"/>
      <c r="DO54" s="2060"/>
      <c r="DP54" s="2060"/>
      <c r="DQ54" s="2060"/>
      <c r="DR54" s="2060"/>
      <c r="DS54" s="2060"/>
      <c r="DT54" s="2060"/>
      <c r="DU54" s="2060"/>
      <c r="DV54" s="2060"/>
      <c r="DW54" s="2060"/>
      <c r="DX54" s="2060"/>
      <c r="DY54" s="2060"/>
      <c r="DZ54" s="2060"/>
      <c r="EA54" s="2060"/>
      <c r="EB54" s="2060"/>
      <c r="EC54" s="2060"/>
      <c r="ED54" s="2060"/>
      <c r="EE54" s="2060"/>
      <c r="EF54" s="2060"/>
      <c r="EG54" s="2060"/>
      <c r="EH54" s="2060"/>
      <c r="EI54" s="2060"/>
      <c r="EJ54" s="2060"/>
      <c r="EK54" s="2060"/>
      <c r="EL54" s="2060"/>
      <c r="EM54" s="2060"/>
      <c r="EN54" s="2060"/>
      <c r="EO54" s="2060"/>
      <c r="EP54" s="2060"/>
      <c r="EQ54" s="2060"/>
      <c r="ER54" s="2060"/>
      <c r="ES54" s="2060"/>
      <c r="ET54" s="2060"/>
      <c r="EU54" s="2060"/>
      <c r="EV54" s="2060"/>
      <c r="EW54" s="2060"/>
      <c r="EX54" s="2060"/>
      <c r="EY54" s="2060"/>
      <c r="EZ54" s="2060"/>
      <c r="FA54" s="2060"/>
      <c r="FB54" s="2060"/>
      <c r="FC54" s="2060"/>
      <c r="FD54" s="2060"/>
      <c r="FE54" s="2060"/>
      <c r="FF54" s="2060"/>
      <c r="FG54" s="2060"/>
      <c r="FH54" s="2060"/>
      <c r="FI54" s="2060"/>
      <c r="FJ54" s="2060"/>
      <c r="FK54" s="2060"/>
      <c r="FL54" s="2060"/>
      <c r="FM54" s="2060"/>
      <c r="FN54" s="2060"/>
      <c r="FO54" s="2060"/>
      <c r="FP54" s="2060"/>
      <c r="FQ54" s="2060"/>
      <c r="FR54" s="2060"/>
      <c r="FS54" s="2060"/>
      <c r="FT54" s="2060"/>
      <c r="FU54" s="2060"/>
      <c r="FV54" s="2060"/>
      <c r="FW54" s="2060"/>
      <c r="FX54" s="2060"/>
      <c r="FY54" s="2060"/>
      <c r="FZ54" s="2060"/>
      <c r="GA54" s="2060"/>
      <c r="GB54" s="2060"/>
      <c r="GC54" s="2060"/>
    </row>
    <row r="55" spans="1:185" customFormat="1" ht="12.75" customHeight="1">
      <c r="A55" s="1632" t="str">
        <f t="shared" si="1"/>
        <v>n</v>
      </c>
      <c r="B55" s="1632"/>
      <c r="C55" s="128"/>
      <c r="D55" s="779">
        <f t="shared" ca="1" si="2"/>
        <v>2.0699999999999985</v>
      </c>
      <c r="E55" s="1504" t="str">
        <f>'DATA GPC'!E26</f>
        <v>--</v>
      </c>
      <c r="F55" s="128"/>
      <c r="G55" s="2215" t="str">
        <f>'DATA GPC'!J26</f>
        <v>--</v>
      </c>
      <c r="H55" s="2216" t="str">
        <f>IF($E55="--","--",'DATA GPC'!P323)</f>
        <v>--</v>
      </c>
      <c r="I55" s="2216" t="str">
        <f>IF($E55="--","--",'DATA GPC'!P416)</f>
        <v>--</v>
      </c>
      <c r="J55" s="2217" t="str">
        <f>IF($E55="--","--",CHOOSE($E$307,'DATA GPC'!O447,'DATA GPC'!P447,'DATA GPC'!S447,'DATA GPC'!T447,'DATA GPC'!U447,'DATA GPC'!V447))</f>
        <v>--</v>
      </c>
      <c r="K55" s="247"/>
      <c r="L55" s="2218" t="str">
        <f>IF($E55="--","--",'DATA GPC'!P478)</f>
        <v>--</v>
      </c>
      <c r="M55" s="2218" t="str">
        <f>IF($E55="--","--",'DATA GPC'!P509)</f>
        <v>--</v>
      </c>
      <c r="N55" s="2217" t="str">
        <f>IF($E55="--","--",CHOOSE($E$307,'DATA GPC'!O540,'DATA GPC'!P540,'DATA GPC'!S540,'DATA GPC'!T540,'DATA GPC'!U540,'DATA GPC'!V540))</f>
        <v>--</v>
      </c>
      <c r="O55" s="2202"/>
      <c r="P55" s="2217" t="str">
        <f t="shared" si="3"/>
        <v>--</v>
      </c>
      <c r="Q55" s="2060"/>
      <c r="R55" s="2060"/>
      <c r="S55" s="2060"/>
      <c r="T55" s="2060"/>
      <c r="U55" s="2060"/>
      <c r="V55" s="2060"/>
      <c r="W55" s="128"/>
      <c r="X55" s="2060"/>
      <c r="Y55" s="2060"/>
      <c r="Z55" s="2060"/>
      <c r="AA55" s="2060"/>
      <c r="AB55" s="2060"/>
      <c r="AC55" s="2060"/>
      <c r="AD55" s="1004"/>
      <c r="AE55" s="2060"/>
      <c r="AF55" s="2060"/>
      <c r="AG55" s="2060"/>
      <c r="AH55" s="2060"/>
      <c r="AI55" s="2060"/>
      <c r="AJ55" s="2060"/>
      <c r="AK55" s="2060"/>
      <c r="AL55" s="2060"/>
      <c r="AM55" s="2060"/>
      <c r="AN55" s="2060"/>
      <c r="AO55" s="2060"/>
      <c r="AP55" s="2060"/>
      <c r="AQ55" s="2060"/>
      <c r="AR55" s="2060"/>
      <c r="AS55" s="2060"/>
      <c r="AT55" s="2060"/>
      <c r="AU55" s="2060"/>
      <c r="AV55" s="2060"/>
      <c r="AW55" s="2060"/>
      <c r="AX55" s="2060"/>
      <c r="AY55" s="2060"/>
      <c r="AZ55" s="2060"/>
      <c r="BA55" s="2060"/>
      <c r="BB55" s="2060"/>
      <c r="BC55" s="2060"/>
      <c r="BD55" s="2060"/>
      <c r="BE55" s="2060"/>
      <c r="BF55" s="2060"/>
      <c r="BG55" s="2060"/>
      <c r="BH55" s="2060"/>
      <c r="BI55" s="2060"/>
      <c r="BJ55" s="2060"/>
      <c r="BK55" s="2060"/>
      <c r="BL55" s="2060"/>
      <c r="BM55" s="2060"/>
      <c r="BN55" s="2060"/>
      <c r="BO55" s="2060"/>
      <c r="BP55" s="2060"/>
      <c r="BQ55" s="2060"/>
      <c r="BR55" s="2060"/>
      <c r="BS55" s="2060"/>
      <c r="BT55" s="2060"/>
      <c r="BU55" s="2060"/>
      <c r="BV55" s="2060"/>
      <c r="BW55" s="2060"/>
      <c r="BX55" s="2060"/>
      <c r="BY55" s="2060"/>
      <c r="BZ55" s="2060"/>
      <c r="CA55" s="2060"/>
      <c r="CB55" s="2060"/>
      <c r="CC55" s="2060"/>
      <c r="CD55" s="2060"/>
      <c r="CE55" s="2060"/>
      <c r="CF55" s="2060"/>
      <c r="CG55" s="2060"/>
      <c r="CH55" s="2060"/>
      <c r="CI55" s="2060"/>
      <c r="CJ55" s="2060"/>
      <c r="CK55" s="2060"/>
      <c r="CL55" s="2060"/>
      <c r="CM55" s="2060"/>
      <c r="CN55" s="2060"/>
      <c r="CO55" s="2060"/>
      <c r="CP55" s="2060"/>
      <c r="CQ55" s="2060"/>
      <c r="CR55" s="2060"/>
      <c r="CS55" s="2060"/>
      <c r="CT55" s="2060"/>
      <c r="CU55" s="2060"/>
      <c r="CV55" s="2060"/>
      <c r="CW55" s="2060"/>
      <c r="CX55" s="2060"/>
      <c r="CY55" s="2060"/>
      <c r="CZ55" s="2060"/>
      <c r="DA55" s="2060"/>
      <c r="DB55" s="2060"/>
      <c r="DC55" s="2060"/>
      <c r="DD55" s="2060"/>
      <c r="DE55" s="2060"/>
      <c r="DF55" s="2060"/>
      <c r="DG55" s="2060"/>
      <c r="DH55" s="2060"/>
      <c r="DI55" s="2060"/>
      <c r="DJ55" s="2060"/>
      <c r="DK55" s="2060"/>
      <c r="DL55" s="2060"/>
      <c r="DM55" s="2060"/>
      <c r="DN55" s="2060"/>
      <c r="DO55" s="2060"/>
      <c r="DP55" s="2060"/>
      <c r="DQ55" s="2060"/>
      <c r="DR55" s="2060"/>
      <c r="DS55" s="2060"/>
      <c r="DT55" s="2060"/>
      <c r="DU55" s="2060"/>
      <c r="DV55" s="2060"/>
      <c r="DW55" s="2060"/>
      <c r="DX55" s="2060"/>
      <c r="DY55" s="2060"/>
      <c r="DZ55" s="2060"/>
      <c r="EA55" s="2060"/>
      <c r="EB55" s="2060"/>
      <c r="EC55" s="2060"/>
      <c r="ED55" s="2060"/>
      <c r="EE55" s="2060"/>
      <c r="EF55" s="2060"/>
      <c r="EG55" s="2060"/>
      <c r="EH55" s="2060"/>
      <c r="EI55" s="2060"/>
      <c r="EJ55" s="2060"/>
      <c r="EK55" s="2060"/>
      <c r="EL55" s="2060"/>
      <c r="EM55" s="2060"/>
      <c r="EN55" s="2060"/>
      <c r="EO55" s="2060"/>
      <c r="EP55" s="2060"/>
      <c r="EQ55" s="2060"/>
      <c r="ER55" s="2060"/>
      <c r="ES55" s="2060"/>
      <c r="ET55" s="2060"/>
      <c r="EU55" s="2060"/>
      <c r="EV55" s="2060"/>
      <c r="EW55" s="2060"/>
      <c r="EX55" s="2060"/>
      <c r="EY55" s="2060"/>
      <c r="EZ55" s="2060"/>
      <c r="FA55" s="2060"/>
      <c r="FB55" s="2060"/>
      <c r="FC55" s="2060"/>
      <c r="FD55" s="2060"/>
      <c r="FE55" s="2060"/>
      <c r="FF55" s="2060"/>
      <c r="FG55" s="2060"/>
      <c r="FH55" s="2060"/>
      <c r="FI55" s="2060"/>
      <c r="FJ55" s="2060"/>
      <c r="FK55" s="2060"/>
      <c r="FL55" s="2060"/>
      <c r="FM55" s="2060"/>
      <c r="FN55" s="2060"/>
      <c r="FO55" s="2060"/>
      <c r="FP55" s="2060"/>
      <c r="FQ55" s="2060"/>
      <c r="FR55" s="2060"/>
      <c r="FS55" s="2060"/>
      <c r="FT55" s="2060"/>
      <c r="FU55" s="2060"/>
      <c r="FV55" s="2060"/>
      <c r="FW55" s="2060"/>
      <c r="FX55" s="2060"/>
      <c r="FY55" s="2060"/>
      <c r="FZ55" s="2060"/>
      <c r="GA55" s="2060"/>
      <c r="GB55" s="2060"/>
      <c r="GC55" s="2060"/>
    </row>
    <row r="56" spans="1:185" customFormat="1" ht="12.75" customHeight="1">
      <c r="A56" s="1632" t="str">
        <f t="shared" si="1"/>
        <v>n</v>
      </c>
      <c r="B56" s="1632"/>
      <c r="C56" s="128"/>
      <c r="D56" s="779">
        <f t="shared" ca="1" si="2"/>
        <v>2.0799999999999983</v>
      </c>
      <c r="E56" s="1504" t="str">
        <f>'DATA GPC'!E27</f>
        <v>--</v>
      </c>
      <c r="F56" s="128"/>
      <c r="G56" s="2215" t="str">
        <f>'DATA GPC'!J27</f>
        <v>--</v>
      </c>
      <c r="H56" s="2216" t="str">
        <f>IF($E56="--","--",'DATA GPC'!P324)</f>
        <v>--</v>
      </c>
      <c r="I56" s="2216" t="str">
        <f>IF($E56="--","--",'DATA GPC'!P417)</f>
        <v>--</v>
      </c>
      <c r="J56" s="2217" t="str">
        <f>IF($E56="--","--",CHOOSE($E$307,'DATA GPC'!O448,'DATA GPC'!P448,'DATA GPC'!S448,'DATA GPC'!T448,'DATA GPC'!U448,'DATA GPC'!V448))</f>
        <v>--</v>
      </c>
      <c r="K56" s="247"/>
      <c r="L56" s="2218" t="str">
        <f>IF($E56="--","--",'DATA GPC'!P479)</f>
        <v>--</v>
      </c>
      <c r="M56" s="2218" t="str">
        <f>IF($E56="--","--",'DATA GPC'!P510)</f>
        <v>--</v>
      </c>
      <c r="N56" s="2217" t="str">
        <f>IF($E56="--","--",CHOOSE($E$307,'DATA GPC'!O541,'DATA GPC'!P541,'DATA GPC'!S541,'DATA GPC'!T541,'DATA GPC'!U541,'DATA GPC'!V541))</f>
        <v>--</v>
      </c>
      <c r="O56" s="2202"/>
      <c r="P56" s="2217" t="str">
        <f t="shared" si="3"/>
        <v>--</v>
      </c>
      <c r="Q56" s="2060"/>
      <c r="R56" s="2060"/>
      <c r="S56" s="2060"/>
      <c r="T56" s="2060"/>
      <c r="U56" s="2060"/>
      <c r="V56" s="2060"/>
      <c r="W56" s="128"/>
      <c r="X56" s="2060"/>
      <c r="Y56" s="2060"/>
      <c r="Z56" s="2060"/>
      <c r="AA56" s="2060"/>
      <c r="AB56" s="2060"/>
      <c r="AC56" s="2060"/>
      <c r="AD56" s="1004"/>
      <c r="AE56" s="2060"/>
      <c r="AF56" s="2060"/>
      <c r="AG56" s="2060"/>
      <c r="AH56" s="2060"/>
      <c r="AI56" s="2060"/>
      <c r="AJ56" s="2060"/>
      <c r="AK56" s="2060"/>
      <c r="AL56" s="2060"/>
      <c r="AM56" s="2060"/>
      <c r="AN56" s="2060"/>
      <c r="AO56" s="2060"/>
      <c r="AP56" s="2060"/>
      <c r="AQ56" s="2060"/>
      <c r="AR56" s="2060"/>
      <c r="AS56" s="2060"/>
      <c r="AT56" s="2060"/>
      <c r="AU56" s="2060"/>
      <c r="AV56" s="2060"/>
      <c r="AW56" s="2060"/>
      <c r="AX56" s="2060"/>
      <c r="AY56" s="2060"/>
      <c r="AZ56" s="2060"/>
      <c r="BA56" s="2060"/>
      <c r="BB56" s="2060"/>
      <c r="BC56" s="2060"/>
      <c r="BD56" s="2060"/>
      <c r="BE56" s="2060"/>
      <c r="BF56" s="2060"/>
      <c r="BG56" s="2060"/>
      <c r="BH56" s="2060"/>
      <c r="BI56" s="2060"/>
      <c r="BJ56" s="2060"/>
      <c r="BK56" s="2060"/>
      <c r="BL56" s="2060"/>
      <c r="BM56" s="2060"/>
      <c r="BN56" s="2060"/>
      <c r="BO56" s="2060"/>
      <c r="BP56" s="2060"/>
      <c r="BQ56" s="2060"/>
      <c r="BR56" s="2060"/>
      <c r="BS56" s="2060"/>
      <c r="BT56" s="2060"/>
      <c r="BU56" s="2060"/>
      <c r="BV56" s="2060"/>
      <c r="BW56" s="2060"/>
      <c r="BX56" s="2060"/>
      <c r="BY56" s="2060"/>
      <c r="BZ56" s="2060"/>
      <c r="CA56" s="2060"/>
      <c r="CB56" s="2060"/>
      <c r="CC56" s="2060"/>
      <c r="CD56" s="2060"/>
      <c r="CE56" s="2060"/>
      <c r="CF56" s="2060"/>
      <c r="CG56" s="2060"/>
      <c r="CH56" s="2060"/>
      <c r="CI56" s="2060"/>
      <c r="CJ56" s="2060"/>
      <c r="CK56" s="2060"/>
      <c r="CL56" s="2060"/>
      <c r="CM56" s="2060"/>
      <c r="CN56" s="2060"/>
      <c r="CO56" s="2060"/>
      <c r="CP56" s="2060"/>
      <c r="CQ56" s="2060"/>
      <c r="CR56" s="2060"/>
      <c r="CS56" s="2060"/>
      <c r="CT56" s="2060"/>
      <c r="CU56" s="2060"/>
      <c r="CV56" s="2060"/>
      <c r="CW56" s="2060"/>
      <c r="CX56" s="2060"/>
      <c r="CY56" s="2060"/>
      <c r="CZ56" s="2060"/>
      <c r="DA56" s="2060"/>
      <c r="DB56" s="2060"/>
      <c r="DC56" s="2060"/>
      <c r="DD56" s="2060"/>
      <c r="DE56" s="2060"/>
      <c r="DF56" s="2060"/>
      <c r="DG56" s="2060"/>
      <c r="DH56" s="2060"/>
      <c r="DI56" s="2060"/>
      <c r="DJ56" s="2060"/>
      <c r="DK56" s="2060"/>
      <c r="DL56" s="2060"/>
      <c r="DM56" s="2060"/>
      <c r="DN56" s="2060"/>
      <c r="DO56" s="2060"/>
      <c r="DP56" s="2060"/>
      <c r="DQ56" s="2060"/>
      <c r="DR56" s="2060"/>
      <c r="DS56" s="2060"/>
      <c r="DT56" s="2060"/>
      <c r="DU56" s="2060"/>
      <c r="DV56" s="2060"/>
      <c r="DW56" s="2060"/>
      <c r="DX56" s="2060"/>
      <c r="DY56" s="2060"/>
      <c r="DZ56" s="2060"/>
      <c r="EA56" s="2060"/>
      <c r="EB56" s="2060"/>
      <c r="EC56" s="2060"/>
      <c r="ED56" s="2060"/>
      <c r="EE56" s="2060"/>
      <c r="EF56" s="2060"/>
      <c r="EG56" s="2060"/>
      <c r="EH56" s="2060"/>
      <c r="EI56" s="2060"/>
      <c r="EJ56" s="2060"/>
      <c r="EK56" s="2060"/>
      <c r="EL56" s="2060"/>
      <c r="EM56" s="2060"/>
      <c r="EN56" s="2060"/>
      <c r="EO56" s="2060"/>
      <c r="EP56" s="2060"/>
      <c r="EQ56" s="2060"/>
      <c r="ER56" s="2060"/>
      <c r="ES56" s="2060"/>
      <c r="ET56" s="2060"/>
      <c r="EU56" s="2060"/>
      <c r="EV56" s="2060"/>
      <c r="EW56" s="2060"/>
      <c r="EX56" s="2060"/>
      <c r="EY56" s="2060"/>
      <c r="EZ56" s="2060"/>
      <c r="FA56" s="2060"/>
      <c r="FB56" s="2060"/>
      <c r="FC56" s="2060"/>
      <c r="FD56" s="2060"/>
      <c r="FE56" s="2060"/>
      <c r="FF56" s="2060"/>
      <c r="FG56" s="2060"/>
      <c r="FH56" s="2060"/>
      <c r="FI56" s="2060"/>
      <c r="FJ56" s="2060"/>
      <c r="FK56" s="2060"/>
      <c r="FL56" s="2060"/>
      <c r="FM56" s="2060"/>
      <c r="FN56" s="2060"/>
      <c r="FO56" s="2060"/>
      <c r="FP56" s="2060"/>
      <c r="FQ56" s="2060"/>
      <c r="FR56" s="2060"/>
      <c r="FS56" s="2060"/>
      <c r="FT56" s="2060"/>
      <c r="FU56" s="2060"/>
      <c r="FV56" s="2060"/>
      <c r="FW56" s="2060"/>
      <c r="FX56" s="2060"/>
      <c r="FY56" s="2060"/>
      <c r="FZ56" s="2060"/>
      <c r="GA56" s="2060"/>
      <c r="GB56" s="2060"/>
      <c r="GC56" s="2060"/>
    </row>
    <row r="57" spans="1:185" customFormat="1" ht="12.75" customHeight="1">
      <c r="A57" s="1632" t="str">
        <f t="shared" si="1"/>
        <v>n</v>
      </c>
      <c r="B57" s="1632"/>
      <c r="C57" s="128"/>
      <c r="D57" s="779">
        <f t="shared" ca="1" si="2"/>
        <v>2.0899999999999981</v>
      </c>
      <c r="E57" s="1504" t="str">
        <f>'DATA GPC'!E28</f>
        <v>--</v>
      </c>
      <c r="F57" s="128"/>
      <c r="G57" s="2215" t="str">
        <f>'DATA GPC'!J28</f>
        <v>--</v>
      </c>
      <c r="H57" s="2216" t="str">
        <f>IF($E57="--","--",'DATA GPC'!P325)</f>
        <v>--</v>
      </c>
      <c r="I57" s="2216" t="str">
        <f>IF($E57="--","--",'DATA GPC'!P418)</f>
        <v>--</v>
      </c>
      <c r="J57" s="2217" t="str">
        <f>IF($E57="--","--",CHOOSE($E$307,'DATA GPC'!O449,'DATA GPC'!P449,'DATA GPC'!S449,'DATA GPC'!T449,'DATA GPC'!U449,'DATA GPC'!V449))</f>
        <v>--</v>
      </c>
      <c r="K57" s="247"/>
      <c r="L57" s="2218" t="str">
        <f>IF($E57="--","--",'DATA GPC'!P480)</f>
        <v>--</v>
      </c>
      <c r="M57" s="2218" t="str">
        <f>IF($E57="--","--",'DATA GPC'!P511)</f>
        <v>--</v>
      </c>
      <c r="N57" s="2217" t="str">
        <f>IF($E57="--","--",CHOOSE($E$307,'DATA GPC'!O542,'DATA GPC'!P542,'DATA GPC'!S542,'DATA GPC'!T542,'DATA GPC'!U542,'DATA GPC'!V542))</f>
        <v>--</v>
      </c>
      <c r="O57" s="2202"/>
      <c r="P57" s="2217" t="str">
        <f t="shared" si="3"/>
        <v>--</v>
      </c>
      <c r="Q57" s="2060"/>
      <c r="R57" s="2060"/>
      <c r="S57" s="2060"/>
      <c r="T57" s="2060"/>
      <c r="U57" s="2060"/>
      <c r="V57" s="2060"/>
      <c r="W57" s="128"/>
      <c r="X57" s="2060"/>
      <c r="Y57" s="2060"/>
      <c r="Z57" s="2060"/>
      <c r="AA57" s="2060"/>
      <c r="AB57" s="2060"/>
      <c r="AC57" s="2060"/>
      <c r="AD57" s="1004"/>
      <c r="AE57" s="2060"/>
      <c r="AF57" s="2060"/>
      <c r="AG57" s="2060"/>
      <c r="AH57" s="2060"/>
      <c r="AI57" s="2060"/>
      <c r="AJ57" s="2060"/>
      <c r="AK57" s="2060"/>
      <c r="AL57" s="2060"/>
      <c r="AM57" s="2060"/>
      <c r="AN57" s="2060"/>
      <c r="AO57" s="2060"/>
      <c r="AP57" s="2060"/>
      <c r="AQ57" s="2060"/>
      <c r="AR57" s="2060"/>
      <c r="AS57" s="2060"/>
      <c r="AT57" s="2060"/>
      <c r="AU57" s="2060"/>
      <c r="AV57" s="2060"/>
      <c r="AW57" s="2060"/>
      <c r="AX57" s="2060"/>
      <c r="AY57" s="2060"/>
      <c r="AZ57" s="2060"/>
      <c r="BA57" s="2060"/>
      <c r="BB57" s="2060"/>
      <c r="BC57" s="2060"/>
      <c r="BD57" s="2060"/>
      <c r="BE57" s="2060"/>
      <c r="BF57" s="2060"/>
      <c r="BG57" s="2060"/>
      <c r="BH57" s="2060"/>
      <c r="BI57" s="2060"/>
      <c r="BJ57" s="2060"/>
      <c r="BK57" s="2060"/>
      <c r="BL57" s="2060"/>
      <c r="BM57" s="2060"/>
      <c r="BN57" s="2060"/>
      <c r="BO57" s="2060"/>
      <c r="BP57" s="2060"/>
      <c r="BQ57" s="2060"/>
      <c r="BR57" s="2060"/>
      <c r="BS57" s="2060"/>
      <c r="BT57" s="2060"/>
      <c r="BU57" s="2060"/>
      <c r="BV57" s="2060"/>
      <c r="BW57" s="2060"/>
      <c r="BX57" s="2060"/>
      <c r="BY57" s="2060"/>
      <c r="BZ57" s="2060"/>
      <c r="CA57" s="2060"/>
      <c r="CB57" s="2060"/>
      <c r="CC57" s="2060"/>
      <c r="CD57" s="2060"/>
      <c r="CE57" s="2060"/>
      <c r="CF57" s="2060"/>
      <c r="CG57" s="2060"/>
      <c r="CH57" s="2060"/>
      <c r="CI57" s="2060"/>
      <c r="CJ57" s="2060"/>
      <c r="CK57" s="2060"/>
      <c r="CL57" s="2060"/>
      <c r="CM57" s="2060"/>
      <c r="CN57" s="2060"/>
      <c r="CO57" s="2060"/>
      <c r="CP57" s="2060"/>
      <c r="CQ57" s="2060"/>
      <c r="CR57" s="2060"/>
      <c r="CS57" s="2060"/>
      <c r="CT57" s="2060"/>
      <c r="CU57" s="2060"/>
      <c r="CV57" s="2060"/>
      <c r="CW57" s="2060"/>
      <c r="CX57" s="2060"/>
      <c r="CY57" s="2060"/>
      <c r="CZ57" s="2060"/>
      <c r="DA57" s="2060"/>
      <c r="DB57" s="2060"/>
      <c r="DC57" s="2060"/>
      <c r="DD57" s="2060"/>
      <c r="DE57" s="2060"/>
      <c r="DF57" s="2060"/>
      <c r="DG57" s="2060"/>
      <c r="DH57" s="2060"/>
      <c r="DI57" s="2060"/>
      <c r="DJ57" s="2060"/>
      <c r="DK57" s="2060"/>
      <c r="DL57" s="2060"/>
      <c r="DM57" s="2060"/>
      <c r="DN57" s="2060"/>
      <c r="DO57" s="2060"/>
      <c r="DP57" s="2060"/>
      <c r="DQ57" s="2060"/>
      <c r="DR57" s="2060"/>
      <c r="DS57" s="2060"/>
      <c r="DT57" s="2060"/>
      <c r="DU57" s="2060"/>
      <c r="DV57" s="2060"/>
      <c r="DW57" s="2060"/>
      <c r="DX57" s="2060"/>
      <c r="DY57" s="2060"/>
      <c r="DZ57" s="2060"/>
      <c r="EA57" s="2060"/>
      <c r="EB57" s="2060"/>
      <c r="EC57" s="2060"/>
      <c r="ED57" s="2060"/>
      <c r="EE57" s="2060"/>
      <c r="EF57" s="2060"/>
      <c r="EG57" s="2060"/>
      <c r="EH57" s="2060"/>
      <c r="EI57" s="2060"/>
      <c r="EJ57" s="2060"/>
      <c r="EK57" s="2060"/>
      <c r="EL57" s="2060"/>
      <c r="EM57" s="2060"/>
      <c r="EN57" s="2060"/>
      <c r="EO57" s="2060"/>
      <c r="EP57" s="2060"/>
      <c r="EQ57" s="2060"/>
      <c r="ER57" s="2060"/>
      <c r="ES57" s="2060"/>
      <c r="ET57" s="2060"/>
      <c r="EU57" s="2060"/>
      <c r="EV57" s="2060"/>
      <c r="EW57" s="2060"/>
      <c r="EX57" s="2060"/>
      <c r="EY57" s="2060"/>
      <c r="EZ57" s="2060"/>
      <c r="FA57" s="2060"/>
      <c r="FB57" s="2060"/>
      <c r="FC57" s="2060"/>
      <c r="FD57" s="2060"/>
      <c r="FE57" s="2060"/>
      <c r="FF57" s="2060"/>
      <c r="FG57" s="2060"/>
      <c r="FH57" s="2060"/>
      <c r="FI57" s="2060"/>
      <c r="FJ57" s="2060"/>
      <c r="FK57" s="2060"/>
      <c r="FL57" s="2060"/>
      <c r="FM57" s="2060"/>
      <c r="FN57" s="2060"/>
      <c r="FO57" s="2060"/>
      <c r="FP57" s="2060"/>
      <c r="FQ57" s="2060"/>
      <c r="FR57" s="2060"/>
      <c r="FS57" s="2060"/>
      <c r="FT57" s="2060"/>
      <c r="FU57" s="2060"/>
      <c r="FV57" s="2060"/>
      <c r="FW57" s="2060"/>
      <c r="FX57" s="2060"/>
      <c r="FY57" s="2060"/>
      <c r="FZ57" s="2060"/>
      <c r="GA57" s="2060"/>
      <c r="GB57" s="2060"/>
      <c r="GC57" s="2060"/>
    </row>
    <row r="58" spans="1:185" customFormat="1" ht="12.75" customHeight="1">
      <c r="A58" s="1632" t="str">
        <f t="shared" si="1"/>
        <v>n</v>
      </c>
      <c r="B58" s="1632"/>
      <c r="C58" s="128"/>
      <c r="D58" s="779">
        <f t="shared" ca="1" si="2"/>
        <v>2.0999999999999979</v>
      </c>
      <c r="E58" s="1504" t="str">
        <f>'DATA GPC'!E29</f>
        <v>--</v>
      </c>
      <c r="F58" s="128"/>
      <c r="G58" s="2215" t="str">
        <f>'DATA GPC'!J29</f>
        <v>--</v>
      </c>
      <c r="H58" s="2216" t="str">
        <f>IF($E58="--","--",'DATA GPC'!P326)</f>
        <v>--</v>
      </c>
      <c r="I58" s="2216" t="str">
        <f>IF($E58="--","--",'DATA GPC'!P419)</f>
        <v>--</v>
      </c>
      <c r="J58" s="2217" t="str">
        <f>IF($E58="--","--",CHOOSE($E$307,'DATA GPC'!O450,'DATA GPC'!P450,'DATA GPC'!S450,'DATA GPC'!T450,'DATA GPC'!U450,'DATA GPC'!V450))</f>
        <v>--</v>
      </c>
      <c r="K58" s="247"/>
      <c r="L58" s="2218" t="str">
        <f>IF($E58="--","--",'DATA GPC'!P481)</f>
        <v>--</v>
      </c>
      <c r="M58" s="2218" t="str">
        <f>IF($E58="--","--",'DATA GPC'!P512)</f>
        <v>--</v>
      </c>
      <c r="N58" s="2217" t="str">
        <f>IF($E58="--","--",CHOOSE($E$307,'DATA GPC'!O543,'DATA GPC'!P543,'DATA GPC'!S543,'DATA GPC'!T543,'DATA GPC'!U543,'DATA GPC'!V543))</f>
        <v>--</v>
      </c>
      <c r="O58" s="2202"/>
      <c r="P58" s="2217" t="str">
        <f t="shared" si="3"/>
        <v>--</v>
      </c>
      <c r="Q58" s="2060"/>
      <c r="R58" s="2060"/>
      <c r="S58" s="2060"/>
      <c r="T58" s="2060"/>
      <c r="U58" s="2060"/>
      <c r="V58" s="2060"/>
      <c r="W58" s="128"/>
      <c r="X58" s="2060"/>
      <c r="Y58" s="2060"/>
      <c r="Z58" s="2060"/>
      <c r="AA58" s="2060"/>
      <c r="AB58" s="2060"/>
      <c r="AC58" s="2060"/>
      <c r="AD58" s="1004"/>
      <c r="AE58" s="2060"/>
      <c r="AF58" s="2060"/>
      <c r="AG58" s="2060"/>
      <c r="AH58" s="2060"/>
      <c r="AI58" s="2060"/>
      <c r="AJ58" s="2060"/>
      <c r="AK58" s="2060"/>
      <c r="AL58" s="2060"/>
      <c r="AM58" s="2060"/>
      <c r="AN58" s="2060"/>
      <c r="AO58" s="2060"/>
      <c r="AP58" s="2060"/>
      <c r="AQ58" s="2060"/>
      <c r="AR58" s="2060"/>
      <c r="AS58" s="2060"/>
      <c r="AT58" s="2060"/>
      <c r="AU58" s="2060"/>
      <c r="AV58" s="2060"/>
      <c r="AW58" s="2060"/>
      <c r="AX58" s="2060"/>
      <c r="AY58" s="2060"/>
      <c r="AZ58" s="2060"/>
      <c r="BA58" s="2060"/>
      <c r="BB58" s="2060"/>
      <c r="BC58" s="2060"/>
      <c r="BD58" s="2060"/>
      <c r="BE58" s="2060"/>
      <c r="BF58" s="2060"/>
      <c r="BG58" s="2060"/>
      <c r="BH58" s="2060"/>
      <c r="BI58" s="2060"/>
      <c r="BJ58" s="2060"/>
      <c r="BK58" s="2060"/>
      <c r="BL58" s="2060"/>
      <c r="BM58" s="2060"/>
      <c r="BN58" s="2060"/>
      <c r="BO58" s="2060"/>
      <c r="BP58" s="2060"/>
      <c r="BQ58" s="2060"/>
      <c r="BR58" s="2060"/>
      <c r="BS58" s="2060"/>
      <c r="BT58" s="2060"/>
      <c r="BU58" s="2060"/>
      <c r="BV58" s="2060"/>
      <c r="BW58" s="2060"/>
      <c r="BX58" s="2060"/>
      <c r="BY58" s="2060"/>
      <c r="BZ58" s="2060"/>
      <c r="CA58" s="2060"/>
      <c r="CB58" s="2060"/>
      <c r="CC58" s="2060"/>
      <c r="CD58" s="2060"/>
      <c r="CE58" s="2060"/>
      <c r="CF58" s="2060"/>
      <c r="CG58" s="2060"/>
      <c r="CH58" s="2060"/>
      <c r="CI58" s="2060"/>
      <c r="CJ58" s="2060"/>
      <c r="CK58" s="2060"/>
      <c r="CL58" s="2060"/>
      <c r="CM58" s="2060"/>
      <c r="CN58" s="2060"/>
      <c r="CO58" s="2060"/>
      <c r="CP58" s="2060"/>
      <c r="CQ58" s="2060"/>
      <c r="CR58" s="2060"/>
      <c r="CS58" s="2060"/>
      <c r="CT58" s="2060"/>
      <c r="CU58" s="2060"/>
      <c r="CV58" s="2060"/>
      <c r="CW58" s="2060"/>
      <c r="CX58" s="2060"/>
      <c r="CY58" s="2060"/>
      <c r="CZ58" s="2060"/>
      <c r="DA58" s="2060"/>
      <c r="DB58" s="2060"/>
      <c r="DC58" s="2060"/>
      <c r="DD58" s="2060"/>
      <c r="DE58" s="2060"/>
      <c r="DF58" s="2060"/>
      <c r="DG58" s="2060"/>
      <c r="DH58" s="2060"/>
      <c r="DI58" s="2060"/>
      <c r="DJ58" s="2060"/>
      <c r="DK58" s="2060"/>
      <c r="DL58" s="2060"/>
      <c r="DM58" s="2060"/>
      <c r="DN58" s="2060"/>
      <c r="DO58" s="2060"/>
      <c r="DP58" s="2060"/>
      <c r="DQ58" s="2060"/>
      <c r="DR58" s="2060"/>
      <c r="DS58" s="2060"/>
      <c r="DT58" s="2060"/>
      <c r="DU58" s="2060"/>
      <c r="DV58" s="2060"/>
      <c r="DW58" s="2060"/>
      <c r="DX58" s="2060"/>
      <c r="DY58" s="2060"/>
      <c r="DZ58" s="2060"/>
      <c r="EA58" s="2060"/>
      <c r="EB58" s="2060"/>
      <c r="EC58" s="2060"/>
      <c r="ED58" s="2060"/>
      <c r="EE58" s="2060"/>
      <c r="EF58" s="2060"/>
      <c r="EG58" s="2060"/>
      <c r="EH58" s="2060"/>
      <c r="EI58" s="2060"/>
      <c r="EJ58" s="2060"/>
      <c r="EK58" s="2060"/>
      <c r="EL58" s="2060"/>
      <c r="EM58" s="2060"/>
      <c r="EN58" s="2060"/>
      <c r="EO58" s="2060"/>
      <c r="EP58" s="2060"/>
      <c r="EQ58" s="2060"/>
      <c r="ER58" s="2060"/>
      <c r="ES58" s="2060"/>
      <c r="ET58" s="2060"/>
      <c r="EU58" s="2060"/>
      <c r="EV58" s="2060"/>
      <c r="EW58" s="2060"/>
      <c r="EX58" s="2060"/>
      <c r="EY58" s="2060"/>
      <c r="EZ58" s="2060"/>
      <c r="FA58" s="2060"/>
      <c r="FB58" s="2060"/>
      <c r="FC58" s="2060"/>
      <c r="FD58" s="2060"/>
      <c r="FE58" s="2060"/>
      <c r="FF58" s="2060"/>
      <c r="FG58" s="2060"/>
      <c r="FH58" s="2060"/>
      <c r="FI58" s="2060"/>
      <c r="FJ58" s="2060"/>
      <c r="FK58" s="2060"/>
      <c r="FL58" s="2060"/>
      <c r="FM58" s="2060"/>
      <c r="FN58" s="2060"/>
      <c r="FO58" s="2060"/>
      <c r="FP58" s="2060"/>
      <c r="FQ58" s="2060"/>
      <c r="FR58" s="2060"/>
      <c r="FS58" s="2060"/>
      <c r="FT58" s="2060"/>
      <c r="FU58" s="2060"/>
      <c r="FV58" s="2060"/>
      <c r="FW58" s="2060"/>
      <c r="FX58" s="2060"/>
      <c r="FY58" s="2060"/>
      <c r="FZ58" s="2060"/>
      <c r="GA58" s="2060"/>
      <c r="GB58" s="2060"/>
      <c r="GC58" s="2060"/>
    </row>
    <row r="59" spans="1:185" customFormat="1" ht="12.75" customHeight="1">
      <c r="A59" s="1632" t="str">
        <f t="shared" si="1"/>
        <v>n</v>
      </c>
      <c r="B59" s="1632"/>
      <c r="C59" s="128"/>
      <c r="D59" s="779">
        <f t="shared" ca="1" si="2"/>
        <v>2.1099999999999977</v>
      </c>
      <c r="E59" s="1504" t="str">
        <f>'DATA GPC'!E30</f>
        <v>--</v>
      </c>
      <c r="F59" s="128"/>
      <c r="G59" s="2215" t="str">
        <f>'DATA GPC'!J30</f>
        <v>--</v>
      </c>
      <c r="H59" s="2216" t="str">
        <f>IF($E59="--","--",'DATA GPC'!P327)</f>
        <v>--</v>
      </c>
      <c r="I59" s="2216" t="str">
        <f>IF($E59="--","--",'DATA GPC'!P420)</f>
        <v>--</v>
      </c>
      <c r="J59" s="2217" t="str">
        <f>IF($E59="--","--",CHOOSE($E$307,'DATA GPC'!O451,'DATA GPC'!P451,'DATA GPC'!S451,'DATA GPC'!T451,'DATA GPC'!U451,'DATA GPC'!V451))</f>
        <v>--</v>
      </c>
      <c r="K59" s="247"/>
      <c r="L59" s="2218" t="str">
        <f>IF($E59="--","--",'DATA GPC'!P482)</f>
        <v>--</v>
      </c>
      <c r="M59" s="2218" t="str">
        <f>IF($E59="--","--",'DATA GPC'!P513)</f>
        <v>--</v>
      </c>
      <c r="N59" s="2217" t="str">
        <f>IF($E59="--","--",CHOOSE($E$307,'DATA GPC'!O544,'DATA GPC'!P544,'DATA GPC'!S544,'DATA GPC'!T544,'DATA GPC'!U544,'DATA GPC'!V544))</f>
        <v>--</v>
      </c>
      <c r="O59" s="2202"/>
      <c r="P59" s="2217" t="str">
        <f t="shared" si="3"/>
        <v>--</v>
      </c>
      <c r="Q59" s="2060"/>
      <c r="R59" s="2060"/>
      <c r="S59" s="2060"/>
      <c r="T59" s="2060"/>
      <c r="U59" s="2060"/>
      <c r="V59" s="2060"/>
      <c r="W59" s="128"/>
      <c r="X59" s="2060"/>
      <c r="Y59" s="2060"/>
      <c r="Z59" s="2060"/>
      <c r="AA59" s="2060"/>
      <c r="AB59" s="2060"/>
      <c r="AC59" s="2060"/>
      <c r="AD59" s="1004"/>
      <c r="AE59" s="2060"/>
      <c r="AF59" s="2060"/>
      <c r="AG59" s="2060"/>
      <c r="AH59" s="2060"/>
      <c r="AI59" s="2060"/>
      <c r="AJ59" s="2060"/>
      <c r="AK59" s="2060"/>
      <c r="AL59" s="2060"/>
      <c r="AM59" s="2060"/>
      <c r="AN59" s="2060"/>
      <c r="AO59" s="2060"/>
      <c r="AP59" s="2060"/>
      <c r="AQ59" s="2060"/>
      <c r="AR59" s="2060"/>
      <c r="AS59" s="2060"/>
      <c r="AT59" s="2060"/>
      <c r="AU59" s="2060"/>
      <c r="AV59" s="2060"/>
      <c r="AW59" s="2060"/>
      <c r="AX59" s="2060"/>
      <c r="AY59" s="2060"/>
      <c r="AZ59" s="2060"/>
      <c r="BA59" s="2060"/>
      <c r="BB59" s="2060"/>
      <c r="BC59" s="2060"/>
      <c r="BD59" s="2060"/>
      <c r="BE59" s="2060"/>
      <c r="BF59" s="2060"/>
      <c r="BG59" s="2060"/>
      <c r="BH59" s="2060"/>
      <c r="BI59" s="2060"/>
      <c r="BJ59" s="2060"/>
      <c r="BK59" s="2060"/>
      <c r="BL59" s="2060"/>
      <c r="BM59" s="2060"/>
      <c r="BN59" s="2060"/>
      <c r="BO59" s="2060"/>
      <c r="BP59" s="2060"/>
      <c r="BQ59" s="2060"/>
      <c r="BR59" s="2060"/>
      <c r="BS59" s="2060"/>
      <c r="BT59" s="2060"/>
      <c r="BU59" s="2060"/>
      <c r="BV59" s="2060"/>
      <c r="BW59" s="2060"/>
      <c r="BX59" s="2060"/>
      <c r="BY59" s="2060"/>
      <c r="BZ59" s="2060"/>
      <c r="CA59" s="2060"/>
      <c r="CB59" s="2060"/>
      <c r="CC59" s="2060"/>
      <c r="CD59" s="2060"/>
      <c r="CE59" s="2060"/>
      <c r="CF59" s="2060"/>
      <c r="CG59" s="2060"/>
      <c r="CH59" s="2060"/>
      <c r="CI59" s="2060"/>
      <c r="CJ59" s="2060"/>
      <c r="CK59" s="2060"/>
      <c r="CL59" s="2060"/>
      <c r="CM59" s="2060"/>
      <c r="CN59" s="2060"/>
      <c r="CO59" s="2060"/>
      <c r="CP59" s="2060"/>
      <c r="CQ59" s="2060"/>
      <c r="CR59" s="2060"/>
      <c r="CS59" s="2060"/>
      <c r="CT59" s="2060"/>
      <c r="CU59" s="2060"/>
      <c r="CV59" s="2060"/>
      <c r="CW59" s="2060"/>
      <c r="CX59" s="2060"/>
      <c r="CY59" s="2060"/>
      <c r="CZ59" s="2060"/>
      <c r="DA59" s="2060"/>
      <c r="DB59" s="2060"/>
      <c r="DC59" s="2060"/>
      <c r="DD59" s="2060"/>
      <c r="DE59" s="2060"/>
      <c r="DF59" s="2060"/>
      <c r="DG59" s="2060"/>
      <c r="DH59" s="2060"/>
      <c r="DI59" s="2060"/>
      <c r="DJ59" s="2060"/>
      <c r="DK59" s="2060"/>
      <c r="DL59" s="2060"/>
      <c r="DM59" s="2060"/>
      <c r="DN59" s="2060"/>
      <c r="DO59" s="2060"/>
      <c r="DP59" s="2060"/>
      <c r="DQ59" s="2060"/>
      <c r="DR59" s="2060"/>
      <c r="DS59" s="2060"/>
      <c r="DT59" s="2060"/>
      <c r="DU59" s="2060"/>
      <c r="DV59" s="2060"/>
      <c r="DW59" s="2060"/>
      <c r="DX59" s="2060"/>
      <c r="DY59" s="2060"/>
      <c r="DZ59" s="2060"/>
      <c r="EA59" s="2060"/>
      <c r="EB59" s="2060"/>
      <c r="EC59" s="2060"/>
      <c r="ED59" s="2060"/>
      <c r="EE59" s="2060"/>
      <c r="EF59" s="2060"/>
      <c r="EG59" s="2060"/>
      <c r="EH59" s="2060"/>
      <c r="EI59" s="2060"/>
      <c r="EJ59" s="2060"/>
      <c r="EK59" s="2060"/>
      <c r="EL59" s="2060"/>
      <c r="EM59" s="2060"/>
      <c r="EN59" s="2060"/>
      <c r="EO59" s="2060"/>
      <c r="EP59" s="2060"/>
      <c r="EQ59" s="2060"/>
      <c r="ER59" s="2060"/>
      <c r="ES59" s="2060"/>
      <c r="ET59" s="2060"/>
      <c r="EU59" s="2060"/>
      <c r="EV59" s="2060"/>
      <c r="EW59" s="2060"/>
      <c r="EX59" s="2060"/>
      <c r="EY59" s="2060"/>
      <c r="EZ59" s="2060"/>
      <c r="FA59" s="2060"/>
      <c r="FB59" s="2060"/>
      <c r="FC59" s="2060"/>
      <c r="FD59" s="2060"/>
      <c r="FE59" s="2060"/>
      <c r="FF59" s="2060"/>
      <c r="FG59" s="2060"/>
      <c r="FH59" s="2060"/>
      <c r="FI59" s="2060"/>
      <c r="FJ59" s="2060"/>
      <c r="FK59" s="2060"/>
      <c r="FL59" s="2060"/>
      <c r="FM59" s="2060"/>
      <c r="FN59" s="2060"/>
      <c r="FO59" s="2060"/>
      <c r="FP59" s="2060"/>
      <c r="FQ59" s="2060"/>
      <c r="FR59" s="2060"/>
      <c r="FS59" s="2060"/>
      <c r="FT59" s="2060"/>
      <c r="FU59" s="2060"/>
      <c r="FV59" s="2060"/>
      <c r="FW59" s="2060"/>
      <c r="FX59" s="2060"/>
      <c r="FY59" s="2060"/>
      <c r="FZ59" s="2060"/>
      <c r="GA59" s="2060"/>
      <c r="GB59" s="2060"/>
      <c r="GC59" s="2060"/>
    </row>
    <row r="60" spans="1:185" customFormat="1">
      <c r="A60" s="1632" t="str">
        <f t="shared" si="1"/>
        <v>n</v>
      </c>
      <c r="B60" s="1632"/>
      <c r="C60" s="128"/>
      <c r="D60" s="779">
        <f t="shared" ca="1" si="2"/>
        <v>2.1199999999999974</v>
      </c>
      <c r="E60" s="1504" t="str">
        <f>'DATA GPC'!E31</f>
        <v>--</v>
      </c>
      <c r="F60" s="128"/>
      <c r="G60" s="2215" t="str">
        <f>'DATA GPC'!J31</f>
        <v>--</v>
      </c>
      <c r="H60" s="2216" t="str">
        <f>IF($E60="--","--",'DATA GPC'!P328)</f>
        <v>--</v>
      </c>
      <c r="I60" s="2216" t="str">
        <f>IF($E60="--","--",'DATA GPC'!P421)</f>
        <v>--</v>
      </c>
      <c r="J60" s="2217" t="str">
        <f>IF($E60="--","--",CHOOSE($E$307,'DATA GPC'!O452,'DATA GPC'!P452,'DATA GPC'!S452,'DATA GPC'!T452,'DATA GPC'!U452,'DATA GPC'!V452))</f>
        <v>--</v>
      </c>
      <c r="K60" s="247"/>
      <c r="L60" s="2218" t="str">
        <f>IF($E60="--","--",'DATA GPC'!P483)</f>
        <v>--</v>
      </c>
      <c r="M60" s="2218" t="str">
        <f>IF($E60="--","--",'DATA GPC'!P514)</f>
        <v>--</v>
      </c>
      <c r="N60" s="2217" t="str">
        <f>IF($E60="--","--",CHOOSE($E$307,'DATA GPC'!O545,'DATA GPC'!P545,'DATA GPC'!S545,'DATA GPC'!T545,'DATA GPC'!U545,'DATA GPC'!V545))</f>
        <v>--</v>
      </c>
      <c r="O60" s="2202"/>
      <c r="P60" s="2217" t="str">
        <f t="shared" si="3"/>
        <v>--</v>
      </c>
      <c r="Q60" s="2060"/>
      <c r="R60" s="2060"/>
      <c r="S60" s="2060"/>
      <c r="T60" s="2060"/>
      <c r="U60" s="2060"/>
      <c r="V60" s="2060"/>
      <c r="W60" s="128"/>
      <c r="X60" s="2060"/>
      <c r="Y60" s="2060"/>
      <c r="Z60" s="2060"/>
      <c r="AA60" s="2060"/>
      <c r="AB60" s="2060"/>
      <c r="AC60" s="2060"/>
      <c r="AD60" s="1004"/>
      <c r="AE60" s="2060"/>
      <c r="AF60" s="2060"/>
      <c r="AG60" s="2060"/>
      <c r="AH60" s="2060"/>
      <c r="AI60" s="2060"/>
      <c r="AJ60" s="2060"/>
      <c r="AK60" s="2060"/>
      <c r="AL60" s="2060"/>
      <c r="AM60" s="2060"/>
      <c r="AN60" s="2060"/>
      <c r="AO60" s="2060"/>
      <c r="AP60" s="2060"/>
      <c r="AQ60" s="2060"/>
      <c r="AR60" s="2060"/>
      <c r="AS60" s="2060"/>
      <c r="AT60" s="2060"/>
      <c r="AU60" s="2060"/>
      <c r="AV60" s="2060"/>
      <c r="AW60" s="2060"/>
      <c r="AX60" s="2060"/>
      <c r="AY60" s="2060"/>
      <c r="AZ60" s="2060"/>
      <c r="BA60" s="2060"/>
      <c r="BB60" s="2060"/>
      <c r="BC60" s="2060"/>
      <c r="BD60" s="2060"/>
      <c r="BE60" s="2060"/>
      <c r="BF60" s="2060"/>
      <c r="BG60" s="2060"/>
      <c r="BH60" s="2060"/>
      <c r="BI60" s="2060"/>
      <c r="BJ60" s="2060"/>
      <c r="BK60" s="2060"/>
      <c r="BL60" s="2060"/>
      <c r="BM60" s="2060"/>
      <c r="BN60" s="2060"/>
      <c r="BO60" s="2060"/>
      <c r="BP60" s="2060"/>
      <c r="BQ60" s="2060"/>
      <c r="BR60" s="2060"/>
      <c r="BS60" s="2060"/>
      <c r="BT60" s="2060"/>
      <c r="BU60" s="2060"/>
      <c r="BV60" s="2060"/>
      <c r="BW60" s="2060"/>
      <c r="BX60" s="2060"/>
      <c r="BY60" s="2060"/>
      <c r="BZ60" s="2060"/>
      <c r="CA60" s="2060"/>
      <c r="CB60" s="2060"/>
      <c r="CC60" s="2060"/>
      <c r="CD60" s="2060"/>
      <c r="CE60" s="2060"/>
      <c r="CF60" s="2060"/>
      <c r="CG60" s="2060"/>
      <c r="CH60" s="2060"/>
      <c r="CI60" s="2060"/>
      <c r="CJ60" s="2060"/>
      <c r="CK60" s="2060"/>
      <c r="CL60" s="2060"/>
      <c r="CM60" s="2060"/>
      <c r="CN60" s="2060"/>
      <c r="CO60" s="2060"/>
      <c r="CP60" s="2060"/>
      <c r="CQ60" s="2060"/>
      <c r="CR60" s="2060"/>
      <c r="CS60" s="2060"/>
      <c r="CT60" s="2060"/>
      <c r="CU60" s="2060"/>
      <c r="CV60" s="2060"/>
      <c r="CW60" s="2060"/>
      <c r="CX60" s="2060"/>
      <c r="CY60" s="2060"/>
      <c r="CZ60" s="2060"/>
      <c r="DA60" s="2060"/>
      <c r="DB60" s="2060"/>
      <c r="DC60" s="2060"/>
      <c r="DD60" s="2060"/>
      <c r="DE60" s="2060"/>
      <c r="DF60" s="2060"/>
      <c r="DG60" s="2060"/>
      <c r="DH60" s="2060"/>
      <c r="DI60" s="2060"/>
      <c r="DJ60" s="2060"/>
      <c r="DK60" s="2060"/>
      <c r="DL60" s="2060"/>
      <c r="DM60" s="2060"/>
      <c r="DN60" s="2060"/>
      <c r="DO60" s="2060"/>
      <c r="DP60" s="2060"/>
      <c r="DQ60" s="2060"/>
      <c r="DR60" s="2060"/>
      <c r="DS60" s="2060"/>
      <c r="DT60" s="2060"/>
      <c r="DU60" s="2060"/>
      <c r="DV60" s="2060"/>
      <c r="DW60" s="2060"/>
      <c r="DX60" s="2060"/>
      <c r="DY60" s="2060"/>
      <c r="DZ60" s="2060"/>
      <c r="EA60" s="2060"/>
      <c r="EB60" s="2060"/>
      <c r="EC60" s="2060"/>
      <c r="ED60" s="2060"/>
      <c r="EE60" s="2060"/>
      <c r="EF60" s="2060"/>
      <c r="EG60" s="2060"/>
      <c r="EH60" s="2060"/>
      <c r="EI60" s="2060"/>
      <c r="EJ60" s="2060"/>
      <c r="EK60" s="2060"/>
      <c r="EL60" s="2060"/>
      <c r="EM60" s="2060"/>
      <c r="EN60" s="2060"/>
      <c r="EO60" s="2060"/>
      <c r="EP60" s="2060"/>
      <c r="EQ60" s="2060"/>
      <c r="ER60" s="2060"/>
      <c r="ES60" s="2060"/>
      <c r="ET60" s="2060"/>
      <c r="EU60" s="2060"/>
      <c r="EV60" s="2060"/>
      <c r="EW60" s="2060"/>
      <c r="EX60" s="2060"/>
      <c r="EY60" s="2060"/>
      <c r="EZ60" s="2060"/>
      <c r="FA60" s="2060"/>
      <c r="FB60" s="2060"/>
      <c r="FC60" s="2060"/>
      <c r="FD60" s="2060"/>
      <c r="FE60" s="2060"/>
      <c r="FF60" s="2060"/>
      <c r="FG60" s="2060"/>
      <c r="FH60" s="2060"/>
      <c r="FI60" s="2060"/>
      <c r="FJ60" s="2060"/>
      <c r="FK60" s="2060"/>
      <c r="FL60" s="2060"/>
      <c r="FM60" s="2060"/>
      <c r="FN60" s="2060"/>
      <c r="FO60" s="2060"/>
      <c r="FP60" s="2060"/>
      <c r="FQ60" s="2060"/>
      <c r="FR60" s="2060"/>
      <c r="FS60" s="2060"/>
      <c r="FT60" s="2060"/>
      <c r="FU60" s="2060"/>
      <c r="FV60" s="2060"/>
      <c r="FW60" s="2060"/>
      <c r="FX60" s="2060"/>
      <c r="FY60" s="2060"/>
      <c r="FZ60" s="2060"/>
      <c r="GA60" s="2060"/>
      <c r="GB60" s="2060"/>
      <c r="GC60" s="2060"/>
    </row>
    <row r="61" spans="1:185" customFormat="1">
      <c r="A61" s="1632" t="str">
        <f t="shared" si="1"/>
        <v>n</v>
      </c>
      <c r="B61" s="1632"/>
      <c r="C61" s="128"/>
      <c r="D61" s="779">
        <f t="shared" ca="1" si="2"/>
        <v>2.1299999999999972</v>
      </c>
      <c r="E61" s="1504" t="str">
        <f>'DATA GPC'!E32</f>
        <v>--</v>
      </c>
      <c r="F61" s="128"/>
      <c r="G61" s="2215" t="str">
        <f>'DATA GPC'!J32</f>
        <v>--</v>
      </c>
      <c r="H61" s="2216" t="str">
        <f>IF($E61="--","--",'DATA GPC'!P329)</f>
        <v>--</v>
      </c>
      <c r="I61" s="2216" t="str">
        <f>IF($E61="--","--",'DATA GPC'!P422)</f>
        <v>--</v>
      </c>
      <c r="J61" s="2217" t="str">
        <f>IF($E61="--","--",CHOOSE($E$307,'DATA GPC'!O453,'DATA GPC'!P453,'DATA GPC'!S453,'DATA GPC'!T453,'DATA GPC'!U453,'DATA GPC'!V453))</f>
        <v>--</v>
      </c>
      <c r="K61" s="247"/>
      <c r="L61" s="2218" t="str">
        <f>IF($E61="--","--",'DATA GPC'!P484)</f>
        <v>--</v>
      </c>
      <c r="M61" s="2218" t="str">
        <f>IF($E61="--","--",'DATA GPC'!P515)</f>
        <v>--</v>
      </c>
      <c r="N61" s="2217" t="str">
        <f>IF($E61="--","--",CHOOSE($E$307,'DATA GPC'!O546,'DATA GPC'!P546,'DATA GPC'!S546,'DATA GPC'!T546,'DATA GPC'!U546,'DATA GPC'!V546))</f>
        <v>--</v>
      </c>
      <c r="O61" s="2202"/>
      <c r="P61" s="2217" t="str">
        <f t="shared" si="3"/>
        <v>--</v>
      </c>
      <c r="Q61" s="2060"/>
      <c r="R61" s="2060"/>
      <c r="S61" s="2060"/>
      <c r="T61" s="2060"/>
      <c r="U61" s="2060"/>
      <c r="V61" s="2060"/>
      <c r="W61" s="128"/>
      <c r="X61" s="2060"/>
      <c r="Y61" s="2060"/>
      <c r="Z61" s="2060"/>
      <c r="AA61" s="2060"/>
      <c r="AB61" s="2060"/>
      <c r="AC61" s="2060"/>
      <c r="AD61" s="1004"/>
      <c r="AE61" s="2060"/>
      <c r="AF61" s="2060"/>
      <c r="AG61" s="2060"/>
      <c r="AH61" s="2060"/>
      <c r="AI61" s="2060"/>
      <c r="AJ61" s="2060"/>
      <c r="AK61" s="2060"/>
      <c r="AL61" s="2060"/>
      <c r="AM61" s="2060"/>
      <c r="AN61" s="2060"/>
      <c r="AO61" s="2060"/>
      <c r="AP61" s="2060"/>
      <c r="AQ61" s="2060"/>
      <c r="AR61" s="2060"/>
      <c r="AS61" s="2060"/>
      <c r="AT61" s="2060"/>
      <c r="AU61" s="2060"/>
      <c r="AV61" s="2060"/>
      <c r="AW61" s="2060"/>
      <c r="AX61" s="2060"/>
      <c r="AY61" s="2060"/>
      <c r="AZ61" s="2060"/>
      <c r="BA61" s="2060"/>
      <c r="BB61" s="2060"/>
      <c r="BC61" s="2060"/>
      <c r="BD61" s="2060"/>
      <c r="BE61" s="2060"/>
      <c r="BF61" s="2060"/>
      <c r="BG61" s="2060"/>
      <c r="BH61" s="2060"/>
      <c r="BI61" s="2060"/>
      <c r="BJ61" s="2060"/>
      <c r="BK61" s="2060"/>
      <c r="BL61" s="2060"/>
      <c r="BM61" s="2060"/>
      <c r="BN61" s="2060"/>
      <c r="BO61" s="2060"/>
      <c r="BP61" s="2060"/>
      <c r="BQ61" s="2060"/>
      <c r="BR61" s="2060"/>
      <c r="BS61" s="2060"/>
      <c r="BT61" s="2060"/>
      <c r="BU61" s="2060"/>
      <c r="BV61" s="2060"/>
      <c r="BW61" s="2060"/>
      <c r="BX61" s="2060"/>
      <c r="BY61" s="2060"/>
      <c r="BZ61" s="2060"/>
      <c r="CA61" s="2060"/>
      <c r="CB61" s="2060"/>
      <c r="CC61" s="2060"/>
      <c r="CD61" s="2060"/>
      <c r="CE61" s="2060"/>
      <c r="CF61" s="2060"/>
      <c r="CG61" s="2060"/>
      <c r="CH61" s="2060"/>
      <c r="CI61" s="2060"/>
      <c r="CJ61" s="2060"/>
      <c r="CK61" s="2060"/>
      <c r="CL61" s="2060"/>
      <c r="CM61" s="2060"/>
      <c r="CN61" s="2060"/>
      <c r="CO61" s="2060"/>
      <c r="CP61" s="2060"/>
      <c r="CQ61" s="2060"/>
      <c r="CR61" s="2060"/>
      <c r="CS61" s="2060"/>
      <c r="CT61" s="2060"/>
      <c r="CU61" s="2060"/>
      <c r="CV61" s="2060"/>
      <c r="CW61" s="2060"/>
      <c r="CX61" s="2060"/>
      <c r="CY61" s="2060"/>
      <c r="CZ61" s="2060"/>
      <c r="DA61" s="2060"/>
      <c r="DB61" s="2060"/>
      <c r="DC61" s="2060"/>
      <c r="DD61" s="2060"/>
      <c r="DE61" s="2060"/>
      <c r="DF61" s="2060"/>
      <c r="DG61" s="2060"/>
      <c r="DH61" s="2060"/>
      <c r="DI61" s="2060"/>
      <c r="DJ61" s="2060"/>
      <c r="DK61" s="2060"/>
      <c r="DL61" s="2060"/>
      <c r="DM61" s="2060"/>
      <c r="DN61" s="2060"/>
      <c r="DO61" s="2060"/>
      <c r="DP61" s="2060"/>
      <c r="DQ61" s="2060"/>
      <c r="DR61" s="2060"/>
      <c r="DS61" s="2060"/>
      <c r="DT61" s="2060"/>
      <c r="DU61" s="2060"/>
      <c r="DV61" s="2060"/>
      <c r="DW61" s="2060"/>
      <c r="DX61" s="2060"/>
      <c r="DY61" s="2060"/>
      <c r="DZ61" s="2060"/>
      <c r="EA61" s="2060"/>
      <c r="EB61" s="2060"/>
      <c r="EC61" s="2060"/>
      <c r="ED61" s="2060"/>
      <c r="EE61" s="2060"/>
      <c r="EF61" s="2060"/>
      <c r="EG61" s="2060"/>
      <c r="EH61" s="2060"/>
      <c r="EI61" s="2060"/>
      <c r="EJ61" s="2060"/>
      <c r="EK61" s="2060"/>
      <c r="EL61" s="2060"/>
      <c r="EM61" s="2060"/>
      <c r="EN61" s="2060"/>
      <c r="EO61" s="2060"/>
      <c r="EP61" s="2060"/>
      <c r="EQ61" s="2060"/>
      <c r="ER61" s="2060"/>
      <c r="ES61" s="2060"/>
      <c r="ET61" s="2060"/>
      <c r="EU61" s="2060"/>
      <c r="EV61" s="2060"/>
      <c r="EW61" s="2060"/>
      <c r="EX61" s="2060"/>
      <c r="EY61" s="2060"/>
      <c r="EZ61" s="2060"/>
      <c r="FA61" s="2060"/>
      <c r="FB61" s="2060"/>
      <c r="FC61" s="2060"/>
      <c r="FD61" s="2060"/>
      <c r="FE61" s="2060"/>
      <c r="FF61" s="2060"/>
      <c r="FG61" s="2060"/>
      <c r="FH61" s="2060"/>
      <c r="FI61" s="2060"/>
      <c r="FJ61" s="2060"/>
      <c r="FK61" s="2060"/>
      <c r="FL61" s="2060"/>
      <c r="FM61" s="2060"/>
      <c r="FN61" s="2060"/>
      <c r="FO61" s="2060"/>
      <c r="FP61" s="2060"/>
      <c r="FQ61" s="2060"/>
      <c r="FR61" s="2060"/>
      <c r="FS61" s="2060"/>
      <c r="FT61" s="2060"/>
      <c r="FU61" s="2060"/>
      <c r="FV61" s="2060"/>
      <c r="FW61" s="2060"/>
      <c r="FX61" s="2060"/>
      <c r="FY61" s="2060"/>
      <c r="FZ61" s="2060"/>
      <c r="GA61" s="2060"/>
      <c r="GB61" s="2060"/>
      <c r="GC61" s="2060"/>
    </row>
    <row r="62" spans="1:185" customFormat="1">
      <c r="A62" s="1632" t="str">
        <f t="shared" si="1"/>
        <v>n</v>
      </c>
      <c r="B62" s="1632"/>
      <c r="C62" s="128"/>
      <c r="D62" s="779">
        <f t="shared" ca="1" si="2"/>
        <v>2.139999999999997</v>
      </c>
      <c r="E62" s="1504" t="str">
        <f>'DATA GPC'!E33</f>
        <v>--</v>
      </c>
      <c r="F62" s="128"/>
      <c r="G62" s="2215" t="str">
        <f>'DATA GPC'!J33</f>
        <v>--</v>
      </c>
      <c r="H62" s="2216" t="str">
        <f>IF($E62="--","--",'DATA GPC'!P330)</f>
        <v>--</v>
      </c>
      <c r="I62" s="2216" t="str">
        <f>IF($E62="--","--",'DATA GPC'!P423)</f>
        <v>--</v>
      </c>
      <c r="J62" s="2217" t="str">
        <f>IF($E62="--","--",CHOOSE($E$307,'DATA GPC'!O454,'DATA GPC'!P454,'DATA GPC'!S454,'DATA GPC'!T454,'DATA GPC'!U454,'DATA GPC'!V454))</f>
        <v>--</v>
      </c>
      <c r="K62" s="247"/>
      <c r="L62" s="2218" t="str">
        <f>IF($E62="--","--",'DATA GPC'!P485)</f>
        <v>--</v>
      </c>
      <c r="M62" s="2218" t="str">
        <f>IF($E62="--","--",'DATA GPC'!P516)</f>
        <v>--</v>
      </c>
      <c r="N62" s="2217" t="str">
        <f>IF($E62="--","--",CHOOSE($E$307,'DATA GPC'!O547,'DATA GPC'!P547,'DATA GPC'!S547,'DATA GPC'!T547,'DATA GPC'!U547,'DATA GPC'!V547))</f>
        <v>--</v>
      </c>
      <c r="O62" s="2202"/>
      <c r="P62" s="2217" t="str">
        <f t="shared" si="3"/>
        <v>--</v>
      </c>
      <c r="Q62" s="2060"/>
      <c r="R62" s="2060"/>
      <c r="S62" s="2060"/>
      <c r="T62" s="2060"/>
      <c r="U62" s="2060"/>
      <c r="V62" s="2060"/>
      <c r="W62" s="128"/>
      <c r="X62" s="2060"/>
      <c r="Y62" s="2060"/>
      <c r="Z62" s="2060"/>
      <c r="AA62" s="2060"/>
      <c r="AB62" s="2060"/>
      <c r="AC62" s="2060"/>
      <c r="AD62" s="1004"/>
      <c r="AE62" s="2060"/>
      <c r="AF62" s="2060"/>
      <c r="AG62" s="2060"/>
      <c r="AH62" s="2060"/>
      <c r="AI62" s="2060"/>
      <c r="AJ62" s="2060"/>
      <c r="AK62" s="2060"/>
      <c r="AL62" s="2060"/>
      <c r="AM62" s="2060"/>
      <c r="AN62" s="2060"/>
      <c r="AO62" s="2060"/>
      <c r="AP62" s="2060"/>
      <c r="AQ62" s="2060"/>
      <c r="AR62" s="2060"/>
      <c r="AS62" s="2060"/>
      <c r="AT62" s="2060"/>
      <c r="AU62" s="2060"/>
      <c r="AV62" s="2060"/>
      <c r="AW62" s="2060"/>
      <c r="AX62" s="2060"/>
      <c r="AY62" s="2060"/>
      <c r="AZ62" s="2060"/>
      <c r="BA62" s="2060"/>
      <c r="BB62" s="2060"/>
      <c r="BC62" s="2060"/>
      <c r="BD62" s="2060"/>
      <c r="BE62" s="2060"/>
      <c r="BF62" s="2060"/>
      <c r="BG62" s="2060"/>
      <c r="BH62" s="2060"/>
      <c r="BI62" s="2060"/>
      <c r="BJ62" s="2060"/>
      <c r="BK62" s="2060"/>
      <c r="BL62" s="2060"/>
      <c r="BM62" s="2060"/>
      <c r="BN62" s="2060"/>
      <c r="BO62" s="2060"/>
      <c r="BP62" s="2060"/>
      <c r="BQ62" s="2060"/>
      <c r="BR62" s="2060"/>
      <c r="BS62" s="2060"/>
      <c r="BT62" s="2060"/>
      <c r="BU62" s="2060"/>
      <c r="BV62" s="2060"/>
      <c r="BW62" s="2060"/>
      <c r="BX62" s="2060"/>
      <c r="BY62" s="2060"/>
      <c r="BZ62" s="2060"/>
      <c r="CA62" s="2060"/>
      <c r="CB62" s="2060"/>
      <c r="CC62" s="2060"/>
      <c r="CD62" s="2060"/>
      <c r="CE62" s="2060"/>
      <c r="CF62" s="2060"/>
      <c r="CG62" s="2060"/>
      <c r="CH62" s="2060"/>
      <c r="CI62" s="2060"/>
      <c r="CJ62" s="2060"/>
      <c r="CK62" s="2060"/>
      <c r="CL62" s="2060"/>
      <c r="CM62" s="2060"/>
      <c r="CN62" s="2060"/>
      <c r="CO62" s="2060"/>
      <c r="CP62" s="2060"/>
      <c r="CQ62" s="2060"/>
      <c r="CR62" s="2060"/>
      <c r="CS62" s="2060"/>
      <c r="CT62" s="2060"/>
      <c r="CU62" s="2060"/>
      <c r="CV62" s="2060"/>
      <c r="CW62" s="2060"/>
      <c r="CX62" s="2060"/>
      <c r="CY62" s="2060"/>
      <c r="CZ62" s="2060"/>
      <c r="DA62" s="2060"/>
      <c r="DB62" s="2060"/>
      <c r="DC62" s="2060"/>
      <c r="DD62" s="2060"/>
      <c r="DE62" s="2060"/>
      <c r="DF62" s="2060"/>
      <c r="DG62" s="2060"/>
      <c r="DH62" s="2060"/>
      <c r="DI62" s="2060"/>
      <c r="DJ62" s="2060"/>
      <c r="DK62" s="2060"/>
      <c r="DL62" s="2060"/>
      <c r="DM62" s="2060"/>
      <c r="DN62" s="2060"/>
      <c r="DO62" s="2060"/>
      <c r="DP62" s="2060"/>
      <c r="DQ62" s="2060"/>
      <c r="DR62" s="2060"/>
      <c r="DS62" s="2060"/>
      <c r="DT62" s="2060"/>
      <c r="DU62" s="2060"/>
      <c r="DV62" s="2060"/>
      <c r="DW62" s="2060"/>
      <c r="DX62" s="2060"/>
      <c r="DY62" s="2060"/>
      <c r="DZ62" s="2060"/>
      <c r="EA62" s="2060"/>
      <c r="EB62" s="2060"/>
      <c r="EC62" s="2060"/>
      <c r="ED62" s="2060"/>
      <c r="EE62" s="2060"/>
      <c r="EF62" s="2060"/>
      <c r="EG62" s="2060"/>
      <c r="EH62" s="2060"/>
      <c r="EI62" s="2060"/>
      <c r="EJ62" s="2060"/>
      <c r="EK62" s="2060"/>
      <c r="EL62" s="2060"/>
      <c r="EM62" s="2060"/>
      <c r="EN62" s="2060"/>
      <c r="EO62" s="2060"/>
      <c r="EP62" s="2060"/>
      <c r="EQ62" s="2060"/>
      <c r="ER62" s="2060"/>
      <c r="ES62" s="2060"/>
      <c r="ET62" s="2060"/>
      <c r="EU62" s="2060"/>
      <c r="EV62" s="2060"/>
      <c r="EW62" s="2060"/>
      <c r="EX62" s="2060"/>
      <c r="EY62" s="2060"/>
      <c r="EZ62" s="2060"/>
      <c r="FA62" s="2060"/>
      <c r="FB62" s="2060"/>
      <c r="FC62" s="2060"/>
      <c r="FD62" s="2060"/>
      <c r="FE62" s="2060"/>
      <c r="FF62" s="2060"/>
      <c r="FG62" s="2060"/>
      <c r="FH62" s="2060"/>
      <c r="FI62" s="2060"/>
      <c r="FJ62" s="2060"/>
      <c r="FK62" s="2060"/>
      <c r="FL62" s="2060"/>
      <c r="FM62" s="2060"/>
      <c r="FN62" s="2060"/>
      <c r="FO62" s="2060"/>
      <c r="FP62" s="2060"/>
      <c r="FQ62" s="2060"/>
      <c r="FR62" s="2060"/>
      <c r="FS62" s="2060"/>
      <c r="FT62" s="2060"/>
      <c r="FU62" s="2060"/>
      <c r="FV62" s="2060"/>
      <c r="FW62" s="2060"/>
      <c r="FX62" s="2060"/>
      <c r="FY62" s="2060"/>
      <c r="FZ62" s="2060"/>
      <c r="GA62" s="2060"/>
      <c r="GB62" s="2060"/>
      <c r="GC62" s="2060"/>
    </row>
    <row r="63" spans="1:185" s="1499" customFormat="1">
      <c r="A63" s="1632" t="str">
        <f t="shared" si="1"/>
        <v>n</v>
      </c>
      <c r="B63" s="1632"/>
      <c r="C63" s="128"/>
      <c r="D63" s="779">
        <f t="shared" ca="1" si="2"/>
        <v>2.1499999999999968</v>
      </c>
      <c r="E63" s="1504" t="str">
        <f>'DATA GPC'!E34</f>
        <v>--</v>
      </c>
      <c r="F63" s="128"/>
      <c r="G63" s="2215" t="str">
        <f>'DATA GPC'!J34</f>
        <v>--</v>
      </c>
      <c r="H63" s="2216" t="str">
        <f>IF($E63="--","--",'DATA GPC'!P331)</f>
        <v>--</v>
      </c>
      <c r="I63" s="2216" t="str">
        <f>IF($E63="--","--",'DATA GPC'!P424)</f>
        <v>--</v>
      </c>
      <c r="J63" s="2217" t="str">
        <f>IF($E63="--","--",CHOOSE($E$307,'DATA GPC'!O455,'DATA GPC'!P455,'DATA GPC'!S455,'DATA GPC'!T455,'DATA GPC'!U455,'DATA GPC'!V455))</f>
        <v>--</v>
      </c>
      <c r="K63" s="247"/>
      <c r="L63" s="2218" t="str">
        <f>IF($E63="--","--",'DATA GPC'!P486)</f>
        <v>--</v>
      </c>
      <c r="M63" s="2218" t="str">
        <f>IF($E63="--","--",'DATA GPC'!P517)</f>
        <v>--</v>
      </c>
      <c r="N63" s="2217" t="str">
        <f>IF($E63="--","--",CHOOSE($E$307,'DATA GPC'!O548,'DATA GPC'!P548,'DATA GPC'!S548,'DATA GPC'!T548,'DATA GPC'!U548,'DATA GPC'!V548))</f>
        <v>--</v>
      </c>
      <c r="O63" s="2202"/>
      <c r="P63" s="2217" t="str">
        <f t="shared" si="3"/>
        <v>--</v>
      </c>
      <c r="Q63" s="2060"/>
      <c r="R63" s="2060"/>
      <c r="S63" s="2060"/>
      <c r="T63" s="2060"/>
      <c r="U63" s="2060"/>
      <c r="V63" s="2060"/>
      <c r="W63" s="128"/>
      <c r="X63" s="2060"/>
      <c r="Y63" s="2060"/>
      <c r="Z63" s="2060"/>
      <c r="AA63" s="2060"/>
      <c r="AB63" s="2060"/>
      <c r="AC63" s="2060"/>
      <c r="AD63" s="1004"/>
      <c r="AE63" s="2060"/>
      <c r="AF63" s="2060"/>
      <c r="AG63" s="2060"/>
      <c r="AH63" s="2060"/>
      <c r="AI63" s="2060"/>
      <c r="AJ63" s="2060"/>
      <c r="AK63" s="2060"/>
      <c r="AL63" s="2060"/>
      <c r="AM63" s="2060"/>
      <c r="AN63" s="2060"/>
      <c r="AO63" s="2060"/>
      <c r="AP63" s="2060"/>
      <c r="AQ63" s="2060"/>
      <c r="AR63" s="2060"/>
      <c r="AS63" s="2060"/>
      <c r="AT63" s="2060"/>
      <c r="AU63" s="2060"/>
      <c r="AV63" s="2060"/>
      <c r="AW63" s="2060"/>
      <c r="AX63" s="2060"/>
      <c r="AY63" s="2060"/>
      <c r="AZ63" s="2060"/>
      <c r="BA63" s="2060"/>
      <c r="BB63" s="2060"/>
      <c r="BC63" s="2060"/>
      <c r="BD63" s="2060"/>
      <c r="BE63" s="2060"/>
      <c r="BF63" s="2060"/>
      <c r="BG63" s="2060"/>
      <c r="BH63" s="2060"/>
      <c r="BI63" s="2060"/>
      <c r="BJ63" s="2060"/>
      <c r="BK63" s="2060"/>
      <c r="BL63" s="2060"/>
      <c r="BM63" s="2060"/>
      <c r="BN63" s="2060"/>
      <c r="BO63" s="2060"/>
      <c r="BP63" s="2060"/>
      <c r="BQ63" s="2060"/>
      <c r="BR63" s="2060"/>
      <c r="BS63" s="2060"/>
      <c r="BT63" s="2060"/>
      <c r="BU63" s="2060"/>
      <c r="BV63" s="2060"/>
      <c r="BW63" s="2060"/>
      <c r="BX63" s="2060"/>
      <c r="BY63" s="2060"/>
      <c r="BZ63" s="2060"/>
      <c r="CA63" s="2060"/>
      <c r="CB63" s="2060"/>
      <c r="CC63" s="2060"/>
      <c r="CD63" s="2060"/>
      <c r="CE63" s="2060"/>
      <c r="CF63" s="2060"/>
      <c r="CG63" s="2060"/>
      <c r="CH63" s="2060"/>
      <c r="CI63" s="2060"/>
      <c r="CJ63" s="2060"/>
      <c r="CK63" s="2060"/>
      <c r="CL63" s="2060"/>
      <c r="CM63" s="2060"/>
      <c r="CN63" s="2060"/>
      <c r="CO63" s="2060"/>
      <c r="CP63" s="2060"/>
      <c r="CQ63" s="2060"/>
      <c r="CR63" s="2060"/>
      <c r="CS63" s="2060"/>
      <c r="CT63" s="2060"/>
      <c r="CU63" s="2060"/>
      <c r="CV63" s="2060"/>
      <c r="CW63" s="2060"/>
      <c r="CX63" s="2060"/>
      <c r="CY63" s="2060"/>
      <c r="CZ63" s="2060"/>
      <c r="DA63" s="2060"/>
      <c r="DB63" s="2060"/>
      <c r="DC63" s="2060"/>
      <c r="DD63" s="2060"/>
      <c r="DE63" s="2060"/>
      <c r="DF63" s="2060"/>
      <c r="DG63" s="2060"/>
      <c r="DH63" s="2060"/>
      <c r="DI63" s="2060"/>
      <c r="DJ63" s="2060"/>
      <c r="DK63" s="2060"/>
      <c r="DL63" s="2060"/>
      <c r="DM63" s="2060"/>
      <c r="DN63" s="2060"/>
      <c r="DO63" s="2060"/>
      <c r="DP63" s="2060"/>
      <c r="DQ63" s="2060"/>
      <c r="DR63" s="2060"/>
      <c r="DS63" s="2060"/>
      <c r="DT63" s="2060"/>
      <c r="DU63" s="2060"/>
      <c r="DV63" s="2060"/>
      <c r="DW63" s="2060"/>
      <c r="DX63" s="2060"/>
      <c r="DY63" s="2060"/>
      <c r="DZ63" s="2060"/>
      <c r="EA63" s="2060"/>
      <c r="EB63" s="2060"/>
      <c r="EC63" s="2060"/>
      <c r="ED63" s="2060"/>
      <c r="EE63" s="2060"/>
      <c r="EF63" s="2060"/>
      <c r="EG63" s="2060"/>
      <c r="EH63" s="2060"/>
      <c r="EI63" s="2060"/>
      <c r="EJ63" s="2060"/>
      <c r="EK63" s="2060"/>
      <c r="EL63" s="2060"/>
      <c r="EM63" s="2060"/>
      <c r="EN63" s="2060"/>
      <c r="EO63" s="2060"/>
      <c r="EP63" s="2060"/>
      <c r="EQ63" s="2060"/>
      <c r="ER63" s="2060"/>
      <c r="ES63" s="2060"/>
      <c r="ET63" s="2060"/>
      <c r="EU63" s="2060"/>
      <c r="EV63" s="2060"/>
      <c r="EW63" s="2060"/>
      <c r="EX63" s="2060"/>
      <c r="EY63" s="2060"/>
      <c r="EZ63" s="2060"/>
      <c r="FA63" s="2060"/>
      <c r="FB63" s="2060"/>
      <c r="FC63" s="2060"/>
      <c r="FD63" s="2060"/>
      <c r="FE63" s="2060"/>
      <c r="FF63" s="2060"/>
      <c r="FG63" s="2060"/>
      <c r="FH63" s="2060"/>
      <c r="FI63" s="2060"/>
      <c r="FJ63" s="2060"/>
      <c r="FK63" s="2060"/>
      <c r="FL63" s="2060"/>
      <c r="FM63" s="2060"/>
      <c r="FN63" s="2060"/>
      <c r="FO63" s="2060"/>
      <c r="FP63" s="2060"/>
      <c r="FQ63" s="2060"/>
      <c r="FR63" s="2060"/>
      <c r="FS63" s="2060"/>
      <c r="FT63" s="2060"/>
      <c r="FU63" s="2060"/>
      <c r="FV63" s="2060"/>
      <c r="FW63" s="2060"/>
      <c r="FX63" s="2060"/>
      <c r="FY63" s="2060"/>
      <c r="FZ63" s="2060"/>
      <c r="GA63" s="2060"/>
      <c r="GB63" s="2060"/>
      <c r="GC63" s="2060"/>
    </row>
    <row r="64" spans="1:185" s="1499" customFormat="1">
      <c r="A64" s="1632" t="str">
        <f t="shared" si="1"/>
        <v>n</v>
      </c>
      <c r="B64" s="1632"/>
      <c r="C64" s="128"/>
      <c r="D64" s="779">
        <f t="shared" ca="1" si="2"/>
        <v>2.1599999999999966</v>
      </c>
      <c r="E64" s="1504" t="str">
        <f>'DATA GPC'!E35</f>
        <v>--</v>
      </c>
      <c r="F64" s="128"/>
      <c r="G64" s="2215" t="str">
        <f>'DATA GPC'!J35</f>
        <v>--</v>
      </c>
      <c r="H64" s="2216" t="str">
        <f>IF($E64="--","--",'DATA GPC'!P332)</f>
        <v>--</v>
      </c>
      <c r="I64" s="2216" t="str">
        <f>IF($E64="--","--",'DATA GPC'!P425)</f>
        <v>--</v>
      </c>
      <c r="J64" s="2217" t="str">
        <f>IF($E64="--","--",CHOOSE($E$307,'DATA GPC'!O456,'DATA GPC'!P456,'DATA GPC'!S456,'DATA GPC'!T456,'DATA GPC'!U456,'DATA GPC'!V456))</f>
        <v>--</v>
      </c>
      <c r="K64" s="247"/>
      <c r="L64" s="2218" t="str">
        <f>IF($E64="--","--",'DATA GPC'!P487)</f>
        <v>--</v>
      </c>
      <c r="M64" s="2218" t="str">
        <f>IF($E64="--","--",'DATA GPC'!P518)</f>
        <v>--</v>
      </c>
      <c r="N64" s="2217" t="str">
        <f>IF($E64="--","--",CHOOSE($E$307,'DATA GPC'!O549,'DATA GPC'!P549,'DATA GPC'!S549,'DATA GPC'!T549,'DATA GPC'!U549,'DATA GPC'!V549))</f>
        <v>--</v>
      </c>
      <c r="O64" s="2202"/>
      <c r="P64" s="2217" t="str">
        <f t="shared" si="3"/>
        <v>--</v>
      </c>
      <c r="Q64" s="2060"/>
      <c r="R64" s="2060"/>
      <c r="S64" s="2060"/>
      <c r="T64" s="2060"/>
      <c r="U64" s="2060"/>
      <c r="V64" s="2060"/>
      <c r="W64" s="128"/>
      <c r="X64" s="2060"/>
      <c r="Y64" s="2060"/>
      <c r="Z64" s="2060"/>
      <c r="AA64" s="2060"/>
      <c r="AB64" s="2060"/>
      <c r="AC64" s="2060"/>
      <c r="AD64" s="1004"/>
      <c r="AE64" s="2060"/>
      <c r="AF64" s="2060"/>
      <c r="AG64" s="2060"/>
      <c r="AH64" s="2060"/>
      <c r="AI64" s="2060"/>
      <c r="AJ64" s="2060"/>
      <c r="AK64" s="2060"/>
      <c r="AL64" s="2060"/>
      <c r="AM64" s="2060"/>
      <c r="AN64" s="2060"/>
      <c r="AO64" s="2060"/>
      <c r="AP64" s="2060"/>
      <c r="AQ64" s="2060"/>
      <c r="AR64" s="2060"/>
      <c r="AS64" s="2060"/>
      <c r="AT64" s="2060"/>
      <c r="AU64" s="2060"/>
      <c r="AV64" s="2060"/>
      <c r="AW64" s="2060"/>
      <c r="AX64" s="2060"/>
      <c r="AY64" s="2060"/>
      <c r="AZ64" s="2060"/>
      <c r="BA64" s="2060"/>
      <c r="BB64" s="2060"/>
      <c r="BC64" s="2060"/>
      <c r="BD64" s="2060"/>
      <c r="BE64" s="2060"/>
      <c r="BF64" s="2060"/>
      <c r="BG64" s="2060"/>
      <c r="BH64" s="2060"/>
      <c r="BI64" s="2060"/>
      <c r="BJ64" s="2060"/>
      <c r="BK64" s="2060"/>
      <c r="BL64" s="2060"/>
      <c r="BM64" s="2060"/>
      <c r="BN64" s="2060"/>
      <c r="BO64" s="2060"/>
      <c r="BP64" s="2060"/>
      <c r="BQ64" s="2060"/>
      <c r="BR64" s="2060"/>
      <c r="BS64" s="2060"/>
      <c r="BT64" s="2060"/>
      <c r="BU64" s="2060"/>
      <c r="BV64" s="2060"/>
      <c r="BW64" s="2060"/>
      <c r="BX64" s="2060"/>
      <c r="BY64" s="2060"/>
      <c r="BZ64" s="2060"/>
      <c r="CA64" s="2060"/>
      <c r="CB64" s="2060"/>
      <c r="CC64" s="2060"/>
      <c r="CD64" s="2060"/>
      <c r="CE64" s="2060"/>
      <c r="CF64" s="2060"/>
      <c r="CG64" s="2060"/>
      <c r="CH64" s="2060"/>
      <c r="CI64" s="2060"/>
      <c r="CJ64" s="2060"/>
      <c r="CK64" s="2060"/>
      <c r="CL64" s="2060"/>
      <c r="CM64" s="2060"/>
      <c r="CN64" s="2060"/>
      <c r="CO64" s="2060"/>
      <c r="CP64" s="2060"/>
      <c r="CQ64" s="2060"/>
      <c r="CR64" s="2060"/>
      <c r="CS64" s="2060"/>
      <c r="CT64" s="2060"/>
      <c r="CU64" s="2060"/>
      <c r="CV64" s="2060"/>
      <c r="CW64" s="2060"/>
      <c r="CX64" s="2060"/>
      <c r="CY64" s="2060"/>
      <c r="CZ64" s="2060"/>
      <c r="DA64" s="2060"/>
      <c r="DB64" s="2060"/>
      <c r="DC64" s="2060"/>
      <c r="DD64" s="2060"/>
      <c r="DE64" s="2060"/>
      <c r="DF64" s="2060"/>
      <c r="DG64" s="2060"/>
      <c r="DH64" s="2060"/>
      <c r="DI64" s="2060"/>
      <c r="DJ64" s="2060"/>
      <c r="DK64" s="2060"/>
      <c r="DL64" s="2060"/>
      <c r="DM64" s="2060"/>
      <c r="DN64" s="2060"/>
      <c r="DO64" s="2060"/>
      <c r="DP64" s="2060"/>
      <c r="DQ64" s="2060"/>
      <c r="DR64" s="2060"/>
      <c r="DS64" s="2060"/>
      <c r="DT64" s="2060"/>
      <c r="DU64" s="2060"/>
      <c r="DV64" s="2060"/>
      <c r="DW64" s="2060"/>
      <c r="DX64" s="2060"/>
      <c r="DY64" s="2060"/>
      <c r="DZ64" s="2060"/>
      <c r="EA64" s="2060"/>
      <c r="EB64" s="2060"/>
      <c r="EC64" s="2060"/>
      <c r="ED64" s="2060"/>
      <c r="EE64" s="2060"/>
      <c r="EF64" s="2060"/>
      <c r="EG64" s="2060"/>
      <c r="EH64" s="2060"/>
      <c r="EI64" s="2060"/>
      <c r="EJ64" s="2060"/>
      <c r="EK64" s="2060"/>
      <c r="EL64" s="2060"/>
      <c r="EM64" s="2060"/>
      <c r="EN64" s="2060"/>
      <c r="EO64" s="2060"/>
      <c r="EP64" s="2060"/>
      <c r="EQ64" s="2060"/>
      <c r="ER64" s="2060"/>
      <c r="ES64" s="2060"/>
      <c r="ET64" s="2060"/>
      <c r="EU64" s="2060"/>
      <c r="EV64" s="2060"/>
      <c r="EW64" s="2060"/>
      <c r="EX64" s="2060"/>
      <c r="EY64" s="2060"/>
      <c r="EZ64" s="2060"/>
      <c r="FA64" s="2060"/>
      <c r="FB64" s="2060"/>
      <c r="FC64" s="2060"/>
      <c r="FD64" s="2060"/>
      <c r="FE64" s="2060"/>
      <c r="FF64" s="2060"/>
      <c r="FG64" s="2060"/>
      <c r="FH64" s="2060"/>
      <c r="FI64" s="2060"/>
      <c r="FJ64" s="2060"/>
      <c r="FK64" s="2060"/>
      <c r="FL64" s="2060"/>
      <c r="FM64" s="2060"/>
      <c r="FN64" s="2060"/>
      <c r="FO64" s="2060"/>
      <c r="FP64" s="2060"/>
      <c r="FQ64" s="2060"/>
      <c r="FR64" s="2060"/>
      <c r="FS64" s="2060"/>
      <c r="FT64" s="2060"/>
      <c r="FU64" s="2060"/>
      <c r="FV64" s="2060"/>
      <c r="FW64" s="2060"/>
      <c r="FX64" s="2060"/>
      <c r="FY64" s="2060"/>
      <c r="FZ64" s="2060"/>
      <c r="GA64" s="2060"/>
      <c r="GB64" s="2060"/>
      <c r="GC64" s="2060"/>
    </row>
    <row r="65" spans="1:185" s="1499" customFormat="1">
      <c r="A65" s="1632" t="str">
        <f t="shared" si="1"/>
        <v>n</v>
      </c>
      <c r="B65" s="1632"/>
      <c r="C65" s="128"/>
      <c r="D65" s="779">
        <f t="shared" ca="1" si="2"/>
        <v>2.1699999999999964</v>
      </c>
      <c r="E65" s="1504" t="str">
        <f>'DATA GPC'!E36</f>
        <v>--</v>
      </c>
      <c r="F65" s="128"/>
      <c r="G65" s="2215" t="str">
        <f>'DATA GPC'!J36</f>
        <v>--</v>
      </c>
      <c r="H65" s="2216" t="str">
        <f>IF($E65="--","--",'DATA GPC'!P333)</f>
        <v>--</v>
      </c>
      <c r="I65" s="2216" t="str">
        <f>IF($E65="--","--",'DATA GPC'!P426)</f>
        <v>--</v>
      </c>
      <c r="J65" s="2217" t="str">
        <f>IF($E65="--","--",CHOOSE($E$307,'DATA GPC'!O457,'DATA GPC'!P457,'DATA GPC'!S457,'DATA GPC'!T457,'DATA GPC'!U457,'DATA GPC'!V457))</f>
        <v>--</v>
      </c>
      <c r="K65" s="247"/>
      <c r="L65" s="2218" t="str">
        <f>IF($E65="--","--",'DATA GPC'!P488)</f>
        <v>--</v>
      </c>
      <c r="M65" s="2218" t="str">
        <f>IF($E65="--","--",'DATA GPC'!P519)</f>
        <v>--</v>
      </c>
      <c r="N65" s="2217" t="str">
        <f>IF($E65="--","--",CHOOSE($E$307,'DATA GPC'!O550,'DATA GPC'!P550,'DATA GPC'!S550,'DATA GPC'!T550,'DATA GPC'!U550,'DATA GPC'!V550))</f>
        <v>--</v>
      </c>
      <c r="O65" s="2202"/>
      <c r="P65" s="2217" t="str">
        <f t="shared" si="3"/>
        <v>--</v>
      </c>
      <c r="Q65" s="2060"/>
      <c r="R65" s="2060"/>
      <c r="S65" s="2060"/>
      <c r="T65" s="2060"/>
      <c r="U65" s="2060"/>
      <c r="V65" s="2060"/>
      <c r="W65" s="128"/>
      <c r="X65" s="2060"/>
      <c r="Y65" s="2060"/>
      <c r="Z65" s="2060"/>
      <c r="AA65" s="2060"/>
      <c r="AB65" s="2060"/>
      <c r="AC65" s="2060"/>
      <c r="AD65" s="1004"/>
      <c r="AE65" s="2060"/>
      <c r="AF65" s="2060"/>
      <c r="AG65" s="2060"/>
      <c r="AH65" s="2060"/>
      <c r="AI65" s="2060"/>
      <c r="AJ65" s="2060"/>
      <c r="AK65" s="2060"/>
      <c r="AL65" s="2060"/>
      <c r="AM65" s="2060"/>
      <c r="AN65" s="2060"/>
      <c r="AO65" s="2060"/>
      <c r="AP65" s="2060"/>
      <c r="AQ65" s="2060"/>
      <c r="AR65" s="2060"/>
      <c r="AS65" s="2060"/>
      <c r="AT65" s="2060"/>
      <c r="AU65" s="2060"/>
      <c r="AV65" s="2060"/>
      <c r="AW65" s="2060"/>
      <c r="AX65" s="2060"/>
      <c r="AY65" s="2060"/>
      <c r="AZ65" s="2060"/>
      <c r="BA65" s="2060"/>
      <c r="BB65" s="2060"/>
      <c r="BC65" s="2060"/>
      <c r="BD65" s="2060"/>
      <c r="BE65" s="2060"/>
      <c r="BF65" s="2060"/>
      <c r="BG65" s="2060"/>
      <c r="BH65" s="2060"/>
      <c r="BI65" s="2060"/>
      <c r="BJ65" s="2060"/>
      <c r="BK65" s="2060"/>
      <c r="BL65" s="2060"/>
      <c r="BM65" s="2060"/>
      <c r="BN65" s="2060"/>
      <c r="BO65" s="2060"/>
      <c r="BP65" s="2060"/>
      <c r="BQ65" s="2060"/>
      <c r="BR65" s="2060"/>
      <c r="BS65" s="2060"/>
      <c r="BT65" s="2060"/>
      <c r="BU65" s="2060"/>
      <c r="BV65" s="2060"/>
      <c r="BW65" s="2060"/>
      <c r="BX65" s="2060"/>
      <c r="BY65" s="2060"/>
      <c r="BZ65" s="2060"/>
      <c r="CA65" s="2060"/>
      <c r="CB65" s="2060"/>
      <c r="CC65" s="2060"/>
      <c r="CD65" s="2060"/>
      <c r="CE65" s="2060"/>
      <c r="CF65" s="2060"/>
      <c r="CG65" s="2060"/>
      <c r="CH65" s="2060"/>
      <c r="CI65" s="2060"/>
      <c r="CJ65" s="2060"/>
      <c r="CK65" s="2060"/>
      <c r="CL65" s="2060"/>
      <c r="CM65" s="2060"/>
      <c r="CN65" s="2060"/>
      <c r="CO65" s="2060"/>
      <c r="CP65" s="2060"/>
      <c r="CQ65" s="2060"/>
      <c r="CR65" s="2060"/>
      <c r="CS65" s="2060"/>
      <c r="CT65" s="2060"/>
      <c r="CU65" s="2060"/>
      <c r="CV65" s="2060"/>
      <c r="CW65" s="2060"/>
      <c r="CX65" s="2060"/>
      <c r="CY65" s="2060"/>
      <c r="CZ65" s="2060"/>
      <c r="DA65" s="2060"/>
      <c r="DB65" s="2060"/>
      <c r="DC65" s="2060"/>
      <c r="DD65" s="2060"/>
      <c r="DE65" s="2060"/>
      <c r="DF65" s="2060"/>
      <c r="DG65" s="2060"/>
      <c r="DH65" s="2060"/>
      <c r="DI65" s="2060"/>
      <c r="DJ65" s="2060"/>
      <c r="DK65" s="2060"/>
      <c r="DL65" s="2060"/>
      <c r="DM65" s="2060"/>
      <c r="DN65" s="2060"/>
      <c r="DO65" s="2060"/>
      <c r="DP65" s="2060"/>
      <c r="DQ65" s="2060"/>
      <c r="DR65" s="2060"/>
      <c r="DS65" s="2060"/>
      <c r="DT65" s="2060"/>
      <c r="DU65" s="2060"/>
      <c r="DV65" s="2060"/>
      <c r="DW65" s="2060"/>
      <c r="DX65" s="2060"/>
      <c r="DY65" s="2060"/>
      <c r="DZ65" s="2060"/>
      <c r="EA65" s="2060"/>
      <c r="EB65" s="2060"/>
      <c r="EC65" s="2060"/>
      <c r="ED65" s="2060"/>
      <c r="EE65" s="2060"/>
      <c r="EF65" s="2060"/>
      <c r="EG65" s="2060"/>
      <c r="EH65" s="2060"/>
      <c r="EI65" s="2060"/>
      <c r="EJ65" s="2060"/>
      <c r="EK65" s="2060"/>
      <c r="EL65" s="2060"/>
      <c r="EM65" s="2060"/>
      <c r="EN65" s="2060"/>
      <c r="EO65" s="2060"/>
      <c r="EP65" s="2060"/>
      <c r="EQ65" s="2060"/>
      <c r="ER65" s="2060"/>
      <c r="ES65" s="2060"/>
      <c r="ET65" s="2060"/>
      <c r="EU65" s="2060"/>
      <c r="EV65" s="2060"/>
      <c r="EW65" s="2060"/>
      <c r="EX65" s="2060"/>
      <c r="EY65" s="2060"/>
      <c r="EZ65" s="2060"/>
      <c r="FA65" s="2060"/>
      <c r="FB65" s="2060"/>
      <c r="FC65" s="2060"/>
      <c r="FD65" s="2060"/>
      <c r="FE65" s="2060"/>
      <c r="FF65" s="2060"/>
      <c r="FG65" s="2060"/>
      <c r="FH65" s="2060"/>
      <c r="FI65" s="2060"/>
      <c r="FJ65" s="2060"/>
      <c r="FK65" s="2060"/>
      <c r="FL65" s="2060"/>
      <c r="FM65" s="2060"/>
      <c r="FN65" s="2060"/>
      <c r="FO65" s="2060"/>
      <c r="FP65" s="2060"/>
      <c r="FQ65" s="2060"/>
      <c r="FR65" s="2060"/>
      <c r="FS65" s="2060"/>
      <c r="FT65" s="2060"/>
      <c r="FU65" s="2060"/>
      <c r="FV65" s="2060"/>
      <c r="FW65" s="2060"/>
      <c r="FX65" s="2060"/>
      <c r="FY65" s="2060"/>
      <c r="FZ65" s="2060"/>
      <c r="GA65" s="2060"/>
      <c r="GB65" s="2060"/>
      <c r="GC65" s="2060"/>
    </row>
    <row r="66" spans="1:185" s="1499" customFormat="1">
      <c r="A66" s="1632" t="str">
        <f t="shared" si="1"/>
        <v>n</v>
      </c>
      <c r="B66" s="1632"/>
      <c r="C66" s="128"/>
      <c r="D66" s="779">
        <f t="shared" ca="1" si="2"/>
        <v>2.1799999999999962</v>
      </c>
      <c r="E66" s="1504" t="str">
        <f>'DATA GPC'!E37</f>
        <v>--</v>
      </c>
      <c r="F66" s="128"/>
      <c r="G66" s="2215" t="str">
        <f>'DATA GPC'!J37</f>
        <v>--</v>
      </c>
      <c r="H66" s="2216" t="str">
        <f>IF($E66="--","--",'DATA GPC'!P334)</f>
        <v>--</v>
      </c>
      <c r="I66" s="2216" t="str">
        <f>IF($E66="--","--",'DATA GPC'!P427)</f>
        <v>--</v>
      </c>
      <c r="J66" s="2217" t="str">
        <f>IF($E66="--","--",CHOOSE($E$307,'DATA GPC'!O458,'DATA GPC'!P458,'DATA GPC'!S458,'DATA GPC'!T458,'DATA GPC'!U458,'DATA GPC'!V458))</f>
        <v>--</v>
      </c>
      <c r="K66" s="247"/>
      <c r="L66" s="2218" t="str">
        <f>IF($E66="--","--",'DATA GPC'!P489)</f>
        <v>--</v>
      </c>
      <c r="M66" s="2218" t="str">
        <f>IF($E66="--","--",'DATA GPC'!P520)</f>
        <v>--</v>
      </c>
      <c r="N66" s="2217" t="str">
        <f>IF($E66="--","--",CHOOSE($E$307,'DATA GPC'!O551,'DATA GPC'!P551,'DATA GPC'!S551,'DATA GPC'!T551,'DATA GPC'!U551,'DATA GPC'!V551))</f>
        <v>--</v>
      </c>
      <c r="O66" s="2202"/>
      <c r="P66" s="2217" t="str">
        <f t="shared" si="3"/>
        <v>--</v>
      </c>
      <c r="Q66" s="2060"/>
      <c r="R66" s="2060"/>
      <c r="S66" s="2060"/>
      <c r="T66" s="2060"/>
      <c r="U66" s="2060"/>
      <c r="V66" s="2060"/>
      <c r="W66" s="128"/>
      <c r="X66" s="2060"/>
      <c r="Y66" s="2060"/>
      <c r="Z66" s="2060"/>
      <c r="AA66" s="2060"/>
      <c r="AB66" s="2060"/>
      <c r="AC66" s="2060"/>
      <c r="AD66" s="1004"/>
      <c r="AE66" s="2060"/>
      <c r="AF66" s="2060"/>
      <c r="AG66" s="2060"/>
      <c r="AH66" s="2060"/>
      <c r="AI66" s="2060"/>
      <c r="AJ66" s="2060"/>
      <c r="AK66" s="2060"/>
      <c r="AL66" s="2060"/>
      <c r="AM66" s="2060"/>
      <c r="AN66" s="2060"/>
      <c r="AO66" s="2060"/>
      <c r="AP66" s="2060"/>
      <c r="AQ66" s="2060"/>
      <c r="AR66" s="2060"/>
      <c r="AS66" s="2060"/>
      <c r="AT66" s="2060"/>
      <c r="AU66" s="2060"/>
      <c r="AV66" s="2060"/>
      <c r="AW66" s="2060"/>
      <c r="AX66" s="2060"/>
      <c r="AY66" s="2060"/>
      <c r="AZ66" s="2060"/>
      <c r="BA66" s="2060"/>
      <c r="BB66" s="2060"/>
      <c r="BC66" s="2060"/>
      <c r="BD66" s="2060"/>
      <c r="BE66" s="2060"/>
      <c r="BF66" s="2060"/>
      <c r="BG66" s="2060"/>
      <c r="BH66" s="2060"/>
      <c r="BI66" s="2060"/>
      <c r="BJ66" s="2060"/>
      <c r="BK66" s="2060"/>
      <c r="BL66" s="2060"/>
      <c r="BM66" s="2060"/>
      <c r="BN66" s="2060"/>
      <c r="BO66" s="2060"/>
      <c r="BP66" s="2060"/>
      <c r="BQ66" s="2060"/>
      <c r="BR66" s="2060"/>
      <c r="BS66" s="2060"/>
      <c r="BT66" s="2060"/>
      <c r="BU66" s="2060"/>
      <c r="BV66" s="2060"/>
      <c r="BW66" s="2060"/>
      <c r="BX66" s="2060"/>
      <c r="BY66" s="2060"/>
      <c r="BZ66" s="2060"/>
      <c r="CA66" s="2060"/>
      <c r="CB66" s="2060"/>
      <c r="CC66" s="2060"/>
      <c r="CD66" s="2060"/>
      <c r="CE66" s="2060"/>
      <c r="CF66" s="2060"/>
      <c r="CG66" s="2060"/>
      <c r="CH66" s="2060"/>
      <c r="CI66" s="2060"/>
      <c r="CJ66" s="2060"/>
      <c r="CK66" s="2060"/>
      <c r="CL66" s="2060"/>
      <c r="CM66" s="2060"/>
      <c r="CN66" s="2060"/>
      <c r="CO66" s="2060"/>
      <c r="CP66" s="2060"/>
      <c r="CQ66" s="2060"/>
      <c r="CR66" s="2060"/>
      <c r="CS66" s="2060"/>
      <c r="CT66" s="2060"/>
      <c r="CU66" s="2060"/>
      <c r="CV66" s="2060"/>
      <c r="CW66" s="2060"/>
      <c r="CX66" s="2060"/>
      <c r="CY66" s="2060"/>
      <c r="CZ66" s="2060"/>
      <c r="DA66" s="2060"/>
      <c r="DB66" s="2060"/>
      <c r="DC66" s="2060"/>
      <c r="DD66" s="2060"/>
      <c r="DE66" s="2060"/>
      <c r="DF66" s="2060"/>
      <c r="DG66" s="2060"/>
      <c r="DH66" s="2060"/>
      <c r="DI66" s="2060"/>
      <c r="DJ66" s="2060"/>
      <c r="DK66" s="2060"/>
      <c r="DL66" s="2060"/>
      <c r="DM66" s="2060"/>
      <c r="DN66" s="2060"/>
      <c r="DO66" s="2060"/>
      <c r="DP66" s="2060"/>
      <c r="DQ66" s="2060"/>
      <c r="DR66" s="2060"/>
      <c r="DS66" s="2060"/>
      <c r="DT66" s="2060"/>
      <c r="DU66" s="2060"/>
      <c r="DV66" s="2060"/>
      <c r="DW66" s="2060"/>
      <c r="DX66" s="2060"/>
      <c r="DY66" s="2060"/>
      <c r="DZ66" s="2060"/>
      <c r="EA66" s="2060"/>
      <c r="EB66" s="2060"/>
      <c r="EC66" s="2060"/>
      <c r="ED66" s="2060"/>
      <c r="EE66" s="2060"/>
      <c r="EF66" s="2060"/>
      <c r="EG66" s="2060"/>
      <c r="EH66" s="2060"/>
      <c r="EI66" s="2060"/>
      <c r="EJ66" s="2060"/>
      <c r="EK66" s="2060"/>
      <c r="EL66" s="2060"/>
      <c r="EM66" s="2060"/>
      <c r="EN66" s="2060"/>
      <c r="EO66" s="2060"/>
      <c r="EP66" s="2060"/>
      <c r="EQ66" s="2060"/>
      <c r="ER66" s="2060"/>
      <c r="ES66" s="2060"/>
      <c r="ET66" s="2060"/>
      <c r="EU66" s="2060"/>
      <c r="EV66" s="2060"/>
      <c r="EW66" s="2060"/>
      <c r="EX66" s="2060"/>
      <c r="EY66" s="2060"/>
      <c r="EZ66" s="2060"/>
      <c r="FA66" s="2060"/>
      <c r="FB66" s="2060"/>
      <c r="FC66" s="2060"/>
      <c r="FD66" s="2060"/>
      <c r="FE66" s="2060"/>
      <c r="FF66" s="2060"/>
      <c r="FG66" s="2060"/>
      <c r="FH66" s="2060"/>
      <c r="FI66" s="2060"/>
      <c r="FJ66" s="2060"/>
      <c r="FK66" s="2060"/>
      <c r="FL66" s="2060"/>
      <c r="FM66" s="2060"/>
      <c r="FN66" s="2060"/>
      <c r="FO66" s="2060"/>
      <c r="FP66" s="2060"/>
      <c r="FQ66" s="2060"/>
      <c r="FR66" s="2060"/>
      <c r="FS66" s="2060"/>
      <c r="FT66" s="2060"/>
      <c r="FU66" s="2060"/>
      <c r="FV66" s="2060"/>
      <c r="FW66" s="2060"/>
      <c r="FX66" s="2060"/>
      <c r="FY66" s="2060"/>
      <c r="FZ66" s="2060"/>
      <c r="GA66" s="2060"/>
      <c r="GB66" s="2060"/>
      <c r="GC66" s="2060"/>
    </row>
    <row r="67" spans="1:185" s="1499" customFormat="1">
      <c r="A67" s="1632" t="str">
        <f t="shared" si="1"/>
        <v>n</v>
      </c>
      <c r="B67" s="1632"/>
      <c r="C67" s="128"/>
      <c r="D67" s="779">
        <f t="shared" ca="1" si="2"/>
        <v>2.1899999999999959</v>
      </c>
      <c r="E67" s="1504" t="str">
        <f>'DATA GPC'!E38</f>
        <v>--</v>
      </c>
      <c r="F67" s="128"/>
      <c r="G67" s="2215" t="str">
        <f>'DATA GPC'!J38</f>
        <v>--</v>
      </c>
      <c r="H67" s="2216" t="str">
        <f>IF($E67="--","--",'DATA GPC'!P335)</f>
        <v>--</v>
      </c>
      <c r="I67" s="2216" t="str">
        <f>IF($E67="--","--",'DATA GPC'!P428)</f>
        <v>--</v>
      </c>
      <c r="J67" s="2217" t="str">
        <f>IF($E67="--","--",CHOOSE($E$307,'DATA GPC'!O459,'DATA GPC'!P459,'DATA GPC'!S459,'DATA GPC'!T459,'DATA GPC'!U459,'DATA GPC'!V459))</f>
        <v>--</v>
      </c>
      <c r="K67" s="247"/>
      <c r="L67" s="2218" t="str">
        <f>IF($E67="--","--",'DATA GPC'!P490)</f>
        <v>--</v>
      </c>
      <c r="M67" s="2218" t="str">
        <f>IF($E67="--","--",'DATA GPC'!P521)</f>
        <v>--</v>
      </c>
      <c r="N67" s="2217" t="str">
        <f>IF($E67="--","--",CHOOSE($E$307,'DATA GPC'!O552,'DATA GPC'!P552,'DATA GPC'!S552,'DATA GPC'!T552,'DATA GPC'!U552,'DATA GPC'!V552))</f>
        <v>--</v>
      </c>
      <c r="O67" s="2202"/>
      <c r="P67" s="2217" t="str">
        <f t="shared" si="3"/>
        <v>--</v>
      </c>
      <c r="Q67" s="2060"/>
      <c r="R67" s="2060"/>
      <c r="S67" s="2060"/>
      <c r="T67" s="2060"/>
      <c r="U67" s="2060"/>
      <c r="V67" s="2060"/>
      <c r="W67" s="128"/>
      <c r="X67" s="2060"/>
      <c r="Y67" s="2060"/>
      <c r="Z67" s="2060"/>
      <c r="AA67" s="2060"/>
      <c r="AB67" s="2060"/>
      <c r="AC67" s="2060"/>
      <c r="AD67" s="1004"/>
      <c r="AE67" s="2060"/>
      <c r="AF67" s="2060"/>
      <c r="AG67" s="2060"/>
      <c r="AH67" s="2060"/>
      <c r="AI67" s="2060"/>
      <c r="AJ67" s="2060"/>
      <c r="AK67" s="2060"/>
      <c r="AL67" s="2060"/>
      <c r="AM67" s="2060"/>
      <c r="AN67" s="2060"/>
      <c r="AO67" s="2060"/>
      <c r="AP67" s="2060"/>
      <c r="AQ67" s="2060"/>
      <c r="AR67" s="2060"/>
      <c r="AS67" s="2060"/>
      <c r="AT67" s="2060"/>
      <c r="AU67" s="2060"/>
      <c r="AV67" s="2060"/>
      <c r="AW67" s="2060"/>
      <c r="AX67" s="2060"/>
      <c r="AY67" s="2060"/>
      <c r="AZ67" s="2060"/>
      <c r="BA67" s="2060"/>
      <c r="BB67" s="2060"/>
      <c r="BC67" s="2060"/>
      <c r="BD67" s="2060"/>
      <c r="BE67" s="2060"/>
      <c r="BF67" s="2060"/>
      <c r="BG67" s="2060"/>
      <c r="BH67" s="2060"/>
      <c r="BI67" s="2060"/>
      <c r="BJ67" s="2060"/>
      <c r="BK67" s="2060"/>
      <c r="BL67" s="2060"/>
      <c r="BM67" s="2060"/>
      <c r="BN67" s="2060"/>
      <c r="BO67" s="2060"/>
      <c r="BP67" s="2060"/>
      <c r="BQ67" s="2060"/>
      <c r="BR67" s="2060"/>
      <c r="BS67" s="2060"/>
      <c r="BT67" s="2060"/>
      <c r="BU67" s="2060"/>
      <c r="BV67" s="2060"/>
      <c r="BW67" s="2060"/>
      <c r="BX67" s="2060"/>
      <c r="BY67" s="2060"/>
      <c r="BZ67" s="2060"/>
      <c r="CA67" s="2060"/>
      <c r="CB67" s="2060"/>
      <c r="CC67" s="2060"/>
      <c r="CD67" s="2060"/>
      <c r="CE67" s="2060"/>
      <c r="CF67" s="2060"/>
      <c r="CG67" s="2060"/>
      <c r="CH67" s="2060"/>
      <c r="CI67" s="2060"/>
      <c r="CJ67" s="2060"/>
      <c r="CK67" s="2060"/>
      <c r="CL67" s="2060"/>
      <c r="CM67" s="2060"/>
      <c r="CN67" s="2060"/>
      <c r="CO67" s="2060"/>
      <c r="CP67" s="2060"/>
      <c r="CQ67" s="2060"/>
      <c r="CR67" s="2060"/>
      <c r="CS67" s="2060"/>
      <c r="CT67" s="2060"/>
      <c r="CU67" s="2060"/>
      <c r="CV67" s="2060"/>
      <c r="CW67" s="2060"/>
      <c r="CX67" s="2060"/>
      <c r="CY67" s="2060"/>
      <c r="CZ67" s="2060"/>
      <c r="DA67" s="2060"/>
      <c r="DB67" s="2060"/>
      <c r="DC67" s="2060"/>
      <c r="DD67" s="2060"/>
      <c r="DE67" s="2060"/>
      <c r="DF67" s="2060"/>
      <c r="DG67" s="2060"/>
      <c r="DH67" s="2060"/>
      <c r="DI67" s="2060"/>
      <c r="DJ67" s="2060"/>
      <c r="DK67" s="2060"/>
      <c r="DL67" s="2060"/>
      <c r="DM67" s="2060"/>
      <c r="DN67" s="2060"/>
      <c r="DO67" s="2060"/>
      <c r="DP67" s="2060"/>
      <c r="DQ67" s="2060"/>
      <c r="DR67" s="2060"/>
      <c r="DS67" s="2060"/>
      <c r="DT67" s="2060"/>
      <c r="DU67" s="2060"/>
      <c r="DV67" s="2060"/>
      <c r="DW67" s="2060"/>
      <c r="DX67" s="2060"/>
      <c r="DY67" s="2060"/>
      <c r="DZ67" s="2060"/>
      <c r="EA67" s="2060"/>
      <c r="EB67" s="2060"/>
      <c r="EC67" s="2060"/>
      <c r="ED67" s="2060"/>
      <c r="EE67" s="2060"/>
      <c r="EF67" s="2060"/>
      <c r="EG67" s="2060"/>
      <c r="EH67" s="2060"/>
      <c r="EI67" s="2060"/>
      <c r="EJ67" s="2060"/>
      <c r="EK67" s="2060"/>
      <c r="EL67" s="2060"/>
      <c r="EM67" s="2060"/>
      <c r="EN67" s="2060"/>
      <c r="EO67" s="2060"/>
      <c r="EP67" s="2060"/>
      <c r="EQ67" s="2060"/>
      <c r="ER67" s="2060"/>
      <c r="ES67" s="2060"/>
      <c r="ET67" s="2060"/>
      <c r="EU67" s="2060"/>
      <c r="EV67" s="2060"/>
      <c r="EW67" s="2060"/>
      <c r="EX67" s="2060"/>
      <c r="EY67" s="2060"/>
      <c r="EZ67" s="2060"/>
      <c r="FA67" s="2060"/>
      <c r="FB67" s="2060"/>
      <c r="FC67" s="2060"/>
      <c r="FD67" s="2060"/>
      <c r="FE67" s="2060"/>
      <c r="FF67" s="2060"/>
      <c r="FG67" s="2060"/>
      <c r="FH67" s="2060"/>
      <c r="FI67" s="2060"/>
      <c r="FJ67" s="2060"/>
      <c r="FK67" s="2060"/>
      <c r="FL67" s="2060"/>
      <c r="FM67" s="2060"/>
      <c r="FN67" s="2060"/>
      <c r="FO67" s="2060"/>
      <c r="FP67" s="2060"/>
      <c r="FQ67" s="2060"/>
      <c r="FR67" s="2060"/>
      <c r="FS67" s="2060"/>
      <c r="FT67" s="2060"/>
      <c r="FU67" s="2060"/>
      <c r="FV67" s="2060"/>
      <c r="FW67" s="2060"/>
      <c r="FX67" s="2060"/>
      <c r="FY67" s="2060"/>
      <c r="FZ67" s="2060"/>
      <c r="GA67" s="2060"/>
      <c r="GB67" s="2060"/>
      <c r="GC67" s="2060"/>
    </row>
    <row r="68" spans="1:185" s="1499" customFormat="1">
      <c r="A68" s="1632" t="str">
        <f t="shared" si="1"/>
        <v>n</v>
      </c>
      <c r="B68" s="1632"/>
      <c r="C68" s="128"/>
      <c r="D68" s="779">
        <f t="shared" ca="1" si="2"/>
        <v>2.1999999999999957</v>
      </c>
      <c r="E68" s="1504" t="str">
        <f>'DATA GPC'!E39</f>
        <v>--</v>
      </c>
      <c r="F68" s="128"/>
      <c r="G68" s="2215" t="str">
        <f>'DATA GPC'!J39</f>
        <v>--</v>
      </c>
      <c r="H68" s="2216" t="str">
        <f>IF($E68="--","--",'DATA GPC'!P336)</f>
        <v>--</v>
      </c>
      <c r="I68" s="2216" t="str">
        <f>IF($E68="--","--",'DATA GPC'!P429)</f>
        <v>--</v>
      </c>
      <c r="J68" s="2217" t="str">
        <f>IF($E68="--","--",CHOOSE($E$307,'DATA GPC'!O460,'DATA GPC'!P460,'DATA GPC'!S460,'DATA GPC'!T460,'DATA GPC'!U460,'DATA GPC'!V460))</f>
        <v>--</v>
      </c>
      <c r="K68" s="247"/>
      <c r="L68" s="2218" t="str">
        <f>IF($E68="--","--",'DATA GPC'!P491)</f>
        <v>--</v>
      </c>
      <c r="M68" s="2218" t="str">
        <f>IF($E68="--","--",'DATA GPC'!P522)</f>
        <v>--</v>
      </c>
      <c r="N68" s="2217" t="str">
        <f>IF($E68="--","--",CHOOSE($E$307,'DATA GPC'!O553,'DATA GPC'!P553,'DATA GPC'!S553,'DATA GPC'!T553,'DATA GPC'!U553,'DATA GPC'!V553))</f>
        <v>--</v>
      </c>
      <c r="O68" s="2202"/>
      <c r="P68" s="2217" t="str">
        <f t="shared" si="3"/>
        <v>--</v>
      </c>
      <c r="Q68" s="2060"/>
      <c r="R68" s="2060"/>
      <c r="S68" s="2060"/>
      <c r="T68" s="2060"/>
      <c r="U68" s="2060"/>
      <c r="V68" s="2060"/>
      <c r="W68" s="128"/>
      <c r="X68" s="2060"/>
      <c r="Y68" s="2060"/>
      <c r="Z68" s="2060"/>
      <c r="AA68" s="2060"/>
      <c r="AB68" s="2060"/>
      <c r="AC68" s="2060"/>
      <c r="AD68" s="1004"/>
      <c r="AE68" s="2060"/>
      <c r="AF68" s="2060"/>
      <c r="AG68" s="2060"/>
      <c r="AH68" s="2060"/>
      <c r="AI68" s="2060"/>
      <c r="AJ68" s="2060"/>
      <c r="AK68" s="2060"/>
      <c r="AL68" s="2060"/>
      <c r="AM68" s="2060"/>
      <c r="AN68" s="2060"/>
      <c r="AO68" s="2060"/>
      <c r="AP68" s="2060"/>
      <c r="AQ68" s="2060"/>
      <c r="AR68" s="2060"/>
      <c r="AS68" s="2060"/>
      <c r="AT68" s="2060"/>
      <c r="AU68" s="2060"/>
      <c r="AV68" s="2060"/>
      <c r="AW68" s="2060"/>
      <c r="AX68" s="2060"/>
      <c r="AY68" s="2060"/>
      <c r="AZ68" s="2060"/>
      <c r="BA68" s="2060"/>
      <c r="BB68" s="2060"/>
      <c r="BC68" s="2060"/>
      <c r="BD68" s="2060"/>
      <c r="BE68" s="2060"/>
      <c r="BF68" s="2060"/>
      <c r="BG68" s="2060"/>
      <c r="BH68" s="2060"/>
      <c r="BI68" s="2060"/>
      <c r="BJ68" s="2060"/>
      <c r="BK68" s="2060"/>
      <c r="BL68" s="2060"/>
      <c r="BM68" s="2060"/>
      <c r="BN68" s="2060"/>
      <c r="BO68" s="2060"/>
      <c r="BP68" s="2060"/>
      <c r="BQ68" s="2060"/>
      <c r="BR68" s="2060"/>
      <c r="BS68" s="2060"/>
      <c r="BT68" s="2060"/>
      <c r="BU68" s="2060"/>
      <c r="BV68" s="2060"/>
      <c r="BW68" s="2060"/>
      <c r="BX68" s="2060"/>
      <c r="BY68" s="2060"/>
      <c r="BZ68" s="2060"/>
      <c r="CA68" s="2060"/>
      <c r="CB68" s="2060"/>
      <c r="CC68" s="2060"/>
      <c r="CD68" s="2060"/>
      <c r="CE68" s="2060"/>
      <c r="CF68" s="2060"/>
      <c r="CG68" s="2060"/>
      <c r="CH68" s="2060"/>
      <c r="CI68" s="2060"/>
      <c r="CJ68" s="2060"/>
      <c r="CK68" s="2060"/>
      <c r="CL68" s="2060"/>
      <c r="CM68" s="2060"/>
      <c r="CN68" s="2060"/>
      <c r="CO68" s="2060"/>
      <c r="CP68" s="2060"/>
      <c r="CQ68" s="2060"/>
      <c r="CR68" s="2060"/>
      <c r="CS68" s="2060"/>
      <c r="CT68" s="2060"/>
      <c r="CU68" s="2060"/>
      <c r="CV68" s="2060"/>
      <c r="CW68" s="2060"/>
      <c r="CX68" s="2060"/>
      <c r="CY68" s="2060"/>
      <c r="CZ68" s="2060"/>
      <c r="DA68" s="2060"/>
      <c r="DB68" s="2060"/>
      <c r="DC68" s="2060"/>
      <c r="DD68" s="2060"/>
      <c r="DE68" s="2060"/>
      <c r="DF68" s="2060"/>
      <c r="DG68" s="2060"/>
      <c r="DH68" s="2060"/>
      <c r="DI68" s="2060"/>
      <c r="DJ68" s="2060"/>
      <c r="DK68" s="2060"/>
      <c r="DL68" s="2060"/>
      <c r="DM68" s="2060"/>
      <c r="DN68" s="2060"/>
      <c r="DO68" s="2060"/>
      <c r="DP68" s="2060"/>
      <c r="DQ68" s="2060"/>
      <c r="DR68" s="2060"/>
      <c r="DS68" s="2060"/>
      <c r="DT68" s="2060"/>
      <c r="DU68" s="2060"/>
      <c r="DV68" s="2060"/>
      <c r="DW68" s="2060"/>
      <c r="DX68" s="2060"/>
      <c r="DY68" s="2060"/>
      <c r="DZ68" s="2060"/>
      <c r="EA68" s="2060"/>
      <c r="EB68" s="2060"/>
      <c r="EC68" s="2060"/>
      <c r="ED68" s="2060"/>
      <c r="EE68" s="2060"/>
      <c r="EF68" s="2060"/>
      <c r="EG68" s="2060"/>
      <c r="EH68" s="2060"/>
      <c r="EI68" s="2060"/>
      <c r="EJ68" s="2060"/>
      <c r="EK68" s="2060"/>
      <c r="EL68" s="2060"/>
      <c r="EM68" s="2060"/>
      <c r="EN68" s="2060"/>
      <c r="EO68" s="2060"/>
      <c r="EP68" s="2060"/>
      <c r="EQ68" s="2060"/>
      <c r="ER68" s="2060"/>
      <c r="ES68" s="2060"/>
      <c r="ET68" s="2060"/>
      <c r="EU68" s="2060"/>
      <c r="EV68" s="2060"/>
      <c r="EW68" s="2060"/>
      <c r="EX68" s="2060"/>
      <c r="EY68" s="2060"/>
      <c r="EZ68" s="2060"/>
      <c r="FA68" s="2060"/>
      <c r="FB68" s="2060"/>
      <c r="FC68" s="2060"/>
      <c r="FD68" s="2060"/>
      <c r="FE68" s="2060"/>
      <c r="FF68" s="2060"/>
      <c r="FG68" s="2060"/>
      <c r="FH68" s="2060"/>
      <c r="FI68" s="2060"/>
      <c r="FJ68" s="2060"/>
      <c r="FK68" s="2060"/>
      <c r="FL68" s="2060"/>
      <c r="FM68" s="2060"/>
      <c r="FN68" s="2060"/>
      <c r="FO68" s="2060"/>
      <c r="FP68" s="2060"/>
      <c r="FQ68" s="2060"/>
      <c r="FR68" s="2060"/>
      <c r="FS68" s="2060"/>
      <c r="FT68" s="2060"/>
      <c r="FU68" s="2060"/>
      <c r="FV68" s="2060"/>
      <c r="FW68" s="2060"/>
      <c r="FX68" s="2060"/>
      <c r="FY68" s="2060"/>
      <c r="FZ68" s="2060"/>
      <c r="GA68" s="2060"/>
      <c r="GB68" s="2060"/>
      <c r="GC68" s="2060"/>
    </row>
    <row r="69" spans="1:185" s="1499" customFormat="1">
      <c r="A69" s="1632" t="str">
        <f t="shared" si="1"/>
        <v>n</v>
      </c>
      <c r="B69" s="1632"/>
      <c r="C69" s="128"/>
      <c r="D69" s="779">
        <f t="shared" ca="1" si="2"/>
        <v>2.2099999999999955</v>
      </c>
      <c r="E69" s="1504" t="str">
        <f>'DATA GPC'!E40</f>
        <v>--</v>
      </c>
      <c r="F69" s="128"/>
      <c r="G69" s="2215" t="str">
        <f>'DATA GPC'!J40</f>
        <v>--</v>
      </c>
      <c r="H69" s="2216" t="str">
        <f>IF($E69="--","--",'DATA GPC'!P337)</f>
        <v>--</v>
      </c>
      <c r="I69" s="2216" t="str">
        <f>IF($E69="--","--",'DATA GPC'!P430)</f>
        <v>--</v>
      </c>
      <c r="J69" s="2217" t="str">
        <f>IF($E69="--","--",CHOOSE($E$307,'DATA GPC'!O461,'DATA GPC'!P461,'DATA GPC'!S461,'DATA GPC'!T461,'DATA GPC'!U461,'DATA GPC'!V461))</f>
        <v>--</v>
      </c>
      <c r="K69" s="247"/>
      <c r="L69" s="2218" t="str">
        <f>IF($E69="--","--",'DATA GPC'!P492)</f>
        <v>--</v>
      </c>
      <c r="M69" s="2218" t="str">
        <f>IF($E69="--","--",'DATA GPC'!P523)</f>
        <v>--</v>
      </c>
      <c r="N69" s="2217" t="str">
        <f>IF($E69="--","--",CHOOSE($E$307,'DATA GPC'!O554,'DATA GPC'!P554,'DATA GPC'!S554,'DATA GPC'!T554,'DATA GPC'!U554,'DATA GPC'!V554))</f>
        <v>--</v>
      </c>
      <c r="O69" s="2202"/>
      <c r="P69" s="2217" t="str">
        <f t="shared" si="3"/>
        <v>--</v>
      </c>
      <c r="Q69" s="2060"/>
      <c r="R69" s="2060"/>
      <c r="S69" s="2060"/>
      <c r="T69" s="2060"/>
      <c r="U69" s="2060"/>
      <c r="V69" s="2060"/>
      <c r="W69" s="128"/>
      <c r="X69" s="2060"/>
      <c r="Y69" s="2060"/>
      <c r="Z69" s="2060"/>
      <c r="AA69" s="2060"/>
      <c r="AB69" s="2060"/>
      <c r="AC69" s="2060"/>
      <c r="AD69" s="1004"/>
      <c r="AE69" s="2060"/>
      <c r="AF69" s="2060"/>
      <c r="AG69" s="2060"/>
      <c r="AH69" s="2060"/>
      <c r="AI69" s="2060"/>
      <c r="AJ69" s="2060"/>
      <c r="AK69" s="2060"/>
      <c r="AL69" s="2060"/>
      <c r="AM69" s="2060"/>
      <c r="AN69" s="2060"/>
      <c r="AO69" s="2060"/>
      <c r="AP69" s="2060"/>
      <c r="AQ69" s="2060"/>
      <c r="AR69" s="2060"/>
      <c r="AS69" s="2060"/>
      <c r="AT69" s="2060"/>
      <c r="AU69" s="2060"/>
      <c r="AV69" s="2060"/>
      <c r="AW69" s="2060"/>
      <c r="AX69" s="2060"/>
      <c r="AY69" s="2060"/>
      <c r="AZ69" s="2060"/>
      <c r="BA69" s="2060"/>
      <c r="BB69" s="2060"/>
      <c r="BC69" s="2060"/>
      <c r="BD69" s="2060"/>
      <c r="BE69" s="2060"/>
      <c r="BF69" s="2060"/>
      <c r="BG69" s="2060"/>
      <c r="BH69" s="2060"/>
      <c r="BI69" s="2060"/>
      <c r="BJ69" s="2060"/>
      <c r="BK69" s="2060"/>
      <c r="BL69" s="2060"/>
      <c r="BM69" s="2060"/>
      <c r="BN69" s="2060"/>
      <c r="BO69" s="2060"/>
      <c r="BP69" s="2060"/>
      <c r="BQ69" s="2060"/>
      <c r="BR69" s="2060"/>
      <c r="BS69" s="2060"/>
      <c r="BT69" s="2060"/>
      <c r="BU69" s="2060"/>
      <c r="BV69" s="2060"/>
      <c r="BW69" s="2060"/>
      <c r="BX69" s="2060"/>
      <c r="BY69" s="2060"/>
      <c r="BZ69" s="2060"/>
      <c r="CA69" s="2060"/>
      <c r="CB69" s="2060"/>
      <c r="CC69" s="2060"/>
      <c r="CD69" s="2060"/>
      <c r="CE69" s="2060"/>
      <c r="CF69" s="2060"/>
      <c r="CG69" s="2060"/>
      <c r="CH69" s="2060"/>
      <c r="CI69" s="2060"/>
      <c r="CJ69" s="2060"/>
      <c r="CK69" s="2060"/>
      <c r="CL69" s="2060"/>
      <c r="CM69" s="2060"/>
      <c r="CN69" s="2060"/>
      <c r="CO69" s="2060"/>
      <c r="CP69" s="2060"/>
      <c r="CQ69" s="2060"/>
      <c r="CR69" s="2060"/>
      <c r="CS69" s="2060"/>
      <c r="CT69" s="2060"/>
      <c r="CU69" s="2060"/>
      <c r="CV69" s="2060"/>
      <c r="CW69" s="2060"/>
      <c r="CX69" s="2060"/>
      <c r="CY69" s="2060"/>
      <c r="CZ69" s="2060"/>
      <c r="DA69" s="2060"/>
      <c r="DB69" s="2060"/>
      <c r="DC69" s="2060"/>
      <c r="DD69" s="2060"/>
      <c r="DE69" s="2060"/>
      <c r="DF69" s="2060"/>
      <c r="DG69" s="2060"/>
      <c r="DH69" s="2060"/>
      <c r="DI69" s="2060"/>
      <c r="DJ69" s="2060"/>
      <c r="DK69" s="2060"/>
      <c r="DL69" s="2060"/>
      <c r="DM69" s="2060"/>
      <c r="DN69" s="2060"/>
      <c r="DO69" s="2060"/>
      <c r="DP69" s="2060"/>
      <c r="DQ69" s="2060"/>
      <c r="DR69" s="2060"/>
      <c r="DS69" s="2060"/>
      <c r="DT69" s="2060"/>
      <c r="DU69" s="2060"/>
      <c r="DV69" s="2060"/>
      <c r="DW69" s="2060"/>
      <c r="DX69" s="2060"/>
      <c r="DY69" s="2060"/>
      <c r="DZ69" s="2060"/>
      <c r="EA69" s="2060"/>
      <c r="EB69" s="2060"/>
      <c r="EC69" s="2060"/>
      <c r="ED69" s="2060"/>
      <c r="EE69" s="2060"/>
      <c r="EF69" s="2060"/>
      <c r="EG69" s="2060"/>
      <c r="EH69" s="2060"/>
      <c r="EI69" s="2060"/>
      <c r="EJ69" s="2060"/>
      <c r="EK69" s="2060"/>
      <c r="EL69" s="2060"/>
      <c r="EM69" s="2060"/>
      <c r="EN69" s="2060"/>
      <c r="EO69" s="2060"/>
      <c r="EP69" s="2060"/>
      <c r="EQ69" s="2060"/>
      <c r="ER69" s="2060"/>
      <c r="ES69" s="2060"/>
      <c r="ET69" s="2060"/>
      <c r="EU69" s="2060"/>
      <c r="EV69" s="2060"/>
      <c r="EW69" s="2060"/>
      <c r="EX69" s="2060"/>
      <c r="EY69" s="2060"/>
      <c r="EZ69" s="2060"/>
      <c r="FA69" s="2060"/>
      <c r="FB69" s="2060"/>
      <c r="FC69" s="2060"/>
      <c r="FD69" s="2060"/>
      <c r="FE69" s="2060"/>
      <c r="FF69" s="2060"/>
      <c r="FG69" s="2060"/>
      <c r="FH69" s="2060"/>
      <c r="FI69" s="2060"/>
      <c r="FJ69" s="2060"/>
      <c r="FK69" s="2060"/>
      <c r="FL69" s="2060"/>
      <c r="FM69" s="2060"/>
      <c r="FN69" s="2060"/>
      <c r="FO69" s="2060"/>
      <c r="FP69" s="2060"/>
      <c r="FQ69" s="2060"/>
      <c r="FR69" s="2060"/>
      <c r="FS69" s="2060"/>
      <c r="FT69" s="2060"/>
      <c r="FU69" s="2060"/>
      <c r="FV69" s="2060"/>
      <c r="FW69" s="2060"/>
      <c r="FX69" s="2060"/>
      <c r="FY69" s="2060"/>
      <c r="FZ69" s="2060"/>
      <c r="GA69" s="2060"/>
      <c r="GB69" s="2060"/>
      <c r="GC69" s="2060"/>
    </row>
    <row r="70" spans="1:185" s="1499" customFormat="1">
      <c r="A70" s="1632" t="str">
        <f t="shared" si="1"/>
        <v>n</v>
      </c>
      <c r="B70" s="1632"/>
      <c r="C70" s="128"/>
      <c r="D70" s="779">
        <f t="shared" ca="1" si="2"/>
        <v>2.2199999999999953</v>
      </c>
      <c r="E70" s="1504" t="str">
        <f>'DATA GPC'!E41</f>
        <v>--</v>
      </c>
      <c r="F70" s="128"/>
      <c r="G70" s="2215" t="str">
        <f>'DATA GPC'!J41</f>
        <v>--</v>
      </c>
      <c r="H70" s="2216" t="str">
        <f>IF($E70="--","--",'DATA GPC'!P338)</f>
        <v>--</v>
      </c>
      <c r="I70" s="2216" t="str">
        <f>IF($E70="--","--",'DATA GPC'!P431)</f>
        <v>--</v>
      </c>
      <c r="J70" s="2217" t="str">
        <f>IF($E70="--","--",CHOOSE($E$307,'DATA GPC'!O462,'DATA GPC'!P462,'DATA GPC'!S462,'DATA GPC'!T462,'DATA GPC'!U462,'DATA GPC'!V462))</f>
        <v>--</v>
      </c>
      <c r="K70" s="247"/>
      <c r="L70" s="2218" t="str">
        <f>IF($E70="--","--",'DATA GPC'!P493)</f>
        <v>--</v>
      </c>
      <c r="M70" s="2218" t="str">
        <f>IF($E70="--","--",'DATA GPC'!P524)</f>
        <v>--</v>
      </c>
      <c r="N70" s="2217" t="str">
        <f>IF($E70="--","--",CHOOSE($E$307,'DATA GPC'!O555,'DATA GPC'!P555,'DATA GPC'!S555,'DATA GPC'!T555,'DATA GPC'!U555,'DATA GPC'!V555))</f>
        <v>--</v>
      </c>
      <c r="O70" s="2202"/>
      <c r="P70" s="2217" t="str">
        <f t="shared" si="3"/>
        <v>--</v>
      </c>
      <c r="Q70" s="2060"/>
      <c r="R70" s="2060"/>
      <c r="S70" s="2060"/>
      <c r="T70" s="2060"/>
      <c r="U70" s="2060"/>
      <c r="V70" s="2060"/>
      <c r="W70" s="128"/>
      <c r="X70" s="2060"/>
      <c r="Y70" s="2060"/>
      <c r="Z70" s="2060"/>
      <c r="AA70" s="2060"/>
      <c r="AB70" s="2060"/>
      <c r="AC70" s="2060"/>
      <c r="AD70" s="1004"/>
      <c r="AE70" s="2060"/>
      <c r="AF70" s="2060"/>
      <c r="AG70" s="2060"/>
      <c r="AH70" s="2060"/>
      <c r="AI70" s="2060"/>
      <c r="AJ70" s="2060"/>
      <c r="AK70" s="2060"/>
      <c r="AL70" s="2060"/>
      <c r="AM70" s="2060"/>
      <c r="AN70" s="2060"/>
      <c r="AO70" s="2060"/>
      <c r="AP70" s="2060"/>
      <c r="AQ70" s="2060"/>
      <c r="AR70" s="2060"/>
      <c r="AS70" s="2060"/>
      <c r="AT70" s="2060"/>
      <c r="AU70" s="2060"/>
      <c r="AV70" s="2060"/>
      <c r="AW70" s="2060"/>
      <c r="AX70" s="2060"/>
      <c r="AY70" s="2060"/>
      <c r="AZ70" s="2060"/>
      <c r="BA70" s="2060"/>
      <c r="BB70" s="2060"/>
      <c r="BC70" s="2060"/>
      <c r="BD70" s="2060"/>
      <c r="BE70" s="2060"/>
      <c r="BF70" s="2060"/>
      <c r="BG70" s="2060"/>
      <c r="BH70" s="2060"/>
      <c r="BI70" s="2060"/>
      <c r="BJ70" s="2060"/>
      <c r="BK70" s="2060"/>
      <c r="BL70" s="2060"/>
      <c r="BM70" s="2060"/>
      <c r="BN70" s="2060"/>
      <c r="BO70" s="2060"/>
      <c r="BP70" s="2060"/>
      <c r="BQ70" s="2060"/>
      <c r="BR70" s="2060"/>
      <c r="BS70" s="2060"/>
      <c r="BT70" s="2060"/>
      <c r="BU70" s="2060"/>
      <c r="BV70" s="2060"/>
      <c r="BW70" s="2060"/>
      <c r="BX70" s="2060"/>
      <c r="BY70" s="2060"/>
      <c r="BZ70" s="2060"/>
      <c r="CA70" s="2060"/>
      <c r="CB70" s="2060"/>
      <c r="CC70" s="2060"/>
      <c r="CD70" s="2060"/>
      <c r="CE70" s="2060"/>
      <c r="CF70" s="2060"/>
      <c r="CG70" s="2060"/>
      <c r="CH70" s="2060"/>
      <c r="CI70" s="2060"/>
      <c r="CJ70" s="2060"/>
      <c r="CK70" s="2060"/>
      <c r="CL70" s="2060"/>
      <c r="CM70" s="2060"/>
      <c r="CN70" s="2060"/>
      <c r="CO70" s="2060"/>
      <c r="CP70" s="2060"/>
      <c r="CQ70" s="2060"/>
      <c r="CR70" s="2060"/>
      <c r="CS70" s="2060"/>
      <c r="CT70" s="2060"/>
      <c r="CU70" s="2060"/>
      <c r="CV70" s="2060"/>
      <c r="CW70" s="2060"/>
      <c r="CX70" s="2060"/>
      <c r="CY70" s="2060"/>
      <c r="CZ70" s="2060"/>
      <c r="DA70" s="2060"/>
      <c r="DB70" s="2060"/>
      <c r="DC70" s="2060"/>
      <c r="DD70" s="2060"/>
      <c r="DE70" s="2060"/>
      <c r="DF70" s="2060"/>
      <c r="DG70" s="2060"/>
      <c r="DH70" s="2060"/>
      <c r="DI70" s="2060"/>
      <c r="DJ70" s="2060"/>
      <c r="DK70" s="2060"/>
      <c r="DL70" s="2060"/>
      <c r="DM70" s="2060"/>
      <c r="DN70" s="2060"/>
      <c r="DO70" s="2060"/>
      <c r="DP70" s="2060"/>
      <c r="DQ70" s="2060"/>
      <c r="DR70" s="2060"/>
      <c r="DS70" s="2060"/>
      <c r="DT70" s="2060"/>
      <c r="DU70" s="2060"/>
      <c r="DV70" s="2060"/>
      <c r="DW70" s="2060"/>
      <c r="DX70" s="2060"/>
      <c r="DY70" s="2060"/>
      <c r="DZ70" s="2060"/>
      <c r="EA70" s="2060"/>
      <c r="EB70" s="2060"/>
      <c r="EC70" s="2060"/>
      <c r="ED70" s="2060"/>
      <c r="EE70" s="2060"/>
      <c r="EF70" s="2060"/>
      <c r="EG70" s="2060"/>
      <c r="EH70" s="2060"/>
      <c r="EI70" s="2060"/>
      <c r="EJ70" s="2060"/>
      <c r="EK70" s="2060"/>
      <c r="EL70" s="2060"/>
      <c r="EM70" s="2060"/>
      <c r="EN70" s="2060"/>
      <c r="EO70" s="2060"/>
      <c r="EP70" s="2060"/>
      <c r="EQ70" s="2060"/>
      <c r="ER70" s="2060"/>
      <c r="ES70" s="2060"/>
      <c r="ET70" s="2060"/>
      <c r="EU70" s="2060"/>
      <c r="EV70" s="2060"/>
      <c r="EW70" s="2060"/>
      <c r="EX70" s="2060"/>
      <c r="EY70" s="2060"/>
      <c r="EZ70" s="2060"/>
      <c r="FA70" s="2060"/>
      <c r="FB70" s="2060"/>
      <c r="FC70" s="2060"/>
      <c r="FD70" s="2060"/>
      <c r="FE70" s="2060"/>
      <c r="FF70" s="2060"/>
      <c r="FG70" s="2060"/>
      <c r="FH70" s="2060"/>
      <c r="FI70" s="2060"/>
      <c r="FJ70" s="2060"/>
      <c r="FK70" s="2060"/>
      <c r="FL70" s="2060"/>
      <c r="FM70" s="2060"/>
      <c r="FN70" s="2060"/>
      <c r="FO70" s="2060"/>
      <c r="FP70" s="2060"/>
      <c r="FQ70" s="2060"/>
      <c r="FR70" s="2060"/>
      <c r="FS70" s="2060"/>
      <c r="FT70" s="2060"/>
      <c r="FU70" s="2060"/>
      <c r="FV70" s="2060"/>
      <c r="FW70" s="2060"/>
      <c r="FX70" s="2060"/>
      <c r="FY70" s="2060"/>
      <c r="FZ70" s="2060"/>
      <c r="GA70" s="2060"/>
      <c r="GB70" s="2060"/>
      <c r="GC70" s="2060"/>
    </row>
    <row r="71" spans="1:185" s="1499" customFormat="1">
      <c r="A71" s="1632" t="str">
        <f t="shared" si="1"/>
        <v>n</v>
      </c>
      <c r="B71" s="1632"/>
      <c r="C71" s="128"/>
      <c r="D71" s="779">
        <f t="shared" ca="1" si="2"/>
        <v>2.2299999999999951</v>
      </c>
      <c r="E71" s="1504" t="str">
        <f>'DATA GPC'!E42</f>
        <v>--</v>
      </c>
      <c r="F71" s="128"/>
      <c r="G71" s="2215" t="str">
        <f>'DATA GPC'!J42</f>
        <v>--</v>
      </c>
      <c r="H71" s="2216" t="str">
        <f>IF($E71="--","--",'DATA GPC'!P339)</f>
        <v>--</v>
      </c>
      <c r="I71" s="2216" t="str">
        <f>IF($E71="--","--",'DATA GPC'!P432)</f>
        <v>--</v>
      </c>
      <c r="J71" s="2217" t="str">
        <f>IF($E71="--","--",CHOOSE($E$307,'DATA GPC'!O463,'DATA GPC'!P463,'DATA GPC'!S463,'DATA GPC'!T463,'DATA GPC'!U463,'DATA GPC'!V463))</f>
        <v>--</v>
      </c>
      <c r="K71" s="247"/>
      <c r="L71" s="2218" t="str">
        <f>IF($E71="--","--",'DATA GPC'!P494)</f>
        <v>--</v>
      </c>
      <c r="M71" s="2218" t="str">
        <f>IF($E71="--","--",'DATA GPC'!P525)</f>
        <v>--</v>
      </c>
      <c r="N71" s="2217" t="str">
        <f>IF($E71="--","--",CHOOSE($E$307,'DATA GPC'!O556,'DATA GPC'!P556,'DATA GPC'!S556,'DATA GPC'!T556,'DATA GPC'!U556,'DATA GPC'!V556))</f>
        <v>--</v>
      </c>
      <c r="O71" s="2202"/>
      <c r="P71" s="2217" t="str">
        <f t="shared" si="3"/>
        <v>--</v>
      </c>
      <c r="Q71" s="2060"/>
      <c r="R71" s="2060"/>
      <c r="S71" s="2060"/>
      <c r="T71" s="2060"/>
      <c r="U71" s="2060"/>
      <c r="V71" s="2060"/>
      <c r="W71" s="128"/>
      <c r="X71" s="2060"/>
      <c r="Y71" s="2060"/>
      <c r="Z71" s="2060"/>
      <c r="AA71" s="2060"/>
      <c r="AB71" s="2060"/>
      <c r="AC71" s="2060"/>
      <c r="AD71" s="1004"/>
      <c r="AE71" s="2060"/>
      <c r="AF71" s="2060"/>
      <c r="AG71" s="2060"/>
      <c r="AH71" s="2060"/>
      <c r="AI71" s="2060"/>
      <c r="AJ71" s="2060"/>
      <c r="AK71" s="2060"/>
      <c r="AL71" s="2060"/>
      <c r="AM71" s="2060"/>
      <c r="AN71" s="2060"/>
      <c r="AO71" s="2060"/>
      <c r="AP71" s="2060"/>
      <c r="AQ71" s="2060"/>
      <c r="AR71" s="2060"/>
      <c r="AS71" s="2060"/>
      <c r="AT71" s="2060"/>
      <c r="AU71" s="2060"/>
      <c r="AV71" s="2060"/>
      <c r="AW71" s="2060"/>
      <c r="AX71" s="2060"/>
      <c r="AY71" s="2060"/>
      <c r="AZ71" s="2060"/>
      <c r="BA71" s="2060"/>
      <c r="BB71" s="2060"/>
      <c r="BC71" s="2060"/>
      <c r="BD71" s="2060"/>
      <c r="BE71" s="2060"/>
      <c r="BF71" s="2060"/>
      <c r="BG71" s="2060"/>
      <c r="BH71" s="2060"/>
      <c r="BI71" s="2060"/>
      <c r="BJ71" s="2060"/>
      <c r="BK71" s="2060"/>
      <c r="BL71" s="2060"/>
      <c r="BM71" s="2060"/>
      <c r="BN71" s="2060"/>
      <c r="BO71" s="2060"/>
      <c r="BP71" s="2060"/>
      <c r="BQ71" s="2060"/>
      <c r="BR71" s="2060"/>
      <c r="BS71" s="2060"/>
      <c r="BT71" s="2060"/>
      <c r="BU71" s="2060"/>
      <c r="BV71" s="2060"/>
      <c r="BW71" s="2060"/>
      <c r="BX71" s="2060"/>
      <c r="BY71" s="2060"/>
      <c r="BZ71" s="2060"/>
      <c r="CA71" s="2060"/>
      <c r="CB71" s="2060"/>
      <c r="CC71" s="2060"/>
      <c r="CD71" s="2060"/>
      <c r="CE71" s="2060"/>
      <c r="CF71" s="2060"/>
      <c r="CG71" s="2060"/>
      <c r="CH71" s="2060"/>
      <c r="CI71" s="2060"/>
      <c r="CJ71" s="2060"/>
      <c r="CK71" s="2060"/>
      <c r="CL71" s="2060"/>
      <c r="CM71" s="2060"/>
      <c r="CN71" s="2060"/>
      <c r="CO71" s="2060"/>
      <c r="CP71" s="2060"/>
      <c r="CQ71" s="2060"/>
      <c r="CR71" s="2060"/>
      <c r="CS71" s="2060"/>
      <c r="CT71" s="2060"/>
      <c r="CU71" s="2060"/>
      <c r="CV71" s="2060"/>
      <c r="CW71" s="2060"/>
      <c r="CX71" s="2060"/>
      <c r="CY71" s="2060"/>
      <c r="CZ71" s="2060"/>
      <c r="DA71" s="2060"/>
      <c r="DB71" s="2060"/>
      <c r="DC71" s="2060"/>
      <c r="DD71" s="2060"/>
      <c r="DE71" s="2060"/>
      <c r="DF71" s="2060"/>
      <c r="DG71" s="2060"/>
      <c r="DH71" s="2060"/>
      <c r="DI71" s="2060"/>
      <c r="DJ71" s="2060"/>
      <c r="DK71" s="2060"/>
      <c r="DL71" s="2060"/>
      <c r="DM71" s="2060"/>
      <c r="DN71" s="2060"/>
      <c r="DO71" s="2060"/>
      <c r="DP71" s="2060"/>
      <c r="DQ71" s="2060"/>
      <c r="DR71" s="2060"/>
      <c r="DS71" s="2060"/>
      <c r="DT71" s="2060"/>
      <c r="DU71" s="2060"/>
      <c r="DV71" s="2060"/>
      <c r="DW71" s="2060"/>
      <c r="DX71" s="2060"/>
      <c r="DY71" s="2060"/>
      <c r="DZ71" s="2060"/>
      <c r="EA71" s="2060"/>
      <c r="EB71" s="2060"/>
      <c r="EC71" s="2060"/>
      <c r="ED71" s="2060"/>
      <c r="EE71" s="2060"/>
      <c r="EF71" s="2060"/>
      <c r="EG71" s="2060"/>
      <c r="EH71" s="2060"/>
      <c r="EI71" s="2060"/>
      <c r="EJ71" s="2060"/>
      <c r="EK71" s="2060"/>
      <c r="EL71" s="2060"/>
      <c r="EM71" s="2060"/>
      <c r="EN71" s="2060"/>
      <c r="EO71" s="2060"/>
      <c r="EP71" s="2060"/>
      <c r="EQ71" s="2060"/>
      <c r="ER71" s="2060"/>
      <c r="ES71" s="2060"/>
      <c r="ET71" s="2060"/>
      <c r="EU71" s="2060"/>
      <c r="EV71" s="2060"/>
      <c r="EW71" s="2060"/>
      <c r="EX71" s="2060"/>
      <c r="EY71" s="2060"/>
      <c r="EZ71" s="2060"/>
      <c r="FA71" s="2060"/>
      <c r="FB71" s="2060"/>
      <c r="FC71" s="2060"/>
      <c r="FD71" s="2060"/>
      <c r="FE71" s="2060"/>
      <c r="FF71" s="2060"/>
      <c r="FG71" s="2060"/>
      <c r="FH71" s="2060"/>
      <c r="FI71" s="2060"/>
      <c r="FJ71" s="2060"/>
      <c r="FK71" s="2060"/>
      <c r="FL71" s="2060"/>
      <c r="FM71" s="2060"/>
      <c r="FN71" s="2060"/>
      <c r="FO71" s="2060"/>
      <c r="FP71" s="2060"/>
      <c r="FQ71" s="2060"/>
      <c r="FR71" s="2060"/>
      <c r="FS71" s="2060"/>
      <c r="FT71" s="2060"/>
      <c r="FU71" s="2060"/>
      <c r="FV71" s="2060"/>
      <c r="FW71" s="2060"/>
      <c r="FX71" s="2060"/>
      <c r="FY71" s="2060"/>
      <c r="FZ71" s="2060"/>
      <c r="GA71" s="2060"/>
      <c r="GB71" s="2060"/>
      <c r="GC71" s="2060"/>
    </row>
    <row r="72" spans="1:185" s="1499" customFormat="1">
      <c r="A72" s="1632" t="str">
        <f t="shared" si="1"/>
        <v>n</v>
      </c>
      <c r="B72" s="1632"/>
      <c r="C72" s="128"/>
      <c r="D72" s="779">
        <f t="shared" ca="1" si="2"/>
        <v>2.2399999999999949</v>
      </c>
      <c r="E72" s="1504" t="str">
        <f>'DATA GPC'!E43</f>
        <v>--</v>
      </c>
      <c r="F72" s="128"/>
      <c r="G72" s="2215" t="str">
        <f>'DATA GPC'!J43</f>
        <v>--</v>
      </c>
      <c r="H72" s="2216" t="str">
        <f>IF($E72="--","--",'DATA GPC'!P340)</f>
        <v>--</v>
      </c>
      <c r="I72" s="2216" t="str">
        <f>IF($E72="--","--",'DATA GPC'!P433)</f>
        <v>--</v>
      </c>
      <c r="J72" s="2217" t="str">
        <f>IF($E72="--","--",CHOOSE($E$307,'DATA GPC'!O464,'DATA GPC'!P464,'DATA GPC'!S464,'DATA GPC'!T464,'DATA GPC'!U464,'DATA GPC'!V464))</f>
        <v>--</v>
      </c>
      <c r="K72" s="247"/>
      <c r="L72" s="2218" t="str">
        <f>IF($E72="--","--",'DATA GPC'!P495)</f>
        <v>--</v>
      </c>
      <c r="M72" s="2218" t="str">
        <f>IF($E72="--","--",'DATA GPC'!P526)</f>
        <v>--</v>
      </c>
      <c r="N72" s="2217" t="str">
        <f>IF($E72="--","--",CHOOSE($E$307,'DATA GPC'!O557,'DATA GPC'!P557,'DATA GPC'!S557,'DATA GPC'!T557,'DATA GPC'!U557,'DATA GPC'!V557))</f>
        <v>--</v>
      </c>
      <c r="O72" s="2202"/>
      <c r="P72" s="2217" t="str">
        <f t="shared" si="3"/>
        <v>--</v>
      </c>
      <c r="Q72" s="2060"/>
      <c r="R72" s="2060"/>
      <c r="S72" s="2060"/>
      <c r="T72" s="2060"/>
      <c r="U72" s="2060"/>
      <c r="V72" s="2060"/>
      <c r="W72" s="128"/>
      <c r="X72" s="2060"/>
      <c r="Y72" s="2060"/>
      <c r="Z72" s="2060"/>
      <c r="AA72" s="2060"/>
      <c r="AB72" s="2060"/>
      <c r="AC72" s="2060"/>
      <c r="AD72" s="1004"/>
      <c r="AE72" s="2060"/>
      <c r="AF72" s="2060"/>
      <c r="AG72" s="2060"/>
      <c r="AH72" s="2060"/>
      <c r="AI72" s="2060"/>
      <c r="AJ72" s="2060"/>
      <c r="AK72" s="2060"/>
      <c r="AL72" s="2060"/>
      <c r="AM72" s="2060"/>
      <c r="AN72" s="2060"/>
      <c r="AO72" s="2060"/>
      <c r="AP72" s="2060"/>
      <c r="AQ72" s="2060"/>
      <c r="AR72" s="2060"/>
      <c r="AS72" s="2060"/>
      <c r="AT72" s="2060"/>
      <c r="AU72" s="2060"/>
      <c r="AV72" s="2060"/>
      <c r="AW72" s="2060"/>
      <c r="AX72" s="2060"/>
      <c r="AY72" s="2060"/>
      <c r="AZ72" s="2060"/>
      <c r="BA72" s="2060"/>
      <c r="BB72" s="2060"/>
      <c r="BC72" s="2060"/>
      <c r="BD72" s="2060"/>
      <c r="BE72" s="2060"/>
      <c r="BF72" s="2060"/>
      <c r="BG72" s="2060"/>
      <c r="BH72" s="2060"/>
      <c r="BI72" s="2060"/>
      <c r="BJ72" s="2060"/>
      <c r="BK72" s="2060"/>
      <c r="BL72" s="2060"/>
      <c r="BM72" s="2060"/>
      <c r="BN72" s="2060"/>
      <c r="BO72" s="2060"/>
      <c r="BP72" s="2060"/>
      <c r="BQ72" s="2060"/>
      <c r="BR72" s="2060"/>
      <c r="BS72" s="2060"/>
      <c r="BT72" s="2060"/>
      <c r="BU72" s="2060"/>
      <c r="BV72" s="2060"/>
      <c r="BW72" s="2060"/>
      <c r="BX72" s="2060"/>
      <c r="BY72" s="2060"/>
      <c r="BZ72" s="2060"/>
      <c r="CA72" s="2060"/>
      <c r="CB72" s="2060"/>
      <c r="CC72" s="2060"/>
      <c r="CD72" s="2060"/>
      <c r="CE72" s="2060"/>
      <c r="CF72" s="2060"/>
      <c r="CG72" s="2060"/>
      <c r="CH72" s="2060"/>
      <c r="CI72" s="2060"/>
      <c r="CJ72" s="2060"/>
      <c r="CK72" s="2060"/>
      <c r="CL72" s="2060"/>
      <c r="CM72" s="2060"/>
      <c r="CN72" s="2060"/>
      <c r="CO72" s="2060"/>
      <c r="CP72" s="2060"/>
      <c r="CQ72" s="2060"/>
      <c r="CR72" s="2060"/>
      <c r="CS72" s="2060"/>
      <c r="CT72" s="2060"/>
      <c r="CU72" s="2060"/>
      <c r="CV72" s="2060"/>
      <c r="CW72" s="2060"/>
      <c r="CX72" s="2060"/>
      <c r="CY72" s="2060"/>
      <c r="CZ72" s="2060"/>
      <c r="DA72" s="2060"/>
      <c r="DB72" s="2060"/>
      <c r="DC72" s="2060"/>
      <c r="DD72" s="2060"/>
      <c r="DE72" s="2060"/>
      <c r="DF72" s="2060"/>
      <c r="DG72" s="2060"/>
      <c r="DH72" s="2060"/>
      <c r="DI72" s="2060"/>
      <c r="DJ72" s="2060"/>
      <c r="DK72" s="2060"/>
      <c r="DL72" s="2060"/>
      <c r="DM72" s="2060"/>
      <c r="DN72" s="2060"/>
      <c r="DO72" s="2060"/>
      <c r="DP72" s="2060"/>
      <c r="DQ72" s="2060"/>
      <c r="DR72" s="2060"/>
      <c r="DS72" s="2060"/>
      <c r="DT72" s="2060"/>
      <c r="DU72" s="2060"/>
      <c r="DV72" s="2060"/>
      <c r="DW72" s="2060"/>
      <c r="DX72" s="2060"/>
      <c r="DY72" s="2060"/>
      <c r="DZ72" s="2060"/>
      <c r="EA72" s="2060"/>
      <c r="EB72" s="2060"/>
      <c r="EC72" s="2060"/>
      <c r="ED72" s="2060"/>
      <c r="EE72" s="2060"/>
      <c r="EF72" s="2060"/>
      <c r="EG72" s="2060"/>
      <c r="EH72" s="2060"/>
      <c r="EI72" s="2060"/>
      <c r="EJ72" s="2060"/>
      <c r="EK72" s="2060"/>
      <c r="EL72" s="2060"/>
      <c r="EM72" s="2060"/>
      <c r="EN72" s="2060"/>
      <c r="EO72" s="2060"/>
      <c r="EP72" s="2060"/>
      <c r="EQ72" s="2060"/>
      <c r="ER72" s="2060"/>
      <c r="ES72" s="2060"/>
      <c r="ET72" s="2060"/>
      <c r="EU72" s="2060"/>
      <c r="EV72" s="2060"/>
      <c r="EW72" s="2060"/>
      <c r="EX72" s="2060"/>
      <c r="EY72" s="2060"/>
      <c r="EZ72" s="2060"/>
      <c r="FA72" s="2060"/>
      <c r="FB72" s="2060"/>
      <c r="FC72" s="2060"/>
      <c r="FD72" s="2060"/>
      <c r="FE72" s="2060"/>
      <c r="FF72" s="2060"/>
      <c r="FG72" s="2060"/>
      <c r="FH72" s="2060"/>
      <c r="FI72" s="2060"/>
      <c r="FJ72" s="2060"/>
      <c r="FK72" s="2060"/>
      <c r="FL72" s="2060"/>
      <c r="FM72" s="2060"/>
      <c r="FN72" s="2060"/>
      <c r="FO72" s="2060"/>
      <c r="FP72" s="2060"/>
      <c r="FQ72" s="2060"/>
      <c r="FR72" s="2060"/>
      <c r="FS72" s="2060"/>
      <c r="FT72" s="2060"/>
      <c r="FU72" s="2060"/>
      <c r="FV72" s="2060"/>
      <c r="FW72" s="2060"/>
      <c r="FX72" s="2060"/>
      <c r="FY72" s="2060"/>
      <c r="FZ72" s="2060"/>
      <c r="GA72" s="2060"/>
      <c r="GB72" s="2060"/>
      <c r="GC72" s="2060"/>
    </row>
    <row r="73" spans="1:185" customFormat="1" ht="12.75" customHeight="1">
      <c r="A73" s="1632" t="str">
        <f t="shared" si="1"/>
        <v>n</v>
      </c>
      <c r="B73" s="1632"/>
      <c r="C73" s="128"/>
      <c r="D73" s="779">
        <f t="shared" ca="1" si="2"/>
        <v>2.2499999999999947</v>
      </c>
      <c r="E73" s="1504" t="str">
        <f>'DATA GPC'!E44</f>
        <v>--</v>
      </c>
      <c r="F73" s="128"/>
      <c r="G73" s="2215" t="str">
        <f>'DATA GPC'!J44</f>
        <v>--</v>
      </c>
      <c r="H73" s="2216" t="str">
        <f>IF($E73="--","--",'DATA GPC'!P341)</f>
        <v>--</v>
      </c>
      <c r="I73" s="2216" t="str">
        <f>IF($E73="--","--",'DATA GPC'!P434)</f>
        <v>--</v>
      </c>
      <c r="J73" s="2217" t="str">
        <f>IF($E73="--","--",CHOOSE($E$307,'DATA GPC'!O465,'DATA GPC'!P465,'DATA GPC'!S465,'DATA GPC'!T465,'DATA GPC'!U465,'DATA GPC'!V465))</f>
        <v>--</v>
      </c>
      <c r="K73" s="247"/>
      <c r="L73" s="2218" t="str">
        <f>IF($E73="--","--",'DATA GPC'!P496)</f>
        <v>--</v>
      </c>
      <c r="M73" s="2218" t="str">
        <f>IF($E73="--","--",'DATA GPC'!P527)</f>
        <v>--</v>
      </c>
      <c r="N73" s="2217" t="str">
        <f>IF($E73="--","--",CHOOSE($E$307,'DATA GPC'!O558,'DATA GPC'!P558,'DATA GPC'!S558,'DATA GPC'!T558,'DATA GPC'!U558,'DATA GPC'!V558))</f>
        <v>--</v>
      </c>
      <c r="O73" s="2202"/>
      <c r="P73" s="2217" t="str">
        <f t="shared" si="3"/>
        <v>--</v>
      </c>
      <c r="Q73" s="2060"/>
      <c r="R73" s="2060"/>
      <c r="S73" s="2060"/>
      <c r="T73" s="2060"/>
      <c r="U73" s="2060"/>
      <c r="V73" s="2060"/>
      <c r="W73" s="128"/>
      <c r="X73" s="2060"/>
      <c r="Y73" s="2060"/>
      <c r="Z73" s="2060"/>
      <c r="AA73" s="2060"/>
      <c r="AB73" s="2060"/>
      <c r="AC73" s="2060"/>
      <c r="AD73" s="1004"/>
      <c r="AE73" s="2060"/>
      <c r="AF73" s="2060"/>
      <c r="AG73" s="2060"/>
      <c r="AH73" s="2060"/>
      <c r="AI73" s="2060"/>
      <c r="AJ73" s="2060"/>
      <c r="AK73" s="2060"/>
      <c r="AL73" s="2060"/>
      <c r="AM73" s="2060"/>
      <c r="AN73" s="2060"/>
      <c r="AO73" s="2060"/>
      <c r="AP73" s="2060"/>
      <c r="AQ73" s="2060"/>
      <c r="AR73" s="2060"/>
      <c r="AS73" s="2060"/>
      <c r="AT73" s="2060"/>
      <c r="AU73" s="2060"/>
      <c r="AV73" s="2060"/>
      <c r="AW73" s="2060"/>
      <c r="AX73" s="2060"/>
      <c r="AY73" s="2060"/>
      <c r="AZ73" s="2060"/>
      <c r="BA73" s="2060"/>
      <c r="BB73" s="2060"/>
      <c r="BC73" s="2060"/>
      <c r="BD73" s="2060"/>
      <c r="BE73" s="2060"/>
      <c r="BF73" s="2060"/>
      <c r="BG73" s="2060"/>
      <c r="BH73" s="2060"/>
      <c r="BI73" s="2060"/>
      <c r="BJ73" s="2060"/>
      <c r="BK73" s="2060"/>
      <c r="BL73" s="2060"/>
      <c r="BM73" s="2060"/>
      <c r="BN73" s="2060"/>
      <c r="BO73" s="2060"/>
      <c r="BP73" s="2060"/>
      <c r="BQ73" s="2060"/>
      <c r="BR73" s="2060"/>
      <c r="BS73" s="2060"/>
      <c r="BT73" s="2060"/>
      <c r="BU73" s="2060"/>
      <c r="BV73" s="2060"/>
      <c r="BW73" s="2060"/>
      <c r="BX73" s="2060"/>
      <c r="BY73" s="2060"/>
      <c r="BZ73" s="2060"/>
      <c r="CA73" s="2060"/>
      <c r="CB73" s="2060"/>
      <c r="CC73" s="2060"/>
      <c r="CD73" s="2060"/>
      <c r="CE73" s="2060"/>
      <c r="CF73" s="2060"/>
      <c r="CG73" s="2060"/>
      <c r="CH73" s="2060"/>
      <c r="CI73" s="2060"/>
      <c r="CJ73" s="2060"/>
      <c r="CK73" s="2060"/>
      <c r="CL73" s="2060"/>
      <c r="CM73" s="2060"/>
      <c r="CN73" s="2060"/>
      <c r="CO73" s="2060"/>
      <c r="CP73" s="2060"/>
      <c r="CQ73" s="2060"/>
      <c r="CR73" s="2060"/>
      <c r="CS73" s="2060"/>
      <c r="CT73" s="2060"/>
      <c r="CU73" s="2060"/>
      <c r="CV73" s="2060"/>
      <c r="CW73" s="2060"/>
      <c r="CX73" s="2060"/>
      <c r="CY73" s="2060"/>
      <c r="CZ73" s="2060"/>
      <c r="DA73" s="2060"/>
      <c r="DB73" s="2060"/>
      <c r="DC73" s="2060"/>
      <c r="DD73" s="2060"/>
      <c r="DE73" s="2060"/>
      <c r="DF73" s="2060"/>
      <c r="DG73" s="2060"/>
      <c r="DH73" s="2060"/>
      <c r="DI73" s="2060"/>
      <c r="DJ73" s="2060"/>
      <c r="DK73" s="2060"/>
      <c r="DL73" s="2060"/>
      <c r="DM73" s="2060"/>
      <c r="DN73" s="2060"/>
      <c r="DO73" s="2060"/>
      <c r="DP73" s="2060"/>
      <c r="DQ73" s="2060"/>
      <c r="DR73" s="2060"/>
      <c r="DS73" s="2060"/>
      <c r="DT73" s="2060"/>
      <c r="DU73" s="2060"/>
      <c r="DV73" s="2060"/>
      <c r="DW73" s="2060"/>
      <c r="DX73" s="2060"/>
      <c r="DY73" s="2060"/>
      <c r="DZ73" s="2060"/>
      <c r="EA73" s="2060"/>
      <c r="EB73" s="2060"/>
      <c r="EC73" s="2060"/>
      <c r="ED73" s="2060"/>
      <c r="EE73" s="2060"/>
      <c r="EF73" s="2060"/>
      <c r="EG73" s="2060"/>
      <c r="EH73" s="2060"/>
      <c r="EI73" s="2060"/>
      <c r="EJ73" s="2060"/>
      <c r="EK73" s="2060"/>
      <c r="EL73" s="2060"/>
      <c r="EM73" s="2060"/>
      <c r="EN73" s="2060"/>
      <c r="EO73" s="2060"/>
      <c r="EP73" s="2060"/>
      <c r="EQ73" s="2060"/>
      <c r="ER73" s="2060"/>
      <c r="ES73" s="2060"/>
      <c r="ET73" s="2060"/>
      <c r="EU73" s="2060"/>
      <c r="EV73" s="2060"/>
      <c r="EW73" s="2060"/>
      <c r="EX73" s="2060"/>
      <c r="EY73" s="2060"/>
      <c r="EZ73" s="2060"/>
      <c r="FA73" s="2060"/>
      <c r="FB73" s="2060"/>
      <c r="FC73" s="2060"/>
      <c r="FD73" s="2060"/>
      <c r="FE73" s="2060"/>
      <c r="FF73" s="2060"/>
      <c r="FG73" s="2060"/>
      <c r="FH73" s="2060"/>
      <c r="FI73" s="2060"/>
      <c r="FJ73" s="2060"/>
      <c r="FK73" s="2060"/>
      <c r="FL73" s="2060"/>
      <c r="FM73" s="2060"/>
      <c r="FN73" s="2060"/>
      <c r="FO73" s="2060"/>
      <c r="FP73" s="2060"/>
      <c r="FQ73" s="2060"/>
      <c r="FR73" s="2060"/>
      <c r="FS73" s="2060"/>
      <c r="FT73" s="2060"/>
      <c r="FU73" s="2060"/>
      <c r="FV73" s="2060"/>
      <c r="FW73" s="2060"/>
      <c r="FX73" s="2060"/>
      <c r="FY73" s="2060"/>
      <c r="FZ73" s="2060"/>
      <c r="GA73" s="2060"/>
      <c r="GB73" s="2060"/>
      <c r="GC73" s="2060"/>
    </row>
    <row r="74" spans="1:185" customFormat="1">
      <c r="A74" s="659"/>
      <c r="B74" s="659"/>
      <c r="C74" s="128"/>
      <c r="D74" s="128"/>
      <c r="E74" s="128"/>
      <c r="F74" s="128"/>
      <c r="G74" s="128"/>
      <c r="H74" s="128" t="s">
        <v>1156</v>
      </c>
      <c r="I74" s="128"/>
      <c r="J74" s="128"/>
      <c r="K74" s="128"/>
      <c r="L74" s="128"/>
      <c r="M74" s="137" t="s">
        <v>1157</v>
      </c>
      <c r="N74" s="147" t="str">
        <f t="array" ref="N74">IFERROR(AVERAGE(IF(N49:N73&lt;&gt;0,N49:N73,"")),"n/a")</f>
        <v>n/a</v>
      </c>
      <c r="O74" s="137" t="s">
        <v>1157</v>
      </c>
      <c r="P74" s="147" t="str">
        <f t="array" ref="P74">IFERROR(AVERAGE(IF(P49:P73&lt;&gt;0,P49:P73,"")),"n/a")</f>
        <v>n/a</v>
      </c>
      <c r="Q74" s="2060"/>
      <c r="R74" s="2060"/>
      <c r="S74" s="1502"/>
      <c r="T74" s="2060"/>
      <c r="U74" s="2060"/>
      <c r="V74" s="2060"/>
      <c r="W74" s="128"/>
      <c r="X74" s="2060"/>
      <c r="Y74" s="2060"/>
      <c r="Z74" s="2060"/>
      <c r="AA74" s="2060"/>
      <c r="AB74" s="2060"/>
      <c r="AC74" s="2060"/>
      <c r="AD74" s="1004"/>
      <c r="AE74" s="2060"/>
      <c r="AF74" s="2060"/>
      <c r="AG74" s="2060"/>
      <c r="AH74" s="2060"/>
      <c r="AI74" s="2060"/>
      <c r="AJ74" s="2060"/>
      <c r="AK74" s="2060"/>
      <c r="AL74" s="2060"/>
      <c r="AM74" s="2060"/>
      <c r="AN74" s="2060"/>
      <c r="AO74" s="2060"/>
      <c r="AP74" s="2060"/>
      <c r="AQ74" s="2060"/>
      <c r="AR74" s="2060"/>
      <c r="AS74" s="2060"/>
      <c r="AT74" s="2060"/>
      <c r="AU74" s="2060"/>
      <c r="AV74" s="2060"/>
      <c r="AW74" s="2060"/>
      <c r="AX74" s="2060"/>
      <c r="AY74" s="2060"/>
      <c r="AZ74" s="2060"/>
      <c r="BA74" s="2060"/>
      <c r="BB74" s="2060"/>
      <c r="BC74" s="2060"/>
      <c r="BD74" s="2060"/>
      <c r="BE74" s="2060"/>
      <c r="BF74" s="2060"/>
      <c r="BG74" s="2060"/>
      <c r="BH74" s="2060"/>
      <c r="BI74" s="2060"/>
      <c r="BJ74" s="2060"/>
      <c r="BK74" s="2060"/>
      <c r="BL74" s="2060"/>
      <c r="BM74" s="2060"/>
      <c r="BN74" s="2060"/>
      <c r="BO74" s="2060"/>
      <c r="BP74" s="2060"/>
      <c r="BQ74" s="2060"/>
      <c r="BR74" s="2060"/>
      <c r="BS74" s="2060"/>
      <c r="BT74" s="2060"/>
      <c r="BU74" s="2060"/>
      <c r="BV74" s="2060"/>
      <c r="BW74" s="2060"/>
      <c r="BX74" s="2060"/>
      <c r="BY74" s="2060"/>
      <c r="BZ74" s="2060"/>
      <c r="CA74" s="2060"/>
      <c r="CB74" s="2060"/>
      <c r="CC74" s="2060"/>
      <c r="CD74" s="2060"/>
      <c r="CE74" s="2060"/>
      <c r="CF74" s="2060"/>
      <c r="CG74" s="2060"/>
      <c r="CH74" s="2060"/>
      <c r="CI74" s="2060"/>
      <c r="CJ74" s="2060"/>
      <c r="CK74" s="2060"/>
      <c r="CL74" s="2060"/>
      <c r="CM74" s="2060"/>
      <c r="CN74" s="2060"/>
      <c r="CO74" s="2060"/>
      <c r="CP74" s="2060"/>
      <c r="CQ74" s="2060"/>
      <c r="CR74" s="2060"/>
      <c r="CS74" s="2060"/>
      <c r="CT74" s="2060"/>
      <c r="CU74" s="2060"/>
      <c r="CV74" s="2060"/>
      <c r="CW74" s="2060"/>
      <c r="CX74" s="2060"/>
      <c r="CY74" s="2060"/>
      <c r="CZ74" s="2060"/>
      <c r="DA74" s="2060"/>
      <c r="DB74" s="2060"/>
      <c r="DC74" s="2060"/>
      <c r="DD74" s="2060"/>
      <c r="DE74" s="2060"/>
      <c r="DF74" s="2060"/>
      <c r="DG74" s="2060"/>
      <c r="DH74" s="2060"/>
      <c r="DI74" s="2060"/>
      <c r="DJ74" s="2060"/>
      <c r="DK74" s="2060"/>
      <c r="DL74" s="2060"/>
      <c r="DM74" s="2060"/>
      <c r="DN74" s="2060"/>
      <c r="DO74" s="2060"/>
      <c r="DP74" s="2060"/>
      <c r="DQ74" s="2060"/>
      <c r="DR74" s="2060"/>
      <c r="DS74" s="2060"/>
      <c r="DT74" s="2060"/>
      <c r="DU74" s="2060"/>
      <c r="DV74" s="2060"/>
      <c r="DW74" s="2060"/>
      <c r="DX74" s="2060"/>
      <c r="DY74" s="2060"/>
      <c r="DZ74" s="2060"/>
      <c r="EA74" s="2060"/>
      <c r="EB74" s="2060"/>
      <c r="EC74" s="2060"/>
      <c r="ED74" s="2060"/>
      <c r="EE74" s="2060"/>
      <c r="EF74" s="2060"/>
      <c r="EG74" s="2060"/>
      <c r="EH74" s="2060"/>
      <c r="EI74" s="2060"/>
      <c r="EJ74" s="2060"/>
      <c r="EK74" s="2060"/>
      <c r="EL74" s="2060"/>
      <c r="EM74" s="2060"/>
      <c r="EN74" s="2060"/>
      <c r="EO74" s="2060"/>
      <c r="EP74" s="2060"/>
      <c r="EQ74" s="2060"/>
      <c r="ER74" s="2060"/>
      <c r="ES74" s="2060"/>
      <c r="ET74" s="2060"/>
      <c r="EU74" s="2060"/>
      <c r="EV74" s="2060"/>
      <c r="EW74" s="2060"/>
      <c r="EX74" s="2060"/>
      <c r="EY74" s="2060"/>
      <c r="EZ74" s="2060"/>
      <c r="FA74" s="2060"/>
      <c r="FB74" s="2060"/>
      <c r="FC74" s="2060"/>
      <c r="FD74" s="2060"/>
      <c r="FE74" s="2060"/>
      <c r="FF74" s="2060"/>
      <c r="FG74" s="2060"/>
      <c r="FH74" s="2060"/>
      <c r="FI74" s="2060"/>
      <c r="FJ74" s="2060"/>
      <c r="FK74" s="2060"/>
      <c r="FL74" s="2060"/>
      <c r="FM74" s="2060"/>
      <c r="FN74" s="2060"/>
      <c r="FO74" s="2060"/>
      <c r="FP74" s="2060"/>
      <c r="FQ74" s="2060"/>
      <c r="FR74" s="2060"/>
      <c r="FS74" s="2060"/>
      <c r="FT74" s="2060"/>
      <c r="FU74" s="2060"/>
      <c r="FV74" s="2060"/>
      <c r="FW74" s="2060"/>
      <c r="FX74" s="2060"/>
      <c r="FY74" s="2060"/>
      <c r="FZ74" s="2060"/>
      <c r="GA74" s="2060"/>
      <c r="GB74" s="2060"/>
      <c r="GC74" s="2060"/>
    </row>
    <row r="75" spans="1:185" customFormat="1">
      <c r="A75" s="659"/>
      <c r="B75" s="659"/>
      <c r="C75" s="128"/>
      <c r="D75" s="128"/>
      <c r="E75" s="128"/>
      <c r="F75" s="128"/>
      <c r="G75" s="128"/>
      <c r="H75" s="128"/>
      <c r="I75" s="128"/>
      <c r="J75" s="128"/>
      <c r="K75" s="128"/>
      <c r="L75" s="128"/>
      <c r="M75" s="137" t="s">
        <v>1158</v>
      </c>
      <c r="N75" s="147" t="str">
        <f t="array" ref="N75">IFERROR(MEDIAN(IF(N49:N73&lt;&gt;0,N49:N73,"")),"n/a")</f>
        <v>n/a</v>
      </c>
      <c r="O75" s="137" t="s">
        <v>1158</v>
      </c>
      <c r="P75" s="147" t="str">
        <f t="array" ref="P75">IFERROR(MEDIAN(IF(P49:P73&lt;&gt;0,P49:P73,"")),"n/a")</f>
        <v>n/a</v>
      </c>
      <c r="Q75" s="2060"/>
      <c r="R75" s="2060"/>
      <c r="S75" s="1502"/>
      <c r="T75" s="2060"/>
      <c r="U75" s="2060"/>
      <c r="V75" s="2060"/>
      <c r="W75" s="128"/>
      <c r="X75" s="2060"/>
      <c r="Y75" s="2060"/>
      <c r="Z75" s="2060"/>
      <c r="AA75" s="2060"/>
      <c r="AB75" s="2060"/>
      <c r="AC75" s="2060"/>
      <c r="AD75" s="1004"/>
      <c r="AE75" s="2060"/>
      <c r="AF75" s="2060"/>
      <c r="AG75" s="2060"/>
      <c r="AH75" s="2060"/>
      <c r="AI75" s="2060"/>
      <c r="AJ75" s="2060"/>
      <c r="AK75" s="2060"/>
      <c r="AL75" s="2060"/>
      <c r="AM75" s="2060"/>
      <c r="AN75" s="2060"/>
      <c r="AO75" s="2060"/>
      <c r="AP75" s="2060"/>
      <c r="AQ75" s="2060"/>
      <c r="AR75" s="2060"/>
      <c r="AS75" s="2060"/>
      <c r="AT75" s="2060"/>
      <c r="AU75" s="2060"/>
      <c r="AV75" s="2060"/>
      <c r="AW75" s="2060"/>
      <c r="AX75" s="2060"/>
      <c r="AY75" s="2060"/>
      <c r="AZ75" s="2060"/>
      <c r="BA75" s="2060"/>
      <c r="BB75" s="2060"/>
      <c r="BC75" s="2060"/>
      <c r="BD75" s="2060"/>
      <c r="BE75" s="2060"/>
      <c r="BF75" s="2060"/>
      <c r="BG75" s="2060"/>
      <c r="BH75" s="2060"/>
      <c r="BI75" s="2060"/>
      <c r="BJ75" s="2060"/>
      <c r="BK75" s="2060"/>
      <c r="BL75" s="2060"/>
      <c r="BM75" s="2060"/>
      <c r="BN75" s="2060"/>
      <c r="BO75" s="2060"/>
      <c r="BP75" s="2060"/>
      <c r="BQ75" s="2060"/>
      <c r="BR75" s="2060"/>
      <c r="BS75" s="2060"/>
      <c r="BT75" s="2060"/>
      <c r="BU75" s="2060"/>
      <c r="BV75" s="2060"/>
      <c r="BW75" s="2060"/>
      <c r="BX75" s="2060"/>
      <c r="BY75" s="2060"/>
      <c r="BZ75" s="2060"/>
      <c r="CA75" s="2060"/>
      <c r="CB75" s="2060"/>
      <c r="CC75" s="2060"/>
      <c r="CD75" s="2060"/>
      <c r="CE75" s="2060"/>
      <c r="CF75" s="2060"/>
      <c r="CG75" s="2060"/>
      <c r="CH75" s="2060"/>
      <c r="CI75" s="2060"/>
      <c r="CJ75" s="2060"/>
      <c r="CK75" s="2060"/>
      <c r="CL75" s="2060"/>
      <c r="CM75" s="2060"/>
      <c r="CN75" s="2060"/>
      <c r="CO75" s="2060"/>
      <c r="CP75" s="2060"/>
      <c r="CQ75" s="2060"/>
      <c r="CR75" s="2060"/>
      <c r="CS75" s="2060"/>
      <c r="CT75" s="2060"/>
      <c r="CU75" s="2060"/>
      <c r="CV75" s="2060"/>
      <c r="CW75" s="2060"/>
      <c r="CX75" s="2060"/>
      <c r="CY75" s="2060"/>
      <c r="CZ75" s="2060"/>
      <c r="DA75" s="2060"/>
      <c r="DB75" s="2060"/>
      <c r="DC75" s="2060"/>
      <c r="DD75" s="2060"/>
      <c r="DE75" s="2060"/>
      <c r="DF75" s="2060"/>
      <c r="DG75" s="2060"/>
      <c r="DH75" s="2060"/>
      <c r="DI75" s="2060"/>
      <c r="DJ75" s="2060"/>
      <c r="DK75" s="2060"/>
      <c r="DL75" s="2060"/>
      <c r="DM75" s="2060"/>
      <c r="DN75" s="2060"/>
      <c r="DO75" s="2060"/>
      <c r="DP75" s="2060"/>
      <c r="DQ75" s="2060"/>
      <c r="DR75" s="2060"/>
      <c r="DS75" s="2060"/>
      <c r="DT75" s="2060"/>
      <c r="DU75" s="2060"/>
      <c r="DV75" s="2060"/>
      <c r="DW75" s="2060"/>
      <c r="DX75" s="2060"/>
      <c r="DY75" s="2060"/>
      <c r="DZ75" s="2060"/>
      <c r="EA75" s="2060"/>
      <c r="EB75" s="2060"/>
      <c r="EC75" s="2060"/>
      <c r="ED75" s="2060"/>
      <c r="EE75" s="2060"/>
      <c r="EF75" s="2060"/>
      <c r="EG75" s="2060"/>
      <c r="EH75" s="2060"/>
      <c r="EI75" s="2060"/>
      <c r="EJ75" s="2060"/>
      <c r="EK75" s="2060"/>
      <c r="EL75" s="2060"/>
      <c r="EM75" s="2060"/>
      <c r="EN75" s="2060"/>
      <c r="EO75" s="2060"/>
      <c r="EP75" s="2060"/>
      <c r="EQ75" s="2060"/>
      <c r="ER75" s="2060"/>
      <c r="ES75" s="2060"/>
      <c r="ET75" s="2060"/>
      <c r="EU75" s="2060"/>
      <c r="EV75" s="2060"/>
      <c r="EW75" s="2060"/>
      <c r="EX75" s="2060"/>
      <c r="EY75" s="2060"/>
      <c r="EZ75" s="2060"/>
      <c r="FA75" s="2060"/>
      <c r="FB75" s="2060"/>
      <c r="FC75" s="2060"/>
      <c r="FD75" s="2060"/>
      <c r="FE75" s="2060"/>
      <c r="FF75" s="2060"/>
      <c r="FG75" s="2060"/>
      <c r="FH75" s="2060"/>
      <c r="FI75" s="2060"/>
      <c r="FJ75" s="2060"/>
      <c r="FK75" s="2060"/>
      <c r="FL75" s="2060"/>
      <c r="FM75" s="2060"/>
      <c r="FN75" s="2060"/>
      <c r="FO75" s="2060"/>
      <c r="FP75" s="2060"/>
      <c r="FQ75" s="2060"/>
      <c r="FR75" s="2060"/>
      <c r="FS75" s="2060"/>
      <c r="FT75" s="2060"/>
      <c r="FU75" s="2060"/>
      <c r="FV75" s="2060"/>
      <c r="FW75" s="2060"/>
      <c r="FX75" s="2060"/>
      <c r="FY75" s="2060"/>
      <c r="FZ75" s="2060"/>
      <c r="GA75" s="2060"/>
      <c r="GB75" s="2060"/>
      <c r="GC75" s="2060"/>
    </row>
    <row r="76" spans="1:185" customFormat="1">
      <c r="A76" s="659"/>
      <c r="B76" s="659"/>
      <c r="C76" s="128"/>
      <c r="D76" s="128"/>
      <c r="E76" s="128"/>
      <c r="F76" s="128"/>
      <c r="G76" s="128"/>
      <c r="H76" s="128"/>
      <c r="I76" s="128"/>
      <c r="J76" s="128"/>
      <c r="K76" s="128"/>
      <c r="L76" s="2060"/>
      <c r="M76" s="2060"/>
      <c r="N76" s="2060"/>
      <c r="O76" s="128"/>
      <c r="P76" s="128"/>
      <c r="Q76" s="2060"/>
      <c r="R76" s="2060"/>
      <c r="S76" s="2060"/>
      <c r="T76" s="2060"/>
      <c r="U76" s="2060"/>
      <c r="V76" s="2060"/>
      <c r="W76" s="128"/>
      <c r="X76" s="2060"/>
      <c r="Y76" s="2060"/>
      <c r="Z76" s="2060"/>
      <c r="AA76" s="2060"/>
      <c r="AB76" s="2060"/>
      <c r="AC76" s="2060"/>
      <c r="AD76" s="1004"/>
      <c r="AE76" s="2060"/>
      <c r="AF76" s="2060"/>
      <c r="AG76" s="2060"/>
      <c r="AH76" s="2060"/>
      <c r="AI76" s="2060"/>
      <c r="AJ76" s="2060"/>
      <c r="AK76" s="2060"/>
      <c r="AL76" s="2060"/>
      <c r="AM76" s="2060"/>
      <c r="AN76" s="2060"/>
      <c r="AO76" s="2060"/>
      <c r="AP76" s="2060"/>
      <c r="AQ76" s="2060"/>
      <c r="AR76" s="2060"/>
      <c r="AS76" s="2060"/>
      <c r="AT76" s="2060"/>
      <c r="AU76" s="2060"/>
      <c r="AV76" s="2060"/>
      <c r="AW76" s="2060"/>
      <c r="AX76" s="2060"/>
      <c r="AY76" s="2060"/>
      <c r="AZ76" s="2060"/>
      <c r="BA76" s="2060"/>
      <c r="BB76" s="2060"/>
      <c r="BC76" s="2060"/>
      <c r="BD76" s="2060"/>
      <c r="BE76" s="2060"/>
      <c r="BF76" s="2060"/>
      <c r="BG76" s="2060"/>
      <c r="BH76" s="2060"/>
      <c r="BI76" s="2060"/>
      <c r="BJ76" s="2060"/>
      <c r="BK76" s="2060"/>
      <c r="BL76" s="2060"/>
      <c r="BM76" s="2060"/>
      <c r="BN76" s="2060"/>
      <c r="BO76" s="2060"/>
      <c r="BP76" s="2060"/>
      <c r="BQ76" s="2060"/>
      <c r="BR76" s="2060"/>
      <c r="BS76" s="2060"/>
      <c r="BT76" s="2060"/>
      <c r="BU76" s="2060"/>
      <c r="BV76" s="2060"/>
      <c r="BW76" s="2060"/>
      <c r="BX76" s="2060"/>
      <c r="BY76" s="2060"/>
      <c r="BZ76" s="2060"/>
      <c r="CA76" s="2060"/>
      <c r="CB76" s="2060"/>
      <c r="CC76" s="2060"/>
      <c r="CD76" s="2060"/>
      <c r="CE76" s="2060"/>
      <c r="CF76" s="2060"/>
      <c r="CG76" s="2060"/>
      <c r="CH76" s="2060"/>
      <c r="CI76" s="2060"/>
      <c r="CJ76" s="2060"/>
      <c r="CK76" s="2060"/>
      <c r="CL76" s="2060"/>
      <c r="CM76" s="2060"/>
      <c r="CN76" s="2060"/>
      <c r="CO76" s="2060"/>
      <c r="CP76" s="2060"/>
      <c r="CQ76" s="2060"/>
      <c r="CR76" s="2060"/>
      <c r="CS76" s="2060"/>
      <c r="CT76" s="2060"/>
      <c r="CU76" s="2060"/>
      <c r="CV76" s="2060"/>
      <c r="CW76" s="2060"/>
      <c r="CX76" s="2060"/>
      <c r="CY76" s="2060"/>
      <c r="CZ76" s="2060"/>
      <c r="DA76" s="2060"/>
      <c r="DB76" s="2060"/>
      <c r="DC76" s="2060"/>
      <c r="DD76" s="2060"/>
      <c r="DE76" s="2060"/>
      <c r="DF76" s="2060"/>
      <c r="DG76" s="2060"/>
      <c r="DH76" s="2060"/>
      <c r="DI76" s="2060"/>
      <c r="DJ76" s="2060"/>
      <c r="DK76" s="2060"/>
      <c r="DL76" s="2060"/>
      <c r="DM76" s="2060"/>
      <c r="DN76" s="2060"/>
      <c r="DO76" s="2060"/>
      <c r="DP76" s="2060"/>
      <c r="DQ76" s="2060"/>
      <c r="DR76" s="2060"/>
      <c r="DS76" s="2060"/>
      <c r="DT76" s="2060"/>
      <c r="DU76" s="2060"/>
      <c r="DV76" s="2060"/>
      <c r="DW76" s="2060"/>
      <c r="DX76" s="2060"/>
      <c r="DY76" s="2060"/>
      <c r="DZ76" s="2060"/>
      <c r="EA76" s="2060"/>
      <c r="EB76" s="2060"/>
      <c r="EC76" s="2060"/>
      <c r="ED76" s="2060"/>
      <c r="EE76" s="2060"/>
      <c r="EF76" s="2060"/>
      <c r="EG76" s="2060"/>
      <c r="EH76" s="2060"/>
      <c r="EI76" s="2060"/>
      <c r="EJ76" s="2060"/>
      <c r="EK76" s="2060"/>
      <c r="EL76" s="2060"/>
      <c r="EM76" s="2060"/>
      <c r="EN76" s="2060"/>
      <c r="EO76" s="2060"/>
      <c r="EP76" s="2060"/>
      <c r="EQ76" s="2060"/>
      <c r="ER76" s="2060"/>
      <c r="ES76" s="2060"/>
      <c r="ET76" s="2060"/>
      <c r="EU76" s="2060"/>
      <c r="EV76" s="2060"/>
      <c r="EW76" s="2060"/>
      <c r="EX76" s="2060"/>
      <c r="EY76" s="2060"/>
      <c r="EZ76" s="2060"/>
      <c r="FA76" s="2060"/>
      <c r="FB76" s="2060"/>
      <c r="FC76" s="2060"/>
      <c r="FD76" s="2060"/>
      <c r="FE76" s="2060"/>
      <c r="FF76" s="2060"/>
      <c r="FG76" s="2060"/>
      <c r="FH76" s="2060"/>
      <c r="FI76" s="2060"/>
      <c r="FJ76" s="2060"/>
      <c r="FK76" s="2060"/>
      <c r="FL76" s="2060"/>
      <c r="FM76" s="2060"/>
      <c r="FN76" s="2060"/>
      <c r="FO76" s="2060"/>
      <c r="FP76" s="2060"/>
      <c r="FQ76" s="2060"/>
      <c r="FR76" s="2060"/>
      <c r="FS76" s="2060"/>
      <c r="FT76" s="2060"/>
      <c r="FU76" s="2060"/>
      <c r="FV76" s="2060"/>
      <c r="FW76" s="2060"/>
      <c r="FX76" s="2060"/>
      <c r="FY76" s="2060"/>
      <c r="FZ76" s="2060"/>
      <c r="GA76" s="2060"/>
      <c r="GB76" s="2060"/>
      <c r="GC76" s="2060"/>
    </row>
    <row r="77" spans="1:185" customFormat="1">
      <c r="A77" s="659"/>
      <c r="B77" s="659"/>
      <c r="C77" s="128"/>
      <c r="D77" s="128"/>
      <c r="E77" s="128"/>
      <c r="F77" s="128"/>
      <c r="G77" s="128"/>
      <c r="H77" s="128"/>
      <c r="I77" s="128"/>
      <c r="J77" s="128"/>
      <c r="K77" s="128"/>
      <c r="L77" s="128"/>
      <c r="M77" s="128"/>
      <c r="N77" s="129" t="s">
        <v>1159</v>
      </c>
      <c r="O77" s="128"/>
      <c r="P77" s="129" t="s">
        <v>1160</v>
      </c>
      <c r="Q77" s="2060"/>
      <c r="R77" s="2060"/>
      <c r="S77" s="2060"/>
      <c r="T77" s="2060"/>
      <c r="U77" s="2060"/>
      <c r="V77" s="2060"/>
      <c r="W77" s="128"/>
      <c r="X77" s="2060"/>
      <c r="Y77" s="2060"/>
      <c r="Z77" s="2060"/>
      <c r="AA77" s="2060"/>
      <c r="AB77" s="2060"/>
      <c r="AC77" s="2060"/>
      <c r="AD77" s="1004"/>
      <c r="AE77" s="2060"/>
      <c r="AF77" s="2060"/>
      <c r="AG77" s="2060"/>
      <c r="AH77" s="2060"/>
      <c r="AI77" s="2060"/>
      <c r="AJ77" s="2060"/>
      <c r="AK77" s="2060"/>
      <c r="AL77" s="2060"/>
      <c r="AM77" s="2060"/>
      <c r="AN77" s="2060"/>
      <c r="AO77" s="2060"/>
      <c r="AP77" s="2060"/>
      <c r="AQ77" s="2060"/>
      <c r="AR77" s="2060"/>
      <c r="AS77" s="2060"/>
      <c r="AT77" s="2060"/>
      <c r="AU77" s="2060"/>
      <c r="AV77" s="2060"/>
      <c r="AW77" s="2060"/>
      <c r="AX77" s="2060"/>
      <c r="AY77" s="2060"/>
      <c r="AZ77" s="2060"/>
      <c r="BA77" s="2060"/>
      <c r="BB77" s="2060"/>
      <c r="BC77" s="2060"/>
      <c r="BD77" s="2060"/>
      <c r="BE77" s="2060"/>
      <c r="BF77" s="2060"/>
      <c r="BG77" s="2060"/>
      <c r="BH77" s="2060"/>
      <c r="BI77" s="2060"/>
      <c r="BJ77" s="2060"/>
      <c r="BK77" s="2060"/>
      <c r="BL77" s="2060"/>
      <c r="BM77" s="2060"/>
      <c r="BN77" s="2060"/>
      <c r="BO77" s="2060"/>
      <c r="BP77" s="2060"/>
      <c r="BQ77" s="2060"/>
      <c r="BR77" s="2060"/>
      <c r="BS77" s="2060"/>
      <c r="BT77" s="2060"/>
      <c r="BU77" s="2060"/>
      <c r="BV77" s="2060"/>
      <c r="BW77" s="2060"/>
      <c r="BX77" s="2060"/>
      <c r="BY77" s="2060"/>
      <c r="BZ77" s="2060"/>
      <c r="CA77" s="2060"/>
      <c r="CB77" s="2060"/>
      <c r="CC77" s="2060"/>
      <c r="CD77" s="2060"/>
      <c r="CE77" s="2060"/>
      <c r="CF77" s="2060"/>
      <c r="CG77" s="2060"/>
      <c r="CH77" s="2060"/>
      <c r="CI77" s="2060"/>
      <c r="CJ77" s="2060"/>
      <c r="CK77" s="2060"/>
      <c r="CL77" s="2060"/>
      <c r="CM77" s="2060"/>
      <c r="CN77" s="2060"/>
      <c r="CO77" s="2060"/>
      <c r="CP77" s="2060"/>
      <c r="CQ77" s="2060"/>
      <c r="CR77" s="2060"/>
      <c r="CS77" s="2060"/>
      <c r="CT77" s="2060"/>
      <c r="CU77" s="2060"/>
      <c r="CV77" s="2060"/>
      <c r="CW77" s="2060"/>
      <c r="CX77" s="2060"/>
      <c r="CY77" s="2060"/>
      <c r="CZ77" s="2060"/>
      <c r="DA77" s="2060"/>
      <c r="DB77" s="2060"/>
      <c r="DC77" s="2060"/>
      <c r="DD77" s="2060"/>
      <c r="DE77" s="2060"/>
      <c r="DF77" s="2060"/>
      <c r="DG77" s="2060"/>
      <c r="DH77" s="2060"/>
      <c r="DI77" s="2060"/>
      <c r="DJ77" s="2060"/>
      <c r="DK77" s="2060"/>
      <c r="DL77" s="2060"/>
      <c r="DM77" s="2060"/>
      <c r="DN77" s="2060"/>
      <c r="DO77" s="2060"/>
      <c r="DP77" s="2060"/>
      <c r="DQ77" s="2060"/>
      <c r="DR77" s="2060"/>
      <c r="DS77" s="2060"/>
      <c r="DT77" s="2060"/>
      <c r="DU77" s="2060"/>
      <c r="DV77" s="2060"/>
      <c r="DW77" s="2060"/>
      <c r="DX77" s="2060"/>
      <c r="DY77" s="2060"/>
      <c r="DZ77" s="2060"/>
      <c r="EA77" s="2060"/>
      <c r="EB77" s="2060"/>
      <c r="EC77" s="2060"/>
      <c r="ED77" s="2060"/>
      <c r="EE77" s="2060"/>
      <c r="EF77" s="2060"/>
      <c r="EG77" s="2060"/>
      <c r="EH77" s="2060"/>
      <c r="EI77" s="2060"/>
      <c r="EJ77" s="2060"/>
      <c r="EK77" s="2060"/>
      <c r="EL77" s="2060"/>
      <c r="EM77" s="2060"/>
      <c r="EN77" s="2060"/>
      <c r="EO77" s="2060"/>
      <c r="EP77" s="2060"/>
      <c r="EQ77" s="2060"/>
      <c r="ER77" s="2060"/>
      <c r="ES77" s="2060"/>
      <c r="ET77" s="2060"/>
      <c r="EU77" s="2060"/>
      <c r="EV77" s="2060"/>
      <c r="EW77" s="2060"/>
      <c r="EX77" s="2060"/>
      <c r="EY77" s="2060"/>
      <c r="EZ77" s="2060"/>
      <c r="FA77" s="2060"/>
      <c r="FB77" s="2060"/>
      <c r="FC77" s="2060"/>
      <c r="FD77" s="2060"/>
      <c r="FE77" s="2060"/>
      <c r="FF77" s="2060"/>
      <c r="FG77" s="2060"/>
      <c r="FH77" s="2060"/>
      <c r="FI77" s="2060"/>
      <c r="FJ77" s="2060"/>
      <c r="FK77" s="2060"/>
      <c r="FL77" s="2060"/>
      <c r="FM77" s="2060"/>
      <c r="FN77" s="2060"/>
      <c r="FO77" s="2060"/>
      <c r="FP77" s="2060"/>
      <c r="FQ77" s="2060"/>
      <c r="FR77" s="2060"/>
      <c r="FS77" s="2060"/>
      <c r="FT77" s="2060"/>
      <c r="FU77" s="2060"/>
      <c r="FV77" s="2060"/>
      <c r="FW77" s="2060"/>
      <c r="FX77" s="2060"/>
      <c r="FY77" s="2060"/>
      <c r="FZ77" s="2060"/>
      <c r="GA77" s="2060"/>
      <c r="GB77" s="2060"/>
      <c r="GC77" s="2060"/>
    </row>
    <row r="78" spans="1:185" customFormat="1">
      <c r="A78" s="659"/>
      <c r="B78" s="659"/>
      <c r="C78" s="128"/>
      <c r="D78" s="128"/>
      <c r="E78" s="128"/>
      <c r="F78" s="128"/>
      <c r="G78" s="128"/>
      <c r="H78" s="128"/>
      <c r="I78" s="128"/>
      <c r="J78" s="128"/>
      <c r="K78" s="128"/>
      <c r="L78" s="128"/>
      <c r="M78" s="128"/>
      <c r="N78" s="129" t="s">
        <v>1161</v>
      </c>
      <c r="O78" s="129" t="s">
        <v>1141</v>
      </c>
      <c r="P78" s="129" t="s">
        <v>1162</v>
      </c>
      <c r="Q78" s="2060"/>
      <c r="R78" s="2060"/>
      <c r="S78" s="2060"/>
      <c r="T78" s="2060"/>
      <c r="U78" s="2060"/>
      <c r="V78" s="2060"/>
      <c r="W78" s="128"/>
      <c r="X78" s="2060"/>
      <c r="Y78" s="2060"/>
      <c r="Z78" s="2060"/>
      <c r="AA78" s="2060"/>
      <c r="AB78" s="2060"/>
      <c r="AC78" s="2060"/>
      <c r="AD78" s="1004"/>
      <c r="AE78" s="2060"/>
      <c r="AF78" s="2060"/>
      <c r="AG78" s="2060"/>
      <c r="AH78" s="2060"/>
      <c r="AI78" s="2060"/>
      <c r="AJ78" s="2060"/>
      <c r="AK78" s="2060"/>
      <c r="AL78" s="2060"/>
      <c r="AM78" s="2060"/>
      <c r="AN78" s="2060"/>
      <c r="AO78" s="2060"/>
      <c r="AP78" s="2060"/>
      <c r="AQ78" s="2060"/>
      <c r="AR78" s="2060"/>
      <c r="AS78" s="2060"/>
      <c r="AT78" s="2060"/>
      <c r="AU78" s="2060"/>
      <c r="AV78" s="2060"/>
      <c r="AW78" s="2060"/>
      <c r="AX78" s="2060"/>
      <c r="AY78" s="2060"/>
      <c r="AZ78" s="2060"/>
      <c r="BA78" s="2060"/>
      <c r="BB78" s="2060"/>
      <c r="BC78" s="2060"/>
      <c r="BD78" s="2060"/>
      <c r="BE78" s="2060"/>
      <c r="BF78" s="2060"/>
      <c r="BG78" s="2060"/>
      <c r="BH78" s="2060"/>
      <c r="BI78" s="2060"/>
      <c r="BJ78" s="2060"/>
      <c r="BK78" s="2060"/>
      <c r="BL78" s="2060"/>
      <c r="BM78" s="2060"/>
      <c r="BN78" s="2060"/>
      <c r="BO78" s="2060"/>
      <c r="BP78" s="2060"/>
      <c r="BQ78" s="2060"/>
      <c r="BR78" s="2060"/>
      <c r="BS78" s="2060"/>
      <c r="BT78" s="2060"/>
      <c r="BU78" s="2060"/>
      <c r="BV78" s="2060"/>
      <c r="BW78" s="2060"/>
      <c r="BX78" s="2060"/>
      <c r="BY78" s="2060"/>
      <c r="BZ78" s="2060"/>
      <c r="CA78" s="2060"/>
      <c r="CB78" s="2060"/>
      <c r="CC78" s="2060"/>
      <c r="CD78" s="2060"/>
      <c r="CE78" s="2060"/>
      <c r="CF78" s="2060"/>
      <c r="CG78" s="2060"/>
      <c r="CH78" s="2060"/>
      <c r="CI78" s="2060"/>
      <c r="CJ78" s="2060"/>
      <c r="CK78" s="2060"/>
      <c r="CL78" s="2060"/>
      <c r="CM78" s="2060"/>
      <c r="CN78" s="2060"/>
      <c r="CO78" s="2060"/>
      <c r="CP78" s="2060"/>
      <c r="CQ78" s="2060"/>
      <c r="CR78" s="2060"/>
      <c r="CS78" s="2060"/>
      <c r="CT78" s="2060"/>
      <c r="CU78" s="2060"/>
      <c r="CV78" s="2060"/>
      <c r="CW78" s="2060"/>
      <c r="CX78" s="2060"/>
      <c r="CY78" s="2060"/>
      <c r="CZ78" s="2060"/>
      <c r="DA78" s="2060"/>
      <c r="DB78" s="2060"/>
      <c r="DC78" s="2060"/>
      <c r="DD78" s="2060"/>
      <c r="DE78" s="2060"/>
      <c r="DF78" s="2060"/>
      <c r="DG78" s="2060"/>
      <c r="DH78" s="2060"/>
      <c r="DI78" s="2060"/>
      <c r="DJ78" s="2060"/>
      <c r="DK78" s="2060"/>
      <c r="DL78" s="2060"/>
      <c r="DM78" s="2060"/>
      <c r="DN78" s="2060"/>
      <c r="DO78" s="2060"/>
      <c r="DP78" s="2060"/>
      <c r="DQ78" s="2060"/>
      <c r="DR78" s="2060"/>
      <c r="DS78" s="2060"/>
      <c r="DT78" s="2060"/>
      <c r="DU78" s="2060"/>
      <c r="DV78" s="2060"/>
      <c r="DW78" s="2060"/>
      <c r="DX78" s="2060"/>
      <c r="DY78" s="2060"/>
      <c r="DZ78" s="2060"/>
      <c r="EA78" s="2060"/>
      <c r="EB78" s="2060"/>
      <c r="EC78" s="2060"/>
      <c r="ED78" s="2060"/>
      <c r="EE78" s="2060"/>
      <c r="EF78" s="2060"/>
      <c r="EG78" s="2060"/>
      <c r="EH78" s="2060"/>
      <c r="EI78" s="2060"/>
      <c r="EJ78" s="2060"/>
      <c r="EK78" s="2060"/>
      <c r="EL78" s="2060"/>
      <c r="EM78" s="2060"/>
      <c r="EN78" s="2060"/>
      <c r="EO78" s="2060"/>
      <c r="EP78" s="2060"/>
      <c r="EQ78" s="2060"/>
      <c r="ER78" s="2060"/>
      <c r="ES78" s="2060"/>
      <c r="ET78" s="2060"/>
      <c r="EU78" s="2060"/>
      <c r="EV78" s="2060"/>
      <c r="EW78" s="2060"/>
      <c r="EX78" s="2060"/>
      <c r="EY78" s="2060"/>
      <c r="EZ78" s="2060"/>
      <c r="FA78" s="2060"/>
      <c r="FB78" s="2060"/>
      <c r="FC78" s="2060"/>
      <c r="FD78" s="2060"/>
      <c r="FE78" s="2060"/>
      <c r="FF78" s="2060"/>
      <c r="FG78" s="2060"/>
      <c r="FH78" s="2060"/>
      <c r="FI78" s="2060"/>
      <c r="FJ78" s="2060"/>
      <c r="FK78" s="2060"/>
      <c r="FL78" s="2060"/>
      <c r="FM78" s="2060"/>
      <c r="FN78" s="2060"/>
      <c r="FO78" s="2060"/>
      <c r="FP78" s="2060"/>
      <c r="FQ78" s="2060"/>
      <c r="FR78" s="2060"/>
      <c r="FS78" s="2060"/>
      <c r="FT78" s="2060"/>
      <c r="FU78" s="2060"/>
      <c r="FV78" s="2060"/>
      <c r="FW78" s="2060"/>
      <c r="FX78" s="2060"/>
      <c r="FY78" s="2060"/>
      <c r="FZ78" s="2060"/>
      <c r="GA78" s="2060"/>
      <c r="GB78" s="2060"/>
      <c r="GC78" s="2060"/>
    </row>
    <row r="79" spans="1:185" customFormat="1">
      <c r="A79" s="659"/>
      <c r="B79" s="659"/>
      <c r="C79" s="128"/>
      <c r="D79" s="128"/>
      <c r="E79" s="128"/>
      <c r="F79" s="128"/>
      <c r="G79" s="128"/>
      <c r="H79" s="128"/>
      <c r="I79" s="128"/>
      <c r="J79" s="128"/>
      <c r="K79" s="128"/>
      <c r="L79" s="129" t="s">
        <v>1163</v>
      </c>
      <c r="M79" s="128"/>
      <c r="N79" s="1359" t="str">
        <f>P75</f>
        <v>n/a</v>
      </c>
      <c r="O79" s="1645">
        <v>0.34</v>
      </c>
      <c r="P79" s="1359">
        <f>IF(O79,O79,N79)</f>
        <v>0.34</v>
      </c>
      <c r="Q79" s="2060"/>
      <c r="R79" s="2060"/>
      <c r="S79" s="2060"/>
      <c r="T79" s="2060"/>
      <c r="U79" s="2060"/>
      <c r="V79" s="2060"/>
      <c r="W79" s="128"/>
      <c r="X79" s="2060"/>
      <c r="Y79" s="2060"/>
      <c r="Z79" s="2060"/>
      <c r="AA79" s="2060"/>
      <c r="AB79" s="2060"/>
      <c r="AC79" s="2060"/>
      <c r="AD79" s="1004"/>
      <c r="AE79" s="2060"/>
      <c r="AF79" s="2060"/>
      <c r="AG79" s="2060"/>
      <c r="AH79" s="2060"/>
      <c r="AI79" s="2060"/>
      <c r="AJ79" s="2060"/>
      <c r="AK79" s="2060"/>
      <c r="AL79" s="2060"/>
      <c r="AM79" s="2060"/>
      <c r="AN79" s="2060"/>
      <c r="AO79" s="2060"/>
      <c r="AP79" s="2060"/>
      <c r="AQ79" s="2060"/>
      <c r="AR79" s="2060"/>
      <c r="AS79" s="2060"/>
      <c r="AT79" s="2060"/>
      <c r="AU79" s="2060"/>
      <c r="AV79" s="2060"/>
      <c r="AW79" s="2060"/>
      <c r="AX79" s="2060"/>
      <c r="AY79" s="2060"/>
      <c r="AZ79" s="2060"/>
      <c r="BA79" s="2060"/>
      <c r="BB79" s="2060"/>
      <c r="BC79" s="2060"/>
      <c r="BD79" s="2060"/>
      <c r="BE79" s="2060"/>
      <c r="BF79" s="2060"/>
      <c r="BG79" s="2060"/>
      <c r="BH79" s="2060"/>
      <c r="BI79" s="2060"/>
      <c r="BJ79" s="2060"/>
      <c r="BK79" s="2060"/>
      <c r="BL79" s="2060"/>
      <c r="BM79" s="2060"/>
      <c r="BN79" s="2060"/>
      <c r="BO79" s="2060"/>
      <c r="BP79" s="2060"/>
      <c r="BQ79" s="2060"/>
      <c r="BR79" s="2060"/>
      <c r="BS79" s="2060"/>
      <c r="BT79" s="2060"/>
      <c r="BU79" s="2060"/>
      <c r="BV79" s="2060"/>
      <c r="BW79" s="2060"/>
      <c r="BX79" s="2060"/>
      <c r="BY79" s="2060"/>
      <c r="BZ79" s="2060"/>
      <c r="CA79" s="2060"/>
      <c r="CB79" s="2060"/>
      <c r="CC79" s="2060"/>
      <c r="CD79" s="2060"/>
      <c r="CE79" s="2060"/>
      <c r="CF79" s="2060"/>
      <c r="CG79" s="2060"/>
      <c r="CH79" s="2060"/>
      <c r="CI79" s="2060"/>
      <c r="CJ79" s="2060"/>
      <c r="CK79" s="2060"/>
      <c r="CL79" s="2060"/>
      <c r="CM79" s="2060"/>
      <c r="CN79" s="2060"/>
      <c r="CO79" s="2060"/>
      <c r="CP79" s="2060"/>
      <c r="CQ79" s="2060"/>
      <c r="CR79" s="2060"/>
      <c r="CS79" s="2060"/>
      <c r="CT79" s="2060"/>
      <c r="CU79" s="2060"/>
      <c r="CV79" s="2060"/>
      <c r="CW79" s="2060"/>
      <c r="CX79" s="2060"/>
      <c r="CY79" s="2060"/>
      <c r="CZ79" s="2060"/>
      <c r="DA79" s="2060"/>
      <c r="DB79" s="2060"/>
      <c r="DC79" s="2060"/>
      <c r="DD79" s="2060"/>
      <c r="DE79" s="2060"/>
      <c r="DF79" s="2060"/>
      <c r="DG79" s="2060"/>
      <c r="DH79" s="2060"/>
      <c r="DI79" s="2060"/>
      <c r="DJ79" s="2060"/>
      <c r="DK79" s="2060"/>
      <c r="DL79" s="2060"/>
      <c r="DM79" s="2060"/>
      <c r="DN79" s="2060"/>
      <c r="DO79" s="2060"/>
      <c r="DP79" s="2060"/>
      <c r="DQ79" s="2060"/>
      <c r="DR79" s="2060"/>
      <c r="DS79" s="2060"/>
      <c r="DT79" s="2060"/>
      <c r="DU79" s="2060"/>
      <c r="DV79" s="2060"/>
      <c r="DW79" s="2060"/>
      <c r="DX79" s="2060"/>
      <c r="DY79" s="2060"/>
      <c r="DZ79" s="2060"/>
      <c r="EA79" s="2060"/>
      <c r="EB79" s="2060"/>
      <c r="EC79" s="2060"/>
      <c r="ED79" s="2060"/>
      <c r="EE79" s="2060"/>
      <c r="EF79" s="2060"/>
      <c r="EG79" s="2060"/>
      <c r="EH79" s="2060"/>
      <c r="EI79" s="2060"/>
      <c r="EJ79" s="2060"/>
      <c r="EK79" s="2060"/>
      <c r="EL79" s="2060"/>
      <c r="EM79" s="2060"/>
      <c r="EN79" s="2060"/>
      <c r="EO79" s="2060"/>
      <c r="EP79" s="2060"/>
      <c r="EQ79" s="2060"/>
      <c r="ER79" s="2060"/>
      <c r="ES79" s="2060"/>
      <c r="ET79" s="2060"/>
      <c r="EU79" s="2060"/>
      <c r="EV79" s="2060"/>
      <c r="EW79" s="2060"/>
      <c r="EX79" s="2060"/>
      <c r="EY79" s="2060"/>
      <c r="EZ79" s="2060"/>
      <c r="FA79" s="2060"/>
      <c r="FB79" s="2060"/>
      <c r="FC79" s="2060"/>
      <c r="FD79" s="2060"/>
      <c r="FE79" s="2060"/>
      <c r="FF79" s="2060"/>
      <c r="FG79" s="2060"/>
      <c r="FH79" s="2060"/>
      <c r="FI79" s="2060"/>
      <c r="FJ79" s="2060"/>
      <c r="FK79" s="2060"/>
      <c r="FL79" s="2060"/>
      <c r="FM79" s="2060"/>
      <c r="FN79" s="2060"/>
      <c r="FO79" s="2060"/>
      <c r="FP79" s="2060"/>
      <c r="FQ79" s="2060"/>
      <c r="FR79" s="2060"/>
      <c r="FS79" s="2060"/>
      <c r="FT79" s="2060"/>
      <c r="FU79" s="2060"/>
      <c r="FV79" s="2060"/>
      <c r="FW79" s="2060"/>
      <c r="FX79" s="2060"/>
      <c r="FY79" s="2060"/>
      <c r="FZ79" s="2060"/>
      <c r="GA79" s="2060"/>
      <c r="GB79" s="2060"/>
      <c r="GC79" s="2060"/>
    </row>
    <row r="80" spans="1:185" customFormat="1">
      <c r="A80" s="659"/>
      <c r="B80" s="659"/>
      <c r="C80" s="128"/>
      <c r="D80" s="128"/>
      <c r="E80" s="2060"/>
      <c r="F80" s="2060"/>
      <c r="G80" s="2060"/>
      <c r="H80" s="2060"/>
      <c r="I80" s="2060"/>
      <c r="J80" s="128"/>
      <c r="K80" s="128"/>
      <c r="L80" s="128"/>
      <c r="M80" s="2060"/>
      <c r="N80" s="2060"/>
      <c r="O80" s="2060"/>
      <c r="P80" s="128"/>
      <c r="Q80" s="128"/>
      <c r="R80" s="2060"/>
      <c r="S80" s="2060"/>
      <c r="T80" s="2060"/>
      <c r="U80" s="2060"/>
      <c r="V80" s="2060"/>
      <c r="W80" s="128"/>
      <c r="X80" s="2060"/>
      <c r="Y80" s="2060"/>
      <c r="Z80" s="2060"/>
      <c r="AA80" s="2060"/>
      <c r="AB80" s="2060"/>
      <c r="AC80" s="2060"/>
      <c r="AD80" s="1004"/>
      <c r="AE80" s="2060"/>
      <c r="AF80" s="2060"/>
      <c r="AG80" s="2060"/>
      <c r="AH80" s="2060"/>
      <c r="AI80" s="2060"/>
      <c r="AJ80" s="2060"/>
      <c r="AK80" s="2060"/>
      <c r="AL80" s="2060"/>
      <c r="AM80" s="2060"/>
      <c r="AN80" s="2060"/>
      <c r="AO80" s="2060"/>
      <c r="AP80" s="2060"/>
      <c r="AQ80" s="2060"/>
      <c r="AR80" s="2060"/>
      <c r="AS80" s="2060"/>
      <c r="AT80" s="2060"/>
      <c r="AU80" s="2060"/>
      <c r="AV80" s="2060"/>
      <c r="AW80" s="2060"/>
      <c r="AX80" s="2060"/>
      <c r="AY80" s="2060"/>
      <c r="AZ80" s="2060"/>
      <c r="BA80" s="2060"/>
      <c r="BB80" s="2060"/>
      <c r="BC80" s="2060"/>
      <c r="BD80" s="2060"/>
      <c r="BE80" s="2060"/>
      <c r="BF80" s="2060"/>
      <c r="BG80" s="2060"/>
      <c r="BH80" s="2060"/>
      <c r="BI80" s="2060"/>
      <c r="BJ80" s="2060"/>
      <c r="BK80" s="2060"/>
      <c r="BL80" s="2060"/>
      <c r="BM80" s="2060"/>
      <c r="BN80" s="2060"/>
      <c r="BO80" s="2060"/>
      <c r="BP80" s="2060"/>
      <c r="BQ80" s="2060"/>
      <c r="BR80" s="2060"/>
      <c r="BS80" s="2060"/>
      <c r="BT80" s="2060"/>
      <c r="BU80" s="2060"/>
      <c r="BV80" s="2060"/>
      <c r="BW80" s="2060"/>
      <c r="BX80" s="2060"/>
      <c r="BY80" s="2060"/>
      <c r="BZ80" s="2060"/>
      <c r="CA80" s="2060"/>
      <c r="CB80" s="2060"/>
      <c r="CC80" s="2060"/>
      <c r="CD80" s="2060"/>
      <c r="CE80" s="2060"/>
      <c r="CF80" s="2060"/>
      <c r="CG80" s="2060"/>
      <c r="CH80" s="2060"/>
      <c r="CI80" s="2060"/>
      <c r="CJ80" s="2060"/>
      <c r="CK80" s="2060"/>
      <c r="CL80" s="2060"/>
      <c r="CM80" s="2060"/>
      <c r="CN80" s="2060"/>
      <c r="CO80" s="2060"/>
      <c r="CP80" s="2060"/>
      <c r="CQ80" s="2060"/>
      <c r="CR80" s="2060"/>
      <c r="CS80" s="2060"/>
      <c r="CT80" s="2060"/>
      <c r="CU80" s="2060"/>
      <c r="CV80" s="2060"/>
      <c r="CW80" s="2060"/>
      <c r="CX80" s="2060"/>
      <c r="CY80" s="2060"/>
      <c r="CZ80" s="2060"/>
      <c r="DA80" s="2060"/>
      <c r="DB80" s="2060"/>
      <c r="DC80" s="2060"/>
      <c r="DD80" s="2060"/>
      <c r="DE80" s="2060"/>
      <c r="DF80" s="2060"/>
      <c r="DG80" s="2060"/>
      <c r="DH80" s="2060"/>
      <c r="DI80" s="2060"/>
      <c r="DJ80" s="2060"/>
      <c r="DK80" s="2060"/>
      <c r="DL80" s="2060"/>
      <c r="DM80" s="2060"/>
      <c r="DN80" s="2060"/>
      <c r="DO80" s="2060"/>
      <c r="DP80" s="2060"/>
      <c r="DQ80" s="2060"/>
      <c r="DR80" s="2060"/>
      <c r="DS80" s="2060"/>
      <c r="DT80" s="2060"/>
      <c r="DU80" s="2060"/>
      <c r="DV80" s="2060"/>
      <c r="DW80" s="2060"/>
      <c r="DX80" s="2060"/>
      <c r="DY80" s="2060"/>
      <c r="DZ80" s="2060"/>
      <c r="EA80" s="2060"/>
      <c r="EB80" s="2060"/>
      <c r="EC80" s="2060"/>
      <c r="ED80" s="2060"/>
      <c r="EE80" s="2060"/>
      <c r="EF80" s="2060"/>
      <c r="EG80" s="2060"/>
      <c r="EH80" s="2060"/>
      <c r="EI80" s="2060"/>
      <c r="EJ80" s="2060"/>
      <c r="EK80" s="2060"/>
      <c r="EL80" s="2060"/>
      <c r="EM80" s="2060"/>
      <c r="EN80" s="2060"/>
      <c r="EO80" s="2060"/>
      <c r="EP80" s="2060"/>
      <c r="EQ80" s="2060"/>
      <c r="ER80" s="2060"/>
      <c r="ES80" s="2060"/>
      <c r="ET80" s="2060"/>
      <c r="EU80" s="2060"/>
      <c r="EV80" s="2060"/>
      <c r="EW80" s="2060"/>
      <c r="EX80" s="2060"/>
      <c r="EY80" s="2060"/>
      <c r="EZ80" s="2060"/>
      <c r="FA80" s="2060"/>
      <c r="FB80" s="2060"/>
      <c r="FC80" s="2060"/>
      <c r="FD80" s="2060"/>
      <c r="FE80" s="2060"/>
      <c r="FF80" s="2060"/>
      <c r="FG80" s="2060"/>
      <c r="FH80" s="2060"/>
      <c r="FI80" s="2060"/>
      <c r="FJ80" s="2060"/>
      <c r="FK80" s="2060"/>
      <c r="FL80" s="2060"/>
      <c r="FM80" s="2060"/>
      <c r="FN80" s="2060"/>
      <c r="FO80" s="2060"/>
      <c r="FP80" s="2060"/>
      <c r="FQ80" s="2060"/>
      <c r="FR80" s="2060"/>
      <c r="FS80" s="2060"/>
      <c r="FT80" s="2060"/>
      <c r="FU80" s="2060"/>
      <c r="FV80" s="2060"/>
      <c r="FW80" s="2060"/>
      <c r="FX80" s="2060"/>
      <c r="FY80" s="2060"/>
      <c r="FZ80" s="2060"/>
      <c r="GA80" s="2060"/>
      <c r="GB80" s="2060"/>
      <c r="GC80" s="2060"/>
    </row>
    <row r="81" spans="1:185" s="1023" customFormat="1">
      <c r="A81" s="659"/>
      <c r="B81" s="659"/>
      <c r="C81" s="128"/>
      <c r="D81" s="128"/>
      <c r="E81" s="128"/>
      <c r="F81" s="128"/>
      <c r="G81" s="128"/>
      <c r="H81" s="128"/>
      <c r="I81" s="128"/>
      <c r="J81" s="128"/>
      <c r="K81" s="128"/>
      <c r="L81" s="128"/>
      <c r="M81" s="1504"/>
      <c r="N81" s="128"/>
      <c r="O81" s="128"/>
      <c r="P81" s="128"/>
      <c r="Q81" s="128"/>
      <c r="R81" s="2060"/>
      <c r="S81" s="2060"/>
      <c r="T81" s="2060"/>
      <c r="U81" s="2060"/>
      <c r="V81" s="2060"/>
      <c r="W81" s="128"/>
      <c r="X81" s="2060"/>
      <c r="Y81" s="2060"/>
      <c r="Z81" s="2060"/>
      <c r="AA81" s="2060"/>
      <c r="AB81" s="2060"/>
      <c r="AC81" s="2060"/>
      <c r="AD81" s="1004"/>
      <c r="AE81" s="2060"/>
      <c r="AF81" s="2060"/>
      <c r="AG81" s="2060"/>
      <c r="AH81" s="2060"/>
      <c r="AI81" s="2060"/>
      <c r="AJ81" s="2060"/>
      <c r="AK81" s="2060"/>
      <c r="AL81" s="2060"/>
      <c r="AM81" s="2060"/>
      <c r="AN81" s="2060"/>
      <c r="AO81" s="2060"/>
      <c r="AP81" s="2060"/>
      <c r="AQ81" s="2060"/>
      <c r="AR81" s="2060"/>
      <c r="AS81" s="2060"/>
      <c r="AT81" s="2060"/>
      <c r="AU81" s="2060"/>
      <c r="AV81" s="2060"/>
      <c r="AW81" s="2060"/>
      <c r="AX81" s="2060"/>
      <c r="AY81" s="2060"/>
      <c r="AZ81" s="2060"/>
      <c r="BA81" s="2060"/>
      <c r="BB81" s="2060"/>
      <c r="BC81" s="2060"/>
      <c r="BD81" s="2060"/>
      <c r="BE81" s="2060"/>
      <c r="BF81" s="2060"/>
      <c r="BG81" s="2060"/>
      <c r="BH81" s="2060"/>
      <c r="BI81" s="2060"/>
      <c r="BJ81" s="2060"/>
      <c r="BK81" s="2060"/>
      <c r="BL81" s="2060"/>
      <c r="BM81" s="2060"/>
      <c r="BN81" s="2060"/>
      <c r="BO81" s="2060"/>
      <c r="BP81" s="2060"/>
      <c r="BQ81" s="2060"/>
      <c r="BR81" s="2060"/>
      <c r="BS81" s="2060"/>
      <c r="BT81" s="2060"/>
      <c r="BU81" s="2060"/>
      <c r="BV81" s="2060"/>
      <c r="BW81" s="2060"/>
      <c r="BX81" s="2060"/>
      <c r="BY81" s="2060"/>
      <c r="BZ81" s="2060"/>
      <c r="CA81" s="2060"/>
      <c r="CB81" s="2060"/>
      <c r="CC81" s="2060"/>
      <c r="CD81" s="2060"/>
      <c r="CE81" s="2060"/>
      <c r="CF81" s="2060"/>
      <c r="CG81" s="2060"/>
      <c r="CH81" s="2060"/>
      <c r="CI81" s="2060"/>
      <c r="CJ81" s="2060"/>
      <c r="CK81" s="2060"/>
      <c r="CL81" s="2060"/>
      <c r="CM81" s="2060"/>
      <c r="CN81" s="2060"/>
      <c r="CO81" s="2060"/>
      <c r="CP81" s="2060"/>
      <c r="CQ81" s="2060"/>
      <c r="CR81" s="2060"/>
      <c r="CS81" s="2060"/>
      <c r="CT81" s="2060"/>
      <c r="CU81" s="2060"/>
      <c r="CV81" s="2060"/>
      <c r="CW81" s="2060"/>
      <c r="CX81" s="2060"/>
      <c r="CY81" s="2060"/>
      <c r="CZ81" s="2060"/>
      <c r="DA81" s="2060"/>
      <c r="DB81" s="2060"/>
      <c r="DC81" s="2060"/>
      <c r="DD81" s="2060"/>
      <c r="DE81" s="2060"/>
      <c r="DF81" s="2060"/>
      <c r="DG81" s="2060"/>
      <c r="DH81" s="2060"/>
      <c r="DI81" s="2060"/>
      <c r="DJ81" s="2060"/>
      <c r="DK81" s="2060"/>
      <c r="DL81" s="2060"/>
      <c r="DM81" s="2060"/>
      <c r="DN81" s="2060"/>
      <c r="DO81" s="2060"/>
      <c r="DP81" s="2060"/>
      <c r="DQ81" s="2060"/>
      <c r="DR81" s="2060"/>
      <c r="DS81" s="2060"/>
      <c r="DT81" s="2060"/>
      <c r="DU81" s="2060"/>
      <c r="DV81" s="2060"/>
      <c r="DW81" s="2060"/>
      <c r="DX81" s="2060"/>
      <c r="DY81" s="2060"/>
      <c r="DZ81" s="2060"/>
      <c r="EA81" s="2060"/>
      <c r="EB81" s="2060"/>
      <c r="EC81" s="2060"/>
      <c r="ED81" s="2060"/>
      <c r="EE81" s="2060"/>
      <c r="EF81" s="2060"/>
      <c r="EG81" s="2060"/>
      <c r="EH81" s="2060"/>
      <c r="EI81" s="2060"/>
      <c r="EJ81" s="2060"/>
      <c r="EK81" s="2060"/>
      <c r="EL81" s="2060"/>
      <c r="EM81" s="2060"/>
      <c r="EN81" s="2060"/>
      <c r="EO81" s="2060"/>
      <c r="EP81" s="2060"/>
      <c r="EQ81" s="2060"/>
      <c r="ER81" s="2060"/>
      <c r="ES81" s="2060"/>
      <c r="ET81" s="2060"/>
      <c r="EU81" s="2060"/>
      <c r="EV81" s="2060"/>
      <c r="EW81" s="2060"/>
      <c r="EX81" s="2060"/>
      <c r="EY81" s="2060"/>
      <c r="EZ81" s="2060"/>
      <c r="FA81" s="2060"/>
      <c r="FB81" s="2060"/>
      <c r="FC81" s="2060"/>
      <c r="FD81" s="2060"/>
      <c r="FE81" s="2060"/>
      <c r="FF81" s="2060"/>
      <c r="FG81" s="2060"/>
      <c r="FH81" s="2060"/>
      <c r="FI81" s="2060"/>
      <c r="FJ81" s="2060"/>
      <c r="FK81" s="2060"/>
      <c r="FL81" s="2060"/>
      <c r="FM81" s="2060"/>
      <c r="FN81" s="2060"/>
      <c r="FO81" s="2060"/>
      <c r="FP81" s="2060"/>
      <c r="FQ81" s="2060"/>
      <c r="FR81" s="2060"/>
      <c r="FS81" s="2060"/>
      <c r="FT81" s="2060"/>
      <c r="FU81" s="2060"/>
      <c r="FV81" s="2060"/>
      <c r="FW81" s="2060"/>
      <c r="FX81" s="2060"/>
      <c r="FY81" s="2060"/>
      <c r="FZ81" s="2060"/>
      <c r="GA81" s="2060"/>
      <c r="GB81" s="2060"/>
      <c r="GC81" s="2060"/>
    </row>
    <row r="82" spans="1:185" customFormat="1" ht="18">
      <c r="A82" s="659"/>
      <c r="B82" s="659"/>
      <c r="C82" s="1639">
        <f ca="1">MAX(OFFSET(C82,-1,0,-ROW(C82)+1,1))+1</f>
        <v>3</v>
      </c>
      <c r="D82" s="1634" t="s">
        <v>1164</v>
      </c>
      <c r="E82" s="1635"/>
      <c r="F82" s="1636"/>
      <c r="G82" s="1640"/>
      <c r="H82" s="1638"/>
      <c r="I82" s="1638"/>
      <c r="J82" s="1638"/>
      <c r="K82" s="1638"/>
      <c r="L82" s="1638"/>
      <c r="M82" s="1638"/>
      <c r="N82" s="1638"/>
      <c r="O82" s="1638"/>
      <c r="P82" s="1638"/>
      <c r="Q82" s="1004"/>
      <c r="R82" s="1004"/>
      <c r="S82" s="1004"/>
      <c r="T82" s="1004"/>
      <c r="U82" s="1004"/>
      <c r="V82" s="1004"/>
      <c r="W82" s="1004"/>
      <c r="X82" s="1004"/>
      <c r="Y82" s="1004"/>
      <c r="Z82" s="1004"/>
      <c r="AA82" s="1004"/>
      <c r="AB82" s="1004"/>
      <c r="AC82" s="1004"/>
      <c r="AD82" s="1004"/>
      <c r="AE82" s="2060"/>
      <c r="AF82" s="2060"/>
      <c r="AG82" s="2060"/>
      <c r="AH82" s="2060"/>
      <c r="AI82" s="2060"/>
      <c r="AJ82" s="2060"/>
      <c r="AK82" s="2060"/>
      <c r="AL82" s="2060"/>
      <c r="AM82" s="2060"/>
      <c r="AN82" s="2060"/>
      <c r="AO82" s="2060"/>
      <c r="AP82" s="2060"/>
      <c r="AQ82" s="2060"/>
      <c r="AR82" s="2060"/>
      <c r="AS82" s="2060"/>
      <c r="AT82" s="2060"/>
      <c r="AU82" s="2060"/>
      <c r="AV82" s="2060"/>
      <c r="AW82" s="2060"/>
      <c r="AX82" s="2060"/>
      <c r="AY82" s="2060"/>
      <c r="AZ82" s="2060"/>
      <c r="BA82" s="2060"/>
      <c r="BB82" s="2060"/>
      <c r="BC82" s="2060"/>
      <c r="BD82" s="2060"/>
      <c r="BE82" s="2060"/>
      <c r="BF82" s="2060"/>
      <c r="BG82" s="2060"/>
      <c r="BH82" s="2060"/>
      <c r="BI82" s="2060"/>
      <c r="BJ82" s="2060"/>
      <c r="BK82" s="2060"/>
      <c r="BL82" s="2060"/>
      <c r="BM82" s="2060"/>
      <c r="BN82" s="2060"/>
      <c r="BO82" s="2060"/>
      <c r="BP82" s="2060"/>
      <c r="BQ82" s="2060"/>
      <c r="BR82" s="2060"/>
      <c r="BS82" s="2060"/>
      <c r="BT82" s="2060"/>
      <c r="BU82" s="2060"/>
      <c r="BV82" s="2060"/>
      <c r="BW82" s="2060"/>
      <c r="BX82" s="2060"/>
      <c r="BY82" s="2060"/>
      <c r="BZ82" s="2060"/>
      <c r="CA82" s="2060"/>
      <c r="CB82" s="2060"/>
      <c r="CC82" s="2060"/>
      <c r="CD82" s="2060"/>
      <c r="CE82" s="2060"/>
      <c r="CF82" s="2060"/>
      <c r="CG82" s="2060"/>
      <c r="CH82" s="2060"/>
      <c r="CI82" s="2060"/>
      <c r="CJ82" s="2060"/>
      <c r="CK82" s="2060"/>
      <c r="CL82" s="2060"/>
      <c r="CM82" s="2060"/>
      <c r="CN82" s="2060"/>
      <c r="CO82" s="2060"/>
      <c r="CP82" s="2060"/>
      <c r="CQ82" s="2060"/>
      <c r="CR82" s="2060"/>
      <c r="CS82" s="2060"/>
      <c r="CT82" s="2060"/>
      <c r="CU82" s="2060"/>
      <c r="CV82" s="2060"/>
      <c r="CW82" s="2060"/>
      <c r="CX82" s="2060"/>
      <c r="CY82" s="2060"/>
      <c r="CZ82" s="2060"/>
      <c r="DA82" s="2060"/>
      <c r="DB82" s="2060"/>
      <c r="DC82" s="2060"/>
      <c r="DD82" s="2060"/>
      <c r="DE82" s="2060"/>
      <c r="DF82" s="2060"/>
      <c r="DG82" s="2060"/>
      <c r="DH82" s="2060"/>
      <c r="DI82" s="2060"/>
      <c r="DJ82" s="2060"/>
      <c r="DK82" s="2060"/>
      <c r="DL82" s="2060"/>
      <c r="DM82" s="2060"/>
      <c r="DN82" s="2060"/>
      <c r="DO82" s="2060"/>
      <c r="DP82" s="2060"/>
      <c r="DQ82" s="2060"/>
      <c r="DR82" s="2060"/>
      <c r="DS82" s="2060"/>
      <c r="DT82" s="2060"/>
      <c r="DU82" s="2060"/>
      <c r="DV82" s="2060"/>
      <c r="DW82" s="2060"/>
      <c r="DX82" s="2060"/>
      <c r="DY82" s="2060"/>
      <c r="DZ82" s="2060"/>
      <c r="EA82" s="2060"/>
      <c r="EB82" s="2060"/>
      <c r="EC82" s="2060"/>
      <c r="ED82" s="2060"/>
      <c r="EE82" s="2060"/>
      <c r="EF82" s="2060"/>
      <c r="EG82" s="2060"/>
      <c r="EH82" s="2060"/>
      <c r="EI82" s="2060"/>
      <c r="EJ82" s="2060"/>
      <c r="EK82" s="2060"/>
      <c r="EL82" s="2060"/>
      <c r="EM82" s="2060"/>
      <c r="EN82" s="2060"/>
      <c r="EO82" s="2060"/>
      <c r="EP82" s="2060"/>
      <c r="EQ82" s="2060"/>
      <c r="ER82" s="2060"/>
      <c r="ES82" s="2060"/>
      <c r="ET82" s="2060"/>
      <c r="EU82" s="2060"/>
      <c r="EV82" s="2060"/>
      <c r="EW82" s="2060"/>
      <c r="EX82" s="2060"/>
      <c r="EY82" s="2060"/>
      <c r="EZ82" s="2060"/>
      <c r="FA82" s="2060"/>
      <c r="FB82" s="2060"/>
      <c r="FC82" s="2060"/>
      <c r="FD82" s="2060"/>
      <c r="FE82" s="2060"/>
      <c r="FF82" s="2060"/>
      <c r="FG82" s="2060"/>
      <c r="FH82" s="2060"/>
      <c r="FI82" s="2060"/>
      <c r="FJ82" s="2060"/>
      <c r="FK82" s="2060"/>
      <c r="FL82" s="2060"/>
      <c r="FM82" s="2060"/>
      <c r="FN82" s="2060"/>
      <c r="FO82" s="2060"/>
      <c r="FP82" s="2060"/>
      <c r="FQ82" s="2060"/>
      <c r="FR82" s="2060"/>
      <c r="FS82" s="2060"/>
      <c r="FT82" s="2060"/>
      <c r="FU82" s="2060"/>
      <c r="FV82" s="2060"/>
      <c r="FW82" s="2060"/>
      <c r="FX82" s="2060"/>
      <c r="FY82" s="2060"/>
      <c r="FZ82" s="2060"/>
      <c r="GA82" s="2060"/>
      <c r="GB82" s="2060"/>
      <c r="GC82" s="2060"/>
    </row>
    <row r="83" spans="1:185" s="1023" customFormat="1">
      <c r="A83" s="1004"/>
      <c r="B83" s="1004"/>
      <c r="C83" s="1502"/>
      <c r="D83" s="2060"/>
      <c r="E83" s="2060"/>
      <c r="F83" s="2060"/>
      <c r="G83" s="2060"/>
      <c r="H83" s="2060"/>
      <c r="I83" s="2060"/>
      <c r="J83" s="2060"/>
      <c r="K83" s="2060"/>
      <c r="L83" s="2060"/>
      <c r="M83" s="2060"/>
      <c r="N83" s="2060"/>
      <c r="O83" s="2060"/>
      <c r="P83" s="2060"/>
      <c r="Q83" s="2060"/>
      <c r="R83" s="2060"/>
      <c r="S83" s="2060"/>
      <c r="T83" s="2060"/>
      <c r="U83" s="2060"/>
      <c r="V83" s="2060"/>
      <c r="W83" s="2060"/>
      <c r="X83" s="2060"/>
      <c r="Y83" s="2060"/>
      <c r="Z83" s="2060"/>
      <c r="AA83" s="2060"/>
      <c r="AB83" s="2060"/>
      <c r="AC83" s="2060"/>
      <c r="AD83" s="1004"/>
      <c r="AE83" s="2060"/>
      <c r="AF83" s="2060"/>
      <c r="AG83" s="2060"/>
      <c r="AH83" s="2060"/>
      <c r="AI83" s="2060"/>
      <c r="AJ83" s="2060"/>
      <c r="AK83" s="2060"/>
      <c r="AL83" s="2060"/>
      <c r="AM83" s="2060"/>
      <c r="AN83" s="2060"/>
      <c r="AO83" s="2060"/>
      <c r="AP83" s="2060"/>
      <c r="AQ83" s="2060"/>
      <c r="AR83" s="2060"/>
      <c r="AS83" s="2060"/>
      <c r="AT83" s="2060"/>
      <c r="AU83" s="2060"/>
      <c r="AV83" s="2060"/>
      <c r="AW83" s="2060"/>
      <c r="AX83" s="2060"/>
      <c r="AY83" s="2060"/>
      <c r="AZ83" s="2060"/>
      <c r="BA83" s="2060"/>
      <c r="BB83" s="2060"/>
      <c r="BC83" s="2060"/>
      <c r="BD83" s="2060"/>
      <c r="BE83" s="2060"/>
      <c r="BF83" s="2060"/>
      <c r="BG83" s="2060"/>
      <c r="BH83" s="2060"/>
      <c r="BI83" s="2060"/>
      <c r="BJ83" s="2060"/>
      <c r="BK83" s="2060"/>
      <c r="BL83" s="2060"/>
      <c r="BM83" s="2060"/>
      <c r="BN83" s="2060"/>
      <c r="BO83" s="2060"/>
      <c r="BP83" s="2060"/>
      <c r="BQ83" s="2060"/>
      <c r="BR83" s="2060"/>
      <c r="BS83" s="2060"/>
      <c r="BT83" s="2060"/>
      <c r="BU83" s="2060"/>
      <c r="BV83" s="2060"/>
      <c r="BW83" s="2060"/>
      <c r="BX83" s="2060"/>
      <c r="BY83" s="2060"/>
      <c r="BZ83" s="2060"/>
      <c r="CA83" s="2060"/>
      <c r="CB83" s="2060"/>
      <c r="CC83" s="2060"/>
      <c r="CD83" s="2060"/>
      <c r="CE83" s="2060"/>
      <c r="CF83" s="2060"/>
      <c r="CG83" s="2060"/>
      <c r="CH83" s="2060"/>
      <c r="CI83" s="2060"/>
      <c r="CJ83" s="2060"/>
      <c r="CK83" s="2060"/>
      <c r="CL83" s="2060"/>
      <c r="CM83" s="2060"/>
      <c r="CN83" s="2060"/>
      <c r="CO83" s="2060"/>
      <c r="CP83" s="2060"/>
      <c r="CQ83" s="2060"/>
      <c r="CR83" s="2060"/>
      <c r="CS83" s="2060"/>
      <c r="CT83" s="2060"/>
      <c r="CU83" s="2060"/>
      <c r="CV83" s="2060"/>
      <c r="CW83" s="2060"/>
      <c r="CX83" s="2060"/>
      <c r="CY83" s="2060"/>
      <c r="CZ83" s="2060"/>
      <c r="DA83" s="2060"/>
      <c r="DB83" s="2060"/>
      <c r="DC83" s="2060"/>
      <c r="DD83" s="2060"/>
      <c r="DE83" s="2060"/>
      <c r="DF83" s="2060"/>
      <c r="DG83" s="2060"/>
      <c r="DH83" s="2060"/>
      <c r="DI83" s="2060"/>
      <c r="DJ83" s="2060"/>
      <c r="DK83" s="2060"/>
      <c r="DL83" s="2060"/>
      <c r="DM83" s="2060"/>
      <c r="DN83" s="2060"/>
      <c r="DO83" s="2060"/>
      <c r="DP83" s="2060"/>
      <c r="DQ83" s="2060"/>
      <c r="DR83" s="2060"/>
      <c r="DS83" s="2060"/>
      <c r="DT83" s="2060"/>
      <c r="DU83" s="2060"/>
      <c r="DV83" s="2060"/>
      <c r="DW83" s="2060"/>
      <c r="DX83" s="2060"/>
      <c r="DY83" s="2060"/>
      <c r="DZ83" s="2060"/>
      <c r="EA83" s="2060"/>
      <c r="EB83" s="2060"/>
      <c r="EC83" s="2060"/>
      <c r="ED83" s="2060"/>
      <c r="EE83" s="2060"/>
      <c r="EF83" s="2060"/>
      <c r="EG83" s="2060"/>
      <c r="EH83" s="2060"/>
      <c r="EI83" s="2060"/>
      <c r="EJ83" s="2060"/>
      <c r="EK83" s="2060"/>
      <c r="EL83" s="2060"/>
      <c r="EM83" s="2060"/>
      <c r="EN83" s="2060"/>
      <c r="EO83" s="2060"/>
      <c r="EP83" s="2060"/>
      <c r="EQ83" s="2060"/>
      <c r="ER83" s="2060"/>
      <c r="ES83" s="2060"/>
      <c r="ET83" s="2060"/>
      <c r="EU83" s="2060"/>
      <c r="EV83" s="2060"/>
      <c r="EW83" s="2060"/>
      <c r="EX83" s="2060"/>
      <c r="EY83" s="2060"/>
      <c r="EZ83" s="2060"/>
      <c r="FA83" s="2060"/>
      <c r="FB83" s="2060"/>
      <c r="FC83" s="2060"/>
      <c r="FD83" s="2060"/>
      <c r="FE83" s="2060"/>
      <c r="FF83" s="2060"/>
      <c r="FG83" s="2060"/>
      <c r="FH83" s="2060"/>
      <c r="FI83" s="2060"/>
      <c r="FJ83" s="2060"/>
      <c r="FK83" s="2060"/>
      <c r="FL83" s="2060"/>
      <c r="FM83" s="2060"/>
      <c r="FN83" s="2060"/>
      <c r="FO83" s="2060"/>
      <c r="FP83" s="2060"/>
      <c r="FQ83" s="2060"/>
      <c r="FR83" s="2060"/>
      <c r="FS83" s="2060"/>
      <c r="FT83" s="2060"/>
      <c r="FU83" s="2060"/>
      <c r="FV83" s="2060"/>
      <c r="FW83" s="2060"/>
      <c r="FX83" s="2060"/>
      <c r="FY83" s="2060"/>
      <c r="FZ83" s="2060"/>
      <c r="GA83" s="2060"/>
      <c r="GB83" s="2060"/>
      <c r="GC83" s="2060"/>
    </row>
    <row r="84" spans="1:185" customFormat="1">
      <c r="A84" s="1004"/>
      <c r="B84" s="1004"/>
      <c r="C84" s="1502"/>
      <c r="D84" s="2060"/>
      <c r="E84" s="2060"/>
      <c r="F84" s="2060"/>
      <c r="G84" s="2060"/>
      <c r="H84" s="2060"/>
      <c r="I84" s="2060"/>
      <c r="J84" s="128"/>
      <c r="K84" s="139" t="s">
        <v>1165</v>
      </c>
      <c r="L84" s="139" t="s">
        <v>1165</v>
      </c>
      <c r="M84" s="2060"/>
      <c r="N84" s="2060"/>
      <c r="O84" s="2060"/>
      <c r="P84" s="2060"/>
      <c r="Q84" s="2060"/>
      <c r="R84" s="2060"/>
      <c r="S84" s="2060"/>
      <c r="T84" s="2060"/>
      <c r="U84" s="2060"/>
      <c r="V84" s="2060"/>
      <c r="W84" s="2060"/>
      <c r="X84" s="2060"/>
      <c r="Y84" s="2060"/>
      <c r="Z84" s="2060"/>
      <c r="AA84" s="2060"/>
      <c r="AB84" s="2060"/>
      <c r="AC84" s="2060"/>
      <c r="AD84" s="1004"/>
      <c r="AE84" s="2060"/>
      <c r="AF84" s="2060"/>
      <c r="AG84" s="2060"/>
      <c r="AH84" s="2060"/>
      <c r="AI84" s="2060"/>
      <c r="AJ84" s="2060"/>
      <c r="AK84" s="2060"/>
      <c r="AL84" s="2060"/>
      <c r="AM84" s="2060"/>
      <c r="AN84" s="2060"/>
      <c r="AO84" s="2060"/>
      <c r="AP84" s="2060"/>
      <c r="AQ84" s="2060"/>
      <c r="AR84" s="2060"/>
      <c r="AS84" s="2060"/>
      <c r="AT84" s="2060"/>
      <c r="AU84" s="2060"/>
      <c r="AV84" s="2060"/>
      <c r="AW84" s="2060"/>
      <c r="AX84" s="2060"/>
      <c r="AY84" s="2060"/>
      <c r="AZ84" s="2060"/>
      <c r="BA84" s="2060"/>
      <c r="BB84" s="2060"/>
      <c r="BC84" s="2060"/>
      <c r="BD84" s="2060"/>
      <c r="BE84" s="2060"/>
      <c r="BF84" s="2060"/>
      <c r="BG84" s="2060"/>
      <c r="BH84" s="2060"/>
      <c r="BI84" s="2060"/>
      <c r="BJ84" s="2060"/>
      <c r="BK84" s="2060"/>
      <c r="BL84" s="2060"/>
      <c r="BM84" s="2060"/>
      <c r="BN84" s="2060"/>
      <c r="BO84" s="2060"/>
      <c r="BP84" s="2060"/>
      <c r="BQ84" s="2060"/>
      <c r="BR84" s="2060"/>
      <c r="BS84" s="2060"/>
      <c r="BT84" s="2060"/>
      <c r="BU84" s="2060"/>
      <c r="BV84" s="2060"/>
      <c r="BW84" s="2060"/>
      <c r="BX84" s="2060"/>
      <c r="BY84" s="2060"/>
      <c r="BZ84" s="2060"/>
      <c r="CA84" s="2060"/>
      <c r="CB84" s="2060"/>
      <c r="CC84" s="2060"/>
      <c r="CD84" s="2060"/>
      <c r="CE84" s="2060"/>
      <c r="CF84" s="2060"/>
      <c r="CG84" s="2060"/>
      <c r="CH84" s="2060"/>
      <c r="CI84" s="2060"/>
      <c r="CJ84" s="2060"/>
      <c r="CK84" s="2060"/>
      <c r="CL84" s="2060"/>
      <c r="CM84" s="2060"/>
      <c r="CN84" s="2060"/>
      <c r="CO84" s="2060"/>
      <c r="CP84" s="2060"/>
      <c r="CQ84" s="2060"/>
      <c r="CR84" s="2060"/>
      <c r="CS84" s="2060"/>
      <c r="CT84" s="2060"/>
      <c r="CU84" s="2060"/>
      <c r="CV84" s="2060"/>
      <c r="CW84" s="2060"/>
      <c r="CX84" s="2060"/>
      <c r="CY84" s="2060"/>
      <c r="CZ84" s="2060"/>
      <c r="DA84" s="2060"/>
      <c r="DB84" s="2060"/>
      <c r="DC84" s="2060"/>
      <c r="DD84" s="2060"/>
      <c r="DE84" s="2060"/>
      <c r="DF84" s="2060"/>
      <c r="DG84" s="2060"/>
      <c r="DH84" s="2060"/>
      <c r="DI84" s="2060"/>
      <c r="DJ84" s="2060"/>
      <c r="DK84" s="2060"/>
      <c r="DL84" s="2060"/>
      <c r="DM84" s="2060"/>
      <c r="DN84" s="2060"/>
      <c r="DO84" s="2060"/>
      <c r="DP84" s="2060"/>
      <c r="DQ84" s="2060"/>
      <c r="DR84" s="2060"/>
      <c r="DS84" s="2060"/>
      <c r="DT84" s="2060"/>
      <c r="DU84" s="2060"/>
      <c r="DV84" s="2060"/>
      <c r="DW84" s="2060"/>
      <c r="DX84" s="2060"/>
      <c r="DY84" s="2060"/>
      <c r="DZ84" s="2060"/>
      <c r="EA84" s="2060"/>
      <c r="EB84" s="2060"/>
      <c r="EC84" s="2060"/>
      <c r="ED84" s="2060"/>
      <c r="EE84" s="2060"/>
      <c r="EF84" s="2060"/>
      <c r="EG84" s="2060"/>
      <c r="EH84" s="2060"/>
      <c r="EI84" s="2060"/>
      <c r="EJ84" s="2060"/>
      <c r="EK84" s="2060"/>
      <c r="EL84" s="2060"/>
      <c r="EM84" s="2060"/>
      <c r="EN84" s="2060"/>
      <c r="EO84" s="2060"/>
      <c r="EP84" s="2060"/>
      <c r="EQ84" s="2060"/>
      <c r="ER84" s="2060"/>
      <c r="ES84" s="2060"/>
      <c r="ET84" s="2060"/>
      <c r="EU84" s="2060"/>
      <c r="EV84" s="2060"/>
      <c r="EW84" s="2060"/>
      <c r="EX84" s="2060"/>
      <c r="EY84" s="2060"/>
      <c r="EZ84" s="2060"/>
      <c r="FA84" s="2060"/>
      <c r="FB84" s="2060"/>
      <c r="FC84" s="2060"/>
      <c r="FD84" s="2060"/>
      <c r="FE84" s="2060"/>
      <c r="FF84" s="2060"/>
      <c r="FG84" s="2060"/>
      <c r="FH84" s="2060"/>
      <c r="FI84" s="2060"/>
      <c r="FJ84" s="2060"/>
      <c r="FK84" s="2060"/>
      <c r="FL84" s="2060"/>
      <c r="FM84" s="2060"/>
      <c r="FN84" s="2060"/>
      <c r="FO84" s="2060"/>
      <c r="FP84" s="2060"/>
      <c r="FQ84" s="2060"/>
      <c r="FR84" s="2060"/>
      <c r="FS84" s="2060"/>
      <c r="FT84" s="2060"/>
      <c r="FU84" s="2060"/>
      <c r="FV84" s="2060"/>
      <c r="FW84" s="2060"/>
      <c r="FX84" s="2060"/>
      <c r="FY84" s="2060"/>
      <c r="FZ84" s="2060"/>
      <c r="GA84" s="2060"/>
      <c r="GB84" s="2060"/>
      <c r="GC84" s="2060"/>
    </row>
    <row r="85" spans="1:185" customFormat="1">
      <c r="A85" s="1004"/>
      <c r="B85" s="1004"/>
      <c r="C85" s="1502"/>
      <c r="D85" s="2060"/>
      <c r="E85" s="2060"/>
      <c r="F85" s="2060"/>
      <c r="G85" s="2060"/>
      <c r="H85" s="414" t="s">
        <v>1166</v>
      </c>
      <c r="I85" s="2060"/>
      <c r="J85" s="139" t="s">
        <v>1167</v>
      </c>
      <c r="K85" s="139" t="s">
        <v>1168</v>
      </c>
      <c r="L85" s="139" t="s">
        <v>1169</v>
      </c>
      <c r="M85" s="2060"/>
      <c r="N85" s="2060"/>
      <c r="O85" s="2060"/>
      <c r="P85" s="2060"/>
      <c r="Q85" s="2060"/>
      <c r="R85" s="2060"/>
      <c r="S85" s="2060"/>
      <c r="T85" s="2060"/>
      <c r="U85" s="2060"/>
      <c r="V85" s="2060"/>
      <c r="W85" s="2060"/>
      <c r="X85" s="2060"/>
      <c r="Y85" s="2060"/>
      <c r="Z85" s="2060"/>
      <c r="AA85" s="2060"/>
      <c r="AB85" s="2060"/>
      <c r="AC85" s="2060"/>
      <c r="AD85" s="1004"/>
      <c r="AE85" s="2060"/>
      <c r="AF85" s="2060"/>
      <c r="AG85" s="2060"/>
      <c r="AH85" s="2060"/>
      <c r="AI85" s="2060"/>
      <c r="AJ85" s="2060"/>
      <c r="AK85" s="2060"/>
      <c r="AL85" s="2060"/>
      <c r="AM85" s="2060"/>
      <c r="AN85" s="2060"/>
      <c r="AO85" s="2060"/>
      <c r="AP85" s="2060"/>
      <c r="AQ85" s="2060"/>
      <c r="AR85" s="2060"/>
      <c r="AS85" s="2060"/>
      <c r="AT85" s="2060"/>
      <c r="AU85" s="2060"/>
      <c r="AV85" s="2060"/>
      <c r="AW85" s="2060"/>
      <c r="AX85" s="2060"/>
      <c r="AY85" s="2060"/>
      <c r="AZ85" s="2060"/>
      <c r="BA85" s="2060"/>
      <c r="BB85" s="2060"/>
      <c r="BC85" s="2060"/>
      <c r="BD85" s="2060"/>
      <c r="BE85" s="2060"/>
      <c r="BF85" s="2060"/>
      <c r="BG85" s="2060"/>
      <c r="BH85" s="2060"/>
      <c r="BI85" s="2060"/>
      <c r="BJ85" s="2060"/>
      <c r="BK85" s="2060"/>
      <c r="BL85" s="2060"/>
      <c r="BM85" s="2060"/>
      <c r="BN85" s="2060"/>
      <c r="BO85" s="2060"/>
      <c r="BP85" s="2060"/>
      <c r="BQ85" s="2060"/>
      <c r="BR85" s="2060"/>
      <c r="BS85" s="2060"/>
      <c r="BT85" s="2060"/>
      <c r="BU85" s="2060"/>
      <c r="BV85" s="2060"/>
      <c r="BW85" s="2060"/>
      <c r="BX85" s="2060"/>
      <c r="BY85" s="2060"/>
      <c r="BZ85" s="2060"/>
      <c r="CA85" s="2060"/>
      <c r="CB85" s="2060"/>
      <c r="CC85" s="2060"/>
      <c r="CD85" s="2060"/>
      <c r="CE85" s="2060"/>
      <c r="CF85" s="2060"/>
      <c r="CG85" s="2060"/>
      <c r="CH85" s="2060"/>
      <c r="CI85" s="2060"/>
      <c r="CJ85" s="2060"/>
      <c r="CK85" s="2060"/>
      <c r="CL85" s="2060"/>
      <c r="CM85" s="2060"/>
      <c r="CN85" s="2060"/>
      <c r="CO85" s="2060"/>
      <c r="CP85" s="2060"/>
      <c r="CQ85" s="2060"/>
      <c r="CR85" s="2060"/>
      <c r="CS85" s="2060"/>
      <c r="CT85" s="2060"/>
      <c r="CU85" s="2060"/>
      <c r="CV85" s="2060"/>
      <c r="CW85" s="2060"/>
      <c r="CX85" s="2060"/>
      <c r="CY85" s="2060"/>
      <c r="CZ85" s="2060"/>
      <c r="DA85" s="2060"/>
      <c r="DB85" s="2060"/>
      <c r="DC85" s="2060"/>
      <c r="DD85" s="2060"/>
      <c r="DE85" s="2060"/>
      <c r="DF85" s="2060"/>
      <c r="DG85" s="2060"/>
      <c r="DH85" s="2060"/>
      <c r="DI85" s="2060"/>
      <c r="DJ85" s="2060"/>
      <c r="DK85" s="2060"/>
      <c r="DL85" s="2060"/>
      <c r="DM85" s="2060"/>
      <c r="DN85" s="2060"/>
      <c r="DO85" s="2060"/>
      <c r="DP85" s="2060"/>
      <c r="DQ85" s="2060"/>
      <c r="DR85" s="2060"/>
      <c r="DS85" s="2060"/>
      <c r="DT85" s="2060"/>
      <c r="DU85" s="2060"/>
      <c r="DV85" s="2060"/>
      <c r="DW85" s="2060"/>
      <c r="DX85" s="2060"/>
      <c r="DY85" s="2060"/>
      <c r="DZ85" s="2060"/>
      <c r="EA85" s="2060"/>
      <c r="EB85" s="2060"/>
      <c r="EC85" s="2060"/>
      <c r="ED85" s="2060"/>
      <c r="EE85" s="2060"/>
      <c r="EF85" s="2060"/>
      <c r="EG85" s="2060"/>
      <c r="EH85" s="2060"/>
      <c r="EI85" s="2060"/>
      <c r="EJ85" s="2060"/>
      <c r="EK85" s="2060"/>
      <c r="EL85" s="2060"/>
      <c r="EM85" s="2060"/>
      <c r="EN85" s="2060"/>
      <c r="EO85" s="2060"/>
      <c r="EP85" s="2060"/>
      <c r="EQ85" s="2060"/>
      <c r="ER85" s="2060"/>
      <c r="ES85" s="2060"/>
      <c r="ET85" s="2060"/>
      <c r="EU85" s="2060"/>
      <c r="EV85" s="2060"/>
      <c r="EW85" s="2060"/>
      <c r="EX85" s="2060"/>
      <c r="EY85" s="2060"/>
      <c r="EZ85" s="2060"/>
      <c r="FA85" s="2060"/>
      <c r="FB85" s="2060"/>
      <c r="FC85" s="2060"/>
      <c r="FD85" s="2060"/>
      <c r="FE85" s="2060"/>
      <c r="FF85" s="2060"/>
      <c r="FG85" s="2060"/>
      <c r="FH85" s="2060"/>
      <c r="FI85" s="2060"/>
      <c r="FJ85" s="2060"/>
      <c r="FK85" s="2060"/>
      <c r="FL85" s="2060"/>
      <c r="FM85" s="2060"/>
      <c r="FN85" s="2060"/>
      <c r="FO85" s="2060"/>
      <c r="FP85" s="2060"/>
      <c r="FQ85" s="2060"/>
      <c r="FR85" s="2060"/>
      <c r="FS85" s="2060"/>
      <c r="FT85" s="2060"/>
      <c r="FU85" s="2060"/>
      <c r="FV85" s="2060"/>
      <c r="FW85" s="2060"/>
      <c r="FX85" s="2060"/>
      <c r="FY85" s="2060"/>
      <c r="FZ85" s="2060"/>
      <c r="GA85" s="2060"/>
      <c r="GB85" s="2060"/>
      <c r="GC85" s="2060"/>
    </row>
    <row r="86" spans="1:185" customFormat="1">
      <c r="A86" s="1004"/>
      <c r="B86" s="1004"/>
      <c r="C86" s="1502"/>
      <c r="D86" s="779"/>
      <c r="E86" s="1029" t="s">
        <v>1170</v>
      </c>
      <c r="F86" s="2060"/>
      <c r="G86" s="2060"/>
      <c r="H86" s="2161" t="s">
        <v>1171</v>
      </c>
      <c r="I86" s="2169"/>
      <c r="J86" s="2155" t="s">
        <v>55</v>
      </c>
      <c r="K86" s="1765" t="s">
        <v>55</v>
      </c>
      <c r="L86" s="878" t="s">
        <v>55</v>
      </c>
      <c r="M86" s="2060"/>
      <c r="N86" s="381"/>
      <c r="O86" s="1960" t="s">
        <v>1172</v>
      </c>
      <c r="P86" s="1962" t="s">
        <v>1173</v>
      </c>
      <c r="Q86" s="1963" t="s">
        <v>1174</v>
      </c>
      <c r="R86" s="2060"/>
      <c r="S86" s="2060"/>
      <c r="T86" s="2060"/>
      <c r="U86" s="2060"/>
      <c r="V86" s="2060"/>
      <c r="W86" s="2060"/>
      <c r="X86" s="2060"/>
      <c r="Y86" s="2060"/>
      <c r="Z86" s="2060"/>
      <c r="AA86" s="2060"/>
      <c r="AB86" s="2060"/>
      <c r="AC86" s="2060"/>
      <c r="AD86" s="1004"/>
      <c r="AE86" s="2060"/>
      <c r="AF86" s="2060"/>
      <c r="AG86" s="2060"/>
      <c r="AH86" s="2060"/>
      <c r="AI86" s="2060"/>
      <c r="AJ86" s="2060"/>
      <c r="AK86" s="2060"/>
      <c r="AL86" s="2060"/>
      <c r="AM86" s="2060"/>
      <c r="AN86" s="2060"/>
      <c r="AO86" s="2060"/>
      <c r="AP86" s="2060"/>
      <c r="AQ86" s="2060"/>
      <c r="AR86" s="2060"/>
      <c r="AS86" s="2060"/>
      <c r="AT86" s="2060"/>
      <c r="AU86" s="2060"/>
      <c r="AV86" s="2060"/>
      <c r="AW86" s="2060"/>
      <c r="AX86" s="2060"/>
      <c r="AY86" s="2060"/>
      <c r="AZ86" s="2060"/>
      <c r="BA86" s="2060"/>
      <c r="BB86" s="2060"/>
      <c r="BC86" s="2060"/>
      <c r="BD86" s="2060"/>
      <c r="BE86" s="2060"/>
      <c r="BF86" s="2060"/>
      <c r="BG86" s="2060"/>
      <c r="BH86" s="2060"/>
      <c r="BI86" s="2060"/>
      <c r="BJ86" s="2060"/>
      <c r="BK86" s="2060"/>
      <c r="BL86" s="2060"/>
      <c r="BM86" s="2060"/>
      <c r="BN86" s="2060"/>
      <c r="BO86" s="2060"/>
      <c r="BP86" s="2060"/>
      <c r="BQ86" s="2060"/>
      <c r="BR86" s="2060"/>
      <c r="BS86" s="2060"/>
      <c r="BT86" s="2060"/>
      <c r="BU86" s="2060"/>
      <c r="BV86" s="2060"/>
      <c r="BW86" s="2060"/>
      <c r="BX86" s="2060"/>
      <c r="BY86" s="2060"/>
      <c r="BZ86" s="2060"/>
      <c r="CA86" s="2060"/>
      <c r="CB86" s="2060"/>
      <c r="CC86" s="2060"/>
      <c r="CD86" s="2060"/>
      <c r="CE86" s="2060"/>
      <c r="CF86" s="2060"/>
      <c r="CG86" s="2060"/>
      <c r="CH86" s="2060"/>
      <c r="CI86" s="2060"/>
      <c r="CJ86" s="2060"/>
      <c r="CK86" s="2060"/>
      <c r="CL86" s="2060"/>
      <c r="CM86" s="2060"/>
      <c r="CN86" s="2060"/>
      <c r="CO86" s="2060"/>
      <c r="CP86" s="2060"/>
      <c r="CQ86" s="2060"/>
      <c r="CR86" s="2060"/>
      <c r="CS86" s="2060"/>
      <c r="CT86" s="2060"/>
      <c r="CU86" s="2060"/>
      <c r="CV86" s="2060"/>
      <c r="CW86" s="2060"/>
      <c r="CX86" s="2060"/>
      <c r="CY86" s="2060"/>
      <c r="CZ86" s="2060"/>
      <c r="DA86" s="2060"/>
      <c r="DB86" s="2060"/>
      <c r="DC86" s="2060"/>
      <c r="DD86" s="2060"/>
      <c r="DE86" s="2060"/>
      <c r="DF86" s="2060"/>
      <c r="DG86" s="2060"/>
      <c r="DH86" s="2060"/>
      <c r="DI86" s="2060"/>
      <c r="DJ86" s="2060"/>
      <c r="DK86" s="2060"/>
      <c r="DL86" s="2060"/>
      <c r="DM86" s="2060"/>
      <c r="DN86" s="2060"/>
      <c r="DO86" s="2060"/>
      <c r="DP86" s="2060"/>
      <c r="DQ86" s="2060"/>
      <c r="DR86" s="2060"/>
      <c r="DS86" s="2060"/>
      <c r="DT86" s="2060"/>
      <c r="DU86" s="2060"/>
      <c r="DV86" s="2060"/>
      <c r="DW86" s="2060"/>
      <c r="DX86" s="2060"/>
      <c r="DY86" s="2060"/>
      <c r="DZ86" s="2060"/>
      <c r="EA86" s="2060"/>
      <c r="EB86" s="2060"/>
      <c r="EC86" s="2060"/>
      <c r="ED86" s="2060"/>
      <c r="EE86" s="2060"/>
      <c r="EF86" s="2060"/>
      <c r="EG86" s="2060"/>
      <c r="EH86" s="2060"/>
      <c r="EI86" s="2060"/>
      <c r="EJ86" s="2060"/>
      <c r="EK86" s="2060"/>
      <c r="EL86" s="2060"/>
      <c r="EM86" s="2060"/>
      <c r="EN86" s="2060"/>
      <c r="EO86" s="2060"/>
      <c r="EP86" s="2060"/>
      <c r="EQ86" s="2060"/>
      <c r="ER86" s="2060"/>
      <c r="ES86" s="2060"/>
      <c r="ET86" s="2060"/>
      <c r="EU86" s="2060"/>
      <c r="EV86" s="2060"/>
      <c r="EW86" s="2060"/>
      <c r="EX86" s="2060"/>
      <c r="EY86" s="2060"/>
      <c r="EZ86" s="2060"/>
      <c r="FA86" s="2060"/>
      <c r="FB86" s="2060"/>
      <c r="FC86" s="2060"/>
      <c r="FD86" s="2060"/>
      <c r="FE86" s="2060"/>
      <c r="FF86" s="2060"/>
      <c r="FG86" s="2060"/>
      <c r="FH86" s="2060"/>
      <c r="FI86" s="2060"/>
      <c r="FJ86" s="2060"/>
      <c r="FK86" s="2060"/>
      <c r="FL86" s="2060"/>
      <c r="FM86" s="2060"/>
      <c r="FN86" s="2060"/>
      <c r="FO86" s="2060"/>
      <c r="FP86" s="2060"/>
      <c r="FQ86" s="2060"/>
      <c r="FR86" s="2060"/>
      <c r="FS86" s="2060"/>
      <c r="FT86" s="2060"/>
      <c r="FU86" s="2060"/>
      <c r="FV86" s="2060"/>
      <c r="FW86" s="2060"/>
      <c r="FX86" s="2060"/>
      <c r="FY86" s="2060"/>
      <c r="FZ86" s="2060"/>
      <c r="GA86" s="2060"/>
      <c r="GB86" s="2060"/>
      <c r="GC86" s="2060"/>
    </row>
    <row r="87" spans="1:185" customFormat="1" ht="14.45" thickBot="1">
      <c r="A87" s="1004"/>
      <c r="B87" s="1004"/>
      <c r="C87" s="1502"/>
      <c r="D87" s="2060"/>
      <c r="E87" s="2060"/>
      <c r="F87" s="2060"/>
      <c r="G87" s="2060"/>
      <c r="H87" s="2060"/>
      <c r="I87" s="2060"/>
      <c r="J87" s="2060"/>
      <c r="K87" s="2060"/>
      <c r="L87" s="2060"/>
      <c r="M87" s="2060"/>
      <c r="N87" s="2060"/>
      <c r="O87" s="2060"/>
      <c r="P87" s="2060"/>
      <c r="Q87" s="2060"/>
      <c r="R87" s="2060"/>
      <c r="S87" s="2060"/>
      <c r="T87" s="2060"/>
      <c r="U87" s="2060"/>
      <c r="V87" s="2060"/>
      <c r="W87" s="2060"/>
      <c r="X87" s="2060"/>
      <c r="Y87" s="2060"/>
      <c r="Z87" s="2060"/>
      <c r="AA87" s="2060"/>
      <c r="AB87" s="2060"/>
      <c r="AC87" s="2060"/>
      <c r="AD87" s="1004"/>
      <c r="AE87" s="2060"/>
      <c r="AF87" s="2060"/>
      <c r="AG87" s="2060"/>
      <c r="AH87" s="2060"/>
      <c r="AI87" s="2060"/>
      <c r="AJ87" s="2060"/>
      <c r="AK87" s="2060"/>
      <c r="AL87" s="2060"/>
      <c r="AM87" s="2060"/>
      <c r="AN87" s="2060"/>
      <c r="AO87" s="2060"/>
      <c r="AP87" s="2060"/>
      <c r="AQ87" s="2060"/>
      <c r="AR87" s="2060"/>
      <c r="AS87" s="2060"/>
      <c r="AT87" s="2060"/>
      <c r="AU87" s="2060"/>
      <c r="AV87" s="2060"/>
      <c r="AW87" s="2060"/>
      <c r="AX87" s="2060"/>
      <c r="AY87" s="2060"/>
      <c r="AZ87" s="2060"/>
      <c r="BA87" s="2060"/>
      <c r="BB87" s="2060"/>
      <c r="BC87" s="2060"/>
      <c r="BD87" s="2060"/>
      <c r="BE87" s="2060"/>
      <c r="BF87" s="2060"/>
      <c r="BG87" s="2060"/>
      <c r="BH87" s="2060"/>
      <c r="BI87" s="2060"/>
      <c r="BJ87" s="2060"/>
      <c r="BK87" s="2060"/>
      <c r="BL87" s="2060"/>
      <c r="BM87" s="2060"/>
      <c r="BN87" s="2060"/>
      <c r="BO87" s="2060"/>
      <c r="BP87" s="2060"/>
      <c r="BQ87" s="2060"/>
      <c r="BR87" s="2060"/>
      <c r="BS87" s="2060"/>
      <c r="BT87" s="2060"/>
      <c r="BU87" s="2060"/>
      <c r="BV87" s="2060"/>
      <c r="BW87" s="2060"/>
      <c r="BX87" s="2060"/>
      <c r="BY87" s="2060"/>
      <c r="BZ87" s="2060"/>
      <c r="CA87" s="2060"/>
      <c r="CB87" s="2060"/>
      <c r="CC87" s="2060"/>
      <c r="CD87" s="2060"/>
      <c r="CE87" s="2060"/>
      <c r="CF87" s="2060"/>
      <c r="CG87" s="2060"/>
      <c r="CH87" s="2060"/>
      <c r="CI87" s="2060"/>
      <c r="CJ87" s="2060"/>
      <c r="CK87" s="2060"/>
      <c r="CL87" s="2060"/>
      <c r="CM87" s="2060"/>
      <c r="CN87" s="2060"/>
      <c r="CO87" s="2060"/>
      <c r="CP87" s="2060"/>
      <c r="CQ87" s="2060"/>
      <c r="CR87" s="2060"/>
      <c r="CS87" s="2060"/>
      <c r="CT87" s="2060"/>
      <c r="CU87" s="2060"/>
      <c r="CV87" s="2060"/>
      <c r="CW87" s="2060"/>
      <c r="CX87" s="2060"/>
      <c r="CY87" s="2060"/>
      <c r="CZ87" s="2060"/>
      <c r="DA87" s="2060"/>
      <c r="DB87" s="2060"/>
      <c r="DC87" s="2060"/>
      <c r="DD87" s="2060"/>
      <c r="DE87" s="2060"/>
      <c r="DF87" s="2060"/>
      <c r="DG87" s="2060"/>
      <c r="DH87" s="2060"/>
      <c r="DI87" s="2060"/>
      <c r="DJ87" s="2060"/>
      <c r="DK87" s="2060"/>
      <c r="DL87" s="2060"/>
      <c r="DM87" s="2060"/>
      <c r="DN87" s="2060"/>
      <c r="DO87" s="2060"/>
      <c r="DP87" s="2060"/>
      <c r="DQ87" s="2060"/>
      <c r="DR87" s="2060"/>
      <c r="DS87" s="2060"/>
      <c r="DT87" s="2060"/>
      <c r="DU87" s="2060"/>
      <c r="DV87" s="2060"/>
      <c r="DW87" s="2060"/>
      <c r="DX87" s="2060"/>
      <c r="DY87" s="2060"/>
      <c r="DZ87" s="2060"/>
      <c r="EA87" s="2060"/>
      <c r="EB87" s="2060"/>
      <c r="EC87" s="2060"/>
      <c r="ED87" s="2060"/>
      <c r="EE87" s="2060"/>
      <c r="EF87" s="2060"/>
      <c r="EG87" s="2060"/>
      <c r="EH87" s="2060"/>
      <c r="EI87" s="2060"/>
      <c r="EJ87" s="2060"/>
      <c r="EK87" s="2060"/>
      <c r="EL87" s="2060"/>
      <c r="EM87" s="2060"/>
      <c r="EN87" s="2060"/>
      <c r="EO87" s="2060"/>
      <c r="EP87" s="2060"/>
      <c r="EQ87" s="2060"/>
      <c r="ER87" s="2060"/>
      <c r="ES87" s="2060"/>
      <c r="ET87" s="2060"/>
      <c r="EU87" s="2060"/>
      <c r="EV87" s="2060"/>
      <c r="EW87" s="2060"/>
      <c r="EX87" s="2060"/>
      <c r="EY87" s="2060"/>
      <c r="EZ87" s="2060"/>
      <c r="FA87" s="2060"/>
      <c r="FB87" s="2060"/>
      <c r="FC87" s="2060"/>
      <c r="FD87" s="2060"/>
      <c r="FE87" s="2060"/>
      <c r="FF87" s="2060"/>
      <c r="FG87" s="2060"/>
      <c r="FH87" s="2060"/>
      <c r="FI87" s="2060"/>
      <c r="FJ87" s="2060"/>
      <c r="FK87" s="2060"/>
      <c r="FL87" s="2060"/>
      <c r="FM87" s="2060"/>
      <c r="FN87" s="2060"/>
      <c r="FO87" s="2060"/>
      <c r="FP87" s="2060"/>
      <c r="FQ87" s="2060"/>
      <c r="FR87" s="2060"/>
      <c r="FS87" s="2060"/>
      <c r="FT87" s="2060"/>
      <c r="FU87" s="2060"/>
      <c r="FV87" s="2060"/>
      <c r="FW87" s="2060"/>
      <c r="FX87" s="2060"/>
      <c r="FY87" s="2060"/>
      <c r="FZ87" s="2060"/>
      <c r="GA87" s="2060"/>
      <c r="GB87" s="2060"/>
      <c r="GC87" s="2060"/>
    </row>
    <row r="88" spans="1:185" customFormat="1">
      <c r="A88" s="1004"/>
      <c r="B88" s="1004"/>
      <c r="C88" s="1502"/>
      <c r="D88" s="2060"/>
      <c r="E88" s="1346"/>
      <c r="F88" s="1347"/>
      <c r="G88" s="1347"/>
      <c r="H88" s="1347"/>
      <c r="I88" s="1347"/>
      <c r="J88" s="1347"/>
      <c r="K88" s="1347"/>
      <c r="L88" s="1347"/>
      <c r="M88" s="1347"/>
      <c r="N88" s="1347"/>
      <c r="O88" s="1347"/>
      <c r="P88" s="1347"/>
      <c r="Q88" s="1347"/>
      <c r="R88" s="1347"/>
      <c r="S88" s="1347"/>
      <c r="T88" s="1347"/>
      <c r="U88" s="1348"/>
      <c r="V88" s="2060"/>
      <c r="W88" s="2060"/>
      <c r="X88" s="2060"/>
      <c r="Y88" s="2060"/>
      <c r="Z88" s="2060"/>
      <c r="AA88" s="2060"/>
      <c r="AB88" s="2060"/>
      <c r="AC88" s="2060"/>
      <c r="AD88" s="1004"/>
      <c r="AE88" s="2060"/>
      <c r="AF88" s="2060"/>
      <c r="AG88" s="2060"/>
      <c r="AH88" s="2060"/>
      <c r="AI88" s="2060"/>
      <c r="AJ88" s="2060"/>
      <c r="AK88" s="2060"/>
      <c r="AL88" s="2060"/>
      <c r="AM88" s="2060"/>
      <c r="AN88" s="2060"/>
      <c r="AO88" s="2060"/>
      <c r="AP88" s="2060"/>
      <c r="AQ88" s="2060"/>
      <c r="AR88" s="2060"/>
      <c r="AS88" s="2060"/>
      <c r="AT88" s="2060"/>
      <c r="AU88" s="2060"/>
      <c r="AV88" s="2060"/>
      <c r="AW88" s="2060"/>
      <c r="AX88" s="2060"/>
      <c r="AY88" s="2060"/>
      <c r="AZ88" s="2060"/>
      <c r="BA88" s="2060"/>
      <c r="BB88" s="2060"/>
      <c r="BC88" s="2060"/>
      <c r="BD88" s="2060"/>
      <c r="BE88" s="2060"/>
      <c r="BF88" s="2060"/>
      <c r="BG88" s="2060"/>
      <c r="BH88" s="2060"/>
      <c r="BI88" s="2060"/>
      <c r="BJ88" s="2060"/>
      <c r="BK88" s="2060"/>
      <c r="BL88" s="2060"/>
      <c r="BM88" s="2060"/>
      <c r="BN88" s="2060"/>
      <c r="BO88" s="2060"/>
      <c r="BP88" s="2060"/>
      <c r="BQ88" s="2060"/>
      <c r="BR88" s="2060"/>
      <c r="BS88" s="2060"/>
      <c r="BT88" s="2060"/>
      <c r="BU88" s="2060"/>
      <c r="BV88" s="2060"/>
      <c r="BW88" s="2060"/>
      <c r="BX88" s="2060"/>
      <c r="BY88" s="2060"/>
      <c r="BZ88" s="2060"/>
      <c r="CA88" s="2060"/>
      <c r="CB88" s="2060"/>
      <c r="CC88" s="2060"/>
      <c r="CD88" s="2060"/>
      <c r="CE88" s="2060"/>
      <c r="CF88" s="2060"/>
      <c r="CG88" s="2060"/>
      <c r="CH88" s="2060"/>
      <c r="CI88" s="2060"/>
      <c r="CJ88" s="2060"/>
      <c r="CK88" s="2060"/>
      <c r="CL88" s="2060"/>
      <c r="CM88" s="2060"/>
      <c r="CN88" s="2060"/>
      <c r="CO88" s="2060"/>
      <c r="CP88" s="2060"/>
      <c r="CQ88" s="2060"/>
      <c r="CR88" s="2060"/>
      <c r="CS88" s="2060"/>
      <c r="CT88" s="2060"/>
      <c r="CU88" s="2060"/>
      <c r="CV88" s="2060"/>
      <c r="CW88" s="2060"/>
      <c r="CX88" s="2060"/>
      <c r="CY88" s="2060"/>
      <c r="CZ88" s="2060"/>
      <c r="DA88" s="2060"/>
      <c r="DB88" s="2060"/>
      <c r="DC88" s="2060"/>
      <c r="DD88" s="2060"/>
      <c r="DE88" s="2060"/>
      <c r="DF88" s="2060"/>
      <c r="DG88" s="2060"/>
      <c r="DH88" s="2060"/>
      <c r="DI88" s="2060"/>
      <c r="DJ88" s="2060"/>
      <c r="DK88" s="2060"/>
      <c r="DL88" s="2060"/>
      <c r="DM88" s="2060"/>
      <c r="DN88" s="2060"/>
      <c r="DO88" s="2060"/>
      <c r="DP88" s="2060"/>
      <c r="DQ88" s="2060"/>
      <c r="DR88" s="2060"/>
      <c r="DS88" s="2060"/>
      <c r="DT88" s="2060"/>
      <c r="DU88" s="2060"/>
      <c r="DV88" s="2060"/>
      <c r="DW88" s="2060"/>
      <c r="DX88" s="2060"/>
      <c r="DY88" s="2060"/>
      <c r="DZ88" s="2060"/>
      <c r="EA88" s="2060"/>
      <c r="EB88" s="2060"/>
      <c r="EC88" s="2060"/>
      <c r="ED88" s="2060"/>
      <c r="EE88" s="2060"/>
      <c r="EF88" s="2060"/>
      <c r="EG88" s="2060"/>
      <c r="EH88" s="2060"/>
      <c r="EI88" s="2060"/>
      <c r="EJ88" s="2060"/>
      <c r="EK88" s="2060"/>
      <c r="EL88" s="2060"/>
      <c r="EM88" s="2060"/>
      <c r="EN88" s="2060"/>
      <c r="EO88" s="2060"/>
      <c r="EP88" s="2060"/>
      <c r="EQ88" s="2060"/>
      <c r="ER88" s="2060"/>
      <c r="ES88" s="2060"/>
      <c r="ET88" s="2060"/>
      <c r="EU88" s="2060"/>
      <c r="EV88" s="2060"/>
      <c r="EW88" s="2060"/>
      <c r="EX88" s="2060"/>
      <c r="EY88" s="2060"/>
      <c r="EZ88" s="2060"/>
      <c r="FA88" s="2060"/>
      <c r="FB88" s="2060"/>
      <c r="FC88" s="2060"/>
      <c r="FD88" s="2060"/>
      <c r="FE88" s="2060"/>
      <c r="FF88" s="2060"/>
      <c r="FG88" s="2060"/>
      <c r="FH88" s="2060"/>
      <c r="FI88" s="2060"/>
      <c r="FJ88" s="2060"/>
      <c r="FK88" s="2060"/>
      <c r="FL88" s="2060"/>
      <c r="FM88" s="2060"/>
      <c r="FN88" s="2060"/>
      <c r="FO88" s="2060"/>
      <c r="FP88" s="2060"/>
      <c r="FQ88" s="2060"/>
      <c r="FR88" s="2060"/>
      <c r="FS88" s="2060"/>
      <c r="FT88" s="2060"/>
      <c r="FU88" s="2060"/>
      <c r="FV88" s="2060"/>
      <c r="FW88" s="2060"/>
      <c r="FX88" s="2060"/>
      <c r="FY88" s="2060"/>
      <c r="FZ88" s="2060"/>
      <c r="GA88" s="2060"/>
      <c r="GB88" s="2060"/>
      <c r="GC88" s="2060"/>
    </row>
    <row r="89" spans="1:185" customFormat="1" ht="15.6">
      <c r="A89" s="1004"/>
      <c r="B89" s="1004"/>
      <c r="C89" s="1502"/>
      <c r="D89" s="779"/>
      <c r="E89" s="1797" t="s">
        <v>1175</v>
      </c>
      <c r="F89" s="1502"/>
      <c r="G89" s="1502"/>
      <c r="H89" s="381" t="s">
        <v>1176</v>
      </c>
      <c r="I89" s="1502"/>
      <c r="J89" s="1796">
        <v>1</v>
      </c>
      <c r="K89" s="2088" t="s">
        <v>1177</v>
      </c>
      <c r="L89" s="1502"/>
      <c r="M89" s="2060"/>
      <c r="N89" s="381"/>
      <c r="O89" s="1960" t="s">
        <v>1178</v>
      </c>
      <c r="P89" s="1961">
        <v>0.05</v>
      </c>
      <c r="Q89" s="2060"/>
      <c r="R89" s="2060"/>
      <c r="S89" s="2060"/>
      <c r="T89" s="2060"/>
      <c r="U89" s="1352"/>
      <c r="V89" s="2060"/>
      <c r="W89" s="2060"/>
      <c r="X89" s="2060"/>
      <c r="Y89" s="2060"/>
      <c r="Z89" s="2060"/>
      <c r="AA89" s="2060"/>
      <c r="AB89" s="2060"/>
      <c r="AC89" s="2060"/>
      <c r="AD89" s="1004"/>
      <c r="AE89" s="2060"/>
      <c r="AF89" s="2060"/>
      <c r="AG89" s="2060"/>
      <c r="AH89" s="2060"/>
      <c r="AI89" s="2060"/>
      <c r="AJ89" s="2060"/>
      <c r="AK89" s="2060"/>
      <c r="AL89" s="2060"/>
      <c r="AM89" s="2060"/>
      <c r="AN89" s="2060"/>
      <c r="AO89" s="2060"/>
      <c r="AP89" s="2060"/>
      <c r="AQ89" s="2060"/>
      <c r="AR89" s="2060"/>
      <c r="AS89" s="2060"/>
      <c r="AT89" s="2060"/>
      <c r="AU89" s="2060"/>
      <c r="AV89" s="2060"/>
      <c r="AW89" s="2060"/>
      <c r="AX89" s="2060"/>
      <c r="AY89" s="2060"/>
      <c r="AZ89" s="2060"/>
      <c r="BA89" s="2060"/>
      <c r="BB89" s="2060"/>
      <c r="BC89" s="2060"/>
      <c r="BD89" s="2060"/>
      <c r="BE89" s="2060"/>
      <c r="BF89" s="2060"/>
      <c r="BG89" s="2060"/>
      <c r="BH89" s="2060"/>
      <c r="BI89" s="2060"/>
      <c r="BJ89" s="2060"/>
      <c r="BK89" s="2060"/>
      <c r="BL89" s="2060"/>
      <c r="BM89" s="2060"/>
      <c r="BN89" s="2060"/>
      <c r="BO89" s="2060"/>
      <c r="BP89" s="2060"/>
      <c r="BQ89" s="2060"/>
      <c r="BR89" s="2060"/>
      <c r="BS89" s="2060"/>
      <c r="BT89" s="2060"/>
      <c r="BU89" s="2060"/>
      <c r="BV89" s="2060"/>
      <c r="BW89" s="2060"/>
      <c r="BX89" s="2060"/>
      <c r="BY89" s="2060"/>
      <c r="BZ89" s="2060"/>
      <c r="CA89" s="2060"/>
      <c r="CB89" s="2060"/>
      <c r="CC89" s="2060"/>
      <c r="CD89" s="2060"/>
      <c r="CE89" s="2060"/>
      <c r="CF89" s="2060"/>
      <c r="CG89" s="2060"/>
      <c r="CH89" s="2060"/>
      <c r="CI89" s="2060"/>
      <c r="CJ89" s="2060"/>
      <c r="CK89" s="2060"/>
      <c r="CL89" s="2060"/>
      <c r="CM89" s="2060"/>
      <c r="CN89" s="2060"/>
      <c r="CO89" s="2060"/>
      <c r="CP89" s="2060"/>
      <c r="CQ89" s="2060"/>
      <c r="CR89" s="2060"/>
      <c r="CS89" s="2060"/>
      <c r="CT89" s="2060"/>
      <c r="CU89" s="2060"/>
      <c r="CV89" s="2060"/>
      <c r="CW89" s="2060"/>
      <c r="CX89" s="2060"/>
      <c r="CY89" s="2060"/>
      <c r="CZ89" s="2060"/>
      <c r="DA89" s="2060"/>
      <c r="DB89" s="2060"/>
      <c r="DC89" s="2060"/>
      <c r="DD89" s="2060"/>
      <c r="DE89" s="2060"/>
      <c r="DF89" s="2060"/>
      <c r="DG89" s="2060"/>
      <c r="DH89" s="2060"/>
      <c r="DI89" s="2060"/>
      <c r="DJ89" s="2060"/>
      <c r="DK89" s="2060"/>
      <c r="DL89" s="2060"/>
      <c r="DM89" s="2060"/>
      <c r="DN89" s="2060"/>
      <c r="DO89" s="2060"/>
      <c r="DP89" s="2060"/>
      <c r="DQ89" s="2060"/>
      <c r="DR89" s="2060"/>
      <c r="DS89" s="2060"/>
      <c r="DT89" s="2060"/>
      <c r="DU89" s="2060"/>
      <c r="DV89" s="2060"/>
      <c r="DW89" s="2060"/>
      <c r="DX89" s="2060"/>
      <c r="DY89" s="2060"/>
      <c r="DZ89" s="2060"/>
      <c r="EA89" s="2060"/>
      <c r="EB89" s="2060"/>
      <c r="EC89" s="2060"/>
      <c r="ED89" s="2060"/>
      <c r="EE89" s="2060"/>
      <c r="EF89" s="2060"/>
      <c r="EG89" s="2060"/>
      <c r="EH89" s="2060"/>
      <c r="EI89" s="2060"/>
      <c r="EJ89" s="2060"/>
      <c r="EK89" s="2060"/>
      <c r="EL89" s="2060"/>
      <c r="EM89" s="2060"/>
      <c r="EN89" s="2060"/>
      <c r="EO89" s="2060"/>
      <c r="EP89" s="2060"/>
      <c r="EQ89" s="2060"/>
      <c r="ER89" s="2060"/>
      <c r="ES89" s="2060"/>
      <c r="ET89" s="2060"/>
      <c r="EU89" s="2060"/>
      <c r="EV89" s="2060"/>
      <c r="EW89" s="2060"/>
      <c r="EX89" s="2060"/>
      <c r="EY89" s="2060"/>
      <c r="EZ89" s="2060"/>
      <c r="FA89" s="2060"/>
      <c r="FB89" s="2060"/>
      <c r="FC89" s="2060"/>
      <c r="FD89" s="2060"/>
      <c r="FE89" s="2060"/>
      <c r="FF89" s="2060"/>
      <c r="FG89" s="2060"/>
      <c r="FH89" s="2060"/>
      <c r="FI89" s="2060"/>
      <c r="FJ89" s="2060"/>
      <c r="FK89" s="2060"/>
      <c r="FL89" s="2060"/>
      <c r="FM89" s="2060"/>
      <c r="FN89" s="2060"/>
      <c r="FO89" s="2060"/>
      <c r="FP89" s="2060"/>
      <c r="FQ89" s="2060"/>
      <c r="FR89" s="2060"/>
      <c r="FS89" s="2060"/>
      <c r="FT89" s="2060"/>
      <c r="FU89" s="2060"/>
      <c r="FV89" s="2060"/>
      <c r="FW89" s="2060"/>
      <c r="FX89" s="2060"/>
      <c r="FY89" s="2060"/>
      <c r="FZ89" s="2060"/>
      <c r="GA89" s="2060"/>
      <c r="GB89" s="2060"/>
      <c r="GC89" s="2060"/>
    </row>
    <row r="90" spans="1:185" customFormat="1">
      <c r="A90" s="659"/>
      <c r="B90" s="659"/>
      <c r="C90" s="128"/>
      <c r="D90" s="128"/>
      <c r="E90" s="1798"/>
      <c r="F90" s="1349"/>
      <c r="G90" s="1349"/>
      <c r="H90" s="2219"/>
      <c r="I90" s="2219"/>
      <c r="J90" s="2220" t="s">
        <v>1179</v>
      </c>
      <c r="K90" s="1459" t="s">
        <v>1180</v>
      </c>
      <c r="L90" s="2219" t="str">
        <f>'WACC and TIC Inputs'!H47</f>
        <v>LFQ</v>
      </c>
      <c r="M90" s="2221">
        <f>'WACC and TIC Inputs'!I47</f>
        <v>42794</v>
      </c>
      <c r="N90" s="2212"/>
      <c r="O90" s="2212"/>
      <c r="P90" s="2212"/>
      <c r="Q90" s="2222"/>
      <c r="R90" s="2222"/>
      <c r="S90" s="2222"/>
      <c r="T90" s="2222"/>
      <c r="U90" s="1620"/>
      <c r="V90" s="128"/>
      <c r="W90" s="128"/>
      <c r="X90" s="2060"/>
      <c r="Y90" s="2060"/>
      <c r="Z90" s="2060"/>
      <c r="AA90" s="2060"/>
      <c r="AB90" s="2060"/>
      <c r="AC90" s="2060"/>
      <c r="AD90" s="1004"/>
      <c r="AE90" s="2060"/>
      <c r="AF90" s="2060"/>
      <c r="AG90" s="2060"/>
      <c r="AH90" s="2060"/>
      <c r="AI90" s="2060"/>
      <c r="AJ90" s="2060"/>
      <c r="AK90" s="2060"/>
      <c r="AL90" s="2060"/>
      <c r="AM90" s="2060"/>
      <c r="AN90" s="2060"/>
      <c r="AO90" s="2060"/>
      <c r="AP90" s="2060"/>
      <c r="AQ90" s="2060"/>
      <c r="AR90" s="2060"/>
      <c r="AS90" s="2060"/>
      <c r="AT90" s="2060"/>
      <c r="AU90" s="2060"/>
      <c r="AV90" s="2060"/>
      <c r="AW90" s="2060"/>
      <c r="AX90" s="2060"/>
      <c r="AY90" s="2060"/>
      <c r="AZ90" s="2060"/>
      <c r="BA90" s="2060"/>
      <c r="BB90" s="2060"/>
      <c r="BC90" s="2060"/>
      <c r="BD90" s="2060"/>
      <c r="BE90" s="2060"/>
      <c r="BF90" s="2060"/>
      <c r="BG90" s="2060"/>
      <c r="BH90" s="2060"/>
      <c r="BI90" s="2060"/>
      <c r="BJ90" s="2060"/>
      <c r="BK90" s="2060"/>
      <c r="BL90" s="2060"/>
      <c r="BM90" s="2060"/>
      <c r="BN90" s="2060"/>
      <c r="BO90" s="2060"/>
      <c r="BP90" s="2060"/>
      <c r="BQ90" s="2060"/>
      <c r="BR90" s="2060"/>
      <c r="BS90" s="2060"/>
      <c r="BT90" s="2060"/>
      <c r="BU90" s="2060"/>
      <c r="BV90" s="2060"/>
      <c r="BW90" s="2060"/>
      <c r="BX90" s="2060"/>
      <c r="BY90" s="2060"/>
      <c r="BZ90" s="2060"/>
      <c r="CA90" s="2060"/>
      <c r="CB90" s="2060"/>
      <c r="CC90" s="2060"/>
      <c r="CD90" s="2060"/>
      <c r="CE90" s="2060"/>
      <c r="CF90" s="2060"/>
      <c r="CG90" s="2060"/>
      <c r="CH90" s="2060"/>
      <c r="CI90" s="2060"/>
      <c r="CJ90" s="2060"/>
      <c r="CK90" s="2060"/>
      <c r="CL90" s="2060"/>
      <c r="CM90" s="2060"/>
      <c r="CN90" s="2060"/>
      <c r="CO90" s="2060"/>
      <c r="CP90" s="2060"/>
      <c r="CQ90" s="2060"/>
      <c r="CR90" s="2060"/>
      <c r="CS90" s="2060"/>
      <c r="CT90" s="2060"/>
      <c r="CU90" s="2060"/>
      <c r="CV90" s="2060"/>
      <c r="CW90" s="2060"/>
      <c r="CX90" s="2060"/>
      <c r="CY90" s="2060"/>
      <c r="CZ90" s="2060"/>
      <c r="DA90" s="2060"/>
      <c r="DB90" s="2060"/>
      <c r="DC90" s="2060"/>
      <c r="DD90" s="2060"/>
      <c r="DE90" s="2060"/>
      <c r="DF90" s="2060"/>
      <c r="DG90" s="2060"/>
      <c r="DH90" s="2060"/>
      <c r="DI90" s="2060"/>
      <c r="DJ90" s="2060"/>
      <c r="DK90" s="2060"/>
      <c r="DL90" s="2060"/>
      <c r="DM90" s="2060"/>
      <c r="DN90" s="2060"/>
      <c r="DO90" s="2060"/>
      <c r="DP90" s="2060"/>
      <c r="DQ90" s="2060"/>
      <c r="DR90" s="2060"/>
      <c r="DS90" s="2060"/>
      <c r="DT90" s="2060"/>
      <c r="DU90" s="2060"/>
      <c r="DV90" s="2060"/>
      <c r="DW90" s="2060"/>
      <c r="DX90" s="2060"/>
      <c r="DY90" s="2060"/>
      <c r="DZ90" s="2060"/>
      <c r="EA90" s="2060"/>
      <c r="EB90" s="2060"/>
      <c r="EC90" s="2060"/>
      <c r="ED90" s="2060"/>
      <c r="EE90" s="2060"/>
      <c r="EF90" s="2060"/>
      <c r="EG90" s="2060"/>
      <c r="EH90" s="2060"/>
      <c r="EI90" s="2060"/>
      <c r="EJ90" s="2060"/>
      <c r="EK90" s="2060"/>
      <c r="EL90" s="2060"/>
      <c r="EM90" s="2060"/>
      <c r="EN90" s="2060"/>
      <c r="EO90" s="2060"/>
      <c r="EP90" s="2060"/>
      <c r="EQ90" s="2060"/>
      <c r="ER90" s="2060"/>
      <c r="ES90" s="2060"/>
      <c r="ET90" s="2060"/>
      <c r="EU90" s="2060"/>
      <c r="EV90" s="2060"/>
      <c r="EW90" s="2060"/>
      <c r="EX90" s="2060"/>
      <c r="EY90" s="2060"/>
      <c r="EZ90" s="2060"/>
      <c r="FA90" s="2060"/>
      <c r="FB90" s="2060"/>
      <c r="FC90" s="2060"/>
      <c r="FD90" s="2060"/>
      <c r="FE90" s="2060"/>
      <c r="FF90" s="2060"/>
      <c r="FG90" s="2060"/>
      <c r="FH90" s="2060"/>
      <c r="FI90" s="2060"/>
      <c r="FJ90" s="2060"/>
      <c r="FK90" s="2060"/>
      <c r="FL90" s="2060"/>
      <c r="FM90" s="2060"/>
      <c r="FN90" s="2060"/>
      <c r="FO90" s="2060"/>
      <c r="FP90" s="2060"/>
      <c r="FQ90" s="2060"/>
      <c r="FR90" s="2060"/>
      <c r="FS90" s="2060"/>
      <c r="FT90" s="2060"/>
      <c r="FU90" s="2060"/>
      <c r="FV90" s="2060"/>
      <c r="FW90" s="2060"/>
      <c r="FX90" s="2060"/>
      <c r="FY90" s="2060"/>
      <c r="FZ90" s="2060"/>
      <c r="GA90" s="2060"/>
      <c r="GB90" s="2060"/>
      <c r="GC90" s="2060"/>
    </row>
    <row r="91" spans="1:185">
      <c r="A91" s="1004"/>
      <c r="B91" s="1004"/>
      <c r="C91" s="2060"/>
      <c r="D91" s="779"/>
      <c r="E91" s="1799"/>
      <c r="F91" s="1502"/>
      <c r="G91" s="1502"/>
      <c r="H91" s="1595" t="str">
        <f>CHOOSE(Beta12345,B1Yrs,B2Yrs,B3Yrs,B4Yrs,B5Yrs)&amp;"-Year "&amp;CHOOSE(Beta12345,B1Freq,B2Freq,B3Freq,B4Freq,B5Freq)</f>
        <v>2-Year Weekly</v>
      </c>
      <c r="I91" s="1595"/>
      <c r="J91" s="521" t="str">
        <f>IF(BayesianAdjustSet="Y","with","without")</f>
        <v>with</v>
      </c>
      <c r="K91" s="1595" t="str">
        <f>IF(BayesianAdjustSet="Y","adjusted","Unlevered")</f>
        <v>adjusted</v>
      </c>
      <c r="L91" s="1595" t="str">
        <f>IF(DebtSetting="Total debt","total","net")</f>
        <v>total</v>
      </c>
      <c r="M91" s="1358" t="s">
        <v>1181</v>
      </c>
      <c r="N91" s="1358" t="str">
        <f>'WACC and TIC Inputs'!$H$48&amp;" /"</f>
        <v>Total debt /</v>
      </c>
      <c r="O91" s="1358"/>
      <c r="P91" s="1358"/>
      <c r="Q91" s="1502"/>
      <c r="R91" s="1502"/>
      <c r="S91" s="1502"/>
      <c r="T91" s="1502"/>
      <c r="U91" s="1352"/>
      <c r="V91" s="2060"/>
      <c r="W91" s="2060"/>
      <c r="X91" s="2060"/>
      <c r="Y91" s="2060"/>
      <c r="Z91" s="2060"/>
      <c r="AA91" s="2060"/>
      <c r="AB91" s="2060"/>
      <c r="AC91" s="2060"/>
      <c r="AD91" s="1004"/>
      <c r="AE91" s="2060"/>
      <c r="AF91" s="2060"/>
      <c r="AG91" s="2060"/>
      <c r="AH91" s="2060"/>
      <c r="AI91" s="2060"/>
      <c r="AJ91" s="2060"/>
      <c r="AK91" s="2060"/>
      <c r="AL91" s="2060"/>
      <c r="AM91" s="2060"/>
      <c r="AN91" s="2060"/>
      <c r="AO91" s="2060"/>
      <c r="AP91" s="2060"/>
      <c r="AQ91" s="2060"/>
      <c r="AR91" s="2060"/>
      <c r="AS91" s="2060"/>
      <c r="AT91" s="2060"/>
      <c r="AU91" s="2060"/>
      <c r="AV91" s="2060"/>
      <c r="AW91" s="2060"/>
      <c r="AX91" s="2060"/>
      <c r="AY91" s="2060"/>
      <c r="AZ91" s="2060"/>
      <c r="BA91" s="2060"/>
      <c r="BB91" s="2060"/>
      <c r="BC91" s="2060"/>
      <c r="BD91" s="2060"/>
      <c r="BE91" s="2060"/>
      <c r="BF91" s="2060"/>
      <c r="BG91" s="2060"/>
      <c r="BH91" s="2060"/>
      <c r="BI91" s="2060"/>
      <c r="BJ91" s="2060"/>
      <c r="BK91" s="2060"/>
      <c r="BL91" s="2060"/>
      <c r="BM91" s="2060"/>
      <c r="BN91" s="2060"/>
      <c r="BO91" s="2060"/>
      <c r="BP91" s="2060"/>
      <c r="BQ91" s="2060"/>
      <c r="BR91" s="2060"/>
      <c r="BS91" s="2060"/>
      <c r="BT91" s="2060"/>
      <c r="BU91" s="2060"/>
      <c r="BV91" s="2060"/>
      <c r="BW91" s="2060"/>
      <c r="BX91" s="2060"/>
      <c r="BY91" s="2060"/>
      <c r="BZ91" s="2060"/>
      <c r="CA91" s="2060"/>
      <c r="CB91" s="2060"/>
      <c r="CC91" s="2060"/>
      <c r="CD91" s="2060"/>
      <c r="CE91" s="2060"/>
      <c r="CF91" s="2060"/>
      <c r="CG91" s="2060"/>
      <c r="CH91" s="2060"/>
      <c r="CI91" s="2060"/>
      <c r="CJ91" s="2060"/>
      <c r="CK91" s="2060"/>
      <c r="CL91" s="2060"/>
      <c r="CM91" s="2060"/>
      <c r="CN91" s="2060"/>
      <c r="CO91" s="2060"/>
      <c r="CP91" s="2060"/>
      <c r="CQ91" s="2060"/>
      <c r="CR91" s="2060"/>
      <c r="CS91" s="2060"/>
      <c r="CT91" s="2060"/>
      <c r="CU91" s="2060"/>
      <c r="CV91" s="2060"/>
      <c r="CW91" s="2060"/>
      <c r="CX91" s="2060"/>
      <c r="CY91" s="2060"/>
      <c r="CZ91" s="2060"/>
      <c r="DA91" s="2060"/>
      <c r="DB91" s="2060"/>
      <c r="DC91" s="2060"/>
      <c r="DD91" s="2060"/>
      <c r="DE91" s="2060"/>
      <c r="DF91" s="2060"/>
      <c r="DG91" s="2060"/>
      <c r="DH91" s="2060"/>
      <c r="DI91" s="2060"/>
      <c r="DJ91" s="2060"/>
      <c r="DK91" s="2060"/>
      <c r="DL91" s="2060"/>
      <c r="DM91" s="2060"/>
      <c r="DN91" s="2060"/>
      <c r="DO91" s="2060"/>
      <c r="DP91" s="2060"/>
      <c r="DQ91" s="2060"/>
      <c r="DR91" s="2060"/>
      <c r="DS91" s="2060"/>
      <c r="DT91" s="2060"/>
      <c r="DU91" s="2060"/>
      <c r="DV91" s="2060"/>
      <c r="DW91" s="2060"/>
      <c r="DX91" s="2060"/>
      <c r="DY91" s="2060"/>
      <c r="DZ91" s="2060"/>
      <c r="EA91" s="2060"/>
      <c r="EB91" s="2060"/>
      <c r="EC91" s="2060"/>
      <c r="ED91" s="2060"/>
      <c r="EE91" s="2060"/>
      <c r="EF91" s="2060"/>
      <c r="EG91" s="2060"/>
      <c r="EH91" s="2060"/>
      <c r="EI91" s="2060"/>
      <c r="EJ91" s="2060"/>
      <c r="EK91" s="2060"/>
      <c r="EL91" s="2060"/>
      <c r="EM91" s="2060"/>
      <c r="EN91" s="2060"/>
      <c r="EO91" s="2060"/>
      <c r="EP91" s="2060"/>
      <c r="EQ91" s="2060"/>
      <c r="ER91" s="2060"/>
      <c r="ES91" s="2060"/>
      <c r="ET91" s="2060"/>
      <c r="EU91" s="2060"/>
      <c r="EV91" s="2060"/>
      <c r="EW91" s="2060"/>
      <c r="EX91" s="2060"/>
      <c r="EY91" s="2060"/>
      <c r="EZ91" s="2060"/>
      <c r="FA91" s="2060"/>
      <c r="FB91" s="2060"/>
      <c r="FC91" s="2060"/>
      <c r="FD91" s="2060"/>
      <c r="FE91" s="2060"/>
      <c r="FF91" s="2060"/>
      <c r="FG91" s="2060"/>
      <c r="FH91" s="2060"/>
      <c r="FI91" s="2060"/>
      <c r="FJ91" s="2060"/>
      <c r="FK91" s="2060"/>
      <c r="FL91" s="2060"/>
      <c r="FM91" s="2060"/>
      <c r="FN91" s="2060"/>
      <c r="FO91" s="2060"/>
      <c r="FP91" s="2060"/>
      <c r="FQ91" s="2060"/>
      <c r="FR91" s="2060"/>
      <c r="FS91" s="2060"/>
      <c r="FT91" s="2060"/>
      <c r="FU91" s="2060"/>
      <c r="FV91" s="2060"/>
      <c r="FW91" s="2060"/>
      <c r="FX91" s="2060"/>
      <c r="FY91" s="2060"/>
      <c r="FZ91" s="2060"/>
      <c r="GA91" s="2060"/>
      <c r="GB91" s="2060"/>
      <c r="GC91" s="2060"/>
    </row>
    <row r="92" spans="1:185">
      <c r="A92" s="1004"/>
      <c r="B92" s="1004"/>
      <c r="C92" s="2060"/>
      <c r="D92" s="2060"/>
      <c r="E92" s="1799"/>
      <c r="F92" s="1502"/>
      <c r="G92" s="1502"/>
      <c r="H92" s="1698" t="s">
        <v>1179</v>
      </c>
      <c r="I92" s="1697" t="s">
        <v>1182</v>
      </c>
      <c r="J92" s="1697" t="s">
        <v>1183</v>
      </c>
      <c r="K92" s="1697" t="s">
        <v>1184</v>
      </c>
      <c r="L92" s="1596" t="s">
        <v>1185</v>
      </c>
      <c r="M92" s="1596" t="s">
        <v>1186</v>
      </c>
      <c r="N92" s="1596" t="s">
        <v>1187</v>
      </c>
      <c r="O92" s="1596" t="s">
        <v>933</v>
      </c>
      <c r="P92" s="1596" t="s">
        <v>1188</v>
      </c>
      <c r="Q92" s="1619" t="s">
        <v>1189</v>
      </c>
      <c r="R92" s="1619" t="s">
        <v>785</v>
      </c>
      <c r="S92" s="1618" t="s">
        <v>1190</v>
      </c>
      <c r="T92" s="1596"/>
      <c r="U92" s="1617" t="s">
        <v>268</v>
      </c>
      <c r="V92" s="2060"/>
      <c r="W92" s="2060"/>
      <c r="X92" s="2060"/>
      <c r="Y92" s="2060"/>
      <c r="Z92" s="2060"/>
      <c r="AA92" s="2060"/>
      <c r="AB92" s="2060"/>
      <c r="AC92" s="2060"/>
      <c r="AD92" s="1004"/>
      <c r="AE92" s="2060"/>
      <c r="AF92" s="2060"/>
      <c r="AG92" s="2060"/>
      <c r="AH92" s="2060"/>
      <c r="AI92" s="2060"/>
      <c r="AJ92" s="2060"/>
      <c r="AK92" s="2060"/>
      <c r="AL92" s="2060"/>
      <c r="AM92" s="2060"/>
      <c r="AN92" s="2060"/>
      <c r="AO92" s="2060"/>
      <c r="AP92" s="2060"/>
      <c r="AQ92" s="2060"/>
      <c r="AR92" s="2060"/>
      <c r="AS92" s="2060"/>
      <c r="AT92" s="2060"/>
      <c r="AU92" s="2060"/>
      <c r="AV92" s="2060"/>
      <c r="AW92" s="2060"/>
      <c r="AX92" s="2060"/>
      <c r="AY92" s="2060"/>
      <c r="AZ92" s="2060"/>
      <c r="BA92" s="2060"/>
      <c r="BB92" s="2060"/>
      <c r="BC92" s="2060"/>
      <c r="BD92" s="2060"/>
      <c r="BE92" s="2060"/>
      <c r="BF92" s="2060"/>
      <c r="BG92" s="2060"/>
      <c r="BH92" s="2060"/>
      <c r="BI92" s="2060"/>
      <c r="BJ92" s="2060"/>
      <c r="BK92" s="2060"/>
      <c r="BL92" s="2060"/>
      <c r="BM92" s="2060"/>
      <c r="BN92" s="2060"/>
      <c r="BO92" s="2060"/>
      <c r="BP92" s="2060"/>
      <c r="BQ92" s="2060"/>
      <c r="BR92" s="2060"/>
      <c r="BS92" s="2060"/>
      <c r="BT92" s="2060"/>
      <c r="BU92" s="2060"/>
      <c r="BV92" s="2060"/>
      <c r="BW92" s="2060"/>
      <c r="BX92" s="2060"/>
      <c r="BY92" s="2060"/>
      <c r="BZ92" s="2060"/>
      <c r="CA92" s="2060"/>
      <c r="CB92" s="2060"/>
      <c r="CC92" s="2060"/>
      <c r="CD92" s="2060"/>
      <c r="CE92" s="2060"/>
      <c r="CF92" s="2060"/>
      <c r="CG92" s="2060"/>
      <c r="CH92" s="2060"/>
      <c r="CI92" s="2060"/>
      <c r="CJ92" s="2060"/>
      <c r="CK92" s="2060"/>
      <c r="CL92" s="2060"/>
      <c r="CM92" s="2060"/>
      <c r="CN92" s="2060"/>
      <c r="CO92" s="2060"/>
      <c r="CP92" s="2060"/>
      <c r="CQ92" s="2060"/>
      <c r="CR92" s="2060"/>
      <c r="CS92" s="2060"/>
      <c r="CT92" s="2060"/>
      <c r="CU92" s="2060"/>
      <c r="CV92" s="2060"/>
      <c r="CW92" s="2060"/>
      <c r="CX92" s="2060"/>
      <c r="CY92" s="2060"/>
      <c r="CZ92" s="2060"/>
      <c r="DA92" s="2060"/>
      <c r="DB92" s="2060"/>
      <c r="DC92" s="2060"/>
      <c r="DD92" s="2060"/>
      <c r="DE92" s="2060"/>
      <c r="DF92" s="2060"/>
      <c r="DG92" s="2060"/>
      <c r="DH92" s="2060"/>
      <c r="DI92" s="2060"/>
      <c r="DJ92" s="2060"/>
      <c r="DK92" s="2060"/>
      <c r="DL92" s="2060"/>
      <c r="DM92" s="2060"/>
      <c r="DN92" s="2060"/>
      <c r="DO92" s="2060"/>
      <c r="DP92" s="2060"/>
      <c r="DQ92" s="2060"/>
      <c r="DR92" s="2060"/>
      <c r="DS92" s="2060"/>
      <c r="DT92" s="2060"/>
      <c r="DU92" s="2060"/>
      <c r="DV92" s="2060"/>
      <c r="DW92" s="2060"/>
      <c r="DX92" s="2060"/>
      <c r="DY92" s="2060"/>
      <c r="DZ92" s="2060"/>
      <c r="EA92" s="2060"/>
      <c r="EB92" s="2060"/>
      <c r="EC92" s="2060"/>
      <c r="ED92" s="2060"/>
      <c r="EE92" s="2060"/>
      <c r="EF92" s="2060"/>
      <c r="EG92" s="2060"/>
      <c r="EH92" s="2060"/>
      <c r="EI92" s="2060"/>
      <c r="EJ92" s="2060"/>
      <c r="EK92" s="2060"/>
      <c r="EL92" s="2060"/>
      <c r="EM92" s="2060"/>
      <c r="EN92" s="2060"/>
      <c r="EO92" s="2060"/>
      <c r="EP92" s="2060"/>
      <c r="EQ92" s="2060"/>
      <c r="ER92" s="2060"/>
      <c r="ES92" s="2060"/>
      <c r="ET92" s="2060"/>
      <c r="EU92" s="2060"/>
      <c r="EV92" s="2060"/>
      <c r="EW92" s="2060"/>
      <c r="EX92" s="2060"/>
      <c r="EY92" s="2060"/>
      <c r="EZ92" s="2060"/>
      <c r="FA92" s="2060"/>
      <c r="FB92" s="2060"/>
      <c r="FC92" s="2060"/>
      <c r="FD92" s="2060"/>
      <c r="FE92" s="2060"/>
      <c r="FF92" s="2060"/>
      <c r="FG92" s="2060"/>
      <c r="FH92" s="2060"/>
      <c r="FI92" s="2060"/>
      <c r="FJ92" s="2060"/>
      <c r="FK92" s="2060"/>
      <c r="FL92" s="2060"/>
      <c r="FM92" s="2060"/>
      <c r="FN92" s="2060"/>
      <c r="FO92" s="2060"/>
      <c r="FP92" s="2060"/>
      <c r="FQ92" s="2060"/>
      <c r="FR92" s="2060"/>
      <c r="FS92" s="2060"/>
      <c r="FT92" s="2060"/>
      <c r="FU92" s="2060"/>
      <c r="FV92" s="2060"/>
      <c r="FW92" s="2060"/>
      <c r="FX92" s="2060"/>
      <c r="FY92" s="2060"/>
      <c r="FZ92" s="2060"/>
      <c r="GA92" s="2060"/>
      <c r="GB92" s="2060"/>
      <c r="GC92" s="2060"/>
    </row>
    <row r="93" spans="1:185">
      <c r="A93" s="1004"/>
      <c r="B93" s="1004"/>
      <c r="C93" s="2060"/>
      <c r="D93" s="2060"/>
      <c r="E93" s="1800" t="s">
        <v>1143</v>
      </c>
      <c r="F93" s="1349"/>
      <c r="G93" s="1536" t="s">
        <v>134</v>
      </c>
      <c r="H93" s="2060"/>
      <c r="I93" s="2060"/>
      <c r="J93" s="2060"/>
      <c r="K93" s="2060"/>
      <c r="L93" s="1357"/>
      <c r="M93" s="2060"/>
      <c r="N93" s="2060"/>
      <c r="O93" s="2060"/>
      <c r="P93" s="2060"/>
      <c r="Q93" s="2060"/>
      <c r="R93" s="2060"/>
      <c r="S93" s="1502"/>
      <c r="T93" s="1502"/>
      <c r="U93" s="1352"/>
      <c r="V93" s="2060"/>
      <c r="W93" s="2060"/>
      <c r="X93" s="2060"/>
      <c r="Y93" s="2060"/>
      <c r="Z93" s="2060"/>
      <c r="AA93" s="2060"/>
      <c r="AB93" s="2060"/>
      <c r="AC93" s="2060"/>
      <c r="AD93" s="1004"/>
      <c r="AE93" s="2060"/>
      <c r="AF93" s="2060"/>
      <c r="AG93" s="2060"/>
      <c r="AH93" s="2060"/>
      <c r="AI93" s="2060"/>
      <c r="AJ93" s="2060"/>
      <c r="AK93" s="2060"/>
      <c r="AL93" s="2060"/>
      <c r="AM93" s="2060"/>
      <c r="AN93" s="2060"/>
      <c r="AO93" s="2060"/>
      <c r="AP93" s="2060"/>
      <c r="AQ93" s="2060"/>
      <c r="AR93" s="2060"/>
      <c r="AS93" s="2060"/>
      <c r="AT93" s="2060"/>
      <c r="AU93" s="2060"/>
      <c r="AV93" s="2060"/>
      <c r="AW93" s="2060"/>
      <c r="AX93" s="2060"/>
      <c r="AY93" s="2060"/>
      <c r="AZ93" s="2060"/>
      <c r="BA93" s="2060"/>
      <c r="BB93" s="2060"/>
      <c r="BC93" s="2060"/>
      <c r="BD93" s="2060"/>
      <c r="BE93" s="2060"/>
      <c r="BF93" s="2060"/>
      <c r="BG93" s="2060"/>
      <c r="BH93" s="2060"/>
      <c r="BI93" s="2060"/>
      <c r="BJ93" s="2060"/>
      <c r="BK93" s="2060"/>
      <c r="BL93" s="2060"/>
      <c r="BM93" s="2060"/>
      <c r="BN93" s="2060"/>
      <c r="BO93" s="2060"/>
      <c r="BP93" s="2060"/>
      <c r="BQ93" s="2060"/>
      <c r="BR93" s="2060"/>
      <c r="BS93" s="2060"/>
      <c r="BT93" s="2060"/>
      <c r="BU93" s="2060"/>
      <c r="BV93" s="2060"/>
      <c r="BW93" s="2060"/>
      <c r="BX93" s="2060"/>
      <c r="BY93" s="2060"/>
      <c r="BZ93" s="2060"/>
      <c r="CA93" s="2060"/>
      <c r="CB93" s="2060"/>
      <c r="CC93" s="2060"/>
      <c r="CD93" s="2060"/>
      <c r="CE93" s="2060"/>
      <c r="CF93" s="2060"/>
      <c r="CG93" s="2060"/>
      <c r="CH93" s="2060"/>
      <c r="CI93" s="2060"/>
      <c r="CJ93" s="2060"/>
      <c r="CK93" s="2060"/>
      <c r="CL93" s="2060"/>
      <c r="CM93" s="2060"/>
      <c r="CN93" s="2060"/>
      <c r="CO93" s="2060"/>
      <c r="CP93" s="2060"/>
      <c r="CQ93" s="2060"/>
      <c r="CR93" s="2060"/>
      <c r="CS93" s="2060"/>
      <c r="CT93" s="2060"/>
      <c r="CU93" s="2060"/>
      <c r="CV93" s="2060"/>
      <c r="CW93" s="2060"/>
      <c r="CX93" s="2060"/>
      <c r="CY93" s="2060"/>
      <c r="CZ93" s="2060"/>
      <c r="DA93" s="2060"/>
      <c r="DB93" s="2060"/>
      <c r="DC93" s="2060"/>
      <c r="DD93" s="2060"/>
      <c r="DE93" s="2060"/>
      <c r="DF93" s="2060"/>
      <c r="DG93" s="2060"/>
      <c r="DH93" s="2060"/>
      <c r="DI93" s="2060"/>
      <c r="DJ93" s="2060"/>
      <c r="DK93" s="2060"/>
      <c r="DL93" s="2060"/>
      <c r="DM93" s="2060"/>
      <c r="DN93" s="2060"/>
      <c r="DO93" s="2060"/>
      <c r="DP93" s="2060"/>
      <c r="DQ93" s="2060"/>
      <c r="DR93" s="2060"/>
      <c r="DS93" s="2060"/>
      <c r="DT93" s="2060"/>
      <c r="DU93" s="2060"/>
      <c r="DV93" s="2060"/>
      <c r="DW93" s="2060"/>
      <c r="DX93" s="2060"/>
      <c r="DY93" s="2060"/>
      <c r="DZ93" s="2060"/>
      <c r="EA93" s="2060"/>
      <c r="EB93" s="2060"/>
      <c r="EC93" s="2060"/>
      <c r="ED93" s="2060"/>
      <c r="EE93" s="2060"/>
      <c r="EF93" s="2060"/>
      <c r="EG93" s="2060"/>
      <c r="EH93" s="2060"/>
      <c r="EI93" s="2060"/>
      <c r="EJ93" s="2060"/>
      <c r="EK93" s="2060"/>
      <c r="EL93" s="2060"/>
      <c r="EM93" s="2060"/>
      <c r="EN93" s="2060"/>
      <c r="EO93" s="2060"/>
      <c r="EP93" s="2060"/>
      <c r="EQ93" s="2060"/>
      <c r="ER93" s="2060"/>
      <c r="ES93" s="2060"/>
      <c r="ET93" s="2060"/>
      <c r="EU93" s="2060"/>
      <c r="EV93" s="2060"/>
      <c r="EW93" s="2060"/>
      <c r="EX93" s="2060"/>
      <c r="EY93" s="2060"/>
      <c r="EZ93" s="2060"/>
      <c r="FA93" s="2060"/>
      <c r="FB93" s="2060"/>
      <c r="FC93" s="2060"/>
      <c r="FD93" s="2060"/>
      <c r="FE93" s="2060"/>
      <c r="FF93" s="2060"/>
      <c r="FG93" s="2060"/>
      <c r="FH93" s="2060"/>
      <c r="FI93" s="2060"/>
      <c r="FJ93" s="2060"/>
      <c r="FK93" s="2060"/>
      <c r="FL93" s="2060"/>
      <c r="FM93" s="2060"/>
      <c r="FN93" s="2060"/>
      <c r="FO93" s="2060"/>
      <c r="FP93" s="2060"/>
      <c r="FQ93" s="2060"/>
      <c r="FR93" s="2060"/>
      <c r="FS93" s="2060"/>
      <c r="FT93" s="2060"/>
      <c r="FU93" s="2060"/>
      <c r="FV93" s="2060"/>
      <c r="FW93" s="2060"/>
      <c r="FX93" s="2060"/>
      <c r="FY93" s="2060"/>
      <c r="FZ93" s="2060"/>
      <c r="GA93" s="2060"/>
      <c r="GB93" s="2060"/>
      <c r="GC93" s="2060"/>
    </row>
    <row r="94" spans="1:185">
      <c r="A94" s="1632" t="str">
        <f t="shared" ref="A94:A118" si="4">IF(E94="--","n","")</f>
        <v>n</v>
      </c>
      <c r="B94" s="1004"/>
      <c r="C94" s="2060"/>
      <c r="D94" s="779">
        <f ca="1">MAX(OFFSET(D94,-1,0,-ROW(D94)+1,-2),1)+0.01</f>
        <v>3.01</v>
      </c>
      <c r="E94" s="1801" t="str">
        <f>'DATA GPC'!E20</f>
        <v>--</v>
      </c>
      <c r="F94" s="1349"/>
      <c r="G94" s="1504" t="str">
        <f>IF(E94="--","--",'DATA GPC'!G20)</f>
        <v>--</v>
      </c>
      <c r="H94" s="1350" t="str">
        <f t="shared" ref="H94:H118" si="5">IF(AND($P$86="Significant only",$P94="Insignificant"),"--",CHOOSE(Beta12345,H129,M129,R129,W129))</f>
        <v>--</v>
      </c>
      <c r="I94" s="1350" t="str">
        <f t="shared" ref="I94:I118" si="6">IF(AND($P$86="Significant only",$P94="Insignificant"),"--",CHOOSE(Beta12345,I129,N129,S129,X129))</f>
        <v>--</v>
      </c>
      <c r="J94" s="1350" t="str">
        <f t="shared" ref="J94:J118" si="7">IF(AND($P$86="Significant only",$P94="Insignificant"),"--",CHOOSE(Beta12345,J129,O129,T129,Y129))</f>
        <v>--</v>
      </c>
      <c r="K94" s="1350" t="str">
        <f t="shared" ref="K94:K118" si="8">IF(AND($P$86="Significant only",$P94="Insignificant"),"--",CHOOSE(Beta12345,K129,P129,U129,Z129))</f>
        <v>--</v>
      </c>
      <c r="L94" s="1143" t="str">
        <f>IF(AND($P$86="Significant only",$P94="Insignificant"),"--",'WACC and TIC Inputs'!H49)</f>
        <v>--</v>
      </c>
      <c r="M94" s="1143" t="str">
        <f>IF(AND($P$86="Significant only",$P94="Insignificant"),"--",'WACC and TIC Inputs'!I49)</f>
        <v>--</v>
      </c>
      <c r="N94" s="890" t="str">
        <f>IF(AND($P$86="Significant only",$P94="Insignificant"),"--",IF(J49="--","--",J49))</f>
        <v>--</v>
      </c>
      <c r="O94" s="890" t="str">
        <f t="shared" ref="O94:O99" si="9">IF(AND($P$86="Significant only",$P94="Insignificant"),"--",P49)</f>
        <v>--</v>
      </c>
      <c r="P94" s="1794" t="str">
        <f t="shared" ref="P94:P118" si="10">CHOOSE(Beta12345,J164,O164,T164,Y164)</f>
        <v>--</v>
      </c>
      <c r="Q94" s="1616" t="str">
        <f>IF(E129="--","--",IFERROR(_xll.ciqfunctions.udf.CIQ(G129, "IQ_FLOAT_PERCENT",,Valuation_date)/100,"n/a"))</f>
        <v>--</v>
      </c>
      <c r="R94" s="1616" t="str">
        <f>'DATA GPC'!S286</f>
        <v>--</v>
      </c>
      <c r="S94" s="2060" t="str">
        <f>'DATA GPC'!K20</f>
        <v>--</v>
      </c>
      <c r="T94" s="2060"/>
      <c r="U94" s="1352" t="str">
        <f>'DATA GPC'!S20</f>
        <v>--</v>
      </c>
      <c r="V94" s="2060"/>
      <c r="W94" s="2060"/>
      <c r="X94" s="2060"/>
      <c r="Y94" s="2060"/>
      <c r="Z94" s="2060"/>
      <c r="AA94" s="2060"/>
      <c r="AB94" s="2060"/>
      <c r="AC94" s="2060"/>
      <c r="AD94" s="1004"/>
      <c r="AE94" s="2060"/>
      <c r="AF94" s="2060"/>
      <c r="AG94" s="2060"/>
      <c r="AH94" s="2060"/>
      <c r="AI94" s="2060"/>
      <c r="AJ94" s="2060"/>
      <c r="AK94" s="2060"/>
      <c r="AL94" s="2060"/>
      <c r="AM94" s="2060"/>
      <c r="AN94" s="2060"/>
      <c r="AO94" s="2060"/>
      <c r="AP94" s="2060"/>
      <c r="AQ94" s="2060"/>
      <c r="AR94" s="2060"/>
      <c r="AS94" s="2060"/>
      <c r="AT94" s="2060"/>
      <c r="AU94" s="2060"/>
      <c r="AV94" s="2060"/>
      <c r="AW94" s="2060"/>
      <c r="AX94" s="2060"/>
      <c r="AY94" s="2060"/>
      <c r="AZ94" s="2060"/>
      <c r="BA94" s="2060"/>
      <c r="BB94" s="2060"/>
      <c r="BC94" s="2060"/>
      <c r="BD94" s="2060"/>
      <c r="BE94" s="2060"/>
      <c r="BF94" s="2060"/>
      <c r="BG94" s="2060"/>
      <c r="BH94" s="2060"/>
      <c r="BI94" s="2060"/>
      <c r="BJ94" s="2060"/>
      <c r="BK94" s="2060"/>
      <c r="BL94" s="2060"/>
      <c r="BM94" s="2060"/>
      <c r="BN94" s="2060"/>
      <c r="BO94" s="2060"/>
      <c r="BP94" s="2060"/>
      <c r="BQ94" s="2060"/>
      <c r="BR94" s="2060"/>
      <c r="BS94" s="2060"/>
      <c r="BT94" s="2060"/>
      <c r="BU94" s="2060"/>
      <c r="BV94" s="2060"/>
      <c r="BW94" s="2060"/>
      <c r="BX94" s="2060"/>
      <c r="BY94" s="2060"/>
      <c r="BZ94" s="2060"/>
      <c r="CA94" s="2060"/>
      <c r="CB94" s="2060"/>
      <c r="CC94" s="2060"/>
      <c r="CD94" s="2060"/>
      <c r="CE94" s="2060"/>
      <c r="CF94" s="2060"/>
      <c r="CG94" s="2060"/>
      <c r="CH94" s="2060"/>
      <c r="CI94" s="2060"/>
      <c r="CJ94" s="2060"/>
      <c r="CK94" s="2060"/>
      <c r="CL94" s="2060"/>
      <c r="CM94" s="2060"/>
      <c r="CN94" s="2060"/>
      <c r="CO94" s="2060"/>
      <c r="CP94" s="2060"/>
      <c r="CQ94" s="2060"/>
      <c r="CR94" s="2060"/>
      <c r="CS94" s="2060"/>
      <c r="CT94" s="2060"/>
      <c r="CU94" s="2060"/>
      <c r="CV94" s="2060"/>
      <c r="CW94" s="2060"/>
      <c r="CX94" s="2060"/>
      <c r="CY94" s="2060"/>
      <c r="CZ94" s="2060"/>
      <c r="DA94" s="2060"/>
      <c r="DB94" s="2060"/>
      <c r="DC94" s="2060"/>
      <c r="DD94" s="2060"/>
      <c r="DE94" s="2060"/>
      <c r="DF94" s="2060"/>
      <c r="DG94" s="2060"/>
      <c r="DH94" s="2060"/>
      <c r="DI94" s="2060"/>
      <c r="DJ94" s="2060"/>
      <c r="DK94" s="2060"/>
      <c r="DL94" s="2060"/>
      <c r="DM94" s="2060"/>
      <c r="DN94" s="2060"/>
      <c r="DO94" s="2060"/>
      <c r="DP94" s="2060"/>
      <c r="DQ94" s="2060"/>
      <c r="DR94" s="2060"/>
      <c r="DS94" s="2060"/>
      <c r="DT94" s="2060"/>
      <c r="DU94" s="2060"/>
      <c r="DV94" s="2060"/>
      <c r="DW94" s="2060"/>
      <c r="DX94" s="2060"/>
      <c r="DY94" s="2060"/>
      <c r="DZ94" s="2060"/>
      <c r="EA94" s="2060"/>
      <c r="EB94" s="2060"/>
      <c r="EC94" s="2060"/>
      <c r="ED94" s="2060"/>
      <c r="EE94" s="2060"/>
      <c r="EF94" s="2060"/>
      <c r="EG94" s="2060"/>
      <c r="EH94" s="2060"/>
      <c r="EI94" s="2060"/>
      <c r="EJ94" s="2060"/>
      <c r="EK94" s="2060"/>
      <c r="EL94" s="2060"/>
      <c r="EM94" s="2060"/>
      <c r="EN94" s="2060"/>
      <c r="EO94" s="2060"/>
      <c r="EP94" s="2060"/>
      <c r="EQ94" s="2060"/>
      <c r="ER94" s="2060"/>
      <c r="ES94" s="2060"/>
      <c r="ET94" s="2060"/>
      <c r="EU94" s="2060"/>
      <c r="EV94" s="2060"/>
      <c r="EW94" s="2060"/>
      <c r="EX94" s="2060"/>
      <c r="EY94" s="2060"/>
      <c r="EZ94" s="2060"/>
      <c r="FA94" s="2060"/>
      <c r="FB94" s="2060"/>
      <c r="FC94" s="2060"/>
      <c r="FD94" s="2060"/>
      <c r="FE94" s="2060"/>
      <c r="FF94" s="2060"/>
      <c r="FG94" s="2060"/>
      <c r="FH94" s="2060"/>
      <c r="FI94" s="2060"/>
      <c r="FJ94" s="2060"/>
      <c r="FK94" s="2060"/>
      <c r="FL94" s="2060"/>
      <c r="FM94" s="2060"/>
      <c r="FN94" s="2060"/>
      <c r="FO94" s="2060"/>
      <c r="FP94" s="2060"/>
      <c r="FQ94" s="2060"/>
      <c r="FR94" s="2060"/>
      <c r="FS94" s="2060"/>
      <c r="FT94" s="2060"/>
      <c r="FU94" s="2060"/>
      <c r="FV94" s="2060"/>
      <c r="FW94" s="2060"/>
      <c r="FX94" s="2060"/>
      <c r="FY94" s="2060"/>
      <c r="FZ94" s="2060"/>
      <c r="GA94" s="2060"/>
      <c r="GB94" s="2060"/>
      <c r="GC94" s="2060"/>
    </row>
    <row r="95" spans="1:185">
      <c r="A95" s="1632" t="str">
        <f t="shared" si="4"/>
        <v>n</v>
      </c>
      <c r="B95" s="1004"/>
      <c r="C95" s="2060"/>
      <c r="D95" s="779">
        <f t="shared" ref="D95:D118" ca="1" si="11">MAX(OFFSET(D95,-1,0,-ROW(D95)+1,-2),1)+0.01</f>
        <v>3.0199999999999996</v>
      </c>
      <c r="E95" s="1801" t="str">
        <f>'DATA GPC'!E21</f>
        <v>--</v>
      </c>
      <c r="F95" s="1349"/>
      <c r="G95" s="1504" t="str">
        <f>IF(E95="--","--",'DATA GPC'!G21)</f>
        <v>--</v>
      </c>
      <c r="H95" s="1350" t="str">
        <f t="shared" si="5"/>
        <v>--</v>
      </c>
      <c r="I95" s="1350" t="str">
        <f t="shared" si="6"/>
        <v>--</v>
      </c>
      <c r="J95" s="1350" t="str">
        <f t="shared" si="7"/>
        <v>--</v>
      </c>
      <c r="K95" s="1350" t="str">
        <f t="shared" si="8"/>
        <v>--</v>
      </c>
      <c r="L95" s="1143" t="str">
        <f>IF(AND($P$86="Significant only",$P95="Insignificant"),"--",'WACC and TIC Inputs'!H50)</f>
        <v>--</v>
      </c>
      <c r="M95" s="1143" t="str">
        <f>IF(AND($P$86="Significant only",$P95="Insignificant"),"--",'WACC and TIC Inputs'!I50)</f>
        <v>--</v>
      </c>
      <c r="N95" s="890" t="str">
        <f t="shared" ref="N95:N118" si="12">IF(AND($P$86="Significant only",$P95="Insignificant"),"--",IF(J50="--","--",J50))</f>
        <v>--</v>
      </c>
      <c r="O95" s="890" t="str">
        <f t="shared" si="9"/>
        <v>--</v>
      </c>
      <c r="P95" s="145" t="str">
        <f t="shared" si="10"/>
        <v>--</v>
      </c>
      <c r="Q95" s="1616" t="str">
        <f>IF(E130="--","--",IFERROR(_xll.ciqfunctions.udf.CIQ(G130, "IQ_FLOAT_PERCENT",,Valuation_date)/100,"n/a"))</f>
        <v>--</v>
      </c>
      <c r="R95" s="1616" t="str">
        <f>'DATA GPC'!S287</f>
        <v>--</v>
      </c>
      <c r="S95" s="2060" t="str">
        <f>'DATA GPC'!K21</f>
        <v>--</v>
      </c>
      <c r="T95" s="2060"/>
      <c r="U95" s="1352" t="str">
        <f>'DATA GPC'!S21</f>
        <v>--</v>
      </c>
      <c r="V95" s="2060"/>
      <c r="W95" s="2060"/>
      <c r="X95" s="2060"/>
      <c r="Y95" s="2060"/>
      <c r="Z95" s="2060"/>
      <c r="AA95" s="2060"/>
      <c r="AB95" s="2060"/>
      <c r="AC95" s="2060"/>
      <c r="AD95" s="1004"/>
      <c r="AE95" s="2060"/>
      <c r="AF95" s="2060"/>
      <c r="AG95" s="2060"/>
      <c r="AH95" s="2060"/>
      <c r="AI95" s="2060"/>
      <c r="AJ95" s="2060"/>
      <c r="AK95" s="2060"/>
      <c r="AL95" s="2060"/>
      <c r="AM95" s="2060"/>
      <c r="AN95" s="2060"/>
      <c r="AO95" s="2060"/>
      <c r="AP95" s="2060"/>
      <c r="AQ95" s="2060"/>
      <c r="AR95" s="2060"/>
      <c r="AS95" s="2060"/>
      <c r="AT95" s="2060"/>
      <c r="AU95" s="2060"/>
      <c r="AV95" s="2060"/>
      <c r="AW95" s="2060"/>
      <c r="AX95" s="2060"/>
      <c r="AY95" s="2060"/>
      <c r="AZ95" s="2060"/>
      <c r="BA95" s="2060"/>
      <c r="BB95" s="2060"/>
      <c r="BC95" s="2060"/>
      <c r="BD95" s="2060"/>
      <c r="BE95" s="2060"/>
      <c r="BF95" s="2060"/>
      <c r="BG95" s="2060"/>
      <c r="BH95" s="2060"/>
      <c r="BI95" s="2060"/>
      <c r="BJ95" s="2060"/>
      <c r="BK95" s="2060"/>
      <c r="BL95" s="2060"/>
      <c r="BM95" s="2060"/>
      <c r="BN95" s="2060"/>
      <c r="BO95" s="2060"/>
      <c r="BP95" s="2060"/>
      <c r="BQ95" s="2060"/>
      <c r="BR95" s="2060"/>
      <c r="BS95" s="2060"/>
      <c r="BT95" s="2060"/>
      <c r="BU95" s="2060"/>
      <c r="BV95" s="2060"/>
      <c r="BW95" s="2060"/>
      <c r="BX95" s="2060"/>
      <c r="BY95" s="2060"/>
      <c r="BZ95" s="2060"/>
      <c r="CA95" s="2060"/>
      <c r="CB95" s="2060"/>
      <c r="CC95" s="2060"/>
      <c r="CD95" s="2060"/>
      <c r="CE95" s="2060"/>
      <c r="CF95" s="2060"/>
      <c r="CG95" s="2060"/>
      <c r="CH95" s="2060"/>
      <c r="CI95" s="2060"/>
      <c r="CJ95" s="2060"/>
      <c r="CK95" s="2060"/>
      <c r="CL95" s="2060"/>
      <c r="CM95" s="2060"/>
      <c r="CN95" s="2060"/>
      <c r="CO95" s="2060"/>
      <c r="CP95" s="2060"/>
      <c r="CQ95" s="2060"/>
      <c r="CR95" s="2060"/>
      <c r="CS95" s="2060"/>
      <c r="CT95" s="2060"/>
      <c r="CU95" s="2060"/>
      <c r="CV95" s="2060"/>
      <c r="CW95" s="2060"/>
      <c r="CX95" s="2060"/>
      <c r="CY95" s="2060"/>
      <c r="CZ95" s="2060"/>
      <c r="DA95" s="2060"/>
      <c r="DB95" s="2060"/>
      <c r="DC95" s="2060"/>
      <c r="DD95" s="2060"/>
      <c r="DE95" s="2060"/>
      <c r="DF95" s="2060"/>
      <c r="DG95" s="2060"/>
      <c r="DH95" s="2060"/>
      <c r="DI95" s="2060"/>
      <c r="DJ95" s="2060"/>
      <c r="DK95" s="2060"/>
      <c r="DL95" s="2060"/>
      <c r="DM95" s="2060"/>
      <c r="DN95" s="2060"/>
      <c r="DO95" s="2060"/>
      <c r="DP95" s="2060"/>
      <c r="DQ95" s="2060"/>
      <c r="DR95" s="2060"/>
      <c r="DS95" s="2060"/>
      <c r="DT95" s="2060"/>
      <c r="DU95" s="2060"/>
      <c r="DV95" s="2060"/>
      <c r="DW95" s="2060"/>
      <c r="DX95" s="2060"/>
      <c r="DY95" s="2060"/>
      <c r="DZ95" s="2060"/>
      <c r="EA95" s="2060"/>
      <c r="EB95" s="2060"/>
      <c r="EC95" s="2060"/>
      <c r="ED95" s="2060"/>
      <c r="EE95" s="2060"/>
      <c r="EF95" s="2060"/>
      <c r="EG95" s="2060"/>
      <c r="EH95" s="2060"/>
      <c r="EI95" s="2060"/>
      <c r="EJ95" s="2060"/>
      <c r="EK95" s="2060"/>
      <c r="EL95" s="2060"/>
      <c r="EM95" s="2060"/>
      <c r="EN95" s="2060"/>
      <c r="EO95" s="2060"/>
      <c r="EP95" s="2060"/>
      <c r="EQ95" s="2060"/>
      <c r="ER95" s="2060"/>
      <c r="ES95" s="2060"/>
      <c r="ET95" s="2060"/>
      <c r="EU95" s="2060"/>
      <c r="EV95" s="2060"/>
      <c r="EW95" s="2060"/>
      <c r="EX95" s="2060"/>
      <c r="EY95" s="2060"/>
      <c r="EZ95" s="2060"/>
      <c r="FA95" s="2060"/>
      <c r="FB95" s="2060"/>
      <c r="FC95" s="2060"/>
      <c r="FD95" s="2060"/>
      <c r="FE95" s="2060"/>
      <c r="FF95" s="2060"/>
      <c r="FG95" s="2060"/>
      <c r="FH95" s="2060"/>
      <c r="FI95" s="2060"/>
      <c r="FJ95" s="2060"/>
      <c r="FK95" s="2060"/>
      <c r="FL95" s="2060"/>
      <c r="FM95" s="2060"/>
      <c r="FN95" s="2060"/>
      <c r="FO95" s="2060"/>
      <c r="FP95" s="2060"/>
      <c r="FQ95" s="2060"/>
      <c r="FR95" s="2060"/>
      <c r="FS95" s="2060"/>
      <c r="FT95" s="2060"/>
      <c r="FU95" s="2060"/>
      <c r="FV95" s="2060"/>
      <c r="FW95" s="2060"/>
      <c r="FX95" s="2060"/>
      <c r="FY95" s="2060"/>
      <c r="FZ95" s="2060"/>
      <c r="GA95" s="2060"/>
      <c r="GB95" s="2060"/>
      <c r="GC95" s="2060"/>
    </row>
    <row r="96" spans="1:185">
      <c r="A96" s="1632" t="str">
        <f t="shared" si="4"/>
        <v>n</v>
      </c>
      <c r="B96" s="1004"/>
      <c r="C96" s="2060"/>
      <c r="D96" s="779">
        <f t="shared" ca="1" si="11"/>
        <v>3.0299999999999994</v>
      </c>
      <c r="E96" s="1801" t="str">
        <f>'DATA GPC'!E22</f>
        <v>--</v>
      </c>
      <c r="F96" s="1349"/>
      <c r="G96" s="1504" t="str">
        <f>IF(E96="--","--",'DATA GPC'!G22)</f>
        <v>--</v>
      </c>
      <c r="H96" s="1350" t="str">
        <f t="shared" si="5"/>
        <v>--</v>
      </c>
      <c r="I96" s="1350" t="str">
        <f t="shared" si="6"/>
        <v>--</v>
      </c>
      <c r="J96" s="1350" t="str">
        <f t="shared" si="7"/>
        <v>--</v>
      </c>
      <c r="K96" s="1350" t="str">
        <f t="shared" si="8"/>
        <v>--</v>
      </c>
      <c r="L96" s="1143" t="str">
        <f>IF(AND($P$86="Significant only",$P96="Insignificant"),"--",'WACC and TIC Inputs'!H51)</f>
        <v>--</v>
      </c>
      <c r="M96" s="1143" t="str">
        <f>IF(AND($P$86="Significant only",$P96="Insignificant"),"--",'WACC and TIC Inputs'!I51)</f>
        <v>--</v>
      </c>
      <c r="N96" s="890" t="str">
        <f t="shared" si="12"/>
        <v>--</v>
      </c>
      <c r="O96" s="890" t="str">
        <f t="shared" si="9"/>
        <v>--</v>
      </c>
      <c r="P96" s="145" t="str">
        <f t="shared" si="10"/>
        <v>--</v>
      </c>
      <c r="Q96" s="1616" t="str">
        <f>IF(E131="--","--",IFERROR(_xll.ciqfunctions.udf.CIQ(G131, "IQ_FLOAT_PERCENT",,Valuation_date)/100,"n/a"))</f>
        <v>--</v>
      </c>
      <c r="R96" s="1616" t="str">
        <f>'DATA GPC'!S288</f>
        <v>--</v>
      </c>
      <c r="S96" s="2060" t="str">
        <f>'DATA GPC'!K22</f>
        <v>--</v>
      </c>
      <c r="T96" s="2060"/>
      <c r="U96" s="1352" t="str">
        <f>'DATA GPC'!S22</f>
        <v>--</v>
      </c>
      <c r="V96" s="2060"/>
      <c r="W96" s="2060"/>
      <c r="X96" s="2060"/>
      <c r="Y96" s="2060"/>
      <c r="Z96" s="2060"/>
      <c r="AA96" s="2060"/>
      <c r="AB96" s="2060"/>
      <c r="AC96" s="2060"/>
      <c r="AD96" s="1004"/>
      <c r="AE96" s="2060"/>
      <c r="AF96" s="2060"/>
      <c r="AG96" s="2060"/>
      <c r="AH96" s="2060"/>
      <c r="AI96" s="2060"/>
      <c r="AJ96" s="2060"/>
      <c r="AK96" s="2060"/>
      <c r="AL96" s="2060"/>
      <c r="AM96" s="2060"/>
      <c r="AN96" s="2060"/>
      <c r="AO96" s="2060"/>
      <c r="AP96" s="2060"/>
      <c r="AQ96" s="2060"/>
      <c r="AR96" s="2060"/>
      <c r="AS96" s="2060"/>
      <c r="AT96" s="2060"/>
      <c r="AU96" s="2060"/>
      <c r="AV96" s="2060"/>
      <c r="AW96" s="2060"/>
      <c r="AX96" s="2060"/>
      <c r="AY96" s="2060"/>
      <c r="AZ96" s="2060"/>
      <c r="BA96" s="2060"/>
      <c r="BB96" s="2060"/>
      <c r="BC96" s="2060"/>
      <c r="BD96" s="2060"/>
      <c r="BE96" s="2060"/>
      <c r="BF96" s="2060"/>
      <c r="BG96" s="2060"/>
      <c r="BH96" s="2060"/>
      <c r="BI96" s="2060"/>
      <c r="BJ96" s="2060"/>
      <c r="BK96" s="2060"/>
      <c r="BL96" s="2060"/>
      <c r="BM96" s="2060"/>
      <c r="BN96" s="2060"/>
      <c r="BO96" s="2060"/>
      <c r="BP96" s="2060"/>
      <c r="BQ96" s="2060"/>
      <c r="BR96" s="2060"/>
      <c r="BS96" s="2060"/>
      <c r="BT96" s="2060"/>
      <c r="BU96" s="2060"/>
      <c r="BV96" s="2060"/>
      <c r="BW96" s="2060"/>
      <c r="BX96" s="2060"/>
      <c r="BY96" s="2060"/>
      <c r="BZ96" s="2060"/>
      <c r="CA96" s="2060"/>
      <c r="CB96" s="2060"/>
      <c r="CC96" s="2060"/>
      <c r="CD96" s="2060"/>
      <c r="CE96" s="2060"/>
      <c r="CF96" s="2060"/>
      <c r="CG96" s="2060"/>
      <c r="CH96" s="2060"/>
      <c r="CI96" s="2060"/>
      <c r="CJ96" s="2060"/>
      <c r="CK96" s="2060"/>
      <c r="CL96" s="2060"/>
      <c r="CM96" s="2060"/>
      <c r="CN96" s="2060"/>
      <c r="CO96" s="2060"/>
      <c r="CP96" s="2060"/>
      <c r="CQ96" s="2060"/>
      <c r="CR96" s="2060"/>
      <c r="CS96" s="2060"/>
      <c r="CT96" s="2060"/>
      <c r="CU96" s="2060"/>
      <c r="CV96" s="2060"/>
      <c r="CW96" s="2060"/>
      <c r="CX96" s="2060"/>
      <c r="CY96" s="2060"/>
      <c r="CZ96" s="2060"/>
      <c r="DA96" s="2060"/>
      <c r="DB96" s="2060"/>
      <c r="DC96" s="2060"/>
      <c r="DD96" s="2060"/>
      <c r="DE96" s="2060"/>
      <c r="DF96" s="2060"/>
      <c r="DG96" s="2060"/>
      <c r="DH96" s="2060"/>
      <c r="DI96" s="2060"/>
      <c r="DJ96" s="2060"/>
      <c r="DK96" s="2060"/>
      <c r="DL96" s="2060"/>
      <c r="DM96" s="2060"/>
      <c r="DN96" s="2060"/>
      <c r="DO96" s="2060"/>
      <c r="DP96" s="2060"/>
      <c r="DQ96" s="2060"/>
      <c r="DR96" s="2060"/>
      <c r="DS96" s="2060"/>
      <c r="DT96" s="2060"/>
      <c r="DU96" s="2060"/>
      <c r="DV96" s="2060"/>
      <c r="DW96" s="2060"/>
      <c r="DX96" s="2060"/>
      <c r="DY96" s="2060"/>
      <c r="DZ96" s="2060"/>
      <c r="EA96" s="2060"/>
      <c r="EB96" s="2060"/>
      <c r="EC96" s="2060"/>
      <c r="ED96" s="2060"/>
      <c r="EE96" s="2060"/>
      <c r="EF96" s="2060"/>
      <c r="EG96" s="2060"/>
      <c r="EH96" s="2060"/>
      <c r="EI96" s="2060"/>
      <c r="EJ96" s="2060"/>
      <c r="EK96" s="2060"/>
      <c r="EL96" s="2060"/>
      <c r="EM96" s="2060"/>
      <c r="EN96" s="2060"/>
      <c r="EO96" s="2060"/>
      <c r="EP96" s="2060"/>
      <c r="EQ96" s="2060"/>
      <c r="ER96" s="2060"/>
      <c r="ES96" s="2060"/>
      <c r="ET96" s="2060"/>
      <c r="EU96" s="2060"/>
      <c r="EV96" s="2060"/>
      <c r="EW96" s="2060"/>
      <c r="EX96" s="2060"/>
      <c r="EY96" s="2060"/>
      <c r="EZ96" s="2060"/>
      <c r="FA96" s="2060"/>
      <c r="FB96" s="2060"/>
      <c r="FC96" s="2060"/>
      <c r="FD96" s="2060"/>
      <c r="FE96" s="2060"/>
      <c r="FF96" s="2060"/>
      <c r="FG96" s="2060"/>
      <c r="FH96" s="2060"/>
      <c r="FI96" s="2060"/>
      <c r="FJ96" s="2060"/>
      <c r="FK96" s="2060"/>
      <c r="FL96" s="2060"/>
      <c r="FM96" s="2060"/>
      <c r="FN96" s="2060"/>
      <c r="FO96" s="2060"/>
      <c r="FP96" s="2060"/>
      <c r="FQ96" s="2060"/>
      <c r="FR96" s="2060"/>
      <c r="FS96" s="2060"/>
      <c r="FT96" s="2060"/>
      <c r="FU96" s="2060"/>
      <c r="FV96" s="2060"/>
      <c r="FW96" s="2060"/>
      <c r="FX96" s="2060"/>
      <c r="FY96" s="2060"/>
      <c r="FZ96" s="2060"/>
      <c r="GA96" s="2060"/>
      <c r="GB96" s="2060"/>
      <c r="GC96" s="2060"/>
    </row>
    <row r="97" spans="1:185">
      <c r="A97" s="1632" t="str">
        <f t="shared" si="4"/>
        <v>n</v>
      </c>
      <c r="B97" s="1004"/>
      <c r="C97" s="2060"/>
      <c r="D97" s="779">
        <f t="shared" ca="1" si="11"/>
        <v>3.0399999999999991</v>
      </c>
      <c r="E97" s="1801" t="str">
        <f>'DATA GPC'!E23</f>
        <v>--</v>
      </c>
      <c r="F97" s="1349"/>
      <c r="G97" s="1504" t="str">
        <f>IF(E97="--","--",'DATA GPC'!G23)</f>
        <v>--</v>
      </c>
      <c r="H97" s="1350" t="str">
        <f t="shared" si="5"/>
        <v>--</v>
      </c>
      <c r="I97" s="1350" t="str">
        <f t="shared" si="6"/>
        <v>--</v>
      </c>
      <c r="J97" s="1350" t="str">
        <f t="shared" si="7"/>
        <v>--</v>
      </c>
      <c r="K97" s="1350" t="str">
        <f t="shared" si="8"/>
        <v>--</v>
      </c>
      <c r="L97" s="1143" t="str">
        <f>IF(AND($P$86="Significant only",$P97="Insignificant"),"--",'WACC and TIC Inputs'!H52)</f>
        <v>--</v>
      </c>
      <c r="M97" s="1143" t="str">
        <f>IF(AND($P$86="Significant only",$P97="Insignificant"),"--",'WACC and TIC Inputs'!I52)</f>
        <v>--</v>
      </c>
      <c r="N97" s="890" t="str">
        <f t="shared" si="12"/>
        <v>--</v>
      </c>
      <c r="O97" s="890" t="str">
        <f t="shared" si="9"/>
        <v>--</v>
      </c>
      <c r="P97" s="145" t="str">
        <f t="shared" si="10"/>
        <v>--</v>
      </c>
      <c r="Q97" s="1616" t="str">
        <f>IF(E132="--","--",IFERROR(_xll.ciqfunctions.udf.CIQ(G132, "IQ_FLOAT_PERCENT",,Valuation_date)/100,"n/a"))</f>
        <v>--</v>
      </c>
      <c r="R97" s="1616" t="str">
        <f>'DATA GPC'!S289</f>
        <v>--</v>
      </c>
      <c r="S97" s="2060" t="str">
        <f>'DATA GPC'!K23</f>
        <v>--</v>
      </c>
      <c r="T97" s="2060"/>
      <c r="U97" s="1352" t="str">
        <f>'DATA GPC'!S23</f>
        <v>--</v>
      </c>
      <c r="V97" s="2060"/>
      <c r="W97" s="2060"/>
      <c r="X97" s="2060"/>
      <c r="Y97" s="2060"/>
      <c r="Z97" s="2060"/>
      <c r="AA97" s="2060"/>
      <c r="AB97" s="2060"/>
      <c r="AC97" s="2060"/>
      <c r="AD97" s="1004"/>
      <c r="AE97" s="2060"/>
      <c r="AF97" s="2060"/>
      <c r="AG97" s="2060"/>
      <c r="AH97" s="2060"/>
      <c r="AI97" s="2060"/>
      <c r="AJ97" s="2060"/>
      <c r="AK97" s="2060"/>
      <c r="AL97" s="2060"/>
      <c r="AM97" s="2060"/>
      <c r="AN97" s="2060"/>
      <c r="AO97" s="2060"/>
      <c r="AP97" s="2060"/>
      <c r="AQ97" s="2060"/>
      <c r="AR97" s="2060"/>
      <c r="AS97" s="2060"/>
      <c r="AT97" s="2060"/>
      <c r="AU97" s="2060"/>
      <c r="AV97" s="2060"/>
      <c r="AW97" s="2060"/>
      <c r="AX97" s="2060"/>
      <c r="AY97" s="2060"/>
      <c r="AZ97" s="2060"/>
      <c r="BA97" s="2060"/>
      <c r="BB97" s="2060"/>
      <c r="BC97" s="2060"/>
      <c r="BD97" s="2060"/>
      <c r="BE97" s="2060"/>
      <c r="BF97" s="2060"/>
      <c r="BG97" s="2060"/>
      <c r="BH97" s="2060"/>
      <c r="BI97" s="2060"/>
      <c r="BJ97" s="2060"/>
      <c r="BK97" s="2060"/>
      <c r="BL97" s="2060"/>
      <c r="BM97" s="2060"/>
      <c r="BN97" s="2060"/>
      <c r="BO97" s="2060"/>
      <c r="BP97" s="2060"/>
      <c r="BQ97" s="2060"/>
      <c r="BR97" s="2060"/>
      <c r="BS97" s="2060"/>
      <c r="BT97" s="2060"/>
      <c r="BU97" s="2060"/>
      <c r="BV97" s="2060"/>
      <c r="BW97" s="2060"/>
      <c r="BX97" s="2060"/>
      <c r="BY97" s="2060"/>
      <c r="BZ97" s="2060"/>
      <c r="CA97" s="2060"/>
      <c r="CB97" s="2060"/>
      <c r="CC97" s="2060"/>
      <c r="CD97" s="2060"/>
      <c r="CE97" s="2060"/>
      <c r="CF97" s="2060"/>
      <c r="CG97" s="2060"/>
      <c r="CH97" s="2060"/>
      <c r="CI97" s="2060"/>
      <c r="CJ97" s="2060"/>
      <c r="CK97" s="2060"/>
      <c r="CL97" s="2060"/>
      <c r="CM97" s="2060"/>
      <c r="CN97" s="2060"/>
      <c r="CO97" s="2060"/>
      <c r="CP97" s="2060"/>
      <c r="CQ97" s="2060"/>
      <c r="CR97" s="2060"/>
      <c r="CS97" s="2060"/>
      <c r="CT97" s="2060"/>
      <c r="CU97" s="2060"/>
      <c r="CV97" s="2060"/>
      <c r="CW97" s="2060"/>
      <c r="CX97" s="2060"/>
      <c r="CY97" s="2060"/>
      <c r="CZ97" s="2060"/>
      <c r="DA97" s="2060"/>
      <c r="DB97" s="2060"/>
      <c r="DC97" s="2060"/>
      <c r="DD97" s="2060"/>
      <c r="DE97" s="2060"/>
      <c r="DF97" s="2060"/>
      <c r="DG97" s="2060"/>
      <c r="DH97" s="2060"/>
      <c r="DI97" s="2060"/>
      <c r="DJ97" s="2060"/>
      <c r="DK97" s="2060"/>
      <c r="DL97" s="2060"/>
      <c r="DM97" s="2060"/>
      <c r="DN97" s="2060"/>
      <c r="DO97" s="2060"/>
      <c r="DP97" s="2060"/>
      <c r="DQ97" s="2060"/>
      <c r="DR97" s="2060"/>
      <c r="DS97" s="2060"/>
      <c r="DT97" s="2060"/>
      <c r="DU97" s="2060"/>
      <c r="DV97" s="2060"/>
      <c r="DW97" s="2060"/>
      <c r="DX97" s="2060"/>
      <c r="DY97" s="2060"/>
      <c r="DZ97" s="2060"/>
      <c r="EA97" s="2060"/>
      <c r="EB97" s="2060"/>
      <c r="EC97" s="2060"/>
      <c r="ED97" s="2060"/>
      <c r="EE97" s="2060"/>
      <c r="EF97" s="2060"/>
      <c r="EG97" s="2060"/>
      <c r="EH97" s="2060"/>
      <c r="EI97" s="2060"/>
      <c r="EJ97" s="2060"/>
      <c r="EK97" s="2060"/>
      <c r="EL97" s="2060"/>
      <c r="EM97" s="2060"/>
      <c r="EN97" s="2060"/>
      <c r="EO97" s="2060"/>
      <c r="EP97" s="2060"/>
      <c r="EQ97" s="2060"/>
      <c r="ER97" s="2060"/>
      <c r="ES97" s="2060"/>
      <c r="ET97" s="2060"/>
      <c r="EU97" s="2060"/>
      <c r="EV97" s="2060"/>
      <c r="EW97" s="2060"/>
      <c r="EX97" s="2060"/>
      <c r="EY97" s="2060"/>
      <c r="EZ97" s="2060"/>
      <c r="FA97" s="2060"/>
      <c r="FB97" s="2060"/>
      <c r="FC97" s="2060"/>
      <c r="FD97" s="2060"/>
      <c r="FE97" s="2060"/>
      <c r="FF97" s="2060"/>
      <c r="FG97" s="2060"/>
      <c r="FH97" s="2060"/>
      <c r="FI97" s="2060"/>
      <c r="FJ97" s="2060"/>
      <c r="FK97" s="2060"/>
      <c r="FL97" s="2060"/>
      <c r="FM97" s="2060"/>
      <c r="FN97" s="2060"/>
      <c r="FO97" s="2060"/>
      <c r="FP97" s="2060"/>
      <c r="FQ97" s="2060"/>
      <c r="FR97" s="2060"/>
      <c r="FS97" s="2060"/>
      <c r="FT97" s="2060"/>
      <c r="FU97" s="2060"/>
      <c r="FV97" s="2060"/>
      <c r="FW97" s="2060"/>
      <c r="FX97" s="2060"/>
      <c r="FY97" s="2060"/>
      <c r="FZ97" s="2060"/>
      <c r="GA97" s="2060"/>
      <c r="GB97" s="2060"/>
      <c r="GC97" s="2060"/>
    </row>
    <row r="98" spans="1:185">
      <c r="A98" s="1632" t="str">
        <f t="shared" si="4"/>
        <v>n</v>
      </c>
      <c r="B98" s="1004"/>
      <c r="C98" s="2060"/>
      <c r="D98" s="779">
        <f t="shared" ca="1" si="11"/>
        <v>3.0499999999999989</v>
      </c>
      <c r="E98" s="1801" t="str">
        <f>'DATA GPC'!E24</f>
        <v>--</v>
      </c>
      <c r="F98" s="1349"/>
      <c r="G98" s="1504" t="str">
        <f>IF(E98="--","--",'DATA GPC'!G24)</f>
        <v>--</v>
      </c>
      <c r="H98" s="1350" t="str">
        <f t="shared" si="5"/>
        <v>--</v>
      </c>
      <c r="I98" s="1350" t="str">
        <f t="shared" si="6"/>
        <v>--</v>
      </c>
      <c r="J98" s="1350" t="str">
        <f t="shared" si="7"/>
        <v>--</v>
      </c>
      <c r="K98" s="1350" t="str">
        <f t="shared" si="8"/>
        <v>--</v>
      </c>
      <c r="L98" s="1143" t="str">
        <f>IF(AND($P$86="Significant only",$P98="Insignificant"),"--",'WACC and TIC Inputs'!H53)</f>
        <v>--</v>
      </c>
      <c r="M98" s="1143" t="str">
        <f>IF(AND($P$86="Significant only",$P98="Insignificant"),"--",'WACC and TIC Inputs'!I53)</f>
        <v>--</v>
      </c>
      <c r="N98" s="890" t="str">
        <f t="shared" si="12"/>
        <v>--</v>
      </c>
      <c r="O98" s="890" t="str">
        <f t="shared" si="9"/>
        <v>--</v>
      </c>
      <c r="P98" s="145" t="str">
        <f t="shared" si="10"/>
        <v>--</v>
      </c>
      <c r="Q98" s="1616" t="str">
        <f>IF(E133="--","--",IFERROR(_xll.ciqfunctions.udf.CIQ(G133, "IQ_FLOAT_PERCENT",,Valuation_date)/100,"n/a"))</f>
        <v>--</v>
      </c>
      <c r="R98" s="1616" t="str">
        <f>'DATA GPC'!S290</f>
        <v>--</v>
      </c>
      <c r="S98" s="2060" t="str">
        <f>'DATA GPC'!K24</f>
        <v>--</v>
      </c>
      <c r="T98" s="2060"/>
      <c r="U98" s="1352" t="str">
        <f>'DATA GPC'!S24</f>
        <v>--</v>
      </c>
      <c r="V98" s="2060"/>
      <c r="W98" s="2060"/>
      <c r="X98" s="2060"/>
      <c r="Y98" s="2060"/>
      <c r="Z98" s="2060"/>
      <c r="AA98" s="2060"/>
      <c r="AB98" s="2060"/>
      <c r="AC98" s="2060"/>
      <c r="AD98" s="1004"/>
      <c r="AE98" s="2060"/>
      <c r="AF98" s="2060"/>
      <c r="AG98" s="2060"/>
      <c r="AH98" s="2060"/>
      <c r="AI98" s="2060"/>
      <c r="AJ98" s="2060"/>
      <c r="AK98" s="2060"/>
      <c r="AL98" s="2060"/>
      <c r="AM98" s="2060"/>
      <c r="AN98" s="2060"/>
      <c r="AO98" s="2060"/>
      <c r="AP98" s="2060"/>
      <c r="AQ98" s="2060"/>
      <c r="AR98" s="2060"/>
      <c r="AS98" s="2060"/>
      <c r="AT98" s="2060"/>
      <c r="AU98" s="2060"/>
      <c r="AV98" s="2060"/>
      <c r="AW98" s="2060"/>
      <c r="AX98" s="2060"/>
      <c r="AY98" s="2060"/>
      <c r="AZ98" s="2060"/>
      <c r="BA98" s="2060"/>
      <c r="BB98" s="2060"/>
      <c r="BC98" s="2060"/>
      <c r="BD98" s="2060"/>
      <c r="BE98" s="2060"/>
      <c r="BF98" s="2060"/>
      <c r="BG98" s="2060"/>
      <c r="BH98" s="2060"/>
      <c r="BI98" s="2060"/>
      <c r="BJ98" s="2060"/>
      <c r="BK98" s="2060"/>
      <c r="BL98" s="2060"/>
      <c r="BM98" s="2060"/>
      <c r="BN98" s="2060"/>
      <c r="BO98" s="2060"/>
      <c r="BP98" s="2060"/>
      <c r="BQ98" s="2060"/>
      <c r="BR98" s="2060"/>
      <c r="BS98" s="2060"/>
      <c r="BT98" s="2060"/>
      <c r="BU98" s="2060"/>
      <c r="BV98" s="2060"/>
      <c r="BW98" s="2060"/>
      <c r="BX98" s="2060"/>
      <c r="BY98" s="2060"/>
      <c r="BZ98" s="2060"/>
      <c r="CA98" s="2060"/>
      <c r="CB98" s="2060"/>
      <c r="CC98" s="2060"/>
      <c r="CD98" s="2060"/>
      <c r="CE98" s="2060"/>
      <c r="CF98" s="2060"/>
      <c r="CG98" s="2060"/>
      <c r="CH98" s="2060"/>
      <c r="CI98" s="2060"/>
      <c r="CJ98" s="2060"/>
      <c r="CK98" s="2060"/>
      <c r="CL98" s="2060"/>
      <c r="CM98" s="2060"/>
      <c r="CN98" s="2060"/>
      <c r="CO98" s="2060"/>
      <c r="CP98" s="2060"/>
      <c r="CQ98" s="2060"/>
      <c r="CR98" s="2060"/>
      <c r="CS98" s="2060"/>
      <c r="CT98" s="2060"/>
      <c r="CU98" s="2060"/>
      <c r="CV98" s="2060"/>
      <c r="CW98" s="2060"/>
      <c r="CX98" s="2060"/>
      <c r="CY98" s="2060"/>
      <c r="CZ98" s="2060"/>
      <c r="DA98" s="2060"/>
      <c r="DB98" s="2060"/>
      <c r="DC98" s="2060"/>
      <c r="DD98" s="2060"/>
      <c r="DE98" s="2060"/>
      <c r="DF98" s="2060"/>
      <c r="DG98" s="2060"/>
      <c r="DH98" s="2060"/>
      <c r="DI98" s="2060"/>
      <c r="DJ98" s="2060"/>
      <c r="DK98" s="2060"/>
      <c r="DL98" s="2060"/>
      <c r="DM98" s="2060"/>
      <c r="DN98" s="2060"/>
      <c r="DO98" s="2060"/>
      <c r="DP98" s="2060"/>
      <c r="DQ98" s="2060"/>
      <c r="DR98" s="2060"/>
      <c r="DS98" s="2060"/>
      <c r="DT98" s="2060"/>
      <c r="DU98" s="2060"/>
      <c r="DV98" s="2060"/>
      <c r="DW98" s="2060"/>
      <c r="DX98" s="2060"/>
      <c r="DY98" s="2060"/>
      <c r="DZ98" s="2060"/>
      <c r="EA98" s="2060"/>
      <c r="EB98" s="2060"/>
      <c r="EC98" s="2060"/>
      <c r="ED98" s="2060"/>
      <c r="EE98" s="2060"/>
      <c r="EF98" s="2060"/>
      <c r="EG98" s="2060"/>
      <c r="EH98" s="2060"/>
      <c r="EI98" s="2060"/>
      <c r="EJ98" s="2060"/>
      <c r="EK98" s="2060"/>
      <c r="EL98" s="2060"/>
      <c r="EM98" s="2060"/>
      <c r="EN98" s="2060"/>
      <c r="EO98" s="2060"/>
      <c r="EP98" s="2060"/>
      <c r="EQ98" s="2060"/>
      <c r="ER98" s="2060"/>
      <c r="ES98" s="2060"/>
      <c r="ET98" s="2060"/>
      <c r="EU98" s="2060"/>
      <c r="EV98" s="2060"/>
      <c r="EW98" s="2060"/>
      <c r="EX98" s="2060"/>
      <c r="EY98" s="2060"/>
      <c r="EZ98" s="2060"/>
      <c r="FA98" s="2060"/>
      <c r="FB98" s="2060"/>
      <c r="FC98" s="2060"/>
      <c r="FD98" s="2060"/>
      <c r="FE98" s="2060"/>
      <c r="FF98" s="2060"/>
      <c r="FG98" s="2060"/>
      <c r="FH98" s="2060"/>
      <c r="FI98" s="2060"/>
      <c r="FJ98" s="2060"/>
      <c r="FK98" s="2060"/>
      <c r="FL98" s="2060"/>
      <c r="FM98" s="2060"/>
      <c r="FN98" s="2060"/>
      <c r="FO98" s="2060"/>
      <c r="FP98" s="2060"/>
      <c r="FQ98" s="2060"/>
      <c r="FR98" s="2060"/>
      <c r="FS98" s="2060"/>
      <c r="FT98" s="2060"/>
      <c r="FU98" s="2060"/>
      <c r="FV98" s="2060"/>
      <c r="FW98" s="2060"/>
      <c r="FX98" s="2060"/>
      <c r="FY98" s="2060"/>
      <c r="FZ98" s="2060"/>
      <c r="GA98" s="2060"/>
      <c r="GB98" s="2060"/>
      <c r="GC98" s="2060"/>
    </row>
    <row r="99" spans="1:185">
      <c r="A99" s="1632" t="str">
        <f t="shared" si="4"/>
        <v>n</v>
      </c>
      <c r="B99" s="1004"/>
      <c r="C99" s="2060"/>
      <c r="D99" s="779">
        <f t="shared" ca="1" si="11"/>
        <v>3.0599999999999987</v>
      </c>
      <c r="E99" s="1801" t="str">
        <f>'DATA GPC'!E25</f>
        <v>--</v>
      </c>
      <c r="F99" s="1349"/>
      <c r="G99" s="1504" t="str">
        <f>IF(E99="--","--",'DATA GPC'!G25)</f>
        <v>--</v>
      </c>
      <c r="H99" s="1350" t="str">
        <f t="shared" si="5"/>
        <v>--</v>
      </c>
      <c r="I99" s="1350" t="str">
        <f t="shared" si="6"/>
        <v>--</v>
      </c>
      <c r="J99" s="1350" t="str">
        <f t="shared" si="7"/>
        <v>--</v>
      </c>
      <c r="K99" s="1350" t="str">
        <f t="shared" si="8"/>
        <v>--</v>
      </c>
      <c r="L99" s="1143" t="str">
        <f>IF(AND($P$86="Significant only",$P99="Insignificant"),"--",'WACC and TIC Inputs'!H54)</f>
        <v>--</v>
      </c>
      <c r="M99" s="1143" t="str">
        <f>IF(AND($P$86="Significant only",$P99="Insignificant"),"--",'WACC and TIC Inputs'!I54)</f>
        <v>--</v>
      </c>
      <c r="N99" s="890" t="str">
        <f t="shared" si="12"/>
        <v>--</v>
      </c>
      <c r="O99" s="890" t="str">
        <f t="shared" si="9"/>
        <v>--</v>
      </c>
      <c r="P99" s="145" t="str">
        <f t="shared" si="10"/>
        <v>--</v>
      </c>
      <c r="Q99" s="1616" t="str">
        <f>IF(E134="--","--",IFERROR(_xll.ciqfunctions.udf.CIQ(G134, "IQ_FLOAT_PERCENT",,Valuation_date)/100,"n/a"))</f>
        <v>--</v>
      </c>
      <c r="R99" s="1616" t="str">
        <f>'DATA GPC'!S291</f>
        <v>--</v>
      </c>
      <c r="S99" s="2060" t="str">
        <f>'DATA GPC'!K25</f>
        <v>--</v>
      </c>
      <c r="T99" s="2060"/>
      <c r="U99" s="1352" t="str">
        <f>'DATA GPC'!S25</f>
        <v>--</v>
      </c>
      <c r="V99" s="2060"/>
      <c r="W99" s="2060"/>
      <c r="X99" s="2060"/>
      <c r="Y99" s="2060"/>
      <c r="Z99" s="2060"/>
      <c r="AA99" s="2060"/>
      <c r="AB99" s="2060"/>
      <c r="AC99" s="2060"/>
      <c r="AD99" s="1004"/>
      <c r="AE99" s="2060"/>
      <c r="AF99" s="2060"/>
      <c r="AG99" s="2060"/>
      <c r="AH99" s="2060"/>
      <c r="AI99" s="2060"/>
      <c r="AJ99" s="2060"/>
      <c r="AK99" s="2060"/>
      <c r="AL99" s="2060"/>
      <c r="AM99" s="2060"/>
      <c r="AN99" s="2060"/>
      <c r="AO99" s="2060"/>
      <c r="AP99" s="2060"/>
      <c r="AQ99" s="2060"/>
      <c r="AR99" s="2060"/>
      <c r="AS99" s="2060"/>
      <c r="AT99" s="2060"/>
      <c r="AU99" s="2060"/>
      <c r="AV99" s="2060"/>
      <c r="AW99" s="2060"/>
      <c r="AX99" s="2060"/>
      <c r="AY99" s="2060"/>
      <c r="AZ99" s="2060"/>
      <c r="BA99" s="2060"/>
      <c r="BB99" s="2060"/>
      <c r="BC99" s="2060"/>
      <c r="BD99" s="2060"/>
      <c r="BE99" s="2060"/>
      <c r="BF99" s="2060"/>
      <c r="BG99" s="2060"/>
      <c r="BH99" s="2060"/>
      <c r="BI99" s="2060"/>
      <c r="BJ99" s="2060"/>
      <c r="BK99" s="2060"/>
      <c r="BL99" s="2060"/>
      <c r="BM99" s="2060"/>
      <c r="BN99" s="2060"/>
      <c r="BO99" s="2060"/>
      <c r="BP99" s="2060"/>
      <c r="BQ99" s="2060"/>
      <c r="BR99" s="2060"/>
      <c r="BS99" s="2060"/>
      <c r="BT99" s="2060"/>
      <c r="BU99" s="2060"/>
      <c r="BV99" s="2060"/>
      <c r="BW99" s="2060"/>
      <c r="BX99" s="2060"/>
      <c r="BY99" s="2060"/>
      <c r="BZ99" s="2060"/>
      <c r="CA99" s="2060"/>
      <c r="CB99" s="2060"/>
      <c r="CC99" s="2060"/>
      <c r="CD99" s="2060"/>
      <c r="CE99" s="2060"/>
      <c r="CF99" s="2060"/>
      <c r="CG99" s="2060"/>
      <c r="CH99" s="2060"/>
      <c r="CI99" s="2060"/>
      <c r="CJ99" s="2060"/>
      <c r="CK99" s="2060"/>
      <c r="CL99" s="2060"/>
      <c r="CM99" s="2060"/>
      <c r="CN99" s="2060"/>
      <c r="CO99" s="2060"/>
      <c r="CP99" s="2060"/>
      <c r="CQ99" s="2060"/>
      <c r="CR99" s="2060"/>
      <c r="CS99" s="2060"/>
      <c r="CT99" s="2060"/>
      <c r="CU99" s="2060"/>
      <c r="CV99" s="2060"/>
      <c r="CW99" s="2060"/>
      <c r="CX99" s="2060"/>
      <c r="CY99" s="2060"/>
      <c r="CZ99" s="2060"/>
      <c r="DA99" s="2060"/>
      <c r="DB99" s="2060"/>
      <c r="DC99" s="2060"/>
      <c r="DD99" s="2060"/>
      <c r="DE99" s="2060"/>
      <c r="DF99" s="2060"/>
      <c r="DG99" s="2060"/>
      <c r="DH99" s="2060"/>
      <c r="DI99" s="2060"/>
      <c r="DJ99" s="2060"/>
      <c r="DK99" s="2060"/>
      <c r="DL99" s="2060"/>
      <c r="DM99" s="2060"/>
      <c r="DN99" s="2060"/>
      <c r="DO99" s="2060"/>
      <c r="DP99" s="2060"/>
      <c r="DQ99" s="2060"/>
      <c r="DR99" s="2060"/>
      <c r="DS99" s="2060"/>
      <c r="DT99" s="2060"/>
      <c r="DU99" s="2060"/>
      <c r="DV99" s="2060"/>
      <c r="DW99" s="2060"/>
      <c r="DX99" s="2060"/>
      <c r="DY99" s="2060"/>
      <c r="DZ99" s="2060"/>
      <c r="EA99" s="2060"/>
      <c r="EB99" s="2060"/>
      <c r="EC99" s="2060"/>
      <c r="ED99" s="2060"/>
      <c r="EE99" s="2060"/>
      <c r="EF99" s="2060"/>
      <c r="EG99" s="2060"/>
      <c r="EH99" s="2060"/>
      <c r="EI99" s="2060"/>
      <c r="EJ99" s="2060"/>
      <c r="EK99" s="2060"/>
      <c r="EL99" s="2060"/>
      <c r="EM99" s="2060"/>
      <c r="EN99" s="2060"/>
      <c r="EO99" s="2060"/>
      <c r="EP99" s="2060"/>
      <c r="EQ99" s="2060"/>
      <c r="ER99" s="2060"/>
      <c r="ES99" s="2060"/>
      <c r="ET99" s="2060"/>
      <c r="EU99" s="2060"/>
      <c r="EV99" s="2060"/>
      <c r="EW99" s="2060"/>
      <c r="EX99" s="2060"/>
      <c r="EY99" s="2060"/>
      <c r="EZ99" s="2060"/>
      <c r="FA99" s="2060"/>
      <c r="FB99" s="2060"/>
      <c r="FC99" s="2060"/>
      <c r="FD99" s="2060"/>
      <c r="FE99" s="2060"/>
      <c r="FF99" s="2060"/>
      <c r="FG99" s="2060"/>
      <c r="FH99" s="2060"/>
      <c r="FI99" s="2060"/>
      <c r="FJ99" s="2060"/>
      <c r="FK99" s="2060"/>
      <c r="FL99" s="2060"/>
      <c r="FM99" s="2060"/>
      <c r="FN99" s="2060"/>
      <c r="FO99" s="2060"/>
      <c r="FP99" s="2060"/>
      <c r="FQ99" s="2060"/>
      <c r="FR99" s="2060"/>
      <c r="FS99" s="2060"/>
      <c r="FT99" s="2060"/>
      <c r="FU99" s="2060"/>
      <c r="FV99" s="2060"/>
      <c r="FW99" s="2060"/>
      <c r="FX99" s="2060"/>
      <c r="FY99" s="2060"/>
      <c r="FZ99" s="2060"/>
      <c r="GA99" s="2060"/>
      <c r="GB99" s="2060"/>
      <c r="GC99" s="2060"/>
    </row>
    <row r="100" spans="1:185">
      <c r="A100" s="1632" t="str">
        <f t="shared" si="4"/>
        <v>n</v>
      </c>
      <c r="B100" s="1004"/>
      <c r="C100" s="2060"/>
      <c r="D100" s="779">
        <f t="shared" ca="1" si="11"/>
        <v>3.0699999999999985</v>
      </c>
      <c r="E100" s="1801" t="str">
        <f>'DATA GPC'!E26</f>
        <v>--</v>
      </c>
      <c r="F100" s="1349"/>
      <c r="G100" s="1504" t="str">
        <f>IF(E100="--","--",'DATA GPC'!G26)</f>
        <v>--</v>
      </c>
      <c r="H100" s="1350" t="str">
        <f t="shared" si="5"/>
        <v>--</v>
      </c>
      <c r="I100" s="1350" t="str">
        <f t="shared" si="6"/>
        <v>--</v>
      </c>
      <c r="J100" s="1350" t="str">
        <f t="shared" si="7"/>
        <v>--</v>
      </c>
      <c r="K100" s="1350" t="str">
        <f t="shared" si="8"/>
        <v>--</v>
      </c>
      <c r="L100" s="1143" t="str">
        <f>IF(AND($P$86="Significant only",$P100="Insignificant"),"--",'WACC and TIC Inputs'!H55)</f>
        <v>--</v>
      </c>
      <c r="M100" s="1143" t="str">
        <f>IF(AND($P$86="Significant only",$P100="Insignificant"),"--",'WACC and TIC Inputs'!I55)</f>
        <v>--</v>
      </c>
      <c r="N100" s="890" t="str">
        <f t="shared" si="12"/>
        <v>--</v>
      </c>
      <c r="O100" s="890" t="str">
        <f t="shared" ref="O100:O118" si="13">IF(AND($P$86="Significant only",$P100="Insignificant"),"--",P55)</f>
        <v>--</v>
      </c>
      <c r="P100" s="145" t="str">
        <f t="shared" si="10"/>
        <v>--</v>
      </c>
      <c r="Q100" s="1616" t="str">
        <f>IF(E135="--","--",IFERROR(_xll.ciqfunctions.udf.CIQ(G135, "IQ_FLOAT_PERCENT",,Valuation_date)/100,"n/a"))</f>
        <v>--</v>
      </c>
      <c r="R100" s="1616" t="str">
        <f>'DATA GPC'!S292</f>
        <v>--</v>
      </c>
      <c r="S100" s="2060" t="str">
        <f>'DATA GPC'!K26</f>
        <v>--</v>
      </c>
      <c r="T100" s="2060"/>
      <c r="U100" s="1352" t="str">
        <f>'DATA GPC'!S26</f>
        <v>--</v>
      </c>
      <c r="V100" s="2060"/>
      <c r="W100" s="2060"/>
      <c r="X100" s="2060"/>
      <c r="Y100" s="2060"/>
      <c r="Z100" s="2060"/>
      <c r="AA100" s="2060"/>
      <c r="AB100" s="2060"/>
      <c r="AC100" s="2060"/>
      <c r="AD100" s="1004"/>
      <c r="AE100" s="2060"/>
      <c r="AF100" s="2060"/>
      <c r="AG100" s="2060"/>
      <c r="AH100" s="2060"/>
      <c r="AI100" s="2060"/>
      <c r="AJ100" s="2060"/>
      <c r="AK100" s="2060"/>
      <c r="AL100" s="2060"/>
      <c r="AM100" s="2060"/>
      <c r="AN100" s="2060"/>
      <c r="AO100" s="2060"/>
      <c r="AP100" s="2060"/>
      <c r="AQ100" s="2060"/>
      <c r="AR100" s="2060"/>
      <c r="AS100" s="2060"/>
      <c r="AT100" s="2060"/>
      <c r="AU100" s="2060"/>
      <c r="AV100" s="2060"/>
      <c r="AW100" s="2060"/>
      <c r="AX100" s="2060"/>
      <c r="AY100" s="2060"/>
      <c r="AZ100" s="2060"/>
      <c r="BA100" s="2060"/>
      <c r="BB100" s="2060"/>
      <c r="BC100" s="2060"/>
      <c r="BD100" s="2060"/>
      <c r="BE100" s="2060"/>
      <c r="BF100" s="2060"/>
      <c r="BG100" s="2060"/>
      <c r="BH100" s="2060"/>
      <c r="BI100" s="2060"/>
      <c r="BJ100" s="2060"/>
      <c r="BK100" s="2060"/>
      <c r="BL100" s="2060"/>
      <c r="BM100" s="2060"/>
      <c r="BN100" s="2060"/>
      <c r="BO100" s="2060"/>
      <c r="BP100" s="2060"/>
      <c r="BQ100" s="2060"/>
      <c r="BR100" s="2060"/>
      <c r="BS100" s="2060"/>
      <c r="BT100" s="2060"/>
      <c r="BU100" s="2060"/>
      <c r="BV100" s="2060"/>
      <c r="BW100" s="2060"/>
      <c r="BX100" s="2060"/>
      <c r="BY100" s="2060"/>
      <c r="BZ100" s="2060"/>
      <c r="CA100" s="2060"/>
      <c r="CB100" s="2060"/>
      <c r="CC100" s="2060"/>
      <c r="CD100" s="2060"/>
      <c r="CE100" s="2060"/>
      <c r="CF100" s="2060"/>
      <c r="CG100" s="2060"/>
      <c r="CH100" s="2060"/>
      <c r="CI100" s="2060"/>
      <c r="CJ100" s="2060"/>
      <c r="CK100" s="2060"/>
      <c r="CL100" s="2060"/>
      <c r="CM100" s="2060"/>
      <c r="CN100" s="2060"/>
      <c r="CO100" s="2060"/>
      <c r="CP100" s="2060"/>
      <c r="CQ100" s="2060"/>
      <c r="CR100" s="2060"/>
      <c r="CS100" s="2060"/>
      <c r="CT100" s="2060"/>
      <c r="CU100" s="2060"/>
      <c r="CV100" s="2060"/>
      <c r="CW100" s="2060"/>
      <c r="CX100" s="2060"/>
      <c r="CY100" s="2060"/>
      <c r="CZ100" s="2060"/>
      <c r="DA100" s="2060"/>
      <c r="DB100" s="2060"/>
      <c r="DC100" s="2060"/>
      <c r="DD100" s="2060"/>
      <c r="DE100" s="2060"/>
      <c r="DF100" s="2060"/>
      <c r="DG100" s="2060"/>
      <c r="DH100" s="2060"/>
      <c r="DI100" s="2060"/>
      <c r="DJ100" s="2060"/>
      <c r="DK100" s="2060"/>
      <c r="DL100" s="2060"/>
      <c r="DM100" s="2060"/>
      <c r="DN100" s="2060"/>
      <c r="DO100" s="2060"/>
      <c r="DP100" s="2060"/>
      <c r="DQ100" s="2060"/>
      <c r="DR100" s="2060"/>
      <c r="DS100" s="2060"/>
      <c r="DT100" s="2060"/>
      <c r="DU100" s="2060"/>
      <c r="DV100" s="2060"/>
      <c r="DW100" s="2060"/>
      <c r="DX100" s="2060"/>
      <c r="DY100" s="2060"/>
      <c r="DZ100" s="2060"/>
      <c r="EA100" s="2060"/>
      <c r="EB100" s="2060"/>
      <c r="EC100" s="2060"/>
      <c r="ED100" s="2060"/>
      <c r="EE100" s="2060"/>
      <c r="EF100" s="2060"/>
      <c r="EG100" s="2060"/>
      <c r="EH100" s="2060"/>
      <c r="EI100" s="2060"/>
      <c r="EJ100" s="2060"/>
      <c r="EK100" s="2060"/>
      <c r="EL100" s="2060"/>
      <c r="EM100" s="2060"/>
      <c r="EN100" s="2060"/>
      <c r="EO100" s="2060"/>
      <c r="EP100" s="2060"/>
      <c r="EQ100" s="2060"/>
      <c r="ER100" s="2060"/>
      <c r="ES100" s="2060"/>
      <c r="ET100" s="2060"/>
      <c r="EU100" s="2060"/>
      <c r="EV100" s="2060"/>
      <c r="EW100" s="2060"/>
      <c r="EX100" s="2060"/>
      <c r="EY100" s="2060"/>
      <c r="EZ100" s="2060"/>
      <c r="FA100" s="2060"/>
      <c r="FB100" s="2060"/>
      <c r="FC100" s="2060"/>
      <c r="FD100" s="2060"/>
      <c r="FE100" s="2060"/>
      <c r="FF100" s="2060"/>
      <c r="FG100" s="2060"/>
      <c r="FH100" s="2060"/>
      <c r="FI100" s="2060"/>
      <c r="FJ100" s="2060"/>
      <c r="FK100" s="2060"/>
      <c r="FL100" s="2060"/>
      <c r="FM100" s="2060"/>
      <c r="FN100" s="2060"/>
      <c r="FO100" s="2060"/>
      <c r="FP100" s="2060"/>
      <c r="FQ100" s="2060"/>
      <c r="FR100" s="2060"/>
      <c r="FS100" s="2060"/>
      <c r="FT100" s="2060"/>
      <c r="FU100" s="2060"/>
      <c r="FV100" s="2060"/>
      <c r="FW100" s="2060"/>
      <c r="FX100" s="2060"/>
      <c r="FY100" s="2060"/>
      <c r="FZ100" s="2060"/>
      <c r="GA100" s="2060"/>
      <c r="GB100" s="2060"/>
      <c r="GC100" s="2060"/>
    </row>
    <row r="101" spans="1:185">
      <c r="A101" s="1632" t="str">
        <f t="shared" si="4"/>
        <v>n</v>
      </c>
      <c r="B101" s="1004"/>
      <c r="C101" s="2060"/>
      <c r="D101" s="779">
        <f t="shared" ca="1" si="11"/>
        <v>3.0799999999999983</v>
      </c>
      <c r="E101" s="1801" t="str">
        <f>'DATA GPC'!E27</f>
        <v>--</v>
      </c>
      <c r="F101" s="1349"/>
      <c r="G101" s="1504" t="str">
        <f>IF(E101="--","--",'DATA GPC'!G27)</f>
        <v>--</v>
      </c>
      <c r="H101" s="1350" t="str">
        <f t="shared" si="5"/>
        <v>--</v>
      </c>
      <c r="I101" s="1350" t="str">
        <f t="shared" si="6"/>
        <v>--</v>
      </c>
      <c r="J101" s="1350" t="str">
        <f t="shared" si="7"/>
        <v>--</v>
      </c>
      <c r="K101" s="1350" t="str">
        <f t="shared" si="8"/>
        <v>--</v>
      </c>
      <c r="L101" s="1143" t="str">
        <f>IF(AND($P$86="Significant only",$P101="Insignificant"),"--",'WACC and TIC Inputs'!H56)</f>
        <v>--</v>
      </c>
      <c r="M101" s="1143" t="str">
        <f>IF(AND($P$86="Significant only",$P101="Insignificant"),"--",'WACC and TIC Inputs'!I56)</f>
        <v>--</v>
      </c>
      <c r="N101" s="890" t="str">
        <f t="shared" si="12"/>
        <v>--</v>
      </c>
      <c r="O101" s="890" t="str">
        <f t="shared" si="13"/>
        <v>--</v>
      </c>
      <c r="P101" s="145" t="str">
        <f t="shared" si="10"/>
        <v>--</v>
      </c>
      <c r="Q101" s="1616" t="str">
        <f>IF(E136="--","--",IFERROR(_xll.ciqfunctions.udf.CIQ(G136, "IQ_FLOAT_PERCENT",,Valuation_date)/100,"n/a"))</f>
        <v>--</v>
      </c>
      <c r="R101" s="1616" t="str">
        <f>'DATA GPC'!S293</f>
        <v>--</v>
      </c>
      <c r="S101" s="2060" t="str">
        <f>'DATA GPC'!K27</f>
        <v>--</v>
      </c>
      <c r="T101" s="2060"/>
      <c r="U101" s="1352" t="str">
        <f>'DATA GPC'!S27</f>
        <v>--</v>
      </c>
      <c r="V101" s="2060"/>
      <c r="W101" s="2060"/>
      <c r="X101" s="2060"/>
      <c r="Y101" s="2060"/>
      <c r="Z101" s="2060"/>
      <c r="AA101" s="2060"/>
      <c r="AB101" s="2060"/>
      <c r="AC101" s="2060"/>
      <c r="AD101" s="1004"/>
      <c r="AE101" s="2060"/>
      <c r="AF101" s="2060"/>
      <c r="AG101" s="2060"/>
      <c r="AH101" s="2060"/>
      <c r="AI101" s="2060"/>
      <c r="AJ101" s="2060"/>
      <c r="AK101" s="2060"/>
      <c r="AL101" s="2060"/>
      <c r="AM101" s="2060"/>
      <c r="AN101" s="2060"/>
      <c r="AO101" s="2060"/>
      <c r="AP101" s="2060"/>
      <c r="AQ101" s="2060"/>
      <c r="AR101" s="2060"/>
      <c r="AS101" s="2060"/>
      <c r="AT101" s="2060"/>
      <c r="AU101" s="2060"/>
      <c r="AV101" s="2060"/>
      <c r="AW101" s="2060"/>
      <c r="AX101" s="2060"/>
      <c r="AY101" s="2060"/>
      <c r="AZ101" s="2060"/>
      <c r="BA101" s="2060"/>
      <c r="BB101" s="2060"/>
      <c r="BC101" s="2060"/>
      <c r="BD101" s="2060"/>
      <c r="BE101" s="2060"/>
      <c r="BF101" s="2060"/>
      <c r="BG101" s="2060"/>
      <c r="BH101" s="2060"/>
      <c r="BI101" s="2060"/>
      <c r="BJ101" s="2060"/>
      <c r="BK101" s="2060"/>
      <c r="BL101" s="2060"/>
      <c r="BM101" s="2060"/>
      <c r="BN101" s="2060"/>
      <c r="BO101" s="2060"/>
      <c r="BP101" s="2060"/>
      <c r="BQ101" s="2060"/>
      <c r="BR101" s="2060"/>
      <c r="BS101" s="2060"/>
      <c r="BT101" s="2060"/>
      <c r="BU101" s="2060"/>
      <c r="BV101" s="2060"/>
      <c r="BW101" s="2060"/>
      <c r="BX101" s="2060"/>
      <c r="BY101" s="2060"/>
      <c r="BZ101" s="2060"/>
      <c r="CA101" s="2060"/>
      <c r="CB101" s="2060"/>
      <c r="CC101" s="2060"/>
      <c r="CD101" s="2060"/>
      <c r="CE101" s="2060"/>
      <c r="CF101" s="2060"/>
      <c r="CG101" s="2060"/>
      <c r="CH101" s="2060"/>
      <c r="CI101" s="2060"/>
      <c r="CJ101" s="2060"/>
      <c r="CK101" s="2060"/>
      <c r="CL101" s="2060"/>
      <c r="CM101" s="2060"/>
      <c r="CN101" s="2060"/>
      <c r="CO101" s="2060"/>
      <c r="CP101" s="2060"/>
      <c r="CQ101" s="2060"/>
      <c r="CR101" s="2060"/>
      <c r="CS101" s="2060"/>
      <c r="CT101" s="2060"/>
      <c r="CU101" s="2060"/>
      <c r="CV101" s="2060"/>
      <c r="CW101" s="2060"/>
      <c r="CX101" s="2060"/>
      <c r="CY101" s="2060"/>
      <c r="CZ101" s="2060"/>
      <c r="DA101" s="2060"/>
      <c r="DB101" s="2060"/>
      <c r="DC101" s="2060"/>
      <c r="DD101" s="2060"/>
      <c r="DE101" s="2060"/>
      <c r="DF101" s="2060"/>
      <c r="DG101" s="2060"/>
      <c r="DH101" s="2060"/>
      <c r="DI101" s="2060"/>
      <c r="DJ101" s="2060"/>
      <c r="DK101" s="2060"/>
      <c r="DL101" s="2060"/>
      <c r="DM101" s="2060"/>
      <c r="DN101" s="2060"/>
      <c r="DO101" s="2060"/>
      <c r="DP101" s="2060"/>
      <c r="DQ101" s="2060"/>
      <c r="DR101" s="2060"/>
      <c r="DS101" s="2060"/>
      <c r="DT101" s="2060"/>
      <c r="DU101" s="2060"/>
      <c r="DV101" s="2060"/>
      <c r="DW101" s="2060"/>
      <c r="DX101" s="2060"/>
      <c r="DY101" s="2060"/>
      <c r="DZ101" s="2060"/>
      <c r="EA101" s="2060"/>
      <c r="EB101" s="2060"/>
      <c r="EC101" s="2060"/>
      <c r="ED101" s="2060"/>
      <c r="EE101" s="2060"/>
      <c r="EF101" s="2060"/>
      <c r="EG101" s="2060"/>
      <c r="EH101" s="2060"/>
      <c r="EI101" s="2060"/>
      <c r="EJ101" s="2060"/>
      <c r="EK101" s="2060"/>
      <c r="EL101" s="2060"/>
      <c r="EM101" s="2060"/>
      <c r="EN101" s="2060"/>
      <c r="EO101" s="2060"/>
      <c r="EP101" s="2060"/>
      <c r="EQ101" s="2060"/>
      <c r="ER101" s="2060"/>
      <c r="ES101" s="2060"/>
      <c r="ET101" s="2060"/>
      <c r="EU101" s="2060"/>
      <c r="EV101" s="2060"/>
      <c r="EW101" s="2060"/>
      <c r="EX101" s="2060"/>
      <c r="EY101" s="2060"/>
      <c r="EZ101" s="2060"/>
      <c r="FA101" s="2060"/>
      <c r="FB101" s="2060"/>
      <c r="FC101" s="2060"/>
      <c r="FD101" s="2060"/>
      <c r="FE101" s="2060"/>
      <c r="FF101" s="2060"/>
      <c r="FG101" s="2060"/>
      <c r="FH101" s="2060"/>
      <c r="FI101" s="2060"/>
      <c r="FJ101" s="2060"/>
      <c r="FK101" s="2060"/>
      <c r="FL101" s="2060"/>
      <c r="FM101" s="2060"/>
      <c r="FN101" s="2060"/>
      <c r="FO101" s="2060"/>
      <c r="FP101" s="2060"/>
      <c r="FQ101" s="2060"/>
      <c r="FR101" s="2060"/>
      <c r="FS101" s="2060"/>
      <c r="FT101" s="2060"/>
      <c r="FU101" s="2060"/>
      <c r="FV101" s="2060"/>
      <c r="FW101" s="2060"/>
      <c r="FX101" s="2060"/>
      <c r="FY101" s="2060"/>
      <c r="FZ101" s="2060"/>
      <c r="GA101" s="2060"/>
      <c r="GB101" s="2060"/>
      <c r="GC101" s="2060"/>
    </row>
    <row r="102" spans="1:185">
      <c r="A102" s="1632" t="str">
        <f t="shared" si="4"/>
        <v>n</v>
      </c>
      <c r="B102" s="1004"/>
      <c r="C102" s="2060"/>
      <c r="D102" s="779">
        <f t="shared" ca="1" si="11"/>
        <v>3.0899999999999981</v>
      </c>
      <c r="E102" s="1801" t="str">
        <f>'DATA GPC'!E28</f>
        <v>--</v>
      </c>
      <c r="F102" s="1349"/>
      <c r="G102" s="1504" t="str">
        <f>IF(E102="--","--",'DATA GPC'!G28)</f>
        <v>--</v>
      </c>
      <c r="H102" s="1350" t="str">
        <f t="shared" si="5"/>
        <v>--</v>
      </c>
      <c r="I102" s="1350" t="str">
        <f t="shared" si="6"/>
        <v>--</v>
      </c>
      <c r="J102" s="1350" t="str">
        <f t="shared" si="7"/>
        <v>--</v>
      </c>
      <c r="K102" s="1350" t="str">
        <f t="shared" si="8"/>
        <v>--</v>
      </c>
      <c r="L102" s="1143" t="str">
        <f>IF(AND($P$86="Significant only",$P102="Insignificant"),"--",'WACC and TIC Inputs'!H57)</f>
        <v>--</v>
      </c>
      <c r="M102" s="1143" t="str">
        <f>IF(AND($P$86="Significant only",$P102="Insignificant"),"--",'WACC and TIC Inputs'!I57)</f>
        <v>--</v>
      </c>
      <c r="N102" s="890" t="str">
        <f t="shared" si="12"/>
        <v>--</v>
      </c>
      <c r="O102" s="890" t="str">
        <f t="shared" si="13"/>
        <v>--</v>
      </c>
      <c r="P102" s="145" t="str">
        <f t="shared" si="10"/>
        <v>--</v>
      </c>
      <c r="Q102" s="1616" t="str">
        <f>IF(E137="--","--",IFERROR(_xll.ciqfunctions.udf.CIQ(G137, "IQ_FLOAT_PERCENT",,Valuation_date)/100,"n/a"))</f>
        <v>--</v>
      </c>
      <c r="R102" s="1616" t="str">
        <f>'DATA GPC'!S294</f>
        <v>--</v>
      </c>
      <c r="S102" s="2060" t="str">
        <f>'DATA GPC'!K28</f>
        <v>--</v>
      </c>
      <c r="T102" s="2060"/>
      <c r="U102" s="1352" t="str">
        <f>'DATA GPC'!S28</f>
        <v>--</v>
      </c>
      <c r="V102" s="2060"/>
      <c r="W102" s="2060"/>
      <c r="X102" s="2060"/>
      <c r="Y102" s="2060"/>
      <c r="Z102" s="2060"/>
      <c r="AA102" s="2060"/>
      <c r="AB102" s="2060"/>
      <c r="AC102" s="2060"/>
      <c r="AD102" s="1004"/>
      <c r="AE102" s="2060"/>
      <c r="AF102" s="2060"/>
      <c r="AG102" s="2060"/>
      <c r="AH102" s="2060"/>
      <c r="AI102" s="2060"/>
      <c r="AJ102" s="2060"/>
      <c r="AK102" s="2060"/>
      <c r="AL102" s="2060"/>
      <c r="AM102" s="2060"/>
      <c r="AN102" s="2060"/>
      <c r="AO102" s="2060"/>
      <c r="AP102" s="2060"/>
      <c r="AQ102" s="2060"/>
      <c r="AR102" s="2060"/>
      <c r="AS102" s="2060"/>
      <c r="AT102" s="2060"/>
      <c r="AU102" s="2060"/>
      <c r="AV102" s="2060"/>
      <c r="AW102" s="2060"/>
      <c r="AX102" s="2060"/>
      <c r="AY102" s="2060"/>
      <c r="AZ102" s="2060"/>
      <c r="BA102" s="2060"/>
      <c r="BB102" s="2060"/>
      <c r="BC102" s="2060"/>
      <c r="BD102" s="2060"/>
      <c r="BE102" s="2060"/>
      <c r="BF102" s="2060"/>
      <c r="BG102" s="2060"/>
      <c r="BH102" s="2060"/>
      <c r="BI102" s="2060"/>
      <c r="BJ102" s="2060"/>
      <c r="BK102" s="2060"/>
      <c r="BL102" s="2060"/>
      <c r="BM102" s="2060"/>
      <c r="BN102" s="2060"/>
      <c r="BO102" s="2060"/>
      <c r="BP102" s="2060"/>
      <c r="BQ102" s="2060"/>
      <c r="BR102" s="2060"/>
      <c r="BS102" s="2060"/>
      <c r="BT102" s="2060"/>
      <c r="BU102" s="2060"/>
      <c r="BV102" s="2060"/>
      <c r="BW102" s="2060"/>
      <c r="BX102" s="2060"/>
      <c r="BY102" s="2060"/>
      <c r="BZ102" s="2060"/>
      <c r="CA102" s="2060"/>
      <c r="CB102" s="2060"/>
      <c r="CC102" s="2060"/>
      <c r="CD102" s="2060"/>
      <c r="CE102" s="2060"/>
      <c r="CF102" s="2060"/>
      <c r="CG102" s="2060"/>
      <c r="CH102" s="2060"/>
      <c r="CI102" s="2060"/>
      <c r="CJ102" s="2060"/>
      <c r="CK102" s="2060"/>
      <c r="CL102" s="2060"/>
      <c r="CM102" s="2060"/>
      <c r="CN102" s="2060"/>
      <c r="CO102" s="2060"/>
      <c r="CP102" s="2060"/>
      <c r="CQ102" s="2060"/>
      <c r="CR102" s="2060"/>
      <c r="CS102" s="2060"/>
      <c r="CT102" s="2060"/>
      <c r="CU102" s="2060"/>
      <c r="CV102" s="2060"/>
      <c r="CW102" s="2060"/>
      <c r="CX102" s="2060"/>
      <c r="CY102" s="2060"/>
      <c r="CZ102" s="2060"/>
      <c r="DA102" s="2060"/>
      <c r="DB102" s="2060"/>
      <c r="DC102" s="2060"/>
      <c r="DD102" s="2060"/>
      <c r="DE102" s="2060"/>
      <c r="DF102" s="2060"/>
      <c r="DG102" s="2060"/>
      <c r="DH102" s="2060"/>
      <c r="DI102" s="2060"/>
      <c r="DJ102" s="2060"/>
      <c r="DK102" s="2060"/>
      <c r="DL102" s="2060"/>
      <c r="DM102" s="2060"/>
      <c r="DN102" s="2060"/>
      <c r="DO102" s="2060"/>
      <c r="DP102" s="2060"/>
      <c r="DQ102" s="2060"/>
      <c r="DR102" s="2060"/>
      <c r="DS102" s="2060"/>
      <c r="DT102" s="2060"/>
      <c r="DU102" s="2060"/>
      <c r="DV102" s="2060"/>
      <c r="DW102" s="2060"/>
      <c r="DX102" s="2060"/>
      <c r="DY102" s="2060"/>
      <c r="DZ102" s="2060"/>
      <c r="EA102" s="2060"/>
      <c r="EB102" s="2060"/>
      <c r="EC102" s="2060"/>
      <c r="ED102" s="2060"/>
      <c r="EE102" s="2060"/>
      <c r="EF102" s="2060"/>
      <c r="EG102" s="2060"/>
      <c r="EH102" s="2060"/>
      <c r="EI102" s="2060"/>
      <c r="EJ102" s="2060"/>
      <c r="EK102" s="2060"/>
      <c r="EL102" s="2060"/>
      <c r="EM102" s="2060"/>
      <c r="EN102" s="2060"/>
      <c r="EO102" s="2060"/>
      <c r="EP102" s="2060"/>
      <c r="EQ102" s="2060"/>
      <c r="ER102" s="2060"/>
      <c r="ES102" s="2060"/>
      <c r="ET102" s="2060"/>
      <c r="EU102" s="2060"/>
      <c r="EV102" s="2060"/>
      <c r="EW102" s="2060"/>
      <c r="EX102" s="2060"/>
      <c r="EY102" s="2060"/>
      <c r="EZ102" s="2060"/>
      <c r="FA102" s="2060"/>
      <c r="FB102" s="2060"/>
      <c r="FC102" s="2060"/>
      <c r="FD102" s="2060"/>
      <c r="FE102" s="2060"/>
      <c r="FF102" s="2060"/>
      <c r="FG102" s="2060"/>
      <c r="FH102" s="2060"/>
      <c r="FI102" s="2060"/>
      <c r="FJ102" s="2060"/>
      <c r="FK102" s="2060"/>
      <c r="FL102" s="2060"/>
      <c r="FM102" s="2060"/>
      <c r="FN102" s="2060"/>
      <c r="FO102" s="2060"/>
      <c r="FP102" s="2060"/>
      <c r="FQ102" s="2060"/>
      <c r="FR102" s="2060"/>
      <c r="FS102" s="2060"/>
      <c r="FT102" s="2060"/>
      <c r="FU102" s="2060"/>
      <c r="FV102" s="2060"/>
      <c r="FW102" s="2060"/>
      <c r="FX102" s="2060"/>
      <c r="FY102" s="2060"/>
      <c r="FZ102" s="2060"/>
      <c r="GA102" s="2060"/>
      <c r="GB102" s="2060"/>
      <c r="GC102" s="2060"/>
    </row>
    <row r="103" spans="1:185">
      <c r="A103" s="1632" t="str">
        <f t="shared" si="4"/>
        <v>n</v>
      </c>
      <c r="B103" s="1004"/>
      <c r="C103" s="2060"/>
      <c r="D103" s="779">
        <f t="shared" ca="1" si="11"/>
        <v>3.0999999999999979</v>
      </c>
      <c r="E103" s="1801" t="str">
        <f>'DATA GPC'!E29</f>
        <v>--</v>
      </c>
      <c r="F103" s="1349"/>
      <c r="G103" s="1504" t="str">
        <f>IF(E103="--","--",'DATA GPC'!G29)</f>
        <v>--</v>
      </c>
      <c r="H103" s="1350" t="str">
        <f t="shared" si="5"/>
        <v>--</v>
      </c>
      <c r="I103" s="1350" t="str">
        <f t="shared" si="6"/>
        <v>--</v>
      </c>
      <c r="J103" s="1350" t="str">
        <f t="shared" si="7"/>
        <v>--</v>
      </c>
      <c r="K103" s="1350" t="str">
        <f t="shared" si="8"/>
        <v>--</v>
      </c>
      <c r="L103" s="1143" t="str">
        <f>IF(AND($P$86="Significant only",$P103="Insignificant"),"--",'WACC and TIC Inputs'!H58)</f>
        <v>--</v>
      </c>
      <c r="M103" s="1143" t="str">
        <f>IF(AND($P$86="Significant only",$P103="Insignificant"),"--",'WACC and TIC Inputs'!I58)</f>
        <v>--</v>
      </c>
      <c r="N103" s="890" t="str">
        <f t="shared" si="12"/>
        <v>--</v>
      </c>
      <c r="O103" s="890" t="str">
        <f t="shared" si="13"/>
        <v>--</v>
      </c>
      <c r="P103" s="145" t="str">
        <f t="shared" si="10"/>
        <v>--</v>
      </c>
      <c r="Q103" s="1616" t="str">
        <f>IF(E138="--","--",IFERROR(_xll.ciqfunctions.udf.CIQ(G138, "IQ_FLOAT_PERCENT",,Valuation_date)/100,"n/a"))</f>
        <v>--</v>
      </c>
      <c r="R103" s="1616" t="str">
        <f>'DATA GPC'!S295</f>
        <v>--</v>
      </c>
      <c r="S103" s="2060" t="str">
        <f>'DATA GPC'!K29</f>
        <v>--</v>
      </c>
      <c r="T103" s="2060"/>
      <c r="U103" s="1352" t="str">
        <f>'DATA GPC'!S29</f>
        <v>--</v>
      </c>
      <c r="V103" s="2060"/>
      <c r="W103" s="2060"/>
      <c r="X103" s="2060"/>
      <c r="Y103" s="2060"/>
      <c r="Z103" s="2060"/>
      <c r="AA103" s="2060"/>
      <c r="AB103" s="2060"/>
      <c r="AC103" s="2060"/>
      <c r="AD103" s="1004"/>
      <c r="AE103" s="2060"/>
      <c r="AF103" s="2060"/>
      <c r="AG103" s="2060"/>
      <c r="AH103" s="2060"/>
      <c r="AI103" s="2060"/>
      <c r="AJ103" s="2060"/>
      <c r="AK103" s="2060"/>
      <c r="AL103" s="2060"/>
      <c r="AM103" s="2060"/>
      <c r="AN103" s="2060"/>
      <c r="AO103" s="2060"/>
      <c r="AP103" s="2060"/>
      <c r="AQ103" s="2060"/>
      <c r="AR103" s="2060"/>
      <c r="AS103" s="2060"/>
      <c r="AT103" s="2060"/>
      <c r="AU103" s="2060"/>
      <c r="AV103" s="2060"/>
      <c r="AW103" s="2060"/>
      <c r="AX103" s="2060"/>
      <c r="AY103" s="2060"/>
      <c r="AZ103" s="2060"/>
      <c r="BA103" s="2060"/>
      <c r="BB103" s="2060"/>
      <c r="BC103" s="2060"/>
      <c r="BD103" s="2060"/>
      <c r="BE103" s="2060"/>
      <c r="BF103" s="2060"/>
      <c r="BG103" s="2060"/>
      <c r="BH103" s="2060"/>
      <c r="BI103" s="2060"/>
      <c r="BJ103" s="2060"/>
      <c r="BK103" s="2060"/>
      <c r="BL103" s="2060"/>
      <c r="BM103" s="2060"/>
      <c r="BN103" s="2060"/>
      <c r="BO103" s="2060"/>
      <c r="BP103" s="2060"/>
      <c r="BQ103" s="2060"/>
      <c r="BR103" s="2060"/>
      <c r="BS103" s="2060"/>
      <c r="BT103" s="2060"/>
      <c r="BU103" s="2060"/>
      <c r="BV103" s="2060"/>
      <c r="BW103" s="2060"/>
      <c r="BX103" s="2060"/>
      <c r="BY103" s="2060"/>
      <c r="BZ103" s="2060"/>
      <c r="CA103" s="2060"/>
      <c r="CB103" s="2060"/>
      <c r="CC103" s="2060"/>
      <c r="CD103" s="2060"/>
      <c r="CE103" s="2060"/>
      <c r="CF103" s="2060"/>
      <c r="CG103" s="2060"/>
      <c r="CH103" s="2060"/>
      <c r="CI103" s="2060"/>
      <c r="CJ103" s="2060"/>
      <c r="CK103" s="2060"/>
      <c r="CL103" s="2060"/>
      <c r="CM103" s="2060"/>
      <c r="CN103" s="2060"/>
      <c r="CO103" s="2060"/>
      <c r="CP103" s="2060"/>
      <c r="CQ103" s="2060"/>
      <c r="CR103" s="2060"/>
      <c r="CS103" s="2060"/>
      <c r="CT103" s="2060"/>
      <c r="CU103" s="2060"/>
      <c r="CV103" s="2060"/>
      <c r="CW103" s="2060"/>
      <c r="CX103" s="2060"/>
      <c r="CY103" s="2060"/>
      <c r="CZ103" s="2060"/>
      <c r="DA103" s="2060"/>
      <c r="DB103" s="2060"/>
      <c r="DC103" s="2060"/>
      <c r="DD103" s="2060"/>
      <c r="DE103" s="2060"/>
      <c r="DF103" s="2060"/>
      <c r="DG103" s="2060"/>
      <c r="DH103" s="2060"/>
      <c r="DI103" s="2060"/>
      <c r="DJ103" s="2060"/>
      <c r="DK103" s="2060"/>
      <c r="DL103" s="2060"/>
      <c r="DM103" s="2060"/>
      <c r="DN103" s="2060"/>
      <c r="DO103" s="2060"/>
      <c r="DP103" s="2060"/>
      <c r="DQ103" s="2060"/>
      <c r="DR103" s="2060"/>
      <c r="DS103" s="2060"/>
      <c r="DT103" s="2060"/>
      <c r="DU103" s="2060"/>
      <c r="DV103" s="2060"/>
      <c r="DW103" s="2060"/>
      <c r="DX103" s="2060"/>
      <c r="DY103" s="2060"/>
      <c r="DZ103" s="2060"/>
      <c r="EA103" s="2060"/>
      <c r="EB103" s="2060"/>
      <c r="EC103" s="2060"/>
      <c r="ED103" s="2060"/>
      <c r="EE103" s="2060"/>
      <c r="EF103" s="2060"/>
      <c r="EG103" s="2060"/>
      <c r="EH103" s="2060"/>
      <c r="EI103" s="2060"/>
      <c r="EJ103" s="2060"/>
      <c r="EK103" s="2060"/>
      <c r="EL103" s="2060"/>
      <c r="EM103" s="2060"/>
      <c r="EN103" s="2060"/>
      <c r="EO103" s="2060"/>
      <c r="EP103" s="2060"/>
      <c r="EQ103" s="2060"/>
      <c r="ER103" s="2060"/>
      <c r="ES103" s="2060"/>
      <c r="ET103" s="2060"/>
      <c r="EU103" s="2060"/>
      <c r="EV103" s="2060"/>
      <c r="EW103" s="2060"/>
      <c r="EX103" s="2060"/>
      <c r="EY103" s="2060"/>
      <c r="EZ103" s="2060"/>
      <c r="FA103" s="2060"/>
      <c r="FB103" s="2060"/>
      <c r="FC103" s="2060"/>
      <c r="FD103" s="2060"/>
      <c r="FE103" s="2060"/>
      <c r="FF103" s="2060"/>
      <c r="FG103" s="2060"/>
      <c r="FH103" s="2060"/>
      <c r="FI103" s="2060"/>
      <c r="FJ103" s="2060"/>
      <c r="FK103" s="2060"/>
      <c r="FL103" s="2060"/>
      <c r="FM103" s="2060"/>
      <c r="FN103" s="2060"/>
      <c r="FO103" s="2060"/>
      <c r="FP103" s="2060"/>
      <c r="FQ103" s="2060"/>
      <c r="FR103" s="2060"/>
      <c r="FS103" s="2060"/>
      <c r="FT103" s="2060"/>
      <c r="FU103" s="2060"/>
      <c r="FV103" s="2060"/>
      <c r="FW103" s="2060"/>
      <c r="FX103" s="2060"/>
      <c r="FY103" s="2060"/>
      <c r="FZ103" s="2060"/>
      <c r="GA103" s="2060"/>
      <c r="GB103" s="2060"/>
      <c r="GC103" s="2060"/>
    </row>
    <row r="104" spans="1:185">
      <c r="A104" s="1632" t="str">
        <f t="shared" si="4"/>
        <v>n</v>
      </c>
      <c r="B104" s="1004"/>
      <c r="C104" s="2060"/>
      <c r="D104" s="779">
        <f t="shared" ca="1" si="11"/>
        <v>3.1099999999999977</v>
      </c>
      <c r="E104" s="1801" t="str">
        <f>'DATA GPC'!E30</f>
        <v>--</v>
      </c>
      <c r="F104" s="1349"/>
      <c r="G104" s="1504" t="str">
        <f>IF(E104="--","--",'DATA GPC'!G30)</f>
        <v>--</v>
      </c>
      <c r="H104" s="1350" t="str">
        <f t="shared" si="5"/>
        <v>--</v>
      </c>
      <c r="I104" s="1350" t="str">
        <f t="shared" si="6"/>
        <v>--</v>
      </c>
      <c r="J104" s="1350" t="str">
        <f t="shared" si="7"/>
        <v>--</v>
      </c>
      <c r="K104" s="1350" t="str">
        <f t="shared" si="8"/>
        <v>--</v>
      </c>
      <c r="L104" s="1143" t="str">
        <f>IF(AND($P$86="Significant only",$P104="Insignificant"),"--",'WACC and TIC Inputs'!H59)</f>
        <v>--</v>
      </c>
      <c r="M104" s="1143" t="str">
        <f>IF(AND($P$86="Significant only",$P104="Insignificant"),"--",'WACC and TIC Inputs'!I59)</f>
        <v>--</v>
      </c>
      <c r="N104" s="890" t="str">
        <f t="shared" si="12"/>
        <v>--</v>
      </c>
      <c r="O104" s="890" t="str">
        <f t="shared" si="13"/>
        <v>--</v>
      </c>
      <c r="P104" s="145" t="str">
        <f t="shared" si="10"/>
        <v>--</v>
      </c>
      <c r="Q104" s="1616" t="str">
        <f>IF(E139="--","--",IFERROR(_xll.ciqfunctions.udf.CIQ(G139, "IQ_FLOAT_PERCENT",,Valuation_date)/100,"n/a"))</f>
        <v>--</v>
      </c>
      <c r="R104" s="1616" t="str">
        <f>'DATA GPC'!S296</f>
        <v>--</v>
      </c>
      <c r="S104" s="2060" t="str">
        <f>'DATA GPC'!K30</f>
        <v>--</v>
      </c>
      <c r="T104" s="2060"/>
      <c r="U104" s="1352" t="str">
        <f>'DATA GPC'!S30</f>
        <v>--</v>
      </c>
      <c r="V104" s="2060"/>
      <c r="W104" s="2060"/>
      <c r="X104" s="2060"/>
      <c r="Y104" s="2060"/>
      <c r="Z104" s="2060"/>
      <c r="AA104" s="2060"/>
      <c r="AB104" s="2060"/>
      <c r="AC104" s="2060"/>
      <c r="AD104" s="1004"/>
      <c r="AE104" s="2060"/>
      <c r="AF104" s="2060"/>
      <c r="AG104" s="2060"/>
      <c r="AH104" s="2060"/>
      <c r="AI104" s="2060"/>
      <c r="AJ104" s="2060"/>
      <c r="AK104" s="2060"/>
      <c r="AL104" s="2060"/>
      <c r="AM104" s="2060"/>
      <c r="AN104" s="2060"/>
      <c r="AO104" s="2060"/>
      <c r="AP104" s="2060"/>
      <c r="AQ104" s="2060"/>
      <c r="AR104" s="2060"/>
      <c r="AS104" s="2060"/>
      <c r="AT104" s="2060"/>
      <c r="AU104" s="2060"/>
      <c r="AV104" s="2060"/>
      <c r="AW104" s="2060"/>
      <c r="AX104" s="2060"/>
      <c r="AY104" s="2060"/>
      <c r="AZ104" s="2060"/>
      <c r="BA104" s="2060"/>
      <c r="BB104" s="2060"/>
      <c r="BC104" s="2060"/>
      <c r="BD104" s="2060"/>
      <c r="BE104" s="2060"/>
      <c r="BF104" s="2060"/>
      <c r="BG104" s="2060"/>
      <c r="BH104" s="2060"/>
      <c r="BI104" s="2060"/>
      <c r="BJ104" s="2060"/>
      <c r="BK104" s="2060"/>
      <c r="BL104" s="2060"/>
      <c r="BM104" s="2060"/>
      <c r="BN104" s="2060"/>
      <c r="BO104" s="2060"/>
      <c r="BP104" s="2060"/>
      <c r="BQ104" s="2060"/>
      <c r="BR104" s="2060"/>
      <c r="BS104" s="2060"/>
      <c r="BT104" s="2060"/>
      <c r="BU104" s="2060"/>
      <c r="BV104" s="2060"/>
      <c r="BW104" s="2060"/>
      <c r="BX104" s="2060"/>
      <c r="BY104" s="2060"/>
      <c r="BZ104" s="2060"/>
      <c r="CA104" s="2060"/>
      <c r="CB104" s="2060"/>
      <c r="CC104" s="2060"/>
      <c r="CD104" s="2060"/>
      <c r="CE104" s="2060"/>
      <c r="CF104" s="2060"/>
      <c r="CG104" s="2060"/>
      <c r="CH104" s="2060"/>
      <c r="CI104" s="2060"/>
      <c r="CJ104" s="2060"/>
      <c r="CK104" s="2060"/>
      <c r="CL104" s="2060"/>
      <c r="CM104" s="2060"/>
      <c r="CN104" s="2060"/>
      <c r="CO104" s="2060"/>
      <c r="CP104" s="2060"/>
      <c r="CQ104" s="2060"/>
      <c r="CR104" s="2060"/>
      <c r="CS104" s="2060"/>
      <c r="CT104" s="2060"/>
      <c r="CU104" s="2060"/>
      <c r="CV104" s="2060"/>
      <c r="CW104" s="2060"/>
      <c r="CX104" s="2060"/>
      <c r="CY104" s="2060"/>
      <c r="CZ104" s="2060"/>
      <c r="DA104" s="2060"/>
      <c r="DB104" s="2060"/>
      <c r="DC104" s="2060"/>
      <c r="DD104" s="2060"/>
      <c r="DE104" s="2060"/>
      <c r="DF104" s="2060"/>
      <c r="DG104" s="2060"/>
      <c r="DH104" s="2060"/>
      <c r="DI104" s="2060"/>
      <c r="DJ104" s="2060"/>
      <c r="DK104" s="2060"/>
      <c r="DL104" s="2060"/>
      <c r="DM104" s="2060"/>
      <c r="DN104" s="2060"/>
      <c r="DO104" s="2060"/>
      <c r="DP104" s="2060"/>
      <c r="DQ104" s="2060"/>
      <c r="DR104" s="2060"/>
      <c r="DS104" s="2060"/>
      <c r="DT104" s="2060"/>
      <c r="DU104" s="2060"/>
      <c r="DV104" s="2060"/>
      <c r="DW104" s="2060"/>
      <c r="DX104" s="2060"/>
      <c r="DY104" s="2060"/>
      <c r="DZ104" s="2060"/>
      <c r="EA104" s="2060"/>
      <c r="EB104" s="2060"/>
      <c r="EC104" s="2060"/>
      <c r="ED104" s="2060"/>
      <c r="EE104" s="2060"/>
      <c r="EF104" s="2060"/>
      <c r="EG104" s="2060"/>
      <c r="EH104" s="2060"/>
      <c r="EI104" s="2060"/>
      <c r="EJ104" s="2060"/>
      <c r="EK104" s="2060"/>
      <c r="EL104" s="2060"/>
      <c r="EM104" s="2060"/>
      <c r="EN104" s="2060"/>
      <c r="EO104" s="2060"/>
      <c r="EP104" s="2060"/>
      <c r="EQ104" s="2060"/>
      <c r="ER104" s="2060"/>
      <c r="ES104" s="2060"/>
      <c r="ET104" s="2060"/>
      <c r="EU104" s="2060"/>
      <c r="EV104" s="2060"/>
      <c r="EW104" s="2060"/>
      <c r="EX104" s="2060"/>
      <c r="EY104" s="2060"/>
      <c r="EZ104" s="2060"/>
      <c r="FA104" s="2060"/>
      <c r="FB104" s="2060"/>
      <c r="FC104" s="2060"/>
      <c r="FD104" s="2060"/>
      <c r="FE104" s="2060"/>
      <c r="FF104" s="2060"/>
      <c r="FG104" s="2060"/>
      <c r="FH104" s="2060"/>
      <c r="FI104" s="2060"/>
      <c r="FJ104" s="2060"/>
      <c r="FK104" s="2060"/>
      <c r="FL104" s="2060"/>
      <c r="FM104" s="2060"/>
      <c r="FN104" s="2060"/>
      <c r="FO104" s="2060"/>
      <c r="FP104" s="2060"/>
      <c r="FQ104" s="2060"/>
      <c r="FR104" s="2060"/>
      <c r="FS104" s="2060"/>
      <c r="FT104" s="2060"/>
      <c r="FU104" s="2060"/>
      <c r="FV104" s="2060"/>
      <c r="FW104" s="2060"/>
      <c r="FX104" s="2060"/>
      <c r="FY104" s="2060"/>
      <c r="FZ104" s="2060"/>
      <c r="GA104" s="2060"/>
      <c r="GB104" s="2060"/>
      <c r="GC104" s="2060"/>
    </row>
    <row r="105" spans="1:185">
      <c r="A105" s="1632" t="str">
        <f t="shared" si="4"/>
        <v>n</v>
      </c>
      <c r="B105" s="1004"/>
      <c r="C105" s="2060"/>
      <c r="D105" s="779">
        <f t="shared" ca="1" si="11"/>
        <v>3.1199999999999974</v>
      </c>
      <c r="E105" s="1801" t="str">
        <f>'DATA GPC'!E31</f>
        <v>--</v>
      </c>
      <c r="F105" s="1349"/>
      <c r="G105" s="1504" t="str">
        <f>IF(E105="--","--",'DATA GPC'!G31)</f>
        <v>--</v>
      </c>
      <c r="H105" s="1350" t="str">
        <f t="shared" si="5"/>
        <v>--</v>
      </c>
      <c r="I105" s="1350" t="str">
        <f t="shared" si="6"/>
        <v>--</v>
      </c>
      <c r="J105" s="1350" t="str">
        <f t="shared" si="7"/>
        <v>--</v>
      </c>
      <c r="K105" s="1350" t="str">
        <f t="shared" si="8"/>
        <v>--</v>
      </c>
      <c r="L105" s="1143" t="str">
        <f>IF(AND($P$86="Significant only",$P105="Insignificant"),"--",'WACC and TIC Inputs'!H60)</f>
        <v>--</v>
      </c>
      <c r="M105" s="1143" t="str">
        <f>IF(AND($P$86="Significant only",$P105="Insignificant"),"--",'WACC and TIC Inputs'!I60)</f>
        <v>--</v>
      </c>
      <c r="N105" s="890" t="str">
        <f t="shared" si="12"/>
        <v>--</v>
      </c>
      <c r="O105" s="890" t="str">
        <f t="shared" si="13"/>
        <v>--</v>
      </c>
      <c r="P105" s="145" t="str">
        <f t="shared" si="10"/>
        <v>--</v>
      </c>
      <c r="Q105" s="1616" t="str">
        <f>IF(E140="--","--",IFERROR(_xll.ciqfunctions.udf.CIQ(G140, "IQ_FLOAT_PERCENT",,Valuation_date)/100,"n/a"))</f>
        <v>--</v>
      </c>
      <c r="R105" s="1616" t="str">
        <f>'DATA GPC'!S297</f>
        <v>--</v>
      </c>
      <c r="S105" s="2060" t="str">
        <f>'DATA GPC'!K31</f>
        <v>--</v>
      </c>
      <c r="T105" s="2060"/>
      <c r="U105" s="1352" t="str">
        <f>'DATA GPC'!S31</f>
        <v>--</v>
      </c>
      <c r="V105" s="2060"/>
      <c r="W105" s="2060"/>
      <c r="X105" s="2060"/>
      <c r="Y105" s="2060"/>
      <c r="Z105" s="2060"/>
      <c r="AA105" s="2060"/>
      <c r="AB105" s="2060"/>
      <c r="AC105" s="2060"/>
      <c r="AD105" s="1004"/>
      <c r="AE105" s="2060"/>
      <c r="AF105" s="2060"/>
      <c r="AG105" s="2060"/>
      <c r="AH105" s="2060"/>
      <c r="AI105" s="2060"/>
      <c r="AJ105" s="2060"/>
      <c r="AK105" s="2060"/>
      <c r="AL105" s="2060"/>
      <c r="AM105" s="2060"/>
      <c r="AN105" s="2060"/>
      <c r="AO105" s="2060"/>
      <c r="AP105" s="2060"/>
      <c r="AQ105" s="2060"/>
      <c r="AR105" s="2060"/>
      <c r="AS105" s="2060"/>
      <c r="AT105" s="2060"/>
      <c r="AU105" s="2060"/>
      <c r="AV105" s="2060"/>
      <c r="AW105" s="2060"/>
      <c r="AX105" s="2060"/>
      <c r="AY105" s="2060"/>
      <c r="AZ105" s="2060"/>
      <c r="BA105" s="2060"/>
      <c r="BB105" s="2060"/>
      <c r="BC105" s="2060"/>
      <c r="BD105" s="2060"/>
      <c r="BE105" s="2060"/>
      <c r="BF105" s="2060"/>
      <c r="BG105" s="2060"/>
      <c r="BH105" s="2060"/>
      <c r="BI105" s="2060"/>
      <c r="BJ105" s="2060"/>
      <c r="BK105" s="2060"/>
      <c r="BL105" s="2060"/>
      <c r="BM105" s="2060"/>
      <c r="BN105" s="2060"/>
      <c r="BO105" s="2060"/>
      <c r="BP105" s="2060"/>
      <c r="BQ105" s="2060"/>
      <c r="BR105" s="2060"/>
      <c r="BS105" s="2060"/>
      <c r="BT105" s="2060"/>
      <c r="BU105" s="2060"/>
      <c r="BV105" s="2060"/>
      <c r="BW105" s="2060"/>
      <c r="BX105" s="2060"/>
      <c r="BY105" s="2060"/>
      <c r="BZ105" s="2060"/>
      <c r="CA105" s="2060"/>
      <c r="CB105" s="2060"/>
      <c r="CC105" s="2060"/>
      <c r="CD105" s="2060"/>
      <c r="CE105" s="2060"/>
      <c r="CF105" s="2060"/>
      <c r="CG105" s="2060"/>
      <c r="CH105" s="2060"/>
      <c r="CI105" s="2060"/>
      <c r="CJ105" s="2060"/>
      <c r="CK105" s="2060"/>
      <c r="CL105" s="2060"/>
      <c r="CM105" s="2060"/>
      <c r="CN105" s="2060"/>
      <c r="CO105" s="2060"/>
      <c r="CP105" s="2060"/>
      <c r="CQ105" s="2060"/>
      <c r="CR105" s="2060"/>
      <c r="CS105" s="2060"/>
      <c r="CT105" s="2060"/>
      <c r="CU105" s="2060"/>
      <c r="CV105" s="2060"/>
      <c r="CW105" s="2060"/>
      <c r="CX105" s="2060"/>
      <c r="CY105" s="2060"/>
      <c r="CZ105" s="2060"/>
      <c r="DA105" s="2060"/>
      <c r="DB105" s="2060"/>
      <c r="DC105" s="2060"/>
      <c r="DD105" s="2060"/>
      <c r="DE105" s="2060"/>
      <c r="DF105" s="2060"/>
      <c r="DG105" s="2060"/>
      <c r="DH105" s="2060"/>
      <c r="DI105" s="2060"/>
      <c r="DJ105" s="2060"/>
      <c r="DK105" s="2060"/>
      <c r="DL105" s="2060"/>
      <c r="DM105" s="2060"/>
      <c r="DN105" s="2060"/>
      <c r="DO105" s="2060"/>
      <c r="DP105" s="2060"/>
      <c r="DQ105" s="2060"/>
      <c r="DR105" s="2060"/>
      <c r="DS105" s="2060"/>
      <c r="DT105" s="2060"/>
      <c r="DU105" s="2060"/>
      <c r="DV105" s="2060"/>
      <c r="DW105" s="2060"/>
      <c r="DX105" s="2060"/>
      <c r="DY105" s="2060"/>
      <c r="DZ105" s="2060"/>
      <c r="EA105" s="2060"/>
      <c r="EB105" s="2060"/>
      <c r="EC105" s="2060"/>
      <c r="ED105" s="2060"/>
      <c r="EE105" s="2060"/>
      <c r="EF105" s="2060"/>
      <c r="EG105" s="2060"/>
      <c r="EH105" s="2060"/>
      <c r="EI105" s="2060"/>
      <c r="EJ105" s="2060"/>
      <c r="EK105" s="2060"/>
      <c r="EL105" s="2060"/>
      <c r="EM105" s="2060"/>
      <c r="EN105" s="2060"/>
      <c r="EO105" s="2060"/>
      <c r="EP105" s="2060"/>
      <c r="EQ105" s="2060"/>
      <c r="ER105" s="2060"/>
      <c r="ES105" s="2060"/>
      <c r="ET105" s="2060"/>
      <c r="EU105" s="2060"/>
      <c r="EV105" s="2060"/>
      <c r="EW105" s="2060"/>
      <c r="EX105" s="2060"/>
      <c r="EY105" s="2060"/>
      <c r="EZ105" s="2060"/>
      <c r="FA105" s="2060"/>
      <c r="FB105" s="2060"/>
      <c r="FC105" s="2060"/>
      <c r="FD105" s="2060"/>
      <c r="FE105" s="2060"/>
      <c r="FF105" s="2060"/>
      <c r="FG105" s="2060"/>
      <c r="FH105" s="2060"/>
      <c r="FI105" s="2060"/>
      <c r="FJ105" s="2060"/>
      <c r="FK105" s="2060"/>
      <c r="FL105" s="2060"/>
      <c r="FM105" s="2060"/>
      <c r="FN105" s="2060"/>
      <c r="FO105" s="2060"/>
      <c r="FP105" s="2060"/>
      <c r="FQ105" s="2060"/>
      <c r="FR105" s="2060"/>
      <c r="FS105" s="2060"/>
      <c r="FT105" s="2060"/>
      <c r="FU105" s="2060"/>
      <c r="FV105" s="2060"/>
      <c r="FW105" s="2060"/>
      <c r="FX105" s="2060"/>
      <c r="FY105" s="2060"/>
      <c r="FZ105" s="2060"/>
      <c r="GA105" s="2060"/>
      <c r="GB105" s="2060"/>
      <c r="GC105" s="2060"/>
    </row>
    <row r="106" spans="1:185">
      <c r="A106" s="1632" t="str">
        <f t="shared" si="4"/>
        <v>n</v>
      </c>
      <c r="B106" s="1004"/>
      <c r="C106" s="2060"/>
      <c r="D106" s="779">
        <f t="shared" ca="1" si="11"/>
        <v>3.1299999999999972</v>
      </c>
      <c r="E106" s="1801" t="str">
        <f>'DATA GPC'!E32</f>
        <v>--</v>
      </c>
      <c r="F106" s="1349"/>
      <c r="G106" s="1504" t="str">
        <f>IF(E106="--","--",'DATA GPC'!G32)</f>
        <v>--</v>
      </c>
      <c r="H106" s="1350" t="str">
        <f t="shared" si="5"/>
        <v>--</v>
      </c>
      <c r="I106" s="1350" t="str">
        <f t="shared" si="6"/>
        <v>--</v>
      </c>
      <c r="J106" s="1350" t="str">
        <f t="shared" si="7"/>
        <v>--</v>
      </c>
      <c r="K106" s="1350" t="str">
        <f t="shared" si="8"/>
        <v>--</v>
      </c>
      <c r="L106" s="1143" t="str">
        <f>IF(AND($P$86="Significant only",$P106="Insignificant"),"--",'WACC and TIC Inputs'!H61)</f>
        <v>--</v>
      </c>
      <c r="M106" s="1143" t="str">
        <f>IF(AND($P$86="Significant only",$P106="Insignificant"),"--",'WACC and TIC Inputs'!I61)</f>
        <v>--</v>
      </c>
      <c r="N106" s="890" t="str">
        <f t="shared" si="12"/>
        <v>--</v>
      </c>
      <c r="O106" s="890" t="str">
        <f t="shared" si="13"/>
        <v>--</v>
      </c>
      <c r="P106" s="145" t="str">
        <f t="shared" si="10"/>
        <v>--</v>
      </c>
      <c r="Q106" s="1616" t="str">
        <f>IF(E141="--","--",IFERROR(_xll.ciqfunctions.udf.CIQ(G141, "IQ_FLOAT_PERCENT",,Valuation_date)/100,"n/a"))</f>
        <v>--</v>
      </c>
      <c r="R106" s="1616" t="str">
        <f>'DATA GPC'!S298</f>
        <v>--</v>
      </c>
      <c r="S106" s="2060" t="str">
        <f>'DATA GPC'!K32</f>
        <v>--</v>
      </c>
      <c r="T106" s="2060"/>
      <c r="U106" s="1352" t="str">
        <f>'DATA GPC'!S32</f>
        <v>--</v>
      </c>
      <c r="V106" s="2060"/>
      <c r="W106" s="2060"/>
      <c r="X106" s="2060"/>
      <c r="Y106" s="2060"/>
      <c r="Z106" s="2060"/>
      <c r="AA106" s="2060"/>
      <c r="AB106" s="2060"/>
      <c r="AC106" s="2060"/>
      <c r="AD106" s="1004"/>
      <c r="AE106" s="2060"/>
      <c r="AF106" s="2060"/>
      <c r="AG106" s="2060"/>
      <c r="AH106" s="2060"/>
      <c r="AI106" s="2060"/>
      <c r="AJ106" s="2060"/>
      <c r="AK106" s="2060"/>
      <c r="AL106" s="2060"/>
      <c r="AM106" s="2060"/>
      <c r="AN106" s="2060"/>
      <c r="AO106" s="2060"/>
      <c r="AP106" s="2060"/>
      <c r="AQ106" s="2060"/>
      <c r="AR106" s="2060"/>
      <c r="AS106" s="2060"/>
      <c r="AT106" s="2060"/>
      <c r="AU106" s="2060"/>
      <c r="AV106" s="2060"/>
      <c r="AW106" s="2060"/>
      <c r="AX106" s="2060"/>
      <c r="AY106" s="2060"/>
      <c r="AZ106" s="2060"/>
      <c r="BA106" s="2060"/>
      <c r="BB106" s="2060"/>
      <c r="BC106" s="2060"/>
      <c r="BD106" s="2060"/>
      <c r="BE106" s="2060"/>
      <c r="BF106" s="2060"/>
      <c r="BG106" s="2060"/>
      <c r="BH106" s="2060"/>
      <c r="BI106" s="2060"/>
      <c r="BJ106" s="2060"/>
      <c r="BK106" s="2060"/>
      <c r="BL106" s="2060"/>
      <c r="BM106" s="2060"/>
      <c r="BN106" s="2060"/>
      <c r="BO106" s="2060"/>
      <c r="BP106" s="2060"/>
      <c r="BQ106" s="2060"/>
      <c r="BR106" s="2060"/>
      <c r="BS106" s="2060"/>
      <c r="BT106" s="2060"/>
      <c r="BU106" s="2060"/>
      <c r="BV106" s="2060"/>
      <c r="BW106" s="2060"/>
      <c r="BX106" s="2060"/>
      <c r="BY106" s="2060"/>
      <c r="BZ106" s="2060"/>
      <c r="CA106" s="2060"/>
      <c r="CB106" s="2060"/>
      <c r="CC106" s="2060"/>
      <c r="CD106" s="2060"/>
      <c r="CE106" s="2060"/>
      <c r="CF106" s="2060"/>
      <c r="CG106" s="2060"/>
      <c r="CH106" s="2060"/>
      <c r="CI106" s="2060"/>
      <c r="CJ106" s="2060"/>
      <c r="CK106" s="2060"/>
      <c r="CL106" s="2060"/>
      <c r="CM106" s="2060"/>
      <c r="CN106" s="2060"/>
      <c r="CO106" s="2060"/>
      <c r="CP106" s="2060"/>
      <c r="CQ106" s="2060"/>
      <c r="CR106" s="2060"/>
      <c r="CS106" s="2060"/>
      <c r="CT106" s="2060"/>
      <c r="CU106" s="2060"/>
      <c r="CV106" s="2060"/>
      <c r="CW106" s="2060"/>
      <c r="CX106" s="2060"/>
      <c r="CY106" s="2060"/>
      <c r="CZ106" s="2060"/>
      <c r="DA106" s="2060"/>
      <c r="DB106" s="2060"/>
      <c r="DC106" s="2060"/>
      <c r="DD106" s="2060"/>
      <c r="DE106" s="2060"/>
      <c r="DF106" s="2060"/>
      <c r="DG106" s="2060"/>
      <c r="DH106" s="2060"/>
      <c r="DI106" s="2060"/>
      <c r="DJ106" s="2060"/>
      <c r="DK106" s="2060"/>
      <c r="DL106" s="2060"/>
      <c r="DM106" s="2060"/>
      <c r="DN106" s="2060"/>
      <c r="DO106" s="2060"/>
      <c r="DP106" s="2060"/>
      <c r="DQ106" s="2060"/>
      <c r="DR106" s="2060"/>
      <c r="DS106" s="2060"/>
      <c r="DT106" s="2060"/>
      <c r="DU106" s="2060"/>
      <c r="DV106" s="2060"/>
      <c r="DW106" s="2060"/>
      <c r="DX106" s="2060"/>
      <c r="DY106" s="2060"/>
      <c r="DZ106" s="2060"/>
      <c r="EA106" s="2060"/>
      <c r="EB106" s="2060"/>
      <c r="EC106" s="2060"/>
      <c r="ED106" s="2060"/>
      <c r="EE106" s="2060"/>
      <c r="EF106" s="2060"/>
      <c r="EG106" s="2060"/>
      <c r="EH106" s="2060"/>
      <c r="EI106" s="2060"/>
      <c r="EJ106" s="2060"/>
      <c r="EK106" s="2060"/>
      <c r="EL106" s="2060"/>
      <c r="EM106" s="2060"/>
      <c r="EN106" s="2060"/>
      <c r="EO106" s="2060"/>
      <c r="EP106" s="2060"/>
      <c r="EQ106" s="2060"/>
      <c r="ER106" s="2060"/>
      <c r="ES106" s="2060"/>
      <c r="ET106" s="2060"/>
      <c r="EU106" s="2060"/>
      <c r="EV106" s="2060"/>
      <c r="EW106" s="2060"/>
      <c r="EX106" s="2060"/>
      <c r="EY106" s="2060"/>
      <c r="EZ106" s="2060"/>
      <c r="FA106" s="2060"/>
      <c r="FB106" s="2060"/>
      <c r="FC106" s="2060"/>
      <c r="FD106" s="2060"/>
      <c r="FE106" s="2060"/>
      <c r="FF106" s="2060"/>
      <c r="FG106" s="2060"/>
      <c r="FH106" s="2060"/>
      <c r="FI106" s="2060"/>
      <c r="FJ106" s="2060"/>
      <c r="FK106" s="2060"/>
      <c r="FL106" s="2060"/>
      <c r="FM106" s="2060"/>
      <c r="FN106" s="2060"/>
      <c r="FO106" s="2060"/>
      <c r="FP106" s="2060"/>
      <c r="FQ106" s="2060"/>
      <c r="FR106" s="2060"/>
      <c r="FS106" s="2060"/>
      <c r="FT106" s="2060"/>
      <c r="FU106" s="2060"/>
      <c r="FV106" s="2060"/>
      <c r="FW106" s="2060"/>
      <c r="FX106" s="2060"/>
      <c r="FY106" s="2060"/>
      <c r="FZ106" s="2060"/>
      <c r="GA106" s="2060"/>
      <c r="GB106" s="2060"/>
      <c r="GC106" s="2060"/>
    </row>
    <row r="107" spans="1:185">
      <c r="A107" s="1632" t="str">
        <f t="shared" si="4"/>
        <v>n</v>
      </c>
      <c r="B107" s="1004"/>
      <c r="C107" s="2060"/>
      <c r="D107" s="779">
        <f t="shared" ca="1" si="11"/>
        <v>3.139999999999997</v>
      </c>
      <c r="E107" s="1801" t="str">
        <f>'DATA GPC'!E33</f>
        <v>--</v>
      </c>
      <c r="F107" s="1349"/>
      <c r="G107" s="1504" t="str">
        <f>IF(E107="--","--",'DATA GPC'!G33)</f>
        <v>--</v>
      </c>
      <c r="H107" s="1350" t="str">
        <f t="shared" si="5"/>
        <v>--</v>
      </c>
      <c r="I107" s="1350" t="str">
        <f t="shared" si="6"/>
        <v>--</v>
      </c>
      <c r="J107" s="1350" t="str">
        <f t="shared" si="7"/>
        <v>--</v>
      </c>
      <c r="K107" s="1350" t="str">
        <f t="shared" si="8"/>
        <v>--</v>
      </c>
      <c r="L107" s="1143" t="str">
        <f>IF(AND($P$86="Significant only",$P107="Insignificant"),"--",'WACC and TIC Inputs'!H62)</f>
        <v>--</v>
      </c>
      <c r="M107" s="1143" t="str">
        <f>IF(AND($P$86="Significant only",$P107="Insignificant"),"--",'WACC and TIC Inputs'!I62)</f>
        <v>--</v>
      </c>
      <c r="N107" s="890" t="str">
        <f t="shared" si="12"/>
        <v>--</v>
      </c>
      <c r="O107" s="890" t="str">
        <f t="shared" si="13"/>
        <v>--</v>
      </c>
      <c r="P107" s="145" t="str">
        <f t="shared" si="10"/>
        <v>--</v>
      </c>
      <c r="Q107" s="1616" t="str">
        <f>IF(E142="--","--",IFERROR(_xll.ciqfunctions.udf.CIQ(G142, "IQ_FLOAT_PERCENT",,Valuation_date)/100,"n/a"))</f>
        <v>--</v>
      </c>
      <c r="R107" s="1616" t="str">
        <f>'DATA GPC'!S299</f>
        <v>--</v>
      </c>
      <c r="S107" s="2060" t="str">
        <f>'DATA GPC'!K33</f>
        <v>--</v>
      </c>
      <c r="T107" s="2060"/>
      <c r="U107" s="1352" t="str">
        <f>'DATA GPC'!S33</f>
        <v>--</v>
      </c>
      <c r="V107" s="2060"/>
      <c r="W107" s="2060"/>
      <c r="X107" s="2060"/>
      <c r="Y107" s="2060"/>
      <c r="Z107" s="2060"/>
      <c r="AA107" s="2060"/>
      <c r="AB107" s="2060"/>
      <c r="AC107" s="2060"/>
      <c r="AD107" s="1004"/>
      <c r="AE107" s="2060"/>
      <c r="AF107" s="2060"/>
      <c r="AG107" s="2060"/>
      <c r="AH107" s="2060"/>
      <c r="AI107" s="2060"/>
      <c r="AJ107" s="2060"/>
      <c r="AK107" s="2060"/>
      <c r="AL107" s="2060"/>
      <c r="AM107" s="2060"/>
      <c r="AN107" s="2060"/>
      <c r="AO107" s="2060"/>
      <c r="AP107" s="2060"/>
      <c r="AQ107" s="2060"/>
      <c r="AR107" s="2060"/>
      <c r="AS107" s="2060"/>
      <c r="AT107" s="2060"/>
      <c r="AU107" s="2060"/>
      <c r="AV107" s="2060"/>
      <c r="AW107" s="2060"/>
      <c r="AX107" s="2060"/>
      <c r="AY107" s="2060"/>
      <c r="AZ107" s="2060"/>
      <c r="BA107" s="2060"/>
      <c r="BB107" s="2060"/>
      <c r="BC107" s="2060"/>
      <c r="BD107" s="2060"/>
      <c r="BE107" s="2060"/>
      <c r="BF107" s="2060"/>
      <c r="BG107" s="2060"/>
      <c r="BH107" s="2060"/>
      <c r="BI107" s="2060"/>
      <c r="BJ107" s="2060"/>
      <c r="BK107" s="2060"/>
      <c r="BL107" s="2060"/>
      <c r="BM107" s="2060"/>
      <c r="BN107" s="2060"/>
      <c r="BO107" s="2060"/>
      <c r="BP107" s="2060"/>
      <c r="BQ107" s="2060"/>
      <c r="BR107" s="2060"/>
      <c r="BS107" s="2060"/>
      <c r="BT107" s="2060"/>
      <c r="BU107" s="2060"/>
      <c r="BV107" s="2060"/>
      <c r="BW107" s="2060"/>
      <c r="BX107" s="2060"/>
      <c r="BY107" s="2060"/>
      <c r="BZ107" s="2060"/>
      <c r="CA107" s="2060"/>
      <c r="CB107" s="2060"/>
      <c r="CC107" s="2060"/>
      <c r="CD107" s="2060"/>
      <c r="CE107" s="2060"/>
      <c r="CF107" s="2060"/>
      <c r="CG107" s="2060"/>
      <c r="CH107" s="2060"/>
      <c r="CI107" s="2060"/>
      <c r="CJ107" s="2060"/>
      <c r="CK107" s="2060"/>
      <c r="CL107" s="2060"/>
      <c r="CM107" s="2060"/>
      <c r="CN107" s="2060"/>
      <c r="CO107" s="2060"/>
      <c r="CP107" s="2060"/>
      <c r="CQ107" s="2060"/>
      <c r="CR107" s="2060"/>
      <c r="CS107" s="2060"/>
      <c r="CT107" s="2060"/>
      <c r="CU107" s="2060"/>
      <c r="CV107" s="2060"/>
      <c r="CW107" s="2060"/>
      <c r="CX107" s="2060"/>
      <c r="CY107" s="2060"/>
      <c r="CZ107" s="2060"/>
      <c r="DA107" s="2060"/>
      <c r="DB107" s="2060"/>
      <c r="DC107" s="2060"/>
      <c r="DD107" s="2060"/>
      <c r="DE107" s="2060"/>
      <c r="DF107" s="2060"/>
      <c r="DG107" s="2060"/>
      <c r="DH107" s="2060"/>
      <c r="DI107" s="2060"/>
      <c r="DJ107" s="2060"/>
      <c r="DK107" s="2060"/>
      <c r="DL107" s="2060"/>
      <c r="DM107" s="2060"/>
      <c r="DN107" s="2060"/>
      <c r="DO107" s="2060"/>
      <c r="DP107" s="2060"/>
      <c r="DQ107" s="2060"/>
      <c r="DR107" s="2060"/>
      <c r="DS107" s="2060"/>
      <c r="DT107" s="2060"/>
      <c r="DU107" s="2060"/>
      <c r="DV107" s="2060"/>
      <c r="DW107" s="2060"/>
      <c r="DX107" s="2060"/>
      <c r="DY107" s="2060"/>
      <c r="DZ107" s="2060"/>
      <c r="EA107" s="2060"/>
      <c r="EB107" s="2060"/>
      <c r="EC107" s="2060"/>
      <c r="ED107" s="2060"/>
      <c r="EE107" s="2060"/>
      <c r="EF107" s="2060"/>
      <c r="EG107" s="2060"/>
      <c r="EH107" s="2060"/>
      <c r="EI107" s="2060"/>
      <c r="EJ107" s="2060"/>
      <c r="EK107" s="2060"/>
      <c r="EL107" s="2060"/>
      <c r="EM107" s="2060"/>
      <c r="EN107" s="2060"/>
      <c r="EO107" s="2060"/>
      <c r="EP107" s="2060"/>
      <c r="EQ107" s="2060"/>
      <c r="ER107" s="2060"/>
      <c r="ES107" s="2060"/>
      <c r="ET107" s="2060"/>
      <c r="EU107" s="2060"/>
      <c r="EV107" s="2060"/>
      <c r="EW107" s="2060"/>
      <c r="EX107" s="2060"/>
      <c r="EY107" s="2060"/>
      <c r="EZ107" s="2060"/>
      <c r="FA107" s="2060"/>
      <c r="FB107" s="2060"/>
      <c r="FC107" s="2060"/>
      <c r="FD107" s="2060"/>
      <c r="FE107" s="2060"/>
      <c r="FF107" s="2060"/>
      <c r="FG107" s="2060"/>
      <c r="FH107" s="2060"/>
      <c r="FI107" s="2060"/>
      <c r="FJ107" s="2060"/>
      <c r="FK107" s="2060"/>
      <c r="FL107" s="2060"/>
      <c r="FM107" s="2060"/>
      <c r="FN107" s="2060"/>
      <c r="FO107" s="2060"/>
      <c r="FP107" s="2060"/>
      <c r="FQ107" s="2060"/>
      <c r="FR107" s="2060"/>
      <c r="FS107" s="2060"/>
      <c r="FT107" s="2060"/>
      <c r="FU107" s="2060"/>
      <c r="FV107" s="2060"/>
      <c r="FW107" s="2060"/>
      <c r="FX107" s="2060"/>
      <c r="FY107" s="2060"/>
      <c r="FZ107" s="2060"/>
      <c r="GA107" s="2060"/>
      <c r="GB107" s="2060"/>
      <c r="GC107" s="2060"/>
    </row>
    <row r="108" spans="1:185" s="1499" customFormat="1">
      <c r="A108" s="1632" t="str">
        <f t="shared" si="4"/>
        <v>n</v>
      </c>
      <c r="B108" s="1004"/>
      <c r="C108" s="2060"/>
      <c r="D108" s="779">
        <f t="shared" ca="1" si="11"/>
        <v>3.1499999999999968</v>
      </c>
      <c r="E108" s="1801" t="str">
        <f>'DATA GPC'!E34</f>
        <v>--</v>
      </c>
      <c r="F108" s="1349"/>
      <c r="G108" s="1504" t="str">
        <f>IF(E108="--","--",'DATA GPC'!G34)</f>
        <v>--</v>
      </c>
      <c r="H108" s="1350" t="str">
        <f t="shared" si="5"/>
        <v>--</v>
      </c>
      <c r="I108" s="1350" t="str">
        <f t="shared" si="6"/>
        <v>--</v>
      </c>
      <c r="J108" s="1350" t="str">
        <f t="shared" si="7"/>
        <v>--</v>
      </c>
      <c r="K108" s="1350" t="str">
        <f t="shared" si="8"/>
        <v>--</v>
      </c>
      <c r="L108" s="1143" t="str">
        <f>IF(AND($P$86="Significant only",$P108="Insignificant"),"--",'WACC and TIC Inputs'!H63)</f>
        <v>--</v>
      </c>
      <c r="M108" s="1143" t="str">
        <f>IF(AND($P$86="Significant only",$P108="Insignificant"),"--",'WACC and TIC Inputs'!I63)</f>
        <v>--</v>
      </c>
      <c r="N108" s="890" t="str">
        <f t="shared" si="12"/>
        <v>--</v>
      </c>
      <c r="O108" s="890" t="str">
        <f t="shared" si="13"/>
        <v>--</v>
      </c>
      <c r="P108" s="145" t="str">
        <f t="shared" si="10"/>
        <v>--</v>
      </c>
      <c r="Q108" s="1616" t="str">
        <f>IF(E143="--","--",IFERROR(_xll.ciqfunctions.udf.CIQ(G143, "IQ_FLOAT_PERCENT",,Valuation_date)/100,"n/a"))</f>
        <v>--</v>
      </c>
      <c r="R108" s="1616" t="str">
        <f>'DATA GPC'!S300</f>
        <v>--</v>
      </c>
      <c r="S108" s="2060" t="str">
        <f>'DATA GPC'!K34</f>
        <v>--</v>
      </c>
      <c r="T108" s="2060"/>
      <c r="U108" s="1352" t="str">
        <f>'DATA GPC'!S34</f>
        <v>--</v>
      </c>
      <c r="V108" s="2060"/>
      <c r="W108" s="2060"/>
      <c r="X108" s="2060"/>
      <c r="Y108" s="2060"/>
      <c r="Z108" s="2060"/>
      <c r="AA108" s="2060"/>
      <c r="AB108" s="2060"/>
      <c r="AC108" s="2060"/>
      <c r="AD108" s="1004"/>
      <c r="AE108" s="2060"/>
      <c r="AF108" s="2060"/>
      <c r="AG108" s="2060"/>
      <c r="AH108" s="2060"/>
      <c r="AI108" s="2060"/>
      <c r="AJ108" s="2060"/>
      <c r="AK108" s="2060"/>
      <c r="AL108" s="2060"/>
      <c r="AM108" s="2060"/>
      <c r="AN108" s="2060"/>
      <c r="AO108" s="2060"/>
      <c r="AP108" s="2060"/>
      <c r="AQ108" s="2060"/>
      <c r="AR108" s="2060"/>
      <c r="AS108" s="2060"/>
      <c r="AT108" s="2060"/>
      <c r="AU108" s="2060"/>
      <c r="AV108" s="2060"/>
      <c r="AW108" s="2060"/>
      <c r="AX108" s="2060"/>
      <c r="AY108" s="2060"/>
      <c r="AZ108" s="2060"/>
      <c r="BA108" s="2060"/>
      <c r="BB108" s="2060"/>
      <c r="BC108" s="2060"/>
      <c r="BD108" s="2060"/>
      <c r="BE108" s="2060"/>
      <c r="BF108" s="2060"/>
      <c r="BG108" s="2060"/>
      <c r="BH108" s="2060"/>
      <c r="BI108" s="2060"/>
      <c r="BJ108" s="2060"/>
      <c r="BK108" s="2060"/>
      <c r="BL108" s="2060"/>
      <c r="BM108" s="2060"/>
      <c r="BN108" s="2060"/>
      <c r="BO108" s="2060"/>
      <c r="BP108" s="2060"/>
      <c r="BQ108" s="2060"/>
      <c r="BR108" s="2060"/>
      <c r="BS108" s="2060"/>
      <c r="BT108" s="2060"/>
      <c r="BU108" s="2060"/>
      <c r="BV108" s="2060"/>
      <c r="BW108" s="2060"/>
      <c r="BX108" s="2060"/>
      <c r="BY108" s="2060"/>
      <c r="BZ108" s="2060"/>
      <c r="CA108" s="2060"/>
      <c r="CB108" s="2060"/>
      <c r="CC108" s="2060"/>
      <c r="CD108" s="2060"/>
      <c r="CE108" s="2060"/>
      <c r="CF108" s="2060"/>
      <c r="CG108" s="2060"/>
      <c r="CH108" s="2060"/>
      <c r="CI108" s="2060"/>
      <c r="CJ108" s="2060"/>
      <c r="CK108" s="2060"/>
      <c r="CL108" s="2060"/>
      <c r="CM108" s="2060"/>
      <c r="CN108" s="2060"/>
      <c r="CO108" s="2060"/>
      <c r="CP108" s="2060"/>
      <c r="CQ108" s="2060"/>
      <c r="CR108" s="2060"/>
      <c r="CS108" s="2060"/>
      <c r="CT108" s="2060"/>
      <c r="CU108" s="2060"/>
      <c r="CV108" s="2060"/>
      <c r="CW108" s="2060"/>
      <c r="CX108" s="2060"/>
      <c r="CY108" s="2060"/>
      <c r="CZ108" s="2060"/>
      <c r="DA108" s="2060"/>
      <c r="DB108" s="2060"/>
      <c r="DC108" s="2060"/>
      <c r="DD108" s="2060"/>
      <c r="DE108" s="2060"/>
      <c r="DF108" s="2060"/>
      <c r="DG108" s="2060"/>
      <c r="DH108" s="2060"/>
      <c r="DI108" s="2060"/>
      <c r="DJ108" s="2060"/>
      <c r="DK108" s="2060"/>
      <c r="DL108" s="2060"/>
      <c r="DM108" s="2060"/>
      <c r="DN108" s="2060"/>
      <c r="DO108" s="2060"/>
      <c r="DP108" s="2060"/>
      <c r="DQ108" s="2060"/>
      <c r="DR108" s="2060"/>
      <c r="DS108" s="2060"/>
      <c r="DT108" s="2060"/>
      <c r="DU108" s="2060"/>
      <c r="DV108" s="2060"/>
      <c r="DW108" s="2060"/>
      <c r="DX108" s="2060"/>
      <c r="DY108" s="2060"/>
      <c r="DZ108" s="2060"/>
      <c r="EA108" s="2060"/>
      <c r="EB108" s="2060"/>
      <c r="EC108" s="2060"/>
      <c r="ED108" s="2060"/>
      <c r="EE108" s="2060"/>
      <c r="EF108" s="2060"/>
      <c r="EG108" s="2060"/>
      <c r="EH108" s="2060"/>
      <c r="EI108" s="2060"/>
      <c r="EJ108" s="2060"/>
      <c r="EK108" s="2060"/>
      <c r="EL108" s="2060"/>
      <c r="EM108" s="2060"/>
      <c r="EN108" s="2060"/>
      <c r="EO108" s="2060"/>
      <c r="EP108" s="2060"/>
      <c r="EQ108" s="2060"/>
      <c r="ER108" s="2060"/>
      <c r="ES108" s="2060"/>
      <c r="ET108" s="2060"/>
      <c r="EU108" s="2060"/>
      <c r="EV108" s="2060"/>
      <c r="EW108" s="2060"/>
      <c r="EX108" s="2060"/>
      <c r="EY108" s="2060"/>
      <c r="EZ108" s="2060"/>
      <c r="FA108" s="2060"/>
      <c r="FB108" s="2060"/>
      <c r="FC108" s="2060"/>
      <c r="FD108" s="2060"/>
      <c r="FE108" s="2060"/>
      <c r="FF108" s="2060"/>
      <c r="FG108" s="2060"/>
      <c r="FH108" s="2060"/>
      <c r="FI108" s="2060"/>
      <c r="FJ108" s="2060"/>
      <c r="FK108" s="2060"/>
      <c r="FL108" s="2060"/>
      <c r="FM108" s="2060"/>
      <c r="FN108" s="2060"/>
      <c r="FO108" s="2060"/>
      <c r="FP108" s="2060"/>
      <c r="FQ108" s="2060"/>
      <c r="FR108" s="2060"/>
      <c r="FS108" s="2060"/>
      <c r="FT108" s="2060"/>
      <c r="FU108" s="2060"/>
      <c r="FV108" s="2060"/>
      <c r="FW108" s="2060"/>
      <c r="FX108" s="2060"/>
      <c r="FY108" s="2060"/>
      <c r="FZ108" s="2060"/>
      <c r="GA108" s="2060"/>
      <c r="GB108" s="2060"/>
      <c r="GC108" s="2060"/>
    </row>
    <row r="109" spans="1:185" s="1499" customFormat="1">
      <c r="A109" s="1632" t="str">
        <f t="shared" si="4"/>
        <v>n</v>
      </c>
      <c r="B109" s="1004"/>
      <c r="C109" s="2060"/>
      <c r="D109" s="779">
        <f t="shared" ca="1" si="11"/>
        <v>3.1599999999999966</v>
      </c>
      <c r="E109" s="1801" t="str">
        <f>'DATA GPC'!E35</f>
        <v>--</v>
      </c>
      <c r="F109" s="1349"/>
      <c r="G109" s="1504" t="str">
        <f>IF(E109="--","--",'DATA GPC'!G35)</f>
        <v>--</v>
      </c>
      <c r="H109" s="1350" t="str">
        <f t="shared" si="5"/>
        <v>--</v>
      </c>
      <c r="I109" s="1350" t="str">
        <f t="shared" si="6"/>
        <v>--</v>
      </c>
      <c r="J109" s="1350" t="str">
        <f t="shared" si="7"/>
        <v>--</v>
      </c>
      <c r="K109" s="1350" t="str">
        <f t="shared" si="8"/>
        <v>--</v>
      </c>
      <c r="L109" s="1143" t="str">
        <f>IF(AND($P$86="Significant only",$P109="Insignificant"),"--",'WACC and TIC Inputs'!H64)</f>
        <v>--</v>
      </c>
      <c r="M109" s="1143" t="str">
        <f>IF(AND($P$86="Significant only",$P109="Insignificant"),"--",'WACC and TIC Inputs'!I64)</f>
        <v>--</v>
      </c>
      <c r="N109" s="890" t="str">
        <f t="shared" si="12"/>
        <v>--</v>
      </c>
      <c r="O109" s="890" t="str">
        <f t="shared" si="13"/>
        <v>--</v>
      </c>
      <c r="P109" s="145" t="str">
        <f t="shared" si="10"/>
        <v>--</v>
      </c>
      <c r="Q109" s="1616" t="str">
        <f>IF(E144="--","--",IFERROR(_xll.ciqfunctions.udf.CIQ(G144, "IQ_FLOAT_PERCENT",,Valuation_date)/100,"n/a"))</f>
        <v>--</v>
      </c>
      <c r="R109" s="1616" t="str">
        <f>'DATA GPC'!S301</f>
        <v>--</v>
      </c>
      <c r="S109" s="2060" t="str">
        <f>'DATA GPC'!K35</f>
        <v>--</v>
      </c>
      <c r="T109" s="2060"/>
      <c r="U109" s="1352" t="str">
        <f>'DATA GPC'!S35</f>
        <v>--</v>
      </c>
      <c r="V109" s="2060"/>
      <c r="W109" s="2060"/>
      <c r="X109" s="2060"/>
      <c r="Y109" s="2060"/>
      <c r="Z109" s="2060"/>
      <c r="AA109" s="2060"/>
      <c r="AB109" s="2060"/>
      <c r="AC109" s="2060"/>
      <c r="AD109" s="1004"/>
      <c r="AE109" s="2060"/>
      <c r="AF109" s="2060"/>
      <c r="AG109" s="2060"/>
      <c r="AH109" s="2060"/>
      <c r="AI109" s="2060"/>
      <c r="AJ109" s="2060"/>
      <c r="AK109" s="2060"/>
      <c r="AL109" s="2060"/>
      <c r="AM109" s="2060"/>
      <c r="AN109" s="2060"/>
      <c r="AO109" s="2060"/>
      <c r="AP109" s="2060"/>
      <c r="AQ109" s="2060"/>
      <c r="AR109" s="2060"/>
      <c r="AS109" s="2060"/>
      <c r="AT109" s="2060"/>
      <c r="AU109" s="2060"/>
      <c r="AV109" s="2060"/>
      <c r="AW109" s="2060"/>
      <c r="AX109" s="2060"/>
      <c r="AY109" s="2060"/>
      <c r="AZ109" s="2060"/>
      <c r="BA109" s="2060"/>
      <c r="BB109" s="2060"/>
      <c r="BC109" s="2060"/>
      <c r="BD109" s="2060"/>
      <c r="BE109" s="2060"/>
      <c r="BF109" s="2060"/>
      <c r="BG109" s="2060"/>
      <c r="BH109" s="2060"/>
      <c r="BI109" s="2060"/>
      <c r="BJ109" s="2060"/>
      <c r="BK109" s="2060"/>
      <c r="BL109" s="2060"/>
      <c r="BM109" s="2060"/>
      <c r="BN109" s="2060"/>
      <c r="BO109" s="2060"/>
      <c r="BP109" s="2060"/>
      <c r="BQ109" s="2060"/>
      <c r="BR109" s="2060"/>
      <c r="BS109" s="2060"/>
      <c r="BT109" s="2060"/>
      <c r="BU109" s="2060"/>
      <c r="BV109" s="2060"/>
      <c r="BW109" s="2060"/>
      <c r="BX109" s="2060"/>
      <c r="BY109" s="2060"/>
      <c r="BZ109" s="2060"/>
      <c r="CA109" s="2060"/>
      <c r="CB109" s="2060"/>
      <c r="CC109" s="2060"/>
      <c r="CD109" s="2060"/>
      <c r="CE109" s="2060"/>
      <c r="CF109" s="2060"/>
      <c r="CG109" s="2060"/>
      <c r="CH109" s="2060"/>
      <c r="CI109" s="2060"/>
      <c r="CJ109" s="2060"/>
      <c r="CK109" s="2060"/>
      <c r="CL109" s="2060"/>
      <c r="CM109" s="2060"/>
      <c r="CN109" s="2060"/>
      <c r="CO109" s="2060"/>
      <c r="CP109" s="2060"/>
      <c r="CQ109" s="2060"/>
      <c r="CR109" s="2060"/>
      <c r="CS109" s="2060"/>
      <c r="CT109" s="2060"/>
      <c r="CU109" s="2060"/>
      <c r="CV109" s="2060"/>
      <c r="CW109" s="2060"/>
      <c r="CX109" s="2060"/>
      <c r="CY109" s="2060"/>
      <c r="CZ109" s="2060"/>
      <c r="DA109" s="2060"/>
      <c r="DB109" s="2060"/>
      <c r="DC109" s="2060"/>
      <c r="DD109" s="2060"/>
      <c r="DE109" s="2060"/>
      <c r="DF109" s="2060"/>
      <c r="DG109" s="2060"/>
      <c r="DH109" s="2060"/>
      <c r="DI109" s="2060"/>
      <c r="DJ109" s="2060"/>
      <c r="DK109" s="2060"/>
      <c r="DL109" s="2060"/>
      <c r="DM109" s="2060"/>
      <c r="DN109" s="2060"/>
      <c r="DO109" s="2060"/>
      <c r="DP109" s="2060"/>
      <c r="DQ109" s="2060"/>
      <c r="DR109" s="2060"/>
      <c r="DS109" s="2060"/>
      <c r="DT109" s="2060"/>
      <c r="DU109" s="2060"/>
      <c r="DV109" s="2060"/>
      <c r="DW109" s="2060"/>
      <c r="DX109" s="2060"/>
      <c r="DY109" s="2060"/>
      <c r="DZ109" s="2060"/>
      <c r="EA109" s="2060"/>
      <c r="EB109" s="2060"/>
      <c r="EC109" s="2060"/>
      <c r="ED109" s="2060"/>
      <c r="EE109" s="2060"/>
      <c r="EF109" s="2060"/>
      <c r="EG109" s="2060"/>
      <c r="EH109" s="2060"/>
      <c r="EI109" s="2060"/>
      <c r="EJ109" s="2060"/>
      <c r="EK109" s="2060"/>
      <c r="EL109" s="2060"/>
      <c r="EM109" s="2060"/>
      <c r="EN109" s="2060"/>
      <c r="EO109" s="2060"/>
      <c r="EP109" s="2060"/>
      <c r="EQ109" s="2060"/>
      <c r="ER109" s="2060"/>
      <c r="ES109" s="2060"/>
      <c r="ET109" s="2060"/>
      <c r="EU109" s="2060"/>
      <c r="EV109" s="2060"/>
      <c r="EW109" s="2060"/>
      <c r="EX109" s="2060"/>
      <c r="EY109" s="2060"/>
      <c r="EZ109" s="2060"/>
      <c r="FA109" s="2060"/>
      <c r="FB109" s="2060"/>
      <c r="FC109" s="2060"/>
      <c r="FD109" s="2060"/>
      <c r="FE109" s="2060"/>
      <c r="FF109" s="2060"/>
      <c r="FG109" s="2060"/>
      <c r="FH109" s="2060"/>
      <c r="FI109" s="2060"/>
      <c r="FJ109" s="2060"/>
      <c r="FK109" s="2060"/>
      <c r="FL109" s="2060"/>
      <c r="FM109" s="2060"/>
      <c r="FN109" s="2060"/>
      <c r="FO109" s="2060"/>
      <c r="FP109" s="2060"/>
      <c r="FQ109" s="2060"/>
      <c r="FR109" s="2060"/>
      <c r="FS109" s="2060"/>
      <c r="FT109" s="2060"/>
      <c r="FU109" s="2060"/>
      <c r="FV109" s="2060"/>
      <c r="FW109" s="2060"/>
      <c r="FX109" s="2060"/>
      <c r="FY109" s="2060"/>
      <c r="FZ109" s="2060"/>
      <c r="GA109" s="2060"/>
      <c r="GB109" s="2060"/>
      <c r="GC109" s="2060"/>
    </row>
    <row r="110" spans="1:185" s="1499" customFormat="1">
      <c r="A110" s="1632" t="str">
        <f t="shared" si="4"/>
        <v>n</v>
      </c>
      <c r="B110" s="1004"/>
      <c r="C110" s="2060"/>
      <c r="D110" s="779">
        <f t="shared" ca="1" si="11"/>
        <v>3.1699999999999964</v>
      </c>
      <c r="E110" s="1801" t="str">
        <f>'DATA GPC'!E36</f>
        <v>--</v>
      </c>
      <c r="F110" s="1349"/>
      <c r="G110" s="1504" t="str">
        <f>IF(E110="--","--",'DATA GPC'!G36)</f>
        <v>--</v>
      </c>
      <c r="H110" s="1350" t="str">
        <f t="shared" si="5"/>
        <v>--</v>
      </c>
      <c r="I110" s="1350" t="str">
        <f t="shared" si="6"/>
        <v>--</v>
      </c>
      <c r="J110" s="1350" t="str">
        <f t="shared" si="7"/>
        <v>--</v>
      </c>
      <c r="K110" s="1350" t="str">
        <f t="shared" si="8"/>
        <v>--</v>
      </c>
      <c r="L110" s="1143" t="str">
        <f>IF(AND($P$86="Significant only",$P110="Insignificant"),"--",'WACC and TIC Inputs'!H65)</f>
        <v>--</v>
      </c>
      <c r="M110" s="1143" t="str">
        <f>IF(AND($P$86="Significant only",$P110="Insignificant"),"--",'WACC and TIC Inputs'!I65)</f>
        <v>--</v>
      </c>
      <c r="N110" s="890" t="str">
        <f t="shared" si="12"/>
        <v>--</v>
      </c>
      <c r="O110" s="890" t="str">
        <f t="shared" si="13"/>
        <v>--</v>
      </c>
      <c r="P110" s="145" t="str">
        <f t="shared" si="10"/>
        <v>--</v>
      </c>
      <c r="Q110" s="1616" t="str">
        <f>IF(E145="--","--",IFERROR(_xll.ciqfunctions.udf.CIQ(G145, "IQ_FLOAT_PERCENT",,Valuation_date)/100,"n/a"))</f>
        <v>--</v>
      </c>
      <c r="R110" s="1616" t="str">
        <f>'DATA GPC'!S302</f>
        <v>--</v>
      </c>
      <c r="S110" s="2060" t="str">
        <f>'DATA GPC'!K36</f>
        <v>--</v>
      </c>
      <c r="T110" s="2060"/>
      <c r="U110" s="1352" t="str">
        <f>'DATA GPC'!S36</f>
        <v>--</v>
      </c>
      <c r="V110" s="2060"/>
      <c r="W110" s="2060"/>
      <c r="X110" s="2060"/>
      <c r="Y110" s="2060"/>
      <c r="Z110" s="2060"/>
      <c r="AA110" s="2060"/>
      <c r="AB110" s="2060"/>
      <c r="AC110" s="2060"/>
      <c r="AD110" s="1004"/>
      <c r="AE110" s="2060"/>
      <c r="AF110" s="2060"/>
      <c r="AG110" s="2060"/>
      <c r="AH110" s="2060"/>
      <c r="AI110" s="2060"/>
      <c r="AJ110" s="2060"/>
      <c r="AK110" s="2060"/>
      <c r="AL110" s="2060"/>
      <c r="AM110" s="2060"/>
      <c r="AN110" s="2060"/>
      <c r="AO110" s="2060"/>
      <c r="AP110" s="2060"/>
      <c r="AQ110" s="2060"/>
      <c r="AR110" s="2060"/>
      <c r="AS110" s="2060"/>
      <c r="AT110" s="2060"/>
      <c r="AU110" s="2060"/>
      <c r="AV110" s="2060"/>
      <c r="AW110" s="2060"/>
      <c r="AX110" s="2060"/>
      <c r="AY110" s="2060"/>
      <c r="AZ110" s="2060"/>
      <c r="BA110" s="2060"/>
      <c r="BB110" s="2060"/>
      <c r="BC110" s="2060"/>
      <c r="BD110" s="2060"/>
      <c r="BE110" s="2060"/>
      <c r="BF110" s="2060"/>
      <c r="BG110" s="2060"/>
      <c r="BH110" s="2060"/>
      <c r="BI110" s="2060"/>
      <c r="BJ110" s="2060"/>
      <c r="BK110" s="2060"/>
      <c r="BL110" s="2060"/>
      <c r="BM110" s="2060"/>
      <c r="BN110" s="2060"/>
      <c r="BO110" s="2060"/>
      <c r="BP110" s="2060"/>
      <c r="BQ110" s="2060"/>
      <c r="BR110" s="2060"/>
      <c r="BS110" s="2060"/>
      <c r="BT110" s="2060"/>
      <c r="BU110" s="2060"/>
      <c r="BV110" s="2060"/>
      <c r="BW110" s="2060"/>
      <c r="BX110" s="2060"/>
      <c r="BY110" s="2060"/>
      <c r="BZ110" s="2060"/>
      <c r="CA110" s="2060"/>
      <c r="CB110" s="2060"/>
      <c r="CC110" s="2060"/>
      <c r="CD110" s="2060"/>
      <c r="CE110" s="2060"/>
      <c r="CF110" s="2060"/>
      <c r="CG110" s="2060"/>
      <c r="CH110" s="2060"/>
      <c r="CI110" s="2060"/>
      <c r="CJ110" s="2060"/>
      <c r="CK110" s="2060"/>
      <c r="CL110" s="2060"/>
      <c r="CM110" s="2060"/>
      <c r="CN110" s="2060"/>
      <c r="CO110" s="2060"/>
      <c r="CP110" s="2060"/>
      <c r="CQ110" s="2060"/>
      <c r="CR110" s="2060"/>
      <c r="CS110" s="2060"/>
      <c r="CT110" s="2060"/>
      <c r="CU110" s="2060"/>
      <c r="CV110" s="2060"/>
      <c r="CW110" s="2060"/>
      <c r="CX110" s="2060"/>
      <c r="CY110" s="2060"/>
      <c r="CZ110" s="2060"/>
      <c r="DA110" s="2060"/>
      <c r="DB110" s="2060"/>
      <c r="DC110" s="2060"/>
      <c r="DD110" s="2060"/>
      <c r="DE110" s="2060"/>
      <c r="DF110" s="2060"/>
      <c r="DG110" s="2060"/>
      <c r="DH110" s="2060"/>
      <c r="DI110" s="2060"/>
      <c r="DJ110" s="2060"/>
      <c r="DK110" s="2060"/>
      <c r="DL110" s="2060"/>
      <c r="DM110" s="2060"/>
      <c r="DN110" s="2060"/>
      <c r="DO110" s="2060"/>
      <c r="DP110" s="2060"/>
      <c r="DQ110" s="2060"/>
      <c r="DR110" s="2060"/>
      <c r="DS110" s="2060"/>
      <c r="DT110" s="2060"/>
      <c r="DU110" s="2060"/>
      <c r="DV110" s="2060"/>
      <c r="DW110" s="2060"/>
      <c r="DX110" s="2060"/>
      <c r="DY110" s="2060"/>
      <c r="DZ110" s="2060"/>
      <c r="EA110" s="2060"/>
      <c r="EB110" s="2060"/>
      <c r="EC110" s="2060"/>
      <c r="ED110" s="2060"/>
      <c r="EE110" s="2060"/>
      <c r="EF110" s="2060"/>
      <c r="EG110" s="2060"/>
      <c r="EH110" s="2060"/>
      <c r="EI110" s="2060"/>
      <c r="EJ110" s="2060"/>
      <c r="EK110" s="2060"/>
      <c r="EL110" s="2060"/>
      <c r="EM110" s="2060"/>
      <c r="EN110" s="2060"/>
      <c r="EO110" s="2060"/>
      <c r="EP110" s="2060"/>
      <c r="EQ110" s="2060"/>
      <c r="ER110" s="2060"/>
      <c r="ES110" s="2060"/>
      <c r="ET110" s="2060"/>
      <c r="EU110" s="2060"/>
      <c r="EV110" s="2060"/>
      <c r="EW110" s="2060"/>
      <c r="EX110" s="2060"/>
      <c r="EY110" s="2060"/>
      <c r="EZ110" s="2060"/>
      <c r="FA110" s="2060"/>
      <c r="FB110" s="2060"/>
      <c r="FC110" s="2060"/>
      <c r="FD110" s="2060"/>
      <c r="FE110" s="2060"/>
      <c r="FF110" s="2060"/>
      <c r="FG110" s="2060"/>
      <c r="FH110" s="2060"/>
      <c r="FI110" s="2060"/>
      <c r="FJ110" s="2060"/>
      <c r="FK110" s="2060"/>
      <c r="FL110" s="2060"/>
      <c r="FM110" s="2060"/>
      <c r="FN110" s="2060"/>
      <c r="FO110" s="2060"/>
      <c r="FP110" s="2060"/>
      <c r="FQ110" s="2060"/>
      <c r="FR110" s="2060"/>
      <c r="FS110" s="2060"/>
      <c r="FT110" s="2060"/>
      <c r="FU110" s="2060"/>
      <c r="FV110" s="2060"/>
      <c r="FW110" s="2060"/>
      <c r="FX110" s="2060"/>
      <c r="FY110" s="2060"/>
      <c r="FZ110" s="2060"/>
      <c r="GA110" s="2060"/>
      <c r="GB110" s="2060"/>
      <c r="GC110" s="2060"/>
    </row>
    <row r="111" spans="1:185" s="1499" customFormat="1">
      <c r="A111" s="1632" t="str">
        <f t="shared" si="4"/>
        <v>n</v>
      </c>
      <c r="B111" s="1004"/>
      <c r="C111" s="2060"/>
      <c r="D111" s="779">
        <f t="shared" ca="1" si="11"/>
        <v>3.1799999999999962</v>
      </c>
      <c r="E111" s="1801" t="str">
        <f>'DATA GPC'!E37</f>
        <v>--</v>
      </c>
      <c r="F111" s="1349"/>
      <c r="G111" s="1504" t="str">
        <f>IF(E111="--","--",'DATA GPC'!G37)</f>
        <v>--</v>
      </c>
      <c r="H111" s="1350" t="str">
        <f t="shared" si="5"/>
        <v>--</v>
      </c>
      <c r="I111" s="1350" t="str">
        <f t="shared" si="6"/>
        <v>--</v>
      </c>
      <c r="J111" s="1350" t="str">
        <f t="shared" si="7"/>
        <v>--</v>
      </c>
      <c r="K111" s="1350" t="str">
        <f t="shared" si="8"/>
        <v>--</v>
      </c>
      <c r="L111" s="1143" t="str">
        <f>IF(AND($P$86="Significant only",$P111="Insignificant"),"--",'WACC and TIC Inputs'!H66)</f>
        <v>--</v>
      </c>
      <c r="M111" s="1143" t="str">
        <f>IF(AND($P$86="Significant only",$P111="Insignificant"),"--",'WACC and TIC Inputs'!I66)</f>
        <v>--</v>
      </c>
      <c r="N111" s="890" t="str">
        <f t="shared" si="12"/>
        <v>--</v>
      </c>
      <c r="O111" s="890" t="str">
        <f t="shared" si="13"/>
        <v>--</v>
      </c>
      <c r="P111" s="145" t="str">
        <f t="shared" si="10"/>
        <v>--</v>
      </c>
      <c r="Q111" s="1616" t="str">
        <f>IF(E146="--","--",IFERROR(_xll.ciqfunctions.udf.CIQ(G146, "IQ_FLOAT_PERCENT",,Valuation_date)/100,"n/a"))</f>
        <v>--</v>
      </c>
      <c r="R111" s="1616" t="str">
        <f>'DATA GPC'!S303</f>
        <v>--</v>
      </c>
      <c r="S111" s="2060" t="str">
        <f>'DATA GPC'!K37</f>
        <v>--</v>
      </c>
      <c r="T111" s="2060"/>
      <c r="U111" s="1352" t="str">
        <f>'DATA GPC'!S37</f>
        <v>--</v>
      </c>
      <c r="V111" s="2060"/>
      <c r="W111" s="2060"/>
      <c r="X111" s="2060"/>
      <c r="Y111" s="2060"/>
      <c r="Z111" s="2060"/>
      <c r="AA111" s="2060"/>
      <c r="AB111" s="2060"/>
      <c r="AC111" s="2060"/>
      <c r="AD111" s="1004"/>
      <c r="AE111" s="2060"/>
      <c r="AF111" s="2060"/>
      <c r="AG111" s="2060"/>
      <c r="AH111" s="2060"/>
      <c r="AI111" s="2060"/>
      <c r="AJ111" s="2060"/>
      <c r="AK111" s="2060"/>
      <c r="AL111" s="2060"/>
      <c r="AM111" s="2060"/>
      <c r="AN111" s="2060"/>
      <c r="AO111" s="2060"/>
      <c r="AP111" s="2060"/>
      <c r="AQ111" s="2060"/>
      <c r="AR111" s="2060"/>
      <c r="AS111" s="2060"/>
      <c r="AT111" s="2060"/>
      <c r="AU111" s="2060"/>
      <c r="AV111" s="2060"/>
      <c r="AW111" s="2060"/>
      <c r="AX111" s="2060"/>
      <c r="AY111" s="2060"/>
      <c r="AZ111" s="2060"/>
      <c r="BA111" s="2060"/>
      <c r="BB111" s="2060"/>
      <c r="BC111" s="2060"/>
      <c r="BD111" s="2060"/>
      <c r="BE111" s="2060"/>
      <c r="BF111" s="2060"/>
      <c r="BG111" s="2060"/>
      <c r="BH111" s="2060"/>
      <c r="BI111" s="2060"/>
      <c r="BJ111" s="2060"/>
      <c r="BK111" s="2060"/>
      <c r="BL111" s="2060"/>
      <c r="BM111" s="2060"/>
      <c r="BN111" s="2060"/>
      <c r="BO111" s="2060"/>
      <c r="BP111" s="2060"/>
      <c r="BQ111" s="2060"/>
      <c r="BR111" s="2060"/>
      <c r="BS111" s="2060"/>
      <c r="BT111" s="2060"/>
      <c r="BU111" s="2060"/>
      <c r="BV111" s="2060"/>
      <c r="BW111" s="2060"/>
      <c r="BX111" s="2060"/>
      <c r="BY111" s="2060"/>
      <c r="BZ111" s="2060"/>
      <c r="CA111" s="2060"/>
      <c r="CB111" s="2060"/>
      <c r="CC111" s="2060"/>
      <c r="CD111" s="2060"/>
      <c r="CE111" s="2060"/>
      <c r="CF111" s="2060"/>
      <c r="CG111" s="2060"/>
      <c r="CH111" s="2060"/>
      <c r="CI111" s="2060"/>
      <c r="CJ111" s="2060"/>
      <c r="CK111" s="2060"/>
      <c r="CL111" s="2060"/>
      <c r="CM111" s="2060"/>
      <c r="CN111" s="2060"/>
      <c r="CO111" s="2060"/>
      <c r="CP111" s="2060"/>
      <c r="CQ111" s="2060"/>
      <c r="CR111" s="2060"/>
      <c r="CS111" s="2060"/>
      <c r="CT111" s="2060"/>
      <c r="CU111" s="2060"/>
      <c r="CV111" s="2060"/>
      <c r="CW111" s="2060"/>
      <c r="CX111" s="2060"/>
      <c r="CY111" s="2060"/>
      <c r="CZ111" s="2060"/>
      <c r="DA111" s="2060"/>
      <c r="DB111" s="2060"/>
      <c r="DC111" s="2060"/>
      <c r="DD111" s="2060"/>
      <c r="DE111" s="2060"/>
      <c r="DF111" s="2060"/>
      <c r="DG111" s="2060"/>
      <c r="DH111" s="2060"/>
      <c r="DI111" s="2060"/>
      <c r="DJ111" s="2060"/>
      <c r="DK111" s="2060"/>
      <c r="DL111" s="2060"/>
      <c r="DM111" s="2060"/>
      <c r="DN111" s="2060"/>
      <c r="DO111" s="2060"/>
      <c r="DP111" s="2060"/>
      <c r="DQ111" s="2060"/>
      <c r="DR111" s="2060"/>
      <c r="DS111" s="2060"/>
      <c r="DT111" s="2060"/>
      <c r="DU111" s="2060"/>
      <c r="DV111" s="2060"/>
      <c r="DW111" s="2060"/>
      <c r="DX111" s="2060"/>
      <c r="DY111" s="2060"/>
      <c r="DZ111" s="2060"/>
      <c r="EA111" s="2060"/>
      <c r="EB111" s="2060"/>
      <c r="EC111" s="2060"/>
      <c r="ED111" s="2060"/>
      <c r="EE111" s="2060"/>
      <c r="EF111" s="2060"/>
      <c r="EG111" s="2060"/>
      <c r="EH111" s="2060"/>
      <c r="EI111" s="2060"/>
      <c r="EJ111" s="2060"/>
      <c r="EK111" s="2060"/>
      <c r="EL111" s="2060"/>
      <c r="EM111" s="2060"/>
      <c r="EN111" s="2060"/>
      <c r="EO111" s="2060"/>
      <c r="EP111" s="2060"/>
      <c r="EQ111" s="2060"/>
      <c r="ER111" s="2060"/>
      <c r="ES111" s="2060"/>
      <c r="ET111" s="2060"/>
      <c r="EU111" s="2060"/>
      <c r="EV111" s="2060"/>
      <c r="EW111" s="2060"/>
      <c r="EX111" s="2060"/>
      <c r="EY111" s="2060"/>
      <c r="EZ111" s="2060"/>
      <c r="FA111" s="2060"/>
      <c r="FB111" s="2060"/>
      <c r="FC111" s="2060"/>
      <c r="FD111" s="2060"/>
      <c r="FE111" s="2060"/>
      <c r="FF111" s="2060"/>
      <c r="FG111" s="2060"/>
      <c r="FH111" s="2060"/>
      <c r="FI111" s="2060"/>
      <c r="FJ111" s="2060"/>
      <c r="FK111" s="2060"/>
      <c r="FL111" s="2060"/>
      <c r="FM111" s="2060"/>
      <c r="FN111" s="2060"/>
      <c r="FO111" s="2060"/>
      <c r="FP111" s="2060"/>
      <c r="FQ111" s="2060"/>
      <c r="FR111" s="2060"/>
      <c r="FS111" s="2060"/>
      <c r="FT111" s="2060"/>
      <c r="FU111" s="2060"/>
      <c r="FV111" s="2060"/>
      <c r="FW111" s="2060"/>
      <c r="FX111" s="2060"/>
      <c r="FY111" s="2060"/>
      <c r="FZ111" s="2060"/>
      <c r="GA111" s="2060"/>
      <c r="GB111" s="2060"/>
      <c r="GC111" s="2060"/>
    </row>
    <row r="112" spans="1:185" s="1499" customFormat="1">
      <c r="A112" s="1632" t="str">
        <f t="shared" si="4"/>
        <v>n</v>
      </c>
      <c r="B112" s="1004"/>
      <c r="C112" s="2060"/>
      <c r="D112" s="779">
        <f t="shared" ca="1" si="11"/>
        <v>3.1899999999999959</v>
      </c>
      <c r="E112" s="1801" t="str">
        <f>'DATA GPC'!E38</f>
        <v>--</v>
      </c>
      <c r="F112" s="1349"/>
      <c r="G112" s="1504" t="str">
        <f>IF(E112="--","--",'DATA GPC'!G38)</f>
        <v>--</v>
      </c>
      <c r="H112" s="1350" t="str">
        <f t="shared" si="5"/>
        <v>--</v>
      </c>
      <c r="I112" s="1350" t="str">
        <f t="shared" si="6"/>
        <v>--</v>
      </c>
      <c r="J112" s="1350" t="str">
        <f t="shared" si="7"/>
        <v>--</v>
      </c>
      <c r="K112" s="1350" t="str">
        <f t="shared" si="8"/>
        <v>--</v>
      </c>
      <c r="L112" s="1143" t="str">
        <f>IF(AND($P$86="Significant only",$P112="Insignificant"),"--",'WACC and TIC Inputs'!H67)</f>
        <v>--</v>
      </c>
      <c r="M112" s="1143" t="str">
        <f>IF(AND($P$86="Significant only",$P112="Insignificant"),"--",'WACC and TIC Inputs'!I67)</f>
        <v>--</v>
      </c>
      <c r="N112" s="890" t="str">
        <f t="shared" si="12"/>
        <v>--</v>
      </c>
      <c r="O112" s="890" t="str">
        <f t="shared" si="13"/>
        <v>--</v>
      </c>
      <c r="P112" s="145" t="str">
        <f t="shared" si="10"/>
        <v>--</v>
      </c>
      <c r="Q112" s="1616" t="str">
        <f>IF(E147="--","--",IFERROR(_xll.ciqfunctions.udf.CIQ(G147, "IQ_FLOAT_PERCENT",,Valuation_date)/100,"n/a"))</f>
        <v>--</v>
      </c>
      <c r="R112" s="1616" t="str">
        <f>'DATA GPC'!S304</f>
        <v>--</v>
      </c>
      <c r="S112" s="2060" t="str">
        <f>'DATA GPC'!K38</f>
        <v>--</v>
      </c>
      <c r="T112" s="2060"/>
      <c r="U112" s="1352" t="str">
        <f>'DATA GPC'!S38</f>
        <v>--</v>
      </c>
      <c r="V112" s="2060"/>
      <c r="W112" s="2060"/>
      <c r="X112" s="2060"/>
      <c r="Y112" s="2060"/>
      <c r="Z112" s="2060"/>
      <c r="AA112" s="2060"/>
      <c r="AB112" s="2060"/>
      <c r="AC112" s="2060"/>
      <c r="AD112" s="1004"/>
      <c r="AE112" s="2060"/>
      <c r="AF112" s="2060"/>
      <c r="AG112" s="2060"/>
      <c r="AH112" s="2060"/>
      <c r="AI112" s="2060"/>
      <c r="AJ112" s="2060"/>
      <c r="AK112" s="2060"/>
      <c r="AL112" s="2060"/>
      <c r="AM112" s="2060"/>
      <c r="AN112" s="2060"/>
      <c r="AO112" s="2060"/>
      <c r="AP112" s="2060"/>
      <c r="AQ112" s="2060"/>
      <c r="AR112" s="2060"/>
      <c r="AS112" s="2060"/>
      <c r="AT112" s="2060"/>
      <c r="AU112" s="2060"/>
      <c r="AV112" s="2060"/>
      <c r="AW112" s="2060"/>
      <c r="AX112" s="2060"/>
      <c r="AY112" s="2060"/>
      <c r="AZ112" s="2060"/>
      <c r="BA112" s="2060"/>
      <c r="BB112" s="2060"/>
      <c r="BC112" s="2060"/>
      <c r="BD112" s="2060"/>
      <c r="BE112" s="2060"/>
      <c r="BF112" s="2060"/>
      <c r="BG112" s="2060"/>
      <c r="BH112" s="2060"/>
      <c r="BI112" s="2060"/>
      <c r="BJ112" s="2060"/>
      <c r="BK112" s="2060"/>
      <c r="BL112" s="2060"/>
      <c r="BM112" s="2060"/>
      <c r="BN112" s="2060"/>
      <c r="BO112" s="2060"/>
      <c r="BP112" s="2060"/>
      <c r="BQ112" s="2060"/>
      <c r="BR112" s="2060"/>
      <c r="BS112" s="2060"/>
      <c r="BT112" s="2060"/>
      <c r="BU112" s="2060"/>
      <c r="BV112" s="2060"/>
      <c r="BW112" s="2060"/>
      <c r="BX112" s="2060"/>
      <c r="BY112" s="2060"/>
      <c r="BZ112" s="2060"/>
      <c r="CA112" s="2060"/>
      <c r="CB112" s="2060"/>
      <c r="CC112" s="2060"/>
      <c r="CD112" s="2060"/>
      <c r="CE112" s="2060"/>
      <c r="CF112" s="2060"/>
      <c r="CG112" s="2060"/>
      <c r="CH112" s="2060"/>
      <c r="CI112" s="2060"/>
      <c r="CJ112" s="2060"/>
      <c r="CK112" s="2060"/>
      <c r="CL112" s="2060"/>
      <c r="CM112" s="2060"/>
      <c r="CN112" s="2060"/>
      <c r="CO112" s="2060"/>
      <c r="CP112" s="2060"/>
      <c r="CQ112" s="2060"/>
      <c r="CR112" s="2060"/>
      <c r="CS112" s="2060"/>
      <c r="CT112" s="2060"/>
      <c r="CU112" s="2060"/>
      <c r="CV112" s="2060"/>
      <c r="CW112" s="2060"/>
      <c r="CX112" s="2060"/>
      <c r="CY112" s="2060"/>
      <c r="CZ112" s="2060"/>
      <c r="DA112" s="2060"/>
      <c r="DB112" s="2060"/>
      <c r="DC112" s="2060"/>
      <c r="DD112" s="2060"/>
      <c r="DE112" s="2060"/>
      <c r="DF112" s="2060"/>
      <c r="DG112" s="2060"/>
      <c r="DH112" s="2060"/>
      <c r="DI112" s="2060"/>
      <c r="DJ112" s="2060"/>
      <c r="DK112" s="2060"/>
      <c r="DL112" s="2060"/>
      <c r="DM112" s="2060"/>
      <c r="DN112" s="2060"/>
      <c r="DO112" s="2060"/>
      <c r="DP112" s="2060"/>
      <c r="DQ112" s="2060"/>
      <c r="DR112" s="2060"/>
      <c r="DS112" s="2060"/>
      <c r="DT112" s="2060"/>
      <c r="DU112" s="2060"/>
      <c r="DV112" s="2060"/>
      <c r="DW112" s="2060"/>
      <c r="DX112" s="2060"/>
      <c r="DY112" s="2060"/>
      <c r="DZ112" s="2060"/>
      <c r="EA112" s="2060"/>
      <c r="EB112" s="2060"/>
      <c r="EC112" s="2060"/>
      <c r="ED112" s="2060"/>
      <c r="EE112" s="2060"/>
      <c r="EF112" s="2060"/>
      <c r="EG112" s="2060"/>
      <c r="EH112" s="2060"/>
      <c r="EI112" s="2060"/>
      <c r="EJ112" s="2060"/>
      <c r="EK112" s="2060"/>
      <c r="EL112" s="2060"/>
      <c r="EM112" s="2060"/>
      <c r="EN112" s="2060"/>
      <c r="EO112" s="2060"/>
      <c r="EP112" s="2060"/>
      <c r="EQ112" s="2060"/>
      <c r="ER112" s="2060"/>
      <c r="ES112" s="2060"/>
      <c r="ET112" s="2060"/>
      <c r="EU112" s="2060"/>
      <c r="EV112" s="2060"/>
      <c r="EW112" s="2060"/>
      <c r="EX112" s="2060"/>
      <c r="EY112" s="2060"/>
      <c r="EZ112" s="2060"/>
      <c r="FA112" s="2060"/>
      <c r="FB112" s="2060"/>
      <c r="FC112" s="2060"/>
      <c r="FD112" s="2060"/>
      <c r="FE112" s="2060"/>
      <c r="FF112" s="2060"/>
      <c r="FG112" s="2060"/>
      <c r="FH112" s="2060"/>
      <c r="FI112" s="2060"/>
      <c r="FJ112" s="2060"/>
      <c r="FK112" s="2060"/>
      <c r="FL112" s="2060"/>
      <c r="FM112" s="2060"/>
      <c r="FN112" s="2060"/>
      <c r="FO112" s="2060"/>
      <c r="FP112" s="2060"/>
      <c r="FQ112" s="2060"/>
      <c r="FR112" s="2060"/>
      <c r="FS112" s="2060"/>
      <c r="FT112" s="2060"/>
      <c r="FU112" s="2060"/>
      <c r="FV112" s="2060"/>
      <c r="FW112" s="2060"/>
      <c r="FX112" s="2060"/>
      <c r="FY112" s="2060"/>
      <c r="FZ112" s="2060"/>
      <c r="GA112" s="2060"/>
      <c r="GB112" s="2060"/>
      <c r="GC112" s="2060"/>
    </row>
    <row r="113" spans="1:185" s="1499" customFormat="1">
      <c r="A113" s="1632" t="str">
        <f t="shared" si="4"/>
        <v>n</v>
      </c>
      <c r="B113" s="1004"/>
      <c r="C113" s="2060"/>
      <c r="D113" s="779">
        <f t="shared" ca="1" si="11"/>
        <v>3.1999999999999957</v>
      </c>
      <c r="E113" s="1801" t="str">
        <f>'DATA GPC'!E39</f>
        <v>--</v>
      </c>
      <c r="F113" s="1349"/>
      <c r="G113" s="1504" t="str">
        <f>IF(E113="--","--",'DATA GPC'!G39)</f>
        <v>--</v>
      </c>
      <c r="H113" s="1350" t="str">
        <f t="shared" si="5"/>
        <v>--</v>
      </c>
      <c r="I113" s="1350" t="str">
        <f t="shared" si="6"/>
        <v>--</v>
      </c>
      <c r="J113" s="1350" t="str">
        <f t="shared" si="7"/>
        <v>--</v>
      </c>
      <c r="K113" s="1350" t="str">
        <f t="shared" si="8"/>
        <v>--</v>
      </c>
      <c r="L113" s="1143" t="str">
        <f>IF(AND($P$86="Significant only",$P113="Insignificant"),"--",'WACC and TIC Inputs'!H68)</f>
        <v>--</v>
      </c>
      <c r="M113" s="1143" t="str">
        <f>IF(AND($P$86="Significant only",$P113="Insignificant"),"--",'WACC and TIC Inputs'!I68)</f>
        <v>--</v>
      </c>
      <c r="N113" s="890" t="str">
        <f t="shared" si="12"/>
        <v>--</v>
      </c>
      <c r="O113" s="890" t="str">
        <f t="shared" si="13"/>
        <v>--</v>
      </c>
      <c r="P113" s="145" t="str">
        <f t="shared" si="10"/>
        <v>--</v>
      </c>
      <c r="Q113" s="1616" t="str">
        <f>IF(E148="--","--",IFERROR(_xll.ciqfunctions.udf.CIQ(G148, "IQ_FLOAT_PERCENT",,Valuation_date)/100,"n/a"))</f>
        <v>--</v>
      </c>
      <c r="R113" s="1616" t="str">
        <f>'DATA GPC'!S305</f>
        <v>--</v>
      </c>
      <c r="S113" s="2060" t="str">
        <f>'DATA GPC'!K39</f>
        <v>--</v>
      </c>
      <c r="T113" s="2060"/>
      <c r="U113" s="1352" t="str">
        <f>'DATA GPC'!S39</f>
        <v>--</v>
      </c>
      <c r="V113" s="2060"/>
      <c r="W113" s="2060"/>
      <c r="X113" s="2060"/>
      <c r="Y113" s="2060"/>
      <c r="Z113" s="2060"/>
      <c r="AA113" s="2060"/>
      <c r="AB113" s="2060"/>
      <c r="AC113" s="2060"/>
      <c r="AD113" s="1004"/>
      <c r="AE113" s="2060"/>
      <c r="AF113" s="2060"/>
      <c r="AG113" s="2060"/>
      <c r="AH113" s="2060"/>
      <c r="AI113" s="2060"/>
      <c r="AJ113" s="2060"/>
      <c r="AK113" s="2060"/>
      <c r="AL113" s="2060"/>
      <c r="AM113" s="2060"/>
      <c r="AN113" s="2060"/>
      <c r="AO113" s="2060"/>
      <c r="AP113" s="2060"/>
      <c r="AQ113" s="2060"/>
      <c r="AR113" s="2060"/>
      <c r="AS113" s="2060"/>
      <c r="AT113" s="2060"/>
      <c r="AU113" s="2060"/>
      <c r="AV113" s="2060"/>
      <c r="AW113" s="2060"/>
      <c r="AX113" s="2060"/>
      <c r="AY113" s="2060"/>
      <c r="AZ113" s="2060"/>
      <c r="BA113" s="2060"/>
      <c r="BB113" s="2060"/>
      <c r="BC113" s="2060"/>
      <c r="BD113" s="2060"/>
      <c r="BE113" s="2060"/>
      <c r="BF113" s="2060"/>
      <c r="BG113" s="2060"/>
      <c r="BH113" s="2060"/>
      <c r="BI113" s="2060"/>
      <c r="BJ113" s="2060"/>
      <c r="BK113" s="2060"/>
      <c r="BL113" s="2060"/>
      <c r="BM113" s="2060"/>
      <c r="BN113" s="2060"/>
      <c r="BO113" s="2060"/>
      <c r="BP113" s="2060"/>
      <c r="BQ113" s="2060"/>
      <c r="BR113" s="2060"/>
      <c r="BS113" s="2060"/>
      <c r="BT113" s="2060"/>
      <c r="BU113" s="2060"/>
      <c r="BV113" s="2060"/>
      <c r="BW113" s="2060"/>
      <c r="BX113" s="2060"/>
      <c r="BY113" s="2060"/>
      <c r="BZ113" s="2060"/>
      <c r="CA113" s="2060"/>
      <c r="CB113" s="2060"/>
      <c r="CC113" s="2060"/>
      <c r="CD113" s="2060"/>
      <c r="CE113" s="2060"/>
      <c r="CF113" s="2060"/>
      <c r="CG113" s="2060"/>
      <c r="CH113" s="2060"/>
      <c r="CI113" s="2060"/>
      <c r="CJ113" s="2060"/>
      <c r="CK113" s="2060"/>
      <c r="CL113" s="2060"/>
      <c r="CM113" s="2060"/>
      <c r="CN113" s="2060"/>
      <c r="CO113" s="2060"/>
      <c r="CP113" s="2060"/>
      <c r="CQ113" s="2060"/>
      <c r="CR113" s="2060"/>
      <c r="CS113" s="2060"/>
      <c r="CT113" s="2060"/>
      <c r="CU113" s="2060"/>
      <c r="CV113" s="2060"/>
      <c r="CW113" s="2060"/>
      <c r="CX113" s="2060"/>
      <c r="CY113" s="2060"/>
      <c r="CZ113" s="2060"/>
      <c r="DA113" s="2060"/>
      <c r="DB113" s="2060"/>
      <c r="DC113" s="2060"/>
      <c r="DD113" s="2060"/>
      <c r="DE113" s="2060"/>
      <c r="DF113" s="2060"/>
      <c r="DG113" s="2060"/>
      <c r="DH113" s="2060"/>
      <c r="DI113" s="2060"/>
      <c r="DJ113" s="2060"/>
      <c r="DK113" s="2060"/>
      <c r="DL113" s="2060"/>
      <c r="DM113" s="2060"/>
      <c r="DN113" s="2060"/>
      <c r="DO113" s="2060"/>
      <c r="DP113" s="2060"/>
      <c r="DQ113" s="2060"/>
      <c r="DR113" s="2060"/>
      <c r="DS113" s="2060"/>
      <c r="DT113" s="2060"/>
      <c r="DU113" s="2060"/>
      <c r="DV113" s="2060"/>
      <c r="DW113" s="2060"/>
      <c r="DX113" s="2060"/>
      <c r="DY113" s="2060"/>
      <c r="DZ113" s="2060"/>
      <c r="EA113" s="2060"/>
      <c r="EB113" s="2060"/>
      <c r="EC113" s="2060"/>
      <c r="ED113" s="2060"/>
      <c r="EE113" s="2060"/>
      <c r="EF113" s="2060"/>
      <c r="EG113" s="2060"/>
      <c r="EH113" s="2060"/>
      <c r="EI113" s="2060"/>
      <c r="EJ113" s="2060"/>
      <c r="EK113" s="2060"/>
      <c r="EL113" s="2060"/>
      <c r="EM113" s="2060"/>
      <c r="EN113" s="2060"/>
      <c r="EO113" s="2060"/>
      <c r="EP113" s="2060"/>
      <c r="EQ113" s="2060"/>
      <c r="ER113" s="2060"/>
      <c r="ES113" s="2060"/>
      <c r="ET113" s="2060"/>
      <c r="EU113" s="2060"/>
      <c r="EV113" s="2060"/>
      <c r="EW113" s="2060"/>
      <c r="EX113" s="2060"/>
      <c r="EY113" s="2060"/>
      <c r="EZ113" s="2060"/>
      <c r="FA113" s="2060"/>
      <c r="FB113" s="2060"/>
      <c r="FC113" s="2060"/>
      <c r="FD113" s="2060"/>
      <c r="FE113" s="2060"/>
      <c r="FF113" s="2060"/>
      <c r="FG113" s="2060"/>
      <c r="FH113" s="2060"/>
      <c r="FI113" s="2060"/>
      <c r="FJ113" s="2060"/>
      <c r="FK113" s="2060"/>
      <c r="FL113" s="2060"/>
      <c r="FM113" s="2060"/>
      <c r="FN113" s="2060"/>
      <c r="FO113" s="2060"/>
      <c r="FP113" s="2060"/>
      <c r="FQ113" s="2060"/>
      <c r="FR113" s="2060"/>
      <c r="FS113" s="2060"/>
      <c r="FT113" s="2060"/>
      <c r="FU113" s="2060"/>
      <c r="FV113" s="2060"/>
      <c r="FW113" s="2060"/>
      <c r="FX113" s="2060"/>
      <c r="FY113" s="2060"/>
      <c r="FZ113" s="2060"/>
      <c r="GA113" s="2060"/>
      <c r="GB113" s="2060"/>
      <c r="GC113" s="2060"/>
    </row>
    <row r="114" spans="1:185" s="1499" customFormat="1">
      <c r="A114" s="1632" t="str">
        <f t="shared" si="4"/>
        <v>n</v>
      </c>
      <c r="B114" s="1004"/>
      <c r="C114" s="2060"/>
      <c r="D114" s="779">
        <f t="shared" ca="1" si="11"/>
        <v>3.2099999999999955</v>
      </c>
      <c r="E114" s="1801" t="str">
        <f>'DATA GPC'!E40</f>
        <v>--</v>
      </c>
      <c r="F114" s="1349"/>
      <c r="G114" s="1504" t="str">
        <f>IF(E114="--","--",'DATA GPC'!G40)</f>
        <v>--</v>
      </c>
      <c r="H114" s="1350" t="str">
        <f t="shared" si="5"/>
        <v>--</v>
      </c>
      <c r="I114" s="1350" t="str">
        <f t="shared" si="6"/>
        <v>--</v>
      </c>
      <c r="J114" s="1350" t="str">
        <f t="shared" si="7"/>
        <v>--</v>
      </c>
      <c r="K114" s="1350" t="str">
        <f t="shared" si="8"/>
        <v>--</v>
      </c>
      <c r="L114" s="1143" t="str">
        <f>IF(AND($P$86="Significant only",$P114="Insignificant"),"--",'WACC and TIC Inputs'!H69)</f>
        <v>--</v>
      </c>
      <c r="M114" s="1143" t="str">
        <f>IF(AND($P$86="Significant only",$P114="Insignificant"),"--",'WACC and TIC Inputs'!I69)</f>
        <v>--</v>
      </c>
      <c r="N114" s="890" t="str">
        <f t="shared" si="12"/>
        <v>--</v>
      </c>
      <c r="O114" s="890" t="str">
        <f t="shared" si="13"/>
        <v>--</v>
      </c>
      <c r="P114" s="145" t="str">
        <f t="shared" si="10"/>
        <v>--</v>
      </c>
      <c r="Q114" s="1616" t="str">
        <f>IF(E149="--","--",IFERROR(_xll.ciqfunctions.udf.CIQ(G149, "IQ_FLOAT_PERCENT",,Valuation_date)/100,"n/a"))</f>
        <v>--</v>
      </c>
      <c r="R114" s="1616" t="str">
        <f>'DATA GPC'!S306</f>
        <v>--</v>
      </c>
      <c r="S114" s="2060" t="str">
        <f>'DATA GPC'!K40</f>
        <v>--</v>
      </c>
      <c r="T114" s="2060"/>
      <c r="U114" s="1352" t="str">
        <f>'DATA GPC'!S40</f>
        <v>--</v>
      </c>
      <c r="V114" s="2060"/>
      <c r="W114" s="2060"/>
      <c r="X114" s="2060"/>
      <c r="Y114" s="2060"/>
      <c r="Z114" s="2060"/>
      <c r="AA114" s="2060"/>
      <c r="AB114" s="2060"/>
      <c r="AC114" s="2060"/>
      <c r="AD114" s="1004"/>
      <c r="AE114" s="2060"/>
      <c r="AF114" s="2060"/>
      <c r="AG114" s="2060"/>
      <c r="AH114" s="2060"/>
      <c r="AI114" s="2060"/>
      <c r="AJ114" s="2060"/>
      <c r="AK114" s="2060"/>
      <c r="AL114" s="2060"/>
      <c r="AM114" s="2060"/>
      <c r="AN114" s="2060"/>
      <c r="AO114" s="2060"/>
      <c r="AP114" s="2060"/>
      <c r="AQ114" s="2060"/>
      <c r="AR114" s="2060"/>
      <c r="AS114" s="2060"/>
      <c r="AT114" s="2060"/>
      <c r="AU114" s="2060"/>
      <c r="AV114" s="2060"/>
      <c r="AW114" s="2060"/>
      <c r="AX114" s="2060"/>
      <c r="AY114" s="2060"/>
      <c r="AZ114" s="2060"/>
      <c r="BA114" s="2060"/>
      <c r="BB114" s="2060"/>
      <c r="BC114" s="2060"/>
      <c r="BD114" s="2060"/>
      <c r="BE114" s="2060"/>
      <c r="BF114" s="2060"/>
      <c r="BG114" s="2060"/>
      <c r="BH114" s="2060"/>
      <c r="BI114" s="2060"/>
      <c r="BJ114" s="2060"/>
      <c r="BK114" s="2060"/>
      <c r="BL114" s="2060"/>
      <c r="BM114" s="2060"/>
      <c r="BN114" s="2060"/>
      <c r="BO114" s="2060"/>
      <c r="BP114" s="2060"/>
      <c r="BQ114" s="2060"/>
      <c r="BR114" s="2060"/>
      <c r="BS114" s="2060"/>
      <c r="BT114" s="2060"/>
      <c r="BU114" s="2060"/>
      <c r="BV114" s="2060"/>
      <c r="BW114" s="2060"/>
      <c r="BX114" s="2060"/>
      <c r="BY114" s="2060"/>
      <c r="BZ114" s="2060"/>
      <c r="CA114" s="2060"/>
      <c r="CB114" s="2060"/>
      <c r="CC114" s="2060"/>
      <c r="CD114" s="2060"/>
      <c r="CE114" s="2060"/>
      <c r="CF114" s="2060"/>
      <c r="CG114" s="2060"/>
      <c r="CH114" s="2060"/>
      <c r="CI114" s="2060"/>
      <c r="CJ114" s="2060"/>
      <c r="CK114" s="2060"/>
      <c r="CL114" s="2060"/>
      <c r="CM114" s="2060"/>
      <c r="CN114" s="2060"/>
      <c r="CO114" s="2060"/>
      <c r="CP114" s="2060"/>
      <c r="CQ114" s="2060"/>
      <c r="CR114" s="2060"/>
      <c r="CS114" s="2060"/>
      <c r="CT114" s="2060"/>
      <c r="CU114" s="2060"/>
      <c r="CV114" s="2060"/>
      <c r="CW114" s="2060"/>
      <c r="CX114" s="2060"/>
      <c r="CY114" s="2060"/>
      <c r="CZ114" s="2060"/>
      <c r="DA114" s="2060"/>
      <c r="DB114" s="2060"/>
      <c r="DC114" s="2060"/>
      <c r="DD114" s="2060"/>
      <c r="DE114" s="2060"/>
      <c r="DF114" s="2060"/>
      <c r="DG114" s="2060"/>
      <c r="DH114" s="2060"/>
      <c r="DI114" s="2060"/>
      <c r="DJ114" s="2060"/>
      <c r="DK114" s="2060"/>
      <c r="DL114" s="2060"/>
      <c r="DM114" s="2060"/>
      <c r="DN114" s="2060"/>
      <c r="DO114" s="2060"/>
      <c r="DP114" s="2060"/>
      <c r="DQ114" s="2060"/>
      <c r="DR114" s="2060"/>
      <c r="DS114" s="2060"/>
      <c r="DT114" s="2060"/>
      <c r="DU114" s="2060"/>
      <c r="DV114" s="2060"/>
      <c r="DW114" s="2060"/>
      <c r="DX114" s="2060"/>
      <c r="DY114" s="2060"/>
      <c r="DZ114" s="2060"/>
      <c r="EA114" s="2060"/>
      <c r="EB114" s="2060"/>
      <c r="EC114" s="2060"/>
      <c r="ED114" s="2060"/>
      <c r="EE114" s="2060"/>
      <c r="EF114" s="2060"/>
      <c r="EG114" s="2060"/>
      <c r="EH114" s="2060"/>
      <c r="EI114" s="2060"/>
      <c r="EJ114" s="2060"/>
      <c r="EK114" s="2060"/>
      <c r="EL114" s="2060"/>
      <c r="EM114" s="2060"/>
      <c r="EN114" s="2060"/>
      <c r="EO114" s="2060"/>
      <c r="EP114" s="2060"/>
      <c r="EQ114" s="2060"/>
      <c r="ER114" s="2060"/>
      <c r="ES114" s="2060"/>
      <c r="ET114" s="2060"/>
      <c r="EU114" s="2060"/>
      <c r="EV114" s="2060"/>
      <c r="EW114" s="2060"/>
      <c r="EX114" s="2060"/>
      <c r="EY114" s="2060"/>
      <c r="EZ114" s="2060"/>
      <c r="FA114" s="2060"/>
      <c r="FB114" s="2060"/>
      <c r="FC114" s="2060"/>
      <c r="FD114" s="2060"/>
      <c r="FE114" s="2060"/>
      <c r="FF114" s="2060"/>
      <c r="FG114" s="2060"/>
      <c r="FH114" s="2060"/>
      <c r="FI114" s="2060"/>
      <c r="FJ114" s="2060"/>
      <c r="FK114" s="2060"/>
      <c r="FL114" s="2060"/>
      <c r="FM114" s="2060"/>
      <c r="FN114" s="2060"/>
      <c r="FO114" s="2060"/>
      <c r="FP114" s="2060"/>
      <c r="FQ114" s="2060"/>
      <c r="FR114" s="2060"/>
      <c r="FS114" s="2060"/>
      <c r="FT114" s="2060"/>
      <c r="FU114" s="2060"/>
      <c r="FV114" s="2060"/>
      <c r="FW114" s="2060"/>
      <c r="FX114" s="2060"/>
      <c r="FY114" s="2060"/>
      <c r="FZ114" s="2060"/>
      <c r="GA114" s="2060"/>
      <c r="GB114" s="2060"/>
      <c r="GC114" s="2060"/>
    </row>
    <row r="115" spans="1:185" s="1499" customFormat="1">
      <c r="A115" s="1632" t="str">
        <f t="shared" si="4"/>
        <v>n</v>
      </c>
      <c r="B115" s="1004"/>
      <c r="C115" s="2060"/>
      <c r="D115" s="779">
        <f t="shared" ca="1" si="11"/>
        <v>3.2199999999999953</v>
      </c>
      <c r="E115" s="1801" t="str">
        <f>'DATA GPC'!E41</f>
        <v>--</v>
      </c>
      <c r="F115" s="1349"/>
      <c r="G115" s="1504" t="str">
        <f>IF(E115="--","--",'DATA GPC'!G41)</f>
        <v>--</v>
      </c>
      <c r="H115" s="1350" t="str">
        <f t="shared" si="5"/>
        <v>--</v>
      </c>
      <c r="I115" s="1350" t="str">
        <f t="shared" si="6"/>
        <v>--</v>
      </c>
      <c r="J115" s="1350" t="str">
        <f t="shared" si="7"/>
        <v>--</v>
      </c>
      <c r="K115" s="1350" t="str">
        <f t="shared" si="8"/>
        <v>--</v>
      </c>
      <c r="L115" s="1143" t="str">
        <f>IF(AND($P$86="Significant only",$P115="Insignificant"),"--",'WACC and TIC Inputs'!H70)</f>
        <v>--</v>
      </c>
      <c r="M115" s="1143" t="str">
        <f>IF(AND($P$86="Significant only",$P115="Insignificant"),"--",'WACC and TIC Inputs'!I70)</f>
        <v>--</v>
      </c>
      <c r="N115" s="890" t="str">
        <f t="shared" si="12"/>
        <v>--</v>
      </c>
      <c r="O115" s="890" t="str">
        <f t="shared" si="13"/>
        <v>--</v>
      </c>
      <c r="P115" s="145" t="str">
        <f t="shared" si="10"/>
        <v>--</v>
      </c>
      <c r="Q115" s="1616" t="str">
        <f>IF(E150="--","--",IFERROR(_xll.ciqfunctions.udf.CIQ(G150, "IQ_FLOAT_PERCENT",,Valuation_date)/100,"n/a"))</f>
        <v>--</v>
      </c>
      <c r="R115" s="1616" t="str">
        <f>'DATA GPC'!S307</f>
        <v>--</v>
      </c>
      <c r="S115" s="2060" t="str">
        <f>'DATA GPC'!K41</f>
        <v>--</v>
      </c>
      <c r="T115" s="2060"/>
      <c r="U115" s="1352" t="str">
        <f>'DATA GPC'!S41</f>
        <v>--</v>
      </c>
      <c r="V115" s="2060"/>
      <c r="W115" s="2060"/>
      <c r="X115" s="2060"/>
      <c r="Y115" s="2060"/>
      <c r="Z115" s="2060"/>
      <c r="AA115" s="2060"/>
      <c r="AB115" s="2060"/>
      <c r="AC115" s="2060"/>
      <c r="AD115" s="1004"/>
      <c r="AE115" s="2060"/>
      <c r="AF115" s="2060"/>
      <c r="AG115" s="2060"/>
      <c r="AH115" s="2060"/>
      <c r="AI115" s="2060"/>
      <c r="AJ115" s="2060"/>
      <c r="AK115" s="2060"/>
      <c r="AL115" s="2060"/>
      <c r="AM115" s="2060"/>
      <c r="AN115" s="2060"/>
      <c r="AO115" s="2060"/>
      <c r="AP115" s="2060"/>
      <c r="AQ115" s="2060"/>
      <c r="AR115" s="2060"/>
      <c r="AS115" s="2060"/>
      <c r="AT115" s="2060"/>
      <c r="AU115" s="2060"/>
      <c r="AV115" s="2060"/>
      <c r="AW115" s="2060"/>
      <c r="AX115" s="2060"/>
      <c r="AY115" s="2060"/>
      <c r="AZ115" s="2060"/>
      <c r="BA115" s="2060"/>
      <c r="BB115" s="2060"/>
      <c r="BC115" s="2060"/>
      <c r="BD115" s="2060"/>
      <c r="BE115" s="2060"/>
      <c r="BF115" s="2060"/>
      <c r="BG115" s="2060"/>
      <c r="BH115" s="2060"/>
      <c r="BI115" s="2060"/>
      <c r="BJ115" s="2060"/>
      <c r="BK115" s="2060"/>
      <c r="BL115" s="2060"/>
      <c r="BM115" s="2060"/>
      <c r="BN115" s="2060"/>
      <c r="BO115" s="2060"/>
      <c r="BP115" s="2060"/>
      <c r="BQ115" s="2060"/>
      <c r="BR115" s="2060"/>
      <c r="BS115" s="2060"/>
      <c r="BT115" s="2060"/>
      <c r="BU115" s="2060"/>
      <c r="BV115" s="2060"/>
      <c r="BW115" s="2060"/>
      <c r="BX115" s="2060"/>
      <c r="BY115" s="2060"/>
      <c r="BZ115" s="2060"/>
      <c r="CA115" s="2060"/>
      <c r="CB115" s="2060"/>
      <c r="CC115" s="2060"/>
      <c r="CD115" s="2060"/>
      <c r="CE115" s="2060"/>
      <c r="CF115" s="2060"/>
      <c r="CG115" s="2060"/>
      <c r="CH115" s="2060"/>
      <c r="CI115" s="2060"/>
      <c r="CJ115" s="2060"/>
      <c r="CK115" s="2060"/>
      <c r="CL115" s="2060"/>
      <c r="CM115" s="2060"/>
      <c r="CN115" s="2060"/>
      <c r="CO115" s="2060"/>
      <c r="CP115" s="2060"/>
      <c r="CQ115" s="2060"/>
      <c r="CR115" s="2060"/>
      <c r="CS115" s="2060"/>
      <c r="CT115" s="2060"/>
      <c r="CU115" s="2060"/>
      <c r="CV115" s="2060"/>
      <c r="CW115" s="2060"/>
      <c r="CX115" s="2060"/>
      <c r="CY115" s="2060"/>
      <c r="CZ115" s="2060"/>
      <c r="DA115" s="2060"/>
      <c r="DB115" s="2060"/>
      <c r="DC115" s="2060"/>
      <c r="DD115" s="2060"/>
      <c r="DE115" s="2060"/>
      <c r="DF115" s="2060"/>
      <c r="DG115" s="2060"/>
      <c r="DH115" s="2060"/>
      <c r="DI115" s="2060"/>
      <c r="DJ115" s="2060"/>
      <c r="DK115" s="2060"/>
      <c r="DL115" s="2060"/>
      <c r="DM115" s="2060"/>
      <c r="DN115" s="2060"/>
      <c r="DO115" s="2060"/>
      <c r="DP115" s="2060"/>
      <c r="DQ115" s="2060"/>
      <c r="DR115" s="2060"/>
      <c r="DS115" s="2060"/>
      <c r="DT115" s="2060"/>
      <c r="DU115" s="2060"/>
      <c r="DV115" s="2060"/>
      <c r="DW115" s="2060"/>
      <c r="DX115" s="2060"/>
      <c r="DY115" s="2060"/>
      <c r="DZ115" s="2060"/>
      <c r="EA115" s="2060"/>
      <c r="EB115" s="2060"/>
      <c r="EC115" s="2060"/>
      <c r="ED115" s="2060"/>
      <c r="EE115" s="2060"/>
      <c r="EF115" s="2060"/>
      <c r="EG115" s="2060"/>
      <c r="EH115" s="2060"/>
      <c r="EI115" s="2060"/>
      <c r="EJ115" s="2060"/>
      <c r="EK115" s="2060"/>
      <c r="EL115" s="2060"/>
      <c r="EM115" s="2060"/>
      <c r="EN115" s="2060"/>
      <c r="EO115" s="2060"/>
      <c r="EP115" s="2060"/>
      <c r="EQ115" s="2060"/>
      <c r="ER115" s="2060"/>
      <c r="ES115" s="2060"/>
      <c r="ET115" s="2060"/>
      <c r="EU115" s="2060"/>
      <c r="EV115" s="2060"/>
      <c r="EW115" s="2060"/>
      <c r="EX115" s="2060"/>
      <c r="EY115" s="2060"/>
      <c r="EZ115" s="2060"/>
      <c r="FA115" s="2060"/>
      <c r="FB115" s="2060"/>
      <c r="FC115" s="2060"/>
      <c r="FD115" s="2060"/>
      <c r="FE115" s="2060"/>
      <c r="FF115" s="2060"/>
      <c r="FG115" s="2060"/>
      <c r="FH115" s="2060"/>
      <c r="FI115" s="2060"/>
      <c r="FJ115" s="2060"/>
      <c r="FK115" s="2060"/>
      <c r="FL115" s="2060"/>
      <c r="FM115" s="2060"/>
      <c r="FN115" s="2060"/>
      <c r="FO115" s="2060"/>
      <c r="FP115" s="2060"/>
      <c r="FQ115" s="2060"/>
      <c r="FR115" s="2060"/>
      <c r="FS115" s="2060"/>
      <c r="FT115" s="2060"/>
      <c r="FU115" s="2060"/>
      <c r="FV115" s="2060"/>
      <c r="FW115" s="2060"/>
      <c r="FX115" s="2060"/>
      <c r="FY115" s="2060"/>
      <c r="FZ115" s="2060"/>
      <c r="GA115" s="2060"/>
      <c r="GB115" s="2060"/>
      <c r="GC115" s="2060"/>
    </row>
    <row r="116" spans="1:185" s="1499" customFormat="1">
      <c r="A116" s="1632" t="str">
        <f t="shared" si="4"/>
        <v>n</v>
      </c>
      <c r="B116" s="1004"/>
      <c r="C116" s="2060"/>
      <c r="D116" s="779">
        <f t="shared" ca="1" si="11"/>
        <v>3.2299999999999951</v>
      </c>
      <c r="E116" s="1801" t="str">
        <f>'DATA GPC'!E42</f>
        <v>--</v>
      </c>
      <c r="F116" s="1349"/>
      <c r="G116" s="1504" t="str">
        <f>IF(E116="--","--",'DATA GPC'!G42)</f>
        <v>--</v>
      </c>
      <c r="H116" s="1350" t="str">
        <f t="shared" si="5"/>
        <v>--</v>
      </c>
      <c r="I116" s="1350" t="str">
        <f t="shared" si="6"/>
        <v>--</v>
      </c>
      <c r="J116" s="1350" t="str">
        <f t="shared" si="7"/>
        <v>--</v>
      </c>
      <c r="K116" s="1350" t="str">
        <f t="shared" si="8"/>
        <v>--</v>
      </c>
      <c r="L116" s="1143" t="str">
        <f>IF(AND($P$86="Significant only",$P116="Insignificant"),"--",'WACC and TIC Inputs'!H71)</f>
        <v>--</v>
      </c>
      <c r="M116" s="1143" t="str">
        <f>IF(AND($P$86="Significant only",$P116="Insignificant"),"--",'WACC and TIC Inputs'!I71)</f>
        <v>--</v>
      </c>
      <c r="N116" s="890" t="str">
        <f t="shared" si="12"/>
        <v>--</v>
      </c>
      <c r="O116" s="890" t="str">
        <f t="shared" si="13"/>
        <v>--</v>
      </c>
      <c r="P116" s="145" t="str">
        <f t="shared" si="10"/>
        <v>--</v>
      </c>
      <c r="Q116" s="1616" t="str">
        <f>IF(E151="--","--",IFERROR(_xll.ciqfunctions.udf.CIQ(G151, "IQ_FLOAT_PERCENT",,Valuation_date)/100,"n/a"))</f>
        <v>--</v>
      </c>
      <c r="R116" s="1616" t="str">
        <f>'DATA GPC'!S308</f>
        <v>--</v>
      </c>
      <c r="S116" s="2060" t="str">
        <f>'DATA GPC'!K42</f>
        <v>--</v>
      </c>
      <c r="T116" s="2060"/>
      <c r="U116" s="1352" t="str">
        <f>'DATA GPC'!S42</f>
        <v>--</v>
      </c>
      <c r="V116" s="2060"/>
      <c r="W116" s="2060"/>
      <c r="X116" s="2060"/>
      <c r="Y116" s="2060"/>
      <c r="Z116" s="2060"/>
      <c r="AA116" s="2060"/>
      <c r="AB116" s="2060"/>
      <c r="AC116" s="2060"/>
      <c r="AD116" s="1004"/>
      <c r="AE116" s="2060"/>
      <c r="AF116" s="2060"/>
      <c r="AG116" s="2060"/>
      <c r="AH116" s="2060"/>
      <c r="AI116" s="2060"/>
      <c r="AJ116" s="2060"/>
      <c r="AK116" s="2060"/>
      <c r="AL116" s="2060"/>
      <c r="AM116" s="2060"/>
      <c r="AN116" s="2060"/>
      <c r="AO116" s="2060"/>
      <c r="AP116" s="2060"/>
      <c r="AQ116" s="2060"/>
      <c r="AR116" s="2060"/>
      <c r="AS116" s="2060"/>
      <c r="AT116" s="2060"/>
      <c r="AU116" s="2060"/>
      <c r="AV116" s="2060"/>
      <c r="AW116" s="2060"/>
      <c r="AX116" s="2060"/>
      <c r="AY116" s="2060"/>
      <c r="AZ116" s="2060"/>
      <c r="BA116" s="2060"/>
      <c r="BB116" s="2060"/>
      <c r="BC116" s="2060"/>
      <c r="BD116" s="2060"/>
      <c r="BE116" s="2060"/>
      <c r="BF116" s="2060"/>
      <c r="BG116" s="2060"/>
      <c r="BH116" s="2060"/>
      <c r="BI116" s="2060"/>
      <c r="BJ116" s="2060"/>
      <c r="BK116" s="2060"/>
      <c r="BL116" s="2060"/>
      <c r="BM116" s="2060"/>
      <c r="BN116" s="2060"/>
      <c r="BO116" s="2060"/>
      <c r="BP116" s="2060"/>
      <c r="BQ116" s="2060"/>
      <c r="BR116" s="2060"/>
      <c r="BS116" s="2060"/>
      <c r="BT116" s="2060"/>
      <c r="BU116" s="2060"/>
      <c r="BV116" s="2060"/>
      <c r="BW116" s="2060"/>
      <c r="BX116" s="2060"/>
      <c r="BY116" s="2060"/>
      <c r="BZ116" s="2060"/>
      <c r="CA116" s="2060"/>
      <c r="CB116" s="2060"/>
      <c r="CC116" s="2060"/>
      <c r="CD116" s="2060"/>
      <c r="CE116" s="2060"/>
      <c r="CF116" s="2060"/>
      <c r="CG116" s="2060"/>
      <c r="CH116" s="2060"/>
      <c r="CI116" s="2060"/>
      <c r="CJ116" s="2060"/>
      <c r="CK116" s="2060"/>
      <c r="CL116" s="2060"/>
      <c r="CM116" s="2060"/>
      <c r="CN116" s="2060"/>
      <c r="CO116" s="2060"/>
      <c r="CP116" s="2060"/>
      <c r="CQ116" s="2060"/>
      <c r="CR116" s="2060"/>
      <c r="CS116" s="2060"/>
      <c r="CT116" s="2060"/>
      <c r="CU116" s="2060"/>
      <c r="CV116" s="2060"/>
      <c r="CW116" s="2060"/>
      <c r="CX116" s="2060"/>
      <c r="CY116" s="2060"/>
      <c r="CZ116" s="2060"/>
      <c r="DA116" s="2060"/>
      <c r="DB116" s="2060"/>
      <c r="DC116" s="2060"/>
      <c r="DD116" s="2060"/>
      <c r="DE116" s="2060"/>
      <c r="DF116" s="2060"/>
      <c r="DG116" s="2060"/>
      <c r="DH116" s="2060"/>
      <c r="DI116" s="2060"/>
      <c r="DJ116" s="2060"/>
      <c r="DK116" s="2060"/>
      <c r="DL116" s="2060"/>
      <c r="DM116" s="2060"/>
      <c r="DN116" s="2060"/>
      <c r="DO116" s="2060"/>
      <c r="DP116" s="2060"/>
      <c r="DQ116" s="2060"/>
      <c r="DR116" s="2060"/>
      <c r="DS116" s="2060"/>
      <c r="DT116" s="2060"/>
      <c r="DU116" s="2060"/>
      <c r="DV116" s="2060"/>
      <c r="DW116" s="2060"/>
      <c r="DX116" s="2060"/>
      <c r="DY116" s="2060"/>
      <c r="DZ116" s="2060"/>
      <c r="EA116" s="2060"/>
      <c r="EB116" s="2060"/>
      <c r="EC116" s="2060"/>
      <c r="ED116" s="2060"/>
      <c r="EE116" s="2060"/>
      <c r="EF116" s="2060"/>
      <c r="EG116" s="2060"/>
      <c r="EH116" s="2060"/>
      <c r="EI116" s="2060"/>
      <c r="EJ116" s="2060"/>
      <c r="EK116" s="2060"/>
      <c r="EL116" s="2060"/>
      <c r="EM116" s="2060"/>
      <c r="EN116" s="2060"/>
      <c r="EO116" s="2060"/>
      <c r="EP116" s="2060"/>
      <c r="EQ116" s="2060"/>
      <c r="ER116" s="2060"/>
      <c r="ES116" s="2060"/>
      <c r="ET116" s="2060"/>
      <c r="EU116" s="2060"/>
      <c r="EV116" s="2060"/>
      <c r="EW116" s="2060"/>
      <c r="EX116" s="2060"/>
      <c r="EY116" s="2060"/>
      <c r="EZ116" s="2060"/>
      <c r="FA116" s="2060"/>
      <c r="FB116" s="2060"/>
      <c r="FC116" s="2060"/>
      <c r="FD116" s="2060"/>
      <c r="FE116" s="2060"/>
      <c r="FF116" s="2060"/>
      <c r="FG116" s="2060"/>
      <c r="FH116" s="2060"/>
      <c r="FI116" s="2060"/>
      <c r="FJ116" s="2060"/>
      <c r="FK116" s="2060"/>
      <c r="FL116" s="2060"/>
      <c r="FM116" s="2060"/>
      <c r="FN116" s="2060"/>
      <c r="FO116" s="2060"/>
      <c r="FP116" s="2060"/>
      <c r="FQ116" s="2060"/>
      <c r="FR116" s="2060"/>
      <c r="FS116" s="2060"/>
      <c r="FT116" s="2060"/>
      <c r="FU116" s="2060"/>
      <c r="FV116" s="2060"/>
      <c r="FW116" s="2060"/>
      <c r="FX116" s="2060"/>
      <c r="FY116" s="2060"/>
      <c r="FZ116" s="2060"/>
      <c r="GA116" s="2060"/>
      <c r="GB116" s="2060"/>
      <c r="GC116" s="2060"/>
    </row>
    <row r="117" spans="1:185" s="1499" customFormat="1">
      <c r="A117" s="1632" t="str">
        <f t="shared" si="4"/>
        <v>n</v>
      </c>
      <c r="B117" s="1004"/>
      <c r="C117" s="2060"/>
      <c r="D117" s="779">
        <f t="shared" ca="1" si="11"/>
        <v>3.2399999999999949</v>
      </c>
      <c r="E117" s="1801" t="str">
        <f>'DATA GPC'!E43</f>
        <v>--</v>
      </c>
      <c r="F117" s="1349"/>
      <c r="G117" s="1504" t="str">
        <f>IF(E117="--","--",'DATA GPC'!G43)</f>
        <v>--</v>
      </c>
      <c r="H117" s="1350" t="str">
        <f t="shared" si="5"/>
        <v>--</v>
      </c>
      <c r="I117" s="1350" t="str">
        <f t="shared" si="6"/>
        <v>--</v>
      </c>
      <c r="J117" s="1350" t="str">
        <f t="shared" si="7"/>
        <v>--</v>
      </c>
      <c r="K117" s="1350" t="str">
        <f t="shared" si="8"/>
        <v>--</v>
      </c>
      <c r="L117" s="1143" t="str">
        <f>IF(AND($P$86="Significant only",$P117="Insignificant"),"--",'WACC and TIC Inputs'!H72)</f>
        <v>--</v>
      </c>
      <c r="M117" s="1143" t="str">
        <f>IF(AND($P$86="Significant only",$P117="Insignificant"),"--",'WACC and TIC Inputs'!I72)</f>
        <v>--</v>
      </c>
      <c r="N117" s="890" t="str">
        <f t="shared" si="12"/>
        <v>--</v>
      </c>
      <c r="O117" s="890" t="str">
        <f t="shared" si="13"/>
        <v>--</v>
      </c>
      <c r="P117" s="145" t="str">
        <f t="shared" si="10"/>
        <v>--</v>
      </c>
      <c r="Q117" s="1616" t="str">
        <f>IF(E152="--","--",IFERROR(_xll.ciqfunctions.udf.CIQ(G152, "IQ_FLOAT_PERCENT",,Valuation_date)/100,"n/a"))</f>
        <v>--</v>
      </c>
      <c r="R117" s="1616" t="str">
        <f>'DATA GPC'!S309</f>
        <v>--</v>
      </c>
      <c r="S117" s="2060" t="str">
        <f>'DATA GPC'!K43</f>
        <v>--</v>
      </c>
      <c r="T117" s="2060"/>
      <c r="U117" s="1352" t="str">
        <f>'DATA GPC'!S43</f>
        <v>--</v>
      </c>
      <c r="V117" s="2060"/>
      <c r="W117" s="2060"/>
      <c r="X117" s="2060"/>
      <c r="Y117" s="2060"/>
      <c r="Z117" s="2060"/>
      <c r="AA117" s="2060"/>
      <c r="AB117" s="2060"/>
      <c r="AC117" s="2060"/>
      <c r="AD117" s="1004"/>
      <c r="AE117" s="2060"/>
      <c r="AF117" s="2060"/>
      <c r="AG117" s="2060"/>
      <c r="AH117" s="2060"/>
      <c r="AI117" s="2060"/>
      <c r="AJ117" s="2060"/>
      <c r="AK117" s="2060"/>
      <c r="AL117" s="2060"/>
      <c r="AM117" s="2060"/>
      <c r="AN117" s="2060"/>
      <c r="AO117" s="2060"/>
      <c r="AP117" s="2060"/>
      <c r="AQ117" s="2060"/>
      <c r="AR117" s="2060"/>
      <c r="AS117" s="2060"/>
      <c r="AT117" s="2060"/>
      <c r="AU117" s="2060"/>
      <c r="AV117" s="2060"/>
      <c r="AW117" s="2060"/>
      <c r="AX117" s="2060"/>
      <c r="AY117" s="2060"/>
      <c r="AZ117" s="2060"/>
      <c r="BA117" s="2060"/>
      <c r="BB117" s="2060"/>
      <c r="BC117" s="2060"/>
      <c r="BD117" s="2060"/>
      <c r="BE117" s="2060"/>
      <c r="BF117" s="2060"/>
      <c r="BG117" s="2060"/>
      <c r="BH117" s="2060"/>
      <c r="BI117" s="2060"/>
      <c r="BJ117" s="2060"/>
      <c r="BK117" s="2060"/>
      <c r="BL117" s="2060"/>
      <c r="BM117" s="2060"/>
      <c r="BN117" s="2060"/>
      <c r="BO117" s="2060"/>
      <c r="BP117" s="2060"/>
      <c r="BQ117" s="2060"/>
      <c r="BR117" s="2060"/>
      <c r="BS117" s="2060"/>
      <c r="BT117" s="2060"/>
      <c r="BU117" s="2060"/>
      <c r="BV117" s="2060"/>
      <c r="BW117" s="2060"/>
      <c r="BX117" s="2060"/>
      <c r="BY117" s="2060"/>
      <c r="BZ117" s="2060"/>
      <c r="CA117" s="2060"/>
      <c r="CB117" s="2060"/>
      <c r="CC117" s="2060"/>
      <c r="CD117" s="2060"/>
      <c r="CE117" s="2060"/>
      <c r="CF117" s="2060"/>
      <c r="CG117" s="2060"/>
      <c r="CH117" s="2060"/>
      <c r="CI117" s="2060"/>
      <c r="CJ117" s="2060"/>
      <c r="CK117" s="2060"/>
      <c r="CL117" s="2060"/>
      <c r="CM117" s="2060"/>
      <c r="CN117" s="2060"/>
      <c r="CO117" s="2060"/>
      <c r="CP117" s="2060"/>
      <c r="CQ117" s="2060"/>
      <c r="CR117" s="2060"/>
      <c r="CS117" s="2060"/>
      <c r="CT117" s="2060"/>
      <c r="CU117" s="2060"/>
      <c r="CV117" s="2060"/>
      <c r="CW117" s="2060"/>
      <c r="CX117" s="2060"/>
      <c r="CY117" s="2060"/>
      <c r="CZ117" s="2060"/>
      <c r="DA117" s="2060"/>
      <c r="DB117" s="2060"/>
      <c r="DC117" s="2060"/>
      <c r="DD117" s="2060"/>
      <c r="DE117" s="2060"/>
      <c r="DF117" s="2060"/>
      <c r="DG117" s="2060"/>
      <c r="DH117" s="2060"/>
      <c r="DI117" s="2060"/>
      <c r="DJ117" s="2060"/>
      <c r="DK117" s="2060"/>
      <c r="DL117" s="2060"/>
      <c r="DM117" s="2060"/>
      <c r="DN117" s="2060"/>
      <c r="DO117" s="2060"/>
      <c r="DP117" s="2060"/>
      <c r="DQ117" s="2060"/>
      <c r="DR117" s="2060"/>
      <c r="DS117" s="2060"/>
      <c r="DT117" s="2060"/>
      <c r="DU117" s="2060"/>
      <c r="DV117" s="2060"/>
      <c r="DW117" s="2060"/>
      <c r="DX117" s="2060"/>
      <c r="DY117" s="2060"/>
      <c r="DZ117" s="2060"/>
      <c r="EA117" s="2060"/>
      <c r="EB117" s="2060"/>
      <c r="EC117" s="2060"/>
      <c r="ED117" s="2060"/>
      <c r="EE117" s="2060"/>
      <c r="EF117" s="2060"/>
      <c r="EG117" s="2060"/>
      <c r="EH117" s="2060"/>
      <c r="EI117" s="2060"/>
      <c r="EJ117" s="2060"/>
      <c r="EK117" s="2060"/>
      <c r="EL117" s="2060"/>
      <c r="EM117" s="2060"/>
      <c r="EN117" s="2060"/>
      <c r="EO117" s="2060"/>
      <c r="EP117" s="2060"/>
      <c r="EQ117" s="2060"/>
      <c r="ER117" s="2060"/>
      <c r="ES117" s="2060"/>
      <c r="ET117" s="2060"/>
      <c r="EU117" s="2060"/>
      <c r="EV117" s="2060"/>
      <c r="EW117" s="2060"/>
      <c r="EX117" s="2060"/>
      <c r="EY117" s="2060"/>
      <c r="EZ117" s="2060"/>
      <c r="FA117" s="2060"/>
      <c r="FB117" s="2060"/>
      <c r="FC117" s="2060"/>
      <c r="FD117" s="2060"/>
      <c r="FE117" s="2060"/>
      <c r="FF117" s="2060"/>
      <c r="FG117" s="2060"/>
      <c r="FH117" s="2060"/>
      <c r="FI117" s="2060"/>
      <c r="FJ117" s="2060"/>
      <c r="FK117" s="2060"/>
      <c r="FL117" s="2060"/>
      <c r="FM117" s="2060"/>
      <c r="FN117" s="2060"/>
      <c r="FO117" s="2060"/>
      <c r="FP117" s="2060"/>
      <c r="FQ117" s="2060"/>
      <c r="FR117" s="2060"/>
      <c r="FS117" s="2060"/>
      <c r="FT117" s="2060"/>
      <c r="FU117" s="2060"/>
      <c r="FV117" s="2060"/>
      <c r="FW117" s="2060"/>
      <c r="FX117" s="2060"/>
      <c r="FY117" s="2060"/>
      <c r="FZ117" s="2060"/>
      <c r="GA117" s="2060"/>
      <c r="GB117" s="2060"/>
      <c r="GC117" s="2060"/>
    </row>
    <row r="118" spans="1:185">
      <c r="A118" s="1632" t="str">
        <f t="shared" si="4"/>
        <v>n</v>
      </c>
      <c r="B118" s="1004"/>
      <c r="C118" s="2060"/>
      <c r="D118" s="779">
        <f t="shared" ca="1" si="11"/>
        <v>3.2499999999999947</v>
      </c>
      <c r="E118" s="1801" t="str">
        <f>'DATA GPC'!E44</f>
        <v>--</v>
      </c>
      <c r="F118" s="1349"/>
      <c r="G118" s="1504" t="str">
        <f>IF(E118="--","--",'DATA GPC'!G44)</f>
        <v>--</v>
      </c>
      <c r="H118" s="1350" t="str">
        <f t="shared" si="5"/>
        <v>--</v>
      </c>
      <c r="I118" s="1350" t="str">
        <f t="shared" si="6"/>
        <v>--</v>
      </c>
      <c r="J118" s="1350" t="str">
        <f t="shared" si="7"/>
        <v>--</v>
      </c>
      <c r="K118" s="1350" t="str">
        <f t="shared" si="8"/>
        <v>--</v>
      </c>
      <c r="L118" s="1143" t="str">
        <f>IF(AND($P$86="Significant only",$P118="Insignificant"),"--",'WACC and TIC Inputs'!H73)</f>
        <v>--</v>
      </c>
      <c r="M118" s="1143" t="str">
        <f>IF(AND($P$86="Significant only",$P118="Insignificant"),"--",'WACC and TIC Inputs'!I73)</f>
        <v>--</v>
      </c>
      <c r="N118" s="890" t="str">
        <f t="shared" si="12"/>
        <v>--</v>
      </c>
      <c r="O118" s="890" t="str">
        <f t="shared" si="13"/>
        <v>--</v>
      </c>
      <c r="P118" s="145" t="str">
        <f t="shared" si="10"/>
        <v>--</v>
      </c>
      <c r="Q118" s="1616" t="str">
        <f>IF(E153="--","--",IFERROR(_xll.ciqfunctions.udf.CIQ(G153, "IQ_FLOAT_PERCENT",,Valuation_date)/100,"n/a"))</f>
        <v>--</v>
      </c>
      <c r="R118" s="1616" t="str">
        <f>'DATA GPC'!S310</f>
        <v>--</v>
      </c>
      <c r="S118" s="2060" t="str">
        <f>'DATA GPC'!K44</f>
        <v>--</v>
      </c>
      <c r="T118" s="2060"/>
      <c r="U118" s="1352" t="str">
        <f>'DATA GPC'!S44</f>
        <v>--</v>
      </c>
      <c r="V118" s="2060"/>
      <c r="W118" s="2060"/>
      <c r="X118" s="2060"/>
      <c r="Y118" s="2060"/>
      <c r="Z118" s="2060"/>
      <c r="AA118" s="2060"/>
      <c r="AB118" s="2060"/>
      <c r="AC118" s="2060"/>
      <c r="AD118" s="1004"/>
      <c r="AE118" s="2060"/>
      <c r="AF118" s="2060"/>
      <c r="AG118" s="2060"/>
      <c r="AH118" s="2060"/>
      <c r="AI118" s="2060"/>
      <c r="AJ118" s="2060"/>
      <c r="AK118" s="2060"/>
      <c r="AL118" s="2060"/>
      <c r="AM118" s="2060"/>
      <c r="AN118" s="2060"/>
      <c r="AO118" s="2060"/>
      <c r="AP118" s="2060"/>
      <c r="AQ118" s="2060"/>
      <c r="AR118" s="2060"/>
      <c r="AS118" s="2060"/>
      <c r="AT118" s="2060"/>
      <c r="AU118" s="2060"/>
      <c r="AV118" s="2060"/>
      <c r="AW118" s="2060"/>
      <c r="AX118" s="2060"/>
      <c r="AY118" s="2060"/>
      <c r="AZ118" s="2060"/>
      <c r="BA118" s="2060"/>
      <c r="BB118" s="2060"/>
      <c r="BC118" s="2060"/>
      <c r="BD118" s="2060"/>
      <c r="BE118" s="2060"/>
      <c r="BF118" s="2060"/>
      <c r="BG118" s="2060"/>
      <c r="BH118" s="2060"/>
      <c r="BI118" s="2060"/>
      <c r="BJ118" s="2060"/>
      <c r="BK118" s="2060"/>
      <c r="BL118" s="2060"/>
      <c r="BM118" s="2060"/>
      <c r="BN118" s="2060"/>
      <c r="BO118" s="2060"/>
      <c r="BP118" s="2060"/>
      <c r="BQ118" s="2060"/>
      <c r="BR118" s="2060"/>
      <c r="BS118" s="2060"/>
      <c r="BT118" s="2060"/>
      <c r="BU118" s="2060"/>
      <c r="BV118" s="2060"/>
      <c r="BW118" s="2060"/>
      <c r="BX118" s="2060"/>
      <c r="BY118" s="2060"/>
      <c r="BZ118" s="2060"/>
      <c r="CA118" s="2060"/>
      <c r="CB118" s="2060"/>
      <c r="CC118" s="2060"/>
      <c r="CD118" s="2060"/>
      <c r="CE118" s="2060"/>
      <c r="CF118" s="2060"/>
      <c r="CG118" s="2060"/>
      <c r="CH118" s="2060"/>
      <c r="CI118" s="2060"/>
      <c r="CJ118" s="2060"/>
      <c r="CK118" s="2060"/>
      <c r="CL118" s="2060"/>
      <c r="CM118" s="2060"/>
      <c r="CN118" s="2060"/>
      <c r="CO118" s="2060"/>
      <c r="CP118" s="2060"/>
      <c r="CQ118" s="2060"/>
      <c r="CR118" s="2060"/>
      <c r="CS118" s="2060"/>
      <c r="CT118" s="2060"/>
      <c r="CU118" s="2060"/>
      <c r="CV118" s="2060"/>
      <c r="CW118" s="2060"/>
      <c r="CX118" s="2060"/>
      <c r="CY118" s="2060"/>
      <c r="CZ118" s="2060"/>
      <c r="DA118" s="2060"/>
      <c r="DB118" s="2060"/>
      <c r="DC118" s="2060"/>
      <c r="DD118" s="2060"/>
      <c r="DE118" s="2060"/>
      <c r="DF118" s="2060"/>
      <c r="DG118" s="2060"/>
      <c r="DH118" s="2060"/>
      <c r="DI118" s="2060"/>
      <c r="DJ118" s="2060"/>
      <c r="DK118" s="2060"/>
      <c r="DL118" s="2060"/>
      <c r="DM118" s="2060"/>
      <c r="DN118" s="2060"/>
      <c r="DO118" s="2060"/>
      <c r="DP118" s="2060"/>
      <c r="DQ118" s="2060"/>
      <c r="DR118" s="2060"/>
      <c r="DS118" s="2060"/>
      <c r="DT118" s="2060"/>
      <c r="DU118" s="2060"/>
      <c r="DV118" s="2060"/>
      <c r="DW118" s="2060"/>
      <c r="DX118" s="2060"/>
      <c r="DY118" s="2060"/>
      <c r="DZ118" s="2060"/>
      <c r="EA118" s="2060"/>
      <c r="EB118" s="2060"/>
      <c r="EC118" s="2060"/>
      <c r="ED118" s="2060"/>
      <c r="EE118" s="2060"/>
      <c r="EF118" s="2060"/>
      <c r="EG118" s="2060"/>
      <c r="EH118" s="2060"/>
      <c r="EI118" s="2060"/>
      <c r="EJ118" s="2060"/>
      <c r="EK118" s="2060"/>
      <c r="EL118" s="2060"/>
      <c r="EM118" s="2060"/>
      <c r="EN118" s="2060"/>
      <c r="EO118" s="2060"/>
      <c r="EP118" s="2060"/>
      <c r="EQ118" s="2060"/>
      <c r="ER118" s="2060"/>
      <c r="ES118" s="2060"/>
      <c r="ET118" s="2060"/>
      <c r="EU118" s="2060"/>
      <c r="EV118" s="2060"/>
      <c r="EW118" s="2060"/>
      <c r="EX118" s="2060"/>
      <c r="EY118" s="2060"/>
      <c r="EZ118" s="2060"/>
      <c r="FA118" s="2060"/>
      <c r="FB118" s="2060"/>
      <c r="FC118" s="2060"/>
      <c r="FD118" s="2060"/>
      <c r="FE118" s="2060"/>
      <c r="FF118" s="2060"/>
      <c r="FG118" s="2060"/>
      <c r="FH118" s="2060"/>
      <c r="FI118" s="2060"/>
      <c r="FJ118" s="2060"/>
      <c r="FK118" s="2060"/>
      <c r="FL118" s="2060"/>
      <c r="FM118" s="2060"/>
      <c r="FN118" s="2060"/>
      <c r="FO118" s="2060"/>
      <c r="FP118" s="2060"/>
      <c r="FQ118" s="2060"/>
      <c r="FR118" s="2060"/>
      <c r="FS118" s="2060"/>
      <c r="FT118" s="2060"/>
      <c r="FU118" s="2060"/>
      <c r="FV118" s="2060"/>
      <c r="FW118" s="2060"/>
      <c r="FX118" s="2060"/>
      <c r="FY118" s="2060"/>
      <c r="FZ118" s="2060"/>
      <c r="GA118" s="2060"/>
      <c r="GB118" s="2060"/>
      <c r="GC118" s="2060"/>
    </row>
    <row r="119" spans="1:185">
      <c r="A119" s="1004"/>
      <c r="B119" s="1004"/>
      <c r="C119" s="2060"/>
      <c r="D119" s="2060"/>
      <c r="E119" s="1802"/>
      <c r="F119" s="1349"/>
      <c r="G119" s="1351" t="s">
        <v>1157</v>
      </c>
      <c r="H119" s="2223" t="str">
        <f>IFERROR(AVERAGE(H94:H118),"n/a")</f>
        <v>n/a</v>
      </c>
      <c r="I119" s="2223" t="str">
        <f>IFERROR(AVERAGE(I94:I118),"n/a")</f>
        <v>n/a</v>
      </c>
      <c r="J119" s="2223" t="str">
        <f>IFERROR(AVERAGE(J94:J118),"n/a")</f>
        <v>n/a</v>
      </c>
      <c r="K119" s="2223" t="str">
        <f>IFERROR(AVERAGE(K94:K118),"n/a")</f>
        <v>n/a</v>
      </c>
      <c r="L119" s="22"/>
      <c r="M119" s="2073"/>
      <c r="N119" s="2224" t="str">
        <f>IFERROR(AVERAGE(N94:N118),"n/a")</f>
        <v>n/a</v>
      </c>
      <c r="O119" s="2225" t="str">
        <f>IFERROR(AVERAGE(O94:O118),"n/a")</f>
        <v>n/a</v>
      </c>
      <c r="P119" s="2060"/>
      <c r="Q119" s="1502"/>
      <c r="R119" s="1502"/>
      <c r="S119" s="1502"/>
      <c r="T119" s="1502"/>
      <c r="U119" s="1352"/>
      <c r="V119" s="2060"/>
      <c r="W119" s="2060"/>
      <c r="X119" s="2060"/>
      <c r="Y119" s="2060"/>
      <c r="Z119" s="2060"/>
      <c r="AA119" s="2060"/>
      <c r="AB119" s="2060"/>
      <c r="AC119" s="2060"/>
      <c r="AD119" s="1004"/>
      <c r="AE119" s="2060"/>
      <c r="AF119" s="2060"/>
      <c r="AG119" s="2060"/>
      <c r="AH119" s="2060"/>
      <c r="AI119" s="2060"/>
      <c r="AJ119" s="2060"/>
      <c r="AK119" s="2060"/>
      <c r="AL119" s="2060"/>
      <c r="AM119" s="2060"/>
      <c r="AN119" s="2060"/>
      <c r="AO119" s="2060"/>
      <c r="AP119" s="2060"/>
      <c r="AQ119" s="2060"/>
      <c r="AR119" s="2060"/>
      <c r="AS119" s="2060"/>
      <c r="AT119" s="2060"/>
      <c r="AU119" s="2060"/>
      <c r="AV119" s="2060"/>
      <c r="AW119" s="2060"/>
      <c r="AX119" s="2060"/>
      <c r="AY119" s="2060"/>
      <c r="AZ119" s="2060"/>
      <c r="BA119" s="2060"/>
      <c r="BB119" s="2060"/>
      <c r="BC119" s="2060"/>
      <c r="BD119" s="2060"/>
      <c r="BE119" s="2060"/>
      <c r="BF119" s="2060"/>
      <c r="BG119" s="2060"/>
      <c r="BH119" s="2060"/>
      <c r="BI119" s="2060"/>
      <c r="BJ119" s="2060"/>
      <c r="BK119" s="2060"/>
      <c r="BL119" s="2060"/>
      <c r="BM119" s="2060"/>
      <c r="BN119" s="2060"/>
      <c r="BO119" s="2060"/>
      <c r="BP119" s="2060"/>
      <c r="BQ119" s="2060"/>
      <c r="BR119" s="2060"/>
      <c r="BS119" s="2060"/>
      <c r="BT119" s="2060"/>
      <c r="BU119" s="2060"/>
      <c r="BV119" s="2060"/>
      <c r="BW119" s="2060"/>
      <c r="BX119" s="2060"/>
      <c r="BY119" s="2060"/>
      <c r="BZ119" s="2060"/>
      <c r="CA119" s="2060"/>
      <c r="CB119" s="2060"/>
      <c r="CC119" s="2060"/>
      <c r="CD119" s="2060"/>
      <c r="CE119" s="2060"/>
      <c r="CF119" s="2060"/>
      <c r="CG119" s="2060"/>
      <c r="CH119" s="2060"/>
      <c r="CI119" s="2060"/>
      <c r="CJ119" s="2060"/>
      <c r="CK119" s="2060"/>
      <c r="CL119" s="2060"/>
      <c r="CM119" s="2060"/>
      <c r="CN119" s="2060"/>
      <c r="CO119" s="2060"/>
      <c r="CP119" s="2060"/>
      <c r="CQ119" s="2060"/>
      <c r="CR119" s="2060"/>
      <c r="CS119" s="2060"/>
      <c r="CT119" s="2060"/>
      <c r="CU119" s="2060"/>
      <c r="CV119" s="2060"/>
      <c r="CW119" s="2060"/>
      <c r="CX119" s="2060"/>
      <c r="CY119" s="2060"/>
      <c r="CZ119" s="2060"/>
      <c r="DA119" s="2060"/>
      <c r="DB119" s="2060"/>
      <c r="DC119" s="2060"/>
      <c r="DD119" s="2060"/>
      <c r="DE119" s="2060"/>
      <c r="DF119" s="2060"/>
      <c r="DG119" s="2060"/>
      <c r="DH119" s="2060"/>
      <c r="DI119" s="2060"/>
      <c r="DJ119" s="2060"/>
      <c r="DK119" s="2060"/>
      <c r="DL119" s="2060"/>
      <c r="DM119" s="2060"/>
      <c r="DN119" s="2060"/>
      <c r="DO119" s="2060"/>
      <c r="DP119" s="2060"/>
      <c r="DQ119" s="2060"/>
      <c r="DR119" s="2060"/>
      <c r="DS119" s="2060"/>
      <c r="DT119" s="2060"/>
      <c r="DU119" s="2060"/>
      <c r="DV119" s="2060"/>
      <c r="DW119" s="2060"/>
      <c r="DX119" s="2060"/>
      <c r="DY119" s="2060"/>
      <c r="DZ119" s="2060"/>
      <c r="EA119" s="2060"/>
      <c r="EB119" s="2060"/>
      <c r="EC119" s="2060"/>
      <c r="ED119" s="2060"/>
      <c r="EE119" s="2060"/>
      <c r="EF119" s="2060"/>
      <c r="EG119" s="2060"/>
      <c r="EH119" s="2060"/>
      <c r="EI119" s="2060"/>
      <c r="EJ119" s="2060"/>
      <c r="EK119" s="2060"/>
      <c r="EL119" s="2060"/>
      <c r="EM119" s="2060"/>
      <c r="EN119" s="2060"/>
      <c r="EO119" s="2060"/>
      <c r="EP119" s="2060"/>
      <c r="EQ119" s="2060"/>
      <c r="ER119" s="2060"/>
      <c r="ES119" s="2060"/>
      <c r="ET119" s="2060"/>
      <c r="EU119" s="2060"/>
      <c r="EV119" s="2060"/>
      <c r="EW119" s="2060"/>
      <c r="EX119" s="2060"/>
      <c r="EY119" s="2060"/>
      <c r="EZ119" s="2060"/>
      <c r="FA119" s="2060"/>
      <c r="FB119" s="2060"/>
      <c r="FC119" s="2060"/>
      <c r="FD119" s="2060"/>
      <c r="FE119" s="2060"/>
      <c r="FF119" s="2060"/>
      <c r="FG119" s="2060"/>
      <c r="FH119" s="2060"/>
      <c r="FI119" s="2060"/>
      <c r="FJ119" s="2060"/>
      <c r="FK119" s="2060"/>
      <c r="FL119" s="2060"/>
      <c r="FM119" s="2060"/>
      <c r="FN119" s="2060"/>
      <c r="FO119" s="2060"/>
      <c r="FP119" s="2060"/>
      <c r="FQ119" s="2060"/>
      <c r="FR119" s="2060"/>
      <c r="FS119" s="2060"/>
      <c r="FT119" s="2060"/>
      <c r="FU119" s="2060"/>
      <c r="FV119" s="2060"/>
      <c r="FW119" s="2060"/>
      <c r="FX119" s="2060"/>
      <c r="FY119" s="2060"/>
      <c r="FZ119" s="2060"/>
      <c r="GA119" s="2060"/>
      <c r="GB119" s="2060"/>
      <c r="GC119" s="2060"/>
    </row>
    <row r="120" spans="1:185">
      <c r="A120" s="1004"/>
      <c r="B120" s="1004"/>
      <c r="C120" s="2060"/>
      <c r="D120" s="2060"/>
      <c r="E120" s="1802"/>
      <c r="F120" s="1349"/>
      <c r="G120" s="1351" t="s">
        <v>1158</v>
      </c>
      <c r="H120" s="2108" t="str">
        <f>IFERROR(MEDIAN(H94:H118),"n/a")</f>
        <v>n/a</v>
      </c>
      <c r="I120" s="2108" t="str">
        <f>IFERROR(MEDIAN(I94:I118),"n/a")</f>
        <v>n/a</v>
      </c>
      <c r="J120" s="2108" t="str">
        <f>IFERROR(MEDIAN(J94:J118),"n/a")</f>
        <v>n/a</v>
      </c>
      <c r="K120" s="2108" t="str">
        <f>IFERROR(MEDIAN(K94:K118),"n/a")</f>
        <v>n/a</v>
      </c>
      <c r="L120" s="22"/>
      <c r="M120" s="2073"/>
      <c r="N120" s="2109" t="str">
        <f>IFERROR(MEDIAN(N94:N118),"n/a")</f>
        <v>n/a</v>
      </c>
      <c r="O120" s="2110" t="str">
        <f>IFERROR(MEDIAN(O94:O118),"n/a")</f>
        <v>n/a</v>
      </c>
      <c r="P120" s="2060"/>
      <c r="Q120" s="1502"/>
      <c r="R120" s="1502"/>
      <c r="S120" s="1502"/>
      <c r="T120" s="1502"/>
      <c r="U120" s="1352"/>
      <c r="V120" s="2060"/>
      <c r="W120" s="2060"/>
      <c r="X120" s="2060"/>
      <c r="Y120" s="2060"/>
      <c r="Z120" s="2060"/>
      <c r="AA120" s="2060"/>
      <c r="AB120" s="2060"/>
      <c r="AC120" s="2060"/>
      <c r="AD120" s="1004"/>
      <c r="AE120" s="2060"/>
      <c r="AF120" s="2060"/>
      <c r="AG120" s="2060"/>
      <c r="AH120" s="2060"/>
      <c r="AI120" s="2060"/>
      <c r="AJ120" s="2060"/>
      <c r="AK120" s="2060"/>
      <c r="AL120" s="2060"/>
      <c r="AM120" s="2060"/>
      <c r="AN120" s="2060"/>
      <c r="AO120" s="2060"/>
      <c r="AP120" s="2060"/>
      <c r="AQ120" s="2060"/>
      <c r="AR120" s="2060"/>
      <c r="AS120" s="2060"/>
      <c r="AT120" s="2060"/>
      <c r="AU120" s="2060"/>
      <c r="AV120" s="2060"/>
      <c r="AW120" s="2060"/>
      <c r="AX120" s="2060"/>
      <c r="AY120" s="2060"/>
      <c r="AZ120" s="2060"/>
      <c r="BA120" s="2060"/>
      <c r="BB120" s="2060"/>
      <c r="BC120" s="2060"/>
      <c r="BD120" s="2060"/>
      <c r="BE120" s="2060"/>
      <c r="BF120" s="2060"/>
      <c r="BG120" s="2060"/>
      <c r="BH120" s="2060"/>
      <c r="BI120" s="2060"/>
      <c r="BJ120" s="2060"/>
      <c r="BK120" s="2060"/>
      <c r="BL120" s="2060"/>
      <c r="BM120" s="2060"/>
      <c r="BN120" s="2060"/>
      <c r="BO120" s="2060"/>
      <c r="BP120" s="2060"/>
      <c r="BQ120" s="2060"/>
      <c r="BR120" s="2060"/>
      <c r="BS120" s="2060"/>
      <c r="BT120" s="2060"/>
      <c r="BU120" s="2060"/>
      <c r="BV120" s="2060"/>
      <c r="BW120" s="2060"/>
      <c r="BX120" s="2060"/>
      <c r="BY120" s="2060"/>
      <c r="BZ120" s="2060"/>
      <c r="CA120" s="2060"/>
      <c r="CB120" s="2060"/>
      <c r="CC120" s="2060"/>
      <c r="CD120" s="2060"/>
      <c r="CE120" s="2060"/>
      <c r="CF120" s="2060"/>
      <c r="CG120" s="2060"/>
      <c r="CH120" s="2060"/>
      <c r="CI120" s="2060"/>
      <c r="CJ120" s="2060"/>
      <c r="CK120" s="2060"/>
      <c r="CL120" s="2060"/>
      <c r="CM120" s="2060"/>
      <c r="CN120" s="2060"/>
      <c r="CO120" s="2060"/>
      <c r="CP120" s="2060"/>
      <c r="CQ120" s="2060"/>
      <c r="CR120" s="2060"/>
      <c r="CS120" s="2060"/>
      <c r="CT120" s="2060"/>
      <c r="CU120" s="2060"/>
      <c r="CV120" s="2060"/>
      <c r="CW120" s="2060"/>
      <c r="CX120" s="2060"/>
      <c r="CY120" s="2060"/>
      <c r="CZ120" s="2060"/>
      <c r="DA120" s="2060"/>
      <c r="DB120" s="2060"/>
      <c r="DC120" s="2060"/>
      <c r="DD120" s="2060"/>
      <c r="DE120" s="2060"/>
      <c r="DF120" s="2060"/>
      <c r="DG120" s="2060"/>
      <c r="DH120" s="2060"/>
      <c r="DI120" s="2060"/>
      <c r="DJ120" s="2060"/>
      <c r="DK120" s="2060"/>
      <c r="DL120" s="2060"/>
      <c r="DM120" s="2060"/>
      <c r="DN120" s="2060"/>
      <c r="DO120" s="2060"/>
      <c r="DP120" s="2060"/>
      <c r="DQ120" s="2060"/>
      <c r="DR120" s="2060"/>
      <c r="DS120" s="2060"/>
      <c r="DT120" s="2060"/>
      <c r="DU120" s="2060"/>
      <c r="DV120" s="2060"/>
      <c r="DW120" s="2060"/>
      <c r="DX120" s="2060"/>
      <c r="DY120" s="2060"/>
      <c r="DZ120" s="2060"/>
      <c r="EA120" s="2060"/>
      <c r="EB120" s="2060"/>
      <c r="EC120" s="2060"/>
      <c r="ED120" s="2060"/>
      <c r="EE120" s="2060"/>
      <c r="EF120" s="2060"/>
      <c r="EG120" s="2060"/>
      <c r="EH120" s="2060"/>
      <c r="EI120" s="2060"/>
      <c r="EJ120" s="2060"/>
      <c r="EK120" s="2060"/>
      <c r="EL120" s="2060"/>
      <c r="EM120" s="2060"/>
      <c r="EN120" s="2060"/>
      <c r="EO120" s="2060"/>
      <c r="EP120" s="2060"/>
      <c r="EQ120" s="2060"/>
      <c r="ER120" s="2060"/>
      <c r="ES120" s="2060"/>
      <c r="ET120" s="2060"/>
      <c r="EU120" s="2060"/>
      <c r="EV120" s="2060"/>
      <c r="EW120" s="2060"/>
      <c r="EX120" s="2060"/>
      <c r="EY120" s="2060"/>
      <c r="EZ120" s="2060"/>
      <c r="FA120" s="2060"/>
      <c r="FB120" s="2060"/>
      <c r="FC120" s="2060"/>
      <c r="FD120" s="2060"/>
      <c r="FE120" s="2060"/>
      <c r="FF120" s="2060"/>
      <c r="FG120" s="2060"/>
      <c r="FH120" s="2060"/>
      <c r="FI120" s="2060"/>
      <c r="FJ120" s="2060"/>
      <c r="FK120" s="2060"/>
      <c r="FL120" s="2060"/>
      <c r="FM120" s="2060"/>
      <c r="FN120" s="2060"/>
      <c r="FO120" s="2060"/>
      <c r="FP120" s="2060"/>
      <c r="FQ120" s="2060"/>
      <c r="FR120" s="2060"/>
      <c r="FS120" s="2060"/>
      <c r="FT120" s="2060"/>
      <c r="FU120" s="2060"/>
      <c r="FV120" s="2060"/>
      <c r="FW120" s="2060"/>
      <c r="FX120" s="2060"/>
      <c r="FY120" s="2060"/>
      <c r="FZ120" s="2060"/>
      <c r="GA120" s="2060"/>
      <c r="GB120" s="2060"/>
      <c r="GC120" s="2060"/>
    </row>
    <row r="121" spans="1:185">
      <c r="A121" s="1004"/>
      <c r="B121" s="1004"/>
      <c r="C121" s="2060"/>
      <c r="D121" s="2060"/>
      <c r="E121" s="1802" t="s">
        <v>1191</v>
      </c>
      <c r="F121" s="1353">
        <f>COUNT(H94:H118)</f>
        <v>0</v>
      </c>
      <c r="G121" s="1354" t="s">
        <v>1192</v>
      </c>
      <c r="H121" s="145" t="str">
        <f>IFERROR(STDEV(H94:H118)/SQRT($F$157),"n/a")</f>
        <v>n/a</v>
      </c>
      <c r="I121" s="53"/>
      <c r="J121" s="1502"/>
      <c r="K121" s="2060"/>
      <c r="L121" s="1502"/>
      <c r="M121" s="2060"/>
      <c r="N121" s="2060"/>
      <c r="O121" s="2060"/>
      <c r="P121" s="2060"/>
      <c r="Q121" s="1502"/>
      <c r="R121" s="1502"/>
      <c r="S121" s="1502"/>
      <c r="T121" s="1502"/>
      <c r="U121" s="1352"/>
      <c r="V121" s="2060"/>
      <c r="W121" s="2060"/>
      <c r="X121" s="2060"/>
      <c r="Y121" s="2060"/>
      <c r="Z121" s="2060"/>
      <c r="AA121" s="2060"/>
      <c r="AB121" s="2060"/>
      <c r="AC121" s="2060"/>
      <c r="AD121" s="1004"/>
      <c r="AE121" s="2060"/>
      <c r="AF121" s="2060"/>
      <c r="AG121" s="2060"/>
      <c r="AH121" s="2060"/>
      <c r="AI121" s="2060"/>
      <c r="AJ121" s="2060"/>
      <c r="AK121" s="2060"/>
      <c r="AL121" s="2060"/>
      <c r="AM121" s="2060"/>
      <c r="AN121" s="2060"/>
      <c r="AO121" s="2060"/>
      <c r="AP121" s="2060"/>
      <c r="AQ121" s="2060"/>
      <c r="AR121" s="2060"/>
      <c r="AS121" s="2060"/>
      <c r="AT121" s="2060"/>
      <c r="AU121" s="2060"/>
      <c r="AV121" s="2060"/>
      <c r="AW121" s="2060"/>
      <c r="AX121" s="2060"/>
      <c r="AY121" s="2060"/>
      <c r="AZ121" s="2060"/>
      <c r="BA121" s="2060"/>
      <c r="BB121" s="2060"/>
      <c r="BC121" s="2060"/>
      <c r="BD121" s="2060"/>
      <c r="BE121" s="2060"/>
      <c r="BF121" s="2060"/>
      <c r="BG121" s="2060"/>
      <c r="BH121" s="2060"/>
      <c r="BI121" s="2060"/>
      <c r="BJ121" s="2060"/>
      <c r="BK121" s="2060"/>
      <c r="BL121" s="2060"/>
      <c r="BM121" s="2060"/>
      <c r="BN121" s="2060"/>
      <c r="BO121" s="2060"/>
      <c r="BP121" s="2060"/>
      <c r="BQ121" s="2060"/>
      <c r="BR121" s="2060"/>
      <c r="BS121" s="2060"/>
      <c r="BT121" s="2060"/>
      <c r="BU121" s="2060"/>
      <c r="BV121" s="2060"/>
      <c r="BW121" s="2060"/>
      <c r="BX121" s="2060"/>
      <c r="BY121" s="2060"/>
      <c r="BZ121" s="2060"/>
      <c r="CA121" s="2060"/>
      <c r="CB121" s="2060"/>
      <c r="CC121" s="2060"/>
      <c r="CD121" s="2060"/>
      <c r="CE121" s="2060"/>
      <c r="CF121" s="2060"/>
      <c r="CG121" s="2060"/>
      <c r="CH121" s="2060"/>
      <c r="CI121" s="2060"/>
      <c r="CJ121" s="2060"/>
      <c r="CK121" s="2060"/>
      <c r="CL121" s="2060"/>
      <c r="CM121" s="2060"/>
      <c r="CN121" s="2060"/>
      <c r="CO121" s="2060"/>
      <c r="CP121" s="2060"/>
      <c r="CQ121" s="2060"/>
      <c r="CR121" s="2060"/>
      <c r="CS121" s="2060"/>
      <c r="CT121" s="2060"/>
      <c r="CU121" s="2060"/>
      <c r="CV121" s="2060"/>
      <c r="CW121" s="2060"/>
      <c r="CX121" s="2060"/>
      <c r="CY121" s="2060"/>
      <c r="CZ121" s="2060"/>
      <c r="DA121" s="2060"/>
      <c r="DB121" s="2060"/>
      <c r="DC121" s="2060"/>
      <c r="DD121" s="2060"/>
      <c r="DE121" s="2060"/>
      <c r="DF121" s="2060"/>
      <c r="DG121" s="2060"/>
      <c r="DH121" s="2060"/>
      <c r="DI121" s="2060"/>
      <c r="DJ121" s="2060"/>
      <c r="DK121" s="2060"/>
      <c r="DL121" s="2060"/>
      <c r="DM121" s="2060"/>
      <c r="DN121" s="2060"/>
      <c r="DO121" s="2060"/>
      <c r="DP121" s="2060"/>
      <c r="DQ121" s="2060"/>
      <c r="DR121" s="2060"/>
      <c r="DS121" s="2060"/>
      <c r="DT121" s="2060"/>
      <c r="DU121" s="2060"/>
      <c r="DV121" s="2060"/>
      <c r="DW121" s="2060"/>
      <c r="DX121" s="2060"/>
      <c r="DY121" s="2060"/>
      <c r="DZ121" s="2060"/>
      <c r="EA121" s="2060"/>
      <c r="EB121" s="2060"/>
      <c r="EC121" s="2060"/>
      <c r="ED121" s="2060"/>
      <c r="EE121" s="2060"/>
      <c r="EF121" s="2060"/>
      <c r="EG121" s="2060"/>
      <c r="EH121" s="2060"/>
      <c r="EI121" s="2060"/>
      <c r="EJ121" s="2060"/>
      <c r="EK121" s="2060"/>
      <c r="EL121" s="2060"/>
      <c r="EM121" s="2060"/>
      <c r="EN121" s="2060"/>
      <c r="EO121" s="2060"/>
      <c r="EP121" s="2060"/>
      <c r="EQ121" s="2060"/>
      <c r="ER121" s="2060"/>
      <c r="ES121" s="2060"/>
      <c r="ET121" s="2060"/>
      <c r="EU121" s="2060"/>
      <c r="EV121" s="2060"/>
      <c r="EW121" s="2060"/>
      <c r="EX121" s="2060"/>
      <c r="EY121" s="2060"/>
      <c r="EZ121" s="2060"/>
      <c r="FA121" s="2060"/>
      <c r="FB121" s="2060"/>
      <c r="FC121" s="2060"/>
      <c r="FD121" s="2060"/>
      <c r="FE121" s="2060"/>
      <c r="FF121" s="2060"/>
      <c r="FG121" s="2060"/>
      <c r="FH121" s="2060"/>
      <c r="FI121" s="2060"/>
      <c r="FJ121" s="2060"/>
      <c r="FK121" s="2060"/>
      <c r="FL121" s="2060"/>
      <c r="FM121" s="2060"/>
      <c r="FN121" s="2060"/>
      <c r="FO121" s="2060"/>
      <c r="FP121" s="2060"/>
      <c r="FQ121" s="2060"/>
      <c r="FR121" s="2060"/>
      <c r="FS121" s="2060"/>
      <c r="FT121" s="2060"/>
      <c r="FU121" s="2060"/>
      <c r="FV121" s="2060"/>
      <c r="FW121" s="2060"/>
      <c r="FX121" s="2060"/>
      <c r="FY121" s="2060"/>
      <c r="FZ121" s="2060"/>
      <c r="GA121" s="2060"/>
      <c r="GB121" s="2060"/>
      <c r="GC121" s="2060"/>
    </row>
    <row r="122" spans="1:185" ht="14.45" thickBot="1">
      <c r="A122" s="1004"/>
      <c r="B122" s="1004"/>
      <c r="C122" s="2060"/>
      <c r="D122" s="2060"/>
      <c r="E122" s="1803"/>
      <c r="F122" s="1355"/>
      <c r="G122" s="1355"/>
      <c r="H122" s="1355"/>
      <c r="I122" s="1355"/>
      <c r="J122" s="1355"/>
      <c r="K122" s="1355"/>
      <c r="L122" s="1355"/>
      <c r="M122" s="1355"/>
      <c r="N122" s="1355"/>
      <c r="O122" s="1355"/>
      <c r="P122" s="1355"/>
      <c r="Q122" s="1355"/>
      <c r="R122" s="1355"/>
      <c r="S122" s="1355"/>
      <c r="T122" s="1355"/>
      <c r="U122" s="1356"/>
      <c r="V122" s="2060"/>
      <c r="W122" s="2060"/>
      <c r="X122" s="2060"/>
      <c r="Y122" s="2060"/>
      <c r="Z122" s="2060"/>
      <c r="AA122" s="2060"/>
      <c r="AB122" s="2060"/>
      <c r="AC122" s="2060"/>
      <c r="AD122" s="1004"/>
      <c r="AE122" s="2060"/>
      <c r="AF122" s="2060"/>
      <c r="AG122" s="2060"/>
      <c r="AH122" s="2060"/>
      <c r="AI122" s="2060"/>
      <c r="AJ122" s="2060"/>
      <c r="AK122" s="2060"/>
      <c r="AL122" s="2060"/>
      <c r="AM122" s="2060"/>
      <c r="AN122" s="2060"/>
      <c r="AO122" s="2060"/>
      <c r="AP122" s="2060"/>
      <c r="AQ122" s="2060"/>
      <c r="AR122" s="2060"/>
      <c r="AS122" s="2060"/>
      <c r="AT122" s="2060"/>
      <c r="AU122" s="2060"/>
      <c r="AV122" s="2060"/>
      <c r="AW122" s="2060"/>
      <c r="AX122" s="2060"/>
      <c r="AY122" s="2060"/>
      <c r="AZ122" s="2060"/>
      <c r="BA122" s="2060"/>
      <c r="BB122" s="2060"/>
      <c r="BC122" s="2060"/>
      <c r="BD122" s="2060"/>
      <c r="BE122" s="2060"/>
      <c r="BF122" s="2060"/>
      <c r="BG122" s="2060"/>
      <c r="BH122" s="2060"/>
      <c r="BI122" s="2060"/>
      <c r="BJ122" s="2060"/>
      <c r="BK122" s="2060"/>
      <c r="BL122" s="2060"/>
      <c r="BM122" s="2060"/>
      <c r="BN122" s="2060"/>
      <c r="BO122" s="2060"/>
      <c r="BP122" s="2060"/>
      <c r="BQ122" s="2060"/>
      <c r="BR122" s="2060"/>
      <c r="BS122" s="2060"/>
      <c r="BT122" s="2060"/>
      <c r="BU122" s="2060"/>
      <c r="BV122" s="2060"/>
      <c r="BW122" s="2060"/>
      <c r="BX122" s="2060"/>
      <c r="BY122" s="2060"/>
      <c r="BZ122" s="2060"/>
      <c r="CA122" s="2060"/>
      <c r="CB122" s="2060"/>
      <c r="CC122" s="2060"/>
      <c r="CD122" s="2060"/>
      <c r="CE122" s="2060"/>
      <c r="CF122" s="2060"/>
      <c r="CG122" s="2060"/>
      <c r="CH122" s="2060"/>
      <c r="CI122" s="2060"/>
      <c r="CJ122" s="2060"/>
      <c r="CK122" s="2060"/>
      <c r="CL122" s="2060"/>
      <c r="CM122" s="2060"/>
      <c r="CN122" s="2060"/>
      <c r="CO122" s="2060"/>
      <c r="CP122" s="2060"/>
      <c r="CQ122" s="2060"/>
      <c r="CR122" s="2060"/>
      <c r="CS122" s="2060"/>
      <c r="CT122" s="2060"/>
      <c r="CU122" s="2060"/>
      <c r="CV122" s="2060"/>
      <c r="CW122" s="2060"/>
      <c r="CX122" s="2060"/>
      <c r="CY122" s="2060"/>
      <c r="CZ122" s="2060"/>
      <c r="DA122" s="2060"/>
      <c r="DB122" s="2060"/>
      <c r="DC122" s="2060"/>
      <c r="DD122" s="2060"/>
      <c r="DE122" s="2060"/>
      <c r="DF122" s="2060"/>
      <c r="DG122" s="2060"/>
      <c r="DH122" s="2060"/>
      <c r="DI122" s="2060"/>
      <c r="DJ122" s="2060"/>
      <c r="DK122" s="2060"/>
      <c r="DL122" s="2060"/>
      <c r="DM122" s="2060"/>
      <c r="DN122" s="2060"/>
      <c r="DO122" s="2060"/>
      <c r="DP122" s="2060"/>
      <c r="DQ122" s="2060"/>
      <c r="DR122" s="2060"/>
      <c r="DS122" s="2060"/>
      <c r="DT122" s="2060"/>
      <c r="DU122" s="2060"/>
      <c r="DV122" s="2060"/>
      <c r="DW122" s="2060"/>
      <c r="DX122" s="2060"/>
      <c r="DY122" s="2060"/>
      <c r="DZ122" s="2060"/>
      <c r="EA122" s="2060"/>
      <c r="EB122" s="2060"/>
      <c r="EC122" s="2060"/>
      <c r="ED122" s="2060"/>
      <c r="EE122" s="2060"/>
      <c r="EF122" s="2060"/>
      <c r="EG122" s="2060"/>
      <c r="EH122" s="2060"/>
      <c r="EI122" s="2060"/>
      <c r="EJ122" s="2060"/>
      <c r="EK122" s="2060"/>
      <c r="EL122" s="2060"/>
      <c r="EM122" s="2060"/>
      <c r="EN122" s="2060"/>
      <c r="EO122" s="2060"/>
      <c r="EP122" s="2060"/>
      <c r="EQ122" s="2060"/>
      <c r="ER122" s="2060"/>
      <c r="ES122" s="2060"/>
      <c r="ET122" s="2060"/>
      <c r="EU122" s="2060"/>
      <c r="EV122" s="2060"/>
      <c r="EW122" s="2060"/>
      <c r="EX122" s="2060"/>
      <c r="EY122" s="2060"/>
      <c r="EZ122" s="2060"/>
      <c r="FA122" s="2060"/>
      <c r="FB122" s="2060"/>
      <c r="FC122" s="2060"/>
      <c r="FD122" s="2060"/>
      <c r="FE122" s="2060"/>
      <c r="FF122" s="2060"/>
      <c r="FG122" s="2060"/>
      <c r="FH122" s="2060"/>
      <c r="FI122" s="2060"/>
      <c r="FJ122" s="2060"/>
      <c r="FK122" s="2060"/>
      <c r="FL122" s="2060"/>
      <c r="FM122" s="2060"/>
      <c r="FN122" s="2060"/>
      <c r="FO122" s="2060"/>
      <c r="FP122" s="2060"/>
      <c r="FQ122" s="2060"/>
      <c r="FR122" s="2060"/>
      <c r="FS122" s="2060"/>
      <c r="FT122" s="2060"/>
      <c r="FU122" s="2060"/>
      <c r="FV122" s="2060"/>
      <c r="FW122" s="2060"/>
      <c r="FX122" s="2060"/>
      <c r="FY122" s="2060"/>
      <c r="FZ122" s="2060"/>
      <c r="GA122" s="2060"/>
      <c r="GB122" s="2060"/>
      <c r="GC122" s="2060"/>
    </row>
    <row r="123" spans="1:185">
      <c r="A123" s="1004"/>
      <c r="B123" s="1004"/>
      <c r="C123" s="2060"/>
      <c r="D123" s="2060"/>
      <c r="E123" s="2060"/>
      <c r="F123" s="2060"/>
      <c r="G123" s="2060"/>
      <c r="H123" s="2060"/>
      <c r="I123" s="2060"/>
      <c r="J123" s="2060"/>
      <c r="K123" s="2060"/>
      <c r="L123" s="2060"/>
      <c r="M123" s="2060"/>
      <c r="N123" s="2060"/>
      <c r="O123" s="2060"/>
      <c r="P123" s="2060"/>
      <c r="Q123" s="1615">
        <f>EDATE(Valuation_date,-B3Yrs*12)</f>
        <v>40967</v>
      </c>
      <c r="R123" s="1615">
        <v>40908</v>
      </c>
      <c r="S123" s="2060"/>
      <c r="T123" s="2060"/>
      <c r="U123" s="2060"/>
      <c r="V123" s="2060"/>
      <c r="W123" s="2060"/>
      <c r="X123" s="2060"/>
      <c r="Y123" s="2060"/>
      <c r="Z123" s="2060"/>
      <c r="AA123" s="2060"/>
      <c r="AB123" s="2060"/>
      <c r="AC123" s="2060"/>
      <c r="AD123" s="1004"/>
      <c r="AE123" s="2060"/>
      <c r="AF123" s="2060"/>
      <c r="AG123" s="2060"/>
      <c r="AH123" s="2060"/>
      <c r="AI123" s="2060"/>
      <c r="AJ123" s="2060"/>
      <c r="AK123" s="2060"/>
      <c r="AL123" s="2060"/>
      <c r="AM123" s="2060"/>
      <c r="AN123" s="2060"/>
      <c r="AO123" s="2060"/>
      <c r="AP123" s="2060"/>
      <c r="AQ123" s="2060"/>
      <c r="AR123" s="2060"/>
      <c r="AS123" s="2060"/>
      <c r="AT123" s="2060"/>
      <c r="AU123" s="2060"/>
      <c r="AV123" s="2060"/>
      <c r="AW123" s="2060"/>
      <c r="AX123" s="2060"/>
      <c r="AY123" s="2060"/>
      <c r="AZ123" s="2060"/>
      <c r="BA123" s="2060"/>
      <c r="BB123" s="2060"/>
      <c r="BC123" s="2060"/>
      <c r="BD123" s="2060">
        <v>150</v>
      </c>
      <c r="BE123" s="2060">
        <f>INDEX($AN$164:$FZ$164,MATCH(BD123,$AN$164:$FZ$164,1))</f>
        <v>140</v>
      </c>
      <c r="BF123" s="2060"/>
      <c r="BG123" s="2060"/>
      <c r="BH123" s="2060"/>
      <c r="BI123" s="2060"/>
      <c r="BJ123" s="2060"/>
      <c r="BK123" s="2060"/>
      <c r="BL123" s="2060"/>
      <c r="BM123" s="2060"/>
      <c r="BN123" s="2060"/>
      <c r="BO123" s="2060"/>
      <c r="BP123" s="2060"/>
      <c r="BQ123" s="2060"/>
      <c r="BR123" s="2060"/>
      <c r="BS123" s="2060"/>
      <c r="BT123" s="2060"/>
      <c r="BU123" s="2060"/>
      <c r="BV123" s="2060"/>
      <c r="BW123" s="2060"/>
      <c r="BX123" s="2060"/>
      <c r="BY123" s="2060"/>
      <c r="BZ123" s="2060"/>
      <c r="CA123" s="2060"/>
      <c r="CB123" s="2060"/>
      <c r="CC123" s="2060"/>
      <c r="CD123" s="2060"/>
      <c r="CE123" s="2060"/>
      <c r="CF123" s="2060"/>
      <c r="CG123" s="2060"/>
      <c r="CH123" s="2060"/>
      <c r="CI123" s="2060"/>
      <c r="CJ123" s="2060"/>
      <c r="CK123" s="2060"/>
      <c r="CL123" s="2060"/>
      <c r="CM123" s="2060"/>
      <c r="CN123" s="2060"/>
      <c r="CO123" s="2060"/>
      <c r="CP123" s="2060"/>
      <c r="CQ123" s="2060"/>
      <c r="CR123" s="2060"/>
      <c r="CS123" s="2060"/>
      <c r="CT123" s="2060"/>
      <c r="CU123" s="2060"/>
      <c r="CV123" s="2060"/>
      <c r="CW123" s="2060"/>
      <c r="CX123" s="2060"/>
      <c r="CY123" s="2060"/>
      <c r="CZ123" s="2060"/>
      <c r="DA123" s="2060"/>
      <c r="DB123" s="2060"/>
      <c r="DC123" s="2060"/>
      <c r="DD123" s="2060"/>
      <c r="DE123" s="2060"/>
      <c r="DF123" s="2060"/>
      <c r="DG123" s="2060"/>
      <c r="DH123" s="2060"/>
      <c r="DI123" s="2060"/>
      <c r="DJ123" s="2060"/>
      <c r="DK123" s="2060"/>
      <c r="DL123" s="2060"/>
      <c r="DM123" s="2060"/>
      <c r="DN123" s="2060"/>
      <c r="DO123" s="2060"/>
      <c r="DP123" s="2060"/>
      <c r="DQ123" s="2060"/>
      <c r="DR123" s="2060"/>
      <c r="DS123" s="2060"/>
      <c r="DT123" s="2060"/>
      <c r="DU123" s="2060"/>
      <c r="DV123" s="2060"/>
      <c r="DW123" s="2060"/>
      <c r="DX123" s="2060"/>
      <c r="DY123" s="2060"/>
      <c r="DZ123" s="2060"/>
      <c r="EA123" s="2060"/>
      <c r="EB123" s="2060"/>
      <c r="EC123" s="2060"/>
      <c r="ED123" s="2060"/>
      <c r="EE123" s="2060"/>
      <c r="EF123" s="2060"/>
      <c r="EG123" s="2060"/>
      <c r="EH123" s="2060"/>
      <c r="EI123" s="2060"/>
      <c r="EJ123" s="2060"/>
      <c r="EK123" s="2060"/>
      <c r="EL123" s="2060"/>
      <c r="EM123" s="2060"/>
      <c r="EN123" s="2060"/>
      <c r="EO123" s="2060"/>
      <c r="EP123" s="2060"/>
      <c r="EQ123" s="2060"/>
      <c r="ER123" s="2060"/>
      <c r="ES123" s="2060"/>
      <c r="ET123" s="2060"/>
      <c r="EU123" s="2060"/>
      <c r="EV123" s="2060"/>
      <c r="EW123" s="2060"/>
      <c r="EX123" s="2060"/>
      <c r="EY123" s="2060"/>
      <c r="EZ123" s="2060"/>
      <c r="FA123" s="2060"/>
      <c r="FB123" s="2060"/>
      <c r="FC123" s="2060"/>
      <c r="FD123" s="2060"/>
      <c r="FE123" s="2060"/>
      <c r="FF123" s="2060"/>
      <c r="FG123" s="2060"/>
      <c r="FH123" s="2060"/>
      <c r="FI123" s="2060"/>
      <c r="FJ123" s="2060"/>
      <c r="FK123" s="2060"/>
      <c r="FL123" s="2060"/>
      <c r="FM123" s="2060"/>
      <c r="FN123" s="2060"/>
      <c r="FO123" s="2060"/>
      <c r="FP123" s="2060"/>
      <c r="FQ123" s="2060"/>
      <c r="FR123" s="2060"/>
      <c r="FS123" s="2060"/>
      <c r="FT123" s="2060"/>
      <c r="FU123" s="2060"/>
      <c r="FV123" s="2060"/>
      <c r="FW123" s="2060"/>
      <c r="FX123" s="2060"/>
      <c r="FY123" s="2060"/>
      <c r="FZ123" s="2060"/>
      <c r="GA123" s="2060"/>
      <c r="GB123" s="2060"/>
      <c r="GC123" s="2060"/>
    </row>
    <row r="124" spans="1:185">
      <c r="A124" s="1004"/>
      <c r="B124" s="1004"/>
      <c r="C124" s="2060"/>
      <c r="D124" s="2060"/>
      <c r="E124" s="2060"/>
      <c r="F124" s="2060"/>
      <c r="G124" s="2060"/>
      <c r="H124" s="1615"/>
      <c r="I124" s="1615"/>
      <c r="J124" s="2060"/>
      <c r="K124" s="2060"/>
      <c r="L124" s="1615"/>
      <c r="M124" s="1615"/>
      <c r="N124" s="2060"/>
      <c r="O124" s="2060"/>
      <c r="P124" s="2060"/>
      <c r="Q124" s="2060"/>
      <c r="R124" s="1615" t="str">
        <f>_xll.ciqfunctions.udf.CIQ('DATA GPC'!$S20,"IQ_PRICEDATE",EDATE(Valuation_date,-B3Yrs*12))</f>
        <v>(Invalid Identifier)</v>
      </c>
      <c r="S124" s="2060"/>
      <c r="T124" s="2060"/>
      <c r="U124" s="2060"/>
      <c r="V124" s="2060"/>
      <c r="W124" s="2060"/>
      <c r="X124" s="2060"/>
      <c r="Y124" s="2060"/>
      <c r="Z124" s="2060"/>
      <c r="AA124" s="2060"/>
      <c r="AB124" s="2060"/>
      <c r="AC124" s="2060"/>
      <c r="AD124" s="1004"/>
      <c r="AE124" s="2060"/>
      <c r="AF124" s="2060"/>
      <c r="AG124" s="2060"/>
      <c r="AH124" s="2060"/>
      <c r="AI124" s="2060"/>
      <c r="AJ124" s="2060"/>
      <c r="AK124" s="2060"/>
      <c r="AL124" s="2060"/>
      <c r="AM124" s="2060"/>
      <c r="AN124" s="2060"/>
      <c r="AO124" s="2060"/>
      <c r="AP124" s="2060"/>
      <c r="AQ124" s="2060"/>
      <c r="AR124" s="2060"/>
      <c r="AS124" s="2060"/>
      <c r="AT124" s="2060"/>
      <c r="AU124" s="2060"/>
      <c r="AV124" s="2060"/>
      <c r="AW124" s="2060"/>
      <c r="AX124" s="2060"/>
      <c r="AY124" s="2060"/>
      <c r="AZ124" s="2060"/>
      <c r="BA124" s="2060"/>
      <c r="BB124" s="2060"/>
      <c r="BC124" s="2060"/>
      <c r="BD124" s="2060"/>
      <c r="BE124" s="1790">
        <f>INDEX($AM$167:$FZ$167,MATCH(BD123,$AM$164:$FZ$164,1))</f>
        <v>1.9770000000000001</v>
      </c>
      <c r="BF124" s="2060"/>
      <c r="BG124" s="2060"/>
      <c r="BH124" s="2060"/>
      <c r="BI124" s="2060"/>
      <c r="BJ124" s="2060"/>
      <c r="BK124" s="2060"/>
      <c r="BL124" s="2060"/>
      <c r="BM124" s="2060"/>
      <c r="BN124" s="2060"/>
      <c r="BO124" s="2060"/>
      <c r="BP124" s="2060"/>
      <c r="BQ124" s="2060"/>
      <c r="BR124" s="2060"/>
      <c r="BS124" s="2060"/>
      <c r="BT124" s="2060"/>
      <c r="BU124" s="2060"/>
      <c r="BV124" s="2060"/>
      <c r="BW124" s="2060"/>
      <c r="BX124" s="2060"/>
      <c r="BY124" s="2060"/>
      <c r="BZ124" s="2060"/>
      <c r="CA124" s="2060"/>
      <c r="CB124" s="2060"/>
      <c r="CC124" s="2060"/>
      <c r="CD124" s="2060"/>
      <c r="CE124" s="2060"/>
      <c r="CF124" s="2060"/>
      <c r="CG124" s="2060"/>
      <c r="CH124" s="2060"/>
      <c r="CI124" s="2060"/>
      <c r="CJ124" s="2060"/>
      <c r="CK124" s="2060"/>
      <c r="CL124" s="2060"/>
      <c r="CM124" s="2060"/>
      <c r="CN124" s="2060"/>
      <c r="CO124" s="2060"/>
      <c r="CP124" s="2060"/>
      <c r="CQ124" s="2060"/>
      <c r="CR124" s="2060"/>
      <c r="CS124" s="2060"/>
      <c r="CT124" s="2060"/>
      <c r="CU124" s="2060"/>
      <c r="CV124" s="2060"/>
      <c r="CW124" s="2060"/>
      <c r="CX124" s="2060"/>
      <c r="CY124" s="2060"/>
      <c r="CZ124" s="2060"/>
      <c r="DA124" s="2060"/>
      <c r="DB124" s="2060"/>
      <c r="DC124" s="2060"/>
      <c r="DD124" s="2060"/>
      <c r="DE124" s="2060"/>
      <c r="DF124" s="2060"/>
      <c r="DG124" s="2060"/>
      <c r="DH124" s="2060"/>
      <c r="DI124" s="2060"/>
      <c r="DJ124" s="2060"/>
      <c r="DK124" s="2060"/>
      <c r="DL124" s="2060"/>
      <c r="DM124" s="2060"/>
      <c r="DN124" s="2060"/>
      <c r="DO124" s="2060"/>
      <c r="DP124" s="2060"/>
      <c r="DQ124" s="2060"/>
      <c r="DR124" s="2060"/>
      <c r="DS124" s="2060"/>
      <c r="DT124" s="2060"/>
      <c r="DU124" s="2060"/>
      <c r="DV124" s="2060"/>
      <c r="DW124" s="2060"/>
      <c r="DX124" s="2060"/>
      <c r="DY124" s="2060"/>
      <c r="DZ124" s="2060"/>
      <c r="EA124" s="2060"/>
      <c r="EB124" s="2060"/>
      <c r="EC124" s="2060"/>
      <c r="ED124" s="2060"/>
      <c r="EE124" s="2060"/>
      <c r="EF124" s="2060"/>
      <c r="EG124" s="2060"/>
      <c r="EH124" s="2060"/>
      <c r="EI124" s="2060"/>
      <c r="EJ124" s="2060"/>
      <c r="EK124" s="2060"/>
      <c r="EL124" s="2060"/>
      <c r="EM124" s="2060"/>
      <c r="EN124" s="2060"/>
      <c r="EO124" s="2060"/>
      <c r="EP124" s="2060"/>
      <c r="EQ124" s="2060"/>
      <c r="ER124" s="2060"/>
      <c r="ES124" s="2060"/>
      <c r="ET124" s="2060"/>
      <c r="EU124" s="2060"/>
      <c r="EV124" s="2060"/>
      <c r="EW124" s="2060"/>
      <c r="EX124" s="2060"/>
      <c r="EY124" s="2060"/>
      <c r="EZ124" s="2060"/>
      <c r="FA124" s="2060"/>
      <c r="FB124" s="2060"/>
      <c r="FC124" s="2060"/>
      <c r="FD124" s="2060"/>
      <c r="FE124" s="2060"/>
      <c r="FF124" s="2060"/>
      <c r="FG124" s="2060"/>
      <c r="FH124" s="2060"/>
      <c r="FI124" s="2060"/>
      <c r="FJ124" s="2060"/>
      <c r="FK124" s="2060"/>
      <c r="FL124" s="2060"/>
      <c r="FM124" s="2060"/>
      <c r="FN124" s="2060"/>
      <c r="FO124" s="2060"/>
      <c r="FP124" s="2060"/>
      <c r="FQ124" s="2060"/>
      <c r="FR124" s="2060"/>
      <c r="FS124" s="2060"/>
      <c r="FT124" s="2060"/>
      <c r="FU124" s="2060"/>
      <c r="FV124" s="2060"/>
      <c r="FW124" s="2060"/>
      <c r="FX124" s="2060"/>
      <c r="FY124" s="2060"/>
      <c r="FZ124" s="2060"/>
      <c r="GA124" s="2060"/>
      <c r="GB124" s="2060"/>
      <c r="GC124" s="2060"/>
    </row>
    <row r="125" spans="1:185" customFormat="1" ht="15.6">
      <c r="A125" s="1004"/>
      <c r="B125" s="1004"/>
      <c r="C125" s="1502"/>
      <c r="D125" s="779"/>
      <c r="E125" s="1345" t="s">
        <v>1193</v>
      </c>
      <c r="F125" s="128"/>
      <c r="G125" s="128"/>
      <c r="H125" s="2226" t="s">
        <v>1194</v>
      </c>
      <c r="I125" s="2227" t="str">
        <f>IF(Beta12345=1,"SELECTED","Not in use. See beta "&amp;Beta12345)</f>
        <v>SELECTED</v>
      </c>
      <c r="J125" s="2060"/>
      <c r="K125" s="2060"/>
      <c r="L125" s="2"/>
      <c r="M125" s="2226" t="s">
        <v>1195</v>
      </c>
      <c r="N125" s="2227" t="str">
        <f>IF(Beta12345=2,"SELECTED","Not in use. See beta "&amp;Beta12345)</f>
        <v>Not in use. See beta 1</v>
      </c>
      <c r="O125" s="2060"/>
      <c r="P125" s="2060"/>
      <c r="Q125" s="2"/>
      <c r="R125" s="2226" t="s">
        <v>1196</v>
      </c>
      <c r="S125" s="2227" t="str">
        <f>IF(Beta12345=3,"SELECTED","Not in use. See beta "&amp;Beta12345)</f>
        <v>Not in use. See beta 1</v>
      </c>
      <c r="T125" s="2060"/>
      <c r="U125" s="2060"/>
      <c r="V125" s="2226"/>
      <c r="W125" s="2226" t="s">
        <v>1197</v>
      </c>
      <c r="X125" s="2227" t="str">
        <f>IF(Beta12345=4,"SELECTED","Not in use. See beta "&amp;Beta12345)</f>
        <v>Not in use. See beta 1</v>
      </c>
      <c r="Y125" s="2060"/>
      <c r="Z125" s="2060"/>
      <c r="AA125" s="2226"/>
      <c r="AB125" s="2060"/>
      <c r="AC125" s="2060"/>
      <c r="AD125" s="1004"/>
      <c r="AE125" s="2060"/>
      <c r="AF125" s="2060"/>
      <c r="AG125" s="2060"/>
      <c r="AH125" s="1779"/>
      <c r="AI125" s="1779"/>
      <c r="AJ125" s="1779"/>
      <c r="AK125" s="1779"/>
      <c r="AL125" s="2060"/>
      <c r="AM125" s="2060"/>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79"/>
      <c r="BM125" s="1779"/>
      <c r="BN125" s="1779"/>
      <c r="BO125" s="1779"/>
      <c r="BP125" s="1779"/>
      <c r="BQ125" s="1779"/>
      <c r="BR125" s="1779"/>
      <c r="BS125" s="1779"/>
      <c r="BT125" s="1779"/>
      <c r="BU125" s="1779"/>
      <c r="BV125" s="1779"/>
      <c r="BW125" s="1779"/>
      <c r="BX125" s="1779"/>
      <c r="BY125" s="1779"/>
      <c r="BZ125" s="1779"/>
      <c r="CA125" s="1779"/>
      <c r="CB125" s="1779"/>
      <c r="CC125" s="1779"/>
      <c r="CD125" s="1779"/>
      <c r="CE125" s="1779"/>
      <c r="CF125" s="1779"/>
      <c r="CG125" s="1779"/>
      <c r="CH125" s="1779"/>
      <c r="CI125" s="1779"/>
      <c r="CJ125" s="1779"/>
      <c r="CK125" s="1779"/>
      <c r="CL125" s="1779"/>
      <c r="CM125" s="1779"/>
      <c r="CN125" s="1779"/>
      <c r="CO125" s="1779"/>
      <c r="CP125" s="1779"/>
      <c r="CQ125" s="1779"/>
      <c r="CR125" s="1779"/>
      <c r="CS125" s="1779"/>
      <c r="CT125" s="1779"/>
      <c r="CU125" s="1779"/>
      <c r="CV125" s="1779"/>
      <c r="CW125" s="1779"/>
      <c r="CX125" s="1779"/>
      <c r="CY125" s="1779"/>
      <c r="CZ125" s="1779"/>
      <c r="DA125" s="1779"/>
      <c r="DB125" s="1779"/>
      <c r="DC125" s="1779"/>
      <c r="DD125" s="1779"/>
      <c r="DE125" s="1779"/>
      <c r="DF125" s="1779"/>
      <c r="DG125" s="1779"/>
      <c r="DH125" s="1779"/>
      <c r="DI125" s="1779"/>
      <c r="DJ125" s="1779"/>
      <c r="DK125" s="1779"/>
      <c r="DL125" s="1779"/>
      <c r="DM125" s="1779"/>
      <c r="DN125" s="1779"/>
      <c r="DO125" s="1779"/>
      <c r="DP125" s="1779"/>
      <c r="DQ125" s="1779"/>
      <c r="DR125" s="1779"/>
      <c r="DS125" s="1779"/>
      <c r="DT125" s="1779"/>
      <c r="DU125" s="1779"/>
      <c r="DV125" s="1779"/>
      <c r="DW125" s="1779"/>
      <c r="DX125" s="1779"/>
      <c r="DY125" s="1779"/>
      <c r="DZ125" s="1779"/>
      <c r="EA125" s="1779"/>
      <c r="EB125" s="1779"/>
      <c r="EC125" s="1779"/>
      <c r="ED125" s="1779"/>
      <c r="EE125" s="1779"/>
      <c r="EF125" s="1779"/>
      <c r="EG125" s="1779"/>
      <c r="EH125" s="1779"/>
      <c r="EI125" s="1779"/>
      <c r="EJ125" s="1779"/>
      <c r="EK125" s="1779"/>
      <c r="EL125" s="1779"/>
      <c r="EM125" s="1779"/>
      <c r="EN125" s="1779"/>
      <c r="EO125" s="1779"/>
      <c r="EP125" s="1779"/>
      <c r="EQ125" s="1779"/>
      <c r="ER125" s="1779"/>
      <c r="ES125" s="1779"/>
      <c r="ET125" s="1779"/>
      <c r="EU125" s="1779"/>
      <c r="EV125" s="1779"/>
      <c r="EW125" s="1779"/>
      <c r="EX125" s="1779"/>
      <c r="EY125" s="1779"/>
      <c r="EZ125" s="1779"/>
      <c r="FA125" s="1779"/>
      <c r="FB125" s="1779"/>
      <c r="FC125" s="1779"/>
      <c r="FD125" s="1779"/>
      <c r="FE125" s="1779"/>
      <c r="FF125" s="1779"/>
      <c r="FG125" s="1779"/>
      <c r="FH125" s="1779"/>
      <c r="FI125" s="1779"/>
      <c r="FJ125" s="1779"/>
      <c r="FK125" s="1779"/>
      <c r="FL125" s="1779"/>
      <c r="FM125" s="1779"/>
      <c r="FN125" s="1779"/>
      <c r="FO125" s="1779"/>
      <c r="FP125" s="1779"/>
      <c r="FQ125" s="1779"/>
      <c r="FR125" s="1779"/>
      <c r="FS125" s="1779"/>
      <c r="FT125" s="1779"/>
      <c r="FU125" s="1779"/>
      <c r="FV125" s="1779"/>
      <c r="FW125" s="1779"/>
      <c r="FX125" s="1779"/>
      <c r="FY125" s="1779"/>
      <c r="FZ125" s="1779"/>
      <c r="GA125" s="1779"/>
      <c r="GB125" s="1779"/>
      <c r="GC125" s="1779"/>
    </row>
    <row r="126" spans="1:185" customFormat="1">
      <c r="A126" s="1004"/>
      <c r="B126" s="1004"/>
      <c r="C126" s="1502"/>
      <c r="D126" s="2060"/>
      <c r="E126" s="1567" t="str">
        <f>IndexMode</f>
        <v>Trading Country beta indices in use</v>
      </c>
      <c r="F126" s="128"/>
      <c r="G126" s="128"/>
      <c r="H126" s="140" t="s">
        <v>1198</v>
      </c>
      <c r="I126" s="140" t="s">
        <v>207</v>
      </c>
      <c r="J126" s="2220" t="s">
        <v>1179</v>
      </c>
      <c r="K126" s="2228" t="str">
        <f>IF(BayesianAdjustSet="Y","Unlevered","")</f>
        <v>Unlevered</v>
      </c>
      <c r="L126" s="141"/>
      <c r="M126" s="142" t="s">
        <v>1198</v>
      </c>
      <c r="N126" s="140" t="s">
        <v>207</v>
      </c>
      <c r="O126" s="2220" t="s">
        <v>1179</v>
      </c>
      <c r="P126" s="2228" t="str">
        <f>IF(BayesianAdjustSet="Y","Unlevered","")</f>
        <v>Unlevered</v>
      </c>
      <c r="Q126" s="141"/>
      <c r="R126" s="142" t="s">
        <v>1198</v>
      </c>
      <c r="S126" s="140" t="s">
        <v>207</v>
      </c>
      <c r="T126" s="2228"/>
      <c r="U126" s="2220" t="s">
        <v>1179</v>
      </c>
      <c r="V126" s="141"/>
      <c r="W126" s="142" t="s">
        <v>1198</v>
      </c>
      <c r="X126" s="140" t="s">
        <v>207</v>
      </c>
      <c r="Y126" s="2220" t="s">
        <v>1179</v>
      </c>
      <c r="Z126" s="2228" t="str">
        <f>IF(BayesianAdjustSet="Y","Unlevered","")</f>
        <v>Unlevered</v>
      </c>
      <c r="AA126" s="141"/>
      <c r="AB126" s="2060"/>
      <c r="AC126" s="2060"/>
      <c r="AD126" s="1004"/>
      <c r="AE126" s="2060"/>
      <c r="AF126" s="2060"/>
      <c r="AG126" s="2060"/>
      <c r="AH126" s="2060"/>
      <c r="AI126" s="2060"/>
      <c r="AJ126" s="2060"/>
      <c r="AK126" s="2060"/>
      <c r="AL126" s="2060"/>
      <c r="AM126" s="1779"/>
      <c r="AN126" s="1779"/>
      <c r="AO126" s="2060"/>
      <c r="AP126" s="2060"/>
      <c r="AQ126" s="2060"/>
      <c r="AR126" s="2060"/>
      <c r="AS126" s="2060"/>
      <c r="AT126" s="2060"/>
      <c r="AU126" s="2060"/>
      <c r="AV126" s="2060"/>
      <c r="AW126" s="2060"/>
      <c r="AX126" s="2060"/>
      <c r="AY126" s="2060"/>
      <c r="AZ126" s="2060"/>
      <c r="BA126" s="2060"/>
      <c r="BB126" s="2060"/>
      <c r="BC126" s="2060"/>
      <c r="BD126" s="2060"/>
      <c r="BE126" s="2060"/>
      <c r="BF126" s="2060"/>
      <c r="BG126" s="2060"/>
      <c r="BH126" s="2060"/>
      <c r="BI126" s="2060"/>
      <c r="BJ126" s="2060"/>
      <c r="BK126" s="2060"/>
      <c r="BL126" s="2060"/>
      <c r="BM126" s="2060"/>
      <c r="BN126" s="2060"/>
      <c r="BO126" s="2060"/>
      <c r="BP126" s="2060"/>
      <c r="BQ126" s="2060"/>
      <c r="BR126" s="2060"/>
      <c r="BS126" s="2060"/>
      <c r="BT126" s="2060"/>
      <c r="BU126" s="2060"/>
      <c r="BV126" s="2060"/>
      <c r="BW126" s="2060"/>
      <c r="BX126" s="2060"/>
      <c r="BY126" s="2060"/>
      <c r="BZ126" s="2060"/>
      <c r="CA126" s="2060"/>
      <c r="CB126" s="2060"/>
      <c r="CC126" s="2060"/>
      <c r="CD126" s="2060"/>
      <c r="CE126" s="2060"/>
      <c r="CF126" s="2060"/>
      <c r="CG126" s="2060"/>
      <c r="CH126" s="2060"/>
      <c r="CI126" s="2060"/>
      <c r="CJ126" s="2060"/>
      <c r="CK126" s="2060"/>
      <c r="CL126" s="2060"/>
      <c r="CM126" s="2060"/>
      <c r="CN126" s="2060"/>
      <c r="CO126" s="2060"/>
      <c r="CP126" s="2060"/>
      <c r="CQ126" s="2060"/>
      <c r="CR126" s="2060"/>
      <c r="CS126" s="2060"/>
      <c r="CT126" s="2060"/>
      <c r="CU126" s="2060"/>
      <c r="CV126" s="2060"/>
      <c r="CW126" s="2060"/>
      <c r="CX126" s="2060"/>
      <c r="CY126" s="2060"/>
      <c r="CZ126" s="2060"/>
      <c r="DA126" s="2060"/>
      <c r="DB126" s="2060"/>
      <c r="DC126" s="2060"/>
      <c r="DD126" s="2060"/>
      <c r="DE126" s="2060"/>
      <c r="DF126" s="2060"/>
      <c r="DG126" s="2060"/>
      <c r="DH126" s="2060"/>
      <c r="DI126" s="2060"/>
      <c r="DJ126" s="2060"/>
      <c r="DK126" s="2060"/>
      <c r="DL126" s="2060"/>
      <c r="DM126" s="2060"/>
      <c r="DN126" s="2060"/>
      <c r="DO126" s="2060"/>
      <c r="DP126" s="2060"/>
      <c r="DQ126" s="2060"/>
      <c r="DR126" s="2060"/>
      <c r="DS126" s="2060"/>
      <c r="DT126" s="2060"/>
      <c r="DU126" s="2060"/>
      <c r="DV126" s="2060"/>
      <c r="DW126" s="2060"/>
      <c r="DX126" s="2060"/>
      <c r="DY126" s="2060"/>
      <c r="DZ126" s="2060"/>
      <c r="EA126" s="2060"/>
      <c r="EB126" s="2060"/>
      <c r="EC126" s="2060"/>
      <c r="ED126" s="2060"/>
      <c r="EE126" s="2060"/>
      <c r="EF126" s="2060"/>
      <c r="EG126" s="2060"/>
      <c r="EH126" s="2060"/>
      <c r="EI126" s="2060"/>
      <c r="EJ126" s="2060"/>
      <c r="EK126" s="2060"/>
      <c r="EL126" s="2060"/>
      <c r="EM126" s="2060"/>
      <c r="EN126" s="2060"/>
      <c r="EO126" s="2060"/>
      <c r="EP126" s="2060"/>
      <c r="EQ126" s="2060"/>
      <c r="ER126" s="2060"/>
      <c r="ES126" s="2060"/>
      <c r="ET126" s="2060"/>
      <c r="EU126" s="2060"/>
      <c r="EV126" s="2060"/>
      <c r="EW126" s="2060"/>
      <c r="EX126" s="2060"/>
      <c r="EY126" s="2060"/>
      <c r="EZ126" s="2060"/>
      <c r="FA126" s="2060"/>
      <c r="FB126" s="2060"/>
      <c r="FC126" s="2060"/>
      <c r="FD126" s="2060"/>
      <c r="FE126" s="2060"/>
      <c r="FF126" s="2060"/>
      <c r="FG126" s="2060"/>
      <c r="FH126" s="2060"/>
      <c r="FI126" s="2060"/>
      <c r="FJ126" s="2060"/>
      <c r="FK126" s="2060"/>
      <c r="FL126" s="2060"/>
      <c r="FM126" s="2060"/>
      <c r="FN126" s="2060"/>
      <c r="FO126" s="2060"/>
      <c r="FP126" s="2060"/>
      <c r="FQ126" s="2060"/>
      <c r="FR126" s="2060"/>
      <c r="FS126" s="2060"/>
      <c r="FT126" s="2060"/>
      <c r="FU126" s="2060"/>
      <c r="FV126" s="2060"/>
      <c r="FW126" s="2060"/>
      <c r="FX126" s="2060"/>
      <c r="FY126" s="2060"/>
      <c r="FZ126" s="2060"/>
      <c r="GA126" s="2060"/>
      <c r="GB126" s="2060"/>
      <c r="GC126" s="2060"/>
    </row>
    <row r="127" spans="1:185" customFormat="1">
      <c r="A127" s="1004"/>
      <c r="B127" s="1004"/>
      <c r="C127" s="1502"/>
      <c r="D127" s="1029" t="s">
        <v>1199</v>
      </c>
      <c r="E127" s="614"/>
      <c r="F127" s="128"/>
      <c r="G127" s="128"/>
      <c r="H127" s="1766">
        <v>2</v>
      </c>
      <c r="I127" s="2155" t="s">
        <v>1200</v>
      </c>
      <c r="J127" s="521" t="str">
        <f>IF(BayesianAdjustSet="Y","with","without")</f>
        <v>with</v>
      </c>
      <c r="K127" s="521" t="str">
        <f>IF(BayesianAdjustSet="Y","adjusted","Unlevered")</f>
        <v>adjusted</v>
      </c>
      <c r="L127" s="143"/>
      <c r="M127" s="1768">
        <v>5</v>
      </c>
      <c r="N127" s="2155" t="s">
        <v>1200</v>
      </c>
      <c r="O127" s="521" t="str">
        <f>IF(BayesianAdjustSet="Y","with","without")</f>
        <v>with</v>
      </c>
      <c r="P127" s="521" t="str">
        <f>IF(BayesianAdjustSet="Y","adjusted","Unlevered")</f>
        <v>adjusted</v>
      </c>
      <c r="Q127" s="143"/>
      <c r="R127" s="1768">
        <v>5</v>
      </c>
      <c r="S127" s="2155" t="s">
        <v>1201</v>
      </c>
      <c r="T127" s="521" t="s">
        <v>1179</v>
      </c>
      <c r="U127" s="521" t="str">
        <f>IF(BayesianAdjustSet="Y","with","without")</f>
        <v>with</v>
      </c>
      <c r="V127" s="143"/>
      <c r="W127" s="1768">
        <v>3</v>
      </c>
      <c r="X127" s="2155" t="s">
        <v>1200</v>
      </c>
      <c r="Y127" s="521" t="str">
        <f>IF(BayesianAdjustSet="Y","with","without")</f>
        <v>with</v>
      </c>
      <c r="Z127" s="521" t="str">
        <f>IF(BayesianAdjustSet="Y","adjusted","Unlevered")</f>
        <v>adjusted</v>
      </c>
      <c r="AA127" s="143"/>
      <c r="AB127" s="2060"/>
      <c r="AC127" s="2060"/>
      <c r="AD127" s="1004"/>
      <c r="AE127" s="2060"/>
      <c r="AF127" s="2060"/>
      <c r="AG127" s="2060"/>
      <c r="AH127" s="2060"/>
      <c r="AI127" s="2060"/>
      <c r="AJ127" s="2060"/>
      <c r="AK127" s="2060"/>
      <c r="AL127" s="2060"/>
      <c r="AM127" s="1779"/>
      <c r="AN127" s="1779"/>
      <c r="AO127" s="2060"/>
      <c r="AP127" s="2060"/>
      <c r="AQ127" s="2060"/>
      <c r="AR127" s="2060"/>
      <c r="AS127" s="2060"/>
      <c r="AT127" s="2060"/>
      <c r="AU127" s="2060"/>
      <c r="AV127" s="2060"/>
      <c r="AW127" s="2060"/>
      <c r="AX127" s="2060"/>
      <c r="AY127" s="2060"/>
      <c r="AZ127" s="2060"/>
      <c r="BA127" s="2060"/>
      <c r="BB127" s="2060"/>
      <c r="BC127" s="2060"/>
      <c r="BD127" s="2060"/>
      <c r="BE127" s="2060"/>
      <c r="BF127" s="2060"/>
      <c r="BG127" s="2060"/>
      <c r="BH127" s="2060"/>
      <c r="BI127" s="2060"/>
      <c r="BJ127" s="2060"/>
      <c r="BK127" s="2060"/>
      <c r="BL127" s="2060"/>
      <c r="BM127" s="2060"/>
      <c r="BN127" s="2060"/>
      <c r="BO127" s="2060"/>
      <c r="BP127" s="2060"/>
      <c r="BQ127" s="2060"/>
      <c r="BR127" s="2060"/>
      <c r="BS127" s="2060"/>
      <c r="BT127" s="2060"/>
      <c r="BU127" s="2060"/>
      <c r="BV127" s="2060"/>
      <c r="BW127" s="2060"/>
      <c r="BX127" s="2060"/>
      <c r="BY127" s="2060"/>
      <c r="BZ127" s="2060"/>
      <c r="CA127" s="2060"/>
      <c r="CB127" s="2060"/>
      <c r="CC127" s="2060"/>
      <c r="CD127" s="2060"/>
      <c r="CE127" s="2060"/>
      <c r="CF127" s="2060"/>
      <c r="CG127" s="2060"/>
      <c r="CH127" s="2060"/>
      <c r="CI127" s="2060"/>
      <c r="CJ127" s="2060"/>
      <c r="CK127" s="2060"/>
      <c r="CL127" s="2060"/>
      <c r="CM127" s="2060"/>
      <c r="CN127" s="2060"/>
      <c r="CO127" s="2060"/>
      <c r="CP127" s="2060"/>
      <c r="CQ127" s="2060"/>
      <c r="CR127" s="2060"/>
      <c r="CS127" s="2060"/>
      <c r="CT127" s="2060"/>
      <c r="CU127" s="2060"/>
      <c r="CV127" s="2060"/>
      <c r="CW127" s="2060"/>
      <c r="CX127" s="2060"/>
      <c r="CY127" s="2060"/>
      <c r="CZ127" s="2060"/>
      <c r="DA127" s="2060"/>
      <c r="DB127" s="2060"/>
      <c r="DC127" s="2060"/>
      <c r="DD127" s="2060"/>
      <c r="DE127" s="2060"/>
      <c r="DF127" s="2060"/>
      <c r="DG127" s="2060"/>
      <c r="DH127" s="2060"/>
      <c r="DI127" s="2060"/>
      <c r="DJ127" s="2060"/>
      <c r="DK127" s="2060"/>
      <c r="DL127" s="2060"/>
      <c r="DM127" s="2060"/>
      <c r="DN127" s="2060"/>
      <c r="DO127" s="2060"/>
      <c r="DP127" s="2060"/>
      <c r="DQ127" s="2060"/>
      <c r="DR127" s="2060"/>
      <c r="DS127" s="2060"/>
      <c r="DT127" s="2060"/>
      <c r="DU127" s="2060"/>
      <c r="DV127" s="2060"/>
      <c r="DW127" s="2060"/>
      <c r="DX127" s="2060"/>
      <c r="DY127" s="2060"/>
      <c r="DZ127" s="2060"/>
      <c r="EA127" s="2060"/>
      <c r="EB127" s="2060"/>
      <c r="EC127" s="2060"/>
      <c r="ED127" s="2060"/>
      <c r="EE127" s="2060"/>
      <c r="EF127" s="2060"/>
      <c r="EG127" s="2060"/>
      <c r="EH127" s="2060"/>
      <c r="EI127" s="2060"/>
      <c r="EJ127" s="2060"/>
      <c r="EK127" s="2060"/>
      <c r="EL127" s="2060"/>
      <c r="EM127" s="2060"/>
      <c r="EN127" s="2060"/>
      <c r="EO127" s="2060"/>
      <c r="EP127" s="2060"/>
      <c r="EQ127" s="2060"/>
      <c r="ER127" s="2060"/>
      <c r="ES127" s="2060"/>
      <c r="ET127" s="2060"/>
      <c r="EU127" s="2060"/>
      <c r="EV127" s="2060"/>
      <c r="EW127" s="2060"/>
      <c r="EX127" s="2060"/>
      <c r="EY127" s="2060"/>
      <c r="EZ127" s="2060"/>
      <c r="FA127" s="2060"/>
      <c r="FB127" s="2060"/>
      <c r="FC127" s="2060"/>
      <c r="FD127" s="2060"/>
      <c r="FE127" s="2060"/>
      <c r="FF127" s="2060"/>
      <c r="FG127" s="2060"/>
      <c r="FH127" s="2060"/>
      <c r="FI127" s="2060"/>
      <c r="FJ127" s="2060"/>
      <c r="FK127" s="2060"/>
      <c r="FL127" s="2060"/>
      <c r="FM127" s="2060"/>
      <c r="FN127" s="2060"/>
      <c r="FO127" s="2060"/>
      <c r="FP127" s="2060"/>
      <c r="FQ127" s="2060"/>
      <c r="FR127" s="2060"/>
      <c r="FS127" s="2060"/>
      <c r="FT127" s="2060"/>
      <c r="FU127" s="2060"/>
      <c r="FV127" s="2060"/>
      <c r="FW127" s="2060"/>
      <c r="FX127" s="2060"/>
      <c r="FY127" s="2060"/>
      <c r="FZ127" s="2060"/>
      <c r="GA127" s="2060"/>
      <c r="GB127" s="2060"/>
      <c r="GC127" s="2060"/>
    </row>
    <row r="128" spans="1:185" customFormat="1">
      <c r="A128" s="1004"/>
      <c r="B128" s="1004"/>
      <c r="C128" s="1502"/>
      <c r="D128" s="445" t="s">
        <v>1202</v>
      </c>
      <c r="E128" s="810" t="s">
        <v>1143</v>
      </c>
      <c r="F128" s="128"/>
      <c r="G128" s="1507" t="s">
        <v>134</v>
      </c>
      <c r="H128" s="259" t="s">
        <v>1179</v>
      </c>
      <c r="I128" s="260" t="s">
        <v>1182</v>
      </c>
      <c r="J128" s="521" t="s">
        <v>1183</v>
      </c>
      <c r="K128" s="521" t="s">
        <v>1184</v>
      </c>
      <c r="L128" s="141" t="s">
        <v>1203</v>
      </c>
      <c r="M128" s="144" t="s">
        <v>1179</v>
      </c>
      <c r="N128" s="130" t="s">
        <v>1182</v>
      </c>
      <c r="O128" s="521" t="s">
        <v>1183</v>
      </c>
      <c r="P128" s="521" t="s">
        <v>1184</v>
      </c>
      <c r="Q128" s="141" t="s">
        <v>1203</v>
      </c>
      <c r="R128" s="144" t="s">
        <v>1179</v>
      </c>
      <c r="S128" s="130" t="s">
        <v>1182</v>
      </c>
      <c r="T128" s="521" t="str">
        <f>IF(BayesianAdjustSet="Y","with Bayesian adj","no Bayesian adj")</f>
        <v>with Bayesian adj</v>
      </c>
      <c r="U128" s="521" t="s">
        <v>1183</v>
      </c>
      <c r="V128" s="141" t="s">
        <v>1203</v>
      </c>
      <c r="W128" s="144" t="s">
        <v>1179</v>
      </c>
      <c r="X128" s="130" t="s">
        <v>1182</v>
      </c>
      <c r="Y128" s="521" t="s">
        <v>1183</v>
      </c>
      <c r="Z128" s="521" t="s">
        <v>1184</v>
      </c>
      <c r="AA128" s="141" t="s">
        <v>1203</v>
      </c>
      <c r="AB128" s="2060"/>
      <c r="AC128" s="2060"/>
      <c r="AD128" s="1004"/>
      <c r="AE128" s="2060"/>
      <c r="AF128" s="2060"/>
      <c r="AG128" s="2060"/>
      <c r="AH128" s="2060"/>
      <c r="AI128" s="2060"/>
      <c r="AJ128" s="2060"/>
      <c r="AK128" s="2060"/>
      <c r="AL128" s="2060"/>
      <c r="AM128" s="1779"/>
      <c r="AN128" s="1779"/>
      <c r="AO128" s="2060"/>
      <c r="AP128" s="2060"/>
      <c r="AQ128" s="2060"/>
      <c r="AR128" s="2060"/>
      <c r="AS128" s="2060"/>
      <c r="AT128" s="2060"/>
      <c r="AU128" s="2060"/>
      <c r="AV128" s="2060"/>
      <c r="AW128" s="2060"/>
      <c r="AX128" s="2060"/>
      <c r="AY128" s="2060"/>
      <c r="AZ128" s="2060"/>
      <c r="BA128" s="2060"/>
      <c r="BB128" s="2060"/>
      <c r="BC128" s="2060"/>
      <c r="BD128" s="2060"/>
      <c r="BE128" s="2060"/>
      <c r="BF128" s="2060"/>
      <c r="BG128" s="2060"/>
      <c r="BH128" s="2060"/>
      <c r="BI128" s="2060"/>
      <c r="BJ128" s="2060"/>
      <c r="BK128" s="2060"/>
      <c r="BL128" s="2060"/>
      <c r="BM128" s="2060"/>
      <c r="BN128" s="2060"/>
      <c r="BO128" s="2060"/>
      <c r="BP128" s="2060"/>
      <c r="BQ128" s="2060"/>
      <c r="BR128" s="2060"/>
      <c r="BS128" s="2060"/>
      <c r="BT128" s="2060"/>
      <c r="BU128" s="2060"/>
      <c r="BV128" s="2060"/>
      <c r="BW128" s="2060"/>
      <c r="BX128" s="2060"/>
      <c r="BY128" s="2060"/>
      <c r="BZ128" s="2060"/>
      <c r="CA128" s="2060"/>
      <c r="CB128" s="2060"/>
      <c r="CC128" s="2060"/>
      <c r="CD128" s="2060"/>
      <c r="CE128" s="2060"/>
      <c r="CF128" s="2060"/>
      <c r="CG128" s="2060"/>
      <c r="CH128" s="2060"/>
      <c r="CI128" s="2060"/>
      <c r="CJ128" s="2060"/>
      <c r="CK128" s="2060"/>
      <c r="CL128" s="2060"/>
      <c r="CM128" s="2060"/>
      <c r="CN128" s="2060"/>
      <c r="CO128" s="2060"/>
      <c r="CP128" s="2060"/>
      <c r="CQ128" s="2060"/>
      <c r="CR128" s="2060"/>
      <c r="CS128" s="2060"/>
      <c r="CT128" s="2060"/>
      <c r="CU128" s="2060"/>
      <c r="CV128" s="2060"/>
      <c r="CW128" s="2060"/>
      <c r="CX128" s="2060"/>
      <c r="CY128" s="2060"/>
      <c r="CZ128" s="2060"/>
      <c r="DA128" s="2060"/>
      <c r="DB128" s="2060"/>
      <c r="DC128" s="2060"/>
      <c r="DD128" s="2060"/>
      <c r="DE128" s="2060"/>
      <c r="DF128" s="2060"/>
      <c r="DG128" s="2060"/>
      <c r="DH128" s="2060"/>
      <c r="DI128" s="2060"/>
      <c r="DJ128" s="2060"/>
      <c r="DK128" s="2060"/>
      <c r="DL128" s="2060"/>
      <c r="DM128" s="2060"/>
      <c r="DN128" s="2060"/>
      <c r="DO128" s="2060"/>
      <c r="DP128" s="2060"/>
      <c r="DQ128" s="2060"/>
      <c r="DR128" s="2060"/>
      <c r="DS128" s="2060"/>
      <c r="DT128" s="2060"/>
      <c r="DU128" s="2060"/>
      <c r="DV128" s="2060"/>
      <c r="DW128" s="2060"/>
      <c r="DX128" s="2060"/>
      <c r="DY128" s="2060"/>
      <c r="DZ128" s="2060"/>
      <c r="EA128" s="2060"/>
      <c r="EB128" s="2060"/>
      <c r="EC128" s="2060"/>
      <c r="ED128" s="2060"/>
      <c r="EE128" s="2060"/>
      <c r="EF128" s="2060"/>
      <c r="EG128" s="2060"/>
      <c r="EH128" s="2060"/>
      <c r="EI128" s="2060"/>
      <c r="EJ128" s="2060"/>
      <c r="EK128" s="2060"/>
      <c r="EL128" s="2060"/>
      <c r="EM128" s="2060"/>
      <c r="EN128" s="2060"/>
      <c r="EO128" s="2060"/>
      <c r="EP128" s="2060"/>
      <c r="EQ128" s="2060"/>
      <c r="ER128" s="2060"/>
      <c r="ES128" s="2060"/>
      <c r="ET128" s="2060"/>
      <c r="EU128" s="2060"/>
      <c r="EV128" s="2060"/>
      <c r="EW128" s="2060"/>
      <c r="EX128" s="2060"/>
      <c r="EY128" s="2060"/>
      <c r="EZ128" s="2060"/>
      <c r="FA128" s="2060"/>
      <c r="FB128" s="2060"/>
      <c r="FC128" s="2060"/>
      <c r="FD128" s="2060"/>
      <c r="FE128" s="2060"/>
      <c r="FF128" s="2060"/>
      <c r="FG128" s="2060"/>
      <c r="FH128" s="2060"/>
      <c r="FI128" s="2060"/>
      <c r="FJ128" s="2060"/>
      <c r="FK128" s="2060"/>
      <c r="FL128" s="2060"/>
      <c r="FM128" s="2060"/>
      <c r="FN128" s="2060"/>
      <c r="FO128" s="2060"/>
      <c r="FP128" s="2060"/>
      <c r="FQ128" s="2060"/>
      <c r="FR128" s="2060"/>
      <c r="FS128" s="2060"/>
      <c r="FT128" s="2060"/>
      <c r="FU128" s="2060"/>
      <c r="FV128" s="2060"/>
      <c r="FW128" s="2060"/>
      <c r="FX128" s="2060"/>
      <c r="FY128" s="2060"/>
      <c r="FZ128" s="2060"/>
      <c r="GA128" s="2060"/>
      <c r="GB128" s="2060"/>
      <c r="GC128" s="2060"/>
    </row>
    <row r="129" spans="1:185" customFormat="1">
      <c r="A129" s="1632" t="str">
        <f t="shared" ref="A129:A153" si="14">IF(E129="--","n","")</f>
        <v>n</v>
      </c>
      <c r="B129" s="1004"/>
      <c r="C129" s="1502"/>
      <c r="D129" s="2229"/>
      <c r="E129" s="623" t="str">
        <f>'DATA GPC'!E20</f>
        <v>--</v>
      </c>
      <c r="F129" s="1773"/>
      <c r="G129" s="1504" t="str">
        <f>IF(E129="--","--",'DATA GPC'!G20)</f>
        <v>--</v>
      </c>
      <c r="H129" s="1350" t="str">
        <f>IF($G129="--","--",_xll.ciqfunctions.udf.CIQ($G129,"IQ_CUSTOM_BETA",_xll.ciqfunctions.udf.CIQ('DATA GPC'!$S20,"IQ_PRICEDATE",EDATE(Valuation_date,-B1Yrs*12)),Valuation_date,IF(B1Freq="Weekly","W","M"),'DATA GPC'!$S20))</f>
        <v>--</v>
      </c>
      <c r="I129" s="1350" t="str">
        <f>IF($G129="--","--",_xll.ciqfunctions.udf.CIQ($G129,"IQ_CUSTOM_BETA_RSQ",_xll.ciqfunctions.udf.CIQ('DATA GPC'!$S20,"IQ_PRICEDATE",EDATE(Valuation_date,-B1Yrs*12)),Valuation_date,IF(B1Freq="Weekly","W","M"),'DATA GPC'!$S20))</f>
        <v>--</v>
      </c>
      <c r="J129" s="2230" t="str">
        <f t="shared" ref="J129:J153" si="15">IFERROR(IF(BayesianAdjustSet="Y",H129*2/3+1/3,H129),"--")</f>
        <v>--</v>
      </c>
      <c r="K129" s="2230" t="str">
        <f t="shared" ref="K129:K153" si="16">IF($G129="--","--",IFERROR(J129/(1+IF(DebtSettingBeta="Debt/Mkt Eq floor at zero",MAX($J49,0),$J49)*(1-IF(UnLeverTaxRate="Y",$P49,0))),"n/a"))</f>
        <v>--</v>
      </c>
      <c r="L129" s="1776" t="str">
        <f>IF(OR($G129="--",H129="#NA"),"--",_xll.ciqfunctions.udf.CIQ($G129,"IQ_CUSTOM_BETA_DATA_POINTS",_xll.ciqfunctions.udf.CIQ('DATA GPC'!$S20,"IQ_PRICEDATE",EDATE(Valuation_date,-B1Yrs*12)),Valuation_date,IF(B1Freq="Weekly","W","M"),'DATA GPC'!$S20))</f>
        <v>--</v>
      </c>
      <c r="M129" s="2231" t="str">
        <f>IF($G129="--","--",_xll.ciqfunctions.udf.CIQ($G129,"IQ_CUSTOM_BETA",_xll.ciqfunctions.udf.CIQ('DATA GPC'!$S20,"IQ_PRICEDATE",EDATE(Valuation_date,-B2Yrs*12)),Valuation_date,IF(B2Freq="Weekly","W","M"),'DATA GPC'!$S20))</f>
        <v>--</v>
      </c>
      <c r="N129" s="1350" t="str">
        <f>IF($G129="--","--",_xll.ciqfunctions.udf.CIQ($G129,"IQ_CUSTOM_BETA_RSQ",_xll.ciqfunctions.udf.CIQ('DATA GPC'!$S20,"IQ_PRICEDATE",EDATE(Valuation_date,-B2Yrs*12)),Valuation_date,IF(B2Freq="Weekly","W","M"),'DATA GPC'!$S20))</f>
        <v>--</v>
      </c>
      <c r="O129" s="2230" t="str">
        <f t="shared" ref="O129:O153" si="17">IFERROR(IF(BayesianAdjustSet="Y",M129*2/3+1/3,M129),"--")</f>
        <v>--</v>
      </c>
      <c r="P129" s="2230" t="str">
        <f t="shared" ref="P129:P153" si="18">IF($G129="--","--",IFERROR(O129/(1+IF(DebtSettingBeta="Debt/Mkt Eq floor at zero",MAX($J49,0),$J49)*(1-IF(UnLeverTaxRate="Y",$P49,0))),"n/a"))</f>
        <v>--</v>
      </c>
      <c r="Q129" s="1776" t="str">
        <f>IF(OR($G129="--",M129="#NA"),"--",_xll.ciqfunctions.udf.CIQ($G129,"IQ_CUSTOM_BETA_DATA_POINTS",_xll.ciqfunctions.udf.CIQ('DATA GPC'!$S20,"IQ_PRICEDATE",EDATE(Valuation_date,-B2Yrs*12)),Valuation_date,IF(B2Freq="Weekly","W","M"),'DATA GPC'!$S20))</f>
        <v>--</v>
      </c>
      <c r="R129" s="2231" t="str">
        <f>IF($G129="--","--",_xll.ciqfunctions.udf.CIQ($G129,"IQ_CUSTOM_BETA",_xll.ciqfunctions.udf.CIQ('DATA GPC'!$S20,"IQ_PRICEDATE",EDATE(Valuation_date,-B3Yrs*12)),Valuation_date,IF(B3Freq="Weekly","W","M"),'DATA GPC'!$S20))</f>
        <v>--</v>
      </c>
      <c r="S129" s="1350" t="str">
        <f>IF($G129="--","--",_xll.ciqfunctions.udf.CIQ($G129,"IQ_CUSTOM_BETA_RSQ",_xll.ciqfunctions.udf.CIQ('DATA GPC'!$S20,"IQ_PRICEDATE",EDATE(Valuation_date,-B3Yrs*12)),Valuation_date,IF(B3Freq="Weekly","W","M"),'DATA GPC'!$S20))</f>
        <v>--</v>
      </c>
      <c r="T129" s="2230" t="str">
        <f t="shared" ref="T129:T153" si="19">IFERROR(IF(BayesianAdjustSet="Y",R129*2/3+1/3,R129),"--")</f>
        <v>--</v>
      </c>
      <c r="U129" s="2230" t="str">
        <f t="shared" ref="U129:U153" si="20">IF($G129="--","--",IFERROR(T129/(1+IF(DebtSettingBeta="Debt/Mkt Eq floor at zero",MAX($J49,0),$J49)*(1-IF(UnLeverTaxRate="Y",$P49,0))),"n/a"))</f>
        <v>--</v>
      </c>
      <c r="V129" s="1776" t="str">
        <f>IF(OR($G129="--",R129="#NA"),"--",_xll.ciqfunctions.udf.CIQ($G129,"IQ_CUSTOM_BETA_DATA_POINTS",_xll.ciqfunctions.udf.CIQ('DATA GPC'!$S20,"IQ_PRICEDATE",EDATE(Valuation_date,-B3Yrs*12)),Valuation_date,IF(B3Freq="Weekly","W","M"),'DATA GPC'!$S20))</f>
        <v>--</v>
      </c>
      <c r="W129" s="2231" t="str">
        <f>IF($G129="--","--",_xll.ciqfunctions.udf.CIQ($G129,"IQ_CUSTOM_BETA",_xll.ciqfunctions.udf.CIQ('DATA GPC'!$S20,"IQ_PRICEDATE",EDATE(Valuation_date,-B4Yrs*12)),Valuation_date,IF(B4Freq="Weekly","W","M"),'DATA GPC'!$S20))</f>
        <v>--</v>
      </c>
      <c r="X129" s="1350" t="str">
        <f>IF($G129="--","--",_xll.ciqfunctions.udf.CIQ($G129,"IQ_CUSTOM_BETA_RSQ",_xll.ciqfunctions.udf.CIQ('DATA GPC'!$S20,"IQ_PRICEDATE",EDATE(Valuation_date,-B4Yrs*12)),Valuation_date,IF(B4Freq="Weekly","W","M"),'DATA GPC'!$S20))</f>
        <v>--</v>
      </c>
      <c r="Y129" s="2230" t="str">
        <f t="shared" ref="Y129:Y153" si="21">IFERROR(IF(BayesianAdjustSet="Y",W129*2/3+1/3,W129),"--")</f>
        <v>--</v>
      </c>
      <c r="Z129" s="2230" t="str">
        <f t="shared" ref="Z129:Z153" si="22">IF($G129="--","--",IFERROR(Y129/(1+IF(DebtSettingBeta="Debt/Mkt Eq floor at zero",MAX($J49,0),$J49)*(1-IF(UnLeverTaxRate="Y",$P49,0))),"n/a"))</f>
        <v>--</v>
      </c>
      <c r="AA129" s="1776" t="str">
        <f>IF(OR($G129="--",W129="#NA"),"--",_xll.ciqfunctions.udf.CIQ($G129,"IQ_CUSTOM_BETA_DATA_POINTS",_xll.ciqfunctions.udf.CIQ('DATA GPC'!$S20,"IQ_PRICEDATE",EDATE(Valuation_date,-B4Yrs*12)),Valuation_date,IF(B4Freq="Weekly","W","M"),'DATA GPC'!$S20))</f>
        <v>--</v>
      </c>
      <c r="AB129" s="2060"/>
      <c r="AC129" s="2060"/>
      <c r="AD129" s="1004"/>
      <c r="AE129" s="2060"/>
      <c r="AF129" s="2060"/>
      <c r="AG129" s="2060"/>
      <c r="AH129" s="2060"/>
      <c r="AI129" s="2060"/>
      <c r="AJ129" s="2060"/>
      <c r="AK129" s="2060"/>
      <c r="AL129" s="2060"/>
      <c r="AM129" s="1779"/>
      <c r="AN129" s="1779"/>
      <c r="AO129" s="2060"/>
      <c r="AP129" s="2060"/>
      <c r="AQ129" s="2060"/>
      <c r="AR129" s="2060"/>
      <c r="AS129" s="2060"/>
      <c r="AT129" s="2060"/>
      <c r="AU129" s="2060"/>
      <c r="AV129" s="2060"/>
      <c r="AW129" s="2060"/>
      <c r="AX129" s="2060"/>
      <c r="AY129" s="2060"/>
      <c r="AZ129" s="2060"/>
      <c r="BA129" s="2060"/>
      <c r="BB129" s="2060"/>
      <c r="BC129" s="2060"/>
      <c r="BD129" s="2060"/>
      <c r="BE129" s="2060"/>
      <c r="BF129" s="2060"/>
      <c r="BG129" s="2060"/>
      <c r="BH129" s="2060"/>
      <c r="BI129" s="2060"/>
      <c r="BJ129" s="2060"/>
      <c r="BK129" s="2060"/>
      <c r="BL129" s="2060"/>
      <c r="BM129" s="2060"/>
      <c r="BN129" s="2060"/>
      <c r="BO129" s="2060"/>
      <c r="BP129" s="2060"/>
      <c r="BQ129" s="2060"/>
      <c r="BR129" s="2060"/>
      <c r="BS129" s="2060"/>
      <c r="BT129" s="2060"/>
      <c r="BU129" s="2060"/>
      <c r="BV129" s="2060"/>
      <c r="BW129" s="2060"/>
      <c r="BX129" s="2060"/>
      <c r="BY129" s="2060"/>
      <c r="BZ129" s="2060"/>
      <c r="CA129" s="2060"/>
      <c r="CB129" s="2060"/>
      <c r="CC129" s="2060"/>
      <c r="CD129" s="2060"/>
      <c r="CE129" s="2060"/>
      <c r="CF129" s="2060"/>
      <c r="CG129" s="2060"/>
      <c r="CH129" s="2060"/>
      <c r="CI129" s="2060"/>
      <c r="CJ129" s="2060"/>
      <c r="CK129" s="2060"/>
      <c r="CL129" s="2060"/>
      <c r="CM129" s="2060"/>
      <c r="CN129" s="2060"/>
      <c r="CO129" s="2060"/>
      <c r="CP129" s="2060"/>
      <c r="CQ129" s="2060"/>
      <c r="CR129" s="2060"/>
      <c r="CS129" s="2060"/>
      <c r="CT129" s="2060"/>
      <c r="CU129" s="2060"/>
      <c r="CV129" s="2060"/>
      <c r="CW129" s="2060"/>
      <c r="CX129" s="2060"/>
      <c r="CY129" s="2060"/>
      <c r="CZ129" s="2060"/>
      <c r="DA129" s="2060"/>
      <c r="DB129" s="2060"/>
      <c r="DC129" s="2060"/>
      <c r="DD129" s="2060"/>
      <c r="DE129" s="2060"/>
      <c r="DF129" s="2060"/>
      <c r="DG129" s="2060"/>
      <c r="DH129" s="2060"/>
      <c r="DI129" s="2060"/>
      <c r="DJ129" s="2060"/>
      <c r="DK129" s="2060"/>
      <c r="DL129" s="2060"/>
      <c r="DM129" s="2060"/>
      <c r="DN129" s="2060"/>
      <c r="DO129" s="2060"/>
      <c r="DP129" s="2060"/>
      <c r="DQ129" s="2060"/>
      <c r="DR129" s="2060"/>
      <c r="DS129" s="2060"/>
      <c r="DT129" s="2060"/>
      <c r="DU129" s="2060"/>
      <c r="DV129" s="2060"/>
      <c r="DW129" s="2060"/>
      <c r="DX129" s="2060"/>
      <c r="DY129" s="2060"/>
      <c r="DZ129" s="2060"/>
      <c r="EA129" s="2060"/>
      <c r="EB129" s="2060"/>
      <c r="EC129" s="2060"/>
      <c r="ED129" s="2060"/>
      <c r="EE129" s="2060"/>
      <c r="EF129" s="2060"/>
      <c r="EG129" s="2060"/>
      <c r="EH129" s="2060"/>
      <c r="EI129" s="2060"/>
      <c r="EJ129" s="2060"/>
      <c r="EK129" s="2060"/>
      <c r="EL129" s="2060"/>
      <c r="EM129" s="2060"/>
      <c r="EN129" s="2060"/>
      <c r="EO129" s="2060"/>
      <c r="EP129" s="2060"/>
      <c r="EQ129" s="2060"/>
      <c r="ER129" s="2060"/>
      <c r="ES129" s="2060"/>
      <c r="ET129" s="2060"/>
      <c r="EU129" s="2060"/>
      <c r="EV129" s="2060"/>
      <c r="EW129" s="2060"/>
      <c r="EX129" s="2060"/>
      <c r="EY129" s="2060"/>
      <c r="EZ129" s="2060"/>
      <c r="FA129" s="2060"/>
      <c r="FB129" s="2060"/>
      <c r="FC129" s="2060"/>
      <c r="FD129" s="2060"/>
      <c r="FE129" s="2060"/>
      <c r="FF129" s="2060"/>
      <c r="FG129" s="2060"/>
      <c r="FH129" s="2060"/>
      <c r="FI129" s="2060"/>
      <c r="FJ129" s="2060"/>
      <c r="FK129" s="2060"/>
      <c r="FL129" s="2060"/>
      <c r="FM129" s="2060"/>
      <c r="FN129" s="2060"/>
      <c r="FO129" s="2060"/>
      <c r="FP129" s="2060"/>
      <c r="FQ129" s="2060"/>
      <c r="FR129" s="2060"/>
      <c r="FS129" s="2060"/>
      <c r="FT129" s="2060"/>
      <c r="FU129" s="2060"/>
      <c r="FV129" s="2060"/>
      <c r="FW129" s="2060"/>
      <c r="FX129" s="2060"/>
      <c r="FY129" s="2060"/>
      <c r="FZ129" s="2060"/>
      <c r="GA129" s="2060"/>
      <c r="GB129" s="2060"/>
      <c r="GC129" s="2060"/>
    </row>
    <row r="130" spans="1:185" customFormat="1">
      <c r="A130" s="1632" t="str">
        <f t="shared" si="14"/>
        <v>n</v>
      </c>
      <c r="B130" s="1004"/>
      <c r="C130" s="1502"/>
      <c r="D130" s="2229"/>
      <c r="E130" s="623" t="str">
        <f>'DATA GPC'!E21</f>
        <v>--</v>
      </c>
      <c r="F130" s="1774"/>
      <c r="G130" s="1504" t="str">
        <f>IF(E130="--","--",'DATA GPC'!G21)</f>
        <v>--</v>
      </c>
      <c r="H130" s="1350" t="str">
        <f>IF($G130="--","--",_xll.ciqfunctions.udf.CIQ($G130,"IQ_CUSTOM_BETA",_xll.ciqfunctions.udf.CIQ('DATA GPC'!$S21,"IQ_PRICEDATE",EDATE(Valuation_date,-B1Yrs*12)),Valuation_date,IF(B1Freq="Weekly","W","M"),'DATA GPC'!$S21))</f>
        <v>--</v>
      </c>
      <c r="I130" s="1350" t="str">
        <f>IF($G130="--","--",_xll.ciqfunctions.udf.CIQ($G130,"IQ_CUSTOM_BETA_RSQ",_xll.ciqfunctions.udf.CIQ('DATA GPC'!$S21,"IQ_PRICEDATE",EDATE(Valuation_date,-B1Yrs*12)),Valuation_date,IF(B1Freq="Weekly","W","M"),'DATA GPC'!$S21))</f>
        <v>--</v>
      </c>
      <c r="J130" s="2230" t="str">
        <f t="shared" si="15"/>
        <v>--</v>
      </c>
      <c r="K130" s="2230" t="str">
        <f t="shared" si="16"/>
        <v>--</v>
      </c>
      <c r="L130" s="1776" t="str">
        <f>IF(OR($G130="--",H130="#NA"),"--",_xll.ciqfunctions.udf.CIQ($G130,"IQ_CUSTOM_BETA_DATA_POINTS",_xll.ciqfunctions.udf.CIQ('DATA GPC'!$S21,"IQ_PRICEDATE",EDATE(Valuation_date,-B1Yrs*12)),Valuation_date,IF(B1Freq="Weekly","W","M"),'DATA GPC'!$S21))</f>
        <v>--</v>
      </c>
      <c r="M130" s="2231" t="str">
        <f>IF($G130="--","--",_xll.ciqfunctions.udf.CIQ($G130,"IQ_CUSTOM_BETA",_xll.ciqfunctions.udf.CIQ('DATA GPC'!$S21,"IQ_PRICEDATE",EDATE(Valuation_date,-B2Yrs*12)),Valuation_date,IF(B2Freq="Weekly","W","M"),'DATA GPC'!$S21))</f>
        <v>--</v>
      </c>
      <c r="N130" s="1350" t="str">
        <f>IF($G130="--","--",_xll.ciqfunctions.udf.CIQ($G130,"IQ_CUSTOM_BETA_RSQ",_xll.ciqfunctions.udf.CIQ('DATA GPC'!$S21,"IQ_PRICEDATE",EDATE(Valuation_date,-B2Yrs*12)),Valuation_date,IF(B2Freq="Weekly","W","M"),'DATA GPC'!$S21))</f>
        <v>--</v>
      </c>
      <c r="O130" s="2230" t="str">
        <f t="shared" si="17"/>
        <v>--</v>
      </c>
      <c r="P130" s="2230" t="str">
        <f t="shared" si="18"/>
        <v>--</v>
      </c>
      <c r="Q130" s="1776" t="str">
        <f>IF(OR($G130="--",M130="#NA"),"--",_xll.ciqfunctions.udf.CIQ($G130,"IQ_CUSTOM_BETA_DATA_POINTS",_xll.ciqfunctions.udf.CIQ('DATA GPC'!$S21,"IQ_PRICEDATE",EDATE(Valuation_date,-B2Yrs*12)),Valuation_date,IF(B2Freq="Weekly","W","M"),'DATA GPC'!$S21))</f>
        <v>--</v>
      </c>
      <c r="R130" s="2231" t="str">
        <f>IF($G130="--","--",_xll.ciqfunctions.udf.CIQ($G130,"IQ_CUSTOM_BETA",_xll.ciqfunctions.udf.CIQ('DATA GPC'!$S21,"IQ_PRICEDATE",EDATE(Valuation_date,-B3Yrs*12)),Valuation_date,IF(B3Freq="Weekly","W","M"),'DATA GPC'!$S21))</f>
        <v>--</v>
      </c>
      <c r="S130" s="1350" t="str">
        <f>IF($G130="--","--",_xll.ciqfunctions.udf.CIQ($G130,"IQ_CUSTOM_BETA_RSQ",_xll.ciqfunctions.udf.CIQ('DATA GPC'!$S21,"IQ_PRICEDATE",EDATE(Valuation_date,-B3Yrs*12)),Valuation_date,IF(B3Freq="Weekly","W","M"),'DATA GPC'!$S21))</f>
        <v>--</v>
      </c>
      <c r="T130" s="2230" t="str">
        <f t="shared" si="19"/>
        <v>--</v>
      </c>
      <c r="U130" s="2230" t="str">
        <f t="shared" si="20"/>
        <v>--</v>
      </c>
      <c r="V130" s="1776" t="str">
        <f>IF(OR($G130="--",R130="#NA"),"--",_xll.ciqfunctions.udf.CIQ($G130,"IQ_CUSTOM_BETA_DATA_POINTS",_xll.ciqfunctions.udf.CIQ('DATA GPC'!$S21,"IQ_PRICEDATE",EDATE(Valuation_date,-B3Yrs*12)),Valuation_date,IF(B3Freq="Weekly","W","M"),'DATA GPC'!$S21))</f>
        <v>--</v>
      </c>
      <c r="W130" s="2231" t="str">
        <f>IF($G130="--","--",_xll.ciqfunctions.udf.CIQ($G130,"IQ_CUSTOM_BETA",_xll.ciqfunctions.udf.CIQ('DATA GPC'!$S21,"IQ_PRICEDATE",EDATE(Valuation_date,-B4Yrs*12)),Valuation_date,IF(B4Freq="Weekly","W","M"),'DATA GPC'!$S21))</f>
        <v>--</v>
      </c>
      <c r="X130" s="1350" t="str">
        <f>IF($G130="--","--",_xll.ciqfunctions.udf.CIQ($G130,"IQ_CUSTOM_BETA_RSQ",_xll.ciqfunctions.udf.CIQ('DATA GPC'!$S21,"IQ_PRICEDATE",EDATE(Valuation_date,-B4Yrs*12)),Valuation_date,IF(B4Freq="Weekly","W","M"),'DATA GPC'!$S21))</f>
        <v>--</v>
      </c>
      <c r="Y130" s="2230" t="str">
        <f t="shared" si="21"/>
        <v>--</v>
      </c>
      <c r="Z130" s="2230" t="str">
        <f t="shared" si="22"/>
        <v>--</v>
      </c>
      <c r="AA130" s="1776" t="str">
        <f>IF(OR($G130="--",W130="#NA"),"--",_xll.ciqfunctions.udf.CIQ($G130,"IQ_CUSTOM_BETA_DATA_POINTS",_xll.ciqfunctions.udf.CIQ('DATA GPC'!$S21,"IQ_PRICEDATE",EDATE(Valuation_date,-B4Yrs*12)),Valuation_date,IF(B4Freq="Weekly","W","M"),'DATA GPC'!$S21))</f>
        <v>--</v>
      </c>
      <c r="AB130" s="2060"/>
      <c r="AC130" s="2060"/>
      <c r="AD130" s="1004"/>
      <c r="AE130" s="2060"/>
      <c r="AF130" s="2060"/>
      <c r="AG130" s="2060"/>
      <c r="AH130" s="2060"/>
      <c r="AI130" s="2060"/>
      <c r="AJ130" s="2060"/>
      <c r="AK130" s="2060"/>
      <c r="AL130" s="2060"/>
      <c r="AM130" s="1779"/>
      <c r="AN130" s="1779"/>
      <c r="AO130" s="2060"/>
      <c r="AP130" s="2060"/>
      <c r="AQ130" s="2060"/>
      <c r="AR130" s="2060"/>
      <c r="AS130" s="2060"/>
      <c r="AT130" s="2060"/>
      <c r="AU130" s="2060"/>
      <c r="AV130" s="2060"/>
      <c r="AW130" s="2060"/>
      <c r="AX130" s="2060"/>
      <c r="AY130" s="2060"/>
      <c r="AZ130" s="2060"/>
      <c r="BA130" s="2060"/>
      <c r="BB130" s="2060"/>
      <c r="BC130" s="2060"/>
      <c r="BD130" s="2060"/>
      <c r="BE130" s="2060"/>
      <c r="BF130" s="2060"/>
      <c r="BG130" s="2060"/>
      <c r="BH130" s="2060"/>
      <c r="BI130" s="2060"/>
      <c r="BJ130" s="2060"/>
      <c r="BK130" s="2060"/>
      <c r="BL130" s="2060"/>
      <c r="BM130" s="2060"/>
      <c r="BN130" s="2060"/>
      <c r="BO130" s="2060"/>
      <c r="BP130" s="2060"/>
      <c r="BQ130" s="2060"/>
      <c r="BR130" s="2060"/>
      <c r="BS130" s="2060"/>
      <c r="BT130" s="2060"/>
      <c r="BU130" s="2060"/>
      <c r="BV130" s="2060"/>
      <c r="BW130" s="2060"/>
      <c r="BX130" s="2060"/>
      <c r="BY130" s="2060"/>
      <c r="BZ130" s="2060"/>
      <c r="CA130" s="2060"/>
      <c r="CB130" s="2060"/>
      <c r="CC130" s="2060"/>
      <c r="CD130" s="2060"/>
      <c r="CE130" s="2060"/>
      <c r="CF130" s="2060"/>
      <c r="CG130" s="2060"/>
      <c r="CH130" s="2060"/>
      <c r="CI130" s="2060"/>
      <c r="CJ130" s="2060"/>
      <c r="CK130" s="2060"/>
      <c r="CL130" s="2060"/>
      <c r="CM130" s="2060"/>
      <c r="CN130" s="2060"/>
      <c r="CO130" s="2060"/>
      <c r="CP130" s="2060"/>
      <c r="CQ130" s="2060"/>
      <c r="CR130" s="2060"/>
      <c r="CS130" s="2060"/>
      <c r="CT130" s="2060"/>
      <c r="CU130" s="2060"/>
      <c r="CV130" s="2060"/>
      <c r="CW130" s="2060"/>
      <c r="CX130" s="2060"/>
      <c r="CY130" s="2060"/>
      <c r="CZ130" s="2060"/>
      <c r="DA130" s="2060"/>
      <c r="DB130" s="2060"/>
      <c r="DC130" s="2060"/>
      <c r="DD130" s="2060"/>
      <c r="DE130" s="2060"/>
      <c r="DF130" s="2060"/>
      <c r="DG130" s="2060"/>
      <c r="DH130" s="2060"/>
      <c r="DI130" s="2060"/>
      <c r="DJ130" s="2060"/>
      <c r="DK130" s="2060"/>
      <c r="DL130" s="2060"/>
      <c r="DM130" s="2060"/>
      <c r="DN130" s="2060"/>
      <c r="DO130" s="2060"/>
      <c r="DP130" s="2060"/>
      <c r="DQ130" s="2060"/>
      <c r="DR130" s="2060"/>
      <c r="DS130" s="2060"/>
      <c r="DT130" s="2060"/>
      <c r="DU130" s="2060"/>
      <c r="DV130" s="2060"/>
      <c r="DW130" s="2060"/>
      <c r="DX130" s="2060"/>
      <c r="DY130" s="2060"/>
      <c r="DZ130" s="2060"/>
      <c r="EA130" s="2060"/>
      <c r="EB130" s="2060"/>
      <c r="EC130" s="2060"/>
      <c r="ED130" s="2060"/>
      <c r="EE130" s="2060"/>
      <c r="EF130" s="2060"/>
      <c r="EG130" s="2060"/>
      <c r="EH130" s="2060"/>
      <c r="EI130" s="2060"/>
      <c r="EJ130" s="2060"/>
      <c r="EK130" s="2060"/>
      <c r="EL130" s="2060"/>
      <c r="EM130" s="2060"/>
      <c r="EN130" s="2060"/>
      <c r="EO130" s="2060"/>
      <c r="EP130" s="2060"/>
      <c r="EQ130" s="2060"/>
      <c r="ER130" s="2060"/>
      <c r="ES130" s="2060"/>
      <c r="ET130" s="2060"/>
      <c r="EU130" s="2060"/>
      <c r="EV130" s="2060"/>
      <c r="EW130" s="2060"/>
      <c r="EX130" s="2060"/>
      <c r="EY130" s="2060"/>
      <c r="EZ130" s="2060"/>
      <c r="FA130" s="2060"/>
      <c r="FB130" s="2060"/>
      <c r="FC130" s="2060"/>
      <c r="FD130" s="2060"/>
      <c r="FE130" s="2060"/>
      <c r="FF130" s="2060"/>
      <c r="FG130" s="2060"/>
      <c r="FH130" s="2060"/>
      <c r="FI130" s="2060"/>
      <c r="FJ130" s="2060"/>
      <c r="FK130" s="2060"/>
      <c r="FL130" s="2060"/>
      <c r="FM130" s="2060"/>
      <c r="FN130" s="2060"/>
      <c r="FO130" s="2060"/>
      <c r="FP130" s="2060"/>
      <c r="FQ130" s="2060"/>
      <c r="FR130" s="2060"/>
      <c r="FS130" s="2060"/>
      <c r="FT130" s="2060"/>
      <c r="FU130" s="2060"/>
      <c r="FV130" s="2060"/>
      <c r="FW130" s="2060"/>
      <c r="FX130" s="2060"/>
      <c r="FY130" s="2060"/>
      <c r="FZ130" s="2060"/>
      <c r="GA130" s="2060"/>
      <c r="GB130" s="2060"/>
      <c r="GC130" s="2060"/>
    </row>
    <row r="131" spans="1:185" customFormat="1">
      <c r="A131" s="1632" t="str">
        <f t="shared" si="14"/>
        <v>n</v>
      </c>
      <c r="B131" s="1004"/>
      <c r="C131" s="1502"/>
      <c r="D131" s="2229"/>
      <c r="E131" s="623" t="str">
        <f>'DATA GPC'!E22</f>
        <v>--</v>
      </c>
      <c r="F131" s="128"/>
      <c r="G131" s="1504" t="str">
        <f>IF(E131="--","--",'DATA GPC'!G22)</f>
        <v>--</v>
      </c>
      <c r="H131" s="1350" t="str">
        <f>IF($G131="--","--",_xll.ciqfunctions.udf.CIQ($G131,"IQ_CUSTOM_BETA",_xll.ciqfunctions.udf.CIQ('DATA GPC'!$S22,"IQ_PRICEDATE",EDATE(Valuation_date,-B1Yrs*12)),Valuation_date,IF(B1Freq="Weekly","W","M"),'DATA GPC'!$S22))</f>
        <v>--</v>
      </c>
      <c r="I131" s="1350" t="str">
        <f>IF($G131="--","--",_xll.ciqfunctions.udf.CIQ($G131,"IQ_CUSTOM_BETA_RSQ",_xll.ciqfunctions.udf.CIQ('DATA GPC'!$S22,"IQ_PRICEDATE",EDATE(Valuation_date,-B1Yrs*12)),Valuation_date,IF(B1Freq="Weekly","W","M"),'DATA GPC'!$S22))</f>
        <v>--</v>
      </c>
      <c r="J131" s="2230" t="str">
        <f t="shared" si="15"/>
        <v>--</v>
      </c>
      <c r="K131" s="2230" t="str">
        <f t="shared" si="16"/>
        <v>--</v>
      </c>
      <c r="L131" s="1776" t="str">
        <f>IF(OR($G131="--",H131="#NA"),"--",_xll.ciqfunctions.udf.CIQ($G131,"IQ_CUSTOM_BETA_DATA_POINTS",_xll.ciqfunctions.udf.CIQ('DATA GPC'!$S22,"IQ_PRICEDATE",EDATE(Valuation_date,-B1Yrs*12)),Valuation_date,IF(B1Freq="Weekly","W","M"),'DATA GPC'!$S22))</f>
        <v>--</v>
      </c>
      <c r="M131" s="2231" t="str">
        <f>IF($G131="--","--",_xll.ciqfunctions.udf.CIQ($G131,"IQ_CUSTOM_BETA",_xll.ciqfunctions.udf.CIQ('DATA GPC'!$S22,"IQ_PRICEDATE",EDATE(Valuation_date,-B2Yrs*12)),Valuation_date,IF(B2Freq="Weekly","W","M"),'DATA GPC'!$S22))</f>
        <v>--</v>
      </c>
      <c r="N131" s="1350" t="str">
        <f>IF($G131="--","--",_xll.ciqfunctions.udf.CIQ($G131,"IQ_CUSTOM_BETA_RSQ",_xll.ciqfunctions.udf.CIQ('DATA GPC'!$S22,"IQ_PRICEDATE",EDATE(Valuation_date,-B2Yrs*12)),Valuation_date,IF(B2Freq="Weekly","W","M"),'DATA GPC'!$S22))</f>
        <v>--</v>
      </c>
      <c r="O131" s="2230" t="str">
        <f t="shared" si="17"/>
        <v>--</v>
      </c>
      <c r="P131" s="2230" t="str">
        <f t="shared" si="18"/>
        <v>--</v>
      </c>
      <c r="Q131" s="1776" t="str">
        <f>IF(OR($G131="--",M131="#NA"),"--",_xll.ciqfunctions.udf.CIQ($G131,"IQ_CUSTOM_BETA_DATA_POINTS",_xll.ciqfunctions.udf.CIQ('DATA GPC'!$S22,"IQ_PRICEDATE",EDATE(Valuation_date,-B2Yrs*12)),Valuation_date,IF(B2Freq="Weekly","W","M"),'DATA GPC'!$S22))</f>
        <v>--</v>
      </c>
      <c r="R131" s="2231" t="str">
        <f>IF($G131="--","--",_xll.ciqfunctions.udf.CIQ($G131,"IQ_CUSTOM_BETA",_xll.ciqfunctions.udf.CIQ('DATA GPC'!$S22,"IQ_PRICEDATE",EDATE(Valuation_date,-B3Yrs*12)),Valuation_date,IF(B3Freq="Weekly","W","M"),'DATA GPC'!$S22))</f>
        <v>--</v>
      </c>
      <c r="S131" s="1350" t="str">
        <f>IF($G131="--","--",_xll.ciqfunctions.udf.CIQ($G131,"IQ_CUSTOM_BETA_RSQ",_xll.ciqfunctions.udf.CIQ('DATA GPC'!$S22,"IQ_PRICEDATE",EDATE(Valuation_date,-B3Yrs*12)),Valuation_date,IF(B3Freq="Weekly","W","M"),'DATA GPC'!$S22))</f>
        <v>--</v>
      </c>
      <c r="T131" s="2230" t="str">
        <f t="shared" si="19"/>
        <v>--</v>
      </c>
      <c r="U131" s="2230" t="str">
        <f t="shared" si="20"/>
        <v>--</v>
      </c>
      <c r="V131" s="1776" t="str">
        <f>IF(OR($G131="--",R131="#NA"),"--",_xll.ciqfunctions.udf.CIQ($G131,"IQ_CUSTOM_BETA_DATA_POINTS",_xll.ciqfunctions.udf.CIQ('DATA GPC'!$S22,"IQ_PRICEDATE",EDATE(Valuation_date,-B3Yrs*12)),Valuation_date,IF(B3Freq="Weekly","W","M"),'DATA GPC'!$S22))</f>
        <v>--</v>
      </c>
      <c r="W131" s="2231" t="str">
        <f>IF($G131="--","--",_xll.ciqfunctions.udf.CIQ($G131,"IQ_CUSTOM_BETA",_xll.ciqfunctions.udf.CIQ('DATA GPC'!$S22,"IQ_PRICEDATE",EDATE(Valuation_date,-B4Yrs*12)),Valuation_date,IF(B4Freq="Weekly","W","M"),'DATA GPC'!$S22))</f>
        <v>--</v>
      </c>
      <c r="X131" s="1350" t="str">
        <f>IF($G131="--","--",_xll.ciqfunctions.udf.CIQ($G131,"IQ_CUSTOM_BETA_RSQ",_xll.ciqfunctions.udf.CIQ('DATA GPC'!$S22,"IQ_PRICEDATE",EDATE(Valuation_date,-B4Yrs*12)),Valuation_date,IF(B4Freq="Weekly","W","M"),'DATA GPC'!$S22))</f>
        <v>--</v>
      </c>
      <c r="Y131" s="2230" t="str">
        <f t="shared" si="21"/>
        <v>--</v>
      </c>
      <c r="Z131" s="2230" t="str">
        <f t="shared" si="22"/>
        <v>--</v>
      </c>
      <c r="AA131" s="1776" t="str">
        <f>IF(OR($G131="--",W131="#NA"),"--",_xll.ciqfunctions.udf.CIQ($G131,"IQ_CUSTOM_BETA_DATA_POINTS",_xll.ciqfunctions.udf.CIQ('DATA GPC'!$S22,"IQ_PRICEDATE",EDATE(Valuation_date,-B4Yrs*12)),Valuation_date,IF(B4Freq="Weekly","W","M"),'DATA GPC'!$S22))</f>
        <v>--</v>
      </c>
      <c r="AB131" s="2060"/>
      <c r="AC131" s="2060"/>
      <c r="AD131" s="1004"/>
      <c r="AE131" s="2060"/>
      <c r="AF131" s="2060"/>
      <c r="AG131" s="2060"/>
      <c r="AH131" s="2060"/>
      <c r="AI131" s="2060"/>
      <c r="AJ131" s="2060"/>
      <c r="AK131" s="2060"/>
      <c r="AL131" s="2060"/>
      <c r="AM131" s="1779"/>
      <c r="AN131" s="1779"/>
      <c r="AO131" s="2060"/>
      <c r="AP131" s="2060"/>
      <c r="AQ131" s="2060"/>
      <c r="AR131" s="2060"/>
      <c r="AS131" s="2060"/>
      <c r="AT131" s="2060"/>
      <c r="AU131" s="2060"/>
      <c r="AV131" s="2060"/>
      <c r="AW131" s="2060"/>
      <c r="AX131" s="2060"/>
      <c r="AY131" s="2060"/>
      <c r="AZ131" s="2060"/>
      <c r="BA131" s="2060"/>
      <c r="BB131" s="2060"/>
      <c r="BC131" s="2060"/>
      <c r="BD131" s="2060"/>
      <c r="BE131" s="2060"/>
      <c r="BF131" s="2060"/>
      <c r="BG131" s="2060"/>
      <c r="BH131" s="2060"/>
      <c r="BI131" s="2060"/>
      <c r="BJ131" s="2060"/>
      <c r="BK131" s="2060"/>
      <c r="BL131" s="2060"/>
      <c r="BM131" s="2060"/>
      <c r="BN131" s="2060"/>
      <c r="BO131" s="2060"/>
      <c r="BP131" s="2060"/>
      <c r="BQ131" s="2060"/>
      <c r="BR131" s="2060"/>
      <c r="BS131" s="2060"/>
      <c r="BT131" s="2060"/>
      <c r="BU131" s="2060"/>
      <c r="BV131" s="2060"/>
      <c r="BW131" s="2060"/>
      <c r="BX131" s="2060"/>
      <c r="BY131" s="2060"/>
      <c r="BZ131" s="2060"/>
      <c r="CA131" s="2060"/>
      <c r="CB131" s="2060"/>
      <c r="CC131" s="2060"/>
      <c r="CD131" s="2060"/>
      <c r="CE131" s="2060"/>
      <c r="CF131" s="2060"/>
      <c r="CG131" s="2060"/>
      <c r="CH131" s="2060"/>
      <c r="CI131" s="2060"/>
      <c r="CJ131" s="2060"/>
      <c r="CK131" s="2060"/>
      <c r="CL131" s="2060"/>
      <c r="CM131" s="2060"/>
      <c r="CN131" s="2060"/>
      <c r="CO131" s="2060"/>
      <c r="CP131" s="2060"/>
      <c r="CQ131" s="2060"/>
      <c r="CR131" s="2060"/>
      <c r="CS131" s="2060"/>
      <c r="CT131" s="2060"/>
      <c r="CU131" s="2060"/>
      <c r="CV131" s="2060"/>
      <c r="CW131" s="2060"/>
      <c r="CX131" s="2060"/>
      <c r="CY131" s="2060"/>
      <c r="CZ131" s="2060"/>
      <c r="DA131" s="2060"/>
      <c r="DB131" s="2060"/>
      <c r="DC131" s="2060"/>
      <c r="DD131" s="2060"/>
      <c r="DE131" s="2060"/>
      <c r="DF131" s="2060"/>
      <c r="DG131" s="2060"/>
      <c r="DH131" s="2060"/>
      <c r="DI131" s="2060"/>
      <c r="DJ131" s="2060"/>
      <c r="DK131" s="2060"/>
      <c r="DL131" s="2060"/>
      <c r="DM131" s="2060"/>
      <c r="DN131" s="2060"/>
      <c r="DO131" s="2060"/>
      <c r="DP131" s="2060"/>
      <c r="DQ131" s="2060"/>
      <c r="DR131" s="2060"/>
      <c r="DS131" s="2060"/>
      <c r="DT131" s="2060"/>
      <c r="DU131" s="2060"/>
      <c r="DV131" s="2060"/>
      <c r="DW131" s="2060"/>
      <c r="DX131" s="2060"/>
      <c r="DY131" s="2060"/>
      <c r="DZ131" s="2060"/>
      <c r="EA131" s="2060"/>
      <c r="EB131" s="2060"/>
      <c r="EC131" s="2060"/>
      <c r="ED131" s="2060"/>
      <c r="EE131" s="2060"/>
      <c r="EF131" s="2060"/>
      <c r="EG131" s="2060"/>
      <c r="EH131" s="2060"/>
      <c r="EI131" s="2060"/>
      <c r="EJ131" s="2060"/>
      <c r="EK131" s="2060"/>
      <c r="EL131" s="2060"/>
      <c r="EM131" s="2060"/>
      <c r="EN131" s="2060"/>
      <c r="EO131" s="2060"/>
      <c r="EP131" s="2060"/>
      <c r="EQ131" s="2060"/>
      <c r="ER131" s="2060"/>
      <c r="ES131" s="2060"/>
      <c r="ET131" s="2060"/>
      <c r="EU131" s="2060"/>
      <c r="EV131" s="2060"/>
      <c r="EW131" s="2060"/>
      <c r="EX131" s="2060"/>
      <c r="EY131" s="2060"/>
      <c r="EZ131" s="2060"/>
      <c r="FA131" s="2060"/>
      <c r="FB131" s="2060"/>
      <c r="FC131" s="2060"/>
      <c r="FD131" s="2060"/>
      <c r="FE131" s="2060"/>
      <c r="FF131" s="2060"/>
      <c r="FG131" s="2060"/>
      <c r="FH131" s="2060"/>
      <c r="FI131" s="2060"/>
      <c r="FJ131" s="2060"/>
      <c r="FK131" s="2060"/>
      <c r="FL131" s="2060"/>
      <c r="FM131" s="2060"/>
      <c r="FN131" s="2060"/>
      <c r="FO131" s="2060"/>
      <c r="FP131" s="2060"/>
      <c r="FQ131" s="2060"/>
      <c r="FR131" s="2060"/>
      <c r="FS131" s="2060"/>
      <c r="FT131" s="2060"/>
      <c r="FU131" s="2060"/>
      <c r="FV131" s="2060"/>
      <c r="FW131" s="2060"/>
      <c r="FX131" s="2060"/>
      <c r="FY131" s="2060"/>
      <c r="FZ131" s="2060"/>
      <c r="GA131" s="2060"/>
      <c r="GB131" s="2060"/>
      <c r="GC131" s="2060"/>
    </row>
    <row r="132" spans="1:185" customFormat="1">
      <c r="A132" s="1632" t="str">
        <f t="shared" si="14"/>
        <v>n</v>
      </c>
      <c r="B132" s="1004"/>
      <c r="C132" s="1502"/>
      <c r="D132" s="2229"/>
      <c r="E132" s="623" t="str">
        <f>'DATA GPC'!E23</f>
        <v>--</v>
      </c>
      <c r="F132" s="128"/>
      <c r="G132" s="1504" t="str">
        <f>IF(E132="--","--",'DATA GPC'!G23)</f>
        <v>--</v>
      </c>
      <c r="H132" s="1350" t="str">
        <f>IF($G132="--","--",_xll.ciqfunctions.udf.CIQ($G132,"IQ_CUSTOM_BETA",_xll.ciqfunctions.udf.CIQ('DATA GPC'!$S23,"IQ_PRICEDATE",EDATE(Valuation_date,-B1Yrs*12)),Valuation_date,IF(B1Freq="Weekly","W","M"),'DATA GPC'!$S23))</f>
        <v>--</v>
      </c>
      <c r="I132" s="1350" t="str">
        <f>IF($G132="--","--",_xll.ciqfunctions.udf.CIQ($G132,"IQ_CUSTOM_BETA_RSQ",_xll.ciqfunctions.udf.CIQ('DATA GPC'!$S23,"IQ_PRICEDATE",EDATE(Valuation_date,-B1Yrs*12)),Valuation_date,IF(B1Freq="Weekly","W","M"),'DATA GPC'!$S23))</f>
        <v>--</v>
      </c>
      <c r="J132" s="2230" t="str">
        <f t="shared" si="15"/>
        <v>--</v>
      </c>
      <c r="K132" s="2230" t="str">
        <f t="shared" si="16"/>
        <v>--</v>
      </c>
      <c r="L132" s="1776" t="str">
        <f>IF(OR($G132="--",H132="#NA"),"--",_xll.ciqfunctions.udf.CIQ($G132,"IQ_CUSTOM_BETA_DATA_POINTS",_xll.ciqfunctions.udf.CIQ('DATA GPC'!$S23,"IQ_PRICEDATE",EDATE(Valuation_date,-B1Yrs*12)),Valuation_date,IF(B1Freq="Weekly","W","M"),'DATA GPC'!$S23))</f>
        <v>--</v>
      </c>
      <c r="M132" s="2231" t="str">
        <f>IF($G132="--","--",_xll.ciqfunctions.udf.CIQ($G132,"IQ_CUSTOM_BETA",_xll.ciqfunctions.udf.CIQ('DATA GPC'!$S23,"IQ_PRICEDATE",EDATE(Valuation_date,-B2Yrs*12)),Valuation_date,IF(B2Freq="Weekly","W","M"),'DATA GPC'!$S23))</f>
        <v>--</v>
      </c>
      <c r="N132" s="1350" t="str">
        <f>IF($G132="--","--",_xll.ciqfunctions.udf.CIQ($G132,"IQ_CUSTOM_BETA_RSQ",_xll.ciqfunctions.udf.CIQ('DATA GPC'!$S23,"IQ_PRICEDATE",EDATE(Valuation_date,-B2Yrs*12)),Valuation_date,IF(B2Freq="Weekly","W","M"),'DATA GPC'!$S23))</f>
        <v>--</v>
      </c>
      <c r="O132" s="2230" t="str">
        <f t="shared" si="17"/>
        <v>--</v>
      </c>
      <c r="P132" s="2230" t="str">
        <f t="shared" si="18"/>
        <v>--</v>
      </c>
      <c r="Q132" s="1776" t="str">
        <f>IF(OR($G132="--",M132="#NA"),"--",_xll.ciqfunctions.udf.CIQ($G132,"IQ_CUSTOM_BETA_DATA_POINTS",_xll.ciqfunctions.udf.CIQ('DATA GPC'!$S23,"IQ_PRICEDATE",EDATE(Valuation_date,-B2Yrs*12)),Valuation_date,IF(B2Freq="Weekly","W","M"),'DATA GPC'!$S23))</f>
        <v>--</v>
      </c>
      <c r="R132" s="2231" t="str">
        <f>IF($G132="--","--",_xll.ciqfunctions.udf.CIQ($G132,"IQ_CUSTOM_BETA",_xll.ciqfunctions.udf.CIQ('DATA GPC'!$S23,"IQ_PRICEDATE",EDATE(Valuation_date,-B3Yrs*12)),Valuation_date,IF(B3Freq="Weekly","W","M"),'DATA GPC'!$S23))</f>
        <v>--</v>
      </c>
      <c r="S132" s="1350" t="str">
        <f>IF($G132="--","--",_xll.ciqfunctions.udf.CIQ($G132,"IQ_CUSTOM_BETA_RSQ",_xll.ciqfunctions.udf.CIQ('DATA GPC'!$S23,"IQ_PRICEDATE",EDATE(Valuation_date,-B3Yrs*12)),Valuation_date,IF(B3Freq="Weekly","W","M"),'DATA GPC'!$S23))</f>
        <v>--</v>
      </c>
      <c r="T132" s="2230" t="str">
        <f t="shared" si="19"/>
        <v>--</v>
      </c>
      <c r="U132" s="2230" t="str">
        <f t="shared" si="20"/>
        <v>--</v>
      </c>
      <c r="V132" s="1776" t="str">
        <f>IF(OR($G132="--",R132="#NA"),"--",_xll.ciqfunctions.udf.CIQ($G132,"IQ_CUSTOM_BETA_DATA_POINTS",_xll.ciqfunctions.udf.CIQ('DATA GPC'!$S23,"IQ_PRICEDATE",EDATE(Valuation_date,-B3Yrs*12)),Valuation_date,IF(B3Freq="Weekly","W","M"),'DATA GPC'!$S23))</f>
        <v>--</v>
      </c>
      <c r="W132" s="2231" t="str">
        <f>IF($G132="--","--",_xll.ciqfunctions.udf.CIQ($G132,"IQ_CUSTOM_BETA",_xll.ciqfunctions.udf.CIQ('DATA GPC'!$S23,"IQ_PRICEDATE",EDATE(Valuation_date,-B4Yrs*12)),Valuation_date,IF(B4Freq="Weekly","W","M"),'DATA GPC'!$S23))</f>
        <v>--</v>
      </c>
      <c r="X132" s="1350" t="str">
        <f>IF($G132="--","--",_xll.ciqfunctions.udf.CIQ($G132,"IQ_CUSTOM_BETA_RSQ",_xll.ciqfunctions.udf.CIQ('DATA GPC'!$S23,"IQ_PRICEDATE",EDATE(Valuation_date,-B4Yrs*12)),Valuation_date,IF(B4Freq="Weekly","W","M"),'DATA GPC'!$S23))</f>
        <v>--</v>
      </c>
      <c r="Y132" s="2230" t="str">
        <f t="shared" si="21"/>
        <v>--</v>
      </c>
      <c r="Z132" s="2230" t="str">
        <f t="shared" si="22"/>
        <v>--</v>
      </c>
      <c r="AA132" s="1776" t="str">
        <f>IF(OR($G132="--",W132="#NA"),"--",_xll.ciqfunctions.udf.CIQ($G132,"IQ_CUSTOM_BETA_DATA_POINTS",_xll.ciqfunctions.udf.CIQ('DATA GPC'!$S23,"IQ_PRICEDATE",EDATE(Valuation_date,-B4Yrs*12)),Valuation_date,IF(B4Freq="Weekly","W","M"),'DATA GPC'!$S23))</f>
        <v>--</v>
      </c>
      <c r="AB132" s="2060"/>
      <c r="AC132" s="2060"/>
      <c r="AD132" s="1004"/>
      <c r="AE132" s="2060"/>
      <c r="AF132" s="2060"/>
      <c r="AG132" s="2060"/>
      <c r="AH132" s="2060"/>
      <c r="AI132" s="2060"/>
      <c r="AJ132" s="2060"/>
      <c r="AK132" s="2060"/>
      <c r="AL132" s="2060"/>
      <c r="AM132" s="1779"/>
      <c r="AN132" s="1779"/>
      <c r="AO132" s="2060"/>
      <c r="AP132" s="2060"/>
      <c r="AQ132" s="2060"/>
      <c r="AR132" s="2060"/>
      <c r="AS132" s="2060"/>
      <c r="AT132" s="2060"/>
      <c r="AU132" s="2060"/>
      <c r="AV132" s="2060"/>
      <c r="AW132" s="2060"/>
      <c r="AX132" s="2060"/>
      <c r="AY132" s="2060"/>
      <c r="AZ132" s="2060"/>
      <c r="BA132" s="2060"/>
      <c r="BB132" s="2060"/>
      <c r="BC132" s="2060"/>
      <c r="BD132" s="2060"/>
      <c r="BE132" s="2060"/>
      <c r="BF132" s="2060"/>
      <c r="BG132" s="2060"/>
      <c r="BH132" s="2060"/>
      <c r="BI132" s="2060"/>
      <c r="BJ132" s="2060"/>
      <c r="BK132" s="2060"/>
      <c r="BL132" s="2060"/>
      <c r="BM132" s="2060"/>
      <c r="BN132" s="2060"/>
      <c r="BO132" s="2060"/>
      <c r="BP132" s="2060"/>
      <c r="BQ132" s="2060"/>
      <c r="BR132" s="2060"/>
      <c r="BS132" s="2060"/>
      <c r="BT132" s="2060"/>
      <c r="BU132" s="2060"/>
      <c r="BV132" s="2060"/>
      <c r="BW132" s="2060"/>
      <c r="BX132" s="2060"/>
      <c r="BY132" s="2060"/>
      <c r="BZ132" s="2060"/>
      <c r="CA132" s="2060"/>
      <c r="CB132" s="2060"/>
      <c r="CC132" s="2060"/>
      <c r="CD132" s="2060"/>
      <c r="CE132" s="2060"/>
      <c r="CF132" s="2060"/>
      <c r="CG132" s="2060"/>
      <c r="CH132" s="2060"/>
      <c r="CI132" s="2060"/>
      <c r="CJ132" s="2060"/>
      <c r="CK132" s="2060"/>
      <c r="CL132" s="2060"/>
      <c r="CM132" s="2060"/>
      <c r="CN132" s="2060"/>
      <c r="CO132" s="2060"/>
      <c r="CP132" s="2060"/>
      <c r="CQ132" s="2060"/>
      <c r="CR132" s="2060"/>
      <c r="CS132" s="2060"/>
      <c r="CT132" s="2060"/>
      <c r="CU132" s="2060"/>
      <c r="CV132" s="2060"/>
      <c r="CW132" s="2060"/>
      <c r="CX132" s="2060"/>
      <c r="CY132" s="2060"/>
      <c r="CZ132" s="2060"/>
      <c r="DA132" s="2060"/>
      <c r="DB132" s="2060"/>
      <c r="DC132" s="2060"/>
      <c r="DD132" s="2060"/>
      <c r="DE132" s="2060"/>
      <c r="DF132" s="2060"/>
      <c r="DG132" s="2060"/>
      <c r="DH132" s="2060"/>
      <c r="DI132" s="2060"/>
      <c r="DJ132" s="2060"/>
      <c r="DK132" s="2060"/>
      <c r="DL132" s="2060"/>
      <c r="DM132" s="2060"/>
      <c r="DN132" s="2060"/>
      <c r="DO132" s="2060"/>
      <c r="DP132" s="2060"/>
      <c r="DQ132" s="2060"/>
      <c r="DR132" s="2060"/>
      <c r="DS132" s="2060"/>
      <c r="DT132" s="2060"/>
      <c r="DU132" s="2060"/>
      <c r="DV132" s="2060"/>
      <c r="DW132" s="2060"/>
      <c r="DX132" s="2060"/>
      <c r="DY132" s="2060"/>
      <c r="DZ132" s="2060"/>
      <c r="EA132" s="2060"/>
      <c r="EB132" s="2060"/>
      <c r="EC132" s="2060"/>
      <c r="ED132" s="2060"/>
      <c r="EE132" s="2060"/>
      <c r="EF132" s="2060"/>
      <c r="EG132" s="2060"/>
      <c r="EH132" s="2060"/>
      <c r="EI132" s="2060"/>
      <c r="EJ132" s="2060"/>
      <c r="EK132" s="2060"/>
      <c r="EL132" s="2060"/>
      <c r="EM132" s="2060"/>
      <c r="EN132" s="2060"/>
      <c r="EO132" s="2060"/>
      <c r="EP132" s="2060"/>
      <c r="EQ132" s="2060"/>
      <c r="ER132" s="2060"/>
      <c r="ES132" s="2060"/>
      <c r="ET132" s="2060"/>
      <c r="EU132" s="2060"/>
      <c r="EV132" s="2060"/>
      <c r="EW132" s="2060"/>
      <c r="EX132" s="2060"/>
      <c r="EY132" s="2060"/>
      <c r="EZ132" s="2060"/>
      <c r="FA132" s="2060"/>
      <c r="FB132" s="2060"/>
      <c r="FC132" s="2060"/>
      <c r="FD132" s="2060"/>
      <c r="FE132" s="2060"/>
      <c r="FF132" s="2060"/>
      <c r="FG132" s="2060"/>
      <c r="FH132" s="2060"/>
      <c r="FI132" s="2060"/>
      <c r="FJ132" s="2060"/>
      <c r="FK132" s="2060"/>
      <c r="FL132" s="2060"/>
      <c r="FM132" s="2060"/>
      <c r="FN132" s="2060"/>
      <c r="FO132" s="2060"/>
      <c r="FP132" s="2060"/>
      <c r="FQ132" s="2060"/>
      <c r="FR132" s="2060"/>
      <c r="FS132" s="2060"/>
      <c r="FT132" s="2060"/>
      <c r="FU132" s="2060"/>
      <c r="FV132" s="2060"/>
      <c r="FW132" s="2060"/>
      <c r="FX132" s="2060"/>
      <c r="FY132" s="2060"/>
      <c r="FZ132" s="2060"/>
      <c r="GA132" s="2060"/>
      <c r="GB132" s="2060"/>
      <c r="GC132" s="2060"/>
    </row>
    <row r="133" spans="1:185" customFormat="1">
      <c r="A133" s="1632" t="str">
        <f t="shared" si="14"/>
        <v>n</v>
      </c>
      <c r="B133" s="1004"/>
      <c r="C133" s="1502"/>
      <c r="D133" s="2229"/>
      <c r="E133" s="623" t="str">
        <f>'DATA GPC'!E24</f>
        <v>--</v>
      </c>
      <c r="F133" s="128"/>
      <c r="G133" s="1504" t="str">
        <f>IF(E133="--","--",'DATA GPC'!G24)</f>
        <v>--</v>
      </c>
      <c r="H133" s="1350" t="str">
        <f>IF($G133="--","--",_xll.ciqfunctions.udf.CIQ($G133,"IQ_CUSTOM_BETA",_xll.ciqfunctions.udf.CIQ('DATA GPC'!$S24,"IQ_PRICEDATE",EDATE(Valuation_date,-B1Yrs*12)),Valuation_date,IF(B1Freq="Weekly","W","M"),'DATA GPC'!$S24))</f>
        <v>--</v>
      </c>
      <c r="I133" s="1350" t="str">
        <f>IF($G133="--","--",_xll.ciqfunctions.udf.CIQ($G133,"IQ_CUSTOM_BETA_RSQ",_xll.ciqfunctions.udf.CIQ('DATA GPC'!$S24,"IQ_PRICEDATE",EDATE(Valuation_date,-B1Yrs*12)),Valuation_date,IF(B1Freq="Weekly","W","M"),'DATA GPC'!$S24))</f>
        <v>--</v>
      </c>
      <c r="J133" s="2230" t="str">
        <f t="shared" si="15"/>
        <v>--</v>
      </c>
      <c r="K133" s="2230" t="str">
        <f t="shared" si="16"/>
        <v>--</v>
      </c>
      <c r="L133" s="1776" t="str">
        <f>IF(OR($G133="--",H133="#NA"),"--",_xll.ciqfunctions.udf.CIQ($G133,"IQ_CUSTOM_BETA_DATA_POINTS",_xll.ciqfunctions.udf.CIQ('DATA GPC'!$S24,"IQ_PRICEDATE",EDATE(Valuation_date,-B1Yrs*12)),Valuation_date,IF(B1Freq="Weekly","W","M"),'DATA GPC'!$S24))</f>
        <v>--</v>
      </c>
      <c r="M133" s="2231" t="str">
        <f>IF($G133="--","--",_xll.ciqfunctions.udf.CIQ($G133,"IQ_CUSTOM_BETA",_xll.ciqfunctions.udf.CIQ('DATA GPC'!$S24,"IQ_PRICEDATE",EDATE(Valuation_date,-B2Yrs*12)),Valuation_date,IF(B2Freq="Weekly","W","M"),'DATA GPC'!$S24))</f>
        <v>--</v>
      </c>
      <c r="N133" s="1350" t="str">
        <f>IF($G133="--","--",_xll.ciqfunctions.udf.CIQ($G133,"IQ_CUSTOM_BETA_RSQ",_xll.ciqfunctions.udf.CIQ('DATA GPC'!$S24,"IQ_PRICEDATE",EDATE(Valuation_date,-B2Yrs*12)),Valuation_date,IF(B2Freq="Weekly","W","M"),'DATA GPC'!$S24))</f>
        <v>--</v>
      </c>
      <c r="O133" s="2230" t="str">
        <f t="shared" si="17"/>
        <v>--</v>
      </c>
      <c r="P133" s="2230" t="str">
        <f t="shared" si="18"/>
        <v>--</v>
      </c>
      <c r="Q133" s="1776" t="str">
        <f>IF(OR($G133="--",M133="#NA"),"--",_xll.ciqfunctions.udf.CIQ($G133,"IQ_CUSTOM_BETA_DATA_POINTS",_xll.ciqfunctions.udf.CIQ('DATA GPC'!$S24,"IQ_PRICEDATE",EDATE(Valuation_date,-B2Yrs*12)),Valuation_date,IF(B2Freq="Weekly","W","M"),'DATA GPC'!$S24))</f>
        <v>--</v>
      </c>
      <c r="R133" s="2231" t="str">
        <f>IF($G133="--","--",_xll.ciqfunctions.udf.CIQ($G133,"IQ_CUSTOM_BETA",_xll.ciqfunctions.udf.CIQ('DATA GPC'!$S24,"IQ_PRICEDATE",EDATE(Valuation_date,-B3Yrs*12)),Valuation_date,IF(B3Freq="Weekly","W","M"),'DATA GPC'!$S24))</f>
        <v>--</v>
      </c>
      <c r="S133" s="1350" t="str">
        <f>IF($G133="--","--",_xll.ciqfunctions.udf.CIQ($G133,"IQ_CUSTOM_BETA_RSQ",_xll.ciqfunctions.udf.CIQ('DATA GPC'!$S24,"IQ_PRICEDATE",EDATE(Valuation_date,-B3Yrs*12)),Valuation_date,IF(B3Freq="Weekly","W","M"),'DATA GPC'!$S24))</f>
        <v>--</v>
      </c>
      <c r="T133" s="2230" t="str">
        <f t="shared" si="19"/>
        <v>--</v>
      </c>
      <c r="U133" s="2230" t="str">
        <f t="shared" si="20"/>
        <v>--</v>
      </c>
      <c r="V133" s="1776" t="str">
        <f>IF(OR($G133="--",R133="#NA"),"--",_xll.ciqfunctions.udf.CIQ($G133,"IQ_CUSTOM_BETA_DATA_POINTS",_xll.ciqfunctions.udf.CIQ('DATA GPC'!$S24,"IQ_PRICEDATE",EDATE(Valuation_date,-B3Yrs*12)),Valuation_date,IF(B3Freq="Weekly","W","M"),'DATA GPC'!$S24))</f>
        <v>--</v>
      </c>
      <c r="W133" s="2231" t="str">
        <f>IF($G133="--","--",_xll.ciqfunctions.udf.CIQ($G133,"IQ_CUSTOM_BETA",_xll.ciqfunctions.udf.CIQ('DATA GPC'!$S24,"IQ_PRICEDATE",EDATE(Valuation_date,-B4Yrs*12)),Valuation_date,IF(B4Freq="Weekly","W","M"),'DATA GPC'!$S24))</f>
        <v>--</v>
      </c>
      <c r="X133" s="1350" t="str">
        <f>IF($G133="--","--",_xll.ciqfunctions.udf.CIQ($G133,"IQ_CUSTOM_BETA_RSQ",_xll.ciqfunctions.udf.CIQ('DATA GPC'!$S24,"IQ_PRICEDATE",EDATE(Valuation_date,-B4Yrs*12)),Valuation_date,IF(B4Freq="Weekly","W","M"),'DATA GPC'!$S24))</f>
        <v>--</v>
      </c>
      <c r="Y133" s="2230" t="str">
        <f t="shared" si="21"/>
        <v>--</v>
      </c>
      <c r="Z133" s="2230" t="str">
        <f t="shared" si="22"/>
        <v>--</v>
      </c>
      <c r="AA133" s="1776" t="str">
        <f>IF(OR($G133="--",W133="#NA"),"--",_xll.ciqfunctions.udf.CIQ($G133,"IQ_CUSTOM_BETA_DATA_POINTS",_xll.ciqfunctions.udf.CIQ('DATA GPC'!$S24,"IQ_PRICEDATE",EDATE(Valuation_date,-B4Yrs*12)),Valuation_date,IF(B4Freq="Weekly","W","M"),'DATA GPC'!$S24))</f>
        <v>--</v>
      </c>
      <c r="AB133" s="2060"/>
      <c r="AC133" s="2060"/>
      <c r="AD133" s="1004"/>
      <c r="AE133" s="2060"/>
      <c r="AF133" s="2060"/>
      <c r="AG133" s="2060"/>
      <c r="AH133" s="2060"/>
      <c r="AI133" s="2060"/>
      <c r="AJ133" s="2060"/>
      <c r="AK133" s="2060"/>
      <c r="AL133" s="2060"/>
      <c r="AM133" s="1779"/>
      <c r="AN133" s="1779"/>
      <c r="AO133" s="2060"/>
      <c r="AP133" s="2060"/>
      <c r="AQ133" s="2060"/>
      <c r="AR133" s="2060"/>
      <c r="AS133" s="2060"/>
      <c r="AT133" s="2060"/>
      <c r="AU133" s="2060"/>
      <c r="AV133" s="2060"/>
      <c r="AW133" s="2060"/>
      <c r="AX133" s="2060"/>
      <c r="AY133" s="2060"/>
      <c r="AZ133" s="2060"/>
      <c r="BA133" s="2060"/>
      <c r="BB133" s="2060"/>
      <c r="BC133" s="2060"/>
      <c r="BD133" s="2060"/>
      <c r="BE133" s="2060"/>
      <c r="BF133" s="2060"/>
      <c r="BG133" s="2060"/>
      <c r="BH133" s="2060"/>
      <c r="BI133" s="2060"/>
      <c r="BJ133" s="2060"/>
      <c r="BK133" s="2060"/>
      <c r="BL133" s="2060"/>
      <c r="BM133" s="2060"/>
      <c r="BN133" s="2060"/>
      <c r="BO133" s="2060"/>
      <c r="BP133" s="2060"/>
      <c r="BQ133" s="2060"/>
      <c r="BR133" s="2060"/>
      <c r="BS133" s="2060"/>
      <c r="BT133" s="2060"/>
      <c r="BU133" s="2060"/>
      <c r="BV133" s="2060"/>
      <c r="BW133" s="2060"/>
      <c r="BX133" s="2060"/>
      <c r="BY133" s="2060"/>
      <c r="BZ133" s="2060"/>
      <c r="CA133" s="2060"/>
      <c r="CB133" s="2060"/>
      <c r="CC133" s="2060"/>
      <c r="CD133" s="2060"/>
      <c r="CE133" s="2060"/>
      <c r="CF133" s="2060"/>
      <c r="CG133" s="2060"/>
      <c r="CH133" s="2060"/>
      <c r="CI133" s="2060"/>
      <c r="CJ133" s="2060"/>
      <c r="CK133" s="2060"/>
      <c r="CL133" s="2060"/>
      <c r="CM133" s="2060"/>
      <c r="CN133" s="2060"/>
      <c r="CO133" s="2060"/>
      <c r="CP133" s="2060"/>
      <c r="CQ133" s="2060"/>
      <c r="CR133" s="2060"/>
      <c r="CS133" s="2060"/>
      <c r="CT133" s="2060"/>
      <c r="CU133" s="2060"/>
      <c r="CV133" s="2060"/>
      <c r="CW133" s="2060"/>
      <c r="CX133" s="2060"/>
      <c r="CY133" s="2060"/>
      <c r="CZ133" s="2060"/>
      <c r="DA133" s="2060"/>
      <c r="DB133" s="2060"/>
      <c r="DC133" s="2060"/>
      <c r="DD133" s="2060"/>
      <c r="DE133" s="2060"/>
      <c r="DF133" s="2060"/>
      <c r="DG133" s="2060"/>
      <c r="DH133" s="2060"/>
      <c r="DI133" s="2060"/>
      <c r="DJ133" s="2060"/>
      <c r="DK133" s="2060"/>
      <c r="DL133" s="2060"/>
      <c r="DM133" s="2060"/>
      <c r="DN133" s="2060"/>
      <c r="DO133" s="2060"/>
      <c r="DP133" s="2060"/>
      <c r="DQ133" s="2060"/>
      <c r="DR133" s="2060"/>
      <c r="DS133" s="2060"/>
      <c r="DT133" s="2060"/>
      <c r="DU133" s="2060"/>
      <c r="DV133" s="2060"/>
      <c r="DW133" s="2060"/>
      <c r="DX133" s="2060"/>
      <c r="DY133" s="2060"/>
      <c r="DZ133" s="2060"/>
      <c r="EA133" s="2060"/>
      <c r="EB133" s="2060"/>
      <c r="EC133" s="2060"/>
      <c r="ED133" s="2060"/>
      <c r="EE133" s="2060"/>
      <c r="EF133" s="2060"/>
      <c r="EG133" s="2060"/>
      <c r="EH133" s="2060"/>
      <c r="EI133" s="2060"/>
      <c r="EJ133" s="2060"/>
      <c r="EK133" s="2060"/>
      <c r="EL133" s="2060"/>
      <c r="EM133" s="2060"/>
      <c r="EN133" s="2060"/>
      <c r="EO133" s="2060"/>
      <c r="EP133" s="2060"/>
      <c r="EQ133" s="2060"/>
      <c r="ER133" s="2060"/>
      <c r="ES133" s="2060"/>
      <c r="ET133" s="2060"/>
      <c r="EU133" s="2060"/>
      <c r="EV133" s="2060"/>
      <c r="EW133" s="2060"/>
      <c r="EX133" s="2060"/>
      <c r="EY133" s="2060"/>
      <c r="EZ133" s="2060"/>
      <c r="FA133" s="2060"/>
      <c r="FB133" s="2060"/>
      <c r="FC133" s="2060"/>
      <c r="FD133" s="2060"/>
      <c r="FE133" s="2060"/>
      <c r="FF133" s="2060"/>
      <c r="FG133" s="2060"/>
      <c r="FH133" s="2060"/>
      <c r="FI133" s="2060"/>
      <c r="FJ133" s="2060"/>
      <c r="FK133" s="2060"/>
      <c r="FL133" s="2060"/>
      <c r="FM133" s="2060"/>
      <c r="FN133" s="2060"/>
      <c r="FO133" s="2060"/>
      <c r="FP133" s="2060"/>
      <c r="FQ133" s="2060"/>
      <c r="FR133" s="2060"/>
      <c r="FS133" s="2060"/>
      <c r="FT133" s="2060"/>
      <c r="FU133" s="2060"/>
      <c r="FV133" s="2060"/>
      <c r="FW133" s="2060"/>
      <c r="FX133" s="2060"/>
      <c r="FY133" s="2060"/>
      <c r="FZ133" s="2060"/>
      <c r="GA133" s="2060"/>
      <c r="GB133" s="2060"/>
      <c r="GC133" s="2060"/>
    </row>
    <row r="134" spans="1:185" customFormat="1">
      <c r="A134" s="1632" t="str">
        <f t="shared" si="14"/>
        <v>n</v>
      </c>
      <c r="B134" s="1004"/>
      <c r="C134" s="1502"/>
      <c r="D134" s="2229"/>
      <c r="E134" s="623" t="str">
        <f>'DATA GPC'!E25</f>
        <v>--</v>
      </c>
      <c r="F134" s="128"/>
      <c r="G134" s="1504" t="str">
        <f>IF(E134="--","--",'DATA GPC'!G25)</f>
        <v>--</v>
      </c>
      <c r="H134" s="1350" t="str">
        <f>IF($G134="--","--",_xll.ciqfunctions.udf.CIQ($G134,"IQ_CUSTOM_BETA",_xll.ciqfunctions.udf.CIQ('DATA GPC'!$S25,"IQ_PRICEDATE",EDATE(Valuation_date,-B1Yrs*12)),Valuation_date,IF(B1Freq="Weekly","W","M"),'DATA GPC'!$S25))</f>
        <v>--</v>
      </c>
      <c r="I134" s="1350" t="str">
        <f>IF($G134="--","--",_xll.ciqfunctions.udf.CIQ($G134,"IQ_CUSTOM_BETA_RSQ",_xll.ciqfunctions.udf.CIQ('DATA GPC'!$S25,"IQ_PRICEDATE",EDATE(Valuation_date,-B1Yrs*12)),Valuation_date,IF(B1Freq="Weekly","W","M"),'DATA GPC'!$S25))</f>
        <v>--</v>
      </c>
      <c r="J134" s="2230" t="str">
        <f t="shared" si="15"/>
        <v>--</v>
      </c>
      <c r="K134" s="2230" t="str">
        <f t="shared" si="16"/>
        <v>--</v>
      </c>
      <c r="L134" s="1776" t="str">
        <f>IF(OR($G134="--",H134="#NA"),"--",_xll.ciqfunctions.udf.CIQ($G134,"IQ_CUSTOM_BETA_DATA_POINTS",_xll.ciqfunctions.udf.CIQ('DATA GPC'!$S25,"IQ_PRICEDATE",EDATE(Valuation_date,-B1Yrs*12)),Valuation_date,IF(B1Freq="Weekly","W","M"),'DATA GPC'!$S25))</f>
        <v>--</v>
      </c>
      <c r="M134" s="2231" t="str">
        <f>IF($G134="--","--",_xll.ciqfunctions.udf.CIQ($G134,"IQ_CUSTOM_BETA",_xll.ciqfunctions.udf.CIQ('DATA GPC'!$S25,"IQ_PRICEDATE",EDATE(Valuation_date,-B2Yrs*12)),Valuation_date,IF(B2Freq="Weekly","W","M"),'DATA GPC'!$S25))</f>
        <v>--</v>
      </c>
      <c r="N134" s="1350" t="str">
        <f>IF($G134="--","--",_xll.ciqfunctions.udf.CIQ($G134,"IQ_CUSTOM_BETA_RSQ",_xll.ciqfunctions.udf.CIQ('DATA GPC'!$S25,"IQ_PRICEDATE",EDATE(Valuation_date,-B2Yrs*12)),Valuation_date,IF(B2Freq="Weekly","W","M"),'DATA GPC'!$S25))</f>
        <v>--</v>
      </c>
      <c r="O134" s="2230" t="str">
        <f t="shared" si="17"/>
        <v>--</v>
      </c>
      <c r="P134" s="2230" t="str">
        <f t="shared" si="18"/>
        <v>--</v>
      </c>
      <c r="Q134" s="1776" t="str">
        <f>IF(OR($G134="--",M134="#NA"),"--",_xll.ciqfunctions.udf.CIQ($G134,"IQ_CUSTOM_BETA_DATA_POINTS",_xll.ciqfunctions.udf.CIQ('DATA GPC'!$S25,"IQ_PRICEDATE",EDATE(Valuation_date,-B2Yrs*12)),Valuation_date,IF(B2Freq="Weekly","W","M"),'DATA GPC'!$S25))</f>
        <v>--</v>
      </c>
      <c r="R134" s="2231" t="str">
        <f>IF($G134="--","--",_xll.ciqfunctions.udf.CIQ($G134,"IQ_CUSTOM_BETA",_xll.ciqfunctions.udf.CIQ('DATA GPC'!$S25,"IQ_PRICEDATE",EDATE(Valuation_date,-B3Yrs*12)),Valuation_date,IF(B3Freq="Weekly","W","M"),'DATA GPC'!$S25))</f>
        <v>--</v>
      </c>
      <c r="S134" s="1350" t="str">
        <f>IF($G134="--","--",_xll.ciqfunctions.udf.CIQ($G134,"IQ_CUSTOM_BETA_RSQ",_xll.ciqfunctions.udf.CIQ('DATA GPC'!$S25,"IQ_PRICEDATE",EDATE(Valuation_date,-B3Yrs*12)),Valuation_date,IF(B3Freq="Weekly","W","M"),'DATA GPC'!$S25))</f>
        <v>--</v>
      </c>
      <c r="T134" s="2230" t="str">
        <f t="shared" si="19"/>
        <v>--</v>
      </c>
      <c r="U134" s="2230" t="str">
        <f t="shared" si="20"/>
        <v>--</v>
      </c>
      <c r="V134" s="1776" t="str">
        <f>IF(OR($G134="--",R134="#NA"),"--",_xll.ciqfunctions.udf.CIQ($G134,"IQ_CUSTOM_BETA_DATA_POINTS",_xll.ciqfunctions.udf.CIQ('DATA GPC'!$S25,"IQ_PRICEDATE",EDATE(Valuation_date,-B3Yrs*12)),Valuation_date,IF(B3Freq="Weekly","W","M"),'DATA GPC'!$S25))</f>
        <v>--</v>
      </c>
      <c r="W134" s="2231" t="str">
        <f>IF($G134="--","--",_xll.ciqfunctions.udf.CIQ($G134,"IQ_CUSTOM_BETA",_xll.ciqfunctions.udf.CIQ('DATA GPC'!$S25,"IQ_PRICEDATE",EDATE(Valuation_date,-B4Yrs*12)),Valuation_date,IF(B4Freq="Weekly","W","M"),'DATA GPC'!$S25))</f>
        <v>--</v>
      </c>
      <c r="X134" s="1350" t="str">
        <f>IF($G134="--","--",_xll.ciqfunctions.udf.CIQ($G134,"IQ_CUSTOM_BETA_RSQ",_xll.ciqfunctions.udf.CIQ('DATA GPC'!$S25,"IQ_PRICEDATE",EDATE(Valuation_date,-B4Yrs*12)),Valuation_date,IF(B4Freq="Weekly","W","M"),'DATA GPC'!$S25))</f>
        <v>--</v>
      </c>
      <c r="Y134" s="2230" t="str">
        <f t="shared" si="21"/>
        <v>--</v>
      </c>
      <c r="Z134" s="2230" t="str">
        <f t="shared" si="22"/>
        <v>--</v>
      </c>
      <c r="AA134" s="1776" t="str">
        <f>IF(OR($G134="--",W134="#NA"),"--",_xll.ciqfunctions.udf.CIQ($G134,"IQ_CUSTOM_BETA_DATA_POINTS",_xll.ciqfunctions.udf.CIQ('DATA GPC'!$S25,"IQ_PRICEDATE",EDATE(Valuation_date,-B4Yrs*12)),Valuation_date,IF(B4Freq="Weekly","W","M"),'DATA GPC'!$S25))</f>
        <v>--</v>
      </c>
      <c r="AB134" s="2060"/>
      <c r="AC134" s="2060"/>
      <c r="AD134" s="1004"/>
      <c r="AE134" s="2060"/>
      <c r="AF134" s="2060"/>
      <c r="AG134" s="2060"/>
      <c r="AH134" s="2060"/>
      <c r="AI134" s="2060"/>
      <c r="AJ134" s="2060"/>
      <c r="AK134" s="2060"/>
      <c r="AL134" s="2060"/>
      <c r="AM134" s="1779"/>
      <c r="AN134" s="1779"/>
      <c r="AO134" s="2060"/>
      <c r="AP134" s="2060"/>
      <c r="AQ134" s="2060"/>
      <c r="AR134" s="2060"/>
      <c r="AS134" s="2060"/>
      <c r="AT134" s="2060"/>
      <c r="AU134" s="2060"/>
      <c r="AV134" s="2060"/>
      <c r="AW134" s="2060"/>
      <c r="AX134" s="2060"/>
      <c r="AY134" s="2060"/>
      <c r="AZ134" s="2060"/>
      <c r="BA134" s="2060"/>
      <c r="BB134" s="2060"/>
      <c r="BC134" s="2060"/>
      <c r="BD134" s="2060"/>
      <c r="BE134" s="2060"/>
      <c r="BF134" s="2060"/>
      <c r="BG134" s="2060"/>
      <c r="BH134" s="2060"/>
      <c r="BI134" s="2060"/>
      <c r="BJ134" s="2060"/>
      <c r="BK134" s="2060"/>
      <c r="BL134" s="2060"/>
      <c r="BM134" s="2060"/>
      <c r="BN134" s="2060"/>
      <c r="BO134" s="2060"/>
      <c r="BP134" s="2060"/>
      <c r="BQ134" s="2060"/>
      <c r="BR134" s="2060"/>
      <c r="BS134" s="2060"/>
      <c r="BT134" s="2060"/>
      <c r="BU134" s="2060"/>
      <c r="BV134" s="2060"/>
      <c r="BW134" s="2060"/>
      <c r="BX134" s="2060"/>
      <c r="BY134" s="2060"/>
      <c r="BZ134" s="2060"/>
      <c r="CA134" s="2060"/>
      <c r="CB134" s="2060"/>
      <c r="CC134" s="2060"/>
      <c r="CD134" s="2060"/>
      <c r="CE134" s="2060"/>
      <c r="CF134" s="2060"/>
      <c r="CG134" s="2060"/>
      <c r="CH134" s="2060"/>
      <c r="CI134" s="2060"/>
      <c r="CJ134" s="2060"/>
      <c r="CK134" s="2060"/>
      <c r="CL134" s="2060"/>
      <c r="CM134" s="2060"/>
      <c r="CN134" s="2060"/>
      <c r="CO134" s="2060"/>
      <c r="CP134" s="2060"/>
      <c r="CQ134" s="2060"/>
      <c r="CR134" s="2060"/>
      <c r="CS134" s="2060"/>
      <c r="CT134" s="2060"/>
      <c r="CU134" s="2060"/>
      <c r="CV134" s="2060"/>
      <c r="CW134" s="2060"/>
      <c r="CX134" s="2060"/>
      <c r="CY134" s="2060"/>
      <c r="CZ134" s="2060"/>
      <c r="DA134" s="2060"/>
      <c r="DB134" s="2060"/>
      <c r="DC134" s="2060"/>
      <c r="DD134" s="2060"/>
      <c r="DE134" s="2060"/>
      <c r="DF134" s="2060"/>
      <c r="DG134" s="2060"/>
      <c r="DH134" s="2060"/>
      <c r="DI134" s="2060"/>
      <c r="DJ134" s="2060"/>
      <c r="DK134" s="2060"/>
      <c r="DL134" s="2060"/>
      <c r="DM134" s="2060"/>
      <c r="DN134" s="2060"/>
      <c r="DO134" s="2060"/>
      <c r="DP134" s="2060"/>
      <c r="DQ134" s="2060"/>
      <c r="DR134" s="2060"/>
      <c r="DS134" s="2060"/>
      <c r="DT134" s="2060"/>
      <c r="DU134" s="2060"/>
      <c r="DV134" s="2060"/>
      <c r="DW134" s="2060"/>
      <c r="DX134" s="2060"/>
      <c r="DY134" s="2060"/>
      <c r="DZ134" s="2060"/>
      <c r="EA134" s="2060"/>
      <c r="EB134" s="2060"/>
      <c r="EC134" s="2060"/>
      <c r="ED134" s="2060"/>
      <c r="EE134" s="2060"/>
      <c r="EF134" s="2060"/>
      <c r="EG134" s="2060"/>
      <c r="EH134" s="2060"/>
      <c r="EI134" s="2060"/>
      <c r="EJ134" s="2060"/>
      <c r="EK134" s="2060"/>
      <c r="EL134" s="2060"/>
      <c r="EM134" s="2060"/>
      <c r="EN134" s="2060"/>
      <c r="EO134" s="2060"/>
      <c r="EP134" s="2060"/>
      <c r="EQ134" s="2060"/>
      <c r="ER134" s="2060"/>
      <c r="ES134" s="2060"/>
      <c r="ET134" s="2060"/>
      <c r="EU134" s="2060"/>
      <c r="EV134" s="2060"/>
      <c r="EW134" s="2060"/>
      <c r="EX134" s="2060"/>
      <c r="EY134" s="2060"/>
      <c r="EZ134" s="2060"/>
      <c r="FA134" s="2060"/>
      <c r="FB134" s="2060"/>
      <c r="FC134" s="2060"/>
      <c r="FD134" s="2060"/>
      <c r="FE134" s="2060"/>
      <c r="FF134" s="2060"/>
      <c r="FG134" s="2060"/>
      <c r="FH134" s="2060"/>
      <c r="FI134" s="2060"/>
      <c r="FJ134" s="2060"/>
      <c r="FK134" s="2060"/>
      <c r="FL134" s="2060"/>
      <c r="FM134" s="2060"/>
      <c r="FN134" s="2060"/>
      <c r="FO134" s="2060"/>
      <c r="FP134" s="2060"/>
      <c r="FQ134" s="2060"/>
      <c r="FR134" s="2060"/>
      <c r="FS134" s="2060"/>
      <c r="FT134" s="2060"/>
      <c r="FU134" s="2060"/>
      <c r="FV134" s="2060"/>
      <c r="FW134" s="2060"/>
      <c r="FX134" s="2060"/>
      <c r="FY134" s="2060"/>
      <c r="FZ134" s="2060"/>
      <c r="GA134" s="2060"/>
      <c r="GB134" s="2060"/>
      <c r="GC134" s="2060"/>
    </row>
    <row r="135" spans="1:185" customFormat="1">
      <c r="A135" s="1632" t="str">
        <f t="shared" si="14"/>
        <v>n</v>
      </c>
      <c r="B135" s="1004"/>
      <c r="C135" s="1502"/>
      <c r="D135" s="2229"/>
      <c r="E135" s="623" t="str">
        <f>'DATA GPC'!E26</f>
        <v>--</v>
      </c>
      <c r="F135" s="128"/>
      <c r="G135" s="1504" t="str">
        <f>IF(E135="--","--",'DATA GPC'!G26)</f>
        <v>--</v>
      </c>
      <c r="H135" s="1350" t="str">
        <f>IF($G135="--","--",_xll.ciqfunctions.udf.CIQ($G135,"IQ_CUSTOM_BETA",_xll.ciqfunctions.udf.CIQ('DATA GPC'!$S26,"IQ_PRICEDATE",EDATE(Valuation_date,-B1Yrs*12)),Valuation_date,IF(B1Freq="Weekly","W","M"),'DATA GPC'!$S26))</f>
        <v>--</v>
      </c>
      <c r="I135" s="1350" t="str">
        <f>IF($G135="--","--",_xll.ciqfunctions.udf.CIQ($G135,"IQ_CUSTOM_BETA_RSQ",_xll.ciqfunctions.udf.CIQ('DATA GPC'!$S26,"IQ_PRICEDATE",EDATE(Valuation_date,-B1Yrs*12)),Valuation_date,IF(B1Freq="Weekly","W","M"),'DATA GPC'!$S26))</f>
        <v>--</v>
      </c>
      <c r="J135" s="2230" t="str">
        <f t="shared" si="15"/>
        <v>--</v>
      </c>
      <c r="K135" s="2230" t="str">
        <f t="shared" si="16"/>
        <v>--</v>
      </c>
      <c r="L135" s="1776" t="str">
        <f>IF(OR($G135="--",H135="#NA"),"--",_xll.ciqfunctions.udf.CIQ($G135,"IQ_CUSTOM_BETA_DATA_POINTS",_xll.ciqfunctions.udf.CIQ('DATA GPC'!$S26,"IQ_PRICEDATE",EDATE(Valuation_date,-B1Yrs*12)),Valuation_date,IF(B1Freq="Weekly","W","M"),'DATA GPC'!$S26))</f>
        <v>--</v>
      </c>
      <c r="M135" s="2231" t="str">
        <f>IF($G135="--","--",_xll.ciqfunctions.udf.CIQ($G135,"IQ_CUSTOM_BETA",_xll.ciqfunctions.udf.CIQ('DATA GPC'!$S26,"IQ_PRICEDATE",EDATE(Valuation_date,-B2Yrs*12)),Valuation_date,IF(B2Freq="Weekly","W","M"),'DATA GPC'!$S26))</f>
        <v>--</v>
      </c>
      <c r="N135" s="1350" t="str">
        <f>IF($G135="--","--",_xll.ciqfunctions.udf.CIQ($G135,"IQ_CUSTOM_BETA_RSQ",_xll.ciqfunctions.udf.CIQ('DATA GPC'!$S26,"IQ_PRICEDATE",EDATE(Valuation_date,-B2Yrs*12)),Valuation_date,IF(B2Freq="Weekly","W","M"),'DATA GPC'!$S26))</f>
        <v>--</v>
      </c>
      <c r="O135" s="2230" t="str">
        <f t="shared" si="17"/>
        <v>--</v>
      </c>
      <c r="P135" s="2230" t="str">
        <f t="shared" si="18"/>
        <v>--</v>
      </c>
      <c r="Q135" s="1776" t="str">
        <f>IF(OR($G135="--",M135="#NA"),"--",_xll.ciqfunctions.udf.CIQ($G135,"IQ_CUSTOM_BETA_DATA_POINTS",_xll.ciqfunctions.udf.CIQ('DATA GPC'!$S26,"IQ_PRICEDATE",EDATE(Valuation_date,-B2Yrs*12)),Valuation_date,IF(B2Freq="Weekly","W","M"),'DATA GPC'!$S26))</f>
        <v>--</v>
      </c>
      <c r="R135" s="2231" t="str">
        <f>IF($G135="--","--",_xll.ciqfunctions.udf.CIQ($G135,"IQ_CUSTOM_BETA",_xll.ciqfunctions.udf.CIQ('DATA GPC'!$S26,"IQ_PRICEDATE",EDATE(Valuation_date,-B3Yrs*12)),Valuation_date,IF(B3Freq="Weekly","W","M"),'DATA GPC'!$S26))</f>
        <v>--</v>
      </c>
      <c r="S135" s="1350" t="str">
        <f>IF($G135="--","--",_xll.ciqfunctions.udf.CIQ($G135,"IQ_CUSTOM_BETA_RSQ",_xll.ciqfunctions.udf.CIQ('DATA GPC'!$S26,"IQ_PRICEDATE",EDATE(Valuation_date,-B3Yrs*12)),Valuation_date,IF(B3Freq="Weekly","W","M"),'DATA GPC'!$S26))</f>
        <v>--</v>
      </c>
      <c r="T135" s="2230" t="str">
        <f t="shared" si="19"/>
        <v>--</v>
      </c>
      <c r="U135" s="2230" t="str">
        <f t="shared" si="20"/>
        <v>--</v>
      </c>
      <c r="V135" s="1776" t="str">
        <f>IF(OR($G135="--",R135="#NA"),"--",_xll.ciqfunctions.udf.CIQ($G135,"IQ_CUSTOM_BETA_DATA_POINTS",_xll.ciqfunctions.udf.CIQ('DATA GPC'!$S26,"IQ_PRICEDATE",EDATE(Valuation_date,-B3Yrs*12)),Valuation_date,IF(B3Freq="Weekly","W","M"),'DATA GPC'!$S26))</f>
        <v>--</v>
      </c>
      <c r="W135" s="2231" t="str">
        <f>IF($G135="--","--",_xll.ciqfunctions.udf.CIQ($G135,"IQ_CUSTOM_BETA",_xll.ciqfunctions.udf.CIQ('DATA GPC'!$S26,"IQ_PRICEDATE",EDATE(Valuation_date,-B4Yrs*12)),Valuation_date,IF(B4Freq="Weekly","W","M"),'DATA GPC'!$S26))</f>
        <v>--</v>
      </c>
      <c r="X135" s="1350" t="str">
        <f>IF($G135="--","--",_xll.ciqfunctions.udf.CIQ($G135,"IQ_CUSTOM_BETA_RSQ",_xll.ciqfunctions.udf.CIQ('DATA GPC'!$S26,"IQ_PRICEDATE",EDATE(Valuation_date,-B4Yrs*12)),Valuation_date,IF(B4Freq="Weekly","W","M"),'DATA GPC'!$S26))</f>
        <v>--</v>
      </c>
      <c r="Y135" s="2230" t="str">
        <f t="shared" si="21"/>
        <v>--</v>
      </c>
      <c r="Z135" s="2230" t="str">
        <f t="shared" si="22"/>
        <v>--</v>
      </c>
      <c r="AA135" s="1776" t="str">
        <f>IF(OR($G135="--",W135="#NA"),"--",_xll.ciqfunctions.udf.CIQ($G135,"IQ_CUSTOM_BETA_DATA_POINTS",_xll.ciqfunctions.udf.CIQ('DATA GPC'!$S26,"IQ_PRICEDATE",EDATE(Valuation_date,-B4Yrs*12)),Valuation_date,IF(B4Freq="Weekly","W","M"),'DATA GPC'!$S26))</f>
        <v>--</v>
      </c>
      <c r="AB135" s="2060"/>
      <c r="AC135" s="2060"/>
      <c r="AD135" s="1004"/>
      <c r="AE135" s="2060"/>
      <c r="AF135" s="2060"/>
      <c r="AG135" s="2060"/>
      <c r="AH135" s="2060"/>
      <c r="AI135" s="2060"/>
      <c r="AJ135" s="2060"/>
      <c r="AK135" s="2060"/>
      <c r="AL135" s="2060"/>
      <c r="AM135" s="1779"/>
      <c r="AN135" s="1779"/>
      <c r="AO135" s="2060"/>
      <c r="AP135" s="2060"/>
      <c r="AQ135" s="2060"/>
      <c r="AR135" s="2060"/>
      <c r="AS135" s="2060"/>
      <c r="AT135" s="2060"/>
      <c r="AU135" s="2060"/>
      <c r="AV135" s="2060"/>
      <c r="AW135" s="2060"/>
      <c r="AX135" s="2060"/>
      <c r="AY135" s="2060"/>
      <c r="AZ135" s="2060"/>
      <c r="BA135" s="2060"/>
      <c r="BB135" s="2060"/>
      <c r="BC135" s="2060"/>
      <c r="BD135" s="2060"/>
      <c r="BE135" s="2060"/>
      <c r="BF135" s="2060"/>
      <c r="BG135" s="2060"/>
      <c r="BH135" s="2060"/>
      <c r="BI135" s="2060"/>
      <c r="BJ135" s="2060"/>
      <c r="BK135" s="2060"/>
      <c r="BL135" s="2060"/>
      <c r="BM135" s="2060"/>
      <c r="BN135" s="2060"/>
      <c r="BO135" s="2060"/>
      <c r="BP135" s="2060"/>
      <c r="BQ135" s="2060"/>
      <c r="BR135" s="2060"/>
      <c r="BS135" s="2060"/>
      <c r="BT135" s="2060"/>
      <c r="BU135" s="2060"/>
      <c r="BV135" s="2060"/>
      <c r="BW135" s="2060"/>
      <c r="BX135" s="2060"/>
      <c r="BY135" s="2060"/>
      <c r="BZ135" s="2060"/>
      <c r="CA135" s="2060"/>
      <c r="CB135" s="2060"/>
      <c r="CC135" s="2060"/>
      <c r="CD135" s="2060"/>
      <c r="CE135" s="2060"/>
      <c r="CF135" s="2060"/>
      <c r="CG135" s="2060"/>
      <c r="CH135" s="2060"/>
      <c r="CI135" s="2060"/>
      <c r="CJ135" s="2060"/>
      <c r="CK135" s="2060"/>
      <c r="CL135" s="2060"/>
      <c r="CM135" s="2060"/>
      <c r="CN135" s="2060"/>
      <c r="CO135" s="2060"/>
      <c r="CP135" s="2060"/>
      <c r="CQ135" s="2060"/>
      <c r="CR135" s="2060"/>
      <c r="CS135" s="2060"/>
      <c r="CT135" s="2060"/>
      <c r="CU135" s="2060"/>
      <c r="CV135" s="2060"/>
      <c r="CW135" s="2060"/>
      <c r="CX135" s="2060"/>
      <c r="CY135" s="2060"/>
      <c r="CZ135" s="2060"/>
      <c r="DA135" s="2060"/>
      <c r="DB135" s="2060"/>
      <c r="DC135" s="2060"/>
      <c r="DD135" s="2060"/>
      <c r="DE135" s="2060"/>
      <c r="DF135" s="2060"/>
      <c r="DG135" s="2060"/>
      <c r="DH135" s="2060"/>
      <c r="DI135" s="2060"/>
      <c r="DJ135" s="2060"/>
      <c r="DK135" s="2060"/>
      <c r="DL135" s="2060"/>
      <c r="DM135" s="2060"/>
      <c r="DN135" s="2060"/>
      <c r="DO135" s="2060"/>
      <c r="DP135" s="2060"/>
      <c r="DQ135" s="2060"/>
      <c r="DR135" s="2060"/>
      <c r="DS135" s="2060"/>
      <c r="DT135" s="2060"/>
      <c r="DU135" s="2060"/>
      <c r="DV135" s="2060"/>
      <c r="DW135" s="2060"/>
      <c r="DX135" s="2060"/>
      <c r="DY135" s="2060"/>
      <c r="DZ135" s="2060"/>
      <c r="EA135" s="2060"/>
      <c r="EB135" s="2060"/>
      <c r="EC135" s="2060"/>
      <c r="ED135" s="2060"/>
      <c r="EE135" s="2060"/>
      <c r="EF135" s="2060"/>
      <c r="EG135" s="2060"/>
      <c r="EH135" s="2060"/>
      <c r="EI135" s="2060"/>
      <c r="EJ135" s="2060"/>
      <c r="EK135" s="2060"/>
      <c r="EL135" s="2060"/>
      <c r="EM135" s="2060"/>
      <c r="EN135" s="2060"/>
      <c r="EO135" s="2060"/>
      <c r="EP135" s="2060"/>
      <c r="EQ135" s="2060"/>
      <c r="ER135" s="2060"/>
      <c r="ES135" s="2060"/>
      <c r="ET135" s="2060"/>
      <c r="EU135" s="2060"/>
      <c r="EV135" s="2060"/>
      <c r="EW135" s="2060"/>
      <c r="EX135" s="2060"/>
      <c r="EY135" s="2060"/>
      <c r="EZ135" s="2060"/>
      <c r="FA135" s="2060"/>
      <c r="FB135" s="2060"/>
      <c r="FC135" s="2060"/>
      <c r="FD135" s="2060"/>
      <c r="FE135" s="2060"/>
      <c r="FF135" s="2060"/>
      <c r="FG135" s="2060"/>
      <c r="FH135" s="2060"/>
      <c r="FI135" s="2060"/>
      <c r="FJ135" s="2060"/>
      <c r="FK135" s="2060"/>
      <c r="FL135" s="2060"/>
      <c r="FM135" s="2060"/>
      <c r="FN135" s="2060"/>
      <c r="FO135" s="2060"/>
      <c r="FP135" s="2060"/>
      <c r="FQ135" s="2060"/>
      <c r="FR135" s="2060"/>
      <c r="FS135" s="2060"/>
      <c r="FT135" s="2060"/>
      <c r="FU135" s="2060"/>
      <c r="FV135" s="2060"/>
      <c r="FW135" s="2060"/>
      <c r="FX135" s="2060"/>
      <c r="FY135" s="2060"/>
      <c r="FZ135" s="2060"/>
      <c r="GA135" s="2060"/>
      <c r="GB135" s="2060"/>
      <c r="GC135" s="2060"/>
    </row>
    <row r="136" spans="1:185" customFormat="1">
      <c r="A136" s="1632" t="str">
        <f t="shared" si="14"/>
        <v>n</v>
      </c>
      <c r="B136" s="1004"/>
      <c r="C136" s="1502"/>
      <c r="D136" s="2229"/>
      <c r="E136" s="623" t="str">
        <f>'DATA GPC'!E27</f>
        <v>--</v>
      </c>
      <c r="F136" s="128"/>
      <c r="G136" s="1504" t="str">
        <f>IF(E136="--","--",'DATA GPC'!G27)</f>
        <v>--</v>
      </c>
      <c r="H136" s="1350" t="str">
        <f>IF($G136="--","--",_xll.ciqfunctions.udf.CIQ($G136,"IQ_CUSTOM_BETA",_xll.ciqfunctions.udf.CIQ('DATA GPC'!$S27,"IQ_PRICEDATE",EDATE(Valuation_date,-B1Yrs*12)),Valuation_date,IF(B1Freq="Weekly","W","M"),'DATA GPC'!$S27))</f>
        <v>--</v>
      </c>
      <c r="I136" s="1350" t="str">
        <f>IF($G136="--","--",_xll.ciqfunctions.udf.CIQ($G136,"IQ_CUSTOM_BETA_RSQ",_xll.ciqfunctions.udf.CIQ('DATA GPC'!$S27,"IQ_PRICEDATE",EDATE(Valuation_date,-B1Yrs*12)),Valuation_date,IF(B1Freq="Weekly","W","M"),'DATA GPC'!$S27))</f>
        <v>--</v>
      </c>
      <c r="J136" s="2230" t="str">
        <f t="shared" si="15"/>
        <v>--</v>
      </c>
      <c r="K136" s="2230" t="str">
        <f t="shared" si="16"/>
        <v>--</v>
      </c>
      <c r="L136" s="1776" t="str">
        <f>IF(OR($G136="--",H136="#NA"),"--",_xll.ciqfunctions.udf.CIQ($G136,"IQ_CUSTOM_BETA_DATA_POINTS",_xll.ciqfunctions.udf.CIQ('DATA GPC'!$S27,"IQ_PRICEDATE",EDATE(Valuation_date,-B1Yrs*12)),Valuation_date,IF(B1Freq="Weekly","W","M"),'DATA GPC'!$S27))</f>
        <v>--</v>
      </c>
      <c r="M136" s="2231" t="str">
        <f>IF($G136="--","--",_xll.ciqfunctions.udf.CIQ($G136,"IQ_CUSTOM_BETA",_xll.ciqfunctions.udf.CIQ('DATA GPC'!$S27,"IQ_PRICEDATE",EDATE(Valuation_date,-B2Yrs*12)),Valuation_date,IF(B2Freq="Weekly","W","M"),'DATA GPC'!$S27))</f>
        <v>--</v>
      </c>
      <c r="N136" s="1350" t="str">
        <f>IF($G136="--","--",_xll.ciqfunctions.udf.CIQ($G136,"IQ_CUSTOM_BETA_RSQ",_xll.ciqfunctions.udf.CIQ('DATA GPC'!$S27,"IQ_PRICEDATE",EDATE(Valuation_date,-B2Yrs*12)),Valuation_date,IF(B2Freq="Weekly","W","M"),'DATA GPC'!$S27))</f>
        <v>--</v>
      </c>
      <c r="O136" s="2230" t="str">
        <f t="shared" si="17"/>
        <v>--</v>
      </c>
      <c r="P136" s="2230" t="str">
        <f t="shared" si="18"/>
        <v>--</v>
      </c>
      <c r="Q136" s="1776" t="str">
        <f>IF(OR($G136="--",M136="#NA"),"--",_xll.ciqfunctions.udf.CIQ($G136,"IQ_CUSTOM_BETA_DATA_POINTS",_xll.ciqfunctions.udf.CIQ('DATA GPC'!$S27,"IQ_PRICEDATE",EDATE(Valuation_date,-B2Yrs*12)),Valuation_date,IF(B2Freq="Weekly","W","M"),'DATA GPC'!$S27))</f>
        <v>--</v>
      </c>
      <c r="R136" s="2231" t="str">
        <f>IF($G136="--","--",_xll.ciqfunctions.udf.CIQ($G136,"IQ_CUSTOM_BETA",_xll.ciqfunctions.udf.CIQ('DATA GPC'!$S27,"IQ_PRICEDATE",EDATE(Valuation_date,-B3Yrs*12)),Valuation_date,IF(B3Freq="Weekly","W","M"),'DATA GPC'!$S27))</f>
        <v>--</v>
      </c>
      <c r="S136" s="1350" t="str">
        <f>IF($G136="--","--",_xll.ciqfunctions.udf.CIQ($G136,"IQ_CUSTOM_BETA_RSQ",_xll.ciqfunctions.udf.CIQ('DATA GPC'!$S27,"IQ_PRICEDATE",EDATE(Valuation_date,-B3Yrs*12)),Valuation_date,IF(B3Freq="Weekly","W","M"),'DATA GPC'!$S27))</f>
        <v>--</v>
      </c>
      <c r="T136" s="2230" t="str">
        <f t="shared" si="19"/>
        <v>--</v>
      </c>
      <c r="U136" s="2230" t="str">
        <f t="shared" si="20"/>
        <v>--</v>
      </c>
      <c r="V136" s="1776" t="str">
        <f>IF(OR($G136="--",R136="#NA"),"--",_xll.ciqfunctions.udf.CIQ($G136,"IQ_CUSTOM_BETA_DATA_POINTS",_xll.ciqfunctions.udf.CIQ('DATA GPC'!$S27,"IQ_PRICEDATE",EDATE(Valuation_date,-B3Yrs*12)),Valuation_date,IF(B3Freq="Weekly","W","M"),'DATA GPC'!$S27))</f>
        <v>--</v>
      </c>
      <c r="W136" s="2231" t="str">
        <f>IF($G136="--","--",_xll.ciqfunctions.udf.CIQ($G136,"IQ_CUSTOM_BETA",_xll.ciqfunctions.udf.CIQ('DATA GPC'!$S27,"IQ_PRICEDATE",EDATE(Valuation_date,-B4Yrs*12)),Valuation_date,IF(B4Freq="Weekly","W","M"),'DATA GPC'!$S27))</f>
        <v>--</v>
      </c>
      <c r="X136" s="1350" t="str">
        <f>IF($G136="--","--",_xll.ciqfunctions.udf.CIQ($G136,"IQ_CUSTOM_BETA_RSQ",_xll.ciqfunctions.udf.CIQ('DATA GPC'!$S27,"IQ_PRICEDATE",EDATE(Valuation_date,-B4Yrs*12)),Valuation_date,IF(B4Freq="Weekly","W","M"),'DATA GPC'!$S27))</f>
        <v>--</v>
      </c>
      <c r="Y136" s="2230" t="str">
        <f t="shared" si="21"/>
        <v>--</v>
      </c>
      <c r="Z136" s="2230" t="str">
        <f t="shared" si="22"/>
        <v>--</v>
      </c>
      <c r="AA136" s="1776" t="str">
        <f>IF(OR($G136="--",W136="#NA"),"--",_xll.ciqfunctions.udf.CIQ($G136,"IQ_CUSTOM_BETA_DATA_POINTS",_xll.ciqfunctions.udf.CIQ('DATA GPC'!$S27,"IQ_PRICEDATE",EDATE(Valuation_date,-B4Yrs*12)),Valuation_date,IF(B4Freq="Weekly","W","M"),'DATA GPC'!$S27))</f>
        <v>--</v>
      </c>
      <c r="AB136" s="2060"/>
      <c r="AC136" s="2060"/>
      <c r="AD136" s="1004"/>
      <c r="AE136" s="2060"/>
      <c r="AF136" s="2060"/>
      <c r="AG136" s="2060"/>
      <c r="AH136" s="2060"/>
      <c r="AI136" s="2060"/>
      <c r="AJ136" s="2060"/>
      <c r="AK136" s="2060"/>
      <c r="AL136" s="2060"/>
      <c r="AM136" s="1779"/>
      <c r="AN136" s="1779"/>
      <c r="AO136" s="2060"/>
      <c r="AP136" s="2060"/>
      <c r="AQ136" s="2060"/>
      <c r="AR136" s="2060"/>
      <c r="AS136" s="2060"/>
      <c r="AT136" s="2060"/>
      <c r="AU136" s="2060"/>
      <c r="AV136" s="2060"/>
      <c r="AW136" s="2060"/>
      <c r="AX136" s="2060"/>
      <c r="AY136" s="2060"/>
      <c r="AZ136" s="2060"/>
      <c r="BA136" s="2060"/>
      <c r="BB136" s="2060"/>
      <c r="BC136" s="2060"/>
      <c r="BD136" s="2060"/>
      <c r="BE136" s="2060"/>
      <c r="BF136" s="2060"/>
      <c r="BG136" s="2060"/>
      <c r="BH136" s="2060"/>
      <c r="BI136" s="2060"/>
      <c r="BJ136" s="2060"/>
      <c r="BK136" s="2060"/>
      <c r="BL136" s="2060"/>
      <c r="BM136" s="2060"/>
      <c r="BN136" s="2060"/>
      <c r="BO136" s="2060"/>
      <c r="BP136" s="2060"/>
      <c r="BQ136" s="2060"/>
      <c r="BR136" s="2060"/>
      <c r="BS136" s="2060"/>
      <c r="BT136" s="2060"/>
      <c r="BU136" s="2060"/>
      <c r="BV136" s="2060"/>
      <c r="BW136" s="2060"/>
      <c r="BX136" s="2060"/>
      <c r="BY136" s="2060"/>
      <c r="BZ136" s="2060"/>
      <c r="CA136" s="2060"/>
      <c r="CB136" s="2060"/>
      <c r="CC136" s="2060"/>
      <c r="CD136" s="2060"/>
      <c r="CE136" s="2060"/>
      <c r="CF136" s="2060"/>
      <c r="CG136" s="2060"/>
      <c r="CH136" s="2060"/>
      <c r="CI136" s="2060"/>
      <c r="CJ136" s="2060"/>
      <c r="CK136" s="2060"/>
      <c r="CL136" s="2060"/>
      <c r="CM136" s="2060"/>
      <c r="CN136" s="2060"/>
      <c r="CO136" s="2060"/>
      <c r="CP136" s="2060"/>
      <c r="CQ136" s="2060"/>
      <c r="CR136" s="2060"/>
      <c r="CS136" s="2060"/>
      <c r="CT136" s="2060"/>
      <c r="CU136" s="2060"/>
      <c r="CV136" s="2060"/>
      <c r="CW136" s="2060"/>
      <c r="CX136" s="2060"/>
      <c r="CY136" s="2060"/>
      <c r="CZ136" s="2060"/>
      <c r="DA136" s="2060"/>
      <c r="DB136" s="2060"/>
      <c r="DC136" s="2060"/>
      <c r="DD136" s="2060"/>
      <c r="DE136" s="2060"/>
      <c r="DF136" s="2060"/>
      <c r="DG136" s="2060"/>
      <c r="DH136" s="2060"/>
      <c r="DI136" s="2060"/>
      <c r="DJ136" s="2060"/>
      <c r="DK136" s="2060"/>
      <c r="DL136" s="2060"/>
      <c r="DM136" s="2060"/>
      <c r="DN136" s="2060"/>
      <c r="DO136" s="2060"/>
      <c r="DP136" s="2060"/>
      <c r="DQ136" s="2060"/>
      <c r="DR136" s="2060"/>
      <c r="DS136" s="2060"/>
      <c r="DT136" s="2060"/>
      <c r="DU136" s="2060"/>
      <c r="DV136" s="2060"/>
      <c r="DW136" s="2060"/>
      <c r="DX136" s="2060"/>
      <c r="DY136" s="2060"/>
      <c r="DZ136" s="2060"/>
      <c r="EA136" s="2060"/>
      <c r="EB136" s="2060"/>
      <c r="EC136" s="2060"/>
      <c r="ED136" s="2060"/>
      <c r="EE136" s="2060"/>
      <c r="EF136" s="2060"/>
      <c r="EG136" s="2060"/>
      <c r="EH136" s="2060"/>
      <c r="EI136" s="2060"/>
      <c r="EJ136" s="2060"/>
      <c r="EK136" s="2060"/>
      <c r="EL136" s="2060"/>
      <c r="EM136" s="2060"/>
      <c r="EN136" s="2060"/>
      <c r="EO136" s="2060"/>
      <c r="EP136" s="2060"/>
      <c r="EQ136" s="2060"/>
      <c r="ER136" s="2060"/>
      <c r="ES136" s="2060"/>
      <c r="ET136" s="2060"/>
      <c r="EU136" s="2060"/>
      <c r="EV136" s="2060"/>
      <c r="EW136" s="2060"/>
      <c r="EX136" s="2060"/>
      <c r="EY136" s="2060"/>
      <c r="EZ136" s="2060"/>
      <c r="FA136" s="2060"/>
      <c r="FB136" s="2060"/>
      <c r="FC136" s="2060"/>
      <c r="FD136" s="2060"/>
      <c r="FE136" s="2060"/>
      <c r="FF136" s="2060"/>
      <c r="FG136" s="2060"/>
      <c r="FH136" s="2060"/>
      <c r="FI136" s="2060"/>
      <c r="FJ136" s="2060"/>
      <c r="FK136" s="2060"/>
      <c r="FL136" s="2060"/>
      <c r="FM136" s="2060"/>
      <c r="FN136" s="2060"/>
      <c r="FO136" s="2060"/>
      <c r="FP136" s="2060"/>
      <c r="FQ136" s="2060"/>
      <c r="FR136" s="2060"/>
      <c r="FS136" s="2060"/>
      <c r="FT136" s="2060"/>
      <c r="FU136" s="2060"/>
      <c r="FV136" s="2060"/>
      <c r="FW136" s="2060"/>
      <c r="FX136" s="2060"/>
      <c r="FY136" s="2060"/>
      <c r="FZ136" s="2060"/>
      <c r="GA136" s="2060"/>
      <c r="GB136" s="2060"/>
      <c r="GC136" s="2060"/>
    </row>
    <row r="137" spans="1:185" customFormat="1" ht="12.75" customHeight="1">
      <c r="A137" s="1632" t="str">
        <f t="shared" si="14"/>
        <v>n</v>
      </c>
      <c r="B137" s="1004"/>
      <c r="C137" s="1502"/>
      <c r="D137" s="2229"/>
      <c r="E137" s="623" t="str">
        <f>'DATA GPC'!E28</f>
        <v>--</v>
      </c>
      <c r="F137" s="128"/>
      <c r="G137" s="1504" t="str">
        <f>IF(E137="--","--",'DATA GPC'!G28)</f>
        <v>--</v>
      </c>
      <c r="H137" s="1350" t="str">
        <f>IF($G137="--","--",_xll.ciqfunctions.udf.CIQ($G137,"IQ_CUSTOM_BETA",_xll.ciqfunctions.udf.CIQ('DATA GPC'!$S28,"IQ_PRICEDATE",EDATE(Valuation_date,-B1Yrs*12)),Valuation_date,IF(B1Freq="Weekly","W","M"),'DATA GPC'!$S28))</f>
        <v>--</v>
      </c>
      <c r="I137" s="1350" t="str">
        <f>IF($G137="--","--",_xll.ciqfunctions.udf.CIQ($G137,"IQ_CUSTOM_BETA_RSQ",_xll.ciqfunctions.udf.CIQ('DATA GPC'!$S28,"IQ_PRICEDATE",EDATE(Valuation_date,-B1Yrs*12)),Valuation_date,IF(B1Freq="Weekly","W","M"),'DATA GPC'!$S28))</f>
        <v>--</v>
      </c>
      <c r="J137" s="2230" t="str">
        <f t="shared" si="15"/>
        <v>--</v>
      </c>
      <c r="K137" s="2230" t="str">
        <f t="shared" si="16"/>
        <v>--</v>
      </c>
      <c r="L137" s="1776" t="str">
        <f>IF(OR($G137="--",H137="#NA"),"--",_xll.ciqfunctions.udf.CIQ($G137,"IQ_CUSTOM_BETA_DATA_POINTS",_xll.ciqfunctions.udf.CIQ('DATA GPC'!$S28,"IQ_PRICEDATE",EDATE(Valuation_date,-B1Yrs*12)),Valuation_date,IF(B1Freq="Weekly","W","M"),'DATA GPC'!$S28))</f>
        <v>--</v>
      </c>
      <c r="M137" s="2231" t="str">
        <f>IF($G137="--","--",_xll.ciqfunctions.udf.CIQ($G137,"IQ_CUSTOM_BETA",_xll.ciqfunctions.udf.CIQ('DATA GPC'!$S28,"IQ_PRICEDATE",EDATE(Valuation_date,-B2Yrs*12)),Valuation_date,IF(B2Freq="Weekly","W","M"),'DATA GPC'!$S28))</f>
        <v>--</v>
      </c>
      <c r="N137" s="1350" t="str">
        <f>IF($G137="--","--",_xll.ciqfunctions.udf.CIQ($G137,"IQ_CUSTOM_BETA_RSQ",_xll.ciqfunctions.udf.CIQ('DATA GPC'!$S28,"IQ_PRICEDATE",EDATE(Valuation_date,-B2Yrs*12)),Valuation_date,IF(B2Freq="Weekly","W","M"),'DATA GPC'!$S28))</f>
        <v>--</v>
      </c>
      <c r="O137" s="2230" t="str">
        <f t="shared" si="17"/>
        <v>--</v>
      </c>
      <c r="P137" s="2230" t="str">
        <f t="shared" si="18"/>
        <v>--</v>
      </c>
      <c r="Q137" s="1776" t="str">
        <f>IF(OR($G137="--",M137="#NA"),"--",_xll.ciqfunctions.udf.CIQ($G137,"IQ_CUSTOM_BETA_DATA_POINTS",_xll.ciqfunctions.udf.CIQ('DATA GPC'!$S28,"IQ_PRICEDATE",EDATE(Valuation_date,-B2Yrs*12)),Valuation_date,IF(B2Freq="Weekly","W","M"),'DATA GPC'!$S28))</f>
        <v>--</v>
      </c>
      <c r="R137" s="2231" t="str">
        <f>IF($G137="--","--",_xll.ciqfunctions.udf.CIQ($G137,"IQ_CUSTOM_BETA",_xll.ciqfunctions.udf.CIQ('DATA GPC'!$S28,"IQ_PRICEDATE",EDATE(Valuation_date,-B3Yrs*12)),Valuation_date,IF(B3Freq="Weekly","W","M"),'DATA GPC'!$S28))</f>
        <v>--</v>
      </c>
      <c r="S137" s="1350" t="str">
        <f>IF($G137="--","--",_xll.ciqfunctions.udf.CIQ($G137,"IQ_CUSTOM_BETA_RSQ",_xll.ciqfunctions.udf.CIQ('DATA GPC'!$S28,"IQ_PRICEDATE",EDATE(Valuation_date,-B3Yrs*12)),Valuation_date,IF(B3Freq="Weekly","W","M"),'DATA GPC'!$S28))</f>
        <v>--</v>
      </c>
      <c r="T137" s="2230" t="str">
        <f t="shared" si="19"/>
        <v>--</v>
      </c>
      <c r="U137" s="2230" t="str">
        <f t="shared" si="20"/>
        <v>--</v>
      </c>
      <c r="V137" s="1776" t="str">
        <f>IF(OR($G137="--",R137="#NA"),"--",_xll.ciqfunctions.udf.CIQ($G137,"IQ_CUSTOM_BETA_DATA_POINTS",_xll.ciqfunctions.udf.CIQ('DATA GPC'!$S28,"IQ_PRICEDATE",EDATE(Valuation_date,-B3Yrs*12)),Valuation_date,IF(B3Freq="Weekly","W","M"),'DATA GPC'!$S28))</f>
        <v>--</v>
      </c>
      <c r="W137" s="2231" t="str">
        <f>IF($G137="--","--",_xll.ciqfunctions.udf.CIQ($G137,"IQ_CUSTOM_BETA",_xll.ciqfunctions.udf.CIQ('DATA GPC'!$S28,"IQ_PRICEDATE",EDATE(Valuation_date,-B4Yrs*12)),Valuation_date,IF(B4Freq="Weekly","W","M"),'DATA GPC'!$S28))</f>
        <v>--</v>
      </c>
      <c r="X137" s="1350" t="str">
        <f>IF($G137="--","--",_xll.ciqfunctions.udf.CIQ($G137,"IQ_CUSTOM_BETA_RSQ",_xll.ciqfunctions.udf.CIQ('DATA GPC'!$S28,"IQ_PRICEDATE",EDATE(Valuation_date,-B4Yrs*12)),Valuation_date,IF(B4Freq="Weekly","W","M"),'DATA GPC'!$S28))</f>
        <v>--</v>
      </c>
      <c r="Y137" s="2230" t="str">
        <f t="shared" si="21"/>
        <v>--</v>
      </c>
      <c r="Z137" s="2230" t="str">
        <f t="shared" si="22"/>
        <v>--</v>
      </c>
      <c r="AA137" s="1776" t="str">
        <f>IF(OR($G137="--",W137="#NA"),"--",_xll.ciqfunctions.udf.CIQ($G137,"IQ_CUSTOM_BETA_DATA_POINTS",_xll.ciqfunctions.udf.CIQ('DATA GPC'!$S28,"IQ_PRICEDATE",EDATE(Valuation_date,-B4Yrs*12)),Valuation_date,IF(B4Freq="Weekly","W","M"),'DATA GPC'!$S28))</f>
        <v>--</v>
      </c>
      <c r="AB137" s="2060"/>
      <c r="AC137" s="2060"/>
      <c r="AD137" s="1004"/>
      <c r="AE137" s="2060"/>
      <c r="AF137" s="2060"/>
      <c r="AG137" s="2060"/>
      <c r="AH137" s="2060"/>
      <c r="AI137" s="2060"/>
      <c r="AJ137" s="2060"/>
      <c r="AK137" s="2060"/>
      <c r="AL137" s="2060"/>
      <c r="AM137" s="1779"/>
      <c r="AN137" s="1779"/>
      <c r="AO137" s="2060"/>
      <c r="AP137" s="2060"/>
      <c r="AQ137" s="2060"/>
      <c r="AR137" s="2060"/>
      <c r="AS137" s="2060"/>
      <c r="AT137" s="2060"/>
      <c r="AU137" s="2060"/>
      <c r="AV137" s="2060"/>
      <c r="AW137" s="2060"/>
      <c r="AX137" s="2060"/>
      <c r="AY137" s="2060"/>
      <c r="AZ137" s="2060"/>
      <c r="BA137" s="2060"/>
      <c r="BB137" s="2060"/>
      <c r="BC137" s="2060"/>
      <c r="BD137" s="2060"/>
      <c r="BE137" s="2060"/>
      <c r="BF137" s="2060"/>
      <c r="BG137" s="2060"/>
      <c r="BH137" s="2060"/>
      <c r="BI137" s="2060"/>
      <c r="BJ137" s="2060"/>
      <c r="BK137" s="2060"/>
      <c r="BL137" s="2060"/>
      <c r="BM137" s="2060"/>
      <c r="BN137" s="2060"/>
      <c r="BO137" s="2060"/>
      <c r="BP137" s="2060"/>
      <c r="BQ137" s="2060"/>
      <c r="BR137" s="2060"/>
      <c r="BS137" s="2060"/>
      <c r="BT137" s="2060"/>
      <c r="BU137" s="2060"/>
      <c r="BV137" s="2060"/>
      <c r="BW137" s="2060"/>
      <c r="BX137" s="2060"/>
      <c r="BY137" s="2060"/>
      <c r="BZ137" s="2060"/>
      <c r="CA137" s="2060"/>
      <c r="CB137" s="2060"/>
      <c r="CC137" s="2060"/>
      <c r="CD137" s="2060"/>
      <c r="CE137" s="2060"/>
      <c r="CF137" s="2060"/>
      <c r="CG137" s="2060"/>
      <c r="CH137" s="2060"/>
      <c r="CI137" s="2060"/>
      <c r="CJ137" s="2060"/>
      <c r="CK137" s="2060"/>
      <c r="CL137" s="2060"/>
      <c r="CM137" s="2060"/>
      <c r="CN137" s="2060"/>
      <c r="CO137" s="2060"/>
      <c r="CP137" s="2060"/>
      <c r="CQ137" s="2060"/>
      <c r="CR137" s="2060"/>
      <c r="CS137" s="2060"/>
      <c r="CT137" s="2060"/>
      <c r="CU137" s="2060"/>
      <c r="CV137" s="2060"/>
      <c r="CW137" s="2060"/>
      <c r="CX137" s="2060"/>
      <c r="CY137" s="2060"/>
      <c r="CZ137" s="2060"/>
      <c r="DA137" s="2060"/>
      <c r="DB137" s="2060"/>
      <c r="DC137" s="2060"/>
      <c r="DD137" s="2060"/>
      <c r="DE137" s="2060"/>
      <c r="DF137" s="2060"/>
      <c r="DG137" s="2060"/>
      <c r="DH137" s="2060"/>
      <c r="DI137" s="2060"/>
      <c r="DJ137" s="2060"/>
      <c r="DK137" s="2060"/>
      <c r="DL137" s="2060"/>
      <c r="DM137" s="2060"/>
      <c r="DN137" s="2060"/>
      <c r="DO137" s="2060"/>
      <c r="DP137" s="2060"/>
      <c r="DQ137" s="2060"/>
      <c r="DR137" s="2060"/>
      <c r="DS137" s="2060"/>
      <c r="DT137" s="2060"/>
      <c r="DU137" s="2060"/>
      <c r="DV137" s="2060"/>
      <c r="DW137" s="2060"/>
      <c r="DX137" s="2060"/>
      <c r="DY137" s="2060"/>
      <c r="DZ137" s="2060"/>
      <c r="EA137" s="2060"/>
      <c r="EB137" s="2060"/>
      <c r="EC137" s="2060"/>
      <c r="ED137" s="2060"/>
      <c r="EE137" s="2060"/>
      <c r="EF137" s="2060"/>
      <c r="EG137" s="2060"/>
      <c r="EH137" s="2060"/>
      <c r="EI137" s="2060"/>
      <c r="EJ137" s="2060"/>
      <c r="EK137" s="2060"/>
      <c r="EL137" s="2060"/>
      <c r="EM137" s="2060"/>
      <c r="EN137" s="2060"/>
      <c r="EO137" s="2060"/>
      <c r="EP137" s="2060"/>
      <c r="EQ137" s="2060"/>
      <c r="ER137" s="2060"/>
      <c r="ES137" s="2060"/>
      <c r="ET137" s="2060"/>
      <c r="EU137" s="2060"/>
      <c r="EV137" s="2060"/>
      <c r="EW137" s="2060"/>
      <c r="EX137" s="2060"/>
      <c r="EY137" s="2060"/>
      <c r="EZ137" s="2060"/>
      <c r="FA137" s="2060"/>
      <c r="FB137" s="2060"/>
      <c r="FC137" s="2060"/>
      <c r="FD137" s="2060"/>
      <c r="FE137" s="2060"/>
      <c r="FF137" s="2060"/>
      <c r="FG137" s="2060"/>
      <c r="FH137" s="2060"/>
      <c r="FI137" s="2060"/>
      <c r="FJ137" s="2060"/>
      <c r="FK137" s="2060"/>
      <c r="FL137" s="2060"/>
      <c r="FM137" s="2060"/>
      <c r="FN137" s="2060"/>
      <c r="FO137" s="2060"/>
      <c r="FP137" s="2060"/>
      <c r="FQ137" s="2060"/>
      <c r="FR137" s="2060"/>
      <c r="FS137" s="2060"/>
      <c r="FT137" s="2060"/>
      <c r="FU137" s="2060"/>
      <c r="FV137" s="2060"/>
      <c r="FW137" s="2060"/>
      <c r="FX137" s="2060"/>
      <c r="FY137" s="2060"/>
      <c r="FZ137" s="2060"/>
      <c r="GA137" s="2060"/>
      <c r="GB137" s="2060"/>
      <c r="GC137" s="2060"/>
    </row>
    <row r="138" spans="1:185" customFormat="1" ht="12.75" customHeight="1">
      <c r="A138" s="1632" t="str">
        <f t="shared" si="14"/>
        <v>n</v>
      </c>
      <c r="B138" s="1004"/>
      <c r="C138" s="1502"/>
      <c r="D138" s="2229"/>
      <c r="E138" s="623" t="str">
        <f>'DATA GPC'!E29</f>
        <v>--</v>
      </c>
      <c r="F138" s="128"/>
      <c r="G138" s="1504" t="str">
        <f>IF(E138="--","--",'DATA GPC'!G29)</f>
        <v>--</v>
      </c>
      <c r="H138" s="1350" t="str">
        <f>IF($G138="--","--",_xll.ciqfunctions.udf.CIQ($G138,"IQ_CUSTOM_BETA",_xll.ciqfunctions.udf.CIQ('DATA GPC'!$S29,"IQ_PRICEDATE",EDATE(Valuation_date,-B1Yrs*12)),Valuation_date,IF(B1Freq="Weekly","W","M"),'DATA GPC'!$S29))</f>
        <v>--</v>
      </c>
      <c r="I138" s="1350" t="str">
        <f>IF($G138="--","--",_xll.ciqfunctions.udf.CIQ($G138,"IQ_CUSTOM_BETA_RSQ",_xll.ciqfunctions.udf.CIQ('DATA GPC'!$S29,"IQ_PRICEDATE",EDATE(Valuation_date,-B1Yrs*12)),Valuation_date,IF(B1Freq="Weekly","W","M"),'DATA GPC'!$S29))</f>
        <v>--</v>
      </c>
      <c r="J138" s="2230" t="str">
        <f t="shared" si="15"/>
        <v>--</v>
      </c>
      <c r="K138" s="2230" t="str">
        <f t="shared" si="16"/>
        <v>--</v>
      </c>
      <c r="L138" s="1776" t="str">
        <f>IF(OR($G138="--",H138="#NA"),"--",_xll.ciqfunctions.udf.CIQ($G138,"IQ_CUSTOM_BETA_DATA_POINTS",_xll.ciqfunctions.udf.CIQ('DATA GPC'!$S29,"IQ_PRICEDATE",EDATE(Valuation_date,-B1Yrs*12)),Valuation_date,IF(B1Freq="Weekly","W","M"),'DATA GPC'!$S29))</f>
        <v>--</v>
      </c>
      <c r="M138" s="2231" t="str">
        <f>IF($G138="--","--",_xll.ciqfunctions.udf.CIQ($G138,"IQ_CUSTOM_BETA",_xll.ciqfunctions.udf.CIQ('DATA GPC'!$S29,"IQ_PRICEDATE",EDATE(Valuation_date,-B2Yrs*12)),Valuation_date,IF(B2Freq="Weekly","W","M"),'DATA GPC'!$S29))</f>
        <v>--</v>
      </c>
      <c r="N138" s="1350" t="str">
        <f>IF($G138="--","--",_xll.ciqfunctions.udf.CIQ($G138,"IQ_CUSTOM_BETA_RSQ",_xll.ciqfunctions.udf.CIQ('DATA GPC'!$S29,"IQ_PRICEDATE",EDATE(Valuation_date,-B2Yrs*12)),Valuation_date,IF(B2Freq="Weekly","W","M"),'DATA GPC'!$S29))</f>
        <v>--</v>
      </c>
      <c r="O138" s="2230" t="str">
        <f t="shared" si="17"/>
        <v>--</v>
      </c>
      <c r="P138" s="2230" t="str">
        <f t="shared" si="18"/>
        <v>--</v>
      </c>
      <c r="Q138" s="1776" t="str">
        <f>IF(OR($G138="--",M138="#NA"),"--",_xll.ciqfunctions.udf.CIQ($G138,"IQ_CUSTOM_BETA_DATA_POINTS",_xll.ciqfunctions.udf.CIQ('DATA GPC'!$S29,"IQ_PRICEDATE",EDATE(Valuation_date,-B2Yrs*12)),Valuation_date,IF(B2Freq="Weekly","W","M"),'DATA GPC'!$S29))</f>
        <v>--</v>
      </c>
      <c r="R138" s="2231" t="str">
        <f>IF($G138="--","--",_xll.ciqfunctions.udf.CIQ($G138,"IQ_CUSTOM_BETA",_xll.ciqfunctions.udf.CIQ('DATA GPC'!$S29,"IQ_PRICEDATE",EDATE(Valuation_date,-B3Yrs*12)),Valuation_date,IF(B3Freq="Weekly","W","M"),'DATA GPC'!$S29))</f>
        <v>--</v>
      </c>
      <c r="S138" s="1350" t="str">
        <f>IF($G138="--","--",_xll.ciqfunctions.udf.CIQ($G138,"IQ_CUSTOM_BETA_RSQ",_xll.ciqfunctions.udf.CIQ('DATA GPC'!$S29,"IQ_PRICEDATE",EDATE(Valuation_date,-B3Yrs*12)),Valuation_date,IF(B3Freq="Weekly","W","M"),'DATA GPC'!$S29))</f>
        <v>--</v>
      </c>
      <c r="T138" s="2230" t="str">
        <f t="shared" si="19"/>
        <v>--</v>
      </c>
      <c r="U138" s="2230" t="str">
        <f t="shared" si="20"/>
        <v>--</v>
      </c>
      <c r="V138" s="1776" t="str">
        <f>IF(OR($G138="--",R138="#NA"),"--",_xll.ciqfunctions.udf.CIQ($G138,"IQ_CUSTOM_BETA_DATA_POINTS",_xll.ciqfunctions.udf.CIQ('DATA GPC'!$S29,"IQ_PRICEDATE",EDATE(Valuation_date,-B3Yrs*12)),Valuation_date,IF(B3Freq="Weekly","W","M"),'DATA GPC'!$S29))</f>
        <v>--</v>
      </c>
      <c r="W138" s="2231" t="str">
        <f>IF($G138="--","--",_xll.ciqfunctions.udf.CIQ($G138,"IQ_CUSTOM_BETA",_xll.ciqfunctions.udf.CIQ('DATA GPC'!$S29,"IQ_PRICEDATE",EDATE(Valuation_date,-B4Yrs*12)),Valuation_date,IF(B4Freq="Weekly","W","M"),'DATA GPC'!$S29))</f>
        <v>--</v>
      </c>
      <c r="X138" s="1350" t="str">
        <f>IF($G138="--","--",_xll.ciqfunctions.udf.CIQ($G138,"IQ_CUSTOM_BETA_RSQ",_xll.ciqfunctions.udf.CIQ('DATA GPC'!$S29,"IQ_PRICEDATE",EDATE(Valuation_date,-B4Yrs*12)),Valuation_date,IF(B4Freq="Weekly","W","M"),'DATA GPC'!$S29))</f>
        <v>--</v>
      </c>
      <c r="Y138" s="2230" t="str">
        <f t="shared" si="21"/>
        <v>--</v>
      </c>
      <c r="Z138" s="2230" t="str">
        <f t="shared" si="22"/>
        <v>--</v>
      </c>
      <c r="AA138" s="1776" t="str">
        <f>IF(OR($G138="--",W138="#NA"),"--",_xll.ciqfunctions.udf.CIQ($G138,"IQ_CUSTOM_BETA_DATA_POINTS",_xll.ciqfunctions.udf.CIQ('DATA GPC'!$S29,"IQ_PRICEDATE",EDATE(Valuation_date,-B4Yrs*12)),Valuation_date,IF(B4Freq="Weekly","W","M"),'DATA GPC'!$S29))</f>
        <v>--</v>
      </c>
      <c r="AB138" s="2060"/>
      <c r="AC138" s="2060"/>
      <c r="AD138" s="1004"/>
      <c r="AE138" s="2060"/>
      <c r="AF138" s="2060"/>
      <c r="AG138" s="2060"/>
      <c r="AH138" s="2060"/>
      <c r="AI138" s="2060"/>
      <c r="AJ138" s="2060"/>
      <c r="AK138" s="2060"/>
      <c r="AL138" s="2060"/>
      <c r="AM138" s="1779"/>
      <c r="AN138" s="1779"/>
      <c r="AO138" s="1779"/>
      <c r="AP138" s="1779"/>
      <c r="AQ138" s="1779"/>
      <c r="AR138" s="1779"/>
      <c r="AS138" s="1779"/>
      <c r="AT138" s="1779"/>
      <c r="AU138" s="1779"/>
      <c r="AV138" s="1779"/>
      <c r="AW138" s="1779"/>
      <c r="AX138" s="1779"/>
      <c r="AY138" s="1779"/>
      <c r="AZ138" s="1779"/>
      <c r="BA138" s="1779"/>
      <c r="BB138" s="1779"/>
      <c r="BC138" s="1779"/>
      <c r="BD138" s="1779"/>
      <c r="BE138" s="1779"/>
      <c r="BF138" s="1779"/>
      <c r="BG138" s="1538"/>
      <c r="BH138" s="1538"/>
      <c r="BI138" s="1779"/>
      <c r="BJ138" s="1779"/>
      <c r="BK138" s="1538"/>
      <c r="BL138" s="1779"/>
      <c r="BM138" s="1779"/>
      <c r="BN138" s="1779"/>
      <c r="BO138" s="1779"/>
      <c r="BP138" s="1779"/>
      <c r="BQ138" s="1779"/>
      <c r="BR138" s="1779"/>
      <c r="BS138" s="1779"/>
      <c r="BT138" s="1779"/>
      <c r="BU138" s="1779"/>
      <c r="BV138" s="1779"/>
      <c r="BW138" s="1779"/>
      <c r="BX138" s="1779"/>
      <c r="BY138" s="1779"/>
      <c r="BZ138" s="1779"/>
      <c r="CA138" s="1779"/>
      <c r="CB138" s="1779"/>
      <c r="CC138" s="1779"/>
      <c r="CD138" s="1779"/>
      <c r="CE138" s="1779"/>
      <c r="CF138" s="1779"/>
      <c r="CG138" s="1779"/>
      <c r="CH138" s="1779"/>
      <c r="CI138" s="1779"/>
      <c r="CJ138" s="1779"/>
      <c r="CK138" s="1779"/>
      <c r="CL138" s="1779"/>
      <c r="CM138" s="1779"/>
      <c r="CN138" s="1779"/>
      <c r="CO138" s="1779"/>
      <c r="CP138" s="1779"/>
      <c r="CQ138" s="1779"/>
      <c r="CR138" s="1779"/>
      <c r="CS138" s="1779"/>
      <c r="CT138" s="1779"/>
      <c r="CU138" s="1779"/>
      <c r="CV138" s="1779"/>
      <c r="CW138" s="1779"/>
      <c r="CX138" s="1779"/>
      <c r="CY138" s="1779"/>
      <c r="CZ138" s="1779"/>
      <c r="DA138" s="1779"/>
      <c r="DB138" s="1779"/>
      <c r="DC138" s="1779"/>
      <c r="DD138" s="1779"/>
      <c r="DE138" s="1779"/>
      <c r="DF138" s="1779"/>
      <c r="DG138" s="1779"/>
      <c r="DH138" s="1779"/>
      <c r="DI138" s="1779"/>
      <c r="DJ138" s="1779"/>
      <c r="DK138" s="1779"/>
      <c r="DL138" s="1779"/>
      <c r="DM138" s="1779"/>
      <c r="DN138" s="1779"/>
      <c r="DO138" s="1779"/>
      <c r="DP138" s="1779"/>
      <c r="DQ138" s="1779"/>
      <c r="DR138" s="1779"/>
      <c r="DS138" s="1779"/>
      <c r="DT138" s="1779"/>
      <c r="DU138" s="1779"/>
      <c r="DV138" s="1779"/>
      <c r="DW138" s="1779"/>
      <c r="DX138" s="1779"/>
      <c r="DY138" s="1779"/>
      <c r="DZ138" s="1779"/>
      <c r="EA138" s="1779"/>
      <c r="EB138" s="1779"/>
      <c r="EC138" s="1779"/>
      <c r="ED138" s="1779"/>
      <c r="EE138" s="1779"/>
      <c r="EF138" s="1779"/>
      <c r="EG138" s="1779"/>
      <c r="EH138" s="1779"/>
      <c r="EI138" s="1779"/>
      <c r="EJ138" s="1779"/>
      <c r="EK138" s="1779"/>
      <c r="EL138" s="1779"/>
      <c r="EM138" s="1779"/>
      <c r="EN138" s="1779"/>
      <c r="EO138" s="1779"/>
      <c r="EP138" s="1779"/>
      <c r="EQ138" s="1779"/>
      <c r="ER138" s="1779"/>
      <c r="ES138" s="1779"/>
      <c r="ET138" s="1779"/>
      <c r="EU138" s="1779"/>
      <c r="EV138" s="1779"/>
      <c r="EW138" s="1779"/>
      <c r="EX138" s="1779"/>
      <c r="EY138" s="1779"/>
      <c r="EZ138" s="1779"/>
      <c r="FA138" s="1779"/>
      <c r="FB138" s="1779"/>
      <c r="FC138" s="1779"/>
      <c r="FD138" s="1779"/>
      <c r="FE138" s="1779"/>
      <c r="FF138" s="1779"/>
      <c r="FG138" s="1779"/>
      <c r="FH138" s="1779"/>
      <c r="FI138" s="1779"/>
      <c r="FJ138" s="1779"/>
      <c r="FK138" s="1779"/>
      <c r="FL138" s="1779"/>
      <c r="FM138" s="1779"/>
      <c r="FN138" s="1779"/>
      <c r="FO138" s="1779"/>
      <c r="FP138" s="1779"/>
      <c r="FQ138" s="1779"/>
      <c r="FR138" s="1779"/>
      <c r="FS138" s="2060"/>
      <c r="FT138" s="2060"/>
      <c r="FU138" s="2060"/>
      <c r="FV138" s="2060"/>
      <c r="FW138" s="2060"/>
      <c r="FX138" s="2060"/>
      <c r="FY138" s="2060"/>
      <c r="FZ138" s="2060"/>
      <c r="GA138" s="2060"/>
      <c r="GB138" s="2060"/>
      <c r="GC138" s="2060"/>
    </row>
    <row r="139" spans="1:185" customFormat="1" ht="12.75" customHeight="1">
      <c r="A139" s="1632" t="str">
        <f t="shared" si="14"/>
        <v>n</v>
      </c>
      <c r="B139" s="1004"/>
      <c r="C139" s="1502"/>
      <c r="D139" s="2229"/>
      <c r="E139" s="623" t="str">
        <f>'DATA GPC'!E30</f>
        <v>--</v>
      </c>
      <c r="F139" s="128"/>
      <c r="G139" s="1504" t="str">
        <f>IF(E139="--","--",'DATA GPC'!G30)</f>
        <v>--</v>
      </c>
      <c r="H139" s="1350" t="str">
        <f>IF($G139="--","--",_xll.ciqfunctions.udf.CIQ($G139,"IQ_CUSTOM_BETA",_xll.ciqfunctions.udf.CIQ('DATA GPC'!$S30,"IQ_PRICEDATE",EDATE(Valuation_date,-B1Yrs*12)),Valuation_date,IF(B1Freq="Weekly","W","M"),'DATA GPC'!$S30))</f>
        <v>--</v>
      </c>
      <c r="I139" s="1350" t="str">
        <f>IF($G139="--","--",_xll.ciqfunctions.udf.CIQ($G139,"IQ_CUSTOM_BETA_RSQ",_xll.ciqfunctions.udf.CIQ('DATA GPC'!$S30,"IQ_PRICEDATE",EDATE(Valuation_date,-B1Yrs*12)),Valuation_date,IF(B1Freq="Weekly","W","M"),'DATA GPC'!$S30))</f>
        <v>--</v>
      </c>
      <c r="J139" s="2230" t="str">
        <f t="shared" si="15"/>
        <v>--</v>
      </c>
      <c r="K139" s="2230" t="str">
        <f t="shared" si="16"/>
        <v>--</v>
      </c>
      <c r="L139" s="1776" t="str">
        <f>IF(OR($G139="--",H139="#NA"),"--",_xll.ciqfunctions.udf.CIQ($G139,"IQ_CUSTOM_BETA_DATA_POINTS",_xll.ciqfunctions.udf.CIQ('DATA GPC'!$S30,"IQ_PRICEDATE",EDATE(Valuation_date,-B1Yrs*12)),Valuation_date,IF(B1Freq="Weekly","W","M"),'DATA GPC'!$S30))</f>
        <v>--</v>
      </c>
      <c r="M139" s="2231" t="str">
        <f>IF($G139="--","--",_xll.ciqfunctions.udf.CIQ($G139,"IQ_CUSTOM_BETA",_xll.ciqfunctions.udf.CIQ('DATA GPC'!$S30,"IQ_PRICEDATE",EDATE(Valuation_date,-B2Yrs*12)),Valuation_date,IF(B2Freq="Weekly","W","M"),'DATA GPC'!$S30))</f>
        <v>--</v>
      </c>
      <c r="N139" s="1350" t="str">
        <f>IF($G139="--","--",_xll.ciqfunctions.udf.CIQ($G139,"IQ_CUSTOM_BETA_RSQ",_xll.ciqfunctions.udf.CIQ('DATA GPC'!$S30,"IQ_PRICEDATE",EDATE(Valuation_date,-B2Yrs*12)),Valuation_date,IF(B2Freq="Weekly","W","M"),'DATA GPC'!$S30))</f>
        <v>--</v>
      </c>
      <c r="O139" s="2230" t="str">
        <f t="shared" si="17"/>
        <v>--</v>
      </c>
      <c r="P139" s="2230" t="str">
        <f t="shared" si="18"/>
        <v>--</v>
      </c>
      <c r="Q139" s="1776" t="str">
        <f>IF(OR($G139="--",M139="#NA"),"--",_xll.ciqfunctions.udf.CIQ($G139,"IQ_CUSTOM_BETA_DATA_POINTS",_xll.ciqfunctions.udf.CIQ('DATA GPC'!$S30,"IQ_PRICEDATE",EDATE(Valuation_date,-B2Yrs*12)),Valuation_date,IF(B2Freq="Weekly","W","M"),'DATA GPC'!$S30))</f>
        <v>--</v>
      </c>
      <c r="R139" s="2231" t="str">
        <f>IF($G139="--","--",_xll.ciqfunctions.udf.CIQ($G139,"IQ_CUSTOM_BETA",_xll.ciqfunctions.udf.CIQ('DATA GPC'!$S30,"IQ_PRICEDATE",EDATE(Valuation_date,-B3Yrs*12)),Valuation_date,IF(B3Freq="Weekly","W","M"),'DATA GPC'!$S30))</f>
        <v>--</v>
      </c>
      <c r="S139" s="1350" t="str">
        <f>IF($G139="--","--",_xll.ciqfunctions.udf.CIQ($G139,"IQ_CUSTOM_BETA_RSQ",_xll.ciqfunctions.udf.CIQ('DATA GPC'!$S30,"IQ_PRICEDATE",EDATE(Valuation_date,-B3Yrs*12)),Valuation_date,IF(B3Freq="Weekly","W","M"),'DATA GPC'!$S30))</f>
        <v>--</v>
      </c>
      <c r="T139" s="2230" t="str">
        <f t="shared" si="19"/>
        <v>--</v>
      </c>
      <c r="U139" s="2230" t="str">
        <f t="shared" si="20"/>
        <v>--</v>
      </c>
      <c r="V139" s="1776" t="str">
        <f>IF(OR($G139="--",R139="#NA"),"--",_xll.ciqfunctions.udf.CIQ($G139,"IQ_CUSTOM_BETA_DATA_POINTS",_xll.ciqfunctions.udf.CIQ('DATA GPC'!$S30,"IQ_PRICEDATE",EDATE(Valuation_date,-B3Yrs*12)),Valuation_date,IF(B3Freq="Weekly","W","M"),'DATA GPC'!$S30))</f>
        <v>--</v>
      </c>
      <c r="W139" s="2231" t="str">
        <f>IF($G139="--","--",_xll.ciqfunctions.udf.CIQ($G139,"IQ_CUSTOM_BETA",_xll.ciqfunctions.udf.CIQ('DATA GPC'!$S30,"IQ_PRICEDATE",EDATE(Valuation_date,-B4Yrs*12)),Valuation_date,IF(B4Freq="Weekly","W","M"),'DATA GPC'!$S30))</f>
        <v>--</v>
      </c>
      <c r="X139" s="1350" t="str">
        <f>IF($G139="--","--",_xll.ciqfunctions.udf.CIQ($G139,"IQ_CUSTOM_BETA_RSQ",_xll.ciqfunctions.udf.CIQ('DATA GPC'!$S30,"IQ_PRICEDATE",EDATE(Valuation_date,-B4Yrs*12)),Valuation_date,IF(B4Freq="Weekly","W","M"),'DATA GPC'!$S30))</f>
        <v>--</v>
      </c>
      <c r="Y139" s="2230" t="str">
        <f t="shared" si="21"/>
        <v>--</v>
      </c>
      <c r="Z139" s="2230" t="str">
        <f t="shared" si="22"/>
        <v>--</v>
      </c>
      <c r="AA139" s="1776" t="str">
        <f>IF(OR($G139="--",W139="#NA"),"--",_xll.ciqfunctions.udf.CIQ($G139,"IQ_CUSTOM_BETA_DATA_POINTS",_xll.ciqfunctions.udf.CIQ('DATA GPC'!$S30,"IQ_PRICEDATE",EDATE(Valuation_date,-B4Yrs*12)),Valuation_date,IF(B4Freq="Weekly","W","M"),'DATA GPC'!$S30))</f>
        <v>--</v>
      </c>
      <c r="AB139" s="2060"/>
      <c r="AC139" s="2060"/>
      <c r="AD139" s="1004"/>
      <c r="AE139" s="2060"/>
      <c r="AF139" s="2060"/>
      <c r="AG139" s="2060"/>
      <c r="AH139" s="2060"/>
      <c r="AI139" s="2060"/>
      <c r="AJ139" s="2060"/>
      <c r="AK139" s="2060"/>
      <c r="AL139" s="2060"/>
      <c r="AM139" s="1779"/>
      <c r="AN139" s="1779"/>
      <c r="AO139" s="1779"/>
      <c r="AP139" s="1779"/>
      <c r="AQ139" s="1779"/>
      <c r="AR139" s="1779"/>
      <c r="AS139" s="1779"/>
      <c r="AT139" s="1779"/>
      <c r="AU139" s="1779"/>
      <c r="AV139" s="1779"/>
      <c r="AW139" s="1779"/>
      <c r="AX139" s="1779"/>
      <c r="AY139" s="1779"/>
      <c r="AZ139" s="1779"/>
      <c r="BA139" s="1779"/>
      <c r="BB139" s="1779"/>
      <c r="BC139" s="1779"/>
      <c r="BD139" s="1779"/>
      <c r="BE139" s="1779"/>
      <c r="BF139" s="1779"/>
      <c r="BG139" s="1538"/>
      <c r="BH139" s="1538"/>
      <c r="BI139" s="1779"/>
      <c r="BJ139" s="1779"/>
      <c r="BK139" s="1538"/>
      <c r="BL139" s="1779"/>
      <c r="BM139" s="1779"/>
      <c r="BN139" s="1779"/>
      <c r="BO139" s="1779"/>
      <c r="BP139" s="1779"/>
      <c r="BQ139" s="1779"/>
      <c r="BR139" s="1779"/>
      <c r="BS139" s="1779"/>
      <c r="BT139" s="1779"/>
      <c r="BU139" s="1779"/>
      <c r="BV139" s="1779"/>
      <c r="BW139" s="1779"/>
      <c r="BX139" s="1779"/>
      <c r="BY139" s="1779"/>
      <c r="BZ139" s="1779"/>
      <c r="CA139" s="1779"/>
      <c r="CB139" s="1779"/>
      <c r="CC139" s="1779"/>
      <c r="CD139" s="1779"/>
      <c r="CE139" s="1779"/>
      <c r="CF139" s="1779"/>
      <c r="CG139" s="1779"/>
      <c r="CH139" s="1779"/>
      <c r="CI139" s="1779"/>
      <c r="CJ139" s="1779"/>
      <c r="CK139" s="1779"/>
      <c r="CL139" s="1779"/>
      <c r="CM139" s="1779"/>
      <c r="CN139" s="1779"/>
      <c r="CO139" s="1779"/>
      <c r="CP139" s="1779"/>
      <c r="CQ139" s="1779"/>
      <c r="CR139" s="1779"/>
      <c r="CS139" s="1779"/>
      <c r="CT139" s="1779"/>
      <c r="CU139" s="1779"/>
      <c r="CV139" s="1779"/>
      <c r="CW139" s="1779"/>
      <c r="CX139" s="1779"/>
      <c r="CY139" s="1779"/>
      <c r="CZ139" s="1779"/>
      <c r="DA139" s="1779"/>
      <c r="DB139" s="1779"/>
      <c r="DC139" s="1779"/>
      <c r="DD139" s="1779"/>
      <c r="DE139" s="1779"/>
      <c r="DF139" s="1779"/>
      <c r="DG139" s="1779"/>
      <c r="DH139" s="1779"/>
      <c r="DI139" s="1779"/>
      <c r="DJ139" s="1779"/>
      <c r="DK139" s="1779"/>
      <c r="DL139" s="1779"/>
      <c r="DM139" s="1779"/>
      <c r="DN139" s="1779"/>
      <c r="DO139" s="1779"/>
      <c r="DP139" s="1779"/>
      <c r="DQ139" s="1779"/>
      <c r="DR139" s="1779"/>
      <c r="DS139" s="1779"/>
      <c r="DT139" s="1779"/>
      <c r="DU139" s="1779"/>
      <c r="DV139" s="1779"/>
      <c r="DW139" s="1779"/>
      <c r="DX139" s="1779"/>
      <c r="DY139" s="1779"/>
      <c r="DZ139" s="1779"/>
      <c r="EA139" s="1779"/>
      <c r="EB139" s="1779"/>
      <c r="EC139" s="1779"/>
      <c r="ED139" s="1779"/>
      <c r="EE139" s="1779"/>
      <c r="EF139" s="1779"/>
      <c r="EG139" s="1779"/>
      <c r="EH139" s="1779"/>
      <c r="EI139" s="1779"/>
      <c r="EJ139" s="1779"/>
      <c r="EK139" s="1779"/>
      <c r="EL139" s="1779"/>
      <c r="EM139" s="1779"/>
      <c r="EN139" s="1779"/>
      <c r="EO139" s="1779"/>
      <c r="EP139" s="1779"/>
      <c r="EQ139" s="1779"/>
      <c r="ER139" s="1779"/>
      <c r="ES139" s="1779"/>
      <c r="ET139" s="1779"/>
      <c r="EU139" s="1779"/>
      <c r="EV139" s="1779"/>
      <c r="EW139" s="1779"/>
      <c r="EX139" s="1779"/>
      <c r="EY139" s="1779"/>
      <c r="EZ139" s="1779"/>
      <c r="FA139" s="1779"/>
      <c r="FB139" s="1779"/>
      <c r="FC139" s="1779"/>
      <c r="FD139" s="1779"/>
      <c r="FE139" s="1779"/>
      <c r="FF139" s="1779"/>
      <c r="FG139" s="1779"/>
      <c r="FH139" s="1779"/>
      <c r="FI139" s="1779"/>
      <c r="FJ139" s="1779"/>
      <c r="FK139" s="1779"/>
      <c r="FL139" s="1779"/>
      <c r="FM139" s="1779"/>
      <c r="FN139" s="1779"/>
      <c r="FO139" s="1779"/>
      <c r="FP139" s="1779"/>
      <c r="FQ139" s="1779"/>
      <c r="FR139" s="1779"/>
      <c r="FS139" s="1779"/>
      <c r="FT139" s="1779"/>
      <c r="FU139" s="1779"/>
      <c r="FV139" s="1779"/>
      <c r="FW139" s="1779"/>
      <c r="FX139" s="1779"/>
      <c r="FY139" s="1779"/>
      <c r="FZ139" s="1779"/>
      <c r="GA139" s="1779"/>
      <c r="GB139" s="1779"/>
      <c r="GC139" s="1779"/>
    </row>
    <row r="140" spans="1:185" customFormat="1" ht="12.75" customHeight="1">
      <c r="A140" s="1632" t="str">
        <f t="shared" si="14"/>
        <v>n</v>
      </c>
      <c r="B140" s="1004"/>
      <c r="C140" s="1502"/>
      <c r="D140" s="2229"/>
      <c r="E140" s="623" t="str">
        <f>'DATA GPC'!E31</f>
        <v>--</v>
      </c>
      <c r="F140" s="128"/>
      <c r="G140" s="1504" t="str">
        <f>IF(E140="--","--",'DATA GPC'!G31)</f>
        <v>--</v>
      </c>
      <c r="H140" s="1350" t="str">
        <f>IF($G140="--","--",_xll.ciqfunctions.udf.CIQ($G140,"IQ_CUSTOM_BETA",_xll.ciqfunctions.udf.CIQ('DATA GPC'!$S31,"IQ_PRICEDATE",EDATE(Valuation_date,-B1Yrs*12)),Valuation_date,IF(B1Freq="Weekly","W","M"),'DATA GPC'!$S31))</f>
        <v>--</v>
      </c>
      <c r="I140" s="1350" t="str">
        <f>IF($G140="--","--",_xll.ciqfunctions.udf.CIQ($G140,"IQ_CUSTOM_BETA_RSQ",_xll.ciqfunctions.udf.CIQ('DATA GPC'!$S31,"IQ_PRICEDATE",EDATE(Valuation_date,-B1Yrs*12)),Valuation_date,IF(B1Freq="Weekly","W","M"),'DATA GPC'!$S31))</f>
        <v>--</v>
      </c>
      <c r="J140" s="2230" t="str">
        <f t="shared" si="15"/>
        <v>--</v>
      </c>
      <c r="K140" s="2230" t="str">
        <f t="shared" si="16"/>
        <v>--</v>
      </c>
      <c r="L140" s="1776" t="str">
        <f>IF(OR($G140="--",H140="#NA"),"--",_xll.ciqfunctions.udf.CIQ($G140,"IQ_CUSTOM_BETA_DATA_POINTS",_xll.ciqfunctions.udf.CIQ('DATA GPC'!$S31,"IQ_PRICEDATE",EDATE(Valuation_date,-B1Yrs*12)),Valuation_date,IF(B1Freq="Weekly","W","M"),'DATA GPC'!$S31))</f>
        <v>--</v>
      </c>
      <c r="M140" s="2231" t="str">
        <f>IF($G140="--","--",_xll.ciqfunctions.udf.CIQ($G140,"IQ_CUSTOM_BETA",_xll.ciqfunctions.udf.CIQ('DATA GPC'!$S31,"IQ_PRICEDATE",EDATE(Valuation_date,-B2Yrs*12)),Valuation_date,IF(B2Freq="Weekly","W","M"),'DATA GPC'!$S31))</f>
        <v>--</v>
      </c>
      <c r="N140" s="1350" t="str">
        <f>IF($G140="--","--",_xll.ciqfunctions.udf.CIQ($G140,"IQ_CUSTOM_BETA_RSQ",_xll.ciqfunctions.udf.CIQ('DATA GPC'!$S31,"IQ_PRICEDATE",EDATE(Valuation_date,-B2Yrs*12)),Valuation_date,IF(B2Freq="Weekly","W","M"),'DATA GPC'!$S31))</f>
        <v>--</v>
      </c>
      <c r="O140" s="2230" t="str">
        <f t="shared" si="17"/>
        <v>--</v>
      </c>
      <c r="P140" s="2230" t="str">
        <f t="shared" si="18"/>
        <v>--</v>
      </c>
      <c r="Q140" s="1776" t="str">
        <f>IF(OR($G140="--",M140="#NA"),"--",_xll.ciqfunctions.udf.CIQ($G140,"IQ_CUSTOM_BETA_DATA_POINTS",_xll.ciqfunctions.udf.CIQ('DATA GPC'!$S31,"IQ_PRICEDATE",EDATE(Valuation_date,-B2Yrs*12)),Valuation_date,IF(B2Freq="Weekly","W","M"),'DATA GPC'!$S31))</f>
        <v>--</v>
      </c>
      <c r="R140" s="2231" t="str">
        <f>IF($G140="--","--",_xll.ciqfunctions.udf.CIQ($G140,"IQ_CUSTOM_BETA",_xll.ciqfunctions.udf.CIQ('DATA GPC'!$S31,"IQ_PRICEDATE",EDATE(Valuation_date,-B3Yrs*12)),Valuation_date,IF(B3Freq="Weekly","W","M"),'DATA GPC'!$S31))</f>
        <v>--</v>
      </c>
      <c r="S140" s="1350" t="str">
        <f>IF($G140="--","--",_xll.ciqfunctions.udf.CIQ($G140,"IQ_CUSTOM_BETA_RSQ",_xll.ciqfunctions.udf.CIQ('DATA GPC'!$S31,"IQ_PRICEDATE",EDATE(Valuation_date,-B3Yrs*12)),Valuation_date,IF(B3Freq="Weekly","W","M"),'DATA GPC'!$S31))</f>
        <v>--</v>
      </c>
      <c r="T140" s="2230" t="str">
        <f t="shared" si="19"/>
        <v>--</v>
      </c>
      <c r="U140" s="2230" t="str">
        <f t="shared" si="20"/>
        <v>--</v>
      </c>
      <c r="V140" s="1776" t="str">
        <f>IF(OR($G140="--",R140="#NA"),"--",_xll.ciqfunctions.udf.CIQ($G140,"IQ_CUSTOM_BETA_DATA_POINTS",_xll.ciqfunctions.udf.CIQ('DATA GPC'!$S31,"IQ_PRICEDATE",EDATE(Valuation_date,-B3Yrs*12)),Valuation_date,IF(B3Freq="Weekly","W","M"),'DATA GPC'!$S31))</f>
        <v>--</v>
      </c>
      <c r="W140" s="2231" t="str">
        <f>IF($G140="--","--",_xll.ciqfunctions.udf.CIQ($G140,"IQ_CUSTOM_BETA",_xll.ciqfunctions.udf.CIQ('DATA GPC'!$S31,"IQ_PRICEDATE",EDATE(Valuation_date,-B4Yrs*12)),Valuation_date,IF(B4Freq="Weekly","W","M"),'DATA GPC'!$S31))</f>
        <v>--</v>
      </c>
      <c r="X140" s="1350" t="str">
        <f>IF($G140="--","--",_xll.ciqfunctions.udf.CIQ($G140,"IQ_CUSTOM_BETA_RSQ",_xll.ciqfunctions.udf.CIQ('DATA GPC'!$S31,"IQ_PRICEDATE",EDATE(Valuation_date,-B4Yrs*12)),Valuation_date,IF(B4Freq="Weekly","W","M"),'DATA GPC'!$S31))</f>
        <v>--</v>
      </c>
      <c r="Y140" s="2230" t="str">
        <f t="shared" si="21"/>
        <v>--</v>
      </c>
      <c r="Z140" s="2230" t="str">
        <f t="shared" si="22"/>
        <v>--</v>
      </c>
      <c r="AA140" s="1776" t="str">
        <f>IF(OR($G140="--",W140="#NA"),"--",_xll.ciqfunctions.udf.CIQ($G140,"IQ_CUSTOM_BETA_DATA_POINTS",_xll.ciqfunctions.udf.CIQ('DATA GPC'!$S31,"IQ_PRICEDATE",EDATE(Valuation_date,-B4Yrs*12)),Valuation_date,IF(B4Freq="Weekly","W","M"),'DATA GPC'!$S31))</f>
        <v>--</v>
      </c>
      <c r="AB140" s="2060"/>
      <c r="AC140" s="2060"/>
      <c r="AD140" s="1004"/>
      <c r="AE140" s="2060"/>
      <c r="AF140" s="2060"/>
      <c r="AG140" s="2060"/>
      <c r="AH140" s="2060"/>
      <c r="AI140" s="2060"/>
      <c r="AJ140" s="2060"/>
      <c r="AK140" s="2060"/>
      <c r="AL140" s="2060"/>
      <c r="AM140" s="1779"/>
      <c r="AN140" s="1779"/>
      <c r="AO140" s="1779"/>
      <c r="AP140" s="1779"/>
      <c r="AQ140" s="1779"/>
      <c r="AR140" s="1779"/>
      <c r="AS140" s="1779"/>
      <c r="AT140" s="1779"/>
      <c r="AU140" s="1779"/>
      <c r="AV140" s="1779"/>
      <c r="AW140" s="1779"/>
      <c r="AX140" s="1779"/>
      <c r="AY140" s="1779"/>
      <c r="AZ140" s="1779"/>
      <c r="BA140" s="1779"/>
      <c r="BB140" s="1779"/>
      <c r="BC140" s="1779"/>
      <c r="BD140" s="1779"/>
      <c r="BE140" s="1779"/>
      <c r="BF140" s="1779"/>
      <c r="BG140" s="1779"/>
      <c r="BH140" s="1779"/>
      <c r="BI140" s="1779"/>
      <c r="BJ140" s="1779"/>
      <c r="BK140" s="1779"/>
      <c r="BL140" s="1779"/>
      <c r="BM140" s="1779"/>
      <c r="BN140" s="1779"/>
      <c r="BO140" s="1779"/>
      <c r="BP140" s="1779"/>
      <c r="BQ140" s="1779"/>
      <c r="BR140" s="1779"/>
      <c r="BS140" s="1779"/>
      <c r="BT140" s="1779"/>
      <c r="BU140" s="1779"/>
      <c r="BV140" s="1779"/>
      <c r="BW140" s="1779"/>
      <c r="BX140" s="1779"/>
      <c r="BY140" s="1779"/>
      <c r="BZ140" s="1779"/>
      <c r="CA140" s="1779"/>
      <c r="CB140" s="1779"/>
      <c r="CC140" s="1779"/>
      <c r="CD140" s="1779"/>
      <c r="CE140" s="1779"/>
      <c r="CF140" s="1779"/>
      <c r="CG140" s="1779"/>
      <c r="CH140" s="1779"/>
      <c r="CI140" s="1779"/>
      <c r="CJ140" s="1779"/>
      <c r="CK140" s="1779"/>
      <c r="CL140" s="1779"/>
      <c r="CM140" s="1779"/>
      <c r="CN140" s="1779"/>
      <c r="CO140" s="1779"/>
      <c r="CP140" s="1779"/>
      <c r="CQ140" s="1779"/>
      <c r="CR140" s="1779"/>
      <c r="CS140" s="1779"/>
      <c r="CT140" s="1779"/>
      <c r="CU140" s="1779"/>
      <c r="CV140" s="1779"/>
      <c r="CW140" s="1779"/>
      <c r="CX140" s="1779"/>
      <c r="CY140" s="1779"/>
      <c r="CZ140" s="1779"/>
      <c r="DA140" s="1779"/>
      <c r="DB140" s="1779"/>
      <c r="DC140" s="1779"/>
      <c r="DD140" s="1779"/>
      <c r="DE140" s="1779"/>
      <c r="DF140" s="1779"/>
      <c r="DG140" s="1779"/>
      <c r="DH140" s="1779"/>
      <c r="DI140" s="1779"/>
      <c r="DJ140" s="1779"/>
      <c r="DK140" s="1779"/>
      <c r="DL140" s="1779"/>
      <c r="DM140" s="1779"/>
      <c r="DN140" s="1779"/>
      <c r="DO140" s="1779"/>
      <c r="DP140" s="1779"/>
      <c r="DQ140" s="1779"/>
      <c r="DR140" s="1779"/>
      <c r="DS140" s="1779"/>
      <c r="DT140" s="1779"/>
      <c r="DU140" s="1779"/>
      <c r="DV140" s="1779"/>
      <c r="DW140" s="1779"/>
      <c r="DX140" s="1779"/>
      <c r="DY140" s="1779"/>
      <c r="DZ140" s="1779"/>
      <c r="EA140" s="1779"/>
      <c r="EB140" s="1779"/>
      <c r="EC140" s="1779"/>
      <c r="ED140" s="1779"/>
      <c r="EE140" s="1779"/>
      <c r="EF140" s="1779"/>
      <c r="EG140" s="1779"/>
      <c r="EH140" s="1779"/>
      <c r="EI140" s="1779"/>
      <c r="EJ140" s="1779"/>
      <c r="EK140" s="1779"/>
      <c r="EL140" s="1779"/>
      <c r="EM140" s="1779"/>
      <c r="EN140" s="1779"/>
      <c r="EO140" s="1779"/>
      <c r="EP140" s="1779"/>
      <c r="EQ140" s="1779"/>
      <c r="ER140" s="1779"/>
      <c r="ES140" s="1779"/>
      <c r="ET140" s="1779"/>
      <c r="EU140" s="1779"/>
      <c r="EV140" s="1779"/>
      <c r="EW140" s="1779"/>
      <c r="EX140" s="1779"/>
      <c r="EY140" s="1779"/>
      <c r="EZ140" s="1779"/>
      <c r="FA140" s="1779"/>
      <c r="FB140" s="1779"/>
      <c r="FC140" s="1779"/>
      <c r="FD140" s="1779"/>
      <c r="FE140" s="1779"/>
      <c r="FF140" s="1779"/>
      <c r="FG140" s="1779"/>
      <c r="FH140" s="1779"/>
      <c r="FI140" s="1779"/>
      <c r="FJ140" s="1779"/>
      <c r="FK140" s="1779"/>
      <c r="FL140" s="1779"/>
      <c r="FM140" s="1779"/>
      <c r="FN140" s="1779"/>
      <c r="FO140" s="1779"/>
      <c r="FP140" s="1779"/>
      <c r="FQ140" s="1779"/>
      <c r="FR140" s="1779"/>
      <c r="FS140" s="1779"/>
      <c r="FT140" s="1779"/>
      <c r="FU140" s="1779"/>
      <c r="FV140" s="1779"/>
      <c r="FW140" s="1779"/>
      <c r="FX140" s="1779"/>
      <c r="FY140" s="1779"/>
      <c r="FZ140" s="1779"/>
      <c r="GA140" s="1779"/>
      <c r="GB140" s="1779"/>
      <c r="GC140" s="1779"/>
    </row>
    <row r="141" spans="1:185" customFormat="1" ht="12.75" customHeight="1">
      <c r="A141" s="1632" t="str">
        <f t="shared" si="14"/>
        <v>n</v>
      </c>
      <c r="B141" s="1004"/>
      <c r="C141" s="1502"/>
      <c r="D141" s="2229"/>
      <c r="E141" s="623" t="str">
        <f>'DATA GPC'!E32</f>
        <v>--</v>
      </c>
      <c r="F141" s="128"/>
      <c r="G141" s="1504" t="str">
        <f>IF(E141="--","--",'DATA GPC'!G32)</f>
        <v>--</v>
      </c>
      <c r="H141" s="1350" t="str">
        <f>IF($G141="--","--",_xll.ciqfunctions.udf.CIQ($G141,"IQ_CUSTOM_BETA",_xll.ciqfunctions.udf.CIQ('DATA GPC'!$S32,"IQ_PRICEDATE",EDATE(Valuation_date,-B1Yrs*12)),Valuation_date,IF(B1Freq="Weekly","W","M"),'DATA GPC'!$S32))</f>
        <v>--</v>
      </c>
      <c r="I141" s="1350" t="str">
        <f>IF($G141="--","--",_xll.ciqfunctions.udf.CIQ($G141,"IQ_CUSTOM_BETA_RSQ",_xll.ciqfunctions.udf.CIQ('DATA GPC'!$S32,"IQ_PRICEDATE",EDATE(Valuation_date,-B1Yrs*12)),Valuation_date,IF(B1Freq="Weekly","W","M"),'DATA GPC'!$S32))</f>
        <v>--</v>
      </c>
      <c r="J141" s="2230" t="str">
        <f t="shared" si="15"/>
        <v>--</v>
      </c>
      <c r="K141" s="2230" t="str">
        <f t="shared" si="16"/>
        <v>--</v>
      </c>
      <c r="L141" s="1776" t="str">
        <f>IF(OR($G141="--",H141="#NA"),"--",_xll.ciqfunctions.udf.CIQ($G141,"IQ_CUSTOM_BETA_DATA_POINTS",_xll.ciqfunctions.udf.CIQ('DATA GPC'!$S32,"IQ_PRICEDATE",EDATE(Valuation_date,-B1Yrs*12)),Valuation_date,IF(B1Freq="Weekly","W","M"),'DATA GPC'!$S32))</f>
        <v>--</v>
      </c>
      <c r="M141" s="2231" t="str">
        <f>IF($G141="--","--",_xll.ciqfunctions.udf.CIQ($G141,"IQ_CUSTOM_BETA",_xll.ciqfunctions.udf.CIQ('DATA GPC'!$S32,"IQ_PRICEDATE",EDATE(Valuation_date,-B2Yrs*12)),Valuation_date,IF(B2Freq="Weekly","W","M"),'DATA GPC'!$S32))</f>
        <v>--</v>
      </c>
      <c r="N141" s="1350" t="str">
        <f>IF($G141="--","--",_xll.ciqfunctions.udf.CIQ($G141,"IQ_CUSTOM_BETA_RSQ",_xll.ciqfunctions.udf.CIQ('DATA GPC'!$S32,"IQ_PRICEDATE",EDATE(Valuation_date,-B2Yrs*12)),Valuation_date,IF(B2Freq="Weekly","W","M"),'DATA GPC'!$S32))</f>
        <v>--</v>
      </c>
      <c r="O141" s="2230" t="str">
        <f t="shared" si="17"/>
        <v>--</v>
      </c>
      <c r="P141" s="2230" t="str">
        <f t="shared" si="18"/>
        <v>--</v>
      </c>
      <c r="Q141" s="1776" t="str">
        <f>IF(OR($G141="--",M141="#NA"),"--",_xll.ciqfunctions.udf.CIQ($G141,"IQ_CUSTOM_BETA_DATA_POINTS",_xll.ciqfunctions.udf.CIQ('DATA GPC'!$S32,"IQ_PRICEDATE",EDATE(Valuation_date,-B2Yrs*12)),Valuation_date,IF(B2Freq="Weekly","W","M"),'DATA GPC'!$S32))</f>
        <v>--</v>
      </c>
      <c r="R141" s="2231" t="str">
        <f>IF($G141="--","--",_xll.ciqfunctions.udf.CIQ($G141,"IQ_CUSTOM_BETA",_xll.ciqfunctions.udf.CIQ('DATA GPC'!$S32,"IQ_PRICEDATE",EDATE(Valuation_date,-B3Yrs*12)),Valuation_date,IF(B3Freq="Weekly","W","M"),'DATA GPC'!$S32))</f>
        <v>--</v>
      </c>
      <c r="S141" s="1350" t="str">
        <f>IF($G141="--","--",_xll.ciqfunctions.udf.CIQ($G141,"IQ_CUSTOM_BETA_RSQ",_xll.ciqfunctions.udf.CIQ('DATA GPC'!$S32,"IQ_PRICEDATE",EDATE(Valuation_date,-B3Yrs*12)),Valuation_date,IF(B3Freq="Weekly","W","M"),'DATA GPC'!$S32))</f>
        <v>--</v>
      </c>
      <c r="T141" s="2230" t="str">
        <f t="shared" si="19"/>
        <v>--</v>
      </c>
      <c r="U141" s="2230" t="str">
        <f t="shared" si="20"/>
        <v>--</v>
      </c>
      <c r="V141" s="1776" t="str">
        <f>IF(OR($G141="--",R141="#NA"),"--",_xll.ciqfunctions.udf.CIQ($G141,"IQ_CUSTOM_BETA_DATA_POINTS",_xll.ciqfunctions.udf.CIQ('DATA GPC'!$S32,"IQ_PRICEDATE",EDATE(Valuation_date,-B3Yrs*12)),Valuation_date,IF(B3Freq="Weekly","W","M"),'DATA GPC'!$S32))</f>
        <v>--</v>
      </c>
      <c r="W141" s="2231" t="str">
        <f>IF($G141="--","--",_xll.ciqfunctions.udf.CIQ($G141,"IQ_CUSTOM_BETA",_xll.ciqfunctions.udf.CIQ('DATA GPC'!$S32,"IQ_PRICEDATE",EDATE(Valuation_date,-B4Yrs*12)),Valuation_date,IF(B4Freq="Weekly","W","M"),'DATA GPC'!$S32))</f>
        <v>--</v>
      </c>
      <c r="X141" s="1350" t="str">
        <f>IF($G141="--","--",_xll.ciqfunctions.udf.CIQ($G141,"IQ_CUSTOM_BETA_RSQ",_xll.ciqfunctions.udf.CIQ('DATA GPC'!$S32,"IQ_PRICEDATE",EDATE(Valuation_date,-B4Yrs*12)),Valuation_date,IF(B4Freq="Weekly","W","M"),'DATA GPC'!$S32))</f>
        <v>--</v>
      </c>
      <c r="Y141" s="2230" t="str">
        <f t="shared" si="21"/>
        <v>--</v>
      </c>
      <c r="Z141" s="2230" t="str">
        <f t="shared" si="22"/>
        <v>--</v>
      </c>
      <c r="AA141" s="1776" t="str">
        <f>IF(OR($G141="--",W141="#NA"),"--",_xll.ciqfunctions.udf.CIQ($G141,"IQ_CUSTOM_BETA_DATA_POINTS",_xll.ciqfunctions.udf.CIQ('DATA GPC'!$S32,"IQ_PRICEDATE",EDATE(Valuation_date,-B4Yrs*12)),Valuation_date,IF(B4Freq="Weekly","W","M"),'DATA GPC'!$S32))</f>
        <v>--</v>
      </c>
      <c r="AB141" s="2060"/>
      <c r="AC141" s="2060"/>
      <c r="AD141" s="1004"/>
      <c r="AE141" s="2060"/>
      <c r="AF141" s="2060"/>
      <c r="AG141" s="2060"/>
      <c r="AH141" s="2060"/>
      <c r="AI141" s="2060"/>
      <c r="AJ141" s="2060"/>
      <c r="AK141" s="2060"/>
      <c r="AL141" s="2060"/>
      <c r="AM141" s="1779"/>
      <c r="AN141" s="1779"/>
      <c r="AO141" s="1779"/>
      <c r="AP141" s="1779"/>
      <c r="AQ141" s="1779"/>
      <c r="AR141" s="1779"/>
      <c r="AS141" s="1779"/>
      <c r="AT141" s="1779"/>
      <c r="AU141" s="1779"/>
      <c r="AV141" s="1779"/>
      <c r="AW141" s="1779"/>
      <c r="AX141" s="1779"/>
      <c r="AY141" s="1779"/>
      <c r="AZ141" s="1779"/>
      <c r="BA141" s="1779"/>
      <c r="BB141" s="1779"/>
      <c r="BC141" s="1779"/>
      <c r="BD141" s="1779"/>
      <c r="BE141" s="1779"/>
      <c r="BF141" s="1779"/>
      <c r="BG141" s="1779"/>
      <c r="BH141" s="1779"/>
      <c r="BI141" s="1779"/>
      <c r="BJ141" s="1779"/>
      <c r="BK141" s="1779"/>
      <c r="BL141" s="1779"/>
      <c r="BM141" s="1779"/>
      <c r="BN141" s="1779"/>
      <c r="BO141" s="1779"/>
      <c r="BP141" s="1779"/>
      <c r="BQ141" s="1779"/>
      <c r="BR141" s="1779"/>
      <c r="BS141" s="1779"/>
      <c r="BT141" s="1779"/>
      <c r="BU141" s="1779"/>
      <c r="BV141" s="1779"/>
      <c r="BW141" s="1779"/>
      <c r="BX141" s="1779"/>
      <c r="BY141" s="1779"/>
      <c r="BZ141" s="1779"/>
      <c r="CA141" s="1779"/>
      <c r="CB141" s="1779"/>
      <c r="CC141" s="1779"/>
      <c r="CD141" s="1779"/>
      <c r="CE141" s="1779"/>
      <c r="CF141" s="1779"/>
      <c r="CG141" s="1779"/>
      <c r="CH141" s="1779"/>
      <c r="CI141" s="1779"/>
      <c r="CJ141" s="1779"/>
      <c r="CK141" s="1779"/>
      <c r="CL141" s="1779"/>
      <c r="CM141" s="1779"/>
      <c r="CN141" s="1779"/>
      <c r="CO141" s="1779"/>
      <c r="CP141" s="1779"/>
      <c r="CQ141" s="1779"/>
      <c r="CR141" s="1779"/>
      <c r="CS141" s="1779"/>
      <c r="CT141" s="1779"/>
      <c r="CU141" s="1779"/>
      <c r="CV141" s="1779"/>
      <c r="CW141" s="1779"/>
      <c r="CX141" s="1779"/>
      <c r="CY141" s="1779"/>
      <c r="CZ141" s="1779"/>
      <c r="DA141" s="1779"/>
      <c r="DB141" s="1779"/>
      <c r="DC141" s="1779"/>
      <c r="DD141" s="1779"/>
      <c r="DE141" s="1779"/>
      <c r="DF141" s="1779"/>
      <c r="DG141" s="1779"/>
      <c r="DH141" s="1779"/>
      <c r="DI141" s="1779"/>
      <c r="DJ141" s="1779"/>
      <c r="DK141" s="1779"/>
      <c r="DL141" s="1779"/>
      <c r="DM141" s="1779"/>
      <c r="DN141" s="1779"/>
      <c r="DO141" s="1779"/>
      <c r="DP141" s="1779"/>
      <c r="DQ141" s="1779"/>
      <c r="DR141" s="1779"/>
      <c r="DS141" s="1779"/>
      <c r="DT141" s="1779"/>
      <c r="DU141" s="1779"/>
      <c r="DV141" s="1779"/>
      <c r="DW141" s="1779"/>
      <c r="DX141" s="1779"/>
      <c r="DY141" s="1779"/>
      <c r="DZ141" s="1779"/>
      <c r="EA141" s="1779"/>
      <c r="EB141" s="1779"/>
      <c r="EC141" s="1779"/>
      <c r="ED141" s="1779"/>
      <c r="EE141" s="1779"/>
      <c r="EF141" s="1779"/>
      <c r="EG141" s="1779"/>
      <c r="EH141" s="1779"/>
      <c r="EI141" s="1779"/>
      <c r="EJ141" s="1779"/>
      <c r="EK141" s="1779"/>
      <c r="EL141" s="1779"/>
      <c r="EM141" s="1779"/>
      <c r="EN141" s="1779"/>
      <c r="EO141" s="1779"/>
      <c r="EP141" s="1779"/>
      <c r="EQ141" s="1779"/>
      <c r="ER141" s="1779"/>
      <c r="ES141" s="1779"/>
      <c r="ET141" s="1779"/>
      <c r="EU141" s="1779"/>
      <c r="EV141" s="1779"/>
      <c r="EW141" s="1779"/>
      <c r="EX141" s="1779"/>
      <c r="EY141" s="1779"/>
      <c r="EZ141" s="1779"/>
      <c r="FA141" s="1779"/>
      <c r="FB141" s="1779"/>
      <c r="FC141" s="1779"/>
      <c r="FD141" s="1779"/>
      <c r="FE141" s="1779"/>
      <c r="FF141" s="1779"/>
      <c r="FG141" s="1779"/>
      <c r="FH141" s="1779"/>
      <c r="FI141" s="1779"/>
      <c r="FJ141" s="1779"/>
      <c r="FK141" s="1779"/>
      <c r="FL141" s="1779"/>
      <c r="FM141" s="1779"/>
      <c r="FN141" s="1779"/>
      <c r="FO141" s="1779"/>
      <c r="FP141" s="1779"/>
      <c r="FQ141" s="1779"/>
      <c r="FR141" s="1779"/>
      <c r="FS141" s="1779"/>
      <c r="FT141" s="1779"/>
      <c r="FU141" s="1779"/>
      <c r="FV141" s="1779"/>
      <c r="FW141" s="1779"/>
      <c r="FX141" s="1779"/>
      <c r="FY141" s="1779"/>
      <c r="FZ141" s="1779"/>
      <c r="GA141" s="1779"/>
      <c r="GB141" s="1779"/>
      <c r="GC141" s="1779"/>
    </row>
    <row r="142" spans="1:185" customFormat="1" ht="12.75" customHeight="1">
      <c r="A142" s="1632" t="str">
        <f t="shared" si="14"/>
        <v>n</v>
      </c>
      <c r="B142" s="1004"/>
      <c r="C142" s="1502"/>
      <c r="D142" s="2229"/>
      <c r="E142" s="623" t="str">
        <f>'DATA GPC'!E33</f>
        <v>--</v>
      </c>
      <c r="F142" s="128"/>
      <c r="G142" s="1504" t="str">
        <f>IF(E142="--","--",'DATA GPC'!G33)</f>
        <v>--</v>
      </c>
      <c r="H142" s="1350" t="str">
        <f>IF($G142="--","--",_xll.ciqfunctions.udf.CIQ($G142,"IQ_CUSTOM_BETA",_xll.ciqfunctions.udf.CIQ('DATA GPC'!$S33,"IQ_PRICEDATE",EDATE(Valuation_date,-B1Yrs*12)),Valuation_date,IF(B1Freq="Weekly","W","M"),'DATA GPC'!$S33))</f>
        <v>--</v>
      </c>
      <c r="I142" s="1350" t="str">
        <f>IF($G142="--","--",_xll.ciqfunctions.udf.CIQ($G142,"IQ_CUSTOM_BETA_RSQ",_xll.ciqfunctions.udf.CIQ('DATA GPC'!$S33,"IQ_PRICEDATE",EDATE(Valuation_date,-B1Yrs*12)),Valuation_date,IF(B1Freq="Weekly","W","M"),'DATA GPC'!$S33))</f>
        <v>--</v>
      </c>
      <c r="J142" s="2230" t="str">
        <f t="shared" si="15"/>
        <v>--</v>
      </c>
      <c r="K142" s="2230" t="str">
        <f t="shared" si="16"/>
        <v>--</v>
      </c>
      <c r="L142" s="1776" t="str">
        <f>IF(OR($G142="--",H142="#NA"),"--",_xll.ciqfunctions.udf.CIQ($G142,"IQ_CUSTOM_BETA_DATA_POINTS",_xll.ciqfunctions.udf.CIQ('DATA GPC'!$S33,"IQ_PRICEDATE",EDATE(Valuation_date,-B1Yrs*12)),Valuation_date,IF(B1Freq="Weekly","W","M"),'DATA GPC'!$S33))</f>
        <v>--</v>
      </c>
      <c r="M142" s="2231" t="str">
        <f>IF($G142="--","--",_xll.ciqfunctions.udf.CIQ($G142,"IQ_CUSTOM_BETA",_xll.ciqfunctions.udf.CIQ('DATA GPC'!$S33,"IQ_PRICEDATE",EDATE(Valuation_date,-B2Yrs*12)),Valuation_date,IF(B2Freq="Weekly","W","M"),'DATA GPC'!$S33))</f>
        <v>--</v>
      </c>
      <c r="N142" s="1350" t="str">
        <f>IF($G142="--","--",_xll.ciqfunctions.udf.CIQ($G142,"IQ_CUSTOM_BETA_RSQ",_xll.ciqfunctions.udf.CIQ('DATA GPC'!$S33,"IQ_PRICEDATE",EDATE(Valuation_date,-B2Yrs*12)),Valuation_date,IF(B2Freq="Weekly","W","M"),'DATA GPC'!$S33))</f>
        <v>--</v>
      </c>
      <c r="O142" s="2230" t="str">
        <f t="shared" si="17"/>
        <v>--</v>
      </c>
      <c r="P142" s="2230" t="str">
        <f t="shared" si="18"/>
        <v>--</v>
      </c>
      <c r="Q142" s="1776" t="str">
        <f>IF(OR($G142="--",M142="#NA"),"--",_xll.ciqfunctions.udf.CIQ($G142,"IQ_CUSTOM_BETA_DATA_POINTS",_xll.ciqfunctions.udf.CIQ('DATA GPC'!$S33,"IQ_PRICEDATE",EDATE(Valuation_date,-B2Yrs*12)),Valuation_date,IF(B2Freq="Weekly","W","M"),'DATA GPC'!$S33))</f>
        <v>--</v>
      </c>
      <c r="R142" s="2231" t="str">
        <f>IF($G142="--","--",_xll.ciqfunctions.udf.CIQ($G142,"IQ_CUSTOM_BETA",_xll.ciqfunctions.udf.CIQ('DATA GPC'!$S33,"IQ_PRICEDATE",EDATE(Valuation_date,-B3Yrs*12)),Valuation_date,IF(B3Freq="Weekly","W","M"),'DATA GPC'!$S33))</f>
        <v>--</v>
      </c>
      <c r="S142" s="1350" t="str">
        <f>IF($G142="--","--",_xll.ciqfunctions.udf.CIQ($G142,"IQ_CUSTOM_BETA_RSQ",_xll.ciqfunctions.udf.CIQ('DATA GPC'!$S33,"IQ_PRICEDATE",EDATE(Valuation_date,-B3Yrs*12)),Valuation_date,IF(B3Freq="Weekly","W","M"),'DATA GPC'!$S33))</f>
        <v>--</v>
      </c>
      <c r="T142" s="2230" t="str">
        <f t="shared" si="19"/>
        <v>--</v>
      </c>
      <c r="U142" s="2230" t="str">
        <f t="shared" si="20"/>
        <v>--</v>
      </c>
      <c r="V142" s="1776" t="str">
        <f>IF(OR($G142="--",R142="#NA"),"--",_xll.ciqfunctions.udf.CIQ($G142,"IQ_CUSTOM_BETA_DATA_POINTS",_xll.ciqfunctions.udf.CIQ('DATA GPC'!$S33,"IQ_PRICEDATE",EDATE(Valuation_date,-B3Yrs*12)),Valuation_date,IF(B3Freq="Weekly","W","M"),'DATA GPC'!$S33))</f>
        <v>--</v>
      </c>
      <c r="W142" s="2231" t="str">
        <f>IF($G142="--","--",_xll.ciqfunctions.udf.CIQ($G142,"IQ_CUSTOM_BETA",_xll.ciqfunctions.udf.CIQ('DATA GPC'!$S33,"IQ_PRICEDATE",EDATE(Valuation_date,-B4Yrs*12)),Valuation_date,IF(B4Freq="Weekly","W","M"),'DATA GPC'!$S33))</f>
        <v>--</v>
      </c>
      <c r="X142" s="1350" t="str">
        <f>IF($G142="--","--",_xll.ciqfunctions.udf.CIQ($G142,"IQ_CUSTOM_BETA_RSQ",_xll.ciqfunctions.udf.CIQ('DATA GPC'!$S33,"IQ_PRICEDATE",EDATE(Valuation_date,-B4Yrs*12)),Valuation_date,IF(B4Freq="Weekly","W","M"),'DATA GPC'!$S33))</f>
        <v>--</v>
      </c>
      <c r="Y142" s="2230" t="str">
        <f t="shared" si="21"/>
        <v>--</v>
      </c>
      <c r="Z142" s="2230" t="str">
        <f t="shared" si="22"/>
        <v>--</v>
      </c>
      <c r="AA142" s="1776" t="str">
        <f>IF(OR($G142="--",W142="#NA"),"--",_xll.ciqfunctions.udf.CIQ($G142,"IQ_CUSTOM_BETA_DATA_POINTS",_xll.ciqfunctions.udf.CIQ('DATA GPC'!$S33,"IQ_PRICEDATE",EDATE(Valuation_date,-B4Yrs*12)),Valuation_date,IF(B4Freq="Weekly","W","M"),'DATA GPC'!$S33))</f>
        <v>--</v>
      </c>
      <c r="AB142" s="2060"/>
      <c r="AC142" s="2060"/>
      <c r="AD142" s="1004"/>
      <c r="AE142" s="2060"/>
      <c r="AF142" s="2060"/>
      <c r="AG142" s="2060"/>
      <c r="AH142" s="1779"/>
      <c r="AI142" s="1779"/>
      <c r="AJ142" s="1779"/>
      <c r="AK142" s="1779"/>
      <c r="AL142" s="1779"/>
      <c r="AM142" s="1779"/>
      <c r="AN142" s="1779"/>
      <c r="AO142" s="1779"/>
      <c r="AP142" s="1779"/>
      <c r="AQ142" s="1779"/>
      <c r="AR142" s="1779"/>
      <c r="AS142" s="1779"/>
      <c r="AT142" s="1779"/>
      <c r="AU142" s="1779"/>
      <c r="AV142" s="1779"/>
      <c r="AW142" s="1779"/>
      <c r="AX142" s="1779"/>
      <c r="AY142" s="1779"/>
      <c r="AZ142" s="1779"/>
      <c r="BA142" s="1779"/>
      <c r="BB142" s="1779"/>
      <c r="BC142" s="1779"/>
      <c r="BD142" s="1779"/>
      <c r="BE142" s="1779"/>
      <c r="BF142" s="1779"/>
      <c r="BG142" s="1779"/>
      <c r="BH142" s="1779"/>
      <c r="BI142" s="1779"/>
      <c r="BJ142" s="1779"/>
      <c r="BK142" s="1779"/>
      <c r="BL142" s="1779"/>
      <c r="BM142" s="1779"/>
      <c r="BN142" s="1779"/>
      <c r="BO142" s="1779"/>
      <c r="BP142" s="1779"/>
      <c r="BQ142" s="1779"/>
      <c r="BR142" s="1779"/>
      <c r="BS142" s="1779"/>
      <c r="BT142" s="1779"/>
      <c r="BU142" s="1779"/>
      <c r="BV142" s="1779"/>
      <c r="BW142" s="1779"/>
      <c r="BX142" s="1779"/>
      <c r="BY142" s="1779"/>
      <c r="BZ142" s="1779"/>
      <c r="CA142" s="1779"/>
      <c r="CB142" s="1779"/>
      <c r="CC142" s="1779"/>
      <c r="CD142" s="1779"/>
      <c r="CE142" s="1779"/>
      <c r="CF142" s="1779"/>
      <c r="CG142" s="1779"/>
      <c r="CH142" s="1779"/>
      <c r="CI142" s="1779"/>
      <c r="CJ142" s="1779"/>
      <c r="CK142" s="1779"/>
      <c r="CL142" s="1779"/>
      <c r="CM142" s="1779"/>
      <c r="CN142" s="1779"/>
      <c r="CO142" s="1779"/>
      <c r="CP142" s="1779"/>
      <c r="CQ142" s="1779"/>
      <c r="CR142" s="1779"/>
      <c r="CS142" s="1779"/>
      <c r="CT142" s="1779"/>
      <c r="CU142" s="1779"/>
      <c r="CV142" s="1779"/>
      <c r="CW142" s="1779"/>
      <c r="CX142" s="1779"/>
      <c r="CY142" s="1779"/>
      <c r="CZ142" s="1779"/>
      <c r="DA142" s="1779"/>
      <c r="DB142" s="1779"/>
      <c r="DC142" s="1779"/>
      <c r="DD142" s="1779"/>
      <c r="DE142" s="1779"/>
      <c r="DF142" s="1779"/>
      <c r="DG142" s="1779"/>
      <c r="DH142" s="1779"/>
      <c r="DI142" s="1779"/>
      <c r="DJ142" s="1779"/>
      <c r="DK142" s="1779"/>
      <c r="DL142" s="1779"/>
      <c r="DM142" s="1779"/>
      <c r="DN142" s="1779"/>
      <c r="DO142" s="1779"/>
      <c r="DP142" s="1779"/>
      <c r="DQ142" s="1779"/>
      <c r="DR142" s="1779"/>
      <c r="DS142" s="1779"/>
      <c r="DT142" s="1779"/>
      <c r="DU142" s="1779"/>
      <c r="DV142" s="1779"/>
      <c r="DW142" s="1779"/>
      <c r="DX142" s="1779"/>
      <c r="DY142" s="1779"/>
      <c r="DZ142" s="1779"/>
      <c r="EA142" s="1779"/>
      <c r="EB142" s="1779"/>
      <c r="EC142" s="1779"/>
      <c r="ED142" s="1779"/>
      <c r="EE142" s="1779"/>
      <c r="EF142" s="1779"/>
      <c r="EG142" s="1779"/>
      <c r="EH142" s="1779"/>
      <c r="EI142" s="1779"/>
      <c r="EJ142" s="1779"/>
      <c r="EK142" s="1779"/>
      <c r="EL142" s="1779"/>
      <c r="EM142" s="1779"/>
      <c r="EN142" s="1779"/>
      <c r="EO142" s="1779"/>
      <c r="EP142" s="1779"/>
      <c r="EQ142" s="1779"/>
      <c r="ER142" s="1779"/>
      <c r="ES142" s="1779"/>
      <c r="ET142" s="1779"/>
      <c r="EU142" s="1779"/>
      <c r="EV142" s="1779"/>
      <c r="EW142" s="1779"/>
      <c r="EX142" s="1779"/>
      <c r="EY142" s="1779"/>
      <c r="EZ142" s="1779"/>
      <c r="FA142" s="1779"/>
      <c r="FB142" s="1779"/>
      <c r="FC142" s="1779"/>
      <c r="FD142" s="1779"/>
      <c r="FE142" s="1779"/>
      <c r="FF142" s="1779"/>
      <c r="FG142" s="1779"/>
      <c r="FH142" s="1779"/>
      <c r="FI142" s="1779"/>
      <c r="FJ142" s="1779"/>
      <c r="FK142" s="1779"/>
      <c r="FL142" s="1779"/>
      <c r="FM142" s="1779"/>
      <c r="FN142" s="1779"/>
      <c r="FO142" s="1779"/>
      <c r="FP142" s="1779"/>
      <c r="FQ142" s="1779"/>
      <c r="FR142" s="1779"/>
      <c r="FS142" s="1779"/>
      <c r="FT142" s="1779"/>
      <c r="FU142" s="1779"/>
      <c r="FV142" s="1779"/>
      <c r="FW142" s="1779"/>
      <c r="FX142" s="1779"/>
      <c r="FY142" s="1779"/>
      <c r="FZ142" s="1779"/>
      <c r="GA142" s="1779"/>
      <c r="GB142" s="1779"/>
      <c r="GC142" s="1779"/>
    </row>
    <row r="143" spans="1:185" s="1499" customFormat="1" ht="12.75" customHeight="1">
      <c r="A143" s="1632" t="str">
        <f t="shared" si="14"/>
        <v>n</v>
      </c>
      <c r="B143" s="1004"/>
      <c r="C143" s="1502"/>
      <c r="D143" s="2229"/>
      <c r="E143" s="623" t="str">
        <f>'DATA GPC'!E34</f>
        <v>--</v>
      </c>
      <c r="F143" s="128"/>
      <c r="G143" s="1504" t="str">
        <f>IF(E143="--","--",'DATA GPC'!G34)</f>
        <v>--</v>
      </c>
      <c r="H143" s="1350" t="str">
        <f>IF($G143="--","--",_xll.ciqfunctions.udf.CIQ($G143,"IQ_CUSTOM_BETA",_xll.ciqfunctions.udf.CIQ('DATA GPC'!$S34,"IQ_PRICEDATE",EDATE(Valuation_date,-B1Yrs*12)),Valuation_date,IF(B1Freq="Weekly","W","M"),'DATA GPC'!$S34))</f>
        <v>--</v>
      </c>
      <c r="I143" s="1350" t="str">
        <f>IF($G143="--","--",_xll.ciqfunctions.udf.CIQ($G143,"IQ_CUSTOM_BETA_RSQ",_xll.ciqfunctions.udf.CIQ('DATA GPC'!$S34,"IQ_PRICEDATE",EDATE(Valuation_date,-B1Yrs*12)),Valuation_date,IF(B1Freq="Weekly","W","M"),'DATA GPC'!$S34))</f>
        <v>--</v>
      </c>
      <c r="J143" s="2230" t="str">
        <f t="shared" si="15"/>
        <v>--</v>
      </c>
      <c r="K143" s="2230" t="str">
        <f t="shared" si="16"/>
        <v>--</v>
      </c>
      <c r="L143" s="1776" t="str">
        <f>IF(OR($G143="--",H143="#NA"),"--",_xll.ciqfunctions.udf.CIQ($G143,"IQ_CUSTOM_BETA_DATA_POINTS",_xll.ciqfunctions.udf.CIQ('DATA GPC'!$S34,"IQ_PRICEDATE",EDATE(Valuation_date,-B1Yrs*12)),Valuation_date,IF(B1Freq="Weekly","W","M"),'DATA GPC'!$S34))</f>
        <v>--</v>
      </c>
      <c r="M143" s="2231" t="str">
        <f>IF($G143="--","--",_xll.ciqfunctions.udf.CIQ($G143,"IQ_CUSTOM_BETA",_xll.ciqfunctions.udf.CIQ('DATA GPC'!$S34,"IQ_PRICEDATE",EDATE(Valuation_date,-B2Yrs*12)),Valuation_date,IF(B2Freq="Weekly","W","M"),'DATA GPC'!$S34))</f>
        <v>--</v>
      </c>
      <c r="N143" s="1350" t="str">
        <f>IF($G143="--","--",_xll.ciqfunctions.udf.CIQ($G143,"IQ_CUSTOM_BETA_RSQ",_xll.ciqfunctions.udf.CIQ('DATA GPC'!$S34,"IQ_PRICEDATE",EDATE(Valuation_date,-B2Yrs*12)),Valuation_date,IF(B2Freq="Weekly","W","M"),'DATA GPC'!$S34))</f>
        <v>--</v>
      </c>
      <c r="O143" s="2230" t="str">
        <f t="shared" si="17"/>
        <v>--</v>
      </c>
      <c r="P143" s="2230" t="str">
        <f t="shared" si="18"/>
        <v>--</v>
      </c>
      <c r="Q143" s="1776" t="str">
        <f>IF(OR($G143="--",M143="#NA"),"--",_xll.ciqfunctions.udf.CIQ($G143,"IQ_CUSTOM_BETA_DATA_POINTS",_xll.ciqfunctions.udf.CIQ('DATA GPC'!$S34,"IQ_PRICEDATE",EDATE(Valuation_date,-B2Yrs*12)),Valuation_date,IF(B2Freq="Weekly","W","M"),'DATA GPC'!$S34))</f>
        <v>--</v>
      </c>
      <c r="R143" s="2231" t="str">
        <f>IF($G143="--","--",_xll.ciqfunctions.udf.CIQ($G143,"IQ_CUSTOM_BETA",_xll.ciqfunctions.udf.CIQ('DATA GPC'!$S34,"IQ_PRICEDATE",EDATE(Valuation_date,-B3Yrs*12)),Valuation_date,IF(B3Freq="Weekly","W","M"),'DATA GPC'!$S34))</f>
        <v>--</v>
      </c>
      <c r="S143" s="1350" t="str">
        <f>IF($G143="--","--",_xll.ciqfunctions.udf.CIQ($G143,"IQ_CUSTOM_BETA_RSQ",_xll.ciqfunctions.udf.CIQ('DATA GPC'!$S34,"IQ_PRICEDATE",EDATE(Valuation_date,-B3Yrs*12)),Valuation_date,IF(B3Freq="Weekly","W","M"),'DATA GPC'!$S34))</f>
        <v>--</v>
      </c>
      <c r="T143" s="2230" t="str">
        <f t="shared" si="19"/>
        <v>--</v>
      </c>
      <c r="U143" s="2230" t="str">
        <f t="shared" si="20"/>
        <v>--</v>
      </c>
      <c r="V143" s="1776" t="str">
        <f>IF(OR($G143="--",R143="#NA"),"--",_xll.ciqfunctions.udf.CIQ($G143,"IQ_CUSTOM_BETA_DATA_POINTS",_xll.ciqfunctions.udf.CIQ('DATA GPC'!$S34,"IQ_PRICEDATE",EDATE(Valuation_date,-B3Yrs*12)),Valuation_date,IF(B3Freq="Weekly","W","M"),'DATA GPC'!$S34))</f>
        <v>--</v>
      </c>
      <c r="W143" s="2231" t="str">
        <f>IF($G143="--","--",_xll.ciqfunctions.udf.CIQ($G143,"IQ_CUSTOM_BETA",_xll.ciqfunctions.udf.CIQ('DATA GPC'!$S34,"IQ_PRICEDATE",EDATE(Valuation_date,-B4Yrs*12)),Valuation_date,IF(B4Freq="Weekly","W","M"),'DATA GPC'!$S34))</f>
        <v>--</v>
      </c>
      <c r="X143" s="1350" t="str">
        <f>IF($G143="--","--",_xll.ciqfunctions.udf.CIQ($G143,"IQ_CUSTOM_BETA_RSQ",_xll.ciqfunctions.udf.CIQ('DATA GPC'!$S34,"IQ_PRICEDATE",EDATE(Valuation_date,-B4Yrs*12)),Valuation_date,IF(B4Freq="Weekly","W","M"),'DATA GPC'!$S34))</f>
        <v>--</v>
      </c>
      <c r="Y143" s="2230" t="str">
        <f t="shared" si="21"/>
        <v>--</v>
      </c>
      <c r="Z143" s="2230" t="str">
        <f t="shared" si="22"/>
        <v>--</v>
      </c>
      <c r="AA143" s="1776" t="str">
        <f>IF(OR($G143="--",W143="#NA"),"--",_xll.ciqfunctions.udf.CIQ($G143,"IQ_CUSTOM_BETA_DATA_POINTS",_xll.ciqfunctions.udf.CIQ('DATA GPC'!$S34,"IQ_PRICEDATE",EDATE(Valuation_date,-B4Yrs*12)),Valuation_date,IF(B4Freq="Weekly","W","M"),'DATA GPC'!$S34))</f>
        <v>--</v>
      </c>
      <c r="AB143" s="2060"/>
      <c r="AC143" s="2060"/>
      <c r="AD143" s="1004"/>
      <c r="AE143" s="2060"/>
      <c r="AF143" s="2060"/>
      <c r="AG143" s="2060"/>
      <c r="AH143" s="1779"/>
      <c r="AI143" s="1779"/>
      <c r="AJ143" s="1779"/>
      <c r="AK143" s="1779"/>
      <c r="AL143" s="1779"/>
      <c r="AM143" s="1779"/>
      <c r="AN143" s="1779"/>
      <c r="AO143" s="1779"/>
      <c r="AP143" s="1779"/>
      <c r="AQ143" s="1779"/>
      <c r="AR143" s="1779"/>
      <c r="AS143" s="1779"/>
      <c r="AT143" s="1779"/>
      <c r="AU143" s="1779"/>
      <c r="AV143" s="1779"/>
      <c r="AW143" s="1779"/>
      <c r="AX143" s="1779"/>
      <c r="AY143" s="1779"/>
      <c r="AZ143" s="1779"/>
      <c r="BA143" s="1779"/>
      <c r="BB143" s="1779"/>
      <c r="BC143" s="1779"/>
      <c r="BD143" s="1779"/>
      <c r="BE143" s="1779"/>
      <c r="BF143" s="1779"/>
      <c r="BG143" s="1538"/>
      <c r="BH143" s="1538"/>
      <c r="BI143" s="1779"/>
      <c r="BJ143" s="1779"/>
      <c r="BK143" s="1538"/>
      <c r="BL143" s="1538"/>
      <c r="BM143" s="1538"/>
      <c r="BN143" s="1538"/>
      <c r="BO143" s="1779"/>
      <c r="BP143" s="1779"/>
      <c r="BQ143" s="1779"/>
      <c r="BR143" s="1779"/>
      <c r="BS143" s="1779"/>
      <c r="BT143" s="1779"/>
      <c r="BU143" s="1779"/>
      <c r="BV143" s="1779"/>
      <c r="BW143" s="1779"/>
      <c r="BX143" s="1779"/>
      <c r="BY143" s="1779"/>
      <c r="BZ143" s="1779"/>
      <c r="CA143" s="1779"/>
      <c r="CB143" s="1779"/>
      <c r="CC143" s="1779"/>
      <c r="CD143" s="1779"/>
      <c r="CE143" s="1779"/>
      <c r="CF143" s="1779"/>
      <c r="CG143" s="1779"/>
      <c r="CH143" s="1779"/>
      <c r="CI143" s="1779"/>
      <c r="CJ143" s="1779"/>
      <c r="CK143" s="1779"/>
      <c r="CL143" s="1779"/>
      <c r="CM143" s="1779"/>
      <c r="CN143" s="1779"/>
      <c r="CO143" s="1779"/>
      <c r="CP143" s="1779"/>
      <c r="CQ143" s="1779"/>
      <c r="CR143" s="1779"/>
      <c r="CS143" s="1779"/>
      <c r="CT143" s="1779"/>
      <c r="CU143" s="1779"/>
      <c r="CV143" s="1779"/>
      <c r="CW143" s="1779"/>
      <c r="CX143" s="1779"/>
      <c r="CY143" s="1779"/>
      <c r="CZ143" s="1779"/>
      <c r="DA143" s="1779"/>
      <c r="DB143" s="1779"/>
      <c r="DC143" s="1779"/>
      <c r="DD143" s="1779"/>
      <c r="DE143" s="1779"/>
      <c r="DF143" s="1779"/>
      <c r="DG143" s="1779"/>
      <c r="DH143" s="1779"/>
      <c r="DI143" s="1779"/>
      <c r="DJ143" s="1779"/>
      <c r="DK143" s="1779"/>
      <c r="DL143" s="1779"/>
      <c r="DM143" s="1779"/>
      <c r="DN143" s="1779"/>
      <c r="DO143" s="1779"/>
      <c r="DP143" s="1779"/>
      <c r="DQ143" s="1779"/>
      <c r="DR143" s="1779"/>
      <c r="DS143" s="1779"/>
      <c r="DT143" s="1779"/>
      <c r="DU143" s="1779"/>
      <c r="DV143" s="1779"/>
      <c r="DW143" s="1779"/>
      <c r="DX143" s="1779"/>
      <c r="DY143" s="1779"/>
      <c r="DZ143" s="1779"/>
      <c r="EA143" s="1779"/>
      <c r="EB143" s="1779"/>
      <c r="EC143" s="1779"/>
      <c r="ED143" s="1779"/>
      <c r="EE143" s="1779"/>
      <c r="EF143" s="1779"/>
      <c r="EG143" s="1779"/>
      <c r="EH143" s="1779"/>
      <c r="EI143" s="1779"/>
      <c r="EJ143" s="1779"/>
      <c r="EK143" s="1779"/>
      <c r="EL143" s="1779"/>
      <c r="EM143" s="1779"/>
      <c r="EN143" s="1779"/>
      <c r="EO143" s="1779"/>
      <c r="EP143" s="1779"/>
      <c r="EQ143" s="1779"/>
      <c r="ER143" s="1779"/>
      <c r="ES143" s="1779"/>
      <c r="ET143" s="1779"/>
      <c r="EU143" s="1779"/>
      <c r="EV143" s="1779"/>
      <c r="EW143" s="1779"/>
      <c r="EX143" s="1779"/>
      <c r="EY143" s="1779"/>
      <c r="EZ143" s="1779"/>
      <c r="FA143" s="1779"/>
      <c r="FB143" s="1779"/>
      <c r="FC143" s="1779"/>
      <c r="FD143" s="1779"/>
      <c r="FE143" s="1779"/>
      <c r="FF143" s="1779"/>
      <c r="FG143" s="1779"/>
      <c r="FH143" s="1779"/>
      <c r="FI143" s="1779"/>
      <c r="FJ143" s="1779"/>
      <c r="FK143" s="1779"/>
      <c r="FL143" s="1779"/>
      <c r="FM143" s="1779"/>
      <c r="FN143" s="1779"/>
      <c r="FO143" s="1779"/>
      <c r="FP143" s="1779"/>
      <c r="FQ143" s="1779"/>
      <c r="FR143" s="1779"/>
      <c r="FS143" s="1779"/>
      <c r="FT143" s="1779"/>
      <c r="FU143" s="1779"/>
      <c r="FV143" s="1779"/>
      <c r="FW143" s="1779"/>
      <c r="FX143" s="1779"/>
      <c r="FY143" s="1779"/>
      <c r="FZ143" s="1779"/>
      <c r="GA143" s="1779"/>
      <c r="GB143" s="1779"/>
      <c r="GC143" s="1779"/>
    </row>
    <row r="144" spans="1:185" s="1499" customFormat="1" ht="12.75" customHeight="1">
      <c r="A144" s="1632" t="str">
        <f t="shared" si="14"/>
        <v>n</v>
      </c>
      <c r="B144" s="1004"/>
      <c r="C144" s="1502"/>
      <c r="D144" s="2229"/>
      <c r="E144" s="623" t="str">
        <f>'DATA GPC'!E35</f>
        <v>--</v>
      </c>
      <c r="F144" s="128"/>
      <c r="G144" s="1504" t="str">
        <f>IF(E144="--","--",'DATA GPC'!G35)</f>
        <v>--</v>
      </c>
      <c r="H144" s="1350" t="str">
        <f>IF($G144="--","--",_xll.ciqfunctions.udf.CIQ($G144,"IQ_CUSTOM_BETA",_xll.ciqfunctions.udf.CIQ('DATA GPC'!$S35,"IQ_PRICEDATE",EDATE(Valuation_date,-B1Yrs*12)),Valuation_date,IF(B1Freq="Weekly","W","M"),'DATA GPC'!$S35))</f>
        <v>--</v>
      </c>
      <c r="I144" s="1350" t="str">
        <f>IF($G144="--","--",_xll.ciqfunctions.udf.CIQ($G144,"IQ_CUSTOM_BETA_RSQ",_xll.ciqfunctions.udf.CIQ('DATA GPC'!$S35,"IQ_PRICEDATE",EDATE(Valuation_date,-B1Yrs*12)),Valuation_date,IF(B1Freq="Weekly","W","M"),'DATA GPC'!$S35))</f>
        <v>--</v>
      </c>
      <c r="J144" s="2230" t="str">
        <f t="shared" si="15"/>
        <v>--</v>
      </c>
      <c r="K144" s="2230" t="str">
        <f t="shared" si="16"/>
        <v>--</v>
      </c>
      <c r="L144" s="1776" t="str">
        <f>IF(OR($G144="--",H144="#NA"),"--",_xll.ciqfunctions.udf.CIQ($G144,"IQ_CUSTOM_BETA_DATA_POINTS",_xll.ciqfunctions.udf.CIQ('DATA GPC'!$S35,"IQ_PRICEDATE",EDATE(Valuation_date,-B1Yrs*12)),Valuation_date,IF(B1Freq="Weekly","W","M"),'DATA GPC'!$S35))</f>
        <v>--</v>
      </c>
      <c r="M144" s="2231" t="str">
        <f>IF($G144="--","--",_xll.ciqfunctions.udf.CIQ($G144,"IQ_CUSTOM_BETA",_xll.ciqfunctions.udf.CIQ('DATA GPC'!$S35,"IQ_PRICEDATE",EDATE(Valuation_date,-B2Yrs*12)),Valuation_date,IF(B2Freq="Weekly","W","M"),'DATA GPC'!$S35))</f>
        <v>--</v>
      </c>
      <c r="N144" s="1350" t="str">
        <f>IF($G144="--","--",_xll.ciqfunctions.udf.CIQ($G144,"IQ_CUSTOM_BETA_RSQ",_xll.ciqfunctions.udf.CIQ('DATA GPC'!$S35,"IQ_PRICEDATE",EDATE(Valuation_date,-B2Yrs*12)),Valuation_date,IF(B2Freq="Weekly","W","M"),'DATA GPC'!$S35))</f>
        <v>--</v>
      </c>
      <c r="O144" s="2230" t="str">
        <f t="shared" si="17"/>
        <v>--</v>
      </c>
      <c r="P144" s="2230" t="str">
        <f t="shared" si="18"/>
        <v>--</v>
      </c>
      <c r="Q144" s="1776" t="str">
        <f>IF(OR($G144="--",M144="#NA"),"--",_xll.ciqfunctions.udf.CIQ($G144,"IQ_CUSTOM_BETA_DATA_POINTS",_xll.ciqfunctions.udf.CIQ('DATA GPC'!$S35,"IQ_PRICEDATE",EDATE(Valuation_date,-B2Yrs*12)),Valuation_date,IF(B2Freq="Weekly","W","M"),'DATA GPC'!$S35))</f>
        <v>--</v>
      </c>
      <c r="R144" s="2231" t="str">
        <f>IF($G144="--","--",_xll.ciqfunctions.udf.CIQ($G144,"IQ_CUSTOM_BETA",_xll.ciqfunctions.udf.CIQ('DATA GPC'!$S35,"IQ_PRICEDATE",EDATE(Valuation_date,-B3Yrs*12)),Valuation_date,IF(B3Freq="Weekly","W","M"),'DATA GPC'!$S35))</f>
        <v>--</v>
      </c>
      <c r="S144" s="1350" t="str">
        <f>IF($G144="--","--",_xll.ciqfunctions.udf.CIQ($G144,"IQ_CUSTOM_BETA_RSQ",_xll.ciqfunctions.udf.CIQ('DATA GPC'!$S35,"IQ_PRICEDATE",EDATE(Valuation_date,-B3Yrs*12)),Valuation_date,IF(B3Freq="Weekly","W","M"),'DATA GPC'!$S35))</f>
        <v>--</v>
      </c>
      <c r="T144" s="2230" t="str">
        <f t="shared" si="19"/>
        <v>--</v>
      </c>
      <c r="U144" s="2230" t="str">
        <f t="shared" si="20"/>
        <v>--</v>
      </c>
      <c r="V144" s="1776" t="str">
        <f>IF(OR($G144="--",R144="#NA"),"--",_xll.ciqfunctions.udf.CIQ($G144,"IQ_CUSTOM_BETA_DATA_POINTS",_xll.ciqfunctions.udf.CIQ('DATA GPC'!$S35,"IQ_PRICEDATE",EDATE(Valuation_date,-B3Yrs*12)),Valuation_date,IF(B3Freq="Weekly","W","M"),'DATA GPC'!$S35))</f>
        <v>--</v>
      </c>
      <c r="W144" s="2231" t="str">
        <f>IF($G144="--","--",_xll.ciqfunctions.udf.CIQ($G144,"IQ_CUSTOM_BETA",_xll.ciqfunctions.udf.CIQ('DATA GPC'!$S35,"IQ_PRICEDATE",EDATE(Valuation_date,-B4Yrs*12)),Valuation_date,IF(B4Freq="Weekly","W","M"),'DATA GPC'!$S35))</f>
        <v>--</v>
      </c>
      <c r="X144" s="1350" t="str">
        <f>IF($G144="--","--",_xll.ciqfunctions.udf.CIQ($G144,"IQ_CUSTOM_BETA_RSQ",_xll.ciqfunctions.udf.CIQ('DATA GPC'!$S35,"IQ_PRICEDATE",EDATE(Valuation_date,-B4Yrs*12)),Valuation_date,IF(B4Freq="Weekly","W","M"),'DATA GPC'!$S35))</f>
        <v>--</v>
      </c>
      <c r="Y144" s="2230" t="str">
        <f t="shared" si="21"/>
        <v>--</v>
      </c>
      <c r="Z144" s="2230" t="str">
        <f t="shared" si="22"/>
        <v>--</v>
      </c>
      <c r="AA144" s="1776" t="str">
        <f>IF(OR($G144="--",W144="#NA"),"--",_xll.ciqfunctions.udf.CIQ($G144,"IQ_CUSTOM_BETA_DATA_POINTS",_xll.ciqfunctions.udf.CIQ('DATA GPC'!$S35,"IQ_PRICEDATE",EDATE(Valuation_date,-B4Yrs*12)),Valuation_date,IF(B4Freq="Weekly","W","M"),'DATA GPC'!$S35))</f>
        <v>--</v>
      </c>
      <c r="AB144" s="2060"/>
      <c r="AC144" s="2060"/>
      <c r="AD144" s="1004"/>
      <c r="AE144" s="2060"/>
      <c r="AF144" s="2060"/>
      <c r="AG144" s="2060"/>
      <c r="AH144" s="2060"/>
      <c r="AI144" s="2060"/>
      <c r="AJ144" s="2060"/>
      <c r="AK144" s="2060"/>
      <c r="AL144" s="2060"/>
      <c r="AM144" s="2060"/>
      <c r="AN144" s="2060"/>
      <c r="AO144" s="2060"/>
      <c r="AP144" s="2060"/>
      <c r="AQ144" s="2060"/>
      <c r="AR144" s="2060"/>
      <c r="AS144" s="2060"/>
      <c r="AT144" s="2060"/>
      <c r="AU144" s="2060"/>
      <c r="AV144" s="2060"/>
      <c r="AW144" s="2060"/>
      <c r="AX144" s="2060"/>
      <c r="AY144" s="2060"/>
      <c r="AZ144" s="2060"/>
      <c r="BA144" s="2060"/>
      <c r="BB144" s="2060"/>
      <c r="BC144" s="2060"/>
      <c r="BD144" s="2060"/>
      <c r="BE144" s="2060"/>
      <c r="BF144" s="2060"/>
      <c r="BG144" s="2060"/>
      <c r="BH144" s="2060"/>
      <c r="BI144" s="2060"/>
      <c r="BJ144" s="2060"/>
      <c r="BK144" s="2060"/>
      <c r="BL144" s="2060"/>
      <c r="BM144" s="2060"/>
      <c r="BN144" s="2060"/>
      <c r="BO144" s="2060"/>
      <c r="BP144" s="2060"/>
      <c r="BQ144" s="2060"/>
      <c r="BR144" s="2060"/>
      <c r="BS144" s="2060"/>
      <c r="BT144" s="2060"/>
      <c r="BU144" s="2060"/>
      <c r="BV144" s="2060"/>
      <c r="BW144" s="2060"/>
      <c r="BX144" s="2060"/>
      <c r="BY144" s="2060"/>
      <c r="BZ144" s="2060"/>
      <c r="CA144" s="2060"/>
      <c r="CB144" s="2060"/>
      <c r="CC144" s="2060"/>
      <c r="CD144" s="2060"/>
      <c r="CE144" s="2060"/>
      <c r="CF144" s="2060"/>
      <c r="CG144" s="2060"/>
      <c r="CH144" s="2060"/>
      <c r="CI144" s="2060"/>
      <c r="CJ144" s="2060"/>
      <c r="CK144" s="2060"/>
      <c r="CL144" s="2060"/>
      <c r="CM144" s="2060"/>
      <c r="CN144" s="2060"/>
      <c r="CO144" s="2060"/>
      <c r="CP144" s="2060"/>
      <c r="CQ144" s="2060"/>
      <c r="CR144" s="2060"/>
      <c r="CS144" s="2060"/>
      <c r="CT144" s="2060"/>
      <c r="CU144" s="2060"/>
      <c r="CV144" s="2060"/>
      <c r="CW144" s="2060"/>
      <c r="CX144" s="2060"/>
      <c r="CY144" s="2060"/>
      <c r="CZ144" s="2060"/>
      <c r="DA144" s="2060"/>
      <c r="DB144" s="2060"/>
      <c r="DC144" s="2060"/>
      <c r="DD144" s="2060"/>
      <c r="DE144" s="2060"/>
      <c r="DF144" s="2060"/>
      <c r="DG144" s="2060"/>
      <c r="DH144" s="2060"/>
      <c r="DI144" s="2060"/>
      <c r="DJ144" s="2060"/>
      <c r="DK144" s="2060"/>
      <c r="DL144" s="2060"/>
      <c r="DM144" s="2060"/>
      <c r="DN144" s="2060"/>
      <c r="DO144" s="2060"/>
      <c r="DP144" s="2060"/>
      <c r="DQ144" s="2060"/>
      <c r="DR144" s="2060"/>
      <c r="DS144" s="2060"/>
      <c r="DT144" s="2060"/>
      <c r="DU144" s="2060"/>
      <c r="DV144" s="2060"/>
      <c r="DW144" s="2060"/>
      <c r="DX144" s="2060"/>
      <c r="DY144" s="2060"/>
      <c r="DZ144" s="2060"/>
      <c r="EA144" s="2060"/>
      <c r="EB144" s="2060"/>
      <c r="EC144" s="2060"/>
      <c r="ED144" s="2060"/>
      <c r="EE144" s="2060"/>
      <c r="EF144" s="2060"/>
      <c r="EG144" s="2060"/>
      <c r="EH144" s="2060"/>
      <c r="EI144" s="2060"/>
      <c r="EJ144" s="2060"/>
      <c r="EK144" s="2060"/>
      <c r="EL144" s="2060"/>
      <c r="EM144" s="2060"/>
      <c r="EN144" s="2060"/>
      <c r="EO144" s="2060"/>
      <c r="EP144" s="2060"/>
      <c r="EQ144" s="2060"/>
      <c r="ER144" s="2060"/>
      <c r="ES144" s="2060"/>
      <c r="ET144" s="2060"/>
      <c r="EU144" s="2060"/>
      <c r="EV144" s="2060"/>
      <c r="EW144" s="2060"/>
      <c r="EX144" s="2060"/>
      <c r="EY144" s="2060"/>
      <c r="EZ144" s="2060"/>
      <c r="FA144" s="2060"/>
      <c r="FB144" s="2060"/>
      <c r="FC144" s="2060"/>
      <c r="FD144" s="2060"/>
      <c r="FE144" s="2060"/>
      <c r="FF144" s="2060"/>
      <c r="FG144" s="2060"/>
      <c r="FH144" s="2060"/>
      <c r="FI144" s="2060"/>
      <c r="FJ144" s="2060"/>
      <c r="FK144" s="2060"/>
      <c r="FL144" s="2060"/>
      <c r="FM144" s="2060"/>
      <c r="FN144" s="2060"/>
      <c r="FO144" s="2060"/>
      <c r="FP144" s="2060"/>
      <c r="FQ144" s="2060"/>
      <c r="FR144" s="2060"/>
      <c r="FS144" s="2060"/>
      <c r="FT144" s="2060"/>
      <c r="FU144" s="2060"/>
      <c r="FV144" s="2060"/>
      <c r="FW144" s="2060"/>
      <c r="FX144" s="2060"/>
      <c r="FY144" s="2060"/>
      <c r="FZ144" s="2060"/>
      <c r="GA144" s="2060"/>
      <c r="GB144" s="2060"/>
      <c r="GC144" s="2060"/>
    </row>
    <row r="145" spans="1:185" s="1499" customFormat="1" ht="12.75" customHeight="1">
      <c r="A145" s="1632" t="str">
        <f t="shared" si="14"/>
        <v>n</v>
      </c>
      <c r="B145" s="1004"/>
      <c r="C145" s="1502"/>
      <c r="D145" s="2229"/>
      <c r="E145" s="623" t="str">
        <f>'DATA GPC'!E36</f>
        <v>--</v>
      </c>
      <c r="F145" s="128"/>
      <c r="G145" s="1504" t="str">
        <f>IF(E145="--","--",'DATA GPC'!G36)</f>
        <v>--</v>
      </c>
      <c r="H145" s="1350" t="str">
        <f>IF($G145="--","--",_xll.ciqfunctions.udf.CIQ($G145,"IQ_CUSTOM_BETA",_xll.ciqfunctions.udf.CIQ('DATA GPC'!$S36,"IQ_PRICEDATE",EDATE(Valuation_date,-B1Yrs*12)),Valuation_date,IF(B1Freq="Weekly","W","M"),'DATA GPC'!$S36))</f>
        <v>--</v>
      </c>
      <c r="I145" s="1350" t="str">
        <f>IF($G145="--","--",_xll.ciqfunctions.udf.CIQ($G145,"IQ_CUSTOM_BETA_RSQ",_xll.ciqfunctions.udf.CIQ('DATA GPC'!$S36,"IQ_PRICEDATE",EDATE(Valuation_date,-B1Yrs*12)),Valuation_date,IF(B1Freq="Weekly","W","M"),'DATA GPC'!$S36))</f>
        <v>--</v>
      </c>
      <c r="J145" s="2230" t="str">
        <f t="shared" si="15"/>
        <v>--</v>
      </c>
      <c r="K145" s="2230" t="str">
        <f t="shared" si="16"/>
        <v>--</v>
      </c>
      <c r="L145" s="1776" t="str">
        <f>IF(OR($G145="--",H145="#NA"),"--",_xll.ciqfunctions.udf.CIQ($G145,"IQ_CUSTOM_BETA_DATA_POINTS",_xll.ciqfunctions.udf.CIQ('DATA GPC'!$S36,"IQ_PRICEDATE",EDATE(Valuation_date,-B1Yrs*12)),Valuation_date,IF(B1Freq="Weekly","W","M"),'DATA GPC'!$S36))</f>
        <v>--</v>
      </c>
      <c r="M145" s="2231" t="str">
        <f>IF($G145="--","--",_xll.ciqfunctions.udf.CIQ($G145,"IQ_CUSTOM_BETA",_xll.ciqfunctions.udf.CIQ('DATA GPC'!$S36,"IQ_PRICEDATE",EDATE(Valuation_date,-B2Yrs*12)),Valuation_date,IF(B2Freq="Weekly","W","M"),'DATA GPC'!$S36))</f>
        <v>--</v>
      </c>
      <c r="N145" s="1350" t="str">
        <f>IF($G145="--","--",_xll.ciqfunctions.udf.CIQ($G145,"IQ_CUSTOM_BETA_RSQ",_xll.ciqfunctions.udf.CIQ('DATA GPC'!$S36,"IQ_PRICEDATE",EDATE(Valuation_date,-B2Yrs*12)),Valuation_date,IF(B2Freq="Weekly","W","M"),'DATA GPC'!$S36))</f>
        <v>--</v>
      </c>
      <c r="O145" s="2230" t="str">
        <f t="shared" si="17"/>
        <v>--</v>
      </c>
      <c r="P145" s="2230" t="str">
        <f t="shared" si="18"/>
        <v>--</v>
      </c>
      <c r="Q145" s="1776" t="str">
        <f>IF(OR($G145="--",M145="#NA"),"--",_xll.ciqfunctions.udf.CIQ($G145,"IQ_CUSTOM_BETA_DATA_POINTS",_xll.ciqfunctions.udf.CIQ('DATA GPC'!$S36,"IQ_PRICEDATE",EDATE(Valuation_date,-B2Yrs*12)),Valuation_date,IF(B2Freq="Weekly","W","M"),'DATA GPC'!$S36))</f>
        <v>--</v>
      </c>
      <c r="R145" s="2231" t="str">
        <f>IF($G145="--","--",_xll.ciqfunctions.udf.CIQ($G145,"IQ_CUSTOM_BETA",_xll.ciqfunctions.udf.CIQ('DATA GPC'!$S36,"IQ_PRICEDATE",EDATE(Valuation_date,-B3Yrs*12)),Valuation_date,IF(B3Freq="Weekly","W","M"),'DATA GPC'!$S36))</f>
        <v>--</v>
      </c>
      <c r="S145" s="1350" t="str">
        <f>IF($G145="--","--",_xll.ciqfunctions.udf.CIQ($G145,"IQ_CUSTOM_BETA_RSQ",_xll.ciqfunctions.udf.CIQ('DATA GPC'!$S36,"IQ_PRICEDATE",EDATE(Valuation_date,-B3Yrs*12)),Valuation_date,IF(B3Freq="Weekly","W","M"),'DATA GPC'!$S36))</f>
        <v>--</v>
      </c>
      <c r="T145" s="2230" t="str">
        <f t="shared" si="19"/>
        <v>--</v>
      </c>
      <c r="U145" s="2230" t="str">
        <f t="shared" si="20"/>
        <v>--</v>
      </c>
      <c r="V145" s="1776" t="str">
        <f>IF(OR($G145="--",R145="#NA"),"--",_xll.ciqfunctions.udf.CIQ($G145,"IQ_CUSTOM_BETA_DATA_POINTS",_xll.ciqfunctions.udf.CIQ('DATA GPC'!$S36,"IQ_PRICEDATE",EDATE(Valuation_date,-B3Yrs*12)),Valuation_date,IF(B3Freq="Weekly","W","M"),'DATA GPC'!$S36))</f>
        <v>--</v>
      </c>
      <c r="W145" s="2231" t="str">
        <f>IF($G145="--","--",_xll.ciqfunctions.udf.CIQ($G145,"IQ_CUSTOM_BETA",_xll.ciqfunctions.udf.CIQ('DATA GPC'!$S36,"IQ_PRICEDATE",EDATE(Valuation_date,-B4Yrs*12)),Valuation_date,IF(B4Freq="Weekly","W","M"),'DATA GPC'!$S36))</f>
        <v>--</v>
      </c>
      <c r="X145" s="1350" t="str">
        <f>IF($G145="--","--",_xll.ciqfunctions.udf.CIQ($G145,"IQ_CUSTOM_BETA_RSQ",_xll.ciqfunctions.udf.CIQ('DATA GPC'!$S36,"IQ_PRICEDATE",EDATE(Valuation_date,-B4Yrs*12)),Valuation_date,IF(B4Freq="Weekly","W","M"),'DATA GPC'!$S36))</f>
        <v>--</v>
      </c>
      <c r="Y145" s="2230" t="str">
        <f t="shared" si="21"/>
        <v>--</v>
      </c>
      <c r="Z145" s="2230" t="str">
        <f t="shared" si="22"/>
        <v>--</v>
      </c>
      <c r="AA145" s="1776" t="str">
        <f>IF(OR($G145="--",W145="#NA"),"--",_xll.ciqfunctions.udf.CIQ($G145,"IQ_CUSTOM_BETA_DATA_POINTS",_xll.ciqfunctions.udf.CIQ('DATA GPC'!$S36,"IQ_PRICEDATE",EDATE(Valuation_date,-B4Yrs*12)),Valuation_date,IF(B4Freq="Weekly","W","M"),'DATA GPC'!$S36))</f>
        <v>--</v>
      </c>
      <c r="AB145" s="2060"/>
      <c r="AC145" s="2060"/>
      <c r="AD145" s="1004"/>
      <c r="AE145" s="2060"/>
      <c r="AF145" s="2060"/>
      <c r="AG145" s="2060"/>
      <c r="AH145" s="2060"/>
      <c r="AI145" s="2060"/>
      <c r="AJ145" s="2060"/>
      <c r="AK145" s="2060"/>
      <c r="AL145" s="2060"/>
      <c r="AM145" s="2060"/>
      <c r="AN145" s="2060"/>
      <c r="AO145" s="2060"/>
      <c r="AP145" s="2060"/>
      <c r="AQ145" s="2060"/>
      <c r="AR145" s="2060"/>
      <c r="AS145" s="2060"/>
      <c r="AT145" s="2060"/>
      <c r="AU145" s="2060"/>
      <c r="AV145" s="2060"/>
      <c r="AW145" s="2060"/>
      <c r="AX145" s="2060"/>
      <c r="AY145" s="2060"/>
      <c r="AZ145" s="2060"/>
      <c r="BA145" s="2060"/>
      <c r="BB145" s="2060"/>
      <c r="BC145" s="2060"/>
      <c r="BD145" s="2060"/>
      <c r="BE145" s="2060"/>
      <c r="BF145" s="2060"/>
      <c r="BG145" s="2060"/>
      <c r="BH145" s="2060"/>
      <c r="BI145" s="2060"/>
      <c r="BJ145" s="2060"/>
      <c r="BK145" s="2060"/>
      <c r="BL145" s="2060"/>
      <c r="BM145" s="2060"/>
      <c r="BN145" s="2060"/>
      <c r="BO145" s="2060"/>
      <c r="BP145" s="2060"/>
      <c r="BQ145" s="2060"/>
      <c r="BR145" s="2060"/>
      <c r="BS145" s="2060"/>
      <c r="BT145" s="2060"/>
      <c r="BU145" s="2060"/>
      <c r="BV145" s="2060"/>
      <c r="BW145" s="2060"/>
      <c r="BX145" s="2060"/>
      <c r="BY145" s="2060"/>
      <c r="BZ145" s="2060"/>
      <c r="CA145" s="2060"/>
      <c r="CB145" s="2060"/>
      <c r="CC145" s="2060"/>
      <c r="CD145" s="2060"/>
      <c r="CE145" s="2060"/>
      <c r="CF145" s="2060"/>
      <c r="CG145" s="2060"/>
      <c r="CH145" s="2060"/>
      <c r="CI145" s="2060"/>
      <c r="CJ145" s="2060"/>
      <c r="CK145" s="2060"/>
      <c r="CL145" s="2060"/>
      <c r="CM145" s="2060"/>
      <c r="CN145" s="2060"/>
      <c r="CO145" s="2060"/>
      <c r="CP145" s="2060"/>
      <c r="CQ145" s="2060"/>
      <c r="CR145" s="2060"/>
      <c r="CS145" s="2060"/>
      <c r="CT145" s="2060"/>
      <c r="CU145" s="2060"/>
      <c r="CV145" s="2060"/>
      <c r="CW145" s="2060"/>
      <c r="CX145" s="2060"/>
      <c r="CY145" s="2060"/>
      <c r="CZ145" s="2060"/>
      <c r="DA145" s="2060"/>
      <c r="DB145" s="2060"/>
      <c r="DC145" s="2060"/>
      <c r="DD145" s="2060"/>
      <c r="DE145" s="2060"/>
      <c r="DF145" s="2060"/>
      <c r="DG145" s="2060"/>
      <c r="DH145" s="2060"/>
      <c r="DI145" s="2060"/>
      <c r="DJ145" s="2060"/>
      <c r="DK145" s="2060"/>
      <c r="DL145" s="2060"/>
      <c r="DM145" s="2060"/>
      <c r="DN145" s="2060"/>
      <c r="DO145" s="2060"/>
      <c r="DP145" s="2060"/>
      <c r="DQ145" s="2060"/>
      <c r="DR145" s="2060"/>
      <c r="DS145" s="2060"/>
      <c r="DT145" s="2060"/>
      <c r="DU145" s="2060"/>
      <c r="DV145" s="2060"/>
      <c r="DW145" s="2060"/>
      <c r="DX145" s="2060"/>
      <c r="DY145" s="2060"/>
      <c r="DZ145" s="2060"/>
      <c r="EA145" s="2060"/>
      <c r="EB145" s="2060"/>
      <c r="EC145" s="2060"/>
      <c r="ED145" s="2060"/>
      <c r="EE145" s="2060"/>
      <c r="EF145" s="2060"/>
      <c r="EG145" s="2060"/>
      <c r="EH145" s="2060"/>
      <c r="EI145" s="2060"/>
      <c r="EJ145" s="2060"/>
      <c r="EK145" s="2060"/>
      <c r="EL145" s="2060"/>
      <c r="EM145" s="2060"/>
      <c r="EN145" s="2060"/>
      <c r="EO145" s="2060"/>
      <c r="EP145" s="2060"/>
      <c r="EQ145" s="2060"/>
      <c r="ER145" s="2060"/>
      <c r="ES145" s="2060"/>
      <c r="ET145" s="2060"/>
      <c r="EU145" s="2060"/>
      <c r="EV145" s="2060"/>
      <c r="EW145" s="2060"/>
      <c r="EX145" s="2060"/>
      <c r="EY145" s="2060"/>
      <c r="EZ145" s="2060"/>
      <c r="FA145" s="2060"/>
      <c r="FB145" s="2060"/>
      <c r="FC145" s="2060"/>
      <c r="FD145" s="2060"/>
      <c r="FE145" s="2060"/>
      <c r="FF145" s="2060"/>
      <c r="FG145" s="2060"/>
      <c r="FH145" s="2060"/>
      <c r="FI145" s="2060"/>
      <c r="FJ145" s="2060"/>
      <c r="FK145" s="2060"/>
      <c r="FL145" s="2060"/>
      <c r="FM145" s="2060"/>
      <c r="FN145" s="2060"/>
      <c r="FO145" s="2060"/>
      <c r="FP145" s="2060"/>
      <c r="FQ145" s="2060"/>
      <c r="FR145" s="2060"/>
      <c r="FS145" s="2060"/>
      <c r="FT145" s="2060"/>
      <c r="FU145" s="2060"/>
      <c r="FV145" s="2060"/>
      <c r="FW145" s="2060"/>
      <c r="FX145" s="2060"/>
      <c r="FY145" s="2060"/>
      <c r="FZ145" s="2060"/>
      <c r="GA145" s="2060"/>
      <c r="GB145" s="2060"/>
      <c r="GC145" s="2060"/>
    </row>
    <row r="146" spans="1:185" s="1499" customFormat="1" ht="12.75" customHeight="1">
      <c r="A146" s="1632" t="str">
        <f t="shared" si="14"/>
        <v>n</v>
      </c>
      <c r="B146" s="1004"/>
      <c r="C146" s="1502"/>
      <c r="D146" s="2229"/>
      <c r="E146" s="623" t="str">
        <f>'DATA GPC'!E37</f>
        <v>--</v>
      </c>
      <c r="F146" s="128"/>
      <c r="G146" s="1504" t="str">
        <f>IF(E146="--","--",'DATA GPC'!G37)</f>
        <v>--</v>
      </c>
      <c r="H146" s="1350" t="str">
        <f>IF($G146="--","--",_xll.ciqfunctions.udf.CIQ($G146,"IQ_CUSTOM_BETA",_xll.ciqfunctions.udf.CIQ('DATA GPC'!$S37,"IQ_PRICEDATE",EDATE(Valuation_date,-B1Yrs*12)),Valuation_date,IF(B1Freq="Weekly","W","M"),'DATA GPC'!$S37))</f>
        <v>--</v>
      </c>
      <c r="I146" s="1350" t="str">
        <f>IF($G146="--","--",_xll.ciqfunctions.udf.CIQ($G146,"IQ_CUSTOM_BETA_RSQ",_xll.ciqfunctions.udf.CIQ('DATA GPC'!$S37,"IQ_PRICEDATE",EDATE(Valuation_date,-B1Yrs*12)),Valuation_date,IF(B1Freq="Weekly","W","M"),'DATA GPC'!$S37))</f>
        <v>--</v>
      </c>
      <c r="J146" s="2230" t="str">
        <f t="shared" si="15"/>
        <v>--</v>
      </c>
      <c r="K146" s="2230" t="str">
        <f t="shared" si="16"/>
        <v>--</v>
      </c>
      <c r="L146" s="1776" t="str">
        <f>IF(OR($G146="--",H146="#NA"),"--",_xll.ciqfunctions.udf.CIQ($G146,"IQ_CUSTOM_BETA_DATA_POINTS",_xll.ciqfunctions.udf.CIQ('DATA GPC'!$S37,"IQ_PRICEDATE",EDATE(Valuation_date,-B1Yrs*12)),Valuation_date,IF(B1Freq="Weekly","W","M"),'DATA GPC'!$S37))</f>
        <v>--</v>
      </c>
      <c r="M146" s="2231" t="str">
        <f>IF($G146="--","--",_xll.ciqfunctions.udf.CIQ($G146,"IQ_CUSTOM_BETA",_xll.ciqfunctions.udf.CIQ('DATA GPC'!$S37,"IQ_PRICEDATE",EDATE(Valuation_date,-B2Yrs*12)),Valuation_date,IF(B2Freq="Weekly","W","M"),'DATA GPC'!$S37))</f>
        <v>--</v>
      </c>
      <c r="N146" s="1350" t="str">
        <f>IF($G146="--","--",_xll.ciqfunctions.udf.CIQ($G146,"IQ_CUSTOM_BETA_RSQ",_xll.ciqfunctions.udf.CIQ('DATA GPC'!$S37,"IQ_PRICEDATE",EDATE(Valuation_date,-B2Yrs*12)),Valuation_date,IF(B2Freq="Weekly","W","M"),'DATA GPC'!$S37))</f>
        <v>--</v>
      </c>
      <c r="O146" s="2230" t="str">
        <f t="shared" si="17"/>
        <v>--</v>
      </c>
      <c r="P146" s="2230" t="str">
        <f t="shared" si="18"/>
        <v>--</v>
      </c>
      <c r="Q146" s="1776" t="str">
        <f>IF(OR($G146="--",M146="#NA"),"--",_xll.ciqfunctions.udf.CIQ($G146,"IQ_CUSTOM_BETA_DATA_POINTS",_xll.ciqfunctions.udf.CIQ('DATA GPC'!$S37,"IQ_PRICEDATE",EDATE(Valuation_date,-B2Yrs*12)),Valuation_date,IF(B2Freq="Weekly","W","M"),'DATA GPC'!$S37))</f>
        <v>--</v>
      </c>
      <c r="R146" s="2231" t="str">
        <f>IF($G146="--","--",_xll.ciqfunctions.udf.CIQ($G146,"IQ_CUSTOM_BETA",_xll.ciqfunctions.udf.CIQ('DATA GPC'!$S37,"IQ_PRICEDATE",EDATE(Valuation_date,-B3Yrs*12)),Valuation_date,IF(B3Freq="Weekly","W","M"),'DATA GPC'!$S37))</f>
        <v>--</v>
      </c>
      <c r="S146" s="1350" t="str">
        <f>IF($G146="--","--",_xll.ciqfunctions.udf.CIQ($G146,"IQ_CUSTOM_BETA_RSQ",_xll.ciqfunctions.udf.CIQ('DATA GPC'!$S37,"IQ_PRICEDATE",EDATE(Valuation_date,-B3Yrs*12)),Valuation_date,IF(B3Freq="Weekly","W","M"),'DATA GPC'!$S37))</f>
        <v>--</v>
      </c>
      <c r="T146" s="2230" t="str">
        <f t="shared" si="19"/>
        <v>--</v>
      </c>
      <c r="U146" s="2230" t="str">
        <f t="shared" si="20"/>
        <v>--</v>
      </c>
      <c r="V146" s="1776" t="str">
        <f>IF(OR($G146="--",R146="#NA"),"--",_xll.ciqfunctions.udf.CIQ($G146,"IQ_CUSTOM_BETA_DATA_POINTS",_xll.ciqfunctions.udf.CIQ('DATA GPC'!$S37,"IQ_PRICEDATE",EDATE(Valuation_date,-B3Yrs*12)),Valuation_date,IF(B3Freq="Weekly","W","M"),'DATA GPC'!$S37))</f>
        <v>--</v>
      </c>
      <c r="W146" s="2231" t="str">
        <f>IF($G146="--","--",_xll.ciqfunctions.udf.CIQ($G146,"IQ_CUSTOM_BETA",_xll.ciqfunctions.udf.CIQ('DATA GPC'!$S37,"IQ_PRICEDATE",EDATE(Valuation_date,-B4Yrs*12)),Valuation_date,IF(B4Freq="Weekly","W","M"),'DATA GPC'!$S37))</f>
        <v>--</v>
      </c>
      <c r="X146" s="1350" t="str">
        <f>IF($G146="--","--",_xll.ciqfunctions.udf.CIQ($G146,"IQ_CUSTOM_BETA_RSQ",_xll.ciqfunctions.udf.CIQ('DATA GPC'!$S37,"IQ_PRICEDATE",EDATE(Valuation_date,-B4Yrs*12)),Valuation_date,IF(B4Freq="Weekly","W","M"),'DATA GPC'!$S37))</f>
        <v>--</v>
      </c>
      <c r="Y146" s="2230" t="str">
        <f t="shared" si="21"/>
        <v>--</v>
      </c>
      <c r="Z146" s="2230" t="str">
        <f t="shared" si="22"/>
        <v>--</v>
      </c>
      <c r="AA146" s="1776" t="str">
        <f>IF(OR($G146="--",W146="#NA"),"--",_xll.ciqfunctions.udf.CIQ($G146,"IQ_CUSTOM_BETA_DATA_POINTS",_xll.ciqfunctions.udf.CIQ('DATA GPC'!$S37,"IQ_PRICEDATE",EDATE(Valuation_date,-B4Yrs*12)),Valuation_date,IF(B4Freq="Weekly","W","M"),'DATA GPC'!$S37))</f>
        <v>--</v>
      </c>
      <c r="AB146" s="2060"/>
      <c r="AC146" s="2060"/>
      <c r="AD146" s="1004"/>
      <c r="AE146" s="2060"/>
      <c r="AF146" s="2060"/>
      <c r="AG146" s="2060"/>
      <c r="AH146" s="2060"/>
      <c r="AI146" s="2060"/>
      <c r="AJ146" s="2060"/>
      <c r="AK146" s="2060"/>
      <c r="AL146" s="2060"/>
      <c r="AM146" s="2060"/>
      <c r="AN146" s="2060"/>
      <c r="AO146" s="2060"/>
      <c r="AP146" s="2060"/>
      <c r="AQ146" s="2060"/>
      <c r="AR146" s="2060"/>
      <c r="AS146" s="2060"/>
      <c r="AT146" s="2060"/>
      <c r="AU146" s="2060"/>
      <c r="AV146" s="2060"/>
      <c r="AW146" s="2060"/>
      <c r="AX146" s="2060"/>
      <c r="AY146" s="2060"/>
      <c r="AZ146" s="2060"/>
      <c r="BA146" s="2060"/>
      <c r="BB146" s="2060"/>
      <c r="BC146" s="2060"/>
      <c r="BD146" s="2060"/>
      <c r="BE146" s="2060"/>
      <c r="BF146" s="2060"/>
      <c r="BG146" s="2060"/>
      <c r="BH146" s="2060"/>
      <c r="BI146" s="2060"/>
      <c r="BJ146" s="2060"/>
      <c r="BK146" s="2060"/>
      <c r="BL146" s="2060"/>
      <c r="BM146" s="2060"/>
      <c r="BN146" s="2060"/>
      <c r="BO146" s="2060"/>
      <c r="BP146" s="2060"/>
      <c r="BQ146" s="2060"/>
      <c r="BR146" s="2060"/>
      <c r="BS146" s="2060"/>
      <c r="BT146" s="2060"/>
      <c r="BU146" s="2060"/>
      <c r="BV146" s="2060"/>
      <c r="BW146" s="2060"/>
      <c r="BX146" s="2060"/>
      <c r="BY146" s="2060"/>
      <c r="BZ146" s="2060"/>
      <c r="CA146" s="2060"/>
      <c r="CB146" s="2060"/>
      <c r="CC146" s="2060"/>
      <c r="CD146" s="2060"/>
      <c r="CE146" s="2060"/>
      <c r="CF146" s="2060"/>
      <c r="CG146" s="2060"/>
      <c r="CH146" s="2060"/>
      <c r="CI146" s="2060"/>
      <c r="CJ146" s="2060"/>
      <c r="CK146" s="2060"/>
      <c r="CL146" s="2060"/>
      <c r="CM146" s="2060"/>
      <c r="CN146" s="2060"/>
      <c r="CO146" s="2060"/>
      <c r="CP146" s="2060"/>
      <c r="CQ146" s="2060"/>
      <c r="CR146" s="2060"/>
      <c r="CS146" s="2060"/>
      <c r="CT146" s="2060"/>
      <c r="CU146" s="2060"/>
      <c r="CV146" s="2060"/>
      <c r="CW146" s="2060"/>
      <c r="CX146" s="2060"/>
      <c r="CY146" s="2060"/>
      <c r="CZ146" s="2060"/>
      <c r="DA146" s="2060"/>
      <c r="DB146" s="2060"/>
      <c r="DC146" s="2060"/>
      <c r="DD146" s="2060"/>
      <c r="DE146" s="2060"/>
      <c r="DF146" s="2060"/>
      <c r="DG146" s="2060"/>
      <c r="DH146" s="2060"/>
      <c r="DI146" s="2060"/>
      <c r="DJ146" s="2060"/>
      <c r="DK146" s="2060"/>
      <c r="DL146" s="2060"/>
      <c r="DM146" s="2060"/>
      <c r="DN146" s="2060"/>
      <c r="DO146" s="2060"/>
      <c r="DP146" s="2060"/>
      <c r="DQ146" s="2060"/>
      <c r="DR146" s="2060"/>
      <c r="DS146" s="2060"/>
      <c r="DT146" s="2060"/>
      <c r="DU146" s="2060"/>
      <c r="DV146" s="2060"/>
      <c r="DW146" s="2060"/>
      <c r="DX146" s="2060"/>
      <c r="DY146" s="2060"/>
      <c r="DZ146" s="2060"/>
      <c r="EA146" s="2060"/>
      <c r="EB146" s="2060"/>
      <c r="EC146" s="2060"/>
      <c r="ED146" s="2060"/>
      <c r="EE146" s="2060"/>
      <c r="EF146" s="2060"/>
      <c r="EG146" s="2060"/>
      <c r="EH146" s="2060"/>
      <c r="EI146" s="2060"/>
      <c r="EJ146" s="2060"/>
      <c r="EK146" s="2060"/>
      <c r="EL146" s="2060"/>
      <c r="EM146" s="2060"/>
      <c r="EN146" s="2060"/>
      <c r="EO146" s="2060"/>
      <c r="EP146" s="2060"/>
      <c r="EQ146" s="2060"/>
      <c r="ER146" s="2060"/>
      <c r="ES146" s="2060"/>
      <c r="ET146" s="2060"/>
      <c r="EU146" s="2060"/>
      <c r="EV146" s="2060"/>
      <c r="EW146" s="2060"/>
      <c r="EX146" s="2060"/>
      <c r="EY146" s="2060"/>
      <c r="EZ146" s="2060"/>
      <c r="FA146" s="2060"/>
      <c r="FB146" s="2060"/>
      <c r="FC146" s="2060"/>
      <c r="FD146" s="2060"/>
      <c r="FE146" s="2060"/>
      <c r="FF146" s="2060"/>
      <c r="FG146" s="2060"/>
      <c r="FH146" s="2060"/>
      <c r="FI146" s="2060"/>
      <c r="FJ146" s="2060"/>
      <c r="FK146" s="2060"/>
      <c r="FL146" s="2060"/>
      <c r="FM146" s="2060"/>
      <c r="FN146" s="2060"/>
      <c r="FO146" s="2060"/>
      <c r="FP146" s="2060"/>
      <c r="FQ146" s="2060"/>
      <c r="FR146" s="2060"/>
      <c r="FS146" s="2060"/>
      <c r="FT146" s="2060"/>
      <c r="FU146" s="2060"/>
      <c r="FV146" s="2060"/>
      <c r="FW146" s="2060"/>
      <c r="FX146" s="2060"/>
      <c r="FY146" s="2060"/>
      <c r="FZ146" s="2060"/>
      <c r="GA146" s="2060"/>
      <c r="GB146" s="2060"/>
      <c r="GC146" s="2060"/>
    </row>
    <row r="147" spans="1:185" s="1499" customFormat="1" ht="12.75" customHeight="1">
      <c r="A147" s="1632" t="str">
        <f t="shared" si="14"/>
        <v>n</v>
      </c>
      <c r="B147" s="1004"/>
      <c r="C147" s="1502"/>
      <c r="D147" s="2229"/>
      <c r="E147" s="623" t="str">
        <f>'DATA GPC'!E38</f>
        <v>--</v>
      </c>
      <c r="F147" s="128"/>
      <c r="G147" s="1504" t="str">
        <f>IF(E147="--","--",'DATA GPC'!G38)</f>
        <v>--</v>
      </c>
      <c r="H147" s="1350" t="str">
        <f>IF($G147="--","--",_xll.ciqfunctions.udf.CIQ($G147,"IQ_CUSTOM_BETA",_xll.ciqfunctions.udf.CIQ('DATA GPC'!$S38,"IQ_PRICEDATE",EDATE(Valuation_date,-B1Yrs*12)),Valuation_date,IF(B1Freq="Weekly","W","M"),'DATA GPC'!$S38))</f>
        <v>--</v>
      </c>
      <c r="I147" s="1350" t="str">
        <f>IF($G147="--","--",_xll.ciqfunctions.udf.CIQ($G147,"IQ_CUSTOM_BETA_RSQ",_xll.ciqfunctions.udf.CIQ('DATA GPC'!$S38,"IQ_PRICEDATE",EDATE(Valuation_date,-B1Yrs*12)),Valuation_date,IF(B1Freq="Weekly","W","M"),'DATA GPC'!$S38))</f>
        <v>--</v>
      </c>
      <c r="J147" s="2230" t="str">
        <f t="shared" si="15"/>
        <v>--</v>
      </c>
      <c r="K147" s="2230" t="str">
        <f t="shared" si="16"/>
        <v>--</v>
      </c>
      <c r="L147" s="1776" t="str">
        <f>IF(OR($G147="--",H147="#NA"),"--",_xll.ciqfunctions.udf.CIQ($G147,"IQ_CUSTOM_BETA_DATA_POINTS",_xll.ciqfunctions.udf.CIQ('DATA GPC'!$S38,"IQ_PRICEDATE",EDATE(Valuation_date,-B1Yrs*12)),Valuation_date,IF(B1Freq="Weekly","W","M"),'DATA GPC'!$S38))</f>
        <v>--</v>
      </c>
      <c r="M147" s="2231" t="str">
        <f>IF($G147="--","--",_xll.ciqfunctions.udf.CIQ($G147,"IQ_CUSTOM_BETA",_xll.ciqfunctions.udf.CIQ('DATA GPC'!$S38,"IQ_PRICEDATE",EDATE(Valuation_date,-B2Yrs*12)),Valuation_date,IF(B2Freq="Weekly","W","M"),'DATA GPC'!$S38))</f>
        <v>--</v>
      </c>
      <c r="N147" s="1350" t="str">
        <f>IF($G147="--","--",_xll.ciqfunctions.udf.CIQ($G147,"IQ_CUSTOM_BETA_RSQ",_xll.ciqfunctions.udf.CIQ('DATA GPC'!$S38,"IQ_PRICEDATE",EDATE(Valuation_date,-B2Yrs*12)),Valuation_date,IF(B2Freq="Weekly","W","M"),'DATA GPC'!$S38))</f>
        <v>--</v>
      </c>
      <c r="O147" s="2230" t="str">
        <f t="shared" si="17"/>
        <v>--</v>
      </c>
      <c r="P147" s="2230" t="str">
        <f t="shared" si="18"/>
        <v>--</v>
      </c>
      <c r="Q147" s="1776" t="str">
        <f>IF(OR($G147="--",M147="#NA"),"--",_xll.ciqfunctions.udf.CIQ($G147,"IQ_CUSTOM_BETA_DATA_POINTS",_xll.ciqfunctions.udf.CIQ('DATA GPC'!$S38,"IQ_PRICEDATE",EDATE(Valuation_date,-B2Yrs*12)),Valuation_date,IF(B2Freq="Weekly","W","M"),'DATA GPC'!$S38))</f>
        <v>--</v>
      </c>
      <c r="R147" s="2231" t="str">
        <f>IF($G147="--","--",_xll.ciqfunctions.udf.CIQ($G147,"IQ_CUSTOM_BETA",_xll.ciqfunctions.udf.CIQ('DATA GPC'!$S38,"IQ_PRICEDATE",EDATE(Valuation_date,-B3Yrs*12)),Valuation_date,IF(B3Freq="Weekly","W","M"),'DATA GPC'!$S38))</f>
        <v>--</v>
      </c>
      <c r="S147" s="1350" t="str">
        <f>IF($G147="--","--",_xll.ciqfunctions.udf.CIQ($G147,"IQ_CUSTOM_BETA_RSQ",_xll.ciqfunctions.udf.CIQ('DATA GPC'!$S38,"IQ_PRICEDATE",EDATE(Valuation_date,-B3Yrs*12)),Valuation_date,IF(B3Freq="Weekly","W","M"),'DATA GPC'!$S38))</f>
        <v>--</v>
      </c>
      <c r="T147" s="2230" t="str">
        <f t="shared" si="19"/>
        <v>--</v>
      </c>
      <c r="U147" s="2230" t="str">
        <f t="shared" si="20"/>
        <v>--</v>
      </c>
      <c r="V147" s="1776" t="str">
        <f>IF(OR($G147="--",R147="#NA"),"--",_xll.ciqfunctions.udf.CIQ($G147,"IQ_CUSTOM_BETA_DATA_POINTS",_xll.ciqfunctions.udf.CIQ('DATA GPC'!$S38,"IQ_PRICEDATE",EDATE(Valuation_date,-B3Yrs*12)),Valuation_date,IF(B3Freq="Weekly","W","M"),'DATA GPC'!$S38))</f>
        <v>--</v>
      </c>
      <c r="W147" s="2231" t="str">
        <f>IF($G147="--","--",_xll.ciqfunctions.udf.CIQ($G147,"IQ_CUSTOM_BETA",_xll.ciqfunctions.udf.CIQ('DATA GPC'!$S38,"IQ_PRICEDATE",EDATE(Valuation_date,-B4Yrs*12)),Valuation_date,IF(B4Freq="Weekly","W","M"),'DATA GPC'!$S38))</f>
        <v>--</v>
      </c>
      <c r="X147" s="1350" t="str">
        <f>IF($G147="--","--",_xll.ciqfunctions.udf.CIQ($G147,"IQ_CUSTOM_BETA_RSQ",_xll.ciqfunctions.udf.CIQ('DATA GPC'!$S38,"IQ_PRICEDATE",EDATE(Valuation_date,-B4Yrs*12)),Valuation_date,IF(B4Freq="Weekly","W","M"),'DATA GPC'!$S38))</f>
        <v>--</v>
      </c>
      <c r="Y147" s="2230" t="str">
        <f t="shared" si="21"/>
        <v>--</v>
      </c>
      <c r="Z147" s="2230" t="str">
        <f t="shared" si="22"/>
        <v>--</v>
      </c>
      <c r="AA147" s="1776" t="str">
        <f>IF(OR($G147="--",W147="#NA"),"--",_xll.ciqfunctions.udf.CIQ($G147,"IQ_CUSTOM_BETA_DATA_POINTS",_xll.ciqfunctions.udf.CIQ('DATA GPC'!$S38,"IQ_PRICEDATE",EDATE(Valuation_date,-B4Yrs*12)),Valuation_date,IF(B4Freq="Weekly","W","M"),'DATA GPC'!$S38))</f>
        <v>--</v>
      </c>
      <c r="AB147" s="2060"/>
      <c r="AC147" s="2060"/>
      <c r="AD147" s="1004"/>
      <c r="AE147" s="2060"/>
      <c r="AF147" s="2060"/>
      <c r="AG147" s="2060"/>
      <c r="AH147" s="2060"/>
      <c r="AI147" s="2060"/>
      <c r="AJ147" s="2060"/>
      <c r="AK147" s="2060"/>
      <c r="AL147" s="2060"/>
      <c r="AM147" s="2060"/>
      <c r="AN147" s="2060"/>
      <c r="AO147" s="2060"/>
      <c r="AP147" s="2060"/>
      <c r="AQ147" s="2060"/>
      <c r="AR147" s="2060"/>
      <c r="AS147" s="2060"/>
      <c r="AT147" s="2060"/>
      <c r="AU147" s="2060"/>
      <c r="AV147" s="2060"/>
      <c r="AW147" s="2060"/>
      <c r="AX147" s="2060"/>
      <c r="AY147" s="2060"/>
      <c r="AZ147" s="2060"/>
      <c r="BA147" s="2060"/>
      <c r="BB147" s="2060"/>
      <c r="BC147" s="2060"/>
      <c r="BD147" s="2060"/>
      <c r="BE147" s="2060"/>
      <c r="BF147" s="2060"/>
      <c r="BG147" s="2060"/>
      <c r="BH147" s="2060"/>
      <c r="BI147" s="2060"/>
      <c r="BJ147" s="2060"/>
      <c r="BK147" s="2060"/>
      <c r="BL147" s="2060"/>
      <c r="BM147" s="2060"/>
      <c r="BN147" s="2060"/>
      <c r="BO147" s="2060"/>
      <c r="BP147" s="2060"/>
      <c r="BQ147" s="2060"/>
      <c r="BR147" s="2060"/>
      <c r="BS147" s="2060"/>
      <c r="BT147" s="2060"/>
      <c r="BU147" s="2060"/>
      <c r="BV147" s="2060"/>
      <c r="BW147" s="2060"/>
      <c r="BX147" s="2060"/>
      <c r="BY147" s="2060"/>
      <c r="BZ147" s="2060"/>
      <c r="CA147" s="2060"/>
      <c r="CB147" s="2060"/>
      <c r="CC147" s="2060"/>
      <c r="CD147" s="2060"/>
      <c r="CE147" s="2060"/>
      <c r="CF147" s="2060"/>
      <c r="CG147" s="2060"/>
      <c r="CH147" s="2060"/>
      <c r="CI147" s="2060"/>
      <c r="CJ147" s="2060"/>
      <c r="CK147" s="2060"/>
      <c r="CL147" s="2060"/>
      <c r="CM147" s="2060"/>
      <c r="CN147" s="2060"/>
      <c r="CO147" s="2060"/>
      <c r="CP147" s="2060"/>
      <c r="CQ147" s="2060"/>
      <c r="CR147" s="2060"/>
      <c r="CS147" s="2060"/>
      <c r="CT147" s="2060"/>
      <c r="CU147" s="2060"/>
      <c r="CV147" s="2060"/>
      <c r="CW147" s="2060"/>
      <c r="CX147" s="2060"/>
      <c r="CY147" s="2060"/>
      <c r="CZ147" s="2060"/>
      <c r="DA147" s="2060"/>
      <c r="DB147" s="2060"/>
      <c r="DC147" s="2060"/>
      <c r="DD147" s="2060"/>
      <c r="DE147" s="2060"/>
      <c r="DF147" s="2060"/>
      <c r="DG147" s="2060"/>
      <c r="DH147" s="2060"/>
      <c r="DI147" s="2060"/>
      <c r="DJ147" s="2060"/>
      <c r="DK147" s="2060"/>
      <c r="DL147" s="2060"/>
      <c r="DM147" s="2060"/>
      <c r="DN147" s="2060"/>
      <c r="DO147" s="2060"/>
      <c r="DP147" s="2060"/>
      <c r="DQ147" s="2060"/>
      <c r="DR147" s="2060"/>
      <c r="DS147" s="2060"/>
      <c r="DT147" s="2060"/>
      <c r="DU147" s="2060"/>
      <c r="DV147" s="2060"/>
      <c r="DW147" s="2060"/>
      <c r="DX147" s="2060"/>
      <c r="DY147" s="2060"/>
      <c r="DZ147" s="2060"/>
      <c r="EA147" s="2060"/>
      <c r="EB147" s="2060"/>
      <c r="EC147" s="2060"/>
      <c r="ED147" s="2060"/>
      <c r="EE147" s="2060"/>
      <c r="EF147" s="2060"/>
      <c r="EG147" s="2060"/>
      <c r="EH147" s="2060"/>
      <c r="EI147" s="2060"/>
      <c r="EJ147" s="2060"/>
      <c r="EK147" s="2060"/>
      <c r="EL147" s="2060"/>
      <c r="EM147" s="2060"/>
      <c r="EN147" s="2060"/>
      <c r="EO147" s="2060"/>
      <c r="EP147" s="2060"/>
      <c r="EQ147" s="2060"/>
      <c r="ER147" s="2060"/>
      <c r="ES147" s="2060"/>
      <c r="ET147" s="2060"/>
      <c r="EU147" s="2060"/>
      <c r="EV147" s="2060"/>
      <c r="EW147" s="2060"/>
      <c r="EX147" s="2060"/>
      <c r="EY147" s="2060"/>
      <c r="EZ147" s="2060"/>
      <c r="FA147" s="2060"/>
      <c r="FB147" s="2060"/>
      <c r="FC147" s="2060"/>
      <c r="FD147" s="2060"/>
      <c r="FE147" s="2060"/>
      <c r="FF147" s="2060"/>
      <c r="FG147" s="2060"/>
      <c r="FH147" s="2060"/>
      <c r="FI147" s="2060"/>
      <c r="FJ147" s="2060"/>
      <c r="FK147" s="2060"/>
      <c r="FL147" s="2060"/>
      <c r="FM147" s="2060"/>
      <c r="FN147" s="2060"/>
      <c r="FO147" s="2060"/>
      <c r="FP147" s="2060"/>
      <c r="FQ147" s="2060"/>
      <c r="FR147" s="2060"/>
      <c r="FS147" s="2060"/>
      <c r="FT147" s="2060"/>
      <c r="FU147" s="2060"/>
      <c r="FV147" s="2060"/>
      <c r="FW147" s="2060"/>
      <c r="FX147" s="2060"/>
      <c r="FY147" s="2060"/>
      <c r="FZ147" s="2060"/>
      <c r="GA147" s="2060"/>
      <c r="GB147" s="2060"/>
      <c r="GC147" s="2060"/>
    </row>
    <row r="148" spans="1:185" s="1499" customFormat="1" ht="12.75" customHeight="1">
      <c r="A148" s="1632" t="str">
        <f t="shared" si="14"/>
        <v>n</v>
      </c>
      <c r="B148" s="1004"/>
      <c r="C148" s="1502"/>
      <c r="D148" s="2229"/>
      <c r="E148" s="623" t="str">
        <f>'DATA GPC'!E39</f>
        <v>--</v>
      </c>
      <c r="F148" s="128"/>
      <c r="G148" s="1504" t="str">
        <f>IF(E148="--","--",'DATA GPC'!G39)</f>
        <v>--</v>
      </c>
      <c r="H148" s="1350" t="str">
        <f>IF($G148="--","--",_xll.ciqfunctions.udf.CIQ($G148,"IQ_CUSTOM_BETA",_xll.ciqfunctions.udf.CIQ('DATA GPC'!$S39,"IQ_PRICEDATE",EDATE(Valuation_date,-B1Yrs*12)),Valuation_date,IF(B1Freq="Weekly","W","M"),'DATA GPC'!$S39))</f>
        <v>--</v>
      </c>
      <c r="I148" s="1350" t="str">
        <f>IF($G148="--","--",_xll.ciqfunctions.udf.CIQ($G148,"IQ_CUSTOM_BETA_RSQ",_xll.ciqfunctions.udf.CIQ('DATA GPC'!$S39,"IQ_PRICEDATE",EDATE(Valuation_date,-B1Yrs*12)),Valuation_date,IF(B1Freq="Weekly","W","M"),'DATA GPC'!$S39))</f>
        <v>--</v>
      </c>
      <c r="J148" s="2230" t="str">
        <f t="shared" si="15"/>
        <v>--</v>
      </c>
      <c r="K148" s="2230" t="str">
        <f t="shared" si="16"/>
        <v>--</v>
      </c>
      <c r="L148" s="1776" t="str">
        <f>IF(OR($G148="--",H148="#NA"),"--",_xll.ciqfunctions.udf.CIQ($G148,"IQ_CUSTOM_BETA_DATA_POINTS",_xll.ciqfunctions.udf.CIQ('DATA GPC'!$S39,"IQ_PRICEDATE",EDATE(Valuation_date,-B1Yrs*12)),Valuation_date,IF(B1Freq="Weekly","W","M"),'DATA GPC'!$S39))</f>
        <v>--</v>
      </c>
      <c r="M148" s="2231" t="str">
        <f>IF($G148="--","--",_xll.ciqfunctions.udf.CIQ($G148,"IQ_CUSTOM_BETA",_xll.ciqfunctions.udf.CIQ('DATA GPC'!$S39,"IQ_PRICEDATE",EDATE(Valuation_date,-B2Yrs*12)),Valuation_date,IF(B2Freq="Weekly","W","M"),'DATA GPC'!$S39))</f>
        <v>--</v>
      </c>
      <c r="N148" s="1350" t="str">
        <f>IF($G148="--","--",_xll.ciqfunctions.udf.CIQ($G148,"IQ_CUSTOM_BETA_RSQ",_xll.ciqfunctions.udf.CIQ('DATA GPC'!$S39,"IQ_PRICEDATE",EDATE(Valuation_date,-B2Yrs*12)),Valuation_date,IF(B2Freq="Weekly","W","M"),'DATA GPC'!$S39))</f>
        <v>--</v>
      </c>
      <c r="O148" s="2230" t="str">
        <f t="shared" si="17"/>
        <v>--</v>
      </c>
      <c r="P148" s="2230" t="str">
        <f t="shared" si="18"/>
        <v>--</v>
      </c>
      <c r="Q148" s="1776" t="str">
        <f>IF(OR($G148="--",M148="#NA"),"--",_xll.ciqfunctions.udf.CIQ($G148,"IQ_CUSTOM_BETA_DATA_POINTS",_xll.ciqfunctions.udf.CIQ('DATA GPC'!$S39,"IQ_PRICEDATE",EDATE(Valuation_date,-B2Yrs*12)),Valuation_date,IF(B2Freq="Weekly","W","M"),'DATA GPC'!$S39))</f>
        <v>--</v>
      </c>
      <c r="R148" s="2231" t="str">
        <f>IF($G148="--","--",_xll.ciqfunctions.udf.CIQ($G148,"IQ_CUSTOM_BETA",_xll.ciqfunctions.udf.CIQ('DATA GPC'!$S39,"IQ_PRICEDATE",EDATE(Valuation_date,-B3Yrs*12)),Valuation_date,IF(B3Freq="Weekly","W","M"),'DATA GPC'!$S39))</f>
        <v>--</v>
      </c>
      <c r="S148" s="1350" t="str">
        <f>IF($G148="--","--",_xll.ciqfunctions.udf.CIQ($G148,"IQ_CUSTOM_BETA_RSQ",_xll.ciqfunctions.udf.CIQ('DATA GPC'!$S39,"IQ_PRICEDATE",EDATE(Valuation_date,-B3Yrs*12)),Valuation_date,IF(B3Freq="Weekly","W","M"),'DATA GPC'!$S39))</f>
        <v>--</v>
      </c>
      <c r="T148" s="2230" t="str">
        <f t="shared" si="19"/>
        <v>--</v>
      </c>
      <c r="U148" s="2230" t="str">
        <f t="shared" si="20"/>
        <v>--</v>
      </c>
      <c r="V148" s="1776" t="str">
        <f>IF(OR($G148="--",R148="#NA"),"--",_xll.ciqfunctions.udf.CIQ($G148,"IQ_CUSTOM_BETA_DATA_POINTS",_xll.ciqfunctions.udf.CIQ('DATA GPC'!$S39,"IQ_PRICEDATE",EDATE(Valuation_date,-B3Yrs*12)),Valuation_date,IF(B3Freq="Weekly","W","M"),'DATA GPC'!$S39))</f>
        <v>--</v>
      </c>
      <c r="W148" s="2231" t="str">
        <f>IF($G148="--","--",_xll.ciqfunctions.udf.CIQ($G148,"IQ_CUSTOM_BETA",_xll.ciqfunctions.udf.CIQ('DATA GPC'!$S39,"IQ_PRICEDATE",EDATE(Valuation_date,-B4Yrs*12)),Valuation_date,IF(B4Freq="Weekly","W","M"),'DATA GPC'!$S39))</f>
        <v>--</v>
      </c>
      <c r="X148" s="1350" t="str">
        <f>IF($G148="--","--",_xll.ciqfunctions.udf.CIQ($G148,"IQ_CUSTOM_BETA_RSQ",_xll.ciqfunctions.udf.CIQ('DATA GPC'!$S39,"IQ_PRICEDATE",EDATE(Valuation_date,-B4Yrs*12)),Valuation_date,IF(B4Freq="Weekly","W","M"),'DATA GPC'!$S39))</f>
        <v>--</v>
      </c>
      <c r="Y148" s="2230" t="str">
        <f t="shared" si="21"/>
        <v>--</v>
      </c>
      <c r="Z148" s="2230" t="str">
        <f t="shared" si="22"/>
        <v>--</v>
      </c>
      <c r="AA148" s="1776" t="str">
        <f>IF(OR($G148="--",W148="#NA"),"--",_xll.ciqfunctions.udf.CIQ($G148,"IQ_CUSTOM_BETA_DATA_POINTS",_xll.ciqfunctions.udf.CIQ('DATA GPC'!$S39,"IQ_PRICEDATE",EDATE(Valuation_date,-B4Yrs*12)),Valuation_date,IF(B4Freq="Weekly","W","M"),'DATA GPC'!$S39))</f>
        <v>--</v>
      </c>
      <c r="AB148" s="2060"/>
      <c r="AC148" s="2060"/>
      <c r="AD148" s="1004"/>
      <c r="AE148" s="2060"/>
      <c r="AF148" s="2060"/>
      <c r="AG148" s="2060"/>
      <c r="AH148" s="2060"/>
      <c r="AI148" s="2060"/>
      <c r="AJ148" s="2060"/>
      <c r="AK148" s="2060"/>
      <c r="AL148" s="2060"/>
      <c r="AM148" s="2060"/>
      <c r="AN148" s="2060"/>
      <c r="AO148" s="2060"/>
      <c r="AP148" s="2060"/>
      <c r="AQ148" s="2060"/>
      <c r="AR148" s="2060"/>
      <c r="AS148" s="2060"/>
      <c r="AT148" s="2060"/>
      <c r="AU148" s="2060"/>
      <c r="AV148" s="2060"/>
      <c r="AW148" s="2060"/>
      <c r="AX148" s="2060"/>
      <c r="AY148" s="2060"/>
      <c r="AZ148" s="2060"/>
      <c r="BA148" s="2060"/>
      <c r="BB148" s="2060"/>
      <c r="BC148" s="2060"/>
      <c r="BD148" s="2060"/>
      <c r="BE148" s="2060"/>
      <c r="BF148" s="2060"/>
      <c r="BG148" s="2060"/>
      <c r="BH148" s="2060"/>
      <c r="BI148" s="2060"/>
      <c r="BJ148" s="2060"/>
      <c r="BK148" s="2060"/>
      <c r="BL148" s="2060"/>
      <c r="BM148" s="2060"/>
      <c r="BN148" s="2060"/>
      <c r="BO148" s="2060"/>
      <c r="BP148" s="2060"/>
      <c r="BQ148" s="2060"/>
      <c r="BR148" s="2060"/>
      <c r="BS148" s="2060"/>
      <c r="BT148" s="2060"/>
      <c r="BU148" s="2060"/>
      <c r="BV148" s="2060"/>
      <c r="BW148" s="2060"/>
      <c r="BX148" s="2060"/>
      <c r="BY148" s="2060"/>
      <c r="BZ148" s="2060"/>
      <c r="CA148" s="2060"/>
      <c r="CB148" s="2060"/>
      <c r="CC148" s="2060"/>
      <c r="CD148" s="2060"/>
      <c r="CE148" s="2060"/>
      <c r="CF148" s="2060"/>
      <c r="CG148" s="2060"/>
      <c r="CH148" s="2060"/>
      <c r="CI148" s="2060"/>
      <c r="CJ148" s="2060"/>
      <c r="CK148" s="2060"/>
      <c r="CL148" s="2060"/>
      <c r="CM148" s="2060"/>
      <c r="CN148" s="2060"/>
      <c r="CO148" s="2060"/>
      <c r="CP148" s="2060"/>
      <c r="CQ148" s="2060"/>
      <c r="CR148" s="2060"/>
      <c r="CS148" s="2060"/>
      <c r="CT148" s="2060"/>
      <c r="CU148" s="2060"/>
      <c r="CV148" s="2060"/>
      <c r="CW148" s="2060"/>
      <c r="CX148" s="2060"/>
      <c r="CY148" s="2060"/>
      <c r="CZ148" s="2060"/>
      <c r="DA148" s="2060"/>
      <c r="DB148" s="2060"/>
      <c r="DC148" s="2060"/>
      <c r="DD148" s="2060"/>
      <c r="DE148" s="2060"/>
      <c r="DF148" s="2060"/>
      <c r="DG148" s="2060"/>
      <c r="DH148" s="2060"/>
      <c r="DI148" s="2060"/>
      <c r="DJ148" s="2060"/>
      <c r="DK148" s="2060"/>
      <c r="DL148" s="2060"/>
      <c r="DM148" s="2060"/>
      <c r="DN148" s="2060"/>
      <c r="DO148" s="2060"/>
      <c r="DP148" s="2060"/>
      <c r="DQ148" s="2060"/>
      <c r="DR148" s="2060"/>
      <c r="DS148" s="2060"/>
      <c r="DT148" s="2060"/>
      <c r="DU148" s="2060"/>
      <c r="DV148" s="2060"/>
      <c r="DW148" s="2060"/>
      <c r="DX148" s="2060"/>
      <c r="DY148" s="2060"/>
      <c r="DZ148" s="2060"/>
      <c r="EA148" s="2060"/>
      <c r="EB148" s="2060"/>
      <c r="EC148" s="2060"/>
      <c r="ED148" s="2060"/>
      <c r="EE148" s="2060"/>
      <c r="EF148" s="2060"/>
      <c r="EG148" s="2060"/>
      <c r="EH148" s="2060"/>
      <c r="EI148" s="2060"/>
      <c r="EJ148" s="2060"/>
      <c r="EK148" s="2060"/>
      <c r="EL148" s="2060"/>
      <c r="EM148" s="2060"/>
      <c r="EN148" s="2060"/>
      <c r="EO148" s="2060"/>
      <c r="EP148" s="2060"/>
      <c r="EQ148" s="2060"/>
      <c r="ER148" s="2060"/>
      <c r="ES148" s="2060"/>
      <c r="ET148" s="2060"/>
      <c r="EU148" s="2060"/>
      <c r="EV148" s="2060"/>
      <c r="EW148" s="2060"/>
      <c r="EX148" s="2060"/>
      <c r="EY148" s="2060"/>
      <c r="EZ148" s="2060"/>
      <c r="FA148" s="2060"/>
      <c r="FB148" s="2060"/>
      <c r="FC148" s="2060"/>
      <c r="FD148" s="2060"/>
      <c r="FE148" s="2060"/>
      <c r="FF148" s="2060"/>
      <c r="FG148" s="2060"/>
      <c r="FH148" s="2060"/>
      <c r="FI148" s="2060"/>
      <c r="FJ148" s="2060"/>
      <c r="FK148" s="2060"/>
      <c r="FL148" s="2060"/>
      <c r="FM148" s="2060"/>
      <c r="FN148" s="2060"/>
      <c r="FO148" s="2060"/>
      <c r="FP148" s="2060"/>
      <c r="FQ148" s="2060"/>
      <c r="FR148" s="2060"/>
      <c r="FS148" s="2060"/>
      <c r="FT148" s="2060"/>
      <c r="FU148" s="2060"/>
      <c r="FV148" s="2060"/>
      <c r="FW148" s="2060"/>
      <c r="FX148" s="2060"/>
      <c r="FY148" s="2060"/>
      <c r="FZ148" s="2060"/>
      <c r="GA148" s="2060"/>
      <c r="GB148" s="2060"/>
      <c r="GC148" s="2060"/>
    </row>
    <row r="149" spans="1:185" s="1499" customFormat="1" ht="12.75" customHeight="1">
      <c r="A149" s="1632" t="str">
        <f t="shared" si="14"/>
        <v>n</v>
      </c>
      <c r="B149" s="1004"/>
      <c r="C149" s="1502"/>
      <c r="D149" s="2229"/>
      <c r="E149" s="623" t="str">
        <f>'DATA GPC'!E40</f>
        <v>--</v>
      </c>
      <c r="F149" s="128"/>
      <c r="G149" s="1504" t="str">
        <f>IF(E149="--","--",'DATA GPC'!G40)</f>
        <v>--</v>
      </c>
      <c r="H149" s="1350" t="str">
        <f>IF($G149="--","--",_xll.ciqfunctions.udf.CIQ($G149,"IQ_CUSTOM_BETA",_xll.ciqfunctions.udf.CIQ('DATA GPC'!$S40,"IQ_PRICEDATE",EDATE(Valuation_date,-B1Yrs*12)),Valuation_date,IF(B1Freq="Weekly","W","M"),'DATA GPC'!$S40))</f>
        <v>--</v>
      </c>
      <c r="I149" s="1350" t="str">
        <f>IF($G149="--","--",_xll.ciqfunctions.udf.CIQ($G149,"IQ_CUSTOM_BETA_RSQ",_xll.ciqfunctions.udf.CIQ('DATA GPC'!$S40,"IQ_PRICEDATE",EDATE(Valuation_date,-B1Yrs*12)),Valuation_date,IF(B1Freq="Weekly","W","M"),'DATA GPC'!$S40))</f>
        <v>--</v>
      </c>
      <c r="J149" s="2230" t="str">
        <f t="shared" si="15"/>
        <v>--</v>
      </c>
      <c r="K149" s="2230" t="str">
        <f t="shared" si="16"/>
        <v>--</v>
      </c>
      <c r="L149" s="1776" t="str">
        <f>IF(OR($G149="--",H149="#NA"),"--",_xll.ciqfunctions.udf.CIQ($G149,"IQ_CUSTOM_BETA_DATA_POINTS",_xll.ciqfunctions.udf.CIQ('DATA GPC'!$S40,"IQ_PRICEDATE",EDATE(Valuation_date,-B1Yrs*12)),Valuation_date,IF(B1Freq="Weekly","W","M"),'DATA GPC'!$S40))</f>
        <v>--</v>
      </c>
      <c r="M149" s="2231" t="str">
        <f>IF($G149="--","--",_xll.ciqfunctions.udf.CIQ($G149,"IQ_CUSTOM_BETA",_xll.ciqfunctions.udf.CIQ('DATA GPC'!$S40,"IQ_PRICEDATE",EDATE(Valuation_date,-B2Yrs*12)),Valuation_date,IF(B2Freq="Weekly","W","M"),'DATA GPC'!$S40))</f>
        <v>--</v>
      </c>
      <c r="N149" s="1350" t="str">
        <f>IF($G149="--","--",_xll.ciqfunctions.udf.CIQ($G149,"IQ_CUSTOM_BETA_RSQ",_xll.ciqfunctions.udf.CIQ('DATA GPC'!$S40,"IQ_PRICEDATE",EDATE(Valuation_date,-B2Yrs*12)),Valuation_date,IF(B2Freq="Weekly","W","M"),'DATA GPC'!$S40))</f>
        <v>--</v>
      </c>
      <c r="O149" s="2230" t="str">
        <f t="shared" si="17"/>
        <v>--</v>
      </c>
      <c r="P149" s="2230" t="str">
        <f t="shared" si="18"/>
        <v>--</v>
      </c>
      <c r="Q149" s="1776" t="str">
        <f>IF(OR($G149="--",M149="#NA"),"--",_xll.ciqfunctions.udf.CIQ($G149,"IQ_CUSTOM_BETA_DATA_POINTS",_xll.ciqfunctions.udf.CIQ('DATA GPC'!$S40,"IQ_PRICEDATE",EDATE(Valuation_date,-B2Yrs*12)),Valuation_date,IF(B2Freq="Weekly","W","M"),'DATA GPC'!$S40))</f>
        <v>--</v>
      </c>
      <c r="R149" s="2231" t="str">
        <f>IF($G149="--","--",_xll.ciqfunctions.udf.CIQ($G149,"IQ_CUSTOM_BETA",_xll.ciqfunctions.udf.CIQ('DATA GPC'!$S40,"IQ_PRICEDATE",EDATE(Valuation_date,-B3Yrs*12)),Valuation_date,IF(B3Freq="Weekly","W","M"),'DATA GPC'!$S40))</f>
        <v>--</v>
      </c>
      <c r="S149" s="1350" t="str">
        <f>IF($G149="--","--",_xll.ciqfunctions.udf.CIQ($G149,"IQ_CUSTOM_BETA_RSQ",_xll.ciqfunctions.udf.CIQ('DATA GPC'!$S40,"IQ_PRICEDATE",EDATE(Valuation_date,-B3Yrs*12)),Valuation_date,IF(B3Freq="Weekly","W","M"),'DATA GPC'!$S40))</f>
        <v>--</v>
      </c>
      <c r="T149" s="2230" t="str">
        <f t="shared" si="19"/>
        <v>--</v>
      </c>
      <c r="U149" s="2230" t="str">
        <f t="shared" si="20"/>
        <v>--</v>
      </c>
      <c r="V149" s="1776" t="str">
        <f>IF(OR($G149="--",R149="#NA"),"--",_xll.ciqfunctions.udf.CIQ($G149,"IQ_CUSTOM_BETA_DATA_POINTS",_xll.ciqfunctions.udf.CIQ('DATA GPC'!$S40,"IQ_PRICEDATE",EDATE(Valuation_date,-B3Yrs*12)),Valuation_date,IF(B3Freq="Weekly","W","M"),'DATA GPC'!$S40))</f>
        <v>--</v>
      </c>
      <c r="W149" s="2231" t="str">
        <f>IF($G149="--","--",_xll.ciqfunctions.udf.CIQ($G149,"IQ_CUSTOM_BETA",_xll.ciqfunctions.udf.CIQ('DATA GPC'!$S40,"IQ_PRICEDATE",EDATE(Valuation_date,-B4Yrs*12)),Valuation_date,IF(B4Freq="Weekly","W","M"),'DATA GPC'!$S40))</f>
        <v>--</v>
      </c>
      <c r="X149" s="1350" t="str">
        <f>IF($G149="--","--",_xll.ciqfunctions.udf.CIQ($G149,"IQ_CUSTOM_BETA_RSQ",_xll.ciqfunctions.udf.CIQ('DATA GPC'!$S40,"IQ_PRICEDATE",EDATE(Valuation_date,-B4Yrs*12)),Valuation_date,IF(B4Freq="Weekly","W","M"),'DATA GPC'!$S40))</f>
        <v>--</v>
      </c>
      <c r="Y149" s="2230" t="str">
        <f t="shared" si="21"/>
        <v>--</v>
      </c>
      <c r="Z149" s="2230" t="str">
        <f t="shared" si="22"/>
        <v>--</v>
      </c>
      <c r="AA149" s="1776" t="str">
        <f>IF(OR($G149="--",W149="#NA"),"--",_xll.ciqfunctions.udf.CIQ($G149,"IQ_CUSTOM_BETA_DATA_POINTS",_xll.ciqfunctions.udf.CIQ('DATA GPC'!$S40,"IQ_PRICEDATE",EDATE(Valuation_date,-B4Yrs*12)),Valuation_date,IF(B4Freq="Weekly","W","M"),'DATA GPC'!$S40))</f>
        <v>--</v>
      </c>
      <c r="AB149" s="2060"/>
      <c r="AC149" s="2060"/>
      <c r="AD149" s="1004"/>
      <c r="AE149" s="2060"/>
      <c r="AF149" s="2060"/>
      <c r="AG149" s="2060"/>
      <c r="AH149" s="2060"/>
      <c r="AI149" s="2060"/>
      <c r="AJ149" s="2060"/>
      <c r="AK149" s="2060"/>
      <c r="AL149" s="2060"/>
      <c r="AM149" s="2060"/>
      <c r="AN149" s="2060"/>
      <c r="AO149" s="2060"/>
      <c r="AP149" s="2060"/>
      <c r="AQ149" s="2060"/>
      <c r="AR149" s="2060"/>
      <c r="AS149" s="2060"/>
      <c r="AT149" s="2060"/>
      <c r="AU149" s="2060"/>
      <c r="AV149" s="2060"/>
      <c r="AW149" s="2060"/>
      <c r="AX149" s="2060"/>
      <c r="AY149" s="2060"/>
      <c r="AZ149" s="2060"/>
      <c r="BA149" s="2060"/>
      <c r="BB149" s="2060"/>
      <c r="BC149" s="2060"/>
      <c r="BD149" s="2060"/>
      <c r="BE149" s="2060"/>
      <c r="BF149" s="2060"/>
      <c r="BG149" s="2060"/>
      <c r="BH149" s="2060"/>
      <c r="BI149" s="2060"/>
      <c r="BJ149" s="2060"/>
      <c r="BK149" s="2060"/>
      <c r="BL149" s="2060"/>
      <c r="BM149" s="2060"/>
      <c r="BN149" s="2060"/>
      <c r="BO149" s="2060"/>
      <c r="BP149" s="2060"/>
      <c r="BQ149" s="2060"/>
      <c r="BR149" s="2060"/>
      <c r="BS149" s="2060"/>
      <c r="BT149" s="2060"/>
      <c r="BU149" s="2060"/>
      <c r="BV149" s="2060"/>
      <c r="BW149" s="2060"/>
      <c r="BX149" s="2060"/>
      <c r="BY149" s="2060"/>
      <c r="BZ149" s="2060"/>
      <c r="CA149" s="2060"/>
      <c r="CB149" s="2060"/>
      <c r="CC149" s="2060"/>
      <c r="CD149" s="2060"/>
      <c r="CE149" s="2060"/>
      <c r="CF149" s="2060"/>
      <c r="CG149" s="2060"/>
      <c r="CH149" s="2060"/>
      <c r="CI149" s="2060"/>
      <c r="CJ149" s="2060"/>
      <c r="CK149" s="2060"/>
      <c r="CL149" s="2060"/>
      <c r="CM149" s="2060"/>
      <c r="CN149" s="2060"/>
      <c r="CO149" s="2060"/>
      <c r="CP149" s="2060"/>
      <c r="CQ149" s="2060"/>
      <c r="CR149" s="2060"/>
      <c r="CS149" s="2060"/>
      <c r="CT149" s="2060"/>
      <c r="CU149" s="2060"/>
      <c r="CV149" s="2060"/>
      <c r="CW149" s="2060"/>
      <c r="CX149" s="2060"/>
      <c r="CY149" s="2060"/>
      <c r="CZ149" s="2060"/>
      <c r="DA149" s="2060"/>
      <c r="DB149" s="2060"/>
      <c r="DC149" s="2060"/>
      <c r="DD149" s="2060"/>
      <c r="DE149" s="2060"/>
      <c r="DF149" s="2060"/>
      <c r="DG149" s="2060"/>
      <c r="DH149" s="2060"/>
      <c r="DI149" s="2060"/>
      <c r="DJ149" s="2060"/>
      <c r="DK149" s="2060"/>
      <c r="DL149" s="2060"/>
      <c r="DM149" s="2060"/>
      <c r="DN149" s="2060"/>
      <c r="DO149" s="2060"/>
      <c r="DP149" s="2060"/>
      <c r="DQ149" s="2060"/>
      <c r="DR149" s="2060"/>
      <c r="DS149" s="2060"/>
      <c r="DT149" s="2060"/>
      <c r="DU149" s="2060"/>
      <c r="DV149" s="2060"/>
      <c r="DW149" s="2060"/>
      <c r="DX149" s="2060"/>
      <c r="DY149" s="2060"/>
      <c r="DZ149" s="2060"/>
      <c r="EA149" s="2060"/>
      <c r="EB149" s="2060"/>
      <c r="EC149" s="2060"/>
      <c r="ED149" s="2060"/>
      <c r="EE149" s="2060"/>
      <c r="EF149" s="2060"/>
      <c r="EG149" s="2060"/>
      <c r="EH149" s="2060"/>
      <c r="EI149" s="2060"/>
      <c r="EJ149" s="2060"/>
      <c r="EK149" s="2060"/>
      <c r="EL149" s="2060"/>
      <c r="EM149" s="2060"/>
      <c r="EN149" s="2060"/>
      <c r="EO149" s="2060"/>
      <c r="EP149" s="2060"/>
      <c r="EQ149" s="2060"/>
      <c r="ER149" s="2060"/>
      <c r="ES149" s="2060"/>
      <c r="ET149" s="2060"/>
      <c r="EU149" s="2060"/>
      <c r="EV149" s="2060"/>
      <c r="EW149" s="2060"/>
      <c r="EX149" s="2060"/>
      <c r="EY149" s="2060"/>
      <c r="EZ149" s="2060"/>
      <c r="FA149" s="2060"/>
      <c r="FB149" s="2060"/>
      <c r="FC149" s="2060"/>
      <c r="FD149" s="2060"/>
      <c r="FE149" s="2060"/>
      <c r="FF149" s="2060"/>
      <c r="FG149" s="2060"/>
      <c r="FH149" s="2060"/>
      <c r="FI149" s="2060"/>
      <c r="FJ149" s="2060"/>
      <c r="FK149" s="2060"/>
      <c r="FL149" s="2060"/>
      <c r="FM149" s="2060"/>
      <c r="FN149" s="2060"/>
      <c r="FO149" s="2060"/>
      <c r="FP149" s="2060"/>
      <c r="FQ149" s="2060"/>
      <c r="FR149" s="2060"/>
      <c r="FS149" s="2060"/>
      <c r="FT149" s="2060"/>
      <c r="FU149" s="2060"/>
      <c r="FV149" s="2060"/>
      <c r="FW149" s="2060"/>
      <c r="FX149" s="2060"/>
      <c r="FY149" s="2060"/>
      <c r="FZ149" s="2060"/>
      <c r="GA149" s="2060"/>
      <c r="GB149" s="2060"/>
      <c r="GC149" s="2060"/>
    </row>
    <row r="150" spans="1:185" s="1499" customFormat="1" ht="12.75" customHeight="1">
      <c r="A150" s="1632" t="str">
        <f t="shared" si="14"/>
        <v>n</v>
      </c>
      <c r="B150" s="1004"/>
      <c r="C150" s="1502"/>
      <c r="D150" s="2229"/>
      <c r="E150" s="623" t="str">
        <f>'DATA GPC'!E41</f>
        <v>--</v>
      </c>
      <c r="F150" s="128"/>
      <c r="G150" s="1504" t="str">
        <f>IF(E150="--","--",'DATA GPC'!G41)</f>
        <v>--</v>
      </c>
      <c r="H150" s="1350" t="str">
        <f>IF($G150="--","--",_xll.ciqfunctions.udf.CIQ($G150,"IQ_CUSTOM_BETA",_xll.ciqfunctions.udf.CIQ('DATA GPC'!$S41,"IQ_PRICEDATE",EDATE(Valuation_date,-B1Yrs*12)),Valuation_date,IF(B1Freq="Weekly","W","M"),'DATA GPC'!$S41))</f>
        <v>--</v>
      </c>
      <c r="I150" s="1350" t="str">
        <f>IF($G150="--","--",_xll.ciqfunctions.udf.CIQ($G150,"IQ_CUSTOM_BETA_RSQ",_xll.ciqfunctions.udf.CIQ('DATA GPC'!$S41,"IQ_PRICEDATE",EDATE(Valuation_date,-B1Yrs*12)),Valuation_date,IF(B1Freq="Weekly","W","M"),'DATA GPC'!$S41))</f>
        <v>--</v>
      </c>
      <c r="J150" s="2230" t="str">
        <f t="shared" si="15"/>
        <v>--</v>
      </c>
      <c r="K150" s="2230" t="str">
        <f t="shared" si="16"/>
        <v>--</v>
      </c>
      <c r="L150" s="1776" t="str">
        <f>IF(OR($G150="--",H150="#NA"),"--",_xll.ciqfunctions.udf.CIQ($G150,"IQ_CUSTOM_BETA_DATA_POINTS",_xll.ciqfunctions.udf.CIQ('DATA GPC'!$S41,"IQ_PRICEDATE",EDATE(Valuation_date,-B1Yrs*12)),Valuation_date,IF(B1Freq="Weekly","W","M"),'DATA GPC'!$S41))</f>
        <v>--</v>
      </c>
      <c r="M150" s="2231" t="str">
        <f>IF($G150="--","--",_xll.ciqfunctions.udf.CIQ($G150,"IQ_CUSTOM_BETA",_xll.ciqfunctions.udf.CIQ('DATA GPC'!$S41,"IQ_PRICEDATE",EDATE(Valuation_date,-B2Yrs*12)),Valuation_date,IF(B2Freq="Weekly","W","M"),'DATA GPC'!$S41))</f>
        <v>--</v>
      </c>
      <c r="N150" s="1350" t="str">
        <f>IF($G150="--","--",_xll.ciqfunctions.udf.CIQ($G150,"IQ_CUSTOM_BETA_RSQ",_xll.ciqfunctions.udf.CIQ('DATA GPC'!$S41,"IQ_PRICEDATE",EDATE(Valuation_date,-B2Yrs*12)),Valuation_date,IF(B2Freq="Weekly","W","M"),'DATA GPC'!$S41))</f>
        <v>--</v>
      </c>
      <c r="O150" s="2230" t="str">
        <f t="shared" si="17"/>
        <v>--</v>
      </c>
      <c r="P150" s="2230" t="str">
        <f t="shared" si="18"/>
        <v>--</v>
      </c>
      <c r="Q150" s="1776" t="str">
        <f>IF(OR($G150="--",M150="#NA"),"--",_xll.ciqfunctions.udf.CIQ($G150,"IQ_CUSTOM_BETA_DATA_POINTS",_xll.ciqfunctions.udf.CIQ('DATA GPC'!$S41,"IQ_PRICEDATE",EDATE(Valuation_date,-B2Yrs*12)),Valuation_date,IF(B2Freq="Weekly","W","M"),'DATA GPC'!$S41))</f>
        <v>--</v>
      </c>
      <c r="R150" s="2231" t="str">
        <f>IF($G150="--","--",_xll.ciqfunctions.udf.CIQ($G150,"IQ_CUSTOM_BETA",_xll.ciqfunctions.udf.CIQ('DATA GPC'!$S41,"IQ_PRICEDATE",EDATE(Valuation_date,-B3Yrs*12)),Valuation_date,IF(B3Freq="Weekly","W","M"),'DATA GPC'!$S41))</f>
        <v>--</v>
      </c>
      <c r="S150" s="1350" t="str">
        <f>IF($G150="--","--",_xll.ciqfunctions.udf.CIQ($G150,"IQ_CUSTOM_BETA_RSQ",_xll.ciqfunctions.udf.CIQ('DATA GPC'!$S41,"IQ_PRICEDATE",EDATE(Valuation_date,-B3Yrs*12)),Valuation_date,IF(B3Freq="Weekly","W","M"),'DATA GPC'!$S41))</f>
        <v>--</v>
      </c>
      <c r="T150" s="2230" t="str">
        <f t="shared" si="19"/>
        <v>--</v>
      </c>
      <c r="U150" s="2230" t="str">
        <f t="shared" si="20"/>
        <v>--</v>
      </c>
      <c r="V150" s="1776" t="str">
        <f>IF(OR($G150="--",R150="#NA"),"--",_xll.ciqfunctions.udf.CIQ($G150,"IQ_CUSTOM_BETA_DATA_POINTS",_xll.ciqfunctions.udf.CIQ('DATA GPC'!$S41,"IQ_PRICEDATE",EDATE(Valuation_date,-B3Yrs*12)),Valuation_date,IF(B3Freq="Weekly","W","M"),'DATA GPC'!$S41))</f>
        <v>--</v>
      </c>
      <c r="W150" s="2231" t="str">
        <f>IF($G150="--","--",_xll.ciqfunctions.udf.CIQ($G150,"IQ_CUSTOM_BETA",_xll.ciqfunctions.udf.CIQ('DATA GPC'!$S41,"IQ_PRICEDATE",EDATE(Valuation_date,-B4Yrs*12)),Valuation_date,IF(B4Freq="Weekly","W","M"),'DATA GPC'!$S41))</f>
        <v>--</v>
      </c>
      <c r="X150" s="1350" t="str">
        <f>IF($G150="--","--",_xll.ciqfunctions.udf.CIQ($G150,"IQ_CUSTOM_BETA_RSQ",_xll.ciqfunctions.udf.CIQ('DATA GPC'!$S41,"IQ_PRICEDATE",EDATE(Valuation_date,-B4Yrs*12)),Valuation_date,IF(B4Freq="Weekly","W","M"),'DATA GPC'!$S41))</f>
        <v>--</v>
      </c>
      <c r="Y150" s="2230" t="str">
        <f t="shared" si="21"/>
        <v>--</v>
      </c>
      <c r="Z150" s="2230" t="str">
        <f t="shared" si="22"/>
        <v>--</v>
      </c>
      <c r="AA150" s="1776" t="str">
        <f>IF(OR($G150="--",W150="#NA"),"--",_xll.ciqfunctions.udf.CIQ($G150,"IQ_CUSTOM_BETA_DATA_POINTS",_xll.ciqfunctions.udf.CIQ('DATA GPC'!$S41,"IQ_PRICEDATE",EDATE(Valuation_date,-B4Yrs*12)),Valuation_date,IF(B4Freq="Weekly","W","M"),'DATA GPC'!$S41))</f>
        <v>--</v>
      </c>
      <c r="AB150" s="2060"/>
      <c r="AC150" s="2060"/>
      <c r="AD150" s="1004"/>
      <c r="AE150" s="2060"/>
      <c r="AF150" s="2060"/>
      <c r="AG150" s="2060"/>
      <c r="AH150" s="2060"/>
      <c r="AI150" s="2060"/>
      <c r="AJ150" s="2060"/>
      <c r="AK150" s="2060"/>
      <c r="AL150" s="2060"/>
      <c r="AM150" s="2060"/>
      <c r="AN150" s="2060"/>
      <c r="AO150" s="2060"/>
      <c r="AP150" s="2060"/>
      <c r="AQ150" s="2060"/>
      <c r="AR150" s="2060"/>
      <c r="AS150" s="2060"/>
      <c r="AT150" s="2060"/>
      <c r="AU150" s="2060"/>
      <c r="AV150" s="2060"/>
      <c r="AW150" s="2060"/>
      <c r="AX150" s="2060"/>
      <c r="AY150" s="2060"/>
      <c r="AZ150" s="2060"/>
      <c r="BA150" s="2060"/>
      <c r="BB150" s="2060"/>
      <c r="BC150" s="2060"/>
      <c r="BD150" s="2060"/>
      <c r="BE150" s="2060"/>
      <c r="BF150" s="2060"/>
      <c r="BG150" s="2060"/>
      <c r="BH150" s="2060"/>
      <c r="BI150" s="2060"/>
      <c r="BJ150" s="2060"/>
      <c r="BK150" s="2060"/>
      <c r="BL150" s="2060"/>
      <c r="BM150" s="2060"/>
      <c r="BN150" s="2060"/>
      <c r="BO150" s="2060"/>
      <c r="BP150" s="2060"/>
      <c r="BQ150" s="2060"/>
      <c r="BR150" s="2060"/>
      <c r="BS150" s="2060"/>
      <c r="BT150" s="2060"/>
      <c r="BU150" s="2060"/>
      <c r="BV150" s="2060"/>
      <c r="BW150" s="2060"/>
      <c r="BX150" s="2060"/>
      <c r="BY150" s="2060"/>
      <c r="BZ150" s="2060"/>
      <c r="CA150" s="2060"/>
      <c r="CB150" s="2060"/>
      <c r="CC150" s="2060"/>
      <c r="CD150" s="2060"/>
      <c r="CE150" s="2060"/>
      <c r="CF150" s="2060"/>
      <c r="CG150" s="2060"/>
      <c r="CH150" s="2060"/>
      <c r="CI150" s="2060"/>
      <c r="CJ150" s="2060"/>
      <c r="CK150" s="2060"/>
      <c r="CL150" s="2060"/>
      <c r="CM150" s="2060"/>
      <c r="CN150" s="2060"/>
      <c r="CO150" s="2060"/>
      <c r="CP150" s="2060"/>
      <c r="CQ150" s="2060"/>
      <c r="CR150" s="2060"/>
      <c r="CS150" s="2060"/>
      <c r="CT150" s="2060"/>
      <c r="CU150" s="2060"/>
      <c r="CV150" s="2060"/>
      <c r="CW150" s="2060"/>
      <c r="CX150" s="2060"/>
      <c r="CY150" s="2060"/>
      <c r="CZ150" s="2060"/>
      <c r="DA150" s="2060"/>
      <c r="DB150" s="2060"/>
      <c r="DC150" s="2060"/>
      <c r="DD150" s="2060"/>
      <c r="DE150" s="2060"/>
      <c r="DF150" s="2060"/>
      <c r="DG150" s="2060"/>
      <c r="DH150" s="2060"/>
      <c r="DI150" s="2060"/>
      <c r="DJ150" s="2060"/>
      <c r="DK150" s="2060"/>
      <c r="DL150" s="2060"/>
      <c r="DM150" s="2060"/>
      <c r="DN150" s="2060"/>
      <c r="DO150" s="2060"/>
      <c r="DP150" s="2060"/>
      <c r="DQ150" s="2060"/>
      <c r="DR150" s="2060"/>
      <c r="DS150" s="2060"/>
      <c r="DT150" s="2060"/>
      <c r="DU150" s="2060"/>
      <c r="DV150" s="2060"/>
      <c r="DW150" s="2060"/>
      <c r="DX150" s="2060"/>
      <c r="DY150" s="2060"/>
      <c r="DZ150" s="2060"/>
      <c r="EA150" s="2060"/>
      <c r="EB150" s="2060"/>
      <c r="EC150" s="2060"/>
      <c r="ED150" s="2060"/>
      <c r="EE150" s="2060"/>
      <c r="EF150" s="2060"/>
      <c r="EG150" s="2060"/>
      <c r="EH150" s="2060"/>
      <c r="EI150" s="2060"/>
      <c r="EJ150" s="2060"/>
      <c r="EK150" s="2060"/>
      <c r="EL150" s="2060"/>
      <c r="EM150" s="2060"/>
      <c r="EN150" s="2060"/>
      <c r="EO150" s="2060"/>
      <c r="EP150" s="2060"/>
      <c r="EQ150" s="2060"/>
      <c r="ER150" s="2060"/>
      <c r="ES150" s="2060"/>
      <c r="ET150" s="2060"/>
      <c r="EU150" s="2060"/>
      <c r="EV150" s="2060"/>
      <c r="EW150" s="2060"/>
      <c r="EX150" s="2060"/>
      <c r="EY150" s="2060"/>
      <c r="EZ150" s="2060"/>
      <c r="FA150" s="2060"/>
      <c r="FB150" s="2060"/>
      <c r="FC150" s="2060"/>
      <c r="FD150" s="2060"/>
      <c r="FE150" s="2060"/>
      <c r="FF150" s="2060"/>
      <c r="FG150" s="2060"/>
      <c r="FH150" s="2060"/>
      <c r="FI150" s="2060"/>
      <c r="FJ150" s="2060"/>
      <c r="FK150" s="2060"/>
      <c r="FL150" s="2060"/>
      <c r="FM150" s="2060"/>
      <c r="FN150" s="2060"/>
      <c r="FO150" s="2060"/>
      <c r="FP150" s="2060"/>
      <c r="FQ150" s="2060"/>
      <c r="FR150" s="2060"/>
      <c r="FS150" s="2060"/>
      <c r="FT150" s="2060"/>
      <c r="FU150" s="2060"/>
      <c r="FV150" s="2060"/>
      <c r="FW150" s="2060"/>
      <c r="FX150" s="2060"/>
      <c r="FY150" s="2060"/>
      <c r="FZ150" s="2060"/>
      <c r="GA150" s="2060"/>
      <c r="GB150" s="2060"/>
      <c r="GC150" s="2060"/>
    </row>
    <row r="151" spans="1:185" s="1499" customFormat="1" ht="12.75" customHeight="1">
      <c r="A151" s="1632" t="str">
        <f t="shared" si="14"/>
        <v>n</v>
      </c>
      <c r="B151" s="1004"/>
      <c r="C151" s="1502"/>
      <c r="D151" s="2229"/>
      <c r="E151" s="623" t="str">
        <f>'DATA GPC'!E42</f>
        <v>--</v>
      </c>
      <c r="F151" s="128"/>
      <c r="G151" s="1504" t="str">
        <f>IF(E151="--","--",'DATA GPC'!G42)</f>
        <v>--</v>
      </c>
      <c r="H151" s="1350" t="str">
        <f>IF($G151="--","--",_xll.ciqfunctions.udf.CIQ($G151,"IQ_CUSTOM_BETA",_xll.ciqfunctions.udf.CIQ('DATA GPC'!$S42,"IQ_PRICEDATE",EDATE(Valuation_date,-B1Yrs*12)),Valuation_date,IF(B1Freq="Weekly","W","M"),'DATA GPC'!$S42))</f>
        <v>--</v>
      </c>
      <c r="I151" s="1350" t="str">
        <f>IF($G151="--","--",_xll.ciqfunctions.udf.CIQ($G151,"IQ_CUSTOM_BETA_RSQ",_xll.ciqfunctions.udf.CIQ('DATA GPC'!$S42,"IQ_PRICEDATE",EDATE(Valuation_date,-B1Yrs*12)),Valuation_date,IF(B1Freq="Weekly","W","M"),'DATA GPC'!$S42))</f>
        <v>--</v>
      </c>
      <c r="J151" s="2230" t="str">
        <f t="shared" si="15"/>
        <v>--</v>
      </c>
      <c r="K151" s="2230" t="str">
        <f t="shared" si="16"/>
        <v>--</v>
      </c>
      <c r="L151" s="1776" t="str">
        <f>IF(OR($G151="--",H151="#NA"),"--",_xll.ciqfunctions.udf.CIQ($G151,"IQ_CUSTOM_BETA_DATA_POINTS",_xll.ciqfunctions.udf.CIQ('DATA GPC'!$S42,"IQ_PRICEDATE",EDATE(Valuation_date,-B1Yrs*12)),Valuation_date,IF(B1Freq="Weekly","W","M"),'DATA GPC'!$S42))</f>
        <v>--</v>
      </c>
      <c r="M151" s="2231" t="str">
        <f>IF($G151="--","--",_xll.ciqfunctions.udf.CIQ($G151,"IQ_CUSTOM_BETA",_xll.ciqfunctions.udf.CIQ('DATA GPC'!$S42,"IQ_PRICEDATE",EDATE(Valuation_date,-B2Yrs*12)),Valuation_date,IF(B2Freq="Weekly","W","M"),'DATA GPC'!$S42))</f>
        <v>--</v>
      </c>
      <c r="N151" s="1350" t="str">
        <f>IF($G151="--","--",_xll.ciqfunctions.udf.CIQ($G151,"IQ_CUSTOM_BETA_RSQ",_xll.ciqfunctions.udf.CIQ('DATA GPC'!$S42,"IQ_PRICEDATE",EDATE(Valuation_date,-B2Yrs*12)),Valuation_date,IF(B2Freq="Weekly","W","M"),'DATA GPC'!$S42))</f>
        <v>--</v>
      </c>
      <c r="O151" s="2230" t="str">
        <f t="shared" si="17"/>
        <v>--</v>
      </c>
      <c r="P151" s="2230" t="str">
        <f t="shared" si="18"/>
        <v>--</v>
      </c>
      <c r="Q151" s="1776" t="str">
        <f>IF(OR($G151="--",M151="#NA"),"--",_xll.ciqfunctions.udf.CIQ($G151,"IQ_CUSTOM_BETA_DATA_POINTS",_xll.ciqfunctions.udf.CIQ('DATA GPC'!$S42,"IQ_PRICEDATE",EDATE(Valuation_date,-B2Yrs*12)),Valuation_date,IF(B2Freq="Weekly","W","M"),'DATA GPC'!$S42))</f>
        <v>--</v>
      </c>
      <c r="R151" s="2231" t="str">
        <f>IF($G151="--","--",_xll.ciqfunctions.udf.CIQ($G151,"IQ_CUSTOM_BETA",_xll.ciqfunctions.udf.CIQ('DATA GPC'!$S42,"IQ_PRICEDATE",EDATE(Valuation_date,-B3Yrs*12)),Valuation_date,IF(B3Freq="Weekly","W","M"),'DATA GPC'!$S42))</f>
        <v>--</v>
      </c>
      <c r="S151" s="1350" t="str">
        <f>IF($G151="--","--",_xll.ciqfunctions.udf.CIQ($G151,"IQ_CUSTOM_BETA_RSQ",_xll.ciqfunctions.udf.CIQ('DATA GPC'!$S42,"IQ_PRICEDATE",EDATE(Valuation_date,-B3Yrs*12)),Valuation_date,IF(B3Freq="Weekly","W","M"),'DATA GPC'!$S42))</f>
        <v>--</v>
      </c>
      <c r="T151" s="2230" t="str">
        <f t="shared" si="19"/>
        <v>--</v>
      </c>
      <c r="U151" s="2230" t="str">
        <f t="shared" si="20"/>
        <v>--</v>
      </c>
      <c r="V151" s="1776" t="str">
        <f>IF(OR($G151="--",R151="#NA"),"--",_xll.ciqfunctions.udf.CIQ($G151,"IQ_CUSTOM_BETA_DATA_POINTS",_xll.ciqfunctions.udf.CIQ('DATA GPC'!$S42,"IQ_PRICEDATE",EDATE(Valuation_date,-B3Yrs*12)),Valuation_date,IF(B3Freq="Weekly","W","M"),'DATA GPC'!$S42))</f>
        <v>--</v>
      </c>
      <c r="W151" s="2231" t="str">
        <f>IF($G151="--","--",_xll.ciqfunctions.udf.CIQ($G151,"IQ_CUSTOM_BETA",_xll.ciqfunctions.udf.CIQ('DATA GPC'!$S42,"IQ_PRICEDATE",EDATE(Valuation_date,-B4Yrs*12)),Valuation_date,IF(B4Freq="Weekly","W","M"),'DATA GPC'!$S42))</f>
        <v>--</v>
      </c>
      <c r="X151" s="1350" t="str">
        <f>IF($G151="--","--",_xll.ciqfunctions.udf.CIQ($G151,"IQ_CUSTOM_BETA_RSQ",_xll.ciqfunctions.udf.CIQ('DATA GPC'!$S42,"IQ_PRICEDATE",EDATE(Valuation_date,-B4Yrs*12)),Valuation_date,IF(B4Freq="Weekly","W","M"),'DATA GPC'!$S42))</f>
        <v>--</v>
      </c>
      <c r="Y151" s="2230" t="str">
        <f t="shared" si="21"/>
        <v>--</v>
      </c>
      <c r="Z151" s="2230" t="str">
        <f t="shared" si="22"/>
        <v>--</v>
      </c>
      <c r="AA151" s="1776" t="str">
        <f>IF(OR($G151="--",W151="#NA"),"--",_xll.ciqfunctions.udf.CIQ($G151,"IQ_CUSTOM_BETA_DATA_POINTS",_xll.ciqfunctions.udf.CIQ('DATA GPC'!$S42,"IQ_PRICEDATE",EDATE(Valuation_date,-B4Yrs*12)),Valuation_date,IF(B4Freq="Weekly","W","M"),'DATA GPC'!$S42))</f>
        <v>--</v>
      </c>
      <c r="AB151" s="2060"/>
      <c r="AC151" s="2060"/>
      <c r="AD151" s="1004"/>
      <c r="AE151" s="2060"/>
      <c r="AF151" s="2060"/>
      <c r="AG151" s="2060"/>
      <c r="AH151" s="2060"/>
      <c r="AI151" s="2060"/>
      <c r="AJ151" s="2060"/>
      <c r="AK151" s="2060"/>
      <c r="AL151" s="2060"/>
      <c r="AM151" s="2060"/>
      <c r="AN151" s="2060"/>
      <c r="AO151" s="2060"/>
      <c r="AP151" s="2060"/>
      <c r="AQ151" s="2060"/>
      <c r="AR151" s="2060"/>
      <c r="AS151" s="2060"/>
      <c r="AT151" s="2060"/>
      <c r="AU151" s="2060"/>
      <c r="AV151" s="2060"/>
      <c r="AW151" s="2060"/>
      <c r="AX151" s="2060"/>
      <c r="AY151" s="2060"/>
      <c r="AZ151" s="2060"/>
      <c r="BA151" s="2060"/>
      <c r="BB151" s="2060"/>
      <c r="BC151" s="2060"/>
      <c r="BD151" s="2060"/>
      <c r="BE151" s="2060"/>
      <c r="BF151" s="2060"/>
      <c r="BG151" s="2060"/>
      <c r="BH151" s="2060"/>
      <c r="BI151" s="2060"/>
      <c r="BJ151" s="2060"/>
      <c r="BK151" s="2060"/>
      <c r="BL151" s="2060"/>
      <c r="BM151" s="2060"/>
      <c r="BN151" s="2060"/>
      <c r="BO151" s="2060"/>
      <c r="BP151" s="2060"/>
      <c r="BQ151" s="2060"/>
      <c r="BR151" s="2060"/>
      <c r="BS151" s="2060"/>
      <c r="BT151" s="2060"/>
      <c r="BU151" s="2060"/>
      <c r="BV151" s="2060"/>
      <c r="BW151" s="2060"/>
      <c r="BX151" s="2060"/>
      <c r="BY151" s="2060"/>
      <c r="BZ151" s="2060"/>
      <c r="CA151" s="2060"/>
      <c r="CB151" s="2060"/>
      <c r="CC151" s="2060"/>
      <c r="CD151" s="2060"/>
      <c r="CE151" s="2060"/>
      <c r="CF151" s="2060"/>
      <c r="CG151" s="2060"/>
      <c r="CH151" s="2060"/>
      <c r="CI151" s="2060"/>
      <c r="CJ151" s="2060"/>
      <c r="CK151" s="2060"/>
      <c r="CL151" s="2060"/>
      <c r="CM151" s="2060"/>
      <c r="CN151" s="2060"/>
      <c r="CO151" s="2060"/>
      <c r="CP151" s="2060"/>
      <c r="CQ151" s="2060"/>
      <c r="CR151" s="2060"/>
      <c r="CS151" s="2060"/>
      <c r="CT151" s="2060"/>
      <c r="CU151" s="2060"/>
      <c r="CV151" s="2060"/>
      <c r="CW151" s="2060"/>
      <c r="CX151" s="2060"/>
      <c r="CY151" s="2060"/>
      <c r="CZ151" s="2060"/>
      <c r="DA151" s="2060"/>
      <c r="DB151" s="2060"/>
      <c r="DC151" s="2060"/>
      <c r="DD151" s="2060"/>
      <c r="DE151" s="2060"/>
      <c r="DF151" s="2060"/>
      <c r="DG151" s="2060"/>
      <c r="DH151" s="2060"/>
      <c r="DI151" s="2060"/>
      <c r="DJ151" s="2060"/>
      <c r="DK151" s="2060"/>
      <c r="DL151" s="2060"/>
      <c r="DM151" s="2060"/>
      <c r="DN151" s="2060"/>
      <c r="DO151" s="2060"/>
      <c r="DP151" s="2060"/>
      <c r="DQ151" s="2060"/>
      <c r="DR151" s="2060"/>
      <c r="DS151" s="2060"/>
      <c r="DT151" s="2060"/>
      <c r="DU151" s="2060"/>
      <c r="DV151" s="2060"/>
      <c r="DW151" s="2060"/>
      <c r="DX151" s="2060"/>
      <c r="DY151" s="2060"/>
      <c r="DZ151" s="2060"/>
      <c r="EA151" s="2060"/>
      <c r="EB151" s="2060"/>
      <c r="EC151" s="2060"/>
      <c r="ED151" s="2060"/>
      <c r="EE151" s="2060"/>
      <c r="EF151" s="2060"/>
      <c r="EG151" s="2060"/>
      <c r="EH151" s="2060"/>
      <c r="EI151" s="2060"/>
      <c r="EJ151" s="2060"/>
      <c r="EK151" s="2060"/>
      <c r="EL151" s="2060"/>
      <c r="EM151" s="2060"/>
      <c r="EN151" s="2060"/>
      <c r="EO151" s="2060"/>
      <c r="EP151" s="2060"/>
      <c r="EQ151" s="2060"/>
      <c r="ER151" s="2060"/>
      <c r="ES151" s="2060"/>
      <c r="ET151" s="2060"/>
      <c r="EU151" s="2060"/>
      <c r="EV151" s="2060"/>
      <c r="EW151" s="2060"/>
      <c r="EX151" s="2060"/>
      <c r="EY151" s="2060"/>
      <c r="EZ151" s="2060"/>
      <c r="FA151" s="2060"/>
      <c r="FB151" s="2060"/>
      <c r="FC151" s="2060"/>
      <c r="FD151" s="2060"/>
      <c r="FE151" s="2060"/>
      <c r="FF151" s="2060"/>
      <c r="FG151" s="2060"/>
      <c r="FH151" s="2060"/>
      <c r="FI151" s="2060"/>
      <c r="FJ151" s="2060"/>
      <c r="FK151" s="2060"/>
      <c r="FL151" s="2060"/>
      <c r="FM151" s="2060"/>
      <c r="FN151" s="2060"/>
      <c r="FO151" s="2060"/>
      <c r="FP151" s="2060"/>
      <c r="FQ151" s="2060"/>
      <c r="FR151" s="2060"/>
      <c r="FS151" s="2060"/>
      <c r="FT151" s="2060"/>
      <c r="FU151" s="2060"/>
      <c r="FV151" s="2060"/>
      <c r="FW151" s="2060"/>
      <c r="FX151" s="2060"/>
      <c r="FY151" s="2060"/>
      <c r="FZ151" s="2060"/>
      <c r="GA151" s="2060"/>
      <c r="GB151" s="2060"/>
      <c r="GC151" s="2060"/>
    </row>
    <row r="152" spans="1:185" s="1499" customFormat="1" ht="12.75" customHeight="1">
      <c r="A152" s="1632" t="str">
        <f t="shared" si="14"/>
        <v>n</v>
      </c>
      <c r="B152" s="1004"/>
      <c r="C152" s="1502"/>
      <c r="D152" s="2229"/>
      <c r="E152" s="623" t="str">
        <f>'DATA GPC'!E43</f>
        <v>--</v>
      </c>
      <c r="F152" s="128"/>
      <c r="G152" s="1504" t="str">
        <f>IF(E152="--","--",'DATA GPC'!G43)</f>
        <v>--</v>
      </c>
      <c r="H152" s="1350" t="str">
        <f>IF($G152="--","--",_xll.ciqfunctions.udf.CIQ($G152,"IQ_CUSTOM_BETA",_xll.ciqfunctions.udf.CIQ('DATA GPC'!$S43,"IQ_PRICEDATE",EDATE(Valuation_date,-B1Yrs*12)),Valuation_date,IF(B1Freq="Weekly","W","M"),'DATA GPC'!$S43))</f>
        <v>--</v>
      </c>
      <c r="I152" s="1350" t="str">
        <f>IF($G152="--","--",_xll.ciqfunctions.udf.CIQ($G152,"IQ_CUSTOM_BETA_RSQ",_xll.ciqfunctions.udf.CIQ('DATA GPC'!$S43,"IQ_PRICEDATE",EDATE(Valuation_date,-B1Yrs*12)),Valuation_date,IF(B1Freq="Weekly","W","M"),'DATA GPC'!$S43))</f>
        <v>--</v>
      </c>
      <c r="J152" s="2230" t="str">
        <f t="shared" si="15"/>
        <v>--</v>
      </c>
      <c r="K152" s="2230" t="str">
        <f t="shared" si="16"/>
        <v>--</v>
      </c>
      <c r="L152" s="1776" t="str">
        <f>IF(OR($G152="--",H152="#NA"),"--",_xll.ciqfunctions.udf.CIQ($G152,"IQ_CUSTOM_BETA_DATA_POINTS",_xll.ciqfunctions.udf.CIQ('DATA GPC'!$S43,"IQ_PRICEDATE",EDATE(Valuation_date,-B1Yrs*12)),Valuation_date,IF(B1Freq="Weekly","W","M"),'DATA GPC'!$S43))</f>
        <v>--</v>
      </c>
      <c r="M152" s="2231" t="str">
        <f>IF($G152="--","--",_xll.ciqfunctions.udf.CIQ($G152,"IQ_CUSTOM_BETA",_xll.ciqfunctions.udf.CIQ('DATA GPC'!$S43,"IQ_PRICEDATE",EDATE(Valuation_date,-B2Yrs*12)),Valuation_date,IF(B2Freq="Weekly","W","M"),'DATA GPC'!$S43))</f>
        <v>--</v>
      </c>
      <c r="N152" s="1350" t="str">
        <f>IF($G152="--","--",_xll.ciqfunctions.udf.CIQ($G152,"IQ_CUSTOM_BETA_RSQ",_xll.ciqfunctions.udf.CIQ('DATA GPC'!$S43,"IQ_PRICEDATE",EDATE(Valuation_date,-B2Yrs*12)),Valuation_date,IF(B2Freq="Weekly","W","M"),'DATA GPC'!$S43))</f>
        <v>--</v>
      </c>
      <c r="O152" s="2230" t="str">
        <f t="shared" si="17"/>
        <v>--</v>
      </c>
      <c r="P152" s="2230" t="str">
        <f t="shared" si="18"/>
        <v>--</v>
      </c>
      <c r="Q152" s="1776" t="str">
        <f>IF(OR($G152="--",M152="#NA"),"--",_xll.ciqfunctions.udf.CIQ($G152,"IQ_CUSTOM_BETA_DATA_POINTS",_xll.ciqfunctions.udf.CIQ('DATA GPC'!$S43,"IQ_PRICEDATE",EDATE(Valuation_date,-B2Yrs*12)),Valuation_date,IF(B2Freq="Weekly","W","M"),'DATA GPC'!$S43))</f>
        <v>--</v>
      </c>
      <c r="R152" s="2231" t="str">
        <f>IF($G152="--","--",_xll.ciqfunctions.udf.CIQ($G152,"IQ_CUSTOM_BETA",_xll.ciqfunctions.udf.CIQ('DATA GPC'!$S43,"IQ_PRICEDATE",EDATE(Valuation_date,-B3Yrs*12)),Valuation_date,IF(B3Freq="Weekly","W","M"),'DATA GPC'!$S43))</f>
        <v>--</v>
      </c>
      <c r="S152" s="1350" t="str">
        <f>IF($G152="--","--",_xll.ciqfunctions.udf.CIQ($G152,"IQ_CUSTOM_BETA_RSQ",_xll.ciqfunctions.udf.CIQ('DATA GPC'!$S43,"IQ_PRICEDATE",EDATE(Valuation_date,-B3Yrs*12)),Valuation_date,IF(B3Freq="Weekly","W","M"),'DATA GPC'!$S43))</f>
        <v>--</v>
      </c>
      <c r="T152" s="2230" t="str">
        <f t="shared" si="19"/>
        <v>--</v>
      </c>
      <c r="U152" s="2230" t="str">
        <f t="shared" si="20"/>
        <v>--</v>
      </c>
      <c r="V152" s="1776" t="str">
        <f>IF(OR($G152="--",R152="#NA"),"--",_xll.ciqfunctions.udf.CIQ($G152,"IQ_CUSTOM_BETA_DATA_POINTS",_xll.ciqfunctions.udf.CIQ('DATA GPC'!$S43,"IQ_PRICEDATE",EDATE(Valuation_date,-B3Yrs*12)),Valuation_date,IF(B3Freq="Weekly","W","M"),'DATA GPC'!$S43))</f>
        <v>--</v>
      </c>
      <c r="W152" s="2231" t="str">
        <f>IF($G152="--","--",_xll.ciqfunctions.udf.CIQ($G152,"IQ_CUSTOM_BETA",_xll.ciqfunctions.udf.CIQ('DATA GPC'!$S43,"IQ_PRICEDATE",EDATE(Valuation_date,-B4Yrs*12)),Valuation_date,IF(B4Freq="Weekly","W","M"),'DATA GPC'!$S43))</f>
        <v>--</v>
      </c>
      <c r="X152" s="1350" t="str">
        <f>IF($G152="--","--",_xll.ciqfunctions.udf.CIQ($G152,"IQ_CUSTOM_BETA_RSQ",_xll.ciqfunctions.udf.CIQ('DATA GPC'!$S43,"IQ_PRICEDATE",EDATE(Valuation_date,-B4Yrs*12)),Valuation_date,IF(B4Freq="Weekly","W","M"),'DATA GPC'!$S43))</f>
        <v>--</v>
      </c>
      <c r="Y152" s="2230" t="str">
        <f t="shared" si="21"/>
        <v>--</v>
      </c>
      <c r="Z152" s="2230" t="str">
        <f t="shared" si="22"/>
        <v>--</v>
      </c>
      <c r="AA152" s="1776" t="str">
        <f>IF(OR($G152="--",W152="#NA"),"--",_xll.ciqfunctions.udf.CIQ($G152,"IQ_CUSTOM_BETA_DATA_POINTS",_xll.ciqfunctions.udf.CIQ('DATA GPC'!$S43,"IQ_PRICEDATE",EDATE(Valuation_date,-B4Yrs*12)),Valuation_date,IF(B4Freq="Weekly","W","M"),'DATA GPC'!$S43))</f>
        <v>--</v>
      </c>
      <c r="AB152" s="2060"/>
      <c r="AC152" s="2060"/>
      <c r="AD152" s="1004"/>
      <c r="AE152" s="2060"/>
      <c r="AF152" s="2060"/>
      <c r="AG152" s="2060"/>
      <c r="AH152" s="2060"/>
      <c r="AI152" s="2060"/>
      <c r="AJ152" s="2060"/>
      <c r="AK152" s="2060"/>
      <c r="AL152" s="2060"/>
      <c r="AM152" s="2060"/>
      <c r="AN152" s="2060"/>
      <c r="AO152" s="2060"/>
      <c r="AP152" s="2060"/>
      <c r="AQ152" s="2060"/>
      <c r="AR152" s="2060"/>
      <c r="AS152" s="2060"/>
      <c r="AT152" s="2060"/>
      <c r="AU152" s="2060"/>
      <c r="AV152" s="2060"/>
      <c r="AW152" s="2060"/>
      <c r="AX152" s="2060"/>
      <c r="AY152" s="2060"/>
      <c r="AZ152" s="2060"/>
      <c r="BA152" s="2060"/>
      <c r="BB152" s="2060"/>
      <c r="BC152" s="2060"/>
      <c r="BD152" s="2060"/>
      <c r="BE152" s="2060"/>
      <c r="BF152" s="2060"/>
      <c r="BG152" s="2060"/>
      <c r="BH152" s="2060"/>
      <c r="BI152" s="2060"/>
      <c r="BJ152" s="2060"/>
      <c r="BK152" s="2060"/>
      <c r="BL152" s="2060"/>
      <c r="BM152" s="2060"/>
      <c r="BN152" s="2060"/>
      <c r="BO152" s="2060"/>
      <c r="BP152" s="2060"/>
      <c r="BQ152" s="2060"/>
      <c r="BR152" s="2060"/>
      <c r="BS152" s="2060"/>
      <c r="BT152" s="2060"/>
      <c r="BU152" s="2060"/>
      <c r="BV152" s="2060"/>
      <c r="BW152" s="2060"/>
      <c r="BX152" s="2060"/>
      <c r="BY152" s="2060"/>
      <c r="BZ152" s="2060"/>
      <c r="CA152" s="2060"/>
      <c r="CB152" s="2060"/>
      <c r="CC152" s="2060"/>
      <c r="CD152" s="2060"/>
      <c r="CE152" s="2060"/>
      <c r="CF152" s="2060"/>
      <c r="CG152" s="2060"/>
      <c r="CH152" s="2060"/>
      <c r="CI152" s="2060"/>
      <c r="CJ152" s="2060"/>
      <c r="CK152" s="2060"/>
      <c r="CL152" s="2060"/>
      <c r="CM152" s="2060"/>
      <c r="CN152" s="2060"/>
      <c r="CO152" s="2060"/>
      <c r="CP152" s="2060"/>
      <c r="CQ152" s="2060"/>
      <c r="CR152" s="2060"/>
      <c r="CS152" s="2060"/>
      <c r="CT152" s="2060"/>
      <c r="CU152" s="2060"/>
      <c r="CV152" s="2060"/>
      <c r="CW152" s="2060"/>
      <c r="CX152" s="2060"/>
      <c r="CY152" s="2060"/>
      <c r="CZ152" s="2060"/>
      <c r="DA152" s="2060"/>
      <c r="DB152" s="2060"/>
      <c r="DC152" s="2060"/>
      <c r="DD152" s="2060"/>
      <c r="DE152" s="2060"/>
      <c r="DF152" s="2060"/>
      <c r="DG152" s="2060"/>
      <c r="DH152" s="2060"/>
      <c r="DI152" s="2060"/>
      <c r="DJ152" s="2060"/>
      <c r="DK152" s="2060"/>
      <c r="DL152" s="2060"/>
      <c r="DM152" s="2060"/>
      <c r="DN152" s="2060"/>
      <c r="DO152" s="2060"/>
      <c r="DP152" s="2060"/>
      <c r="DQ152" s="2060"/>
      <c r="DR152" s="2060"/>
      <c r="DS152" s="2060"/>
      <c r="DT152" s="2060"/>
      <c r="DU152" s="2060"/>
      <c r="DV152" s="2060"/>
      <c r="DW152" s="2060"/>
      <c r="DX152" s="2060"/>
      <c r="DY152" s="2060"/>
      <c r="DZ152" s="2060"/>
      <c r="EA152" s="2060"/>
      <c r="EB152" s="2060"/>
      <c r="EC152" s="2060"/>
      <c r="ED152" s="2060"/>
      <c r="EE152" s="2060"/>
      <c r="EF152" s="2060"/>
      <c r="EG152" s="2060"/>
      <c r="EH152" s="2060"/>
      <c r="EI152" s="2060"/>
      <c r="EJ152" s="2060"/>
      <c r="EK152" s="2060"/>
      <c r="EL152" s="2060"/>
      <c r="EM152" s="2060"/>
      <c r="EN152" s="2060"/>
      <c r="EO152" s="2060"/>
      <c r="EP152" s="2060"/>
      <c r="EQ152" s="2060"/>
      <c r="ER152" s="2060"/>
      <c r="ES152" s="2060"/>
      <c r="ET152" s="2060"/>
      <c r="EU152" s="2060"/>
      <c r="EV152" s="2060"/>
      <c r="EW152" s="2060"/>
      <c r="EX152" s="2060"/>
      <c r="EY152" s="2060"/>
      <c r="EZ152" s="2060"/>
      <c r="FA152" s="2060"/>
      <c r="FB152" s="2060"/>
      <c r="FC152" s="2060"/>
      <c r="FD152" s="2060"/>
      <c r="FE152" s="2060"/>
      <c r="FF152" s="2060"/>
      <c r="FG152" s="2060"/>
      <c r="FH152" s="2060"/>
      <c r="FI152" s="2060"/>
      <c r="FJ152" s="2060"/>
      <c r="FK152" s="2060"/>
      <c r="FL152" s="2060"/>
      <c r="FM152" s="2060"/>
      <c r="FN152" s="2060"/>
      <c r="FO152" s="2060"/>
      <c r="FP152" s="2060"/>
      <c r="FQ152" s="2060"/>
      <c r="FR152" s="2060"/>
      <c r="FS152" s="2060"/>
      <c r="FT152" s="2060"/>
      <c r="FU152" s="2060"/>
      <c r="FV152" s="2060"/>
      <c r="FW152" s="2060"/>
      <c r="FX152" s="2060"/>
      <c r="FY152" s="2060"/>
      <c r="FZ152" s="2060"/>
      <c r="GA152" s="2060"/>
      <c r="GB152" s="2060"/>
      <c r="GC152" s="2060"/>
    </row>
    <row r="153" spans="1:185" customFormat="1">
      <c r="A153" s="1632" t="str">
        <f t="shared" si="14"/>
        <v>n</v>
      </c>
      <c r="B153" s="1004"/>
      <c r="C153" s="1502"/>
      <c r="D153" s="2229"/>
      <c r="E153" s="623" t="str">
        <f>'DATA GPC'!E44</f>
        <v>--</v>
      </c>
      <c r="F153" s="128"/>
      <c r="G153" s="1504" t="str">
        <f>IF(E153="--","--",'DATA GPC'!G44)</f>
        <v>--</v>
      </c>
      <c r="H153" s="1350" t="str">
        <f>IF($G153="--","--",_xll.ciqfunctions.udf.CIQ($G153,"IQ_CUSTOM_BETA",_xll.ciqfunctions.udf.CIQ('DATA GPC'!$S44,"IQ_PRICEDATE",EDATE(Valuation_date,-B1Yrs*12)),Valuation_date,IF(B1Freq="Weekly","W","M"),'DATA GPC'!$S44))</f>
        <v>--</v>
      </c>
      <c r="I153" s="1350" t="str">
        <f>IF($G153="--","--",_xll.ciqfunctions.udf.CIQ($G153,"IQ_CUSTOM_BETA_RSQ",_xll.ciqfunctions.udf.CIQ('DATA GPC'!$S44,"IQ_PRICEDATE",EDATE(Valuation_date,-B1Yrs*12)),Valuation_date,IF(B1Freq="Weekly","W","M"),'DATA GPC'!$S44))</f>
        <v>--</v>
      </c>
      <c r="J153" s="2230" t="str">
        <f t="shared" si="15"/>
        <v>--</v>
      </c>
      <c r="K153" s="2230" t="str">
        <f t="shared" si="16"/>
        <v>--</v>
      </c>
      <c r="L153" s="1776" t="str">
        <f>IF(OR($G153="--",H153="#NA"),"--",_xll.ciqfunctions.udf.CIQ($G153,"IQ_CUSTOM_BETA_DATA_POINTS",_xll.ciqfunctions.udf.CIQ('DATA GPC'!$S44,"IQ_PRICEDATE",EDATE(Valuation_date,-B1Yrs*12)),Valuation_date,IF(B1Freq="Weekly","W","M"),'DATA GPC'!$S44))</f>
        <v>--</v>
      </c>
      <c r="M153" s="2231" t="str">
        <f>IF($G153="--","--",_xll.ciqfunctions.udf.CIQ($G153,"IQ_CUSTOM_BETA",_xll.ciqfunctions.udf.CIQ('DATA GPC'!$S44,"IQ_PRICEDATE",EDATE(Valuation_date,-B2Yrs*12)),Valuation_date,IF(B2Freq="Weekly","W","M"),'DATA GPC'!$S44))</f>
        <v>--</v>
      </c>
      <c r="N153" s="1350" t="str">
        <f>IF($G153="--","--",_xll.ciqfunctions.udf.CIQ($G153,"IQ_CUSTOM_BETA_RSQ",_xll.ciqfunctions.udf.CIQ('DATA GPC'!$S44,"IQ_PRICEDATE",EDATE(Valuation_date,-B2Yrs*12)),Valuation_date,IF(B2Freq="Weekly","W","M"),'DATA GPC'!$S44))</f>
        <v>--</v>
      </c>
      <c r="O153" s="2230" t="str">
        <f t="shared" si="17"/>
        <v>--</v>
      </c>
      <c r="P153" s="2230" t="str">
        <f t="shared" si="18"/>
        <v>--</v>
      </c>
      <c r="Q153" s="1776" t="str">
        <f>IF(OR($G153="--",M153="#NA"),"--",_xll.ciqfunctions.udf.CIQ($G153,"IQ_CUSTOM_BETA_DATA_POINTS",_xll.ciqfunctions.udf.CIQ('DATA GPC'!$S44,"IQ_PRICEDATE",EDATE(Valuation_date,-B2Yrs*12)),Valuation_date,IF(B2Freq="Weekly","W","M"),'DATA GPC'!$S44))</f>
        <v>--</v>
      </c>
      <c r="R153" s="2231" t="str">
        <f>IF($G153="--","--",_xll.ciqfunctions.udf.CIQ($G153,"IQ_CUSTOM_BETA",_xll.ciqfunctions.udf.CIQ('DATA GPC'!$S44,"IQ_PRICEDATE",EDATE(Valuation_date,-B3Yrs*12)),Valuation_date,IF(B3Freq="Weekly","W","M"),'DATA GPC'!$S44))</f>
        <v>--</v>
      </c>
      <c r="S153" s="1350" t="str">
        <f>IF($G153="--","--",_xll.ciqfunctions.udf.CIQ($G153,"IQ_CUSTOM_BETA_RSQ",_xll.ciqfunctions.udf.CIQ('DATA GPC'!$S44,"IQ_PRICEDATE",EDATE(Valuation_date,-B3Yrs*12)),Valuation_date,IF(B3Freq="Weekly","W","M"),'DATA GPC'!$S44))</f>
        <v>--</v>
      </c>
      <c r="T153" s="2230" t="str">
        <f t="shared" si="19"/>
        <v>--</v>
      </c>
      <c r="U153" s="2230" t="str">
        <f t="shared" si="20"/>
        <v>--</v>
      </c>
      <c r="V153" s="1776" t="str">
        <f>IF(OR($G153="--",R153="#NA"),"--",_xll.ciqfunctions.udf.CIQ($G153,"IQ_CUSTOM_BETA_DATA_POINTS",_xll.ciqfunctions.udf.CIQ('DATA GPC'!$S44,"IQ_PRICEDATE",EDATE(Valuation_date,-B3Yrs*12)),Valuation_date,IF(B3Freq="Weekly","W","M"),'DATA GPC'!$S44))</f>
        <v>--</v>
      </c>
      <c r="W153" s="2231" t="str">
        <f>IF($G153="--","--",_xll.ciqfunctions.udf.CIQ($G153,"IQ_CUSTOM_BETA",_xll.ciqfunctions.udf.CIQ('DATA GPC'!$S44,"IQ_PRICEDATE",EDATE(Valuation_date,-B4Yrs*12)),Valuation_date,IF(B4Freq="Weekly","W","M"),'DATA GPC'!$S44))</f>
        <v>--</v>
      </c>
      <c r="X153" s="1350" t="str">
        <f>IF($G153="--","--",_xll.ciqfunctions.udf.CIQ($G153,"IQ_CUSTOM_BETA_RSQ",_xll.ciqfunctions.udf.CIQ('DATA GPC'!$S44,"IQ_PRICEDATE",EDATE(Valuation_date,-B4Yrs*12)),Valuation_date,IF(B4Freq="Weekly","W","M"),'DATA GPC'!$S44))</f>
        <v>--</v>
      </c>
      <c r="Y153" s="2230" t="str">
        <f t="shared" si="21"/>
        <v>--</v>
      </c>
      <c r="Z153" s="2230" t="str">
        <f t="shared" si="22"/>
        <v>--</v>
      </c>
      <c r="AA153" s="1776" t="str">
        <f>IF(OR($G153="--",W153="#NA"),"--",_xll.ciqfunctions.udf.CIQ($G153,"IQ_CUSTOM_BETA_DATA_POINTS",_xll.ciqfunctions.udf.CIQ('DATA GPC'!$S44,"IQ_PRICEDATE",EDATE(Valuation_date,-B4Yrs*12)),Valuation_date,IF(B4Freq="Weekly","W","M"),'DATA GPC'!$S44))</f>
        <v>--</v>
      </c>
      <c r="AB153" s="2060"/>
      <c r="AC153" s="2060"/>
      <c r="AD153" s="1004"/>
      <c r="AE153" s="2060"/>
      <c r="AF153" s="2060"/>
      <c r="AG153" s="2060"/>
      <c r="AH153" s="2060"/>
      <c r="AI153" s="2060"/>
      <c r="AJ153" s="2060"/>
      <c r="AK153" s="2060"/>
      <c r="AL153" s="2060"/>
      <c r="AM153" s="2060"/>
      <c r="AN153" s="2060"/>
      <c r="AO153" s="2060"/>
      <c r="AP153" s="2060"/>
      <c r="AQ153" s="2060"/>
      <c r="AR153" s="2060"/>
      <c r="AS153" s="2060"/>
      <c r="AT153" s="2060"/>
      <c r="AU153" s="2060"/>
      <c r="AV153" s="2060"/>
      <c r="AW153" s="2060"/>
      <c r="AX153" s="2060"/>
      <c r="AY153" s="2060"/>
      <c r="AZ153" s="2060"/>
      <c r="BA153" s="2060"/>
      <c r="BB153" s="2060"/>
      <c r="BC153" s="2060"/>
      <c r="BD153" s="2060"/>
      <c r="BE153" s="2060"/>
      <c r="BF153" s="2060"/>
      <c r="BG153" s="2060"/>
      <c r="BH153" s="2060"/>
      <c r="BI153" s="2060"/>
      <c r="BJ153" s="2060"/>
      <c r="BK153" s="2060"/>
      <c r="BL153" s="2060"/>
      <c r="BM153" s="2060"/>
      <c r="BN153" s="2060"/>
      <c r="BO153" s="2060"/>
      <c r="BP153" s="2060"/>
      <c r="BQ153" s="2060"/>
      <c r="BR153" s="2060"/>
      <c r="BS153" s="2060"/>
      <c r="BT153" s="2060"/>
      <c r="BU153" s="2060"/>
      <c r="BV153" s="2060"/>
      <c r="BW153" s="2060"/>
      <c r="BX153" s="2060"/>
      <c r="BY153" s="2060"/>
      <c r="BZ153" s="2060"/>
      <c r="CA153" s="2060"/>
      <c r="CB153" s="2060"/>
      <c r="CC153" s="2060"/>
      <c r="CD153" s="2060"/>
      <c r="CE153" s="2060"/>
      <c r="CF153" s="2060"/>
      <c r="CG153" s="2060"/>
      <c r="CH153" s="2060"/>
      <c r="CI153" s="2060"/>
      <c r="CJ153" s="2060"/>
      <c r="CK153" s="2060"/>
      <c r="CL153" s="2060"/>
      <c r="CM153" s="2060"/>
      <c r="CN153" s="2060"/>
      <c r="CO153" s="2060"/>
      <c r="CP153" s="2060"/>
      <c r="CQ153" s="2060"/>
      <c r="CR153" s="2060"/>
      <c r="CS153" s="2060"/>
      <c r="CT153" s="2060"/>
      <c r="CU153" s="2060"/>
      <c r="CV153" s="2060"/>
      <c r="CW153" s="2060"/>
      <c r="CX153" s="2060"/>
      <c r="CY153" s="2060"/>
      <c r="CZ153" s="2060"/>
      <c r="DA153" s="2060"/>
      <c r="DB153" s="2060"/>
      <c r="DC153" s="2060"/>
      <c r="DD153" s="2060"/>
      <c r="DE153" s="2060"/>
      <c r="DF153" s="2060"/>
      <c r="DG153" s="2060"/>
      <c r="DH153" s="2060"/>
      <c r="DI153" s="2060"/>
      <c r="DJ153" s="2060"/>
      <c r="DK153" s="2060"/>
      <c r="DL153" s="2060"/>
      <c r="DM153" s="2060"/>
      <c r="DN153" s="2060"/>
      <c r="DO153" s="2060"/>
      <c r="DP153" s="2060"/>
      <c r="DQ153" s="2060"/>
      <c r="DR153" s="2060"/>
      <c r="DS153" s="2060"/>
      <c r="DT153" s="2060"/>
      <c r="DU153" s="2060"/>
      <c r="DV153" s="2060"/>
      <c r="DW153" s="2060"/>
      <c r="DX153" s="2060"/>
      <c r="DY153" s="2060"/>
      <c r="DZ153" s="2060"/>
      <c r="EA153" s="2060"/>
      <c r="EB153" s="2060"/>
      <c r="EC153" s="2060"/>
      <c r="ED153" s="2060"/>
      <c r="EE153" s="2060"/>
      <c r="EF153" s="2060"/>
      <c r="EG153" s="2060"/>
      <c r="EH153" s="2060"/>
      <c r="EI153" s="2060"/>
      <c r="EJ153" s="2060"/>
      <c r="EK153" s="2060"/>
      <c r="EL153" s="2060"/>
      <c r="EM153" s="2060"/>
      <c r="EN153" s="2060"/>
      <c r="EO153" s="2060"/>
      <c r="EP153" s="2060"/>
      <c r="EQ153" s="2060"/>
      <c r="ER153" s="2060"/>
      <c r="ES153" s="2060"/>
      <c r="ET153" s="2060"/>
      <c r="EU153" s="2060"/>
      <c r="EV153" s="2060"/>
      <c r="EW153" s="2060"/>
      <c r="EX153" s="2060"/>
      <c r="EY153" s="2060"/>
      <c r="EZ153" s="2060"/>
      <c r="FA153" s="2060"/>
      <c r="FB153" s="2060"/>
      <c r="FC153" s="2060"/>
      <c r="FD153" s="2060"/>
      <c r="FE153" s="2060"/>
      <c r="FF153" s="2060"/>
      <c r="FG153" s="2060"/>
      <c r="FH153" s="2060"/>
      <c r="FI153" s="2060"/>
      <c r="FJ153" s="2060"/>
      <c r="FK153" s="2060"/>
      <c r="FL153" s="2060"/>
      <c r="FM153" s="2060"/>
      <c r="FN153" s="2060"/>
      <c r="FO153" s="2060"/>
      <c r="FP153" s="2060"/>
      <c r="FQ153" s="2060"/>
      <c r="FR153" s="2060"/>
      <c r="FS153" s="2060"/>
      <c r="FT153" s="2060"/>
      <c r="FU153" s="2060"/>
      <c r="FV153" s="2060"/>
      <c r="FW153" s="2060"/>
      <c r="FX153" s="2060"/>
      <c r="FY153" s="2060"/>
      <c r="FZ153" s="2060"/>
      <c r="GA153" s="2060"/>
      <c r="GB153" s="2060"/>
      <c r="GC153" s="2060"/>
    </row>
    <row r="154" spans="1:185" s="1499" customFormat="1">
      <c r="A154" s="1632"/>
      <c r="B154" s="1004"/>
      <c r="C154" s="1502"/>
      <c r="D154" s="2060"/>
      <c r="E154" s="623"/>
      <c r="F154" s="128"/>
      <c r="G154" s="2060"/>
      <c r="H154" s="145"/>
      <c r="I154" s="2060"/>
      <c r="J154" s="2060"/>
      <c r="K154" s="2060"/>
      <c r="L154" s="2060"/>
      <c r="M154" s="2060"/>
      <c r="N154" s="2060"/>
      <c r="O154" s="2060"/>
      <c r="P154" s="2060"/>
      <c r="Q154" s="2060"/>
      <c r="R154" s="2060"/>
      <c r="S154" s="2060"/>
      <c r="T154" s="2060"/>
      <c r="U154" s="2060"/>
      <c r="V154" s="2060"/>
      <c r="W154" s="2060"/>
      <c r="X154" s="2060"/>
      <c r="Y154" s="2060"/>
      <c r="Z154" s="2060"/>
      <c r="AA154" s="2060"/>
      <c r="AB154" s="2060"/>
      <c r="AC154" s="2060"/>
      <c r="AD154" s="1004"/>
      <c r="AE154" s="2060"/>
      <c r="AF154" s="2060"/>
      <c r="AG154" s="2060"/>
      <c r="AH154" s="2060"/>
      <c r="AI154" s="2060"/>
      <c r="AJ154" s="2060"/>
      <c r="AK154" s="2060"/>
      <c r="AL154" s="2060"/>
      <c r="AM154" s="2060"/>
      <c r="AN154" s="2060"/>
      <c r="AO154" s="2060"/>
      <c r="AP154" s="2060"/>
      <c r="AQ154" s="2060"/>
      <c r="AR154" s="2060"/>
      <c r="AS154" s="2060"/>
      <c r="AT154" s="2060"/>
      <c r="AU154" s="2060"/>
      <c r="AV154" s="2060"/>
      <c r="AW154" s="2060"/>
      <c r="AX154" s="2060"/>
      <c r="AY154" s="2060"/>
      <c r="AZ154" s="2060"/>
      <c r="BA154" s="2060"/>
      <c r="BB154" s="2060"/>
      <c r="BC154" s="2060"/>
      <c r="BD154" s="2060"/>
      <c r="BE154" s="2060"/>
      <c r="BF154" s="2060"/>
      <c r="BG154" s="2060"/>
      <c r="BH154" s="2060"/>
      <c r="BI154" s="2060"/>
      <c r="BJ154" s="2060"/>
      <c r="BK154" s="2060"/>
      <c r="BL154" s="2060"/>
      <c r="BM154" s="2060"/>
      <c r="BN154" s="2060"/>
      <c r="BO154" s="2060"/>
      <c r="BP154" s="2060"/>
      <c r="BQ154" s="2060"/>
      <c r="BR154" s="2060"/>
      <c r="BS154" s="2060"/>
      <c r="BT154" s="2060"/>
      <c r="BU154" s="2060"/>
      <c r="BV154" s="2060"/>
      <c r="BW154" s="2060"/>
      <c r="BX154" s="2060"/>
      <c r="BY154" s="2060"/>
      <c r="BZ154" s="2060"/>
      <c r="CA154" s="2060"/>
      <c r="CB154" s="2060"/>
      <c r="CC154" s="2060"/>
      <c r="CD154" s="2060"/>
      <c r="CE154" s="2060"/>
      <c r="CF154" s="2060"/>
      <c r="CG154" s="2060"/>
      <c r="CH154" s="2060"/>
      <c r="CI154" s="2060"/>
      <c r="CJ154" s="2060"/>
      <c r="CK154" s="2060"/>
      <c r="CL154" s="2060"/>
      <c r="CM154" s="2060"/>
      <c r="CN154" s="2060"/>
      <c r="CO154" s="2060"/>
      <c r="CP154" s="2060"/>
      <c r="CQ154" s="2060"/>
      <c r="CR154" s="2060"/>
      <c r="CS154" s="2060"/>
      <c r="CT154" s="2060"/>
      <c r="CU154" s="2060"/>
      <c r="CV154" s="2060"/>
      <c r="CW154" s="2060"/>
      <c r="CX154" s="2060"/>
      <c r="CY154" s="2060"/>
      <c r="CZ154" s="2060"/>
      <c r="DA154" s="2060"/>
      <c r="DB154" s="2060"/>
      <c r="DC154" s="2060"/>
      <c r="DD154" s="2060"/>
      <c r="DE154" s="2060"/>
      <c r="DF154" s="2060"/>
      <c r="DG154" s="2060"/>
      <c r="DH154" s="2060"/>
      <c r="DI154" s="2060"/>
      <c r="DJ154" s="2060"/>
      <c r="DK154" s="2060"/>
      <c r="DL154" s="2060"/>
      <c r="DM154" s="2060"/>
      <c r="DN154" s="2060"/>
      <c r="DO154" s="2060"/>
      <c r="DP154" s="2060"/>
      <c r="DQ154" s="2060"/>
      <c r="DR154" s="2060"/>
      <c r="DS154" s="2060"/>
      <c r="DT154" s="2060"/>
      <c r="DU154" s="2060"/>
      <c r="DV154" s="2060"/>
      <c r="DW154" s="2060"/>
      <c r="DX154" s="2060"/>
      <c r="DY154" s="2060"/>
      <c r="DZ154" s="2060"/>
      <c r="EA154" s="2060"/>
      <c r="EB154" s="2060"/>
      <c r="EC154" s="2060"/>
      <c r="ED154" s="2060"/>
      <c r="EE154" s="2060"/>
      <c r="EF154" s="2060"/>
      <c r="EG154" s="2060"/>
      <c r="EH154" s="2060"/>
      <c r="EI154" s="2060"/>
      <c r="EJ154" s="2060"/>
      <c r="EK154" s="2060"/>
      <c r="EL154" s="2060"/>
      <c r="EM154" s="2060"/>
      <c r="EN154" s="2060"/>
      <c r="EO154" s="2060"/>
      <c r="EP154" s="2060"/>
      <c r="EQ154" s="2060"/>
      <c r="ER154" s="2060"/>
      <c r="ES154" s="2060"/>
      <c r="ET154" s="2060"/>
      <c r="EU154" s="2060"/>
      <c r="EV154" s="2060"/>
      <c r="EW154" s="2060"/>
      <c r="EX154" s="2060"/>
      <c r="EY154" s="2060"/>
      <c r="EZ154" s="2060"/>
      <c r="FA154" s="2060"/>
      <c r="FB154" s="2060"/>
      <c r="FC154" s="2060"/>
      <c r="FD154" s="2060"/>
      <c r="FE154" s="2060"/>
      <c r="FF154" s="2060"/>
      <c r="FG154" s="2060"/>
      <c r="FH154" s="2060"/>
      <c r="FI154" s="2060"/>
      <c r="FJ154" s="2060"/>
      <c r="FK154" s="2060"/>
      <c r="FL154" s="2060"/>
      <c r="FM154" s="2060"/>
      <c r="FN154" s="2060"/>
      <c r="FO154" s="2060"/>
      <c r="FP154" s="2060"/>
      <c r="FQ154" s="2060"/>
      <c r="FR154" s="2060"/>
      <c r="FS154" s="2060"/>
      <c r="FT154" s="2060"/>
      <c r="FU154" s="2060"/>
      <c r="FV154" s="2060"/>
      <c r="FW154" s="2060"/>
      <c r="FX154" s="2060"/>
      <c r="FY154" s="2060"/>
      <c r="FZ154" s="2060"/>
      <c r="GA154" s="2060"/>
      <c r="GB154" s="2060"/>
      <c r="GC154" s="2060"/>
    </row>
    <row r="155" spans="1:185" customFormat="1">
      <c r="A155" s="1004"/>
      <c r="B155" s="1004"/>
      <c r="C155" s="1502"/>
      <c r="D155" s="2060"/>
      <c r="E155" s="614"/>
      <c r="F155" s="128"/>
      <c r="G155" s="1570" t="s">
        <v>1157</v>
      </c>
      <c r="H155" s="145" t="str">
        <f>IFERROR(AVERAGEIF(H129:H153,"&lt;&gt;0"),"n/a")</f>
        <v>n/a</v>
      </c>
      <c r="I155" s="145" t="str">
        <f>IFERROR(AVERAGEIF(I129:I153,"&lt;&gt;0"),"n/a")</f>
        <v>n/a</v>
      </c>
      <c r="J155" s="145" t="str">
        <f>IFERROR(AVERAGEIF(J129:J153,"&lt;&gt;0"),"n/a")</f>
        <v>n/a</v>
      </c>
      <c r="K155" s="145" t="str">
        <f>IFERROR(AVERAGEIF(K129:K153,"&lt;&gt;0"),"n/a")</f>
        <v>n/a</v>
      </c>
      <c r="L155" s="131"/>
      <c r="M155" s="145" t="str">
        <f>IFERROR(AVERAGEIF(M129:M153,"&lt;&gt;0"),"n/a")</f>
        <v>n/a</v>
      </c>
      <c r="N155" s="145" t="str">
        <f>IFERROR(AVERAGEIF(N129:N153,"&lt;&gt;0"),"n/a")</f>
        <v>n/a</v>
      </c>
      <c r="O155" s="145" t="str">
        <f>IFERROR(AVERAGEIF(O129:O153,"&lt;&gt;0"),"n/a")</f>
        <v>n/a</v>
      </c>
      <c r="P155" s="145" t="str">
        <f>IFERROR(AVERAGEIF(P129:P153,"&lt;&gt;0"),"n/a")</f>
        <v>n/a</v>
      </c>
      <c r="Q155" s="131"/>
      <c r="R155" s="145" t="str">
        <f>IFERROR(AVERAGEIF(R129:R153,"&lt;&gt;0"),"n/a")</f>
        <v>n/a</v>
      </c>
      <c r="S155" s="145" t="str">
        <f>IFERROR(AVERAGEIF(S129:S153,"&lt;&gt;0"),"n/a")</f>
        <v>n/a</v>
      </c>
      <c r="T155" s="145" t="str">
        <f>IFERROR(AVERAGEIF(T129:T153,"&lt;&gt;0"),"n/a")</f>
        <v>n/a</v>
      </c>
      <c r="U155" s="145" t="str">
        <f>IFERROR(AVERAGEIF(U129:U153,"&lt;&gt;0"),"n/a")</f>
        <v>n/a</v>
      </c>
      <c r="V155" s="128"/>
      <c r="W155" s="145" t="str">
        <f>IFERROR(AVERAGEIF(W129:W153,"&lt;&gt;0"),"n/a")</f>
        <v>n/a</v>
      </c>
      <c r="X155" s="145" t="str">
        <f>IFERROR(AVERAGEIF(X129:X153,"&lt;&gt;0"),"n/a")</f>
        <v>n/a</v>
      </c>
      <c r="Y155" s="145" t="str">
        <f>IFERROR(AVERAGEIF(Y129:Y153,"&lt;&gt;0"),"n/a")</f>
        <v>n/a</v>
      </c>
      <c r="Z155" s="145" t="str">
        <f>IFERROR(AVERAGEIF(Z129:Z153,"&lt;&gt;0"),"n/a")</f>
        <v>n/a</v>
      </c>
      <c r="AA155" s="128"/>
      <c r="AB155" s="2060"/>
      <c r="AC155" s="2060"/>
      <c r="AD155" s="1004"/>
      <c r="AE155" s="2060"/>
      <c r="AF155" s="2060"/>
      <c r="AG155" s="2060"/>
      <c r="AH155" s="2060"/>
      <c r="AI155" s="2060"/>
      <c r="AJ155" s="2060"/>
      <c r="AK155" s="2060"/>
      <c r="AL155" s="2060"/>
      <c r="AM155" s="2060"/>
      <c r="AN155" s="2060"/>
      <c r="AO155" s="2060"/>
      <c r="AP155" s="2060"/>
      <c r="AQ155" s="2060"/>
      <c r="AR155" s="2060"/>
      <c r="AS155" s="2060"/>
      <c r="AT155" s="2060"/>
      <c r="AU155" s="2060"/>
      <c r="AV155" s="2060"/>
      <c r="AW155" s="2060"/>
      <c r="AX155" s="2060"/>
      <c r="AY155" s="2060"/>
      <c r="AZ155" s="2060"/>
      <c r="BA155" s="2060"/>
      <c r="BB155" s="2060"/>
      <c r="BC155" s="2060"/>
      <c r="BD155" s="2060"/>
      <c r="BE155" s="2060"/>
      <c r="BF155" s="2060"/>
      <c r="BG155" s="2060"/>
      <c r="BH155" s="2060"/>
      <c r="BI155" s="2060"/>
      <c r="BJ155" s="2060"/>
      <c r="BK155" s="2060"/>
      <c r="BL155" s="2060"/>
      <c r="BM155" s="2060"/>
      <c r="BN155" s="2060"/>
      <c r="BO155" s="2060"/>
      <c r="BP155" s="2060"/>
      <c r="BQ155" s="2060"/>
      <c r="BR155" s="2060"/>
      <c r="BS155" s="2060"/>
      <c r="BT155" s="2060"/>
      <c r="BU155" s="2060"/>
      <c r="BV155" s="2060"/>
      <c r="BW155" s="2060"/>
      <c r="BX155" s="2060"/>
      <c r="BY155" s="2060"/>
      <c r="BZ155" s="2060"/>
      <c r="CA155" s="2060"/>
      <c r="CB155" s="2060"/>
      <c r="CC155" s="2060"/>
      <c r="CD155" s="2060"/>
      <c r="CE155" s="2060"/>
      <c r="CF155" s="2060"/>
      <c r="CG155" s="2060"/>
      <c r="CH155" s="2060"/>
      <c r="CI155" s="2060"/>
      <c r="CJ155" s="2060"/>
      <c r="CK155" s="2060"/>
      <c r="CL155" s="2060"/>
      <c r="CM155" s="2060"/>
      <c r="CN155" s="2060"/>
      <c r="CO155" s="2060"/>
      <c r="CP155" s="2060"/>
      <c r="CQ155" s="2060"/>
      <c r="CR155" s="2060"/>
      <c r="CS155" s="2060"/>
      <c r="CT155" s="2060"/>
      <c r="CU155" s="2060"/>
      <c r="CV155" s="2060"/>
      <c r="CW155" s="2060"/>
      <c r="CX155" s="2060"/>
      <c r="CY155" s="2060"/>
      <c r="CZ155" s="2060"/>
      <c r="DA155" s="2060"/>
      <c r="DB155" s="2060"/>
      <c r="DC155" s="2060"/>
      <c r="DD155" s="2060"/>
      <c r="DE155" s="2060"/>
      <c r="DF155" s="2060"/>
      <c r="DG155" s="2060"/>
      <c r="DH155" s="2060"/>
      <c r="DI155" s="2060"/>
      <c r="DJ155" s="2060"/>
      <c r="DK155" s="2060"/>
      <c r="DL155" s="2060"/>
      <c r="DM155" s="2060"/>
      <c r="DN155" s="2060"/>
      <c r="DO155" s="2060"/>
      <c r="DP155" s="2060"/>
      <c r="DQ155" s="2060"/>
      <c r="DR155" s="2060"/>
      <c r="DS155" s="2060"/>
      <c r="DT155" s="2060"/>
      <c r="DU155" s="2060"/>
      <c r="DV155" s="2060"/>
      <c r="DW155" s="2060"/>
      <c r="DX155" s="2060"/>
      <c r="DY155" s="2060"/>
      <c r="DZ155" s="2060"/>
      <c r="EA155" s="2060"/>
      <c r="EB155" s="2060"/>
      <c r="EC155" s="2060"/>
      <c r="ED155" s="2060"/>
      <c r="EE155" s="2060"/>
      <c r="EF155" s="2060"/>
      <c r="EG155" s="2060"/>
      <c r="EH155" s="2060"/>
      <c r="EI155" s="2060"/>
      <c r="EJ155" s="2060"/>
      <c r="EK155" s="2060"/>
      <c r="EL155" s="2060"/>
      <c r="EM155" s="2060"/>
      <c r="EN155" s="2060"/>
      <c r="EO155" s="2060"/>
      <c r="EP155" s="2060"/>
      <c r="EQ155" s="2060"/>
      <c r="ER155" s="2060"/>
      <c r="ES155" s="2060"/>
      <c r="ET155" s="2060"/>
      <c r="EU155" s="2060"/>
      <c r="EV155" s="2060"/>
      <c r="EW155" s="2060"/>
      <c r="EX155" s="2060"/>
      <c r="EY155" s="2060"/>
      <c r="EZ155" s="2060"/>
      <c r="FA155" s="2060"/>
      <c r="FB155" s="2060"/>
      <c r="FC155" s="2060"/>
      <c r="FD155" s="2060"/>
      <c r="FE155" s="2060"/>
      <c r="FF155" s="2060"/>
      <c r="FG155" s="2060"/>
      <c r="FH155" s="2060"/>
      <c r="FI155" s="2060"/>
      <c r="FJ155" s="2060"/>
      <c r="FK155" s="2060"/>
      <c r="FL155" s="2060"/>
      <c r="FM155" s="2060"/>
      <c r="FN155" s="2060"/>
      <c r="FO155" s="2060"/>
      <c r="FP155" s="2060"/>
      <c r="FQ155" s="2060"/>
      <c r="FR155" s="2060"/>
      <c r="FS155" s="2060"/>
      <c r="FT155" s="2060"/>
      <c r="FU155" s="2060"/>
      <c r="FV155" s="2060"/>
      <c r="FW155" s="2060"/>
      <c r="FX155" s="2060"/>
      <c r="FY155" s="2060"/>
      <c r="FZ155" s="2060"/>
      <c r="GA155" s="2060"/>
      <c r="GB155" s="2060"/>
      <c r="GC155" s="2060"/>
    </row>
    <row r="156" spans="1:185" customFormat="1">
      <c r="A156" s="1004"/>
      <c r="B156" s="1004"/>
      <c r="C156" s="1502"/>
      <c r="D156" s="2060"/>
      <c r="E156" s="614"/>
      <c r="F156" s="128"/>
      <c r="G156" s="1570" t="s">
        <v>1158</v>
      </c>
      <c r="H156" s="145" t="str">
        <f t="array" ref="H156">IFERROR(MEDIAN(IF(H129:H153&lt;&gt;0,H129:H153,"")),"n/a")</f>
        <v>n/a</v>
      </c>
      <c r="I156" s="145" t="str">
        <f t="array" ref="I156">IFERROR(MEDIAN(IF(I129:I153&lt;&gt;0,I129:I153,"")),"n/a")</f>
        <v>n/a</v>
      </c>
      <c r="J156" s="145" t="str">
        <f t="array" ref="J156">IFERROR(MEDIAN(IF(J129:J153&lt;&gt;0,J129:J153,"")),"n/a")</f>
        <v>n/a</v>
      </c>
      <c r="K156" s="145" t="str">
        <f t="array" ref="K156">IFERROR(MEDIAN(IF(K129:K153&lt;&gt;0,K129:K153,"")),"n/a")</f>
        <v>n/a</v>
      </c>
      <c r="L156" s="131"/>
      <c r="M156" s="145" t="str">
        <f t="array" ref="M156">IFERROR(MEDIAN(IF(M129:M153&lt;&gt;0,M129:M153,"")),"n/a")</f>
        <v>n/a</v>
      </c>
      <c r="N156" s="145" t="str">
        <f t="array" ref="N156">IFERROR(MEDIAN(IF(N129:N153&lt;&gt;0,N129:N153,"")),"n/a")</f>
        <v>n/a</v>
      </c>
      <c r="O156" s="145" t="str">
        <f t="array" ref="O156">IFERROR(MEDIAN(IF(O129:O153&lt;&gt;0,O129:O153,"")),"n/a")</f>
        <v>n/a</v>
      </c>
      <c r="P156" s="145" t="str">
        <f t="array" ref="P156">IFERROR(MEDIAN(IF(P129:P153&lt;&gt;0,P129:P153,"")),"n/a")</f>
        <v>n/a</v>
      </c>
      <c r="Q156" s="131"/>
      <c r="R156" s="145" t="str">
        <f t="array" ref="R156">IFERROR(MEDIAN(IF(R129:R153&lt;&gt;0,R129:R153,"")),"n/a")</f>
        <v>n/a</v>
      </c>
      <c r="S156" s="145" t="str">
        <f t="array" ref="S156">IFERROR(MEDIAN(IF(S129:S153&lt;&gt;0,S129:S153,"")),"n/a")</f>
        <v>n/a</v>
      </c>
      <c r="T156" s="145" t="str">
        <f t="array" ref="T156">IFERROR(MEDIAN(IF(T129:T153&lt;&gt;0,T129:T153,"")),"n/a")</f>
        <v>n/a</v>
      </c>
      <c r="U156" s="145" t="str">
        <f t="array" ref="U156">IFERROR(MEDIAN(IF(U129:U153&lt;&gt;0,U129:U153,"")),"n/a")</f>
        <v>n/a</v>
      </c>
      <c r="V156" s="128"/>
      <c r="W156" s="145" t="str">
        <f t="array" ref="W156">IFERROR(MEDIAN(IF(W129:W153&lt;&gt;0,W129:W153,"")),"n/a")</f>
        <v>n/a</v>
      </c>
      <c r="X156" s="145" t="str">
        <f t="array" ref="X156">IFERROR(MEDIAN(IF(X129:X153&lt;&gt;0,X129:X153,"")),"n/a")</f>
        <v>n/a</v>
      </c>
      <c r="Y156" s="145" t="str">
        <f t="array" ref="Y156">IFERROR(MEDIAN(IF(Y129:Y153&lt;&gt;0,Y129:Y153,"")),"n/a")</f>
        <v>n/a</v>
      </c>
      <c r="Z156" s="145" t="str">
        <f t="array" ref="Z156">IFERROR(MEDIAN(IF(Z129:Z153&lt;&gt;0,Z129:Z153,"")),"n/a")</f>
        <v>n/a</v>
      </c>
      <c r="AA156" s="128"/>
      <c r="AB156" s="2060"/>
      <c r="AC156" s="2060"/>
      <c r="AD156" s="1004"/>
      <c r="AE156" s="2060"/>
      <c r="AF156" s="2060"/>
      <c r="AG156" s="2060"/>
      <c r="AH156" s="2060"/>
      <c r="AI156" s="2060"/>
      <c r="AJ156" s="2060"/>
      <c r="AK156" s="2060"/>
      <c r="AL156" s="2060"/>
      <c r="AM156" s="2060"/>
      <c r="AN156" s="2060"/>
      <c r="AO156" s="2060"/>
      <c r="AP156" s="2060"/>
      <c r="AQ156" s="2060"/>
      <c r="AR156" s="2060"/>
      <c r="AS156" s="2060"/>
      <c r="AT156" s="2060"/>
      <c r="AU156" s="2060"/>
      <c r="AV156" s="2060"/>
      <c r="AW156" s="2060"/>
      <c r="AX156" s="2060"/>
      <c r="AY156" s="2060"/>
      <c r="AZ156" s="2060"/>
      <c r="BA156" s="2060"/>
      <c r="BB156" s="2060"/>
      <c r="BC156" s="2060"/>
      <c r="BD156" s="2060"/>
      <c r="BE156" s="2060"/>
      <c r="BF156" s="2060"/>
      <c r="BG156" s="2060"/>
      <c r="BH156" s="2060"/>
      <c r="BI156" s="2060"/>
      <c r="BJ156" s="2060"/>
      <c r="BK156" s="2060"/>
      <c r="BL156" s="2060"/>
      <c r="BM156" s="2060"/>
      <c r="BN156" s="2060"/>
      <c r="BO156" s="2060"/>
      <c r="BP156" s="2060"/>
      <c r="BQ156" s="2060"/>
      <c r="BR156" s="2060"/>
      <c r="BS156" s="2060"/>
      <c r="BT156" s="2060"/>
      <c r="BU156" s="2060"/>
      <c r="BV156" s="2060"/>
      <c r="BW156" s="2060"/>
      <c r="BX156" s="2060"/>
      <c r="BY156" s="2060"/>
      <c r="BZ156" s="2060"/>
      <c r="CA156" s="2060"/>
      <c r="CB156" s="2060"/>
      <c r="CC156" s="2060"/>
      <c r="CD156" s="2060"/>
      <c r="CE156" s="2060"/>
      <c r="CF156" s="2060"/>
      <c r="CG156" s="2060"/>
      <c r="CH156" s="2060"/>
      <c r="CI156" s="2060"/>
      <c r="CJ156" s="2060"/>
      <c r="CK156" s="2060"/>
      <c r="CL156" s="2060"/>
      <c r="CM156" s="2060"/>
      <c r="CN156" s="2060"/>
      <c r="CO156" s="2060"/>
      <c r="CP156" s="2060"/>
      <c r="CQ156" s="2060"/>
      <c r="CR156" s="2060"/>
      <c r="CS156" s="2060"/>
      <c r="CT156" s="2060"/>
      <c r="CU156" s="2060"/>
      <c r="CV156" s="2060"/>
      <c r="CW156" s="2060"/>
      <c r="CX156" s="2060"/>
      <c r="CY156" s="2060"/>
      <c r="CZ156" s="2060"/>
      <c r="DA156" s="2060"/>
      <c r="DB156" s="2060"/>
      <c r="DC156" s="2060"/>
      <c r="DD156" s="2060"/>
      <c r="DE156" s="2060"/>
      <c r="DF156" s="2060"/>
      <c r="DG156" s="2060"/>
      <c r="DH156" s="2060"/>
      <c r="DI156" s="2060"/>
      <c r="DJ156" s="2060"/>
      <c r="DK156" s="2060"/>
      <c r="DL156" s="2060"/>
      <c r="DM156" s="2060"/>
      <c r="DN156" s="2060"/>
      <c r="DO156" s="2060"/>
      <c r="DP156" s="2060"/>
      <c r="DQ156" s="2060"/>
      <c r="DR156" s="2060"/>
      <c r="DS156" s="2060"/>
      <c r="DT156" s="2060"/>
      <c r="DU156" s="2060"/>
      <c r="DV156" s="2060"/>
      <c r="DW156" s="2060"/>
      <c r="DX156" s="2060"/>
      <c r="DY156" s="2060"/>
      <c r="DZ156" s="2060"/>
      <c r="EA156" s="2060"/>
      <c r="EB156" s="2060"/>
      <c r="EC156" s="2060"/>
      <c r="ED156" s="2060"/>
      <c r="EE156" s="2060"/>
      <c r="EF156" s="2060"/>
      <c r="EG156" s="2060"/>
      <c r="EH156" s="2060"/>
      <c r="EI156" s="2060"/>
      <c r="EJ156" s="2060"/>
      <c r="EK156" s="2060"/>
      <c r="EL156" s="2060"/>
      <c r="EM156" s="2060"/>
      <c r="EN156" s="2060"/>
      <c r="EO156" s="2060"/>
      <c r="EP156" s="2060"/>
      <c r="EQ156" s="2060"/>
      <c r="ER156" s="2060"/>
      <c r="ES156" s="2060"/>
      <c r="ET156" s="2060"/>
      <c r="EU156" s="2060"/>
      <c r="EV156" s="2060"/>
      <c r="EW156" s="2060"/>
      <c r="EX156" s="2060"/>
      <c r="EY156" s="2060"/>
      <c r="EZ156" s="2060"/>
      <c r="FA156" s="2060"/>
      <c r="FB156" s="2060"/>
      <c r="FC156" s="2060"/>
      <c r="FD156" s="2060"/>
      <c r="FE156" s="2060"/>
      <c r="FF156" s="2060"/>
      <c r="FG156" s="2060"/>
      <c r="FH156" s="2060"/>
      <c r="FI156" s="2060"/>
      <c r="FJ156" s="2060"/>
      <c r="FK156" s="2060"/>
      <c r="FL156" s="2060"/>
      <c r="FM156" s="2060"/>
      <c r="FN156" s="2060"/>
      <c r="FO156" s="2060"/>
      <c r="FP156" s="2060"/>
      <c r="FQ156" s="2060"/>
      <c r="FR156" s="2060"/>
      <c r="FS156" s="2060"/>
      <c r="FT156" s="2060"/>
      <c r="FU156" s="2060"/>
      <c r="FV156" s="2060"/>
      <c r="FW156" s="2060"/>
      <c r="FX156" s="2060"/>
      <c r="FY156" s="2060"/>
      <c r="FZ156" s="2060"/>
      <c r="GA156" s="2060"/>
      <c r="GB156" s="2060"/>
      <c r="GC156" s="2060"/>
    </row>
    <row r="157" spans="1:185" customFormat="1">
      <c r="A157" s="1004"/>
      <c r="B157" s="1004"/>
      <c r="C157" s="1502"/>
      <c r="D157" s="2060"/>
      <c r="E157" s="614" t="s">
        <v>1191</v>
      </c>
      <c r="F157" s="219">
        <f>COUNT(H129:H153)</f>
        <v>0</v>
      </c>
      <c r="G157" s="131" t="s">
        <v>1192</v>
      </c>
      <c r="H157" s="1795" t="str">
        <f>IFERROR(STDEV(H129:H153)/SQRT($F$157),"n/a")</f>
        <v>n/a</v>
      </c>
      <c r="I157" s="53"/>
      <c r="J157" s="2060"/>
      <c r="K157" s="2060"/>
      <c r="L157" s="131"/>
      <c r="M157" s="1795" t="str">
        <f>IFERROR(STDEV(M129:M153)/SQRT($F$157),"n/a")</f>
        <v>n/a</v>
      </c>
      <c r="N157" s="53"/>
      <c r="O157" s="2060"/>
      <c r="P157" s="2060"/>
      <c r="Q157" s="131"/>
      <c r="R157" s="1795" t="str">
        <f>IFERROR(STDEV(R129:R153)/SQRT($F$157),"n/a")</f>
        <v>n/a</v>
      </c>
      <c r="S157" s="53"/>
      <c r="T157" s="2060"/>
      <c r="U157" s="2060"/>
      <c r="V157" s="131"/>
      <c r="W157" s="1795" t="str">
        <f>IFERROR(STDEV(W129:W153)/SQRT($F$157),"n/a")</f>
        <v>n/a</v>
      </c>
      <c r="X157" s="53"/>
      <c r="Y157" s="2060"/>
      <c r="Z157" s="2060"/>
      <c r="AA157" s="131"/>
      <c r="AB157" s="2060"/>
      <c r="AC157" s="2060"/>
      <c r="AD157" s="1004"/>
      <c r="AE157" s="2060"/>
      <c r="AF157" s="2060"/>
      <c r="AG157" s="2060"/>
      <c r="AH157" s="2060"/>
      <c r="AI157" s="2060"/>
      <c r="AJ157" s="2060"/>
      <c r="AK157" s="2060"/>
      <c r="AL157" s="2060"/>
      <c r="AM157" s="2060"/>
      <c r="AN157" s="2060"/>
      <c r="AO157" s="2060"/>
      <c r="AP157" s="2060"/>
      <c r="AQ157" s="2060"/>
      <c r="AR157" s="2060"/>
      <c r="AS157" s="2060"/>
      <c r="AT157" s="2060"/>
      <c r="AU157" s="2060"/>
      <c r="AV157" s="2060"/>
      <c r="AW157" s="2060"/>
      <c r="AX157" s="2060"/>
      <c r="AY157" s="2060"/>
      <c r="AZ157" s="2060"/>
      <c r="BA157" s="2060"/>
      <c r="BB157" s="2060"/>
      <c r="BC157" s="2060"/>
      <c r="BD157" s="2060"/>
      <c r="BE157" s="2060"/>
      <c r="BF157" s="2060"/>
      <c r="BG157" s="2060"/>
      <c r="BH157" s="2060"/>
      <c r="BI157" s="2060"/>
      <c r="BJ157" s="2060"/>
      <c r="BK157" s="2060"/>
      <c r="BL157" s="2060"/>
      <c r="BM157" s="2060"/>
      <c r="BN157" s="2060"/>
      <c r="BO157" s="2060"/>
      <c r="BP157" s="2060"/>
      <c r="BQ157" s="2060"/>
      <c r="BR157" s="2060"/>
      <c r="BS157" s="2060"/>
      <c r="BT157" s="2060"/>
      <c r="BU157" s="2060"/>
      <c r="BV157" s="2060"/>
      <c r="BW157" s="2060"/>
      <c r="BX157" s="2060"/>
      <c r="BY157" s="2060"/>
      <c r="BZ157" s="2060"/>
      <c r="CA157" s="2060"/>
      <c r="CB157" s="2060"/>
      <c r="CC157" s="2060"/>
      <c r="CD157" s="2060"/>
      <c r="CE157" s="2060"/>
      <c r="CF157" s="2060"/>
      <c r="CG157" s="2060"/>
      <c r="CH157" s="2060"/>
      <c r="CI157" s="2060"/>
      <c r="CJ157" s="2060"/>
      <c r="CK157" s="2060"/>
      <c r="CL157" s="2060"/>
      <c r="CM157" s="2060"/>
      <c r="CN157" s="2060"/>
      <c r="CO157" s="2060"/>
      <c r="CP157" s="2060"/>
      <c r="CQ157" s="2060"/>
      <c r="CR157" s="2060"/>
      <c r="CS157" s="2060"/>
      <c r="CT157" s="2060"/>
      <c r="CU157" s="2060"/>
      <c r="CV157" s="2060"/>
      <c r="CW157" s="2060"/>
      <c r="CX157" s="2060"/>
      <c r="CY157" s="2060"/>
      <c r="CZ157" s="2060"/>
      <c r="DA157" s="2060"/>
      <c r="DB157" s="2060"/>
      <c r="DC157" s="2060"/>
      <c r="DD157" s="2060"/>
      <c r="DE157" s="2060"/>
      <c r="DF157" s="2060"/>
      <c r="DG157" s="2060"/>
      <c r="DH157" s="2060"/>
      <c r="DI157" s="2060"/>
      <c r="DJ157" s="2060"/>
      <c r="DK157" s="2060"/>
      <c r="DL157" s="2060"/>
      <c r="DM157" s="2060"/>
      <c r="DN157" s="2060"/>
      <c r="DO157" s="2060"/>
      <c r="DP157" s="2060"/>
      <c r="DQ157" s="2060"/>
      <c r="DR157" s="2060"/>
      <c r="DS157" s="2060"/>
      <c r="DT157" s="2060"/>
      <c r="DU157" s="2060"/>
      <c r="DV157" s="2060"/>
      <c r="DW157" s="2060"/>
      <c r="DX157" s="2060"/>
      <c r="DY157" s="2060"/>
      <c r="DZ157" s="2060"/>
      <c r="EA157" s="2060"/>
      <c r="EB157" s="2060"/>
      <c r="EC157" s="2060"/>
      <c r="ED157" s="2060"/>
      <c r="EE157" s="2060"/>
      <c r="EF157" s="2060"/>
      <c r="EG157" s="2060"/>
      <c r="EH157" s="2060"/>
      <c r="EI157" s="2060"/>
      <c r="EJ157" s="2060"/>
      <c r="EK157" s="2060"/>
      <c r="EL157" s="2060"/>
      <c r="EM157" s="2060"/>
      <c r="EN157" s="2060"/>
      <c r="EO157" s="2060"/>
      <c r="EP157" s="2060"/>
      <c r="EQ157" s="2060"/>
      <c r="ER157" s="2060"/>
      <c r="ES157" s="2060"/>
      <c r="ET157" s="2060"/>
      <c r="EU157" s="2060"/>
      <c r="EV157" s="2060"/>
      <c r="EW157" s="2060"/>
      <c r="EX157" s="2060"/>
      <c r="EY157" s="2060"/>
      <c r="EZ157" s="2060"/>
      <c r="FA157" s="2060"/>
      <c r="FB157" s="2060"/>
      <c r="FC157" s="2060"/>
      <c r="FD157" s="2060"/>
      <c r="FE157" s="2060"/>
      <c r="FF157" s="2060"/>
      <c r="FG157" s="2060"/>
      <c r="FH157" s="2060"/>
      <c r="FI157" s="2060"/>
      <c r="FJ157" s="2060"/>
      <c r="FK157" s="2060"/>
      <c r="FL157" s="2060"/>
      <c r="FM157" s="2060"/>
      <c r="FN157" s="2060"/>
      <c r="FO157" s="2060"/>
      <c r="FP157" s="2060"/>
      <c r="FQ157" s="2060"/>
      <c r="FR157" s="2060"/>
      <c r="FS157" s="2060"/>
      <c r="FT157" s="2060"/>
      <c r="FU157" s="2060"/>
      <c r="FV157" s="2060"/>
      <c r="FW157" s="2060"/>
      <c r="FX157" s="2060"/>
      <c r="FY157" s="2060"/>
      <c r="FZ157" s="2060"/>
      <c r="GA157" s="2060"/>
      <c r="GB157" s="2060"/>
      <c r="GC157" s="2060"/>
    </row>
    <row r="158" spans="1:185" customFormat="1" ht="12.75" customHeight="1">
      <c r="A158" s="1004"/>
      <c r="B158" s="1004"/>
      <c r="C158" s="1502"/>
      <c r="D158" s="2060"/>
      <c r="E158" s="1578"/>
      <c r="F158" s="2060"/>
      <c r="G158" s="2060"/>
      <c r="H158" s="145"/>
      <c r="I158" s="2060"/>
      <c r="J158" s="2060"/>
      <c r="K158" s="2060"/>
      <c r="L158" s="2060"/>
      <c r="M158" s="2060"/>
      <c r="N158" s="2060"/>
      <c r="O158" s="2060"/>
      <c r="P158" s="2060"/>
      <c r="Q158" s="2060"/>
      <c r="R158" s="2060"/>
      <c r="S158" s="2060"/>
      <c r="T158" s="2060"/>
      <c r="U158" s="2060"/>
      <c r="V158" s="2060"/>
      <c r="W158" s="2060"/>
      <c r="X158" s="2060"/>
      <c r="Y158" s="2060"/>
      <c r="Z158" s="2060"/>
      <c r="AA158" s="2060"/>
      <c r="AB158" s="2060"/>
      <c r="AC158" s="2060"/>
      <c r="AD158" s="1004"/>
      <c r="AE158" s="2060"/>
      <c r="AF158" s="2060"/>
      <c r="AG158" s="2060"/>
      <c r="AH158" s="2060"/>
      <c r="AI158" s="2060"/>
      <c r="AJ158" s="2060"/>
      <c r="AK158" s="2060"/>
      <c r="AL158" s="2060"/>
      <c r="AM158" s="2060"/>
      <c r="AN158" s="2060"/>
      <c r="AO158" s="2060"/>
      <c r="AP158" s="2060"/>
      <c r="AQ158" s="2060"/>
      <c r="AR158" s="2060"/>
      <c r="AS158" s="2060"/>
      <c r="AT158" s="2060"/>
      <c r="AU158" s="2060"/>
      <c r="AV158" s="2060"/>
      <c r="AW158" s="2060"/>
      <c r="AX158" s="2060"/>
      <c r="AY158" s="2060"/>
      <c r="AZ158" s="2060"/>
      <c r="BA158" s="2060"/>
      <c r="BB158" s="2060"/>
      <c r="BC158" s="2060"/>
      <c r="BD158" s="2060"/>
      <c r="BE158" s="2060"/>
      <c r="BF158" s="2060"/>
      <c r="BG158" s="2060"/>
      <c r="BH158" s="2060"/>
      <c r="BI158" s="2060"/>
      <c r="BJ158" s="2060"/>
      <c r="BK158" s="2060"/>
      <c r="BL158" s="2060"/>
      <c r="BM158" s="2060"/>
      <c r="BN158" s="2060"/>
      <c r="BO158" s="2060"/>
      <c r="BP158" s="2060"/>
      <c r="BQ158" s="2060"/>
      <c r="BR158" s="2060"/>
      <c r="BS158" s="2060"/>
      <c r="BT158" s="2060"/>
      <c r="BU158" s="2060"/>
      <c r="BV158" s="2060"/>
      <c r="BW158" s="2060"/>
      <c r="BX158" s="2060"/>
      <c r="BY158" s="2060"/>
      <c r="BZ158" s="2060"/>
      <c r="CA158" s="2060"/>
      <c r="CB158" s="2060"/>
      <c r="CC158" s="2060"/>
      <c r="CD158" s="2060"/>
      <c r="CE158" s="2060"/>
      <c r="CF158" s="2060"/>
      <c r="CG158" s="2060"/>
      <c r="CH158" s="2060"/>
      <c r="CI158" s="2060"/>
      <c r="CJ158" s="2060"/>
      <c r="CK158" s="2060"/>
      <c r="CL158" s="2060"/>
      <c r="CM158" s="2060"/>
      <c r="CN158" s="2060"/>
      <c r="CO158" s="2060"/>
      <c r="CP158" s="2060"/>
      <c r="CQ158" s="2060"/>
      <c r="CR158" s="2060"/>
      <c r="CS158" s="2060"/>
      <c r="CT158" s="2060"/>
      <c r="CU158" s="2060"/>
      <c r="CV158" s="2060"/>
      <c r="CW158" s="2060"/>
      <c r="CX158" s="2060"/>
      <c r="CY158" s="2060"/>
      <c r="CZ158" s="2060"/>
      <c r="DA158" s="2060"/>
      <c r="DB158" s="2060"/>
      <c r="DC158" s="2060"/>
      <c r="DD158" s="2060"/>
      <c r="DE158" s="2060"/>
      <c r="DF158" s="2060"/>
      <c r="DG158" s="2060"/>
      <c r="DH158" s="2060"/>
      <c r="DI158" s="2060"/>
      <c r="DJ158" s="2060"/>
      <c r="DK158" s="2060"/>
      <c r="DL158" s="2060"/>
      <c r="DM158" s="2060"/>
      <c r="DN158" s="2060"/>
      <c r="DO158" s="2060"/>
      <c r="DP158" s="2060"/>
      <c r="DQ158" s="2060"/>
      <c r="DR158" s="2060"/>
      <c r="DS158" s="2060"/>
      <c r="DT158" s="2060"/>
      <c r="DU158" s="2060"/>
      <c r="DV158" s="2060"/>
      <c r="DW158" s="2060"/>
      <c r="DX158" s="2060"/>
      <c r="DY158" s="2060"/>
      <c r="DZ158" s="2060"/>
      <c r="EA158" s="2060"/>
      <c r="EB158" s="2060"/>
      <c r="EC158" s="2060"/>
      <c r="ED158" s="2060"/>
      <c r="EE158" s="2060"/>
      <c r="EF158" s="2060"/>
      <c r="EG158" s="2060"/>
      <c r="EH158" s="2060"/>
      <c r="EI158" s="2060"/>
      <c r="EJ158" s="2060"/>
      <c r="EK158" s="2060"/>
      <c r="EL158" s="2060"/>
      <c r="EM158" s="2060"/>
      <c r="EN158" s="2060"/>
      <c r="EO158" s="2060"/>
      <c r="EP158" s="2060"/>
      <c r="EQ158" s="2060"/>
      <c r="ER158" s="2060"/>
      <c r="ES158" s="2060"/>
      <c r="ET158" s="2060"/>
      <c r="EU158" s="2060"/>
      <c r="EV158" s="2060"/>
      <c r="EW158" s="2060"/>
      <c r="EX158" s="2060"/>
      <c r="EY158" s="2060"/>
      <c r="EZ158" s="2060"/>
      <c r="FA158" s="2060"/>
      <c r="FB158" s="2060"/>
      <c r="FC158" s="2060"/>
      <c r="FD158" s="2060"/>
      <c r="FE158" s="2060"/>
      <c r="FF158" s="2060"/>
      <c r="FG158" s="2060"/>
      <c r="FH158" s="2060"/>
      <c r="FI158" s="2060"/>
      <c r="FJ158" s="2060"/>
      <c r="FK158" s="2060"/>
      <c r="FL158" s="2060"/>
      <c r="FM158" s="2060"/>
      <c r="FN158" s="2060"/>
      <c r="FO158" s="2060"/>
      <c r="FP158" s="2060"/>
      <c r="FQ158" s="2060"/>
      <c r="FR158" s="2060"/>
      <c r="FS158" s="2060"/>
      <c r="FT158" s="2060"/>
      <c r="FU158" s="2060"/>
      <c r="FV158" s="2060"/>
      <c r="FW158" s="2060"/>
      <c r="FX158" s="2060"/>
      <c r="FY158" s="2060"/>
      <c r="FZ158" s="2060"/>
      <c r="GA158" s="2060"/>
      <c r="GB158" s="2060"/>
      <c r="GC158" s="2060"/>
    </row>
    <row r="159" spans="1:185" s="1499" customFormat="1" ht="12.75" customHeight="1">
      <c r="A159" s="1004"/>
      <c r="B159" s="1004"/>
      <c r="C159" s="1502"/>
      <c r="D159" s="2060"/>
      <c r="E159" s="1578"/>
      <c r="F159" s="2060"/>
      <c r="G159" s="2060"/>
      <c r="H159" s="145"/>
      <c r="I159" s="2060"/>
      <c r="J159" s="2060"/>
      <c r="K159" s="2060"/>
      <c r="L159" s="2060"/>
      <c r="M159" s="2060"/>
      <c r="N159" s="2060"/>
      <c r="O159" s="2060"/>
      <c r="P159" s="2060"/>
      <c r="Q159" s="2060"/>
      <c r="R159" s="2060"/>
      <c r="S159" s="2060"/>
      <c r="T159" s="2060"/>
      <c r="U159" s="2060"/>
      <c r="V159" s="2060"/>
      <c r="W159" s="2060"/>
      <c r="X159" s="2060"/>
      <c r="Y159" s="2060"/>
      <c r="Z159" s="2060"/>
      <c r="AA159" s="2060"/>
      <c r="AB159" s="2060"/>
      <c r="AC159" s="2060"/>
      <c r="AD159" s="1004"/>
      <c r="AE159" s="2060"/>
      <c r="AF159" s="2060"/>
      <c r="AG159" s="2060"/>
      <c r="AH159" s="2060"/>
      <c r="AI159" s="2060"/>
      <c r="AJ159" s="2060"/>
      <c r="AK159" s="2060"/>
      <c r="AL159" s="2060"/>
      <c r="AM159" s="2060"/>
      <c r="AN159" s="2060"/>
      <c r="AO159" s="2060"/>
      <c r="AP159" s="2060"/>
      <c r="AQ159" s="2060"/>
      <c r="AR159" s="2060"/>
      <c r="AS159" s="2060"/>
      <c r="AT159" s="2060"/>
      <c r="AU159" s="2060"/>
      <c r="AV159" s="2060"/>
      <c r="AW159" s="2060"/>
      <c r="AX159" s="2060"/>
      <c r="AY159" s="2060"/>
      <c r="AZ159" s="2060"/>
      <c r="BA159" s="2060"/>
      <c r="BB159" s="2060"/>
      <c r="BC159" s="2060"/>
      <c r="BD159" s="2060"/>
      <c r="BE159" s="2060"/>
      <c r="BF159" s="2060"/>
      <c r="BG159" s="2060"/>
      <c r="BH159" s="2060"/>
      <c r="BI159" s="2060"/>
      <c r="BJ159" s="2060"/>
      <c r="BK159" s="2060"/>
      <c r="BL159" s="2060"/>
      <c r="BM159" s="2060"/>
      <c r="BN159" s="2060"/>
      <c r="BO159" s="2060"/>
      <c r="BP159" s="2060"/>
      <c r="BQ159" s="2060"/>
      <c r="BR159" s="2060"/>
      <c r="BS159" s="2060"/>
      <c r="BT159" s="2060"/>
      <c r="BU159" s="2060"/>
      <c r="BV159" s="2060"/>
      <c r="BW159" s="2060"/>
      <c r="BX159" s="2060"/>
      <c r="BY159" s="2060"/>
      <c r="BZ159" s="2060"/>
      <c r="CA159" s="2060"/>
      <c r="CB159" s="2060"/>
      <c r="CC159" s="2060"/>
      <c r="CD159" s="2060"/>
      <c r="CE159" s="2060"/>
      <c r="CF159" s="2060"/>
      <c r="CG159" s="2060"/>
      <c r="CH159" s="2060"/>
      <c r="CI159" s="2060"/>
      <c r="CJ159" s="2060"/>
      <c r="CK159" s="2060"/>
      <c r="CL159" s="2060"/>
      <c r="CM159" s="2060"/>
      <c r="CN159" s="2060"/>
      <c r="CO159" s="2060"/>
      <c r="CP159" s="2060"/>
      <c r="CQ159" s="2060"/>
      <c r="CR159" s="2060"/>
      <c r="CS159" s="2060"/>
      <c r="CT159" s="2060"/>
      <c r="CU159" s="2060"/>
      <c r="CV159" s="2060"/>
      <c r="CW159" s="2060"/>
      <c r="CX159" s="2060"/>
      <c r="CY159" s="2060"/>
      <c r="CZ159" s="2060"/>
      <c r="DA159" s="2060"/>
      <c r="DB159" s="2060"/>
      <c r="DC159" s="2060"/>
      <c r="DD159" s="2060"/>
      <c r="DE159" s="2060"/>
      <c r="DF159" s="2060"/>
      <c r="DG159" s="2060"/>
      <c r="DH159" s="2060"/>
      <c r="DI159" s="2060"/>
      <c r="DJ159" s="2060"/>
      <c r="DK159" s="2060"/>
      <c r="DL159" s="2060"/>
      <c r="DM159" s="2060"/>
      <c r="DN159" s="2060"/>
      <c r="DO159" s="2060"/>
      <c r="DP159" s="2060"/>
      <c r="DQ159" s="2060"/>
      <c r="DR159" s="2060"/>
      <c r="DS159" s="2060"/>
      <c r="DT159" s="2060"/>
      <c r="DU159" s="2060"/>
      <c r="DV159" s="2060"/>
      <c r="DW159" s="2060"/>
      <c r="DX159" s="2060"/>
      <c r="DY159" s="2060"/>
      <c r="DZ159" s="2060"/>
      <c r="EA159" s="2060"/>
      <c r="EB159" s="2060"/>
      <c r="EC159" s="2060"/>
      <c r="ED159" s="2060"/>
      <c r="EE159" s="2060"/>
      <c r="EF159" s="2060"/>
      <c r="EG159" s="2060"/>
      <c r="EH159" s="2060"/>
      <c r="EI159" s="2060"/>
      <c r="EJ159" s="2060"/>
      <c r="EK159" s="2060"/>
      <c r="EL159" s="2060"/>
      <c r="EM159" s="2060"/>
      <c r="EN159" s="2060"/>
      <c r="EO159" s="2060"/>
      <c r="EP159" s="2060"/>
      <c r="EQ159" s="2060"/>
      <c r="ER159" s="2060"/>
      <c r="ES159" s="2060"/>
      <c r="ET159" s="2060"/>
      <c r="EU159" s="2060"/>
      <c r="EV159" s="2060"/>
      <c r="EW159" s="2060"/>
      <c r="EX159" s="2060"/>
      <c r="EY159" s="2060"/>
      <c r="EZ159" s="2060"/>
      <c r="FA159" s="2060"/>
      <c r="FB159" s="2060"/>
      <c r="FC159" s="2060"/>
      <c r="FD159" s="2060"/>
      <c r="FE159" s="2060"/>
      <c r="FF159" s="2060"/>
      <c r="FG159" s="2060"/>
      <c r="FH159" s="2060"/>
      <c r="FI159" s="2060"/>
      <c r="FJ159" s="2060"/>
      <c r="FK159" s="2060"/>
      <c r="FL159" s="2060"/>
      <c r="FM159" s="2060"/>
      <c r="FN159" s="2060"/>
      <c r="FO159" s="2060"/>
      <c r="FP159" s="2060"/>
      <c r="FQ159" s="2060"/>
      <c r="FR159" s="2060"/>
      <c r="FS159" s="2060"/>
      <c r="FT159" s="2060"/>
      <c r="FU159" s="2060"/>
      <c r="FV159" s="2060"/>
      <c r="FW159" s="2060"/>
      <c r="FX159" s="2060"/>
      <c r="FY159" s="2060"/>
      <c r="FZ159" s="2060"/>
      <c r="GA159" s="2060"/>
      <c r="GB159" s="2060"/>
      <c r="GC159" s="2060"/>
    </row>
    <row r="160" spans="1:185" s="1499" customFormat="1" ht="15.6">
      <c r="A160" s="1004"/>
      <c r="B160" s="1004"/>
      <c r="C160" s="1502"/>
      <c r="D160" s="2060"/>
      <c r="E160" s="1578"/>
      <c r="F160" s="2060"/>
      <c r="G160" s="2060"/>
      <c r="H160" s="2127" t="s">
        <v>1188</v>
      </c>
      <c r="I160" s="2127"/>
      <c r="J160" s="2127"/>
      <c r="K160" s="2127"/>
      <c r="L160" s="2127"/>
      <c r="M160" s="2127"/>
      <c r="N160" s="2127"/>
      <c r="O160" s="2127"/>
      <c r="P160" s="2127"/>
      <c r="Q160" s="2127"/>
      <c r="R160" s="2127"/>
      <c r="S160" s="2127"/>
      <c r="T160" s="2127"/>
      <c r="U160" s="2127"/>
      <c r="V160" s="2127"/>
      <c r="W160" s="2127"/>
      <c r="X160" s="2127"/>
      <c r="Y160" s="2127"/>
      <c r="Z160" s="2127"/>
      <c r="AA160" s="2060"/>
      <c r="AB160" s="2060"/>
      <c r="AC160" s="2060"/>
      <c r="AD160" s="1004"/>
      <c r="AE160" s="2060"/>
      <c r="AF160" s="2060"/>
      <c r="AG160" s="2060"/>
      <c r="AH160" s="2060"/>
      <c r="AI160" s="2060"/>
      <c r="AJ160" s="2060"/>
      <c r="AK160" s="2060"/>
      <c r="AL160" s="2060"/>
      <c r="AM160" s="2060"/>
      <c r="AN160" s="2060"/>
      <c r="AO160" s="2060"/>
      <c r="AP160" s="2060"/>
      <c r="AQ160" s="2060"/>
      <c r="AR160" s="2060"/>
      <c r="AS160" s="2060"/>
      <c r="AT160" s="2060"/>
      <c r="AU160" s="2060"/>
      <c r="AV160" s="2060"/>
      <c r="AW160" s="2060"/>
      <c r="AX160" s="2060"/>
      <c r="AY160" s="2060"/>
      <c r="AZ160" s="2060"/>
      <c r="BA160" s="2060"/>
      <c r="BB160" s="2060"/>
      <c r="BC160" s="2060"/>
      <c r="BD160" s="2060"/>
      <c r="BE160" s="2060"/>
      <c r="BF160" s="2060"/>
      <c r="BG160" s="2060"/>
      <c r="BH160" s="2060"/>
      <c r="BI160" s="2060"/>
      <c r="BJ160" s="2060"/>
      <c r="BK160" s="2060"/>
      <c r="BL160" s="2060"/>
      <c r="BM160" s="2060"/>
      <c r="BN160" s="2060"/>
      <c r="BO160" s="2060"/>
      <c r="BP160" s="2060"/>
      <c r="BQ160" s="2060"/>
      <c r="BR160" s="2060"/>
      <c r="BS160" s="2060"/>
      <c r="BT160" s="2060"/>
      <c r="BU160" s="2060"/>
      <c r="BV160" s="2060"/>
      <c r="BW160" s="2060"/>
      <c r="BX160" s="2060"/>
      <c r="BY160" s="2060"/>
      <c r="BZ160" s="2060"/>
      <c r="CA160" s="2060"/>
      <c r="CB160" s="2060"/>
      <c r="CC160" s="2060"/>
      <c r="CD160" s="2060"/>
      <c r="CE160" s="2060"/>
      <c r="CF160" s="2060"/>
      <c r="CG160" s="2060"/>
      <c r="CH160" s="2060"/>
      <c r="CI160" s="2060"/>
      <c r="CJ160" s="2060"/>
      <c r="CK160" s="2060"/>
      <c r="CL160" s="2060"/>
      <c r="CM160" s="2060"/>
      <c r="CN160" s="2060"/>
      <c r="CO160" s="2060"/>
      <c r="CP160" s="2060"/>
      <c r="CQ160" s="2060"/>
      <c r="CR160" s="2060"/>
      <c r="CS160" s="2060"/>
      <c r="CT160" s="2060"/>
      <c r="CU160" s="2060"/>
      <c r="CV160" s="2060"/>
      <c r="CW160" s="2060"/>
      <c r="CX160" s="2060"/>
      <c r="CY160" s="2060"/>
      <c r="CZ160" s="2060"/>
      <c r="DA160" s="2060"/>
      <c r="DB160" s="2060"/>
      <c r="DC160" s="2060"/>
      <c r="DD160" s="2060"/>
      <c r="DE160" s="2060"/>
      <c r="DF160" s="2060"/>
      <c r="DG160" s="2060"/>
      <c r="DH160" s="2060"/>
      <c r="DI160" s="2060"/>
      <c r="DJ160" s="2060"/>
      <c r="DK160" s="2060"/>
      <c r="DL160" s="2060"/>
      <c r="DM160" s="2060"/>
      <c r="DN160" s="2060"/>
      <c r="DO160" s="2060"/>
      <c r="DP160" s="2060"/>
      <c r="DQ160" s="2060"/>
      <c r="DR160" s="2060"/>
      <c r="DS160" s="2060"/>
      <c r="DT160" s="2060"/>
      <c r="DU160" s="2060"/>
      <c r="DV160" s="2060"/>
      <c r="DW160" s="2060"/>
      <c r="DX160" s="2060"/>
      <c r="DY160" s="2060"/>
      <c r="DZ160" s="2060"/>
      <c r="EA160" s="2060"/>
      <c r="EB160" s="2060"/>
      <c r="EC160" s="2060"/>
      <c r="ED160" s="2060"/>
      <c r="EE160" s="2060"/>
      <c r="EF160" s="2060"/>
      <c r="EG160" s="2060"/>
      <c r="EH160" s="2060"/>
      <c r="EI160" s="2060"/>
      <c r="EJ160" s="2060"/>
      <c r="EK160" s="2060"/>
      <c r="EL160" s="2060"/>
      <c r="EM160" s="2060"/>
      <c r="EN160" s="2060"/>
      <c r="EO160" s="2060"/>
      <c r="EP160" s="2060"/>
      <c r="EQ160" s="2060"/>
      <c r="ER160" s="2060"/>
      <c r="ES160" s="2060"/>
      <c r="ET160" s="2060"/>
      <c r="EU160" s="2060"/>
      <c r="EV160" s="2060"/>
      <c r="EW160" s="2060"/>
      <c r="EX160" s="2060"/>
      <c r="EY160" s="2060"/>
      <c r="EZ160" s="2060"/>
      <c r="FA160" s="2060"/>
      <c r="FB160" s="2060"/>
      <c r="FC160" s="2060"/>
      <c r="FD160" s="2060"/>
      <c r="FE160" s="2060"/>
      <c r="FF160" s="2060"/>
      <c r="FG160" s="2060"/>
      <c r="FH160" s="2060"/>
      <c r="FI160" s="2060"/>
      <c r="FJ160" s="2060"/>
      <c r="FK160" s="2060"/>
      <c r="FL160" s="2060"/>
      <c r="FM160" s="2060"/>
      <c r="FN160" s="2060"/>
      <c r="FO160" s="2060"/>
      <c r="FP160" s="2060"/>
      <c r="FQ160" s="2060"/>
      <c r="FR160" s="2060"/>
      <c r="FS160" s="2060"/>
      <c r="FT160" s="2060"/>
      <c r="FU160" s="2060"/>
      <c r="FV160" s="2060"/>
      <c r="FW160" s="2060"/>
      <c r="FX160" s="2060"/>
      <c r="FY160" s="2060"/>
      <c r="FZ160" s="2060"/>
      <c r="GA160" s="2060"/>
      <c r="GB160" s="2060"/>
      <c r="GC160" s="2060"/>
    </row>
    <row r="161" spans="1:185" s="1499" customFormat="1" ht="12.75" customHeight="1">
      <c r="A161" s="1004"/>
      <c r="B161" s="1004"/>
      <c r="C161" s="1502"/>
      <c r="D161" s="2060"/>
      <c r="E161" s="1578"/>
      <c r="F161" s="2060"/>
      <c r="G161" s="2060"/>
      <c r="H161" s="1782"/>
      <c r="I161" s="1783" t="s">
        <v>1194</v>
      </c>
      <c r="J161" s="1783"/>
      <c r="K161" s="1783"/>
      <c r="L161" s="1783"/>
      <c r="M161" s="1783"/>
      <c r="N161" s="1783" t="s">
        <v>1195</v>
      </c>
      <c r="O161" s="1783"/>
      <c r="P161" s="1783"/>
      <c r="Q161" s="1783"/>
      <c r="R161" s="1783"/>
      <c r="S161" s="1783"/>
      <c r="T161" s="1783"/>
      <c r="U161" s="1783"/>
      <c r="V161" s="1783"/>
      <c r="W161" s="1783"/>
      <c r="X161" s="1783"/>
      <c r="Y161" s="1783"/>
      <c r="Z161" s="1783"/>
      <c r="AA161" s="2060"/>
      <c r="AB161" s="2060"/>
      <c r="AC161" s="2060"/>
      <c r="AD161" s="1004"/>
      <c r="AE161" s="2060"/>
      <c r="AF161" s="2060"/>
      <c r="AG161" s="2060"/>
      <c r="AH161" s="2060"/>
      <c r="AI161" s="2060"/>
      <c r="AJ161" s="2060"/>
      <c r="AK161" s="2060"/>
      <c r="AL161" s="2060"/>
      <c r="AM161" s="2060"/>
      <c r="AN161" s="2060"/>
      <c r="AO161" s="2060"/>
      <c r="AP161" s="2060"/>
      <c r="AQ161" s="2060"/>
      <c r="AR161" s="2060"/>
      <c r="AS161" s="2060"/>
      <c r="AT161" s="2060"/>
      <c r="AU161" s="2060"/>
      <c r="AV161" s="2060"/>
      <c r="AW161" s="2060"/>
      <c r="AX161" s="2060"/>
      <c r="AY161" s="2060"/>
      <c r="AZ161" s="2060"/>
      <c r="BA161" s="2060"/>
      <c r="BB161" s="2060"/>
      <c r="BC161" s="2060"/>
      <c r="BD161" s="2060"/>
      <c r="BE161" s="2060"/>
      <c r="BF161" s="2060"/>
      <c r="BG161" s="2060"/>
      <c r="BH161" s="2060"/>
      <c r="BI161" s="2060"/>
      <c r="BJ161" s="2060"/>
      <c r="BK161" s="2060"/>
      <c r="BL161" s="2060"/>
      <c r="BM161" s="2060"/>
      <c r="BN161" s="2060"/>
      <c r="BO161" s="2060"/>
      <c r="BP161" s="2060"/>
      <c r="BQ161" s="2060"/>
      <c r="BR161" s="2060"/>
      <c r="BS161" s="2060"/>
      <c r="BT161" s="2060"/>
      <c r="BU161" s="2060"/>
      <c r="BV161" s="2060"/>
      <c r="BW161" s="2060"/>
      <c r="BX161" s="2060"/>
      <c r="BY161" s="2060"/>
      <c r="BZ161" s="2060"/>
      <c r="CA161" s="2060"/>
      <c r="CB161" s="2060"/>
      <c r="CC161" s="2060"/>
      <c r="CD161" s="2060"/>
      <c r="CE161" s="2060"/>
      <c r="CF161" s="2060"/>
      <c r="CG161" s="2060"/>
      <c r="CH161" s="2060"/>
      <c r="CI161" s="2060"/>
      <c r="CJ161" s="2060"/>
      <c r="CK161" s="2060"/>
      <c r="CL161" s="2060"/>
      <c r="CM161" s="2060"/>
      <c r="CN161" s="2060"/>
      <c r="CO161" s="2060"/>
      <c r="CP161" s="2060"/>
      <c r="CQ161" s="2060"/>
      <c r="CR161" s="2060"/>
      <c r="CS161" s="2060"/>
      <c r="CT161" s="2060"/>
      <c r="CU161" s="2060"/>
      <c r="CV161" s="2060"/>
      <c r="CW161" s="2060"/>
      <c r="CX161" s="2060"/>
      <c r="CY161" s="2060"/>
      <c r="CZ161" s="2060"/>
      <c r="DA161" s="2060"/>
      <c r="DB161" s="2060"/>
      <c r="DC161" s="2060"/>
      <c r="DD161" s="2060"/>
      <c r="DE161" s="2060"/>
      <c r="DF161" s="2060"/>
      <c r="DG161" s="2060"/>
      <c r="DH161" s="2060"/>
      <c r="DI161" s="2060"/>
      <c r="DJ161" s="2060"/>
      <c r="DK161" s="2060"/>
      <c r="DL161" s="2060"/>
      <c r="DM161" s="2060"/>
      <c r="DN161" s="2060"/>
      <c r="DO161" s="2060"/>
      <c r="DP161" s="2060"/>
      <c r="DQ161" s="2060"/>
      <c r="DR161" s="2060"/>
      <c r="DS161" s="2060"/>
      <c r="DT161" s="2060"/>
      <c r="DU161" s="2060"/>
      <c r="DV161" s="2060"/>
      <c r="DW161" s="2060"/>
      <c r="DX161" s="2060"/>
      <c r="DY161" s="2060"/>
      <c r="DZ161" s="2060"/>
      <c r="EA161" s="2060"/>
      <c r="EB161" s="2060"/>
      <c r="EC161" s="2060"/>
      <c r="ED161" s="2060"/>
      <c r="EE161" s="2060"/>
      <c r="EF161" s="2060"/>
      <c r="EG161" s="2060"/>
      <c r="EH161" s="2060"/>
      <c r="EI161" s="2060"/>
      <c r="EJ161" s="2060"/>
      <c r="EK161" s="2060"/>
      <c r="EL161" s="2060"/>
      <c r="EM161" s="2060"/>
      <c r="EN161" s="2060"/>
      <c r="EO161" s="2060"/>
      <c r="EP161" s="2060"/>
      <c r="EQ161" s="2060"/>
      <c r="ER161" s="2060"/>
      <c r="ES161" s="2060"/>
      <c r="ET161" s="2060"/>
      <c r="EU161" s="2060"/>
      <c r="EV161" s="2060"/>
      <c r="EW161" s="2060"/>
      <c r="EX161" s="2060"/>
      <c r="EY161" s="2060"/>
      <c r="EZ161" s="2060"/>
      <c r="FA161" s="2060"/>
      <c r="FB161" s="2060"/>
      <c r="FC161" s="2060"/>
      <c r="FD161" s="2060"/>
      <c r="FE161" s="2060"/>
      <c r="FF161" s="2060"/>
      <c r="FG161" s="2060"/>
      <c r="FH161" s="2060"/>
      <c r="FI161" s="2060"/>
      <c r="FJ161" s="2060"/>
      <c r="FK161" s="2060"/>
      <c r="FL161" s="2060"/>
      <c r="FM161" s="2060"/>
      <c r="FN161" s="2060"/>
      <c r="FO161" s="2060"/>
      <c r="FP161" s="2060"/>
      <c r="FQ161" s="2060"/>
      <c r="FR161" s="2060"/>
      <c r="FS161" s="2060"/>
      <c r="FT161" s="2060"/>
      <c r="FU161" s="2060"/>
      <c r="FV161" s="2060"/>
      <c r="FW161" s="2060"/>
      <c r="FX161" s="2060"/>
      <c r="FY161" s="2060"/>
      <c r="FZ161" s="2060"/>
      <c r="GA161" s="2060"/>
      <c r="GB161" s="2060"/>
      <c r="GC161" s="2060"/>
    </row>
    <row r="162" spans="1:185" s="1499" customFormat="1" ht="12.75" customHeight="1">
      <c r="A162" s="1004"/>
      <c r="B162" s="1004"/>
      <c r="C162" s="1502"/>
      <c r="D162" s="2060"/>
      <c r="E162" s="1578"/>
      <c r="F162" s="2060"/>
      <c r="G162" s="2060"/>
      <c r="H162" s="1822" t="s">
        <v>1204</v>
      </c>
      <c r="I162" s="1789"/>
      <c r="J162" s="1789"/>
      <c r="K162" s="1789"/>
      <c r="L162" s="2060"/>
      <c r="M162" s="1822" t="s">
        <v>1204</v>
      </c>
      <c r="N162" s="1789"/>
      <c r="O162" s="1789"/>
      <c r="P162" s="2060"/>
      <c r="Q162" s="2060"/>
      <c r="R162" s="1822" t="s">
        <v>1204</v>
      </c>
      <c r="S162" s="1789"/>
      <c r="T162" s="1789"/>
      <c r="U162" s="2060"/>
      <c r="V162" s="2060"/>
      <c r="W162" s="1822" t="s">
        <v>1204</v>
      </c>
      <c r="X162" s="1789"/>
      <c r="Y162" s="1789"/>
      <c r="Z162" s="2060"/>
      <c r="AA162" s="2060"/>
      <c r="AB162" s="2060"/>
      <c r="AC162" s="2060"/>
      <c r="AD162" s="1004"/>
      <c r="AE162" s="2060"/>
      <c r="AF162" s="2060"/>
      <c r="AG162" s="2060"/>
      <c r="AH162" s="2060"/>
      <c r="AI162" s="2060"/>
      <c r="AJ162" s="2060"/>
      <c r="AK162" s="2060"/>
      <c r="AL162" s="2060"/>
      <c r="AM162" s="2060"/>
      <c r="AN162" s="2060"/>
      <c r="AO162" s="2060"/>
      <c r="AP162" s="2060"/>
      <c r="AQ162" s="2060"/>
      <c r="AR162" s="2060"/>
      <c r="AS162" s="2060"/>
      <c r="AT162" s="2060"/>
      <c r="AU162" s="2060"/>
      <c r="AV162" s="2060"/>
      <c r="AW162" s="2060"/>
      <c r="AX162" s="2060"/>
      <c r="AY162" s="2060"/>
      <c r="AZ162" s="2060"/>
      <c r="BA162" s="2060"/>
      <c r="BB162" s="2060"/>
      <c r="BC162" s="2060"/>
      <c r="BD162" s="2060"/>
      <c r="BE162" s="2060"/>
      <c r="BF162" s="2060"/>
      <c r="BG162" s="2060"/>
      <c r="BH162" s="2060"/>
      <c r="BI162" s="2060"/>
      <c r="BJ162" s="2060"/>
      <c r="BK162" s="2060"/>
      <c r="BL162" s="2060"/>
      <c r="BM162" s="2060"/>
      <c r="BN162" s="2060"/>
      <c r="BO162" s="2060"/>
      <c r="BP162" s="2060"/>
      <c r="BQ162" s="2060"/>
      <c r="BR162" s="2060"/>
      <c r="BS162" s="2060"/>
      <c r="BT162" s="2060"/>
      <c r="BU162" s="2060"/>
      <c r="BV162" s="2060"/>
      <c r="BW162" s="2060"/>
      <c r="BX162" s="2060"/>
      <c r="BY162" s="2060"/>
      <c r="BZ162" s="2060"/>
      <c r="CA162" s="2060"/>
      <c r="CB162" s="2060"/>
      <c r="CC162" s="2060"/>
      <c r="CD162" s="2060"/>
      <c r="CE162" s="2060"/>
      <c r="CF162" s="2060"/>
      <c r="CG162" s="2060"/>
      <c r="CH162" s="2060"/>
      <c r="CI162" s="2060"/>
      <c r="CJ162" s="2060"/>
      <c r="CK162" s="2060"/>
      <c r="CL162" s="2060"/>
      <c r="CM162" s="2060"/>
      <c r="CN162" s="2060"/>
      <c r="CO162" s="2060"/>
      <c r="CP162" s="2060"/>
      <c r="CQ162" s="2060"/>
      <c r="CR162" s="2060"/>
      <c r="CS162" s="2060"/>
      <c r="CT162" s="2060"/>
      <c r="CU162" s="2060"/>
      <c r="CV162" s="2060"/>
      <c r="CW162" s="2060"/>
      <c r="CX162" s="2060"/>
      <c r="CY162" s="2060"/>
      <c r="CZ162" s="2060"/>
      <c r="DA162" s="2060"/>
      <c r="DB162" s="2060"/>
      <c r="DC162" s="2060"/>
      <c r="DD162" s="2060"/>
      <c r="DE162" s="2060"/>
      <c r="DF162" s="2060"/>
      <c r="DG162" s="2060"/>
      <c r="DH162" s="2060"/>
      <c r="DI162" s="2060"/>
      <c r="DJ162" s="2060"/>
      <c r="DK162" s="2060"/>
      <c r="DL162" s="2060"/>
      <c r="DM162" s="2060"/>
      <c r="DN162" s="2060"/>
      <c r="DO162" s="2060"/>
      <c r="DP162" s="2060"/>
      <c r="DQ162" s="2060"/>
      <c r="DR162" s="2060"/>
      <c r="DS162" s="2060"/>
      <c r="DT162" s="2060"/>
      <c r="DU162" s="2060"/>
      <c r="DV162" s="2060"/>
      <c r="DW162" s="2060"/>
      <c r="DX162" s="2060"/>
      <c r="DY162" s="2060"/>
      <c r="DZ162" s="2060"/>
      <c r="EA162" s="2060"/>
      <c r="EB162" s="2060"/>
      <c r="EC162" s="2060"/>
      <c r="ED162" s="2060"/>
      <c r="EE162" s="2060"/>
      <c r="EF162" s="2060"/>
      <c r="EG162" s="2060"/>
      <c r="EH162" s="2060"/>
      <c r="EI162" s="2060"/>
      <c r="EJ162" s="2060"/>
      <c r="EK162" s="2060"/>
      <c r="EL162" s="2060"/>
      <c r="EM162" s="2060"/>
      <c r="EN162" s="2060"/>
      <c r="EO162" s="2060"/>
      <c r="EP162" s="2060"/>
      <c r="EQ162" s="2060"/>
      <c r="ER162" s="2060"/>
      <c r="ES162" s="2060"/>
      <c r="ET162" s="2060"/>
      <c r="EU162" s="2060"/>
      <c r="EV162" s="2060"/>
      <c r="EW162" s="2060"/>
      <c r="EX162" s="2060"/>
      <c r="EY162" s="2060"/>
      <c r="EZ162" s="2060"/>
      <c r="FA162" s="2060"/>
      <c r="FB162" s="2060"/>
      <c r="FC162" s="2060"/>
      <c r="FD162" s="2060"/>
      <c r="FE162" s="2060"/>
      <c r="FF162" s="2060"/>
      <c r="FG162" s="2060"/>
      <c r="FH162" s="2060"/>
      <c r="FI162" s="2060"/>
      <c r="FJ162" s="2060"/>
      <c r="FK162" s="2060"/>
      <c r="FL162" s="2060"/>
      <c r="FM162" s="2060"/>
      <c r="FN162" s="2060"/>
      <c r="FO162" s="2060"/>
      <c r="FP162" s="2060"/>
      <c r="FQ162" s="2060"/>
      <c r="FR162" s="2060"/>
      <c r="FS162" s="2060"/>
      <c r="FT162" s="2060"/>
      <c r="FU162" s="2060"/>
      <c r="FV162" s="2060"/>
      <c r="FW162" s="2060"/>
      <c r="FX162" s="2060"/>
      <c r="FY162" s="2060"/>
      <c r="FZ162" s="2060"/>
      <c r="GA162" s="2060"/>
      <c r="GB162" s="2060"/>
      <c r="GC162" s="2060"/>
    </row>
    <row r="163" spans="1:185" s="1499" customFormat="1" ht="12.75" customHeight="1">
      <c r="A163" s="1004"/>
      <c r="B163" s="1004"/>
      <c r="C163" s="1502"/>
      <c r="D163" s="2060"/>
      <c r="E163" s="1578"/>
      <c r="F163" s="2060"/>
      <c r="G163" s="2060"/>
      <c r="H163" s="1791" t="s">
        <v>1205</v>
      </c>
      <c r="I163" s="1791" t="s">
        <v>1206</v>
      </c>
      <c r="J163" s="1791" t="s">
        <v>1207</v>
      </c>
      <c r="K163" s="1791"/>
      <c r="L163" s="2060"/>
      <c r="M163" s="1791" t="s">
        <v>1205</v>
      </c>
      <c r="N163" s="1791" t="s">
        <v>1206</v>
      </c>
      <c r="O163" s="1791" t="s">
        <v>1207</v>
      </c>
      <c r="P163" s="2060"/>
      <c r="Q163" s="2060"/>
      <c r="R163" s="1791" t="s">
        <v>1205</v>
      </c>
      <c r="S163" s="1791" t="s">
        <v>1206</v>
      </c>
      <c r="T163" s="1791" t="s">
        <v>1207</v>
      </c>
      <c r="U163" s="2060"/>
      <c r="V163" s="2060"/>
      <c r="W163" s="1791" t="s">
        <v>1205</v>
      </c>
      <c r="X163" s="1791" t="s">
        <v>1206</v>
      </c>
      <c r="Y163" s="1791" t="s">
        <v>1207</v>
      </c>
      <c r="Z163" s="2060"/>
      <c r="AA163" s="2060"/>
      <c r="AB163" s="2060"/>
      <c r="AC163" s="2060"/>
      <c r="AD163" s="1004"/>
      <c r="AE163" s="2060"/>
      <c r="AF163" s="2060"/>
      <c r="AG163" s="2060"/>
      <c r="AH163" s="2060"/>
      <c r="AI163" s="2060"/>
      <c r="AJ163" s="2060"/>
      <c r="AK163" s="2060"/>
      <c r="AL163" s="2060"/>
      <c r="AM163" s="2060"/>
      <c r="AN163" s="2060"/>
      <c r="AO163" s="2060"/>
      <c r="AP163" s="2060"/>
      <c r="AQ163" s="2060"/>
      <c r="AR163" s="2060"/>
      <c r="AS163" s="2060"/>
      <c r="AT163" s="2060"/>
      <c r="AU163" s="2060"/>
      <c r="AV163" s="2060"/>
      <c r="AW163" s="2060"/>
      <c r="AX163" s="2060"/>
      <c r="AY163" s="2060"/>
      <c r="AZ163" s="2060"/>
      <c r="BA163" s="2060"/>
      <c r="BB163" s="2060"/>
      <c r="BC163" s="2060"/>
      <c r="BD163" s="2060"/>
      <c r="BE163" s="2060"/>
      <c r="BF163" s="2060"/>
      <c r="BG163" s="2060"/>
      <c r="BH163" s="2060"/>
      <c r="BI163" s="2060"/>
      <c r="BJ163" s="2060"/>
      <c r="BK163" s="2060"/>
      <c r="BL163" s="2060"/>
      <c r="BM163" s="2060"/>
      <c r="BN163" s="2060"/>
      <c r="BO163" s="2060"/>
      <c r="BP163" s="2060"/>
      <c r="BQ163" s="2060"/>
      <c r="BR163" s="2060"/>
      <c r="BS163" s="2060"/>
      <c r="BT163" s="2060"/>
      <c r="BU163" s="2060"/>
      <c r="BV163" s="2060"/>
      <c r="BW163" s="2060"/>
      <c r="BX163" s="2060"/>
      <c r="BY163" s="2060"/>
      <c r="BZ163" s="2060"/>
      <c r="CA163" s="2060"/>
      <c r="CB163" s="2060"/>
      <c r="CC163" s="2060"/>
      <c r="CD163" s="2060"/>
      <c r="CE163" s="2060"/>
      <c r="CF163" s="2060"/>
      <c r="CG163" s="2060"/>
      <c r="CH163" s="2060"/>
      <c r="CI163" s="2060"/>
      <c r="CJ163" s="2060"/>
      <c r="CK163" s="2060"/>
      <c r="CL163" s="2060"/>
      <c r="CM163" s="2060"/>
      <c r="CN163" s="2060"/>
      <c r="CO163" s="2060"/>
      <c r="CP163" s="2060"/>
      <c r="CQ163" s="2060"/>
      <c r="CR163" s="2060"/>
      <c r="CS163" s="2060"/>
      <c r="CT163" s="2060"/>
      <c r="CU163" s="2060"/>
      <c r="CV163" s="2060"/>
      <c r="CW163" s="2060"/>
      <c r="CX163" s="2060"/>
      <c r="CY163" s="2060"/>
      <c r="CZ163" s="2060"/>
      <c r="DA163" s="2060"/>
      <c r="DB163" s="2060"/>
      <c r="DC163" s="2060"/>
      <c r="DD163" s="2060"/>
      <c r="DE163" s="2060"/>
      <c r="DF163" s="2060"/>
      <c r="DG163" s="2060"/>
      <c r="DH163" s="2060"/>
      <c r="DI163" s="2060"/>
      <c r="DJ163" s="2060"/>
      <c r="DK163" s="2060"/>
      <c r="DL163" s="2060"/>
      <c r="DM163" s="2060"/>
      <c r="DN163" s="2060"/>
      <c r="DO163" s="2060"/>
      <c r="DP163" s="2060"/>
      <c r="DQ163" s="2060"/>
      <c r="DR163" s="2060"/>
      <c r="DS163" s="2060"/>
      <c r="DT163" s="2060"/>
      <c r="DU163" s="2060"/>
      <c r="DV163" s="2060"/>
      <c r="DW163" s="2060"/>
      <c r="DX163" s="2060"/>
      <c r="DY163" s="2060"/>
      <c r="DZ163" s="2060"/>
      <c r="EA163" s="2060"/>
      <c r="EB163" s="2060"/>
      <c r="EC163" s="2060"/>
      <c r="ED163" s="2060"/>
      <c r="EE163" s="2060"/>
      <c r="EF163" s="2060"/>
      <c r="EG163" s="2060"/>
      <c r="EH163" s="2060"/>
      <c r="EI163" s="2060"/>
      <c r="EJ163" s="2060"/>
      <c r="EK163" s="2060"/>
      <c r="EL163" s="2060"/>
      <c r="EM163" s="2060"/>
      <c r="EN163" s="2060"/>
      <c r="EO163" s="2060"/>
      <c r="EP163" s="2060"/>
      <c r="EQ163" s="2060"/>
      <c r="ER163" s="2060"/>
      <c r="ES163" s="2060"/>
      <c r="ET163" s="2060"/>
      <c r="EU163" s="2060"/>
      <c r="EV163" s="2060"/>
      <c r="EW163" s="2060"/>
      <c r="EX163" s="2060"/>
      <c r="EY163" s="2060"/>
      <c r="EZ163" s="2060"/>
      <c r="FA163" s="2060"/>
      <c r="FB163" s="2060"/>
      <c r="FC163" s="2060"/>
      <c r="FD163" s="2060"/>
      <c r="FE163" s="2060"/>
      <c r="FF163" s="2060"/>
      <c r="FG163" s="2060"/>
      <c r="FH163" s="2060"/>
      <c r="FI163" s="2060"/>
      <c r="FJ163" s="2060"/>
      <c r="FK163" s="2060"/>
      <c r="FL163" s="2060"/>
      <c r="FM163" s="2060"/>
      <c r="FN163" s="2060"/>
      <c r="FO163" s="2060"/>
      <c r="FP163" s="2060"/>
      <c r="FQ163" s="2060"/>
      <c r="FR163" s="2060"/>
      <c r="FS163" s="2060"/>
      <c r="FT163" s="2060"/>
      <c r="FU163" s="2060"/>
      <c r="FV163" s="2060"/>
      <c r="FW163" s="2060"/>
      <c r="FX163" s="2060"/>
      <c r="FY163" s="2060"/>
      <c r="FZ163" s="2060"/>
      <c r="GA163" s="2060"/>
      <c r="GB163" s="2060"/>
      <c r="GC163" s="2060"/>
    </row>
    <row r="164" spans="1:185" s="1499" customFormat="1" ht="12.75" customHeight="1">
      <c r="A164" s="1632" t="str">
        <f t="shared" ref="A164:A188" si="23">IF(E164="--","n","")</f>
        <v>n</v>
      </c>
      <c r="B164" s="1004"/>
      <c r="C164" s="1502"/>
      <c r="D164" s="2060"/>
      <c r="E164" s="1578" t="str">
        <f>E129</f>
        <v>--</v>
      </c>
      <c r="F164" s="2060"/>
      <c r="G164" s="2060"/>
      <c r="H164" s="2232" t="str">
        <f t="shared" ref="H164:H188" si="24">IF(L129="","",IFERROR(HLOOKUP(L129,$AN$164:$FZ$169,HLOOKUPROW,TRUE),"--"))</f>
        <v>--</v>
      </c>
      <c r="I164" s="2233" t="str">
        <f t="shared" ref="I164:I188" si="25">IF(L129="","",IF(ISERROR((I129*L129/(1-I129))^(1/2))=TRUE,"--",(I129*L129/(1-I129))^(1/2)))</f>
        <v>--</v>
      </c>
      <c r="J164" s="2233" t="str">
        <f t="shared" ref="J164:J188" si="26">IF(L129="","",IF(OR(ISTEXT(H164),ISTEXT(I164),ISERROR(I164&gt;H164)=TRUE),"--",IF(I164&gt;H164,"Significant","Insignificant")))</f>
        <v>--</v>
      </c>
      <c r="K164" s="1794"/>
      <c r="L164" s="2060"/>
      <c r="M164" s="2232" t="str">
        <f t="shared" ref="M164:M188" si="27">IF(Q129="","",IFERROR(HLOOKUP(Q129,$AN$164:$FZ$169,HLOOKUPROW,TRUE),"--"))</f>
        <v>--</v>
      </c>
      <c r="N164" s="2233" t="str">
        <f t="shared" ref="N164:N188" si="28">IF(Q129="","",IF(ISERROR((N129*Q129/(1-N129))^(1/2))=TRUE,"--",(N129*Q129/(1-N129))^(1/2)))</f>
        <v>--</v>
      </c>
      <c r="O164" s="2233" t="str">
        <f t="shared" ref="O164:O188" si="29">IF(Q129="","",IF(OR(ISTEXT(M164),ISTEXT(N164),ISERROR(N164&gt;M164)=TRUE),"--",IF(N164&gt;M164,"Significant","Insignificant")))</f>
        <v>--</v>
      </c>
      <c r="P164" s="2060"/>
      <c r="Q164" s="2060"/>
      <c r="R164" s="2232" t="str">
        <f t="shared" ref="R164:R188" si="30">IF(V129="","",IFERROR(HLOOKUP(V129,$AN$164:$FZ$169,HLOOKUPROW,TRUE),"--"))</f>
        <v>--</v>
      </c>
      <c r="S164" s="2233" t="str">
        <f t="shared" ref="S164:S188" si="31">IF(V129="","",IF(ISERROR((S129*V129/(1-S129))^(1/2))=TRUE,"--",(S129*V129/(1-S129))^(1/2)))</f>
        <v>--</v>
      </c>
      <c r="T164" s="2233" t="str">
        <f t="shared" ref="T164:T188" si="32">IF(V129="","",IF(OR(ISTEXT(R164),ISTEXT(S164),ISERROR(S164&gt;R164)=TRUE),"--",IF(S164&gt;R164,"Significant","Insignificant")))</f>
        <v>--</v>
      </c>
      <c r="U164" s="2060"/>
      <c r="V164" s="2060"/>
      <c r="W164" s="2232" t="str">
        <f t="shared" ref="W164:W188" si="33">IF(AA129="","",IFERROR(HLOOKUP(AA129,$AN$164:$FZ$169,HLOOKUPROW,TRUE),"--"))</f>
        <v>--</v>
      </c>
      <c r="X164" s="2233" t="str">
        <f t="shared" ref="X164:X188" si="34">IF(AA129="","",IF(ISERROR((X129*AA129/(1-X129))^(1/2))=TRUE,"--",(X129*AA129/(1-X129))^(1/2)))</f>
        <v>--</v>
      </c>
      <c r="Y164" s="2233" t="str">
        <f t="shared" ref="Y164:Y188" si="35">IF(AA129="","",IF(OR(ISTEXT(W164),ISTEXT(X164),ISERROR(X164&gt;W164)=TRUE),"--",IF(X164&gt;W164,"Significant","Insignificant")))</f>
        <v>--</v>
      </c>
      <c r="Z164" s="2060"/>
      <c r="AA164" s="2060"/>
      <c r="AB164" s="2060"/>
      <c r="AC164" s="2060"/>
      <c r="AD164" s="1004"/>
      <c r="AE164" s="2060"/>
      <c r="AF164" s="2060"/>
      <c r="AG164" s="2060"/>
      <c r="AH164" s="2060"/>
      <c r="AI164" s="1964">
        <f>MATCH($P$89,$AJ$164:$AJ$169,0)</f>
        <v>4</v>
      </c>
      <c r="AJ164" s="1780" t="s">
        <v>1208</v>
      </c>
      <c r="AK164" s="1780" t="s">
        <v>1209</v>
      </c>
      <c r="AL164" s="1780" t="s">
        <v>1210</v>
      </c>
      <c r="AM164" s="1781">
        <v>1</v>
      </c>
      <c r="AN164" s="1781">
        <v>1</v>
      </c>
      <c r="AO164" s="1781">
        <v>2</v>
      </c>
      <c r="AP164" s="1781">
        <v>3</v>
      </c>
      <c r="AQ164" s="1781">
        <v>4</v>
      </c>
      <c r="AR164" s="1781">
        <v>5</v>
      </c>
      <c r="AS164" s="1781">
        <v>6</v>
      </c>
      <c r="AT164" s="1781">
        <v>7</v>
      </c>
      <c r="AU164" s="1781">
        <v>8</v>
      </c>
      <c r="AV164" s="1781">
        <v>9</v>
      </c>
      <c r="AW164" s="1781">
        <v>10</v>
      </c>
      <c r="AX164" s="1781">
        <v>11</v>
      </c>
      <c r="AY164" s="1781">
        <v>12</v>
      </c>
      <c r="AZ164" s="1781">
        <v>13</v>
      </c>
      <c r="BA164" s="1781">
        <v>14</v>
      </c>
      <c r="BB164" s="1781">
        <v>15</v>
      </c>
      <c r="BC164" s="1781">
        <v>16</v>
      </c>
      <c r="BD164" s="1781">
        <v>17</v>
      </c>
      <c r="BE164" s="1781">
        <v>18</v>
      </c>
      <c r="BF164" s="1781">
        <v>19</v>
      </c>
      <c r="BG164" s="1781">
        <v>20</v>
      </c>
      <c r="BH164" s="1781">
        <v>21</v>
      </c>
      <c r="BI164" s="1781">
        <v>22</v>
      </c>
      <c r="BJ164" s="1781">
        <v>23</v>
      </c>
      <c r="BK164" s="1781">
        <v>24</v>
      </c>
      <c r="BL164" s="1781">
        <v>25</v>
      </c>
      <c r="BM164" s="1781">
        <v>26</v>
      </c>
      <c r="BN164" s="1781">
        <v>27</v>
      </c>
      <c r="BO164" s="1781">
        <v>28</v>
      </c>
      <c r="BP164" s="1781">
        <v>29</v>
      </c>
      <c r="BQ164" s="1781">
        <v>30</v>
      </c>
      <c r="BR164" s="1781">
        <v>31</v>
      </c>
      <c r="BS164" s="1781">
        <v>32</v>
      </c>
      <c r="BT164" s="1781">
        <v>33</v>
      </c>
      <c r="BU164" s="1781">
        <v>34</v>
      </c>
      <c r="BV164" s="1781">
        <v>35</v>
      </c>
      <c r="BW164" s="1781">
        <v>36</v>
      </c>
      <c r="BX164" s="1781">
        <v>37</v>
      </c>
      <c r="BY164" s="1781">
        <v>38</v>
      </c>
      <c r="BZ164" s="1781">
        <v>39</v>
      </c>
      <c r="CA164" s="1781">
        <v>40</v>
      </c>
      <c r="CB164" s="1781">
        <v>41</v>
      </c>
      <c r="CC164" s="1781">
        <v>42</v>
      </c>
      <c r="CD164" s="1781">
        <v>43</v>
      </c>
      <c r="CE164" s="1781">
        <v>44</v>
      </c>
      <c r="CF164" s="1781">
        <v>45</v>
      </c>
      <c r="CG164" s="1781">
        <v>46</v>
      </c>
      <c r="CH164" s="1781">
        <v>47</v>
      </c>
      <c r="CI164" s="1781">
        <v>48</v>
      </c>
      <c r="CJ164" s="1781">
        <v>49</v>
      </c>
      <c r="CK164" s="1781">
        <v>50</v>
      </c>
      <c r="CL164" s="1781">
        <v>51</v>
      </c>
      <c r="CM164" s="1781">
        <v>52</v>
      </c>
      <c r="CN164" s="1781">
        <v>53</v>
      </c>
      <c r="CO164" s="1781">
        <v>54</v>
      </c>
      <c r="CP164" s="1781">
        <v>55</v>
      </c>
      <c r="CQ164" s="1781">
        <v>56</v>
      </c>
      <c r="CR164" s="1781">
        <v>57</v>
      </c>
      <c r="CS164" s="1781">
        <v>58</v>
      </c>
      <c r="CT164" s="1781">
        <v>59</v>
      </c>
      <c r="CU164" s="1781">
        <v>60</v>
      </c>
      <c r="CV164" s="1781">
        <v>61</v>
      </c>
      <c r="CW164" s="1781">
        <v>62</v>
      </c>
      <c r="CX164" s="1781">
        <v>63</v>
      </c>
      <c r="CY164" s="1781">
        <v>64</v>
      </c>
      <c r="CZ164" s="1781">
        <v>65</v>
      </c>
      <c r="DA164" s="1781">
        <v>66</v>
      </c>
      <c r="DB164" s="1781">
        <v>67</v>
      </c>
      <c r="DC164" s="1781">
        <v>68</v>
      </c>
      <c r="DD164" s="1781">
        <v>69</v>
      </c>
      <c r="DE164" s="1781">
        <v>70</v>
      </c>
      <c r="DF164" s="1781">
        <v>71</v>
      </c>
      <c r="DG164" s="1781">
        <v>72</v>
      </c>
      <c r="DH164" s="1781">
        <v>73</v>
      </c>
      <c r="DI164" s="1781">
        <v>74</v>
      </c>
      <c r="DJ164" s="1781">
        <v>75</v>
      </c>
      <c r="DK164" s="1781">
        <v>76</v>
      </c>
      <c r="DL164" s="1781">
        <v>77</v>
      </c>
      <c r="DM164" s="1781">
        <v>78</v>
      </c>
      <c r="DN164" s="1781">
        <v>79</v>
      </c>
      <c r="DO164" s="1781">
        <v>80</v>
      </c>
      <c r="DP164" s="1781">
        <v>81</v>
      </c>
      <c r="DQ164" s="1781">
        <v>82</v>
      </c>
      <c r="DR164" s="1781">
        <v>83</v>
      </c>
      <c r="DS164" s="1781">
        <v>84</v>
      </c>
      <c r="DT164" s="1781">
        <v>85</v>
      </c>
      <c r="DU164" s="1781">
        <v>86</v>
      </c>
      <c r="DV164" s="1781">
        <v>87</v>
      </c>
      <c r="DW164" s="1781">
        <v>88</v>
      </c>
      <c r="DX164" s="1781">
        <v>89</v>
      </c>
      <c r="DY164" s="1781">
        <v>90</v>
      </c>
      <c r="DZ164" s="1781">
        <v>91</v>
      </c>
      <c r="EA164" s="1781">
        <v>92</v>
      </c>
      <c r="EB164" s="1781">
        <v>93</v>
      </c>
      <c r="EC164" s="1781">
        <v>94</v>
      </c>
      <c r="ED164" s="1781">
        <v>95</v>
      </c>
      <c r="EE164" s="1781">
        <v>96</v>
      </c>
      <c r="EF164" s="1781">
        <v>97</v>
      </c>
      <c r="EG164" s="1781">
        <v>98</v>
      </c>
      <c r="EH164" s="1781">
        <v>99</v>
      </c>
      <c r="EI164" s="1781">
        <v>100</v>
      </c>
      <c r="EJ164" s="1781">
        <v>101</v>
      </c>
      <c r="EK164" s="1781">
        <v>102</v>
      </c>
      <c r="EL164" s="1781">
        <v>103</v>
      </c>
      <c r="EM164" s="1781">
        <v>104</v>
      </c>
      <c r="EN164" s="1781">
        <v>105</v>
      </c>
      <c r="EO164" s="1781">
        <v>106</v>
      </c>
      <c r="EP164" s="1781">
        <v>107</v>
      </c>
      <c r="EQ164" s="1781">
        <v>108</v>
      </c>
      <c r="ER164" s="1781">
        <v>109</v>
      </c>
      <c r="ES164" s="1781">
        <v>110</v>
      </c>
      <c r="ET164" s="1781">
        <v>111</v>
      </c>
      <c r="EU164" s="1781">
        <v>112</v>
      </c>
      <c r="EV164" s="1781">
        <v>113</v>
      </c>
      <c r="EW164" s="1781">
        <v>114</v>
      </c>
      <c r="EX164" s="1781">
        <v>115</v>
      </c>
      <c r="EY164" s="1781">
        <v>116</v>
      </c>
      <c r="EZ164" s="1781">
        <v>117</v>
      </c>
      <c r="FA164" s="1781">
        <v>118</v>
      </c>
      <c r="FB164" s="1781">
        <v>119</v>
      </c>
      <c r="FC164" s="1781">
        <v>120</v>
      </c>
      <c r="FD164" s="1781">
        <v>121</v>
      </c>
      <c r="FE164" s="1781">
        <v>122</v>
      </c>
      <c r="FF164" s="1781">
        <v>123</v>
      </c>
      <c r="FG164" s="1781">
        <v>124</v>
      </c>
      <c r="FH164" s="1781">
        <v>125</v>
      </c>
      <c r="FI164" s="1781">
        <v>126</v>
      </c>
      <c r="FJ164" s="1781">
        <v>127</v>
      </c>
      <c r="FK164" s="1781">
        <v>128</v>
      </c>
      <c r="FL164" s="1781">
        <v>129</v>
      </c>
      <c r="FM164" s="1781">
        <v>130</v>
      </c>
      <c r="FN164" s="1781">
        <v>131</v>
      </c>
      <c r="FO164" s="1781">
        <v>132</v>
      </c>
      <c r="FP164" s="1781">
        <v>133</v>
      </c>
      <c r="FQ164" s="1781">
        <v>134</v>
      </c>
      <c r="FR164" s="1781">
        <v>135</v>
      </c>
      <c r="FS164" s="1781">
        <v>136</v>
      </c>
      <c r="FT164" s="1781">
        <v>137</v>
      </c>
      <c r="FU164" s="1781">
        <v>140</v>
      </c>
      <c r="FV164" s="1781">
        <v>160</v>
      </c>
      <c r="FW164" s="1781">
        <v>180</v>
      </c>
      <c r="FX164" s="1781">
        <v>200</v>
      </c>
      <c r="FY164" s="1781">
        <v>250</v>
      </c>
      <c r="FZ164" s="1781">
        <v>300</v>
      </c>
      <c r="GA164" s="1779"/>
      <c r="GB164" s="1779"/>
      <c r="GC164" s="1779"/>
    </row>
    <row r="165" spans="1:185" s="1499" customFormat="1" ht="12.75" customHeight="1">
      <c r="A165" s="1632" t="str">
        <f t="shared" si="23"/>
        <v>n</v>
      </c>
      <c r="B165" s="1004"/>
      <c r="C165" s="1502"/>
      <c r="D165" s="2060"/>
      <c r="E165" s="1578" t="str">
        <f t="shared" ref="E165:E188" si="36">E130</f>
        <v>--</v>
      </c>
      <c r="F165" s="2060"/>
      <c r="G165" s="2060"/>
      <c r="H165" s="2232" t="str">
        <f t="shared" si="24"/>
        <v>--</v>
      </c>
      <c r="I165" s="2233" t="str">
        <f t="shared" si="25"/>
        <v>--</v>
      </c>
      <c r="J165" s="2233" t="str">
        <f t="shared" si="26"/>
        <v>--</v>
      </c>
      <c r="K165" s="1794"/>
      <c r="L165" s="2060"/>
      <c r="M165" s="2232" t="str">
        <f t="shared" si="27"/>
        <v>--</v>
      </c>
      <c r="N165" s="2233" t="str">
        <f t="shared" si="28"/>
        <v>--</v>
      </c>
      <c r="O165" s="2233" t="str">
        <f t="shared" si="29"/>
        <v>--</v>
      </c>
      <c r="P165" s="2060"/>
      <c r="Q165" s="2060"/>
      <c r="R165" s="2232" t="str">
        <f t="shared" si="30"/>
        <v>--</v>
      </c>
      <c r="S165" s="2233" t="str">
        <f t="shared" si="31"/>
        <v>--</v>
      </c>
      <c r="T165" s="2233" t="str">
        <f t="shared" si="32"/>
        <v>--</v>
      </c>
      <c r="U165" s="2060"/>
      <c r="V165" s="2060"/>
      <c r="W165" s="2232" t="str">
        <f t="shared" si="33"/>
        <v>--</v>
      </c>
      <c r="X165" s="2233" t="str">
        <f t="shared" si="34"/>
        <v>--</v>
      </c>
      <c r="Y165" s="2233" t="str">
        <f t="shared" si="35"/>
        <v>--</v>
      </c>
      <c r="Z165" s="2060"/>
      <c r="AA165" s="2060"/>
      <c r="AB165" s="2060"/>
      <c r="AC165" s="2060"/>
      <c r="AD165" s="1004"/>
      <c r="AE165" s="2060"/>
      <c r="AF165" s="2060"/>
      <c r="AG165" s="2060"/>
      <c r="AH165" s="2060"/>
      <c r="AI165" s="1784">
        <v>1</v>
      </c>
      <c r="AJ165" s="1785">
        <v>0.2</v>
      </c>
      <c r="AK165" s="1786">
        <v>0.1</v>
      </c>
      <c r="AL165" s="1786"/>
      <c r="AM165" s="1787">
        <v>0</v>
      </c>
      <c r="AN165" s="1788">
        <v>3.0779999999999998</v>
      </c>
      <c r="AO165" s="1788">
        <v>1.8859999999999999</v>
      </c>
      <c r="AP165" s="1788">
        <v>1.6379999999999999</v>
      </c>
      <c r="AQ165" s="1788">
        <v>1.5329999999999999</v>
      </c>
      <c r="AR165" s="1788">
        <v>1.476</v>
      </c>
      <c r="AS165" s="1788">
        <v>1.44</v>
      </c>
      <c r="AT165" s="1788">
        <v>1.415</v>
      </c>
      <c r="AU165" s="1788">
        <v>1.397</v>
      </c>
      <c r="AV165" s="1788">
        <v>1.383</v>
      </c>
      <c r="AW165" s="1788">
        <v>1.3720000000000001</v>
      </c>
      <c r="AX165" s="1788">
        <v>1.363</v>
      </c>
      <c r="AY165" s="1788">
        <v>1.3560000000000001</v>
      </c>
      <c r="AZ165" s="1788">
        <v>1.35</v>
      </c>
      <c r="BA165" s="1788">
        <v>1.345</v>
      </c>
      <c r="BB165" s="1788">
        <v>1.341</v>
      </c>
      <c r="BC165" s="1788">
        <v>1.337</v>
      </c>
      <c r="BD165" s="1788">
        <v>1.333</v>
      </c>
      <c r="BE165" s="1788">
        <v>1.33</v>
      </c>
      <c r="BF165" s="1788">
        <v>1.3280000000000001</v>
      </c>
      <c r="BG165" s="1788">
        <v>1.325</v>
      </c>
      <c r="BH165" s="1788">
        <v>1.323</v>
      </c>
      <c r="BI165" s="1788">
        <v>1.321</v>
      </c>
      <c r="BJ165" s="1788">
        <v>1.319</v>
      </c>
      <c r="BK165" s="1788">
        <v>1.3180000000000001</v>
      </c>
      <c r="BL165" s="1788">
        <v>1.3160000000000001</v>
      </c>
      <c r="BM165" s="1788">
        <v>1.3149999999999999</v>
      </c>
      <c r="BN165" s="1788">
        <v>1.3140000000000001</v>
      </c>
      <c r="BO165" s="1788">
        <v>1.3129999999999999</v>
      </c>
      <c r="BP165" s="1788">
        <v>1.3109999999999999</v>
      </c>
      <c r="BQ165" s="1788">
        <v>1.31</v>
      </c>
      <c r="BR165" s="1788">
        <v>1.3089999999999999</v>
      </c>
      <c r="BS165" s="1788">
        <v>1.3089999999999999</v>
      </c>
      <c r="BT165" s="1788">
        <v>1.3080000000000001</v>
      </c>
      <c r="BU165" s="1788">
        <v>1.3069999999999999</v>
      </c>
      <c r="BV165" s="1788">
        <v>1.306</v>
      </c>
      <c r="BW165" s="1788">
        <v>1.306</v>
      </c>
      <c r="BX165" s="1788">
        <v>1.3049999999999999</v>
      </c>
      <c r="BY165" s="1788">
        <v>1.304</v>
      </c>
      <c r="BZ165" s="1788">
        <v>1.304</v>
      </c>
      <c r="CA165" s="1788">
        <v>1.3029999999999999</v>
      </c>
      <c r="CB165" s="1788">
        <v>1.3029999999999999</v>
      </c>
      <c r="CC165" s="1788">
        <v>1.302</v>
      </c>
      <c r="CD165" s="1788">
        <v>1.302</v>
      </c>
      <c r="CE165" s="1788">
        <v>1.3009999999999999</v>
      </c>
      <c r="CF165" s="1788">
        <v>1.3009999999999999</v>
      </c>
      <c r="CG165" s="1788">
        <v>1.3</v>
      </c>
      <c r="CH165" s="1788">
        <v>1.3</v>
      </c>
      <c r="CI165" s="1788">
        <v>1.2989999999999999</v>
      </c>
      <c r="CJ165" s="1788">
        <v>1.2989999999999999</v>
      </c>
      <c r="CK165" s="1788">
        <v>1.2989999999999999</v>
      </c>
      <c r="CL165" s="1788">
        <v>1.2989999999999999</v>
      </c>
      <c r="CM165" s="1788">
        <v>1.2989999999999999</v>
      </c>
      <c r="CN165" s="1788">
        <v>1.2989999999999999</v>
      </c>
      <c r="CO165" s="1788">
        <v>1.2989999999999999</v>
      </c>
      <c r="CP165" s="1788">
        <v>1.2989999999999999</v>
      </c>
      <c r="CQ165" s="1788">
        <v>1.2989999999999999</v>
      </c>
      <c r="CR165" s="1788">
        <v>1.2989999999999999</v>
      </c>
      <c r="CS165" s="1788">
        <v>1.2989999999999999</v>
      </c>
      <c r="CT165" s="1788">
        <v>1.2989999999999999</v>
      </c>
      <c r="CU165" s="1788">
        <v>1.296</v>
      </c>
      <c r="CV165" s="1788">
        <v>1.296</v>
      </c>
      <c r="CW165" s="1788">
        <v>1.296</v>
      </c>
      <c r="CX165" s="1788">
        <v>1.296</v>
      </c>
      <c r="CY165" s="1788">
        <v>1.296</v>
      </c>
      <c r="CZ165" s="1788">
        <v>1.296</v>
      </c>
      <c r="DA165" s="1788">
        <v>1.296</v>
      </c>
      <c r="DB165" s="1788">
        <v>1.296</v>
      </c>
      <c r="DC165" s="1788">
        <v>1.296</v>
      </c>
      <c r="DD165" s="1788">
        <v>1.296</v>
      </c>
      <c r="DE165" s="1788">
        <v>1.294</v>
      </c>
      <c r="DF165" s="1788">
        <v>1.294</v>
      </c>
      <c r="DG165" s="1788">
        <v>1.294</v>
      </c>
      <c r="DH165" s="1788">
        <v>1.294</v>
      </c>
      <c r="DI165" s="1788">
        <v>1.294</v>
      </c>
      <c r="DJ165" s="1788">
        <v>1.294</v>
      </c>
      <c r="DK165" s="1788">
        <v>1.294</v>
      </c>
      <c r="DL165" s="1788">
        <v>1.294</v>
      </c>
      <c r="DM165" s="1788">
        <v>1.294</v>
      </c>
      <c r="DN165" s="1788">
        <v>1.294</v>
      </c>
      <c r="DO165" s="1788">
        <v>1.292</v>
      </c>
      <c r="DP165" s="1788">
        <v>1.292</v>
      </c>
      <c r="DQ165" s="1788">
        <v>1.292</v>
      </c>
      <c r="DR165" s="1788">
        <v>1.292</v>
      </c>
      <c r="DS165" s="1788">
        <v>1.292</v>
      </c>
      <c r="DT165" s="1788">
        <v>1.292</v>
      </c>
      <c r="DU165" s="1788">
        <v>1.292</v>
      </c>
      <c r="DV165" s="1788">
        <v>1.292</v>
      </c>
      <c r="DW165" s="1788">
        <v>1.292</v>
      </c>
      <c r="DX165" s="1788">
        <v>1.292</v>
      </c>
      <c r="DY165" s="1788">
        <v>1.2909999999999999</v>
      </c>
      <c r="DZ165" s="1788">
        <v>1.2909999999999999</v>
      </c>
      <c r="EA165" s="1788">
        <v>1.2909999999999999</v>
      </c>
      <c r="EB165" s="1788">
        <v>1.2909999999999999</v>
      </c>
      <c r="EC165" s="1788">
        <v>1.2909999999999999</v>
      </c>
      <c r="ED165" s="1788">
        <v>1.2909999999999999</v>
      </c>
      <c r="EE165" s="1788">
        <v>1.2909999999999999</v>
      </c>
      <c r="EF165" s="1788">
        <v>1.2909999999999999</v>
      </c>
      <c r="EG165" s="1788">
        <v>1.2909999999999999</v>
      </c>
      <c r="EH165" s="1788">
        <v>1.2909999999999999</v>
      </c>
      <c r="EI165" s="1788">
        <v>1.29</v>
      </c>
      <c r="EJ165" s="1788">
        <v>1.29</v>
      </c>
      <c r="EK165" s="1788">
        <v>1.29</v>
      </c>
      <c r="EL165" s="1788">
        <v>1.29</v>
      </c>
      <c r="EM165" s="1788">
        <v>1.29</v>
      </c>
      <c r="EN165" s="1788">
        <v>1.2896662828164907</v>
      </c>
      <c r="EO165" s="1788">
        <v>1.289589240817</v>
      </c>
      <c r="EP165" s="1788">
        <v>1.2895136479305567</v>
      </c>
      <c r="EQ165" s="1788">
        <v>1.2894394636530961</v>
      </c>
      <c r="ER165" s="1788">
        <v>1.2893666489761912</v>
      </c>
      <c r="ES165" s="1788">
        <v>1.2892951663187691</v>
      </c>
      <c r="ET165" s="1788">
        <v>1.2892249794616073</v>
      </c>
      <c r="EU165" s="1788">
        <v>1.2891560534876412</v>
      </c>
      <c r="EV165" s="1788">
        <v>1.2890883547225922</v>
      </c>
      <c r="EW165" s="1788">
        <v>1.2890218506808804</v>
      </c>
      <c r="EX165" s="1788">
        <v>1.2889565100132527</v>
      </c>
      <c r="EY165" s="1788">
        <v>1.2888923024581582</v>
      </c>
      <c r="EZ165" s="1788">
        <v>1.288829198793854</v>
      </c>
      <c r="FA165" s="1788">
        <v>1.2887671707957931</v>
      </c>
      <c r="FB165" s="1788">
        <v>1.2887061911924298</v>
      </c>
      <c r="FC165" s="1788">
        <v>1.288646233627365</v>
      </c>
      <c r="FD165" s="1788">
        <v>1.2885872726193597</v>
      </c>
      <c r="FE165" s="1788">
        <v>1.288529283528463</v>
      </c>
      <c r="FF165" s="1788">
        <v>1.2884722425186159</v>
      </c>
      <c r="FG165" s="1788">
        <v>1.2884161265288485</v>
      </c>
      <c r="FH165" s="1788">
        <v>1.2883609132384493</v>
      </c>
      <c r="FI165" s="1788">
        <v>1.2883065810401324</v>
      </c>
      <c r="FJ165" s="1788">
        <v>1.2882531090101628</v>
      </c>
      <c r="FK165" s="1788">
        <v>1.2882004768824298</v>
      </c>
      <c r="FL165" s="1788">
        <v>1.2881486650225002</v>
      </c>
      <c r="FM165" s="1788">
        <v>1.2880976544026326</v>
      </c>
      <c r="FN165" s="1788">
        <v>1.288047426580456</v>
      </c>
      <c r="FO165" s="1788">
        <v>1.2879979636732299</v>
      </c>
      <c r="FP165" s="1788">
        <v>1.287949248340658</v>
      </c>
      <c r="FQ165" s="1788">
        <v>1.2879012637617362</v>
      </c>
      <c r="FR165" s="1788">
        <v>1.2878539936165088</v>
      </c>
      <c r="FS165" s="1788">
        <v>1.287807422067428</v>
      </c>
      <c r="FT165" s="1788">
        <v>1.2877615337414086</v>
      </c>
      <c r="FU165" s="1788">
        <v>1.288</v>
      </c>
      <c r="FV165" s="1788">
        <v>1.2869999999999999</v>
      </c>
      <c r="FW165" s="1788">
        <v>1.286</v>
      </c>
      <c r="FX165" s="1788">
        <v>1.286</v>
      </c>
      <c r="FY165" s="1788">
        <v>1.2849999999999999</v>
      </c>
      <c r="FZ165" s="1788">
        <v>1.284</v>
      </c>
      <c r="GA165" s="1779"/>
      <c r="GB165" s="1779"/>
      <c r="GC165" s="1779"/>
    </row>
    <row r="166" spans="1:185" s="1499" customFormat="1" ht="12.75" customHeight="1">
      <c r="A166" s="1632" t="str">
        <f t="shared" si="23"/>
        <v>n</v>
      </c>
      <c r="B166" s="1004"/>
      <c r="C166" s="1502"/>
      <c r="D166" s="2060"/>
      <c r="E166" s="1578" t="str">
        <f t="shared" si="36"/>
        <v>--</v>
      </c>
      <c r="F166" s="2060"/>
      <c r="G166" s="2060"/>
      <c r="H166" s="2232" t="str">
        <f t="shared" si="24"/>
        <v>--</v>
      </c>
      <c r="I166" s="2233" t="str">
        <f t="shared" si="25"/>
        <v>--</v>
      </c>
      <c r="J166" s="2233" t="str">
        <f t="shared" si="26"/>
        <v>--</v>
      </c>
      <c r="K166" s="1794"/>
      <c r="L166" s="2060"/>
      <c r="M166" s="2232" t="str">
        <f t="shared" si="27"/>
        <v>--</v>
      </c>
      <c r="N166" s="2233" t="str">
        <f t="shared" si="28"/>
        <v>--</v>
      </c>
      <c r="O166" s="2233" t="str">
        <f t="shared" si="29"/>
        <v>--</v>
      </c>
      <c r="P166" s="2060"/>
      <c r="Q166" s="2060"/>
      <c r="R166" s="2232" t="str">
        <f t="shared" si="30"/>
        <v>--</v>
      </c>
      <c r="S166" s="2233" t="str">
        <f t="shared" si="31"/>
        <v>--</v>
      </c>
      <c r="T166" s="2233" t="str">
        <f t="shared" si="32"/>
        <v>--</v>
      </c>
      <c r="U166" s="2060"/>
      <c r="V166" s="2060"/>
      <c r="W166" s="2232" t="str">
        <f t="shared" si="33"/>
        <v>--</v>
      </c>
      <c r="X166" s="2233" t="str">
        <f t="shared" si="34"/>
        <v>--</v>
      </c>
      <c r="Y166" s="2233" t="str">
        <f t="shared" si="35"/>
        <v>--</v>
      </c>
      <c r="Z166" s="2060"/>
      <c r="AA166" s="2060"/>
      <c r="AB166" s="2060"/>
      <c r="AC166" s="2060"/>
      <c r="AD166" s="1004"/>
      <c r="AE166" s="2060"/>
      <c r="AF166" s="2060"/>
      <c r="AG166" s="2060"/>
      <c r="AH166" s="2060"/>
      <c r="AI166" s="1784">
        <v>2</v>
      </c>
      <c r="AJ166" s="1785">
        <v>0.1</v>
      </c>
      <c r="AK166" s="1786">
        <v>0.05</v>
      </c>
      <c r="AL166" s="1786"/>
      <c r="AM166" s="1787">
        <v>0</v>
      </c>
      <c r="AN166" s="1790">
        <v>6.3140000000000001</v>
      </c>
      <c r="AO166" s="1790">
        <v>2.92</v>
      </c>
      <c r="AP166" s="1790">
        <v>2.3530000000000002</v>
      </c>
      <c r="AQ166" s="1790">
        <v>2.1320000000000001</v>
      </c>
      <c r="AR166" s="1790">
        <v>2.0150000000000001</v>
      </c>
      <c r="AS166" s="1790">
        <v>1.9430000000000001</v>
      </c>
      <c r="AT166" s="1790">
        <v>1.895</v>
      </c>
      <c r="AU166" s="1790">
        <v>1.86</v>
      </c>
      <c r="AV166" s="1790">
        <v>1.833</v>
      </c>
      <c r="AW166" s="1790">
        <v>1.8120000000000001</v>
      </c>
      <c r="AX166" s="1790">
        <v>1.796</v>
      </c>
      <c r="AY166" s="1790">
        <v>1.782</v>
      </c>
      <c r="AZ166" s="1790">
        <v>1.7709999999999999</v>
      </c>
      <c r="BA166" s="1790">
        <v>1.7609999999999999</v>
      </c>
      <c r="BB166" s="1790">
        <v>1.7529999999999999</v>
      </c>
      <c r="BC166" s="1790">
        <v>1.746</v>
      </c>
      <c r="BD166" s="1790">
        <v>1.74</v>
      </c>
      <c r="BE166" s="1790">
        <v>1.734</v>
      </c>
      <c r="BF166" s="1790">
        <v>1.7290000000000001</v>
      </c>
      <c r="BG166" s="1790">
        <v>1.7250000000000001</v>
      </c>
      <c r="BH166" s="1790">
        <v>1.7210000000000001</v>
      </c>
      <c r="BI166" s="1790">
        <v>1.7170000000000001</v>
      </c>
      <c r="BJ166" s="1790">
        <v>1.714</v>
      </c>
      <c r="BK166" s="1790">
        <v>1.7110000000000001</v>
      </c>
      <c r="BL166" s="1790">
        <v>1.708</v>
      </c>
      <c r="BM166" s="1790">
        <v>1.706</v>
      </c>
      <c r="BN166" s="1790">
        <v>1.7030000000000001</v>
      </c>
      <c r="BO166" s="1790">
        <v>1.7010000000000001</v>
      </c>
      <c r="BP166" s="1790">
        <v>1.6990000000000001</v>
      </c>
      <c r="BQ166" s="1790">
        <v>1.6970000000000001</v>
      </c>
      <c r="BR166" s="1790">
        <v>1.696</v>
      </c>
      <c r="BS166" s="1790">
        <v>1.694</v>
      </c>
      <c r="BT166" s="1790">
        <v>1.6919999999999999</v>
      </c>
      <c r="BU166" s="1790">
        <v>1.6910000000000001</v>
      </c>
      <c r="BV166" s="1790">
        <v>1.69</v>
      </c>
      <c r="BW166" s="1790">
        <v>1.6879999999999999</v>
      </c>
      <c r="BX166" s="1790">
        <v>1.6870000000000001</v>
      </c>
      <c r="BY166" s="1790">
        <v>1.6859999999999999</v>
      </c>
      <c r="BZ166" s="1790">
        <v>1.6850000000000001</v>
      </c>
      <c r="CA166" s="1790">
        <v>1.6839999999999999</v>
      </c>
      <c r="CB166" s="1790">
        <v>1.6830000000000001</v>
      </c>
      <c r="CC166" s="1790">
        <v>1.6819999999999999</v>
      </c>
      <c r="CD166" s="1790">
        <v>2.681</v>
      </c>
      <c r="CE166" s="1790">
        <v>1.68</v>
      </c>
      <c r="CF166" s="1790">
        <v>1.679</v>
      </c>
      <c r="CG166" s="1790">
        <v>1.679</v>
      </c>
      <c r="CH166" s="1790">
        <v>1.6779999999999999</v>
      </c>
      <c r="CI166" s="1790">
        <v>1.677</v>
      </c>
      <c r="CJ166" s="1790">
        <v>1.677</v>
      </c>
      <c r="CK166" s="1790">
        <v>1.6759999999999999</v>
      </c>
      <c r="CL166" s="1790">
        <v>1.6759999999999999</v>
      </c>
      <c r="CM166" s="1790">
        <v>1.6759999999999999</v>
      </c>
      <c r="CN166" s="1790">
        <v>1.6759999999999999</v>
      </c>
      <c r="CO166" s="1790">
        <v>1.6759999999999999</v>
      </c>
      <c r="CP166" s="1790">
        <v>1.6759999999999999</v>
      </c>
      <c r="CQ166" s="1790">
        <v>1.6759999999999999</v>
      </c>
      <c r="CR166" s="1790">
        <v>1.6759999999999999</v>
      </c>
      <c r="CS166" s="1790">
        <v>1.6759999999999999</v>
      </c>
      <c r="CT166" s="1790">
        <v>1.6759999999999999</v>
      </c>
      <c r="CU166" s="1790">
        <v>1.671</v>
      </c>
      <c r="CV166" s="1790">
        <v>1.671</v>
      </c>
      <c r="CW166" s="1790">
        <v>1.671</v>
      </c>
      <c r="CX166" s="1790">
        <v>1.671</v>
      </c>
      <c r="CY166" s="1790">
        <v>1.671</v>
      </c>
      <c r="CZ166" s="1790">
        <v>1.671</v>
      </c>
      <c r="DA166" s="1790">
        <v>1.671</v>
      </c>
      <c r="DB166" s="1790">
        <v>1.671</v>
      </c>
      <c r="DC166" s="1790">
        <v>1.671</v>
      </c>
      <c r="DD166" s="1790">
        <v>1.671</v>
      </c>
      <c r="DE166" s="1790">
        <v>1.667</v>
      </c>
      <c r="DF166" s="1790">
        <v>1.667</v>
      </c>
      <c r="DG166" s="1790">
        <v>1.667</v>
      </c>
      <c r="DH166" s="1790">
        <v>1.667</v>
      </c>
      <c r="DI166" s="1790">
        <v>1.667</v>
      </c>
      <c r="DJ166" s="1790">
        <v>1.667</v>
      </c>
      <c r="DK166" s="1790">
        <v>1.667</v>
      </c>
      <c r="DL166" s="1790">
        <v>1.667</v>
      </c>
      <c r="DM166" s="1790">
        <v>1.667</v>
      </c>
      <c r="DN166" s="1790">
        <v>1.667</v>
      </c>
      <c r="DO166" s="1790">
        <v>1.6639999999999999</v>
      </c>
      <c r="DP166" s="1790">
        <v>1.6639999999999999</v>
      </c>
      <c r="DQ166" s="1790">
        <v>1.6639999999999999</v>
      </c>
      <c r="DR166" s="1790">
        <v>1.6639999999999999</v>
      </c>
      <c r="DS166" s="1790">
        <v>1.6639999999999999</v>
      </c>
      <c r="DT166" s="1790">
        <v>1.6639999999999999</v>
      </c>
      <c r="DU166" s="1790">
        <v>1.6639999999999999</v>
      </c>
      <c r="DV166" s="1790">
        <v>1.6639999999999999</v>
      </c>
      <c r="DW166" s="1790">
        <v>1.6639999999999999</v>
      </c>
      <c r="DX166" s="1790">
        <v>1.6639999999999999</v>
      </c>
      <c r="DY166" s="1790">
        <v>1.6619999999999999</v>
      </c>
      <c r="DZ166" s="1790">
        <v>1.6619999999999999</v>
      </c>
      <c r="EA166" s="1790">
        <v>1.6619999999999999</v>
      </c>
      <c r="EB166" s="1790">
        <v>1.6619999999999999</v>
      </c>
      <c r="EC166" s="1790">
        <v>1.6619999999999999</v>
      </c>
      <c r="ED166" s="1790">
        <v>1.6619999999999999</v>
      </c>
      <c r="EE166" s="1790">
        <v>1.6619999999999999</v>
      </c>
      <c r="EF166" s="1790">
        <v>1.6619999999999999</v>
      </c>
      <c r="EG166" s="1790">
        <v>1.6619999999999999</v>
      </c>
      <c r="EH166" s="1790">
        <v>1.6619999999999999</v>
      </c>
      <c r="EI166" s="1790">
        <v>1.66</v>
      </c>
      <c r="EJ166" s="1790">
        <v>1.66</v>
      </c>
      <c r="EK166" s="1790">
        <v>1.66</v>
      </c>
      <c r="EL166" s="1790">
        <v>1.66</v>
      </c>
      <c r="EM166" s="1790">
        <v>1.66</v>
      </c>
      <c r="EN166" s="1790">
        <v>1.6594953838965147</v>
      </c>
      <c r="EO166" s="1790">
        <v>1.659356034436807</v>
      </c>
      <c r="EP166" s="1790">
        <v>1.6592193123707744</v>
      </c>
      <c r="EQ166" s="1790">
        <v>1.659085144085477</v>
      </c>
      <c r="ER166" s="1790">
        <v>1.658953458692797</v>
      </c>
      <c r="ES166" s="1790">
        <v>1.658824187904071</v>
      </c>
      <c r="ET166" s="1790">
        <v>1.6586972659113743</v>
      </c>
      <c r="EU166" s="1790">
        <v>1.6585726292778431</v>
      </c>
      <c r="EV166" s="1790">
        <v>1.658450216829733</v>
      </c>
      <c r="EW166" s="1790">
        <v>1.6583299695578222</v>
      </c>
      <c r="EX166" s="1790">
        <v>1.6582118305211169</v>
      </c>
      <c r="EY166" s="1790">
        <v>1.6580957447589912</v>
      </c>
      <c r="EZ166" s="1790">
        <v>1.657981659203335</v>
      </c>
      <c r="FA166" s="1790">
        <v>1.6578695226009086</v>
      </c>
      <c r="FB166" s="1790">
        <v>1.6577592854328596</v>
      </c>
      <c r="FC166" s="1790">
        <v>1.6576508998454447</v>
      </c>
      <c r="FD166" s="1790">
        <v>1.6575443195773287</v>
      </c>
      <c r="FE166" s="1790">
        <v>1.6574394998979067</v>
      </c>
      <c r="FF166" s="1790">
        <v>1.6573363975386184</v>
      </c>
      <c r="FG166" s="1790">
        <v>1.6572349706412122</v>
      </c>
      <c r="FH166" s="1790">
        <v>1.6571351786935744</v>
      </c>
      <c r="FI166" s="1790">
        <v>1.6570369824810474</v>
      </c>
      <c r="FJ166" s="1790">
        <v>1.6569403440324066</v>
      </c>
      <c r="FK166" s="1790">
        <v>1.6568452265717508</v>
      </c>
      <c r="FL166" s="1790">
        <v>1.6567515944721882</v>
      </c>
      <c r="FM166" s="1790">
        <v>1.6566594132095731</v>
      </c>
      <c r="FN166" s="1790">
        <v>1.6565686493239786</v>
      </c>
      <c r="FO166" s="1790">
        <v>1.656479270372798</v>
      </c>
      <c r="FP166" s="1790">
        <v>1.6563912448995977</v>
      </c>
      <c r="FQ166" s="1790">
        <v>1.6563045423913834</v>
      </c>
      <c r="FR166" s="1790">
        <v>1.6562191332462697</v>
      </c>
      <c r="FS166" s="1790">
        <v>1.6561349887386507</v>
      </c>
      <c r="FT166" s="1790">
        <v>1.6560520809870565</v>
      </c>
      <c r="FU166" s="1790">
        <v>1.6559999999999999</v>
      </c>
      <c r="FV166" s="1790">
        <v>1.6539999999999999</v>
      </c>
      <c r="FW166" s="1790">
        <v>1.653</v>
      </c>
      <c r="FX166" s="1790">
        <v>1.653</v>
      </c>
      <c r="FY166" s="1790">
        <v>1.651</v>
      </c>
      <c r="FZ166" s="1790">
        <v>1.65</v>
      </c>
      <c r="GA166" s="1779"/>
      <c r="GB166" s="1779"/>
      <c r="GC166" s="1779"/>
    </row>
    <row r="167" spans="1:185" s="1499" customFormat="1" ht="12.75" customHeight="1">
      <c r="A167" s="1632" t="str">
        <f t="shared" si="23"/>
        <v>n</v>
      </c>
      <c r="B167" s="1004"/>
      <c r="C167" s="1502"/>
      <c r="D167" s="2060"/>
      <c r="E167" s="1578" t="str">
        <f t="shared" si="36"/>
        <v>--</v>
      </c>
      <c r="F167" s="2060"/>
      <c r="G167" s="2060"/>
      <c r="H167" s="2232" t="str">
        <f t="shared" si="24"/>
        <v>--</v>
      </c>
      <c r="I167" s="2233" t="str">
        <f t="shared" si="25"/>
        <v>--</v>
      </c>
      <c r="J167" s="2233" t="str">
        <f t="shared" si="26"/>
        <v>--</v>
      </c>
      <c r="K167" s="1794"/>
      <c r="L167" s="2060"/>
      <c r="M167" s="2232" t="str">
        <f t="shared" si="27"/>
        <v>--</v>
      </c>
      <c r="N167" s="2233" t="str">
        <f t="shared" si="28"/>
        <v>--</v>
      </c>
      <c r="O167" s="2233" t="str">
        <f t="shared" si="29"/>
        <v>--</v>
      </c>
      <c r="P167" s="2060"/>
      <c r="Q167" s="2060"/>
      <c r="R167" s="2232" t="str">
        <f t="shared" si="30"/>
        <v>--</v>
      </c>
      <c r="S167" s="2233" t="str">
        <f t="shared" si="31"/>
        <v>--</v>
      </c>
      <c r="T167" s="2233" t="str">
        <f t="shared" si="32"/>
        <v>--</v>
      </c>
      <c r="U167" s="2060"/>
      <c r="V167" s="2060"/>
      <c r="W167" s="2232" t="str">
        <f t="shared" si="33"/>
        <v>--</v>
      </c>
      <c r="X167" s="2233" t="str">
        <f t="shared" si="34"/>
        <v>--</v>
      </c>
      <c r="Y167" s="2233" t="str">
        <f t="shared" si="35"/>
        <v>--</v>
      </c>
      <c r="Z167" s="2060"/>
      <c r="AA167" s="2060"/>
      <c r="AB167" s="2060"/>
      <c r="AC167" s="2060"/>
      <c r="AD167" s="1004"/>
      <c r="AE167" s="2060"/>
      <c r="AF167" s="2060"/>
      <c r="AG167" s="2060"/>
      <c r="AH167" s="2060"/>
      <c r="AI167" s="1792">
        <v>3</v>
      </c>
      <c r="AJ167" s="1785">
        <v>0.05</v>
      </c>
      <c r="AK167" s="1786">
        <v>2.5000000000000001E-2</v>
      </c>
      <c r="AL167" s="1786"/>
      <c r="AM167" s="1787">
        <v>0</v>
      </c>
      <c r="AN167" s="1793">
        <v>12.706</v>
      </c>
      <c r="AO167" s="1793">
        <v>4.3029999999999999</v>
      </c>
      <c r="AP167" s="1793">
        <v>3.1819999999999999</v>
      </c>
      <c r="AQ167" s="1793">
        <v>2.7759999999999998</v>
      </c>
      <c r="AR167" s="1793">
        <v>2.5710000000000002</v>
      </c>
      <c r="AS167" s="1793">
        <v>2.4470000000000001</v>
      </c>
      <c r="AT167" s="1793">
        <v>2.3650000000000002</v>
      </c>
      <c r="AU167" s="1793">
        <v>2.306</v>
      </c>
      <c r="AV167" s="1793">
        <v>2.262</v>
      </c>
      <c r="AW167" s="1793">
        <v>2.2280000000000002</v>
      </c>
      <c r="AX167" s="1793">
        <v>2.2010000000000001</v>
      </c>
      <c r="AY167" s="1793">
        <v>2.1789999999999998</v>
      </c>
      <c r="AZ167" s="1793">
        <v>2.16</v>
      </c>
      <c r="BA167" s="1793">
        <v>2.145</v>
      </c>
      <c r="BB167" s="1793">
        <v>2.1309999999999998</v>
      </c>
      <c r="BC167" s="1793">
        <v>2.12</v>
      </c>
      <c r="BD167" s="1793">
        <v>2.11</v>
      </c>
      <c r="BE167" s="1793">
        <v>2.101</v>
      </c>
      <c r="BF167" s="1793">
        <v>2.093</v>
      </c>
      <c r="BG167" s="1793">
        <v>2.0859999999999999</v>
      </c>
      <c r="BH167" s="1793">
        <v>2.08</v>
      </c>
      <c r="BI167" s="1793">
        <v>2.0739999999999998</v>
      </c>
      <c r="BJ167" s="1793">
        <v>2.069</v>
      </c>
      <c r="BK167" s="1793">
        <v>2.0640000000000001</v>
      </c>
      <c r="BL167" s="1793">
        <v>2.06</v>
      </c>
      <c r="BM167" s="1793">
        <v>2.056</v>
      </c>
      <c r="BN167" s="1793">
        <v>2.052</v>
      </c>
      <c r="BO167" s="1793">
        <v>2.048</v>
      </c>
      <c r="BP167" s="1793">
        <v>2.0449999999999999</v>
      </c>
      <c r="BQ167" s="1793">
        <v>2.0419999999999998</v>
      </c>
      <c r="BR167" s="1793">
        <v>2.04</v>
      </c>
      <c r="BS167" s="1793">
        <v>2.0369999999999999</v>
      </c>
      <c r="BT167" s="1793">
        <v>2.0350000000000001</v>
      </c>
      <c r="BU167" s="1793">
        <v>2.032</v>
      </c>
      <c r="BV167" s="1793">
        <v>2.0299999999999998</v>
      </c>
      <c r="BW167" s="1793">
        <v>2.028</v>
      </c>
      <c r="BX167" s="1793">
        <v>2.0259999999999998</v>
      </c>
      <c r="BY167" s="1793">
        <v>2.024</v>
      </c>
      <c r="BZ167" s="1793">
        <v>2.0230000000000001</v>
      </c>
      <c r="CA167" s="1793">
        <v>2.0209999999999999</v>
      </c>
      <c r="CB167" s="1793">
        <v>2.02</v>
      </c>
      <c r="CC167" s="1793">
        <v>2.0179999999999998</v>
      </c>
      <c r="CD167" s="1793">
        <v>2.0169999999999999</v>
      </c>
      <c r="CE167" s="1793">
        <v>2.0150000000000001</v>
      </c>
      <c r="CF167" s="1793">
        <v>2.0139999999999998</v>
      </c>
      <c r="CG167" s="1793">
        <v>2.0129999999999999</v>
      </c>
      <c r="CH167" s="1793">
        <v>2.012</v>
      </c>
      <c r="CI167" s="1793">
        <v>2.0110000000000001</v>
      </c>
      <c r="CJ167" s="1793">
        <v>2.0099999999999998</v>
      </c>
      <c r="CK167" s="1793">
        <v>2.0089999999999999</v>
      </c>
      <c r="CL167" s="1793">
        <v>2.0089999999999999</v>
      </c>
      <c r="CM167" s="1793">
        <v>2.0089999999999999</v>
      </c>
      <c r="CN167" s="1793">
        <v>2.0089999999999999</v>
      </c>
      <c r="CO167" s="1793">
        <v>2.0089999999999999</v>
      </c>
      <c r="CP167" s="1793">
        <v>2.0089999999999999</v>
      </c>
      <c r="CQ167" s="1793">
        <v>2.0089999999999999</v>
      </c>
      <c r="CR167" s="1793">
        <v>2.0089999999999999</v>
      </c>
      <c r="CS167" s="1793">
        <v>2.0089999999999999</v>
      </c>
      <c r="CT167" s="1793">
        <v>2.0089999999999999</v>
      </c>
      <c r="CU167" s="1793">
        <v>2</v>
      </c>
      <c r="CV167" s="1793">
        <v>2</v>
      </c>
      <c r="CW167" s="1793">
        <v>2</v>
      </c>
      <c r="CX167" s="1793">
        <v>2</v>
      </c>
      <c r="CY167" s="1793">
        <v>2</v>
      </c>
      <c r="CZ167" s="1793">
        <v>2</v>
      </c>
      <c r="DA167" s="1793">
        <v>2</v>
      </c>
      <c r="DB167" s="1793">
        <v>2</v>
      </c>
      <c r="DC167" s="1793">
        <v>2</v>
      </c>
      <c r="DD167" s="1793">
        <v>2</v>
      </c>
      <c r="DE167" s="1793">
        <v>1.994</v>
      </c>
      <c r="DF167" s="1793">
        <v>1.994</v>
      </c>
      <c r="DG167" s="1793">
        <v>1.994</v>
      </c>
      <c r="DH167" s="1793">
        <v>1.994</v>
      </c>
      <c r="DI167" s="1793">
        <v>1.994</v>
      </c>
      <c r="DJ167" s="1793">
        <v>1.994</v>
      </c>
      <c r="DK167" s="1793">
        <v>1.994</v>
      </c>
      <c r="DL167" s="1793">
        <v>1.994</v>
      </c>
      <c r="DM167" s="1793">
        <v>1.994</v>
      </c>
      <c r="DN167" s="1793">
        <v>1.994</v>
      </c>
      <c r="DO167" s="1793">
        <v>1.99</v>
      </c>
      <c r="DP167" s="1793">
        <v>1.99</v>
      </c>
      <c r="DQ167" s="1793">
        <v>1.99</v>
      </c>
      <c r="DR167" s="1793">
        <v>1.99</v>
      </c>
      <c r="DS167" s="1793">
        <v>1.99</v>
      </c>
      <c r="DT167" s="1793">
        <v>1.99</v>
      </c>
      <c r="DU167" s="1793">
        <v>1.99</v>
      </c>
      <c r="DV167" s="1793">
        <v>1.99</v>
      </c>
      <c r="DW167" s="1793">
        <v>1.99</v>
      </c>
      <c r="DX167" s="1793">
        <v>1.99</v>
      </c>
      <c r="DY167" s="1793">
        <v>1.9870000000000001</v>
      </c>
      <c r="DZ167" s="1793">
        <v>1.9870000000000001</v>
      </c>
      <c r="EA167" s="1793">
        <v>1.9870000000000001</v>
      </c>
      <c r="EB167" s="1793">
        <v>1.9870000000000001</v>
      </c>
      <c r="EC167" s="1793">
        <v>1.9870000000000001</v>
      </c>
      <c r="ED167" s="1793">
        <v>1.9870000000000001</v>
      </c>
      <c r="EE167" s="1793">
        <v>1.9870000000000001</v>
      </c>
      <c r="EF167" s="1793">
        <v>1.9870000000000001</v>
      </c>
      <c r="EG167" s="1793">
        <v>1.9870000000000001</v>
      </c>
      <c r="EH167" s="1793">
        <v>1.9870000000000001</v>
      </c>
      <c r="EI167" s="1793">
        <v>1.984</v>
      </c>
      <c r="EJ167" s="1793">
        <v>1.984</v>
      </c>
      <c r="EK167" s="1793">
        <v>1.984</v>
      </c>
      <c r="EL167" s="1793">
        <v>1.984</v>
      </c>
      <c r="EM167" s="1793">
        <v>1.984</v>
      </c>
      <c r="EN167" s="1793">
        <v>1.9828152172647813</v>
      </c>
      <c r="EO167" s="1793">
        <v>1.9825972043832381</v>
      </c>
      <c r="EP167" s="1793">
        <v>1.982383311944365</v>
      </c>
      <c r="EQ167" s="1793">
        <v>1.9821734242303535</v>
      </c>
      <c r="ER167" s="1793">
        <v>1.9819674298161405</v>
      </c>
      <c r="ES167" s="1793">
        <v>1.9817652213721746</v>
      </c>
      <c r="ET167" s="1793">
        <v>1.9815666954781177</v>
      </c>
      <c r="EU167" s="1793">
        <v>1.9813717524461687</v>
      </c>
      <c r="EV167" s="1793">
        <v>1.9811802961544998</v>
      </c>
      <c r="EW167" s="1793">
        <v>1.9809922338890518</v>
      </c>
      <c r="EX167" s="1793">
        <v>1.9808074761938923</v>
      </c>
      <c r="EY167" s="1793">
        <v>1.9806259367293055</v>
      </c>
      <c r="EZ167" s="1793">
        <v>1.9804475321373936</v>
      </c>
      <c r="FA167" s="1793">
        <v>1.9802722258377723</v>
      </c>
      <c r="FB167" s="1793">
        <v>1.9800998526995577</v>
      </c>
      <c r="FC167" s="1793">
        <v>1.9799303810037054</v>
      </c>
      <c r="FD167" s="1793">
        <v>1.9797637381062541</v>
      </c>
      <c r="FE167" s="1793">
        <v>1.9795998537679447</v>
      </c>
      <c r="FF167" s="1793">
        <v>1.9794386600561062</v>
      </c>
      <c r="FG167" s="1793">
        <v>1.9792800912500397</v>
      </c>
      <c r="FH167" s="1793">
        <v>1.9791240837523869</v>
      </c>
      <c r="FI167" s="1793">
        <v>1.9789705760036225</v>
      </c>
      <c r="FJ167" s="1793">
        <v>1.9788195084012909</v>
      </c>
      <c r="FK167" s="1793">
        <v>1.9786708232227568</v>
      </c>
      <c r="FL167" s="1793">
        <v>1.9785244645517066</v>
      </c>
      <c r="FM167" s="1793">
        <v>1.978380378208128</v>
      </c>
      <c r="FN167" s="1793">
        <v>1.9782385116811314</v>
      </c>
      <c r="FO167" s="1793">
        <v>1.9780988140657403</v>
      </c>
      <c r="FP167" s="1793">
        <v>1.9779612360012688</v>
      </c>
      <c r="FQ167" s="1793">
        <v>1.9778257296137425</v>
      </c>
      <c r="FR167" s="1793">
        <v>1.9776922484600776</v>
      </c>
      <c r="FS167" s="1793">
        <v>1.9775607474751009</v>
      </c>
      <c r="FT167" s="1793">
        <v>1.9774311829208773</v>
      </c>
      <c r="FU167" s="1793">
        <v>1.9770000000000001</v>
      </c>
      <c r="FV167" s="1793">
        <v>1.9750000000000001</v>
      </c>
      <c r="FW167" s="1793">
        <v>1.9730000000000001</v>
      </c>
      <c r="FX167" s="1793">
        <v>1.972</v>
      </c>
      <c r="FY167" s="1793">
        <v>1.9690000000000001</v>
      </c>
      <c r="FZ167" s="1793">
        <v>1.968</v>
      </c>
      <c r="GA167" s="1779"/>
      <c r="GB167" s="1779"/>
      <c r="GC167" s="1779"/>
    </row>
    <row r="168" spans="1:185" s="1499" customFormat="1" ht="12.75" customHeight="1">
      <c r="A168" s="1632" t="str">
        <f t="shared" si="23"/>
        <v>n</v>
      </c>
      <c r="B168" s="1004"/>
      <c r="C168" s="1502"/>
      <c r="D168" s="2060"/>
      <c r="E168" s="1578" t="str">
        <f t="shared" si="36"/>
        <v>--</v>
      </c>
      <c r="F168" s="2060"/>
      <c r="G168" s="2060"/>
      <c r="H168" s="2232" t="str">
        <f t="shared" si="24"/>
        <v>--</v>
      </c>
      <c r="I168" s="2233" t="str">
        <f t="shared" si="25"/>
        <v>--</v>
      </c>
      <c r="J168" s="2233" t="str">
        <f t="shared" si="26"/>
        <v>--</v>
      </c>
      <c r="K168" s="1794"/>
      <c r="L168" s="2060"/>
      <c r="M168" s="2232" t="str">
        <f t="shared" si="27"/>
        <v>--</v>
      </c>
      <c r="N168" s="2233" t="str">
        <f t="shared" si="28"/>
        <v>--</v>
      </c>
      <c r="O168" s="2233" t="str">
        <f t="shared" si="29"/>
        <v>--</v>
      </c>
      <c r="P168" s="2060"/>
      <c r="Q168" s="2060"/>
      <c r="R168" s="2232" t="str">
        <f t="shared" si="30"/>
        <v>--</v>
      </c>
      <c r="S168" s="2233" t="str">
        <f t="shared" si="31"/>
        <v>--</v>
      </c>
      <c r="T168" s="2233" t="str">
        <f t="shared" si="32"/>
        <v>--</v>
      </c>
      <c r="U168" s="2060"/>
      <c r="V168" s="2060"/>
      <c r="W168" s="2232" t="str">
        <f t="shared" si="33"/>
        <v>--</v>
      </c>
      <c r="X168" s="2233" t="str">
        <f t="shared" si="34"/>
        <v>--</v>
      </c>
      <c r="Y168" s="2233" t="str">
        <f t="shared" si="35"/>
        <v>--</v>
      </c>
      <c r="Z168" s="2060"/>
      <c r="AA168" s="2060"/>
      <c r="AB168" s="2060"/>
      <c r="AC168" s="2060"/>
      <c r="AD168" s="1004"/>
      <c r="AE168" s="2060"/>
      <c r="AF168" s="2060"/>
      <c r="AG168" s="2060"/>
      <c r="AH168" s="2060"/>
      <c r="AI168" s="1792">
        <v>4</v>
      </c>
      <c r="AJ168" s="1785">
        <v>0.02</v>
      </c>
      <c r="AK168" s="1786">
        <v>0.01</v>
      </c>
      <c r="AL168" s="1786"/>
      <c r="AM168" s="1787">
        <v>0</v>
      </c>
      <c r="AN168" s="1793">
        <v>31.821000000000002</v>
      </c>
      <c r="AO168" s="1793">
        <v>6.9649999999999999</v>
      </c>
      <c r="AP168" s="1793">
        <v>4.5410000000000004</v>
      </c>
      <c r="AQ168" s="1793">
        <v>3.7469999999999999</v>
      </c>
      <c r="AR168" s="1793">
        <v>3.3650000000000002</v>
      </c>
      <c r="AS168" s="1793">
        <v>3.1429999999999998</v>
      </c>
      <c r="AT168" s="1793">
        <v>2.9980000000000002</v>
      </c>
      <c r="AU168" s="1793">
        <v>2.8959999999999999</v>
      </c>
      <c r="AV168" s="1793">
        <v>2.8210000000000002</v>
      </c>
      <c r="AW168" s="1793">
        <v>2.7639999999999998</v>
      </c>
      <c r="AX168" s="1793">
        <v>2.718</v>
      </c>
      <c r="AY168" s="1793">
        <v>2.681</v>
      </c>
      <c r="AZ168" s="1793">
        <v>2.65</v>
      </c>
      <c r="BA168" s="1793">
        <v>2.6240000000000001</v>
      </c>
      <c r="BB168" s="1793">
        <v>2.6019999999999999</v>
      </c>
      <c r="BC168" s="1793">
        <v>2.5830000000000002</v>
      </c>
      <c r="BD168" s="1793">
        <v>2.5670000000000002</v>
      </c>
      <c r="BE168" s="1793">
        <v>2.552</v>
      </c>
      <c r="BF168" s="1793">
        <v>2.5390000000000001</v>
      </c>
      <c r="BG168" s="1793">
        <v>2.528</v>
      </c>
      <c r="BH168" s="1793">
        <v>2.5179999999999998</v>
      </c>
      <c r="BI168" s="1793">
        <v>2.508</v>
      </c>
      <c r="BJ168" s="1793">
        <v>2.5</v>
      </c>
      <c r="BK168" s="1793">
        <v>2.492</v>
      </c>
      <c r="BL168" s="1793">
        <v>2.4849999999999999</v>
      </c>
      <c r="BM168" s="1793">
        <v>2.4790000000000001</v>
      </c>
      <c r="BN168" s="1793">
        <v>2.4729999999999999</v>
      </c>
      <c r="BO168" s="1793">
        <v>2.4670000000000001</v>
      </c>
      <c r="BP168" s="1793">
        <v>2.4620000000000002</v>
      </c>
      <c r="BQ168" s="1793">
        <v>2.4569999999999999</v>
      </c>
      <c r="BR168" s="1793">
        <v>2.4529999999999998</v>
      </c>
      <c r="BS168" s="1793">
        <v>2.4489999999999998</v>
      </c>
      <c r="BT168" s="1793">
        <v>2.4449999999999998</v>
      </c>
      <c r="BU168" s="1793">
        <v>2.4409999999999998</v>
      </c>
      <c r="BV168" s="1793">
        <v>2.4380000000000002</v>
      </c>
      <c r="BW168" s="1793">
        <v>2.4340000000000002</v>
      </c>
      <c r="BX168" s="1793">
        <v>2.431</v>
      </c>
      <c r="BY168" s="1793">
        <v>2.4289999999999998</v>
      </c>
      <c r="BZ168" s="1793">
        <v>2.4260000000000002</v>
      </c>
      <c r="CA168" s="1793">
        <v>2.423</v>
      </c>
      <c r="CB168" s="1793">
        <v>2.4209999999999998</v>
      </c>
      <c r="CC168" s="1793">
        <v>2.4180000000000001</v>
      </c>
      <c r="CD168" s="1793">
        <v>2.4159999999999999</v>
      </c>
      <c r="CE168" s="1793">
        <v>2.4140000000000001</v>
      </c>
      <c r="CF168" s="1793">
        <v>2.4119999999999999</v>
      </c>
      <c r="CG168" s="1793">
        <v>2.41</v>
      </c>
      <c r="CH168" s="1793">
        <v>2.4079999999999999</v>
      </c>
      <c r="CI168" s="1793">
        <v>2.407</v>
      </c>
      <c r="CJ168" s="1793">
        <v>2.4049999999999998</v>
      </c>
      <c r="CK168" s="1793">
        <v>2.403</v>
      </c>
      <c r="CL168" s="1793">
        <v>2.403</v>
      </c>
      <c r="CM168" s="1793">
        <v>2.403</v>
      </c>
      <c r="CN168" s="1793">
        <v>2.403</v>
      </c>
      <c r="CO168" s="1793">
        <v>2.403</v>
      </c>
      <c r="CP168" s="1793">
        <v>2.403</v>
      </c>
      <c r="CQ168" s="1793">
        <v>2.403</v>
      </c>
      <c r="CR168" s="1793">
        <v>2.403</v>
      </c>
      <c r="CS168" s="1793">
        <v>2.403</v>
      </c>
      <c r="CT168" s="1793">
        <v>2.403</v>
      </c>
      <c r="CU168" s="1793">
        <v>2.39</v>
      </c>
      <c r="CV168" s="1793">
        <v>2.39</v>
      </c>
      <c r="CW168" s="1793">
        <v>2.39</v>
      </c>
      <c r="CX168" s="1793">
        <v>2.39</v>
      </c>
      <c r="CY168" s="1793">
        <v>2.39</v>
      </c>
      <c r="CZ168" s="1793">
        <v>2.39</v>
      </c>
      <c r="DA168" s="1793">
        <v>2.39</v>
      </c>
      <c r="DB168" s="1793">
        <v>2.39</v>
      </c>
      <c r="DC168" s="1793">
        <v>2.39</v>
      </c>
      <c r="DD168" s="1793">
        <v>2.39</v>
      </c>
      <c r="DE168" s="1793">
        <v>2.3809999999999998</v>
      </c>
      <c r="DF168" s="1793">
        <v>2.3809999999999998</v>
      </c>
      <c r="DG168" s="1793">
        <v>2.3809999999999998</v>
      </c>
      <c r="DH168" s="1793">
        <v>2.3809999999999998</v>
      </c>
      <c r="DI168" s="1793">
        <v>2.3809999999999998</v>
      </c>
      <c r="DJ168" s="1793">
        <v>2.3809999999999998</v>
      </c>
      <c r="DK168" s="1793">
        <v>2.3809999999999998</v>
      </c>
      <c r="DL168" s="1793">
        <v>2.3809999999999998</v>
      </c>
      <c r="DM168" s="1793">
        <v>2.3809999999999998</v>
      </c>
      <c r="DN168" s="1793">
        <v>2.3809999999999998</v>
      </c>
      <c r="DO168" s="1793">
        <v>2.3740000000000001</v>
      </c>
      <c r="DP168" s="1793">
        <v>2.3740000000000001</v>
      </c>
      <c r="DQ168" s="1793">
        <v>2.3740000000000001</v>
      </c>
      <c r="DR168" s="1793">
        <v>2.3740000000000001</v>
      </c>
      <c r="DS168" s="1793">
        <v>2.3740000000000001</v>
      </c>
      <c r="DT168" s="1793">
        <v>2.3740000000000001</v>
      </c>
      <c r="DU168" s="1793">
        <v>2.3740000000000001</v>
      </c>
      <c r="DV168" s="1793">
        <v>2.3740000000000001</v>
      </c>
      <c r="DW168" s="1793">
        <v>2.3740000000000001</v>
      </c>
      <c r="DX168" s="1793">
        <v>2.3740000000000001</v>
      </c>
      <c r="DY168" s="1793">
        <v>2.3679999999999999</v>
      </c>
      <c r="DZ168" s="1793">
        <v>2.3679999999999999</v>
      </c>
      <c r="EA168" s="1793">
        <v>2.3679999999999999</v>
      </c>
      <c r="EB168" s="1793">
        <v>2.3679999999999999</v>
      </c>
      <c r="EC168" s="1793">
        <v>2.3679999999999999</v>
      </c>
      <c r="ED168" s="1793">
        <v>2.3679999999999999</v>
      </c>
      <c r="EE168" s="1793">
        <v>2.3679999999999999</v>
      </c>
      <c r="EF168" s="1793">
        <v>2.3679999999999999</v>
      </c>
      <c r="EG168" s="1793">
        <v>2.3679999999999999</v>
      </c>
      <c r="EH168" s="1793">
        <v>2.3679999999999999</v>
      </c>
      <c r="EI168" s="1793">
        <v>2.3639999999999999</v>
      </c>
      <c r="EJ168" s="1793">
        <v>2.3639999999999999</v>
      </c>
      <c r="EK168" s="1793">
        <v>2.3639999999999999</v>
      </c>
      <c r="EL168" s="1793">
        <v>2.3639999999999999</v>
      </c>
      <c r="EM168" s="1793">
        <v>2.3639999999999999</v>
      </c>
      <c r="EN168" s="1793">
        <v>2.3623875038463051</v>
      </c>
      <c r="EO168" s="1793">
        <v>2.3620425496598436</v>
      </c>
      <c r="EP168" s="1793">
        <v>2.3617041360173099</v>
      </c>
      <c r="EQ168" s="1793">
        <v>2.3613720786551822</v>
      </c>
      <c r="ER168" s="1793">
        <v>2.3610462001668227</v>
      </c>
      <c r="ES168" s="1793">
        <v>2.3607263296863525</v>
      </c>
      <c r="ET168" s="1793">
        <v>2.3604123025902171</v>
      </c>
      <c r="EU168" s="1793">
        <v>2.3601039602144116</v>
      </c>
      <c r="EV168" s="1793">
        <v>2.3598011495874625</v>
      </c>
      <c r="EW168" s="1793">
        <v>2.3595037231773226</v>
      </c>
      <c r="EX168" s="1793">
        <v>2.3592115386517856</v>
      </c>
      <c r="EY168" s="1793">
        <v>2.358924458651293</v>
      </c>
      <c r="EZ168" s="1793">
        <v>2.3586423505738585</v>
      </c>
      <c r="FA168" s="1793">
        <v>2.3583650863706147</v>
      </c>
      <c r="FB168" s="1793">
        <v>2.358092542352348</v>
      </c>
      <c r="FC168" s="1793">
        <v>2.3578245990052169</v>
      </c>
      <c r="FD168" s="1793">
        <v>2.3575611408163759</v>
      </c>
      <c r="FE168" s="1793">
        <v>2.3573020561075717</v>
      </c>
      <c r="FF168" s="1793">
        <v>2.3570472368778246</v>
      </c>
      <c r="FG168" s="1793">
        <v>2.3567965786527303</v>
      </c>
      <c r="FH168" s="1793">
        <v>2.3565499803422645</v>
      </c>
      <c r="FI168" s="1793">
        <v>2.3563073441043798</v>
      </c>
      <c r="FJ168" s="1793">
        <v>2.3560685752159252</v>
      </c>
      <c r="FK168" s="1793">
        <v>2.3558335819491676</v>
      </c>
      <c r="FL168" s="1793">
        <v>2.3556022754543573</v>
      </c>
      <c r="FM168" s="1793">
        <v>2.3553745696479282</v>
      </c>
      <c r="FN168" s="1793">
        <v>2.3551503811052301</v>
      </c>
      <c r="FO168" s="1793">
        <v>2.3549296289592885</v>
      </c>
      <c r="FP168" s="1793">
        <v>2.3547122348029301</v>
      </c>
      <c r="FQ168" s="1793">
        <v>2.3544981225963433</v>
      </c>
      <c r="FR168" s="1793">
        <v>2.3542872185782597</v>
      </c>
      <c r="FS168" s="1793">
        <v>2.3540794511812866</v>
      </c>
      <c r="FT168" s="1793">
        <v>2.3538747509509497</v>
      </c>
      <c r="FU168" s="1793">
        <v>2.3530000000000002</v>
      </c>
      <c r="FV168" s="1793">
        <v>2.35</v>
      </c>
      <c r="FW168" s="1793">
        <v>2.347</v>
      </c>
      <c r="FX168" s="1793">
        <v>2.3450000000000002</v>
      </c>
      <c r="FY168" s="1793">
        <v>2.3410000000000002</v>
      </c>
      <c r="FZ168" s="1793">
        <v>2.339</v>
      </c>
      <c r="GA168" s="1779"/>
      <c r="GB168" s="1779"/>
      <c r="GC168" s="1779"/>
    </row>
    <row r="169" spans="1:185" s="1499" customFormat="1" ht="12.75" customHeight="1">
      <c r="A169" s="1632" t="str">
        <f t="shared" si="23"/>
        <v>n</v>
      </c>
      <c r="B169" s="1004"/>
      <c r="C169" s="1502"/>
      <c r="D169" s="2060"/>
      <c r="E169" s="1578" t="str">
        <f t="shared" si="36"/>
        <v>--</v>
      </c>
      <c r="F169" s="2060"/>
      <c r="G169" s="2060"/>
      <c r="H169" s="2232" t="str">
        <f t="shared" si="24"/>
        <v>--</v>
      </c>
      <c r="I169" s="2233" t="str">
        <f t="shared" si="25"/>
        <v>--</v>
      </c>
      <c r="J169" s="2233" t="str">
        <f t="shared" si="26"/>
        <v>--</v>
      </c>
      <c r="K169" s="1794"/>
      <c r="L169" s="2060"/>
      <c r="M169" s="2232" t="str">
        <f t="shared" si="27"/>
        <v>--</v>
      </c>
      <c r="N169" s="2233" t="str">
        <f t="shared" si="28"/>
        <v>--</v>
      </c>
      <c r="O169" s="2233" t="str">
        <f t="shared" si="29"/>
        <v>--</v>
      </c>
      <c r="P169" s="2060"/>
      <c r="Q169" s="2060"/>
      <c r="R169" s="2232" t="str">
        <f t="shared" si="30"/>
        <v>--</v>
      </c>
      <c r="S169" s="2233" t="str">
        <f t="shared" si="31"/>
        <v>--</v>
      </c>
      <c r="T169" s="2233" t="str">
        <f t="shared" si="32"/>
        <v>--</v>
      </c>
      <c r="U169" s="2060"/>
      <c r="V169" s="2060"/>
      <c r="W169" s="2232" t="str">
        <f t="shared" si="33"/>
        <v>--</v>
      </c>
      <c r="X169" s="2233" t="str">
        <f t="shared" si="34"/>
        <v>--</v>
      </c>
      <c r="Y169" s="2233" t="str">
        <f t="shared" si="35"/>
        <v>--</v>
      </c>
      <c r="Z169" s="2060"/>
      <c r="AA169" s="2060"/>
      <c r="AB169" s="2060"/>
      <c r="AC169" s="2060"/>
      <c r="AD169" s="1004"/>
      <c r="AE169" s="2060"/>
      <c r="AF169" s="2060"/>
      <c r="AG169" s="2060"/>
      <c r="AH169" s="2060"/>
      <c r="AI169" s="1792">
        <v>5</v>
      </c>
      <c r="AJ169" s="1785">
        <v>0.01</v>
      </c>
      <c r="AK169" s="1786">
        <v>5.0000000000000001E-3</v>
      </c>
      <c r="AL169" s="1786"/>
      <c r="AM169" s="1787">
        <v>0</v>
      </c>
      <c r="AN169" s="1793">
        <v>63.656999999999996</v>
      </c>
      <c r="AO169" s="1793">
        <v>9.9250000000000007</v>
      </c>
      <c r="AP169" s="1793">
        <v>5.8410000000000002</v>
      </c>
      <c r="AQ169" s="1793">
        <v>4.6040000000000001</v>
      </c>
      <c r="AR169" s="1793">
        <v>4.032</v>
      </c>
      <c r="AS169" s="1793">
        <v>3.7069999999999999</v>
      </c>
      <c r="AT169" s="1793">
        <v>3.4990000000000001</v>
      </c>
      <c r="AU169" s="1793">
        <v>3.355</v>
      </c>
      <c r="AV169" s="1793">
        <v>3.25</v>
      </c>
      <c r="AW169" s="1793">
        <v>3.169</v>
      </c>
      <c r="AX169" s="1793">
        <v>3.1059999999999999</v>
      </c>
      <c r="AY169" s="1793">
        <v>3.0550000000000002</v>
      </c>
      <c r="AZ169" s="1793">
        <v>3.012</v>
      </c>
      <c r="BA169" s="1793">
        <v>2.9769999999999999</v>
      </c>
      <c r="BB169" s="1793">
        <v>2.9470000000000001</v>
      </c>
      <c r="BC169" s="1793">
        <v>2.9209999999999998</v>
      </c>
      <c r="BD169" s="1793">
        <v>2.8980000000000001</v>
      </c>
      <c r="BE169" s="1793">
        <v>2.8780000000000001</v>
      </c>
      <c r="BF169" s="1793">
        <v>2.8610000000000002</v>
      </c>
      <c r="BG169" s="1793">
        <v>2.8450000000000002</v>
      </c>
      <c r="BH169" s="1793">
        <v>2.831</v>
      </c>
      <c r="BI169" s="1793">
        <v>2.819</v>
      </c>
      <c r="BJ169" s="1793">
        <v>2.8069999999999999</v>
      </c>
      <c r="BK169" s="1793">
        <v>2.7970000000000002</v>
      </c>
      <c r="BL169" s="1793">
        <v>2.7869999999999999</v>
      </c>
      <c r="BM169" s="1793">
        <v>2.7789999999999999</v>
      </c>
      <c r="BN169" s="1793">
        <v>2.7709999999999999</v>
      </c>
      <c r="BO169" s="1793">
        <v>2.7629999999999999</v>
      </c>
      <c r="BP169" s="1793">
        <v>2.7559999999999998</v>
      </c>
      <c r="BQ169" s="1793">
        <v>2.75</v>
      </c>
      <c r="BR169" s="1793">
        <v>2.7440000000000002</v>
      </c>
      <c r="BS169" s="1793">
        <v>2.738</v>
      </c>
      <c r="BT169" s="1793">
        <v>2.7330000000000001</v>
      </c>
      <c r="BU169" s="1793">
        <v>2.7280000000000002</v>
      </c>
      <c r="BV169" s="1793">
        <v>2.7240000000000002</v>
      </c>
      <c r="BW169" s="1793">
        <v>2.7189999999999999</v>
      </c>
      <c r="BX169" s="1793">
        <v>2.7149999999999999</v>
      </c>
      <c r="BY169" s="1793">
        <v>2.7120000000000002</v>
      </c>
      <c r="BZ169" s="1793">
        <v>2.7080000000000002</v>
      </c>
      <c r="CA169" s="1793">
        <v>2.7040000000000002</v>
      </c>
      <c r="CB169" s="1793">
        <v>2.7010000000000001</v>
      </c>
      <c r="CC169" s="1793">
        <v>2.698</v>
      </c>
      <c r="CD169" s="1793">
        <v>2.6949999999999998</v>
      </c>
      <c r="CE169" s="1793">
        <v>2.6920000000000002</v>
      </c>
      <c r="CF169" s="1793">
        <v>2.69</v>
      </c>
      <c r="CG169" s="1793">
        <v>2.6869999999999998</v>
      </c>
      <c r="CH169" s="1793">
        <v>2.6850000000000001</v>
      </c>
      <c r="CI169" s="1793">
        <v>2.6819999999999999</v>
      </c>
      <c r="CJ169" s="1793">
        <v>2.68</v>
      </c>
      <c r="CK169" s="1793">
        <v>2.6779999999999999</v>
      </c>
      <c r="CL169" s="1793">
        <v>2.6779999999999999</v>
      </c>
      <c r="CM169" s="1793">
        <v>2.6779999999999999</v>
      </c>
      <c r="CN169" s="1793">
        <v>2.6779999999999999</v>
      </c>
      <c r="CO169" s="1793">
        <v>2.6779999999999999</v>
      </c>
      <c r="CP169" s="1793">
        <v>2.6779999999999999</v>
      </c>
      <c r="CQ169" s="1793">
        <v>2.6779999999999999</v>
      </c>
      <c r="CR169" s="1793">
        <v>2.6779999999999999</v>
      </c>
      <c r="CS169" s="1793">
        <v>2.6779999999999999</v>
      </c>
      <c r="CT169" s="1793">
        <v>2.6779999999999999</v>
      </c>
      <c r="CU169" s="1793">
        <v>2.66</v>
      </c>
      <c r="CV169" s="1793">
        <v>2.66</v>
      </c>
      <c r="CW169" s="1793">
        <v>2.66</v>
      </c>
      <c r="CX169" s="1793">
        <v>2.66</v>
      </c>
      <c r="CY169" s="1793">
        <v>2.66</v>
      </c>
      <c r="CZ169" s="1793">
        <v>2.66</v>
      </c>
      <c r="DA169" s="1793">
        <v>2.66</v>
      </c>
      <c r="DB169" s="1793">
        <v>2.66</v>
      </c>
      <c r="DC169" s="1793">
        <v>2.66</v>
      </c>
      <c r="DD169" s="1793">
        <v>2.66</v>
      </c>
      <c r="DE169" s="1793">
        <v>2.6480000000000001</v>
      </c>
      <c r="DF169" s="1793">
        <v>2.6480000000000001</v>
      </c>
      <c r="DG169" s="1793">
        <v>2.6480000000000001</v>
      </c>
      <c r="DH169" s="1793">
        <v>2.6480000000000001</v>
      </c>
      <c r="DI169" s="1793">
        <v>2.6480000000000001</v>
      </c>
      <c r="DJ169" s="1793">
        <v>2.6480000000000001</v>
      </c>
      <c r="DK169" s="1793">
        <v>2.6480000000000001</v>
      </c>
      <c r="DL169" s="1793">
        <v>2.6480000000000001</v>
      </c>
      <c r="DM169" s="1793">
        <v>2.6480000000000001</v>
      </c>
      <c r="DN169" s="1793">
        <v>2.6480000000000001</v>
      </c>
      <c r="DO169" s="1793">
        <v>2.6389999999999998</v>
      </c>
      <c r="DP169" s="1793">
        <v>2.6389999999999998</v>
      </c>
      <c r="DQ169" s="1793">
        <v>2.6389999999999998</v>
      </c>
      <c r="DR169" s="1793">
        <v>2.6389999999999998</v>
      </c>
      <c r="DS169" s="1793">
        <v>2.6389999999999998</v>
      </c>
      <c r="DT169" s="1793">
        <v>2.6389999999999998</v>
      </c>
      <c r="DU169" s="1793">
        <v>2.6389999999999998</v>
      </c>
      <c r="DV169" s="1793">
        <v>2.6389999999999998</v>
      </c>
      <c r="DW169" s="1793">
        <v>2.6389999999999998</v>
      </c>
      <c r="DX169" s="1793">
        <v>2.6389999999999998</v>
      </c>
      <c r="DY169" s="1793">
        <v>2.6320000000000001</v>
      </c>
      <c r="DZ169" s="1793">
        <v>2.6320000000000001</v>
      </c>
      <c r="EA169" s="1793">
        <v>2.6320000000000001</v>
      </c>
      <c r="EB169" s="1793">
        <v>2.6320000000000001</v>
      </c>
      <c r="EC169" s="1793">
        <v>2.6320000000000001</v>
      </c>
      <c r="ED169" s="1793">
        <v>2.6320000000000001</v>
      </c>
      <c r="EE169" s="1793">
        <v>2.6320000000000001</v>
      </c>
      <c r="EF169" s="1793">
        <v>2.6320000000000001</v>
      </c>
      <c r="EG169" s="1793">
        <v>2.6320000000000001</v>
      </c>
      <c r="EH169" s="1793">
        <v>2.6320000000000001</v>
      </c>
      <c r="EI169" s="1793">
        <v>2.6259999999999999</v>
      </c>
      <c r="EJ169" s="1793">
        <v>2.6259999999999999</v>
      </c>
      <c r="EK169" s="1793">
        <v>2.6259999999999999</v>
      </c>
      <c r="EL169" s="1793">
        <v>2.6259999999999999</v>
      </c>
      <c r="EM169" s="1793">
        <v>2.6259999999999999</v>
      </c>
      <c r="EN169" s="1793">
        <v>2.6234654877182715</v>
      </c>
      <c r="EO169" s="1793">
        <v>2.6230084031500773</v>
      </c>
      <c r="EP169" s="1793">
        <v>2.6225600063774284</v>
      </c>
      <c r="EQ169" s="1793">
        <v>2.6221200520548997</v>
      </c>
      <c r="ER169" s="1793">
        <v>2.6216883039885115</v>
      </c>
      <c r="ES169" s="1793">
        <v>2.6212645347129282</v>
      </c>
      <c r="ET169" s="1793">
        <v>2.6208485250921294</v>
      </c>
      <c r="EU169" s="1793">
        <v>2.6204400639413832</v>
      </c>
      <c r="EV169" s="1793">
        <v>2.6200389476701185</v>
      </c>
      <c r="EW169" s="1793">
        <v>2.6196449799434696</v>
      </c>
      <c r="EX169" s="1793">
        <v>2.619257971362047</v>
      </c>
      <c r="EY169" s="1793">
        <v>2.6188777391582096</v>
      </c>
      <c r="EZ169" s="1793">
        <v>2.618504106908591</v>
      </c>
      <c r="FA169" s="1793">
        <v>2.6181369042609228</v>
      </c>
      <c r="FB169" s="1793">
        <v>2.6177759666753815</v>
      </c>
      <c r="FC169" s="1793">
        <v>2.6174211351785717</v>
      </c>
      <c r="FD169" s="1793">
        <v>2.6170722561303572</v>
      </c>
      <c r="FE169" s="1793">
        <v>2.6167291810017712</v>
      </c>
      <c r="FF169" s="1793">
        <v>2.6163917661646838</v>
      </c>
      <c r="FG169" s="1793">
        <v>2.6160598726907471</v>
      </c>
      <c r="FH169" s="1793">
        <v>2.6157333661613373</v>
      </c>
      <c r="FI169" s="1793">
        <v>2.6154121164855741</v>
      </c>
      <c r="FJ169" s="1793">
        <v>2.6150959977278347</v>
      </c>
      <c r="FK169" s="1793">
        <v>2.6147848879430429</v>
      </c>
      <c r="FL169" s="1793">
        <v>2.6144786690198556</v>
      </c>
      <c r="FM169" s="1793">
        <v>2.6141772265313357</v>
      </c>
      <c r="FN169" s="1793">
        <v>2.6138804495920658</v>
      </c>
      <c r="FO169" s="1793">
        <v>2.6135882307227369</v>
      </c>
      <c r="FP169" s="1793">
        <v>2.6133004657197541</v>
      </c>
      <c r="FQ169" s="1793">
        <v>2.6130170535318138</v>
      </c>
      <c r="FR169" s="1793">
        <v>2.6127378961414633</v>
      </c>
      <c r="FS169" s="1793">
        <v>2.6124628984520939</v>
      </c>
      <c r="FT169" s="1793">
        <v>2.6121919681799834</v>
      </c>
      <c r="FU169" s="1793">
        <v>2.6110000000000002</v>
      </c>
      <c r="FV169" s="1793">
        <v>2.6070000000000002</v>
      </c>
      <c r="FW169" s="1793">
        <v>2.6030000000000002</v>
      </c>
      <c r="FX169" s="1793">
        <v>2.601</v>
      </c>
      <c r="FY169" s="1793">
        <v>2.5960000000000001</v>
      </c>
      <c r="FZ169" s="1793">
        <v>2.5920000000000001</v>
      </c>
      <c r="GA169" s="1779"/>
      <c r="GB169" s="1779"/>
      <c r="GC169" s="1779"/>
    </row>
    <row r="170" spans="1:185" s="1499" customFormat="1" ht="12.75" customHeight="1">
      <c r="A170" s="1632" t="str">
        <f t="shared" si="23"/>
        <v>n</v>
      </c>
      <c r="B170" s="1004"/>
      <c r="C170" s="1502"/>
      <c r="D170" s="2060"/>
      <c r="E170" s="1578" t="str">
        <f t="shared" si="36"/>
        <v>--</v>
      </c>
      <c r="F170" s="2060"/>
      <c r="G170" s="2060"/>
      <c r="H170" s="2232" t="str">
        <f t="shared" si="24"/>
        <v>--</v>
      </c>
      <c r="I170" s="2233" t="str">
        <f t="shared" si="25"/>
        <v>--</v>
      </c>
      <c r="J170" s="2233" t="str">
        <f t="shared" si="26"/>
        <v>--</v>
      </c>
      <c r="K170" s="1794"/>
      <c r="L170" s="2060"/>
      <c r="M170" s="2232" t="str">
        <f t="shared" si="27"/>
        <v>--</v>
      </c>
      <c r="N170" s="2233" t="str">
        <f t="shared" si="28"/>
        <v>--</v>
      </c>
      <c r="O170" s="2233" t="str">
        <f t="shared" si="29"/>
        <v>--</v>
      </c>
      <c r="P170" s="2060"/>
      <c r="Q170" s="2060"/>
      <c r="R170" s="2232" t="str">
        <f t="shared" si="30"/>
        <v>--</v>
      </c>
      <c r="S170" s="2233" t="str">
        <f t="shared" si="31"/>
        <v>--</v>
      </c>
      <c r="T170" s="2233" t="str">
        <f t="shared" si="32"/>
        <v>--</v>
      </c>
      <c r="U170" s="2060"/>
      <c r="V170" s="2060"/>
      <c r="W170" s="2232" t="str">
        <f t="shared" si="33"/>
        <v>--</v>
      </c>
      <c r="X170" s="2233" t="str">
        <f t="shared" si="34"/>
        <v>--</v>
      </c>
      <c r="Y170" s="2233" t="str">
        <f t="shared" si="35"/>
        <v>--</v>
      </c>
      <c r="Z170" s="2060"/>
      <c r="AA170" s="2060"/>
      <c r="AB170" s="2060"/>
      <c r="AC170" s="2060"/>
      <c r="AD170" s="1004"/>
      <c r="AE170" s="2060"/>
      <c r="AF170" s="2060"/>
      <c r="AG170" s="2060"/>
      <c r="AH170" s="2060"/>
      <c r="AI170" s="1779"/>
      <c r="AJ170" s="1779"/>
      <c r="AK170" s="1779"/>
      <c r="AL170" s="1779"/>
      <c r="AM170" s="1779"/>
      <c r="AN170" s="1779"/>
      <c r="AO170" s="1779"/>
      <c r="AP170" s="1779"/>
      <c r="AQ170" s="1779"/>
      <c r="AR170" s="1779"/>
      <c r="AS170" s="1779"/>
      <c r="AT170" s="1779"/>
      <c r="AU170" s="1779"/>
      <c r="AV170" s="1779"/>
      <c r="AW170" s="1779"/>
      <c r="AX170" s="1779"/>
      <c r="AY170" s="1779"/>
      <c r="AZ170" s="1779"/>
      <c r="BA170" s="1538"/>
      <c r="BB170" s="1538"/>
      <c r="BC170" s="1779"/>
      <c r="BD170" s="1779"/>
      <c r="BE170" s="1538"/>
      <c r="BF170" s="1779"/>
      <c r="BG170" s="1779"/>
      <c r="BH170" s="1779"/>
      <c r="BI170" s="1779"/>
      <c r="BJ170" s="1779"/>
      <c r="BK170" s="1779"/>
      <c r="BL170" s="1779"/>
      <c r="BM170" s="1779"/>
      <c r="BN170" s="1779"/>
      <c r="BO170" s="1779"/>
      <c r="BP170" s="1779"/>
      <c r="BQ170" s="1779"/>
      <c r="BR170" s="1779"/>
      <c r="BS170" s="1779"/>
      <c r="BT170" s="1779"/>
      <c r="BU170" s="1779"/>
      <c r="BV170" s="1779"/>
      <c r="BW170" s="1779"/>
      <c r="BX170" s="1779"/>
      <c r="BY170" s="1779"/>
      <c r="BZ170" s="1779"/>
      <c r="CA170" s="1779"/>
      <c r="CB170" s="1779"/>
      <c r="CC170" s="1779"/>
      <c r="CD170" s="1779"/>
      <c r="CE170" s="1779"/>
      <c r="CF170" s="1779"/>
      <c r="CG170" s="1779"/>
      <c r="CH170" s="1779"/>
      <c r="CI170" s="1779"/>
      <c r="CJ170" s="1779"/>
      <c r="CK170" s="1779"/>
      <c r="CL170" s="1779"/>
      <c r="CM170" s="1779"/>
      <c r="CN170" s="1779"/>
      <c r="CO170" s="1779"/>
      <c r="CP170" s="1779"/>
      <c r="CQ170" s="1779"/>
      <c r="CR170" s="1779"/>
      <c r="CS170" s="1779"/>
      <c r="CT170" s="1779"/>
      <c r="CU170" s="1779"/>
      <c r="CV170" s="1779"/>
      <c r="CW170" s="1779"/>
      <c r="CX170" s="1779"/>
      <c r="CY170" s="1779"/>
      <c r="CZ170" s="1779"/>
      <c r="DA170" s="1779"/>
      <c r="DB170" s="1779"/>
      <c r="DC170" s="1779"/>
      <c r="DD170" s="1779"/>
      <c r="DE170" s="1779"/>
      <c r="DF170" s="1779"/>
      <c r="DG170" s="1779"/>
      <c r="DH170" s="1779"/>
      <c r="DI170" s="1779"/>
      <c r="DJ170" s="1779"/>
      <c r="DK170" s="1779"/>
      <c r="DL170" s="1779"/>
      <c r="DM170" s="1779"/>
      <c r="DN170" s="1779"/>
      <c r="DO170" s="1779"/>
      <c r="DP170" s="1779"/>
      <c r="DQ170" s="1779"/>
      <c r="DR170" s="1779"/>
      <c r="DS170" s="1779"/>
      <c r="DT170" s="1779"/>
      <c r="DU170" s="1779"/>
      <c r="DV170" s="1779"/>
      <c r="DW170" s="1779"/>
      <c r="DX170" s="1779"/>
      <c r="DY170" s="1779"/>
      <c r="DZ170" s="1779"/>
      <c r="EA170" s="1779"/>
      <c r="EB170" s="1779"/>
      <c r="EC170" s="1779"/>
      <c r="ED170" s="1779"/>
      <c r="EE170" s="1779"/>
      <c r="EF170" s="1779"/>
      <c r="EG170" s="1779"/>
      <c r="EH170" s="1779"/>
      <c r="EI170" s="1779"/>
      <c r="EJ170" s="1779"/>
      <c r="EK170" s="1779"/>
      <c r="EL170" s="1779"/>
      <c r="EM170" s="1779"/>
      <c r="EN170" s="1779"/>
      <c r="EO170" s="1779"/>
      <c r="EP170" s="1779"/>
      <c r="EQ170" s="1779"/>
      <c r="ER170" s="1779"/>
      <c r="ES170" s="1779"/>
      <c r="ET170" s="1779"/>
      <c r="EU170" s="1779"/>
      <c r="EV170" s="1779"/>
      <c r="EW170" s="1779"/>
      <c r="EX170" s="1779"/>
      <c r="EY170" s="1779"/>
      <c r="EZ170" s="1779"/>
      <c r="FA170" s="1779"/>
      <c r="FB170" s="1779"/>
      <c r="FC170" s="1779"/>
      <c r="FD170" s="1779"/>
      <c r="FE170" s="1779"/>
      <c r="FF170" s="1779"/>
      <c r="FG170" s="1779"/>
      <c r="FH170" s="1779"/>
      <c r="FI170" s="1779"/>
      <c r="FJ170" s="1779"/>
      <c r="FK170" s="1779"/>
      <c r="FL170" s="1779"/>
      <c r="FM170" s="1779"/>
      <c r="FN170" s="1779"/>
      <c r="FO170" s="1779"/>
      <c r="FP170" s="1779"/>
      <c r="FQ170" s="1779"/>
      <c r="FR170" s="1779"/>
      <c r="FS170" s="1779"/>
      <c r="FT170" s="1779"/>
      <c r="FU170" s="1779"/>
      <c r="FV170" s="1779"/>
      <c r="FW170" s="1779"/>
      <c r="FX170" s="1779"/>
      <c r="FY170" s="1779"/>
      <c r="FZ170" s="1779"/>
      <c r="GA170" s="1779"/>
      <c r="GB170" s="1779"/>
      <c r="GC170" s="1779"/>
    </row>
    <row r="171" spans="1:185" s="1499" customFormat="1" ht="12.75" customHeight="1">
      <c r="A171" s="1632" t="str">
        <f t="shared" si="23"/>
        <v>n</v>
      </c>
      <c r="B171" s="1004"/>
      <c r="C171" s="1502"/>
      <c r="D171" s="2060"/>
      <c r="E171" s="1578" t="str">
        <f t="shared" si="36"/>
        <v>--</v>
      </c>
      <c r="F171" s="2060"/>
      <c r="G171" s="2060"/>
      <c r="H171" s="2232" t="str">
        <f t="shared" si="24"/>
        <v>--</v>
      </c>
      <c r="I171" s="2233" t="str">
        <f t="shared" si="25"/>
        <v>--</v>
      </c>
      <c r="J171" s="2233" t="str">
        <f t="shared" si="26"/>
        <v>--</v>
      </c>
      <c r="K171" s="1794"/>
      <c r="L171" s="2060"/>
      <c r="M171" s="2232" t="str">
        <f t="shared" si="27"/>
        <v>--</v>
      </c>
      <c r="N171" s="2233" t="str">
        <f t="shared" si="28"/>
        <v>--</v>
      </c>
      <c r="O171" s="2233" t="str">
        <f t="shared" si="29"/>
        <v>--</v>
      </c>
      <c r="P171" s="2060"/>
      <c r="Q171" s="2060"/>
      <c r="R171" s="2232" t="str">
        <f t="shared" si="30"/>
        <v>--</v>
      </c>
      <c r="S171" s="2233" t="str">
        <f t="shared" si="31"/>
        <v>--</v>
      </c>
      <c r="T171" s="2233" t="str">
        <f t="shared" si="32"/>
        <v>--</v>
      </c>
      <c r="U171" s="2060"/>
      <c r="V171" s="2060"/>
      <c r="W171" s="2232" t="str">
        <f t="shared" si="33"/>
        <v>--</v>
      </c>
      <c r="X171" s="2233" t="str">
        <f t="shared" si="34"/>
        <v>--</v>
      </c>
      <c r="Y171" s="2233" t="str">
        <f t="shared" si="35"/>
        <v>--</v>
      </c>
      <c r="Z171" s="2060"/>
      <c r="AA171" s="2060"/>
      <c r="AB171" s="2060"/>
      <c r="AC171" s="2060"/>
      <c r="AD171" s="1004"/>
      <c r="AE171" s="2060"/>
      <c r="AF171" s="2060"/>
      <c r="AG171" s="2060"/>
      <c r="AH171" s="2060"/>
      <c r="AI171" s="1779"/>
      <c r="AJ171" s="1779"/>
      <c r="AK171" s="1779"/>
      <c r="AL171" s="1779"/>
      <c r="AM171" s="1779"/>
      <c r="AN171" s="1779"/>
      <c r="AO171" s="1779"/>
      <c r="AP171" s="1779"/>
      <c r="AQ171" s="1779"/>
      <c r="AR171" s="1779"/>
      <c r="AS171" s="1779"/>
      <c r="AT171" s="1779"/>
      <c r="AU171" s="1779"/>
      <c r="AV171" s="1779"/>
      <c r="AW171" s="1779"/>
      <c r="AX171" s="1779"/>
      <c r="AY171" s="1779"/>
      <c r="AZ171" s="1779"/>
      <c r="BA171" s="1538"/>
      <c r="BB171" s="1538"/>
      <c r="BC171" s="1779"/>
      <c r="BD171" s="1779"/>
      <c r="BE171" s="1538"/>
      <c r="BF171" s="1779"/>
      <c r="BG171" s="1779"/>
      <c r="BH171" s="1779"/>
      <c r="BI171" s="1779"/>
      <c r="BJ171" s="1779"/>
      <c r="BK171" s="1779"/>
      <c r="BL171" s="1779"/>
      <c r="BM171" s="1779"/>
      <c r="BN171" s="1779"/>
      <c r="BO171" s="1779"/>
      <c r="BP171" s="1779"/>
      <c r="BQ171" s="1779"/>
      <c r="BR171" s="1779"/>
      <c r="BS171" s="1779"/>
      <c r="BT171" s="1779"/>
      <c r="BU171" s="1779"/>
      <c r="BV171" s="1779"/>
      <c r="BW171" s="1779"/>
      <c r="BX171" s="1779"/>
      <c r="BY171" s="1779"/>
      <c r="BZ171" s="1779"/>
      <c r="CA171" s="1779"/>
      <c r="CB171" s="1779"/>
      <c r="CC171" s="1779"/>
      <c r="CD171" s="1779"/>
      <c r="CE171" s="1779"/>
      <c r="CF171" s="1779"/>
      <c r="CG171" s="1779"/>
      <c r="CH171" s="1779"/>
      <c r="CI171" s="1779"/>
      <c r="CJ171" s="1779"/>
      <c r="CK171" s="1779"/>
      <c r="CL171" s="1779"/>
      <c r="CM171" s="1779"/>
      <c r="CN171" s="1779"/>
      <c r="CO171" s="1779"/>
      <c r="CP171" s="1779"/>
      <c r="CQ171" s="1779"/>
      <c r="CR171" s="1779"/>
      <c r="CS171" s="1779"/>
      <c r="CT171" s="1779"/>
      <c r="CU171" s="1779"/>
      <c r="CV171" s="1779"/>
      <c r="CW171" s="1779"/>
      <c r="CX171" s="1779"/>
      <c r="CY171" s="1779"/>
      <c r="CZ171" s="1779"/>
      <c r="DA171" s="1779"/>
      <c r="DB171" s="1779"/>
      <c r="DC171" s="1779"/>
      <c r="DD171" s="1779"/>
      <c r="DE171" s="1779"/>
      <c r="DF171" s="1779"/>
      <c r="DG171" s="1779"/>
      <c r="DH171" s="1779"/>
      <c r="DI171" s="1779"/>
      <c r="DJ171" s="1779"/>
      <c r="DK171" s="1779"/>
      <c r="DL171" s="1779"/>
      <c r="DM171" s="1779"/>
      <c r="DN171" s="1779"/>
      <c r="DO171" s="1779"/>
      <c r="DP171" s="1779"/>
      <c r="DQ171" s="1779"/>
      <c r="DR171" s="1779"/>
      <c r="DS171" s="1779"/>
      <c r="DT171" s="1779"/>
      <c r="DU171" s="1779"/>
      <c r="DV171" s="1779"/>
      <c r="DW171" s="1779"/>
      <c r="DX171" s="1779"/>
      <c r="DY171" s="1779"/>
      <c r="DZ171" s="1779"/>
      <c r="EA171" s="1779"/>
      <c r="EB171" s="1779"/>
      <c r="EC171" s="1779"/>
      <c r="ED171" s="1779"/>
      <c r="EE171" s="1779"/>
      <c r="EF171" s="1779"/>
      <c r="EG171" s="1779"/>
      <c r="EH171" s="1779"/>
      <c r="EI171" s="1779"/>
      <c r="EJ171" s="1779"/>
      <c r="EK171" s="1779"/>
      <c r="EL171" s="1779"/>
      <c r="EM171" s="1779"/>
      <c r="EN171" s="1779"/>
      <c r="EO171" s="1779"/>
      <c r="EP171" s="1779"/>
      <c r="EQ171" s="1779"/>
      <c r="ER171" s="1779"/>
      <c r="ES171" s="1779"/>
      <c r="ET171" s="1779"/>
      <c r="EU171" s="1779"/>
      <c r="EV171" s="1779"/>
      <c r="EW171" s="1779"/>
      <c r="EX171" s="1779"/>
      <c r="EY171" s="1779"/>
      <c r="EZ171" s="1779"/>
      <c r="FA171" s="1779"/>
      <c r="FB171" s="1779"/>
      <c r="FC171" s="1779"/>
      <c r="FD171" s="1779"/>
      <c r="FE171" s="1779"/>
      <c r="FF171" s="1779"/>
      <c r="FG171" s="1779"/>
      <c r="FH171" s="1779"/>
      <c r="FI171" s="1779"/>
      <c r="FJ171" s="1779"/>
      <c r="FK171" s="1779"/>
      <c r="FL171" s="1779"/>
      <c r="FM171" s="2060"/>
      <c r="FN171" s="2060"/>
      <c r="FO171" s="2060"/>
      <c r="FP171" s="2060"/>
      <c r="FQ171" s="2060"/>
      <c r="FR171" s="2060"/>
      <c r="FS171" s="2060"/>
      <c r="FT171" s="2060"/>
      <c r="FU171" s="2060"/>
      <c r="FV171" s="2060"/>
      <c r="FW171" s="2060"/>
      <c r="FX171" s="2060"/>
      <c r="FY171" s="2060"/>
      <c r="FZ171" s="2060"/>
      <c r="GA171" s="2060"/>
      <c r="GB171" s="2060"/>
      <c r="GC171" s="2060"/>
    </row>
    <row r="172" spans="1:185" s="1499" customFormat="1" ht="12.75" customHeight="1">
      <c r="A172" s="1632" t="str">
        <f t="shared" si="23"/>
        <v>n</v>
      </c>
      <c r="B172" s="1004"/>
      <c r="C172" s="1502"/>
      <c r="D172" s="2060"/>
      <c r="E172" s="1578" t="str">
        <f t="shared" si="36"/>
        <v>--</v>
      </c>
      <c r="F172" s="2060"/>
      <c r="G172" s="2060"/>
      <c r="H172" s="2232" t="str">
        <f t="shared" si="24"/>
        <v>--</v>
      </c>
      <c r="I172" s="2233" t="str">
        <f t="shared" si="25"/>
        <v>--</v>
      </c>
      <c r="J172" s="2233" t="str">
        <f t="shared" si="26"/>
        <v>--</v>
      </c>
      <c r="K172" s="1794"/>
      <c r="L172" s="2060"/>
      <c r="M172" s="2232" t="str">
        <f t="shared" si="27"/>
        <v>--</v>
      </c>
      <c r="N172" s="2233" t="str">
        <f t="shared" si="28"/>
        <v>--</v>
      </c>
      <c r="O172" s="2233" t="str">
        <f t="shared" si="29"/>
        <v>--</v>
      </c>
      <c r="P172" s="2060"/>
      <c r="Q172" s="2060"/>
      <c r="R172" s="2232" t="str">
        <f t="shared" si="30"/>
        <v>--</v>
      </c>
      <c r="S172" s="2233" t="str">
        <f t="shared" si="31"/>
        <v>--</v>
      </c>
      <c r="T172" s="2233" t="str">
        <f t="shared" si="32"/>
        <v>--</v>
      </c>
      <c r="U172" s="2060"/>
      <c r="V172" s="2060"/>
      <c r="W172" s="2232" t="str">
        <f t="shared" si="33"/>
        <v>--</v>
      </c>
      <c r="X172" s="2233" t="str">
        <f t="shared" si="34"/>
        <v>--</v>
      </c>
      <c r="Y172" s="2233" t="str">
        <f t="shared" si="35"/>
        <v>--</v>
      </c>
      <c r="Z172" s="2060"/>
      <c r="AA172" s="2060"/>
      <c r="AB172" s="2060"/>
      <c r="AC172" s="2060"/>
      <c r="AD172" s="1004"/>
      <c r="AE172" s="2060"/>
      <c r="AF172" s="2060"/>
      <c r="AG172" s="2060"/>
      <c r="AH172" s="2060"/>
      <c r="AI172" s="1779"/>
      <c r="AJ172" s="1779"/>
      <c r="AK172" s="1779"/>
      <c r="AL172" s="1779"/>
      <c r="AM172" s="1779"/>
      <c r="AN172" s="1779"/>
      <c r="AO172" s="1779"/>
      <c r="AP172" s="1779"/>
      <c r="AQ172" s="1779"/>
      <c r="AR172" s="1779"/>
      <c r="AS172" s="1779"/>
      <c r="AT172" s="1779"/>
      <c r="AU172" s="1779"/>
      <c r="AV172" s="1779"/>
      <c r="AW172" s="1779"/>
      <c r="AX172" s="1779"/>
      <c r="AY172" s="1779"/>
      <c r="AZ172" s="1779"/>
      <c r="BA172" s="1538"/>
      <c r="BB172" s="1538"/>
      <c r="BC172" s="1779"/>
      <c r="BD172" s="1779"/>
      <c r="BE172" s="1538"/>
      <c r="BF172" s="1779"/>
      <c r="BG172" s="1779"/>
      <c r="BH172" s="1779"/>
      <c r="BI172" s="1779"/>
      <c r="BJ172" s="1779"/>
      <c r="BK172" s="1779"/>
      <c r="BL172" s="1779"/>
      <c r="BM172" s="1779"/>
      <c r="BN172" s="1779"/>
      <c r="BO172" s="1779"/>
      <c r="BP172" s="1779"/>
      <c r="BQ172" s="1779"/>
      <c r="BR172" s="1779"/>
      <c r="BS172" s="1779"/>
      <c r="BT172" s="1779"/>
      <c r="BU172" s="1779"/>
      <c r="BV172" s="1779"/>
      <c r="BW172" s="1779"/>
      <c r="BX172" s="1779"/>
      <c r="BY172" s="1779"/>
      <c r="BZ172" s="1779"/>
      <c r="CA172" s="1779"/>
      <c r="CB172" s="1779"/>
      <c r="CC172" s="1779"/>
      <c r="CD172" s="1779"/>
      <c r="CE172" s="1779"/>
      <c r="CF172" s="1779"/>
      <c r="CG172" s="1779"/>
      <c r="CH172" s="1779"/>
      <c r="CI172" s="1779"/>
      <c r="CJ172" s="1779"/>
      <c r="CK172" s="1779"/>
      <c r="CL172" s="1779"/>
      <c r="CM172" s="1779"/>
      <c r="CN172" s="1779"/>
      <c r="CO172" s="1779"/>
      <c r="CP172" s="1779"/>
      <c r="CQ172" s="1779"/>
      <c r="CR172" s="1779"/>
      <c r="CS172" s="1779"/>
      <c r="CT172" s="1779"/>
      <c r="CU172" s="1779"/>
      <c r="CV172" s="1779"/>
      <c r="CW172" s="1779"/>
      <c r="CX172" s="1779"/>
      <c r="CY172" s="1779"/>
      <c r="CZ172" s="1779"/>
      <c r="DA172" s="1779"/>
      <c r="DB172" s="1779"/>
      <c r="DC172" s="1779"/>
      <c r="DD172" s="1779"/>
      <c r="DE172" s="1779"/>
      <c r="DF172" s="1779"/>
      <c r="DG172" s="1779"/>
      <c r="DH172" s="1779"/>
      <c r="DI172" s="1779"/>
      <c r="DJ172" s="1779"/>
      <c r="DK172" s="1779"/>
      <c r="DL172" s="1779"/>
      <c r="DM172" s="1779"/>
      <c r="DN172" s="1779"/>
      <c r="DO172" s="1779"/>
      <c r="DP172" s="1779"/>
      <c r="DQ172" s="1779"/>
      <c r="DR172" s="1779"/>
      <c r="DS172" s="1779"/>
      <c r="DT172" s="1779"/>
      <c r="DU172" s="1779"/>
      <c r="DV172" s="1779"/>
      <c r="DW172" s="1779"/>
      <c r="DX172" s="1779"/>
      <c r="DY172" s="1779"/>
      <c r="DZ172" s="1779"/>
      <c r="EA172" s="1779"/>
      <c r="EB172" s="1779"/>
      <c r="EC172" s="1779"/>
      <c r="ED172" s="1779"/>
      <c r="EE172" s="1779"/>
      <c r="EF172" s="1779"/>
      <c r="EG172" s="1779"/>
      <c r="EH172" s="1779"/>
      <c r="EI172" s="1779"/>
      <c r="EJ172" s="1779"/>
      <c r="EK172" s="1779"/>
      <c r="EL172" s="1779"/>
      <c r="EM172" s="1779"/>
      <c r="EN172" s="1779"/>
      <c r="EO172" s="1779"/>
      <c r="EP172" s="1779"/>
      <c r="EQ172" s="1779"/>
      <c r="ER172" s="1779"/>
      <c r="ES172" s="1779"/>
      <c r="ET172" s="1779"/>
      <c r="EU172" s="1779"/>
      <c r="EV172" s="1779"/>
      <c r="EW172" s="1779"/>
      <c r="EX172" s="1779"/>
      <c r="EY172" s="1779"/>
      <c r="EZ172" s="1779"/>
      <c r="FA172" s="1779"/>
      <c r="FB172" s="1779"/>
      <c r="FC172" s="1779"/>
      <c r="FD172" s="1779"/>
      <c r="FE172" s="1779"/>
      <c r="FF172" s="1779"/>
      <c r="FG172" s="1779"/>
      <c r="FH172" s="1779"/>
      <c r="FI172" s="1779"/>
      <c r="FJ172" s="1779"/>
      <c r="FK172" s="1779"/>
      <c r="FL172" s="1779"/>
      <c r="FM172" s="2060"/>
      <c r="FN172" s="2060"/>
      <c r="FO172" s="2060"/>
      <c r="FP172" s="2060"/>
      <c r="FQ172" s="2060"/>
      <c r="FR172" s="2060"/>
      <c r="FS172" s="2060"/>
      <c r="FT172" s="2060"/>
      <c r="FU172" s="2060"/>
      <c r="FV172" s="2060"/>
      <c r="FW172" s="2060"/>
      <c r="FX172" s="2060"/>
      <c r="FY172" s="2060"/>
      <c r="FZ172" s="2060"/>
      <c r="GA172" s="2060"/>
      <c r="GB172" s="2060"/>
      <c r="GC172" s="2060"/>
    </row>
    <row r="173" spans="1:185" s="1499" customFormat="1" ht="12.75" customHeight="1">
      <c r="A173" s="1632" t="str">
        <f t="shared" si="23"/>
        <v>n</v>
      </c>
      <c r="B173" s="1004"/>
      <c r="C173" s="1502"/>
      <c r="D173" s="2060"/>
      <c r="E173" s="1578" t="str">
        <f t="shared" si="36"/>
        <v>--</v>
      </c>
      <c r="F173" s="2060"/>
      <c r="G173" s="2060"/>
      <c r="H173" s="2232" t="str">
        <f t="shared" si="24"/>
        <v>--</v>
      </c>
      <c r="I173" s="2233" t="str">
        <f t="shared" si="25"/>
        <v>--</v>
      </c>
      <c r="J173" s="2233" t="str">
        <f t="shared" si="26"/>
        <v>--</v>
      </c>
      <c r="K173" s="1794"/>
      <c r="L173" s="2060"/>
      <c r="M173" s="2232" t="str">
        <f t="shared" si="27"/>
        <v>--</v>
      </c>
      <c r="N173" s="2233" t="str">
        <f t="shared" si="28"/>
        <v>--</v>
      </c>
      <c r="O173" s="2233" t="str">
        <f t="shared" si="29"/>
        <v>--</v>
      </c>
      <c r="P173" s="2060"/>
      <c r="Q173" s="2060"/>
      <c r="R173" s="2232" t="str">
        <f t="shared" si="30"/>
        <v>--</v>
      </c>
      <c r="S173" s="2233" t="str">
        <f t="shared" si="31"/>
        <v>--</v>
      </c>
      <c r="T173" s="2233" t="str">
        <f t="shared" si="32"/>
        <v>--</v>
      </c>
      <c r="U173" s="2060"/>
      <c r="V173" s="2060"/>
      <c r="W173" s="2232" t="str">
        <f t="shared" si="33"/>
        <v>--</v>
      </c>
      <c r="X173" s="2233" t="str">
        <f t="shared" si="34"/>
        <v>--</v>
      </c>
      <c r="Y173" s="2233" t="str">
        <f t="shared" si="35"/>
        <v>--</v>
      </c>
      <c r="Z173" s="2060"/>
      <c r="AA173" s="2060"/>
      <c r="AB173" s="2060"/>
      <c r="AC173" s="2060"/>
      <c r="AD173" s="1004"/>
      <c r="AE173" s="2060"/>
      <c r="AF173" s="2060"/>
      <c r="AG173" s="2060"/>
      <c r="AH173" s="2060"/>
      <c r="AI173" s="2060"/>
      <c r="AJ173" s="2060"/>
      <c r="AK173" s="2060"/>
      <c r="AL173" s="2060"/>
      <c r="AM173" s="2060"/>
      <c r="AN173" s="1779"/>
      <c r="AO173" s="1779"/>
      <c r="AP173" s="1779"/>
      <c r="AQ173" s="1779"/>
      <c r="AR173" s="1779"/>
      <c r="AS173" s="1779"/>
      <c r="AT173" s="1779"/>
      <c r="AU173" s="1779"/>
      <c r="AV173" s="1779"/>
      <c r="AW173" s="1779"/>
      <c r="AX173" s="1779"/>
      <c r="AY173" s="1779"/>
      <c r="AZ173" s="1779"/>
      <c r="BA173" s="1779"/>
      <c r="BB173" s="1779"/>
      <c r="BC173" s="1779"/>
      <c r="BD173" s="1779"/>
      <c r="BE173" s="1779"/>
      <c r="BF173" s="1538"/>
      <c r="BG173" s="1538"/>
      <c r="BH173" s="1779"/>
      <c r="BI173" s="1779"/>
      <c r="BJ173" s="1538"/>
      <c r="BK173" s="1779"/>
      <c r="BL173" s="1779"/>
      <c r="BM173" s="1779"/>
      <c r="BN173" s="1779"/>
      <c r="BO173" s="1779"/>
      <c r="BP173" s="1779"/>
      <c r="BQ173" s="1779"/>
      <c r="BR173" s="1779"/>
      <c r="BS173" s="1779"/>
      <c r="BT173" s="1779"/>
      <c r="BU173" s="1779"/>
      <c r="BV173" s="1779"/>
      <c r="BW173" s="1779"/>
      <c r="BX173" s="1779"/>
      <c r="BY173" s="1779"/>
      <c r="BZ173" s="1779"/>
      <c r="CA173" s="1779"/>
      <c r="CB173" s="1779"/>
      <c r="CC173" s="1779"/>
      <c r="CD173" s="1779"/>
      <c r="CE173" s="1779"/>
      <c r="CF173" s="1779"/>
      <c r="CG173" s="1779"/>
      <c r="CH173" s="1779"/>
      <c r="CI173" s="1779"/>
      <c r="CJ173" s="1779"/>
      <c r="CK173" s="1779"/>
      <c r="CL173" s="1779"/>
      <c r="CM173" s="1779"/>
      <c r="CN173" s="1779"/>
      <c r="CO173" s="1779"/>
      <c r="CP173" s="1779"/>
      <c r="CQ173" s="1779"/>
      <c r="CR173" s="1779"/>
      <c r="CS173" s="1779"/>
      <c r="CT173" s="1779"/>
      <c r="CU173" s="1779"/>
      <c r="CV173" s="1779"/>
      <c r="CW173" s="1779"/>
      <c r="CX173" s="1779"/>
      <c r="CY173" s="1779"/>
      <c r="CZ173" s="1779"/>
      <c r="DA173" s="1779"/>
      <c r="DB173" s="1779"/>
      <c r="DC173" s="1779"/>
      <c r="DD173" s="1779"/>
      <c r="DE173" s="1779"/>
      <c r="DF173" s="1779"/>
      <c r="DG173" s="1779"/>
      <c r="DH173" s="1779"/>
      <c r="DI173" s="1779"/>
      <c r="DJ173" s="1779"/>
      <c r="DK173" s="1779"/>
      <c r="DL173" s="1779"/>
      <c r="DM173" s="1779"/>
      <c r="DN173" s="1779"/>
      <c r="DO173" s="1779"/>
      <c r="DP173" s="1779"/>
      <c r="DQ173" s="1779"/>
      <c r="DR173" s="1779"/>
      <c r="DS173" s="1779"/>
      <c r="DT173" s="1779"/>
      <c r="DU173" s="1779"/>
      <c r="DV173" s="1779"/>
      <c r="DW173" s="1779"/>
      <c r="DX173" s="1779"/>
      <c r="DY173" s="1779"/>
      <c r="DZ173" s="1779"/>
      <c r="EA173" s="1779"/>
      <c r="EB173" s="1779"/>
      <c r="EC173" s="1779"/>
      <c r="ED173" s="1779"/>
      <c r="EE173" s="1779"/>
      <c r="EF173" s="1779"/>
      <c r="EG173" s="1779"/>
      <c r="EH173" s="1779"/>
      <c r="EI173" s="1779"/>
      <c r="EJ173" s="1779"/>
      <c r="EK173" s="1779"/>
      <c r="EL173" s="1779"/>
      <c r="EM173" s="1779"/>
      <c r="EN173" s="1779"/>
      <c r="EO173" s="1779"/>
      <c r="EP173" s="1779"/>
      <c r="EQ173" s="1779"/>
      <c r="ER173" s="1779"/>
      <c r="ES173" s="1779"/>
      <c r="ET173" s="1779"/>
      <c r="EU173" s="1779"/>
      <c r="EV173" s="1779"/>
      <c r="EW173" s="1779"/>
      <c r="EX173" s="1779"/>
      <c r="EY173" s="1779"/>
      <c r="EZ173" s="1779"/>
      <c r="FA173" s="1779"/>
      <c r="FB173" s="1779"/>
      <c r="FC173" s="1779"/>
      <c r="FD173" s="1779"/>
      <c r="FE173" s="1779"/>
      <c r="FF173" s="1779"/>
      <c r="FG173" s="1779"/>
      <c r="FH173" s="1779"/>
      <c r="FI173" s="1779"/>
      <c r="FJ173" s="1779"/>
      <c r="FK173" s="1779"/>
      <c r="FL173" s="1779"/>
      <c r="FM173" s="1779"/>
      <c r="FN173" s="1779"/>
      <c r="FO173" s="1779"/>
      <c r="FP173" s="1779"/>
      <c r="FQ173" s="1779"/>
      <c r="FR173" s="2060"/>
      <c r="FS173" s="2060"/>
      <c r="FT173" s="2060"/>
      <c r="FU173" s="2060"/>
      <c r="FV173" s="2060"/>
      <c r="FW173" s="2060"/>
      <c r="FX173" s="2060"/>
      <c r="FY173" s="2060"/>
      <c r="FZ173" s="2060"/>
      <c r="GA173" s="2060"/>
      <c r="GB173" s="2060"/>
      <c r="GC173" s="2060"/>
    </row>
    <row r="174" spans="1:185" s="1499" customFormat="1" ht="12.75" customHeight="1">
      <c r="A174" s="1632" t="str">
        <f t="shared" si="23"/>
        <v>n</v>
      </c>
      <c r="B174" s="1004"/>
      <c r="C174" s="1502"/>
      <c r="D174" s="2060"/>
      <c r="E174" s="1578" t="str">
        <f t="shared" si="36"/>
        <v>--</v>
      </c>
      <c r="F174" s="2060"/>
      <c r="G174" s="2060"/>
      <c r="H174" s="2232" t="str">
        <f t="shared" si="24"/>
        <v>--</v>
      </c>
      <c r="I174" s="2233" t="str">
        <f t="shared" si="25"/>
        <v>--</v>
      </c>
      <c r="J174" s="2233" t="str">
        <f t="shared" si="26"/>
        <v>--</v>
      </c>
      <c r="K174" s="1794"/>
      <c r="L174" s="2060"/>
      <c r="M174" s="2232" t="str">
        <f t="shared" si="27"/>
        <v>--</v>
      </c>
      <c r="N174" s="2233" t="str">
        <f t="shared" si="28"/>
        <v>--</v>
      </c>
      <c r="O174" s="2233" t="str">
        <f t="shared" si="29"/>
        <v>--</v>
      </c>
      <c r="P174" s="2060"/>
      <c r="Q174" s="2060"/>
      <c r="R174" s="2232" t="str">
        <f t="shared" si="30"/>
        <v>--</v>
      </c>
      <c r="S174" s="2233" t="str">
        <f t="shared" si="31"/>
        <v>--</v>
      </c>
      <c r="T174" s="2233" t="str">
        <f t="shared" si="32"/>
        <v>--</v>
      </c>
      <c r="U174" s="2060"/>
      <c r="V174" s="2060"/>
      <c r="W174" s="2232" t="str">
        <f t="shared" si="33"/>
        <v>--</v>
      </c>
      <c r="X174" s="2233" t="str">
        <f t="shared" si="34"/>
        <v>--</v>
      </c>
      <c r="Y174" s="2233" t="str">
        <f t="shared" si="35"/>
        <v>--</v>
      </c>
      <c r="Z174" s="2060"/>
      <c r="AA174" s="2060"/>
      <c r="AB174" s="2060"/>
      <c r="AC174" s="2060"/>
      <c r="AD174" s="1004"/>
      <c r="AE174" s="2060"/>
      <c r="AF174" s="2060"/>
      <c r="AG174" s="2060"/>
      <c r="AH174" s="2060"/>
      <c r="AI174" s="2060"/>
      <c r="AJ174" s="2060"/>
      <c r="AK174" s="2060"/>
      <c r="AL174" s="2060"/>
      <c r="AM174" s="2060"/>
      <c r="AN174" s="1779"/>
      <c r="AO174" s="1779"/>
      <c r="AP174" s="1779"/>
      <c r="AQ174" s="1779"/>
      <c r="AR174" s="1779"/>
      <c r="AS174" s="1779"/>
      <c r="AT174" s="1779"/>
      <c r="AU174" s="1779"/>
      <c r="AV174" s="1779"/>
      <c r="AW174" s="1779"/>
      <c r="AX174" s="1779"/>
      <c r="AY174" s="1779"/>
      <c r="AZ174" s="1779"/>
      <c r="BA174" s="1779"/>
      <c r="BB174" s="1779"/>
      <c r="BC174" s="1779"/>
      <c r="BD174" s="1779"/>
      <c r="BE174" s="1779"/>
      <c r="BF174" s="1538"/>
      <c r="BG174" s="1538"/>
      <c r="BH174" s="1779"/>
      <c r="BI174" s="1779"/>
      <c r="BJ174" s="1538"/>
      <c r="BK174" s="1779"/>
      <c r="BL174" s="1779"/>
      <c r="BM174" s="1779"/>
      <c r="BN174" s="1779"/>
      <c r="BO174" s="1779"/>
      <c r="BP174" s="1779"/>
      <c r="BQ174" s="1779"/>
      <c r="BR174" s="1779"/>
      <c r="BS174" s="1779"/>
      <c r="BT174" s="1779"/>
      <c r="BU174" s="1779"/>
      <c r="BV174" s="1779"/>
      <c r="BW174" s="1779"/>
      <c r="BX174" s="1779"/>
      <c r="BY174" s="1779"/>
      <c r="BZ174" s="1779"/>
      <c r="CA174" s="1779"/>
      <c r="CB174" s="1779"/>
      <c r="CC174" s="1779"/>
      <c r="CD174" s="1779"/>
      <c r="CE174" s="1779"/>
      <c r="CF174" s="1779"/>
      <c r="CG174" s="1779"/>
      <c r="CH174" s="1779"/>
      <c r="CI174" s="1779"/>
      <c r="CJ174" s="1779"/>
      <c r="CK174" s="1779"/>
      <c r="CL174" s="1779"/>
      <c r="CM174" s="1779"/>
      <c r="CN174" s="1779"/>
      <c r="CO174" s="1779"/>
      <c r="CP174" s="1779"/>
      <c r="CQ174" s="1779"/>
      <c r="CR174" s="1779"/>
      <c r="CS174" s="1779"/>
      <c r="CT174" s="1779"/>
      <c r="CU174" s="1779"/>
      <c r="CV174" s="1779"/>
      <c r="CW174" s="1779"/>
      <c r="CX174" s="1779"/>
      <c r="CY174" s="1779"/>
      <c r="CZ174" s="1779"/>
      <c r="DA174" s="1779"/>
      <c r="DB174" s="1779"/>
      <c r="DC174" s="1779"/>
      <c r="DD174" s="1779"/>
      <c r="DE174" s="1779"/>
      <c r="DF174" s="1779"/>
      <c r="DG174" s="1779"/>
      <c r="DH174" s="1779"/>
      <c r="DI174" s="1779"/>
      <c r="DJ174" s="1779"/>
      <c r="DK174" s="1779"/>
      <c r="DL174" s="1779"/>
      <c r="DM174" s="1779"/>
      <c r="DN174" s="1779"/>
      <c r="DO174" s="1779"/>
      <c r="DP174" s="1779"/>
      <c r="DQ174" s="1779"/>
      <c r="DR174" s="1779"/>
      <c r="DS174" s="1779"/>
      <c r="DT174" s="1779"/>
      <c r="DU174" s="1779"/>
      <c r="DV174" s="1779"/>
      <c r="DW174" s="1779"/>
      <c r="DX174" s="1779"/>
      <c r="DY174" s="1779"/>
      <c r="DZ174" s="1779"/>
      <c r="EA174" s="1779"/>
      <c r="EB174" s="1779"/>
      <c r="EC174" s="1779"/>
      <c r="ED174" s="1779"/>
      <c r="EE174" s="1779"/>
      <c r="EF174" s="1779"/>
      <c r="EG174" s="1779"/>
      <c r="EH174" s="1779"/>
      <c r="EI174" s="1779"/>
      <c r="EJ174" s="1779"/>
      <c r="EK174" s="1779"/>
      <c r="EL174" s="1779"/>
      <c r="EM174" s="1779"/>
      <c r="EN174" s="1779"/>
      <c r="EO174" s="1779"/>
      <c r="EP174" s="1779"/>
      <c r="EQ174" s="1779"/>
      <c r="ER174" s="1779"/>
      <c r="ES174" s="1779"/>
      <c r="ET174" s="1779"/>
      <c r="EU174" s="1779"/>
      <c r="EV174" s="1779"/>
      <c r="EW174" s="1779"/>
      <c r="EX174" s="1779"/>
      <c r="EY174" s="1779"/>
      <c r="EZ174" s="1779"/>
      <c r="FA174" s="1779"/>
      <c r="FB174" s="1779"/>
      <c r="FC174" s="1779"/>
      <c r="FD174" s="1779"/>
      <c r="FE174" s="1779"/>
      <c r="FF174" s="1779"/>
      <c r="FG174" s="1779"/>
      <c r="FH174" s="1779"/>
      <c r="FI174" s="1779"/>
      <c r="FJ174" s="1779"/>
      <c r="FK174" s="1779"/>
      <c r="FL174" s="1779"/>
      <c r="FM174" s="1779"/>
      <c r="FN174" s="1779"/>
      <c r="FO174" s="1779"/>
      <c r="FP174" s="1779"/>
      <c r="FQ174" s="1779"/>
      <c r="FR174" s="2060"/>
      <c r="FS174" s="2060"/>
      <c r="FT174" s="2060"/>
      <c r="FU174" s="2060"/>
      <c r="FV174" s="2060"/>
      <c r="FW174" s="2060"/>
      <c r="FX174" s="2060"/>
      <c r="FY174" s="2060"/>
      <c r="FZ174" s="2060"/>
      <c r="GA174" s="2060"/>
      <c r="GB174" s="2060"/>
      <c r="GC174" s="2060"/>
    </row>
    <row r="175" spans="1:185" s="1499" customFormat="1" ht="12.75" customHeight="1">
      <c r="A175" s="1632" t="str">
        <f t="shared" si="23"/>
        <v>n</v>
      </c>
      <c r="B175" s="1004"/>
      <c r="C175" s="1502"/>
      <c r="D175" s="2060"/>
      <c r="E175" s="1578" t="str">
        <f t="shared" si="36"/>
        <v>--</v>
      </c>
      <c r="F175" s="2060"/>
      <c r="G175" s="2060"/>
      <c r="H175" s="2232" t="str">
        <f t="shared" si="24"/>
        <v>--</v>
      </c>
      <c r="I175" s="2233" t="str">
        <f t="shared" si="25"/>
        <v>--</v>
      </c>
      <c r="J175" s="2233" t="str">
        <f t="shared" si="26"/>
        <v>--</v>
      </c>
      <c r="K175" s="1794"/>
      <c r="L175" s="2060"/>
      <c r="M175" s="2232" t="str">
        <f t="shared" si="27"/>
        <v>--</v>
      </c>
      <c r="N175" s="2233" t="str">
        <f t="shared" si="28"/>
        <v>--</v>
      </c>
      <c r="O175" s="2233" t="str">
        <f t="shared" si="29"/>
        <v>--</v>
      </c>
      <c r="P175" s="2060"/>
      <c r="Q175" s="2060"/>
      <c r="R175" s="2232" t="str">
        <f t="shared" si="30"/>
        <v>--</v>
      </c>
      <c r="S175" s="2233" t="str">
        <f t="shared" si="31"/>
        <v>--</v>
      </c>
      <c r="T175" s="2233" t="str">
        <f t="shared" si="32"/>
        <v>--</v>
      </c>
      <c r="U175" s="2060"/>
      <c r="V175" s="2060"/>
      <c r="W175" s="2232" t="str">
        <f t="shared" si="33"/>
        <v>--</v>
      </c>
      <c r="X175" s="2233" t="str">
        <f t="shared" si="34"/>
        <v>--</v>
      </c>
      <c r="Y175" s="2233" t="str">
        <f t="shared" si="35"/>
        <v>--</v>
      </c>
      <c r="Z175" s="2060"/>
      <c r="AA175" s="2060"/>
      <c r="AB175" s="2060"/>
      <c r="AC175" s="2060"/>
      <c r="AD175" s="1004"/>
      <c r="AE175" s="2060"/>
      <c r="AF175" s="2060"/>
      <c r="AG175" s="2060"/>
      <c r="AH175" s="2060"/>
      <c r="AI175" s="2060"/>
      <c r="AJ175" s="2060"/>
      <c r="AK175" s="2060"/>
      <c r="AL175" s="2060"/>
      <c r="AM175" s="2060"/>
      <c r="AN175" s="1779"/>
      <c r="AO175" s="1779"/>
      <c r="AP175" s="1779"/>
      <c r="AQ175" s="1779"/>
      <c r="AR175" s="1779"/>
      <c r="AS175" s="1779"/>
      <c r="AT175" s="1779"/>
      <c r="AU175" s="1779"/>
      <c r="AV175" s="1779"/>
      <c r="AW175" s="1779"/>
      <c r="AX175" s="1779"/>
      <c r="AY175" s="1779"/>
      <c r="AZ175" s="1779"/>
      <c r="BA175" s="1779"/>
      <c r="BB175" s="1779"/>
      <c r="BC175" s="1779"/>
      <c r="BD175" s="1779"/>
      <c r="BE175" s="1779"/>
      <c r="BF175" s="1538"/>
      <c r="BG175" s="1538"/>
      <c r="BH175" s="1779"/>
      <c r="BI175" s="1779"/>
      <c r="BJ175" s="1538"/>
      <c r="BK175" s="1779"/>
      <c r="BL175" s="1779"/>
      <c r="BM175" s="1779"/>
      <c r="BN175" s="1779"/>
      <c r="BO175" s="1779"/>
      <c r="BP175" s="1779"/>
      <c r="BQ175" s="1779"/>
      <c r="BR175" s="1779"/>
      <c r="BS175" s="1779"/>
      <c r="BT175" s="1779"/>
      <c r="BU175" s="1779"/>
      <c r="BV175" s="1779"/>
      <c r="BW175" s="1779"/>
      <c r="BX175" s="1779"/>
      <c r="BY175" s="1779"/>
      <c r="BZ175" s="1779"/>
      <c r="CA175" s="1779"/>
      <c r="CB175" s="1779"/>
      <c r="CC175" s="1779"/>
      <c r="CD175" s="1779"/>
      <c r="CE175" s="1779"/>
      <c r="CF175" s="1779"/>
      <c r="CG175" s="1779"/>
      <c r="CH175" s="1779"/>
      <c r="CI175" s="1779"/>
      <c r="CJ175" s="1779"/>
      <c r="CK175" s="1779"/>
      <c r="CL175" s="1779"/>
      <c r="CM175" s="1779"/>
      <c r="CN175" s="1779"/>
      <c r="CO175" s="1779"/>
      <c r="CP175" s="1779"/>
      <c r="CQ175" s="1779"/>
      <c r="CR175" s="1779"/>
      <c r="CS175" s="1779"/>
      <c r="CT175" s="1779"/>
      <c r="CU175" s="1779"/>
      <c r="CV175" s="1779"/>
      <c r="CW175" s="1779"/>
      <c r="CX175" s="1779"/>
      <c r="CY175" s="1779"/>
      <c r="CZ175" s="1779"/>
      <c r="DA175" s="1779"/>
      <c r="DB175" s="1779"/>
      <c r="DC175" s="1779"/>
      <c r="DD175" s="1779"/>
      <c r="DE175" s="1779"/>
      <c r="DF175" s="1779"/>
      <c r="DG175" s="1779"/>
      <c r="DH175" s="1779"/>
      <c r="DI175" s="1779"/>
      <c r="DJ175" s="1779"/>
      <c r="DK175" s="1779"/>
      <c r="DL175" s="1779"/>
      <c r="DM175" s="1779"/>
      <c r="DN175" s="1779"/>
      <c r="DO175" s="1779"/>
      <c r="DP175" s="1779"/>
      <c r="DQ175" s="1779"/>
      <c r="DR175" s="1779"/>
      <c r="DS175" s="1779"/>
      <c r="DT175" s="1779"/>
      <c r="DU175" s="1779"/>
      <c r="DV175" s="1779"/>
      <c r="DW175" s="1779"/>
      <c r="DX175" s="1779"/>
      <c r="DY175" s="1779"/>
      <c r="DZ175" s="1779"/>
      <c r="EA175" s="1779"/>
      <c r="EB175" s="1779"/>
      <c r="EC175" s="1779"/>
      <c r="ED175" s="1779"/>
      <c r="EE175" s="1779"/>
      <c r="EF175" s="1779"/>
      <c r="EG175" s="1779"/>
      <c r="EH175" s="1779"/>
      <c r="EI175" s="1779"/>
      <c r="EJ175" s="1779"/>
      <c r="EK175" s="1779"/>
      <c r="EL175" s="1779"/>
      <c r="EM175" s="1779"/>
      <c r="EN175" s="1779"/>
      <c r="EO175" s="1779"/>
      <c r="EP175" s="1779"/>
      <c r="EQ175" s="1779"/>
      <c r="ER175" s="1779"/>
      <c r="ES175" s="1779"/>
      <c r="ET175" s="1779"/>
      <c r="EU175" s="1779"/>
      <c r="EV175" s="1779"/>
      <c r="EW175" s="1779"/>
      <c r="EX175" s="1779"/>
      <c r="EY175" s="1779"/>
      <c r="EZ175" s="1779"/>
      <c r="FA175" s="1779"/>
      <c r="FB175" s="1779"/>
      <c r="FC175" s="1779"/>
      <c r="FD175" s="1779"/>
      <c r="FE175" s="1779"/>
      <c r="FF175" s="1779"/>
      <c r="FG175" s="1779"/>
      <c r="FH175" s="1779"/>
      <c r="FI175" s="1779"/>
      <c r="FJ175" s="1779"/>
      <c r="FK175" s="1779"/>
      <c r="FL175" s="1779"/>
      <c r="FM175" s="1779"/>
      <c r="FN175" s="1779"/>
      <c r="FO175" s="1779"/>
      <c r="FP175" s="1779"/>
      <c r="FQ175" s="1779"/>
      <c r="FR175" s="2060"/>
      <c r="FS175" s="2060"/>
      <c r="FT175" s="2060"/>
      <c r="FU175" s="2060"/>
      <c r="FV175" s="2060"/>
      <c r="FW175" s="2060"/>
      <c r="FX175" s="2060"/>
      <c r="FY175" s="2060"/>
      <c r="FZ175" s="2060"/>
      <c r="GA175" s="2060"/>
      <c r="GB175" s="2060"/>
      <c r="GC175" s="2060"/>
    </row>
    <row r="176" spans="1:185" s="1499" customFormat="1" ht="12.75" customHeight="1">
      <c r="A176" s="1632" t="str">
        <f t="shared" si="23"/>
        <v>n</v>
      </c>
      <c r="B176" s="1004"/>
      <c r="C176" s="1502"/>
      <c r="D176" s="2060"/>
      <c r="E176" s="1578" t="str">
        <f t="shared" si="36"/>
        <v>--</v>
      </c>
      <c r="F176" s="2060"/>
      <c r="G176" s="2060"/>
      <c r="H176" s="2232" t="str">
        <f t="shared" si="24"/>
        <v>--</v>
      </c>
      <c r="I176" s="2233" t="str">
        <f t="shared" si="25"/>
        <v>--</v>
      </c>
      <c r="J176" s="2233" t="str">
        <f t="shared" si="26"/>
        <v>--</v>
      </c>
      <c r="K176" s="1794"/>
      <c r="L176" s="2060"/>
      <c r="M176" s="2232" t="str">
        <f t="shared" si="27"/>
        <v>--</v>
      </c>
      <c r="N176" s="2233" t="str">
        <f t="shared" si="28"/>
        <v>--</v>
      </c>
      <c r="O176" s="2233" t="str">
        <f t="shared" si="29"/>
        <v>--</v>
      </c>
      <c r="P176" s="2060"/>
      <c r="Q176" s="2060"/>
      <c r="R176" s="2232" t="str">
        <f t="shared" si="30"/>
        <v>--</v>
      </c>
      <c r="S176" s="2233" t="str">
        <f t="shared" si="31"/>
        <v>--</v>
      </c>
      <c r="T176" s="2233" t="str">
        <f t="shared" si="32"/>
        <v>--</v>
      </c>
      <c r="U176" s="2060"/>
      <c r="V176" s="2060"/>
      <c r="W176" s="2232" t="str">
        <f t="shared" si="33"/>
        <v>--</v>
      </c>
      <c r="X176" s="2233" t="str">
        <f t="shared" si="34"/>
        <v>--</v>
      </c>
      <c r="Y176" s="2233" t="str">
        <f t="shared" si="35"/>
        <v>--</v>
      </c>
      <c r="Z176" s="2060"/>
      <c r="AA176" s="2060"/>
      <c r="AB176" s="2060"/>
      <c r="AC176" s="2060"/>
      <c r="AD176" s="1004"/>
      <c r="AE176" s="2060"/>
      <c r="AF176" s="2060"/>
      <c r="AG176" s="2060"/>
      <c r="AH176" s="2060"/>
      <c r="AI176" s="2060"/>
      <c r="AJ176" s="2060"/>
      <c r="AK176" s="2060"/>
      <c r="AL176" s="2060"/>
      <c r="AM176" s="2060"/>
      <c r="AN176" s="2060"/>
      <c r="AO176" s="2060"/>
      <c r="AP176" s="2060"/>
      <c r="AQ176" s="2060"/>
      <c r="AR176" s="2060"/>
      <c r="AS176" s="2060"/>
      <c r="AT176" s="2060"/>
      <c r="AU176" s="2060"/>
      <c r="AV176" s="2060"/>
      <c r="AW176" s="2060"/>
      <c r="AX176" s="2060"/>
      <c r="AY176" s="2060"/>
      <c r="AZ176" s="2060"/>
      <c r="BA176" s="2060"/>
      <c r="BB176" s="2060"/>
      <c r="BC176" s="2060"/>
      <c r="BD176" s="2060"/>
      <c r="BE176" s="2060"/>
      <c r="BF176" s="2060"/>
      <c r="BG176" s="2060"/>
      <c r="BH176" s="2060"/>
      <c r="BI176" s="2060"/>
      <c r="BJ176" s="2060"/>
      <c r="BK176" s="2060"/>
      <c r="BL176" s="2060"/>
      <c r="BM176" s="2060"/>
      <c r="BN176" s="2060"/>
      <c r="BO176" s="2060"/>
      <c r="BP176" s="2060"/>
      <c r="BQ176" s="2060"/>
      <c r="BR176" s="2060"/>
      <c r="BS176" s="2060"/>
      <c r="BT176" s="2060"/>
      <c r="BU176" s="2060"/>
      <c r="BV176" s="2060"/>
      <c r="BW176" s="2060"/>
      <c r="BX176" s="2060"/>
      <c r="BY176" s="2060"/>
      <c r="BZ176" s="2060"/>
      <c r="CA176" s="2060"/>
      <c r="CB176" s="2060"/>
      <c r="CC176" s="2060"/>
      <c r="CD176" s="2060"/>
      <c r="CE176" s="2060"/>
      <c r="CF176" s="2060"/>
      <c r="CG176" s="2060"/>
      <c r="CH176" s="2060"/>
      <c r="CI176" s="2060"/>
      <c r="CJ176" s="2060"/>
      <c r="CK176" s="2060"/>
      <c r="CL176" s="2060"/>
      <c r="CM176" s="2060"/>
      <c r="CN176" s="2060"/>
      <c r="CO176" s="2060"/>
      <c r="CP176" s="2060"/>
      <c r="CQ176" s="2060"/>
      <c r="CR176" s="2060"/>
      <c r="CS176" s="2060"/>
      <c r="CT176" s="2060"/>
      <c r="CU176" s="2060"/>
      <c r="CV176" s="2060"/>
      <c r="CW176" s="2060"/>
      <c r="CX176" s="2060"/>
      <c r="CY176" s="2060"/>
      <c r="CZ176" s="2060"/>
      <c r="DA176" s="2060"/>
      <c r="DB176" s="2060"/>
      <c r="DC176" s="2060"/>
      <c r="DD176" s="2060"/>
      <c r="DE176" s="2060"/>
      <c r="DF176" s="2060"/>
      <c r="DG176" s="2060"/>
      <c r="DH176" s="2060"/>
      <c r="DI176" s="2060"/>
      <c r="DJ176" s="2060"/>
      <c r="DK176" s="2060"/>
      <c r="DL176" s="2060"/>
      <c r="DM176" s="2060"/>
      <c r="DN176" s="2060"/>
      <c r="DO176" s="2060"/>
      <c r="DP176" s="2060"/>
      <c r="DQ176" s="2060"/>
      <c r="DR176" s="2060"/>
      <c r="DS176" s="2060"/>
      <c r="DT176" s="2060"/>
      <c r="DU176" s="2060"/>
      <c r="DV176" s="2060"/>
      <c r="DW176" s="2060"/>
      <c r="DX176" s="2060"/>
      <c r="DY176" s="2060"/>
      <c r="DZ176" s="2060"/>
      <c r="EA176" s="2060"/>
      <c r="EB176" s="2060"/>
      <c r="EC176" s="2060"/>
      <c r="ED176" s="2060"/>
      <c r="EE176" s="2060"/>
      <c r="EF176" s="2060"/>
      <c r="EG176" s="2060"/>
      <c r="EH176" s="2060"/>
      <c r="EI176" s="2060"/>
      <c r="EJ176" s="2060"/>
      <c r="EK176" s="2060"/>
      <c r="EL176" s="2060"/>
      <c r="EM176" s="2060"/>
      <c r="EN176" s="2060"/>
      <c r="EO176" s="2060"/>
      <c r="EP176" s="2060"/>
      <c r="EQ176" s="2060"/>
      <c r="ER176" s="2060"/>
      <c r="ES176" s="2060"/>
      <c r="ET176" s="2060"/>
      <c r="EU176" s="2060"/>
      <c r="EV176" s="2060"/>
      <c r="EW176" s="2060"/>
      <c r="EX176" s="2060"/>
      <c r="EY176" s="2060"/>
      <c r="EZ176" s="2060"/>
      <c r="FA176" s="2060"/>
      <c r="FB176" s="2060"/>
      <c r="FC176" s="2060"/>
      <c r="FD176" s="2060"/>
      <c r="FE176" s="2060"/>
      <c r="FF176" s="2060"/>
      <c r="FG176" s="2060"/>
      <c r="FH176" s="2060"/>
      <c r="FI176" s="2060"/>
      <c r="FJ176" s="2060"/>
      <c r="FK176" s="2060"/>
      <c r="FL176" s="2060"/>
      <c r="FM176" s="2060"/>
      <c r="FN176" s="2060"/>
      <c r="FO176" s="2060"/>
      <c r="FP176" s="2060"/>
      <c r="FQ176" s="2060"/>
      <c r="FR176" s="2060"/>
      <c r="FS176" s="2060"/>
      <c r="FT176" s="2060"/>
      <c r="FU176" s="2060"/>
      <c r="FV176" s="2060"/>
      <c r="FW176" s="2060"/>
      <c r="FX176" s="2060"/>
      <c r="FY176" s="2060"/>
      <c r="FZ176" s="2060"/>
      <c r="GA176" s="2060"/>
      <c r="GB176" s="2060"/>
      <c r="GC176" s="2060"/>
    </row>
    <row r="177" spans="1:185" s="1499" customFormat="1" ht="12.75" customHeight="1">
      <c r="A177" s="1632" t="str">
        <f t="shared" si="23"/>
        <v>n</v>
      </c>
      <c r="B177" s="1004"/>
      <c r="C177" s="1502"/>
      <c r="D177" s="2060"/>
      <c r="E177" s="1578" t="str">
        <f t="shared" si="36"/>
        <v>--</v>
      </c>
      <c r="F177" s="2060"/>
      <c r="G177" s="2060"/>
      <c r="H177" s="2232" t="str">
        <f t="shared" si="24"/>
        <v>--</v>
      </c>
      <c r="I177" s="2233" t="str">
        <f t="shared" si="25"/>
        <v>--</v>
      </c>
      <c r="J177" s="2233" t="str">
        <f t="shared" si="26"/>
        <v>--</v>
      </c>
      <c r="K177" s="1794"/>
      <c r="L177" s="2060"/>
      <c r="M177" s="2232" t="str">
        <f t="shared" si="27"/>
        <v>--</v>
      </c>
      <c r="N177" s="2233" t="str">
        <f t="shared" si="28"/>
        <v>--</v>
      </c>
      <c r="O177" s="2233" t="str">
        <f t="shared" si="29"/>
        <v>--</v>
      </c>
      <c r="P177" s="2060"/>
      <c r="Q177" s="2060"/>
      <c r="R177" s="2232" t="str">
        <f t="shared" si="30"/>
        <v>--</v>
      </c>
      <c r="S177" s="2233" t="str">
        <f t="shared" si="31"/>
        <v>--</v>
      </c>
      <c r="T177" s="2233" t="str">
        <f t="shared" si="32"/>
        <v>--</v>
      </c>
      <c r="U177" s="2060"/>
      <c r="V177" s="2060"/>
      <c r="W177" s="2232" t="str">
        <f t="shared" si="33"/>
        <v>--</v>
      </c>
      <c r="X177" s="2233" t="str">
        <f t="shared" si="34"/>
        <v>--</v>
      </c>
      <c r="Y177" s="2233" t="str">
        <f t="shared" si="35"/>
        <v>--</v>
      </c>
      <c r="Z177" s="2060"/>
      <c r="AA177" s="2060"/>
      <c r="AB177" s="2060"/>
      <c r="AC177" s="2060"/>
      <c r="AD177" s="1004"/>
      <c r="AE177" s="2060"/>
      <c r="AF177" s="2060"/>
      <c r="AG177" s="2060"/>
      <c r="AH177" s="2060"/>
      <c r="AI177" s="2060"/>
      <c r="AJ177" s="2060"/>
      <c r="AK177" s="2060"/>
      <c r="AL177" s="2060"/>
      <c r="AM177" s="2060"/>
      <c r="AN177" s="2060"/>
      <c r="AO177" s="2060"/>
      <c r="AP177" s="2060"/>
      <c r="AQ177" s="2060"/>
      <c r="AR177" s="2060"/>
      <c r="AS177" s="2060"/>
      <c r="AT177" s="2060"/>
      <c r="AU177" s="2060"/>
      <c r="AV177" s="2060"/>
      <c r="AW177" s="2060"/>
      <c r="AX177" s="2060"/>
      <c r="AY177" s="2060"/>
      <c r="AZ177" s="2060"/>
      <c r="BA177" s="2060"/>
      <c r="BB177" s="2060"/>
      <c r="BC177" s="2060"/>
      <c r="BD177" s="2060"/>
      <c r="BE177" s="2060"/>
      <c r="BF177" s="2060"/>
      <c r="BG177" s="2060"/>
      <c r="BH177" s="2060"/>
      <c r="BI177" s="2060"/>
      <c r="BJ177" s="2060"/>
      <c r="BK177" s="2060"/>
      <c r="BL177" s="2060"/>
      <c r="BM177" s="2060"/>
      <c r="BN177" s="2060"/>
      <c r="BO177" s="2060"/>
      <c r="BP177" s="2060"/>
      <c r="BQ177" s="2060"/>
      <c r="BR177" s="2060"/>
      <c r="BS177" s="2060"/>
      <c r="BT177" s="2060"/>
      <c r="BU177" s="2060"/>
      <c r="BV177" s="2060"/>
      <c r="BW177" s="2060"/>
      <c r="BX177" s="2060"/>
      <c r="BY177" s="2060"/>
      <c r="BZ177" s="2060"/>
      <c r="CA177" s="2060"/>
      <c r="CB177" s="2060"/>
      <c r="CC177" s="2060"/>
      <c r="CD177" s="2060"/>
      <c r="CE177" s="2060"/>
      <c r="CF177" s="2060"/>
      <c r="CG177" s="2060"/>
      <c r="CH177" s="2060"/>
      <c r="CI177" s="2060"/>
      <c r="CJ177" s="2060"/>
      <c r="CK177" s="2060"/>
      <c r="CL177" s="2060"/>
      <c r="CM177" s="2060"/>
      <c r="CN177" s="2060"/>
      <c r="CO177" s="2060"/>
      <c r="CP177" s="2060"/>
      <c r="CQ177" s="2060"/>
      <c r="CR177" s="2060"/>
      <c r="CS177" s="2060"/>
      <c r="CT177" s="2060"/>
      <c r="CU177" s="2060"/>
      <c r="CV177" s="2060"/>
      <c r="CW177" s="2060"/>
      <c r="CX177" s="2060"/>
      <c r="CY177" s="2060"/>
      <c r="CZ177" s="2060"/>
      <c r="DA177" s="2060"/>
      <c r="DB177" s="2060"/>
      <c r="DC177" s="2060"/>
      <c r="DD177" s="2060"/>
      <c r="DE177" s="2060"/>
      <c r="DF177" s="2060"/>
      <c r="DG177" s="2060"/>
      <c r="DH177" s="2060"/>
      <c r="DI177" s="2060"/>
      <c r="DJ177" s="2060"/>
      <c r="DK177" s="2060"/>
      <c r="DL177" s="2060"/>
      <c r="DM177" s="2060"/>
      <c r="DN177" s="2060"/>
      <c r="DO177" s="2060"/>
      <c r="DP177" s="2060"/>
      <c r="DQ177" s="2060"/>
      <c r="DR177" s="2060"/>
      <c r="DS177" s="2060"/>
      <c r="DT177" s="2060"/>
      <c r="DU177" s="2060"/>
      <c r="DV177" s="2060"/>
      <c r="DW177" s="2060"/>
      <c r="DX177" s="2060"/>
      <c r="DY177" s="2060"/>
      <c r="DZ177" s="2060"/>
      <c r="EA177" s="2060"/>
      <c r="EB177" s="2060"/>
      <c r="EC177" s="2060"/>
      <c r="ED177" s="2060"/>
      <c r="EE177" s="2060"/>
      <c r="EF177" s="2060"/>
      <c r="EG177" s="2060"/>
      <c r="EH177" s="2060"/>
      <c r="EI177" s="2060"/>
      <c r="EJ177" s="2060"/>
      <c r="EK177" s="2060"/>
      <c r="EL177" s="2060"/>
      <c r="EM177" s="2060"/>
      <c r="EN177" s="2060"/>
      <c r="EO177" s="2060"/>
      <c r="EP177" s="2060"/>
      <c r="EQ177" s="2060"/>
      <c r="ER177" s="2060"/>
      <c r="ES177" s="2060"/>
      <c r="ET177" s="2060"/>
      <c r="EU177" s="2060"/>
      <c r="EV177" s="2060"/>
      <c r="EW177" s="2060"/>
      <c r="EX177" s="2060"/>
      <c r="EY177" s="2060"/>
      <c r="EZ177" s="2060"/>
      <c r="FA177" s="2060"/>
      <c r="FB177" s="2060"/>
      <c r="FC177" s="2060"/>
      <c r="FD177" s="2060"/>
      <c r="FE177" s="2060"/>
      <c r="FF177" s="2060"/>
      <c r="FG177" s="2060"/>
      <c r="FH177" s="2060"/>
      <c r="FI177" s="2060"/>
      <c r="FJ177" s="2060"/>
      <c r="FK177" s="2060"/>
      <c r="FL177" s="2060"/>
      <c r="FM177" s="2060"/>
      <c r="FN177" s="2060"/>
      <c r="FO177" s="2060"/>
      <c r="FP177" s="2060"/>
      <c r="FQ177" s="2060"/>
      <c r="FR177" s="2060"/>
      <c r="FS177" s="2060"/>
      <c r="FT177" s="2060"/>
      <c r="FU177" s="2060"/>
      <c r="FV177" s="2060"/>
      <c r="FW177" s="2060"/>
      <c r="FX177" s="2060"/>
      <c r="FY177" s="2060"/>
      <c r="FZ177" s="2060"/>
      <c r="GA177" s="2060"/>
      <c r="GB177" s="2060"/>
      <c r="GC177" s="2060"/>
    </row>
    <row r="178" spans="1:185" s="1499" customFormat="1" ht="12.75" customHeight="1">
      <c r="A178" s="1632" t="str">
        <f t="shared" si="23"/>
        <v>n</v>
      </c>
      <c r="B178" s="1004"/>
      <c r="C178" s="1502"/>
      <c r="D178" s="2060"/>
      <c r="E178" s="1578" t="str">
        <f t="shared" si="36"/>
        <v>--</v>
      </c>
      <c r="F178" s="2060"/>
      <c r="G178" s="2060"/>
      <c r="H178" s="2232" t="str">
        <f t="shared" si="24"/>
        <v>--</v>
      </c>
      <c r="I178" s="2233" t="str">
        <f t="shared" si="25"/>
        <v>--</v>
      </c>
      <c r="J178" s="2233" t="str">
        <f t="shared" si="26"/>
        <v>--</v>
      </c>
      <c r="K178" s="1794"/>
      <c r="L178" s="2060"/>
      <c r="M178" s="2232" t="str">
        <f t="shared" si="27"/>
        <v>--</v>
      </c>
      <c r="N178" s="2233" t="str">
        <f t="shared" si="28"/>
        <v>--</v>
      </c>
      <c r="O178" s="2233" t="str">
        <f t="shared" si="29"/>
        <v>--</v>
      </c>
      <c r="P178" s="2060"/>
      <c r="Q178" s="2060"/>
      <c r="R178" s="2232" t="str">
        <f t="shared" si="30"/>
        <v>--</v>
      </c>
      <c r="S178" s="2233" t="str">
        <f t="shared" si="31"/>
        <v>--</v>
      </c>
      <c r="T178" s="2233" t="str">
        <f t="shared" si="32"/>
        <v>--</v>
      </c>
      <c r="U178" s="2060"/>
      <c r="V178" s="2060"/>
      <c r="W178" s="2232" t="str">
        <f t="shared" si="33"/>
        <v>--</v>
      </c>
      <c r="X178" s="2233" t="str">
        <f t="shared" si="34"/>
        <v>--</v>
      </c>
      <c r="Y178" s="2233" t="str">
        <f t="shared" si="35"/>
        <v>--</v>
      </c>
      <c r="Z178" s="2060"/>
      <c r="AA178" s="2060"/>
      <c r="AB178" s="2060"/>
      <c r="AC178" s="2060"/>
      <c r="AD178" s="1004"/>
      <c r="AE178" s="2060"/>
      <c r="AF178" s="2060"/>
      <c r="AG178" s="2060"/>
      <c r="AH178" s="2060"/>
      <c r="AI178" s="2060"/>
      <c r="AJ178" s="2060"/>
      <c r="AK178" s="2060"/>
      <c r="AL178" s="2060"/>
      <c r="AM178" s="2060"/>
      <c r="AN178" s="2060"/>
      <c r="AO178" s="2060"/>
      <c r="AP178" s="2060"/>
      <c r="AQ178" s="2060"/>
      <c r="AR178" s="2060"/>
      <c r="AS178" s="2060"/>
      <c r="AT178" s="2060"/>
      <c r="AU178" s="2060"/>
      <c r="AV178" s="2060"/>
      <c r="AW178" s="2060"/>
      <c r="AX178" s="2060"/>
      <c r="AY178" s="2060"/>
      <c r="AZ178" s="2060"/>
      <c r="BA178" s="2060"/>
      <c r="BB178" s="2060"/>
      <c r="BC178" s="2060"/>
      <c r="BD178" s="2060"/>
      <c r="BE178" s="2060"/>
      <c r="BF178" s="2060"/>
      <c r="BG178" s="2060"/>
      <c r="BH178" s="2060"/>
      <c r="BI178" s="2060"/>
      <c r="BJ178" s="2060"/>
      <c r="BK178" s="2060"/>
      <c r="BL178" s="2060"/>
      <c r="BM178" s="2060"/>
      <c r="BN178" s="2060"/>
      <c r="BO178" s="2060"/>
      <c r="BP178" s="2060"/>
      <c r="BQ178" s="2060"/>
      <c r="BR178" s="2060"/>
      <c r="BS178" s="2060"/>
      <c r="BT178" s="2060"/>
      <c r="BU178" s="2060"/>
      <c r="BV178" s="2060"/>
      <c r="BW178" s="2060"/>
      <c r="BX178" s="2060"/>
      <c r="BY178" s="2060"/>
      <c r="BZ178" s="2060"/>
      <c r="CA178" s="2060"/>
      <c r="CB178" s="2060"/>
      <c r="CC178" s="2060"/>
      <c r="CD178" s="2060"/>
      <c r="CE178" s="2060"/>
      <c r="CF178" s="2060"/>
      <c r="CG178" s="2060"/>
      <c r="CH178" s="2060"/>
      <c r="CI178" s="2060"/>
      <c r="CJ178" s="2060"/>
      <c r="CK178" s="2060"/>
      <c r="CL178" s="2060"/>
      <c r="CM178" s="2060"/>
      <c r="CN178" s="2060"/>
      <c r="CO178" s="2060"/>
      <c r="CP178" s="2060"/>
      <c r="CQ178" s="2060"/>
      <c r="CR178" s="2060"/>
      <c r="CS178" s="2060"/>
      <c r="CT178" s="2060"/>
      <c r="CU178" s="2060"/>
      <c r="CV178" s="2060"/>
      <c r="CW178" s="2060"/>
      <c r="CX178" s="2060"/>
      <c r="CY178" s="2060"/>
      <c r="CZ178" s="2060"/>
      <c r="DA178" s="2060"/>
      <c r="DB178" s="2060"/>
      <c r="DC178" s="2060"/>
      <c r="DD178" s="2060"/>
      <c r="DE178" s="2060"/>
      <c r="DF178" s="2060"/>
      <c r="DG178" s="2060"/>
      <c r="DH178" s="2060"/>
      <c r="DI178" s="2060"/>
      <c r="DJ178" s="2060"/>
      <c r="DK178" s="2060"/>
      <c r="DL178" s="2060"/>
      <c r="DM178" s="2060"/>
      <c r="DN178" s="2060"/>
      <c r="DO178" s="2060"/>
      <c r="DP178" s="2060"/>
      <c r="DQ178" s="2060"/>
      <c r="DR178" s="2060"/>
      <c r="DS178" s="2060"/>
      <c r="DT178" s="2060"/>
      <c r="DU178" s="2060"/>
      <c r="DV178" s="2060"/>
      <c r="DW178" s="2060"/>
      <c r="DX178" s="2060"/>
      <c r="DY178" s="2060"/>
      <c r="DZ178" s="2060"/>
      <c r="EA178" s="2060"/>
      <c r="EB178" s="2060"/>
      <c r="EC178" s="2060"/>
      <c r="ED178" s="2060"/>
      <c r="EE178" s="2060"/>
      <c r="EF178" s="2060"/>
      <c r="EG178" s="2060"/>
      <c r="EH178" s="2060"/>
      <c r="EI178" s="2060"/>
      <c r="EJ178" s="2060"/>
      <c r="EK178" s="2060"/>
      <c r="EL178" s="2060"/>
      <c r="EM178" s="2060"/>
      <c r="EN178" s="2060"/>
      <c r="EO178" s="2060"/>
      <c r="EP178" s="2060"/>
      <c r="EQ178" s="2060"/>
      <c r="ER178" s="2060"/>
      <c r="ES178" s="2060"/>
      <c r="ET178" s="2060"/>
      <c r="EU178" s="2060"/>
      <c r="EV178" s="2060"/>
      <c r="EW178" s="2060"/>
      <c r="EX178" s="2060"/>
      <c r="EY178" s="2060"/>
      <c r="EZ178" s="2060"/>
      <c r="FA178" s="2060"/>
      <c r="FB178" s="2060"/>
      <c r="FC178" s="2060"/>
      <c r="FD178" s="2060"/>
      <c r="FE178" s="2060"/>
      <c r="FF178" s="2060"/>
      <c r="FG178" s="2060"/>
      <c r="FH178" s="2060"/>
      <c r="FI178" s="2060"/>
      <c r="FJ178" s="2060"/>
      <c r="FK178" s="2060"/>
      <c r="FL178" s="2060"/>
      <c r="FM178" s="2060"/>
      <c r="FN178" s="2060"/>
      <c r="FO178" s="2060"/>
      <c r="FP178" s="2060"/>
      <c r="FQ178" s="2060"/>
      <c r="FR178" s="2060"/>
      <c r="FS178" s="2060"/>
      <c r="FT178" s="2060"/>
      <c r="FU178" s="2060"/>
      <c r="FV178" s="2060"/>
      <c r="FW178" s="2060"/>
      <c r="FX178" s="2060"/>
      <c r="FY178" s="2060"/>
      <c r="FZ178" s="2060"/>
      <c r="GA178" s="2060"/>
      <c r="GB178" s="2060"/>
      <c r="GC178" s="2060"/>
    </row>
    <row r="179" spans="1:185" s="1499" customFormat="1" ht="12.75" customHeight="1">
      <c r="A179" s="1632" t="str">
        <f t="shared" si="23"/>
        <v>n</v>
      </c>
      <c r="B179" s="1004"/>
      <c r="C179" s="1502"/>
      <c r="D179" s="2060"/>
      <c r="E179" s="1578" t="str">
        <f t="shared" si="36"/>
        <v>--</v>
      </c>
      <c r="F179" s="2060"/>
      <c r="G179" s="2060"/>
      <c r="H179" s="2232" t="str">
        <f t="shared" si="24"/>
        <v>--</v>
      </c>
      <c r="I179" s="2233" t="str">
        <f t="shared" si="25"/>
        <v>--</v>
      </c>
      <c r="J179" s="2233" t="str">
        <f t="shared" si="26"/>
        <v>--</v>
      </c>
      <c r="K179" s="1794"/>
      <c r="L179" s="2060"/>
      <c r="M179" s="2232" t="str">
        <f t="shared" si="27"/>
        <v>--</v>
      </c>
      <c r="N179" s="2233" t="str">
        <f t="shared" si="28"/>
        <v>--</v>
      </c>
      <c r="O179" s="2233" t="str">
        <f t="shared" si="29"/>
        <v>--</v>
      </c>
      <c r="P179" s="2060"/>
      <c r="Q179" s="2060"/>
      <c r="R179" s="2232" t="str">
        <f t="shared" si="30"/>
        <v>--</v>
      </c>
      <c r="S179" s="2233" t="str">
        <f t="shared" si="31"/>
        <v>--</v>
      </c>
      <c r="T179" s="2233" t="str">
        <f t="shared" si="32"/>
        <v>--</v>
      </c>
      <c r="U179" s="2060"/>
      <c r="V179" s="2060"/>
      <c r="W179" s="2232" t="str">
        <f t="shared" si="33"/>
        <v>--</v>
      </c>
      <c r="X179" s="2233" t="str">
        <f t="shared" si="34"/>
        <v>--</v>
      </c>
      <c r="Y179" s="2233" t="str">
        <f t="shared" si="35"/>
        <v>--</v>
      </c>
      <c r="Z179" s="2060"/>
      <c r="AA179" s="2060"/>
      <c r="AB179" s="2060"/>
      <c r="AC179" s="2060"/>
      <c r="AD179" s="1004"/>
      <c r="AE179" s="2060"/>
      <c r="AF179" s="2060"/>
      <c r="AG179" s="2060"/>
      <c r="AH179" s="2060"/>
      <c r="AI179" s="2060"/>
      <c r="AJ179" s="2060"/>
      <c r="AK179" s="2060"/>
      <c r="AL179" s="2060"/>
      <c r="AM179" s="2060"/>
      <c r="AN179" s="2060"/>
      <c r="AO179" s="2060"/>
      <c r="AP179" s="2060"/>
      <c r="AQ179" s="2060"/>
      <c r="AR179" s="2060"/>
      <c r="AS179" s="2060"/>
      <c r="AT179" s="2060"/>
      <c r="AU179" s="2060"/>
      <c r="AV179" s="2060"/>
      <c r="AW179" s="2060"/>
      <c r="AX179" s="2060"/>
      <c r="AY179" s="2060"/>
      <c r="AZ179" s="2060"/>
      <c r="BA179" s="2060"/>
      <c r="BB179" s="2060"/>
      <c r="BC179" s="2060"/>
      <c r="BD179" s="2060"/>
      <c r="BE179" s="2060"/>
      <c r="BF179" s="2060"/>
      <c r="BG179" s="2060"/>
      <c r="BH179" s="2060"/>
      <c r="BI179" s="2060"/>
      <c r="BJ179" s="2060"/>
      <c r="BK179" s="2060"/>
      <c r="BL179" s="2060"/>
      <c r="BM179" s="2060"/>
      <c r="BN179" s="2060"/>
      <c r="BO179" s="2060"/>
      <c r="BP179" s="2060"/>
      <c r="BQ179" s="2060"/>
      <c r="BR179" s="2060"/>
      <c r="BS179" s="2060"/>
      <c r="BT179" s="2060"/>
      <c r="BU179" s="2060"/>
      <c r="BV179" s="2060"/>
      <c r="BW179" s="2060"/>
      <c r="BX179" s="2060"/>
      <c r="BY179" s="2060"/>
      <c r="BZ179" s="2060"/>
      <c r="CA179" s="2060"/>
      <c r="CB179" s="2060"/>
      <c r="CC179" s="2060"/>
      <c r="CD179" s="2060"/>
      <c r="CE179" s="2060"/>
      <c r="CF179" s="2060"/>
      <c r="CG179" s="2060"/>
      <c r="CH179" s="2060"/>
      <c r="CI179" s="2060"/>
      <c r="CJ179" s="2060"/>
      <c r="CK179" s="2060"/>
      <c r="CL179" s="2060"/>
      <c r="CM179" s="2060"/>
      <c r="CN179" s="2060"/>
      <c r="CO179" s="2060"/>
      <c r="CP179" s="2060"/>
      <c r="CQ179" s="2060"/>
      <c r="CR179" s="2060"/>
      <c r="CS179" s="2060"/>
      <c r="CT179" s="2060"/>
      <c r="CU179" s="2060"/>
      <c r="CV179" s="2060"/>
      <c r="CW179" s="2060"/>
      <c r="CX179" s="2060"/>
      <c r="CY179" s="2060"/>
      <c r="CZ179" s="2060"/>
      <c r="DA179" s="2060"/>
      <c r="DB179" s="2060"/>
      <c r="DC179" s="2060"/>
      <c r="DD179" s="2060"/>
      <c r="DE179" s="2060"/>
      <c r="DF179" s="2060"/>
      <c r="DG179" s="2060"/>
      <c r="DH179" s="2060"/>
      <c r="DI179" s="2060"/>
      <c r="DJ179" s="2060"/>
      <c r="DK179" s="2060"/>
      <c r="DL179" s="2060"/>
      <c r="DM179" s="2060"/>
      <c r="DN179" s="2060"/>
      <c r="DO179" s="2060"/>
      <c r="DP179" s="2060"/>
      <c r="DQ179" s="2060"/>
      <c r="DR179" s="2060"/>
      <c r="DS179" s="2060"/>
      <c r="DT179" s="2060"/>
      <c r="DU179" s="2060"/>
      <c r="DV179" s="2060"/>
      <c r="DW179" s="2060"/>
      <c r="DX179" s="2060"/>
      <c r="DY179" s="2060"/>
      <c r="DZ179" s="2060"/>
      <c r="EA179" s="2060"/>
      <c r="EB179" s="2060"/>
      <c r="EC179" s="2060"/>
      <c r="ED179" s="2060"/>
      <c r="EE179" s="2060"/>
      <c r="EF179" s="2060"/>
      <c r="EG179" s="2060"/>
      <c r="EH179" s="2060"/>
      <c r="EI179" s="2060"/>
      <c r="EJ179" s="2060"/>
      <c r="EK179" s="2060"/>
      <c r="EL179" s="2060"/>
      <c r="EM179" s="2060"/>
      <c r="EN179" s="2060"/>
      <c r="EO179" s="2060"/>
      <c r="EP179" s="2060"/>
      <c r="EQ179" s="2060"/>
      <c r="ER179" s="2060"/>
      <c r="ES179" s="2060"/>
      <c r="ET179" s="2060"/>
      <c r="EU179" s="2060"/>
      <c r="EV179" s="2060"/>
      <c r="EW179" s="2060"/>
      <c r="EX179" s="2060"/>
      <c r="EY179" s="2060"/>
      <c r="EZ179" s="2060"/>
      <c r="FA179" s="2060"/>
      <c r="FB179" s="2060"/>
      <c r="FC179" s="2060"/>
      <c r="FD179" s="2060"/>
      <c r="FE179" s="2060"/>
      <c r="FF179" s="2060"/>
      <c r="FG179" s="2060"/>
      <c r="FH179" s="2060"/>
      <c r="FI179" s="2060"/>
      <c r="FJ179" s="2060"/>
      <c r="FK179" s="2060"/>
      <c r="FL179" s="2060"/>
      <c r="FM179" s="2060"/>
      <c r="FN179" s="2060"/>
      <c r="FO179" s="2060"/>
      <c r="FP179" s="2060"/>
      <c r="FQ179" s="2060"/>
      <c r="FR179" s="2060"/>
      <c r="FS179" s="2060"/>
      <c r="FT179" s="2060"/>
      <c r="FU179" s="2060"/>
      <c r="FV179" s="2060"/>
      <c r="FW179" s="2060"/>
      <c r="FX179" s="2060"/>
      <c r="FY179" s="2060"/>
      <c r="FZ179" s="2060"/>
      <c r="GA179" s="2060"/>
      <c r="GB179" s="2060"/>
      <c r="GC179" s="2060"/>
    </row>
    <row r="180" spans="1:185" s="1499" customFormat="1" ht="12.75" customHeight="1">
      <c r="A180" s="1632" t="str">
        <f t="shared" si="23"/>
        <v>n</v>
      </c>
      <c r="B180" s="1004"/>
      <c r="C180" s="1502"/>
      <c r="D180" s="2060"/>
      <c r="E180" s="1578" t="str">
        <f t="shared" si="36"/>
        <v>--</v>
      </c>
      <c r="F180" s="2060"/>
      <c r="G180" s="2060"/>
      <c r="H180" s="2232" t="str">
        <f t="shared" si="24"/>
        <v>--</v>
      </c>
      <c r="I180" s="2233" t="str">
        <f t="shared" si="25"/>
        <v>--</v>
      </c>
      <c r="J180" s="2233" t="str">
        <f t="shared" si="26"/>
        <v>--</v>
      </c>
      <c r="K180" s="1794"/>
      <c r="L180" s="2060"/>
      <c r="M180" s="2232" t="str">
        <f t="shared" si="27"/>
        <v>--</v>
      </c>
      <c r="N180" s="2233" t="str">
        <f t="shared" si="28"/>
        <v>--</v>
      </c>
      <c r="O180" s="2233" t="str">
        <f t="shared" si="29"/>
        <v>--</v>
      </c>
      <c r="P180" s="2060"/>
      <c r="Q180" s="2060"/>
      <c r="R180" s="2232" t="str">
        <f t="shared" si="30"/>
        <v>--</v>
      </c>
      <c r="S180" s="2233" t="str">
        <f t="shared" si="31"/>
        <v>--</v>
      </c>
      <c r="T180" s="2233" t="str">
        <f t="shared" si="32"/>
        <v>--</v>
      </c>
      <c r="U180" s="2060"/>
      <c r="V180" s="2060"/>
      <c r="W180" s="2232" t="str">
        <f t="shared" si="33"/>
        <v>--</v>
      </c>
      <c r="X180" s="2233" t="str">
        <f t="shared" si="34"/>
        <v>--</v>
      </c>
      <c r="Y180" s="2233" t="str">
        <f t="shared" si="35"/>
        <v>--</v>
      </c>
      <c r="Z180" s="2060"/>
      <c r="AA180" s="2060"/>
      <c r="AB180" s="2060"/>
      <c r="AC180" s="2060"/>
      <c r="AD180" s="1004"/>
      <c r="AE180" s="2060"/>
      <c r="AF180" s="2060"/>
      <c r="AG180" s="2060"/>
      <c r="AH180" s="2060"/>
      <c r="AI180" s="2060"/>
      <c r="AJ180" s="2060"/>
      <c r="AK180" s="2060"/>
      <c r="AL180" s="2060"/>
      <c r="AM180" s="2060"/>
      <c r="AN180" s="2060"/>
      <c r="AO180" s="2060"/>
      <c r="AP180" s="2060"/>
      <c r="AQ180" s="2060"/>
      <c r="AR180" s="2060"/>
      <c r="AS180" s="2060"/>
      <c r="AT180" s="2060"/>
      <c r="AU180" s="2060"/>
      <c r="AV180" s="2060"/>
      <c r="AW180" s="2060"/>
      <c r="AX180" s="2060"/>
      <c r="AY180" s="2060"/>
      <c r="AZ180" s="2060"/>
      <c r="BA180" s="2060"/>
      <c r="BB180" s="2060"/>
      <c r="BC180" s="2060"/>
      <c r="BD180" s="2060"/>
      <c r="BE180" s="2060"/>
      <c r="BF180" s="2060"/>
      <c r="BG180" s="2060"/>
      <c r="BH180" s="2060"/>
      <c r="BI180" s="2060"/>
      <c r="BJ180" s="2060"/>
      <c r="BK180" s="2060"/>
      <c r="BL180" s="2060"/>
      <c r="BM180" s="2060"/>
      <c r="BN180" s="2060"/>
      <c r="BO180" s="2060"/>
      <c r="BP180" s="2060"/>
      <c r="BQ180" s="2060"/>
      <c r="BR180" s="2060"/>
      <c r="BS180" s="2060"/>
      <c r="BT180" s="2060"/>
      <c r="BU180" s="2060"/>
      <c r="BV180" s="2060"/>
      <c r="BW180" s="2060"/>
      <c r="BX180" s="2060"/>
      <c r="BY180" s="2060"/>
      <c r="BZ180" s="2060"/>
      <c r="CA180" s="2060"/>
      <c r="CB180" s="2060"/>
      <c r="CC180" s="2060"/>
      <c r="CD180" s="2060"/>
      <c r="CE180" s="2060"/>
      <c r="CF180" s="2060"/>
      <c r="CG180" s="2060"/>
      <c r="CH180" s="2060"/>
      <c r="CI180" s="2060"/>
      <c r="CJ180" s="2060"/>
      <c r="CK180" s="2060"/>
      <c r="CL180" s="2060"/>
      <c r="CM180" s="2060"/>
      <c r="CN180" s="2060"/>
      <c r="CO180" s="2060"/>
      <c r="CP180" s="2060"/>
      <c r="CQ180" s="2060"/>
      <c r="CR180" s="2060"/>
      <c r="CS180" s="2060"/>
      <c r="CT180" s="2060"/>
      <c r="CU180" s="2060"/>
      <c r="CV180" s="2060"/>
      <c r="CW180" s="2060"/>
      <c r="CX180" s="2060"/>
      <c r="CY180" s="2060"/>
      <c r="CZ180" s="2060"/>
      <c r="DA180" s="2060"/>
      <c r="DB180" s="2060"/>
      <c r="DC180" s="2060"/>
      <c r="DD180" s="2060"/>
      <c r="DE180" s="2060"/>
      <c r="DF180" s="2060"/>
      <c r="DG180" s="2060"/>
      <c r="DH180" s="2060"/>
      <c r="DI180" s="2060"/>
      <c r="DJ180" s="2060"/>
      <c r="DK180" s="2060"/>
      <c r="DL180" s="2060"/>
      <c r="DM180" s="2060"/>
      <c r="DN180" s="2060"/>
      <c r="DO180" s="2060"/>
      <c r="DP180" s="2060"/>
      <c r="DQ180" s="2060"/>
      <c r="DR180" s="2060"/>
      <c r="DS180" s="2060"/>
      <c r="DT180" s="2060"/>
      <c r="DU180" s="2060"/>
      <c r="DV180" s="2060"/>
      <c r="DW180" s="2060"/>
      <c r="DX180" s="2060"/>
      <c r="DY180" s="2060"/>
      <c r="DZ180" s="2060"/>
      <c r="EA180" s="2060"/>
      <c r="EB180" s="2060"/>
      <c r="EC180" s="2060"/>
      <c r="ED180" s="2060"/>
      <c r="EE180" s="2060"/>
      <c r="EF180" s="2060"/>
      <c r="EG180" s="2060"/>
      <c r="EH180" s="2060"/>
      <c r="EI180" s="2060"/>
      <c r="EJ180" s="2060"/>
      <c r="EK180" s="2060"/>
      <c r="EL180" s="2060"/>
      <c r="EM180" s="2060"/>
      <c r="EN180" s="2060"/>
      <c r="EO180" s="2060"/>
      <c r="EP180" s="2060"/>
      <c r="EQ180" s="2060"/>
      <c r="ER180" s="2060"/>
      <c r="ES180" s="2060"/>
      <c r="ET180" s="2060"/>
      <c r="EU180" s="2060"/>
      <c r="EV180" s="2060"/>
      <c r="EW180" s="2060"/>
      <c r="EX180" s="2060"/>
      <c r="EY180" s="2060"/>
      <c r="EZ180" s="2060"/>
      <c r="FA180" s="2060"/>
      <c r="FB180" s="2060"/>
      <c r="FC180" s="2060"/>
      <c r="FD180" s="2060"/>
      <c r="FE180" s="2060"/>
      <c r="FF180" s="2060"/>
      <c r="FG180" s="2060"/>
      <c r="FH180" s="2060"/>
      <c r="FI180" s="2060"/>
      <c r="FJ180" s="2060"/>
      <c r="FK180" s="2060"/>
      <c r="FL180" s="2060"/>
      <c r="FM180" s="2060"/>
      <c r="FN180" s="2060"/>
      <c r="FO180" s="2060"/>
      <c r="FP180" s="2060"/>
      <c r="FQ180" s="2060"/>
      <c r="FR180" s="2060"/>
      <c r="FS180" s="2060"/>
      <c r="FT180" s="2060"/>
      <c r="FU180" s="2060"/>
      <c r="FV180" s="2060"/>
      <c r="FW180" s="2060"/>
      <c r="FX180" s="2060"/>
      <c r="FY180" s="2060"/>
      <c r="FZ180" s="2060"/>
      <c r="GA180" s="2060"/>
      <c r="GB180" s="2060"/>
      <c r="GC180" s="2060"/>
    </row>
    <row r="181" spans="1:185" s="1499" customFormat="1" ht="12.75" customHeight="1">
      <c r="A181" s="1632" t="str">
        <f t="shared" si="23"/>
        <v>n</v>
      </c>
      <c r="B181" s="1004"/>
      <c r="C181" s="1502"/>
      <c r="D181" s="2060"/>
      <c r="E181" s="1578" t="str">
        <f t="shared" si="36"/>
        <v>--</v>
      </c>
      <c r="F181" s="2060"/>
      <c r="G181" s="2060"/>
      <c r="H181" s="2232" t="str">
        <f t="shared" si="24"/>
        <v>--</v>
      </c>
      <c r="I181" s="2233" t="str">
        <f t="shared" si="25"/>
        <v>--</v>
      </c>
      <c r="J181" s="2233" t="str">
        <f t="shared" si="26"/>
        <v>--</v>
      </c>
      <c r="K181" s="1794"/>
      <c r="L181" s="2060"/>
      <c r="M181" s="2232" t="str">
        <f t="shared" si="27"/>
        <v>--</v>
      </c>
      <c r="N181" s="2233" t="str">
        <f t="shared" si="28"/>
        <v>--</v>
      </c>
      <c r="O181" s="2233" t="str">
        <f t="shared" si="29"/>
        <v>--</v>
      </c>
      <c r="P181" s="2060"/>
      <c r="Q181" s="2060"/>
      <c r="R181" s="2232" t="str">
        <f t="shared" si="30"/>
        <v>--</v>
      </c>
      <c r="S181" s="2233" t="str">
        <f t="shared" si="31"/>
        <v>--</v>
      </c>
      <c r="T181" s="2233" t="str">
        <f t="shared" si="32"/>
        <v>--</v>
      </c>
      <c r="U181" s="2060"/>
      <c r="V181" s="2060"/>
      <c r="W181" s="2232" t="str">
        <f t="shared" si="33"/>
        <v>--</v>
      </c>
      <c r="X181" s="2233" t="str">
        <f t="shared" si="34"/>
        <v>--</v>
      </c>
      <c r="Y181" s="2233" t="str">
        <f t="shared" si="35"/>
        <v>--</v>
      </c>
      <c r="Z181" s="2060"/>
      <c r="AA181" s="2060"/>
      <c r="AB181" s="2060"/>
      <c r="AC181" s="2060"/>
      <c r="AD181" s="1004"/>
      <c r="AE181" s="2060"/>
      <c r="AF181" s="2060"/>
      <c r="AG181" s="2060"/>
      <c r="AH181" s="2060"/>
      <c r="AI181" s="2060"/>
      <c r="AJ181" s="2060"/>
      <c r="AK181" s="2060"/>
      <c r="AL181" s="2060"/>
      <c r="AM181" s="2060"/>
      <c r="AN181" s="2060"/>
      <c r="AO181" s="2060"/>
      <c r="AP181" s="2060"/>
      <c r="AQ181" s="2060"/>
      <c r="AR181" s="2060"/>
      <c r="AS181" s="2060"/>
      <c r="AT181" s="2060"/>
      <c r="AU181" s="2060"/>
      <c r="AV181" s="2060"/>
      <c r="AW181" s="2060"/>
      <c r="AX181" s="2060"/>
      <c r="AY181" s="2060"/>
      <c r="AZ181" s="2060"/>
      <c r="BA181" s="2060"/>
      <c r="BB181" s="2060"/>
      <c r="BC181" s="2060"/>
      <c r="BD181" s="2060"/>
      <c r="BE181" s="2060"/>
      <c r="BF181" s="2060"/>
      <c r="BG181" s="2060"/>
      <c r="BH181" s="2060"/>
      <c r="BI181" s="2060"/>
      <c r="BJ181" s="2060"/>
      <c r="BK181" s="2060"/>
      <c r="BL181" s="2060"/>
      <c r="BM181" s="2060"/>
      <c r="BN181" s="2060"/>
      <c r="BO181" s="2060"/>
      <c r="BP181" s="2060"/>
      <c r="BQ181" s="2060"/>
      <c r="BR181" s="2060"/>
      <c r="BS181" s="2060"/>
      <c r="BT181" s="2060"/>
      <c r="BU181" s="2060"/>
      <c r="BV181" s="2060"/>
      <c r="BW181" s="2060"/>
      <c r="BX181" s="2060"/>
      <c r="BY181" s="2060"/>
      <c r="BZ181" s="2060"/>
      <c r="CA181" s="2060"/>
      <c r="CB181" s="2060"/>
      <c r="CC181" s="2060"/>
      <c r="CD181" s="2060"/>
      <c r="CE181" s="2060"/>
      <c r="CF181" s="2060"/>
      <c r="CG181" s="2060"/>
      <c r="CH181" s="2060"/>
      <c r="CI181" s="2060"/>
      <c r="CJ181" s="2060"/>
      <c r="CK181" s="2060"/>
      <c r="CL181" s="2060"/>
      <c r="CM181" s="2060"/>
      <c r="CN181" s="2060"/>
      <c r="CO181" s="2060"/>
      <c r="CP181" s="2060"/>
      <c r="CQ181" s="2060"/>
      <c r="CR181" s="2060"/>
      <c r="CS181" s="2060"/>
      <c r="CT181" s="2060"/>
      <c r="CU181" s="2060"/>
      <c r="CV181" s="2060"/>
      <c r="CW181" s="2060"/>
      <c r="CX181" s="2060"/>
      <c r="CY181" s="2060"/>
      <c r="CZ181" s="2060"/>
      <c r="DA181" s="2060"/>
      <c r="DB181" s="2060"/>
      <c r="DC181" s="2060"/>
      <c r="DD181" s="2060"/>
      <c r="DE181" s="2060"/>
      <c r="DF181" s="2060"/>
      <c r="DG181" s="2060"/>
      <c r="DH181" s="2060"/>
      <c r="DI181" s="2060"/>
      <c r="DJ181" s="2060"/>
      <c r="DK181" s="2060"/>
      <c r="DL181" s="2060"/>
      <c r="DM181" s="2060"/>
      <c r="DN181" s="2060"/>
      <c r="DO181" s="2060"/>
      <c r="DP181" s="2060"/>
      <c r="DQ181" s="2060"/>
      <c r="DR181" s="2060"/>
      <c r="DS181" s="2060"/>
      <c r="DT181" s="2060"/>
      <c r="DU181" s="2060"/>
      <c r="DV181" s="2060"/>
      <c r="DW181" s="2060"/>
      <c r="DX181" s="2060"/>
      <c r="DY181" s="2060"/>
      <c r="DZ181" s="2060"/>
      <c r="EA181" s="2060"/>
      <c r="EB181" s="2060"/>
      <c r="EC181" s="2060"/>
      <c r="ED181" s="2060"/>
      <c r="EE181" s="2060"/>
      <c r="EF181" s="2060"/>
      <c r="EG181" s="2060"/>
      <c r="EH181" s="2060"/>
      <c r="EI181" s="2060"/>
      <c r="EJ181" s="2060"/>
      <c r="EK181" s="2060"/>
      <c r="EL181" s="2060"/>
      <c r="EM181" s="2060"/>
      <c r="EN181" s="2060"/>
      <c r="EO181" s="2060"/>
      <c r="EP181" s="2060"/>
      <c r="EQ181" s="2060"/>
      <c r="ER181" s="2060"/>
      <c r="ES181" s="2060"/>
      <c r="ET181" s="2060"/>
      <c r="EU181" s="2060"/>
      <c r="EV181" s="2060"/>
      <c r="EW181" s="2060"/>
      <c r="EX181" s="2060"/>
      <c r="EY181" s="2060"/>
      <c r="EZ181" s="2060"/>
      <c r="FA181" s="2060"/>
      <c r="FB181" s="2060"/>
      <c r="FC181" s="2060"/>
      <c r="FD181" s="2060"/>
      <c r="FE181" s="2060"/>
      <c r="FF181" s="2060"/>
      <c r="FG181" s="2060"/>
      <c r="FH181" s="2060"/>
      <c r="FI181" s="2060"/>
      <c r="FJ181" s="2060"/>
      <c r="FK181" s="2060"/>
      <c r="FL181" s="2060"/>
      <c r="FM181" s="2060"/>
      <c r="FN181" s="2060"/>
      <c r="FO181" s="2060"/>
      <c r="FP181" s="2060"/>
      <c r="FQ181" s="2060"/>
      <c r="FR181" s="2060"/>
      <c r="FS181" s="2060"/>
      <c r="FT181" s="2060"/>
      <c r="FU181" s="2060"/>
      <c r="FV181" s="2060"/>
      <c r="FW181" s="2060"/>
      <c r="FX181" s="2060"/>
      <c r="FY181" s="2060"/>
      <c r="FZ181" s="2060"/>
      <c r="GA181" s="2060"/>
      <c r="GB181" s="2060"/>
      <c r="GC181" s="2060"/>
    </row>
    <row r="182" spans="1:185" s="1499" customFormat="1" ht="12.75" customHeight="1">
      <c r="A182" s="1632" t="str">
        <f t="shared" si="23"/>
        <v>n</v>
      </c>
      <c r="B182" s="1004"/>
      <c r="C182" s="1502"/>
      <c r="D182" s="2060"/>
      <c r="E182" s="1578" t="str">
        <f t="shared" si="36"/>
        <v>--</v>
      </c>
      <c r="F182" s="2060"/>
      <c r="G182" s="2060"/>
      <c r="H182" s="2232" t="str">
        <f t="shared" si="24"/>
        <v>--</v>
      </c>
      <c r="I182" s="2233" t="str">
        <f t="shared" si="25"/>
        <v>--</v>
      </c>
      <c r="J182" s="2233" t="str">
        <f t="shared" si="26"/>
        <v>--</v>
      </c>
      <c r="K182" s="1794"/>
      <c r="L182" s="2060"/>
      <c r="M182" s="2232" t="str">
        <f t="shared" si="27"/>
        <v>--</v>
      </c>
      <c r="N182" s="2233" t="str">
        <f t="shared" si="28"/>
        <v>--</v>
      </c>
      <c r="O182" s="2233" t="str">
        <f t="shared" si="29"/>
        <v>--</v>
      </c>
      <c r="P182" s="2060"/>
      <c r="Q182" s="2060"/>
      <c r="R182" s="2232" t="str">
        <f t="shared" si="30"/>
        <v>--</v>
      </c>
      <c r="S182" s="2233" t="str">
        <f t="shared" si="31"/>
        <v>--</v>
      </c>
      <c r="T182" s="2233" t="str">
        <f t="shared" si="32"/>
        <v>--</v>
      </c>
      <c r="U182" s="2060"/>
      <c r="V182" s="2060"/>
      <c r="W182" s="2232" t="str">
        <f t="shared" si="33"/>
        <v>--</v>
      </c>
      <c r="X182" s="2233" t="str">
        <f t="shared" si="34"/>
        <v>--</v>
      </c>
      <c r="Y182" s="2233" t="str">
        <f t="shared" si="35"/>
        <v>--</v>
      </c>
      <c r="Z182" s="2060"/>
      <c r="AA182" s="2060"/>
      <c r="AB182" s="2060"/>
      <c r="AC182" s="2060"/>
      <c r="AD182" s="1004"/>
      <c r="AE182" s="2060"/>
      <c r="AF182" s="2060"/>
      <c r="AG182" s="2060"/>
      <c r="AH182" s="2060"/>
      <c r="AI182" s="2060"/>
      <c r="AJ182" s="2060"/>
      <c r="AK182" s="2060"/>
      <c r="AL182" s="2060"/>
      <c r="AM182" s="2060"/>
      <c r="AN182" s="2060"/>
      <c r="AO182" s="2060"/>
      <c r="AP182" s="2060"/>
      <c r="AQ182" s="2060"/>
      <c r="AR182" s="2060"/>
      <c r="AS182" s="2060"/>
      <c r="AT182" s="2060"/>
      <c r="AU182" s="2060"/>
      <c r="AV182" s="2060"/>
      <c r="AW182" s="2060"/>
      <c r="AX182" s="2060"/>
      <c r="AY182" s="2060"/>
      <c r="AZ182" s="2060"/>
      <c r="BA182" s="2060"/>
      <c r="BB182" s="2060"/>
      <c r="BC182" s="2060"/>
      <c r="BD182" s="2060"/>
      <c r="BE182" s="2060"/>
      <c r="BF182" s="2060"/>
      <c r="BG182" s="2060"/>
      <c r="BH182" s="2060"/>
      <c r="BI182" s="2060"/>
      <c r="BJ182" s="2060"/>
      <c r="BK182" s="2060"/>
      <c r="BL182" s="2060"/>
      <c r="BM182" s="2060"/>
      <c r="BN182" s="2060"/>
      <c r="BO182" s="2060"/>
      <c r="BP182" s="2060"/>
      <c r="BQ182" s="2060"/>
      <c r="BR182" s="2060"/>
      <c r="BS182" s="2060"/>
      <c r="BT182" s="2060"/>
      <c r="BU182" s="2060"/>
      <c r="BV182" s="2060"/>
      <c r="BW182" s="2060"/>
      <c r="BX182" s="2060"/>
      <c r="BY182" s="2060"/>
      <c r="BZ182" s="2060"/>
      <c r="CA182" s="2060"/>
      <c r="CB182" s="2060"/>
      <c r="CC182" s="2060"/>
      <c r="CD182" s="2060"/>
      <c r="CE182" s="2060"/>
      <c r="CF182" s="2060"/>
      <c r="CG182" s="2060"/>
      <c r="CH182" s="2060"/>
      <c r="CI182" s="2060"/>
      <c r="CJ182" s="2060"/>
      <c r="CK182" s="2060"/>
      <c r="CL182" s="2060"/>
      <c r="CM182" s="2060"/>
      <c r="CN182" s="2060"/>
      <c r="CO182" s="2060"/>
      <c r="CP182" s="2060"/>
      <c r="CQ182" s="2060"/>
      <c r="CR182" s="2060"/>
      <c r="CS182" s="2060"/>
      <c r="CT182" s="2060"/>
      <c r="CU182" s="2060"/>
      <c r="CV182" s="2060"/>
      <c r="CW182" s="2060"/>
      <c r="CX182" s="2060"/>
      <c r="CY182" s="2060"/>
      <c r="CZ182" s="2060"/>
      <c r="DA182" s="2060"/>
      <c r="DB182" s="2060"/>
      <c r="DC182" s="2060"/>
      <c r="DD182" s="2060"/>
      <c r="DE182" s="2060"/>
      <c r="DF182" s="2060"/>
      <c r="DG182" s="2060"/>
      <c r="DH182" s="2060"/>
      <c r="DI182" s="2060"/>
      <c r="DJ182" s="2060"/>
      <c r="DK182" s="2060"/>
      <c r="DL182" s="2060"/>
      <c r="DM182" s="2060"/>
      <c r="DN182" s="2060"/>
      <c r="DO182" s="2060"/>
      <c r="DP182" s="2060"/>
      <c r="DQ182" s="2060"/>
      <c r="DR182" s="2060"/>
      <c r="DS182" s="2060"/>
      <c r="DT182" s="2060"/>
      <c r="DU182" s="2060"/>
      <c r="DV182" s="2060"/>
      <c r="DW182" s="2060"/>
      <c r="DX182" s="2060"/>
      <c r="DY182" s="2060"/>
      <c r="DZ182" s="2060"/>
      <c r="EA182" s="2060"/>
      <c r="EB182" s="2060"/>
      <c r="EC182" s="2060"/>
      <c r="ED182" s="2060"/>
      <c r="EE182" s="2060"/>
      <c r="EF182" s="2060"/>
      <c r="EG182" s="2060"/>
      <c r="EH182" s="2060"/>
      <c r="EI182" s="2060"/>
      <c r="EJ182" s="2060"/>
      <c r="EK182" s="2060"/>
      <c r="EL182" s="2060"/>
      <c r="EM182" s="2060"/>
      <c r="EN182" s="2060"/>
      <c r="EO182" s="2060"/>
      <c r="EP182" s="2060"/>
      <c r="EQ182" s="2060"/>
      <c r="ER182" s="2060"/>
      <c r="ES182" s="2060"/>
      <c r="ET182" s="2060"/>
      <c r="EU182" s="2060"/>
      <c r="EV182" s="2060"/>
      <c r="EW182" s="2060"/>
      <c r="EX182" s="2060"/>
      <c r="EY182" s="2060"/>
      <c r="EZ182" s="2060"/>
      <c r="FA182" s="2060"/>
      <c r="FB182" s="2060"/>
      <c r="FC182" s="2060"/>
      <c r="FD182" s="2060"/>
      <c r="FE182" s="2060"/>
      <c r="FF182" s="2060"/>
      <c r="FG182" s="2060"/>
      <c r="FH182" s="2060"/>
      <c r="FI182" s="2060"/>
      <c r="FJ182" s="2060"/>
      <c r="FK182" s="2060"/>
      <c r="FL182" s="2060"/>
      <c r="FM182" s="2060"/>
      <c r="FN182" s="2060"/>
      <c r="FO182" s="2060"/>
      <c r="FP182" s="2060"/>
      <c r="FQ182" s="2060"/>
      <c r="FR182" s="2060"/>
      <c r="FS182" s="2060"/>
      <c r="FT182" s="2060"/>
      <c r="FU182" s="2060"/>
      <c r="FV182" s="2060"/>
      <c r="FW182" s="2060"/>
      <c r="FX182" s="2060"/>
      <c r="FY182" s="2060"/>
      <c r="FZ182" s="2060"/>
      <c r="GA182" s="2060"/>
      <c r="GB182" s="2060"/>
      <c r="GC182" s="2060"/>
    </row>
    <row r="183" spans="1:185" s="1499" customFormat="1" ht="12.75" customHeight="1">
      <c r="A183" s="1632" t="str">
        <f t="shared" si="23"/>
        <v>n</v>
      </c>
      <c r="B183" s="1004"/>
      <c r="C183" s="1502"/>
      <c r="D183" s="2060"/>
      <c r="E183" s="1578" t="str">
        <f t="shared" si="36"/>
        <v>--</v>
      </c>
      <c r="F183" s="2060"/>
      <c r="G183" s="2060"/>
      <c r="H183" s="2232" t="str">
        <f t="shared" si="24"/>
        <v>--</v>
      </c>
      <c r="I183" s="2233" t="str">
        <f t="shared" si="25"/>
        <v>--</v>
      </c>
      <c r="J183" s="2233" t="str">
        <f t="shared" si="26"/>
        <v>--</v>
      </c>
      <c r="K183" s="1794"/>
      <c r="L183" s="2060"/>
      <c r="M183" s="2232" t="str">
        <f t="shared" si="27"/>
        <v>--</v>
      </c>
      <c r="N183" s="2233" t="str">
        <f t="shared" si="28"/>
        <v>--</v>
      </c>
      <c r="O183" s="2233" t="str">
        <f t="shared" si="29"/>
        <v>--</v>
      </c>
      <c r="P183" s="2060"/>
      <c r="Q183" s="2060"/>
      <c r="R183" s="2232" t="str">
        <f t="shared" si="30"/>
        <v>--</v>
      </c>
      <c r="S183" s="2233" t="str">
        <f t="shared" si="31"/>
        <v>--</v>
      </c>
      <c r="T183" s="2233" t="str">
        <f t="shared" si="32"/>
        <v>--</v>
      </c>
      <c r="U183" s="2060"/>
      <c r="V183" s="2060"/>
      <c r="W183" s="2232" t="str">
        <f t="shared" si="33"/>
        <v>--</v>
      </c>
      <c r="X183" s="2233" t="str">
        <f t="shared" si="34"/>
        <v>--</v>
      </c>
      <c r="Y183" s="2233" t="str">
        <f t="shared" si="35"/>
        <v>--</v>
      </c>
      <c r="Z183" s="2060"/>
      <c r="AA183" s="2060"/>
      <c r="AB183" s="2060"/>
      <c r="AC183" s="2060"/>
      <c r="AD183" s="1004"/>
      <c r="AE183" s="2060"/>
      <c r="AF183" s="2060"/>
      <c r="AG183" s="2060"/>
      <c r="AH183" s="2060"/>
      <c r="AI183" s="2060"/>
      <c r="AJ183" s="2060"/>
      <c r="AK183" s="2060"/>
      <c r="AL183" s="2060"/>
      <c r="AM183" s="2060"/>
      <c r="AN183" s="2060"/>
      <c r="AO183" s="2060"/>
      <c r="AP183" s="2060"/>
      <c r="AQ183" s="2060"/>
      <c r="AR183" s="2060"/>
      <c r="AS183" s="2060"/>
      <c r="AT183" s="2060"/>
      <c r="AU183" s="2060"/>
      <c r="AV183" s="2060"/>
      <c r="AW183" s="2060"/>
      <c r="AX183" s="2060"/>
      <c r="AY183" s="2060"/>
      <c r="AZ183" s="2060"/>
      <c r="BA183" s="2060"/>
      <c r="BB183" s="2060"/>
      <c r="BC183" s="2060"/>
      <c r="BD183" s="2060"/>
      <c r="BE183" s="2060"/>
      <c r="BF183" s="2060"/>
      <c r="BG183" s="2060"/>
      <c r="BH183" s="2060"/>
      <c r="BI183" s="2060"/>
      <c r="BJ183" s="2060"/>
      <c r="BK183" s="2060"/>
      <c r="BL183" s="2060"/>
      <c r="BM183" s="2060"/>
      <c r="BN183" s="2060"/>
      <c r="BO183" s="2060"/>
      <c r="BP183" s="2060"/>
      <c r="BQ183" s="2060"/>
      <c r="BR183" s="2060"/>
      <c r="BS183" s="2060"/>
      <c r="BT183" s="2060"/>
      <c r="BU183" s="2060"/>
      <c r="BV183" s="2060"/>
      <c r="BW183" s="2060"/>
      <c r="BX183" s="2060"/>
      <c r="BY183" s="2060"/>
      <c r="BZ183" s="2060"/>
      <c r="CA183" s="2060"/>
      <c r="CB183" s="2060"/>
      <c r="CC183" s="2060"/>
      <c r="CD183" s="2060"/>
      <c r="CE183" s="2060"/>
      <c r="CF183" s="2060"/>
      <c r="CG183" s="2060"/>
      <c r="CH183" s="2060"/>
      <c r="CI183" s="2060"/>
      <c r="CJ183" s="2060"/>
      <c r="CK183" s="2060"/>
      <c r="CL183" s="2060"/>
      <c r="CM183" s="2060"/>
      <c r="CN183" s="2060"/>
      <c r="CO183" s="2060"/>
      <c r="CP183" s="2060"/>
      <c r="CQ183" s="2060"/>
      <c r="CR183" s="2060"/>
      <c r="CS183" s="2060"/>
      <c r="CT183" s="2060"/>
      <c r="CU183" s="2060"/>
      <c r="CV183" s="2060"/>
      <c r="CW183" s="2060"/>
      <c r="CX183" s="2060"/>
      <c r="CY183" s="2060"/>
      <c r="CZ183" s="2060"/>
      <c r="DA183" s="2060"/>
      <c r="DB183" s="2060"/>
      <c r="DC183" s="2060"/>
      <c r="DD183" s="2060"/>
      <c r="DE183" s="2060"/>
      <c r="DF183" s="2060"/>
      <c r="DG183" s="2060"/>
      <c r="DH183" s="2060"/>
      <c r="DI183" s="2060"/>
      <c r="DJ183" s="2060"/>
      <c r="DK183" s="2060"/>
      <c r="DL183" s="2060"/>
      <c r="DM183" s="2060"/>
      <c r="DN183" s="2060"/>
      <c r="DO183" s="2060"/>
      <c r="DP183" s="2060"/>
      <c r="DQ183" s="2060"/>
      <c r="DR183" s="2060"/>
      <c r="DS183" s="2060"/>
      <c r="DT183" s="2060"/>
      <c r="DU183" s="2060"/>
      <c r="DV183" s="2060"/>
      <c r="DW183" s="2060"/>
      <c r="DX183" s="2060"/>
      <c r="DY183" s="2060"/>
      <c r="DZ183" s="2060"/>
      <c r="EA183" s="2060"/>
      <c r="EB183" s="2060"/>
      <c r="EC183" s="2060"/>
      <c r="ED183" s="2060"/>
      <c r="EE183" s="2060"/>
      <c r="EF183" s="2060"/>
      <c r="EG183" s="2060"/>
      <c r="EH183" s="2060"/>
      <c r="EI183" s="2060"/>
      <c r="EJ183" s="2060"/>
      <c r="EK183" s="2060"/>
      <c r="EL183" s="2060"/>
      <c r="EM183" s="2060"/>
      <c r="EN183" s="2060"/>
      <c r="EO183" s="2060"/>
      <c r="EP183" s="2060"/>
      <c r="EQ183" s="2060"/>
      <c r="ER183" s="2060"/>
      <c r="ES183" s="2060"/>
      <c r="ET183" s="2060"/>
      <c r="EU183" s="2060"/>
      <c r="EV183" s="2060"/>
      <c r="EW183" s="2060"/>
      <c r="EX183" s="2060"/>
      <c r="EY183" s="2060"/>
      <c r="EZ183" s="2060"/>
      <c r="FA183" s="2060"/>
      <c r="FB183" s="2060"/>
      <c r="FC183" s="2060"/>
      <c r="FD183" s="2060"/>
      <c r="FE183" s="2060"/>
      <c r="FF183" s="2060"/>
      <c r="FG183" s="2060"/>
      <c r="FH183" s="2060"/>
      <c r="FI183" s="2060"/>
      <c r="FJ183" s="2060"/>
      <c r="FK183" s="2060"/>
      <c r="FL183" s="2060"/>
      <c r="FM183" s="2060"/>
      <c r="FN183" s="2060"/>
      <c r="FO183" s="2060"/>
      <c r="FP183" s="2060"/>
      <c r="FQ183" s="2060"/>
      <c r="FR183" s="2060"/>
      <c r="FS183" s="2060"/>
      <c r="FT183" s="2060"/>
      <c r="FU183" s="2060"/>
      <c r="FV183" s="2060"/>
      <c r="FW183" s="2060"/>
      <c r="FX183" s="2060"/>
      <c r="FY183" s="2060"/>
      <c r="FZ183" s="2060"/>
      <c r="GA183" s="2060"/>
      <c r="GB183" s="2060"/>
      <c r="GC183" s="2060"/>
    </row>
    <row r="184" spans="1:185" s="1499" customFormat="1" ht="12.75" customHeight="1">
      <c r="A184" s="1632" t="str">
        <f t="shared" si="23"/>
        <v>n</v>
      </c>
      <c r="B184" s="1004"/>
      <c r="C184" s="1502"/>
      <c r="D184" s="2060"/>
      <c r="E184" s="1578" t="str">
        <f t="shared" si="36"/>
        <v>--</v>
      </c>
      <c r="F184" s="2060"/>
      <c r="G184" s="2060"/>
      <c r="H184" s="2232" t="str">
        <f t="shared" si="24"/>
        <v>--</v>
      </c>
      <c r="I184" s="2233" t="str">
        <f t="shared" si="25"/>
        <v>--</v>
      </c>
      <c r="J184" s="2233" t="str">
        <f t="shared" si="26"/>
        <v>--</v>
      </c>
      <c r="K184" s="1794"/>
      <c r="L184" s="2060"/>
      <c r="M184" s="2232" t="str">
        <f t="shared" si="27"/>
        <v>--</v>
      </c>
      <c r="N184" s="2233" t="str">
        <f t="shared" si="28"/>
        <v>--</v>
      </c>
      <c r="O184" s="2233" t="str">
        <f t="shared" si="29"/>
        <v>--</v>
      </c>
      <c r="P184" s="2060"/>
      <c r="Q184" s="2060"/>
      <c r="R184" s="2232" t="str">
        <f t="shared" si="30"/>
        <v>--</v>
      </c>
      <c r="S184" s="2233" t="str">
        <f t="shared" si="31"/>
        <v>--</v>
      </c>
      <c r="T184" s="2233" t="str">
        <f t="shared" si="32"/>
        <v>--</v>
      </c>
      <c r="U184" s="2060"/>
      <c r="V184" s="2060"/>
      <c r="W184" s="2232" t="str">
        <f t="shared" si="33"/>
        <v>--</v>
      </c>
      <c r="X184" s="2233" t="str">
        <f t="shared" si="34"/>
        <v>--</v>
      </c>
      <c r="Y184" s="2233" t="str">
        <f t="shared" si="35"/>
        <v>--</v>
      </c>
      <c r="Z184" s="2060"/>
      <c r="AA184" s="2060"/>
      <c r="AB184" s="2060"/>
      <c r="AC184" s="2060"/>
      <c r="AD184" s="1004"/>
      <c r="AE184" s="2060"/>
      <c r="AF184" s="2060"/>
      <c r="AG184" s="2060"/>
      <c r="AH184" s="2060"/>
      <c r="AI184" s="2060"/>
      <c r="AJ184" s="2060"/>
      <c r="AK184" s="2060"/>
      <c r="AL184" s="2060"/>
      <c r="AM184" s="2060"/>
      <c r="AN184" s="2060"/>
      <c r="AO184" s="2060"/>
      <c r="AP184" s="2060"/>
      <c r="AQ184" s="2060"/>
      <c r="AR184" s="2060"/>
      <c r="AS184" s="2060"/>
      <c r="AT184" s="2060"/>
      <c r="AU184" s="2060"/>
      <c r="AV184" s="2060"/>
      <c r="AW184" s="2060"/>
      <c r="AX184" s="2060"/>
      <c r="AY184" s="2060"/>
      <c r="AZ184" s="2060"/>
      <c r="BA184" s="2060"/>
      <c r="BB184" s="2060"/>
      <c r="BC184" s="2060"/>
      <c r="BD184" s="2060"/>
      <c r="BE184" s="2060"/>
      <c r="BF184" s="2060"/>
      <c r="BG184" s="2060"/>
      <c r="BH184" s="2060"/>
      <c r="BI184" s="2060"/>
      <c r="BJ184" s="2060"/>
      <c r="BK184" s="2060"/>
      <c r="BL184" s="2060"/>
      <c r="BM184" s="2060"/>
      <c r="BN184" s="2060"/>
      <c r="BO184" s="2060"/>
      <c r="BP184" s="2060"/>
      <c r="BQ184" s="2060"/>
      <c r="BR184" s="2060"/>
      <c r="BS184" s="2060"/>
      <c r="BT184" s="2060"/>
      <c r="BU184" s="2060"/>
      <c r="BV184" s="2060"/>
      <c r="BW184" s="2060"/>
      <c r="BX184" s="2060"/>
      <c r="BY184" s="2060"/>
      <c r="BZ184" s="2060"/>
      <c r="CA184" s="2060"/>
      <c r="CB184" s="2060"/>
      <c r="CC184" s="2060"/>
      <c r="CD184" s="2060"/>
      <c r="CE184" s="2060"/>
      <c r="CF184" s="2060"/>
      <c r="CG184" s="2060"/>
      <c r="CH184" s="2060"/>
      <c r="CI184" s="2060"/>
      <c r="CJ184" s="2060"/>
      <c r="CK184" s="2060"/>
      <c r="CL184" s="2060"/>
      <c r="CM184" s="2060"/>
      <c r="CN184" s="2060"/>
      <c r="CO184" s="2060"/>
      <c r="CP184" s="2060"/>
      <c r="CQ184" s="2060"/>
      <c r="CR184" s="2060"/>
      <c r="CS184" s="2060"/>
      <c r="CT184" s="2060"/>
      <c r="CU184" s="2060"/>
      <c r="CV184" s="2060"/>
      <c r="CW184" s="2060"/>
      <c r="CX184" s="2060"/>
      <c r="CY184" s="2060"/>
      <c r="CZ184" s="2060"/>
      <c r="DA184" s="2060"/>
      <c r="DB184" s="2060"/>
      <c r="DC184" s="2060"/>
      <c r="DD184" s="2060"/>
      <c r="DE184" s="2060"/>
      <c r="DF184" s="2060"/>
      <c r="DG184" s="2060"/>
      <c r="DH184" s="2060"/>
      <c r="DI184" s="2060"/>
      <c r="DJ184" s="2060"/>
      <c r="DK184" s="2060"/>
      <c r="DL184" s="2060"/>
      <c r="DM184" s="2060"/>
      <c r="DN184" s="2060"/>
      <c r="DO184" s="2060"/>
      <c r="DP184" s="2060"/>
      <c r="DQ184" s="2060"/>
      <c r="DR184" s="2060"/>
      <c r="DS184" s="2060"/>
      <c r="DT184" s="2060"/>
      <c r="DU184" s="2060"/>
      <c r="DV184" s="2060"/>
      <c r="DW184" s="2060"/>
      <c r="DX184" s="2060"/>
      <c r="DY184" s="2060"/>
      <c r="DZ184" s="2060"/>
      <c r="EA184" s="2060"/>
      <c r="EB184" s="2060"/>
      <c r="EC184" s="2060"/>
      <c r="ED184" s="2060"/>
      <c r="EE184" s="2060"/>
      <c r="EF184" s="2060"/>
      <c r="EG184" s="2060"/>
      <c r="EH184" s="2060"/>
      <c r="EI184" s="2060"/>
      <c r="EJ184" s="2060"/>
      <c r="EK184" s="2060"/>
      <c r="EL184" s="2060"/>
      <c r="EM184" s="2060"/>
      <c r="EN184" s="2060"/>
      <c r="EO184" s="2060"/>
      <c r="EP184" s="2060"/>
      <c r="EQ184" s="2060"/>
      <c r="ER184" s="2060"/>
      <c r="ES184" s="2060"/>
      <c r="ET184" s="2060"/>
      <c r="EU184" s="2060"/>
      <c r="EV184" s="2060"/>
      <c r="EW184" s="2060"/>
      <c r="EX184" s="2060"/>
      <c r="EY184" s="2060"/>
      <c r="EZ184" s="2060"/>
      <c r="FA184" s="2060"/>
      <c r="FB184" s="2060"/>
      <c r="FC184" s="2060"/>
      <c r="FD184" s="2060"/>
      <c r="FE184" s="2060"/>
      <c r="FF184" s="2060"/>
      <c r="FG184" s="2060"/>
      <c r="FH184" s="2060"/>
      <c r="FI184" s="2060"/>
      <c r="FJ184" s="2060"/>
      <c r="FK184" s="2060"/>
      <c r="FL184" s="2060"/>
      <c r="FM184" s="2060"/>
      <c r="FN184" s="2060"/>
      <c r="FO184" s="2060"/>
      <c r="FP184" s="2060"/>
      <c r="FQ184" s="2060"/>
      <c r="FR184" s="2060"/>
      <c r="FS184" s="2060"/>
      <c r="FT184" s="2060"/>
      <c r="FU184" s="2060"/>
      <c r="FV184" s="2060"/>
      <c r="FW184" s="2060"/>
      <c r="FX184" s="2060"/>
      <c r="FY184" s="2060"/>
      <c r="FZ184" s="2060"/>
      <c r="GA184" s="2060"/>
      <c r="GB184" s="2060"/>
      <c r="GC184" s="2060"/>
    </row>
    <row r="185" spans="1:185" s="1499" customFormat="1" ht="12.75" customHeight="1">
      <c r="A185" s="1632" t="str">
        <f t="shared" si="23"/>
        <v>n</v>
      </c>
      <c r="B185" s="1004"/>
      <c r="C185" s="1502"/>
      <c r="D185" s="2060"/>
      <c r="E185" s="1578" t="str">
        <f t="shared" si="36"/>
        <v>--</v>
      </c>
      <c r="F185" s="2060"/>
      <c r="G185" s="2060"/>
      <c r="H185" s="2232" t="str">
        <f t="shared" si="24"/>
        <v>--</v>
      </c>
      <c r="I185" s="2233" t="str">
        <f t="shared" si="25"/>
        <v>--</v>
      </c>
      <c r="J185" s="2233" t="str">
        <f t="shared" si="26"/>
        <v>--</v>
      </c>
      <c r="K185" s="1794"/>
      <c r="L185" s="2060"/>
      <c r="M185" s="2232" t="str">
        <f t="shared" si="27"/>
        <v>--</v>
      </c>
      <c r="N185" s="2233" t="str">
        <f t="shared" si="28"/>
        <v>--</v>
      </c>
      <c r="O185" s="2233" t="str">
        <f t="shared" si="29"/>
        <v>--</v>
      </c>
      <c r="P185" s="2060"/>
      <c r="Q185" s="2060"/>
      <c r="R185" s="2232" t="str">
        <f t="shared" si="30"/>
        <v>--</v>
      </c>
      <c r="S185" s="2233" t="str">
        <f t="shared" si="31"/>
        <v>--</v>
      </c>
      <c r="T185" s="2233" t="str">
        <f t="shared" si="32"/>
        <v>--</v>
      </c>
      <c r="U185" s="2060"/>
      <c r="V185" s="2060"/>
      <c r="W185" s="2232" t="str">
        <f t="shared" si="33"/>
        <v>--</v>
      </c>
      <c r="X185" s="2233" t="str">
        <f t="shared" si="34"/>
        <v>--</v>
      </c>
      <c r="Y185" s="2233" t="str">
        <f t="shared" si="35"/>
        <v>--</v>
      </c>
      <c r="Z185" s="2060"/>
      <c r="AA185" s="2060"/>
      <c r="AB185" s="2060"/>
      <c r="AC185" s="2060"/>
      <c r="AD185" s="1004"/>
      <c r="AE185" s="2060"/>
      <c r="AF185" s="2060"/>
      <c r="AG185" s="2060"/>
      <c r="AH185" s="2060"/>
      <c r="AI185" s="2060"/>
      <c r="AJ185" s="2060"/>
      <c r="AK185" s="2060"/>
      <c r="AL185" s="2060"/>
      <c r="AM185" s="2060"/>
      <c r="AN185" s="2060"/>
      <c r="AO185" s="2060"/>
      <c r="AP185" s="2060"/>
      <c r="AQ185" s="2060"/>
      <c r="AR185" s="2060"/>
      <c r="AS185" s="2060"/>
      <c r="AT185" s="2060"/>
      <c r="AU185" s="2060"/>
      <c r="AV185" s="2060"/>
      <c r="AW185" s="2060"/>
      <c r="AX185" s="2060"/>
      <c r="AY185" s="2060"/>
      <c r="AZ185" s="2060"/>
      <c r="BA185" s="2060"/>
      <c r="BB185" s="2060"/>
      <c r="BC185" s="2060"/>
      <c r="BD185" s="2060"/>
      <c r="BE185" s="2060"/>
      <c r="BF185" s="2060"/>
      <c r="BG185" s="2060"/>
      <c r="BH185" s="2060"/>
      <c r="BI185" s="2060"/>
      <c r="BJ185" s="2060"/>
      <c r="BK185" s="2060"/>
      <c r="BL185" s="2060"/>
      <c r="BM185" s="2060"/>
      <c r="BN185" s="2060"/>
      <c r="BO185" s="2060"/>
      <c r="BP185" s="2060"/>
      <c r="BQ185" s="2060"/>
      <c r="BR185" s="2060"/>
      <c r="BS185" s="2060"/>
      <c r="BT185" s="2060"/>
      <c r="BU185" s="2060"/>
      <c r="BV185" s="2060"/>
      <c r="BW185" s="2060"/>
      <c r="BX185" s="2060"/>
      <c r="BY185" s="2060"/>
      <c r="BZ185" s="2060"/>
      <c r="CA185" s="2060"/>
      <c r="CB185" s="2060"/>
      <c r="CC185" s="2060"/>
      <c r="CD185" s="2060"/>
      <c r="CE185" s="2060"/>
      <c r="CF185" s="2060"/>
      <c r="CG185" s="2060"/>
      <c r="CH185" s="2060"/>
      <c r="CI185" s="2060"/>
      <c r="CJ185" s="2060"/>
      <c r="CK185" s="2060"/>
      <c r="CL185" s="2060"/>
      <c r="CM185" s="2060"/>
      <c r="CN185" s="2060"/>
      <c r="CO185" s="2060"/>
      <c r="CP185" s="2060"/>
      <c r="CQ185" s="2060"/>
      <c r="CR185" s="2060"/>
      <c r="CS185" s="2060"/>
      <c r="CT185" s="2060"/>
      <c r="CU185" s="2060"/>
      <c r="CV185" s="2060"/>
      <c r="CW185" s="2060"/>
      <c r="CX185" s="2060"/>
      <c r="CY185" s="2060"/>
      <c r="CZ185" s="2060"/>
      <c r="DA185" s="2060"/>
      <c r="DB185" s="2060"/>
      <c r="DC185" s="2060"/>
      <c r="DD185" s="2060"/>
      <c r="DE185" s="2060"/>
      <c r="DF185" s="2060"/>
      <c r="DG185" s="2060"/>
      <c r="DH185" s="2060"/>
      <c r="DI185" s="2060"/>
      <c r="DJ185" s="2060"/>
      <c r="DK185" s="2060"/>
      <c r="DL185" s="2060"/>
      <c r="DM185" s="2060"/>
      <c r="DN185" s="2060"/>
      <c r="DO185" s="2060"/>
      <c r="DP185" s="2060"/>
      <c r="DQ185" s="2060"/>
      <c r="DR185" s="2060"/>
      <c r="DS185" s="2060"/>
      <c r="DT185" s="2060"/>
      <c r="DU185" s="2060"/>
      <c r="DV185" s="2060"/>
      <c r="DW185" s="2060"/>
      <c r="DX185" s="2060"/>
      <c r="DY185" s="2060"/>
      <c r="DZ185" s="2060"/>
      <c r="EA185" s="2060"/>
      <c r="EB185" s="2060"/>
      <c r="EC185" s="2060"/>
      <c r="ED185" s="2060"/>
      <c r="EE185" s="2060"/>
      <c r="EF185" s="2060"/>
      <c r="EG185" s="2060"/>
      <c r="EH185" s="2060"/>
      <c r="EI185" s="2060"/>
      <c r="EJ185" s="2060"/>
      <c r="EK185" s="2060"/>
      <c r="EL185" s="2060"/>
      <c r="EM185" s="2060"/>
      <c r="EN185" s="2060"/>
      <c r="EO185" s="2060"/>
      <c r="EP185" s="2060"/>
      <c r="EQ185" s="2060"/>
      <c r="ER185" s="2060"/>
      <c r="ES185" s="2060"/>
      <c r="ET185" s="2060"/>
      <c r="EU185" s="2060"/>
      <c r="EV185" s="2060"/>
      <c r="EW185" s="2060"/>
      <c r="EX185" s="2060"/>
      <c r="EY185" s="2060"/>
      <c r="EZ185" s="2060"/>
      <c r="FA185" s="2060"/>
      <c r="FB185" s="2060"/>
      <c r="FC185" s="2060"/>
      <c r="FD185" s="2060"/>
      <c r="FE185" s="2060"/>
      <c r="FF185" s="2060"/>
      <c r="FG185" s="2060"/>
      <c r="FH185" s="2060"/>
      <c r="FI185" s="2060"/>
      <c r="FJ185" s="2060"/>
      <c r="FK185" s="2060"/>
      <c r="FL185" s="2060"/>
      <c r="FM185" s="2060"/>
      <c r="FN185" s="2060"/>
      <c r="FO185" s="2060"/>
      <c r="FP185" s="2060"/>
      <c r="FQ185" s="2060"/>
      <c r="FR185" s="2060"/>
      <c r="FS185" s="2060"/>
      <c r="FT185" s="2060"/>
      <c r="FU185" s="2060"/>
      <c r="FV185" s="2060"/>
      <c r="FW185" s="2060"/>
      <c r="FX185" s="2060"/>
      <c r="FY185" s="2060"/>
      <c r="FZ185" s="2060"/>
      <c r="GA185" s="2060"/>
      <c r="GB185" s="2060"/>
      <c r="GC185" s="2060"/>
    </row>
    <row r="186" spans="1:185" s="1499" customFormat="1" ht="12.75" customHeight="1">
      <c r="A186" s="1632" t="str">
        <f t="shared" si="23"/>
        <v>n</v>
      </c>
      <c r="B186" s="1004"/>
      <c r="C186" s="1502"/>
      <c r="D186" s="2060"/>
      <c r="E186" s="1578" t="str">
        <f t="shared" si="36"/>
        <v>--</v>
      </c>
      <c r="F186" s="2060"/>
      <c r="G186" s="2060"/>
      <c r="H186" s="2232" t="str">
        <f t="shared" si="24"/>
        <v>--</v>
      </c>
      <c r="I186" s="2233" t="str">
        <f t="shared" si="25"/>
        <v>--</v>
      </c>
      <c r="J186" s="2233" t="str">
        <f t="shared" si="26"/>
        <v>--</v>
      </c>
      <c r="K186" s="1794"/>
      <c r="L186" s="2060"/>
      <c r="M186" s="2232" t="str">
        <f t="shared" si="27"/>
        <v>--</v>
      </c>
      <c r="N186" s="2233" t="str">
        <f t="shared" si="28"/>
        <v>--</v>
      </c>
      <c r="O186" s="2233" t="str">
        <f t="shared" si="29"/>
        <v>--</v>
      </c>
      <c r="P186" s="2060"/>
      <c r="Q186" s="2060"/>
      <c r="R186" s="2232" t="str">
        <f t="shared" si="30"/>
        <v>--</v>
      </c>
      <c r="S186" s="2233" t="str">
        <f t="shared" si="31"/>
        <v>--</v>
      </c>
      <c r="T186" s="2233" t="str">
        <f t="shared" si="32"/>
        <v>--</v>
      </c>
      <c r="U186" s="2060"/>
      <c r="V186" s="2060"/>
      <c r="W186" s="2232" t="str">
        <f t="shared" si="33"/>
        <v>--</v>
      </c>
      <c r="X186" s="2233" t="str">
        <f t="shared" si="34"/>
        <v>--</v>
      </c>
      <c r="Y186" s="2233" t="str">
        <f t="shared" si="35"/>
        <v>--</v>
      </c>
      <c r="Z186" s="2060"/>
      <c r="AA186" s="2060"/>
      <c r="AB186" s="2060"/>
      <c r="AC186" s="2060"/>
      <c r="AD186" s="1004"/>
      <c r="AE186" s="2060"/>
      <c r="AF186" s="2060"/>
      <c r="AG186" s="2060"/>
      <c r="AH186" s="2060"/>
      <c r="AI186" s="2060"/>
      <c r="AJ186" s="2060"/>
      <c r="AK186" s="2060"/>
      <c r="AL186" s="2060"/>
      <c r="AM186" s="2060"/>
      <c r="AN186" s="2060"/>
      <c r="AO186" s="2060"/>
      <c r="AP186" s="2060"/>
      <c r="AQ186" s="2060"/>
      <c r="AR186" s="2060"/>
      <c r="AS186" s="2060"/>
      <c r="AT186" s="2060"/>
      <c r="AU186" s="2060"/>
      <c r="AV186" s="2060"/>
      <c r="AW186" s="2060"/>
      <c r="AX186" s="2060"/>
      <c r="AY186" s="2060"/>
      <c r="AZ186" s="2060"/>
      <c r="BA186" s="2060"/>
      <c r="BB186" s="2060"/>
      <c r="BC186" s="2060"/>
      <c r="BD186" s="2060"/>
      <c r="BE186" s="2060"/>
      <c r="BF186" s="2060"/>
      <c r="BG186" s="2060"/>
      <c r="BH186" s="2060"/>
      <c r="BI186" s="2060"/>
      <c r="BJ186" s="2060"/>
      <c r="BK186" s="2060"/>
      <c r="BL186" s="2060"/>
      <c r="BM186" s="2060"/>
      <c r="BN186" s="2060"/>
      <c r="BO186" s="2060"/>
      <c r="BP186" s="2060"/>
      <c r="BQ186" s="2060"/>
      <c r="BR186" s="2060"/>
      <c r="BS186" s="2060"/>
      <c r="BT186" s="2060"/>
      <c r="BU186" s="2060"/>
      <c r="BV186" s="2060"/>
      <c r="BW186" s="2060"/>
      <c r="BX186" s="2060"/>
      <c r="BY186" s="2060"/>
      <c r="BZ186" s="2060"/>
      <c r="CA186" s="2060"/>
      <c r="CB186" s="2060"/>
      <c r="CC186" s="2060"/>
      <c r="CD186" s="2060"/>
      <c r="CE186" s="2060"/>
      <c r="CF186" s="2060"/>
      <c r="CG186" s="2060"/>
      <c r="CH186" s="2060"/>
      <c r="CI186" s="2060"/>
      <c r="CJ186" s="2060"/>
      <c r="CK186" s="2060"/>
      <c r="CL186" s="2060"/>
      <c r="CM186" s="2060"/>
      <c r="CN186" s="2060"/>
      <c r="CO186" s="2060"/>
      <c r="CP186" s="2060"/>
      <c r="CQ186" s="2060"/>
      <c r="CR186" s="2060"/>
      <c r="CS186" s="2060"/>
      <c r="CT186" s="2060"/>
      <c r="CU186" s="2060"/>
      <c r="CV186" s="2060"/>
      <c r="CW186" s="2060"/>
      <c r="CX186" s="2060"/>
      <c r="CY186" s="2060"/>
      <c r="CZ186" s="2060"/>
      <c r="DA186" s="2060"/>
      <c r="DB186" s="2060"/>
      <c r="DC186" s="2060"/>
      <c r="DD186" s="2060"/>
      <c r="DE186" s="2060"/>
      <c r="DF186" s="2060"/>
      <c r="DG186" s="2060"/>
      <c r="DH186" s="2060"/>
      <c r="DI186" s="2060"/>
      <c r="DJ186" s="2060"/>
      <c r="DK186" s="2060"/>
      <c r="DL186" s="2060"/>
      <c r="DM186" s="2060"/>
      <c r="DN186" s="2060"/>
      <c r="DO186" s="2060"/>
      <c r="DP186" s="2060"/>
      <c r="DQ186" s="2060"/>
      <c r="DR186" s="2060"/>
      <c r="DS186" s="2060"/>
      <c r="DT186" s="2060"/>
      <c r="DU186" s="2060"/>
      <c r="DV186" s="2060"/>
      <c r="DW186" s="2060"/>
      <c r="DX186" s="2060"/>
      <c r="DY186" s="2060"/>
      <c r="DZ186" s="2060"/>
      <c r="EA186" s="2060"/>
      <c r="EB186" s="2060"/>
      <c r="EC186" s="2060"/>
      <c r="ED186" s="2060"/>
      <c r="EE186" s="2060"/>
      <c r="EF186" s="2060"/>
      <c r="EG186" s="2060"/>
      <c r="EH186" s="2060"/>
      <c r="EI186" s="2060"/>
      <c r="EJ186" s="2060"/>
      <c r="EK186" s="2060"/>
      <c r="EL186" s="2060"/>
      <c r="EM186" s="2060"/>
      <c r="EN186" s="2060"/>
      <c r="EO186" s="2060"/>
      <c r="EP186" s="2060"/>
      <c r="EQ186" s="2060"/>
      <c r="ER186" s="2060"/>
      <c r="ES186" s="2060"/>
      <c r="ET186" s="2060"/>
      <c r="EU186" s="2060"/>
      <c r="EV186" s="2060"/>
      <c r="EW186" s="2060"/>
      <c r="EX186" s="2060"/>
      <c r="EY186" s="2060"/>
      <c r="EZ186" s="2060"/>
      <c r="FA186" s="2060"/>
      <c r="FB186" s="2060"/>
      <c r="FC186" s="2060"/>
      <c r="FD186" s="2060"/>
      <c r="FE186" s="2060"/>
      <c r="FF186" s="2060"/>
      <c r="FG186" s="2060"/>
      <c r="FH186" s="2060"/>
      <c r="FI186" s="2060"/>
      <c r="FJ186" s="2060"/>
      <c r="FK186" s="2060"/>
      <c r="FL186" s="2060"/>
      <c r="FM186" s="2060"/>
      <c r="FN186" s="2060"/>
      <c r="FO186" s="2060"/>
      <c r="FP186" s="2060"/>
      <c r="FQ186" s="2060"/>
      <c r="FR186" s="2060"/>
      <c r="FS186" s="2060"/>
      <c r="FT186" s="2060"/>
      <c r="FU186" s="2060"/>
      <c r="FV186" s="2060"/>
      <c r="FW186" s="2060"/>
      <c r="FX186" s="2060"/>
      <c r="FY186" s="2060"/>
      <c r="FZ186" s="2060"/>
      <c r="GA186" s="2060"/>
      <c r="GB186" s="2060"/>
      <c r="GC186" s="2060"/>
    </row>
    <row r="187" spans="1:185" s="1499" customFormat="1" ht="12.75" customHeight="1">
      <c r="A187" s="1632" t="str">
        <f t="shared" si="23"/>
        <v>n</v>
      </c>
      <c r="B187" s="1004"/>
      <c r="C187" s="1502"/>
      <c r="D187" s="2060"/>
      <c r="E187" s="1578" t="str">
        <f t="shared" si="36"/>
        <v>--</v>
      </c>
      <c r="F187" s="2060"/>
      <c r="G187" s="2060"/>
      <c r="H187" s="2232" t="str">
        <f t="shared" si="24"/>
        <v>--</v>
      </c>
      <c r="I187" s="2233" t="str">
        <f t="shared" si="25"/>
        <v>--</v>
      </c>
      <c r="J187" s="2233" t="str">
        <f t="shared" si="26"/>
        <v>--</v>
      </c>
      <c r="K187" s="1794"/>
      <c r="L187" s="2060"/>
      <c r="M187" s="2232" t="str">
        <f t="shared" si="27"/>
        <v>--</v>
      </c>
      <c r="N187" s="2233" t="str">
        <f t="shared" si="28"/>
        <v>--</v>
      </c>
      <c r="O187" s="2233" t="str">
        <f t="shared" si="29"/>
        <v>--</v>
      </c>
      <c r="P187" s="2060"/>
      <c r="Q187" s="2060"/>
      <c r="R187" s="2232" t="str">
        <f t="shared" si="30"/>
        <v>--</v>
      </c>
      <c r="S187" s="2233" t="str">
        <f t="shared" si="31"/>
        <v>--</v>
      </c>
      <c r="T187" s="2233" t="str">
        <f t="shared" si="32"/>
        <v>--</v>
      </c>
      <c r="U187" s="2060"/>
      <c r="V187" s="2060"/>
      <c r="W187" s="2232" t="str">
        <f t="shared" si="33"/>
        <v>--</v>
      </c>
      <c r="X187" s="2233" t="str">
        <f t="shared" si="34"/>
        <v>--</v>
      </c>
      <c r="Y187" s="2233" t="str">
        <f t="shared" si="35"/>
        <v>--</v>
      </c>
      <c r="Z187" s="2060"/>
      <c r="AA187" s="2060"/>
      <c r="AB187" s="2060"/>
      <c r="AC187" s="2060"/>
      <c r="AD187" s="1004"/>
      <c r="AE187" s="2060"/>
      <c r="AF187" s="2060"/>
      <c r="AG187" s="2060"/>
      <c r="AH187" s="2060"/>
      <c r="AI187" s="2060"/>
      <c r="AJ187" s="2060"/>
      <c r="AK187" s="2060"/>
      <c r="AL187" s="2060"/>
      <c r="AM187" s="2060"/>
      <c r="AN187" s="2060"/>
      <c r="AO187" s="2060"/>
      <c r="AP187" s="2060"/>
      <c r="AQ187" s="2060"/>
      <c r="AR187" s="2060"/>
      <c r="AS187" s="2060"/>
      <c r="AT187" s="2060"/>
      <c r="AU187" s="2060"/>
      <c r="AV187" s="2060"/>
      <c r="AW187" s="2060"/>
      <c r="AX187" s="2060"/>
      <c r="AY187" s="2060"/>
      <c r="AZ187" s="2060"/>
      <c r="BA187" s="2060"/>
      <c r="BB187" s="2060"/>
      <c r="BC187" s="2060"/>
      <c r="BD187" s="2060"/>
      <c r="BE187" s="2060"/>
      <c r="BF187" s="2060"/>
      <c r="BG187" s="2060"/>
      <c r="BH187" s="2060"/>
      <c r="BI187" s="2060"/>
      <c r="BJ187" s="2060"/>
      <c r="BK187" s="2060"/>
      <c r="BL187" s="2060"/>
      <c r="BM187" s="2060"/>
      <c r="BN187" s="2060"/>
      <c r="BO187" s="2060"/>
      <c r="BP187" s="2060"/>
      <c r="BQ187" s="2060"/>
      <c r="BR187" s="2060"/>
      <c r="BS187" s="2060"/>
      <c r="BT187" s="2060"/>
      <c r="BU187" s="2060"/>
      <c r="BV187" s="2060"/>
      <c r="BW187" s="2060"/>
      <c r="BX187" s="2060"/>
      <c r="BY187" s="2060"/>
      <c r="BZ187" s="2060"/>
      <c r="CA187" s="2060"/>
      <c r="CB187" s="2060"/>
      <c r="CC187" s="2060"/>
      <c r="CD187" s="2060"/>
      <c r="CE187" s="2060"/>
      <c r="CF187" s="2060"/>
      <c r="CG187" s="2060"/>
      <c r="CH187" s="2060"/>
      <c r="CI187" s="2060"/>
      <c r="CJ187" s="2060"/>
      <c r="CK187" s="2060"/>
      <c r="CL187" s="2060"/>
      <c r="CM187" s="2060"/>
      <c r="CN187" s="2060"/>
      <c r="CO187" s="2060"/>
      <c r="CP187" s="2060"/>
      <c r="CQ187" s="2060"/>
      <c r="CR187" s="2060"/>
      <c r="CS187" s="2060"/>
      <c r="CT187" s="2060"/>
      <c r="CU187" s="2060"/>
      <c r="CV187" s="2060"/>
      <c r="CW187" s="2060"/>
      <c r="CX187" s="2060"/>
      <c r="CY187" s="2060"/>
      <c r="CZ187" s="2060"/>
      <c r="DA187" s="2060"/>
      <c r="DB187" s="2060"/>
      <c r="DC187" s="2060"/>
      <c r="DD187" s="2060"/>
      <c r="DE187" s="2060"/>
      <c r="DF187" s="2060"/>
      <c r="DG187" s="2060"/>
      <c r="DH187" s="2060"/>
      <c r="DI187" s="2060"/>
      <c r="DJ187" s="2060"/>
      <c r="DK187" s="2060"/>
      <c r="DL187" s="2060"/>
      <c r="DM187" s="2060"/>
      <c r="DN187" s="2060"/>
      <c r="DO187" s="2060"/>
      <c r="DP187" s="2060"/>
      <c r="DQ187" s="2060"/>
      <c r="DR187" s="2060"/>
      <c r="DS187" s="2060"/>
      <c r="DT187" s="2060"/>
      <c r="DU187" s="2060"/>
      <c r="DV187" s="2060"/>
      <c r="DW187" s="2060"/>
      <c r="DX187" s="2060"/>
      <c r="DY187" s="2060"/>
      <c r="DZ187" s="2060"/>
      <c r="EA187" s="2060"/>
      <c r="EB187" s="2060"/>
      <c r="EC187" s="2060"/>
      <c r="ED187" s="2060"/>
      <c r="EE187" s="2060"/>
      <c r="EF187" s="2060"/>
      <c r="EG187" s="2060"/>
      <c r="EH187" s="2060"/>
      <c r="EI187" s="2060"/>
      <c r="EJ187" s="2060"/>
      <c r="EK187" s="2060"/>
      <c r="EL187" s="2060"/>
      <c r="EM187" s="2060"/>
      <c r="EN187" s="2060"/>
      <c r="EO187" s="2060"/>
      <c r="EP187" s="2060"/>
      <c r="EQ187" s="2060"/>
      <c r="ER187" s="2060"/>
      <c r="ES187" s="2060"/>
      <c r="ET187" s="2060"/>
      <c r="EU187" s="2060"/>
      <c r="EV187" s="2060"/>
      <c r="EW187" s="2060"/>
      <c r="EX187" s="2060"/>
      <c r="EY187" s="2060"/>
      <c r="EZ187" s="2060"/>
      <c r="FA187" s="2060"/>
      <c r="FB187" s="2060"/>
      <c r="FC187" s="2060"/>
      <c r="FD187" s="2060"/>
      <c r="FE187" s="2060"/>
      <c r="FF187" s="2060"/>
      <c r="FG187" s="2060"/>
      <c r="FH187" s="2060"/>
      <c r="FI187" s="2060"/>
      <c r="FJ187" s="2060"/>
      <c r="FK187" s="2060"/>
      <c r="FL187" s="2060"/>
      <c r="FM187" s="2060"/>
      <c r="FN187" s="2060"/>
      <c r="FO187" s="2060"/>
      <c r="FP187" s="2060"/>
      <c r="FQ187" s="2060"/>
      <c r="FR187" s="2060"/>
      <c r="FS187" s="2060"/>
      <c r="FT187" s="2060"/>
      <c r="FU187" s="2060"/>
      <c r="FV187" s="2060"/>
      <c r="FW187" s="2060"/>
      <c r="FX187" s="2060"/>
      <c r="FY187" s="2060"/>
      <c r="FZ187" s="2060"/>
      <c r="GA187" s="2060"/>
      <c r="GB187" s="2060"/>
      <c r="GC187" s="2060"/>
    </row>
    <row r="188" spans="1:185" s="1499" customFormat="1" ht="12.75" customHeight="1">
      <c r="A188" s="1632" t="str">
        <f t="shared" si="23"/>
        <v>n</v>
      </c>
      <c r="B188" s="1004"/>
      <c r="C188" s="1502"/>
      <c r="D188" s="2060"/>
      <c r="E188" s="1578" t="str">
        <f t="shared" si="36"/>
        <v>--</v>
      </c>
      <c r="F188" s="2060"/>
      <c r="G188" s="2060"/>
      <c r="H188" s="2232" t="str">
        <f t="shared" si="24"/>
        <v>--</v>
      </c>
      <c r="I188" s="2233" t="str">
        <f t="shared" si="25"/>
        <v>--</v>
      </c>
      <c r="J188" s="2233" t="str">
        <f t="shared" si="26"/>
        <v>--</v>
      </c>
      <c r="K188" s="1794"/>
      <c r="L188" s="2060"/>
      <c r="M188" s="2232" t="str">
        <f t="shared" si="27"/>
        <v>--</v>
      </c>
      <c r="N188" s="2233" t="str">
        <f t="shared" si="28"/>
        <v>--</v>
      </c>
      <c r="O188" s="2233" t="str">
        <f t="shared" si="29"/>
        <v>--</v>
      </c>
      <c r="P188" s="2060"/>
      <c r="Q188" s="2060"/>
      <c r="R188" s="2232" t="str">
        <f t="shared" si="30"/>
        <v>--</v>
      </c>
      <c r="S188" s="2233" t="str">
        <f t="shared" si="31"/>
        <v>--</v>
      </c>
      <c r="T188" s="2233" t="str">
        <f t="shared" si="32"/>
        <v>--</v>
      </c>
      <c r="U188" s="2060"/>
      <c r="V188" s="2060"/>
      <c r="W188" s="2232" t="str">
        <f t="shared" si="33"/>
        <v>--</v>
      </c>
      <c r="X188" s="2233" t="str">
        <f t="shared" si="34"/>
        <v>--</v>
      </c>
      <c r="Y188" s="2233" t="str">
        <f t="shared" si="35"/>
        <v>--</v>
      </c>
      <c r="Z188" s="2060"/>
      <c r="AA188" s="2060"/>
      <c r="AB188" s="2060"/>
      <c r="AC188" s="2060"/>
      <c r="AD188" s="1004"/>
      <c r="AE188" s="2060"/>
      <c r="AF188" s="2060"/>
      <c r="AG188" s="2060"/>
      <c r="AH188" s="2060"/>
      <c r="AI188" s="2060"/>
      <c r="AJ188" s="2060"/>
      <c r="AK188" s="2060"/>
      <c r="AL188" s="2060"/>
      <c r="AM188" s="2060"/>
      <c r="AN188" s="2060"/>
      <c r="AO188" s="2060"/>
      <c r="AP188" s="2060"/>
      <c r="AQ188" s="2060"/>
      <c r="AR188" s="2060"/>
      <c r="AS188" s="2060"/>
      <c r="AT188" s="2060"/>
      <c r="AU188" s="2060"/>
      <c r="AV188" s="2060"/>
      <c r="AW188" s="2060"/>
      <c r="AX188" s="2060"/>
      <c r="AY188" s="2060"/>
      <c r="AZ188" s="2060"/>
      <c r="BA188" s="2060"/>
      <c r="BB188" s="2060"/>
      <c r="BC188" s="2060"/>
      <c r="BD188" s="2060"/>
      <c r="BE188" s="2060"/>
      <c r="BF188" s="2060"/>
      <c r="BG188" s="2060"/>
      <c r="BH188" s="2060"/>
      <c r="BI188" s="2060"/>
      <c r="BJ188" s="2060"/>
      <c r="BK188" s="2060"/>
      <c r="BL188" s="2060"/>
      <c r="BM188" s="2060"/>
      <c r="BN188" s="2060"/>
      <c r="BO188" s="2060"/>
      <c r="BP188" s="2060"/>
      <c r="BQ188" s="2060"/>
      <c r="BR188" s="2060"/>
      <c r="BS188" s="2060"/>
      <c r="BT188" s="2060"/>
      <c r="BU188" s="2060"/>
      <c r="BV188" s="2060"/>
      <c r="BW188" s="2060"/>
      <c r="BX188" s="2060"/>
      <c r="BY188" s="2060"/>
      <c r="BZ188" s="2060"/>
      <c r="CA188" s="2060"/>
      <c r="CB188" s="2060"/>
      <c r="CC188" s="2060"/>
      <c r="CD188" s="2060"/>
      <c r="CE188" s="2060"/>
      <c r="CF188" s="2060"/>
      <c r="CG188" s="2060"/>
      <c r="CH188" s="2060"/>
      <c r="CI188" s="2060"/>
      <c r="CJ188" s="2060"/>
      <c r="CK188" s="2060"/>
      <c r="CL188" s="2060"/>
      <c r="CM188" s="2060"/>
      <c r="CN188" s="2060"/>
      <c r="CO188" s="2060"/>
      <c r="CP188" s="2060"/>
      <c r="CQ188" s="2060"/>
      <c r="CR188" s="2060"/>
      <c r="CS188" s="2060"/>
      <c r="CT188" s="2060"/>
      <c r="CU188" s="2060"/>
      <c r="CV188" s="2060"/>
      <c r="CW188" s="2060"/>
      <c r="CX188" s="2060"/>
      <c r="CY188" s="2060"/>
      <c r="CZ188" s="2060"/>
      <c r="DA188" s="2060"/>
      <c r="DB188" s="2060"/>
      <c r="DC188" s="2060"/>
      <c r="DD188" s="2060"/>
      <c r="DE188" s="2060"/>
      <c r="DF188" s="2060"/>
      <c r="DG188" s="2060"/>
      <c r="DH188" s="2060"/>
      <c r="DI188" s="2060"/>
      <c r="DJ188" s="2060"/>
      <c r="DK188" s="2060"/>
      <c r="DL188" s="2060"/>
      <c r="DM188" s="2060"/>
      <c r="DN188" s="2060"/>
      <c r="DO188" s="2060"/>
      <c r="DP188" s="2060"/>
      <c r="DQ188" s="2060"/>
      <c r="DR188" s="2060"/>
      <c r="DS188" s="2060"/>
      <c r="DT188" s="2060"/>
      <c r="DU188" s="2060"/>
      <c r="DV188" s="2060"/>
      <c r="DW188" s="2060"/>
      <c r="DX188" s="2060"/>
      <c r="DY188" s="2060"/>
      <c r="DZ188" s="2060"/>
      <c r="EA188" s="2060"/>
      <c r="EB188" s="2060"/>
      <c r="EC188" s="2060"/>
      <c r="ED188" s="2060"/>
      <c r="EE188" s="2060"/>
      <c r="EF188" s="2060"/>
      <c r="EG188" s="2060"/>
      <c r="EH188" s="2060"/>
      <c r="EI188" s="2060"/>
      <c r="EJ188" s="2060"/>
      <c r="EK188" s="2060"/>
      <c r="EL188" s="2060"/>
      <c r="EM188" s="2060"/>
      <c r="EN188" s="2060"/>
      <c r="EO188" s="2060"/>
      <c r="EP188" s="2060"/>
      <c r="EQ188" s="2060"/>
      <c r="ER188" s="2060"/>
      <c r="ES188" s="2060"/>
      <c r="ET188" s="2060"/>
      <c r="EU188" s="2060"/>
      <c r="EV188" s="2060"/>
      <c r="EW188" s="2060"/>
      <c r="EX188" s="2060"/>
      <c r="EY188" s="2060"/>
      <c r="EZ188" s="2060"/>
      <c r="FA188" s="2060"/>
      <c r="FB188" s="2060"/>
      <c r="FC188" s="2060"/>
      <c r="FD188" s="2060"/>
      <c r="FE188" s="2060"/>
      <c r="FF188" s="2060"/>
      <c r="FG188" s="2060"/>
      <c r="FH188" s="2060"/>
      <c r="FI188" s="2060"/>
      <c r="FJ188" s="2060"/>
      <c r="FK188" s="2060"/>
      <c r="FL188" s="2060"/>
      <c r="FM188" s="2060"/>
      <c r="FN188" s="2060"/>
      <c r="FO188" s="2060"/>
      <c r="FP188" s="2060"/>
      <c r="FQ188" s="2060"/>
      <c r="FR188" s="2060"/>
      <c r="FS188" s="2060"/>
      <c r="FT188" s="2060"/>
      <c r="FU188" s="2060"/>
      <c r="FV188" s="2060"/>
      <c r="FW188" s="2060"/>
      <c r="FX188" s="2060"/>
      <c r="FY188" s="2060"/>
      <c r="FZ188" s="2060"/>
      <c r="GA188" s="2060"/>
      <c r="GB188" s="2060"/>
      <c r="GC188" s="2060"/>
    </row>
    <row r="189" spans="1:185" s="1499" customFormat="1" ht="12.75" customHeight="1">
      <c r="A189" s="1004"/>
      <c r="B189" s="1004"/>
      <c r="C189" s="1502"/>
      <c r="D189" s="2060"/>
      <c r="E189" s="1578"/>
      <c r="F189" s="2060"/>
      <c r="G189" s="2060"/>
      <c r="H189" s="145"/>
      <c r="I189" s="2060"/>
      <c r="J189" s="2060"/>
      <c r="K189" s="2060"/>
      <c r="L189" s="2060"/>
      <c r="M189" s="2060"/>
      <c r="N189" s="2060"/>
      <c r="O189" s="2060"/>
      <c r="P189" s="2060"/>
      <c r="Q189" s="2060"/>
      <c r="R189" s="2060"/>
      <c r="S189" s="2060"/>
      <c r="T189" s="2060"/>
      <c r="U189" s="2060"/>
      <c r="V189" s="2060"/>
      <c r="W189" s="2060"/>
      <c r="X189" s="2060"/>
      <c r="Y189" s="2060"/>
      <c r="Z189" s="2060"/>
      <c r="AA189" s="2060"/>
      <c r="AB189" s="2060"/>
      <c r="AC189" s="2060"/>
      <c r="AD189" s="1004"/>
      <c r="AE189" s="2060"/>
      <c r="AF189" s="2060"/>
      <c r="AG189" s="2060"/>
      <c r="AH189" s="2060"/>
      <c r="AI189" s="2060"/>
      <c r="AJ189" s="2060"/>
      <c r="AK189" s="2060"/>
      <c r="AL189" s="2060"/>
      <c r="AM189" s="2060"/>
      <c r="AN189" s="2060"/>
      <c r="AO189" s="2060"/>
      <c r="AP189" s="2060"/>
      <c r="AQ189" s="2060"/>
      <c r="AR189" s="2060"/>
      <c r="AS189" s="2060"/>
      <c r="AT189" s="2060"/>
      <c r="AU189" s="2060"/>
      <c r="AV189" s="2060"/>
      <c r="AW189" s="2060"/>
      <c r="AX189" s="2060"/>
      <c r="AY189" s="2060"/>
      <c r="AZ189" s="2060"/>
      <c r="BA189" s="2060"/>
      <c r="BB189" s="2060"/>
      <c r="BC189" s="2060"/>
      <c r="BD189" s="2060"/>
      <c r="BE189" s="2060"/>
      <c r="BF189" s="2060"/>
      <c r="BG189" s="2060"/>
      <c r="BH189" s="2060"/>
      <c r="BI189" s="2060"/>
      <c r="BJ189" s="2060"/>
      <c r="BK189" s="2060"/>
      <c r="BL189" s="2060"/>
      <c r="BM189" s="2060"/>
      <c r="BN189" s="2060"/>
      <c r="BO189" s="2060"/>
      <c r="BP189" s="2060"/>
      <c r="BQ189" s="2060"/>
      <c r="BR189" s="2060"/>
      <c r="BS189" s="2060"/>
      <c r="BT189" s="2060"/>
      <c r="BU189" s="2060"/>
      <c r="BV189" s="2060"/>
      <c r="BW189" s="2060"/>
      <c r="BX189" s="2060"/>
      <c r="BY189" s="2060"/>
      <c r="BZ189" s="2060"/>
      <c r="CA189" s="2060"/>
      <c r="CB189" s="2060"/>
      <c r="CC189" s="2060"/>
      <c r="CD189" s="2060"/>
      <c r="CE189" s="2060"/>
      <c r="CF189" s="2060"/>
      <c r="CG189" s="2060"/>
      <c r="CH189" s="2060"/>
      <c r="CI189" s="2060"/>
      <c r="CJ189" s="2060"/>
      <c r="CK189" s="2060"/>
      <c r="CL189" s="2060"/>
      <c r="CM189" s="2060"/>
      <c r="CN189" s="2060"/>
      <c r="CO189" s="2060"/>
      <c r="CP189" s="2060"/>
      <c r="CQ189" s="2060"/>
      <c r="CR189" s="2060"/>
      <c r="CS189" s="2060"/>
      <c r="CT189" s="2060"/>
      <c r="CU189" s="2060"/>
      <c r="CV189" s="2060"/>
      <c r="CW189" s="2060"/>
      <c r="CX189" s="2060"/>
      <c r="CY189" s="2060"/>
      <c r="CZ189" s="2060"/>
      <c r="DA189" s="2060"/>
      <c r="DB189" s="2060"/>
      <c r="DC189" s="2060"/>
      <c r="DD189" s="2060"/>
      <c r="DE189" s="2060"/>
      <c r="DF189" s="2060"/>
      <c r="DG189" s="2060"/>
      <c r="DH189" s="2060"/>
      <c r="DI189" s="2060"/>
      <c r="DJ189" s="2060"/>
      <c r="DK189" s="2060"/>
      <c r="DL189" s="2060"/>
      <c r="DM189" s="2060"/>
      <c r="DN189" s="2060"/>
      <c r="DO189" s="2060"/>
      <c r="DP189" s="2060"/>
      <c r="DQ189" s="2060"/>
      <c r="DR189" s="2060"/>
      <c r="DS189" s="2060"/>
      <c r="DT189" s="2060"/>
      <c r="DU189" s="2060"/>
      <c r="DV189" s="2060"/>
      <c r="DW189" s="2060"/>
      <c r="DX189" s="2060"/>
      <c r="DY189" s="2060"/>
      <c r="DZ189" s="2060"/>
      <c r="EA189" s="2060"/>
      <c r="EB189" s="2060"/>
      <c r="EC189" s="2060"/>
      <c r="ED189" s="2060"/>
      <c r="EE189" s="2060"/>
      <c r="EF189" s="2060"/>
      <c r="EG189" s="2060"/>
      <c r="EH189" s="2060"/>
      <c r="EI189" s="2060"/>
      <c r="EJ189" s="2060"/>
      <c r="EK189" s="2060"/>
      <c r="EL189" s="2060"/>
      <c r="EM189" s="2060"/>
      <c r="EN189" s="2060"/>
      <c r="EO189" s="2060"/>
      <c r="EP189" s="2060"/>
      <c r="EQ189" s="2060"/>
      <c r="ER189" s="2060"/>
      <c r="ES189" s="2060"/>
      <c r="ET189" s="2060"/>
      <c r="EU189" s="2060"/>
      <c r="EV189" s="2060"/>
      <c r="EW189" s="2060"/>
      <c r="EX189" s="2060"/>
      <c r="EY189" s="2060"/>
      <c r="EZ189" s="2060"/>
      <c r="FA189" s="2060"/>
      <c r="FB189" s="2060"/>
      <c r="FC189" s="2060"/>
      <c r="FD189" s="2060"/>
      <c r="FE189" s="2060"/>
      <c r="FF189" s="2060"/>
      <c r="FG189" s="2060"/>
      <c r="FH189" s="2060"/>
      <c r="FI189" s="2060"/>
      <c r="FJ189" s="2060"/>
      <c r="FK189" s="2060"/>
      <c r="FL189" s="2060"/>
      <c r="FM189" s="2060"/>
      <c r="FN189" s="2060"/>
      <c r="FO189" s="2060"/>
      <c r="FP189" s="2060"/>
      <c r="FQ189" s="2060"/>
      <c r="FR189" s="2060"/>
      <c r="FS189" s="2060"/>
      <c r="FT189" s="2060"/>
      <c r="FU189" s="2060"/>
      <c r="FV189" s="2060"/>
      <c r="FW189" s="2060"/>
      <c r="FX189" s="2060"/>
      <c r="FY189" s="2060"/>
      <c r="FZ189" s="2060"/>
      <c r="GA189" s="2060"/>
      <c r="GB189" s="2060"/>
      <c r="GC189" s="2060"/>
    </row>
    <row r="190" spans="1:185" s="1499" customFormat="1" ht="12.75" customHeight="1">
      <c r="A190" s="1004"/>
      <c r="B190" s="1004"/>
      <c r="C190" s="1502"/>
      <c r="D190" s="2060"/>
      <c r="E190" s="1578"/>
      <c r="F190" s="2060"/>
      <c r="G190" s="2060"/>
      <c r="H190" s="145"/>
      <c r="I190" s="2060"/>
      <c r="J190" s="2060"/>
      <c r="K190" s="2060"/>
      <c r="L190" s="2060"/>
      <c r="M190" s="2060"/>
      <c r="N190" s="2060"/>
      <c r="O190" s="2060"/>
      <c r="P190" s="2060"/>
      <c r="Q190" s="2060"/>
      <c r="R190" s="2060"/>
      <c r="S190" s="2060"/>
      <c r="T190" s="2060"/>
      <c r="U190" s="2060"/>
      <c r="V190" s="2060"/>
      <c r="W190" s="2060"/>
      <c r="X190" s="2060"/>
      <c r="Y190" s="2060"/>
      <c r="Z190" s="2060"/>
      <c r="AA190" s="2060"/>
      <c r="AB190" s="2060"/>
      <c r="AC190" s="2060"/>
      <c r="AD190" s="1004"/>
      <c r="AE190" s="2060"/>
      <c r="AF190" s="2060"/>
      <c r="AG190" s="2060"/>
      <c r="AH190" s="2060"/>
      <c r="AI190" s="2060"/>
      <c r="AJ190" s="2060"/>
      <c r="AK190" s="2060"/>
      <c r="AL190" s="2060"/>
      <c r="AM190" s="2060"/>
      <c r="AN190" s="2060"/>
      <c r="AO190" s="2060"/>
      <c r="AP190" s="2060"/>
      <c r="AQ190" s="2060"/>
      <c r="AR190" s="2060"/>
      <c r="AS190" s="2060"/>
      <c r="AT190" s="2060"/>
      <c r="AU190" s="2060"/>
      <c r="AV190" s="2060"/>
      <c r="AW190" s="2060"/>
      <c r="AX190" s="2060"/>
      <c r="AY190" s="2060"/>
      <c r="AZ190" s="2060"/>
      <c r="BA190" s="2060"/>
      <c r="BB190" s="2060"/>
      <c r="BC190" s="2060"/>
      <c r="BD190" s="2060"/>
      <c r="BE190" s="2060"/>
      <c r="BF190" s="2060"/>
      <c r="BG190" s="2060"/>
      <c r="BH190" s="2060"/>
      <c r="BI190" s="2060"/>
      <c r="BJ190" s="2060"/>
      <c r="BK190" s="2060"/>
      <c r="BL190" s="2060"/>
      <c r="BM190" s="2060"/>
      <c r="BN190" s="2060"/>
      <c r="BO190" s="2060"/>
      <c r="BP190" s="2060"/>
      <c r="BQ190" s="2060"/>
      <c r="BR190" s="2060"/>
      <c r="BS190" s="2060"/>
      <c r="BT190" s="2060"/>
      <c r="BU190" s="2060"/>
      <c r="BV190" s="2060"/>
      <c r="BW190" s="2060"/>
      <c r="BX190" s="2060"/>
      <c r="BY190" s="2060"/>
      <c r="BZ190" s="2060"/>
      <c r="CA190" s="2060"/>
      <c r="CB190" s="2060"/>
      <c r="CC190" s="2060"/>
      <c r="CD190" s="2060"/>
      <c r="CE190" s="2060"/>
      <c r="CF190" s="2060"/>
      <c r="CG190" s="2060"/>
      <c r="CH190" s="2060"/>
      <c r="CI190" s="2060"/>
      <c r="CJ190" s="2060"/>
      <c r="CK190" s="2060"/>
      <c r="CL190" s="2060"/>
      <c r="CM190" s="2060"/>
      <c r="CN190" s="2060"/>
      <c r="CO190" s="2060"/>
      <c r="CP190" s="2060"/>
      <c r="CQ190" s="2060"/>
      <c r="CR190" s="2060"/>
      <c r="CS190" s="2060"/>
      <c r="CT190" s="2060"/>
      <c r="CU190" s="2060"/>
      <c r="CV190" s="2060"/>
      <c r="CW190" s="2060"/>
      <c r="CX190" s="2060"/>
      <c r="CY190" s="2060"/>
      <c r="CZ190" s="2060"/>
      <c r="DA190" s="2060"/>
      <c r="DB190" s="2060"/>
      <c r="DC190" s="2060"/>
      <c r="DD190" s="2060"/>
      <c r="DE190" s="2060"/>
      <c r="DF190" s="2060"/>
      <c r="DG190" s="2060"/>
      <c r="DH190" s="2060"/>
      <c r="DI190" s="2060"/>
      <c r="DJ190" s="2060"/>
      <c r="DK190" s="2060"/>
      <c r="DL190" s="2060"/>
      <c r="DM190" s="2060"/>
      <c r="DN190" s="2060"/>
      <c r="DO190" s="2060"/>
      <c r="DP190" s="2060"/>
      <c r="DQ190" s="2060"/>
      <c r="DR190" s="2060"/>
      <c r="DS190" s="2060"/>
      <c r="DT190" s="2060"/>
      <c r="DU190" s="2060"/>
      <c r="DV190" s="2060"/>
      <c r="DW190" s="2060"/>
      <c r="DX190" s="2060"/>
      <c r="DY190" s="2060"/>
      <c r="DZ190" s="2060"/>
      <c r="EA190" s="2060"/>
      <c r="EB190" s="2060"/>
      <c r="EC190" s="2060"/>
      <c r="ED190" s="2060"/>
      <c r="EE190" s="2060"/>
      <c r="EF190" s="2060"/>
      <c r="EG190" s="2060"/>
      <c r="EH190" s="2060"/>
      <c r="EI190" s="2060"/>
      <c r="EJ190" s="2060"/>
      <c r="EK190" s="2060"/>
      <c r="EL190" s="2060"/>
      <c r="EM190" s="2060"/>
      <c r="EN190" s="2060"/>
      <c r="EO190" s="2060"/>
      <c r="EP190" s="2060"/>
      <c r="EQ190" s="2060"/>
      <c r="ER190" s="2060"/>
      <c r="ES190" s="2060"/>
      <c r="ET190" s="2060"/>
      <c r="EU190" s="2060"/>
      <c r="EV190" s="2060"/>
      <c r="EW190" s="2060"/>
      <c r="EX190" s="2060"/>
      <c r="EY190" s="2060"/>
      <c r="EZ190" s="2060"/>
      <c r="FA190" s="2060"/>
      <c r="FB190" s="2060"/>
      <c r="FC190" s="2060"/>
      <c r="FD190" s="2060"/>
      <c r="FE190" s="2060"/>
      <c r="FF190" s="2060"/>
      <c r="FG190" s="2060"/>
      <c r="FH190" s="2060"/>
      <c r="FI190" s="2060"/>
      <c r="FJ190" s="2060"/>
      <c r="FK190" s="2060"/>
      <c r="FL190" s="2060"/>
      <c r="FM190" s="2060"/>
      <c r="FN190" s="2060"/>
      <c r="FO190" s="2060"/>
      <c r="FP190" s="2060"/>
      <c r="FQ190" s="2060"/>
      <c r="FR190" s="2060"/>
      <c r="FS190" s="2060"/>
      <c r="FT190" s="2060"/>
      <c r="FU190" s="2060"/>
      <c r="FV190" s="2060"/>
      <c r="FW190" s="2060"/>
      <c r="FX190" s="2060"/>
      <c r="FY190" s="2060"/>
      <c r="FZ190" s="2060"/>
      <c r="GA190" s="2060"/>
      <c r="GB190" s="2060"/>
      <c r="GC190" s="2060"/>
    </row>
    <row r="191" spans="1:185" s="1499" customFormat="1" ht="18">
      <c r="A191" s="659"/>
      <c r="B191" s="659"/>
      <c r="C191" s="1639">
        <f ca="1">MAX(OFFSET(C191,-1,0,-ROW(C191)+1,1))+1</f>
        <v>4</v>
      </c>
      <c r="D191" s="1634" t="s">
        <v>1211</v>
      </c>
      <c r="E191" s="1635"/>
      <c r="F191" s="1636"/>
      <c r="G191" s="1640"/>
      <c r="H191" s="1638"/>
      <c r="I191" s="1638"/>
      <c r="J191" s="1638"/>
      <c r="K191" s="1638"/>
      <c r="L191" s="1638"/>
      <c r="M191" s="1638"/>
      <c r="N191" s="1638"/>
      <c r="O191" s="1638"/>
      <c r="P191" s="1638"/>
      <c r="Q191" s="1004"/>
      <c r="R191" s="1004"/>
      <c r="S191" s="1004"/>
      <c r="T191" s="1004"/>
      <c r="U191" s="1004"/>
      <c r="V191" s="1004"/>
      <c r="W191" s="1004"/>
      <c r="X191" s="1004"/>
      <c r="Y191" s="1004"/>
      <c r="Z191" s="1004"/>
      <c r="AA191" s="1004"/>
      <c r="AB191" s="1004"/>
      <c r="AC191" s="1004"/>
      <c r="AD191" s="1004"/>
      <c r="AE191" s="2060"/>
      <c r="AF191" s="2060"/>
      <c r="AG191" s="2060"/>
      <c r="AH191" s="2060"/>
      <c r="AI191" s="2060"/>
      <c r="AJ191" s="2060"/>
      <c r="AK191" s="2060"/>
      <c r="AL191" s="2060"/>
      <c r="AM191" s="2060"/>
      <c r="AN191" s="2060"/>
      <c r="AO191" s="2060"/>
      <c r="AP191" s="2060"/>
      <c r="AQ191" s="2060"/>
      <c r="AR191" s="2060"/>
      <c r="AS191" s="2060"/>
      <c r="AT191" s="2060"/>
      <c r="AU191" s="2060"/>
      <c r="AV191" s="2060"/>
      <c r="AW191" s="2060"/>
      <c r="AX191" s="2060"/>
      <c r="AY191" s="2060"/>
      <c r="AZ191" s="2060"/>
      <c r="BA191" s="2060"/>
      <c r="BB191" s="2060"/>
      <c r="BC191" s="2060"/>
      <c r="BD191" s="2060"/>
      <c r="BE191" s="2060"/>
      <c r="BF191" s="2060"/>
      <c r="BG191" s="2060"/>
      <c r="BH191" s="2060"/>
      <c r="BI191" s="2060"/>
      <c r="BJ191" s="2060"/>
      <c r="BK191" s="2060"/>
      <c r="BL191" s="2060"/>
      <c r="BM191" s="2060"/>
      <c r="BN191" s="2060"/>
      <c r="BO191" s="2060"/>
      <c r="BP191" s="2060"/>
      <c r="BQ191" s="2060"/>
      <c r="BR191" s="2060"/>
      <c r="BS191" s="2060"/>
      <c r="BT191" s="2060"/>
      <c r="BU191" s="2060"/>
      <c r="BV191" s="2060"/>
      <c r="BW191" s="2060"/>
      <c r="BX191" s="2060"/>
      <c r="BY191" s="2060"/>
      <c r="BZ191" s="2060"/>
      <c r="CA191" s="2060"/>
      <c r="CB191" s="2060"/>
      <c r="CC191" s="2060"/>
      <c r="CD191" s="2060"/>
      <c r="CE191" s="2060"/>
      <c r="CF191" s="2060"/>
      <c r="CG191" s="2060"/>
      <c r="CH191" s="2060"/>
      <c r="CI191" s="2060"/>
      <c r="CJ191" s="2060"/>
      <c r="CK191" s="2060"/>
      <c r="CL191" s="2060"/>
      <c r="CM191" s="2060"/>
      <c r="CN191" s="2060"/>
      <c r="CO191" s="2060"/>
      <c r="CP191" s="2060"/>
      <c r="CQ191" s="2060"/>
      <c r="CR191" s="2060"/>
      <c r="CS191" s="2060"/>
      <c r="CT191" s="2060"/>
      <c r="CU191" s="2060"/>
      <c r="CV191" s="2060"/>
      <c r="CW191" s="2060"/>
      <c r="CX191" s="2060"/>
      <c r="CY191" s="2060"/>
      <c r="CZ191" s="2060"/>
      <c r="DA191" s="2060"/>
      <c r="DB191" s="2060"/>
      <c r="DC191" s="2060"/>
      <c r="DD191" s="2060"/>
      <c r="DE191" s="2060"/>
      <c r="DF191" s="2060"/>
      <c r="DG191" s="2060"/>
      <c r="DH191" s="2060"/>
      <c r="DI191" s="2060"/>
      <c r="DJ191" s="2060"/>
      <c r="DK191" s="2060"/>
      <c r="DL191" s="2060"/>
      <c r="DM191" s="2060"/>
      <c r="DN191" s="2060"/>
      <c r="DO191" s="2060"/>
      <c r="DP191" s="2060"/>
      <c r="DQ191" s="2060"/>
      <c r="DR191" s="2060"/>
      <c r="DS191" s="2060"/>
      <c r="DT191" s="2060"/>
      <c r="DU191" s="2060"/>
      <c r="DV191" s="2060"/>
      <c r="DW191" s="2060"/>
      <c r="DX191" s="2060"/>
      <c r="DY191" s="2060"/>
      <c r="DZ191" s="2060"/>
      <c r="EA191" s="2060"/>
      <c r="EB191" s="2060"/>
      <c r="EC191" s="2060"/>
      <c r="ED191" s="2060"/>
      <c r="EE191" s="2060"/>
      <c r="EF191" s="2060"/>
      <c r="EG191" s="2060"/>
      <c r="EH191" s="2060"/>
      <c r="EI191" s="2060"/>
      <c r="EJ191" s="2060"/>
      <c r="EK191" s="2060"/>
      <c r="EL191" s="2060"/>
      <c r="EM191" s="2060"/>
      <c r="EN191" s="2060"/>
      <c r="EO191" s="2060"/>
      <c r="EP191" s="2060"/>
      <c r="EQ191" s="2060"/>
      <c r="ER191" s="2060"/>
      <c r="ES191" s="2060"/>
      <c r="ET191" s="2060"/>
      <c r="EU191" s="2060"/>
      <c r="EV191" s="2060"/>
      <c r="EW191" s="2060"/>
      <c r="EX191" s="2060"/>
      <c r="EY191" s="2060"/>
      <c r="EZ191" s="2060"/>
      <c r="FA191" s="2060"/>
      <c r="FB191" s="2060"/>
      <c r="FC191" s="2060"/>
      <c r="FD191" s="2060"/>
      <c r="FE191" s="2060"/>
      <c r="FF191" s="2060"/>
      <c r="FG191" s="2060"/>
      <c r="FH191" s="2060"/>
      <c r="FI191" s="2060"/>
      <c r="FJ191" s="2060"/>
      <c r="FK191" s="2060"/>
      <c r="FL191" s="2060"/>
      <c r="FM191" s="2060"/>
      <c r="FN191" s="2060"/>
      <c r="FO191" s="2060"/>
      <c r="FP191" s="2060"/>
      <c r="FQ191" s="2060"/>
      <c r="FR191" s="2060"/>
      <c r="FS191" s="2060"/>
      <c r="FT191" s="2060"/>
      <c r="FU191" s="2060"/>
      <c r="FV191" s="2060"/>
      <c r="FW191" s="2060"/>
      <c r="FX191" s="2060"/>
      <c r="FY191" s="2060"/>
      <c r="FZ191" s="2060"/>
      <c r="GA191" s="2060"/>
      <c r="GB191" s="2060"/>
      <c r="GC191" s="2060"/>
    </row>
    <row r="192" spans="1:185" s="1499" customFormat="1">
      <c r="A192" s="1004"/>
      <c r="B192" s="1004"/>
      <c r="C192" s="1502"/>
      <c r="D192" s="2060"/>
      <c r="E192" s="2060"/>
      <c r="F192" s="2060"/>
      <c r="G192" s="2060"/>
      <c r="H192" s="2060"/>
      <c r="I192" s="2060"/>
      <c r="J192" s="2060"/>
      <c r="K192" s="2060"/>
      <c r="L192" s="2060"/>
      <c r="M192" s="2060"/>
      <c r="N192" s="2060"/>
      <c r="O192" s="2060"/>
      <c r="P192" s="2060"/>
      <c r="Q192" s="2060"/>
      <c r="R192" s="2060"/>
      <c r="S192" s="2060"/>
      <c r="T192" s="2060"/>
      <c r="U192" s="2060"/>
      <c r="V192" s="2060"/>
      <c r="W192" s="2060"/>
      <c r="X192" s="2060"/>
      <c r="Y192" s="2060"/>
      <c r="Z192" s="2060"/>
      <c r="AA192" s="2060"/>
      <c r="AB192" s="2060"/>
      <c r="AC192" s="2060"/>
      <c r="AD192" s="1004"/>
      <c r="AE192" s="2060"/>
      <c r="AF192" s="2060"/>
      <c r="AG192" s="2060"/>
      <c r="AH192" s="2060"/>
      <c r="AI192" s="2060"/>
      <c r="AJ192" s="2060"/>
      <c r="AK192" s="2060"/>
      <c r="AL192" s="2060"/>
      <c r="AM192" s="2060"/>
      <c r="AN192" s="2060"/>
      <c r="AO192" s="2060"/>
      <c r="AP192" s="2060"/>
      <c r="AQ192" s="2060"/>
      <c r="AR192" s="2060"/>
      <c r="AS192" s="2060"/>
      <c r="AT192" s="2060"/>
      <c r="AU192" s="2060"/>
      <c r="AV192" s="2060"/>
      <c r="AW192" s="2060"/>
      <c r="AX192" s="2060"/>
      <c r="AY192" s="2060"/>
      <c r="AZ192" s="2060"/>
      <c r="BA192" s="2060"/>
      <c r="BB192" s="2060"/>
      <c r="BC192" s="2060"/>
      <c r="BD192" s="2060"/>
      <c r="BE192" s="2060"/>
      <c r="BF192" s="2060"/>
      <c r="BG192" s="2060"/>
      <c r="BH192" s="2060"/>
      <c r="BI192" s="2060"/>
      <c r="BJ192" s="2060"/>
      <c r="BK192" s="2060"/>
      <c r="BL192" s="2060"/>
      <c r="BM192" s="2060"/>
      <c r="BN192" s="2060"/>
      <c r="BO192" s="2060"/>
      <c r="BP192" s="2060"/>
      <c r="BQ192" s="2060"/>
      <c r="BR192" s="2060"/>
      <c r="BS192" s="2060"/>
      <c r="BT192" s="2060"/>
      <c r="BU192" s="2060"/>
      <c r="BV192" s="2060"/>
      <c r="BW192" s="2060"/>
      <c r="BX192" s="2060"/>
      <c r="BY192" s="2060"/>
      <c r="BZ192" s="2060"/>
      <c r="CA192" s="2060"/>
      <c r="CB192" s="2060"/>
      <c r="CC192" s="2060"/>
      <c r="CD192" s="2060"/>
      <c r="CE192" s="2060"/>
      <c r="CF192" s="2060"/>
      <c r="CG192" s="2060"/>
      <c r="CH192" s="2060"/>
      <c r="CI192" s="2060"/>
      <c r="CJ192" s="2060"/>
      <c r="CK192" s="2060"/>
      <c r="CL192" s="2060"/>
      <c r="CM192" s="2060"/>
      <c r="CN192" s="2060"/>
      <c r="CO192" s="2060"/>
      <c r="CP192" s="2060"/>
      <c r="CQ192" s="2060"/>
      <c r="CR192" s="2060"/>
      <c r="CS192" s="2060"/>
      <c r="CT192" s="2060"/>
      <c r="CU192" s="2060"/>
      <c r="CV192" s="2060"/>
      <c r="CW192" s="2060"/>
      <c r="CX192" s="2060"/>
      <c r="CY192" s="2060"/>
      <c r="CZ192" s="2060"/>
      <c r="DA192" s="2060"/>
      <c r="DB192" s="2060"/>
      <c r="DC192" s="2060"/>
      <c r="DD192" s="2060"/>
      <c r="DE192" s="2060"/>
      <c r="DF192" s="2060"/>
      <c r="DG192" s="2060"/>
      <c r="DH192" s="2060"/>
      <c r="DI192" s="2060"/>
      <c r="DJ192" s="2060"/>
      <c r="DK192" s="2060"/>
      <c r="DL192" s="2060"/>
      <c r="DM192" s="2060"/>
      <c r="DN192" s="2060"/>
      <c r="DO192" s="2060"/>
      <c r="DP192" s="2060"/>
      <c r="DQ192" s="2060"/>
      <c r="DR192" s="2060"/>
      <c r="DS192" s="2060"/>
      <c r="DT192" s="2060"/>
      <c r="DU192" s="2060"/>
      <c r="DV192" s="2060"/>
      <c r="DW192" s="2060"/>
      <c r="DX192" s="2060"/>
      <c r="DY192" s="2060"/>
      <c r="DZ192" s="2060"/>
      <c r="EA192" s="2060"/>
      <c r="EB192" s="2060"/>
      <c r="EC192" s="2060"/>
      <c r="ED192" s="2060"/>
      <c r="EE192" s="2060"/>
      <c r="EF192" s="2060"/>
      <c r="EG192" s="2060"/>
      <c r="EH192" s="2060"/>
      <c r="EI192" s="2060"/>
      <c r="EJ192" s="2060"/>
      <c r="EK192" s="2060"/>
      <c r="EL192" s="2060"/>
      <c r="EM192" s="2060"/>
      <c r="EN192" s="2060"/>
      <c r="EO192" s="2060"/>
      <c r="EP192" s="2060"/>
      <c r="EQ192" s="2060"/>
      <c r="ER192" s="2060"/>
      <c r="ES192" s="2060"/>
      <c r="ET192" s="2060"/>
      <c r="EU192" s="2060"/>
      <c r="EV192" s="2060"/>
      <c r="EW192" s="2060"/>
      <c r="EX192" s="2060"/>
      <c r="EY192" s="2060"/>
      <c r="EZ192" s="2060"/>
      <c r="FA192" s="2060"/>
      <c r="FB192" s="2060"/>
      <c r="FC192" s="2060"/>
      <c r="FD192" s="2060"/>
      <c r="FE192" s="2060"/>
      <c r="FF192" s="2060"/>
      <c r="FG192" s="2060"/>
      <c r="FH192" s="2060"/>
      <c r="FI192" s="2060"/>
      <c r="FJ192" s="2060"/>
      <c r="FK192" s="2060"/>
      <c r="FL192" s="2060"/>
      <c r="FM192" s="2060"/>
      <c r="FN192" s="2060"/>
      <c r="FO192" s="2060"/>
      <c r="FP192" s="2060"/>
      <c r="FQ192" s="2060"/>
      <c r="FR192" s="2060"/>
      <c r="FS192" s="2060"/>
      <c r="FT192" s="2060"/>
      <c r="FU192" s="2060"/>
      <c r="FV192" s="2060"/>
      <c r="FW192" s="2060"/>
      <c r="FX192" s="2060"/>
      <c r="FY192" s="2060"/>
      <c r="FZ192" s="2060"/>
      <c r="GA192" s="2060"/>
      <c r="GB192" s="2060"/>
      <c r="GC192" s="2060"/>
    </row>
    <row r="193" spans="1:185" s="1499" customFormat="1">
      <c r="A193" s="659"/>
      <c r="B193" s="659"/>
      <c r="C193" s="128"/>
      <c r="D193" s="128"/>
      <c r="E193" s="2060"/>
      <c r="F193" s="2060"/>
      <c r="G193" s="2060"/>
      <c r="H193" s="2060"/>
      <c r="I193" s="2060"/>
      <c r="J193" s="128"/>
      <c r="K193" s="128"/>
      <c r="L193" s="128"/>
      <c r="M193" s="2060"/>
      <c r="N193" s="2060"/>
      <c r="O193" s="2060"/>
      <c r="P193" s="128"/>
      <c r="Q193" s="128"/>
      <c r="R193" s="2060"/>
      <c r="S193" s="2060"/>
      <c r="T193" s="2060"/>
      <c r="U193" s="2060"/>
      <c r="V193" s="2060"/>
      <c r="W193" s="128"/>
      <c r="X193" s="2060"/>
      <c r="Y193" s="2060"/>
      <c r="Z193" s="2060"/>
      <c r="AA193" s="2060"/>
      <c r="AB193" s="2060"/>
      <c r="AC193" s="2060"/>
      <c r="AD193" s="1004"/>
      <c r="AE193" s="2060"/>
      <c r="AF193" s="2060"/>
      <c r="AG193" s="2060"/>
      <c r="AH193" s="2060"/>
      <c r="AI193" s="2060"/>
      <c r="AJ193" s="2060"/>
      <c r="AK193" s="2060"/>
      <c r="AL193" s="2060"/>
      <c r="AM193" s="2060"/>
      <c r="AN193" s="2060"/>
      <c r="AO193" s="2060"/>
      <c r="AP193" s="2060"/>
      <c r="AQ193" s="2060"/>
      <c r="AR193" s="2060"/>
      <c r="AS193" s="2060"/>
      <c r="AT193" s="2060"/>
      <c r="AU193" s="2060"/>
      <c r="AV193" s="2060"/>
      <c r="AW193" s="2060"/>
      <c r="AX193" s="2060"/>
      <c r="AY193" s="2060"/>
      <c r="AZ193" s="2060"/>
      <c r="BA193" s="2060"/>
      <c r="BB193" s="2060"/>
      <c r="BC193" s="2060"/>
      <c r="BD193" s="2060"/>
      <c r="BE193" s="2060"/>
      <c r="BF193" s="2060"/>
      <c r="BG193" s="2060"/>
      <c r="BH193" s="2060"/>
      <c r="BI193" s="2060"/>
      <c r="BJ193" s="2060"/>
      <c r="BK193" s="2060"/>
      <c r="BL193" s="2060"/>
      <c r="BM193" s="2060"/>
      <c r="BN193" s="2060"/>
      <c r="BO193" s="2060"/>
      <c r="BP193" s="2060"/>
      <c r="BQ193" s="2060"/>
      <c r="BR193" s="2060"/>
      <c r="BS193" s="2060"/>
      <c r="BT193" s="2060"/>
      <c r="BU193" s="2060"/>
      <c r="BV193" s="2060"/>
      <c r="BW193" s="2060"/>
      <c r="BX193" s="2060"/>
      <c r="BY193" s="2060"/>
      <c r="BZ193" s="2060"/>
      <c r="CA193" s="2060"/>
      <c r="CB193" s="2060"/>
      <c r="CC193" s="2060"/>
      <c r="CD193" s="2060"/>
      <c r="CE193" s="2060"/>
      <c r="CF193" s="2060"/>
      <c r="CG193" s="2060"/>
      <c r="CH193" s="2060"/>
      <c r="CI193" s="2060"/>
      <c r="CJ193" s="2060"/>
      <c r="CK193" s="2060"/>
      <c r="CL193" s="2060"/>
      <c r="CM193" s="2060"/>
      <c r="CN193" s="2060"/>
      <c r="CO193" s="2060"/>
      <c r="CP193" s="2060"/>
      <c r="CQ193" s="2060"/>
      <c r="CR193" s="2060"/>
      <c r="CS193" s="2060"/>
      <c r="CT193" s="2060"/>
      <c r="CU193" s="2060"/>
      <c r="CV193" s="2060"/>
      <c r="CW193" s="2060"/>
      <c r="CX193" s="2060"/>
      <c r="CY193" s="2060"/>
      <c r="CZ193" s="2060"/>
      <c r="DA193" s="2060"/>
      <c r="DB193" s="2060"/>
      <c r="DC193" s="2060"/>
      <c r="DD193" s="2060"/>
      <c r="DE193" s="2060"/>
      <c r="DF193" s="2060"/>
      <c r="DG193" s="2060"/>
      <c r="DH193" s="2060"/>
      <c r="DI193" s="2060"/>
      <c r="DJ193" s="2060"/>
      <c r="DK193" s="2060"/>
      <c r="DL193" s="2060"/>
      <c r="DM193" s="2060"/>
      <c r="DN193" s="2060"/>
      <c r="DO193" s="2060"/>
      <c r="DP193" s="2060"/>
      <c r="DQ193" s="2060"/>
      <c r="DR193" s="2060"/>
      <c r="DS193" s="2060"/>
      <c r="DT193" s="2060"/>
      <c r="DU193" s="2060"/>
      <c r="DV193" s="2060"/>
      <c r="DW193" s="2060"/>
      <c r="DX193" s="2060"/>
      <c r="DY193" s="2060"/>
      <c r="DZ193" s="2060"/>
      <c r="EA193" s="2060"/>
      <c r="EB193" s="2060"/>
      <c r="EC193" s="2060"/>
      <c r="ED193" s="2060"/>
      <c r="EE193" s="2060"/>
      <c r="EF193" s="2060"/>
      <c r="EG193" s="2060"/>
      <c r="EH193" s="2060"/>
      <c r="EI193" s="2060"/>
      <c r="EJ193" s="2060"/>
      <c r="EK193" s="2060"/>
      <c r="EL193" s="2060"/>
      <c r="EM193" s="2060"/>
      <c r="EN193" s="2060"/>
      <c r="EO193" s="2060"/>
      <c r="EP193" s="2060"/>
      <c r="EQ193" s="2060"/>
      <c r="ER193" s="2060"/>
      <c r="ES193" s="2060"/>
      <c r="ET193" s="2060"/>
      <c r="EU193" s="2060"/>
      <c r="EV193" s="2060"/>
      <c r="EW193" s="2060"/>
      <c r="EX193" s="2060"/>
      <c r="EY193" s="2060"/>
      <c r="EZ193" s="2060"/>
      <c r="FA193" s="2060"/>
      <c r="FB193" s="2060"/>
      <c r="FC193" s="2060"/>
      <c r="FD193" s="2060"/>
      <c r="FE193" s="2060"/>
      <c r="FF193" s="2060"/>
      <c r="FG193" s="2060"/>
      <c r="FH193" s="2060"/>
      <c r="FI193" s="2060"/>
      <c r="FJ193" s="2060"/>
      <c r="FK193" s="2060"/>
      <c r="FL193" s="2060"/>
      <c r="FM193" s="2060"/>
      <c r="FN193" s="2060"/>
      <c r="FO193" s="2060"/>
      <c r="FP193" s="2060"/>
      <c r="FQ193" s="2060"/>
      <c r="FR193" s="2060"/>
      <c r="FS193" s="2060"/>
      <c r="FT193" s="2060"/>
      <c r="FU193" s="2060"/>
      <c r="FV193" s="2060"/>
      <c r="FW193" s="2060"/>
      <c r="FX193" s="2060"/>
      <c r="FY193" s="2060"/>
      <c r="FZ193" s="2060"/>
      <c r="GA193" s="2060"/>
      <c r="GB193" s="2060"/>
      <c r="GC193" s="2060"/>
    </row>
    <row r="194" spans="1:185" s="1499" customFormat="1">
      <c r="A194" s="659"/>
      <c r="B194" s="659"/>
      <c r="C194" s="128"/>
      <c r="D194" s="128"/>
      <c r="E194" s="2060"/>
      <c r="F194" s="2060"/>
      <c r="G194" s="2060"/>
      <c r="H194" s="2060"/>
      <c r="I194" s="2060"/>
      <c r="J194" s="128"/>
      <c r="K194" s="128"/>
      <c r="L194" s="128"/>
      <c r="M194" s="2060"/>
      <c r="N194" s="2060"/>
      <c r="O194" s="1602" t="s">
        <v>1212</v>
      </c>
      <c r="P194" s="1349"/>
      <c r="Q194" s="128"/>
      <c r="R194" s="2060"/>
      <c r="S194" s="2060"/>
      <c r="T194" s="2060"/>
      <c r="U194" s="2060"/>
      <c r="V194" s="2060"/>
      <c r="W194" s="128"/>
      <c r="X194" s="2060"/>
      <c r="Y194" s="2060"/>
      <c r="Z194" s="2060"/>
      <c r="AA194" s="2060"/>
      <c r="AB194" s="2060"/>
      <c r="AC194" s="2060"/>
      <c r="AD194" s="1004"/>
      <c r="AE194" s="2060"/>
      <c r="AF194" s="2060"/>
      <c r="AG194" s="2060"/>
      <c r="AH194" s="2060"/>
      <c r="AI194" s="2060"/>
      <c r="AJ194" s="2060"/>
      <c r="AK194" s="2060"/>
      <c r="AL194" s="2060"/>
      <c r="AM194" s="2060"/>
      <c r="AN194" s="2060"/>
      <c r="AO194" s="2060"/>
      <c r="AP194" s="2060"/>
      <c r="AQ194" s="2060"/>
      <c r="AR194" s="2060"/>
      <c r="AS194" s="2060"/>
      <c r="AT194" s="2060"/>
      <c r="AU194" s="2060"/>
      <c r="AV194" s="2060"/>
      <c r="AW194" s="2060"/>
      <c r="AX194" s="2060"/>
      <c r="AY194" s="2060"/>
      <c r="AZ194" s="2060"/>
      <c r="BA194" s="2060"/>
      <c r="BB194" s="2060"/>
      <c r="BC194" s="2060"/>
      <c r="BD194" s="2060"/>
      <c r="BE194" s="2060"/>
      <c r="BF194" s="2060"/>
      <c r="BG194" s="2060"/>
      <c r="BH194" s="2060"/>
      <c r="BI194" s="2060"/>
      <c r="BJ194" s="2060"/>
      <c r="BK194" s="2060"/>
      <c r="BL194" s="2060"/>
      <c r="BM194" s="2060"/>
      <c r="BN194" s="2060"/>
      <c r="BO194" s="2060"/>
      <c r="BP194" s="2060"/>
      <c r="BQ194" s="2060"/>
      <c r="BR194" s="2060"/>
      <c r="BS194" s="2060"/>
      <c r="BT194" s="2060"/>
      <c r="BU194" s="2060"/>
      <c r="BV194" s="2060"/>
      <c r="BW194" s="2060"/>
      <c r="BX194" s="2060"/>
      <c r="BY194" s="2060"/>
      <c r="BZ194" s="2060"/>
      <c r="CA194" s="2060"/>
      <c r="CB194" s="2060"/>
      <c r="CC194" s="2060"/>
      <c r="CD194" s="2060"/>
      <c r="CE194" s="2060"/>
      <c r="CF194" s="2060"/>
      <c r="CG194" s="2060"/>
      <c r="CH194" s="2060"/>
      <c r="CI194" s="2060"/>
      <c r="CJ194" s="2060"/>
      <c r="CK194" s="2060"/>
      <c r="CL194" s="2060"/>
      <c r="CM194" s="2060"/>
      <c r="CN194" s="2060"/>
      <c r="CO194" s="2060"/>
      <c r="CP194" s="2060"/>
      <c r="CQ194" s="2060"/>
      <c r="CR194" s="2060"/>
      <c r="CS194" s="2060"/>
      <c r="CT194" s="2060"/>
      <c r="CU194" s="2060"/>
      <c r="CV194" s="2060"/>
      <c r="CW194" s="2060"/>
      <c r="CX194" s="2060"/>
      <c r="CY194" s="2060"/>
      <c r="CZ194" s="2060"/>
      <c r="DA194" s="2060"/>
      <c r="DB194" s="2060"/>
      <c r="DC194" s="2060"/>
      <c r="DD194" s="2060"/>
      <c r="DE194" s="2060"/>
      <c r="DF194" s="2060"/>
      <c r="DG194" s="2060"/>
      <c r="DH194" s="2060"/>
      <c r="DI194" s="2060"/>
      <c r="DJ194" s="2060"/>
      <c r="DK194" s="2060"/>
      <c r="DL194" s="2060"/>
      <c r="DM194" s="2060"/>
      <c r="DN194" s="2060"/>
      <c r="DO194" s="2060"/>
      <c r="DP194" s="2060"/>
      <c r="DQ194" s="2060"/>
      <c r="DR194" s="2060"/>
      <c r="DS194" s="2060"/>
      <c r="DT194" s="2060"/>
      <c r="DU194" s="2060"/>
      <c r="DV194" s="2060"/>
      <c r="DW194" s="2060"/>
      <c r="DX194" s="2060"/>
      <c r="DY194" s="2060"/>
      <c r="DZ194" s="2060"/>
      <c r="EA194" s="2060"/>
      <c r="EB194" s="2060"/>
      <c r="EC194" s="2060"/>
      <c r="ED194" s="2060"/>
      <c r="EE194" s="2060"/>
      <c r="EF194" s="2060"/>
      <c r="EG194" s="2060"/>
      <c r="EH194" s="2060"/>
      <c r="EI194" s="2060"/>
      <c r="EJ194" s="2060"/>
      <c r="EK194" s="2060"/>
      <c r="EL194" s="2060"/>
      <c r="EM194" s="2060"/>
      <c r="EN194" s="2060"/>
      <c r="EO194" s="2060"/>
      <c r="EP194" s="2060"/>
      <c r="EQ194" s="2060"/>
      <c r="ER194" s="2060"/>
      <c r="ES194" s="2060"/>
      <c r="ET194" s="2060"/>
      <c r="EU194" s="2060"/>
      <c r="EV194" s="2060"/>
      <c r="EW194" s="2060"/>
      <c r="EX194" s="2060"/>
      <c r="EY194" s="2060"/>
      <c r="EZ194" s="2060"/>
      <c r="FA194" s="2060"/>
      <c r="FB194" s="2060"/>
      <c r="FC194" s="2060"/>
      <c r="FD194" s="2060"/>
      <c r="FE194" s="2060"/>
      <c r="FF194" s="2060"/>
      <c r="FG194" s="2060"/>
      <c r="FH194" s="2060"/>
      <c r="FI194" s="2060"/>
      <c r="FJ194" s="2060"/>
      <c r="FK194" s="2060"/>
      <c r="FL194" s="2060"/>
      <c r="FM194" s="2060"/>
      <c r="FN194" s="2060"/>
      <c r="FO194" s="2060"/>
      <c r="FP194" s="2060"/>
      <c r="FQ194" s="2060"/>
      <c r="FR194" s="2060"/>
      <c r="FS194" s="2060"/>
      <c r="FT194" s="2060"/>
      <c r="FU194" s="2060"/>
      <c r="FV194" s="2060"/>
      <c r="FW194" s="2060"/>
      <c r="FX194" s="2060"/>
      <c r="FY194" s="2060"/>
      <c r="FZ194" s="2060"/>
      <c r="GA194" s="2060"/>
      <c r="GB194" s="2060"/>
      <c r="GC194" s="2060"/>
    </row>
    <row r="195" spans="1:185" s="1499" customFormat="1">
      <c r="A195" s="659"/>
      <c r="B195" s="659"/>
      <c r="C195" s="128"/>
      <c r="D195" s="128"/>
      <c r="E195" s="1177" t="s">
        <v>1213</v>
      </c>
      <c r="F195" s="1178"/>
      <c r="G195" s="1179"/>
      <c r="H195" s="1178"/>
      <c r="I195" s="2060"/>
      <c r="J195" s="1177" t="s">
        <v>1214</v>
      </c>
      <c r="K195" s="1178"/>
      <c r="L195" s="1178"/>
      <c r="M195" s="1178"/>
      <c r="N195" s="1513"/>
      <c r="O195" s="1600" t="s">
        <v>1215</v>
      </c>
      <c r="P195" s="1601"/>
      <c r="Q195" s="2060"/>
      <c r="R195" s="2060"/>
      <c r="S195" s="2060"/>
      <c r="T195" s="2060"/>
      <c r="U195" s="2060"/>
      <c r="V195" s="2060"/>
      <c r="W195" s="128"/>
      <c r="X195" s="2060"/>
      <c r="Y195" s="2060"/>
      <c r="Z195" s="2060"/>
      <c r="AA195" s="2060"/>
      <c r="AB195" s="2060"/>
      <c r="AC195" s="2060"/>
      <c r="AD195" s="1004"/>
      <c r="AE195" s="2060"/>
      <c r="AF195" s="2060"/>
      <c r="AG195" s="2060"/>
      <c r="AH195" s="2060"/>
      <c r="AI195" s="2060"/>
      <c r="AJ195" s="2060"/>
      <c r="AK195" s="2060"/>
      <c r="AL195" s="2060"/>
      <c r="AM195" s="2060"/>
      <c r="AN195" s="2060"/>
      <c r="AO195" s="2060"/>
      <c r="AP195" s="2060"/>
      <c r="AQ195" s="2060"/>
      <c r="AR195" s="2060"/>
      <c r="AS195" s="2060"/>
      <c r="AT195" s="2060"/>
      <c r="AU195" s="2060"/>
      <c r="AV195" s="2060"/>
      <c r="AW195" s="2060"/>
      <c r="AX195" s="2060"/>
      <c r="AY195" s="2060"/>
      <c r="AZ195" s="2060"/>
      <c r="BA195" s="2060"/>
      <c r="BB195" s="2060"/>
      <c r="BC195" s="2060"/>
      <c r="BD195" s="2060"/>
      <c r="BE195" s="2060"/>
      <c r="BF195" s="2060"/>
      <c r="BG195" s="2060"/>
      <c r="BH195" s="2060"/>
      <c r="BI195" s="2060"/>
      <c r="BJ195" s="2060"/>
      <c r="BK195" s="2060"/>
      <c r="BL195" s="2060"/>
      <c r="BM195" s="2060"/>
      <c r="BN195" s="2060"/>
      <c r="BO195" s="2060"/>
      <c r="BP195" s="2060"/>
      <c r="BQ195" s="2060"/>
      <c r="BR195" s="2060"/>
      <c r="BS195" s="2060"/>
      <c r="BT195" s="2060"/>
      <c r="BU195" s="2060"/>
      <c r="BV195" s="2060"/>
      <c r="BW195" s="2060"/>
      <c r="BX195" s="2060"/>
      <c r="BY195" s="2060"/>
      <c r="BZ195" s="2060"/>
      <c r="CA195" s="2060"/>
      <c r="CB195" s="2060"/>
      <c r="CC195" s="2060"/>
      <c r="CD195" s="2060"/>
      <c r="CE195" s="2060"/>
      <c r="CF195" s="2060"/>
      <c r="CG195" s="2060"/>
      <c r="CH195" s="2060"/>
      <c r="CI195" s="2060"/>
      <c r="CJ195" s="2060"/>
      <c r="CK195" s="2060"/>
      <c r="CL195" s="2060"/>
      <c r="CM195" s="2060"/>
      <c r="CN195" s="2060"/>
      <c r="CO195" s="2060"/>
      <c r="CP195" s="2060"/>
      <c r="CQ195" s="2060"/>
      <c r="CR195" s="2060"/>
      <c r="CS195" s="2060"/>
      <c r="CT195" s="2060"/>
      <c r="CU195" s="2060"/>
      <c r="CV195" s="2060"/>
      <c r="CW195" s="2060"/>
      <c r="CX195" s="2060"/>
      <c r="CY195" s="2060"/>
      <c r="CZ195" s="2060"/>
      <c r="DA195" s="2060"/>
      <c r="DB195" s="2060"/>
      <c r="DC195" s="2060"/>
      <c r="DD195" s="2060"/>
      <c r="DE195" s="2060"/>
      <c r="DF195" s="2060"/>
      <c r="DG195" s="2060"/>
      <c r="DH195" s="2060"/>
      <c r="DI195" s="2060"/>
      <c r="DJ195" s="2060"/>
      <c r="DK195" s="2060"/>
      <c r="DL195" s="2060"/>
      <c r="DM195" s="2060"/>
      <c r="DN195" s="2060"/>
      <c r="DO195" s="2060"/>
      <c r="DP195" s="2060"/>
      <c r="DQ195" s="2060"/>
      <c r="DR195" s="2060"/>
      <c r="DS195" s="2060"/>
      <c r="DT195" s="2060"/>
      <c r="DU195" s="2060"/>
      <c r="DV195" s="2060"/>
      <c r="DW195" s="2060"/>
      <c r="DX195" s="2060"/>
      <c r="DY195" s="2060"/>
      <c r="DZ195" s="2060"/>
      <c r="EA195" s="2060"/>
      <c r="EB195" s="2060"/>
      <c r="EC195" s="2060"/>
      <c r="ED195" s="2060"/>
      <c r="EE195" s="2060"/>
      <c r="EF195" s="2060"/>
      <c r="EG195" s="2060"/>
      <c r="EH195" s="2060"/>
      <c r="EI195" s="2060"/>
      <c r="EJ195" s="2060"/>
      <c r="EK195" s="2060"/>
      <c r="EL195" s="2060"/>
      <c r="EM195" s="2060"/>
      <c r="EN195" s="2060"/>
      <c r="EO195" s="2060"/>
      <c r="EP195" s="2060"/>
      <c r="EQ195" s="2060"/>
      <c r="ER195" s="2060"/>
      <c r="ES195" s="2060"/>
      <c r="ET195" s="2060"/>
      <c r="EU195" s="2060"/>
      <c r="EV195" s="2060"/>
      <c r="EW195" s="2060"/>
      <c r="EX195" s="2060"/>
      <c r="EY195" s="2060"/>
      <c r="EZ195" s="2060"/>
      <c r="FA195" s="2060"/>
      <c r="FB195" s="2060"/>
      <c r="FC195" s="2060"/>
      <c r="FD195" s="2060"/>
      <c r="FE195" s="2060"/>
      <c r="FF195" s="2060"/>
      <c r="FG195" s="2060"/>
      <c r="FH195" s="2060"/>
      <c r="FI195" s="2060"/>
      <c r="FJ195" s="2060"/>
      <c r="FK195" s="2060"/>
      <c r="FL195" s="2060"/>
      <c r="FM195" s="2060"/>
      <c r="FN195" s="2060"/>
      <c r="FO195" s="2060"/>
      <c r="FP195" s="2060"/>
      <c r="FQ195" s="2060"/>
      <c r="FR195" s="2060"/>
      <c r="FS195" s="2060"/>
      <c r="FT195" s="2060"/>
      <c r="FU195" s="2060"/>
      <c r="FV195" s="2060"/>
      <c r="FW195" s="2060"/>
      <c r="FX195" s="2060"/>
      <c r="FY195" s="2060"/>
      <c r="FZ195" s="2060"/>
      <c r="GA195" s="2060"/>
      <c r="GB195" s="2060"/>
      <c r="GC195" s="2060"/>
    </row>
    <row r="196" spans="1:185" s="1499" customFormat="1">
      <c r="A196" s="659"/>
      <c r="B196" s="659"/>
      <c r="C196" s="128"/>
      <c r="D196" s="779"/>
      <c r="E196" s="263" t="s">
        <v>1216</v>
      </c>
      <c r="F196" s="255"/>
      <c r="G196" s="1505"/>
      <c r="H196" s="1709" t="str">
        <f>K120</f>
        <v>n/a</v>
      </c>
      <c r="I196" s="2060"/>
      <c r="J196" s="255" t="s">
        <v>1217</v>
      </c>
      <c r="K196" s="2060"/>
      <c r="L196" s="1598" t="str">
        <f>IF(M196="","Use Cell "&amp;ADDRESS(ROW($O$197),COLUMN($O$197),4,1)&amp;" or your own rate","")</f>
        <v/>
      </c>
      <c r="M196" s="2234">
        <f>O196</f>
        <v>4.9009999999999998E-2</v>
      </c>
      <c r="N196" s="2060"/>
      <c r="O196" s="1597">
        <f>IFERROR(_xll.ciqfunctions.udf.CIQ($M$270, "IQ_FULL_CURVE_ANNUAL", $M$271,$M$272,$M$273,Valuation_date)*1,"Not available")</f>
        <v>4.9009999999999998E-2</v>
      </c>
      <c r="P196" s="2060"/>
      <c r="Q196" s="2060"/>
      <c r="R196" s="2060"/>
      <c r="S196" s="2060"/>
      <c r="T196" s="2060"/>
      <c r="U196" s="2060"/>
      <c r="V196" s="2060"/>
      <c r="W196" s="128"/>
      <c r="X196" s="2060"/>
      <c r="Y196" s="2060"/>
      <c r="Z196" s="2060"/>
      <c r="AA196" s="2060"/>
      <c r="AB196" s="2060"/>
      <c r="AC196" s="2060"/>
      <c r="AD196" s="1004"/>
      <c r="AE196" s="2060"/>
      <c r="AF196" s="2060"/>
      <c r="AG196" s="2060"/>
      <c r="AH196" s="2060"/>
      <c r="AI196" s="2060"/>
      <c r="AJ196" s="2060"/>
      <c r="AK196" s="2060"/>
      <c r="AL196" s="2060"/>
      <c r="AM196" s="2060"/>
      <c r="AN196" s="2060"/>
      <c r="AO196" s="2060"/>
      <c r="AP196" s="2060"/>
      <c r="AQ196" s="2060"/>
      <c r="AR196" s="2060"/>
      <c r="AS196" s="2060"/>
      <c r="AT196" s="2060"/>
      <c r="AU196" s="2060"/>
      <c r="AV196" s="2060"/>
      <c r="AW196" s="2060"/>
      <c r="AX196" s="2060"/>
      <c r="AY196" s="2060"/>
      <c r="AZ196" s="2060"/>
      <c r="BA196" s="2060"/>
      <c r="BB196" s="2060"/>
      <c r="BC196" s="2060"/>
      <c r="BD196" s="2060"/>
      <c r="BE196" s="2060"/>
      <c r="BF196" s="2060"/>
      <c r="BG196" s="2060"/>
      <c r="BH196" s="2060"/>
      <c r="BI196" s="2060"/>
      <c r="BJ196" s="2060"/>
      <c r="BK196" s="2060"/>
      <c r="BL196" s="2060"/>
      <c r="BM196" s="2060"/>
      <c r="BN196" s="2060"/>
      <c r="BO196" s="2060"/>
      <c r="BP196" s="2060"/>
      <c r="BQ196" s="2060"/>
      <c r="BR196" s="2060"/>
      <c r="BS196" s="2060"/>
      <c r="BT196" s="2060"/>
      <c r="BU196" s="2060"/>
      <c r="BV196" s="2060"/>
      <c r="BW196" s="2060"/>
      <c r="BX196" s="2060"/>
      <c r="BY196" s="2060"/>
      <c r="BZ196" s="2060"/>
      <c r="CA196" s="2060"/>
      <c r="CB196" s="2060"/>
      <c r="CC196" s="2060"/>
      <c r="CD196" s="2060"/>
      <c r="CE196" s="2060"/>
      <c r="CF196" s="2060"/>
      <c r="CG196" s="2060"/>
      <c r="CH196" s="2060"/>
      <c r="CI196" s="2060"/>
      <c r="CJ196" s="2060"/>
      <c r="CK196" s="2060"/>
      <c r="CL196" s="2060"/>
      <c r="CM196" s="2060"/>
      <c r="CN196" s="2060"/>
      <c r="CO196" s="2060"/>
      <c r="CP196" s="2060"/>
      <c r="CQ196" s="2060"/>
      <c r="CR196" s="2060"/>
      <c r="CS196" s="2060"/>
      <c r="CT196" s="2060"/>
      <c r="CU196" s="2060"/>
      <c r="CV196" s="2060"/>
      <c r="CW196" s="2060"/>
      <c r="CX196" s="2060"/>
      <c r="CY196" s="2060"/>
      <c r="CZ196" s="2060"/>
      <c r="DA196" s="2060"/>
      <c r="DB196" s="2060"/>
      <c r="DC196" s="2060"/>
      <c r="DD196" s="2060"/>
      <c r="DE196" s="2060"/>
      <c r="DF196" s="2060"/>
      <c r="DG196" s="2060"/>
      <c r="DH196" s="2060"/>
      <c r="DI196" s="2060"/>
      <c r="DJ196" s="2060"/>
      <c r="DK196" s="2060"/>
      <c r="DL196" s="2060"/>
      <c r="DM196" s="2060"/>
      <c r="DN196" s="2060"/>
      <c r="DO196" s="2060"/>
      <c r="DP196" s="2060"/>
      <c r="DQ196" s="2060"/>
      <c r="DR196" s="2060"/>
      <c r="DS196" s="2060"/>
      <c r="DT196" s="2060"/>
      <c r="DU196" s="2060"/>
      <c r="DV196" s="2060"/>
      <c r="DW196" s="2060"/>
      <c r="DX196" s="2060"/>
      <c r="DY196" s="2060"/>
      <c r="DZ196" s="2060"/>
      <c r="EA196" s="2060"/>
      <c r="EB196" s="2060"/>
      <c r="EC196" s="2060"/>
      <c r="ED196" s="2060"/>
      <c r="EE196" s="2060"/>
      <c r="EF196" s="2060"/>
      <c r="EG196" s="2060"/>
      <c r="EH196" s="2060"/>
      <c r="EI196" s="2060"/>
      <c r="EJ196" s="2060"/>
      <c r="EK196" s="2060"/>
      <c r="EL196" s="2060"/>
      <c r="EM196" s="2060"/>
      <c r="EN196" s="2060"/>
      <c r="EO196" s="2060"/>
      <c r="EP196" s="2060"/>
      <c r="EQ196" s="2060"/>
      <c r="ER196" s="2060"/>
      <c r="ES196" s="2060"/>
      <c r="ET196" s="2060"/>
      <c r="EU196" s="2060"/>
      <c r="EV196" s="2060"/>
      <c r="EW196" s="2060"/>
      <c r="EX196" s="2060"/>
      <c r="EY196" s="2060"/>
      <c r="EZ196" s="2060"/>
      <c r="FA196" s="2060"/>
      <c r="FB196" s="2060"/>
      <c r="FC196" s="2060"/>
      <c r="FD196" s="2060"/>
      <c r="FE196" s="2060"/>
      <c r="FF196" s="2060"/>
      <c r="FG196" s="2060"/>
      <c r="FH196" s="2060"/>
      <c r="FI196" s="2060"/>
      <c r="FJ196" s="2060"/>
      <c r="FK196" s="2060"/>
      <c r="FL196" s="2060"/>
      <c r="FM196" s="2060"/>
      <c r="FN196" s="2060"/>
      <c r="FO196" s="2060"/>
      <c r="FP196" s="2060"/>
      <c r="FQ196" s="2060"/>
      <c r="FR196" s="2060"/>
      <c r="FS196" s="2060"/>
      <c r="FT196" s="2060"/>
      <c r="FU196" s="2060"/>
      <c r="FV196" s="2060"/>
      <c r="FW196" s="2060"/>
      <c r="FX196" s="2060"/>
      <c r="FY196" s="2060"/>
      <c r="FZ196" s="2060"/>
      <c r="GA196" s="2060"/>
      <c r="GB196" s="2060"/>
      <c r="GC196" s="2060"/>
    </row>
    <row r="197" spans="1:185" s="1499" customFormat="1">
      <c r="A197" s="659"/>
      <c r="B197" s="659"/>
      <c r="C197" s="128"/>
      <c r="D197" s="779"/>
      <c r="E197" s="255" t="str">
        <f>DebtSetting&amp;" / Market equity "</f>
        <v xml:space="preserve">Total debt / Market equity </v>
      </c>
      <c r="F197" s="255"/>
      <c r="G197" s="1505"/>
      <c r="H197" s="2234" t="str">
        <f>N120</f>
        <v>n/a</v>
      </c>
      <c r="I197" s="2060"/>
      <c r="J197" s="2060" t="s">
        <v>1218</v>
      </c>
      <c r="K197" s="2060"/>
      <c r="L197" s="2060"/>
      <c r="M197" s="2234">
        <v>0</v>
      </c>
      <c r="N197" s="2060"/>
      <c r="O197" s="1766" t="s">
        <v>49</v>
      </c>
      <c r="P197" s="30" t="s">
        <v>167</v>
      </c>
      <c r="Q197" s="2060"/>
      <c r="R197" s="2060"/>
      <c r="S197" s="2060"/>
      <c r="T197" s="2060"/>
      <c r="U197" s="2060"/>
      <c r="V197" s="2060"/>
      <c r="W197" s="128"/>
      <c r="X197" s="2060"/>
      <c r="Y197" s="2060"/>
      <c r="Z197" s="2060"/>
      <c r="AA197" s="2060"/>
      <c r="AB197" s="2060"/>
      <c r="AC197" s="2060"/>
      <c r="AD197" s="1004"/>
      <c r="AE197" s="2060"/>
      <c r="AF197" s="2060"/>
      <c r="AG197" s="2060"/>
      <c r="AH197" s="2060"/>
      <c r="AI197" s="2060"/>
      <c r="AJ197" s="2060"/>
      <c r="AK197" s="2060"/>
      <c r="AL197" s="2060"/>
      <c r="AM197" s="2060"/>
      <c r="AN197" s="2060"/>
      <c r="AO197" s="2060"/>
      <c r="AP197" s="2060"/>
      <c r="AQ197" s="2060"/>
      <c r="AR197" s="2060"/>
      <c r="AS197" s="2060"/>
      <c r="AT197" s="2060"/>
      <c r="AU197" s="2060"/>
      <c r="AV197" s="2060"/>
      <c r="AW197" s="2060"/>
      <c r="AX197" s="2060"/>
      <c r="AY197" s="2060"/>
      <c r="AZ197" s="2060"/>
      <c r="BA197" s="2060"/>
      <c r="BB197" s="2060"/>
      <c r="BC197" s="2060"/>
      <c r="BD197" s="2060"/>
      <c r="BE197" s="2060"/>
      <c r="BF197" s="2060"/>
      <c r="BG197" s="2060"/>
      <c r="BH197" s="2060"/>
      <c r="BI197" s="2060"/>
      <c r="BJ197" s="2060"/>
      <c r="BK197" s="2060"/>
      <c r="BL197" s="2060"/>
      <c r="BM197" s="2060"/>
      <c r="BN197" s="2060"/>
      <c r="BO197" s="2060"/>
      <c r="BP197" s="2060"/>
      <c r="BQ197" s="2060"/>
      <c r="BR197" s="2060"/>
      <c r="BS197" s="2060"/>
      <c r="BT197" s="2060"/>
      <c r="BU197" s="2060"/>
      <c r="BV197" s="2060"/>
      <c r="BW197" s="2060"/>
      <c r="BX197" s="2060"/>
      <c r="BY197" s="2060"/>
      <c r="BZ197" s="2060"/>
      <c r="CA197" s="2060"/>
      <c r="CB197" s="2060"/>
      <c r="CC197" s="2060"/>
      <c r="CD197" s="2060"/>
      <c r="CE197" s="2060"/>
      <c r="CF197" s="2060"/>
      <c r="CG197" s="2060"/>
      <c r="CH197" s="2060"/>
      <c r="CI197" s="2060"/>
      <c r="CJ197" s="2060"/>
      <c r="CK197" s="2060"/>
      <c r="CL197" s="2060"/>
      <c r="CM197" s="2060"/>
      <c r="CN197" s="2060"/>
      <c r="CO197" s="2060"/>
      <c r="CP197" s="2060"/>
      <c r="CQ197" s="2060"/>
      <c r="CR197" s="2060"/>
      <c r="CS197" s="2060"/>
      <c r="CT197" s="2060"/>
      <c r="CU197" s="2060"/>
      <c r="CV197" s="2060"/>
      <c r="CW197" s="2060"/>
      <c r="CX197" s="2060"/>
      <c r="CY197" s="2060"/>
      <c r="CZ197" s="2060"/>
      <c r="DA197" s="2060"/>
      <c r="DB197" s="2060"/>
      <c r="DC197" s="2060"/>
      <c r="DD197" s="2060"/>
      <c r="DE197" s="2060"/>
      <c r="DF197" s="2060"/>
      <c r="DG197" s="2060"/>
      <c r="DH197" s="2060"/>
      <c r="DI197" s="2060"/>
      <c r="DJ197" s="2060"/>
      <c r="DK197" s="2060"/>
      <c r="DL197" s="2060"/>
      <c r="DM197" s="2060"/>
      <c r="DN197" s="2060"/>
      <c r="DO197" s="2060"/>
      <c r="DP197" s="2060"/>
      <c r="DQ197" s="2060"/>
      <c r="DR197" s="2060"/>
      <c r="DS197" s="2060"/>
      <c r="DT197" s="2060"/>
      <c r="DU197" s="2060"/>
      <c r="DV197" s="2060"/>
      <c r="DW197" s="2060"/>
      <c r="DX197" s="2060"/>
      <c r="DY197" s="2060"/>
      <c r="DZ197" s="2060"/>
      <c r="EA197" s="2060"/>
      <c r="EB197" s="2060"/>
      <c r="EC197" s="2060"/>
      <c r="ED197" s="2060"/>
      <c r="EE197" s="2060"/>
      <c r="EF197" s="2060"/>
      <c r="EG197" s="2060"/>
      <c r="EH197" s="2060"/>
      <c r="EI197" s="2060"/>
      <c r="EJ197" s="2060"/>
      <c r="EK197" s="2060"/>
      <c r="EL197" s="2060"/>
      <c r="EM197" s="2060"/>
      <c r="EN197" s="2060"/>
      <c r="EO197" s="2060"/>
      <c r="EP197" s="2060"/>
      <c r="EQ197" s="2060"/>
      <c r="ER197" s="2060"/>
      <c r="ES197" s="2060"/>
      <c r="ET197" s="2060"/>
      <c r="EU197" s="2060"/>
      <c r="EV197" s="2060"/>
      <c r="EW197" s="2060"/>
      <c r="EX197" s="2060"/>
      <c r="EY197" s="2060"/>
      <c r="EZ197" s="2060"/>
      <c r="FA197" s="2060"/>
      <c r="FB197" s="2060"/>
      <c r="FC197" s="2060"/>
      <c r="FD197" s="2060"/>
      <c r="FE197" s="2060"/>
      <c r="FF197" s="2060"/>
      <c r="FG197" s="2060"/>
      <c r="FH197" s="2060"/>
      <c r="FI197" s="2060"/>
      <c r="FJ197" s="2060"/>
      <c r="FK197" s="2060"/>
      <c r="FL197" s="2060"/>
      <c r="FM197" s="2060"/>
      <c r="FN197" s="2060"/>
      <c r="FO197" s="2060"/>
      <c r="FP197" s="2060"/>
      <c r="FQ197" s="2060"/>
      <c r="FR197" s="2060"/>
      <c r="FS197" s="2060"/>
      <c r="FT197" s="2060"/>
      <c r="FU197" s="2060"/>
      <c r="FV197" s="2060"/>
      <c r="FW197" s="2060"/>
      <c r="FX197" s="2060"/>
      <c r="FY197" s="2060"/>
      <c r="FZ197" s="2060"/>
      <c r="GA197" s="2060"/>
      <c r="GB197" s="2060"/>
      <c r="GC197" s="2060"/>
    </row>
    <row r="198" spans="1:185" s="1499" customFormat="1">
      <c r="A198" s="659"/>
      <c r="B198" s="659"/>
      <c r="C198" s="128"/>
      <c r="D198" s="779"/>
      <c r="E198" s="255" t="s">
        <v>1219</v>
      </c>
      <c r="F198" s="255"/>
      <c r="G198" s="1505"/>
      <c r="H198" s="1364">
        <f>$P$79</f>
        <v>0.34</v>
      </c>
      <c r="I198" s="2060"/>
      <c r="J198" s="255" t="s">
        <v>1219</v>
      </c>
      <c r="K198" s="255"/>
      <c r="L198" s="255"/>
      <c r="M198" s="1717">
        <f>$P$79</f>
        <v>0.34</v>
      </c>
      <c r="N198" s="2060"/>
      <c r="O198" s="1766" t="s">
        <v>1220</v>
      </c>
      <c r="P198" s="1362" t="s">
        <v>1221</v>
      </c>
      <c r="Q198" s="2060"/>
      <c r="R198" s="2060"/>
      <c r="S198" s="2060"/>
      <c r="T198" s="2060"/>
      <c r="U198" s="2060"/>
      <c r="V198" s="2060"/>
      <c r="W198" s="128"/>
      <c r="X198" s="2060"/>
      <c r="Y198" s="2060"/>
      <c r="Z198" s="2060"/>
      <c r="AA198" s="2060"/>
      <c r="AB198" s="2060"/>
      <c r="AC198" s="2060"/>
      <c r="AD198" s="1004"/>
      <c r="AE198" s="2060"/>
      <c r="AF198" s="2060"/>
      <c r="AG198" s="2060"/>
      <c r="AH198" s="2060"/>
      <c r="AI198" s="2060"/>
      <c r="AJ198" s="2060"/>
      <c r="AK198" s="2060"/>
      <c r="AL198" s="2060"/>
      <c r="AM198" s="2060"/>
      <c r="AN198" s="2060"/>
      <c r="AO198" s="2060"/>
      <c r="AP198" s="2060"/>
      <c r="AQ198" s="2060"/>
      <c r="AR198" s="2060"/>
      <c r="AS198" s="2060"/>
      <c r="AT198" s="2060"/>
      <c r="AU198" s="2060"/>
      <c r="AV198" s="2060"/>
      <c r="AW198" s="2060"/>
      <c r="AX198" s="2060"/>
      <c r="AY198" s="2060"/>
      <c r="AZ198" s="2060"/>
      <c r="BA198" s="2060"/>
      <c r="BB198" s="2060"/>
      <c r="BC198" s="2060"/>
      <c r="BD198" s="2060"/>
      <c r="BE198" s="2060"/>
      <c r="BF198" s="2060"/>
      <c r="BG198" s="2060"/>
      <c r="BH198" s="2060"/>
      <c r="BI198" s="2060"/>
      <c r="BJ198" s="2060"/>
      <c r="BK198" s="2060"/>
      <c r="BL198" s="2060"/>
      <c r="BM198" s="2060"/>
      <c r="BN198" s="2060"/>
      <c r="BO198" s="2060"/>
      <c r="BP198" s="2060"/>
      <c r="BQ198" s="2060"/>
      <c r="BR198" s="2060"/>
      <c r="BS198" s="2060"/>
      <c r="BT198" s="2060"/>
      <c r="BU198" s="2060"/>
      <c r="BV198" s="2060"/>
      <c r="BW198" s="2060"/>
      <c r="BX198" s="2060"/>
      <c r="BY198" s="2060"/>
      <c r="BZ198" s="2060"/>
      <c r="CA198" s="2060"/>
      <c r="CB198" s="2060"/>
      <c r="CC198" s="2060"/>
      <c r="CD198" s="2060"/>
      <c r="CE198" s="2060"/>
      <c r="CF198" s="2060"/>
      <c r="CG198" s="2060"/>
      <c r="CH198" s="2060"/>
      <c r="CI198" s="2060"/>
      <c r="CJ198" s="2060"/>
      <c r="CK198" s="2060"/>
      <c r="CL198" s="2060"/>
      <c r="CM198" s="2060"/>
      <c r="CN198" s="2060"/>
      <c r="CO198" s="2060"/>
      <c r="CP198" s="2060"/>
      <c r="CQ198" s="2060"/>
      <c r="CR198" s="2060"/>
      <c r="CS198" s="2060"/>
      <c r="CT198" s="2060"/>
      <c r="CU198" s="2060"/>
      <c r="CV198" s="2060"/>
      <c r="CW198" s="2060"/>
      <c r="CX198" s="2060"/>
      <c r="CY198" s="2060"/>
      <c r="CZ198" s="2060"/>
      <c r="DA198" s="2060"/>
      <c r="DB198" s="2060"/>
      <c r="DC198" s="2060"/>
      <c r="DD198" s="2060"/>
      <c r="DE198" s="2060"/>
      <c r="DF198" s="2060"/>
      <c r="DG198" s="2060"/>
      <c r="DH198" s="2060"/>
      <c r="DI198" s="2060"/>
      <c r="DJ198" s="2060"/>
      <c r="DK198" s="2060"/>
      <c r="DL198" s="2060"/>
      <c r="DM198" s="2060"/>
      <c r="DN198" s="2060"/>
      <c r="DO198" s="2060"/>
      <c r="DP198" s="2060"/>
      <c r="DQ198" s="2060"/>
      <c r="DR198" s="2060"/>
      <c r="DS198" s="2060"/>
      <c r="DT198" s="2060"/>
      <c r="DU198" s="2060"/>
      <c r="DV198" s="2060"/>
      <c r="DW198" s="2060"/>
      <c r="DX198" s="2060"/>
      <c r="DY198" s="2060"/>
      <c r="DZ198" s="2060"/>
      <c r="EA198" s="2060"/>
      <c r="EB198" s="2060"/>
      <c r="EC198" s="2060"/>
      <c r="ED198" s="2060"/>
      <c r="EE198" s="2060"/>
      <c r="EF198" s="2060"/>
      <c r="EG198" s="2060"/>
      <c r="EH198" s="2060"/>
      <c r="EI198" s="2060"/>
      <c r="EJ198" s="2060"/>
      <c r="EK198" s="2060"/>
      <c r="EL198" s="2060"/>
      <c r="EM198" s="2060"/>
      <c r="EN198" s="2060"/>
      <c r="EO198" s="2060"/>
      <c r="EP198" s="2060"/>
      <c r="EQ198" s="2060"/>
      <c r="ER198" s="2060"/>
      <c r="ES198" s="2060"/>
      <c r="ET198" s="2060"/>
      <c r="EU198" s="2060"/>
      <c r="EV198" s="2060"/>
      <c r="EW198" s="2060"/>
      <c r="EX198" s="2060"/>
      <c r="EY198" s="2060"/>
      <c r="EZ198" s="2060"/>
      <c r="FA198" s="2060"/>
      <c r="FB198" s="2060"/>
      <c r="FC198" s="2060"/>
      <c r="FD198" s="2060"/>
      <c r="FE198" s="2060"/>
      <c r="FF198" s="2060"/>
      <c r="FG198" s="2060"/>
      <c r="FH198" s="2060"/>
      <c r="FI198" s="2060"/>
      <c r="FJ198" s="2060"/>
      <c r="FK198" s="2060"/>
      <c r="FL198" s="2060"/>
      <c r="FM198" s="2060"/>
      <c r="FN198" s="2060"/>
      <c r="FO198" s="2060"/>
      <c r="FP198" s="2060"/>
      <c r="FQ198" s="2060"/>
      <c r="FR198" s="2060"/>
      <c r="FS198" s="2060"/>
      <c r="FT198" s="2060"/>
      <c r="FU198" s="2060"/>
      <c r="FV198" s="2060"/>
      <c r="FW198" s="2060"/>
      <c r="FX198" s="2060"/>
      <c r="FY198" s="2060"/>
      <c r="FZ198" s="2060"/>
      <c r="GA198" s="2060"/>
      <c r="GB198" s="2060"/>
      <c r="GC198" s="2060"/>
    </row>
    <row r="199" spans="1:185" s="1499" customFormat="1">
      <c r="A199" s="659"/>
      <c r="B199" s="659"/>
      <c r="C199" s="128"/>
      <c r="D199" s="779"/>
      <c r="E199" s="255" t="s">
        <v>1222</v>
      </c>
      <c r="F199" s="255"/>
      <c r="G199" s="1505"/>
      <c r="H199" s="642" t="str">
        <f>IFERROR(H196*(1+H197*(1-IF(ReleverTaxRate="Y",H198,0))),"n/a")</f>
        <v>n/a</v>
      </c>
      <c r="I199" s="2060"/>
      <c r="J199" s="1344" t="s">
        <v>1223</v>
      </c>
      <c r="K199" s="1344"/>
      <c r="L199" s="1344"/>
      <c r="M199" s="2081">
        <f>IFERROR((M196+M197)*(1-M198),Fail)</f>
        <v>3.2346599999999996E-2</v>
      </c>
      <c r="N199" s="2060"/>
      <c r="O199" s="1769" t="s">
        <v>1224</v>
      </c>
      <c r="P199" s="972" t="s">
        <v>1225</v>
      </c>
      <c r="Q199" s="2060"/>
      <c r="R199" s="2060"/>
      <c r="S199" s="2060"/>
      <c r="T199" s="2060"/>
      <c r="U199" s="2060"/>
      <c r="V199" s="2060"/>
      <c r="W199" s="128"/>
      <c r="X199" s="2060"/>
      <c r="Y199" s="2060"/>
      <c r="Z199" s="2060"/>
      <c r="AA199" s="2060"/>
      <c r="AB199" s="2060"/>
      <c r="AC199" s="2060"/>
      <c r="AD199" s="1004"/>
      <c r="AE199" s="2060"/>
      <c r="AF199" s="2060"/>
      <c r="AG199" s="2060"/>
      <c r="AH199" s="2060"/>
      <c r="AI199" s="2060"/>
      <c r="AJ199" s="2060"/>
      <c r="AK199" s="2060"/>
      <c r="AL199" s="2060"/>
      <c r="AM199" s="2060"/>
      <c r="AN199" s="2060"/>
      <c r="AO199" s="2060"/>
      <c r="AP199" s="2060"/>
      <c r="AQ199" s="2060"/>
      <c r="AR199" s="2060"/>
      <c r="AS199" s="2060"/>
      <c r="AT199" s="2060"/>
      <c r="AU199" s="2060"/>
      <c r="AV199" s="2060"/>
      <c r="AW199" s="2060"/>
      <c r="AX199" s="2060"/>
      <c r="AY199" s="2060"/>
      <c r="AZ199" s="2060"/>
      <c r="BA199" s="2060"/>
      <c r="BB199" s="2060"/>
      <c r="BC199" s="2060"/>
      <c r="BD199" s="2060"/>
      <c r="BE199" s="2060"/>
      <c r="BF199" s="2060"/>
      <c r="BG199" s="2060"/>
      <c r="BH199" s="2060"/>
      <c r="BI199" s="2060"/>
      <c r="BJ199" s="2060"/>
      <c r="BK199" s="2060"/>
      <c r="BL199" s="2060"/>
      <c r="BM199" s="2060"/>
      <c r="BN199" s="2060"/>
      <c r="BO199" s="2060"/>
      <c r="BP199" s="2060"/>
      <c r="BQ199" s="2060"/>
      <c r="BR199" s="2060"/>
      <c r="BS199" s="2060"/>
      <c r="BT199" s="2060"/>
      <c r="BU199" s="2060"/>
      <c r="BV199" s="2060"/>
      <c r="BW199" s="2060"/>
      <c r="BX199" s="2060"/>
      <c r="BY199" s="2060"/>
      <c r="BZ199" s="2060"/>
      <c r="CA199" s="2060"/>
      <c r="CB199" s="2060"/>
      <c r="CC199" s="2060"/>
      <c r="CD199" s="2060"/>
      <c r="CE199" s="2060"/>
      <c r="CF199" s="2060"/>
      <c r="CG199" s="2060"/>
      <c r="CH199" s="2060"/>
      <c r="CI199" s="2060"/>
      <c r="CJ199" s="2060"/>
      <c r="CK199" s="2060"/>
      <c r="CL199" s="2060"/>
      <c r="CM199" s="2060"/>
      <c r="CN199" s="2060"/>
      <c r="CO199" s="2060"/>
      <c r="CP199" s="2060"/>
      <c r="CQ199" s="2060"/>
      <c r="CR199" s="2060"/>
      <c r="CS199" s="2060"/>
      <c r="CT199" s="2060"/>
      <c r="CU199" s="2060"/>
      <c r="CV199" s="2060"/>
      <c r="CW199" s="2060"/>
      <c r="CX199" s="2060"/>
      <c r="CY199" s="2060"/>
      <c r="CZ199" s="2060"/>
      <c r="DA199" s="2060"/>
      <c r="DB199" s="2060"/>
      <c r="DC199" s="2060"/>
      <c r="DD199" s="2060"/>
      <c r="DE199" s="2060"/>
      <c r="DF199" s="2060"/>
      <c r="DG199" s="2060"/>
      <c r="DH199" s="2060"/>
      <c r="DI199" s="2060"/>
      <c r="DJ199" s="2060"/>
      <c r="DK199" s="2060"/>
      <c r="DL199" s="2060"/>
      <c r="DM199" s="2060"/>
      <c r="DN199" s="2060"/>
      <c r="DO199" s="2060"/>
      <c r="DP199" s="2060"/>
      <c r="DQ199" s="2060"/>
      <c r="DR199" s="2060"/>
      <c r="DS199" s="2060"/>
      <c r="DT199" s="2060"/>
      <c r="DU199" s="2060"/>
      <c r="DV199" s="2060"/>
      <c r="DW199" s="2060"/>
      <c r="DX199" s="2060"/>
      <c r="DY199" s="2060"/>
      <c r="DZ199" s="2060"/>
      <c r="EA199" s="2060"/>
      <c r="EB199" s="2060"/>
      <c r="EC199" s="2060"/>
      <c r="ED199" s="2060"/>
      <c r="EE199" s="2060"/>
      <c r="EF199" s="2060"/>
      <c r="EG199" s="2060"/>
      <c r="EH199" s="2060"/>
      <c r="EI199" s="2060"/>
      <c r="EJ199" s="2060"/>
      <c r="EK199" s="2060"/>
      <c r="EL199" s="2060"/>
      <c r="EM199" s="2060"/>
      <c r="EN199" s="2060"/>
      <c r="EO199" s="2060"/>
      <c r="EP199" s="2060"/>
      <c r="EQ199" s="2060"/>
      <c r="ER199" s="2060"/>
      <c r="ES199" s="2060"/>
      <c r="ET199" s="2060"/>
      <c r="EU199" s="2060"/>
      <c r="EV199" s="2060"/>
      <c r="EW199" s="2060"/>
      <c r="EX199" s="2060"/>
      <c r="EY199" s="2060"/>
      <c r="EZ199" s="2060"/>
      <c r="FA199" s="2060"/>
      <c r="FB199" s="2060"/>
      <c r="FC199" s="2060"/>
      <c r="FD199" s="2060"/>
      <c r="FE199" s="2060"/>
      <c r="FF199" s="2060"/>
      <c r="FG199" s="2060"/>
      <c r="FH199" s="2060"/>
      <c r="FI199" s="2060"/>
      <c r="FJ199" s="2060"/>
      <c r="FK199" s="2060"/>
      <c r="FL199" s="2060"/>
      <c r="FM199" s="2060"/>
      <c r="FN199" s="2060"/>
      <c r="FO199" s="2060"/>
      <c r="FP199" s="2060"/>
      <c r="FQ199" s="2060"/>
      <c r="FR199" s="2060"/>
      <c r="FS199" s="2060"/>
      <c r="FT199" s="2060"/>
      <c r="FU199" s="2060"/>
      <c r="FV199" s="2060"/>
      <c r="FW199" s="2060"/>
      <c r="FX199" s="2060"/>
      <c r="FY199" s="2060"/>
      <c r="FZ199" s="2060"/>
      <c r="GA199" s="2060"/>
      <c r="GB199" s="2060"/>
      <c r="GC199" s="2060"/>
    </row>
    <row r="200" spans="1:185" s="1499" customFormat="1">
      <c r="A200" s="659"/>
      <c r="B200" s="659"/>
      <c r="C200" s="128"/>
      <c r="D200" s="779"/>
      <c r="E200" s="255" t="s">
        <v>1226</v>
      </c>
      <c r="F200" s="255"/>
      <c r="G200" s="1578"/>
      <c r="H200" s="1">
        <f>$H$11</f>
        <v>2.7000000000000003E-2</v>
      </c>
      <c r="I200" s="2060"/>
      <c r="J200" s="1513"/>
      <c r="K200" s="1513"/>
      <c r="L200" s="1513"/>
      <c r="M200" s="1513"/>
      <c r="N200" s="2060"/>
      <c r="O200" s="1769" t="s">
        <v>1227</v>
      </c>
      <c r="P200" s="972" t="s">
        <v>1129</v>
      </c>
      <c r="Q200" s="2060"/>
      <c r="R200" s="2060"/>
      <c r="S200" s="2060"/>
      <c r="T200" s="2060"/>
      <c r="U200" s="2060"/>
      <c r="V200" s="2060"/>
      <c r="W200" s="128"/>
      <c r="X200" s="2060"/>
      <c r="Y200" s="2060"/>
      <c r="Z200" s="2060"/>
      <c r="AA200" s="2060"/>
      <c r="AB200" s="2060"/>
      <c r="AC200" s="2060"/>
      <c r="AD200" s="1004"/>
      <c r="AE200" s="2060"/>
      <c r="AF200" s="2060"/>
      <c r="AG200" s="2060"/>
      <c r="AH200" s="2060"/>
      <c r="AI200" s="2060"/>
      <c r="AJ200" s="2060"/>
      <c r="AK200" s="2060"/>
      <c r="AL200" s="2060"/>
      <c r="AM200" s="2060"/>
      <c r="AN200" s="2060"/>
      <c r="AO200" s="2060"/>
      <c r="AP200" s="2060"/>
      <c r="AQ200" s="2060"/>
      <c r="AR200" s="2060"/>
      <c r="AS200" s="2060"/>
      <c r="AT200" s="2060"/>
      <c r="AU200" s="2060"/>
      <c r="AV200" s="2060"/>
      <c r="AW200" s="2060"/>
      <c r="AX200" s="2060"/>
      <c r="AY200" s="2060"/>
      <c r="AZ200" s="2060"/>
      <c r="BA200" s="2060"/>
      <c r="BB200" s="2060"/>
      <c r="BC200" s="2060"/>
      <c r="BD200" s="2060"/>
      <c r="BE200" s="2060"/>
      <c r="BF200" s="2060"/>
      <c r="BG200" s="2060"/>
      <c r="BH200" s="2060"/>
      <c r="BI200" s="2060"/>
      <c r="BJ200" s="2060"/>
      <c r="BK200" s="2060"/>
      <c r="BL200" s="2060"/>
      <c r="BM200" s="2060"/>
      <c r="BN200" s="2060"/>
      <c r="BO200" s="2060"/>
      <c r="BP200" s="2060"/>
      <c r="BQ200" s="2060"/>
      <c r="BR200" s="2060"/>
      <c r="BS200" s="2060"/>
      <c r="BT200" s="2060"/>
      <c r="BU200" s="2060"/>
      <c r="BV200" s="2060"/>
      <c r="BW200" s="2060"/>
      <c r="BX200" s="2060"/>
      <c r="BY200" s="2060"/>
      <c r="BZ200" s="2060"/>
      <c r="CA200" s="2060"/>
      <c r="CB200" s="2060"/>
      <c r="CC200" s="2060"/>
      <c r="CD200" s="2060"/>
      <c r="CE200" s="2060"/>
      <c r="CF200" s="2060"/>
      <c r="CG200" s="2060"/>
      <c r="CH200" s="2060"/>
      <c r="CI200" s="2060"/>
      <c r="CJ200" s="2060"/>
      <c r="CK200" s="2060"/>
      <c r="CL200" s="2060"/>
      <c r="CM200" s="2060"/>
      <c r="CN200" s="2060"/>
      <c r="CO200" s="2060"/>
      <c r="CP200" s="2060"/>
      <c r="CQ200" s="2060"/>
      <c r="CR200" s="2060"/>
      <c r="CS200" s="2060"/>
      <c r="CT200" s="2060"/>
      <c r="CU200" s="2060"/>
      <c r="CV200" s="2060"/>
      <c r="CW200" s="2060"/>
      <c r="CX200" s="2060"/>
      <c r="CY200" s="2060"/>
      <c r="CZ200" s="2060"/>
      <c r="DA200" s="2060"/>
      <c r="DB200" s="2060"/>
      <c r="DC200" s="2060"/>
      <c r="DD200" s="2060"/>
      <c r="DE200" s="2060"/>
      <c r="DF200" s="2060"/>
      <c r="DG200" s="2060"/>
      <c r="DH200" s="2060"/>
      <c r="DI200" s="2060"/>
      <c r="DJ200" s="2060"/>
      <c r="DK200" s="2060"/>
      <c r="DL200" s="2060"/>
      <c r="DM200" s="2060"/>
      <c r="DN200" s="2060"/>
      <c r="DO200" s="2060"/>
      <c r="DP200" s="2060"/>
      <c r="DQ200" s="2060"/>
      <c r="DR200" s="2060"/>
      <c r="DS200" s="2060"/>
      <c r="DT200" s="2060"/>
      <c r="DU200" s="2060"/>
      <c r="DV200" s="2060"/>
      <c r="DW200" s="2060"/>
      <c r="DX200" s="2060"/>
      <c r="DY200" s="2060"/>
      <c r="DZ200" s="2060"/>
      <c r="EA200" s="2060"/>
      <c r="EB200" s="2060"/>
      <c r="EC200" s="2060"/>
      <c r="ED200" s="2060"/>
      <c r="EE200" s="2060"/>
      <c r="EF200" s="2060"/>
      <c r="EG200" s="2060"/>
      <c r="EH200" s="2060"/>
      <c r="EI200" s="2060"/>
      <c r="EJ200" s="2060"/>
      <c r="EK200" s="2060"/>
      <c r="EL200" s="2060"/>
      <c r="EM200" s="2060"/>
      <c r="EN200" s="2060"/>
      <c r="EO200" s="2060"/>
      <c r="EP200" s="2060"/>
      <c r="EQ200" s="2060"/>
      <c r="ER200" s="2060"/>
      <c r="ES200" s="2060"/>
      <c r="ET200" s="2060"/>
      <c r="EU200" s="2060"/>
      <c r="EV200" s="2060"/>
      <c r="EW200" s="2060"/>
      <c r="EX200" s="2060"/>
      <c r="EY200" s="2060"/>
      <c r="EZ200" s="2060"/>
      <c r="FA200" s="2060"/>
      <c r="FB200" s="2060"/>
      <c r="FC200" s="2060"/>
      <c r="FD200" s="2060"/>
      <c r="FE200" s="2060"/>
      <c r="FF200" s="2060"/>
      <c r="FG200" s="2060"/>
      <c r="FH200" s="2060"/>
      <c r="FI200" s="2060"/>
      <c r="FJ200" s="2060"/>
      <c r="FK200" s="2060"/>
      <c r="FL200" s="2060"/>
      <c r="FM200" s="2060"/>
      <c r="FN200" s="2060"/>
      <c r="FO200" s="2060"/>
      <c r="FP200" s="2060"/>
      <c r="FQ200" s="2060"/>
      <c r="FR200" s="2060"/>
      <c r="FS200" s="2060"/>
      <c r="FT200" s="2060"/>
      <c r="FU200" s="2060"/>
      <c r="FV200" s="2060"/>
      <c r="FW200" s="2060"/>
      <c r="FX200" s="2060"/>
      <c r="FY200" s="2060"/>
      <c r="FZ200" s="2060"/>
      <c r="GA200" s="2060"/>
      <c r="GB200" s="2060"/>
      <c r="GC200" s="2060"/>
    </row>
    <row r="201" spans="1:185" s="2060" customFormat="1">
      <c r="A201" s="659"/>
      <c r="B201" s="659"/>
      <c r="C201" s="128"/>
      <c r="D201" s="779"/>
      <c r="E201" s="255" t="s">
        <v>1228</v>
      </c>
      <c r="F201" s="255"/>
      <c r="G201" s="1578"/>
      <c r="H201" s="2234">
        <v>0</v>
      </c>
      <c r="J201" s="1513"/>
      <c r="K201" s="1513"/>
      <c r="L201" s="1513"/>
      <c r="M201" s="1513"/>
      <c r="O201" s="30" t="str">
        <f>"(g) Based on the estimated "&amp;INDEX('WACC and TIC Inputs'!$K$270:$K$272,MATCH($O$197,'WACC and TIC Inputs'!$J$270:$J$272,0))&amp;" composite "&amp;LEFT(O200,LEN(O200)-1)&amp;"-year "&amp;O199&amp;" "&amp;O198&amp;" bond yield as of "&amp;TEXT(Valuation_date,"d mmmm yyyy. ")&amp;"Source: Capital IQ."</f>
        <v>(g) Based on the estimated US composite 20-year BBB All Corporates bond yield as of 28 February 2017. Source: Capital IQ.</v>
      </c>
      <c r="P201" s="972"/>
      <c r="W201" s="128"/>
      <c r="AD201" s="1004"/>
    </row>
    <row r="202" spans="1:185" s="2060" customFormat="1">
      <c r="A202" s="659"/>
      <c r="B202" s="659"/>
      <c r="C202" s="128"/>
      <c r="D202" s="779"/>
      <c r="E202" s="255" t="s">
        <v>1229</v>
      </c>
      <c r="F202" s="255"/>
      <c r="G202" s="1578"/>
      <c r="H202" s="2234">
        <v>0</v>
      </c>
      <c r="J202" s="1513"/>
      <c r="K202" s="1513"/>
      <c r="L202" s="1513"/>
      <c r="M202" s="1513"/>
      <c r="O202" s="30"/>
      <c r="P202" s="972"/>
      <c r="W202" s="128"/>
      <c r="AD202" s="1004"/>
    </row>
    <row r="203" spans="1:185" s="1499" customFormat="1">
      <c r="A203" s="659"/>
      <c r="B203" s="659"/>
      <c r="C203" s="128"/>
      <c r="D203" s="779"/>
      <c r="E203" s="255" t="s">
        <v>1230</v>
      </c>
      <c r="F203" s="255"/>
      <c r="G203" s="2111" t="str">
        <f>IF(H203=0,"Please check the value to use==&gt;","")</f>
        <v/>
      </c>
      <c r="H203" s="2234">
        <v>7.0000000000000007E-2</v>
      </c>
      <c r="I203" s="2060"/>
      <c r="J203" s="1506"/>
      <c r="K203" s="1506"/>
      <c r="L203" s="1506"/>
      <c r="M203" s="1506"/>
      <c r="N203" s="2060"/>
      <c r="O203" s="1506"/>
      <c r="P203" s="1506"/>
      <c r="Q203" s="2060"/>
      <c r="R203" s="2060"/>
      <c r="S203" s="2060"/>
      <c r="T203" s="2060"/>
      <c r="U203" s="2060"/>
      <c r="V203" s="2060"/>
      <c r="W203" s="128"/>
      <c r="X203" s="2060"/>
      <c r="Y203" s="2060"/>
      <c r="Z203" s="2060"/>
      <c r="AA203" s="2060"/>
      <c r="AB203" s="2060"/>
      <c r="AC203" s="2060"/>
      <c r="AD203" s="1004"/>
      <c r="AE203" s="2060"/>
      <c r="AF203" s="2060"/>
      <c r="AG203" s="2060"/>
      <c r="AH203" s="2060"/>
      <c r="AI203" s="2060"/>
      <c r="AJ203" s="2060"/>
      <c r="AK203" s="2060"/>
      <c r="AL203" s="2060"/>
      <c r="AM203" s="2060"/>
      <c r="AN203" s="2060"/>
      <c r="AO203" s="2060"/>
      <c r="AP203" s="2060"/>
      <c r="AQ203" s="2060"/>
      <c r="AR203" s="2060"/>
      <c r="AS203" s="2060"/>
      <c r="AT203" s="2060"/>
      <c r="AU203" s="2060"/>
      <c r="AV203" s="2060"/>
      <c r="AW203" s="2060"/>
      <c r="AX203" s="2060"/>
      <c r="AY203" s="2060"/>
      <c r="AZ203" s="2060"/>
      <c r="BA203" s="2060"/>
      <c r="BB203" s="2060"/>
      <c r="BC203" s="2060"/>
      <c r="BD203" s="2060"/>
      <c r="BE203" s="2060"/>
      <c r="BF203" s="2060"/>
      <c r="BG203" s="2060"/>
      <c r="BH203" s="2060"/>
      <c r="BI203" s="2060"/>
      <c r="BJ203" s="2060"/>
      <c r="BK203" s="2060"/>
      <c r="BL203" s="2060"/>
      <c r="BM203" s="2060"/>
      <c r="BN203" s="2060"/>
      <c r="BO203" s="2060"/>
      <c r="BP203" s="2060"/>
      <c r="BQ203" s="2060"/>
      <c r="BR203" s="2060"/>
      <c r="BS203" s="2060"/>
      <c r="BT203" s="2060"/>
      <c r="BU203" s="2060"/>
      <c r="BV203" s="2060"/>
      <c r="BW203" s="2060"/>
      <c r="BX203" s="2060"/>
      <c r="BY203" s="2060"/>
      <c r="BZ203" s="2060"/>
      <c r="CA203" s="2060"/>
      <c r="CB203" s="2060"/>
      <c r="CC203" s="2060"/>
      <c r="CD203" s="2060"/>
      <c r="CE203" s="2060"/>
      <c r="CF203" s="2060"/>
      <c r="CG203" s="2060"/>
      <c r="CH203" s="2060"/>
      <c r="CI203" s="2060"/>
      <c r="CJ203" s="2060"/>
      <c r="CK203" s="2060"/>
      <c r="CL203" s="2060"/>
      <c r="CM203" s="2060"/>
      <c r="CN203" s="2060"/>
      <c r="CO203" s="2060"/>
      <c r="CP203" s="2060"/>
      <c r="CQ203" s="2060"/>
      <c r="CR203" s="2060"/>
      <c r="CS203" s="2060"/>
      <c r="CT203" s="2060"/>
      <c r="CU203" s="2060"/>
      <c r="CV203" s="2060"/>
      <c r="CW203" s="2060"/>
      <c r="CX203" s="2060"/>
      <c r="CY203" s="2060"/>
      <c r="CZ203" s="2060"/>
      <c r="DA203" s="2060"/>
      <c r="DB203" s="2060"/>
      <c r="DC203" s="2060"/>
      <c r="DD203" s="2060"/>
      <c r="DE203" s="2060"/>
      <c r="DF203" s="2060"/>
      <c r="DG203" s="2060"/>
      <c r="DH203" s="2060"/>
      <c r="DI203" s="2060"/>
      <c r="DJ203" s="2060"/>
      <c r="DK203" s="2060"/>
      <c r="DL203" s="2060"/>
      <c r="DM203" s="2060"/>
      <c r="DN203" s="2060"/>
      <c r="DO203" s="2060"/>
      <c r="DP203" s="2060"/>
      <c r="DQ203" s="2060"/>
      <c r="DR203" s="2060"/>
      <c r="DS203" s="2060"/>
      <c r="DT203" s="2060"/>
      <c r="DU203" s="2060"/>
      <c r="DV203" s="2060"/>
      <c r="DW203" s="2060"/>
      <c r="DX203" s="2060"/>
      <c r="DY203" s="2060"/>
      <c r="DZ203" s="2060"/>
      <c r="EA203" s="2060"/>
      <c r="EB203" s="2060"/>
      <c r="EC203" s="2060"/>
      <c r="ED203" s="2060"/>
      <c r="EE203" s="2060"/>
      <c r="EF203" s="2060"/>
      <c r="EG203" s="2060"/>
      <c r="EH203" s="2060"/>
      <c r="EI203" s="2060"/>
      <c r="EJ203" s="2060"/>
      <c r="EK203" s="2060"/>
      <c r="EL203" s="2060"/>
      <c r="EM203" s="2060"/>
      <c r="EN203" s="2060"/>
      <c r="EO203" s="2060"/>
      <c r="EP203" s="2060"/>
      <c r="EQ203" s="2060"/>
      <c r="ER203" s="2060"/>
      <c r="ES203" s="2060"/>
      <c r="ET203" s="2060"/>
      <c r="EU203" s="2060"/>
      <c r="EV203" s="2060"/>
      <c r="EW203" s="2060"/>
      <c r="EX203" s="2060"/>
      <c r="EY203" s="2060"/>
      <c r="EZ203" s="2060"/>
      <c r="FA203" s="2060"/>
      <c r="FB203" s="2060"/>
      <c r="FC203" s="2060"/>
      <c r="FD203" s="2060"/>
      <c r="FE203" s="2060"/>
      <c r="FF203" s="2060"/>
      <c r="FG203" s="2060"/>
      <c r="FH203" s="2060"/>
      <c r="FI203" s="2060"/>
      <c r="FJ203" s="2060"/>
      <c r="FK203" s="2060"/>
      <c r="FL203" s="2060"/>
      <c r="FM203" s="2060"/>
      <c r="FN203" s="2060"/>
      <c r="FO203" s="2060"/>
      <c r="FP203" s="2060"/>
      <c r="FQ203" s="2060"/>
      <c r="FR203" s="2060"/>
      <c r="FS203" s="2060"/>
      <c r="FT203" s="2060"/>
      <c r="FU203" s="2060"/>
      <c r="FV203" s="2060"/>
      <c r="FW203" s="2060"/>
      <c r="FX203" s="2060"/>
      <c r="FY203" s="2060"/>
      <c r="FZ203" s="2060"/>
      <c r="GA203" s="2060"/>
      <c r="GB203" s="2060"/>
      <c r="GC203" s="2060"/>
    </row>
    <row r="204" spans="1:185" s="1499" customFormat="1">
      <c r="A204" s="659"/>
      <c r="B204" s="659"/>
      <c r="C204" s="128"/>
      <c r="D204" s="779"/>
      <c r="E204" s="255" t="s">
        <v>1231</v>
      </c>
      <c r="F204" s="255"/>
      <c r="G204" s="1505"/>
      <c r="H204" s="2234">
        <v>0</v>
      </c>
      <c r="I204" s="2060"/>
      <c r="J204" s="1177" t="s">
        <v>1232</v>
      </c>
      <c r="K204" s="1178"/>
      <c r="L204" s="1178"/>
      <c r="M204" s="1178"/>
      <c r="N204" s="2060"/>
      <c r="O204" s="2060"/>
      <c r="P204" s="1506"/>
      <c r="Q204" s="2060"/>
      <c r="R204" s="2060"/>
      <c r="S204" s="2060"/>
      <c r="T204" s="2060"/>
      <c r="U204" s="2060"/>
      <c r="V204" s="2060"/>
      <c r="W204" s="128"/>
      <c r="X204" s="2060"/>
      <c r="Y204" s="2060"/>
      <c r="Z204" s="2060"/>
      <c r="AA204" s="2060"/>
      <c r="AB204" s="2060"/>
      <c r="AC204" s="2060"/>
      <c r="AD204" s="1004"/>
      <c r="AE204" s="2060"/>
      <c r="AF204" s="2060"/>
      <c r="AG204" s="2060"/>
      <c r="AH204" s="2060"/>
      <c r="AI204" s="2060"/>
      <c r="AJ204" s="2060"/>
      <c r="AK204" s="2060"/>
      <c r="AL204" s="2060"/>
      <c r="AM204" s="2060"/>
      <c r="AN204" s="2060"/>
      <c r="AO204" s="2060"/>
      <c r="AP204" s="2060"/>
      <c r="AQ204" s="2060"/>
      <c r="AR204" s="2060"/>
      <c r="AS204" s="2060"/>
      <c r="AT204" s="2060"/>
      <c r="AU204" s="2060"/>
      <c r="AV204" s="2060"/>
      <c r="AW204" s="2060"/>
      <c r="AX204" s="2060"/>
      <c r="AY204" s="2060"/>
      <c r="AZ204" s="2060"/>
      <c r="BA204" s="2060"/>
      <c r="BB204" s="2060"/>
      <c r="BC204" s="2060"/>
      <c r="BD204" s="2060"/>
      <c r="BE204" s="2060"/>
      <c r="BF204" s="2060"/>
      <c r="BG204" s="2060"/>
      <c r="BH204" s="2060"/>
      <c r="BI204" s="2060"/>
      <c r="BJ204" s="2060"/>
      <c r="BK204" s="2060"/>
      <c r="BL204" s="2060"/>
      <c r="BM204" s="2060"/>
      <c r="BN204" s="2060"/>
      <c r="BO204" s="2060"/>
      <c r="BP204" s="2060"/>
      <c r="BQ204" s="2060"/>
      <c r="BR204" s="2060"/>
      <c r="BS204" s="2060"/>
      <c r="BT204" s="2060"/>
      <c r="BU204" s="2060"/>
      <c r="BV204" s="2060"/>
      <c r="BW204" s="2060"/>
      <c r="BX204" s="2060"/>
      <c r="BY204" s="2060"/>
      <c r="BZ204" s="2060"/>
      <c r="CA204" s="2060"/>
      <c r="CB204" s="2060"/>
      <c r="CC204" s="2060"/>
      <c r="CD204" s="2060"/>
      <c r="CE204" s="2060"/>
      <c r="CF204" s="2060"/>
      <c r="CG204" s="2060"/>
      <c r="CH204" s="2060"/>
      <c r="CI204" s="2060"/>
      <c r="CJ204" s="2060"/>
      <c r="CK204" s="2060"/>
      <c r="CL204" s="2060"/>
      <c r="CM204" s="2060"/>
      <c r="CN204" s="2060"/>
      <c r="CO204" s="2060"/>
      <c r="CP204" s="2060"/>
      <c r="CQ204" s="2060"/>
      <c r="CR204" s="2060"/>
      <c r="CS204" s="2060"/>
      <c r="CT204" s="2060"/>
      <c r="CU204" s="2060"/>
      <c r="CV204" s="2060"/>
      <c r="CW204" s="2060"/>
      <c r="CX204" s="2060"/>
      <c r="CY204" s="2060"/>
      <c r="CZ204" s="2060"/>
      <c r="DA204" s="2060"/>
      <c r="DB204" s="2060"/>
      <c r="DC204" s="2060"/>
      <c r="DD204" s="2060"/>
      <c r="DE204" s="2060"/>
      <c r="DF204" s="2060"/>
      <c r="DG204" s="2060"/>
      <c r="DH204" s="2060"/>
      <c r="DI204" s="2060"/>
      <c r="DJ204" s="2060"/>
      <c r="DK204" s="2060"/>
      <c r="DL204" s="2060"/>
      <c r="DM204" s="2060"/>
      <c r="DN204" s="2060"/>
      <c r="DO204" s="2060"/>
      <c r="DP204" s="2060"/>
      <c r="DQ204" s="2060"/>
      <c r="DR204" s="2060"/>
      <c r="DS204" s="2060"/>
      <c r="DT204" s="2060"/>
      <c r="DU204" s="2060"/>
      <c r="DV204" s="2060"/>
      <c r="DW204" s="2060"/>
      <c r="DX204" s="2060"/>
      <c r="DY204" s="2060"/>
      <c r="DZ204" s="2060"/>
      <c r="EA204" s="2060"/>
      <c r="EB204" s="2060"/>
      <c r="EC204" s="2060"/>
      <c r="ED204" s="2060"/>
      <c r="EE204" s="2060"/>
      <c r="EF204" s="2060"/>
      <c r="EG204" s="2060"/>
      <c r="EH204" s="2060"/>
      <c r="EI204" s="2060"/>
      <c r="EJ204" s="2060"/>
      <c r="EK204" s="2060"/>
      <c r="EL204" s="2060"/>
      <c r="EM204" s="2060"/>
      <c r="EN204" s="2060"/>
      <c r="EO204" s="2060"/>
      <c r="EP204" s="2060"/>
      <c r="EQ204" s="2060"/>
      <c r="ER204" s="2060"/>
      <c r="ES204" s="2060"/>
      <c r="ET204" s="2060"/>
      <c r="EU204" s="2060"/>
      <c r="EV204" s="2060"/>
      <c r="EW204" s="2060"/>
      <c r="EX204" s="2060"/>
      <c r="EY204" s="2060"/>
      <c r="EZ204" s="2060"/>
      <c r="FA204" s="2060"/>
      <c r="FB204" s="2060"/>
      <c r="FC204" s="2060"/>
      <c r="FD204" s="2060"/>
      <c r="FE204" s="2060"/>
      <c r="FF204" s="2060"/>
      <c r="FG204" s="2060"/>
      <c r="FH204" s="2060"/>
      <c r="FI204" s="2060"/>
      <c r="FJ204" s="2060"/>
      <c r="FK204" s="2060"/>
      <c r="FL204" s="2060"/>
      <c r="FM204" s="2060"/>
      <c r="FN204" s="2060"/>
      <c r="FO204" s="2060"/>
      <c r="FP204" s="2060"/>
      <c r="FQ204" s="2060"/>
      <c r="FR204" s="2060"/>
      <c r="FS204" s="2060"/>
      <c r="FT204" s="2060"/>
      <c r="FU204" s="2060"/>
      <c r="FV204" s="2060"/>
      <c r="FW204" s="2060"/>
      <c r="FX204" s="2060"/>
      <c r="FY204" s="2060"/>
      <c r="FZ204" s="2060"/>
      <c r="GA204" s="2060"/>
      <c r="GB204" s="2060"/>
      <c r="GC204" s="2060"/>
    </row>
    <row r="205" spans="1:185" s="1499" customFormat="1">
      <c r="A205" s="659"/>
      <c r="B205" s="659"/>
      <c r="C205" s="128"/>
      <c r="D205" s="779"/>
      <c r="E205" s="255" t="s">
        <v>1233</v>
      </c>
      <c r="F205" s="255"/>
      <c r="G205" s="1505"/>
      <c r="H205" s="2234">
        <v>0</v>
      </c>
      <c r="I205" s="2060"/>
      <c r="J205" s="255" t="s">
        <v>1234</v>
      </c>
      <c r="K205" s="1364">
        <f>IFERROR(H197/(1+H197),0)</f>
        <v>0</v>
      </c>
      <c r="L205" s="1364">
        <f>IF(M199=Fail,0,M199)</f>
        <v>3.2346599999999996E-2</v>
      </c>
      <c r="M205" s="1726">
        <f>K205*L205</f>
        <v>0</v>
      </c>
      <c r="N205" s="2060"/>
      <c r="O205" s="2060"/>
      <c r="P205" s="1506"/>
      <c r="Q205" s="2060"/>
      <c r="R205" s="2060"/>
      <c r="S205" s="2060"/>
      <c r="T205" s="2060"/>
      <c r="U205" s="2060"/>
      <c r="V205" s="2060"/>
      <c r="W205" s="128"/>
      <c r="X205" s="2060"/>
      <c r="Y205" s="2060"/>
      <c r="Z205" s="2060"/>
      <c r="AA205" s="2060"/>
      <c r="AB205" s="2060"/>
      <c r="AC205" s="2060"/>
      <c r="AD205" s="1004"/>
      <c r="AE205" s="2060"/>
      <c r="AF205" s="2060"/>
      <c r="AG205" s="2060"/>
      <c r="AH205" s="2060"/>
      <c r="AI205" s="2060"/>
      <c r="AJ205" s="2060"/>
      <c r="AK205" s="2060"/>
      <c r="AL205" s="2060"/>
      <c r="AM205" s="2060"/>
      <c r="AN205" s="2060"/>
      <c r="AO205" s="2060"/>
      <c r="AP205" s="2060"/>
      <c r="AQ205" s="2060"/>
      <c r="AR205" s="2060"/>
      <c r="AS205" s="2060"/>
      <c r="AT205" s="2060"/>
      <c r="AU205" s="2060"/>
      <c r="AV205" s="2060"/>
      <c r="AW205" s="2060"/>
      <c r="AX205" s="2060"/>
      <c r="AY205" s="2060"/>
      <c r="AZ205" s="2060"/>
      <c r="BA205" s="2060"/>
      <c r="BB205" s="2060"/>
      <c r="BC205" s="2060"/>
      <c r="BD205" s="2060"/>
      <c r="BE205" s="2060"/>
      <c r="BF205" s="2060"/>
      <c r="BG205" s="2060"/>
      <c r="BH205" s="2060"/>
      <c r="BI205" s="2060"/>
      <c r="BJ205" s="2060"/>
      <c r="BK205" s="2060"/>
      <c r="BL205" s="2060"/>
      <c r="BM205" s="2060"/>
      <c r="BN205" s="2060"/>
      <c r="BO205" s="2060"/>
      <c r="BP205" s="2060"/>
      <c r="BQ205" s="2060"/>
      <c r="BR205" s="2060"/>
      <c r="BS205" s="2060"/>
      <c r="BT205" s="2060"/>
      <c r="BU205" s="2060"/>
      <c r="BV205" s="2060"/>
      <c r="BW205" s="2060"/>
      <c r="BX205" s="2060"/>
      <c r="BY205" s="2060"/>
      <c r="BZ205" s="2060"/>
      <c r="CA205" s="2060"/>
      <c r="CB205" s="2060"/>
      <c r="CC205" s="2060"/>
      <c r="CD205" s="2060"/>
      <c r="CE205" s="2060"/>
      <c r="CF205" s="2060"/>
      <c r="CG205" s="2060"/>
      <c r="CH205" s="2060"/>
      <c r="CI205" s="2060"/>
      <c r="CJ205" s="2060"/>
      <c r="CK205" s="2060"/>
      <c r="CL205" s="2060"/>
      <c r="CM205" s="2060"/>
      <c r="CN205" s="2060"/>
      <c r="CO205" s="2060"/>
      <c r="CP205" s="2060"/>
      <c r="CQ205" s="2060"/>
      <c r="CR205" s="2060"/>
      <c r="CS205" s="2060"/>
      <c r="CT205" s="2060"/>
      <c r="CU205" s="2060"/>
      <c r="CV205" s="2060"/>
      <c r="CW205" s="2060"/>
      <c r="CX205" s="2060"/>
      <c r="CY205" s="2060"/>
      <c r="CZ205" s="2060"/>
      <c r="DA205" s="2060"/>
      <c r="DB205" s="2060"/>
      <c r="DC205" s="2060"/>
      <c r="DD205" s="2060"/>
      <c r="DE205" s="2060"/>
      <c r="DF205" s="2060"/>
      <c r="DG205" s="2060"/>
      <c r="DH205" s="2060"/>
      <c r="DI205" s="2060"/>
      <c r="DJ205" s="2060"/>
      <c r="DK205" s="2060"/>
      <c r="DL205" s="2060"/>
      <c r="DM205" s="2060"/>
      <c r="DN205" s="2060"/>
      <c r="DO205" s="2060"/>
      <c r="DP205" s="2060"/>
      <c r="DQ205" s="2060"/>
      <c r="DR205" s="2060"/>
      <c r="DS205" s="2060"/>
      <c r="DT205" s="2060"/>
      <c r="DU205" s="2060"/>
      <c r="DV205" s="2060"/>
      <c r="DW205" s="2060"/>
      <c r="DX205" s="2060"/>
      <c r="DY205" s="2060"/>
      <c r="DZ205" s="2060"/>
      <c r="EA205" s="2060"/>
      <c r="EB205" s="2060"/>
      <c r="EC205" s="2060"/>
      <c r="ED205" s="2060"/>
      <c r="EE205" s="2060"/>
      <c r="EF205" s="2060"/>
      <c r="EG205" s="2060"/>
      <c r="EH205" s="2060"/>
      <c r="EI205" s="2060"/>
      <c r="EJ205" s="2060"/>
      <c r="EK205" s="2060"/>
      <c r="EL205" s="2060"/>
      <c r="EM205" s="2060"/>
      <c r="EN205" s="2060"/>
      <c r="EO205" s="2060"/>
      <c r="EP205" s="2060"/>
      <c r="EQ205" s="2060"/>
      <c r="ER205" s="2060"/>
      <c r="ES205" s="2060"/>
      <c r="ET205" s="2060"/>
      <c r="EU205" s="2060"/>
      <c r="EV205" s="2060"/>
      <c r="EW205" s="2060"/>
      <c r="EX205" s="2060"/>
      <c r="EY205" s="2060"/>
      <c r="EZ205" s="2060"/>
      <c r="FA205" s="2060"/>
      <c r="FB205" s="2060"/>
      <c r="FC205" s="2060"/>
      <c r="FD205" s="2060"/>
      <c r="FE205" s="2060"/>
      <c r="FF205" s="2060"/>
      <c r="FG205" s="2060"/>
      <c r="FH205" s="2060"/>
      <c r="FI205" s="2060"/>
      <c r="FJ205" s="2060"/>
      <c r="FK205" s="2060"/>
      <c r="FL205" s="2060"/>
      <c r="FM205" s="2060"/>
      <c r="FN205" s="2060"/>
      <c r="FO205" s="2060"/>
      <c r="FP205" s="2060"/>
      <c r="FQ205" s="2060"/>
      <c r="FR205" s="2060"/>
      <c r="FS205" s="2060"/>
      <c r="FT205" s="2060"/>
      <c r="FU205" s="2060"/>
      <c r="FV205" s="2060"/>
      <c r="FW205" s="2060"/>
      <c r="FX205" s="2060"/>
      <c r="FY205" s="2060"/>
      <c r="FZ205" s="2060"/>
      <c r="GA205" s="2060"/>
      <c r="GB205" s="2060"/>
      <c r="GC205" s="2060"/>
    </row>
    <row r="206" spans="1:185" s="1499" customFormat="1">
      <c r="A206" s="659"/>
      <c r="B206" s="659"/>
      <c r="C206" s="128"/>
      <c r="D206" s="779"/>
      <c r="E206" s="255" t="s">
        <v>1235</v>
      </c>
      <c r="F206" s="255"/>
      <c r="G206" s="1505"/>
      <c r="H206" s="1726">
        <f>IFERROR(IF(SubjMktValue=0,0,VLOOKUP(SubjMktValue,$G$253:$M$263,7,TRUE)),0)</f>
        <v>0</v>
      </c>
      <c r="I206" s="2060"/>
      <c r="J206" s="255" t="s">
        <v>1236</v>
      </c>
      <c r="K206" s="1364">
        <f>1-K205</f>
        <v>1</v>
      </c>
      <c r="L206" s="1364" t="str">
        <f>H207</f>
        <v>n/a</v>
      </c>
      <c r="M206" s="1726" t="str">
        <f>IFERROR(K206*L206,"n/a")</f>
        <v>n/a</v>
      </c>
      <c r="N206" s="2060"/>
      <c r="O206" s="2060"/>
      <c r="P206" s="2060"/>
      <c r="Q206" s="2060"/>
      <c r="R206" s="2060"/>
      <c r="S206" s="2060"/>
      <c r="T206" s="2060"/>
      <c r="U206" s="2060"/>
      <c r="V206" s="2060"/>
      <c r="W206" s="128"/>
      <c r="X206" s="2060"/>
      <c r="Y206" s="2060"/>
      <c r="Z206" s="2060"/>
      <c r="AA206" s="2060"/>
      <c r="AB206" s="2060"/>
      <c r="AC206" s="2060"/>
      <c r="AD206" s="1004"/>
      <c r="AE206" s="2060"/>
      <c r="AF206" s="2060"/>
      <c r="AG206" s="2060"/>
      <c r="AH206" s="2060"/>
      <c r="AI206" s="2060"/>
      <c r="AJ206" s="2060"/>
      <c r="AK206" s="2060"/>
      <c r="AL206" s="2060"/>
      <c r="AM206" s="2060"/>
      <c r="AN206" s="2060"/>
      <c r="AO206" s="2060"/>
      <c r="AP206" s="2060"/>
      <c r="AQ206" s="2060"/>
      <c r="AR206" s="2060"/>
      <c r="AS206" s="2060"/>
      <c r="AT206" s="2060"/>
      <c r="AU206" s="2060"/>
      <c r="AV206" s="2060"/>
      <c r="AW206" s="2060"/>
      <c r="AX206" s="2060"/>
      <c r="AY206" s="2060"/>
      <c r="AZ206" s="2060"/>
      <c r="BA206" s="2060"/>
      <c r="BB206" s="2060"/>
      <c r="BC206" s="2060"/>
      <c r="BD206" s="2060"/>
      <c r="BE206" s="2060"/>
      <c r="BF206" s="2060"/>
      <c r="BG206" s="2060"/>
      <c r="BH206" s="2060"/>
      <c r="BI206" s="2060"/>
      <c r="BJ206" s="2060"/>
      <c r="BK206" s="2060"/>
      <c r="BL206" s="2060"/>
      <c r="BM206" s="2060"/>
      <c r="BN206" s="2060"/>
      <c r="BO206" s="2060"/>
      <c r="BP206" s="2060"/>
      <c r="BQ206" s="2060"/>
      <c r="BR206" s="2060"/>
      <c r="BS206" s="2060"/>
      <c r="BT206" s="2060"/>
      <c r="BU206" s="2060"/>
      <c r="BV206" s="2060"/>
      <c r="BW206" s="2060"/>
      <c r="BX206" s="2060"/>
      <c r="BY206" s="2060"/>
      <c r="BZ206" s="2060"/>
      <c r="CA206" s="2060"/>
      <c r="CB206" s="2060"/>
      <c r="CC206" s="2060"/>
      <c r="CD206" s="2060"/>
      <c r="CE206" s="2060"/>
      <c r="CF206" s="2060"/>
      <c r="CG206" s="2060"/>
      <c r="CH206" s="2060"/>
      <c r="CI206" s="2060"/>
      <c r="CJ206" s="2060"/>
      <c r="CK206" s="2060"/>
      <c r="CL206" s="2060"/>
      <c r="CM206" s="2060"/>
      <c r="CN206" s="2060"/>
      <c r="CO206" s="2060"/>
      <c r="CP206" s="2060"/>
      <c r="CQ206" s="2060"/>
      <c r="CR206" s="2060"/>
      <c r="CS206" s="2060"/>
      <c r="CT206" s="2060"/>
      <c r="CU206" s="2060"/>
      <c r="CV206" s="2060"/>
      <c r="CW206" s="2060"/>
      <c r="CX206" s="2060"/>
      <c r="CY206" s="2060"/>
      <c r="CZ206" s="2060"/>
      <c r="DA206" s="2060"/>
      <c r="DB206" s="2060"/>
      <c r="DC206" s="2060"/>
      <c r="DD206" s="2060"/>
      <c r="DE206" s="2060"/>
      <c r="DF206" s="2060"/>
      <c r="DG206" s="2060"/>
      <c r="DH206" s="2060"/>
      <c r="DI206" s="2060"/>
      <c r="DJ206" s="2060"/>
      <c r="DK206" s="2060"/>
      <c r="DL206" s="2060"/>
      <c r="DM206" s="2060"/>
      <c r="DN206" s="2060"/>
      <c r="DO206" s="2060"/>
      <c r="DP206" s="2060"/>
      <c r="DQ206" s="2060"/>
      <c r="DR206" s="2060"/>
      <c r="DS206" s="2060"/>
      <c r="DT206" s="2060"/>
      <c r="DU206" s="2060"/>
      <c r="DV206" s="2060"/>
      <c r="DW206" s="2060"/>
      <c r="DX206" s="2060"/>
      <c r="DY206" s="2060"/>
      <c r="DZ206" s="2060"/>
      <c r="EA206" s="2060"/>
      <c r="EB206" s="2060"/>
      <c r="EC206" s="2060"/>
      <c r="ED206" s="2060"/>
      <c r="EE206" s="2060"/>
      <c r="EF206" s="2060"/>
      <c r="EG206" s="2060"/>
      <c r="EH206" s="2060"/>
      <c r="EI206" s="2060"/>
      <c r="EJ206" s="2060"/>
      <c r="EK206" s="2060"/>
      <c r="EL206" s="2060"/>
      <c r="EM206" s="2060"/>
      <c r="EN206" s="2060"/>
      <c r="EO206" s="2060"/>
      <c r="EP206" s="2060"/>
      <c r="EQ206" s="2060"/>
      <c r="ER206" s="2060"/>
      <c r="ES206" s="2060"/>
      <c r="ET206" s="2060"/>
      <c r="EU206" s="2060"/>
      <c r="EV206" s="2060"/>
      <c r="EW206" s="2060"/>
      <c r="EX206" s="2060"/>
      <c r="EY206" s="2060"/>
      <c r="EZ206" s="2060"/>
      <c r="FA206" s="2060"/>
      <c r="FB206" s="2060"/>
      <c r="FC206" s="2060"/>
      <c r="FD206" s="2060"/>
      <c r="FE206" s="2060"/>
      <c r="FF206" s="2060"/>
      <c r="FG206" s="2060"/>
      <c r="FH206" s="2060"/>
      <c r="FI206" s="2060"/>
      <c r="FJ206" s="2060"/>
      <c r="FK206" s="2060"/>
      <c r="FL206" s="2060"/>
      <c r="FM206" s="2060"/>
      <c r="FN206" s="2060"/>
      <c r="FO206" s="2060"/>
      <c r="FP206" s="2060"/>
      <c r="FQ206" s="2060"/>
      <c r="FR206" s="2060"/>
      <c r="FS206" s="2060"/>
      <c r="FT206" s="2060"/>
      <c r="FU206" s="2060"/>
      <c r="FV206" s="2060"/>
      <c r="FW206" s="2060"/>
      <c r="FX206" s="2060"/>
      <c r="FY206" s="2060"/>
      <c r="FZ206" s="2060"/>
      <c r="GA206" s="2060"/>
      <c r="GB206" s="2060"/>
      <c r="GC206" s="2060"/>
    </row>
    <row r="207" spans="1:185" s="1499" customFormat="1">
      <c r="A207" s="659"/>
      <c r="B207" s="659"/>
      <c r="C207" s="128"/>
      <c r="D207" s="779"/>
      <c r="E207" s="1344" t="s">
        <v>1237</v>
      </c>
      <c r="F207" s="1344"/>
      <c r="G207" s="1076"/>
      <c r="H207" s="1725" t="str">
        <f>IFERROR(SUM(H200:H202)+(H199*H203)+H204+H205+H206,"n/a")</f>
        <v>n/a</v>
      </c>
      <c r="I207" s="2060"/>
      <c r="J207" s="1075" t="s">
        <v>1238</v>
      </c>
      <c r="K207" s="1075"/>
      <c r="L207" s="1075"/>
      <c r="M207" s="1728">
        <f>SUM(M205:M206)</f>
        <v>0</v>
      </c>
      <c r="N207" s="2060"/>
      <c r="O207" s="1506"/>
      <c r="P207" s="2060"/>
      <c r="Q207" s="2060"/>
      <c r="R207" s="2060"/>
      <c r="S207" s="2060"/>
      <c r="T207" s="2060"/>
      <c r="U207" s="2060"/>
      <c r="V207" s="2060"/>
      <c r="W207" s="128"/>
      <c r="X207" s="2060"/>
      <c r="Y207" s="2060"/>
      <c r="Z207" s="2060"/>
      <c r="AA207" s="2060"/>
      <c r="AB207" s="2060"/>
      <c r="AC207" s="2060"/>
      <c r="AD207" s="1004"/>
      <c r="AE207" s="2060"/>
      <c r="AF207" s="2060"/>
      <c r="AG207" s="2060"/>
      <c r="AH207" s="2060"/>
      <c r="AI207" s="2060"/>
      <c r="AJ207" s="2060"/>
      <c r="AK207" s="2060"/>
      <c r="AL207" s="2060"/>
      <c r="AM207" s="2060"/>
      <c r="AN207" s="2060"/>
      <c r="AO207" s="2060"/>
      <c r="AP207" s="2060"/>
      <c r="AQ207" s="2060"/>
      <c r="AR207" s="2060"/>
      <c r="AS207" s="2060"/>
      <c r="AT207" s="2060"/>
      <c r="AU207" s="2060"/>
      <c r="AV207" s="2060"/>
      <c r="AW207" s="2060"/>
      <c r="AX207" s="2060"/>
      <c r="AY207" s="2060"/>
      <c r="AZ207" s="2060"/>
      <c r="BA207" s="2060"/>
      <c r="BB207" s="2060"/>
      <c r="BC207" s="2060"/>
      <c r="BD207" s="2060"/>
      <c r="BE207" s="2060"/>
      <c r="BF207" s="2060"/>
      <c r="BG207" s="2060"/>
      <c r="BH207" s="2060"/>
      <c r="BI207" s="2060"/>
      <c r="BJ207" s="2060"/>
      <c r="BK207" s="2060"/>
      <c r="BL207" s="2060"/>
      <c r="BM207" s="2060"/>
      <c r="BN207" s="2060"/>
      <c r="BO207" s="2060"/>
      <c r="BP207" s="2060"/>
      <c r="BQ207" s="2060"/>
      <c r="BR207" s="2060"/>
      <c r="BS207" s="2060"/>
      <c r="BT207" s="2060"/>
      <c r="BU207" s="2060"/>
      <c r="BV207" s="2060"/>
      <c r="BW207" s="2060"/>
      <c r="BX207" s="2060"/>
      <c r="BY207" s="2060"/>
      <c r="BZ207" s="2060"/>
      <c r="CA207" s="2060"/>
      <c r="CB207" s="2060"/>
      <c r="CC207" s="2060"/>
      <c r="CD207" s="2060"/>
      <c r="CE207" s="2060"/>
      <c r="CF207" s="2060"/>
      <c r="CG207" s="2060"/>
      <c r="CH207" s="2060"/>
      <c r="CI207" s="2060"/>
      <c r="CJ207" s="2060"/>
      <c r="CK207" s="2060"/>
      <c r="CL207" s="2060"/>
      <c r="CM207" s="2060"/>
      <c r="CN207" s="2060"/>
      <c r="CO207" s="2060"/>
      <c r="CP207" s="2060"/>
      <c r="CQ207" s="2060"/>
      <c r="CR207" s="2060"/>
      <c r="CS207" s="2060"/>
      <c r="CT207" s="2060"/>
      <c r="CU207" s="2060"/>
      <c r="CV207" s="2060"/>
      <c r="CW207" s="2060"/>
      <c r="CX207" s="2060"/>
      <c r="CY207" s="2060"/>
      <c r="CZ207" s="2060"/>
      <c r="DA207" s="2060"/>
      <c r="DB207" s="2060"/>
      <c r="DC207" s="2060"/>
      <c r="DD207" s="2060"/>
      <c r="DE207" s="2060"/>
      <c r="DF207" s="2060"/>
      <c r="DG207" s="2060"/>
      <c r="DH207" s="2060"/>
      <c r="DI207" s="2060"/>
      <c r="DJ207" s="2060"/>
      <c r="DK207" s="2060"/>
      <c r="DL207" s="2060"/>
      <c r="DM207" s="2060"/>
      <c r="DN207" s="2060"/>
      <c r="DO207" s="2060"/>
      <c r="DP207" s="2060"/>
      <c r="DQ207" s="2060"/>
      <c r="DR207" s="2060"/>
      <c r="DS207" s="2060"/>
      <c r="DT207" s="2060"/>
      <c r="DU207" s="2060"/>
      <c r="DV207" s="2060"/>
      <c r="DW207" s="2060"/>
      <c r="DX207" s="2060"/>
      <c r="DY207" s="2060"/>
      <c r="DZ207" s="2060"/>
      <c r="EA207" s="2060"/>
      <c r="EB207" s="2060"/>
      <c r="EC207" s="2060"/>
      <c r="ED207" s="2060"/>
      <c r="EE207" s="2060"/>
      <c r="EF207" s="2060"/>
      <c r="EG207" s="2060"/>
      <c r="EH207" s="2060"/>
      <c r="EI207" s="2060"/>
      <c r="EJ207" s="2060"/>
      <c r="EK207" s="2060"/>
      <c r="EL207" s="2060"/>
      <c r="EM207" s="2060"/>
      <c r="EN207" s="2060"/>
      <c r="EO207" s="2060"/>
      <c r="EP207" s="2060"/>
      <c r="EQ207" s="2060"/>
      <c r="ER207" s="2060"/>
      <c r="ES207" s="2060"/>
      <c r="ET207" s="2060"/>
      <c r="EU207" s="2060"/>
      <c r="EV207" s="2060"/>
      <c r="EW207" s="2060"/>
      <c r="EX207" s="2060"/>
      <c r="EY207" s="2060"/>
      <c r="EZ207" s="2060"/>
      <c r="FA207" s="2060"/>
      <c r="FB207" s="2060"/>
      <c r="FC207" s="2060"/>
      <c r="FD207" s="2060"/>
      <c r="FE207" s="2060"/>
      <c r="FF207" s="2060"/>
      <c r="FG207" s="2060"/>
      <c r="FH207" s="2060"/>
      <c r="FI207" s="2060"/>
      <c r="FJ207" s="2060"/>
      <c r="FK207" s="2060"/>
      <c r="FL207" s="2060"/>
      <c r="FM207" s="2060"/>
      <c r="FN207" s="2060"/>
      <c r="FO207" s="2060"/>
      <c r="FP207" s="2060"/>
      <c r="FQ207" s="2060"/>
      <c r="FR207" s="2060"/>
      <c r="FS207" s="2060"/>
      <c r="FT207" s="2060"/>
      <c r="FU207" s="2060"/>
      <c r="FV207" s="2060"/>
      <c r="FW207" s="2060"/>
      <c r="FX207" s="2060"/>
      <c r="FY207" s="2060"/>
      <c r="FZ207" s="2060"/>
      <c r="GA207" s="2060"/>
      <c r="GB207" s="2060"/>
      <c r="GC207" s="2060"/>
    </row>
    <row r="208" spans="1:185" s="1499" customFormat="1">
      <c r="A208" s="659"/>
      <c r="B208" s="659"/>
      <c r="C208" s="128"/>
      <c r="D208" s="128"/>
      <c r="E208" s="2060"/>
      <c r="F208" s="2060"/>
      <c r="G208" s="2060"/>
      <c r="H208" s="2060"/>
      <c r="I208" s="2060"/>
      <c r="J208" s="1506"/>
      <c r="K208" s="1506"/>
      <c r="L208" s="1506"/>
      <c r="M208" s="1506"/>
      <c r="N208" s="1506"/>
      <c r="O208" s="1506"/>
      <c r="P208" s="2060"/>
      <c r="Q208" s="2060"/>
      <c r="R208" s="2060"/>
      <c r="S208" s="2060"/>
      <c r="T208" s="2060"/>
      <c r="U208" s="2060"/>
      <c r="V208" s="2060"/>
      <c r="W208" s="128"/>
      <c r="X208" s="2060"/>
      <c r="Y208" s="2060"/>
      <c r="Z208" s="2060"/>
      <c r="AA208" s="2060"/>
      <c r="AB208" s="2060"/>
      <c r="AC208" s="2060"/>
      <c r="AD208" s="1004"/>
      <c r="AE208" s="2060"/>
      <c r="AF208" s="2060"/>
      <c r="AG208" s="2060"/>
      <c r="AH208" s="2060"/>
      <c r="AI208" s="2060"/>
      <c r="AJ208" s="2060"/>
      <c r="AK208" s="2060"/>
      <c r="AL208" s="2060"/>
      <c r="AM208" s="2060"/>
      <c r="AN208" s="2060"/>
      <c r="AO208" s="2060"/>
      <c r="AP208" s="2060"/>
      <c r="AQ208" s="2060"/>
      <c r="AR208" s="2060"/>
      <c r="AS208" s="2060"/>
      <c r="AT208" s="2060"/>
      <c r="AU208" s="2060"/>
      <c r="AV208" s="2060"/>
      <c r="AW208" s="2060"/>
      <c r="AX208" s="2060"/>
      <c r="AY208" s="2060"/>
      <c r="AZ208" s="2060"/>
      <c r="BA208" s="2060"/>
      <c r="BB208" s="2060"/>
      <c r="BC208" s="2060"/>
      <c r="BD208" s="2060"/>
      <c r="BE208" s="2060"/>
      <c r="BF208" s="2060"/>
      <c r="BG208" s="2060"/>
      <c r="BH208" s="2060"/>
      <c r="BI208" s="2060"/>
      <c r="BJ208" s="2060"/>
      <c r="BK208" s="2060"/>
      <c r="BL208" s="2060"/>
      <c r="BM208" s="2060"/>
      <c r="BN208" s="2060"/>
      <c r="BO208" s="2060"/>
      <c r="BP208" s="2060"/>
      <c r="BQ208" s="2060"/>
      <c r="BR208" s="2060"/>
      <c r="BS208" s="2060"/>
      <c r="BT208" s="2060"/>
      <c r="BU208" s="2060"/>
      <c r="BV208" s="2060"/>
      <c r="BW208" s="2060"/>
      <c r="BX208" s="2060"/>
      <c r="BY208" s="2060"/>
      <c r="BZ208" s="2060"/>
      <c r="CA208" s="2060"/>
      <c r="CB208" s="2060"/>
      <c r="CC208" s="2060"/>
      <c r="CD208" s="2060"/>
      <c r="CE208" s="2060"/>
      <c r="CF208" s="2060"/>
      <c r="CG208" s="2060"/>
      <c r="CH208" s="2060"/>
      <c r="CI208" s="2060"/>
      <c r="CJ208" s="2060"/>
      <c r="CK208" s="2060"/>
      <c r="CL208" s="2060"/>
      <c r="CM208" s="2060"/>
      <c r="CN208" s="2060"/>
      <c r="CO208" s="2060"/>
      <c r="CP208" s="2060"/>
      <c r="CQ208" s="2060"/>
      <c r="CR208" s="2060"/>
      <c r="CS208" s="2060"/>
      <c r="CT208" s="2060"/>
      <c r="CU208" s="2060"/>
      <c r="CV208" s="2060"/>
      <c r="CW208" s="2060"/>
      <c r="CX208" s="2060"/>
      <c r="CY208" s="2060"/>
      <c r="CZ208" s="2060"/>
      <c r="DA208" s="2060"/>
      <c r="DB208" s="2060"/>
      <c r="DC208" s="2060"/>
      <c r="DD208" s="2060"/>
      <c r="DE208" s="2060"/>
      <c r="DF208" s="2060"/>
      <c r="DG208" s="2060"/>
      <c r="DH208" s="2060"/>
      <c r="DI208" s="2060"/>
      <c r="DJ208" s="2060"/>
      <c r="DK208" s="2060"/>
      <c r="DL208" s="2060"/>
      <c r="DM208" s="2060"/>
      <c r="DN208" s="2060"/>
      <c r="DO208" s="2060"/>
      <c r="DP208" s="2060"/>
      <c r="DQ208" s="2060"/>
      <c r="DR208" s="2060"/>
      <c r="DS208" s="2060"/>
      <c r="DT208" s="2060"/>
      <c r="DU208" s="2060"/>
      <c r="DV208" s="2060"/>
      <c r="DW208" s="2060"/>
      <c r="DX208" s="2060"/>
      <c r="DY208" s="2060"/>
      <c r="DZ208" s="2060"/>
      <c r="EA208" s="2060"/>
      <c r="EB208" s="2060"/>
      <c r="EC208" s="2060"/>
      <c r="ED208" s="2060"/>
      <c r="EE208" s="2060"/>
      <c r="EF208" s="2060"/>
      <c r="EG208" s="2060"/>
      <c r="EH208" s="2060"/>
      <c r="EI208" s="2060"/>
      <c r="EJ208" s="2060"/>
      <c r="EK208" s="2060"/>
      <c r="EL208" s="2060"/>
      <c r="EM208" s="2060"/>
      <c r="EN208" s="2060"/>
      <c r="EO208" s="2060"/>
      <c r="EP208" s="2060"/>
      <c r="EQ208" s="2060"/>
      <c r="ER208" s="2060"/>
      <c r="ES208" s="2060"/>
      <c r="ET208" s="2060"/>
      <c r="EU208" s="2060"/>
      <c r="EV208" s="2060"/>
      <c r="EW208" s="2060"/>
      <c r="EX208" s="2060"/>
      <c r="EY208" s="2060"/>
      <c r="EZ208" s="2060"/>
      <c r="FA208" s="2060"/>
      <c r="FB208" s="2060"/>
      <c r="FC208" s="2060"/>
      <c r="FD208" s="2060"/>
      <c r="FE208" s="2060"/>
      <c r="FF208" s="2060"/>
      <c r="FG208" s="2060"/>
      <c r="FH208" s="2060"/>
      <c r="FI208" s="2060"/>
      <c r="FJ208" s="2060"/>
      <c r="FK208" s="2060"/>
      <c r="FL208" s="2060"/>
      <c r="FM208" s="2060"/>
      <c r="FN208" s="2060"/>
      <c r="FO208" s="2060"/>
      <c r="FP208" s="2060"/>
      <c r="FQ208" s="2060"/>
      <c r="FR208" s="2060"/>
      <c r="FS208" s="2060"/>
      <c r="FT208" s="2060"/>
      <c r="FU208" s="2060"/>
      <c r="FV208" s="2060"/>
      <c r="FW208" s="2060"/>
      <c r="FX208" s="2060"/>
      <c r="FY208" s="2060"/>
      <c r="FZ208" s="2060"/>
      <c r="GA208" s="2060"/>
      <c r="GB208" s="2060"/>
      <c r="GC208" s="2060"/>
    </row>
    <row r="209" spans="1:185" s="2060" customFormat="1">
      <c r="A209" s="659"/>
      <c r="B209" s="659"/>
      <c r="C209" s="128"/>
      <c r="D209" s="128"/>
      <c r="E209" s="1029" t="s">
        <v>1239</v>
      </c>
      <c r="J209" s="1506"/>
      <c r="K209" s="1506"/>
      <c r="L209" s="1506"/>
      <c r="M209" s="1506"/>
      <c r="N209" s="1506"/>
      <c r="O209" s="1506"/>
      <c r="W209" s="128"/>
      <c r="AD209" s="1004"/>
    </row>
    <row r="210" spans="1:185" s="1499" customFormat="1">
      <c r="A210" s="659"/>
      <c r="B210" s="659"/>
      <c r="C210" s="128"/>
      <c r="D210" s="779"/>
      <c r="E210" s="161" t="s">
        <v>1240</v>
      </c>
      <c r="F210" s="2060"/>
      <c r="G210" s="2060" t="str">
        <f>'DATA GPC'!H161</f>
        <v>USD</v>
      </c>
      <c r="H210" s="90" t="str">
        <f>'DATA GPC'!$P$161</f>
        <v>--</v>
      </c>
      <c r="I210" s="1365" t="str">
        <f>IF(AND(H210&gt;0,G210&lt;&gt;"USD"),"Size premia must use USD millions","")</f>
        <v/>
      </c>
      <c r="J210" s="2060"/>
      <c r="K210" s="2060"/>
      <c r="L210" s="1506"/>
      <c r="M210" s="1506"/>
      <c r="N210" s="1506"/>
      <c r="O210" s="1506"/>
      <c r="P210" s="2060"/>
      <c r="Q210" s="2060"/>
      <c r="R210" s="2060"/>
      <c r="S210" s="2060"/>
      <c r="T210" s="2060"/>
      <c r="U210" s="2060"/>
      <c r="V210" s="2060"/>
      <c r="W210" s="128"/>
      <c r="X210" s="2060"/>
      <c r="Y210" s="2060"/>
      <c r="Z210" s="2060"/>
      <c r="AA210" s="2060"/>
      <c r="AB210" s="2060"/>
      <c r="AC210" s="2060"/>
      <c r="AD210" s="1004"/>
      <c r="AE210" s="2060"/>
      <c r="AF210" s="2060"/>
      <c r="AG210" s="2060"/>
      <c r="AH210" s="2060"/>
      <c r="AI210" s="2060"/>
      <c r="AJ210" s="2060"/>
      <c r="AK210" s="2060"/>
      <c r="AL210" s="2060"/>
      <c r="AM210" s="2060"/>
      <c r="AN210" s="2060"/>
      <c r="AO210" s="2060"/>
      <c r="AP210" s="2060"/>
      <c r="AQ210" s="2060"/>
      <c r="AR210" s="2060"/>
      <c r="AS210" s="2060"/>
      <c r="AT210" s="2060"/>
      <c r="AU210" s="2060"/>
      <c r="AV210" s="2060"/>
      <c r="AW210" s="2060"/>
      <c r="AX210" s="2060"/>
      <c r="AY210" s="2060"/>
      <c r="AZ210" s="2060"/>
      <c r="BA210" s="2060"/>
      <c r="BB210" s="2060"/>
      <c r="BC210" s="2060"/>
      <c r="BD210" s="2060"/>
      <c r="BE210" s="2060"/>
      <c r="BF210" s="2060"/>
      <c r="BG210" s="2060"/>
      <c r="BH210" s="2060"/>
      <c r="BI210" s="2060"/>
      <c r="BJ210" s="2060"/>
      <c r="BK210" s="2060"/>
      <c r="BL210" s="2060"/>
      <c r="BM210" s="2060"/>
      <c r="BN210" s="2060"/>
      <c r="BO210" s="2060"/>
      <c r="BP210" s="2060"/>
      <c r="BQ210" s="2060"/>
      <c r="BR210" s="2060"/>
      <c r="BS210" s="2060"/>
      <c r="BT210" s="2060"/>
      <c r="BU210" s="2060"/>
      <c r="BV210" s="2060"/>
      <c r="BW210" s="2060"/>
      <c r="BX210" s="2060"/>
      <c r="BY210" s="2060"/>
      <c r="BZ210" s="2060"/>
      <c r="CA210" s="2060"/>
      <c r="CB210" s="2060"/>
      <c r="CC210" s="2060"/>
      <c r="CD210" s="2060"/>
      <c r="CE210" s="2060"/>
      <c r="CF210" s="2060"/>
      <c r="CG210" s="2060"/>
      <c r="CH210" s="2060"/>
      <c r="CI210" s="2060"/>
      <c r="CJ210" s="2060"/>
      <c r="CK210" s="2060"/>
      <c r="CL210" s="2060"/>
      <c r="CM210" s="2060"/>
      <c r="CN210" s="2060"/>
      <c r="CO210" s="2060"/>
      <c r="CP210" s="2060"/>
      <c r="CQ210" s="2060"/>
      <c r="CR210" s="2060"/>
      <c r="CS210" s="2060"/>
      <c r="CT210" s="2060"/>
      <c r="CU210" s="2060"/>
      <c r="CV210" s="2060"/>
      <c r="CW210" s="2060"/>
      <c r="CX210" s="2060"/>
      <c r="CY210" s="2060"/>
      <c r="CZ210" s="2060"/>
      <c r="DA210" s="2060"/>
      <c r="DB210" s="2060"/>
      <c r="DC210" s="2060"/>
      <c r="DD210" s="2060"/>
      <c r="DE210" s="2060"/>
      <c r="DF210" s="2060"/>
      <c r="DG210" s="2060"/>
      <c r="DH210" s="2060"/>
      <c r="DI210" s="2060"/>
      <c r="DJ210" s="2060"/>
      <c r="DK210" s="2060"/>
      <c r="DL210" s="2060"/>
      <c r="DM210" s="2060"/>
      <c r="DN210" s="2060"/>
      <c r="DO210" s="2060"/>
      <c r="DP210" s="2060"/>
      <c r="DQ210" s="2060"/>
      <c r="DR210" s="2060"/>
      <c r="DS210" s="2060"/>
      <c r="DT210" s="2060"/>
      <c r="DU210" s="2060"/>
      <c r="DV210" s="2060"/>
      <c r="DW210" s="2060"/>
      <c r="DX210" s="2060"/>
      <c r="DY210" s="2060"/>
      <c r="DZ210" s="2060"/>
      <c r="EA210" s="2060"/>
      <c r="EB210" s="2060"/>
      <c r="EC210" s="2060"/>
      <c r="ED210" s="2060"/>
      <c r="EE210" s="2060"/>
      <c r="EF210" s="2060"/>
      <c r="EG210" s="2060"/>
      <c r="EH210" s="2060"/>
      <c r="EI210" s="2060"/>
      <c r="EJ210" s="2060"/>
      <c r="EK210" s="2060"/>
      <c r="EL210" s="2060"/>
      <c r="EM210" s="2060"/>
      <c r="EN210" s="2060"/>
      <c r="EO210" s="2060"/>
      <c r="EP210" s="2060"/>
      <c r="EQ210" s="2060"/>
      <c r="ER210" s="2060"/>
      <c r="ES210" s="2060"/>
      <c r="ET210" s="2060"/>
      <c r="EU210" s="2060"/>
      <c r="EV210" s="2060"/>
      <c r="EW210" s="2060"/>
      <c r="EX210" s="2060"/>
      <c r="EY210" s="2060"/>
      <c r="EZ210" s="2060"/>
      <c r="FA210" s="2060"/>
      <c r="FB210" s="2060"/>
      <c r="FC210" s="2060"/>
      <c r="FD210" s="2060"/>
      <c r="FE210" s="2060"/>
      <c r="FF210" s="2060"/>
      <c r="FG210" s="2060"/>
      <c r="FH210" s="2060"/>
      <c r="FI210" s="2060"/>
      <c r="FJ210" s="2060"/>
      <c r="FK210" s="2060"/>
      <c r="FL210" s="2060"/>
      <c r="FM210" s="2060"/>
      <c r="FN210" s="2060"/>
      <c r="FO210" s="2060"/>
      <c r="FP210" s="2060"/>
      <c r="FQ210" s="2060"/>
      <c r="FR210" s="2060"/>
      <c r="FS210" s="2060"/>
      <c r="FT210" s="2060"/>
      <c r="FU210" s="2060"/>
      <c r="FV210" s="2060"/>
      <c r="FW210" s="2060"/>
      <c r="FX210" s="2060"/>
      <c r="FY210" s="2060"/>
      <c r="FZ210" s="2060"/>
      <c r="GA210" s="2060"/>
      <c r="GB210" s="2060"/>
      <c r="GC210" s="2060"/>
    </row>
    <row r="211" spans="1:185" s="1499" customFormat="1">
      <c r="A211" s="659"/>
      <c r="B211" s="659"/>
      <c r="C211" s="128"/>
      <c r="D211" s="779"/>
      <c r="E211" s="161" t="s">
        <v>1241</v>
      </c>
      <c r="F211" s="2060"/>
      <c r="G211" s="90" t="str">
        <f>'DATA GPC'!H162</f>
        <v>--</v>
      </c>
      <c r="H211" s="2203"/>
      <c r="I211" s="2060"/>
      <c r="J211" s="1506"/>
      <c r="K211" s="1506"/>
      <c r="L211" s="1506"/>
      <c r="M211" s="1506"/>
      <c r="N211" s="1506"/>
      <c r="O211" s="1506"/>
      <c r="P211" s="2060"/>
      <c r="Q211" s="2060"/>
      <c r="R211" s="2060"/>
      <c r="S211" s="2060"/>
      <c r="T211" s="2060"/>
      <c r="U211" s="2060"/>
      <c r="V211" s="2060"/>
      <c r="W211" s="128"/>
      <c r="X211" s="2060"/>
      <c r="Y211" s="2060"/>
      <c r="Z211" s="2060"/>
      <c r="AA211" s="2060"/>
      <c r="AB211" s="2060"/>
      <c r="AC211" s="2060"/>
      <c r="AD211" s="1004"/>
      <c r="AE211" s="2060"/>
      <c r="AF211" s="2060"/>
      <c r="AG211" s="2060"/>
      <c r="AH211" s="2060"/>
      <c r="AI211" s="2060"/>
      <c r="AJ211" s="2060"/>
      <c r="AK211" s="2060"/>
      <c r="AL211" s="2060"/>
      <c r="AM211" s="2060"/>
      <c r="AN211" s="2060"/>
      <c r="AO211" s="2060"/>
      <c r="AP211" s="2060"/>
      <c r="AQ211" s="2060"/>
      <c r="AR211" s="2060"/>
      <c r="AS211" s="2060"/>
      <c r="AT211" s="2060"/>
      <c r="AU211" s="2060"/>
      <c r="AV211" s="2060"/>
      <c r="AW211" s="2060"/>
      <c r="AX211" s="2060"/>
      <c r="AY211" s="2060"/>
      <c r="AZ211" s="2060"/>
      <c r="BA211" s="2060"/>
      <c r="BB211" s="2060"/>
      <c r="BC211" s="2060"/>
      <c r="BD211" s="2060"/>
      <c r="BE211" s="2060"/>
      <c r="BF211" s="2060"/>
      <c r="BG211" s="2060"/>
      <c r="BH211" s="2060"/>
      <c r="BI211" s="2060"/>
      <c r="BJ211" s="2060"/>
      <c r="BK211" s="2060"/>
      <c r="BL211" s="2060"/>
      <c r="BM211" s="2060"/>
      <c r="BN211" s="2060"/>
      <c r="BO211" s="2060"/>
      <c r="BP211" s="2060"/>
      <c r="BQ211" s="2060"/>
      <c r="BR211" s="2060"/>
      <c r="BS211" s="2060"/>
      <c r="BT211" s="2060"/>
      <c r="BU211" s="2060"/>
      <c r="BV211" s="2060"/>
      <c r="BW211" s="2060"/>
      <c r="BX211" s="2060"/>
      <c r="BY211" s="2060"/>
      <c r="BZ211" s="2060"/>
      <c r="CA211" s="2060"/>
      <c r="CB211" s="2060"/>
      <c r="CC211" s="2060"/>
      <c r="CD211" s="2060"/>
      <c r="CE211" s="2060"/>
      <c r="CF211" s="2060"/>
      <c r="CG211" s="2060"/>
      <c r="CH211" s="2060"/>
      <c r="CI211" s="2060"/>
      <c r="CJ211" s="2060"/>
      <c r="CK211" s="2060"/>
      <c r="CL211" s="2060"/>
      <c r="CM211" s="2060"/>
      <c r="CN211" s="2060"/>
      <c r="CO211" s="2060"/>
      <c r="CP211" s="2060"/>
      <c r="CQ211" s="2060"/>
      <c r="CR211" s="2060"/>
      <c r="CS211" s="2060"/>
      <c r="CT211" s="2060"/>
      <c r="CU211" s="2060"/>
      <c r="CV211" s="2060"/>
      <c r="CW211" s="2060"/>
      <c r="CX211" s="2060"/>
      <c r="CY211" s="2060"/>
      <c r="CZ211" s="2060"/>
      <c r="DA211" s="2060"/>
      <c r="DB211" s="2060"/>
      <c r="DC211" s="2060"/>
      <c r="DD211" s="2060"/>
      <c r="DE211" s="2060"/>
      <c r="DF211" s="2060"/>
      <c r="DG211" s="2060"/>
      <c r="DH211" s="2060"/>
      <c r="DI211" s="2060"/>
      <c r="DJ211" s="2060"/>
      <c r="DK211" s="2060"/>
      <c r="DL211" s="2060"/>
      <c r="DM211" s="2060"/>
      <c r="DN211" s="2060"/>
      <c r="DO211" s="2060"/>
      <c r="DP211" s="2060"/>
      <c r="DQ211" s="2060"/>
      <c r="DR211" s="2060"/>
      <c r="DS211" s="2060"/>
      <c r="DT211" s="2060"/>
      <c r="DU211" s="2060"/>
      <c r="DV211" s="2060"/>
      <c r="DW211" s="2060"/>
      <c r="DX211" s="2060"/>
      <c r="DY211" s="2060"/>
      <c r="DZ211" s="2060"/>
      <c r="EA211" s="2060"/>
      <c r="EB211" s="2060"/>
      <c r="EC211" s="2060"/>
      <c r="ED211" s="2060"/>
      <c r="EE211" s="2060"/>
      <c r="EF211" s="2060"/>
      <c r="EG211" s="2060"/>
      <c r="EH211" s="2060"/>
      <c r="EI211" s="2060"/>
      <c r="EJ211" s="2060"/>
      <c r="EK211" s="2060"/>
      <c r="EL211" s="2060"/>
      <c r="EM211" s="2060"/>
      <c r="EN211" s="2060"/>
      <c r="EO211" s="2060"/>
      <c r="EP211" s="2060"/>
      <c r="EQ211" s="2060"/>
      <c r="ER211" s="2060"/>
      <c r="ES211" s="2060"/>
      <c r="ET211" s="2060"/>
      <c r="EU211" s="2060"/>
      <c r="EV211" s="2060"/>
      <c r="EW211" s="2060"/>
      <c r="EX211" s="2060"/>
      <c r="EY211" s="2060"/>
      <c r="EZ211" s="2060"/>
      <c r="FA211" s="2060"/>
      <c r="FB211" s="2060"/>
      <c r="FC211" s="2060"/>
      <c r="FD211" s="2060"/>
      <c r="FE211" s="2060"/>
      <c r="FF211" s="2060"/>
      <c r="FG211" s="2060"/>
      <c r="FH211" s="2060"/>
      <c r="FI211" s="2060"/>
      <c r="FJ211" s="2060"/>
      <c r="FK211" s="2060"/>
      <c r="FL211" s="2060"/>
      <c r="FM211" s="2060"/>
      <c r="FN211" s="2060"/>
      <c r="FO211" s="2060"/>
      <c r="FP211" s="2060"/>
      <c r="FQ211" s="2060"/>
      <c r="FR211" s="2060"/>
      <c r="FS211" s="2060"/>
      <c r="FT211" s="2060"/>
      <c r="FU211" s="2060"/>
      <c r="FV211" s="2060"/>
      <c r="FW211" s="2060"/>
      <c r="FX211" s="2060"/>
      <c r="FY211" s="2060"/>
      <c r="FZ211" s="2060"/>
      <c r="GA211" s="2060"/>
      <c r="GB211" s="2060"/>
      <c r="GC211" s="2060"/>
    </row>
    <row r="212" spans="1:185" s="1499" customFormat="1">
      <c r="A212" s="659"/>
      <c r="B212" s="659"/>
      <c r="C212" s="128"/>
      <c r="D212" s="779"/>
      <c r="E212" s="161" t="s">
        <v>1242</v>
      </c>
      <c r="F212" s="162"/>
      <c r="G212" s="672"/>
      <c r="H212" s="391" t="str">
        <f>IF(H211,H211,H210)</f>
        <v>--</v>
      </c>
      <c r="I212" s="1506"/>
      <c r="J212" s="1506"/>
      <c r="K212" s="1506"/>
      <c r="L212" s="1506"/>
      <c r="M212" s="1506"/>
      <c r="N212" s="1506"/>
      <c r="O212" s="1506"/>
      <c r="P212" s="2060"/>
      <c r="Q212" s="2060"/>
      <c r="R212" s="2060"/>
      <c r="S212" s="2060"/>
      <c r="T212" s="2060"/>
      <c r="U212" s="2060"/>
      <c r="V212" s="2060"/>
      <c r="W212" s="128"/>
      <c r="X212" s="2060"/>
      <c r="Y212" s="2060"/>
      <c r="Z212" s="2060"/>
      <c r="AA212" s="2060"/>
      <c r="AB212" s="2060"/>
      <c r="AC212" s="2060"/>
      <c r="AD212" s="1004"/>
      <c r="AE212" s="2060"/>
      <c r="AF212" s="2060"/>
      <c r="AG212" s="2060"/>
      <c r="AH212" s="2060"/>
      <c r="AI212" s="2060"/>
      <c r="AJ212" s="2060"/>
      <c r="AK212" s="2060"/>
      <c r="AL212" s="2060"/>
      <c r="AM212" s="2060"/>
      <c r="AN212" s="2060"/>
      <c r="AO212" s="2060"/>
      <c r="AP212" s="2060"/>
      <c r="AQ212" s="2060"/>
      <c r="AR212" s="2060"/>
      <c r="AS212" s="2060"/>
      <c r="AT212" s="2060"/>
      <c r="AU212" s="2060"/>
      <c r="AV212" s="2060"/>
      <c r="AW212" s="2060"/>
      <c r="AX212" s="2060"/>
      <c r="AY212" s="2060"/>
      <c r="AZ212" s="2060"/>
      <c r="BA212" s="2060"/>
      <c r="BB212" s="2060"/>
      <c r="BC212" s="2060"/>
      <c r="BD212" s="2060"/>
      <c r="BE212" s="2060"/>
      <c r="BF212" s="2060"/>
      <c r="BG212" s="2060"/>
      <c r="BH212" s="2060"/>
      <c r="BI212" s="2060"/>
      <c r="BJ212" s="2060"/>
      <c r="BK212" s="2060"/>
      <c r="BL212" s="2060"/>
      <c r="BM212" s="2060"/>
      <c r="BN212" s="2060"/>
      <c r="BO212" s="2060"/>
      <c r="BP212" s="2060"/>
      <c r="BQ212" s="2060"/>
      <c r="BR212" s="2060"/>
      <c r="BS212" s="2060"/>
      <c r="BT212" s="2060"/>
      <c r="BU212" s="2060"/>
      <c r="BV212" s="2060"/>
      <c r="BW212" s="2060"/>
      <c r="BX212" s="2060"/>
      <c r="BY212" s="2060"/>
      <c r="BZ212" s="2060"/>
      <c r="CA212" s="2060"/>
      <c r="CB212" s="2060"/>
      <c r="CC212" s="2060"/>
      <c r="CD212" s="2060"/>
      <c r="CE212" s="2060"/>
      <c r="CF212" s="2060"/>
      <c r="CG212" s="2060"/>
      <c r="CH212" s="2060"/>
      <c r="CI212" s="2060"/>
      <c r="CJ212" s="2060"/>
      <c r="CK212" s="2060"/>
      <c r="CL212" s="2060"/>
      <c r="CM212" s="2060"/>
      <c r="CN212" s="2060"/>
      <c r="CO212" s="2060"/>
      <c r="CP212" s="2060"/>
      <c r="CQ212" s="2060"/>
      <c r="CR212" s="2060"/>
      <c r="CS212" s="2060"/>
      <c r="CT212" s="2060"/>
      <c r="CU212" s="2060"/>
      <c r="CV212" s="2060"/>
      <c r="CW212" s="2060"/>
      <c r="CX212" s="2060"/>
      <c r="CY212" s="2060"/>
      <c r="CZ212" s="2060"/>
      <c r="DA212" s="2060"/>
      <c r="DB212" s="2060"/>
      <c r="DC212" s="2060"/>
      <c r="DD212" s="2060"/>
      <c r="DE212" s="2060"/>
      <c r="DF212" s="2060"/>
      <c r="DG212" s="2060"/>
      <c r="DH212" s="2060"/>
      <c r="DI212" s="2060"/>
      <c r="DJ212" s="2060"/>
      <c r="DK212" s="2060"/>
      <c r="DL212" s="2060"/>
      <c r="DM212" s="2060"/>
      <c r="DN212" s="2060"/>
      <c r="DO212" s="2060"/>
      <c r="DP212" s="2060"/>
      <c r="DQ212" s="2060"/>
      <c r="DR212" s="2060"/>
      <c r="DS212" s="2060"/>
      <c r="DT212" s="2060"/>
      <c r="DU212" s="2060"/>
      <c r="DV212" s="2060"/>
      <c r="DW212" s="2060"/>
      <c r="DX212" s="2060"/>
      <c r="DY212" s="2060"/>
      <c r="DZ212" s="2060"/>
      <c r="EA212" s="2060"/>
      <c r="EB212" s="2060"/>
      <c r="EC212" s="2060"/>
      <c r="ED212" s="2060"/>
      <c r="EE212" s="2060"/>
      <c r="EF212" s="2060"/>
      <c r="EG212" s="2060"/>
      <c r="EH212" s="2060"/>
      <c r="EI212" s="2060"/>
      <c r="EJ212" s="2060"/>
      <c r="EK212" s="2060"/>
      <c r="EL212" s="2060"/>
      <c r="EM212" s="2060"/>
      <c r="EN212" s="2060"/>
      <c r="EO212" s="2060"/>
      <c r="EP212" s="2060"/>
      <c r="EQ212" s="2060"/>
      <c r="ER212" s="2060"/>
      <c r="ES212" s="2060"/>
      <c r="ET212" s="2060"/>
      <c r="EU212" s="2060"/>
      <c r="EV212" s="2060"/>
      <c r="EW212" s="2060"/>
      <c r="EX212" s="2060"/>
      <c r="EY212" s="2060"/>
      <c r="EZ212" s="2060"/>
      <c r="FA212" s="2060"/>
      <c r="FB212" s="2060"/>
      <c r="FC212" s="2060"/>
      <c r="FD212" s="2060"/>
      <c r="FE212" s="2060"/>
      <c r="FF212" s="2060"/>
      <c r="FG212" s="2060"/>
      <c r="FH212" s="2060"/>
      <c r="FI212" s="2060"/>
      <c r="FJ212" s="2060"/>
      <c r="FK212" s="2060"/>
      <c r="FL212" s="2060"/>
      <c r="FM212" s="2060"/>
      <c r="FN212" s="2060"/>
      <c r="FO212" s="2060"/>
      <c r="FP212" s="2060"/>
      <c r="FQ212" s="2060"/>
      <c r="FR212" s="2060"/>
      <c r="FS212" s="2060"/>
      <c r="FT212" s="2060"/>
      <c r="FU212" s="2060"/>
      <c r="FV212" s="2060"/>
      <c r="FW212" s="2060"/>
      <c r="FX212" s="2060"/>
      <c r="FY212" s="2060"/>
      <c r="FZ212" s="2060"/>
      <c r="GA212" s="2060"/>
      <c r="GB212" s="2060"/>
      <c r="GC212" s="2060"/>
    </row>
    <row r="213" spans="1:185" s="1499" customFormat="1">
      <c r="A213" s="659"/>
      <c r="B213" s="659"/>
      <c r="C213" s="128"/>
      <c r="D213" s="128"/>
      <c r="E213" s="159"/>
      <c r="F213" s="160"/>
      <c r="G213" s="708"/>
      <c r="H213" s="128"/>
      <c r="I213" s="549"/>
      <c r="J213" s="1506"/>
      <c r="K213" s="1506"/>
      <c r="L213" s="1506"/>
      <c r="M213" s="1506"/>
      <c r="N213" s="1506"/>
      <c r="O213" s="1506"/>
      <c r="P213" s="2060"/>
      <c r="Q213" s="2060"/>
      <c r="R213" s="2060"/>
      <c r="S213" s="2060"/>
      <c r="T213" s="2060"/>
      <c r="U213" s="2060"/>
      <c r="V213" s="2060"/>
      <c r="W213" s="128"/>
      <c r="X213" s="2060"/>
      <c r="Y213" s="2060"/>
      <c r="Z213" s="2060"/>
      <c r="AA213" s="2060"/>
      <c r="AB213" s="2060"/>
      <c r="AC213" s="2060"/>
      <c r="AD213" s="1004"/>
      <c r="AE213" s="2060"/>
      <c r="AF213" s="2060"/>
      <c r="AG213" s="2060"/>
      <c r="AH213" s="2060"/>
      <c r="AI213" s="2060"/>
      <c r="AJ213" s="2060"/>
      <c r="AK213" s="2060"/>
      <c r="AL213" s="2060"/>
      <c r="AM213" s="2060"/>
      <c r="AN213" s="2060"/>
      <c r="AO213" s="2060"/>
      <c r="AP213" s="2060"/>
      <c r="AQ213" s="2060"/>
      <c r="AR213" s="2060"/>
      <c r="AS213" s="2060"/>
      <c r="AT213" s="2060"/>
      <c r="AU213" s="2060"/>
      <c r="AV213" s="2060"/>
      <c r="AW213" s="2060"/>
      <c r="AX213" s="2060"/>
      <c r="AY213" s="2060"/>
      <c r="AZ213" s="2060"/>
      <c r="BA213" s="2060"/>
      <c r="BB213" s="2060"/>
      <c r="BC213" s="2060"/>
      <c r="BD213" s="2060"/>
      <c r="BE213" s="2060"/>
      <c r="BF213" s="2060"/>
      <c r="BG213" s="2060"/>
      <c r="BH213" s="2060"/>
      <c r="BI213" s="2060"/>
      <c r="BJ213" s="2060"/>
      <c r="BK213" s="2060"/>
      <c r="BL213" s="2060"/>
      <c r="BM213" s="2060"/>
      <c r="BN213" s="2060"/>
      <c r="BO213" s="2060"/>
      <c r="BP213" s="2060"/>
      <c r="BQ213" s="2060"/>
      <c r="BR213" s="2060"/>
      <c r="BS213" s="2060"/>
      <c r="BT213" s="2060"/>
      <c r="BU213" s="2060"/>
      <c r="BV213" s="2060"/>
      <c r="BW213" s="2060"/>
      <c r="BX213" s="2060"/>
      <c r="BY213" s="2060"/>
      <c r="BZ213" s="2060"/>
      <c r="CA213" s="2060"/>
      <c r="CB213" s="2060"/>
      <c r="CC213" s="2060"/>
      <c r="CD213" s="2060"/>
      <c r="CE213" s="2060"/>
      <c r="CF213" s="2060"/>
      <c r="CG213" s="2060"/>
      <c r="CH213" s="2060"/>
      <c r="CI213" s="2060"/>
      <c r="CJ213" s="2060"/>
      <c r="CK213" s="2060"/>
      <c r="CL213" s="2060"/>
      <c r="CM213" s="2060"/>
      <c r="CN213" s="2060"/>
      <c r="CO213" s="2060"/>
      <c r="CP213" s="2060"/>
      <c r="CQ213" s="2060"/>
      <c r="CR213" s="2060"/>
      <c r="CS213" s="2060"/>
      <c r="CT213" s="2060"/>
      <c r="CU213" s="2060"/>
      <c r="CV213" s="2060"/>
      <c r="CW213" s="2060"/>
      <c r="CX213" s="2060"/>
      <c r="CY213" s="2060"/>
      <c r="CZ213" s="2060"/>
      <c r="DA213" s="2060"/>
      <c r="DB213" s="2060"/>
      <c r="DC213" s="2060"/>
      <c r="DD213" s="2060"/>
      <c r="DE213" s="2060"/>
      <c r="DF213" s="2060"/>
      <c r="DG213" s="2060"/>
      <c r="DH213" s="2060"/>
      <c r="DI213" s="2060"/>
      <c r="DJ213" s="2060"/>
      <c r="DK213" s="2060"/>
      <c r="DL213" s="2060"/>
      <c r="DM213" s="2060"/>
      <c r="DN213" s="2060"/>
      <c r="DO213" s="2060"/>
      <c r="DP213" s="2060"/>
      <c r="DQ213" s="2060"/>
      <c r="DR213" s="2060"/>
      <c r="DS213" s="2060"/>
      <c r="DT213" s="2060"/>
      <c r="DU213" s="2060"/>
      <c r="DV213" s="2060"/>
      <c r="DW213" s="2060"/>
      <c r="DX213" s="2060"/>
      <c r="DY213" s="2060"/>
      <c r="DZ213" s="2060"/>
      <c r="EA213" s="2060"/>
      <c r="EB213" s="2060"/>
      <c r="EC213" s="2060"/>
      <c r="ED213" s="2060"/>
      <c r="EE213" s="2060"/>
      <c r="EF213" s="2060"/>
      <c r="EG213" s="2060"/>
      <c r="EH213" s="2060"/>
      <c r="EI213" s="2060"/>
      <c r="EJ213" s="2060"/>
      <c r="EK213" s="2060"/>
      <c r="EL213" s="2060"/>
      <c r="EM213" s="2060"/>
      <c r="EN213" s="2060"/>
      <c r="EO213" s="2060"/>
      <c r="EP213" s="2060"/>
      <c r="EQ213" s="2060"/>
      <c r="ER213" s="2060"/>
      <c r="ES213" s="2060"/>
      <c r="ET213" s="2060"/>
      <c r="EU213" s="2060"/>
      <c r="EV213" s="2060"/>
      <c r="EW213" s="2060"/>
      <c r="EX213" s="2060"/>
      <c r="EY213" s="2060"/>
      <c r="EZ213" s="2060"/>
      <c r="FA213" s="2060"/>
      <c r="FB213" s="2060"/>
      <c r="FC213" s="2060"/>
      <c r="FD213" s="2060"/>
      <c r="FE213" s="2060"/>
      <c r="FF213" s="2060"/>
      <c r="FG213" s="2060"/>
      <c r="FH213" s="2060"/>
      <c r="FI213" s="2060"/>
      <c r="FJ213" s="2060"/>
      <c r="FK213" s="2060"/>
      <c r="FL213" s="2060"/>
      <c r="FM213" s="2060"/>
      <c r="FN213" s="2060"/>
      <c r="FO213" s="2060"/>
      <c r="FP213" s="2060"/>
      <c r="FQ213" s="2060"/>
      <c r="FR213" s="2060"/>
      <c r="FS213" s="2060"/>
      <c r="FT213" s="2060"/>
      <c r="FU213" s="2060"/>
      <c r="FV213" s="2060"/>
      <c r="FW213" s="2060"/>
      <c r="FX213" s="2060"/>
      <c r="FY213" s="2060"/>
      <c r="FZ213" s="2060"/>
      <c r="GA213" s="2060"/>
      <c r="GB213" s="2060"/>
      <c r="GC213" s="2060"/>
    </row>
    <row r="214" spans="1:185" s="1499" customFormat="1">
      <c r="A214" s="659"/>
      <c r="B214" s="659"/>
      <c r="C214" s="128"/>
      <c r="D214" s="779"/>
      <c r="E214" s="1513" t="s">
        <v>1243</v>
      </c>
      <c r="F214" s="1506"/>
      <c r="G214" s="672" t="s">
        <v>1244</v>
      </c>
      <c r="H214" s="2170" t="s">
        <v>1245</v>
      </c>
      <c r="I214" s="2171"/>
      <c r="J214" s="1513" t="str">
        <f ca="1">"See section "&amp;C247&amp;" below for the size premia table."</f>
        <v>See section 6 below for the size premia table.</v>
      </c>
      <c r="K214" s="1506"/>
      <c r="L214" s="1506"/>
      <c r="M214" s="1506"/>
      <c r="N214" s="1506"/>
      <c r="O214" s="1506"/>
      <c r="P214" s="2060"/>
      <c r="Q214" s="2060"/>
      <c r="R214" s="2060"/>
      <c r="S214" s="2060"/>
      <c r="T214" s="2060"/>
      <c r="U214" s="2060"/>
      <c r="V214" s="2060"/>
      <c r="W214" s="128"/>
      <c r="X214" s="2060"/>
      <c r="Y214" s="2060"/>
      <c r="Z214" s="2060"/>
      <c r="AA214" s="2060"/>
      <c r="AB214" s="2060"/>
      <c r="AC214" s="2060"/>
      <c r="AD214" s="1004"/>
      <c r="AE214" s="2060"/>
      <c r="AF214" s="2060"/>
      <c r="AG214" s="2060"/>
      <c r="AH214" s="2060"/>
      <c r="AI214" s="2060"/>
      <c r="AJ214" s="2060"/>
      <c r="AK214" s="2060"/>
      <c r="AL214" s="2060"/>
      <c r="AM214" s="2060"/>
      <c r="AN214" s="2060"/>
      <c r="AO214" s="2060"/>
      <c r="AP214" s="2060"/>
      <c r="AQ214" s="2060"/>
      <c r="AR214" s="2060"/>
      <c r="AS214" s="2060"/>
      <c r="AT214" s="2060"/>
      <c r="AU214" s="2060"/>
      <c r="AV214" s="2060"/>
      <c r="AW214" s="2060"/>
      <c r="AX214" s="2060"/>
      <c r="AY214" s="2060"/>
      <c r="AZ214" s="2060"/>
      <c r="BA214" s="2060"/>
      <c r="BB214" s="2060"/>
      <c r="BC214" s="2060"/>
      <c r="BD214" s="2060"/>
      <c r="BE214" s="2060"/>
      <c r="BF214" s="2060"/>
      <c r="BG214" s="2060"/>
      <c r="BH214" s="2060"/>
      <c r="BI214" s="2060"/>
      <c r="BJ214" s="2060"/>
      <c r="BK214" s="2060"/>
      <c r="BL214" s="2060"/>
      <c r="BM214" s="2060"/>
      <c r="BN214" s="2060"/>
      <c r="BO214" s="2060"/>
      <c r="BP214" s="2060"/>
      <c r="BQ214" s="2060"/>
      <c r="BR214" s="2060"/>
      <c r="BS214" s="2060"/>
      <c r="BT214" s="2060"/>
      <c r="BU214" s="2060"/>
      <c r="BV214" s="2060"/>
      <c r="BW214" s="2060"/>
      <c r="BX214" s="2060"/>
      <c r="BY214" s="2060"/>
      <c r="BZ214" s="2060"/>
      <c r="CA214" s="2060"/>
      <c r="CB214" s="2060"/>
      <c r="CC214" s="2060"/>
      <c r="CD214" s="2060"/>
      <c r="CE214" s="2060"/>
      <c r="CF214" s="2060"/>
      <c r="CG214" s="2060"/>
      <c r="CH214" s="2060"/>
      <c r="CI214" s="2060"/>
      <c r="CJ214" s="2060"/>
      <c r="CK214" s="2060"/>
      <c r="CL214" s="2060"/>
      <c r="CM214" s="2060"/>
      <c r="CN214" s="2060"/>
      <c r="CO214" s="2060"/>
      <c r="CP214" s="2060"/>
      <c r="CQ214" s="2060"/>
      <c r="CR214" s="2060"/>
      <c r="CS214" s="2060"/>
      <c r="CT214" s="2060"/>
      <c r="CU214" s="2060"/>
      <c r="CV214" s="2060"/>
      <c r="CW214" s="2060"/>
      <c r="CX214" s="2060"/>
      <c r="CY214" s="2060"/>
      <c r="CZ214" s="2060"/>
      <c r="DA214" s="2060"/>
      <c r="DB214" s="2060"/>
      <c r="DC214" s="2060"/>
      <c r="DD214" s="2060"/>
      <c r="DE214" s="2060"/>
      <c r="DF214" s="2060"/>
      <c r="DG214" s="2060"/>
      <c r="DH214" s="2060"/>
      <c r="DI214" s="2060"/>
      <c r="DJ214" s="2060"/>
      <c r="DK214" s="2060"/>
      <c r="DL214" s="2060"/>
      <c r="DM214" s="2060"/>
      <c r="DN214" s="2060"/>
      <c r="DO214" s="2060"/>
      <c r="DP214" s="2060"/>
      <c r="DQ214" s="2060"/>
      <c r="DR214" s="2060"/>
      <c r="DS214" s="2060"/>
      <c r="DT214" s="2060"/>
      <c r="DU214" s="2060"/>
      <c r="DV214" s="2060"/>
      <c r="DW214" s="2060"/>
      <c r="DX214" s="2060"/>
      <c r="DY214" s="2060"/>
      <c r="DZ214" s="2060"/>
      <c r="EA214" s="2060"/>
      <c r="EB214" s="2060"/>
      <c r="EC214" s="2060"/>
      <c r="ED214" s="2060"/>
      <c r="EE214" s="2060"/>
      <c r="EF214" s="2060"/>
      <c r="EG214" s="2060"/>
      <c r="EH214" s="2060"/>
      <c r="EI214" s="2060"/>
      <c r="EJ214" s="2060"/>
      <c r="EK214" s="2060"/>
      <c r="EL214" s="2060"/>
      <c r="EM214" s="2060"/>
      <c r="EN214" s="2060"/>
      <c r="EO214" s="2060"/>
      <c r="EP214" s="2060"/>
      <c r="EQ214" s="2060"/>
      <c r="ER214" s="2060"/>
      <c r="ES214" s="2060"/>
      <c r="ET214" s="2060"/>
      <c r="EU214" s="2060"/>
      <c r="EV214" s="2060"/>
      <c r="EW214" s="2060"/>
      <c r="EX214" s="2060"/>
      <c r="EY214" s="2060"/>
      <c r="EZ214" s="2060"/>
      <c r="FA214" s="2060"/>
      <c r="FB214" s="2060"/>
      <c r="FC214" s="2060"/>
      <c r="FD214" s="2060"/>
      <c r="FE214" s="2060"/>
      <c r="FF214" s="2060"/>
      <c r="FG214" s="2060"/>
      <c r="FH214" s="2060"/>
      <c r="FI214" s="2060"/>
      <c r="FJ214" s="2060"/>
      <c r="FK214" s="2060"/>
      <c r="FL214" s="2060"/>
      <c r="FM214" s="2060"/>
      <c r="FN214" s="2060"/>
      <c r="FO214" s="2060"/>
      <c r="FP214" s="2060"/>
      <c r="FQ214" s="2060"/>
      <c r="FR214" s="2060"/>
      <c r="FS214" s="2060"/>
      <c r="FT214" s="2060"/>
      <c r="FU214" s="2060"/>
      <c r="FV214" s="2060"/>
      <c r="FW214" s="2060"/>
      <c r="FX214" s="2060"/>
      <c r="FY214" s="2060"/>
      <c r="FZ214" s="2060"/>
      <c r="GA214" s="2060"/>
      <c r="GB214" s="2060"/>
      <c r="GC214" s="2060"/>
    </row>
    <row r="215" spans="1:185" s="1499" customFormat="1">
      <c r="A215" s="659"/>
      <c r="B215" s="659"/>
      <c r="C215" s="128"/>
      <c r="D215" s="128"/>
      <c r="E215" s="1506"/>
      <c r="F215" s="1506"/>
      <c r="G215" s="672"/>
      <c r="H215" s="1506"/>
      <c r="I215" s="1506"/>
      <c r="J215" s="1506"/>
      <c r="K215" s="1506"/>
      <c r="L215" s="1506"/>
      <c r="M215" s="1506"/>
      <c r="N215" s="1506"/>
      <c r="O215" s="1506"/>
      <c r="P215" s="2060"/>
      <c r="Q215" s="2060"/>
      <c r="R215" s="2060"/>
      <c r="S215" s="2060"/>
      <c r="T215" s="2060"/>
      <c r="U215" s="2060"/>
      <c r="V215" s="2060"/>
      <c r="W215" s="128"/>
      <c r="X215" s="2060"/>
      <c r="Y215" s="2060"/>
      <c r="Z215" s="2060"/>
      <c r="AA215" s="2060"/>
      <c r="AB215" s="2060"/>
      <c r="AC215" s="2060"/>
      <c r="AD215" s="1004"/>
      <c r="AE215" s="2060"/>
      <c r="AF215" s="2060"/>
      <c r="AG215" s="2060"/>
      <c r="AH215" s="2060"/>
      <c r="AI215" s="2060"/>
      <c r="AJ215" s="2060"/>
      <c r="AK215" s="2060"/>
      <c r="AL215" s="2060"/>
      <c r="AM215" s="2060"/>
      <c r="AN215" s="2060"/>
      <c r="AO215" s="2060"/>
      <c r="AP215" s="2060"/>
      <c r="AQ215" s="2060"/>
      <c r="AR215" s="2060"/>
      <c r="AS215" s="2060"/>
      <c r="AT215" s="2060"/>
      <c r="AU215" s="2060"/>
      <c r="AV215" s="2060"/>
      <c r="AW215" s="2060"/>
      <c r="AX215" s="2060"/>
      <c r="AY215" s="2060"/>
      <c r="AZ215" s="2060"/>
      <c r="BA215" s="2060"/>
      <c r="BB215" s="2060"/>
      <c r="BC215" s="2060"/>
      <c r="BD215" s="2060"/>
      <c r="BE215" s="2060"/>
      <c r="BF215" s="2060"/>
      <c r="BG215" s="2060"/>
      <c r="BH215" s="2060"/>
      <c r="BI215" s="2060"/>
      <c r="BJ215" s="2060"/>
      <c r="BK215" s="2060"/>
      <c r="BL215" s="2060"/>
      <c r="BM215" s="2060"/>
      <c r="BN215" s="2060"/>
      <c r="BO215" s="2060"/>
      <c r="BP215" s="2060"/>
      <c r="BQ215" s="2060"/>
      <c r="BR215" s="2060"/>
      <c r="BS215" s="2060"/>
      <c r="BT215" s="2060"/>
      <c r="BU215" s="2060"/>
      <c r="BV215" s="2060"/>
      <c r="BW215" s="2060"/>
      <c r="BX215" s="2060"/>
      <c r="BY215" s="2060"/>
      <c r="BZ215" s="2060"/>
      <c r="CA215" s="2060"/>
      <c r="CB215" s="2060"/>
      <c r="CC215" s="2060"/>
      <c r="CD215" s="2060"/>
      <c r="CE215" s="2060"/>
      <c r="CF215" s="2060"/>
      <c r="CG215" s="2060"/>
      <c r="CH215" s="2060"/>
      <c r="CI215" s="2060"/>
      <c r="CJ215" s="2060"/>
      <c r="CK215" s="2060"/>
      <c r="CL215" s="2060"/>
      <c r="CM215" s="2060"/>
      <c r="CN215" s="2060"/>
      <c r="CO215" s="2060"/>
      <c r="CP215" s="2060"/>
      <c r="CQ215" s="2060"/>
      <c r="CR215" s="2060"/>
      <c r="CS215" s="2060"/>
      <c r="CT215" s="2060"/>
      <c r="CU215" s="2060"/>
      <c r="CV215" s="2060"/>
      <c r="CW215" s="2060"/>
      <c r="CX215" s="2060"/>
      <c r="CY215" s="2060"/>
      <c r="CZ215" s="2060"/>
      <c r="DA215" s="2060"/>
      <c r="DB215" s="2060"/>
      <c r="DC215" s="2060"/>
      <c r="DD215" s="2060"/>
      <c r="DE215" s="2060"/>
      <c r="DF215" s="2060"/>
      <c r="DG215" s="2060"/>
      <c r="DH215" s="2060"/>
      <c r="DI215" s="2060"/>
      <c r="DJ215" s="2060"/>
      <c r="DK215" s="2060"/>
      <c r="DL215" s="2060"/>
      <c r="DM215" s="2060"/>
      <c r="DN215" s="2060"/>
      <c r="DO215" s="2060"/>
      <c r="DP215" s="2060"/>
      <c r="DQ215" s="2060"/>
      <c r="DR215" s="2060"/>
      <c r="DS215" s="2060"/>
      <c r="DT215" s="2060"/>
      <c r="DU215" s="2060"/>
      <c r="DV215" s="2060"/>
      <c r="DW215" s="2060"/>
      <c r="DX215" s="2060"/>
      <c r="DY215" s="2060"/>
      <c r="DZ215" s="2060"/>
      <c r="EA215" s="2060"/>
      <c r="EB215" s="2060"/>
      <c r="EC215" s="2060"/>
      <c r="ED215" s="2060"/>
      <c r="EE215" s="2060"/>
      <c r="EF215" s="2060"/>
      <c r="EG215" s="2060"/>
      <c r="EH215" s="2060"/>
      <c r="EI215" s="2060"/>
      <c r="EJ215" s="2060"/>
      <c r="EK215" s="2060"/>
      <c r="EL215" s="2060"/>
      <c r="EM215" s="2060"/>
      <c r="EN215" s="2060"/>
      <c r="EO215" s="2060"/>
      <c r="EP215" s="2060"/>
      <c r="EQ215" s="2060"/>
      <c r="ER215" s="2060"/>
      <c r="ES215" s="2060"/>
      <c r="ET215" s="2060"/>
      <c r="EU215" s="2060"/>
      <c r="EV215" s="2060"/>
      <c r="EW215" s="2060"/>
      <c r="EX215" s="2060"/>
      <c r="EY215" s="2060"/>
      <c r="EZ215" s="2060"/>
      <c r="FA215" s="2060"/>
      <c r="FB215" s="2060"/>
      <c r="FC215" s="2060"/>
      <c r="FD215" s="2060"/>
      <c r="FE215" s="2060"/>
      <c r="FF215" s="2060"/>
      <c r="FG215" s="2060"/>
      <c r="FH215" s="2060"/>
      <c r="FI215" s="2060"/>
      <c r="FJ215" s="2060"/>
      <c r="FK215" s="2060"/>
      <c r="FL215" s="2060"/>
      <c r="FM215" s="2060"/>
      <c r="FN215" s="2060"/>
      <c r="FO215" s="2060"/>
      <c r="FP215" s="2060"/>
      <c r="FQ215" s="2060"/>
      <c r="FR215" s="2060"/>
      <c r="FS215" s="2060"/>
      <c r="FT215" s="2060"/>
      <c r="FU215" s="2060"/>
      <c r="FV215" s="2060"/>
      <c r="FW215" s="2060"/>
      <c r="FX215" s="2060"/>
      <c r="FY215" s="2060"/>
      <c r="FZ215" s="2060"/>
      <c r="GA215" s="2060"/>
      <c r="GB215" s="2060"/>
      <c r="GC215" s="2060"/>
    </row>
    <row r="216" spans="1:185" customFormat="1" ht="18">
      <c r="A216" s="1004"/>
      <c r="B216" s="1004"/>
      <c r="C216" s="1639">
        <f ca="1">MAX(OFFSET(C216,-1,0,-ROW(C216)+1,1))+1</f>
        <v>5</v>
      </c>
      <c r="D216" s="1634" t="str">
        <f>EVorTICFull&amp;" multiples (by Capital IQ)"</f>
        <v>Total invested capital multiples (by Capital IQ)</v>
      </c>
      <c r="E216" s="1635"/>
      <c r="F216" s="1636"/>
      <c r="G216" s="1640"/>
      <c r="H216" s="1638"/>
      <c r="I216" s="1638"/>
      <c r="J216" s="1638"/>
      <c r="K216" s="1638"/>
      <c r="L216" s="1638"/>
      <c r="M216" s="1638"/>
      <c r="N216" s="1638"/>
      <c r="O216" s="1638"/>
      <c r="P216" s="1638"/>
      <c r="Q216" s="1004"/>
      <c r="R216" s="1004"/>
      <c r="S216" s="1004"/>
      <c r="T216" s="1004"/>
      <c r="U216" s="1004"/>
      <c r="V216" s="1004"/>
      <c r="W216" s="1004"/>
      <c r="X216" s="1004"/>
      <c r="Y216" s="1641" t="s">
        <v>1080</v>
      </c>
      <c r="Z216" s="1004"/>
      <c r="AA216" s="1004"/>
      <c r="AB216" s="1004"/>
      <c r="AC216" s="1004"/>
      <c r="AD216" s="1004"/>
      <c r="AE216" s="2060"/>
      <c r="AF216" s="2060"/>
      <c r="AG216" s="2060"/>
      <c r="AH216" s="2060"/>
      <c r="AI216" s="2060"/>
      <c r="AJ216" s="2060"/>
      <c r="AK216" s="2060"/>
      <c r="AL216" s="2060"/>
      <c r="AM216" s="2060"/>
      <c r="AN216" s="2060"/>
      <c r="AO216" s="2060"/>
      <c r="AP216" s="2060"/>
      <c r="AQ216" s="2060"/>
      <c r="AR216" s="2060"/>
      <c r="AS216" s="2060"/>
      <c r="AT216" s="2060"/>
      <c r="AU216" s="2060"/>
      <c r="AV216" s="2060"/>
      <c r="AW216" s="2060"/>
      <c r="AX216" s="2060"/>
      <c r="AY216" s="2060"/>
      <c r="AZ216" s="2060"/>
      <c r="BA216" s="2060"/>
      <c r="BB216" s="2060"/>
      <c r="BC216" s="2060"/>
      <c r="BD216" s="2060"/>
      <c r="BE216" s="2060"/>
      <c r="BF216" s="2060"/>
      <c r="BG216" s="2060"/>
      <c r="BH216" s="2060"/>
      <c r="BI216" s="2060"/>
      <c r="BJ216" s="2060"/>
      <c r="BK216" s="2060"/>
      <c r="BL216" s="2060"/>
      <c r="BM216" s="2060"/>
      <c r="BN216" s="2060"/>
      <c r="BO216" s="2060"/>
      <c r="BP216" s="2060"/>
      <c r="BQ216" s="2060"/>
      <c r="BR216" s="2060"/>
      <c r="BS216" s="2060"/>
      <c r="BT216" s="2060"/>
      <c r="BU216" s="2060"/>
      <c r="BV216" s="2060"/>
      <c r="BW216" s="2060"/>
      <c r="BX216" s="2060"/>
      <c r="BY216" s="2060"/>
      <c r="BZ216" s="2060"/>
      <c r="CA216" s="2060"/>
      <c r="CB216" s="2060"/>
      <c r="CC216" s="2060"/>
      <c r="CD216" s="2060"/>
      <c r="CE216" s="2060"/>
      <c r="CF216" s="2060"/>
      <c r="CG216" s="2060"/>
      <c r="CH216" s="2060"/>
      <c r="CI216" s="2060"/>
      <c r="CJ216" s="2060"/>
      <c r="CK216" s="2060"/>
      <c r="CL216" s="2060"/>
      <c r="CM216" s="2060"/>
      <c r="CN216" s="2060"/>
      <c r="CO216" s="2060"/>
      <c r="CP216" s="2060"/>
      <c r="CQ216" s="2060"/>
      <c r="CR216" s="2060"/>
      <c r="CS216" s="2060"/>
      <c r="CT216" s="2060"/>
      <c r="CU216" s="2060"/>
      <c r="CV216" s="2060"/>
      <c r="CW216" s="2060"/>
      <c r="CX216" s="2060"/>
      <c r="CY216" s="2060"/>
      <c r="CZ216" s="2060"/>
      <c r="DA216" s="2060"/>
      <c r="DB216" s="2060"/>
      <c r="DC216" s="2060"/>
      <c r="DD216" s="2060"/>
      <c r="DE216" s="2060"/>
      <c r="DF216" s="2060"/>
      <c r="DG216" s="2060"/>
      <c r="DH216" s="2060"/>
      <c r="DI216" s="2060"/>
      <c r="DJ216" s="2060"/>
      <c r="DK216" s="2060"/>
      <c r="DL216" s="2060"/>
      <c r="DM216" s="2060"/>
      <c r="DN216" s="2060"/>
      <c r="DO216" s="2060"/>
      <c r="DP216" s="2060"/>
      <c r="DQ216" s="2060"/>
      <c r="DR216" s="2060"/>
      <c r="DS216" s="2060"/>
      <c r="DT216" s="2060"/>
      <c r="DU216" s="2060"/>
      <c r="DV216" s="2060"/>
      <c r="DW216" s="2060"/>
      <c r="DX216" s="2060"/>
      <c r="DY216" s="2060"/>
      <c r="DZ216" s="2060"/>
      <c r="EA216" s="2060"/>
      <c r="EB216" s="2060"/>
      <c r="EC216" s="2060"/>
      <c r="ED216" s="2060"/>
      <c r="EE216" s="2060"/>
      <c r="EF216" s="2060"/>
      <c r="EG216" s="2060"/>
      <c r="EH216" s="2060"/>
      <c r="EI216" s="2060"/>
      <c r="EJ216" s="2060"/>
      <c r="EK216" s="2060"/>
      <c r="EL216" s="2060"/>
      <c r="EM216" s="2060"/>
      <c r="EN216" s="2060"/>
      <c r="EO216" s="2060"/>
      <c r="EP216" s="2060"/>
      <c r="EQ216" s="2060"/>
      <c r="ER216" s="2060"/>
      <c r="ES216" s="2060"/>
      <c r="ET216" s="2060"/>
      <c r="EU216" s="2060"/>
      <c r="EV216" s="2060"/>
      <c r="EW216" s="2060"/>
      <c r="EX216" s="2060"/>
      <c r="EY216" s="2060"/>
      <c r="EZ216" s="2060"/>
      <c r="FA216" s="2060"/>
      <c r="FB216" s="2060"/>
      <c r="FC216" s="2060"/>
      <c r="FD216" s="2060"/>
      <c r="FE216" s="2060"/>
      <c r="FF216" s="2060"/>
      <c r="FG216" s="2060"/>
      <c r="FH216" s="2060"/>
      <c r="FI216" s="2060"/>
      <c r="FJ216" s="2060"/>
      <c r="FK216" s="2060"/>
      <c r="FL216" s="2060"/>
      <c r="FM216" s="2060"/>
      <c r="FN216" s="2060"/>
      <c r="FO216" s="2060"/>
      <c r="FP216" s="2060"/>
      <c r="FQ216" s="2060"/>
      <c r="FR216" s="2060"/>
      <c r="FS216" s="2060"/>
      <c r="FT216" s="2060"/>
      <c r="FU216" s="2060"/>
      <c r="FV216" s="2060"/>
      <c r="FW216" s="2060"/>
      <c r="FX216" s="2060"/>
      <c r="FY216" s="2060"/>
      <c r="FZ216" s="2060"/>
      <c r="GA216" s="2060"/>
      <c r="GB216" s="2060"/>
      <c r="GC216" s="2060"/>
    </row>
    <row r="217" spans="1:185" customFormat="1">
      <c r="A217" s="1004"/>
      <c r="B217" s="1004"/>
      <c r="C217" s="1502"/>
      <c r="D217" s="2060"/>
      <c r="E217" s="2060"/>
      <c r="F217" s="2060"/>
      <c r="G217" s="734"/>
      <c r="H217" s="724"/>
      <c r="I217" s="724"/>
      <c r="J217" s="734"/>
      <c r="K217" s="724"/>
      <c r="L217" s="734"/>
      <c r="M217" s="734"/>
      <c r="N217" s="734"/>
      <c r="O217" s="734"/>
      <c r="P217" s="734"/>
      <c r="Q217" s="734"/>
      <c r="R217" s="734"/>
      <c r="S217" s="734"/>
      <c r="T217" s="2060"/>
      <c r="U217" s="2060"/>
      <c r="V217" s="2060"/>
      <c r="W217" s="2060"/>
      <c r="X217" s="2060"/>
      <c r="Y217" s="726" t="str">
        <f>IF(MySubArea="US","Total","")</f>
        <v/>
      </c>
      <c r="Z217" s="2060"/>
      <c r="AA217" s="2060"/>
      <c r="AB217" s="2060"/>
      <c r="AC217" s="2060"/>
      <c r="AD217" s="1004"/>
      <c r="AE217" s="2060"/>
      <c r="AF217" s="2060"/>
      <c r="AG217" s="2060"/>
      <c r="AH217" s="2060"/>
      <c r="AI217" s="2060"/>
      <c r="AJ217" s="2060"/>
      <c r="AK217" s="2060"/>
      <c r="AL217" s="2060"/>
      <c r="AM217" s="2060"/>
      <c r="AN217" s="2060"/>
      <c r="AO217" s="2060"/>
      <c r="AP217" s="2060"/>
      <c r="AQ217" s="2060"/>
      <c r="AR217" s="2060"/>
      <c r="AS217" s="2060"/>
      <c r="AT217" s="2060"/>
      <c r="AU217" s="2060"/>
      <c r="AV217" s="2060"/>
      <c r="AW217" s="2060"/>
      <c r="AX217" s="2060"/>
      <c r="AY217" s="2060"/>
      <c r="AZ217" s="2060"/>
      <c r="BA217" s="2060"/>
      <c r="BB217" s="2060"/>
      <c r="BC217" s="2060"/>
      <c r="BD217" s="2060"/>
      <c r="BE217" s="2060"/>
      <c r="BF217" s="2060"/>
      <c r="BG217" s="2060"/>
      <c r="BH217" s="2060"/>
      <c r="BI217" s="2060"/>
      <c r="BJ217" s="2060"/>
      <c r="BK217" s="2060"/>
      <c r="BL217" s="2060"/>
      <c r="BM217" s="2060"/>
      <c r="BN217" s="2060"/>
      <c r="BO217" s="2060"/>
      <c r="BP217" s="2060"/>
      <c r="BQ217" s="2060"/>
      <c r="BR217" s="2060"/>
      <c r="BS217" s="2060"/>
      <c r="BT217" s="2060"/>
      <c r="BU217" s="2060"/>
      <c r="BV217" s="2060"/>
      <c r="BW217" s="2060"/>
      <c r="BX217" s="2060"/>
      <c r="BY217" s="2060"/>
      <c r="BZ217" s="2060"/>
      <c r="CA217" s="2060"/>
      <c r="CB217" s="2060"/>
      <c r="CC217" s="2060"/>
      <c r="CD217" s="2060"/>
      <c r="CE217" s="2060"/>
      <c r="CF217" s="2060"/>
      <c r="CG217" s="2060"/>
      <c r="CH217" s="2060"/>
      <c r="CI217" s="2060"/>
      <c r="CJ217" s="2060"/>
      <c r="CK217" s="2060"/>
      <c r="CL217" s="2060"/>
      <c r="CM217" s="2060"/>
      <c r="CN217" s="2060"/>
      <c r="CO217" s="2060"/>
      <c r="CP217" s="2060"/>
      <c r="CQ217" s="2060"/>
      <c r="CR217" s="2060"/>
      <c r="CS217" s="2060"/>
      <c r="CT217" s="2060"/>
      <c r="CU217" s="2060"/>
      <c r="CV217" s="2060"/>
      <c r="CW217" s="2060"/>
      <c r="CX217" s="2060"/>
      <c r="CY217" s="2060"/>
      <c r="CZ217" s="2060"/>
      <c r="DA217" s="2060"/>
      <c r="DB217" s="2060"/>
      <c r="DC217" s="2060"/>
      <c r="DD217" s="2060"/>
      <c r="DE217" s="2060"/>
      <c r="DF217" s="2060"/>
      <c r="DG217" s="2060"/>
      <c r="DH217" s="2060"/>
      <c r="DI217" s="2060"/>
      <c r="DJ217" s="2060"/>
      <c r="DK217" s="2060"/>
      <c r="DL217" s="2060"/>
      <c r="DM217" s="2060"/>
      <c r="DN217" s="2060"/>
      <c r="DO217" s="2060"/>
      <c r="DP217" s="2060"/>
      <c r="DQ217" s="2060"/>
      <c r="DR217" s="2060"/>
      <c r="DS217" s="2060"/>
      <c r="DT217" s="2060"/>
      <c r="DU217" s="2060"/>
      <c r="DV217" s="2060"/>
      <c r="DW217" s="2060"/>
      <c r="DX217" s="2060"/>
      <c r="DY217" s="2060"/>
      <c r="DZ217" s="2060"/>
      <c r="EA217" s="2060"/>
      <c r="EB217" s="2060"/>
      <c r="EC217" s="2060"/>
      <c r="ED217" s="2060"/>
      <c r="EE217" s="2060"/>
      <c r="EF217" s="2060"/>
      <c r="EG217" s="2060"/>
      <c r="EH217" s="2060"/>
      <c r="EI217" s="2060"/>
      <c r="EJ217" s="2060"/>
      <c r="EK217" s="2060"/>
      <c r="EL217" s="2060"/>
      <c r="EM217" s="2060"/>
      <c r="EN217" s="2060"/>
      <c r="EO217" s="2060"/>
      <c r="EP217" s="2060"/>
      <c r="EQ217" s="2060"/>
      <c r="ER217" s="2060"/>
      <c r="ES217" s="2060"/>
      <c r="ET217" s="2060"/>
      <c r="EU217" s="2060"/>
      <c r="EV217" s="2060"/>
      <c r="EW217" s="2060"/>
      <c r="EX217" s="2060"/>
      <c r="EY217" s="2060"/>
      <c r="EZ217" s="2060"/>
      <c r="FA217" s="2060"/>
      <c r="FB217" s="2060"/>
      <c r="FC217" s="2060"/>
      <c r="FD217" s="2060"/>
      <c r="FE217" s="2060"/>
      <c r="FF217" s="2060"/>
      <c r="FG217" s="2060"/>
      <c r="FH217" s="2060"/>
      <c r="FI217" s="2060"/>
      <c r="FJ217" s="2060"/>
      <c r="FK217" s="2060"/>
      <c r="FL217" s="2060"/>
      <c r="FM217" s="2060"/>
      <c r="FN217" s="2060"/>
      <c r="FO217" s="2060"/>
      <c r="FP217" s="2060"/>
      <c r="FQ217" s="2060"/>
      <c r="FR217" s="2060"/>
      <c r="FS217" s="2060"/>
      <c r="FT217" s="2060"/>
      <c r="FU217" s="2060"/>
      <c r="FV217" s="2060"/>
      <c r="FW217" s="2060"/>
      <c r="FX217" s="2060"/>
      <c r="FY217" s="2060"/>
      <c r="FZ217" s="2060"/>
      <c r="GA217" s="2060"/>
      <c r="GB217" s="2060"/>
      <c r="GC217" s="2060"/>
    </row>
    <row r="218" spans="1:185" customFormat="1">
      <c r="A218" s="1004"/>
      <c r="B218" s="1004"/>
      <c r="C218" s="1502"/>
      <c r="D218" s="2060"/>
      <c r="E218" s="734"/>
      <c r="F218" s="2060"/>
      <c r="G218" s="734"/>
      <c r="H218" s="1054">
        <f>Valuation_date</f>
        <v>42794</v>
      </c>
      <c r="I218" s="726"/>
      <c r="J218" s="726" t="s">
        <v>1246</v>
      </c>
      <c r="K218" s="726" t="s">
        <v>1247</v>
      </c>
      <c r="L218" s="726" t="s">
        <v>1248</v>
      </c>
      <c r="M218" s="726" t="s">
        <v>1236</v>
      </c>
      <c r="N218" s="726" t="str">
        <f>IF(N(M221),"Total market","Total")</f>
        <v>Total</v>
      </c>
      <c r="O218" s="734"/>
      <c r="P218" s="726" t="s">
        <v>1249</v>
      </c>
      <c r="Q218" s="726" t="s">
        <v>1250</v>
      </c>
      <c r="R218" s="726" t="s">
        <v>1249</v>
      </c>
      <c r="S218" s="726" t="s">
        <v>1249</v>
      </c>
      <c r="T218" s="726" t="str">
        <f>IF(MySubArea="US","Total","")</f>
        <v/>
      </c>
      <c r="U218" s="726" t="str">
        <f>EVorTIC</f>
        <v>TIC</v>
      </c>
      <c r="V218" s="726" t="str">
        <f>IF(MySubArea="US","Total",IF(N(U221),"Enterprise",""))</f>
        <v/>
      </c>
      <c r="W218" s="2060"/>
      <c r="X218" s="2060"/>
      <c r="Y218" s="726" t="str">
        <f>IF(MySubArea="US","Invested","Enterprise")</f>
        <v>Enterprise</v>
      </c>
      <c r="Z218" s="2060"/>
      <c r="AA218" s="2060"/>
      <c r="AB218" s="2060"/>
      <c r="AC218" s="2060"/>
      <c r="AD218" s="1004"/>
      <c r="AE218" s="2060"/>
      <c r="AF218" s="2060"/>
      <c r="AG218" s="2060"/>
      <c r="AH218" s="2060"/>
      <c r="AI218" s="2060"/>
      <c r="AJ218" s="2060"/>
      <c r="AK218" s="2060"/>
      <c r="AL218" s="2060"/>
      <c r="AM218" s="2060"/>
      <c r="AN218" s="2060"/>
      <c r="AO218" s="2060"/>
      <c r="AP218" s="2060"/>
      <c r="AQ218" s="2060"/>
      <c r="AR218" s="2060"/>
      <c r="AS218" s="2060"/>
      <c r="AT218" s="2060"/>
      <c r="AU218" s="2060"/>
      <c r="AV218" s="2060"/>
      <c r="AW218" s="2060"/>
      <c r="AX218" s="2060"/>
      <c r="AY218" s="2060"/>
      <c r="AZ218" s="2060"/>
      <c r="BA218" s="2060"/>
      <c r="BB218" s="2060"/>
      <c r="BC218" s="2060"/>
      <c r="BD218" s="2060"/>
      <c r="BE218" s="2060"/>
      <c r="BF218" s="2060"/>
      <c r="BG218" s="2060"/>
      <c r="BH218" s="2060"/>
      <c r="BI218" s="2060"/>
      <c r="BJ218" s="2060"/>
      <c r="BK218" s="2060"/>
      <c r="BL218" s="2060"/>
      <c r="BM218" s="2060"/>
      <c r="BN218" s="2060"/>
      <c r="BO218" s="2060"/>
      <c r="BP218" s="2060"/>
      <c r="BQ218" s="2060"/>
      <c r="BR218" s="2060"/>
      <c r="BS218" s="2060"/>
      <c r="BT218" s="2060"/>
      <c r="BU218" s="2060"/>
      <c r="BV218" s="2060"/>
      <c r="BW218" s="2060"/>
      <c r="BX218" s="2060"/>
      <c r="BY218" s="2060"/>
      <c r="BZ218" s="2060"/>
      <c r="CA218" s="2060"/>
      <c r="CB218" s="2060"/>
      <c r="CC218" s="2060"/>
      <c r="CD218" s="2060"/>
      <c r="CE218" s="2060"/>
      <c r="CF218" s="2060"/>
      <c r="CG218" s="2060"/>
      <c r="CH218" s="2060"/>
      <c r="CI218" s="2060"/>
      <c r="CJ218" s="2060"/>
      <c r="CK218" s="2060"/>
      <c r="CL218" s="2060"/>
      <c r="CM218" s="2060"/>
      <c r="CN218" s="2060"/>
      <c r="CO218" s="2060"/>
      <c r="CP218" s="2060"/>
      <c r="CQ218" s="2060"/>
      <c r="CR218" s="2060"/>
      <c r="CS218" s="2060"/>
      <c r="CT218" s="2060"/>
      <c r="CU218" s="2060"/>
      <c r="CV218" s="2060"/>
      <c r="CW218" s="2060"/>
      <c r="CX218" s="2060"/>
      <c r="CY218" s="2060"/>
      <c r="CZ218" s="2060"/>
      <c r="DA218" s="2060"/>
      <c r="DB218" s="2060"/>
      <c r="DC218" s="2060"/>
      <c r="DD218" s="2060"/>
      <c r="DE218" s="2060"/>
      <c r="DF218" s="2060"/>
      <c r="DG218" s="2060"/>
      <c r="DH218" s="2060"/>
      <c r="DI218" s="2060"/>
      <c r="DJ218" s="2060"/>
      <c r="DK218" s="2060"/>
      <c r="DL218" s="2060"/>
      <c r="DM218" s="2060"/>
      <c r="DN218" s="2060"/>
      <c r="DO218" s="2060"/>
      <c r="DP218" s="2060"/>
      <c r="DQ218" s="2060"/>
      <c r="DR218" s="2060"/>
      <c r="DS218" s="2060"/>
      <c r="DT218" s="2060"/>
      <c r="DU218" s="2060"/>
      <c r="DV218" s="2060"/>
      <c r="DW218" s="2060"/>
      <c r="DX218" s="2060"/>
      <c r="DY218" s="2060"/>
      <c r="DZ218" s="2060"/>
      <c r="EA218" s="2060"/>
      <c r="EB218" s="2060"/>
      <c r="EC218" s="2060"/>
      <c r="ED218" s="2060"/>
      <c r="EE218" s="2060"/>
      <c r="EF218" s="2060"/>
      <c r="EG218" s="2060"/>
      <c r="EH218" s="2060"/>
      <c r="EI218" s="2060"/>
      <c r="EJ218" s="2060"/>
      <c r="EK218" s="2060"/>
      <c r="EL218" s="2060"/>
      <c r="EM218" s="2060"/>
      <c r="EN218" s="2060"/>
      <c r="EO218" s="2060"/>
      <c r="EP218" s="2060"/>
      <c r="EQ218" s="2060"/>
      <c r="ER218" s="2060"/>
      <c r="ES218" s="2060"/>
      <c r="ET218" s="2060"/>
      <c r="EU218" s="2060"/>
      <c r="EV218" s="2060"/>
      <c r="EW218" s="2060"/>
      <c r="EX218" s="2060"/>
      <c r="EY218" s="2060"/>
      <c r="EZ218" s="2060"/>
      <c r="FA218" s="2060"/>
      <c r="FB218" s="2060"/>
      <c r="FC218" s="2060"/>
      <c r="FD218" s="2060"/>
      <c r="FE218" s="2060"/>
      <c r="FF218" s="2060"/>
      <c r="FG218" s="2060"/>
      <c r="FH218" s="2060"/>
      <c r="FI218" s="2060"/>
      <c r="FJ218" s="2060"/>
      <c r="FK218" s="2060"/>
      <c r="FL218" s="2060"/>
      <c r="FM218" s="2060"/>
      <c r="FN218" s="2060"/>
      <c r="FO218" s="2060"/>
      <c r="FP218" s="2060"/>
      <c r="FQ218" s="2060"/>
      <c r="FR218" s="2060"/>
      <c r="FS218" s="2060"/>
      <c r="FT218" s="2060"/>
      <c r="FU218" s="2060"/>
      <c r="FV218" s="2060"/>
      <c r="FW218" s="2060"/>
      <c r="FX218" s="2060"/>
      <c r="FY218" s="2060"/>
      <c r="FZ218" s="2060"/>
      <c r="GA218" s="2060"/>
      <c r="GB218" s="2060"/>
      <c r="GC218" s="2060"/>
    </row>
    <row r="219" spans="1:185" customFormat="1">
      <c r="A219" s="1004"/>
      <c r="B219" s="1004"/>
      <c r="C219" s="1502"/>
      <c r="D219" s="2060"/>
      <c r="E219" s="734"/>
      <c r="F219" s="2060"/>
      <c r="G219" s="726"/>
      <c r="H219" s="726" t="s">
        <v>1251</v>
      </c>
      <c r="I219" s="726" t="s">
        <v>1246</v>
      </c>
      <c r="J219" s="726" t="s">
        <v>1181</v>
      </c>
      <c r="K219" s="726" t="s">
        <v>1181</v>
      </c>
      <c r="L219" s="726" t="s">
        <v>1181</v>
      </c>
      <c r="M219" s="726" t="s">
        <v>1252</v>
      </c>
      <c r="N219" s="726" t="str">
        <f>IF(N(M221),"capital w/","market")</f>
        <v>market</v>
      </c>
      <c r="O219" s="734"/>
      <c r="P219" s="726" t="s">
        <v>1248</v>
      </c>
      <c r="Q219" s="726" t="s">
        <v>1253</v>
      </c>
      <c r="R219" s="726" t="s">
        <v>1254</v>
      </c>
      <c r="S219" s="726" t="s">
        <v>1255</v>
      </c>
      <c r="T219" s="726" t="str">
        <f>IF(MySubArea="US","Invested","Enterprise")</f>
        <v>Enterprise</v>
      </c>
      <c r="U219" s="726" t="s">
        <v>1252</v>
      </c>
      <c r="V219" s="726" t="str">
        <f>IF(MySubArea="US",IF(N(U221),"Invested Capital","Invested"),IF(N(U221),"Value","Enterprise"))</f>
        <v>Enterprise</v>
      </c>
      <c r="W219" s="726"/>
      <c r="X219" s="2060"/>
      <c r="Y219" s="726" t="str">
        <f>IF(MySubArea="US","Capital at","Value at")</f>
        <v>Value at</v>
      </c>
      <c r="Z219" s="2060"/>
      <c r="AA219" s="2060"/>
      <c r="AB219" s="2060"/>
      <c r="AC219" s="2060"/>
      <c r="AD219" s="1004"/>
      <c r="AE219" s="2060"/>
      <c r="AF219" s="2060"/>
      <c r="AG219" s="2060"/>
      <c r="AH219" s="2060"/>
      <c r="AI219" s="2060"/>
      <c r="AJ219" s="2060"/>
      <c r="AK219" s="2060"/>
      <c r="AL219" s="2060"/>
      <c r="AM219" s="2060"/>
      <c r="AN219" s="2060"/>
      <c r="AO219" s="2060"/>
      <c r="AP219" s="2060"/>
      <c r="AQ219" s="2060"/>
      <c r="AR219" s="2060"/>
      <c r="AS219" s="2060"/>
      <c r="AT219" s="2060"/>
      <c r="AU219" s="2060"/>
      <c r="AV219" s="2060"/>
      <c r="AW219" s="2060"/>
      <c r="AX219" s="2060"/>
      <c r="AY219" s="2060"/>
      <c r="AZ219" s="2060"/>
      <c r="BA219" s="2060"/>
      <c r="BB219" s="2060"/>
      <c r="BC219" s="2060"/>
      <c r="BD219" s="2060"/>
      <c r="BE219" s="2060"/>
      <c r="BF219" s="2060"/>
      <c r="BG219" s="2060"/>
      <c r="BH219" s="2060"/>
      <c r="BI219" s="2060"/>
      <c r="BJ219" s="2060"/>
      <c r="BK219" s="2060"/>
      <c r="BL219" s="2060"/>
      <c r="BM219" s="2060"/>
      <c r="BN219" s="2060"/>
      <c r="BO219" s="2060"/>
      <c r="BP219" s="2060"/>
      <c r="BQ219" s="2060"/>
      <c r="BR219" s="2060"/>
      <c r="BS219" s="2060"/>
      <c r="BT219" s="2060"/>
      <c r="BU219" s="2060"/>
      <c r="BV219" s="2060"/>
      <c r="BW219" s="2060"/>
      <c r="BX219" s="2060"/>
      <c r="BY219" s="2060"/>
      <c r="BZ219" s="2060"/>
      <c r="CA219" s="2060"/>
      <c r="CB219" s="2060"/>
      <c r="CC219" s="2060"/>
      <c r="CD219" s="2060"/>
      <c r="CE219" s="2060"/>
      <c r="CF219" s="2060"/>
      <c r="CG219" s="2060"/>
      <c r="CH219" s="2060"/>
      <c r="CI219" s="2060"/>
      <c r="CJ219" s="2060"/>
      <c r="CK219" s="2060"/>
      <c r="CL219" s="2060"/>
      <c r="CM219" s="2060"/>
      <c r="CN219" s="2060"/>
      <c r="CO219" s="2060"/>
      <c r="CP219" s="2060"/>
      <c r="CQ219" s="2060"/>
      <c r="CR219" s="2060"/>
      <c r="CS219" s="2060"/>
      <c r="CT219" s="2060"/>
      <c r="CU219" s="2060"/>
      <c r="CV219" s="2060"/>
      <c r="CW219" s="2060"/>
      <c r="CX219" s="2060"/>
      <c r="CY219" s="2060"/>
      <c r="CZ219" s="2060"/>
      <c r="DA219" s="2060"/>
      <c r="DB219" s="2060"/>
      <c r="DC219" s="2060"/>
      <c r="DD219" s="2060"/>
      <c r="DE219" s="2060"/>
      <c r="DF219" s="2060"/>
      <c r="DG219" s="2060"/>
      <c r="DH219" s="2060"/>
      <c r="DI219" s="2060"/>
      <c r="DJ219" s="2060"/>
      <c r="DK219" s="2060"/>
      <c r="DL219" s="2060"/>
      <c r="DM219" s="2060"/>
      <c r="DN219" s="2060"/>
      <c r="DO219" s="2060"/>
      <c r="DP219" s="2060"/>
      <c r="DQ219" s="2060"/>
      <c r="DR219" s="2060"/>
      <c r="DS219" s="2060"/>
      <c r="DT219" s="2060"/>
      <c r="DU219" s="2060"/>
      <c r="DV219" s="2060"/>
      <c r="DW219" s="2060"/>
      <c r="DX219" s="2060"/>
      <c r="DY219" s="2060"/>
      <c r="DZ219" s="2060"/>
      <c r="EA219" s="2060"/>
      <c r="EB219" s="2060"/>
      <c r="EC219" s="2060"/>
      <c r="ED219" s="2060"/>
      <c r="EE219" s="2060"/>
      <c r="EF219" s="2060"/>
      <c r="EG219" s="2060"/>
      <c r="EH219" s="2060"/>
      <c r="EI219" s="2060"/>
      <c r="EJ219" s="2060"/>
      <c r="EK219" s="2060"/>
      <c r="EL219" s="2060"/>
      <c r="EM219" s="2060"/>
      <c r="EN219" s="2060"/>
      <c r="EO219" s="2060"/>
      <c r="EP219" s="2060"/>
      <c r="EQ219" s="2060"/>
      <c r="ER219" s="2060"/>
      <c r="ES219" s="2060"/>
      <c r="ET219" s="2060"/>
      <c r="EU219" s="2060"/>
      <c r="EV219" s="2060"/>
      <c r="EW219" s="2060"/>
      <c r="EX219" s="2060"/>
      <c r="EY219" s="2060"/>
      <c r="EZ219" s="2060"/>
      <c r="FA219" s="2060"/>
      <c r="FB219" s="2060"/>
      <c r="FC219" s="2060"/>
      <c r="FD219" s="2060"/>
      <c r="FE219" s="2060"/>
      <c r="FF219" s="2060"/>
      <c r="FG219" s="2060"/>
      <c r="FH219" s="2060"/>
      <c r="FI219" s="2060"/>
      <c r="FJ219" s="2060"/>
      <c r="FK219" s="2060"/>
      <c r="FL219" s="2060"/>
      <c r="FM219" s="2060"/>
      <c r="FN219" s="2060"/>
      <c r="FO219" s="2060"/>
      <c r="FP219" s="2060"/>
      <c r="FQ219" s="2060"/>
      <c r="FR219" s="2060"/>
      <c r="FS219" s="2060"/>
      <c r="FT219" s="2060"/>
      <c r="FU219" s="2060"/>
      <c r="FV219" s="2060"/>
      <c r="FW219" s="2060"/>
      <c r="FX219" s="2060"/>
      <c r="FY219" s="2060"/>
      <c r="FZ219" s="2060"/>
      <c r="GA219" s="2060"/>
      <c r="GB219" s="2060"/>
      <c r="GC219" s="2060"/>
    </row>
    <row r="220" spans="1:185" customFormat="1">
      <c r="A220" s="1004"/>
      <c r="B220" s="1004"/>
      <c r="C220" s="1502"/>
      <c r="D220" s="2060"/>
      <c r="E220" s="2235" t="s">
        <v>1256</v>
      </c>
      <c r="F220" s="1031"/>
      <c r="G220" s="1031" t="s">
        <v>167</v>
      </c>
      <c r="H220" s="1031" t="s">
        <v>1257</v>
      </c>
      <c r="I220" s="1031" t="s">
        <v>1258</v>
      </c>
      <c r="J220" s="1031" t="s">
        <v>1259</v>
      </c>
      <c r="K220" s="1031" t="s">
        <v>1259</v>
      </c>
      <c r="L220" s="1031" t="s">
        <v>1259</v>
      </c>
      <c r="M220" s="1031" t="str">
        <f>IF(START!$G$60&lt;0,"discount","premium")</f>
        <v>premium</v>
      </c>
      <c r="N220" s="1031" t="str">
        <f>IF(N(M221),"premium","capital")</f>
        <v>capital</v>
      </c>
      <c r="O220" s="734"/>
      <c r="P220" s="1031" t="s">
        <v>1185</v>
      </c>
      <c r="Q220" s="1031" t="s">
        <v>1260</v>
      </c>
      <c r="R220" s="1031" t="s">
        <v>1261</v>
      </c>
      <c r="S220" s="1031" t="s">
        <v>1262</v>
      </c>
      <c r="T220" s="1031" t="str">
        <f>IF(MySubArea="US","Capital","Value")</f>
        <v>Value</v>
      </c>
      <c r="U220" s="1031" t="str">
        <f>IF(START!$G$60&lt;0,"discount","premium")</f>
        <v>premium</v>
      </c>
      <c r="V220" s="1031" t="str">
        <f>IF(MySubArea="US",IF(N(U221),"w/ premium","Capital"),IF(N(U221)," w/ premium","Value"))</f>
        <v>Value</v>
      </c>
      <c r="W220" s="2060"/>
      <c r="X220" s="2060"/>
      <c r="Y220" s="1031" t="s">
        <v>1263</v>
      </c>
      <c r="Z220" s="2060"/>
      <c r="AA220" s="2060"/>
      <c r="AB220" s="2060"/>
      <c r="AC220" s="2060"/>
      <c r="AD220" s="1004"/>
      <c r="AE220" s="2060"/>
      <c r="AF220" s="2060"/>
      <c r="AG220" s="2060"/>
      <c r="AH220" s="2060"/>
      <c r="AI220" s="2060"/>
      <c r="AJ220" s="2060"/>
      <c r="AK220" s="2060"/>
      <c r="AL220" s="2060"/>
      <c r="AM220" s="2060"/>
      <c r="AN220" s="2060"/>
      <c r="AO220" s="2060"/>
      <c r="AP220" s="2060"/>
      <c r="AQ220" s="2060"/>
      <c r="AR220" s="2060"/>
      <c r="AS220" s="2060"/>
      <c r="AT220" s="2060"/>
      <c r="AU220" s="2060"/>
      <c r="AV220" s="2060"/>
      <c r="AW220" s="2060"/>
      <c r="AX220" s="2060"/>
      <c r="AY220" s="2060"/>
      <c r="AZ220" s="2060"/>
      <c r="BA220" s="2060"/>
      <c r="BB220" s="2060"/>
      <c r="BC220" s="2060"/>
      <c r="BD220" s="2060"/>
      <c r="BE220" s="2060"/>
      <c r="BF220" s="2060"/>
      <c r="BG220" s="2060"/>
      <c r="BH220" s="2060"/>
      <c r="BI220" s="2060"/>
      <c r="BJ220" s="2060"/>
      <c r="BK220" s="2060"/>
      <c r="BL220" s="2060"/>
      <c r="BM220" s="2060"/>
      <c r="BN220" s="2060"/>
      <c r="BO220" s="2060"/>
      <c r="BP220" s="2060"/>
      <c r="BQ220" s="2060"/>
      <c r="BR220" s="2060"/>
      <c r="BS220" s="2060"/>
      <c r="BT220" s="2060"/>
      <c r="BU220" s="2060"/>
      <c r="BV220" s="2060"/>
      <c r="BW220" s="2060"/>
      <c r="BX220" s="2060"/>
      <c r="BY220" s="2060"/>
      <c r="BZ220" s="2060"/>
      <c r="CA220" s="2060"/>
      <c r="CB220" s="2060"/>
      <c r="CC220" s="2060"/>
      <c r="CD220" s="2060"/>
      <c r="CE220" s="2060"/>
      <c r="CF220" s="2060"/>
      <c r="CG220" s="2060"/>
      <c r="CH220" s="2060"/>
      <c r="CI220" s="2060"/>
      <c r="CJ220" s="2060"/>
      <c r="CK220" s="2060"/>
      <c r="CL220" s="2060"/>
      <c r="CM220" s="2060"/>
      <c r="CN220" s="2060"/>
      <c r="CO220" s="2060"/>
      <c r="CP220" s="2060"/>
      <c r="CQ220" s="2060"/>
      <c r="CR220" s="2060"/>
      <c r="CS220" s="2060"/>
      <c r="CT220" s="2060"/>
      <c r="CU220" s="2060"/>
      <c r="CV220" s="2060"/>
      <c r="CW220" s="2060"/>
      <c r="CX220" s="2060"/>
      <c r="CY220" s="2060"/>
      <c r="CZ220" s="2060"/>
      <c r="DA220" s="2060"/>
      <c r="DB220" s="2060"/>
      <c r="DC220" s="2060"/>
      <c r="DD220" s="2060"/>
      <c r="DE220" s="2060"/>
      <c r="DF220" s="2060"/>
      <c r="DG220" s="2060"/>
      <c r="DH220" s="2060"/>
      <c r="DI220" s="2060"/>
      <c r="DJ220" s="2060"/>
      <c r="DK220" s="2060"/>
      <c r="DL220" s="2060"/>
      <c r="DM220" s="2060"/>
      <c r="DN220" s="2060"/>
      <c r="DO220" s="2060"/>
      <c r="DP220" s="2060"/>
      <c r="DQ220" s="2060"/>
      <c r="DR220" s="2060"/>
      <c r="DS220" s="2060"/>
      <c r="DT220" s="2060"/>
      <c r="DU220" s="2060"/>
      <c r="DV220" s="2060"/>
      <c r="DW220" s="2060"/>
      <c r="DX220" s="2060"/>
      <c r="DY220" s="2060"/>
      <c r="DZ220" s="2060"/>
      <c r="EA220" s="2060"/>
      <c r="EB220" s="2060"/>
      <c r="EC220" s="2060"/>
      <c r="ED220" s="2060"/>
      <c r="EE220" s="2060"/>
      <c r="EF220" s="2060"/>
      <c r="EG220" s="2060"/>
      <c r="EH220" s="2060"/>
      <c r="EI220" s="2060"/>
      <c r="EJ220" s="2060"/>
      <c r="EK220" s="2060"/>
      <c r="EL220" s="2060"/>
      <c r="EM220" s="2060"/>
      <c r="EN220" s="2060"/>
      <c r="EO220" s="2060"/>
      <c r="EP220" s="2060"/>
      <c r="EQ220" s="2060"/>
      <c r="ER220" s="2060"/>
      <c r="ES220" s="2060"/>
      <c r="ET220" s="2060"/>
      <c r="EU220" s="2060"/>
      <c r="EV220" s="2060"/>
      <c r="EW220" s="2060"/>
      <c r="EX220" s="2060"/>
      <c r="EY220" s="2060"/>
      <c r="EZ220" s="2060"/>
      <c r="FA220" s="2060"/>
      <c r="FB220" s="2060"/>
      <c r="FC220" s="2060"/>
      <c r="FD220" s="2060"/>
      <c r="FE220" s="2060"/>
      <c r="FF220" s="2060"/>
      <c r="FG220" s="2060"/>
      <c r="FH220" s="2060"/>
      <c r="FI220" s="2060"/>
      <c r="FJ220" s="2060"/>
      <c r="FK220" s="2060"/>
      <c r="FL220" s="2060"/>
      <c r="FM220" s="2060"/>
      <c r="FN220" s="2060"/>
      <c r="FO220" s="2060"/>
      <c r="FP220" s="2060"/>
      <c r="FQ220" s="2060"/>
      <c r="FR220" s="2060"/>
      <c r="FS220" s="2060"/>
      <c r="FT220" s="2060"/>
      <c r="FU220" s="2060"/>
      <c r="FV220" s="2060"/>
      <c r="FW220" s="2060"/>
      <c r="FX220" s="2060"/>
      <c r="FY220" s="2060"/>
      <c r="FZ220" s="2060"/>
      <c r="GA220" s="2060"/>
      <c r="GB220" s="2060"/>
      <c r="GC220" s="2060"/>
    </row>
    <row r="221" spans="1:185" customFormat="1">
      <c r="A221" s="1632" t="str">
        <f t="shared" ref="A221:A245" si="37">IF(E221="--","n","")</f>
        <v>n</v>
      </c>
      <c r="B221" s="1004"/>
      <c r="C221" s="1502"/>
      <c r="D221" s="2060"/>
      <c r="E221" s="173" t="str">
        <f>'DATA GPC'!E$20</f>
        <v>--</v>
      </c>
      <c r="F221" s="390"/>
      <c r="G221" s="390" t="str">
        <f>'DATA GPC'!J20</f>
        <v>--</v>
      </c>
      <c r="H221" s="390" t="str">
        <f>IF($E221="--","--",_xll.ciqfunctions.udf.CIQ('DATA GPC'!G20,"IQ_LASTSALEPRICE",Valuation_date,$G221,FXMode))</f>
        <v>--</v>
      </c>
      <c r="I221" s="391" t="str">
        <f>IF($E221="--","--",_xll.ciqfunctions.udf.CIQ(G129,"IQ_SHARESOUTSTANDING",Valuation_date)*Scale)</f>
        <v>--</v>
      </c>
      <c r="J221" s="391" t="str">
        <f>IF($E221="--","--",_xll.ciqfunctions.udf.CIQ(G129,"IQ_MARKETCAP",Valuation_date,$G221,FXMode)*Scale)</f>
        <v>--</v>
      </c>
      <c r="K221" s="1512" t="str">
        <f t="shared" ref="K221:K230" si="38">IFERROR(ROUND(L221-J221,1),"--")</f>
        <v>--</v>
      </c>
      <c r="L221" s="391" t="str">
        <f>IF($E221="--","--",_xll.ciqfunctions.udf.CIQ(G129,"IQ_MARKETCAP",Valuation_date,$G221,FXMode)*Scale)</f>
        <v>--</v>
      </c>
      <c r="M221" s="473" t="str">
        <f>IF($E221="--","--",IF(START!$G$59=START!$E$60,START!$G$60,"n/a"))</f>
        <v>--</v>
      </c>
      <c r="N221" s="338" t="str">
        <f>IF(E221="--","--",IFERROR(L221*(1+N(M221)),"n/a"))</f>
        <v>--</v>
      </c>
      <c r="O221" s="1506"/>
      <c r="P221" s="391" t="str">
        <f>IF($E221="--","--",_xll.ciqfunctions.udf.CIQ(G129,"IQ_TOTAL_DEBT",2000,Valuation_date,ReportType,DataMode,$G221,FXMode)*Scale+IF(PensionSetting="Included in debt",_xll.ciqfunctions.udf.CIQ(G129,"IQ_PENSION",2000,Valuation_date,ReportType,DataMode,$G221,FXMode)*Scale,0))</f>
        <v>--</v>
      </c>
      <c r="Q221" s="391" t="str">
        <f>IF($E221="--","--",-_xll.ciqfunctions.udf.CIQ(G129,"IQ_CASH_ST_INVEST",2000,Valuation_date,ReportType,DataMode, $G221,FXMode)*Scale)</f>
        <v>--</v>
      </c>
      <c r="R221" s="391" t="str">
        <f>IF($E221="--","--",_xll.ciqfunctions.udf.CIQ(G129,"IQ_MINORITY_INTEREST_TOTAL",2000,Valuation_date,ReportType,DataMode,$G221,FXMode)*Scale)</f>
        <v>--</v>
      </c>
      <c r="S221" s="391" t="str">
        <f>IF($E221="--","--",_xll.ciqfunctions.udf.CIQ(G129,"IQ_PREF_EQUITY",2000,Valuation_date,ReportType,DataMode,$G221,FXMode)*Scale)</f>
        <v>--</v>
      </c>
      <c r="T221" s="391" t="str">
        <f>IF(E221="--","--",SUM(N221,P221:S221))</f>
        <v>--</v>
      </c>
      <c r="U221" s="473" t="str">
        <f>IF($E221="--","--",IF(START!$G$59&lt;&gt;START!$E$60,START!$G$61,"n/a"))</f>
        <v>--</v>
      </c>
      <c r="V221" s="391" t="str">
        <f>IFERROR(T221*(1+N(U221)),"--")</f>
        <v>--</v>
      </c>
      <c r="W221" s="2060"/>
      <c r="X221" s="2060"/>
      <c r="Y221" s="391" t="str">
        <f>IF(E221="--","--",_xll.ciqfunctions.udf.CIQ(G129,"IQ_TEV",Valuation_date,G221,FXMode)*Scale+(N(M221)*L221))</f>
        <v>--</v>
      </c>
      <c r="Z221" s="2060"/>
      <c r="AA221" s="2060"/>
      <c r="AB221" s="2060"/>
      <c r="AC221" s="2060"/>
      <c r="AD221" s="1004"/>
      <c r="AE221" s="2060"/>
      <c r="AF221" s="2060"/>
      <c r="AG221" s="2060"/>
      <c r="AH221" s="2060"/>
      <c r="AI221" s="2060"/>
      <c r="AJ221" s="2060"/>
      <c r="AK221" s="2060"/>
      <c r="AL221" s="2060"/>
      <c r="AM221" s="2060"/>
      <c r="AN221" s="2060"/>
      <c r="AO221" s="2060"/>
      <c r="AP221" s="2060"/>
      <c r="AQ221" s="2060"/>
      <c r="AR221" s="2060"/>
      <c r="AS221" s="2060"/>
      <c r="AT221" s="2060"/>
      <c r="AU221" s="2060"/>
      <c r="AV221" s="2060"/>
      <c r="AW221" s="2060"/>
      <c r="AX221" s="2060"/>
      <c r="AY221" s="2060"/>
      <c r="AZ221" s="2060"/>
      <c r="BA221" s="2060"/>
      <c r="BB221" s="2060"/>
      <c r="BC221" s="2060"/>
      <c r="BD221" s="2060"/>
      <c r="BE221" s="2060"/>
      <c r="BF221" s="2060"/>
      <c r="BG221" s="2060"/>
      <c r="BH221" s="2060"/>
      <c r="BI221" s="2060"/>
      <c r="BJ221" s="2060"/>
      <c r="BK221" s="2060"/>
      <c r="BL221" s="2060"/>
      <c r="BM221" s="2060"/>
      <c r="BN221" s="2060"/>
      <c r="BO221" s="2060"/>
      <c r="BP221" s="2060"/>
      <c r="BQ221" s="2060"/>
      <c r="BR221" s="2060"/>
      <c r="BS221" s="2060"/>
      <c r="BT221" s="2060"/>
      <c r="BU221" s="2060"/>
      <c r="BV221" s="2060"/>
      <c r="BW221" s="2060"/>
      <c r="BX221" s="2060"/>
      <c r="BY221" s="2060"/>
      <c r="BZ221" s="2060"/>
      <c r="CA221" s="2060"/>
      <c r="CB221" s="2060"/>
      <c r="CC221" s="2060"/>
      <c r="CD221" s="2060"/>
      <c r="CE221" s="2060"/>
      <c r="CF221" s="2060"/>
      <c r="CG221" s="2060"/>
      <c r="CH221" s="2060"/>
      <c r="CI221" s="2060"/>
      <c r="CJ221" s="2060"/>
      <c r="CK221" s="2060"/>
      <c r="CL221" s="2060"/>
      <c r="CM221" s="2060"/>
      <c r="CN221" s="2060"/>
      <c r="CO221" s="2060"/>
      <c r="CP221" s="2060"/>
      <c r="CQ221" s="2060"/>
      <c r="CR221" s="2060"/>
      <c r="CS221" s="2060"/>
      <c r="CT221" s="2060"/>
      <c r="CU221" s="2060"/>
      <c r="CV221" s="2060"/>
      <c r="CW221" s="2060"/>
      <c r="CX221" s="2060"/>
      <c r="CY221" s="2060"/>
      <c r="CZ221" s="2060"/>
      <c r="DA221" s="2060"/>
      <c r="DB221" s="2060"/>
      <c r="DC221" s="2060"/>
      <c r="DD221" s="2060"/>
      <c r="DE221" s="2060"/>
      <c r="DF221" s="2060"/>
      <c r="DG221" s="2060"/>
      <c r="DH221" s="2060"/>
      <c r="DI221" s="2060"/>
      <c r="DJ221" s="2060"/>
      <c r="DK221" s="2060"/>
      <c r="DL221" s="2060"/>
      <c r="DM221" s="2060"/>
      <c r="DN221" s="2060"/>
      <c r="DO221" s="2060"/>
      <c r="DP221" s="2060"/>
      <c r="DQ221" s="2060"/>
      <c r="DR221" s="2060"/>
      <c r="DS221" s="2060"/>
      <c r="DT221" s="2060"/>
      <c r="DU221" s="2060"/>
      <c r="DV221" s="2060"/>
      <c r="DW221" s="2060"/>
      <c r="DX221" s="2060"/>
      <c r="DY221" s="2060"/>
      <c r="DZ221" s="2060"/>
      <c r="EA221" s="2060"/>
      <c r="EB221" s="2060"/>
      <c r="EC221" s="2060"/>
      <c r="ED221" s="2060"/>
      <c r="EE221" s="2060"/>
      <c r="EF221" s="2060"/>
      <c r="EG221" s="2060"/>
      <c r="EH221" s="2060"/>
      <c r="EI221" s="2060"/>
      <c r="EJ221" s="2060"/>
      <c r="EK221" s="2060"/>
      <c r="EL221" s="2060"/>
      <c r="EM221" s="2060"/>
      <c r="EN221" s="2060"/>
      <c r="EO221" s="2060"/>
      <c r="EP221" s="2060"/>
      <c r="EQ221" s="2060"/>
      <c r="ER221" s="2060"/>
      <c r="ES221" s="2060"/>
      <c r="ET221" s="2060"/>
      <c r="EU221" s="2060"/>
      <c r="EV221" s="2060"/>
      <c r="EW221" s="2060"/>
      <c r="EX221" s="2060"/>
      <c r="EY221" s="2060"/>
      <c r="EZ221" s="2060"/>
      <c r="FA221" s="2060"/>
      <c r="FB221" s="2060"/>
      <c r="FC221" s="2060"/>
      <c r="FD221" s="2060"/>
      <c r="FE221" s="2060"/>
      <c r="FF221" s="2060"/>
      <c r="FG221" s="2060"/>
      <c r="FH221" s="2060"/>
      <c r="FI221" s="2060"/>
      <c r="FJ221" s="2060"/>
      <c r="FK221" s="2060"/>
      <c r="FL221" s="2060"/>
      <c r="FM221" s="2060"/>
      <c r="FN221" s="2060"/>
      <c r="FO221" s="2060"/>
      <c r="FP221" s="2060"/>
      <c r="FQ221" s="2060"/>
      <c r="FR221" s="2060"/>
      <c r="FS221" s="2060"/>
      <c r="FT221" s="2060"/>
      <c r="FU221" s="2060"/>
      <c r="FV221" s="2060"/>
      <c r="FW221" s="2060"/>
      <c r="FX221" s="2060"/>
      <c r="FY221" s="2060"/>
      <c r="FZ221" s="2060"/>
      <c r="GA221" s="2060"/>
      <c r="GB221" s="2060"/>
      <c r="GC221" s="2060"/>
    </row>
    <row r="222" spans="1:185" customFormat="1">
      <c r="A222" s="1632" t="str">
        <f t="shared" si="37"/>
        <v>n</v>
      </c>
      <c r="B222" s="1004"/>
      <c r="C222" s="1502"/>
      <c r="D222" s="2060"/>
      <c r="E222" s="173" t="str">
        <f>'DATA GPC'!E$21</f>
        <v>--</v>
      </c>
      <c r="F222" s="2060"/>
      <c r="G222" s="390" t="str">
        <f>'DATA GPC'!J21</f>
        <v>--</v>
      </c>
      <c r="H222" s="390" t="str">
        <f>IF($E222="--","--",_xll.ciqfunctions.udf.CIQ('DATA GPC'!G21,"IQ_LASTSALEPRICE",Valuation_date,$G222,FXMode))</f>
        <v>--</v>
      </c>
      <c r="I222" s="391" t="str">
        <f>IF($E222="--","--",_xll.ciqfunctions.udf.CIQ(G130,"IQ_SHARESOUTSTANDING",Valuation_date)*Scale)</f>
        <v>--</v>
      </c>
      <c r="J222" s="391" t="str">
        <f>IF($E222="--","--",_xll.ciqfunctions.udf.CIQ(G130,"IQ_MARKETCAP",Valuation_date,$G222,FXMode)*Scale)</f>
        <v>--</v>
      </c>
      <c r="K222" s="1512" t="str">
        <f t="shared" si="38"/>
        <v>--</v>
      </c>
      <c r="L222" s="391" t="str">
        <f>IF($E222="--","--",_xll.ciqfunctions.udf.CIQ(G130,"IQ_MARKETCAP",Valuation_date,$G222,FXMode)*Scale)</f>
        <v>--</v>
      </c>
      <c r="M222" s="473" t="str">
        <f>IF($E222="--","--",IF(START!$G$59=START!$E$60,START!$G$60,"n/a"))</f>
        <v>--</v>
      </c>
      <c r="N222" s="338" t="str">
        <f t="shared" ref="N222:N245" si="39">IF(E222="--","--",IFERROR(L222*(1+N(M222)),"n/a"))</f>
        <v>--</v>
      </c>
      <c r="O222" s="1506"/>
      <c r="P222" s="391" t="str">
        <f>IF($E222="--","--",_xll.ciqfunctions.udf.CIQ(G130,"IQ_TOTAL_DEBT",2000,Valuation_date,ReportType,DataMode,$G222,FXMode)*Scale+IF(PensionSetting="Included in debt",_xll.ciqfunctions.udf.CIQ(G130,"IQ_PENSION",2000,Valuation_date,ReportType,DataMode,$G222,FXMode)*Scale,0))</f>
        <v>--</v>
      </c>
      <c r="Q222" s="391" t="str">
        <f>IF($E222="--","--",-_xll.ciqfunctions.udf.CIQ(G130,"IQ_CASH_ST_INVEST",2000,Valuation_date,ReportType,DataMode, $G222,FXMode)*Scale)</f>
        <v>--</v>
      </c>
      <c r="R222" s="391" t="str">
        <f>IF($E222="--","--",_xll.ciqfunctions.udf.CIQ(G130,"IQ_MINORITY_INTEREST_TOTAL",2000,Valuation_date,ReportType,DataMode,$G222,FXMode)*Scale)</f>
        <v>--</v>
      </c>
      <c r="S222" s="391" t="str">
        <f>IF($E222="--","--",_xll.ciqfunctions.udf.CIQ(G130,"IQ_PREF_EQUITY",2000,Valuation_date,ReportType,DataMode,$G222,FXMode)*Scale)</f>
        <v>--</v>
      </c>
      <c r="T222" s="391" t="str">
        <f t="shared" ref="T222:T230" si="40">IF(E222="--","--",SUM(N222,P222:S222))</f>
        <v>--</v>
      </c>
      <c r="U222" s="473" t="str">
        <f>IF($E222="--","--",IF(START!$G$59&lt;&gt;START!$E$60,START!$G$61,"n/a"))</f>
        <v>--</v>
      </c>
      <c r="V222" s="391" t="str">
        <f t="shared" ref="V222:V245" si="41">IFERROR(T222*(1+N(U222)),"--")</f>
        <v>--</v>
      </c>
      <c r="W222" s="2060"/>
      <c r="X222" s="2060"/>
      <c r="Y222" s="391" t="str">
        <f>IF(E222="--","--",_xll.ciqfunctions.udf.CIQ(G130,"IQ_TEV",Valuation_date,G222,FXMode)*Scale+(N(M222)*L222))</f>
        <v>--</v>
      </c>
      <c r="Z222" s="2060"/>
      <c r="AA222" s="2060"/>
      <c r="AB222" s="2060"/>
      <c r="AC222" s="2060"/>
      <c r="AD222" s="1004"/>
      <c r="AE222" s="2060"/>
      <c r="AF222" s="2060"/>
      <c r="AG222" s="2060"/>
      <c r="AH222" s="2060"/>
      <c r="AI222" s="2060"/>
      <c r="AJ222" s="2060"/>
      <c r="AK222" s="2060"/>
      <c r="AL222" s="2060"/>
      <c r="AM222" s="2060"/>
      <c r="AN222" s="2060"/>
      <c r="AO222" s="2060"/>
      <c r="AP222" s="2060"/>
      <c r="AQ222" s="2060"/>
      <c r="AR222" s="2060"/>
      <c r="AS222" s="2060"/>
      <c r="AT222" s="2060"/>
      <c r="AU222" s="2060"/>
      <c r="AV222" s="2060"/>
      <c r="AW222" s="2060"/>
      <c r="AX222" s="2060"/>
      <c r="AY222" s="2060"/>
      <c r="AZ222" s="2060"/>
      <c r="BA222" s="2060"/>
      <c r="BB222" s="2060"/>
      <c r="BC222" s="2060"/>
      <c r="BD222" s="2060"/>
      <c r="BE222" s="2060"/>
      <c r="BF222" s="2060"/>
      <c r="BG222" s="2060"/>
      <c r="BH222" s="2060"/>
      <c r="BI222" s="2060"/>
      <c r="BJ222" s="2060"/>
      <c r="BK222" s="2060"/>
      <c r="BL222" s="2060"/>
      <c r="BM222" s="2060"/>
      <c r="BN222" s="2060"/>
      <c r="BO222" s="2060"/>
      <c r="BP222" s="2060"/>
      <c r="BQ222" s="2060"/>
      <c r="BR222" s="2060"/>
      <c r="BS222" s="2060"/>
      <c r="BT222" s="2060"/>
      <c r="BU222" s="2060"/>
      <c r="BV222" s="2060"/>
      <c r="BW222" s="2060"/>
      <c r="BX222" s="2060"/>
      <c r="BY222" s="2060"/>
      <c r="BZ222" s="2060"/>
      <c r="CA222" s="2060"/>
      <c r="CB222" s="2060"/>
      <c r="CC222" s="2060"/>
      <c r="CD222" s="2060"/>
      <c r="CE222" s="2060"/>
      <c r="CF222" s="2060"/>
      <c r="CG222" s="2060"/>
      <c r="CH222" s="2060"/>
      <c r="CI222" s="2060"/>
      <c r="CJ222" s="2060"/>
      <c r="CK222" s="2060"/>
      <c r="CL222" s="2060"/>
      <c r="CM222" s="2060"/>
      <c r="CN222" s="2060"/>
      <c r="CO222" s="2060"/>
      <c r="CP222" s="2060"/>
      <c r="CQ222" s="2060"/>
      <c r="CR222" s="2060"/>
      <c r="CS222" s="2060"/>
      <c r="CT222" s="2060"/>
      <c r="CU222" s="2060"/>
      <c r="CV222" s="2060"/>
      <c r="CW222" s="2060"/>
      <c r="CX222" s="2060"/>
      <c r="CY222" s="2060"/>
      <c r="CZ222" s="2060"/>
      <c r="DA222" s="2060"/>
      <c r="DB222" s="2060"/>
      <c r="DC222" s="2060"/>
      <c r="DD222" s="2060"/>
      <c r="DE222" s="2060"/>
      <c r="DF222" s="2060"/>
      <c r="DG222" s="2060"/>
      <c r="DH222" s="2060"/>
      <c r="DI222" s="2060"/>
      <c r="DJ222" s="2060"/>
      <c r="DK222" s="2060"/>
      <c r="DL222" s="2060"/>
      <c r="DM222" s="2060"/>
      <c r="DN222" s="2060"/>
      <c r="DO222" s="2060"/>
      <c r="DP222" s="2060"/>
      <c r="DQ222" s="2060"/>
      <c r="DR222" s="2060"/>
      <c r="DS222" s="2060"/>
      <c r="DT222" s="2060"/>
      <c r="DU222" s="2060"/>
      <c r="DV222" s="2060"/>
      <c r="DW222" s="2060"/>
      <c r="DX222" s="2060"/>
      <c r="DY222" s="2060"/>
      <c r="DZ222" s="2060"/>
      <c r="EA222" s="2060"/>
      <c r="EB222" s="2060"/>
      <c r="EC222" s="2060"/>
      <c r="ED222" s="2060"/>
      <c r="EE222" s="2060"/>
      <c r="EF222" s="2060"/>
      <c r="EG222" s="2060"/>
      <c r="EH222" s="2060"/>
      <c r="EI222" s="2060"/>
      <c r="EJ222" s="2060"/>
      <c r="EK222" s="2060"/>
      <c r="EL222" s="2060"/>
      <c r="EM222" s="2060"/>
      <c r="EN222" s="2060"/>
      <c r="EO222" s="2060"/>
      <c r="EP222" s="2060"/>
      <c r="EQ222" s="2060"/>
      <c r="ER222" s="2060"/>
      <c r="ES222" s="2060"/>
      <c r="ET222" s="2060"/>
      <c r="EU222" s="2060"/>
      <c r="EV222" s="2060"/>
      <c r="EW222" s="2060"/>
      <c r="EX222" s="2060"/>
      <c r="EY222" s="2060"/>
      <c r="EZ222" s="2060"/>
      <c r="FA222" s="2060"/>
      <c r="FB222" s="2060"/>
      <c r="FC222" s="2060"/>
      <c r="FD222" s="2060"/>
      <c r="FE222" s="2060"/>
      <c r="FF222" s="2060"/>
      <c r="FG222" s="2060"/>
      <c r="FH222" s="2060"/>
      <c r="FI222" s="2060"/>
      <c r="FJ222" s="2060"/>
      <c r="FK222" s="2060"/>
      <c r="FL222" s="2060"/>
      <c r="FM222" s="2060"/>
      <c r="FN222" s="2060"/>
      <c r="FO222" s="2060"/>
      <c r="FP222" s="2060"/>
      <c r="FQ222" s="2060"/>
      <c r="FR222" s="2060"/>
      <c r="FS222" s="2060"/>
      <c r="FT222" s="2060"/>
      <c r="FU222" s="2060"/>
      <c r="FV222" s="2060"/>
      <c r="FW222" s="2060"/>
      <c r="FX222" s="2060"/>
      <c r="FY222" s="2060"/>
      <c r="FZ222" s="2060"/>
      <c r="GA222" s="2060"/>
      <c r="GB222" s="2060"/>
      <c r="GC222" s="2060"/>
    </row>
    <row r="223" spans="1:185" customFormat="1">
      <c r="A223" s="1632" t="str">
        <f t="shared" si="37"/>
        <v>n</v>
      </c>
      <c r="B223" s="1004"/>
      <c r="C223" s="1502"/>
      <c r="D223" s="2060"/>
      <c r="E223" s="173" t="str">
        <f>'DATA GPC'!E$22</f>
        <v>--</v>
      </c>
      <c r="F223" s="2060"/>
      <c r="G223" s="390" t="str">
        <f>'DATA GPC'!J22</f>
        <v>--</v>
      </c>
      <c r="H223" s="390" t="str">
        <f>IF($E223="--","--",_xll.ciqfunctions.udf.CIQ('DATA GPC'!G22,"IQ_LASTSALEPRICE",Valuation_date,$G223,FXMode))</f>
        <v>--</v>
      </c>
      <c r="I223" s="391" t="str">
        <f>IF($E223="--","--",_xll.ciqfunctions.udf.CIQ(G131,"IQ_SHARESOUTSTANDING",Valuation_date)*Scale)</f>
        <v>--</v>
      </c>
      <c r="J223" s="391" t="str">
        <f>IF($E223="--","--",_xll.ciqfunctions.udf.CIQ(G131,"IQ_MARKETCAP",Valuation_date,$G223,FXMode)*Scale)</f>
        <v>--</v>
      </c>
      <c r="K223" s="1512" t="str">
        <f t="shared" si="38"/>
        <v>--</v>
      </c>
      <c r="L223" s="391" t="str">
        <f>IF($E223="--","--",_xll.ciqfunctions.udf.CIQ(G131,"IQ_MARKETCAP",Valuation_date,$G223,FXMode)*Scale)</f>
        <v>--</v>
      </c>
      <c r="M223" s="473" t="str">
        <f>IF($E223="--","--",IF(START!$G$59=START!$E$60,START!$G$60,"n/a"))</f>
        <v>--</v>
      </c>
      <c r="N223" s="338" t="str">
        <f t="shared" si="39"/>
        <v>--</v>
      </c>
      <c r="O223" s="1506"/>
      <c r="P223" s="391" t="str">
        <f>IF($E223="--","--",_xll.ciqfunctions.udf.CIQ(G131,"IQ_TOTAL_DEBT",2000,Valuation_date,ReportType,DataMode,$G223,FXMode)*Scale+IF(PensionSetting="Included in debt",_xll.ciqfunctions.udf.CIQ(G131,"IQ_PENSION",2000,Valuation_date,ReportType,DataMode,$G223,FXMode)*Scale,0))</f>
        <v>--</v>
      </c>
      <c r="Q223" s="391" t="str">
        <f>IF($E223="--","--",-_xll.ciqfunctions.udf.CIQ(G131,"IQ_CASH_ST_INVEST",2000,Valuation_date,ReportType,DataMode, $G223,FXMode)*Scale)</f>
        <v>--</v>
      </c>
      <c r="R223" s="391" t="str">
        <f>IF($E223="--","--",_xll.ciqfunctions.udf.CIQ(G131,"IQ_MINORITY_INTEREST_TOTAL",2000,Valuation_date,ReportType,DataMode,$G223,FXMode)*Scale)</f>
        <v>--</v>
      </c>
      <c r="S223" s="391" t="str">
        <f>IF($E223="--","--",_xll.ciqfunctions.udf.CIQ(G131,"IQ_PREF_EQUITY",2000,Valuation_date,ReportType,DataMode,$G223,FXMode)*Scale)</f>
        <v>--</v>
      </c>
      <c r="T223" s="391" t="str">
        <f t="shared" si="40"/>
        <v>--</v>
      </c>
      <c r="U223" s="473" t="str">
        <f>IF($E223="--","--",IF(START!$G$59&lt;&gt;START!$E$60,START!$G$61,"n/a"))</f>
        <v>--</v>
      </c>
      <c r="V223" s="391" t="str">
        <f t="shared" si="41"/>
        <v>--</v>
      </c>
      <c r="W223" s="2060"/>
      <c r="X223" s="2060"/>
      <c r="Y223" s="391" t="str">
        <f>IF(E223="--","--",_xll.ciqfunctions.udf.CIQ(G131,"IQ_TEV",Valuation_date,G223,FXMode)*Scale+(N(M223)*L223))</f>
        <v>--</v>
      </c>
      <c r="Z223" s="2060"/>
      <c r="AA223" s="2060"/>
      <c r="AB223" s="2060"/>
      <c r="AC223" s="2060"/>
      <c r="AD223" s="1004"/>
      <c r="AE223" s="2060"/>
      <c r="AF223" s="2060"/>
      <c r="AG223" s="2060"/>
      <c r="AH223" s="2060"/>
      <c r="AI223" s="2060"/>
      <c r="AJ223" s="2060"/>
      <c r="AK223" s="2060"/>
      <c r="AL223" s="2060"/>
      <c r="AM223" s="2060"/>
      <c r="AN223" s="2060"/>
      <c r="AO223" s="2060"/>
      <c r="AP223" s="2060"/>
      <c r="AQ223" s="2060"/>
      <c r="AR223" s="2060"/>
      <c r="AS223" s="2060"/>
      <c r="AT223" s="2060"/>
      <c r="AU223" s="2060"/>
      <c r="AV223" s="2060"/>
      <c r="AW223" s="2060"/>
      <c r="AX223" s="2060"/>
      <c r="AY223" s="2060"/>
      <c r="AZ223" s="2060"/>
      <c r="BA223" s="2060"/>
      <c r="BB223" s="2060"/>
      <c r="BC223" s="2060"/>
      <c r="BD223" s="2060"/>
      <c r="BE223" s="2060"/>
      <c r="BF223" s="2060"/>
      <c r="BG223" s="2060"/>
      <c r="BH223" s="2060"/>
      <c r="BI223" s="2060"/>
      <c r="BJ223" s="2060"/>
      <c r="BK223" s="2060"/>
      <c r="BL223" s="2060"/>
      <c r="BM223" s="2060"/>
      <c r="BN223" s="2060"/>
      <c r="BO223" s="2060"/>
      <c r="BP223" s="2060"/>
      <c r="BQ223" s="2060"/>
      <c r="BR223" s="2060"/>
      <c r="BS223" s="2060"/>
      <c r="BT223" s="2060"/>
      <c r="BU223" s="2060"/>
      <c r="BV223" s="2060"/>
      <c r="BW223" s="2060"/>
      <c r="BX223" s="2060"/>
      <c r="BY223" s="2060"/>
      <c r="BZ223" s="2060"/>
      <c r="CA223" s="2060"/>
      <c r="CB223" s="2060"/>
      <c r="CC223" s="2060"/>
      <c r="CD223" s="2060"/>
      <c r="CE223" s="2060"/>
      <c r="CF223" s="2060"/>
      <c r="CG223" s="2060"/>
      <c r="CH223" s="2060"/>
      <c r="CI223" s="2060"/>
      <c r="CJ223" s="2060"/>
      <c r="CK223" s="2060"/>
      <c r="CL223" s="2060"/>
      <c r="CM223" s="2060"/>
      <c r="CN223" s="2060"/>
      <c r="CO223" s="2060"/>
      <c r="CP223" s="2060"/>
      <c r="CQ223" s="2060"/>
      <c r="CR223" s="2060"/>
      <c r="CS223" s="2060"/>
      <c r="CT223" s="2060"/>
      <c r="CU223" s="2060"/>
      <c r="CV223" s="2060"/>
      <c r="CW223" s="2060"/>
      <c r="CX223" s="2060"/>
      <c r="CY223" s="2060"/>
      <c r="CZ223" s="2060"/>
      <c r="DA223" s="2060"/>
      <c r="DB223" s="2060"/>
      <c r="DC223" s="2060"/>
      <c r="DD223" s="2060"/>
      <c r="DE223" s="2060"/>
      <c r="DF223" s="2060"/>
      <c r="DG223" s="2060"/>
      <c r="DH223" s="2060"/>
      <c r="DI223" s="2060"/>
      <c r="DJ223" s="2060"/>
      <c r="DK223" s="2060"/>
      <c r="DL223" s="2060"/>
      <c r="DM223" s="2060"/>
      <c r="DN223" s="2060"/>
      <c r="DO223" s="2060"/>
      <c r="DP223" s="2060"/>
      <c r="DQ223" s="2060"/>
      <c r="DR223" s="2060"/>
      <c r="DS223" s="2060"/>
      <c r="DT223" s="2060"/>
      <c r="DU223" s="2060"/>
      <c r="DV223" s="2060"/>
      <c r="DW223" s="2060"/>
      <c r="DX223" s="2060"/>
      <c r="DY223" s="2060"/>
      <c r="DZ223" s="2060"/>
      <c r="EA223" s="2060"/>
      <c r="EB223" s="2060"/>
      <c r="EC223" s="2060"/>
      <c r="ED223" s="2060"/>
      <c r="EE223" s="2060"/>
      <c r="EF223" s="2060"/>
      <c r="EG223" s="2060"/>
      <c r="EH223" s="2060"/>
      <c r="EI223" s="2060"/>
      <c r="EJ223" s="2060"/>
      <c r="EK223" s="2060"/>
      <c r="EL223" s="2060"/>
      <c r="EM223" s="2060"/>
      <c r="EN223" s="2060"/>
      <c r="EO223" s="2060"/>
      <c r="EP223" s="2060"/>
      <c r="EQ223" s="2060"/>
      <c r="ER223" s="2060"/>
      <c r="ES223" s="2060"/>
      <c r="ET223" s="2060"/>
      <c r="EU223" s="2060"/>
      <c r="EV223" s="2060"/>
      <c r="EW223" s="2060"/>
      <c r="EX223" s="2060"/>
      <c r="EY223" s="2060"/>
      <c r="EZ223" s="2060"/>
      <c r="FA223" s="2060"/>
      <c r="FB223" s="2060"/>
      <c r="FC223" s="2060"/>
      <c r="FD223" s="2060"/>
      <c r="FE223" s="2060"/>
      <c r="FF223" s="2060"/>
      <c r="FG223" s="2060"/>
      <c r="FH223" s="2060"/>
      <c r="FI223" s="2060"/>
      <c r="FJ223" s="2060"/>
      <c r="FK223" s="2060"/>
      <c r="FL223" s="2060"/>
      <c r="FM223" s="2060"/>
      <c r="FN223" s="2060"/>
      <c r="FO223" s="2060"/>
      <c r="FP223" s="2060"/>
      <c r="FQ223" s="2060"/>
      <c r="FR223" s="2060"/>
      <c r="FS223" s="2060"/>
      <c r="FT223" s="2060"/>
      <c r="FU223" s="2060"/>
      <c r="FV223" s="2060"/>
      <c r="FW223" s="2060"/>
      <c r="FX223" s="2060"/>
      <c r="FY223" s="2060"/>
      <c r="FZ223" s="2060"/>
      <c r="GA223" s="2060"/>
      <c r="GB223" s="2060"/>
      <c r="GC223" s="2060"/>
    </row>
    <row r="224" spans="1:185" customFormat="1">
      <c r="A224" s="1632" t="str">
        <f t="shared" si="37"/>
        <v>n</v>
      </c>
      <c r="B224" s="1004"/>
      <c r="C224" s="1502"/>
      <c r="D224" s="2060"/>
      <c r="E224" s="173" t="str">
        <f>'DATA GPC'!E$23</f>
        <v>--</v>
      </c>
      <c r="F224" s="2060"/>
      <c r="G224" s="390" t="str">
        <f>'DATA GPC'!J23</f>
        <v>--</v>
      </c>
      <c r="H224" s="390" t="str">
        <f>IF($E224="--","--",_xll.ciqfunctions.udf.CIQ('DATA GPC'!G23,"IQ_LASTSALEPRICE",Valuation_date,$G224,FXMode))</f>
        <v>--</v>
      </c>
      <c r="I224" s="391" t="str">
        <f>IF($E224="--","--",_xll.ciqfunctions.udf.CIQ(G132,"IQ_SHARESOUTSTANDING",Valuation_date)*Scale)</f>
        <v>--</v>
      </c>
      <c r="J224" s="391" t="str">
        <f>IF($E224="--","--",_xll.ciqfunctions.udf.CIQ(G132,"IQ_MARKETCAP",Valuation_date,$G224,FXMode)*Scale)</f>
        <v>--</v>
      </c>
      <c r="K224" s="1512" t="str">
        <f t="shared" si="38"/>
        <v>--</v>
      </c>
      <c r="L224" s="391" t="str">
        <f>IF($E224="--","--",_xll.ciqfunctions.udf.CIQ(G132,"IQ_MARKETCAP",Valuation_date,$G224,FXMode)*Scale)</f>
        <v>--</v>
      </c>
      <c r="M224" s="473" t="str">
        <f>IF($E224="--","--",IF(START!$G$59=START!$E$60,START!$G$60,"n/a"))</f>
        <v>--</v>
      </c>
      <c r="N224" s="338" t="str">
        <f t="shared" si="39"/>
        <v>--</v>
      </c>
      <c r="O224" s="1506"/>
      <c r="P224" s="391" t="str">
        <f>IF($E224="--","--",_xll.ciqfunctions.udf.CIQ(G132,"IQ_TOTAL_DEBT",2000,Valuation_date,ReportType,DataMode,$G224,FXMode)*Scale+IF(PensionSetting="Included in debt",_xll.ciqfunctions.udf.CIQ(G132,"IQ_PENSION",2000,Valuation_date,ReportType,DataMode,$G224,FXMode)*Scale,0))</f>
        <v>--</v>
      </c>
      <c r="Q224" s="391" t="str">
        <f>IF($E224="--","--",-_xll.ciqfunctions.udf.CIQ(G132,"IQ_CASH_ST_INVEST",2000,Valuation_date,ReportType,DataMode, $G224,FXMode)*Scale)</f>
        <v>--</v>
      </c>
      <c r="R224" s="391" t="str">
        <f>IF($E224="--","--",_xll.ciqfunctions.udf.CIQ(G132,"IQ_MINORITY_INTEREST_TOTAL",2000,Valuation_date,ReportType,DataMode,$G224,FXMode)*Scale)</f>
        <v>--</v>
      </c>
      <c r="S224" s="391" t="str">
        <f>IF($E224="--","--",_xll.ciqfunctions.udf.CIQ(G132,"IQ_PREF_EQUITY",2000,Valuation_date,ReportType,DataMode,$G224,FXMode)*Scale)</f>
        <v>--</v>
      </c>
      <c r="T224" s="391" t="str">
        <f t="shared" si="40"/>
        <v>--</v>
      </c>
      <c r="U224" s="473" t="str">
        <f>IF($E224="--","--",IF(START!$G$59&lt;&gt;START!$E$60,START!$G$61,"n/a"))</f>
        <v>--</v>
      </c>
      <c r="V224" s="391" t="str">
        <f t="shared" si="41"/>
        <v>--</v>
      </c>
      <c r="W224" s="2060"/>
      <c r="X224" s="2060"/>
      <c r="Y224" s="391" t="str">
        <f>IF(E224="--","--",_xll.ciqfunctions.udf.CIQ(G132,"IQ_TEV",Valuation_date,G224,FXMode)*Scale+(N(M224)*L224))</f>
        <v>--</v>
      </c>
      <c r="Z224" s="2060"/>
      <c r="AA224" s="2060"/>
      <c r="AB224" s="2060"/>
      <c r="AC224" s="2060"/>
      <c r="AD224" s="1004"/>
      <c r="AE224" s="2060"/>
      <c r="AF224" s="2060"/>
      <c r="AG224" s="2060"/>
      <c r="AH224" s="2060"/>
      <c r="AI224" s="2060"/>
      <c r="AJ224" s="2060"/>
      <c r="AK224" s="2060"/>
      <c r="AL224" s="2060"/>
      <c r="AM224" s="2060"/>
      <c r="AN224" s="2060"/>
      <c r="AO224" s="2060"/>
      <c r="AP224" s="2060"/>
      <c r="AQ224" s="2060"/>
      <c r="AR224" s="2060"/>
      <c r="AS224" s="2060"/>
      <c r="AT224" s="2060"/>
      <c r="AU224" s="2060"/>
      <c r="AV224" s="2060"/>
      <c r="AW224" s="2060"/>
      <c r="AX224" s="2060"/>
      <c r="AY224" s="2060"/>
      <c r="AZ224" s="2060"/>
      <c r="BA224" s="2060"/>
      <c r="BB224" s="2060"/>
      <c r="BC224" s="2060"/>
      <c r="BD224" s="2060"/>
      <c r="BE224" s="2060"/>
      <c r="BF224" s="2060"/>
      <c r="BG224" s="2060"/>
      <c r="BH224" s="2060"/>
      <c r="BI224" s="2060"/>
      <c r="BJ224" s="2060"/>
      <c r="BK224" s="2060"/>
      <c r="BL224" s="2060"/>
      <c r="BM224" s="2060"/>
      <c r="BN224" s="2060"/>
      <c r="BO224" s="2060"/>
      <c r="BP224" s="2060"/>
      <c r="BQ224" s="2060"/>
      <c r="BR224" s="2060"/>
      <c r="BS224" s="2060"/>
      <c r="BT224" s="2060"/>
      <c r="BU224" s="2060"/>
      <c r="BV224" s="2060"/>
      <c r="BW224" s="2060"/>
      <c r="BX224" s="2060"/>
      <c r="BY224" s="2060"/>
      <c r="BZ224" s="2060"/>
      <c r="CA224" s="2060"/>
      <c r="CB224" s="2060"/>
      <c r="CC224" s="2060"/>
      <c r="CD224" s="2060"/>
      <c r="CE224" s="2060"/>
      <c r="CF224" s="2060"/>
      <c r="CG224" s="2060"/>
      <c r="CH224" s="2060"/>
      <c r="CI224" s="2060"/>
      <c r="CJ224" s="2060"/>
      <c r="CK224" s="2060"/>
      <c r="CL224" s="2060"/>
      <c r="CM224" s="2060"/>
      <c r="CN224" s="2060"/>
      <c r="CO224" s="2060"/>
      <c r="CP224" s="2060"/>
      <c r="CQ224" s="2060"/>
      <c r="CR224" s="2060"/>
      <c r="CS224" s="2060"/>
      <c r="CT224" s="2060"/>
      <c r="CU224" s="2060"/>
      <c r="CV224" s="2060"/>
      <c r="CW224" s="2060"/>
      <c r="CX224" s="2060"/>
      <c r="CY224" s="2060"/>
      <c r="CZ224" s="2060"/>
      <c r="DA224" s="2060"/>
      <c r="DB224" s="2060"/>
      <c r="DC224" s="2060"/>
      <c r="DD224" s="2060"/>
      <c r="DE224" s="2060"/>
      <c r="DF224" s="2060"/>
      <c r="DG224" s="2060"/>
      <c r="DH224" s="2060"/>
      <c r="DI224" s="2060"/>
      <c r="DJ224" s="2060"/>
      <c r="DK224" s="2060"/>
      <c r="DL224" s="2060"/>
      <c r="DM224" s="2060"/>
      <c r="DN224" s="2060"/>
      <c r="DO224" s="2060"/>
      <c r="DP224" s="2060"/>
      <c r="DQ224" s="2060"/>
      <c r="DR224" s="2060"/>
      <c r="DS224" s="2060"/>
      <c r="DT224" s="2060"/>
      <c r="DU224" s="2060"/>
      <c r="DV224" s="2060"/>
      <c r="DW224" s="2060"/>
      <c r="DX224" s="2060"/>
      <c r="DY224" s="2060"/>
      <c r="DZ224" s="2060"/>
      <c r="EA224" s="2060"/>
      <c r="EB224" s="2060"/>
      <c r="EC224" s="2060"/>
      <c r="ED224" s="2060"/>
      <c r="EE224" s="2060"/>
      <c r="EF224" s="2060"/>
      <c r="EG224" s="2060"/>
      <c r="EH224" s="2060"/>
      <c r="EI224" s="2060"/>
      <c r="EJ224" s="2060"/>
      <c r="EK224" s="2060"/>
      <c r="EL224" s="2060"/>
      <c r="EM224" s="2060"/>
      <c r="EN224" s="2060"/>
      <c r="EO224" s="2060"/>
      <c r="EP224" s="2060"/>
      <c r="EQ224" s="2060"/>
      <c r="ER224" s="2060"/>
      <c r="ES224" s="2060"/>
      <c r="ET224" s="2060"/>
      <c r="EU224" s="2060"/>
      <c r="EV224" s="2060"/>
      <c r="EW224" s="2060"/>
      <c r="EX224" s="2060"/>
      <c r="EY224" s="2060"/>
      <c r="EZ224" s="2060"/>
      <c r="FA224" s="2060"/>
      <c r="FB224" s="2060"/>
      <c r="FC224" s="2060"/>
      <c r="FD224" s="2060"/>
      <c r="FE224" s="2060"/>
      <c r="FF224" s="2060"/>
      <c r="FG224" s="2060"/>
      <c r="FH224" s="2060"/>
      <c r="FI224" s="2060"/>
      <c r="FJ224" s="2060"/>
      <c r="FK224" s="2060"/>
      <c r="FL224" s="2060"/>
      <c r="FM224" s="2060"/>
      <c r="FN224" s="2060"/>
      <c r="FO224" s="2060"/>
      <c r="FP224" s="2060"/>
      <c r="FQ224" s="2060"/>
      <c r="FR224" s="2060"/>
      <c r="FS224" s="2060"/>
      <c r="FT224" s="2060"/>
      <c r="FU224" s="2060"/>
      <c r="FV224" s="2060"/>
      <c r="FW224" s="2060"/>
      <c r="FX224" s="2060"/>
      <c r="FY224" s="2060"/>
      <c r="FZ224" s="2060"/>
      <c r="GA224" s="2060"/>
      <c r="GB224" s="2060"/>
      <c r="GC224" s="2060"/>
    </row>
    <row r="225" spans="1:185" customFormat="1">
      <c r="A225" s="1632" t="str">
        <f t="shared" si="37"/>
        <v>n</v>
      </c>
      <c r="B225" s="1004"/>
      <c r="C225" s="1502"/>
      <c r="D225" s="2060"/>
      <c r="E225" s="173" t="str">
        <f>'DATA GPC'!E$24</f>
        <v>--</v>
      </c>
      <c r="F225" s="2060"/>
      <c r="G225" s="390" t="str">
        <f>'DATA GPC'!J24</f>
        <v>--</v>
      </c>
      <c r="H225" s="390" t="str">
        <f>IF($E225="--","--",_xll.ciqfunctions.udf.CIQ('DATA GPC'!G24,"IQ_LASTSALEPRICE",Valuation_date,$G225,FXMode))</f>
        <v>--</v>
      </c>
      <c r="I225" s="391" t="str">
        <f>IF($E225="--","--",_xll.ciqfunctions.udf.CIQ(G133,"IQ_SHARESOUTSTANDING",Valuation_date)*Scale)</f>
        <v>--</v>
      </c>
      <c r="J225" s="391" t="str">
        <f>IF($E225="--","--",_xll.ciqfunctions.udf.CIQ(G133,"IQ_MARKETCAP",Valuation_date,$G225,FXMode)*Scale)</f>
        <v>--</v>
      </c>
      <c r="K225" s="1512" t="str">
        <f t="shared" si="38"/>
        <v>--</v>
      </c>
      <c r="L225" s="391" t="str">
        <f>IF($E225="--","--",_xll.ciqfunctions.udf.CIQ(G133,"IQ_MARKETCAP",Valuation_date,$G225,FXMode)*Scale)</f>
        <v>--</v>
      </c>
      <c r="M225" s="473" t="str">
        <f>IF($E225="--","--",IF(START!$G$59=START!$E$60,START!$G$60,"n/a"))</f>
        <v>--</v>
      </c>
      <c r="N225" s="338" t="str">
        <f t="shared" si="39"/>
        <v>--</v>
      </c>
      <c r="O225" s="1506"/>
      <c r="P225" s="391" t="str">
        <f>IF($E225="--","--",_xll.ciqfunctions.udf.CIQ(G133,"IQ_TOTAL_DEBT",2000,Valuation_date,ReportType,DataMode,$G225,FXMode)*Scale+IF(PensionSetting="Included in debt",_xll.ciqfunctions.udf.CIQ(G133,"IQ_PENSION",2000,Valuation_date,ReportType,DataMode,$G225,FXMode)*Scale,0))</f>
        <v>--</v>
      </c>
      <c r="Q225" s="391" t="str">
        <f>IF($E225="--","--",-_xll.ciqfunctions.udf.CIQ(G133,"IQ_CASH_ST_INVEST",2000,Valuation_date,ReportType,DataMode, $G225,FXMode)*Scale)</f>
        <v>--</v>
      </c>
      <c r="R225" s="391" t="str">
        <f>IF($E225="--","--",_xll.ciqfunctions.udf.CIQ(G133,"IQ_MINORITY_INTEREST_TOTAL",2000,Valuation_date,ReportType,DataMode,$G225,FXMode)*Scale)</f>
        <v>--</v>
      </c>
      <c r="S225" s="391" t="str">
        <f>IF($E225="--","--",_xll.ciqfunctions.udf.CIQ(G133,"IQ_PREF_EQUITY",2000,Valuation_date,ReportType,DataMode,$G225,FXMode)*Scale)</f>
        <v>--</v>
      </c>
      <c r="T225" s="391" t="str">
        <f t="shared" si="40"/>
        <v>--</v>
      </c>
      <c r="U225" s="473" t="str">
        <f>IF($E225="--","--",IF(START!$G$59&lt;&gt;START!$E$60,START!$G$61,"n/a"))</f>
        <v>--</v>
      </c>
      <c r="V225" s="391" t="str">
        <f t="shared" si="41"/>
        <v>--</v>
      </c>
      <c r="W225" s="2060"/>
      <c r="X225" s="2060"/>
      <c r="Y225" s="391" t="str">
        <f>IF(E225="--","--",_xll.ciqfunctions.udf.CIQ(G133,"IQ_TEV",Valuation_date,G225,FXMode)*Scale+(N(M225)*L225))</f>
        <v>--</v>
      </c>
      <c r="Z225" s="2060"/>
      <c r="AA225" s="2060"/>
      <c r="AB225" s="2060"/>
      <c r="AC225" s="2060"/>
      <c r="AD225" s="1004"/>
      <c r="AE225" s="2060"/>
      <c r="AF225" s="2060"/>
      <c r="AG225" s="2060"/>
      <c r="AH225" s="2060"/>
      <c r="AI225" s="2060"/>
      <c r="AJ225" s="2060"/>
      <c r="AK225" s="2060"/>
      <c r="AL225" s="2060"/>
      <c r="AM225" s="2060"/>
      <c r="AN225" s="2060"/>
      <c r="AO225" s="2060"/>
      <c r="AP225" s="2060"/>
      <c r="AQ225" s="2060"/>
      <c r="AR225" s="2060"/>
      <c r="AS225" s="2060"/>
      <c r="AT225" s="2060"/>
      <c r="AU225" s="2060"/>
      <c r="AV225" s="2060"/>
      <c r="AW225" s="2060"/>
      <c r="AX225" s="2060"/>
      <c r="AY225" s="2060"/>
      <c r="AZ225" s="2060"/>
      <c r="BA225" s="2060"/>
      <c r="BB225" s="2060"/>
      <c r="BC225" s="2060"/>
      <c r="BD225" s="2060"/>
      <c r="BE225" s="2060"/>
      <c r="BF225" s="2060"/>
      <c r="BG225" s="2060"/>
      <c r="BH225" s="2060"/>
      <c r="BI225" s="2060"/>
      <c r="BJ225" s="2060"/>
      <c r="BK225" s="2060"/>
      <c r="BL225" s="2060"/>
      <c r="BM225" s="2060"/>
      <c r="BN225" s="2060"/>
      <c r="BO225" s="2060"/>
      <c r="BP225" s="2060"/>
      <c r="BQ225" s="2060"/>
      <c r="BR225" s="2060"/>
      <c r="BS225" s="2060"/>
      <c r="BT225" s="2060"/>
      <c r="BU225" s="2060"/>
      <c r="BV225" s="2060"/>
      <c r="BW225" s="2060"/>
      <c r="BX225" s="2060"/>
      <c r="BY225" s="2060"/>
      <c r="BZ225" s="2060"/>
      <c r="CA225" s="2060"/>
      <c r="CB225" s="2060"/>
      <c r="CC225" s="2060"/>
      <c r="CD225" s="2060"/>
      <c r="CE225" s="2060"/>
      <c r="CF225" s="2060"/>
      <c r="CG225" s="2060"/>
      <c r="CH225" s="2060"/>
      <c r="CI225" s="2060"/>
      <c r="CJ225" s="2060"/>
      <c r="CK225" s="2060"/>
      <c r="CL225" s="2060"/>
      <c r="CM225" s="2060"/>
      <c r="CN225" s="2060"/>
      <c r="CO225" s="2060"/>
      <c r="CP225" s="2060"/>
      <c r="CQ225" s="2060"/>
      <c r="CR225" s="2060"/>
      <c r="CS225" s="2060"/>
      <c r="CT225" s="2060"/>
      <c r="CU225" s="2060"/>
      <c r="CV225" s="2060"/>
      <c r="CW225" s="2060"/>
      <c r="CX225" s="2060"/>
      <c r="CY225" s="2060"/>
      <c r="CZ225" s="2060"/>
      <c r="DA225" s="2060"/>
      <c r="DB225" s="2060"/>
      <c r="DC225" s="2060"/>
      <c r="DD225" s="2060"/>
      <c r="DE225" s="2060"/>
      <c r="DF225" s="2060"/>
      <c r="DG225" s="2060"/>
      <c r="DH225" s="2060"/>
      <c r="DI225" s="2060"/>
      <c r="DJ225" s="2060"/>
      <c r="DK225" s="2060"/>
      <c r="DL225" s="2060"/>
      <c r="DM225" s="2060"/>
      <c r="DN225" s="2060"/>
      <c r="DO225" s="2060"/>
      <c r="DP225" s="2060"/>
      <c r="DQ225" s="2060"/>
      <c r="DR225" s="2060"/>
      <c r="DS225" s="2060"/>
      <c r="DT225" s="2060"/>
      <c r="DU225" s="2060"/>
      <c r="DV225" s="2060"/>
      <c r="DW225" s="2060"/>
      <c r="DX225" s="2060"/>
      <c r="DY225" s="2060"/>
      <c r="DZ225" s="2060"/>
      <c r="EA225" s="2060"/>
      <c r="EB225" s="2060"/>
      <c r="EC225" s="2060"/>
      <c r="ED225" s="2060"/>
      <c r="EE225" s="2060"/>
      <c r="EF225" s="2060"/>
      <c r="EG225" s="2060"/>
      <c r="EH225" s="2060"/>
      <c r="EI225" s="2060"/>
      <c r="EJ225" s="2060"/>
      <c r="EK225" s="2060"/>
      <c r="EL225" s="2060"/>
      <c r="EM225" s="2060"/>
      <c r="EN225" s="2060"/>
      <c r="EO225" s="2060"/>
      <c r="EP225" s="2060"/>
      <c r="EQ225" s="2060"/>
      <c r="ER225" s="2060"/>
      <c r="ES225" s="2060"/>
      <c r="ET225" s="2060"/>
      <c r="EU225" s="2060"/>
      <c r="EV225" s="2060"/>
      <c r="EW225" s="2060"/>
      <c r="EX225" s="2060"/>
      <c r="EY225" s="2060"/>
      <c r="EZ225" s="2060"/>
      <c r="FA225" s="2060"/>
      <c r="FB225" s="2060"/>
      <c r="FC225" s="2060"/>
      <c r="FD225" s="2060"/>
      <c r="FE225" s="2060"/>
      <c r="FF225" s="2060"/>
      <c r="FG225" s="2060"/>
      <c r="FH225" s="2060"/>
      <c r="FI225" s="2060"/>
      <c r="FJ225" s="2060"/>
      <c r="FK225" s="2060"/>
      <c r="FL225" s="2060"/>
      <c r="FM225" s="2060"/>
      <c r="FN225" s="2060"/>
      <c r="FO225" s="2060"/>
      <c r="FP225" s="2060"/>
      <c r="FQ225" s="2060"/>
      <c r="FR225" s="2060"/>
      <c r="FS225" s="2060"/>
      <c r="FT225" s="2060"/>
      <c r="FU225" s="2060"/>
      <c r="FV225" s="2060"/>
      <c r="FW225" s="2060"/>
      <c r="FX225" s="2060"/>
      <c r="FY225" s="2060"/>
      <c r="FZ225" s="2060"/>
      <c r="GA225" s="2060"/>
      <c r="GB225" s="2060"/>
      <c r="GC225" s="2060"/>
    </row>
    <row r="226" spans="1:185" customFormat="1">
      <c r="A226" s="1632" t="str">
        <f t="shared" si="37"/>
        <v>n</v>
      </c>
      <c r="B226" s="1004"/>
      <c r="C226" s="1502"/>
      <c r="D226" s="2060"/>
      <c r="E226" s="173" t="str">
        <f>'DATA GPC'!E$25</f>
        <v>--</v>
      </c>
      <c r="F226" s="2060"/>
      <c r="G226" s="390" t="str">
        <f>'DATA GPC'!J25</f>
        <v>--</v>
      </c>
      <c r="H226" s="390" t="str">
        <f>IF($E226="--","--",_xll.ciqfunctions.udf.CIQ('DATA GPC'!G25,"IQ_LASTSALEPRICE",Valuation_date,$G226,FXMode))</f>
        <v>--</v>
      </c>
      <c r="I226" s="391" t="str">
        <f>IF($E226="--","--",_xll.ciqfunctions.udf.CIQ(G134,"IQ_SHARESOUTSTANDING",Valuation_date)*Scale)</f>
        <v>--</v>
      </c>
      <c r="J226" s="391" t="str">
        <f>IF($E226="--","--",_xll.ciqfunctions.udf.CIQ(G134,"IQ_MARKETCAP",Valuation_date,$G226,FXMode)*Scale)</f>
        <v>--</v>
      </c>
      <c r="K226" s="1512" t="str">
        <f t="shared" si="38"/>
        <v>--</v>
      </c>
      <c r="L226" s="391" t="str">
        <f>IF($E226="--","--",_xll.ciqfunctions.udf.CIQ(G134,"IQ_MARKETCAP",Valuation_date,$G226,FXMode)*Scale)</f>
        <v>--</v>
      </c>
      <c r="M226" s="473" t="str">
        <f>IF($E226="--","--",IF(START!$G$59=START!$E$60,START!$G$60,"n/a"))</f>
        <v>--</v>
      </c>
      <c r="N226" s="338" t="str">
        <f t="shared" si="39"/>
        <v>--</v>
      </c>
      <c r="O226" s="1506"/>
      <c r="P226" s="391" t="str">
        <f>IF($E226="--","--",_xll.ciqfunctions.udf.CIQ(G134,"IQ_TOTAL_DEBT",2000,Valuation_date,ReportType,DataMode,$G226,FXMode)*Scale+IF(PensionSetting="Included in debt",_xll.ciqfunctions.udf.CIQ(G134,"IQ_PENSION",2000,Valuation_date,ReportType,DataMode,$G226,FXMode)*Scale,0))</f>
        <v>--</v>
      </c>
      <c r="Q226" s="391" t="str">
        <f>IF($E226="--","--",-_xll.ciqfunctions.udf.CIQ(G134,"IQ_CASH_ST_INVEST",2000,Valuation_date,ReportType,DataMode, $G226,FXMode)*Scale)</f>
        <v>--</v>
      </c>
      <c r="R226" s="391" t="str">
        <f>IF($E226="--","--",_xll.ciqfunctions.udf.CIQ(G134,"IQ_MINORITY_INTEREST_TOTAL",2000,Valuation_date,ReportType,DataMode,$G226,FXMode)*Scale)</f>
        <v>--</v>
      </c>
      <c r="S226" s="391" t="str">
        <f>IF($E226="--","--",_xll.ciqfunctions.udf.CIQ(G134,"IQ_PREF_EQUITY",2000,Valuation_date,ReportType,DataMode,$G226,FXMode)*Scale)</f>
        <v>--</v>
      </c>
      <c r="T226" s="391" t="str">
        <f t="shared" si="40"/>
        <v>--</v>
      </c>
      <c r="U226" s="473" t="str">
        <f>IF($E226="--","--",IF(START!$G$59&lt;&gt;START!$E$60,START!$G$61,"n/a"))</f>
        <v>--</v>
      </c>
      <c r="V226" s="391" t="str">
        <f t="shared" si="41"/>
        <v>--</v>
      </c>
      <c r="W226" s="2060"/>
      <c r="X226" s="2060"/>
      <c r="Y226" s="391" t="str">
        <f>IF(E226="--","--",_xll.ciqfunctions.udf.CIQ(G134,"IQ_TEV",Valuation_date,G226,FXMode)*Scale+(N(M226)*L226))</f>
        <v>--</v>
      </c>
      <c r="Z226" s="2060"/>
      <c r="AA226" s="2060"/>
      <c r="AB226" s="2060"/>
      <c r="AC226" s="2060"/>
      <c r="AD226" s="1004"/>
      <c r="AE226" s="2060"/>
      <c r="AF226" s="2060"/>
      <c r="AG226" s="2060"/>
      <c r="AH226" s="2060"/>
      <c r="AI226" s="2060"/>
      <c r="AJ226" s="2060"/>
      <c r="AK226" s="2060"/>
      <c r="AL226" s="2060"/>
      <c r="AM226" s="2060"/>
      <c r="AN226" s="2060"/>
      <c r="AO226" s="2060"/>
      <c r="AP226" s="2060"/>
      <c r="AQ226" s="2060"/>
      <c r="AR226" s="2060"/>
      <c r="AS226" s="2060"/>
      <c r="AT226" s="2060"/>
      <c r="AU226" s="2060"/>
      <c r="AV226" s="2060"/>
      <c r="AW226" s="2060"/>
      <c r="AX226" s="2060"/>
      <c r="AY226" s="2060"/>
      <c r="AZ226" s="2060"/>
      <c r="BA226" s="2060"/>
      <c r="BB226" s="2060"/>
      <c r="BC226" s="2060"/>
      <c r="BD226" s="2060"/>
      <c r="BE226" s="2060"/>
      <c r="BF226" s="2060"/>
      <c r="BG226" s="2060"/>
      <c r="BH226" s="2060"/>
      <c r="BI226" s="2060"/>
      <c r="BJ226" s="2060"/>
      <c r="BK226" s="2060"/>
      <c r="BL226" s="2060"/>
      <c r="BM226" s="2060"/>
      <c r="BN226" s="2060"/>
      <c r="BO226" s="2060"/>
      <c r="BP226" s="2060"/>
      <c r="BQ226" s="2060"/>
      <c r="BR226" s="2060"/>
      <c r="BS226" s="2060"/>
      <c r="BT226" s="2060"/>
      <c r="BU226" s="2060"/>
      <c r="BV226" s="2060"/>
      <c r="BW226" s="2060"/>
      <c r="BX226" s="2060"/>
      <c r="BY226" s="2060"/>
      <c r="BZ226" s="2060"/>
      <c r="CA226" s="2060"/>
      <c r="CB226" s="2060"/>
      <c r="CC226" s="2060"/>
      <c r="CD226" s="2060"/>
      <c r="CE226" s="2060"/>
      <c r="CF226" s="2060"/>
      <c r="CG226" s="2060"/>
      <c r="CH226" s="2060"/>
      <c r="CI226" s="2060"/>
      <c r="CJ226" s="2060"/>
      <c r="CK226" s="2060"/>
      <c r="CL226" s="2060"/>
      <c r="CM226" s="2060"/>
      <c r="CN226" s="2060"/>
      <c r="CO226" s="2060"/>
      <c r="CP226" s="2060"/>
      <c r="CQ226" s="2060"/>
      <c r="CR226" s="2060"/>
      <c r="CS226" s="2060"/>
      <c r="CT226" s="2060"/>
      <c r="CU226" s="2060"/>
      <c r="CV226" s="2060"/>
      <c r="CW226" s="2060"/>
      <c r="CX226" s="2060"/>
      <c r="CY226" s="2060"/>
      <c r="CZ226" s="2060"/>
      <c r="DA226" s="2060"/>
      <c r="DB226" s="2060"/>
      <c r="DC226" s="2060"/>
      <c r="DD226" s="2060"/>
      <c r="DE226" s="2060"/>
      <c r="DF226" s="2060"/>
      <c r="DG226" s="2060"/>
      <c r="DH226" s="2060"/>
      <c r="DI226" s="2060"/>
      <c r="DJ226" s="2060"/>
      <c r="DK226" s="2060"/>
      <c r="DL226" s="2060"/>
      <c r="DM226" s="2060"/>
      <c r="DN226" s="2060"/>
      <c r="DO226" s="2060"/>
      <c r="DP226" s="2060"/>
      <c r="DQ226" s="2060"/>
      <c r="DR226" s="2060"/>
      <c r="DS226" s="2060"/>
      <c r="DT226" s="2060"/>
      <c r="DU226" s="2060"/>
      <c r="DV226" s="2060"/>
      <c r="DW226" s="2060"/>
      <c r="DX226" s="2060"/>
      <c r="DY226" s="2060"/>
      <c r="DZ226" s="2060"/>
      <c r="EA226" s="2060"/>
      <c r="EB226" s="2060"/>
      <c r="EC226" s="2060"/>
      <c r="ED226" s="2060"/>
      <c r="EE226" s="2060"/>
      <c r="EF226" s="2060"/>
      <c r="EG226" s="2060"/>
      <c r="EH226" s="2060"/>
      <c r="EI226" s="2060"/>
      <c r="EJ226" s="2060"/>
      <c r="EK226" s="2060"/>
      <c r="EL226" s="2060"/>
      <c r="EM226" s="2060"/>
      <c r="EN226" s="2060"/>
      <c r="EO226" s="2060"/>
      <c r="EP226" s="2060"/>
      <c r="EQ226" s="2060"/>
      <c r="ER226" s="2060"/>
      <c r="ES226" s="2060"/>
      <c r="ET226" s="2060"/>
      <c r="EU226" s="2060"/>
      <c r="EV226" s="2060"/>
      <c r="EW226" s="2060"/>
      <c r="EX226" s="2060"/>
      <c r="EY226" s="2060"/>
      <c r="EZ226" s="2060"/>
      <c r="FA226" s="2060"/>
      <c r="FB226" s="2060"/>
      <c r="FC226" s="2060"/>
      <c r="FD226" s="2060"/>
      <c r="FE226" s="2060"/>
      <c r="FF226" s="2060"/>
      <c r="FG226" s="2060"/>
      <c r="FH226" s="2060"/>
      <c r="FI226" s="2060"/>
      <c r="FJ226" s="2060"/>
      <c r="FK226" s="2060"/>
      <c r="FL226" s="2060"/>
      <c r="FM226" s="2060"/>
      <c r="FN226" s="2060"/>
      <c r="FO226" s="2060"/>
      <c r="FP226" s="2060"/>
      <c r="FQ226" s="2060"/>
      <c r="FR226" s="2060"/>
      <c r="FS226" s="2060"/>
      <c r="FT226" s="2060"/>
      <c r="FU226" s="2060"/>
      <c r="FV226" s="2060"/>
      <c r="FW226" s="2060"/>
      <c r="FX226" s="2060"/>
      <c r="FY226" s="2060"/>
      <c r="FZ226" s="2060"/>
      <c r="GA226" s="2060"/>
      <c r="GB226" s="2060"/>
      <c r="GC226" s="2060"/>
    </row>
    <row r="227" spans="1:185" customFormat="1">
      <c r="A227" s="1632" t="str">
        <f t="shared" si="37"/>
        <v>n</v>
      </c>
      <c r="B227" s="1004"/>
      <c r="C227" s="1502"/>
      <c r="D227" s="2060"/>
      <c r="E227" s="173" t="str">
        <f>'DATA GPC'!E$26</f>
        <v>--</v>
      </c>
      <c r="F227" s="2060"/>
      <c r="G227" s="390" t="str">
        <f>'DATA GPC'!J26</f>
        <v>--</v>
      </c>
      <c r="H227" s="390" t="str">
        <f>IF($E227="--","--",_xll.ciqfunctions.udf.CIQ('DATA GPC'!G26,"IQ_LASTSALEPRICE",Valuation_date,$G227,FXMode))</f>
        <v>--</v>
      </c>
      <c r="I227" s="391" t="str">
        <f>IF($E227="--","--",_xll.ciqfunctions.udf.CIQ(G135,"IQ_SHARESOUTSTANDING",Valuation_date)*Scale)</f>
        <v>--</v>
      </c>
      <c r="J227" s="391" t="str">
        <f>IF($E227="--","--",_xll.ciqfunctions.udf.CIQ(G135,"IQ_MARKETCAP",Valuation_date,$G227,FXMode)*Scale)</f>
        <v>--</v>
      </c>
      <c r="K227" s="1512" t="str">
        <f t="shared" si="38"/>
        <v>--</v>
      </c>
      <c r="L227" s="391" t="str">
        <f>IF($E227="--","--",_xll.ciqfunctions.udf.CIQ(G135,"IQ_MARKETCAP",Valuation_date,$G227,FXMode)*Scale)</f>
        <v>--</v>
      </c>
      <c r="M227" s="473" t="str">
        <f>IF($E227="--","--",IF(START!$G$59=START!$E$60,START!$G$60,"n/a"))</f>
        <v>--</v>
      </c>
      <c r="N227" s="338" t="str">
        <f t="shared" si="39"/>
        <v>--</v>
      </c>
      <c r="O227" s="1506"/>
      <c r="P227" s="391" t="str">
        <f>IF($E227="--","--",_xll.ciqfunctions.udf.CIQ(G135,"IQ_TOTAL_DEBT",2000,Valuation_date,ReportType,DataMode,$G227,FXMode)*Scale+IF(PensionSetting="Included in debt",_xll.ciqfunctions.udf.CIQ(G135,"IQ_PENSION",2000,Valuation_date,ReportType,DataMode,$G227,FXMode)*Scale,0))</f>
        <v>--</v>
      </c>
      <c r="Q227" s="391" t="str">
        <f>IF($E227="--","--",-_xll.ciqfunctions.udf.CIQ(G135,"IQ_CASH_ST_INVEST",2000,Valuation_date,ReportType,DataMode, $G227,FXMode)*Scale)</f>
        <v>--</v>
      </c>
      <c r="R227" s="391" t="str">
        <f>IF($E227="--","--",_xll.ciqfunctions.udf.CIQ(G135,"IQ_MINORITY_INTEREST_TOTAL",2000,Valuation_date,ReportType,DataMode,$G227,FXMode)*Scale)</f>
        <v>--</v>
      </c>
      <c r="S227" s="391" t="str">
        <f>IF($E227="--","--",_xll.ciqfunctions.udf.CIQ(G135,"IQ_PREF_EQUITY",2000,Valuation_date,ReportType,DataMode,$G227,FXMode)*Scale)</f>
        <v>--</v>
      </c>
      <c r="T227" s="391" t="str">
        <f t="shared" si="40"/>
        <v>--</v>
      </c>
      <c r="U227" s="473" t="str">
        <f>IF($E227="--","--",IF(START!$G$59&lt;&gt;START!$E$60,START!$G$61,"n/a"))</f>
        <v>--</v>
      </c>
      <c r="V227" s="391" t="str">
        <f t="shared" si="41"/>
        <v>--</v>
      </c>
      <c r="W227" s="2060"/>
      <c r="X227" s="2060"/>
      <c r="Y227" s="391" t="str">
        <f>IF(E227="--","--",_xll.ciqfunctions.udf.CIQ(G135,"IQ_TEV",Valuation_date,G227,FXMode)*Scale+(N(M227)*L227))</f>
        <v>--</v>
      </c>
      <c r="Z227" s="2060"/>
      <c r="AA227" s="2060"/>
      <c r="AB227" s="2060"/>
      <c r="AC227" s="2060"/>
      <c r="AD227" s="1004"/>
      <c r="AE227" s="2060"/>
      <c r="AF227" s="2060"/>
      <c r="AG227" s="2060"/>
      <c r="AH227" s="2060"/>
      <c r="AI227" s="2060"/>
      <c r="AJ227" s="2060"/>
      <c r="AK227" s="2060"/>
      <c r="AL227" s="2060"/>
      <c r="AM227" s="2060"/>
      <c r="AN227" s="2060"/>
      <c r="AO227" s="2060"/>
      <c r="AP227" s="2060"/>
      <c r="AQ227" s="2060"/>
      <c r="AR227" s="2060"/>
      <c r="AS227" s="2060"/>
      <c r="AT227" s="2060"/>
      <c r="AU227" s="2060"/>
      <c r="AV227" s="2060"/>
      <c r="AW227" s="2060"/>
      <c r="AX227" s="2060"/>
      <c r="AY227" s="2060"/>
      <c r="AZ227" s="2060"/>
      <c r="BA227" s="2060"/>
      <c r="BB227" s="2060"/>
      <c r="BC227" s="2060"/>
      <c r="BD227" s="2060"/>
      <c r="BE227" s="2060"/>
      <c r="BF227" s="2060"/>
      <c r="BG227" s="2060"/>
      <c r="BH227" s="2060"/>
      <c r="BI227" s="2060"/>
      <c r="BJ227" s="2060"/>
      <c r="BK227" s="2060"/>
      <c r="BL227" s="2060"/>
      <c r="BM227" s="2060"/>
      <c r="BN227" s="2060"/>
      <c r="BO227" s="2060"/>
      <c r="BP227" s="2060"/>
      <c r="BQ227" s="2060"/>
      <c r="BR227" s="2060"/>
      <c r="BS227" s="2060"/>
      <c r="BT227" s="2060"/>
      <c r="BU227" s="2060"/>
      <c r="BV227" s="2060"/>
      <c r="BW227" s="2060"/>
      <c r="BX227" s="2060"/>
      <c r="BY227" s="2060"/>
      <c r="BZ227" s="2060"/>
      <c r="CA227" s="2060"/>
      <c r="CB227" s="2060"/>
      <c r="CC227" s="2060"/>
      <c r="CD227" s="2060"/>
      <c r="CE227" s="2060"/>
      <c r="CF227" s="2060"/>
      <c r="CG227" s="2060"/>
      <c r="CH227" s="2060"/>
      <c r="CI227" s="2060"/>
      <c r="CJ227" s="2060"/>
      <c r="CK227" s="2060"/>
      <c r="CL227" s="2060"/>
      <c r="CM227" s="2060"/>
      <c r="CN227" s="2060"/>
      <c r="CO227" s="2060"/>
      <c r="CP227" s="2060"/>
      <c r="CQ227" s="2060"/>
      <c r="CR227" s="2060"/>
      <c r="CS227" s="2060"/>
      <c r="CT227" s="2060"/>
      <c r="CU227" s="2060"/>
      <c r="CV227" s="2060"/>
      <c r="CW227" s="2060"/>
      <c r="CX227" s="2060"/>
      <c r="CY227" s="2060"/>
      <c r="CZ227" s="2060"/>
      <c r="DA227" s="2060"/>
      <c r="DB227" s="2060"/>
      <c r="DC227" s="2060"/>
      <c r="DD227" s="2060"/>
      <c r="DE227" s="2060"/>
      <c r="DF227" s="2060"/>
      <c r="DG227" s="2060"/>
      <c r="DH227" s="2060"/>
      <c r="DI227" s="2060"/>
      <c r="DJ227" s="2060"/>
      <c r="DK227" s="2060"/>
      <c r="DL227" s="2060"/>
      <c r="DM227" s="2060"/>
      <c r="DN227" s="2060"/>
      <c r="DO227" s="2060"/>
      <c r="DP227" s="2060"/>
      <c r="DQ227" s="2060"/>
      <c r="DR227" s="2060"/>
      <c r="DS227" s="2060"/>
      <c r="DT227" s="2060"/>
      <c r="DU227" s="2060"/>
      <c r="DV227" s="2060"/>
      <c r="DW227" s="2060"/>
      <c r="DX227" s="2060"/>
      <c r="DY227" s="2060"/>
      <c r="DZ227" s="2060"/>
      <c r="EA227" s="2060"/>
      <c r="EB227" s="2060"/>
      <c r="EC227" s="2060"/>
      <c r="ED227" s="2060"/>
      <c r="EE227" s="2060"/>
      <c r="EF227" s="2060"/>
      <c r="EG227" s="2060"/>
      <c r="EH227" s="2060"/>
      <c r="EI227" s="2060"/>
      <c r="EJ227" s="2060"/>
      <c r="EK227" s="2060"/>
      <c r="EL227" s="2060"/>
      <c r="EM227" s="2060"/>
      <c r="EN227" s="2060"/>
      <c r="EO227" s="2060"/>
      <c r="EP227" s="2060"/>
      <c r="EQ227" s="2060"/>
      <c r="ER227" s="2060"/>
      <c r="ES227" s="2060"/>
      <c r="ET227" s="2060"/>
      <c r="EU227" s="2060"/>
      <c r="EV227" s="2060"/>
      <c r="EW227" s="2060"/>
      <c r="EX227" s="2060"/>
      <c r="EY227" s="2060"/>
      <c r="EZ227" s="2060"/>
      <c r="FA227" s="2060"/>
      <c r="FB227" s="2060"/>
      <c r="FC227" s="2060"/>
      <c r="FD227" s="2060"/>
      <c r="FE227" s="2060"/>
      <c r="FF227" s="2060"/>
      <c r="FG227" s="2060"/>
      <c r="FH227" s="2060"/>
      <c r="FI227" s="2060"/>
      <c r="FJ227" s="2060"/>
      <c r="FK227" s="2060"/>
      <c r="FL227" s="2060"/>
      <c r="FM227" s="2060"/>
      <c r="FN227" s="2060"/>
      <c r="FO227" s="2060"/>
      <c r="FP227" s="2060"/>
      <c r="FQ227" s="2060"/>
      <c r="FR227" s="2060"/>
      <c r="FS227" s="2060"/>
      <c r="FT227" s="2060"/>
      <c r="FU227" s="2060"/>
      <c r="FV227" s="2060"/>
      <c r="FW227" s="2060"/>
      <c r="FX227" s="2060"/>
      <c r="FY227" s="2060"/>
      <c r="FZ227" s="2060"/>
      <c r="GA227" s="2060"/>
      <c r="GB227" s="2060"/>
      <c r="GC227" s="2060"/>
    </row>
    <row r="228" spans="1:185" customFormat="1">
      <c r="A228" s="1632" t="str">
        <f t="shared" si="37"/>
        <v>n</v>
      </c>
      <c r="B228" s="1004"/>
      <c r="C228" s="1502"/>
      <c r="D228" s="2060"/>
      <c r="E228" s="173" t="str">
        <f>'DATA GPC'!E$27</f>
        <v>--</v>
      </c>
      <c r="F228" s="2060"/>
      <c r="G228" s="390" t="str">
        <f>'DATA GPC'!J27</f>
        <v>--</v>
      </c>
      <c r="H228" s="390" t="str">
        <f>IF($E228="--","--",_xll.ciqfunctions.udf.CIQ('DATA GPC'!G27,"IQ_LASTSALEPRICE",Valuation_date,$G228,FXMode))</f>
        <v>--</v>
      </c>
      <c r="I228" s="391" t="str">
        <f>IF($E228="--","--",_xll.ciqfunctions.udf.CIQ(G136,"IQ_SHARESOUTSTANDING",Valuation_date)*Scale)</f>
        <v>--</v>
      </c>
      <c r="J228" s="391" t="str">
        <f>IF($E228="--","--",_xll.ciqfunctions.udf.CIQ(G136,"IQ_MARKETCAP",Valuation_date,$G228,FXMode)*Scale)</f>
        <v>--</v>
      </c>
      <c r="K228" s="1512" t="str">
        <f t="shared" si="38"/>
        <v>--</v>
      </c>
      <c r="L228" s="391" t="str">
        <f>IF($E228="--","--",_xll.ciqfunctions.udf.CIQ(G136,"IQ_MARKETCAP",Valuation_date,$G228,FXMode)*Scale)</f>
        <v>--</v>
      </c>
      <c r="M228" s="473" t="str">
        <f>IF($E228="--","--",IF(START!$G$59=START!$E$60,START!$G$60,"n/a"))</f>
        <v>--</v>
      </c>
      <c r="N228" s="338" t="str">
        <f t="shared" si="39"/>
        <v>--</v>
      </c>
      <c r="O228" s="1506"/>
      <c r="P228" s="391" t="str">
        <f>IF($E228="--","--",_xll.ciqfunctions.udf.CIQ(G136,"IQ_TOTAL_DEBT",2000,Valuation_date,ReportType,DataMode,$G228,FXMode)*Scale+IF(PensionSetting="Included in debt",_xll.ciqfunctions.udf.CIQ(G136,"IQ_PENSION",2000,Valuation_date,ReportType,DataMode,$G228,FXMode)*Scale,0))</f>
        <v>--</v>
      </c>
      <c r="Q228" s="391" t="str">
        <f>IF($E228="--","--",-_xll.ciqfunctions.udf.CIQ(G136,"IQ_CASH_ST_INVEST",2000,Valuation_date,ReportType,DataMode, $G228,FXMode)*Scale)</f>
        <v>--</v>
      </c>
      <c r="R228" s="391" t="str">
        <f>IF($E228="--","--",_xll.ciqfunctions.udf.CIQ(G136,"IQ_MINORITY_INTEREST_TOTAL",2000,Valuation_date,ReportType,DataMode,$G228,FXMode)*Scale)</f>
        <v>--</v>
      </c>
      <c r="S228" s="391" t="str">
        <f>IF($E228="--","--",_xll.ciqfunctions.udf.CIQ(G136,"IQ_PREF_EQUITY",2000,Valuation_date,ReportType,DataMode,$G228,FXMode)*Scale)</f>
        <v>--</v>
      </c>
      <c r="T228" s="391" t="str">
        <f t="shared" si="40"/>
        <v>--</v>
      </c>
      <c r="U228" s="473" t="str">
        <f>IF($E228="--","--",IF(START!$G$59&lt;&gt;START!$E$60,START!$G$61,"n/a"))</f>
        <v>--</v>
      </c>
      <c r="V228" s="391" t="str">
        <f t="shared" si="41"/>
        <v>--</v>
      </c>
      <c r="W228" s="2060"/>
      <c r="X228" s="2060"/>
      <c r="Y228" s="391" t="str">
        <f>IF(E228="--","--",_xll.ciqfunctions.udf.CIQ(G136,"IQ_TEV",Valuation_date,G228,FXMode)*Scale+(N(M228)*L228))</f>
        <v>--</v>
      </c>
      <c r="Z228" s="2060"/>
      <c r="AA228" s="2060"/>
      <c r="AB228" s="2060"/>
      <c r="AC228" s="2060"/>
      <c r="AD228" s="1004"/>
      <c r="AE228" s="2060"/>
      <c r="AF228" s="2060"/>
      <c r="AG228" s="2060"/>
      <c r="AH228" s="2060"/>
      <c r="AI228" s="2060"/>
      <c r="AJ228" s="2060"/>
      <c r="AK228" s="2060"/>
      <c r="AL228" s="2060"/>
      <c r="AM228" s="2060"/>
      <c r="AN228" s="2060"/>
      <c r="AO228" s="2060"/>
      <c r="AP228" s="2060"/>
      <c r="AQ228" s="2060"/>
      <c r="AR228" s="2060"/>
      <c r="AS228" s="2060"/>
      <c r="AT228" s="2060"/>
      <c r="AU228" s="2060"/>
      <c r="AV228" s="2060"/>
      <c r="AW228" s="2060"/>
      <c r="AX228" s="2060"/>
      <c r="AY228" s="2060"/>
      <c r="AZ228" s="2060"/>
      <c r="BA228" s="2060"/>
      <c r="BB228" s="2060"/>
      <c r="BC228" s="2060"/>
      <c r="BD228" s="2060"/>
      <c r="BE228" s="2060"/>
      <c r="BF228" s="2060"/>
      <c r="BG228" s="2060"/>
      <c r="BH228" s="2060"/>
      <c r="BI228" s="2060"/>
      <c r="BJ228" s="2060"/>
      <c r="BK228" s="2060"/>
      <c r="BL228" s="2060"/>
      <c r="BM228" s="2060"/>
      <c r="BN228" s="2060"/>
      <c r="BO228" s="2060"/>
      <c r="BP228" s="2060"/>
      <c r="BQ228" s="2060"/>
      <c r="BR228" s="2060"/>
      <c r="BS228" s="2060"/>
      <c r="BT228" s="2060"/>
      <c r="BU228" s="2060"/>
      <c r="BV228" s="2060"/>
      <c r="BW228" s="2060"/>
      <c r="BX228" s="2060"/>
      <c r="BY228" s="2060"/>
      <c r="BZ228" s="2060"/>
      <c r="CA228" s="2060"/>
      <c r="CB228" s="2060"/>
      <c r="CC228" s="2060"/>
      <c r="CD228" s="2060"/>
      <c r="CE228" s="2060"/>
      <c r="CF228" s="2060"/>
      <c r="CG228" s="2060"/>
      <c r="CH228" s="2060"/>
      <c r="CI228" s="2060"/>
      <c r="CJ228" s="2060"/>
      <c r="CK228" s="2060"/>
      <c r="CL228" s="2060"/>
      <c r="CM228" s="2060"/>
      <c r="CN228" s="2060"/>
      <c r="CO228" s="2060"/>
      <c r="CP228" s="2060"/>
      <c r="CQ228" s="2060"/>
      <c r="CR228" s="2060"/>
      <c r="CS228" s="2060"/>
      <c r="CT228" s="2060"/>
      <c r="CU228" s="2060"/>
      <c r="CV228" s="2060"/>
      <c r="CW228" s="2060"/>
      <c r="CX228" s="2060"/>
      <c r="CY228" s="2060"/>
      <c r="CZ228" s="2060"/>
      <c r="DA228" s="2060"/>
      <c r="DB228" s="2060"/>
      <c r="DC228" s="2060"/>
      <c r="DD228" s="2060"/>
      <c r="DE228" s="2060"/>
      <c r="DF228" s="2060"/>
      <c r="DG228" s="2060"/>
      <c r="DH228" s="2060"/>
      <c r="DI228" s="2060"/>
      <c r="DJ228" s="2060"/>
      <c r="DK228" s="2060"/>
      <c r="DL228" s="2060"/>
      <c r="DM228" s="2060"/>
      <c r="DN228" s="2060"/>
      <c r="DO228" s="2060"/>
      <c r="DP228" s="2060"/>
      <c r="DQ228" s="2060"/>
      <c r="DR228" s="2060"/>
      <c r="DS228" s="2060"/>
      <c r="DT228" s="2060"/>
      <c r="DU228" s="2060"/>
      <c r="DV228" s="2060"/>
      <c r="DW228" s="2060"/>
      <c r="DX228" s="2060"/>
      <c r="DY228" s="2060"/>
      <c r="DZ228" s="2060"/>
      <c r="EA228" s="2060"/>
      <c r="EB228" s="2060"/>
      <c r="EC228" s="2060"/>
      <c r="ED228" s="2060"/>
      <c r="EE228" s="2060"/>
      <c r="EF228" s="2060"/>
      <c r="EG228" s="2060"/>
      <c r="EH228" s="2060"/>
      <c r="EI228" s="2060"/>
      <c r="EJ228" s="2060"/>
      <c r="EK228" s="2060"/>
      <c r="EL228" s="2060"/>
      <c r="EM228" s="2060"/>
      <c r="EN228" s="2060"/>
      <c r="EO228" s="2060"/>
      <c r="EP228" s="2060"/>
      <c r="EQ228" s="2060"/>
      <c r="ER228" s="2060"/>
      <c r="ES228" s="2060"/>
      <c r="ET228" s="2060"/>
      <c r="EU228" s="2060"/>
      <c r="EV228" s="2060"/>
      <c r="EW228" s="2060"/>
      <c r="EX228" s="2060"/>
      <c r="EY228" s="2060"/>
      <c r="EZ228" s="2060"/>
      <c r="FA228" s="2060"/>
      <c r="FB228" s="2060"/>
      <c r="FC228" s="2060"/>
      <c r="FD228" s="2060"/>
      <c r="FE228" s="2060"/>
      <c r="FF228" s="2060"/>
      <c r="FG228" s="2060"/>
      <c r="FH228" s="2060"/>
      <c r="FI228" s="2060"/>
      <c r="FJ228" s="2060"/>
      <c r="FK228" s="2060"/>
      <c r="FL228" s="2060"/>
      <c r="FM228" s="2060"/>
      <c r="FN228" s="2060"/>
      <c r="FO228" s="2060"/>
      <c r="FP228" s="2060"/>
      <c r="FQ228" s="2060"/>
      <c r="FR228" s="2060"/>
      <c r="FS228" s="2060"/>
      <c r="FT228" s="2060"/>
      <c r="FU228" s="2060"/>
      <c r="FV228" s="2060"/>
      <c r="FW228" s="2060"/>
      <c r="FX228" s="2060"/>
      <c r="FY228" s="2060"/>
      <c r="FZ228" s="2060"/>
      <c r="GA228" s="2060"/>
      <c r="GB228" s="2060"/>
      <c r="GC228" s="2060"/>
    </row>
    <row r="229" spans="1:185" customFormat="1">
      <c r="A229" s="1632" t="str">
        <f t="shared" si="37"/>
        <v>n</v>
      </c>
      <c r="B229" s="1004"/>
      <c r="C229" s="1502"/>
      <c r="D229" s="2060"/>
      <c r="E229" s="173" t="str">
        <f>'DATA GPC'!E$28</f>
        <v>--</v>
      </c>
      <c r="F229" s="2060"/>
      <c r="G229" s="390" t="str">
        <f>'DATA GPC'!J28</f>
        <v>--</v>
      </c>
      <c r="H229" s="390" t="str">
        <f>IF($E229="--","--",_xll.ciqfunctions.udf.CIQ('DATA GPC'!G28,"IQ_LASTSALEPRICE",Valuation_date,$G229,FXMode))</f>
        <v>--</v>
      </c>
      <c r="I229" s="391" t="str">
        <f>IF($E229="--","--",_xll.ciqfunctions.udf.CIQ(G137,"IQ_SHARESOUTSTANDING",Valuation_date)*Scale)</f>
        <v>--</v>
      </c>
      <c r="J229" s="391" t="str">
        <f>IF($E229="--","--",_xll.ciqfunctions.udf.CIQ(G137,"IQ_MARKETCAP",Valuation_date,$G229,FXMode)*Scale)</f>
        <v>--</v>
      </c>
      <c r="K229" s="1512" t="str">
        <f t="shared" si="38"/>
        <v>--</v>
      </c>
      <c r="L229" s="391" t="str">
        <f>IF($E229="--","--",_xll.ciqfunctions.udf.CIQ(G137,"IQ_MARKETCAP",Valuation_date,$G229,FXMode)*Scale)</f>
        <v>--</v>
      </c>
      <c r="M229" s="473" t="str">
        <f>IF($E229="--","--",IF(START!$G$59=START!$E$60,START!$G$60,"n/a"))</f>
        <v>--</v>
      </c>
      <c r="N229" s="338" t="str">
        <f t="shared" si="39"/>
        <v>--</v>
      </c>
      <c r="O229" s="1506"/>
      <c r="P229" s="391" t="str">
        <f>IF($E229="--","--",_xll.ciqfunctions.udf.CIQ(G137,"IQ_TOTAL_DEBT",2000,Valuation_date,ReportType,DataMode,$G229,FXMode)*Scale+IF(PensionSetting="Included in debt",_xll.ciqfunctions.udf.CIQ(G137,"IQ_PENSION",2000,Valuation_date,ReportType,DataMode,$G229,FXMode)*Scale,0))</f>
        <v>--</v>
      </c>
      <c r="Q229" s="391" t="str">
        <f>IF($E229="--","--",-_xll.ciqfunctions.udf.CIQ(G137,"IQ_CASH_ST_INVEST",2000,Valuation_date,ReportType,DataMode, $G229,FXMode)*Scale)</f>
        <v>--</v>
      </c>
      <c r="R229" s="391" t="str">
        <f>IF($E229="--","--",_xll.ciqfunctions.udf.CIQ(G137,"IQ_MINORITY_INTEREST_TOTAL",2000,Valuation_date,ReportType,DataMode,$G229,FXMode)*Scale)</f>
        <v>--</v>
      </c>
      <c r="S229" s="391" t="str">
        <f>IF($E229="--","--",_xll.ciqfunctions.udf.CIQ(G137,"IQ_PREF_EQUITY",2000,Valuation_date,ReportType,DataMode,$G229,FXMode)*Scale)</f>
        <v>--</v>
      </c>
      <c r="T229" s="391" t="str">
        <f t="shared" si="40"/>
        <v>--</v>
      </c>
      <c r="U229" s="473" t="str">
        <f>IF($E229="--","--",IF(START!$G$59&lt;&gt;START!$E$60,START!$G$61,"n/a"))</f>
        <v>--</v>
      </c>
      <c r="V229" s="391" t="str">
        <f t="shared" si="41"/>
        <v>--</v>
      </c>
      <c r="W229" s="2060"/>
      <c r="X229" s="2060"/>
      <c r="Y229" s="391" t="str">
        <f>IF(E229="--","--",_xll.ciqfunctions.udf.CIQ(G137,"IQ_TEV",Valuation_date,G229,FXMode)*Scale+(N(M229)*L229))</f>
        <v>--</v>
      </c>
      <c r="Z229" s="2060"/>
      <c r="AA229" s="2060"/>
      <c r="AB229" s="2060"/>
      <c r="AC229" s="2060"/>
      <c r="AD229" s="1004"/>
      <c r="AE229" s="2060"/>
      <c r="AF229" s="2060"/>
      <c r="AG229" s="2060"/>
      <c r="AH229" s="2060"/>
      <c r="AI229" s="2060"/>
      <c r="AJ229" s="2060"/>
      <c r="AK229" s="2060"/>
      <c r="AL229" s="2060"/>
      <c r="AM229" s="2060"/>
      <c r="AN229" s="2060"/>
      <c r="AO229" s="2060"/>
      <c r="AP229" s="2060"/>
      <c r="AQ229" s="2060"/>
      <c r="AR229" s="2060"/>
      <c r="AS229" s="2060"/>
      <c r="AT229" s="2060"/>
      <c r="AU229" s="2060"/>
      <c r="AV229" s="2060"/>
      <c r="AW229" s="2060"/>
      <c r="AX229" s="2060"/>
      <c r="AY229" s="2060"/>
      <c r="AZ229" s="2060"/>
      <c r="BA229" s="2060"/>
      <c r="BB229" s="2060"/>
      <c r="BC229" s="2060"/>
      <c r="BD229" s="2060"/>
      <c r="BE229" s="2060"/>
      <c r="BF229" s="2060"/>
      <c r="BG229" s="2060"/>
      <c r="BH229" s="2060"/>
      <c r="BI229" s="2060"/>
      <c r="BJ229" s="2060"/>
      <c r="BK229" s="2060"/>
      <c r="BL229" s="2060"/>
      <c r="BM229" s="2060"/>
      <c r="BN229" s="2060"/>
      <c r="BO229" s="2060"/>
      <c r="BP229" s="2060"/>
      <c r="BQ229" s="2060"/>
      <c r="BR229" s="2060"/>
      <c r="BS229" s="2060"/>
      <c r="BT229" s="2060"/>
      <c r="BU229" s="2060"/>
      <c r="BV229" s="2060"/>
      <c r="BW229" s="2060"/>
      <c r="BX229" s="2060"/>
      <c r="BY229" s="2060"/>
      <c r="BZ229" s="2060"/>
      <c r="CA229" s="2060"/>
      <c r="CB229" s="2060"/>
      <c r="CC229" s="2060"/>
      <c r="CD229" s="2060"/>
      <c r="CE229" s="2060"/>
      <c r="CF229" s="2060"/>
      <c r="CG229" s="2060"/>
      <c r="CH229" s="2060"/>
      <c r="CI229" s="2060"/>
      <c r="CJ229" s="2060"/>
      <c r="CK229" s="2060"/>
      <c r="CL229" s="2060"/>
      <c r="CM229" s="2060"/>
      <c r="CN229" s="2060"/>
      <c r="CO229" s="2060"/>
      <c r="CP229" s="2060"/>
      <c r="CQ229" s="2060"/>
      <c r="CR229" s="2060"/>
      <c r="CS229" s="2060"/>
      <c r="CT229" s="2060"/>
      <c r="CU229" s="2060"/>
      <c r="CV229" s="2060"/>
      <c r="CW229" s="2060"/>
      <c r="CX229" s="2060"/>
      <c r="CY229" s="2060"/>
      <c r="CZ229" s="2060"/>
      <c r="DA229" s="2060"/>
      <c r="DB229" s="2060"/>
      <c r="DC229" s="2060"/>
      <c r="DD229" s="2060"/>
      <c r="DE229" s="2060"/>
      <c r="DF229" s="2060"/>
      <c r="DG229" s="2060"/>
      <c r="DH229" s="2060"/>
      <c r="DI229" s="2060"/>
      <c r="DJ229" s="2060"/>
      <c r="DK229" s="2060"/>
      <c r="DL229" s="2060"/>
      <c r="DM229" s="2060"/>
      <c r="DN229" s="2060"/>
      <c r="DO229" s="2060"/>
      <c r="DP229" s="2060"/>
      <c r="DQ229" s="2060"/>
      <c r="DR229" s="2060"/>
      <c r="DS229" s="2060"/>
      <c r="DT229" s="2060"/>
      <c r="DU229" s="2060"/>
      <c r="DV229" s="2060"/>
      <c r="DW229" s="2060"/>
      <c r="DX229" s="2060"/>
      <c r="DY229" s="2060"/>
      <c r="DZ229" s="2060"/>
      <c r="EA229" s="2060"/>
      <c r="EB229" s="2060"/>
      <c r="EC229" s="2060"/>
      <c r="ED229" s="2060"/>
      <c r="EE229" s="2060"/>
      <c r="EF229" s="2060"/>
      <c r="EG229" s="2060"/>
      <c r="EH229" s="2060"/>
      <c r="EI229" s="2060"/>
      <c r="EJ229" s="2060"/>
      <c r="EK229" s="2060"/>
      <c r="EL229" s="2060"/>
      <c r="EM229" s="2060"/>
      <c r="EN229" s="2060"/>
      <c r="EO229" s="2060"/>
      <c r="EP229" s="2060"/>
      <c r="EQ229" s="2060"/>
      <c r="ER229" s="2060"/>
      <c r="ES229" s="2060"/>
      <c r="ET229" s="2060"/>
      <c r="EU229" s="2060"/>
      <c r="EV229" s="2060"/>
      <c r="EW229" s="2060"/>
      <c r="EX229" s="2060"/>
      <c r="EY229" s="2060"/>
      <c r="EZ229" s="2060"/>
      <c r="FA229" s="2060"/>
      <c r="FB229" s="2060"/>
      <c r="FC229" s="2060"/>
      <c r="FD229" s="2060"/>
      <c r="FE229" s="2060"/>
      <c r="FF229" s="2060"/>
      <c r="FG229" s="2060"/>
      <c r="FH229" s="2060"/>
      <c r="FI229" s="2060"/>
      <c r="FJ229" s="2060"/>
      <c r="FK229" s="2060"/>
      <c r="FL229" s="2060"/>
      <c r="FM229" s="2060"/>
      <c r="FN229" s="2060"/>
      <c r="FO229" s="2060"/>
      <c r="FP229" s="2060"/>
      <c r="FQ229" s="2060"/>
      <c r="FR229" s="2060"/>
      <c r="FS229" s="2060"/>
      <c r="FT229" s="2060"/>
      <c r="FU229" s="2060"/>
      <c r="FV229" s="2060"/>
      <c r="FW229" s="2060"/>
      <c r="FX229" s="2060"/>
      <c r="FY229" s="2060"/>
      <c r="FZ229" s="2060"/>
      <c r="GA229" s="2060"/>
      <c r="GB229" s="2060"/>
      <c r="GC229" s="2060"/>
    </row>
    <row r="230" spans="1:185" customFormat="1">
      <c r="A230" s="1632" t="str">
        <f t="shared" si="37"/>
        <v>n</v>
      </c>
      <c r="B230" s="1004"/>
      <c r="C230" s="1502"/>
      <c r="D230" s="2060"/>
      <c r="E230" s="173" t="str">
        <f>'DATA GPC'!E$29</f>
        <v>--</v>
      </c>
      <c r="F230" s="2060"/>
      <c r="G230" s="390" t="str">
        <f>'DATA GPC'!J29</f>
        <v>--</v>
      </c>
      <c r="H230" s="390" t="str">
        <f>IF($E230="--","--",_xll.ciqfunctions.udf.CIQ('DATA GPC'!G29,"IQ_LASTSALEPRICE",Valuation_date,$G230,FXMode))</f>
        <v>--</v>
      </c>
      <c r="I230" s="391" t="str">
        <f>IF($E230="--","--",_xll.ciqfunctions.udf.CIQ(G138,"IQ_SHARESOUTSTANDING",Valuation_date)*Scale)</f>
        <v>--</v>
      </c>
      <c r="J230" s="391" t="str">
        <f>IF($E230="--","--",_xll.ciqfunctions.udf.CIQ(G138,"IQ_MARKETCAP",Valuation_date,$G230,FXMode)*Scale)</f>
        <v>--</v>
      </c>
      <c r="K230" s="1512" t="str">
        <f t="shared" si="38"/>
        <v>--</v>
      </c>
      <c r="L230" s="391" t="str">
        <f>IF($E230="--","--",_xll.ciqfunctions.udf.CIQ(G138,"IQ_MARKETCAP",Valuation_date,$G230,FXMode)*Scale)</f>
        <v>--</v>
      </c>
      <c r="M230" s="473" t="str">
        <f>IF($E230="--","--",IF(START!$G$59=START!$E$60,START!$G$60,"n/a"))</f>
        <v>--</v>
      </c>
      <c r="N230" s="338" t="str">
        <f t="shared" si="39"/>
        <v>--</v>
      </c>
      <c r="O230" s="1506"/>
      <c r="P230" s="391" t="str">
        <f>IF($E230="--","--",_xll.ciqfunctions.udf.CIQ(G138,"IQ_TOTAL_DEBT",2000,Valuation_date,ReportType,DataMode,$G230,FXMode)*Scale+IF(PensionSetting="Included in debt",_xll.ciqfunctions.udf.CIQ(G138,"IQ_PENSION",2000,Valuation_date,ReportType,DataMode,$G230,FXMode)*Scale,0))</f>
        <v>--</v>
      </c>
      <c r="Q230" s="391" t="str">
        <f>IF($E230="--","--",-_xll.ciqfunctions.udf.CIQ(G138,"IQ_CASH_ST_INVEST",2000,Valuation_date,ReportType,DataMode, $G230,FXMode)*Scale)</f>
        <v>--</v>
      </c>
      <c r="R230" s="391" t="str">
        <f>IF($E230="--","--",_xll.ciqfunctions.udf.CIQ(G138,"IQ_MINORITY_INTEREST_TOTAL",2000,Valuation_date,ReportType,DataMode,$G230,FXMode)*Scale)</f>
        <v>--</v>
      </c>
      <c r="S230" s="391" t="str">
        <f>IF($E230="--","--",_xll.ciqfunctions.udf.CIQ(G138,"IQ_PREF_EQUITY",2000,Valuation_date,ReportType,DataMode,$G230,FXMode)*Scale)</f>
        <v>--</v>
      </c>
      <c r="T230" s="391" t="str">
        <f t="shared" si="40"/>
        <v>--</v>
      </c>
      <c r="U230" s="473" t="str">
        <f>IF($E230="--","--",IF(START!$G$59&lt;&gt;START!$E$60,START!$G$61,"n/a"))</f>
        <v>--</v>
      </c>
      <c r="V230" s="391" t="str">
        <f t="shared" si="41"/>
        <v>--</v>
      </c>
      <c r="W230" s="2060"/>
      <c r="X230" s="2060"/>
      <c r="Y230" s="391" t="str">
        <f>IF(E230="--","--",_xll.ciqfunctions.udf.CIQ(G138,"IQ_TEV",Valuation_date,G230,FXMode)*Scale+(N(M230)*L230))</f>
        <v>--</v>
      </c>
      <c r="Z230" s="2060"/>
      <c r="AA230" s="2060"/>
      <c r="AB230" s="2060"/>
      <c r="AC230" s="2060"/>
      <c r="AD230" s="1004"/>
      <c r="AE230" s="2060"/>
      <c r="AF230" s="2060"/>
      <c r="AG230" s="2060"/>
      <c r="AH230" s="2060"/>
      <c r="AI230" s="2060"/>
      <c r="AJ230" s="2060"/>
      <c r="AK230" s="2060"/>
      <c r="AL230" s="2060"/>
      <c r="AM230" s="2060"/>
      <c r="AN230" s="2060"/>
      <c r="AO230" s="2060"/>
      <c r="AP230" s="2060"/>
      <c r="AQ230" s="2060"/>
      <c r="AR230" s="2060"/>
      <c r="AS230" s="2060"/>
      <c r="AT230" s="2060"/>
      <c r="AU230" s="2060"/>
      <c r="AV230" s="2060"/>
      <c r="AW230" s="2060"/>
      <c r="AX230" s="2060"/>
      <c r="AY230" s="2060"/>
      <c r="AZ230" s="2060"/>
      <c r="BA230" s="2060"/>
      <c r="BB230" s="2060"/>
      <c r="BC230" s="2060"/>
      <c r="BD230" s="2060"/>
      <c r="BE230" s="2060"/>
      <c r="BF230" s="2060"/>
      <c r="BG230" s="2060"/>
      <c r="BH230" s="2060"/>
      <c r="BI230" s="2060"/>
      <c r="BJ230" s="2060"/>
      <c r="BK230" s="2060"/>
      <c r="BL230" s="2060"/>
      <c r="BM230" s="2060"/>
      <c r="BN230" s="2060"/>
      <c r="BO230" s="2060"/>
      <c r="BP230" s="2060"/>
      <c r="BQ230" s="2060"/>
      <c r="BR230" s="2060"/>
      <c r="BS230" s="2060"/>
      <c r="BT230" s="2060"/>
      <c r="BU230" s="2060"/>
      <c r="BV230" s="2060"/>
      <c r="BW230" s="2060"/>
      <c r="BX230" s="2060"/>
      <c r="BY230" s="2060"/>
      <c r="BZ230" s="2060"/>
      <c r="CA230" s="2060"/>
      <c r="CB230" s="2060"/>
      <c r="CC230" s="2060"/>
      <c r="CD230" s="2060"/>
      <c r="CE230" s="2060"/>
      <c r="CF230" s="2060"/>
      <c r="CG230" s="2060"/>
      <c r="CH230" s="2060"/>
      <c r="CI230" s="2060"/>
      <c r="CJ230" s="2060"/>
      <c r="CK230" s="2060"/>
      <c r="CL230" s="2060"/>
      <c r="CM230" s="2060"/>
      <c r="CN230" s="2060"/>
      <c r="CO230" s="2060"/>
      <c r="CP230" s="2060"/>
      <c r="CQ230" s="2060"/>
      <c r="CR230" s="2060"/>
      <c r="CS230" s="2060"/>
      <c r="CT230" s="2060"/>
      <c r="CU230" s="2060"/>
      <c r="CV230" s="2060"/>
      <c r="CW230" s="2060"/>
      <c r="CX230" s="2060"/>
      <c r="CY230" s="2060"/>
      <c r="CZ230" s="2060"/>
      <c r="DA230" s="2060"/>
      <c r="DB230" s="2060"/>
      <c r="DC230" s="2060"/>
      <c r="DD230" s="2060"/>
      <c r="DE230" s="2060"/>
      <c r="DF230" s="2060"/>
      <c r="DG230" s="2060"/>
      <c r="DH230" s="2060"/>
      <c r="DI230" s="2060"/>
      <c r="DJ230" s="2060"/>
      <c r="DK230" s="2060"/>
      <c r="DL230" s="2060"/>
      <c r="DM230" s="2060"/>
      <c r="DN230" s="2060"/>
      <c r="DO230" s="2060"/>
      <c r="DP230" s="2060"/>
      <c r="DQ230" s="2060"/>
      <c r="DR230" s="2060"/>
      <c r="DS230" s="2060"/>
      <c r="DT230" s="2060"/>
      <c r="DU230" s="2060"/>
      <c r="DV230" s="2060"/>
      <c r="DW230" s="2060"/>
      <c r="DX230" s="2060"/>
      <c r="DY230" s="2060"/>
      <c r="DZ230" s="2060"/>
      <c r="EA230" s="2060"/>
      <c r="EB230" s="2060"/>
      <c r="EC230" s="2060"/>
      <c r="ED230" s="2060"/>
      <c r="EE230" s="2060"/>
      <c r="EF230" s="2060"/>
      <c r="EG230" s="2060"/>
      <c r="EH230" s="2060"/>
      <c r="EI230" s="2060"/>
      <c r="EJ230" s="2060"/>
      <c r="EK230" s="2060"/>
      <c r="EL230" s="2060"/>
      <c r="EM230" s="2060"/>
      <c r="EN230" s="2060"/>
      <c r="EO230" s="2060"/>
      <c r="EP230" s="2060"/>
      <c r="EQ230" s="2060"/>
      <c r="ER230" s="2060"/>
      <c r="ES230" s="2060"/>
      <c r="ET230" s="2060"/>
      <c r="EU230" s="2060"/>
      <c r="EV230" s="2060"/>
      <c r="EW230" s="2060"/>
      <c r="EX230" s="2060"/>
      <c r="EY230" s="2060"/>
      <c r="EZ230" s="2060"/>
      <c r="FA230" s="2060"/>
      <c r="FB230" s="2060"/>
      <c r="FC230" s="2060"/>
      <c r="FD230" s="2060"/>
      <c r="FE230" s="2060"/>
      <c r="FF230" s="2060"/>
      <c r="FG230" s="2060"/>
      <c r="FH230" s="2060"/>
      <c r="FI230" s="2060"/>
      <c r="FJ230" s="2060"/>
      <c r="FK230" s="2060"/>
      <c r="FL230" s="2060"/>
      <c r="FM230" s="2060"/>
      <c r="FN230" s="2060"/>
      <c r="FO230" s="2060"/>
      <c r="FP230" s="2060"/>
      <c r="FQ230" s="2060"/>
      <c r="FR230" s="2060"/>
      <c r="FS230" s="2060"/>
      <c r="FT230" s="2060"/>
      <c r="FU230" s="2060"/>
      <c r="FV230" s="2060"/>
      <c r="FW230" s="2060"/>
      <c r="FX230" s="2060"/>
      <c r="FY230" s="2060"/>
      <c r="FZ230" s="2060"/>
      <c r="GA230" s="2060"/>
      <c r="GB230" s="2060"/>
      <c r="GC230" s="2060"/>
    </row>
    <row r="231" spans="1:185" customFormat="1">
      <c r="A231" s="1632" t="str">
        <f t="shared" si="37"/>
        <v>n</v>
      </c>
      <c r="B231" s="1004"/>
      <c r="C231" s="1502"/>
      <c r="D231" s="2060"/>
      <c r="E231" s="173" t="str">
        <f>'DATA GPC'!E$30</f>
        <v>--</v>
      </c>
      <c r="F231" s="2060"/>
      <c r="G231" s="390" t="str">
        <f>'DATA GPC'!J30</f>
        <v>--</v>
      </c>
      <c r="H231" s="390" t="str">
        <f>IF($E231="--","--",_xll.ciqfunctions.udf.CIQ('DATA GPC'!G30,"IQ_LASTSALEPRICE",Valuation_date,$G231,FXMode))</f>
        <v>--</v>
      </c>
      <c r="I231" s="391" t="str">
        <f>IF($E231="--","--",_xll.ciqfunctions.udf.CIQ(G139,"IQ_SHARESOUTSTANDING",Valuation_date)*Scale)</f>
        <v>--</v>
      </c>
      <c r="J231" s="391" t="str">
        <f>IF($E231="--","--",_xll.ciqfunctions.udf.CIQ(G139,"IQ_MARKETCAP",Valuation_date,$G231,FXMode)*Scale)</f>
        <v>--</v>
      </c>
      <c r="K231" s="1512" t="str">
        <f t="shared" ref="K231:K245" si="42">IFERROR(ROUND(L231-J231,1),"--")</f>
        <v>--</v>
      </c>
      <c r="L231" s="391" t="str">
        <f>IF($E231="--","--",_xll.ciqfunctions.udf.CIQ(G139,"IQ_MARKETCAP",Valuation_date,$G231,FXMode)*Scale)</f>
        <v>--</v>
      </c>
      <c r="M231" s="473" t="str">
        <f>IF($E231="--","--",IF(START!$G$59=START!$E$60,START!$G$60,"n/a"))</f>
        <v>--</v>
      </c>
      <c r="N231" s="338" t="str">
        <f t="shared" si="39"/>
        <v>--</v>
      </c>
      <c r="O231" s="1506"/>
      <c r="P231" s="391" t="str">
        <f>IF($E231="--","--",_xll.ciqfunctions.udf.CIQ(G139,"IQ_TOTAL_DEBT",2000,Valuation_date,ReportType,DataMode,$G231,FXMode)*Scale+IF(PensionSetting="Included in debt",_xll.ciqfunctions.udf.CIQ(G139,"IQ_PENSION",2000,Valuation_date,ReportType,DataMode,$G231,FXMode)*Scale,0))</f>
        <v>--</v>
      </c>
      <c r="Q231" s="391" t="str">
        <f>IF($E231="--","--",-_xll.ciqfunctions.udf.CIQ(G139,"IQ_CASH_ST_INVEST",2000,Valuation_date,ReportType,DataMode, $G231,FXMode)*Scale)</f>
        <v>--</v>
      </c>
      <c r="R231" s="391" t="str">
        <f>IF($E231="--","--",_xll.ciqfunctions.udf.CIQ(G139,"IQ_MINORITY_INTEREST_TOTAL",2000,Valuation_date,ReportType,DataMode,$G231,FXMode)*Scale)</f>
        <v>--</v>
      </c>
      <c r="S231" s="391" t="str">
        <f>IF($E231="--","--",_xll.ciqfunctions.udf.CIQ(G139,"IQ_PREF_EQUITY",2000,Valuation_date,ReportType,DataMode,$G231,FXMode)*Scale)</f>
        <v>--</v>
      </c>
      <c r="T231" s="391" t="str">
        <f t="shared" ref="T231:T245" si="43">IF(E231="--","--",SUM(N231,P231:S231))</f>
        <v>--</v>
      </c>
      <c r="U231" s="473" t="str">
        <f>IF($E231="--","--",IF(START!$G$59&lt;&gt;START!$E$60,START!$G$61,"n/a"))</f>
        <v>--</v>
      </c>
      <c r="V231" s="391" t="str">
        <f t="shared" si="41"/>
        <v>--</v>
      </c>
      <c r="W231" s="2060"/>
      <c r="X231" s="2060"/>
      <c r="Y231" s="391" t="str">
        <f>IF(E231="--","--",_xll.ciqfunctions.udf.CIQ(G139,"IQ_TEV",Valuation_date,G231,FXMode)*Scale+(N(M231)*L231))</f>
        <v>--</v>
      </c>
      <c r="Z231" s="2060"/>
      <c r="AA231" s="2060"/>
      <c r="AB231" s="2060"/>
      <c r="AC231" s="2060"/>
      <c r="AD231" s="1004"/>
      <c r="AE231" s="2060"/>
      <c r="AF231" s="2060"/>
      <c r="AG231" s="2060"/>
      <c r="AH231" s="2060"/>
      <c r="AI231" s="2060"/>
      <c r="AJ231" s="2060"/>
      <c r="AK231" s="2060"/>
      <c r="AL231" s="2060"/>
      <c r="AM231" s="2060"/>
      <c r="AN231" s="2060"/>
      <c r="AO231" s="2060"/>
      <c r="AP231" s="2060"/>
      <c r="AQ231" s="2060"/>
      <c r="AR231" s="2060"/>
      <c r="AS231" s="2060"/>
      <c r="AT231" s="2060"/>
      <c r="AU231" s="2060"/>
      <c r="AV231" s="2060"/>
      <c r="AW231" s="2060"/>
      <c r="AX231" s="2060"/>
      <c r="AY231" s="2060"/>
      <c r="AZ231" s="2060"/>
      <c r="BA231" s="2060"/>
      <c r="BB231" s="2060"/>
      <c r="BC231" s="2060"/>
      <c r="BD231" s="2060"/>
      <c r="BE231" s="2060"/>
      <c r="BF231" s="2060"/>
      <c r="BG231" s="2060"/>
      <c r="BH231" s="2060"/>
      <c r="BI231" s="2060"/>
      <c r="BJ231" s="2060"/>
      <c r="BK231" s="2060"/>
      <c r="BL231" s="2060"/>
      <c r="BM231" s="2060"/>
      <c r="BN231" s="2060"/>
      <c r="BO231" s="2060"/>
      <c r="BP231" s="2060"/>
      <c r="BQ231" s="2060"/>
      <c r="BR231" s="2060"/>
      <c r="BS231" s="2060"/>
      <c r="BT231" s="2060"/>
      <c r="BU231" s="2060"/>
      <c r="BV231" s="2060"/>
      <c r="BW231" s="2060"/>
      <c r="BX231" s="2060"/>
      <c r="BY231" s="2060"/>
      <c r="BZ231" s="2060"/>
      <c r="CA231" s="2060"/>
      <c r="CB231" s="2060"/>
      <c r="CC231" s="2060"/>
      <c r="CD231" s="2060"/>
      <c r="CE231" s="2060"/>
      <c r="CF231" s="2060"/>
      <c r="CG231" s="2060"/>
      <c r="CH231" s="2060"/>
      <c r="CI231" s="2060"/>
      <c r="CJ231" s="2060"/>
      <c r="CK231" s="2060"/>
      <c r="CL231" s="2060"/>
      <c r="CM231" s="2060"/>
      <c r="CN231" s="2060"/>
      <c r="CO231" s="2060"/>
      <c r="CP231" s="2060"/>
      <c r="CQ231" s="2060"/>
      <c r="CR231" s="2060"/>
      <c r="CS231" s="2060"/>
      <c r="CT231" s="2060"/>
      <c r="CU231" s="2060"/>
      <c r="CV231" s="2060"/>
      <c r="CW231" s="2060"/>
      <c r="CX231" s="2060"/>
      <c r="CY231" s="2060"/>
      <c r="CZ231" s="2060"/>
      <c r="DA231" s="2060"/>
      <c r="DB231" s="2060"/>
      <c r="DC231" s="2060"/>
      <c r="DD231" s="2060"/>
      <c r="DE231" s="2060"/>
      <c r="DF231" s="2060"/>
      <c r="DG231" s="2060"/>
      <c r="DH231" s="2060"/>
      <c r="DI231" s="2060"/>
      <c r="DJ231" s="2060"/>
      <c r="DK231" s="2060"/>
      <c r="DL231" s="2060"/>
      <c r="DM231" s="2060"/>
      <c r="DN231" s="2060"/>
      <c r="DO231" s="2060"/>
      <c r="DP231" s="2060"/>
      <c r="DQ231" s="2060"/>
      <c r="DR231" s="2060"/>
      <c r="DS231" s="2060"/>
      <c r="DT231" s="2060"/>
      <c r="DU231" s="2060"/>
      <c r="DV231" s="2060"/>
      <c r="DW231" s="2060"/>
      <c r="DX231" s="2060"/>
      <c r="DY231" s="2060"/>
      <c r="DZ231" s="2060"/>
      <c r="EA231" s="2060"/>
      <c r="EB231" s="2060"/>
      <c r="EC231" s="2060"/>
      <c r="ED231" s="2060"/>
      <c r="EE231" s="2060"/>
      <c r="EF231" s="2060"/>
      <c r="EG231" s="2060"/>
      <c r="EH231" s="2060"/>
      <c r="EI231" s="2060"/>
      <c r="EJ231" s="2060"/>
      <c r="EK231" s="2060"/>
      <c r="EL231" s="2060"/>
      <c r="EM231" s="2060"/>
      <c r="EN231" s="2060"/>
      <c r="EO231" s="2060"/>
      <c r="EP231" s="2060"/>
      <c r="EQ231" s="2060"/>
      <c r="ER231" s="2060"/>
      <c r="ES231" s="2060"/>
      <c r="ET231" s="2060"/>
      <c r="EU231" s="2060"/>
      <c r="EV231" s="2060"/>
      <c r="EW231" s="2060"/>
      <c r="EX231" s="2060"/>
      <c r="EY231" s="2060"/>
      <c r="EZ231" s="2060"/>
      <c r="FA231" s="2060"/>
      <c r="FB231" s="2060"/>
      <c r="FC231" s="2060"/>
      <c r="FD231" s="2060"/>
      <c r="FE231" s="2060"/>
      <c r="FF231" s="2060"/>
      <c r="FG231" s="2060"/>
      <c r="FH231" s="2060"/>
      <c r="FI231" s="2060"/>
      <c r="FJ231" s="2060"/>
      <c r="FK231" s="2060"/>
      <c r="FL231" s="2060"/>
      <c r="FM231" s="2060"/>
      <c r="FN231" s="2060"/>
      <c r="FO231" s="2060"/>
      <c r="FP231" s="2060"/>
      <c r="FQ231" s="2060"/>
      <c r="FR231" s="2060"/>
      <c r="FS231" s="2060"/>
      <c r="FT231" s="2060"/>
      <c r="FU231" s="2060"/>
      <c r="FV231" s="2060"/>
      <c r="FW231" s="2060"/>
      <c r="FX231" s="2060"/>
      <c r="FY231" s="2060"/>
      <c r="FZ231" s="2060"/>
      <c r="GA231" s="2060"/>
      <c r="GB231" s="2060"/>
      <c r="GC231" s="2060"/>
    </row>
    <row r="232" spans="1:185" customFormat="1">
      <c r="A232" s="1632" t="str">
        <f t="shared" si="37"/>
        <v>n</v>
      </c>
      <c r="B232" s="1004"/>
      <c r="C232" s="1502"/>
      <c r="D232" s="2060"/>
      <c r="E232" s="173" t="str">
        <f>'DATA GPC'!E$31</f>
        <v>--</v>
      </c>
      <c r="F232" s="2060"/>
      <c r="G232" s="390" t="str">
        <f>'DATA GPC'!J31</f>
        <v>--</v>
      </c>
      <c r="H232" s="390" t="str">
        <f>IF($E232="--","--",_xll.ciqfunctions.udf.CIQ('DATA GPC'!G31,"IQ_LASTSALEPRICE",Valuation_date,$G232,FXMode))</f>
        <v>--</v>
      </c>
      <c r="I232" s="391" t="str">
        <f>IF($E232="--","--",_xll.ciqfunctions.udf.CIQ(G140,"IQ_SHARESOUTSTANDING",Valuation_date)*Scale)</f>
        <v>--</v>
      </c>
      <c r="J232" s="391" t="str">
        <f>IF($E232="--","--",_xll.ciqfunctions.udf.CIQ(G140,"IQ_MARKETCAP",Valuation_date,$G232,FXMode)*Scale)</f>
        <v>--</v>
      </c>
      <c r="K232" s="1512" t="str">
        <f t="shared" si="42"/>
        <v>--</v>
      </c>
      <c r="L232" s="391" t="str">
        <f>IF($E232="--","--",_xll.ciqfunctions.udf.CIQ(G140,"IQ_MARKETCAP",Valuation_date,$G232,FXMode)*Scale)</f>
        <v>--</v>
      </c>
      <c r="M232" s="473" t="str">
        <f>IF($E232="--","--",IF(START!$G$59=START!$E$60,START!$G$60,"n/a"))</f>
        <v>--</v>
      </c>
      <c r="N232" s="338" t="str">
        <f t="shared" si="39"/>
        <v>--</v>
      </c>
      <c r="O232" s="1506"/>
      <c r="P232" s="391" t="str">
        <f>IF($E232="--","--",_xll.ciqfunctions.udf.CIQ(G140,"IQ_TOTAL_DEBT",2000,Valuation_date,ReportType,DataMode,$G232,FXMode)*Scale+IF(PensionSetting="Included in debt",_xll.ciqfunctions.udf.CIQ(G140,"IQ_PENSION",2000,Valuation_date,ReportType,DataMode,$G232,FXMode)*Scale,0))</f>
        <v>--</v>
      </c>
      <c r="Q232" s="391" t="str">
        <f>IF($E232="--","--",-_xll.ciqfunctions.udf.CIQ(G140,"IQ_CASH_ST_INVEST",2000,Valuation_date,ReportType,DataMode, $G232,FXMode)*Scale)</f>
        <v>--</v>
      </c>
      <c r="R232" s="391" t="str">
        <f>IF($E232="--","--",_xll.ciqfunctions.udf.CIQ(G140,"IQ_MINORITY_INTEREST_TOTAL",2000,Valuation_date,ReportType,DataMode,$G232,FXMode)*Scale)</f>
        <v>--</v>
      </c>
      <c r="S232" s="391" t="str">
        <f>IF($E232="--","--",_xll.ciqfunctions.udf.CIQ(G140,"IQ_PREF_EQUITY",2000,Valuation_date,ReportType,DataMode,$G232,FXMode)*Scale)</f>
        <v>--</v>
      </c>
      <c r="T232" s="391" t="str">
        <f t="shared" si="43"/>
        <v>--</v>
      </c>
      <c r="U232" s="473" t="str">
        <f>IF($E232="--","--",IF(START!$G$59&lt;&gt;START!$E$60,START!$G$61,"n/a"))</f>
        <v>--</v>
      </c>
      <c r="V232" s="391" t="str">
        <f t="shared" si="41"/>
        <v>--</v>
      </c>
      <c r="W232" s="2060"/>
      <c r="X232" s="2060"/>
      <c r="Y232" s="391" t="str">
        <f>IF(E232="--","--",_xll.ciqfunctions.udf.CIQ(G140,"IQ_TEV",Valuation_date,G232,FXMode)*Scale+(N(M232)*L232))</f>
        <v>--</v>
      </c>
      <c r="Z232" s="2060"/>
      <c r="AA232" s="2060"/>
      <c r="AB232" s="2060"/>
      <c r="AC232" s="2060"/>
      <c r="AD232" s="1004"/>
      <c r="AE232" s="2060"/>
      <c r="AF232" s="2060"/>
      <c r="AG232" s="2060"/>
      <c r="AH232" s="2060"/>
      <c r="AI232" s="2060"/>
      <c r="AJ232" s="2060"/>
      <c r="AK232" s="2060"/>
      <c r="AL232" s="2060"/>
      <c r="AM232" s="2060"/>
      <c r="AN232" s="2060"/>
      <c r="AO232" s="2060"/>
      <c r="AP232" s="2060"/>
      <c r="AQ232" s="2060"/>
      <c r="AR232" s="2060"/>
      <c r="AS232" s="2060"/>
      <c r="AT232" s="2060"/>
      <c r="AU232" s="2060"/>
      <c r="AV232" s="2060"/>
      <c r="AW232" s="2060"/>
      <c r="AX232" s="2060"/>
      <c r="AY232" s="2060"/>
      <c r="AZ232" s="2060"/>
      <c r="BA232" s="2060"/>
      <c r="BB232" s="2060"/>
      <c r="BC232" s="2060"/>
      <c r="BD232" s="2060"/>
      <c r="BE232" s="2060"/>
      <c r="BF232" s="2060"/>
      <c r="BG232" s="2060"/>
      <c r="BH232" s="2060"/>
      <c r="BI232" s="2060"/>
      <c r="BJ232" s="2060"/>
      <c r="BK232" s="2060"/>
      <c r="BL232" s="2060"/>
      <c r="BM232" s="2060"/>
      <c r="BN232" s="2060"/>
      <c r="BO232" s="2060"/>
      <c r="BP232" s="2060"/>
      <c r="BQ232" s="2060"/>
      <c r="BR232" s="2060"/>
      <c r="BS232" s="2060"/>
      <c r="BT232" s="2060"/>
      <c r="BU232" s="2060"/>
      <c r="BV232" s="2060"/>
      <c r="BW232" s="2060"/>
      <c r="BX232" s="2060"/>
      <c r="BY232" s="2060"/>
      <c r="BZ232" s="2060"/>
      <c r="CA232" s="2060"/>
      <c r="CB232" s="2060"/>
      <c r="CC232" s="2060"/>
      <c r="CD232" s="2060"/>
      <c r="CE232" s="2060"/>
      <c r="CF232" s="2060"/>
      <c r="CG232" s="2060"/>
      <c r="CH232" s="2060"/>
      <c r="CI232" s="2060"/>
      <c r="CJ232" s="2060"/>
      <c r="CK232" s="2060"/>
      <c r="CL232" s="2060"/>
      <c r="CM232" s="2060"/>
      <c r="CN232" s="2060"/>
      <c r="CO232" s="2060"/>
      <c r="CP232" s="2060"/>
      <c r="CQ232" s="2060"/>
      <c r="CR232" s="2060"/>
      <c r="CS232" s="2060"/>
      <c r="CT232" s="2060"/>
      <c r="CU232" s="2060"/>
      <c r="CV232" s="2060"/>
      <c r="CW232" s="2060"/>
      <c r="CX232" s="2060"/>
      <c r="CY232" s="2060"/>
      <c r="CZ232" s="2060"/>
      <c r="DA232" s="2060"/>
      <c r="DB232" s="2060"/>
      <c r="DC232" s="2060"/>
      <c r="DD232" s="2060"/>
      <c r="DE232" s="2060"/>
      <c r="DF232" s="2060"/>
      <c r="DG232" s="2060"/>
      <c r="DH232" s="2060"/>
      <c r="DI232" s="2060"/>
      <c r="DJ232" s="2060"/>
      <c r="DK232" s="2060"/>
      <c r="DL232" s="2060"/>
      <c r="DM232" s="2060"/>
      <c r="DN232" s="2060"/>
      <c r="DO232" s="2060"/>
      <c r="DP232" s="2060"/>
      <c r="DQ232" s="2060"/>
      <c r="DR232" s="2060"/>
      <c r="DS232" s="2060"/>
      <c r="DT232" s="2060"/>
      <c r="DU232" s="2060"/>
      <c r="DV232" s="2060"/>
      <c r="DW232" s="2060"/>
      <c r="DX232" s="2060"/>
      <c r="DY232" s="2060"/>
      <c r="DZ232" s="2060"/>
      <c r="EA232" s="2060"/>
      <c r="EB232" s="2060"/>
      <c r="EC232" s="2060"/>
      <c r="ED232" s="2060"/>
      <c r="EE232" s="2060"/>
      <c r="EF232" s="2060"/>
      <c r="EG232" s="2060"/>
      <c r="EH232" s="2060"/>
      <c r="EI232" s="2060"/>
      <c r="EJ232" s="2060"/>
      <c r="EK232" s="2060"/>
      <c r="EL232" s="2060"/>
      <c r="EM232" s="2060"/>
      <c r="EN232" s="2060"/>
      <c r="EO232" s="2060"/>
      <c r="EP232" s="2060"/>
      <c r="EQ232" s="2060"/>
      <c r="ER232" s="2060"/>
      <c r="ES232" s="2060"/>
      <c r="ET232" s="2060"/>
      <c r="EU232" s="2060"/>
      <c r="EV232" s="2060"/>
      <c r="EW232" s="2060"/>
      <c r="EX232" s="2060"/>
      <c r="EY232" s="2060"/>
      <c r="EZ232" s="2060"/>
      <c r="FA232" s="2060"/>
      <c r="FB232" s="2060"/>
      <c r="FC232" s="2060"/>
      <c r="FD232" s="2060"/>
      <c r="FE232" s="2060"/>
      <c r="FF232" s="2060"/>
      <c r="FG232" s="2060"/>
      <c r="FH232" s="2060"/>
      <c r="FI232" s="2060"/>
      <c r="FJ232" s="2060"/>
      <c r="FK232" s="2060"/>
      <c r="FL232" s="2060"/>
      <c r="FM232" s="2060"/>
      <c r="FN232" s="2060"/>
      <c r="FO232" s="2060"/>
      <c r="FP232" s="2060"/>
      <c r="FQ232" s="2060"/>
      <c r="FR232" s="2060"/>
      <c r="FS232" s="2060"/>
      <c r="FT232" s="2060"/>
      <c r="FU232" s="2060"/>
      <c r="FV232" s="2060"/>
      <c r="FW232" s="2060"/>
      <c r="FX232" s="2060"/>
      <c r="FY232" s="2060"/>
      <c r="FZ232" s="2060"/>
      <c r="GA232" s="2060"/>
      <c r="GB232" s="2060"/>
      <c r="GC232" s="2060"/>
    </row>
    <row r="233" spans="1:185" customFormat="1">
      <c r="A233" s="1632" t="str">
        <f t="shared" si="37"/>
        <v>n</v>
      </c>
      <c r="B233" s="1004"/>
      <c r="C233" s="1502"/>
      <c r="D233" s="2060"/>
      <c r="E233" s="173" t="str">
        <f>'DATA GPC'!E$32</f>
        <v>--</v>
      </c>
      <c r="F233" s="2060"/>
      <c r="G233" s="390" t="str">
        <f>'DATA GPC'!J32</f>
        <v>--</v>
      </c>
      <c r="H233" s="390" t="str">
        <f>IF($E233="--","--",_xll.ciqfunctions.udf.CIQ('DATA GPC'!G32,"IQ_LASTSALEPRICE",Valuation_date,$G233,FXMode))</f>
        <v>--</v>
      </c>
      <c r="I233" s="391" t="str">
        <f>IF($E233="--","--",_xll.ciqfunctions.udf.CIQ(G141,"IQ_SHARESOUTSTANDING",Valuation_date)*Scale)</f>
        <v>--</v>
      </c>
      <c r="J233" s="391" t="str">
        <f>IF($E233="--","--",_xll.ciqfunctions.udf.CIQ(G141,"IQ_MARKETCAP",Valuation_date,$G233,FXMode)*Scale)</f>
        <v>--</v>
      </c>
      <c r="K233" s="1512" t="str">
        <f t="shared" si="42"/>
        <v>--</v>
      </c>
      <c r="L233" s="391" t="str">
        <f>IF($E233="--","--",_xll.ciqfunctions.udf.CIQ(G141,"IQ_MARKETCAP",Valuation_date,$G233,FXMode)*Scale)</f>
        <v>--</v>
      </c>
      <c r="M233" s="473" t="str">
        <f>IF($E233="--","--",IF(START!$G$59=START!$E$60,START!$G$60,"n/a"))</f>
        <v>--</v>
      </c>
      <c r="N233" s="338" t="str">
        <f t="shared" si="39"/>
        <v>--</v>
      </c>
      <c r="O233" s="1506"/>
      <c r="P233" s="391" t="str">
        <f>IF($E233="--","--",_xll.ciqfunctions.udf.CIQ(G141,"IQ_TOTAL_DEBT",2000,Valuation_date,ReportType,DataMode,$G233,FXMode)*Scale+IF(PensionSetting="Included in debt",_xll.ciqfunctions.udf.CIQ(G141,"IQ_PENSION",2000,Valuation_date,ReportType,DataMode,$G233,FXMode)*Scale,0))</f>
        <v>--</v>
      </c>
      <c r="Q233" s="391" t="str">
        <f>IF($E233="--","--",-_xll.ciqfunctions.udf.CIQ(G141,"IQ_CASH_ST_INVEST",2000,Valuation_date,ReportType,DataMode, $G233,FXMode)*Scale)</f>
        <v>--</v>
      </c>
      <c r="R233" s="391" t="str">
        <f>IF($E233="--","--",_xll.ciqfunctions.udf.CIQ(G141,"IQ_MINORITY_INTEREST_TOTAL",2000,Valuation_date,ReportType,DataMode,$G233,FXMode)*Scale)</f>
        <v>--</v>
      </c>
      <c r="S233" s="391" t="str">
        <f>IF($E233="--","--",_xll.ciqfunctions.udf.CIQ(G141,"IQ_PREF_EQUITY",2000,Valuation_date,ReportType,DataMode,$G233,FXMode)*Scale)</f>
        <v>--</v>
      </c>
      <c r="T233" s="391" t="str">
        <f t="shared" si="43"/>
        <v>--</v>
      </c>
      <c r="U233" s="473" t="str">
        <f>IF($E233="--","--",IF(START!$G$59&lt;&gt;START!$E$60,START!$G$61,"n/a"))</f>
        <v>--</v>
      </c>
      <c r="V233" s="391" t="str">
        <f t="shared" si="41"/>
        <v>--</v>
      </c>
      <c r="W233" s="2060"/>
      <c r="X233" s="2060"/>
      <c r="Y233" s="391" t="str">
        <f>IF(E233="--","--",_xll.ciqfunctions.udf.CIQ(G141,"IQ_TEV",Valuation_date,G233,FXMode)*Scale+(N(M233)*L233))</f>
        <v>--</v>
      </c>
      <c r="Z233" s="2060"/>
      <c r="AA233" s="2060"/>
      <c r="AB233" s="2060"/>
      <c r="AC233" s="2060"/>
      <c r="AD233" s="1004"/>
      <c r="AE233" s="2060"/>
      <c r="AF233" s="2060"/>
      <c r="AG233" s="2060"/>
      <c r="AH233" s="2060"/>
      <c r="AI233" s="2060"/>
      <c r="AJ233" s="2060"/>
      <c r="AK233" s="2060"/>
      <c r="AL233" s="2060"/>
      <c r="AM233" s="2060"/>
      <c r="AN233" s="2060"/>
      <c r="AO233" s="2060"/>
      <c r="AP233" s="2060"/>
      <c r="AQ233" s="2060"/>
      <c r="AR233" s="2060"/>
      <c r="AS233" s="2060"/>
      <c r="AT233" s="2060"/>
      <c r="AU233" s="2060"/>
      <c r="AV233" s="2060"/>
      <c r="AW233" s="2060"/>
      <c r="AX233" s="2060"/>
      <c r="AY233" s="2060"/>
      <c r="AZ233" s="2060"/>
      <c r="BA233" s="2060"/>
      <c r="BB233" s="2060"/>
      <c r="BC233" s="2060"/>
      <c r="BD233" s="2060"/>
      <c r="BE233" s="2060"/>
      <c r="BF233" s="2060"/>
      <c r="BG233" s="2060"/>
      <c r="BH233" s="2060"/>
      <c r="BI233" s="2060"/>
      <c r="BJ233" s="2060"/>
      <c r="BK233" s="2060"/>
      <c r="BL233" s="2060"/>
      <c r="BM233" s="2060"/>
      <c r="BN233" s="2060"/>
      <c r="BO233" s="2060"/>
      <c r="BP233" s="2060"/>
      <c r="BQ233" s="2060"/>
      <c r="BR233" s="2060"/>
      <c r="BS233" s="2060"/>
      <c r="BT233" s="2060"/>
      <c r="BU233" s="2060"/>
      <c r="BV233" s="2060"/>
      <c r="BW233" s="2060"/>
      <c r="BX233" s="2060"/>
      <c r="BY233" s="2060"/>
      <c r="BZ233" s="2060"/>
      <c r="CA233" s="2060"/>
      <c r="CB233" s="2060"/>
      <c r="CC233" s="2060"/>
      <c r="CD233" s="2060"/>
      <c r="CE233" s="2060"/>
      <c r="CF233" s="2060"/>
      <c r="CG233" s="2060"/>
      <c r="CH233" s="2060"/>
      <c r="CI233" s="2060"/>
      <c r="CJ233" s="2060"/>
      <c r="CK233" s="2060"/>
      <c r="CL233" s="2060"/>
      <c r="CM233" s="2060"/>
      <c r="CN233" s="2060"/>
      <c r="CO233" s="2060"/>
      <c r="CP233" s="2060"/>
      <c r="CQ233" s="2060"/>
      <c r="CR233" s="2060"/>
      <c r="CS233" s="2060"/>
      <c r="CT233" s="2060"/>
      <c r="CU233" s="2060"/>
      <c r="CV233" s="2060"/>
      <c r="CW233" s="2060"/>
      <c r="CX233" s="2060"/>
      <c r="CY233" s="2060"/>
      <c r="CZ233" s="2060"/>
      <c r="DA233" s="2060"/>
      <c r="DB233" s="2060"/>
      <c r="DC233" s="2060"/>
      <c r="DD233" s="2060"/>
      <c r="DE233" s="2060"/>
      <c r="DF233" s="2060"/>
      <c r="DG233" s="2060"/>
      <c r="DH233" s="2060"/>
      <c r="DI233" s="2060"/>
      <c r="DJ233" s="2060"/>
      <c r="DK233" s="2060"/>
      <c r="DL233" s="2060"/>
      <c r="DM233" s="2060"/>
      <c r="DN233" s="2060"/>
      <c r="DO233" s="2060"/>
      <c r="DP233" s="2060"/>
      <c r="DQ233" s="2060"/>
      <c r="DR233" s="2060"/>
      <c r="DS233" s="2060"/>
      <c r="DT233" s="2060"/>
      <c r="DU233" s="2060"/>
      <c r="DV233" s="2060"/>
      <c r="DW233" s="2060"/>
      <c r="DX233" s="2060"/>
      <c r="DY233" s="2060"/>
      <c r="DZ233" s="2060"/>
      <c r="EA233" s="2060"/>
      <c r="EB233" s="2060"/>
      <c r="EC233" s="2060"/>
      <c r="ED233" s="2060"/>
      <c r="EE233" s="2060"/>
      <c r="EF233" s="2060"/>
      <c r="EG233" s="2060"/>
      <c r="EH233" s="2060"/>
      <c r="EI233" s="2060"/>
      <c r="EJ233" s="2060"/>
      <c r="EK233" s="2060"/>
      <c r="EL233" s="2060"/>
      <c r="EM233" s="2060"/>
      <c r="EN233" s="2060"/>
      <c r="EO233" s="2060"/>
      <c r="EP233" s="2060"/>
      <c r="EQ233" s="2060"/>
      <c r="ER233" s="2060"/>
      <c r="ES233" s="2060"/>
      <c r="ET233" s="2060"/>
      <c r="EU233" s="2060"/>
      <c r="EV233" s="2060"/>
      <c r="EW233" s="2060"/>
      <c r="EX233" s="2060"/>
      <c r="EY233" s="2060"/>
      <c r="EZ233" s="2060"/>
      <c r="FA233" s="2060"/>
      <c r="FB233" s="2060"/>
      <c r="FC233" s="2060"/>
      <c r="FD233" s="2060"/>
      <c r="FE233" s="2060"/>
      <c r="FF233" s="2060"/>
      <c r="FG233" s="2060"/>
      <c r="FH233" s="2060"/>
      <c r="FI233" s="2060"/>
      <c r="FJ233" s="2060"/>
      <c r="FK233" s="2060"/>
      <c r="FL233" s="2060"/>
      <c r="FM233" s="2060"/>
      <c r="FN233" s="2060"/>
      <c r="FO233" s="2060"/>
      <c r="FP233" s="2060"/>
      <c r="FQ233" s="2060"/>
      <c r="FR233" s="2060"/>
      <c r="FS233" s="2060"/>
      <c r="FT233" s="2060"/>
      <c r="FU233" s="2060"/>
      <c r="FV233" s="2060"/>
      <c r="FW233" s="2060"/>
      <c r="FX233" s="2060"/>
      <c r="FY233" s="2060"/>
      <c r="FZ233" s="2060"/>
      <c r="GA233" s="2060"/>
      <c r="GB233" s="2060"/>
      <c r="GC233" s="2060"/>
    </row>
    <row r="234" spans="1:185" customFormat="1">
      <c r="A234" s="1632" t="str">
        <f t="shared" si="37"/>
        <v>n</v>
      </c>
      <c r="B234" s="1004"/>
      <c r="C234" s="1502"/>
      <c r="D234" s="2060"/>
      <c r="E234" s="173" t="str">
        <f>'DATA GPC'!E$33</f>
        <v>--</v>
      </c>
      <c r="F234" s="2060"/>
      <c r="G234" s="390" t="str">
        <f>'DATA GPC'!J33</f>
        <v>--</v>
      </c>
      <c r="H234" s="390" t="str">
        <f>IF($E234="--","--",_xll.ciqfunctions.udf.CIQ('DATA GPC'!G33,"IQ_LASTSALEPRICE",Valuation_date,$G234,FXMode))</f>
        <v>--</v>
      </c>
      <c r="I234" s="391" t="str">
        <f>IF($E234="--","--",_xll.ciqfunctions.udf.CIQ(G142,"IQ_SHARESOUTSTANDING",Valuation_date)*Scale)</f>
        <v>--</v>
      </c>
      <c r="J234" s="391" t="str">
        <f>IF($E234="--","--",_xll.ciqfunctions.udf.CIQ(G142,"IQ_MARKETCAP",Valuation_date,$G234,FXMode)*Scale)</f>
        <v>--</v>
      </c>
      <c r="K234" s="1512" t="str">
        <f t="shared" si="42"/>
        <v>--</v>
      </c>
      <c r="L234" s="391" t="str">
        <f>IF($E234="--","--",_xll.ciqfunctions.udf.CIQ(G142,"IQ_MARKETCAP",Valuation_date,$G234,FXMode)*Scale)</f>
        <v>--</v>
      </c>
      <c r="M234" s="473" t="str">
        <f>IF($E234="--","--",IF(START!$G$59=START!$E$60,START!$G$60,"n/a"))</f>
        <v>--</v>
      </c>
      <c r="N234" s="338" t="str">
        <f t="shared" si="39"/>
        <v>--</v>
      </c>
      <c r="O234" s="1506"/>
      <c r="P234" s="391" t="str">
        <f>IF($E234="--","--",_xll.ciqfunctions.udf.CIQ(G142,"IQ_TOTAL_DEBT",2000,Valuation_date,ReportType,DataMode,$G234,FXMode)*Scale+IF(PensionSetting="Included in debt",_xll.ciqfunctions.udf.CIQ(G142,"IQ_PENSION",2000,Valuation_date,ReportType,DataMode,$G234,FXMode)*Scale,0))</f>
        <v>--</v>
      </c>
      <c r="Q234" s="391" t="str">
        <f>IF($E234="--","--",-_xll.ciqfunctions.udf.CIQ(G142,"IQ_CASH_ST_INVEST",2000,Valuation_date,ReportType,DataMode, $G234,FXMode)*Scale)</f>
        <v>--</v>
      </c>
      <c r="R234" s="391" t="str">
        <f>IF($E234="--","--",_xll.ciqfunctions.udf.CIQ(G142,"IQ_MINORITY_INTEREST_TOTAL",2000,Valuation_date,ReportType,DataMode,$G234,FXMode)*Scale)</f>
        <v>--</v>
      </c>
      <c r="S234" s="391" t="str">
        <f>IF($E234="--","--",_xll.ciqfunctions.udf.CIQ(G142,"IQ_PREF_EQUITY",2000,Valuation_date,ReportType,DataMode,$G234,FXMode)*Scale)</f>
        <v>--</v>
      </c>
      <c r="T234" s="391" t="str">
        <f t="shared" si="43"/>
        <v>--</v>
      </c>
      <c r="U234" s="473" t="str">
        <f>IF($E234="--","--",IF(START!$G$59&lt;&gt;START!$E$60,START!$G$61,"n/a"))</f>
        <v>--</v>
      </c>
      <c r="V234" s="391" t="str">
        <f t="shared" si="41"/>
        <v>--</v>
      </c>
      <c r="W234" s="2060"/>
      <c r="X234" s="2060"/>
      <c r="Y234" s="391" t="str">
        <f>IF(E234="--","--",_xll.ciqfunctions.udf.CIQ(G142,"IQ_TEV",Valuation_date,G234,FXMode)*Scale+(N(M234)*L234))</f>
        <v>--</v>
      </c>
      <c r="Z234" s="2060"/>
      <c r="AA234" s="2060"/>
      <c r="AB234" s="2060"/>
      <c r="AC234" s="2060"/>
      <c r="AD234" s="1004"/>
      <c r="AE234" s="2060"/>
      <c r="AF234" s="2060"/>
      <c r="AG234" s="2060"/>
      <c r="AH234" s="2060"/>
      <c r="AI234" s="2060"/>
      <c r="AJ234" s="2060"/>
      <c r="AK234" s="2060"/>
      <c r="AL234" s="2060"/>
      <c r="AM234" s="2060"/>
      <c r="AN234" s="2060"/>
      <c r="AO234" s="2060"/>
      <c r="AP234" s="2060"/>
      <c r="AQ234" s="2060"/>
      <c r="AR234" s="2060"/>
      <c r="AS234" s="2060"/>
      <c r="AT234" s="2060"/>
      <c r="AU234" s="2060"/>
      <c r="AV234" s="2060"/>
      <c r="AW234" s="2060"/>
      <c r="AX234" s="2060"/>
      <c r="AY234" s="2060"/>
      <c r="AZ234" s="2060"/>
      <c r="BA234" s="2060"/>
      <c r="BB234" s="2060"/>
      <c r="BC234" s="2060"/>
      <c r="BD234" s="2060"/>
      <c r="BE234" s="2060"/>
      <c r="BF234" s="2060"/>
      <c r="BG234" s="2060"/>
      <c r="BH234" s="2060"/>
      <c r="BI234" s="2060"/>
      <c r="BJ234" s="2060"/>
      <c r="BK234" s="2060"/>
      <c r="BL234" s="2060"/>
      <c r="BM234" s="2060"/>
      <c r="BN234" s="2060"/>
      <c r="BO234" s="2060"/>
      <c r="BP234" s="2060"/>
      <c r="BQ234" s="2060"/>
      <c r="BR234" s="2060"/>
      <c r="BS234" s="2060"/>
      <c r="BT234" s="2060"/>
      <c r="BU234" s="2060"/>
      <c r="BV234" s="2060"/>
      <c r="BW234" s="2060"/>
      <c r="BX234" s="2060"/>
      <c r="BY234" s="2060"/>
      <c r="BZ234" s="2060"/>
      <c r="CA234" s="2060"/>
      <c r="CB234" s="2060"/>
      <c r="CC234" s="2060"/>
      <c r="CD234" s="2060"/>
      <c r="CE234" s="2060"/>
      <c r="CF234" s="2060"/>
      <c r="CG234" s="2060"/>
      <c r="CH234" s="2060"/>
      <c r="CI234" s="2060"/>
      <c r="CJ234" s="2060"/>
      <c r="CK234" s="2060"/>
      <c r="CL234" s="2060"/>
      <c r="CM234" s="2060"/>
      <c r="CN234" s="2060"/>
      <c r="CO234" s="2060"/>
      <c r="CP234" s="2060"/>
      <c r="CQ234" s="2060"/>
      <c r="CR234" s="2060"/>
      <c r="CS234" s="2060"/>
      <c r="CT234" s="2060"/>
      <c r="CU234" s="2060"/>
      <c r="CV234" s="2060"/>
      <c r="CW234" s="2060"/>
      <c r="CX234" s="2060"/>
      <c r="CY234" s="2060"/>
      <c r="CZ234" s="2060"/>
      <c r="DA234" s="2060"/>
      <c r="DB234" s="2060"/>
      <c r="DC234" s="2060"/>
      <c r="DD234" s="2060"/>
      <c r="DE234" s="2060"/>
      <c r="DF234" s="2060"/>
      <c r="DG234" s="2060"/>
      <c r="DH234" s="2060"/>
      <c r="DI234" s="2060"/>
      <c r="DJ234" s="2060"/>
      <c r="DK234" s="2060"/>
      <c r="DL234" s="2060"/>
      <c r="DM234" s="2060"/>
      <c r="DN234" s="2060"/>
      <c r="DO234" s="2060"/>
      <c r="DP234" s="2060"/>
      <c r="DQ234" s="2060"/>
      <c r="DR234" s="2060"/>
      <c r="DS234" s="2060"/>
      <c r="DT234" s="2060"/>
      <c r="DU234" s="2060"/>
      <c r="DV234" s="2060"/>
      <c r="DW234" s="2060"/>
      <c r="DX234" s="2060"/>
      <c r="DY234" s="2060"/>
      <c r="DZ234" s="2060"/>
      <c r="EA234" s="2060"/>
      <c r="EB234" s="2060"/>
      <c r="EC234" s="2060"/>
      <c r="ED234" s="2060"/>
      <c r="EE234" s="2060"/>
      <c r="EF234" s="2060"/>
      <c r="EG234" s="2060"/>
      <c r="EH234" s="2060"/>
      <c r="EI234" s="2060"/>
      <c r="EJ234" s="2060"/>
      <c r="EK234" s="2060"/>
      <c r="EL234" s="2060"/>
      <c r="EM234" s="2060"/>
      <c r="EN234" s="2060"/>
      <c r="EO234" s="2060"/>
      <c r="EP234" s="2060"/>
      <c r="EQ234" s="2060"/>
      <c r="ER234" s="2060"/>
      <c r="ES234" s="2060"/>
      <c r="ET234" s="2060"/>
      <c r="EU234" s="2060"/>
      <c r="EV234" s="2060"/>
      <c r="EW234" s="2060"/>
      <c r="EX234" s="2060"/>
      <c r="EY234" s="2060"/>
      <c r="EZ234" s="2060"/>
      <c r="FA234" s="2060"/>
      <c r="FB234" s="2060"/>
      <c r="FC234" s="2060"/>
      <c r="FD234" s="2060"/>
      <c r="FE234" s="2060"/>
      <c r="FF234" s="2060"/>
      <c r="FG234" s="2060"/>
      <c r="FH234" s="2060"/>
      <c r="FI234" s="2060"/>
      <c r="FJ234" s="2060"/>
      <c r="FK234" s="2060"/>
      <c r="FL234" s="2060"/>
      <c r="FM234" s="2060"/>
      <c r="FN234" s="2060"/>
      <c r="FO234" s="2060"/>
      <c r="FP234" s="2060"/>
      <c r="FQ234" s="2060"/>
      <c r="FR234" s="2060"/>
      <c r="FS234" s="2060"/>
      <c r="FT234" s="2060"/>
      <c r="FU234" s="2060"/>
      <c r="FV234" s="2060"/>
      <c r="FW234" s="2060"/>
      <c r="FX234" s="2060"/>
      <c r="FY234" s="2060"/>
      <c r="FZ234" s="2060"/>
      <c r="GA234" s="2060"/>
      <c r="GB234" s="2060"/>
      <c r="GC234" s="2060"/>
    </row>
    <row r="235" spans="1:185" s="1499" customFormat="1">
      <c r="A235" s="1632" t="str">
        <f t="shared" si="37"/>
        <v>n</v>
      </c>
      <c r="B235" s="1004"/>
      <c r="C235" s="1502"/>
      <c r="D235" s="2060"/>
      <c r="E235" s="173" t="str">
        <f>'DATA GPC'!E$34</f>
        <v>--</v>
      </c>
      <c r="F235" s="2060"/>
      <c r="G235" s="390" t="str">
        <f>'DATA GPC'!J34</f>
        <v>--</v>
      </c>
      <c r="H235" s="390" t="str">
        <f>IF($E235="--","--",_xll.ciqfunctions.udf.CIQ('DATA GPC'!G34,"IQ_LASTSALEPRICE",Valuation_date,$G235,FXMode))</f>
        <v>--</v>
      </c>
      <c r="I235" s="391" t="str">
        <f>IF($E235="--","--",_xll.ciqfunctions.udf.CIQ(G143,"IQ_SHARESOUTSTANDING",Valuation_date)*Scale)</f>
        <v>--</v>
      </c>
      <c r="J235" s="391" t="str">
        <f>IF($E235="--","--",_xll.ciqfunctions.udf.CIQ(G143,"IQ_MARKETCAP",Valuation_date,$G235,FXMode)*Scale)</f>
        <v>--</v>
      </c>
      <c r="K235" s="1512" t="str">
        <f t="shared" si="42"/>
        <v>--</v>
      </c>
      <c r="L235" s="391" t="str">
        <f>IF($E235="--","--",_xll.ciqfunctions.udf.CIQ(G143,"IQ_MARKETCAP",Valuation_date,$G235,FXMode)*Scale)</f>
        <v>--</v>
      </c>
      <c r="M235" s="473" t="str">
        <f>IF($E235="--","--",IF(START!$G$59=START!$E$60,START!$G$60,"n/a"))</f>
        <v>--</v>
      </c>
      <c r="N235" s="338" t="str">
        <f t="shared" si="39"/>
        <v>--</v>
      </c>
      <c r="O235" s="1506"/>
      <c r="P235" s="391" t="str">
        <f>IF($E235="--","--",_xll.ciqfunctions.udf.CIQ(G143,"IQ_TOTAL_DEBT",2000,Valuation_date,ReportType,DataMode,$G235,FXMode)*Scale+IF(PensionSetting="Included in debt",_xll.ciqfunctions.udf.CIQ(G143,"IQ_PENSION",2000,Valuation_date,ReportType,DataMode,$G235,FXMode)*Scale,0))</f>
        <v>--</v>
      </c>
      <c r="Q235" s="391" t="str">
        <f>IF($E235="--","--",-_xll.ciqfunctions.udf.CIQ(G143,"IQ_CASH_ST_INVEST",2000,Valuation_date,ReportType,DataMode, $G235,FXMode)*Scale)</f>
        <v>--</v>
      </c>
      <c r="R235" s="391" t="str">
        <f>IF($E235="--","--",_xll.ciqfunctions.udf.CIQ(G143,"IQ_MINORITY_INTEREST_TOTAL",2000,Valuation_date,ReportType,DataMode,$G235,FXMode)*Scale)</f>
        <v>--</v>
      </c>
      <c r="S235" s="391" t="str">
        <f>IF($E235="--","--",_xll.ciqfunctions.udf.CIQ(G143,"IQ_PREF_EQUITY",2000,Valuation_date,ReportType,DataMode,$G235,FXMode)*Scale)</f>
        <v>--</v>
      </c>
      <c r="T235" s="391" t="str">
        <f t="shared" si="43"/>
        <v>--</v>
      </c>
      <c r="U235" s="473" t="str">
        <f>IF($E235="--","--",IF(START!$G$59&lt;&gt;START!$E$60,START!$G$61,"n/a"))</f>
        <v>--</v>
      </c>
      <c r="V235" s="391" t="str">
        <f t="shared" si="41"/>
        <v>--</v>
      </c>
      <c r="W235" s="2060"/>
      <c r="X235" s="2060"/>
      <c r="Y235" s="391" t="str">
        <f>IF(E235="--","--",_xll.ciqfunctions.udf.CIQ(G143,"IQ_TEV",Valuation_date,G235,FXMode)*Scale+(N(M235)*L235))</f>
        <v>--</v>
      </c>
      <c r="Z235" s="2060"/>
      <c r="AA235" s="2060"/>
      <c r="AB235" s="2060"/>
      <c r="AC235" s="2060"/>
      <c r="AD235" s="1004"/>
      <c r="AE235" s="2060"/>
      <c r="AF235" s="2060"/>
      <c r="AG235" s="2060"/>
      <c r="AH235" s="2060"/>
      <c r="AI235" s="2060"/>
      <c r="AJ235" s="2060"/>
      <c r="AK235" s="2060"/>
      <c r="AL235" s="2060"/>
      <c r="AM235" s="2060"/>
      <c r="AN235" s="2060"/>
      <c r="AO235" s="2060"/>
      <c r="AP235" s="2060"/>
      <c r="AQ235" s="2060"/>
      <c r="AR235" s="2060"/>
      <c r="AS235" s="2060"/>
      <c r="AT235" s="2060"/>
      <c r="AU235" s="2060"/>
      <c r="AV235" s="2060"/>
      <c r="AW235" s="2060"/>
      <c r="AX235" s="2060"/>
      <c r="AY235" s="2060"/>
      <c r="AZ235" s="2060"/>
      <c r="BA235" s="2060"/>
      <c r="BB235" s="2060"/>
      <c r="BC235" s="2060"/>
      <c r="BD235" s="2060"/>
      <c r="BE235" s="2060"/>
      <c r="BF235" s="2060"/>
      <c r="BG235" s="2060"/>
      <c r="BH235" s="2060"/>
      <c r="BI235" s="2060"/>
      <c r="BJ235" s="2060"/>
      <c r="BK235" s="2060"/>
      <c r="BL235" s="2060"/>
      <c r="BM235" s="2060"/>
      <c r="BN235" s="2060"/>
      <c r="BO235" s="2060"/>
      <c r="BP235" s="2060"/>
      <c r="BQ235" s="2060"/>
      <c r="BR235" s="2060"/>
      <c r="BS235" s="2060"/>
      <c r="BT235" s="2060"/>
      <c r="BU235" s="2060"/>
      <c r="BV235" s="2060"/>
      <c r="BW235" s="2060"/>
      <c r="BX235" s="2060"/>
      <c r="BY235" s="2060"/>
      <c r="BZ235" s="2060"/>
      <c r="CA235" s="2060"/>
      <c r="CB235" s="2060"/>
      <c r="CC235" s="2060"/>
      <c r="CD235" s="2060"/>
      <c r="CE235" s="2060"/>
      <c r="CF235" s="2060"/>
      <c r="CG235" s="2060"/>
      <c r="CH235" s="2060"/>
      <c r="CI235" s="2060"/>
      <c r="CJ235" s="2060"/>
      <c r="CK235" s="2060"/>
      <c r="CL235" s="2060"/>
      <c r="CM235" s="2060"/>
      <c r="CN235" s="2060"/>
      <c r="CO235" s="2060"/>
      <c r="CP235" s="2060"/>
      <c r="CQ235" s="2060"/>
      <c r="CR235" s="2060"/>
      <c r="CS235" s="2060"/>
      <c r="CT235" s="2060"/>
      <c r="CU235" s="2060"/>
      <c r="CV235" s="2060"/>
      <c r="CW235" s="2060"/>
      <c r="CX235" s="2060"/>
      <c r="CY235" s="2060"/>
      <c r="CZ235" s="2060"/>
      <c r="DA235" s="2060"/>
      <c r="DB235" s="2060"/>
      <c r="DC235" s="2060"/>
      <c r="DD235" s="2060"/>
      <c r="DE235" s="2060"/>
      <c r="DF235" s="2060"/>
      <c r="DG235" s="2060"/>
      <c r="DH235" s="2060"/>
      <c r="DI235" s="2060"/>
      <c r="DJ235" s="2060"/>
      <c r="DK235" s="2060"/>
      <c r="DL235" s="2060"/>
      <c r="DM235" s="2060"/>
      <c r="DN235" s="2060"/>
      <c r="DO235" s="2060"/>
      <c r="DP235" s="2060"/>
      <c r="DQ235" s="2060"/>
      <c r="DR235" s="2060"/>
      <c r="DS235" s="2060"/>
      <c r="DT235" s="2060"/>
      <c r="DU235" s="2060"/>
      <c r="DV235" s="2060"/>
      <c r="DW235" s="2060"/>
      <c r="DX235" s="2060"/>
      <c r="DY235" s="2060"/>
      <c r="DZ235" s="2060"/>
      <c r="EA235" s="2060"/>
      <c r="EB235" s="2060"/>
      <c r="EC235" s="2060"/>
      <c r="ED235" s="2060"/>
      <c r="EE235" s="2060"/>
      <c r="EF235" s="2060"/>
      <c r="EG235" s="2060"/>
      <c r="EH235" s="2060"/>
      <c r="EI235" s="2060"/>
      <c r="EJ235" s="2060"/>
      <c r="EK235" s="2060"/>
      <c r="EL235" s="2060"/>
      <c r="EM235" s="2060"/>
      <c r="EN235" s="2060"/>
      <c r="EO235" s="2060"/>
      <c r="EP235" s="2060"/>
      <c r="EQ235" s="2060"/>
      <c r="ER235" s="2060"/>
      <c r="ES235" s="2060"/>
      <c r="ET235" s="2060"/>
      <c r="EU235" s="2060"/>
      <c r="EV235" s="2060"/>
      <c r="EW235" s="2060"/>
      <c r="EX235" s="2060"/>
      <c r="EY235" s="2060"/>
      <c r="EZ235" s="2060"/>
      <c r="FA235" s="2060"/>
      <c r="FB235" s="2060"/>
      <c r="FC235" s="2060"/>
      <c r="FD235" s="2060"/>
      <c r="FE235" s="2060"/>
      <c r="FF235" s="2060"/>
      <c r="FG235" s="2060"/>
      <c r="FH235" s="2060"/>
      <c r="FI235" s="2060"/>
      <c r="FJ235" s="2060"/>
      <c r="FK235" s="2060"/>
      <c r="FL235" s="2060"/>
      <c r="FM235" s="2060"/>
      <c r="FN235" s="2060"/>
      <c r="FO235" s="2060"/>
      <c r="FP235" s="2060"/>
      <c r="FQ235" s="2060"/>
      <c r="FR235" s="2060"/>
      <c r="FS235" s="2060"/>
      <c r="FT235" s="2060"/>
      <c r="FU235" s="2060"/>
      <c r="FV235" s="2060"/>
      <c r="FW235" s="2060"/>
      <c r="FX235" s="2060"/>
      <c r="FY235" s="2060"/>
      <c r="FZ235" s="2060"/>
      <c r="GA235" s="2060"/>
      <c r="GB235" s="2060"/>
      <c r="GC235" s="2060"/>
    </row>
    <row r="236" spans="1:185" s="1499" customFormat="1">
      <c r="A236" s="1632" t="str">
        <f t="shared" si="37"/>
        <v>n</v>
      </c>
      <c r="B236" s="1004"/>
      <c r="C236" s="1502"/>
      <c r="D236" s="2060"/>
      <c r="E236" s="173" t="str">
        <f>'DATA GPC'!E$35</f>
        <v>--</v>
      </c>
      <c r="F236" s="2060"/>
      <c r="G236" s="390" t="str">
        <f>'DATA GPC'!J35</f>
        <v>--</v>
      </c>
      <c r="H236" s="390" t="str">
        <f>IF($E236="--","--",_xll.ciqfunctions.udf.CIQ('DATA GPC'!G35,"IQ_LASTSALEPRICE",Valuation_date,$G236,FXMode))</f>
        <v>--</v>
      </c>
      <c r="I236" s="391" t="str">
        <f>IF($E236="--","--",_xll.ciqfunctions.udf.CIQ(G144,"IQ_SHARESOUTSTANDING",Valuation_date)*Scale)</f>
        <v>--</v>
      </c>
      <c r="J236" s="391" t="str">
        <f>IF($E236="--","--",_xll.ciqfunctions.udf.CIQ(G144,"IQ_MARKETCAP",Valuation_date,$G236,FXMode)*Scale)</f>
        <v>--</v>
      </c>
      <c r="K236" s="1512" t="str">
        <f t="shared" si="42"/>
        <v>--</v>
      </c>
      <c r="L236" s="391" t="str">
        <f>IF($E236="--","--",_xll.ciqfunctions.udf.CIQ(G144,"IQ_MARKETCAP",Valuation_date,$G236,FXMode)*Scale)</f>
        <v>--</v>
      </c>
      <c r="M236" s="473" t="str">
        <f>IF($E236="--","--",IF(START!$G$59=START!$E$60,START!$G$60,"n/a"))</f>
        <v>--</v>
      </c>
      <c r="N236" s="338" t="str">
        <f t="shared" si="39"/>
        <v>--</v>
      </c>
      <c r="O236" s="1506"/>
      <c r="P236" s="391" t="str">
        <f>IF($E236="--","--",_xll.ciqfunctions.udf.CIQ(G144,"IQ_TOTAL_DEBT",2000,Valuation_date,ReportType,DataMode,$G236,FXMode)*Scale+IF(PensionSetting="Included in debt",_xll.ciqfunctions.udf.CIQ(G144,"IQ_PENSION",2000,Valuation_date,ReportType,DataMode,$G236,FXMode)*Scale,0))</f>
        <v>--</v>
      </c>
      <c r="Q236" s="391" t="str">
        <f>IF($E236="--","--",-_xll.ciqfunctions.udf.CIQ(G144,"IQ_CASH_ST_INVEST",2000,Valuation_date,ReportType,DataMode, $G236,FXMode)*Scale)</f>
        <v>--</v>
      </c>
      <c r="R236" s="391" t="str">
        <f>IF($E236="--","--",_xll.ciqfunctions.udf.CIQ(G144,"IQ_MINORITY_INTEREST_TOTAL",2000,Valuation_date,ReportType,DataMode,$G236,FXMode)*Scale)</f>
        <v>--</v>
      </c>
      <c r="S236" s="391" t="str">
        <f>IF($E236="--","--",_xll.ciqfunctions.udf.CIQ(G144,"IQ_PREF_EQUITY",2000,Valuation_date,ReportType,DataMode,$G236,FXMode)*Scale)</f>
        <v>--</v>
      </c>
      <c r="T236" s="391" t="str">
        <f t="shared" si="43"/>
        <v>--</v>
      </c>
      <c r="U236" s="473" t="str">
        <f>IF($E236="--","--",IF(START!$G$59&lt;&gt;START!$E$60,START!$G$61,"n/a"))</f>
        <v>--</v>
      </c>
      <c r="V236" s="391" t="str">
        <f t="shared" si="41"/>
        <v>--</v>
      </c>
      <c r="W236" s="2060"/>
      <c r="X236" s="2060"/>
      <c r="Y236" s="391" t="str">
        <f>IF(E236="--","--",_xll.ciqfunctions.udf.CIQ(G144,"IQ_TEV",Valuation_date,G236,FXMode)*Scale+(N(M236)*L236))</f>
        <v>--</v>
      </c>
      <c r="Z236" s="2060"/>
      <c r="AA236" s="2060"/>
      <c r="AB236" s="2060"/>
      <c r="AC236" s="2060"/>
      <c r="AD236" s="1004"/>
      <c r="AE236" s="2060"/>
      <c r="AF236" s="2060"/>
      <c r="AG236" s="2060"/>
      <c r="AH236" s="2060"/>
      <c r="AI236" s="2060"/>
      <c r="AJ236" s="2060"/>
      <c r="AK236" s="2060"/>
      <c r="AL236" s="2060"/>
      <c r="AM236" s="2060"/>
      <c r="AN236" s="2060"/>
      <c r="AO236" s="2060"/>
      <c r="AP236" s="2060"/>
      <c r="AQ236" s="2060"/>
      <c r="AR236" s="2060"/>
      <c r="AS236" s="2060"/>
      <c r="AT236" s="2060"/>
      <c r="AU236" s="2060"/>
      <c r="AV236" s="2060"/>
      <c r="AW236" s="2060"/>
      <c r="AX236" s="2060"/>
      <c r="AY236" s="2060"/>
      <c r="AZ236" s="2060"/>
      <c r="BA236" s="2060"/>
      <c r="BB236" s="2060"/>
      <c r="BC236" s="2060"/>
      <c r="BD236" s="2060"/>
      <c r="BE236" s="2060"/>
      <c r="BF236" s="2060"/>
      <c r="BG236" s="2060"/>
      <c r="BH236" s="2060"/>
      <c r="BI236" s="2060"/>
      <c r="BJ236" s="2060"/>
      <c r="BK236" s="2060"/>
      <c r="BL236" s="2060"/>
      <c r="BM236" s="2060"/>
      <c r="BN236" s="2060"/>
      <c r="BO236" s="2060"/>
      <c r="BP236" s="2060"/>
      <c r="BQ236" s="2060"/>
      <c r="BR236" s="2060"/>
      <c r="BS236" s="2060"/>
      <c r="BT236" s="2060"/>
      <c r="BU236" s="2060"/>
      <c r="BV236" s="2060"/>
      <c r="BW236" s="2060"/>
      <c r="BX236" s="2060"/>
      <c r="BY236" s="2060"/>
      <c r="BZ236" s="2060"/>
      <c r="CA236" s="2060"/>
      <c r="CB236" s="2060"/>
      <c r="CC236" s="2060"/>
      <c r="CD236" s="2060"/>
      <c r="CE236" s="2060"/>
      <c r="CF236" s="2060"/>
      <c r="CG236" s="2060"/>
      <c r="CH236" s="2060"/>
      <c r="CI236" s="2060"/>
      <c r="CJ236" s="2060"/>
      <c r="CK236" s="2060"/>
      <c r="CL236" s="2060"/>
      <c r="CM236" s="2060"/>
      <c r="CN236" s="2060"/>
      <c r="CO236" s="2060"/>
      <c r="CP236" s="2060"/>
      <c r="CQ236" s="2060"/>
      <c r="CR236" s="2060"/>
      <c r="CS236" s="2060"/>
      <c r="CT236" s="2060"/>
      <c r="CU236" s="2060"/>
      <c r="CV236" s="2060"/>
      <c r="CW236" s="2060"/>
      <c r="CX236" s="2060"/>
      <c r="CY236" s="2060"/>
      <c r="CZ236" s="2060"/>
      <c r="DA236" s="2060"/>
      <c r="DB236" s="2060"/>
      <c r="DC236" s="2060"/>
      <c r="DD236" s="2060"/>
      <c r="DE236" s="2060"/>
      <c r="DF236" s="2060"/>
      <c r="DG236" s="2060"/>
      <c r="DH236" s="2060"/>
      <c r="DI236" s="2060"/>
      <c r="DJ236" s="2060"/>
      <c r="DK236" s="2060"/>
      <c r="DL236" s="2060"/>
      <c r="DM236" s="2060"/>
      <c r="DN236" s="2060"/>
      <c r="DO236" s="2060"/>
      <c r="DP236" s="2060"/>
      <c r="DQ236" s="2060"/>
      <c r="DR236" s="2060"/>
      <c r="DS236" s="2060"/>
      <c r="DT236" s="2060"/>
      <c r="DU236" s="2060"/>
      <c r="DV236" s="2060"/>
      <c r="DW236" s="2060"/>
      <c r="DX236" s="2060"/>
      <c r="DY236" s="2060"/>
      <c r="DZ236" s="2060"/>
      <c r="EA236" s="2060"/>
      <c r="EB236" s="2060"/>
      <c r="EC236" s="2060"/>
      <c r="ED236" s="2060"/>
      <c r="EE236" s="2060"/>
      <c r="EF236" s="2060"/>
      <c r="EG236" s="2060"/>
      <c r="EH236" s="2060"/>
      <c r="EI236" s="2060"/>
      <c r="EJ236" s="2060"/>
      <c r="EK236" s="2060"/>
      <c r="EL236" s="2060"/>
      <c r="EM236" s="2060"/>
      <c r="EN236" s="2060"/>
      <c r="EO236" s="2060"/>
      <c r="EP236" s="2060"/>
      <c r="EQ236" s="2060"/>
      <c r="ER236" s="2060"/>
      <c r="ES236" s="2060"/>
      <c r="ET236" s="2060"/>
      <c r="EU236" s="2060"/>
      <c r="EV236" s="2060"/>
      <c r="EW236" s="2060"/>
      <c r="EX236" s="2060"/>
      <c r="EY236" s="2060"/>
      <c r="EZ236" s="2060"/>
      <c r="FA236" s="2060"/>
      <c r="FB236" s="2060"/>
      <c r="FC236" s="2060"/>
      <c r="FD236" s="2060"/>
      <c r="FE236" s="2060"/>
      <c r="FF236" s="2060"/>
      <c r="FG236" s="2060"/>
      <c r="FH236" s="2060"/>
      <c r="FI236" s="2060"/>
      <c r="FJ236" s="2060"/>
      <c r="FK236" s="2060"/>
      <c r="FL236" s="2060"/>
      <c r="FM236" s="2060"/>
      <c r="FN236" s="2060"/>
      <c r="FO236" s="2060"/>
      <c r="FP236" s="2060"/>
      <c r="FQ236" s="2060"/>
      <c r="FR236" s="2060"/>
      <c r="FS236" s="2060"/>
      <c r="FT236" s="2060"/>
      <c r="FU236" s="2060"/>
      <c r="FV236" s="2060"/>
      <c r="FW236" s="2060"/>
      <c r="FX236" s="2060"/>
      <c r="FY236" s="2060"/>
      <c r="FZ236" s="2060"/>
      <c r="GA236" s="2060"/>
      <c r="GB236" s="2060"/>
      <c r="GC236" s="2060"/>
    </row>
    <row r="237" spans="1:185" s="1499" customFormat="1">
      <c r="A237" s="1632" t="str">
        <f t="shared" si="37"/>
        <v>n</v>
      </c>
      <c r="B237" s="1004"/>
      <c r="C237" s="1502"/>
      <c r="D237" s="2060"/>
      <c r="E237" s="173" t="str">
        <f>'DATA GPC'!E$36</f>
        <v>--</v>
      </c>
      <c r="F237" s="2060"/>
      <c r="G237" s="390" t="str">
        <f>'DATA GPC'!J36</f>
        <v>--</v>
      </c>
      <c r="H237" s="390" t="str">
        <f>IF($E237="--","--",_xll.ciqfunctions.udf.CIQ('DATA GPC'!G36,"IQ_LASTSALEPRICE",Valuation_date,$G237,FXMode))</f>
        <v>--</v>
      </c>
      <c r="I237" s="391" t="str">
        <f>IF($E237="--","--",_xll.ciqfunctions.udf.CIQ(G145,"IQ_SHARESOUTSTANDING",Valuation_date)*Scale)</f>
        <v>--</v>
      </c>
      <c r="J237" s="391" t="str">
        <f>IF($E237="--","--",_xll.ciqfunctions.udf.CIQ(G145,"IQ_MARKETCAP",Valuation_date,$G237,FXMode)*Scale)</f>
        <v>--</v>
      </c>
      <c r="K237" s="1512" t="str">
        <f t="shared" si="42"/>
        <v>--</v>
      </c>
      <c r="L237" s="391" t="str">
        <f>IF($E237="--","--",_xll.ciqfunctions.udf.CIQ(G145,"IQ_MARKETCAP",Valuation_date,$G237,FXMode)*Scale)</f>
        <v>--</v>
      </c>
      <c r="M237" s="473" t="str">
        <f>IF($E237="--","--",IF(START!$G$59=START!$E$60,START!$G$60,"n/a"))</f>
        <v>--</v>
      </c>
      <c r="N237" s="338" t="str">
        <f t="shared" si="39"/>
        <v>--</v>
      </c>
      <c r="O237" s="1506"/>
      <c r="P237" s="391" t="str">
        <f>IF($E237="--","--",_xll.ciqfunctions.udf.CIQ(G145,"IQ_TOTAL_DEBT",2000,Valuation_date,ReportType,DataMode,$G237,FXMode)*Scale+IF(PensionSetting="Included in debt",_xll.ciqfunctions.udf.CIQ(G145,"IQ_PENSION",2000,Valuation_date,ReportType,DataMode,$G237,FXMode)*Scale,0))</f>
        <v>--</v>
      </c>
      <c r="Q237" s="391" t="str">
        <f>IF($E237="--","--",-_xll.ciqfunctions.udf.CIQ(G145,"IQ_CASH_ST_INVEST",2000,Valuation_date,ReportType,DataMode, $G237,FXMode)*Scale)</f>
        <v>--</v>
      </c>
      <c r="R237" s="391" t="str">
        <f>IF($E237="--","--",_xll.ciqfunctions.udf.CIQ(G145,"IQ_MINORITY_INTEREST_TOTAL",2000,Valuation_date,ReportType,DataMode,$G237,FXMode)*Scale)</f>
        <v>--</v>
      </c>
      <c r="S237" s="391" t="str">
        <f>IF($E237="--","--",_xll.ciqfunctions.udf.CIQ(G145,"IQ_PREF_EQUITY",2000,Valuation_date,ReportType,DataMode,$G237,FXMode)*Scale)</f>
        <v>--</v>
      </c>
      <c r="T237" s="391" t="str">
        <f t="shared" si="43"/>
        <v>--</v>
      </c>
      <c r="U237" s="473" t="str">
        <f>IF($E237="--","--",IF(START!$G$59&lt;&gt;START!$E$60,START!$G$61,"n/a"))</f>
        <v>--</v>
      </c>
      <c r="V237" s="391" t="str">
        <f t="shared" si="41"/>
        <v>--</v>
      </c>
      <c r="W237" s="2060"/>
      <c r="X237" s="2060"/>
      <c r="Y237" s="391" t="str">
        <f>IF(E237="--","--",_xll.ciqfunctions.udf.CIQ(G145,"IQ_TEV",Valuation_date,G237,FXMode)*Scale+(N(M237)*L237))</f>
        <v>--</v>
      </c>
      <c r="Z237" s="2060"/>
      <c r="AA237" s="2060"/>
      <c r="AB237" s="2060"/>
      <c r="AC237" s="2060"/>
      <c r="AD237" s="1004"/>
      <c r="AE237" s="2060"/>
      <c r="AF237" s="2060"/>
      <c r="AG237" s="2060"/>
      <c r="AH237" s="2060"/>
      <c r="AI237" s="2060"/>
      <c r="AJ237" s="2060"/>
      <c r="AK237" s="2060"/>
      <c r="AL237" s="2060"/>
      <c r="AM237" s="2060"/>
      <c r="AN237" s="2060"/>
      <c r="AO237" s="2060"/>
      <c r="AP237" s="2060"/>
      <c r="AQ237" s="2060"/>
      <c r="AR237" s="2060"/>
      <c r="AS237" s="2060"/>
      <c r="AT237" s="2060"/>
      <c r="AU237" s="2060"/>
      <c r="AV237" s="2060"/>
      <c r="AW237" s="2060"/>
      <c r="AX237" s="2060"/>
      <c r="AY237" s="2060"/>
      <c r="AZ237" s="2060"/>
      <c r="BA237" s="2060"/>
      <c r="BB237" s="2060"/>
      <c r="BC237" s="2060"/>
      <c r="BD237" s="2060"/>
      <c r="BE237" s="2060"/>
      <c r="BF237" s="2060"/>
      <c r="BG237" s="2060"/>
      <c r="BH237" s="2060"/>
      <c r="BI237" s="2060"/>
      <c r="BJ237" s="2060"/>
      <c r="BK237" s="2060"/>
      <c r="BL237" s="2060"/>
      <c r="BM237" s="2060"/>
      <c r="BN237" s="2060"/>
      <c r="BO237" s="2060"/>
      <c r="BP237" s="2060"/>
      <c r="BQ237" s="2060"/>
      <c r="BR237" s="2060"/>
      <c r="BS237" s="2060"/>
      <c r="BT237" s="2060"/>
      <c r="BU237" s="2060"/>
      <c r="BV237" s="2060"/>
      <c r="BW237" s="2060"/>
      <c r="BX237" s="2060"/>
      <c r="BY237" s="2060"/>
      <c r="BZ237" s="2060"/>
      <c r="CA237" s="2060"/>
      <c r="CB237" s="2060"/>
      <c r="CC237" s="2060"/>
      <c r="CD237" s="2060"/>
      <c r="CE237" s="2060"/>
      <c r="CF237" s="2060"/>
      <c r="CG237" s="2060"/>
      <c r="CH237" s="2060"/>
      <c r="CI237" s="2060"/>
      <c r="CJ237" s="2060"/>
      <c r="CK237" s="2060"/>
      <c r="CL237" s="2060"/>
      <c r="CM237" s="2060"/>
      <c r="CN237" s="2060"/>
      <c r="CO237" s="2060"/>
      <c r="CP237" s="2060"/>
      <c r="CQ237" s="2060"/>
      <c r="CR237" s="2060"/>
      <c r="CS237" s="2060"/>
      <c r="CT237" s="2060"/>
      <c r="CU237" s="2060"/>
      <c r="CV237" s="2060"/>
      <c r="CW237" s="2060"/>
      <c r="CX237" s="2060"/>
      <c r="CY237" s="2060"/>
      <c r="CZ237" s="2060"/>
      <c r="DA237" s="2060"/>
      <c r="DB237" s="2060"/>
      <c r="DC237" s="2060"/>
      <c r="DD237" s="2060"/>
      <c r="DE237" s="2060"/>
      <c r="DF237" s="2060"/>
      <c r="DG237" s="2060"/>
      <c r="DH237" s="2060"/>
      <c r="DI237" s="2060"/>
      <c r="DJ237" s="2060"/>
      <c r="DK237" s="2060"/>
      <c r="DL237" s="2060"/>
      <c r="DM237" s="2060"/>
      <c r="DN237" s="2060"/>
      <c r="DO237" s="2060"/>
      <c r="DP237" s="2060"/>
      <c r="DQ237" s="2060"/>
      <c r="DR237" s="2060"/>
      <c r="DS237" s="2060"/>
      <c r="DT237" s="2060"/>
      <c r="DU237" s="2060"/>
      <c r="DV237" s="2060"/>
      <c r="DW237" s="2060"/>
      <c r="DX237" s="2060"/>
      <c r="DY237" s="2060"/>
      <c r="DZ237" s="2060"/>
      <c r="EA237" s="2060"/>
      <c r="EB237" s="2060"/>
      <c r="EC237" s="2060"/>
      <c r="ED237" s="2060"/>
      <c r="EE237" s="2060"/>
      <c r="EF237" s="2060"/>
      <c r="EG237" s="2060"/>
      <c r="EH237" s="2060"/>
      <c r="EI237" s="2060"/>
      <c r="EJ237" s="2060"/>
      <c r="EK237" s="2060"/>
      <c r="EL237" s="2060"/>
      <c r="EM237" s="2060"/>
      <c r="EN237" s="2060"/>
      <c r="EO237" s="2060"/>
      <c r="EP237" s="2060"/>
      <c r="EQ237" s="2060"/>
      <c r="ER237" s="2060"/>
      <c r="ES237" s="2060"/>
      <c r="ET237" s="2060"/>
      <c r="EU237" s="2060"/>
      <c r="EV237" s="2060"/>
      <c r="EW237" s="2060"/>
      <c r="EX237" s="2060"/>
      <c r="EY237" s="2060"/>
      <c r="EZ237" s="2060"/>
      <c r="FA237" s="2060"/>
      <c r="FB237" s="2060"/>
      <c r="FC237" s="2060"/>
      <c r="FD237" s="2060"/>
      <c r="FE237" s="2060"/>
      <c r="FF237" s="2060"/>
      <c r="FG237" s="2060"/>
      <c r="FH237" s="2060"/>
      <c r="FI237" s="2060"/>
      <c r="FJ237" s="2060"/>
      <c r="FK237" s="2060"/>
      <c r="FL237" s="2060"/>
      <c r="FM237" s="2060"/>
      <c r="FN237" s="2060"/>
      <c r="FO237" s="2060"/>
      <c r="FP237" s="2060"/>
      <c r="FQ237" s="2060"/>
      <c r="FR237" s="2060"/>
      <c r="FS237" s="2060"/>
      <c r="FT237" s="2060"/>
      <c r="FU237" s="2060"/>
      <c r="FV237" s="2060"/>
      <c r="FW237" s="2060"/>
      <c r="FX237" s="2060"/>
      <c r="FY237" s="2060"/>
      <c r="FZ237" s="2060"/>
      <c r="GA237" s="2060"/>
      <c r="GB237" s="2060"/>
      <c r="GC237" s="2060"/>
    </row>
    <row r="238" spans="1:185" s="1499" customFormat="1">
      <c r="A238" s="1632" t="str">
        <f t="shared" si="37"/>
        <v>n</v>
      </c>
      <c r="B238" s="1004"/>
      <c r="C238" s="1502"/>
      <c r="D238" s="2060"/>
      <c r="E238" s="173" t="str">
        <f>'DATA GPC'!E$37</f>
        <v>--</v>
      </c>
      <c r="F238" s="2060"/>
      <c r="G238" s="390" t="str">
        <f>'DATA GPC'!J37</f>
        <v>--</v>
      </c>
      <c r="H238" s="390" t="str">
        <f>IF($E238="--","--",_xll.ciqfunctions.udf.CIQ('DATA GPC'!G37,"IQ_LASTSALEPRICE",Valuation_date,$G238,FXMode))</f>
        <v>--</v>
      </c>
      <c r="I238" s="391" t="str">
        <f>IF($E238="--","--",_xll.ciqfunctions.udf.CIQ(G146,"IQ_SHARESOUTSTANDING",Valuation_date)*Scale)</f>
        <v>--</v>
      </c>
      <c r="J238" s="391" t="str">
        <f>IF($E238="--","--",_xll.ciqfunctions.udf.CIQ(G146,"IQ_MARKETCAP",Valuation_date,$G238,FXMode)*Scale)</f>
        <v>--</v>
      </c>
      <c r="K238" s="1512" t="str">
        <f t="shared" si="42"/>
        <v>--</v>
      </c>
      <c r="L238" s="391" t="str">
        <f>IF($E238="--","--",_xll.ciqfunctions.udf.CIQ(G146,"IQ_MARKETCAP",Valuation_date,$G238,FXMode)*Scale)</f>
        <v>--</v>
      </c>
      <c r="M238" s="473" t="str">
        <f>IF($E238="--","--",IF(START!$G$59=START!$E$60,START!$G$60,"n/a"))</f>
        <v>--</v>
      </c>
      <c r="N238" s="338" t="str">
        <f t="shared" si="39"/>
        <v>--</v>
      </c>
      <c r="O238" s="1506"/>
      <c r="P238" s="391" t="str">
        <f>IF($E238="--","--",_xll.ciqfunctions.udf.CIQ(G146,"IQ_TOTAL_DEBT",2000,Valuation_date,ReportType,DataMode,$G238,FXMode)*Scale+IF(PensionSetting="Included in debt",_xll.ciqfunctions.udf.CIQ(G146,"IQ_PENSION",2000,Valuation_date,ReportType,DataMode,$G238,FXMode)*Scale,0))</f>
        <v>--</v>
      </c>
      <c r="Q238" s="391" t="str">
        <f>IF($E238="--","--",-_xll.ciqfunctions.udf.CIQ(G146,"IQ_CASH_ST_INVEST",2000,Valuation_date,ReportType,DataMode, $G238,FXMode)*Scale)</f>
        <v>--</v>
      </c>
      <c r="R238" s="391" t="str">
        <f>IF($E238="--","--",_xll.ciqfunctions.udf.CIQ(G146,"IQ_MINORITY_INTEREST_TOTAL",2000,Valuation_date,ReportType,DataMode,$G238,FXMode)*Scale)</f>
        <v>--</v>
      </c>
      <c r="S238" s="391" t="str">
        <f>IF($E238="--","--",_xll.ciqfunctions.udf.CIQ(G146,"IQ_PREF_EQUITY",2000,Valuation_date,ReportType,DataMode,$G238,FXMode)*Scale)</f>
        <v>--</v>
      </c>
      <c r="T238" s="391" t="str">
        <f t="shared" si="43"/>
        <v>--</v>
      </c>
      <c r="U238" s="473" t="str">
        <f>IF($E238="--","--",IF(START!$G$59&lt;&gt;START!$E$60,START!$G$61,"n/a"))</f>
        <v>--</v>
      </c>
      <c r="V238" s="391" t="str">
        <f t="shared" si="41"/>
        <v>--</v>
      </c>
      <c r="W238" s="2060"/>
      <c r="X238" s="2060"/>
      <c r="Y238" s="391" t="str">
        <f>IF(E238="--","--",_xll.ciqfunctions.udf.CIQ(G146,"IQ_TEV",Valuation_date,G238,FXMode)*Scale+(N(M238)*L238))</f>
        <v>--</v>
      </c>
      <c r="Z238" s="2060"/>
      <c r="AA238" s="2060"/>
      <c r="AB238" s="2060"/>
      <c r="AC238" s="2060"/>
      <c r="AD238" s="1004"/>
      <c r="AE238" s="2060"/>
      <c r="AF238" s="2060"/>
      <c r="AG238" s="2060"/>
      <c r="AH238" s="2060"/>
      <c r="AI238" s="2060"/>
      <c r="AJ238" s="2060"/>
      <c r="AK238" s="2060"/>
      <c r="AL238" s="2060"/>
      <c r="AM238" s="2060"/>
      <c r="AN238" s="2060"/>
      <c r="AO238" s="2060"/>
      <c r="AP238" s="2060"/>
      <c r="AQ238" s="2060"/>
      <c r="AR238" s="2060"/>
      <c r="AS238" s="2060"/>
      <c r="AT238" s="2060"/>
      <c r="AU238" s="2060"/>
      <c r="AV238" s="2060"/>
      <c r="AW238" s="2060"/>
      <c r="AX238" s="2060"/>
      <c r="AY238" s="2060"/>
      <c r="AZ238" s="2060"/>
      <c r="BA238" s="2060"/>
      <c r="BB238" s="2060"/>
      <c r="BC238" s="2060"/>
      <c r="BD238" s="2060"/>
      <c r="BE238" s="2060"/>
      <c r="BF238" s="2060"/>
      <c r="BG238" s="2060"/>
      <c r="BH238" s="2060"/>
      <c r="BI238" s="2060"/>
      <c r="BJ238" s="2060"/>
      <c r="BK238" s="2060"/>
      <c r="BL238" s="2060"/>
      <c r="BM238" s="2060"/>
      <c r="BN238" s="2060"/>
      <c r="BO238" s="2060"/>
      <c r="BP238" s="2060"/>
      <c r="BQ238" s="2060"/>
      <c r="BR238" s="2060"/>
      <c r="BS238" s="2060"/>
      <c r="BT238" s="2060"/>
      <c r="BU238" s="2060"/>
      <c r="BV238" s="2060"/>
      <c r="BW238" s="2060"/>
      <c r="BX238" s="2060"/>
      <c r="BY238" s="2060"/>
      <c r="BZ238" s="2060"/>
      <c r="CA238" s="2060"/>
      <c r="CB238" s="2060"/>
      <c r="CC238" s="2060"/>
      <c r="CD238" s="2060"/>
      <c r="CE238" s="2060"/>
      <c r="CF238" s="2060"/>
      <c r="CG238" s="2060"/>
      <c r="CH238" s="2060"/>
      <c r="CI238" s="2060"/>
      <c r="CJ238" s="2060"/>
      <c r="CK238" s="2060"/>
      <c r="CL238" s="2060"/>
      <c r="CM238" s="2060"/>
      <c r="CN238" s="2060"/>
      <c r="CO238" s="2060"/>
      <c r="CP238" s="2060"/>
      <c r="CQ238" s="2060"/>
      <c r="CR238" s="2060"/>
      <c r="CS238" s="2060"/>
      <c r="CT238" s="2060"/>
      <c r="CU238" s="2060"/>
      <c r="CV238" s="2060"/>
      <c r="CW238" s="2060"/>
      <c r="CX238" s="2060"/>
      <c r="CY238" s="2060"/>
      <c r="CZ238" s="2060"/>
      <c r="DA238" s="2060"/>
      <c r="DB238" s="2060"/>
      <c r="DC238" s="2060"/>
      <c r="DD238" s="2060"/>
      <c r="DE238" s="2060"/>
      <c r="DF238" s="2060"/>
      <c r="DG238" s="2060"/>
      <c r="DH238" s="2060"/>
      <c r="DI238" s="2060"/>
      <c r="DJ238" s="2060"/>
      <c r="DK238" s="2060"/>
      <c r="DL238" s="2060"/>
      <c r="DM238" s="2060"/>
      <c r="DN238" s="2060"/>
      <c r="DO238" s="2060"/>
      <c r="DP238" s="2060"/>
      <c r="DQ238" s="2060"/>
      <c r="DR238" s="2060"/>
      <c r="DS238" s="2060"/>
      <c r="DT238" s="2060"/>
      <c r="DU238" s="2060"/>
      <c r="DV238" s="2060"/>
      <c r="DW238" s="2060"/>
      <c r="DX238" s="2060"/>
      <c r="DY238" s="2060"/>
      <c r="DZ238" s="2060"/>
      <c r="EA238" s="2060"/>
      <c r="EB238" s="2060"/>
      <c r="EC238" s="2060"/>
      <c r="ED238" s="2060"/>
      <c r="EE238" s="2060"/>
      <c r="EF238" s="2060"/>
      <c r="EG238" s="2060"/>
      <c r="EH238" s="2060"/>
      <c r="EI238" s="2060"/>
      <c r="EJ238" s="2060"/>
      <c r="EK238" s="2060"/>
      <c r="EL238" s="2060"/>
      <c r="EM238" s="2060"/>
      <c r="EN238" s="2060"/>
      <c r="EO238" s="2060"/>
      <c r="EP238" s="2060"/>
      <c r="EQ238" s="2060"/>
      <c r="ER238" s="2060"/>
      <c r="ES238" s="2060"/>
      <c r="ET238" s="2060"/>
      <c r="EU238" s="2060"/>
      <c r="EV238" s="2060"/>
      <c r="EW238" s="2060"/>
      <c r="EX238" s="2060"/>
      <c r="EY238" s="2060"/>
      <c r="EZ238" s="2060"/>
      <c r="FA238" s="2060"/>
      <c r="FB238" s="2060"/>
      <c r="FC238" s="2060"/>
      <c r="FD238" s="2060"/>
      <c r="FE238" s="2060"/>
      <c r="FF238" s="2060"/>
      <c r="FG238" s="2060"/>
      <c r="FH238" s="2060"/>
      <c r="FI238" s="2060"/>
      <c r="FJ238" s="2060"/>
      <c r="FK238" s="2060"/>
      <c r="FL238" s="2060"/>
      <c r="FM238" s="2060"/>
      <c r="FN238" s="2060"/>
      <c r="FO238" s="2060"/>
      <c r="FP238" s="2060"/>
      <c r="FQ238" s="2060"/>
      <c r="FR238" s="2060"/>
      <c r="FS238" s="2060"/>
      <c r="FT238" s="2060"/>
      <c r="FU238" s="2060"/>
      <c r="FV238" s="2060"/>
      <c r="FW238" s="2060"/>
      <c r="FX238" s="2060"/>
      <c r="FY238" s="2060"/>
      <c r="FZ238" s="2060"/>
      <c r="GA238" s="2060"/>
      <c r="GB238" s="2060"/>
      <c r="GC238" s="2060"/>
    </row>
    <row r="239" spans="1:185" s="1499" customFormat="1">
      <c r="A239" s="1632" t="str">
        <f t="shared" si="37"/>
        <v>n</v>
      </c>
      <c r="B239" s="1004"/>
      <c r="C239" s="1502"/>
      <c r="D239" s="2060"/>
      <c r="E239" s="173" t="str">
        <f>'DATA GPC'!E$38</f>
        <v>--</v>
      </c>
      <c r="F239" s="2060"/>
      <c r="G239" s="390" t="str">
        <f>'DATA GPC'!J38</f>
        <v>--</v>
      </c>
      <c r="H239" s="390" t="str">
        <f>IF($E239="--","--",_xll.ciqfunctions.udf.CIQ('DATA GPC'!G38,"IQ_LASTSALEPRICE",Valuation_date,$G239,FXMode))</f>
        <v>--</v>
      </c>
      <c r="I239" s="391" t="str">
        <f>IF($E239="--","--",_xll.ciqfunctions.udf.CIQ(G147,"IQ_SHARESOUTSTANDING",Valuation_date)*Scale)</f>
        <v>--</v>
      </c>
      <c r="J239" s="391" t="str">
        <f>IF($E239="--","--",_xll.ciqfunctions.udf.CIQ(G147,"IQ_MARKETCAP",Valuation_date,$G239,FXMode)*Scale)</f>
        <v>--</v>
      </c>
      <c r="K239" s="1512" t="str">
        <f t="shared" si="42"/>
        <v>--</v>
      </c>
      <c r="L239" s="391" t="str">
        <f>IF($E239="--","--",_xll.ciqfunctions.udf.CIQ(G147,"IQ_MARKETCAP",Valuation_date,$G239,FXMode)*Scale)</f>
        <v>--</v>
      </c>
      <c r="M239" s="473" t="str">
        <f>IF($E239="--","--",IF(START!$G$59=START!$E$60,START!$G$60,"n/a"))</f>
        <v>--</v>
      </c>
      <c r="N239" s="338" t="str">
        <f t="shared" si="39"/>
        <v>--</v>
      </c>
      <c r="O239" s="1506"/>
      <c r="P239" s="391" t="str">
        <f>IF($E239="--","--",_xll.ciqfunctions.udf.CIQ(G147,"IQ_TOTAL_DEBT",2000,Valuation_date,ReportType,DataMode,$G239,FXMode)*Scale+IF(PensionSetting="Included in debt",_xll.ciqfunctions.udf.CIQ(G147,"IQ_PENSION",2000,Valuation_date,ReportType,DataMode,$G239,FXMode)*Scale,0))</f>
        <v>--</v>
      </c>
      <c r="Q239" s="391" t="str">
        <f>IF($E239="--","--",-_xll.ciqfunctions.udf.CIQ(G147,"IQ_CASH_ST_INVEST",2000,Valuation_date,ReportType,DataMode, $G239,FXMode)*Scale)</f>
        <v>--</v>
      </c>
      <c r="R239" s="391" t="str">
        <f>IF($E239="--","--",_xll.ciqfunctions.udf.CIQ(G147,"IQ_MINORITY_INTEREST_TOTAL",2000,Valuation_date,ReportType,DataMode,$G239,FXMode)*Scale)</f>
        <v>--</v>
      </c>
      <c r="S239" s="391" t="str">
        <f>IF($E239="--","--",_xll.ciqfunctions.udf.CIQ(G147,"IQ_PREF_EQUITY",2000,Valuation_date,ReportType,DataMode,$G239,FXMode)*Scale)</f>
        <v>--</v>
      </c>
      <c r="T239" s="391" t="str">
        <f t="shared" si="43"/>
        <v>--</v>
      </c>
      <c r="U239" s="473" t="str">
        <f>IF($E239="--","--",IF(START!$G$59&lt;&gt;START!$E$60,START!$G$61,"n/a"))</f>
        <v>--</v>
      </c>
      <c r="V239" s="391" t="str">
        <f t="shared" si="41"/>
        <v>--</v>
      </c>
      <c r="W239" s="2060"/>
      <c r="X239" s="2060"/>
      <c r="Y239" s="391" t="str">
        <f>IF(E239="--","--",_xll.ciqfunctions.udf.CIQ(G147,"IQ_TEV",Valuation_date,G239,FXMode)*Scale+(N(M239)*L239))</f>
        <v>--</v>
      </c>
      <c r="Z239" s="2060"/>
      <c r="AA239" s="2060"/>
      <c r="AB239" s="2060"/>
      <c r="AC239" s="2060"/>
      <c r="AD239" s="1004"/>
      <c r="AE239" s="2060"/>
      <c r="AF239" s="2060"/>
      <c r="AG239" s="2060"/>
      <c r="AH239" s="2060"/>
      <c r="AI239" s="2060"/>
      <c r="AJ239" s="2060"/>
      <c r="AK239" s="2060"/>
      <c r="AL239" s="2060"/>
      <c r="AM239" s="2060"/>
      <c r="AN239" s="2060"/>
      <c r="AO239" s="2060"/>
      <c r="AP239" s="2060"/>
      <c r="AQ239" s="2060"/>
      <c r="AR239" s="2060"/>
      <c r="AS239" s="2060"/>
      <c r="AT239" s="2060"/>
      <c r="AU239" s="2060"/>
      <c r="AV239" s="2060"/>
      <c r="AW239" s="2060"/>
      <c r="AX239" s="2060"/>
      <c r="AY239" s="2060"/>
      <c r="AZ239" s="2060"/>
      <c r="BA239" s="2060"/>
      <c r="BB239" s="2060"/>
      <c r="BC239" s="2060"/>
      <c r="BD239" s="2060"/>
      <c r="BE239" s="2060"/>
      <c r="BF239" s="2060"/>
      <c r="BG239" s="2060"/>
      <c r="BH239" s="2060"/>
      <c r="BI239" s="2060"/>
      <c r="BJ239" s="2060"/>
      <c r="BK239" s="2060"/>
      <c r="BL239" s="2060"/>
      <c r="BM239" s="2060"/>
      <c r="BN239" s="2060"/>
      <c r="BO239" s="2060"/>
      <c r="BP239" s="2060"/>
      <c r="BQ239" s="2060"/>
      <c r="BR239" s="2060"/>
      <c r="BS239" s="2060"/>
      <c r="BT239" s="2060"/>
      <c r="BU239" s="2060"/>
      <c r="BV239" s="2060"/>
      <c r="BW239" s="2060"/>
      <c r="BX239" s="2060"/>
      <c r="BY239" s="2060"/>
      <c r="BZ239" s="2060"/>
      <c r="CA239" s="2060"/>
      <c r="CB239" s="2060"/>
      <c r="CC239" s="2060"/>
      <c r="CD239" s="2060"/>
      <c r="CE239" s="2060"/>
      <c r="CF239" s="2060"/>
      <c r="CG239" s="2060"/>
      <c r="CH239" s="2060"/>
      <c r="CI239" s="2060"/>
      <c r="CJ239" s="2060"/>
      <c r="CK239" s="2060"/>
      <c r="CL239" s="2060"/>
      <c r="CM239" s="2060"/>
      <c r="CN239" s="2060"/>
      <c r="CO239" s="2060"/>
      <c r="CP239" s="2060"/>
      <c r="CQ239" s="2060"/>
      <c r="CR239" s="2060"/>
      <c r="CS239" s="2060"/>
      <c r="CT239" s="2060"/>
      <c r="CU239" s="2060"/>
      <c r="CV239" s="2060"/>
      <c r="CW239" s="2060"/>
      <c r="CX239" s="2060"/>
      <c r="CY239" s="2060"/>
      <c r="CZ239" s="2060"/>
      <c r="DA239" s="2060"/>
      <c r="DB239" s="2060"/>
      <c r="DC239" s="2060"/>
      <c r="DD239" s="2060"/>
      <c r="DE239" s="2060"/>
      <c r="DF239" s="2060"/>
      <c r="DG239" s="2060"/>
      <c r="DH239" s="2060"/>
      <c r="DI239" s="2060"/>
      <c r="DJ239" s="2060"/>
      <c r="DK239" s="2060"/>
      <c r="DL239" s="2060"/>
      <c r="DM239" s="2060"/>
      <c r="DN239" s="2060"/>
      <c r="DO239" s="2060"/>
      <c r="DP239" s="2060"/>
      <c r="DQ239" s="2060"/>
      <c r="DR239" s="2060"/>
      <c r="DS239" s="2060"/>
      <c r="DT239" s="2060"/>
      <c r="DU239" s="2060"/>
      <c r="DV239" s="2060"/>
      <c r="DW239" s="2060"/>
      <c r="DX239" s="2060"/>
      <c r="DY239" s="2060"/>
      <c r="DZ239" s="2060"/>
      <c r="EA239" s="2060"/>
      <c r="EB239" s="2060"/>
      <c r="EC239" s="2060"/>
      <c r="ED239" s="2060"/>
      <c r="EE239" s="2060"/>
      <c r="EF239" s="2060"/>
      <c r="EG239" s="2060"/>
      <c r="EH239" s="2060"/>
      <c r="EI239" s="2060"/>
      <c r="EJ239" s="2060"/>
      <c r="EK239" s="2060"/>
      <c r="EL239" s="2060"/>
      <c r="EM239" s="2060"/>
      <c r="EN239" s="2060"/>
      <c r="EO239" s="2060"/>
      <c r="EP239" s="2060"/>
      <c r="EQ239" s="2060"/>
      <c r="ER239" s="2060"/>
      <c r="ES239" s="2060"/>
      <c r="ET239" s="2060"/>
      <c r="EU239" s="2060"/>
      <c r="EV239" s="2060"/>
      <c r="EW239" s="2060"/>
      <c r="EX239" s="2060"/>
      <c r="EY239" s="2060"/>
      <c r="EZ239" s="2060"/>
      <c r="FA239" s="2060"/>
      <c r="FB239" s="2060"/>
      <c r="FC239" s="2060"/>
      <c r="FD239" s="2060"/>
      <c r="FE239" s="2060"/>
      <c r="FF239" s="2060"/>
      <c r="FG239" s="2060"/>
      <c r="FH239" s="2060"/>
      <c r="FI239" s="2060"/>
      <c r="FJ239" s="2060"/>
      <c r="FK239" s="2060"/>
      <c r="FL239" s="2060"/>
      <c r="FM239" s="2060"/>
      <c r="FN239" s="2060"/>
      <c r="FO239" s="2060"/>
      <c r="FP239" s="2060"/>
      <c r="FQ239" s="2060"/>
      <c r="FR239" s="2060"/>
      <c r="FS239" s="2060"/>
      <c r="FT239" s="2060"/>
      <c r="FU239" s="2060"/>
      <c r="FV239" s="2060"/>
      <c r="FW239" s="2060"/>
      <c r="FX239" s="2060"/>
      <c r="FY239" s="2060"/>
      <c r="FZ239" s="2060"/>
      <c r="GA239" s="2060"/>
      <c r="GB239" s="2060"/>
      <c r="GC239" s="2060"/>
    </row>
    <row r="240" spans="1:185" s="1499" customFormat="1">
      <c r="A240" s="1632" t="str">
        <f t="shared" si="37"/>
        <v>n</v>
      </c>
      <c r="B240" s="1004"/>
      <c r="C240" s="1502"/>
      <c r="D240" s="2060"/>
      <c r="E240" s="173" t="str">
        <f>'DATA GPC'!E$39</f>
        <v>--</v>
      </c>
      <c r="F240" s="2060"/>
      <c r="G240" s="390" t="str">
        <f>'DATA GPC'!J39</f>
        <v>--</v>
      </c>
      <c r="H240" s="390" t="str">
        <f>IF($E240="--","--",_xll.ciqfunctions.udf.CIQ('DATA GPC'!G39,"IQ_LASTSALEPRICE",Valuation_date,$G240,FXMode))</f>
        <v>--</v>
      </c>
      <c r="I240" s="391" t="str">
        <f>IF($E240="--","--",_xll.ciqfunctions.udf.CIQ(G148,"IQ_SHARESOUTSTANDING",Valuation_date)*Scale)</f>
        <v>--</v>
      </c>
      <c r="J240" s="391" t="str">
        <f>IF($E240="--","--",_xll.ciqfunctions.udf.CIQ(G148,"IQ_MARKETCAP",Valuation_date,$G240,FXMode)*Scale)</f>
        <v>--</v>
      </c>
      <c r="K240" s="1512" t="str">
        <f t="shared" si="42"/>
        <v>--</v>
      </c>
      <c r="L240" s="391" t="str">
        <f>IF($E240="--","--",_xll.ciqfunctions.udf.CIQ(G148,"IQ_MARKETCAP",Valuation_date,$G240,FXMode)*Scale)</f>
        <v>--</v>
      </c>
      <c r="M240" s="473" t="str">
        <f>IF($E240="--","--",IF(START!$G$59=START!$E$60,START!$G$60,"n/a"))</f>
        <v>--</v>
      </c>
      <c r="N240" s="338" t="str">
        <f t="shared" si="39"/>
        <v>--</v>
      </c>
      <c r="O240" s="1506"/>
      <c r="P240" s="391" t="str">
        <f>IF($E240="--","--",_xll.ciqfunctions.udf.CIQ(G148,"IQ_TOTAL_DEBT",2000,Valuation_date,ReportType,DataMode,$G240,FXMode)*Scale+IF(PensionSetting="Included in debt",_xll.ciqfunctions.udf.CIQ(G148,"IQ_PENSION",2000,Valuation_date,ReportType,DataMode,$G240,FXMode)*Scale,0))</f>
        <v>--</v>
      </c>
      <c r="Q240" s="391" t="str">
        <f>IF($E240="--","--",-_xll.ciqfunctions.udf.CIQ(G148,"IQ_CASH_ST_INVEST",2000,Valuation_date,ReportType,DataMode, $G240,FXMode)*Scale)</f>
        <v>--</v>
      </c>
      <c r="R240" s="391" t="str">
        <f>IF($E240="--","--",_xll.ciqfunctions.udf.CIQ(G148,"IQ_MINORITY_INTEREST_TOTAL",2000,Valuation_date,ReportType,DataMode,$G240,FXMode)*Scale)</f>
        <v>--</v>
      </c>
      <c r="S240" s="391" t="str">
        <f>IF($E240="--","--",_xll.ciqfunctions.udf.CIQ(G148,"IQ_PREF_EQUITY",2000,Valuation_date,ReportType,DataMode,$G240,FXMode)*Scale)</f>
        <v>--</v>
      </c>
      <c r="T240" s="391" t="str">
        <f t="shared" si="43"/>
        <v>--</v>
      </c>
      <c r="U240" s="473" t="str">
        <f>IF($E240="--","--",IF(START!$G$59&lt;&gt;START!$E$60,START!$G$61,"n/a"))</f>
        <v>--</v>
      </c>
      <c r="V240" s="391" t="str">
        <f t="shared" si="41"/>
        <v>--</v>
      </c>
      <c r="W240" s="2060"/>
      <c r="X240" s="2060"/>
      <c r="Y240" s="391" t="str">
        <f>IF(E240="--","--",_xll.ciqfunctions.udf.CIQ(G148,"IQ_TEV",Valuation_date,G240,FXMode)*Scale+(N(M240)*L240))</f>
        <v>--</v>
      </c>
      <c r="Z240" s="2060"/>
      <c r="AA240" s="2060"/>
      <c r="AB240" s="2060"/>
      <c r="AC240" s="2060"/>
      <c r="AD240" s="1004"/>
      <c r="AE240" s="2060"/>
      <c r="AF240" s="2060"/>
      <c r="AG240" s="2060"/>
      <c r="AH240" s="2060"/>
      <c r="AI240" s="2060"/>
      <c r="AJ240" s="2060"/>
      <c r="AK240" s="2060"/>
      <c r="AL240" s="2060"/>
      <c r="AM240" s="2060"/>
      <c r="AN240" s="2060"/>
      <c r="AO240" s="2060"/>
      <c r="AP240" s="2060"/>
      <c r="AQ240" s="2060"/>
      <c r="AR240" s="2060"/>
      <c r="AS240" s="2060"/>
      <c r="AT240" s="2060"/>
      <c r="AU240" s="2060"/>
      <c r="AV240" s="2060"/>
      <c r="AW240" s="2060"/>
      <c r="AX240" s="2060"/>
      <c r="AY240" s="2060"/>
      <c r="AZ240" s="2060"/>
      <c r="BA240" s="2060"/>
      <c r="BB240" s="2060"/>
      <c r="BC240" s="2060"/>
      <c r="BD240" s="2060"/>
      <c r="BE240" s="2060"/>
      <c r="BF240" s="2060"/>
      <c r="BG240" s="2060"/>
      <c r="BH240" s="2060"/>
      <c r="BI240" s="2060"/>
      <c r="BJ240" s="2060"/>
      <c r="BK240" s="2060"/>
      <c r="BL240" s="2060"/>
      <c r="BM240" s="2060"/>
      <c r="BN240" s="2060"/>
      <c r="BO240" s="2060"/>
      <c r="BP240" s="2060"/>
      <c r="BQ240" s="2060"/>
      <c r="BR240" s="2060"/>
      <c r="BS240" s="2060"/>
      <c r="BT240" s="2060"/>
      <c r="BU240" s="2060"/>
      <c r="BV240" s="2060"/>
      <c r="BW240" s="2060"/>
      <c r="BX240" s="2060"/>
      <c r="BY240" s="2060"/>
      <c r="BZ240" s="2060"/>
      <c r="CA240" s="2060"/>
      <c r="CB240" s="2060"/>
      <c r="CC240" s="2060"/>
      <c r="CD240" s="2060"/>
      <c r="CE240" s="2060"/>
      <c r="CF240" s="2060"/>
      <c r="CG240" s="2060"/>
      <c r="CH240" s="2060"/>
      <c r="CI240" s="2060"/>
      <c r="CJ240" s="2060"/>
      <c r="CK240" s="2060"/>
      <c r="CL240" s="2060"/>
      <c r="CM240" s="2060"/>
      <c r="CN240" s="2060"/>
      <c r="CO240" s="2060"/>
      <c r="CP240" s="2060"/>
      <c r="CQ240" s="2060"/>
      <c r="CR240" s="2060"/>
      <c r="CS240" s="2060"/>
      <c r="CT240" s="2060"/>
      <c r="CU240" s="2060"/>
      <c r="CV240" s="2060"/>
      <c r="CW240" s="2060"/>
      <c r="CX240" s="2060"/>
      <c r="CY240" s="2060"/>
      <c r="CZ240" s="2060"/>
      <c r="DA240" s="2060"/>
      <c r="DB240" s="2060"/>
      <c r="DC240" s="2060"/>
      <c r="DD240" s="2060"/>
      <c r="DE240" s="2060"/>
      <c r="DF240" s="2060"/>
      <c r="DG240" s="2060"/>
      <c r="DH240" s="2060"/>
      <c r="DI240" s="2060"/>
      <c r="DJ240" s="2060"/>
      <c r="DK240" s="2060"/>
      <c r="DL240" s="2060"/>
      <c r="DM240" s="2060"/>
      <c r="DN240" s="2060"/>
      <c r="DO240" s="2060"/>
      <c r="DP240" s="2060"/>
      <c r="DQ240" s="2060"/>
      <c r="DR240" s="2060"/>
      <c r="DS240" s="2060"/>
      <c r="DT240" s="2060"/>
      <c r="DU240" s="2060"/>
      <c r="DV240" s="2060"/>
      <c r="DW240" s="2060"/>
      <c r="DX240" s="2060"/>
      <c r="DY240" s="2060"/>
      <c r="DZ240" s="2060"/>
      <c r="EA240" s="2060"/>
      <c r="EB240" s="2060"/>
      <c r="EC240" s="2060"/>
      <c r="ED240" s="2060"/>
      <c r="EE240" s="2060"/>
      <c r="EF240" s="2060"/>
      <c r="EG240" s="2060"/>
      <c r="EH240" s="2060"/>
      <c r="EI240" s="2060"/>
      <c r="EJ240" s="2060"/>
      <c r="EK240" s="2060"/>
      <c r="EL240" s="2060"/>
      <c r="EM240" s="2060"/>
      <c r="EN240" s="2060"/>
      <c r="EO240" s="2060"/>
      <c r="EP240" s="2060"/>
      <c r="EQ240" s="2060"/>
      <c r="ER240" s="2060"/>
      <c r="ES240" s="2060"/>
      <c r="ET240" s="2060"/>
      <c r="EU240" s="2060"/>
      <c r="EV240" s="2060"/>
      <c r="EW240" s="2060"/>
      <c r="EX240" s="2060"/>
      <c r="EY240" s="2060"/>
      <c r="EZ240" s="2060"/>
      <c r="FA240" s="2060"/>
      <c r="FB240" s="2060"/>
      <c r="FC240" s="2060"/>
      <c r="FD240" s="2060"/>
      <c r="FE240" s="2060"/>
      <c r="FF240" s="2060"/>
      <c r="FG240" s="2060"/>
      <c r="FH240" s="2060"/>
      <c r="FI240" s="2060"/>
      <c r="FJ240" s="2060"/>
      <c r="FK240" s="2060"/>
      <c r="FL240" s="2060"/>
      <c r="FM240" s="2060"/>
      <c r="FN240" s="2060"/>
      <c r="FO240" s="2060"/>
      <c r="FP240" s="2060"/>
      <c r="FQ240" s="2060"/>
      <c r="FR240" s="2060"/>
      <c r="FS240" s="2060"/>
      <c r="FT240" s="2060"/>
      <c r="FU240" s="2060"/>
      <c r="FV240" s="2060"/>
      <c r="FW240" s="2060"/>
      <c r="FX240" s="2060"/>
      <c r="FY240" s="2060"/>
      <c r="FZ240" s="2060"/>
      <c r="GA240" s="2060"/>
      <c r="GB240" s="2060"/>
      <c r="GC240" s="2060"/>
    </row>
    <row r="241" spans="1:185" s="1499" customFormat="1">
      <c r="A241" s="1632" t="str">
        <f t="shared" si="37"/>
        <v>n</v>
      </c>
      <c r="B241" s="1004"/>
      <c r="C241" s="1502"/>
      <c r="D241" s="2060"/>
      <c r="E241" s="173" t="str">
        <f>'DATA GPC'!E$40</f>
        <v>--</v>
      </c>
      <c r="F241" s="2060"/>
      <c r="G241" s="390" t="str">
        <f>'DATA GPC'!J40</f>
        <v>--</v>
      </c>
      <c r="H241" s="390" t="str">
        <f>IF($E241="--","--",_xll.ciqfunctions.udf.CIQ('DATA GPC'!G40,"IQ_LASTSALEPRICE",Valuation_date,$G241,FXMode))</f>
        <v>--</v>
      </c>
      <c r="I241" s="391" t="str">
        <f>IF($E241="--","--",_xll.ciqfunctions.udf.CIQ(G149,"IQ_SHARESOUTSTANDING",Valuation_date)*Scale)</f>
        <v>--</v>
      </c>
      <c r="J241" s="391" t="str">
        <f>IF($E241="--","--",_xll.ciqfunctions.udf.CIQ(G149,"IQ_MARKETCAP",Valuation_date,$G241,FXMode)*Scale)</f>
        <v>--</v>
      </c>
      <c r="K241" s="1512" t="str">
        <f t="shared" si="42"/>
        <v>--</v>
      </c>
      <c r="L241" s="391" t="str">
        <f>IF($E241="--","--",_xll.ciqfunctions.udf.CIQ(G149,"IQ_MARKETCAP",Valuation_date,$G241,FXMode)*Scale)</f>
        <v>--</v>
      </c>
      <c r="M241" s="473" t="str">
        <f>IF($E241="--","--",IF(START!$G$59=START!$E$60,START!$G$60,"n/a"))</f>
        <v>--</v>
      </c>
      <c r="N241" s="338" t="str">
        <f t="shared" si="39"/>
        <v>--</v>
      </c>
      <c r="O241" s="1506"/>
      <c r="P241" s="391" t="str">
        <f>IF($E241="--","--",_xll.ciqfunctions.udf.CIQ(G149,"IQ_TOTAL_DEBT",2000,Valuation_date,ReportType,DataMode,$G241,FXMode)*Scale+IF(PensionSetting="Included in debt",_xll.ciqfunctions.udf.CIQ(G149,"IQ_PENSION",2000,Valuation_date,ReportType,DataMode,$G241,FXMode)*Scale,0))</f>
        <v>--</v>
      </c>
      <c r="Q241" s="391" t="str">
        <f>IF($E241="--","--",-_xll.ciqfunctions.udf.CIQ(G149,"IQ_CASH_ST_INVEST",2000,Valuation_date,ReportType,DataMode, $G241,FXMode)*Scale)</f>
        <v>--</v>
      </c>
      <c r="R241" s="391" t="str">
        <f>IF($E241="--","--",_xll.ciqfunctions.udf.CIQ(G149,"IQ_MINORITY_INTEREST_TOTAL",2000,Valuation_date,ReportType,DataMode,$G241,FXMode)*Scale)</f>
        <v>--</v>
      </c>
      <c r="S241" s="391" t="str">
        <f>IF($E241="--","--",_xll.ciqfunctions.udf.CIQ(G149,"IQ_PREF_EQUITY",2000,Valuation_date,ReportType,DataMode,$G241,FXMode)*Scale)</f>
        <v>--</v>
      </c>
      <c r="T241" s="391" t="str">
        <f t="shared" si="43"/>
        <v>--</v>
      </c>
      <c r="U241" s="473" t="str">
        <f>IF($E241="--","--",IF(START!$G$59&lt;&gt;START!$E$60,START!$G$61,"n/a"))</f>
        <v>--</v>
      </c>
      <c r="V241" s="391" t="str">
        <f t="shared" si="41"/>
        <v>--</v>
      </c>
      <c r="W241" s="2060"/>
      <c r="X241" s="2060"/>
      <c r="Y241" s="391" t="str">
        <f>IF(E241="--","--",_xll.ciqfunctions.udf.CIQ(G149,"IQ_TEV",Valuation_date,G241,FXMode)*Scale+(N(M241)*L241))</f>
        <v>--</v>
      </c>
      <c r="Z241" s="2060"/>
      <c r="AA241" s="2060"/>
      <c r="AB241" s="2060"/>
      <c r="AC241" s="2060"/>
      <c r="AD241" s="1004"/>
      <c r="AE241" s="2060"/>
      <c r="AF241" s="2060"/>
      <c r="AG241" s="2060"/>
      <c r="AH241" s="2060"/>
      <c r="AI241" s="2060"/>
      <c r="AJ241" s="2060"/>
      <c r="AK241" s="2060"/>
      <c r="AL241" s="2060"/>
      <c r="AM241" s="2060"/>
      <c r="AN241" s="2060"/>
      <c r="AO241" s="2060"/>
      <c r="AP241" s="2060"/>
      <c r="AQ241" s="2060"/>
      <c r="AR241" s="2060"/>
      <c r="AS241" s="2060"/>
      <c r="AT241" s="2060"/>
      <c r="AU241" s="2060"/>
      <c r="AV241" s="2060"/>
      <c r="AW241" s="2060"/>
      <c r="AX241" s="2060"/>
      <c r="AY241" s="2060"/>
      <c r="AZ241" s="2060"/>
      <c r="BA241" s="2060"/>
      <c r="BB241" s="2060"/>
      <c r="BC241" s="2060"/>
      <c r="BD241" s="2060"/>
      <c r="BE241" s="2060"/>
      <c r="BF241" s="2060"/>
      <c r="BG241" s="2060"/>
      <c r="BH241" s="2060"/>
      <c r="BI241" s="2060"/>
      <c r="BJ241" s="2060"/>
      <c r="BK241" s="2060"/>
      <c r="BL241" s="2060"/>
      <c r="BM241" s="2060"/>
      <c r="BN241" s="2060"/>
      <c r="BO241" s="2060"/>
      <c r="BP241" s="2060"/>
      <c r="BQ241" s="2060"/>
      <c r="BR241" s="2060"/>
      <c r="BS241" s="2060"/>
      <c r="BT241" s="2060"/>
      <c r="BU241" s="2060"/>
      <c r="BV241" s="2060"/>
      <c r="BW241" s="2060"/>
      <c r="BX241" s="2060"/>
      <c r="BY241" s="2060"/>
      <c r="BZ241" s="2060"/>
      <c r="CA241" s="2060"/>
      <c r="CB241" s="2060"/>
      <c r="CC241" s="2060"/>
      <c r="CD241" s="2060"/>
      <c r="CE241" s="2060"/>
      <c r="CF241" s="2060"/>
      <c r="CG241" s="2060"/>
      <c r="CH241" s="2060"/>
      <c r="CI241" s="2060"/>
      <c r="CJ241" s="2060"/>
      <c r="CK241" s="2060"/>
      <c r="CL241" s="2060"/>
      <c r="CM241" s="2060"/>
      <c r="CN241" s="2060"/>
      <c r="CO241" s="2060"/>
      <c r="CP241" s="2060"/>
      <c r="CQ241" s="2060"/>
      <c r="CR241" s="2060"/>
      <c r="CS241" s="2060"/>
      <c r="CT241" s="2060"/>
      <c r="CU241" s="2060"/>
      <c r="CV241" s="2060"/>
      <c r="CW241" s="2060"/>
      <c r="CX241" s="2060"/>
      <c r="CY241" s="2060"/>
      <c r="CZ241" s="2060"/>
      <c r="DA241" s="2060"/>
      <c r="DB241" s="2060"/>
      <c r="DC241" s="2060"/>
      <c r="DD241" s="2060"/>
      <c r="DE241" s="2060"/>
      <c r="DF241" s="2060"/>
      <c r="DG241" s="2060"/>
      <c r="DH241" s="2060"/>
      <c r="DI241" s="2060"/>
      <c r="DJ241" s="2060"/>
      <c r="DK241" s="2060"/>
      <c r="DL241" s="2060"/>
      <c r="DM241" s="2060"/>
      <c r="DN241" s="2060"/>
      <c r="DO241" s="2060"/>
      <c r="DP241" s="2060"/>
      <c r="DQ241" s="2060"/>
      <c r="DR241" s="2060"/>
      <c r="DS241" s="2060"/>
      <c r="DT241" s="2060"/>
      <c r="DU241" s="2060"/>
      <c r="DV241" s="2060"/>
      <c r="DW241" s="2060"/>
      <c r="DX241" s="2060"/>
      <c r="DY241" s="2060"/>
      <c r="DZ241" s="2060"/>
      <c r="EA241" s="2060"/>
      <c r="EB241" s="2060"/>
      <c r="EC241" s="2060"/>
      <c r="ED241" s="2060"/>
      <c r="EE241" s="2060"/>
      <c r="EF241" s="2060"/>
      <c r="EG241" s="2060"/>
      <c r="EH241" s="2060"/>
      <c r="EI241" s="2060"/>
      <c r="EJ241" s="2060"/>
      <c r="EK241" s="2060"/>
      <c r="EL241" s="2060"/>
      <c r="EM241" s="2060"/>
      <c r="EN241" s="2060"/>
      <c r="EO241" s="2060"/>
      <c r="EP241" s="2060"/>
      <c r="EQ241" s="2060"/>
      <c r="ER241" s="2060"/>
      <c r="ES241" s="2060"/>
      <c r="ET241" s="2060"/>
      <c r="EU241" s="2060"/>
      <c r="EV241" s="2060"/>
      <c r="EW241" s="2060"/>
      <c r="EX241" s="2060"/>
      <c r="EY241" s="2060"/>
      <c r="EZ241" s="2060"/>
      <c r="FA241" s="2060"/>
      <c r="FB241" s="2060"/>
      <c r="FC241" s="2060"/>
      <c r="FD241" s="2060"/>
      <c r="FE241" s="2060"/>
      <c r="FF241" s="2060"/>
      <c r="FG241" s="2060"/>
      <c r="FH241" s="2060"/>
      <c r="FI241" s="2060"/>
      <c r="FJ241" s="2060"/>
      <c r="FK241" s="2060"/>
      <c r="FL241" s="2060"/>
      <c r="FM241" s="2060"/>
      <c r="FN241" s="2060"/>
      <c r="FO241" s="2060"/>
      <c r="FP241" s="2060"/>
      <c r="FQ241" s="2060"/>
      <c r="FR241" s="2060"/>
      <c r="FS241" s="2060"/>
      <c r="FT241" s="2060"/>
      <c r="FU241" s="2060"/>
      <c r="FV241" s="2060"/>
      <c r="FW241" s="2060"/>
      <c r="FX241" s="2060"/>
      <c r="FY241" s="2060"/>
      <c r="FZ241" s="2060"/>
      <c r="GA241" s="2060"/>
      <c r="GB241" s="2060"/>
      <c r="GC241" s="2060"/>
    </row>
    <row r="242" spans="1:185" s="1499" customFormat="1">
      <c r="A242" s="1632" t="str">
        <f t="shared" si="37"/>
        <v>n</v>
      </c>
      <c r="B242" s="1004"/>
      <c r="C242" s="1502"/>
      <c r="D242" s="2060"/>
      <c r="E242" s="173" t="str">
        <f>'DATA GPC'!E$41</f>
        <v>--</v>
      </c>
      <c r="F242" s="2060"/>
      <c r="G242" s="390" t="str">
        <f>'DATA GPC'!J41</f>
        <v>--</v>
      </c>
      <c r="H242" s="390" t="str">
        <f>IF($E242="--","--",_xll.ciqfunctions.udf.CIQ('DATA GPC'!G41,"IQ_LASTSALEPRICE",Valuation_date,$G242,FXMode))</f>
        <v>--</v>
      </c>
      <c r="I242" s="391" t="str">
        <f>IF($E242="--","--",_xll.ciqfunctions.udf.CIQ(G150,"IQ_SHARESOUTSTANDING",Valuation_date)*Scale)</f>
        <v>--</v>
      </c>
      <c r="J242" s="391" t="str">
        <f>IF($E242="--","--",_xll.ciqfunctions.udf.CIQ(G150,"IQ_MARKETCAP",Valuation_date,$G242,FXMode)*Scale)</f>
        <v>--</v>
      </c>
      <c r="K242" s="1512" t="str">
        <f t="shared" si="42"/>
        <v>--</v>
      </c>
      <c r="L242" s="391" t="str">
        <f>IF($E242="--","--",_xll.ciqfunctions.udf.CIQ(G150,"IQ_MARKETCAP",Valuation_date,$G242,FXMode)*Scale)</f>
        <v>--</v>
      </c>
      <c r="M242" s="473" t="str">
        <f>IF($E242="--","--",IF(START!$G$59=START!$E$60,START!$G$60,"n/a"))</f>
        <v>--</v>
      </c>
      <c r="N242" s="338" t="str">
        <f t="shared" si="39"/>
        <v>--</v>
      </c>
      <c r="O242" s="1506"/>
      <c r="P242" s="391" t="str">
        <f>IF($E242="--","--",_xll.ciqfunctions.udf.CIQ(G150,"IQ_TOTAL_DEBT",2000,Valuation_date,ReportType,DataMode,$G242,FXMode)*Scale+IF(PensionSetting="Included in debt",_xll.ciqfunctions.udf.CIQ(G150,"IQ_PENSION",2000,Valuation_date,ReportType,DataMode,$G242,FXMode)*Scale,0))</f>
        <v>--</v>
      </c>
      <c r="Q242" s="391" t="str">
        <f>IF($E242="--","--",-_xll.ciqfunctions.udf.CIQ(G150,"IQ_CASH_ST_INVEST",2000,Valuation_date,ReportType,DataMode, $G242,FXMode)*Scale)</f>
        <v>--</v>
      </c>
      <c r="R242" s="391" t="str">
        <f>IF($E242="--","--",_xll.ciqfunctions.udf.CIQ(G150,"IQ_MINORITY_INTEREST_TOTAL",2000,Valuation_date,ReportType,DataMode,$G242,FXMode)*Scale)</f>
        <v>--</v>
      </c>
      <c r="S242" s="391" t="str">
        <f>IF($E242="--","--",_xll.ciqfunctions.udf.CIQ(G150,"IQ_PREF_EQUITY",2000,Valuation_date,ReportType,DataMode,$G242,FXMode)*Scale)</f>
        <v>--</v>
      </c>
      <c r="T242" s="391" t="str">
        <f t="shared" si="43"/>
        <v>--</v>
      </c>
      <c r="U242" s="473" t="str">
        <f>IF($E242="--","--",IF(START!$G$59&lt;&gt;START!$E$60,START!$G$61,"n/a"))</f>
        <v>--</v>
      </c>
      <c r="V242" s="391" t="str">
        <f t="shared" si="41"/>
        <v>--</v>
      </c>
      <c r="W242" s="2060"/>
      <c r="X242" s="2060"/>
      <c r="Y242" s="391" t="str">
        <f>IF(E242="--","--",_xll.ciqfunctions.udf.CIQ(G150,"IQ_TEV",Valuation_date,G242,FXMode)*Scale+(N(M242)*L242))</f>
        <v>--</v>
      </c>
      <c r="Z242" s="2060"/>
      <c r="AA242" s="2060"/>
      <c r="AB242" s="2060"/>
      <c r="AC242" s="2060"/>
      <c r="AD242" s="1004"/>
      <c r="AE242" s="2060"/>
      <c r="AF242" s="2060"/>
      <c r="AG242" s="2060"/>
      <c r="AH242" s="2060"/>
      <c r="AI242" s="2060"/>
      <c r="AJ242" s="2060"/>
      <c r="AK242" s="2060"/>
      <c r="AL242" s="2060"/>
      <c r="AM242" s="2060"/>
      <c r="AN242" s="2060"/>
      <c r="AO242" s="2060"/>
      <c r="AP242" s="2060"/>
      <c r="AQ242" s="2060"/>
      <c r="AR242" s="2060"/>
      <c r="AS242" s="2060"/>
      <c r="AT242" s="2060"/>
      <c r="AU242" s="2060"/>
      <c r="AV242" s="2060"/>
      <c r="AW242" s="2060"/>
      <c r="AX242" s="2060"/>
      <c r="AY242" s="2060"/>
      <c r="AZ242" s="2060"/>
      <c r="BA242" s="2060"/>
      <c r="BB242" s="2060"/>
      <c r="BC242" s="2060"/>
      <c r="BD242" s="2060"/>
      <c r="BE242" s="2060"/>
      <c r="BF242" s="2060"/>
      <c r="BG242" s="2060"/>
      <c r="BH242" s="2060"/>
      <c r="BI242" s="2060"/>
      <c r="BJ242" s="2060"/>
      <c r="BK242" s="2060"/>
      <c r="BL242" s="2060"/>
      <c r="BM242" s="2060"/>
      <c r="BN242" s="2060"/>
      <c r="BO242" s="2060"/>
      <c r="BP242" s="2060"/>
      <c r="BQ242" s="2060"/>
      <c r="BR242" s="2060"/>
      <c r="BS242" s="2060"/>
      <c r="BT242" s="2060"/>
      <c r="BU242" s="2060"/>
      <c r="BV242" s="2060"/>
      <c r="BW242" s="2060"/>
      <c r="BX242" s="2060"/>
      <c r="BY242" s="2060"/>
      <c r="BZ242" s="2060"/>
      <c r="CA242" s="2060"/>
      <c r="CB242" s="2060"/>
      <c r="CC242" s="2060"/>
      <c r="CD242" s="2060"/>
      <c r="CE242" s="2060"/>
      <c r="CF242" s="2060"/>
      <c r="CG242" s="2060"/>
      <c r="CH242" s="2060"/>
      <c r="CI242" s="2060"/>
      <c r="CJ242" s="2060"/>
      <c r="CK242" s="2060"/>
      <c r="CL242" s="2060"/>
      <c r="CM242" s="2060"/>
      <c r="CN242" s="2060"/>
      <c r="CO242" s="2060"/>
      <c r="CP242" s="2060"/>
      <c r="CQ242" s="2060"/>
      <c r="CR242" s="2060"/>
      <c r="CS242" s="2060"/>
      <c r="CT242" s="2060"/>
      <c r="CU242" s="2060"/>
      <c r="CV242" s="2060"/>
      <c r="CW242" s="2060"/>
      <c r="CX242" s="2060"/>
      <c r="CY242" s="2060"/>
      <c r="CZ242" s="2060"/>
      <c r="DA242" s="2060"/>
      <c r="DB242" s="2060"/>
      <c r="DC242" s="2060"/>
      <c r="DD242" s="2060"/>
      <c r="DE242" s="2060"/>
      <c r="DF242" s="2060"/>
      <c r="DG242" s="2060"/>
      <c r="DH242" s="2060"/>
      <c r="DI242" s="2060"/>
      <c r="DJ242" s="2060"/>
      <c r="DK242" s="2060"/>
      <c r="DL242" s="2060"/>
      <c r="DM242" s="2060"/>
      <c r="DN242" s="2060"/>
      <c r="DO242" s="2060"/>
      <c r="DP242" s="2060"/>
      <c r="DQ242" s="2060"/>
      <c r="DR242" s="2060"/>
      <c r="DS242" s="2060"/>
      <c r="DT242" s="2060"/>
      <c r="DU242" s="2060"/>
      <c r="DV242" s="2060"/>
      <c r="DW242" s="2060"/>
      <c r="DX242" s="2060"/>
      <c r="DY242" s="2060"/>
      <c r="DZ242" s="2060"/>
      <c r="EA242" s="2060"/>
      <c r="EB242" s="2060"/>
      <c r="EC242" s="2060"/>
      <c r="ED242" s="2060"/>
      <c r="EE242" s="2060"/>
      <c r="EF242" s="2060"/>
      <c r="EG242" s="2060"/>
      <c r="EH242" s="2060"/>
      <c r="EI242" s="2060"/>
      <c r="EJ242" s="2060"/>
      <c r="EK242" s="2060"/>
      <c r="EL242" s="2060"/>
      <c r="EM242" s="2060"/>
      <c r="EN242" s="2060"/>
      <c r="EO242" s="2060"/>
      <c r="EP242" s="2060"/>
      <c r="EQ242" s="2060"/>
      <c r="ER242" s="2060"/>
      <c r="ES242" s="2060"/>
      <c r="ET242" s="2060"/>
      <c r="EU242" s="2060"/>
      <c r="EV242" s="2060"/>
      <c r="EW242" s="2060"/>
      <c r="EX242" s="2060"/>
      <c r="EY242" s="2060"/>
      <c r="EZ242" s="2060"/>
      <c r="FA242" s="2060"/>
      <c r="FB242" s="2060"/>
      <c r="FC242" s="2060"/>
      <c r="FD242" s="2060"/>
      <c r="FE242" s="2060"/>
      <c r="FF242" s="2060"/>
      <c r="FG242" s="2060"/>
      <c r="FH242" s="2060"/>
      <c r="FI242" s="2060"/>
      <c r="FJ242" s="2060"/>
      <c r="FK242" s="2060"/>
      <c r="FL242" s="2060"/>
      <c r="FM242" s="2060"/>
      <c r="FN242" s="2060"/>
      <c r="FO242" s="2060"/>
      <c r="FP242" s="2060"/>
      <c r="FQ242" s="2060"/>
      <c r="FR242" s="2060"/>
      <c r="FS242" s="2060"/>
      <c r="FT242" s="2060"/>
      <c r="FU242" s="2060"/>
      <c r="FV242" s="2060"/>
      <c r="FW242" s="2060"/>
      <c r="FX242" s="2060"/>
      <c r="FY242" s="2060"/>
      <c r="FZ242" s="2060"/>
      <c r="GA242" s="2060"/>
      <c r="GB242" s="2060"/>
      <c r="GC242" s="2060"/>
    </row>
    <row r="243" spans="1:185" s="1499" customFormat="1">
      <c r="A243" s="1632" t="str">
        <f t="shared" si="37"/>
        <v>n</v>
      </c>
      <c r="B243" s="1004"/>
      <c r="C243" s="1502"/>
      <c r="D243" s="2060"/>
      <c r="E243" s="173" t="str">
        <f>'DATA GPC'!E$42</f>
        <v>--</v>
      </c>
      <c r="F243" s="2060"/>
      <c r="G243" s="390" t="str">
        <f>'DATA GPC'!J42</f>
        <v>--</v>
      </c>
      <c r="H243" s="390" t="str">
        <f>IF($E243="--","--",_xll.ciqfunctions.udf.CIQ('DATA GPC'!G42,"IQ_LASTSALEPRICE",Valuation_date,$G243,FXMode))</f>
        <v>--</v>
      </c>
      <c r="I243" s="391" t="str">
        <f>IF($E243="--","--",_xll.ciqfunctions.udf.CIQ(G151,"IQ_SHARESOUTSTANDING",Valuation_date)*Scale)</f>
        <v>--</v>
      </c>
      <c r="J243" s="391" t="str">
        <f>IF($E243="--","--",_xll.ciqfunctions.udf.CIQ(G151,"IQ_MARKETCAP",Valuation_date,$G243,FXMode)*Scale)</f>
        <v>--</v>
      </c>
      <c r="K243" s="1512" t="str">
        <f t="shared" si="42"/>
        <v>--</v>
      </c>
      <c r="L243" s="391" t="str">
        <f>IF($E243="--","--",_xll.ciqfunctions.udf.CIQ(G151,"IQ_MARKETCAP",Valuation_date,$G243,FXMode)*Scale)</f>
        <v>--</v>
      </c>
      <c r="M243" s="473" t="str">
        <f>IF($E243="--","--",IF(START!$G$59=START!$E$60,START!$G$60,"n/a"))</f>
        <v>--</v>
      </c>
      <c r="N243" s="338" t="str">
        <f t="shared" si="39"/>
        <v>--</v>
      </c>
      <c r="O243" s="1506"/>
      <c r="P243" s="391" t="str">
        <f>IF($E243="--","--",_xll.ciqfunctions.udf.CIQ(G151,"IQ_TOTAL_DEBT",2000,Valuation_date,ReportType,DataMode,$G243,FXMode)*Scale+IF(PensionSetting="Included in debt",_xll.ciqfunctions.udf.CIQ(G151,"IQ_PENSION",2000,Valuation_date,ReportType,DataMode,$G243,FXMode)*Scale,0))</f>
        <v>--</v>
      </c>
      <c r="Q243" s="391" t="str">
        <f>IF($E243="--","--",-_xll.ciqfunctions.udf.CIQ(G151,"IQ_CASH_ST_INVEST",2000,Valuation_date,ReportType,DataMode, $G243,FXMode)*Scale)</f>
        <v>--</v>
      </c>
      <c r="R243" s="391" t="str">
        <f>IF($E243="--","--",_xll.ciqfunctions.udf.CIQ(G151,"IQ_MINORITY_INTEREST_TOTAL",2000,Valuation_date,ReportType,DataMode,$G243,FXMode)*Scale)</f>
        <v>--</v>
      </c>
      <c r="S243" s="391" t="str">
        <f>IF($E243="--","--",_xll.ciqfunctions.udf.CIQ(G151,"IQ_PREF_EQUITY",2000,Valuation_date,ReportType,DataMode,$G243,FXMode)*Scale)</f>
        <v>--</v>
      </c>
      <c r="T243" s="391" t="str">
        <f t="shared" si="43"/>
        <v>--</v>
      </c>
      <c r="U243" s="473" t="str">
        <f>IF($E243="--","--",IF(START!$G$59&lt;&gt;START!$E$60,START!$G$61,"n/a"))</f>
        <v>--</v>
      </c>
      <c r="V243" s="391" t="str">
        <f t="shared" si="41"/>
        <v>--</v>
      </c>
      <c r="W243" s="2060"/>
      <c r="X243" s="2060"/>
      <c r="Y243" s="391" t="str">
        <f>IF(E243="--","--",_xll.ciqfunctions.udf.CIQ(G151,"IQ_TEV",Valuation_date,G243,FXMode)*Scale+(N(M243)*L243))</f>
        <v>--</v>
      </c>
      <c r="Z243" s="2060"/>
      <c r="AA243" s="2060"/>
      <c r="AB243" s="2060"/>
      <c r="AC243" s="2060"/>
      <c r="AD243" s="1004"/>
      <c r="AE243" s="2060"/>
      <c r="AF243" s="2060"/>
      <c r="AG243" s="2060"/>
      <c r="AH243" s="2060"/>
      <c r="AI243" s="2060"/>
      <c r="AJ243" s="2060"/>
      <c r="AK243" s="2060"/>
      <c r="AL243" s="2060"/>
      <c r="AM243" s="2060"/>
      <c r="AN243" s="2060"/>
      <c r="AO243" s="2060"/>
      <c r="AP243" s="2060"/>
      <c r="AQ243" s="2060"/>
      <c r="AR243" s="2060"/>
      <c r="AS243" s="2060"/>
      <c r="AT243" s="2060"/>
      <c r="AU243" s="2060"/>
      <c r="AV243" s="2060"/>
      <c r="AW243" s="2060"/>
      <c r="AX243" s="2060"/>
      <c r="AY243" s="2060"/>
      <c r="AZ243" s="2060"/>
      <c r="BA243" s="2060"/>
      <c r="BB243" s="2060"/>
      <c r="BC243" s="2060"/>
      <c r="BD243" s="2060"/>
      <c r="BE243" s="2060"/>
      <c r="BF243" s="2060"/>
      <c r="BG243" s="2060"/>
      <c r="BH243" s="2060"/>
      <c r="BI243" s="2060"/>
      <c r="BJ243" s="2060"/>
      <c r="BK243" s="2060"/>
      <c r="BL243" s="2060"/>
      <c r="BM243" s="2060"/>
      <c r="BN243" s="2060"/>
      <c r="BO243" s="2060"/>
      <c r="BP243" s="2060"/>
      <c r="BQ243" s="2060"/>
      <c r="BR243" s="2060"/>
      <c r="BS243" s="2060"/>
      <c r="BT243" s="2060"/>
      <c r="BU243" s="2060"/>
      <c r="BV243" s="2060"/>
      <c r="BW243" s="2060"/>
      <c r="BX243" s="2060"/>
      <c r="BY243" s="2060"/>
      <c r="BZ243" s="2060"/>
      <c r="CA243" s="2060"/>
      <c r="CB243" s="2060"/>
      <c r="CC243" s="2060"/>
      <c r="CD243" s="2060"/>
      <c r="CE243" s="2060"/>
      <c r="CF243" s="2060"/>
      <c r="CG243" s="2060"/>
      <c r="CH243" s="2060"/>
      <c r="CI243" s="2060"/>
      <c r="CJ243" s="2060"/>
      <c r="CK243" s="2060"/>
      <c r="CL243" s="2060"/>
      <c r="CM243" s="2060"/>
      <c r="CN243" s="2060"/>
      <c r="CO243" s="2060"/>
      <c r="CP243" s="2060"/>
      <c r="CQ243" s="2060"/>
      <c r="CR243" s="2060"/>
      <c r="CS243" s="2060"/>
      <c r="CT243" s="2060"/>
      <c r="CU243" s="2060"/>
      <c r="CV243" s="2060"/>
      <c r="CW243" s="2060"/>
      <c r="CX243" s="2060"/>
      <c r="CY243" s="2060"/>
      <c r="CZ243" s="2060"/>
      <c r="DA243" s="2060"/>
      <c r="DB243" s="2060"/>
      <c r="DC243" s="2060"/>
      <c r="DD243" s="2060"/>
      <c r="DE243" s="2060"/>
      <c r="DF243" s="2060"/>
      <c r="DG243" s="2060"/>
      <c r="DH243" s="2060"/>
      <c r="DI243" s="2060"/>
      <c r="DJ243" s="2060"/>
      <c r="DK243" s="2060"/>
      <c r="DL243" s="2060"/>
      <c r="DM243" s="2060"/>
      <c r="DN243" s="2060"/>
      <c r="DO243" s="2060"/>
      <c r="DP243" s="2060"/>
      <c r="DQ243" s="2060"/>
      <c r="DR243" s="2060"/>
      <c r="DS243" s="2060"/>
      <c r="DT243" s="2060"/>
      <c r="DU243" s="2060"/>
      <c r="DV243" s="2060"/>
      <c r="DW243" s="2060"/>
      <c r="DX243" s="2060"/>
      <c r="DY243" s="2060"/>
      <c r="DZ243" s="2060"/>
      <c r="EA243" s="2060"/>
      <c r="EB243" s="2060"/>
      <c r="EC243" s="2060"/>
      <c r="ED243" s="2060"/>
      <c r="EE243" s="2060"/>
      <c r="EF243" s="2060"/>
      <c r="EG243" s="2060"/>
      <c r="EH243" s="2060"/>
      <c r="EI243" s="2060"/>
      <c r="EJ243" s="2060"/>
      <c r="EK243" s="2060"/>
      <c r="EL243" s="2060"/>
      <c r="EM243" s="2060"/>
      <c r="EN243" s="2060"/>
      <c r="EO243" s="2060"/>
      <c r="EP243" s="2060"/>
      <c r="EQ243" s="2060"/>
      <c r="ER243" s="2060"/>
      <c r="ES243" s="2060"/>
      <c r="ET243" s="2060"/>
      <c r="EU243" s="2060"/>
      <c r="EV243" s="2060"/>
      <c r="EW243" s="2060"/>
      <c r="EX243" s="2060"/>
      <c r="EY243" s="2060"/>
      <c r="EZ243" s="2060"/>
      <c r="FA243" s="2060"/>
      <c r="FB243" s="2060"/>
      <c r="FC243" s="2060"/>
      <c r="FD243" s="2060"/>
      <c r="FE243" s="2060"/>
      <c r="FF243" s="2060"/>
      <c r="FG243" s="2060"/>
      <c r="FH243" s="2060"/>
      <c r="FI243" s="2060"/>
      <c r="FJ243" s="2060"/>
      <c r="FK243" s="2060"/>
      <c r="FL243" s="2060"/>
      <c r="FM243" s="2060"/>
      <c r="FN243" s="2060"/>
      <c r="FO243" s="2060"/>
      <c r="FP243" s="2060"/>
      <c r="FQ243" s="2060"/>
      <c r="FR243" s="2060"/>
      <c r="FS243" s="2060"/>
      <c r="FT243" s="2060"/>
      <c r="FU243" s="2060"/>
      <c r="FV243" s="2060"/>
      <c r="FW243" s="2060"/>
      <c r="FX243" s="2060"/>
      <c r="FY243" s="2060"/>
      <c r="FZ243" s="2060"/>
      <c r="GA243" s="2060"/>
      <c r="GB243" s="2060"/>
      <c r="GC243" s="2060"/>
    </row>
    <row r="244" spans="1:185" s="1499" customFormat="1">
      <c r="A244" s="1632" t="str">
        <f t="shared" si="37"/>
        <v>n</v>
      </c>
      <c r="B244" s="1004"/>
      <c r="C244" s="1502"/>
      <c r="D244" s="2060"/>
      <c r="E244" s="173" t="str">
        <f>'DATA GPC'!E$43</f>
        <v>--</v>
      </c>
      <c r="F244" s="2060"/>
      <c r="G244" s="390" t="str">
        <f>'DATA GPC'!J43</f>
        <v>--</v>
      </c>
      <c r="H244" s="390" t="str">
        <f>IF($E244="--","--",_xll.ciqfunctions.udf.CIQ('DATA GPC'!G43,"IQ_LASTSALEPRICE",Valuation_date,$G244,FXMode))</f>
        <v>--</v>
      </c>
      <c r="I244" s="391" t="str">
        <f>IF($E244="--","--",_xll.ciqfunctions.udf.CIQ(G152,"IQ_SHARESOUTSTANDING",Valuation_date)*Scale)</f>
        <v>--</v>
      </c>
      <c r="J244" s="391" t="str">
        <f>IF($E244="--","--",_xll.ciqfunctions.udf.CIQ(G152,"IQ_MARKETCAP",Valuation_date,$G244,FXMode)*Scale)</f>
        <v>--</v>
      </c>
      <c r="K244" s="1512" t="str">
        <f t="shared" si="42"/>
        <v>--</v>
      </c>
      <c r="L244" s="391" t="str">
        <f>IF($E244="--","--",_xll.ciqfunctions.udf.CIQ(G152,"IQ_MARKETCAP",Valuation_date,$G244,FXMode)*Scale)</f>
        <v>--</v>
      </c>
      <c r="M244" s="473" t="str">
        <f>IF($E244="--","--",IF(START!$G$59=START!$E$60,START!$G$60,"n/a"))</f>
        <v>--</v>
      </c>
      <c r="N244" s="338" t="str">
        <f t="shared" si="39"/>
        <v>--</v>
      </c>
      <c r="O244" s="1506"/>
      <c r="P244" s="391" t="str">
        <f>IF($E244="--","--",_xll.ciqfunctions.udf.CIQ(G152,"IQ_TOTAL_DEBT",2000,Valuation_date,ReportType,DataMode,$G244,FXMode)*Scale+IF(PensionSetting="Included in debt",_xll.ciqfunctions.udf.CIQ(G152,"IQ_PENSION",2000,Valuation_date,ReportType,DataMode,$G244,FXMode)*Scale,0))</f>
        <v>--</v>
      </c>
      <c r="Q244" s="391" t="str">
        <f>IF($E244="--","--",-_xll.ciqfunctions.udf.CIQ(G152,"IQ_CASH_ST_INVEST",2000,Valuation_date,ReportType,DataMode, $G244,FXMode)*Scale)</f>
        <v>--</v>
      </c>
      <c r="R244" s="391" t="str">
        <f>IF($E244="--","--",_xll.ciqfunctions.udf.CIQ(G152,"IQ_MINORITY_INTEREST_TOTAL",2000,Valuation_date,ReportType,DataMode,$G244,FXMode)*Scale)</f>
        <v>--</v>
      </c>
      <c r="S244" s="391" t="str">
        <f>IF($E244="--","--",_xll.ciqfunctions.udf.CIQ(G152,"IQ_PREF_EQUITY",2000,Valuation_date,ReportType,DataMode,$G244,FXMode)*Scale)</f>
        <v>--</v>
      </c>
      <c r="T244" s="391" t="str">
        <f t="shared" si="43"/>
        <v>--</v>
      </c>
      <c r="U244" s="473" t="str">
        <f>IF($E244="--","--",IF(START!$G$59&lt;&gt;START!$E$60,START!$G$61,"n/a"))</f>
        <v>--</v>
      </c>
      <c r="V244" s="391" t="str">
        <f t="shared" si="41"/>
        <v>--</v>
      </c>
      <c r="W244" s="2060"/>
      <c r="X244" s="2060"/>
      <c r="Y244" s="391" t="str">
        <f>IF(E244="--","--",_xll.ciqfunctions.udf.CIQ(G152,"IQ_TEV",Valuation_date,G244,FXMode)*Scale+(N(M244)*L244))</f>
        <v>--</v>
      </c>
      <c r="Z244" s="2060"/>
      <c r="AA244" s="2060"/>
      <c r="AB244" s="2060"/>
      <c r="AC244" s="2060"/>
      <c r="AD244" s="1004"/>
      <c r="AE244" s="2060"/>
      <c r="AF244" s="2060"/>
      <c r="AG244" s="2060"/>
      <c r="AH244" s="2060"/>
      <c r="AI244" s="2060"/>
      <c r="AJ244" s="2060"/>
      <c r="AK244" s="2060"/>
      <c r="AL244" s="2060"/>
      <c r="AM244" s="2060"/>
      <c r="AN244" s="2060"/>
      <c r="AO244" s="2060"/>
      <c r="AP244" s="2060"/>
      <c r="AQ244" s="2060"/>
      <c r="AR244" s="2060"/>
      <c r="AS244" s="2060"/>
      <c r="AT244" s="2060"/>
      <c r="AU244" s="2060"/>
      <c r="AV244" s="2060"/>
      <c r="AW244" s="2060"/>
      <c r="AX244" s="2060"/>
      <c r="AY244" s="2060"/>
      <c r="AZ244" s="2060"/>
      <c r="BA244" s="2060"/>
      <c r="BB244" s="2060"/>
      <c r="BC244" s="2060"/>
      <c r="BD244" s="2060"/>
      <c r="BE244" s="2060"/>
      <c r="BF244" s="2060"/>
      <c r="BG244" s="2060"/>
      <c r="BH244" s="2060"/>
      <c r="BI244" s="2060"/>
      <c r="BJ244" s="2060"/>
      <c r="BK244" s="2060"/>
      <c r="BL244" s="2060"/>
      <c r="BM244" s="2060"/>
      <c r="BN244" s="2060"/>
      <c r="BO244" s="2060"/>
      <c r="BP244" s="2060"/>
      <c r="BQ244" s="2060"/>
      <c r="BR244" s="2060"/>
      <c r="BS244" s="2060"/>
      <c r="BT244" s="2060"/>
      <c r="BU244" s="2060"/>
      <c r="BV244" s="2060"/>
      <c r="BW244" s="2060"/>
      <c r="BX244" s="2060"/>
      <c r="BY244" s="2060"/>
      <c r="BZ244" s="2060"/>
      <c r="CA244" s="2060"/>
      <c r="CB244" s="2060"/>
      <c r="CC244" s="2060"/>
      <c r="CD244" s="2060"/>
      <c r="CE244" s="2060"/>
      <c r="CF244" s="2060"/>
      <c r="CG244" s="2060"/>
      <c r="CH244" s="2060"/>
      <c r="CI244" s="2060"/>
      <c r="CJ244" s="2060"/>
      <c r="CK244" s="2060"/>
      <c r="CL244" s="2060"/>
      <c r="CM244" s="2060"/>
      <c r="CN244" s="2060"/>
      <c r="CO244" s="2060"/>
      <c r="CP244" s="2060"/>
      <c r="CQ244" s="2060"/>
      <c r="CR244" s="2060"/>
      <c r="CS244" s="2060"/>
      <c r="CT244" s="2060"/>
      <c r="CU244" s="2060"/>
      <c r="CV244" s="2060"/>
      <c r="CW244" s="2060"/>
      <c r="CX244" s="2060"/>
      <c r="CY244" s="2060"/>
      <c r="CZ244" s="2060"/>
      <c r="DA244" s="2060"/>
      <c r="DB244" s="2060"/>
      <c r="DC244" s="2060"/>
      <c r="DD244" s="2060"/>
      <c r="DE244" s="2060"/>
      <c r="DF244" s="2060"/>
      <c r="DG244" s="2060"/>
      <c r="DH244" s="2060"/>
      <c r="DI244" s="2060"/>
      <c r="DJ244" s="2060"/>
      <c r="DK244" s="2060"/>
      <c r="DL244" s="2060"/>
      <c r="DM244" s="2060"/>
      <c r="DN244" s="2060"/>
      <c r="DO244" s="2060"/>
      <c r="DP244" s="2060"/>
      <c r="DQ244" s="2060"/>
      <c r="DR244" s="2060"/>
      <c r="DS244" s="2060"/>
      <c r="DT244" s="2060"/>
      <c r="DU244" s="2060"/>
      <c r="DV244" s="2060"/>
      <c r="DW244" s="2060"/>
      <c r="DX244" s="2060"/>
      <c r="DY244" s="2060"/>
      <c r="DZ244" s="2060"/>
      <c r="EA244" s="2060"/>
      <c r="EB244" s="2060"/>
      <c r="EC244" s="2060"/>
      <c r="ED244" s="2060"/>
      <c r="EE244" s="2060"/>
      <c r="EF244" s="2060"/>
      <c r="EG244" s="2060"/>
      <c r="EH244" s="2060"/>
      <c r="EI244" s="2060"/>
      <c r="EJ244" s="2060"/>
      <c r="EK244" s="2060"/>
      <c r="EL244" s="2060"/>
      <c r="EM244" s="2060"/>
      <c r="EN244" s="2060"/>
      <c r="EO244" s="2060"/>
      <c r="EP244" s="2060"/>
      <c r="EQ244" s="2060"/>
      <c r="ER244" s="2060"/>
      <c r="ES244" s="2060"/>
      <c r="ET244" s="2060"/>
      <c r="EU244" s="2060"/>
      <c r="EV244" s="2060"/>
      <c r="EW244" s="2060"/>
      <c r="EX244" s="2060"/>
      <c r="EY244" s="2060"/>
      <c r="EZ244" s="2060"/>
      <c r="FA244" s="2060"/>
      <c r="FB244" s="2060"/>
      <c r="FC244" s="2060"/>
      <c r="FD244" s="2060"/>
      <c r="FE244" s="2060"/>
      <c r="FF244" s="2060"/>
      <c r="FG244" s="2060"/>
      <c r="FH244" s="2060"/>
      <c r="FI244" s="2060"/>
      <c r="FJ244" s="2060"/>
      <c r="FK244" s="2060"/>
      <c r="FL244" s="2060"/>
      <c r="FM244" s="2060"/>
      <c r="FN244" s="2060"/>
      <c r="FO244" s="2060"/>
      <c r="FP244" s="2060"/>
      <c r="FQ244" s="2060"/>
      <c r="FR244" s="2060"/>
      <c r="FS244" s="2060"/>
      <c r="FT244" s="2060"/>
      <c r="FU244" s="2060"/>
      <c r="FV244" s="2060"/>
      <c r="FW244" s="2060"/>
      <c r="FX244" s="2060"/>
      <c r="FY244" s="2060"/>
      <c r="FZ244" s="2060"/>
      <c r="GA244" s="2060"/>
      <c r="GB244" s="2060"/>
      <c r="GC244" s="2060"/>
    </row>
    <row r="245" spans="1:185" customFormat="1">
      <c r="A245" s="1632" t="str">
        <f t="shared" si="37"/>
        <v>n</v>
      </c>
      <c r="B245" s="1004"/>
      <c r="C245" s="1502"/>
      <c r="D245" s="2060"/>
      <c r="E245" s="173" t="str">
        <f>'DATA GPC'!E$44</f>
        <v>--</v>
      </c>
      <c r="F245" s="2060"/>
      <c r="G245" s="390" t="str">
        <f>'DATA GPC'!J44</f>
        <v>--</v>
      </c>
      <c r="H245" s="390" t="str">
        <f>IF($E245="--","--",_xll.ciqfunctions.udf.CIQ('DATA GPC'!G44,"IQ_LASTSALEPRICE",Valuation_date,$G245,FXMode))</f>
        <v>--</v>
      </c>
      <c r="I245" s="391" t="str">
        <f>IF($E245="--","--",_xll.ciqfunctions.udf.CIQ(G153,"IQ_SHARESOUTSTANDING",Valuation_date)*Scale)</f>
        <v>--</v>
      </c>
      <c r="J245" s="391" t="str">
        <f>IF($E245="--","--",_xll.ciqfunctions.udf.CIQ(G153,"IQ_MARKETCAP",Valuation_date,$G245,FXMode)*Scale)</f>
        <v>--</v>
      </c>
      <c r="K245" s="1512" t="str">
        <f t="shared" si="42"/>
        <v>--</v>
      </c>
      <c r="L245" s="391" t="str">
        <f>IF($E245="--","--",_xll.ciqfunctions.udf.CIQ(G153,"IQ_MARKETCAP",Valuation_date,$G245,FXMode)*Scale)</f>
        <v>--</v>
      </c>
      <c r="M245" s="473" t="str">
        <f>IF($E245="--","--",IF(START!$G$59=START!$E$60,START!$G$60,"n/a"))</f>
        <v>--</v>
      </c>
      <c r="N245" s="338" t="str">
        <f t="shared" si="39"/>
        <v>--</v>
      </c>
      <c r="O245" s="1506"/>
      <c r="P245" s="391" t="str">
        <f>IF($E245="--","--",_xll.ciqfunctions.udf.CIQ(G153,"IQ_TOTAL_DEBT",2000,Valuation_date,ReportType,DataMode,$G245,FXMode)*Scale+IF(PensionSetting="Included in debt",_xll.ciqfunctions.udf.CIQ(G153,"IQ_PENSION",2000,Valuation_date,ReportType,DataMode,$G245,FXMode)*Scale,0))</f>
        <v>--</v>
      </c>
      <c r="Q245" s="391" t="str">
        <f>IF($E245="--","--",-_xll.ciqfunctions.udf.CIQ(G153,"IQ_CASH_ST_INVEST",2000,Valuation_date,ReportType,DataMode, $G245,FXMode)*Scale)</f>
        <v>--</v>
      </c>
      <c r="R245" s="391" t="str">
        <f>IF($E245="--","--",_xll.ciqfunctions.udf.CIQ(G153,"IQ_MINORITY_INTEREST_TOTAL",2000,Valuation_date,ReportType,DataMode,$G245,FXMode)*Scale)</f>
        <v>--</v>
      </c>
      <c r="S245" s="391" t="str">
        <f>IF($E245="--","--",_xll.ciqfunctions.udf.CIQ(G153,"IQ_PREF_EQUITY",2000,Valuation_date,ReportType,DataMode,$G245,FXMode)*Scale)</f>
        <v>--</v>
      </c>
      <c r="T245" s="391" t="str">
        <f t="shared" si="43"/>
        <v>--</v>
      </c>
      <c r="U245" s="473" t="str">
        <f>IF($E245="--","--",IF(START!$G$59&lt;&gt;START!$E$60,START!$G$61,"n/a"))</f>
        <v>--</v>
      </c>
      <c r="V245" s="391" t="str">
        <f t="shared" si="41"/>
        <v>--</v>
      </c>
      <c r="W245" s="2060"/>
      <c r="X245" s="2060"/>
      <c r="Y245" s="391" t="str">
        <f>IF(E245="--","--",_xll.ciqfunctions.udf.CIQ(G153,"IQ_TEV",Valuation_date,G245,FXMode)*Scale+(N(M245)*L245))</f>
        <v>--</v>
      </c>
      <c r="Z245" s="2060"/>
      <c r="AA245" s="2060"/>
      <c r="AB245" s="2060"/>
      <c r="AC245" s="2060"/>
      <c r="AD245" s="1004"/>
      <c r="AE245" s="2060"/>
      <c r="AF245" s="2060"/>
      <c r="AG245" s="2060"/>
      <c r="AH245" s="2060"/>
      <c r="AI245" s="2060"/>
      <c r="AJ245" s="2060"/>
      <c r="AK245" s="2060"/>
      <c r="AL245" s="2060"/>
      <c r="AM245" s="2060"/>
      <c r="AN245" s="2060"/>
      <c r="AO245" s="2060"/>
      <c r="AP245" s="2060"/>
      <c r="AQ245" s="2060"/>
      <c r="AR245" s="2060"/>
      <c r="AS245" s="2060"/>
      <c r="AT245" s="2060"/>
      <c r="AU245" s="2060"/>
      <c r="AV245" s="2060"/>
      <c r="AW245" s="2060"/>
      <c r="AX245" s="2060"/>
      <c r="AY245" s="2060"/>
      <c r="AZ245" s="2060"/>
      <c r="BA245" s="2060"/>
      <c r="BB245" s="2060"/>
      <c r="BC245" s="2060"/>
      <c r="BD245" s="2060"/>
      <c r="BE245" s="2060"/>
      <c r="BF245" s="2060"/>
      <c r="BG245" s="2060"/>
      <c r="BH245" s="2060"/>
      <c r="BI245" s="2060"/>
      <c r="BJ245" s="2060"/>
      <c r="BK245" s="2060"/>
      <c r="BL245" s="2060"/>
      <c r="BM245" s="2060"/>
      <c r="BN245" s="2060"/>
      <c r="BO245" s="2060"/>
      <c r="BP245" s="2060"/>
      <c r="BQ245" s="2060"/>
      <c r="BR245" s="2060"/>
      <c r="BS245" s="2060"/>
      <c r="BT245" s="2060"/>
      <c r="BU245" s="2060"/>
      <c r="BV245" s="2060"/>
      <c r="BW245" s="2060"/>
      <c r="BX245" s="2060"/>
      <c r="BY245" s="2060"/>
      <c r="BZ245" s="2060"/>
      <c r="CA245" s="2060"/>
      <c r="CB245" s="2060"/>
      <c r="CC245" s="2060"/>
      <c r="CD245" s="2060"/>
      <c r="CE245" s="2060"/>
      <c r="CF245" s="2060"/>
      <c r="CG245" s="2060"/>
      <c r="CH245" s="2060"/>
      <c r="CI245" s="2060"/>
      <c r="CJ245" s="2060"/>
      <c r="CK245" s="2060"/>
      <c r="CL245" s="2060"/>
      <c r="CM245" s="2060"/>
      <c r="CN245" s="2060"/>
      <c r="CO245" s="2060"/>
      <c r="CP245" s="2060"/>
      <c r="CQ245" s="2060"/>
      <c r="CR245" s="2060"/>
      <c r="CS245" s="2060"/>
      <c r="CT245" s="2060"/>
      <c r="CU245" s="2060"/>
      <c r="CV245" s="2060"/>
      <c r="CW245" s="2060"/>
      <c r="CX245" s="2060"/>
      <c r="CY245" s="2060"/>
      <c r="CZ245" s="2060"/>
      <c r="DA245" s="2060"/>
      <c r="DB245" s="2060"/>
      <c r="DC245" s="2060"/>
      <c r="DD245" s="2060"/>
      <c r="DE245" s="2060"/>
      <c r="DF245" s="2060"/>
      <c r="DG245" s="2060"/>
      <c r="DH245" s="2060"/>
      <c r="DI245" s="2060"/>
      <c r="DJ245" s="2060"/>
      <c r="DK245" s="2060"/>
      <c r="DL245" s="2060"/>
      <c r="DM245" s="2060"/>
      <c r="DN245" s="2060"/>
      <c r="DO245" s="2060"/>
      <c r="DP245" s="2060"/>
      <c r="DQ245" s="2060"/>
      <c r="DR245" s="2060"/>
      <c r="DS245" s="2060"/>
      <c r="DT245" s="2060"/>
      <c r="DU245" s="2060"/>
      <c r="DV245" s="2060"/>
      <c r="DW245" s="2060"/>
      <c r="DX245" s="2060"/>
      <c r="DY245" s="2060"/>
      <c r="DZ245" s="2060"/>
      <c r="EA245" s="2060"/>
      <c r="EB245" s="2060"/>
      <c r="EC245" s="2060"/>
      <c r="ED245" s="2060"/>
      <c r="EE245" s="2060"/>
      <c r="EF245" s="2060"/>
      <c r="EG245" s="2060"/>
      <c r="EH245" s="2060"/>
      <c r="EI245" s="2060"/>
      <c r="EJ245" s="2060"/>
      <c r="EK245" s="2060"/>
      <c r="EL245" s="2060"/>
      <c r="EM245" s="2060"/>
      <c r="EN245" s="2060"/>
      <c r="EO245" s="2060"/>
      <c r="EP245" s="2060"/>
      <c r="EQ245" s="2060"/>
      <c r="ER245" s="2060"/>
      <c r="ES245" s="2060"/>
      <c r="ET245" s="2060"/>
      <c r="EU245" s="2060"/>
      <c r="EV245" s="2060"/>
      <c r="EW245" s="2060"/>
      <c r="EX245" s="2060"/>
      <c r="EY245" s="2060"/>
      <c r="EZ245" s="2060"/>
      <c r="FA245" s="2060"/>
      <c r="FB245" s="2060"/>
      <c r="FC245" s="2060"/>
      <c r="FD245" s="2060"/>
      <c r="FE245" s="2060"/>
      <c r="FF245" s="2060"/>
      <c r="FG245" s="2060"/>
      <c r="FH245" s="2060"/>
      <c r="FI245" s="2060"/>
      <c r="FJ245" s="2060"/>
      <c r="FK245" s="2060"/>
      <c r="FL245" s="2060"/>
      <c r="FM245" s="2060"/>
      <c r="FN245" s="2060"/>
      <c r="FO245" s="2060"/>
      <c r="FP245" s="2060"/>
      <c r="FQ245" s="2060"/>
      <c r="FR245" s="2060"/>
      <c r="FS245" s="2060"/>
      <c r="FT245" s="2060"/>
      <c r="FU245" s="2060"/>
      <c r="FV245" s="2060"/>
      <c r="FW245" s="2060"/>
      <c r="FX245" s="2060"/>
      <c r="FY245" s="2060"/>
      <c r="FZ245" s="2060"/>
      <c r="GA245" s="2060"/>
      <c r="GB245" s="2060"/>
      <c r="GC245" s="2060"/>
    </row>
    <row r="246" spans="1:185" customFormat="1">
      <c r="A246" s="1004"/>
      <c r="B246" s="1004"/>
      <c r="C246" s="1502"/>
      <c r="D246" s="2060"/>
      <c r="E246" s="1578"/>
      <c r="F246" s="2060"/>
      <c r="G246" s="2060"/>
      <c r="H246" s="2060"/>
      <c r="I246" s="2060"/>
      <c r="J246" s="2060"/>
      <c r="K246" s="2060"/>
      <c r="L246" s="2060"/>
      <c r="M246" s="2060"/>
      <c r="N246" s="2060"/>
      <c r="O246" s="2060"/>
      <c r="P246" s="2060"/>
      <c r="Q246" s="2060"/>
      <c r="R246" s="2060"/>
      <c r="S246" s="2060"/>
      <c r="T246" s="2060"/>
      <c r="U246" s="2060"/>
      <c r="V246" s="2060"/>
      <c r="W246" s="2060"/>
      <c r="X246" s="2060"/>
      <c r="Y246" s="2060"/>
      <c r="Z246" s="2060"/>
      <c r="AA246" s="2060"/>
      <c r="AB246" s="2060"/>
      <c r="AC246" s="2060"/>
      <c r="AD246" s="1004"/>
      <c r="AE246" s="2060"/>
      <c r="AF246" s="2060"/>
      <c r="AG246" s="2060"/>
      <c r="AH246" s="2060"/>
      <c r="AI246" s="2060"/>
      <c r="AJ246" s="2060"/>
      <c r="AK246" s="2060"/>
      <c r="AL246" s="2060"/>
      <c r="AM246" s="2060"/>
      <c r="AN246" s="2060"/>
      <c r="AO246" s="2060"/>
      <c r="AP246" s="2060"/>
      <c r="AQ246" s="2060"/>
      <c r="AR246" s="2060"/>
      <c r="AS246" s="2060"/>
      <c r="AT246" s="2060"/>
      <c r="AU246" s="2060"/>
      <c r="AV246" s="2060"/>
      <c r="AW246" s="2060"/>
      <c r="AX246" s="2060"/>
      <c r="AY246" s="2060"/>
      <c r="AZ246" s="2060"/>
      <c r="BA246" s="2060"/>
      <c r="BB246" s="2060"/>
      <c r="BC246" s="2060"/>
      <c r="BD246" s="2060"/>
      <c r="BE246" s="2060"/>
      <c r="BF246" s="2060"/>
      <c r="BG246" s="2060"/>
      <c r="BH246" s="2060"/>
      <c r="BI246" s="2060"/>
      <c r="BJ246" s="2060"/>
      <c r="BK246" s="2060"/>
      <c r="BL246" s="2060"/>
      <c r="BM246" s="2060"/>
      <c r="BN246" s="2060"/>
      <c r="BO246" s="2060"/>
      <c r="BP246" s="2060"/>
      <c r="BQ246" s="2060"/>
      <c r="BR246" s="2060"/>
      <c r="BS246" s="2060"/>
      <c r="BT246" s="2060"/>
      <c r="BU246" s="2060"/>
      <c r="BV246" s="2060"/>
      <c r="BW246" s="2060"/>
      <c r="BX246" s="2060"/>
      <c r="BY246" s="2060"/>
      <c r="BZ246" s="2060"/>
      <c r="CA246" s="2060"/>
      <c r="CB246" s="2060"/>
      <c r="CC246" s="2060"/>
      <c r="CD246" s="2060"/>
      <c r="CE246" s="2060"/>
      <c r="CF246" s="2060"/>
      <c r="CG246" s="2060"/>
      <c r="CH246" s="2060"/>
      <c r="CI246" s="2060"/>
      <c r="CJ246" s="2060"/>
      <c r="CK246" s="2060"/>
      <c r="CL246" s="2060"/>
      <c r="CM246" s="2060"/>
      <c r="CN246" s="2060"/>
      <c r="CO246" s="2060"/>
      <c r="CP246" s="2060"/>
      <c r="CQ246" s="2060"/>
      <c r="CR246" s="2060"/>
      <c r="CS246" s="2060"/>
      <c r="CT246" s="2060"/>
      <c r="CU246" s="2060"/>
      <c r="CV246" s="2060"/>
      <c r="CW246" s="2060"/>
      <c r="CX246" s="2060"/>
      <c r="CY246" s="2060"/>
      <c r="CZ246" s="2060"/>
      <c r="DA246" s="2060"/>
      <c r="DB246" s="2060"/>
      <c r="DC246" s="2060"/>
      <c r="DD246" s="2060"/>
      <c r="DE246" s="2060"/>
      <c r="DF246" s="2060"/>
      <c r="DG246" s="2060"/>
      <c r="DH246" s="2060"/>
      <c r="DI246" s="2060"/>
      <c r="DJ246" s="2060"/>
      <c r="DK246" s="2060"/>
      <c r="DL246" s="2060"/>
      <c r="DM246" s="2060"/>
      <c r="DN246" s="2060"/>
      <c r="DO246" s="2060"/>
      <c r="DP246" s="2060"/>
      <c r="DQ246" s="2060"/>
      <c r="DR246" s="2060"/>
      <c r="DS246" s="2060"/>
      <c r="DT246" s="2060"/>
      <c r="DU246" s="2060"/>
      <c r="DV246" s="2060"/>
      <c r="DW246" s="2060"/>
      <c r="DX246" s="2060"/>
      <c r="DY246" s="2060"/>
      <c r="DZ246" s="2060"/>
      <c r="EA246" s="2060"/>
      <c r="EB246" s="2060"/>
      <c r="EC246" s="2060"/>
      <c r="ED246" s="2060"/>
      <c r="EE246" s="2060"/>
      <c r="EF246" s="2060"/>
      <c r="EG246" s="2060"/>
      <c r="EH246" s="2060"/>
      <c r="EI246" s="2060"/>
      <c r="EJ246" s="2060"/>
      <c r="EK246" s="2060"/>
      <c r="EL246" s="2060"/>
      <c r="EM246" s="2060"/>
      <c r="EN246" s="2060"/>
      <c r="EO246" s="2060"/>
      <c r="EP246" s="2060"/>
      <c r="EQ246" s="2060"/>
      <c r="ER246" s="2060"/>
      <c r="ES246" s="2060"/>
      <c r="ET246" s="2060"/>
      <c r="EU246" s="2060"/>
      <c r="EV246" s="2060"/>
      <c r="EW246" s="2060"/>
      <c r="EX246" s="2060"/>
      <c r="EY246" s="2060"/>
      <c r="EZ246" s="2060"/>
      <c r="FA246" s="2060"/>
      <c r="FB246" s="2060"/>
      <c r="FC246" s="2060"/>
      <c r="FD246" s="2060"/>
      <c r="FE246" s="2060"/>
      <c r="FF246" s="2060"/>
      <c r="FG246" s="2060"/>
      <c r="FH246" s="2060"/>
      <c r="FI246" s="2060"/>
      <c r="FJ246" s="2060"/>
      <c r="FK246" s="2060"/>
      <c r="FL246" s="2060"/>
      <c r="FM246" s="2060"/>
      <c r="FN246" s="2060"/>
      <c r="FO246" s="2060"/>
      <c r="FP246" s="2060"/>
      <c r="FQ246" s="2060"/>
      <c r="FR246" s="2060"/>
      <c r="FS246" s="2060"/>
      <c r="FT246" s="2060"/>
      <c r="FU246" s="2060"/>
      <c r="FV246" s="2060"/>
      <c r="FW246" s="2060"/>
      <c r="FX246" s="2060"/>
      <c r="FY246" s="2060"/>
      <c r="FZ246" s="2060"/>
      <c r="GA246" s="2060"/>
      <c r="GB246" s="2060"/>
      <c r="GC246" s="2060"/>
    </row>
    <row r="247" spans="1:185" s="1499" customFormat="1" ht="18">
      <c r="A247" s="1004"/>
      <c r="B247" s="1004"/>
      <c r="C247" s="1639">
        <f ca="1">MAX(OFFSET(C247,-1,0,-ROW(C247)+1,1))+1</f>
        <v>6</v>
      </c>
      <c r="D247" s="1634" t="s">
        <v>1264</v>
      </c>
      <c r="E247" s="1635"/>
      <c r="F247" s="1636"/>
      <c r="G247" s="1640"/>
      <c r="H247" s="1638"/>
      <c r="I247" s="1638"/>
      <c r="J247" s="1638"/>
      <c r="K247" s="1638"/>
      <c r="L247" s="1638"/>
      <c r="M247" s="1638"/>
      <c r="N247" s="1638"/>
      <c r="O247" s="1638"/>
      <c r="P247" s="1638"/>
      <c r="Q247" s="1004"/>
      <c r="R247" s="1004"/>
      <c r="S247" s="1004"/>
      <c r="T247" s="1004"/>
      <c r="U247" s="1004"/>
      <c r="V247" s="1004"/>
      <c r="W247" s="1004"/>
      <c r="X247" s="1004"/>
      <c r="Y247" s="1004"/>
      <c r="Z247" s="1004"/>
      <c r="AA247" s="1004"/>
      <c r="AB247" s="1004"/>
      <c r="AC247" s="1004"/>
      <c r="AD247" s="1004"/>
      <c r="AE247" s="2060"/>
      <c r="AF247" s="2060"/>
      <c r="AG247" s="2060"/>
      <c r="AH247" s="2060"/>
      <c r="AI247" s="2060"/>
      <c r="AJ247" s="2060"/>
      <c r="AK247" s="2060"/>
      <c r="AL247" s="2060"/>
      <c r="AM247" s="2060"/>
      <c r="AN247" s="2060"/>
      <c r="AO247" s="2060"/>
      <c r="AP247" s="2060"/>
      <c r="AQ247" s="2060"/>
      <c r="AR247" s="2060"/>
      <c r="AS247" s="2060"/>
      <c r="AT247" s="2060"/>
      <c r="AU247" s="2060"/>
      <c r="AV247" s="2060"/>
      <c r="AW247" s="2060"/>
      <c r="AX247" s="2060"/>
      <c r="AY247" s="2060"/>
      <c r="AZ247" s="2060"/>
      <c r="BA247" s="2060"/>
      <c r="BB247" s="2060"/>
      <c r="BC247" s="2060"/>
      <c r="BD247" s="2060"/>
      <c r="BE247" s="2060"/>
      <c r="BF247" s="2060"/>
      <c r="BG247" s="2060"/>
      <c r="BH247" s="2060"/>
      <c r="BI247" s="2060"/>
      <c r="BJ247" s="2060"/>
      <c r="BK247" s="2060"/>
      <c r="BL247" s="2060"/>
      <c r="BM247" s="2060"/>
      <c r="BN247" s="2060"/>
      <c r="BO247" s="2060"/>
      <c r="BP247" s="2060"/>
      <c r="BQ247" s="2060"/>
      <c r="BR247" s="2060"/>
      <c r="BS247" s="2060"/>
      <c r="BT247" s="2060"/>
      <c r="BU247" s="2060"/>
      <c r="BV247" s="2060"/>
      <c r="BW247" s="2060"/>
      <c r="BX247" s="2060"/>
      <c r="BY247" s="2060"/>
      <c r="BZ247" s="2060"/>
      <c r="CA247" s="2060"/>
      <c r="CB247" s="2060"/>
      <c r="CC247" s="2060"/>
      <c r="CD247" s="2060"/>
      <c r="CE247" s="2060"/>
      <c r="CF247" s="2060"/>
      <c r="CG247" s="2060"/>
      <c r="CH247" s="2060"/>
      <c r="CI247" s="2060"/>
      <c r="CJ247" s="2060"/>
      <c r="CK247" s="2060"/>
      <c r="CL247" s="2060"/>
      <c r="CM247" s="2060"/>
      <c r="CN247" s="2060"/>
      <c r="CO247" s="2060"/>
      <c r="CP247" s="2060"/>
      <c r="CQ247" s="2060"/>
      <c r="CR247" s="2060"/>
      <c r="CS247" s="2060"/>
      <c r="CT247" s="2060"/>
      <c r="CU247" s="2060"/>
      <c r="CV247" s="2060"/>
      <c r="CW247" s="2060"/>
      <c r="CX247" s="2060"/>
      <c r="CY247" s="2060"/>
      <c r="CZ247" s="2060"/>
      <c r="DA247" s="2060"/>
      <c r="DB247" s="2060"/>
      <c r="DC247" s="2060"/>
      <c r="DD247" s="2060"/>
      <c r="DE247" s="2060"/>
      <c r="DF247" s="2060"/>
      <c r="DG247" s="2060"/>
      <c r="DH247" s="2060"/>
      <c r="DI247" s="2060"/>
      <c r="DJ247" s="2060"/>
      <c r="DK247" s="2060"/>
      <c r="DL247" s="2060"/>
      <c r="DM247" s="2060"/>
      <c r="DN247" s="2060"/>
      <c r="DO247" s="2060"/>
      <c r="DP247" s="2060"/>
      <c r="DQ247" s="2060"/>
      <c r="DR247" s="2060"/>
      <c r="DS247" s="2060"/>
      <c r="DT247" s="2060"/>
      <c r="DU247" s="2060"/>
      <c r="DV247" s="2060"/>
      <c r="DW247" s="2060"/>
      <c r="DX247" s="2060"/>
      <c r="DY247" s="2060"/>
      <c r="DZ247" s="2060"/>
      <c r="EA247" s="2060"/>
      <c r="EB247" s="2060"/>
      <c r="EC247" s="2060"/>
      <c r="ED247" s="2060"/>
      <c r="EE247" s="2060"/>
      <c r="EF247" s="2060"/>
      <c r="EG247" s="2060"/>
      <c r="EH247" s="2060"/>
      <c r="EI247" s="2060"/>
      <c r="EJ247" s="2060"/>
      <c r="EK247" s="2060"/>
      <c r="EL247" s="2060"/>
      <c r="EM247" s="2060"/>
      <c r="EN247" s="2060"/>
      <c r="EO247" s="2060"/>
      <c r="EP247" s="2060"/>
      <c r="EQ247" s="2060"/>
      <c r="ER247" s="2060"/>
      <c r="ES247" s="2060"/>
      <c r="ET247" s="2060"/>
      <c r="EU247" s="2060"/>
      <c r="EV247" s="2060"/>
      <c r="EW247" s="2060"/>
      <c r="EX247" s="2060"/>
      <c r="EY247" s="2060"/>
      <c r="EZ247" s="2060"/>
      <c r="FA247" s="2060"/>
      <c r="FB247" s="2060"/>
      <c r="FC247" s="2060"/>
      <c r="FD247" s="2060"/>
      <c r="FE247" s="2060"/>
      <c r="FF247" s="2060"/>
      <c r="FG247" s="2060"/>
      <c r="FH247" s="2060"/>
      <c r="FI247" s="2060"/>
      <c r="FJ247" s="2060"/>
      <c r="FK247" s="2060"/>
      <c r="FL247" s="2060"/>
      <c r="FM247" s="2060"/>
      <c r="FN247" s="2060"/>
      <c r="FO247" s="2060"/>
      <c r="FP247" s="2060"/>
      <c r="FQ247" s="2060"/>
      <c r="FR247" s="2060"/>
      <c r="FS247" s="2060"/>
      <c r="FT247" s="2060"/>
      <c r="FU247" s="2060"/>
      <c r="FV247" s="2060"/>
      <c r="FW247" s="2060"/>
      <c r="FX247" s="2060"/>
      <c r="FY247" s="2060"/>
      <c r="FZ247" s="2060"/>
      <c r="GA247" s="2060"/>
      <c r="GB247" s="2060"/>
      <c r="GC247" s="2060"/>
    </row>
    <row r="248" spans="1:185" s="93" customFormat="1">
      <c r="A248" s="1004"/>
      <c r="B248" s="1004"/>
      <c r="C248" s="2060"/>
      <c r="D248" s="2060"/>
      <c r="E248" s="1578"/>
      <c r="F248" s="2060"/>
      <c r="G248" s="2060"/>
      <c r="H248" s="2060"/>
      <c r="I248" s="2060"/>
      <c r="J248" s="2060"/>
      <c r="K248" s="2060"/>
      <c r="L248" s="2060"/>
      <c r="M248" s="2060"/>
      <c r="N248" s="2060"/>
      <c r="O248" s="2060"/>
      <c r="P248" s="2060"/>
      <c r="Q248" s="2060"/>
      <c r="R248" s="2060"/>
      <c r="S248" s="2060"/>
      <c r="T248" s="2060"/>
      <c r="U248" s="2060"/>
      <c r="V248" s="2060"/>
      <c r="W248" s="2060"/>
      <c r="X248" s="2060"/>
      <c r="Y248" s="2060"/>
      <c r="Z248" s="1506"/>
      <c r="AA248" s="1506"/>
      <c r="AB248" s="1506"/>
      <c r="AC248" s="1506"/>
      <c r="AD248" s="1509"/>
      <c r="AE248" s="1506"/>
      <c r="AF248" s="1506"/>
      <c r="AG248" s="1506"/>
      <c r="AH248" s="1506"/>
      <c r="AI248" s="1506"/>
      <c r="AJ248" s="1506"/>
      <c r="AK248" s="1506"/>
      <c r="AL248" s="1506"/>
      <c r="AM248" s="1506"/>
      <c r="AN248" s="1506"/>
      <c r="AO248" s="1506"/>
      <c r="AP248" s="1506"/>
      <c r="AQ248" s="1506"/>
      <c r="AR248" s="1506"/>
      <c r="AS248" s="1506"/>
      <c r="AT248" s="1506"/>
      <c r="AU248" s="1506"/>
      <c r="AV248" s="1506"/>
      <c r="AW248" s="1506"/>
      <c r="AX248" s="1506"/>
      <c r="AY248" s="1506"/>
      <c r="AZ248" s="1506"/>
      <c r="BA248" s="1506"/>
      <c r="BB248" s="1506"/>
      <c r="BC248" s="1506"/>
      <c r="BD248" s="1506"/>
      <c r="BE248" s="1506"/>
      <c r="BF248" s="1506"/>
      <c r="BG248" s="1506"/>
      <c r="BH248" s="1506"/>
      <c r="BI248" s="1506"/>
      <c r="BJ248" s="1506"/>
      <c r="BK248" s="1506"/>
      <c r="BL248" s="1506"/>
      <c r="BM248" s="1506"/>
      <c r="BN248" s="1506"/>
      <c r="BO248" s="1506"/>
      <c r="BP248" s="1506"/>
      <c r="BQ248" s="1506"/>
      <c r="BR248" s="1506"/>
      <c r="BS248" s="1506"/>
      <c r="BT248" s="1506"/>
      <c r="BU248" s="1506"/>
      <c r="BV248" s="1506"/>
      <c r="BW248" s="1506"/>
      <c r="BX248" s="1506"/>
      <c r="BY248" s="1506"/>
      <c r="BZ248" s="1506"/>
      <c r="CA248" s="1506"/>
      <c r="CB248" s="1506"/>
      <c r="CC248" s="1506"/>
      <c r="CD248" s="1506"/>
      <c r="CE248" s="1506"/>
      <c r="CF248" s="1506"/>
      <c r="CG248" s="1506"/>
      <c r="CH248" s="1506"/>
      <c r="CI248" s="1506"/>
      <c r="CJ248" s="1506"/>
      <c r="CK248" s="1506"/>
      <c r="CL248" s="1506"/>
      <c r="CM248" s="1506"/>
      <c r="CN248" s="1506"/>
      <c r="CO248" s="1506"/>
      <c r="CP248" s="1506"/>
      <c r="CQ248" s="1506"/>
      <c r="CR248" s="1506"/>
      <c r="CS248" s="1506"/>
      <c r="CT248" s="1506"/>
      <c r="CU248" s="1506"/>
      <c r="CV248" s="1506"/>
      <c r="CW248" s="1506"/>
      <c r="CX248" s="1506"/>
      <c r="CY248" s="1506"/>
      <c r="CZ248" s="1506"/>
      <c r="DA248" s="1506"/>
      <c r="DB248" s="1506"/>
      <c r="DC248" s="1506"/>
      <c r="DD248" s="1506"/>
      <c r="DE248" s="1506"/>
      <c r="DF248" s="1506"/>
      <c r="DG248" s="1506"/>
      <c r="DH248" s="1506"/>
      <c r="DI248" s="1506"/>
      <c r="DJ248" s="1506"/>
      <c r="DK248" s="1506"/>
      <c r="DL248" s="1506"/>
      <c r="DM248" s="1506"/>
      <c r="DN248" s="1506"/>
      <c r="DO248" s="1506"/>
      <c r="DP248" s="1506"/>
      <c r="DQ248" s="1506"/>
      <c r="DR248" s="1506"/>
      <c r="DS248" s="1506"/>
      <c r="DT248" s="1506"/>
      <c r="DU248" s="1506"/>
      <c r="DV248" s="1506"/>
      <c r="DW248" s="1506"/>
      <c r="DX248" s="1506"/>
      <c r="DY248" s="1506"/>
      <c r="DZ248" s="1506"/>
      <c r="EA248" s="1506"/>
      <c r="EB248" s="1506"/>
      <c r="EC248" s="1506"/>
      <c r="ED248" s="1506"/>
      <c r="EE248" s="1506"/>
      <c r="EF248" s="1506"/>
      <c r="EG248" s="1506"/>
      <c r="EH248" s="1506"/>
      <c r="EI248" s="1506"/>
      <c r="EJ248" s="1506"/>
      <c r="EK248" s="1506"/>
      <c r="EL248" s="1506"/>
      <c r="EM248" s="1506"/>
      <c r="EN248" s="1506"/>
      <c r="EO248" s="1506"/>
      <c r="EP248" s="1506"/>
      <c r="EQ248" s="1506"/>
      <c r="ER248" s="1506"/>
      <c r="ES248" s="1506"/>
      <c r="ET248" s="1506"/>
      <c r="EU248" s="1506"/>
      <c r="EV248" s="1506"/>
      <c r="EW248" s="1506"/>
      <c r="EX248" s="1506"/>
      <c r="EY248" s="1506"/>
      <c r="EZ248" s="1506"/>
      <c r="FA248" s="1506"/>
      <c r="FB248" s="1506"/>
      <c r="FC248" s="1506"/>
      <c r="FD248" s="1506"/>
      <c r="FE248" s="1506"/>
      <c r="FF248" s="1506"/>
      <c r="FG248" s="1506"/>
      <c r="FH248" s="1506"/>
      <c r="FI248" s="1506"/>
      <c r="FJ248" s="1506"/>
      <c r="FK248" s="1506"/>
      <c r="FL248" s="1506"/>
      <c r="FM248" s="1506"/>
      <c r="FN248" s="1506"/>
      <c r="FO248" s="1506"/>
      <c r="FP248" s="1506"/>
      <c r="FQ248" s="1506"/>
      <c r="FR248" s="1506"/>
      <c r="FS248" s="1506"/>
      <c r="FT248" s="1506"/>
      <c r="FU248" s="1506"/>
      <c r="FV248" s="1506"/>
      <c r="FW248" s="1506"/>
      <c r="FX248" s="1506"/>
      <c r="FY248" s="1506"/>
      <c r="FZ248" s="1506"/>
      <c r="GA248" s="1506"/>
      <c r="GB248" s="1506"/>
      <c r="GC248" s="1506"/>
    </row>
    <row r="249" spans="1:185" s="93" customFormat="1">
      <c r="A249" s="1004"/>
      <c r="B249" s="1004"/>
      <c r="C249" s="1506"/>
      <c r="D249" s="1506"/>
      <c r="E249" s="1599" t="str">
        <f>INDEX(Reference!$H$341:$H$549,MATCH(E250,Reference!$G$341:$G$549,0))&amp;" Size Premia table"</f>
        <v>2017 DP Valuation Handbook - Guide to Cost of Capital Size Premia table</v>
      </c>
      <c r="F249" s="128"/>
      <c r="G249" s="128"/>
      <c r="H249" s="1506"/>
      <c r="I249" s="128"/>
      <c r="J249" s="137"/>
      <c r="K249" s="182"/>
      <c r="L249" s="182"/>
      <c r="M249" s="182"/>
      <c r="N249" s="2060"/>
      <c r="O249" s="1506"/>
      <c r="P249" s="1506"/>
      <c r="Q249" s="1506"/>
      <c r="R249" s="2060"/>
      <c r="S249" s="2060"/>
      <c r="T249" s="2060"/>
      <c r="U249" s="2060"/>
      <c r="V249" s="2060"/>
      <c r="W249" s="2060"/>
      <c r="X249" s="2060"/>
      <c r="Y249" s="2060"/>
      <c r="Z249" s="1506"/>
      <c r="AA249" s="1506"/>
      <c r="AB249" s="1506"/>
      <c r="AC249" s="1506"/>
      <c r="AD249" s="1509"/>
      <c r="AE249" s="1506"/>
      <c r="AF249" s="1506"/>
      <c r="AG249" s="1506"/>
      <c r="AH249" s="1506"/>
      <c r="AI249" s="1506"/>
      <c r="AJ249" s="1506"/>
      <c r="AK249" s="1506"/>
      <c r="AL249" s="1506"/>
      <c r="AM249" s="1506"/>
      <c r="AN249" s="1506"/>
      <c r="AO249" s="1506"/>
      <c r="AP249" s="1506"/>
      <c r="AQ249" s="1506"/>
      <c r="AR249" s="1506"/>
      <c r="AS249" s="1506"/>
      <c r="AT249" s="1506"/>
      <c r="AU249" s="1506"/>
      <c r="AV249" s="1506"/>
      <c r="AW249" s="1506"/>
      <c r="AX249" s="1506"/>
      <c r="AY249" s="1506"/>
      <c r="AZ249" s="1506"/>
      <c r="BA249" s="1506"/>
      <c r="BB249" s="1506"/>
      <c r="BC249" s="1506"/>
      <c r="BD249" s="1506"/>
      <c r="BE249" s="1506"/>
      <c r="BF249" s="1506"/>
      <c r="BG249" s="1506"/>
      <c r="BH249" s="1506"/>
      <c r="BI249" s="1506"/>
      <c r="BJ249" s="1506"/>
      <c r="BK249" s="1506"/>
      <c r="BL249" s="1506"/>
      <c r="BM249" s="1506"/>
      <c r="BN249" s="1506"/>
      <c r="BO249" s="1506"/>
      <c r="BP249" s="1506"/>
      <c r="BQ249" s="1506"/>
      <c r="BR249" s="1506"/>
      <c r="BS249" s="1506"/>
      <c r="BT249" s="1506"/>
      <c r="BU249" s="1506"/>
      <c r="BV249" s="1506"/>
      <c r="BW249" s="1506"/>
      <c r="BX249" s="1506"/>
      <c r="BY249" s="1506"/>
      <c r="BZ249" s="1506"/>
      <c r="CA249" s="1506"/>
      <c r="CB249" s="1506"/>
      <c r="CC249" s="1506"/>
      <c r="CD249" s="1506"/>
      <c r="CE249" s="1506"/>
      <c r="CF249" s="1506"/>
      <c r="CG249" s="1506"/>
      <c r="CH249" s="1506"/>
      <c r="CI249" s="1506"/>
      <c r="CJ249" s="1506"/>
      <c r="CK249" s="1506"/>
      <c r="CL249" s="1506"/>
      <c r="CM249" s="1506"/>
      <c r="CN249" s="1506"/>
      <c r="CO249" s="1506"/>
      <c r="CP249" s="1506"/>
      <c r="CQ249" s="1506"/>
      <c r="CR249" s="1506"/>
      <c r="CS249" s="1506"/>
      <c r="CT249" s="1506"/>
      <c r="CU249" s="1506"/>
      <c r="CV249" s="1506"/>
      <c r="CW249" s="1506"/>
      <c r="CX249" s="1506"/>
      <c r="CY249" s="1506"/>
      <c r="CZ249" s="1506"/>
      <c r="DA249" s="1506"/>
      <c r="DB249" s="1506"/>
      <c r="DC249" s="1506"/>
      <c r="DD249" s="1506"/>
      <c r="DE249" s="1506"/>
      <c r="DF249" s="1506"/>
      <c r="DG249" s="1506"/>
      <c r="DH249" s="1506"/>
      <c r="DI249" s="1506"/>
      <c r="DJ249" s="1506"/>
      <c r="DK249" s="1506"/>
      <c r="DL249" s="1506"/>
      <c r="DM249" s="1506"/>
      <c r="DN249" s="1506"/>
      <c r="DO249" s="1506"/>
      <c r="DP249" s="1506"/>
      <c r="DQ249" s="1506"/>
      <c r="DR249" s="1506"/>
      <c r="DS249" s="1506"/>
      <c r="DT249" s="1506"/>
      <c r="DU249" s="1506"/>
      <c r="DV249" s="1506"/>
      <c r="DW249" s="1506"/>
      <c r="DX249" s="1506"/>
      <c r="DY249" s="1506"/>
      <c r="DZ249" s="1506"/>
      <c r="EA249" s="1506"/>
      <c r="EB249" s="1506"/>
      <c r="EC249" s="1506"/>
      <c r="ED249" s="1506"/>
      <c r="EE249" s="1506"/>
      <c r="EF249" s="1506"/>
      <c r="EG249" s="1506"/>
      <c r="EH249" s="1506"/>
      <c r="EI249" s="1506"/>
      <c r="EJ249" s="1506"/>
      <c r="EK249" s="1506"/>
      <c r="EL249" s="1506"/>
      <c r="EM249" s="1506"/>
      <c r="EN249" s="1506"/>
      <c r="EO249" s="1506"/>
      <c r="EP249" s="1506"/>
      <c r="EQ249" s="1506"/>
      <c r="ER249" s="1506"/>
      <c r="ES249" s="1506"/>
      <c r="ET249" s="1506"/>
      <c r="EU249" s="1506"/>
      <c r="EV249" s="1506"/>
      <c r="EW249" s="1506"/>
      <c r="EX249" s="1506"/>
      <c r="EY249" s="1506"/>
      <c r="EZ249" s="1506"/>
      <c r="FA249" s="1506"/>
      <c r="FB249" s="1506"/>
      <c r="FC249" s="1506"/>
      <c r="FD249" s="1506"/>
      <c r="FE249" s="1506"/>
      <c r="FF249" s="1506"/>
      <c r="FG249" s="1506"/>
      <c r="FH249" s="1506"/>
      <c r="FI249" s="1506"/>
      <c r="FJ249" s="1506"/>
      <c r="FK249" s="1506"/>
      <c r="FL249" s="1506"/>
      <c r="FM249" s="1506"/>
      <c r="FN249" s="1506"/>
      <c r="FO249" s="1506"/>
      <c r="FP249" s="1506"/>
      <c r="FQ249" s="1506"/>
      <c r="FR249" s="1506"/>
      <c r="FS249" s="1506"/>
      <c r="FT249" s="1506"/>
      <c r="FU249" s="1506"/>
      <c r="FV249" s="1506"/>
      <c r="FW249" s="1506"/>
      <c r="FX249" s="1506"/>
      <c r="FY249" s="1506"/>
      <c r="FZ249" s="1506"/>
      <c r="GA249" s="1506"/>
      <c r="GB249" s="1506"/>
      <c r="GC249" s="1506"/>
    </row>
    <row r="250" spans="1:185" s="93" customFormat="1" ht="12.95" customHeight="1">
      <c r="A250" s="1004"/>
      <c r="B250" s="1004"/>
      <c r="C250" s="1506"/>
      <c r="D250" s="1506"/>
      <c r="E250" s="2140" t="str">
        <f>E252&amp;"Title"</f>
        <v>2017Title</v>
      </c>
      <c r="F250" s="2141"/>
      <c r="G250" s="2142"/>
      <c r="H250" s="2142"/>
      <c r="I250" s="2142"/>
      <c r="J250" s="2143" t="s">
        <v>1265</v>
      </c>
      <c r="K250" s="2144" t="s">
        <v>1266</v>
      </c>
      <c r="L250" s="2144" t="s">
        <v>1267</v>
      </c>
      <c r="M250" s="2145" t="str">
        <f t="shared" ref="M250:M263" si="44">IF(LEFT($H$214,3)="Mid",J250,IF(LEFT($H$214,6)="Detail",K250,L250))</f>
        <v>Detailed</v>
      </c>
      <c r="N250" s="1506"/>
      <c r="O250" s="1506"/>
      <c r="P250" s="1506"/>
      <c r="Q250" s="1506"/>
      <c r="R250" s="1506"/>
      <c r="S250" s="1506"/>
      <c r="T250" s="1506"/>
      <c r="U250" s="1506"/>
      <c r="V250" s="1506"/>
      <c r="W250" s="1506"/>
      <c r="X250" s="1506"/>
      <c r="Y250" s="1506"/>
      <c r="Z250" s="1506"/>
      <c r="AA250" s="1506"/>
      <c r="AB250" s="1506"/>
      <c r="AC250" s="1506"/>
      <c r="AD250" s="1509"/>
      <c r="AE250" s="1506"/>
      <c r="AF250" s="1506"/>
      <c r="AG250" s="1506"/>
      <c r="AH250" s="1506"/>
      <c r="AI250" s="1506"/>
      <c r="AJ250" s="1506"/>
      <c r="AK250" s="1506"/>
      <c r="AL250" s="1506"/>
      <c r="AM250" s="1506"/>
      <c r="AN250" s="1506"/>
      <c r="AO250" s="1506"/>
      <c r="AP250" s="1506"/>
      <c r="AQ250" s="1506"/>
      <c r="AR250" s="1506"/>
      <c r="AS250" s="1506"/>
      <c r="AT250" s="1506"/>
      <c r="AU250" s="1506"/>
      <c r="AV250" s="1506"/>
      <c r="AW250" s="1506"/>
      <c r="AX250" s="1506"/>
      <c r="AY250" s="1506"/>
      <c r="AZ250" s="1506"/>
      <c r="BA250" s="1506"/>
      <c r="BB250" s="1506"/>
      <c r="BC250" s="1506"/>
      <c r="BD250" s="1506"/>
      <c r="BE250" s="1506"/>
      <c r="BF250" s="1506"/>
      <c r="BG250" s="1506"/>
      <c r="BH250" s="1506"/>
      <c r="BI250" s="1506"/>
      <c r="BJ250" s="1506"/>
      <c r="BK250" s="1506"/>
      <c r="BL250" s="1506"/>
      <c r="BM250" s="1506"/>
      <c r="BN250" s="1506"/>
      <c r="BO250" s="1506"/>
      <c r="BP250" s="1506"/>
      <c r="BQ250" s="1506"/>
      <c r="BR250" s="1506"/>
      <c r="BS250" s="1506"/>
      <c r="BT250" s="1506"/>
      <c r="BU250" s="1506"/>
      <c r="BV250" s="1506"/>
      <c r="BW250" s="1506"/>
      <c r="BX250" s="1506"/>
      <c r="BY250" s="1506"/>
      <c r="BZ250" s="1506"/>
      <c r="CA250" s="1506"/>
      <c r="CB250" s="1506"/>
      <c r="CC250" s="1506"/>
      <c r="CD250" s="1506"/>
      <c r="CE250" s="1506"/>
      <c r="CF250" s="1506"/>
      <c r="CG250" s="1506"/>
      <c r="CH250" s="1506"/>
      <c r="CI250" s="1506"/>
      <c r="CJ250" s="1506"/>
      <c r="CK250" s="1506"/>
      <c r="CL250" s="1506"/>
      <c r="CM250" s="1506"/>
      <c r="CN250" s="1506"/>
      <c r="CO250" s="1506"/>
      <c r="CP250" s="1506"/>
      <c r="CQ250" s="1506"/>
      <c r="CR250" s="1506"/>
      <c r="CS250" s="1506"/>
      <c r="CT250" s="1506"/>
      <c r="CU250" s="1506"/>
      <c r="CV250" s="1506"/>
      <c r="CW250" s="1506"/>
      <c r="CX250" s="1506"/>
      <c r="CY250" s="1506"/>
      <c r="CZ250" s="1506"/>
      <c r="DA250" s="1506"/>
      <c r="DB250" s="1506"/>
      <c r="DC250" s="1506"/>
      <c r="DD250" s="1506"/>
      <c r="DE250" s="1506"/>
      <c r="DF250" s="1506"/>
      <c r="DG250" s="1506"/>
      <c r="DH250" s="1506"/>
      <c r="DI250" s="1506"/>
      <c r="DJ250" s="1506"/>
      <c r="DK250" s="1506"/>
      <c r="DL250" s="1506"/>
      <c r="DM250" s="1506"/>
      <c r="DN250" s="1506"/>
      <c r="DO250" s="1506"/>
      <c r="DP250" s="1506"/>
      <c r="DQ250" s="1506"/>
      <c r="DR250" s="1506"/>
      <c r="DS250" s="1506"/>
      <c r="DT250" s="1506"/>
      <c r="DU250" s="1506"/>
      <c r="DV250" s="1506"/>
      <c r="DW250" s="1506"/>
      <c r="DX250" s="1506"/>
      <c r="DY250" s="1506"/>
      <c r="DZ250" s="1506"/>
      <c r="EA250" s="1506"/>
      <c r="EB250" s="1506"/>
      <c r="EC250" s="1506"/>
      <c r="ED250" s="1506"/>
      <c r="EE250" s="1506"/>
      <c r="EF250" s="1506"/>
      <c r="EG250" s="1506"/>
      <c r="EH250" s="1506"/>
      <c r="EI250" s="1506"/>
      <c r="EJ250" s="1506"/>
      <c r="EK250" s="1506"/>
      <c r="EL250" s="1506"/>
      <c r="EM250" s="1506"/>
      <c r="EN250" s="1506"/>
      <c r="EO250" s="1506"/>
      <c r="EP250" s="1506"/>
      <c r="EQ250" s="1506"/>
      <c r="ER250" s="1506"/>
      <c r="ES250" s="1506"/>
      <c r="ET250" s="1506"/>
      <c r="EU250" s="1506"/>
      <c r="EV250" s="1506"/>
      <c r="EW250" s="1506"/>
      <c r="EX250" s="1506"/>
      <c r="EY250" s="1506"/>
      <c r="EZ250" s="1506"/>
      <c r="FA250" s="1506"/>
      <c r="FB250" s="1506"/>
      <c r="FC250" s="1506"/>
      <c r="FD250" s="1506"/>
      <c r="FE250" s="1506"/>
      <c r="FF250" s="1506"/>
      <c r="FG250" s="1506"/>
      <c r="FH250" s="1506"/>
      <c r="FI250" s="1506"/>
      <c r="FJ250" s="1506"/>
      <c r="FK250" s="1506"/>
      <c r="FL250" s="1506"/>
      <c r="FM250" s="1506"/>
      <c r="FN250" s="1506"/>
      <c r="FO250" s="1506"/>
      <c r="FP250" s="1506"/>
      <c r="FQ250" s="1506"/>
      <c r="FR250" s="1506"/>
      <c r="FS250" s="1506"/>
      <c r="FT250" s="1506"/>
      <c r="FU250" s="1506"/>
      <c r="FV250" s="1506"/>
      <c r="FW250" s="1506"/>
      <c r="FX250" s="1506"/>
      <c r="FY250" s="1506"/>
      <c r="FZ250" s="1506"/>
      <c r="GA250" s="1506"/>
      <c r="GB250" s="1506"/>
      <c r="GC250" s="1506"/>
    </row>
    <row r="251" spans="1:185" s="93" customFormat="1" ht="12.95" customHeight="1">
      <c r="A251" s="1004"/>
      <c r="B251" s="1004"/>
      <c r="C251" s="1506"/>
      <c r="D251" s="1506"/>
      <c r="E251" s="486"/>
      <c r="F251" s="537"/>
      <c r="G251" s="2128" t="s">
        <v>1268</v>
      </c>
      <c r="H251" s="2128"/>
      <c r="I251" s="2128"/>
      <c r="J251" s="538" t="s">
        <v>1269</v>
      </c>
      <c r="K251" s="539" t="s">
        <v>1270</v>
      </c>
      <c r="L251" s="539" t="s">
        <v>1271</v>
      </c>
      <c r="M251" s="540" t="str">
        <f t="shared" si="44"/>
        <v>10a 10b</v>
      </c>
      <c r="N251" s="2060"/>
      <c r="O251" s="1506"/>
      <c r="P251" s="1506"/>
      <c r="Q251" s="1506"/>
      <c r="R251" s="1506"/>
      <c r="S251" s="1506"/>
      <c r="T251" s="1506"/>
      <c r="U251" s="1506"/>
      <c r="V251" s="1506"/>
      <c r="W251" s="1506"/>
      <c r="X251" s="1506"/>
      <c r="Y251" s="1506"/>
      <c r="Z251" s="1506"/>
      <c r="AA251" s="1506"/>
      <c r="AB251" s="1506"/>
      <c r="AC251" s="1506"/>
      <c r="AD251" s="1509"/>
      <c r="AE251" s="1506"/>
      <c r="AF251" s="1506"/>
      <c r="AG251" s="1506"/>
      <c r="AH251" s="1506"/>
      <c r="AI251" s="1506"/>
      <c r="AJ251" s="1506"/>
      <c r="AK251" s="1506"/>
      <c r="AL251" s="1506"/>
      <c r="AM251" s="1506"/>
      <c r="AN251" s="1506"/>
      <c r="AO251" s="1506"/>
      <c r="AP251" s="1506"/>
      <c r="AQ251" s="1506"/>
      <c r="AR251" s="1506"/>
      <c r="AS251" s="1506"/>
      <c r="AT251" s="1506"/>
      <c r="AU251" s="1506"/>
      <c r="AV251" s="1506"/>
      <c r="AW251" s="1506"/>
      <c r="AX251" s="1506"/>
      <c r="AY251" s="1506"/>
      <c r="AZ251" s="1506"/>
      <c r="BA251" s="1506"/>
      <c r="BB251" s="1506"/>
      <c r="BC251" s="1506"/>
      <c r="BD251" s="1506"/>
      <c r="BE251" s="1506"/>
      <c r="BF251" s="1506"/>
      <c r="BG251" s="1506"/>
      <c r="BH251" s="1506"/>
      <c r="BI251" s="1506"/>
      <c r="BJ251" s="1506"/>
      <c r="BK251" s="1506"/>
      <c r="BL251" s="1506"/>
      <c r="BM251" s="1506"/>
      <c r="BN251" s="1506"/>
      <c r="BO251" s="1506"/>
      <c r="BP251" s="1506"/>
      <c r="BQ251" s="1506"/>
      <c r="BR251" s="1506"/>
      <c r="BS251" s="1506"/>
      <c r="BT251" s="1506"/>
      <c r="BU251" s="1506"/>
      <c r="BV251" s="1506"/>
      <c r="BW251" s="1506"/>
      <c r="BX251" s="1506"/>
      <c r="BY251" s="1506"/>
      <c r="BZ251" s="1506"/>
      <c r="CA251" s="1506"/>
      <c r="CB251" s="1506"/>
      <c r="CC251" s="1506"/>
      <c r="CD251" s="1506"/>
      <c r="CE251" s="1506"/>
      <c r="CF251" s="1506"/>
      <c r="CG251" s="1506"/>
      <c r="CH251" s="1506"/>
      <c r="CI251" s="1506"/>
      <c r="CJ251" s="1506"/>
      <c r="CK251" s="1506"/>
      <c r="CL251" s="1506"/>
      <c r="CM251" s="1506"/>
      <c r="CN251" s="1506"/>
      <c r="CO251" s="1506"/>
      <c r="CP251" s="1506"/>
      <c r="CQ251" s="1506"/>
      <c r="CR251" s="1506"/>
      <c r="CS251" s="1506"/>
      <c r="CT251" s="1506"/>
      <c r="CU251" s="1506"/>
      <c r="CV251" s="1506"/>
      <c r="CW251" s="1506"/>
      <c r="CX251" s="1506"/>
      <c r="CY251" s="1506"/>
      <c r="CZ251" s="1506"/>
      <c r="DA251" s="1506"/>
      <c r="DB251" s="1506"/>
      <c r="DC251" s="1506"/>
      <c r="DD251" s="1506"/>
      <c r="DE251" s="1506"/>
      <c r="DF251" s="1506"/>
      <c r="DG251" s="1506"/>
      <c r="DH251" s="1506"/>
      <c r="DI251" s="1506"/>
      <c r="DJ251" s="1506"/>
      <c r="DK251" s="1506"/>
      <c r="DL251" s="1506"/>
      <c r="DM251" s="1506"/>
      <c r="DN251" s="1506"/>
      <c r="DO251" s="1506"/>
      <c r="DP251" s="1506"/>
      <c r="DQ251" s="1506"/>
      <c r="DR251" s="1506"/>
      <c r="DS251" s="1506"/>
      <c r="DT251" s="1506"/>
      <c r="DU251" s="1506"/>
      <c r="DV251" s="1506"/>
      <c r="DW251" s="1506"/>
      <c r="DX251" s="1506"/>
      <c r="DY251" s="1506"/>
      <c r="DZ251" s="1506"/>
      <c r="EA251" s="1506"/>
      <c r="EB251" s="1506"/>
      <c r="EC251" s="1506"/>
      <c r="ED251" s="1506"/>
      <c r="EE251" s="1506"/>
      <c r="EF251" s="1506"/>
      <c r="EG251" s="1506"/>
      <c r="EH251" s="1506"/>
      <c r="EI251" s="1506"/>
      <c r="EJ251" s="1506"/>
      <c r="EK251" s="1506"/>
      <c r="EL251" s="1506"/>
      <c r="EM251" s="1506"/>
      <c r="EN251" s="1506"/>
      <c r="EO251" s="1506"/>
      <c r="EP251" s="1506"/>
      <c r="EQ251" s="1506"/>
      <c r="ER251" s="1506"/>
      <c r="ES251" s="1506"/>
      <c r="ET251" s="1506"/>
      <c r="EU251" s="1506"/>
      <c r="EV251" s="1506"/>
      <c r="EW251" s="1506"/>
      <c r="EX251" s="1506"/>
      <c r="EY251" s="1506"/>
      <c r="EZ251" s="1506"/>
      <c r="FA251" s="1506"/>
      <c r="FB251" s="1506"/>
      <c r="FC251" s="1506"/>
      <c r="FD251" s="1506"/>
      <c r="FE251" s="1506"/>
      <c r="FF251" s="1506"/>
      <c r="FG251" s="1506"/>
      <c r="FH251" s="1506"/>
      <c r="FI251" s="1506"/>
      <c r="FJ251" s="1506"/>
      <c r="FK251" s="1506"/>
      <c r="FL251" s="1506"/>
      <c r="FM251" s="1506"/>
      <c r="FN251" s="1506"/>
      <c r="FO251" s="1506"/>
      <c r="FP251" s="1506"/>
      <c r="FQ251" s="1506"/>
      <c r="FR251" s="1506"/>
      <c r="FS251" s="1506"/>
      <c r="FT251" s="1506"/>
      <c r="FU251" s="1506"/>
      <c r="FV251" s="1506"/>
      <c r="FW251" s="1506"/>
      <c r="FX251" s="1506"/>
      <c r="FY251" s="1506"/>
      <c r="FZ251" s="1506"/>
      <c r="GA251" s="1506"/>
      <c r="GB251" s="1506"/>
      <c r="GC251" s="1506"/>
    </row>
    <row r="252" spans="1:185" s="93" customFormat="1" ht="12.95" customHeight="1">
      <c r="A252" s="1004"/>
      <c r="B252" s="1004"/>
      <c r="C252" s="1506"/>
      <c r="D252" s="1506"/>
      <c r="E252" s="486">
        <f>MIN(YEAR(Valuation_date),LatestPremiaYear)</f>
        <v>2017</v>
      </c>
      <c r="F252" s="2146" t="s">
        <v>1272</v>
      </c>
      <c r="G252" s="2147" t="s">
        <v>1273</v>
      </c>
      <c r="H252" s="2147" t="s">
        <v>1274</v>
      </c>
      <c r="I252" s="2147" t="s">
        <v>1275</v>
      </c>
      <c r="J252" s="2147" t="s">
        <v>1276</v>
      </c>
      <c r="K252" s="2147" t="s">
        <v>1272</v>
      </c>
      <c r="L252" s="2147" t="s">
        <v>1272</v>
      </c>
      <c r="M252" s="2148" t="str">
        <f t="shared" si="44"/>
        <v>Decile</v>
      </c>
      <c r="N252" s="2060"/>
      <c r="O252" s="1506"/>
      <c r="P252" s="1506"/>
      <c r="Q252" s="1506"/>
      <c r="R252" s="1506"/>
      <c r="S252" s="1506"/>
      <c r="T252" s="1506"/>
      <c r="U252" s="1506"/>
      <c r="V252" s="1506"/>
      <c r="W252" s="1506"/>
      <c r="X252" s="1506"/>
      <c r="Y252" s="1506"/>
      <c r="Z252" s="1506"/>
      <c r="AA252" s="1506"/>
      <c r="AB252" s="1506"/>
      <c r="AC252" s="1506"/>
      <c r="AD252" s="1509"/>
      <c r="AE252" s="1506"/>
      <c r="AF252" s="1506"/>
      <c r="AG252" s="1506"/>
      <c r="AH252" s="1506"/>
      <c r="AI252" s="1506"/>
      <c r="AJ252" s="1506"/>
      <c r="AK252" s="1506"/>
      <c r="AL252" s="1506"/>
      <c r="AM252" s="1506"/>
      <c r="AN252" s="1506"/>
      <c r="AO252" s="1506"/>
      <c r="AP252" s="1506"/>
      <c r="AQ252" s="1506"/>
      <c r="AR252" s="1506"/>
      <c r="AS252" s="1506"/>
      <c r="AT252" s="1506"/>
      <c r="AU252" s="1506"/>
      <c r="AV252" s="1506"/>
      <c r="AW252" s="1506"/>
      <c r="AX252" s="1506"/>
      <c r="AY252" s="1506"/>
      <c r="AZ252" s="1506"/>
      <c r="BA252" s="1506"/>
      <c r="BB252" s="1506"/>
      <c r="BC252" s="1506"/>
      <c r="BD252" s="1506"/>
      <c r="BE252" s="1506"/>
      <c r="BF252" s="1506"/>
      <c r="BG252" s="1506"/>
      <c r="BH252" s="1506"/>
      <c r="BI252" s="1506"/>
      <c r="BJ252" s="1506"/>
      <c r="BK252" s="1506"/>
      <c r="BL252" s="1506"/>
      <c r="BM252" s="1506"/>
      <c r="BN252" s="1506"/>
      <c r="BO252" s="1506"/>
      <c r="BP252" s="1506"/>
      <c r="BQ252" s="1506"/>
      <c r="BR252" s="1506"/>
      <c r="BS252" s="1506"/>
      <c r="BT252" s="1506"/>
      <c r="BU252" s="1506"/>
      <c r="BV252" s="1506"/>
      <c r="BW252" s="1506"/>
      <c r="BX252" s="1506"/>
      <c r="BY252" s="1506"/>
      <c r="BZ252" s="1506"/>
      <c r="CA252" s="1506"/>
      <c r="CB252" s="1506"/>
      <c r="CC252" s="1506"/>
      <c r="CD252" s="1506"/>
      <c r="CE252" s="1506"/>
      <c r="CF252" s="1506"/>
      <c r="CG252" s="1506"/>
      <c r="CH252" s="1506"/>
      <c r="CI252" s="1506"/>
      <c r="CJ252" s="1506"/>
      <c r="CK252" s="1506"/>
      <c r="CL252" s="1506"/>
      <c r="CM252" s="1506"/>
      <c r="CN252" s="1506"/>
      <c r="CO252" s="1506"/>
      <c r="CP252" s="1506"/>
      <c r="CQ252" s="1506"/>
      <c r="CR252" s="1506"/>
      <c r="CS252" s="1506"/>
      <c r="CT252" s="1506"/>
      <c r="CU252" s="1506"/>
      <c r="CV252" s="1506"/>
      <c r="CW252" s="1506"/>
      <c r="CX252" s="1506"/>
      <c r="CY252" s="1506"/>
      <c r="CZ252" s="1506"/>
      <c r="DA252" s="1506"/>
      <c r="DB252" s="1506"/>
      <c r="DC252" s="1506"/>
      <c r="DD252" s="1506"/>
      <c r="DE252" s="1506"/>
      <c r="DF252" s="1506"/>
      <c r="DG252" s="1506"/>
      <c r="DH252" s="1506"/>
      <c r="DI252" s="1506"/>
      <c r="DJ252" s="1506"/>
      <c r="DK252" s="1506"/>
      <c r="DL252" s="1506"/>
      <c r="DM252" s="1506"/>
      <c r="DN252" s="1506"/>
      <c r="DO252" s="1506"/>
      <c r="DP252" s="1506"/>
      <c r="DQ252" s="1506"/>
      <c r="DR252" s="1506"/>
      <c r="DS252" s="1506"/>
      <c r="DT252" s="1506"/>
      <c r="DU252" s="1506"/>
      <c r="DV252" s="1506"/>
      <c r="DW252" s="1506"/>
      <c r="DX252" s="1506"/>
      <c r="DY252" s="1506"/>
      <c r="DZ252" s="1506"/>
      <c r="EA252" s="1506"/>
      <c r="EB252" s="1506"/>
      <c r="EC252" s="1506"/>
      <c r="ED252" s="1506"/>
      <c r="EE252" s="1506"/>
      <c r="EF252" s="1506"/>
      <c r="EG252" s="1506"/>
      <c r="EH252" s="1506"/>
      <c r="EI252" s="1506"/>
      <c r="EJ252" s="1506"/>
      <c r="EK252" s="1506"/>
      <c r="EL252" s="1506"/>
      <c r="EM252" s="1506"/>
      <c r="EN252" s="1506"/>
      <c r="EO252" s="1506"/>
      <c r="EP252" s="1506"/>
      <c r="EQ252" s="1506"/>
      <c r="ER252" s="1506"/>
      <c r="ES252" s="1506"/>
      <c r="ET252" s="1506"/>
      <c r="EU252" s="1506"/>
      <c r="EV252" s="1506"/>
      <c r="EW252" s="1506"/>
      <c r="EX252" s="1506"/>
      <c r="EY252" s="1506"/>
      <c r="EZ252" s="1506"/>
      <c r="FA252" s="1506"/>
      <c r="FB252" s="1506"/>
      <c r="FC252" s="1506"/>
      <c r="FD252" s="1506"/>
      <c r="FE252" s="1506"/>
      <c r="FF252" s="1506"/>
      <c r="FG252" s="1506"/>
      <c r="FH252" s="1506"/>
      <c r="FI252" s="1506"/>
      <c r="FJ252" s="1506"/>
      <c r="FK252" s="1506"/>
      <c r="FL252" s="1506"/>
      <c r="FM252" s="1506"/>
      <c r="FN252" s="1506"/>
      <c r="FO252" s="1506"/>
      <c r="FP252" s="1506"/>
      <c r="FQ252" s="1506"/>
      <c r="FR252" s="1506"/>
      <c r="FS252" s="1506"/>
      <c r="FT252" s="1506"/>
      <c r="FU252" s="1506"/>
      <c r="FV252" s="1506"/>
      <c r="FW252" s="1506"/>
      <c r="FX252" s="1506"/>
      <c r="FY252" s="1506"/>
      <c r="FZ252" s="1506"/>
      <c r="GA252" s="1506"/>
      <c r="GB252" s="1506"/>
      <c r="GC252" s="1506"/>
    </row>
    <row r="253" spans="1:185" s="93" customFormat="1" ht="12.95" customHeight="1">
      <c r="A253" s="1004"/>
      <c r="B253" s="1004"/>
      <c r="C253" s="1506"/>
      <c r="D253" s="1506"/>
      <c r="E253" s="487" t="str">
        <f t="shared" ref="E253:E263" si="45">$E$252&amp;$F253</f>
        <v>201710b</v>
      </c>
      <c r="F253" s="488" t="s">
        <v>1277</v>
      </c>
      <c r="G253" s="541">
        <f>N(INDEX(Reference!I$341:I$549,MATCH($E253,Reference!$H$341:$H$549,0)))*Scale</f>
        <v>0</v>
      </c>
      <c r="H253" s="541">
        <f t="shared" ref="H253:H263" si="46">IF(AND(G253&lt;SubjMktValue,I253&gt;SubjMktValue),SubjMktValue,0)</f>
        <v>0</v>
      </c>
      <c r="I253" s="489">
        <f>N(INDEX(Reference!J$341:J$549,MATCH($E253,Reference!$H$341:$H$549,0)))*Scale</f>
        <v>127.279</v>
      </c>
      <c r="J253" s="490">
        <f>INDEX(Reference!K$341:K$549,MATCH($E253,Reference!$H$341:$H$549,0))</f>
        <v>3.6700000000000003E-2</v>
      </c>
      <c r="K253" s="490">
        <f>INDEX(Reference!L$341:L$549,MATCH($E253,Reference!$H$341:$H$549,0))</f>
        <v>8.6400000000000005E-2</v>
      </c>
      <c r="L253" s="490">
        <f>INDEX(Reference!M$341:M$549,MATCH($E253,Reference!$H$341:$H$549,0))</f>
        <v>5.5899999999999998E-2</v>
      </c>
      <c r="M253" s="491">
        <f t="shared" si="44"/>
        <v>8.6400000000000005E-2</v>
      </c>
      <c r="N253" s="2060"/>
      <c r="O253" s="2121"/>
      <c r="P253" s="1506"/>
      <c r="Q253" s="1506"/>
      <c r="R253" s="1506"/>
      <c r="S253" s="1506"/>
      <c r="T253" s="1506"/>
      <c r="U253" s="1506"/>
      <c r="V253" s="1506"/>
      <c r="W253" s="1506"/>
      <c r="X253" s="1506"/>
      <c r="Y253" s="1506"/>
      <c r="Z253" s="1506"/>
      <c r="AA253" s="1506"/>
      <c r="AB253" s="1506"/>
      <c r="AC253" s="1506"/>
      <c r="AD253" s="1509"/>
      <c r="AE253" s="1506"/>
      <c r="AF253" s="1506"/>
      <c r="AG253" s="1506"/>
      <c r="AH253" s="1506"/>
      <c r="AI253" s="1506"/>
      <c r="AJ253" s="1506"/>
      <c r="AK253" s="1506"/>
      <c r="AL253" s="1506"/>
      <c r="AM253" s="1506"/>
      <c r="AN253" s="1506"/>
      <c r="AO253" s="1506"/>
      <c r="AP253" s="1506"/>
      <c r="AQ253" s="1506"/>
      <c r="AR253" s="1506"/>
      <c r="AS253" s="1506"/>
      <c r="AT253" s="1506"/>
      <c r="AU253" s="1506"/>
      <c r="AV253" s="1506"/>
      <c r="AW253" s="1506"/>
      <c r="AX253" s="1506"/>
      <c r="AY253" s="1506"/>
      <c r="AZ253" s="1506"/>
      <c r="BA253" s="1506"/>
      <c r="BB253" s="1506"/>
      <c r="BC253" s="1506"/>
      <c r="BD253" s="1506"/>
      <c r="BE253" s="1506"/>
      <c r="BF253" s="1506"/>
      <c r="BG253" s="1506"/>
      <c r="BH253" s="1506"/>
      <c r="BI253" s="1506"/>
      <c r="BJ253" s="1506"/>
      <c r="BK253" s="1506"/>
      <c r="BL253" s="1506"/>
      <c r="BM253" s="1506"/>
      <c r="BN253" s="1506"/>
      <c r="BO253" s="1506"/>
      <c r="BP253" s="1506"/>
      <c r="BQ253" s="1506"/>
      <c r="BR253" s="1506"/>
      <c r="BS253" s="1506"/>
      <c r="BT253" s="1506"/>
      <c r="BU253" s="1506"/>
      <c r="BV253" s="1506"/>
      <c r="BW253" s="1506"/>
      <c r="BX253" s="1506"/>
      <c r="BY253" s="1506"/>
      <c r="BZ253" s="1506"/>
      <c r="CA253" s="1506"/>
      <c r="CB253" s="1506"/>
      <c r="CC253" s="1506"/>
      <c r="CD253" s="1506"/>
      <c r="CE253" s="1506"/>
      <c r="CF253" s="1506"/>
      <c r="CG253" s="1506"/>
      <c r="CH253" s="1506"/>
      <c r="CI253" s="1506"/>
      <c r="CJ253" s="1506"/>
      <c r="CK253" s="1506"/>
      <c r="CL253" s="1506"/>
      <c r="CM253" s="1506"/>
      <c r="CN253" s="1506"/>
      <c r="CO253" s="1506"/>
      <c r="CP253" s="1506"/>
      <c r="CQ253" s="1506"/>
      <c r="CR253" s="1506"/>
      <c r="CS253" s="1506"/>
      <c r="CT253" s="1506"/>
      <c r="CU253" s="1506"/>
      <c r="CV253" s="1506"/>
      <c r="CW253" s="1506"/>
      <c r="CX253" s="1506"/>
      <c r="CY253" s="1506"/>
      <c r="CZ253" s="1506"/>
      <c r="DA253" s="1506"/>
      <c r="DB253" s="1506"/>
      <c r="DC253" s="1506"/>
      <c r="DD253" s="1506"/>
      <c r="DE253" s="1506"/>
      <c r="DF253" s="1506"/>
      <c r="DG253" s="1506"/>
      <c r="DH253" s="1506"/>
      <c r="DI253" s="1506"/>
      <c r="DJ253" s="1506"/>
      <c r="DK253" s="1506"/>
      <c r="DL253" s="1506"/>
      <c r="DM253" s="1506"/>
      <c r="DN253" s="1506"/>
      <c r="DO253" s="1506"/>
      <c r="DP253" s="1506"/>
      <c r="DQ253" s="1506"/>
      <c r="DR253" s="1506"/>
      <c r="DS253" s="1506"/>
      <c r="DT253" s="1506"/>
      <c r="DU253" s="1506"/>
      <c r="DV253" s="1506"/>
      <c r="DW253" s="1506"/>
      <c r="DX253" s="1506"/>
      <c r="DY253" s="1506"/>
      <c r="DZ253" s="1506"/>
      <c r="EA253" s="1506"/>
      <c r="EB253" s="1506"/>
      <c r="EC253" s="1506"/>
      <c r="ED253" s="1506"/>
      <c r="EE253" s="1506"/>
      <c r="EF253" s="1506"/>
      <c r="EG253" s="1506"/>
      <c r="EH253" s="1506"/>
      <c r="EI253" s="1506"/>
      <c r="EJ253" s="1506"/>
      <c r="EK253" s="1506"/>
      <c r="EL253" s="1506"/>
      <c r="EM253" s="1506"/>
      <c r="EN253" s="1506"/>
      <c r="EO253" s="1506"/>
      <c r="EP253" s="1506"/>
      <c r="EQ253" s="1506"/>
      <c r="ER253" s="1506"/>
      <c r="ES253" s="1506"/>
      <c r="ET253" s="1506"/>
      <c r="EU253" s="1506"/>
      <c r="EV253" s="1506"/>
      <c r="EW253" s="1506"/>
      <c r="EX253" s="1506"/>
      <c r="EY253" s="1506"/>
      <c r="EZ253" s="1506"/>
      <c r="FA253" s="1506"/>
      <c r="FB253" s="1506"/>
      <c r="FC253" s="1506"/>
      <c r="FD253" s="1506"/>
      <c r="FE253" s="1506"/>
      <c r="FF253" s="1506"/>
      <c r="FG253" s="1506"/>
      <c r="FH253" s="1506"/>
      <c r="FI253" s="1506"/>
      <c r="FJ253" s="1506"/>
      <c r="FK253" s="1506"/>
      <c r="FL253" s="1506"/>
      <c r="FM253" s="1506"/>
      <c r="FN253" s="1506"/>
      <c r="FO253" s="1506"/>
      <c r="FP253" s="1506"/>
      <c r="FQ253" s="1506"/>
      <c r="FR253" s="1506"/>
      <c r="FS253" s="1506"/>
      <c r="FT253" s="1506"/>
      <c r="FU253" s="1506"/>
      <c r="FV253" s="1506"/>
      <c r="FW253" s="1506"/>
      <c r="FX253" s="1506"/>
      <c r="FY253" s="1506"/>
      <c r="FZ253" s="1506"/>
      <c r="GA253" s="1506"/>
      <c r="GB253" s="1506"/>
      <c r="GC253" s="1506"/>
    </row>
    <row r="254" spans="1:185" s="93" customFormat="1" ht="12.95" customHeight="1">
      <c r="A254" s="1004"/>
      <c r="B254" s="1004"/>
      <c r="C254" s="1506"/>
      <c r="D254" s="1506"/>
      <c r="E254" s="487" t="str">
        <f t="shared" si="45"/>
        <v>201710a</v>
      </c>
      <c r="F254" s="488" t="s">
        <v>1278</v>
      </c>
      <c r="G254" s="489">
        <f>N(INDEX(Reference!I$341:I$549,MATCH($E254,Reference!$H$341:$H$549,0)))*Scale</f>
        <v>127.28</v>
      </c>
      <c r="H254" s="541">
        <f t="shared" si="46"/>
        <v>0</v>
      </c>
      <c r="I254" s="489">
        <f>N(INDEX(Reference!J$341:J$549,MATCH($E254,Reference!$H$341:$H$549,0)))*Scale</f>
        <v>262.89100000000002</v>
      </c>
      <c r="J254" s="490">
        <f>INDEX(Reference!K$341:K$549,MATCH($E254,Reference!$H$341:$H$549,0))</f>
        <v>3.6700000000000003E-2</v>
      </c>
      <c r="K254" s="490">
        <f>INDEX(Reference!L$341:L$549,MATCH($E254,Reference!$H$341:$H$549,0))</f>
        <v>4.0899999999999999E-2</v>
      </c>
      <c r="L254" s="490">
        <f>INDEX(Reference!M$341:M$549,MATCH($E254,Reference!$H$341:$H$549,0))</f>
        <v>5.5899999999999998E-2</v>
      </c>
      <c r="M254" s="491">
        <f t="shared" si="44"/>
        <v>4.0899999999999999E-2</v>
      </c>
      <c r="N254" s="2060"/>
      <c r="O254" s="2121"/>
      <c r="P254" s="1506"/>
      <c r="Q254" s="1506"/>
      <c r="R254" s="1506"/>
      <c r="S254" s="1506"/>
      <c r="T254" s="1506"/>
      <c r="U254" s="1506"/>
      <c r="V254" s="1506"/>
      <c r="W254" s="1506"/>
      <c r="X254" s="1506"/>
      <c r="Y254" s="1506"/>
      <c r="Z254" s="1506"/>
      <c r="AA254" s="1506"/>
      <c r="AB254" s="1506"/>
      <c r="AC254" s="1506"/>
      <c r="AD254" s="1509"/>
      <c r="AE254" s="1506"/>
      <c r="AF254" s="1506"/>
      <c r="AG254" s="1506"/>
      <c r="AH254" s="1506"/>
      <c r="AI254" s="1506"/>
      <c r="AJ254" s="1506"/>
      <c r="AK254" s="1506"/>
      <c r="AL254" s="1506"/>
      <c r="AM254" s="1506"/>
      <c r="AN254" s="1506"/>
      <c r="AO254" s="1506"/>
      <c r="AP254" s="1506"/>
      <c r="AQ254" s="1506"/>
      <c r="AR254" s="1506"/>
      <c r="AS254" s="1506"/>
      <c r="AT254" s="1506"/>
      <c r="AU254" s="1506"/>
      <c r="AV254" s="1506"/>
      <c r="AW254" s="1506"/>
      <c r="AX254" s="1506"/>
      <c r="AY254" s="1506"/>
      <c r="AZ254" s="1506"/>
      <c r="BA254" s="1506"/>
      <c r="BB254" s="1506"/>
      <c r="BC254" s="1506"/>
      <c r="BD254" s="1506"/>
      <c r="BE254" s="1506"/>
      <c r="BF254" s="1506"/>
      <c r="BG254" s="1506"/>
      <c r="BH254" s="1506"/>
      <c r="BI254" s="1506"/>
      <c r="BJ254" s="1506"/>
      <c r="BK254" s="1506"/>
      <c r="BL254" s="1506"/>
      <c r="BM254" s="1506"/>
      <c r="BN254" s="1506"/>
      <c r="BO254" s="1506"/>
      <c r="BP254" s="1506"/>
      <c r="BQ254" s="1506"/>
      <c r="BR254" s="1506"/>
      <c r="BS254" s="1506"/>
      <c r="BT254" s="1506"/>
      <c r="BU254" s="1506"/>
      <c r="BV254" s="1506"/>
      <c r="BW254" s="1506"/>
      <c r="BX254" s="1506"/>
      <c r="BY254" s="1506"/>
      <c r="BZ254" s="1506"/>
      <c r="CA254" s="1506"/>
      <c r="CB254" s="1506"/>
      <c r="CC254" s="1506"/>
      <c r="CD254" s="1506"/>
      <c r="CE254" s="1506"/>
      <c r="CF254" s="1506"/>
      <c r="CG254" s="1506"/>
      <c r="CH254" s="1506"/>
      <c r="CI254" s="1506"/>
      <c r="CJ254" s="1506"/>
      <c r="CK254" s="1506"/>
      <c r="CL254" s="1506"/>
      <c r="CM254" s="1506"/>
      <c r="CN254" s="1506"/>
      <c r="CO254" s="1506"/>
      <c r="CP254" s="1506"/>
      <c r="CQ254" s="1506"/>
      <c r="CR254" s="1506"/>
      <c r="CS254" s="1506"/>
      <c r="CT254" s="1506"/>
      <c r="CU254" s="1506"/>
      <c r="CV254" s="1506"/>
      <c r="CW254" s="1506"/>
      <c r="CX254" s="1506"/>
      <c r="CY254" s="1506"/>
      <c r="CZ254" s="1506"/>
      <c r="DA254" s="1506"/>
      <c r="DB254" s="1506"/>
      <c r="DC254" s="1506"/>
      <c r="DD254" s="1506"/>
      <c r="DE254" s="1506"/>
      <c r="DF254" s="1506"/>
      <c r="DG254" s="1506"/>
      <c r="DH254" s="1506"/>
      <c r="DI254" s="1506"/>
      <c r="DJ254" s="1506"/>
      <c r="DK254" s="1506"/>
      <c r="DL254" s="1506"/>
      <c r="DM254" s="1506"/>
      <c r="DN254" s="1506"/>
      <c r="DO254" s="1506"/>
      <c r="DP254" s="1506"/>
      <c r="DQ254" s="1506"/>
      <c r="DR254" s="1506"/>
      <c r="DS254" s="1506"/>
      <c r="DT254" s="1506"/>
      <c r="DU254" s="1506"/>
      <c r="DV254" s="1506"/>
      <c r="DW254" s="1506"/>
      <c r="DX254" s="1506"/>
      <c r="DY254" s="1506"/>
      <c r="DZ254" s="1506"/>
      <c r="EA254" s="1506"/>
      <c r="EB254" s="1506"/>
      <c r="EC254" s="1506"/>
      <c r="ED254" s="1506"/>
      <c r="EE254" s="1506"/>
      <c r="EF254" s="1506"/>
      <c r="EG254" s="1506"/>
      <c r="EH254" s="1506"/>
      <c r="EI254" s="1506"/>
      <c r="EJ254" s="1506"/>
      <c r="EK254" s="1506"/>
      <c r="EL254" s="1506"/>
      <c r="EM254" s="1506"/>
      <c r="EN254" s="1506"/>
      <c r="EO254" s="1506"/>
      <c r="EP254" s="1506"/>
      <c r="EQ254" s="1506"/>
      <c r="ER254" s="1506"/>
      <c r="ES254" s="1506"/>
      <c r="ET254" s="1506"/>
      <c r="EU254" s="1506"/>
      <c r="EV254" s="1506"/>
      <c r="EW254" s="1506"/>
      <c r="EX254" s="1506"/>
      <c r="EY254" s="1506"/>
      <c r="EZ254" s="1506"/>
      <c r="FA254" s="1506"/>
      <c r="FB254" s="1506"/>
      <c r="FC254" s="1506"/>
      <c r="FD254" s="1506"/>
      <c r="FE254" s="1506"/>
      <c r="FF254" s="1506"/>
      <c r="FG254" s="1506"/>
      <c r="FH254" s="1506"/>
      <c r="FI254" s="1506"/>
      <c r="FJ254" s="1506"/>
      <c r="FK254" s="1506"/>
      <c r="FL254" s="1506"/>
      <c r="FM254" s="1506"/>
      <c r="FN254" s="1506"/>
      <c r="FO254" s="1506"/>
      <c r="FP254" s="1506"/>
      <c r="FQ254" s="1506"/>
      <c r="FR254" s="1506"/>
      <c r="FS254" s="1506"/>
      <c r="FT254" s="1506"/>
      <c r="FU254" s="1506"/>
      <c r="FV254" s="1506"/>
      <c r="FW254" s="1506"/>
      <c r="FX254" s="1506"/>
      <c r="FY254" s="1506"/>
      <c r="FZ254" s="1506"/>
      <c r="GA254" s="1506"/>
      <c r="GB254" s="1506"/>
      <c r="GC254" s="1506"/>
    </row>
    <row r="255" spans="1:185" s="93" customFormat="1" ht="12.95" customHeight="1">
      <c r="A255" s="1004"/>
      <c r="B255" s="1004"/>
      <c r="C255" s="1506"/>
      <c r="D255" s="2060"/>
      <c r="E255" s="487" t="str">
        <f t="shared" si="45"/>
        <v>20179</v>
      </c>
      <c r="F255" s="488">
        <v>9</v>
      </c>
      <c r="G255" s="489">
        <f>N(INDEX(Reference!I$341:I$549,MATCH($E255,Reference!$H$341:$H$549,0)))*Scale</f>
        <v>262.892</v>
      </c>
      <c r="H255" s="541">
        <f t="shared" si="46"/>
        <v>0</v>
      </c>
      <c r="I255" s="489">
        <f>N(INDEX(Reference!J$341:J$549,MATCH($E255,Reference!$H$341:$H$549,0)))*Scale</f>
        <v>567.84299999999996</v>
      </c>
      <c r="J255" s="490">
        <f>INDEX(Reference!K$341:K$549,MATCH($E255,Reference!$H$341:$H$549,0))</f>
        <v>3.6700000000000003E-2</v>
      </c>
      <c r="K255" s="490">
        <f>INDEX(Reference!L$341:L$549,MATCH($E255,Reference!$H$341:$H$549,0))</f>
        <v>2.6800000000000001E-2</v>
      </c>
      <c r="L255" s="490">
        <f>INDEX(Reference!M$341:M$549,MATCH($E255,Reference!$H$341:$H$549,0))</f>
        <v>2.6800000000000001E-2</v>
      </c>
      <c r="M255" s="491">
        <f t="shared" si="44"/>
        <v>2.6800000000000001E-2</v>
      </c>
      <c r="N255" s="2060"/>
      <c r="O255" s="2121"/>
      <c r="P255" s="1506"/>
      <c r="Q255" s="1506"/>
      <c r="R255" s="1506"/>
      <c r="S255" s="1506"/>
      <c r="T255" s="1506"/>
      <c r="U255" s="1506"/>
      <c r="V255" s="1506"/>
      <c r="W255" s="1506"/>
      <c r="X255" s="1506"/>
      <c r="Y255" s="1506"/>
      <c r="Z255" s="1506"/>
      <c r="AA255" s="1506"/>
      <c r="AB255" s="1506"/>
      <c r="AC255" s="1506"/>
      <c r="AD255" s="1509"/>
      <c r="AE255" s="1506"/>
      <c r="AF255" s="1506"/>
      <c r="AG255" s="1506"/>
      <c r="AH255" s="1506"/>
      <c r="AI255" s="1506"/>
      <c r="AJ255" s="1506"/>
      <c r="AK255" s="1506"/>
      <c r="AL255" s="1506"/>
      <c r="AM255" s="1506"/>
      <c r="AN255" s="1506"/>
      <c r="AO255" s="1506"/>
      <c r="AP255" s="1506"/>
      <c r="AQ255" s="1506"/>
      <c r="AR255" s="1506"/>
      <c r="AS255" s="1506"/>
      <c r="AT255" s="1506"/>
      <c r="AU255" s="1506"/>
      <c r="AV255" s="1506"/>
      <c r="AW255" s="1506"/>
      <c r="AX255" s="1506"/>
      <c r="AY255" s="1506"/>
      <c r="AZ255" s="1506"/>
      <c r="BA255" s="1506"/>
      <c r="BB255" s="1506"/>
      <c r="BC255" s="1506"/>
      <c r="BD255" s="1506"/>
      <c r="BE255" s="1506"/>
      <c r="BF255" s="1506"/>
      <c r="BG255" s="1506"/>
      <c r="BH255" s="1506"/>
      <c r="BI255" s="1506"/>
      <c r="BJ255" s="1506"/>
      <c r="BK255" s="1506"/>
      <c r="BL255" s="1506"/>
      <c r="BM255" s="1506"/>
      <c r="BN255" s="1506"/>
      <c r="BO255" s="1506"/>
      <c r="BP255" s="1506"/>
      <c r="BQ255" s="1506"/>
      <c r="BR255" s="1506"/>
      <c r="BS255" s="1506"/>
      <c r="BT255" s="1506"/>
      <c r="BU255" s="1506"/>
      <c r="BV255" s="1506"/>
      <c r="BW255" s="1506"/>
      <c r="BX255" s="1506"/>
      <c r="BY255" s="1506"/>
      <c r="BZ255" s="1506"/>
      <c r="CA255" s="1506"/>
      <c r="CB255" s="1506"/>
      <c r="CC255" s="1506"/>
      <c r="CD255" s="1506"/>
      <c r="CE255" s="1506"/>
      <c r="CF255" s="1506"/>
      <c r="CG255" s="1506"/>
      <c r="CH255" s="1506"/>
      <c r="CI255" s="1506"/>
      <c r="CJ255" s="1506"/>
      <c r="CK255" s="1506"/>
      <c r="CL255" s="1506"/>
      <c r="CM255" s="1506"/>
      <c r="CN255" s="1506"/>
      <c r="CO255" s="1506"/>
      <c r="CP255" s="1506"/>
      <c r="CQ255" s="1506"/>
      <c r="CR255" s="1506"/>
      <c r="CS255" s="1506"/>
      <c r="CT255" s="1506"/>
      <c r="CU255" s="1506"/>
      <c r="CV255" s="1506"/>
      <c r="CW255" s="1506"/>
      <c r="CX255" s="1506"/>
      <c r="CY255" s="1506"/>
      <c r="CZ255" s="1506"/>
      <c r="DA255" s="1506"/>
      <c r="DB255" s="1506"/>
      <c r="DC255" s="1506"/>
      <c r="DD255" s="1506"/>
      <c r="DE255" s="1506"/>
      <c r="DF255" s="1506"/>
      <c r="DG255" s="1506"/>
      <c r="DH255" s="1506"/>
      <c r="DI255" s="1506"/>
      <c r="DJ255" s="1506"/>
      <c r="DK255" s="1506"/>
      <c r="DL255" s="1506"/>
      <c r="DM255" s="1506"/>
      <c r="DN255" s="1506"/>
      <c r="DO255" s="1506"/>
      <c r="DP255" s="1506"/>
      <c r="DQ255" s="1506"/>
      <c r="DR255" s="1506"/>
      <c r="DS255" s="1506"/>
      <c r="DT255" s="1506"/>
      <c r="DU255" s="1506"/>
      <c r="DV255" s="1506"/>
      <c r="DW255" s="1506"/>
      <c r="DX255" s="1506"/>
      <c r="DY255" s="1506"/>
      <c r="DZ255" s="1506"/>
      <c r="EA255" s="1506"/>
      <c r="EB255" s="1506"/>
      <c r="EC255" s="1506"/>
      <c r="ED255" s="1506"/>
      <c r="EE255" s="1506"/>
      <c r="EF255" s="1506"/>
      <c r="EG255" s="1506"/>
      <c r="EH255" s="1506"/>
      <c r="EI255" s="1506"/>
      <c r="EJ255" s="1506"/>
      <c r="EK255" s="1506"/>
      <c r="EL255" s="1506"/>
      <c r="EM255" s="1506"/>
      <c r="EN255" s="1506"/>
      <c r="EO255" s="1506"/>
      <c r="EP255" s="1506"/>
      <c r="EQ255" s="1506"/>
      <c r="ER255" s="1506"/>
      <c r="ES255" s="1506"/>
      <c r="ET255" s="1506"/>
      <c r="EU255" s="1506"/>
      <c r="EV255" s="1506"/>
      <c r="EW255" s="1506"/>
      <c r="EX255" s="1506"/>
      <c r="EY255" s="1506"/>
      <c r="EZ255" s="1506"/>
      <c r="FA255" s="1506"/>
      <c r="FB255" s="1506"/>
      <c r="FC255" s="1506"/>
      <c r="FD255" s="1506"/>
      <c r="FE255" s="1506"/>
      <c r="FF255" s="1506"/>
      <c r="FG255" s="1506"/>
      <c r="FH255" s="1506"/>
      <c r="FI255" s="1506"/>
      <c r="FJ255" s="1506"/>
      <c r="FK255" s="1506"/>
      <c r="FL255" s="1506"/>
      <c r="FM255" s="1506"/>
      <c r="FN255" s="1506"/>
      <c r="FO255" s="1506"/>
      <c r="FP255" s="1506"/>
      <c r="FQ255" s="1506"/>
      <c r="FR255" s="1506"/>
      <c r="FS255" s="1506"/>
      <c r="FT255" s="1506"/>
      <c r="FU255" s="1506"/>
      <c r="FV255" s="1506"/>
      <c r="FW255" s="1506"/>
      <c r="FX255" s="1506"/>
      <c r="FY255" s="1506"/>
      <c r="FZ255" s="1506"/>
      <c r="GA255" s="1506"/>
      <c r="GB255" s="1506"/>
      <c r="GC255" s="1506"/>
    </row>
    <row r="256" spans="1:185" s="93" customFormat="1" ht="12.95" customHeight="1">
      <c r="A256" s="1004"/>
      <c r="B256" s="1004"/>
      <c r="C256" s="1506"/>
      <c r="D256" s="2060"/>
      <c r="E256" s="487" t="str">
        <f t="shared" si="45"/>
        <v>20178</v>
      </c>
      <c r="F256" s="488">
        <v>8</v>
      </c>
      <c r="G256" s="489">
        <f>N(INDEX(Reference!I$341:I$549,MATCH($E256,Reference!$H$341:$H$549,0)))*Scale</f>
        <v>567.84399999999994</v>
      </c>
      <c r="H256" s="541">
        <f t="shared" si="46"/>
        <v>0</v>
      </c>
      <c r="I256" s="489">
        <f>N(INDEX(Reference!J$341:J$549,MATCH($E256,Reference!$H$341:$H$549,0)))*Scale</f>
        <v>1030.4259999999999</v>
      </c>
      <c r="J256" s="490">
        <f>INDEX(Reference!K$341:K$549,MATCH($E256,Reference!$H$341:$H$549,0))</f>
        <v>1.7500000000000002E-2</v>
      </c>
      <c r="K256" s="490">
        <f>INDEX(Reference!L$341:L$549,MATCH($E256,Reference!$H$341:$H$549,0))</f>
        <v>2.0799999999999999E-2</v>
      </c>
      <c r="L256" s="490">
        <f>INDEX(Reference!M$341:M$549,MATCH($E256,Reference!$H$341:$H$549,0))</f>
        <v>2.0799999999999999E-2</v>
      </c>
      <c r="M256" s="491">
        <f t="shared" si="44"/>
        <v>2.0799999999999999E-2</v>
      </c>
      <c r="N256" s="2060"/>
      <c r="O256" s="2121"/>
      <c r="P256" s="1506"/>
      <c r="Q256" s="1506"/>
      <c r="R256" s="1506"/>
      <c r="S256" s="1506"/>
      <c r="T256" s="1506"/>
      <c r="U256" s="1506"/>
      <c r="V256" s="1506"/>
      <c r="W256" s="1506"/>
      <c r="X256" s="1506"/>
      <c r="Y256" s="1506"/>
      <c r="Z256" s="1506"/>
      <c r="AA256" s="1506"/>
      <c r="AB256" s="1506"/>
      <c r="AC256" s="1506"/>
      <c r="AD256" s="1509"/>
      <c r="AE256" s="1506"/>
      <c r="AF256" s="1506"/>
      <c r="AG256" s="1506"/>
      <c r="AH256" s="1506"/>
      <c r="AI256" s="1506"/>
      <c r="AJ256" s="1506"/>
      <c r="AK256" s="1506"/>
      <c r="AL256" s="1506"/>
      <c r="AM256" s="1506"/>
      <c r="AN256" s="1506"/>
      <c r="AO256" s="1506"/>
      <c r="AP256" s="1506"/>
      <c r="AQ256" s="1506"/>
      <c r="AR256" s="1506"/>
      <c r="AS256" s="1506"/>
      <c r="AT256" s="1506"/>
      <c r="AU256" s="1506"/>
      <c r="AV256" s="1506"/>
      <c r="AW256" s="1506"/>
      <c r="AX256" s="1506"/>
      <c r="AY256" s="1506"/>
      <c r="AZ256" s="1506"/>
      <c r="BA256" s="1506"/>
      <c r="BB256" s="1506"/>
      <c r="BC256" s="1506"/>
      <c r="BD256" s="1506"/>
      <c r="BE256" s="1506"/>
      <c r="BF256" s="1506"/>
      <c r="BG256" s="1506"/>
      <c r="BH256" s="1506"/>
      <c r="BI256" s="1506"/>
      <c r="BJ256" s="1506"/>
      <c r="BK256" s="1506"/>
      <c r="BL256" s="1506"/>
      <c r="BM256" s="1506"/>
      <c r="BN256" s="1506"/>
      <c r="BO256" s="1506"/>
      <c r="BP256" s="1506"/>
      <c r="BQ256" s="1506"/>
      <c r="BR256" s="1506"/>
      <c r="BS256" s="1506"/>
      <c r="BT256" s="1506"/>
      <c r="BU256" s="1506"/>
      <c r="BV256" s="1506"/>
      <c r="BW256" s="1506"/>
      <c r="BX256" s="1506"/>
      <c r="BY256" s="1506"/>
      <c r="BZ256" s="1506"/>
      <c r="CA256" s="1506"/>
      <c r="CB256" s="1506"/>
      <c r="CC256" s="1506"/>
      <c r="CD256" s="1506"/>
      <c r="CE256" s="1506"/>
      <c r="CF256" s="1506"/>
      <c r="CG256" s="1506"/>
      <c r="CH256" s="1506"/>
      <c r="CI256" s="1506"/>
      <c r="CJ256" s="1506"/>
      <c r="CK256" s="1506"/>
      <c r="CL256" s="1506"/>
      <c r="CM256" s="1506"/>
      <c r="CN256" s="1506"/>
      <c r="CO256" s="1506"/>
      <c r="CP256" s="1506"/>
      <c r="CQ256" s="1506"/>
      <c r="CR256" s="1506"/>
      <c r="CS256" s="1506"/>
      <c r="CT256" s="1506"/>
      <c r="CU256" s="1506"/>
      <c r="CV256" s="1506"/>
      <c r="CW256" s="1506"/>
      <c r="CX256" s="1506"/>
      <c r="CY256" s="1506"/>
      <c r="CZ256" s="1506"/>
      <c r="DA256" s="1506"/>
      <c r="DB256" s="1506"/>
      <c r="DC256" s="1506"/>
      <c r="DD256" s="1506"/>
      <c r="DE256" s="1506"/>
      <c r="DF256" s="1506"/>
      <c r="DG256" s="1506"/>
      <c r="DH256" s="1506"/>
      <c r="DI256" s="1506"/>
      <c r="DJ256" s="1506"/>
      <c r="DK256" s="1506"/>
      <c r="DL256" s="1506"/>
      <c r="DM256" s="1506"/>
      <c r="DN256" s="1506"/>
      <c r="DO256" s="1506"/>
      <c r="DP256" s="1506"/>
      <c r="DQ256" s="1506"/>
      <c r="DR256" s="1506"/>
      <c r="DS256" s="1506"/>
      <c r="DT256" s="1506"/>
      <c r="DU256" s="1506"/>
      <c r="DV256" s="1506"/>
      <c r="DW256" s="1506"/>
      <c r="DX256" s="1506"/>
      <c r="DY256" s="1506"/>
      <c r="DZ256" s="1506"/>
      <c r="EA256" s="1506"/>
      <c r="EB256" s="1506"/>
      <c r="EC256" s="1506"/>
      <c r="ED256" s="1506"/>
      <c r="EE256" s="1506"/>
      <c r="EF256" s="1506"/>
      <c r="EG256" s="1506"/>
      <c r="EH256" s="1506"/>
      <c r="EI256" s="1506"/>
      <c r="EJ256" s="1506"/>
      <c r="EK256" s="1506"/>
      <c r="EL256" s="1506"/>
      <c r="EM256" s="1506"/>
      <c r="EN256" s="1506"/>
      <c r="EO256" s="1506"/>
      <c r="EP256" s="1506"/>
      <c r="EQ256" s="1506"/>
      <c r="ER256" s="1506"/>
      <c r="ES256" s="1506"/>
      <c r="ET256" s="1506"/>
      <c r="EU256" s="1506"/>
      <c r="EV256" s="1506"/>
      <c r="EW256" s="1506"/>
      <c r="EX256" s="1506"/>
      <c r="EY256" s="1506"/>
      <c r="EZ256" s="1506"/>
      <c r="FA256" s="1506"/>
      <c r="FB256" s="1506"/>
      <c r="FC256" s="1506"/>
      <c r="FD256" s="1506"/>
      <c r="FE256" s="1506"/>
      <c r="FF256" s="1506"/>
      <c r="FG256" s="1506"/>
      <c r="FH256" s="1506"/>
      <c r="FI256" s="1506"/>
      <c r="FJ256" s="1506"/>
      <c r="FK256" s="1506"/>
      <c r="FL256" s="1506"/>
      <c r="FM256" s="1506"/>
      <c r="FN256" s="1506"/>
      <c r="FO256" s="1506"/>
      <c r="FP256" s="1506"/>
      <c r="FQ256" s="1506"/>
      <c r="FR256" s="1506"/>
      <c r="FS256" s="1506"/>
      <c r="FT256" s="1506"/>
      <c r="FU256" s="1506"/>
      <c r="FV256" s="1506"/>
      <c r="FW256" s="1506"/>
      <c r="FX256" s="1506"/>
      <c r="FY256" s="1506"/>
      <c r="FZ256" s="1506"/>
      <c r="GA256" s="1506"/>
      <c r="GB256" s="1506"/>
      <c r="GC256" s="1506"/>
    </row>
    <row r="257" spans="1:185" s="93" customFormat="1" ht="12.95" customHeight="1">
      <c r="A257" s="1004"/>
      <c r="B257" s="1004"/>
      <c r="C257" s="1506"/>
      <c r="D257" s="1506"/>
      <c r="E257" s="487" t="str">
        <f t="shared" si="45"/>
        <v>20177</v>
      </c>
      <c r="F257" s="488">
        <v>7</v>
      </c>
      <c r="G257" s="489">
        <f>N(INDEX(Reference!I$341:I$549,MATCH($E257,Reference!$H$341:$H$549,0)))*Scale</f>
        <v>1030.4269999999999</v>
      </c>
      <c r="H257" s="541">
        <f t="shared" si="46"/>
        <v>0</v>
      </c>
      <c r="I257" s="489">
        <f>N(INDEX(Reference!J$341:J$549,MATCH($E257,Reference!$H$341:$H$549,0)))*Scale</f>
        <v>1569.9839999999999</v>
      </c>
      <c r="J257" s="490">
        <f>INDEX(Reference!K$341:K$549,MATCH($E257,Reference!$H$341:$H$549,0))</f>
        <v>1.7500000000000002E-2</v>
      </c>
      <c r="K257" s="490">
        <f>INDEX(Reference!L$341:L$549,MATCH($E257,Reference!$H$341:$H$549,0))</f>
        <v>1.72E-2</v>
      </c>
      <c r="L257" s="490">
        <f>INDEX(Reference!M$341:M$549,MATCH($E257,Reference!$H$341:$H$549,0))</f>
        <v>1.72E-2</v>
      </c>
      <c r="M257" s="491">
        <f t="shared" si="44"/>
        <v>1.72E-2</v>
      </c>
      <c r="N257" s="2060"/>
      <c r="O257" s="2121"/>
      <c r="P257" s="1506"/>
      <c r="Q257" s="1506"/>
      <c r="R257" s="1506"/>
      <c r="S257" s="1506"/>
      <c r="T257" s="1506"/>
      <c r="U257" s="1506"/>
      <c r="V257" s="1506"/>
      <c r="W257" s="1506"/>
      <c r="X257" s="1506"/>
      <c r="Y257" s="1506"/>
      <c r="Z257" s="1506"/>
      <c r="AA257" s="1506"/>
      <c r="AB257" s="1506"/>
      <c r="AC257" s="1506"/>
      <c r="AD257" s="1509"/>
      <c r="AE257" s="1506"/>
      <c r="AF257" s="1506"/>
      <c r="AG257" s="1506"/>
      <c r="AH257" s="1506"/>
      <c r="AI257" s="1506"/>
      <c r="AJ257" s="1506"/>
      <c r="AK257" s="1506"/>
      <c r="AL257" s="1506"/>
      <c r="AM257" s="1506"/>
      <c r="AN257" s="1506"/>
      <c r="AO257" s="1506"/>
      <c r="AP257" s="1506"/>
      <c r="AQ257" s="1506"/>
      <c r="AR257" s="1506"/>
      <c r="AS257" s="1506"/>
      <c r="AT257" s="1506"/>
      <c r="AU257" s="1506"/>
      <c r="AV257" s="1506"/>
      <c r="AW257" s="1506"/>
      <c r="AX257" s="1506"/>
      <c r="AY257" s="1506"/>
      <c r="AZ257" s="1506"/>
      <c r="BA257" s="1506"/>
      <c r="BB257" s="1506"/>
      <c r="BC257" s="1506"/>
      <c r="BD257" s="1506"/>
      <c r="BE257" s="1506"/>
      <c r="BF257" s="1506"/>
      <c r="BG257" s="1506"/>
      <c r="BH257" s="1506"/>
      <c r="BI257" s="1506"/>
      <c r="BJ257" s="1506"/>
      <c r="BK257" s="1506"/>
      <c r="BL257" s="1506"/>
      <c r="BM257" s="1506"/>
      <c r="BN257" s="1506"/>
      <c r="BO257" s="1506"/>
      <c r="BP257" s="1506"/>
      <c r="BQ257" s="1506"/>
      <c r="BR257" s="1506"/>
      <c r="BS257" s="1506"/>
      <c r="BT257" s="1506"/>
      <c r="BU257" s="1506"/>
      <c r="BV257" s="1506"/>
      <c r="BW257" s="1506"/>
      <c r="BX257" s="1506"/>
      <c r="BY257" s="1506"/>
      <c r="BZ257" s="1506"/>
      <c r="CA257" s="1506"/>
      <c r="CB257" s="1506"/>
      <c r="CC257" s="1506"/>
      <c r="CD257" s="1506"/>
      <c r="CE257" s="1506"/>
      <c r="CF257" s="1506"/>
      <c r="CG257" s="1506"/>
      <c r="CH257" s="1506"/>
      <c r="CI257" s="1506"/>
      <c r="CJ257" s="1506"/>
      <c r="CK257" s="1506"/>
      <c r="CL257" s="1506"/>
      <c r="CM257" s="1506"/>
      <c r="CN257" s="1506"/>
      <c r="CO257" s="1506"/>
      <c r="CP257" s="1506"/>
      <c r="CQ257" s="1506"/>
      <c r="CR257" s="1506"/>
      <c r="CS257" s="1506"/>
      <c r="CT257" s="1506"/>
      <c r="CU257" s="1506"/>
      <c r="CV257" s="1506"/>
      <c r="CW257" s="1506"/>
      <c r="CX257" s="1506"/>
      <c r="CY257" s="1506"/>
      <c r="CZ257" s="1506"/>
      <c r="DA257" s="1506"/>
      <c r="DB257" s="1506"/>
      <c r="DC257" s="1506"/>
      <c r="DD257" s="1506"/>
      <c r="DE257" s="1506"/>
      <c r="DF257" s="1506"/>
      <c r="DG257" s="1506"/>
      <c r="DH257" s="1506"/>
      <c r="DI257" s="1506"/>
      <c r="DJ257" s="1506"/>
      <c r="DK257" s="1506"/>
      <c r="DL257" s="1506"/>
      <c r="DM257" s="1506"/>
      <c r="DN257" s="1506"/>
      <c r="DO257" s="1506"/>
      <c r="DP257" s="1506"/>
      <c r="DQ257" s="1506"/>
      <c r="DR257" s="1506"/>
      <c r="DS257" s="1506"/>
      <c r="DT257" s="1506"/>
      <c r="DU257" s="1506"/>
      <c r="DV257" s="1506"/>
      <c r="DW257" s="1506"/>
      <c r="DX257" s="1506"/>
      <c r="DY257" s="1506"/>
      <c r="DZ257" s="1506"/>
      <c r="EA257" s="1506"/>
      <c r="EB257" s="1506"/>
      <c r="EC257" s="1506"/>
      <c r="ED257" s="1506"/>
      <c r="EE257" s="1506"/>
      <c r="EF257" s="1506"/>
      <c r="EG257" s="1506"/>
      <c r="EH257" s="1506"/>
      <c r="EI257" s="1506"/>
      <c r="EJ257" s="1506"/>
      <c r="EK257" s="1506"/>
      <c r="EL257" s="1506"/>
      <c r="EM257" s="1506"/>
      <c r="EN257" s="1506"/>
      <c r="EO257" s="1506"/>
      <c r="EP257" s="1506"/>
      <c r="EQ257" s="1506"/>
      <c r="ER257" s="1506"/>
      <c r="ES257" s="1506"/>
      <c r="ET257" s="1506"/>
      <c r="EU257" s="1506"/>
      <c r="EV257" s="1506"/>
      <c r="EW257" s="1506"/>
      <c r="EX257" s="1506"/>
      <c r="EY257" s="1506"/>
      <c r="EZ257" s="1506"/>
      <c r="FA257" s="1506"/>
      <c r="FB257" s="1506"/>
      <c r="FC257" s="1506"/>
      <c r="FD257" s="1506"/>
      <c r="FE257" s="1506"/>
      <c r="FF257" s="1506"/>
      <c r="FG257" s="1506"/>
      <c r="FH257" s="1506"/>
      <c r="FI257" s="1506"/>
      <c r="FJ257" s="1506"/>
      <c r="FK257" s="1506"/>
      <c r="FL257" s="1506"/>
      <c r="FM257" s="1506"/>
      <c r="FN257" s="1506"/>
      <c r="FO257" s="1506"/>
      <c r="FP257" s="1506"/>
      <c r="FQ257" s="1506"/>
      <c r="FR257" s="1506"/>
      <c r="FS257" s="1506"/>
      <c r="FT257" s="1506"/>
      <c r="FU257" s="1506"/>
      <c r="FV257" s="1506"/>
      <c r="FW257" s="1506"/>
      <c r="FX257" s="1506"/>
      <c r="FY257" s="1506"/>
      <c r="FZ257" s="1506"/>
      <c r="GA257" s="1506"/>
      <c r="GB257" s="1506"/>
      <c r="GC257" s="1506"/>
    </row>
    <row r="258" spans="1:185" s="93" customFormat="1" ht="12.95" customHeight="1">
      <c r="A258" s="1004"/>
      <c r="B258" s="1004"/>
      <c r="C258" s="1506"/>
      <c r="D258" s="1506"/>
      <c r="E258" s="487" t="str">
        <f t="shared" si="45"/>
        <v>20176</v>
      </c>
      <c r="F258" s="488">
        <v>6</v>
      </c>
      <c r="G258" s="489">
        <f>N(INDEX(Reference!I$341:I$549,MATCH($E258,Reference!$H$341:$H$549,0)))*Scale</f>
        <v>1569.9849999999999</v>
      </c>
      <c r="H258" s="541">
        <f t="shared" si="46"/>
        <v>0</v>
      </c>
      <c r="I258" s="489">
        <f>N(INDEX(Reference!J$341:J$549,MATCH($E258,Reference!$H$341:$H$549,0)))*Scale</f>
        <v>2390.8989999999999</v>
      </c>
      <c r="J258" s="490">
        <f>INDEX(Reference!K$341:K$549,MATCH($E258,Reference!$H$341:$H$549,0))</f>
        <v>1.7500000000000002E-2</v>
      </c>
      <c r="K258" s="490">
        <f>INDEX(Reference!L$341:L$549,MATCH($E258,Reference!$H$341:$H$549,0))</f>
        <v>1.66E-2</v>
      </c>
      <c r="L258" s="490">
        <f>INDEX(Reference!M$341:M$549,MATCH($E258,Reference!$H$341:$H$549,0))</f>
        <v>1.66E-2</v>
      </c>
      <c r="M258" s="491">
        <f t="shared" si="44"/>
        <v>1.66E-2</v>
      </c>
      <c r="N258" s="2060"/>
      <c r="O258" s="2121"/>
      <c r="P258" s="1506"/>
      <c r="Q258" s="1506"/>
      <c r="R258" s="1506"/>
      <c r="S258" s="1506"/>
      <c r="T258" s="1506"/>
      <c r="U258" s="1506"/>
      <c r="V258" s="1506"/>
      <c r="W258" s="1506"/>
      <c r="X258" s="1506"/>
      <c r="Y258" s="1506"/>
      <c r="Z258" s="1506"/>
      <c r="AA258" s="1506"/>
      <c r="AB258" s="1506"/>
      <c r="AC258" s="1506"/>
      <c r="AD258" s="1509"/>
      <c r="AE258" s="1506"/>
      <c r="AF258" s="1506"/>
      <c r="AG258" s="1506"/>
      <c r="AH258" s="1506"/>
      <c r="AI258" s="1506"/>
      <c r="AJ258" s="1506"/>
      <c r="AK258" s="1506"/>
      <c r="AL258" s="1506"/>
      <c r="AM258" s="1506"/>
      <c r="AN258" s="1506"/>
      <c r="AO258" s="1506"/>
      <c r="AP258" s="1506"/>
      <c r="AQ258" s="1506"/>
      <c r="AR258" s="1506"/>
      <c r="AS258" s="1506"/>
      <c r="AT258" s="1506"/>
      <c r="AU258" s="1506"/>
      <c r="AV258" s="1506"/>
      <c r="AW258" s="1506"/>
      <c r="AX258" s="1506"/>
      <c r="AY258" s="1506"/>
      <c r="AZ258" s="1506"/>
      <c r="BA258" s="1506"/>
      <c r="BB258" s="1506"/>
      <c r="BC258" s="1506"/>
      <c r="BD258" s="1506"/>
      <c r="BE258" s="1506"/>
      <c r="BF258" s="1506"/>
      <c r="BG258" s="1506"/>
      <c r="BH258" s="1506"/>
      <c r="BI258" s="1506"/>
      <c r="BJ258" s="1506"/>
      <c r="BK258" s="1506"/>
      <c r="BL258" s="1506"/>
      <c r="BM258" s="1506"/>
      <c r="BN258" s="1506"/>
      <c r="BO258" s="1506"/>
      <c r="BP258" s="1506"/>
      <c r="BQ258" s="1506"/>
      <c r="BR258" s="1506"/>
      <c r="BS258" s="1506"/>
      <c r="BT258" s="1506"/>
      <c r="BU258" s="1506"/>
      <c r="BV258" s="1506"/>
      <c r="BW258" s="1506"/>
      <c r="BX258" s="1506"/>
      <c r="BY258" s="1506"/>
      <c r="BZ258" s="1506"/>
      <c r="CA258" s="1506"/>
      <c r="CB258" s="1506"/>
      <c r="CC258" s="1506"/>
      <c r="CD258" s="1506"/>
      <c r="CE258" s="1506"/>
      <c r="CF258" s="1506"/>
      <c r="CG258" s="1506"/>
      <c r="CH258" s="1506"/>
      <c r="CI258" s="1506"/>
      <c r="CJ258" s="1506"/>
      <c r="CK258" s="1506"/>
      <c r="CL258" s="1506"/>
      <c r="CM258" s="1506"/>
      <c r="CN258" s="1506"/>
      <c r="CO258" s="1506"/>
      <c r="CP258" s="1506"/>
      <c r="CQ258" s="1506"/>
      <c r="CR258" s="1506"/>
      <c r="CS258" s="1506"/>
      <c r="CT258" s="1506"/>
      <c r="CU258" s="1506"/>
      <c r="CV258" s="1506"/>
      <c r="CW258" s="1506"/>
      <c r="CX258" s="1506"/>
      <c r="CY258" s="1506"/>
      <c r="CZ258" s="1506"/>
      <c r="DA258" s="1506"/>
      <c r="DB258" s="1506"/>
      <c r="DC258" s="1506"/>
      <c r="DD258" s="1506"/>
      <c r="DE258" s="1506"/>
      <c r="DF258" s="1506"/>
      <c r="DG258" s="1506"/>
      <c r="DH258" s="1506"/>
      <c r="DI258" s="1506"/>
      <c r="DJ258" s="1506"/>
      <c r="DK258" s="1506"/>
      <c r="DL258" s="1506"/>
      <c r="DM258" s="1506"/>
      <c r="DN258" s="1506"/>
      <c r="DO258" s="1506"/>
      <c r="DP258" s="1506"/>
      <c r="DQ258" s="1506"/>
      <c r="DR258" s="1506"/>
      <c r="DS258" s="1506"/>
      <c r="DT258" s="1506"/>
      <c r="DU258" s="1506"/>
      <c r="DV258" s="1506"/>
      <c r="DW258" s="1506"/>
      <c r="DX258" s="1506"/>
      <c r="DY258" s="1506"/>
      <c r="DZ258" s="1506"/>
      <c r="EA258" s="1506"/>
      <c r="EB258" s="1506"/>
      <c r="EC258" s="1506"/>
      <c r="ED258" s="1506"/>
      <c r="EE258" s="1506"/>
      <c r="EF258" s="1506"/>
      <c r="EG258" s="1506"/>
      <c r="EH258" s="1506"/>
      <c r="EI258" s="1506"/>
      <c r="EJ258" s="1506"/>
      <c r="EK258" s="1506"/>
      <c r="EL258" s="1506"/>
      <c r="EM258" s="1506"/>
      <c r="EN258" s="1506"/>
      <c r="EO258" s="1506"/>
      <c r="EP258" s="1506"/>
      <c r="EQ258" s="1506"/>
      <c r="ER258" s="1506"/>
      <c r="ES258" s="1506"/>
      <c r="ET258" s="1506"/>
      <c r="EU258" s="1506"/>
      <c r="EV258" s="1506"/>
      <c r="EW258" s="1506"/>
      <c r="EX258" s="1506"/>
      <c r="EY258" s="1506"/>
      <c r="EZ258" s="1506"/>
      <c r="FA258" s="1506"/>
      <c r="FB258" s="1506"/>
      <c r="FC258" s="1506"/>
      <c r="FD258" s="1506"/>
      <c r="FE258" s="1506"/>
      <c r="FF258" s="1506"/>
      <c r="FG258" s="1506"/>
      <c r="FH258" s="1506"/>
      <c r="FI258" s="1506"/>
      <c r="FJ258" s="1506"/>
      <c r="FK258" s="1506"/>
      <c r="FL258" s="1506"/>
      <c r="FM258" s="1506"/>
      <c r="FN258" s="1506"/>
      <c r="FO258" s="1506"/>
      <c r="FP258" s="1506"/>
      <c r="FQ258" s="1506"/>
      <c r="FR258" s="1506"/>
      <c r="FS258" s="1506"/>
      <c r="FT258" s="1506"/>
      <c r="FU258" s="1506"/>
      <c r="FV258" s="1506"/>
      <c r="FW258" s="1506"/>
      <c r="FX258" s="1506"/>
      <c r="FY258" s="1506"/>
      <c r="FZ258" s="1506"/>
      <c r="GA258" s="1506"/>
      <c r="GB258" s="1506"/>
      <c r="GC258" s="1506"/>
    </row>
    <row r="259" spans="1:185" s="93" customFormat="1" ht="12.95" customHeight="1">
      <c r="A259" s="1004"/>
      <c r="B259" s="1004"/>
      <c r="C259" s="1506"/>
      <c r="D259" s="1506"/>
      <c r="E259" s="487" t="str">
        <f t="shared" si="45"/>
        <v>20175</v>
      </c>
      <c r="F259" s="488">
        <v>5</v>
      </c>
      <c r="G259" s="489">
        <f>N(INDEX(Reference!I$341:I$549,MATCH($E259,Reference!$H$341:$H$549,0)))*Scale</f>
        <v>2390.9</v>
      </c>
      <c r="H259" s="541">
        <f t="shared" si="46"/>
        <v>0</v>
      </c>
      <c r="I259" s="489">
        <f>N(INDEX(Reference!J$341:J$549,MATCH($E259,Reference!$H$341:$H$549,0)))*Scale</f>
        <v>3512.913</v>
      </c>
      <c r="J259" s="490">
        <f>INDEX(Reference!K$341:K$549,MATCH($E259,Reference!$H$341:$H$549,0))</f>
        <v>1.0200000000000001E-2</v>
      </c>
      <c r="K259" s="490">
        <f>INDEX(Reference!L$341:L$549,MATCH($E259,Reference!$H$341:$H$549,0))</f>
        <v>1.5100000000000001E-2</v>
      </c>
      <c r="L259" s="490">
        <f>INDEX(Reference!M$341:M$549,MATCH($E259,Reference!$H$341:$H$549,0))</f>
        <v>1.5100000000000001E-2</v>
      </c>
      <c r="M259" s="491">
        <f t="shared" si="44"/>
        <v>1.5100000000000001E-2</v>
      </c>
      <c r="N259" s="2060"/>
      <c r="O259" s="2121"/>
      <c r="P259" s="1506"/>
      <c r="Q259" s="1506"/>
      <c r="R259" s="1506"/>
      <c r="S259" s="1506"/>
      <c r="T259" s="1506"/>
      <c r="U259" s="1506"/>
      <c r="V259" s="1506"/>
      <c r="W259" s="1506"/>
      <c r="X259" s="1506"/>
      <c r="Y259" s="1506"/>
      <c r="Z259" s="1506"/>
      <c r="AA259" s="1506"/>
      <c r="AB259" s="1506"/>
      <c r="AC259" s="1506"/>
      <c r="AD259" s="1509"/>
      <c r="AE259" s="1506"/>
      <c r="AF259" s="1506"/>
      <c r="AG259" s="1506"/>
      <c r="AH259" s="1506"/>
      <c r="AI259" s="1506"/>
      <c r="AJ259" s="1506"/>
      <c r="AK259" s="1506"/>
      <c r="AL259" s="1506"/>
      <c r="AM259" s="1506"/>
      <c r="AN259" s="1506"/>
      <c r="AO259" s="1506"/>
      <c r="AP259" s="1506"/>
      <c r="AQ259" s="1506"/>
      <c r="AR259" s="1506"/>
      <c r="AS259" s="1506"/>
      <c r="AT259" s="1506"/>
      <c r="AU259" s="1506"/>
      <c r="AV259" s="1506"/>
      <c r="AW259" s="1506"/>
      <c r="AX259" s="1506"/>
      <c r="AY259" s="1506"/>
      <c r="AZ259" s="1506"/>
      <c r="BA259" s="1506"/>
      <c r="BB259" s="1506"/>
      <c r="BC259" s="1506"/>
      <c r="BD259" s="1506"/>
      <c r="BE259" s="1506"/>
      <c r="BF259" s="1506"/>
      <c r="BG259" s="1506"/>
      <c r="BH259" s="1506"/>
      <c r="BI259" s="1506"/>
      <c r="BJ259" s="1506"/>
      <c r="BK259" s="1506"/>
      <c r="BL259" s="1506"/>
      <c r="BM259" s="1506"/>
      <c r="BN259" s="1506"/>
      <c r="BO259" s="1506"/>
      <c r="BP259" s="1506"/>
      <c r="BQ259" s="1506"/>
      <c r="BR259" s="1506"/>
      <c r="BS259" s="1506"/>
      <c r="BT259" s="1506"/>
      <c r="BU259" s="1506"/>
      <c r="BV259" s="1506"/>
      <c r="BW259" s="1506"/>
      <c r="BX259" s="1506"/>
      <c r="BY259" s="1506"/>
      <c r="BZ259" s="1506"/>
      <c r="CA259" s="1506"/>
      <c r="CB259" s="1506"/>
      <c r="CC259" s="1506"/>
      <c r="CD259" s="1506"/>
      <c r="CE259" s="1506"/>
      <c r="CF259" s="1506"/>
      <c r="CG259" s="1506"/>
      <c r="CH259" s="1506"/>
      <c r="CI259" s="1506"/>
      <c r="CJ259" s="1506"/>
      <c r="CK259" s="1506"/>
      <c r="CL259" s="1506"/>
      <c r="CM259" s="1506"/>
      <c r="CN259" s="1506"/>
      <c r="CO259" s="1506"/>
      <c r="CP259" s="1506"/>
      <c r="CQ259" s="1506"/>
      <c r="CR259" s="1506"/>
      <c r="CS259" s="1506"/>
      <c r="CT259" s="1506"/>
      <c r="CU259" s="1506"/>
      <c r="CV259" s="1506"/>
      <c r="CW259" s="1506"/>
      <c r="CX259" s="1506"/>
      <c r="CY259" s="1506"/>
      <c r="CZ259" s="1506"/>
      <c r="DA259" s="1506"/>
      <c r="DB259" s="1506"/>
      <c r="DC259" s="1506"/>
      <c r="DD259" s="1506"/>
      <c r="DE259" s="1506"/>
      <c r="DF259" s="1506"/>
      <c r="DG259" s="1506"/>
      <c r="DH259" s="1506"/>
      <c r="DI259" s="1506"/>
      <c r="DJ259" s="1506"/>
      <c r="DK259" s="1506"/>
      <c r="DL259" s="1506"/>
      <c r="DM259" s="1506"/>
      <c r="DN259" s="1506"/>
      <c r="DO259" s="1506"/>
      <c r="DP259" s="1506"/>
      <c r="DQ259" s="1506"/>
      <c r="DR259" s="1506"/>
      <c r="DS259" s="1506"/>
      <c r="DT259" s="1506"/>
      <c r="DU259" s="1506"/>
      <c r="DV259" s="1506"/>
      <c r="DW259" s="1506"/>
      <c r="DX259" s="1506"/>
      <c r="DY259" s="1506"/>
      <c r="DZ259" s="1506"/>
      <c r="EA259" s="1506"/>
      <c r="EB259" s="1506"/>
      <c r="EC259" s="1506"/>
      <c r="ED259" s="1506"/>
      <c r="EE259" s="1506"/>
      <c r="EF259" s="1506"/>
      <c r="EG259" s="1506"/>
      <c r="EH259" s="1506"/>
      <c r="EI259" s="1506"/>
      <c r="EJ259" s="1506"/>
      <c r="EK259" s="1506"/>
      <c r="EL259" s="1506"/>
      <c r="EM259" s="1506"/>
      <c r="EN259" s="1506"/>
      <c r="EO259" s="1506"/>
      <c r="EP259" s="1506"/>
      <c r="EQ259" s="1506"/>
      <c r="ER259" s="1506"/>
      <c r="ES259" s="1506"/>
      <c r="ET259" s="1506"/>
      <c r="EU259" s="1506"/>
      <c r="EV259" s="1506"/>
      <c r="EW259" s="1506"/>
      <c r="EX259" s="1506"/>
      <c r="EY259" s="1506"/>
      <c r="EZ259" s="1506"/>
      <c r="FA259" s="1506"/>
      <c r="FB259" s="1506"/>
      <c r="FC259" s="1506"/>
      <c r="FD259" s="1506"/>
      <c r="FE259" s="1506"/>
      <c r="FF259" s="1506"/>
      <c r="FG259" s="1506"/>
      <c r="FH259" s="1506"/>
      <c r="FI259" s="1506"/>
      <c r="FJ259" s="1506"/>
      <c r="FK259" s="1506"/>
      <c r="FL259" s="1506"/>
      <c r="FM259" s="1506"/>
      <c r="FN259" s="1506"/>
      <c r="FO259" s="1506"/>
      <c r="FP259" s="1506"/>
      <c r="FQ259" s="1506"/>
      <c r="FR259" s="1506"/>
      <c r="FS259" s="1506"/>
      <c r="FT259" s="1506"/>
      <c r="FU259" s="1506"/>
      <c r="FV259" s="1506"/>
      <c r="FW259" s="1506"/>
      <c r="FX259" s="1506"/>
      <c r="FY259" s="1506"/>
      <c r="FZ259" s="1506"/>
      <c r="GA259" s="1506"/>
      <c r="GB259" s="1506"/>
      <c r="GC259" s="1506"/>
    </row>
    <row r="260" spans="1:185" s="93" customFormat="1" ht="12.95" customHeight="1">
      <c r="A260" s="1004"/>
      <c r="B260" s="1004"/>
      <c r="C260" s="1506"/>
      <c r="D260" s="1506"/>
      <c r="E260" s="487" t="str">
        <f t="shared" si="45"/>
        <v>20174</v>
      </c>
      <c r="F260" s="488">
        <v>4</v>
      </c>
      <c r="G260" s="489">
        <f>N(INDEX(Reference!I$341:I$549,MATCH($E260,Reference!$H$341:$H$549,0)))*Scale</f>
        <v>3512.9140000000002</v>
      </c>
      <c r="H260" s="541">
        <f t="shared" si="46"/>
        <v>0</v>
      </c>
      <c r="I260" s="489">
        <f>N(INDEX(Reference!J$341:J$549,MATCH($E260,Reference!$H$341:$H$549,0)))*Scale</f>
        <v>5676.7160000000003</v>
      </c>
      <c r="J260" s="490">
        <f>INDEX(Reference!K$341:K$549,MATCH($E260,Reference!$H$341:$H$549,0))</f>
        <v>1.0200000000000001E-2</v>
      </c>
      <c r="K260" s="492">
        <f>INDEX(Reference!L$341:L$549,MATCH($E260,Reference!$H$341:$H$549,0))</f>
        <v>9.7999999999999997E-3</v>
      </c>
      <c r="L260" s="492">
        <f>INDEX(Reference!M$341:M$549,MATCH($E260,Reference!$H$341:$H$549,0))</f>
        <v>9.7999999999999997E-3</v>
      </c>
      <c r="M260" s="493">
        <f t="shared" si="44"/>
        <v>9.7999999999999997E-3</v>
      </c>
      <c r="N260" s="2060"/>
      <c r="O260" s="2121"/>
      <c r="P260" s="1506"/>
      <c r="Q260" s="1506"/>
      <c r="R260" s="1506"/>
      <c r="S260" s="1506"/>
      <c r="T260" s="1506"/>
      <c r="U260" s="1506"/>
      <c r="V260" s="1506"/>
      <c r="W260" s="1506"/>
      <c r="X260" s="1506"/>
      <c r="Y260" s="1506"/>
      <c r="Z260" s="1506"/>
      <c r="AA260" s="1506"/>
      <c r="AB260" s="1506"/>
      <c r="AC260" s="1506"/>
      <c r="AD260" s="1509"/>
      <c r="AE260" s="1506"/>
      <c r="AF260" s="1506"/>
      <c r="AG260" s="1506"/>
      <c r="AH260" s="1506"/>
      <c r="AI260" s="1506"/>
      <c r="AJ260" s="1506"/>
      <c r="AK260" s="1506"/>
      <c r="AL260" s="1506"/>
      <c r="AM260" s="1506"/>
      <c r="AN260" s="1506"/>
      <c r="AO260" s="1506"/>
      <c r="AP260" s="1506"/>
      <c r="AQ260" s="1506"/>
      <c r="AR260" s="1506"/>
      <c r="AS260" s="1506"/>
      <c r="AT260" s="1506"/>
      <c r="AU260" s="1506"/>
      <c r="AV260" s="1506"/>
      <c r="AW260" s="1506"/>
      <c r="AX260" s="1506"/>
      <c r="AY260" s="1506"/>
      <c r="AZ260" s="1506"/>
      <c r="BA260" s="1506"/>
      <c r="BB260" s="1506"/>
      <c r="BC260" s="1506"/>
      <c r="BD260" s="1506"/>
      <c r="BE260" s="1506"/>
      <c r="BF260" s="1506"/>
      <c r="BG260" s="1506"/>
      <c r="BH260" s="1506"/>
      <c r="BI260" s="1506"/>
      <c r="BJ260" s="1506"/>
      <c r="BK260" s="1506"/>
      <c r="BL260" s="1506"/>
      <c r="BM260" s="1506"/>
      <c r="BN260" s="1506"/>
      <c r="BO260" s="1506"/>
      <c r="BP260" s="1506"/>
      <c r="BQ260" s="1506"/>
      <c r="BR260" s="1506"/>
      <c r="BS260" s="1506"/>
      <c r="BT260" s="1506"/>
      <c r="BU260" s="1506"/>
      <c r="BV260" s="1506"/>
      <c r="BW260" s="1506"/>
      <c r="BX260" s="1506"/>
      <c r="BY260" s="1506"/>
      <c r="BZ260" s="1506"/>
      <c r="CA260" s="1506"/>
      <c r="CB260" s="1506"/>
      <c r="CC260" s="1506"/>
      <c r="CD260" s="1506"/>
      <c r="CE260" s="1506"/>
      <c r="CF260" s="1506"/>
      <c r="CG260" s="1506"/>
      <c r="CH260" s="1506"/>
      <c r="CI260" s="1506"/>
      <c r="CJ260" s="1506"/>
      <c r="CK260" s="1506"/>
      <c r="CL260" s="1506"/>
      <c r="CM260" s="1506"/>
      <c r="CN260" s="1506"/>
      <c r="CO260" s="1506"/>
      <c r="CP260" s="1506"/>
      <c r="CQ260" s="1506"/>
      <c r="CR260" s="1506"/>
      <c r="CS260" s="1506"/>
      <c r="CT260" s="1506"/>
      <c r="CU260" s="1506"/>
      <c r="CV260" s="1506"/>
      <c r="CW260" s="1506"/>
      <c r="CX260" s="1506"/>
      <c r="CY260" s="1506"/>
      <c r="CZ260" s="1506"/>
      <c r="DA260" s="1506"/>
      <c r="DB260" s="1506"/>
      <c r="DC260" s="1506"/>
      <c r="DD260" s="1506"/>
      <c r="DE260" s="1506"/>
      <c r="DF260" s="1506"/>
      <c r="DG260" s="1506"/>
      <c r="DH260" s="1506"/>
      <c r="DI260" s="1506"/>
      <c r="DJ260" s="1506"/>
      <c r="DK260" s="1506"/>
      <c r="DL260" s="1506"/>
      <c r="DM260" s="1506"/>
      <c r="DN260" s="1506"/>
      <c r="DO260" s="1506"/>
      <c r="DP260" s="1506"/>
      <c r="DQ260" s="1506"/>
      <c r="DR260" s="1506"/>
      <c r="DS260" s="1506"/>
      <c r="DT260" s="1506"/>
      <c r="DU260" s="1506"/>
      <c r="DV260" s="1506"/>
      <c r="DW260" s="1506"/>
      <c r="DX260" s="1506"/>
      <c r="DY260" s="1506"/>
      <c r="DZ260" s="1506"/>
      <c r="EA260" s="1506"/>
      <c r="EB260" s="1506"/>
      <c r="EC260" s="1506"/>
      <c r="ED260" s="1506"/>
      <c r="EE260" s="1506"/>
      <c r="EF260" s="1506"/>
      <c r="EG260" s="1506"/>
      <c r="EH260" s="1506"/>
      <c r="EI260" s="1506"/>
      <c r="EJ260" s="1506"/>
      <c r="EK260" s="1506"/>
      <c r="EL260" s="1506"/>
      <c r="EM260" s="1506"/>
      <c r="EN260" s="1506"/>
      <c r="EO260" s="1506"/>
      <c r="EP260" s="1506"/>
      <c r="EQ260" s="1506"/>
      <c r="ER260" s="1506"/>
      <c r="ES260" s="1506"/>
      <c r="ET260" s="1506"/>
      <c r="EU260" s="1506"/>
      <c r="EV260" s="1506"/>
      <c r="EW260" s="1506"/>
      <c r="EX260" s="1506"/>
      <c r="EY260" s="1506"/>
      <c r="EZ260" s="1506"/>
      <c r="FA260" s="1506"/>
      <c r="FB260" s="1506"/>
      <c r="FC260" s="1506"/>
      <c r="FD260" s="1506"/>
      <c r="FE260" s="1506"/>
      <c r="FF260" s="1506"/>
      <c r="FG260" s="1506"/>
      <c r="FH260" s="1506"/>
      <c r="FI260" s="1506"/>
      <c r="FJ260" s="1506"/>
      <c r="FK260" s="1506"/>
      <c r="FL260" s="1506"/>
      <c r="FM260" s="1506"/>
      <c r="FN260" s="1506"/>
      <c r="FO260" s="1506"/>
      <c r="FP260" s="1506"/>
      <c r="FQ260" s="1506"/>
      <c r="FR260" s="1506"/>
      <c r="FS260" s="1506"/>
      <c r="FT260" s="1506"/>
      <c r="FU260" s="1506"/>
      <c r="FV260" s="1506"/>
      <c r="FW260" s="1506"/>
      <c r="FX260" s="1506"/>
      <c r="FY260" s="1506"/>
      <c r="FZ260" s="1506"/>
      <c r="GA260" s="1506"/>
      <c r="GB260" s="1506"/>
      <c r="GC260" s="1506"/>
    </row>
    <row r="261" spans="1:185" s="93" customFormat="1" ht="12.95" customHeight="1">
      <c r="A261" s="1004"/>
      <c r="B261" s="1004"/>
      <c r="C261" s="1506"/>
      <c r="D261" s="1506"/>
      <c r="E261" s="487" t="str">
        <f t="shared" si="45"/>
        <v>20173</v>
      </c>
      <c r="F261" s="488">
        <v>3</v>
      </c>
      <c r="G261" s="489">
        <f>N(INDEX(Reference!I$341:I$549,MATCH($E261,Reference!$H$341:$H$549,0)))*Scale</f>
        <v>5676.7170000000006</v>
      </c>
      <c r="H261" s="541">
        <f t="shared" si="46"/>
        <v>0</v>
      </c>
      <c r="I261" s="489">
        <f>N(INDEX(Reference!J$341:J$549,MATCH($E261,Reference!$H$341:$H$549,0)))*Scale</f>
        <v>10711.194</v>
      </c>
      <c r="J261" s="490">
        <f>INDEX(Reference!K$341:K$549,MATCH($E261,Reference!$H$341:$H$549,0))</f>
        <v>1.0200000000000001E-2</v>
      </c>
      <c r="K261" s="490">
        <f>INDEX(Reference!L$341:L$549,MATCH($E261,Reference!$H$341:$H$549,0))</f>
        <v>8.8999999999999999E-3</v>
      </c>
      <c r="L261" s="490">
        <f>INDEX(Reference!M$341:M$549,MATCH($E261,Reference!$H$341:$H$549,0))</f>
        <v>8.8999999999999999E-3</v>
      </c>
      <c r="M261" s="491">
        <f t="shared" si="44"/>
        <v>8.8999999999999999E-3</v>
      </c>
      <c r="N261" s="2060"/>
      <c r="O261" s="2121"/>
      <c r="P261" s="1506"/>
      <c r="Q261" s="1506"/>
      <c r="R261" s="1506"/>
      <c r="S261" s="1506"/>
      <c r="T261" s="1506"/>
      <c r="U261" s="1506"/>
      <c r="V261" s="1506"/>
      <c r="W261" s="1506"/>
      <c r="X261" s="1506"/>
      <c r="Y261" s="1506"/>
      <c r="Z261" s="1506"/>
      <c r="AA261" s="1506"/>
      <c r="AB261" s="1506"/>
      <c r="AC261" s="1506"/>
      <c r="AD261" s="1509"/>
      <c r="AE261" s="1506"/>
      <c r="AF261" s="1506"/>
      <c r="AG261" s="1506"/>
      <c r="AH261" s="1506"/>
      <c r="AI261" s="1506"/>
      <c r="AJ261" s="1506"/>
      <c r="AK261" s="1506"/>
      <c r="AL261" s="1506"/>
      <c r="AM261" s="1506"/>
      <c r="AN261" s="1506"/>
      <c r="AO261" s="1506"/>
      <c r="AP261" s="1506"/>
      <c r="AQ261" s="1506"/>
      <c r="AR261" s="1506"/>
      <c r="AS261" s="1506"/>
      <c r="AT261" s="1506"/>
      <c r="AU261" s="1506"/>
      <c r="AV261" s="1506"/>
      <c r="AW261" s="1506"/>
      <c r="AX261" s="1506"/>
      <c r="AY261" s="1506"/>
      <c r="AZ261" s="1506"/>
      <c r="BA261" s="1506"/>
      <c r="BB261" s="1506"/>
      <c r="BC261" s="1506"/>
      <c r="BD261" s="1506"/>
      <c r="BE261" s="1506"/>
      <c r="BF261" s="1506"/>
      <c r="BG261" s="1506"/>
      <c r="BH261" s="1506"/>
      <c r="BI261" s="1506"/>
      <c r="BJ261" s="1506"/>
      <c r="BK261" s="1506"/>
      <c r="BL261" s="1506"/>
      <c r="BM261" s="1506"/>
      <c r="BN261" s="1506"/>
      <c r="BO261" s="1506"/>
      <c r="BP261" s="1506"/>
      <c r="BQ261" s="1506"/>
      <c r="BR261" s="1506"/>
      <c r="BS261" s="1506"/>
      <c r="BT261" s="1506"/>
      <c r="BU261" s="1506"/>
      <c r="BV261" s="1506"/>
      <c r="BW261" s="1506"/>
      <c r="BX261" s="1506"/>
      <c r="BY261" s="1506"/>
      <c r="BZ261" s="1506"/>
      <c r="CA261" s="1506"/>
      <c r="CB261" s="1506"/>
      <c r="CC261" s="1506"/>
      <c r="CD261" s="1506"/>
      <c r="CE261" s="1506"/>
      <c r="CF261" s="1506"/>
      <c r="CG261" s="1506"/>
      <c r="CH261" s="1506"/>
      <c r="CI261" s="1506"/>
      <c r="CJ261" s="1506"/>
      <c r="CK261" s="1506"/>
      <c r="CL261" s="1506"/>
      <c r="CM261" s="1506"/>
      <c r="CN261" s="1506"/>
      <c r="CO261" s="1506"/>
      <c r="CP261" s="1506"/>
      <c r="CQ261" s="1506"/>
      <c r="CR261" s="1506"/>
      <c r="CS261" s="1506"/>
      <c r="CT261" s="1506"/>
      <c r="CU261" s="1506"/>
      <c r="CV261" s="1506"/>
      <c r="CW261" s="1506"/>
      <c r="CX261" s="1506"/>
      <c r="CY261" s="1506"/>
      <c r="CZ261" s="1506"/>
      <c r="DA261" s="1506"/>
      <c r="DB261" s="1506"/>
      <c r="DC261" s="1506"/>
      <c r="DD261" s="1506"/>
      <c r="DE261" s="1506"/>
      <c r="DF261" s="1506"/>
      <c r="DG261" s="1506"/>
      <c r="DH261" s="1506"/>
      <c r="DI261" s="1506"/>
      <c r="DJ261" s="1506"/>
      <c r="DK261" s="1506"/>
      <c r="DL261" s="1506"/>
      <c r="DM261" s="1506"/>
      <c r="DN261" s="1506"/>
      <c r="DO261" s="1506"/>
      <c r="DP261" s="1506"/>
      <c r="DQ261" s="1506"/>
      <c r="DR261" s="1506"/>
      <c r="DS261" s="1506"/>
      <c r="DT261" s="1506"/>
      <c r="DU261" s="1506"/>
      <c r="DV261" s="1506"/>
      <c r="DW261" s="1506"/>
      <c r="DX261" s="1506"/>
      <c r="DY261" s="1506"/>
      <c r="DZ261" s="1506"/>
      <c r="EA261" s="1506"/>
      <c r="EB261" s="1506"/>
      <c r="EC261" s="1506"/>
      <c r="ED261" s="1506"/>
      <c r="EE261" s="1506"/>
      <c r="EF261" s="1506"/>
      <c r="EG261" s="1506"/>
      <c r="EH261" s="1506"/>
      <c r="EI261" s="1506"/>
      <c r="EJ261" s="1506"/>
      <c r="EK261" s="1506"/>
      <c r="EL261" s="1506"/>
      <c r="EM261" s="1506"/>
      <c r="EN261" s="1506"/>
      <c r="EO261" s="1506"/>
      <c r="EP261" s="1506"/>
      <c r="EQ261" s="1506"/>
      <c r="ER261" s="1506"/>
      <c r="ES261" s="1506"/>
      <c r="ET261" s="1506"/>
      <c r="EU261" s="1506"/>
      <c r="EV261" s="1506"/>
      <c r="EW261" s="1506"/>
      <c r="EX261" s="1506"/>
      <c r="EY261" s="1506"/>
      <c r="EZ261" s="1506"/>
      <c r="FA261" s="1506"/>
      <c r="FB261" s="1506"/>
      <c r="FC261" s="1506"/>
      <c r="FD261" s="1506"/>
      <c r="FE261" s="1506"/>
      <c r="FF261" s="1506"/>
      <c r="FG261" s="1506"/>
      <c r="FH261" s="1506"/>
      <c r="FI261" s="1506"/>
      <c r="FJ261" s="1506"/>
      <c r="FK261" s="1506"/>
      <c r="FL261" s="1506"/>
      <c r="FM261" s="1506"/>
      <c r="FN261" s="1506"/>
      <c r="FO261" s="1506"/>
      <c r="FP261" s="1506"/>
      <c r="FQ261" s="1506"/>
      <c r="FR261" s="1506"/>
      <c r="FS261" s="1506"/>
      <c r="FT261" s="1506"/>
      <c r="FU261" s="1506"/>
      <c r="FV261" s="1506"/>
      <c r="FW261" s="1506"/>
      <c r="FX261" s="1506"/>
      <c r="FY261" s="1506"/>
      <c r="FZ261" s="1506"/>
      <c r="GA261" s="1506"/>
      <c r="GB261" s="1506"/>
      <c r="GC261" s="1506"/>
    </row>
    <row r="262" spans="1:185" s="93" customFormat="1" ht="12.95" customHeight="1">
      <c r="A262" s="1004"/>
      <c r="B262" s="1004"/>
      <c r="C262" s="1506"/>
      <c r="D262" s="1506"/>
      <c r="E262" s="487" t="str">
        <f t="shared" si="45"/>
        <v>20172</v>
      </c>
      <c r="F262" s="488">
        <v>2</v>
      </c>
      <c r="G262" s="489">
        <f>N(INDEX(Reference!I$341:I$549,MATCH($E262,Reference!$H$341:$H$549,0)))*Scale</f>
        <v>10711.195</v>
      </c>
      <c r="H262" s="541">
        <f t="shared" si="46"/>
        <v>0</v>
      </c>
      <c r="I262" s="489">
        <f>N(INDEX(Reference!J$341:J$549,MATCH($E262,Reference!$H$341:$H$549,0)))*Scale</f>
        <v>24233.746999999999</v>
      </c>
      <c r="J262" s="490">
        <f>INDEX(Reference!K$341:K$549,MATCH($E262,Reference!$H$341:$H$549,0))</f>
        <v>6.1000000000000004E-3</v>
      </c>
      <c r="K262" s="490">
        <f>INDEX(Reference!L$341:L$549,MATCH($E262,Reference!$H$341:$H$549,0))</f>
        <v>6.1000000000000004E-3</v>
      </c>
      <c r="L262" s="490">
        <f>INDEX(Reference!M$341:M$549,MATCH($E262,Reference!$H$341:$H$549,0))</f>
        <v>6.1000000000000004E-3</v>
      </c>
      <c r="M262" s="491">
        <f t="shared" si="44"/>
        <v>6.1000000000000004E-3</v>
      </c>
      <c r="N262" s="2060"/>
      <c r="O262" s="2121"/>
      <c r="P262" s="1506"/>
      <c r="Q262" s="1506"/>
      <c r="R262" s="1506"/>
      <c r="S262" s="1506"/>
      <c r="T262" s="1506"/>
      <c r="U262" s="1506"/>
      <c r="V262" s="1506"/>
      <c r="W262" s="1506"/>
      <c r="X262" s="1506"/>
      <c r="Y262" s="1506"/>
      <c r="Z262" s="1506"/>
      <c r="AA262" s="1506"/>
      <c r="AB262" s="1506"/>
      <c r="AC262" s="1506"/>
      <c r="AD262" s="1509"/>
      <c r="AE262" s="1506"/>
      <c r="AF262" s="1506"/>
      <c r="AG262" s="1506"/>
      <c r="AH262" s="1506"/>
      <c r="AI262" s="1506"/>
      <c r="AJ262" s="1506"/>
      <c r="AK262" s="1506"/>
      <c r="AL262" s="1506"/>
      <c r="AM262" s="1506"/>
      <c r="AN262" s="1506"/>
      <c r="AO262" s="1506"/>
      <c r="AP262" s="1506"/>
      <c r="AQ262" s="1506"/>
      <c r="AR262" s="1506"/>
      <c r="AS262" s="1506"/>
      <c r="AT262" s="1506"/>
      <c r="AU262" s="1506"/>
      <c r="AV262" s="1506"/>
      <c r="AW262" s="1506"/>
      <c r="AX262" s="1506"/>
      <c r="AY262" s="1506"/>
      <c r="AZ262" s="1506"/>
      <c r="BA262" s="1506"/>
      <c r="BB262" s="1506"/>
      <c r="BC262" s="1506"/>
      <c r="BD262" s="1506"/>
      <c r="BE262" s="1506"/>
      <c r="BF262" s="1506"/>
      <c r="BG262" s="1506"/>
      <c r="BH262" s="1506"/>
      <c r="BI262" s="1506"/>
      <c r="BJ262" s="1506"/>
      <c r="BK262" s="1506"/>
      <c r="BL262" s="1506"/>
      <c r="BM262" s="1506"/>
      <c r="BN262" s="1506"/>
      <c r="BO262" s="1506"/>
      <c r="BP262" s="1506"/>
      <c r="BQ262" s="1506"/>
      <c r="BR262" s="1506"/>
      <c r="BS262" s="1506"/>
      <c r="BT262" s="1506"/>
      <c r="BU262" s="1506"/>
      <c r="BV262" s="1506"/>
      <c r="BW262" s="1506"/>
      <c r="BX262" s="1506"/>
      <c r="BY262" s="1506"/>
      <c r="BZ262" s="1506"/>
      <c r="CA262" s="1506"/>
      <c r="CB262" s="1506"/>
      <c r="CC262" s="1506"/>
      <c r="CD262" s="1506"/>
      <c r="CE262" s="1506"/>
      <c r="CF262" s="1506"/>
      <c r="CG262" s="1506"/>
      <c r="CH262" s="1506"/>
      <c r="CI262" s="1506"/>
      <c r="CJ262" s="1506"/>
      <c r="CK262" s="1506"/>
      <c r="CL262" s="1506"/>
      <c r="CM262" s="1506"/>
      <c r="CN262" s="1506"/>
      <c r="CO262" s="1506"/>
      <c r="CP262" s="1506"/>
      <c r="CQ262" s="1506"/>
      <c r="CR262" s="1506"/>
      <c r="CS262" s="1506"/>
      <c r="CT262" s="1506"/>
      <c r="CU262" s="1506"/>
      <c r="CV262" s="1506"/>
      <c r="CW262" s="1506"/>
      <c r="CX262" s="1506"/>
      <c r="CY262" s="1506"/>
      <c r="CZ262" s="1506"/>
      <c r="DA262" s="1506"/>
      <c r="DB262" s="1506"/>
      <c r="DC262" s="1506"/>
      <c r="DD262" s="1506"/>
      <c r="DE262" s="1506"/>
      <c r="DF262" s="1506"/>
      <c r="DG262" s="1506"/>
      <c r="DH262" s="1506"/>
      <c r="DI262" s="1506"/>
      <c r="DJ262" s="1506"/>
      <c r="DK262" s="1506"/>
      <c r="DL262" s="1506"/>
      <c r="DM262" s="1506"/>
      <c r="DN262" s="1506"/>
      <c r="DO262" s="1506"/>
      <c r="DP262" s="1506"/>
      <c r="DQ262" s="1506"/>
      <c r="DR262" s="1506"/>
      <c r="DS262" s="1506"/>
      <c r="DT262" s="1506"/>
      <c r="DU262" s="1506"/>
      <c r="DV262" s="1506"/>
      <c r="DW262" s="1506"/>
      <c r="DX262" s="1506"/>
      <c r="DY262" s="1506"/>
      <c r="DZ262" s="1506"/>
      <c r="EA262" s="1506"/>
      <c r="EB262" s="1506"/>
      <c r="EC262" s="1506"/>
      <c r="ED262" s="1506"/>
      <c r="EE262" s="1506"/>
      <c r="EF262" s="1506"/>
      <c r="EG262" s="1506"/>
      <c r="EH262" s="1506"/>
      <c r="EI262" s="1506"/>
      <c r="EJ262" s="1506"/>
      <c r="EK262" s="1506"/>
      <c r="EL262" s="1506"/>
      <c r="EM262" s="1506"/>
      <c r="EN262" s="1506"/>
      <c r="EO262" s="1506"/>
      <c r="EP262" s="1506"/>
      <c r="EQ262" s="1506"/>
      <c r="ER262" s="1506"/>
      <c r="ES262" s="1506"/>
      <c r="ET262" s="1506"/>
      <c r="EU262" s="1506"/>
      <c r="EV262" s="1506"/>
      <c r="EW262" s="1506"/>
      <c r="EX262" s="1506"/>
      <c r="EY262" s="1506"/>
      <c r="EZ262" s="1506"/>
      <c r="FA262" s="1506"/>
      <c r="FB262" s="1506"/>
      <c r="FC262" s="1506"/>
      <c r="FD262" s="1506"/>
      <c r="FE262" s="1506"/>
      <c r="FF262" s="1506"/>
      <c r="FG262" s="1506"/>
      <c r="FH262" s="1506"/>
      <c r="FI262" s="1506"/>
      <c r="FJ262" s="1506"/>
      <c r="FK262" s="1506"/>
      <c r="FL262" s="1506"/>
      <c r="FM262" s="1506"/>
      <c r="FN262" s="1506"/>
      <c r="FO262" s="1506"/>
      <c r="FP262" s="1506"/>
      <c r="FQ262" s="1506"/>
      <c r="FR262" s="1506"/>
      <c r="FS262" s="1506"/>
      <c r="FT262" s="1506"/>
      <c r="FU262" s="1506"/>
      <c r="FV262" s="1506"/>
      <c r="FW262" s="1506"/>
      <c r="FX262" s="1506"/>
      <c r="FY262" s="1506"/>
      <c r="FZ262" s="1506"/>
      <c r="GA262" s="1506"/>
      <c r="GB262" s="1506"/>
      <c r="GC262" s="1506"/>
    </row>
    <row r="263" spans="1:185" s="93" customFormat="1" ht="12.95" customHeight="1">
      <c r="A263" s="1004"/>
      <c r="B263" s="1004"/>
      <c r="C263" s="1506"/>
      <c r="D263" s="1506"/>
      <c r="E263" s="487" t="str">
        <f t="shared" si="45"/>
        <v>20171</v>
      </c>
      <c r="F263" s="488">
        <v>1</v>
      </c>
      <c r="G263" s="489">
        <f>N(INDEX(Reference!I$341:I$549,MATCH($E263,Reference!$H$341:$H$549,0)))*Scale</f>
        <v>24233.748</v>
      </c>
      <c r="H263" s="541">
        <f t="shared" si="46"/>
        <v>0</v>
      </c>
      <c r="I263" s="489">
        <f>N(INDEX(Reference!J$341:J$549,MATCH($E263,Reference!$H$341:$H$549,0)))*Scale</f>
        <v>609163.49800000002</v>
      </c>
      <c r="J263" s="490">
        <f>INDEX(Reference!K$341:K$549,MATCH($E263,Reference!$H$341:$H$549,0))</f>
        <v>-3.5000000000000001E-3</v>
      </c>
      <c r="K263" s="490">
        <f>INDEX(Reference!L$341:L$549,MATCH($E263,Reference!$H$341:$H$549,0))</f>
        <v>-3.5000000000000001E-3</v>
      </c>
      <c r="L263" s="490">
        <f>INDEX(Reference!M$341:M$549,MATCH($E263,Reference!$H$341:$H$549,0))</f>
        <v>-3.5000000000000001E-3</v>
      </c>
      <c r="M263" s="491">
        <f t="shared" si="44"/>
        <v>-3.5000000000000001E-3</v>
      </c>
      <c r="N263" s="2060"/>
      <c r="O263" s="2121"/>
      <c r="P263" s="1506"/>
      <c r="Q263" s="1506"/>
      <c r="R263" s="1506"/>
      <c r="S263" s="1506"/>
      <c r="T263" s="1506"/>
      <c r="U263" s="1506"/>
      <c r="V263" s="1506"/>
      <c r="W263" s="1506"/>
      <c r="X263" s="1506"/>
      <c r="Y263" s="1506"/>
      <c r="Z263" s="1506"/>
      <c r="AA263" s="1506"/>
      <c r="AB263" s="1506"/>
      <c r="AC263" s="1506"/>
      <c r="AD263" s="1509"/>
      <c r="AE263" s="1506"/>
      <c r="AF263" s="1506"/>
      <c r="AG263" s="1506"/>
      <c r="AH263" s="1506"/>
      <c r="AI263" s="1506"/>
      <c r="AJ263" s="1506"/>
      <c r="AK263" s="1506"/>
      <c r="AL263" s="1506"/>
      <c r="AM263" s="1506"/>
      <c r="AN263" s="1506"/>
      <c r="AO263" s="1506"/>
      <c r="AP263" s="1506"/>
      <c r="AQ263" s="1506"/>
      <c r="AR263" s="1506"/>
      <c r="AS263" s="1506"/>
      <c r="AT263" s="1506"/>
      <c r="AU263" s="1506"/>
      <c r="AV263" s="1506"/>
      <c r="AW263" s="1506"/>
      <c r="AX263" s="1506"/>
      <c r="AY263" s="1506"/>
      <c r="AZ263" s="1506"/>
      <c r="BA263" s="1506"/>
      <c r="BB263" s="1506"/>
      <c r="BC263" s="1506"/>
      <c r="BD263" s="1506"/>
      <c r="BE263" s="1506"/>
      <c r="BF263" s="1506"/>
      <c r="BG263" s="1506"/>
      <c r="BH263" s="1506"/>
      <c r="BI263" s="1506"/>
      <c r="BJ263" s="1506"/>
      <c r="BK263" s="1506"/>
      <c r="BL263" s="1506"/>
      <c r="BM263" s="1506"/>
      <c r="BN263" s="1506"/>
      <c r="BO263" s="1506"/>
      <c r="BP263" s="1506"/>
      <c r="BQ263" s="1506"/>
      <c r="BR263" s="1506"/>
      <c r="BS263" s="1506"/>
      <c r="BT263" s="1506"/>
      <c r="BU263" s="1506"/>
      <c r="BV263" s="1506"/>
      <c r="BW263" s="1506"/>
      <c r="BX263" s="1506"/>
      <c r="BY263" s="1506"/>
      <c r="BZ263" s="1506"/>
      <c r="CA263" s="1506"/>
      <c r="CB263" s="1506"/>
      <c r="CC263" s="1506"/>
      <c r="CD263" s="1506"/>
      <c r="CE263" s="1506"/>
      <c r="CF263" s="1506"/>
      <c r="CG263" s="1506"/>
      <c r="CH263" s="1506"/>
      <c r="CI263" s="1506"/>
      <c r="CJ263" s="1506"/>
      <c r="CK263" s="1506"/>
      <c r="CL263" s="1506"/>
      <c r="CM263" s="1506"/>
      <c r="CN263" s="1506"/>
      <c r="CO263" s="1506"/>
      <c r="CP263" s="1506"/>
      <c r="CQ263" s="1506"/>
      <c r="CR263" s="1506"/>
      <c r="CS263" s="1506"/>
      <c r="CT263" s="1506"/>
      <c r="CU263" s="1506"/>
      <c r="CV263" s="1506"/>
      <c r="CW263" s="1506"/>
      <c r="CX263" s="1506"/>
      <c r="CY263" s="1506"/>
      <c r="CZ263" s="1506"/>
      <c r="DA263" s="1506"/>
      <c r="DB263" s="1506"/>
      <c r="DC263" s="1506"/>
      <c r="DD263" s="1506"/>
      <c r="DE263" s="1506"/>
      <c r="DF263" s="1506"/>
      <c r="DG263" s="1506"/>
      <c r="DH263" s="1506"/>
      <c r="DI263" s="1506"/>
      <c r="DJ263" s="1506"/>
      <c r="DK263" s="1506"/>
      <c r="DL263" s="1506"/>
      <c r="DM263" s="1506"/>
      <c r="DN263" s="1506"/>
      <c r="DO263" s="1506"/>
      <c r="DP263" s="1506"/>
      <c r="DQ263" s="1506"/>
      <c r="DR263" s="1506"/>
      <c r="DS263" s="1506"/>
      <c r="DT263" s="1506"/>
      <c r="DU263" s="1506"/>
      <c r="DV263" s="1506"/>
      <c r="DW263" s="1506"/>
      <c r="DX263" s="1506"/>
      <c r="DY263" s="1506"/>
      <c r="DZ263" s="1506"/>
      <c r="EA263" s="1506"/>
      <c r="EB263" s="1506"/>
      <c r="EC263" s="1506"/>
      <c r="ED263" s="1506"/>
      <c r="EE263" s="1506"/>
      <c r="EF263" s="1506"/>
      <c r="EG263" s="1506"/>
      <c r="EH263" s="1506"/>
      <c r="EI263" s="1506"/>
      <c r="EJ263" s="1506"/>
      <c r="EK263" s="1506"/>
      <c r="EL263" s="1506"/>
      <c r="EM263" s="1506"/>
      <c r="EN263" s="1506"/>
      <c r="EO263" s="1506"/>
      <c r="EP263" s="1506"/>
      <c r="EQ263" s="1506"/>
      <c r="ER263" s="1506"/>
      <c r="ES263" s="1506"/>
      <c r="ET263" s="1506"/>
      <c r="EU263" s="1506"/>
      <c r="EV263" s="1506"/>
      <c r="EW263" s="1506"/>
      <c r="EX263" s="1506"/>
      <c r="EY263" s="1506"/>
      <c r="EZ263" s="1506"/>
      <c r="FA263" s="1506"/>
      <c r="FB263" s="1506"/>
      <c r="FC263" s="1506"/>
      <c r="FD263" s="1506"/>
      <c r="FE263" s="1506"/>
      <c r="FF263" s="1506"/>
      <c r="FG263" s="1506"/>
      <c r="FH263" s="1506"/>
      <c r="FI263" s="1506"/>
      <c r="FJ263" s="1506"/>
      <c r="FK263" s="1506"/>
      <c r="FL263" s="1506"/>
      <c r="FM263" s="1506"/>
      <c r="FN263" s="1506"/>
      <c r="FO263" s="1506"/>
      <c r="FP263" s="1506"/>
      <c r="FQ263" s="1506"/>
      <c r="FR263" s="1506"/>
      <c r="FS263" s="1506"/>
      <c r="FT263" s="1506"/>
      <c r="FU263" s="1506"/>
      <c r="FV263" s="1506"/>
      <c r="FW263" s="1506"/>
      <c r="FX263" s="1506"/>
      <c r="FY263" s="1506"/>
      <c r="FZ263" s="1506"/>
      <c r="GA263" s="1506"/>
      <c r="GB263" s="1506"/>
      <c r="GC263" s="1506"/>
    </row>
    <row r="264" spans="1:185" s="93" customFormat="1" ht="12.95" customHeight="1">
      <c r="A264" s="1004"/>
      <c r="B264" s="1004"/>
      <c r="C264" s="1506"/>
      <c r="D264" s="1506"/>
      <c r="E264" s="2149"/>
      <c r="F264" s="2150"/>
      <c r="G264" s="2150"/>
      <c r="H264" s="2150"/>
      <c r="I264" s="2150"/>
      <c r="J264" s="2150"/>
      <c r="K264" s="2150"/>
      <c r="L264" s="2150"/>
      <c r="M264" s="2151"/>
      <c r="N264" s="2060"/>
      <c r="O264" s="1506"/>
      <c r="P264" s="1506"/>
      <c r="Q264" s="1506"/>
      <c r="R264" s="1506"/>
      <c r="S264" s="1506"/>
      <c r="T264" s="1506"/>
      <c r="U264" s="1506"/>
      <c r="V264" s="1506"/>
      <c r="W264" s="1506"/>
      <c r="X264" s="1506"/>
      <c r="Y264" s="1506"/>
      <c r="Z264" s="1506"/>
      <c r="AA264" s="1506"/>
      <c r="AB264" s="1506"/>
      <c r="AC264" s="1506"/>
      <c r="AD264" s="1509"/>
      <c r="AE264" s="1506"/>
      <c r="AF264" s="1506"/>
      <c r="AG264" s="1506"/>
      <c r="AH264" s="1506"/>
      <c r="AI264" s="1506"/>
      <c r="AJ264" s="1506"/>
      <c r="AK264" s="1506"/>
      <c r="AL264" s="1506"/>
      <c r="AM264" s="1506"/>
      <c r="AN264" s="1506"/>
      <c r="AO264" s="1506"/>
      <c r="AP264" s="1506"/>
      <c r="AQ264" s="1506"/>
      <c r="AR264" s="1506"/>
      <c r="AS264" s="1506"/>
      <c r="AT264" s="1506"/>
      <c r="AU264" s="1506"/>
      <c r="AV264" s="1506"/>
      <c r="AW264" s="1506"/>
      <c r="AX264" s="1506"/>
      <c r="AY264" s="1506"/>
      <c r="AZ264" s="1506"/>
      <c r="BA264" s="1506"/>
      <c r="BB264" s="1506"/>
      <c r="BC264" s="1506"/>
      <c r="BD264" s="1506"/>
      <c r="BE264" s="1506"/>
      <c r="BF264" s="1506"/>
      <c r="BG264" s="1506"/>
      <c r="BH264" s="1506"/>
      <c r="BI264" s="1506"/>
      <c r="BJ264" s="1506"/>
      <c r="BK264" s="1506"/>
      <c r="BL264" s="1506"/>
      <c r="BM264" s="1506"/>
      <c r="BN264" s="1506"/>
      <c r="BO264" s="1506"/>
      <c r="BP264" s="1506"/>
      <c r="BQ264" s="1506"/>
      <c r="BR264" s="1506"/>
      <c r="BS264" s="1506"/>
      <c r="BT264" s="1506"/>
      <c r="BU264" s="1506"/>
      <c r="BV264" s="1506"/>
      <c r="BW264" s="1506"/>
      <c r="BX264" s="1506"/>
      <c r="BY264" s="1506"/>
      <c r="BZ264" s="1506"/>
      <c r="CA264" s="1506"/>
      <c r="CB264" s="1506"/>
      <c r="CC264" s="1506"/>
      <c r="CD264" s="1506"/>
      <c r="CE264" s="1506"/>
      <c r="CF264" s="1506"/>
      <c r="CG264" s="1506"/>
      <c r="CH264" s="1506"/>
      <c r="CI264" s="1506"/>
      <c r="CJ264" s="1506"/>
      <c r="CK264" s="1506"/>
      <c r="CL264" s="1506"/>
      <c r="CM264" s="1506"/>
      <c r="CN264" s="1506"/>
      <c r="CO264" s="1506"/>
      <c r="CP264" s="1506"/>
      <c r="CQ264" s="1506"/>
      <c r="CR264" s="1506"/>
      <c r="CS264" s="1506"/>
      <c r="CT264" s="1506"/>
      <c r="CU264" s="1506"/>
      <c r="CV264" s="1506"/>
      <c r="CW264" s="1506"/>
      <c r="CX264" s="1506"/>
      <c r="CY264" s="1506"/>
      <c r="CZ264" s="1506"/>
      <c r="DA264" s="1506"/>
      <c r="DB264" s="1506"/>
      <c r="DC264" s="1506"/>
      <c r="DD264" s="1506"/>
      <c r="DE264" s="1506"/>
      <c r="DF264" s="1506"/>
      <c r="DG264" s="1506"/>
      <c r="DH264" s="1506"/>
      <c r="DI264" s="1506"/>
      <c r="DJ264" s="1506"/>
      <c r="DK264" s="1506"/>
      <c r="DL264" s="1506"/>
      <c r="DM264" s="1506"/>
      <c r="DN264" s="1506"/>
      <c r="DO264" s="1506"/>
      <c r="DP264" s="1506"/>
      <c r="DQ264" s="1506"/>
      <c r="DR264" s="1506"/>
      <c r="DS264" s="1506"/>
      <c r="DT264" s="1506"/>
      <c r="DU264" s="1506"/>
      <c r="DV264" s="1506"/>
      <c r="DW264" s="1506"/>
      <c r="DX264" s="1506"/>
      <c r="DY264" s="1506"/>
      <c r="DZ264" s="1506"/>
      <c r="EA264" s="1506"/>
      <c r="EB264" s="1506"/>
      <c r="EC264" s="1506"/>
      <c r="ED264" s="1506"/>
      <c r="EE264" s="1506"/>
      <c r="EF264" s="1506"/>
      <c r="EG264" s="1506"/>
      <c r="EH264" s="1506"/>
      <c r="EI264" s="1506"/>
      <c r="EJ264" s="1506"/>
      <c r="EK264" s="1506"/>
      <c r="EL264" s="1506"/>
      <c r="EM264" s="1506"/>
      <c r="EN264" s="1506"/>
      <c r="EO264" s="1506"/>
      <c r="EP264" s="1506"/>
      <c r="EQ264" s="1506"/>
      <c r="ER264" s="1506"/>
      <c r="ES264" s="1506"/>
      <c r="ET264" s="1506"/>
      <c r="EU264" s="1506"/>
      <c r="EV264" s="1506"/>
      <c r="EW264" s="1506"/>
      <c r="EX264" s="1506"/>
      <c r="EY264" s="1506"/>
      <c r="EZ264" s="1506"/>
      <c r="FA264" s="1506"/>
      <c r="FB264" s="1506"/>
      <c r="FC264" s="1506"/>
      <c r="FD264" s="1506"/>
      <c r="FE264" s="1506"/>
      <c r="FF264" s="1506"/>
      <c r="FG264" s="1506"/>
      <c r="FH264" s="1506"/>
      <c r="FI264" s="1506"/>
      <c r="FJ264" s="1506"/>
      <c r="FK264" s="1506"/>
      <c r="FL264" s="1506"/>
      <c r="FM264" s="1506"/>
      <c r="FN264" s="1506"/>
      <c r="FO264" s="1506"/>
      <c r="FP264" s="1506"/>
      <c r="FQ264" s="1506"/>
      <c r="FR264" s="1506"/>
      <c r="FS264" s="1506"/>
      <c r="FT264" s="1506"/>
      <c r="FU264" s="1506"/>
      <c r="FV264" s="1506"/>
      <c r="FW264" s="1506"/>
      <c r="FX264" s="1506"/>
      <c r="FY264" s="1506"/>
      <c r="FZ264" s="1506"/>
      <c r="GA264" s="1506"/>
      <c r="GB264" s="1506"/>
      <c r="GC264" s="1506"/>
    </row>
    <row r="265" spans="1:185" s="93" customFormat="1" ht="12.95" customHeight="1">
      <c r="A265" s="1004"/>
      <c r="B265" s="1004"/>
      <c r="C265" s="1506"/>
      <c r="D265" s="1506"/>
      <c r="E265" s="128"/>
      <c r="F265" s="128"/>
      <c r="G265" s="128"/>
      <c r="H265" s="128"/>
      <c r="I265" s="128"/>
      <c r="J265" s="128"/>
      <c r="K265" s="128"/>
      <c r="L265" s="2060"/>
      <c r="M265" s="1506"/>
      <c r="N265" s="2060"/>
      <c r="O265" s="1506"/>
      <c r="P265" s="1506"/>
      <c r="Q265" s="1506"/>
      <c r="R265" s="1506"/>
      <c r="S265" s="1506"/>
      <c r="T265" s="1506"/>
      <c r="U265" s="1506"/>
      <c r="V265" s="1506"/>
      <c r="W265" s="1506"/>
      <c r="X265" s="1506"/>
      <c r="Y265" s="1506"/>
      <c r="Z265" s="1506"/>
      <c r="AA265" s="1506"/>
      <c r="AB265" s="1506"/>
      <c r="AC265" s="1506"/>
      <c r="AD265" s="1509"/>
      <c r="AE265" s="1506"/>
      <c r="AF265" s="1506"/>
      <c r="AG265" s="1506"/>
      <c r="AH265" s="1506"/>
      <c r="AI265" s="1506"/>
      <c r="AJ265" s="1506"/>
      <c r="AK265" s="1506"/>
      <c r="AL265" s="1506"/>
      <c r="AM265" s="1506"/>
      <c r="AN265" s="1506"/>
      <c r="AO265" s="1506"/>
      <c r="AP265" s="1506"/>
      <c r="AQ265" s="1506"/>
      <c r="AR265" s="1506"/>
      <c r="AS265" s="1506"/>
      <c r="AT265" s="1506"/>
      <c r="AU265" s="1506"/>
      <c r="AV265" s="1506"/>
      <c r="AW265" s="1506"/>
      <c r="AX265" s="1506"/>
      <c r="AY265" s="1506"/>
      <c r="AZ265" s="1506"/>
      <c r="BA265" s="1506"/>
      <c r="BB265" s="1506"/>
      <c r="BC265" s="1506"/>
      <c r="BD265" s="1506"/>
      <c r="BE265" s="1506"/>
      <c r="BF265" s="1506"/>
      <c r="BG265" s="1506"/>
      <c r="BH265" s="1506"/>
      <c r="BI265" s="1506"/>
      <c r="BJ265" s="1506"/>
      <c r="BK265" s="1506"/>
      <c r="BL265" s="1506"/>
      <c r="BM265" s="1506"/>
      <c r="BN265" s="1506"/>
      <c r="BO265" s="1506"/>
      <c r="BP265" s="1506"/>
      <c r="BQ265" s="1506"/>
      <c r="BR265" s="1506"/>
      <c r="BS265" s="1506"/>
      <c r="BT265" s="1506"/>
      <c r="BU265" s="1506"/>
      <c r="BV265" s="1506"/>
      <c r="BW265" s="1506"/>
      <c r="BX265" s="1506"/>
      <c r="BY265" s="1506"/>
      <c r="BZ265" s="1506"/>
      <c r="CA265" s="1506"/>
      <c r="CB265" s="1506"/>
      <c r="CC265" s="1506"/>
      <c r="CD265" s="1506"/>
      <c r="CE265" s="1506"/>
      <c r="CF265" s="1506"/>
      <c r="CG265" s="1506"/>
      <c r="CH265" s="1506"/>
      <c r="CI265" s="1506"/>
      <c r="CJ265" s="1506"/>
      <c r="CK265" s="1506"/>
      <c r="CL265" s="1506"/>
      <c r="CM265" s="1506"/>
      <c r="CN265" s="1506"/>
      <c r="CO265" s="1506"/>
      <c r="CP265" s="1506"/>
      <c r="CQ265" s="1506"/>
      <c r="CR265" s="1506"/>
      <c r="CS265" s="1506"/>
      <c r="CT265" s="1506"/>
      <c r="CU265" s="1506"/>
      <c r="CV265" s="1506"/>
      <c r="CW265" s="1506"/>
      <c r="CX265" s="1506"/>
      <c r="CY265" s="1506"/>
      <c r="CZ265" s="1506"/>
      <c r="DA265" s="1506"/>
      <c r="DB265" s="1506"/>
      <c r="DC265" s="1506"/>
      <c r="DD265" s="1506"/>
      <c r="DE265" s="1506"/>
      <c r="DF265" s="1506"/>
      <c r="DG265" s="1506"/>
      <c r="DH265" s="1506"/>
      <c r="DI265" s="1506"/>
      <c r="DJ265" s="1506"/>
      <c r="DK265" s="1506"/>
      <c r="DL265" s="1506"/>
      <c r="DM265" s="1506"/>
      <c r="DN265" s="1506"/>
      <c r="DO265" s="1506"/>
      <c r="DP265" s="1506"/>
      <c r="DQ265" s="1506"/>
      <c r="DR265" s="1506"/>
      <c r="DS265" s="1506"/>
      <c r="DT265" s="1506"/>
      <c r="DU265" s="1506"/>
      <c r="DV265" s="1506"/>
      <c r="DW265" s="1506"/>
      <c r="DX265" s="1506"/>
      <c r="DY265" s="1506"/>
      <c r="DZ265" s="1506"/>
      <c r="EA265" s="1506"/>
      <c r="EB265" s="1506"/>
      <c r="EC265" s="1506"/>
      <c r="ED265" s="1506"/>
      <c r="EE265" s="1506"/>
      <c r="EF265" s="1506"/>
      <c r="EG265" s="1506"/>
      <c r="EH265" s="1506"/>
      <c r="EI265" s="1506"/>
      <c r="EJ265" s="1506"/>
      <c r="EK265" s="1506"/>
      <c r="EL265" s="1506"/>
      <c r="EM265" s="1506"/>
      <c r="EN265" s="1506"/>
      <c r="EO265" s="1506"/>
      <c r="EP265" s="1506"/>
      <c r="EQ265" s="1506"/>
      <c r="ER265" s="1506"/>
      <c r="ES265" s="1506"/>
      <c r="ET265" s="1506"/>
      <c r="EU265" s="1506"/>
      <c r="EV265" s="1506"/>
      <c r="EW265" s="1506"/>
      <c r="EX265" s="1506"/>
      <c r="EY265" s="1506"/>
      <c r="EZ265" s="1506"/>
      <c r="FA265" s="1506"/>
      <c r="FB265" s="1506"/>
      <c r="FC265" s="1506"/>
      <c r="FD265" s="1506"/>
      <c r="FE265" s="1506"/>
      <c r="FF265" s="1506"/>
      <c r="FG265" s="1506"/>
      <c r="FH265" s="1506"/>
      <c r="FI265" s="1506"/>
      <c r="FJ265" s="1506"/>
      <c r="FK265" s="1506"/>
      <c r="FL265" s="1506"/>
      <c r="FM265" s="1506"/>
      <c r="FN265" s="1506"/>
      <c r="FO265" s="1506"/>
      <c r="FP265" s="1506"/>
      <c r="FQ265" s="1506"/>
      <c r="FR265" s="1506"/>
      <c r="FS265" s="1506"/>
      <c r="FT265" s="1506"/>
      <c r="FU265" s="1506"/>
      <c r="FV265" s="1506"/>
      <c r="FW265" s="1506"/>
      <c r="FX265" s="1506"/>
      <c r="FY265" s="1506"/>
      <c r="FZ265" s="1506"/>
      <c r="GA265" s="1506"/>
      <c r="GB265" s="1506"/>
      <c r="GC265" s="1506"/>
    </row>
    <row r="266" spans="1:185" s="93" customFormat="1" ht="12.95" customHeight="1">
      <c r="A266" s="1004"/>
      <c r="B266" s="1004"/>
      <c r="C266" s="1506"/>
      <c r="D266" s="1506"/>
      <c r="E266" s="1506"/>
      <c r="F266" s="1506"/>
      <c r="G266" s="1506"/>
      <c r="H266" s="1506"/>
      <c r="I266" s="1506"/>
      <c r="J266" s="1506"/>
      <c r="K266" s="1506"/>
      <c r="L266" s="1506"/>
      <c r="M266" s="1506"/>
      <c r="N266" s="1506"/>
      <c r="O266" s="1506"/>
      <c r="P266" s="1506"/>
      <c r="Q266" s="1506"/>
      <c r="R266" s="1506"/>
      <c r="S266" s="1506"/>
      <c r="T266" s="1506"/>
      <c r="U266" s="1506"/>
      <c r="V266" s="1506"/>
      <c r="W266" s="1506"/>
      <c r="X266" s="1506"/>
      <c r="Y266" s="1506"/>
      <c r="Z266" s="1506"/>
      <c r="AA266" s="1506"/>
      <c r="AB266" s="1506"/>
      <c r="AC266" s="1506"/>
      <c r="AD266" s="1509"/>
      <c r="AE266" s="1506"/>
      <c r="AF266" s="1506"/>
      <c r="AG266" s="1506"/>
      <c r="AH266" s="1506"/>
      <c r="AI266" s="1506"/>
      <c r="AJ266" s="1506"/>
      <c r="AK266" s="1506"/>
      <c r="AL266" s="1506"/>
      <c r="AM266" s="1506"/>
      <c r="AN266" s="1506"/>
      <c r="AO266" s="1506"/>
      <c r="AP266" s="1506"/>
      <c r="AQ266" s="1506"/>
      <c r="AR266" s="1506"/>
      <c r="AS266" s="1506"/>
      <c r="AT266" s="1506"/>
      <c r="AU266" s="1506"/>
      <c r="AV266" s="1506"/>
      <c r="AW266" s="1506"/>
      <c r="AX266" s="1506"/>
      <c r="AY266" s="1506"/>
      <c r="AZ266" s="1506"/>
      <c r="BA266" s="1506"/>
      <c r="BB266" s="1506"/>
      <c r="BC266" s="1506"/>
      <c r="BD266" s="1506"/>
      <c r="BE266" s="1506"/>
      <c r="BF266" s="1506"/>
      <c r="BG266" s="1506"/>
      <c r="BH266" s="1506"/>
      <c r="BI266" s="1506"/>
      <c r="BJ266" s="1506"/>
      <c r="BK266" s="1506"/>
      <c r="BL266" s="1506"/>
      <c r="BM266" s="1506"/>
      <c r="BN266" s="1506"/>
      <c r="BO266" s="1506"/>
      <c r="BP266" s="1506"/>
      <c r="BQ266" s="1506"/>
      <c r="BR266" s="1506"/>
      <c r="BS266" s="1506"/>
      <c r="BT266" s="1506"/>
      <c r="BU266" s="1506"/>
      <c r="BV266" s="1506"/>
      <c r="BW266" s="1506"/>
      <c r="BX266" s="1506"/>
      <c r="BY266" s="1506"/>
      <c r="BZ266" s="1506"/>
      <c r="CA266" s="1506"/>
      <c r="CB266" s="1506"/>
      <c r="CC266" s="1506"/>
      <c r="CD266" s="1506"/>
      <c r="CE266" s="1506"/>
      <c r="CF266" s="1506"/>
      <c r="CG266" s="1506"/>
      <c r="CH266" s="1506"/>
      <c r="CI266" s="1506"/>
      <c r="CJ266" s="1506"/>
      <c r="CK266" s="1506"/>
      <c r="CL266" s="1506"/>
      <c r="CM266" s="1506"/>
      <c r="CN266" s="1506"/>
      <c r="CO266" s="1506"/>
      <c r="CP266" s="1506"/>
      <c r="CQ266" s="1506"/>
      <c r="CR266" s="1506"/>
      <c r="CS266" s="1506"/>
      <c r="CT266" s="1506"/>
      <c r="CU266" s="1506"/>
      <c r="CV266" s="1506"/>
      <c r="CW266" s="1506"/>
      <c r="CX266" s="1506"/>
      <c r="CY266" s="1506"/>
      <c r="CZ266" s="1506"/>
      <c r="DA266" s="1506"/>
      <c r="DB266" s="1506"/>
      <c r="DC266" s="1506"/>
      <c r="DD266" s="1506"/>
      <c r="DE266" s="1506"/>
      <c r="DF266" s="1506"/>
      <c r="DG266" s="1506"/>
      <c r="DH266" s="1506"/>
      <c r="DI266" s="1506"/>
      <c r="DJ266" s="1506"/>
      <c r="DK266" s="1506"/>
      <c r="DL266" s="1506"/>
      <c r="DM266" s="1506"/>
      <c r="DN266" s="1506"/>
      <c r="DO266" s="1506"/>
      <c r="DP266" s="1506"/>
      <c r="DQ266" s="1506"/>
      <c r="DR266" s="1506"/>
      <c r="DS266" s="1506"/>
      <c r="DT266" s="1506"/>
      <c r="DU266" s="1506"/>
      <c r="DV266" s="1506"/>
      <c r="DW266" s="1506"/>
      <c r="DX266" s="1506"/>
      <c r="DY266" s="1506"/>
      <c r="DZ266" s="1506"/>
      <c r="EA266" s="1506"/>
      <c r="EB266" s="1506"/>
      <c r="EC266" s="1506"/>
      <c r="ED266" s="1506"/>
      <c r="EE266" s="1506"/>
      <c r="EF266" s="1506"/>
      <c r="EG266" s="1506"/>
      <c r="EH266" s="1506"/>
      <c r="EI266" s="1506"/>
      <c r="EJ266" s="1506"/>
      <c r="EK266" s="1506"/>
      <c r="EL266" s="1506"/>
      <c r="EM266" s="1506"/>
      <c r="EN266" s="1506"/>
      <c r="EO266" s="1506"/>
      <c r="EP266" s="1506"/>
      <c r="EQ266" s="1506"/>
      <c r="ER266" s="1506"/>
      <c r="ES266" s="1506"/>
      <c r="ET266" s="1506"/>
      <c r="EU266" s="1506"/>
      <c r="EV266" s="1506"/>
      <c r="EW266" s="1506"/>
      <c r="EX266" s="1506"/>
      <c r="EY266" s="1506"/>
      <c r="EZ266" s="1506"/>
      <c r="FA266" s="1506"/>
      <c r="FB266" s="1506"/>
      <c r="FC266" s="1506"/>
      <c r="FD266" s="1506"/>
      <c r="FE266" s="1506"/>
      <c r="FF266" s="1506"/>
      <c r="FG266" s="1506"/>
      <c r="FH266" s="1506"/>
      <c r="FI266" s="1506"/>
      <c r="FJ266" s="1506"/>
      <c r="FK266" s="1506"/>
      <c r="FL266" s="1506"/>
      <c r="FM266" s="1506"/>
      <c r="FN266" s="1506"/>
      <c r="FO266" s="1506"/>
      <c r="FP266" s="1506"/>
      <c r="FQ266" s="1506"/>
      <c r="FR266" s="1506"/>
      <c r="FS266" s="1506"/>
      <c r="FT266" s="1506"/>
      <c r="FU266" s="1506"/>
      <c r="FV266" s="1506"/>
      <c r="FW266" s="1506"/>
      <c r="FX266" s="1506"/>
      <c r="FY266" s="1506"/>
      <c r="FZ266" s="1506"/>
      <c r="GA266" s="1506"/>
      <c r="GB266" s="1506"/>
      <c r="GC266" s="1506"/>
    </row>
    <row r="267" spans="1:185" customFormat="1">
      <c r="A267" s="1004" t="s">
        <v>17</v>
      </c>
      <c r="B267" s="1004"/>
      <c r="C267" s="1638"/>
      <c r="D267" s="1687" t="s">
        <v>1279</v>
      </c>
      <c r="E267" s="1638"/>
      <c r="F267" s="1638"/>
      <c r="G267" s="1638"/>
      <c r="H267" s="1638"/>
      <c r="I267" s="1638"/>
      <c r="J267" s="1638"/>
      <c r="K267" s="1638"/>
      <c r="L267" s="1638"/>
      <c r="M267" s="1638"/>
      <c r="N267" s="1638"/>
      <c r="O267" s="1638"/>
      <c r="P267" s="1638"/>
      <c r="Q267" s="1638"/>
      <c r="R267" s="1638"/>
      <c r="S267" s="1638" t="s">
        <v>18</v>
      </c>
      <c r="T267" s="1638"/>
      <c r="U267" s="1638"/>
      <c r="V267" s="1638"/>
      <c r="W267" s="1638"/>
      <c r="X267" s="1638"/>
      <c r="Y267" s="1638"/>
      <c r="Z267" s="1638"/>
      <c r="AA267" s="1638"/>
      <c r="AB267" s="1638"/>
      <c r="AC267" s="1638"/>
      <c r="AD267" s="1004"/>
      <c r="AE267" s="2060"/>
      <c r="AF267" s="2060"/>
      <c r="AG267" s="2060"/>
      <c r="AH267" s="2060"/>
      <c r="AI267" s="2060"/>
      <c r="AJ267" s="2060"/>
      <c r="AK267" s="2060"/>
      <c r="AL267" s="2060"/>
      <c r="AM267" s="2060"/>
      <c r="AN267" s="2060"/>
      <c r="AO267" s="2060"/>
      <c r="AP267" s="2060"/>
      <c r="AQ267" s="2060"/>
      <c r="AR267" s="2060"/>
      <c r="AS267" s="2060"/>
      <c r="AT267" s="2060"/>
      <c r="AU267" s="2060"/>
      <c r="AV267" s="2060"/>
      <c r="AW267" s="2060"/>
      <c r="AX267" s="2060"/>
      <c r="AY267" s="2060"/>
      <c r="AZ267" s="2060"/>
      <c r="BA267" s="2060"/>
      <c r="BB267" s="2060"/>
      <c r="BC267" s="2060"/>
      <c r="BD267" s="2060"/>
      <c r="BE267" s="2060"/>
      <c r="BF267" s="2060"/>
      <c r="BG267" s="2060"/>
      <c r="BH267" s="2060"/>
      <c r="BI267" s="2060"/>
      <c r="BJ267" s="2060"/>
      <c r="BK267" s="2060"/>
      <c r="BL267" s="2060"/>
      <c r="BM267" s="2060"/>
      <c r="BN267" s="2060"/>
      <c r="BO267" s="2060"/>
      <c r="BP267" s="2060"/>
      <c r="BQ267" s="2060"/>
      <c r="BR267" s="2060"/>
      <c r="BS267" s="2060"/>
      <c r="BT267" s="2060"/>
      <c r="BU267" s="2060"/>
      <c r="BV267" s="2060"/>
      <c r="BW267" s="2060"/>
      <c r="BX267" s="2060"/>
      <c r="BY267" s="2060"/>
      <c r="BZ267" s="2060"/>
      <c r="CA267" s="2060"/>
      <c r="CB267" s="2060"/>
      <c r="CC267" s="2060"/>
      <c r="CD267" s="2060"/>
      <c r="CE267" s="2060"/>
      <c r="CF267" s="2060"/>
      <c r="CG267" s="2060"/>
      <c r="CH267" s="2060"/>
      <c r="CI267" s="2060"/>
      <c r="CJ267" s="2060"/>
      <c r="CK267" s="2060"/>
      <c r="CL267" s="2060"/>
      <c r="CM267" s="2060"/>
      <c r="CN267" s="2060"/>
      <c r="CO267" s="2060"/>
      <c r="CP267" s="2060"/>
      <c r="CQ267" s="2060"/>
      <c r="CR267" s="2060"/>
      <c r="CS267" s="2060"/>
      <c r="CT267" s="2060"/>
      <c r="CU267" s="2060"/>
      <c r="CV267" s="2060"/>
      <c r="CW267" s="2060"/>
      <c r="CX267" s="2060"/>
      <c r="CY267" s="2060"/>
      <c r="CZ267" s="2060"/>
      <c r="DA267" s="2060"/>
      <c r="DB267" s="2060"/>
      <c r="DC267" s="2060"/>
      <c r="DD267" s="2060"/>
      <c r="DE267" s="2060"/>
      <c r="DF267" s="2060"/>
      <c r="DG267" s="2060"/>
      <c r="DH267" s="2060"/>
      <c r="DI267" s="2060"/>
      <c r="DJ267" s="2060"/>
      <c r="DK267" s="2060"/>
      <c r="DL267" s="2060"/>
      <c r="DM267" s="2060"/>
      <c r="DN267" s="2060"/>
      <c r="DO267" s="2060"/>
      <c r="DP267" s="2060"/>
      <c r="DQ267" s="2060"/>
      <c r="DR267" s="2060"/>
      <c r="DS267" s="2060"/>
      <c r="DT267" s="2060"/>
      <c r="DU267" s="2060"/>
      <c r="DV267" s="2060"/>
      <c r="DW267" s="2060"/>
      <c r="DX267" s="2060"/>
      <c r="DY267" s="2060"/>
      <c r="DZ267" s="2060"/>
      <c r="EA267" s="2060"/>
      <c r="EB267" s="2060"/>
      <c r="EC267" s="2060"/>
      <c r="ED267" s="2060"/>
      <c r="EE267" s="2060"/>
      <c r="EF267" s="2060"/>
      <c r="EG267" s="2060"/>
      <c r="EH267" s="2060"/>
      <c r="EI267" s="2060"/>
      <c r="EJ267" s="2060"/>
      <c r="EK267" s="2060"/>
      <c r="EL267" s="2060"/>
      <c r="EM267" s="2060"/>
      <c r="EN267" s="2060"/>
      <c r="EO267" s="2060"/>
      <c r="EP267" s="2060"/>
      <c r="EQ267" s="2060"/>
      <c r="ER267" s="2060"/>
      <c r="ES267" s="2060"/>
      <c r="ET267" s="2060"/>
      <c r="EU267" s="2060"/>
      <c r="EV267" s="2060"/>
      <c r="EW267" s="2060"/>
      <c r="EX267" s="2060"/>
      <c r="EY267" s="2060"/>
      <c r="EZ267" s="2060"/>
      <c r="FA267" s="2060"/>
      <c r="FB267" s="2060"/>
      <c r="FC267" s="2060"/>
      <c r="FD267" s="2060"/>
      <c r="FE267" s="2060"/>
      <c r="FF267" s="2060"/>
      <c r="FG267" s="2060"/>
      <c r="FH267" s="2060"/>
      <c r="FI267" s="2060"/>
      <c r="FJ267" s="2060"/>
      <c r="FK267" s="2060"/>
      <c r="FL267" s="2060"/>
      <c r="FM267" s="2060"/>
      <c r="FN267" s="2060"/>
      <c r="FO267" s="2060"/>
      <c r="FP267" s="2060"/>
      <c r="FQ267" s="2060"/>
      <c r="FR267" s="2060"/>
      <c r="FS267" s="2060"/>
      <c r="FT267" s="2060"/>
      <c r="FU267" s="2060"/>
      <c r="FV267" s="2060"/>
      <c r="FW267" s="2060"/>
      <c r="FX267" s="2060"/>
      <c r="FY267" s="2060"/>
      <c r="FZ267" s="2060"/>
      <c r="GA267" s="2060"/>
      <c r="GB267" s="2060"/>
      <c r="GC267" s="2060"/>
    </row>
    <row r="268" spans="1:185" s="1499" customFormat="1">
      <c r="A268" s="1004"/>
      <c r="B268" s="1638"/>
      <c r="C268" s="1638"/>
      <c r="D268" s="1638"/>
      <c r="E268" s="1638"/>
      <c r="F268" s="1638"/>
      <c r="G268" s="1638"/>
      <c r="H268" s="1638"/>
      <c r="I268" s="1638"/>
      <c r="J268" s="1638"/>
      <c r="K268" s="1638"/>
      <c r="L268" s="1638"/>
      <c r="M268" s="1638"/>
      <c r="N268" s="1638"/>
      <c r="O268" s="1638"/>
      <c r="P268" s="1638"/>
      <c r="Q268" s="1638"/>
      <c r="R268" s="1638"/>
      <c r="S268" s="1638"/>
      <c r="T268" s="1638"/>
      <c r="U268" s="1638"/>
      <c r="V268" s="1638"/>
      <c r="W268" s="1638"/>
      <c r="X268" s="1638"/>
      <c r="Y268" s="1638"/>
      <c r="Z268" s="1638"/>
      <c r="AA268" s="1638"/>
      <c r="AB268" s="1638"/>
      <c r="AC268" s="1638"/>
      <c r="AD268" s="1004"/>
      <c r="AE268" s="2060"/>
      <c r="AF268" s="2060"/>
      <c r="AG268" s="2060"/>
      <c r="AH268" s="2060"/>
      <c r="AI268" s="2060"/>
      <c r="AJ268" s="2060"/>
      <c r="AK268" s="2060"/>
      <c r="AL268" s="2060"/>
      <c r="AM268" s="2060"/>
      <c r="AN268" s="2060"/>
      <c r="AO268" s="2060"/>
      <c r="AP268" s="2060"/>
      <c r="AQ268" s="2060"/>
      <c r="AR268" s="2060"/>
      <c r="AS268" s="2060"/>
      <c r="AT268" s="2060"/>
      <c r="AU268" s="2060"/>
      <c r="AV268" s="2060"/>
      <c r="AW268" s="2060"/>
      <c r="AX268" s="2060"/>
      <c r="AY268" s="2060"/>
      <c r="AZ268" s="2060"/>
      <c r="BA268" s="2060"/>
      <c r="BB268" s="2060"/>
      <c r="BC268" s="2060"/>
      <c r="BD268" s="2060"/>
      <c r="BE268" s="2060"/>
      <c r="BF268" s="2060"/>
      <c r="BG268" s="2060"/>
      <c r="BH268" s="2060"/>
      <c r="BI268" s="2060"/>
      <c r="BJ268" s="2060"/>
      <c r="BK268" s="2060"/>
      <c r="BL268" s="2060"/>
      <c r="BM268" s="2060"/>
      <c r="BN268" s="2060"/>
      <c r="BO268" s="2060"/>
      <c r="BP268" s="2060"/>
      <c r="BQ268" s="2060"/>
      <c r="BR268" s="2060"/>
      <c r="BS268" s="2060"/>
      <c r="BT268" s="2060"/>
      <c r="BU268" s="2060"/>
      <c r="BV268" s="2060"/>
      <c r="BW268" s="2060"/>
      <c r="BX268" s="2060"/>
      <c r="BY268" s="2060"/>
      <c r="BZ268" s="2060"/>
      <c r="CA268" s="2060"/>
      <c r="CB268" s="2060"/>
      <c r="CC268" s="2060"/>
      <c r="CD268" s="2060"/>
      <c r="CE268" s="2060"/>
      <c r="CF268" s="2060"/>
      <c r="CG268" s="2060"/>
      <c r="CH268" s="2060"/>
      <c r="CI268" s="2060"/>
      <c r="CJ268" s="2060"/>
      <c r="CK268" s="2060"/>
      <c r="CL268" s="2060"/>
      <c r="CM268" s="2060"/>
      <c r="CN268" s="2060"/>
      <c r="CO268" s="2060"/>
      <c r="CP268" s="2060"/>
      <c r="CQ268" s="2060"/>
      <c r="CR268" s="2060"/>
      <c r="CS268" s="2060"/>
      <c r="CT268" s="2060"/>
      <c r="CU268" s="2060"/>
      <c r="CV268" s="2060"/>
      <c r="CW268" s="2060"/>
      <c r="CX268" s="2060"/>
      <c r="CY268" s="2060"/>
      <c r="CZ268" s="2060"/>
      <c r="DA268" s="2060"/>
      <c r="DB268" s="2060"/>
      <c r="DC268" s="2060"/>
      <c r="DD268" s="2060"/>
      <c r="DE268" s="2060"/>
      <c r="DF268" s="2060"/>
      <c r="DG268" s="2060"/>
      <c r="DH268" s="2060"/>
      <c r="DI268" s="2060"/>
      <c r="DJ268" s="2060"/>
      <c r="DK268" s="2060"/>
      <c r="DL268" s="2060"/>
      <c r="DM268" s="2060"/>
      <c r="DN268" s="2060"/>
      <c r="DO268" s="2060"/>
      <c r="DP268" s="2060"/>
      <c r="DQ268" s="2060"/>
      <c r="DR268" s="2060"/>
      <c r="DS268" s="2060"/>
      <c r="DT268" s="2060"/>
      <c r="DU268" s="2060"/>
      <c r="DV268" s="2060"/>
      <c r="DW268" s="2060"/>
      <c r="DX268" s="2060"/>
      <c r="DY268" s="2060"/>
      <c r="DZ268" s="2060"/>
      <c r="EA268" s="2060"/>
      <c r="EB268" s="2060"/>
      <c r="EC268" s="2060"/>
      <c r="ED268" s="2060"/>
      <c r="EE268" s="2060"/>
      <c r="EF268" s="2060"/>
      <c r="EG268" s="2060"/>
      <c r="EH268" s="2060"/>
      <c r="EI268" s="2060"/>
      <c r="EJ268" s="2060"/>
      <c r="EK268" s="2060"/>
      <c r="EL268" s="2060"/>
      <c r="EM268" s="2060"/>
      <c r="EN268" s="2060"/>
      <c r="EO268" s="2060"/>
      <c r="EP268" s="2060"/>
      <c r="EQ268" s="2060"/>
      <c r="ER268" s="2060"/>
      <c r="ES268" s="2060"/>
      <c r="ET268" s="2060"/>
      <c r="EU268" s="2060"/>
      <c r="EV268" s="2060"/>
      <c r="EW268" s="2060"/>
      <c r="EX268" s="2060"/>
      <c r="EY268" s="2060"/>
      <c r="EZ268" s="2060"/>
      <c r="FA268" s="2060"/>
      <c r="FB268" s="2060"/>
      <c r="FC268" s="2060"/>
      <c r="FD268" s="2060"/>
      <c r="FE268" s="2060"/>
      <c r="FF268" s="2060"/>
      <c r="FG268" s="2060"/>
      <c r="FH268" s="2060"/>
      <c r="FI268" s="2060"/>
      <c r="FJ268" s="2060"/>
      <c r="FK268" s="2060"/>
      <c r="FL268" s="2060"/>
      <c r="FM268" s="2060"/>
      <c r="FN268" s="2060"/>
      <c r="FO268" s="2060"/>
      <c r="FP268" s="2060"/>
      <c r="FQ268" s="2060"/>
      <c r="FR268" s="2060"/>
      <c r="FS268" s="2060"/>
      <c r="FT268" s="2060"/>
      <c r="FU268" s="2060"/>
      <c r="FV268" s="2060"/>
      <c r="FW268" s="2060"/>
      <c r="FX268" s="2060"/>
      <c r="FY268" s="2060"/>
      <c r="FZ268" s="2060"/>
      <c r="GA268" s="2060"/>
      <c r="GB268" s="2060"/>
      <c r="GC268" s="2060"/>
    </row>
    <row r="269" spans="1:185" s="1506" customFormat="1" ht="12.95" customHeight="1">
      <c r="A269" s="43" t="s">
        <v>17</v>
      </c>
      <c r="B269" s="43"/>
      <c r="E269" s="128"/>
      <c r="F269" s="128"/>
      <c r="G269" s="128"/>
      <c r="H269" s="128"/>
      <c r="I269" s="128"/>
      <c r="J269" s="128"/>
      <c r="K269" s="128"/>
      <c r="M269" s="2060" t="s">
        <v>1280</v>
      </c>
      <c r="N269" s="2060"/>
    </row>
    <row r="270" spans="1:185" s="93" customFormat="1" ht="12.95" customHeight="1">
      <c r="A270" s="43" t="s">
        <v>17</v>
      </c>
      <c r="B270" s="43"/>
      <c r="C270" s="1506"/>
      <c r="D270" s="1506"/>
      <c r="E270" s="1004" t="s">
        <v>1281</v>
      </c>
      <c r="F270" s="30" t="s">
        <v>1220</v>
      </c>
      <c r="G270" s="1004" t="s">
        <v>1224</v>
      </c>
      <c r="H270" s="30" t="s">
        <v>1224</v>
      </c>
      <c r="I270" s="1509" t="s">
        <v>1227</v>
      </c>
      <c r="J270" s="1004" t="s">
        <v>49</v>
      </c>
      <c r="K270" s="30" t="s">
        <v>128</v>
      </c>
      <c r="L270" s="30" t="s">
        <v>167</v>
      </c>
      <c r="M270" s="1658" t="str">
        <f>IFERROR(INDEX($J$270:$J$304,MATCH(O197,$J$270:$J$304,0)),"USD")</f>
        <v>USD</v>
      </c>
      <c r="N270" s="2060"/>
      <c r="O270" s="1506"/>
      <c r="P270" s="1506"/>
      <c r="Q270" s="1506"/>
      <c r="R270" s="1506"/>
      <c r="S270" s="1506"/>
      <c r="T270" s="1506"/>
      <c r="U270" s="1506"/>
      <c r="V270" s="1506"/>
      <c r="W270" s="1506"/>
      <c r="X270" s="1506"/>
      <c r="Y270" s="1506"/>
      <c r="Z270" s="1506"/>
      <c r="AA270" s="1506"/>
      <c r="AB270" s="1506"/>
      <c r="AC270" s="1506"/>
      <c r="AD270" s="1506"/>
      <c r="AE270" s="1506"/>
      <c r="AF270" s="1506"/>
      <c r="AG270" s="1506"/>
      <c r="AH270" s="1506"/>
      <c r="AI270" s="1506"/>
      <c r="AJ270" s="1506"/>
      <c r="AK270" s="1506"/>
      <c r="AL270" s="1506"/>
      <c r="AM270" s="1506"/>
      <c r="AN270" s="1506"/>
      <c r="AO270" s="1506"/>
      <c r="AP270" s="1506"/>
      <c r="AQ270" s="1506"/>
      <c r="AR270" s="1506"/>
      <c r="AS270" s="1506"/>
      <c r="AT270" s="1506"/>
      <c r="AU270" s="1506"/>
      <c r="AV270" s="1506"/>
      <c r="AW270" s="1506"/>
      <c r="AX270" s="1506"/>
      <c r="AY270" s="1506"/>
      <c r="AZ270" s="1506"/>
      <c r="BA270" s="1506"/>
      <c r="BB270" s="1506"/>
      <c r="BC270" s="1506"/>
      <c r="BD270" s="1506"/>
      <c r="BE270" s="1506"/>
      <c r="BF270" s="1506"/>
      <c r="BG270" s="1506"/>
      <c r="BH270" s="1506"/>
      <c r="BI270" s="1506"/>
      <c r="BJ270" s="1506"/>
      <c r="BK270" s="1506"/>
      <c r="BL270" s="1506"/>
      <c r="BM270" s="1506"/>
      <c r="BN270" s="1506"/>
      <c r="BO270" s="1506"/>
      <c r="BP270" s="1506"/>
      <c r="BQ270" s="1506"/>
      <c r="BR270" s="1506"/>
      <c r="BS270" s="1506"/>
      <c r="BT270" s="1506"/>
      <c r="BU270" s="1506"/>
      <c r="BV270" s="1506"/>
      <c r="BW270" s="1506"/>
      <c r="BX270" s="1506"/>
      <c r="BY270" s="1506"/>
      <c r="BZ270" s="1506"/>
      <c r="CA270" s="1506"/>
      <c r="CB270" s="1506"/>
      <c r="CC270" s="1506"/>
      <c r="CD270" s="1506"/>
      <c r="CE270" s="1506"/>
      <c r="CF270" s="1506"/>
      <c r="CG270" s="1506"/>
      <c r="CH270" s="1506"/>
      <c r="CI270" s="1506"/>
      <c r="CJ270" s="1506"/>
      <c r="CK270" s="1506"/>
      <c r="CL270" s="1506"/>
      <c r="CM270" s="1506"/>
      <c r="CN270" s="1506"/>
      <c r="CO270" s="1506"/>
      <c r="CP270" s="1506"/>
      <c r="CQ270" s="1506"/>
      <c r="CR270" s="1506"/>
      <c r="CS270" s="1506"/>
      <c r="CT270" s="1506"/>
      <c r="CU270" s="1506"/>
      <c r="CV270" s="1506"/>
      <c r="CW270" s="1506"/>
      <c r="CX270" s="1506"/>
      <c r="CY270" s="1506"/>
      <c r="CZ270" s="1506"/>
      <c r="DA270" s="1506"/>
      <c r="DB270" s="1506"/>
      <c r="DC270" s="1506"/>
      <c r="DD270" s="1506"/>
      <c r="DE270" s="1506"/>
      <c r="DF270" s="1506"/>
      <c r="DG270" s="1506"/>
      <c r="DH270" s="1506"/>
      <c r="DI270" s="1506"/>
      <c r="DJ270" s="1506"/>
      <c r="DK270" s="1506"/>
      <c r="DL270" s="1506"/>
      <c r="DM270" s="1506"/>
      <c r="DN270" s="1506"/>
      <c r="DO270" s="1506"/>
      <c r="DP270" s="1506"/>
      <c r="DQ270" s="1506"/>
      <c r="DR270" s="1506"/>
      <c r="DS270" s="1506"/>
      <c r="DT270" s="1506"/>
      <c r="DU270" s="1506"/>
      <c r="DV270" s="1506"/>
      <c r="DW270" s="1506"/>
      <c r="DX270" s="1506"/>
      <c r="DY270" s="1506"/>
      <c r="DZ270" s="1506"/>
      <c r="EA270" s="1506"/>
      <c r="EB270" s="1506"/>
      <c r="EC270" s="1506"/>
      <c r="ED270" s="1506"/>
      <c r="EE270" s="1506"/>
      <c r="EF270" s="1506"/>
      <c r="EG270" s="1506"/>
      <c r="EH270" s="1506"/>
      <c r="EI270" s="1506"/>
      <c r="EJ270" s="1506"/>
      <c r="EK270" s="1506"/>
      <c r="EL270" s="1506"/>
      <c r="EM270" s="1506"/>
      <c r="EN270" s="1506"/>
      <c r="EO270" s="1506"/>
      <c r="EP270" s="1506"/>
      <c r="EQ270" s="1506"/>
      <c r="ER270" s="1506"/>
      <c r="ES270" s="1506"/>
      <c r="ET270" s="1506"/>
      <c r="EU270" s="1506"/>
      <c r="EV270" s="1506"/>
      <c r="EW270" s="1506"/>
      <c r="EX270" s="1506"/>
      <c r="EY270" s="1506"/>
      <c r="EZ270" s="1506"/>
      <c r="FA270" s="1506"/>
      <c r="FB270" s="1506"/>
      <c r="FC270" s="1506"/>
      <c r="FD270" s="1506"/>
      <c r="FE270" s="1506"/>
      <c r="FF270" s="1506"/>
      <c r="FG270" s="1506"/>
      <c r="FH270" s="1506"/>
      <c r="FI270" s="1506"/>
      <c r="FJ270" s="1506"/>
      <c r="FK270" s="1506"/>
      <c r="FL270" s="1506"/>
      <c r="FM270" s="1506"/>
      <c r="FN270" s="1506"/>
      <c r="FO270" s="1506"/>
      <c r="FP270" s="1506"/>
      <c r="FQ270" s="1506"/>
      <c r="FR270" s="1506"/>
      <c r="FS270" s="1506"/>
      <c r="FT270" s="1506"/>
      <c r="FU270" s="1506"/>
      <c r="FV270" s="1506"/>
      <c r="FW270" s="1506"/>
      <c r="FX270" s="1506"/>
      <c r="FY270" s="1506"/>
      <c r="FZ270" s="1506"/>
      <c r="GA270" s="1506"/>
      <c r="GB270" s="1506"/>
      <c r="GC270" s="1506"/>
    </row>
    <row r="271" spans="1:185" s="93" customFormat="1" ht="12.95" customHeight="1">
      <c r="A271" s="43" t="s">
        <v>17</v>
      </c>
      <c r="B271" s="43"/>
      <c r="C271" s="1506"/>
      <c r="D271" s="1506"/>
      <c r="E271" s="1004" t="s">
        <v>1282</v>
      </c>
      <c r="F271" s="30" t="s">
        <v>1283</v>
      </c>
      <c r="G271" s="1004" t="s">
        <v>1284</v>
      </c>
      <c r="H271" s="30" t="s">
        <v>1284</v>
      </c>
      <c r="I271" s="1004" t="s">
        <v>1285</v>
      </c>
      <c r="J271" s="1004" t="s">
        <v>175</v>
      </c>
      <c r="K271" s="30" t="s">
        <v>1286</v>
      </c>
      <c r="L271" s="1362" t="s">
        <v>1221</v>
      </c>
      <c r="M271" s="1659" t="str">
        <f>IFERROR(INDEX($E$270:$E$304,MATCH(O198,$F$270:$F$304,0)),"AllCorp")</f>
        <v>AllCorp</v>
      </c>
      <c r="N271" s="2060"/>
      <c r="O271" s="1506"/>
      <c r="P271" s="1506"/>
      <c r="Q271" s="1506"/>
      <c r="R271" s="1506"/>
      <c r="S271" s="1506"/>
      <c r="T271" s="1506"/>
      <c r="U271" s="1506"/>
      <c r="V271" s="1506"/>
      <c r="W271" s="1506"/>
      <c r="X271" s="1506"/>
      <c r="Y271" s="1506"/>
      <c r="Z271" s="1506"/>
      <c r="AA271" s="1506"/>
      <c r="AB271" s="1506"/>
      <c r="AC271" s="1506"/>
      <c r="AD271" s="1506"/>
      <c r="AE271" s="1506"/>
      <c r="AF271" s="1506"/>
      <c r="AG271" s="1506"/>
      <c r="AH271" s="1506"/>
      <c r="AI271" s="1506"/>
      <c r="AJ271" s="1506"/>
      <c r="AK271" s="1506"/>
      <c r="AL271" s="1506"/>
      <c r="AM271" s="1506"/>
      <c r="AN271" s="1506"/>
      <c r="AO271" s="1506"/>
      <c r="AP271" s="1506"/>
      <c r="AQ271" s="1506"/>
      <c r="AR271" s="1506"/>
      <c r="AS271" s="1506"/>
      <c r="AT271" s="1506"/>
      <c r="AU271" s="1506"/>
      <c r="AV271" s="1506"/>
      <c r="AW271" s="1506"/>
      <c r="AX271" s="1506"/>
      <c r="AY271" s="1506"/>
      <c r="AZ271" s="1506"/>
      <c r="BA271" s="1506"/>
      <c r="BB271" s="1506"/>
      <c r="BC271" s="1506"/>
      <c r="BD271" s="1506"/>
      <c r="BE271" s="1506"/>
      <c r="BF271" s="1506"/>
      <c r="BG271" s="1506"/>
      <c r="BH271" s="1506"/>
      <c r="BI271" s="1506"/>
      <c r="BJ271" s="1506"/>
      <c r="BK271" s="1506"/>
      <c r="BL271" s="1506"/>
      <c r="BM271" s="1506"/>
      <c r="BN271" s="1506"/>
      <c r="BO271" s="1506"/>
      <c r="BP271" s="1506"/>
      <c r="BQ271" s="1506"/>
      <c r="BR271" s="1506"/>
      <c r="BS271" s="1506"/>
      <c r="BT271" s="1506"/>
      <c r="BU271" s="1506"/>
      <c r="BV271" s="1506"/>
      <c r="BW271" s="1506"/>
      <c r="BX271" s="1506"/>
      <c r="BY271" s="1506"/>
      <c r="BZ271" s="1506"/>
      <c r="CA271" s="1506"/>
      <c r="CB271" s="1506"/>
      <c r="CC271" s="1506"/>
      <c r="CD271" s="1506"/>
      <c r="CE271" s="1506"/>
      <c r="CF271" s="1506"/>
      <c r="CG271" s="1506"/>
      <c r="CH271" s="1506"/>
      <c r="CI271" s="1506"/>
      <c r="CJ271" s="1506"/>
      <c r="CK271" s="1506"/>
      <c r="CL271" s="1506"/>
      <c r="CM271" s="1506"/>
      <c r="CN271" s="1506"/>
      <c r="CO271" s="1506"/>
      <c r="CP271" s="1506"/>
      <c r="CQ271" s="1506"/>
      <c r="CR271" s="1506"/>
      <c r="CS271" s="1506"/>
      <c r="CT271" s="1506"/>
      <c r="CU271" s="1506"/>
      <c r="CV271" s="1506"/>
      <c r="CW271" s="1506"/>
      <c r="CX271" s="1506"/>
      <c r="CY271" s="1506"/>
      <c r="CZ271" s="1506"/>
      <c r="DA271" s="1506"/>
      <c r="DB271" s="1506"/>
      <c r="DC271" s="1506"/>
      <c r="DD271" s="1506"/>
      <c r="DE271" s="1506"/>
      <c r="DF271" s="1506"/>
      <c r="DG271" s="1506"/>
      <c r="DH271" s="1506"/>
      <c r="DI271" s="1506"/>
      <c r="DJ271" s="1506"/>
      <c r="DK271" s="1506"/>
      <c r="DL271" s="1506"/>
      <c r="DM271" s="1506"/>
      <c r="DN271" s="1506"/>
      <c r="DO271" s="1506"/>
      <c r="DP271" s="1506"/>
      <c r="DQ271" s="1506"/>
      <c r="DR271" s="1506"/>
      <c r="DS271" s="1506"/>
      <c r="DT271" s="1506"/>
      <c r="DU271" s="1506"/>
      <c r="DV271" s="1506"/>
      <c r="DW271" s="1506"/>
      <c r="DX271" s="1506"/>
      <c r="DY271" s="1506"/>
      <c r="DZ271" s="1506"/>
      <c r="EA271" s="1506"/>
      <c r="EB271" s="1506"/>
      <c r="EC271" s="1506"/>
      <c r="ED271" s="1506"/>
      <c r="EE271" s="1506"/>
      <c r="EF271" s="1506"/>
      <c r="EG271" s="1506"/>
      <c r="EH271" s="1506"/>
      <c r="EI271" s="1506"/>
      <c r="EJ271" s="1506"/>
      <c r="EK271" s="1506"/>
      <c r="EL271" s="1506"/>
      <c r="EM271" s="1506"/>
      <c r="EN271" s="1506"/>
      <c r="EO271" s="1506"/>
      <c r="EP271" s="1506"/>
      <c r="EQ271" s="1506"/>
      <c r="ER271" s="1506"/>
      <c r="ES271" s="1506"/>
      <c r="ET271" s="1506"/>
      <c r="EU271" s="1506"/>
      <c r="EV271" s="1506"/>
      <c r="EW271" s="1506"/>
      <c r="EX271" s="1506"/>
      <c r="EY271" s="1506"/>
      <c r="EZ271" s="1506"/>
      <c r="FA271" s="1506"/>
      <c r="FB271" s="1506"/>
      <c r="FC271" s="1506"/>
      <c r="FD271" s="1506"/>
      <c r="FE271" s="1506"/>
      <c r="FF271" s="1506"/>
      <c r="FG271" s="1506"/>
      <c r="FH271" s="1506"/>
      <c r="FI271" s="1506"/>
      <c r="FJ271" s="1506"/>
      <c r="FK271" s="1506"/>
      <c r="FL271" s="1506"/>
      <c r="FM271" s="1506"/>
      <c r="FN271" s="1506"/>
      <c r="FO271" s="1506"/>
      <c r="FP271" s="1506"/>
      <c r="FQ271" s="1506"/>
      <c r="FR271" s="1506"/>
      <c r="FS271" s="1506"/>
      <c r="FT271" s="1506"/>
      <c r="FU271" s="1506"/>
      <c r="FV271" s="1506"/>
      <c r="FW271" s="1506"/>
      <c r="FX271" s="1506"/>
      <c r="FY271" s="1506"/>
      <c r="FZ271" s="1506"/>
      <c r="GA271" s="1506"/>
      <c r="GB271" s="1506"/>
      <c r="GC271" s="1506"/>
    </row>
    <row r="272" spans="1:185" s="93" customFormat="1" ht="12.95" customHeight="1">
      <c r="A272" s="43" t="s">
        <v>17</v>
      </c>
      <c r="B272" s="43"/>
      <c r="C272" s="1506"/>
      <c r="D272" s="1506"/>
      <c r="E272" s="1004" t="s">
        <v>1287</v>
      </c>
      <c r="F272" s="30" t="s">
        <v>1288</v>
      </c>
      <c r="G272" s="1004" t="s">
        <v>1289</v>
      </c>
      <c r="H272" s="30" t="s">
        <v>1289</v>
      </c>
      <c r="I272" s="1004" t="s">
        <v>1290</v>
      </c>
      <c r="J272" s="1004" t="s">
        <v>206</v>
      </c>
      <c r="K272" s="30" t="s">
        <v>1291</v>
      </c>
      <c r="L272" s="972" t="s">
        <v>1225</v>
      </c>
      <c r="M272" s="1659" t="str">
        <f>IFERROR(INDEX($G$270:$G$304,MATCH(O199,$H$270:$H$304,0)),"BBB")</f>
        <v>BBB</v>
      </c>
      <c r="N272" s="1506"/>
      <c r="O272" s="1506"/>
      <c r="P272" s="1506"/>
      <c r="Q272" s="1506"/>
      <c r="R272" s="1506"/>
      <c r="S272" s="1506"/>
      <c r="T272" s="1506"/>
      <c r="U272" s="1506"/>
      <c r="V272" s="1506"/>
      <c r="W272" s="1506"/>
      <c r="X272" s="1506"/>
      <c r="Y272" s="1506"/>
      <c r="Z272" s="1506"/>
      <c r="AA272" s="1506"/>
      <c r="AB272" s="1506"/>
      <c r="AC272" s="1506"/>
      <c r="AD272" s="1506"/>
      <c r="AE272" s="1506"/>
      <c r="AF272" s="1506"/>
      <c r="AG272" s="1506"/>
      <c r="AH272" s="1506"/>
      <c r="AI272" s="1506"/>
      <c r="AJ272" s="1506"/>
      <c r="AK272" s="1506"/>
      <c r="AL272" s="1506"/>
      <c r="AM272" s="1506"/>
      <c r="AN272" s="1506"/>
      <c r="AO272" s="1506"/>
      <c r="AP272" s="1506"/>
      <c r="AQ272" s="1506"/>
      <c r="AR272" s="1506"/>
      <c r="AS272" s="1506"/>
      <c r="AT272" s="1506"/>
      <c r="AU272" s="1506"/>
      <c r="AV272" s="1506"/>
      <c r="AW272" s="1506"/>
      <c r="AX272" s="1506"/>
      <c r="AY272" s="1506"/>
      <c r="AZ272" s="1506"/>
      <c r="BA272" s="1506"/>
      <c r="BB272" s="1506"/>
      <c r="BC272" s="1506"/>
      <c r="BD272" s="1506"/>
      <c r="BE272" s="1506"/>
      <c r="BF272" s="1506"/>
      <c r="BG272" s="1506"/>
      <c r="BH272" s="1506"/>
      <c r="BI272" s="1506"/>
      <c r="BJ272" s="1506"/>
      <c r="BK272" s="1506"/>
      <c r="BL272" s="1506"/>
      <c r="BM272" s="1506"/>
      <c r="BN272" s="1506"/>
      <c r="BO272" s="1506"/>
      <c r="BP272" s="1506"/>
      <c r="BQ272" s="1506"/>
      <c r="BR272" s="1506"/>
      <c r="BS272" s="1506"/>
      <c r="BT272" s="1506"/>
      <c r="BU272" s="1506"/>
      <c r="BV272" s="1506"/>
      <c r="BW272" s="1506"/>
      <c r="BX272" s="1506"/>
      <c r="BY272" s="1506"/>
      <c r="BZ272" s="1506"/>
      <c r="CA272" s="1506"/>
      <c r="CB272" s="1506"/>
      <c r="CC272" s="1506"/>
      <c r="CD272" s="1506"/>
      <c r="CE272" s="1506"/>
      <c r="CF272" s="1506"/>
      <c r="CG272" s="1506"/>
      <c r="CH272" s="1506"/>
      <c r="CI272" s="1506"/>
      <c r="CJ272" s="1506"/>
      <c r="CK272" s="1506"/>
      <c r="CL272" s="1506"/>
      <c r="CM272" s="1506"/>
      <c r="CN272" s="1506"/>
      <c r="CO272" s="1506"/>
      <c r="CP272" s="1506"/>
      <c r="CQ272" s="1506"/>
      <c r="CR272" s="1506"/>
      <c r="CS272" s="1506"/>
      <c r="CT272" s="1506"/>
      <c r="CU272" s="1506"/>
      <c r="CV272" s="1506"/>
      <c r="CW272" s="1506"/>
      <c r="CX272" s="1506"/>
      <c r="CY272" s="1506"/>
      <c r="CZ272" s="1506"/>
      <c r="DA272" s="1506"/>
      <c r="DB272" s="1506"/>
      <c r="DC272" s="1506"/>
      <c r="DD272" s="1506"/>
      <c r="DE272" s="1506"/>
      <c r="DF272" s="1506"/>
      <c r="DG272" s="1506"/>
      <c r="DH272" s="1506"/>
      <c r="DI272" s="1506"/>
      <c r="DJ272" s="1506"/>
      <c r="DK272" s="1506"/>
      <c r="DL272" s="1506"/>
      <c r="DM272" s="1506"/>
      <c r="DN272" s="1506"/>
      <c r="DO272" s="1506"/>
      <c r="DP272" s="1506"/>
      <c r="DQ272" s="1506"/>
      <c r="DR272" s="1506"/>
      <c r="DS272" s="1506"/>
      <c r="DT272" s="1506"/>
      <c r="DU272" s="1506"/>
      <c r="DV272" s="1506"/>
      <c r="DW272" s="1506"/>
      <c r="DX272" s="1506"/>
      <c r="DY272" s="1506"/>
      <c r="DZ272" s="1506"/>
      <c r="EA272" s="1506"/>
      <c r="EB272" s="1506"/>
      <c r="EC272" s="1506"/>
      <c r="ED272" s="1506"/>
      <c r="EE272" s="1506"/>
      <c r="EF272" s="1506"/>
      <c r="EG272" s="1506"/>
      <c r="EH272" s="1506"/>
      <c r="EI272" s="1506"/>
      <c r="EJ272" s="1506"/>
      <c r="EK272" s="1506"/>
      <c r="EL272" s="1506"/>
      <c r="EM272" s="1506"/>
      <c r="EN272" s="1506"/>
      <c r="EO272" s="1506"/>
      <c r="EP272" s="1506"/>
      <c r="EQ272" s="1506"/>
      <c r="ER272" s="1506"/>
      <c r="ES272" s="1506"/>
      <c r="ET272" s="1506"/>
      <c r="EU272" s="1506"/>
      <c r="EV272" s="1506"/>
      <c r="EW272" s="1506"/>
      <c r="EX272" s="1506"/>
      <c r="EY272" s="1506"/>
      <c r="EZ272" s="1506"/>
      <c r="FA272" s="1506"/>
      <c r="FB272" s="1506"/>
      <c r="FC272" s="1506"/>
      <c r="FD272" s="1506"/>
      <c r="FE272" s="1506"/>
      <c r="FF272" s="1506"/>
      <c r="FG272" s="1506"/>
      <c r="FH272" s="1506"/>
      <c r="FI272" s="1506"/>
      <c r="FJ272" s="1506"/>
      <c r="FK272" s="1506"/>
      <c r="FL272" s="1506"/>
      <c r="FM272" s="1506"/>
      <c r="FN272" s="1506"/>
      <c r="FO272" s="1506"/>
      <c r="FP272" s="1506"/>
      <c r="FQ272" s="1506"/>
      <c r="FR272" s="1506"/>
      <c r="FS272" s="1506"/>
      <c r="FT272" s="1506"/>
      <c r="FU272" s="1506"/>
      <c r="FV272" s="1506"/>
      <c r="FW272" s="1506"/>
      <c r="FX272" s="1506"/>
      <c r="FY272" s="1506"/>
      <c r="FZ272" s="1506"/>
      <c r="GA272" s="1506"/>
      <c r="GB272" s="1506"/>
      <c r="GC272" s="1506"/>
    </row>
    <row r="273" spans="1:185" s="93" customFormat="1" ht="12.95" customHeight="1">
      <c r="A273" s="43" t="s">
        <v>17</v>
      </c>
      <c r="B273" s="43"/>
      <c r="C273" s="1506"/>
      <c r="D273" s="1506"/>
      <c r="E273" s="1004" t="s">
        <v>1292</v>
      </c>
      <c r="F273" s="30" t="s">
        <v>1292</v>
      </c>
      <c r="G273" s="1004" t="s">
        <v>1293</v>
      </c>
      <c r="H273" s="30" t="s">
        <v>1293</v>
      </c>
      <c r="I273" s="1004" t="s">
        <v>1294</v>
      </c>
      <c r="J273" s="30"/>
      <c r="K273" s="1506"/>
      <c r="L273" s="972" t="s">
        <v>1129</v>
      </c>
      <c r="M273" s="1660" t="str">
        <f>IFERROR(INDEX($I$270:$I$304,MATCH(O200,$I$270:$I$304,0)),"20Y")</f>
        <v>20Y</v>
      </c>
      <c r="N273" s="1506"/>
      <c r="O273" s="1506"/>
      <c r="P273" s="1506"/>
      <c r="Q273" s="1506"/>
      <c r="R273" s="1506"/>
      <c r="S273" s="1506"/>
      <c r="T273" s="1506"/>
      <c r="U273" s="1506"/>
      <c r="V273" s="1506"/>
      <c r="W273" s="1506"/>
      <c r="X273" s="1506"/>
      <c r="Y273" s="1506"/>
      <c r="Z273" s="1506"/>
      <c r="AA273" s="1506"/>
      <c r="AB273" s="1506"/>
      <c r="AC273" s="1506"/>
      <c r="AD273" s="1506"/>
      <c r="AE273" s="1506"/>
      <c r="AF273" s="1506"/>
      <c r="AG273" s="1506"/>
      <c r="AH273" s="1506"/>
      <c r="AI273" s="1506"/>
      <c r="AJ273" s="1506"/>
      <c r="AK273" s="1506"/>
      <c r="AL273" s="1506"/>
      <c r="AM273" s="1506"/>
      <c r="AN273" s="1506"/>
      <c r="AO273" s="1506"/>
      <c r="AP273" s="1506"/>
      <c r="AQ273" s="1506"/>
      <c r="AR273" s="1506"/>
      <c r="AS273" s="1506"/>
      <c r="AT273" s="1506"/>
      <c r="AU273" s="1506"/>
      <c r="AV273" s="1506"/>
      <c r="AW273" s="1506"/>
      <c r="AX273" s="1506"/>
      <c r="AY273" s="1506"/>
      <c r="AZ273" s="1506"/>
      <c r="BA273" s="1506"/>
      <c r="BB273" s="1506"/>
      <c r="BC273" s="1506"/>
      <c r="BD273" s="1506"/>
      <c r="BE273" s="1506"/>
      <c r="BF273" s="1506"/>
      <c r="BG273" s="1506"/>
      <c r="BH273" s="1506"/>
      <c r="BI273" s="1506"/>
      <c r="BJ273" s="1506"/>
      <c r="BK273" s="1506"/>
      <c r="BL273" s="1506"/>
      <c r="BM273" s="1506"/>
      <c r="BN273" s="1506"/>
      <c r="BO273" s="1506"/>
      <c r="BP273" s="1506"/>
      <c r="BQ273" s="1506"/>
      <c r="BR273" s="1506"/>
      <c r="BS273" s="1506"/>
      <c r="BT273" s="1506"/>
      <c r="BU273" s="1506"/>
      <c r="BV273" s="1506"/>
      <c r="BW273" s="1506"/>
      <c r="BX273" s="1506"/>
      <c r="BY273" s="1506"/>
      <c r="BZ273" s="1506"/>
      <c r="CA273" s="1506"/>
      <c r="CB273" s="1506"/>
      <c r="CC273" s="1506"/>
      <c r="CD273" s="1506"/>
      <c r="CE273" s="1506"/>
      <c r="CF273" s="1506"/>
      <c r="CG273" s="1506"/>
      <c r="CH273" s="1506"/>
      <c r="CI273" s="1506"/>
      <c r="CJ273" s="1506"/>
      <c r="CK273" s="1506"/>
      <c r="CL273" s="1506"/>
      <c r="CM273" s="1506"/>
      <c r="CN273" s="1506"/>
      <c r="CO273" s="1506"/>
      <c r="CP273" s="1506"/>
      <c r="CQ273" s="1506"/>
      <c r="CR273" s="1506"/>
      <c r="CS273" s="1506"/>
      <c r="CT273" s="1506"/>
      <c r="CU273" s="1506"/>
      <c r="CV273" s="1506"/>
      <c r="CW273" s="1506"/>
      <c r="CX273" s="1506"/>
      <c r="CY273" s="1506"/>
      <c r="CZ273" s="1506"/>
      <c r="DA273" s="1506"/>
      <c r="DB273" s="1506"/>
      <c r="DC273" s="1506"/>
      <c r="DD273" s="1506"/>
      <c r="DE273" s="1506"/>
      <c r="DF273" s="1506"/>
      <c r="DG273" s="1506"/>
      <c r="DH273" s="1506"/>
      <c r="DI273" s="1506"/>
      <c r="DJ273" s="1506"/>
      <c r="DK273" s="1506"/>
      <c r="DL273" s="1506"/>
      <c r="DM273" s="1506"/>
      <c r="DN273" s="1506"/>
      <c r="DO273" s="1506"/>
      <c r="DP273" s="1506"/>
      <c r="DQ273" s="1506"/>
      <c r="DR273" s="1506"/>
      <c r="DS273" s="1506"/>
      <c r="DT273" s="1506"/>
      <c r="DU273" s="1506"/>
      <c r="DV273" s="1506"/>
      <c r="DW273" s="1506"/>
      <c r="DX273" s="1506"/>
      <c r="DY273" s="1506"/>
      <c r="DZ273" s="1506"/>
      <c r="EA273" s="1506"/>
      <c r="EB273" s="1506"/>
      <c r="EC273" s="1506"/>
      <c r="ED273" s="1506"/>
      <c r="EE273" s="1506"/>
      <c r="EF273" s="1506"/>
      <c r="EG273" s="1506"/>
      <c r="EH273" s="1506"/>
      <c r="EI273" s="1506"/>
      <c r="EJ273" s="1506"/>
      <c r="EK273" s="1506"/>
      <c r="EL273" s="1506"/>
      <c r="EM273" s="1506"/>
      <c r="EN273" s="1506"/>
      <c r="EO273" s="1506"/>
      <c r="EP273" s="1506"/>
      <c r="EQ273" s="1506"/>
      <c r="ER273" s="1506"/>
      <c r="ES273" s="1506"/>
      <c r="ET273" s="1506"/>
      <c r="EU273" s="1506"/>
      <c r="EV273" s="1506"/>
      <c r="EW273" s="1506"/>
      <c r="EX273" s="1506"/>
      <c r="EY273" s="1506"/>
      <c r="EZ273" s="1506"/>
      <c r="FA273" s="1506"/>
      <c r="FB273" s="1506"/>
      <c r="FC273" s="1506"/>
      <c r="FD273" s="1506"/>
      <c r="FE273" s="1506"/>
      <c r="FF273" s="1506"/>
      <c r="FG273" s="1506"/>
      <c r="FH273" s="1506"/>
      <c r="FI273" s="1506"/>
      <c r="FJ273" s="1506"/>
      <c r="FK273" s="1506"/>
      <c r="FL273" s="1506"/>
      <c r="FM273" s="1506"/>
      <c r="FN273" s="1506"/>
      <c r="FO273" s="1506"/>
      <c r="FP273" s="1506"/>
      <c r="FQ273" s="1506"/>
      <c r="FR273" s="1506"/>
      <c r="FS273" s="1506"/>
      <c r="FT273" s="1506"/>
      <c r="FU273" s="1506"/>
      <c r="FV273" s="1506"/>
      <c r="FW273" s="1506"/>
      <c r="FX273" s="1506"/>
      <c r="FY273" s="1506"/>
      <c r="FZ273" s="1506"/>
      <c r="GA273" s="1506"/>
      <c r="GB273" s="1506"/>
      <c r="GC273" s="1506"/>
    </row>
    <row r="274" spans="1:185" s="93" customFormat="1" ht="12.95" customHeight="1">
      <c r="A274" s="43" t="s">
        <v>17</v>
      </c>
      <c r="B274" s="43"/>
      <c r="C274" s="1506"/>
      <c r="D274" s="1506"/>
      <c r="E274" s="1004" t="s">
        <v>1295</v>
      </c>
      <c r="F274" s="30" t="s">
        <v>1295</v>
      </c>
      <c r="G274" s="1004" t="s">
        <v>1224</v>
      </c>
      <c r="H274" s="30" t="s">
        <v>1224</v>
      </c>
      <c r="I274" s="1004" t="s">
        <v>1296</v>
      </c>
      <c r="J274" s="30"/>
      <c r="K274" s="1506"/>
      <c r="L274" s="1506"/>
      <c r="M274" s="1506"/>
      <c r="N274" s="1506"/>
      <c r="O274" s="1506"/>
      <c r="P274" s="1506"/>
      <c r="Q274" s="1506"/>
      <c r="R274" s="1506"/>
      <c r="S274" s="1506"/>
      <c r="T274" s="1506"/>
      <c r="U274" s="1506"/>
      <c r="V274" s="1506"/>
      <c r="W274" s="1506"/>
      <c r="X274" s="1506"/>
      <c r="Y274" s="1506"/>
      <c r="Z274" s="1506"/>
      <c r="AA274" s="1506"/>
      <c r="AB274" s="1506"/>
      <c r="AC274" s="1506"/>
      <c r="AD274" s="1506"/>
      <c r="AE274" s="1506"/>
      <c r="AF274" s="1506"/>
      <c r="AG274" s="1506"/>
      <c r="AH274" s="1506"/>
      <c r="AI274" s="1506"/>
      <c r="AJ274" s="1506"/>
      <c r="AK274" s="1506"/>
      <c r="AL274" s="1506"/>
      <c r="AM274" s="1506"/>
      <c r="AN274" s="1506"/>
      <c r="AO274" s="1506"/>
      <c r="AP274" s="1506"/>
      <c r="AQ274" s="1506"/>
      <c r="AR274" s="1506"/>
      <c r="AS274" s="1506"/>
      <c r="AT274" s="1506"/>
      <c r="AU274" s="1506"/>
      <c r="AV274" s="1506"/>
      <c r="AW274" s="1506"/>
      <c r="AX274" s="1506"/>
      <c r="AY274" s="1506"/>
      <c r="AZ274" s="1506"/>
      <c r="BA274" s="1506"/>
      <c r="BB274" s="1506"/>
      <c r="BC274" s="1506"/>
      <c r="BD274" s="1506"/>
      <c r="BE274" s="1506"/>
      <c r="BF274" s="1506"/>
      <c r="BG274" s="1506"/>
      <c r="BH274" s="1506"/>
      <c r="BI274" s="1506"/>
      <c r="BJ274" s="1506"/>
      <c r="BK274" s="1506"/>
      <c r="BL274" s="1506"/>
      <c r="BM274" s="1506"/>
      <c r="BN274" s="1506"/>
      <c r="BO274" s="1506"/>
      <c r="BP274" s="1506"/>
      <c r="BQ274" s="1506"/>
      <c r="BR274" s="1506"/>
      <c r="BS274" s="1506"/>
      <c r="BT274" s="1506"/>
      <c r="BU274" s="1506"/>
      <c r="BV274" s="1506"/>
      <c r="BW274" s="1506"/>
      <c r="BX274" s="1506"/>
      <c r="BY274" s="1506"/>
      <c r="BZ274" s="1506"/>
      <c r="CA274" s="1506"/>
      <c r="CB274" s="1506"/>
      <c r="CC274" s="1506"/>
      <c r="CD274" s="1506"/>
      <c r="CE274" s="1506"/>
      <c r="CF274" s="1506"/>
      <c r="CG274" s="1506"/>
      <c r="CH274" s="1506"/>
      <c r="CI274" s="1506"/>
      <c r="CJ274" s="1506"/>
      <c r="CK274" s="1506"/>
      <c r="CL274" s="1506"/>
      <c r="CM274" s="1506"/>
      <c r="CN274" s="1506"/>
      <c r="CO274" s="1506"/>
      <c r="CP274" s="1506"/>
      <c r="CQ274" s="1506"/>
      <c r="CR274" s="1506"/>
      <c r="CS274" s="1506"/>
      <c r="CT274" s="1506"/>
      <c r="CU274" s="1506"/>
      <c r="CV274" s="1506"/>
      <c r="CW274" s="1506"/>
      <c r="CX274" s="1506"/>
      <c r="CY274" s="1506"/>
      <c r="CZ274" s="1506"/>
      <c r="DA274" s="1506"/>
      <c r="DB274" s="1506"/>
      <c r="DC274" s="1506"/>
      <c r="DD274" s="1506"/>
      <c r="DE274" s="1506"/>
      <c r="DF274" s="1506"/>
      <c r="DG274" s="1506"/>
      <c r="DH274" s="1506"/>
      <c r="DI274" s="1506"/>
      <c r="DJ274" s="1506"/>
      <c r="DK274" s="1506"/>
      <c r="DL274" s="1506"/>
      <c r="DM274" s="1506"/>
      <c r="DN274" s="1506"/>
      <c r="DO274" s="1506"/>
      <c r="DP274" s="1506"/>
      <c r="DQ274" s="1506"/>
      <c r="DR274" s="1506"/>
      <c r="DS274" s="1506"/>
      <c r="DT274" s="1506"/>
      <c r="DU274" s="1506"/>
      <c r="DV274" s="1506"/>
      <c r="DW274" s="1506"/>
      <c r="DX274" s="1506"/>
      <c r="DY274" s="1506"/>
      <c r="DZ274" s="1506"/>
      <c r="EA274" s="1506"/>
      <c r="EB274" s="1506"/>
      <c r="EC274" s="1506"/>
      <c r="ED274" s="1506"/>
      <c r="EE274" s="1506"/>
      <c r="EF274" s="1506"/>
      <c r="EG274" s="1506"/>
      <c r="EH274" s="1506"/>
      <c r="EI274" s="1506"/>
      <c r="EJ274" s="1506"/>
      <c r="EK274" s="1506"/>
      <c r="EL274" s="1506"/>
      <c r="EM274" s="1506"/>
      <c r="EN274" s="1506"/>
      <c r="EO274" s="1506"/>
      <c r="EP274" s="1506"/>
      <c r="EQ274" s="1506"/>
      <c r="ER274" s="1506"/>
      <c r="ES274" s="1506"/>
      <c r="ET274" s="1506"/>
      <c r="EU274" s="1506"/>
      <c r="EV274" s="1506"/>
      <c r="EW274" s="1506"/>
      <c r="EX274" s="1506"/>
      <c r="EY274" s="1506"/>
      <c r="EZ274" s="1506"/>
      <c r="FA274" s="1506"/>
      <c r="FB274" s="1506"/>
      <c r="FC274" s="1506"/>
      <c r="FD274" s="1506"/>
      <c r="FE274" s="1506"/>
      <c r="FF274" s="1506"/>
      <c r="FG274" s="1506"/>
      <c r="FH274" s="1506"/>
      <c r="FI274" s="1506"/>
      <c r="FJ274" s="1506"/>
      <c r="FK274" s="1506"/>
      <c r="FL274" s="1506"/>
      <c r="FM274" s="1506"/>
      <c r="FN274" s="1506"/>
      <c r="FO274" s="1506"/>
      <c r="FP274" s="1506"/>
      <c r="FQ274" s="1506"/>
      <c r="FR274" s="1506"/>
      <c r="FS274" s="1506"/>
      <c r="FT274" s="1506"/>
      <c r="FU274" s="1506"/>
      <c r="FV274" s="1506"/>
      <c r="FW274" s="1506"/>
      <c r="FX274" s="1506"/>
      <c r="FY274" s="1506"/>
      <c r="FZ274" s="1506"/>
      <c r="GA274" s="1506"/>
      <c r="GB274" s="1506"/>
      <c r="GC274" s="1506"/>
    </row>
    <row r="275" spans="1:185" s="93" customFormat="1" ht="12.95" customHeight="1">
      <c r="A275" s="43" t="s">
        <v>17</v>
      </c>
      <c r="B275" s="43"/>
      <c r="C275" s="1506"/>
      <c r="D275" s="1506"/>
      <c r="E275" s="1004" t="s">
        <v>1297</v>
      </c>
      <c r="F275" s="30" t="s">
        <v>1297</v>
      </c>
      <c r="G275" s="1004" t="s">
        <v>1298</v>
      </c>
      <c r="H275" s="30" t="s">
        <v>1298</v>
      </c>
      <c r="I275" s="1004" t="s">
        <v>1299</v>
      </c>
      <c r="J275" s="30"/>
      <c r="K275" s="1506"/>
      <c r="L275" s="1506"/>
      <c r="M275" s="1506"/>
      <c r="N275" s="1506"/>
      <c r="O275" s="1506"/>
      <c r="P275" s="1506"/>
      <c r="Q275" s="1506"/>
      <c r="R275" s="1506"/>
      <c r="S275" s="1506"/>
      <c r="T275" s="1506"/>
      <c r="U275" s="1506"/>
      <c r="V275" s="1506"/>
      <c r="W275" s="1506"/>
      <c r="X275" s="1506"/>
      <c r="Y275" s="1506"/>
      <c r="Z275" s="1506"/>
      <c r="AA275" s="1506"/>
      <c r="AB275" s="1506"/>
      <c r="AC275" s="1506"/>
      <c r="AD275" s="1506"/>
      <c r="AE275" s="1506"/>
      <c r="AF275" s="1506"/>
      <c r="AG275" s="1506"/>
      <c r="AH275" s="1506"/>
      <c r="AI275" s="1506"/>
      <c r="AJ275" s="1506"/>
      <c r="AK275" s="1506"/>
      <c r="AL275" s="1506"/>
      <c r="AM275" s="1506"/>
      <c r="AN275" s="1506"/>
      <c r="AO275" s="1506"/>
      <c r="AP275" s="1506"/>
      <c r="AQ275" s="1506"/>
      <c r="AR275" s="1506"/>
      <c r="AS275" s="1506"/>
      <c r="AT275" s="1506"/>
      <c r="AU275" s="1506"/>
      <c r="AV275" s="1506"/>
      <c r="AW275" s="1506"/>
      <c r="AX275" s="1506"/>
      <c r="AY275" s="1506"/>
      <c r="AZ275" s="1506"/>
      <c r="BA275" s="1506"/>
      <c r="BB275" s="1506"/>
      <c r="BC275" s="1506"/>
      <c r="BD275" s="1506"/>
      <c r="BE275" s="1506"/>
      <c r="BF275" s="1506"/>
      <c r="BG275" s="1506"/>
      <c r="BH275" s="1506"/>
      <c r="BI275" s="1506"/>
      <c r="BJ275" s="1506"/>
      <c r="BK275" s="1506"/>
      <c r="BL275" s="1506"/>
      <c r="BM275" s="1506"/>
      <c r="BN275" s="1506"/>
      <c r="BO275" s="1506"/>
      <c r="BP275" s="1506"/>
      <c r="BQ275" s="1506"/>
      <c r="BR275" s="1506"/>
      <c r="BS275" s="1506"/>
      <c r="BT275" s="1506"/>
      <c r="BU275" s="1506"/>
      <c r="BV275" s="1506"/>
      <c r="BW275" s="1506"/>
      <c r="BX275" s="1506"/>
      <c r="BY275" s="1506"/>
      <c r="BZ275" s="1506"/>
      <c r="CA275" s="1506"/>
      <c r="CB275" s="1506"/>
      <c r="CC275" s="1506"/>
      <c r="CD275" s="1506"/>
      <c r="CE275" s="1506"/>
      <c r="CF275" s="1506"/>
      <c r="CG275" s="1506"/>
      <c r="CH275" s="1506"/>
      <c r="CI275" s="1506"/>
      <c r="CJ275" s="1506"/>
      <c r="CK275" s="1506"/>
      <c r="CL275" s="1506"/>
      <c r="CM275" s="1506"/>
      <c r="CN275" s="1506"/>
      <c r="CO275" s="1506"/>
      <c r="CP275" s="1506"/>
      <c r="CQ275" s="1506"/>
      <c r="CR275" s="1506"/>
      <c r="CS275" s="1506"/>
      <c r="CT275" s="1506"/>
      <c r="CU275" s="1506"/>
      <c r="CV275" s="1506"/>
      <c r="CW275" s="1506"/>
      <c r="CX275" s="1506"/>
      <c r="CY275" s="1506"/>
      <c r="CZ275" s="1506"/>
      <c r="DA275" s="1506"/>
      <c r="DB275" s="1506"/>
      <c r="DC275" s="1506"/>
      <c r="DD275" s="1506"/>
      <c r="DE275" s="1506"/>
      <c r="DF275" s="1506"/>
      <c r="DG275" s="1506"/>
      <c r="DH275" s="1506"/>
      <c r="DI275" s="1506"/>
      <c r="DJ275" s="1506"/>
      <c r="DK275" s="1506"/>
      <c r="DL275" s="1506"/>
      <c r="DM275" s="1506"/>
      <c r="DN275" s="1506"/>
      <c r="DO275" s="1506"/>
      <c r="DP275" s="1506"/>
      <c r="DQ275" s="1506"/>
      <c r="DR275" s="1506"/>
      <c r="DS275" s="1506"/>
      <c r="DT275" s="1506"/>
      <c r="DU275" s="1506"/>
      <c r="DV275" s="1506"/>
      <c r="DW275" s="1506"/>
      <c r="DX275" s="1506"/>
      <c r="DY275" s="1506"/>
      <c r="DZ275" s="1506"/>
      <c r="EA275" s="1506"/>
      <c r="EB275" s="1506"/>
      <c r="EC275" s="1506"/>
      <c r="ED275" s="1506"/>
      <c r="EE275" s="1506"/>
      <c r="EF275" s="1506"/>
      <c r="EG275" s="1506"/>
      <c r="EH275" s="1506"/>
      <c r="EI275" s="1506"/>
      <c r="EJ275" s="1506"/>
      <c r="EK275" s="1506"/>
      <c r="EL275" s="1506"/>
      <c r="EM275" s="1506"/>
      <c r="EN275" s="1506"/>
      <c r="EO275" s="1506"/>
      <c r="EP275" s="1506"/>
      <c r="EQ275" s="1506"/>
      <c r="ER275" s="1506"/>
      <c r="ES275" s="1506"/>
      <c r="ET275" s="1506"/>
      <c r="EU275" s="1506"/>
      <c r="EV275" s="1506"/>
      <c r="EW275" s="1506"/>
      <c r="EX275" s="1506"/>
      <c r="EY275" s="1506"/>
      <c r="EZ275" s="1506"/>
      <c r="FA275" s="1506"/>
      <c r="FB275" s="1506"/>
      <c r="FC275" s="1506"/>
      <c r="FD275" s="1506"/>
      <c r="FE275" s="1506"/>
      <c r="FF275" s="1506"/>
      <c r="FG275" s="1506"/>
      <c r="FH275" s="1506"/>
      <c r="FI275" s="1506"/>
      <c r="FJ275" s="1506"/>
      <c r="FK275" s="1506"/>
      <c r="FL275" s="1506"/>
      <c r="FM275" s="1506"/>
      <c r="FN275" s="1506"/>
      <c r="FO275" s="1506"/>
      <c r="FP275" s="1506"/>
      <c r="FQ275" s="1506"/>
      <c r="FR275" s="1506"/>
      <c r="FS275" s="1506"/>
      <c r="FT275" s="1506"/>
      <c r="FU275" s="1506"/>
      <c r="FV275" s="1506"/>
      <c r="FW275" s="1506"/>
      <c r="FX275" s="1506"/>
      <c r="FY275" s="1506"/>
      <c r="FZ275" s="1506"/>
      <c r="GA275" s="1506"/>
      <c r="GB275" s="1506"/>
      <c r="GC275" s="1506"/>
    </row>
    <row r="276" spans="1:185" s="93" customFormat="1" ht="12.95" customHeight="1">
      <c r="A276" s="43" t="s">
        <v>17</v>
      </c>
      <c r="B276" s="43"/>
      <c r="C276" s="1506"/>
      <c r="D276" s="1506"/>
      <c r="E276" s="1004" t="s">
        <v>1300</v>
      </c>
      <c r="F276" s="30" t="s">
        <v>1300</v>
      </c>
      <c r="G276" s="1004" t="s">
        <v>1301</v>
      </c>
      <c r="H276" s="30" t="s">
        <v>1301</v>
      </c>
      <c r="I276" s="1004" t="s">
        <v>1302</v>
      </c>
      <c r="J276" s="30"/>
      <c r="K276" s="1506"/>
      <c r="L276" s="1506"/>
      <c r="M276" s="1506"/>
      <c r="N276" s="1506"/>
      <c r="O276" s="1506"/>
      <c r="P276" s="1506"/>
      <c r="Q276" s="1506"/>
      <c r="R276" s="1506"/>
      <c r="S276" s="1506"/>
      <c r="T276" s="1506"/>
      <c r="U276" s="1506"/>
      <c r="V276" s="1506"/>
      <c r="W276" s="1506"/>
      <c r="X276" s="1506"/>
      <c r="Y276" s="1506"/>
      <c r="Z276" s="1506"/>
      <c r="AA276" s="1506"/>
      <c r="AB276" s="1506"/>
      <c r="AC276" s="1506"/>
      <c r="AD276" s="1506"/>
      <c r="AE276" s="1506"/>
      <c r="AF276" s="1506"/>
      <c r="AG276" s="1506"/>
      <c r="AH276" s="1506"/>
      <c r="AI276" s="1506"/>
      <c r="AJ276" s="1506"/>
      <c r="AK276" s="1506"/>
      <c r="AL276" s="1506"/>
      <c r="AM276" s="1506"/>
      <c r="AN276" s="1506"/>
      <c r="AO276" s="1506"/>
      <c r="AP276" s="1506"/>
      <c r="AQ276" s="1506"/>
      <c r="AR276" s="1506"/>
      <c r="AS276" s="1506"/>
      <c r="AT276" s="1506"/>
      <c r="AU276" s="1506"/>
      <c r="AV276" s="1506"/>
      <c r="AW276" s="1506"/>
      <c r="AX276" s="1506"/>
      <c r="AY276" s="1506"/>
      <c r="AZ276" s="1506"/>
      <c r="BA276" s="1506"/>
      <c r="BB276" s="1506"/>
      <c r="BC276" s="1506"/>
      <c r="BD276" s="1506"/>
      <c r="BE276" s="1506"/>
      <c r="BF276" s="1506"/>
      <c r="BG276" s="1506"/>
      <c r="BH276" s="1506"/>
      <c r="BI276" s="1506"/>
      <c r="BJ276" s="1506"/>
      <c r="BK276" s="1506"/>
      <c r="BL276" s="1506"/>
      <c r="BM276" s="1506"/>
      <c r="BN276" s="1506"/>
      <c r="BO276" s="1506"/>
      <c r="BP276" s="1506"/>
      <c r="BQ276" s="1506"/>
      <c r="BR276" s="1506"/>
      <c r="BS276" s="1506"/>
      <c r="BT276" s="1506"/>
      <c r="BU276" s="1506"/>
      <c r="BV276" s="1506"/>
      <c r="BW276" s="1506"/>
      <c r="BX276" s="1506"/>
      <c r="BY276" s="1506"/>
      <c r="BZ276" s="1506"/>
      <c r="CA276" s="1506"/>
      <c r="CB276" s="1506"/>
      <c r="CC276" s="1506"/>
      <c r="CD276" s="1506"/>
      <c r="CE276" s="1506"/>
      <c r="CF276" s="1506"/>
      <c r="CG276" s="1506"/>
      <c r="CH276" s="1506"/>
      <c r="CI276" s="1506"/>
      <c r="CJ276" s="1506"/>
      <c r="CK276" s="1506"/>
      <c r="CL276" s="1506"/>
      <c r="CM276" s="1506"/>
      <c r="CN276" s="1506"/>
      <c r="CO276" s="1506"/>
      <c r="CP276" s="1506"/>
      <c r="CQ276" s="1506"/>
      <c r="CR276" s="1506"/>
      <c r="CS276" s="1506"/>
      <c r="CT276" s="1506"/>
      <c r="CU276" s="1506"/>
      <c r="CV276" s="1506"/>
      <c r="CW276" s="1506"/>
      <c r="CX276" s="1506"/>
      <c r="CY276" s="1506"/>
      <c r="CZ276" s="1506"/>
      <c r="DA276" s="1506"/>
      <c r="DB276" s="1506"/>
      <c r="DC276" s="1506"/>
      <c r="DD276" s="1506"/>
      <c r="DE276" s="1506"/>
      <c r="DF276" s="1506"/>
      <c r="DG276" s="1506"/>
      <c r="DH276" s="1506"/>
      <c r="DI276" s="1506"/>
      <c r="DJ276" s="1506"/>
      <c r="DK276" s="1506"/>
      <c r="DL276" s="1506"/>
      <c r="DM276" s="1506"/>
      <c r="DN276" s="1506"/>
      <c r="DO276" s="1506"/>
      <c r="DP276" s="1506"/>
      <c r="DQ276" s="1506"/>
      <c r="DR276" s="1506"/>
      <c r="DS276" s="1506"/>
      <c r="DT276" s="1506"/>
      <c r="DU276" s="1506"/>
      <c r="DV276" s="1506"/>
      <c r="DW276" s="1506"/>
      <c r="DX276" s="1506"/>
      <c r="DY276" s="1506"/>
      <c r="DZ276" s="1506"/>
      <c r="EA276" s="1506"/>
      <c r="EB276" s="1506"/>
      <c r="EC276" s="1506"/>
      <c r="ED276" s="1506"/>
      <c r="EE276" s="1506"/>
      <c r="EF276" s="1506"/>
      <c r="EG276" s="1506"/>
      <c r="EH276" s="1506"/>
      <c r="EI276" s="1506"/>
      <c r="EJ276" s="1506"/>
      <c r="EK276" s="1506"/>
      <c r="EL276" s="1506"/>
      <c r="EM276" s="1506"/>
      <c r="EN276" s="1506"/>
      <c r="EO276" s="1506"/>
      <c r="EP276" s="1506"/>
      <c r="EQ276" s="1506"/>
      <c r="ER276" s="1506"/>
      <c r="ES276" s="1506"/>
      <c r="ET276" s="1506"/>
      <c r="EU276" s="1506"/>
      <c r="EV276" s="1506"/>
      <c r="EW276" s="1506"/>
      <c r="EX276" s="1506"/>
      <c r="EY276" s="1506"/>
      <c r="EZ276" s="1506"/>
      <c r="FA276" s="1506"/>
      <c r="FB276" s="1506"/>
      <c r="FC276" s="1506"/>
      <c r="FD276" s="1506"/>
      <c r="FE276" s="1506"/>
      <c r="FF276" s="1506"/>
      <c r="FG276" s="1506"/>
      <c r="FH276" s="1506"/>
      <c r="FI276" s="1506"/>
      <c r="FJ276" s="1506"/>
      <c r="FK276" s="1506"/>
      <c r="FL276" s="1506"/>
      <c r="FM276" s="1506"/>
      <c r="FN276" s="1506"/>
      <c r="FO276" s="1506"/>
      <c r="FP276" s="1506"/>
      <c r="FQ276" s="1506"/>
      <c r="FR276" s="1506"/>
      <c r="FS276" s="1506"/>
      <c r="FT276" s="1506"/>
      <c r="FU276" s="1506"/>
      <c r="FV276" s="1506"/>
      <c r="FW276" s="1506"/>
      <c r="FX276" s="1506"/>
      <c r="FY276" s="1506"/>
      <c r="FZ276" s="1506"/>
      <c r="GA276" s="1506"/>
      <c r="GB276" s="1506"/>
      <c r="GC276" s="1506"/>
    </row>
    <row r="277" spans="1:185" s="93" customFormat="1" ht="12.95" customHeight="1">
      <c r="A277" s="43" t="s">
        <v>17</v>
      </c>
      <c r="B277" s="43"/>
      <c r="C277" s="1506"/>
      <c r="D277" s="1506"/>
      <c r="E277" s="1004" t="s">
        <v>1303</v>
      </c>
      <c r="F277" s="30" t="s">
        <v>1304</v>
      </c>
      <c r="G277" s="1004" t="s">
        <v>1305</v>
      </c>
      <c r="H277" s="30" t="s">
        <v>1305</v>
      </c>
      <c r="I277" s="1004" t="s">
        <v>1306</v>
      </c>
      <c r="J277" s="30"/>
      <c r="K277" s="1506"/>
      <c r="L277" s="1506"/>
      <c r="M277" s="1506"/>
      <c r="N277" s="1506"/>
      <c r="O277" s="1506"/>
      <c r="P277" s="1506"/>
      <c r="Q277" s="1506"/>
      <c r="R277" s="1506"/>
      <c r="S277" s="1506"/>
      <c r="T277" s="1506"/>
      <c r="U277" s="1506"/>
      <c r="V277" s="1506"/>
      <c r="W277" s="1506"/>
      <c r="X277" s="1506"/>
      <c r="Y277" s="1506"/>
      <c r="Z277" s="1506"/>
      <c r="AA277" s="1506"/>
      <c r="AB277" s="1506"/>
      <c r="AC277" s="1506"/>
      <c r="AD277" s="1506"/>
      <c r="AE277" s="1506"/>
      <c r="AF277" s="1506"/>
      <c r="AG277" s="1506"/>
      <c r="AH277" s="1506"/>
      <c r="AI277" s="1506"/>
      <c r="AJ277" s="1506"/>
      <c r="AK277" s="1506"/>
      <c r="AL277" s="1506"/>
      <c r="AM277" s="1506"/>
      <c r="AN277" s="1506"/>
      <c r="AO277" s="1506"/>
      <c r="AP277" s="1506"/>
      <c r="AQ277" s="1506"/>
      <c r="AR277" s="1506"/>
      <c r="AS277" s="1506"/>
      <c r="AT277" s="1506"/>
      <c r="AU277" s="1506"/>
      <c r="AV277" s="1506"/>
      <c r="AW277" s="1506"/>
      <c r="AX277" s="1506"/>
      <c r="AY277" s="1506"/>
      <c r="AZ277" s="1506"/>
      <c r="BA277" s="1506"/>
      <c r="BB277" s="1506"/>
      <c r="BC277" s="1506"/>
      <c r="BD277" s="1506"/>
      <c r="BE277" s="1506"/>
      <c r="BF277" s="1506"/>
      <c r="BG277" s="1506"/>
      <c r="BH277" s="1506"/>
      <c r="BI277" s="1506"/>
      <c r="BJ277" s="1506"/>
      <c r="BK277" s="1506"/>
      <c r="BL277" s="1506"/>
      <c r="BM277" s="1506"/>
      <c r="BN277" s="1506"/>
      <c r="BO277" s="1506"/>
      <c r="BP277" s="1506"/>
      <c r="BQ277" s="1506"/>
      <c r="BR277" s="1506"/>
      <c r="BS277" s="1506"/>
      <c r="BT277" s="1506"/>
      <c r="BU277" s="1506"/>
      <c r="BV277" s="1506"/>
      <c r="BW277" s="1506"/>
      <c r="BX277" s="1506"/>
      <c r="BY277" s="1506"/>
      <c r="BZ277" s="1506"/>
      <c r="CA277" s="1506"/>
      <c r="CB277" s="1506"/>
      <c r="CC277" s="1506"/>
      <c r="CD277" s="1506"/>
      <c r="CE277" s="1506"/>
      <c r="CF277" s="1506"/>
      <c r="CG277" s="1506"/>
      <c r="CH277" s="1506"/>
      <c r="CI277" s="1506"/>
      <c r="CJ277" s="1506"/>
      <c r="CK277" s="1506"/>
      <c r="CL277" s="1506"/>
      <c r="CM277" s="1506"/>
      <c r="CN277" s="1506"/>
      <c r="CO277" s="1506"/>
      <c r="CP277" s="1506"/>
      <c r="CQ277" s="1506"/>
      <c r="CR277" s="1506"/>
      <c r="CS277" s="1506"/>
      <c r="CT277" s="1506"/>
      <c r="CU277" s="1506"/>
      <c r="CV277" s="1506"/>
      <c r="CW277" s="1506"/>
      <c r="CX277" s="1506"/>
      <c r="CY277" s="1506"/>
      <c r="CZ277" s="1506"/>
      <c r="DA277" s="1506"/>
      <c r="DB277" s="1506"/>
      <c r="DC277" s="1506"/>
      <c r="DD277" s="1506"/>
      <c r="DE277" s="1506"/>
      <c r="DF277" s="1506"/>
      <c r="DG277" s="1506"/>
      <c r="DH277" s="1506"/>
      <c r="DI277" s="1506"/>
      <c r="DJ277" s="1506"/>
      <c r="DK277" s="1506"/>
      <c r="DL277" s="1506"/>
      <c r="DM277" s="1506"/>
      <c r="DN277" s="1506"/>
      <c r="DO277" s="1506"/>
      <c r="DP277" s="1506"/>
      <c r="DQ277" s="1506"/>
      <c r="DR277" s="1506"/>
      <c r="DS277" s="1506"/>
      <c r="DT277" s="1506"/>
      <c r="DU277" s="1506"/>
      <c r="DV277" s="1506"/>
      <c r="DW277" s="1506"/>
      <c r="DX277" s="1506"/>
      <c r="DY277" s="1506"/>
      <c r="DZ277" s="1506"/>
      <c r="EA277" s="1506"/>
      <c r="EB277" s="1506"/>
      <c r="EC277" s="1506"/>
      <c r="ED277" s="1506"/>
      <c r="EE277" s="1506"/>
      <c r="EF277" s="1506"/>
      <c r="EG277" s="1506"/>
      <c r="EH277" s="1506"/>
      <c r="EI277" s="1506"/>
      <c r="EJ277" s="1506"/>
      <c r="EK277" s="1506"/>
      <c r="EL277" s="1506"/>
      <c r="EM277" s="1506"/>
      <c r="EN277" s="1506"/>
      <c r="EO277" s="1506"/>
      <c r="EP277" s="1506"/>
      <c r="EQ277" s="1506"/>
      <c r="ER277" s="1506"/>
      <c r="ES277" s="1506"/>
      <c r="ET277" s="1506"/>
      <c r="EU277" s="1506"/>
      <c r="EV277" s="1506"/>
      <c r="EW277" s="1506"/>
      <c r="EX277" s="1506"/>
      <c r="EY277" s="1506"/>
      <c r="EZ277" s="1506"/>
      <c r="FA277" s="1506"/>
      <c r="FB277" s="1506"/>
      <c r="FC277" s="1506"/>
      <c r="FD277" s="1506"/>
      <c r="FE277" s="1506"/>
      <c r="FF277" s="1506"/>
      <c r="FG277" s="1506"/>
      <c r="FH277" s="1506"/>
      <c r="FI277" s="1506"/>
      <c r="FJ277" s="1506"/>
      <c r="FK277" s="1506"/>
      <c r="FL277" s="1506"/>
      <c r="FM277" s="1506"/>
      <c r="FN277" s="1506"/>
      <c r="FO277" s="1506"/>
      <c r="FP277" s="1506"/>
      <c r="FQ277" s="1506"/>
      <c r="FR277" s="1506"/>
      <c r="FS277" s="1506"/>
      <c r="FT277" s="1506"/>
      <c r="FU277" s="1506"/>
      <c r="FV277" s="1506"/>
      <c r="FW277" s="1506"/>
      <c r="FX277" s="1506"/>
      <c r="FY277" s="1506"/>
      <c r="FZ277" s="1506"/>
      <c r="GA277" s="1506"/>
      <c r="GB277" s="1506"/>
      <c r="GC277" s="1506"/>
    </row>
    <row r="278" spans="1:185" s="93" customFormat="1" ht="12.95" customHeight="1">
      <c r="A278" s="43" t="s">
        <v>17</v>
      </c>
      <c r="B278" s="43"/>
      <c r="C278" s="1506"/>
      <c r="D278" s="1506"/>
      <c r="E278" s="1004" t="s">
        <v>1307</v>
      </c>
      <c r="F278" s="30" t="s">
        <v>1307</v>
      </c>
      <c r="G278" s="1004" t="s">
        <v>1308</v>
      </c>
      <c r="H278" s="30" t="s">
        <v>1309</v>
      </c>
      <c r="I278" s="1004" t="s">
        <v>1310</v>
      </c>
      <c r="J278" s="30"/>
      <c r="K278" s="1506"/>
      <c r="L278" s="1506"/>
      <c r="M278" s="1506"/>
      <c r="N278" s="1506"/>
      <c r="O278" s="1506"/>
      <c r="P278" s="1506"/>
      <c r="Q278" s="1506"/>
      <c r="R278" s="1506"/>
      <c r="S278" s="1506"/>
      <c r="T278" s="1506"/>
      <c r="U278" s="1506"/>
      <c r="V278" s="1506"/>
      <c r="W278" s="1506"/>
      <c r="X278" s="1506"/>
      <c r="Y278" s="1506"/>
      <c r="Z278" s="1506"/>
      <c r="AA278" s="1506"/>
      <c r="AB278" s="1506"/>
      <c r="AC278" s="1506"/>
      <c r="AD278" s="1506"/>
      <c r="AE278" s="1506"/>
      <c r="AF278" s="1506"/>
      <c r="AG278" s="1506"/>
      <c r="AH278" s="1506"/>
      <c r="AI278" s="1506"/>
      <c r="AJ278" s="1506"/>
      <c r="AK278" s="1506"/>
      <c r="AL278" s="1506"/>
      <c r="AM278" s="1506"/>
      <c r="AN278" s="1506"/>
      <c r="AO278" s="1506"/>
      <c r="AP278" s="1506"/>
      <c r="AQ278" s="1506"/>
      <c r="AR278" s="1506"/>
      <c r="AS278" s="1506"/>
      <c r="AT278" s="1506"/>
      <c r="AU278" s="1506"/>
      <c r="AV278" s="1506"/>
      <c r="AW278" s="1506"/>
      <c r="AX278" s="1506"/>
      <c r="AY278" s="1506"/>
      <c r="AZ278" s="1506"/>
      <c r="BA278" s="1506"/>
      <c r="BB278" s="1506"/>
      <c r="BC278" s="1506"/>
      <c r="BD278" s="1506"/>
      <c r="BE278" s="1506"/>
      <c r="BF278" s="1506"/>
      <c r="BG278" s="1506"/>
      <c r="BH278" s="1506"/>
      <c r="BI278" s="1506"/>
      <c r="BJ278" s="1506"/>
      <c r="BK278" s="1506"/>
      <c r="BL278" s="1506"/>
      <c r="BM278" s="1506"/>
      <c r="BN278" s="1506"/>
      <c r="BO278" s="1506"/>
      <c r="BP278" s="1506"/>
      <c r="BQ278" s="1506"/>
      <c r="BR278" s="1506"/>
      <c r="BS278" s="1506"/>
      <c r="BT278" s="1506"/>
      <c r="BU278" s="1506"/>
      <c r="BV278" s="1506"/>
      <c r="BW278" s="1506"/>
      <c r="BX278" s="1506"/>
      <c r="BY278" s="1506"/>
      <c r="BZ278" s="1506"/>
      <c r="CA278" s="1506"/>
      <c r="CB278" s="1506"/>
      <c r="CC278" s="1506"/>
      <c r="CD278" s="1506"/>
      <c r="CE278" s="1506"/>
      <c r="CF278" s="1506"/>
      <c r="CG278" s="1506"/>
      <c r="CH278" s="1506"/>
      <c r="CI278" s="1506"/>
      <c r="CJ278" s="1506"/>
      <c r="CK278" s="1506"/>
      <c r="CL278" s="1506"/>
      <c r="CM278" s="1506"/>
      <c r="CN278" s="1506"/>
      <c r="CO278" s="1506"/>
      <c r="CP278" s="1506"/>
      <c r="CQ278" s="1506"/>
      <c r="CR278" s="1506"/>
      <c r="CS278" s="1506"/>
      <c r="CT278" s="1506"/>
      <c r="CU278" s="1506"/>
      <c r="CV278" s="1506"/>
      <c r="CW278" s="1506"/>
      <c r="CX278" s="1506"/>
      <c r="CY278" s="1506"/>
      <c r="CZ278" s="1506"/>
      <c r="DA278" s="1506"/>
      <c r="DB278" s="1506"/>
      <c r="DC278" s="1506"/>
      <c r="DD278" s="1506"/>
      <c r="DE278" s="1506"/>
      <c r="DF278" s="1506"/>
      <c r="DG278" s="1506"/>
      <c r="DH278" s="1506"/>
      <c r="DI278" s="1506"/>
      <c r="DJ278" s="1506"/>
      <c r="DK278" s="1506"/>
      <c r="DL278" s="1506"/>
      <c r="DM278" s="1506"/>
      <c r="DN278" s="1506"/>
      <c r="DO278" s="1506"/>
      <c r="DP278" s="1506"/>
      <c r="DQ278" s="1506"/>
      <c r="DR278" s="1506"/>
      <c r="DS278" s="1506"/>
      <c r="DT278" s="1506"/>
      <c r="DU278" s="1506"/>
      <c r="DV278" s="1506"/>
      <c r="DW278" s="1506"/>
      <c r="DX278" s="1506"/>
      <c r="DY278" s="1506"/>
      <c r="DZ278" s="1506"/>
      <c r="EA278" s="1506"/>
      <c r="EB278" s="1506"/>
      <c r="EC278" s="1506"/>
      <c r="ED278" s="1506"/>
      <c r="EE278" s="1506"/>
      <c r="EF278" s="1506"/>
      <c r="EG278" s="1506"/>
      <c r="EH278" s="1506"/>
      <c r="EI278" s="1506"/>
      <c r="EJ278" s="1506"/>
      <c r="EK278" s="1506"/>
      <c r="EL278" s="1506"/>
      <c r="EM278" s="1506"/>
      <c r="EN278" s="1506"/>
      <c r="EO278" s="1506"/>
      <c r="EP278" s="1506"/>
      <c r="EQ278" s="1506"/>
      <c r="ER278" s="1506"/>
      <c r="ES278" s="1506"/>
      <c r="ET278" s="1506"/>
      <c r="EU278" s="1506"/>
      <c r="EV278" s="1506"/>
      <c r="EW278" s="1506"/>
      <c r="EX278" s="1506"/>
      <c r="EY278" s="1506"/>
      <c r="EZ278" s="1506"/>
      <c r="FA278" s="1506"/>
      <c r="FB278" s="1506"/>
      <c r="FC278" s="1506"/>
      <c r="FD278" s="1506"/>
      <c r="FE278" s="1506"/>
      <c r="FF278" s="1506"/>
      <c r="FG278" s="1506"/>
      <c r="FH278" s="1506"/>
      <c r="FI278" s="1506"/>
      <c r="FJ278" s="1506"/>
      <c r="FK278" s="1506"/>
      <c r="FL278" s="1506"/>
      <c r="FM278" s="1506"/>
      <c r="FN278" s="1506"/>
      <c r="FO278" s="1506"/>
      <c r="FP278" s="1506"/>
      <c r="FQ278" s="1506"/>
      <c r="FR278" s="1506"/>
      <c r="FS278" s="1506"/>
      <c r="FT278" s="1506"/>
      <c r="FU278" s="1506"/>
      <c r="FV278" s="1506"/>
      <c r="FW278" s="1506"/>
      <c r="FX278" s="1506"/>
      <c r="FY278" s="1506"/>
      <c r="FZ278" s="1506"/>
      <c r="GA278" s="1506"/>
      <c r="GB278" s="1506"/>
      <c r="GC278" s="1506"/>
    </row>
    <row r="279" spans="1:185" s="93" customFormat="1" ht="12.95" customHeight="1">
      <c r="A279" s="43" t="s">
        <v>17</v>
      </c>
      <c r="B279" s="43"/>
      <c r="C279" s="1506"/>
      <c r="D279" s="1506"/>
      <c r="E279" s="1004" t="s">
        <v>1311</v>
      </c>
      <c r="F279" s="30" t="s">
        <v>1312</v>
      </c>
      <c r="G279" s="1004" t="s">
        <v>1313</v>
      </c>
      <c r="H279" s="30" t="s">
        <v>1314</v>
      </c>
      <c r="I279" s="1004" t="s">
        <v>1315</v>
      </c>
      <c r="J279" s="30"/>
      <c r="K279" s="1506"/>
      <c r="L279" s="1506"/>
      <c r="M279" s="1506"/>
      <c r="N279" s="1506"/>
      <c r="O279" s="1506"/>
      <c r="P279" s="1506"/>
      <c r="Q279" s="1506"/>
      <c r="R279" s="1506"/>
      <c r="S279" s="1506"/>
      <c r="T279" s="1506"/>
      <c r="U279" s="1506"/>
      <c r="V279" s="1506"/>
      <c r="W279" s="1506"/>
      <c r="X279" s="1506"/>
      <c r="Y279" s="1506"/>
      <c r="Z279" s="1506"/>
      <c r="AA279" s="1506"/>
      <c r="AB279" s="1506"/>
      <c r="AC279" s="1506"/>
      <c r="AD279" s="1506"/>
      <c r="AE279" s="1506"/>
      <c r="AF279" s="1506"/>
      <c r="AG279" s="1506"/>
      <c r="AH279" s="1506"/>
      <c r="AI279" s="1506"/>
      <c r="AJ279" s="1506"/>
      <c r="AK279" s="1506"/>
      <c r="AL279" s="1506"/>
      <c r="AM279" s="1506"/>
      <c r="AN279" s="1506"/>
      <c r="AO279" s="1506"/>
      <c r="AP279" s="1506"/>
      <c r="AQ279" s="1506"/>
      <c r="AR279" s="1506"/>
      <c r="AS279" s="1506"/>
      <c r="AT279" s="1506"/>
      <c r="AU279" s="1506"/>
      <c r="AV279" s="1506"/>
      <c r="AW279" s="1506"/>
      <c r="AX279" s="1506"/>
      <c r="AY279" s="1506"/>
      <c r="AZ279" s="1506"/>
      <c r="BA279" s="1506"/>
      <c r="BB279" s="1506"/>
      <c r="BC279" s="1506"/>
      <c r="BD279" s="1506"/>
      <c r="BE279" s="1506"/>
      <c r="BF279" s="1506"/>
      <c r="BG279" s="1506"/>
      <c r="BH279" s="1506"/>
      <c r="BI279" s="1506"/>
      <c r="BJ279" s="1506"/>
      <c r="BK279" s="1506"/>
      <c r="BL279" s="1506"/>
      <c r="BM279" s="1506"/>
      <c r="BN279" s="1506"/>
      <c r="BO279" s="1506"/>
      <c r="BP279" s="1506"/>
      <c r="BQ279" s="1506"/>
      <c r="BR279" s="1506"/>
      <c r="BS279" s="1506"/>
      <c r="BT279" s="1506"/>
      <c r="BU279" s="1506"/>
      <c r="BV279" s="1506"/>
      <c r="BW279" s="1506"/>
      <c r="BX279" s="1506"/>
      <c r="BY279" s="1506"/>
      <c r="BZ279" s="1506"/>
      <c r="CA279" s="1506"/>
      <c r="CB279" s="1506"/>
      <c r="CC279" s="1506"/>
      <c r="CD279" s="1506"/>
      <c r="CE279" s="1506"/>
      <c r="CF279" s="1506"/>
      <c r="CG279" s="1506"/>
      <c r="CH279" s="1506"/>
      <c r="CI279" s="1506"/>
      <c r="CJ279" s="1506"/>
      <c r="CK279" s="1506"/>
      <c r="CL279" s="1506"/>
      <c r="CM279" s="1506"/>
      <c r="CN279" s="1506"/>
      <c r="CO279" s="1506"/>
      <c r="CP279" s="1506"/>
      <c r="CQ279" s="1506"/>
      <c r="CR279" s="1506"/>
      <c r="CS279" s="1506"/>
      <c r="CT279" s="1506"/>
      <c r="CU279" s="1506"/>
      <c r="CV279" s="1506"/>
      <c r="CW279" s="1506"/>
      <c r="CX279" s="1506"/>
      <c r="CY279" s="1506"/>
      <c r="CZ279" s="1506"/>
      <c r="DA279" s="1506"/>
      <c r="DB279" s="1506"/>
      <c r="DC279" s="1506"/>
      <c r="DD279" s="1506"/>
      <c r="DE279" s="1506"/>
      <c r="DF279" s="1506"/>
      <c r="DG279" s="1506"/>
      <c r="DH279" s="1506"/>
      <c r="DI279" s="1506"/>
      <c r="DJ279" s="1506"/>
      <c r="DK279" s="1506"/>
      <c r="DL279" s="1506"/>
      <c r="DM279" s="1506"/>
      <c r="DN279" s="1506"/>
      <c r="DO279" s="1506"/>
      <c r="DP279" s="1506"/>
      <c r="DQ279" s="1506"/>
      <c r="DR279" s="1506"/>
      <c r="DS279" s="1506"/>
      <c r="DT279" s="1506"/>
      <c r="DU279" s="1506"/>
      <c r="DV279" s="1506"/>
      <c r="DW279" s="1506"/>
      <c r="DX279" s="1506"/>
      <c r="DY279" s="1506"/>
      <c r="DZ279" s="1506"/>
      <c r="EA279" s="1506"/>
      <c r="EB279" s="1506"/>
      <c r="EC279" s="1506"/>
      <c r="ED279" s="1506"/>
      <c r="EE279" s="1506"/>
      <c r="EF279" s="1506"/>
      <c r="EG279" s="1506"/>
      <c r="EH279" s="1506"/>
      <c r="EI279" s="1506"/>
      <c r="EJ279" s="1506"/>
      <c r="EK279" s="1506"/>
      <c r="EL279" s="1506"/>
      <c r="EM279" s="1506"/>
      <c r="EN279" s="1506"/>
      <c r="EO279" s="1506"/>
      <c r="EP279" s="1506"/>
      <c r="EQ279" s="1506"/>
      <c r="ER279" s="1506"/>
      <c r="ES279" s="1506"/>
      <c r="ET279" s="1506"/>
      <c r="EU279" s="1506"/>
      <c r="EV279" s="1506"/>
      <c r="EW279" s="1506"/>
      <c r="EX279" s="1506"/>
      <c r="EY279" s="1506"/>
      <c r="EZ279" s="1506"/>
      <c r="FA279" s="1506"/>
      <c r="FB279" s="1506"/>
      <c r="FC279" s="1506"/>
      <c r="FD279" s="1506"/>
      <c r="FE279" s="1506"/>
      <c r="FF279" s="1506"/>
      <c r="FG279" s="1506"/>
      <c r="FH279" s="1506"/>
      <c r="FI279" s="1506"/>
      <c r="FJ279" s="1506"/>
      <c r="FK279" s="1506"/>
      <c r="FL279" s="1506"/>
      <c r="FM279" s="1506"/>
      <c r="FN279" s="1506"/>
      <c r="FO279" s="1506"/>
      <c r="FP279" s="1506"/>
      <c r="FQ279" s="1506"/>
      <c r="FR279" s="1506"/>
      <c r="FS279" s="1506"/>
      <c r="FT279" s="1506"/>
      <c r="FU279" s="1506"/>
      <c r="FV279" s="1506"/>
      <c r="FW279" s="1506"/>
      <c r="FX279" s="1506"/>
      <c r="FY279" s="1506"/>
      <c r="FZ279" s="1506"/>
      <c r="GA279" s="1506"/>
      <c r="GB279" s="1506"/>
      <c r="GC279" s="1506"/>
    </row>
    <row r="280" spans="1:185" s="93" customFormat="1" ht="12.95" customHeight="1">
      <c r="A280" s="43" t="s">
        <v>17</v>
      </c>
      <c r="B280" s="43"/>
      <c r="C280" s="1506"/>
      <c r="D280" s="1506"/>
      <c r="E280" s="1004" t="s">
        <v>1316</v>
      </c>
      <c r="F280" s="30" t="s">
        <v>1317</v>
      </c>
      <c r="G280" s="1004"/>
      <c r="H280" s="30"/>
      <c r="I280" s="1004" t="s">
        <v>1318</v>
      </c>
      <c r="J280" s="30"/>
      <c r="K280" s="1506"/>
      <c r="L280" s="1506"/>
      <c r="M280" s="1506"/>
      <c r="N280" s="1506"/>
      <c r="O280" s="1506"/>
      <c r="P280" s="1506"/>
      <c r="Q280" s="1506"/>
      <c r="R280" s="1506"/>
      <c r="S280" s="1506"/>
      <c r="T280" s="1506"/>
      <c r="U280" s="1506"/>
      <c r="V280" s="1506"/>
      <c r="W280" s="1506"/>
      <c r="X280" s="1506"/>
      <c r="Y280" s="1506"/>
      <c r="Z280" s="1506"/>
      <c r="AA280" s="1506"/>
      <c r="AB280" s="1506"/>
      <c r="AC280" s="1506"/>
      <c r="AD280" s="1506"/>
      <c r="AE280" s="1506"/>
      <c r="AF280" s="1506"/>
      <c r="AG280" s="1506"/>
      <c r="AH280" s="1506"/>
      <c r="AI280" s="1506"/>
      <c r="AJ280" s="1506"/>
      <c r="AK280" s="1506"/>
      <c r="AL280" s="1506"/>
      <c r="AM280" s="1506"/>
      <c r="AN280" s="1506"/>
      <c r="AO280" s="1506"/>
      <c r="AP280" s="1506"/>
      <c r="AQ280" s="1506"/>
      <c r="AR280" s="1506"/>
      <c r="AS280" s="1506"/>
      <c r="AT280" s="1506"/>
      <c r="AU280" s="1506"/>
      <c r="AV280" s="1506"/>
      <c r="AW280" s="1506"/>
      <c r="AX280" s="1506"/>
      <c r="AY280" s="1506"/>
      <c r="AZ280" s="1506"/>
      <c r="BA280" s="1506"/>
      <c r="BB280" s="1506"/>
      <c r="BC280" s="1506"/>
      <c r="BD280" s="1506"/>
      <c r="BE280" s="1506"/>
      <c r="BF280" s="1506"/>
      <c r="BG280" s="1506"/>
      <c r="BH280" s="1506"/>
      <c r="BI280" s="1506"/>
      <c r="BJ280" s="1506"/>
      <c r="BK280" s="1506"/>
      <c r="BL280" s="1506"/>
      <c r="BM280" s="1506"/>
      <c r="BN280" s="1506"/>
      <c r="BO280" s="1506"/>
      <c r="BP280" s="1506"/>
      <c r="BQ280" s="1506"/>
      <c r="BR280" s="1506"/>
      <c r="BS280" s="1506"/>
      <c r="BT280" s="1506"/>
      <c r="BU280" s="1506"/>
      <c r="BV280" s="1506"/>
      <c r="BW280" s="1506"/>
      <c r="BX280" s="1506"/>
      <c r="BY280" s="1506"/>
      <c r="BZ280" s="1506"/>
      <c r="CA280" s="1506"/>
      <c r="CB280" s="1506"/>
      <c r="CC280" s="1506"/>
      <c r="CD280" s="1506"/>
      <c r="CE280" s="1506"/>
      <c r="CF280" s="1506"/>
      <c r="CG280" s="1506"/>
      <c r="CH280" s="1506"/>
      <c r="CI280" s="1506"/>
      <c r="CJ280" s="1506"/>
      <c r="CK280" s="1506"/>
      <c r="CL280" s="1506"/>
      <c r="CM280" s="1506"/>
      <c r="CN280" s="1506"/>
      <c r="CO280" s="1506"/>
      <c r="CP280" s="1506"/>
      <c r="CQ280" s="1506"/>
      <c r="CR280" s="1506"/>
      <c r="CS280" s="1506"/>
      <c r="CT280" s="1506"/>
      <c r="CU280" s="1506"/>
      <c r="CV280" s="1506"/>
      <c r="CW280" s="1506"/>
      <c r="CX280" s="1506"/>
      <c r="CY280" s="1506"/>
      <c r="CZ280" s="1506"/>
      <c r="DA280" s="1506"/>
      <c r="DB280" s="1506"/>
      <c r="DC280" s="1506"/>
      <c r="DD280" s="1506"/>
      <c r="DE280" s="1506"/>
      <c r="DF280" s="1506"/>
      <c r="DG280" s="1506"/>
      <c r="DH280" s="1506"/>
      <c r="DI280" s="1506"/>
      <c r="DJ280" s="1506"/>
      <c r="DK280" s="1506"/>
      <c r="DL280" s="1506"/>
      <c r="DM280" s="1506"/>
      <c r="DN280" s="1506"/>
      <c r="DO280" s="1506"/>
      <c r="DP280" s="1506"/>
      <c r="DQ280" s="1506"/>
      <c r="DR280" s="1506"/>
      <c r="DS280" s="1506"/>
      <c r="DT280" s="1506"/>
      <c r="DU280" s="1506"/>
      <c r="DV280" s="1506"/>
      <c r="DW280" s="1506"/>
      <c r="DX280" s="1506"/>
      <c r="DY280" s="1506"/>
      <c r="DZ280" s="1506"/>
      <c r="EA280" s="1506"/>
      <c r="EB280" s="1506"/>
      <c r="EC280" s="1506"/>
      <c r="ED280" s="1506"/>
      <c r="EE280" s="1506"/>
      <c r="EF280" s="1506"/>
      <c r="EG280" s="1506"/>
      <c r="EH280" s="1506"/>
      <c r="EI280" s="1506"/>
      <c r="EJ280" s="1506"/>
      <c r="EK280" s="1506"/>
      <c r="EL280" s="1506"/>
      <c r="EM280" s="1506"/>
      <c r="EN280" s="1506"/>
      <c r="EO280" s="1506"/>
      <c r="EP280" s="1506"/>
      <c r="EQ280" s="1506"/>
      <c r="ER280" s="1506"/>
      <c r="ES280" s="1506"/>
      <c r="ET280" s="1506"/>
      <c r="EU280" s="1506"/>
      <c r="EV280" s="1506"/>
      <c r="EW280" s="1506"/>
      <c r="EX280" s="1506"/>
      <c r="EY280" s="1506"/>
      <c r="EZ280" s="1506"/>
      <c r="FA280" s="1506"/>
      <c r="FB280" s="1506"/>
      <c r="FC280" s="1506"/>
      <c r="FD280" s="1506"/>
      <c r="FE280" s="1506"/>
      <c r="FF280" s="1506"/>
      <c r="FG280" s="1506"/>
      <c r="FH280" s="1506"/>
      <c r="FI280" s="1506"/>
      <c r="FJ280" s="1506"/>
      <c r="FK280" s="1506"/>
      <c r="FL280" s="1506"/>
      <c r="FM280" s="1506"/>
      <c r="FN280" s="1506"/>
      <c r="FO280" s="1506"/>
      <c r="FP280" s="1506"/>
      <c r="FQ280" s="1506"/>
      <c r="FR280" s="1506"/>
      <c r="FS280" s="1506"/>
      <c r="FT280" s="1506"/>
      <c r="FU280" s="1506"/>
      <c r="FV280" s="1506"/>
      <c r="FW280" s="1506"/>
      <c r="FX280" s="1506"/>
      <c r="FY280" s="1506"/>
      <c r="FZ280" s="1506"/>
      <c r="GA280" s="1506"/>
      <c r="GB280" s="1506"/>
      <c r="GC280" s="1506"/>
    </row>
    <row r="281" spans="1:185" s="93" customFormat="1" ht="12.95" customHeight="1">
      <c r="A281" s="43" t="s">
        <v>17</v>
      </c>
      <c r="B281" s="43"/>
      <c r="C281" s="1506"/>
      <c r="D281" s="1506"/>
      <c r="E281" s="1004" t="s">
        <v>1319</v>
      </c>
      <c r="F281" s="30" t="s">
        <v>1319</v>
      </c>
      <c r="G281" s="1004"/>
      <c r="H281" s="1506"/>
      <c r="I281" s="1004" t="s">
        <v>1320</v>
      </c>
      <c r="J281" s="1506"/>
      <c r="K281" s="1506"/>
      <c r="L281" s="1506"/>
      <c r="M281" s="1506"/>
      <c r="N281" s="1506"/>
      <c r="O281" s="1506"/>
      <c r="P281" s="1506"/>
      <c r="Q281" s="1506"/>
      <c r="R281" s="1506"/>
      <c r="S281" s="1506"/>
      <c r="T281" s="1506"/>
      <c r="U281" s="1506"/>
      <c r="V281" s="1506"/>
      <c r="W281" s="1506"/>
      <c r="X281" s="1506"/>
      <c r="Y281" s="1506"/>
      <c r="Z281" s="1506"/>
      <c r="AA281" s="1506"/>
      <c r="AB281" s="1506"/>
      <c r="AC281" s="1506"/>
      <c r="AD281" s="1506"/>
      <c r="AE281" s="1506"/>
      <c r="AF281" s="1506"/>
      <c r="AG281" s="1506"/>
      <c r="AH281" s="1506"/>
      <c r="AI281" s="1506"/>
      <c r="AJ281" s="1506"/>
      <c r="AK281" s="1506"/>
      <c r="AL281" s="1506"/>
      <c r="AM281" s="1506"/>
      <c r="AN281" s="1506"/>
      <c r="AO281" s="1506"/>
      <c r="AP281" s="1506"/>
      <c r="AQ281" s="1506"/>
      <c r="AR281" s="1506"/>
      <c r="AS281" s="1506"/>
      <c r="AT281" s="1506"/>
      <c r="AU281" s="1506"/>
      <c r="AV281" s="1506"/>
      <c r="AW281" s="1506"/>
      <c r="AX281" s="1506"/>
      <c r="AY281" s="1506"/>
      <c r="AZ281" s="1506"/>
      <c r="BA281" s="1506"/>
      <c r="BB281" s="1506"/>
      <c r="BC281" s="1506"/>
      <c r="BD281" s="1506"/>
      <c r="BE281" s="1506"/>
      <c r="BF281" s="1506"/>
      <c r="BG281" s="1506"/>
      <c r="BH281" s="1506"/>
      <c r="BI281" s="1506"/>
      <c r="BJ281" s="1506"/>
      <c r="BK281" s="1506"/>
      <c r="BL281" s="1506"/>
      <c r="BM281" s="1506"/>
      <c r="BN281" s="1506"/>
      <c r="BO281" s="1506"/>
      <c r="BP281" s="1506"/>
      <c r="BQ281" s="1506"/>
      <c r="BR281" s="1506"/>
      <c r="BS281" s="1506"/>
      <c r="BT281" s="1506"/>
      <c r="BU281" s="1506"/>
      <c r="BV281" s="1506"/>
      <c r="BW281" s="1506"/>
      <c r="BX281" s="1506"/>
      <c r="BY281" s="1506"/>
      <c r="BZ281" s="1506"/>
      <c r="CA281" s="1506"/>
      <c r="CB281" s="1506"/>
      <c r="CC281" s="1506"/>
      <c r="CD281" s="1506"/>
      <c r="CE281" s="1506"/>
      <c r="CF281" s="1506"/>
      <c r="CG281" s="1506"/>
      <c r="CH281" s="1506"/>
      <c r="CI281" s="1506"/>
      <c r="CJ281" s="1506"/>
      <c r="CK281" s="1506"/>
      <c r="CL281" s="1506"/>
      <c r="CM281" s="1506"/>
      <c r="CN281" s="1506"/>
      <c r="CO281" s="1506"/>
      <c r="CP281" s="1506"/>
      <c r="CQ281" s="1506"/>
      <c r="CR281" s="1506"/>
      <c r="CS281" s="1506"/>
      <c r="CT281" s="1506"/>
      <c r="CU281" s="1506"/>
      <c r="CV281" s="1506"/>
      <c r="CW281" s="1506"/>
      <c r="CX281" s="1506"/>
      <c r="CY281" s="1506"/>
      <c r="CZ281" s="1506"/>
      <c r="DA281" s="1506"/>
      <c r="DB281" s="1506"/>
      <c r="DC281" s="1506"/>
      <c r="DD281" s="1506"/>
      <c r="DE281" s="1506"/>
      <c r="DF281" s="1506"/>
      <c r="DG281" s="1506"/>
      <c r="DH281" s="1506"/>
      <c r="DI281" s="1506"/>
      <c r="DJ281" s="1506"/>
      <c r="DK281" s="1506"/>
      <c r="DL281" s="1506"/>
      <c r="DM281" s="1506"/>
      <c r="DN281" s="1506"/>
      <c r="DO281" s="1506"/>
      <c r="DP281" s="1506"/>
      <c r="DQ281" s="1506"/>
      <c r="DR281" s="1506"/>
      <c r="DS281" s="1506"/>
      <c r="DT281" s="1506"/>
      <c r="DU281" s="1506"/>
      <c r="DV281" s="1506"/>
      <c r="DW281" s="1506"/>
      <c r="DX281" s="1506"/>
      <c r="DY281" s="1506"/>
      <c r="DZ281" s="1506"/>
      <c r="EA281" s="1506"/>
      <c r="EB281" s="1506"/>
      <c r="EC281" s="1506"/>
      <c r="ED281" s="1506"/>
      <c r="EE281" s="1506"/>
      <c r="EF281" s="1506"/>
      <c r="EG281" s="1506"/>
      <c r="EH281" s="1506"/>
      <c r="EI281" s="1506"/>
      <c r="EJ281" s="1506"/>
      <c r="EK281" s="1506"/>
      <c r="EL281" s="1506"/>
      <c r="EM281" s="1506"/>
      <c r="EN281" s="1506"/>
      <c r="EO281" s="1506"/>
      <c r="EP281" s="1506"/>
      <c r="EQ281" s="1506"/>
      <c r="ER281" s="1506"/>
      <c r="ES281" s="1506"/>
      <c r="ET281" s="1506"/>
      <c r="EU281" s="1506"/>
      <c r="EV281" s="1506"/>
      <c r="EW281" s="1506"/>
      <c r="EX281" s="1506"/>
      <c r="EY281" s="1506"/>
      <c r="EZ281" s="1506"/>
      <c r="FA281" s="1506"/>
      <c r="FB281" s="1506"/>
      <c r="FC281" s="1506"/>
      <c r="FD281" s="1506"/>
      <c r="FE281" s="1506"/>
      <c r="FF281" s="1506"/>
      <c r="FG281" s="1506"/>
      <c r="FH281" s="1506"/>
      <c r="FI281" s="1506"/>
      <c r="FJ281" s="1506"/>
      <c r="FK281" s="1506"/>
      <c r="FL281" s="1506"/>
      <c r="FM281" s="1506"/>
      <c r="FN281" s="1506"/>
      <c r="FO281" s="1506"/>
      <c r="FP281" s="1506"/>
      <c r="FQ281" s="1506"/>
      <c r="FR281" s="1506"/>
      <c r="FS281" s="1506"/>
      <c r="FT281" s="1506"/>
      <c r="FU281" s="1506"/>
      <c r="FV281" s="1506"/>
      <c r="FW281" s="1506"/>
      <c r="FX281" s="1506"/>
      <c r="FY281" s="1506"/>
      <c r="FZ281" s="1506"/>
      <c r="GA281" s="1506"/>
      <c r="GB281" s="1506"/>
      <c r="GC281" s="1506"/>
    </row>
    <row r="282" spans="1:185" s="93" customFormat="1" ht="12.95" customHeight="1">
      <c r="A282" s="43" t="s">
        <v>17</v>
      </c>
      <c r="B282" s="43"/>
      <c r="C282" s="1506"/>
      <c r="D282" s="1506"/>
      <c r="E282" s="1004"/>
      <c r="F282" s="30"/>
      <c r="G282" s="1004"/>
      <c r="H282" s="1506"/>
      <c r="I282" s="1004" t="s">
        <v>1321</v>
      </c>
      <c r="J282" s="1506"/>
      <c r="K282" s="1506"/>
      <c r="L282" s="1506"/>
      <c r="M282" s="1506"/>
      <c r="N282" s="1506"/>
      <c r="O282" s="1506"/>
      <c r="P282" s="1506"/>
      <c r="Q282" s="1506"/>
      <c r="R282" s="1506"/>
      <c r="S282" s="1506"/>
      <c r="T282" s="1506"/>
      <c r="U282" s="1506"/>
      <c r="V282" s="1506"/>
      <c r="W282" s="1506"/>
      <c r="X282" s="1506"/>
      <c r="Y282" s="1506"/>
      <c r="Z282" s="1506"/>
      <c r="AA282" s="1506"/>
      <c r="AB282" s="1506"/>
      <c r="AC282" s="1506"/>
      <c r="AD282" s="1506"/>
      <c r="AE282" s="1506"/>
      <c r="AF282" s="1506"/>
      <c r="AG282" s="1506"/>
      <c r="AH282" s="1506"/>
      <c r="AI282" s="1506"/>
      <c r="AJ282" s="1506"/>
      <c r="AK282" s="1506"/>
      <c r="AL282" s="1506"/>
      <c r="AM282" s="1506"/>
      <c r="AN282" s="1506"/>
      <c r="AO282" s="1506"/>
      <c r="AP282" s="1506"/>
      <c r="AQ282" s="1506"/>
      <c r="AR282" s="1506"/>
      <c r="AS282" s="1506"/>
      <c r="AT282" s="1506"/>
      <c r="AU282" s="1506"/>
      <c r="AV282" s="1506"/>
      <c r="AW282" s="1506"/>
      <c r="AX282" s="1506"/>
      <c r="AY282" s="1506"/>
      <c r="AZ282" s="1506"/>
      <c r="BA282" s="1506"/>
      <c r="BB282" s="1506"/>
      <c r="BC282" s="1506"/>
      <c r="BD282" s="1506"/>
      <c r="BE282" s="1506"/>
      <c r="BF282" s="1506"/>
      <c r="BG282" s="1506"/>
      <c r="BH282" s="1506"/>
      <c r="BI282" s="1506"/>
      <c r="BJ282" s="1506"/>
      <c r="BK282" s="1506"/>
      <c r="BL282" s="1506"/>
      <c r="BM282" s="1506"/>
      <c r="BN282" s="1506"/>
      <c r="BO282" s="1506"/>
      <c r="BP282" s="1506"/>
      <c r="BQ282" s="1506"/>
      <c r="BR282" s="1506"/>
      <c r="BS282" s="1506"/>
      <c r="BT282" s="1506"/>
      <c r="BU282" s="1506"/>
      <c r="BV282" s="1506"/>
      <c r="BW282" s="1506"/>
      <c r="BX282" s="1506"/>
      <c r="BY282" s="1506"/>
      <c r="BZ282" s="1506"/>
      <c r="CA282" s="1506"/>
      <c r="CB282" s="1506"/>
      <c r="CC282" s="1506"/>
      <c r="CD282" s="1506"/>
      <c r="CE282" s="1506"/>
      <c r="CF282" s="1506"/>
      <c r="CG282" s="1506"/>
      <c r="CH282" s="1506"/>
      <c r="CI282" s="1506"/>
      <c r="CJ282" s="1506"/>
      <c r="CK282" s="1506"/>
      <c r="CL282" s="1506"/>
      <c r="CM282" s="1506"/>
      <c r="CN282" s="1506"/>
      <c r="CO282" s="1506"/>
      <c r="CP282" s="1506"/>
      <c r="CQ282" s="1506"/>
      <c r="CR282" s="1506"/>
      <c r="CS282" s="1506"/>
      <c r="CT282" s="1506"/>
      <c r="CU282" s="1506"/>
      <c r="CV282" s="1506"/>
      <c r="CW282" s="1506"/>
      <c r="CX282" s="1506"/>
      <c r="CY282" s="1506"/>
      <c r="CZ282" s="1506"/>
      <c r="DA282" s="1506"/>
      <c r="DB282" s="1506"/>
      <c r="DC282" s="1506"/>
      <c r="DD282" s="1506"/>
      <c r="DE282" s="1506"/>
      <c r="DF282" s="1506"/>
      <c r="DG282" s="1506"/>
      <c r="DH282" s="1506"/>
      <c r="DI282" s="1506"/>
      <c r="DJ282" s="1506"/>
      <c r="DK282" s="1506"/>
      <c r="DL282" s="1506"/>
      <c r="DM282" s="1506"/>
      <c r="DN282" s="1506"/>
      <c r="DO282" s="1506"/>
      <c r="DP282" s="1506"/>
      <c r="DQ282" s="1506"/>
      <c r="DR282" s="1506"/>
      <c r="DS282" s="1506"/>
      <c r="DT282" s="1506"/>
      <c r="DU282" s="1506"/>
      <c r="DV282" s="1506"/>
      <c r="DW282" s="1506"/>
      <c r="DX282" s="1506"/>
      <c r="DY282" s="1506"/>
      <c r="DZ282" s="1506"/>
      <c r="EA282" s="1506"/>
      <c r="EB282" s="1506"/>
      <c r="EC282" s="1506"/>
      <c r="ED282" s="1506"/>
      <c r="EE282" s="1506"/>
      <c r="EF282" s="1506"/>
      <c r="EG282" s="1506"/>
      <c r="EH282" s="1506"/>
      <c r="EI282" s="1506"/>
      <c r="EJ282" s="1506"/>
      <c r="EK282" s="1506"/>
      <c r="EL282" s="1506"/>
      <c r="EM282" s="1506"/>
      <c r="EN282" s="1506"/>
      <c r="EO282" s="1506"/>
      <c r="EP282" s="1506"/>
      <c r="EQ282" s="1506"/>
      <c r="ER282" s="1506"/>
      <c r="ES282" s="1506"/>
      <c r="ET282" s="1506"/>
      <c r="EU282" s="1506"/>
      <c r="EV282" s="1506"/>
      <c r="EW282" s="1506"/>
      <c r="EX282" s="1506"/>
      <c r="EY282" s="1506"/>
      <c r="EZ282" s="1506"/>
      <c r="FA282" s="1506"/>
      <c r="FB282" s="1506"/>
      <c r="FC282" s="1506"/>
      <c r="FD282" s="1506"/>
      <c r="FE282" s="1506"/>
      <c r="FF282" s="1506"/>
      <c r="FG282" s="1506"/>
      <c r="FH282" s="1506"/>
      <c r="FI282" s="1506"/>
      <c r="FJ282" s="1506"/>
      <c r="FK282" s="1506"/>
      <c r="FL282" s="1506"/>
      <c r="FM282" s="1506"/>
      <c r="FN282" s="1506"/>
      <c r="FO282" s="1506"/>
      <c r="FP282" s="1506"/>
      <c r="FQ282" s="1506"/>
      <c r="FR282" s="1506"/>
      <c r="FS282" s="1506"/>
      <c r="FT282" s="1506"/>
      <c r="FU282" s="1506"/>
      <c r="FV282" s="1506"/>
      <c r="FW282" s="1506"/>
      <c r="FX282" s="1506"/>
      <c r="FY282" s="1506"/>
      <c r="FZ282" s="1506"/>
      <c r="GA282" s="1506"/>
      <c r="GB282" s="1506"/>
      <c r="GC282" s="1506"/>
    </row>
    <row r="283" spans="1:185" s="93" customFormat="1" ht="12.95" customHeight="1">
      <c r="A283" s="43" t="s">
        <v>17</v>
      </c>
      <c r="B283" s="43"/>
      <c r="C283" s="1506"/>
      <c r="D283" s="1506"/>
      <c r="E283" s="1004"/>
      <c r="F283" s="1506"/>
      <c r="G283" s="1004"/>
      <c r="H283" s="1506"/>
      <c r="I283" s="1004" t="s">
        <v>1322</v>
      </c>
      <c r="J283" s="1506"/>
      <c r="K283" s="1506"/>
      <c r="L283" s="1506"/>
      <c r="M283" s="1506"/>
      <c r="N283" s="1506"/>
      <c r="O283" s="1506"/>
      <c r="P283" s="1506"/>
      <c r="Q283" s="1506"/>
      <c r="R283" s="1506"/>
      <c r="S283" s="1506"/>
      <c r="T283" s="1506"/>
      <c r="U283" s="1506"/>
      <c r="V283" s="1506"/>
      <c r="W283" s="1506"/>
      <c r="X283" s="1506"/>
      <c r="Y283" s="1506"/>
      <c r="Z283" s="1506"/>
      <c r="AA283" s="1506"/>
      <c r="AB283" s="1506"/>
      <c r="AC283" s="1506"/>
      <c r="AD283" s="1506"/>
      <c r="AE283" s="1506"/>
      <c r="AF283" s="1506"/>
      <c r="AG283" s="1506"/>
      <c r="AH283" s="1506"/>
      <c r="AI283" s="1506"/>
      <c r="AJ283" s="1506"/>
      <c r="AK283" s="1506"/>
      <c r="AL283" s="1506"/>
      <c r="AM283" s="1506"/>
      <c r="AN283" s="1506"/>
      <c r="AO283" s="1506"/>
      <c r="AP283" s="1506"/>
      <c r="AQ283" s="1506"/>
      <c r="AR283" s="1506"/>
      <c r="AS283" s="1506"/>
      <c r="AT283" s="1506"/>
      <c r="AU283" s="1506"/>
      <c r="AV283" s="1506"/>
      <c r="AW283" s="1506"/>
      <c r="AX283" s="1506"/>
      <c r="AY283" s="1506"/>
      <c r="AZ283" s="1506"/>
      <c r="BA283" s="1506"/>
      <c r="BB283" s="1506"/>
      <c r="BC283" s="1506"/>
      <c r="BD283" s="1506"/>
      <c r="BE283" s="1506"/>
      <c r="BF283" s="1506"/>
      <c r="BG283" s="1506"/>
      <c r="BH283" s="1506"/>
      <c r="BI283" s="1506"/>
      <c r="BJ283" s="1506"/>
      <c r="BK283" s="1506"/>
      <c r="BL283" s="1506"/>
      <c r="BM283" s="1506"/>
      <c r="BN283" s="1506"/>
      <c r="BO283" s="1506"/>
      <c r="BP283" s="1506"/>
      <c r="BQ283" s="1506"/>
      <c r="BR283" s="1506"/>
      <c r="BS283" s="1506"/>
      <c r="BT283" s="1506"/>
      <c r="BU283" s="1506"/>
      <c r="BV283" s="1506"/>
      <c r="BW283" s="1506"/>
      <c r="BX283" s="1506"/>
      <c r="BY283" s="1506"/>
      <c r="BZ283" s="1506"/>
      <c r="CA283" s="1506"/>
      <c r="CB283" s="1506"/>
      <c r="CC283" s="1506"/>
      <c r="CD283" s="1506"/>
      <c r="CE283" s="1506"/>
      <c r="CF283" s="1506"/>
      <c r="CG283" s="1506"/>
      <c r="CH283" s="1506"/>
      <c r="CI283" s="1506"/>
      <c r="CJ283" s="1506"/>
      <c r="CK283" s="1506"/>
      <c r="CL283" s="1506"/>
      <c r="CM283" s="1506"/>
      <c r="CN283" s="1506"/>
      <c r="CO283" s="1506"/>
      <c r="CP283" s="1506"/>
      <c r="CQ283" s="1506"/>
      <c r="CR283" s="1506"/>
      <c r="CS283" s="1506"/>
      <c r="CT283" s="1506"/>
      <c r="CU283" s="1506"/>
      <c r="CV283" s="1506"/>
      <c r="CW283" s="1506"/>
      <c r="CX283" s="1506"/>
      <c r="CY283" s="1506"/>
      <c r="CZ283" s="1506"/>
      <c r="DA283" s="1506"/>
      <c r="DB283" s="1506"/>
      <c r="DC283" s="1506"/>
      <c r="DD283" s="1506"/>
      <c r="DE283" s="1506"/>
      <c r="DF283" s="1506"/>
      <c r="DG283" s="1506"/>
      <c r="DH283" s="1506"/>
      <c r="DI283" s="1506"/>
      <c r="DJ283" s="1506"/>
      <c r="DK283" s="1506"/>
      <c r="DL283" s="1506"/>
      <c r="DM283" s="1506"/>
      <c r="DN283" s="1506"/>
      <c r="DO283" s="1506"/>
      <c r="DP283" s="1506"/>
      <c r="DQ283" s="1506"/>
      <c r="DR283" s="1506"/>
      <c r="DS283" s="1506"/>
      <c r="DT283" s="1506"/>
      <c r="DU283" s="1506"/>
      <c r="DV283" s="1506"/>
      <c r="DW283" s="1506"/>
      <c r="DX283" s="1506"/>
      <c r="DY283" s="1506"/>
      <c r="DZ283" s="1506"/>
      <c r="EA283" s="1506"/>
      <c r="EB283" s="1506"/>
      <c r="EC283" s="1506"/>
      <c r="ED283" s="1506"/>
      <c r="EE283" s="1506"/>
      <c r="EF283" s="1506"/>
      <c r="EG283" s="1506"/>
      <c r="EH283" s="1506"/>
      <c r="EI283" s="1506"/>
      <c r="EJ283" s="1506"/>
      <c r="EK283" s="1506"/>
      <c r="EL283" s="1506"/>
      <c r="EM283" s="1506"/>
      <c r="EN283" s="1506"/>
      <c r="EO283" s="1506"/>
      <c r="EP283" s="1506"/>
      <c r="EQ283" s="1506"/>
      <c r="ER283" s="1506"/>
      <c r="ES283" s="1506"/>
      <c r="ET283" s="1506"/>
      <c r="EU283" s="1506"/>
      <c r="EV283" s="1506"/>
      <c r="EW283" s="1506"/>
      <c r="EX283" s="1506"/>
      <c r="EY283" s="1506"/>
      <c r="EZ283" s="1506"/>
      <c r="FA283" s="1506"/>
      <c r="FB283" s="1506"/>
      <c r="FC283" s="1506"/>
      <c r="FD283" s="1506"/>
      <c r="FE283" s="1506"/>
      <c r="FF283" s="1506"/>
      <c r="FG283" s="1506"/>
      <c r="FH283" s="1506"/>
      <c r="FI283" s="1506"/>
      <c r="FJ283" s="1506"/>
      <c r="FK283" s="1506"/>
      <c r="FL283" s="1506"/>
      <c r="FM283" s="1506"/>
      <c r="FN283" s="1506"/>
      <c r="FO283" s="1506"/>
      <c r="FP283" s="1506"/>
      <c r="FQ283" s="1506"/>
      <c r="FR283" s="1506"/>
      <c r="FS283" s="1506"/>
      <c r="FT283" s="1506"/>
      <c r="FU283" s="1506"/>
      <c r="FV283" s="1506"/>
      <c r="FW283" s="1506"/>
      <c r="FX283" s="1506"/>
      <c r="FY283" s="1506"/>
      <c r="FZ283" s="1506"/>
      <c r="GA283" s="1506"/>
      <c r="GB283" s="1506"/>
      <c r="GC283" s="1506"/>
    </row>
    <row r="284" spans="1:185" s="93" customFormat="1" ht="12.95" customHeight="1">
      <c r="A284" s="43" t="s">
        <v>17</v>
      </c>
      <c r="B284" s="43"/>
      <c r="C284" s="1506"/>
      <c r="D284" s="1506"/>
      <c r="E284" s="1004"/>
      <c r="F284" s="1506"/>
      <c r="G284" s="1004"/>
      <c r="H284" s="1506"/>
      <c r="I284" s="1004" t="s">
        <v>1323</v>
      </c>
      <c r="J284" s="1506"/>
      <c r="K284" s="1506"/>
      <c r="L284" s="1506"/>
      <c r="M284" s="1506"/>
      <c r="N284" s="1506"/>
      <c r="O284" s="1506"/>
      <c r="P284" s="1506"/>
      <c r="Q284" s="1506"/>
      <c r="R284" s="1506"/>
      <c r="S284" s="1506"/>
      <c r="T284" s="1506"/>
      <c r="U284" s="1506"/>
      <c r="V284" s="1506"/>
      <c r="W284" s="1506"/>
      <c r="X284" s="1506"/>
      <c r="Y284" s="1506"/>
      <c r="Z284" s="1506"/>
      <c r="AA284" s="1506"/>
      <c r="AB284" s="1506"/>
      <c r="AC284" s="1506"/>
      <c r="AD284" s="1506"/>
      <c r="AE284" s="1506"/>
      <c r="AF284" s="1506"/>
      <c r="AG284" s="1506"/>
      <c r="AH284" s="1506"/>
      <c r="AI284" s="1506"/>
      <c r="AJ284" s="1506"/>
      <c r="AK284" s="1506"/>
      <c r="AL284" s="1506"/>
      <c r="AM284" s="1506"/>
      <c r="AN284" s="1506"/>
      <c r="AO284" s="1506"/>
      <c r="AP284" s="1506"/>
      <c r="AQ284" s="1506"/>
      <c r="AR284" s="1506"/>
      <c r="AS284" s="1506"/>
      <c r="AT284" s="1506"/>
      <c r="AU284" s="1506"/>
      <c r="AV284" s="1506"/>
      <c r="AW284" s="1506"/>
      <c r="AX284" s="1506"/>
      <c r="AY284" s="1506"/>
      <c r="AZ284" s="1506"/>
      <c r="BA284" s="1506"/>
      <c r="BB284" s="1506"/>
      <c r="BC284" s="1506"/>
      <c r="BD284" s="1506"/>
      <c r="BE284" s="1506"/>
      <c r="BF284" s="1506"/>
      <c r="BG284" s="1506"/>
      <c r="BH284" s="1506"/>
      <c r="BI284" s="1506"/>
      <c r="BJ284" s="1506"/>
      <c r="BK284" s="1506"/>
      <c r="BL284" s="1506"/>
      <c r="BM284" s="1506"/>
      <c r="BN284" s="1506"/>
      <c r="BO284" s="1506"/>
      <c r="BP284" s="1506"/>
      <c r="BQ284" s="1506"/>
      <c r="BR284" s="1506"/>
      <c r="BS284" s="1506"/>
      <c r="BT284" s="1506"/>
      <c r="BU284" s="1506"/>
      <c r="BV284" s="1506"/>
      <c r="BW284" s="1506"/>
      <c r="BX284" s="1506"/>
      <c r="BY284" s="1506"/>
      <c r="BZ284" s="1506"/>
      <c r="CA284" s="1506"/>
      <c r="CB284" s="1506"/>
      <c r="CC284" s="1506"/>
      <c r="CD284" s="1506"/>
      <c r="CE284" s="1506"/>
      <c r="CF284" s="1506"/>
      <c r="CG284" s="1506"/>
      <c r="CH284" s="1506"/>
      <c r="CI284" s="1506"/>
      <c r="CJ284" s="1506"/>
      <c r="CK284" s="1506"/>
      <c r="CL284" s="1506"/>
      <c r="CM284" s="1506"/>
      <c r="CN284" s="1506"/>
      <c r="CO284" s="1506"/>
      <c r="CP284" s="1506"/>
      <c r="CQ284" s="1506"/>
      <c r="CR284" s="1506"/>
      <c r="CS284" s="1506"/>
      <c r="CT284" s="1506"/>
      <c r="CU284" s="1506"/>
      <c r="CV284" s="1506"/>
      <c r="CW284" s="1506"/>
      <c r="CX284" s="1506"/>
      <c r="CY284" s="1506"/>
      <c r="CZ284" s="1506"/>
      <c r="DA284" s="1506"/>
      <c r="DB284" s="1506"/>
      <c r="DC284" s="1506"/>
      <c r="DD284" s="1506"/>
      <c r="DE284" s="1506"/>
      <c r="DF284" s="1506"/>
      <c r="DG284" s="1506"/>
      <c r="DH284" s="1506"/>
      <c r="DI284" s="1506"/>
      <c r="DJ284" s="1506"/>
      <c r="DK284" s="1506"/>
      <c r="DL284" s="1506"/>
      <c r="DM284" s="1506"/>
      <c r="DN284" s="1506"/>
      <c r="DO284" s="1506"/>
      <c r="DP284" s="1506"/>
      <c r="DQ284" s="1506"/>
      <c r="DR284" s="1506"/>
      <c r="DS284" s="1506"/>
      <c r="DT284" s="1506"/>
      <c r="DU284" s="1506"/>
      <c r="DV284" s="1506"/>
      <c r="DW284" s="1506"/>
      <c r="DX284" s="1506"/>
      <c r="DY284" s="1506"/>
      <c r="DZ284" s="1506"/>
      <c r="EA284" s="1506"/>
      <c r="EB284" s="1506"/>
      <c r="EC284" s="1506"/>
      <c r="ED284" s="1506"/>
      <c r="EE284" s="1506"/>
      <c r="EF284" s="1506"/>
      <c r="EG284" s="1506"/>
      <c r="EH284" s="1506"/>
      <c r="EI284" s="1506"/>
      <c r="EJ284" s="1506"/>
      <c r="EK284" s="1506"/>
      <c r="EL284" s="1506"/>
      <c r="EM284" s="1506"/>
      <c r="EN284" s="1506"/>
      <c r="EO284" s="1506"/>
      <c r="EP284" s="1506"/>
      <c r="EQ284" s="1506"/>
      <c r="ER284" s="1506"/>
      <c r="ES284" s="1506"/>
      <c r="ET284" s="1506"/>
      <c r="EU284" s="1506"/>
      <c r="EV284" s="1506"/>
      <c r="EW284" s="1506"/>
      <c r="EX284" s="1506"/>
      <c r="EY284" s="1506"/>
      <c r="EZ284" s="1506"/>
      <c r="FA284" s="1506"/>
      <c r="FB284" s="1506"/>
      <c r="FC284" s="1506"/>
      <c r="FD284" s="1506"/>
      <c r="FE284" s="1506"/>
      <c r="FF284" s="1506"/>
      <c r="FG284" s="1506"/>
      <c r="FH284" s="1506"/>
      <c r="FI284" s="1506"/>
      <c r="FJ284" s="1506"/>
      <c r="FK284" s="1506"/>
      <c r="FL284" s="1506"/>
      <c r="FM284" s="1506"/>
      <c r="FN284" s="1506"/>
      <c r="FO284" s="1506"/>
      <c r="FP284" s="1506"/>
      <c r="FQ284" s="1506"/>
      <c r="FR284" s="1506"/>
      <c r="FS284" s="1506"/>
      <c r="FT284" s="1506"/>
      <c r="FU284" s="1506"/>
      <c r="FV284" s="1506"/>
      <c r="FW284" s="1506"/>
      <c r="FX284" s="1506"/>
      <c r="FY284" s="1506"/>
      <c r="FZ284" s="1506"/>
      <c r="GA284" s="1506"/>
      <c r="GB284" s="1506"/>
      <c r="GC284" s="1506"/>
    </row>
    <row r="285" spans="1:185" s="93" customFormat="1" ht="12.95" customHeight="1">
      <c r="A285" s="43" t="s">
        <v>17</v>
      </c>
      <c r="B285" s="43"/>
      <c r="C285" s="1506"/>
      <c r="D285" s="1506"/>
      <c r="E285" s="1004"/>
      <c r="F285" s="1506"/>
      <c r="G285" s="1004"/>
      <c r="H285" s="1506"/>
      <c r="I285" s="1004" t="s">
        <v>1324</v>
      </c>
      <c r="J285" s="1506"/>
      <c r="K285" s="1506"/>
      <c r="L285" s="1506"/>
      <c r="M285" s="1506"/>
      <c r="N285" s="1506"/>
      <c r="O285" s="1506"/>
      <c r="P285" s="1506"/>
      <c r="Q285" s="1506"/>
      <c r="R285" s="1506"/>
      <c r="S285" s="1506"/>
      <c r="T285" s="1506"/>
      <c r="U285" s="1506"/>
      <c r="V285" s="1506"/>
      <c r="W285" s="1506"/>
      <c r="X285" s="1506"/>
      <c r="Y285" s="1506"/>
      <c r="Z285" s="1506"/>
      <c r="AA285" s="1506"/>
      <c r="AB285" s="1506"/>
      <c r="AC285" s="1506"/>
      <c r="AD285" s="1506"/>
      <c r="AE285" s="1506"/>
      <c r="AF285" s="1506"/>
      <c r="AG285" s="1506"/>
      <c r="AH285" s="1506"/>
      <c r="AI285" s="1506"/>
      <c r="AJ285" s="1506"/>
      <c r="AK285" s="1506"/>
      <c r="AL285" s="1506"/>
      <c r="AM285" s="1506"/>
      <c r="AN285" s="1506"/>
      <c r="AO285" s="1506"/>
      <c r="AP285" s="1506"/>
      <c r="AQ285" s="1506"/>
      <c r="AR285" s="1506"/>
      <c r="AS285" s="1506"/>
      <c r="AT285" s="1506"/>
      <c r="AU285" s="1506"/>
      <c r="AV285" s="1506"/>
      <c r="AW285" s="1506"/>
      <c r="AX285" s="1506"/>
      <c r="AY285" s="1506"/>
      <c r="AZ285" s="1506"/>
      <c r="BA285" s="1506"/>
      <c r="BB285" s="1506"/>
      <c r="BC285" s="1506"/>
      <c r="BD285" s="1506"/>
      <c r="BE285" s="1506"/>
      <c r="BF285" s="1506"/>
      <c r="BG285" s="1506"/>
      <c r="BH285" s="1506"/>
      <c r="BI285" s="1506"/>
      <c r="BJ285" s="1506"/>
      <c r="BK285" s="1506"/>
      <c r="BL285" s="1506"/>
      <c r="BM285" s="1506"/>
      <c r="BN285" s="1506"/>
      <c r="BO285" s="1506"/>
      <c r="BP285" s="1506"/>
      <c r="BQ285" s="1506"/>
      <c r="BR285" s="1506"/>
      <c r="BS285" s="1506"/>
      <c r="BT285" s="1506"/>
      <c r="BU285" s="1506"/>
      <c r="BV285" s="1506"/>
      <c r="BW285" s="1506"/>
      <c r="BX285" s="1506"/>
      <c r="BY285" s="1506"/>
      <c r="BZ285" s="1506"/>
      <c r="CA285" s="1506"/>
      <c r="CB285" s="1506"/>
      <c r="CC285" s="1506"/>
      <c r="CD285" s="1506"/>
      <c r="CE285" s="1506"/>
      <c r="CF285" s="1506"/>
      <c r="CG285" s="1506"/>
      <c r="CH285" s="1506"/>
      <c r="CI285" s="1506"/>
      <c r="CJ285" s="1506"/>
      <c r="CK285" s="1506"/>
      <c r="CL285" s="1506"/>
      <c r="CM285" s="1506"/>
      <c r="CN285" s="1506"/>
      <c r="CO285" s="1506"/>
      <c r="CP285" s="1506"/>
      <c r="CQ285" s="1506"/>
      <c r="CR285" s="1506"/>
      <c r="CS285" s="1506"/>
      <c r="CT285" s="1506"/>
      <c r="CU285" s="1506"/>
      <c r="CV285" s="1506"/>
      <c r="CW285" s="1506"/>
      <c r="CX285" s="1506"/>
      <c r="CY285" s="1506"/>
      <c r="CZ285" s="1506"/>
      <c r="DA285" s="1506"/>
      <c r="DB285" s="1506"/>
      <c r="DC285" s="1506"/>
      <c r="DD285" s="1506"/>
      <c r="DE285" s="1506"/>
      <c r="DF285" s="1506"/>
      <c r="DG285" s="1506"/>
      <c r="DH285" s="1506"/>
      <c r="DI285" s="1506"/>
      <c r="DJ285" s="1506"/>
      <c r="DK285" s="1506"/>
      <c r="DL285" s="1506"/>
      <c r="DM285" s="1506"/>
      <c r="DN285" s="1506"/>
      <c r="DO285" s="1506"/>
      <c r="DP285" s="1506"/>
      <c r="DQ285" s="1506"/>
      <c r="DR285" s="1506"/>
      <c r="DS285" s="1506"/>
      <c r="DT285" s="1506"/>
      <c r="DU285" s="1506"/>
      <c r="DV285" s="1506"/>
      <c r="DW285" s="1506"/>
      <c r="DX285" s="1506"/>
      <c r="DY285" s="1506"/>
      <c r="DZ285" s="1506"/>
      <c r="EA285" s="1506"/>
      <c r="EB285" s="1506"/>
      <c r="EC285" s="1506"/>
      <c r="ED285" s="1506"/>
      <c r="EE285" s="1506"/>
      <c r="EF285" s="1506"/>
      <c r="EG285" s="1506"/>
      <c r="EH285" s="1506"/>
      <c r="EI285" s="1506"/>
      <c r="EJ285" s="1506"/>
      <c r="EK285" s="1506"/>
      <c r="EL285" s="1506"/>
      <c r="EM285" s="1506"/>
      <c r="EN285" s="1506"/>
      <c r="EO285" s="1506"/>
      <c r="EP285" s="1506"/>
      <c r="EQ285" s="1506"/>
      <c r="ER285" s="1506"/>
      <c r="ES285" s="1506"/>
      <c r="ET285" s="1506"/>
      <c r="EU285" s="1506"/>
      <c r="EV285" s="1506"/>
      <c r="EW285" s="1506"/>
      <c r="EX285" s="1506"/>
      <c r="EY285" s="1506"/>
      <c r="EZ285" s="1506"/>
      <c r="FA285" s="1506"/>
      <c r="FB285" s="1506"/>
      <c r="FC285" s="1506"/>
      <c r="FD285" s="1506"/>
      <c r="FE285" s="1506"/>
      <c r="FF285" s="1506"/>
      <c r="FG285" s="1506"/>
      <c r="FH285" s="1506"/>
      <c r="FI285" s="1506"/>
      <c r="FJ285" s="1506"/>
      <c r="FK285" s="1506"/>
      <c r="FL285" s="1506"/>
      <c r="FM285" s="1506"/>
      <c r="FN285" s="1506"/>
      <c r="FO285" s="1506"/>
      <c r="FP285" s="1506"/>
      <c r="FQ285" s="1506"/>
      <c r="FR285" s="1506"/>
      <c r="FS285" s="1506"/>
      <c r="FT285" s="1506"/>
      <c r="FU285" s="1506"/>
      <c r="FV285" s="1506"/>
      <c r="FW285" s="1506"/>
      <c r="FX285" s="1506"/>
      <c r="FY285" s="1506"/>
      <c r="FZ285" s="1506"/>
      <c r="GA285" s="1506"/>
      <c r="GB285" s="1506"/>
      <c r="GC285" s="1506"/>
    </row>
    <row r="286" spans="1:185" s="93" customFormat="1" ht="12.95" customHeight="1">
      <c r="A286" s="43" t="s">
        <v>17</v>
      </c>
      <c r="B286" s="43"/>
      <c r="C286" s="1506"/>
      <c r="D286" s="1506"/>
      <c r="E286" s="1004"/>
      <c r="F286" s="1506"/>
      <c r="G286" s="1004"/>
      <c r="H286" s="1506"/>
      <c r="I286" s="1004" t="s">
        <v>1325</v>
      </c>
      <c r="J286" s="1506"/>
      <c r="K286" s="1506"/>
      <c r="L286" s="1506"/>
      <c r="M286" s="1506"/>
      <c r="N286" s="1506"/>
      <c r="O286" s="1506"/>
      <c r="P286" s="1506"/>
      <c r="Q286" s="1506"/>
      <c r="R286" s="1506"/>
      <c r="S286" s="1506"/>
      <c r="T286" s="1506"/>
      <c r="U286" s="1506"/>
      <c r="V286" s="1506"/>
      <c r="W286" s="1506"/>
      <c r="X286" s="1506"/>
      <c r="Y286" s="1506"/>
      <c r="Z286" s="1506"/>
      <c r="AA286" s="1506"/>
      <c r="AB286" s="1506"/>
      <c r="AC286" s="1506"/>
      <c r="AD286" s="1506"/>
      <c r="AE286" s="1506"/>
      <c r="AF286" s="1506"/>
      <c r="AG286" s="1506"/>
      <c r="AH286" s="1506"/>
      <c r="AI286" s="1506"/>
      <c r="AJ286" s="1506"/>
      <c r="AK286" s="1506"/>
      <c r="AL286" s="1506"/>
      <c r="AM286" s="1506"/>
      <c r="AN286" s="1506"/>
      <c r="AO286" s="1506"/>
      <c r="AP286" s="1506"/>
      <c r="AQ286" s="1506"/>
      <c r="AR286" s="1506"/>
      <c r="AS286" s="1506"/>
      <c r="AT286" s="1506"/>
      <c r="AU286" s="1506"/>
      <c r="AV286" s="1506"/>
      <c r="AW286" s="1506"/>
      <c r="AX286" s="1506"/>
      <c r="AY286" s="1506"/>
      <c r="AZ286" s="1506"/>
      <c r="BA286" s="1506"/>
      <c r="BB286" s="1506"/>
      <c r="BC286" s="1506"/>
      <c r="BD286" s="1506"/>
      <c r="BE286" s="1506"/>
      <c r="BF286" s="1506"/>
      <c r="BG286" s="1506"/>
      <c r="BH286" s="1506"/>
      <c r="BI286" s="1506"/>
      <c r="BJ286" s="1506"/>
      <c r="BK286" s="1506"/>
      <c r="BL286" s="1506"/>
      <c r="BM286" s="1506"/>
      <c r="BN286" s="1506"/>
      <c r="BO286" s="1506"/>
      <c r="BP286" s="1506"/>
      <c r="BQ286" s="1506"/>
      <c r="BR286" s="1506"/>
      <c r="BS286" s="1506"/>
      <c r="BT286" s="1506"/>
      <c r="BU286" s="1506"/>
      <c r="BV286" s="1506"/>
      <c r="BW286" s="1506"/>
      <c r="BX286" s="1506"/>
      <c r="BY286" s="1506"/>
      <c r="BZ286" s="1506"/>
      <c r="CA286" s="1506"/>
      <c r="CB286" s="1506"/>
      <c r="CC286" s="1506"/>
      <c r="CD286" s="1506"/>
      <c r="CE286" s="1506"/>
      <c r="CF286" s="1506"/>
      <c r="CG286" s="1506"/>
      <c r="CH286" s="1506"/>
      <c r="CI286" s="1506"/>
      <c r="CJ286" s="1506"/>
      <c r="CK286" s="1506"/>
      <c r="CL286" s="1506"/>
      <c r="CM286" s="1506"/>
      <c r="CN286" s="1506"/>
      <c r="CO286" s="1506"/>
      <c r="CP286" s="1506"/>
      <c r="CQ286" s="1506"/>
      <c r="CR286" s="1506"/>
      <c r="CS286" s="1506"/>
      <c r="CT286" s="1506"/>
      <c r="CU286" s="1506"/>
      <c r="CV286" s="1506"/>
      <c r="CW286" s="1506"/>
      <c r="CX286" s="1506"/>
      <c r="CY286" s="1506"/>
      <c r="CZ286" s="1506"/>
      <c r="DA286" s="1506"/>
      <c r="DB286" s="1506"/>
      <c r="DC286" s="1506"/>
      <c r="DD286" s="1506"/>
      <c r="DE286" s="1506"/>
      <c r="DF286" s="1506"/>
      <c r="DG286" s="1506"/>
      <c r="DH286" s="1506"/>
      <c r="DI286" s="1506"/>
      <c r="DJ286" s="1506"/>
      <c r="DK286" s="1506"/>
      <c r="DL286" s="1506"/>
      <c r="DM286" s="1506"/>
      <c r="DN286" s="1506"/>
      <c r="DO286" s="1506"/>
      <c r="DP286" s="1506"/>
      <c r="DQ286" s="1506"/>
      <c r="DR286" s="1506"/>
      <c r="DS286" s="1506"/>
      <c r="DT286" s="1506"/>
      <c r="DU286" s="1506"/>
      <c r="DV286" s="1506"/>
      <c r="DW286" s="1506"/>
      <c r="DX286" s="1506"/>
      <c r="DY286" s="1506"/>
      <c r="DZ286" s="1506"/>
      <c r="EA286" s="1506"/>
      <c r="EB286" s="1506"/>
      <c r="EC286" s="1506"/>
      <c r="ED286" s="1506"/>
      <c r="EE286" s="1506"/>
      <c r="EF286" s="1506"/>
      <c r="EG286" s="1506"/>
      <c r="EH286" s="1506"/>
      <c r="EI286" s="1506"/>
      <c r="EJ286" s="1506"/>
      <c r="EK286" s="1506"/>
      <c r="EL286" s="1506"/>
      <c r="EM286" s="1506"/>
      <c r="EN286" s="1506"/>
      <c r="EO286" s="1506"/>
      <c r="EP286" s="1506"/>
      <c r="EQ286" s="1506"/>
      <c r="ER286" s="1506"/>
      <c r="ES286" s="1506"/>
      <c r="ET286" s="1506"/>
      <c r="EU286" s="1506"/>
      <c r="EV286" s="1506"/>
      <c r="EW286" s="1506"/>
      <c r="EX286" s="1506"/>
      <c r="EY286" s="1506"/>
      <c r="EZ286" s="1506"/>
      <c r="FA286" s="1506"/>
      <c r="FB286" s="1506"/>
      <c r="FC286" s="1506"/>
      <c r="FD286" s="1506"/>
      <c r="FE286" s="1506"/>
      <c r="FF286" s="1506"/>
      <c r="FG286" s="1506"/>
      <c r="FH286" s="1506"/>
      <c r="FI286" s="1506"/>
      <c r="FJ286" s="1506"/>
      <c r="FK286" s="1506"/>
      <c r="FL286" s="1506"/>
      <c r="FM286" s="1506"/>
      <c r="FN286" s="1506"/>
      <c r="FO286" s="1506"/>
      <c r="FP286" s="1506"/>
      <c r="FQ286" s="1506"/>
      <c r="FR286" s="1506"/>
      <c r="FS286" s="1506"/>
      <c r="FT286" s="1506"/>
      <c r="FU286" s="1506"/>
      <c r="FV286" s="1506"/>
      <c r="FW286" s="1506"/>
      <c r="FX286" s="1506"/>
      <c r="FY286" s="1506"/>
      <c r="FZ286" s="1506"/>
      <c r="GA286" s="1506"/>
      <c r="GB286" s="1506"/>
      <c r="GC286" s="1506"/>
    </row>
    <row r="287" spans="1:185" s="93" customFormat="1" ht="12.95" customHeight="1">
      <c r="A287" s="43" t="s">
        <v>17</v>
      </c>
      <c r="B287" s="43"/>
      <c r="C287" s="1506"/>
      <c r="D287" s="1506"/>
      <c r="E287" s="1509"/>
      <c r="F287" s="1506"/>
      <c r="G287" s="1004"/>
      <c r="H287" s="1506"/>
      <c r="I287" s="1004" t="s">
        <v>1326</v>
      </c>
      <c r="J287" s="1506"/>
      <c r="K287" s="1506"/>
      <c r="L287" s="1506"/>
      <c r="M287" s="1506"/>
      <c r="N287" s="1506"/>
      <c r="O287" s="1506"/>
      <c r="P287" s="1506"/>
      <c r="Q287" s="1506"/>
      <c r="R287" s="1506"/>
      <c r="S287" s="1506"/>
      <c r="T287" s="1506"/>
      <c r="U287" s="1506"/>
      <c r="V287" s="1506"/>
      <c r="W287" s="1506"/>
      <c r="X287" s="1506"/>
      <c r="Y287" s="1506"/>
      <c r="Z287" s="1506"/>
      <c r="AA287" s="1506"/>
      <c r="AB287" s="1506"/>
      <c r="AC287" s="1506"/>
      <c r="AD287" s="1506"/>
      <c r="AE287" s="1506"/>
      <c r="AF287" s="1506"/>
      <c r="AG287" s="1506"/>
      <c r="AH287" s="1506"/>
      <c r="AI287" s="1506"/>
      <c r="AJ287" s="1506"/>
      <c r="AK287" s="1506"/>
      <c r="AL287" s="1506"/>
      <c r="AM287" s="1506"/>
      <c r="AN287" s="1506"/>
      <c r="AO287" s="1506"/>
      <c r="AP287" s="1506"/>
      <c r="AQ287" s="1506"/>
      <c r="AR287" s="1506"/>
      <c r="AS287" s="1506"/>
      <c r="AT287" s="1506"/>
      <c r="AU287" s="1506"/>
      <c r="AV287" s="1506"/>
      <c r="AW287" s="1506"/>
      <c r="AX287" s="1506"/>
      <c r="AY287" s="1506"/>
      <c r="AZ287" s="1506"/>
      <c r="BA287" s="1506"/>
      <c r="BB287" s="1506"/>
      <c r="BC287" s="1506"/>
      <c r="BD287" s="1506"/>
      <c r="BE287" s="1506"/>
      <c r="BF287" s="1506"/>
      <c r="BG287" s="1506"/>
      <c r="BH287" s="1506"/>
      <c r="BI287" s="1506"/>
      <c r="BJ287" s="1506"/>
      <c r="BK287" s="1506"/>
      <c r="BL287" s="1506"/>
      <c r="BM287" s="1506"/>
      <c r="BN287" s="1506"/>
      <c r="BO287" s="1506"/>
      <c r="BP287" s="1506"/>
      <c r="BQ287" s="1506"/>
      <c r="BR287" s="1506"/>
      <c r="BS287" s="1506"/>
      <c r="BT287" s="1506"/>
      <c r="BU287" s="1506"/>
      <c r="BV287" s="1506"/>
      <c r="BW287" s="1506"/>
      <c r="BX287" s="1506"/>
      <c r="BY287" s="1506"/>
      <c r="BZ287" s="1506"/>
      <c r="CA287" s="1506"/>
      <c r="CB287" s="1506"/>
      <c r="CC287" s="1506"/>
      <c r="CD287" s="1506"/>
      <c r="CE287" s="1506"/>
      <c r="CF287" s="1506"/>
      <c r="CG287" s="1506"/>
      <c r="CH287" s="1506"/>
      <c r="CI287" s="1506"/>
      <c r="CJ287" s="1506"/>
      <c r="CK287" s="1506"/>
      <c r="CL287" s="1506"/>
      <c r="CM287" s="1506"/>
      <c r="CN287" s="1506"/>
      <c r="CO287" s="1506"/>
      <c r="CP287" s="1506"/>
      <c r="CQ287" s="1506"/>
      <c r="CR287" s="1506"/>
      <c r="CS287" s="1506"/>
      <c r="CT287" s="1506"/>
      <c r="CU287" s="1506"/>
      <c r="CV287" s="1506"/>
      <c r="CW287" s="1506"/>
      <c r="CX287" s="1506"/>
      <c r="CY287" s="1506"/>
      <c r="CZ287" s="1506"/>
      <c r="DA287" s="1506"/>
      <c r="DB287" s="1506"/>
      <c r="DC287" s="1506"/>
      <c r="DD287" s="1506"/>
      <c r="DE287" s="1506"/>
      <c r="DF287" s="1506"/>
      <c r="DG287" s="1506"/>
      <c r="DH287" s="1506"/>
      <c r="DI287" s="1506"/>
      <c r="DJ287" s="1506"/>
      <c r="DK287" s="1506"/>
      <c r="DL287" s="1506"/>
      <c r="DM287" s="1506"/>
      <c r="DN287" s="1506"/>
      <c r="DO287" s="1506"/>
      <c r="DP287" s="1506"/>
      <c r="DQ287" s="1506"/>
      <c r="DR287" s="1506"/>
      <c r="DS287" s="1506"/>
      <c r="DT287" s="1506"/>
      <c r="DU287" s="1506"/>
      <c r="DV287" s="1506"/>
      <c r="DW287" s="1506"/>
      <c r="DX287" s="1506"/>
      <c r="DY287" s="1506"/>
      <c r="DZ287" s="1506"/>
      <c r="EA287" s="1506"/>
      <c r="EB287" s="1506"/>
      <c r="EC287" s="1506"/>
      <c r="ED287" s="1506"/>
      <c r="EE287" s="1506"/>
      <c r="EF287" s="1506"/>
      <c r="EG287" s="1506"/>
      <c r="EH287" s="1506"/>
      <c r="EI287" s="1506"/>
      <c r="EJ287" s="1506"/>
      <c r="EK287" s="1506"/>
      <c r="EL287" s="1506"/>
      <c r="EM287" s="1506"/>
      <c r="EN287" s="1506"/>
      <c r="EO287" s="1506"/>
      <c r="EP287" s="1506"/>
      <c r="EQ287" s="1506"/>
      <c r="ER287" s="1506"/>
      <c r="ES287" s="1506"/>
      <c r="ET287" s="1506"/>
      <c r="EU287" s="1506"/>
      <c r="EV287" s="1506"/>
      <c r="EW287" s="1506"/>
      <c r="EX287" s="1506"/>
      <c r="EY287" s="1506"/>
      <c r="EZ287" s="1506"/>
      <c r="FA287" s="1506"/>
      <c r="FB287" s="1506"/>
      <c r="FC287" s="1506"/>
      <c r="FD287" s="1506"/>
      <c r="FE287" s="1506"/>
      <c r="FF287" s="1506"/>
      <c r="FG287" s="1506"/>
      <c r="FH287" s="1506"/>
      <c r="FI287" s="1506"/>
      <c r="FJ287" s="1506"/>
      <c r="FK287" s="1506"/>
      <c r="FL287" s="1506"/>
      <c r="FM287" s="1506"/>
      <c r="FN287" s="1506"/>
      <c r="FO287" s="1506"/>
      <c r="FP287" s="1506"/>
      <c r="FQ287" s="1506"/>
      <c r="FR287" s="1506"/>
      <c r="FS287" s="1506"/>
      <c r="FT287" s="1506"/>
      <c r="FU287" s="1506"/>
      <c r="FV287" s="1506"/>
      <c r="FW287" s="1506"/>
      <c r="FX287" s="1506"/>
      <c r="FY287" s="1506"/>
      <c r="FZ287" s="1506"/>
      <c r="GA287" s="1506"/>
      <c r="GB287" s="1506"/>
      <c r="GC287" s="1506"/>
    </row>
    <row r="288" spans="1:185" s="93" customFormat="1" ht="12.95" customHeight="1">
      <c r="A288" s="43" t="s">
        <v>17</v>
      </c>
      <c r="B288" s="43"/>
      <c r="C288" s="1506"/>
      <c r="D288" s="1506"/>
      <c r="E288" s="1004"/>
      <c r="F288" s="1506"/>
      <c r="G288" s="1004"/>
      <c r="H288" s="1506"/>
      <c r="I288" s="1004" t="s">
        <v>1327</v>
      </c>
      <c r="J288" s="1506"/>
      <c r="K288" s="1506"/>
      <c r="L288" s="1506"/>
      <c r="M288" s="1506"/>
      <c r="N288" s="1506"/>
      <c r="O288" s="1506"/>
      <c r="P288" s="1506"/>
      <c r="Q288" s="1506"/>
      <c r="R288" s="1506"/>
      <c r="S288" s="1506"/>
      <c r="T288" s="1506"/>
      <c r="U288" s="1506"/>
      <c r="V288" s="1506"/>
      <c r="W288" s="1506"/>
      <c r="X288" s="1506"/>
      <c r="Y288" s="1506"/>
      <c r="Z288" s="1506"/>
      <c r="AA288" s="1506"/>
      <c r="AB288" s="1506"/>
      <c r="AC288" s="1506"/>
      <c r="AD288" s="1506"/>
      <c r="AE288" s="1506"/>
      <c r="AF288" s="1506"/>
      <c r="AG288" s="1506"/>
      <c r="AH288" s="1506"/>
      <c r="AI288" s="1506"/>
      <c r="AJ288" s="1506"/>
      <c r="AK288" s="1506"/>
      <c r="AL288" s="1506"/>
      <c r="AM288" s="1506"/>
      <c r="AN288" s="1506"/>
      <c r="AO288" s="1506"/>
      <c r="AP288" s="1506"/>
      <c r="AQ288" s="1506"/>
      <c r="AR288" s="1506"/>
      <c r="AS288" s="1506"/>
      <c r="AT288" s="1506"/>
      <c r="AU288" s="1506"/>
      <c r="AV288" s="1506"/>
      <c r="AW288" s="1506"/>
      <c r="AX288" s="1506"/>
      <c r="AY288" s="1506"/>
      <c r="AZ288" s="1506"/>
      <c r="BA288" s="1506"/>
      <c r="BB288" s="1506"/>
      <c r="BC288" s="1506"/>
      <c r="BD288" s="1506"/>
      <c r="BE288" s="1506"/>
      <c r="BF288" s="1506"/>
      <c r="BG288" s="1506"/>
      <c r="BH288" s="1506"/>
      <c r="BI288" s="1506"/>
      <c r="BJ288" s="1506"/>
      <c r="BK288" s="1506"/>
      <c r="BL288" s="1506"/>
      <c r="BM288" s="1506"/>
      <c r="BN288" s="1506"/>
      <c r="BO288" s="1506"/>
      <c r="BP288" s="1506"/>
      <c r="BQ288" s="1506"/>
      <c r="BR288" s="1506"/>
      <c r="BS288" s="1506"/>
      <c r="BT288" s="1506"/>
      <c r="BU288" s="1506"/>
      <c r="BV288" s="1506"/>
      <c r="BW288" s="1506"/>
      <c r="BX288" s="1506"/>
      <c r="BY288" s="1506"/>
      <c r="BZ288" s="1506"/>
      <c r="CA288" s="1506"/>
      <c r="CB288" s="1506"/>
      <c r="CC288" s="1506"/>
      <c r="CD288" s="1506"/>
      <c r="CE288" s="1506"/>
      <c r="CF288" s="1506"/>
      <c r="CG288" s="1506"/>
      <c r="CH288" s="1506"/>
      <c r="CI288" s="1506"/>
      <c r="CJ288" s="1506"/>
      <c r="CK288" s="1506"/>
      <c r="CL288" s="1506"/>
      <c r="CM288" s="1506"/>
      <c r="CN288" s="1506"/>
      <c r="CO288" s="1506"/>
      <c r="CP288" s="1506"/>
      <c r="CQ288" s="1506"/>
      <c r="CR288" s="1506"/>
      <c r="CS288" s="1506"/>
      <c r="CT288" s="1506"/>
      <c r="CU288" s="1506"/>
      <c r="CV288" s="1506"/>
      <c r="CW288" s="1506"/>
      <c r="CX288" s="1506"/>
      <c r="CY288" s="1506"/>
      <c r="CZ288" s="1506"/>
      <c r="DA288" s="1506"/>
      <c r="DB288" s="1506"/>
      <c r="DC288" s="1506"/>
      <c r="DD288" s="1506"/>
      <c r="DE288" s="1506"/>
      <c r="DF288" s="1506"/>
      <c r="DG288" s="1506"/>
      <c r="DH288" s="1506"/>
      <c r="DI288" s="1506"/>
      <c r="DJ288" s="1506"/>
      <c r="DK288" s="1506"/>
      <c r="DL288" s="1506"/>
      <c r="DM288" s="1506"/>
      <c r="DN288" s="1506"/>
      <c r="DO288" s="1506"/>
      <c r="DP288" s="1506"/>
      <c r="DQ288" s="1506"/>
      <c r="DR288" s="1506"/>
      <c r="DS288" s="1506"/>
      <c r="DT288" s="1506"/>
      <c r="DU288" s="1506"/>
      <c r="DV288" s="1506"/>
      <c r="DW288" s="1506"/>
      <c r="DX288" s="1506"/>
      <c r="DY288" s="1506"/>
      <c r="DZ288" s="1506"/>
      <c r="EA288" s="1506"/>
      <c r="EB288" s="1506"/>
      <c r="EC288" s="1506"/>
      <c r="ED288" s="1506"/>
      <c r="EE288" s="1506"/>
      <c r="EF288" s="1506"/>
      <c r="EG288" s="1506"/>
      <c r="EH288" s="1506"/>
      <c r="EI288" s="1506"/>
      <c r="EJ288" s="1506"/>
      <c r="EK288" s="1506"/>
      <c r="EL288" s="1506"/>
      <c r="EM288" s="1506"/>
      <c r="EN288" s="1506"/>
      <c r="EO288" s="1506"/>
      <c r="EP288" s="1506"/>
      <c r="EQ288" s="1506"/>
      <c r="ER288" s="1506"/>
      <c r="ES288" s="1506"/>
      <c r="ET288" s="1506"/>
      <c r="EU288" s="1506"/>
      <c r="EV288" s="1506"/>
      <c r="EW288" s="1506"/>
      <c r="EX288" s="1506"/>
      <c r="EY288" s="1506"/>
      <c r="EZ288" s="1506"/>
      <c r="FA288" s="1506"/>
      <c r="FB288" s="1506"/>
      <c r="FC288" s="1506"/>
      <c r="FD288" s="1506"/>
      <c r="FE288" s="1506"/>
      <c r="FF288" s="1506"/>
      <c r="FG288" s="1506"/>
      <c r="FH288" s="1506"/>
      <c r="FI288" s="1506"/>
      <c r="FJ288" s="1506"/>
      <c r="FK288" s="1506"/>
      <c r="FL288" s="1506"/>
      <c r="FM288" s="1506"/>
      <c r="FN288" s="1506"/>
      <c r="FO288" s="1506"/>
      <c r="FP288" s="1506"/>
      <c r="FQ288" s="1506"/>
      <c r="FR288" s="1506"/>
      <c r="FS288" s="1506"/>
      <c r="FT288" s="1506"/>
      <c r="FU288" s="1506"/>
      <c r="FV288" s="1506"/>
      <c r="FW288" s="1506"/>
      <c r="FX288" s="1506"/>
      <c r="FY288" s="1506"/>
      <c r="FZ288" s="1506"/>
      <c r="GA288" s="1506"/>
      <c r="GB288" s="1506"/>
      <c r="GC288" s="1506"/>
    </row>
    <row r="289" spans="1:185" s="93" customFormat="1" ht="12.95" customHeight="1">
      <c r="A289" s="43" t="s">
        <v>17</v>
      </c>
      <c r="B289" s="43"/>
      <c r="C289" s="1506"/>
      <c r="D289" s="1506"/>
      <c r="E289" s="1004"/>
      <c r="F289" s="1506"/>
      <c r="G289" s="1004"/>
      <c r="H289" s="1506"/>
      <c r="I289" s="1004" t="s">
        <v>1328</v>
      </c>
      <c r="J289" s="1506"/>
      <c r="K289" s="1506"/>
      <c r="L289" s="1506"/>
      <c r="M289" s="1506"/>
      <c r="N289" s="1506"/>
      <c r="O289" s="1506"/>
      <c r="P289" s="1506"/>
      <c r="Q289" s="1506"/>
      <c r="R289" s="1506"/>
      <c r="S289" s="1506"/>
      <c r="T289" s="1506"/>
      <c r="U289" s="1506"/>
      <c r="V289" s="1506"/>
      <c r="W289" s="1506"/>
      <c r="X289" s="1506"/>
      <c r="Y289" s="1506"/>
      <c r="Z289" s="1506"/>
      <c r="AA289" s="1506"/>
      <c r="AB289" s="1506"/>
      <c r="AC289" s="1506"/>
      <c r="AD289" s="1506"/>
      <c r="AE289" s="1506"/>
      <c r="AF289" s="1506"/>
      <c r="AG289" s="1506"/>
      <c r="AH289" s="1506"/>
      <c r="AI289" s="1506"/>
      <c r="AJ289" s="1506"/>
      <c r="AK289" s="1506"/>
      <c r="AL289" s="1506"/>
      <c r="AM289" s="1506"/>
      <c r="AN289" s="1506"/>
      <c r="AO289" s="1506"/>
      <c r="AP289" s="1506"/>
      <c r="AQ289" s="1506"/>
      <c r="AR289" s="1506"/>
      <c r="AS289" s="1506"/>
      <c r="AT289" s="1506"/>
      <c r="AU289" s="1506"/>
      <c r="AV289" s="1506"/>
      <c r="AW289" s="1506"/>
      <c r="AX289" s="1506"/>
      <c r="AY289" s="1506"/>
      <c r="AZ289" s="1506"/>
      <c r="BA289" s="1506"/>
      <c r="BB289" s="1506"/>
      <c r="BC289" s="1506"/>
      <c r="BD289" s="1506"/>
      <c r="BE289" s="1506"/>
      <c r="BF289" s="1506"/>
      <c r="BG289" s="1506"/>
      <c r="BH289" s="1506"/>
      <c r="BI289" s="1506"/>
      <c r="BJ289" s="1506"/>
      <c r="BK289" s="1506"/>
      <c r="BL289" s="1506"/>
      <c r="BM289" s="1506"/>
      <c r="BN289" s="1506"/>
      <c r="BO289" s="1506"/>
      <c r="BP289" s="1506"/>
      <c r="BQ289" s="1506"/>
      <c r="BR289" s="1506"/>
      <c r="BS289" s="1506"/>
      <c r="BT289" s="1506"/>
      <c r="BU289" s="1506"/>
      <c r="BV289" s="1506"/>
      <c r="BW289" s="1506"/>
      <c r="BX289" s="1506"/>
      <c r="BY289" s="1506"/>
      <c r="BZ289" s="1506"/>
      <c r="CA289" s="1506"/>
      <c r="CB289" s="1506"/>
      <c r="CC289" s="1506"/>
      <c r="CD289" s="1506"/>
      <c r="CE289" s="1506"/>
      <c r="CF289" s="1506"/>
      <c r="CG289" s="1506"/>
      <c r="CH289" s="1506"/>
      <c r="CI289" s="1506"/>
      <c r="CJ289" s="1506"/>
      <c r="CK289" s="1506"/>
      <c r="CL289" s="1506"/>
      <c r="CM289" s="1506"/>
      <c r="CN289" s="1506"/>
      <c r="CO289" s="1506"/>
      <c r="CP289" s="1506"/>
      <c r="CQ289" s="1506"/>
      <c r="CR289" s="1506"/>
      <c r="CS289" s="1506"/>
      <c r="CT289" s="1506"/>
      <c r="CU289" s="1506"/>
      <c r="CV289" s="1506"/>
      <c r="CW289" s="1506"/>
      <c r="CX289" s="1506"/>
      <c r="CY289" s="1506"/>
      <c r="CZ289" s="1506"/>
      <c r="DA289" s="1506"/>
      <c r="DB289" s="1506"/>
      <c r="DC289" s="1506"/>
      <c r="DD289" s="1506"/>
      <c r="DE289" s="1506"/>
      <c r="DF289" s="1506"/>
      <c r="DG289" s="1506"/>
      <c r="DH289" s="1506"/>
      <c r="DI289" s="1506"/>
      <c r="DJ289" s="1506"/>
      <c r="DK289" s="1506"/>
      <c r="DL289" s="1506"/>
      <c r="DM289" s="1506"/>
      <c r="DN289" s="1506"/>
      <c r="DO289" s="1506"/>
      <c r="DP289" s="1506"/>
      <c r="DQ289" s="1506"/>
      <c r="DR289" s="1506"/>
      <c r="DS289" s="1506"/>
      <c r="DT289" s="1506"/>
      <c r="DU289" s="1506"/>
      <c r="DV289" s="1506"/>
      <c r="DW289" s="1506"/>
      <c r="DX289" s="1506"/>
      <c r="DY289" s="1506"/>
      <c r="DZ289" s="1506"/>
      <c r="EA289" s="1506"/>
      <c r="EB289" s="1506"/>
      <c r="EC289" s="1506"/>
      <c r="ED289" s="1506"/>
      <c r="EE289" s="1506"/>
      <c r="EF289" s="1506"/>
      <c r="EG289" s="1506"/>
      <c r="EH289" s="1506"/>
      <c r="EI289" s="1506"/>
      <c r="EJ289" s="1506"/>
      <c r="EK289" s="1506"/>
      <c r="EL289" s="1506"/>
      <c r="EM289" s="1506"/>
      <c r="EN289" s="1506"/>
      <c r="EO289" s="1506"/>
      <c r="EP289" s="1506"/>
      <c r="EQ289" s="1506"/>
      <c r="ER289" s="1506"/>
      <c r="ES289" s="1506"/>
      <c r="ET289" s="1506"/>
      <c r="EU289" s="1506"/>
      <c r="EV289" s="1506"/>
      <c r="EW289" s="1506"/>
      <c r="EX289" s="1506"/>
      <c r="EY289" s="1506"/>
      <c r="EZ289" s="1506"/>
      <c r="FA289" s="1506"/>
      <c r="FB289" s="1506"/>
      <c r="FC289" s="1506"/>
      <c r="FD289" s="1506"/>
      <c r="FE289" s="1506"/>
      <c r="FF289" s="1506"/>
      <c r="FG289" s="1506"/>
      <c r="FH289" s="1506"/>
      <c r="FI289" s="1506"/>
      <c r="FJ289" s="1506"/>
      <c r="FK289" s="1506"/>
      <c r="FL289" s="1506"/>
      <c r="FM289" s="1506"/>
      <c r="FN289" s="1506"/>
      <c r="FO289" s="1506"/>
      <c r="FP289" s="1506"/>
      <c r="FQ289" s="1506"/>
      <c r="FR289" s="1506"/>
      <c r="FS289" s="1506"/>
      <c r="FT289" s="1506"/>
      <c r="FU289" s="1506"/>
      <c r="FV289" s="1506"/>
      <c r="FW289" s="1506"/>
      <c r="FX289" s="1506"/>
      <c r="FY289" s="1506"/>
      <c r="FZ289" s="1506"/>
      <c r="GA289" s="1506"/>
      <c r="GB289" s="1506"/>
      <c r="GC289" s="1506"/>
    </row>
    <row r="290" spans="1:185" s="93" customFormat="1" ht="12.95" customHeight="1">
      <c r="A290" s="43" t="s">
        <v>17</v>
      </c>
      <c r="B290" s="43"/>
      <c r="C290" s="1506"/>
      <c r="D290" s="1506"/>
      <c r="E290" s="1004"/>
      <c r="F290" s="1506"/>
      <c r="G290" s="1004"/>
      <c r="H290" s="1506"/>
      <c r="I290" s="1004" t="s">
        <v>1227</v>
      </c>
      <c r="J290" s="1506"/>
      <c r="K290" s="1506"/>
      <c r="L290" s="1506"/>
      <c r="M290" s="1506"/>
      <c r="N290" s="1506"/>
      <c r="O290" s="1506"/>
      <c r="P290" s="1506"/>
      <c r="Q290" s="1506"/>
      <c r="R290" s="1506"/>
      <c r="S290" s="1506"/>
      <c r="T290" s="1506"/>
      <c r="U290" s="1506"/>
      <c r="V290" s="1506"/>
      <c r="W290" s="1506"/>
      <c r="X290" s="1506"/>
      <c r="Y290" s="1506"/>
      <c r="Z290" s="1506"/>
      <c r="AA290" s="1506"/>
      <c r="AB290" s="1506"/>
      <c r="AC290" s="1506"/>
      <c r="AD290" s="1506"/>
      <c r="AE290" s="1506"/>
      <c r="AF290" s="1506"/>
      <c r="AG290" s="1506"/>
      <c r="AH290" s="1506"/>
      <c r="AI290" s="1506"/>
      <c r="AJ290" s="1506"/>
      <c r="AK290" s="1506"/>
      <c r="AL290" s="1506"/>
      <c r="AM290" s="1506"/>
      <c r="AN290" s="1506"/>
      <c r="AO290" s="1506"/>
      <c r="AP290" s="1506"/>
      <c r="AQ290" s="1506"/>
      <c r="AR290" s="1506"/>
      <c r="AS290" s="1506"/>
      <c r="AT290" s="1506"/>
      <c r="AU290" s="1506"/>
      <c r="AV290" s="1506"/>
      <c r="AW290" s="1506"/>
      <c r="AX290" s="1506"/>
      <c r="AY290" s="1506"/>
      <c r="AZ290" s="1506"/>
      <c r="BA290" s="1506"/>
      <c r="BB290" s="1506"/>
      <c r="BC290" s="1506"/>
      <c r="BD290" s="1506"/>
      <c r="BE290" s="1506"/>
      <c r="BF290" s="1506"/>
      <c r="BG290" s="1506"/>
      <c r="BH290" s="1506"/>
      <c r="BI290" s="1506"/>
      <c r="BJ290" s="1506"/>
      <c r="BK290" s="1506"/>
      <c r="BL290" s="1506"/>
      <c r="BM290" s="1506"/>
      <c r="BN290" s="1506"/>
      <c r="BO290" s="1506"/>
      <c r="BP290" s="1506"/>
      <c r="BQ290" s="1506"/>
      <c r="BR290" s="1506"/>
      <c r="BS290" s="1506"/>
      <c r="BT290" s="1506"/>
      <c r="BU290" s="1506"/>
      <c r="BV290" s="1506"/>
      <c r="BW290" s="1506"/>
      <c r="BX290" s="1506"/>
      <c r="BY290" s="1506"/>
      <c r="BZ290" s="1506"/>
      <c r="CA290" s="1506"/>
      <c r="CB290" s="1506"/>
      <c r="CC290" s="1506"/>
      <c r="CD290" s="1506"/>
      <c r="CE290" s="1506"/>
      <c r="CF290" s="1506"/>
      <c r="CG290" s="1506"/>
      <c r="CH290" s="1506"/>
      <c r="CI290" s="1506"/>
      <c r="CJ290" s="1506"/>
      <c r="CK290" s="1506"/>
      <c r="CL290" s="1506"/>
      <c r="CM290" s="1506"/>
      <c r="CN290" s="1506"/>
      <c r="CO290" s="1506"/>
      <c r="CP290" s="1506"/>
      <c r="CQ290" s="1506"/>
      <c r="CR290" s="1506"/>
      <c r="CS290" s="1506"/>
      <c r="CT290" s="1506"/>
      <c r="CU290" s="1506"/>
      <c r="CV290" s="1506"/>
      <c r="CW290" s="1506"/>
      <c r="CX290" s="1506"/>
      <c r="CY290" s="1506"/>
      <c r="CZ290" s="1506"/>
      <c r="DA290" s="1506"/>
      <c r="DB290" s="1506"/>
      <c r="DC290" s="1506"/>
      <c r="DD290" s="1506"/>
      <c r="DE290" s="1506"/>
      <c r="DF290" s="1506"/>
      <c r="DG290" s="1506"/>
      <c r="DH290" s="1506"/>
      <c r="DI290" s="1506"/>
      <c r="DJ290" s="1506"/>
      <c r="DK290" s="1506"/>
      <c r="DL290" s="1506"/>
      <c r="DM290" s="1506"/>
      <c r="DN290" s="1506"/>
      <c r="DO290" s="1506"/>
      <c r="DP290" s="1506"/>
      <c r="DQ290" s="1506"/>
      <c r="DR290" s="1506"/>
      <c r="DS290" s="1506"/>
      <c r="DT290" s="1506"/>
      <c r="DU290" s="1506"/>
      <c r="DV290" s="1506"/>
      <c r="DW290" s="1506"/>
      <c r="DX290" s="1506"/>
      <c r="DY290" s="1506"/>
      <c r="DZ290" s="1506"/>
      <c r="EA290" s="1506"/>
      <c r="EB290" s="1506"/>
      <c r="EC290" s="1506"/>
      <c r="ED290" s="1506"/>
      <c r="EE290" s="1506"/>
      <c r="EF290" s="1506"/>
      <c r="EG290" s="1506"/>
      <c r="EH290" s="1506"/>
      <c r="EI290" s="1506"/>
      <c r="EJ290" s="1506"/>
      <c r="EK290" s="1506"/>
      <c r="EL290" s="1506"/>
      <c r="EM290" s="1506"/>
      <c r="EN290" s="1506"/>
      <c r="EO290" s="1506"/>
      <c r="EP290" s="1506"/>
      <c r="EQ290" s="1506"/>
      <c r="ER290" s="1506"/>
      <c r="ES290" s="1506"/>
      <c r="ET290" s="1506"/>
      <c r="EU290" s="1506"/>
      <c r="EV290" s="1506"/>
      <c r="EW290" s="1506"/>
      <c r="EX290" s="1506"/>
      <c r="EY290" s="1506"/>
      <c r="EZ290" s="1506"/>
      <c r="FA290" s="1506"/>
      <c r="FB290" s="1506"/>
      <c r="FC290" s="1506"/>
      <c r="FD290" s="1506"/>
      <c r="FE290" s="1506"/>
      <c r="FF290" s="1506"/>
      <c r="FG290" s="1506"/>
      <c r="FH290" s="1506"/>
      <c r="FI290" s="1506"/>
      <c r="FJ290" s="1506"/>
      <c r="FK290" s="1506"/>
      <c r="FL290" s="1506"/>
      <c r="FM290" s="1506"/>
      <c r="FN290" s="1506"/>
      <c r="FO290" s="1506"/>
      <c r="FP290" s="1506"/>
      <c r="FQ290" s="1506"/>
      <c r="FR290" s="1506"/>
      <c r="FS290" s="1506"/>
      <c r="FT290" s="1506"/>
      <c r="FU290" s="1506"/>
      <c r="FV290" s="1506"/>
      <c r="FW290" s="1506"/>
      <c r="FX290" s="1506"/>
      <c r="FY290" s="1506"/>
      <c r="FZ290" s="1506"/>
      <c r="GA290" s="1506"/>
      <c r="GB290" s="1506"/>
      <c r="GC290" s="1506"/>
    </row>
    <row r="291" spans="1:185" s="93" customFormat="1" ht="12.95" customHeight="1">
      <c r="A291" s="43" t="s">
        <v>17</v>
      </c>
      <c r="B291" s="43"/>
      <c r="C291" s="1506"/>
      <c r="D291" s="1506"/>
      <c r="E291" s="1004"/>
      <c r="F291" s="1506"/>
      <c r="G291" s="1004"/>
      <c r="H291" s="1506"/>
      <c r="I291" s="1004" t="s">
        <v>1329</v>
      </c>
      <c r="J291" s="1506"/>
      <c r="K291" s="1506"/>
      <c r="L291" s="1506"/>
      <c r="M291" s="1506"/>
      <c r="N291" s="1506"/>
      <c r="O291" s="1506"/>
      <c r="P291" s="1506"/>
      <c r="Q291" s="1506"/>
      <c r="R291" s="1506"/>
      <c r="S291" s="1506"/>
      <c r="T291" s="1506"/>
      <c r="U291" s="1506"/>
      <c r="V291" s="1506"/>
      <c r="W291" s="1506"/>
      <c r="X291" s="1506"/>
      <c r="Y291" s="1506"/>
      <c r="Z291" s="1506"/>
      <c r="AA291" s="1506"/>
      <c r="AB291" s="1506"/>
      <c r="AC291" s="1506"/>
      <c r="AD291" s="1506"/>
      <c r="AE291" s="1506"/>
      <c r="AF291" s="1506"/>
      <c r="AG291" s="1506"/>
      <c r="AH291" s="1506"/>
      <c r="AI291" s="1506"/>
      <c r="AJ291" s="1506"/>
      <c r="AK291" s="1506"/>
      <c r="AL291" s="1506"/>
      <c r="AM291" s="1506"/>
      <c r="AN291" s="1506"/>
      <c r="AO291" s="1506"/>
      <c r="AP291" s="1506"/>
      <c r="AQ291" s="1506"/>
      <c r="AR291" s="1506"/>
      <c r="AS291" s="1506"/>
      <c r="AT291" s="1506"/>
      <c r="AU291" s="1506"/>
      <c r="AV291" s="1506"/>
      <c r="AW291" s="1506"/>
      <c r="AX291" s="1506"/>
      <c r="AY291" s="1506"/>
      <c r="AZ291" s="1506"/>
      <c r="BA291" s="1506"/>
      <c r="BB291" s="1506"/>
      <c r="BC291" s="1506"/>
      <c r="BD291" s="1506"/>
      <c r="BE291" s="1506"/>
      <c r="BF291" s="1506"/>
      <c r="BG291" s="1506"/>
      <c r="BH291" s="1506"/>
      <c r="BI291" s="1506"/>
      <c r="BJ291" s="1506"/>
      <c r="BK291" s="1506"/>
      <c r="BL291" s="1506"/>
      <c r="BM291" s="1506"/>
      <c r="BN291" s="1506"/>
      <c r="BO291" s="1506"/>
      <c r="BP291" s="1506"/>
      <c r="BQ291" s="1506"/>
      <c r="BR291" s="1506"/>
      <c r="BS291" s="1506"/>
      <c r="BT291" s="1506"/>
      <c r="BU291" s="1506"/>
      <c r="BV291" s="1506"/>
      <c r="BW291" s="1506"/>
      <c r="BX291" s="1506"/>
      <c r="BY291" s="1506"/>
      <c r="BZ291" s="1506"/>
      <c r="CA291" s="1506"/>
      <c r="CB291" s="1506"/>
      <c r="CC291" s="1506"/>
      <c r="CD291" s="1506"/>
      <c r="CE291" s="1506"/>
      <c r="CF291" s="1506"/>
      <c r="CG291" s="1506"/>
      <c r="CH291" s="1506"/>
      <c r="CI291" s="1506"/>
      <c r="CJ291" s="1506"/>
      <c r="CK291" s="1506"/>
      <c r="CL291" s="1506"/>
      <c r="CM291" s="1506"/>
      <c r="CN291" s="1506"/>
      <c r="CO291" s="1506"/>
      <c r="CP291" s="1506"/>
      <c r="CQ291" s="1506"/>
      <c r="CR291" s="1506"/>
      <c r="CS291" s="1506"/>
      <c r="CT291" s="1506"/>
      <c r="CU291" s="1506"/>
      <c r="CV291" s="1506"/>
      <c r="CW291" s="1506"/>
      <c r="CX291" s="1506"/>
      <c r="CY291" s="1506"/>
      <c r="CZ291" s="1506"/>
      <c r="DA291" s="1506"/>
      <c r="DB291" s="1506"/>
      <c r="DC291" s="1506"/>
      <c r="DD291" s="1506"/>
      <c r="DE291" s="1506"/>
      <c r="DF291" s="1506"/>
      <c r="DG291" s="1506"/>
      <c r="DH291" s="1506"/>
      <c r="DI291" s="1506"/>
      <c r="DJ291" s="1506"/>
      <c r="DK291" s="1506"/>
      <c r="DL291" s="1506"/>
      <c r="DM291" s="1506"/>
      <c r="DN291" s="1506"/>
      <c r="DO291" s="1506"/>
      <c r="DP291" s="1506"/>
      <c r="DQ291" s="1506"/>
      <c r="DR291" s="1506"/>
      <c r="DS291" s="1506"/>
      <c r="DT291" s="1506"/>
      <c r="DU291" s="1506"/>
      <c r="DV291" s="1506"/>
      <c r="DW291" s="1506"/>
      <c r="DX291" s="1506"/>
      <c r="DY291" s="1506"/>
      <c r="DZ291" s="1506"/>
      <c r="EA291" s="1506"/>
      <c r="EB291" s="1506"/>
      <c r="EC291" s="1506"/>
      <c r="ED291" s="1506"/>
      <c r="EE291" s="1506"/>
      <c r="EF291" s="1506"/>
      <c r="EG291" s="1506"/>
      <c r="EH291" s="1506"/>
      <c r="EI291" s="1506"/>
      <c r="EJ291" s="1506"/>
      <c r="EK291" s="1506"/>
      <c r="EL291" s="1506"/>
      <c r="EM291" s="1506"/>
      <c r="EN291" s="1506"/>
      <c r="EO291" s="1506"/>
      <c r="EP291" s="1506"/>
      <c r="EQ291" s="1506"/>
      <c r="ER291" s="1506"/>
      <c r="ES291" s="1506"/>
      <c r="ET291" s="1506"/>
      <c r="EU291" s="1506"/>
      <c r="EV291" s="1506"/>
      <c r="EW291" s="1506"/>
      <c r="EX291" s="1506"/>
      <c r="EY291" s="1506"/>
      <c r="EZ291" s="1506"/>
      <c r="FA291" s="1506"/>
      <c r="FB291" s="1506"/>
      <c r="FC291" s="1506"/>
      <c r="FD291" s="1506"/>
      <c r="FE291" s="1506"/>
      <c r="FF291" s="1506"/>
      <c r="FG291" s="1506"/>
      <c r="FH291" s="1506"/>
      <c r="FI291" s="1506"/>
      <c r="FJ291" s="1506"/>
      <c r="FK291" s="1506"/>
      <c r="FL291" s="1506"/>
      <c r="FM291" s="1506"/>
      <c r="FN291" s="1506"/>
      <c r="FO291" s="1506"/>
      <c r="FP291" s="1506"/>
      <c r="FQ291" s="1506"/>
      <c r="FR291" s="1506"/>
      <c r="FS291" s="1506"/>
      <c r="FT291" s="1506"/>
      <c r="FU291" s="1506"/>
      <c r="FV291" s="1506"/>
      <c r="FW291" s="1506"/>
      <c r="FX291" s="1506"/>
      <c r="FY291" s="1506"/>
      <c r="FZ291" s="1506"/>
      <c r="GA291" s="1506"/>
      <c r="GB291" s="1506"/>
      <c r="GC291" s="1506"/>
    </row>
    <row r="292" spans="1:185" s="93" customFormat="1" ht="12.95" customHeight="1">
      <c r="A292" s="43" t="s">
        <v>17</v>
      </c>
      <c r="B292" s="43"/>
      <c r="C292" s="1506"/>
      <c r="D292" s="1506"/>
      <c r="E292" s="1004"/>
      <c r="F292" s="1506"/>
      <c r="G292" s="1004"/>
      <c r="H292" s="1506"/>
      <c r="I292" s="1004" t="s">
        <v>1330</v>
      </c>
      <c r="J292" s="1506"/>
      <c r="K292" s="1506"/>
      <c r="L292" s="1506"/>
      <c r="M292" s="1506"/>
      <c r="N292" s="1506"/>
      <c r="O292" s="1506"/>
      <c r="P292" s="1506"/>
      <c r="Q292" s="1506"/>
      <c r="R292" s="1506"/>
      <c r="S292" s="1506"/>
      <c r="T292" s="1506"/>
      <c r="U292" s="1506"/>
      <c r="V292" s="1506"/>
      <c r="W292" s="1506"/>
      <c r="X292" s="1506"/>
      <c r="Y292" s="1506"/>
      <c r="Z292" s="1506"/>
      <c r="AA292" s="1506"/>
      <c r="AB292" s="1506"/>
      <c r="AC292" s="1506"/>
      <c r="AD292" s="1506"/>
      <c r="AE292" s="1506"/>
      <c r="AF292" s="1506"/>
      <c r="AG292" s="1506"/>
      <c r="AH292" s="1506"/>
      <c r="AI292" s="1506"/>
      <c r="AJ292" s="1506"/>
      <c r="AK292" s="1506"/>
      <c r="AL292" s="1506"/>
      <c r="AM292" s="1506"/>
      <c r="AN292" s="1506"/>
      <c r="AO292" s="1506"/>
      <c r="AP292" s="1506"/>
      <c r="AQ292" s="1506"/>
      <c r="AR292" s="1506"/>
      <c r="AS292" s="1506"/>
      <c r="AT292" s="1506"/>
      <c r="AU292" s="1506"/>
      <c r="AV292" s="1506"/>
      <c r="AW292" s="1506"/>
      <c r="AX292" s="1506"/>
      <c r="AY292" s="1506"/>
      <c r="AZ292" s="1506"/>
      <c r="BA292" s="1506"/>
      <c r="BB292" s="1506"/>
      <c r="BC292" s="1506"/>
      <c r="BD292" s="1506"/>
      <c r="BE292" s="1506"/>
      <c r="BF292" s="1506"/>
      <c r="BG292" s="1506"/>
      <c r="BH292" s="1506"/>
      <c r="BI292" s="1506"/>
      <c r="BJ292" s="1506"/>
      <c r="BK292" s="1506"/>
      <c r="BL292" s="1506"/>
      <c r="BM292" s="1506"/>
      <c r="BN292" s="1506"/>
      <c r="BO292" s="1506"/>
      <c r="BP292" s="1506"/>
      <c r="BQ292" s="1506"/>
      <c r="BR292" s="1506"/>
      <c r="BS292" s="1506"/>
      <c r="BT292" s="1506"/>
      <c r="BU292" s="1506"/>
      <c r="BV292" s="1506"/>
      <c r="BW292" s="1506"/>
      <c r="BX292" s="1506"/>
      <c r="BY292" s="1506"/>
      <c r="BZ292" s="1506"/>
      <c r="CA292" s="1506"/>
      <c r="CB292" s="1506"/>
      <c r="CC292" s="1506"/>
      <c r="CD292" s="1506"/>
      <c r="CE292" s="1506"/>
      <c r="CF292" s="1506"/>
      <c r="CG292" s="1506"/>
      <c r="CH292" s="1506"/>
      <c r="CI292" s="1506"/>
      <c r="CJ292" s="1506"/>
      <c r="CK292" s="1506"/>
      <c r="CL292" s="1506"/>
      <c r="CM292" s="1506"/>
      <c r="CN292" s="1506"/>
      <c r="CO292" s="1506"/>
      <c r="CP292" s="1506"/>
      <c r="CQ292" s="1506"/>
      <c r="CR292" s="1506"/>
      <c r="CS292" s="1506"/>
      <c r="CT292" s="1506"/>
      <c r="CU292" s="1506"/>
      <c r="CV292" s="1506"/>
      <c r="CW292" s="1506"/>
      <c r="CX292" s="1506"/>
      <c r="CY292" s="1506"/>
      <c r="CZ292" s="1506"/>
      <c r="DA292" s="1506"/>
      <c r="DB292" s="1506"/>
      <c r="DC292" s="1506"/>
      <c r="DD292" s="1506"/>
      <c r="DE292" s="1506"/>
      <c r="DF292" s="1506"/>
      <c r="DG292" s="1506"/>
      <c r="DH292" s="1506"/>
      <c r="DI292" s="1506"/>
      <c r="DJ292" s="1506"/>
      <c r="DK292" s="1506"/>
      <c r="DL292" s="1506"/>
      <c r="DM292" s="1506"/>
      <c r="DN292" s="1506"/>
      <c r="DO292" s="1506"/>
      <c r="DP292" s="1506"/>
      <c r="DQ292" s="1506"/>
      <c r="DR292" s="1506"/>
      <c r="DS292" s="1506"/>
      <c r="DT292" s="1506"/>
      <c r="DU292" s="1506"/>
      <c r="DV292" s="1506"/>
      <c r="DW292" s="1506"/>
      <c r="DX292" s="1506"/>
      <c r="DY292" s="1506"/>
      <c r="DZ292" s="1506"/>
      <c r="EA292" s="1506"/>
      <c r="EB292" s="1506"/>
      <c r="EC292" s="1506"/>
      <c r="ED292" s="1506"/>
      <c r="EE292" s="1506"/>
      <c r="EF292" s="1506"/>
      <c r="EG292" s="1506"/>
      <c r="EH292" s="1506"/>
      <c r="EI292" s="1506"/>
      <c r="EJ292" s="1506"/>
      <c r="EK292" s="1506"/>
      <c r="EL292" s="1506"/>
      <c r="EM292" s="1506"/>
      <c r="EN292" s="1506"/>
      <c r="EO292" s="1506"/>
      <c r="EP292" s="1506"/>
      <c r="EQ292" s="1506"/>
      <c r="ER292" s="1506"/>
      <c r="ES292" s="1506"/>
      <c r="ET292" s="1506"/>
      <c r="EU292" s="1506"/>
      <c r="EV292" s="1506"/>
      <c r="EW292" s="1506"/>
      <c r="EX292" s="1506"/>
      <c r="EY292" s="1506"/>
      <c r="EZ292" s="1506"/>
      <c r="FA292" s="1506"/>
      <c r="FB292" s="1506"/>
      <c r="FC292" s="1506"/>
      <c r="FD292" s="1506"/>
      <c r="FE292" s="1506"/>
      <c r="FF292" s="1506"/>
      <c r="FG292" s="1506"/>
      <c r="FH292" s="1506"/>
      <c r="FI292" s="1506"/>
      <c r="FJ292" s="1506"/>
      <c r="FK292" s="1506"/>
      <c r="FL292" s="1506"/>
      <c r="FM292" s="1506"/>
      <c r="FN292" s="1506"/>
      <c r="FO292" s="1506"/>
      <c r="FP292" s="1506"/>
      <c r="FQ292" s="1506"/>
      <c r="FR292" s="1506"/>
      <c r="FS292" s="1506"/>
      <c r="FT292" s="1506"/>
      <c r="FU292" s="1506"/>
      <c r="FV292" s="1506"/>
      <c r="FW292" s="1506"/>
      <c r="FX292" s="1506"/>
      <c r="FY292" s="1506"/>
      <c r="FZ292" s="1506"/>
      <c r="GA292" s="1506"/>
      <c r="GB292" s="1506"/>
      <c r="GC292" s="1506"/>
    </row>
    <row r="293" spans="1:185" s="93" customFormat="1" ht="12.95" customHeight="1">
      <c r="A293" s="43" t="s">
        <v>17</v>
      </c>
      <c r="B293" s="43"/>
      <c r="C293" s="1506"/>
      <c r="D293" s="1506"/>
      <c r="E293" s="1004"/>
      <c r="F293" s="1506"/>
      <c r="G293" s="1004"/>
      <c r="H293" s="1506"/>
      <c r="I293" s="1004" t="s">
        <v>1331</v>
      </c>
      <c r="J293" s="1506"/>
      <c r="K293" s="1506"/>
      <c r="L293" s="1506"/>
      <c r="M293" s="1506"/>
      <c r="N293" s="1506"/>
      <c r="O293" s="1506"/>
      <c r="P293" s="1506"/>
      <c r="Q293" s="1506"/>
      <c r="R293" s="1506"/>
      <c r="S293" s="1506"/>
      <c r="T293" s="1506"/>
      <c r="U293" s="1506"/>
      <c r="V293" s="1506"/>
      <c r="W293" s="1506"/>
      <c r="X293" s="1506"/>
      <c r="Y293" s="1506"/>
      <c r="Z293" s="1506"/>
      <c r="AA293" s="1506"/>
      <c r="AB293" s="1506"/>
      <c r="AC293" s="1506"/>
      <c r="AD293" s="1506"/>
      <c r="AE293" s="1506"/>
      <c r="AF293" s="1506"/>
      <c r="AG293" s="1506"/>
      <c r="AH293" s="1506"/>
      <c r="AI293" s="1506"/>
      <c r="AJ293" s="1506"/>
      <c r="AK293" s="1506"/>
      <c r="AL293" s="1506"/>
      <c r="AM293" s="1506"/>
      <c r="AN293" s="1506"/>
      <c r="AO293" s="1506"/>
      <c r="AP293" s="1506"/>
      <c r="AQ293" s="1506"/>
      <c r="AR293" s="1506"/>
      <c r="AS293" s="1506"/>
      <c r="AT293" s="1506"/>
      <c r="AU293" s="1506"/>
      <c r="AV293" s="1506"/>
      <c r="AW293" s="1506"/>
      <c r="AX293" s="1506"/>
      <c r="AY293" s="1506"/>
      <c r="AZ293" s="1506"/>
      <c r="BA293" s="1506"/>
      <c r="BB293" s="1506"/>
      <c r="BC293" s="1506"/>
      <c r="BD293" s="1506"/>
      <c r="BE293" s="1506"/>
      <c r="BF293" s="1506"/>
      <c r="BG293" s="1506"/>
      <c r="BH293" s="1506"/>
      <c r="BI293" s="1506"/>
      <c r="BJ293" s="1506"/>
      <c r="BK293" s="1506"/>
      <c r="BL293" s="1506"/>
      <c r="BM293" s="1506"/>
      <c r="BN293" s="1506"/>
      <c r="BO293" s="1506"/>
      <c r="BP293" s="1506"/>
      <c r="BQ293" s="1506"/>
      <c r="BR293" s="1506"/>
      <c r="BS293" s="1506"/>
      <c r="BT293" s="1506"/>
      <c r="BU293" s="1506"/>
      <c r="BV293" s="1506"/>
      <c r="BW293" s="1506"/>
      <c r="BX293" s="1506"/>
      <c r="BY293" s="1506"/>
      <c r="BZ293" s="1506"/>
      <c r="CA293" s="1506"/>
      <c r="CB293" s="1506"/>
      <c r="CC293" s="1506"/>
      <c r="CD293" s="1506"/>
      <c r="CE293" s="1506"/>
      <c r="CF293" s="1506"/>
      <c r="CG293" s="1506"/>
      <c r="CH293" s="1506"/>
      <c r="CI293" s="1506"/>
      <c r="CJ293" s="1506"/>
      <c r="CK293" s="1506"/>
      <c r="CL293" s="1506"/>
      <c r="CM293" s="1506"/>
      <c r="CN293" s="1506"/>
      <c r="CO293" s="1506"/>
      <c r="CP293" s="1506"/>
      <c r="CQ293" s="1506"/>
      <c r="CR293" s="1506"/>
      <c r="CS293" s="1506"/>
      <c r="CT293" s="1506"/>
      <c r="CU293" s="1506"/>
      <c r="CV293" s="1506"/>
      <c r="CW293" s="1506"/>
      <c r="CX293" s="1506"/>
      <c r="CY293" s="1506"/>
      <c r="CZ293" s="1506"/>
      <c r="DA293" s="1506"/>
      <c r="DB293" s="1506"/>
      <c r="DC293" s="1506"/>
      <c r="DD293" s="1506"/>
      <c r="DE293" s="1506"/>
      <c r="DF293" s="1506"/>
      <c r="DG293" s="1506"/>
      <c r="DH293" s="1506"/>
      <c r="DI293" s="1506"/>
      <c r="DJ293" s="1506"/>
      <c r="DK293" s="1506"/>
      <c r="DL293" s="1506"/>
      <c r="DM293" s="1506"/>
      <c r="DN293" s="1506"/>
      <c r="DO293" s="1506"/>
      <c r="DP293" s="1506"/>
      <c r="DQ293" s="1506"/>
      <c r="DR293" s="1506"/>
      <c r="DS293" s="1506"/>
      <c r="DT293" s="1506"/>
      <c r="DU293" s="1506"/>
      <c r="DV293" s="1506"/>
      <c r="DW293" s="1506"/>
      <c r="DX293" s="1506"/>
      <c r="DY293" s="1506"/>
      <c r="DZ293" s="1506"/>
      <c r="EA293" s="1506"/>
      <c r="EB293" s="1506"/>
      <c r="EC293" s="1506"/>
      <c r="ED293" s="1506"/>
      <c r="EE293" s="1506"/>
      <c r="EF293" s="1506"/>
      <c r="EG293" s="1506"/>
      <c r="EH293" s="1506"/>
      <c r="EI293" s="1506"/>
      <c r="EJ293" s="1506"/>
      <c r="EK293" s="1506"/>
      <c r="EL293" s="1506"/>
      <c r="EM293" s="1506"/>
      <c r="EN293" s="1506"/>
      <c r="EO293" s="1506"/>
      <c r="EP293" s="1506"/>
      <c r="EQ293" s="1506"/>
      <c r="ER293" s="1506"/>
      <c r="ES293" s="1506"/>
      <c r="ET293" s="1506"/>
      <c r="EU293" s="1506"/>
      <c r="EV293" s="1506"/>
      <c r="EW293" s="1506"/>
      <c r="EX293" s="1506"/>
      <c r="EY293" s="1506"/>
      <c r="EZ293" s="1506"/>
      <c r="FA293" s="1506"/>
      <c r="FB293" s="1506"/>
      <c r="FC293" s="1506"/>
      <c r="FD293" s="1506"/>
      <c r="FE293" s="1506"/>
      <c r="FF293" s="1506"/>
      <c r="FG293" s="1506"/>
      <c r="FH293" s="1506"/>
      <c r="FI293" s="1506"/>
      <c r="FJ293" s="1506"/>
      <c r="FK293" s="1506"/>
      <c r="FL293" s="1506"/>
      <c r="FM293" s="1506"/>
      <c r="FN293" s="1506"/>
      <c r="FO293" s="1506"/>
      <c r="FP293" s="1506"/>
      <c r="FQ293" s="1506"/>
      <c r="FR293" s="1506"/>
      <c r="FS293" s="1506"/>
      <c r="FT293" s="1506"/>
      <c r="FU293" s="1506"/>
      <c r="FV293" s="1506"/>
      <c r="FW293" s="1506"/>
      <c r="FX293" s="1506"/>
      <c r="FY293" s="1506"/>
      <c r="FZ293" s="1506"/>
      <c r="GA293" s="1506"/>
      <c r="GB293" s="1506"/>
      <c r="GC293" s="1506"/>
    </row>
    <row r="294" spans="1:185" s="93" customFormat="1" ht="12.95" customHeight="1">
      <c r="A294" s="43" t="s">
        <v>17</v>
      </c>
      <c r="B294" s="43"/>
      <c r="C294" s="1506"/>
      <c r="D294" s="1506"/>
      <c r="E294" s="1004"/>
      <c r="F294" s="1506"/>
      <c r="G294" s="1004"/>
      <c r="H294" s="1506"/>
      <c r="I294" s="1004" t="s">
        <v>1332</v>
      </c>
      <c r="J294" s="1506"/>
      <c r="K294" s="1506"/>
      <c r="L294" s="1506"/>
      <c r="M294" s="1506"/>
      <c r="N294" s="1506"/>
      <c r="O294" s="1506"/>
      <c r="P294" s="1506"/>
      <c r="Q294" s="1506"/>
      <c r="R294" s="1506"/>
      <c r="S294" s="1506"/>
      <c r="T294" s="1506"/>
      <c r="U294" s="1506"/>
      <c r="V294" s="1506"/>
      <c r="W294" s="1506"/>
      <c r="X294" s="1506"/>
      <c r="Y294" s="1506"/>
      <c r="Z294" s="1506"/>
      <c r="AA294" s="1506"/>
      <c r="AB294" s="1506"/>
      <c r="AC294" s="1506"/>
      <c r="AD294" s="1506"/>
      <c r="AE294" s="1506"/>
      <c r="AF294" s="1506"/>
      <c r="AG294" s="1506"/>
      <c r="AH294" s="1506"/>
      <c r="AI294" s="1506"/>
      <c r="AJ294" s="1506"/>
      <c r="AK294" s="1506"/>
      <c r="AL294" s="1506"/>
      <c r="AM294" s="1506"/>
      <c r="AN294" s="1506"/>
      <c r="AO294" s="1506"/>
      <c r="AP294" s="1506"/>
      <c r="AQ294" s="1506"/>
      <c r="AR294" s="1506"/>
      <c r="AS294" s="1506"/>
      <c r="AT294" s="1506"/>
      <c r="AU294" s="1506"/>
      <c r="AV294" s="1506"/>
      <c r="AW294" s="1506"/>
      <c r="AX294" s="1506"/>
      <c r="AY294" s="1506"/>
      <c r="AZ294" s="1506"/>
      <c r="BA294" s="1506"/>
      <c r="BB294" s="1506"/>
      <c r="BC294" s="1506"/>
      <c r="BD294" s="1506"/>
      <c r="BE294" s="1506"/>
      <c r="BF294" s="1506"/>
      <c r="BG294" s="1506"/>
      <c r="BH294" s="1506"/>
      <c r="BI294" s="1506"/>
      <c r="BJ294" s="1506"/>
      <c r="BK294" s="1506"/>
      <c r="BL294" s="1506"/>
      <c r="BM294" s="1506"/>
      <c r="BN294" s="1506"/>
      <c r="BO294" s="1506"/>
      <c r="BP294" s="1506"/>
      <c r="BQ294" s="1506"/>
      <c r="BR294" s="1506"/>
      <c r="BS294" s="1506"/>
      <c r="BT294" s="1506"/>
      <c r="BU294" s="1506"/>
      <c r="BV294" s="1506"/>
      <c r="BW294" s="1506"/>
      <c r="BX294" s="1506"/>
      <c r="BY294" s="1506"/>
      <c r="BZ294" s="1506"/>
      <c r="CA294" s="1506"/>
      <c r="CB294" s="1506"/>
      <c r="CC294" s="1506"/>
      <c r="CD294" s="1506"/>
      <c r="CE294" s="1506"/>
      <c r="CF294" s="1506"/>
      <c r="CG294" s="1506"/>
      <c r="CH294" s="1506"/>
      <c r="CI294" s="1506"/>
      <c r="CJ294" s="1506"/>
      <c r="CK294" s="1506"/>
      <c r="CL294" s="1506"/>
      <c r="CM294" s="1506"/>
      <c r="CN294" s="1506"/>
      <c r="CO294" s="1506"/>
      <c r="CP294" s="1506"/>
      <c r="CQ294" s="1506"/>
      <c r="CR294" s="1506"/>
      <c r="CS294" s="1506"/>
      <c r="CT294" s="1506"/>
      <c r="CU294" s="1506"/>
      <c r="CV294" s="1506"/>
      <c r="CW294" s="1506"/>
      <c r="CX294" s="1506"/>
      <c r="CY294" s="1506"/>
      <c r="CZ294" s="1506"/>
      <c r="DA294" s="1506"/>
      <c r="DB294" s="1506"/>
      <c r="DC294" s="1506"/>
      <c r="DD294" s="1506"/>
      <c r="DE294" s="1506"/>
      <c r="DF294" s="1506"/>
      <c r="DG294" s="1506"/>
      <c r="DH294" s="1506"/>
      <c r="DI294" s="1506"/>
      <c r="DJ294" s="1506"/>
      <c r="DK294" s="1506"/>
      <c r="DL294" s="1506"/>
      <c r="DM294" s="1506"/>
      <c r="DN294" s="1506"/>
      <c r="DO294" s="1506"/>
      <c r="DP294" s="1506"/>
      <c r="DQ294" s="1506"/>
      <c r="DR294" s="1506"/>
      <c r="DS294" s="1506"/>
      <c r="DT294" s="1506"/>
      <c r="DU294" s="1506"/>
      <c r="DV294" s="1506"/>
      <c r="DW294" s="1506"/>
      <c r="DX294" s="1506"/>
      <c r="DY294" s="1506"/>
      <c r="DZ294" s="1506"/>
      <c r="EA294" s="1506"/>
      <c r="EB294" s="1506"/>
      <c r="EC294" s="1506"/>
      <c r="ED294" s="1506"/>
      <c r="EE294" s="1506"/>
      <c r="EF294" s="1506"/>
      <c r="EG294" s="1506"/>
      <c r="EH294" s="1506"/>
      <c r="EI294" s="1506"/>
      <c r="EJ294" s="1506"/>
      <c r="EK294" s="1506"/>
      <c r="EL294" s="1506"/>
      <c r="EM294" s="1506"/>
      <c r="EN294" s="1506"/>
      <c r="EO294" s="1506"/>
      <c r="EP294" s="1506"/>
      <c r="EQ294" s="1506"/>
      <c r="ER294" s="1506"/>
      <c r="ES294" s="1506"/>
      <c r="ET294" s="1506"/>
      <c r="EU294" s="1506"/>
      <c r="EV294" s="1506"/>
      <c r="EW294" s="1506"/>
      <c r="EX294" s="1506"/>
      <c r="EY294" s="1506"/>
      <c r="EZ294" s="1506"/>
      <c r="FA294" s="1506"/>
      <c r="FB294" s="1506"/>
      <c r="FC294" s="1506"/>
      <c r="FD294" s="1506"/>
      <c r="FE294" s="1506"/>
      <c r="FF294" s="1506"/>
      <c r="FG294" s="1506"/>
      <c r="FH294" s="1506"/>
      <c r="FI294" s="1506"/>
      <c r="FJ294" s="1506"/>
      <c r="FK294" s="1506"/>
      <c r="FL294" s="1506"/>
      <c r="FM294" s="1506"/>
      <c r="FN294" s="1506"/>
      <c r="FO294" s="1506"/>
      <c r="FP294" s="1506"/>
      <c r="FQ294" s="1506"/>
      <c r="FR294" s="1506"/>
      <c r="FS294" s="1506"/>
      <c r="FT294" s="1506"/>
      <c r="FU294" s="1506"/>
      <c r="FV294" s="1506"/>
      <c r="FW294" s="1506"/>
      <c r="FX294" s="1506"/>
      <c r="FY294" s="1506"/>
      <c r="FZ294" s="1506"/>
      <c r="GA294" s="1506"/>
      <c r="GB294" s="1506"/>
      <c r="GC294" s="1506"/>
    </row>
    <row r="295" spans="1:185" s="93" customFormat="1" ht="12.95" customHeight="1">
      <c r="A295" s="43" t="s">
        <v>17</v>
      </c>
      <c r="B295" s="43"/>
      <c r="C295" s="1506"/>
      <c r="D295" s="1506"/>
      <c r="E295" s="1004"/>
      <c r="F295" s="1506"/>
      <c r="G295" s="1004"/>
      <c r="H295" s="1506"/>
      <c r="I295" s="1004" t="s">
        <v>1333</v>
      </c>
      <c r="J295" s="1506"/>
      <c r="K295" s="1506"/>
      <c r="L295" s="1506"/>
      <c r="M295" s="1506"/>
      <c r="N295" s="1506"/>
      <c r="O295" s="1506"/>
      <c r="P295" s="1506"/>
      <c r="Q295" s="1506"/>
      <c r="R295" s="1506"/>
      <c r="S295" s="1506"/>
      <c r="T295" s="1506"/>
      <c r="U295" s="1506"/>
      <c r="V295" s="1506"/>
      <c r="W295" s="1506"/>
      <c r="X295" s="1506"/>
      <c r="Y295" s="1506"/>
      <c r="Z295" s="1506"/>
      <c r="AA295" s="1506"/>
      <c r="AB295" s="1506"/>
      <c r="AC295" s="1506"/>
      <c r="AD295" s="1506"/>
      <c r="AE295" s="1506"/>
      <c r="AF295" s="1506"/>
      <c r="AG295" s="1506"/>
      <c r="AH295" s="1506"/>
      <c r="AI295" s="1506"/>
      <c r="AJ295" s="1506"/>
      <c r="AK295" s="1506"/>
      <c r="AL295" s="1506"/>
      <c r="AM295" s="1506"/>
      <c r="AN295" s="1506"/>
      <c r="AO295" s="1506"/>
      <c r="AP295" s="1506"/>
      <c r="AQ295" s="1506"/>
      <c r="AR295" s="1506"/>
      <c r="AS295" s="1506"/>
      <c r="AT295" s="1506"/>
      <c r="AU295" s="1506"/>
      <c r="AV295" s="1506"/>
      <c r="AW295" s="1506"/>
      <c r="AX295" s="1506"/>
      <c r="AY295" s="1506"/>
      <c r="AZ295" s="1506"/>
      <c r="BA295" s="1506"/>
      <c r="BB295" s="1506"/>
      <c r="BC295" s="1506"/>
      <c r="BD295" s="1506"/>
      <c r="BE295" s="1506"/>
      <c r="BF295" s="1506"/>
      <c r="BG295" s="1506"/>
      <c r="BH295" s="1506"/>
      <c r="BI295" s="1506"/>
      <c r="BJ295" s="1506"/>
      <c r="BK295" s="1506"/>
      <c r="BL295" s="1506"/>
      <c r="BM295" s="1506"/>
      <c r="BN295" s="1506"/>
      <c r="BO295" s="1506"/>
      <c r="BP295" s="1506"/>
      <c r="BQ295" s="1506"/>
      <c r="BR295" s="1506"/>
      <c r="BS295" s="1506"/>
      <c r="BT295" s="1506"/>
      <c r="BU295" s="1506"/>
      <c r="BV295" s="1506"/>
      <c r="BW295" s="1506"/>
      <c r="BX295" s="1506"/>
      <c r="BY295" s="1506"/>
      <c r="BZ295" s="1506"/>
      <c r="CA295" s="1506"/>
      <c r="CB295" s="1506"/>
      <c r="CC295" s="1506"/>
      <c r="CD295" s="1506"/>
      <c r="CE295" s="1506"/>
      <c r="CF295" s="1506"/>
      <c r="CG295" s="1506"/>
      <c r="CH295" s="1506"/>
      <c r="CI295" s="1506"/>
      <c r="CJ295" s="1506"/>
      <c r="CK295" s="1506"/>
      <c r="CL295" s="1506"/>
      <c r="CM295" s="1506"/>
      <c r="CN295" s="1506"/>
      <c r="CO295" s="1506"/>
      <c r="CP295" s="1506"/>
      <c r="CQ295" s="1506"/>
      <c r="CR295" s="1506"/>
      <c r="CS295" s="1506"/>
      <c r="CT295" s="1506"/>
      <c r="CU295" s="1506"/>
      <c r="CV295" s="1506"/>
      <c r="CW295" s="1506"/>
      <c r="CX295" s="1506"/>
      <c r="CY295" s="1506"/>
      <c r="CZ295" s="1506"/>
      <c r="DA295" s="1506"/>
      <c r="DB295" s="1506"/>
      <c r="DC295" s="1506"/>
      <c r="DD295" s="1506"/>
      <c r="DE295" s="1506"/>
      <c r="DF295" s="1506"/>
      <c r="DG295" s="1506"/>
      <c r="DH295" s="1506"/>
      <c r="DI295" s="1506"/>
      <c r="DJ295" s="1506"/>
      <c r="DK295" s="1506"/>
      <c r="DL295" s="1506"/>
      <c r="DM295" s="1506"/>
      <c r="DN295" s="1506"/>
      <c r="DO295" s="1506"/>
      <c r="DP295" s="1506"/>
      <c r="DQ295" s="1506"/>
      <c r="DR295" s="1506"/>
      <c r="DS295" s="1506"/>
      <c r="DT295" s="1506"/>
      <c r="DU295" s="1506"/>
      <c r="DV295" s="1506"/>
      <c r="DW295" s="1506"/>
      <c r="DX295" s="1506"/>
      <c r="DY295" s="1506"/>
      <c r="DZ295" s="1506"/>
      <c r="EA295" s="1506"/>
      <c r="EB295" s="1506"/>
      <c r="EC295" s="1506"/>
      <c r="ED295" s="1506"/>
      <c r="EE295" s="1506"/>
      <c r="EF295" s="1506"/>
      <c r="EG295" s="1506"/>
      <c r="EH295" s="1506"/>
      <c r="EI295" s="1506"/>
      <c r="EJ295" s="1506"/>
      <c r="EK295" s="1506"/>
      <c r="EL295" s="1506"/>
      <c r="EM295" s="1506"/>
      <c r="EN295" s="1506"/>
      <c r="EO295" s="1506"/>
      <c r="EP295" s="1506"/>
      <c r="EQ295" s="1506"/>
      <c r="ER295" s="1506"/>
      <c r="ES295" s="1506"/>
      <c r="ET295" s="1506"/>
      <c r="EU295" s="1506"/>
      <c r="EV295" s="1506"/>
      <c r="EW295" s="1506"/>
      <c r="EX295" s="1506"/>
      <c r="EY295" s="1506"/>
      <c r="EZ295" s="1506"/>
      <c r="FA295" s="1506"/>
      <c r="FB295" s="1506"/>
      <c r="FC295" s="1506"/>
      <c r="FD295" s="1506"/>
      <c r="FE295" s="1506"/>
      <c r="FF295" s="1506"/>
      <c r="FG295" s="1506"/>
      <c r="FH295" s="1506"/>
      <c r="FI295" s="1506"/>
      <c r="FJ295" s="1506"/>
      <c r="FK295" s="1506"/>
      <c r="FL295" s="1506"/>
      <c r="FM295" s="1506"/>
      <c r="FN295" s="1506"/>
      <c r="FO295" s="1506"/>
      <c r="FP295" s="1506"/>
      <c r="FQ295" s="1506"/>
      <c r="FR295" s="1506"/>
      <c r="FS295" s="1506"/>
      <c r="FT295" s="1506"/>
      <c r="FU295" s="1506"/>
      <c r="FV295" s="1506"/>
      <c r="FW295" s="1506"/>
      <c r="FX295" s="1506"/>
      <c r="FY295" s="1506"/>
      <c r="FZ295" s="1506"/>
      <c r="GA295" s="1506"/>
      <c r="GB295" s="1506"/>
      <c r="GC295" s="1506"/>
    </row>
    <row r="296" spans="1:185" s="93" customFormat="1" ht="12.95" customHeight="1">
      <c r="A296" s="43" t="s">
        <v>17</v>
      </c>
      <c r="B296" s="43"/>
      <c r="C296" s="1506"/>
      <c r="D296" s="1506"/>
      <c r="E296" s="1004"/>
      <c r="F296" s="1506"/>
      <c r="G296" s="1004"/>
      <c r="H296" s="1506"/>
      <c r="I296" s="1004" t="s">
        <v>1334</v>
      </c>
      <c r="J296" s="1506"/>
      <c r="K296" s="1506"/>
      <c r="L296" s="1506"/>
      <c r="M296" s="1506"/>
      <c r="N296" s="1506"/>
      <c r="O296" s="1506"/>
      <c r="P296" s="1506"/>
      <c r="Q296" s="1506"/>
      <c r="R296" s="1506"/>
      <c r="S296" s="1506"/>
      <c r="T296" s="1506"/>
      <c r="U296" s="1506"/>
      <c r="V296" s="1506"/>
      <c r="W296" s="1506"/>
      <c r="X296" s="1506"/>
      <c r="Y296" s="1506"/>
      <c r="Z296" s="1506"/>
      <c r="AA296" s="1506"/>
      <c r="AB296" s="1506"/>
      <c r="AC296" s="1506"/>
      <c r="AD296" s="1506"/>
      <c r="AE296" s="1506"/>
      <c r="AF296" s="1506"/>
      <c r="AG296" s="1506"/>
      <c r="AH296" s="1506"/>
      <c r="AI296" s="1506"/>
      <c r="AJ296" s="1506"/>
      <c r="AK296" s="1506"/>
      <c r="AL296" s="1506"/>
      <c r="AM296" s="1506"/>
      <c r="AN296" s="1506"/>
      <c r="AO296" s="1506"/>
      <c r="AP296" s="1506"/>
      <c r="AQ296" s="1506"/>
      <c r="AR296" s="1506"/>
      <c r="AS296" s="1506"/>
      <c r="AT296" s="1506"/>
      <c r="AU296" s="1506"/>
      <c r="AV296" s="1506"/>
      <c r="AW296" s="1506"/>
      <c r="AX296" s="1506"/>
      <c r="AY296" s="1506"/>
      <c r="AZ296" s="1506"/>
      <c r="BA296" s="1506"/>
      <c r="BB296" s="1506"/>
      <c r="BC296" s="1506"/>
      <c r="BD296" s="1506"/>
      <c r="BE296" s="1506"/>
      <c r="BF296" s="1506"/>
      <c r="BG296" s="1506"/>
      <c r="BH296" s="1506"/>
      <c r="BI296" s="1506"/>
      <c r="BJ296" s="1506"/>
      <c r="BK296" s="1506"/>
      <c r="BL296" s="1506"/>
      <c r="BM296" s="1506"/>
      <c r="BN296" s="1506"/>
      <c r="BO296" s="1506"/>
      <c r="BP296" s="1506"/>
      <c r="BQ296" s="1506"/>
      <c r="BR296" s="1506"/>
      <c r="BS296" s="1506"/>
      <c r="BT296" s="1506"/>
      <c r="BU296" s="1506"/>
      <c r="BV296" s="1506"/>
      <c r="BW296" s="1506"/>
      <c r="BX296" s="1506"/>
      <c r="BY296" s="1506"/>
      <c r="BZ296" s="1506"/>
      <c r="CA296" s="1506"/>
      <c r="CB296" s="1506"/>
      <c r="CC296" s="1506"/>
      <c r="CD296" s="1506"/>
      <c r="CE296" s="1506"/>
      <c r="CF296" s="1506"/>
      <c r="CG296" s="1506"/>
      <c r="CH296" s="1506"/>
      <c r="CI296" s="1506"/>
      <c r="CJ296" s="1506"/>
      <c r="CK296" s="1506"/>
      <c r="CL296" s="1506"/>
      <c r="CM296" s="1506"/>
      <c r="CN296" s="1506"/>
      <c r="CO296" s="1506"/>
      <c r="CP296" s="1506"/>
      <c r="CQ296" s="1506"/>
      <c r="CR296" s="1506"/>
      <c r="CS296" s="1506"/>
      <c r="CT296" s="1506"/>
      <c r="CU296" s="1506"/>
      <c r="CV296" s="1506"/>
      <c r="CW296" s="1506"/>
      <c r="CX296" s="1506"/>
      <c r="CY296" s="1506"/>
      <c r="CZ296" s="1506"/>
      <c r="DA296" s="1506"/>
      <c r="DB296" s="1506"/>
      <c r="DC296" s="1506"/>
      <c r="DD296" s="1506"/>
      <c r="DE296" s="1506"/>
      <c r="DF296" s="1506"/>
      <c r="DG296" s="1506"/>
      <c r="DH296" s="1506"/>
      <c r="DI296" s="1506"/>
      <c r="DJ296" s="1506"/>
      <c r="DK296" s="1506"/>
      <c r="DL296" s="1506"/>
      <c r="DM296" s="1506"/>
      <c r="DN296" s="1506"/>
      <c r="DO296" s="1506"/>
      <c r="DP296" s="1506"/>
      <c r="DQ296" s="1506"/>
      <c r="DR296" s="1506"/>
      <c r="DS296" s="1506"/>
      <c r="DT296" s="1506"/>
      <c r="DU296" s="1506"/>
      <c r="DV296" s="1506"/>
      <c r="DW296" s="1506"/>
      <c r="DX296" s="1506"/>
      <c r="DY296" s="1506"/>
      <c r="DZ296" s="1506"/>
      <c r="EA296" s="1506"/>
      <c r="EB296" s="1506"/>
      <c r="EC296" s="1506"/>
      <c r="ED296" s="1506"/>
      <c r="EE296" s="1506"/>
      <c r="EF296" s="1506"/>
      <c r="EG296" s="1506"/>
      <c r="EH296" s="1506"/>
      <c r="EI296" s="1506"/>
      <c r="EJ296" s="1506"/>
      <c r="EK296" s="1506"/>
      <c r="EL296" s="1506"/>
      <c r="EM296" s="1506"/>
      <c r="EN296" s="1506"/>
      <c r="EO296" s="1506"/>
      <c r="EP296" s="1506"/>
      <c r="EQ296" s="1506"/>
      <c r="ER296" s="1506"/>
      <c r="ES296" s="1506"/>
      <c r="ET296" s="1506"/>
      <c r="EU296" s="1506"/>
      <c r="EV296" s="1506"/>
      <c r="EW296" s="1506"/>
      <c r="EX296" s="1506"/>
      <c r="EY296" s="1506"/>
      <c r="EZ296" s="1506"/>
      <c r="FA296" s="1506"/>
      <c r="FB296" s="1506"/>
      <c r="FC296" s="1506"/>
      <c r="FD296" s="1506"/>
      <c r="FE296" s="1506"/>
      <c r="FF296" s="1506"/>
      <c r="FG296" s="1506"/>
      <c r="FH296" s="1506"/>
      <c r="FI296" s="1506"/>
      <c r="FJ296" s="1506"/>
      <c r="FK296" s="1506"/>
      <c r="FL296" s="1506"/>
      <c r="FM296" s="1506"/>
      <c r="FN296" s="1506"/>
      <c r="FO296" s="1506"/>
      <c r="FP296" s="1506"/>
      <c r="FQ296" s="1506"/>
      <c r="FR296" s="1506"/>
      <c r="FS296" s="1506"/>
      <c r="FT296" s="1506"/>
      <c r="FU296" s="1506"/>
      <c r="FV296" s="1506"/>
      <c r="FW296" s="1506"/>
      <c r="FX296" s="1506"/>
      <c r="FY296" s="1506"/>
      <c r="FZ296" s="1506"/>
      <c r="GA296" s="1506"/>
      <c r="GB296" s="1506"/>
      <c r="GC296" s="1506"/>
    </row>
    <row r="297" spans="1:185" s="93" customFormat="1" ht="12.95" customHeight="1">
      <c r="A297" s="43" t="s">
        <v>17</v>
      </c>
      <c r="B297" s="43"/>
      <c r="C297" s="1506"/>
      <c r="D297" s="1506"/>
      <c r="E297" s="1004"/>
      <c r="F297" s="1506"/>
      <c r="G297" s="1004"/>
      <c r="H297" s="1506"/>
      <c r="I297" s="1004" t="s">
        <v>1335</v>
      </c>
      <c r="J297" s="1506"/>
      <c r="K297" s="1506"/>
      <c r="L297" s="1506"/>
      <c r="M297" s="1506"/>
      <c r="N297" s="1506"/>
      <c r="O297" s="1506"/>
      <c r="P297" s="1506"/>
      <c r="Q297" s="1506"/>
      <c r="R297" s="1506"/>
      <c r="S297" s="1506"/>
      <c r="T297" s="1506"/>
      <c r="U297" s="1506"/>
      <c r="V297" s="1506"/>
      <c r="W297" s="1506"/>
      <c r="X297" s="1506"/>
      <c r="Y297" s="1506"/>
      <c r="Z297" s="1506"/>
      <c r="AA297" s="1506"/>
      <c r="AB297" s="1506"/>
      <c r="AC297" s="1506"/>
      <c r="AD297" s="1506"/>
      <c r="AE297" s="1506"/>
      <c r="AF297" s="1506"/>
      <c r="AG297" s="1506"/>
      <c r="AH297" s="1506"/>
      <c r="AI297" s="1506"/>
      <c r="AJ297" s="1506"/>
      <c r="AK297" s="1506"/>
      <c r="AL297" s="1506"/>
      <c r="AM297" s="1506"/>
      <c r="AN297" s="1506"/>
      <c r="AO297" s="1506"/>
      <c r="AP297" s="1506"/>
      <c r="AQ297" s="1506"/>
      <c r="AR297" s="1506"/>
      <c r="AS297" s="1506"/>
      <c r="AT297" s="1506"/>
      <c r="AU297" s="1506"/>
      <c r="AV297" s="1506"/>
      <c r="AW297" s="1506"/>
      <c r="AX297" s="1506"/>
      <c r="AY297" s="1506"/>
      <c r="AZ297" s="1506"/>
      <c r="BA297" s="1506"/>
      <c r="BB297" s="1506"/>
      <c r="BC297" s="1506"/>
      <c r="BD297" s="1506"/>
      <c r="BE297" s="1506"/>
      <c r="BF297" s="1506"/>
      <c r="BG297" s="1506"/>
      <c r="BH297" s="1506"/>
      <c r="BI297" s="1506"/>
      <c r="BJ297" s="1506"/>
      <c r="BK297" s="1506"/>
      <c r="BL297" s="1506"/>
      <c r="BM297" s="1506"/>
      <c r="BN297" s="1506"/>
      <c r="BO297" s="1506"/>
      <c r="BP297" s="1506"/>
      <c r="BQ297" s="1506"/>
      <c r="BR297" s="1506"/>
      <c r="BS297" s="1506"/>
      <c r="BT297" s="1506"/>
      <c r="BU297" s="1506"/>
      <c r="BV297" s="1506"/>
      <c r="BW297" s="1506"/>
      <c r="BX297" s="1506"/>
      <c r="BY297" s="1506"/>
      <c r="BZ297" s="1506"/>
      <c r="CA297" s="1506"/>
      <c r="CB297" s="1506"/>
      <c r="CC297" s="1506"/>
      <c r="CD297" s="1506"/>
      <c r="CE297" s="1506"/>
      <c r="CF297" s="1506"/>
      <c r="CG297" s="1506"/>
      <c r="CH297" s="1506"/>
      <c r="CI297" s="1506"/>
      <c r="CJ297" s="1506"/>
      <c r="CK297" s="1506"/>
      <c r="CL297" s="1506"/>
      <c r="CM297" s="1506"/>
      <c r="CN297" s="1506"/>
      <c r="CO297" s="1506"/>
      <c r="CP297" s="1506"/>
      <c r="CQ297" s="1506"/>
      <c r="CR297" s="1506"/>
      <c r="CS297" s="1506"/>
      <c r="CT297" s="1506"/>
      <c r="CU297" s="1506"/>
      <c r="CV297" s="1506"/>
      <c r="CW297" s="1506"/>
      <c r="CX297" s="1506"/>
      <c r="CY297" s="1506"/>
      <c r="CZ297" s="1506"/>
      <c r="DA297" s="1506"/>
      <c r="DB297" s="1506"/>
      <c r="DC297" s="1506"/>
      <c r="DD297" s="1506"/>
      <c r="DE297" s="1506"/>
      <c r="DF297" s="1506"/>
      <c r="DG297" s="1506"/>
      <c r="DH297" s="1506"/>
      <c r="DI297" s="1506"/>
      <c r="DJ297" s="1506"/>
      <c r="DK297" s="1506"/>
      <c r="DL297" s="1506"/>
      <c r="DM297" s="1506"/>
      <c r="DN297" s="1506"/>
      <c r="DO297" s="1506"/>
      <c r="DP297" s="1506"/>
      <c r="DQ297" s="1506"/>
      <c r="DR297" s="1506"/>
      <c r="DS297" s="1506"/>
      <c r="DT297" s="1506"/>
      <c r="DU297" s="1506"/>
      <c r="DV297" s="1506"/>
      <c r="DW297" s="1506"/>
      <c r="DX297" s="1506"/>
      <c r="DY297" s="1506"/>
      <c r="DZ297" s="1506"/>
      <c r="EA297" s="1506"/>
      <c r="EB297" s="1506"/>
      <c r="EC297" s="1506"/>
      <c r="ED297" s="1506"/>
      <c r="EE297" s="1506"/>
      <c r="EF297" s="1506"/>
      <c r="EG297" s="1506"/>
      <c r="EH297" s="1506"/>
      <c r="EI297" s="1506"/>
      <c r="EJ297" s="1506"/>
      <c r="EK297" s="1506"/>
      <c r="EL297" s="1506"/>
      <c r="EM297" s="1506"/>
      <c r="EN297" s="1506"/>
      <c r="EO297" s="1506"/>
      <c r="EP297" s="1506"/>
      <c r="EQ297" s="1506"/>
      <c r="ER297" s="1506"/>
      <c r="ES297" s="1506"/>
      <c r="ET297" s="1506"/>
      <c r="EU297" s="1506"/>
      <c r="EV297" s="1506"/>
      <c r="EW297" s="1506"/>
      <c r="EX297" s="1506"/>
      <c r="EY297" s="1506"/>
      <c r="EZ297" s="1506"/>
      <c r="FA297" s="1506"/>
      <c r="FB297" s="1506"/>
      <c r="FC297" s="1506"/>
      <c r="FD297" s="1506"/>
      <c r="FE297" s="1506"/>
      <c r="FF297" s="1506"/>
      <c r="FG297" s="1506"/>
      <c r="FH297" s="1506"/>
      <c r="FI297" s="1506"/>
      <c r="FJ297" s="1506"/>
      <c r="FK297" s="1506"/>
      <c r="FL297" s="1506"/>
      <c r="FM297" s="1506"/>
      <c r="FN297" s="1506"/>
      <c r="FO297" s="1506"/>
      <c r="FP297" s="1506"/>
      <c r="FQ297" s="1506"/>
      <c r="FR297" s="1506"/>
      <c r="FS297" s="1506"/>
      <c r="FT297" s="1506"/>
      <c r="FU297" s="1506"/>
      <c r="FV297" s="1506"/>
      <c r="FW297" s="1506"/>
      <c r="FX297" s="1506"/>
      <c r="FY297" s="1506"/>
      <c r="FZ297" s="1506"/>
      <c r="GA297" s="1506"/>
      <c r="GB297" s="1506"/>
      <c r="GC297" s="1506"/>
    </row>
    <row r="298" spans="1:185" s="93" customFormat="1" ht="12.95" customHeight="1">
      <c r="A298" s="43" t="s">
        <v>17</v>
      </c>
      <c r="B298" s="43"/>
      <c r="C298" s="1506"/>
      <c r="D298" s="1506"/>
      <c r="E298" s="1004"/>
      <c r="F298" s="1506"/>
      <c r="G298" s="1004"/>
      <c r="H298" s="1506"/>
      <c r="I298" s="1004" t="s">
        <v>1336</v>
      </c>
      <c r="J298" s="1506"/>
      <c r="K298" s="1506"/>
      <c r="L298" s="1506"/>
      <c r="M298" s="1506"/>
      <c r="N298" s="1506"/>
      <c r="O298" s="1506"/>
      <c r="P298" s="1506"/>
      <c r="Q298" s="1506"/>
      <c r="R298" s="1506"/>
      <c r="S298" s="1506"/>
      <c r="T298" s="1506"/>
      <c r="U298" s="1506"/>
      <c r="V298" s="1506"/>
      <c r="W298" s="1506"/>
      <c r="X298" s="1506"/>
      <c r="Y298" s="1506"/>
      <c r="Z298" s="1506"/>
      <c r="AA298" s="1506"/>
      <c r="AB298" s="1506"/>
      <c r="AC298" s="1506"/>
      <c r="AD298" s="1506"/>
      <c r="AE298" s="1506"/>
      <c r="AF298" s="1506"/>
      <c r="AG298" s="1506"/>
      <c r="AH298" s="1506"/>
      <c r="AI298" s="1506"/>
      <c r="AJ298" s="1506"/>
      <c r="AK298" s="1506"/>
      <c r="AL298" s="1506"/>
      <c r="AM298" s="1506"/>
      <c r="AN298" s="1506"/>
      <c r="AO298" s="1506"/>
      <c r="AP298" s="1506"/>
      <c r="AQ298" s="1506"/>
      <c r="AR298" s="1506"/>
      <c r="AS298" s="1506"/>
      <c r="AT298" s="1506"/>
      <c r="AU298" s="1506"/>
      <c r="AV298" s="1506"/>
      <c r="AW298" s="1506"/>
      <c r="AX298" s="1506"/>
      <c r="AY298" s="1506"/>
      <c r="AZ298" s="1506"/>
      <c r="BA298" s="1506"/>
      <c r="BB298" s="1506"/>
      <c r="BC298" s="1506"/>
      <c r="BD298" s="1506"/>
      <c r="BE298" s="1506"/>
      <c r="BF298" s="1506"/>
      <c r="BG298" s="1506"/>
      <c r="BH298" s="1506"/>
      <c r="BI298" s="1506"/>
      <c r="BJ298" s="1506"/>
      <c r="BK298" s="1506"/>
      <c r="BL298" s="1506"/>
      <c r="BM298" s="1506"/>
      <c r="BN298" s="1506"/>
      <c r="BO298" s="1506"/>
      <c r="BP298" s="1506"/>
      <c r="BQ298" s="1506"/>
      <c r="BR298" s="1506"/>
      <c r="BS298" s="1506"/>
      <c r="BT298" s="1506"/>
      <c r="BU298" s="1506"/>
      <c r="BV298" s="1506"/>
      <c r="BW298" s="1506"/>
      <c r="BX298" s="1506"/>
      <c r="BY298" s="1506"/>
      <c r="BZ298" s="1506"/>
      <c r="CA298" s="1506"/>
      <c r="CB298" s="1506"/>
      <c r="CC298" s="1506"/>
      <c r="CD298" s="1506"/>
      <c r="CE298" s="1506"/>
      <c r="CF298" s="1506"/>
      <c r="CG298" s="1506"/>
      <c r="CH298" s="1506"/>
      <c r="CI298" s="1506"/>
      <c r="CJ298" s="1506"/>
      <c r="CK298" s="1506"/>
      <c r="CL298" s="1506"/>
      <c r="CM298" s="1506"/>
      <c r="CN298" s="1506"/>
      <c r="CO298" s="1506"/>
      <c r="CP298" s="1506"/>
      <c r="CQ298" s="1506"/>
      <c r="CR298" s="1506"/>
      <c r="CS298" s="1506"/>
      <c r="CT298" s="1506"/>
      <c r="CU298" s="1506"/>
      <c r="CV298" s="1506"/>
      <c r="CW298" s="1506"/>
      <c r="CX298" s="1506"/>
      <c r="CY298" s="1506"/>
      <c r="CZ298" s="1506"/>
      <c r="DA298" s="1506"/>
      <c r="DB298" s="1506"/>
      <c r="DC298" s="1506"/>
      <c r="DD298" s="1506"/>
      <c r="DE298" s="1506"/>
      <c r="DF298" s="1506"/>
      <c r="DG298" s="1506"/>
      <c r="DH298" s="1506"/>
      <c r="DI298" s="1506"/>
      <c r="DJ298" s="1506"/>
      <c r="DK298" s="1506"/>
      <c r="DL298" s="1506"/>
      <c r="DM298" s="1506"/>
      <c r="DN298" s="1506"/>
      <c r="DO298" s="1506"/>
      <c r="DP298" s="1506"/>
      <c r="DQ298" s="1506"/>
      <c r="DR298" s="1506"/>
      <c r="DS298" s="1506"/>
      <c r="DT298" s="1506"/>
      <c r="DU298" s="1506"/>
      <c r="DV298" s="1506"/>
      <c r="DW298" s="1506"/>
      <c r="DX298" s="1506"/>
      <c r="DY298" s="1506"/>
      <c r="DZ298" s="1506"/>
      <c r="EA298" s="1506"/>
      <c r="EB298" s="1506"/>
      <c r="EC298" s="1506"/>
      <c r="ED298" s="1506"/>
      <c r="EE298" s="1506"/>
      <c r="EF298" s="1506"/>
      <c r="EG298" s="1506"/>
      <c r="EH298" s="1506"/>
      <c r="EI298" s="1506"/>
      <c r="EJ298" s="1506"/>
      <c r="EK298" s="1506"/>
      <c r="EL298" s="1506"/>
      <c r="EM298" s="1506"/>
      <c r="EN298" s="1506"/>
      <c r="EO298" s="1506"/>
      <c r="EP298" s="1506"/>
      <c r="EQ298" s="1506"/>
      <c r="ER298" s="1506"/>
      <c r="ES298" s="1506"/>
      <c r="ET298" s="1506"/>
      <c r="EU298" s="1506"/>
      <c r="EV298" s="1506"/>
      <c r="EW298" s="1506"/>
      <c r="EX298" s="1506"/>
      <c r="EY298" s="1506"/>
      <c r="EZ298" s="1506"/>
      <c r="FA298" s="1506"/>
      <c r="FB298" s="1506"/>
      <c r="FC298" s="1506"/>
      <c r="FD298" s="1506"/>
      <c r="FE298" s="1506"/>
      <c r="FF298" s="1506"/>
      <c r="FG298" s="1506"/>
      <c r="FH298" s="1506"/>
      <c r="FI298" s="1506"/>
      <c r="FJ298" s="1506"/>
      <c r="FK298" s="1506"/>
      <c r="FL298" s="1506"/>
      <c r="FM298" s="1506"/>
      <c r="FN298" s="1506"/>
      <c r="FO298" s="1506"/>
      <c r="FP298" s="1506"/>
      <c r="FQ298" s="1506"/>
      <c r="FR298" s="1506"/>
      <c r="FS298" s="1506"/>
      <c r="FT298" s="1506"/>
      <c r="FU298" s="1506"/>
      <c r="FV298" s="1506"/>
      <c r="FW298" s="1506"/>
      <c r="FX298" s="1506"/>
      <c r="FY298" s="1506"/>
      <c r="FZ298" s="1506"/>
      <c r="GA298" s="1506"/>
      <c r="GB298" s="1506"/>
      <c r="GC298" s="1506"/>
    </row>
    <row r="299" spans="1:185" s="93" customFormat="1" ht="12.95" customHeight="1">
      <c r="A299" s="43" t="s">
        <v>17</v>
      </c>
      <c r="B299" s="43"/>
      <c r="C299" s="1506"/>
      <c r="D299" s="1506"/>
      <c r="E299" s="1004"/>
      <c r="F299" s="1506"/>
      <c r="G299" s="1004"/>
      <c r="H299" s="1506"/>
      <c r="I299" s="1004" t="s">
        <v>1337</v>
      </c>
      <c r="J299" s="1506"/>
      <c r="K299" s="1506"/>
      <c r="L299" s="1506"/>
      <c r="M299" s="1506"/>
      <c r="N299" s="1506"/>
      <c r="O299" s="1506"/>
      <c r="P299" s="1506"/>
      <c r="Q299" s="1506"/>
      <c r="R299" s="1506"/>
      <c r="S299" s="1506"/>
      <c r="T299" s="1506"/>
      <c r="U299" s="1506"/>
      <c r="V299" s="1506"/>
      <c r="W299" s="1506"/>
      <c r="X299" s="1506"/>
      <c r="Y299" s="1506"/>
      <c r="Z299" s="1506"/>
      <c r="AA299" s="1506"/>
      <c r="AB299" s="1506"/>
      <c r="AC299" s="1506"/>
      <c r="AD299" s="1506"/>
      <c r="AE299" s="1506"/>
      <c r="AF299" s="1506"/>
      <c r="AG299" s="1506"/>
      <c r="AH299" s="1506"/>
      <c r="AI299" s="1506"/>
      <c r="AJ299" s="1506"/>
      <c r="AK299" s="1506"/>
      <c r="AL299" s="1506"/>
      <c r="AM299" s="1506"/>
      <c r="AN299" s="1506"/>
      <c r="AO299" s="1506"/>
      <c r="AP299" s="1506"/>
      <c r="AQ299" s="1506"/>
      <c r="AR299" s="1506"/>
      <c r="AS299" s="1506"/>
      <c r="AT299" s="1506"/>
      <c r="AU299" s="1506"/>
      <c r="AV299" s="1506"/>
      <c r="AW299" s="1506"/>
      <c r="AX299" s="1506"/>
      <c r="AY299" s="1506"/>
      <c r="AZ299" s="1506"/>
      <c r="BA299" s="1506"/>
      <c r="BB299" s="1506"/>
      <c r="BC299" s="1506"/>
      <c r="BD299" s="1506"/>
      <c r="BE299" s="1506"/>
      <c r="BF299" s="1506"/>
      <c r="BG299" s="1506"/>
      <c r="BH299" s="1506"/>
      <c r="BI299" s="1506"/>
      <c r="BJ299" s="1506"/>
      <c r="BK299" s="1506"/>
      <c r="BL299" s="1506"/>
      <c r="BM299" s="1506"/>
      <c r="BN299" s="1506"/>
      <c r="BO299" s="1506"/>
      <c r="BP299" s="1506"/>
      <c r="BQ299" s="1506"/>
      <c r="BR299" s="1506"/>
      <c r="BS299" s="1506"/>
      <c r="BT299" s="1506"/>
      <c r="BU299" s="1506"/>
      <c r="BV299" s="1506"/>
      <c r="BW299" s="1506"/>
      <c r="BX299" s="1506"/>
      <c r="BY299" s="1506"/>
      <c r="BZ299" s="1506"/>
      <c r="CA299" s="1506"/>
      <c r="CB299" s="1506"/>
      <c r="CC299" s="1506"/>
      <c r="CD299" s="1506"/>
      <c r="CE299" s="1506"/>
      <c r="CF299" s="1506"/>
      <c r="CG299" s="1506"/>
      <c r="CH299" s="1506"/>
      <c r="CI299" s="1506"/>
      <c r="CJ299" s="1506"/>
      <c r="CK299" s="1506"/>
      <c r="CL299" s="1506"/>
      <c r="CM299" s="1506"/>
      <c r="CN299" s="1506"/>
      <c r="CO299" s="1506"/>
      <c r="CP299" s="1506"/>
      <c r="CQ299" s="1506"/>
      <c r="CR299" s="1506"/>
      <c r="CS299" s="1506"/>
      <c r="CT299" s="1506"/>
      <c r="CU299" s="1506"/>
      <c r="CV299" s="1506"/>
      <c r="CW299" s="1506"/>
      <c r="CX299" s="1506"/>
      <c r="CY299" s="1506"/>
      <c r="CZ299" s="1506"/>
      <c r="DA299" s="1506"/>
      <c r="DB299" s="1506"/>
      <c r="DC299" s="1506"/>
      <c r="DD299" s="1506"/>
      <c r="DE299" s="1506"/>
      <c r="DF299" s="1506"/>
      <c r="DG299" s="1506"/>
      <c r="DH299" s="1506"/>
      <c r="DI299" s="1506"/>
      <c r="DJ299" s="1506"/>
      <c r="DK299" s="1506"/>
      <c r="DL299" s="1506"/>
      <c r="DM299" s="1506"/>
      <c r="DN299" s="1506"/>
      <c r="DO299" s="1506"/>
      <c r="DP299" s="1506"/>
      <c r="DQ299" s="1506"/>
      <c r="DR299" s="1506"/>
      <c r="DS299" s="1506"/>
      <c r="DT299" s="1506"/>
      <c r="DU299" s="1506"/>
      <c r="DV299" s="1506"/>
      <c r="DW299" s="1506"/>
      <c r="DX299" s="1506"/>
      <c r="DY299" s="1506"/>
      <c r="DZ299" s="1506"/>
      <c r="EA299" s="1506"/>
      <c r="EB299" s="1506"/>
      <c r="EC299" s="1506"/>
      <c r="ED299" s="1506"/>
      <c r="EE299" s="1506"/>
      <c r="EF299" s="1506"/>
      <c r="EG299" s="1506"/>
      <c r="EH299" s="1506"/>
      <c r="EI299" s="1506"/>
      <c r="EJ299" s="1506"/>
      <c r="EK299" s="1506"/>
      <c r="EL299" s="1506"/>
      <c r="EM299" s="1506"/>
      <c r="EN299" s="1506"/>
      <c r="EO299" s="1506"/>
      <c r="EP299" s="1506"/>
      <c r="EQ299" s="1506"/>
      <c r="ER299" s="1506"/>
      <c r="ES299" s="1506"/>
      <c r="ET299" s="1506"/>
      <c r="EU299" s="1506"/>
      <c r="EV299" s="1506"/>
      <c r="EW299" s="1506"/>
      <c r="EX299" s="1506"/>
      <c r="EY299" s="1506"/>
      <c r="EZ299" s="1506"/>
      <c r="FA299" s="1506"/>
      <c r="FB299" s="1506"/>
      <c r="FC299" s="1506"/>
      <c r="FD299" s="1506"/>
      <c r="FE299" s="1506"/>
      <c r="FF299" s="1506"/>
      <c r="FG299" s="1506"/>
      <c r="FH299" s="1506"/>
      <c r="FI299" s="1506"/>
      <c r="FJ299" s="1506"/>
      <c r="FK299" s="1506"/>
      <c r="FL299" s="1506"/>
      <c r="FM299" s="1506"/>
      <c r="FN299" s="1506"/>
      <c r="FO299" s="1506"/>
      <c r="FP299" s="1506"/>
      <c r="FQ299" s="1506"/>
      <c r="FR299" s="1506"/>
      <c r="FS299" s="1506"/>
      <c r="FT299" s="1506"/>
      <c r="FU299" s="1506"/>
      <c r="FV299" s="1506"/>
      <c r="FW299" s="1506"/>
      <c r="FX299" s="1506"/>
      <c r="FY299" s="1506"/>
      <c r="FZ299" s="1506"/>
      <c r="GA299" s="1506"/>
      <c r="GB299" s="1506"/>
      <c r="GC299" s="1506"/>
    </row>
    <row r="300" spans="1:185" s="93" customFormat="1" ht="12.95" customHeight="1">
      <c r="A300" s="43" t="s">
        <v>17</v>
      </c>
      <c r="B300" s="43"/>
      <c r="C300" s="1506"/>
      <c r="D300" s="1506"/>
      <c r="E300" s="1004"/>
      <c r="F300" s="1506"/>
      <c r="G300" s="1004"/>
      <c r="H300" s="1506"/>
      <c r="I300" s="1004" t="s">
        <v>1338</v>
      </c>
      <c r="J300" s="1506"/>
      <c r="K300" s="1506"/>
      <c r="L300" s="1506"/>
      <c r="M300" s="1506"/>
      <c r="N300" s="1506"/>
      <c r="O300" s="1506"/>
      <c r="P300" s="1506"/>
      <c r="Q300" s="1506"/>
      <c r="R300" s="1506"/>
      <c r="S300" s="1506"/>
      <c r="T300" s="1506"/>
      <c r="U300" s="1506"/>
      <c r="V300" s="1506"/>
      <c r="W300" s="1506"/>
      <c r="X300" s="1506"/>
      <c r="Y300" s="1506"/>
      <c r="Z300" s="1506"/>
      <c r="AA300" s="1506"/>
      <c r="AB300" s="1506"/>
      <c r="AC300" s="1506"/>
      <c r="AD300" s="1506"/>
      <c r="AE300" s="1506"/>
      <c r="AF300" s="1506"/>
      <c r="AG300" s="1506"/>
      <c r="AH300" s="1506"/>
      <c r="AI300" s="1506"/>
      <c r="AJ300" s="1506"/>
      <c r="AK300" s="1506"/>
      <c r="AL300" s="1506"/>
      <c r="AM300" s="1506"/>
      <c r="AN300" s="1506"/>
      <c r="AO300" s="1506"/>
      <c r="AP300" s="1506"/>
      <c r="AQ300" s="1506"/>
      <c r="AR300" s="1506"/>
      <c r="AS300" s="1506"/>
      <c r="AT300" s="1506"/>
      <c r="AU300" s="1506"/>
      <c r="AV300" s="1506"/>
      <c r="AW300" s="1506"/>
      <c r="AX300" s="1506"/>
      <c r="AY300" s="1506"/>
      <c r="AZ300" s="1506"/>
      <c r="BA300" s="1506"/>
      <c r="BB300" s="1506"/>
      <c r="BC300" s="1506"/>
      <c r="BD300" s="1506"/>
      <c r="BE300" s="1506"/>
      <c r="BF300" s="1506"/>
      <c r="BG300" s="1506"/>
      <c r="BH300" s="1506"/>
      <c r="BI300" s="1506"/>
      <c r="BJ300" s="1506"/>
      <c r="BK300" s="1506"/>
      <c r="BL300" s="1506"/>
      <c r="BM300" s="1506"/>
      <c r="BN300" s="1506"/>
      <c r="BO300" s="1506"/>
      <c r="BP300" s="1506"/>
      <c r="BQ300" s="1506"/>
      <c r="BR300" s="1506"/>
      <c r="BS300" s="1506"/>
      <c r="BT300" s="1506"/>
      <c r="BU300" s="1506"/>
      <c r="BV300" s="1506"/>
      <c r="BW300" s="1506"/>
      <c r="BX300" s="1506"/>
      <c r="BY300" s="1506"/>
      <c r="BZ300" s="1506"/>
      <c r="CA300" s="1506"/>
      <c r="CB300" s="1506"/>
      <c r="CC300" s="1506"/>
      <c r="CD300" s="1506"/>
      <c r="CE300" s="1506"/>
      <c r="CF300" s="1506"/>
      <c r="CG300" s="1506"/>
      <c r="CH300" s="1506"/>
      <c r="CI300" s="1506"/>
      <c r="CJ300" s="1506"/>
      <c r="CK300" s="1506"/>
      <c r="CL300" s="1506"/>
      <c r="CM300" s="1506"/>
      <c r="CN300" s="1506"/>
      <c r="CO300" s="1506"/>
      <c r="CP300" s="1506"/>
      <c r="CQ300" s="1506"/>
      <c r="CR300" s="1506"/>
      <c r="CS300" s="1506"/>
      <c r="CT300" s="1506"/>
      <c r="CU300" s="1506"/>
      <c r="CV300" s="1506"/>
      <c r="CW300" s="1506"/>
      <c r="CX300" s="1506"/>
      <c r="CY300" s="1506"/>
      <c r="CZ300" s="1506"/>
      <c r="DA300" s="1506"/>
      <c r="DB300" s="1506"/>
      <c r="DC300" s="1506"/>
      <c r="DD300" s="1506"/>
      <c r="DE300" s="1506"/>
      <c r="DF300" s="1506"/>
      <c r="DG300" s="1506"/>
      <c r="DH300" s="1506"/>
      <c r="DI300" s="1506"/>
      <c r="DJ300" s="1506"/>
      <c r="DK300" s="1506"/>
      <c r="DL300" s="1506"/>
      <c r="DM300" s="1506"/>
      <c r="DN300" s="1506"/>
      <c r="DO300" s="1506"/>
      <c r="DP300" s="1506"/>
      <c r="DQ300" s="1506"/>
      <c r="DR300" s="1506"/>
      <c r="DS300" s="1506"/>
      <c r="DT300" s="1506"/>
      <c r="DU300" s="1506"/>
      <c r="DV300" s="1506"/>
      <c r="DW300" s="1506"/>
      <c r="DX300" s="1506"/>
      <c r="DY300" s="1506"/>
      <c r="DZ300" s="1506"/>
      <c r="EA300" s="1506"/>
      <c r="EB300" s="1506"/>
      <c r="EC300" s="1506"/>
      <c r="ED300" s="1506"/>
      <c r="EE300" s="1506"/>
      <c r="EF300" s="1506"/>
      <c r="EG300" s="1506"/>
      <c r="EH300" s="1506"/>
      <c r="EI300" s="1506"/>
      <c r="EJ300" s="1506"/>
      <c r="EK300" s="1506"/>
      <c r="EL300" s="1506"/>
      <c r="EM300" s="1506"/>
      <c r="EN300" s="1506"/>
      <c r="EO300" s="1506"/>
      <c r="EP300" s="1506"/>
      <c r="EQ300" s="1506"/>
      <c r="ER300" s="1506"/>
      <c r="ES300" s="1506"/>
      <c r="ET300" s="1506"/>
      <c r="EU300" s="1506"/>
      <c r="EV300" s="1506"/>
      <c r="EW300" s="1506"/>
      <c r="EX300" s="1506"/>
      <c r="EY300" s="1506"/>
      <c r="EZ300" s="1506"/>
      <c r="FA300" s="1506"/>
      <c r="FB300" s="1506"/>
      <c r="FC300" s="1506"/>
      <c r="FD300" s="1506"/>
      <c r="FE300" s="1506"/>
      <c r="FF300" s="1506"/>
      <c r="FG300" s="1506"/>
      <c r="FH300" s="1506"/>
      <c r="FI300" s="1506"/>
      <c r="FJ300" s="1506"/>
      <c r="FK300" s="1506"/>
      <c r="FL300" s="1506"/>
      <c r="FM300" s="1506"/>
      <c r="FN300" s="1506"/>
      <c r="FO300" s="1506"/>
      <c r="FP300" s="1506"/>
      <c r="FQ300" s="1506"/>
      <c r="FR300" s="1506"/>
      <c r="FS300" s="1506"/>
      <c r="FT300" s="1506"/>
      <c r="FU300" s="1506"/>
      <c r="FV300" s="1506"/>
      <c r="FW300" s="1506"/>
      <c r="FX300" s="1506"/>
      <c r="FY300" s="1506"/>
      <c r="FZ300" s="1506"/>
      <c r="GA300" s="1506"/>
      <c r="GB300" s="1506"/>
      <c r="GC300" s="1506"/>
    </row>
    <row r="301" spans="1:185" s="93" customFormat="1" ht="12.95" customHeight="1">
      <c r="A301" s="43" t="s">
        <v>17</v>
      </c>
      <c r="B301" s="43"/>
      <c r="C301" s="1506"/>
      <c r="D301" s="1506"/>
      <c r="E301" s="1004"/>
      <c r="F301" s="1506"/>
      <c r="G301" s="1004"/>
      <c r="H301" s="1506"/>
      <c r="I301" s="1506"/>
      <c r="J301" s="1506"/>
      <c r="K301" s="1506"/>
      <c r="L301" s="1506"/>
      <c r="M301" s="1506"/>
      <c r="N301" s="1506"/>
      <c r="O301" s="1506"/>
      <c r="P301" s="1506"/>
      <c r="Q301" s="1506"/>
      <c r="R301" s="1506"/>
      <c r="S301" s="1506"/>
      <c r="T301" s="1506"/>
      <c r="U301" s="1506"/>
      <c r="V301" s="1506"/>
      <c r="W301" s="1506"/>
      <c r="X301" s="1506"/>
      <c r="Y301" s="1506"/>
      <c r="Z301" s="1506"/>
      <c r="AA301" s="1506"/>
      <c r="AB301" s="1506"/>
      <c r="AC301" s="1506"/>
      <c r="AD301" s="1506"/>
      <c r="AE301" s="1506"/>
      <c r="AF301" s="1506"/>
      <c r="AG301" s="1506"/>
      <c r="AH301" s="1506"/>
      <c r="AI301" s="1506"/>
      <c r="AJ301" s="1506"/>
      <c r="AK301" s="1506"/>
      <c r="AL301" s="1506"/>
      <c r="AM301" s="1506"/>
      <c r="AN301" s="1506"/>
      <c r="AO301" s="1506"/>
      <c r="AP301" s="1506"/>
      <c r="AQ301" s="1506"/>
      <c r="AR301" s="1506"/>
      <c r="AS301" s="1506"/>
      <c r="AT301" s="1506"/>
      <c r="AU301" s="1506"/>
      <c r="AV301" s="1506"/>
      <c r="AW301" s="1506"/>
      <c r="AX301" s="1506"/>
      <c r="AY301" s="1506"/>
      <c r="AZ301" s="1506"/>
      <c r="BA301" s="1506"/>
      <c r="BB301" s="1506"/>
      <c r="BC301" s="1506"/>
      <c r="BD301" s="1506"/>
      <c r="BE301" s="1506"/>
      <c r="BF301" s="1506"/>
      <c r="BG301" s="1506"/>
      <c r="BH301" s="1506"/>
      <c r="BI301" s="1506"/>
      <c r="BJ301" s="1506"/>
      <c r="BK301" s="1506"/>
      <c r="BL301" s="1506"/>
      <c r="BM301" s="1506"/>
      <c r="BN301" s="1506"/>
      <c r="BO301" s="1506"/>
      <c r="BP301" s="1506"/>
      <c r="BQ301" s="1506"/>
      <c r="BR301" s="1506"/>
      <c r="BS301" s="1506"/>
      <c r="BT301" s="1506"/>
      <c r="BU301" s="1506"/>
      <c r="BV301" s="1506"/>
      <c r="BW301" s="1506"/>
      <c r="BX301" s="1506"/>
      <c r="BY301" s="1506"/>
      <c r="BZ301" s="1506"/>
      <c r="CA301" s="1506"/>
      <c r="CB301" s="1506"/>
      <c r="CC301" s="1506"/>
      <c r="CD301" s="1506"/>
      <c r="CE301" s="1506"/>
      <c r="CF301" s="1506"/>
      <c r="CG301" s="1506"/>
      <c r="CH301" s="1506"/>
      <c r="CI301" s="1506"/>
      <c r="CJ301" s="1506"/>
      <c r="CK301" s="1506"/>
      <c r="CL301" s="1506"/>
      <c r="CM301" s="1506"/>
      <c r="CN301" s="1506"/>
      <c r="CO301" s="1506"/>
      <c r="CP301" s="1506"/>
      <c r="CQ301" s="1506"/>
      <c r="CR301" s="1506"/>
      <c r="CS301" s="1506"/>
      <c r="CT301" s="1506"/>
      <c r="CU301" s="1506"/>
      <c r="CV301" s="1506"/>
      <c r="CW301" s="1506"/>
      <c r="CX301" s="1506"/>
      <c r="CY301" s="1506"/>
      <c r="CZ301" s="1506"/>
      <c r="DA301" s="1506"/>
      <c r="DB301" s="1506"/>
      <c r="DC301" s="1506"/>
      <c r="DD301" s="1506"/>
      <c r="DE301" s="1506"/>
      <c r="DF301" s="1506"/>
      <c r="DG301" s="1506"/>
      <c r="DH301" s="1506"/>
      <c r="DI301" s="1506"/>
      <c r="DJ301" s="1506"/>
      <c r="DK301" s="1506"/>
      <c r="DL301" s="1506"/>
      <c r="DM301" s="1506"/>
      <c r="DN301" s="1506"/>
      <c r="DO301" s="1506"/>
      <c r="DP301" s="1506"/>
      <c r="DQ301" s="1506"/>
      <c r="DR301" s="1506"/>
      <c r="DS301" s="1506"/>
      <c r="DT301" s="1506"/>
      <c r="DU301" s="1506"/>
      <c r="DV301" s="1506"/>
      <c r="DW301" s="1506"/>
      <c r="DX301" s="1506"/>
      <c r="DY301" s="1506"/>
      <c r="DZ301" s="1506"/>
      <c r="EA301" s="1506"/>
      <c r="EB301" s="1506"/>
      <c r="EC301" s="1506"/>
      <c r="ED301" s="1506"/>
      <c r="EE301" s="1506"/>
      <c r="EF301" s="1506"/>
      <c r="EG301" s="1506"/>
      <c r="EH301" s="1506"/>
      <c r="EI301" s="1506"/>
      <c r="EJ301" s="1506"/>
      <c r="EK301" s="1506"/>
      <c r="EL301" s="1506"/>
      <c r="EM301" s="1506"/>
      <c r="EN301" s="1506"/>
      <c r="EO301" s="1506"/>
      <c r="EP301" s="1506"/>
      <c r="EQ301" s="1506"/>
      <c r="ER301" s="1506"/>
      <c r="ES301" s="1506"/>
      <c r="ET301" s="1506"/>
      <c r="EU301" s="1506"/>
      <c r="EV301" s="1506"/>
      <c r="EW301" s="1506"/>
      <c r="EX301" s="1506"/>
      <c r="EY301" s="1506"/>
      <c r="EZ301" s="1506"/>
      <c r="FA301" s="1506"/>
      <c r="FB301" s="1506"/>
      <c r="FC301" s="1506"/>
      <c r="FD301" s="1506"/>
      <c r="FE301" s="1506"/>
      <c r="FF301" s="1506"/>
      <c r="FG301" s="1506"/>
      <c r="FH301" s="1506"/>
      <c r="FI301" s="1506"/>
      <c r="FJ301" s="1506"/>
      <c r="FK301" s="1506"/>
      <c r="FL301" s="1506"/>
      <c r="FM301" s="1506"/>
      <c r="FN301" s="1506"/>
      <c r="FO301" s="1506"/>
      <c r="FP301" s="1506"/>
      <c r="FQ301" s="1506"/>
      <c r="FR301" s="1506"/>
      <c r="FS301" s="1506"/>
      <c r="FT301" s="1506"/>
      <c r="FU301" s="1506"/>
      <c r="FV301" s="1506"/>
      <c r="FW301" s="1506"/>
      <c r="FX301" s="1506"/>
      <c r="FY301" s="1506"/>
      <c r="FZ301" s="1506"/>
      <c r="GA301" s="1506"/>
      <c r="GB301" s="1506"/>
      <c r="GC301" s="1506"/>
    </row>
    <row r="302" spans="1:185" s="93" customFormat="1" ht="12.95" customHeight="1">
      <c r="A302" s="43" t="s">
        <v>17</v>
      </c>
      <c r="B302" s="43"/>
      <c r="C302" s="1506"/>
      <c r="D302" s="1506"/>
      <c r="E302" s="1004"/>
      <c r="F302" s="1506"/>
      <c r="G302" s="1004"/>
      <c r="H302" s="1506"/>
      <c r="I302" s="1506"/>
      <c r="J302" s="1506"/>
      <c r="K302" s="1506"/>
      <c r="L302" s="1506"/>
      <c r="M302" s="1506"/>
      <c r="N302" s="1506"/>
      <c r="O302" s="1506"/>
      <c r="P302" s="1506"/>
      <c r="Q302" s="1506"/>
      <c r="R302" s="1506"/>
      <c r="S302" s="1506"/>
      <c r="T302" s="1506"/>
      <c r="U302" s="1506"/>
      <c r="V302" s="1506"/>
      <c r="W302" s="1506"/>
      <c r="X302" s="1506"/>
      <c r="Y302" s="1506"/>
      <c r="Z302" s="1506"/>
      <c r="AA302" s="1506"/>
      <c r="AB302" s="1506"/>
      <c r="AC302" s="1506"/>
      <c r="AD302" s="1506"/>
      <c r="AE302" s="1506"/>
      <c r="AF302" s="1506"/>
      <c r="AG302" s="1506"/>
      <c r="AH302" s="1506"/>
      <c r="AI302" s="1506"/>
      <c r="AJ302" s="1506"/>
      <c r="AK302" s="1506"/>
      <c r="AL302" s="1506"/>
      <c r="AM302" s="1506"/>
      <c r="AN302" s="1506"/>
      <c r="AO302" s="1506"/>
      <c r="AP302" s="1506"/>
      <c r="AQ302" s="1506"/>
      <c r="AR302" s="1506"/>
      <c r="AS302" s="1506"/>
      <c r="AT302" s="1506"/>
      <c r="AU302" s="1506"/>
      <c r="AV302" s="1506"/>
      <c r="AW302" s="1506"/>
      <c r="AX302" s="1506"/>
      <c r="AY302" s="1506"/>
      <c r="AZ302" s="1506"/>
      <c r="BA302" s="1506"/>
      <c r="BB302" s="1506"/>
      <c r="BC302" s="1506"/>
      <c r="BD302" s="1506"/>
      <c r="BE302" s="1506"/>
      <c r="BF302" s="1506"/>
      <c r="BG302" s="1506"/>
      <c r="BH302" s="1506"/>
      <c r="BI302" s="1506"/>
      <c r="BJ302" s="1506"/>
      <c r="BK302" s="1506"/>
      <c r="BL302" s="1506"/>
      <c r="BM302" s="1506"/>
      <c r="BN302" s="1506"/>
      <c r="BO302" s="1506"/>
      <c r="BP302" s="1506"/>
      <c r="BQ302" s="1506"/>
      <c r="BR302" s="1506"/>
      <c r="BS302" s="1506"/>
      <c r="BT302" s="1506"/>
      <c r="BU302" s="1506"/>
      <c r="BV302" s="1506"/>
      <c r="BW302" s="1506"/>
      <c r="BX302" s="1506"/>
      <c r="BY302" s="1506"/>
      <c r="BZ302" s="1506"/>
      <c r="CA302" s="1506"/>
      <c r="CB302" s="1506"/>
      <c r="CC302" s="1506"/>
      <c r="CD302" s="1506"/>
      <c r="CE302" s="1506"/>
      <c r="CF302" s="1506"/>
      <c r="CG302" s="1506"/>
      <c r="CH302" s="1506"/>
      <c r="CI302" s="1506"/>
      <c r="CJ302" s="1506"/>
      <c r="CK302" s="1506"/>
      <c r="CL302" s="1506"/>
      <c r="CM302" s="1506"/>
      <c r="CN302" s="1506"/>
      <c r="CO302" s="1506"/>
      <c r="CP302" s="1506"/>
      <c r="CQ302" s="1506"/>
      <c r="CR302" s="1506"/>
      <c r="CS302" s="1506"/>
      <c r="CT302" s="1506"/>
      <c r="CU302" s="1506"/>
      <c r="CV302" s="1506"/>
      <c r="CW302" s="1506"/>
      <c r="CX302" s="1506"/>
      <c r="CY302" s="1506"/>
      <c r="CZ302" s="1506"/>
      <c r="DA302" s="1506"/>
      <c r="DB302" s="1506"/>
      <c r="DC302" s="1506"/>
      <c r="DD302" s="1506"/>
      <c r="DE302" s="1506"/>
      <c r="DF302" s="1506"/>
      <c r="DG302" s="1506"/>
      <c r="DH302" s="1506"/>
      <c r="DI302" s="1506"/>
      <c r="DJ302" s="1506"/>
      <c r="DK302" s="1506"/>
      <c r="DL302" s="1506"/>
      <c r="DM302" s="1506"/>
      <c r="DN302" s="1506"/>
      <c r="DO302" s="1506"/>
      <c r="DP302" s="1506"/>
      <c r="DQ302" s="1506"/>
      <c r="DR302" s="1506"/>
      <c r="DS302" s="1506"/>
      <c r="DT302" s="1506"/>
      <c r="DU302" s="1506"/>
      <c r="DV302" s="1506"/>
      <c r="DW302" s="1506"/>
      <c r="DX302" s="1506"/>
      <c r="DY302" s="1506"/>
      <c r="DZ302" s="1506"/>
      <c r="EA302" s="1506"/>
      <c r="EB302" s="1506"/>
      <c r="EC302" s="1506"/>
      <c r="ED302" s="1506"/>
      <c r="EE302" s="1506"/>
      <c r="EF302" s="1506"/>
      <c r="EG302" s="1506"/>
      <c r="EH302" s="1506"/>
      <c r="EI302" s="1506"/>
      <c r="EJ302" s="1506"/>
      <c r="EK302" s="1506"/>
      <c r="EL302" s="1506"/>
      <c r="EM302" s="1506"/>
      <c r="EN302" s="1506"/>
      <c r="EO302" s="1506"/>
      <c r="EP302" s="1506"/>
      <c r="EQ302" s="1506"/>
      <c r="ER302" s="1506"/>
      <c r="ES302" s="1506"/>
      <c r="ET302" s="1506"/>
      <c r="EU302" s="1506"/>
      <c r="EV302" s="1506"/>
      <c r="EW302" s="1506"/>
      <c r="EX302" s="1506"/>
      <c r="EY302" s="1506"/>
      <c r="EZ302" s="1506"/>
      <c r="FA302" s="1506"/>
      <c r="FB302" s="1506"/>
      <c r="FC302" s="1506"/>
      <c r="FD302" s="1506"/>
      <c r="FE302" s="1506"/>
      <c r="FF302" s="1506"/>
      <c r="FG302" s="1506"/>
      <c r="FH302" s="1506"/>
      <c r="FI302" s="1506"/>
      <c r="FJ302" s="1506"/>
      <c r="FK302" s="1506"/>
      <c r="FL302" s="1506"/>
      <c r="FM302" s="1506"/>
      <c r="FN302" s="1506"/>
      <c r="FO302" s="1506"/>
      <c r="FP302" s="1506"/>
      <c r="FQ302" s="1506"/>
      <c r="FR302" s="1506"/>
      <c r="FS302" s="1506"/>
      <c r="FT302" s="1506"/>
      <c r="FU302" s="1506"/>
      <c r="FV302" s="1506"/>
      <c r="FW302" s="1506"/>
      <c r="FX302" s="1506"/>
      <c r="FY302" s="1506"/>
      <c r="FZ302" s="1506"/>
      <c r="GA302" s="1506"/>
      <c r="GB302" s="1506"/>
      <c r="GC302" s="1506"/>
    </row>
    <row r="303" spans="1:185" s="93" customFormat="1" ht="12.95" customHeight="1">
      <c r="A303" s="43" t="s">
        <v>17</v>
      </c>
      <c r="B303" s="43"/>
      <c r="C303" s="1506"/>
      <c r="D303" s="1506"/>
      <c r="E303" s="1004"/>
      <c r="F303" s="1506"/>
      <c r="G303" s="1004"/>
      <c r="H303" s="1506"/>
      <c r="I303" s="1506"/>
      <c r="J303" s="1506"/>
      <c r="K303" s="1506"/>
      <c r="L303" s="1506"/>
      <c r="M303" s="1506"/>
      <c r="N303" s="1506"/>
      <c r="O303" s="1506"/>
      <c r="P303" s="1506"/>
      <c r="Q303" s="1506"/>
      <c r="R303" s="1506"/>
      <c r="S303" s="1506"/>
      <c r="T303" s="1506"/>
      <c r="U303" s="1506"/>
      <c r="V303" s="1506"/>
      <c r="W303" s="1506"/>
      <c r="X303" s="1506"/>
      <c r="Y303" s="1506"/>
      <c r="Z303" s="1506"/>
      <c r="AA303" s="1506"/>
      <c r="AB303" s="1506"/>
      <c r="AC303" s="1506"/>
      <c r="AD303" s="1506"/>
      <c r="AE303" s="1506"/>
      <c r="AF303" s="1506"/>
      <c r="AG303" s="1506"/>
      <c r="AH303" s="1506"/>
      <c r="AI303" s="1506"/>
      <c r="AJ303" s="1506"/>
      <c r="AK303" s="1506"/>
      <c r="AL303" s="1506"/>
      <c r="AM303" s="1506"/>
      <c r="AN303" s="1506"/>
      <c r="AO303" s="1506"/>
      <c r="AP303" s="1506"/>
      <c r="AQ303" s="1506"/>
      <c r="AR303" s="1506"/>
      <c r="AS303" s="1506"/>
      <c r="AT303" s="1506"/>
      <c r="AU303" s="1506"/>
      <c r="AV303" s="1506"/>
      <c r="AW303" s="1506"/>
      <c r="AX303" s="1506"/>
      <c r="AY303" s="1506"/>
      <c r="AZ303" s="1506"/>
      <c r="BA303" s="1506"/>
      <c r="BB303" s="1506"/>
      <c r="BC303" s="1506"/>
      <c r="BD303" s="1506"/>
      <c r="BE303" s="1506"/>
      <c r="BF303" s="1506"/>
      <c r="BG303" s="1506"/>
      <c r="BH303" s="1506"/>
      <c r="BI303" s="1506"/>
      <c r="BJ303" s="1506"/>
      <c r="BK303" s="1506"/>
      <c r="BL303" s="1506"/>
      <c r="BM303" s="1506"/>
      <c r="BN303" s="1506"/>
      <c r="BO303" s="1506"/>
      <c r="BP303" s="1506"/>
      <c r="BQ303" s="1506"/>
      <c r="BR303" s="1506"/>
      <c r="BS303" s="1506"/>
      <c r="BT303" s="1506"/>
      <c r="BU303" s="1506"/>
      <c r="BV303" s="1506"/>
      <c r="BW303" s="1506"/>
      <c r="BX303" s="1506"/>
      <c r="BY303" s="1506"/>
      <c r="BZ303" s="1506"/>
      <c r="CA303" s="1506"/>
      <c r="CB303" s="1506"/>
      <c r="CC303" s="1506"/>
      <c r="CD303" s="1506"/>
      <c r="CE303" s="1506"/>
      <c r="CF303" s="1506"/>
      <c r="CG303" s="1506"/>
      <c r="CH303" s="1506"/>
      <c r="CI303" s="1506"/>
      <c r="CJ303" s="1506"/>
      <c r="CK303" s="1506"/>
      <c r="CL303" s="1506"/>
      <c r="CM303" s="1506"/>
      <c r="CN303" s="1506"/>
      <c r="CO303" s="1506"/>
      <c r="CP303" s="1506"/>
      <c r="CQ303" s="1506"/>
      <c r="CR303" s="1506"/>
      <c r="CS303" s="1506"/>
      <c r="CT303" s="1506"/>
      <c r="CU303" s="1506"/>
      <c r="CV303" s="1506"/>
      <c r="CW303" s="1506"/>
      <c r="CX303" s="1506"/>
      <c r="CY303" s="1506"/>
      <c r="CZ303" s="1506"/>
      <c r="DA303" s="1506"/>
      <c r="DB303" s="1506"/>
      <c r="DC303" s="1506"/>
      <c r="DD303" s="1506"/>
      <c r="DE303" s="1506"/>
      <c r="DF303" s="1506"/>
      <c r="DG303" s="1506"/>
      <c r="DH303" s="1506"/>
      <c r="DI303" s="1506"/>
      <c r="DJ303" s="1506"/>
      <c r="DK303" s="1506"/>
      <c r="DL303" s="1506"/>
      <c r="DM303" s="1506"/>
      <c r="DN303" s="1506"/>
      <c r="DO303" s="1506"/>
      <c r="DP303" s="1506"/>
      <c r="DQ303" s="1506"/>
      <c r="DR303" s="1506"/>
      <c r="DS303" s="1506"/>
      <c r="DT303" s="1506"/>
      <c r="DU303" s="1506"/>
      <c r="DV303" s="1506"/>
      <c r="DW303" s="1506"/>
      <c r="DX303" s="1506"/>
      <c r="DY303" s="1506"/>
      <c r="DZ303" s="1506"/>
      <c r="EA303" s="1506"/>
      <c r="EB303" s="1506"/>
      <c r="EC303" s="1506"/>
      <c r="ED303" s="1506"/>
      <c r="EE303" s="1506"/>
      <c r="EF303" s="1506"/>
      <c r="EG303" s="1506"/>
      <c r="EH303" s="1506"/>
      <c r="EI303" s="1506"/>
      <c r="EJ303" s="1506"/>
      <c r="EK303" s="1506"/>
      <c r="EL303" s="1506"/>
      <c r="EM303" s="1506"/>
      <c r="EN303" s="1506"/>
      <c r="EO303" s="1506"/>
      <c r="EP303" s="1506"/>
      <c r="EQ303" s="1506"/>
      <c r="ER303" s="1506"/>
      <c r="ES303" s="1506"/>
      <c r="ET303" s="1506"/>
      <c r="EU303" s="1506"/>
      <c r="EV303" s="1506"/>
      <c r="EW303" s="1506"/>
      <c r="EX303" s="1506"/>
      <c r="EY303" s="1506"/>
      <c r="EZ303" s="1506"/>
      <c r="FA303" s="1506"/>
      <c r="FB303" s="1506"/>
      <c r="FC303" s="1506"/>
      <c r="FD303" s="1506"/>
      <c r="FE303" s="1506"/>
      <c r="FF303" s="1506"/>
      <c r="FG303" s="1506"/>
      <c r="FH303" s="1506"/>
      <c r="FI303" s="1506"/>
      <c r="FJ303" s="1506"/>
      <c r="FK303" s="1506"/>
      <c r="FL303" s="1506"/>
      <c r="FM303" s="1506"/>
      <c r="FN303" s="1506"/>
      <c r="FO303" s="1506"/>
      <c r="FP303" s="1506"/>
      <c r="FQ303" s="1506"/>
      <c r="FR303" s="1506"/>
      <c r="FS303" s="1506"/>
      <c r="FT303" s="1506"/>
      <c r="FU303" s="1506"/>
      <c r="FV303" s="1506"/>
      <c r="FW303" s="1506"/>
      <c r="FX303" s="1506"/>
      <c r="FY303" s="1506"/>
      <c r="FZ303" s="1506"/>
      <c r="GA303" s="1506"/>
      <c r="GB303" s="1506"/>
      <c r="GC303" s="1506"/>
    </row>
    <row r="304" spans="1:185" s="93" customFormat="1" ht="12.95" customHeight="1">
      <c r="A304" s="43" t="s">
        <v>17</v>
      </c>
      <c r="B304" s="43"/>
      <c r="C304" s="1506"/>
      <c r="D304" s="1506"/>
      <c r="E304" s="1509"/>
      <c r="F304" s="1506"/>
      <c r="G304" s="1509"/>
      <c r="H304" s="1506"/>
      <c r="I304" s="1506"/>
      <c r="J304" s="1506"/>
      <c r="K304" s="1506"/>
      <c r="L304" s="1506"/>
      <c r="M304" s="1506"/>
      <c r="N304" s="1506"/>
      <c r="O304" s="1506"/>
      <c r="P304" s="1506"/>
      <c r="Q304" s="1506"/>
      <c r="R304" s="1506"/>
      <c r="S304" s="1506"/>
      <c r="T304" s="1506"/>
      <c r="U304" s="1506"/>
      <c r="V304" s="1506"/>
      <c r="W304" s="1506"/>
      <c r="X304" s="1506"/>
      <c r="Y304" s="1506"/>
      <c r="Z304" s="1506"/>
      <c r="AA304" s="1506"/>
      <c r="AB304" s="1506"/>
      <c r="AC304" s="1506"/>
      <c r="AD304" s="1506"/>
      <c r="AE304" s="1506"/>
      <c r="AF304" s="1506"/>
      <c r="AG304" s="1506"/>
      <c r="AH304" s="1506"/>
      <c r="AI304" s="1506"/>
      <c r="AJ304" s="1506"/>
      <c r="AK304" s="1506"/>
      <c r="AL304" s="1506"/>
      <c r="AM304" s="1506"/>
      <c r="AN304" s="1506"/>
      <c r="AO304" s="1506"/>
      <c r="AP304" s="1506"/>
      <c r="AQ304" s="1506"/>
      <c r="AR304" s="1506"/>
      <c r="AS304" s="1506"/>
      <c r="AT304" s="1506"/>
      <c r="AU304" s="1506"/>
      <c r="AV304" s="1506"/>
      <c r="AW304" s="1506"/>
      <c r="AX304" s="1506"/>
      <c r="AY304" s="1506"/>
      <c r="AZ304" s="1506"/>
      <c r="BA304" s="1506"/>
      <c r="BB304" s="1506"/>
      <c r="BC304" s="1506"/>
      <c r="BD304" s="1506"/>
      <c r="BE304" s="1506"/>
      <c r="BF304" s="1506"/>
      <c r="BG304" s="1506"/>
      <c r="BH304" s="1506"/>
      <c r="BI304" s="1506"/>
      <c r="BJ304" s="1506"/>
      <c r="BK304" s="1506"/>
      <c r="BL304" s="1506"/>
      <c r="BM304" s="1506"/>
      <c r="BN304" s="1506"/>
      <c r="BO304" s="1506"/>
      <c r="BP304" s="1506"/>
      <c r="BQ304" s="1506"/>
      <c r="BR304" s="1506"/>
      <c r="BS304" s="1506"/>
      <c r="BT304" s="1506"/>
      <c r="BU304" s="1506"/>
      <c r="BV304" s="1506"/>
      <c r="BW304" s="1506"/>
      <c r="BX304" s="1506"/>
      <c r="BY304" s="1506"/>
      <c r="BZ304" s="1506"/>
      <c r="CA304" s="1506"/>
      <c r="CB304" s="1506"/>
      <c r="CC304" s="1506"/>
      <c r="CD304" s="1506"/>
      <c r="CE304" s="1506"/>
      <c r="CF304" s="1506"/>
      <c r="CG304" s="1506"/>
      <c r="CH304" s="1506"/>
      <c r="CI304" s="1506"/>
      <c r="CJ304" s="1506"/>
      <c r="CK304" s="1506"/>
      <c r="CL304" s="1506"/>
      <c r="CM304" s="1506"/>
      <c r="CN304" s="1506"/>
      <c r="CO304" s="1506"/>
      <c r="CP304" s="1506"/>
      <c r="CQ304" s="1506"/>
      <c r="CR304" s="1506"/>
      <c r="CS304" s="1506"/>
      <c r="CT304" s="1506"/>
      <c r="CU304" s="1506"/>
      <c r="CV304" s="1506"/>
      <c r="CW304" s="1506"/>
      <c r="CX304" s="1506"/>
      <c r="CY304" s="1506"/>
      <c r="CZ304" s="1506"/>
      <c r="DA304" s="1506"/>
      <c r="DB304" s="1506"/>
      <c r="DC304" s="1506"/>
      <c r="DD304" s="1506"/>
      <c r="DE304" s="1506"/>
      <c r="DF304" s="1506"/>
      <c r="DG304" s="1506"/>
      <c r="DH304" s="1506"/>
      <c r="DI304" s="1506"/>
      <c r="DJ304" s="1506"/>
      <c r="DK304" s="1506"/>
      <c r="DL304" s="1506"/>
      <c r="DM304" s="1506"/>
      <c r="DN304" s="1506"/>
      <c r="DO304" s="1506"/>
      <c r="DP304" s="1506"/>
      <c r="DQ304" s="1506"/>
      <c r="DR304" s="1506"/>
      <c r="DS304" s="1506"/>
      <c r="DT304" s="1506"/>
      <c r="DU304" s="1506"/>
      <c r="DV304" s="1506"/>
      <c r="DW304" s="1506"/>
      <c r="DX304" s="1506"/>
      <c r="DY304" s="1506"/>
      <c r="DZ304" s="1506"/>
      <c r="EA304" s="1506"/>
      <c r="EB304" s="1506"/>
      <c r="EC304" s="1506"/>
      <c r="ED304" s="1506"/>
      <c r="EE304" s="1506"/>
      <c r="EF304" s="1506"/>
      <c r="EG304" s="1506"/>
      <c r="EH304" s="1506"/>
      <c r="EI304" s="1506"/>
      <c r="EJ304" s="1506"/>
      <c r="EK304" s="1506"/>
      <c r="EL304" s="1506"/>
      <c r="EM304" s="1506"/>
      <c r="EN304" s="1506"/>
      <c r="EO304" s="1506"/>
      <c r="EP304" s="1506"/>
      <c r="EQ304" s="1506"/>
      <c r="ER304" s="1506"/>
      <c r="ES304" s="1506"/>
      <c r="ET304" s="1506"/>
      <c r="EU304" s="1506"/>
      <c r="EV304" s="1506"/>
      <c r="EW304" s="1506"/>
      <c r="EX304" s="1506"/>
      <c r="EY304" s="1506"/>
      <c r="EZ304" s="1506"/>
      <c r="FA304" s="1506"/>
      <c r="FB304" s="1506"/>
      <c r="FC304" s="1506"/>
      <c r="FD304" s="1506"/>
      <c r="FE304" s="1506"/>
      <c r="FF304" s="1506"/>
      <c r="FG304" s="1506"/>
      <c r="FH304" s="1506"/>
      <c r="FI304" s="1506"/>
      <c r="FJ304" s="1506"/>
      <c r="FK304" s="1506"/>
      <c r="FL304" s="1506"/>
      <c r="FM304" s="1506"/>
      <c r="FN304" s="1506"/>
      <c r="FO304" s="1506"/>
      <c r="FP304" s="1506"/>
      <c r="FQ304" s="1506"/>
      <c r="FR304" s="1506"/>
      <c r="FS304" s="1506"/>
      <c r="FT304" s="1506"/>
      <c r="FU304" s="1506"/>
      <c r="FV304" s="1506"/>
      <c r="FW304" s="1506"/>
      <c r="FX304" s="1506"/>
      <c r="FY304" s="1506"/>
      <c r="FZ304" s="1506"/>
      <c r="GA304" s="1506"/>
      <c r="GB304" s="1506"/>
      <c r="GC304" s="1506"/>
    </row>
    <row r="305" spans="1:185" customFormat="1">
      <c r="A305" s="43" t="s">
        <v>17</v>
      </c>
      <c r="B305" s="43"/>
      <c r="C305" s="2060"/>
      <c r="D305" s="2060"/>
      <c r="E305" s="2060"/>
      <c r="F305" s="2060"/>
      <c r="G305" s="2060"/>
      <c r="H305" s="2060"/>
      <c r="I305" s="2060"/>
      <c r="J305" s="2060"/>
      <c r="K305" s="2060"/>
      <c r="L305" s="2060"/>
      <c r="M305" s="2060"/>
      <c r="N305" s="2060"/>
      <c r="O305" s="2060"/>
      <c r="P305" s="2060"/>
      <c r="Q305" s="2060"/>
      <c r="R305" s="2060"/>
      <c r="S305" s="2060"/>
      <c r="T305" s="2060"/>
      <c r="U305" s="2060"/>
      <c r="V305" s="2060"/>
      <c r="W305" s="2060"/>
      <c r="X305" s="2060"/>
      <c r="Y305" s="2060"/>
      <c r="Z305" s="2060"/>
      <c r="AA305" s="2060"/>
      <c r="AB305" s="2060"/>
      <c r="AC305" s="2060"/>
      <c r="AD305" s="2060"/>
      <c r="AE305" s="2060"/>
      <c r="AF305" s="2060"/>
      <c r="AG305" s="2060"/>
      <c r="AH305" s="2060"/>
      <c r="AI305" s="2060"/>
      <c r="AJ305" s="2060"/>
      <c r="AK305" s="2060"/>
      <c r="AL305" s="2060"/>
      <c r="AM305" s="2060"/>
      <c r="AN305" s="2060"/>
      <c r="AO305" s="2060"/>
      <c r="AP305" s="2060"/>
      <c r="AQ305" s="2060"/>
      <c r="AR305" s="2060"/>
      <c r="AS305" s="2060"/>
      <c r="AT305" s="2060"/>
      <c r="AU305" s="2060"/>
      <c r="AV305" s="2060"/>
      <c r="AW305" s="2060"/>
      <c r="AX305" s="2060"/>
      <c r="AY305" s="2060"/>
      <c r="AZ305" s="2060"/>
      <c r="BA305" s="2060"/>
      <c r="BB305" s="2060"/>
      <c r="BC305" s="2060"/>
      <c r="BD305" s="2060"/>
      <c r="BE305" s="2060"/>
      <c r="BF305" s="2060"/>
      <c r="BG305" s="2060"/>
      <c r="BH305" s="2060"/>
      <c r="BI305" s="2060"/>
      <c r="BJ305" s="2060"/>
      <c r="BK305" s="2060"/>
      <c r="BL305" s="2060"/>
      <c r="BM305" s="2060"/>
      <c r="BN305" s="2060"/>
      <c r="BO305" s="2060"/>
      <c r="BP305" s="2060"/>
      <c r="BQ305" s="2060"/>
      <c r="BR305" s="2060"/>
      <c r="BS305" s="2060"/>
      <c r="BT305" s="2060"/>
      <c r="BU305" s="2060"/>
      <c r="BV305" s="2060"/>
      <c r="BW305" s="2060"/>
      <c r="BX305" s="2060"/>
      <c r="BY305" s="2060"/>
      <c r="BZ305" s="2060"/>
      <c r="CA305" s="2060"/>
      <c r="CB305" s="2060"/>
      <c r="CC305" s="2060"/>
      <c r="CD305" s="2060"/>
      <c r="CE305" s="2060"/>
      <c r="CF305" s="2060"/>
      <c r="CG305" s="2060"/>
      <c r="CH305" s="2060"/>
      <c r="CI305" s="2060"/>
      <c r="CJ305" s="2060"/>
      <c r="CK305" s="2060"/>
      <c r="CL305" s="2060"/>
      <c r="CM305" s="2060"/>
      <c r="CN305" s="2060"/>
      <c r="CO305" s="2060"/>
      <c r="CP305" s="2060"/>
      <c r="CQ305" s="2060"/>
      <c r="CR305" s="2060"/>
      <c r="CS305" s="2060"/>
      <c r="CT305" s="2060"/>
      <c r="CU305" s="2060"/>
      <c r="CV305" s="2060"/>
      <c r="CW305" s="2060"/>
      <c r="CX305" s="2060"/>
      <c r="CY305" s="2060"/>
      <c r="CZ305" s="2060"/>
      <c r="DA305" s="2060"/>
      <c r="DB305" s="2060"/>
      <c r="DC305" s="2060"/>
      <c r="DD305" s="2060"/>
      <c r="DE305" s="2060"/>
      <c r="DF305" s="2060"/>
      <c r="DG305" s="2060"/>
      <c r="DH305" s="2060"/>
      <c r="DI305" s="2060"/>
      <c r="DJ305" s="2060"/>
      <c r="DK305" s="2060"/>
      <c r="DL305" s="2060"/>
      <c r="DM305" s="2060"/>
      <c r="DN305" s="2060"/>
      <c r="DO305" s="2060"/>
      <c r="DP305" s="2060"/>
      <c r="DQ305" s="2060"/>
      <c r="DR305" s="2060"/>
      <c r="DS305" s="2060"/>
      <c r="DT305" s="2060"/>
      <c r="DU305" s="2060"/>
      <c r="DV305" s="2060"/>
      <c r="DW305" s="2060"/>
      <c r="DX305" s="2060"/>
      <c r="DY305" s="2060"/>
      <c r="DZ305" s="2060"/>
      <c r="EA305" s="2060"/>
      <c r="EB305" s="2060"/>
      <c r="EC305" s="2060"/>
      <c r="ED305" s="2060"/>
      <c r="EE305" s="2060"/>
      <c r="EF305" s="2060"/>
      <c r="EG305" s="2060"/>
      <c r="EH305" s="2060"/>
      <c r="EI305" s="2060"/>
      <c r="EJ305" s="2060"/>
      <c r="EK305" s="2060"/>
      <c r="EL305" s="2060"/>
      <c r="EM305" s="2060"/>
      <c r="EN305" s="2060"/>
      <c r="EO305" s="2060"/>
      <c r="EP305" s="2060"/>
      <c r="EQ305" s="2060"/>
      <c r="ER305" s="2060"/>
      <c r="ES305" s="2060"/>
      <c r="ET305" s="2060"/>
      <c r="EU305" s="2060"/>
      <c r="EV305" s="2060"/>
      <c r="EW305" s="2060"/>
      <c r="EX305" s="2060"/>
      <c r="EY305" s="2060"/>
      <c r="EZ305" s="2060"/>
      <c r="FA305" s="2060"/>
      <c r="FB305" s="2060"/>
      <c r="FC305" s="2060"/>
      <c r="FD305" s="2060"/>
      <c r="FE305" s="2060"/>
      <c r="FF305" s="2060"/>
      <c r="FG305" s="2060"/>
      <c r="FH305" s="2060"/>
      <c r="FI305" s="2060"/>
      <c r="FJ305" s="2060"/>
      <c r="FK305" s="2060"/>
      <c r="FL305" s="2060"/>
      <c r="FM305" s="2060"/>
      <c r="FN305" s="2060"/>
      <c r="FO305" s="2060"/>
      <c r="FP305" s="2060"/>
      <c r="FQ305" s="2060"/>
      <c r="FR305" s="2060"/>
      <c r="FS305" s="2060"/>
      <c r="FT305" s="2060"/>
      <c r="FU305" s="2060"/>
      <c r="FV305" s="2060"/>
      <c r="FW305" s="2060"/>
      <c r="FX305" s="2060"/>
      <c r="FY305" s="2060"/>
      <c r="FZ305" s="2060"/>
      <c r="GA305" s="2060"/>
      <c r="GB305" s="2060"/>
      <c r="GC305" s="2060"/>
    </row>
    <row r="306" spans="1:185" customFormat="1">
      <c r="A306" s="43" t="s">
        <v>17</v>
      </c>
      <c r="B306" s="43"/>
      <c r="C306" s="2060"/>
      <c r="D306" s="2060"/>
      <c r="E306" s="2060" t="s">
        <v>1110</v>
      </c>
      <c r="F306" s="829" t="s">
        <v>704</v>
      </c>
      <c r="G306" s="2060"/>
      <c r="H306" s="2060"/>
      <c r="I306" s="2060"/>
      <c r="J306" s="2060"/>
      <c r="K306" s="2060"/>
      <c r="L306" s="2060"/>
      <c r="M306" s="2060"/>
      <c r="N306" s="2060"/>
      <c r="O306" s="2060"/>
      <c r="P306" s="2060"/>
      <c r="Q306" s="2060"/>
      <c r="R306" s="2060"/>
      <c r="S306" s="2060"/>
      <c r="T306" s="2060"/>
      <c r="U306" s="2060"/>
      <c r="V306" s="2060"/>
      <c r="W306" s="2060"/>
      <c r="X306" s="2060"/>
      <c r="Y306" s="2060"/>
      <c r="Z306" s="2060"/>
      <c r="AA306" s="2060"/>
      <c r="AB306" s="2060"/>
      <c r="AC306" s="2060"/>
      <c r="AD306" s="2060"/>
      <c r="AE306" s="2060"/>
      <c r="AF306" s="2060"/>
      <c r="AG306" s="2060"/>
      <c r="AH306" s="2060"/>
      <c r="AI306" s="2060"/>
      <c r="AJ306" s="2060"/>
      <c r="AK306" s="2060"/>
      <c r="AL306" s="2060"/>
      <c r="AM306" s="2060"/>
      <c r="AN306" s="2060"/>
      <c r="AO306" s="2060"/>
      <c r="AP306" s="2060"/>
      <c r="AQ306" s="2060"/>
      <c r="AR306" s="2060"/>
      <c r="AS306" s="2060"/>
      <c r="AT306" s="2060"/>
      <c r="AU306" s="2060"/>
      <c r="AV306" s="2060"/>
      <c r="AW306" s="2060"/>
      <c r="AX306" s="2060"/>
      <c r="AY306" s="2060"/>
      <c r="AZ306" s="2060"/>
      <c r="BA306" s="2060"/>
      <c r="BB306" s="2060"/>
      <c r="BC306" s="2060"/>
      <c r="BD306" s="2060"/>
      <c r="BE306" s="2060"/>
      <c r="BF306" s="2060"/>
      <c r="BG306" s="2060"/>
      <c r="BH306" s="2060"/>
      <c r="BI306" s="2060"/>
      <c r="BJ306" s="2060"/>
      <c r="BK306" s="2060"/>
      <c r="BL306" s="2060"/>
      <c r="BM306" s="2060"/>
      <c r="BN306" s="2060"/>
      <c r="BO306" s="2060"/>
      <c r="BP306" s="2060"/>
      <c r="BQ306" s="2060"/>
      <c r="BR306" s="2060"/>
      <c r="BS306" s="2060"/>
      <c r="BT306" s="2060"/>
      <c r="BU306" s="2060"/>
      <c r="BV306" s="2060"/>
      <c r="BW306" s="2060"/>
      <c r="BX306" s="2060"/>
      <c r="BY306" s="2060"/>
      <c r="BZ306" s="2060"/>
      <c r="CA306" s="2060"/>
      <c r="CB306" s="2060"/>
      <c r="CC306" s="2060"/>
      <c r="CD306" s="2060"/>
      <c r="CE306" s="2060"/>
      <c r="CF306" s="2060"/>
      <c r="CG306" s="2060"/>
      <c r="CH306" s="2060"/>
      <c r="CI306" s="2060"/>
      <c r="CJ306" s="2060"/>
      <c r="CK306" s="2060"/>
      <c r="CL306" s="2060"/>
      <c r="CM306" s="2060"/>
      <c r="CN306" s="2060"/>
      <c r="CO306" s="2060"/>
      <c r="CP306" s="2060"/>
      <c r="CQ306" s="2060"/>
      <c r="CR306" s="2060"/>
      <c r="CS306" s="2060"/>
      <c r="CT306" s="2060"/>
      <c r="CU306" s="2060"/>
      <c r="CV306" s="2060"/>
      <c r="CW306" s="2060"/>
      <c r="CX306" s="2060"/>
      <c r="CY306" s="2060"/>
      <c r="CZ306" s="2060"/>
      <c r="DA306" s="2060"/>
      <c r="DB306" s="2060"/>
      <c r="DC306" s="2060"/>
      <c r="DD306" s="2060"/>
      <c r="DE306" s="2060"/>
      <c r="DF306" s="2060"/>
      <c r="DG306" s="2060"/>
      <c r="DH306" s="2060"/>
      <c r="DI306" s="2060"/>
      <c r="DJ306" s="2060"/>
      <c r="DK306" s="2060"/>
      <c r="DL306" s="2060"/>
      <c r="DM306" s="2060"/>
      <c r="DN306" s="2060"/>
      <c r="DO306" s="2060"/>
      <c r="DP306" s="2060"/>
      <c r="DQ306" s="2060"/>
      <c r="DR306" s="2060"/>
      <c r="DS306" s="2060"/>
      <c r="DT306" s="2060"/>
      <c r="DU306" s="2060"/>
      <c r="DV306" s="2060"/>
      <c r="DW306" s="2060"/>
      <c r="DX306" s="2060"/>
      <c r="DY306" s="2060"/>
      <c r="DZ306" s="2060"/>
      <c r="EA306" s="2060"/>
      <c r="EB306" s="2060"/>
      <c r="EC306" s="2060"/>
      <c r="ED306" s="2060"/>
      <c r="EE306" s="2060"/>
      <c r="EF306" s="2060"/>
      <c r="EG306" s="2060"/>
      <c r="EH306" s="2060"/>
      <c r="EI306" s="2060"/>
      <c r="EJ306" s="2060"/>
      <c r="EK306" s="2060"/>
      <c r="EL306" s="2060"/>
      <c r="EM306" s="2060"/>
      <c r="EN306" s="2060"/>
      <c r="EO306" s="2060"/>
      <c r="EP306" s="2060"/>
      <c r="EQ306" s="2060"/>
      <c r="ER306" s="2060"/>
      <c r="ES306" s="2060"/>
      <c r="ET306" s="2060"/>
      <c r="EU306" s="2060"/>
      <c r="EV306" s="2060"/>
      <c r="EW306" s="2060"/>
      <c r="EX306" s="2060"/>
      <c r="EY306" s="2060"/>
      <c r="EZ306" s="2060"/>
      <c r="FA306" s="2060"/>
      <c r="FB306" s="2060"/>
      <c r="FC306" s="2060"/>
      <c r="FD306" s="2060"/>
      <c r="FE306" s="2060"/>
      <c r="FF306" s="2060"/>
      <c r="FG306" s="2060"/>
      <c r="FH306" s="2060"/>
      <c r="FI306" s="2060"/>
      <c r="FJ306" s="2060"/>
      <c r="FK306" s="2060"/>
      <c r="FL306" s="2060"/>
      <c r="FM306" s="2060"/>
      <c r="FN306" s="2060"/>
      <c r="FO306" s="2060"/>
      <c r="FP306" s="2060"/>
      <c r="FQ306" s="2060"/>
      <c r="FR306" s="2060"/>
      <c r="FS306" s="2060"/>
      <c r="FT306" s="2060"/>
      <c r="FU306" s="2060"/>
      <c r="FV306" s="2060"/>
      <c r="FW306" s="2060"/>
      <c r="FX306" s="2060"/>
      <c r="FY306" s="2060"/>
      <c r="FZ306" s="2060"/>
      <c r="GA306" s="2060"/>
      <c r="GB306" s="2060"/>
      <c r="GC306" s="2060"/>
    </row>
    <row r="307" spans="1:185" customFormat="1">
      <c r="A307" s="43" t="s">
        <v>17</v>
      </c>
      <c r="B307" s="43"/>
      <c r="C307" s="2060"/>
      <c r="D307" s="2060"/>
      <c r="E307" s="2060">
        <f>MATCH(DMESetting,DETime,0)</f>
        <v>6</v>
      </c>
      <c r="F307" s="829" t="s">
        <v>1111</v>
      </c>
      <c r="G307" s="2060"/>
      <c r="H307" s="2060"/>
      <c r="I307" s="2060"/>
      <c r="J307" s="2060"/>
      <c r="K307" s="2060"/>
      <c r="L307" s="2060"/>
      <c r="M307" s="2060"/>
      <c r="N307" s="2060"/>
      <c r="O307" s="2060"/>
      <c r="P307" s="2060"/>
      <c r="Q307" s="2060"/>
      <c r="R307" s="2060"/>
      <c r="S307" s="2060"/>
      <c r="T307" s="2060"/>
      <c r="U307" s="2060"/>
      <c r="V307" s="2060"/>
      <c r="W307" s="2060"/>
      <c r="X307" s="2060"/>
      <c r="Y307" s="2060"/>
      <c r="Z307" s="2060"/>
      <c r="AA307" s="2060"/>
      <c r="AB307" s="2060"/>
      <c r="AC307" s="2060"/>
      <c r="AD307" s="2060"/>
      <c r="AE307" s="2060"/>
      <c r="AF307" s="2060"/>
      <c r="AG307" s="2060"/>
      <c r="AH307" s="2060"/>
      <c r="AI307" s="2060"/>
      <c r="AJ307" s="2060"/>
      <c r="AK307" s="2060"/>
      <c r="AL307" s="2060"/>
      <c r="AM307" s="2060"/>
      <c r="AN307" s="2060"/>
      <c r="AO307" s="2060"/>
      <c r="AP307" s="2060"/>
      <c r="AQ307" s="2060"/>
      <c r="AR307" s="2060"/>
      <c r="AS307" s="2060"/>
      <c r="AT307" s="2060"/>
      <c r="AU307" s="2060"/>
      <c r="AV307" s="2060"/>
      <c r="AW307" s="2060"/>
      <c r="AX307" s="2060"/>
      <c r="AY307" s="2060"/>
      <c r="AZ307" s="2060"/>
      <c r="BA307" s="2060"/>
      <c r="BB307" s="2060"/>
      <c r="BC307" s="2060"/>
      <c r="BD307" s="2060"/>
      <c r="BE307" s="2060"/>
      <c r="BF307" s="2060"/>
      <c r="BG307" s="2060"/>
      <c r="BH307" s="2060"/>
      <c r="BI307" s="2060"/>
      <c r="BJ307" s="2060"/>
      <c r="BK307" s="2060"/>
      <c r="BL307" s="2060"/>
      <c r="BM307" s="2060"/>
      <c r="BN307" s="2060"/>
      <c r="BO307" s="2060"/>
      <c r="BP307" s="2060"/>
      <c r="BQ307" s="2060"/>
      <c r="BR307" s="2060"/>
      <c r="BS307" s="2060"/>
      <c r="BT307" s="2060"/>
      <c r="BU307" s="2060"/>
      <c r="BV307" s="2060"/>
      <c r="BW307" s="2060"/>
      <c r="BX307" s="2060"/>
      <c r="BY307" s="2060"/>
      <c r="BZ307" s="2060"/>
      <c r="CA307" s="2060"/>
      <c r="CB307" s="2060"/>
      <c r="CC307" s="2060"/>
      <c r="CD307" s="2060"/>
      <c r="CE307" s="2060"/>
      <c r="CF307" s="2060"/>
      <c r="CG307" s="2060"/>
      <c r="CH307" s="2060"/>
      <c r="CI307" s="2060"/>
      <c r="CJ307" s="2060"/>
      <c r="CK307" s="2060"/>
      <c r="CL307" s="2060"/>
      <c r="CM307" s="2060"/>
      <c r="CN307" s="2060"/>
      <c r="CO307" s="2060"/>
      <c r="CP307" s="2060"/>
      <c r="CQ307" s="2060"/>
      <c r="CR307" s="2060"/>
      <c r="CS307" s="2060"/>
      <c r="CT307" s="2060"/>
      <c r="CU307" s="2060"/>
      <c r="CV307" s="2060"/>
      <c r="CW307" s="2060"/>
      <c r="CX307" s="2060"/>
      <c r="CY307" s="2060"/>
      <c r="CZ307" s="2060"/>
      <c r="DA307" s="2060"/>
      <c r="DB307" s="2060"/>
      <c r="DC307" s="2060"/>
      <c r="DD307" s="2060"/>
      <c r="DE307" s="2060"/>
      <c r="DF307" s="2060"/>
      <c r="DG307" s="2060"/>
      <c r="DH307" s="2060"/>
      <c r="DI307" s="2060"/>
      <c r="DJ307" s="2060"/>
      <c r="DK307" s="2060"/>
      <c r="DL307" s="2060"/>
      <c r="DM307" s="2060"/>
      <c r="DN307" s="2060"/>
      <c r="DO307" s="2060"/>
      <c r="DP307" s="2060"/>
      <c r="DQ307" s="2060"/>
      <c r="DR307" s="2060"/>
      <c r="DS307" s="2060"/>
      <c r="DT307" s="2060"/>
      <c r="DU307" s="2060"/>
      <c r="DV307" s="2060"/>
      <c r="DW307" s="2060"/>
      <c r="DX307" s="2060"/>
      <c r="DY307" s="2060"/>
      <c r="DZ307" s="2060"/>
      <c r="EA307" s="2060"/>
      <c r="EB307" s="2060"/>
      <c r="EC307" s="2060"/>
      <c r="ED307" s="2060"/>
      <c r="EE307" s="2060"/>
      <c r="EF307" s="2060"/>
      <c r="EG307" s="2060"/>
      <c r="EH307" s="2060"/>
      <c r="EI307" s="2060"/>
      <c r="EJ307" s="2060"/>
      <c r="EK307" s="2060"/>
      <c r="EL307" s="2060"/>
      <c r="EM307" s="2060"/>
      <c r="EN307" s="2060"/>
      <c r="EO307" s="2060"/>
      <c r="EP307" s="2060"/>
      <c r="EQ307" s="2060"/>
      <c r="ER307" s="2060"/>
      <c r="ES307" s="2060"/>
      <c r="ET307" s="2060"/>
      <c r="EU307" s="2060"/>
      <c r="EV307" s="2060"/>
      <c r="EW307" s="2060"/>
      <c r="EX307" s="2060"/>
      <c r="EY307" s="2060"/>
      <c r="EZ307" s="2060"/>
      <c r="FA307" s="2060"/>
      <c r="FB307" s="2060"/>
      <c r="FC307" s="2060"/>
      <c r="FD307" s="2060"/>
      <c r="FE307" s="2060"/>
      <c r="FF307" s="2060"/>
      <c r="FG307" s="2060"/>
      <c r="FH307" s="2060"/>
      <c r="FI307" s="2060"/>
      <c r="FJ307" s="2060"/>
      <c r="FK307" s="2060"/>
      <c r="FL307" s="2060"/>
      <c r="FM307" s="2060"/>
      <c r="FN307" s="2060"/>
      <c r="FO307" s="2060"/>
      <c r="FP307" s="2060"/>
      <c r="FQ307" s="2060"/>
      <c r="FR307" s="2060"/>
      <c r="FS307" s="2060"/>
      <c r="FT307" s="2060"/>
      <c r="FU307" s="2060"/>
      <c r="FV307" s="2060"/>
      <c r="FW307" s="2060"/>
      <c r="FX307" s="2060"/>
      <c r="FY307" s="2060"/>
      <c r="FZ307" s="2060"/>
      <c r="GA307" s="2060"/>
      <c r="GB307" s="2060"/>
      <c r="GC307" s="2060"/>
    </row>
    <row r="308" spans="1:185">
      <c r="A308" s="43" t="s">
        <v>17</v>
      </c>
      <c r="B308" s="43"/>
      <c r="C308" s="2060"/>
      <c r="D308" s="2060"/>
      <c r="E308" s="2060"/>
      <c r="F308" s="829" t="s">
        <v>1112</v>
      </c>
      <c r="G308" s="2060"/>
      <c r="H308" s="2060"/>
      <c r="I308" s="2060"/>
      <c r="J308" s="2060"/>
      <c r="K308" s="2060"/>
      <c r="L308" s="2060"/>
      <c r="M308" s="2060"/>
      <c r="N308" s="2060"/>
      <c r="O308" s="2060"/>
      <c r="P308" s="2060"/>
      <c r="Q308" s="2060"/>
      <c r="R308" s="2060"/>
      <c r="S308" s="2060"/>
      <c r="T308" s="2060"/>
      <c r="U308" s="2060"/>
      <c r="V308" s="2060"/>
      <c r="W308" s="2060"/>
      <c r="X308" s="2060"/>
      <c r="Y308" s="2060"/>
      <c r="Z308" s="2060"/>
      <c r="AA308" s="2060"/>
      <c r="AB308" s="2060"/>
      <c r="AC308" s="2060"/>
      <c r="AD308" s="2060"/>
      <c r="AE308" s="2060"/>
      <c r="AF308" s="2060"/>
      <c r="AG308" s="2060"/>
      <c r="AH308" s="2060"/>
      <c r="AI308" s="2060"/>
      <c r="AJ308" s="2060"/>
      <c r="AK308" s="2060"/>
      <c r="AL308" s="2060"/>
      <c r="AM308" s="2060"/>
      <c r="AN308" s="2060"/>
      <c r="AO308" s="2060"/>
      <c r="AP308" s="2060"/>
      <c r="AQ308" s="2060"/>
      <c r="AR308" s="2060"/>
      <c r="AS308" s="2060"/>
      <c r="AT308" s="2060"/>
      <c r="AU308" s="2060"/>
      <c r="AV308" s="2060"/>
      <c r="AW308" s="2060"/>
      <c r="AX308" s="2060"/>
      <c r="AY308" s="2060"/>
      <c r="AZ308" s="2060"/>
      <c r="BA308" s="2060"/>
      <c r="BB308" s="2060"/>
      <c r="BC308" s="2060"/>
      <c r="BD308" s="2060"/>
      <c r="BE308" s="2060"/>
      <c r="BF308" s="2060"/>
      <c r="BG308" s="2060"/>
      <c r="BH308" s="2060"/>
      <c r="BI308" s="2060"/>
      <c r="BJ308" s="2060"/>
      <c r="BK308" s="2060"/>
      <c r="BL308" s="2060"/>
      <c r="BM308" s="2060"/>
      <c r="BN308" s="2060"/>
      <c r="BO308" s="2060"/>
      <c r="BP308" s="2060"/>
      <c r="BQ308" s="2060"/>
      <c r="BR308" s="2060"/>
      <c r="BS308" s="2060"/>
      <c r="BT308" s="2060"/>
      <c r="BU308" s="2060"/>
      <c r="BV308" s="2060"/>
      <c r="BW308" s="2060"/>
      <c r="BX308" s="2060"/>
      <c r="BY308" s="2060"/>
      <c r="BZ308" s="2060"/>
      <c r="CA308" s="2060"/>
      <c r="CB308" s="2060"/>
      <c r="CC308" s="2060"/>
      <c r="CD308" s="2060"/>
      <c r="CE308" s="2060"/>
      <c r="CF308" s="2060"/>
      <c r="CG308" s="2060"/>
      <c r="CH308" s="2060"/>
      <c r="CI308" s="2060"/>
      <c r="CJ308" s="2060"/>
      <c r="CK308" s="2060"/>
      <c r="CL308" s="2060"/>
      <c r="CM308" s="2060"/>
      <c r="CN308" s="2060"/>
      <c r="CO308" s="2060"/>
      <c r="CP308" s="2060"/>
      <c r="CQ308" s="2060"/>
      <c r="CR308" s="2060"/>
      <c r="CS308" s="2060"/>
      <c r="CT308" s="2060"/>
      <c r="CU308" s="2060"/>
      <c r="CV308" s="2060"/>
      <c r="CW308" s="2060"/>
      <c r="CX308" s="2060"/>
      <c r="CY308" s="2060"/>
      <c r="CZ308" s="2060"/>
      <c r="DA308" s="2060"/>
      <c r="DB308" s="2060"/>
      <c r="DC308" s="2060"/>
      <c r="DD308" s="2060"/>
      <c r="DE308" s="2060"/>
      <c r="DF308" s="2060"/>
      <c r="DG308" s="2060"/>
      <c r="DH308" s="2060"/>
      <c r="DI308" s="2060"/>
      <c r="DJ308" s="2060"/>
      <c r="DK308" s="2060"/>
      <c r="DL308" s="2060"/>
      <c r="DM308" s="2060"/>
      <c r="DN308" s="2060"/>
      <c r="DO308" s="2060"/>
      <c r="DP308" s="2060"/>
      <c r="DQ308" s="2060"/>
      <c r="DR308" s="2060"/>
      <c r="DS308" s="2060"/>
      <c r="DT308" s="2060"/>
      <c r="DU308" s="2060"/>
      <c r="DV308" s="2060"/>
      <c r="DW308" s="2060"/>
      <c r="DX308" s="2060"/>
      <c r="DY308" s="2060"/>
      <c r="DZ308" s="2060"/>
      <c r="EA308" s="2060"/>
      <c r="EB308" s="2060"/>
      <c r="EC308" s="2060"/>
      <c r="ED308" s="2060"/>
      <c r="EE308" s="2060"/>
      <c r="EF308" s="2060"/>
      <c r="EG308" s="2060"/>
      <c r="EH308" s="2060"/>
      <c r="EI308" s="2060"/>
      <c r="EJ308" s="2060"/>
      <c r="EK308" s="2060"/>
      <c r="EL308" s="2060"/>
      <c r="EM308" s="2060"/>
      <c r="EN308" s="2060"/>
      <c r="EO308" s="2060"/>
      <c r="EP308" s="2060"/>
      <c r="EQ308" s="2060"/>
      <c r="ER308" s="2060"/>
      <c r="ES308" s="2060"/>
      <c r="ET308" s="2060"/>
      <c r="EU308" s="2060"/>
      <c r="EV308" s="2060"/>
      <c r="EW308" s="2060"/>
      <c r="EX308" s="2060"/>
      <c r="EY308" s="2060"/>
      <c r="EZ308" s="2060"/>
      <c r="FA308" s="2060"/>
      <c r="FB308" s="2060"/>
      <c r="FC308" s="2060"/>
      <c r="FD308" s="2060"/>
      <c r="FE308" s="2060"/>
      <c r="FF308" s="2060"/>
      <c r="FG308" s="2060"/>
      <c r="FH308" s="2060"/>
      <c r="FI308" s="2060"/>
      <c r="FJ308" s="2060"/>
      <c r="FK308" s="2060"/>
      <c r="FL308" s="2060"/>
      <c r="FM308" s="2060"/>
      <c r="FN308" s="2060"/>
      <c r="FO308" s="2060"/>
      <c r="FP308" s="2060"/>
      <c r="FQ308" s="2060"/>
      <c r="FR308" s="2060"/>
      <c r="FS308" s="2060"/>
      <c r="FT308" s="2060"/>
      <c r="FU308" s="2060"/>
      <c r="FV308" s="2060"/>
      <c r="FW308" s="2060"/>
      <c r="FX308" s="2060"/>
      <c r="FY308" s="2060"/>
      <c r="FZ308" s="2060"/>
      <c r="GA308" s="2060"/>
      <c r="GB308" s="2060"/>
      <c r="GC308" s="2060"/>
    </row>
    <row r="309" spans="1:185">
      <c r="A309" s="43" t="s">
        <v>17</v>
      </c>
      <c r="B309" s="43"/>
      <c r="C309" s="2060"/>
      <c r="D309" s="2060"/>
      <c r="E309" s="2060"/>
      <c r="F309" s="829" t="s">
        <v>1113</v>
      </c>
      <c r="G309" s="2060"/>
      <c r="H309" s="2060"/>
      <c r="I309" s="2060"/>
      <c r="J309" s="2060"/>
      <c r="K309" s="2060"/>
      <c r="L309" s="2060"/>
      <c r="M309" s="2060"/>
      <c r="N309" s="2060"/>
      <c r="O309" s="2060"/>
      <c r="P309" s="2060"/>
      <c r="Q309" s="2060"/>
      <c r="R309" s="2060"/>
      <c r="S309" s="2060"/>
      <c r="T309" s="2060"/>
      <c r="U309" s="2060"/>
      <c r="V309" s="2060"/>
      <c r="W309" s="2060"/>
      <c r="X309" s="2060"/>
      <c r="Y309" s="2060"/>
      <c r="Z309" s="2060"/>
      <c r="AA309" s="2060"/>
      <c r="AB309" s="2060"/>
      <c r="AC309" s="2060"/>
      <c r="AD309" s="2060"/>
      <c r="AE309" s="2060"/>
      <c r="AF309" s="2060"/>
      <c r="AG309" s="2060"/>
      <c r="AH309" s="2060"/>
      <c r="AI309" s="2060"/>
      <c r="AJ309" s="2060"/>
      <c r="AK309" s="2060"/>
      <c r="AL309" s="2060"/>
      <c r="AM309" s="2060"/>
      <c r="AN309" s="2060"/>
      <c r="AO309" s="2060"/>
      <c r="AP309" s="2060"/>
      <c r="AQ309" s="2060"/>
      <c r="AR309" s="2060"/>
      <c r="AS309" s="2060"/>
      <c r="AT309" s="2060"/>
      <c r="AU309" s="2060"/>
      <c r="AV309" s="2060"/>
      <c r="AW309" s="2060"/>
      <c r="AX309" s="2060"/>
      <c r="AY309" s="2060"/>
      <c r="AZ309" s="2060"/>
      <c r="BA309" s="2060"/>
      <c r="BB309" s="2060"/>
      <c r="BC309" s="2060"/>
      <c r="BD309" s="2060"/>
      <c r="BE309" s="2060"/>
      <c r="BF309" s="2060"/>
      <c r="BG309" s="2060"/>
      <c r="BH309" s="2060"/>
      <c r="BI309" s="2060"/>
      <c r="BJ309" s="2060"/>
      <c r="BK309" s="2060"/>
      <c r="BL309" s="2060"/>
      <c r="BM309" s="2060"/>
      <c r="BN309" s="2060"/>
      <c r="BO309" s="2060"/>
      <c r="BP309" s="2060"/>
      <c r="BQ309" s="2060"/>
      <c r="BR309" s="2060"/>
      <c r="BS309" s="2060"/>
      <c r="BT309" s="2060"/>
      <c r="BU309" s="2060"/>
      <c r="BV309" s="2060"/>
      <c r="BW309" s="2060"/>
      <c r="BX309" s="2060"/>
      <c r="BY309" s="2060"/>
      <c r="BZ309" s="2060"/>
      <c r="CA309" s="2060"/>
      <c r="CB309" s="2060"/>
      <c r="CC309" s="2060"/>
      <c r="CD309" s="2060"/>
      <c r="CE309" s="2060"/>
      <c r="CF309" s="2060"/>
      <c r="CG309" s="2060"/>
      <c r="CH309" s="2060"/>
      <c r="CI309" s="2060"/>
      <c r="CJ309" s="2060"/>
      <c r="CK309" s="2060"/>
      <c r="CL309" s="2060"/>
      <c r="CM309" s="2060"/>
      <c r="CN309" s="2060"/>
      <c r="CO309" s="2060"/>
      <c r="CP309" s="2060"/>
      <c r="CQ309" s="2060"/>
      <c r="CR309" s="2060"/>
      <c r="CS309" s="2060"/>
      <c r="CT309" s="2060"/>
      <c r="CU309" s="2060"/>
      <c r="CV309" s="2060"/>
      <c r="CW309" s="2060"/>
      <c r="CX309" s="2060"/>
      <c r="CY309" s="2060"/>
      <c r="CZ309" s="2060"/>
      <c r="DA309" s="2060"/>
      <c r="DB309" s="2060"/>
      <c r="DC309" s="2060"/>
      <c r="DD309" s="2060"/>
      <c r="DE309" s="2060"/>
      <c r="DF309" s="2060"/>
      <c r="DG309" s="2060"/>
      <c r="DH309" s="2060"/>
      <c r="DI309" s="2060"/>
      <c r="DJ309" s="2060"/>
      <c r="DK309" s="2060"/>
      <c r="DL309" s="2060"/>
      <c r="DM309" s="2060"/>
      <c r="DN309" s="2060"/>
      <c r="DO309" s="2060"/>
      <c r="DP309" s="2060"/>
      <c r="DQ309" s="2060"/>
      <c r="DR309" s="2060"/>
      <c r="DS309" s="2060"/>
      <c r="DT309" s="2060"/>
      <c r="DU309" s="2060"/>
      <c r="DV309" s="2060"/>
      <c r="DW309" s="2060"/>
      <c r="DX309" s="2060"/>
      <c r="DY309" s="2060"/>
      <c r="DZ309" s="2060"/>
      <c r="EA309" s="2060"/>
      <c r="EB309" s="2060"/>
      <c r="EC309" s="2060"/>
      <c r="ED309" s="2060"/>
      <c r="EE309" s="2060"/>
      <c r="EF309" s="2060"/>
      <c r="EG309" s="2060"/>
      <c r="EH309" s="2060"/>
      <c r="EI309" s="2060"/>
      <c r="EJ309" s="2060"/>
      <c r="EK309" s="2060"/>
      <c r="EL309" s="2060"/>
      <c r="EM309" s="2060"/>
      <c r="EN309" s="2060"/>
      <c r="EO309" s="2060"/>
      <c r="EP309" s="2060"/>
      <c r="EQ309" s="2060"/>
      <c r="ER309" s="2060"/>
      <c r="ES309" s="2060"/>
      <c r="ET309" s="2060"/>
      <c r="EU309" s="2060"/>
      <c r="EV309" s="2060"/>
      <c r="EW309" s="2060"/>
      <c r="EX309" s="2060"/>
      <c r="EY309" s="2060"/>
      <c r="EZ309" s="2060"/>
      <c r="FA309" s="2060"/>
      <c r="FB309" s="2060"/>
      <c r="FC309" s="2060"/>
      <c r="FD309" s="2060"/>
      <c r="FE309" s="2060"/>
      <c r="FF309" s="2060"/>
      <c r="FG309" s="2060"/>
      <c r="FH309" s="2060"/>
      <c r="FI309" s="2060"/>
      <c r="FJ309" s="2060"/>
      <c r="FK309" s="2060"/>
      <c r="FL309" s="2060"/>
      <c r="FM309" s="2060"/>
      <c r="FN309" s="2060"/>
      <c r="FO309" s="2060"/>
      <c r="FP309" s="2060"/>
      <c r="FQ309" s="2060"/>
      <c r="FR309" s="2060"/>
      <c r="FS309" s="2060"/>
      <c r="FT309" s="2060"/>
      <c r="FU309" s="2060"/>
      <c r="FV309" s="2060"/>
      <c r="FW309" s="2060"/>
      <c r="FX309" s="2060"/>
      <c r="FY309" s="2060"/>
      <c r="FZ309" s="2060"/>
      <c r="GA309" s="2060"/>
      <c r="GB309" s="2060"/>
      <c r="GC309" s="2060"/>
    </row>
    <row r="310" spans="1:185">
      <c r="A310" s="43" t="s">
        <v>17</v>
      </c>
      <c r="B310" s="43"/>
      <c r="C310" s="2060"/>
      <c r="D310" s="2060"/>
      <c r="E310" s="2060"/>
      <c r="F310" s="829" t="s">
        <v>1114</v>
      </c>
      <c r="G310" s="2060"/>
      <c r="H310" s="2060"/>
      <c r="I310" s="2060"/>
      <c r="J310" s="2060"/>
      <c r="K310" s="2060"/>
      <c r="L310" s="2060"/>
      <c r="M310" s="2060"/>
      <c r="N310" s="2060"/>
      <c r="O310" s="2060"/>
      <c r="P310" s="2060"/>
      <c r="Q310" s="2060"/>
      <c r="R310" s="2060"/>
      <c r="S310" s="2060"/>
      <c r="T310" s="2060"/>
      <c r="U310" s="2060"/>
      <c r="V310" s="2060"/>
      <c r="W310" s="2060"/>
      <c r="X310" s="2060"/>
      <c r="Y310" s="2060"/>
      <c r="Z310" s="2060"/>
      <c r="AA310" s="2060"/>
      <c r="AB310" s="2060"/>
      <c r="AC310" s="2060"/>
      <c r="AD310" s="2060"/>
      <c r="AE310" s="2060"/>
      <c r="AF310" s="2060"/>
      <c r="AG310" s="2060"/>
      <c r="AH310" s="2060"/>
      <c r="AI310" s="2060"/>
      <c r="AJ310" s="2060"/>
      <c r="AK310" s="2060"/>
      <c r="AL310" s="2060"/>
      <c r="AM310" s="2060"/>
      <c r="AN310" s="2060"/>
      <c r="AO310" s="2060"/>
      <c r="AP310" s="2060"/>
      <c r="AQ310" s="2060"/>
      <c r="AR310" s="2060"/>
      <c r="AS310" s="2060"/>
      <c r="AT310" s="2060"/>
      <c r="AU310" s="2060"/>
      <c r="AV310" s="2060"/>
      <c r="AW310" s="2060"/>
      <c r="AX310" s="2060"/>
      <c r="AY310" s="2060"/>
      <c r="AZ310" s="2060"/>
      <c r="BA310" s="2060"/>
      <c r="BB310" s="2060"/>
      <c r="BC310" s="2060"/>
      <c r="BD310" s="2060"/>
      <c r="BE310" s="2060"/>
      <c r="BF310" s="2060"/>
      <c r="BG310" s="2060"/>
      <c r="BH310" s="2060"/>
      <c r="BI310" s="2060"/>
      <c r="BJ310" s="2060"/>
      <c r="BK310" s="2060"/>
      <c r="BL310" s="2060"/>
      <c r="BM310" s="2060"/>
      <c r="BN310" s="2060"/>
      <c r="BO310" s="2060"/>
      <c r="BP310" s="2060"/>
      <c r="BQ310" s="2060"/>
      <c r="BR310" s="2060"/>
      <c r="BS310" s="2060"/>
      <c r="BT310" s="2060"/>
      <c r="BU310" s="2060"/>
      <c r="BV310" s="2060"/>
      <c r="BW310" s="2060"/>
      <c r="BX310" s="2060"/>
      <c r="BY310" s="2060"/>
      <c r="BZ310" s="2060"/>
      <c r="CA310" s="2060"/>
      <c r="CB310" s="2060"/>
      <c r="CC310" s="2060"/>
      <c r="CD310" s="2060"/>
      <c r="CE310" s="2060"/>
      <c r="CF310" s="2060"/>
      <c r="CG310" s="2060"/>
      <c r="CH310" s="2060"/>
      <c r="CI310" s="2060"/>
      <c r="CJ310" s="2060"/>
      <c r="CK310" s="2060"/>
      <c r="CL310" s="2060"/>
      <c r="CM310" s="2060"/>
      <c r="CN310" s="2060"/>
      <c r="CO310" s="2060"/>
      <c r="CP310" s="2060"/>
      <c r="CQ310" s="2060"/>
      <c r="CR310" s="2060"/>
      <c r="CS310" s="2060"/>
      <c r="CT310" s="2060"/>
      <c r="CU310" s="2060"/>
      <c r="CV310" s="2060"/>
      <c r="CW310" s="2060"/>
      <c r="CX310" s="2060"/>
      <c r="CY310" s="2060"/>
      <c r="CZ310" s="2060"/>
      <c r="DA310" s="2060"/>
      <c r="DB310" s="2060"/>
      <c r="DC310" s="2060"/>
      <c r="DD310" s="2060"/>
      <c r="DE310" s="2060"/>
      <c r="DF310" s="2060"/>
      <c r="DG310" s="2060"/>
      <c r="DH310" s="2060"/>
      <c r="DI310" s="2060"/>
      <c r="DJ310" s="2060"/>
      <c r="DK310" s="2060"/>
      <c r="DL310" s="2060"/>
      <c r="DM310" s="2060"/>
      <c r="DN310" s="2060"/>
      <c r="DO310" s="2060"/>
      <c r="DP310" s="2060"/>
      <c r="DQ310" s="2060"/>
      <c r="DR310" s="2060"/>
      <c r="DS310" s="2060"/>
      <c r="DT310" s="2060"/>
      <c r="DU310" s="2060"/>
      <c r="DV310" s="2060"/>
      <c r="DW310" s="2060"/>
      <c r="DX310" s="2060"/>
      <c r="DY310" s="2060"/>
      <c r="DZ310" s="2060"/>
      <c r="EA310" s="2060"/>
      <c r="EB310" s="2060"/>
      <c r="EC310" s="2060"/>
      <c r="ED310" s="2060"/>
      <c r="EE310" s="2060"/>
      <c r="EF310" s="2060"/>
      <c r="EG310" s="2060"/>
      <c r="EH310" s="2060"/>
      <c r="EI310" s="2060"/>
      <c r="EJ310" s="2060"/>
      <c r="EK310" s="2060"/>
      <c r="EL310" s="2060"/>
      <c r="EM310" s="2060"/>
      <c r="EN310" s="2060"/>
      <c r="EO310" s="2060"/>
      <c r="EP310" s="2060"/>
      <c r="EQ310" s="2060"/>
      <c r="ER310" s="2060"/>
      <c r="ES310" s="2060"/>
      <c r="ET310" s="2060"/>
      <c r="EU310" s="2060"/>
      <c r="EV310" s="2060"/>
      <c r="EW310" s="2060"/>
      <c r="EX310" s="2060"/>
      <c r="EY310" s="2060"/>
      <c r="EZ310" s="2060"/>
      <c r="FA310" s="2060"/>
      <c r="FB310" s="2060"/>
      <c r="FC310" s="2060"/>
      <c r="FD310" s="2060"/>
      <c r="FE310" s="2060"/>
      <c r="FF310" s="2060"/>
      <c r="FG310" s="2060"/>
      <c r="FH310" s="2060"/>
      <c r="FI310" s="2060"/>
      <c r="FJ310" s="2060"/>
      <c r="FK310" s="2060"/>
      <c r="FL310" s="2060"/>
      <c r="FM310" s="2060"/>
      <c r="FN310" s="2060"/>
      <c r="FO310" s="2060"/>
      <c r="FP310" s="2060"/>
      <c r="FQ310" s="2060"/>
      <c r="FR310" s="2060"/>
      <c r="FS310" s="2060"/>
      <c r="FT310" s="2060"/>
      <c r="FU310" s="2060"/>
      <c r="FV310" s="2060"/>
      <c r="FW310" s="2060"/>
      <c r="FX310" s="2060"/>
      <c r="FY310" s="2060"/>
      <c r="FZ310" s="2060"/>
      <c r="GA310" s="2060"/>
      <c r="GB310" s="2060"/>
      <c r="GC310" s="2060"/>
    </row>
    <row r="311" spans="1:185">
      <c r="A311" s="43" t="s">
        <v>17</v>
      </c>
      <c r="B311" s="43"/>
      <c r="C311" s="2060"/>
      <c r="D311" s="2060"/>
      <c r="E311" s="333"/>
      <c r="F311" s="829" t="s">
        <v>1115</v>
      </c>
      <c r="G311" s="2060"/>
      <c r="H311" s="2060"/>
      <c r="I311" s="2060"/>
      <c r="J311" s="2060"/>
      <c r="K311" s="2060"/>
      <c r="L311" s="2060"/>
      <c r="M311" s="2060"/>
      <c r="N311" s="2060"/>
      <c r="O311" s="2060"/>
      <c r="P311" s="2060"/>
      <c r="Q311" s="2060"/>
      <c r="R311" s="2060"/>
      <c r="S311" s="2060"/>
      <c r="T311" s="2060"/>
      <c r="U311" s="2060"/>
      <c r="V311" s="2060"/>
      <c r="W311" s="2060"/>
      <c r="X311" s="2060"/>
      <c r="Y311" s="2060"/>
      <c r="Z311" s="2060"/>
      <c r="AA311" s="2060"/>
      <c r="AB311" s="2060"/>
      <c r="AC311" s="2060"/>
      <c r="AD311" s="2060"/>
      <c r="AE311" s="2060"/>
      <c r="AF311" s="2060"/>
      <c r="AG311" s="2060"/>
      <c r="AH311" s="2060"/>
      <c r="AI311" s="2060"/>
      <c r="AJ311" s="2060"/>
      <c r="AK311" s="2060"/>
      <c r="AL311" s="2060"/>
      <c r="AM311" s="2060"/>
      <c r="AN311" s="2060"/>
      <c r="AO311" s="2060"/>
      <c r="AP311" s="2060"/>
      <c r="AQ311" s="2060"/>
      <c r="AR311" s="2060"/>
      <c r="AS311" s="2060"/>
      <c r="AT311" s="2060"/>
      <c r="AU311" s="2060"/>
      <c r="AV311" s="2060"/>
      <c r="AW311" s="2060"/>
      <c r="AX311" s="2060"/>
      <c r="AY311" s="2060"/>
      <c r="AZ311" s="2060"/>
      <c r="BA311" s="2060"/>
      <c r="BB311" s="2060"/>
      <c r="BC311" s="2060"/>
      <c r="BD311" s="2060"/>
      <c r="BE311" s="2060"/>
      <c r="BF311" s="2060"/>
      <c r="BG311" s="2060"/>
      <c r="BH311" s="2060"/>
      <c r="BI311" s="2060"/>
      <c r="BJ311" s="2060"/>
      <c r="BK311" s="2060"/>
      <c r="BL311" s="2060"/>
      <c r="BM311" s="2060"/>
      <c r="BN311" s="2060"/>
      <c r="BO311" s="2060"/>
      <c r="BP311" s="2060"/>
      <c r="BQ311" s="2060"/>
      <c r="BR311" s="2060"/>
      <c r="BS311" s="2060"/>
      <c r="BT311" s="2060"/>
      <c r="BU311" s="2060"/>
      <c r="BV311" s="2060"/>
      <c r="BW311" s="2060"/>
      <c r="BX311" s="2060"/>
      <c r="BY311" s="2060"/>
      <c r="BZ311" s="2060"/>
      <c r="CA311" s="2060"/>
      <c r="CB311" s="2060"/>
      <c r="CC311" s="2060"/>
      <c r="CD311" s="2060"/>
      <c r="CE311" s="2060"/>
      <c r="CF311" s="2060"/>
      <c r="CG311" s="2060"/>
      <c r="CH311" s="2060"/>
      <c r="CI311" s="2060"/>
      <c r="CJ311" s="2060"/>
      <c r="CK311" s="2060"/>
      <c r="CL311" s="2060"/>
      <c r="CM311" s="2060"/>
      <c r="CN311" s="2060"/>
      <c r="CO311" s="2060"/>
      <c r="CP311" s="2060"/>
      <c r="CQ311" s="2060"/>
      <c r="CR311" s="2060"/>
      <c r="CS311" s="2060"/>
      <c r="CT311" s="2060"/>
      <c r="CU311" s="2060"/>
      <c r="CV311" s="2060"/>
      <c r="CW311" s="2060"/>
      <c r="CX311" s="2060"/>
      <c r="CY311" s="2060"/>
      <c r="CZ311" s="2060"/>
      <c r="DA311" s="2060"/>
      <c r="DB311" s="2060"/>
      <c r="DC311" s="2060"/>
      <c r="DD311" s="2060"/>
      <c r="DE311" s="2060"/>
      <c r="DF311" s="2060"/>
      <c r="DG311" s="2060"/>
      <c r="DH311" s="2060"/>
      <c r="DI311" s="2060"/>
      <c r="DJ311" s="2060"/>
      <c r="DK311" s="2060"/>
      <c r="DL311" s="2060"/>
      <c r="DM311" s="2060"/>
      <c r="DN311" s="2060"/>
      <c r="DO311" s="2060"/>
      <c r="DP311" s="2060"/>
      <c r="DQ311" s="2060"/>
      <c r="DR311" s="2060"/>
      <c r="DS311" s="2060"/>
      <c r="DT311" s="2060"/>
      <c r="DU311" s="2060"/>
      <c r="DV311" s="2060"/>
      <c r="DW311" s="2060"/>
      <c r="DX311" s="2060"/>
      <c r="DY311" s="2060"/>
      <c r="DZ311" s="2060"/>
      <c r="EA311" s="2060"/>
      <c r="EB311" s="2060"/>
      <c r="EC311" s="2060"/>
      <c r="ED311" s="2060"/>
      <c r="EE311" s="2060"/>
      <c r="EF311" s="2060"/>
      <c r="EG311" s="2060"/>
      <c r="EH311" s="2060"/>
      <c r="EI311" s="2060"/>
      <c r="EJ311" s="2060"/>
      <c r="EK311" s="2060"/>
      <c r="EL311" s="2060"/>
      <c r="EM311" s="2060"/>
      <c r="EN311" s="2060"/>
      <c r="EO311" s="2060"/>
      <c r="EP311" s="2060"/>
      <c r="EQ311" s="2060"/>
      <c r="ER311" s="2060"/>
      <c r="ES311" s="2060"/>
      <c r="ET311" s="2060"/>
      <c r="EU311" s="2060"/>
      <c r="EV311" s="2060"/>
      <c r="EW311" s="2060"/>
      <c r="EX311" s="2060"/>
      <c r="EY311" s="2060"/>
      <c r="EZ311" s="2060"/>
      <c r="FA311" s="2060"/>
      <c r="FB311" s="2060"/>
      <c r="FC311" s="2060"/>
      <c r="FD311" s="2060"/>
      <c r="FE311" s="2060"/>
      <c r="FF311" s="2060"/>
      <c r="FG311" s="2060"/>
      <c r="FH311" s="2060"/>
      <c r="FI311" s="2060"/>
      <c r="FJ311" s="2060"/>
      <c r="FK311" s="2060"/>
      <c r="FL311" s="2060"/>
      <c r="FM311" s="2060"/>
      <c r="FN311" s="2060"/>
      <c r="FO311" s="2060"/>
      <c r="FP311" s="2060"/>
      <c r="FQ311" s="2060"/>
      <c r="FR311" s="2060"/>
      <c r="FS311" s="2060"/>
      <c r="FT311" s="2060"/>
      <c r="FU311" s="2060"/>
      <c r="FV311" s="2060"/>
      <c r="FW311" s="2060"/>
      <c r="FX311" s="2060"/>
      <c r="FY311" s="2060"/>
      <c r="FZ311" s="2060"/>
      <c r="GA311" s="2060"/>
      <c r="GB311" s="2060"/>
      <c r="GC311" s="2060"/>
    </row>
  </sheetData>
  <mergeCells count="4">
    <mergeCell ref="J44:K44"/>
    <mergeCell ref="J43:K43"/>
    <mergeCell ref="H86:I86"/>
    <mergeCell ref="H214:I214"/>
  </mergeCells>
  <conditionalFormatting sqref="C7">
    <cfRule type="cellIs" dxfId="312" priority="128" operator="equal">
      <formula>ERR</formula>
    </cfRule>
  </conditionalFormatting>
  <conditionalFormatting sqref="G221:J245 L221:L245 T222:T245 N221:N245 Y221:Y245">
    <cfRule type="cellIs" dxfId="311" priority="91" operator="equal">
      <formula>0</formula>
    </cfRule>
  </conditionalFormatting>
  <conditionalFormatting sqref="E129:E154">
    <cfRule type="expression" dxfId="310" priority="100">
      <formula>$C129="x"</formula>
    </cfRule>
  </conditionalFormatting>
  <conditionalFormatting sqref="N222">
    <cfRule type="cellIs" dxfId="309" priority="87" operator="equal">
      <formula>0</formula>
    </cfRule>
  </conditionalFormatting>
  <conditionalFormatting sqref="P49:P73">
    <cfRule type="cellIs" dxfId="308" priority="77" operator="lessThanOrEqual">
      <formula>0</formula>
    </cfRule>
  </conditionalFormatting>
  <conditionalFormatting sqref="E50:E73">
    <cfRule type="expression" dxfId="307" priority="79">
      <formula>#REF!="x"</formula>
    </cfRule>
  </conditionalFormatting>
  <conditionalFormatting sqref="G43">
    <cfRule type="expression" dxfId="306" priority="81">
      <formula>#REF!=""</formula>
    </cfRule>
  </conditionalFormatting>
  <conditionalFormatting sqref="J43">
    <cfRule type="expression" dxfId="305" priority="80">
      <formula>#REF!=""</formula>
    </cfRule>
  </conditionalFormatting>
  <conditionalFormatting sqref="J44">
    <cfRule type="expression" dxfId="304" priority="78">
      <formula>#REF!=""</formula>
    </cfRule>
  </conditionalFormatting>
  <conditionalFormatting sqref="L49:M73">
    <cfRule type="expression" dxfId="303" priority="82">
      <formula>#REF!="By TABLE"</formula>
    </cfRule>
  </conditionalFormatting>
  <conditionalFormatting sqref="E94:E118">
    <cfRule type="expression" dxfId="302" priority="67">
      <formula>$C92="x"</formula>
    </cfRule>
  </conditionalFormatting>
  <conditionalFormatting sqref="L94:L118">
    <cfRule type="cellIs" dxfId="301" priority="65" operator="equal">
      <formula>"--"</formula>
    </cfRule>
    <cfRule type="duplicateValues" dxfId="300" priority="66"/>
  </conditionalFormatting>
  <conditionalFormatting sqref="E24:M38 E16 E18">
    <cfRule type="expression" dxfId="299" priority="1069">
      <formula>$E16=TRIM($I$20)</formula>
    </cfRule>
  </conditionalFormatting>
  <conditionalFormatting sqref="A6">
    <cfRule type="expression" dxfId="298" priority="60">
      <formula>AND(MasterCheck&gt;0,RedAlertY=TRUE)</formula>
    </cfRule>
  </conditionalFormatting>
  <conditionalFormatting sqref="M199">
    <cfRule type="cellIs" dxfId="297" priority="58" operator="equal">
      <formula>Fail</formula>
    </cfRule>
  </conditionalFormatting>
  <conditionalFormatting sqref="M95:M118">
    <cfRule type="cellIs" dxfId="296" priority="56" operator="equal">
      <formula>"--"</formula>
    </cfRule>
    <cfRule type="duplicateValues" dxfId="295" priority="57"/>
  </conditionalFormatting>
  <conditionalFormatting sqref="N94:N118">
    <cfRule type="cellIs" dxfId="294" priority="54" operator="equal">
      <formula>"--"</formula>
    </cfRule>
    <cfRule type="duplicateValues" dxfId="293" priority="55"/>
  </conditionalFormatting>
  <conditionalFormatting sqref="N119:N120">
    <cfRule type="cellIs" dxfId="292" priority="52" operator="equal">
      <formula>"--"</formula>
    </cfRule>
    <cfRule type="duplicateValues" dxfId="291" priority="53"/>
  </conditionalFormatting>
  <conditionalFormatting sqref="H212">
    <cfRule type="cellIs" dxfId="290" priority="48" operator="equal">
      <formula>0</formula>
    </cfRule>
  </conditionalFormatting>
  <conditionalFormatting sqref="H253:H263">
    <cfRule type="cellIs" dxfId="289" priority="47" operator="greaterThan">
      <formula>0</formula>
    </cfRule>
  </conditionalFormatting>
  <conditionalFormatting sqref="K20:O20 E20:H20">
    <cfRule type="expression" dxfId="288" priority="1121">
      <formula>$D86="Y"</formula>
    </cfRule>
  </conditionalFormatting>
  <conditionalFormatting sqref="B1">
    <cfRule type="cellIs" dxfId="287" priority="41" operator="notEqual">
      <formula>0</formula>
    </cfRule>
  </conditionalFormatting>
  <conditionalFormatting sqref="E118">
    <cfRule type="expression" dxfId="286" priority="1244">
      <formula>$C106="x"</formula>
    </cfRule>
  </conditionalFormatting>
  <conditionalFormatting sqref="H86">
    <cfRule type="expression" dxfId="285" priority="40">
      <formula>#REF!=""</formula>
    </cfRule>
  </conditionalFormatting>
  <conditionalFormatting sqref="L129:L153 Q129:Q153 AA129:AA153 V129:V153">
    <cfRule type="cellIs" dxfId="284" priority="37" operator="lessThan">
      <formula>MAX(L$129:L$153)</formula>
    </cfRule>
  </conditionalFormatting>
  <conditionalFormatting sqref="J164:J188">
    <cfRule type="containsText" dxfId="283" priority="32" operator="containsText" text="Insignificant">
      <formula>NOT(ISERROR(SEARCH("Insignificant",J164)))</formula>
    </cfRule>
  </conditionalFormatting>
  <conditionalFormatting sqref="J176:J188">
    <cfRule type="containsText" dxfId="282" priority="28" operator="containsText" text="Insignificant">
      <formula>NOT(ISERROR(SEARCH("Insignificant",J176)))</formula>
    </cfRule>
  </conditionalFormatting>
  <conditionalFormatting sqref="T176:T188">
    <cfRule type="containsText" dxfId="281" priority="21" operator="containsText" text="Insignificant">
      <formula>NOT(ISERROR(SEARCH("Insignificant",T176)))</formula>
    </cfRule>
  </conditionalFormatting>
  <conditionalFormatting sqref="T164:T188">
    <cfRule type="containsText" dxfId="280" priority="22" operator="containsText" text="Insignificant">
      <formula>NOT(ISERROR(SEARCH("Insignificant",T164)))</formula>
    </cfRule>
  </conditionalFormatting>
  <conditionalFormatting sqref="O176:O188">
    <cfRule type="containsText" dxfId="279" priority="23" operator="containsText" text="Insignificant">
      <formula>NOT(ISERROR(SEARCH("Insignificant",O176)))</formula>
    </cfRule>
  </conditionalFormatting>
  <conditionalFormatting sqref="O164:O188">
    <cfRule type="containsText" dxfId="278" priority="24" operator="containsText" text="Insignificant">
      <formula>NOT(ISERROR(SEARCH("Insignificant",O164)))</formula>
    </cfRule>
  </conditionalFormatting>
  <conditionalFormatting sqref="Y164:Y188">
    <cfRule type="containsText" dxfId="277" priority="20" operator="containsText" text="Insignificant">
      <formula>NOT(ISERROR(SEARCH("Insignificant",Y164)))</formula>
    </cfRule>
  </conditionalFormatting>
  <conditionalFormatting sqref="Y176:Y188">
    <cfRule type="containsText" dxfId="276" priority="19" operator="containsText" text="Insignificant">
      <formula>NOT(ISERROR(SEARCH("Insignificant",Y176)))</formula>
    </cfRule>
  </conditionalFormatting>
  <conditionalFormatting sqref="P94:P118">
    <cfRule type="containsText" dxfId="275" priority="16" operator="containsText" text="Insignificant">
      <formula>NOT(ISERROR(SEARCH("Insignificant",P94)))</formula>
    </cfRule>
  </conditionalFormatting>
  <conditionalFormatting sqref="V222:V245">
    <cfRule type="cellIs" dxfId="274" priority="15" operator="equal">
      <formula>0</formula>
    </cfRule>
  </conditionalFormatting>
  <conditionalFormatting sqref="J125">
    <cfRule type="expression" dxfId="273" priority="14">
      <formula>(Beta12345&lt;&gt;1)</formula>
    </cfRule>
  </conditionalFormatting>
  <conditionalFormatting sqref="O125">
    <cfRule type="expression" dxfId="272" priority="13">
      <formula>(Beta12345&lt;&gt;2)</formula>
    </cfRule>
  </conditionalFormatting>
  <conditionalFormatting sqref="T125">
    <cfRule type="expression" dxfId="271" priority="12">
      <formula>(Beta12345&lt;&gt;3)</formula>
    </cfRule>
  </conditionalFormatting>
  <conditionalFormatting sqref="Y125">
    <cfRule type="expression" dxfId="270" priority="11">
      <formula>(Beta12345&lt;&gt;4)</formula>
    </cfRule>
  </conditionalFormatting>
  <conditionalFormatting sqref="O119">
    <cfRule type="cellIs" dxfId="269" priority="9" operator="equal">
      <formula>"--"</formula>
    </cfRule>
    <cfRule type="duplicateValues" dxfId="268" priority="10"/>
  </conditionalFormatting>
  <conditionalFormatting sqref="O120">
    <cfRule type="cellIs" dxfId="267" priority="1" operator="equal">
      <formula>"--"</formula>
    </cfRule>
    <cfRule type="duplicateValues" dxfId="266" priority="2"/>
  </conditionalFormatting>
  <hyperlinks>
    <hyperlink ref="M44" location="CorporateTaxTable" display="Click here to reference World Corporate Tax Rate table"/>
    <hyperlink ref="E249" location="RiskPremiaData" display="RiskPremiaData"/>
  </hyperlinks>
  <pageMargins left="0.6" right="0.4" top="0.5" bottom="0.5" header="0" footer="0.3"/>
  <pageSetup scale="70" fitToHeight="0" orientation="landscape" cellComments="atEnd" r:id="rId1"/>
  <headerFooter>
    <oddFooter>&amp;CReliance restricted&amp;LSome totals may not add due to rounding. See Statement of Limiting Conditions.&amp;R© 2016 Ernst &amp; Young LLP. All Rights Reserved</oddFooter>
  </headerFooter>
  <rowBreaks count="4" manualBreakCount="4">
    <brk id="190" max="18" man="1"/>
    <brk id="264" max="19" man="1"/>
    <brk id="267" max="16383" man="1"/>
    <brk id="304"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64" operator="containsText" id="{FCD34E6A-5A3E-4858-83E6-1D33AF70DCAB}">
            <xm:f>NOT(ISERROR(SEARCH("SELECTED",I125)))</xm:f>
            <xm:f>"SELECTED"</xm:f>
            <x14:dxf>
              <font>
                <b/>
                <i val="0"/>
              </font>
              <fill>
                <patternFill>
                  <bgColor rgb="FF99FF33"/>
                </patternFill>
              </fill>
            </x14:dxf>
          </x14:cfRule>
          <xm:sqref>N125 I125 S125 X125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CF">
    <tabColor rgb="FF99FF66"/>
    <pageSetUpPr autoPageBreaks="0"/>
  </sheetPr>
  <dimension ref="A1:Y73"/>
  <sheetViews>
    <sheetView showGridLines="0" zoomScale="85" zoomScaleNormal="85" zoomScaleSheetLayoutView="85" workbookViewId="0"/>
  </sheetViews>
  <sheetFormatPr defaultColWidth="9.33203125" defaultRowHeight="12" customHeight="1"/>
  <cols>
    <col min="1" max="1" width="2.83203125" style="334" customWidth="1"/>
    <col min="2" max="2" width="3.83203125" style="334" customWidth="1"/>
    <col min="3" max="3" width="34.6640625" style="334" customWidth="1"/>
    <col min="4" max="4" width="6.6640625" style="334" customWidth="1"/>
    <col min="5" max="5" width="13" style="334" customWidth="1"/>
    <col min="6" max="6" width="2.33203125" style="334" customWidth="1"/>
    <col min="7" max="15" width="12" style="334" customWidth="1"/>
    <col min="16" max="16" width="14" style="334" customWidth="1"/>
    <col min="17" max="18" width="12" style="334" customWidth="1"/>
    <col min="19" max="19" width="18.5" style="334" customWidth="1"/>
    <col min="20" max="20" width="8.83203125" style="334" customWidth="1"/>
    <col min="21" max="21" width="9.33203125" style="334" customWidth="1"/>
    <col min="22" max="32" width="12" style="334" customWidth="1"/>
    <col min="33" max="16384" width="9.33203125" style="334"/>
  </cols>
  <sheetData>
    <row r="1" spans="1:21" ht="18" customHeight="1">
      <c r="A1" s="2060"/>
      <c r="B1" s="649">
        <f ca="1">SUMPRODUCT(--ISERROR($C$1:S73))+COUNTIF($C$1:S73,Fail)</f>
        <v>0</v>
      </c>
      <c r="C1" s="1372" t="str">
        <f>START!$C$1</f>
        <v>Client Name</v>
      </c>
      <c r="D1" s="292"/>
      <c r="E1" s="852"/>
      <c r="F1" s="852"/>
      <c r="G1" s="852"/>
      <c r="H1" s="852"/>
      <c r="I1" s="852"/>
      <c r="J1" s="852"/>
      <c r="K1" s="852"/>
      <c r="L1" s="852"/>
      <c r="M1" s="852"/>
      <c r="N1" s="852"/>
      <c r="O1" s="852"/>
      <c r="P1" s="1525"/>
      <c r="Q1" s="1525"/>
      <c r="R1" s="1525"/>
      <c r="S1" s="398" t="s">
        <v>935</v>
      </c>
      <c r="T1" s="1510"/>
      <c r="U1" s="1525"/>
    </row>
    <row r="2" spans="1:21" ht="18" customHeight="1">
      <c r="A2" s="1510"/>
      <c r="B2" s="1510"/>
      <c r="C2" s="1372" t="str">
        <f>START!$C$2</f>
        <v xml:space="preserve">Please enter project description in START worksheet cell G13 </v>
      </c>
      <c r="D2" s="287"/>
      <c r="E2" s="1526"/>
      <c r="F2" s="1526"/>
      <c r="G2" s="1526"/>
      <c r="H2" s="1526"/>
      <c r="I2" s="1526"/>
      <c r="J2" s="1526"/>
      <c r="K2" s="1526"/>
      <c r="L2" s="1526"/>
      <c r="M2" s="1526"/>
      <c r="N2" s="1526"/>
      <c r="O2" s="1526"/>
      <c r="P2" s="1526"/>
      <c r="Q2" s="1526"/>
      <c r="R2" s="1526"/>
      <c r="S2" s="1525"/>
      <c r="T2" s="1510"/>
      <c r="U2" s="1525"/>
    </row>
    <row r="3" spans="1:21" ht="18" customHeight="1">
      <c r="A3" s="1510"/>
      <c r="B3" s="1510"/>
      <c r="C3" s="839" t="s">
        <v>1339</v>
      </c>
      <c r="D3" s="339"/>
      <c r="E3" s="1526"/>
      <c r="F3" s="1526"/>
      <c r="G3" s="1526"/>
      <c r="H3" s="1526"/>
      <c r="I3" s="1526"/>
      <c r="J3" s="1526"/>
      <c r="K3" s="1526"/>
      <c r="L3" s="1526"/>
      <c r="M3" s="1526"/>
      <c r="N3" s="1526"/>
      <c r="O3" s="1526"/>
      <c r="P3" s="1526"/>
      <c r="Q3" s="1526"/>
      <c r="R3" s="1526"/>
      <c r="S3" s="1525"/>
      <c r="T3" s="1510"/>
      <c r="U3" s="1525"/>
    </row>
    <row r="4" spans="1:21" s="1027" customFormat="1" ht="18" customHeight="1">
      <c r="A4" s="1510"/>
      <c r="B4" s="1510"/>
      <c r="C4" s="840" t="str">
        <f>ValDateHeading</f>
        <v>Estimation of value as of 28 February 2017</v>
      </c>
      <c r="D4" s="339"/>
      <c r="E4" s="1526"/>
      <c r="F4" s="1526"/>
      <c r="G4" s="1526"/>
      <c r="H4" s="1526"/>
      <c r="I4" s="1526"/>
      <c r="J4" s="1526"/>
      <c r="K4" s="1526"/>
      <c r="L4" s="1526"/>
      <c r="M4" s="1526"/>
      <c r="N4" s="1526"/>
      <c r="O4" s="1526"/>
      <c r="P4" s="1526"/>
      <c r="Q4" s="1526"/>
      <c r="R4" s="1526"/>
      <c r="S4" s="1525"/>
      <c r="T4" s="1510"/>
      <c r="U4" s="1525"/>
    </row>
    <row r="5" spans="1:21" ht="18" customHeight="1">
      <c r="A5" s="1413" t="str">
        <f>IF(MasterCheck,"Please check the "&amp;'Error Check'!$G$8,"")</f>
        <v/>
      </c>
      <c r="B5" s="1510"/>
      <c r="C5" s="2060"/>
      <c r="D5" s="2060"/>
      <c r="E5" s="2060"/>
      <c r="F5" s="2060"/>
      <c r="G5" s="2060"/>
      <c r="H5" s="341"/>
      <c r="I5" s="90"/>
      <c r="J5" s="1526"/>
      <c r="K5" s="1526"/>
      <c r="L5" s="1526"/>
      <c r="M5" s="1526"/>
      <c r="N5" s="1526"/>
      <c r="O5" s="1526"/>
      <c r="P5" s="1526"/>
      <c r="Q5" s="1526"/>
      <c r="R5" s="1526"/>
      <c r="S5" s="1525"/>
      <c r="T5" s="1510"/>
      <c r="U5" s="1525"/>
    </row>
    <row r="6" spans="1:21" ht="13.9">
      <c r="A6" s="1510" t="s">
        <v>17</v>
      </c>
      <c r="B6" s="1510"/>
      <c r="C6" s="2060"/>
      <c r="D6" s="2060"/>
      <c r="E6" s="2060"/>
      <c r="F6" s="2060"/>
      <c r="G6" s="2060"/>
      <c r="H6" s="341"/>
      <c r="I6" s="1526"/>
      <c r="J6" s="1526"/>
      <c r="K6" s="1526"/>
      <c r="L6" s="1526"/>
      <c r="M6" s="1526"/>
      <c r="N6" s="1526"/>
      <c r="O6" s="1526"/>
      <c r="P6" s="1526"/>
      <c r="Q6" s="1526"/>
      <c r="R6" s="1526"/>
      <c r="S6" s="1525"/>
      <c r="T6" s="1510"/>
      <c r="U6" s="1525"/>
    </row>
    <row r="7" spans="1:21" ht="13.9">
      <c r="A7" s="1510"/>
      <c r="B7" s="1510"/>
      <c r="C7" s="405"/>
      <c r="D7" s="341"/>
      <c r="E7" s="341"/>
      <c r="F7" s="341"/>
      <c r="G7" s="727"/>
      <c r="H7" s="727"/>
      <c r="I7" s="727"/>
      <c r="J7" s="727"/>
      <c r="K7" s="727"/>
      <c r="L7" s="727"/>
      <c r="M7" s="727"/>
      <c r="N7" s="727"/>
      <c r="O7" s="727"/>
      <c r="P7" s="2060"/>
      <c r="Q7" s="2060"/>
      <c r="R7" s="2060"/>
      <c r="S7" s="1525"/>
      <c r="T7" s="1510"/>
      <c r="U7" s="1525"/>
    </row>
    <row r="8" spans="1:21" ht="13.9">
      <c r="A8" s="1510"/>
      <c r="B8" s="1510"/>
      <c r="C8" s="1041"/>
      <c r="D8" s="1042"/>
      <c r="E8" s="1042"/>
      <c r="F8" s="1043" t="str">
        <f>"                                 "&amp;REPT("                  ",NoOfPFIYrs/2)&amp;'BAL SHEET Hist Input'!$F$8</f>
        <v xml:space="preserve">                                                                                       For years ended March 31</v>
      </c>
      <c r="G8" s="1043"/>
      <c r="H8" s="1043"/>
      <c r="I8" s="1043"/>
      <c r="J8" s="1043"/>
      <c r="K8" s="1043"/>
      <c r="L8" s="1043"/>
      <c r="M8" s="1043"/>
      <c r="N8" s="1043"/>
      <c r="O8" s="1043"/>
      <c r="P8" s="2060"/>
      <c r="Q8" s="2060"/>
      <c r="R8" s="2060"/>
      <c r="S8" s="2060"/>
      <c r="T8" s="1510"/>
      <c r="U8" s="2060"/>
    </row>
    <row r="9" spans="1:21" ht="13.9">
      <c r="A9" s="1510"/>
      <c r="B9" s="1510"/>
      <c r="C9" s="1044"/>
      <c r="D9" s="1045"/>
      <c r="E9" s="1045"/>
      <c r="F9" s="1045"/>
      <c r="G9" s="738" t="str">
        <f>IF(COUNT($F10:F10)+1=1,IF(START!$G$70=12,"",START!$G$70&amp;" months"),IF(COUNT($F10:F10)=YrsInDCF,"Normalized",""))</f>
        <v>1 months</v>
      </c>
      <c r="H9" s="738" t="str">
        <f>IF(COUNT($F10:G10)+1=1,IF(START!$G$70=12,"",START!$G$70&amp;" months"),IF(COUNT($F10:G10)=YrsInDCF,"Normalized",""))</f>
        <v/>
      </c>
      <c r="I9" s="738" t="str">
        <f>IF(COUNT($F10:H10)+1=1,IF(START!$G$70=12,"",START!$G$70&amp;" months"),IF(COUNT($F10:H10)=YrsInDCF,"Normalized",""))</f>
        <v/>
      </c>
      <c r="J9" s="738" t="str">
        <f>IF(COUNT($F10:I10)+1=1,IF(START!$G$70=12,"",START!$G$70&amp;" months"),IF(COUNT($F10:I10)=YrsInDCF,"Normalized",""))</f>
        <v/>
      </c>
      <c r="K9" s="738" t="str">
        <f>IF(COUNT($F10:J10)+1=1,IF(START!$G$70=12,"",START!$G$70&amp;" months"),IF(COUNT($F10:J10)=YrsInDCF,"Normalized",""))</f>
        <v/>
      </c>
      <c r="L9" s="738" t="str">
        <f>IF(COUNT($F10:K10)+1=1,IF(START!$G$70=12,"",START!$G$70&amp;" months"),IF(COUNT($F10:K10)=YrsInDCF,"Normalized",""))</f>
        <v/>
      </c>
      <c r="M9" s="738" t="str">
        <f>IF(COUNT($F10:L10)+1=1,IF(START!$G$70=12,"",START!$G$70&amp;" months"),IF(COUNT($F10:L10)=YrsInDCF,"Normalized",""))</f>
        <v/>
      </c>
      <c r="N9" s="738" t="str">
        <f>IF(COUNT($F10:M10)+1=1,IF(START!$G$70=12,"",START!$G$70&amp;" months"),IF(COUNT($F10:M10)=YrsInDCF,"Normalized",""))</f>
        <v/>
      </c>
      <c r="O9" s="738" t="str">
        <f>IF(COUNT($F10:N10)+1=1,IF(START!$G$70=12,"",START!$G$70&amp;" months"),IF(COUNT($F10:N10)=YrsInDCF,"Normalized",""))</f>
        <v>Normalized</v>
      </c>
      <c r="P9" s="2060"/>
      <c r="Q9" s="2060"/>
      <c r="R9" s="2060"/>
      <c r="S9" s="2060"/>
      <c r="T9" s="1510"/>
      <c r="U9" s="2060"/>
    </row>
    <row r="10" spans="1:21" ht="13.9">
      <c r="A10" s="1510"/>
      <c r="B10" s="1510"/>
      <c r="C10" s="750" t="str">
        <f>SubjCurrencyHeading</f>
        <v>(USD in Millions)</v>
      </c>
      <c r="D10" s="406"/>
      <c r="E10" s="406"/>
      <c r="F10" s="406"/>
      <c r="G10" s="1649">
        <f>IF(G9="Normalized",'PFI Inputs'!$S$26,'PFI Inputs'!G26)</f>
        <v>42825</v>
      </c>
      <c r="H10" s="1649">
        <f>IF(H9="Normalized",'PFI Inputs'!$S$26,'PFI Inputs'!H26)</f>
        <v>43190</v>
      </c>
      <c r="I10" s="1649">
        <f>IF(I9="Normalized",'PFI Inputs'!$S$26,'PFI Inputs'!I26)</f>
        <v>43555</v>
      </c>
      <c r="J10" s="1649">
        <f>IF(J9="Normalized",'PFI Inputs'!$S$26,'PFI Inputs'!J26)</f>
        <v>43921</v>
      </c>
      <c r="K10" s="1649">
        <f>IF(K9="Normalized",'PFI Inputs'!$S$26,'PFI Inputs'!K26)</f>
        <v>44286</v>
      </c>
      <c r="L10" s="1649">
        <f>IF(L9="Normalized",'PFI Inputs'!$S$26,'PFI Inputs'!L26)</f>
        <v>44651</v>
      </c>
      <c r="M10" s="1649">
        <f>IF(M9="Normalized",'PFI Inputs'!$S$26,'PFI Inputs'!M26)</f>
        <v>45016</v>
      </c>
      <c r="N10" s="1649">
        <f>IF(N9="Normalized",'PFI Inputs'!$S$26,'PFI Inputs'!N26)</f>
        <v>45382</v>
      </c>
      <c r="O10" s="1649">
        <f>IF(O9="Normalized",'PFI Inputs'!$S$26,'PFI Inputs'!O26)</f>
        <v>45382</v>
      </c>
      <c r="P10" s="2060"/>
      <c r="Q10" s="2060"/>
      <c r="R10" s="2060"/>
      <c r="S10" s="2060"/>
      <c r="T10" s="1510"/>
      <c r="U10" s="2060"/>
    </row>
    <row r="11" spans="1:21" ht="13.9">
      <c r="A11" s="1510" t="str">
        <f>IF(OR(MAX(E11:Q11)&gt;0.01,MIN(,E11:Q11)&lt;-0.01),"","n")</f>
        <v>n</v>
      </c>
      <c r="B11" s="1510"/>
      <c r="C11" s="512" t="s">
        <v>463</v>
      </c>
      <c r="D11" s="328"/>
      <c r="E11" s="328"/>
      <c r="F11" s="328"/>
      <c r="G11" s="638">
        <f>IF(G$9="Normalized",'PFI Inc Stat'!$S10,'PFI Inc Stat'!G10)</f>
        <v>0</v>
      </c>
      <c r="H11" s="638">
        <f>IF(H$9="Normalized",'PFI Inc Stat'!$S10,'PFI Inc Stat'!H10)</f>
        <v>0</v>
      </c>
      <c r="I11" s="638">
        <f>IF(I$9="Normalized",'PFI Inc Stat'!$S10,'PFI Inc Stat'!I10)</f>
        <v>0</v>
      </c>
      <c r="J11" s="638">
        <f>IF(J$9="Normalized",'PFI Inc Stat'!$S10,'PFI Inc Stat'!J10)</f>
        <v>0</v>
      </c>
      <c r="K11" s="638">
        <f>IF(K$9="Normalized",'PFI Inc Stat'!$S10,'PFI Inc Stat'!K10)</f>
        <v>0</v>
      </c>
      <c r="L11" s="638">
        <f>IF(L$9="Normalized",'PFI Inc Stat'!$S10,'PFI Inc Stat'!L10)</f>
        <v>0</v>
      </c>
      <c r="M11" s="638">
        <f>IF(M$9="Normalized",'PFI Inc Stat'!$S10,'PFI Inc Stat'!M10)</f>
        <v>0</v>
      </c>
      <c r="N11" s="638">
        <f>IF(N$9="Normalized",'PFI Inc Stat'!$S10,'PFI Inc Stat'!N10)</f>
        <v>0</v>
      </c>
      <c r="O11" s="638">
        <f>IF(O$9="Normalized",'PFI Inc Stat'!$S10,'PFI Inc Stat'!O10)</f>
        <v>0</v>
      </c>
      <c r="P11" s="2060"/>
      <c r="Q11" s="2060"/>
      <c r="R11" s="2060"/>
      <c r="S11" s="2060"/>
      <c r="T11" s="1510"/>
      <c r="U11" s="2060"/>
    </row>
    <row r="12" spans="1:21" s="1027" customFormat="1" ht="13.9">
      <c r="A12" s="1510"/>
      <c r="B12" s="1510"/>
      <c r="C12" s="1528" t="s">
        <v>1340</v>
      </c>
      <c r="D12" s="328"/>
      <c r="E12" s="328"/>
      <c r="F12" s="328"/>
      <c r="G12" s="1627" t="str">
        <f>IF(G$9="Normalized",'PFI Inc Stat'!$S41,'PFI Inc Stat'!G41)</f>
        <v>--</v>
      </c>
      <c r="H12" s="1627" t="str">
        <f>IF(H$9="Normalized",'PFI Inc Stat'!$S41,'PFI Inc Stat'!H41)</f>
        <v>n/a</v>
      </c>
      <c r="I12" s="1627" t="str">
        <f>IF(I$9="Normalized",'PFI Inc Stat'!$S41,'PFI Inc Stat'!I41)</f>
        <v>n/a</v>
      </c>
      <c r="J12" s="1627" t="str">
        <f>IF(J$9="Normalized",'PFI Inc Stat'!$S41,'PFI Inc Stat'!J41)</f>
        <v>n/a</v>
      </c>
      <c r="K12" s="1627" t="str">
        <f>IF(K$9="Normalized",'PFI Inc Stat'!$S41,'PFI Inc Stat'!K41)</f>
        <v>n/a</v>
      </c>
      <c r="L12" s="1627" t="str">
        <f>IF(L$9="Normalized",'PFI Inc Stat'!$S41,'PFI Inc Stat'!L41)</f>
        <v>n/a</v>
      </c>
      <c r="M12" s="1627" t="str">
        <f>IF(M$9="Normalized",'PFI Inc Stat'!$S41,'PFI Inc Stat'!M41)</f>
        <v>n/a</v>
      </c>
      <c r="N12" s="1627" t="str">
        <f>IF(N$9="Normalized",'PFI Inc Stat'!$S41,'PFI Inc Stat'!N41)</f>
        <v>n/a</v>
      </c>
      <c r="O12" s="1627" t="str">
        <f>IF(O$9="Normalized",'PFI Inc Stat'!$S41,'PFI Inc Stat'!O41)</f>
        <v>n/a</v>
      </c>
      <c r="P12" s="2060"/>
      <c r="Q12" s="2060"/>
      <c r="R12" s="2060"/>
      <c r="S12" s="2060"/>
      <c r="T12" s="1510"/>
      <c r="U12" s="2060"/>
    </row>
    <row r="13" spans="1:21" s="312" customFormat="1" ht="13.9">
      <c r="A13" s="1510"/>
      <c r="B13" s="1510"/>
      <c r="C13" s="315" t="s">
        <v>1341</v>
      </c>
      <c r="D13" s="328"/>
      <c r="E13" s="328"/>
      <c r="F13" s="328"/>
      <c r="G13" s="638">
        <f>IF(G$9="Normalized",'PFI Inc Stat'!$S12,'PFI Inc Stat'!G12)</f>
        <v>0</v>
      </c>
      <c r="H13" s="638">
        <f>IF(H$9="Normalized",'PFI Inc Stat'!$S12,'PFI Inc Stat'!H12)</f>
        <v>0</v>
      </c>
      <c r="I13" s="638">
        <f>IF(I$9="Normalized",'PFI Inc Stat'!$S12,'PFI Inc Stat'!I12)</f>
        <v>0</v>
      </c>
      <c r="J13" s="638">
        <f>IF(J$9="Normalized",'PFI Inc Stat'!$S12,'PFI Inc Stat'!J12)</f>
        <v>0</v>
      </c>
      <c r="K13" s="638">
        <f>IF(K$9="Normalized",'PFI Inc Stat'!$S12,'PFI Inc Stat'!K12)</f>
        <v>0</v>
      </c>
      <c r="L13" s="638">
        <f>IF(L$9="Normalized",'PFI Inc Stat'!$S12,'PFI Inc Stat'!L12)</f>
        <v>0</v>
      </c>
      <c r="M13" s="638">
        <f>IF(M$9="Normalized",'PFI Inc Stat'!$S12,'PFI Inc Stat'!M12)</f>
        <v>0</v>
      </c>
      <c r="N13" s="638">
        <f>IF(N$9="Normalized",'PFI Inc Stat'!$S12,'PFI Inc Stat'!N12)</f>
        <v>0</v>
      </c>
      <c r="O13" s="638">
        <f>IF(O$9="Normalized",'PFI Inc Stat'!$S12,'PFI Inc Stat'!O12)</f>
        <v>0</v>
      </c>
      <c r="P13" s="2060"/>
      <c r="Q13" s="2060"/>
      <c r="R13" s="2060"/>
      <c r="S13" s="2060"/>
      <c r="T13" s="1510"/>
      <c r="U13" s="2060"/>
    </row>
    <row r="14" spans="1:21" s="312" customFormat="1" ht="13.9">
      <c r="A14" s="1510"/>
      <c r="B14" s="1510"/>
      <c r="C14" s="331" t="s">
        <v>1342</v>
      </c>
      <c r="D14" s="328"/>
      <c r="E14" s="328"/>
      <c r="F14" s="328"/>
      <c r="G14" s="1627">
        <f>IFERROR(G13/G11,0)</f>
        <v>0</v>
      </c>
      <c r="H14" s="1627">
        <f t="shared" ref="H14:O14" si="0">IFERROR(H13/H11,0)</f>
        <v>0</v>
      </c>
      <c r="I14" s="1627">
        <f t="shared" si="0"/>
        <v>0</v>
      </c>
      <c r="J14" s="1627">
        <f t="shared" si="0"/>
        <v>0</v>
      </c>
      <c r="K14" s="1627">
        <f t="shared" si="0"/>
        <v>0</v>
      </c>
      <c r="L14" s="1627">
        <f t="shared" si="0"/>
        <v>0</v>
      </c>
      <c r="M14" s="1627">
        <f t="shared" si="0"/>
        <v>0</v>
      </c>
      <c r="N14" s="1627">
        <f t="shared" si="0"/>
        <v>0</v>
      </c>
      <c r="O14" s="1627">
        <f t="shared" si="0"/>
        <v>0</v>
      </c>
      <c r="P14" s="2060"/>
      <c r="Q14" s="2060"/>
      <c r="R14" s="2060"/>
      <c r="S14" s="2060"/>
      <c r="T14" s="1510"/>
      <c r="U14" s="2060"/>
    </row>
    <row r="15" spans="1:21" s="312" customFormat="1" ht="13.9">
      <c r="A15" s="1510"/>
      <c r="B15" s="1510"/>
      <c r="C15" s="315"/>
      <c r="D15" s="328"/>
      <c r="E15" s="328"/>
      <c r="F15" s="328"/>
      <c r="G15" s="638"/>
      <c r="H15" s="638"/>
      <c r="I15" s="638"/>
      <c r="J15" s="638"/>
      <c r="K15" s="638"/>
      <c r="L15" s="638"/>
      <c r="M15" s="638"/>
      <c r="N15" s="638"/>
      <c r="O15" s="638"/>
      <c r="P15" s="2060"/>
      <c r="Q15" s="2060"/>
      <c r="R15" s="2060"/>
      <c r="S15" s="2060"/>
      <c r="T15" s="1510"/>
      <c r="U15" s="2060"/>
    </row>
    <row r="16" spans="1:21" ht="13.9">
      <c r="A16" s="1510" t="str">
        <f>IF(OR(MAX(E16:Q16)&gt;0.01,MIN(,E16:Q16)&lt;-0.01),"","n")</f>
        <v>n</v>
      </c>
      <c r="B16" s="1510"/>
      <c r="C16" s="315" t="s">
        <v>247</v>
      </c>
      <c r="D16" s="328"/>
      <c r="E16" s="616"/>
      <c r="F16" s="616"/>
      <c r="G16" s="638">
        <f>IF(G$9="Normalized",'PFI Inc Stat'!$S21,'PFI Inc Stat'!G21)</f>
        <v>0</v>
      </c>
      <c r="H16" s="638">
        <f>IF(H$9="Normalized",'PFI Inc Stat'!$S21,'PFI Inc Stat'!H21)</f>
        <v>0</v>
      </c>
      <c r="I16" s="638">
        <f>IF(I$9="Normalized",'PFI Inc Stat'!$S21,'PFI Inc Stat'!I21)</f>
        <v>0</v>
      </c>
      <c r="J16" s="638">
        <f>IF(J$9="Normalized",'PFI Inc Stat'!$S21,'PFI Inc Stat'!J21)</f>
        <v>0</v>
      </c>
      <c r="K16" s="638">
        <f>IF(K$9="Normalized",'PFI Inc Stat'!$S21,'PFI Inc Stat'!K21)</f>
        <v>0</v>
      </c>
      <c r="L16" s="638">
        <f>IF(L$9="Normalized",'PFI Inc Stat'!$S21,'PFI Inc Stat'!L21)</f>
        <v>0</v>
      </c>
      <c r="M16" s="638">
        <f>IF(M$9="Normalized",'PFI Inc Stat'!$S21,'PFI Inc Stat'!M21)</f>
        <v>0</v>
      </c>
      <c r="N16" s="638">
        <f>IF(N$9="Normalized",'PFI Inc Stat'!$S21,'PFI Inc Stat'!N21)</f>
        <v>0</v>
      </c>
      <c r="O16" s="638">
        <f>IF(O$9="Normalized",'PFI Inc Stat'!$S21,'PFI Inc Stat'!O21)</f>
        <v>0</v>
      </c>
      <c r="P16" s="2060"/>
      <c r="Q16" s="2060"/>
      <c r="R16" s="2060"/>
      <c r="S16" s="2060"/>
      <c r="T16" s="1510"/>
      <c r="U16" s="2060"/>
    </row>
    <row r="17" spans="1:22" s="1027" customFormat="1" ht="13.9">
      <c r="A17" s="1510"/>
      <c r="B17" s="1510"/>
      <c r="C17" s="331" t="s">
        <v>1343</v>
      </c>
      <c r="D17" s="328"/>
      <c r="E17" s="616"/>
      <c r="F17" s="616"/>
      <c r="G17" s="1627" t="str">
        <f>IF(G$9="Normalized",'PFI Inc Stat'!$S43,'PFI Inc Stat'!G43)</f>
        <v>--</v>
      </c>
      <c r="H17" s="1627" t="str">
        <f>IF(H$9="Normalized",'PFI Inc Stat'!$S43,'PFI Inc Stat'!H43)</f>
        <v>n/a</v>
      </c>
      <c r="I17" s="1627" t="str">
        <f>IF(I$9="Normalized",'PFI Inc Stat'!$S43,'PFI Inc Stat'!I43)</f>
        <v>n/a</v>
      </c>
      <c r="J17" s="1627" t="str">
        <f>IF(J$9="Normalized",'PFI Inc Stat'!$S43,'PFI Inc Stat'!J43)</f>
        <v>n/a</v>
      </c>
      <c r="K17" s="1627" t="str">
        <f>IF(K$9="Normalized",'PFI Inc Stat'!$S43,'PFI Inc Stat'!K43)</f>
        <v>n/a</v>
      </c>
      <c r="L17" s="1627" t="str">
        <f>IF(L$9="Normalized",'PFI Inc Stat'!$S43,'PFI Inc Stat'!L43)</f>
        <v>n/a</v>
      </c>
      <c r="M17" s="1627" t="str">
        <f>IF(M$9="Normalized",'PFI Inc Stat'!$S43,'PFI Inc Stat'!M43)</f>
        <v>n/a</v>
      </c>
      <c r="N17" s="1627" t="str">
        <f>IF(N$9="Normalized",'PFI Inc Stat'!$S43,'PFI Inc Stat'!N43)</f>
        <v>n/a</v>
      </c>
      <c r="O17" s="1627" t="str">
        <f>IF(O$9="Normalized",'PFI Inc Stat'!$S43,'PFI Inc Stat'!O43)</f>
        <v>n/a</v>
      </c>
      <c r="P17" s="2060"/>
      <c r="Q17" s="2060"/>
      <c r="R17" s="2060"/>
      <c r="S17" s="2060"/>
      <c r="T17" s="1510"/>
      <c r="U17" s="2060"/>
      <c r="V17" s="1525"/>
    </row>
    <row r="18" spans="1:22" s="1027" customFormat="1" ht="13.9">
      <c r="A18" s="1510"/>
      <c r="B18" s="1510"/>
      <c r="C18" s="331" t="s">
        <v>1344</v>
      </c>
      <c r="D18" s="328"/>
      <c r="E18" s="616"/>
      <c r="F18" s="616"/>
      <c r="G18" s="1627" t="str">
        <f>IF(G$9="Normalized",'PFI Inc Stat'!$S46,'PFI Inc Stat'!G46)</f>
        <v>--</v>
      </c>
      <c r="H18" s="1627" t="str">
        <f>IF(H$9="Normalized",'PFI Inc Stat'!$S46,'PFI Inc Stat'!H46)</f>
        <v>n/a</v>
      </c>
      <c r="I18" s="1627" t="str">
        <f>IF(I$9="Normalized",'PFI Inc Stat'!$S46,'PFI Inc Stat'!I46)</f>
        <v>n/a</v>
      </c>
      <c r="J18" s="1627" t="str">
        <f>IF(J$9="Normalized",'PFI Inc Stat'!$S46,'PFI Inc Stat'!J46)</f>
        <v>n/a</v>
      </c>
      <c r="K18" s="1627" t="str">
        <f>IF(K$9="Normalized",'PFI Inc Stat'!$S46,'PFI Inc Stat'!K46)</f>
        <v>n/a</v>
      </c>
      <c r="L18" s="1627" t="str">
        <f>IF(L$9="Normalized",'PFI Inc Stat'!$S46,'PFI Inc Stat'!L46)</f>
        <v>n/a</v>
      </c>
      <c r="M18" s="1627" t="str">
        <f>IF(M$9="Normalized",'PFI Inc Stat'!$S46,'PFI Inc Stat'!M46)</f>
        <v>n/a</v>
      </c>
      <c r="N18" s="1627" t="str">
        <f>IF(N$9="Normalized",'PFI Inc Stat'!$S46,'PFI Inc Stat'!N46)</f>
        <v>n/a</v>
      </c>
      <c r="O18" s="1627" t="str">
        <f>IF(O$9="Normalized",'PFI Inc Stat'!$S46,'PFI Inc Stat'!O46)</f>
        <v>n/a</v>
      </c>
      <c r="P18" s="2060"/>
      <c r="Q18" s="2060"/>
      <c r="R18" s="2060"/>
      <c r="S18" s="2060"/>
      <c r="T18" s="1510"/>
      <c r="U18" s="2060"/>
      <c r="V18" s="1525"/>
    </row>
    <row r="19" spans="1:22" s="1027" customFormat="1" ht="13.9">
      <c r="A19" s="1510"/>
      <c r="B19" s="1510"/>
      <c r="C19" s="315"/>
      <c r="D19" s="328"/>
      <c r="E19" s="616"/>
      <c r="F19" s="616"/>
      <c r="G19" s="638"/>
      <c r="H19" s="638"/>
      <c r="I19" s="638"/>
      <c r="J19" s="638"/>
      <c r="K19" s="638"/>
      <c r="L19" s="638"/>
      <c r="M19" s="638"/>
      <c r="N19" s="638"/>
      <c r="O19" s="638"/>
      <c r="P19" s="2060"/>
      <c r="Q19" s="2060"/>
      <c r="R19" s="2060"/>
      <c r="S19" s="2060"/>
      <c r="T19" s="1510"/>
      <c r="U19" s="2060"/>
      <c r="V19" s="1525"/>
    </row>
    <row r="20" spans="1:22" s="321" customFormat="1" ht="13.9">
      <c r="A20" s="1510" t="str">
        <f ca="1">IF(OR(MAX(E20:Q20)&gt;0.01,MIN(,E20:Q20)&lt;-0.01),"","n")</f>
        <v>n</v>
      </c>
      <c r="B20" s="1510"/>
      <c r="C20" s="290" t="s">
        <v>1345</v>
      </c>
      <c r="D20" s="328"/>
      <c r="E20" s="616"/>
      <c r="F20" s="616"/>
      <c r="G20" s="638">
        <f ca="1">IF(G$9="Normalized",'PFI Inc Stat'!$S22,'PFI Inc Stat'!G22)</f>
        <v>0</v>
      </c>
      <c r="H20" s="638">
        <f ca="1">IF(H$9="Normalized",'PFI Inc Stat'!$S22,'PFI Inc Stat'!H22)</f>
        <v>0</v>
      </c>
      <c r="I20" s="638">
        <f ca="1">IF(I$9="Normalized",'PFI Inc Stat'!$S22,'PFI Inc Stat'!I22)</f>
        <v>0</v>
      </c>
      <c r="J20" s="638">
        <f ca="1">IF(J$9="Normalized",'PFI Inc Stat'!$S22,'PFI Inc Stat'!J22)</f>
        <v>0</v>
      </c>
      <c r="K20" s="638">
        <f ca="1">IF(K$9="Normalized",'PFI Inc Stat'!$S22,'PFI Inc Stat'!K22)</f>
        <v>0</v>
      </c>
      <c r="L20" s="638">
        <f ca="1">IF(L$9="Normalized",'PFI Inc Stat'!$S22,'PFI Inc Stat'!L22)</f>
        <v>0</v>
      </c>
      <c r="M20" s="638">
        <f ca="1">IF(M$9="Normalized",'PFI Inc Stat'!$S22,'PFI Inc Stat'!M22)</f>
        <v>0</v>
      </c>
      <c r="N20" s="638">
        <f ca="1">IF(N$9="Normalized",'PFI Inc Stat'!$S22,'PFI Inc Stat'!N22)</f>
        <v>0</v>
      </c>
      <c r="O20" s="638">
        <f>IF(O$9="Normalized",'PFI Inc Stat'!$S22,'PFI Inc Stat'!O22)</f>
        <v>0</v>
      </c>
      <c r="P20" s="2060"/>
      <c r="Q20" s="2060"/>
      <c r="R20" s="2060"/>
      <c r="S20" s="2060"/>
      <c r="T20" s="1510"/>
      <c r="U20" s="2060"/>
      <c r="V20" s="1507"/>
    </row>
    <row r="21" spans="1:22" s="321" customFormat="1" ht="13.9">
      <c r="A21" s="1510"/>
      <c r="B21" s="1510"/>
      <c r="C21" s="290" t="s">
        <v>1346</v>
      </c>
      <c r="D21" s="328"/>
      <c r="E21" s="616"/>
      <c r="F21" s="328"/>
      <c r="G21" s="638">
        <f>IF(G$9="Normalized",'PFI Inc Stat'!$S23,'PFI Inc Stat'!G23)</f>
        <v>0</v>
      </c>
      <c r="H21" s="638">
        <f>IF(H$9="Normalized",'PFI Inc Stat'!$S23,'PFI Inc Stat'!H23)</f>
        <v>0</v>
      </c>
      <c r="I21" s="638">
        <f>IF(I$9="Normalized",'PFI Inc Stat'!$S23,'PFI Inc Stat'!I23)</f>
        <v>0</v>
      </c>
      <c r="J21" s="638">
        <f>IF(J$9="Normalized",'PFI Inc Stat'!$S23,'PFI Inc Stat'!J23)</f>
        <v>0</v>
      </c>
      <c r="K21" s="638">
        <f>IF(K$9="Normalized",'PFI Inc Stat'!$S23,'PFI Inc Stat'!K23)</f>
        <v>0</v>
      </c>
      <c r="L21" s="638">
        <f>IF(L$9="Normalized",'PFI Inc Stat'!$S23,'PFI Inc Stat'!L23)</f>
        <v>0</v>
      </c>
      <c r="M21" s="638">
        <f>IF(M$9="Normalized",'PFI Inc Stat'!$S23,'PFI Inc Stat'!M23)</f>
        <v>0</v>
      </c>
      <c r="N21" s="638">
        <f>IF(N$9="Normalized",'PFI Inc Stat'!$S23,'PFI Inc Stat'!N23)</f>
        <v>0</v>
      </c>
      <c r="O21" s="638">
        <f>IF(O$9="Normalized",'PFI Inc Stat'!$S23,'PFI Inc Stat'!O23)</f>
        <v>0</v>
      </c>
      <c r="P21" s="2060"/>
      <c r="Q21" s="2060"/>
      <c r="R21" s="2060"/>
      <c r="S21" s="2060"/>
      <c r="T21" s="1510"/>
      <c r="U21" s="2060"/>
      <c r="V21" s="1507"/>
    </row>
    <row r="22" spans="1:22" s="321" customFormat="1" ht="13.9">
      <c r="A22" s="1510" t="str">
        <f ca="1">IF(OR(MAX(E22:Q22)&gt;0.01,MIN(,E22:Q22)&lt;-0.01),"","n")</f>
        <v>n</v>
      </c>
      <c r="B22" s="1510"/>
      <c r="C22" s="298" t="s">
        <v>211</v>
      </c>
      <c r="D22" s="301"/>
      <c r="E22" s="621"/>
      <c r="F22" s="301"/>
      <c r="G22" s="583">
        <f ca="1">SUM(G16,G20:G21)</f>
        <v>0</v>
      </c>
      <c r="H22" s="583">
        <f t="shared" ref="H22:O22" ca="1" si="1">SUM(H16,H20:H21)</f>
        <v>0</v>
      </c>
      <c r="I22" s="583">
        <f t="shared" ca="1" si="1"/>
        <v>0</v>
      </c>
      <c r="J22" s="583">
        <f t="shared" ca="1" si="1"/>
        <v>0</v>
      </c>
      <c r="K22" s="583">
        <f t="shared" ca="1" si="1"/>
        <v>0</v>
      </c>
      <c r="L22" s="583">
        <f t="shared" ca="1" si="1"/>
        <v>0</v>
      </c>
      <c r="M22" s="583">
        <f t="shared" ca="1" si="1"/>
        <v>0</v>
      </c>
      <c r="N22" s="583">
        <f t="shared" ca="1" si="1"/>
        <v>0</v>
      </c>
      <c r="O22" s="583">
        <f t="shared" si="1"/>
        <v>0</v>
      </c>
      <c r="P22" s="2060"/>
      <c r="Q22" s="2060"/>
      <c r="R22" s="2060"/>
      <c r="S22" s="2060"/>
      <c r="T22" s="1510"/>
      <c r="U22" s="2060"/>
      <c r="V22" s="1507"/>
    </row>
    <row r="23" spans="1:22" ht="13.9">
      <c r="A23" s="1510" t="str">
        <f ca="1">IF(OR(MAX(E23:Q23)&gt;0.01,MIN(,E23:Q23)&lt;-0.01),"","n")</f>
        <v>n</v>
      </c>
      <c r="B23" s="1510"/>
      <c r="C23" s="290" t="s">
        <v>966</v>
      </c>
      <c r="D23" s="328"/>
      <c r="E23" s="679"/>
      <c r="F23" s="328"/>
      <c r="G23" s="638">
        <f ca="1">IF(START!$H$54="Y",-G22*G24,MIN(-G22*G24,0))</f>
        <v>0</v>
      </c>
      <c r="H23" s="638">
        <f ca="1">IF(START!$H$54="Y",-H22*H24,MIN(-H22*H24,0))</f>
        <v>0</v>
      </c>
      <c r="I23" s="638">
        <f ca="1">IF(START!$H$54="Y",-I22*I24,MIN(-I22*I24,0))</f>
        <v>0</v>
      </c>
      <c r="J23" s="638">
        <f ca="1">IF(START!$H$54="Y",-J22*J24,MIN(-J22*J24,0))</f>
        <v>0</v>
      </c>
      <c r="K23" s="638">
        <f ca="1">IF(START!$H$54="Y",-K22*K24,MIN(-K22*K24,0))</f>
        <v>0</v>
      </c>
      <c r="L23" s="638">
        <f ca="1">IF(START!$H$54="Y",-L22*L24,MIN(-L22*L24,0))</f>
        <v>0</v>
      </c>
      <c r="M23" s="638">
        <f ca="1">IF(START!$H$54="Y",-M22*M24,MIN(-M22*M24,0))</f>
        <v>0</v>
      </c>
      <c r="N23" s="638">
        <f ca="1">IF(START!$H$54="Y",-N22*N24,MIN(-N22*N24,0))</f>
        <v>0</v>
      </c>
      <c r="O23" s="638">
        <f ca="1">IF(START!$H$54="Y",-O22*O24,MIN(-O22*O24,0))</f>
        <v>0</v>
      </c>
      <c r="P23" s="2060"/>
      <c r="Q23" s="2060"/>
      <c r="R23" s="2060"/>
      <c r="S23" s="2060"/>
      <c r="T23" s="1510"/>
      <c r="U23" s="2060"/>
      <c r="V23" s="1525"/>
    </row>
    <row r="24" spans="1:22" ht="13.9">
      <c r="A24" s="1510"/>
      <c r="B24" s="1510"/>
      <c r="C24" s="290" t="s">
        <v>933</v>
      </c>
      <c r="D24" s="328"/>
      <c r="E24" s="616"/>
      <c r="F24" s="328"/>
      <c r="G24" s="1369">
        <f>IFERROR(IF(G$9="Normalized",-'PFI Inputs'!$S81/'PFI Inputs'!$S79,'PFI Inputs'!G91),0)</f>
        <v>0</v>
      </c>
      <c r="H24" s="1369">
        <f>IFERROR(IF(H$9="Normalized",-'PFI Inputs'!$S81/'PFI Inputs'!$S79,'PFI Inputs'!H91),0)</f>
        <v>0</v>
      </c>
      <c r="I24" s="1369">
        <f>IFERROR(IF(I$9="Normalized",-'PFI Inputs'!$S81/'PFI Inputs'!$S79,'PFI Inputs'!I91),0)</f>
        <v>0</v>
      </c>
      <c r="J24" s="1369">
        <f>IFERROR(IF(J$9="Normalized",-'PFI Inputs'!$S81/'PFI Inputs'!$S79,'PFI Inputs'!J91),0)</f>
        <v>0</v>
      </c>
      <c r="K24" s="1369">
        <f>IFERROR(IF(K$9="Normalized",-'PFI Inputs'!$S81/'PFI Inputs'!$S79,'PFI Inputs'!K91),0)</f>
        <v>0</v>
      </c>
      <c r="L24" s="1369">
        <f>IFERROR(IF(L$9="Normalized",-'PFI Inputs'!$S81/'PFI Inputs'!$S79,'PFI Inputs'!L91),0)</f>
        <v>0</v>
      </c>
      <c r="M24" s="1369">
        <f>IFERROR(IF(M$9="Normalized",-'PFI Inputs'!$S81/'PFI Inputs'!$S79,'PFI Inputs'!M91),0)</f>
        <v>0</v>
      </c>
      <c r="N24" s="1369">
        <f>IFERROR(IF(N$9="Normalized",-'PFI Inputs'!$S81/'PFI Inputs'!$S79,'PFI Inputs'!N91),0)</f>
        <v>0</v>
      </c>
      <c r="O24" s="1369">
        <f ca="1">IFERROR(IF(O$9="Normalized",-'PFI Inputs'!$S81/'PFI Inputs'!$S79,'PFI Inputs'!O91),0)</f>
        <v>0</v>
      </c>
      <c r="P24" s="2060"/>
      <c r="Q24" s="2060"/>
      <c r="R24" s="2060"/>
      <c r="S24" s="2060"/>
      <c r="T24" s="1510"/>
      <c r="U24" s="2060"/>
      <c r="V24" s="1525"/>
    </row>
    <row r="25" spans="1:22" ht="13.9">
      <c r="A25" s="1510"/>
      <c r="B25" s="1510"/>
      <c r="C25" s="298" t="s">
        <v>1347</v>
      </c>
      <c r="D25" s="301"/>
      <c r="E25" s="621"/>
      <c r="F25" s="301"/>
      <c r="G25" s="583">
        <f ca="1">SUM(G22:G23)</f>
        <v>0</v>
      </c>
      <c r="H25" s="583">
        <f t="shared" ref="H25:O25" ca="1" si="2">SUM(H22:H23)</f>
        <v>0</v>
      </c>
      <c r="I25" s="583">
        <f t="shared" ca="1" si="2"/>
        <v>0</v>
      </c>
      <c r="J25" s="583">
        <f t="shared" ca="1" si="2"/>
        <v>0</v>
      </c>
      <c r="K25" s="583">
        <f t="shared" ca="1" si="2"/>
        <v>0</v>
      </c>
      <c r="L25" s="583">
        <f t="shared" ca="1" si="2"/>
        <v>0</v>
      </c>
      <c r="M25" s="583">
        <f t="shared" ca="1" si="2"/>
        <v>0</v>
      </c>
      <c r="N25" s="583">
        <f t="shared" ca="1" si="2"/>
        <v>0</v>
      </c>
      <c r="O25" s="583">
        <f t="shared" ca="1" si="2"/>
        <v>0</v>
      </c>
      <c r="P25" s="2060"/>
      <c r="Q25" s="2060"/>
      <c r="R25" s="2060"/>
      <c r="S25" s="2060"/>
      <c r="T25" s="1510"/>
      <c r="U25" s="2060"/>
      <c r="V25" s="1525"/>
    </row>
    <row r="26" spans="1:22" ht="13.9">
      <c r="A26" s="1510" t="str">
        <f ca="1">IF(OR(MAX(E26:Q26)&gt;0.01,MIN(,E26:Q26)&lt;-0.01),"","n")</f>
        <v>n</v>
      </c>
      <c r="B26" s="1510"/>
      <c r="C26" s="1527" t="s">
        <v>1348</v>
      </c>
      <c r="D26" s="1529"/>
      <c r="E26" s="619"/>
      <c r="F26" s="1529"/>
      <c r="G26" s="639">
        <f ca="1">-G20</f>
        <v>0</v>
      </c>
      <c r="H26" s="639">
        <f t="shared" ref="H26:O26" ca="1" si="3">-H20</f>
        <v>0</v>
      </c>
      <c r="I26" s="639">
        <f t="shared" ca="1" si="3"/>
        <v>0</v>
      </c>
      <c r="J26" s="639">
        <f t="shared" ca="1" si="3"/>
        <v>0</v>
      </c>
      <c r="K26" s="639">
        <f t="shared" ca="1" si="3"/>
        <v>0</v>
      </c>
      <c r="L26" s="639">
        <f t="shared" ca="1" si="3"/>
        <v>0</v>
      </c>
      <c r="M26" s="639">
        <f t="shared" ca="1" si="3"/>
        <v>0</v>
      </c>
      <c r="N26" s="639">
        <f t="shared" ca="1" si="3"/>
        <v>0</v>
      </c>
      <c r="O26" s="639">
        <f t="shared" si="3"/>
        <v>0</v>
      </c>
      <c r="P26" s="2060"/>
      <c r="Q26" s="2060"/>
      <c r="R26" s="2060"/>
      <c r="S26" s="2060"/>
      <c r="T26" s="1510"/>
      <c r="U26" s="2060"/>
      <c r="V26" s="1365" t="s">
        <v>1349</v>
      </c>
    </row>
    <row r="27" spans="1:22" ht="13.9">
      <c r="A27" s="1510" t="str">
        <f>IF(OR(MAX(E27:Q27)&gt;0.01,MIN(,E27:Q27)&lt;-0.01),"","n")</f>
        <v>n</v>
      </c>
      <c r="B27" s="1510"/>
      <c r="C27" s="290" t="s">
        <v>1346</v>
      </c>
      <c r="D27" s="1529"/>
      <c r="E27" s="619"/>
      <c r="F27" s="1529"/>
      <c r="G27" s="640">
        <f>-G21</f>
        <v>0</v>
      </c>
      <c r="H27" s="640">
        <f t="shared" ref="H27:O27" si="4">-H21</f>
        <v>0</v>
      </c>
      <c r="I27" s="640">
        <f t="shared" si="4"/>
        <v>0</v>
      </c>
      <c r="J27" s="640">
        <f t="shared" si="4"/>
        <v>0</v>
      </c>
      <c r="K27" s="640">
        <f t="shared" si="4"/>
        <v>0</v>
      </c>
      <c r="L27" s="640">
        <f t="shared" si="4"/>
        <v>0</v>
      </c>
      <c r="M27" s="640">
        <f t="shared" si="4"/>
        <v>0</v>
      </c>
      <c r="N27" s="640">
        <f t="shared" si="4"/>
        <v>0</v>
      </c>
      <c r="O27" s="640">
        <f t="shared" si="4"/>
        <v>0</v>
      </c>
      <c r="P27" s="2060"/>
      <c r="Q27" s="2060"/>
      <c r="R27" s="2060"/>
      <c r="S27" s="2060"/>
      <c r="T27" s="1510"/>
      <c r="U27" s="2060"/>
      <c r="V27" s="1525" t="s">
        <v>1350</v>
      </c>
    </row>
    <row r="28" spans="1:22" s="1027" customFormat="1" ht="13.9">
      <c r="A28" s="1510"/>
      <c r="B28" s="1510"/>
      <c r="C28" s="1531" t="s">
        <v>923</v>
      </c>
      <c r="D28" s="328"/>
      <c r="E28" s="616"/>
      <c r="F28" s="328"/>
      <c r="G28" s="638">
        <f>IF(G$9="Normalized",-'PFI Inc Stat'!$S35,-'PFI Inc Stat'!G35)</f>
        <v>0</v>
      </c>
      <c r="H28" s="638">
        <f>IF(H$9="Normalized",-'PFI Inc Stat'!$S35,-'PFI Inc Stat'!H35)</f>
        <v>0</v>
      </c>
      <c r="I28" s="638">
        <f>IF(I$9="Normalized",-'PFI Inc Stat'!$S35,-'PFI Inc Stat'!I35)</f>
        <v>0</v>
      </c>
      <c r="J28" s="638">
        <f>IF(J$9="Normalized",-'PFI Inc Stat'!$S35,-'PFI Inc Stat'!J35)</f>
        <v>0</v>
      </c>
      <c r="K28" s="638">
        <f>IF(K$9="Normalized",-'PFI Inc Stat'!$S35,-'PFI Inc Stat'!K35)</f>
        <v>0</v>
      </c>
      <c r="L28" s="638">
        <f>IF(L$9="Normalized",-'PFI Inc Stat'!$S35,-'PFI Inc Stat'!L35)</f>
        <v>0</v>
      </c>
      <c r="M28" s="638">
        <f>IF(M$9="Normalized",-'PFI Inc Stat'!$S35,-'PFI Inc Stat'!M35)</f>
        <v>0</v>
      </c>
      <c r="N28" s="638">
        <f>IF(N$9="Normalized",-'PFI Inc Stat'!$S35,-'PFI Inc Stat'!N35)</f>
        <v>0</v>
      </c>
      <c r="O28" s="638">
        <f>IF(O$9="Normalized",-'PFI Inc Stat'!$S35,-'PFI Inc Stat'!O35)</f>
        <v>0</v>
      </c>
      <c r="P28" s="2060"/>
      <c r="Q28" s="2060"/>
      <c r="R28" s="2060"/>
      <c r="S28" s="2060"/>
      <c r="T28" s="1510"/>
      <c r="U28" s="2060"/>
      <c r="V28" s="1525" t="s">
        <v>1351</v>
      </c>
    </row>
    <row r="29" spans="1:22" ht="13.9">
      <c r="A29" s="1510" t="str">
        <f ca="1">IF(OR(MAX(E29:Q29)&gt;0.01,MIN(,E29:Q29)&lt;-0.01),"","n")</f>
        <v>n</v>
      </c>
      <c r="B29" s="1510"/>
      <c r="C29" s="305" t="s">
        <v>1352</v>
      </c>
      <c r="D29" s="328"/>
      <c r="E29" s="616"/>
      <c r="F29" s="328"/>
      <c r="G29" s="638">
        <f>IF(G$9="Normalized",'PFI Inc Stat'!$S38,'PFI Inc Stat'!G38)</f>
        <v>0</v>
      </c>
      <c r="H29" s="638">
        <f>IF(H$9="Normalized",'PFI Inc Stat'!$S38,'PFI Inc Stat'!H38)</f>
        <v>0</v>
      </c>
      <c r="I29" s="638">
        <f>IF(I$9="Normalized",'PFI Inc Stat'!$S38,'PFI Inc Stat'!I38)</f>
        <v>0</v>
      </c>
      <c r="J29" s="638">
        <f>IF(J$9="Normalized",'PFI Inc Stat'!$S38,'PFI Inc Stat'!J38)</f>
        <v>0</v>
      </c>
      <c r="K29" s="638">
        <f>IF(K$9="Normalized",'PFI Inc Stat'!$S38,'PFI Inc Stat'!K38)</f>
        <v>0</v>
      </c>
      <c r="L29" s="638">
        <f>IF(L$9="Normalized",'PFI Inc Stat'!$S38,'PFI Inc Stat'!L38)</f>
        <v>0</v>
      </c>
      <c r="M29" s="638">
        <f>IF(M$9="Normalized",'PFI Inc Stat'!$S38,'PFI Inc Stat'!M38)</f>
        <v>0</v>
      </c>
      <c r="N29" s="638">
        <f>IF(N$9="Normalized",'PFI Inc Stat'!$S38,'PFI Inc Stat'!N38)</f>
        <v>0</v>
      </c>
      <c r="O29" s="638">
        <f ca="1">IF(O$9="Normalized",'PFI Inc Stat'!$S38,'PFI Inc Stat'!O38)</f>
        <v>0</v>
      </c>
      <c r="P29" s="2060"/>
      <c r="Q29" s="2060"/>
      <c r="R29" s="2060"/>
      <c r="S29" s="2060"/>
      <c r="T29" s="1510"/>
      <c r="U29" s="2060"/>
      <c r="V29" s="1525" t="s">
        <v>1353</v>
      </c>
    </row>
    <row r="30" spans="1:22" ht="13.9">
      <c r="A30" s="1510"/>
      <c r="B30" s="1510"/>
      <c r="C30" s="298" t="s">
        <v>1354</v>
      </c>
      <c r="D30" s="301"/>
      <c r="E30" s="680"/>
      <c r="F30" s="301"/>
      <c r="G30" s="583">
        <f ca="1">SUM(G25:G29)</f>
        <v>0</v>
      </c>
      <c r="H30" s="583">
        <f t="shared" ref="H30:O30" ca="1" si="5">SUM(H25:H29)</f>
        <v>0</v>
      </c>
      <c r="I30" s="583">
        <f t="shared" ca="1" si="5"/>
        <v>0</v>
      </c>
      <c r="J30" s="583">
        <f t="shared" ca="1" si="5"/>
        <v>0</v>
      </c>
      <c r="K30" s="583">
        <f t="shared" ca="1" si="5"/>
        <v>0</v>
      </c>
      <c r="L30" s="583">
        <f t="shared" ca="1" si="5"/>
        <v>0</v>
      </c>
      <c r="M30" s="583">
        <f t="shared" ca="1" si="5"/>
        <v>0</v>
      </c>
      <c r="N30" s="583">
        <f t="shared" ca="1" si="5"/>
        <v>0</v>
      </c>
      <c r="O30" s="583">
        <f t="shared" ca="1" si="5"/>
        <v>0</v>
      </c>
      <c r="P30" s="2060"/>
      <c r="Q30" s="2060"/>
      <c r="R30" s="2060"/>
      <c r="S30" s="2060"/>
      <c r="T30" s="1510"/>
      <c r="U30" s="2060"/>
      <c r="V30" s="1525"/>
    </row>
    <row r="31" spans="1:22" ht="13.9">
      <c r="A31" s="1510" t="s">
        <v>17</v>
      </c>
      <c r="B31" s="1510"/>
      <c r="C31" s="1531" t="s">
        <v>1355</v>
      </c>
      <c r="D31" s="637">
        <f>IFERROR(WACC,0)</f>
        <v>0</v>
      </c>
      <c r="E31" s="616"/>
      <c r="F31" s="328"/>
      <c r="G31" s="584">
        <f>IF(G9="Normalized",F31,1/(1+WACCinDCF)^START!G73)</f>
        <v>1</v>
      </c>
      <c r="H31" s="584">
        <f>IF(H9="Normalized",G31,1/(1+WACCinDCF)^START!H73)</f>
        <v>1</v>
      </c>
      <c r="I31" s="584">
        <f>IF(I9="Normalized",H31,1/(1+WACCinDCF)^START!I73)</f>
        <v>1</v>
      </c>
      <c r="J31" s="584">
        <f>IF(J9="Normalized",I31,1/(1+WACCinDCF)^START!J73)</f>
        <v>1</v>
      </c>
      <c r="K31" s="584">
        <f>IF(K9="Normalized",J31,1/(1+WACCinDCF)^START!K73)</f>
        <v>1</v>
      </c>
      <c r="L31" s="584">
        <f>IF(L9="Normalized",K31,1/(1+WACCinDCF)^START!L73)</f>
        <v>1</v>
      </c>
      <c r="M31" s="584">
        <f>IF(M9="Normalized",L31,1/(1+WACCinDCF)^START!M73)</f>
        <v>1</v>
      </c>
      <c r="N31" s="584">
        <f>IF(N9="Normalized",M31,1/(1+WACCinDCF)^START!N73)</f>
        <v>1</v>
      </c>
      <c r="O31" s="584">
        <f>IF(O9="Normalized",N31,1/(1+WACCinDCF)^START!O73)</f>
        <v>1</v>
      </c>
      <c r="P31" s="2060"/>
      <c r="Q31" s="2060"/>
      <c r="R31" s="2060"/>
      <c r="S31" s="2060"/>
      <c r="T31" s="1510"/>
      <c r="U31" s="2060"/>
      <c r="V31" s="1525" t="s">
        <v>1356</v>
      </c>
    </row>
    <row r="32" spans="1:22" ht="13.9">
      <c r="A32" s="1510" t="s">
        <v>17</v>
      </c>
      <c r="B32" s="1510"/>
      <c r="C32" s="298" t="s">
        <v>1357</v>
      </c>
      <c r="D32" s="301"/>
      <c r="E32" s="2090"/>
      <c r="F32" s="301"/>
      <c r="G32" s="583">
        <f t="shared" ref="G32" ca="1" si="6">IF(G9="Normalized","",G30*G31)</f>
        <v>0</v>
      </c>
      <c r="H32" s="583">
        <f t="shared" ref="H32:O32" ca="1" si="7">IF(H9="Normalized","",H30*H31)</f>
        <v>0</v>
      </c>
      <c r="I32" s="583">
        <f t="shared" ca="1" si="7"/>
        <v>0</v>
      </c>
      <c r="J32" s="583">
        <f t="shared" ca="1" si="7"/>
        <v>0</v>
      </c>
      <c r="K32" s="583">
        <f t="shared" ca="1" si="7"/>
        <v>0</v>
      </c>
      <c r="L32" s="583">
        <f t="shared" ca="1" si="7"/>
        <v>0</v>
      </c>
      <c r="M32" s="583">
        <f t="shared" ca="1" si="7"/>
        <v>0</v>
      </c>
      <c r="N32" s="583">
        <f t="shared" ca="1" si="7"/>
        <v>0</v>
      </c>
      <c r="O32" s="583" t="str">
        <f t="shared" si="7"/>
        <v/>
      </c>
      <c r="P32" s="2060"/>
      <c r="Q32" s="2060"/>
      <c r="R32" s="2060"/>
      <c r="S32" s="2060"/>
      <c r="T32" s="1510"/>
      <c r="U32" s="1525"/>
      <c r="V32" s="1525" t="s">
        <v>1358</v>
      </c>
    </row>
    <row r="33" spans="1:25" ht="13.9">
      <c r="A33" s="1510"/>
      <c r="B33" s="1510"/>
      <c r="C33" s="315"/>
      <c r="D33" s="328"/>
      <c r="E33" s="616"/>
      <c r="F33" s="616"/>
      <c r="G33" s="616"/>
      <c r="H33" s="616"/>
      <c r="I33" s="616"/>
      <c r="J33" s="616"/>
      <c r="K33" s="616"/>
      <c r="L33" s="616"/>
      <c r="M33" s="616"/>
      <c r="N33" s="616"/>
      <c r="O33" s="616"/>
      <c r="P33" s="2060"/>
      <c r="Q33" s="2060"/>
      <c r="R33" s="2060"/>
      <c r="S33" s="2060"/>
      <c r="T33" s="1510"/>
      <c r="U33" s="2060"/>
      <c r="V33" s="1525"/>
      <c r="W33" s="1525"/>
      <c r="X33" s="1525"/>
      <c r="Y33" s="1525"/>
    </row>
    <row r="34" spans="1:25" ht="13.9">
      <c r="A34" s="1510"/>
      <c r="B34" s="1510"/>
      <c r="C34" s="1525"/>
      <c r="D34" s="1525"/>
      <c r="E34" s="1525"/>
      <c r="F34" s="1525"/>
      <c r="G34" s="1525"/>
      <c r="H34" s="2060"/>
      <c r="I34" s="2060"/>
      <c r="J34" s="2060"/>
      <c r="K34" s="2060"/>
      <c r="L34" s="2060"/>
      <c r="M34" s="2060"/>
      <c r="N34" s="2060"/>
      <c r="O34" s="384"/>
      <c r="P34" s="384"/>
      <c r="Q34" s="2060"/>
      <c r="R34" s="2060"/>
      <c r="S34" s="2060"/>
      <c r="T34" s="1510"/>
      <c r="U34" s="2060"/>
      <c r="V34" s="1525"/>
      <c r="W34" s="1525"/>
      <c r="X34" s="1525"/>
      <c r="Y34" s="1525"/>
    </row>
    <row r="35" spans="1:25" ht="13.9">
      <c r="A35" s="1510"/>
      <c r="B35" s="1510"/>
      <c r="C35" s="1088" t="s">
        <v>1359</v>
      </c>
      <c r="D35" s="1089"/>
      <c r="E35" s="1090"/>
      <c r="F35" s="1089"/>
      <c r="G35" s="1091" t="s">
        <v>1360</v>
      </c>
      <c r="H35" s="1525"/>
      <c r="I35" s="1146" t="s">
        <v>1361</v>
      </c>
      <c r="J35" s="1147"/>
      <c r="K35" s="1147"/>
      <c r="L35" s="1147"/>
      <c r="M35" s="1148" t="str">
        <f>G35</f>
        <v>Value</v>
      </c>
      <c r="N35" s="1525"/>
      <c r="O35" s="1525"/>
      <c r="P35" s="2060"/>
      <c r="Q35" s="1525"/>
      <c r="R35" s="1525"/>
      <c r="S35" s="2060"/>
      <c r="T35" s="1510"/>
      <c r="U35" s="2060"/>
      <c r="V35" s="1146" t="s">
        <v>1362</v>
      </c>
      <c r="W35" s="1149"/>
      <c r="X35" s="1149"/>
      <c r="Y35" s="1148" t="str">
        <f>G35</f>
        <v>Value</v>
      </c>
    </row>
    <row r="36" spans="1:25" ht="13.9">
      <c r="A36" s="1510"/>
      <c r="B36" s="1510"/>
      <c r="C36" s="1067" t="s">
        <v>1033</v>
      </c>
      <c r="D36" s="1068"/>
      <c r="E36" s="1069"/>
      <c r="F36" s="1068"/>
      <c r="G36" s="1070">
        <f ca="1">SUMIFS($G$30:$R$30,$G$9:$R$9,"Normalized")</f>
        <v>0</v>
      </c>
      <c r="H36" s="1426" t="str">
        <f ca="1">IF(ROUND(ConstantGrowthNormalizedDFNCF-'PFI Inputs'!$S$304,0)=0,"",Fail)</f>
        <v/>
      </c>
      <c r="I36" s="382" t="s">
        <v>1033</v>
      </c>
      <c r="J36" s="2060"/>
      <c r="K36" s="2060"/>
      <c r="L36" s="1525"/>
      <c r="M36" s="374">
        <f ca="1">ConstantGrowthNormalizedDFNCF</f>
        <v>0</v>
      </c>
      <c r="N36" s="1525"/>
      <c r="O36" s="1525"/>
      <c r="P36" s="2060"/>
      <c r="Q36" s="1525"/>
      <c r="R36" s="1525"/>
      <c r="S36" s="2060"/>
      <c r="T36" s="1510"/>
      <c r="U36" s="2060"/>
      <c r="V36" s="2060" t="s">
        <v>247</v>
      </c>
      <c r="W36" s="2060"/>
      <c r="X36" s="2060"/>
      <c r="Y36" s="374">
        <f>IF(ISNUMBER(Y39)=FALSE,0,SUMIFS($G$16:$R$16,$G$9:$R$9,"Normalized"))</f>
        <v>0</v>
      </c>
    </row>
    <row r="37" spans="1:25" ht="13.5" customHeight="1">
      <c r="A37" s="1510"/>
      <c r="B37" s="1510"/>
      <c r="C37" s="1525"/>
      <c r="D37" s="4"/>
      <c r="E37" s="1505"/>
      <c r="F37" s="1525"/>
      <c r="G37" s="4"/>
      <c r="H37" s="2060"/>
      <c r="I37" s="1525" t="s">
        <v>1363</v>
      </c>
      <c r="J37" s="1525"/>
      <c r="K37" s="1525"/>
      <c r="L37" s="1525"/>
      <c r="M37" s="385">
        <f>'PFI Inputs'!$F$13</f>
        <v>0</v>
      </c>
      <c r="N37" s="1525"/>
      <c r="O37" s="1525"/>
      <c r="P37" s="385"/>
      <c r="Q37" s="1525"/>
      <c r="R37" s="1525"/>
      <c r="S37" s="2060"/>
      <c r="T37" s="1510"/>
      <c r="U37" s="2060"/>
      <c r="V37" s="1525"/>
      <c r="W37" s="1525"/>
      <c r="X37" s="1525"/>
      <c r="Y37" s="1525"/>
    </row>
    <row r="38" spans="1:25" ht="13.5" customHeight="1">
      <c r="A38" s="1510"/>
      <c r="B38" s="1510"/>
      <c r="C38" s="1525"/>
      <c r="D38" s="1525"/>
      <c r="E38" s="1525"/>
      <c r="F38" s="1525"/>
      <c r="G38" s="1525"/>
      <c r="H38" s="1525"/>
      <c r="I38" s="30" t="s">
        <v>947</v>
      </c>
      <c r="J38" s="2060"/>
      <c r="K38" s="2060"/>
      <c r="L38" s="2060"/>
      <c r="M38" s="1425">
        <f>'PFI Inputs'!$F$14</f>
        <v>0</v>
      </c>
      <c r="N38" s="1525"/>
      <c r="O38" s="1525"/>
      <c r="P38" s="385"/>
      <c r="Q38" s="1525"/>
      <c r="R38" s="1525"/>
      <c r="S38" s="2060"/>
      <c r="T38" s="1510"/>
      <c r="U38" s="2060"/>
      <c r="V38" s="1525"/>
      <c r="W38" s="1525"/>
      <c r="X38" s="1525"/>
      <c r="Y38" s="1525"/>
    </row>
    <row r="39" spans="1:25" s="1027" customFormat="1" ht="13.5" customHeight="1">
      <c r="A39" s="1510"/>
      <c r="B39" s="1510"/>
      <c r="C39" s="374" t="s">
        <v>940</v>
      </c>
      <c r="D39" s="374"/>
      <c r="E39" s="1578"/>
      <c r="F39" s="2060"/>
      <c r="G39" s="1425">
        <f>'PFI Inputs'!$F$10</f>
        <v>0.03</v>
      </c>
      <c r="H39" s="377"/>
      <c r="I39" s="374" t="s">
        <v>940</v>
      </c>
      <c r="J39" s="374"/>
      <c r="K39" s="1578"/>
      <c r="L39" s="2060"/>
      <c r="M39" s="1425">
        <f>Growth_Rate</f>
        <v>0.03</v>
      </c>
      <c r="N39" s="1525"/>
      <c r="O39" s="1525"/>
      <c r="P39" s="385"/>
      <c r="Q39" s="1525"/>
      <c r="R39" s="1525"/>
      <c r="S39" s="377"/>
      <c r="T39" s="1510"/>
      <c r="U39" s="2060"/>
      <c r="V39" s="407" t="s">
        <v>1364</v>
      </c>
      <c r="W39" s="1525"/>
      <c r="X39" s="1525"/>
      <c r="Y39" s="1610">
        <f>'PFI Inputs'!$F$17</f>
        <v>0</v>
      </c>
    </row>
    <row r="40" spans="1:25" ht="13.5" customHeight="1">
      <c r="A40" s="1510"/>
      <c r="B40" s="1510"/>
      <c r="C40" s="76" t="s">
        <v>1365</v>
      </c>
      <c r="D40" s="1502"/>
      <c r="E40" s="623"/>
      <c r="F40" s="1502"/>
      <c r="G40" s="1504">
        <f ca="1">IFERROR(G36*(1+Growth_Rate)/(WACCinDCF-Growth_Rate),0)</f>
        <v>0</v>
      </c>
      <c r="H40" s="1525"/>
      <c r="I40" s="76" t="s">
        <v>1366</v>
      </c>
      <c r="J40" s="1504"/>
      <c r="K40" s="1504"/>
      <c r="L40" s="1504"/>
      <c r="M40" s="1504">
        <f ca="1">IFERROR(IF(OR(ISNUMBER(Competitive_Period)=FALSE,ISNUMBER(Fading_Growth_Rate)=FALSE),0,G40+(M36*M37*0.5)*(M38-$M$39)/(WACCinDCF-$M$39)),0)</f>
        <v>0</v>
      </c>
      <c r="N40" s="1525"/>
      <c r="O40" s="1525"/>
      <c r="P40" s="385"/>
      <c r="Q40" s="1525"/>
      <c r="R40" s="1525"/>
      <c r="S40" s="2060"/>
      <c r="T40" s="1510"/>
      <c r="U40" s="2060"/>
      <c r="V40" s="76" t="s">
        <v>1367</v>
      </c>
      <c r="W40" s="1504"/>
      <c r="X40" s="1504"/>
      <c r="Y40" s="1504">
        <f>Y36*Y39</f>
        <v>0</v>
      </c>
    </row>
    <row r="41" spans="1:25" ht="13.5" customHeight="1">
      <c r="A41" s="1510"/>
      <c r="B41" s="1510"/>
      <c r="C41" s="374" t="s">
        <v>1368</v>
      </c>
      <c r="D41" s="374"/>
      <c r="E41" s="1505"/>
      <c r="F41" s="374"/>
      <c r="G41" s="379">
        <f>SUMIFS($G$31:$R$31,$G$9:$R$9,"Normalized")</f>
        <v>1</v>
      </c>
      <c r="H41" s="2060"/>
      <c r="I41" s="374" t="s">
        <v>1368</v>
      </c>
      <c r="J41" s="374"/>
      <c r="K41" s="374"/>
      <c r="L41" s="1525"/>
      <c r="M41" s="379">
        <f>$G$41</f>
        <v>1</v>
      </c>
      <c r="N41" s="1525"/>
      <c r="O41" s="1525"/>
      <c r="P41" s="385"/>
      <c r="Q41" s="1525"/>
      <c r="R41" s="1525"/>
      <c r="S41" s="379"/>
      <c r="T41" s="1510"/>
      <c r="U41" s="2060"/>
      <c r="V41" s="374" t="s">
        <v>1368</v>
      </c>
      <c r="W41" s="374"/>
      <c r="X41" s="374"/>
      <c r="Y41" s="379">
        <f>INDEX(START!$G$77:$Q$77,NoOfPFIYrs)</f>
        <v>1</v>
      </c>
    </row>
    <row r="42" spans="1:25" ht="13.5" customHeight="1">
      <c r="A42" s="1510"/>
      <c r="B42" s="1510"/>
      <c r="C42" s="1075" t="s">
        <v>1369</v>
      </c>
      <c r="D42" s="1077"/>
      <c r="E42" s="1076"/>
      <c r="F42" s="1078"/>
      <c r="G42" s="1075">
        <f ca="1">G40*G41</f>
        <v>0</v>
      </c>
      <c r="H42" s="1525"/>
      <c r="I42" s="1075" t="str">
        <f>C42</f>
        <v>PV of terminal Value</v>
      </c>
      <c r="J42" s="1077"/>
      <c r="K42" s="1078"/>
      <c r="L42" s="1151"/>
      <c r="M42" s="1075">
        <f ca="1">M40*M41</f>
        <v>0</v>
      </c>
      <c r="N42" s="1525"/>
      <c r="O42" s="1525"/>
      <c r="P42" s="385"/>
      <c r="Q42" s="1525"/>
      <c r="R42" s="1525"/>
      <c r="S42" s="2060"/>
      <c r="T42" s="1510"/>
      <c r="U42" s="1525"/>
      <c r="V42" s="1150" t="str">
        <f>C42</f>
        <v>PV of terminal Value</v>
      </c>
      <c r="W42" s="1078"/>
      <c r="X42" s="1078"/>
      <c r="Y42" s="1075">
        <f>Y40*Y41</f>
        <v>0</v>
      </c>
    </row>
    <row r="43" spans="1:25" ht="13.5" customHeight="1">
      <c r="A43" s="1510"/>
      <c r="B43" s="1510"/>
      <c r="C43" s="2060"/>
      <c r="D43" s="2060"/>
      <c r="E43" s="1505"/>
      <c r="F43" s="2060"/>
      <c r="G43" s="1525"/>
      <c r="H43" s="1525"/>
      <c r="I43" s="1525"/>
      <c r="J43" s="1525"/>
      <c r="K43" s="1525"/>
      <c r="L43" s="1525"/>
      <c r="M43" s="1525"/>
      <c r="N43" s="1525"/>
      <c r="O43" s="1525"/>
      <c r="P43" s="1525"/>
      <c r="Q43" s="1525"/>
      <c r="R43" s="1525"/>
      <c r="S43" s="2060"/>
      <c r="T43" s="1510"/>
      <c r="U43" s="1525"/>
      <c r="V43" s="1525"/>
      <c r="W43" s="1525"/>
      <c r="X43" s="1525"/>
      <c r="Y43" s="2060"/>
    </row>
    <row r="44" spans="1:25" s="1525" customFormat="1" ht="13.5" customHeight="1">
      <c r="A44" s="1510"/>
      <c r="B44" s="1510"/>
      <c r="C44" s="2060"/>
      <c r="D44" s="2060"/>
      <c r="E44" s="1505"/>
      <c r="F44" s="2060"/>
      <c r="K44" s="1094" t="str">
        <f>"Sensitivity analysis: "&amp;EVorTICFull</f>
        <v>Sensitivity analysis: Total invested capital</v>
      </c>
      <c r="M44" s="1527"/>
      <c r="N44" s="1527"/>
      <c r="O44" s="1527"/>
      <c r="P44" s="1502"/>
      <c r="Q44" s="1502"/>
      <c r="S44" s="2060"/>
      <c r="T44" s="1510"/>
      <c r="Y44" s="2060"/>
    </row>
    <row r="45" spans="1:25" s="1525" customFormat="1" ht="13.5" customHeight="1">
      <c r="A45" s="1510"/>
      <c r="B45" s="1510"/>
      <c r="C45" s="2060"/>
      <c r="D45" s="2060"/>
      <c r="E45" s="1505"/>
      <c r="F45" s="2060"/>
      <c r="K45" s="1145" t="str">
        <f>C10</f>
        <v>(USD in Millions)</v>
      </c>
      <c r="L45" s="1071"/>
      <c r="M45" s="1719"/>
      <c r="N45" s="1719"/>
      <c r="O45" s="1720" t="s">
        <v>1370</v>
      </c>
      <c r="P45" s="1719"/>
      <c r="Q45" s="1721"/>
      <c r="S45" s="2060"/>
      <c r="T45" s="1510"/>
      <c r="Y45" s="2060"/>
    </row>
    <row r="46" spans="1:25" ht="12" customHeight="1">
      <c r="A46" s="1510"/>
      <c r="B46" s="1510"/>
      <c r="C46" s="1088" t="str">
        <f>"Indicated value of "&amp;EVorTICFull</f>
        <v>Indicated value of Total invested capital</v>
      </c>
      <c r="D46" s="1089"/>
      <c r="E46" s="1090"/>
      <c r="F46" s="1089"/>
      <c r="G46" s="1092" t="s">
        <v>1371</v>
      </c>
      <c r="H46" s="1525"/>
      <c r="I46" s="1149" t="s">
        <v>1372</v>
      </c>
      <c r="J46" s="44"/>
      <c r="K46" s="1095"/>
      <c r="L46" s="1142">
        <f ca="1">$G$55</f>
        <v>0</v>
      </c>
      <c r="M46" s="1614">
        <f>N46-0.5%</f>
        <v>1.9999999999999997E-2</v>
      </c>
      <c r="N46" s="1614">
        <f>O46-0.5%</f>
        <v>2.4999999999999998E-2</v>
      </c>
      <c r="O46" s="1614">
        <f>'PFI Inputs'!$F$10</f>
        <v>0.03</v>
      </c>
      <c r="P46" s="1614">
        <f>O46+0.5%</f>
        <v>3.4999999999999996E-2</v>
      </c>
      <c r="Q46" s="1718">
        <f>P46+0.5%</f>
        <v>3.9999999999999994E-2</v>
      </c>
      <c r="R46" s="1525"/>
      <c r="S46" s="1525"/>
      <c r="T46" s="1510"/>
      <c r="U46" s="1525"/>
      <c r="V46" s="1149" t="s">
        <v>1373</v>
      </c>
      <c r="W46" s="2060"/>
      <c r="X46" s="2060"/>
      <c r="Y46" s="1525"/>
    </row>
    <row r="47" spans="1:25" ht="12" customHeight="1">
      <c r="A47" s="1510"/>
      <c r="B47" s="1510"/>
      <c r="C47" s="1068" t="s">
        <v>1374</v>
      </c>
      <c r="D47" s="1068"/>
      <c r="E47" s="1069"/>
      <c r="F47" s="1068"/>
      <c r="G47" s="1068">
        <f ca="1">SUM($G$32:$R$32)</f>
        <v>0</v>
      </c>
      <c r="H47" s="1525"/>
      <c r="I47" s="374">
        <f ca="1">IF(M36=0,0,$G$47)</f>
        <v>0</v>
      </c>
      <c r="J47" s="44"/>
      <c r="K47" s="1095"/>
      <c r="L47" s="1614">
        <f>L48-0.5%</f>
        <v>-0.01</v>
      </c>
      <c r="M47" s="1079">
        <f t="dataTable" ref="M47:Q51" dt2D="1" dtr="1" r1="G39" r2="D31" ca="1"/>
        <v>0</v>
      </c>
      <c r="N47" s="1073">
        <v>0</v>
      </c>
      <c r="O47" s="1074">
        <v>0</v>
      </c>
      <c r="P47" s="1074">
        <v>0</v>
      </c>
      <c r="Q47" s="1096">
        <v>0</v>
      </c>
      <c r="R47" s="2060"/>
      <c r="S47" s="1525"/>
      <c r="T47" s="1510"/>
      <c r="U47" s="1525"/>
      <c r="V47" s="374">
        <f>IF(Y36=0,0,$G$47)</f>
        <v>0</v>
      </c>
      <c r="W47" s="1525"/>
      <c r="X47" s="1525"/>
      <c r="Y47" s="1525"/>
    </row>
    <row r="48" spans="1:25" ht="12" customHeight="1">
      <c r="A48" s="1510"/>
      <c r="B48" s="1510"/>
      <c r="C48" s="374" t="s">
        <v>1375</v>
      </c>
      <c r="D48" s="374"/>
      <c r="E48" s="1505"/>
      <c r="F48" s="374"/>
      <c r="G48" s="374">
        <f ca="1">G42</f>
        <v>0</v>
      </c>
      <c r="H48" s="1525"/>
      <c r="I48" s="374">
        <f ca="1">M42</f>
        <v>0</v>
      </c>
      <c r="J48" s="1367"/>
      <c r="K48" s="1097" t="s">
        <v>1376</v>
      </c>
      <c r="L48" s="1614">
        <f>L49-0.5%</f>
        <v>-5.0000000000000001E-3</v>
      </c>
      <c r="M48" s="1080">
        <v>0</v>
      </c>
      <c r="N48" s="1079">
        <v>0</v>
      </c>
      <c r="O48" s="1073">
        <v>0</v>
      </c>
      <c r="P48" s="1096">
        <v>0</v>
      </c>
      <c r="Q48" s="1098">
        <v>0</v>
      </c>
      <c r="R48" s="2060"/>
      <c r="S48" s="1525"/>
      <c r="T48" s="1510"/>
      <c r="U48" s="1525"/>
      <c r="V48" s="374">
        <f>Y42</f>
        <v>0</v>
      </c>
      <c r="W48" s="1525"/>
      <c r="X48" s="1525"/>
      <c r="Y48" s="1525"/>
    </row>
    <row r="49" spans="1:22" ht="12" customHeight="1">
      <c r="A49" s="1510"/>
      <c r="B49" s="1510"/>
      <c r="C49" s="1075" t="str">
        <f>"Indicated "&amp;EVorTIClowercase&amp;", net of cash"</f>
        <v>Indicated total invested capital, net of cash</v>
      </c>
      <c r="D49" s="1075"/>
      <c r="E49" s="1076"/>
      <c r="F49" s="1075"/>
      <c r="G49" s="1075">
        <f ca="1">SUM(G47:G48)</f>
        <v>0</v>
      </c>
      <c r="H49" s="1525"/>
      <c r="I49" s="1075">
        <f ca="1">SUM(I47:I48)</f>
        <v>0</v>
      </c>
      <c r="J49" s="1525"/>
      <c r="K49" s="1097" t="s">
        <v>1377</v>
      </c>
      <c r="L49" s="1614">
        <f>WACC</f>
        <v>0</v>
      </c>
      <c r="M49" s="1080">
        <v>0</v>
      </c>
      <c r="N49" s="1080">
        <v>0</v>
      </c>
      <c r="O49" s="385">
        <v>0</v>
      </c>
      <c r="P49" s="1098">
        <v>0</v>
      </c>
      <c r="Q49" s="1098">
        <v>0</v>
      </c>
      <c r="R49" s="2060"/>
      <c r="S49" s="1525"/>
      <c r="T49" s="1510"/>
      <c r="U49" s="1525"/>
      <c r="V49" s="1075">
        <f>SUM(V47:V48)</f>
        <v>0</v>
      </c>
    </row>
    <row r="50" spans="1:22" ht="12" customHeight="1">
      <c r="A50" s="1510"/>
      <c r="B50" s="1510"/>
      <c r="C50" s="374"/>
      <c r="D50" s="374"/>
      <c r="E50" s="1505"/>
      <c r="F50" s="374"/>
      <c r="G50" s="374"/>
      <c r="H50" s="1525"/>
      <c r="I50" s="374"/>
      <c r="J50" s="1525"/>
      <c r="K50" s="1095"/>
      <c r="L50" s="1614">
        <f>L49+0.5%</f>
        <v>5.0000000000000001E-3</v>
      </c>
      <c r="M50" s="1080">
        <v>0</v>
      </c>
      <c r="N50" s="1100">
        <v>0</v>
      </c>
      <c r="O50" s="1101">
        <v>0</v>
      </c>
      <c r="P50" s="1102">
        <v>0</v>
      </c>
      <c r="Q50" s="1098">
        <v>0</v>
      </c>
      <c r="R50" s="2060"/>
      <c r="S50" s="1525"/>
      <c r="T50" s="1510"/>
      <c r="U50" s="1525"/>
      <c r="V50" s="374"/>
    </row>
    <row r="51" spans="1:22" ht="12" customHeight="1">
      <c r="A51" s="1510"/>
      <c r="B51" s="1510"/>
      <c r="C51" s="383" t="str">
        <f>EVorTICFull&amp;", net of cash"</f>
        <v>Total invested capital, net of cash</v>
      </c>
      <c r="D51" s="1511"/>
      <c r="E51" s="1578"/>
      <c r="F51" s="1511"/>
      <c r="G51" s="377">
        <f ca="1">G49*G58+I49*I58+V49*V58</f>
        <v>0</v>
      </c>
      <c r="H51" s="1525"/>
      <c r="I51" s="2060"/>
      <c r="J51" s="1525"/>
      <c r="K51" s="1099"/>
      <c r="L51" s="1717">
        <f>L50+0.5%</f>
        <v>0.01</v>
      </c>
      <c r="M51" s="1100">
        <v>0</v>
      </c>
      <c r="N51" s="1101">
        <v>0</v>
      </c>
      <c r="O51" s="1101">
        <v>0</v>
      </c>
      <c r="P51" s="1101">
        <v>0</v>
      </c>
      <c r="Q51" s="1102">
        <v>0</v>
      </c>
      <c r="R51" s="2060"/>
      <c r="S51" s="1525"/>
      <c r="T51" s="1510"/>
      <c r="U51" s="1525"/>
      <c r="V51" s="2060"/>
    </row>
    <row r="52" spans="1:22" ht="12" customHeight="1">
      <c r="A52" s="1510" t="str">
        <f>IF(G52=0,"n","")</f>
        <v>n</v>
      </c>
      <c r="B52" s="1510"/>
      <c r="C52" s="255" t="s">
        <v>1378</v>
      </c>
      <c r="D52" s="1511"/>
      <c r="E52" s="1578"/>
      <c r="F52" s="1511"/>
      <c r="G52" s="255">
        <f>IF(G58=0,0,IF(TABSetting="Y",TABValue,0))</f>
        <v>0</v>
      </c>
      <c r="H52" s="1525"/>
      <c r="I52" s="2060"/>
      <c r="J52" s="1525"/>
      <c r="K52" s="1525"/>
      <c r="L52" s="1525"/>
      <c r="M52" s="1525"/>
      <c r="N52" s="1525"/>
      <c r="O52" s="1525"/>
      <c r="P52" s="1525"/>
      <c r="Q52" s="1525"/>
      <c r="R52" s="2060"/>
      <c r="S52" s="1525"/>
      <c r="T52" s="1510"/>
      <c r="U52" s="1525"/>
      <c r="V52" s="2060"/>
    </row>
    <row r="53" spans="1:22" ht="12" customHeight="1">
      <c r="A53" s="1510" t="str">
        <f ca="1">IF(G53=0,"n","")</f>
        <v>n</v>
      </c>
      <c r="B53" s="1510"/>
      <c r="C53" s="255" t="s">
        <v>1379</v>
      </c>
      <c r="D53" s="1511"/>
      <c r="E53" s="1578"/>
      <c r="F53" s="1511"/>
      <c r="G53" s="377">
        <f ca="1">'Depreciation and Tax Benefit'!$G$88</f>
        <v>0</v>
      </c>
      <c r="H53" s="1525"/>
      <c r="I53" s="2060"/>
      <c r="J53" s="1525"/>
      <c r="K53" s="1525"/>
      <c r="L53" s="1525"/>
      <c r="M53" s="1525"/>
      <c r="N53" s="1525"/>
      <c r="O53" s="1525"/>
      <c r="P53" s="1525"/>
      <c r="Q53" s="1525"/>
      <c r="R53" s="2060"/>
      <c r="S53" s="1525"/>
      <c r="T53" s="1510"/>
      <c r="U53" s="1525"/>
      <c r="V53" s="2060"/>
    </row>
    <row r="54" spans="1:22" ht="12" customHeight="1">
      <c r="A54" s="1510" t="str">
        <f ca="1">IF(G54=0,"n","")</f>
        <v>n</v>
      </c>
      <c r="B54" s="1510"/>
      <c r="C54" s="255" t="s">
        <v>1380</v>
      </c>
      <c r="D54" s="1511"/>
      <c r="E54" s="1578"/>
      <c r="F54" s="1511"/>
      <c r="G54" s="377">
        <f ca="1">NOLBenefitGordonGrowth*$G$58+NOLBenefitFadingGrowth*$I$58</f>
        <v>0</v>
      </c>
      <c r="H54" s="1525"/>
      <c r="I54" s="2060"/>
      <c r="J54" s="1525"/>
      <c r="K54" s="1525"/>
      <c r="L54" s="1525"/>
      <c r="M54" s="1525"/>
      <c r="N54" s="1525"/>
      <c r="O54" s="1525"/>
      <c r="P54" s="1525"/>
      <c r="Q54" s="1525"/>
      <c r="R54" s="2060"/>
      <c r="S54" s="1525"/>
      <c r="T54" s="1510"/>
      <c r="U54" s="1525"/>
      <c r="V54" s="2060"/>
    </row>
    <row r="55" spans="1:22" ht="12" customHeight="1">
      <c r="A55" s="1510" t="s">
        <v>17</v>
      </c>
      <c r="B55" s="1510"/>
      <c r="C55" s="1071" t="str">
        <f>EVorTICFull</f>
        <v>Total invested capital</v>
      </c>
      <c r="D55" s="1072"/>
      <c r="E55" s="713"/>
      <c r="F55" s="1072"/>
      <c r="G55" s="1071">
        <f ca="1">IFERROR(SUM(G51:G54),0)</f>
        <v>0</v>
      </c>
      <c r="H55" s="1525"/>
      <c r="I55" s="2060"/>
      <c r="J55" s="1525"/>
      <c r="K55" s="1525"/>
      <c r="L55" s="1525"/>
      <c r="M55" s="1525"/>
      <c r="N55" s="1525"/>
      <c r="O55" s="1525"/>
      <c r="P55" s="1525"/>
      <c r="Q55" s="2060"/>
      <c r="R55" s="2060"/>
      <c r="S55" s="1525"/>
      <c r="T55" s="1510"/>
      <c r="U55" s="1525"/>
      <c r="V55" s="2060"/>
    </row>
    <row r="56" spans="1:22" ht="12" customHeight="1">
      <c r="A56" s="1510"/>
      <c r="B56" s="1510"/>
      <c r="C56" s="1081" t="str">
        <f>EVorTICFull&amp;" (rounded)"</f>
        <v>Total invested capital (rounded)</v>
      </c>
      <c r="D56" s="1082"/>
      <c r="E56" s="1083"/>
      <c r="F56" s="1082"/>
      <c r="G56" s="1084">
        <f ca="1">ROUND(G55,-RoundingDigit)</f>
        <v>0</v>
      </c>
      <c r="H56" s="1525"/>
      <c r="I56" s="2060"/>
      <c r="J56" s="1525"/>
      <c r="K56" s="1525"/>
      <c r="L56" s="1525"/>
      <c r="M56" s="1525"/>
      <c r="N56" s="1525"/>
      <c r="O56" s="1525"/>
      <c r="P56" s="1525"/>
      <c r="Q56" s="2060"/>
      <c r="R56" s="2060"/>
      <c r="S56" s="2060"/>
      <c r="T56" s="1510"/>
      <c r="U56" s="1525"/>
      <c r="V56" s="2060"/>
    </row>
    <row r="57" spans="1:22" ht="12" customHeight="1">
      <c r="A57" s="1510"/>
      <c r="B57" s="1510"/>
      <c r="C57" s="1511"/>
      <c r="D57" s="1511"/>
      <c r="E57" s="1578"/>
      <c r="F57" s="1511"/>
      <c r="G57" s="1511"/>
      <c r="H57" s="1525"/>
      <c r="I57" s="2060"/>
      <c r="J57" s="1525"/>
      <c r="K57" s="1525"/>
      <c r="L57" s="1525"/>
      <c r="M57" s="1525"/>
      <c r="N57" s="1525"/>
      <c r="O57" s="1525"/>
      <c r="P57" s="1525"/>
      <c r="Q57" s="2060"/>
      <c r="R57" s="2060"/>
      <c r="S57" s="2060"/>
      <c r="T57" s="1510"/>
      <c r="U57" s="1525"/>
      <c r="V57" s="1525"/>
    </row>
    <row r="58" spans="1:22" ht="12" customHeight="1">
      <c r="A58" s="1510" t="s">
        <v>17</v>
      </c>
      <c r="B58" s="1510"/>
      <c r="C58" s="383" t="str">
        <f>"Weighting of "&amp;EVorTIC</f>
        <v>Weighting of TIC</v>
      </c>
      <c r="D58" s="374" t="str">
        <f>IF(SUM(G58,I58,V58)&lt;&gt;1,Fail,"")</f>
        <v/>
      </c>
      <c r="E58" s="1505"/>
      <c r="F58" s="374"/>
      <c r="G58" s="2236">
        <f>'PFI Inputs'!$H$10</f>
        <v>1</v>
      </c>
      <c r="H58" s="1525"/>
      <c r="I58" s="2236">
        <f>'PFI Inputs'!$H$14</f>
        <v>0</v>
      </c>
      <c r="J58" s="1525"/>
      <c r="K58" s="1525"/>
      <c r="L58" s="1525"/>
      <c r="M58" s="1525"/>
      <c r="N58" s="1525"/>
      <c r="O58" s="1525"/>
      <c r="P58" s="1525"/>
      <c r="Q58" s="2060"/>
      <c r="R58" s="2060"/>
      <c r="S58" s="2060"/>
      <c r="T58" s="1510"/>
      <c r="U58" s="1525"/>
      <c r="V58" s="2237">
        <f>'PFI Inputs'!$H$17</f>
        <v>0</v>
      </c>
    </row>
    <row r="59" spans="1:22" ht="12" customHeight="1">
      <c r="A59" s="1510" t="s">
        <v>17</v>
      </c>
      <c r="B59" s="1510"/>
      <c r="C59" s="1525"/>
      <c r="D59" s="1525"/>
      <c r="E59" s="1525"/>
      <c r="F59" s="1525"/>
      <c r="G59" s="1525"/>
      <c r="H59" s="1525"/>
      <c r="I59" s="1525"/>
      <c r="J59" s="1525"/>
      <c r="K59" s="1525"/>
      <c r="L59" s="1525"/>
      <c r="M59" s="1525"/>
      <c r="N59" s="1525"/>
      <c r="O59" s="1525"/>
      <c r="P59" s="1525"/>
      <c r="Q59" s="2060"/>
      <c r="R59" s="2060"/>
      <c r="S59" s="2060"/>
      <c r="T59" s="1510"/>
      <c r="U59" s="1525"/>
      <c r="V59" s="1525"/>
    </row>
    <row r="60" spans="1:22" s="1525" customFormat="1" ht="12" customHeight="1">
      <c r="A60" s="1510"/>
      <c r="B60" s="1510"/>
      <c r="C60" s="1588" t="s">
        <v>1381</v>
      </c>
      <c r="D60" s="1511"/>
      <c r="E60" s="1578"/>
      <c r="F60" s="1511"/>
      <c r="G60" s="1511"/>
      <c r="I60" s="2060"/>
      <c r="Q60" s="2060"/>
      <c r="R60" s="2060"/>
      <c r="S60" s="2060"/>
      <c r="T60" s="1510"/>
    </row>
    <row r="61" spans="1:22" s="1525" customFormat="1" ht="12" customHeight="1">
      <c r="A61" s="1510"/>
      <c r="B61" s="1510"/>
      <c r="C61" s="1588" t="str">
        <f>"NOL=Net operating loss; PV=Present value; "&amp;EVorTIC&amp;"="&amp;EVorTICFull</f>
        <v>NOL=Net operating loss; PV=Present value; TIC=Total invested capital</v>
      </c>
      <c r="D61" s="1511"/>
      <c r="E61" s="1578"/>
      <c r="F61" s="1511"/>
      <c r="G61" s="1511"/>
      <c r="I61" s="2060"/>
      <c r="Q61" s="2060"/>
      <c r="R61" s="2060"/>
      <c r="S61" s="2060"/>
      <c r="T61" s="1510"/>
    </row>
    <row r="62" spans="1:22" s="1525" customFormat="1" ht="12" customHeight="1">
      <c r="A62" s="1510"/>
      <c r="B62" s="1510"/>
      <c r="C62" s="1588"/>
      <c r="D62" s="1511"/>
      <c r="E62" s="1578"/>
      <c r="F62" s="1511"/>
      <c r="G62" s="1511"/>
      <c r="I62" s="2060"/>
      <c r="Q62" s="2060"/>
      <c r="R62" s="2060"/>
      <c r="S62" s="2060"/>
      <c r="T62" s="1510"/>
    </row>
    <row r="63" spans="1:22" ht="12" customHeight="1">
      <c r="A63" s="1510"/>
      <c r="B63" s="1510"/>
      <c r="C63" s="255" t="str">
        <f ca="1">FootnoteDRAFT</f>
        <v>Run date: 05-August-2018  02:34 PM.   DRAFT document. All data subject to change upon completion of additional analysis.</v>
      </c>
      <c r="D63" s="2060"/>
      <c r="E63" s="1578"/>
      <c r="F63" s="2060"/>
      <c r="G63" s="2060"/>
      <c r="H63" s="2060"/>
      <c r="I63" s="2060"/>
      <c r="J63" s="374"/>
      <c r="K63" s="2060"/>
      <c r="L63" s="2060"/>
      <c r="M63" s="2060"/>
      <c r="N63" s="2060"/>
      <c r="O63" s="2060"/>
      <c r="P63" s="2060"/>
      <c r="Q63" s="1525"/>
      <c r="R63" s="1525"/>
      <c r="S63" s="1525"/>
      <c r="T63" s="1510"/>
      <c r="U63" s="1525"/>
      <c r="V63" s="1525"/>
    </row>
    <row r="64" spans="1:22" ht="12" customHeight="1">
      <c r="A64" s="1510" t="s">
        <v>17</v>
      </c>
      <c r="B64" s="1510"/>
      <c r="C64" s="1510"/>
      <c r="D64" s="1510"/>
      <c r="E64" s="701"/>
      <c r="F64" s="1510"/>
      <c r="G64" s="1510"/>
      <c r="H64" s="1510"/>
      <c r="I64" s="1510"/>
      <c r="J64" s="1510"/>
      <c r="K64" s="1510"/>
      <c r="L64" s="1510"/>
      <c r="M64" s="1510"/>
      <c r="N64" s="1510"/>
      <c r="O64" s="1510"/>
      <c r="P64" s="1510"/>
      <c r="Q64" s="1510"/>
      <c r="R64" s="1510"/>
      <c r="S64" s="1546" t="s">
        <v>18</v>
      </c>
      <c r="T64" s="1510"/>
      <c r="U64" s="1525"/>
      <c r="V64" s="1525"/>
    </row>
    <row r="65" spans="1:25" ht="12" customHeight="1">
      <c r="A65" s="1510"/>
      <c r="B65" s="1510"/>
      <c r="C65" s="1510"/>
      <c r="D65" s="1510"/>
      <c r="E65" s="701"/>
      <c r="F65" s="1510"/>
      <c r="G65" s="1510"/>
      <c r="H65" s="1510"/>
      <c r="I65" s="1510"/>
      <c r="J65" s="1510"/>
      <c r="K65" s="1510"/>
      <c r="L65" s="1510"/>
      <c r="M65" s="1510"/>
      <c r="N65" s="1510"/>
      <c r="O65" s="1510"/>
      <c r="P65" s="1510"/>
      <c r="Q65" s="1510"/>
      <c r="R65" s="1510"/>
      <c r="S65" s="1510"/>
      <c r="T65" s="1510"/>
      <c r="U65" s="1525"/>
      <c r="V65" s="1525"/>
      <c r="W65" s="1525"/>
      <c r="X65" s="1525"/>
      <c r="Y65" s="1525"/>
    </row>
    <row r="66" spans="1:25" ht="13.9">
      <c r="A66" s="2060"/>
      <c r="B66" s="2060"/>
      <c r="C66" s="2060"/>
      <c r="D66" s="2060"/>
      <c r="E66" s="2060"/>
      <c r="F66" s="2060"/>
      <c r="G66" s="2060"/>
      <c r="H66" s="2060"/>
      <c r="I66" s="2060"/>
      <c r="J66" s="2060"/>
      <c r="K66" s="2060"/>
      <c r="L66" s="2060"/>
      <c r="M66" s="2060"/>
      <c r="N66" s="2060"/>
      <c r="O66" s="2060"/>
      <c r="P66" s="2060"/>
      <c r="Q66" s="2060"/>
      <c r="R66" s="2060"/>
      <c r="S66" s="2060"/>
      <c r="T66" s="2060"/>
      <c r="U66" s="2060"/>
      <c r="V66" s="1525"/>
      <c r="W66" s="1525"/>
      <c r="X66" s="1525"/>
      <c r="Y66" s="1511"/>
    </row>
    <row r="67" spans="1:25" ht="12" customHeight="1">
      <c r="A67" s="2060"/>
      <c r="B67" s="2060"/>
      <c r="C67" s="1603" t="str">
        <f>EVorTIC&amp;" round to nearest digit"</f>
        <v>TIC round to nearest digit</v>
      </c>
      <c r="D67" s="1085"/>
      <c r="E67" s="1086"/>
      <c r="F67" s="1087"/>
      <c r="G67" s="2238">
        <v>1</v>
      </c>
      <c r="H67" s="1525"/>
      <c r="I67" s="374"/>
      <c r="J67" s="374"/>
      <c r="K67" s="2060"/>
      <c r="L67" s="2060"/>
      <c r="M67" s="2060"/>
      <c r="N67" s="2060"/>
      <c r="O67" s="2060"/>
      <c r="P67" s="2060"/>
      <c r="Q67" s="1525"/>
      <c r="R67" s="1525"/>
      <c r="S67" s="1525"/>
      <c r="T67" s="2060"/>
      <c r="U67" s="1525"/>
      <c r="V67" s="1525"/>
      <c r="W67" s="1525"/>
      <c r="X67" s="1525"/>
      <c r="Y67" s="1525"/>
    </row>
    <row r="68" spans="1:25" ht="12" customHeight="1">
      <c r="A68" s="2060"/>
      <c r="B68" s="2060"/>
      <c r="C68" s="2060"/>
      <c r="D68" s="2060"/>
      <c r="E68" s="1578"/>
      <c r="F68" s="2060"/>
      <c r="G68" s="2060"/>
      <c r="H68" s="2060"/>
      <c r="I68" s="2060"/>
      <c r="J68" s="374"/>
      <c r="K68" s="2060"/>
      <c r="L68" s="2060"/>
      <c r="M68" s="2060"/>
      <c r="N68" s="2060"/>
      <c r="O68" s="2060"/>
      <c r="P68" s="2060"/>
      <c r="Q68" s="1525"/>
      <c r="R68" s="1525"/>
      <c r="S68" s="1525"/>
      <c r="T68" s="2060"/>
      <c r="U68" s="1525"/>
      <c r="V68" s="1525"/>
      <c r="W68" s="1525"/>
      <c r="X68" s="1525"/>
      <c r="Y68" s="1525"/>
    </row>
    <row r="69" spans="1:25" ht="13.9">
      <c r="A69" s="2060"/>
      <c r="B69" s="2060"/>
      <c r="C69" s="2060"/>
      <c r="D69" s="2060"/>
      <c r="E69" s="2060"/>
      <c r="F69" s="2060"/>
      <c r="G69" s="2060"/>
      <c r="H69" s="2060"/>
      <c r="I69" s="2060"/>
      <c r="J69" s="2060"/>
      <c r="K69" s="2060"/>
      <c r="L69" s="2060"/>
      <c r="M69" s="2060"/>
      <c r="N69" s="2060"/>
      <c r="O69" s="2060"/>
      <c r="P69" s="2060"/>
      <c r="Q69" s="2060"/>
      <c r="R69" s="2060"/>
      <c r="S69" s="2060"/>
      <c r="T69" s="2060"/>
      <c r="U69" s="2060"/>
      <c r="V69" s="1525"/>
      <c r="W69" s="1525"/>
      <c r="X69" s="1525"/>
      <c r="Y69" s="1511"/>
    </row>
    <row r="70" spans="1:25" ht="13.9">
      <c r="A70" s="2060"/>
      <c r="B70" s="2060"/>
      <c r="C70" s="2060"/>
      <c r="D70" s="2060"/>
      <c r="E70" s="2060"/>
      <c r="F70" s="2060"/>
      <c r="G70" s="2060"/>
      <c r="H70" s="2060"/>
      <c r="I70" s="2060"/>
      <c r="J70" s="2060"/>
      <c r="K70" s="2060"/>
      <c r="L70" s="2060"/>
      <c r="M70" s="2060"/>
      <c r="N70" s="2060"/>
      <c r="O70" s="2060"/>
      <c r="P70" s="2060"/>
      <c r="Q70" s="2060"/>
      <c r="R70" s="2060"/>
      <c r="S70" s="2060"/>
      <c r="T70" s="2060"/>
      <c r="U70" s="2060"/>
      <c r="V70" s="1525"/>
      <c r="W70" s="1525"/>
      <c r="X70" s="1525"/>
      <c r="Y70" s="1511"/>
    </row>
    <row r="71" spans="1:25" ht="13.9">
      <c r="A71" s="2060"/>
      <c r="B71" s="2060"/>
      <c r="C71" s="2060"/>
      <c r="D71" s="2060"/>
      <c r="E71" s="2060"/>
      <c r="F71" s="2060"/>
      <c r="G71" s="2060"/>
      <c r="H71" s="2060"/>
      <c r="I71" s="2060"/>
      <c r="J71" s="2060"/>
      <c r="K71" s="2060"/>
      <c r="L71" s="2060"/>
      <c r="M71" s="2060"/>
      <c r="N71" s="2060"/>
      <c r="O71" s="2060"/>
      <c r="P71" s="2060"/>
      <c r="Q71" s="2060"/>
      <c r="R71" s="2060"/>
      <c r="S71" s="2060"/>
      <c r="T71" s="2060"/>
      <c r="U71" s="2060"/>
      <c r="V71" s="1525"/>
      <c r="W71" s="1525"/>
      <c r="X71" s="1525"/>
      <c r="Y71" s="172"/>
    </row>
    <row r="72" spans="1:25" ht="13.9">
      <c r="A72" s="2060"/>
      <c r="B72" s="2060"/>
      <c r="C72" s="2060"/>
      <c r="D72" s="2060"/>
      <c r="E72" s="2060"/>
      <c r="F72" s="2060"/>
      <c r="G72" s="2060"/>
      <c r="H72" s="2060"/>
      <c r="I72" s="2060"/>
      <c r="J72" s="2060"/>
      <c r="K72" s="2060"/>
      <c r="L72" s="2060"/>
      <c r="M72" s="2060"/>
      <c r="N72" s="2060"/>
      <c r="O72" s="2060"/>
      <c r="P72" s="2060"/>
      <c r="Q72" s="2060"/>
      <c r="R72" s="2060"/>
      <c r="S72" s="2060"/>
      <c r="T72" s="2060"/>
      <c r="U72" s="2060"/>
      <c r="V72" s="1525"/>
      <c r="W72" s="1525"/>
      <c r="X72" s="1525"/>
      <c r="Y72" s="1511"/>
    </row>
    <row r="73" spans="1:25" ht="13.9">
      <c r="A73" s="2060"/>
      <c r="B73" s="2060"/>
      <c r="C73" s="2060"/>
      <c r="D73" s="2060"/>
      <c r="E73" s="2060"/>
      <c r="F73" s="2060"/>
      <c r="G73" s="2060"/>
      <c r="H73" s="2060"/>
      <c r="I73" s="2060"/>
      <c r="J73" s="2060"/>
      <c r="K73" s="2060"/>
      <c r="L73" s="2060"/>
      <c r="M73" s="2060"/>
      <c r="N73" s="2060"/>
      <c r="O73" s="2060"/>
      <c r="P73" s="2060"/>
      <c r="Q73" s="2060"/>
      <c r="R73" s="2060"/>
      <c r="S73" s="2060"/>
      <c r="T73" s="2060"/>
      <c r="U73" s="2060"/>
      <c r="V73" s="1525"/>
      <c r="W73" s="1525"/>
      <c r="X73" s="1525"/>
      <c r="Y73" s="1511"/>
    </row>
  </sheetData>
  <conditionalFormatting sqref="G23:O23">
    <cfRule type="expression" dxfId="264" priority="24">
      <formula>G$10=0</formula>
    </cfRule>
  </conditionalFormatting>
  <conditionalFormatting sqref="B1">
    <cfRule type="cellIs" dxfId="263" priority="14" operator="notEqual">
      <formula>0</formula>
    </cfRule>
  </conditionalFormatting>
  <conditionalFormatting sqref="G36">
    <cfRule type="expression" dxfId="262" priority="13">
      <formula>G$10=0</formula>
    </cfRule>
  </conditionalFormatting>
  <conditionalFormatting sqref="A2:A4 A6:A65">
    <cfRule type="expression" dxfId="261" priority="12">
      <formula>AND(MasterCheck&gt;0,RedAlertY=TRUE)</formula>
    </cfRule>
  </conditionalFormatting>
  <conditionalFormatting sqref="A5">
    <cfRule type="expression" dxfId="260" priority="11">
      <formula>AND(MasterCheck&gt;0,RedAlertY=TRUE)</formula>
    </cfRule>
  </conditionalFormatting>
  <conditionalFormatting sqref="D58">
    <cfRule type="cellIs" dxfId="259" priority="9" operator="equal">
      <formula>Fail</formula>
    </cfRule>
  </conditionalFormatting>
  <conditionalFormatting sqref="H36">
    <cfRule type="expression" dxfId="258" priority="8">
      <formula>H$10=0</formula>
    </cfRule>
  </conditionalFormatting>
  <conditionalFormatting sqref="G32:O32">
    <cfRule type="expression" dxfId="257" priority="7">
      <formula>G$9="Normalized"</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64" max="16383"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ACC">
    <tabColor rgb="FF99FF66"/>
    <pageSetUpPr autoPageBreaks="0"/>
  </sheetPr>
  <dimension ref="A1:AA88"/>
  <sheetViews>
    <sheetView showGridLines="0" zoomScale="85" zoomScaleNormal="85" workbookViewId="0"/>
  </sheetViews>
  <sheetFormatPr defaultColWidth="16.5" defaultRowHeight="12.95" customHeight="1"/>
  <cols>
    <col min="1" max="1" width="2.83203125" style="93" customWidth="1"/>
    <col min="2" max="2" width="3.83203125" style="178" customWidth="1"/>
    <col min="3" max="7" width="12.1640625" style="93" customWidth="1"/>
    <col min="8" max="8" width="4" style="322" customWidth="1"/>
    <col min="9" max="14" width="12.1640625" style="93" customWidth="1"/>
    <col min="15" max="15" width="12" style="93" customWidth="1"/>
    <col min="16" max="16" width="12.1640625" style="93" customWidth="1"/>
    <col min="17" max="17" width="12.1640625" style="178" customWidth="1"/>
    <col min="18" max="18" width="2.83203125" style="178" customWidth="1"/>
    <col min="19" max="19" width="42.1640625" style="93" customWidth="1"/>
    <col min="20" max="20" width="8.83203125" style="93" customWidth="1"/>
    <col min="21" max="21" width="4" style="93" customWidth="1"/>
    <col min="22" max="16384" width="16.5" style="93"/>
  </cols>
  <sheetData>
    <row r="1" spans="1:27" ht="18" customHeight="1">
      <c r="A1" s="2060"/>
      <c r="B1" s="649">
        <f ca="1">SUMPRODUCT(--ISERROR($C$1:S191))+COUNTIF($C$1:S191,Fail)</f>
        <v>0</v>
      </c>
      <c r="C1" s="1372" t="str">
        <f>START!$C$1</f>
        <v>Client Name</v>
      </c>
      <c r="D1" s="970"/>
      <c r="E1" s="970"/>
      <c r="F1" s="970"/>
      <c r="G1" s="970"/>
      <c r="H1" s="970"/>
      <c r="I1" s="970"/>
      <c r="J1" s="970"/>
      <c r="K1" s="970"/>
      <c r="L1" s="970"/>
      <c r="M1" s="970"/>
      <c r="N1" s="970"/>
      <c r="O1" s="970"/>
      <c r="P1" s="970"/>
      <c r="Q1" s="970"/>
      <c r="R1" s="970"/>
      <c r="S1" s="398" t="s">
        <v>1088</v>
      </c>
      <c r="T1" s="1510"/>
      <c r="U1" s="1506"/>
      <c r="V1" s="1506"/>
      <c r="W1" s="1506"/>
      <c r="X1" s="1506"/>
      <c r="Y1" s="1506"/>
      <c r="Z1" s="1506"/>
      <c r="AA1" s="1506"/>
    </row>
    <row r="2" spans="1:27" s="322" customFormat="1" ht="18" customHeight="1">
      <c r="A2" s="1510"/>
      <c r="B2" s="649"/>
      <c r="C2" s="1372" t="str">
        <f>START!$C$2</f>
        <v xml:space="preserve">Please enter project description in START worksheet cell G13 </v>
      </c>
      <c r="D2" s="970"/>
      <c r="E2" s="970"/>
      <c r="F2" s="970"/>
      <c r="G2" s="970"/>
      <c r="H2" s="970"/>
      <c r="I2" s="970"/>
      <c r="J2" s="970"/>
      <c r="K2" s="970"/>
      <c r="L2" s="970"/>
      <c r="M2" s="970"/>
      <c r="N2" s="970"/>
      <c r="O2" s="970"/>
      <c r="P2" s="970"/>
      <c r="Q2" s="970"/>
      <c r="R2" s="970"/>
      <c r="S2" s="398"/>
      <c r="T2" s="1510"/>
      <c r="U2" s="1506"/>
      <c r="V2" s="1506"/>
      <c r="W2" s="1506"/>
      <c r="X2" s="1506"/>
      <c r="Y2" s="1506"/>
      <c r="Z2" s="1506"/>
      <c r="AA2" s="1506"/>
    </row>
    <row r="3" spans="1:27" ht="18" customHeight="1">
      <c r="A3" s="1510"/>
      <c r="B3" s="1510"/>
      <c r="C3" s="838" t="s">
        <v>1232</v>
      </c>
      <c r="D3" s="970"/>
      <c r="E3" s="970"/>
      <c r="F3" s="970"/>
      <c r="G3" s="970"/>
      <c r="H3" s="970"/>
      <c r="I3" s="970"/>
      <c r="J3" s="970"/>
      <c r="K3" s="970"/>
      <c r="L3" s="970"/>
      <c r="M3" s="970"/>
      <c r="N3" s="970"/>
      <c r="O3" s="970"/>
      <c r="P3" s="970"/>
      <c r="Q3" s="970"/>
      <c r="R3" s="970"/>
      <c r="S3" s="398"/>
      <c r="T3" s="1510"/>
      <c r="U3" s="1506"/>
      <c r="V3" s="1506"/>
      <c r="W3" s="1506"/>
      <c r="X3" s="1506"/>
      <c r="Y3" s="1506"/>
      <c r="Z3" s="1506"/>
      <c r="AA3" s="1506"/>
    </row>
    <row r="4" spans="1:27" ht="18" customHeight="1">
      <c r="A4" s="1510"/>
      <c r="B4" s="1510"/>
      <c r="C4" s="839" t="str">
        <f>ValDateHeading</f>
        <v>Estimation of value as of 28 February 2017</v>
      </c>
      <c r="D4" s="1508"/>
      <c r="E4" s="970"/>
      <c r="F4" s="970"/>
      <c r="G4" s="970"/>
      <c r="H4" s="970"/>
      <c r="I4" s="970"/>
      <c r="J4" s="970"/>
      <c r="K4" s="970"/>
      <c r="L4" s="970"/>
      <c r="M4" s="970"/>
      <c r="N4" s="970"/>
      <c r="O4" s="970"/>
      <c r="P4" s="970"/>
      <c r="Q4" s="970"/>
      <c r="R4" s="970"/>
      <c r="S4" s="1506"/>
      <c r="T4" s="1510"/>
      <c r="U4" s="1506"/>
      <c r="V4" s="1506"/>
      <c r="W4" s="1506"/>
      <c r="X4" s="1506"/>
      <c r="Y4" s="1506"/>
      <c r="Z4" s="1506"/>
      <c r="AA4" s="1506"/>
    </row>
    <row r="5" spans="1:27" ht="18" customHeight="1">
      <c r="A5" s="1413"/>
      <c r="B5" s="1510"/>
      <c r="C5" s="840"/>
      <c r="D5" s="1508"/>
      <c r="E5" s="970"/>
      <c r="F5" s="970"/>
      <c r="G5" s="970"/>
      <c r="H5" s="970"/>
      <c r="I5" s="970"/>
      <c r="J5" s="970"/>
      <c r="K5" s="970"/>
      <c r="L5" s="970"/>
      <c r="M5" s="970"/>
      <c r="N5" s="970"/>
      <c r="O5" s="970"/>
      <c r="P5" s="970"/>
      <c r="Q5" s="970"/>
      <c r="R5" s="970"/>
      <c r="S5" s="1506"/>
      <c r="T5" s="1510"/>
      <c r="U5" s="1506"/>
      <c r="V5" s="1506"/>
      <c r="W5" s="1506"/>
      <c r="X5" s="1506"/>
      <c r="Y5" s="1506"/>
      <c r="Z5" s="1506"/>
      <c r="AA5" s="1506"/>
    </row>
    <row r="6" spans="1:27" s="1055" customFormat="1" ht="15.6">
      <c r="A6" s="1413" t="str">
        <f>IF(MasterCheck,"Please check the "&amp;'Error Check'!$G$8,"")</f>
        <v/>
      </c>
      <c r="B6" s="1552"/>
      <c r="C6" s="1420"/>
      <c r="D6" s="415"/>
      <c r="E6" s="1421"/>
      <c r="F6" s="630"/>
      <c r="G6" s="1421"/>
      <c r="H6" s="1421"/>
      <c r="I6" s="1422"/>
      <c r="J6" s="1421"/>
      <c r="K6" s="1421"/>
      <c r="L6" s="1421"/>
      <c r="M6" s="1421"/>
      <c r="N6" s="1421"/>
      <c r="O6" s="1421"/>
      <c r="P6" s="1423"/>
      <c r="Q6" s="1421"/>
      <c r="R6" s="1421"/>
      <c r="S6" s="1421"/>
      <c r="T6" s="1552"/>
      <c r="U6" s="255"/>
      <c r="V6" s="255"/>
      <c r="W6" s="255"/>
      <c r="X6" s="255"/>
      <c r="Y6" s="255"/>
      <c r="Z6" s="255"/>
      <c r="AA6" s="255"/>
    </row>
    <row r="7" spans="1:27" s="322" customFormat="1" ht="11.25" customHeight="1">
      <c r="A7" s="1510" t="s">
        <v>17</v>
      </c>
      <c r="B7" s="1510"/>
      <c r="C7" s="63"/>
      <c r="D7" s="171"/>
      <c r="E7" s="970"/>
      <c r="F7" s="970"/>
      <c r="G7" s="970"/>
      <c r="H7" s="970"/>
      <c r="I7" s="280"/>
      <c r="J7" s="970"/>
      <c r="K7" s="970"/>
      <c r="L7" s="970"/>
      <c r="M7" s="970"/>
      <c r="N7" s="970"/>
      <c r="O7" s="970"/>
      <c r="P7" s="1506"/>
      <c r="Q7" s="970"/>
      <c r="R7" s="970"/>
      <c r="S7" s="1506"/>
      <c r="T7" s="1510"/>
      <c r="U7" s="2060"/>
      <c r="V7" s="1361"/>
      <c r="W7" s="1361"/>
      <c r="X7" s="1361"/>
      <c r="Y7" s="2060"/>
      <c r="Z7" s="2060"/>
      <c r="AA7" s="2060"/>
    </row>
    <row r="8" spans="1:27" ht="14.45">
      <c r="A8" s="1510"/>
      <c r="B8" s="1510"/>
      <c r="C8" s="255"/>
      <c r="D8" s="255"/>
      <c r="E8" s="255"/>
      <c r="F8" s="255"/>
      <c r="G8" s="255"/>
      <c r="H8" s="255"/>
      <c r="I8" s="255"/>
      <c r="J8" s="255"/>
      <c r="K8" s="255"/>
      <c r="L8" s="255"/>
      <c r="M8" s="255"/>
      <c r="N8" s="255"/>
      <c r="O8" s="2060"/>
      <c r="P8" s="2060"/>
      <c r="Q8" s="2060"/>
      <c r="R8" s="2060"/>
      <c r="S8" s="1506"/>
      <c r="T8" s="1510"/>
      <c r="U8" s="1506"/>
      <c r="V8" s="1361"/>
      <c r="W8" s="1361"/>
      <c r="X8" s="1361"/>
      <c r="Y8" s="2060"/>
      <c r="Z8" s="2060"/>
      <c r="AA8" s="2060"/>
    </row>
    <row r="9" spans="1:27" ht="14.45">
      <c r="A9" s="1510"/>
      <c r="B9" s="1510"/>
      <c r="C9" s="1184"/>
      <c r="D9" s="1184"/>
      <c r="E9" s="1184"/>
      <c r="F9" s="1184"/>
      <c r="G9" s="1184"/>
      <c r="H9" s="1184"/>
      <c r="I9" s="1167" t="str">
        <f>'WACC and TIC Inputs'!H47</f>
        <v>LFQ</v>
      </c>
      <c r="J9" s="1185">
        <f>'WACC and TIC Inputs'!I47</f>
        <v>42794</v>
      </c>
      <c r="K9" s="1185" t="str">
        <f>'WACC and TIC Inputs'!J46</f>
        <v>2-Yr Avg</v>
      </c>
      <c r="L9" s="1184"/>
      <c r="M9" s="1184"/>
      <c r="N9" s="1184"/>
      <c r="O9" s="1167" t="s">
        <v>1382</v>
      </c>
      <c r="P9" s="1506"/>
      <c r="Q9" s="2060"/>
      <c r="R9" s="1506"/>
      <c r="S9" s="1506"/>
      <c r="T9" s="1510"/>
      <c r="U9" s="2060"/>
      <c r="V9" s="1361"/>
      <c r="W9" s="1361"/>
      <c r="X9" s="1361"/>
      <c r="Y9" s="2060"/>
      <c r="Z9" s="2060"/>
      <c r="AA9" s="2060"/>
    </row>
    <row r="10" spans="1:27" ht="13.9">
      <c r="A10" s="1510"/>
      <c r="B10" s="1510"/>
      <c r="C10" s="724"/>
      <c r="D10" s="724"/>
      <c r="E10" s="724"/>
      <c r="F10" s="724"/>
      <c r="G10" s="725" t="s">
        <v>1236</v>
      </c>
      <c r="H10" s="725"/>
      <c r="I10" s="725" t="str">
        <f>IF(DebtSetting="Total debt","total","net")</f>
        <v>total</v>
      </c>
      <c r="J10" s="726" t="s">
        <v>1181</v>
      </c>
      <c r="K10" s="726" t="str">
        <f>'WACC and TIC Inputs'!$H$48&amp;"/"</f>
        <v>Total debt/</v>
      </c>
      <c r="L10" s="725"/>
      <c r="M10" s="725"/>
      <c r="N10" s="725" t="s">
        <v>1180</v>
      </c>
      <c r="O10" s="725" t="s">
        <v>1383</v>
      </c>
      <c r="P10" s="1506"/>
      <c r="Q10" s="2060"/>
      <c r="R10" s="1506"/>
      <c r="S10" s="1506"/>
      <c r="T10" s="1510"/>
      <c r="U10" s="2060"/>
      <c r="V10" s="2060"/>
      <c r="W10" s="2060"/>
      <c r="X10" s="2060"/>
      <c r="Y10" s="2060"/>
      <c r="Z10" s="2060"/>
      <c r="AA10" s="2060"/>
    </row>
    <row r="11" spans="1:27" ht="13.9">
      <c r="A11" s="1510"/>
      <c r="B11" s="1510"/>
      <c r="C11" s="724"/>
      <c r="D11" s="724"/>
      <c r="E11" s="724"/>
      <c r="F11" s="724" t="s">
        <v>167</v>
      </c>
      <c r="G11" s="725" t="s">
        <v>1184</v>
      </c>
      <c r="H11" s="725"/>
      <c r="I11" s="725" t="s">
        <v>1384</v>
      </c>
      <c r="J11" s="725" t="s">
        <v>1385</v>
      </c>
      <c r="K11" s="725" t="s">
        <v>1187</v>
      </c>
      <c r="L11" s="725"/>
      <c r="M11" s="725" t="str">
        <f>'WACC and TIC Inputs'!P47</f>
        <v>Tax rate</v>
      </c>
      <c r="N11" s="725" t="s">
        <v>1184</v>
      </c>
      <c r="O11" s="725" t="s">
        <v>1386</v>
      </c>
      <c r="P11" s="1506"/>
      <c r="Q11" s="2060"/>
      <c r="R11" s="1506"/>
      <c r="S11" s="1506"/>
      <c r="T11" s="1510"/>
      <c r="U11" s="2060"/>
      <c r="V11" s="2060"/>
      <c r="W11" s="2060"/>
      <c r="X11" s="2060"/>
      <c r="Y11" s="2060"/>
      <c r="Z11" s="2060"/>
      <c r="AA11" s="2060"/>
    </row>
    <row r="12" spans="1:27" s="1506" customFormat="1" ht="13.9">
      <c r="A12" s="1510"/>
      <c r="B12" s="1510"/>
      <c r="C12" s="1846" t="s">
        <v>1256</v>
      </c>
      <c r="D12" s="1847"/>
      <c r="E12" s="1847"/>
      <c r="F12" s="1847"/>
      <c r="G12" s="1848"/>
      <c r="H12" s="1848"/>
      <c r="I12" s="1848"/>
      <c r="J12" s="1848"/>
      <c r="K12" s="1848"/>
      <c r="L12" s="1848"/>
      <c r="M12" s="1848"/>
      <c r="N12" s="1848"/>
      <c r="O12" s="1848"/>
      <c r="Q12" s="2060"/>
      <c r="T12" s="1510"/>
      <c r="U12" s="2060"/>
      <c r="V12" s="2060"/>
      <c r="W12" s="2060"/>
      <c r="X12" s="2060"/>
      <c r="Y12" s="2060"/>
      <c r="Z12" s="2060"/>
      <c r="AA12" s="2060"/>
    </row>
    <row r="13" spans="1:27" ht="13.9">
      <c r="A13" s="1510" t="str">
        <f t="shared" ref="A13:A22" si="0">IF(G13="--","n","")</f>
        <v>n</v>
      </c>
      <c r="B13" s="1510"/>
      <c r="C13" s="1564" t="str">
        <f>'DATA GPC'!E$20</f>
        <v>--</v>
      </c>
      <c r="D13" s="1504"/>
      <c r="E13" s="1504"/>
      <c r="F13" s="1564" t="str">
        <f>'DATA GPC'!J20</f>
        <v>--</v>
      </c>
      <c r="G13" s="1144" t="str">
        <f>IF(C13="--","--",'WACC and TIC Inputs'!J94)</f>
        <v>--</v>
      </c>
      <c r="H13" s="1144"/>
      <c r="I13" s="1143" t="str">
        <f>'WACC and TIC Inputs'!L94</f>
        <v>--</v>
      </c>
      <c r="J13" s="1143" t="str">
        <f>'WACC and TIC Inputs'!M94</f>
        <v>--</v>
      </c>
      <c r="K13" s="1614" t="str">
        <f>IF('WACC and TIC Inputs'!J49=0,"n/a",'WACC and TIC Inputs'!J49)</f>
        <v>--</v>
      </c>
      <c r="L13" s="1504"/>
      <c r="M13" s="1614" t="str">
        <f>'WACC and TIC Inputs'!O94</f>
        <v>--</v>
      </c>
      <c r="N13" s="1845" t="str">
        <f>'WACC and TIC Inputs'!K94</f>
        <v>--</v>
      </c>
      <c r="O13" s="186" t="str">
        <f>'DATA GPC'!P20</f>
        <v>--</v>
      </c>
      <c r="P13" s="1506"/>
      <c r="Q13" s="2060"/>
      <c r="R13" s="1506"/>
      <c r="S13" s="1696"/>
      <c r="T13" s="1510"/>
      <c r="U13" s="2060"/>
      <c r="V13" s="2060"/>
      <c r="W13" s="2060"/>
      <c r="X13" s="2060"/>
      <c r="Y13" s="2060"/>
      <c r="Z13" s="2060"/>
      <c r="AA13" s="2060"/>
    </row>
    <row r="14" spans="1:27" ht="12.75" customHeight="1">
      <c r="A14" s="1510" t="str">
        <f t="shared" si="0"/>
        <v>n</v>
      </c>
      <c r="B14" s="1510"/>
      <c r="C14" s="146" t="str">
        <f>'DATA GPC'!E$21</f>
        <v>--</v>
      </c>
      <c r="D14" s="255"/>
      <c r="E14" s="255"/>
      <c r="F14" s="146" t="str">
        <f>'DATA GPC'!J21</f>
        <v>--</v>
      </c>
      <c r="G14" s="642" t="str">
        <f>IF(C14="--","--",'WACC and TIC Inputs'!J95)</f>
        <v>--</v>
      </c>
      <c r="H14" s="642"/>
      <c r="I14" s="1143" t="str">
        <f>'WACC and TIC Inputs'!L95</f>
        <v>--</v>
      </c>
      <c r="J14" s="1143" t="str">
        <f>'WACC and TIC Inputs'!M95</f>
        <v>--</v>
      </c>
      <c r="K14" s="1364" t="str">
        <f>IF('WACC and TIC Inputs'!J50=0,"n/a",'WACC and TIC Inputs'!J50)</f>
        <v>--</v>
      </c>
      <c r="L14" s="255"/>
      <c r="M14" s="1364" t="str">
        <f>'WACC and TIC Inputs'!O95</f>
        <v>--</v>
      </c>
      <c r="N14" s="1707" t="str">
        <f>'WACC and TIC Inputs'!K95</f>
        <v>--</v>
      </c>
      <c r="O14" s="1512" t="str">
        <f>'DATA GPC'!P21</f>
        <v>--</v>
      </c>
      <c r="P14" s="1506"/>
      <c r="Q14" s="2060"/>
      <c r="R14" s="1506"/>
      <c r="S14" s="169"/>
      <c r="T14" s="1510"/>
      <c r="U14" s="2060"/>
      <c r="V14" s="2060"/>
      <c r="W14" s="2060"/>
      <c r="X14" s="2060"/>
      <c r="Y14" s="2060"/>
      <c r="Z14" s="2060"/>
      <c r="AA14" s="2060"/>
    </row>
    <row r="15" spans="1:27" ht="13.9">
      <c r="A15" s="1510" t="str">
        <f t="shared" si="0"/>
        <v>n</v>
      </c>
      <c r="B15" s="1510"/>
      <c r="C15" s="146" t="str">
        <f>'DATA GPC'!E$22</f>
        <v>--</v>
      </c>
      <c r="D15" s="255"/>
      <c r="E15" s="1505"/>
      <c r="F15" s="146" t="str">
        <f>'DATA GPC'!J22</f>
        <v>--</v>
      </c>
      <c r="G15" s="642" t="str">
        <f>IF(C15="--","--",'WACC and TIC Inputs'!J96)</f>
        <v>--</v>
      </c>
      <c r="H15" s="642"/>
      <c r="I15" s="1143" t="str">
        <f>'WACC and TIC Inputs'!L96</f>
        <v>--</v>
      </c>
      <c r="J15" s="1143" t="str">
        <f>'WACC and TIC Inputs'!M96</f>
        <v>--</v>
      </c>
      <c r="K15" s="1364" t="str">
        <f>IF('WACC and TIC Inputs'!J51=0,"n/a",'WACC and TIC Inputs'!J51)</f>
        <v>--</v>
      </c>
      <c r="L15" s="255"/>
      <c r="M15" s="1364" t="str">
        <f>'WACC and TIC Inputs'!O96</f>
        <v>--</v>
      </c>
      <c r="N15" s="1707" t="str">
        <f>'WACC and TIC Inputs'!K96</f>
        <v>--</v>
      </c>
      <c r="O15" s="1512" t="str">
        <f>'DATA GPC'!P22</f>
        <v>--</v>
      </c>
      <c r="P15" s="1506"/>
      <c r="Q15" s="2060"/>
      <c r="R15" s="1506"/>
      <c r="S15" s="1506"/>
      <c r="T15" s="1510"/>
      <c r="U15" s="2060"/>
      <c r="V15" s="2060"/>
      <c r="W15" s="2060"/>
      <c r="X15" s="2060"/>
      <c r="Y15" s="2060"/>
      <c r="Z15" s="2060"/>
      <c r="AA15" s="2060"/>
    </row>
    <row r="16" spans="1:27" ht="13.9">
      <c r="A16" s="1510" t="str">
        <f t="shared" si="0"/>
        <v>n</v>
      </c>
      <c r="B16" s="1510"/>
      <c r="C16" s="146" t="str">
        <f>'DATA GPC'!E$23</f>
        <v>--</v>
      </c>
      <c r="D16" s="255"/>
      <c r="E16" s="1505"/>
      <c r="F16" s="146" t="str">
        <f>'DATA GPC'!J23</f>
        <v>--</v>
      </c>
      <c r="G16" s="642" t="str">
        <f>IF(C16="--","--",'WACC and TIC Inputs'!J97)</f>
        <v>--</v>
      </c>
      <c r="H16" s="642"/>
      <c r="I16" s="1143" t="str">
        <f>'WACC and TIC Inputs'!L97</f>
        <v>--</v>
      </c>
      <c r="J16" s="1143" t="str">
        <f>'WACC and TIC Inputs'!M97</f>
        <v>--</v>
      </c>
      <c r="K16" s="1364" t="str">
        <f>IF('WACC and TIC Inputs'!J52=0,"n/a",'WACC and TIC Inputs'!J52)</f>
        <v>--</v>
      </c>
      <c r="L16" s="255"/>
      <c r="M16" s="1364" t="str">
        <f>'WACC and TIC Inputs'!O97</f>
        <v>--</v>
      </c>
      <c r="N16" s="1707" t="str">
        <f>'WACC and TIC Inputs'!K97</f>
        <v>--</v>
      </c>
      <c r="O16" s="1512" t="str">
        <f>'DATA GPC'!P23</f>
        <v>--</v>
      </c>
      <c r="P16" s="1506"/>
      <c r="Q16" s="2060"/>
      <c r="R16" s="1506"/>
      <c r="S16" s="1506"/>
      <c r="T16" s="1510"/>
      <c r="U16" s="2060"/>
      <c r="V16" s="2060"/>
      <c r="W16" s="2060"/>
      <c r="X16" s="2060"/>
      <c r="Y16" s="2060"/>
      <c r="Z16" s="2060"/>
      <c r="AA16" s="2060"/>
    </row>
    <row r="17" spans="1:27" ht="13.9">
      <c r="A17" s="1510" t="str">
        <f t="shared" si="0"/>
        <v>n</v>
      </c>
      <c r="B17" s="1510"/>
      <c r="C17" s="146" t="str">
        <f>'DATA GPC'!E$24</f>
        <v>--</v>
      </c>
      <c r="D17" s="255"/>
      <c r="E17" s="1505"/>
      <c r="F17" s="146" t="str">
        <f>'DATA GPC'!J24</f>
        <v>--</v>
      </c>
      <c r="G17" s="642" t="str">
        <f>IF(C17="--","--",'WACC and TIC Inputs'!J98)</f>
        <v>--</v>
      </c>
      <c r="H17" s="642"/>
      <c r="I17" s="1143" t="str">
        <f>'WACC and TIC Inputs'!L98</f>
        <v>--</v>
      </c>
      <c r="J17" s="1143" t="str">
        <f>'WACC and TIC Inputs'!M98</f>
        <v>--</v>
      </c>
      <c r="K17" s="1364" t="str">
        <f>IF('WACC and TIC Inputs'!J53=0,"n/a",'WACC and TIC Inputs'!J53)</f>
        <v>--</v>
      </c>
      <c r="L17" s="255"/>
      <c r="M17" s="1364" t="str">
        <f>'WACC and TIC Inputs'!O98</f>
        <v>--</v>
      </c>
      <c r="N17" s="1707" t="str">
        <f>'WACC and TIC Inputs'!K98</f>
        <v>--</v>
      </c>
      <c r="O17" s="1512" t="str">
        <f>'DATA GPC'!P24</f>
        <v>--</v>
      </c>
      <c r="P17" s="1506"/>
      <c r="Q17" s="2060"/>
      <c r="R17" s="1506"/>
      <c r="S17" s="1506"/>
      <c r="T17" s="1510"/>
      <c r="U17" s="2060"/>
      <c r="V17" s="2060"/>
      <c r="W17" s="2060"/>
      <c r="X17" s="2060"/>
      <c r="Y17" s="2060"/>
      <c r="Z17" s="2060"/>
      <c r="AA17" s="2060"/>
    </row>
    <row r="18" spans="1:27" ht="13.9">
      <c r="A18" s="1510" t="str">
        <f t="shared" si="0"/>
        <v>n</v>
      </c>
      <c r="B18" s="1510"/>
      <c r="C18" s="146" t="str">
        <f>'DATA GPC'!E$25</f>
        <v>--</v>
      </c>
      <c r="D18" s="255"/>
      <c r="E18" s="1505"/>
      <c r="F18" s="146" t="str">
        <f>'DATA GPC'!J25</f>
        <v>--</v>
      </c>
      <c r="G18" s="642" t="str">
        <f>IF(C18="--","--",'WACC and TIC Inputs'!J99)</f>
        <v>--</v>
      </c>
      <c r="H18" s="642"/>
      <c r="I18" s="1143" t="str">
        <f>'WACC and TIC Inputs'!L99</f>
        <v>--</v>
      </c>
      <c r="J18" s="1143" t="str">
        <f>'WACC and TIC Inputs'!M99</f>
        <v>--</v>
      </c>
      <c r="K18" s="1364" t="str">
        <f>'WACC and TIC Inputs'!N99</f>
        <v>--</v>
      </c>
      <c r="L18" s="255"/>
      <c r="M18" s="1364" t="str">
        <f>'WACC and TIC Inputs'!O99</f>
        <v>--</v>
      </c>
      <c r="N18" s="1707" t="str">
        <f>'WACC and TIC Inputs'!K99</f>
        <v>--</v>
      </c>
      <c r="O18" s="1512" t="str">
        <f>'DATA GPC'!P25</f>
        <v>--</v>
      </c>
      <c r="P18" s="1506"/>
      <c r="Q18" s="2060"/>
      <c r="R18" s="1506"/>
      <c r="S18" s="1506"/>
      <c r="T18" s="1510"/>
      <c r="U18" s="2060"/>
      <c r="V18" s="2060"/>
      <c r="W18" s="2060"/>
      <c r="X18" s="2060"/>
      <c r="Y18" s="2060"/>
      <c r="Z18" s="2060"/>
      <c r="AA18" s="2060"/>
    </row>
    <row r="19" spans="1:27" ht="13.9">
      <c r="A19" s="1510" t="str">
        <f t="shared" si="0"/>
        <v>n</v>
      </c>
      <c r="B19" s="1510"/>
      <c r="C19" s="146" t="str">
        <f>'DATA GPC'!E$26</f>
        <v>--</v>
      </c>
      <c r="D19" s="255"/>
      <c r="E19" s="1505"/>
      <c r="F19" s="146" t="str">
        <f>'DATA GPC'!J26</f>
        <v>--</v>
      </c>
      <c r="G19" s="642" t="str">
        <f>IF(C19="--","--",'WACC and TIC Inputs'!J100)</f>
        <v>--</v>
      </c>
      <c r="H19" s="642"/>
      <c r="I19" s="1143" t="str">
        <f>'WACC and TIC Inputs'!L100</f>
        <v>--</v>
      </c>
      <c r="J19" s="1143" t="str">
        <f>'WACC and TIC Inputs'!M100</f>
        <v>--</v>
      </c>
      <c r="K19" s="1364" t="str">
        <f>IF('WACC and TIC Inputs'!J55=0,"n/a",'WACC and TIC Inputs'!J55)</f>
        <v>--</v>
      </c>
      <c r="L19" s="255"/>
      <c r="M19" s="1364" t="str">
        <f>'WACC and TIC Inputs'!O100</f>
        <v>--</v>
      </c>
      <c r="N19" s="1707" t="str">
        <f>'WACC and TIC Inputs'!K100</f>
        <v>--</v>
      </c>
      <c r="O19" s="1512" t="str">
        <f>'DATA GPC'!P26</f>
        <v>--</v>
      </c>
      <c r="P19" s="1506"/>
      <c r="Q19" s="2060"/>
      <c r="R19" s="1506"/>
      <c r="S19" s="1506"/>
      <c r="T19" s="1510"/>
      <c r="U19" s="2060"/>
      <c r="V19" s="2060"/>
      <c r="W19" s="1506"/>
      <c r="X19" s="1506"/>
      <c r="Y19" s="2060"/>
      <c r="Z19" s="2060"/>
      <c r="AA19" s="2060"/>
    </row>
    <row r="20" spans="1:27" ht="13.9">
      <c r="A20" s="1510" t="str">
        <f t="shared" si="0"/>
        <v>n</v>
      </c>
      <c r="B20" s="1510"/>
      <c r="C20" s="146" t="str">
        <f>'DATA GPC'!E$27</f>
        <v>--</v>
      </c>
      <c r="D20" s="255"/>
      <c r="E20" s="1505"/>
      <c r="F20" s="146" t="str">
        <f>'DATA GPC'!J27</f>
        <v>--</v>
      </c>
      <c r="G20" s="642" t="str">
        <f>IF(C20="--","--",'WACC and TIC Inputs'!J101)</f>
        <v>--</v>
      </c>
      <c r="H20" s="642"/>
      <c r="I20" s="1143" t="str">
        <f>'WACC and TIC Inputs'!L101</f>
        <v>--</v>
      </c>
      <c r="J20" s="1143" t="str">
        <f>'WACC and TIC Inputs'!M101</f>
        <v>--</v>
      </c>
      <c r="K20" s="1364" t="str">
        <f>IF('WACC and TIC Inputs'!J56=0,"n/a",'WACC and TIC Inputs'!J56)</f>
        <v>--</v>
      </c>
      <c r="L20" s="255"/>
      <c r="M20" s="1364" t="str">
        <f>'WACC and TIC Inputs'!O101</f>
        <v>--</v>
      </c>
      <c r="N20" s="1707" t="str">
        <f>'WACC and TIC Inputs'!K101</f>
        <v>--</v>
      </c>
      <c r="O20" s="1512" t="str">
        <f>'DATA GPC'!P27</f>
        <v>--</v>
      </c>
      <c r="P20" s="1506"/>
      <c r="Q20" s="2060"/>
      <c r="R20" s="1506"/>
      <c r="S20" s="1506"/>
      <c r="T20" s="1510"/>
      <c r="U20" s="1506"/>
      <c r="V20" s="2060"/>
      <c r="W20" s="1506"/>
      <c r="X20" s="1506"/>
      <c r="Y20" s="2060"/>
      <c r="Z20" s="2060"/>
      <c r="AA20" s="1506"/>
    </row>
    <row r="21" spans="1:27" ht="13.9">
      <c r="A21" s="1510" t="str">
        <f t="shared" si="0"/>
        <v>n</v>
      </c>
      <c r="B21" s="1510"/>
      <c r="C21" s="146" t="str">
        <f>'DATA GPC'!E$28</f>
        <v>--</v>
      </c>
      <c r="D21" s="255"/>
      <c r="E21" s="1505"/>
      <c r="F21" s="146" t="str">
        <f>'DATA GPC'!J28</f>
        <v>--</v>
      </c>
      <c r="G21" s="642" t="str">
        <f>IF(C21="--","--",'WACC and TIC Inputs'!J102)</f>
        <v>--</v>
      </c>
      <c r="H21" s="642"/>
      <c r="I21" s="1143" t="str">
        <f>'WACC and TIC Inputs'!L102</f>
        <v>--</v>
      </c>
      <c r="J21" s="1143" t="str">
        <f>'WACC and TIC Inputs'!M102</f>
        <v>--</v>
      </c>
      <c r="K21" s="1364" t="str">
        <f>IF('WACC and TIC Inputs'!J57=0,"n/a",'WACC and TIC Inputs'!J57)</f>
        <v>--</v>
      </c>
      <c r="L21" s="255"/>
      <c r="M21" s="1364" t="str">
        <f>'WACC and TIC Inputs'!O102</f>
        <v>--</v>
      </c>
      <c r="N21" s="1707" t="str">
        <f>'WACC and TIC Inputs'!K102</f>
        <v>--</v>
      </c>
      <c r="O21" s="1512" t="str">
        <f>'DATA GPC'!P28</f>
        <v>--</v>
      </c>
      <c r="P21" s="1506"/>
      <c r="Q21" s="2060"/>
      <c r="R21" s="1506"/>
      <c r="S21" s="1506"/>
      <c r="T21" s="1510"/>
      <c r="U21" s="1506"/>
      <c r="V21" s="1506"/>
      <c r="W21" s="1506"/>
      <c r="X21" s="1506"/>
      <c r="Y21" s="2060"/>
      <c r="Z21" s="1506"/>
      <c r="AA21" s="1506"/>
    </row>
    <row r="22" spans="1:27" ht="13.9">
      <c r="A22" s="1510" t="str">
        <f t="shared" si="0"/>
        <v>n</v>
      </c>
      <c r="B22" s="1510"/>
      <c r="C22" s="146" t="str">
        <f>'DATA GPC'!E$29</f>
        <v>--</v>
      </c>
      <c r="D22" s="255"/>
      <c r="E22" s="1578"/>
      <c r="F22" s="146" t="str">
        <f>'DATA GPC'!J29</f>
        <v>--</v>
      </c>
      <c r="G22" s="642" t="str">
        <f>IF(C22="--","--",'WACC and TIC Inputs'!J103)</f>
        <v>--</v>
      </c>
      <c r="H22" s="642"/>
      <c r="I22" s="1143" t="str">
        <f>'WACC and TIC Inputs'!L103</f>
        <v>--</v>
      </c>
      <c r="J22" s="1143" t="str">
        <f>'WACC and TIC Inputs'!M103</f>
        <v>--</v>
      </c>
      <c r="K22" s="1364" t="str">
        <f>IF('WACC and TIC Inputs'!J58=0,"n/a",'WACC and TIC Inputs'!J58)</f>
        <v>--</v>
      </c>
      <c r="L22" s="255"/>
      <c r="M22" s="1364" t="str">
        <f>'WACC and TIC Inputs'!O103</f>
        <v>--</v>
      </c>
      <c r="N22" s="1707" t="str">
        <f>'WACC and TIC Inputs'!K103</f>
        <v>--</v>
      </c>
      <c r="O22" s="1512" t="str">
        <f>'DATA GPC'!P29</f>
        <v>--</v>
      </c>
      <c r="P22" s="1506"/>
      <c r="Q22" s="2060"/>
      <c r="R22" s="1506"/>
      <c r="S22" s="1506"/>
      <c r="T22" s="1510"/>
      <c r="U22" s="2060"/>
      <c r="V22" s="1506"/>
      <c r="W22" s="1506"/>
      <c r="X22" s="1506"/>
      <c r="Y22" s="2060"/>
      <c r="Z22" s="1506"/>
      <c r="AA22" s="1506"/>
    </row>
    <row r="23" spans="1:27" ht="13.9">
      <c r="A23" s="1510" t="str">
        <f>IF(G23="--","n","")</f>
        <v>n</v>
      </c>
      <c r="B23" s="1510"/>
      <c r="C23" s="146" t="str">
        <f>'DATA GPC'!E$30</f>
        <v>--</v>
      </c>
      <c r="D23" s="255"/>
      <c r="E23" s="1505"/>
      <c r="F23" s="146" t="str">
        <f>'DATA GPC'!J30</f>
        <v>--</v>
      </c>
      <c r="G23" s="642" t="str">
        <f>IF(C23="--","--",'WACC and TIC Inputs'!J104)</f>
        <v>--</v>
      </c>
      <c r="H23" s="642"/>
      <c r="I23" s="1143" t="str">
        <f>'WACC and TIC Inputs'!L104</f>
        <v>--</v>
      </c>
      <c r="J23" s="1143" t="str">
        <f>'WACC and TIC Inputs'!M104</f>
        <v>--</v>
      </c>
      <c r="K23" s="1364" t="str">
        <f>IF('WACC and TIC Inputs'!J59=0,"n/a",'WACC and TIC Inputs'!J59)</f>
        <v>--</v>
      </c>
      <c r="L23" s="255"/>
      <c r="M23" s="1364" t="str">
        <f>'WACC and TIC Inputs'!O104</f>
        <v>--</v>
      </c>
      <c r="N23" s="1707" t="str">
        <f>'WACC and TIC Inputs'!K104</f>
        <v>--</v>
      </c>
      <c r="O23" s="1512" t="str">
        <f>'DATA GPC'!P30</f>
        <v>--</v>
      </c>
      <c r="P23" s="1506"/>
      <c r="Q23" s="2060"/>
      <c r="R23" s="1506"/>
      <c r="S23" s="1506"/>
      <c r="T23" s="1510"/>
      <c r="U23" s="30"/>
      <c r="V23" s="1506"/>
      <c r="W23" s="1506"/>
      <c r="X23" s="1506"/>
      <c r="Y23" s="2060"/>
      <c r="Z23" s="1506"/>
      <c r="AA23" s="1506"/>
    </row>
    <row r="24" spans="1:27" ht="13.9">
      <c r="A24" s="1510" t="str">
        <f t="shared" ref="A24:A37" si="1">IF(G24="--","n","")</f>
        <v>n</v>
      </c>
      <c r="B24" s="1510"/>
      <c r="C24" s="146" t="str">
        <f>'DATA GPC'!E$31</f>
        <v>--</v>
      </c>
      <c r="D24" s="255"/>
      <c r="E24" s="1505"/>
      <c r="F24" s="146" t="str">
        <f>'DATA GPC'!J31</f>
        <v>--</v>
      </c>
      <c r="G24" s="642" t="str">
        <f>IF(C24="--","--",'WACC and TIC Inputs'!J105)</f>
        <v>--</v>
      </c>
      <c r="H24" s="642"/>
      <c r="I24" s="1143" t="str">
        <f>'WACC and TIC Inputs'!L105</f>
        <v>--</v>
      </c>
      <c r="J24" s="1143" t="str">
        <f>'WACC and TIC Inputs'!M105</f>
        <v>--</v>
      </c>
      <c r="K24" s="1364" t="str">
        <f>IF('WACC and TIC Inputs'!J60=0,"n/a",'WACC and TIC Inputs'!J60)</f>
        <v>--</v>
      </c>
      <c r="L24" s="255"/>
      <c r="M24" s="1364" t="str">
        <f>'WACC and TIC Inputs'!O105</f>
        <v>--</v>
      </c>
      <c r="N24" s="1707" t="str">
        <f>'WACC and TIC Inputs'!K105</f>
        <v>--</v>
      </c>
      <c r="O24" s="1512" t="str">
        <f>'DATA GPC'!P31</f>
        <v>--</v>
      </c>
      <c r="P24" s="1506"/>
      <c r="Q24" s="2060"/>
      <c r="R24" s="1506"/>
      <c r="S24" s="1506"/>
      <c r="T24" s="1510"/>
      <c r="U24" s="1506"/>
      <c r="V24" s="2060"/>
      <c r="W24" s="2060"/>
      <c r="X24" s="2060"/>
      <c r="Y24" s="2060"/>
      <c r="Z24" s="1506"/>
      <c r="AA24" s="1506"/>
    </row>
    <row r="25" spans="1:27" ht="13.9">
      <c r="A25" s="1510" t="str">
        <f t="shared" si="1"/>
        <v>n</v>
      </c>
      <c r="B25" s="1510"/>
      <c r="C25" s="146" t="str">
        <f>'DATA GPC'!E$32</f>
        <v>--</v>
      </c>
      <c r="D25" s="255"/>
      <c r="E25" s="1505"/>
      <c r="F25" s="146" t="str">
        <f>'DATA GPC'!J32</f>
        <v>--</v>
      </c>
      <c r="G25" s="642" t="str">
        <f>IF(C25="--","--",'WACC and TIC Inputs'!J106)</f>
        <v>--</v>
      </c>
      <c r="H25" s="642"/>
      <c r="I25" s="1143" t="str">
        <f>'WACC and TIC Inputs'!L106</f>
        <v>--</v>
      </c>
      <c r="J25" s="1143" t="str">
        <f>'WACC and TIC Inputs'!M106</f>
        <v>--</v>
      </c>
      <c r="K25" s="1364" t="str">
        <f>IF('WACC and TIC Inputs'!J61=0,"n/a",'WACC and TIC Inputs'!J61)</f>
        <v>--</v>
      </c>
      <c r="L25" s="255"/>
      <c r="M25" s="1364" t="str">
        <f>'WACC and TIC Inputs'!O106</f>
        <v>--</v>
      </c>
      <c r="N25" s="1707" t="str">
        <f>'WACC and TIC Inputs'!K106</f>
        <v>--</v>
      </c>
      <c r="O25" s="1512" t="str">
        <f>'DATA GPC'!P32</f>
        <v>--</v>
      </c>
      <c r="P25" s="1506"/>
      <c r="Q25" s="2060"/>
      <c r="R25" s="1506"/>
      <c r="S25" s="1506"/>
      <c r="T25" s="1510"/>
      <c r="U25" s="1506"/>
      <c r="V25" s="2060"/>
      <c r="W25" s="2060"/>
      <c r="X25" s="2060"/>
      <c r="Y25" s="2060"/>
      <c r="Z25" s="1506"/>
      <c r="AA25" s="1506"/>
    </row>
    <row r="26" spans="1:27" ht="13.9">
      <c r="A26" s="1510" t="str">
        <f t="shared" si="1"/>
        <v>n</v>
      </c>
      <c r="B26" s="1510"/>
      <c r="C26" s="146" t="str">
        <f>'DATA GPC'!E$33</f>
        <v>--</v>
      </c>
      <c r="D26" s="255"/>
      <c r="E26" s="1505"/>
      <c r="F26" s="146" t="str">
        <f>'DATA GPC'!J33</f>
        <v>--</v>
      </c>
      <c r="G26" s="642" t="str">
        <f>IF(C26="--","--",'WACC and TIC Inputs'!J107)</f>
        <v>--</v>
      </c>
      <c r="H26" s="642"/>
      <c r="I26" s="1143" t="str">
        <f>'WACC and TIC Inputs'!L107</f>
        <v>--</v>
      </c>
      <c r="J26" s="1143" t="str">
        <f>'WACC and TIC Inputs'!M107</f>
        <v>--</v>
      </c>
      <c r="K26" s="1364" t="str">
        <f>IF('WACC and TIC Inputs'!J62=0,"n/a",'WACC and TIC Inputs'!J62)</f>
        <v>--</v>
      </c>
      <c r="L26" s="255"/>
      <c r="M26" s="1364" t="str">
        <f>'WACC and TIC Inputs'!O107</f>
        <v>--</v>
      </c>
      <c r="N26" s="1707" t="str">
        <f>'WACC and TIC Inputs'!K107</f>
        <v>--</v>
      </c>
      <c r="O26" s="1512" t="str">
        <f>'DATA GPC'!P33</f>
        <v>--</v>
      </c>
      <c r="P26" s="1506"/>
      <c r="Q26" s="2060"/>
      <c r="R26" s="1506"/>
      <c r="S26" s="1506"/>
      <c r="T26" s="1510"/>
      <c r="U26" s="1506"/>
      <c r="V26" s="1506"/>
      <c r="W26" s="2060"/>
      <c r="X26" s="2060"/>
      <c r="Y26" s="2060"/>
      <c r="Z26" s="1506"/>
      <c r="AA26" s="1506"/>
    </row>
    <row r="27" spans="1:27" s="1506" customFormat="1" ht="13.9">
      <c r="A27" s="1510" t="str">
        <f t="shared" si="1"/>
        <v>n</v>
      </c>
      <c r="B27" s="1510"/>
      <c r="C27" s="146" t="str">
        <f>'DATA GPC'!E$34</f>
        <v>--</v>
      </c>
      <c r="D27" s="255"/>
      <c r="E27" s="1505"/>
      <c r="F27" s="146" t="str">
        <f>'DATA GPC'!J34</f>
        <v>--</v>
      </c>
      <c r="G27" s="642" t="str">
        <f>IF(C27="--","--",'WACC and TIC Inputs'!J108)</f>
        <v>--</v>
      </c>
      <c r="H27" s="642"/>
      <c r="I27" s="1143" t="str">
        <f>'WACC and TIC Inputs'!L108</f>
        <v>--</v>
      </c>
      <c r="J27" s="1143" t="str">
        <f>'WACC and TIC Inputs'!M108</f>
        <v>--</v>
      </c>
      <c r="K27" s="1364" t="str">
        <f>IF('WACC and TIC Inputs'!J63=0,"n/a",'WACC and TIC Inputs'!J63)</f>
        <v>--</v>
      </c>
      <c r="L27" s="255"/>
      <c r="M27" s="1364" t="str">
        <f>'WACC and TIC Inputs'!O108</f>
        <v>--</v>
      </c>
      <c r="N27" s="1707" t="str">
        <f>'WACC and TIC Inputs'!K108</f>
        <v>--</v>
      </c>
      <c r="O27" s="1512" t="str">
        <f>'DATA GPC'!P34</f>
        <v>--</v>
      </c>
      <c r="Q27" s="2060"/>
      <c r="T27" s="1510"/>
      <c r="W27" s="2060"/>
      <c r="X27" s="2060"/>
      <c r="Y27" s="2060"/>
    </row>
    <row r="28" spans="1:27" s="1506" customFormat="1" ht="13.9">
      <c r="A28" s="1510" t="str">
        <f t="shared" si="1"/>
        <v>n</v>
      </c>
      <c r="B28" s="1510"/>
      <c r="C28" s="146" t="str">
        <f>'DATA GPC'!E$35</f>
        <v>--</v>
      </c>
      <c r="D28" s="255"/>
      <c r="E28" s="1505"/>
      <c r="F28" s="146" t="str">
        <f>'DATA GPC'!J35</f>
        <v>--</v>
      </c>
      <c r="G28" s="642" t="str">
        <f>IF(C28="--","--",'WACC and TIC Inputs'!J109)</f>
        <v>--</v>
      </c>
      <c r="H28" s="642"/>
      <c r="I28" s="1143" t="str">
        <f>'WACC and TIC Inputs'!L109</f>
        <v>--</v>
      </c>
      <c r="J28" s="1143" t="str">
        <f>'WACC and TIC Inputs'!M109</f>
        <v>--</v>
      </c>
      <c r="K28" s="1364" t="str">
        <f>IF('WACC and TIC Inputs'!J64=0,"n/a",'WACC and TIC Inputs'!J64)</f>
        <v>--</v>
      </c>
      <c r="L28" s="255"/>
      <c r="M28" s="1364" t="str">
        <f>'WACC and TIC Inputs'!O109</f>
        <v>--</v>
      </c>
      <c r="N28" s="1707" t="str">
        <f>'WACC and TIC Inputs'!K109</f>
        <v>--</v>
      </c>
      <c r="O28" s="1512" t="str">
        <f>'DATA GPC'!P35</f>
        <v>--</v>
      </c>
      <c r="Q28" s="2060"/>
      <c r="T28" s="1510"/>
      <c r="W28" s="2060"/>
      <c r="X28" s="2060"/>
      <c r="Y28" s="2060"/>
    </row>
    <row r="29" spans="1:27" s="1506" customFormat="1" ht="13.9">
      <c r="A29" s="1510" t="str">
        <f t="shared" si="1"/>
        <v>n</v>
      </c>
      <c r="B29" s="1510"/>
      <c r="C29" s="146" t="str">
        <f>'DATA GPC'!E$36</f>
        <v>--</v>
      </c>
      <c r="D29" s="255"/>
      <c r="E29" s="1505"/>
      <c r="F29" s="146" t="str">
        <f>'DATA GPC'!J36</f>
        <v>--</v>
      </c>
      <c r="G29" s="642" t="str">
        <f>IF(C29="--","--",'WACC and TIC Inputs'!J110)</f>
        <v>--</v>
      </c>
      <c r="H29" s="642"/>
      <c r="I29" s="1143" t="str">
        <f>'WACC and TIC Inputs'!L110</f>
        <v>--</v>
      </c>
      <c r="J29" s="1143" t="str">
        <f>'WACC and TIC Inputs'!M110</f>
        <v>--</v>
      </c>
      <c r="K29" s="1364" t="str">
        <f>IF('WACC and TIC Inputs'!J65=0,"n/a",'WACC and TIC Inputs'!J65)</f>
        <v>--</v>
      </c>
      <c r="L29" s="255"/>
      <c r="M29" s="1364" t="str">
        <f>'WACC and TIC Inputs'!O110</f>
        <v>--</v>
      </c>
      <c r="N29" s="1707" t="str">
        <f>'WACC and TIC Inputs'!K110</f>
        <v>--</v>
      </c>
      <c r="O29" s="1512" t="str">
        <f>'DATA GPC'!P36</f>
        <v>--</v>
      </c>
      <c r="Q29" s="2060"/>
      <c r="T29" s="1510"/>
      <c r="W29" s="2060"/>
      <c r="X29" s="2060"/>
      <c r="Y29" s="2060"/>
    </row>
    <row r="30" spans="1:27" s="1506" customFormat="1" ht="13.9">
      <c r="A30" s="1510" t="str">
        <f t="shared" si="1"/>
        <v>n</v>
      </c>
      <c r="B30" s="1510"/>
      <c r="C30" s="146" t="str">
        <f>'DATA GPC'!E$37</f>
        <v>--</v>
      </c>
      <c r="D30" s="255"/>
      <c r="E30" s="1505"/>
      <c r="F30" s="146" t="str">
        <f>'DATA GPC'!J37</f>
        <v>--</v>
      </c>
      <c r="G30" s="642" t="str">
        <f>IF(C30="--","--",'WACC and TIC Inputs'!J111)</f>
        <v>--</v>
      </c>
      <c r="H30" s="642"/>
      <c r="I30" s="1143" t="str">
        <f>'WACC and TIC Inputs'!L111</f>
        <v>--</v>
      </c>
      <c r="J30" s="1143" t="str">
        <f>'WACC and TIC Inputs'!M111</f>
        <v>--</v>
      </c>
      <c r="K30" s="1364" t="str">
        <f>IF('WACC and TIC Inputs'!J66=0,"n/a",'WACC and TIC Inputs'!J66)</f>
        <v>--</v>
      </c>
      <c r="L30" s="255"/>
      <c r="M30" s="1364" t="str">
        <f>'WACC and TIC Inputs'!O111</f>
        <v>--</v>
      </c>
      <c r="N30" s="1707" t="str">
        <f>'WACC and TIC Inputs'!K111</f>
        <v>--</v>
      </c>
      <c r="O30" s="1512" t="str">
        <f>'DATA GPC'!P37</f>
        <v>--</v>
      </c>
      <c r="Q30" s="2060"/>
      <c r="T30" s="1510"/>
      <c r="W30" s="2060"/>
      <c r="X30" s="2060"/>
      <c r="Y30" s="2060"/>
    </row>
    <row r="31" spans="1:27" s="1506" customFormat="1" ht="13.9">
      <c r="A31" s="1510" t="str">
        <f t="shared" si="1"/>
        <v>n</v>
      </c>
      <c r="B31" s="1510"/>
      <c r="C31" s="146" t="str">
        <f>'DATA GPC'!E$38</f>
        <v>--</v>
      </c>
      <c r="D31" s="255"/>
      <c r="E31" s="1505"/>
      <c r="F31" s="146" t="str">
        <f>'DATA GPC'!J38</f>
        <v>--</v>
      </c>
      <c r="G31" s="642" t="str">
        <f>IF(C31="--","--",'WACC and TIC Inputs'!J112)</f>
        <v>--</v>
      </c>
      <c r="H31" s="642"/>
      <c r="I31" s="1143" t="str">
        <f>'WACC and TIC Inputs'!L112</f>
        <v>--</v>
      </c>
      <c r="J31" s="1143" t="str">
        <f>'WACC and TIC Inputs'!M112</f>
        <v>--</v>
      </c>
      <c r="K31" s="1364" t="str">
        <f>IF('WACC and TIC Inputs'!J67=0,"n/a",'WACC and TIC Inputs'!J67)</f>
        <v>--</v>
      </c>
      <c r="L31" s="255"/>
      <c r="M31" s="1364" t="str">
        <f>'WACC and TIC Inputs'!O112</f>
        <v>--</v>
      </c>
      <c r="N31" s="1707" t="str">
        <f>'WACC and TIC Inputs'!K112</f>
        <v>--</v>
      </c>
      <c r="O31" s="1512" t="str">
        <f>'DATA GPC'!P38</f>
        <v>--</v>
      </c>
      <c r="Q31" s="2060"/>
      <c r="T31" s="1510"/>
      <c r="W31" s="2060"/>
      <c r="X31" s="2060"/>
      <c r="Y31" s="2060"/>
    </row>
    <row r="32" spans="1:27" s="1506" customFormat="1" ht="13.9">
      <c r="A32" s="1510" t="str">
        <f t="shared" si="1"/>
        <v>n</v>
      </c>
      <c r="B32" s="1510"/>
      <c r="C32" s="146" t="str">
        <f>'DATA GPC'!E$39</f>
        <v>--</v>
      </c>
      <c r="D32" s="255"/>
      <c r="E32" s="1505"/>
      <c r="F32" s="146" t="str">
        <f>'DATA GPC'!J39</f>
        <v>--</v>
      </c>
      <c r="G32" s="642" t="str">
        <f>IF(C32="--","--",'WACC and TIC Inputs'!J113)</f>
        <v>--</v>
      </c>
      <c r="H32" s="642"/>
      <c r="I32" s="1143" t="str">
        <f>'WACC and TIC Inputs'!L113</f>
        <v>--</v>
      </c>
      <c r="J32" s="1143" t="str">
        <f>'WACC and TIC Inputs'!M113</f>
        <v>--</v>
      </c>
      <c r="K32" s="1364" t="str">
        <f>IF('WACC and TIC Inputs'!J68=0,"n/a",'WACC and TIC Inputs'!J68)</f>
        <v>--</v>
      </c>
      <c r="L32" s="255"/>
      <c r="M32" s="1364" t="str">
        <f>'WACC and TIC Inputs'!O113</f>
        <v>--</v>
      </c>
      <c r="N32" s="1707" t="str">
        <f>'WACC and TIC Inputs'!K113</f>
        <v>--</v>
      </c>
      <c r="O32" s="1512" t="str">
        <f>'DATA GPC'!P39</f>
        <v>--</v>
      </c>
      <c r="Q32" s="2060"/>
      <c r="T32" s="1510"/>
      <c r="W32" s="2060"/>
      <c r="X32" s="2060"/>
      <c r="Y32" s="2060"/>
    </row>
    <row r="33" spans="1:25" s="1506" customFormat="1" ht="13.9">
      <c r="A33" s="1510" t="str">
        <f t="shared" si="1"/>
        <v>n</v>
      </c>
      <c r="B33" s="1510"/>
      <c r="C33" s="146" t="str">
        <f>'DATA GPC'!E$40</f>
        <v>--</v>
      </c>
      <c r="D33" s="255"/>
      <c r="E33" s="1505"/>
      <c r="F33" s="146" t="str">
        <f>'DATA GPC'!J40</f>
        <v>--</v>
      </c>
      <c r="G33" s="642" t="str">
        <f>IF(C33="--","--",'WACC and TIC Inputs'!J114)</f>
        <v>--</v>
      </c>
      <c r="H33" s="642"/>
      <c r="I33" s="1143" t="str">
        <f>'WACC and TIC Inputs'!L114</f>
        <v>--</v>
      </c>
      <c r="J33" s="1143" t="str">
        <f>'WACC and TIC Inputs'!M114</f>
        <v>--</v>
      </c>
      <c r="K33" s="1364" t="str">
        <f>IF('WACC and TIC Inputs'!J69=0,"n/a",'WACC and TIC Inputs'!J69)</f>
        <v>--</v>
      </c>
      <c r="L33" s="255"/>
      <c r="M33" s="1364" t="str">
        <f>'WACC and TIC Inputs'!O114</f>
        <v>--</v>
      </c>
      <c r="N33" s="1707" t="str">
        <f>'WACC and TIC Inputs'!K114</f>
        <v>--</v>
      </c>
      <c r="O33" s="1512" t="str">
        <f>'DATA GPC'!P40</f>
        <v>--</v>
      </c>
      <c r="Q33" s="2060"/>
      <c r="T33" s="1510"/>
      <c r="W33" s="2060"/>
      <c r="X33" s="2060"/>
      <c r="Y33" s="2060"/>
    </row>
    <row r="34" spans="1:25" s="1506" customFormat="1" ht="13.9">
      <c r="A34" s="1510" t="str">
        <f t="shared" si="1"/>
        <v>n</v>
      </c>
      <c r="B34" s="1510"/>
      <c r="C34" s="146" t="str">
        <f>'DATA GPC'!E$41</f>
        <v>--</v>
      </c>
      <c r="D34" s="255"/>
      <c r="E34" s="1505"/>
      <c r="F34" s="146" t="str">
        <f>'DATA GPC'!J41</f>
        <v>--</v>
      </c>
      <c r="G34" s="642" t="str">
        <f>IF(C34="--","--",'WACC and TIC Inputs'!J115)</f>
        <v>--</v>
      </c>
      <c r="H34" s="642"/>
      <c r="I34" s="1143" t="str">
        <f>'WACC and TIC Inputs'!L115</f>
        <v>--</v>
      </c>
      <c r="J34" s="1143" t="str">
        <f>'WACC and TIC Inputs'!M115</f>
        <v>--</v>
      </c>
      <c r="K34" s="1364" t="str">
        <f>IF('WACC and TIC Inputs'!J70=0,"n/a",'WACC and TIC Inputs'!J70)</f>
        <v>--</v>
      </c>
      <c r="L34" s="255"/>
      <c r="M34" s="1364" t="str">
        <f>'WACC and TIC Inputs'!O115</f>
        <v>--</v>
      </c>
      <c r="N34" s="1707" t="str">
        <f>'WACC and TIC Inputs'!K115</f>
        <v>--</v>
      </c>
      <c r="O34" s="1512" t="str">
        <f>'DATA GPC'!P41</f>
        <v>--</v>
      </c>
      <c r="Q34" s="2060"/>
      <c r="T34" s="1510"/>
      <c r="W34" s="2060"/>
      <c r="X34" s="2060"/>
      <c r="Y34" s="2060"/>
    </row>
    <row r="35" spans="1:25" s="1506" customFormat="1" ht="13.9">
      <c r="A35" s="1510" t="str">
        <f t="shared" si="1"/>
        <v>n</v>
      </c>
      <c r="B35" s="1510"/>
      <c r="C35" s="146" t="str">
        <f>'DATA GPC'!E$42</f>
        <v>--</v>
      </c>
      <c r="D35" s="255"/>
      <c r="E35" s="1505"/>
      <c r="F35" s="146" t="str">
        <f>'DATA GPC'!J42</f>
        <v>--</v>
      </c>
      <c r="G35" s="642" t="str">
        <f>IF(C35="--","--",'WACC and TIC Inputs'!J116)</f>
        <v>--</v>
      </c>
      <c r="H35" s="642"/>
      <c r="I35" s="1143" t="str">
        <f>'WACC and TIC Inputs'!L116</f>
        <v>--</v>
      </c>
      <c r="J35" s="1143" t="str">
        <f>'WACC and TIC Inputs'!M116</f>
        <v>--</v>
      </c>
      <c r="K35" s="1364" t="str">
        <f>IF('WACC and TIC Inputs'!J71=0,"n/a",'WACC and TIC Inputs'!J71)</f>
        <v>--</v>
      </c>
      <c r="L35" s="255"/>
      <c r="M35" s="1364" t="str">
        <f>'WACC and TIC Inputs'!O116</f>
        <v>--</v>
      </c>
      <c r="N35" s="1707" t="str">
        <f>'WACC and TIC Inputs'!K116</f>
        <v>--</v>
      </c>
      <c r="O35" s="1512" t="str">
        <f>'DATA GPC'!P42</f>
        <v>--</v>
      </c>
      <c r="Q35" s="2060"/>
      <c r="T35" s="1510"/>
      <c r="W35" s="2060"/>
      <c r="X35" s="2060"/>
      <c r="Y35" s="2060"/>
    </row>
    <row r="36" spans="1:25" s="1506" customFormat="1" ht="13.9">
      <c r="A36" s="1510" t="str">
        <f t="shared" si="1"/>
        <v>n</v>
      </c>
      <c r="B36" s="1510"/>
      <c r="C36" s="146" t="str">
        <f>'DATA GPC'!E$43</f>
        <v>--</v>
      </c>
      <c r="D36" s="255"/>
      <c r="E36" s="1505"/>
      <c r="F36" s="146" t="str">
        <f>'DATA GPC'!J43</f>
        <v>--</v>
      </c>
      <c r="G36" s="642" t="str">
        <f>IF(C36="--","--",'WACC and TIC Inputs'!J117)</f>
        <v>--</v>
      </c>
      <c r="H36" s="642"/>
      <c r="I36" s="1143" t="str">
        <f>'WACC and TIC Inputs'!L117</f>
        <v>--</v>
      </c>
      <c r="J36" s="1143" t="str">
        <f>'WACC and TIC Inputs'!M117</f>
        <v>--</v>
      </c>
      <c r="K36" s="1364" t="str">
        <f>IF('WACC and TIC Inputs'!J72=0,"n/a",'WACC and TIC Inputs'!J72)</f>
        <v>--</v>
      </c>
      <c r="L36" s="255"/>
      <c r="M36" s="1364" t="str">
        <f>'WACC and TIC Inputs'!O117</f>
        <v>--</v>
      </c>
      <c r="N36" s="1707" t="str">
        <f>'WACC and TIC Inputs'!K117</f>
        <v>--</v>
      </c>
      <c r="O36" s="1512" t="str">
        <f>'DATA GPC'!P43</f>
        <v>--</v>
      </c>
      <c r="Q36" s="2060"/>
      <c r="T36" s="1510"/>
      <c r="W36" s="2060"/>
      <c r="X36" s="2060"/>
      <c r="Y36" s="2060"/>
    </row>
    <row r="37" spans="1:25" ht="13.9">
      <c r="A37" s="1510" t="str">
        <f t="shared" si="1"/>
        <v>n</v>
      </c>
      <c r="B37" s="1510"/>
      <c r="C37" s="146" t="str">
        <f>'DATA GPC'!E$44</f>
        <v>--</v>
      </c>
      <c r="D37" s="255"/>
      <c r="E37" s="1505"/>
      <c r="F37" s="146" t="str">
        <f>'DATA GPC'!J44</f>
        <v>--</v>
      </c>
      <c r="G37" s="642" t="str">
        <f>IF(C37="--","--",'WACC and TIC Inputs'!J118)</f>
        <v>--</v>
      </c>
      <c r="H37" s="642"/>
      <c r="I37" s="1143" t="str">
        <f>'WACC and TIC Inputs'!L118</f>
        <v>--</v>
      </c>
      <c r="J37" s="1143" t="str">
        <f>'WACC and TIC Inputs'!M118</f>
        <v>--</v>
      </c>
      <c r="K37" s="1364" t="str">
        <f>IF('WACC and TIC Inputs'!J73=0,"n/a",'WACC and TIC Inputs'!J73)</f>
        <v>--</v>
      </c>
      <c r="L37" s="255"/>
      <c r="M37" s="1364" t="str">
        <f>'WACC and TIC Inputs'!O118</f>
        <v>--</v>
      </c>
      <c r="N37" s="1707" t="str">
        <f>'WACC and TIC Inputs'!K118</f>
        <v>--</v>
      </c>
      <c r="O37" s="1512" t="str">
        <f>'DATA GPC'!P44</f>
        <v>--</v>
      </c>
      <c r="P37" s="1506"/>
      <c r="Q37" s="2060"/>
      <c r="R37" s="1506"/>
      <c r="S37" s="1506"/>
      <c r="T37" s="1510"/>
      <c r="U37" s="1506"/>
      <c r="V37" s="1506"/>
      <c r="W37" s="2060"/>
      <c r="X37" s="2060"/>
      <c r="Y37" s="2060"/>
    </row>
    <row r="38" spans="1:25" ht="13.9">
      <c r="A38" s="1510"/>
      <c r="B38" s="1510"/>
      <c r="C38" s="255"/>
      <c r="D38" s="255"/>
      <c r="E38" s="1505"/>
      <c r="F38" s="255" t="s">
        <v>1157</v>
      </c>
      <c r="G38" s="1182" t="str">
        <f>IFERROR(AVERAGE(G13:G37),"n/a")</f>
        <v>n/a</v>
      </c>
      <c r="H38" s="1144"/>
      <c r="I38" s="528"/>
      <c r="J38" s="255"/>
      <c r="K38" s="1363" t="str">
        <f>IFERROR(AVERAGE(K13:K37),"n/a")</f>
        <v>n/a</v>
      </c>
      <c r="L38" s="255"/>
      <c r="M38" s="1363" t="str">
        <f>IFERROR(AVERAGE(M13:M37),"n/a")</f>
        <v>n/a</v>
      </c>
      <c r="N38" s="1182" t="str">
        <f>IFERROR(AVERAGE(N13:N37),"n/a")</f>
        <v>n/a</v>
      </c>
      <c r="O38" s="1513"/>
      <c r="P38" s="1506"/>
      <c r="Q38" s="2060"/>
      <c r="R38" s="1506"/>
      <c r="S38" s="1506"/>
      <c r="T38" s="1510"/>
      <c r="U38" s="1506"/>
      <c r="V38" s="1506" t="s">
        <v>1387</v>
      </c>
      <c r="W38" s="2060"/>
      <c r="X38" s="2060"/>
      <c r="Y38" s="2060"/>
    </row>
    <row r="39" spans="1:25" ht="13.9">
      <c r="A39" s="1510"/>
      <c r="B39" s="1510"/>
      <c r="C39" s="255"/>
      <c r="D39" s="255"/>
      <c r="E39" s="1578"/>
      <c r="F39" s="255" t="s">
        <v>1158</v>
      </c>
      <c r="G39" s="642" t="str">
        <f>IFERROR(MEDIAN(G13:G37),"n/a")</f>
        <v>n/a</v>
      </c>
      <c r="H39" s="642"/>
      <c r="I39" s="528"/>
      <c r="J39" s="255"/>
      <c r="K39" s="1364" t="str">
        <f>IFERROR(MEDIAN(K13:K37),"n/a")</f>
        <v>n/a</v>
      </c>
      <c r="L39" s="255"/>
      <c r="M39" s="1364" t="str">
        <f>IFERROR(MEDIAN(M13:M37),"n/a")</f>
        <v>n/a</v>
      </c>
      <c r="N39" s="642" t="str">
        <f>IFERROR(MEDIAN(N13:N37),"n/a")</f>
        <v>n/a</v>
      </c>
      <c r="O39" s="1513"/>
      <c r="P39" s="1506"/>
      <c r="Q39" s="2060"/>
      <c r="R39" s="1506"/>
      <c r="S39" s="1506"/>
      <c r="T39" s="1510"/>
      <c r="U39" s="1506"/>
      <c r="V39" s="1506"/>
      <c r="W39" s="2060"/>
      <c r="X39" s="2060"/>
      <c r="Y39" s="2060"/>
    </row>
    <row r="40" spans="1:25" ht="13.5" customHeight="1">
      <c r="A40" s="1510"/>
      <c r="B40" s="1510"/>
      <c r="C40" s="1506"/>
      <c r="D40" s="2060"/>
      <c r="E40" s="1505"/>
      <c r="F40" s="2060"/>
      <c r="G40" s="2060"/>
      <c r="H40" s="2060"/>
      <c r="I40" s="2060"/>
      <c r="J40" s="2060"/>
      <c r="K40" s="2060"/>
      <c r="L40" s="2060"/>
      <c r="M40" s="2060"/>
      <c r="N40" s="2060"/>
      <c r="O40" s="1506"/>
      <c r="P40" s="1506"/>
      <c r="Q40" s="1506"/>
      <c r="R40" s="2060"/>
      <c r="S40" s="1506"/>
      <c r="T40" s="1510"/>
      <c r="U40" s="1506"/>
      <c r="V40" s="1506"/>
      <c r="W40" s="2060"/>
      <c r="X40" s="2060"/>
      <c r="Y40" s="2060"/>
    </row>
    <row r="41" spans="1:25" ht="13.5" customHeight="1">
      <c r="A41" s="1510"/>
      <c r="B41" s="1510"/>
      <c r="C41" s="1849" t="s">
        <v>1213</v>
      </c>
      <c r="D41" s="1178"/>
      <c r="E41" s="1179"/>
      <c r="F41" s="1178"/>
      <c r="G41" s="1178"/>
      <c r="H41" s="580"/>
      <c r="I41" s="255"/>
      <c r="J41" s="1849" t="s">
        <v>1214</v>
      </c>
      <c r="K41" s="1178"/>
      <c r="L41" s="1178"/>
      <c r="M41" s="1178"/>
      <c r="N41" s="1178"/>
      <c r="O41" s="1513"/>
      <c r="P41" s="1506"/>
      <c r="Q41" s="1506"/>
      <c r="R41" s="2060"/>
      <c r="S41" s="1506"/>
      <c r="T41" s="1510"/>
      <c r="U41" s="1386" t="str">
        <f>IF('WACC and TIC Inputs'!O196="Not available","Please refresh Capital IQ. Error may be caused by Excel 2010. Please use Excel 2013 with the Capital IQ Plug-In 8.5","")</f>
        <v/>
      </c>
      <c r="V41" s="1506"/>
      <c r="W41" s="1506"/>
      <c r="X41" s="1506"/>
      <c r="Y41" s="2060"/>
    </row>
    <row r="42" spans="1:25" ht="13.9">
      <c r="A42" s="1510"/>
      <c r="B42" s="1510"/>
      <c r="C42" s="263" t="s">
        <v>1226</v>
      </c>
      <c r="D42" s="263"/>
      <c r="E42" s="670"/>
      <c r="F42" s="263"/>
      <c r="G42" s="1726">
        <f>'WACC and TIC Inputs'!H200</f>
        <v>2.7000000000000003E-2</v>
      </c>
      <c r="H42" s="1708" t="s">
        <v>1388</v>
      </c>
      <c r="I42" s="255"/>
      <c r="J42" s="255" t="s">
        <v>1217</v>
      </c>
      <c r="K42" s="255"/>
      <c r="L42" s="1365" t="str">
        <f>IF(O42="","Link to Cell U"&amp;ROW('WACC and TIC Inputs'!O196)&amp;" or enter your own rate","")</f>
        <v/>
      </c>
      <c r="M42" s="255"/>
      <c r="N42" s="255"/>
      <c r="O42" s="1727">
        <f>'WACC and TIC Inputs'!M196</f>
        <v>4.9009999999999998E-2</v>
      </c>
      <c r="P42" s="559" t="s">
        <v>1389</v>
      </c>
      <c r="Q42" s="1506"/>
      <c r="R42" s="2060"/>
      <c r="S42" s="1506"/>
      <c r="T42" s="1510"/>
      <c r="U42" s="1506"/>
      <c r="V42" s="30" t="s">
        <v>1390</v>
      </c>
      <c r="W42" s="2060"/>
      <c r="X42" s="1506"/>
      <c r="Y42" s="2060"/>
    </row>
    <row r="43" spans="1:25" s="1506" customFormat="1" ht="13.9">
      <c r="A43" s="1510" t="str">
        <f>IF(N(G43)+N(O43)=0,"n","")</f>
        <v>n</v>
      </c>
      <c r="B43" s="1510"/>
      <c r="C43" s="263" t="str">
        <f>IF(G43="","",'WACC and TIC Inputs'!E201)</f>
        <v/>
      </c>
      <c r="D43" s="263"/>
      <c r="E43" s="670"/>
      <c r="F43" s="263"/>
      <c r="G43" s="1726" t="str">
        <f>IF('WACC and TIC Inputs'!H201=0,"",'WACC and TIC Inputs'!H201)</f>
        <v/>
      </c>
      <c r="H43" s="1708"/>
      <c r="I43" s="255"/>
      <c r="J43" s="255" t="str">
        <f>IF(O43="","",'WACC and TIC Inputs'!J197)</f>
        <v/>
      </c>
      <c r="K43" s="255"/>
      <c r="L43" s="1365"/>
      <c r="M43" s="255"/>
      <c r="N43" s="255"/>
      <c r="O43" s="2082" t="str">
        <f>IF('WACC and TIC Inputs'!M197=0,"",'WACC and TIC Inputs'!M197)</f>
        <v/>
      </c>
      <c r="P43" s="559"/>
      <c r="R43" s="2060"/>
      <c r="T43" s="1510"/>
      <c r="V43" s="30"/>
      <c r="W43" s="2060"/>
      <c r="Y43" s="2060"/>
    </row>
    <row r="44" spans="1:25" s="1506" customFormat="1" ht="13.9">
      <c r="A44" s="1510" t="str">
        <f>IF(N(G44)=0,"n","")</f>
        <v>n</v>
      </c>
      <c r="B44" s="1510"/>
      <c r="C44" s="263" t="str">
        <f>IF(G44="","",'WACC and TIC Inputs'!E202)</f>
        <v/>
      </c>
      <c r="D44" s="263"/>
      <c r="E44" s="670"/>
      <c r="F44" s="263"/>
      <c r="G44" s="1726" t="str">
        <f>IF('WACC and TIC Inputs'!H202=0,"",'WACC and TIC Inputs'!H202)</f>
        <v/>
      </c>
      <c r="H44" s="1708"/>
      <c r="I44" s="255"/>
      <c r="J44" s="255"/>
      <c r="K44" s="255"/>
      <c r="L44" s="1365"/>
      <c r="M44" s="255"/>
      <c r="N44" s="255"/>
      <c r="O44" s="2080"/>
      <c r="P44" s="559"/>
      <c r="R44" s="2060"/>
      <c r="T44" s="1510"/>
      <c r="V44" s="30"/>
      <c r="W44" s="2060"/>
      <c r="Y44" s="2060"/>
    </row>
    <row r="45" spans="1:25" ht="13.9">
      <c r="A45" s="1510"/>
      <c r="B45" s="1510"/>
      <c r="C45" s="263" t="s">
        <v>1230</v>
      </c>
      <c r="D45" s="263"/>
      <c r="E45" s="1568"/>
      <c r="F45" s="263"/>
      <c r="G45" s="1726">
        <f>'WACC and TIC Inputs'!H203</f>
        <v>7.0000000000000007E-2</v>
      </c>
      <c r="H45" s="1708" t="s">
        <v>1391</v>
      </c>
      <c r="I45" s="255"/>
      <c r="J45" s="255" t="s">
        <v>1219</v>
      </c>
      <c r="K45" s="255"/>
      <c r="L45" s="255"/>
      <c r="M45" s="255"/>
      <c r="N45" s="255"/>
      <c r="O45" s="1726">
        <f>'WACC and TIC Inputs'!H198</f>
        <v>0.34</v>
      </c>
      <c r="P45" s="1506"/>
      <c r="Q45" s="1506"/>
      <c r="R45" s="2060"/>
      <c r="S45" s="1506"/>
      <c r="T45" s="1510"/>
      <c r="U45" s="1506"/>
      <c r="V45" s="2060"/>
      <c r="W45" s="2060" t="str">
        <f>INDEX($D$83:$D$87,Beta12345)</f>
        <v>2-year weekly</v>
      </c>
      <c r="X45" s="1506"/>
      <c r="Y45" s="2060"/>
    </row>
    <row r="46" spans="1:25" ht="13.9">
      <c r="A46" s="1510" t="str">
        <f>IF(G46="--","n","")</f>
        <v/>
      </c>
      <c r="B46" s="1510"/>
      <c r="C46" s="263" t="s">
        <v>1216</v>
      </c>
      <c r="D46" s="263"/>
      <c r="E46" s="1568"/>
      <c r="F46" s="263"/>
      <c r="G46" s="1709" t="str">
        <f>'WACC and TIC Inputs'!H196</f>
        <v>n/a</v>
      </c>
      <c r="H46" s="60" t="s">
        <v>1392</v>
      </c>
      <c r="I46" s="255"/>
      <c r="J46" s="1344" t="s">
        <v>1223</v>
      </c>
      <c r="K46" s="1344"/>
      <c r="L46" s="1344"/>
      <c r="M46" s="1344"/>
      <c r="N46" s="1344"/>
      <c r="O46" s="1725">
        <f>IFERROR(SUM(O42:O43)*(1-O45),Fail)</f>
        <v>3.2346599999999996E-2</v>
      </c>
      <c r="P46" s="1506"/>
      <c r="Q46" s="1506"/>
      <c r="R46" s="2060"/>
      <c r="S46" s="1506"/>
      <c r="T46" s="1510"/>
      <c r="U46" s="1506"/>
      <c r="V46" s="2060"/>
      <c r="W46" s="2060"/>
      <c r="X46" s="1506"/>
      <c r="Y46" s="2060"/>
    </row>
    <row r="47" spans="1:25" ht="13.9">
      <c r="A47" s="1510"/>
      <c r="B47" s="1510"/>
      <c r="C47" s="263" t="str">
        <f>DebtSetting&amp;" / Market equity "</f>
        <v xml:space="preserve">Total debt / Market equity </v>
      </c>
      <c r="D47" s="263"/>
      <c r="E47" s="1568"/>
      <c r="F47" s="263"/>
      <c r="G47" s="1726" t="str">
        <f>'WACC and TIC Inputs'!H197</f>
        <v>n/a</v>
      </c>
      <c r="H47" s="60" t="s">
        <v>1393</v>
      </c>
      <c r="I47" s="255"/>
      <c r="J47" s="1513"/>
      <c r="K47" s="1513"/>
      <c r="L47" s="1513"/>
      <c r="M47" s="1513"/>
      <c r="N47" s="1513"/>
      <c r="O47" s="1513"/>
      <c r="P47" s="1506"/>
      <c r="Q47" s="1506"/>
      <c r="R47" s="2060"/>
      <c r="S47" s="1506"/>
      <c r="T47" s="1510"/>
      <c r="U47" s="1506"/>
      <c r="V47" s="1506"/>
      <c r="W47" s="1506"/>
      <c r="X47" s="1506"/>
      <c r="Y47" s="2060"/>
    </row>
    <row r="48" spans="1:25" ht="13.9">
      <c r="A48" s="1510"/>
      <c r="B48" s="1510"/>
      <c r="C48" s="263" t="s">
        <v>1222</v>
      </c>
      <c r="D48" s="263"/>
      <c r="E48" s="1568"/>
      <c r="F48" s="263"/>
      <c r="G48" s="1710" t="str">
        <f>'WACC and TIC Inputs'!H199</f>
        <v>n/a</v>
      </c>
      <c r="H48" s="1711"/>
      <c r="I48" s="255"/>
      <c r="J48" s="1849" t="s">
        <v>1232</v>
      </c>
      <c r="K48" s="1178"/>
      <c r="L48" s="1178"/>
      <c r="M48" s="1178"/>
      <c r="N48" s="1178"/>
      <c r="O48" s="1178"/>
      <c r="P48" s="1506"/>
      <c r="Q48" s="1506"/>
      <c r="R48" s="2060"/>
      <c r="S48" s="1506"/>
      <c r="T48" s="1510"/>
      <c r="U48" s="1506"/>
      <c r="V48" s="1506"/>
      <c r="W48" s="1506"/>
      <c r="X48" s="1506"/>
      <c r="Y48" s="2060"/>
    </row>
    <row r="49" spans="1:25" ht="13.9">
      <c r="A49" s="1510"/>
      <c r="B49" s="1510"/>
      <c r="C49" s="263" t="s">
        <v>1394</v>
      </c>
      <c r="D49" s="263"/>
      <c r="E49" s="1568"/>
      <c r="F49" s="263"/>
      <c r="G49" s="1726">
        <f>'WACC and TIC Inputs'!H206</f>
        <v>0</v>
      </c>
      <c r="H49" s="1708" t="s">
        <v>1395</v>
      </c>
      <c r="I49" s="255"/>
      <c r="J49" s="255" t="s">
        <v>1234</v>
      </c>
      <c r="K49" s="15"/>
      <c r="L49" s="1364">
        <f>IFERROR(G47/(1+G47),0)</f>
        <v>0</v>
      </c>
      <c r="M49" s="1364">
        <f>IF(O46=Fail,0,'WACC and TIC Inputs'!L205)</f>
        <v>3.2346599999999996E-2</v>
      </c>
      <c r="N49" s="1506"/>
      <c r="O49" s="1726">
        <f>L49*M49</f>
        <v>0</v>
      </c>
      <c r="P49" s="1506"/>
      <c r="Q49" s="1506"/>
      <c r="R49" s="2060"/>
      <c r="S49" s="1506"/>
      <c r="T49" s="1510"/>
      <c r="U49" s="1506"/>
      <c r="V49" s="1506"/>
      <c r="W49" s="1506"/>
      <c r="X49" s="1506"/>
      <c r="Y49" s="2060"/>
    </row>
    <row r="50" spans="1:25" ht="13.9">
      <c r="A50" s="1510"/>
      <c r="B50" s="1510"/>
      <c r="C50" s="263" t="s">
        <v>1396</v>
      </c>
      <c r="D50" s="263"/>
      <c r="E50" s="1568"/>
      <c r="F50" s="263"/>
      <c r="G50" s="1726">
        <f>'WACC and TIC Inputs'!H205</f>
        <v>0</v>
      </c>
      <c r="H50" s="1708" t="s">
        <v>1397</v>
      </c>
      <c r="I50" s="255"/>
      <c r="J50" s="255" t="s">
        <v>1236</v>
      </c>
      <c r="K50" s="15"/>
      <c r="L50" s="1364">
        <f>1-L49</f>
        <v>1</v>
      </c>
      <c r="M50" s="1364" t="str">
        <f>G51</f>
        <v>n/a</v>
      </c>
      <c r="N50" s="1506"/>
      <c r="O50" s="1726" t="str">
        <f>IFERROR(L50*M50,"n/a")</f>
        <v>n/a</v>
      </c>
      <c r="P50" s="1506"/>
      <c r="Q50" s="1506"/>
      <c r="R50" s="2060"/>
      <c r="S50" s="1506"/>
      <c r="T50" s="1510"/>
      <c r="U50" s="1506"/>
      <c r="V50" s="1506"/>
      <c r="W50" s="1506"/>
      <c r="X50" s="1506"/>
      <c r="Y50" s="2060"/>
    </row>
    <row r="51" spans="1:25" ht="13.9">
      <c r="A51" s="1510"/>
      <c r="B51" s="1510"/>
      <c r="C51" s="1344" t="s">
        <v>1237</v>
      </c>
      <c r="D51" s="1344"/>
      <c r="E51" s="1076"/>
      <c r="F51" s="1344"/>
      <c r="G51" s="1725" t="str">
        <f>IFERROR(SUM(G42:G44)+(G48*G45)+G50+G49,"n/a")</f>
        <v>n/a</v>
      </c>
      <c r="H51" s="1387"/>
      <c r="I51" s="255"/>
      <c r="J51" s="1075" t="s">
        <v>1238</v>
      </c>
      <c r="K51" s="1075"/>
      <c r="L51" s="1075"/>
      <c r="M51" s="1075"/>
      <c r="N51" s="1075"/>
      <c r="O51" s="1728">
        <f>SUM(O49:O50)</f>
        <v>0</v>
      </c>
      <c r="P51" s="1506"/>
      <c r="Q51" s="1506"/>
      <c r="R51" s="2060"/>
      <c r="S51" s="1506"/>
      <c r="T51" s="1510"/>
      <c r="U51" s="1506"/>
      <c r="V51" s="1506"/>
      <c r="W51" s="1506"/>
      <c r="X51" s="2060"/>
      <c r="Y51" s="2060"/>
    </row>
    <row r="52" spans="1:25" ht="13.9">
      <c r="A52" s="1510"/>
      <c r="B52" s="1510"/>
      <c r="C52" s="1506"/>
      <c r="D52" s="1506"/>
      <c r="E52" s="1506"/>
      <c r="F52" s="1506"/>
      <c r="G52" s="1506"/>
      <c r="H52" s="255"/>
      <c r="I52" s="255"/>
      <c r="J52" s="1506"/>
      <c r="K52" s="1506"/>
      <c r="L52" s="1506"/>
      <c r="M52" s="1506"/>
      <c r="N52" s="1506"/>
      <c r="O52" s="1506"/>
      <c r="P52" s="1506"/>
      <c r="Q52" s="1506"/>
      <c r="R52" s="2060"/>
      <c r="S52" s="1506"/>
      <c r="T52" s="1510"/>
      <c r="U52" s="1506"/>
      <c r="V52" s="1506"/>
      <c r="W52" s="1506"/>
      <c r="X52" s="2060"/>
      <c r="Y52" s="2060"/>
    </row>
    <row r="53" spans="1:25" ht="13.9">
      <c r="A53" s="1510"/>
      <c r="B53" s="1510"/>
      <c r="C53" s="2060"/>
      <c r="D53" s="2060"/>
      <c r="E53" s="2060"/>
      <c r="F53" s="2060"/>
      <c r="G53" s="2060"/>
      <c r="H53" s="2060"/>
      <c r="I53" s="1506"/>
      <c r="J53" s="1506"/>
      <c r="K53" s="1506"/>
      <c r="L53" s="1506"/>
      <c r="M53" s="1506"/>
      <c r="N53" s="1506"/>
      <c r="O53" s="1506"/>
      <c r="P53" s="1506"/>
      <c r="Q53" s="1506"/>
      <c r="R53" s="1506"/>
      <c r="S53" s="1506"/>
      <c r="T53" s="1510"/>
      <c r="U53" s="1506"/>
      <c r="V53" s="1506"/>
      <c r="W53" s="1506"/>
      <c r="X53" s="2060"/>
      <c r="Y53" s="2060"/>
    </row>
    <row r="54" spans="1:25" ht="13.5" customHeight="1">
      <c r="A54" s="1510"/>
      <c r="B54" s="1510"/>
      <c r="C54" s="181" t="s">
        <v>890</v>
      </c>
      <c r="D54" s="181"/>
      <c r="E54" s="1567"/>
      <c r="F54" s="1513"/>
      <c r="G54" s="1513"/>
      <c r="H54" s="1513"/>
      <c r="I54" s="1513"/>
      <c r="J54" s="1513"/>
      <c r="K54" s="1513"/>
      <c r="L54" s="1513"/>
      <c r="M54" s="1513"/>
      <c r="N54" s="1513"/>
      <c r="O54" s="1513"/>
      <c r="P54" s="1506"/>
      <c r="Q54" s="1506"/>
      <c r="R54" s="2060"/>
      <c r="S54" s="1506"/>
      <c r="T54" s="1510"/>
      <c r="U54" s="1506"/>
      <c r="V54" s="1506"/>
      <c r="W54" s="1506"/>
      <c r="X54" s="2060"/>
      <c r="Y54" s="2060"/>
    </row>
    <row r="55" spans="1:25" ht="13.5" customHeight="1">
      <c r="A55" s="1510"/>
      <c r="B55" s="1510"/>
      <c r="C55" s="314" t="str">
        <f>IFERROR("(a) "&amp;TRIM('WACC and TIC Inputs'!$J$11)&amp;".  Source: "&amp;TRIM('WACC and TIC Inputs'!$N$11),"Please re-run Capital IQ on the WACC and "&amp;EVorTIC&amp;" Inputs worksheet.")</f>
        <v>(a) United States Treasury Constant Maturity - 20 Year.  Source: Capital IQ</v>
      </c>
      <c r="D55" s="314"/>
      <c r="E55" s="666"/>
      <c r="F55" s="1712"/>
      <c r="G55" s="1712"/>
      <c r="H55" s="1712"/>
      <c r="I55" s="1712"/>
      <c r="J55" s="320"/>
      <c r="K55" s="1712"/>
      <c r="L55" s="1712"/>
      <c r="M55" s="1513"/>
      <c r="N55" s="1512"/>
      <c r="O55" s="1513"/>
      <c r="P55" s="1506"/>
      <c r="Q55" s="1506"/>
      <c r="R55" s="2060"/>
      <c r="S55" s="1506"/>
      <c r="T55" s="1510"/>
      <c r="U55" s="1506"/>
      <c r="V55" s="1506"/>
      <c r="W55" s="1506"/>
      <c r="X55" s="2060"/>
      <c r="Y55" s="2060"/>
    </row>
    <row r="56" spans="1:25" ht="13.5" customHeight="1">
      <c r="A56" s="1510"/>
      <c r="B56" s="1510"/>
      <c r="C56" s="314" t="s">
        <v>1398</v>
      </c>
      <c r="D56" s="314"/>
      <c r="E56" s="666"/>
      <c r="F56" s="1712"/>
      <c r="G56" s="1712"/>
      <c r="H56" s="1712"/>
      <c r="I56" s="1712"/>
      <c r="J56" s="1712"/>
      <c r="K56" s="1712"/>
      <c r="L56" s="1712"/>
      <c r="M56" s="1513"/>
      <c r="N56" s="1512"/>
      <c r="O56" s="1513"/>
      <c r="P56" s="1506"/>
      <c r="Q56" s="1506"/>
      <c r="R56" s="2060"/>
      <c r="S56" s="1506"/>
      <c r="T56" s="1510"/>
      <c r="U56" s="1506"/>
      <c r="V56" s="1506"/>
      <c r="W56" s="1506"/>
      <c r="X56" s="2060"/>
      <c r="Y56" s="2060"/>
    </row>
    <row r="57" spans="1:25" ht="13.5" customHeight="1">
      <c r="A57" s="1510"/>
      <c r="B57" s="1510"/>
      <c r="C57" s="314" t="str">
        <f>"(c) Based on "&amp;IF(BayesianAdjustSet="Y","adjusted ","")&amp;$W$45&amp;" betas. Source: Capital IQ"</f>
        <v>(c) Based on adjusted 2-year weekly betas. Source: Capital IQ</v>
      </c>
      <c r="D57" s="314"/>
      <c r="E57" s="666"/>
      <c r="F57" s="314"/>
      <c r="G57" s="314"/>
      <c r="H57" s="314"/>
      <c r="I57" s="314"/>
      <c r="J57" s="320"/>
      <c r="K57" s="314"/>
      <c r="L57" s="314"/>
      <c r="M57" s="1513"/>
      <c r="N57" s="1512"/>
      <c r="O57" s="1513"/>
      <c r="P57" s="1506"/>
      <c r="Q57" s="1506"/>
      <c r="R57" s="2060"/>
      <c r="S57" s="1506"/>
      <c r="T57" s="1510"/>
      <c r="U57" s="1506"/>
      <c r="V57" s="1506"/>
      <c r="W57" s="1506"/>
      <c r="X57" s="2060"/>
      <c r="Y57" s="2060"/>
    </row>
    <row r="58" spans="1:25" ht="13.5" customHeight="1">
      <c r="A58" s="1510"/>
      <c r="B58" s="1510"/>
      <c r="C58" s="314" t="str">
        <f>"(d) "&amp;DebtSetting&amp;" = Short-term debt + long-term debt + capital lease obligations"&amp;IF(PensionSetting="included in debt"," + pension obligations","")&amp;IF(DebtSetting="Total debt",""," - cash &amp; ST investments")</f>
        <v>(d) Total debt = Short-term debt + long-term debt + capital lease obligations</v>
      </c>
      <c r="D58" s="314"/>
      <c r="E58" s="666"/>
      <c r="F58" s="314"/>
      <c r="G58" s="314"/>
      <c r="H58" s="314"/>
      <c r="I58" s="314"/>
      <c r="J58" s="320"/>
      <c r="K58" s="314"/>
      <c r="L58" s="314"/>
      <c r="M58" s="1513"/>
      <c r="N58" s="1513"/>
      <c r="O58" s="1513"/>
      <c r="P58" s="1506"/>
      <c r="Q58" s="1506"/>
      <c r="R58" s="1506"/>
      <c r="S58" s="1506"/>
      <c r="T58" s="1510"/>
      <c r="U58" s="1506"/>
      <c r="V58" s="1506"/>
      <c r="W58" s="1506"/>
      <c r="X58" s="2060"/>
      <c r="Y58" s="2060"/>
    </row>
    <row r="59" spans="1:25" ht="13.5" customHeight="1">
      <c r="A59" s="1510"/>
      <c r="B59" s="1510"/>
      <c r="C59" s="1713" t="s">
        <v>1399</v>
      </c>
      <c r="D59" s="314"/>
      <c r="E59" s="666"/>
      <c r="F59" s="1712"/>
      <c r="G59" s="1712"/>
      <c r="H59" s="1712"/>
      <c r="I59" s="1712"/>
      <c r="J59" s="1712"/>
      <c r="K59" s="314"/>
      <c r="L59" s="314"/>
      <c r="M59" s="1513"/>
      <c r="N59" s="1513"/>
      <c r="O59" s="1506"/>
      <c r="P59" s="1506"/>
      <c r="Q59" s="1506"/>
      <c r="R59" s="1506"/>
      <c r="S59" s="1506"/>
      <c r="T59" s="1510"/>
      <c r="U59" s="1506"/>
      <c r="V59" s="1506"/>
      <c r="W59" s="1506"/>
      <c r="X59" s="2060"/>
      <c r="Y59" s="2060"/>
    </row>
    <row r="60" spans="1:25" s="322" customFormat="1" ht="13.5" customHeight="1">
      <c r="A60" s="1510"/>
      <c r="B60" s="1510"/>
      <c r="C60" s="314" t="str">
        <f>"(e) Source: "&amp;'WACC and TIC Inputs'!$E$249</f>
        <v>(e) Source: 2017 DP Valuation Handbook - Guide to Cost of Capital Size Premia table</v>
      </c>
      <c r="D60" s="314"/>
      <c r="E60" s="666"/>
      <c r="F60" s="1712"/>
      <c r="G60" s="1712"/>
      <c r="H60" s="1712"/>
      <c r="I60" s="1712"/>
      <c r="J60" s="1712"/>
      <c r="K60" s="1712"/>
      <c r="L60" s="1712"/>
      <c r="M60" s="1513"/>
      <c r="N60" s="1513"/>
      <c r="O60" s="1506"/>
      <c r="P60" s="1506"/>
      <c r="Q60" s="1506"/>
      <c r="R60" s="1506"/>
      <c r="S60" s="1506"/>
      <c r="T60" s="1510"/>
      <c r="U60" s="1506"/>
      <c r="V60" s="1506"/>
      <c r="W60" s="1506"/>
      <c r="X60" s="2060"/>
      <c r="Y60" s="2060"/>
    </row>
    <row r="61" spans="1:25" s="322" customFormat="1" ht="13.5" customHeight="1">
      <c r="A61" s="1510"/>
      <c r="B61" s="1510"/>
      <c r="C61" s="314" t="s">
        <v>1400</v>
      </c>
      <c r="D61" s="314"/>
      <c r="E61" s="666"/>
      <c r="F61" s="1712"/>
      <c r="G61" s="1712"/>
      <c r="H61" s="314"/>
      <c r="I61" s="314"/>
      <c r="J61" s="320"/>
      <c r="K61" s="1712"/>
      <c r="L61" s="1712"/>
      <c r="M61" s="1513"/>
      <c r="N61" s="1513"/>
      <c r="O61" s="1506"/>
      <c r="P61" s="1506"/>
      <c r="Q61" s="1506"/>
      <c r="R61" s="1506"/>
      <c r="S61" s="1506"/>
      <c r="T61" s="1510"/>
      <c r="U61" s="1506"/>
      <c r="V61" s="2060"/>
      <c r="W61" s="2060"/>
      <c r="X61" s="2060"/>
      <c r="Y61" s="2060"/>
    </row>
    <row r="62" spans="1:25" s="322" customFormat="1" ht="13.5" customHeight="1">
      <c r="A62" s="1510"/>
      <c r="B62" s="1510"/>
      <c r="C62" s="1714" t="str">
        <f>'WACC and TIC Inputs'!O201</f>
        <v>(g) Based on the estimated US composite 20-year BBB All Corporates bond yield as of 28 February 2017. Source: Capital IQ.</v>
      </c>
      <c r="D62" s="320"/>
      <c r="E62" s="666"/>
      <c r="F62" s="314"/>
      <c r="G62" s="314"/>
      <c r="H62" s="1712"/>
      <c r="I62" s="1712"/>
      <c r="J62" s="1712"/>
      <c r="K62" s="1712"/>
      <c r="L62" s="1712"/>
      <c r="M62" s="1513"/>
      <c r="N62" s="1513"/>
      <c r="O62" s="1506"/>
      <c r="P62" s="1506"/>
      <c r="Q62" s="1506"/>
      <c r="R62" s="1506"/>
      <c r="S62" s="1506"/>
      <c r="T62" s="1510"/>
      <c r="U62" s="2060"/>
      <c r="V62" s="2060"/>
      <c r="W62" s="2060"/>
      <c r="X62" s="2060"/>
      <c r="Y62" s="2060"/>
    </row>
    <row r="63" spans="1:25" s="322" customFormat="1" ht="13.5" customHeight="1">
      <c r="A63" s="1510"/>
      <c r="B63" s="1510"/>
      <c r="C63" s="1506"/>
      <c r="D63" s="1513"/>
      <c r="E63" s="1567"/>
      <c r="F63" s="1512"/>
      <c r="G63" s="1512"/>
      <c r="H63" s="1512"/>
      <c r="I63" s="1512"/>
      <c r="J63" s="1512"/>
      <c r="K63" s="1512"/>
      <c r="L63" s="1512"/>
      <c r="M63" s="1513"/>
      <c r="N63" s="1513"/>
      <c r="O63" s="1506"/>
      <c r="P63" s="1506"/>
      <c r="Q63" s="1506"/>
      <c r="R63" s="1506"/>
      <c r="S63" s="1506"/>
      <c r="T63" s="1510"/>
      <c r="U63" s="2060"/>
      <c r="V63" s="2060"/>
      <c r="W63" s="2060"/>
      <c r="X63" s="2060"/>
      <c r="Y63" s="2060"/>
    </row>
    <row r="64" spans="1:25" s="322" customFormat="1" ht="13.5" customHeight="1">
      <c r="A64" s="1510"/>
      <c r="B64" s="1510"/>
      <c r="C64" s="1506"/>
      <c r="D64" s="1513"/>
      <c r="E64" s="1567"/>
      <c r="F64" s="1512"/>
      <c r="G64" s="1512"/>
      <c r="H64" s="1512"/>
      <c r="I64" s="1512"/>
      <c r="J64" s="1512"/>
      <c r="K64" s="1512"/>
      <c r="L64" s="1512"/>
      <c r="M64" s="1513"/>
      <c r="N64" s="1513"/>
      <c r="O64" s="1506"/>
      <c r="P64" s="1506"/>
      <c r="Q64" s="1506"/>
      <c r="R64" s="1506"/>
      <c r="S64" s="1506"/>
      <c r="T64" s="1510"/>
      <c r="U64" s="2060"/>
      <c r="V64" s="2060"/>
      <c r="W64" s="2060"/>
      <c r="X64" s="2060"/>
      <c r="Y64" s="2060"/>
    </row>
    <row r="65" spans="1:25" s="322" customFormat="1" ht="13.5" customHeight="1">
      <c r="A65" s="1510"/>
      <c r="B65" s="1510"/>
      <c r="C65" s="1506"/>
      <c r="D65" s="1513"/>
      <c r="E65" s="1567"/>
      <c r="F65" s="1512"/>
      <c r="G65" s="1512"/>
      <c r="H65" s="1512"/>
      <c r="I65" s="1512"/>
      <c r="J65" s="1512"/>
      <c r="K65" s="1512"/>
      <c r="L65" s="1512"/>
      <c r="M65" s="1513"/>
      <c r="N65" s="1513"/>
      <c r="O65" s="1506"/>
      <c r="P65" s="1506"/>
      <c r="Q65" s="1506"/>
      <c r="R65" s="1506"/>
      <c r="S65" s="1506"/>
      <c r="T65" s="1510"/>
      <c r="U65" s="2060"/>
      <c r="V65" s="2060"/>
      <c r="W65" s="2060"/>
      <c r="X65" s="2060"/>
      <c r="Y65" s="2060"/>
    </row>
    <row r="66" spans="1:25" s="1506" customFormat="1" ht="13.5" customHeight="1">
      <c r="A66" s="1510"/>
      <c r="B66" s="1510"/>
      <c r="C66" s="1545" t="s">
        <v>1401</v>
      </c>
      <c r="D66" s="1513"/>
      <c r="E66" s="1567"/>
      <c r="F66" s="1512"/>
      <c r="G66" s="1512"/>
      <c r="H66" s="1512"/>
      <c r="I66" s="1512"/>
      <c r="J66" s="1512"/>
      <c r="K66" s="1512"/>
      <c r="L66" s="1512"/>
      <c r="M66" s="1513"/>
      <c r="N66" s="1513"/>
      <c r="T66" s="1510"/>
      <c r="U66" s="2060"/>
      <c r="V66" s="2060"/>
      <c r="W66" s="2060"/>
      <c r="X66" s="2060"/>
      <c r="Y66" s="2060"/>
    </row>
    <row r="67" spans="1:25" s="178" customFormat="1" ht="13.5" customHeight="1">
      <c r="A67" s="1510"/>
      <c r="B67" s="1510"/>
      <c r="C67" s="1545" t="s">
        <v>1402</v>
      </c>
      <c r="D67" s="1506"/>
      <c r="E67" s="672"/>
      <c r="F67" s="1506"/>
      <c r="G67" s="1506"/>
      <c r="H67" s="1506"/>
      <c r="I67" s="1506"/>
      <c r="J67" s="1506"/>
      <c r="K67" s="1506"/>
      <c r="L67" s="1506"/>
      <c r="M67" s="1506"/>
      <c r="N67" s="1506"/>
      <c r="O67" s="1506"/>
      <c r="P67" s="1506"/>
      <c r="Q67" s="1506"/>
      <c r="R67" s="1506"/>
      <c r="S67" s="1506"/>
      <c r="T67" s="1510"/>
      <c r="U67" s="2060"/>
      <c r="V67" s="2060"/>
      <c r="W67" s="2060"/>
      <c r="X67" s="2060"/>
      <c r="Y67" s="2060"/>
    </row>
    <row r="68" spans="1:25" s="1506" customFormat="1" ht="13.5" customHeight="1">
      <c r="A68" s="1510"/>
      <c r="B68" s="1510"/>
      <c r="C68" s="1545"/>
      <c r="E68" s="672"/>
      <c r="T68" s="1510"/>
      <c r="U68" s="2060"/>
      <c r="V68" s="2060"/>
      <c r="W68" s="2060"/>
      <c r="X68" s="2060"/>
      <c r="Y68" s="2060"/>
    </row>
    <row r="69" spans="1:25" s="178" customFormat="1" ht="13.5" customHeight="1">
      <c r="A69" s="1510"/>
      <c r="B69" s="1510"/>
      <c r="C69" s="1513" t="str">
        <f ca="1">FootnoteDRAFT</f>
        <v>Run date: 05-August-2018  02:34 PM.   DRAFT document. All data subject to change upon completion of additional analysis.</v>
      </c>
      <c r="D69" s="1506"/>
      <c r="E69" s="672"/>
      <c r="F69" s="1506"/>
      <c r="G69" s="1506"/>
      <c r="H69" s="1506"/>
      <c r="I69" s="1506"/>
      <c r="J69" s="1506"/>
      <c r="K69" s="1506"/>
      <c r="L69" s="1506"/>
      <c r="M69" s="1506"/>
      <c r="N69" s="1506"/>
      <c r="O69" s="1506"/>
      <c r="P69" s="1506"/>
      <c r="Q69" s="1506"/>
      <c r="R69" s="1506"/>
      <c r="S69" s="1506"/>
      <c r="T69" s="1510"/>
      <c r="U69" s="2060"/>
      <c r="V69" s="2060"/>
      <c r="W69" s="2060"/>
      <c r="X69" s="2060"/>
      <c r="Y69" s="2060"/>
    </row>
    <row r="70" spans="1:25" ht="13.9">
      <c r="A70" s="1510" t="s">
        <v>17</v>
      </c>
      <c r="B70" s="1510"/>
      <c r="C70" s="1510"/>
      <c r="D70" s="1510"/>
      <c r="E70" s="701"/>
      <c r="F70" s="1510"/>
      <c r="G70" s="1510"/>
      <c r="H70" s="1510"/>
      <c r="I70" s="1510"/>
      <c r="J70" s="1510"/>
      <c r="K70" s="1510"/>
      <c r="L70" s="1510"/>
      <c r="M70" s="1510"/>
      <c r="N70" s="1510"/>
      <c r="O70" s="1510"/>
      <c r="P70" s="1510"/>
      <c r="Q70" s="1510"/>
      <c r="R70" s="1510"/>
      <c r="S70" s="1546" t="s">
        <v>18</v>
      </c>
      <c r="T70" s="1510"/>
      <c r="U70" s="2060"/>
      <c r="V70" s="2060"/>
      <c r="W70" s="2060"/>
      <c r="X70" s="2060"/>
      <c r="Y70" s="2060"/>
    </row>
    <row r="71" spans="1:25" ht="13.9">
      <c r="A71" s="1510"/>
      <c r="B71" s="1510"/>
      <c r="C71" s="1510"/>
      <c r="D71" s="1510"/>
      <c r="E71" s="701"/>
      <c r="F71" s="1510"/>
      <c r="G71" s="1510"/>
      <c r="H71" s="1510"/>
      <c r="I71" s="1510"/>
      <c r="J71" s="1510"/>
      <c r="K71" s="1510"/>
      <c r="L71" s="1510"/>
      <c r="M71" s="1510"/>
      <c r="N71" s="1510"/>
      <c r="O71" s="1510"/>
      <c r="P71" s="1510"/>
      <c r="Q71" s="1510"/>
      <c r="R71" s="1510"/>
      <c r="S71" s="1510"/>
      <c r="T71" s="1510"/>
      <c r="U71" s="2060"/>
      <c r="V71" s="2060"/>
      <c r="W71" s="2060"/>
      <c r="X71" s="2060"/>
      <c r="Y71" s="2060"/>
    </row>
    <row r="82" spans="3:4" ht="12.95" customHeight="1">
      <c r="C82" s="1506" t="s">
        <v>1040</v>
      </c>
      <c r="D82" s="1506"/>
    </row>
    <row r="83" spans="3:4" ht="12.95" customHeight="1">
      <c r="C83" s="43">
        <v>1</v>
      </c>
      <c r="D83" s="2060" t="str">
        <f>B1Yrs&amp;"-year "&amp;LOWER(B1Freq)</f>
        <v>2-year weekly</v>
      </c>
    </row>
    <row r="84" spans="3:4" ht="12.95" customHeight="1">
      <c r="C84" s="43">
        <v>2</v>
      </c>
      <c r="D84" s="2060" t="str">
        <f>B2Yrs&amp;"-year "&amp;LOWER(B2Freq)</f>
        <v>5-year weekly</v>
      </c>
    </row>
    <row r="85" spans="3:4" ht="12.95" customHeight="1">
      <c r="C85" s="43">
        <v>3</v>
      </c>
      <c r="D85" s="2060" t="str">
        <f>B3Yrs&amp;"-year "&amp;LOWER(B3Freq)</f>
        <v>5-year monthly</v>
      </c>
    </row>
    <row r="86" spans="3:4" ht="12.95" customHeight="1">
      <c r="C86" s="43">
        <v>4</v>
      </c>
      <c r="D86" s="2060" t="str">
        <f>B4Yrs&amp;"-year "&amp;LOWER(B4Freq)</f>
        <v>3-year weekly</v>
      </c>
    </row>
    <row r="87" spans="3:4" ht="12.95" customHeight="1">
      <c r="C87" s="43">
        <v>5</v>
      </c>
      <c r="D87" s="2060" t="s">
        <v>1403</v>
      </c>
    </row>
    <row r="88" spans="3:4" ht="12.95" customHeight="1">
      <c r="C88" s="2060"/>
      <c r="D88" s="2060"/>
    </row>
  </sheetData>
  <conditionalFormatting sqref="B1:B2">
    <cfRule type="cellIs" dxfId="256" priority="6" operator="notEqual">
      <formula>0</formula>
    </cfRule>
  </conditionalFormatting>
  <conditionalFormatting sqref="A2:A4 A7:A71">
    <cfRule type="expression" dxfId="255" priority="5">
      <formula>AND(MasterCheck&gt;0,RedAlertY=TRUE)</formula>
    </cfRule>
  </conditionalFormatting>
  <conditionalFormatting sqref="A5">
    <cfRule type="expression" dxfId="254" priority="4">
      <formula>AND(MasterCheck&gt;0,RedAlertY=TRUE)</formula>
    </cfRule>
  </conditionalFormatting>
  <conditionalFormatting sqref="A6">
    <cfRule type="expression" dxfId="253" priority="3">
      <formula>AND(MasterCheck&gt;0,RedAlertY=TRUE)</formula>
    </cfRule>
  </conditionalFormatting>
  <conditionalFormatting sqref="O42:O44">
    <cfRule type="expression" dxfId="252" priority="2">
      <formula>CellHasFormula</formula>
    </cfRule>
  </conditionalFormatting>
  <conditionalFormatting sqref="O46">
    <cfRule type="cellIs" dxfId="251" priority="1" operator="equal">
      <formula>Fail</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70"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FIOutput">
    <tabColor rgb="FF99FF66"/>
    <pageSetUpPr autoPageBreaks="0"/>
  </sheetPr>
  <dimension ref="A1:AB54"/>
  <sheetViews>
    <sheetView showGridLines="0" zoomScale="85" zoomScaleNormal="85" zoomScaleSheetLayoutView="80" workbookViewId="0"/>
  </sheetViews>
  <sheetFormatPr defaultColWidth="9.33203125" defaultRowHeight="12" customHeight="1"/>
  <cols>
    <col min="1" max="1" width="2.83203125" style="334" customWidth="1"/>
    <col min="2" max="2" width="3.83203125" style="334" customWidth="1"/>
    <col min="3" max="3" width="39.5" style="334" customWidth="1"/>
    <col min="4" max="5" width="2.83203125" style="334" customWidth="1"/>
    <col min="6" max="6" width="9.1640625" style="334" customWidth="1"/>
    <col min="7" max="14" width="11.33203125" style="334" customWidth="1"/>
    <col min="15" max="15" width="11.33203125" style="334" hidden="1" customWidth="1"/>
    <col min="16" max="17" width="11.33203125" style="1525" hidden="1" customWidth="1"/>
    <col min="18" max="18" width="2" style="1027" customWidth="1"/>
    <col min="19" max="19" width="11.33203125" style="1027" customWidth="1"/>
    <col min="20" max="20" width="59.1640625" style="334" customWidth="1"/>
    <col min="21" max="21" width="8.83203125" style="334" customWidth="1"/>
    <col min="22" max="16384" width="9.33203125" style="334"/>
  </cols>
  <sheetData>
    <row r="1" spans="1:25" ht="18" customHeight="1">
      <c r="A1" s="1510"/>
      <c r="B1" s="649">
        <f ca="1">SUMPRODUCT(--ISERROR($C$1:T52))+COUNTIF($C$1:T52,Fail)</f>
        <v>0</v>
      </c>
      <c r="C1" s="1372" t="str">
        <f>START!$C$1</f>
        <v>Client Name</v>
      </c>
      <c r="D1" s="292"/>
      <c r="E1" s="710"/>
      <c r="F1" s="852"/>
      <c r="G1" s="852"/>
      <c r="H1" s="852"/>
      <c r="I1" s="852"/>
      <c r="J1" s="852"/>
      <c r="K1" s="852"/>
      <c r="L1" s="852"/>
      <c r="M1" s="852"/>
      <c r="N1" s="852"/>
      <c r="O1" s="852"/>
      <c r="P1" s="852"/>
      <c r="Q1" s="852"/>
      <c r="R1" s="852"/>
      <c r="S1" s="852"/>
      <c r="T1" s="398" t="s">
        <v>935</v>
      </c>
      <c r="U1" s="1510"/>
      <c r="V1" s="1525"/>
      <c r="W1" s="1525"/>
      <c r="X1" s="1525"/>
      <c r="Y1" s="1525"/>
    </row>
    <row r="2" spans="1:25" s="1027" customFormat="1" ht="18" customHeight="1">
      <c r="A2" s="1510"/>
      <c r="B2" s="649"/>
      <c r="C2" s="1372" t="str">
        <f>START!$C$2</f>
        <v xml:space="preserve">Please enter project description in START worksheet cell G13 </v>
      </c>
      <c r="D2" s="292"/>
      <c r="E2" s="710"/>
      <c r="F2" s="852"/>
      <c r="G2" s="852"/>
      <c r="H2" s="852"/>
      <c r="I2" s="852"/>
      <c r="J2" s="852"/>
      <c r="K2" s="852"/>
      <c r="L2" s="852"/>
      <c r="M2" s="852"/>
      <c r="N2" s="852"/>
      <c r="O2" s="852"/>
      <c r="P2" s="852"/>
      <c r="Q2" s="852"/>
      <c r="R2" s="852"/>
      <c r="S2" s="852"/>
      <c r="T2" s="398"/>
      <c r="U2" s="1510"/>
      <c r="V2" s="1525"/>
      <c r="W2" s="1525"/>
      <c r="X2" s="1525"/>
      <c r="Y2" s="1525"/>
    </row>
    <row r="3" spans="1:25" ht="18" customHeight="1">
      <c r="A3" s="1510"/>
      <c r="B3" s="1510"/>
      <c r="C3" s="839" t="s">
        <v>1404</v>
      </c>
      <c r="D3" s="369"/>
      <c r="E3" s="710"/>
      <c r="F3" s="1526"/>
      <c r="G3" s="1526"/>
      <c r="H3" s="1526"/>
      <c r="I3" s="1526"/>
      <c r="J3" s="1526"/>
      <c r="K3" s="1526"/>
      <c r="L3" s="1526"/>
      <c r="M3" s="1526"/>
      <c r="N3" s="1526"/>
      <c r="O3" s="1526"/>
      <c r="P3" s="1526"/>
      <c r="Q3" s="1526"/>
      <c r="R3" s="1526"/>
      <c r="S3" s="1526"/>
      <c r="T3" s="1525"/>
      <c r="U3" s="1510"/>
      <c r="V3" s="1525"/>
      <c r="W3" s="1525"/>
      <c r="X3" s="1525"/>
      <c r="Y3" s="1525"/>
    </row>
    <row r="4" spans="1:25" ht="18" customHeight="1">
      <c r="A4" s="1510"/>
      <c r="B4" s="1510"/>
      <c r="C4" s="2062" t="str">
        <f>"Valuation as of "&amp; TEXT(Valuation_date,"d mmmm yyyy")</f>
        <v>Valuation as of 28 February 2017</v>
      </c>
      <c r="D4" s="2062"/>
      <c r="E4" s="711"/>
      <c r="F4" s="1526"/>
      <c r="G4" s="1526"/>
      <c r="H4" s="1526"/>
      <c r="I4" s="1526"/>
      <c r="J4" s="1526"/>
      <c r="K4" s="1526"/>
      <c r="L4" s="1526"/>
      <c r="M4" s="1526"/>
      <c r="N4" s="1526"/>
      <c r="O4" s="1526"/>
      <c r="P4" s="1526"/>
      <c r="Q4" s="1526"/>
      <c r="R4" s="1526"/>
      <c r="S4" s="1526"/>
      <c r="T4" s="1525"/>
      <c r="U4" s="1510"/>
      <c r="V4" s="1525"/>
      <c r="W4" s="1525"/>
      <c r="X4" s="1525"/>
      <c r="Y4" s="1525"/>
    </row>
    <row r="5" spans="1:25" ht="18" customHeight="1">
      <c r="A5" s="1413" t="str">
        <f>IF(MasterCheck,"Please check the "&amp;'Error Check'!$G$8,"")</f>
        <v/>
      </c>
      <c r="B5" s="1510"/>
      <c r="C5" s="340"/>
      <c r="D5" s="340"/>
      <c r="E5" s="711"/>
      <c r="F5" s="1526"/>
      <c r="G5" s="1526"/>
      <c r="H5" s="341"/>
      <c r="I5" s="1526"/>
      <c r="J5" s="1526"/>
      <c r="K5" s="1526"/>
      <c r="L5" s="1526"/>
      <c r="M5" s="1526"/>
      <c r="N5" s="1526"/>
      <c r="O5" s="1526"/>
      <c r="P5" s="1526"/>
      <c r="Q5" s="1526"/>
      <c r="R5" s="1526"/>
      <c r="S5" s="1526"/>
      <c r="T5" s="1525"/>
      <c r="U5" s="1510"/>
      <c r="V5" s="1525"/>
      <c r="W5" s="1525"/>
      <c r="X5" s="1525"/>
      <c r="Y5" s="1525"/>
    </row>
    <row r="6" spans="1:25" ht="13.9">
      <c r="A6" s="1510"/>
      <c r="B6" s="1510"/>
      <c r="C6" s="340"/>
      <c r="D6" s="340"/>
      <c r="E6" s="711"/>
      <c r="F6" s="1526"/>
      <c r="G6" s="1526"/>
      <c r="H6" s="341"/>
      <c r="I6" s="1526"/>
      <c r="J6" s="1526"/>
      <c r="K6" s="1526"/>
      <c r="L6" s="1526"/>
      <c r="M6" s="1526"/>
      <c r="N6" s="1526"/>
      <c r="O6" s="1526"/>
      <c r="P6" s="1526"/>
      <c r="Q6" s="1526"/>
      <c r="R6" s="1526"/>
      <c r="S6" s="1526"/>
      <c r="T6" s="1525"/>
      <c r="U6" s="1510"/>
      <c r="V6" s="1525"/>
      <c r="W6" s="1525"/>
      <c r="X6" s="1525"/>
      <c r="Y6" s="1525"/>
    </row>
    <row r="7" spans="1:25" ht="13.9">
      <c r="A7" s="1510" t="s">
        <v>17</v>
      </c>
      <c r="B7" s="1510"/>
      <c r="C7" s="405"/>
      <c r="D7" s="405"/>
      <c r="E7" s="712"/>
      <c r="F7" s="341"/>
      <c r="G7" s="341"/>
      <c r="H7" s="341"/>
      <c r="I7" s="341"/>
      <c r="J7" s="341"/>
      <c r="K7" s="341"/>
      <c r="L7" s="341"/>
      <c r="M7" s="341"/>
      <c r="N7" s="341"/>
      <c r="O7" s="341"/>
      <c r="P7" s="341"/>
      <c r="Q7" s="341"/>
      <c r="R7" s="341"/>
      <c r="S7" s="341"/>
      <c r="T7" s="1525"/>
      <c r="U7" s="1510"/>
      <c r="V7" s="1525"/>
      <c r="W7" s="1525"/>
      <c r="X7" s="1525"/>
      <c r="Y7" s="1525"/>
    </row>
    <row r="8" spans="1:25" ht="13.9">
      <c r="A8" s="1510"/>
      <c r="B8" s="1510"/>
      <c r="C8" s="1106"/>
      <c r="D8" s="1106"/>
      <c r="E8" s="1107"/>
      <c r="F8" s="1108"/>
      <c r="G8" s="1109" t="str">
        <f>'PFI Inputs'!G25</f>
        <v>6 mos</v>
      </c>
      <c r="H8" s="1110" t="str">
        <f>'PFI Inputs'!$H$25</f>
        <v xml:space="preserve">                                       For years ended March 31</v>
      </c>
      <c r="I8" s="1111"/>
      <c r="J8" s="1139"/>
      <c r="K8" s="1139"/>
      <c r="L8" s="1139"/>
      <c r="M8" s="1139"/>
      <c r="N8" s="1139"/>
      <c r="O8" s="1139"/>
      <c r="P8" s="1139"/>
      <c r="Q8" s="1139"/>
      <c r="R8" s="1133"/>
      <c r="S8" s="1139" t="s">
        <v>952</v>
      </c>
      <c r="T8" s="1525"/>
      <c r="U8" s="1510"/>
      <c r="V8" s="1525"/>
      <c r="W8" s="1525"/>
      <c r="X8" s="1525"/>
      <c r="Y8" s="1525"/>
    </row>
    <row r="9" spans="1:25" ht="13.9">
      <c r="A9" s="1510" t="str">
        <f>IF(OR(MAX(E9:Q9)&gt;0.001,MIN(E9:Q9)&lt;-0.001),"","n")</f>
        <v/>
      </c>
      <c r="B9" s="1510"/>
      <c r="C9" s="1112" t="str">
        <f>SubjCurrencyHeading</f>
        <v>(USD in Millions)</v>
      </c>
      <c r="D9" s="1113"/>
      <c r="E9" s="1114"/>
      <c r="F9" s="1115"/>
      <c r="G9" s="1116">
        <f>'PFI Inputs'!G26</f>
        <v>42825</v>
      </c>
      <c r="H9" s="1116">
        <f>IF('PFI Inputs'!H26,'PFI Inputs'!H26,"")</f>
        <v>43190</v>
      </c>
      <c r="I9" s="1116">
        <f>IF('PFI Inputs'!I26,'PFI Inputs'!I26,"")</f>
        <v>43555</v>
      </c>
      <c r="J9" s="1116">
        <f>IF('PFI Inputs'!J26,'PFI Inputs'!J26,"")</f>
        <v>43921</v>
      </c>
      <c r="K9" s="1116">
        <f>IF('PFI Inputs'!K26,'PFI Inputs'!K26,"")</f>
        <v>44286</v>
      </c>
      <c r="L9" s="1116">
        <f>IF('PFI Inputs'!L26,'PFI Inputs'!L26,"")</f>
        <v>44651</v>
      </c>
      <c r="M9" s="1116">
        <f>IF('PFI Inputs'!M26,'PFI Inputs'!M26,"")</f>
        <v>45016</v>
      </c>
      <c r="N9" s="1116">
        <f>IF('PFI Inputs'!N26,'PFI Inputs'!N26,"")</f>
        <v>45382</v>
      </c>
      <c r="O9" s="1116" t="str">
        <f>IF('PFI Inputs'!O26,'PFI Inputs'!O26,"")</f>
        <v/>
      </c>
      <c r="P9" s="1116" t="str">
        <f>IF('PFI Inputs'!P26,'PFI Inputs'!P26,"")</f>
        <v/>
      </c>
      <c r="Q9" s="1116" t="str">
        <f>IF('PFI Inputs'!Q26,'PFI Inputs'!Q26,"")</f>
        <v/>
      </c>
      <c r="R9" s="1134"/>
      <c r="S9" s="1116">
        <f>'PFI Inputs'!S26</f>
        <v>45382</v>
      </c>
      <c r="T9" s="1525"/>
      <c r="U9" s="1510"/>
      <c r="V9" s="1525"/>
      <c r="W9" s="1525"/>
      <c r="X9" s="1525"/>
      <c r="Y9" s="1525"/>
    </row>
    <row r="10" spans="1:25" ht="13.9">
      <c r="A10" s="1510" t="str">
        <f t="shared" ref="A10:A43" si="0">IF(OR(MAX(E10:Q10)&gt;0.001,MIN(E10:Q10)&lt;-0.001),"","n")</f>
        <v>n</v>
      </c>
      <c r="B10" s="1510"/>
      <c r="C10" s="1528" t="s">
        <v>463</v>
      </c>
      <c r="D10" s="1528"/>
      <c r="E10" s="963"/>
      <c r="F10" s="963"/>
      <c r="G10" s="879">
        <f>IF(G$9="","",'PFI Inputs'!G28)</f>
        <v>0</v>
      </c>
      <c r="H10" s="879">
        <f>IF(H$9="","",'PFI Inputs'!H28)</f>
        <v>0</v>
      </c>
      <c r="I10" s="879">
        <f>IF(I$9="","",'PFI Inputs'!I28)</f>
        <v>0</v>
      </c>
      <c r="J10" s="879">
        <f>IF(J$9="","",'PFI Inputs'!J28)</f>
        <v>0</v>
      </c>
      <c r="K10" s="879">
        <f>IF(K$9="","",'PFI Inputs'!K28)</f>
        <v>0</v>
      </c>
      <c r="L10" s="879">
        <f>IF(L$9="","",'PFI Inputs'!L28)</f>
        <v>0</v>
      </c>
      <c r="M10" s="879">
        <f>IF(M$9="","",'PFI Inputs'!M28)</f>
        <v>0</v>
      </c>
      <c r="N10" s="879">
        <f>IF(N$9="","",'PFI Inputs'!N28)</f>
        <v>0</v>
      </c>
      <c r="O10" s="879" t="str">
        <f>IF(O$9="","",'PFI Inputs'!O28)</f>
        <v/>
      </c>
      <c r="P10" s="879" t="str">
        <f>IF(P$9="","",'PFI Inputs'!P28)</f>
        <v/>
      </c>
      <c r="Q10" s="879" t="str">
        <f>IF(Q$9="","",'PFI Inputs'!Q28)</f>
        <v/>
      </c>
      <c r="R10" s="879"/>
      <c r="S10" s="879">
        <f>'PFI Inputs'!S28</f>
        <v>0</v>
      </c>
      <c r="T10" s="1525"/>
      <c r="U10" s="1510"/>
      <c r="V10" s="1525"/>
      <c r="W10" s="1525"/>
      <c r="X10" s="1525"/>
      <c r="Y10" s="1525"/>
    </row>
    <row r="11" spans="1:25" ht="13.9">
      <c r="A11" s="1510" t="str">
        <f t="shared" si="0"/>
        <v>n</v>
      </c>
      <c r="B11" s="1510"/>
      <c r="C11" s="331" t="s">
        <v>895</v>
      </c>
      <c r="D11" s="331"/>
      <c r="E11" s="963"/>
      <c r="F11" s="963"/>
      <c r="G11" s="879">
        <f>IF(G$9="","",'PFI Inputs'!G33)</f>
        <v>0</v>
      </c>
      <c r="H11" s="879">
        <f>IF(H$9="","",'PFI Inputs'!H33)</f>
        <v>0</v>
      </c>
      <c r="I11" s="879">
        <f>IF(I$9="","",'PFI Inputs'!I33)</f>
        <v>0</v>
      </c>
      <c r="J11" s="879">
        <f>IF(J$9="","",'PFI Inputs'!J33)</f>
        <v>0</v>
      </c>
      <c r="K11" s="879">
        <f>IF(K$9="","",'PFI Inputs'!K33)</f>
        <v>0</v>
      </c>
      <c r="L11" s="879">
        <f>IF(L$9="","",'PFI Inputs'!L33)</f>
        <v>0</v>
      </c>
      <c r="M11" s="879">
        <f>IF(M$9="","",'PFI Inputs'!M33)</f>
        <v>0</v>
      </c>
      <c r="N11" s="879">
        <f>IF(N$9="","",'PFI Inputs'!N33)</f>
        <v>0</v>
      </c>
      <c r="O11" s="879" t="str">
        <f>IF(O$9="","",'PFI Inputs'!O33)</f>
        <v/>
      </c>
      <c r="P11" s="879" t="str">
        <f>IF(P$9="","",'PFI Inputs'!P33)</f>
        <v/>
      </c>
      <c r="Q11" s="879" t="str">
        <f>IF(Q$9="","",'PFI Inputs'!Q33)</f>
        <v/>
      </c>
      <c r="R11" s="879"/>
      <c r="S11" s="879">
        <v>0</v>
      </c>
      <c r="T11" s="1525"/>
      <c r="U11" s="1510"/>
      <c r="V11" s="1525"/>
      <c r="W11" s="1525"/>
      <c r="X11" s="1525"/>
      <c r="Y11" s="1525"/>
    </row>
    <row r="12" spans="1:25" ht="13.9">
      <c r="A12" s="1510" t="str">
        <f t="shared" si="0"/>
        <v>n</v>
      </c>
      <c r="B12" s="1510"/>
      <c r="C12" s="298" t="s">
        <v>896</v>
      </c>
      <c r="D12" s="298"/>
      <c r="E12" s="964"/>
      <c r="F12" s="964"/>
      <c r="G12" s="880">
        <f t="shared" ref="G12:Q12" si="1">IF(G$9="","",SUM(G10:G11))</f>
        <v>0</v>
      </c>
      <c r="H12" s="880">
        <f t="shared" si="1"/>
        <v>0</v>
      </c>
      <c r="I12" s="880">
        <f t="shared" si="1"/>
        <v>0</v>
      </c>
      <c r="J12" s="880">
        <f t="shared" si="1"/>
        <v>0</v>
      </c>
      <c r="K12" s="880">
        <f t="shared" si="1"/>
        <v>0</v>
      </c>
      <c r="L12" s="880">
        <f t="shared" si="1"/>
        <v>0</v>
      </c>
      <c r="M12" s="880">
        <f t="shared" si="1"/>
        <v>0</v>
      </c>
      <c r="N12" s="880">
        <f t="shared" si="1"/>
        <v>0</v>
      </c>
      <c r="O12" s="880" t="str">
        <f t="shared" si="1"/>
        <v/>
      </c>
      <c r="P12" s="880" t="str">
        <f t="shared" si="1"/>
        <v/>
      </c>
      <c r="Q12" s="880" t="str">
        <f t="shared" si="1"/>
        <v/>
      </c>
      <c r="R12" s="1135"/>
      <c r="S12" s="880">
        <f>'PFI Inputs'!S37</f>
        <v>0</v>
      </c>
      <c r="T12" s="1525"/>
      <c r="U12" s="1510"/>
      <c r="V12" s="1525"/>
      <c r="W12" s="1525"/>
      <c r="X12" s="1525"/>
      <c r="Y12" s="1525"/>
    </row>
    <row r="13" spans="1:25" ht="13.9">
      <c r="A13" s="1510" t="str">
        <f t="shared" si="0"/>
        <v>n</v>
      </c>
      <c r="B13" s="1510"/>
      <c r="C13" s="331" t="s">
        <v>1405</v>
      </c>
      <c r="D13" s="331"/>
      <c r="E13" s="963"/>
      <c r="F13" s="963"/>
      <c r="G13" s="879">
        <f>IF(G$9="","",'PFI Inputs'!G40)</f>
        <v>0</v>
      </c>
      <c r="H13" s="879">
        <f>IF(H$9="","",'PFI Inputs'!H40)</f>
        <v>0</v>
      </c>
      <c r="I13" s="879">
        <f>IF(I$9="","",'PFI Inputs'!I40)</f>
        <v>0</v>
      </c>
      <c r="J13" s="879">
        <f>IF(J$9="","",'PFI Inputs'!J40)</f>
        <v>0</v>
      </c>
      <c r="K13" s="879">
        <f>IF(K$9="","",'PFI Inputs'!K40)</f>
        <v>0</v>
      </c>
      <c r="L13" s="879">
        <f>IF(L$9="","",'PFI Inputs'!L40)</f>
        <v>0</v>
      </c>
      <c r="M13" s="879">
        <f>IF(M$9="","",'PFI Inputs'!M40)</f>
        <v>0</v>
      </c>
      <c r="N13" s="879">
        <f>IF(N$9="","",'PFI Inputs'!N40)</f>
        <v>0</v>
      </c>
      <c r="O13" s="879" t="str">
        <f>IF(O$9="","",'PFI Inputs'!O40)</f>
        <v/>
      </c>
      <c r="P13" s="879" t="str">
        <f>IF(P$9="","",'PFI Inputs'!P40)</f>
        <v/>
      </c>
      <c r="Q13" s="879" t="str">
        <f>IF(Q$9="","",'PFI Inputs'!Q40)</f>
        <v/>
      </c>
      <c r="R13" s="879"/>
      <c r="S13" s="879">
        <f>'PFI Inputs'!S40</f>
        <v>0</v>
      </c>
      <c r="T13" s="1525"/>
      <c r="U13" s="1510"/>
      <c r="V13" s="1525"/>
      <c r="W13" s="1525"/>
      <c r="X13" s="1525"/>
      <c r="Y13" s="2060"/>
    </row>
    <row r="14" spans="1:25" s="312" customFormat="1" ht="13.9">
      <c r="A14" s="1510" t="str">
        <f t="shared" si="0"/>
        <v>n</v>
      </c>
      <c r="B14" s="1510"/>
      <c r="C14" s="1531" t="s">
        <v>901</v>
      </c>
      <c r="D14" s="1531"/>
      <c r="E14" s="963"/>
      <c r="F14" s="963"/>
      <c r="G14" s="879">
        <f>IF(G$9="","",'PFI Inputs'!G45)</f>
        <v>0</v>
      </c>
      <c r="H14" s="879">
        <f>IF(H$9="","",'PFI Inputs'!H45)</f>
        <v>0</v>
      </c>
      <c r="I14" s="879">
        <f>IF(I$9="","",'PFI Inputs'!I45)</f>
        <v>0</v>
      </c>
      <c r="J14" s="879">
        <f>IF(J$9="","",'PFI Inputs'!J45)</f>
        <v>0</v>
      </c>
      <c r="K14" s="879">
        <f>IF(K$9="","",'PFI Inputs'!K45)</f>
        <v>0</v>
      </c>
      <c r="L14" s="879">
        <f>IF(L$9="","",'PFI Inputs'!L45)</f>
        <v>0</v>
      </c>
      <c r="M14" s="879">
        <f>IF(M$9="","",'PFI Inputs'!M45)</f>
        <v>0</v>
      </c>
      <c r="N14" s="879">
        <f>IF(N$9="","",'PFI Inputs'!N45)</f>
        <v>0</v>
      </c>
      <c r="O14" s="879" t="str">
        <f>IF(O$9="","",'PFI Inputs'!O45)</f>
        <v/>
      </c>
      <c r="P14" s="879" t="str">
        <f>IF(P$9="","",'PFI Inputs'!P45)</f>
        <v/>
      </c>
      <c r="Q14" s="879" t="str">
        <f>IF(Q$9="","",'PFI Inputs'!Q45)</f>
        <v/>
      </c>
      <c r="R14" s="879"/>
      <c r="S14" s="879">
        <f>'PFI Inputs'!S45</f>
        <v>0</v>
      </c>
      <c r="T14" s="1525"/>
      <c r="U14" s="1510"/>
      <c r="Y14" s="2060"/>
    </row>
    <row r="15" spans="1:25" s="312" customFormat="1" ht="13.9">
      <c r="A15" s="1510" t="str">
        <f t="shared" si="0"/>
        <v>n</v>
      </c>
      <c r="B15" s="1510"/>
      <c r="C15" s="1531" t="str">
        <f>'PFI Inputs'!C50</f>
        <v>Other operating (expense) / income</v>
      </c>
      <c r="D15" s="1531"/>
      <c r="E15" s="963"/>
      <c r="F15" s="963"/>
      <c r="G15" s="879">
        <f>IF(G$9="","",'PFI Inputs'!G50)</f>
        <v>0</v>
      </c>
      <c r="H15" s="879">
        <f>IF(H$9="","",'PFI Inputs'!H50)</f>
        <v>0</v>
      </c>
      <c r="I15" s="879">
        <f>IF(I$9="","",'PFI Inputs'!I50)</f>
        <v>0</v>
      </c>
      <c r="J15" s="879">
        <f>IF(J$9="","",'PFI Inputs'!J50)</f>
        <v>0</v>
      </c>
      <c r="K15" s="879">
        <f>IF(K$9="","",'PFI Inputs'!K50)</f>
        <v>0</v>
      </c>
      <c r="L15" s="879">
        <f>IF(L$9="","",'PFI Inputs'!L50)</f>
        <v>0</v>
      </c>
      <c r="M15" s="879">
        <f>IF(M$9="","",'PFI Inputs'!M50)</f>
        <v>0</v>
      </c>
      <c r="N15" s="879">
        <f>IF(N$9="","",'PFI Inputs'!N50)</f>
        <v>0</v>
      </c>
      <c r="O15" s="879" t="str">
        <f>IF(O$9="","",'PFI Inputs'!O50)</f>
        <v/>
      </c>
      <c r="P15" s="879" t="str">
        <f>IF(P$9="","",'PFI Inputs'!P50)</f>
        <v/>
      </c>
      <c r="Q15" s="879" t="str">
        <f>IF(Q$9="","",'PFI Inputs'!Q50)</f>
        <v/>
      </c>
      <c r="R15" s="879"/>
      <c r="S15" s="879">
        <f>'PFI Inputs'!S50</f>
        <v>0</v>
      </c>
      <c r="T15" s="1525"/>
      <c r="U15" s="1510"/>
      <c r="Y15" s="2060"/>
    </row>
    <row r="16" spans="1:25" s="312" customFormat="1" ht="13.9">
      <c r="A16" s="1510" t="str">
        <f t="shared" si="0"/>
        <v>n</v>
      </c>
      <c r="B16" s="1510"/>
      <c r="C16" s="1531" t="str">
        <f>'PFI Inputs'!C54</f>
        <v>Other operating (expense) / income</v>
      </c>
      <c r="D16" s="1531"/>
      <c r="E16" s="963"/>
      <c r="F16" s="963"/>
      <c r="G16" s="879">
        <f>IF(G$9="","",'PFI Inputs'!G54)</f>
        <v>0</v>
      </c>
      <c r="H16" s="879">
        <f>IF(H$9="","",'PFI Inputs'!H54)</f>
        <v>0</v>
      </c>
      <c r="I16" s="879">
        <f>IF(I$9="","",'PFI Inputs'!I54)</f>
        <v>0</v>
      </c>
      <c r="J16" s="879">
        <f>IF(J$9="","",'PFI Inputs'!J54)</f>
        <v>0</v>
      </c>
      <c r="K16" s="879">
        <f>IF(K$9="","",'PFI Inputs'!K54)</f>
        <v>0</v>
      </c>
      <c r="L16" s="879">
        <f>IF(L$9="","",'PFI Inputs'!L54)</f>
        <v>0</v>
      </c>
      <c r="M16" s="879">
        <f>IF(M$9="","",'PFI Inputs'!M54)</f>
        <v>0</v>
      </c>
      <c r="N16" s="879">
        <f>IF(N$9="","",'PFI Inputs'!N54)</f>
        <v>0</v>
      </c>
      <c r="O16" s="879" t="str">
        <f>IF(O$9="","",'PFI Inputs'!O54)</f>
        <v/>
      </c>
      <c r="P16" s="879" t="str">
        <f>IF(P$9="","",'PFI Inputs'!P54)</f>
        <v/>
      </c>
      <c r="Q16" s="879" t="str">
        <f>IF(Q$9="","",'PFI Inputs'!Q54)</f>
        <v/>
      </c>
      <c r="R16" s="879"/>
      <c r="S16" s="879">
        <f>'PFI Inputs'!S54</f>
        <v>0</v>
      </c>
      <c r="T16" s="338"/>
      <c r="U16" s="1510"/>
      <c r="Y16" s="2060"/>
    </row>
    <row r="17" spans="1:25" s="312" customFormat="1" ht="13.9">
      <c r="A17" s="1510" t="str">
        <f t="shared" si="0"/>
        <v>n</v>
      </c>
      <c r="B17" s="1510"/>
      <c r="C17" s="1531" t="str">
        <f>'PFI Inputs'!C58</f>
        <v>Other operating (expense) / income</v>
      </c>
      <c r="D17" s="1531"/>
      <c r="E17" s="963"/>
      <c r="F17" s="963"/>
      <c r="G17" s="879">
        <f>IF(G$9="","",'PFI Inputs'!G58)</f>
        <v>0</v>
      </c>
      <c r="H17" s="879">
        <f>IF(H$9="","",'PFI Inputs'!H58)</f>
        <v>0</v>
      </c>
      <c r="I17" s="879">
        <f>IF(I$9="","",'PFI Inputs'!I58)</f>
        <v>0</v>
      </c>
      <c r="J17" s="879">
        <f>IF(J$9="","",'PFI Inputs'!J58)</f>
        <v>0</v>
      </c>
      <c r="K17" s="879">
        <f>IF(K$9="","",'PFI Inputs'!K58)</f>
        <v>0</v>
      </c>
      <c r="L17" s="879">
        <f>IF(L$9="","",'PFI Inputs'!L58)</f>
        <v>0</v>
      </c>
      <c r="M17" s="879">
        <f>IF(M$9="","",'PFI Inputs'!M58)</f>
        <v>0</v>
      </c>
      <c r="N17" s="879">
        <f>IF(N$9="","",'PFI Inputs'!N58)</f>
        <v>0</v>
      </c>
      <c r="O17" s="879" t="str">
        <f>IF(O$9="","",'PFI Inputs'!O58)</f>
        <v/>
      </c>
      <c r="P17" s="879" t="str">
        <f>IF(P$9="","",'PFI Inputs'!P58)</f>
        <v/>
      </c>
      <c r="Q17" s="879" t="str">
        <f>IF(Q$9="","",'PFI Inputs'!Q58)</f>
        <v/>
      </c>
      <c r="R17" s="879"/>
      <c r="S17" s="879">
        <f>'PFI Inputs'!S58</f>
        <v>0</v>
      </c>
      <c r="T17" s="1525"/>
      <c r="U17" s="1510"/>
      <c r="Y17" s="2060"/>
    </row>
    <row r="18" spans="1:25" s="312" customFormat="1" ht="13.9">
      <c r="A18" s="1510" t="str">
        <f t="shared" si="0"/>
        <v>n</v>
      </c>
      <c r="B18" s="1510"/>
      <c r="C18" s="1531" t="str">
        <f>'PFI Inputs'!C62</f>
        <v>Other operating (expense) / income</v>
      </c>
      <c r="D18" s="1531"/>
      <c r="E18" s="963"/>
      <c r="F18" s="963"/>
      <c r="G18" s="879">
        <f>IF(G$9="","",'PFI Inputs'!G62)</f>
        <v>0</v>
      </c>
      <c r="H18" s="879">
        <f>IF(H$9="","",'PFI Inputs'!H62)</f>
        <v>0</v>
      </c>
      <c r="I18" s="879">
        <f>IF(I$9="","",'PFI Inputs'!I62)</f>
        <v>0</v>
      </c>
      <c r="J18" s="879">
        <f>IF(J$9="","",'PFI Inputs'!J62)</f>
        <v>0</v>
      </c>
      <c r="K18" s="879">
        <f>IF(K$9="","",'PFI Inputs'!K62)</f>
        <v>0</v>
      </c>
      <c r="L18" s="879">
        <f>IF(L$9="","",'PFI Inputs'!L62)</f>
        <v>0</v>
      </c>
      <c r="M18" s="879">
        <f>IF(M$9="","",'PFI Inputs'!M62)</f>
        <v>0</v>
      </c>
      <c r="N18" s="879">
        <f>IF(N$9="","",'PFI Inputs'!N62)</f>
        <v>0</v>
      </c>
      <c r="O18" s="879" t="str">
        <f>IF(O$9="","",'PFI Inputs'!O62)</f>
        <v/>
      </c>
      <c r="P18" s="879" t="str">
        <f>IF(P$9="","",'PFI Inputs'!P62)</f>
        <v/>
      </c>
      <c r="Q18" s="879" t="str">
        <f>IF(Q$9="","",'PFI Inputs'!Q62)</f>
        <v/>
      </c>
      <c r="R18" s="879"/>
      <c r="S18" s="879">
        <f>'PFI Inputs'!S62</f>
        <v>0</v>
      </c>
      <c r="T18" s="1525"/>
      <c r="U18" s="1510"/>
      <c r="Y18" s="2060"/>
    </row>
    <row r="19" spans="1:25" s="312" customFormat="1" ht="13.9">
      <c r="A19" s="1510" t="str">
        <f t="shared" si="0"/>
        <v>n</v>
      </c>
      <c r="B19" s="1510"/>
      <c r="C19" s="1531" t="str">
        <f>'PFI Inputs'!C66</f>
        <v>Other operating (expense) / income</v>
      </c>
      <c r="D19" s="1531"/>
      <c r="E19" s="963"/>
      <c r="F19" s="963"/>
      <c r="G19" s="879">
        <f>IF(G$9="","",'PFI Inputs'!G66)</f>
        <v>0</v>
      </c>
      <c r="H19" s="879">
        <f>IF(H$9="","",'PFI Inputs'!H66)</f>
        <v>0</v>
      </c>
      <c r="I19" s="879">
        <f>IF(I$9="","",'PFI Inputs'!I66)</f>
        <v>0</v>
      </c>
      <c r="J19" s="879">
        <f>IF(J$9="","",'PFI Inputs'!J66)</f>
        <v>0</v>
      </c>
      <c r="K19" s="879">
        <f>IF(K$9="","",'PFI Inputs'!K66)</f>
        <v>0</v>
      </c>
      <c r="L19" s="879">
        <f>IF(L$9="","",'PFI Inputs'!L66)</f>
        <v>0</v>
      </c>
      <c r="M19" s="879">
        <f>IF(M$9="","",'PFI Inputs'!M66)</f>
        <v>0</v>
      </c>
      <c r="N19" s="879">
        <f>IF(N$9="","",'PFI Inputs'!N66)</f>
        <v>0</v>
      </c>
      <c r="O19" s="879" t="str">
        <f>IF(O$9="","",'PFI Inputs'!O66)</f>
        <v/>
      </c>
      <c r="P19" s="879" t="str">
        <f>IF(P$9="","",'PFI Inputs'!P66)</f>
        <v/>
      </c>
      <c r="Q19" s="879" t="str">
        <f>IF(Q$9="","",'PFI Inputs'!Q66)</f>
        <v/>
      </c>
      <c r="R19" s="879"/>
      <c r="S19" s="879">
        <f>'PFI Inputs'!S66</f>
        <v>0</v>
      </c>
      <c r="T19" s="1525"/>
      <c r="U19" s="1510"/>
      <c r="Y19" s="2060"/>
    </row>
    <row r="20" spans="1:25" s="312" customFormat="1" ht="13.9">
      <c r="A20" s="1510" t="str">
        <f t="shared" si="0"/>
        <v>n</v>
      </c>
      <c r="B20" s="1510"/>
      <c r="C20" s="1531" t="str">
        <f>'PFI Inputs'!C71</f>
        <v>EBITDA haircut</v>
      </c>
      <c r="D20" s="1531"/>
      <c r="E20" s="963"/>
      <c r="F20" s="963"/>
      <c r="G20" s="879">
        <f>IF(G$9="","",'PFI Inputs'!G71)</f>
        <v>0</v>
      </c>
      <c r="H20" s="879">
        <f>IF(H$9="","",'PFI Inputs'!H71)</f>
        <v>0</v>
      </c>
      <c r="I20" s="879">
        <f>IF(I$9="","",'PFI Inputs'!I71)</f>
        <v>0</v>
      </c>
      <c r="J20" s="879">
        <f>IF(J$9="","",'PFI Inputs'!J71)</f>
        <v>0</v>
      </c>
      <c r="K20" s="879">
        <f>IF(K$9="","",'PFI Inputs'!K71)</f>
        <v>0</v>
      </c>
      <c r="L20" s="879">
        <f>IF(L$9="","",'PFI Inputs'!L71)</f>
        <v>0</v>
      </c>
      <c r="M20" s="879">
        <f>IF(M$9="","",'PFI Inputs'!M71)</f>
        <v>0</v>
      </c>
      <c r="N20" s="879">
        <f>IF(N$9="","",'PFI Inputs'!N71)</f>
        <v>0</v>
      </c>
      <c r="O20" s="879" t="str">
        <f>IF(O$9="","",'PFI Inputs'!O71)</f>
        <v/>
      </c>
      <c r="P20" s="879" t="str">
        <f>IF(P$9="","",'PFI Inputs'!P71)</f>
        <v/>
      </c>
      <c r="Q20" s="879" t="str">
        <f>IF(Q$9="","",'PFI Inputs'!Q71)</f>
        <v/>
      </c>
      <c r="R20" s="879"/>
      <c r="S20" s="879">
        <f>'PFI Inputs'!S71</f>
        <v>0</v>
      </c>
      <c r="T20" s="1525"/>
      <c r="U20" s="1510"/>
      <c r="Y20" s="2060"/>
    </row>
    <row r="21" spans="1:25" ht="13.9">
      <c r="A21" s="1510" t="str">
        <f t="shared" si="0"/>
        <v>n</v>
      </c>
      <c r="B21" s="1510"/>
      <c r="C21" s="298" t="s">
        <v>247</v>
      </c>
      <c r="D21" s="298"/>
      <c r="E21" s="964"/>
      <c r="F21" s="964"/>
      <c r="G21" s="880">
        <f t="shared" ref="G21:Q21" si="2">IF(G$9="","",SUM(G12:G20))</f>
        <v>0</v>
      </c>
      <c r="H21" s="880">
        <f t="shared" si="2"/>
        <v>0</v>
      </c>
      <c r="I21" s="880">
        <f t="shared" si="2"/>
        <v>0</v>
      </c>
      <c r="J21" s="880">
        <f t="shared" si="2"/>
        <v>0</v>
      </c>
      <c r="K21" s="880">
        <f t="shared" si="2"/>
        <v>0</v>
      </c>
      <c r="L21" s="880">
        <f t="shared" si="2"/>
        <v>0</v>
      </c>
      <c r="M21" s="880">
        <f t="shared" si="2"/>
        <v>0</v>
      </c>
      <c r="N21" s="880">
        <f t="shared" si="2"/>
        <v>0</v>
      </c>
      <c r="O21" s="880" t="str">
        <f t="shared" si="2"/>
        <v/>
      </c>
      <c r="P21" s="880" t="str">
        <f t="shared" si="2"/>
        <v/>
      </c>
      <c r="Q21" s="880" t="str">
        <f t="shared" si="2"/>
        <v/>
      </c>
      <c r="R21" s="1135"/>
      <c r="S21" s="880">
        <f>'PFI Inputs'!S72</f>
        <v>0</v>
      </c>
      <c r="T21" s="1525"/>
      <c r="U21" s="1510"/>
      <c r="V21" s="1525"/>
      <c r="W21" s="1525"/>
      <c r="X21" s="1525"/>
      <c r="Y21" s="1525"/>
    </row>
    <row r="22" spans="1:25" ht="13.9">
      <c r="A22" s="1510" t="str">
        <f ca="1">IF(OR(MAX(E22:Q22)&gt;0.001,MIN(E22:Q22)&lt;-0.001),"","n")</f>
        <v>n</v>
      </c>
      <c r="B22" s="1510"/>
      <c r="C22" s="290" t="s">
        <v>1345</v>
      </c>
      <c r="D22" s="290"/>
      <c r="E22" s="963"/>
      <c r="F22" s="963"/>
      <c r="G22" s="879">
        <f ca="1">IF(G$9="","",'PFI Inputs'!G75)</f>
        <v>0</v>
      </c>
      <c r="H22" s="879">
        <f ca="1">IF(H$9="","",'PFI Inputs'!H75)</f>
        <v>0</v>
      </c>
      <c r="I22" s="879">
        <f ca="1">IF(I$9="","",'PFI Inputs'!I75)</f>
        <v>0</v>
      </c>
      <c r="J22" s="879">
        <f ca="1">IF(J$9="","",'PFI Inputs'!J75)</f>
        <v>0</v>
      </c>
      <c r="K22" s="879">
        <f ca="1">IF(K$9="","",'PFI Inputs'!K75)</f>
        <v>0</v>
      </c>
      <c r="L22" s="879">
        <f ca="1">IF(L$9="","",'PFI Inputs'!L75)</f>
        <v>0</v>
      </c>
      <c r="M22" s="879">
        <f ca="1">IF(M$9="","",'PFI Inputs'!M75)</f>
        <v>0</v>
      </c>
      <c r="N22" s="879">
        <f ca="1">IF(N$9="","",'PFI Inputs'!N75)</f>
        <v>0</v>
      </c>
      <c r="O22" s="879" t="str">
        <f>IF(O$9="","",'PFI Inputs'!O75)</f>
        <v/>
      </c>
      <c r="P22" s="879" t="str">
        <f>IF(P$9="","",'PFI Inputs'!P75)</f>
        <v/>
      </c>
      <c r="Q22" s="879" t="str">
        <f>IF(Q$9="","",'PFI Inputs'!Q75)</f>
        <v/>
      </c>
      <c r="R22" s="879"/>
      <c r="S22" s="879">
        <f>'PFI Inputs'!S75</f>
        <v>0</v>
      </c>
      <c r="T22" s="1507"/>
      <c r="U22" s="1510"/>
      <c r="V22" s="1525"/>
      <c r="W22" s="1525"/>
      <c r="X22" s="1525"/>
      <c r="Y22" s="2060"/>
    </row>
    <row r="23" spans="1:25" ht="13.9">
      <c r="A23" s="1510" t="str">
        <f t="shared" si="0"/>
        <v>n</v>
      </c>
      <c r="B23" s="1510"/>
      <c r="C23" s="299" t="s">
        <v>1346</v>
      </c>
      <c r="D23" s="299"/>
      <c r="E23" s="963"/>
      <c r="F23" s="963"/>
      <c r="G23" s="879">
        <f>IF(G$9="","",'PFI Inputs'!G77)</f>
        <v>0</v>
      </c>
      <c r="H23" s="879">
        <f>IF(H$9="","",'PFI Inputs'!H77)</f>
        <v>0</v>
      </c>
      <c r="I23" s="879">
        <f>IF(I$9="","",'PFI Inputs'!I77)</f>
        <v>0</v>
      </c>
      <c r="J23" s="879">
        <f>IF(J$9="","",'PFI Inputs'!J77)</f>
        <v>0</v>
      </c>
      <c r="K23" s="879">
        <f>IF(K$9="","",'PFI Inputs'!K77)</f>
        <v>0</v>
      </c>
      <c r="L23" s="879">
        <f>IF(L$9="","",'PFI Inputs'!L77)</f>
        <v>0</v>
      </c>
      <c r="M23" s="879">
        <f>IF(M$9="","",'PFI Inputs'!M77)</f>
        <v>0</v>
      </c>
      <c r="N23" s="879">
        <f>IF(N$9="","",'PFI Inputs'!N77)</f>
        <v>0</v>
      </c>
      <c r="O23" s="879" t="str">
        <f>IF(O$9="","",'PFI Inputs'!O77)</f>
        <v/>
      </c>
      <c r="P23" s="879" t="str">
        <f>IF(P$9="","",'PFI Inputs'!P77)</f>
        <v/>
      </c>
      <c r="Q23" s="879" t="str">
        <f>IF(Q$9="","",'PFI Inputs'!Q77)</f>
        <v/>
      </c>
      <c r="R23" s="879"/>
      <c r="S23" s="879">
        <f>'PFI Inputs'!S77</f>
        <v>0</v>
      </c>
      <c r="T23" s="1525"/>
      <c r="U23" s="1510"/>
      <c r="V23" s="1525"/>
      <c r="W23" s="1525"/>
      <c r="X23" s="1525"/>
      <c r="Y23" s="2060"/>
    </row>
    <row r="24" spans="1:25" ht="13.9">
      <c r="A24" s="1510" t="str">
        <f ca="1">IF(OR(MAX(E24:Q24)&gt;0.001,MIN(E24:Q24)&lt;-0.001),"","n")</f>
        <v>n</v>
      </c>
      <c r="B24" s="1510"/>
      <c r="C24" s="1117" t="s">
        <v>211</v>
      </c>
      <c r="D24" s="1117"/>
      <c r="E24" s="1118"/>
      <c r="F24" s="1118"/>
      <c r="G24" s="1119">
        <f ca="1">IF(G$9="","",SUM(G21:G23))</f>
        <v>0</v>
      </c>
      <c r="H24" s="1119">
        <f t="shared" ref="H24:M24" ca="1" si="3">IF(H$9="","",SUM(H21:H23))</f>
        <v>0</v>
      </c>
      <c r="I24" s="1119">
        <f t="shared" ca="1" si="3"/>
        <v>0</v>
      </c>
      <c r="J24" s="1119">
        <f t="shared" ca="1" si="3"/>
        <v>0</v>
      </c>
      <c r="K24" s="1119">
        <f t="shared" ca="1" si="3"/>
        <v>0</v>
      </c>
      <c r="L24" s="1119">
        <f t="shared" ca="1" si="3"/>
        <v>0</v>
      </c>
      <c r="M24" s="1119">
        <f t="shared" ca="1" si="3"/>
        <v>0</v>
      </c>
      <c r="N24" s="1119">
        <f ca="1">IF(N$9="","",SUM(N21:N23))</f>
        <v>0</v>
      </c>
      <c r="O24" s="1119" t="str">
        <f>IF(O$9="","",SUM(O21:O23))</f>
        <v/>
      </c>
      <c r="P24" s="1119" t="str">
        <f>IF(P$9="","",SUM(P21:P23))</f>
        <v/>
      </c>
      <c r="Q24" s="1119" t="str">
        <f>IF(Q$9="","",SUM(Q21:Q23))</f>
        <v/>
      </c>
      <c r="R24" s="1135"/>
      <c r="S24" s="1119">
        <f>SUM(S21:S23)</f>
        <v>0</v>
      </c>
      <c r="T24" s="1507"/>
      <c r="U24" s="1510"/>
      <c r="V24" s="1525"/>
      <c r="W24" s="1525"/>
      <c r="X24" s="1525"/>
      <c r="Y24" s="1525"/>
    </row>
    <row r="25" spans="1:25" s="321" customFormat="1" ht="13.9">
      <c r="A25" s="1510"/>
      <c r="B25" s="1510"/>
      <c r="C25" s="331"/>
      <c r="D25" s="331"/>
      <c r="E25" s="296"/>
      <c r="F25" s="328"/>
      <c r="G25" s="1525"/>
      <c r="H25" s="1525"/>
      <c r="I25" s="1525"/>
      <c r="J25" s="1525"/>
      <c r="K25" s="1525"/>
      <c r="L25" s="1525"/>
      <c r="M25" s="1525"/>
      <c r="N25" s="1525"/>
      <c r="O25" s="1525"/>
      <c r="P25" s="1525"/>
      <c r="Q25" s="1525"/>
      <c r="R25" s="1525"/>
      <c r="S25" s="1525"/>
      <c r="T25" s="1525"/>
      <c r="U25" s="1510"/>
      <c r="V25" s="1507"/>
      <c r="W25" s="1507"/>
      <c r="X25" s="1507"/>
      <c r="Y25" s="2060"/>
    </row>
    <row r="26" spans="1:25" s="1507" customFormat="1" ht="13.9">
      <c r="A26" s="1510"/>
      <c r="B26" s="1510"/>
      <c r="C26" s="2046" t="s">
        <v>296</v>
      </c>
      <c r="D26" s="299"/>
      <c r="E26" s="963"/>
      <c r="F26" s="963"/>
      <c r="G26" s="879">
        <f>IF(G$9="","",'PFI Inputs'!G84)</f>
        <v>0</v>
      </c>
      <c r="H26" s="879">
        <f>IF(H$9="","",'PFI Inputs'!H84)</f>
        <v>0</v>
      </c>
      <c r="I26" s="879">
        <f>IF(I$9="","",'PFI Inputs'!I84)</f>
        <v>0</v>
      </c>
      <c r="J26" s="879">
        <f>IF(J$9="","",'PFI Inputs'!J84)</f>
        <v>0</v>
      </c>
      <c r="K26" s="879">
        <f>IF(K$9="","",'PFI Inputs'!K84)</f>
        <v>0</v>
      </c>
      <c r="L26" s="879">
        <f>IF(L$9="","",'PFI Inputs'!L84)</f>
        <v>0</v>
      </c>
      <c r="M26" s="879">
        <f>IF(M$9="","",'PFI Inputs'!M84)</f>
        <v>0</v>
      </c>
      <c r="N26" s="879">
        <f>IF(N$9="","",'PFI Inputs'!N84)</f>
        <v>0</v>
      </c>
      <c r="O26" s="879" t="str">
        <f>IF(O$9="","",'PFI Inputs'!O84)</f>
        <v/>
      </c>
      <c r="P26" s="879" t="str">
        <f>IF(P$9="","",'PFI Inputs'!P84)</f>
        <v/>
      </c>
      <c r="Q26" s="879" t="str">
        <f>IF(Q$9="","",'PFI Inputs'!Q84)</f>
        <v/>
      </c>
      <c r="R26" s="2060"/>
      <c r="S26" s="879">
        <f>IF(S$9="","",'PFI Inputs'!S84)</f>
        <v>0</v>
      </c>
      <c r="U26" s="1510"/>
      <c r="W26" s="2060"/>
      <c r="X26" s="2060"/>
    </row>
    <row r="27" spans="1:25" s="1507" customFormat="1" ht="13.9">
      <c r="A27" s="1510"/>
      <c r="B27" s="1510"/>
      <c r="C27" s="2046" t="s">
        <v>910</v>
      </c>
      <c r="D27" s="299"/>
      <c r="E27" s="963"/>
      <c r="F27" s="963"/>
      <c r="G27" s="879">
        <f>IF(G$9="","",'PFI Inputs'!G85)</f>
        <v>0</v>
      </c>
      <c r="H27" s="879">
        <f>IF(H$9="","",'PFI Inputs'!H85)</f>
        <v>0</v>
      </c>
      <c r="I27" s="879">
        <f>IF(I$9="","",'PFI Inputs'!I85)</f>
        <v>0</v>
      </c>
      <c r="J27" s="879">
        <f>IF(J$9="","",'PFI Inputs'!J85)</f>
        <v>0</v>
      </c>
      <c r="K27" s="879">
        <f>IF(K$9="","",'PFI Inputs'!K85)</f>
        <v>0</v>
      </c>
      <c r="L27" s="879">
        <f>IF(L$9="","",'PFI Inputs'!L85)</f>
        <v>0</v>
      </c>
      <c r="M27" s="879">
        <f>IF(M$9="","",'PFI Inputs'!M85)</f>
        <v>0</v>
      </c>
      <c r="N27" s="879">
        <f>IF(N$9="","",'PFI Inputs'!N85)</f>
        <v>0</v>
      </c>
      <c r="O27" s="879" t="str">
        <f>IF(O$9="","",'PFI Inputs'!O85)</f>
        <v/>
      </c>
      <c r="P27" s="879" t="str">
        <f>IF(P$9="","",'PFI Inputs'!P85)</f>
        <v/>
      </c>
      <c r="Q27" s="879" t="str">
        <f>IF(Q$9="","",'PFI Inputs'!Q85)</f>
        <v/>
      </c>
      <c r="R27" s="2060"/>
      <c r="S27" s="879">
        <f>IF(S$9="","",'PFI Inputs'!S85)</f>
        <v>0</v>
      </c>
      <c r="U27" s="1510"/>
      <c r="W27" s="2060"/>
      <c r="X27" s="2060"/>
    </row>
    <row r="28" spans="1:25" s="1507" customFormat="1" ht="13.9">
      <c r="A28" s="1510"/>
      <c r="B28" s="1510"/>
      <c r="C28" s="2046" t="s">
        <v>911</v>
      </c>
      <c r="D28" s="299"/>
      <c r="E28" s="963"/>
      <c r="F28" s="963"/>
      <c r="G28" s="879">
        <f>IF(G$9="","",'PFI Inputs'!G86)</f>
        <v>0</v>
      </c>
      <c r="H28" s="879">
        <f>IF(H$9="","",'PFI Inputs'!H86)</f>
        <v>0</v>
      </c>
      <c r="I28" s="879">
        <f>IF(I$9="","",'PFI Inputs'!I86)</f>
        <v>0</v>
      </c>
      <c r="J28" s="879">
        <f>IF(J$9="","",'PFI Inputs'!J86)</f>
        <v>0</v>
      </c>
      <c r="K28" s="879">
        <f>IF(K$9="","",'PFI Inputs'!K86)</f>
        <v>0</v>
      </c>
      <c r="L28" s="879">
        <f>IF(L$9="","",'PFI Inputs'!L86)</f>
        <v>0</v>
      </c>
      <c r="M28" s="879">
        <f>IF(M$9="","",'PFI Inputs'!M86)</f>
        <v>0</v>
      </c>
      <c r="N28" s="879">
        <f>IF(N$9="","",'PFI Inputs'!N86)</f>
        <v>0</v>
      </c>
      <c r="O28" s="879" t="str">
        <f>IF(O$9="","",'PFI Inputs'!O86)</f>
        <v/>
      </c>
      <c r="P28" s="879" t="str">
        <f>IF(P$9="","",'PFI Inputs'!P86)</f>
        <v/>
      </c>
      <c r="Q28" s="879" t="str">
        <f>IF(Q$9="","",'PFI Inputs'!Q86)</f>
        <v/>
      </c>
      <c r="R28" s="2060"/>
      <c r="S28" s="879">
        <f>IF(S$9="","",'PFI Inputs'!S86)</f>
        <v>0</v>
      </c>
      <c r="U28" s="1510"/>
      <c r="W28" s="2060"/>
      <c r="X28" s="2060"/>
    </row>
    <row r="29" spans="1:25" s="1507" customFormat="1" ht="13.9">
      <c r="A29" s="1510"/>
      <c r="B29" s="1510"/>
      <c r="C29" s="2046" t="s">
        <v>916</v>
      </c>
      <c r="D29" s="299"/>
      <c r="E29" s="963"/>
      <c r="F29" s="963"/>
      <c r="G29" s="879">
        <f>IF(G$9="","",'PFI Inputs'!G87)</f>
        <v>0</v>
      </c>
      <c r="H29" s="879">
        <f>IF(H$9="","",'PFI Inputs'!H87)</f>
        <v>0</v>
      </c>
      <c r="I29" s="879">
        <f>IF(I$9="","",'PFI Inputs'!I87)</f>
        <v>0</v>
      </c>
      <c r="J29" s="879">
        <f>IF(J$9="","",'PFI Inputs'!J87)</f>
        <v>0</v>
      </c>
      <c r="K29" s="879">
        <f>IF(K$9="","",'PFI Inputs'!K87)</f>
        <v>0</v>
      </c>
      <c r="L29" s="879">
        <f>IF(L$9="","",'PFI Inputs'!L87)</f>
        <v>0</v>
      </c>
      <c r="M29" s="879">
        <f>IF(M$9="","",'PFI Inputs'!M87)</f>
        <v>0</v>
      </c>
      <c r="N29" s="879">
        <f>IF(N$9="","",'PFI Inputs'!N87)</f>
        <v>0</v>
      </c>
      <c r="O29" s="879" t="str">
        <f>IF(O$9="","",'PFI Inputs'!O87)</f>
        <v/>
      </c>
      <c r="P29" s="879" t="str">
        <f>IF(P$9="","",'PFI Inputs'!P87)</f>
        <v/>
      </c>
      <c r="Q29" s="879" t="str">
        <f>IF(Q$9="","",'PFI Inputs'!Q87)</f>
        <v/>
      </c>
      <c r="R29" s="2060"/>
      <c r="S29" s="879">
        <f>IF(S$9="","",'PFI Inputs'!S87)</f>
        <v>0</v>
      </c>
      <c r="U29" s="1510"/>
      <c r="W29" s="2060"/>
      <c r="X29" s="2060"/>
    </row>
    <row r="30" spans="1:25" s="1507" customFormat="1" ht="13.9">
      <c r="A30" s="1510"/>
      <c r="B30" s="1510"/>
      <c r="C30" s="1378" t="s">
        <v>449</v>
      </c>
      <c r="D30" s="298"/>
      <c r="E30" s="964"/>
      <c r="F30" s="964"/>
      <c r="G30" s="880">
        <f t="shared" ref="G30:L30" ca="1" si="4">IF(G$9="","",SUM(G24,G26:G29))</f>
        <v>0</v>
      </c>
      <c r="H30" s="880">
        <f t="shared" ca="1" si="4"/>
        <v>0</v>
      </c>
      <c r="I30" s="880">
        <f t="shared" ca="1" si="4"/>
        <v>0</v>
      </c>
      <c r="J30" s="880">
        <f t="shared" ca="1" si="4"/>
        <v>0</v>
      </c>
      <c r="K30" s="880">
        <f t="shared" ca="1" si="4"/>
        <v>0</v>
      </c>
      <c r="L30" s="880">
        <f t="shared" ca="1" si="4"/>
        <v>0</v>
      </c>
      <c r="M30" s="880">
        <f ca="1">IF(M$9="","",SUM(M24,M26:M29))</f>
        <v>0</v>
      </c>
      <c r="N30" s="880">
        <f ca="1">IF(N$9="","",SUM(N24,N26:N29))</f>
        <v>0</v>
      </c>
      <c r="O30" s="880" t="str">
        <f>IF(O$9="","",SUM(O24,O26:O29))</f>
        <v/>
      </c>
      <c r="P30" s="880" t="str">
        <f>IF(P$9="","",SUM(P24,P26:P29))</f>
        <v/>
      </c>
      <c r="Q30" s="880" t="str">
        <f>IF(Q$9="","",SUM(Q24,Q26:Q29))</f>
        <v/>
      </c>
      <c r="R30" s="1502"/>
      <c r="S30" s="880">
        <f>SUM(S24,S26:S29)</f>
        <v>0</v>
      </c>
      <c r="U30" s="1510"/>
      <c r="W30" s="2060"/>
      <c r="X30" s="2060"/>
    </row>
    <row r="31" spans="1:25" s="312" customFormat="1" ht="13.9">
      <c r="A31" s="1510"/>
      <c r="B31" s="1510"/>
      <c r="D31" s="299"/>
      <c r="E31" s="963"/>
      <c r="F31" s="963"/>
      <c r="G31" s="879"/>
      <c r="H31" s="879"/>
      <c r="I31" s="879"/>
      <c r="J31" s="879"/>
      <c r="K31" s="879"/>
      <c r="L31" s="879"/>
      <c r="M31" s="879"/>
      <c r="N31" s="879"/>
      <c r="O31" s="879"/>
      <c r="P31" s="879"/>
      <c r="Q31" s="879"/>
      <c r="S31" s="879"/>
      <c r="T31" s="1525"/>
      <c r="U31" s="1510"/>
      <c r="W31" s="2060"/>
      <c r="X31" s="2060"/>
    </row>
    <row r="32" spans="1:25" s="312" customFormat="1" ht="13.9">
      <c r="A32" s="1510"/>
      <c r="B32" s="1510"/>
      <c r="C32" s="312" t="str">
        <f>'PFI Inputs'!C90</f>
        <v>Tax</v>
      </c>
      <c r="E32" s="963"/>
      <c r="F32" s="963"/>
      <c r="G32" s="879">
        <f ca="1">IF(G$9="","",'PFI Inputs'!G90)</f>
        <v>0</v>
      </c>
      <c r="H32" s="879">
        <f ca="1">IF(H$9="","",'PFI Inputs'!H90)</f>
        <v>0</v>
      </c>
      <c r="I32" s="879">
        <f ca="1">IF(I$9="","",'PFI Inputs'!I90)</f>
        <v>0</v>
      </c>
      <c r="J32" s="879">
        <f ca="1">IF(J$9="","",'PFI Inputs'!J90)</f>
        <v>0</v>
      </c>
      <c r="K32" s="879">
        <f ca="1">IF(K$9="","",'PFI Inputs'!K90)</f>
        <v>0</v>
      </c>
      <c r="L32" s="879">
        <f ca="1">IF(L$9="","",'PFI Inputs'!L90)</f>
        <v>0</v>
      </c>
      <c r="M32" s="879">
        <f ca="1">IF(M$9="","",'PFI Inputs'!M90)</f>
        <v>0</v>
      </c>
      <c r="N32" s="879">
        <f ca="1">IF(N$9="","",'PFI Inputs'!N90)</f>
        <v>0</v>
      </c>
      <c r="O32" s="879" t="str">
        <f>IF(O$9="","",'PFI Inputs'!O90)</f>
        <v/>
      </c>
      <c r="P32" s="879" t="str">
        <f>IF(P$9="","",'PFI Inputs'!P90)</f>
        <v/>
      </c>
      <c r="Q32" s="879" t="str">
        <f>IF(Q$9="","",'PFI Inputs'!Q90)</f>
        <v/>
      </c>
      <c r="R32" s="2060"/>
      <c r="S32" s="879">
        <f ca="1">IF(S$9="","",'PFI Inputs'!S90)</f>
        <v>0</v>
      </c>
      <c r="T32" s="1525"/>
      <c r="U32" s="1510"/>
      <c r="W32" s="2060"/>
      <c r="X32" s="2060"/>
    </row>
    <row r="33" spans="1:25" s="312" customFormat="1" ht="13.9">
      <c r="A33" s="1510"/>
      <c r="B33" s="1510"/>
      <c r="C33" s="1117" t="s">
        <v>395</v>
      </c>
      <c r="D33" s="1117"/>
      <c r="E33" s="1118"/>
      <c r="F33" s="1118"/>
      <c r="G33" s="1119">
        <f t="shared" ref="G33:L33" ca="1" si="5">IF(G$9="","",G30+G32)</f>
        <v>0</v>
      </c>
      <c r="H33" s="1119">
        <f t="shared" ca="1" si="5"/>
        <v>0</v>
      </c>
      <c r="I33" s="1119">
        <f t="shared" ca="1" si="5"/>
        <v>0</v>
      </c>
      <c r="J33" s="1119">
        <f t="shared" ca="1" si="5"/>
        <v>0</v>
      </c>
      <c r="K33" s="1119">
        <f t="shared" ca="1" si="5"/>
        <v>0</v>
      </c>
      <c r="L33" s="1119">
        <f t="shared" ca="1" si="5"/>
        <v>0</v>
      </c>
      <c r="M33" s="1119">
        <f ca="1">IF(M$9="","",M30+M32)</f>
        <v>0</v>
      </c>
      <c r="N33" s="1119">
        <f ca="1">IF(N$9="","",N30+N32)</f>
        <v>0</v>
      </c>
      <c r="O33" s="1119" t="str">
        <f>IF(O$9="","",O30+O32)</f>
        <v/>
      </c>
      <c r="P33" s="1119" t="str">
        <f>IF(P$9="","",P30+P32)</f>
        <v/>
      </c>
      <c r="Q33" s="1119" t="str">
        <f>IF(Q$9="","",Q30+Q32)</f>
        <v/>
      </c>
      <c r="R33" s="1119"/>
      <c r="S33" s="1119">
        <f ca="1">S30+S32</f>
        <v>0</v>
      </c>
      <c r="T33" s="1525"/>
      <c r="U33" s="1510"/>
      <c r="W33" s="2060"/>
      <c r="X33" s="2060"/>
    </row>
    <row r="34" spans="1:25" s="1525" customFormat="1" ht="13.9">
      <c r="A34" s="1510"/>
      <c r="B34" s="1510"/>
      <c r="C34" s="1529"/>
      <c r="D34" s="1529"/>
      <c r="E34" s="691"/>
      <c r="F34" s="1529"/>
      <c r="G34" s="691"/>
      <c r="H34" s="361"/>
      <c r="I34" s="361"/>
      <c r="J34" s="361"/>
      <c r="K34" s="361"/>
      <c r="L34" s="361"/>
      <c r="M34" s="361"/>
      <c r="N34" s="361"/>
      <c r="O34" s="361"/>
      <c r="P34" s="361"/>
      <c r="Q34" s="361"/>
      <c r="R34" s="2060"/>
      <c r="S34" s="361"/>
      <c r="U34" s="1510"/>
      <c r="W34" s="2060"/>
      <c r="X34" s="2060"/>
    </row>
    <row r="35" spans="1:25" ht="13.9">
      <c r="A35" s="1510" t="str">
        <f t="shared" si="0"/>
        <v>n</v>
      </c>
      <c r="B35" s="1510"/>
      <c r="C35" s="1528" t="s">
        <v>923</v>
      </c>
      <c r="D35" s="1528"/>
      <c r="E35" s="963"/>
      <c r="F35" s="963"/>
      <c r="G35" s="879">
        <f>IF(G$9="","",'PFI Inputs'!G95)</f>
        <v>0</v>
      </c>
      <c r="H35" s="879">
        <f>IF(H$9="","",'PFI Inputs'!H95)</f>
        <v>0</v>
      </c>
      <c r="I35" s="879">
        <f>IF(I$9="","",'PFI Inputs'!I95)</f>
        <v>0</v>
      </c>
      <c r="J35" s="879">
        <f>IF(J$9="","",'PFI Inputs'!J95)</f>
        <v>0</v>
      </c>
      <c r="K35" s="879">
        <f>IF(K$9="","",'PFI Inputs'!K95)</f>
        <v>0</v>
      </c>
      <c r="L35" s="879">
        <f>IF(L$9="","",'PFI Inputs'!L95)</f>
        <v>0</v>
      </c>
      <c r="M35" s="879">
        <f>IF(M$9="","",'PFI Inputs'!M95)</f>
        <v>0</v>
      </c>
      <c r="N35" s="879">
        <f>IF(N$9="","",'PFI Inputs'!N95)</f>
        <v>0</v>
      </c>
      <c r="O35" s="879" t="str">
        <f>IF(O$9="","",'PFI Inputs'!O95)</f>
        <v/>
      </c>
      <c r="P35" s="879" t="str">
        <f>IF(P$9="","",'PFI Inputs'!P95)</f>
        <v/>
      </c>
      <c r="Q35" s="879" t="str">
        <f>IF(Q$9="","",'PFI Inputs'!Q95)</f>
        <v/>
      </c>
      <c r="R35" s="879"/>
      <c r="S35" s="879">
        <f>'PFI Inputs'!S95</f>
        <v>0</v>
      </c>
      <c r="T35" s="1525"/>
      <c r="U35" s="1510"/>
      <c r="V35" s="1525"/>
      <c r="W35" s="1525"/>
      <c r="X35" s="1525"/>
      <c r="Y35" s="2060"/>
    </row>
    <row r="36" spans="1:25" s="321" customFormat="1" ht="13.9">
      <c r="A36" s="1510" t="str">
        <f t="shared" si="0"/>
        <v>n</v>
      </c>
      <c r="B36" s="1510"/>
      <c r="C36" s="289" t="s">
        <v>1406</v>
      </c>
      <c r="D36" s="289"/>
      <c r="E36" s="963"/>
      <c r="F36" s="963"/>
      <c r="G36" s="879">
        <f>'PFI Inputs'!G295</f>
        <v>0</v>
      </c>
      <c r="H36" s="879">
        <f>IF(H$9="","",'PFI Inputs'!H295)</f>
        <v>0</v>
      </c>
      <c r="I36" s="879">
        <f>IF(I$9="","",'PFI Inputs'!I295)</f>
        <v>0</v>
      </c>
      <c r="J36" s="879">
        <f>IF(J$9="","",'PFI Inputs'!J295)</f>
        <v>0</v>
      </c>
      <c r="K36" s="879">
        <f>IF(K$9="","",'PFI Inputs'!K295)</f>
        <v>0</v>
      </c>
      <c r="L36" s="879">
        <f>IF(L$9="","",'PFI Inputs'!L295)</f>
        <v>0</v>
      </c>
      <c r="M36" s="879">
        <f>IF(M$9="","",'PFI Inputs'!M295)</f>
        <v>0</v>
      </c>
      <c r="N36" s="879">
        <f>IF(N$9="","",'PFI Inputs'!N295)</f>
        <v>0</v>
      </c>
      <c r="O36" s="879" t="str">
        <f>IF(O$9="","",'PFI Inputs'!O295)</f>
        <v/>
      </c>
      <c r="P36" s="879" t="str">
        <f>IF(P$9="","",'PFI Inputs'!P295)</f>
        <v/>
      </c>
      <c r="Q36" s="879" t="str">
        <f>IF(Q$9="","",'PFI Inputs'!Q295)</f>
        <v/>
      </c>
      <c r="R36" s="879"/>
      <c r="S36" s="879">
        <f>'PFI Inputs'!S295</f>
        <v>0</v>
      </c>
      <c r="T36" s="1525"/>
      <c r="U36" s="1510"/>
      <c r="V36" s="1507"/>
      <c r="W36" s="1507"/>
      <c r="X36" s="1507"/>
      <c r="Y36" s="2060"/>
    </row>
    <row r="37" spans="1:25" s="321" customFormat="1" ht="13.9">
      <c r="A37" s="1510"/>
      <c r="B37" s="1510"/>
      <c r="C37" s="289" t="s">
        <v>1407</v>
      </c>
      <c r="D37" s="289"/>
      <c r="E37" s="963"/>
      <c r="F37" s="963"/>
      <c r="G37" s="3">
        <f t="shared" ref="G37:L37" si="6">IF(G$9="","",IFERROR(G36/G10,0))</f>
        <v>0</v>
      </c>
      <c r="H37" s="3">
        <f t="shared" si="6"/>
        <v>0</v>
      </c>
      <c r="I37" s="3">
        <f t="shared" si="6"/>
        <v>0</v>
      </c>
      <c r="J37" s="3">
        <f t="shared" si="6"/>
        <v>0</v>
      </c>
      <c r="K37" s="3">
        <f t="shared" si="6"/>
        <v>0</v>
      </c>
      <c r="L37" s="3">
        <f t="shared" si="6"/>
        <v>0</v>
      </c>
      <c r="M37" s="3">
        <f>IF(M$9="","",IFERROR(M36/M10,0))</f>
        <v>0</v>
      </c>
      <c r="N37" s="3">
        <f>IF(N$9="","",IFERROR(N36/N10,0))</f>
        <v>0</v>
      </c>
      <c r="O37" s="3" t="str">
        <f>IF(O$9="","",IFERROR(O36/O10,0))</f>
        <v/>
      </c>
      <c r="P37" s="3" t="str">
        <f>IF(P$9="","",IFERROR(P36/P10,0))</f>
        <v/>
      </c>
      <c r="Q37" s="3" t="str">
        <f>IF(Q$9="","",IFERROR(Q36/Q10,0))</f>
        <v/>
      </c>
      <c r="R37" s="879"/>
      <c r="S37" s="3">
        <f ca="1">'PFI Inputs'!S297</f>
        <v>0</v>
      </c>
      <c r="T37" s="1525"/>
      <c r="U37" s="1510"/>
      <c r="V37" s="1507"/>
      <c r="W37" s="1507"/>
      <c r="X37" s="1507"/>
      <c r="Y37" s="2060"/>
    </row>
    <row r="38" spans="1:25" s="312" customFormat="1" ht="13.9">
      <c r="A38" s="1510" t="str">
        <f t="shared" si="0"/>
        <v>n</v>
      </c>
      <c r="B38" s="1510"/>
      <c r="C38" s="305" t="s">
        <v>1029</v>
      </c>
      <c r="D38" s="305"/>
      <c r="E38" s="963"/>
      <c r="F38" s="963"/>
      <c r="G38" s="879">
        <f>'PFI Inputs'!G299</f>
        <v>0</v>
      </c>
      <c r="H38" s="879">
        <f>IF(H$9="","",'PFI Inputs'!H299)</f>
        <v>0</v>
      </c>
      <c r="I38" s="879">
        <f>IF(I$9="","",'PFI Inputs'!I299)</f>
        <v>0</v>
      </c>
      <c r="J38" s="879">
        <f>IF(J$9="","",'PFI Inputs'!J299)</f>
        <v>0</v>
      </c>
      <c r="K38" s="879">
        <f>IF(K$9="","",'PFI Inputs'!K299)</f>
        <v>0</v>
      </c>
      <c r="L38" s="879">
        <f>IF(L$9="","",'PFI Inputs'!L299)</f>
        <v>0</v>
      </c>
      <c r="M38" s="879">
        <f>IF(M$9="","",'PFI Inputs'!M299)</f>
        <v>0</v>
      </c>
      <c r="N38" s="879">
        <f>IF(N$9="","",'PFI Inputs'!N299)</f>
        <v>0</v>
      </c>
      <c r="O38" s="879" t="str">
        <f>IF(O$9="","",'PFI Inputs'!O299)</f>
        <v/>
      </c>
      <c r="P38" s="879" t="str">
        <f>IF(P$9="","",'PFI Inputs'!P299)</f>
        <v/>
      </c>
      <c r="Q38" s="879" t="str">
        <f>IF(Q$9="","",'PFI Inputs'!Q299)</f>
        <v/>
      </c>
      <c r="R38" s="879"/>
      <c r="S38" s="879">
        <f ca="1">'PFI Inputs'!$S$299</f>
        <v>0</v>
      </c>
      <c r="T38" s="1525"/>
      <c r="U38" s="1510"/>
      <c r="Y38" s="2060"/>
    </row>
    <row r="39" spans="1:25" s="312" customFormat="1" ht="13.9">
      <c r="A39" s="1510"/>
      <c r="B39" s="1510"/>
      <c r="C39" s="1529"/>
      <c r="D39" s="1529"/>
      <c r="E39" s="306"/>
      <c r="F39" s="306"/>
      <c r="G39" s="326"/>
      <c r="H39" s="326"/>
      <c r="I39" s="326"/>
      <c r="J39" s="326"/>
      <c r="K39" s="326"/>
      <c r="L39" s="326"/>
      <c r="M39" s="326"/>
      <c r="N39" s="326"/>
      <c r="O39" s="326"/>
      <c r="P39" s="326"/>
      <c r="Q39" s="326"/>
      <c r="R39" s="326"/>
      <c r="S39" s="326"/>
      <c r="T39" s="1525"/>
      <c r="U39" s="1510"/>
      <c r="Y39" s="2060"/>
    </row>
    <row r="40" spans="1:25" s="312" customFormat="1" ht="13.9">
      <c r="A40" s="1510" t="str">
        <f t="shared" si="0"/>
        <v/>
      </c>
      <c r="B40" s="1510"/>
      <c r="C40" s="1120" t="s">
        <v>924</v>
      </c>
      <c r="D40" s="1121"/>
      <c r="E40" s="1122"/>
      <c r="F40" s="1122"/>
      <c r="G40" s="1123">
        <f t="shared" ref="G40:L40" si="7">G9</f>
        <v>42825</v>
      </c>
      <c r="H40" s="1123">
        <f t="shared" si="7"/>
        <v>43190</v>
      </c>
      <c r="I40" s="1123">
        <f t="shared" si="7"/>
        <v>43555</v>
      </c>
      <c r="J40" s="1123">
        <f t="shared" si="7"/>
        <v>43921</v>
      </c>
      <c r="K40" s="1123">
        <f t="shared" si="7"/>
        <v>44286</v>
      </c>
      <c r="L40" s="1123">
        <f t="shared" si="7"/>
        <v>44651</v>
      </c>
      <c r="M40" s="1123">
        <f>M9</f>
        <v>45016</v>
      </c>
      <c r="N40" s="1123">
        <f>N9</f>
        <v>45382</v>
      </c>
      <c r="O40" s="1123" t="str">
        <f>O9</f>
        <v/>
      </c>
      <c r="P40" s="1123" t="str">
        <f>P9</f>
        <v/>
      </c>
      <c r="Q40" s="1123" t="str">
        <f>Q9</f>
        <v/>
      </c>
      <c r="R40" s="1134"/>
      <c r="S40" s="1123">
        <f>S9</f>
        <v>45382</v>
      </c>
      <c r="T40" s="1525"/>
      <c r="U40" s="1510"/>
      <c r="Y40" s="2060"/>
    </row>
    <row r="41" spans="1:25" ht="13.9">
      <c r="A41" s="1510" t="str">
        <f t="shared" si="0"/>
        <v>n</v>
      </c>
      <c r="B41" s="1510"/>
      <c r="C41" s="1528" t="s">
        <v>466</v>
      </c>
      <c r="D41" s="1529"/>
      <c r="E41" s="370"/>
      <c r="F41" s="1525"/>
      <c r="G41" s="1628" t="str">
        <f>'PFI Inputs'!G307</f>
        <v>--</v>
      </c>
      <c r="H41" s="1628" t="str">
        <f>IF(H$9="","",IFERROR(H10/SUMIFS('PFI Inputs'!$F$28:$G$28,'PFI Inputs'!$F$23:$G$23,0)-1,"n/a"))</f>
        <v>n/a</v>
      </c>
      <c r="I41" s="1628" t="str">
        <f t="shared" ref="I41:Q41" si="8">IF(I$9="","",IFERROR(I10/H10-1,"n/a"))</f>
        <v>n/a</v>
      </c>
      <c r="J41" s="1628" t="str">
        <f t="shared" si="8"/>
        <v>n/a</v>
      </c>
      <c r="K41" s="1628" t="str">
        <f t="shared" si="8"/>
        <v>n/a</v>
      </c>
      <c r="L41" s="1628" t="str">
        <f t="shared" si="8"/>
        <v>n/a</v>
      </c>
      <c r="M41" s="1628" t="str">
        <f t="shared" si="8"/>
        <v>n/a</v>
      </c>
      <c r="N41" s="1628" t="str">
        <f t="shared" si="8"/>
        <v>n/a</v>
      </c>
      <c r="O41" s="1628" t="str">
        <f t="shared" si="8"/>
        <v/>
      </c>
      <c r="P41" s="1628" t="str">
        <f t="shared" si="8"/>
        <v/>
      </c>
      <c r="Q41" s="1628" t="str">
        <f t="shared" si="8"/>
        <v/>
      </c>
      <c r="R41" s="1628"/>
      <c r="S41" s="1628" t="str">
        <f>IFERROR(S10/SUMIFS(G10:Q10,$G$9:$Q$9,EOMONTH($S$9,-12))-1,"n/a")</f>
        <v>n/a</v>
      </c>
      <c r="T41" s="1525"/>
      <c r="U41" s="1510"/>
      <c r="V41" s="1525"/>
      <c r="W41" s="1525"/>
      <c r="X41" s="1525"/>
      <c r="Y41" s="2060"/>
    </row>
    <row r="42" spans="1:25" s="1027" customFormat="1" ht="13.9">
      <c r="A42" s="1510"/>
      <c r="B42" s="1510"/>
      <c r="C42" s="1528" t="s">
        <v>930</v>
      </c>
      <c r="D42" s="1529"/>
      <c r="E42" s="370"/>
      <c r="F42" s="1525"/>
      <c r="G42" s="1628" t="str">
        <f>'PFI Inputs'!G308</f>
        <v>--</v>
      </c>
      <c r="H42" s="1628" t="str">
        <f>IF(H$9="","",IFERROR(H12/SUMIFS('PFI Inputs'!$F$37:$G$37,'PFI Inputs'!$F$23:$G$23,0)-1,"n/a"))</f>
        <v>n/a</v>
      </c>
      <c r="I42" s="1628" t="str">
        <f t="shared" ref="I42:Q42" si="9">IF(I$9="","",IFERROR(I12/H12-1,"n/a"))</f>
        <v>n/a</v>
      </c>
      <c r="J42" s="1628" t="str">
        <f t="shared" si="9"/>
        <v>n/a</v>
      </c>
      <c r="K42" s="1628" t="str">
        <f t="shared" si="9"/>
        <v>n/a</v>
      </c>
      <c r="L42" s="1628" t="str">
        <f t="shared" si="9"/>
        <v>n/a</v>
      </c>
      <c r="M42" s="1628" t="str">
        <f t="shared" si="9"/>
        <v>n/a</v>
      </c>
      <c r="N42" s="1628" t="str">
        <f t="shared" si="9"/>
        <v>n/a</v>
      </c>
      <c r="O42" s="1628" t="str">
        <f t="shared" si="9"/>
        <v/>
      </c>
      <c r="P42" s="1628" t="str">
        <f t="shared" si="9"/>
        <v/>
      </c>
      <c r="Q42" s="1628" t="str">
        <f t="shared" si="9"/>
        <v/>
      </c>
      <c r="R42" s="1628"/>
      <c r="S42" s="1628" t="str">
        <f>IFERROR(S12/SUMIFS(G12:Q12,$G$9:$Q$9,EOMONTH($S$9,-12))-1,"n/a")</f>
        <v>n/a</v>
      </c>
      <c r="T42" s="1525"/>
      <c r="U42" s="1510"/>
      <c r="V42" s="1525"/>
      <c r="W42" s="1525"/>
      <c r="X42" s="1525"/>
      <c r="Y42" s="2060"/>
    </row>
    <row r="43" spans="1:25" ht="13.9">
      <c r="A43" s="1510" t="str">
        <f t="shared" si="0"/>
        <v>n</v>
      </c>
      <c r="B43" s="1510"/>
      <c r="C43" s="1528" t="s">
        <v>258</v>
      </c>
      <c r="D43" s="1529"/>
      <c r="E43" s="370"/>
      <c r="F43" s="1525"/>
      <c r="G43" s="1628" t="str">
        <f>'PFI Inputs'!G309</f>
        <v>--</v>
      </c>
      <c r="H43" s="1628" t="str">
        <f>IF(H$9="","",IFERROR(H21/SUMIFS('PFI Inputs'!$F$72:$G$72,'PFI Inputs'!$F$23:$G$23,0)-1,"n/a"))</f>
        <v>n/a</v>
      </c>
      <c r="I43" s="1628" t="str">
        <f t="shared" ref="I43:Q43" si="10">IF(I$9="","",IFERROR(I21/H21-1,"n/a"))</f>
        <v>n/a</v>
      </c>
      <c r="J43" s="1628" t="str">
        <f t="shared" si="10"/>
        <v>n/a</v>
      </c>
      <c r="K43" s="1628" t="str">
        <f t="shared" si="10"/>
        <v>n/a</v>
      </c>
      <c r="L43" s="1628" t="str">
        <f t="shared" si="10"/>
        <v>n/a</v>
      </c>
      <c r="M43" s="1628" t="str">
        <f t="shared" si="10"/>
        <v>n/a</v>
      </c>
      <c r="N43" s="1628" t="str">
        <f t="shared" si="10"/>
        <v>n/a</v>
      </c>
      <c r="O43" s="1628" t="str">
        <f t="shared" si="10"/>
        <v/>
      </c>
      <c r="P43" s="1628" t="str">
        <f t="shared" si="10"/>
        <v/>
      </c>
      <c r="Q43" s="1628" t="str">
        <f t="shared" si="10"/>
        <v/>
      </c>
      <c r="R43" s="1628"/>
      <c r="S43" s="1628" t="str">
        <f>IFERROR(S21/SUMIFS(G21:Q21,$G$9:$Q$9,EOMONTH($S$9,-12))-1,"n/a")</f>
        <v>n/a</v>
      </c>
      <c r="T43" s="1525"/>
      <c r="U43" s="1510"/>
      <c r="V43" s="1525"/>
      <c r="W43" s="1525"/>
      <c r="X43" s="1525"/>
      <c r="Y43" s="2060"/>
    </row>
    <row r="44" spans="1:25" s="1027" customFormat="1" ht="13.9">
      <c r="A44" s="1510"/>
      <c r="B44" s="1510"/>
      <c r="C44" s="331" t="s">
        <v>226</v>
      </c>
      <c r="D44" s="1529"/>
      <c r="E44" s="372"/>
      <c r="F44" s="1527"/>
      <c r="G44" s="1627" t="str">
        <f ca="1">'PFI Inputs'!G310</f>
        <v>--</v>
      </c>
      <c r="H44" s="1628" t="str">
        <f ca="1">IF(H$9="","",IFERROR(H24/SUMIFS('PFI Inputs'!$F$79:$G$79,'PFI Inputs'!$F$23:$G$23,0)-1,"n/a"))</f>
        <v>n/a</v>
      </c>
      <c r="I44" s="1627" t="str">
        <f t="shared" ref="I44:Q44" ca="1" si="11">IF(I$9="","",IFERROR(I24/H24-1,"n/a"))</f>
        <v>n/a</v>
      </c>
      <c r="J44" s="1627" t="str">
        <f t="shared" ca="1" si="11"/>
        <v>n/a</v>
      </c>
      <c r="K44" s="1627" t="str">
        <f t="shared" ca="1" si="11"/>
        <v>n/a</v>
      </c>
      <c r="L44" s="1627" t="str">
        <f t="shared" ca="1" si="11"/>
        <v>n/a</v>
      </c>
      <c r="M44" s="1627" t="str">
        <f t="shared" ca="1" si="11"/>
        <v>n/a</v>
      </c>
      <c r="N44" s="1627" t="str">
        <f t="shared" ca="1" si="11"/>
        <v>n/a</v>
      </c>
      <c r="O44" s="1627" t="str">
        <f t="shared" si="11"/>
        <v/>
      </c>
      <c r="P44" s="1627" t="str">
        <f t="shared" si="11"/>
        <v/>
      </c>
      <c r="Q44" s="1627" t="str">
        <f t="shared" si="11"/>
        <v/>
      </c>
      <c r="R44" s="1627"/>
      <c r="S44" s="1628" t="str">
        <f ca="1">IFERROR(S24/SUMIFS(G24:Q24,$G$9:$Q$9,EOMONTH($S$9,-12))-1,"n/a")</f>
        <v>n/a</v>
      </c>
      <c r="T44" s="1525"/>
      <c r="U44" s="1510"/>
      <c r="V44" s="1525"/>
      <c r="W44" s="1525"/>
      <c r="X44" s="1525"/>
      <c r="Y44" s="2060"/>
    </row>
    <row r="45" spans="1:25" s="1027" customFormat="1" ht="13.9">
      <c r="A45" s="1510"/>
      <c r="B45" s="1510"/>
      <c r="C45" s="1528" t="s">
        <v>958</v>
      </c>
      <c r="D45" s="1529"/>
      <c r="E45" s="370"/>
      <c r="F45" s="1525"/>
      <c r="G45" s="1628" t="str">
        <f>'PFI Inputs'!G311</f>
        <v>--</v>
      </c>
      <c r="H45" s="1628" t="str">
        <f t="shared" ref="H45:M45" si="12">IF(H$9="","",IFERROR(H12/H$10,"n/a"))</f>
        <v>n/a</v>
      </c>
      <c r="I45" s="1628" t="str">
        <f t="shared" si="12"/>
        <v>n/a</v>
      </c>
      <c r="J45" s="1628" t="str">
        <f t="shared" si="12"/>
        <v>n/a</v>
      </c>
      <c r="K45" s="1628" t="str">
        <f t="shared" si="12"/>
        <v>n/a</v>
      </c>
      <c r="L45" s="1628" t="str">
        <f t="shared" si="12"/>
        <v>n/a</v>
      </c>
      <c r="M45" s="1628" t="str">
        <f t="shared" si="12"/>
        <v>n/a</v>
      </c>
      <c r="N45" s="1628" t="str">
        <f>IF(N$9="","",IFERROR(N12/N$10,"n/a"))</f>
        <v>n/a</v>
      </c>
      <c r="O45" s="1628" t="str">
        <f>IF(O$9="","",IFERROR(O12/O$10,"n/a"))</f>
        <v/>
      </c>
      <c r="P45" s="1628" t="str">
        <f>IF(P$9="","",IFERROR(P12/P$10,"n/a"))</f>
        <v/>
      </c>
      <c r="Q45" s="1628" t="str">
        <f>IF(Q$9="","",IFERROR(Q12/Q$10,"n/a"))</f>
        <v/>
      </c>
      <c r="R45" s="1628"/>
      <c r="S45" s="1628" t="str">
        <f>IFERROR(S12/S$10,"n/a")</f>
        <v>n/a</v>
      </c>
      <c r="T45" s="1525"/>
      <c r="U45" s="1510"/>
      <c r="V45" s="1525"/>
      <c r="W45" s="1525"/>
      <c r="X45" s="1525"/>
      <c r="Y45" s="2060"/>
    </row>
    <row r="46" spans="1:25" s="1027" customFormat="1" ht="13.9">
      <c r="A46" s="1510"/>
      <c r="B46" s="1510"/>
      <c r="C46" s="1528" t="s">
        <v>278</v>
      </c>
      <c r="D46" s="1529"/>
      <c r="E46" s="370"/>
      <c r="F46" s="1525"/>
      <c r="G46" s="1628" t="str">
        <f>'PFI Inputs'!G312</f>
        <v>--</v>
      </c>
      <c r="H46" s="1628" t="str">
        <f t="shared" ref="H46:M46" si="13">IF(H$9="","",IFERROR(H21/H$10,"n/a"))</f>
        <v>n/a</v>
      </c>
      <c r="I46" s="1628" t="str">
        <f t="shared" si="13"/>
        <v>n/a</v>
      </c>
      <c r="J46" s="1628" t="str">
        <f t="shared" si="13"/>
        <v>n/a</v>
      </c>
      <c r="K46" s="1628" t="str">
        <f t="shared" si="13"/>
        <v>n/a</v>
      </c>
      <c r="L46" s="1628" t="str">
        <f t="shared" si="13"/>
        <v>n/a</v>
      </c>
      <c r="M46" s="1628" t="str">
        <f t="shared" si="13"/>
        <v>n/a</v>
      </c>
      <c r="N46" s="1628" t="str">
        <f>IF(N$9="","",IFERROR(N21/N$10,"n/a"))</f>
        <v>n/a</v>
      </c>
      <c r="O46" s="1628" t="str">
        <f>IF(O$9="","",IFERROR(O21/O$10,"n/a"))</f>
        <v/>
      </c>
      <c r="P46" s="1628" t="str">
        <f>IF(P$9="","",IFERROR(P21/P$10,"n/a"))</f>
        <v/>
      </c>
      <c r="Q46" s="1628" t="str">
        <f>IF(Q$9="","",IFERROR(Q21/Q$10,"n/a"))</f>
        <v/>
      </c>
      <c r="R46" s="1628"/>
      <c r="S46" s="1628" t="str">
        <f>IFERROR(S21/S$10,"n/a")</f>
        <v>n/a</v>
      </c>
      <c r="T46" s="1525"/>
      <c r="U46" s="1510"/>
      <c r="V46" s="1525"/>
      <c r="W46" s="1525"/>
      <c r="X46" s="1525"/>
      <c r="Y46" s="2060"/>
    </row>
    <row r="47" spans="1:25" s="1027" customFormat="1" ht="13.9">
      <c r="A47" s="1510"/>
      <c r="B47" s="1510"/>
      <c r="C47" s="1303" t="s">
        <v>240</v>
      </c>
      <c r="D47" s="1277"/>
      <c r="E47" s="1138"/>
      <c r="F47" s="1384"/>
      <c r="G47" s="1630" t="str">
        <f ca="1">'PFI Inputs'!G313</f>
        <v>--</v>
      </c>
      <c r="H47" s="1630" t="str">
        <f t="shared" ref="H47:M47" ca="1" si="14">IF(H$9="","",IFERROR(H24/H$10,"n/a"))</f>
        <v>n/a</v>
      </c>
      <c r="I47" s="1630" t="str">
        <f t="shared" ca="1" si="14"/>
        <v>n/a</v>
      </c>
      <c r="J47" s="1630" t="str">
        <f t="shared" ca="1" si="14"/>
        <v>n/a</v>
      </c>
      <c r="K47" s="1630" t="str">
        <f t="shared" ca="1" si="14"/>
        <v>n/a</v>
      </c>
      <c r="L47" s="1630" t="str">
        <f t="shared" ca="1" si="14"/>
        <v>n/a</v>
      </c>
      <c r="M47" s="1630" t="str">
        <f t="shared" ca="1" si="14"/>
        <v>n/a</v>
      </c>
      <c r="N47" s="1630" t="str">
        <f ca="1">IF(N$9="","",IFERROR(N24/N$10,"n/a"))</f>
        <v>n/a</v>
      </c>
      <c r="O47" s="1630" t="str">
        <f>IF(O$9="","",IFERROR(O24/O$10,"n/a"))</f>
        <v/>
      </c>
      <c r="P47" s="1630" t="str">
        <f>IF(P$9="","",IFERROR(P24/P$10,"n/a"))</f>
        <v/>
      </c>
      <c r="Q47" s="1630" t="str">
        <f>IF(Q$9="","",IFERROR(Q24/Q$10,"n/a"))</f>
        <v/>
      </c>
      <c r="R47" s="1628"/>
      <c r="S47" s="1630" t="str">
        <f>IFERROR(S24/S$10,"n/a")</f>
        <v>n/a</v>
      </c>
      <c r="T47" s="1525"/>
      <c r="U47" s="1510"/>
      <c r="V47" s="1525"/>
      <c r="W47" s="1525"/>
      <c r="X47" s="1525"/>
      <c r="Y47" s="2060"/>
    </row>
    <row r="48" spans="1:25" ht="13.9">
      <c r="A48" s="1510"/>
      <c r="B48" s="1510"/>
      <c r="C48" s="1550"/>
      <c r="D48" s="1550"/>
      <c r="E48" s="1532"/>
      <c r="F48" s="1532"/>
      <c r="G48" s="1551"/>
      <c r="H48" s="1527"/>
      <c r="I48" s="1537"/>
      <c r="J48" s="1537"/>
      <c r="K48" s="1537"/>
      <c r="L48" s="1551"/>
      <c r="M48" s="1551"/>
      <c r="N48" s="1551"/>
      <c r="O48" s="1551"/>
      <c r="P48" s="1551"/>
      <c r="Q48" s="1551"/>
      <c r="R48" s="1551"/>
      <c r="S48" s="1551"/>
      <c r="T48" s="1551"/>
      <c r="U48" s="1510"/>
      <c r="V48" s="1525"/>
      <c r="W48" s="1525"/>
      <c r="X48" s="1525"/>
      <c r="Y48" s="2060"/>
    </row>
    <row r="49" spans="1:28" s="1525" customFormat="1" ht="13.9">
      <c r="A49" s="1510"/>
      <c r="B49" s="1510"/>
      <c r="C49" s="1588" t="s">
        <v>1408</v>
      </c>
      <c r="D49" s="1550"/>
      <c r="E49" s="1532"/>
      <c r="F49" s="1532"/>
      <c r="G49" s="1551"/>
      <c r="H49" s="1527"/>
      <c r="I49" s="1537"/>
      <c r="J49" s="1537"/>
      <c r="K49" s="1537"/>
      <c r="L49" s="1551"/>
      <c r="M49" s="1551"/>
      <c r="N49" s="1551"/>
      <c r="O49" s="1551"/>
      <c r="P49" s="1551"/>
      <c r="Q49" s="1551"/>
      <c r="R49" s="1551"/>
      <c r="S49" s="1551"/>
      <c r="T49" s="1551"/>
      <c r="U49" s="1510"/>
    </row>
    <row r="50" spans="1:28" s="1525" customFormat="1" ht="13.9">
      <c r="A50" s="1510"/>
      <c r="B50" s="1510"/>
      <c r="C50" s="1588"/>
      <c r="D50" s="1550"/>
      <c r="E50" s="1532"/>
      <c r="F50" s="1532"/>
      <c r="G50" s="1551"/>
      <c r="H50" s="1527"/>
      <c r="I50" s="1537"/>
      <c r="J50" s="1537"/>
      <c r="K50" s="1537"/>
      <c r="L50" s="1551"/>
      <c r="M50" s="1551"/>
      <c r="N50" s="1551"/>
      <c r="O50" s="1551"/>
      <c r="P50" s="1551"/>
      <c r="Q50" s="1551"/>
      <c r="R50" s="1551"/>
      <c r="S50" s="1551"/>
      <c r="T50" s="1551"/>
      <c r="U50" s="1510"/>
    </row>
    <row r="51" spans="1:28" ht="13.9">
      <c r="A51" s="1510"/>
      <c r="B51" s="1510"/>
      <c r="C51" s="1529" t="str">
        <f ca="1">FootnoteDRAFT</f>
        <v>Run date: 05-August-2018  02:34 PM.   DRAFT document. All data subject to change upon completion of additional analysis.</v>
      </c>
      <c r="D51" s="1529"/>
      <c r="E51" s="355"/>
      <c r="F51" s="355"/>
      <c r="G51" s="355"/>
      <c r="H51" s="355"/>
      <c r="I51" s="355"/>
      <c r="J51" s="355"/>
      <c r="K51" s="355"/>
      <c r="L51" s="355"/>
      <c r="M51" s="355"/>
      <c r="N51" s="355"/>
      <c r="O51" s="355"/>
      <c r="P51" s="355"/>
      <c r="Q51" s="355"/>
      <c r="R51" s="355"/>
      <c r="S51" s="355"/>
      <c r="T51" s="1529"/>
      <c r="U51" s="1510"/>
      <c r="V51" s="1525"/>
      <c r="W51" s="1525"/>
      <c r="X51" s="1525"/>
      <c r="Y51" s="1525"/>
      <c r="Z51" s="1525"/>
      <c r="AA51" s="1525"/>
      <c r="AB51" s="1525"/>
    </row>
    <row r="52" spans="1:28" ht="13.9">
      <c r="A52" s="1510" t="s">
        <v>17</v>
      </c>
      <c r="B52" s="1510"/>
      <c r="C52" s="1510"/>
      <c r="D52" s="1510"/>
      <c r="E52" s="1510"/>
      <c r="F52" s="1510"/>
      <c r="G52" s="1510"/>
      <c r="H52" s="1510"/>
      <c r="I52" s="1510"/>
      <c r="J52" s="1510"/>
      <c r="K52" s="1510"/>
      <c r="L52" s="1510"/>
      <c r="M52" s="1510"/>
      <c r="N52" s="1510"/>
      <c r="O52" s="1510"/>
      <c r="P52" s="1510"/>
      <c r="Q52" s="1510"/>
      <c r="R52" s="1510"/>
      <c r="S52" s="1510"/>
      <c r="T52" s="1484" t="s">
        <v>18</v>
      </c>
      <c r="U52" s="1510"/>
      <c r="V52" s="1525"/>
      <c r="W52" s="1525"/>
      <c r="X52" s="1525"/>
      <c r="Y52" s="1525"/>
      <c r="Z52" s="1525"/>
      <c r="AA52" s="1525"/>
      <c r="AB52" s="1525"/>
    </row>
    <row r="53" spans="1:28" ht="12" customHeight="1">
      <c r="A53" s="1510"/>
      <c r="B53" s="1510"/>
      <c r="C53" s="1510"/>
      <c r="D53" s="1510"/>
      <c r="E53" s="1510"/>
      <c r="F53" s="1510"/>
      <c r="G53" s="1510"/>
      <c r="H53" s="1510"/>
      <c r="I53" s="1510"/>
      <c r="J53" s="1510"/>
      <c r="K53" s="1510"/>
      <c r="L53" s="1510"/>
      <c r="M53" s="1510"/>
      <c r="N53" s="1510"/>
      <c r="O53" s="1510"/>
      <c r="P53" s="1510"/>
      <c r="Q53" s="1510"/>
      <c r="R53" s="1510"/>
      <c r="S53" s="1510"/>
      <c r="T53" s="1484"/>
      <c r="U53" s="1510"/>
      <c r="V53" s="1525"/>
      <c r="W53" s="1525"/>
      <c r="X53" s="1525"/>
      <c r="Y53" s="1525"/>
      <c r="Z53" s="1525"/>
      <c r="AA53" s="1525"/>
      <c r="AB53" s="1525"/>
    </row>
    <row r="54" spans="1:28" ht="12" customHeight="1">
      <c r="A54" s="1525"/>
      <c r="B54" s="1525"/>
      <c r="C54" s="847" t="s">
        <v>1409</v>
      </c>
      <c r="D54" s="847"/>
      <c r="E54" s="847"/>
      <c r="F54" s="847"/>
      <c r="G54" s="998">
        <f ca="1">OFFSET(G37,0,NoOfPFIYrs-1)</f>
        <v>0</v>
      </c>
      <c r="H54" s="1525"/>
      <c r="I54" s="1525"/>
      <c r="J54" s="1525"/>
      <c r="K54" s="1525"/>
      <c r="L54" s="1525"/>
      <c r="M54" s="1525"/>
      <c r="N54" s="1525"/>
      <c r="O54" s="1525"/>
      <c r="R54" s="1525"/>
      <c r="S54" s="1525"/>
      <c r="T54" s="1525"/>
      <c r="U54" s="1525"/>
      <c r="V54" s="1525"/>
      <c r="W54" s="1525"/>
      <c r="X54" s="1525"/>
      <c r="Y54" s="1525"/>
      <c r="Z54" s="1525"/>
      <c r="AA54" s="1525"/>
      <c r="AB54" s="1525"/>
    </row>
  </sheetData>
  <autoFilter ref="A1:A53"/>
  <conditionalFormatting sqref="B1:B2">
    <cfRule type="cellIs" dxfId="250" priority="81" operator="notEqual">
      <formula>0</formula>
    </cfRule>
  </conditionalFormatting>
  <conditionalFormatting sqref="S22:S23 S38 S25 S35:S36 H1:R52 G37:M37">
    <cfRule type="expression" dxfId="249" priority="62">
      <formula>G$9=""</formula>
    </cfRule>
  </conditionalFormatting>
  <conditionalFormatting sqref="A1:A4 A35:A52 B26:B34 A6:A25">
    <cfRule type="expression" dxfId="248" priority="61">
      <formula>AND(MasterCheck&gt;0,RedAlertY=TRUE)</formula>
    </cfRule>
  </conditionalFormatting>
  <conditionalFormatting sqref="A5">
    <cfRule type="expression" dxfId="247" priority="60">
      <formula>AND(MasterCheck&gt;0,RedAlertY=TRUE)</formula>
    </cfRule>
  </conditionalFormatting>
  <conditionalFormatting sqref="S10">
    <cfRule type="expression" dxfId="246" priority="59">
      <formula>S$9=""</formula>
    </cfRule>
  </conditionalFormatting>
  <conditionalFormatting sqref="S24">
    <cfRule type="expression" dxfId="245" priority="56">
      <formula>S$9=""</formula>
    </cfRule>
  </conditionalFormatting>
  <conditionalFormatting sqref="S37">
    <cfRule type="expression" dxfId="244" priority="55">
      <formula>S$9=""</formula>
    </cfRule>
  </conditionalFormatting>
  <conditionalFormatting sqref="S11">
    <cfRule type="expression" dxfId="243" priority="49">
      <formula>S$9=""</formula>
    </cfRule>
  </conditionalFormatting>
  <conditionalFormatting sqref="S21">
    <cfRule type="expression" dxfId="242" priority="48">
      <formula>S$9=""</formula>
    </cfRule>
  </conditionalFormatting>
  <conditionalFormatting sqref="H53:R53">
    <cfRule type="expression" dxfId="241" priority="47">
      <formula>H$9=""</formula>
    </cfRule>
  </conditionalFormatting>
  <conditionalFormatting sqref="A53">
    <cfRule type="expression" dxfId="240" priority="46">
      <formula>AND(MasterCheck&gt;0,RedAlertY=TRUE)</formula>
    </cfRule>
  </conditionalFormatting>
  <conditionalFormatting sqref="S12">
    <cfRule type="expression" dxfId="239" priority="45">
      <formula>S$9=""</formula>
    </cfRule>
  </conditionalFormatting>
  <conditionalFormatting sqref="S18">
    <cfRule type="expression" dxfId="238" priority="37">
      <formula>S$9=""</formula>
    </cfRule>
  </conditionalFormatting>
  <conditionalFormatting sqref="S19">
    <cfRule type="expression" dxfId="237" priority="36">
      <formula>S$9=""</formula>
    </cfRule>
  </conditionalFormatting>
  <conditionalFormatting sqref="S13:S14">
    <cfRule type="expression" dxfId="236" priority="41">
      <formula>S$9=""</formula>
    </cfRule>
  </conditionalFormatting>
  <conditionalFormatting sqref="S15">
    <cfRule type="expression" dxfId="235" priority="40">
      <formula>S$9=""</formula>
    </cfRule>
  </conditionalFormatting>
  <conditionalFormatting sqref="S16">
    <cfRule type="expression" dxfId="234" priority="39">
      <formula>S$9=""</formula>
    </cfRule>
  </conditionalFormatting>
  <conditionalFormatting sqref="S17">
    <cfRule type="expression" dxfId="233" priority="38">
      <formula>S$9=""</formula>
    </cfRule>
  </conditionalFormatting>
  <conditionalFormatting sqref="S20">
    <cfRule type="expression" dxfId="232" priority="35">
      <formula>S$9=""</formula>
    </cfRule>
  </conditionalFormatting>
  <conditionalFormatting sqref="G10:G24">
    <cfRule type="expression" dxfId="231" priority="32">
      <formula>G$9=""</formula>
    </cfRule>
  </conditionalFormatting>
  <conditionalFormatting sqref="G35">
    <cfRule type="expression" dxfId="230" priority="31">
      <formula>G$9=""</formula>
    </cfRule>
  </conditionalFormatting>
  <conditionalFormatting sqref="H26:Q29">
    <cfRule type="expression" dxfId="229" priority="28">
      <formula>H$9=""</formula>
    </cfRule>
  </conditionalFormatting>
  <conditionalFormatting sqref="G26:Q29">
    <cfRule type="expression" dxfId="228" priority="27">
      <formula>G$9=""</formula>
    </cfRule>
  </conditionalFormatting>
  <conditionalFormatting sqref="G31">
    <cfRule type="expression" dxfId="227" priority="24">
      <formula>G$9=""</formula>
    </cfRule>
  </conditionalFormatting>
  <conditionalFormatting sqref="H31:Q31">
    <cfRule type="expression" dxfId="226" priority="25">
      <formula>H$9=""</formula>
    </cfRule>
  </conditionalFormatting>
  <conditionalFormatting sqref="H30:Q30">
    <cfRule type="expression" dxfId="225" priority="23">
      <formula>H$9=""</formula>
    </cfRule>
  </conditionalFormatting>
  <conditionalFormatting sqref="G30:Q30">
    <cfRule type="expression" dxfId="224" priority="22">
      <formula>G$9=""</formula>
    </cfRule>
  </conditionalFormatting>
  <conditionalFormatting sqref="H32:Q32">
    <cfRule type="expression" dxfId="223" priority="21">
      <formula>H$9=""</formula>
    </cfRule>
  </conditionalFormatting>
  <conditionalFormatting sqref="G32:Q32">
    <cfRule type="expression" dxfId="222" priority="20">
      <formula>G$9=""</formula>
    </cfRule>
  </conditionalFormatting>
  <conditionalFormatting sqref="G33:Q33">
    <cfRule type="expression" dxfId="221" priority="16">
      <formula>G$9=""</formula>
    </cfRule>
  </conditionalFormatting>
  <conditionalFormatting sqref="C26:C29">
    <cfRule type="expression" dxfId="220" priority="15">
      <formula>C$9=""</formula>
    </cfRule>
  </conditionalFormatting>
  <conditionalFormatting sqref="H33:Q33">
    <cfRule type="expression" dxfId="219" priority="17">
      <formula>H$9=""</formula>
    </cfRule>
  </conditionalFormatting>
  <conditionalFormatting sqref="S26:S29">
    <cfRule type="expression" dxfId="218" priority="14">
      <formula>S$9=""</formula>
    </cfRule>
  </conditionalFormatting>
  <conditionalFormatting sqref="S26:S29">
    <cfRule type="expression" dxfId="217" priority="13">
      <formula>S$9=""</formula>
    </cfRule>
  </conditionalFormatting>
  <conditionalFormatting sqref="S31">
    <cfRule type="expression" dxfId="216" priority="12">
      <formula>S$9=""</formula>
    </cfRule>
  </conditionalFormatting>
  <conditionalFormatting sqref="S30">
    <cfRule type="expression" dxfId="215" priority="11">
      <formula>S$9=""</formula>
    </cfRule>
  </conditionalFormatting>
  <conditionalFormatting sqref="S30">
    <cfRule type="expression" dxfId="214" priority="10">
      <formula>S$9=""</formula>
    </cfRule>
  </conditionalFormatting>
  <conditionalFormatting sqref="S32">
    <cfRule type="expression" dxfId="213" priority="9">
      <formula>S$9=""</formula>
    </cfRule>
  </conditionalFormatting>
  <conditionalFormatting sqref="S32">
    <cfRule type="expression" dxfId="212" priority="8">
      <formula>S$9=""</formula>
    </cfRule>
  </conditionalFormatting>
  <conditionalFormatting sqref="S33">
    <cfRule type="expression" dxfId="211" priority="1">
      <formula>S$9=""</formula>
    </cfRule>
  </conditionalFormatting>
  <conditionalFormatting sqref="S33">
    <cfRule type="expression" dxfId="210" priority="2">
      <formula>S$9=""</formula>
    </cfRule>
  </conditionalFormatting>
  <conditionalFormatting sqref="R33">
    <cfRule type="expression" dxfId="209" priority="3">
      <formula>R$9=""</formula>
    </cfRule>
  </conditionalFormatting>
  <conditionalFormatting sqref="R33">
    <cfRule type="expression" dxfId="208" priority="4">
      <formula>R$9=""</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52"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FIOutputCS">
    <tabColor rgb="FF99FF66"/>
    <pageSetUpPr autoPageBreaks="0"/>
  </sheetPr>
  <dimension ref="A1:AA49"/>
  <sheetViews>
    <sheetView showGridLines="0" zoomScale="85" zoomScaleNormal="85" zoomScaleSheetLayoutView="80" workbookViewId="0"/>
  </sheetViews>
  <sheetFormatPr defaultColWidth="9.33203125" defaultRowHeight="12" customHeight="1"/>
  <cols>
    <col min="1" max="1" width="2.83203125" style="334" customWidth="1"/>
    <col min="2" max="2" width="3.83203125" style="334" customWidth="1"/>
    <col min="3" max="3" width="39.5" style="334" customWidth="1"/>
    <col min="4" max="6" width="2.83203125" style="334" customWidth="1"/>
    <col min="7" max="14" width="11.33203125" style="334" customWidth="1"/>
    <col min="15" max="15" width="11.33203125" style="334" hidden="1" customWidth="1"/>
    <col min="16" max="17" width="11.33203125" style="1525" hidden="1" customWidth="1"/>
    <col min="18" max="18" width="2" style="1027" customWidth="1"/>
    <col min="19" max="19" width="11.33203125" style="1027" customWidth="1"/>
    <col min="20" max="20" width="65.5" style="334" customWidth="1"/>
    <col min="21" max="21" width="8.83203125" style="334" customWidth="1"/>
    <col min="22" max="16384" width="9.33203125" style="334"/>
  </cols>
  <sheetData>
    <row r="1" spans="1:21" ht="18" customHeight="1">
      <c r="A1" s="2060"/>
      <c r="B1" s="649">
        <f ca="1">SUMPRODUCT(--ISERROR($C$1:T48))+COUNTIF($C$1:T48,Fail)</f>
        <v>0</v>
      </c>
      <c r="C1" s="1372" t="str">
        <f>START!$C$1</f>
        <v>Client Name</v>
      </c>
      <c r="D1" s="292"/>
      <c r="E1" s="710"/>
      <c r="F1" s="852"/>
      <c r="G1" s="852"/>
      <c r="H1" s="852"/>
      <c r="I1" s="852"/>
      <c r="J1" s="852"/>
      <c r="K1" s="852"/>
      <c r="L1" s="852"/>
      <c r="M1" s="852"/>
      <c r="N1" s="852"/>
      <c r="O1" s="852"/>
      <c r="P1" s="852"/>
      <c r="Q1" s="852"/>
      <c r="R1" s="852"/>
      <c r="S1" s="852"/>
      <c r="T1" s="398" t="s">
        <v>1410</v>
      </c>
      <c r="U1" s="1510"/>
    </row>
    <row r="2" spans="1:21" s="1027" customFormat="1" ht="18" customHeight="1">
      <c r="A2" s="1510"/>
      <c r="B2" s="649"/>
      <c r="C2" s="1372" t="str">
        <f>START!$C$2</f>
        <v xml:space="preserve">Please enter project description in START worksheet cell G13 </v>
      </c>
      <c r="D2" s="292"/>
      <c r="E2" s="710"/>
      <c r="F2" s="852"/>
      <c r="G2" s="852"/>
      <c r="H2" s="852"/>
      <c r="I2" s="852"/>
      <c r="J2" s="852"/>
      <c r="K2" s="852"/>
      <c r="L2" s="852"/>
      <c r="M2" s="852"/>
      <c r="N2" s="852"/>
      <c r="O2" s="852"/>
      <c r="P2" s="852"/>
      <c r="Q2" s="852"/>
      <c r="R2" s="852"/>
      <c r="S2" s="852"/>
      <c r="T2" s="398"/>
      <c r="U2" s="1510"/>
    </row>
    <row r="3" spans="1:21" ht="18" customHeight="1">
      <c r="A3" s="1510"/>
      <c r="B3" s="1510"/>
      <c r="C3" s="839" t="s">
        <v>1411</v>
      </c>
      <c r="D3" s="369"/>
      <c r="E3" s="710"/>
      <c r="F3" s="1526"/>
      <c r="G3" s="1526"/>
      <c r="H3" s="1526"/>
      <c r="I3" s="1526"/>
      <c r="J3" s="1526"/>
      <c r="K3" s="1526"/>
      <c r="L3" s="1526"/>
      <c r="M3" s="1526"/>
      <c r="N3" s="1526"/>
      <c r="O3" s="1526"/>
      <c r="P3" s="1526"/>
      <c r="Q3" s="1526"/>
      <c r="R3" s="1526"/>
      <c r="S3" s="1526"/>
      <c r="T3" s="1525"/>
      <c r="U3" s="1510"/>
    </row>
    <row r="4" spans="1:21" ht="18" customHeight="1">
      <c r="A4" s="1510"/>
      <c r="B4" s="1510"/>
      <c r="C4" s="2062" t="str">
        <f>"Valuation as of "&amp; TEXT(Valuation_date,"d mmmm yyyy")</f>
        <v>Valuation as of 28 February 2017</v>
      </c>
      <c r="D4" s="2062"/>
      <c r="E4" s="711"/>
      <c r="F4" s="1526"/>
      <c r="G4" s="1526"/>
      <c r="H4" s="1526"/>
      <c r="I4" s="1526"/>
      <c r="J4" s="1526"/>
      <c r="K4" s="1526"/>
      <c r="L4" s="1526"/>
      <c r="M4" s="1526"/>
      <c r="N4" s="1526"/>
      <c r="O4" s="1526"/>
      <c r="P4" s="1526"/>
      <c r="Q4" s="1526"/>
      <c r="R4" s="1526"/>
      <c r="S4" s="1526"/>
      <c r="T4" s="1525"/>
      <c r="U4" s="1510"/>
    </row>
    <row r="5" spans="1:21" ht="18" customHeight="1">
      <c r="A5" s="1413" t="str">
        <f>IF(MasterCheck,"Please check the "&amp;'Error Check'!$G$8,"")</f>
        <v/>
      </c>
      <c r="B5" s="1510"/>
      <c r="C5" s="340"/>
      <c r="D5" s="340"/>
      <c r="E5" s="711"/>
      <c r="F5" s="1526"/>
      <c r="G5" s="1526"/>
      <c r="H5" s="341"/>
      <c r="I5" s="1526"/>
      <c r="J5" s="1526"/>
      <c r="K5" s="1526"/>
      <c r="L5" s="1526"/>
      <c r="M5" s="1526"/>
      <c r="N5" s="1526"/>
      <c r="O5" s="1526"/>
      <c r="P5" s="1526"/>
      <c r="Q5" s="1526"/>
      <c r="R5" s="1526"/>
      <c r="S5" s="1526"/>
      <c r="T5" s="1525"/>
      <c r="U5" s="1510"/>
    </row>
    <row r="6" spans="1:21" ht="13.9">
      <c r="A6" s="1510"/>
      <c r="B6" s="1510"/>
      <c r="C6" s="405"/>
      <c r="D6" s="405"/>
      <c r="E6" s="712"/>
      <c r="F6" s="341"/>
      <c r="G6" s="341"/>
      <c r="H6" s="341"/>
      <c r="I6" s="341"/>
      <c r="J6" s="341"/>
      <c r="K6" s="341"/>
      <c r="L6" s="341"/>
      <c r="M6" s="341"/>
      <c r="N6" s="341"/>
      <c r="O6" s="341"/>
      <c r="P6" s="341"/>
      <c r="Q6" s="341"/>
      <c r="R6" s="341"/>
      <c r="S6" s="341"/>
      <c r="T6" s="1525"/>
      <c r="U6" s="1510"/>
    </row>
    <row r="7" spans="1:21" ht="13.9">
      <c r="A7" s="1510"/>
      <c r="B7" s="1510"/>
      <c r="C7" s="405"/>
      <c r="D7" s="405"/>
      <c r="E7" s="712"/>
      <c r="F7" s="341"/>
      <c r="G7" s="341"/>
      <c r="H7" s="341"/>
      <c r="I7" s="341"/>
      <c r="J7" s="341"/>
      <c r="K7" s="341"/>
      <c r="L7" s="341"/>
      <c r="M7" s="341"/>
      <c r="N7" s="341"/>
      <c r="O7" s="341"/>
      <c r="P7" s="341"/>
      <c r="Q7" s="341"/>
      <c r="R7" s="341"/>
      <c r="S7" s="341"/>
      <c r="T7" s="1525"/>
      <c r="U7" s="1510"/>
    </row>
    <row r="8" spans="1:21" ht="13.9">
      <c r="A8" s="1510"/>
      <c r="B8" s="1510"/>
      <c r="C8" s="1106"/>
      <c r="D8" s="1106"/>
      <c r="E8" s="1124"/>
      <c r="F8" s="1109"/>
      <c r="G8" s="1109" t="str">
        <f>'PFI Inputs'!G25</f>
        <v>6 mos</v>
      </c>
      <c r="H8" s="1110" t="str">
        <f>'PFI Inputs'!H25</f>
        <v xml:space="preserve">                                       For years ended March 31</v>
      </c>
      <c r="I8" s="1111"/>
      <c r="J8" s="1139"/>
      <c r="K8" s="1139"/>
      <c r="L8" s="1139"/>
      <c r="M8" s="1139"/>
      <c r="N8" s="1139"/>
      <c r="O8" s="1139"/>
      <c r="P8" s="1139"/>
      <c r="Q8" s="1139"/>
      <c r="R8" s="1133"/>
      <c r="S8" s="1139" t="s">
        <v>952</v>
      </c>
      <c r="T8" s="1525"/>
      <c r="U8" s="1510"/>
    </row>
    <row r="9" spans="1:21" ht="13.9">
      <c r="A9" s="1510" t="str">
        <f>IF(OR(MAX(E9:Q9)&gt;0.001,MIN(E9:Q9)&lt;-0.001),"","n")</f>
        <v/>
      </c>
      <c r="B9" s="1510"/>
      <c r="C9" s="1113" t="s">
        <v>1412</v>
      </c>
      <c r="D9" s="1113"/>
      <c r="E9" s="1125"/>
      <c r="F9" s="1126"/>
      <c r="G9" s="1116">
        <f>'PFI Inputs'!G26</f>
        <v>42825</v>
      </c>
      <c r="H9" s="1116">
        <f>IF('PFI Inputs'!H26,'PFI Inputs'!H26,"")</f>
        <v>43190</v>
      </c>
      <c r="I9" s="1116">
        <f>IF('PFI Inputs'!I26,'PFI Inputs'!I26,"")</f>
        <v>43555</v>
      </c>
      <c r="J9" s="1116">
        <f>IF('PFI Inputs'!J26,'PFI Inputs'!J26,"")</f>
        <v>43921</v>
      </c>
      <c r="K9" s="1116">
        <f>IF('PFI Inputs'!K26,'PFI Inputs'!K26,"")</f>
        <v>44286</v>
      </c>
      <c r="L9" s="1116">
        <f>IF('PFI Inputs'!L26,'PFI Inputs'!L26,"")</f>
        <v>44651</v>
      </c>
      <c r="M9" s="1116">
        <f>IF('PFI Inputs'!M26,'PFI Inputs'!M26,"")</f>
        <v>45016</v>
      </c>
      <c r="N9" s="1116">
        <f>IF('PFI Inputs'!N26,'PFI Inputs'!N26,"")</f>
        <v>45382</v>
      </c>
      <c r="O9" s="1116" t="str">
        <f>IF('PFI Inputs'!O26,'PFI Inputs'!O26,"")</f>
        <v/>
      </c>
      <c r="P9" s="1116" t="str">
        <f>IF('PFI Inputs'!P26,'PFI Inputs'!P26,"")</f>
        <v/>
      </c>
      <c r="Q9" s="1116" t="str">
        <f>IF('PFI Inputs'!Q26,'PFI Inputs'!Q26,"")</f>
        <v/>
      </c>
      <c r="R9" s="1134"/>
      <c r="S9" s="1116">
        <f>'PFI Inputs'!S26</f>
        <v>45382</v>
      </c>
      <c r="T9" s="1525"/>
      <c r="U9" s="1510"/>
    </row>
    <row r="10" spans="1:21" ht="13.9">
      <c r="A10" s="1510" t="str">
        <f t="shared" ref="A10:A43" si="0">IF(OR(MAX(E10:Q10)&gt;0.001,MIN(E10:Q10)&lt;-0.001),"","n")</f>
        <v>n</v>
      </c>
      <c r="B10" s="1510"/>
      <c r="C10" s="1528" t="str">
        <f>'PFI Inc Stat'!C10</f>
        <v>Revenue</v>
      </c>
      <c r="D10" s="1528"/>
      <c r="E10" s="370"/>
      <c r="F10" s="370"/>
      <c r="G10" s="1628" t="str">
        <f>IFERROR('PFI Inc Stat'!G10/'PFI Inc Stat'!G$10,"n/a")</f>
        <v>n/a</v>
      </c>
      <c r="H10" s="1628" t="str">
        <f>IF(H$9="","",IFERROR('PFI Inc Stat'!H10/'PFI Inc Stat'!H$10,"n/a"))</f>
        <v>n/a</v>
      </c>
      <c r="I10" s="1628" t="str">
        <f>IF(I$9="","",IFERROR('PFI Inc Stat'!I10/'PFI Inc Stat'!I$10,"n/a"))</f>
        <v>n/a</v>
      </c>
      <c r="J10" s="1628" t="str">
        <f>IF(J$9="","",IFERROR('PFI Inc Stat'!J10/'PFI Inc Stat'!J$10,"n/a"))</f>
        <v>n/a</v>
      </c>
      <c r="K10" s="1628" t="str">
        <f>IF(K$9="","",IFERROR('PFI Inc Stat'!K10/'PFI Inc Stat'!K$10,"n/a"))</f>
        <v>n/a</v>
      </c>
      <c r="L10" s="1628" t="str">
        <f>IF(L$9="","",IFERROR('PFI Inc Stat'!L10/'PFI Inc Stat'!L$10,"n/a"))</f>
        <v>n/a</v>
      </c>
      <c r="M10" s="1628" t="str">
        <f>IF(M$9="","",IFERROR('PFI Inc Stat'!M10/'PFI Inc Stat'!M$10,"n/a"))</f>
        <v>n/a</v>
      </c>
      <c r="N10" s="1628" t="str">
        <f>IF(N$9="","",IFERROR('PFI Inc Stat'!N10/'PFI Inc Stat'!N$10,"n/a"))</f>
        <v>n/a</v>
      </c>
      <c r="O10" s="1628" t="str">
        <f>IF(O$9="","",IFERROR('PFI Inc Stat'!O10/'PFI Inc Stat'!O$10,"n/a"))</f>
        <v/>
      </c>
      <c r="P10" s="1628" t="str">
        <f>IF(P$9="","",IFERROR('PFI Inc Stat'!P10/'PFI Inc Stat'!P$10,"n/a"))</f>
        <v/>
      </c>
      <c r="Q10" s="1628" t="str">
        <f>IF(Q$9="","",IFERROR('PFI Inc Stat'!Q10/'PFI Inc Stat'!Q$10,"n/a"))</f>
        <v/>
      </c>
      <c r="R10" s="1628"/>
      <c r="S10" s="1628" t="str">
        <f>IFERROR('PFI Inc Stat'!S10/'PFI Inc Stat'!S$10,"n/a")</f>
        <v>n/a</v>
      </c>
      <c r="T10" s="1525"/>
      <c r="U10" s="1510"/>
    </row>
    <row r="11" spans="1:21" ht="13.9">
      <c r="A11" s="1510" t="str">
        <f t="shared" si="0"/>
        <v>n</v>
      </c>
      <c r="B11" s="1510"/>
      <c r="C11" s="1528" t="str">
        <f>'PFI Inc Stat'!C11</f>
        <v>Cost of goods sold</v>
      </c>
      <c r="D11" s="331"/>
      <c r="E11" s="372"/>
      <c r="F11" s="372"/>
      <c r="G11" s="1628" t="str">
        <f>IFERROR('PFI Inc Stat'!G11/'PFI Inc Stat'!G$10,"n/a")</f>
        <v>n/a</v>
      </c>
      <c r="H11" s="1628" t="str">
        <f>IF(H$9="","",IFERROR('PFI Inc Stat'!H11/'PFI Inc Stat'!H$10,"n/a"))</f>
        <v>n/a</v>
      </c>
      <c r="I11" s="1628" t="str">
        <f>IF(I$9="","",IFERROR('PFI Inc Stat'!I11/'PFI Inc Stat'!I$10,"n/a"))</f>
        <v>n/a</v>
      </c>
      <c r="J11" s="1628" t="str">
        <f>IF(J$9="","",IFERROR('PFI Inc Stat'!J11/'PFI Inc Stat'!J$10,"n/a"))</f>
        <v>n/a</v>
      </c>
      <c r="K11" s="1628" t="str">
        <f>IF(K$9="","",IFERROR('PFI Inc Stat'!K11/'PFI Inc Stat'!K$10,"n/a"))</f>
        <v>n/a</v>
      </c>
      <c r="L11" s="1628" t="str">
        <f>IF(L$9="","",IFERROR('PFI Inc Stat'!L11/'PFI Inc Stat'!L$10,"n/a"))</f>
        <v>n/a</v>
      </c>
      <c r="M11" s="1628" t="str">
        <f>IF(M$9="","",IFERROR('PFI Inc Stat'!M11/'PFI Inc Stat'!M$10,"n/a"))</f>
        <v>n/a</v>
      </c>
      <c r="N11" s="1628" t="str">
        <f>IF(N$9="","",IFERROR('PFI Inc Stat'!N11/'PFI Inc Stat'!N$10,"n/a"))</f>
        <v>n/a</v>
      </c>
      <c r="O11" s="1628" t="str">
        <f>IF(O$9="","",IFERROR('PFI Inc Stat'!O11/'PFI Inc Stat'!O$10,"n/a"))</f>
        <v/>
      </c>
      <c r="P11" s="1628" t="str">
        <f>IF(P$9="","",IFERROR('PFI Inc Stat'!P11/'PFI Inc Stat'!P$10,"n/a"))</f>
        <v/>
      </c>
      <c r="Q11" s="1628" t="str">
        <f>IF(Q$9="","",IFERROR('PFI Inc Stat'!Q11/'PFI Inc Stat'!Q$10,"n/a"))</f>
        <v/>
      </c>
      <c r="R11" s="1628"/>
      <c r="S11" s="1628" t="str">
        <f>IFERROR('PFI Inc Stat'!S11/'PFI Inc Stat'!S$10,"n/a")</f>
        <v>n/a</v>
      </c>
      <c r="T11" s="1525"/>
      <c r="U11" s="1510"/>
    </row>
    <row r="12" spans="1:21" ht="13.9">
      <c r="A12" s="1510" t="str">
        <f t="shared" si="0"/>
        <v>n</v>
      </c>
      <c r="B12" s="1510"/>
      <c r="C12" s="298" t="s">
        <v>896</v>
      </c>
      <c r="D12" s="298"/>
      <c r="E12" s="371"/>
      <c r="F12" s="371"/>
      <c r="G12" s="1732" t="str">
        <f>IFERROR('PFI Inc Stat'!G12/'PFI Inc Stat'!G$10,"n/a")</f>
        <v>n/a</v>
      </c>
      <c r="H12" s="1732" t="str">
        <f>IF(H$9="","",IFERROR('PFI Inc Stat'!H12/'PFI Inc Stat'!H$10,"n/a"))</f>
        <v>n/a</v>
      </c>
      <c r="I12" s="1732" t="str">
        <f>IF(I$9="","",IFERROR('PFI Inc Stat'!I12/'PFI Inc Stat'!I$10,"n/a"))</f>
        <v>n/a</v>
      </c>
      <c r="J12" s="1732" t="str">
        <f>IF(J$9="","",IFERROR('PFI Inc Stat'!J12/'PFI Inc Stat'!J$10,"n/a"))</f>
        <v>n/a</v>
      </c>
      <c r="K12" s="1732" t="str">
        <f>IF(K$9="","",IFERROR('PFI Inc Stat'!K12/'PFI Inc Stat'!K$10,"n/a"))</f>
        <v>n/a</v>
      </c>
      <c r="L12" s="1732" t="str">
        <f>IF(L$9="","",IFERROR('PFI Inc Stat'!L12/'PFI Inc Stat'!L$10,"n/a"))</f>
        <v>n/a</v>
      </c>
      <c r="M12" s="1732" t="str">
        <f>IF(M$9="","",IFERROR('PFI Inc Stat'!M12/'PFI Inc Stat'!M$10,"n/a"))</f>
        <v>n/a</v>
      </c>
      <c r="N12" s="1732" t="str">
        <f>IF(N$9="","",IFERROR('PFI Inc Stat'!N12/'PFI Inc Stat'!N$10,"n/a"))</f>
        <v>n/a</v>
      </c>
      <c r="O12" s="1732" t="str">
        <f>IF(O$9="","",IFERROR('PFI Inc Stat'!O12/'PFI Inc Stat'!O$10,"n/a"))</f>
        <v/>
      </c>
      <c r="P12" s="1732" t="str">
        <f>IF(P$9="","",IFERROR('PFI Inc Stat'!P12/'PFI Inc Stat'!P$10,"n/a"))</f>
        <v/>
      </c>
      <c r="Q12" s="1732" t="str">
        <f>IF(Q$9="","",IFERROR('PFI Inc Stat'!Q12/'PFI Inc Stat'!Q$10,"n/a"))</f>
        <v/>
      </c>
      <c r="R12" s="1627"/>
      <c r="S12" s="1732" t="str">
        <f>IFERROR('PFI Inc Stat'!S12/'PFI Inc Stat'!S$10,"n/a")</f>
        <v>n/a</v>
      </c>
      <c r="T12" s="1525"/>
      <c r="U12" s="1510"/>
    </row>
    <row r="13" spans="1:21" ht="13.9">
      <c r="A13" s="1510" t="str">
        <f t="shared" si="0"/>
        <v>n</v>
      </c>
      <c r="B13" s="1510"/>
      <c r="C13" s="331" t="str">
        <f>'PFI Inc Stat'!C13</f>
        <v>SGA</v>
      </c>
      <c r="D13" s="331"/>
      <c r="E13" s="372"/>
      <c r="F13" s="372"/>
      <c r="G13" s="1627" t="str">
        <f>IFERROR('PFI Inc Stat'!G13/'PFI Inc Stat'!G$10,"n/a")</f>
        <v>n/a</v>
      </c>
      <c r="H13" s="1627" t="str">
        <f>IF(H$9="","",IFERROR('PFI Inc Stat'!H13/'PFI Inc Stat'!H$10,"n/a"))</f>
        <v>n/a</v>
      </c>
      <c r="I13" s="1627" t="str">
        <f>IF(I$9="","",IFERROR('PFI Inc Stat'!I13/'PFI Inc Stat'!I$10,"n/a"))</f>
        <v>n/a</v>
      </c>
      <c r="J13" s="1627" t="str">
        <f>IF(J$9="","",IFERROR('PFI Inc Stat'!J13/'PFI Inc Stat'!J$10,"n/a"))</f>
        <v>n/a</v>
      </c>
      <c r="K13" s="1627" t="str">
        <f>IF(K$9="","",IFERROR('PFI Inc Stat'!K13/'PFI Inc Stat'!K$10,"n/a"))</f>
        <v>n/a</v>
      </c>
      <c r="L13" s="1627" t="str">
        <f>IF(L$9="","",IFERROR('PFI Inc Stat'!L13/'PFI Inc Stat'!L$10,"n/a"))</f>
        <v>n/a</v>
      </c>
      <c r="M13" s="1627" t="str">
        <f>IF(M$9="","",IFERROR('PFI Inc Stat'!M13/'PFI Inc Stat'!M$10,"n/a"))</f>
        <v>n/a</v>
      </c>
      <c r="N13" s="1627" t="str">
        <f>IF(N$9="","",IFERROR('PFI Inc Stat'!N13/'PFI Inc Stat'!N$10,"n/a"))</f>
        <v>n/a</v>
      </c>
      <c r="O13" s="1627" t="str">
        <f>IF(O$9="","",IFERROR('PFI Inc Stat'!O13/'PFI Inc Stat'!O$10,"n/a"))</f>
        <v/>
      </c>
      <c r="P13" s="1627" t="str">
        <f>IF(P$9="","",IFERROR('PFI Inc Stat'!P13/'PFI Inc Stat'!P$10,"n/a"))</f>
        <v/>
      </c>
      <c r="Q13" s="1627" t="str">
        <f>IF(Q$9="","",IFERROR('PFI Inc Stat'!Q13/'PFI Inc Stat'!Q$10,"n/a"))</f>
        <v/>
      </c>
      <c r="R13" s="1627"/>
      <c r="S13" s="1627" t="str">
        <f>IFERROR('PFI Inc Stat'!S13/'PFI Inc Stat'!S$10,"n/a")</f>
        <v>n/a</v>
      </c>
      <c r="T13" s="1525"/>
      <c r="U13" s="1510"/>
    </row>
    <row r="14" spans="1:21" s="312" customFormat="1" ht="13.9">
      <c r="A14" s="1510" t="str">
        <f t="shared" si="0"/>
        <v>n</v>
      </c>
      <c r="B14" s="1510"/>
      <c r="C14" s="1531" t="str">
        <f>'PFI Inc Stat'!C14</f>
        <v>Research and development</v>
      </c>
      <c r="D14" s="1531"/>
      <c r="E14" s="372"/>
      <c r="F14" s="372"/>
      <c r="G14" s="1627" t="str">
        <f>IFERROR('PFI Inc Stat'!G14/'PFI Inc Stat'!G$10,"n/a")</f>
        <v>n/a</v>
      </c>
      <c r="H14" s="1627" t="str">
        <f>IF(H$9="","",IFERROR('PFI Inc Stat'!H14/'PFI Inc Stat'!H$10,"n/a"))</f>
        <v>n/a</v>
      </c>
      <c r="I14" s="1627" t="str">
        <f>IF(I$9="","",IFERROR('PFI Inc Stat'!I14/'PFI Inc Stat'!I$10,"n/a"))</f>
        <v>n/a</v>
      </c>
      <c r="J14" s="1627" t="str">
        <f>IF(J$9="","",IFERROR('PFI Inc Stat'!J14/'PFI Inc Stat'!J$10,"n/a"))</f>
        <v>n/a</v>
      </c>
      <c r="K14" s="1627" t="str">
        <f>IF(K$9="","",IFERROR('PFI Inc Stat'!K14/'PFI Inc Stat'!K$10,"n/a"))</f>
        <v>n/a</v>
      </c>
      <c r="L14" s="1627" t="str">
        <f>IF(L$9="","",IFERROR('PFI Inc Stat'!L14/'PFI Inc Stat'!L$10,"n/a"))</f>
        <v>n/a</v>
      </c>
      <c r="M14" s="1627" t="str">
        <f>IF(M$9="","",IFERROR('PFI Inc Stat'!M14/'PFI Inc Stat'!M$10,"n/a"))</f>
        <v>n/a</v>
      </c>
      <c r="N14" s="1627" t="str">
        <f>IF(N$9="","",IFERROR('PFI Inc Stat'!N14/'PFI Inc Stat'!N$10,"n/a"))</f>
        <v>n/a</v>
      </c>
      <c r="O14" s="1627" t="str">
        <f>IF(O$9="","",IFERROR('PFI Inc Stat'!O14/'PFI Inc Stat'!O$10,"n/a"))</f>
        <v/>
      </c>
      <c r="P14" s="1627" t="str">
        <f>IF(P$9="","",IFERROR('PFI Inc Stat'!P14/'PFI Inc Stat'!P$10,"n/a"))</f>
        <v/>
      </c>
      <c r="Q14" s="1627" t="str">
        <f>IF(Q$9="","",IFERROR('PFI Inc Stat'!Q14/'PFI Inc Stat'!Q$10,"n/a"))</f>
        <v/>
      </c>
      <c r="R14" s="1627"/>
      <c r="S14" s="1627" t="str">
        <f>IFERROR('PFI Inc Stat'!S14/'PFI Inc Stat'!S$10,"n/a")</f>
        <v>n/a</v>
      </c>
      <c r="T14" s="1525"/>
      <c r="U14" s="1510"/>
    </row>
    <row r="15" spans="1:21" s="312" customFormat="1" ht="13.9">
      <c r="A15" s="1510" t="str">
        <f t="shared" si="0"/>
        <v>n</v>
      </c>
      <c r="B15" s="1510"/>
      <c r="C15" s="1531" t="str">
        <f>'PFI Inc Stat'!C15</f>
        <v>Other operating (expense) / income</v>
      </c>
      <c r="D15" s="1531"/>
      <c r="E15" s="372"/>
      <c r="F15" s="372"/>
      <c r="G15" s="1627" t="str">
        <f>IFERROR('PFI Inc Stat'!G15/'PFI Inc Stat'!G$10,"n/a")</f>
        <v>n/a</v>
      </c>
      <c r="H15" s="1627" t="str">
        <f>IF(H$9="","",IFERROR('PFI Inc Stat'!H15/'PFI Inc Stat'!H$10,"n/a"))</f>
        <v>n/a</v>
      </c>
      <c r="I15" s="1627" t="str">
        <f>IF(I$9="","",IFERROR('PFI Inc Stat'!I15/'PFI Inc Stat'!I$10,"n/a"))</f>
        <v>n/a</v>
      </c>
      <c r="J15" s="1627" t="str">
        <f>IF(J$9="","",IFERROR('PFI Inc Stat'!J15/'PFI Inc Stat'!J$10,"n/a"))</f>
        <v>n/a</v>
      </c>
      <c r="K15" s="1627" t="str">
        <f>IF(K$9="","",IFERROR('PFI Inc Stat'!K15/'PFI Inc Stat'!K$10,"n/a"))</f>
        <v>n/a</v>
      </c>
      <c r="L15" s="1627" t="str">
        <f>IF(L$9="","",IFERROR('PFI Inc Stat'!L15/'PFI Inc Stat'!L$10,"n/a"))</f>
        <v>n/a</v>
      </c>
      <c r="M15" s="1627" t="str">
        <f>IF(M$9="","",IFERROR('PFI Inc Stat'!M15/'PFI Inc Stat'!M$10,"n/a"))</f>
        <v>n/a</v>
      </c>
      <c r="N15" s="1627" t="str">
        <f>IF(N$9="","",IFERROR('PFI Inc Stat'!N15/'PFI Inc Stat'!N$10,"n/a"))</f>
        <v>n/a</v>
      </c>
      <c r="O15" s="1627" t="str">
        <f>IF(O$9="","",IFERROR('PFI Inc Stat'!O15/'PFI Inc Stat'!O$10,"n/a"))</f>
        <v/>
      </c>
      <c r="P15" s="1627" t="str">
        <f>IF(P$9="","",IFERROR('PFI Inc Stat'!P15/'PFI Inc Stat'!P$10,"n/a"))</f>
        <v/>
      </c>
      <c r="Q15" s="1627" t="str">
        <f>IF(Q$9="","",IFERROR('PFI Inc Stat'!Q15/'PFI Inc Stat'!Q$10,"n/a"))</f>
        <v/>
      </c>
      <c r="R15" s="1627"/>
      <c r="S15" s="1627" t="str">
        <f>IFERROR('PFI Inc Stat'!S15/'PFI Inc Stat'!S$10,"n/a")</f>
        <v>n/a</v>
      </c>
      <c r="T15" s="1525"/>
      <c r="U15" s="1510"/>
    </row>
    <row r="16" spans="1:21" s="312" customFormat="1" ht="13.9">
      <c r="A16" s="1510" t="str">
        <f>IF(OR(MAX(E16:Q16)&gt;0.001,MIN(E16:Q16)&lt;-0.001),"","n")</f>
        <v>n</v>
      </c>
      <c r="B16" s="1510"/>
      <c r="C16" s="1531" t="str">
        <f>'PFI Inc Stat'!C16</f>
        <v>Other operating (expense) / income</v>
      </c>
      <c r="D16" s="1531"/>
      <c r="E16" s="372"/>
      <c r="F16" s="372"/>
      <c r="G16" s="1627" t="str">
        <f>IFERROR('PFI Inc Stat'!G16/'PFI Inc Stat'!G$10,"n/a")</f>
        <v>n/a</v>
      </c>
      <c r="H16" s="1627" t="str">
        <f>IF(H$9="","",IFERROR('PFI Inc Stat'!H16/'PFI Inc Stat'!H$10,"n/a"))</f>
        <v>n/a</v>
      </c>
      <c r="I16" s="1627" t="str">
        <f>IF(I$9="","",IFERROR('PFI Inc Stat'!I16/'PFI Inc Stat'!I$10,"n/a"))</f>
        <v>n/a</v>
      </c>
      <c r="J16" s="1627" t="str">
        <f>IF(J$9="","",IFERROR('PFI Inc Stat'!J16/'PFI Inc Stat'!J$10,"n/a"))</f>
        <v>n/a</v>
      </c>
      <c r="K16" s="1627" t="str">
        <f>IF(K$9="","",IFERROR('PFI Inc Stat'!K16/'PFI Inc Stat'!K$10,"n/a"))</f>
        <v>n/a</v>
      </c>
      <c r="L16" s="1627" t="str">
        <f>IF(L$9="","",IFERROR('PFI Inc Stat'!L16/'PFI Inc Stat'!L$10,"n/a"))</f>
        <v>n/a</v>
      </c>
      <c r="M16" s="1627" t="str">
        <f>IF(M$9="","",IFERROR('PFI Inc Stat'!M16/'PFI Inc Stat'!M$10,"n/a"))</f>
        <v>n/a</v>
      </c>
      <c r="N16" s="1627" t="str">
        <f>IF(N$9="","",IFERROR('PFI Inc Stat'!N16/'PFI Inc Stat'!N$10,"n/a"))</f>
        <v>n/a</v>
      </c>
      <c r="O16" s="1627" t="str">
        <f>IF(O$9="","",IFERROR('PFI Inc Stat'!O16/'PFI Inc Stat'!O$10,"n/a"))</f>
        <v/>
      </c>
      <c r="P16" s="1627" t="str">
        <f>IF(P$9="","",IFERROR('PFI Inc Stat'!P16/'PFI Inc Stat'!P$10,"n/a"))</f>
        <v/>
      </c>
      <c r="Q16" s="1627" t="str">
        <f>IF(Q$9="","",IFERROR('PFI Inc Stat'!Q16/'PFI Inc Stat'!Q$10,"n/a"))</f>
        <v/>
      </c>
      <c r="R16" s="1627"/>
      <c r="S16" s="1627" t="str">
        <f>IFERROR('PFI Inc Stat'!S16/'PFI Inc Stat'!S$10,"n/a")</f>
        <v>n/a</v>
      </c>
      <c r="T16" s="1525"/>
      <c r="U16" s="1510"/>
    </row>
    <row r="17" spans="1:25" s="312" customFormat="1" ht="13.9">
      <c r="A17" s="1510" t="str">
        <f>IF(OR(MAX(E17:Q17)&gt;0.001,MIN(E17:Q17)&lt;-0.001),"","n")</f>
        <v>n</v>
      </c>
      <c r="B17" s="1510"/>
      <c r="C17" s="1531" t="str">
        <f>'PFI Inc Stat'!C17</f>
        <v>Other operating (expense) / income</v>
      </c>
      <c r="D17" s="1531"/>
      <c r="E17" s="372"/>
      <c r="F17" s="372"/>
      <c r="G17" s="1627" t="str">
        <f>IFERROR('PFI Inc Stat'!G17/'PFI Inc Stat'!G$10,"n/a")</f>
        <v>n/a</v>
      </c>
      <c r="H17" s="1627" t="str">
        <f>IF(H$9="","",IFERROR('PFI Inc Stat'!H17/'PFI Inc Stat'!H$10,"n/a"))</f>
        <v>n/a</v>
      </c>
      <c r="I17" s="1627" t="str">
        <f>IF(I$9="","",IFERROR('PFI Inc Stat'!I17/'PFI Inc Stat'!I$10,"n/a"))</f>
        <v>n/a</v>
      </c>
      <c r="J17" s="1627" t="str">
        <f>IF(J$9="","",IFERROR('PFI Inc Stat'!J17/'PFI Inc Stat'!J$10,"n/a"))</f>
        <v>n/a</v>
      </c>
      <c r="K17" s="1627" t="str">
        <f>IF(K$9="","",IFERROR('PFI Inc Stat'!K17/'PFI Inc Stat'!K$10,"n/a"))</f>
        <v>n/a</v>
      </c>
      <c r="L17" s="1627" t="str">
        <f>IF(L$9="","",IFERROR('PFI Inc Stat'!L17/'PFI Inc Stat'!L$10,"n/a"))</f>
        <v>n/a</v>
      </c>
      <c r="M17" s="1627" t="str">
        <f>IF(M$9="","",IFERROR('PFI Inc Stat'!M17/'PFI Inc Stat'!M$10,"n/a"))</f>
        <v>n/a</v>
      </c>
      <c r="N17" s="1627" t="str">
        <f>IF(N$9="","",IFERROR('PFI Inc Stat'!N17/'PFI Inc Stat'!N$10,"n/a"))</f>
        <v>n/a</v>
      </c>
      <c r="O17" s="1627" t="str">
        <f>IF(O$9="","",IFERROR('PFI Inc Stat'!O17/'PFI Inc Stat'!O$10,"n/a"))</f>
        <v/>
      </c>
      <c r="P17" s="1627" t="str">
        <f>IF(P$9="","",IFERROR('PFI Inc Stat'!P17/'PFI Inc Stat'!P$10,"n/a"))</f>
        <v/>
      </c>
      <c r="Q17" s="1627" t="str">
        <f>IF(Q$9="","",IFERROR('PFI Inc Stat'!Q17/'PFI Inc Stat'!Q$10,"n/a"))</f>
        <v/>
      </c>
      <c r="R17" s="1627"/>
      <c r="S17" s="1627" t="str">
        <f>IFERROR('PFI Inc Stat'!S17/'PFI Inc Stat'!S$10,"n/a")</f>
        <v>n/a</v>
      </c>
      <c r="T17" s="1525"/>
      <c r="U17" s="1510"/>
    </row>
    <row r="18" spans="1:25" s="312" customFormat="1" ht="13.9">
      <c r="A18" s="1510" t="str">
        <f>IF(OR(MAX(E18:Q18)&gt;0.001,MIN(E18:Q18)&lt;-0.001),"","n")</f>
        <v>n</v>
      </c>
      <c r="B18" s="1510"/>
      <c r="C18" s="1531" t="str">
        <f>'PFI Inc Stat'!C18</f>
        <v>Other operating (expense) / income</v>
      </c>
      <c r="D18" s="1531"/>
      <c r="E18" s="372"/>
      <c r="F18" s="372"/>
      <c r="G18" s="1627" t="str">
        <f>IFERROR('PFI Inc Stat'!G18/'PFI Inc Stat'!G$10,"n/a")</f>
        <v>n/a</v>
      </c>
      <c r="H18" s="1627" t="str">
        <f>IF(H$9="","",IFERROR('PFI Inc Stat'!H18/'PFI Inc Stat'!H$10,"n/a"))</f>
        <v>n/a</v>
      </c>
      <c r="I18" s="1627" t="str">
        <f>IF(I$9="","",IFERROR('PFI Inc Stat'!I18/'PFI Inc Stat'!I$10,"n/a"))</f>
        <v>n/a</v>
      </c>
      <c r="J18" s="1627" t="str">
        <f>IF(J$9="","",IFERROR('PFI Inc Stat'!J18/'PFI Inc Stat'!J$10,"n/a"))</f>
        <v>n/a</v>
      </c>
      <c r="K18" s="1627" t="str">
        <f>IF(K$9="","",IFERROR('PFI Inc Stat'!K18/'PFI Inc Stat'!K$10,"n/a"))</f>
        <v>n/a</v>
      </c>
      <c r="L18" s="1627" t="str">
        <f>IF(L$9="","",IFERROR('PFI Inc Stat'!L18/'PFI Inc Stat'!L$10,"n/a"))</f>
        <v>n/a</v>
      </c>
      <c r="M18" s="1627" t="str">
        <f>IF(M$9="","",IFERROR('PFI Inc Stat'!M18/'PFI Inc Stat'!M$10,"n/a"))</f>
        <v>n/a</v>
      </c>
      <c r="N18" s="1627" t="str">
        <f>IF(N$9="","",IFERROR('PFI Inc Stat'!N18/'PFI Inc Stat'!N$10,"n/a"))</f>
        <v>n/a</v>
      </c>
      <c r="O18" s="1627" t="str">
        <f>IF(O$9="","",IFERROR('PFI Inc Stat'!O18/'PFI Inc Stat'!O$10,"n/a"))</f>
        <v/>
      </c>
      <c r="P18" s="1627" t="str">
        <f>IF(P$9="","",IFERROR('PFI Inc Stat'!P18/'PFI Inc Stat'!P$10,"n/a"))</f>
        <v/>
      </c>
      <c r="Q18" s="1627" t="str">
        <f>IF(Q$9="","",IFERROR('PFI Inc Stat'!Q18/'PFI Inc Stat'!Q$10,"n/a"))</f>
        <v/>
      </c>
      <c r="R18" s="1627"/>
      <c r="S18" s="1627" t="str">
        <f>IFERROR('PFI Inc Stat'!S18/'PFI Inc Stat'!S$10,"n/a")</f>
        <v>n/a</v>
      </c>
      <c r="T18" s="1525"/>
      <c r="U18" s="1510"/>
    </row>
    <row r="19" spans="1:25" s="312" customFormat="1" ht="13.9">
      <c r="A19" s="1510" t="str">
        <f>IF(OR(MAX(E19:Q19)&gt;0.001,MIN(E19:Q19)&lt;-0.001),"","n")</f>
        <v>n</v>
      </c>
      <c r="B19" s="1510"/>
      <c r="C19" s="1531" t="str">
        <f>'PFI Inc Stat'!C19</f>
        <v>Other operating (expense) / income</v>
      </c>
      <c r="D19" s="1531"/>
      <c r="E19" s="372"/>
      <c r="F19" s="372"/>
      <c r="G19" s="1627" t="str">
        <f>IFERROR('PFI Inc Stat'!G19/'PFI Inc Stat'!G$10,"n/a")</f>
        <v>n/a</v>
      </c>
      <c r="H19" s="1627" t="str">
        <f>IF(H$9="","",IFERROR('PFI Inc Stat'!H19/'PFI Inc Stat'!H$10,"n/a"))</f>
        <v>n/a</v>
      </c>
      <c r="I19" s="1627" t="str">
        <f>IF(I$9="","",IFERROR('PFI Inc Stat'!I19/'PFI Inc Stat'!I$10,"n/a"))</f>
        <v>n/a</v>
      </c>
      <c r="J19" s="1627" t="str">
        <f>IF(J$9="","",IFERROR('PFI Inc Stat'!J19/'PFI Inc Stat'!J$10,"n/a"))</f>
        <v>n/a</v>
      </c>
      <c r="K19" s="1627" t="str">
        <f>IF(K$9="","",IFERROR('PFI Inc Stat'!K19/'PFI Inc Stat'!K$10,"n/a"))</f>
        <v>n/a</v>
      </c>
      <c r="L19" s="1627" t="str">
        <f>IF(L$9="","",IFERROR('PFI Inc Stat'!L19/'PFI Inc Stat'!L$10,"n/a"))</f>
        <v>n/a</v>
      </c>
      <c r="M19" s="1627" t="str">
        <f>IF(M$9="","",IFERROR('PFI Inc Stat'!M19/'PFI Inc Stat'!M$10,"n/a"))</f>
        <v>n/a</v>
      </c>
      <c r="N19" s="1627" t="str">
        <f>IF(N$9="","",IFERROR('PFI Inc Stat'!N19/'PFI Inc Stat'!N$10,"n/a"))</f>
        <v>n/a</v>
      </c>
      <c r="O19" s="1627" t="str">
        <f>IF(O$9="","",IFERROR('PFI Inc Stat'!O19/'PFI Inc Stat'!O$10,"n/a"))</f>
        <v/>
      </c>
      <c r="P19" s="1627" t="str">
        <f>IF(P$9="","",IFERROR('PFI Inc Stat'!P19/'PFI Inc Stat'!P$10,"n/a"))</f>
        <v/>
      </c>
      <c r="Q19" s="1627" t="str">
        <f>IF(Q$9="","",IFERROR('PFI Inc Stat'!Q19/'PFI Inc Stat'!Q$10,"n/a"))</f>
        <v/>
      </c>
      <c r="R19" s="1627"/>
      <c r="S19" s="1627" t="str">
        <f>IFERROR('PFI Inc Stat'!S19/'PFI Inc Stat'!S$10,"n/a")</f>
        <v>n/a</v>
      </c>
      <c r="T19" s="1525"/>
      <c r="U19" s="1510"/>
    </row>
    <row r="20" spans="1:25" s="312" customFormat="1" ht="13.9">
      <c r="A20" s="1510"/>
      <c r="B20" s="1510"/>
      <c r="C20" s="1531" t="str">
        <f>'PFI Inc Stat'!C20</f>
        <v>EBITDA haircut</v>
      </c>
      <c r="D20" s="1531"/>
      <c r="E20" s="372"/>
      <c r="F20" s="372"/>
      <c r="G20" s="1627" t="str">
        <f>IFERROR('PFI Inc Stat'!G20/'PFI Inc Stat'!G$10,"n/a")</f>
        <v>n/a</v>
      </c>
      <c r="H20" s="1627" t="str">
        <f>IF(H$9="","",IFERROR('PFI Inc Stat'!H20/'PFI Inc Stat'!H$10,"n/a"))</f>
        <v>n/a</v>
      </c>
      <c r="I20" s="1627" t="str">
        <f>IF(I$9="","",IFERROR('PFI Inc Stat'!I20/'PFI Inc Stat'!I$10,"n/a"))</f>
        <v>n/a</v>
      </c>
      <c r="J20" s="1627" t="str">
        <f>IF(J$9="","",IFERROR('PFI Inc Stat'!J20/'PFI Inc Stat'!J$10,"n/a"))</f>
        <v>n/a</v>
      </c>
      <c r="K20" s="1627" t="str">
        <f>IF(K$9="","",IFERROR('PFI Inc Stat'!K20/'PFI Inc Stat'!K$10,"n/a"))</f>
        <v>n/a</v>
      </c>
      <c r="L20" s="1627" t="str">
        <f>IF(L$9="","",IFERROR('PFI Inc Stat'!L20/'PFI Inc Stat'!L$10,"n/a"))</f>
        <v>n/a</v>
      </c>
      <c r="M20" s="1627" t="str">
        <f>IF(M$9="","",IFERROR('PFI Inc Stat'!M20/'PFI Inc Stat'!M$10,"n/a"))</f>
        <v>n/a</v>
      </c>
      <c r="N20" s="1627" t="str">
        <f>IF(N$9="","",IFERROR('PFI Inc Stat'!N20/'PFI Inc Stat'!N$10,"n/a"))</f>
        <v>n/a</v>
      </c>
      <c r="O20" s="1627" t="str">
        <f>IF(O$9="","",IFERROR('PFI Inc Stat'!O20/'PFI Inc Stat'!O$10,"n/a"))</f>
        <v/>
      </c>
      <c r="P20" s="1627" t="str">
        <f>IF(P$9="","",IFERROR('PFI Inc Stat'!P20/'PFI Inc Stat'!P$10,"n/a"))</f>
        <v/>
      </c>
      <c r="Q20" s="1627" t="str">
        <f>IF(Q$9="","",IFERROR('PFI Inc Stat'!Q20/'PFI Inc Stat'!Q$10,"n/a"))</f>
        <v/>
      </c>
      <c r="R20" s="1627"/>
      <c r="S20" s="1627" t="str">
        <f>IFERROR('PFI Inc Stat'!S20/'PFI Inc Stat'!S$10,"n/a")</f>
        <v>n/a</v>
      </c>
      <c r="T20" s="1525"/>
      <c r="U20" s="1510"/>
    </row>
    <row r="21" spans="1:25" ht="13.9">
      <c r="A21" s="1510" t="str">
        <f t="shared" si="0"/>
        <v>n</v>
      </c>
      <c r="B21" s="1510"/>
      <c r="C21" s="298" t="s">
        <v>247</v>
      </c>
      <c r="D21" s="298"/>
      <c r="E21" s="371"/>
      <c r="F21" s="371"/>
      <c r="G21" s="1732" t="str">
        <f>IFERROR('PFI Inc Stat'!G21/'PFI Inc Stat'!G$10,"n/a")</f>
        <v>n/a</v>
      </c>
      <c r="H21" s="1732" t="str">
        <f>IF(H$9="","",IFERROR('PFI Inc Stat'!H21/'PFI Inc Stat'!H$10,"n/a"))</f>
        <v>n/a</v>
      </c>
      <c r="I21" s="1732" t="str">
        <f>IF(I$9="","",IFERROR('PFI Inc Stat'!I21/'PFI Inc Stat'!I$10,"n/a"))</f>
        <v>n/a</v>
      </c>
      <c r="J21" s="1732" t="str">
        <f>IF(J$9="","",IFERROR('PFI Inc Stat'!J21/'PFI Inc Stat'!J$10,"n/a"))</f>
        <v>n/a</v>
      </c>
      <c r="K21" s="1732" t="str">
        <f>IF(K$9="","",IFERROR('PFI Inc Stat'!K21/'PFI Inc Stat'!K$10,"n/a"))</f>
        <v>n/a</v>
      </c>
      <c r="L21" s="1732" t="str">
        <f>IF(L$9="","",IFERROR('PFI Inc Stat'!L21/'PFI Inc Stat'!L$10,"n/a"))</f>
        <v>n/a</v>
      </c>
      <c r="M21" s="1732" t="str">
        <f>IF(M$9="","",IFERROR('PFI Inc Stat'!M21/'PFI Inc Stat'!M$10,"n/a"))</f>
        <v>n/a</v>
      </c>
      <c r="N21" s="1732" t="str">
        <f>IF(N$9="","",IFERROR('PFI Inc Stat'!N21/'PFI Inc Stat'!N$10,"n/a"))</f>
        <v>n/a</v>
      </c>
      <c r="O21" s="1732" t="str">
        <f>IF(O$9="","",IFERROR('PFI Inc Stat'!O21/'PFI Inc Stat'!O$10,"n/a"))</f>
        <v/>
      </c>
      <c r="P21" s="1732" t="str">
        <f>IF(P$9="","",IFERROR('PFI Inc Stat'!P21/'PFI Inc Stat'!P$10,"n/a"))</f>
        <v/>
      </c>
      <c r="Q21" s="1732" t="str">
        <f>IF(Q$9="","",IFERROR('PFI Inc Stat'!Q21/'PFI Inc Stat'!Q$10,"n/a"))</f>
        <v/>
      </c>
      <c r="R21" s="1627"/>
      <c r="S21" s="1732" t="str">
        <f>IFERROR('PFI Inc Stat'!S21/'PFI Inc Stat'!S$10,"n/a")</f>
        <v>n/a</v>
      </c>
      <c r="T21" s="1525"/>
      <c r="U21" s="1510"/>
      <c r="V21" s="1525"/>
      <c r="W21" s="1525"/>
      <c r="X21" s="1525"/>
      <c r="Y21" s="1525"/>
    </row>
    <row r="22" spans="1:25" ht="13.9">
      <c r="A22" s="1510" t="str">
        <f t="shared" ca="1" si="0"/>
        <v>n</v>
      </c>
      <c r="B22" s="1510"/>
      <c r="C22" s="290" t="str">
        <f>'PFI Inc Stat'!C22</f>
        <v>Depreciation (tax)</v>
      </c>
      <c r="D22" s="290"/>
      <c r="E22" s="372"/>
      <c r="F22" s="372"/>
      <c r="G22" s="1627" t="str">
        <f ca="1">IFERROR('PFI Inc Stat'!G22/'PFI Inc Stat'!G$10,"n/a")</f>
        <v>n/a</v>
      </c>
      <c r="H22" s="1627" t="str">
        <f ca="1">IF(H$9="","",IFERROR('PFI Inc Stat'!H22/'PFI Inc Stat'!H$10,"n/a"))</f>
        <v>n/a</v>
      </c>
      <c r="I22" s="1627" t="str">
        <f ca="1">IF(I$9="","",IFERROR('PFI Inc Stat'!I22/'PFI Inc Stat'!I$10,"n/a"))</f>
        <v>n/a</v>
      </c>
      <c r="J22" s="1627" t="str">
        <f ca="1">IF(J$9="","",IFERROR('PFI Inc Stat'!J22/'PFI Inc Stat'!J$10,"n/a"))</f>
        <v>n/a</v>
      </c>
      <c r="K22" s="1627" t="str">
        <f ca="1">IF(K$9="","",IFERROR('PFI Inc Stat'!K22/'PFI Inc Stat'!K$10,"n/a"))</f>
        <v>n/a</v>
      </c>
      <c r="L22" s="1627" t="str">
        <f ca="1">IF(L$9="","",IFERROR('PFI Inc Stat'!L22/'PFI Inc Stat'!L$10,"n/a"))</f>
        <v>n/a</v>
      </c>
      <c r="M22" s="1627" t="str">
        <f ca="1">IF(M$9="","",IFERROR('PFI Inc Stat'!M22/'PFI Inc Stat'!M$10,"n/a"))</f>
        <v>n/a</v>
      </c>
      <c r="N22" s="1627" t="str">
        <f ca="1">IF(N$9="","",IFERROR('PFI Inc Stat'!N22/'PFI Inc Stat'!N$10,"n/a"))</f>
        <v>n/a</v>
      </c>
      <c r="O22" s="1627" t="str">
        <f>IF(O$9="","",IFERROR('PFI Inc Stat'!O22/'PFI Inc Stat'!O$10,"n/a"))</f>
        <v/>
      </c>
      <c r="P22" s="1627" t="str">
        <f>IF(P$9="","",IFERROR('PFI Inc Stat'!P22/'PFI Inc Stat'!P$10,"n/a"))</f>
        <v/>
      </c>
      <c r="Q22" s="1627" t="str">
        <f>IF(Q$9="","",IFERROR('PFI Inc Stat'!Q22/'PFI Inc Stat'!Q$10,"n/a"))</f>
        <v/>
      </c>
      <c r="R22" s="1627"/>
      <c r="S22" s="1627" t="str">
        <f>IFERROR('PFI Inc Stat'!S22/'PFI Inc Stat'!S$10,"n/a")</f>
        <v>n/a</v>
      </c>
      <c r="T22" s="1507"/>
      <c r="U22" s="1510"/>
      <c r="V22" s="1525"/>
      <c r="W22" s="1525"/>
      <c r="X22" s="1525"/>
      <c r="Y22" s="1525"/>
    </row>
    <row r="23" spans="1:25" ht="13.9">
      <c r="A23" s="1510" t="str">
        <f t="shared" si="0"/>
        <v>n</v>
      </c>
      <c r="B23" s="1510"/>
      <c r="C23" s="299" t="str">
        <f>'PFI Inc Stat'!C23</f>
        <v>Amortization (tax)</v>
      </c>
      <c r="D23" s="299"/>
      <c r="E23" s="372"/>
      <c r="F23" s="372"/>
      <c r="G23" s="1627" t="str">
        <f>IFERROR('PFI Inc Stat'!G23/'PFI Inc Stat'!G$10,"n/a")</f>
        <v>n/a</v>
      </c>
      <c r="H23" s="1627" t="str">
        <f>IF(H$9="","",IFERROR('PFI Inc Stat'!H23/'PFI Inc Stat'!H$10,"n/a"))</f>
        <v>n/a</v>
      </c>
      <c r="I23" s="1627" t="str">
        <f>IF(I$9="","",IFERROR('PFI Inc Stat'!I23/'PFI Inc Stat'!I$10,"n/a"))</f>
        <v>n/a</v>
      </c>
      <c r="J23" s="1627" t="str">
        <f>IF(J$9="","",IFERROR('PFI Inc Stat'!J23/'PFI Inc Stat'!J$10,"n/a"))</f>
        <v>n/a</v>
      </c>
      <c r="K23" s="1627" t="str">
        <f>IF(K$9="","",IFERROR('PFI Inc Stat'!K23/'PFI Inc Stat'!K$10,"n/a"))</f>
        <v>n/a</v>
      </c>
      <c r="L23" s="1627" t="str">
        <f>IF(L$9="","",IFERROR('PFI Inc Stat'!L23/'PFI Inc Stat'!L$10,"n/a"))</f>
        <v>n/a</v>
      </c>
      <c r="M23" s="1627" t="str">
        <f>IF(M$9="","",IFERROR('PFI Inc Stat'!M23/'PFI Inc Stat'!M$10,"n/a"))</f>
        <v>n/a</v>
      </c>
      <c r="N23" s="1627" t="str">
        <f>IF(N$9="","",IFERROR('PFI Inc Stat'!N23/'PFI Inc Stat'!N$10,"n/a"))</f>
        <v>n/a</v>
      </c>
      <c r="O23" s="1627" t="str">
        <f>IF(O$9="","",IFERROR('PFI Inc Stat'!O23/'PFI Inc Stat'!O$10,"n/a"))</f>
        <v/>
      </c>
      <c r="P23" s="1627" t="str">
        <f>IF(P$9="","",IFERROR('PFI Inc Stat'!P23/'PFI Inc Stat'!P$10,"n/a"))</f>
        <v/>
      </c>
      <c r="Q23" s="1627" t="str">
        <f>IF(Q$9="","",IFERROR('PFI Inc Stat'!Q23/'PFI Inc Stat'!Q$10,"n/a"))</f>
        <v/>
      </c>
      <c r="R23" s="1627"/>
      <c r="S23" s="1627" t="str">
        <f>IFERROR('PFI Inc Stat'!S23/'PFI Inc Stat'!S$10,"n/a")</f>
        <v>n/a</v>
      </c>
      <c r="T23" s="1525"/>
      <c r="U23" s="1510"/>
      <c r="V23" s="1525"/>
      <c r="W23" s="1525"/>
      <c r="X23" s="1525"/>
      <c r="Y23" s="1525"/>
    </row>
    <row r="24" spans="1:25" ht="13.9">
      <c r="A24" s="1510" t="str">
        <f t="shared" ca="1" si="0"/>
        <v>n</v>
      </c>
      <c r="B24" s="1510"/>
      <c r="C24" s="1127" t="s">
        <v>211</v>
      </c>
      <c r="D24" s="1127"/>
      <c r="E24" s="1128"/>
      <c r="F24" s="1128"/>
      <c r="G24" s="1733" t="str">
        <f ca="1">IFERROR('PFI Inc Stat'!G24/'PFI Inc Stat'!G$10,"n/a")</f>
        <v>n/a</v>
      </c>
      <c r="H24" s="1733" t="str">
        <f ca="1">IF(H$9="","",IFERROR('PFI Inc Stat'!H24/'PFI Inc Stat'!H$10,"n/a"))</f>
        <v>n/a</v>
      </c>
      <c r="I24" s="1733" t="str">
        <f ca="1">IF(I$9="","",IFERROR('PFI Inc Stat'!I24/'PFI Inc Stat'!I$10,"n/a"))</f>
        <v>n/a</v>
      </c>
      <c r="J24" s="1733" t="str">
        <f ca="1">IF(J$9="","",IFERROR('PFI Inc Stat'!J24/'PFI Inc Stat'!J$10,"n/a"))</f>
        <v>n/a</v>
      </c>
      <c r="K24" s="1733" t="str">
        <f ca="1">IF(K$9="","",IFERROR('PFI Inc Stat'!K24/'PFI Inc Stat'!K$10,"n/a"))</f>
        <v>n/a</v>
      </c>
      <c r="L24" s="1733" t="str">
        <f ca="1">IF(L$9="","",IFERROR('PFI Inc Stat'!L24/'PFI Inc Stat'!L$10,"n/a"))</f>
        <v>n/a</v>
      </c>
      <c r="M24" s="1733" t="str">
        <f ca="1">IF(M$9="","",IFERROR('PFI Inc Stat'!M24/'PFI Inc Stat'!M$10,"n/a"))</f>
        <v>n/a</v>
      </c>
      <c r="N24" s="1733" t="str">
        <f ca="1">IF(N$9="","",IFERROR('PFI Inc Stat'!N24/'PFI Inc Stat'!N$10,"n/a"))</f>
        <v>n/a</v>
      </c>
      <c r="O24" s="1733" t="str">
        <f>IF(O$9="","",IFERROR('PFI Inc Stat'!O24/'PFI Inc Stat'!O$10,"n/a"))</f>
        <v/>
      </c>
      <c r="P24" s="1733" t="str">
        <f>IF(P$9="","",IFERROR('PFI Inc Stat'!P24/'PFI Inc Stat'!P$10,"n/a"))</f>
        <v/>
      </c>
      <c r="Q24" s="1733" t="str">
        <f>IF(Q$9="","",IFERROR('PFI Inc Stat'!Q24/'PFI Inc Stat'!Q$10,"n/a"))</f>
        <v/>
      </c>
      <c r="R24" s="1627"/>
      <c r="S24" s="1733" t="str">
        <f>IFERROR('PFI Inc Stat'!S24/'PFI Inc Stat'!S$10,"n/a")</f>
        <v>n/a</v>
      </c>
      <c r="T24" s="1507"/>
      <c r="U24" s="1510"/>
      <c r="V24" s="1525"/>
      <c r="W24" s="1525"/>
      <c r="X24" s="1525"/>
      <c r="Y24" s="1525"/>
    </row>
    <row r="25" spans="1:25" s="1507" customFormat="1" ht="13.9">
      <c r="A25" s="1510"/>
      <c r="B25" s="1510"/>
      <c r="C25" s="331"/>
      <c r="D25" s="331"/>
      <c r="E25" s="296"/>
      <c r="F25" s="328"/>
      <c r="G25" s="1525"/>
      <c r="H25" s="1525"/>
      <c r="I25" s="1525"/>
      <c r="J25" s="1525"/>
      <c r="K25" s="1525"/>
      <c r="L25" s="1525"/>
      <c r="M25" s="1525"/>
      <c r="N25" s="1525"/>
      <c r="O25" s="1525"/>
      <c r="P25" s="1525"/>
      <c r="Q25" s="1525"/>
      <c r="R25" s="1525"/>
      <c r="S25" s="1525"/>
      <c r="T25" s="1525"/>
      <c r="U25" s="1510"/>
      <c r="Y25" s="2060"/>
    </row>
    <row r="26" spans="1:25" s="1507" customFormat="1" ht="13.9">
      <c r="A26" s="1510"/>
      <c r="B26" s="1510"/>
      <c r="C26" s="2046" t="s">
        <v>296</v>
      </c>
      <c r="D26" s="299"/>
      <c r="E26" s="963"/>
      <c r="F26" s="963"/>
      <c r="G26" s="1627" t="str">
        <f>IF(G$9="","",IFERROR('PFI Inc Stat'!G26/'PFI Inc Stat'!G$10,"n/a"))</f>
        <v>n/a</v>
      </c>
      <c r="H26" s="1627" t="str">
        <f>IF(H$9="","",IFERROR('PFI Inc Stat'!H26/'PFI Inc Stat'!H$10,"n/a"))</f>
        <v>n/a</v>
      </c>
      <c r="I26" s="1627" t="str">
        <f>IF(I$9="","",IFERROR('PFI Inc Stat'!I26/'PFI Inc Stat'!I$10,"n/a"))</f>
        <v>n/a</v>
      </c>
      <c r="J26" s="1627" t="str">
        <f>IF(J$9="","",IFERROR('PFI Inc Stat'!J26/'PFI Inc Stat'!J$10,"n/a"))</f>
        <v>n/a</v>
      </c>
      <c r="K26" s="1627" t="str">
        <f>IF(K$9="","",IFERROR('PFI Inc Stat'!K26/'PFI Inc Stat'!K$10,"n/a"))</f>
        <v>n/a</v>
      </c>
      <c r="L26" s="1627" t="str">
        <f>IF(L$9="","",IFERROR('PFI Inc Stat'!L26/'PFI Inc Stat'!L$10,"n/a"))</f>
        <v>n/a</v>
      </c>
      <c r="M26" s="1627" t="str">
        <f>IF(M$9="","",IFERROR('PFI Inc Stat'!M26/'PFI Inc Stat'!M$10,"n/a"))</f>
        <v>n/a</v>
      </c>
      <c r="N26" s="1627" t="str">
        <f>IF(N$9="","",IFERROR('PFI Inc Stat'!N26/'PFI Inc Stat'!N$10,"n/a"))</f>
        <v>n/a</v>
      </c>
      <c r="O26" s="1627" t="str">
        <f>IF(O$9="","",IFERROR('PFI Inc Stat'!O26/'PFI Inc Stat'!O$10,"n/a"))</f>
        <v/>
      </c>
      <c r="P26" s="1627" t="str">
        <f>IF(P$9="","",IFERROR('PFI Inc Stat'!P26/'PFI Inc Stat'!P$10,"n/a"))</f>
        <v/>
      </c>
      <c r="Q26" s="1627" t="str">
        <f>IF(Q$9="","",IFERROR('PFI Inc Stat'!Q26/'PFI Inc Stat'!Q$10,"n/a"))</f>
        <v/>
      </c>
      <c r="R26" s="2060"/>
      <c r="S26" s="1627" t="str">
        <f>IFERROR('PFI Inc Stat'!S26/'PFI Inc Stat'!S$10,"n/a")</f>
        <v>n/a</v>
      </c>
      <c r="U26" s="1510"/>
      <c r="W26" s="2060"/>
      <c r="X26" s="2060"/>
    </row>
    <row r="27" spans="1:25" s="1507" customFormat="1" ht="13.9">
      <c r="A27" s="1510"/>
      <c r="B27" s="1510"/>
      <c r="C27" s="2046" t="s">
        <v>910</v>
      </c>
      <c r="D27" s="299"/>
      <c r="E27" s="963"/>
      <c r="F27" s="963"/>
      <c r="G27" s="1627" t="str">
        <f>IF(G$9="","",IFERROR('PFI Inc Stat'!G27/'PFI Inc Stat'!G$10,"n/a"))</f>
        <v>n/a</v>
      </c>
      <c r="H27" s="1627" t="str">
        <f>IF(H$9="","",IFERROR('PFI Inc Stat'!H27/'PFI Inc Stat'!H$10,"n/a"))</f>
        <v>n/a</v>
      </c>
      <c r="I27" s="1627" t="str">
        <f>IF(I$9="","",IFERROR('PFI Inc Stat'!I27/'PFI Inc Stat'!I$10,"n/a"))</f>
        <v>n/a</v>
      </c>
      <c r="J27" s="1627" t="str">
        <f>IF(J$9="","",IFERROR('PFI Inc Stat'!J27/'PFI Inc Stat'!J$10,"n/a"))</f>
        <v>n/a</v>
      </c>
      <c r="K27" s="1627" t="str">
        <f>IF(K$9="","",IFERROR('PFI Inc Stat'!K27/'PFI Inc Stat'!K$10,"n/a"))</f>
        <v>n/a</v>
      </c>
      <c r="L27" s="1627" t="str">
        <f>IF(L$9="","",IFERROR('PFI Inc Stat'!L27/'PFI Inc Stat'!L$10,"n/a"))</f>
        <v>n/a</v>
      </c>
      <c r="M27" s="1627" t="str">
        <f>IF(M$9="","",IFERROR('PFI Inc Stat'!M27/'PFI Inc Stat'!M$10,"n/a"))</f>
        <v>n/a</v>
      </c>
      <c r="N27" s="1627" t="str">
        <f>IF(N$9="","",IFERROR('PFI Inc Stat'!N27/'PFI Inc Stat'!N$10,"n/a"))</f>
        <v>n/a</v>
      </c>
      <c r="O27" s="1627" t="str">
        <f>IF(O$9="","",IFERROR('PFI Inc Stat'!O27/'PFI Inc Stat'!O$10,"n/a"))</f>
        <v/>
      </c>
      <c r="P27" s="1627" t="str">
        <f>IF(P$9="","",IFERROR('PFI Inc Stat'!P27/'PFI Inc Stat'!P$10,"n/a"))</f>
        <v/>
      </c>
      <c r="Q27" s="1627" t="str">
        <f>IF(Q$9="","",IFERROR('PFI Inc Stat'!Q27/'PFI Inc Stat'!Q$10,"n/a"))</f>
        <v/>
      </c>
      <c r="R27" s="2060"/>
      <c r="S27" s="1627" t="str">
        <f>IFERROR('PFI Inc Stat'!S27/'PFI Inc Stat'!S$10,"n/a")</f>
        <v>n/a</v>
      </c>
      <c r="U27" s="1510"/>
      <c r="W27" s="2060"/>
      <c r="X27" s="2060"/>
    </row>
    <row r="28" spans="1:25" s="1507" customFormat="1" ht="13.9">
      <c r="A28" s="1510"/>
      <c r="B28" s="1510"/>
      <c r="C28" s="2046" t="s">
        <v>911</v>
      </c>
      <c r="D28" s="299"/>
      <c r="E28" s="963"/>
      <c r="F28" s="963"/>
      <c r="G28" s="1627" t="str">
        <f>IF(G$9="","",IFERROR('PFI Inc Stat'!G28/'PFI Inc Stat'!G$10,"n/a"))</f>
        <v>n/a</v>
      </c>
      <c r="H28" s="1627" t="str">
        <f>IF(H$9="","",IFERROR('PFI Inc Stat'!H28/'PFI Inc Stat'!H$10,"n/a"))</f>
        <v>n/a</v>
      </c>
      <c r="I28" s="1627" t="str">
        <f>IF(I$9="","",IFERROR('PFI Inc Stat'!I28/'PFI Inc Stat'!I$10,"n/a"))</f>
        <v>n/a</v>
      </c>
      <c r="J28" s="1627" t="str">
        <f>IF(J$9="","",IFERROR('PFI Inc Stat'!J28/'PFI Inc Stat'!J$10,"n/a"))</f>
        <v>n/a</v>
      </c>
      <c r="K28" s="1627" t="str">
        <f>IF(K$9="","",IFERROR('PFI Inc Stat'!K28/'PFI Inc Stat'!K$10,"n/a"))</f>
        <v>n/a</v>
      </c>
      <c r="L28" s="1627" t="str">
        <f>IF(L$9="","",IFERROR('PFI Inc Stat'!L28/'PFI Inc Stat'!L$10,"n/a"))</f>
        <v>n/a</v>
      </c>
      <c r="M28" s="1627" t="str">
        <f>IF(M$9="","",IFERROR('PFI Inc Stat'!M28/'PFI Inc Stat'!M$10,"n/a"))</f>
        <v>n/a</v>
      </c>
      <c r="N28" s="1627" t="str">
        <f>IF(N$9="","",IFERROR('PFI Inc Stat'!N28/'PFI Inc Stat'!N$10,"n/a"))</f>
        <v>n/a</v>
      </c>
      <c r="O28" s="1627" t="str">
        <f>IF(O$9="","",IFERROR('PFI Inc Stat'!O28/'PFI Inc Stat'!O$10,"n/a"))</f>
        <v/>
      </c>
      <c r="P28" s="1627" t="str">
        <f>IF(P$9="","",IFERROR('PFI Inc Stat'!P28/'PFI Inc Stat'!P$10,"n/a"))</f>
        <v/>
      </c>
      <c r="Q28" s="1627" t="str">
        <f>IF(Q$9="","",IFERROR('PFI Inc Stat'!Q28/'PFI Inc Stat'!Q$10,"n/a"))</f>
        <v/>
      </c>
      <c r="R28" s="2060"/>
      <c r="S28" s="1627" t="str">
        <f>IFERROR('PFI Inc Stat'!S28/'PFI Inc Stat'!S$10,"n/a")</f>
        <v>n/a</v>
      </c>
      <c r="U28" s="1510"/>
      <c r="W28" s="2060"/>
      <c r="X28" s="2060"/>
    </row>
    <row r="29" spans="1:25" s="1507" customFormat="1" ht="13.9">
      <c r="A29" s="1510"/>
      <c r="B29" s="1510"/>
      <c r="C29" s="2046" t="s">
        <v>916</v>
      </c>
      <c r="D29" s="299"/>
      <c r="E29" s="963"/>
      <c r="F29" s="963"/>
      <c r="G29" s="1627" t="str">
        <f>IF(G$9="","",IFERROR('PFI Inc Stat'!G29/'PFI Inc Stat'!G$10,"n/a"))</f>
        <v>n/a</v>
      </c>
      <c r="H29" s="1627" t="str">
        <f>IF(H$9="","",IFERROR('PFI Inc Stat'!H29/'PFI Inc Stat'!H$10,"n/a"))</f>
        <v>n/a</v>
      </c>
      <c r="I29" s="1627" t="str">
        <f>IF(I$9="","",IFERROR('PFI Inc Stat'!I29/'PFI Inc Stat'!I$10,"n/a"))</f>
        <v>n/a</v>
      </c>
      <c r="J29" s="1627" t="str">
        <f>IF(J$9="","",IFERROR('PFI Inc Stat'!J29/'PFI Inc Stat'!J$10,"n/a"))</f>
        <v>n/a</v>
      </c>
      <c r="K29" s="1627" t="str">
        <f>IF(K$9="","",IFERROR('PFI Inc Stat'!K29/'PFI Inc Stat'!K$10,"n/a"))</f>
        <v>n/a</v>
      </c>
      <c r="L29" s="1627" t="str">
        <f>IF(L$9="","",IFERROR('PFI Inc Stat'!L29/'PFI Inc Stat'!L$10,"n/a"))</f>
        <v>n/a</v>
      </c>
      <c r="M29" s="1627" t="str">
        <f>IF(M$9="","",IFERROR('PFI Inc Stat'!M29/'PFI Inc Stat'!M$10,"n/a"))</f>
        <v>n/a</v>
      </c>
      <c r="N29" s="1627" t="str">
        <f>IF(N$9="","",IFERROR('PFI Inc Stat'!N29/'PFI Inc Stat'!N$10,"n/a"))</f>
        <v>n/a</v>
      </c>
      <c r="O29" s="1627" t="str">
        <f>IF(O$9="","",IFERROR('PFI Inc Stat'!O29/'PFI Inc Stat'!O$10,"n/a"))</f>
        <v/>
      </c>
      <c r="P29" s="1627" t="str">
        <f>IF(P$9="","",IFERROR('PFI Inc Stat'!P29/'PFI Inc Stat'!P$10,"n/a"))</f>
        <v/>
      </c>
      <c r="Q29" s="1627" t="str">
        <f>IF(Q$9="","",IFERROR('PFI Inc Stat'!Q29/'PFI Inc Stat'!Q$10,"n/a"))</f>
        <v/>
      </c>
      <c r="R29" s="2060"/>
      <c r="S29" s="1627" t="str">
        <f>IFERROR('PFI Inc Stat'!S29/'PFI Inc Stat'!S$10,"n/a")</f>
        <v>n/a</v>
      </c>
      <c r="U29" s="1510"/>
      <c r="W29" s="2060"/>
      <c r="X29" s="2060"/>
    </row>
    <row r="30" spans="1:25" s="1507" customFormat="1" ht="13.9">
      <c r="A30" s="1510"/>
      <c r="B30" s="1510"/>
      <c r="C30" s="1378" t="s">
        <v>449</v>
      </c>
      <c r="D30" s="298"/>
      <c r="E30" s="964"/>
      <c r="F30" s="964"/>
      <c r="G30" s="1732" t="str">
        <f ca="1">IFERROR('PFI Inc Stat'!G30/'PFI Inc Stat'!G$10,"n/a")</f>
        <v>n/a</v>
      </c>
      <c r="H30" s="1732" t="str">
        <f ca="1">IF(H$9="","",IFERROR('PFI Inc Stat'!H30/'PFI Inc Stat'!H$10,"n/a"))</f>
        <v>n/a</v>
      </c>
      <c r="I30" s="1732" t="str">
        <f ca="1">IF(I$9="","",IFERROR('PFI Inc Stat'!I30/'PFI Inc Stat'!I$10,"n/a"))</f>
        <v>n/a</v>
      </c>
      <c r="J30" s="1732" t="str">
        <f ca="1">IF(J$9="","",IFERROR('PFI Inc Stat'!J30/'PFI Inc Stat'!J$10,"n/a"))</f>
        <v>n/a</v>
      </c>
      <c r="K30" s="1732" t="str">
        <f ca="1">IF(K$9="","",IFERROR('PFI Inc Stat'!K30/'PFI Inc Stat'!K$10,"n/a"))</f>
        <v>n/a</v>
      </c>
      <c r="L30" s="1732" t="str">
        <f ca="1">IF(L$9="","",IFERROR('PFI Inc Stat'!L30/'PFI Inc Stat'!L$10,"n/a"))</f>
        <v>n/a</v>
      </c>
      <c r="M30" s="1732" t="str">
        <f ca="1">IF(M$9="","",IFERROR('PFI Inc Stat'!M30/'PFI Inc Stat'!M$10,"n/a"))</f>
        <v>n/a</v>
      </c>
      <c r="N30" s="1732" t="str">
        <f ca="1">IF(N$9="","",IFERROR('PFI Inc Stat'!N30/'PFI Inc Stat'!N$10,"n/a"))</f>
        <v>n/a</v>
      </c>
      <c r="O30" s="1732" t="str">
        <f>IF(O$9="","",IFERROR('PFI Inc Stat'!O30/'PFI Inc Stat'!O$10,"n/a"))</f>
        <v/>
      </c>
      <c r="P30" s="1732" t="str">
        <f>IF(P$9="","",IFERROR('PFI Inc Stat'!P30/'PFI Inc Stat'!P$10,"n/a"))</f>
        <v/>
      </c>
      <c r="Q30" s="1732" t="str">
        <f>IF(Q$9="","",IFERROR('PFI Inc Stat'!Q30/'PFI Inc Stat'!Q$10,"n/a"))</f>
        <v/>
      </c>
      <c r="R30" s="1502"/>
      <c r="S30" s="1732" t="str">
        <f>IF(S$9="","",IFERROR('PFI Inc Stat'!S30/'PFI Inc Stat'!S$10,"n/a"))</f>
        <v>n/a</v>
      </c>
      <c r="U30" s="1510"/>
      <c r="W30" s="2060"/>
      <c r="X30" s="2060"/>
    </row>
    <row r="31" spans="1:25" s="312" customFormat="1" ht="13.9">
      <c r="A31" s="1510"/>
      <c r="B31" s="1510"/>
      <c r="D31" s="299"/>
      <c r="E31" s="963"/>
      <c r="F31" s="963"/>
      <c r="G31" s="879"/>
      <c r="H31" s="879"/>
      <c r="I31" s="879"/>
      <c r="J31" s="879"/>
      <c r="K31" s="879"/>
      <c r="L31" s="879"/>
      <c r="M31" s="879"/>
      <c r="N31" s="879"/>
      <c r="O31" s="879"/>
      <c r="P31" s="879"/>
      <c r="Q31" s="879"/>
      <c r="S31" s="879"/>
      <c r="T31" s="1525"/>
      <c r="U31" s="1510"/>
      <c r="W31" s="2060"/>
      <c r="X31" s="2060"/>
    </row>
    <row r="32" spans="1:25" s="312" customFormat="1" ht="13.9">
      <c r="A32" s="1510"/>
      <c r="B32" s="1510"/>
      <c r="C32" s="312" t="str">
        <f>'PFI Inputs'!C90</f>
        <v>Tax</v>
      </c>
      <c r="E32" s="963"/>
      <c r="F32" s="963"/>
      <c r="G32" s="1627" t="str">
        <f ca="1">IFERROR('PFI Inc Stat'!G32/'PFI Inc Stat'!G$10,"n/a")</f>
        <v>n/a</v>
      </c>
      <c r="H32" s="1627" t="str">
        <f ca="1">IF(H$9="","",IFERROR('PFI Inc Stat'!H32/'PFI Inc Stat'!H$10,"n/a"))</f>
        <v>n/a</v>
      </c>
      <c r="I32" s="1627" t="str">
        <f ca="1">IF(I$9="","",IFERROR('PFI Inc Stat'!I32/'PFI Inc Stat'!I$10,"n/a"))</f>
        <v>n/a</v>
      </c>
      <c r="J32" s="1627" t="str">
        <f ca="1">IF(J$9="","",IFERROR('PFI Inc Stat'!J32/'PFI Inc Stat'!J$10,"n/a"))</f>
        <v>n/a</v>
      </c>
      <c r="K32" s="1627" t="str">
        <f ca="1">IF(K$9="","",IFERROR('PFI Inc Stat'!K32/'PFI Inc Stat'!K$10,"n/a"))</f>
        <v>n/a</v>
      </c>
      <c r="L32" s="1627" t="str">
        <f ca="1">IF(L$9="","",IFERROR('PFI Inc Stat'!L32/'PFI Inc Stat'!L$10,"n/a"))</f>
        <v>n/a</v>
      </c>
      <c r="M32" s="1627" t="str">
        <f ca="1">IF(M$9="","",IFERROR('PFI Inc Stat'!M32/'PFI Inc Stat'!M$10,"n/a"))</f>
        <v>n/a</v>
      </c>
      <c r="N32" s="1627" t="str">
        <f ca="1">IF(N$9="","",IFERROR('PFI Inc Stat'!N32/'PFI Inc Stat'!N$10,"n/a"))</f>
        <v>n/a</v>
      </c>
      <c r="O32" s="1627" t="str">
        <f>IF(O$9="","",IFERROR('PFI Inc Stat'!O32/'PFI Inc Stat'!O$10,"n/a"))</f>
        <v/>
      </c>
      <c r="P32" s="1627" t="str">
        <f>IF(P$9="","",IFERROR('PFI Inc Stat'!P32/'PFI Inc Stat'!P$10,"n/a"))</f>
        <v/>
      </c>
      <c r="Q32" s="1627" t="str">
        <f>IF(Q$9="","",IFERROR('PFI Inc Stat'!Q32/'PFI Inc Stat'!Q$10,"n/a"))</f>
        <v/>
      </c>
      <c r="R32" s="2060"/>
      <c r="S32" s="1627" t="str">
        <f ca="1">IF(S$9="","",IFERROR('PFI Inc Stat'!S32/'PFI Inc Stat'!S$10,"n/a"))</f>
        <v>n/a</v>
      </c>
      <c r="T32" s="1525"/>
      <c r="U32" s="1510"/>
      <c r="W32" s="2060"/>
      <c r="X32" s="2060"/>
    </row>
    <row r="33" spans="1:24" s="312" customFormat="1" ht="13.9">
      <c r="A33" s="1510"/>
      <c r="B33" s="1510"/>
      <c r="C33" s="1117" t="str">
        <f>IF(PFIFull,"Net income","EBIT after tax")</f>
        <v>EBIT after tax</v>
      </c>
      <c r="D33" s="1117"/>
      <c r="E33" s="1118"/>
      <c r="F33" s="1118"/>
      <c r="G33" s="1733" t="str">
        <f ca="1">IFERROR('PFI Inc Stat'!G33/'PFI Inc Stat'!G$10,"n/a")</f>
        <v>n/a</v>
      </c>
      <c r="H33" s="1733" t="str">
        <f ca="1">IF(H$9="","",IFERROR('PFI Inc Stat'!H33/'PFI Inc Stat'!H$10,"n/a"))</f>
        <v>n/a</v>
      </c>
      <c r="I33" s="1733" t="str">
        <f ca="1">IF(I$9="","",IFERROR('PFI Inc Stat'!I33/'PFI Inc Stat'!I$10,"n/a"))</f>
        <v>n/a</v>
      </c>
      <c r="J33" s="1733" t="str">
        <f ca="1">IF(J$9="","",IFERROR('PFI Inc Stat'!J33/'PFI Inc Stat'!J$10,"n/a"))</f>
        <v>n/a</v>
      </c>
      <c r="K33" s="1733" t="str">
        <f ca="1">IF(K$9="","",IFERROR('PFI Inc Stat'!K33/'PFI Inc Stat'!K$10,"n/a"))</f>
        <v>n/a</v>
      </c>
      <c r="L33" s="1733" t="str">
        <f ca="1">IF(L$9="","",IFERROR('PFI Inc Stat'!L33/'PFI Inc Stat'!L$10,"n/a"))</f>
        <v>n/a</v>
      </c>
      <c r="M33" s="1733" t="str">
        <f ca="1">IF(M$9="","",IFERROR('PFI Inc Stat'!M33/'PFI Inc Stat'!M$10,"n/a"))</f>
        <v>n/a</v>
      </c>
      <c r="N33" s="1733" t="str">
        <f ca="1">IF(N$9="","",IFERROR('PFI Inc Stat'!N33/'PFI Inc Stat'!N$10,"n/a"))</f>
        <v>n/a</v>
      </c>
      <c r="O33" s="1733" t="str">
        <f>IF(O$9="","",IFERROR('PFI Inc Stat'!O33/'PFI Inc Stat'!O$10,"n/a"))</f>
        <v/>
      </c>
      <c r="P33" s="1733" t="str">
        <f>IF(P$9="","",IFERROR('PFI Inc Stat'!P33/'PFI Inc Stat'!P$10,"n/a"))</f>
        <v/>
      </c>
      <c r="Q33" s="1733" t="str">
        <f>IF(Q$9="","",IFERROR('PFI Inc Stat'!Q33/'PFI Inc Stat'!Q$10,"n/a"))</f>
        <v/>
      </c>
      <c r="R33" s="1502"/>
      <c r="S33" s="1733" t="str">
        <f ca="1">IF(S$9="","",IFERROR('PFI Inc Stat'!S33/'PFI Inc Stat'!S$10,"n/a"))</f>
        <v>n/a</v>
      </c>
      <c r="T33" s="1525"/>
      <c r="U33" s="1510"/>
      <c r="W33" s="2060"/>
      <c r="X33" s="2060"/>
    </row>
    <row r="34" spans="1:24" s="321" customFormat="1" ht="13.9">
      <c r="A34" s="1510"/>
      <c r="B34" s="1510"/>
      <c r="C34" s="331"/>
      <c r="D34" s="331"/>
      <c r="E34" s="296"/>
      <c r="F34" s="432"/>
      <c r="G34" s="1369"/>
      <c r="H34" s="1369"/>
      <c r="I34" s="1369"/>
      <c r="J34" s="1369"/>
      <c r="K34" s="1369"/>
      <c r="L34" s="1369"/>
      <c r="M34" s="1369"/>
      <c r="N34" s="1369"/>
      <c r="O34" s="1369"/>
      <c r="P34" s="1369"/>
      <c r="Q34" s="1369"/>
      <c r="R34" s="1369"/>
      <c r="S34" s="1369"/>
      <c r="T34" s="1525"/>
      <c r="U34" s="1510"/>
      <c r="V34" s="1507"/>
      <c r="W34" s="1507"/>
      <c r="X34" s="1507"/>
    </row>
    <row r="35" spans="1:24" ht="13.9">
      <c r="A35" s="1510" t="str">
        <f t="shared" si="0"/>
        <v>n</v>
      </c>
      <c r="B35" s="1510"/>
      <c r="C35" s="1528" t="s">
        <v>923</v>
      </c>
      <c r="D35" s="1528"/>
      <c r="E35" s="372"/>
      <c r="F35" s="372"/>
      <c r="G35" s="1627" t="str">
        <f>IFERROR('PFI Inc Stat'!G35/'PFI Inc Stat'!G$10,"n/a")</f>
        <v>n/a</v>
      </c>
      <c r="H35" s="1627" t="str">
        <f>IF(H$9="","",IFERROR('PFI Inc Stat'!H35/'PFI Inc Stat'!H$10,"n/a"))</f>
        <v>n/a</v>
      </c>
      <c r="I35" s="1627" t="str">
        <f>IF(I$9="","",IFERROR('PFI Inc Stat'!I35/'PFI Inc Stat'!I$10,"n/a"))</f>
        <v>n/a</v>
      </c>
      <c r="J35" s="1627" t="str">
        <f>IF(J$9="","",IFERROR('PFI Inc Stat'!J35/'PFI Inc Stat'!J$10,"n/a"))</f>
        <v>n/a</v>
      </c>
      <c r="K35" s="1627" t="str">
        <f>IF(K$9="","",IFERROR('PFI Inc Stat'!K35/'PFI Inc Stat'!K$10,"n/a"))</f>
        <v>n/a</v>
      </c>
      <c r="L35" s="1627" t="str">
        <f>IF(L$9="","",IFERROR('PFI Inc Stat'!L35/'PFI Inc Stat'!L$10,"n/a"))</f>
        <v>n/a</v>
      </c>
      <c r="M35" s="1627" t="str">
        <f>IF(M$9="","",IFERROR('PFI Inc Stat'!M35/'PFI Inc Stat'!M$10,"n/a"))</f>
        <v>n/a</v>
      </c>
      <c r="N35" s="1627" t="str">
        <f>IF(N$9="","",IFERROR('PFI Inc Stat'!N35/'PFI Inc Stat'!N$10,"n/a"))</f>
        <v>n/a</v>
      </c>
      <c r="O35" s="1627" t="str">
        <f>IF(O$9="","",IFERROR('PFI Inc Stat'!O35/'PFI Inc Stat'!O$10,"n/a"))</f>
        <v/>
      </c>
      <c r="P35" s="1627" t="str">
        <f>IF(P$9="","",IFERROR('PFI Inc Stat'!P35/'PFI Inc Stat'!P$10,"n/a"))</f>
        <v/>
      </c>
      <c r="Q35" s="1627" t="str">
        <f>IF(Q$9="","",IFERROR('PFI Inc Stat'!Q35/'PFI Inc Stat'!Q$10,"n/a"))</f>
        <v/>
      </c>
      <c r="R35" s="1627"/>
      <c r="S35" s="1627" t="str">
        <f>IFERROR('PFI Inc Stat'!S35/'PFI Inc Stat'!S$10,"n/a")</f>
        <v>n/a</v>
      </c>
      <c r="T35" s="1525"/>
      <c r="U35" s="1510"/>
      <c r="V35" s="1525"/>
      <c r="W35" s="1525"/>
      <c r="X35" s="1525"/>
    </row>
    <row r="36" spans="1:24" s="321" customFormat="1" ht="13.9">
      <c r="A36" s="1510" t="str">
        <f t="shared" si="0"/>
        <v>n</v>
      </c>
      <c r="B36" s="1510"/>
      <c r="C36" s="289" t="s">
        <v>1406</v>
      </c>
      <c r="D36" s="289"/>
      <c r="E36" s="372"/>
      <c r="F36" s="372"/>
      <c r="G36" s="1627" t="str">
        <f>IFERROR('PFI Inc Stat'!G36/'PFI Inc Stat'!G$10,"n/a")</f>
        <v>n/a</v>
      </c>
      <c r="H36" s="1627" t="str">
        <f>IF(H$9="","",IFERROR('PFI Inc Stat'!H36/'PFI Inc Stat'!H$10,"n/a"))</f>
        <v>n/a</v>
      </c>
      <c r="I36" s="1627" t="str">
        <f>IF(I$9="","",IFERROR('PFI Inc Stat'!I36/'PFI Inc Stat'!I$10,"n/a"))</f>
        <v>n/a</v>
      </c>
      <c r="J36" s="1627" t="str">
        <f>IF(J$9="","",IFERROR('PFI Inc Stat'!J36/'PFI Inc Stat'!J$10,"n/a"))</f>
        <v>n/a</v>
      </c>
      <c r="K36" s="1627" t="str">
        <f>IF(K$9="","",IFERROR('PFI Inc Stat'!K36/'PFI Inc Stat'!K$10,"n/a"))</f>
        <v>n/a</v>
      </c>
      <c r="L36" s="1627" t="str">
        <f>IF(L$9="","",IFERROR('PFI Inc Stat'!L36/'PFI Inc Stat'!L$10,"n/a"))</f>
        <v>n/a</v>
      </c>
      <c r="M36" s="1627" t="str">
        <f>IF(M$9="","",IFERROR('PFI Inc Stat'!M36/'PFI Inc Stat'!M$10,"n/a"))</f>
        <v>n/a</v>
      </c>
      <c r="N36" s="1627" t="str">
        <f>IF(N$9="","",IFERROR('PFI Inc Stat'!N36/'PFI Inc Stat'!N$10,"n/a"))</f>
        <v>n/a</v>
      </c>
      <c r="O36" s="1627" t="str">
        <f>IF(O$9="","",IFERROR('PFI Inc Stat'!O36/'PFI Inc Stat'!O$10,"n/a"))</f>
        <v/>
      </c>
      <c r="P36" s="1627" t="str">
        <f>IF(P$9="","",IFERROR('PFI Inc Stat'!P36/'PFI Inc Stat'!P$10,"n/a"))</f>
        <v/>
      </c>
      <c r="Q36" s="1627" t="str">
        <f>IF(Q$9="","",IFERROR('PFI Inc Stat'!Q36/'PFI Inc Stat'!Q$10,"n/a"))</f>
        <v/>
      </c>
      <c r="R36" s="1627"/>
      <c r="S36" s="1627" t="str">
        <f>IFERROR('PFI Inc Stat'!S36/'PFI Inc Stat'!S$10,"n/a")</f>
        <v>n/a</v>
      </c>
      <c r="T36" s="1525"/>
      <c r="U36" s="1510"/>
      <c r="V36" s="1507"/>
      <c r="W36" s="1507"/>
      <c r="X36" s="1507"/>
    </row>
    <row r="37" spans="1:24" s="312" customFormat="1" ht="13.9">
      <c r="A37" s="1510" t="str">
        <f t="shared" si="0"/>
        <v>n</v>
      </c>
      <c r="B37" s="1510"/>
      <c r="C37" s="305" t="s">
        <v>1029</v>
      </c>
      <c r="D37" s="305"/>
      <c r="E37" s="372"/>
      <c r="F37" s="372"/>
      <c r="G37" s="1627" t="str">
        <f>IFERROR('PFI Inc Stat'!G38/'PFI Inc Stat'!G$10,"n/a")</f>
        <v>n/a</v>
      </c>
      <c r="H37" s="1627" t="str">
        <f>IF(H$9="","",IFERROR('PFI Inc Stat'!H38/'PFI Inc Stat'!H$10,"n/a"))</f>
        <v>n/a</v>
      </c>
      <c r="I37" s="1627" t="str">
        <f>IF(I$9="","",IFERROR('PFI Inc Stat'!I38/'PFI Inc Stat'!I$10,"n/a"))</f>
        <v>n/a</v>
      </c>
      <c r="J37" s="1627" t="str">
        <f>IF(J$9="","",IFERROR('PFI Inc Stat'!J38/'PFI Inc Stat'!J$10,"n/a"))</f>
        <v>n/a</v>
      </c>
      <c r="K37" s="1627" t="str">
        <f>IF(K$9="","",IFERROR('PFI Inc Stat'!K38/'PFI Inc Stat'!K$10,"n/a"))</f>
        <v>n/a</v>
      </c>
      <c r="L37" s="1627" t="str">
        <f>IF(L$9="","",IFERROR('PFI Inc Stat'!L38/'PFI Inc Stat'!L$10,"n/a"))</f>
        <v>n/a</v>
      </c>
      <c r="M37" s="1627" t="str">
        <f>IF(M$9="","",IFERROR('PFI Inc Stat'!M38/'PFI Inc Stat'!M$10,"n/a"))</f>
        <v>n/a</v>
      </c>
      <c r="N37" s="1627" t="str">
        <f>IF(N$9="","",IFERROR('PFI Inc Stat'!N38/'PFI Inc Stat'!N$10,"n/a"))</f>
        <v>n/a</v>
      </c>
      <c r="O37" s="1627" t="str">
        <f>IF(O$9="","",IFERROR('PFI Inc Stat'!O38/'PFI Inc Stat'!O$10,"n/a"))</f>
        <v/>
      </c>
      <c r="P37" s="1627" t="str">
        <f>IF(P$9="","",IFERROR('PFI Inc Stat'!P38/'PFI Inc Stat'!P$10,"n/a"))</f>
        <v/>
      </c>
      <c r="Q37" s="1627" t="str">
        <f>IF(Q$9="","",IFERROR('PFI Inc Stat'!Q38/'PFI Inc Stat'!Q$10,"n/a"))</f>
        <v/>
      </c>
      <c r="R37" s="1627"/>
      <c r="S37" s="1627" t="str">
        <f ca="1">IFERROR('PFI Inc Stat'!S38/'PFI Inc Stat'!S$10,"n/a")</f>
        <v>n/a</v>
      </c>
      <c r="T37" s="1525"/>
      <c r="U37" s="1510"/>
    </row>
    <row r="38" spans="1:24" s="312" customFormat="1" ht="13.9">
      <c r="A38" s="1510"/>
      <c r="B38" s="1510"/>
      <c r="C38" s="1529"/>
      <c r="D38" s="1529"/>
      <c r="E38" s="306"/>
      <c r="F38" s="306"/>
      <c r="G38" s="326"/>
      <c r="H38" s="326"/>
      <c r="I38" s="326"/>
      <c r="J38" s="326"/>
      <c r="K38" s="326"/>
      <c r="L38" s="326"/>
      <c r="M38" s="326"/>
      <c r="N38" s="326"/>
      <c r="O38" s="326"/>
      <c r="P38" s="326"/>
      <c r="Q38" s="326"/>
      <c r="R38" s="326"/>
      <c r="S38" s="326"/>
      <c r="T38" s="1525"/>
      <c r="U38" s="1510"/>
    </row>
    <row r="39" spans="1:24" s="312" customFormat="1" ht="13.9">
      <c r="A39" s="1510" t="str">
        <f t="shared" si="0"/>
        <v/>
      </c>
      <c r="B39" s="1510"/>
      <c r="C39" s="1120" t="s">
        <v>1413</v>
      </c>
      <c r="D39" s="1121"/>
      <c r="E39" s="1122"/>
      <c r="F39" s="1122"/>
      <c r="G39" s="1123">
        <f>'PFI Inc Stat'!G40</f>
        <v>42825</v>
      </c>
      <c r="H39" s="1123">
        <f>'PFI Inc Stat'!H40</f>
        <v>43190</v>
      </c>
      <c r="I39" s="1123">
        <f>'PFI Inc Stat'!I40</f>
        <v>43555</v>
      </c>
      <c r="J39" s="1123">
        <f>'PFI Inc Stat'!J40</f>
        <v>43921</v>
      </c>
      <c r="K39" s="1123">
        <f>'PFI Inc Stat'!K40</f>
        <v>44286</v>
      </c>
      <c r="L39" s="1123">
        <f>'PFI Inc Stat'!L40</f>
        <v>44651</v>
      </c>
      <c r="M39" s="1123">
        <f>'PFI Inc Stat'!M40</f>
        <v>45016</v>
      </c>
      <c r="N39" s="1123">
        <f>'PFI Inc Stat'!N40</f>
        <v>45382</v>
      </c>
      <c r="O39" s="1123" t="str">
        <f>'PFI Inc Stat'!O40</f>
        <v/>
      </c>
      <c r="P39" s="1123" t="str">
        <f>'PFI Inc Stat'!P40</f>
        <v/>
      </c>
      <c r="Q39" s="1123" t="str">
        <f>'PFI Inc Stat'!Q40</f>
        <v/>
      </c>
      <c r="R39" s="1141"/>
      <c r="S39" s="1123">
        <f>'PFI Inc Stat'!S40</f>
        <v>45382</v>
      </c>
      <c r="T39" s="1525"/>
      <c r="U39" s="1510"/>
    </row>
    <row r="40" spans="1:24" ht="13.9">
      <c r="A40" s="1510" t="str">
        <f t="shared" si="0"/>
        <v>n</v>
      </c>
      <c r="B40" s="1510"/>
      <c r="C40" s="1528" t="s">
        <v>466</v>
      </c>
      <c r="D40" s="1529"/>
      <c r="E40" s="370"/>
      <c r="F40" s="1525"/>
      <c r="G40" s="1628" t="str">
        <f>'PFI Inc Stat'!G41</f>
        <v>--</v>
      </c>
      <c r="H40" s="1628" t="str">
        <f>'PFI Inc Stat'!H41</f>
        <v>n/a</v>
      </c>
      <c r="I40" s="1628" t="str">
        <f>'PFI Inc Stat'!I41</f>
        <v>n/a</v>
      </c>
      <c r="J40" s="1628" t="str">
        <f>'PFI Inc Stat'!J41</f>
        <v>n/a</v>
      </c>
      <c r="K40" s="1628" t="str">
        <f>'PFI Inc Stat'!K41</f>
        <v>n/a</v>
      </c>
      <c r="L40" s="1628" t="str">
        <f>'PFI Inc Stat'!L41</f>
        <v>n/a</v>
      </c>
      <c r="M40" s="1628" t="str">
        <f>'PFI Inc Stat'!M41</f>
        <v>n/a</v>
      </c>
      <c r="N40" s="1628" t="str">
        <f>'PFI Inc Stat'!N41</f>
        <v>n/a</v>
      </c>
      <c r="O40" s="1628" t="str">
        <f>'PFI Inc Stat'!O41</f>
        <v/>
      </c>
      <c r="P40" s="1628" t="str">
        <f>'PFI Inc Stat'!P41</f>
        <v/>
      </c>
      <c r="Q40" s="1628" t="str">
        <f>'PFI Inc Stat'!Q41</f>
        <v/>
      </c>
      <c r="R40" s="1628"/>
      <c r="S40" s="1628" t="str">
        <f>'PFI Inc Stat'!S41</f>
        <v>n/a</v>
      </c>
      <c r="T40" s="1525"/>
      <c r="U40" s="1510"/>
      <c r="V40" s="1525"/>
      <c r="W40" s="1525"/>
      <c r="X40" s="1525"/>
    </row>
    <row r="41" spans="1:24" ht="13.9">
      <c r="A41" s="1510" t="str">
        <f t="shared" si="0"/>
        <v>n</v>
      </c>
      <c r="B41" s="1510"/>
      <c r="C41" s="1528" t="s">
        <v>930</v>
      </c>
      <c r="D41" s="1529"/>
      <c r="E41" s="370"/>
      <c r="F41" s="1525"/>
      <c r="G41" s="1628" t="str">
        <f>'PFI Inc Stat'!G42</f>
        <v>--</v>
      </c>
      <c r="H41" s="1628" t="str">
        <f>'PFI Inc Stat'!H42</f>
        <v>n/a</v>
      </c>
      <c r="I41" s="1628" t="str">
        <f>'PFI Inc Stat'!I42</f>
        <v>n/a</v>
      </c>
      <c r="J41" s="1628" t="str">
        <f>'PFI Inc Stat'!J42</f>
        <v>n/a</v>
      </c>
      <c r="K41" s="1628" t="str">
        <f>'PFI Inc Stat'!K42</f>
        <v>n/a</v>
      </c>
      <c r="L41" s="1628" t="str">
        <f>'PFI Inc Stat'!L42</f>
        <v>n/a</v>
      </c>
      <c r="M41" s="1628" t="str">
        <f>'PFI Inc Stat'!M42</f>
        <v>n/a</v>
      </c>
      <c r="N41" s="1628" t="str">
        <f>'PFI Inc Stat'!N42</f>
        <v>n/a</v>
      </c>
      <c r="O41" s="1628" t="str">
        <f>'PFI Inc Stat'!O42</f>
        <v/>
      </c>
      <c r="P41" s="1628" t="str">
        <f>'PFI Inc Stat'!P42</f>
        <v/>
      </c>
      <c r="Q41" s="1628" t="str">
        <f>'PFI Inc Stat'!Q42</f>
        <v/>
      </c>
      <c r="R41" s="1628"/>
      <c r="S41" s="1628" t="str">
        <f>'PFI Inc Stat'!S42</f>
        <v>n/a</v>
      </c>
      <c r="T41" s="1525"/>
      <c r="U41" s="1510"/>
      <c r="V41" s="1525"/>
      <c r="W41" s="1525"/>
      <c r="X41" s="1525"/>
    </row>
    <row r="42" spans="1:24" ht="13.9">
      <c r="A42" s="1510" t="str">
        <f t="shared" si="0"/>
        <v>n</v>
      </c>
      <c r="B42" s="1510"/>
      <c r="C42" s="1528" t="s">
        <v>258</v>
      </c>
      <c r="D42" s="1529"/>
      <c r="E42" s="370"/>
      <c r="F42" s="1525"/>
      <c r="G42" s="1628" t="str">
        <f>'PFI Inc Stat'!G43</f>
        <v>--</v>
      </c>
      <c r="H42" s="1628" t="str">
        <f>'PFI Inc Stat'!H43</f>
        <v>n/a</v>
      </c>
      <c r="I42" s="1628" t="str">
        <f>'PFI Inc Stat'!I43</f>
        <v>n/a</v>
      </c>
      <c r="J42" s="1628" t="str">
        <f>'PFI Inc Stat'!J43</f>
        <v>n/a</v>
      </c>
      <c r="K42" s="1628" t="str">
        <f>'PFI Inc Stat'!K43</f>
        <v>n/a</v>
      </c>
      <c r="L42" s="1628" t="str">
        <f>'PFI Inc Stat'!L43</f>
        <v>n/a</v>
      </c>
      <c r="M42" s="1628" t="str">
        <f>'PFI Inc Stat'!M43</f>
        <v>n/a</v>
      </c>
      <c r="N42" s="1628" t="str">
        <f>'PFI Inc Stat'!N43</f>
        <v>n/a</v>
      </c>
      <c r="O42" s="1628" t="str">
        <f>'PFI Inc Stat'!O43</f>
        <v/>
      </c>
      <c r="P42" s="1628" t="str">
        <f>'PFI Inc Stat'!P43</f>
        <v/>
      </c>
      <c r="Q42" s="1628" t="str">
        <f>'PFI Inc Stat'!Q43</f>
        <v/>
      </c>
      <c r="R42" s="1628"/>
      <c r="S42" s="1628" t="str">
        <f>'PFI Inc Stat'!S43</f>
        <v>n/a</v>
      </c>
      <c r="T42" s="1525"/>
      <c r="U42" s="1510"/>
      <c r="V42" s="1525"/>
      <c r="W42" s="1525"/>
      <c r="X42" s="1525"/>
    </row>
    <row r="43" spans="1:24" ht="13.9">
      <c r="A43" s="1510" t="str">
        <f t="shared" ca="1" si="0"/>
        <v>n</v>
      </c>
      <c r="B43" s="1510"/>
      <c r="C43" s="1303" t="s">
        <v>226</v>
      </c>
      <c r="D43" s="1277"/>
      <c r="E43" s="1138"/>
      <c r="F43" s="1138"/>
      <c r="G43" s="1630" t="str">
        <f ca="1">'PFI Inc Stat'!G44</f>
        <v>--</v>
      </c>
      <c r="H43" s="1630" t="str">
        <f ca="1">'PFI Inc Stat'!H44</f>
        <v>n/a</v>
      </c>
      <c r="I43" s="1630" t="str">
        <f ca="1">'PFI Inc Stat'!I44</f>
        <v>n/a</v>
      </c>
      <c r="J43" s="1630" t="str">
        <f ca="1">'PFI Inc Stat'!J44</f>
        <v>n/a</v>
      </c>
      <c r="K43" s="1630" t="str">
        <f ca="1">'PFI Inc Stat'!K44</f>
        <v>n/a</v>
      </c>
      <c r="L43" s="1630" t="str">
        <f ca="1">'PFI Inc Stat'!L44</f>
        <v>n/a</v>
      </c>
      <c r="M43" s="1630" t="str">
        <f ca="1">'PFI Inc Stat'!M44</f>
        <v>n/a</v>
      </c>
      <c r="N43" s="1630" t="str">
        <f ca="1">'PFI Inc Stat'!N44</f>
        <v>n/a</v>
      </c>
      <c r="O43" s="1630" t="str">
        <f>'PFI Inc Stat'!O44</f>
        <v/>
      </c>
      <c r="P43" s="1630" t="str">
        <f>'PFI Inc Stat'!P44</f>
        <v/>
      </c>
      <c r="Q43" s="1630" t="str">
        <f>'PFI Inc Stat'!Q44</f>
        <v/>
      </c>
      <c r="R43" s="1630"/>
      <c r="S43" s="1630" t="str">
        <f ca="1">'PFI Inc Stat'!S44</f>
        <v>n/a</v>
      </c>
      <c r="T43" s="1525"/>
      <c r="U43" s="1510"/>
      <c r="V43" s="1525"/>
      <c r="W43" s="1525"/>
      <c r="X43" s="1525"/>
    </row>
    <row r="44" spans="1:24" ht="13.9">
      <c r="A44" s="1510"/>
      <c r="B44" s="1510"/>
      <c r="C44" s="1550"/>
      <c r="D44" s="1550"/>
      <c r="E44" s="1532"/>
      <c r="F44" s="1532"/>
      <c r="G44" s="1551"/>
      <c r="H44" s="1527"/>
      <c r="I44" s="1537"/>
      <c r="J44" s="1537"/>
      <c r="K44" s="1537"/>
      <c r="L44" s="1551"/>
      <c r="M44" s="1551"/>
      <c r="N44" s="1551"/>
      <c r="O44" s="1551"/>
      <c r="P44" s="1551"/>
      <c r="Q44" s="1551"/>
      <c r="R44" s="1551"/>
      <c r="S44" s="1551"/>
      <c r="T44" s="1551"/>
      <c r="U44" s="1510"/>
      <c r="V44" s="1525"/>
      <c r="W44" s="1525"/>
      <c r="X44" s="1525"/>
    </row>
    <row r="45" spans="1:24" s="1525" customFormat="1" ht="13.9">
      <c r="A45" s="1510"/>
      <c r="B45" s="1510"/>
      <c r="C45" s="1588" t="s">
        <v>1408</v>
      </c>
      <c r="D45" s="1550"/>
      <c r="E45" s="1532"/>
      <c r="F45" s="1532"/>
      <c r="G45" s="1551"/>
      <c r="H45" s="1527"/>
      <c r="I45" s="1537"/>
      <c r="J45" s="1537"/>
      <c r="K45" s="1537"/>
      <c r="L45" s="1551"/>
      <c r="M45" s="1551"/>
      <c r="N45" s="1551"/>
      <c r="O45" s="1551"/>
      <c r="P45" s="1551"/>
      <c r="Q45" s="1551"/>
      <c r="R45" s="1551"/>
      <c r="S45" s="1551"/>
      <c r="T45" s="1551"/>
      <c r="U45" s="1510"/>
    </row>
    <row r="46" spans="1:24" s="1525" customFormat="1" ht="13.9">
      <c r="A46" s="1510"/>
      <c r="B46" s="1510"/>
      <c r="C46" s="1588"/>
      <c r="D46" s="1550"/>
      <c r="E46" s="1532"/>
      <c r="F46" s="1532"/>
      <c r="G46" s="1551"/>
      <c r="H46" s="1527"/>
      <c r="I46" s="1537"/>
      <c r="J46" s="1537"/>
      <c r="K46" s="1537"/>
      <c r="L46" s="1551"/>
      <c r="M46" s="1551"/>
      <c r="N46" s="1551"/>
      <c r="O46" s="1551"/>
      <c r="P46" s="1551"/>
      <c r="Q46" s="1551"/>
      <c r="R46" s="1551"/>
      <c r="S46" s="1551"/>
      <c r="T46" s="1551"/>
      <c r="U46" s="1510"/>
    </row>
    <row r="47" spans="1:24" ht="13.9">
      <c r="A47" s="1510"/>
      <c r="B47" s="1510"/>
      <c r="C47" s="1529" t="str">
        <f ca="1">FootnoteDRAFT</f>
        <v>Run date: 05-August-2018  02:34 PM.   DRAFT document. All data subject to change upon completion of additional analysis.</v>
      </c>
      <c r="D47" s="1529"/>
      <c r="E47" s="355"/>
      <c r="F47" s="355"/>
      <c r="G47" s="355"/>
      <c r="H47" s="355"/>
      <c r="I47" s="355"/>
      <c r="J47" s="355"/>
      <c r="K47" s="355"/>
      <c r="L47" s="355"/>
      <c r="M47" s="355"/>
      <c r="N47" s="355"/>
      <c r="O47" s="355"/>
      <c r="P47" s="355"/>
      <c r="Q47" s="355"/>
      <c r="R47" s="355"/>
      <c r="S47" s="355"/>
      <c r="T47" s="1529"/>
      <c r="U47" s="1510"/>
      <c r="V47" s="1525"/>
      <c r="W47" s="1525"/>
      <c r="X47" s="1525"/>
    </row>
    <row r="48" spans="1:24" ht="13.9">
      <c r="A48" s="1510" t="s">
        <v>17</v>
      </c>
      <c r="B48" s="1510"/>
      <c r="C48" s="1510"/>
      <c r="D48" s="1510"/>
      <c r="E48" s="1510"/>
      <c r="F48" s="1510"/>
      <c r="G48" s="1510"/>
      <c r="H48" s="1510"/>
      <c r="I48" s="1510"/>
      <c r="J48" s="1510"/>
      <c r="K48" s="1510"/>
      <c r="L48" s="1510"/>
      <c r="M48" s="1510"/>
      <c r="N48" s="1510"/>
      <c r="O48" s="1510"/>
      <c r="P48" s="1510"/>
      <c r="Q48" s="1510"/>
      <c r="R48" s="1510"/>
      <c r="S48" s="1510"/>
      <c r="T48" s="1484" t="s">
        <v>18</v>
      </c>
      <c r="U48" s="1510"/>
      <c r="V48" s="1525"/>
      <c r="W48" s="1525"/>
      <c r="X48" s="1525"/>
    </row>
    <row r="49" spans="1:27" ht="12" customHeight="1">
      <c r="A49" s="1510"/>
      <c r="B49" s="1510"/>
      <c r="C49" s="1510"/>
      <c r="D49" s="1510"/>
      <c r="E49" s="1510"/>
      <c r="F49" s="1510"/>
      <c r="G49" s="1510"/>
      <c r="H49" s="1510"/>
      <c r="I49" s="1510"/>
      <c r="J49" s="1510"/>
      <c r="K49" s="1510"/>
      <c r="L49" s="1510"/>
      <c r="M49" s="1510"/>
      <c r="N49" s="1510"/>
      <c r="O49" s="1510"/>
      <c r="P49" s="1510"/>
      <c r="Q49" s="1510"/>
      <c r="R49" s="1510"/>
      <c r="S49" s="1510"/>
      <c r="T49" s="1484"/>
      <c r="U49" s="1510"/>
      <c r="V49" s="1525"/>
      <c r="W49" s="1525"/>
      <c r="X49" s="1525"/>
      <c r="Y49" s="1525"/>
      <c r="Z49" s="1525"/>
      <c r="AA49" s="1525"/>
    </row>
  </sheetData>
  <conditionalFormatting sqref="H48:R48">
    <cfRule type="expression" dxfId="207" priority="35">
      <formula>H$9=""</formula>
    </cfRule>
  </conditionalFormatting>
  <conditionalFormatting sqref="A2:A4 A34:A48 A6:A24">
    <cfRule type="expression" dxfId="206" priority="34">
      <formula>AND(MasterCheck&gt;0,RedAlertY=TRUE)</formula>
    </cfRule>
  </conditionalFormatting>
  <conditionalFormatting sqref="A5">
    <cfRule type="expression" dxfId="205" priority="33">
      <formula>AND(MasterCheck&gt;0,RedAlertY=TRUE)</formula>
    </cfRule>
  </conditionalFormatting>
  <conditionalFormatting sqref="H49:S49">
    <cfRule type="expression" dxfId="204" priority="27">
      <formula>H$9=""</formula>
    </cfRule>
  </conditionalFormatting>
  <conditionalFormatting sqref="A49">
    <cfRule type="expression" dxfId="203" priority="26">
      <formula>AND(MasterCheck&gt;0,RedAlertY=TRUE)</formula>
    </cfRule>
  </conditionalFormatting>
  <conditionalFormatting sqref="A25 B26:B30">
    <cfRule type="expression" dxfId="202" priority="24">
      <formula>AND(MasterCheck&gt;0,RedAlertY=TRUE)</formula>
    </cfRule>
  </conditionalFormatting>
  <conditionalFormatting sqref="B31:B33">
    <cfRule type="expression" dxfId="201" priority="17">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48"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FIBSOutput">
    <tabColor rgb="FF99FF66"/>
    <pageSetUpPr autoPageBreaks="0"/>
  </sheetPr>
  <dimension ref="A1:U92"/>
  <sheetViews>
    <sheetView showGridLines="0" zoomScale="85" zoomScaleNormal="85" zoomScaleSheetLayoutView="80" workbookViewId="0"/>
  </sheetViews>
  <sheetFormatPr defaultColWidth="9.33203125" defaultRowHeight="12" customHeight="1"/>
  <cols>
    <col min="1" max="1" width="2.83203125" style="1525" customWidth="1"/>
    <col min="2" max="2" width="3.83203125" style="1525" customWidth="1"/>
    <col min="3" max="3" width="28.1640625" style="1525" customWidth="1"/>
    <col min="4" max="5" width="3.5" style="1525" customWidth="1"/>
    <col min="6" max="14" width="11.33203125" style="1525" customWidth="1"/>
    <col min="15" max="17" width="11.33203125" style="1525" hidden="1" customWidth="1"/>
    <col min="18" max="19" width="11.33203125" style="1525" customWidth="1"/>
    <col min="20" max="20" width="57.6640625" style="1525" customWidth="1"/>
    <col min="21" max="21" width="11.33203125" style="1525" customWidth="1"/>
    <col min="22" max="22" width="15.83203125" style="1525" customWidth="1"/>
    <col min="23" max="26" width="11.33203125" style="1525" customWidth="1"/>
    <col min="27" max="16384" width="9.33203125" style="1525"/>
  </cols>
  <sheetData>
    <row r="1" spans="1:21" ht="18" customHeight="1">
      <c r="A1" s="2060"/>
      <c r="B1" s="649">
        <f ca="1">SUMPRODUCT(--ISERROR($C$1:T72))+COUNTIF($C$1:T72,Fail)</f>
        <v>0</v>
      </c>
      <c r="C1" s="1372" t="str">
        <f>START!$C$1</f>
        <v>Client Name</v>
      </c>
      <c r="D1" s="838"/>
      <c r="E1" s="838"/>
      <c r="F1" s="2060"/>
      <c r="G1" s="852"/>
      <c r="H1" s="852"/>
      <c r="I1" s="852"/>
      <c r="J1" s="852"/>
      <c r="K1" s="852"/>
      <c r="L1" s="852"/>
      <c r="M1" s="852"/>
      <c r="N1" s="852"/>
      <c r="O1" s="852"/>
      <c r="P1" s="852"/>
      <c r="Q1" s="852"/>
      <c r="T1" s="398" t="s">
        <v>873</v>
      </c>
      <c r="U1" s="1510"/>
    </row>
    <row r="2" spans="1:21" ht="18" customHeight="1">
      <c r="A2" s="1510"/>
      <c r="B2" s="1510"/>
      <c r="C2" s="1372" t="str">
        <f>START!$C$2</f>
        <v xml:space="preserve">Please enter project description in START worksheet cell G13 </v>
      </c>
      <c r="D2" s="839"/>
      <c r="E2" s="839"/>
      <c r="F2" s="2060"/>
      <c r="G2" s="1526"/>
      <c r="H2" s="1526"/>
      <c r="I2" s="1526"/>
      <c r="J2" s="1526"/>
      <c r="K2" s="1526"/>
      <c r="L2" s="1526"/>
      <c r="M2" s="1526"/>
      <c r="N2" s="1526"/>
      <c r="O2" s="1526"/>
      <c r="P2" s="1526"/>
      <c r="Q2" s="1526"/>
      <c r="U2" s="1510" t="s">
        <v>678</v>
      </c>
    </row>
    <row r="3" spans="1:21" ht="18" customHeight="1">
      <c r="A3" s="1510"/>
      <c r="B3" s="1510"/>
      <c r="C3" s="839" t="s">
        <v>1414</v>
      </c>
      <c r="D3" s="840"/>
      <c r="E3" s="840"/>
      <c r="F3" s="2060"/>
      <c r="G3" s="1526"/>
      <c r="H3" s="1526"/>
      <c r="K3" s="1526"/>
      <c r="L3" s="1526"/>
      <c r="M3" s="1526"/>
      <c r="N3" s="1526"/>
      <c r="O3" s="1526"/>
      <c r="P3" s="1526"/>
      <c r="Q3" s="1526"/>
      <c r="R3" s="1526"/>
      <c r="S3" s="1526"/>
      <c r="U3" s="1510" t="s">
        <v>678</v>
      </c>
    </row>
    <row r="4" spans="1:21" ht="18" customHeight="1">
      <c r="A4" s="1510"/>
      <c r="B4" s="1510"/>
      <c r="C4" s="840" t="str">
        <f>ValDateHeading</f>
        <v>Estimation of value as of 28 February 2017</v>
      </c>
      <c r="D4" s="840"/>
      <c r="E4" s="840"/>
      <c r="F4" s="2060"/>
      <c r="G4" s="1526"/>
      <c r="H4" s="1526"/>
      <c r="K4" s="1526"/>
      <c r="L4" s="1526"/>
      <c r="M4" s="1526"/>
      <c r="N4" s="1526"/>
      <c r="O4" s="1526"/>
      <c r="P4" s="1526"/>
      <c r="Q4" s="1526"/>
      <c r="R4" s="1526"/>
      <c r="S4" s="1526"/>
      <c r="U4" s="1510"/>
    </row>
    <row r="5" spans="1:21" ht="18" customHeight="1">
      <c r="A5" s="1413" t="str">
        <f>IF(MasterCheck,"Please check the "&amp;'Error Check'!$G$8,"")</f>
        <v/>
      </c>
      <c r="B5" s="1510"/>
      <c r="C5" s="841"/>
      <c r="D5" s="366"/>
      <c r="E5" s="366"/>
      <c r="F5" s="2060"/>
      <c r="G5" s="1526"/>
      <c r="H5" s="1526"/>
      <c r="K5" s="1526"/>
      <c r="L5" s="1526"/>
      <c r="M5" s="1526"/>
      <c r="N5" s="1526"/>
      <c r="O5" s="1526"/>
      <c r="P5" s="1526"/>
      <c r="Q5" s="1526"/>
      <c r="R5" s="1526"/>
      <c r="S5" s="1526"/>
      <c r="U5" s="1510" t="s">
        <v>678</v>
      </c>
    </row>
    <row r="6" spans="1:21" ht="13.9">
      <c r="A6" s="1510"/>
      <c r="B6" s="1510"/>
      <c r="C6" s="842"/>
      <c r="D6" s="340"/>
      <c r="E6" s="340"/>
      <c r="F6" s="1526"/>
      <c r="G6" s="1526"/>
      <c r="H6" s="1526"/>
      <c r="I6" s="1526"/>
      <c r="J6" s="1526"/>
      <c r="K6" s="1526"/>
      <c r="L6" s="341"/>
      <c r="M6" s="341"/>
      <c r="N6" s="341"/>
      <c r="O6" s="341"/>
      <c r="P6" s="341"/>
      <c r="Q6" s="341"/>
      <c r="U6" s="1510" t="s">
        <v>678</v>
      </c>
    </row>
    <row r="7" spans="1:21" ht="11.25" customHeight="1">
      <c r="A7" s="1510"/>
      <c r="B7" s="1510"/>
      <c r="C7" s="843"/>
      <c r="D7" s="342"/>
      <c r="E7" s="342"/>
      <c r="F7" s="341"/>
      <c r="G7" s="341"/>
      <c r="H7" s="341"/>
      <c r="I7" s="341"/>
      <c r="J7" s="341"/>
      <c r="K7" s="341"/>
      <c r="L7" s="341"/>
      <c r="M7" s="341"/>
      <c r="N7" s="341"/>
      <c r="O7" s="341"/>
      <c r="P7" s="341"/>
      <c r="Q7" s="341"/>
      <c r="R7" s="2060"/>
      <c r="S7" s="2060"/>
      <c r="U7" s="1510" t="s">
        <v>678</v>
      </c>
    </row>
    <row r="8" spans="1:21" ht="13.9">
      <c r="A8" s="1510"/>
      <c r="B8" s="1510"/>
      <c r="C8" s="844"/>
      <c r="D8" s="720"/>
      <c r="E8" s="720"/>
      <c r="F8" s="717"/>
      <c r="G8" s="716" t="str">
        <f>'INC STAT Hist Input'!F8</f>
        <v>For years ended March 31</v>
      </c>
      <c r="H8" s="716"/>
      <c r="I8" s="716"/>
      <c r="J8" s="716"/>
      <c r="K8" s="716"/>
      <c r="L8" s="1591"/>
      <c r="M8" s="1591"/>
      <c r="N8" s="1591"/>
      <c r="O8" s="1591"/>
      <c r="P8" s="1591"/>
      <c r="Q8" s="1591"/>
      <c r="R8" s="2060"/>
      <c r="S8" s="2060"/>
      <c r="U8" s="1510" t="s">
        <v>678</v>
      </c>
    </row>
    <row r="9" spans="1:21" ht="12.75" customHeight="1">
      <c r="A9" s="1510"/>
      <c r="B9" s="1510"/>
      <c r="C9" s="718" t="str">
        <f>SubjCurrencyHeading</f>
        <v>(USD in Millions)</v>
      </c>
      <c r="D9" s="718"/>
      <c r="E9" s="718"/>
      <c r="F9" s="721"/>
      <c r="G9" s="1116">
        <f>IF('PFI Inputs'!G26,'PFI Inputs'!G26,"")</f>
        <v>42825</v>
      </c>
      <c r="H9" s="1116">
        <f>IF('PFI Inputs'!H26,'PFI Inputs'!H26,"")</f>
        <v>43190</v>
      </c>
      <c r="I9" s="1116">
        <f>IF('PFI Inputs'!I26,'PFI Inputs'!I26,"")</f>
        <v>43555</v>
      </c>
      <c r="J9" s="1116">
        <f>IF('PFI Inputs'!J26,'PFI Inputs'!J26,"")</f>
        <v>43921</v>
      </c>
      <c r="K9" s="1116">
        <f>IF('PFI Inputs'!K26,'PFI Inputs'!K26,"")</f>
        <v>44286</v>
      </c>
      <c r="L9" s="1116">
        <f>IF('PFI Inputs'!L26,'PFI Inputs'!L26,"")</f>
        <v>44651</v>
      </c>
      <c r="M9" s="1116">
        <f>IF('PFI Inputs'!M26,'PFI Inputs'!M26,"")</f>
        <v>45016</v>
      </c>
      <c r="N9" s="1116">
        <f>IF('PFI Inputs'!N26,'PFI Inputs'!N26,"")</f>
        <v>45382</v>
      </c>
      <c r="O9" s="1116" t="str">
        <f>IF('PFI Inputs'!O26,'PFI Inputs'!O26,"")</f>
        <v/>
      </c>
      <c r="P9" s="1116" t="str">
        <f>IF('PFI Inputs'!P26,'PFI Inputs'!P26,"")</f>
        <v/>
      </c>
      <c r="Q9" s="1116" t="str">
        <f>IF('PFI Inputs'!Q26,'PFI Inputs'!Q26,"")</f>
        <v/>
      </c>
      <c r="R9" s="2060"/>
      <c r="S9" s="2060"/>
      <c r="U9" s="1510" t="s">
        <v>678</v>
      </c>
    </row>
    <row r="10" spans="1:21" ht="13.9">
      <c r="A10" s="1510"/>
      <c r="B10" s="1510"/>
      <c r="C10" s="817" t="s">
        <v>101</v>
      </c>
      <c r="D10" s="512"/>
      <c r="E10" s="512"/>
      <c r="F10" s="306"/>
      <c r="G10" s="307"/>
      <c r="H10" s="307"/>
      <c r="I10" s="308"/>
      <c r="J10" s="308"/>
      <c r="K10" s="308"/>
      <c r="L10" s="309"/>
      <c r="M10" s="309"/>
      <c r="N10" s="309"/>
      <c r="O10" s="309"/>
      <c r="P10" s="309"/>
      <c r="Q10" s="309"/>
      <c r="R10" s="2060"/>
      <c r="S10" s="2060"/>
      <c r="U10" s="1510" t="s">
        <v>678</v>
      </c>
    </row>
    <row r="11" spans="1:21" ht="13.9">
      <c r="A11" s="1510" t="str">
        <f>IF(OR(MAX(G11:Q11)&gt;0.01,MIN(,G11:Q11)&lt;-0.01),"","n")</f>
        <v>n</v>
      </c>
      <c r="B11" s="1510"/>
      <c r="C11" s="1588" t="s">
        <v>973</v>
      </c>
      <c r="D11" s="512"/>
      <c r="E11" s="512"/>
      <c r="F11" s="306"/>
      <c r="G11" s="1667">
        <f>'PFI Inputs'!G105</f>
        <v>0</v>
      </c>
      <c r="H11" s="1667">
        <f>'PFI Inputs'!H105</f>
        <v>0</v>
      </c>
      <c r="I11" s="1667">
        <f>'PFI Inputs'!I105</f>
        <v>0</v>
      </c>
      <c r="J11" s="1667">
        <f>'PFI Inputs'!J105</f>
        <v>0</v>
      </c>
      <c r="K11" s="1667">
        <f>'PFI Inputs'!K105</f>
        <v>0</v>
      </c>
      <c r="L11" s="1667">
        <f>'PFI Inputs'!L105</f>
        <v>0</v>
      </c>
      <c r="M11" s="1667">
        <f>'PFI Inputs'!M105</f>
        <v>0</v>
      </c>
      <c r="N11" s="824">
        <f>'PFI Inputs'!N105</f>
        <v>0</v>
      </c>
      <c r="O11" s="824">
        <f>'PFI Inputs'!O105</f>
        <v>0</v>
      </c>
      <c r="P11" s="824">
        <f>'PFI Inputs'!P105</f>
        <v>0</v>
      </c>
      <c r="Q11" s="824">
        <f>'PFI Inputs'!Q105</f>
        <v>0</v>
      </c>
      <c r="R11" s="1534"/>
      <c r="S11" s="2060"/>
      <c r="U11" s="1510"/>
    </row>
    <row r="12" spans="1:21" ht="13.9">
      <c r="A12" s="1510" t="str">
        <f>IF(OR(MAX(G12:Q12)&gt;0.01,MIN(,G12:Q12)&lt;-0.01),"","n")</f>
        <v>n</v>
      </c>
      <c r="B12" s="1510"/>
      <c r="C12" s="1539" t="s">
        <v>975</v>
      </c>
      <c r="D12" s="1531"/>
      <c r="E12" s="1531"/>
      <c r="F12" s="218"/>
      <c r="G12" s="1667">
        <f>'PFI Inputs'!G108</f>
        <v>0</v>
      </c>
      <c r="H12" s="1667">
        <f>'PFI Inputs'!H108</f>
        <v>0</v>
      </c>
      <c r="I12" s="1667">
        <f>'PFI Inputs'!I108</f>
        <v>0</v>
      </c>
      <c r="J12" s="1667">
        <f>'PFI Inputs'!J108</f>
        <v>0</v>
      </c>
      <c r="K12" s="1667">
        <f>'PFI Inputs'!K108</f>
        <v>0</v>
      </c>
      <c r="L12" s="1667">
        <f>'PFI Inputs'!L108</f>
        <v>0</v>
      </c>
      <c r="M12" s="1667">
        <f>'PFI Inputs'!M108</f>
        <v>0</v>
      </c>
      <c r="N12" s="824">
        <f>'PFI Inputs'!N108</f>
        <v>0</v>
      </c>
      <c r="O12" s="824">
        <f>'PFI Inputs'!O108</f>
        <v>0</v>
      </c>
      <c r="P12" s="824">
        <f>'PFI Inputs'!P108</f>
        <v>0</v>
      </c>
      <c r="Q12" s="824">
        <f>'PFI Inputs'!Q108</f>
        <v>0</v>
      </c>
      <c r="R12" s="370"/>
      <c r="S12" s="2060"/>
      <c r="U12" s="1510" t="s">
        <v>678</v>
      </c>
    </row>
    <row r="13" spans="1:21" s="312" customFormat="1" ht="13.9">
      <c r="A13" s="1510" t="str">
        <f>IF(OR(MAX(G13:Q13)&gt;0.01,MIN(,G13:Q13)&lt;-0.01),"","n")</f>
        <v>n</v>
      </c>
      <c r="B13" s="1510"/>
      <c r="C13" s="818" t="s">
        <v>819</v>
      </c>
      <c r="D13" s="304"/>
      <c r="E13" s="304"/>
      <c r="F13" s="218"/>
      <c r="G13" s="1667">
        <f>'PFI Inputs'!G113</f>
        <v>0</v>
      </c>
      <c r="H13" s="1667">
        <f>'PFI Inputs'!H113</f>
        <v>0</v>
      </c>
      <c r="I13" s="1667">
        <f>'PFI Inputs'!I113</f>
        <v>0</v>
      </c>
      <c r="J13" s="1667">
        <f>'PFI Inputs'!J113</f>
        <v>0</v>
      </c>
      <c r="K13" s="1667">
        <f>'PFI Inputs'!K113</f>
        <v>0</v>
      </c>
      <c r="L13" s="1667">
        <f>'PFI Inputs'!L113</f>
        <v>0</v>
      </c>
      <c r="M13" s="1667">
        <f>'PFI Inputs'!M113</f>
        <v>0</v>
      </c>
      <c r="N13" s="824">
        <f>'PFI Inputs'!N113</f>
        <v>0</v>
      </c>
      <c r="O13" s="824">
        <f>'PFI Inputs'!O113</f>
        <v>0</v>
      </c>
      <c r="P13" s="824">
        <f>'PFI Inputs'!P113</f>
        <v>0</v>
      </c>
      <c r="Q13" s="824">
        <f>'PFI Inputs'!Q113</f>
        <v>0</v>
      </c>
      <c r="R13" s="370"/>
      <c r="S13" s="370"/>
      <c r="U13" s="1510" t="s">
        <v>678</v>
      </c>
    </row>
    <row r="14" spans="1:21" ht="13.9">
      <c r="A14" s="1510" t="str">
        <f>IF(OR(MAX(G14:Q14)&gt;0.01,MIN(,G14:Q14)&lt;-0.01),"","n")</f>
        <v>n</v>
      </c>
      <c r="B14" s="1510"/>
      <c r="C14" s="818" t="s">
        <v>306</v>
      </c>
      <c r="D14" s="304"/>
      <c r="E14" s="304"/>
      <c r="F14" s="218"/>
      <c r="G14" s="1667">
        <f>'PFI Inputs'!G118</f>
        <v>0</v>
      </c>
      <c r="H14" s="1667">
        <f>'PFI Inputs'!H118</f>
        <v>0</v>
      </c>
      <c r="I14" s="1667">
        <f>'PFI Inputs'!I118</f>
        <v>0</v>
      </c>
      <c r="J14" s="1667">
        <f>'PFI Inputs'!J118</f>
        <v>0</v>
      </c>
      <c r="K14" s="1667">
        <f>'PFI Inputs'!K118</f>
        <v>0</v>
      </c>
      <c r="L14" s="1667">
        <f>'PFI Inputs'!L118</f>
        <v>0</v>
      </c>
      <c r="M14" s="1667">
        <f>'PFI Inputs'!M118</f>
        <v>0</v>
      </c>
      <c r="N14" s="824">
        <f>'PFI Inputs'!N118</f>
        <v>0</v>
      </c>
      <c r="O14" s="824">
        <f>'PFI Inputs'!O118</f>
        <v>0</v>
      </c>
      <c r="P14" s="824">
        <f>'PFI Inputs'!P118</f>
        <v>0</v>
      </c>
      <c r="Q14" s="824">
        <f>'PFI Inputs'!Q118</f>
        <v>0</v>
      </c>
      <c r="R14" s="370"/>
      <c r="S14" s="370"/>
      <c r="U14" s="1510" t="s">
        <v>678</v>
      </c>
    </row>
    <row r="15" spans="1:21" ht="13.9">
      <c r="A15" s="1510" t="str">
        <f t="shared" ref="A15:A29" si="0">IF(OR(MAX(G15:Q15)&gt;0.01,MIN(,G15:Q15)&lt;-0.01),"","n")</f>
        <v>n</v>
      </c>
      <c r="B15" s="1510"/>
      <c r="C15" s="1539" t="str">
        <f>'PFI Inputs'!C123</f>
        <v>Current assets</v>
      </c>
      <c r="D15" s="1531"/>
      <c r="E15" s="1531"/>
      <c r="F15" s="218"/>
      <c r="G15" s="1667">
        <f>'PFI Inputs'!G123</f>
        <v>0</v>
      </c>
      <c r="H15" s="1667">
        <f>'PFI Inputs'!H123</f>
        <v>0</v>
      </c>
      <c r="I15" s="1667">
        <f>'PFI Inputs'!I123</f>
        <v>0</v>
      </c>
      <c r="J15" s="1667">
        <f>'PFI Inputs'!J123</f>
        <v>0</v>
      </c>
      <c r="K15" s="1667">
        <f>'PFI Inputs'!K123</f>
        <v>0</v>
      </c>
      <c r="L15" s="1667">
        <f>'PFI Inputs'!L123</f>
        <v>0</v>
      </c>
      <c r="M15" s="1667">
        <f>'PFI Inputs'!M123</f>
        <v>0</v>
      </c>
      <c r="N15" s="824">
        <f>'PFI Inputs'!N123</f>
        <v>0</v>
      </c>
      <c r="O15" s="824">
        <f>'PFI Inputs'!O123</f>
        <v>0</v>
      </c>
      <c r="P15" s="824">
        <f>'PFI Inputs'!P123</f>
        <v>0</v>
      </c>
      <c r="Q15" s="824">
        <f>'PFI Inputs'!Q123</f>
        <v>0</v>
      </c>
      <c r="R15" s="2060"/>
      <c r="S15" s="2060"/>
      <c r="U15" s="1510" t="s">
        <v>678</v>
      </c>
    </row>
    <row r="16" spans="1:21" ht="13.9">
      <c r="A16" s="1510" t="str">
        <f t="shared" si="0"/>
        <v>n</v>
      </c>
      <c r="B16" s="1510"/>
      <c r="C16" s="1539" t="str">
        <f>'PFI Inputs'!C128</f>
        <v>Current assets 2</v>
      </c>
      <c r="D16" s="1531"/>
      <c r="E16" s="1531"/>
      <c r="F16" s="218"/>
      <c r="G16" s="1667">
        <f>'PFI Inputs'!G128</f>
        <v>0</v>
      </c>
      <c r="H16" s="1667">
        <f>'PFI Inputs'!H128</f>
        <v>0</v>
      </c>
      <c r="I16" s="1667">
        <f>'PFI Inputs'!I128</f>
        <v>0</v>
      </c>
      <c r="J16" s="1667">
        <f>'PFI Inputs'!J128</f>
        <v>0</v>
      </c>
      <c r="K16" s="1667">
        <f>'PFI Inputs'!K128</f>
        <v>0</v>
      </c>
      <c r="L16" s="1667">
        <f>'PFI Inputs'!L128</f>
        <v>0</v>
      </c>
      <c r="M16" s="1667">
        <f>'PFI Inputs'!M128</f>
        <v>0</v>
      </c>
      <c r="N16" s="824">
        <f>'PFI Inputs'!N128</f>
        <v>0</v>
      </c>
      <c r="O16" s="824">
        <f>'PFI Inputs'!O128</f>
        <v>0</v>
      </c>
      <c r="P16" s="824">
        <f>'PFI Inputs'!P128</f>
        <v>0</v>
      </c>
      <c r="Q16" s="824">
        <f>'PFI Inputs'!Q128</f>
        <v>0</v>
      </c>
      <c r="R16" s="2060"/>
      <c r="S16" s="2060"/>
      <c r="U16" s="1510"/>
    </row>
    <row r="17" spans="1:21" ht="13.9">
      <c r="A17" s="1510" t="str">
        <f t="shared" si="0"/>
        <v>n</v>
      </c>
      <c r="B17" s="1510"/>
      <c r="C17" s="1539" t="str">
        <f>'PFI Inputs'!C133</f>
        <v>Current assets 3</v>
      </c>
      <c r="D17" s="1531"/>
      <c r="E17" s="1531"/>
      <c r="F17" s="218"/>
      <c r="G17" s="1667">
        <f>'PFI Inputs'!G133</f>
        <v>0</v>
      </c>
      <c r="H17" s="1667">
        <f>'PFI Inputs'!H133</f>
        <v>0</v>
      </c>
      <c r="I17" s="1667">
        <f>'PFI Inputs'!I133</f>
        <v>0</v>
      </c>
      <c r="J17" s="1667">
        <f>'PFI Inputs'!J133</f>
        <v>0</v>
      </c>
      <c r="K17" s="1667">
        <f>'PFI Inputs'!K133</f>
        <v>0</v>
      </c>
      <c r="L17" s="1667">
        <f>'PFI Inputs'!L133</f>
        <v>0</v>
      </c>
      <c r="M17" s="1667">
        <f>'PFI Inputs'!M133</f>
        <v>0</v>
      </c>
      <c r="N17" s="824">
        <f>'PFI Inputs'!N133</f>
        <v>0</v>
      </c>
      <c r="O17" s="824">
        <f>'PFI Inputs'!O133</f>
        <v>0</v>
      </c>
      <c r="P17" s="824">
        <f>'PFI Inputs'!P133</f>
        <v>0</v>
      </c>
      <c r="Q17" s="824">
        <f>'PFI Inputs'!Q133</f>
        <v>0</v>
      </c>
      <c r="R17" s="2060"/>
      <c r="S17" s="2060"/>
      <c r="U17" s="1510"/>
    </row>
    <row r="18" spans="1:21" ht="13.9">
      <c r="A18" s="1510" t="str">
        <f t="shared" si="0"/>
        <v>n</v>
      </c>
      <c r="B18" s="1510"/>
      <c r="C18" s="1539" t="str">
        <f>'PFI Inputs'!C138</f>
        <v>Current assets 4</v>
      </c>
      <c r="D18" s="1531"/>
      <c r="E18" s="1531"/>
      <c r="F18" s="218"/>
      <c r="G18" s="1667">
        <f>'PFI Inputs'!G138</f>
        <v>0</v>
      </c>
      <c r="H18" s="1667">
        <f>'PFI Inputs'!H138</f>
        <v>0</v>
      </c>
      <c r="I18" s="1667">
        <f>'PFI Inputs'!I138</f>
        <v>0</v>
      </c>
      <c r="J18" s="1667">
        <f>'PFI Inputs'!J138</f>
        <v>0</v>
      </c>
      <c r="K18" s="1667">
        <f>'PFI Inputs'!K138</f>
        <v>0</v>
      </c>
      <c r="L18" s="1667">
        <f>'PFI Inputs'!L138</f>
        <v>0</v>
      </c>
      <c r="M18" s="1667">
        <f>'PFI Inputs'!M138</f>
        <v>0</v>
      </c>
      <c r="N18" s="824">
        <f>'PFI Inputs'!N138</f>
        <v>0</v>
      </c>
      <c r="O18" s="824">
        <f>'PFI Inputs'!O138</f>
        <v>0</v>
      </c>
      <c r="P18" s="824">
        <f>'PFI Inputs'!P138</f>
        <v>0</v>
      </c>
      <c r="Q18" s="824">
        <f>'PFI Inputs'!Q138</f>
        <v>0</v>
      </c>
      <c r="R18" s="2060"/>
      <c r="S18" s="2060"/>
      <c r="U18" s="1510"/>
    </row>
    <row r="19" spans="1:21" ht="13.9">
      <c r="A19" s="1510" t="str">
        <f t="shared" si="0"/>
        <v>n</v>
      </c>
      <c r="B19" s="1510"/>
      <c r="C19" s="1539" t="str">
        <f>'PFI Inputs'!C143</f>
        <v>Current assets 5</v>
      </c>
      <c r="D19" s="1531"/>
      <c r="E19" s="1531"/>
      <c r="F19" s="218"/>
      <c r="G19" s="1667">
        <f>'PFI Inputs'!G143</f>
        <v>0</v>
      </c>
      <c r="H19" s="1667">
        <f>'PFI Inputs'!H143</f>
        <v>0</v>
      </c>
      <c r="I19" s="1667">
        <f>'PFI Inputs'!I143</f>
        <v>0</v>
      </c>
      <c r="J19" s="1667">
        <f>'PFI Inputs'!J143</f>
        <v>0</v>
      </c>
      <c r="K19" s="1667">
        <f>'PFI Inputs'!K143</f>
        <v>0</v>
      </c>
      <c r="L19" s="1667">
        <f>'PFI Inputs'!L143</f>
        <v>0</v>
      </c>
      <c r="M19" s="1667">
        <f>'PFI Inputs'!M143</f>
        <v>0</v>
      </c>
      <c r="N19" s="824">
        <f>'PFI Inputs'!N143</f>
        <v>0</v>
      </c>
      <c r="O19" s="824">
        <f>'PFI Inputs'!O143</f>
        <v>0</v>
      </c>
      <c r="P19" s="824">
        <f>'PFI Inputs'!P143</f>
        <v>0</v>
      </c>
      <c r="Q19" s="824">
        <f>'PFI Inputs'!Q143</f>
        <v>0</v>
      </c>
      <c r="R19" s="2060"/>
      <c r="S19" s="2060"/>
      <c r="U19" s="1510"/>
    </row>
    <row r="20" spans="1:21" ht="13.9">
      <c r="A20" s="1510" t="str">
        <f t="shared" si="0"/>
        <v>n</v>
      </c>
      <c r="B20" s="1510"/>
      <c r="C20" s="845" t="s">
        <v>980</v>
      </c>
      <c r="D20" s="402"/>
      <c r="E20" s="402"/>
      <c r="F20" s="530"/>
      <c r="G20" s="455">
        <f t="shared" ref="G20:Q20" si="1">SUM(G11:G19)</f>
        <v>0</v>
      </c>
      <c r="H20" s="455">
        <f t="shared" si="1"/>
        <v>0</v>
      </c>
      <c r="I20" s="455">
        <f t="shared" si="1"/>
        <v>0</v>
      </c>
      <c r="J20" s="455">
        <f t="shared" si="1"/>
        <v>0</v>
      </c>
      <c r="K20" s="455">
        <f t="shared" si="1"/>
        <v>0</v>
      </c>
      <c r="L20" s="455">
        <f t="shared" si="1"/>
        <v>0</v>
      </c>
      <c r="M20" s="455">
        <f t="shared" si="1"/>
        <v>0</v>
      </c>
      <c r="N20" s="455">
        <f t="shared" si="1"/>
        <v>0</v>
      </c>
      <c r="O20" s="455">
        <f t="shared" si="1"/>
        <v>0</v>
      </c>
      <c r="P20" s="455">
        <f t="shared" si="1"/>
        <v>0</v>
      </c>
      <c r="Q20" s="455">
        <f t="shared" si="1"/>
        <v>0</v>
      </c>
      <c r="R20" s="2060"/>
      <c r="S20" s="2060"/>
      <c r="U20" s="1510" t="s">
        <v>678</v>
      </c>
    </row>
    <row r="21" spans="1:21" ht="13.9">
      <c r="A21" s="1510" t="str">
        <f t="shared" ca="1" si="0"/>
        <v>n</v>
      </c>
      <c r="B21" s="1510"/>
      <c r="C21" s="1539" t="s">
        <v>1061</v>
      </c>
      <c r="D21" s="1531"/>
      <c r="E21" s="1531"/>
      <c r="F21" s="218"/>
      <c r="G21" s="1667">
        <f ca="1">'PFI Inputs'!G152</f>
        <v>0</v>
      </c>
      <c r="H21" s="1667">
        <f ca="1">'PFI Inputs'!H152</f>
        <v>0</v>
      </c>
      <c r="I21" s="1667">
        <f ca="1">'PFI Inputs'!I152</f>
        <v>0</v>
      </c>
      <c r="J21" s="1667">
        <f ca="1">'PFI Inputs'!J152</f>
        <v>0</v>
      </c>
      <c r="K21" s="1667">
        <f ca="1">'PFI Inputs'!K152</f>
        <v>0</v>
      </c>
      <c r="L21" s="1667">
        <f ca="1">'PFI Inputs'!L152</f>
        <v>0</v>
      </c>
      <c r="M21" s="1667">
        <f ca="1">'PFI Inputs'!M152</f>
        <v>0</v>
      </c>
      <c r="N21" s="824">
        <f ca="1">'PFI Inputs'!N152</f>
        <v>0</v>
      </c>
      <c r="O21" s="824">
        <f ca="1">'PFI Inputs'!O152</f>
        <v>0</v>
      </c>
      <c r="P21" s="824">
        <f ca="1">'PFI Inputs'!P152</f>
        <v>0</v>
      </c>
      <c r="Q21" s="824">
        <f ca="1">'PFI Inputs'!Q152</f>
        <v>0</v>
      </c>
      <c r="R21" s="2060"/>
      <c r="S21" s="2060"/>
      <c r="U21" s="1510" t="s">
        <v>678</v>
      </c>
    </row>
    <row r="22" spans="1:21" ht="13.9">
      <c r="A22" s="1510" t="str">
        <f t="shared" si="0"/>
        <v>n</v>
      </c>
      <c r="B22" s="1510"/>
      <c r="C22" s="814" t="s">
        <v>1063</v>
      </c>
      <c r="D22" s="299"/>
      <c r="E22" s="299"/>
      <c r="F22" s="218"/>
      <c r="G22" s="1667">
        <f>'PFI Inputs'!G154</f>
        <v>0</v>
      </c>
      <c r="H22" s="1667">
        <f>'PFI Inputs'!H154</f>
        <v>0</v>
      </c>
      <c r="I22" s="1667">
        <f>'PFI Inputs'!I154</f>
        <v>0</v>
      </c>
      <c r="J22" s="1667">
        <f>'PFI Inputs'!J154</f>
        <v>0</v>
      </c>
      <c r="K22" s="1667">
        <f>'PFI Inputs'!K154</f>
        <v>0</v>
      </c>
      <c r="L22" s="1667">
        <f>'PFI Inputs'!L154</f>
        <v>0</v>
      </c>
      <c r="M22" s="1667">
        <f>'PFI Inputs'!M154</f>
        <v>0</v>
      </c>
      <c r="N22" s="824">
        <f>'PFI Inputs'!N154</f>
        <v>0</v>
      </c>
      <c r="O22" s="824">
        <f>'PFI Inputs'!O154</f>
        <v>0</v>
      </c>
      <c r="P22" s="824">
        <f>'PFI Inputs'!P154</f>
        <v>0</v>
      </c>
      <c r="Q22" s="824">
        <f>'PFI Inputs'!Q154</f>
        <v>0</v>
      </c>
      <c r="R22" s="2060"/>
      <c r="S22" s="2060"/>
      <c r="U22" s="1510" t="s">
        <v>678</v>
      </c>
    </row>
    <row r="23" spans="1:21" s="312" customFormat="1" ht="13.9">
      <c r="A23" s="1510" t="str">
        <f t="shared" si="0"/>
        <v>n</v>
      </c>
      <c r="B23" s="1510"/>
      <c r="C23" s="818" t="s">
        <v>1065</v>
      </c>
      <c r="D23" s="304"/>
      <c r="E23" s="304"/>
      <c r="F23" s="218"/>
      <c r="G23" s="1667">
        <f>'PFI Inputs'!G156</f>
        <v>0</v>
      </c>
      <c r="H23" s="1667">
        <f>'PFI Inputs'!H156</f>
        <v>0</v>
      </c>
      <c r="I23" s="1667">
        <f>'PFI Inputs'!I156</f>
        <v>0</v>
      </c>
      <c r="J23" s="1667">
        <f>'PFI Inputs'!J156</f>
        <v>0</v>
      </c>
      <c r="K23" s="1667">
        <f>'PFI Inputs'!K156</f>
        <v>0</v>
      </c>
      <c r="L23" s="1667">
        <f>'PFI Inputs'!L156</f>
        <v>0</v>
      </c>
      <c r="M23" s="1667">
        <f>'PFI Inputs'!M156</f>
        <v>0</v>
      </c>
      <c r="N23" s="824">
        <f>'PFI Inputs'!N156</f>
        <v>0</v>
      </c>
      <c r="O23" s="824">
        <f>'PFI Inputs'!O156</f>
        <v>0</v>
      </c>
      <c r="P23" s="824">
        <f>'PFI Inputs'!P156</f>
        <v>0</v>
      </c>
      <c r="Q23" s="824">
        <f>'PFI Inputs'!Q156</f>
        <v>0</v>
      </c>
      <c r="R23" s="2060"/>
      <c r="S23" s="2060"/>
      <c r="U23" s="1510" t="s">
        <v>678</v>
      </c>
    </row>
    <row r="24" spans="1:21" s="312" customFormat="1" ht="13.9">
      <c r="A24" s="1510" t="str">
        <f t="shared" si="0"/>
        <v>n</v>
      </c>
      <c r="B24" s="1510"/>
      <c r="C24" s="818" t="str">
        <f>'PFI Inputs'!C158</f>
        <v>Long-term assets</v>
      </c>
      <c r="D24" s="304"/>
      <c r="E24" s="304"/>
      <c r="F24" s="218"/>
      <c r="G24" s="1667">
        <f>'PFI Inputs'!G158</f>
        <v>0</v>
      </c>
      <c r="H24" s="1667">
        <f>'PFI Inputs'!H158</f>
        <v>0</v>
      </c>
      <c r="I24" s="1667">
        <f>'PFI Inputs'!I158</f>
        <v>0</v>
      </c>
      <c r="J24" s="1667">
        <f>'PFI Inputs'!J158</f>
        <v>0</v>
      </c>
      <c r="K24" s="1667">
        <f>'PFI Inputs'!K158</f>
        <v>0</v>
      </c>
      <c r="L24" s="1667">
        <f>'PFI Inputs'!L158</f>
        <v>0</v>
      </c>
      <c r="M24" s="1667">
        <f>'PFI Inputs'!M158</f>
        <v>0</v>
      </c>
      <c r="N24" s="824">
        <f>'PFI Inputs'!N158</f>
        <v>0</v>
      </c>
      <c r="O24" s="824">
        <f>'PFI Inputs'!O158</f>
        <v>0</v>
      </c>
      <c r="P24" s="824">
        <f>'PFI Inputs'!P158</f>
        <v>0</v>
      </c>
      <c r="Q24" s="824">
        <f>'PFI Inputs'!Q158</f>
        <v>0</v>
      </c>
      <c r="R24" s="2060"/>
      <c r="S24" s="2060"/>
      <c r="U24" s="1510" t="s">
        <v>678</v>
      </c>
    </row>
    <row r="25" spans="1:21" s="312" customFormat="1" ht="13.9">
      <c r="A25" s="1510" t="str">
        <f t="shared" si="0"/>
        <v>n</v>
      </c>
      <c r="B25" s="1510"/>
      <c r="C25" s="818" t="str">
        <f>'PFI Inputs'!C163</f>
        <v>Long-term assets 2</v>
      </c>
      <c r="D25" s="304"/>
      <c r="E25" s="304"/>
      <c r="F25" s="218"/>
      <c r="G25" s="1667">
        <f>'PFI Inputs'!G163</f>
        <v>0</v>
      </c>
      <c r="H25" s="1667">
        <f>'PFI Inputs'!H163</f>
        <v>0</v>
      </c>
      <c r="I25" s="1667">
        <f>'PFI Inputs'!I163</f>
        <v>0</v>
      </c>
      <c r="J25" s="1667">
        <f>'PFI Inputs'!J163</f>
        <v>0</v>
      </c>
      <c r="K25" s="1667">
        <f>'PFI Inputs'!K163</f>
        <v>0</v>
      </c>
      <c r="L25" s="1667">
        <f>'PFI Inputs'!L163</f>
        <v>0</v>
      </c>
      <c r="M25" s="1667">
        <f>'PFI Inputs'!M163</f>
        <v>0</v>
      </c>
      <c r="N25" s="824">
        <f>'PFI Inputs'!N163</f>
        <v>0</v>
      </c>
      <c r="O25" s="824">
        <f>'PFI Inputs'!O163</f>
        <v>0</v>
      </c>
      <c r="P25" s="824">
        <f>'PFI Inputs'!P163</f>
        <v>0</v>
      </c>
      <c r="Q25" s="824">
        <f>'PFI Inputs'!Q163</f>
        <v>0</v>
      </c>
      <c r="R25" s="2060"/>
      <c r="S25" s="2060"/>
      <c r="U25" s="1510"/>
    </row>
    <row r="26" spans="1:21" s="312" customFormat="1" ht="13.9">
      <c r="A26" s="1510" t="str">
        <f t="shared" si="0"/>
        <v>n</v>
      </c>
      <c r="B26" s="1510"/>
      <c r="C26" s="818" t="str">
        <f>'PFI Inputs'!C168</f>
        <v>Long-term assets 3</v>
      </c>
      <c r="D26" s="304"/>
      <c r="E26" s="304"/>
      <c r="F26" s="218"/>
      <c r="G26" s="1667">
        <f>'PFI Inputs'!G168</f>
        <v>0</v>
      </c>
      <c r="H26" s="1667">
        <f>'PFI Inputs'!H168</f>
        <v>0</v>
      </c>
      <c r="I26" s="1667">
        <f>'PFI Inputs'!I168</f>
        <v>0</v>
      </c>
      <c r="J26" s="1667">
        <f>'PFI Inputs'!J168</f>
        <v>0</v>
      </c>
      <c r="K26" s="1667">
        <f>'PFI Inputs'!K168</f>
        <v>0</v>
      </c>
      <c r="L26" s="1667">
        <f>'PFI Inputs'!L168</f>
        <v>0</v>
      </c>
      <c r="M26" s="1667">
        <f>'PFI Inputs'!M168</f>
        <v>0</v>
      </c>
      <c r="N26" s="824">
        <f>'PFI Inputs'!N168</f>
        <v>0</v>
      </c>
      <c r="O26" s="824">
        <f>'PFI Inputs'!O168</f>
        <v>0</v>
      </c>
      <c r="P26" s="824">
        <f>'PFI Inputs'!P168</f>
        <v>0</v>
      </c>
      <c r="Q26" s="824">
        <f>'PFI Inputs'!Q168</f>
        <v>0</v>
      </c>
      <c r="R26" s="2060"/>
      <c r="S26" s="2060"/>
      <c r="U26" s="1510"/>
    </row>
    <row r="27" spans="1:21" s="312" customFormat="1" ht="13.9">
      <c r="A27" s="1510" t="str">
        <f t="shared" si="0"/>
        <v>n</v>
      </c>
      <c r="B27" s="1510"/>
      <c r="C27" s="818" t="str">
        <f>'PFI Inputs'!C173</f>
        <v>Long-term assets 4</v>
      </c>
      <c r="D27" s="304"/>
      <c r="E27" s="304"/>
      <c r="F27" s="218"/>
      <c r="G27" s="1667">
        <f>'PFI Inputs'!G173</f>
        <v>0</v>
      </c>
      <c r="H27" s="1667">
        <f>'PFI Inputs'!H173</f>
        <v>0</v>
      </c>
      <c r="I27" s="1667">
        <f>'PFI Inputs'!I173</f>
        <v>0</v>
      </c>
      <c r="J27" s="1667">
        <f>'PFI Inputs'!J173</f>
        <v>0</v>
      </c>
      <c r="K27" s="1667">
        <f>'PFI Inputs'!K173</f>
        <v>0</v>
      </c>
      <c r="L27" s="1667">
        <f>'PFI Inputs'!L173</f>
        <v>0</v>
      </c>
      <c r="M27" s="1667">
        <f>'PFI Inputs'!M173</f>
        <v>0</v>
      </c>
      <c r="N27" s="824">
        <f>'PFI Inputs'!N173</f>
        <v>0</v>
      </c>
      <c r="O27" s="824">
        <f>'PFI Inputs'!O173</f>
        <v>0</v>
      </c>
      <c r="P27" s="824">
        <f>'PFI Inputs'!P173</f>
        <v>0</v>
      </c>
      <c r="Q27" s="824">
        <f>'PFI Inputs'!Q173</f>
        <v>0</v>
      </c>
      <c r="R27" s="2060"/>
      <c r="S27" s="2060"/>
      <c r="U27" s="1510"/>
    </row>
    <row r="28" spans="1:21" s="312" customFormat="1" ht="13.9">
      <c r="A28" s="1510" t="str">
        <f t="shared" si="0"/>
        <v>n</v>
      </c>
      <c r="B28" s="1510"/>
      <c r="C28" s="818" t="str">
        <f>'PFI Inputs'!C178</f>
        <v>Long-term assets 5</v>
      </c>
      <c r="D28" s="304"/>
      <c r="E28" s="304"/>
      <c r="F28" s="218"/>
      <c r="G28" s="1667">
        <f>'PFI Inputs'!G178</f>
        <v>0</v>
      </c>
      <c r="H28" s="1667">
        <f>'PFI Inputs'!H178</f>
        <v>0</v>
      </c>
      <c r="I28" s="1667">
        <f>'PFI Inputs'!I178</f>
        <v>0</v>
      </c>
      <c r="J28" s="1667">
        <f>'PFI Inputs'!J178</f>
        <v>0</v>
      </c>
      <c r="K28" s="1667">
        <f>'PFI Inputs'!K178</f>
        <v>0</v>
      </c>
      <c r="L28" s="1667">
        <f>'PFI Inputs'!L178</f>
        <v>0</v>
      </c>
      <c r="M28" s="1667">
        <f>'PFI Inputs'!M178</f>
        <v>0</v>
      </c>
      <c r="N28" s="824">
        <f>'PFI Inputs'!N178</f>
        <v>0</v>
      </c>
      <c r="O28" s="824">
        <f>'PFI Inputs'!O178</f>
        <v>0</v>
      </c>
      <c r="P28" s="824">
        <f>'PFI Inputs'!P178</f>
        <v>0</v>
      </c>
      <c r="Q28" s="824">
        <f>'PFI Inputs'!Q178</f>
        <v>0</v>
      </c>
      <c r="R28" s="2060"/>
      <c r="S28" s="2060"/>
      <c r="U28" s="1510"/>
    </row>
    <row r="29" spans="1:21" ht="13.9">
      <c r="A29" s="1510" t="str">
        <f t="shared" ca="1" si="0"/>
        <v>n</v>
      </c>
      <c r="B29" s="1510"/>
      <c r="C29" s="1407" t="s">
        <v>994</v>
      </c>
      <c r="D29" s="1117"/>
      <c r="E29" s="1117"/>
      <c r="F29" s="1410"/>
      <c r="G29" s="1411">
        <f t="shared" ref="G29:L29" ca="1" si="2">SUM(G20:G28)</f>
        <v>0</v>
      </c>
      <c r="H29" s="1411">
        <f t="shared" ca="1" si="2"/>
        <v>0</v>
      </c>
      <c r="I29" s="1411">
        <f t="shared" ca="1" si="2"/>
        <v>0</v>
      </c>
      <c r="J29" s="1411">
        <f t="shared" ca="1" si="2"/>
        <v>0</v>
      </c>
      <c r="K29" s="1411">
        <f t="shared" ca="1" si="2"/>
        <v>0</v>
      </c>
      <c r="L29" s="1411">
        <f t="shared" ca="1" si="2"/>
        <v>0</v>
      </c>
      <c r="M29" s="1411">
        <f ca="1">SUM(M20:M28)</f>
        <v>0</v>
      </c>
      <c r="N29" s="1411">
        <f ca="1">SUM(N20:N28)</f>
        <v>0</v>
      </c>
      <c r="O29" s="1411">
        <f ca="1">SUM(O20:O28)</f>
        <v>0</v>
      </c>
      <c r="P29" s="1411">
        <f ca="1">SUM(P20:P28)</f>
        <v>0</v>
      </c>
      <c r="Q29" s="1411">
        <f ca="1">SUM(Q20:Q28)</f>
        <v>0</v>
      </c>
      <c r="R29" s="2060"/>
      <c r="S29" s="2060"/>
      <c r="U29" s="1510" t="s">
        <v>678</v>
      </c>
    </row>
    <row r="30" spans="1:21" ht="13.9">
      <c r="A30" s="1510"/>
      <c r="B30" s="1510"/>
      <c r="C30" s="821"/>
      <c r="D30" s="295"/>
      <c r="E30" s="295"/>
      <c r="F30" s="218"/>
      <c r="G30" s="316"/>
      <c r="H30" s="316"/>
      <c r="I30" s="316"/>
      <c r="J30" s="316"/>
      <c r="K30" s="316"/>
      <c r="L30" s="316"/>
      <c r="M30" s="316"/>
      <c r="N30" s="316"/>
      <c r="O30" s="316"/>
      <c r="P30" s="316"/>
      <c r="Q30" s="316"/>
      <c r="R30" s="2060"/>
      <c r="S30" s="2060"/>
      <c r="U30" s="1510" t="s">
        <v>678</v>
      </c>
    </row>
    <row r="31" spans="1:21" ht="13.9">
      <c r="A31" s="1510"/>
      <c r="B31" s="1510"/>
      <c r="C31" s="817" t="s">
        <v>995</v>
      </c>
      <c r="D31" s="512"/>
      <c r="E31" s="512"/>
      <c r="F31" s="218"/>
      <c r="G31" s="1667"/>
      <c r="H31" s="1667"/>
      <c r="I31" s="1667"/>
      <c r="J31" s="1667"/>
      <c r="K31" s="1667"/>
      <c r="L31" s="1667"/>
      <c r="M31" s="1667"/>
      <c r="N31" s="824"/>
      <c r="O31" s="824"/>
      <c r="P31" s="824"/>
      <c r="Q31" s="824"/>
      <c r="R31" s="2060"/>
      <c r="S31" s="2060"/>
      <c r="U31" s="1510" t="s">
        <v>678</v>
      </c>
    </row>
    <row r="32" spans="1:21" ht="13.9">
      <c r="A32" s="1510" t="str">
        <f t="shared" ref="A32:A67" si="3">IF(OR(MAX(G32:Q32)&gt;0.01,MIN(,G32:Q32)&lt;-0.01),"","n")</f>
        <v>n</v>
      </c>
      <c r="B32" s="1510"/>
      <c r="C32" s="1588" t="s">
        <v>996</v>
      </c>
      <c r="D32" s="512"/>
      <c r="E32" s="512"/>
      <c r="F32" s="218"/>
      <c r="G32" s="1667">
        <f>'PFI Inputs'!G185</f>
        <v>0</v>
      </c>
      <c r="H32" s="1667">
        <f>'PFI Inputs'!H185</f>
        <v>0</v>
      </c>
      <c r="I32" s="1667">
        <f>'PFI Inputs'!I185</f>
        <v>0</v>
      </c>
      <c r="J32" s="1667">
        <f>'PFI Inputs'!J185</f>
        <v>0</v>
      </c>
      <c r="K32" s="1667">
        <f>'PFI Inputs'!K185</f>
        <v>0</v>
      </c>
      <c r="L32" s="1667">
        <f>'PFI Inputs'!L185</f>
        <v>0</v>
      </c>
      <c r="M32" s="1667">
        <f>'PFI Inputs'!M185</f>
        <v>0</v>
      </c>
      <c r="N32" s="824">
        <f>'PFI Inputs'!N185</f>
        <v>0</v>
      </c>
      <c r="O32" s="824">
        <f>'PFI Inputs'!O185</f>
        <v>0</v>
      </c>
      <c r="P32" s="824">
        <f>'PFI Inputs'!P185</f>
        <v>0</v>
      </c>
      <c r="Q32" s="824">
        <f>'PFI Inputs'!Q185</f>
        <v>0</v>
      </c>
      <c r="R32" s="2060"/>
      <c r="S32" s="2060"/>
      <c r="U32" s="1510"/>
    </row>
    <row r="33" spans="1:21" ht="13.9">
      <c r="A33" s="1510" t="str">
        <f t="shared" si="3"/>
        <v>n</v>
      </c>
      <c r="B33" s="1510"/>
      <c r="C33" s="818" t="s">
        <v>1069</v>
      </c>
      <c r="D33" s="304"/>
      <c r="E33" s="304"/>
      <c r="F33" s="218"/>
      <c r="G33" s="1667">
        <f>'PFI Inputs'!G188</f>
        <v>0</v>
      </c>
      <c r="H33" s="1667">
        <f>'PFI Inputs'!H188</f>
        <v>0</v>
      </c>
      <c r="I33" s="1667">
        <f>'PFI Inputs'!I188</f>
        <v>0</v>
      </c>
      <c r="J33" s="1667">
        <f>'PFI Inputs'!J188</f>
        <v>0</v>
      </c>
      <c r="K33" s="1667">
        <f>'PFI Inputs'!K188</f>
        <v>0</v>
      </c>
      <c r="L33" s="1667">
        <f>'PFI Inputs'!L188</f>
        <v>0</v>
      </c>
      <c r="M33" s="1667">
        <f>'PFI Inputs'!M188</f>
        <v>0</v>
      </c>
      <c r="N33" s="824">
        <f>'PFI Inputs'!N188</f>
        <v>0</v>
      </c>
      <c r="O33" s="824">
        <f>'PFI Inputs'!O188</f>
        <v>0</v>
      </c>
      <c r="P33" s="824">
        <f>'PFI Inputs'!P188</f>
        <v>0</v>
      </c>
      <c r="Q33" s="824">
        <f>'PFI Inputs'!Q188</f>
        <v>0</v>
      </c>
      <c r="R33" s="2060"/>
      <c r="S33" s="2060"/>
      <c r="U33" s="1510" t="s">
        <v>678</v>
      </c>
    </row>
    <row r="34" spans="1:21" ht="13.9">
      <c r="A34" s="1510" t="str">
        <f t="shared" si="3"/>
        <v>n</v>
      </c>
      <c r="B34" s="1510"/>
      <c r="C34" s="2089" t="str">
        <f>'PFI Inputs'!C193</f>
        <v>Current liabilities</v>
      </c>
      <c r="D34" s="304"/>
      <c r="E34" s="304"/>
      <c r="F34" s="218"/>
      <c r="G34" s="1667">
        <f>'PFI Inputs'!G193</f>
        <v>0</v>
      </c>
      <c r="H34" s="1667">
        <f>'PFI Inputs'!H193</f>
        <v>0</v>
      </c>
      <c r="I34" s="1667">
        <f>'PFI Inputs'!I193</f>
        <v>0</v>
      </c>
      <c r="J34" s="1667">
        <f>'PFI Inputs'!J193</f>
        <v>0</v>
      </c>
      <c r="K34" s="1667">
        <f>'PFI Inputs'!K193</f>
        <v>0</v>
      </c>
      <c r="L34" s="1667">
        <f>'PFI Inputs'!L193</f>
        <v>0</v>
      </c>
      <c r="M34" s="1667">
        <f>'PFI Inputs'!M193</f>
        <v>0</v>
      </c>
      <c r="N34" s="824">
        <f>'PFI Inputs'!N193</f>
        <v>0</v>
      </c>
      <c r="O34" s="824">
        <f>'PFI Inputs'!O193</f>
        <v>0</v>
      </c>
      <c r="P34" s="824">
        <f>'PFI Inputs'!P193</f>
        <v>0</v>
      </c>
      <c r="Q34" s="824">
        <f>'PFI Inputs'!Q193</f>
        <v>0</v>
      </c>
      <c r="R34" s="2060"/>
      <c r="S34" s="2060"/>
      <c r="U34" s="1510" t="s">
        <v>678</v>
      </c>
    </row>
    <row r="35" spans="1:21" ht="13.9">
      <c r="A35" s="1510" t="str">
        <f t="shared" si="3"/>
        <v>n</v>
      </c>
      <c r="B35" s="1510"/>
      <c r="C35" s="2089" t="str">
        <f>'PFI Inputs'!C198</f>
        <v>Current liabilities 2</v>
      </c>
      <c r="D35" s="304"/>
      <c r="E35" s="304"/>
      <c r="F35" s="218"/>
      <c r="G35" s="1667">
        <f>'PFI Inputs'!G198</f>
        <v>0</v>
      </c>
      <c r="H35" s="1667">
        <f>'PFI Inputs'!H198</f>
        <v>0</v>
      </c>
      <c r="I35" s="1667">
        <f>'PFI Inputs'!I198</f>
        <v>0</v>
      </c>
      <c r="J35" s="1667">
        <f>'PFI Inputs'!J198</f>
        <v>0</v>
      </c>
      <c r="K35" s="1667">
        <f>'PFI Inputs'!K198</f>
        <v>0</v>
      </c>
      <c r="L35" s="1667">
        <f>'PFI Inputs'!L198</f>
        <v>0</v>
      </c>
      <c r="M35" s="1667">
        <f>'PFI Inputs'!M198</f>
        <v>0</v>
      </c>
      <c r="N35" s="824">
        <f>'PFI Inputs'!N198</f>
        <v>0</v>
      </c>
      <c r="O35" s="824">
        <f>'PFI Inputs'!O198</f>
        <v>0</v>
      </c>
      <c r="P35" s="824">
        <f>'PFI Inputs'!P198</f>
        <v>0</v>
      </c>
      <c r="Q35" s="824">
        <f>'PFI Inputs'!Q198</f>
        <v>0</v>
      </c>
      <c r="R35" s="2060"/>
      <c r="S35" s="2060"/>
      <c r="U35" s="1510"/>
    </row>
    <row r="36" spans="1:21" ht="13.9">
      <c r="A36" s="1510" t="str">
        <f t="shared" si="3"/>
        <v>n</v>
      </c>
      <c r="B36" s="1510"/>
      <c r="C36" s="2089" t="str">
        <f>'PFI Inputs'!C203</f>
        <v>Current liabilities 3</v>
      </c>
      <c r="D36" s="304"/>
      <c r="E36" s="304"/>
      <c r="F36" s="218"/>
      <c r="G36" s="1667">
        <f>'PFI Inputs'!G203</f>
        <v>0</v>
      </c>
      <c r="H36" s="1667">
        <f>'PFI Inputs'!H203</f>
        <v>0</v>
      </c>
      <c r="I36" s="1667">
        <f>'PFI Inputs'!I203</f>
        <v>0</v>
      </c>
      <c r="J36" s="1667">
        <f>'PFI Inputs'!J203</f>
        <v>0</v>
      </c>
      <c r="K36" s="1667">
        <f>'PFI Inputs'!K203</f>
        <v>0</v>
      </c>
      <c r="L36" s="1667">
        <f>'PFI Inputs'!L203</f>
        <v>0</v>
      </c>
      <c r="M36" s="1667">
        <f>'PFI Inputs'!M203</f>
        <v>0</v>
      </c>
      <c r="N36" s="824">
        <f>'PFI Inputs'!N203</f>
        <v>0</v>
      </c>
      <c r="O36" s="824">
        <f>'PFI Inputs'!O203</f>
        <v>0</v>
      </c>
      <c r="P36" s="824">
        <f>'PFI Inputs'!P203</f>
        <v>0</v>
      </c>
      <c r="Q36" s="824">
        <f>'PFI Inputs'!Q203</f>
        <v>0</v>
      </c>
      <c r="R36" s="2060"/>
      <c r="S36" s="2060"/>
      <c r="U36" s="1510"/>
    </row>
    <row r="37" spans="1:21" ht="13.9">
      <c r="A37" s="1510" t="str">
        <f t="shared" si="3"/>
        <v>n</v>
      </c>
      <c r="B37" s="1510"/>
      <c r="C37" s="2089" t="str">
        <f>'PFI Inputs'!C208</f>
        <v>Current liabilities 4</v>
      </c>
      <c r="D37" s="304"/>
      <c r="E37" s="304"/>
      <c r="F37" s="218"/>
      <c r="G37" s="1667">
        <f>'PFI Inputs'!G208</f>
        <v>0</v>
      </c>
      <c r="H37" s="1667">
        <f>'PFI Inputs'!H208</f>
        <v>0</v>
      </c>
      <c r="I37" s="1667">
        <f>'PFI Inputs'!I208</f>
        <v>0</v>
      </c>
      <c r="J37" s="1667">
        <f>'PFI Inputs'!J208</f>
        <v>0</v>
      </c>
      <c r="K37" s="1667">
        <f>'PFI Inputs'!K208</f>
        <v>0</v>
      </c>
      <c r="L37" s="1667">
        <f>'PFI Inputs'!L208</f>
        <v>0</v>
      </c>
      <c r="M37" s="1667">
        <f>'PFI Inputs'!M208</f>
        <v>0</v>
      </c>
      <c r="N37" s="824">
        <f>'PFI Inputs'!N208</f>
        <v>0</v>
      </c>
      <c r="O37" s="824">
        <f>'PFI Inputs'!O208</f>
        <v>0</v>
      </c>
      <c r="P37" s="824">
        <f>'PFI Inputs'!P208</f>
        <v>0</v>
      </c>
      <c r="Q37" s="824">
        <f>'PFI Inputs'!Q208</f>
        <v>0</v>
      </c>
      <c r="R37" s="2060"/>
      <c r="S37" s="2060"/>
      <c r="U37" s="1510"/>
    </row>
    <row r="38" spans="1:21" ht="13.9">
      <c r="A38" s="1510" t="str">
        <f t="shared" si="3"/>
        <v>n</v>
      </c>
      <c r="B38" s="1510"/>
      <c r="C38" s="2089" t="str">
        <f>'PFI Inputs'!C213</f>
        <v>Current liabilities 5</v>
      </c>
      <c r="D38" s="304"/>
      <c r="E38" s="304"/>
      <c r="F38" s="218"/>
      <c r="G38" s="1667">
        <f>'PFI Inputs'!G213</f>
        <v>0</v>
      </c>
      <c r="H38" s="1667">
        <f>'PFI Inputs'!H213</f>
        <v>0</v>
      </c>
      <c r="I38" s="1667">
        <f>'PFI Inputs'!I213</f>
        <v>0</v>
      </c>
      <c r="J38" s="1667">
        <f>'PFI Inputs'!J213</f>
        <v>0</v>
      </c>
      <c r="K38" s="1667">
        <f>'PFI Inputs'!K213</f>
        <v>0</v>
      </c>
      <c r="L38" s="1667">
        <f>'PFI Inputs'!L213</f>
        <v>0</v>
      </c>
      <c r="M38" s="1667">
        <f>'PFI Inputs'!M213</f>
        <v>0</v>
      </c>
      <c r="N38" s="824">
        <f>'PFI Inputs'!N213</f>
        <v>0</v>
      </c>
      <c r="O38" s="824">
        <f>'PFI Inputs'!O213</f>
        <v>0</v>
      </c>
      <c r="P38" s="824">
        <f>'PFI Inputs'!P213</f>
        <v>0</v>
      </c>
      <c r="Q38" s="824">
        <f>'PFI Inputs'!Q213</f>
        <v>0</v>
      </c>
      <c r="R38" s="2060"/>
      <c r="S38" s="2060"/>
      <c r="U38" s="1510"/>
    </row>
    <row r="39" spans="1:21" ht="13.9">
      <c r="A39" s="1510" t="str">
        <f t="shared" si="3"/>
        <v>n</v>
      </c>
      <c r="B39" s="1510"/>
      <c r="C39" s="818" t="s">
        <v>1002</v>
      </c>
      <c r="D39" s="304"/>
      <c r="E39" s="304"/>
      <c r="F39" s="218"/>
      <c r="G39" s="1667">
        <f>'PFI Inputs'!G218</f>
        <v>0</v>
      </c>
      <c r="H39" s="1667">
        <f>'PFI Inputs'!H218</f>
        <v>0</v>
      </c>
      <c r="I39" s="1667">
        <f>'PFI Inputs'!I218</f>
        <v>0</v>
      </c>
      <c r="J39" s="1667">
        <f>'PFI Inputs'!J218</f>
        <v>0</v>
      </c>
      <c r="K39" s="1667">
        <f>'PFI Inputs'!K218</f>
        <v>0</v>
      </c>
      <c r="L39" s="1667">
        <f>'PFI Inputs'!L218</f>
        <v>0</v>
      </c>
      <c r="M39" s="1667">
        <f>'PFI Inputs'!M218</f>
        <v>0</v>
      </c>
      <c r="N39" s="824">
        <f>'PFI Inputs'!N218</f>
        <v>0</v>
      </c>
      <c r="O39" s="824">
        <f>'PFI Inputs'!O218</f>
        <v>0</v>
      </c>
      <c r="P39" s="824">
        <f>'PFI Inputs'!P218</f>
        <v>0</v>
      </c>
      <c r="Q39" s="824">
        <f>'PFI Inputs'!Q218</f>
        <v>0</v>
      </c>
      <c r="R39" s="2060"/>
      <c r="S39" s="2060"/>
      <c r="U39" s="1510" t="s">
        <v>678</v>
      </c>
    </row>
    <row r="40" spans="1:21" ht="13.9">
      <c r="A40" s="1510" t="str">
        <f t="shared" si="3"/>
        <v>n</v>
      </c>
      <c r="B40" s="1510"/>
      <c r="C40" s="818" t="s">
        <v>1004</v>
      </c>
      <c r="D40" s="304"/>
      <c r="E40" s="304"/>
      <c r="F40" s="218"/>
      <c r="G40" s="1667">
        <f>'PFI Inputs'!G222</f>
        <v>0</v>
      </c>
      <c r="H40" s="1667">
        <f>'PFI Inputs'!H222</f>
        <v>0</v>
      </c>
      <c r="I40" s="1667">
        <f>'PFI Inputs'!I222</f>
        <v>0</v>
      </c>
      <c r="J40" s="1667">
        <f>'PFI Inputs'!J222</f>
        <v>0</v>
      </c>
      <c r="K40" s="1667">
        <f>'PFI Inputs'!K222</f>
        <v>0</v>
      </c>
      <c r="L40" s="1667">
        <f>'PFI Inputs'!L222</f>
        <v>0</v>
      </c>
      <c r="M40" s="1667">
        <f>'PFI Inputs'!M222</f>
        <v>0</v>
      </c>
      <c r="N40" s="824">
        <f>'PFI Inputs'!N222</f>
        <v>0</v>
      </c>
      <c r="O40" s="824">
        <f>'PFI Inputs'!O222</f>
        <v>0</v>
      </c>
      <c r="P40" s="824">
        <f>'PFI Inputs'!P222</f>
        <v>0</v>
      </c>
      <c r="Q40" s="824">
        <f>'PFI Inputs'!Q222</f>
        <v>0</v>
      </c>
      <c r="R40" s="2060"/>
      <c r="S40" s="2060"/>
      <c r="U40" s="1510" t="s">
        <v>678</v>
      </c>
    </row>
    <row r="41" spans="1:21" ht="13.9">
      <c r="A41" s="1510" t="str">
        <f t="shared" si="3"/>
        <v>n</v>
      </c>
      <c r="B41" s="1510"/>
      <c r="C41" s="845" t="s">
        <v>997</v>
      </c>
      <c r="D41" s="402"/>
      <c r="E41" s="402"/>
      <c r="F41" s="530"/>
      <c r="G41" s="455">
        <f t="shared" ref="G41:Q41" si="4">SUM(G32:G40)</f>
        <v>0</v>
      </c>
      <c r="H41" s="455">
        <f t="shared" si="4"/>
        <v>0</v>
      </c>
      <c r="I41" s="455">
        <f t="shared" si="4"/>
        <v>0</v>
      </c>
      <c r="J41" s="455">
        <f t="shared" si="4"/>
        <v>0</v>
      </c>
      <c r="K41" s="455">
        <f t="shared" si="4"/>
        <v>0</v>
      </c>
      <c r="L41" s="455">
        <f t="shared" si="4"/>
        <v>0</v>
      </c>
      <c r="M41" s="455">
        <f t="shared" si="4"/>
        <v>0</v>
      </c>
      <c r="N41" s="455">
        <f t="shared" si="4"/>
        <v>0</v>
      </c>
      <c r="O41" s="455">
        <f t="shared" si="4"/>
        <v>0</v>
      </c>
      <c r="P41" s="455">
        <f t="shared" si="4"/>
        <v>0</v>
      </c>
      <c r="Q41" s="455">
        <f t="shared" si="4"/>
        <v>0</v>
      </c>
      <c r="R41" s="2060"/>
      <c r="S41" s="2060"/>
      <c r="U41" s="1510" t="s">
        <v>678</v>
      </c>
    </row>
    <row r="42" spans="1:21" ht="13.9">
      <c r="A42" s="1510" t="str">
        <f t="shared" si="3"/>
        <v>n</v>
      </c>
      <c r="B42" s="1510"/>
      <c r="C42" s="1872" t="str">
        <f>'PFI Inputs'!C227</f>
        <v>Long-term debt 1</v>
      </c>
      <c r="D42" s="304"/>
      <c r="E42" s="304"/>
      <c r="F42" s="218"/>
      <c r="G42" s="1667">
        <f>'PFI Inputs'!G227</f>
        <v>0</v>
      </c>
      <c r="H42" s="1667">
        <f>'PFI Inputs'!H227</f>
        <v>0</v>
      </c>
      <c r="I42" s="1667">
        <f>'PFI Inputs'!I227</f>
        <v>0</v>
      </c>
      <c r="J42" s="1667">
        <f>'PFI Inputs'!J227</f>
        <v>0</v>
      </c>
      <c r="K42" s="1667">
        <f>'PFI Inputs'!K227</f>
        <v>0</v>
      </c>
      <c r="L42" s="1667">
        <f>'PFI Inputs'!L227</f>
        <v>0</v>
      </c>
      <c r="M42" s="1667">
        <f>'PFI Inputs'!M227</f>
        <v>0</v>
      </c>
      <c r="N42" s="824">
        <f>'PFI Inputs'!N227</f>
        <v>0</v>
      </c>
      <c r="O42" s="824">
        <f>'PFI Inputs'!O227</f>
        <v>0</v>
      </c>
      <c r="P42" s="824">
        <f>'PFI Inputs'!P227</f>
        <v>0</v>
      </c>
      <c r="Q42" s="824">
        <f>'PFI Inputs'!Q227</f>
        <v>0</v>
      </c>
      <c r="R42" s="2060"/>
      <c r="S42" s="2060"/>
      <c r="U42" s="1510" t="s">
        <v>678</v>
      </c>
    </row>
    <row r="43" spans="1:21" ht="13.9">
      <c r="A43" s="1510" t="str">
        <f t="shared" si="3"/>
        <v>n</v>
      </c>
      <c r="B43" s="1510"/>
      <c r="C43" s="1872" t="str">
        <f>'PFI Inputs'!C234</f>
        <v>Long-term debt 2</v>
      </c>
      <c r="D43" s="304"/>
      <c r="E43" s="304"/>
      <c r="F43" s="218"/>
      <c r="G43" s="1667">
        <f>'PFI Inputs'!G234</f>
        <v>0</v>
      </c>
      <c r="H43" s="1667">
        <f>'PFI Inputs'!H234</f>
        <v>0</v>
      </c>
      <c r="I43" s="1667">
        <f>'PFI Inputs'!I234</f>
        <v>0</v>
      </c>
      <c r="J43" s="1667">
        <f>'PFI Inputs'!J234</f>
        <v>0</v>
      </c>
      <c r="K43" s="1667">
        <f>'PFI Inputs'!K234</f>
        <v>0</v>
      </c>
      <c r="L43" s="1667">
        <f>'PFI Inputs'!L234</f>
        <v>0</v>
      </c>
      <c r="M43" s="1667">
        <f>'PFI Inputs'!M234</f>
        <v>0</v>
      </c>
      <c r="N43" s="824">
        <f>'PFI Inputs'!N234</f>
        <v>0</v>
      </c>
      <c r="O43" s="824">
        <f>'PFI Inputs'!O234</f>
        <v>0</v>
      </c>
      <c r="P43" s="824">
        <f>'PFI Inputs'!P234</f>
        <v>0</v>
      </c>
      <c r="Q43" s="824">
        <f>'PFI Inputs'!Q234</f>
        <v>0</v>
      </c>
      <c r="R43" s="2060"/>
      <c r="S43" s="2060"/>
      <c r="U43" s="1510"/>
    </row>
    <row r="44" spans="1:21" ht="13.9">
      <c r="A44" s="1510" t="str">
        <f t="shared" si="3"/>
        <v>n</v>
      </c>
      <c r="B44" s="1510"/>
      <c r="C44" s="1872" t="str">
        <f>'PFI Inputs'!C241</f>
        <v>Long-term debt 3</v>
      </c>
      <c r="D44" s="304"/>
      <c r="E44" s="304"/>
      <c r="F44" s="218"/>
      <c r="G44" s="1667">
        <f>'PFI Inputs'!G241</f>
        <v>0</v>
      </c>
      <c r="H44" s="1667">
        <f>'PFI Inputs'!H241</f>
        <v>0</v>
      </c>
      <c r="I44" s="1667">
        <f>'PFI Inputs'!I241</f>
        <v>0</v>
      </c>
      <c r="J44" s="1667">
        <f>'PFI Inputs'!J241</f>
        <v>0</v>
      </c>
      <c r="K44" s="1667">
        <f>'PFI Inputs'!K241</f>
        <v>0</v>
      </c>
      <c r="L44" s="1667">
        <f>'PFI Inputs'!L241</f>
        <v>0</v>
      </c>
      <c r="M44" s="1667">
        <f>'PFI Inputs'!M241</f>
        <v>0</v>
      </c>
      <c r="N44" s="824">
        <f>'PFI Inputs'!N241</f>
        <v>0</v>
      </c>
      <c r="O44" s="824">
        <f>'PFI Inputs'!O241</f>
        <v>0</v>
      </c>
      <c r="P44" s="824">
        <f>'PFI Inputs'!P241</f>
        <v>0</v>
      </c>
      <c r="Q44" s="824">
        <f>'PFI Inputs'!Q241</f>
        <v>0</v>
      </c>
      <c r="R44" s="2060"/>
      <c r="S44" s="2060"/>
      <c r="U44" s="1510"/>
    </row>
    <row r="45" spans="1:21" ht="13.9">
      <c r="A45" s="1510" t="str">
        <f t="shared" si="3"/>
        <v>n</v>
      </c>
      <c r="B45" s="1510"/>
      <c r="C45" s="1362" t="s">
        <v>1012</v>
      </c>
      <c r="D45" s="304"/>
      <c r="E45" s="304"/>
      <c r="F45" s="218"/>
      <c r="G45" s="1667">
        <f>'PFI Inputs'!G248</f>
        <v>0</v>
      </c>
      <c r="H45" s="1667">
        <f>'PFI Inputs'!H248</f>
        <v>0</v>
      </c>
      <c r="I45" s="1667">
        <f>'PFI Inputs'!I248</f>
        <v>0</v>
      </c>
      <c r="J45" s="1667">
        <f>'PFI Inputs'!J248</f>
        <v>0</v>
      </c>
      <c r="K45" s="1667">
        <f>'PFI Inputs'!K248</f>
        <v>0</v>
      </c>
      <c r="L45" s="1667">
        <f>'PFI Inputs'!L248</f>
        <v>0</v>
      </c>
      <c r="M45" s="1667">
        <f>'PFI Inputs'!M248</f>
        <v>0</v>
      </c>
      <c r="N45" s="824">
        <f>'PFI Inputs'!N248</f>
        <v>0</v>
      </c>
      <c r="O45" s="824">
        <f>'PFI Inputs'!O248</f>
        <v>0</v>
      </c>
      <c r="P45" s="824">
        <f>'PFI Inputs'!P248</f>
        <v>0</v>
      </c>
      <c r="Q45" s="824">
        <f>'PFI Inputs'!Q248</f>
        <v>0</v>
      </c>
      <c r="R45" s="2060"/>
      <c r="S45" s="2060"/>
      <c r="U45" s="1510"/>
    </row>
    <row r="46" spans="1:21" ht="13.9">
      <c r="A46" s="1510" t="str">
        <f t="shared" si="3"/>
        <v>n</v>
      </c>
      <c r="B46" s="1510"/>
      <c r="C46" s="1362" t="s">
        <v>423</v>
      </c>
      <c r="D46" s="304"/>
      <c r="E46" s="304"/>
      <c r="F46" s="218"/>
      <c r="G46" s="1667">
        <f>'PFI Inputs'!G252</f>
        <v>0</v>
      </c>
      <c r="H46" s="1667">
        <f>'PFI Inputs'!H252</f>
        <v>0</v>
      </c>
      <c r="I46" s="1667">
        <f>'PFI Inputs'!I252</f>
        <v>0</v>
      </c>
      <c r="J46" s="1667">
        <f>'PFI Inputs'!J252</f>
        <v>0</v>
      </c>
      <c r="K46" s="1667">
        <f>'PFI Inputs'!K252</f>
        <v>0</v>
      </c>
      <c r="L46" s="1667">
        <f>'PFI Inputs'!L252</f>
        <v>0</v>
      </c>
      <c r="M46" s="1667">
        <f>'PFI Inputs'!M252</f>
        <v>0</v>
      </c>
      <c r="N46" s="824">
        <f>'PFI Inputs'!N252</f>
        <v>0</v>
      </c>
      <c r="O46" s="824">
        <f>'PFI Inputs'!O252</f>
        <v>0</v>
      </c>
      <c r="P46" s="824">
        <f>'PFI Inputs'!P252</f>
        <v>0</v>
      </c>
      <c r="Q46" s="824">
        <f>'PFI Inputs'!Q252</f>
        <v>0</v>
      </c>
      <c r="R46" s="2060"/>
      <c r="S46" s="2060"/>
      <c r="U46" s="1510"/>
    </row>
    <row r="47" spans="1:21" ht="13.9">
      <c r="A47" s="1510" t="str">
        <f t="shared" si="3"/>
        <v>n</v>
      </c>
      <c r="B47" s="1510"/>
      <c r="C47" s="1872" t="str">
        <f>'PFI Inputs'!C256</f>
        <v>Long-term liabilities</v>
      </c>
      <c r="D47" s="1531"/>
      <c r="E47" s="1531"/>
      <c r="F47" s="531"/>
      <c r="G47" s="1667">
        <f>'PFI Inputs'!G256</f>
        <v>0</v>
      </c>
      <c r="H47" s="1667">
        <f>'PFI Inputs'!H256</f>
        <v>0</v>
      </c>
      <c r="I47" s="1667">
        <f>'PFI Inputs'!I256</f>
        <v>0</v>
      </c>
      <c r="J47" s="1667">
        <f>'PFI Inputs'!J256</f>
        <v>0</v>
      </c>
      <c r="K47" s="1667">
        <f>'PFI Inputs'!K256</f>
        <v>0</v>
      </c>
      <c r="L47" s="1667">
        <f>'PFI Inputs'!L256</f>
        <v>0</v>
      </c>
      <c r="M47" s="1667">
        <f>'PFI Inputs'!M256</f>
        <v>0</v>
      </c>
      <c r="N47" s="824">
        <f>'PFI Inputs'!N256</f>
        <v>0</v>
      </c>
      <c r="O47" s="824">
        <f>'PFI Inputs'!O256</f>
        <v>0</v>
      </c>
      <c r="P47" s="824">
        <f>'PFI Inputs'!P256</f>
        <v>0</v>
      </c>
      <c r="Q47" s="824">
        <f>'PFI Inputs'!Q256</f>
        <v>0</v>
      </c>
      <c r="R47" s="2060"/>
      <c r="S47" s="2060"/>
      <c r="U47" s="1510" t="s">
        <v>678</v>
      </c>
    </row>
    <row r="48" spans="1:21" ht="13.9">
      <c r="A48" s="1510" t="str">
        <f t="shared" si="3"/>
        <v>n</v>
      </c>
      <c r="B48" s="1510"/>
      <c r="C48" s="1872" t="str">
        <f>'PFI Inputs'!C261</f>
        <v>Long-term liabilities 2</v>
      </c>
      <c r="D48" s="1531"/>
      <c r="E48" s="1531"/>
      <c r="F48" s="531"/>
      <c r="G48" s="1667">
        <f>'PFI Inputs'!G261</f>
        <v>0</v>
      </c>
      <c r="H48" s="1667">
        <f>'PFI Inputs'!H261</f>
        <v>0</v>
      </c>
      <c r="I48" s="1667">
        <f>'PFI Inputs'!I261</f>
        <v>0</v>
      </c>
      <c r="J48" s="1667">
        <f>'PFI Inputs'!J261</f>
        <v>0</v>
      </c>
      <c r="K48" s="1667">
        <f>'PFI Inputs'!K261</f>
        <v>0</v>
      </c>
      <c r="L48" s="1667">
        <f>'PFI Inputs'!L261</f>
        <v>0</v>
      </c>
      <c r="M48" s="1667">
        <f>'PFI Inputs'!M261</f>
        <v>0</v>
      </c>
      <c r="N48" s="824">
        <f>'PFI Inputs'!N261</f>
        <v>0</v>
      </c>
      <c r="O48" s="824">
        <f>'PFI Inputs'!O261</f>
        <v>0</v>
      </c>
      <c r="P48" s="824">
        <f>'PFI Inputs'!P261</f>
        <v>0</v>
      </c>
      <c r="Q48" s="824">
        <f>'PFI Inputs'!Q261</f>
        <v>0</v>
      </c>
      <c r="R48" s="2060"/>
      <c r="S48" s="2060"/>
      <c r="U48" s="1510"/>
    </row>
    <row r="49" spans="1:21" ht="13.9">
      <c r="A49" s="1510" t="str">
        <f t="shared" si="3"/>
        <v>n</v>
      </c>
      <c r="B49" s="1510"/>
      <c r="C49" s="1872" t="str">
        <f>'PFI Inputs'!C266</f>
        <v>Long-term liabilities 3</v>
      </c>
      <c r="D49" s="1531"/>
      <c r="E49" s="1531"/>
      <c r="F49" s="531"/>
      <c r="G49" s="1667">
        <f>'PFI Inputs'!G266</f>
        <v>0</v>
      </c>
      <c r="H49" s="1667">
        <f>'PFI Inputs'!H266</f>
        <v>0</v>
      </c>
      <c r="I49" s="1667">
        <f>'PFI Inputs'!I266</f>
        <v>0</v>
      </c>
      <c r="J49" s="1667">
        <f>'PFI Inputs'!J266</f>
        <v>0</v>
      </c>
      <c r="K49" s="1667">
        <f>'PFI Inputs'!K266</f>
        <v>0</v>
      </c>
      <c r="L49" s="1667">
        <f>'PFI Inputs'!L266</f>
        <v>0</v>
      </c>
      <c r="M49" s="1667">
        <f>'PFI Inputs'!M266</f>
        <v>0</v>
      </c>
      <c r="N49" s="824">
        <f>'PFI Inputs'!N266</f>
        <v>0</v>
      </c>
      <c r="O49" s="824">
        <f>'PFI Inputs'!O266</f>
        <v>0</v>
      </c>
      <c r="P49" s="824">
        <f>'PFI Inputs'!P266</f>
        <v>0</v>
      </c>
      <c r="Q49" s="824">
        <f>'PFI Inputs'!Q266</f>
        <v>0</v>
      </c>
      <c r="R49" s="2060"/>
      <c r="S49" s="2060"/>
      <c r="U49" s="1510"/>
    </row>
    <row r="50" spans="1:21" ht="13.9">
      <c r="A50" s="1510" t="str">
        <f t="shared" si="3"/>
        <v>n</v>
      </c>
      <c r="B50" s="1510"/>
      <c r="C50" s="1872" t="str">
        <f>'PFI Inputs'!C271</f>
        <v>Long-term liabilities 4</v>
      </c>
      <c r="D50" s="1531"/>
      <c r="E50" s="1531"/>
      <c r="F50" s="531"/>
      <c r="G50" s="1667">
        <f>'PFI Inputs'!G271</f>
        <v>0</v>
      </c>
      <c r="H50" s="1667">
        <f>'PFI Inputs'!H271</f>
        <v>0</v>
      </c>
      <c r="I50" s="1667">
        <f>'PFI Inputs'!I271</f>
        <v>0</v>
      </c>
      <c r="J50" s="1667">
        <f>'PFI Inputs'!J271</f>
        <v>0</v>
      </c>
      <c r="K50" s="1667">
        <f>'PFI Inputs'!K271</f>
        <v>0</v>
      </c>
      <c r="L50" s="1667">
        <f>'PFI Inputs'!L271</f>
        <v>0</v>
      </c>
      <c r="M50" s="1667">
        <f>'PFI Inputs'!M271</f>
        <v>0</v>
      </c>
      <c r="N50" s="824">
        <f>'PFI Inputs'!N271</f>
        <v>0</v>
      </c>
      <c r="O50" s="824">
        <f>'PFI Inputs'!O271</f>
        <v>0</v>
      </c>
      <c r="P50" s="824">
        <f>'PFI Inputs'!P271</f>
        <v>0</v>
      </c>
      <c r="Q50" s="824">
        <f>'PFI Inputs'!Q271</f>
        <v>0</v>
      </c>
      <c r="R50" s="2060"/>
      <c r="S50" s="2060"/>
      <c r="U50" s="1510"/>
    </row>
    <row r="51" spans="1:21" ht="13.9">
      <c r="A51" s="1510" t="str">
        <f t="shared" si="3"/>
        <v>n</v>
      </c>
      <c r="B51" s="1510"/>
      <c r="C51" s="1872" t="str">
        <f>'PFI Inputs'!C276</f>
        <v>Long-term liabilities 5</v>
      </c>
      <c r="D51" s="1531"/>
      <c r="E51" s="1531"/>
      <c r="F51" s="531"/>
      <c r="G51" s="1667">
        <f>'PFI Inputs'!G276</f>
        <v>0</v>
      </c>
      <c r="H51" s="1667">
        <f>'PFI Inputs'!H276</f>
        <v>0</v>
      </c>
      <c r="I51" s="1667">
        <f>'PFI Inputs'!I276</f>
        <v>0</v>
      </c>
      <c r="J51" s="1667">
        <f>'PFI Inputs'!J276</f>
        <v>0</v>
      </c>
      <c r="K51" s="1667">
        <f>'PFI Inputs'!K276</f>
        <v>0</v>
      </c>
      <c r="L51" s="1667">
        <f>'PFI Inputs'!L276</f>
        <v>0</v>
      </c>
      <c r="M51" s="1667">
        <f>'PFI Inputs'!M276</f>
        <v>0</v>
      </c>
      <c r="N51" s="824">
        <f>'PFI Inputs'!N276</f>
        <v>0</v>
      </c>
      <c r="O51" s="824">
        <f>'PFI Inputs'!O276</f>
        <v>0</v>
      </c>
      <c r="P51" s="824">
        <f>'PFI Inputs'!P276</f>
        <v>0</v>
      </c>
      <c r="Q51" s="824">
        <f>'PFI Inputs'!Q276</f>
        <v>0</v>
      </c>
      <c r="R51" s="2060"/>
      <c r="S51" s="2060"/>
      <c r="U51" s="1510"/>
    </row>
    <row r="52" spans="1:21" ht="13.9">
      <c r="A52" s="1510" t="str">
        <f t="shared" si="3"/>
        <v>n</v>
      </c>
      <c r="B52" s="1510"/>
      <c r="C52" s="845" t="s">
        <v>1019</v>
      </c>
      <c r="D52" s="402"/>
      <c r="E52" s="402"/>
      <c r="F52" s="530"/>
      <c r="G52" s="456">
        <f t="shared" ref="G52:L52" si="5">SUM(G41:G51)</f>
        <v>0</v>
      </c>
      <c r="H52" s="456">
        <f t="shared" si="5"/>
        <v>0</v>
      </c>
      <c r="I52" s="456">
        <f t="shared" si="5"/>
        <v>0</v>
      </c>
      <c r="J52" s="456">
        <f t="shared" si="5"/>
        <v>0</v>
      </c>
      <c r="K52" s="456">
        <f t="shared" si="5"/>
        <v>0</v>
      </c>
      <c r="L52" s="456">
        <f t="shared" si="5"/>
        <v>0</v>
      </c>
      <c r="M52" s="456">
        <f>SUM(M41:M51)</f>
        <v>0</v>
      </c>
      <c r="N52" s="456">
        <f>SUM(N41:N51)</f>
        <v>0</v>
      </c>
      <c r="O52" s="456">
        <f>SUM(O41:O51)</f>
        <v>0</v>
      </c>
      <c r="P52" s="456">
        <f>SUM(P41:P51)</f>
        <v>0</v>
      </c>
      <c r="Q52" s="456">
        <f>SUM(Q41:Q51)</f>
        <v>0</v>
      </c>
      <c r="R52" s="2060"/>
      <c r="S52" s="2060"/>
      <c r="U52" s="1510" t="s">
        <v>678</v>
      </c>
    </row>
    <row r="53" spans="1:21" ht="13.9">
      <c r="A53" s="1510"/>
      <c r="B53" s="1510"/>
      <c r="C53" s="319"/>
      <c r="D53" s="319"/>
      <c r="E53" s="319"/>
      <c r="F53" s="218"/>
      <c r="G53" s="310"/>
      <c r="H53" s="310"/>
      <c r="I53" s="310"/>
      <c r="J53" s="310"/>
      <c r="K53" s="310"/>
      <c r="L53" s="310"/>
      <c r="M53" s="310"/>
      <c r="N53" s="310"/>
      <c r="O53" s="310"/>
      <c r="P53" s="310"/>
      <c r="Q53" s="310"/>
      <c r="R53" s="2060"/>
      <c r="S53" s="2060"/>
      <c r="U53" s="1510" t="s">
        <v>678</v>
      </c>
    </row>
    <row r="54" spans="1:21" ht="13.9">
      <c r="A54" s="1510" t="str">
        <f t="shared" si="3"/>
        <v>n</v>
      </c>
      <c r="B54" s="1510"/>
      <c r="C54" s="319" t="s">
        <v>921</v>
      </c>
      <c r="D54" s="319"/>
      <c r="E54" s="319"/>
      <c r="F54" s="218"/>
      <c r="G54" s="1667">
        <f>'PFI Inputs'!G282</f>
        <v>0</v>
      </c>
      <c r="H54" s="1667">
        <f>'PFI Inputs'!H282</f>
        <v>0</v>
      </c>
      <c r="I54" s="1667">
        <f>'PFI Inputs'!I282</f>
        <v>0</v>
      </c>
      <c r="J54" s="1667">
        <f>'PFI Inputs'!J282</f>
        <v>0</v>
      </c>
      <c r="K54" s="1667">
        <f>'PFI Inputs'!K282</f>
        <v>0</v>
      </c>
      <c r="L54" s="1667">
        <f>'PFI Inputs'!L282</f>
        <v>0</v>
      </c>
      <c r="M54" s="1667">
        <f>'PFI Inputs'!M282</f>
        <v>0</v>
      </c>
      <c r="N54" s="824">
        <f>'PFI Inputs'!N282</f>
        <v>0</v>
      </c>
      <c r="O54" s="824">
        <f>'PFI Inputs'!O282</f>
        <v>0</v>
      </c>
      <c r="P54" s="824">
        <f>'PFI Inputs'!P282</f>
        <v>0</v>
      </c>
      <c r="Q54" s="824">
        <f>'PFI Inputs'!Q282</f>
        <v>0</v>
      </c>
      <c r="R54" s="2060"/>
      <c r="S54" s="2060"/>
      <c r="U54" s="1510" t="s">
        <v>678</v>
      </c>
    </row>
    <row r="55" spans="1:21" ht="13.9">
      <c r="A55" s="1510" t="str">
        <f>A54</f>
        <v>n</v>
      </c>
      <c r="B55" s="1510"/>
      <c r="C55" s="319"/>
      <c r="D55" s="319"/>
      <c r="E55" s="319"/>
      <c r="F55" s="218"/>
      <c r="G55" s="1667"/>
      <c r="H55" s="1667"/>
      <c r="I55" s="1667"/>
      <c r="J55" s="1667"/>
      <c r="K55" s="1667"/>
      <c r="L55" s="1667"/>
      <c r="M55" s="1667"/>
      <c r="N55" s="310"/>
      <c r="O55" s="310"/>
      <c r="P55" s="310"/>
      <c r="Q55" s="310"/>
      <c r="R55" s="2060"/>
      <c r="S55" s="2060"/>
      <c r="U55" s="1510" t="s">
        <v>678</v>
      </c>
    </row>
    <row r="56" spans="1:21" ht="13.9">
      <c r="A56" s="1510" t="str">
        <f t="shared" ca="1" si="3"/>
        <v>n</v>
      </c>
      <c r="B56" s="1510"/>
      <c r="C56" s="1302" t="s">
        <v>826</v>
      </c>
      <c r="D56" s="1303"/>
      <c r="E56" s="1303"/>
      <c r="F56" s="1308"/>
      <c r="G56" s="1812">
        <f ca="1">'PFI Inputs'!G285</f>
        <v>0</v>
      </c>
      <c r="H56" s="1812">
        <f ca="1">'PFI Inputs'!H285</f>
        <v>0</v>
      </c>
      <c r="I56" s="1812">
        <f ca="1">'PFI Inputs'!I285</f>
        <v>0</v>
      </c>
      <c r="J56" s="1812">
        <f ca="1">'PFI Inputs'!J285</f>
        <v>0</v>
      </c>
      <c r="K56" s="1812">
        <f ca="1">'PFI Inputs'!K285</f>
        <v>0</v>
      </c>
      <c r="L56" s="1812">
        <f ca="1">'PFI Inputs'!L285</f>
        <v>0</v>
      </c>
      <c r="M56" s="1812">
        <f ca="1">'PFI Inputs'!M285</f>
        <v>0</v>
      </c>
      <c r="N56" s="1309">
        <f ca="1">'PFI Inputs'!N285</f>
        <v>0</v>
      </c>
      <c r="O56" s="1309">
        <f ca="1">'PFI Inputs'!O285</f>
        <v>0</v>
      </c>
      <c r="P56" s="1309">
        <f ca="1">'PFI Inputs'!P285</f>
        <v>0</v>
      </c>
      <c r="Q56" s="1309">
        <f ca="1">'PFI Inputs'!Q285</f>
        <v>0</v>
      </c>
      <c r="R56" s="2060"/>
      <c r="S56" s="2060"/>
      <c r="U56" s="1510" t="s">
        <v>678</v>
      </c>
    </row>
    <row r="57" spans="1:21" ht="13.9">
      <c r="A57" s="1510" t="str">
        <f t="shared" ca="1" si="3"/>
        <v>n</v>
      </c>
      <c r="B57" s="1510"/>
      <c r="C57" s="1304" t="s">
        <v>1020</v>
      </c>
      <c r="D57" s="1305"/>
      <c r="E57" s="1305"/>
      <c r="F57" s="1306"/>
      <c r="G57" s="1307">
        <f t="shared" ref="G57:L57" ca="1" si="6">G52+G54+G56</f>
        <v>0</v>
      </c>
      <c r="H57" s="1307">
        <f t="shared" ca="1" si="6"/>
        <v>0</v>
      </c>
      <c r="I57" s="1307">
        <f t="shared" ca="1" si="6"/>
        <v>0</v>
      </c>
      <c r="J57" s="1307">
        <f t="shared" ca="1" si="6"/>
        <v>0</v>
      </c>
      <c r="K57" s="1307">
        <f t="shared" ca="1" si="6"/>
        <v>0</v>
      </c>
      <c r="L57" s="1307">
        <f t="shared" ca="1" si="6"/>
        <v>0</v>
      </c>
      <c r="M57" s="1307">
        <f ca="1">M52+M54+M56</f>
        <v>0</v>
      </c>
      <c r="N57" s="1307">
        <f ca="1">N52+N54+N56</f>
        <v>0</v>
      </c>
      <c r="O57" s="1307">
        <f ca="1">O52+O54+O56</f>
        <v>0</v>
      </c>
      <c r="P57" s="1307">
        <f ca="1">P52+P54+P56</f>
        <v>0</v>
      </c>
      <c r="Q57" s="1307">
        <f ca="1">Q52+Q54+Q56</f>
        <v>0</v>
      </c>
      <c r="R57" s="2060"/>
      <c r="S57" s="2060"/>
      <c r="U57" s="1510" t="s">
        <v>678</v>
      </c>
    </row>
    <row r="58" spans="1:21" ht="13.9">
      <c r="A58" s="1510"/>
      <c r="B58" s="1510"/>
      <c r="C58" s="332"/>
      <c r="F58" s="531"/>
      <c r="G58" s="1582"/>
      <c r="H58" s="1535"/>
      <c r="I58" s="1535"/>
      <c r="J58" s="1535"/>
      <c r="K58" s="1535"/>
      <c r="L58" s="1535"/>
      <c r="M58" s="1535"/>
      <c r="N58" s="1535"/>
      <c r="O58" s="1535"/>
      <c r="P58" s="1535"/>
      <c r="Q58" s="1535"/>
      <c r="R58" s="2060"/>
      <c r="S58" s="2060"/>
      <c r="U58" s="1510" t="s">
        <v>678</v>
      </c>
    </row>
    <row r="59" spans="1:21" ht="13.9">
      <c r="A59" s="1510" t="str">
        <f t="shared" ca="1" si="3"/>
        <v>n</v>
      </c>
      <c r="B59" s="1510"/>
      <c r="C59" s="323" t="s">
        <v>1080</v>
      </c>
      <c r="D59" s="323"/>
      <c r="E59" s="323"/>
      <c r="F59" s="532"/>
      <c r="G59" s="823" t="str">
        <f t="shared" ref="G59:Q59" ca="1" si="7">IF(G9="","-",IF(ROUND(G57-G29,0)=0,Pass,Fail))</f>
        <v>OK</v>
      </c>
      <c r="H59" s="823" t="str">
        <f t="shared" ca="1" si="7"/>
        <v>OK</v>
      </c>
      <c r="I59" s="823" t="str">
        <f t="shared" ca="1" si="7"/>
        <v>OK</v>
      </c>
      <c r="J59" s="823" t="str">
        <f t="shared" ca="1" si="7"/>
        <v>OK</v>
      </c>
      <c r="K59" s="823" t="str">
        <f t="shared" ca="1" si="7"/>
        <v>OK</v>
      </c>
      <c r="L59" s="823" t="str">
        <f t="shared" ca="1" si="7"/>
        <v>OK</v>
      </c>
      <c r="M59" s="823" t="str">
        <f t="shared" ca="1" si="7"/>
        <v>OK</v>
      </c>
      <c r="N59" s="823" t="str">
        <f t="shared" ca="1" si="7"/>
        <v>OK</v>
      </c>
      <c r="O59" s="823" t="str">
        <f t="shared" si="7"/>
        <v>-</v>
      </c>
      <c r="P59" s="823" t="str">
        <f t="shared" si="7"/>
        <v>-</v>
      </c>
      <c r="Q59" s="823" t="str">
        <f t="shared" si="7"/>
        <v>-</v>
      </c>
      <c r="R59" s="2060"/>
      <c r="S59" s="2060"/>
      <c r="U59" s="1510" t="s">
        <v>678</v>
      </c>
    </row>
    <row r="60" spans="1:21" ht="13.9">
      <c r="A60" s="1510"/>
      <c r="B60" s="1510"/>
      <c r="C60" s="1310"/>
      <c r="D60" s="1310"/>
      <c r="E60" s="1310"/>
      <c r="F60" s="1306"/>
      <c r="G60" s="1311"/>
      <c r="H60" s="1312"/>
      <c r="I60" s="1312"/>
      <c r="J60" s="1312"/>
      <c r="K60" s="1312"/>
      <c r="L60" s="1312"/>
      <c r="M60" s="1312"/>
      <c r="N60" s="1312"/>
      <c r="O60" s="1312"/>
      <c r="P60" s="1312"/>
      <c r="Q60" s="1312"/>
      <c r="R60" s="2060"/>
      <c r="S60" s="2060"/>
      <c r="U60" s="1510" t="s">
        <v>678</v>
      </c>
    </row>
    <row r="61" spans="1:21" ht="13.9">
      <c r="A61" s="1510" t="str">
        <f t="shared" si="3"/>
        <v>n</v>
      </c>
      <c r="B61" s="1510"/>
      <c r="C61" s="1539" t="s">
        <v>1081</v>
      </c>
      <c r="D61" s="1539"/>
      <c r="E61" s="1539"/>
      <c r="F61" s="218"/>
      <c r="G61" s="1535">
        <f t="shared" ref="G61:Q61" si="8">SUM(G13:G19)-SUM(G33:G38)</f>
        <v>0</v>
      </c>
      <c r="H61" s="1535">
        <f t="shared" si="8"/>
        <v>0</v>
      </c>
      <c r="I61" s="1535">
        <f t="shared" si="8"/>
        <v>0</v>
      </c>
      <c r="J61" s="1535">
        <f t="shared" si="8"/>
        <v>0</v>
      </c>
      <c r="K61" s="1535">
        <f t="shared" si="8"/>
        <v>0</v>
      </c>
      <c r="L61" s="1535">
        <f t="shared" si="8"/>
        <v>0</v>
      </c>
      <c r="M61" s="1535">
        <f t="shared" si="8"/>
        <v>0</v>
      </c>
      <c r="N61" s="1535">
        <f t="shared" si="8"/>
        <v>0</v>
      </c>
      <c r="O61" s="1535">
        <f t="shared" si="8"/>
        <v>0</v>
      </c>
      <c r="P61" s="1535">
        <f t="shared" si="8"/>
        <v>0</v>
      </c>
      <c r="Q61" s="1535">
        <f t="shared" si="8"/>
        <v>0</v>
      </c>
      <c r="R61" s="2060"/>
      <c r="S61" s="2060"/>
      <c r="U61" s="1510" t="s">
        <v>678</v>
      </c>
    </row>
    <row r="62" spans="1:21" ht="13.9">
      <c r="A62" s="1510" t="str">
        <f t="shared" si="3"/>
        <v>n</v>
      </c>
      <c r="B62" s="1510"/>
      <c r="C62" s="1539" t="s">
        <v>1082</v>
      </c>
      <c r="D62" s="1531"/>
      <c r="E62" s="1531"/>
      <c r="F62" s="218"/>
      <c r="G62" s="2017" t="str">
        <f>IF(G9="","-",IFERROR(G61/'PFI Inputs'!G100,"n/a"))</f>
        <v>n/a</v>
      </c>
      <c r="H62" s="2017" t="str">
        <f>IF(H9="","-",IFERROR(H61/'PFI Inputs'!H100,"n/a"))</f>
        <v>n/a</v>
      </c>
      <c r="I62" s="2017" t="str">
        <f>IF(I9="","-",IFERROR(I61/'PFI Inputs'!I100,"n/a"))</f>
        <v>n/a</v>
      </c>
      <c r="J62" s="2017" t="str">
        <f>IF(J9="","-",IFERROR(J61/'PFI Inputs'!J100,"n/a"))</f>
        <v>n/a</v>
      </c>
      <c r="K62" s="2017" t="str">
        <f>IF(K9="","-",IFERROR(K61/'PFI Inputs'!K100,"n/a"))</f>
        <v>n/a</v>
      </c>
      <c r="L62" s="2017" t="str">
        <f>IF(L9="","-",IFERROR(L61/'PFI Inputs'!L100,"n/a"))</f>
        <v>n/a</v>
      </c>
      <c r="M62" s="2017" t="str">
        <f>IF(M9="","-",IFERROR(M61/'PFI Inputs'!M100,"n/a"))</f>
        <v>n/a</v>
      </c>
      <c r="N62" s="2017" t="str">
        <f>IF(N9="","-",IFERROR(N61/'PFI Inputs'!N100,"n/a"))</f>
        <v>n/a</v>
      </c>
      <c r="O62" s="2017" t="str">
        <f>IF(O9="","-",IFERROR(O61/'PFI Inputs'!O100,"n/a"))</f>
        <v>-</v>
      </c>
      <c r="P62" s="2017" t="str">
        <f>IF(P9="","-",IFERROR(P61/'PFI Inputs'!P100,"n/a"))</f>
        <v>-</v>
      </c>
      <c r="Q62" s="2017" t="str">
        <f>IF(Q9="","-",IFERROR(Q61/'PFI Inputs'!Q100,"n/a"))</f>
        <v>-</v>
      </c>
      <c r="R62" s="2060"/>
      <c r="S62" s="2060"/>
      <c r="U62" s="1510" t="s">
        <v>678</v>
      </c>
    </row>
    <row r="63" spans="1:21" ht="13.9">
      <c r="A63" s="1510" t="str">
        <f t="shared" si="3"/>
        <v>n</v>
      </c>
      <c r="B63" s="1510"/>
      <c r="C63" s="299" t="s">
        <v>1083</v>
      </c>
      <c r="D63" s="1531"/>
      <c r="E63" s="1531"/>
      <c r="F63" s="218"/>
      <c r="G63" s="2018">
        <f>IFERROR(G13/'PFI Inputs'!G100*'PFI Inputs'!G$325,0)</f>
        <v>0</v>
      </c>
      <c r="H63" s="2018">
        <f>IFERROR(H13/'PFI Inputs'!H100*'PFI Inputs'!H$325,0)</f>
        <v>0</v>
      </c>
      <c r="I63" s="2018">
        <f>IFERROR(I13/'PFI Inputs'!I100*'PFI Inputs'!I$325,0)</f>
        <v>0</v>
      </c>
      <c r="J63" s="2018">
        <f>IFERROR(J13/'PFI Inputs'!J100*'PFI Inputs'!J$325,0)</f>
        <v>0</v>
      </c>
      <c r="K63" s="2018">
        <f>IFERROR(K13/'PFI Inputs'!K100*'PFI Inputs'!K$325,0)</f>
        <v>0</v>
      </c>
      <c r="L63" s="2018">
        <f>IFERROR(L13/'PFI Inputs'!L100*'PFI Inputs'!L$325,0)</f>
        <v>0</v>
      </c>
      <c r="M63" s="2018">
        <f>IFERROR(M13/'PFI Inputs'!M100*'PFI Inputs'!M$325,0)</f>
        <v>0</v>
      </c>
      <c r="N63" s="2018">
        <f>IFERROR(N13/'PFI Inputs'!N100*'PFI Inputs'!N$325,0)</f>
        <v>0</v>
      </c>
      <c r="O63" s="2018">
        <f>IFERROR(O13/'PFI Inputs'!O100*'PFI Inputs'!O$325,0)</f>
        <v>0</v>
      </c>
      <c r="P63" s="2018">
        <f>IFERROR(P13/'PFI Inputs'!P100*'PFI Inputs'!P$325,0)</f>
        <v>0</v>
      </c>
      <c r="Q63" s="2018">
        <f>IFERROR(Q13/'PFI Inputs'!Q100*'PFI Inputs'!Q$325,0)</f>
        <v>0</v>
      </c>
      <c r="R63" s="2060"/>
      <c r="S63" s="2060"/>
      <c r="U63" s="1510"/>
    </row>
    <row r="64" spans="1:21" ht="13.9">
      <c r="A64" s="1510" t="str">
        <f t="shared" si="3"/>
        <v>n</v>
      </c>
      <c r="B64" s="1510"/>
      <c r="C64" s="299" t="s">
        <v>979</v>
      </c>
      <c r="D64" s="1531"/>
      <c r="E64" s="1531"/>
      <c r="F64" s="218"/>
      <c r="G64" s="2018">
        <f>IFERROR(G14/'PFI Inputs'!G101*'PFI Inputs'!G$325,0)</f>
        <v>0</v>
      </c>
      <c r="H64" s="2018">
        <f>IFERROR(H14/'PFI Inputs'!H101*'PFI Inputs'!H$325,0)</f>
        <v>0</v>
      </c>
      <c r="I64" s="2018">
        <f>IFERROR(I14/'PFI Inputs'!I101*'PFI Inputs'!I$325,0)</f>
        <v>0</v>
      </c>
      <c r="J64" s="2018">
        <f>IFERROR(J14/'PFI Inputs'!J101*'PFI Inputs'!J$325,0)</f>
        <v>0</v>
      </c>
      <c r="K64" s="2018">
        <f>IFERROR(K14/'PFI Inputs'!K101*'PFI Inputs'!K$325,0)</f>
        <v>0</v>
      </c>
      <c r="L64" s="2018">
        <f>IFERROR(L14/'PFI Inputs'!L101*'PFI Inputs'!L$325,0)</f>
        <v>0</v>
      </c>
      <c r="M64" s="2018">
        <f>IFERROR(M14/'PFI Inputs'!M101*'PFI Inputs'!M$325,0)</f>
        <v>0</v>
      </c>
      <c r="N64" s="2018">
        <f>IFERROR(N14/'PFI Inputs'!N101*'PFI Inputs'!N$325,0)</f>
        <v>0</v>
      </c>
      <c r="O64" s="2018">
        <f>IFERROR(O14/'PFI Inputs'!O101*'PFI Inputs'!O$325,0)</f>
        <v>0</v>
      </c>
      <c r="P64" s="2018">
        <f>IFERROR(P14/'PFI Inputs'!P101*'PFI Inputs'!P$325,0)</f>
        <v>0</v>
      </c>
      <c r="Q64" s="2018">
        <f>IFERROR(Q14/'PFI Inputs'!Q101*'PFI Inputs'!Q$325,0)</f>
        <v>0</v>
      </c>
      <c r="R64" s="2060"/>
      <c r="S64" s="2060"/>
      <c r="U64" s="1510"/>
    </row>
    <row r="65" spans="1:21" ht="13.9">
      <c r="A65" s="1510" t="str">
        <f t="shared" si="3"/>
        <v>n</v>
      </c>
      <c r="B65" s="1510"/>
      <c r="C65" s="299" t="s">
        <v>1084</v>
      </c>
      <c r="D65" s="1531"/>
      <c r="E65" s="1531"/>
      <c r="F65" s="218"/>
      <c r="G65" s="2018">
        <f>IFERROR(G33/'PFI Inputs'!G101*'PFI Inputs'!G$325,0)</f>
        <v>0</v>
      </c>
      <c r="H65" s="2018">
        <f>IFERROR(H33/'PFI Inputs'!H101*'PFI Inputs'!H$325,0)</f>
        <v>0</v>
      </c>
      <c r="I65" s="2018">
        <f>IFERROR(I33/'PFI Inputs'!I101*'PFI Inputs'!I$325,0)</f>
        <v>0</v>
      </c>
      <c r="J65" s="2018">
        <f>IFERROR(J33/'PFI Inputs'!J101*'PFI Inputs'!J$325,0)</f>
        <v>0</v>
      </c>
      <c r="K65" s="2018">
        <f>IFERROR(K33/'PFI Inputs'!K101*'PFI Inputs'!K$325,0)</f>
        <v>0</v>
      </c>
      <c r="L65" s="2018">
        <f>IFERROR(L33/'PFI Inputs'!L101*'PFI Inputs'!L$325,0)</f>
        <v>0</v>
      </c>
      <c r="M65" s="2018">
        <f>IFERROR(M33/'PFI Inputs'!M101*'PFI Inputs'!M$325,0)</f>
        <v>0</v>
      </c>
      <c r="N65" s="2018">
        <f>IFERROR(N33/'PFI Inputs'!N101*'PFI Inputs'!N$325,0)</f>
        <v>0</v>
      </c>
      <c r="O65" s="2018">
        <f>IFERROR(O33/'PFI Inputs'!O101*'PFI Inputs'!O$325,0)</f>
        <v>0</v>
      </c>
      <c r="P65" s="2018">
        <f>IFERROR(P33/'PFI Inputs'!P101*'PFI Inputs'!P$325,0)</f>
        <v>0</v>
      </c>
      <c r="Q65" s="2018">
        <f>IFERROR(Q33/'PFI Inputs'!Q101*'PFI Inputs'!Q$325,0)</f>
        <v>0</v>
      </c>
      <c r="R65" s="2060"/>
      <c r="S65" s="2060"/>
      <c r="U65" s="1510"/>
    </row>
    <row r="66" spans="1:21" ht="13.9">
      <c r="A66" s="1510" t="str">
        <f t="shared" si="3"/>
        <v>n</v>
      </c>
      <c r="B66" s="1510"/>
      <c r="C66" s="1539" t="s">
        <v>1085</v>
      </c>
      <c r="D66" s="1531"/>
      <c r="E66" s="1531"/>
      <c r="F66" s="218"/>
      <c r="G66" s="324">
        <f t="shared" ref="G66:L66" si="9">G39+G40+G42+G45+IF(PensionSetting="Included in debt",G46,0)</f>
        <v>0</v>
      </c>
      <c r="H66" s="324">
        <f t="shared" si="9"/>
        <v>0</v>
      </c>
      <c r="I66" s="324">
        <f t="shared" si="9"/>
        <v>0</v>
      </c>
      <c r="J66" s="324">
        <f t="shared" si="9"/>
        <v>0</v>
      </c>
      <c r="K66" s="324">
        <f t="shared" si="9"/>
        <v>0</v>
      </c>
      <c r="L66" s="324">
        <f t="shared" si="9"/>
        <v>0</v>
      </c>
      <c r="M66" s="324">
        <f>M39+M40+M42+M45+IF(PensionSetting="Included in debt",M46,0)</f>
        <v>0</v>
      </c>
      <c r="N66" s="324">
        <f>N39+N40+N42+N45+IF(PensionSetting="Included in debt",N46,0)</f>
        <v>0</v>
      </c>
      <c r="O66" s="324">
        <f>O39+O40+O42+O45+IF(PensionSetting="Included in debt",O46,0)</f>
        <v>0</v>
      </c>
      <c r="P66" s="324">
        <f>P39+P40+P42+P45+IF(PensionSetting="Included in debt",P46,0)</f>
        <v>0</v>
      </c>
      <c r="Q66" s="324">
        <f>Q39+Q40+Q42+Q45+IF(PensionSetting="Included in debt",Q46,0)</f>
        <v>0</v>
      </c>
      <c r="R66" s="2060"/>
      <c r="S66" s="2060"/>
      <c r="U66" s="1510" t="s">
        <v>678</v>
      </c>
    </row>
    <row r="67" spans="1:21" ht="13.9">
      <c r="A67" s="1510" t="str">
        <f t="shared" si="3"/>
        <v>n</v>
      </c>
      <c r="B67" s="1510"/>
      <c r="C67" s="1313" t="s">
        <v>1086</v>
      </c>
      <c r="D67" s="1137"/>
      <c r="E67" s="1137"/>
      <c r="F67" s="1308"/>
      <c r="G67" s="1311">
        <f t="shared" ref="G67:L67" si="10">G66-G12</f>
        <v>0</v>
      </c>
      <c r="H67" s="1312">
        <f t="shared" si="10"/>
        <v>0</v>
      </c>
      <c r="I67" s="1312">
        <f t="shared" si="10"/>
        <v>0</v>
      </c>
      <c r="J67" s="1312">
        <f t="shared" si="10"/>
        <v>0</v>
      </c>
      <c r="K67" s="1312">
        <f t="shared" si="10"/>
        <v>0</v>
      </c>
      <c r="L67" s="1312">
        <f t="shared" si="10"/>
        <v>0</v>
      </c>
      <c r="M67" s="1312">
        <f>M66-M12</f>
        <v>0</v>
      </c>
      <c r="N67" s="1312">
        <f>N66-N12</f>
        <v>0</v>
      </c>
      <c r="O67" s="1312">
        <f>O66-O12</f>
        <v>0</v>
      </c>
      <c r="P67" s="1312">
        <f>P66-P12</f>
        <v>0</v>
      </c>
      <c r="Q67" s="1312">
        <f>Q66-Q12</f>
        <v>0</v>
      </c>
      <c r="R67" s="2060"/>
      <c r="S67" s="2060"/>
      <c r="U67" s="1510" t="s">
        <v>678</v>
      </c>
    </row>
    <row r="68" spans="1:21" ht="13.9">
      <c r="A68" s="1510"/>
      <c r="B68" s="1510"/>
      <c r="C68" s="1531"/>
      <c r="D68" s="1531"/>
      <c r="E68" s="1531"/>
      <c r="F68" s="1517"/>
      <c r="G68" s="1582"/>
      <c r="H68" s="1535"/>
      <c r="I68" s="1535"/>
      <c r="J68" s="1535"/>
      <c r="K68" s="1535"/>
      <c r="L68" s="1535"/>
      <c r="M68" s="1535"/>
      <c r="N68" s="1535"/>
      <c r="O68" s="1535"/>
      <c r="P68" s="1535"/>
      <c r="Q68" s="1535"/>
      <c r="R68" s="2060"/>
      <c r="S68" s="2060"/>
      <c r="U68" s="1510"/>
    </row>
    <row r="69" spans="1:21" ht="13.9">
      <c r="A69" s="1510"/>
      <c r="B69" s="1510"/>
      <c r="C69" s="1539" t="s">
        <v>1087</v>
      </c>
      <c r="D69" s="1531"/>
      <c r="E69" s="1531"/>
      <c r="F69" s="1517"/>
      <c r="G69" s="1582"/>
      <c r="H69" s="1535"/>
      <c r="I69" s="1535"/>
      <c r="J69" s="1535"/>
      <c r="K69" s="1535"/>
      <c r="L69" s="1535"/>
      <c r="M69" s="1535"/>
      <c r="N69" s="1535"/>
      <c r="O69" s="1535"/>
      <c r="P69" s="1535"/>
      <c r="Q69" s="1535"/>
      <c r="R69" s="2060"/>
      <c r="S69" s="2060"/>
      <c r="U69" s="1510"/>
    </row>
    <row r="70" spans="1:21" ht="13.9">
      <c r="A70" s="1510"/>
      <c r="B70" s="1510"/>
      <c r="C70" s="1545" t="s">
        <v>1415</v>
      </c>
      <c r="D70" s="1545"/>
      <c r="E70" s="1545"/>
      <c r="F70" s="1532"/>
      <c r="G70" s="1582"/>
      <c r="H70" s="325"/>
      <c r="I70" s="325"/>
      <c r="J70" s="325"/>
      <c r="K70" s="325"/>
      <c r="L70" s="325"/>
      <c r="M70" s="325"/>
      <c r="N70" s="325"/>
      <c r="O70" s="325"/>
      <c r="P70" s="325"/>
      <c r="Q70" s="325"/>
      <c r="R70" s="1536"/>
      <c r="S70" s="1536"/>
      <c r="U70" s="1510" t="s">
        <v>678</v>
      </c>
    </row>
    <row r="71" spans="1:21" ht="13.9">
      <c r="A71" s="1510"/>
      <c r="B71" s="1510"/>
      <c r="C71" s="373" t="str">
        <f ca="1">FootnoteDRAFT</f>
        <v>Run date: 05-August-2018  02:34 PM.   DRAFT document. All data subject to change upon completion of additional analysis.</v>
      </c>
      <c r="D71" s="373"/>
      <c r="E71" s="373"/>
      <c r="F71" s="356"/>
      <c r="G71" s="622"/>
      <c r="H71" s="356"/>
      <c r="I71" s="356"/>
      <c r="J71" s="356"/>
      <c r="K71" s="356"/>
      <c r="L71" s="356"/>
      <c r="M71" s="356"/>
      <c r="N71" s="356"/>
      <c r="O71" s="356"/>
      <c r="P71" s="356"/>
      <c r="Q71" s="356"/>
      <c r="R71" s="1529"/>
      <c r="S71" s="1529"/>
      <c r="T71" s="358"/>
      <c r="U71" s="1510" t="s">
        <v>678</v>
      </c>
    </row>
    <row r="72" spans="1:21" ht="12" customHeight="1">
      <c r="A72" s="1510" t="s">
        <v>17</v>
      </c>
      <c r="B72" s="1510"/>
      <c r="C72" s="1510"/>
      <c r="D72" s="1510"/>
      <c r="E72" s="1510"/>
      <c r="F72" s="1510"/>
      <c r="G72" s="683"/>
      <c r="H72" s="1510"/>
      <c r="I72" s="1510"/>
      <c r="J72" s="1510"/>
      <c r="K72" s="1510"/>
      <c r="L72" s="1510"/>
      <c r="M72" s="1510"/>
      <c r="N72" s="1510"/>
      <c r="O72" s="1510"/>
      <c r="P72" s="1510"/>
      <c r="Q72" s="1510"/>
      <c r="R72" s="1510"/>
      <c r="S72" s="1510"/>
      <c r="T72" s="1484" t="s">
        <v>18</v>
      </c>
      <c r="U72" s="1510" t="s">
        <v>678</v>
      </c>
    </row>
    <row r="73" spans="1:21" ht="12" customHeight="1">
      <c r="A73" s="1510"/>
      <c r="B73" s="1510"/>
      <c r="C73" s="1510"/>
      <c r="D73" s="1510"/>
      <c r="E73" s="1510"/>
      <c r="F73" s="1510"/>
      <c r="G73" s="701"/>
      <c r="H73" s="1510"/>
      <c r="I73" s="1510"/>
      <c r="J73" s="1510"/>
      <c r="K73" s="1510"/>
      <c r="L73" s="1510"/>
      <c r="M73" s="1510"/>
      <c r="N73" s="1510"/>
      <c r="O73" s="1510"/>
      <c r="P73" s="1510"/>
      <c r="Q73" s="1510"/>
      <c r="R73" s="1510"/>
      <c r="S73" s="1510"/>
      <c r="T73" s="1510"/>
      <c r="U73" s="1510"/>
    </row>
    <row r="74" spans="1:21" ht="12" customHeight="1">
      <c r="G74" s="1578"/>
    </row>
    <row r="75" spans="1:21" ht="12" customHeight="1">
      <c r="G75" s="1578"/>
    </row>
    <row r="76" spans="1:21" ht="12" customHeight="1">
      <c r="G76" s="1578"/>
    </row>
    <row r="77" spans="1:21" ht="12" customHeight="1">
      <c r="G77" s="1578"/>
    </row>
    <row r="78" spans="1:21" ht="12" customHeight="1">
      <c r="G78" s="1578"/>
    </row>
    <row r="79" spans="1:21" ht="12" customHeight="1">
      <c r="G79" s="1578"/>
    </row>
    <row r="80" spans="1:21" ht="12" customHeight="1">
      <c r="G80" s="1578"/>
    </row>
    <row r="81" spans="7:7" ht="12" customHeight="1">
      <c r="G81" s="1578"/>
    </row>
    <row r="82" spans="7:7" ht="12" customHeight="1">
      <c r="G82" s="1578"/>
    </row>
    <row r="83" spans="7:7" ht="12" customHeight="1">
      <c r="G83" s="1578"/>
    </row>
    <row r="84" spans="7:7" ht="12" customHeight="1">
      <c r="G84" s="1578"/>
    </row>
    <row r="85" spans="7:7" ht="12" customHeight="1">
      <c r="G85" s="1578"/>
    </row>
    <row r="86" spans="7:7" ht="12" customHeight="1">
      <c r="G86" s="1578"/>
    </row>
    <row r="87" spans="7:7" ht="12" customHeight="1">
      <c r="G87" s="1578"/>
    </row>
    <row r="88" spans="7:7" ht="12" customHeight="1">
      <c r="G88" s="1505"/>
    </row>
    <row r="89" spans="7:7" ht="12" customHeight="1">
      <c r="G89" s="1505"/>
    </row>
    <row r="90" spans="7:7" ht="12" customHeight="1">
      <c r="G90" s="1578"/>
    </row>
    <row r="91" spans="7:7" ht="12" customHeight="1">
      <c r="G91" s="1578"/>
    </row>
    <row r="92" spans="7:7" ht="12" customHeight="1">
      <c r="G92" s="1578"/>
    </row>
  </sheetData>
  <autoFilter ref="A1:A92"/>
  <conditionalFormatting sqref="B1">
    <cfRule type="cellIs" dxfId="200" priority="14" operator="notEqual">
      <formula>0</formula>
    </cfRule>
  </conditionalFormatting>
  <conditionalFormatting sqref="A2:A4 A6:A73">
    <cfRule type="expression" dxfId="199" priority="12">
      <formula>AND(MasterCheck&gt;0,RedAlertY=TRUE)</formula>
    </cfRule>
  </conditionalFormatting>
  <conditionalFormatting sqref="A5">
    <cfRule type="expression" dxfId="198" priority="11">
      <formula>AND(MasterCheck,REDLAERTY=TRUE)&gt;0</formula>
    </cfRule>
  </conditionalFormatting>
  <conditionalFormatting sqref="H45:Q45">
    <cfRule type="expression" dxfId="197" priority="10">
      <formula>Public=TRUE</formula>
    </cfRule>
  </conditionalFormatting>
  <conditionalFormatting sqref="G42:Q51">
    <cfRule type="expression" dxfId="196" priority="8">
      <formula>Public=TRUE</formula>
    </cfRule>
  </conditionalFormatting>
  <conditionalFormatting sqref="G54:Q54">
    <cfRule type="expression" dxfId="195" priority="7">
      <formula>Public=TRUE</formula>
    </cfRule>
  </conditionalFormatting>
  <conditionalFormatting sqref="C24:C28">
    <cfRule type="expression" dxfId="194" priority="6">
      <formula>Public=TRUE</formula>
    </cfRule>
  </conditionalFormatting>
  <conditionalFormatting sqref="C34:C38">
    <cfRule type="expression" dxfId="193" priority="5">
      <formula>Public=TRUE</formula>
    </cfRule>
  </conditionalFormatting>
  <conditionalFormatting sqref="C42:C44">
    <cfRule type="expression" dxfId="192" priority="4">
      <formula>Public=TRUE</formula>
    </cfRule>
  </conditionalFormatting>
  <conditionalFormatting sqref="C47:C51">
    <cfRule type="expression" dxfId="191" priority="3">
      <formula>Public=TRUE</formula>
    </cfRule>
  </conditionalFormatting>
  <conditionalFormatting sqref="H9:Q9">
    <cfRule type="expression" dxfId="190" priority="2">
      <formula>H$11=""</formula>
    </cfRule>
  </conditionalFormatting>
  <conditionalFormatting sqref="G9">
    <cfRule type="expression" dxfId="189" priority="1">
      <formula>G$11=""</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72" max="16383" man="1"/>
  </rowBreaks>
  <extLst>
    <ext xmlns:x14="http://schemas.microsoft.com/office/spreadsheetml/2009/9/main" uri="{78C0D931-6437-407d-A8EE-F0AAD7539E65}">
      <x14:conditionalFormattings>
        <x14:conditionalFormatting xmlns:xm="http://schemas.microsoft.com/office/excel/2006/main">
          <x14:cfRule type="notContainsText" priority="16" operator="notContains" id="{A6CBBAAE-F4F8-493D-87D8-AA0310435880}">
            <xm:f>ISERROR(SEARCH("OK",G59))</xm:f>
            <xm:f>"OK"</xm:f>
            <x14:dxf>
              <font>
                <b/>
                <i val="0"/>
                <color rgb="FFFF0000"/>
              </font>
            </x14:dxf>
          </x14:cfRule>
          <xm:sqref>G59:Q59</xm:sqref>
        </x14:conditionalFormatting>
        <x14:conditionalFormatting xmlns:xm="http://schemas.microsoft.com/office/excel/2006/main">
          <x14:cfRule type="notContainsText" priority="15" operator="notContains" id="{BE13E7C1-B4DE-428F-A29E-D8D4D5DD9759}">
            <xm:f>ISERROR(SEARCH("OK",G59))</xm:f>
            <xm:f>"OK"</xm:f>
            <x14:dxf>
              <font>
                <b/>
                <i val="0"/>
                <color rgb="FFFF0000"/>
              </font>
            </x14:dxf>
          </x14:cfRule>
          <xm:sqref>G59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FICFOutput">
    <tabColor rgb="FF99FF66"/>
    <pageSetUpPr autoPageBreaks="0"/>
  </sheetPr>
  <dimension ref="A1:W48"/>
  <sheetViews>
    <sheetView showGridLines="0" zoomScale="85" zoomScaleNormal="85" zoomScaleSheetLayoutView="80" workbookViewId="0"/>
  </sheetViews>
  <sheetFormatPr defaultColWidth="9.33203125" defaultRowHeight="12" customHeight="1"/>
  <cols>
    <col min="1" max="1" width="2.83203125" style="1525" customWidth="1"/>
    <col min="2" max="2" width="3.83203125" style="1525" customWidth="1"/>
    <col min="3" max="3" width="28.1640625" style="1525" customWidth="1"/>
    <col min="4" max="5" width="3.5" style="1525" customWidth="1"/>
    <col min="6" max="14" width="11.33203125" style="1525" customWidth="1"/>
    <col min="15" max="17" width="11.33203125" style="1525" hidden="1" customWidth="1"/>
    <col min="18" max="21" width="11.33203125" style="1525" customWidth="1"/>
    <col min="22" max="22" width="36.6640625" style="1525" customWidth="1"/>
    <col min="23" max="23" width="11.33203125" style="1525" customWidth="1"/>
    <col min="24" max="24" width="15.83203125" style="1525" customWidth="1"/>
    <col min="25" max="26" width="11.33203125" style="1525" customWidth="1"/>
    <col min="27" max="16384" width="9.33203125" style="1525"/>
  </cols>
  <sheetData>
    <row r="1" spans="1:23" ht="18" customHeight="1">
      <c r="A1" s="2060"/>
      <c r="B1" s="649">
        <f ca="1">SUMPRODUCT(--ISERROR($C$1:V44))+COUNTIF($C$1:V44,Fail)</f>
        <v>0</v>
      </c>
      <c r="C1" s="1372" t="str">
        <f>START!$C$1</f>
        <v>Client Name</v>
      </c>
      <c r="D1" s="838"/>
      <c r="E1" s="838"/>
      <c r="F1" s="2060"/>
      <c r="G1" s="852"/>
      <c r="H1" s="852"/>
      <c r="I1" s="852"/>
      <c r="J1" s="852"/>
      <c r="K1" s="852"/>
      <c r="L1" s="852"/>
      <c r="M1" s="852"/>
      <c r="N1" s="852"/>
      <c r="O1" s="852"/>
      <c r="P1" s="852"/>
      <c r="Q1" s="852"/>
      <c r="V1" s="398" t="s">
        <v>873</v>
      </c>
      <c r="W1" s="1510"/>
    </row>
    <row r="2" spans="1:23" ht="18" customHeight="1">
      <c r="A2" s="1510"/>
      <c r="B2" s="1510"/>
      <c r="C2" s="1372" t="str">
        <f>START!$C$2</f>
        <v xml:space="preserve">Please enter project description in START worksheet cell G13 </v>
      </c>
      <c r="D2" s="839"/>
      <c r="E2" s="839"/>
      <c r="F2" s="2060"/>
      <c r="G2" s="1526"/>
      <c r="H2" s="1526"/>
      <c r="I2" s="1526"/>
      <c r="J2" s="1526"/>
      <c r="K2" s="1526"/>
      <c r="L2" s="1526"/>
      <c r="M2" s="1526"/>
      <c r="N2" s="1526"/>
      <c r="O2" s="1526"/>
      <c r="P2" s="1526"/>
      <c r="Q2" s="1526"/>
      <c r="W2" s="1510" t="s">
        <v>678</v>
      </c>
    </row>
    <row r="3" spans="1:23" ht="18" customHeight="1">
      <c r="A3" s="1510"/>
      <c r="B3" s="1510"/>
      <c r="C3" s="839" t="s">
        <v>1416</v>
      </c>
      <c r="D3" s="840"/>
      <c r="E3" s="840"/>
      <c r="F3" s="2060"/>
      <c r="G3" s="1526"/>
      <c r="H3" s="1526"/>
      <c r="R3" s="1526"/>
      <c r="S3" s="1526"/>
      <c r="T3" s="1526"/>
      <c r="U3" s="1526"/>
      <c r="W3" s="1510" t="s">
        <v>678</v>
      </c>
    </row>
    <row r="4" spans="1:23" ht="18" customHeight="1">
      <c r="A4" s="1510"/>
      <c r="B4" s="1510"/>
      <c r="C4" s="840" t="str">
        <f>ValDateHeading</f>
        <v>Estimation of value as of 28 February 2017</v>
      </c>
      <c r="D4" s="840"/>
      <c r="E4" s="840"/>
      <c r="F4" s="2060"/>
      <c r="G4" s="1526"/>
      <c r="H4" s="1526"/>
      <c r="R4" s="1526"/>
      <c r="S4" s="1526"/>
      <c r="T4" s="1526"/>
      <c r="U4" s="1526"/>
      <c r="W4" s="1510"/>
    </row>
    <row r="5" spans="1:23" ht="18" customHeight="1">
      <c r="A5" s="1413" t="str">
        <f>IF(MasterCheck,"Please check the "&amp;'Error Check'!$G$8,"")</f>
        <v/>
      </c>
      <c r="B5" s="1510"/>
      <c r="C5" s="841"/>
      <c r="D5" s="366"/>
      <c r="E5" s="366"/>
      <c r="F5" s="2060"/>
      <c r="G5" s="1526"/>
      <c r="H5" s="1526"/>
      <c r="R5" s="1526"/>
      <c r="S5" s="1526"/>
      <c r="T5" s="1526"/>
      <c r="U5" s="1526"/>
      <c r="W5" s="1510" t="s">
        <v>678</v>
      </c>
    </row>
    <row r="6" spans="1:23" ht="13.9">
      <c r="A6" s="1510"/>
      <c r="B6" s="1510"/>
      <c r="C6" s="842"/>
      <c r="D6" s="340"/>
      <c r="E6" s="340"/>
      <c r="F6" s="1526"/>
      <c r="G6" s="1526"/>
      <c r="H6" s="1526"/>
      <c r="I6" s="1526"/>
      <c r="J6" s="1526"/>
      <c r="K6" s="1526"/>
      <c r="L6" s="1526"/>
      <c r="M6" s="1526"/>
      <c r="N6" s="1526"/>
      <c r="O6" s="1526"/>
      <c r="P6" s="1526"/>
      <c r="Q6" s="1526"/>
      <c r="R6" s="2060"/>
      <c r="S6" s="2060"/>
      <c r="T6" s="2060"/>
      <c r="U6" s="2060"/>
      <c r="W6" s="1510" t="s">
        <v>678</v>
      </c>
    </row>
    <row r="7" spans="1:23" ht="11.25" customHeight="1">
      <c r="A7" s="1510"/>
      <c r="B7" s="1510"/>
      <c r="C7" s="843"/>
      <c r="D7" s="342"/>
      <c r="E7" s="342"/>
      <c r="F7" s="341"/>
      <c r="G7" s="341"/>
      <c r="H7" s="341"/>
      <c r="I7" s="341"/>
      <c r="J7" s="341"/>
      <c r="K7" s="341"/>
      <c r="L7" s="341"/>
      <c r="M7" s="341"/>
      <c r="N7" s="341"/>
      <c r="O7" s="341"/>
      <c r="P7" s="341"/>
      <c r="Q7" s="341"/>
      <c r="R7" s="2060"/>
      <c r="S7" s="2060"/>
      <c r="T7" s="2060"/>
      <c r="U7" s="2060"/>
      <c r="W7" s="1510" t="s">
        <v>678</v>
      </c>
    </row>
    <row r="8" spans="1:23" ht="13.9">
      <c r="A8" s="1510"/>
      <c r="B8" s="1510"/>
      <c r="C8" s="844"/>
      <c r="D8" s="720"/>
      <c r="E8" s="720"/>
      <c r="F8" s="717"/>
      <c r="G8" s="1848" t="str">
        <f>'PFI Inputs'!G25</f>
        <v>6 mos</v>
      </c>
      <c r="H8" s="1110" t="str">
        <f>'PFI Inputs'!$H$25</f>
        <v xml:space="preserve">                                       For years ended March 31</v>
      </c>
      <c r="I8" s="1111"/>
      <c r="J8" s="1139"/>
      <c r="K8" s="1139"/>
      <c r="L8" s="1139"/>
      <c r="M8" s="1139"/>
      <c r="N8" s="1139"/>
      <c r="O8" s="1139"/>
      <c r="P8" s="1139"/>
      <c r="Q8" s="1139"/>
      <c r="R8" s="2060"/>
      <c r="S8" s="2060"/>
      <c r="T8" s="2060"/>
      <c r="U8" s="2060"/>
      <c r="W8" s="1510" t="s">
        <v>678</v>
      </c>
    </row>
    <row r="9" spans="1:23" ht="12.75" customHeight="1">
      <c r="A9" s="1510"/>
      <c r="B9" s="1510"/>
      <c r="C9" s="718" t="str">
        <f>SubjCurrencyHeading</f>
        <v>(USD in Millions)</v>
      </c>
      <c r="D9" s="718"/>
      <c r="E9" s="718"/>
      <c r="F9" s="721"/>
      <c r="G9" s="1116">
        <f>IF('PFI Inputs'!G26,'PFI Inputs'!G26,"")</f>
        <v>42825</v>
      </c>
      <c r="H9" s="1116">
        <f>IF('PFI Inputs'!H26,'PFI Inputs'!H26,"")</f>
        <v>43190</v>
      </c>
      <c r="I9" s="1116">
        <f>IF('PFI Inputs'!I26,'PFI Inputs'!I26,"")</f>
        <v>43555</v>
      </c>
      <c r="J9" s="1116">
        <f>IF('PFI Inputs'!J26,'PFI Inputs'!J26,"")</f>
        <v>43921</v>
      </c>
      <c r="K9" s="1116">
        <f>IF('PFI Inputs'!K26,'PFI Inputs'!K26,"")</f>
        <v>44286</v>
      </c>
      <c r="L9" s="1116">
        <f>IF('PFI Inputs'!L26,'PFI Inputs'!L26,"")</f>
        <v>44651</v>
      </c>
      <c r="M9" s="1116">
        <f>IF('PFI Inputs'!M26,'PFI Inputs'!M26,"")</f>
        <v>45016</v>
      </c>
      <c r="N9" s="1116">
        <f>IF('PFI Inputs'!N26,'PFI Inputs'!N26,"")</f>
        <v>45382</v>
      </c>
      <c r="O9" s="1116" t="str">
        <f>IF('PFI Inputs'!O26,'PFI Inputs'!O26,"")</f>
        <v/>
      </c>
      <c r="P9" s="1116" t="str">
        <f>IF('PFI Inputs'!P26,'PFI Inputs'!P26,"")</f>
        <v/>
      </c>
      <c r="Q9" s="1116" t="str">
        <f>IF('PFI Inputs'!Q26,'PFI Inputs'!Q26,"")</f>
        <v/>
      </c>
      <c r="R9" s="2060"/>
      <c r="S9" s="2060"/>
      <c r="T9" s="2060"/>
      <c r="U9" s="2060"/>
      <c r="W9" s="1510" t="s">
        <v>678</v>
      </c>
    </row>
    <row r="10" spans="1:23" ht="13.9">
      <c r="A10" s="1510"/>
      <c r="B10" s="1510"/>
      <c r="C10" s="817"/>
      <c r="D10" s="512"/>
      <c r="E10" s="512"/>
      <c r="F10" s="306"/>
      <c r="G10" s="307"/>
      <c r="H10" s="307"/>
      <c r="I10" s="308"/>
      <c r="J10" s="308"/>
      <c r="K10" s="308"/>
      <c r="L10" s="308"/>
      <c r="M10" s="308"/>
      <c r="N10" s="308"/>
      <c r="O10" s="308"/>
      <c r="P10" s="308"/>
      <c r="Q10" s="308"/>
      <c r="R10" s="2060"/>
      <c r="S10" s="2060"/>
      <c r="T10" s="2060"/>
      <c r="U10" s="2060"/>
      <c r="W10" s="1510" t="s">
        <v>678</v>
      </c>
    </row>
    <row r="11" spans="1:23" ht="13.9">
      <c r="A11" s="1510" t="str">
        <f t="shared" ref="A11:A16" ca="1" si="0">IF(OR(MAX(G11:Q11)&gt;0.01,MIN(,G11:Q11)&lt;-0.01),"","n")</f>
        <v>n</v>
      </c>
      <c r="B11" s="1510"/>
      <c r="C11" s="1588" t="s">
        <v>395</v>
      </c>
      <c r="D11" s="512"/>
      <c r="E11" s="512"/>
      <c r="F11" s="306"/>
      <c r="G11" s="1929">
        <f ca="1">'PFI Inputs'!G92*(N(G$9)&gt;0)</f>
        <v>0</v>
      </c>
      <c r="H11" s="1929">
        <f ca="1">'PFI Inputs'!H92*(N(H$9)&gt;0)</f>
        <v>0</v>
      </c>
      <c r="I11" s="1929">
        <f ca="1">'PFI Inputs'!I92*(N(I$9)&gt;0)</f>
        <v>0</v>
      </c>
      <c r="J11" s="1929">
        <f ca="1">'PFI Inputs'!J92*(N(J$9)&gt;0)</f>
        <v>0</v>
      </c>
      <c r="K11" s="1929">
        <f ca="1">'PFI Inputs'!K92*(N(K$9)&gt;0)</f>
        <v>0</v>
      </c>
      <c r="L11" s="1929">
        <f ca="1">'PFI Inputs'!L92*(N(L$9)&gt;0)</f>
        <v>0</v>
      </c>
      <c r="M11" s="1929">
        <f ca="1">'PFI Inputs'!M92*(N(M$9)&gt;0)</f>
        <v>0</v>
      </c>
      <c r="N11" s="1929">
        <f ca="1">'PFI Inputs'!N92*(N(N$9)&gt;0)</f>
        <v>0</v>
      </c>
      <c r="O11" s="1929">
        <f ca="1">'PFI Inputs'!O92*(N(O$9)&gt;0)</f>
        <v>0</v>
      </c>
      <c r="P11" s="1929">
        <f ca="1">'PFI Inputs'!P92*(N(P$9)&gt;0)</f>
        <v>0</v>
      </c>
      <c r="Q11" s="1929">
        <f ca="1">'PFI Inputs'!Q92*(N(Q$9)&gt;0)</f>
        <v>0</v>
      </c>
      <c r="R11" s="2060"/>
      <c r="S11" s="2060"/>
      <c r="T11" s="2060"/>
      <c r="U11" s="2060"/>
      <c r="W11" s="1510"/>
    </row>
    <row r="12" spans="1:23" ht="13.9">
      <c r="A12" s="1510" t="str">
        <f t="shared" ca="1" si="0"/>
        <v>n</v>
      </c>
      <c r="B12" s="1510"/>
      <c r="C12" s="2060" t="s">
        <v>1417</v>
      </c>
      <c r="D12" s="2060"/>
      <c r="E12" s="2060"/>
      <c r="F12" s="2060"/>
      <c r="G12" s="1929">
        <f ca="1">-N('PFI Inc Stat'!G22)*(N(G$9)&gt;0)</f>
        <v>0</v>
      </c>
      <c r="H12" s="1929">
        <f ca="1">-N('PFI Inc Stat'!H22)*(N(H$9)&gt;0)</f>
        <v>0</v>
      </c>
      <c r="I12" s="1929">
        <f ca="1">-N('PFI Inc Stat'!I22)*(N(I$9)&gt;0)</f>
        <v>0</v>
      </c>
      <c r="J12" s="1929">
        <f ca="1">-N('PFI Inc Stat'!J22)*(N(J$9)&gt;0)</f>
        <v>0</v>
      </c>
      <c r="K12" s="1929">
        <f ca="1">-N('PFI Inc Stat'!K22)*(N(K$9)&gt;0)</f>
        <v>0</v>
      </c>
      <c r="L12" s="1929">
        <f ca="1">-N('PFI Inc Stat'!L22)*(N(L$9)&gt;0)</f>
        <v>0</v>
      </c>
      <c r="M12" s="1929">
        <f ca="1">-N('PFI Inc Stat'!M22)*(N(M$9)&gt;0)</f>
        <v>0</v>
      </c>
      <c r="N12" s="1929">
        <f ca="1">-N('PFI Inc Stat'!N22)*(N(N$9)&gt;0)</f>
        <v>0</v>
      </c>
      <c r="O12" s="1929">
        <f>-N('PFI Inc Stat'!O22)*(N(O$9)&gt;0)</f>
        <v>0</v>
      </c>
      <c r="P12" s="1929">
        <f>-N('PFI Inc Stat'!P22)*(N(P$9)&gt;0)</f>
        <v>0</v>
      </c>
      <c r="Q12" s="1929">
        <f>-N('PFI Inc Stat'!Q22)*(N(Q$9)&gt;0)</f>
        <v>0</v>
      </c>
      <c r="R12" s="2060"/>
      <c r="S12" s="2060"/>
      <c r="T12" s="2060"/>
      <c r="U12" s="2060"/>
      <c r="W12" s="1510"/>
    </row>
    <row r="13" spans="1:23" ht="13.9">
      <c r="A13" s="1510" t="str">
        <f t="shared" si="0"/>
        <v>n</v>
      </c>
      <c r="B13" s="1510"/>
      <c r="C13" s="2060" t="s">
        <v>1418</v>
      </c>
      <c r="D13" s="2060"/>
      <c r="E13" s="2060"/>
      <c r="F13" s="2060"/>
      <c r="G13" s="1929">
        <f>-N('PFI Inc Stat'!G23)*(N(G$9)&gt;0)</f>
        <v>0</v>
      </c>
      <c r="H13" s="1929">
        <f>-N('PFI Inc Stat'!H23)*(N(H$9)&gt;0)</f>
        <v>0</v>
      </c>
      <c r="I13" s="1929">
        <f>-N('PFI Inc Stat'!I23)*(N(I$9)&gt;0)</f>
        <v>0</v>
      </c>
      <c r="J13" s="1929">
        <f>-N('PFI Inc Stat'!J23)*(N(J$9)&gt;0)</f>
        <v>0</v>
      </c>
      <c r="K13" s="1929">
        <f>-N('PFI Inc Stat'!K23)*(N(K$9)&gt;0)</f>
        <v>0</v>
      </c>
      <c r="L13" s="1929">
        <f>-N('PFI Inc Stat'!L23)*(N(L$9)&gt;0)</f>
        <v>0</v>
      </c>
      <c r="M13" s="1929">
        <f>-N('PFI Inc Stat'!M23)*(N(M$9)&gt;0)</f>
        <v>0</v>
      </c>
      <c r="N13" s="1929">
        <f>-N('PFI Inc Stat'!N23)*(N(N$9)&gt;0)</f>
        <v>0</v>
      </c>
      <c r="O13" s="1929">
        <f>-N('PFI Inc Stat'!O23)*(N(O$9)&gt;0)</f>
        <v>0</v>
      </c>
      <c r="P13" s="1929">
        <f>-N('PFI Inc Stat'!P23)*(N(P$9)&gt;0)</f>
        <v>0</v>
      </c>
      <c r="Q13" s="1929">
        <f>-N('PFI Inc Stat'!Q23)*(N(Q$9)&gt;0)</f>
        <v>0</v>
      </c>
      <c r="R13" s="2060"/>
      <c r="S13" s="2060"/>
      <c r="T13" s="2060"/>
      <c r="U13" s="2060"/>
      <c r="W13" s="1510" t="s">
        <v>678</v>
      </c>
    </row>
    <row r="14" spans="1:23" s="312" customFormat="1" ht="13.9">
      <c r="A14" s="1510" t="str">
        <f t="shared" si="0"/>
        <v>n</v>
      </c>
      <c r="B14" s="1510"/>
      <c r="C14" s="2060" t="s">
        <v>1029</v>
      </c>
      <c r="D14" s="2060"/>
      <c r="E14" s="2060"/>
      <c r="F14" s="2060"/>
      <c r="G14" s="1929">
        <f>'PFI Inputs'!G299*(G9&gt;0)</f>
        <v>0</v>
      </c>
      <c r="H14" s="1929">
        <f>'PFI Inputs'!H299*(H9&gt;0)</f>
        <v>0</v>
      </c>
      <c r="I14" s="1929">
        <f>'PFI Inputs'!I299*(I9&gt;0)</f>
        <v>0</v>
      </c>
      <c r="J14" s="1929">
        <f>'PFI Inputs'!J299*(J9&gt;0)</f>
        <v>0</v>
      </c>
      <c r="K14" s="1929">
        <f>'PFI Inputs'!K299*(K9&gt;0)</f>
        <v>0</v>
      </c>
      <c r="L14" s="1929">
        <f>'PFI Inputs'!L299*(L9&gt;0)</f>
        <v>0</v>
      </c>
      <c r="M14" s="1929">
        <f>'PFI Inputs'!M299*(M9&gt;0)</f>
        <v>0</v>
      </c>
      <c r="N14" s="1929">
        <f>'PFI Inputs'!N299*(N9&gt;0)</f>
        <v>0</v>
      </c>
      <c r="O14" s="1929">
        <f>'PFI Inputs'!O299*(O9&gt;0)</f>
        <v>0</v>
      </c>
      <c r="P14" s="1929">
        <f>'PFI Inputs'!P299*(P9&gt;0)</f>
        <v>0</v>
      </c>
      <c r="Q14" s="1929">
        <f>'PFI Inputs'!Q299*(Q9&gt;0)</f>
        <v>0</v>
      </c>
      <c r="R14" s="2060"/>
      <c r="S14" s="2060"/>
      <c r="T14" s="2060"/>
      <c r="U14" s="2060"/>
      <c r="W14" s="1510"/>
    </row>
    <row r="15" spans="1:23" s="312" customFormat="1" ht="13.9">
      <c r="A15" s="1510" t="str">
        <f t="shared" si="0"/>
        <v>n</v>
      </c>
      <c r="B15" s="1510"/>
      <c r="C15" s="2060" t="s">
        <v>1419</v>
      </c>
      <c r="D15" s="2060"/>
      <c r="E15" s="2060"/>
      <c r="F15" s="2060"/>
      <c r="G15" s="1929">
        <f>-(('PFI Inputs'!G158+'PFI Inputs'!G163+'PFI Inputs'!G168+'PFI Inputs'!G173+'PFI Inputs'!G178)-('PFI Inputs'!F158+'PFI Inputs'!F163+'PFI Inputs'!F168+'PFI Inputs'!F173+'PFI Inputs'!F178))*(N(G$9)&gt;0)</f>
        <v>0</v>
      </c>
      <c r="H15" s="1929">
        <f>-(('PFI Inputs'!H158+'PFI Inputs'!H163+'PFI Inputs'!H168+'PFI Inputs'!H173+'PFI Inputs'!H178)-('PFI Inputs'!G158+'PFI Inputs'!G163+'PFI Inputs'!G168+'PFI Inputs'!G173+'PFI Inputs'!G178))*(N(H$9)&gt;0)</f>
        <v>0</v>
      </c>
      <c r="I15" s="1929">
        <f>-(('PFI Inputs'!I158+'PFI Inputs'!I163+'PFI Inputs'!I168+'PFI Inputs'!I173+'PFI Inputs'!I178)-('PFI Inputs'!H158+'PFI Inputs'!H163+'PFI Inputs'!H168+'PFI Inputs'!H173+'PFI Inputs'!H178))*(N(I$9)&gt;0)</f>
        <v>0</v>
      </c>
      <c r="J15" s="1929">
        <f>-(('PFI Inputs'!J158+'PFI Inputs'!J163+'PFI Inputs'!J168+'PFI Inputs'!J173+'PFI Inputs'!J178)-('PFI Inputs'!I158+'PFI Inputs'!I163+'PFI Inputs'!I168+'PFI Inputs'!I173+'PFI Inputs'!I178))*(N(J$9)&gt;0)</f>
        <v>0</v>
      </c>
      <c r="K15" s="1929">
        <f>-(('PFI Inputs'!K158+'PFI Inputs'!K163+'PFI Inputs'!K168+'PFI Inputs'!K173+'PFI Inputs'!K178)-('PFI Inputs'!J158+'PFI Inputs'!J163+'PFI Inputs'!J168+'PFI Inputs'!J173+'PFI Inputs'!J178))*(N(K$9)&gt;0)</f>
        <v>0</v>
      </c>
      <c r="L15" s="1929">
        <f>-(('PFI Inputs'!L158+'PFI Inputs'!L163+'PFI Inputs'!L168+'PFI Inputs'!L173+'PFI Inputs'!L178)-('PFI Inputs'!K158+'PFI Inputs'!K163+'PFI Inputs'!K168+'PFI Inputs'!K173+'PFI Inputs'!K178))*(N(L$9)&gt;0)</f>
        <v>0</v>
      </c>
      <c r="M15" s="1929">
        <f>-(('PFI Inputs'!M158+'PFI Inputs'!M163+'PFI Inputs'!M168+'PFI Inputs'!M173+'PFI Inputs'!M178)-('PFI Inputs'!L158+'PFI Inputs'!L163+'PFI Inputs'!L168+'PFI Inputs'!L173+'PFI Inputs'!L178))*(N(M$9)&gt;0)</f>
        <v>0</v>
      </c>
      <c r="N15" s="1929">
        <f>-(('PFI Inputs'!N158+'PFI Inputs'!N163+'PFI Inputs'!N168+'PFI Inputs'!N173+'PFI Inputs'!N178)-('PFI Inputs'!M158+'PFI Inputs'!M163+'PFI Inputs'!M168+'PFI Inputs'!M173+'PFI Inputs'!M178))*(N(N$9)&gt;0)</f>
        <v>0</v>
      </c>
      <c r="O15" s="1929">
        <f>-(('PFI Inputs'!O158+'PFI Inputs'!O163+'PFI Inputs'!O168+'PFI Inputs'!O173+'PFI Inputs'!O178)-('PFI Inputs'!N158+'PFI Inputs'!N163+'PFI Inputs'!N168+'PFI Inputs'!N173+'PFI Inputs'!N178))*(N(O$9)&gt;0)</f>
        <v>0</v>
      </c>
      <c r="P15" s="1929">
        <f>-(('PFI Inputs'!P158+'PFI Inputs'!P163+'PFI Inputs'!P168+'PFI Inputs'!P173+'PFI Inputs'!P178)-('PFI Inputs'!O158+'PFI Inputs'!O163+'PFI Inputs'!O168+'PFI Inputs'!O173+'PFI Inputs'!O178))*(N(P$9)&gt;0)</f>
        <v>0</v>
      </c>
      <c r="Q15" s="1929">
        <f>-(('PFI Inputs'!Q158+'PFI Inputs'!Q163+'PFI Inputs'!Q168+'PFI Inputs'!Q173+'PFI Inputs'!Q178)-('PFI Inputs'!P158+'PFI Inputs'!P163+'PFI Inputs'!P168+'PFI Inputs'!P173+'PFI Inputs'!P178))*(N(Q$9)&gt;0)</f>
        <v>0</v>
      </c>
      <c r="R15" s="2060"/>
      <c r="S15" s="2060"/>
      <c r="T15" s="2060"/>
      <c r="U15" s="2060"/>
      <c r="W15" s="1510"/>
    </row>
    <row r="16" spans="1:23" s="312" customFormat="1" ht="13.9">
      <c r="A16" s="1510" t="str">
        <f t="shared" si="0"/>
        <v>n</v>
      </c>
      <c r="B16" s="1510"/>
      <c r="C16" s="2060" t="s">
        <v>1420</v>
      </c>
      <c r="D16" s="2060"/>
      <c r="E16" s="2060"/>
      <c r="F16" s="2060"/>
      <c r="G16" s="1929">
        <f>(('PFI Inputs'!G256+'PFI Inputs'!G261+'PFI Inputs'!G266+'PFI Inputs'!G271+'PFI Inputs'!G276)-('PFI Inputs'!F256+'PFI Inputs'!F261+'PFI Inputs'!F266+'PFI Inputs'!F271+'PFI Inputs'!F276))*(N(G$9)&gt;0)</f>
        <v>0</v>
      </c>
      <c r="H16" s="1929">
        <f>(('PFI Inputs'!H256+'PFI Inputs'!H261+'PFI Inputs'!H266+'PFI Inputs'!H271+'PFI Inputs'!H276)-('PFI Inputs'!G256+'PFI Inputs'!G261+'PFI Inputs'!G266+'PFI Inputs'!G271+'PFI Inputs'!G276))*(N(H$9)&gt;0)</f>
        <v>0</v>
      </c>
      <c r="I16" s="1929">
        <f>(('PFI Inputs'!I256+'PFI Inputs'!I261+'PFI Inputs'!I266+'PFI Inputs'!I271+'PFI Inputs'!I276)-('PFI Inputs'!H256+'PFI Inputs'!H261+'PFI Inputs'!H266+'PFI Inputs'!H271+'PFI Inputs'!H276))*(N(I$9)&gt;0)</f>
        <v>0</v>
      </c>
      <c r="J16" s="1929">
        <f>(('PFI Inputs'!J256+'PFI Inputs'!J261+'PFI Inputs'!J266+'PFI Inputs'!J271+'PFI Inputs'!J276)-('PFI Inputs'!I256+'PFI Inputs'!I261+'PFI Inputs'!I266+'PFI Inputs'!I271+'PFI Inputs'!I276))*(N(J$9)&gt;0)</f>
        <v>0</v>
      </c>
      <c r="K16" s="1929">
        <f>(('PFI Inputs'!K256+'PFI Inputs'!K261+'PFI Inputs'!K266+'PFI Inputs'!K271+'PFI Inputs'!K276)-('PFI Inputs'!J256+'PFI Inputs'!J261+'PFI Inputs'!J266+'PFI Inputs'!J271+'PFI Inputs'!J276))*(N(K$9)&gt;0)</f>
        <v>0</v>
      </c>
      <c r="L16" s="1929">
        <f>(('PFI Inputs'!L256+'PFI Inputs'!L261+'PFI Inputs'!L266+'PFI Inputs'!L271+'PFI Inputs'!L276)-('PFI Inputs'!K256+'PFI Inputs'!K261+'PFI Inputs'!K266+'PFI Inputs'!K271+'PFI Inputs'!K276))*(N(L$9)&gt;0)</f>
        <v>0</v>
      </c>
      <c r="M16" s="1929">
        <f>(('PFI Inputs'!M256+'PFI Inputs'!M261+'PFI Inputs'!M266+'PFI Inputs'!M271+'PFI Inputs'!M276)-('PFI Inputs'!L256+'PFI Inputs'!L261+'PFI Inputs'!L266+'PFI Inputs'!L271+'PFI Inputs'!L276))*(N(M$9)&gt;0)</f>
        <v>0</v>
      </c>
      <c r="N16" s="1929">
        <f>(('PFI Inputs'!N256+'PFI Inputs'!N261+'PFI Inputs'!N266+'PFI Inputs'!N271+'PFI Inputs'!N276)-('PFI Inputs'!M256+'PFI Inputs'!M261+'PFI Inputs'!M266+'PFI Inputs'!M271+'PFI Inputs'!M276))*(N(N$9)&gt;0)</f>
        <v>0</v>
      </c>
      <c r="O16" s="1929">
        <f>(('PFI Inputs'!O256+'PFI Inputs'!O261+'PFI Inputs'!O266+'PFI Inputs'!O271+'PFI Inputs'!O276)-('PFI Inputs'!N256+'PFI Inputs'!N261+'PFI Inputs'!N266+'PFI Inputs'!N271+'PFI Inputs'!N276))*(N(O$9)&gt;0)</f>
        <v>0</v>
      </c>
      <c r="P16" s="1929">
        <f>(('PFI Inputs'!P256+'PFI Inputs'!P261+'PFI Inputs'!P266+'PFI Inputs'!P271+'PFI Inputs'!P276)-('PFI Inputs'!O256+'PFI Inputs'!O261+'PFI Inputs'!O266+'PFI Inputs'!O271+'PFI Inputs'!O276))*(N(P$9)&gt;0)</f>
        <v>0</v>
      </c>
      <c r="Q16" s="1929">
        <f>(('PFI Inputs'!Q256+'PFI Inputs'!Q261+'PFI Inputs'!Q266+'PFI Inputs'!Q271+'PFI Inputs'!Q276)-('PFI Inputs'!P256+'PFI Inputs'!P261+'PFI Inputs'!P266+'PFI Inputs'!P271+'PFI Inputs'!P276))*(N(Q$9)&gt;0)</f>
        <v>0</v>
      </c>
      <c r="R16" s="2060"/>
      <c r="S16" s="2060"/>
      <c r="T16" s="2060"/>
      <c r="U16" s="2060"/>
      <c r="W16" s="1510"/>
    </row>
    <row r="17" spans="1:23" ht="13.9">
      <c r="A17" s="1510" t="str">
        <f ca="1">IF(OR(MAX(G17:Q17)&gt;0.01,MIN(,G17:Q17)&lt;-0.01),"","n")</f>
        <v>n</v>
      </c>
      <c r="B17" s="1510"/>
      <c r="C17" s="2047" t="s">
        <v>1421</v>
      </c>
      <c r="D17" s="1005"/>
      <c r="E17" s="1005"/>
      <c r="F17" s="1005"/>
      <c r="G17" s="2047">
        <f t="shared" ref="G17:M17" ca="1" si="1">SUM(G11:G16)</f>
        <v>0</v>
      </c>
      <c r="H17" s="2047">
        <f t="shared" ca="1" si="1"/>
        <v>0</v>
      </c>
      <c r="I17" s="2047">
        <f t="shared" ca="1" si="1"/>
        <v>0</v>
      </c>
      <c r="J17" s="2047">
        <f t="shared" ca="1" si="1"/>
        <v>0</v>
      </c>
      <c r="K17" s="2047">
        <f t="shared" ca="1" si="1"/>
        <v>0</v>
      </c>
      <c r="L17" s="2047">
        <f t="shared" ca="1" si="1"/>
        <v>0</v>
      </c>
      <c r="M17" s="2047">
        <f t="shared" ca="1" si="1"/>
        <v>0</v>
      </c>
      <c r="N17" s="2047">
        <f ca="1">SUM(N11:N16)</f>
        <v>0</v>
      </c>
      <c r="O17" s="2047">
        <f ca="1">SUM(O11:O16)</f>
        <v>0</v>
      </c>
      <c r="P17" s="2047">
        <f ca="1">SUM(P11:P16)</f>
        <v>0</v>
      </c>
      <c r="Q17" s="2047">
        <f ca="1">SUM(Q11:Q16)</f>
        <v>0</v>
      </c>
      <c r="R17" s="2060"/>
      <c r="S17" s="2060"/>
      <c r="T17" s="2060"/>
      <c r="U17" s="2060"/>
      <c r="W17" s="1510" t="s">
        <v>678</v>
      </c>
    </row>
    <row r="18" spans="1:23" ht="13.9">
      <c r="A18" s="1510"/>
      <c r="B18" s="1510"/>
      <c r="C18" s="2060"/>
      <c r="D18" s="2060"/>
      <c r="E18" s="2060"/>
      <c r="F18" s="2060"/>
      <c r="G18" s="2042"/>
      <c r="H18" s="2042"/>
      <c r="I18" s="2042"/>
      <c r="J18" s="2042"/>
      <c r="K18" s="2042"/>
      <c r="L18" s="2042"/>
      <c r="M18" s="2042"/>
      <c r="N18" s="2042"/>
      <c r="O18" s="2042"/>
      <c r="P18" s="2042"/>
      <c r="Q18" s="2042"/>
      <c r="R18" s="2060"/>
      <c r="S18" s="2060"/>
      <c r="T18" s="2060"/>
      <c r="U18" s="2060"/>
      <c r="W18" s="1510" t="s">
        <v>678</v>
      </c>
    </row>
    <row r="19" spans="1:23" ht="13.9">
      <c r="A19" s="1510" t="str">
        <f>IF(OR(MAX(G19:Q19)&gt;0.01,MIN(,G19:Q19)&lt;-0.01),"","n")</f>
        <v>n</v>
      </c>
      <c r="B19" s="1510"/>
      <c r="C19" s="107" t="s">
        <v>923</v>
      </c>
      <c r="D19" s="2060"/>
      <c r="E19" s="2060"/>
      <c r="F19" s="2060"/>
      <c r="G19" s="1929">
        <f>-'PFI Inputs'!G95</f>
        <v>0</v>
      </c>
      <c r="H19" s="1929">
        <f>-'PFI Inputs'!H95</f>
        <v>0</v>
      </c>
      <c r="I19" s="1929">
        <f>-'PFI Inputs'!I95</f>
        <v>0</v>
      </c>
      <c r="J19" s="1929">
        <f>-'PFI Inputs'!J95</f>
        <v>0</v>
      </c>
      <c r="K19" s="1929">
        <f>-'PFI Inputs'!K95</f>
        <v>0</v>
      </c>
      <c r="L19" s="1929">
        <f>-'PFI Inputs'!L95</f>
        <v>0</v>
      </c>
      <c r="M19" s="1929">
        <f>-'PFI Inputs'!M95</f>
        <v>0</v>
      </c>
      <c r="N19" s="1929">
        <f>-'PFI Inputs'!N95</f>
        <v>0</v>
      </c>
      <c r="O19" s="1929">
        <f>-'PFI Inputs'!O95</f>
        <v>0</v>
      </c>
      <c r="P19" s="1929">
        <f>-'PFI Inputs'!P95</f>
        <v>0</v>
      </c>
      <c r="Q19" s="1929">
        <f>-'PFI Inputs'!Q95</f>
        <v>0</v>
      </c>
      <c r="R19" s="2060"/>
      <c r="S19" s="2060"/>
      <c r="T19" s="2060"/>
      <c r="U19" s="2060"/>
      <c r="W19" s="1510"/>
    </row>
    <row r="20" spans="1:23" ht="13.9">
      <c r="A20" s="1510" t="str">
        <f>IF(OR(MAX(G20:Q20)&gt;0.01,MIN(,G20:Q20)&lt;-0.01),"","n")</f>
        <v>n</v>
      </c>
      <c r="B20" s="1510"/>
      <c r="C20" s="2047" t="s">
        <v>1422</v>
      </c>
      <c r="D20" s="1005"/>
      <c r="E20" s="1005"/>
      <c r="F20" s="1005"/>
      <c r="G20" s="2047">
        <f t="shared" ref="G20:M20" si="2">SUM(G19:G19)</f>
        <v>0</v>
      </c>
      <c r="H20" s="2047">
        <f t="shared" si="2"/>
        <v>0</v>
      </c>
      <c r="I20" s="2047">
        <f t="shared" si="2"/>
        <v>0</v>
      </c>
      <c r="J20" s="2047">
        <f t="shared" si="2"/>
        <v>0</v>
      </c>
      <c r="K20" s="2047">
        <f t="shared" si="2"/>
        <v>0</v>
      </c>
      <c r="L20" s="2047">
        <f t="shared" si="2"/>
        <v>0</v>
      </c>
      <c r="M20" s="2047">
        <f t="shared" si="2"/>
        <v>0</v>
      </c>
      <c r="N20" s="2047">
        <f>SUM(N19:N19)</f>
        <v>0</v>
      </c>
      <c r="O20" s="2047">
        <f>SUM(O19:O19)</f>
        <v>0</v>
      </c>
      <c r="P20" s="2047">
        <f>SUM(P19:P19)</f>
        <v>0</v>
      </c>
      <c r="Q20" s="2047">
        <f>SUM(Q19:Q19)</f>
        <v>0</v>
      </c>
      <c r="R20" s="2060"/>
      <c r="S20" s="2060"/>
      <c r="T20" s="2060"/>
      <c r="U20" s="2060"/>
      <c r="W20" s="1510"/>
    </row>
    <row r="21" spans="1:23" ht="13.9">
      <c r="A21" s="1510"/>
      <c r="B21" s="1510"/>
      <c r="C21" s="2060"/>
      <c r="D21" s="2060"/>
      <c r="E21" s="2060"/>
      <c r="F21" s="2060"/>
      <c r="G21" s="2042"/>
      <c r="H21" s="2042"/>
      <c r="I21" s="2042"/>
      <c r="J21" s="2042"/>
      <c r="K21" s="2042"/>
      <c r="L21" s="2042"/>
      <c r="M21" s="2042"/>
      <c r="N21" s="2042"/>
      <c r="O21" s="2042"/>
      <c r="P21" s="2042"/>
      <c r="Q21" s="2042"/>
      <c r="R21" s="2060"/>
      <c r="S21" s="2060"/>
      <c r="T21" s="2060"/>
      <c r="U21" s="2060"/>
      <c r="W21" s="1510"/>
    </row>
    <row r="22" spans="1:23" s="312" customFormat="1" ht="13.9">
      <c r="A22" s="1510" t="str">
        <f t="shared" ref="A22:A29" si="3">IF(OR(MAX(G22:Q22)&gt;0.01,MIN(,G22:Q22)&lt;-0.01),"","n")</f>
        <v>n</v>
      </c>
      <c r="B22" s="1510"/>
      <c r="C22" s="2060" t="str">
        <f>" Drawdown / (repayment) "&amp;'PFI Inputs'!C218</f>
        <v xml:space="preserve"> Drawdown / (repayment) Short-term borrowings </v>
      </c>
      <c r="D22" s="2060"/>
      <c r="E22" s="2060"/>
      <c r="F22" s="2060"/>
      <c r="G22" s="1929">
        <f>'PFI Inputs'!G220</f>
        <v>0</v>
      </c>
      <c r="H22" s="1929">
        <f>'PFI Inputs'!H220</f>
        <v>0</v>
      </c>
      <c r="I22" s="1929">
        <f>'PFI Inputs'!I220</f>
        <v>0</v>
      </c>
      <c r="J22" s="1929">
        <f>'PFI Inputs'!J220</f>
        <v>0</v>
      </c>
      <c r="K22" s="1929">
        <f>'PFI Inputs'!K220</f>
        <v>0</v>
      </c>
      <c r="L22" s="1929">
        <f>'PFI Inputs'!L220</f>
        <v>0</v>
      </c>
      <c r="M22" s="1929">
        <f>'PFI Inputs'!M220</f>
        <v>0</v>
      </c>
      <c r="N22" s="1929">
        <f>'PFI Inputs'!N220</f>
        <v>0</v>
      </c>
      <c r="O22" s="1929">
        <f>'PFI Inputs'!O220</f>
        <v>0</v>
      </c>
      <c r="P22" s="1929">
        <f>'PFI Inputs'!P220</f>
        <v>0</v>
      </c>
      <c r="Q22" s="1929">
        <f>'PFI Inputs'!Q220</f>
        <v>0</v>
      </c>
      <c r="R22" s="2060"/>
      <c r="S22" s="2060"/>
      <c r="T22" s="2060"/>
      <c r="U22" s="2060"/>
      <c r="W22" s="1510" t="s">
        <v>678</v>
      </c>
    </row>
    <row r="23" spans="1:23" s="312" customFormat="1" ht="13.9">
      <c r="A23" s="1510" t="str">
        <f t="shared" si="3"/>
        <v>n</v>
      </c>
      <c r="B23" s="1510"/>
      <c r="C23" s="2060" t="str">
        <f>" Drawdown / (repayment) "&amp;'PFI Inputs'!C222</f>
        <v xml:space="preserve"> Drawdown / (repayment) Current portion of LT debt</v>
      </c>
      <c r="D23" s="2060"/>
      <c r="E23" s="2060"/>
      <c r="F23" s="2060"/>
      <c r="G23" s="1929">
        <f>'PFI Inputs'!G224</f>
        <v>0</v>
      </c>
      <c r="H23" s="1929">
        <f>'PFI Inputs'!H224</f>
        <v>0</v>
      </c>
      <c r="I23" s="1929">
        <f>'PFI Inputs'!I224</f>
        <v>0</v>
      </c>
      <c r="J23" s="1929">
        <f>'PFI Inputs'!J224</f>
        <v>0</v>
      </c>
      <c r="K23" s="1929">
        <f>'PFI Inputs'!K224</f>
        <v>0</v>
      </c>
      <c r="L23" s="1929">
        <f>'PFI Inputs'!L224</f>
        <v>0</v>
      </c>
      <c r="M23" s="1929">
        <f>'PFI Inputs'!M224</f>
        <v>0</v>
      </c>
      <c r="N23" s="1929">
        <f>'PFI Inputs'!N224</f>
        <v>0</v>
      </c>
      <c r="O23" s="1929">
        <f>'PFI Inputs'!O224</f>
        <v>0</v>
      </c>
      <c r="P23" s="1929">
        <f>'PFI Inputs'!P224</f>
        <v>0</v>
      </c>
      <c r="Q23" s="1929">
        <f>'PFI Inputs'!Q224</f>
        <v>0</v>
      </c>
      <c r="R23" s="2060"/>
      <c r="S23" s="2060"/>
      <c r="T23" s="2060"/>
      <c r="U23" s="2060"/>
      <c r="W23" s="1510"/>
    </row>
    <row r="24" spans="1:23" s="312" customFormat="1" ht="13.9">
      <c r="A24" s="1510" t="str">
        <f t="shared" si="3"/>
        <v>n</v>
      </c>
      <c r="B24" s="1510"/>
      <c r="C24" s="2060" t="str">
        <f>" Drawdown / (repayment) "&amp;'PFI Inputs'!C227</f>
        <v xml:space="preserve"> Drawdown / (repayment) Long-term debt 1</v>
      </c>
      <c r="D24" s="2060"/>
      <c r="E24" s="2060"/>
      <c r="F24" s="2060"/>
      <c r="G24" s="1929">
        <f>'PFI Inputs'!G231</f>
        <v>0</v>
      </c>
      <c r="H24" s="1929">
        <f>'PFI Inputs'!H231</f>
        <v>0</v>
      </c>
      <c r="I24" s="1929">
        <f>'PFI Inputs'!I231</f>
        <v>0</v>
      </c>
      <c r="J24" s="1929">
        <f>'PFI Inputs'!J231</f>
        <v>0</v>
      </c>
      <c r="K24" s="1929">
        <f>'PFI Inputs'!K231</f>
        <v>0</v>
      </c>
      <c r="L24" s="1929">
        <f>'PFI Inputs'!L231</f>
        <v>0</v>
      </c>
      <c r="M24" s="1929">
        <f>'PFI Inputs'!M231</f>
        <v>0</v>
      </c>
      <c r="N24" s="1929">
        <f>'PFI Inputs'!N231</f>
        <v>0</v>
      </c>
      <c r="O24" s="1929">
        <f>'PFI Inputs'!O231</f>
        <v>0</v>
      </c>
      <c r="P24" s="1929">
        <f>'PFI Inputs'!P231</f>
        <v>0</v>
      </c>
      <c r="Q24" s="1929">
        <f>'PFI Inputs'!Q231</f>
        <v>0</v>
      </c>
      <c r="R24" s="2060"/>
      <c r="S24" s="2060"/>
      <c r="T24" s="2060"/>
      <c r="U24" s="2060"/>
      <c r="W24" s="1510"/>
    </row>
    <row r="25" spans="1:23" s="312" customFormat="1" ht="13.9">
      <c r="A25" s="1510" t="str">
        <f t="shared" si="3"/>
        <v>n</v>
      </c>
      <c r="B25" s="1510"/>
      <c r="C25" s="2060" t="str">
        <f>" Drawdown / (repayment) "&amp;'PFI Inputs'!C234</f>
        <v xml:space="preserve"> Drawdown / (repayment) Long-term debt 2</v>
      </c>
      <c r="D25" s="2060"/>
      <c r="E25" s="2060"/>
      <c r="F25" s="2060"/>
      <c r="G25" s="1929">
        <f>+'PFI Inputs'!G238</f>
        <v>0</v>
      </c>
      <c r="H25" s="1929">
        <f>+'PFI Inputs'!H238</f>
        <v>0</v>
      </c>
      <c r="I25" s="1929">
        <f>+'PFI Inputs'!I238</f>
        <v>0</v>
      </c>
      <c r="J25" s="1929">
        <f>+'PFI Inputs'!J238</f>
        <v>0</v>
      </c>
      <c r="K25" s="1929">
        <f>+'PFI Inputs'!K238</f>
        <v>0</v>
      </c>
      <c r="L25" s="1929">
        <f>+'PFI Inputs'!L238</f>
        <v>0</v>
      </c>
      <c r="M25" s="1929">
        <f>+'PFI Inputs'!M238</f>
        <v>0</v>
      </c>
      <c r="N25" s="1929">
        <f>+'PFI Inputs'!N238</f>
        <v>0</v>
      </c>
      <c r="O25" s="1929">
        <f>+'PFI Inputs'!O238</f>
        <v>0</v>
      </c>
      <c r="P25" s="1929">
        <f>+'PFI Inputs'!P238</f>
        <v>0</v>
      </c>
      <c r="Q25" s="1929">
        <f>+'PFI Inputs'!Q238</f>
        <v>0</v>
      </c>
      <c r="R25" s="2060"/>
      <c r="S25" s="2060"/>
      <c r="T25" s="2060"/>
      <c r="U25" s="2060"/>
      <c r="W25" s="1510"/>
    </row>
    <row r="26" spans="1:23" s="312" customFormat="1" ht="13.9">
      <c r="A26" s="1510" t="str">
        <f t="shared" si="3"/>
        <v>n</v>
      </c>
      <c r="B26" s="1510"/>
      <c r="C26" s="2060" t="str">
        <f>" Drawdown / (repayment) "&amp;'PFI Inputs'!C241</f>
        <v xml:space="preserve"> Drawdown / (repayment) Long-term debt 3</v>
      </c>
      <c r="D26" s="2060"/>
      <c r="E26" s="2060"/>
      <c r="F26" s="2060"/>
      <c r="G26" s="1929">
        <f>+'PFI Inputs'!G245</f>
        <v>0</v>
      </c>
      <c r="H26" s="1929">
        <f>+'PFI Inputs'!H245</f>
        <v>0</v>
      </c>
      <c r="I26" s="1929">
        <f>+'PFI Inputs'!I245</f>
        <v>0</v>
      </c>
      <c r="J26" s="1929">
        <f>+'PFI Inputs'!J245</f>
        <v>0</v>
      </c>
      <c r="K26" s="1929">
        <f>+'PFI Inputs'!K245</f>
        <v>0</v>
      </c>
      <c r="L26" s="1929">
        <f>+'PFI Inputs'!L245</f>
        <v>0</v>
      </c>
      <c r="M26" s="1929">
        <f>+'PFI Inputs'!M245</f>
        <v>0</v>
      </c>
      <c r="N26" s="1929">
        <f>+'PFI Inputs'!N245</f>
        <v>0</v>
      </c>
      <c r="O26" s="1929">
        <f>+'PFI Inputs'!O245</f>
        <v>0</v>
      </c>
      <c r="P26" s="1929">
        <f>+'PFI Inputs'!P245</f>
        <v>0</v>
      </c>
      <c r="Q26" s="1929">
        <f>+'PFI Inputs'!Q245</f>
        <v>0</v>
      </c>
      <c r="R26" s="2060"/>
      <c r="S26" s="2060"/>
      <c r="T26" s="2060"/>
      <c r="U26" s="2060"/>
      <c r="W26" s="1510"/>
    </row>
    <row r="27" spans="1:23" s="312" customFormat="1" ht="13.9">
      <c r="A27" s="1510" t="str">
        <f t="shared" si="3"/>
        <v>n</v>
      </c>
      <c r="B27" s="1510"/>
      <c r="C27" s="2060" t="str">
        <f>" Drawdown / (repayment) "&amp;'PFI Inputs'!C248</f>
        <v xml:space="preserve"> Drawdown / (repayment) Capital leases</v>
      </c>
      <c r="D27" s="2060"/>
      <c r="E27" s="2060"/>
      <c r="F27" s="2060"/>
      <c r="G27" s="1929">
        <f>+'PFI Inputs'!G250</f>
        <v>0</v>
      </c>
      <c r="H27" s="1929">
        <f>+'PFI Inputs'!H250</f>
        <v>0</v>
      </c>
      <c r="I27" s="1929">
        <f>+'PFI Inputs'!I250</f>
        <v>0</v>
      </c>
      <c r="J27" s="1929">
        <f>+'PFI Inputs'!J250</f>
        <v>0</v>
      </c>
      <c r="K27" s="1929">
        <f>+'PFI Inputs'!K250</f>
        <v>0</v>
      </c>
      <c r="L27" s="1929">
        <f>+'PFI Inputs'!L250</f>
        <v>0</v>
      </c>
      <c r="M27" s="1929">
        <f>+'PFI Inputs'!M250</f>
        <v>0</v>
      </c>
      <c r="N27" s="1929">
        <f>+'PFI Inputs'!N250</f>
        <v>0</v>
      </c>
      <c r="O27" s="1929">
        <f>+'PFI Inputs'!O250</f>
        <v>0</v>
      </c>
      <c r="P27" s="1929">
        <f>+'PFI Inputs'!P250</f>
        <v>0</v>
      </c>
      <c r="Q27" s="1929">
        <f>+'PFI Inputs'!Q250</f>
        <v>0</v>
      </c>
      <c r="R27" s="2060"/>
      <c r="S27" s="2060"/>
      <c r="T27" s="2060"/>
      <c r="U27" s="2060"/>
      <c r="W27" s="1510"/>
    </row>
    <row r="28" spans="1:23" s="312" customFormat="1" ht="13.9">
      <c r="A28" s="1510" t="str">
        <f t="shared" si="3"/>
        <v>n</v>
      </c>
      <c r="B28" s="1510"/>
      <c r="C28" s="2060" t="str">
        <f>" Drawdown / (repayment) "&amp;'PFI Inputs'!C252</f>
        <v xml:space="preserve"> Drawdown / (repayment) Pension liabilities</v>
      </c>
      <c r="D28" s="2060"/>
      <c r="E28" s="2060"/>
      <c r="F28" s="2060"/>
      <c r="G28" s="1929">
        <f>+'PFI Inputs'!G254</f>
        <v>0</v>
      </c>
      <c r="H28" s="1929">
        <f>+'PFI Inputs'!H254</f>
        <v>0</v>
      </c>
      <c r="I28" s="1929">
        <f>+'PFI Inputs'!I254</f>
        <v>0</v>
      </c>
      <c r="J28" s="1929">
        <f>+'PFI Inputs'!J254</f>
        <v>0</v>
      </c>
      <c r="K28" s="1929">
        <f>+'PFI Inputs'!K254</f>
        <v>0</v>
      </c>
      <c r="L28" s="1929">
        <f>+'PFI Inputs'!L254</f>
        <v>0</v>
      </c>
      <c r="M28" s="1929">
        <f>+'PFI Inputs'!M254</f>
        <v>0</v>
      </c>
      <c r="N28" s="1929">
        <f>+'PFI Inputs'!N254</f>
        <v>0</v>
      </c>
      <c r="O28" s="1929">
        <f>+'PFI Inputs'!O254</f>
        <v>0</v>
      </c>
      <c r="P28" s="1929">
        <f>+'PFI Inputs'!P254</f>
        <v>0</v>
      </c>
      <c r="Q28" s="1929">
        <f>+'PFI Inputs'!Q254</f>
        <v>0</v>
      </c>
      <c r="R28" s="2060"/>
      <c r="S28" s="2060"/>
      <c r="T28" s="2060"/>
      <c r="U28" s="2060"/>
      <c r="W28" s="1510"/>
    </row>
    <row r="29" spans="1:23" s="312" customFormat="1" ht="13.9">
      <c r="A29" s="1510" t="str">
        <f t="shared" si="3"/>
        <v>n</v>
      </c>
      <c r="B29" s="1510"/>
      <c r="C29" s="2060" t="s">
        <v>1423</v>
      </c>
      <c r="D29" s="2060"/>
      <c r="E29" s="2060"/>
      <c r="F29" s="2060"/>
      <c r="G29" s="1929">
        <f>('PFI Inputs'!G282-'PFI Inputs'!F282)*(N(G$9)&gt;0)</f>
        <v>0</v>
      </c>
      <c r="H29" s="1929">
        <f>('PFI Inputs'!H282-'PFI Inputs'!G282)*(N(H$9)&gt;0)</f>
        <v>0</v>
      </c>
      <c r="I29" s="1929">
        <f>('PFI Inputs'!I282-'PFI Inputs'!H282)*(N(I$9)&gt;0)</f>
        <v>0</v>
      </c>
      <c r="J29" s="1929">
        <f>('PFI Inputs'!J282-'PFI Inputs'!I282)*(N(J$9)&gt;0)</f>
        <v>0</v>
      </c>
      <c r="K29" s="1929">
        <f>('PFI Inputs'!K282-'PFI Inputs'!J282)*(N(K$9)&gt;0)</f>
        <v>0</v>
      </c>
      <c r="L29" s="1929">
        <f>('PFI Inputs'!L282-'PFI Inputs'!K282)*(N(L$9)&gt;0)</f>
        <v>0</v>
      </c>
      <c r="M29" s="1929">
        <f>('PFI Inputs'!M282-'PFI Inputs'!L282)*(N(M$9)&gt;0)</f>
        <v>0</v>
      </c>
      <c r="N29" s="1929">
        <f>('PFI Inputs'!N282-'PFI Inputs'!M282)*(N(N$9)&gt;0)</f>
        <v>0</v>
      </c>
      <c r="O29" s="1929">
        <f>('PFI Inputs'!O282-'PFI Inputs'!N282)*(N(O$9)&gt;0)</f>
        <v>0</v>
      </c>
      <c r="P29" s="1929">
        <f>('PFI Inputs'!P282-'PFI Inputs'!O282)*(N(P$9)&gt;0)</f>
        <v>0</v>
      </c>
      <c r="Q29" s="1929">
        <f>('PFI Inputs'!Q282-'PFI Inputs'!P282)*(N(Q$9)&gt;0)</f>
        <v>0</v>
      </c>
      <c r="R29" s="2060"/>
      <c r="S29" s="2060"/>
      <c r="T29" s="2060"/>
      <c r="U29" s="2060"/>
      <c r="W29" s="1510"/>
    </row>
    <row r="30" spans="1:23" s="312" customFormat="1" ht="13.9">
      <c r="A30" s="1510" t="str">
        <f>IF(OR(MAX(G30:Q30)&gt;0.01,MIN(,G30:Q30)&lt;-0.01),"","n")</f>
        <v>n</v>
      </c>
      <c r="B30" s="1510"/>
      <c r="C30" s="2047" t="s">
        <v>1424</v>
      </c>
      <c r="D30" s="1005"/>
      <c r="E30" s="1005"/>
      <c r="F30" s="1005"/>
      <c r="G30" s="2047">
        <f t="shared" ref="G30:M30" si="4">SUM(G22:G29)</f>
        <v>0</v>
      </c>
      <c r="H30" s="2047">
        <f t="shared" si="4"/>
        <v>0</v>
      </c>
      <c r="I30" s="2047">
        <f t="shared" si="4"/>
        <v>0</v>
      </c>
      <c r="J30" s="2047">
        <f t="shared" si="4"/>
        <v>0</v>
      </c>
      <c r="K30" s="2047">
        <f t="shared" si="4"/>
        <v>0</v>
      </c>
      <c r="L30" s="2047">
        <f t="shared" si="4"/>
        <v>0</v>
      </c>
      <c r="M30" s="2047">
        <f t="shared" si="4"/>
        <v>0</v>
      </c>
      <c r="N30" s="2047">
        <f>SUM(N22:N29)</f>
        <v>0</v>
      </c>
      <c r="O30" s="2047">
        <f>SUM(O22:O29)</f>
        <v>0</v>
      </c>
      <c r="P30" s="2047">
        <f>SUM(P22:P29)</f>
        <v>0</v>
      </c>
      <c r="Q30" s="2047">
        <f>SUM(Q22:Q29)</f>
        <v>0</v>
      </c>
      <c r="R30" s="2060"/>
      <c r="S30" s="2060"/>
      <c r="T30" s="2060"/>
      <c r="U30" s="2060"/>
      <c r="W30" s="1510"/>
    </row>
    <row r="31" spans="1:23" s="312" customFormat="1" ht="13.9">
      <c r="A31" s="1510"/>
      <c r="B31" s="1510"/>
      <c r="C31" s="2060"/>
      <c r="D31" s="2060"/>
      <c r="E31" s="2060"/>
      <c r="F31" s="2060"/>
      <c r="G31" s="2042"/>
      <c r="H31" s="2042"/>
      <c r="I31" s="2042"/>
      <c r="J31" s="2042"/>
      <c r="K31" s="2042"/>
      <c r="L31" s="2042"/>
      <c r="M31" s="2042"/>
      <c r="N31" s="2042"/>
      <c r="O31" s="2042"/>
      <c r="P31" s="2042"/>
      <c r="Q31" s="2042"/>
      <c r="R31" s="2060"/>
      <c r="S31" s="2060"/>
      <c r="T31" s="2060"/>
      <c r="U31" s="2060"/>
      <c r="W31" s="1510"/>
    </row>
    <row r="32" spans="1:23" s="312" customFormat="1" ht="13.9">
      <c r="A32" s="1510" t="str">
        <f ca="1">IF(OR(MAX(G32:Q32)&gt;0.01,MIN(,G32:Q32)&lt;-0.01),"","n")</f>
        <v>n</v>
      </c>
      <c r="B32" s="1510"/>
      <c r="C32" s="255" t="s">
        <v>1425</v>
      </c>
      <c r="D32" s="2060"/>
      <c r="E32" s="2060"/>
      <c r="F32" s="2060"/>
      <c r="G32" s="255">
        <f t="shared" ref="G32:M32" ca="1" si="5">G17+G20+G30</f>
        <v>0</v>
      </c>
      <c r="H32" s="255">
        <f t="shared" ca="1" si="5"/>
        <v>0</v>
      </c>
      <c r="I32" s="255">
        <f t="shared" ca="1" si="5"/>
        <v>0</v>
      </c>
      <c r="J32" s="255">
        <f t="shared" ca="1" si="5"/>
        <v>0</v>
      </c>
      <c r="K32" s="255">
        <f t="shared" ca="1" si="5"/>
        <v>0</v>
      </c>
      <c r="L32" s="255">
        <f t="shared" ca="1" si="5"/>
        <v>0</v>
      </c>
      <c r="M32" s="255">
        <f t="shared" ca="1" si="5"/>
        <v>0</v>
      </c>
      <c r="N32" s="255">
        <f ca="1">N17+N20+N30</f>
        <v>0</v>
      </c>
      <c r="O32" s="255">
        <f ca="1">O17+O20+O30</f>
        <v>0</v>
      </c>
      <c r="P32" s="255">
        <f ca="1">P17+P20+P30</f>
        <v>0</v>
      </c>
      <c r="Q32" s="255">
        <f ca="1">Q17+Q20+Q30</f>
        <v>0</v>
      </c>
      <c r="R32" s="2060"/>
      <c r="S32" s="2060"/>
      <c r="T32" s="2060"/>
      <c r="U32" s="2060"/>
      <c r="W32" s="1510"/>
    </row>
    <row r="33" spans="1:23" ht="13.9">
      <c r="A33" s="1510" t="str">
        <f>IF(OR(MAX(G33:Q33)&gt;0.01,MIN(,G33:Q33)&lt;-0.01),"","n")</f>
        <v>n</v>
      </c>
      <c r="B33" s="1510"/>
      <c r="C33" s="255" t="s">
        <v>1426</v>
      </c>
      <c r="D33" s="2060"/>
      <c r="E33" s="2060"/>
      <c r="F33" s="2060"/>
      <c r="G33" s="2057">
        <f>('PFI Inputs'!F108-'PFI Inputs'!G108)*(N(G$9)&gt;0)</f>
        <v>0</v>
      </c>
      <c r="H33" s="2057">
        <f>('PFI Inputs'!G108-'PFI Inputs'!H108)*(N(H$9)&gt;0)</f>
        <v>0</v>
      </c>
      <c r="I33" s="2057">
        <f>('PFI Inputs'!H108-'PFI Inputs'!I108)*(N(I$9)&gt;0)</f>
        <v>0</v>
      </c>
      <c r="J33" s="2057">
        <f>('PFI Inputs'!I108-'PFI Inputs'!J108)*(N(J$9)&gt;0)</f>
        <v>0</v>
      </c>
      <c r="K33" s="2057">
        <f>('PFI Inputs'!J108-'PFI Inputs'!K108)*(N(K$9)&gt;0)</f>
        <v>0</v>
      </c>
      <c r="L33" s="2057">
        <f>('PFI Inputs'!K108-'PFI Inputs'!L108)*(N(L$9)&gt;0)</f>
        <v>0</v>
      </c>
      <c r="M33" s="2057">
        <f>('PFI Inputs'!L108-'PFI Inputs'!M108)*(N(M$9)&gt;0)</f>
        <v>0</v>
      </c>
      <c r="N33" s="2057">
        <f>('PFI Inputs'!M108-'PFI Inputs'!N108)*(N(N$9)&gt;0)</f>
        <v>0</v>
      </c>
      <c r="O33" s="2057">
        <f>('PFI Inputs'!N108-'PFI Inputs'!O108)*(N(O$9)&gt;0)</f>
        <v>0</v>
      </c>
      <c r="P33" s="2057">
        <f>('PFI Inputs'!O108-'PFI Inputs'!P108)*(N(P$9)&gt;0)</f>
        <v>0</v>
      </c>
      <c r="Q33" s="2057">
        <f>('PFI Inputs'!P108-'PFI Inputs'!Q108)*(N(Q$9)&gt;0)</f>
        <v>0</v>
      </c>
      <c r="R33" s="2060"/>
      <c r="S33" s="2060"/>
      <c r="T33" s="2060"/>
      <c r="U33" s="2060"/>
      <c r="W33" s="1510" t="s">
        <v>678</v>
      </c>
    </row>
    <row r="34" spans="1:23" ht="13.9">
      <c r="A34" s="1510"/>
      <c r="B34" s="1510"/>
      <c r="C34" s="255" t="s">
        <v>1427</v>
      </c>
      <c r="D34" s="2060"/>
      <c r="E34" s="2060"/>
      <c r="F34" s="2060"/>
      <c r="G34" s="2057">
        <f t="shared" ref="G34:M34" si="6">F35*(N(G$9)&gt;0)</f>
        <v>0</v>
      </c>
      <c r="H34" s="2057">
        <f t="shared" ca="1" si="6"/>
        <v>0</v>
      </c>
      <c r="I34" s="2057">
        <f t="shared" ca="1" si="6"/>
        <v>0</v>
      </c>
      <c r="J34" s="2057">
        <f t="shared" ca="1" si="6"/>
        <v>0</v>
      </c>
      <c r="K34" s="2057">
        <f t="shared" ca="1" si="6"/>
        <v>0</v>
      </c>
      <c r="L34" s="2057">
        <f t="shared" ca="1" si="6"/>
        <v>0</v>
      </c>
      <c r="M34" s="2057">
        <f t="shared" ca="1" si="6"/>
        <v>0</v>
      </c>
      <c r="N34" s="2057">
        <f ca="1">M35*(N(N$9)&gt;0)</f>
        <v>0</v>
      </c>
      <c r="O34" s="2057">
        <f ca="1">N35*(N(O$9)&gt;0)</f>
        <v>0</v>
      </c>
      <c r="P34" s="2057">
        <f ca="1">O35*(N(P$9)&gt;0)</f>
        <v>0</v>
      </c>
      <c r="Q34" s="2057">
        <f ca="1">P35*(N(Q$9)&gt;0)</f>
        <v>0</v>
      </c>
      <c r="R34" s="2060"/>
      <c r="S34" s="2060"/>
      <c r="T34" s="2060"/>
      <c r="U34" s="2060"/>
      <c r="W34" s="1510"/>
    </row>
    <row r="35" spans="1:23" ht="13.9">
      <c r="A35" s="1510" t="str">
        <f ca="1">IF(OR(MAX(G35:Q35)&gt;0.01,MIN(,G35:Q35)&lt;-0.01),"","n")</f>
        <v>n</v>
      </c>
      <c r="B35" s="1510"/>
      <c r="C35" s="2049" t="s">
        <v>1428</v>
      </c>
      <c r="D35" s="2050"/>
      <c r="E35" s="2050"/>
      <c r="F35" s="2050"/>
      <c r="G35" s="2048">
        <f t="shared" ref="G35:M35" ca="1" si="7">SUM(G32:G34)</f>
        <v>0</v>
      </c>
      <c r="H35" s="2048">
        <f t="shared" ca="1" si="7"/>
        <v>0</v>
      </c>
      <c r="I35" s="2048">
        <f t="shared" ca="1" si="7"/>
        <v>0</v>
      </c>
      <c r="J35" s="2048">
        <f t="shared" ca="1" si="7"/>
        <v>0</v>
      </c>
      <c r="K35" s="2048">
        <f t="shared" ca="1" si="7"/>
        <v>0</v>
      </c>
      <c r="L35" s="2048">
        <f t="shared" ca="1" si="7"/>
        <v>0</v>
      </c>
      <c r="M35" s="2048">
        <f t="shared" ca="1" si="7"/>
        <v>0</v>
      </c>
      <c r="N35" s="2048">
        <f ca="1">SUM(N32:N34)</f>
        <v>0</v>
      </c>
      <c r="O35" s="2048">
        <f ca="1">SUM(O32:O34)</f>
        <v>0</v>
      </c>
      <c r="P35" s="2048">
        <f ca="1">SUM(P32:P34)</f>
        <v>0</v>
      </c>
      <c r="Q35" s="2048">
        <f ca="1">SUM(Q32:Q34)</f>
        <v>0</v>
      </c>
      <c r="R35" s="2060"/>
      <c r="S35" s="2060"/>
      <c r="T35" s="2060"/>
      <c r="U35" s="2060"/>
      <c r="W35" s="1510" t="s">
        <v>678</v>
      </c>
    </row>
    <row r="36" spans="1:23" ht="13.9">
      <c r="A36" s="1510"/>
      <c r="B36" s="1510"/>
      <c r="C36" s="2060"/>
      <c r="D36" s="2060"/>
      <c r="E36" s="2060"/>
      <c r="F36" s="2060"/>
      <c r="G36" s="2060"/>
      <c r="H36" s="2060"/>
      <c r="I36" s="2060"/>
      <c r="J36" s="2060"/>
      <c r="K36" s="2060"/>
      <c r="L36" s="2060"/>
      <c r="M36" s="2060"/>
      <c r="N36" s="2060"/>
      <c r="O36" s="2060"/>
      <c r="P36" s="2060"/>
      <c r="Q36" s="2060"/>
      <c r="R36" s="2060"/>
      <c r="S36" s="2060"/>
      <c r="T36" s="2060"/>
      <c r="U36" s="2060"/>
      <c r="W36" s="1510" t="s">
        <v>678</v>
      </c>
    </row>
    <row r="37" spans="1:23" ht="13.9">
      <c r="A37" s="1510" t="s">
        <v>17</v>
      </c>
      <c r="B37" s="1510"/>
      <c r="C37" s="255" t="s">
        <v>1429</v>
      </c>
      <c r="D37" s="2060"/>
      <c r="E37" s="2060"/>
      <c r="F37" s="2060"/>
      <c r="G37" s="2060">
        <f>'PFI Inputs'!G105-'PFI Inputs'!G185</f>
        <v>0</v>
      </c>
      <c r="H37" s="2060">
        <f>'PFI Inputs'!H105-'PFI Inputs'!H185</f>
        <v>0</v>
      </c>
      <c r="I37" s="2060">
        <f>'PFI Inputs'!I105-'PFI Inputs'!I185</f>
        <v>0</v>
      </c>
      <c r="J37" s="2060">
        <f>'PFI Inputs'!J105-'PFI Inputs'!J185</f>
        <v>0</v>
      </c>
      <c r="K37" s="2060">
        <f>'PFI Inputs'!K105-'PFI Inputs'!K185</f>
        <v>0</v>
      </c>
      <c r="L37" s="2060">
        <f>'PFI Inputs'!L105-'PFI Inputs'!L185</f>
        <v>0</v>
      </c>
      <c r="M37" s="2060">
        <f>'PFI Inputs'!M105-'PFI Inputs'!M185</f>
        <v>0</v>
      </c>
      <c r="N37" s="2060">
        <f>'PFI Inputs'!N105-'PFI Inputs'!N185</f>
        <v>0</v>
      </c>
      <c r="O37" s="2060">
        <f>'PFI Inputs'!O105-'PFI Inputs'!O185</f>
        <v>0</v>
      </c>
      <c r="P37" s="2060">
        <f>'PFI Inputs'!P105-'PFI Inputs'!P185</f>
        <v>0</v>
      </c>
      <c r="Q37" s="2060">
        <f>'PFI Inputs'!Q105-'PFI Inputs'!Q185</f>
        <v>0</v>
      </c>
      <c r="R37" s="2060"/>
      <c r="S37" s="2060"/>
      <c r="T37" s="2060"/>
      <c r="U37" s="2060"/>
      <c r="W37" s="1510"/>
    </row>
    <row r="38" spans="1:23" ht="13.9">
      <c r="A38" s="1510" t="s">
        <v>17</v>
      </c>
      <c r="B38" s="1510"/>
      <c r="C38" s="255" t="s">
        <v>1430</v>
      </c>
      <c r="D38" s="2060"/>
      <c r="E38" s="2060"/>
      <c r="F38" s="2060"/>
      <c r="G38" s="2060">
        <f t="shared" ref="G38:M38" ca="1" si="8">ROUND(G37-G35,2)</f>
        <v>0</v>
      </c>
      <c r="H38" s="2060">
        <f t="shared" ca="1" si="8"/>
        <v>0</v>
      </c>
      <c r="I38" s="2060">
        <f t="shared" ca="1" si="8"/>
        <v>0</v>
      </c>
      <c r="J38" s="2060">
        <f t="shared" ca="1" si="8"/>
        <v>0</v>
      </c>
      <c r="K38" s="2060">
        <f t="shared" ca="1" si="8"/>
        <v>0</v>
      </c>
      <c r="L38" s="2060">
        <f t="shared" ca="1" si="8"/>
        <v>0</v>
      </c>
      <c r="M38" s="2060">
        <f t="shared" ca="1" si="8"/>
        <v>0</v>
      </c>
      <c r="N38" s="2060">
        <f ca="1">ROUND(N37-N35,2)</f>
        <v>0</v>
      </c>
      <c r="O38" s="2060">
        <f ca="1">ROUND(O37-O35,2)</f>
        <v>0</v>
      </c>
      <c r="P38" s="2060">
        <f ca="1">ROUND(P37-P35,2)</f>
        <v>0</v>
      </c>
      <c r="Q38" s="2060">
        <f ca="1">ROUND(Q37-Q35,2)</f>
        <v>0</v>
      </c>
      <c r="R38" s="2060"/>
      <c r="S38" s="2060"/>
      <c r="T38" s="2060"/>
      <c r="U38" s="2060"/>
      <c r="W38" s="1510" t="s">
        <v>678</v>
      </c>
    </row>
    <row r="39" spans="1:23" ht="13.9">
      <c r="A39" s="1510" t="str">
        <f ca="1">IF(OR(MAX(G39:Q39)&gt;0.01,MIN(,G39:Q39)&lt;-0.01),"","n")</f>
        <v>n</v>
      </c>
      <c r="B39" s="1510"/>
      <c r="C39" s="323" t="s">
        <v>1080</v>
      </c>
      <c r="D39" s="323"/>
      <c r="E39" s="323"/>
      <c r="F39" s="532"/>
      <c r="G39" s="2056" t="str">
        <f t="shared" ref="G39:Q39" ca="1" si="9">IF(G9="","-",IF(ROUND(G38,0)=0,Pass,Fail))</f>
        <v>OK</v>
      </c>
      <c r="H39" s="2056" t="str">
        <f t="shared" ca="1" si="9"/>
        <v>OK</v>
      </c>
      <c r="I39" s="2056" t="str">
        <f t="shared" ca="1" si="9"/>
        <v>OK</v>
      </c>
      <c r="J39" s="2056" t="str">
        <f t="shared" ca="1" si="9"/>
        <v>OK</v>
      </c>
      <c r="K39" s="2056" t="str">
        <f t="shared" ca="1" si="9"/>
        <v>OK</v>
      </c>
      <c r="L39" s="2056" t="str">
        <f t="shared" ca="1" si="9"/>
        <v>OK</v>
      </c>
      <c r="M39" s="2056" t="str">
        <f t="shared" ca="1" si="9"/>
        <v>OK</v>
      </c>
      <c r="N39" s="2056" t="str">
        <f t="shared" ca="1" si="9"/>
        <v>OK</v>
      </c>
      <c r="O39" s="2056" t="str">
        <f t="shared" si="9"/>
        <v>-</v>
      </c>
      <c r="P39" s="2056" t="str">
        <f t="shared" si="9"/>
        <v>-</v>
      </c>
      <c r="Q39" s="2056" t="str">
        <f t="shared" si="9"/>
        <v>-</v>
      </c>
      <c r="R39" s="2060"/>
      <c r="S39" s="2060"/>
      <c r="U39" s="2060"/>
      <c r="W39" s="1510" t="s">
        <v>678</v>
      </c>
    </row>
    <row r="40" spans="1:23" ht="13.9">
      <c r="A40" s="1510"/>
      <c r="B40" s="1510"/>
      <c r="C40" s="1531"/>
      <c r="D40" s="1531"/>
      <c r="E40" s="1531"/>
      <c r="F40" s="1517"/>
      <c r="G40" s="1582"/>
      <c r="H40" s="1582"/>
      <c r="I40" s="1535"/>
      <c r="J40" s="1535"/>
      <c r="K40" s="1535"/>
      <c r="L40" s="1535"/>
      <c r="M40" s="1535"/>
      <c r="N40" s="1535"/>
      <c r="O40" s="1535"/>
      <c r="P40" s="1535"/>
      <c r="Q40" s="1535"/>
      <c r="R40" s="2060"/>
      <c r="S40" s="2060"/>
      <c r="T40" s="2060"/>
      <c r="U40" s="2060"/>
      <c r="W40" s="1510"/>
    </row>
    <row r="41" spans="1:23" ht="13.9">
      <c r="A41" s="1510"/>
      <c r="B41" s="1510"/>
      <c r="C41" s="1539" t="s">
        <v>1431</v>
      </c>
      <c r="D41" s="1531"/>
      <c r="E41" s="1531"/>
      <c r="F41" s="1517"/>
      <c r="G41" s="1582"/>
      <c r="H41" s="1535"/>
      <c r="I41" s="1535"/>
      <c r="J41" s="1535"/>
      <c r="K41" s="1535"/>
      <c r="L41" s="1535"/>
      <c r="M41" s="1535"/>
      <c r="N41" s="1535"/>
      <c r="O41" s="1535"/>
      <c r="P41" s="1535"/>
      <c r="Q41" s="1535"/>
      <c r="R41" s="1536"/>
      <c r="S41" s="1536"/>
      <c r="T41" s="1536"/>
      <c r="U41" s="1536"/>
      <c r="W41" s="1510"/>
    </row>
    <row r="42" spans="1:23" ht="13.9">
      <c r="A42" s="1510"/>
      <c r="B42" s="1510"/>
      <c r="C42" s="1545" t="s">
        <v>1415</v>
      </c>
      <c r="D42" s="1545"/>
      <c r="E42" s="1545"/>
      <c r="F42" s="1532"/>
      <c r="G42" s="1582"/>
      <c r="H42" s="325"/>
      <c r="I42" s="325"/>
      <c r="J42" s="325"/>
      <c r="K42" s="325"/>
      <c r="L42" s="325"/>
      <c r="M42" s="325"/>
      <c r="N42" s="325"/>
      <c r="O42" s="325"/>
      <c r="P42" s="325"/>
      <c r="Q42" s="325"/>
      <c r="R42" s="1536"/>
      <c r="S42" s="1536"/>
      <c r="T42" s="1536"/>
      <c r="U42" s="1536"/>
      <c r="W42" s="1510" t="s">
        <v>678</v>
      </c>
    </row>
    <row r="43" spans="1:23" ht="13.9">
      <c r="A43" s="1510"/>
      <c r="B43" s="1510"/>
      <c r="C43" s="373" t="str">
        <f ca="1">FootnoteDRAFT</f>
        <v>Run date: 05-August-2018  02:34 PM.   DRAFT document. All data subject to change upon completion of additional analysis.</v>
      </c>
      <c r="D43" s="373"/>
      <c r="E43" s="373"/>
      <c r="F43" s="356"/>
      <c r="G43" s="622"/>
      <c r="H43" s="356"/>
      <c r="I43" s="356"/>
      <c r="J43" s="356"/>
      <c r="K43" s="356"/>
      <c r="L43" s="356"/>
      <c r="M43" s="356"/>
      <c r="N43" s="356"/>
      <c r="O43" s="356"/>
      <c r="P43" s="356"/>
      <c r="Q43" s="356"/>
      <c r="R43" s="1529"/>
      <c r="S43" s="1529"/>
      <c r="T43" s="1529"/>
      <c r="U43" s="1529"/>
      <c r="V43" s="358"/>
      <c r="W43" s="1510" t="s">
        <v>678</v>
      </c>
    </row>
    <row r="44" spans="1:23" ht="12" customHeight="1">
      <c r="A44" s="1510" t="s">
        <v>17</v>
      </c>
      <c r="B44" s="1510"/>
      <c r="C44" s="1510"/>
      <c r="D44" s="1510"/>
      <c r="E44" s="1510"/>
      <c r="F44" s="1510"/>
      <c r="G44" s="683"/>
      <c r="H44" s="1510"/>
      <c r="I44" s="1510"/>
      <c r="J44" s="1510"/>
      <c r="K44" s="1510"/>
      <c r="L44" s="1510"/>
      <c r="M44" s="1510"/>
      <c r="N44" s="1510"/>
      <c r="O44" s="1510"/>
      <c r="P44" s="1510"/>
      <c r="Q44" s="1510"/>
      <c r="R44" s="1510"/>
      <c r="S44" s="1510"/>
      <c r="T44" s="1510"/>
      <c r="U44" s="1510"/>
      <c r="V44" s="1484" t="s">
        <v>18</v>
      </c>
      <c r="W44" s="1510" t="s">
        <v>678</v>
      </c>
    </row>
    <row r="45" spans="1:23" ht="12" customHeight="1">
      <c r="A45" s="1510"/>
      <c r="B45" s="1510"/>
      <c r="C45" s="1510"/>
      <c r="D45" s="1510"/>
      <c r="E45" s="1510"/>
      <c r="F45" s="1510"/>
      <c r="G45" s="701"/>
      <c r="H45" s="1510"/>
      <c r="I45" s="1510"/>
      <c r="J45" s="1510"/>
      <c r="K45" s="1510"/>
      <c r="L45" s="1510"/>
      <c r="M45" s="1510"/>
      <c r="N45" s="1510"/>
      <c r="O45" s="1510"/>
      <c r="P45" s="1510"/>
      <c r="Q45" s="1510"/>
      <c r="R45" s="1510"/>
      <c r="S45" s="1510"/>
      <c r="T45" s="1510"/>
      <c r="U45" s="1510"/>
      <c r="V45" s="1510"/>
      <c r="W45" s="1510"/>
    </row>
    <row r="46" spans="1:23" ht="12" customHeight="1">
      <c r="G46" s="1578"/>
    </row>
    <row r="47" spans="1:23" ht="12" customHeight="1">
      <c r="G47" s="1578"/>
    </row>
    <row r="48" spans="1:23" ht="12" customHeight="1">
      <c r="G48" s="1578"/>
    </row>
  </sheetData>
  <autoFilter ref="A1:A44"/>
  <conditionalFormatting sqref="B1">
    <cfRule type="cellIs" dxfId="186" priority="23" operator="notEqual">
      <formula>0</formula>
    </cfRule>
  </conditionalFormatting>
  <conditionalFormatting sqref="A2:A4 A40:A45 A6:A38">
    <cfRule type="expression" dxfId="185" priority="21">
      <formula>AND(MasterCheck&gt;0,RedAlertY=TRUE)</formula>
    </cfRule>
  </conditionalFormatting>
  <conditionalFormatting sqref="A5">
    <cfRule type="expression" dxfId="184" priority="20">
      <formula>AND(MasterCheck,REDLAERTY=TRUE)&gt;0</formula>
    </cfRule>
  </conditionalFormatting>
  <conditionalFormatting sqref="H8:Q8">
    <cfRule type="expression" dxfId="183" priority="8">
      <formula>H$11=""</formula>
    </cfRule>
  </conditionalFormatting>
  <conditionalFormatting sqref="A39">
    <cfRule type="expression" dxfId="182" priority="5">
      <formula>AND(MasterCheck&gt;0,RedAlertY=TRUE)</formula>
    </cfRule>
  </conditionalFormatting>
  <conditionalFormatting sqref="G39:Q39">
    <cfRule type="cellIs" dxfId="181" priority="4" operator="notEqual">
      <formula>"OK"</formula>
    </cfRule>
  </conditionalFormatting>
  <conditionalFormatting sqref="N8:Q8">
    <cfRule type="expression" dxfId="180" priority="3">
      <formula>N$11=""</formula>
    </cfRule>
  </conditionalFormatting>
  <conditionalFormatting sqref="G39:Q39">
    <cfRule type="cellIs" dxfId="179" priority="2" operator="notEqual">
      <formula>"OK"</formula>
    </cfRule>
  </conditionalFormatting>
  <conditionalFormatting sqref="G9:Q9">
    <cfRule type="expression" dxfId="178" priority="1">
      <formula>G$11=""</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44" max="16383"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IC">
    <tabColor rgb="FF99FF66"/>
    <pageSetUpPr autoPageBreaks="0"/>
  </sheetPr>
  <dimension ref="A1:AJ59"/>
  <sheetViews>
    <sheetView showGridLines="0" zoomScale="85" zoomScaleNormal="85" workbookViewId="0"/>
  </sheetViews>
  <sheetFormatPr defaultColWidth="16.5" defaultRowHeight="12.95" customHeight="1"/>
  <cols>
    <col min="1" max="1" width="2.83203125" style="93" customWidth="1"/>
    <col min="2" max="2" width="3.83203125" style="178" customWidth="1"/>
    <col min="3" max="3" width="34.5" style="93" customWidth="1"/>
    <col min="4" max="11" width="12.1640625" style="93" customWidth="1"/>
    <col min="12" max="12" width="4.83203125" style="93" customWidth="1"/>
    <col min="13" max="16" width="12.1640625" style="93" customWidth="1"/>
    <col min="17" max="17" width="12" style="93" customWidth="1"/>
    <col min="18" max="19" width="12" style="1506" customWidth="1"/>
    <col min="20" max="20" width="5.83203125" style="93" customWidth="1"/>
    <col min="21" max="16384" width="16.5" style="93"/>
  </cols>
  <sheetData>
    <row r="1" spans="1:36" ht="18" customHeight="1">
      <c r="A1" s="1510"/>
      <c r="B1" s="649">
        <f ca="1">SUMPRODUCT(--ISERROR($C$1:T43))+COUNTIF($C$1:T43,Fail)</f>
        <v>0</v>
      </c>
      <c r="C1" s="1372" t="str">
        <f>START!$C$1</f>
        <v>Client Name</v>
      </c>
      <c r="D1" s="172"/>
      <c r="E1" s="172"/>
      <c r="F1" s="172"/>
      <c r="G1" s="172"/>
      <c r="H1" s="172"/>
      <c r="I1" s="172"/>
      <c r="J1" s="172"/>
      <c r="K1" s="172"/>
      <c r="L1" s="172"/>
      <c r="M1" s="172"/>
      <c r="N1" s="172"/>
      <c r="O1" s="172"/>
      <c r="P1" s="172"/>
      <c r="Q1" s="172"/>
      <c r="R1" s="172"/>
      <c r="S1" s="172"/>
      <c r="T1" s="389" t="s">
        <v>854</v>
      </c>
      <c r="U1" s="238"/>
      <c r="V1" s="1506"/>
      <c r="W1" s="1506"/>
      <c r="X1" s="1506"/>
      <c r="Y1" s="1506"/>
      <c r="Z1" s="2060"/>
      <c r="AA1" s="2060"/>
      <c r="AB1" s="2060"/>
      <c r="AC1" s="2060"/>
      <c r="AD1" s="2060"/>
      <c r="AE1" s="2060"/>
      <c r="AF1" s="2060"/>
      <c r="AG1" s="2060"/>
      <c r="AH1" s="2060"/>
      <c r="AI1" s="2060"/>
      <c r="AJ1" s="1506"/>
    </row>
    <row r="2" spans="1:36" s="322" customFormat="1" ht="18" customHeight="1">
      <c r="A2" s="1510"/>
      <c r="B2" s="649"/>
      <c r="C2" s="1372" t="str">
        <f>START!$C$2</f>
        <v xml:space="preserve">Please enter project description in START worksheet cell G13 </v>
      </c>
      <c r="D2" s="172"/>
      <c r="E2" s="172"/>
      <c r="F2" s="172"/>
      <c r="G2" s="172"/>
      <c r="H2" s="172"/>
      <c r="I2" s="172"/>
      <c r="J2" s="172"/>
      <c r="K2" s="172"/>
      <c r="L2" s="172"/>
      <c r="M2" s="172"/>
      <c r="N2" s="172"/>
      <c r="O2" s="172"/>
      <c r="P2" s="172"/>
      <c r="Q2" s="172"/>
      <c r="R2" s="172"/>
      <c r="S2" s="172"/>
      <c r="T2" s="389"/>
      <c r="U2" s="238"/>
      <c r="V2" s="1506"/>
      <c r="W2" s="1506"/>
      <c r="X2" s="1506"/>
      <c r="Y2" s="1506"/>
      <c r="Z2" s="2060"/>
      <c r="AA2" s="2060"/>
      <c r="AB2" s="2060"/>
      <c r="AC2" s="2060"/>
      <c r="AD2" s="2060"/>
      <c r="AE2" s="2060"/>
      <c r="AF2" s="2060"/>
      <c r="AG2" s="2060"/>
      <c r="AH2" s="2060"/>
      <c r="AI2" s="2060"/>
      <c r="AJ2" s="1506"/>
    </row>
    <row r="3" spans="1:36" ht="18" customHeight="1">
      <c r="A3" s="1510"/>
      <c r="B3" s="1510"/>
      <c r="C3" s="839" t="str">
        <f>EVorTICFull</f>
        <v>Total invested capital</v>
      </c>
      <c r="D3" s="172"/>
      <c r="E3" s="172"/>
      <c r="F3" s="172"/>
      <c r="G3" s="172"/>
      <c r="H3" s="172"/>
      <c r="I3" s="172"/>
      <c r="J3" s="172"/>
      <c r="K3" s="172"/>
      <c r="L3" s="172"/>
      <c r="M3" s="172"/>
      <c r="N3" s="172"/>
      <c r="O3" s="172"/>
      <c r="P3" s="172"/>
      <c r="Q3" s="172"/>
      <c r="R3" s="172"/>
      <c r="S3" s="172"/>
      <c r="T3" s="1506"/>
      <c r="U3" s="238"/>
      <c r="V3" s="1506"/>
      <c r="W3" s="1506"/>
      <c r="X3" s="1506"/>
      <c r="Y3" s="1506"/>
      <c r="Z3" s="2060"/>
      <c r="AA3" s="2060"/>
      <c r="AB3" s="2060"/>
      <c r="AC3" s="2060"/>
      <c r="AD3" s="2060"/>
      <c r="AE3" s="2060"/>
      <c r="AF3" s="2060"/>
      <c r="AG3" s="2060"/>
      <c r="AH3" s="2060"/>
      <c r="AI3" s="2060"/>
      <c r="AJ3" s="1506"/>
    </row>
    <row r="4" spans="1:36" ht="18" customHeight="1">
      <c r="A4" s="1510"/>
      <c r="B4" s="1510"/>
      <c r="C4" s="840" t="str">
        <f>ValDateHeading</f>
        <v>Estimation of value as of 28 February 2017</v>
      </c>
      <c r="D4" s="172"/>
      <c r="E4" s="172"/>
      <c r="F4" s="172"/>
      <c r="G4" s="172"/>
      <c r="H4" s="172"/>
      <c r="I4" s="172"/>
      <c r="J4" s="172"/>
      <c r="K4" s="172"/>
      <c r="L4" s="172"/>
      <c r="M4" s="172"/>
      <c r="N4" s="172"/>
      <c r="O4" s="172"/>
      <c r="P4" s="172"/>
      <c r="Q4" s="172"/>
      <c r="R4" s="172"/>
      <c r="S4" s="172"/>
      <c r="T4" s="1506"/>
      <c r="U4" s="238"/>
      <c r="V4" s="1506"/>
      <c r="W4" s="1506"/>
      <c r="X4" s="1506"/>
      <c r="Y4" s="1506"/>
      <c r="Z4" s="2060"/>
      <c r="AA4" s="2060"/>
      <c r="AB4" s="2060"/>
      <c r="AC4" s="2060"/>
      <c r="AD4" s="2060"/>
      <c r="AE4" s="2060"/>
      <c r="AF4" s="2060"/>
      <c r="AG4" s="2060"/>
      <c r="AH4" s="2060"/>
      <c r="AI4" s="2060"/>
      <c r="AJ4" s="1506"/>
    </row>
    <row r="5" spans="1:36" ht="18" customHeight="1">
      <c r="A5" s="1417"/>
      <c r="B5" s="1510"/>
      <c r="C5" s="769"/>
      <c r="D5" s="172"/>
      <c r="E5" s="172"/>
      <c r="F5" s="172"/>
      <c r="G5" s="172"/>
      <c r="H5" s="172"/>
      <c r="I5" s="172"/>
      <c r="J5" s="172"/>
      <c r="K5" s="172"/>
      <c r="L5" s="172"/>
      <c r="M5" s="172"/>
      <c r="N5" s="172"/>
      <c r="O5" s="172"/>
      <c r="P5" s="172"/>
      <c r="Q5" s="172"/>
      <c r="R5" s="172"/>
      <c r="S5" s="172"/>
      <c r="T5" s="1506"/>
      <c r="U5" s="238"/>
      <c r="V5" s="1506"/>
      <c r="W5" s="1506"/>
      <c r="X5" s="1506"/>
      <c r="Y5" s="1506"/>
      <c r="Z5" s="2060"/>
      <c r="AA5" s="2060"/>
      <c r="AB5" s="2060"/>
      <c r="AC5" s="2060"/>
      <c r="AD5" s="2060"/>
      <c r="AE5" s="2060"/>
      <c r="AF5" s="2060"/>
      <c r="AG5" s="2060"/>
      <c r="AH5" s="2060"/>
      <c r="AI5" s="2060"/>
      <c r="AJ5" s="1506"/>
    </row>
    <row r="6" spans="1:36" ht="12.95" customHeight="1">
      <c r="A6" s="1417"/>
      <c r="B6" s="1510"/>
      <c r="C6" s="1511"/>
      <c r="D6" s="1506"/>
      <c r="E6" s="15"/>
      <c r="F6" s="255"/>
      <c r="G6" s="1513"/>
      <c r="H6" s="1506"/>
      <c r="I6" s="1506"/>
      <c r="J6" s="1506"/>
      <c r="K6" s="1506"/>
      <c r="L6" s="1506"/>
      <c r="M6" s="1506"/>
      <c r="N6" s="1506"/>
      <c r="O6" s="1506"/>
      <c r="P6" s="1506"/>
      <c r="Q6" s="1506"/>
      <c r="T6" s="1506"/>
      <c r="U6" s="238"/>
      <c r="V6" s="608" t="s">
        <v>1432</v>
      </c>
      <c r="W6" s="608" t="s">
        <v>1433</v>
      </c>
      <c r="X6" s="238"/>
      <c r="Y6" s="1506"/>
      <c r="Z6" s="238"/>
      <c r="AA6" s="238"/>
      <c r="AB6" s="2060"/>
      <c r="AC6" s="2060"/>
      <c r="AD6" s="2060"/>
      <c r="AE6" s="2060"/>
      <c r="AF6" s="2060"/>
      <c r="AG6" s="2060"/>
      <c r="AH6" s="2060"/>
      <c r="AI6" s="2060"/>
      <c r="AJ6" s="1506"/>
    </row>
    <row r="7" spans="1:36" ht="12.95" customHeight="1">
      <c r="A7" s="1417"/>
      <c r="B7" s="1510"/>
      <c r="C7" s="734"/>
      <c r="D7" s="734"/>
      <c r="E7" s="724"/>
      <c r="F7" s="724"/>
      <c r="G7" s="734"/>
      <c r="H7" s="724"/>
      <c r="I7" s="734"/>
      <c r="J7" s="734"/>
      <c r="K7" s="734"/>
      <c r="L7" s="734"/>
      <c r="M7" s="734"/>
      <c r="N7" s="734"/>
      <c r="O7" s="734"/>
      <c r="P7" s="734"/>
      <c r="Q7" s="734"/>
      <c r="T7" s="1506"/>
      <c r="U7" s="238"/>
      <c r="V7" s="238"/>
      <c r="W7" s="608" t="str">
        <f>IF(MySubArea="US","Total","")</f>
        <v/>
      </c>
      <c r="X7" s="608" t="s">
        <v>1430</v>
      </c>
      <c r="Y7" s="1506"/>
      <c r="Z7" s="608" t="s">
        <v>1434</v>
      </c>
      <c r="AA7" s="608" t="s">
        <v>1430</v>
      </c>
      <c r="AB7" s="1506"/>
      <c r="AC7" s="2060"/>
      <c r="AD7" s="2060"/>
      <c r="AE7" s="2060"/>
      <c r="AF7" s="2060"/>
      <c r="AG7" s="2060"/>
      <c r="AH7" s="2060"/>
      <c r="AI7" s="2060"/>
      <c r="AJ7" s="2060"/>
    </row>
    <row r="8" spans="1:36" ht="12.95" customHeight="1">
      <c r="A8" s="1417"/>
      <c r="B8" s="1510"/>
      <c r="C8" s="1213"/>
      <c r="D8" s="1213"/>
      <c r="E8" s="1214"/>
      <c r="F8" s="1214"/>
      <c r="G8" s="1214" t="s">
        <v>1246</v>
      </c>
      <c r="H8" s="1214" t="s">
        <v>1247</v>
      </c>
      <c r="I8" s="1214" t="s">
        <v>1248</v>
      </c>
      <c r="J8" s="1214" t="s">
        <v>1236</v>
      </c>
      <c r="K8" s="1214" t="str">
        <f>'WACC and TIC Inputs'!N218</f>
        <v>Total</v>
      </c>
      <c r="L8" s="734"/>
      <c r="M8" s="1214" t="s">
        <v>1249</v>
      </c>
      <c r="N8" s="1214" t="s">
        <v>1250</v>
      </c>
      <c r="O8" s="1214" t="s">
        <v>1249</v>
      </c>
      <c r="P8" s="1214" t="s">
        <v>1249</v>
      </c>
      <c r="Q8" s="1214" t="str">
        <f>IF(MySubArea="US","Total","")</f>
        <v/>
      </c>
      <c r="R8" s="1214" t="str">
        <f>EVorTIC</f>
        <v>TIC</v>
      </c>
      <c r="S8" s="1214" t="str">
        <f>'WACC and TIC Inputs'!V218</f>
        <v/>
      </c>
      <c r="T8" s="1506"/>
      <c r="U8" s="238"/>
      <c r="V8" s="608" t="str">
        <f>IF(MySubArea="US","Invested","Enterprise")</f>
        <v>Enterprise</v>
      </c>
      <c r="W8" s="608" t="str">
        <f>IF(MySubArea="US","Invested","Enterprise")</f>
        <v>Enterprise</v>
      </c>
      <c r="X8" s="608" t="s">
        <v>1435</v>
      </c>
      <c r="Y8" s="1506"/>
      <c r="Z8" s="608" t="s">
        <v>1436</v>
      </c>
      <c r="AA8" s="608" t="s">
        <v>1435</v>
      </c>
      <c r="AB8" s="2060"/>
      <c r="AC8" s="2060"/>
      <c r="AD8" s="2060"/>
      <c r="AE8" s="2060"/>
      <c r="AF8" s="2060"/>
      <c r="AG8" s="2060"/>
      <c r="AH8" s="2060"/>
      <c r="AI8" s="2060"/>
      <c r="AJ8" s="1506"/>
    </row>
    <row r="9" spans="1:36" ht="12.95" customHeight="1">
      <c r="A9" s="1417"/>
      <c r="B9" s="1510"/>
      <c r="C9" s="734"/>
      <c r="D9" s="726"/>
      <c r="E9" s="726" t="s">
        <v>1251</v>
      </c>
      <c r="F9" s="726" t="s">
        <v>1246</v>
      </c>
      <c r="G9" s="726" t="s">
        <v>1181</v>
      </c>
      <c r="H9" s="726" t="s">
        <v>1181</v>
      </c>
      <c r="I9" s="726" t="s">
        <v>1181</v>
      </c>
      <c r="J9" s="726" t="s">
        <v>1252</v>
      </c>
      <c r="K9" s="726" t="str">
        <f>'WACC and TIC Inputs'!N219</f>
        <v>market</v>
      </c>
      <c r="L9" s="734"/>
      <c r="M9" s="726" t="s">
        <v>1248</v>
      </c>
      <c r="N9" s="726" t="s">
        <v>1253</v>
      </c>
      <c r="O9" s="726" t="s">
        <v>1254</v>
      </c>
      <c r="P9" s="726" t="s">
        <v>1255</v>
      </c>
      <c r="Q9" s="726" t="str">
        <f>IF(MySubArea="US","invested","Enterprise")</f>
        <v>Enterprise</v>
      </c>
      <c r="R9" s="726" t="s">
        <v>1252</v>
      </c>
      <c r="S9" s="726" t="str">
        <f>'WACC and TIC Inputs'!V219</f>
        <v>Enterprise</v>
      </c>
      <c r="T9" s="1506"/>
      <c r="U9" s="238"/>
      <c r="V9" s="608" t="str">
        <f>IF(MySubArea="US","Capital at","Value at")</f>
        <v>Value at</v>
      </c>
      <c r="W9" s="608" t="str">
        <f>IF(MySubArea="US","Capital at","Value at")</f>
        <v>Value at</v>
      </c>
      <c r="X9" s="608" t="s">
        <v>1437</v>
      </c>
      <c r="Y9" s="1506"/>
      <c r="Z9" s="608" t="s">
        <v>1181</v>
      </c>
      <c r="AA9" s="608" t="s">
        <v>1437</v>
      </c>
      <c r="AB9" s="2060"/>
      <c r="AC9" s="2060"/>
      <c r="AD9" s="2060"/>
      <c r="AE9" s="2060"/>
      <c r="AF9" s="2060"/>
      <c r="AG9" s="2060"/>
      <c r="AH9" s="2060"/>
      <c r="AI9" s="2060"/>
      <c r="AJ9" s="1506"/>
    </row>
    <row r="10" spans="1:36" ht="12.95" customHeight="1">
      <c r="A10" s="1417"/>
      <c r="B10" s="1510"/>
      <c r="C10" s="1211"/>
      <c r="D10" s="1212" t="s">
        <v>167</v>
      </c>
      <c r="E10" s="1212" t="s">
        <v>1257</v>
      </c>
      <c r="F10" s="1212" t="s">
        <v>1258</v>
      </c>
      <c r="G10" s="1212" t="s">
        <v>1259</v>
      </c>
      <c r="H10" s="1212" t="s">
        <v>1259</v>
      </c>
      <c r="I10" s="1212" t="s">
        <v>1259</v>
      </c>
      <c r="J10" s="1212" t="str">
        <f>IF(START!$G$60&lt;0,"discount","premium")</f>
        <v>premium</v>
      </c>
      <c r="K10" s="1212" t="str">
        <f>'WACC and TIC Inputs'!N220</f>
        <v>capital</v>
      </c>
      <c r="L10" s="734"/>
      <c r="M10" s="1212" t="s">
        <v>1185</v>
      </c>
      <c r="N10" s="1212" t="s">
        <v>1438</v>
      </c>
      <c r="O10" s="1212" t="s">
        <v>1261</v>
      </c>
      <c r="P10" s="1212" t="s">
        <v>1262</v>
      </c>
      <c r="Q10" s="1212" t="str">
        <f>IF(MySubArea="US","capital","value")</f>
        <v>value</v>
      </c>
      <c r="R10" s="1212" t="str">
        <f>IF(START!$G$60&lt;0,"discount","premium")</f>
        <v>premium</v>
      </c>
      <c r="S10" s="1212" t="str">
        <f>'WACC and TIC Inputs'!V220</f>
        <v>Value</v>
      </c>
      <c r="T10" s="1506"/>
      <c r="U10" s="238"/>
      <c r="V10" s="2239">
        <f>Valuation_date</f>
        <v>42794</v>
      </c>
      <c r="W10" s="2239">
        <f>Valuation_date</f>
        <v>42794</v>
      </c>
      <c r="X10" s="2240" t="s">
        <v>1439</v>
      </c>
      <c r="Y10" s="1506"/>
      <c r="Z10" s="2239" t="s">
        <v>1259</v>
      </c>
      <c r="AA10" s="2240" t="s">
        <v>1439</v>
      </c>
      <c r="AB10" s="2060"/>
      <c r="AC10" s="2060"/>
      <c r="AD10" s="2060"/>
      <c r="AE10" s="2060"/>
      <c r="AF10" s="2060"/>
      <c r="AG10" s="2060"/>
      <c r="AH10" s="2060"/>
      <c r="AI10" s="2060"/>
      <c r="AJ10" s="1506"/>
    </row>
    <row r="11" spans="1:36" s="1506" customFormat="1" ht="12.95" customHeight="1">
      <c r="A11" s="1417"/>
      <c r="B11" s="1510"/>
      <c r="C11" s="1839" t="s">
        <v>1256</v>
      </c>
      <c r="D11" s="726"/>
      <c r="E11" s="726"/>
      <c r="F11" s="726"/>
      <c r="G11" s="726"/>
      <c r="H11" s="726"/>
      <c r="I11" s="726"/>
      <c r="J11" s="726"/>
      <c r="K11" s="726"/>
      <c r="L11" s="734"/>
      <c r="M11" s="726"/>
      <c r="N11" s="726"/>
      <c r="O11" s="726"/>
      <c r="P11" s="726"/>
      <c r="Q11" s="726"/>
      <c r="R11" s="726"/>
      <c r="S11" s="726"/>
      <c r="U11" s="238"/>
      <c r="V11" s="1843"/>
      <c r="W11" s="1843"/>
      <c r="X11" s="1844"/>
      <c r="Z11" s="1843"/>
      <c r="AA11" s="1844"/>
      <c r="AB11" s="2060"/>
      <c r="AC11" s="2060"/>
      <c r="AD11" s="2060"/>
      <c r="AE11" s="2060"/>
      <c r="AF11" s="2060"/>
      <c r="AG11" s="2060"/>
      <c r="AH11" s="2060"/>
      <c r="AI11" s="2060"/>
    </row>
    <row r="12" spans="1:36" ht="12.95" customHeight="1">
      <c r="A12" s="1510" t="str">
        <f t="shared" ref="A12:A21" si="0">IF(C12="--","n","")</f>
        <v>n</v>
      </c>
      <c r="B12" s="1510"/>
      <c r="C12" s="173" t="str">
        <f>'DATA GPC'!E$20</f>
        <v>--</v>
      </c>
      <c r="D12" s="390" t="str">
        <f>'DATA GPC'!J20</f>
        <v>--</v>
      </c>
      <c r="E12" s="615" t="str">
        <f>'WACC and TIC Inputs'!H221</f>
        <v>--</v>
      </c>
      <c r="F12" s="391" t="str">
        <f>'WACC and TIC Inputs'!I221</f>
        <v>--</v>
      </c>
      <c r="G12" s="391" t="str">
        <f>'WACC and TIC Inputs'!J221</f>
        <v>--</v>
      </c>
      <c r="H12" s="1512" t="str">
        <f>'WACC and TIC Inputs'!K221</f>
        <v>--</v>
      </c>
      <c r="I12" s="391" t="str">
        <f>'WACC and TIC Inputs'!L221</f>
        <v>--</v>
      </c>
      <c r="J12" s="391" t="str">
        <f>IFERROR(I12*N('WACC and TIC Inputs'!M221),"--")</f>
        <v>--</v>
      </c>
      <c r="K12" s="338" t="str">
        <f>'WACC and TIC Inputs'!N221</f>
        <v>--</v>
      </c>
      <c r="L12" s="1506"/>
      <c r="M12" s="391" t="str">
        <f>'WACC and TIC Inputs'!P221</f>
        <v>--</v>
      </c>
      <c r="N12" s="391" t="str">
        <f>'WACC and TIC Inputs'!Q221</f>
        <v>--</v>
      </c>
      <c r="O12" s="391" t="str">
        <f>'WACC and TIC Inputs'!R221</f>
        <v>--</v>
      </c>
      <c r="P12" s="391" t="str">
        <f>'WACC and TIC Inputs'!S221</f>
        <v>--</v>
      </c>
      <c r="Q12" s="391" t="str">
        <f>'WACC and TIC Inputs'!T221</f>
        <v>--</v>
      </c>
      <c r="R12" s="391" t="str">
        <f>IFERROR(Q12*N('WACC and TIC Inputs'!U221),"--")</f>
        <v>--</v>
      </c>
      <c r="S12" s="391" t="str">
        <f>'WACC and TIC Inputs'!V221</f>
        <v>--</v>
      </c>
      <c r="T12" s="2060" t="str">
        <f t="shared" ref="T12:T25" si="1">IF(Q12=0,Fail,"")</f>
        <v/>
      </c>
      <c r="U12" s="238"/>
      <c r="V12" s="391" t="str">
        <f>IF(C12="--","--",_xll.ciqfunctions.udf.CIQ('WACC and TIC Inputs'!G129,"IQ_TEV",Valuation_date,D12,FXMode)*Scale+N(J12)+N(R12))</f>
        <v>--</v>
      </c>
      <c r="W12" s="469" t="str">
        <f>IF($C12="--","--",SUM(K12,M12:P12,R12)-'DATA GPC'!P224*Pension10)</f>
        <v>--</v>
      </c>
      <c r="X12" s="238">
        <f>IFERROR(ROUND(N(W12)-N(V12),0),"Check")</f>
        <v>0</v>
      </c>
      <c r="Y12" s="1506"/>
      <c r="Z12" s="469" t="str">
        <f t="shared" ref="Z12:Z25" si="2">IFERROR(E12*F12,"--")</f>
        <v>--</v>
      </c>
      <c r="AA12" s="240">
        <f t="shared" ref="AA12:AA25" si="3">IFERROR(ROUND(N(Z12)-N(G12),0),"Check")</f>
        <v>0</v>
      </c>
      <c r="AB12" s="2060"/>
      <c r="AC12" s="2060"/>
      <c r="AD12" s="2060"/>
      <c r="AE12" s="2060"/>
      <c r="AF12" s="2060"/>
      <c r="AG12" s="2060"/>
      <c r="AH12" s="2060"/>
      <c r="AI12" s="2060"/>
      <c r="AJ12" s="1506"/>
    </row>
    <row r="13" spans="1:36" ht="12.95" customHeight="1">
      <c r="A13" s="1510" t="str">
        <f t="shared" si="0"/>
        <v>n</v>
      </c>
      <c r="B13" s="1510"/>
      <c r="C13" s="173" t="str">
        <f>'DATA GPC'!E$21</f>
        <v>--</v>
      </c>
      <c r="D13" s="390" t="str">
        <f>'DATA GPC'!J21</f>
        <v>--</v>
      </c>
      <c r="E13" s="615" t="str">
        <f>'WACC and TIC Inputs'!H222</f>
        <v>--</v>
      </c>
      <c r="F13" s="391" t="str">
        <f>'WACC and TIC Inputs'!I222</f>
        <v>--</v>
      </c>
      <c r="G13" s="391" t="str">
        <f>'WACC and TIC Inputs'!J222</f>
        <v>--</v>
      </c>
      <c r="H13" s="1512" t="str">
        <f>'WACC and TIC Inputs'!K222</f>
        <v>--</v>
      </c>
      <c r="I13" s="391" t="str">
        <f>'WACC and TIC Inputs'!L222</f>
        <v>--</v>
      </c>
      <c r="J13" s="391" t="str">
        <f>IFERROR(I13*N('WACC and TIC Inputs'!M222),"--")</f>
        <v>--</v>
      </c>
      <c r="K13" s="338" t="str">
        <f>'WACC and TIC Inputs'!N222</f>
        <v>--</v>
      </c>
      <c r="L13" s="1506"/>
      <c r="M13" s="391" t="str">
        <f>'WACC and TIC Inputs'!P222</f>
        <v>--</v>
      </c>
      <c r="N13" s="391" t="str">
        <f>'WACC and TIC Inputs'!Q222</f>
        <v>--</v>
      </c>
      <c r="O13" s="391" t="str">
        <f>'WACC and TIC Inputs'!R222</f>
        <v>--</v>
      </c>
      <c r="P13" s="391" t="str">
        <f>'WACC and TIC Inputs'!S222</f>
        <v>--</v>
      </c>
      <c r="Q13" s="391" t="str">
        <f>'WACC and TIC Inputs'!T222</f>
        <v>--</v>
      </c>
      <c r="R13" s="391" t="str">
        <f>IFERROR(Q13*N('WACC and TIC Inputs'!U222),"--")</f>
        <v>--</v>
      </c>
      <c r="S13" s="391" t="str">
        <f>'WACC and TIC Inputs'!V222</f>
        <v>--</v>
      </c>
      <c r="T13" s="2060" t="str">
        <f t="shared" si="1"/>
        <v/>
      </c>
      <c r="U13" s="238"/>
      <c r="V13" s="391" t="str">
        <f>IF(C13="--","--",_xll.ciqfunctions.udf.CIQ('WACC and TIC Inputs'!G130,"IQ_TEV",Valuation_date,D13,FXMode)*Scale+N(J13)+N(R13))</f>
        <v>--</v>
      </c>
      <c r="W13" s="469" t="str">
        <f>IF($C13="--","--",SUM(K13,M13:P13,R13)-'DATA GPC'!P225*Pension10)</f>
        <v>--</v>
      </c>
      <c r="X13" s="238">
        <f t="shared" ref="X13:X25" si="4">IFERROR(ROUND(N(W13)-N(V13),0),"Check")</f>
        <v>0</v>
      </c>
      <c r="Y13" s="1506"/>
      <c r="Z13" s="469" t="str">
        <f t="shared" si="2"/>
        <v>--</v>
      </c>
      <c r="AA13" s="240">
        <f t="shared" si="3"/>
        <v>0</v>
      </c>
      <c r="AB13" s="2060"/>
      <c r="AC13" s="2060"/>
      <c r="AD13" s="2060"/>
      <c r="AE13" s="2060"/>
      <c r="AF13" s="2060"/>
      <c r="AG13" s="2060"/>
      <c r="AH13" s="2060"/>
      <c r="AI13" s="2060"/>
      <c r="AJ13" s="1506"/>
    </row>
    <row r="14" spans="1:36" ht="12.95" customHeight="1">
      <c r="A14" s="1510" t="str">
        <f t="shared" si="0"/>
        <v>n</v>
      </c>
      <c r="B14" s="1510"/>
      <c r="C14" s="173" t="str">
        <f>'DATA GPC'!E$22</f>
        <v>--</v>
      </c>
      <c r="D14" s="390" t="str">
        <f>'DATA GPC'!J22</f>
        <v>--</v>
      </c>
      <c r="E14" s="615" t="str">
        <f>'WACC and TIC Inputs'!H223</f>
        <v>--</v>
      </c>
      <c r="F14" s="391" t="str">
        <f>'WACC and TIC Inputs'!I223</f>
        <v>--</v>
      </c>
      <c r="G14" s="391" t="str">
        <f>'WACC and TIC Inputs'!J223</f>
        <v>--</v>
      </c>
      <c r="H14" s="1512" t="str">
        <f>'WACC and TIC Inputs'!K223</f>
        <v>--</v>
      </c>
      <c r="I14" s="391" t="str">
        <f>'WACC and TIC Inputs'!L223</f>
        <v>--</v>
      </c>
      <c r="J14" s="391" t="str">
        <f>IFERROR(I14*N('WACC and TIC Inputs'!M223),"--")</f>
        <v>--</v>
      </c>
      <c r="K14" s="338" t="str">
        <f>'WACC and TIC Inputs'!N223</f>
        <v>--</v>
      </c>
      <c r="L14" s="1506"/>
      <c r="M14" s="391" t="str">
        <f>'WACC and TIC Inputs'!P223</f>
        <v>--</v>
      </c>
      <c r="N14" s="391" t="str">
        <f>'WACC and TIC Inputs'!Q223</f>
        <v>--</v>
      </c>
      <c r="O14" s="391" t="str">
        <f>'WACC and TIC Inputs'!R223</f>
        <v>--</v>
      </c>
      <c r="P14" s="391" t="str">
        <f>'WACC and TIC Inputs'!S223</f>
        <v>--</v>
      </c>
      <c r="Q14" s="391" t="str">
        <f>'WACC and TIC Inputs'!T223</f>
        <v>--</v>
      </c>
      <c r="R14" s="391" t="str">
        <f>IFERROR(Q14*N('WACC and TIC Inputs'!U223),"--")</f>
        <v>--</v>
      </c>
      <c r="S14" s="391" t="str">
        <f>'WACC and TIC Inputs'!V223</f>
        <v>--</v>
      </c>
      <c r="T14" s="2060" t="str">
        <f t="shared" si="1"/>
        <v/>
      </c>
      <c r="U14" s="238"/>
      <c r="V14" s="391" t="str">
        <f>IF(C14="--","--",_xll.ciqfunctions.udf.CIQ('WACC and TIC Inputs'!G131,"IQ_TEV",Valuation_date,D14,FXMode)*Scale+N(J14)+N(R14))</f>
        <v>--</v>
      </c>
      <c r="W14" s="469" t="str">
        <f>IF($C14="--","--",SUM(K14,M14:P14,R14)-'DATA GPC'!P226*Pension10)</f>
        <v>--</v>
      </c>
      <c r="X14" s="238">
        <f t="shared" si="4"/>
        <v>0</v>
      </c>
      <c r="Y14" s="1506"/>
      <c r="Z14" s="469" t="str">
        <f t="shared" si="2"/>
        <v>--</v>
      </c>
      <c r="AA14" s="240">
        <f t="shared" si="3"/>
        <v>0</v>
      </c>
      <c r="AB14" s="2060"/>
      <c r="AC14" s="2060"/>
      <c r="AD14" s="2060"/>
      <c r="AE14" s="2060"/>
      <c r="AF14" s="2060"/>
      <c r="AG14" s="2060"/>
      <c r="AH14" s="2060"/>
      <c r="AI14" s="2060"/>
      <c r="AJ14" s="1506"/>
    </row>
    <row r="15" spans="1:36" ht="12.95" customHeight="1">
      <c r="A15" s="1510" t="str">
        <f t="shared" si="0"/>
        <v>n</v>
      </c>
      <c r="B15" s="1510"/>
      <c r="C15" s="173" t="str">
        <f>'DATA GPC'!E$23</f>
        <v>--</v>
      </c>
      <c r="D15" s="390" t="str">
        <f>'DATA GPC'!J23</f>
        <v>--</v>
      </c>
      <c r="E15" s="615" t="str">
        <f>'WACC and TIC Inputs'!H224</f>
        <v>--</v>
      </c>
      <c r="F15" s="391" t="str">
        <f>'WACC and TIC Inputs'!I224</f>
        <v>--</v>
      </c>
      <c r="G15" s="391" t="str">
        <f>'WACC and TIC Inputs'!J224</f>
        <v>--</v>
      </c>
      <c r="H15" s="1512" t="str">
        <f>'WACC and TIC Inputs'!K224</f>
        <v>--</v>
      </c>
      <c r="I15" s="391" t="str">
        <f>'WACC and TIC Inputs'!L224</f>
        <v>--</v>
      </c>
      <c r="J15" s="391" t="str">
        <f>IFERROR(I15*N('WACC and TIC Inputs'!M224),"--")</f>
        <v>--</v>
      </c>
      <c r="K15" s="338" t="str">
        <f>'WACC and TIC Inputs'!N224</f>
        <v>--</v>
      </c>
      <c r="L15" s="1506"/>
      <c r="M15" s="391" t="str">
        <f>'WACC and TIC Inputs'!P224</f>
        <v>--</v>
      </c>
      <c r="N15" s="391" t="str">
        <f>'WACC and TIC Inputs'!Q224</f>
        <v>--</v>
      </c>
      <c r="O15" s="391" t="str">
        <f>'WACC and TIC Inputs'!R224</f>
        <v>--</v>
      </c>
      <c r="P15" s="391" t="str">
        <f>'WACC and TIC Inputs'!S224</f>
        <v>--</v>
      </c>
      <c r="Q15" s="391" t="str">
        <f>'WACC and TIC Inputs'!T224</f>
        <v>--</v>
      </c>
      <c r="R15" s="391" t="str">
        <f>IFERROR(Q15*N('WACC and TIC Inputs'!U224),"--")</f>
        <v>--</v>
      </c>
      <c r="S15" s="391" t="str">
        <f>'WACC and TIC Inputs'!V224</f>
        <v>--</v>
      </c>
      <c r="T15" s="2060" t="str">
        <f t="shared" si="1"/>
        <v/>
      </c>
      <c r="U15" s="238"/>
      <c r="V15" s="391" t="str">
        <f>IF(C15="--","--",_xll.ciqfunctions.udf.CIQ('WACC and TIC Inputs'!G132,"IQ_TEV",Valuation_date,D15,FXMode)*Scale+N(J15)+N(R15))</f>
        <v>--</v>
      </c>
      <c r="W15" s="469" t="str">
        <f>IF($C15="--","--",SUM(K15,M15:P15,R15)-'DATA GPC'!P227*Pension10)</f>
        <v>--</v>
      </c>
      <c r="X15" s="238">
        <f t="shared" si="4"/>
        <v>0</v>
      </c>
      <c r="Y15" s="1506"/>
      <c r="Z15" s="469" t="str">
        <f t="shared" si="2"/>
        <v>--</v>
      </c>
      <c r="AA15" s="240">
        <f t="shared" si="3"/>
        <v>0</v>
      </c>
      <c r="AB15" s="2060"/>
      <c r="AC15" s="2060"/>
      <c r="AD15" s="2060"/>
      <c r="AE15" s="2060"/>
      <c r="AF15" s="2060"/>
      <c r="AG15" s="2060"/>
      <c r="AH15" s="2060"/>
      <c r="AI15" s="2060"/>
      <c r="AJ15" s="1506"/>
    </row>
    <row r="16" spans="1:36" ht="12.95" customHeight="1">
      <c r="A16" s="1510" t="str">
        <f t="shared" si="0"/>
        <v>n</v>
      </c>
      <c r="B16" s="1510"/>
      <c r="C16" s="173" t="str">
        <f>'DATA GPC'!E$24</f>
        <v>--</v>
      </c>
      <c r="D16" s="390" t="str">
        <f>'DATA GPC'!J24</f>
        <v>--</v>
      </c>
      <c r="E16" s="615" t="str">
        <f>'WACC and TIC Inputs'!H225</f>
        <v>--</v>
      </c>
      <c r="F16" s="391" t="str">
        <f>'WACC and TIC Inputs'!I225</f>
        <v>--</v>
      </c>
      <c r="G16" s="391" t="str">
        <f>'WACC and TIC Inputs'!J225</f>
        <v>--</v>
      </c>
      <c r="H16" s="1512" t="str">
        <f>'WACC and TIC Inputs'!K225</f>
        <v>--</v>
      </c>
      <c r="I16" s="391" t="str">
        <f>'WACC and TIC Inputs'!L225</f>
        <v>--</v>
      </c>
      <c r="J16" s="391" t="str">
        <f>IFERROR(I16*N('WACC and TIC Inputs'!M225),"--")</f>
        <v>--</v>
      </c>
      <c r="K16" s="338" t="str">
        <f>'WACC and TIC Inputs'!N225</f>
        <v>--</v>
      </c>
      <c r="L16" s="1506"/>
      <c r="M16" s="391" t="str">
        <f>'WACC and TIC Inputs'!P225</f>
        <v>--</v>
      </c>
      <c r="N16" s="391" t="str">
        <f>'WACC and TIC Inputs'!Q225</f>
        <v>--</v>
      </c>
      <c r="O16" s="391" t="str">
        <f>'WACC and TIC Inputs'!R225</f>
        <v>--</v>
      </c>
      <c r="P16" s="391" t="str">
        <f>'WACC and TIC Inputs'!S225</f>
        <v>--</v>
      </c>
      <c r="Q16" s="391" t="str">
        <f>'WACC and TIC Inputs'!T225</f>
        <v>--</v>
      </c>
      <c r="R16" s="391" t="str">
        <f>IFERROR(Q16*N('WACC and TIC Inputs'!U225),"--")</f>
        <v>--</v>
      </c>
      <c r="S16" s="391" t="str">
        <f>'WACC and TIC Inputs'!V225</f>
        <v>--</v>
      </c>
      <c r="T16" s="2060" t="str">
        <f t="shared" si="1"/>
        <v/>
      </c>
      <c r="U16" s="238"/>
      <c r="V16" s="391" t="str">
        <f>IF(C16="--","--",_xll.ciqfunctions.udf.CIQ('WACC and TIC Inputs'!G133,"IQ_TEV",Valuation_date,D16,FXMode)*Scale+N(J16)+N(R16))</f>
        <v>--</v>
      </c>
      <c r="W16" s="469" t="str">
        <f>IF($C16="--","--",SUM(K16,M16:P16,R16)-'DATA GPC'!P228*Pension10)</f>
        <v>--</v>
      </c>
      <c r="X16" s="238">
        <f t="shared" si="4"/>
        <v>0</v>
      </c>
      <c r="Y16" s="1506"/>
      <c r="Z16" s="469" t="str">
        <f t="shared" si="2"/>
        <v>--</v>
      </c>
      <c r="AA16" s="240">
        <f t="shared" si="3"/>
        <v>0</v>
      </c>
      <c r="AB16" s="2060"/>
      <c r="AC16" s="2060"/>
      <c r="AD16" s="2060"/>
      <c r="AE16" s="2060"/>
      <c r="AF16" s="2060"/>
      <c r="AG16" s="2060"/>
      <c r="AH16" s="2060"/>
      <c r="AI16" s="2060"/>
      <c r="AJ16" s="1506"/>
    </row>
    <row r="17" spans="1:35" ht="12.95" customHeight="1">
      <c r="A17" s="1510" t="str">
        <f t="shared" si="0"/>
        <v>n</v>
      </c>
      <c r="B17" s="1510"/>
      <c r="C17" s="173" t="str">
        <f>'DATA GPC'!E$25</f>
        <v>--</v>
      </c>
      <c r="D17" s="390" t="str">
        <f>'DATA GPC'!J25</f>
        <v>--</v>
      </c>
      <c r="E17" s="615" t="str">
        <f>'WACC and TIC Inputs'!H226</f>
        <v>--</v>
      </c>
      <c r="F17" s="391" t="str">
        <f>'WACC and TIC Inputs'!I226</f>
        <v>--</v>
      </c>
      <c r="G17" s="391" t="str">
        <f>'WACC and TIC Inputs'!J226</f>
        <v>--</v>
      </c>
      <c r="H17" s="1512" t="str">
        <f>'WACC and TIC Inputs'!K226</f>
        <v>--</v>
      </c>
      <c r="I17" s="391" t="str">
        <f>'WACC and TIC Inputs'!L226</f>
        <v>--</v>
      </c>
      <c r="J17" s="391" t="str">
        <f>IFERROR(I17*N('WACC and TIC Inputs'!M226),"--")</f>
        <v>--</v>
      </c>
      <c r="K17" s="338" t="str">
        <f>'WACC and TIC Inputs'!N226</f>
        <v>--</v>
      </c>
      <c r="L17" s="1506"/>
      <c r="M17" s="391" t="str">
        <f>'WACC and TIC Inputs'!P226</f>
        <v>--</v>
      </c>
      <c r="N17" s="391" t="str">
        <f>'WACC and TIC Inputs'!Q226</f>
        <v>--</v>
      </c>
      <c r="O17" s="391" t="str">
        <f>'WACC and TIC Inputs'!R226</f>
        <v>--</v>
      </c>
      <c r="P17" s="391" t="str">
        <f>'WACC and TIC Inputs'!S226</f>
        <v>--</v>
      </c>
      <c r="Q17" s="391" t="str">
        <f>'WACC and TIC Inputs'!T226</f>
        <v>--</v>
      </c>
      <c r="R17" s="391" t="str">
        <f>IFERROR(Q17*N('WACC and TIC Inputs'!U226),"--")</f>
        <v>--</v>
      </c>
      <c r="S17" s="391" t="str">
        <f>'WACC and TIC Inputs'!V226</f>
        <v>--</v>
      </c>
      <c r="T17" s="2060" t="str">
        <f t="shared" si="1"/>
        <v/>
      </c>
      <c r="U17" s="238"/>
      <c r="V17" s="391" t="str">
        <f>IF(C17="--","--",_xll.ciqfunctions.udf.CIQ('WACC and TIC Inputs'!G134,"IQ_TEV",Valuation_date,D17,FXMode)*Scale+N(J17)+N(R17))</f>
        <v>--</v>
      </c>
      <c r="W17" s="469" t="str">
        <f>IF($C17="--","--",SUM(K17,M17:P17,R17)-'DATA GPC'!P229*Pension10)</f>
        <v>--</v>
      </c>
      <c r="X17" s="238">
        <f t="shared" si="4"/>
        <v>0</v>
      </c>
      <c r="Y17" s="1506"/>
      <c r="Z17" s="469" t="str">
        <f t="shared" si="2"/>
        <v>--</v>
      </c>
      <c r="AA17" s="240">
        <f t="shared" si="3"/>
        <v>0</v>
      </c>
      <c r="AB17" s="2060"/>
      <c r="AC17" s="2060"/>
      <c r="AD17" s="2060"/>
      <c r="AE17" s="2060"/>
      <c r="AF17" s="2060"/>
      <c r="AG17" s="2060"/>
      <c r="AH17" s="2060"/>
      <c r="AI17" s="2060"/>
    </row>
    <row r="18" spans="1:35" ht="12.95" customHeight="1">
      <c r="A18" s="1510" t="str">
        <f t="shared" si="0"/>
        <v>n</v>
      </c>
      <c r="B18" s="1510"/>
      <c r="C18" s="173" t="str">
        <f>'DATA GPC'!E$26</f>
        <v>--</v>
      </c>
      <c r="D18" s="390" t="str">
        <f>'DATA GPC'!J26</f>
        <v>--</v>
      </c>
      <c r="E18" s="615" t="str">
        <f>'WACC and TIC Inputs'!H227</f>
        <v>--</v>
      </c>
      <c r="F18" s="391" t="str">
        <f>'WACC and TIC Inputs'!I227</f>
        <v>--</v>
      </c>
      <c r="G18" s="391" t="str">
        <f>'WACC and TIC Inputs'!J227</f>
        <v>--</v>
      </c>
      <c r="H18" s="1512" t="str">
        <f>'WACC and TIC Inputs'!K227</f>
        <v>--</v>
      </c>
      <c r="I18" s="391" t="str">
        <f>'WACC and TIC Inputs'!L227</f>
        <v>--</v>
      </c>
      <c r="J18" s="391" t="str">
        <f>IFERROR(I18*N('WACC and TIC Inputs'!M227),"--")</f>
        <v>--</v>
      </c>
      <c r="K18" s="338" t="str">
        <f>'WACC and TIC Inputs'!N227</f>
        <v>--</v>
      </c>
      <c r="L18" s="1506"/>
      <c r="M18" s="391" t="str">
        <f>'WACC and TIC Inputs'!P227</f>
        <v>--</v>
      </c>
      <c r="N18" s="391" t="str">
        <f>'WACC and TIC Inputs'!Q227</f>
        <v>--</v>
      </c>
      <c r="O18" s="391" t="str">
        <f>'WACC and TIC Inputs'!R227</f>
        <v>--</v>
      </c>
      <c r="P18" s="391" t="str">
        <f>'WACC and TIC Inputs'!S227</f>
        <v>--</v>
      </c>
      <c r="Q18" s="391" t="str">
        <f>'WACC and TIC Inputs'!T227</f>
        <v>--</v>
      </c>
      <c r="R18" s="391" t="str">
        <f>IFERROR(Q18*N('WACC and TIC Inputs'!U227),"--")</f>
        <v>--</v>
      </c>
      <c r="S18" s="391" t="str">
        <f>'WACC and TIC Inputs'!V227</f>
        <v>--</v>
      </c>
      <c r="T18" s="2060" t="str">
        <f t="shared" si="1"/>
        <v/>
      </c>
      <c r="U18" s="238"/>
      <c r="V18" s="391" t="str">
        <f>IF(C18="--","--",_xll.ciqfunctions.udf.CIQ('WACC and TIC Inputs'!G135,"IQ_TEV",Valuation_date,D18,FXMode)*Scale+N(J18)+N(R18))</f>
        <v>--</v>
      </c>
      <c r="W18" s="469" t="str">
        <f>IF($C18="--","--",SUM(K18,M18:P18,R18)-'DATA GPC'!P230*Pension10)</f>
        <v>--</v>
      </c>
      <c r="X18" s="238">
        <f t="shared" si="4"/>
        <v>0</v>
      </c>
      <c r="Y18" s="1506"/>
      <c r="Z18" s="469" t="str">
        <f t="shared" si="2"/>
        <v>--</v>
      </c>
      <c r="AA18" s="240">
        <f t="shared" si="3"/>
        <v>0</v>
      </c>
      <c r="AB18" s="2060"/>
      <c r="AC18" s="2060"/>
      <c r="AD18" s="2060"/>
      <c r="AE18" s="2060"/>
      <c r="AF18" s="2060"/>
      <c r="AG18" s="2060"/>
      <c r="AH18" s="2060"/>
      <c r="AI18" s="2060"/>
    </row>
    <row r="19" spans="1:35" ht="12.95" customHeight="1">
      <c r="A19" s="1510" t="str">
        <f t="shared" si="0"/>
        <v>n</v>
      </c>
      <c r="B19" s="1510"/>
      <c r="C19" s="173" t="str">
        <f>'DATA GPC'!E$27</f>
        <v>--</v>
      </c>
      <c r="D19" s="390" t="str">
        <f>'DATA GPC'!J27</f>
        <v>--</v>
      </c>
      <c r="E19" s="615" t="str">
        <f>'WACC and TIC Inputs'!H228</f>
        <v>--</v>
      </c>
      <c r="F19" s="391" t="str">
        <f>'WACC and TIC Inputs'!I228</f>
        <v>--</v>
      </c>
      <c r="G19" s="391" t="str">
        <f>'WACC and TIC Inputs'!J228</f>
        <v>--</v>
      </c>
      <c r="H19" s="1512" t="str">
        <f>'WACC and TIC Inputs'!K228</f>
        <v>--</v>
      </c>
      <c r="I19" s="391" t="str">
        <f>'WACC and TIC Inputs'!L228</f>
        <v>--</v>
      </c>
      <c r="J19" s="391" t="str">
        <f>IFERROR(I19*N('WACC and TIC Inputs'!M228),"--")</f>
        <v>--</v>
      </c>
      <c r="K19" s="338" t="str">
        <f>'WACC and TIC Inputs'!N228</f>
        <v>--</v>
      </c>
      <c r="L19" s="1506"/>
      <c r="M19" s="391" t="str">
        <f>'WACC and TIC Inputs'!P228</f>
        <v>--</v>
      </c>
      <c r="N19" s="391" t="str">
        <f>'WACC and TIC Inputs'!Q228</f>
        <v>--</v>
      </c>
      <c r="O19" s="391" t="str">
        <f>'WACC and TIC Inputs'!R228</f>
        <v>--</v>
      </c>
      <c r="P19" s="391" t="str">
        <f>'WACC and TIC Inputs'!S228</f>
        <v>--</v>
      </c>
      <c r="Q19" s="391" t="str">
        <f>'WACC and TIC Inputs'!T228</f>
        <v>--</v>
      </c>
      <c r="R19" s="391" t="str">
        <f>IFERROR(Q19*N('WACC and TIC Inputs'!U228),"--")</f>
        <v>--</v>
      </c>
      <c r="S19" s="391" t="str">
        <f>'WACC and TIC Inputs'!V228</f>
        <v>--</v>
      </c>
      <c r="T19" s="2060" t="str">
        <f t="shared" si="1"/>
        <v/>
      </c>
      <c r="U19" s="238"/>
      <c r="V19" s="391" t="str">
        <f>IF(C19="--","--",_xll.ciqfunctions.udf.CIQ('WACC and TIC Inputs'!G136,"IQ_TEV",Valuation_date,D19,FXMode)*Scale+N(J19)+N(R19))</f>
        <v>--</v>
      </c>
      <c r="W19" s="469" t="str">
        <f>IF($C19="--","--",SUM(K19,M19:P19,R19)-'DATA GPC'!P231*Pension10)</f>
        <v>--</v>
      </c>
      <c r="X19" s="238">
        <f t="shared" si="4"/>
        <v>0</v>
      </c>
      <c r="Y19" s="1506"/>
      <c r="Z19" s="469" t="str">
        <f t="shared" si="2"/>
        <v>--</v>
      </c>
      <c r="AA19" s="240">
        <f t="shared" si="3"/>
        <v>0</v>
      </c>
      <c r="AB19" s="2060"/>
      <c r="AC19" s="2060"/>
      <c r="AD19" s="2060"/>
      <c r="AE19" s="2060"/>
      <c r="AF19" s="2060"/>
      <c r="AG19" s="2060"/>
      <c r="AH19" s="2060"/>
      <c r="AI19" s="2060"/>
    </row>
    <row r="20" spans="1:35" ht="12.95" customHeight="1">
      <c r="A20" s="1510" t="str">
        <f t="shared" si="0"/>
        <v>n</v>
      </c>
      <c r="B20" s="1510"/>
      <c r="C20" s="173" t="str">
        <f>'DATA GPC'!E$28</f>
        <v>--</v>
      </c>
      <c r="D20" s="390" t="str">
        <f>'DATA GPC'!J28</f>
        <v>--</v>
      </c>
      <c r="E20" s="615" t="str">
        <f>'WACC and TIC Inputs'!H229</f>
        <v>--</v>
      </c>
      <c r="F20" s="391" t="str">
        <f>'WACC and TIC Inputs'!I229</f>
        <v>--</v>
      </c>
      <c r="G20" s="391" t="str">
        <f>'WACC and TIC Inputs'!J229</f>
        <v>--</v>
      </c>
      <c r="H20" s="1512" t="str">
        <f>'WACC and TIC Inputs'!K229</f>
        <v>--</v>
      </c>
      <c r="I20" s="391" t="str">
        <f>'WACC and TIC Inputs'!L229</f>
        <v>--</v>
      </c>
      <c r="J20" s="391" t="str">
        <f>IFERROR(I20*N('WACC and TIC Inputs'!M229),"--")</f>
        <v>--</v>
      </c>
      <c r="K20" s="338" t="str">
        <f>'WACC and TIC Inputs'!N229</f>
        <v>--</v>
      </c>
      <c r="L20" s="1506"/>
      <c r="M20" s="391" t="str">
        <f>'WACC and TIC Inputs'!P229</f>
        <v>--</v>
      </c>
      <c r="N20" s="391" t="str">
        <f>'WACC and TIC Inputs'!Q229</f>
        <v>--</v>
      </c>
      <c r="O20" s="391" t="str">
        <f>'WACC and TIC Inputs'!R229</f>
        <v>--</v>
      </c>
      <c r="P20" s="391" t="str">
        <f>'WACC and TIC Inputs'!S229</f>
        <v>--</v>
      </c>
      <c r="Q20" s="391" t="str">
        <f>'WACC and TIC Inputs'!T229</f>
        <v>--</v>
      </c>
      <c r="R20" s="391" t="str">
        <f>IFERROR(Q20*N('WACC and TIC Inputs'!U229),"--")</f>
        <v>--</v>
      </c>
      <c r="S20" s="391" t="str">
        <f>'WACC and TIC Inputs'!V229</f>
        <v>--</v>
      </c>
      <c r="T20" s="2060" t="str">
        <f t="shared" si="1"/>
        <v/>
      </c>
      <c r="U20" s="238"/>
      <c r="V20" s="391" t="str">
        <f>IF(C20="--","--",_xll.ciqfunctions.udf.CIQ('WACC and TIC Inputs'!G137,"IQ_TEV",Valuation_date,D20,FXMode)*Scale+N(J20)+N(R20))</f>
        <v>--</v>
      </c>
      <c r="W20" s="469" t="str">
        <f>IF($C20="--","--",SUM(K20,M20:P20,R20)-'DATA GPC'!P232*Pension10)</f>
        <v>--</v>
      </c>
      <c r="X20" s="238">
        <f t="shared" si="4"/>
        <v>0</v>
      </c>
      <c r="Y20" s="1506"/>
      <c r="Z20" s="469" t="str">
        <f t="shared" si="2"/>
        <v>--</v>
      </c>
      <c r="AA20" s="240">
        <f t="shared" si="3"/>
        <v>0</v>
      </c>
      <c r="AB20" s="2060"/>
      <c r="AC20" s="2060"/>
      <c r="AD20" s="2060"/>
      <c r="AE20" s="2060"/>
      <c r="AF20" s="2060"/>
      <c r="AG20" s="2060"/>
      <c r="AH20" s="2060"/>
      <c r="AI20" s="2060"/>
    </row>
    <row r="21" spans="1:35" ht="12.95" customHeight="1">
      <c r="A21" s="1510" t="str">
        <f t="shared" si="0"/>
        <v>n</v>
      </c>
      <c r="B21" s="1510"/>
      <c r="C21" s="173" t="str">
        <f>'DATA GPC'!E$29</f>
        <v>--</v>
      </c>
      <c r="D21" s="390" t="str">
        <f>'DATA GPC'!J29</f>
        <v>--</v>
      </c>
      <c r="E21" s="615" t="str">
        <f>'WACC and TIC Inputs'!H230</f>
        <v>--</v>
      </c>
      <c r="F21" s="391" t="str">
        <f>'WACC and TIC Inputs'!I230</f>
        <v>--</v>
      </c>
      <c r="G21" s="391" t="str">
        <f>'WACC and TIC Inputs'!J230</f>
        <v>--</v>
      </c>
      <c r="H21" s="1512" t="str">
        <f>'WACC and TIC Inputs'!K230</f>
        <v>--</v>
      </c>
      <c r="I21" s="391" t="str">
        <f>'WACC and TIC Inputs'!L230</f>
        <v>--</v>
      </c>
      <c r="J21" s="391" t="str">
        <f>IFERROR(I21*N('WACC and TIC Inputs'!M230),"--")</f>
        <v>--</v>
      </c>
      <c r="K21" s="338" t="str">
        <f>'WACC and TIC Inputs'!N230</f>
        <v>--</v>
      </c>
      <c r="L21" s="1506"/>
      <c r="M21" s="391" t="str">
        <f>'WACC and TIC Inputs'!P230</f>
        <v>--</v>
      </c>
      <c r="N21" s="391" t="str">
        <f>'WACC and TIC Inputs'!Q230</f>
        <v>--</v>
      </c>
      <c r="O21" s="391" t="str">
        <f>'WACC and TIC Inputs'!R230</f>
        <v>--</v>
      </c>
      <c r="P21" s="391" t="str">
        <f>'WACC and TIC Inputs'!S230</f>
        <v>--</v>
      </c>
      <c r="Q21" s="391" t="str">
        <f>'WACC and TIC Inputs'!T230</f>
        <v>--</v>
      </c>
      <c r="R21" s="391" t="str">
        <f>IFERROR(Q21*N('WACC and TIC Inputs'!U230),"--")</f>
        <v>--</v>
      </c>
      <c r="S21" s="391" t="str">
        <f>'WACC and TIC Inputs'!V230</f>
        <v>--</v>
      </c>
      <c r="T21" s="2060" t="str">
        <f t="shared" si="1"/>
        <v/>
      </c>
      <c r="U21" s="238"/>
      <c r="V21" s="391" t="str">
        <f>IF(C21="--","--",_xll.ciqfunctions.udf.CIQ('WACC and TIC Inputs'!G138,"IQ_TEV",Valuation_date,D21,FXMode)*Scale+N(J21)+N(R21))</f>
        <v>--</v>
      </c>
      <c r="W21" s="469" t="str">
        <f>IF($C21="--","--",SUM(K21,M21:P21,R21)-'DATA GPC'!P233*Pension10)</f>
        <v>--</v>
      </c>
      <c r="X21" s="238">
        <f t="shared" si="4"/>
        <v>0</v>
      </c>
      <c r="Y21" s="1506"/>
      <c r="Z21" s="469" t="str">
        <f t="shared" si="2"/>
        <v>--</v>
      </c>
      <c r="AA21" s="240">
        <f t="shared" si="3"/>
        <v>0</v>
      </c>
      <c r="AB21" s="2060"/>
      <c r="AC21" s="2060"/>
      <c r="AD21" s="2060"/>
      <c r="AE21" s="2060"/>
      <c r="AF21" s="2060"/>
      <c r="AG21" s="2060"/>
      <c r="AH21" s="2060"/>
      <c r="AI21" s="2060"/>
    </row>
    <row r="22" spans="1:35" ht="12.95" customHeight="1">
      <c r="A22" s="1510" t="str">
        <f>IF(C22="--","n","")</f>
        <v>n</v>
      </c>
      <c r="B22" s="1510"/>
      <c r="C22" s="173" t="str">
        <f>'DATA GPC'!E$30</f>
        <v>--</v>
      </c>
      <c r="D22" s="390" t="str">
        <f>'DATA GPC'!J30</f>
        <v>--</v>
      </c>
      <c r="E22" s="615" t="str">
        <f>'WACC and TIC Inputs'!H231</f>
        <v>--</v>
      </c>
      <c r="F22" s="391" t="str">
        <f>'WACC and TIC Inputs'!I231</f>
        <v>--</v>
      </c>
      <c r="G22" s="391" t="str">
        <f>'WACC and TIC Inputs'!J231</f>
        <v>--</v>
      </c>
      <c r="H22" s="1512" t="str">
        <f>'WACC and TIC Inputs'!K231</f>
        <v>--</v>
      </c>
      <c r="I22" s="391" t="str">
        <f>'WACC and TIC Inputs'!L231</f>
        <v>--</v>
      </c>
      <c r="J22" s="391" t="str">
        <f>IFERROR(I22*N('WACC and TIC Inputs'!M231),"--")</f>
        <v>--</v>
      </c>
      <c r="K22" s="338" t="str">
        <f>'WACC and TIC Inputs'!N231</f>
        <v>--</v>
      </c>
      <c r="L22" s="1506"/>
      <c r="M22" s="391" t="str">
        <f>'WACC and TIC Inputs'!P231</f>
        <v>--</v>
      </c>
      <c r="N22" s="391" t="str">
        <f>'WACC and TIC Inputs'!Q231</f>
        <v>--</v>
      </c>
      <c r="O22" s="391" t="str">
        <f>'WACC and TIC Inputs'!R231</f>
        <v>--</v>
      </c>
      <c r="P22" s="391" t="str">
        <f>'WACC and TIC Inputs'!S231</f>
        <v>--</v>
      </c>
      <c r="Q22" s="391" t="str">
        <f>'WACC and TIC Inputs'!T231</f>
        <v>--</v>
      </c>
      <c r="R22" s="391" t="str">
        <f>IFERROR(Q22*N('WACC and TIC Inputs'!U231),"--")</f>
        <v>--</v>
      </c>
      <c r="S22" s="391" t="str">
        <f>'WACC and TIC Inputs'!V231</f>
        <v>--</v>
      </c>
      <c r="T22" s="2060" t="str">
        <f t="shared" si="1"/>
        <v/>
      </c>
      <c r="U22" s="238"/>
      <c r="V22" s="391" t="str">
        <f>IF(C22="--","--",_xll.ciqfunctions.udf.CIQ('WACC and TIC Inputs'!G139,"IQ_TEV",Valuation_date,D22,FXMode)*Scale+N(J22)+N(R22))</f>
        <v>--</v>
      </c>
      <c r="W22" s="469" t="str">
        <f>IF($C22="--","--",SUM(K22,M22:P22,R22)-'DATA GPC'!P234*Pension10)</f>
        <v>--</v>
      </c>
      <c r="X22" s="238">
        <f t="shared" si="4"/>
        <v>0</v>
      </c>
      <c r="Y22" s="1506"/>
      <c r="Z22" s="469" t="str">
        <f t="shared" si="2"/>
        <v>--</v>
      </c>
      <c r="AA22" s="240">
        <f t="shared" si="3"/>
        <v>0</v>
      </c>
      <c r="AB22" s="2060"/>
      <c r="AC22" s="2060"/>
      <c r="AD22" s="2060"/>
      <c r="AE22" s="2060"/>
      <c r="AF22" s="2060"/>
      <c r="AG22" s="2060"/>
      <c r="AH22" s="2060"/>
      <c r="AI22" s="2060"/>
    </row>
    <row r="23" spans="1:35" ht="12.95" customHeight="1">
      <c r="A23" s="1510" t="str">
        <f>IF(C23="--","n","")</f>
        <v>n</v>
      </c>
      <c r="B23" s="1510"/>
      <c r="C23" s="173" t="str">
        <f>'DATA GPC'!E$31</f>
        <v>--</v>
      </c>
      <c r="D23" s="390" t="str">
        <f>'DATA GPC'!J31</f>
        <v>--</v>
      </c>
      <c r="E23" s="615" t="str">
        <f>'WACC and TIC Inputs'!H232</f>
        <v>--</v>
      </c>
      <c r="F23" s="391" t="str">
        <f>'WACC and TIC Inputs'!I232</f>
        <v>--</v>
      </c>
      <c r="G23" s="391" t="str">
        <f>'WACC and TIC Inputs'!J232</f>
        <v>--</v>
      </c>
      <c r="H23" s="1512" t="str">
        <f>'WACC and TIC Inputs'!K232</f>
        <v>--</v>
      </c>
      <c r="I23" s="391" t="str">
        <f>'WACC and TIC Inputs'!L232</f>
        <v>--</v>
      </c>
      <c r="J23" s="391" t="str">
        <f>IFERROR(I23*N('WACC and TIC Inputs'!M232),"--")</f>
        <v>--</v>
      </c>
      <c r="K23" s="338" t="str">
        <f>'WACC and TIC Inputs'!N232</f>
        <v>--</v>
      </c>
      <c r="L23" s="1506"/>
      <c r="M23" s="391" t="str">
        <f>'WACC and TIC Inputs'!P232</f>
        <v>--</v>
      </c>
      <c r="N23" s="391" t="str">
        <f>'WACC and TIC Inputs'!Q232</f>
        <v>--</v>
      </c>
      <c r="O23" s="391" t="str">
        <f>'WACC and TIC Inputs'!R232</f>
        <v>--</v>
      </c>
      <c r="P23" s="391" t="str">
        <f>'WACC and TIC Inputs'!S232</f>
        <v>--</v>
      </c>
      <c r="Q23" s="391" t="str">
        <f>'WACC and TIC Inputs'!T232</f>
        <v>--</v>
      </c>
      <c r="R23" s="391" t="str">
        <f>IFERROR(Q23*N('WACC and TIC Inputs'!U232),"--")</f>
        <v>--</v>
      </c>
      <c r="S23" s="391" t="str">
        <f>'WACC and TIC Inputs'!V232</f>
        <v>--</v>
      </c>
      <c r="T23" s="2060" t="str">
        <f t="shared" si="1"/>
        <v/>
      </c>
      <c r="U23" s="238"/>
      <c r="V23" s="391" t="str">
        <f>IF(C23="--","--",_xll.ciqfunctions.udf.CIQ('WACC and TIC Inputs'!G140,"IQ_TEV",Valuation_date,D23,FXMode)*Scale+N(J23)+N(R23))</f>
        <v>--</v>
      </c>
      <c r="W23" s="469" t="str">
        <f>IF($C23="--","--",SUM(K23,M23:P23,R23)-'DATA GPC'!P235*Pension10)</f>
        <v>--</v>
      </c>
      <c r="X23" s="238">
        <f t="shared" si="4"/>
        <v>0</v>
      </c>
      <c r="Y23" s="2060"/>
      <c r="Z23" s="469" t="str">
        <f t="shared" si="2"/>
        <v>--</v>
      </c>
      <c r="AA23" s="240">
        <f t="shared" si="3"/>
        <v>0</v>
      </c>
      <c r="AB23" s="2060"/>
      <c r="AC23" s="2060"/>
      <c r="AD23" s="2060"/>
      <c r="AE23" s="2060"/>
      <c r="AF23" s="2060"/>
      <c r="AG23" s="2060"/>
      <c r="AH23" s="2060"/>
      <c r="AI23" s="2060"/>
    </row>
    <row r="24" spans="1:35" ht="12.95" customHeight="1">
      <c r="A24" s="1510" t="str">
        <f>IF(C24="--","n","")</f>
        <v>n</v>
      </c>
      <c r="B24" s="1510"/>
      <c r="C24" s="173" t="str">
        <f>'DATA GPC'!E$32</f>
        <v>--</v>
      </c>
      <c r="D24" s="390" t="str">
        <f>'DATA GPC'!J32</f>
        <v>--</v>
      </c>
      <c r="E24" s="615" t="str">
        <f>'WACC and TIC Inputs'!H233</f>
        <v>--</v>
      </c>
      <c r="F24" s="391" t="str">
        <f>'WACC and TIC Inputs'!I233</f>
        <v>--</v>
      </c>
      <c r="G24" s="391" t="str">
        <f>'WACC and TIC Inputs'!J233</f>
        <v>--</v>
      </c>
      <c r="H24" s="1512" t="str">
        <f>'WACC and TIC Inputs'!K233</f>
        <v>--</v>
      </c>
      <c r="I24" s="391" t="str">
        <f>'WACC and TIC Inputs'!L233</f>
        <v>--</v>
      </c>
      <c r="J24" s="391" t="str">
        <f>IFERROR(I24*N('WACC and TIC Inputs'!M233),"--")</f>
        <v>--</v>
      </c>
      <c r="K24" s="338" t="str">
        <f>'WACC and TIC Inputs'!N233</f>
        <v>--</v>
      </c>
      <c r="L24" s="1506"/>
      <c r="M24" s="391" t="str">
        <f>'WACC and TIC Inputs'!P233</f>
        <v>--</v>
      </c>
      <c r="N24" s="391" t="str">
        <f>'WACC and TIC Inputs'!Q233</f>
        <v>--</v>
      </c>
      <c r="O24" s="391" t="str">
        <f>'WACC and TIC Inputs'!R233</f>
        <v>--</v>
      </c>
      <c r="P24" s="391" t="str">
        <f>'WACC and TIC Inputs'!S233</f>
        <v>--</v>
      </c>
      <c r="Q24" s="391" t="str">
        <f>'WACC and TIC Inputs'!T233</f>
        <v>--</v>
      </c>
      <c r="R24" s="391" t="str">
        <f>IFERROR(Q24*N('WACC and TIC Inputs'!U233),"--")</f>
        <v>--</v>
      </c>
      <c r="S24" s="391" t="str">
        <f>'WACC and TIC Inputs'!V233</f>
        <v>--</v>
      </c>
      <c r="T24" s="2060" t="str">
        <f t="shared" si="1"/>
        <v/>
      </c>
      <c r="U24" s="238"/>
      <c r="V24" s="391" t="str">
        <f>IF(C24="--","--",_xll.ciqfunctions.udf.CIQ('WACC and TIC Inputs'!G141,"IQ_TEV",Valuation_date,D24,FXMode)*Scale+N(J24)+N(R24))</f>
        <v>--</v>
      </c>
      <c r="W24" s="469" t="str">
        <f>IF($C24="--","--",SUM(K24,M24:P24,R24)-'DATA GPC'!P236*Pension10)</f>
        <v>--</v>
      </c>
      <c r="X24" s="238">
        <f t="shared" si="4"/>
        <v>0</v>
      </c>
      <c r="Y24" s="2060"/>
      <c r="Z24" s="469" t="str">
        <f t="shared" si="2"/>
        <v>--</v>
      </c>
      <c r="AA24" s="240">
        <f t="shared" si="3"/>
        <v>0</v>
      </c>
      <c r="AB24" s="2060"/>
      <c r="AC24" s="2060"/>
      <c r="AD24" s="2060"/>
      <c r="AE24" s="2060"/>
      <c r="AF24" s="2060"/>
      <c r="AG24" s="2060"/>
      <c r="AH24" s="2060"/>
      <c r="AI24" s="2060"/>
    </row>
    <row r="25" spans="1:35" ht="12.95" customHeight="1">
      <c r="A25" s="1510" t="str">
        <f>IF(C25="--","n","")</f>
        <v>n</v>
      </c>
      <c r="B25" s="1510"/>
      <c r="C25" s="173" t="str">
        <f>'DATA GPC'!E$33</f>
        <v>--</v>
      </c>
      <c r="D25" s="390" t="str">
        <f>'DATA GPC'!J33</f>
        <v>--</v>
      </c>
      <c r="E25" s="615" t="str">
        <f>'WACC and TIC Inputs'!H234</f>
        <v>--</v>
      </c>
      <c r="F25" s="391" t="str">
        <f>'WACC and TIC Inputs'!I234</f>
        <v>--</v>
      </c>
      <c r="G25" s="391" t="str">
        <f>'WACC and TIC Inputs'!J234</f>
        <v>--</v>
      </c>
      <c r="H25" s="1512" t="str">
        <f>'WACC and TIC Inputs'!K234</f>
        <v>--</v>
      </c>
      <c r="I25" s="391" t="str">
        <f>'WACC and TIC Inputs'!L234</f>
        <v>--</v>
      </c>
      <c r="J25" s="391" t="str">
        <f>IFERROR(I25*N('WACC and TIC Inputs'!M234),"--")</f>
        <v>--</v>
      </c>
      <c r="K25" s="338" t="str">
        <f>'WACC and TIC Inputs'!N234</f>
        <v>--</v>
      </c>
      <c r="L25" s="1506"/>
      <c r="M25" s="391" t="str">
        <f>'WACC and TIC Inputs'!P234</f>
        <v>--</v>
      </c>
      <c r="N25" s="391" t="str">
        <f>'WACC and TIC Inputs'!Q234</f>
        <v>--</v>
      </c>
      <c r="O25" s="391" t="str">
        <f>'WACC and TIC Inputs'!R234</f>
        <v>--</v>
      </c>
      <c r="P25" s="391" t="str">
        <f>'WACC and TIC Inputs'!S234</f>
        <v>--</v>
      </c>
      <c r="Q25" s="391" t="str">
        <f>'WACC and TIC Inputs'!T234</f>
        <v>--</v>
      </c>
      <c r="R25" s="391" t="str">
        <f>IFERROR(Q25*N('WACC and TIC Inputs'!U234),"--")</f>
        <v>--</v>
      </c>
      <c r="S25" s="391" t="str">
        <f>'WACC and TIC Inputs'!V234</f>
        <v>--</v>
      </c>
      <c r="T25" s="2060" t="str">
        <f t="shared" si="1"/>
        <v/>
      </c>
      <c r="U25" s="238"/>
      <c r="V25" s="391" t="str">
        <f>IF(C25="--","--",_xll.ciqfunctions.udf.CIQ('WACC and TIC Inputs'!G142,"IQ_TEV",Valuation_date,D25,FXMode)*Scale+N(J25)+N(R25))</f>
        <v>--</v>
      </c>
      <c r="W25" s="469" t="str">
        <f>IF($C25="--","--",SUM(K25,M25:P25,R25)-'DATA GPC'!P237*Pension10)</f>
        <v>--</v>
      </c>
      <c r="X25" s="238">
        <f t="shared" si="4"/>
        <v>0</v>
      </c>
      <c r="Y25" s="2060"/>
      <c r="Z25" s="469" t="str">
        <f t="shared" si="2"/>
        <v>--</v>
      </c>
      <c r="AA25" s="240">
        <f t="shared" si="3"/>
        <v>0</v>
      </c>
      <c r="AB25" s="2060"/>
      <c r="AC25" s="2060"/>
      <c r="AD25" s="2060"/>
      <c r="AE25" s="2060"/>
      <c r="AF25" s="2060"/>
      <c r="AG25" s="2060"/>
      <c r="AH25" s="2060"/>
      <c r="AI25" s="2060"/>
    </row>
    <row r="26" spans="1:35" s="1506" customFormat="1" ht="12.95" customHeight="1">
      <c r="A26" s="1510" t="str">
        <f t="shared" ref="A26:A36" si="5">IF(C26="--","n","")</f>
        <v>n</v>
      </c>
      <c r="B26" s="1510"/>
      <c r="C26" s="173" t="str">
        <f>'DATA GPC'!E$34</f>
        <v>--</v>
      </c>
      <c r="D26" s="390" t="str">
        <f>'DATA GPC'!J34</f>
        <v>--</v>
      </c>
      <c r="E26" s="615" t="str">
        <f>'WACC and TIC Inputs'!H235</f>
        <v>--</v>
      </c>
      <c r="F26" s="391" t="str">
        <f>'WACC and TIC Inputs'!I235</f>
        <v>--</v>
      </c>
      <c r="G26" s="391" t="str">
        <f>'WACC and TIC Inputs'!J235</f>
        <v>--</v>
      </c>
      <c r="H26" s="1512" t="str">
        <f>'WACC and TIC Inputs'!K235</f>
        <v>--</v>
      </c>
      <c r="I26" s="391" t="str">
        <f>'WACC and TIC Inputs'!L235</f>
        <v>--</v>
      </c>
      <c r="J26" s="391" t="str">
        <f>IFERROR(I26*N('WACC and TIC Inputs'!M235),"--")</f>
        <v>--</v>
      </c>
      <c r="K26" s="338" t="str">
        <f>'WACC and TIC Inputs'!N235</f>
        <v>--</v>
      </c>
      <c r="M26" s="391" t="str">
        <f>'WACC and TIC Inputs'!P235</f>
        <v>--</v>
      </c>
      <c r="N26" s="391" t="str">
        <f>'WACC and TIC Inputs'!Q235</f>
        <v>--</v>
      </c>
      <c r="O26" s="391" t="str">
        <f>'WACC and TIC Inputs'!R235</f>
        <v>--</v>
      </c>
      <c r="P26" s="391" t="str">
        <f>'WACC and TIC Inputs'!S235</f>
        <v>--</v>
      </c>
      <c r="Q26" s="391" t="str">
        <f>'WACC and TIC Inputs'!T235</f>
        <v>--</v>
      </c>
      <c r="R26" s="391" t="str">
        <f>IFERROR(Q26*N('WACC and TIC Inputs'!U235),"--")</f>
        <v>--</v>
      </c>
      <c r="S26" s="391" t="str">
        <f>'WACC and TIC Inputs'!V235</f>
        <v>--</v>
      </c>
      <c r="T26" s="2060" t="str">
        <f t="shared" ref="T26:T36" si="6">IF(Q26=0,Fail,"")</f>
        <v/>
      </c>
      <c r="U26" s="238"/>
      <c r="V26" s="391" t="str">
        <f>IF(C26="--","--",_xll.ciqfunctions.udf.CIQ('WACC and TIC Inputs'!G143,"IQ_TEV",Valuation_date,D26,FXMode)*Scale+N(J26)+N(R26))</f>
        <v>--</v>
      </c>
      <c r="W26" s="469" t="str">
        <f>IF($C26="--","--",SUM(K26,M26:P26,R26)-'DATA GPC'!P238*Pension10)</f>
        <v>--</v>
      </c>
      <c r="X26" s="238">
        <f t="shared" ref="X26:X36" si="7">IFERROR(ROUND(N(W26)-N(V26),0),"Check")</f>
        <v>0</v>
      </c>
      <c r="Y26" s="2060"/>
      <c r="Z26" s="469" t="str">
        <f t="shared" ref="Z26:Z36" si="8">IFERROR(E26*F26,"--")</f>
        <v>--</v>
      </c>
      <c r="AA26" s="240">
        <f t="shared" ref="AA26:AA36" si="9">IFERROR(ROUND(N(Z26)-N(G26),0),"Check")</f>
        <v>0</v>
      </c>
      <c r="AB26" s="2060"/>
      <c r="AC26" s="2060"/>
      <c r="AD26" s="2060"/>
      <c r="AE26" s="2060"/>
      <c r="AF26" s="2060"/>
      <c r="AG26" s="2060"/>
      <c r="AH26" s="2060"/>
      <c r="AI26" s="2060"/>
    </row>
    <row r="27" spans="1:35" s="1506" customFormat="1" ht="12.95" customHeight="1">
      <c r="A27" s="1510" t="str">
        <f t="shared" si="5"/>
        <v>n</v>
      </c>
      <c r="B27" s="1510"/>
      <c r="C27" s="173" t="str">
        <f>'DATA GPC'!E$35</f>
        <v>--</v>
      </c>
      <c r="D27" s="390" t="str">
        <f>'DATA GPC'!J35</f>
        <v>--</v>
      </c>
      <c r="E27" s="615" t="str">
        <f>'WACC and TIC Inputs'!H236</f>
        <v>--</v>
      </c>
      <c r="F27" s="391" t="str">
        <f>'WACC and TIC Inputs'!I236</f>
        <v>--</v>
      </c>
      <c r="G27" s="391" t="str">
        <f>'WACC and TIC Inputs'!J236</f>
        <v>--</v>
      </c>
      <c r="H27" s="1512" t="str">
        <f>'WACC and TIC Inputs'!K236</f>
        <v>--</v>
      </c>
      <c r="I27" s="391" t="str">
        <f>'WACC and TIC Inputs'!L236</f>
        <v>--</v>
      </c>
      <c r="J27" s="391" t="str">
        <f>IFERROR(I27*N('WACC and TIC Inputs'!M236),"--")</f>
        <v>--</v>
      </c>
      <c r="K27" s="338" t="str">
        <f>'WACC and TIC Inputs'!N236</f>
        <v>--</v>
      </c>
      <c r="M27" s="391" t="str">
        <f>'WACC and TIC Inputs'!P236</f>
        <v>--</v>
      </c>
      <c r="N27" s="391" t="str">
        <f>'WACC and TIC Inputs'!Q236</f>
        <v>--</v>
      </c>
      <c r="O27" s="391" t="str">
        <f>'WACC and TIC Inputs'!R236</f>
        <v>--</v>
      </c>
      <c r="P27" s="391" t="str">
        <f>'WACC and TIC Inputs'!S236</f>
        <v>--</v>
      </c>
      <c r="Q27" s="391" t="str">
        <f>'WACC and TIC Inputs'!T236</f>
        <v>--</v>
      </c>
      <c r="R27" s="391" t="str">
        <f>IFERROR(Q27*N('WACC and TIC Inputs'!U236),"--")</f>
        <v>--</v>
      </c>
      <c r="S27" s="391" t="str">
        <f>'WACC and TIC Inputs'!V236</f>
        <v>--</v>
      </c>
      <c r="T27" s="2060" t="str">
        <f t="shared" si="6"/>
        <v/>
      </c>
      <c r="U27" s="238"/>
      <c r="V27" s="391" t="str">
        <f>IF(C27="--","--",_xll.ciqfunctions.udf.CIQ('WACC and TIC Inputs'!G144,"IQ_TEV",Valuation_date,D27,FXMode)*Scale+N(J27)+N(R27))</f>
        <v>--</v>
      </c>
      <c r="W27" s="469" t="str">
        <f>IF($C27="--","--",SUM(K27,M27:P27,R27)-'DATA GPC'!P239*Pension10)</f>
        <v>--</v>
      </c>
      <c r="X27" s="238">
        <f t="shared" si="7"/>
        <v>0</v>
      </c>
      <c r="Y27" s="2060"/>
      <c r="Z27" s="469" t="str">
        <f t="shared" si="8"/>
        <v>--</v>
      </c>
      <c r="AA27" s="240">
        <f t="shared" si="9"/>
        <v>0</v>
      </c>
      <c r="AB27" s="2060"/>
      <c r="AC27" s="2060"/>
      <c r="AD27" s="2060"/>
      <c r="AE27" s="2060"/>
      <c r="AF27" s="2060"/>
      <c r="AG27" s="2060"/>
      <c r="AH27" s="2060"/>
      <c r="AI27" s="2060"/>
    </row>
    <row r="28" spans="1:35" s="1506" customFormat="1" ht="12.95" customHeight="1">
      <c r="A28" s="1510" t="str">
        <f t="shared" si="5"/>
        <v>n</v>
      </c>
      <c r="B28" s="1510"/>
      <c r="C28" s="173" t="str">
        <f>'DATA GPC'!E$36</f>
        <v>--</v>
      </c>
      <c r="D28" s="390" t="str">
        <f>'DATA GPC'!J36</f>
        <v>--</v>
      </c>
      <c r="E28" s="615" t="str">
        <f>'WACC and TIC Inputs'!H237</f>
        <v>--</v>
      </c>
      <c r="F28" s="391" t="str">
        <f>'WACC and TIC Inputs'!I237</f>
        <v>--</v>
      </c>
      <c r="G28" s="391" t="str">
        <f>'WACC and TIC Inputs'!J237</f>
        <v>--</v>
      </c>
      <c r="H28" s="1512" t="str">
        <f>'WACC and TIC Inputs'!K237</f>
        <v>--</v>
      </c>
      <c r="I28" s="391" t="str">
        <f>'WACC and TIC Inputs'!L237</f>
        <v>--</v>
      </c>
      <c r="J28" s="391" t="str">
        <f>IFERROR(I28*N('WACC and TIC Inputs'!M237),"--")</f>
        <v>--</v>
      </c>
      <c r="K28" s="338" t="str">
        <f>'WACC and TIC Inputs'!N237</f>
        <v>--</v>
      </c>
      <c r="M28" s="391" t="str">
        <f>'WACC and TIC Inputs'!P237</f>
        <v>--</v>
      </c>
      <c r="N28" s="391" t="str">
        <f>'WACC and TIC Inputs'!Q237</f>
        <v>--</v>
      </c>
      <c r="O28" s="391" t="str">
        <f>'WACC and TIC Inputs'!R237</f>
        <v>--</v>
      </c>
      <c r="P28" s="391" t="str">
        <f>'WACC and TIC Inputs'!S237</f>
        <v>--</v>
      </c>
      <c r="Q28" s="391" t="str">
        <f>'WACC and TIC Inputs'!T237</f>
        <v>--</v>
      </c>
      <c r="R28" s="391" t="str">
        <f>IFERROR(Q28*N('WACC and TIC Inputs'!U237),"--")</f>
        <v>--</v>
      </c>
      <c r="S28" s="391" t="str">
        <f>'WACC and TIC Inputs'!V237</f>
        <v>--</v>
      </c>
      <c r="T28" s="2060" t="str">
        <f t="shared" si="6"/>
        <v/>
      </c>
      <c r="U28" s="238"/>
      <c r="V28" s="391" t="str">
        <f>IF(C28="--","--",_xll.ciqfunctions.udf.CIQ('WACC and TIC Inputs'!G145,"IQ_TEV",Valuation_date,D28,FXMode)*Scale+N(J28)+N(R28))</f>
        <v>--</v>
      </c>
      <c r="W28" s="469" t="str">
        <f>IF($C28="--","--",SUM(K28,M28:P28,R28)-'DATA GPC'!P240*Pension10)</f>
        <v>--</v>
      </c>
      <c r="X28" s="238">
        <f t="shared" si="7"/>
        <v>0</v>
      </c>
      <c r="Y28" s="2060"/>
      <c r="Z28" s="469" t="str">
        <f t="shared" si="8"/>
        <v>--</v>
      </c>
      <c r="AA28" s="240">
        <f t="shared" si="9"/>
        <v>0</v>
      </c>
      <c r="AB28" s="2060"/>
      <c r="AC28" s="2060"/>
      <c r="AD28" s="2060"/>
      <c r="AE28" s="2060"/>
      <c r="AF28" s="2060"/>
      <c r="AG28" s="2060"/>
      <c r="AH28" s="2060"/>
      <c r="AI28" s="2060"/>
    </row>
    <row r="29" spans="1:35" s="1506" customFormat="1" ht="12.95" customHeight="1">
      <c r="A29" s="1510" t="str">
        <f t="shared" si="5"/>
        <v>n</v>
      </c>
      <c r="B29" s="1510"/>
      <c r="C29" s="173" t="str">
        <f>'DATA GPC'!E$37</f>
        <v>--</v>
      </c>
      <c r="D29" s="390" t="str">
        <f>'DATA GPC'!J37</f>
        <v>--</v>
      </c>
      <c r="E29" s="615" t="str">
        <f>'WACC and TIC Inputs'!H238</f>
        <v>--</v>
      </c>
      <c r="F29" s="391" t="str">
        <f>'WACC and TIC Inputs'!I238</f>
        <v>--</v>
      </c>
      <c r="G29" s="391" t="str">
        <f>'WACC and TIC Inputs'!J238</f>
        <v>--</v>
      </c>
      <c r="H29" s="1512" t="str">
        <f>'WACC and TIC Inputs'!K238</f>
        <v>--</v>
      </c>
      <c r="I29" s="391" t="str">
        <f>'WACC and TIC Inputs'!L238</f>
        <v>--</v>
      </c>
      <c r="J29" s="391" t="str">
        <f>IFERROR(I29*N('WACC and TIC Inputs'!M238),"--")</f>
        <v>--</v>
      </c>
      <c r="K29" s="338" t="str">
        <f>'WACC and TIC Inputs'!N238</f>
        <v>--</v>
      </c>
      <c r="M29" s="391" t="str">
        <f>'WACC and TIC Inputs'!P238</f>
        <v>--</v>
      </c>
      <c r="N29" s="391" t="str">
        <f>'WACC and TIC Inputs'!Q238</f>
        <v>--</v>
      </c>
      <c r="O29" s="391" t="str">
        <f>'WACC and TIC Inputs'!R238</f>
        <v>--</v>
      </c>
      <c r="P29" s="391" t="str">
        <f>'WACC and TIC Inputs'!S238</f>
        <v>--</v>
      </c>
      <c r="Q29" s="391" t="str">
        <f>'WACC and TIC Inputs'!T238</f>
        <v>--</v>
      </c>
      <c r="R29" s="391" t="str">
        <f>IFERROR(Q29*N('WACC and TIC Inputs'!U238),"--")</f>
        <v>--</v>
      </c>
      <c r="S29" s="391" t="str">
        <f>'WACC and TIC Inputs'!V238</f>
        <v>--</v>
      </c>
      <c r="T29" s="2060" t="str">
        <f t="shared" si="6"/>
        <v/>
      </c>
      <c r="U29" s="238"/>
      <c r="V29" s="391" t="str">
        <f>IF(C29="--","--",_xll.ciqfunctions.udf.CIQ('WACC and TIC Inputs'!G146,"IQ_TEV",Valuation_date,D29,FXMode)*Scale+N(J29)+N(R29))</f>
        <v>--</v>
      </c>
      <c r="W29" s="469" t="str">
        <f>IF($C29="--","--",SUM(K29,M29:P29,R29)-'DATA GPC'!P241*Pension10)</f>
        <v>--</v>
      </c>
      <c r="X29" s="238">
        <f t="shared" si="7"/>
        <v>0</v>
      </c>
      <c r="Y29" s="2060"/>
      <c r="Z29" s="469" t="str">
        <f t="shared" si="8"/>
        <v>--</v>
      </c>
      <c r="AA29" s="240">
        <f t="shared" si="9"/>
        <v>0</v>
      </c>
      <c r="AB29" s="2060"/>
      <c r="AC29" s="2060"/>
      <c r="AD29" s="2060"/>
      <c r="AE29" s="2060"/>
      <c r="AF29" s="2060"/>
      <c r="AG29" s="2060"/>
      <c r="AH29" s="2060"/>
      <c r="AI29" s="2060"/>
    </row>
    <row r="30" spans="1:35" s="1506" customFormat="1" ht="12.95" customHeight="1">
      <c r="A30" s="1510" t="str">
        <f t="shared" si="5"/>
        <v>n</v>
      </c>
      <c r="B30" s="1510"/>
      <c r="C30" s="173" t="str">
        <f>'DATA GPC'!E$38</f>
        <v>--</v>
      </c>
      <c r="D30" s="390" t="str">
        <f>'DATA GPC'!J38</f>
        <v>--</v>
      </c>
      <c r="E30" s="615" t="str">
        <f>'WACC and TIC Inputs'!H239</f>
        <v>--</v>
      </c>
      <c r="F30" s="391" t="str">
        <f>'WACC and TIC Inputs'!I239</f>
        <v>--</v>
      </c>
      <c r="G30" s="391" t="str">
        <f>'WACC and TIC Inputs'!J239</f>
        <v>--</v>
      </c>
      <c r="H30" s="1512" t="str">
        <f>'WACC and TIC Inputs'!K239</f>
        <v>--</v>
      </c>
      <c r="I30" s="391" t="str">
        <f>'WACC and TIC Inputs'!L239</f>
        <v>--</v>
      </c>
      <c r="J30" s="391" t="str">
        <f>IFERROR(I30*N('WACC and TIC Inputs'!M239),"--")</f>
        <v>--</v>
      </c>
      <c r="K30" s="338" t="str">
        <f>'WACC and TIC Inputs'!N239</f>
        <v>--</v>
      </c>
      <c r="M30" s="391" t="str">
        <f>'WACC and TIC Inputs'!P239</f>
        <v>--</v>
      </c>
      <c r="N30" s="391" t="str">
        <f>'WACC and TIC Inputs'!Q239</f>
        <v>--</v>
      </c>
      <c r="O30" s="391" t="str">
        <f>'WACC and TIC Inputs'!R239</f>
        <v>--</v>
      </c>
      <c r="P30" s="391" t="str">
        <f>'WACC and TIC Inputs'!S239</f>
        <v>--</v>
      </c>
      <c r="Q30" s="391" t="str">
        <f>'WACC and TIC Inputs'!T239</f>
        <v>--</v>
      </c>
      <c r="R30" s="391" t="str">
        <f>IFERROR(Q30*N('WACC and TIC Inputs'!U239),"--")</f>
        <v>--</v>
      </c>
      <c r="S30" s="391" t="str">
        <f>'WACC and TIC Inputs'!V239</f>
        <v>--</v>
      </c>
      <c r="T30" s="2060" t="str">
        <f t="shared" si="6"/>
        <v/>
      </c>
      <c r="U30" s="238"/>
      <c r="V30" s="391" t="str">
        <f>IF(C30="--","--",_xll.ciqfunctions.udf.CIQ('WACC and TIC Inputs'!G147,"IQ_TEV",Valuation_date,D30,FXMode)*Scale+N(J30)+N(R30))</f>
        <v>--</v>
      </c>
      <c r="W30" s="469" t="str">
        <f>IF($C30="--","--",SUM(K30,M30:P30,R30)-'DATA GPC'!P242*Pension10)</f>
        <v>--</v>
      </c>
      <c r="X30" s="238">
        <f t="shared" si="7"/>
        <v>0</v>
      </c>
      <c r="Y30" s="2060"/>
      <c r="Z30" s="469" t="str">
        <f t="shared" si="8"/>
        <v>--</v>
      </c>
      <c r="AA30" s="240">
        <f t="shared" si="9"/>
        <v>0</v>
      </c>
      <c r="AB30" s="2060"/>
      <c r="AC30" s="2060"/>
      <c r="AD30" s="2060"/>
      <c r="AE30" s="2060"/>
      <c r="AF30" s="2060"/>
      <c r="AG30" s="2060"/>
      <c r="AH30" s="2060"/>
      <c r="AI30" s="2060"/>
    </row>
    <row r="31" spans="1:35" s="1506" customFormat="1" ht="12.95" customHeight="1">
      <c r="A31" s="1510" t="str">
        <f t="shared" si="5"/>
        <v>n</v>
      </c>
      <c r="B31" s="1510"/>
      <c r="C31" s="173" t="str">
        <f>'DATA GPC'!E$39</f>
        <v>--</v>
      </c>
      <c r="D31" s="390" t="str">
        <f>'DATA GPC'!J39</f>
        <v>--</v>
      </c>
      <c r="E31" s="615" t="str">
        <f>'WACC and TIC Inputs'!H240</f>
        <v>--</v>
      </c>
      <c r="F31" s="391" t="str">
        <f>'WACC and TIC Inputs'!I240</f>
        <v>--</v>
      </c>
      <c r="G31" s="391" t="str">
        <f>'WACC and TIC Inputs'!J240</f>
        <v>--</v>
      </c>
      <c r="H31" s="1512" t="str">
        <f>'WACC and TIC Inputs'!K240</f>
        <v>--</v>
      </c>
      <c r="I31" s="391" t="str">
        <f>'WACC and TIC Inputs'!L240</f>
        <v>--</v>
      </c>
      <c r="J31" s="391" t="str">
        <f>IFERROR(I31*N('WACC and TIC Inputs'!M240),"--")</f>
        <v>--</v>
      </c>
      <c r="K31" s="338" t="str">
        <f>'WACC and TIC Inputs'!N240</f>
        <v>--</v>
      </c>
      <c r="M31" s="391" t="str">
        <f>'WACC and TIC Inputs'!P240</f>
        <v>--</v>
      </c>
      <c r="N31" s="391" t="str">
        <f>'WACC and TIC Inputs'!Q240</f>
        <v>--</v>
      </c>
      <c r="O31" s="391" t="str">
        <f>'WACC and TIC Inputs'!R240</f>
        <v>--</v>
      </c>
      <c r="P31" s="391" t="str">
        <f>'WACC and TIC Inputs'!S240</f>
        <v>--</v>
      </c>
      <c r="Q31" s="391" t="str">
        <f>'WACC and TIC Inputs'!T240</f>
        <v>--</v>
      </c>
      <c r="R31" s="391" t="str">
        <f>IFERROR(Q31*N('WACC and TIC Inputs'!U240),"--")</f>
        <v>--</v>
      </c>
      <c r="S31" s="391" t="str">
        <f>'WACC and TIC Inputs'!V240</f>
        <v>--</v>
      </c>
      <c r="T31" s="2060" t="str">
        <f t="shared" si="6"/>
        <v/>
      </c>
      <c r="U31" s="238"/>
      <c r="V31" s="391" t="str">
        <f>IF(C31="--","--",_xll.ciqfunctions.udf.CIQ('WACC and TIC Inputs'!G148,"IQ_TEV",Valuation_date,D31,FXMode)*Scale+N(J31)+N(R31))</f>
        <v>--</v>
      </c>
      <c r="W31" s="469" t="str">
        <f>IF($C31="--","--",SUM(K31,M31:P31,R31)-'DATA GPC'!P243*Pension10)</f>
        <v>--</v>
      </c>
      <c r="X31" s="238">
        <f t="shared" si="7"/>
        <v>0</v>
      </c>
      <c r="Y31" s="2060"/>
      <c r="Z31" s="469" t="str">
        <f t="shared" si="8"/>
        <v>--</v>
      </c>
      <c r="AA31" s="240">
        <f t="shared" si="9"/>
        <v>0</v>
      </c>
      <c r="AB31" s="2060"/>
      <c r="AC31" s="2060"/>
      <c r="AD31" s="2060"/>
      <c r="AE31" s="2060"/>
      <c r="AF31" s="2060"/>
      <c r="AG31" s="2060"/>
      <c r="AH31" s="2060"/>
      <c r="AI31" s="2060"/>
    </row>
    <row r="32" spans="1:35" s="1506" customFormat="1" ht="12.95" customHeight="1">
      <c r="A32" s="1510" t="str">
        <f t="shared" si="5"/>
        <v>n</v>
      </c>
      <c r="B32" s="1510"/>
      <c r="C32" s="173" t="str">
        <f>'DATA GPC'!E$40</f>
        <v>--</v>
      </c>
      <c r="D32" s="390" t="str">
        <f>'DATA GPC'!J40</f>
        <v>--</v>
      </c>
      <c r="E32" s="615" t="str">
        <f>'WACC and TIC Inputs'!H241</f>
        <v>--</v>
      </c>
      <c r="F32" s="391" t="str">
        <f>'WACC and TIC Inputs'!I241</f>
        <v>--</v>
      </c>
      <c r="G32" s="391" t="str">
        <f>'WACC and TIC Inputs'!J241</f>
        <v>--</v>
      </c>
      <c r="H32" s="1512" t="str">
        <f>'WACC and TIC Inputs'!K241</f>
        <v>--</v>
      </c>
      <c r="I32" s="391" t="str">
        <f>'WACC and TIC Inputs'!L241</f>
        <v>--</v>
      </c>
      <c r="J32" s="391" t="str">
        <f>IFERROR(I32*N('WACC and TIC Inputs'!M241),"--")</f>
        <v>--</v>
      </c>
      <c r="K32" s="338" t="str">
        <f>'WACC and TIC Inputs'!N241</f>
        <v>--</v>
      </c>
      <c r="M32" s="391" t="str">
        <f>'WACC and TIC Inputs'!P241</f>
        <v>--</v>
      </c>
      <c r="N32" s="391" t="str">
        <f>'WACC and TIC Inputs'!Q241</f>
        <v>--</v>
      </c>
      <c r="O32" s="391" t="str">
        <f>'WACC and TIC Inputs'!R241</f>
        <v>--</v>
      </c>
      <c r="P32" s="391" t="str">
        <f>'WACC and TIC Inputs'!S241</f>
        <v>--</v>
      </c>
      <c r="Q32" s="391" t="str">
        <f>'WACC and TIC Inputs'!T241</f>
        <v>--</v>
      </c>
      <c r="R32" s="391" t="str">
        <f>IFERROR(Q32*N('WACC and TIC Inputs'!U241),"--")</f>
        <v>--</v>
      </c>
      <c r="S32" s="391" t="str">
        <f>'WACC and TIC Inputs'!V241</f>
        <v>--</v>
      </c>
      <c r="T32" s="2060" t="str">
        <f t="shared" si="6"/>
        <v/>
      </c>
      <c r="U32" s="238"/>
      <c r="V32" s="391" t="str">
        <f>IF(C32="--","--",_xll.ciqfunctions.udf.CIQ('WACC and TIC Inputs'!G149,"IQ_TEV",Valuation_date,D32,FXMode)*Scale+N(J32)+N(R32))</f>
        <v>--</v>
      </c>
      <c r="W32" s="469" t="str">
        <f>IF($C32="--","--",SUM(K32,M32:P32,R32)-'DATA GPC'!P244*Pension10)</f>
        <v>--</v>
      </c>
      <c r="X32" s="238">
        <f t="shared" si="7"/>
        <v>0</v>
      </c>
      <c r="Y32" s="2060"/>
      <c r="Z32" s="469" t="str">
        <f t="shared" si="8"/>
        <v>--</v>
      </c>
      <c r="AA32" s="240">
        <f t="shared" si="9"/>
        <v>0</v>
      </c>
      <c r="AB32" s="2060"/>
      <c r="AC32" s="2060"/>
      <c r="AD32" s="2060"/>
      <c r="AE32" s="2060"/>
      <c r="AF32" s="2060"/>
      <c r="AG32" s="2060"/>
      <c r="AH32" s="2060"/>
      <c r="AI32" s="2060"/>
    </row>
    <row r="33" spans="1:36" s="1506" customFormat="1" ht="12.95" customHeight="1">
      <c r="A33" s="1510" t="str">
        <f t="shared" si="5"/>
        <v>n</v>
      </c>
      <c r="B33" s="1510"/>
      <c r="C33" s="173" t="str">
        <f>'DATA GPC'!E$41</f>
        <v>--</v>
      </c>
      <c r="D33" s="390" t="str">
        <f>'DATA GPC'!J41</f>
        <v>--</v>
      </c>
      <c r="E33" s="615" t="str">
        <f>'WACC and TIC Inputs'!H242</f>
        <v>--</v>
      </c>
      <c r="F33" s="391" t="str">
        <f>'WACC and TIC Inputs'!I242</f>
        <v>--</v>
      </c>
      <c r="G33" s="391" t="str">
        <f>'WACC and TIC Inputs'!J242</f>
        <v>--</v>
      </c>
      <c r="H33" s="1512" t="str">
        <f>'WACC and TIC Inputs'!K242</f>
        <v>--</v>
      </c>
      <c r="I33" s="391" t="str">
        <f>'WACC and TIC Inputs'!L242</f>
        <v>--</v>
      </c>
      <c r="J33" s="391" t="str">
        <f>IFERROR(I33*N('WACC and TIC Inputs'!M242),"--")</f>
        <v>--</v>
      </c>
      <c r="K33" s="338" t="str">
        <f>'WACC and TIC Inputs'!N242</f>
        <v>--</v>
      </c>
      <c r="M33" s="391" t="str">
        <f>'WACC and TIC Inputs'!P242</f>
        <v>--</v>
      </c>
      <c r="N33" s="391" t="str">
        <f>'WACC and TIC Inputs'!Q242</f>
        <v>--</v>
      </c>
      <c r="O33" s="391" t="str">
        <f>'WACC and TIC Inputs'!R242</f>
        <v>--</v>
      </c>
      <c r="P33" s="391" t="str">
        <f>'WACC and TIC Inputs'!S242</f>
        <v>--</v>
      </c>
      <c r="Q33" s="391" t="str">
        <f>'WACC and TIC Inputs'!T242</f>
        <v>--</v>
      </c>
      <c r="R33" s="391" t="str">
        <f>IFERROR(Q33*N('WACC and TIC Inputs'!U242),"--")</f>
        <v>--</v>
      </c>
      <c r="S33" s="391" t="str">
        <f>'WACC and TIC Inputs'!V242</f>
        <v>--</v>
      </c>
      <c r="T33" s="2060" t="str">
        <f t="shared" si="6"/>
        <v/>
      </c>
      <c r="U33" s="238"/>
      <c r="V33" s="391" t="str">
        <f>IF(C33="--","--",_xll.ciqfunctions.udf.CIQ('WACC and TIC Inputs'!G150,"IQ_TEV",Valuation_date,D33,FXMode)*Scale+N(J33)+N(R33))</f>
        <v>--</v>
      </c>
      <c r="W33" s="469" t="str">
        <f>IF($C33="--","--",SUM(K33,M33:P33,R33)-'DATA GPC'!P245*Pension10)</f>
        <v>--</v>
      </c>
      <c r="X33" s="238">
        <f t="shared" si="7"/>
        <v>0</v>
      </c>
      <c r="Y33" s="2060"/>
      <c r="Z33" s="469" t="str">
        <f t="shared" si="8"/>
        <v>--</v>
      </c>
      <c r="AA33" s="240">
        <f t="shared" si="9"/>
        <v>0</v>
      </c>
      <c r="AB33" s="2060"/>
      <c r="AC33" s="2060"/>
      <c r="AD33" s="2060"/>
      <c r="AE33" s="2060"/>
      <c r="AF33" s="2060"/>
      <c r="AG33" s="2060"/>
      <c r="AH33" s="2060"/>
      <c r="AI33" s="2060"/>
    </row>
    <row r="34" spans="1:36" s="1506" customFormat="1" ht="12.95" customHeight="1">
      <c r="A34" s="1510" t="str">
        <f t="shared" si="5"/>
        <v>n</v>
      </c>
      <c r="B34" s="1510"/>
      <c r="C34" s="173" t="str">
        <f>'DATA GPC'!E$42</f>
        <v>--</v>
      </c>
      <c r="D34" s="390" t="str">
        <f>'DATA GPC'!J42</f>
        <v>--</v>
      </c>
      <c r="E34" s="615" t="str">
        <f>'WACC and TIC Inputs'!H243</f>
        <v>--</v>
      </c>
      <c r="F34" s="391" t="str">
        <f>'WACC and TIC Inputs'!I243</f>
        <v>--</v>
      </c>
      <c r="G34" s="391" t="str">
        <f>'WACC and TIC Inputs'!J243</f>
        <v>--</v>
      </c>
      <c r="H34" s="1512" t="str">
        <f>'WACC and TIC Inputs'!K243</f>
        <v>--</v>
      </c>
      <c r="I34" s="391" t="str">
        <f>'WACC and TIC Inputs'!L243</f>
        <v>--</v>
      </c>
      <c r="J34" s="391" t="str">
        <f>IFERROR(I34*N('WACC and TIC Inputs'!M243),"--")</f>
        <v>--</v>
      </c>
      <c r="K34" s="338" t="str">
        <f>'WACC and TIC Inputs'!N243</f>
        <v>--</v>
      </c>
      <c r="M34" s="391" t="str">
        <f>'WACC and TIC Inputs'!P243</f>
        <v>--</v>
      </c>
      <c r="N34" s="391" t="str">
        <f>'WACC and TIC Inputs'!Q243</f>
        <v>--</v>
      </c>
      <c r="O34" s="391" t="str">
        <f>'WACC and TIC Inputs'!R243</f>
        <v>--</v>
      </c>
      <c r="P34" s="391" t="str">
        <f>'WACC and TIC Inputs'!S243</f>
        <v>--</v>
      </c>
      <c r="Q34" s="391" t="str">
        <f>'WACC and TIC Inputs'!T243</f>
        <v>--</v>
      </c>
      <c r="R34" s="391" t="str">
        <f>IFERROR(Q34*N('WACC and TIC Inputs'!U243),"--")</f>
        <v>--</v>
      </c>
      <c r="S34" s="391" t="str">
        <f>'WACC and TIC Inputs'!V243</f>
        <v>--</v>
      </c>
      <c r="T34" s="2060" t="str">
        <f t="shared" si="6"/>
        <v/>
      </c>
      <c r="U34" s="238"/>
      <c r="V34" s="391" t="str">
        <f>IF(C34="--","--",_xll.ciqfunctions.udf.CIQ('WACC and TIC Inputs'!G151,"IQ_TEV",Valuation_date,D34,FXMode)*Scale+N(J34)+N(R34))</f>
        <v>--</v>
      </c>
      <c r="W34" s="469" t="str">
        <f>IF($C34="--","--",SUM(K34,M34:P34,R34)-'DATA GPC'!P246*Pension10)</f>
        <v>--</v>
      </c>
      <c r="X34" s="238">
        <f t="shared" si="7"/>
        <v>0</v>
      </c>
      <c r="Y34" s="2060"/>
      <c r="Z34" s="469" t="str">
        <f t="shared" si="8"/>
        <v>--</v>
      </c>
      <c r="AA34" s="240">
        <f t="shared" si="9"/>
        <v>0</v>
      </c>
      <c r="AB34" s="2060"/>
      <c r="AC34" s="2060"/>
      <c r="AD34" s="2060"/>
      <c r="AE34" s="2060"/>
      <c r="AF34" s="2060"/>
      <c r="AG34" s="2060"/>
      <c r="AH34" s="2060"/>
      <c r="AI34" s="2060"/>
    </row>
    <row r="35" spans="1:36" s="1506" customFormat="1" ht="12.95" customHeight="1">
      <c r="A35" s="1510" t="str">
        <f t="shared" si="5"/>
        <v>n</v>
      </c>
      <c r="B35" s="1510"/>
      <c r="C35" s="173" t="str">
        <f>'DATA GPC'!E$43</f>
        <v>--</v>
      </c>
      <c r="D35" s="390" t="str">
        <f>'DATA GPC'!J43</f>
        <v>--</v>
      </c>
      <c r="E35" s="615" t="str">
        <f>'WACC and TIC Inputs'!H244</f>
        <v>--</v>
      </c>
      <c r="F35" s="391" t="str">
        <f>'WACC and TIC Inputs'!I244</f>
        <v>--</v>
      </c>
      <c r="G35" s="391" t="str">
        <f>'WACC and TIC Inputs'!J244</f>
        <v>--</v>
      </c>
      <c r="H35" s="1512" t="str">
        <f>'WACC and TIC Inputs'!K244</f>
        <v>--</v>
      </c>
      <c r="I35" s="391" t="str">
        <f>'WACC and TIC Inputs'!L244</f>
        <v>--</v>
      </c>
      <c r="J35" s="391" t="str">
        <f>IFERROR(I35*N('WACC and TIC Inputs'!M244),"--")</f>
        <v>--</v>
      </c>
      <c r="K35" s="338" t="str">
        <f>'WACC and TIC Inputs'!N244</f>
        <v>--</v>
      </c>
      <c r="M35" s="391" t="str">
        <f>'WACC and TIC Inputs'!P244</f>
        <v>--</v>
      </c>
      <c r="N35" s="391" t="str">
        <f>'WACC and TIC Inputs'!Q244</f>
        <v>--</v>
      </c>
      <c r="O35" s="391" t="str">
        <f>'WACC and TIC Inputs'!R244</f>
        <v>--</v>
      </c>
      <c r="P35" s="391" t="str">
        <f>'WACC and TIC Inputs'!S244</f>
        <v>--</v>
      </c>
      <c r="Q35" s="391" t="str">
        <f>'WACC and TIC Inputs'!T244</f>
        <v>--</v>
      </c>
      <c r="R35" s="391" t="str">
        <f>IFERROR(Q35*N('WACC and TIC Inputs'!U244),"--")</f>
        <v>--</v>
      </c>
      <c r="S35" s="391" t="str">
        <f>'WACC and TIC Inputs'!V244</f>
        <v>--</v>
      </c>
      <c r="T35" s="2060" t="str">
        <f t="shared" si="6"/>
        <v/>
      </c>
      <c r="U35" s="238"/>
      <c r="V35" s="391" t="str">
        <f>IF(C35="--","--",_xll.ciqfunctions.udf.CIQ('WACC and TIC Inputs'!G152,"IQ_TEV",Valuation_date,D35,FXMode)*Scale+N(J35)+N(R35))</f>
        <v>--</v>
      </c>
      <c r="W35" s="469" t="str">
        <f>IF($C35="--","--",SUM(K35,M35:P35,R35)-'DATA GPC'!P247*Pension10)</f>
        <v>--</v>
      </c>
      <c r="X35" s="238">
        <f t="shared" si="7"/>
        <v>0</v>
      </c>
      <c r="Y35" s="2060"/>
      <c r="Z35" s="469" t="str">
        <f t="shared" si="8"/>
        <v>--</v>
      </c>
      <c r="AA35" s="240">
        <f t="shared" si="9"/>
        <v>0</v>
      </c>
      <c r="AB35" s="2060"/>
      <c r="AC35" s="2060"/>
      <c r="AD35" s="2060"/>
      <c r="AE35" s="2060"/>
      <c r="AF35" s="2060"/>
      <c r="AG35" s="2060"/>
      <c r="AH35" s="2060"/>
      <c r="AI35" s="2060"/>
    </row>
    <row r="36" spans="1:36" ht="12.95" customHeight="1">
      <c r="A36" s="1510" t="str">
        <f t="shared" si="5"/>
        <v>n</v>
      </c>
      <c r="B36" s="1510"/>
      <c r="C36" s="173" t="str">
        <f>'DATA GPC'!E$44</f>
        <v>--</v>
      </c>
      <c r="D36" s="390" t="str">
        <f>'DATA GPC'!J44</f>
        <v>--</v>
      </c>
      <c r="E36" s="615" t="str">
        <f>'WACC and TIC Inputs'!H245</f>
        <v>--</v>
      </c>
      <c r="F36" s="391" t="str">
        <f>'WACC and TIC Inputs'!I245</f>
        <v>--</v>
      </c>
      <c r="G36" s="391" t="str">
        <f>'WACC and TIC Inputs'!J245</f>
        <v>--</v>
      </c>
      <c r="H36" s="1512" t="str">
        <f>'WACC and TIC Inputs'!K245</f>
        <v>--</v>
      </c>
      <c r="I36" s="391" t="str">
        <f>'WACC and TIC Inputs'!L245</f>
        <v>--</v>
      </c>
      <c r="J36" s="391" t="str">
        <f>IFERROR(I36*N('WACC and TIC Inputs'!M245),"--")</f>
        <v>--</v>
      </c>
      <c r="K36" s="338" t="str">
        <f>'WACC and TIC Inputs'!N245</f>
        <v>--</v>
      </c>
      <c r="L36" s="1506"/>
      <c r="M36" s="391" t="str">
        <f>'WACC and TIC Inputs'!P245</f>
        <v>--</v>
      </c>
      <c r="N36" s="391" t="str">
        <f>'WACC and TIC Inputs'!Q245</f>
        <v>--</v>
      </c>
      <c r="O36" s="391" t="str">
        <f>'WACC and TIC Inputs'!R245</f>
        <v>--</v>
      </c>
      <c r="P36" s="391" t="str">
        <f>'WACC and TIC Inputs'!S245</f>
        <v>--</v>
      </c>
      <c r="Q36" s="391" t="str">
        <f>'WACC and TIC Inputs'!T245</f>
        <v>--</v>
      </c>
      <c r="R36" s="391" t="str">
        <f>IFERROR(Q36*N('WACC and TIC Inputs'!U245),"--")</f>
        <v>--</v>
      </c>
      <c r="S36" s="391" t="str">
        <f>'WACC and TIC Inputs'!V245</f>
        <v>--</v>
      </c>
      <c r="T36" s="2060" t="str">
        <f t="shared" si="6"/>
        <v/>
      </c>
      <c r="U36" s="238"/>
      <c r="V36" s="391" t="str">
        <f>IF(C36="--","--",_xll.ciqfunctions.udf.CIQ('WACC and TIC Inputs'!G153,"IQ_TEV",Valuation_date,D36,FXMode)*Scale+N(J36)+N(R36))</f>
        <v>--</v>
      </c>
      <c r="W36" s="469" t="str">
        <f>IF($C36="--","--",SUM(K36,M36:P36,R36)-'DATA GPC'!P248*Pension10)</f>
        <v>--</v>
      </c>
      <c r="X36" s="238">
        <f t="shared" si="7"/>
        <v>0</v>
      </c>
      <c r="Y36" s="2060"/>
      <c r="Z36" s="469" t="str">
        <f t="shared" si="8"/>
        <v>--</v>
      </c>
      <c r="AA36" s="240">
        <f t="shared" si="9"/>
        <v>0</v>
      </c>
      <c r="AB36" s="2060"/>
      <c r="AC36" s="2060"/>
      <c r="AD36" s="2060"/>
      <c r="AE36" s="2060"/>
      <c r="AF36" s="2060"/>
      <c r="AG36" s="2060"/>
      <c r="AH36" s="2060"/>
      <c r="AI36" s="2060"/>
      <c r="AJ36" s="1506"/>
    </row>
    <row r="37" spans="1:36" ht="12.95" customHeight="1">
      <c r="A37" s="1510"/>
      <c r="B37" s="1510"/>
      <c r="C37" s="1322"/>
      <c r="D37" s="1323"/>
      <c r="E37" s="1324"/>
      <c r="F37" s="1325"/>
      <c r="G37" s="1325"/>
      <c r="H37" s="1326"/>
      <c r="I37" s="1325"/>
      <c r="J37" s="1325"/>
      <c r="K37" s="1325"/>
      <c r="L37" s="1325"/>
      <c r="M37" s="1325"/>
      <c r="N37" s="1325"/>
      <c r="O37" s="1322"/>
      <c r="P37" s="1322"/>
      <c r="Q37" s="1322"/>
      <c r="R37" s="1322"/>
      <c r="S37" s="1322"/>
      <c r="T37" s="1506"/>
      <c r="U37" s="238"/>
      <c r="V37" s="469"/>
      <c r="W37" s="238"/>
      <c r="X37" s="238"/>
      <c r="Y37" s="2060"/>
      <c r="Z37" s="1552"/>
      <c r="AA37" s="238"/>
      <c r="AB37" s="2060"/>
      <c r="AC37" s="2060"/>
      <c r="AD37" s="2060"/>
      <c r="AE37" s="2060"/>
      <c r="AF37" s="2060"/>
      <c r="AG37" s="2060"/>
      <c r="AH37" s="2060"/>
      <c r="AI37" s="2060"/>
      <c r="AJ37" s="1506"/>
    </row>
    <row r="38" spans="1:36" ht="12.95" customHeight="1">
      <c r="A38" s="1510" t="e">
        <f>IF(J12+R12,"","n")</f>
        <v>#VALUE!</v>
      </c>
      <c r="B38" s="1510"/>
      <c r="C38" s="387" t="str">
        <f>IF(LEFT(START!G65,6)="Equity","Equity control premium utilized is "&amp;TEXT(START!$G$66,"0.0%")&amp;" per guideline transaction analysis",IF(START!$G$67=0,"",EVorTIC&amp;" control premium utilized is "&amp;TEXT(START!$G$67,"0.0%")&amp;" per guideline transaction analysis"))</f>
        <v>TIC control premium utilized is 36500.0% per guideline transaction analysis</v>
      </c>
      <c r="D38" s="255"/>
      <c r="E38" s="1578"/>
      <c r="F38" s="255"/>
      <c r="G38" s="255"/>
      <c r="H38" s="255"/>
      <c r="I38" s="393"/>
      <c r="J38" s="1513"/>
      <c r="K38" s="1513"/>
      <c r="L38" s="1506"/>
      <c r="M38" s="2060"/>
      <c r="N38" s="2060"/>
      <c r="O38" s="2060"/>
      <c r="P38" s="2060"/>
      <c r="Q38" s="1549"/>
      <c r="R38" s="1549"/>
      <c r="S38" s="1549"/>
      <c r="T38" s="1506"/>
      <c r="U38" s="238"/>
      <c r="V38" s="1506"/>
      <c r="W38" s="1506" t="s">
        <v>1440</v>
      </c>
      <c r="X38" s="1506"/>
      <c r="Y38" s="1506"/>
      <c r="Z38" s="2060"/>
      <c r="AA38" s="2060"/>
      <c r="AB38" s="2060"/>
      <c r="AC38" s="2060"/>
      <c r="AD38" s="2060"/>
      <c r="AE38" s="2060"/>
      <c r="AF38" s="2060"/>
      <c r="AG38" s="2060"/>
      <c r="AH38" s="2060"/>
      <c r="AI38" s="2060"/>
      <c r="AJ38" s="1506"/>
    </row>
    <row r="39" spans="1:36" s="1506" customFormat="1" ht="12.95" customHeight="1">
      <c r="A39" s="1510"/>
      <c r="B39" s="1510"/>
      <c r="C39" s="387" t="str">
        <f>IF(Pension10=1,"(a) debt includes pension liabilities.       ","")&amp;"ST invest=Short-term investments    "&amp;IF(EVorTIC="TIC", "TIC=Total invested capital",IF(R12,"EV=Enterprise value",""))</f>
        <v>ST invest=Short-term investments    TIC=Total invested capital</v>
      </c>
      <c r="D39" s="255"/>
      <c r="E39" s="1578"/>
      <c r="F39" s="255"/>
      <c r="G39" s="255"/>
      <c r="H39" s="255"/>
      <c r="I39" s="393"/>
      <c r="J39" s="1513"/>
      <c r="K39" s="1513"/>
      <c r="M39" s="2060"/>
      <c r="N39" s="2060"/>
      <c r="O39" s="2060"/>
      <c r="P39" s="2060"/>
      <c r="Q39" s="1549"/>
      <c r="R39" s="1549"/>
      <c r="S39" s="1549"/>
      <c r="U39" s="238"/>
      <c r="Z39" s="2060"/>
      <c r="AA39" s="2060"/>
      <c r="AB39" s="2060"/>
      <c r="AC39" s="2060"/>
      <c r="AD39" s="2060"/>
      <c r="AE39" s="2060"/>
      <c r="AF39" s="2060"/>
      <c r="AG39" s="2060"/>
      <c r="AH39" s="2060"/>
      <c r="AI39" s="2060"/>
    </row>
    <row r="40" spans="1:36" ht="12.95" customHeight="1">
      <c r="A40" s="1510"/>
      <c r="B40" s="1510"/>
      <c r="C40" s="1545" t="s">
        <v>1402</v>
      </c>
      <c r="D40" s="255"/>
      <c r="E40" s="1578"/>
      <c r="F40" s="255"/>
      <c r="G40" s="255"/>
      <c r="H40" s="255"/>
      <c r="I40" s="393"/>
      <c r="J40" s="1513"/>
      <c r="K40" s="1513"/>
      <c r="L40" s="1506"/>
      <c r="M40" s="2060"/>
      <c r="N40" s="2060"/>
      <c r="O40" s="2060"/>
      <c r="P40" s="2060"/>
      <c r="Q40" s="1549"/>
      <c r="R40" s="1549"/>
      <c r="S40" s="1549"/>
      <c r="T40" s="1506"/>
      <c r="U40" s="238"/>
      <c r="V40" s="1506"/>
      <c r="W40" s="1506" t="s">
        <v>1441</v>
      </c>
      <c r="X40" s="1506"/>
      <c r="Y40" s="1506"/>
      <c r="Z40" s="2060"/>
      <c r="AA40" s="2060"/>
      <c r="AB40" s="2060"/>
      <c r="AC40" s="2060"/>
      <c r="AD40" s="2060"/>
      <c r="AE40" s="2060"/>
      <c r="AF40" s="2060"/>
      <c r="AG40" s="2060"/>
      <c r="AH40" s="2060"/>
      <c r="AI40" s="2060"/>
      <c r="AJ40" s="1506"/>
    </row>
    <row r="41" spans="1:36" s="1506" customFormat="1" ht="12.95" customHeight="1">
      <c r="A41" s="1510"/>
      <c r="B41" s="1510"/>
      <c r="C41" s="1545"/>
      <c r="D41" s="255"/>
      <c r="E41" s="1578"/>
      <c r="F41" s="255"/>
      <c r="G41" s="255"/>
      <c r="H41" s="255"/>
      <c r="I41" s="393"/>
      <c r="J41" s="1513"/>
      <c r="K41" s="1513"/>
      <c r="M41" s="2060"/>
      <c r="N41" s="2060"/>
      <c r="O41" s="2060"/>
      <c r="P41" s="2060"/>
      <c r="Q41" s="1549"/>
      <c r="R41" s="1549"/>
      <c r="S41" s="1549"/>
      <c r="U41" s="238"/>
      <c r="Z41" s="2060"/>
      <c r="AA41" s="2060"/>
      <c r="AB41" s="2060"/>
      <c r="AC41" s="2060"/>
      <c r="AD41" s="2060"/>
      <c r="AE41" s="2060"/>
      <c r="AF41" s="2060"/>
      <c r="AG41" s="2060"/>
      <c r="AH41" s="2060"/>
      <c r="AI41" s="2060"/>
    </row>
    <row r="42" spans="1:36" ht="12.95" customHeight="1">
      <c r="A42" s="1510"/>
      <c r="B42" s="1510"/>
      <c r="C42" s="1504" t="str">
        <f ca="1">FootnoteDRAFT</f>
        <v>Run date: 05-August-2018  02:34 PM.   DRAFT document. All data subject to change upon completion of additional analysis.</v>
      </c>
      <c r="D42" s="2060"/>
      <c r="E42" s="1578"/>
      <c r="F42" s="2060"/>
      <c r="G42" s="2060"/>
      <c r="H42" s="2060"/>
      <c r="I42" s="175"/>
      <c r="J42" s="175"/>
      <c r="K42" s="1506"/>
      <c r="L42" s="1506"/>
      <c r="M42" s="1506"/>
      <c r="N42" s="327"/>
      <c r="O42" s="327"/>
      <c r="P42" s="327"/>
      <c r="Q42" s="327"/>
      <c r="R42" s="327"/>
      <c r="S42" s="327"/>
      <c r="T42" s="1506"/>
      <c r="U42" s="238"/>
      <c r="V42" s="1506"/>
      <c r="W42" s="1506"/>
      <c r="X42" s="1506"/>
      <c r="Y42" s="1506"/>
      <c r="Z42" s="2060"/>
      <c r="AA42" s="2060"/>
      <c r="AB42" s="2060"/>
      <c r="AC42" s="2060"/>
      <c r="AD42" s="2060"/>
      <c r="AE42" s="2060"/>
      <c r="AF42" s="2060"/>
      <c r="AG42" s="2060"/>
      <c r="AH42" s="2060"/>
      <c r="AI42" s="2060"/>
      <c r="AJ42" s="1506"/>
    </row>
    <row r="43" spans="1:36" ht="12.95" customHeight="1">
      <c r="A43" s="1510" t="s">
        <v>17</v>
      </c>
      <c r="B43" s="1510"/>
      <c r="C43" s="1510"/>
      <c r="D43" s="1510"/>
      <c r="E43" s="701"/>
      <c r="F43" s="1547"/>
      <c r="G43" s="1510"/>
      <c r="H43" s="1510"/>
      <c r="I43" s="1510"/>
      <c r="J43" s="1510"/>
      <c r="K43" s="1510"/>
      <c r="L43" s="1510"/>
      <c r="M43" s="1510"/>
      <c r="N43" s="1510"/>
      <c r="O43" s="1510"/>
      <c r="P43" s="1510"/>
      <c r="Q43" s="1510"/>
      <c r="R43" s="1510"/>
      <c r="S43" s="1510"/>
      <c r="T43" s="1546" t="str">
        <f>IF($A43="n","Page end","This page not printed")</f>
        <v>Page end</v>
      </c>
      <c r="U43" s="238"/>
      <c r="V43" s="1506"/>
      <c r="W43" s="1506" t="s">
        <v>1442</v>
      </c>
      <c r="X43" s="1506"/>
      <c r="Y43" s="1506"/>
      <c r="Z43" s="2060"/>
      <c r="AA43" s="2060"/>
      <c r="AB43" s="2060"/>
      <c r="AC43" s="2060"/>
      <c r="AD43" s="2060"/>
      <c r="AE43" s="2060"/>
      <c r="AF43" s="2060"/>
      <c r="AG43" s="2060"/>
      <c r="AH43" s="2060"/>
      <c r="AI43" s="2060"/>
      <c r="AJ43" s="1506"/>
    </row>
    <row r="44" spans="1:36" ht="12.95" customHeight="1">
      <c r="A44" s="1510"/>
      <c r="B44" s="1510"/>
      <c r="C44" s="1510"/>
      <c r="D44" s="1510"/>
      <c r="E44" s="701"/>
      <c r="F44" s="1547"/>
      <c r="G44" s="1510"/>
      <c r="H44" s="1510"/>
      <c r="I44" s="1510"/>
      <c r="J44" s="1510"/>
      <c r="K44" s="1510"/>
      <c r="L44" s="1510"/>
      <c r="M44" s="1510"/>
      <c r="N44" s="1510"/>
      <c r="O44" s="1510"/>
      <c r="P44" s="1510"/>
      <c r="Q44" s="1510"/>
      <c r="R44" s="1510"/>
      <c r="S44" s="1510"/>
      <c r="T44" s="1546"/>
      <c r="U44" s="238"/>
      <c r="V44" s="1506"/>
      <c r="W44" s="1506" t="s">
        <v>1443</v>
      </c>
      <c r="X44" s="1506"/>
      <c r="Y44" s="1506"/>
      <c r="Z44" s="2060"/>
      <c r="AA44" s="2060"/>
      <c r="AB44" s="2060"/>
      <c r="AC44" s="2060"/>
      <c r="AD44" s="2060"/>
      <c r="AE44" s="2060"/>
      <c r="AF44" s="2060"/>
      <c r="AG44" s="2060"/>
      <c r="AH44" s="2060"/>
      <c r="AI44" s="2060"/>
      <c r="AJ44" s="1506"/>
    </row>
    <row r="45" spans="1:36" ht="12.95" customHeight="1">
      <c r="A45" s="2060"/>
      <c r="B45" s="2060"/>
      <c r="C45" s="2060"/>
      <c r="D45" s="2060"/>
      <c r="E45" s="1578"/>
      <c r="F45" s="2060"/>
      <c r="G45" s="2060"/>
      <c r="H45" s="2060"/>
      <c r="I45" s="2060"/>
      <c r="J45" s="2060"/>
      <c r="K45" s="2060"/>
      <c r="L45" s="2060"/>
      <c r="M45" s="2060"/>
      <c r="N45" s="2060"/>
      <c r="O45" s="2060"/>
      <c r="P45" s="2060"/>
      <c r="Q45" s="2060"/>
      <c r="R45" s="2060"/>
      <c r="S45" s="2060"/>
      <c r="T45" s="2060"/>
      <c r="U45" s="2060"/>
      <c r="V45" s="1506"/>
      <c r="W45" s="1506" t="s">
        <v>1444</v>
      </c>
      <c r="X45" s="1506"/>
      <c r="Y45" s="1506"/>
      <c r="Z45" s="2060"/>
      <c r="AA45" s="2060"/>
      <c r="AB45" s="2060"/>
      <c r="AC45" s="2060"/>
      <c r="AD45" s="2060"/>
      <c r="AE45" s="2060"/>
      <c r="AF45" s="2060"/>
      <c r="AG45" s="2060"/>
      <c r="AH45" s="2060"/>
      <c r="AI45" s="2060"/>
      <c r="AJ45" s="1506"/>
    </row>
    <row r="46" spans="1:36" ht="12.95" customHeight="1">
      <c r="A46" s="2060"/>
      <c r="B46" s="2060"/>
      <c r="C46" s="2060"/>
      <c r="D46" s="2060"/>
      <c r="E46" s="1578"/>
      <c r="F46" s="2060"/>
      <c r="G46" s="2060"/>
      <c r="H46" s="2060"/>
      <c r="I46" s="2060"/>
      <c r="J46" s="2060"/>
      <c r="K46" s="2060"/>
      <c r="L46" s="2060"/>
      <c r="M46" s="2060"/>
      <c r="N46" s="2060"/>
      <c r="O46" s="2060"/>
      <c r="P46" s="2060"/>
      <c r="Q46" s="2060"/>
      <c r="R46" s="2060"/>
      <c r="S46" s="2060"/>
      <c r="T46" s="2060"/>
      <c r="U46" s="2060"/>
      <c r="V46" s="1506"/>
      <c r="W46" s="1506" t="s">
        <v>1445</v>
      </c>
      <c r="X46" s="1506"/>
      <c r="Y46" s="1506"/>
      <c r="Z46" s="2060"/>
      <c r="AA46" s="2060"/>
      <c r="AB46" s="2060"/>
      <c r="AC46" s="2060"/>
      <c r="AD46" s="2060"/>
      <c r="AE46" s="2060"/>
      <c r="AF46" s="2060"/>
      <c r="AG46" s="2060"/>
      <c r="AH46" s="2060"/>
      <c r="AI46" s="2060"/>
      <c r="AJ46" s="1506"/>
    </row>
    <row r="47" spans="1:36" ht="12.95" customHeight="1">
      <c r="A47" s="2060"/>
      <c r="B47" s="2060"/>
      <c r="C47" s="2060"/>
      <c r="D47" s="2060"/>
      <c r="E47" s="1578"/>
      <c r="F47" s="2060"/>
      <c r="G47" s="2060"/>
      <c r="H47" s="2060"/>
      <c r="I47" s="2060"/>
      <c r="J47" s="2060"/>
      <c r="K47" s="2060"/>
      <c r="L47" s="2060"/>
      <c r="M47" s="2060"/>
      <c r="N47" s="2060"/>
      <c r="O47" s="2060"/>
      <c r="P47" s="2060"/>
      <c r="Q47" s="2060"/>
      <c r="R47" s="2060"/>
      <c r="S47" s="2060"/>
      <c r="T47" s="2060"/>
      <c r="U47" s="2060"/>
      <c r="V47" s="1506"/>
      <c r="W47" s="1506" t="s">
        <v>1446</v>
      </c>
      <c r="X47" s="1506"/>
      <c r="Y47" s="1506"/>
      <c r="Z47" s="2060"/>
      <c r="AA47" s="2060"/>
      <c r="AB47" s="2060"/>
      <c r="AC47" s="2060"/>
      <c r="AD47" s="2060"/>
      <c r="AE47" s="2060"/>
      <c r="AF47" s="2060"/>
      <c r="AG47" s="2060"/>
      <c r="AH47" s="2060"/>
      <c r="AI47" s="2060"/>
      <c r="AJ47" s="1506"/>
    </row>
    <row r="48" spans="1:36" ht="12.95" customHeight="1">
      <c r="A48" s="2060"/>
      <c r="B48" s="2060"/>
      <c r="C48" s="2060"/>
      <c r="D48" s="2060"/>
      <c r="E48" s="1578"/>
      <c r="F48" s="2060"/>
      <c r="G48" s="2060"/>
      <c r="H48" s="2060"/>
      <c r="I48" s="2060"/>
      <c r="J48" s="2060"/>
      <c r="K48" s="2060"/>
      <c r="L48" s="2060"/>
      <c r="M48" s="2060"/>
      <c r="N48" s="2060"/>
      <c r="O48" s="2060"/>
      <c r="P48" s="2060"/>
      <c r="Q48" s="2060"/>
      <c r="R48" s="2060"/>
      <c r="S48" s="2060"/>
      <c r="T48" s="2060"/>
      <c r="U48" s="2060"/>
      <c r="V48" s="1506"/>
      <c r="W48" s="1506" t="s">
        <v>1447</v>
      </c>
      <c r="X48" s="1506"/>
      <c r="Y48" s="1506"/>
      <c r="Z48" s="2060"/>
      <c r="AA48" s="2060"/>
      <c r="AB48" s="2060"/>
      <c r="AC48" s="2060"/>
      <c r="AD48" s="2060"/>
      <c r="AE48" s="2060"/>
      <c r="AF48" s="2060"/>
      <c r="AG48" s="2060"/>
      <c r="AH48" s="2060"/>
      <c r="AI48" s="2060"/>
      <c r="AJ48" s="1506"/>
    </row>
    <row r="49" spans="1:35" ht="12.95" customHeight="1">
      <c r="A49" s="2060"/>
      <c r="B49" s="2060"/>
      <c r="C49" s="2060"/>
      <c r="D49" s="2060"/>
      <c r="E49" s="1578"/>
      <c r="F49" s="2060"/>
      <c r="G49" s="2060"/>
      <c r="H49" s="2060"/>
      <c r="I49" s="2060"/>
      <c r="J49" s="2060"/>
      <c r="K49" s="2060"/>
      <c r="L49" s="2060"/>
      <c r="M49" s="2060"/>
      <c r="N49" s="2060"/>
      <c r="O49" s="2060"/>
      <c r="P49" s="2060"/>
      <c r="Q49" s="2060"/>
      <c r="R49" s="2060"/>
      <c r="S49" s="2060"/>
      <c r="T49" s="2060"/>
      <c r="U49" s="2060"/>
      <c r="V49" s="1506"/>
      <c r="W49" s="1506" t="s">
        <v>1448</v>
      </c>
      <c r="X49" s="1506"/>
      <c r="Y49" s="1506"/>
      <c r="Z49" s="2060"/>
      <c r="AA49" s="2060"/>
      <c r="AB49" s="2060"/>
      <c r="AC49" s="2060"/>
      <c r="AD49" s="2060"/>
      <c r="AE49" s="2060"/>
      <c r="AF49" s="2060"/>
      <c r="AG49" s="2060"/>
      <c r="AH49" s="2060"/>
      <c r="AI49" s="2060"/>
    </row>
    <row r="50" spans="1:35" ht="12.95" customHeight="1">
      <c r="A50" s="2060"/>
      <c r="B50" s="2060"/>
      <c r="C50" s="2060"/>
      <c r="D50" s="2060"/>
      <c r="E50" s="1578"/>
      <c r="F50" s="2060"/>
      <c r="G50" s="2060"/>
      <c r="H50" s="2060"/>
      <c r="I50" s="2060"/>
      <c r="J50" s="2060"/>
      <c r="K50" s="2060"/>
      <c r="L50" s="2060"/>
      <c r="M50" s="2060"/>
      <c r="N50" s="2060"/>
      <c r="O50" s="2060"/>
      <c r="P50" s="2060"/>
      <c r="Q50" s="2060"/>
      <c r="R50" s="2060"/>
      <c r="S50" s="2060"/>
      <c r="T50" s="2060"/>
      <c r="U50" s="2060"/>
      <c r="V50" s="1506"/>
      <c r="W50" s="1506"/>
      <c r="X50" s="1506"/>
      <c r="Y50" s="1506"/>
      <c r="Z50" s="2060"/>
      <c r="AA50" s="2060"/>
      <c r="AB50" s="2060"/>
      <c r="AC50" s="2060"/>
      <c r="AD50" s="2060"/>
      <c r="AE50" s="2060"/>
      <c r="AF50" s="2060"/>
      <c r="AG50" s="2060"/>
      <c r="AH50" s="2060"/>
      <c r="AI50" s="2060"/>
    </row>
    <row r="51" spans="1:35" ht="12.95" customHeight="1">
      <c r="A51" s="2060"/>
      <c r="B51" s="2060"/>
      <c r="C51" s="1506"/>
      <c r="D51" s="1506"/>
      <c r="E51" s="1506"/>
      <c r="F51" s="1506"/>
      <c r="G51" s="1506"/>
      <c r="H51" s="1506"/>
      <c r="I51" s="1506"/>
      <c r="J51" s="1506"/>
      <c r="K51" s="1506"/>
      <c r="L51" s="1506"/>
      <c r="M51" s="1506"/>
      <c r="N51" s="1506"/>
      <c r="O51" s="1506"/>
      <c r="P51" s="1506"/>
      <c r="Q51" s="1506"/>
      <c r="T51" s="2060"/>
      <c r="U51" s="2060"/>
      <c r="V51" s="1506"/>
      <c r="W51" s="1506"/>
      <c r="X51" s="1506"/>
      <c r="Y51" s="1506"/>
      <c r="Z51" s="2060"/>
      <c r="AA51" s="2060"/>
      <c r="AB51" s="2060"/>
      <c r="AC51" s="2060"/>
      <c r="AD51" s="2060"/>
      <c r="AE51" s="2060"/>
      <c r="AF51" s="2060"/>
      <c r="AG51" s="2060"/>
      <c r="AH51" s="2060"/>
      <c r="AI51" s="2060"/>
    </row>
    <row r="52" spans="1:35" ht="12.95" customHeight="1">
      <c r="A52" s="2060"/>
      <c r="B52" s="2060"/>
      <c r="C52" s="1506"/>
      <c r="D52" s="1506"/>
      <c r="E52" s="1506"/>
      <c r="F52" s="1506"/>
      <c r="G52" s="1506"/>
      <c r="H52" s="1506"/>
      <c r="I52" s="1506"/>
      <c r="J52" s="1506"/>
      <c r="K52" s="1506"/>
      <c r="L52" s="1506"/>
      <c r="M52" s="1506"/>
      <c r="N52" s="1506"/>
      <c r="O52" s="1506"/>
      <c r="P52" s="1506"/>
      <c r="Q52" s="1506"/>
      <c r="T52" s="2060"/>
      <c r="U52" s="2060"/>
      <c r="V52" s="1506"/>
      <c r="W52" s="1506"/>
      <c r="X52" s="1506"/>
      <c r="Y52" s="1506"/>
      <c r="Z52" s="2060"/>
      <c r="AA52" s="2060"/>
      <c r="AB52" s="2060"/>
      <c r="AC52" s="2060"/>
      <c r="AD52" s="2060"/>
      <c r="AE52" s="2060"/>
      <c r="AF52" s="2060"/>
      <c r="AG52" s="2060"/>
      <c r="AH52" s="2060"/>
      <c r="AI52" s="2060"/>
    </row>
    <row r="53" spans="1:35" ht="12.95" customHeight="1">
      <c r="A53" s="1506"/>
      <c r="B53" s="1506"/>
      <c r="C53" s="1506"/>
      <c r="D53" s="1506"/>
      <c r="E53" s="1506"/>
      <c r="F53" s="1506"/>
      <c r="G53" s="1506"/>
      <c r="H53" s="1506"/>
      <c r="I53" s="1506"/>
      <c r="J53" s="1506"/>
      <c r="K53" s="1506"/>
      <c r="L53" s="1506"/>
      <c r="M53" s="1506"/>
      <c r="N53" s="1506"/>
      <c r="O53" s="1506"/>
      <c r="P53" s="1506"/>
      <c r="Q53" s="1506"/>
      <c r="T53" s="1506"/>
      <c r="U53" s="1506"/>
      <c r="V53" s="1506"/>
      <c r="W53" s="1506"/>
      <c r="X53" s="1506"/>
      <c r="Y53" s="1506"/>
      <c r="Z53" s="2060"/>
      <c r="AA53" s="2060"/>
      <c r="AB53" s="2060"/>
      <c r="AC53" s="2060"/>
      <c r="AD53" s="2060"/>
      <c r="AE53" s="2060"/>
      <c r="AF53" s="2060"/>
      <c r="AG53" s="2060"/>
      <c r="AH53" s="2060"/>
      <c r="AI53" s="2060"/>
    </row>
    <row r="54" spans="1:35" ht="12.95" customHeight="1">
      <c r="A54" s="1506"/>
      <c r="B54" s="1506"/>
      <c r="C54" s="1506"/>
      <c r="D54" s="1506"/>
      <c r="E54" s="1506"/>
      <c r="F54" s="1506"/>
      <c r="G54" s="1506"/>
      <c r="H54" s="1506"/>
      <c r="I54" s="1506"/>
      <c r="J54" s="1506"/>
      <c r="K54" s="1506"/>
      <c r="L54" s="1506"/>
      <c r="M54" s="1506"/>
      <c r="N54" s="1506"/>
      <c r="O54" s="1506"/>
      <c r="P54" s="1506"/>
      <c r="Q54" s="1506"/>
      <c r="T54" s="1506"/>
      <c r="U54" s="1506"/>
      <c r="V54" s="1506"/>
      <c r="W54" s="1506"/>
      <c r="X54" s="1506"/>
      <c r="Y54" s="1506"/>
      <c r="Z54" s="2060"/>
      <c r="AA54" s="2060"/>
      <c r="AB54" s="2060"/>
      <c r="AC54" s="2060"/>
      <c r="AD54" s="2060"/>
      <c r="AE54" s="2060"/>
      <c r="AF54" s="2060"/>
      <c r="AG54" s="2060"/>
      <c r="AH54" s="2060"/>
      <c r="AI54" s="2060"/>
    </row>
    <row r="55" spans="1:35" ht="12.95" customHeight="1">
      <c r="A55" s="2060"/>
      <c r="B55" s="2060"/>
      <c r="C55" s="1506"/>
      <c r="D55" s="1506"/>
      <c r="E55" s="1506"/>
      <c r="F55" s="1506"/>
      <c r="G55" s="1506"/>
      <c r="H55" s="1506"/>
      <c r="I55" s="1506"/>
      <c r="J55" s="1506"/>
      <c r="K55" s="1506"/>
      <c r="L55" s="1506"/>
      <c r="M55" s="1506"/>
      <c r="N55" s="1506"/>
      <c r="O55" s="1506"/>
      <c r="P55" s="1506"/>
      <c r="Q55" s="1506"/>
      <c r="T55" s="2060"/>
      <c r="U55" s="2060"/>
      <c r="V55" s="1506"/>
      <c r="W55" s="1506"/>
      <c r="X55" s="1506"/>
      <c r="Y55" s="1506"/>
      <c r="Z55" s="2060"/>
      <c r="AA55" s="2060"/>
      <c r="AB55" s="2060"/>
      <c r="AC55" s="2060"/>
      <c r="AD55" s="2060"/>
      <c r="AE55" s="2060"/>
      <c r="AF55" s="2060"/>
      <c r="AG55" s="2060"/>
      <c r="AH55" s="2060"/>
      <c r="AI55" s="2060"/>
    </row>
    <row r="56" spans="1:35" ht="12.95" customHeight="1">
      <c r="A56" s="2060"/>
      <c r="B56" s="2060"/>
      <c r="C56" s="1506"/>
      <c r="D56" s="1506"/>
      <c r="E56" s="1506"/>
      <c r="F56" s="1506"/>
      <c r="G56" s="1506"/>
      <c r="H56" s="1506"/>
      <c r="I56" s="1506"/>
      <c r="J56" s="1506"/>
      <c r="K56" s="1506"/>
      <c r="L56" s="1506"/>
      <c r="M56" s="1506"/>
      <c r="N56" s="1506"/>
      <c r="O56" s="1506"/>
      <c r="P56" s="1506"/>
      <c r="Q56" s="1506"/>
      <c r="T56" s="2060"/>
      <c r="U56" s="2060"/>
      <c r="V56" s="1506"/>
      <c r="W56" s="1506"/>
      <c r="X56" s="1506"/>
      <c r="Y56" s="1506"/>
      <c r="Z56" s="2060"/>
      <c r="AA56" s="2060"/>
      <c r="AB56" s="2060"/>
      <c r="AC56" s="2060"/>
      <c r="AD56" s="2060"/>
      <c r="AE56" s="2060"/>
      <c r="AF56" s="2060"/>
      <c r="AG56" s="2060"/>
      <c r="AH56" s="2060"/>
      <c r="AI56" s="2060"/>
    </row>
    <row r="57" spans="1:35" ht="12.95" customHeight="1">
      <c r="A57" s="2060"/>
      <c r="B57" s="2060"/>
      <c r="C57" s="1506"/>
      <c r="D57" s="1506"/>
      <c r="E57" s="1506"/>
      <c r="F57" s="1506"/>
      <c r="G57" s="1506"/>
      <c r="H57" s="1506"/>
      <c r="I57" s="1506"/>
      <c r="J57" s="1506"/>
      <c r="K57" s="1506"/>
      <c r="L57" s="1506"/>
      <c r="M57" s="1506"/>
      <c r="N57" s="1506"/>
      <c r="O57" s="1506"/>
      <c r="P57" s="1506"/>
      <c r="Q57" s="1506"/>
      <c r="T57" s="2060"/>
      <c r="U57" s="2060"/>
      <c r="V57" s="1506"/>
      <c r="W57" s="1506"/>
      <c r="X57" s="1506"/>
      <c r="Y57" s="1506"/>
      <c r="Z57" s="2060"/>
      <c r="AA57" s="2060"/>
      <c r="AB57" s="2060"/>
      <c r="AC57" s="2060"/>
      <c r="AD57" s="2060"/>
      <c r="AE57" s="2060"/>
      <c r="AF57" s="2060"/>
      <c r="AG57" s="2060"/>
      <c r="AH57" s="2060"/>
      <c r="AI57" s="2060"/>
    </row>
    <row r="58" spans="1:35" ht="12.95" customHeight="1">
      <c r="A58" s="2060"/>
      <c r="B58" s="2060"/>
      <c r="C58" s="1506"/>
      <c r="D58" s="1506"/>
      <c r="E58" s="1506"/>
      <c r="F58" s="1506"/>
      <c r="G58" s="1506"/>
      <c r="H58" s="1506"/>
      <c r="I58" s="1506"/>
      <c r="J58" s="1506"/>
      <c r="K58" s="1506"/>
      <c r="L58" s="1506"/>
      <c r="M58" s="1506"/>
      <c r="N58" s="1506"/>
      <c r="O58" s="1506"/>
      <c r="P58" s="1506"/>
      <c r="Q58" s="1506"/>
      <c r="T58" s="2060"/>
      <c r="U58" s="2060"/>
      <c r="V58" s="1506"/>
      <c r="W58" s="1506"/>
      <c r="X58" s="1506"/>
      <c r="Y58" s="1506"/>
      <c r="Z58" s="2060"/>
      <c r="AA58" s="2060"/>
      <c r="AB58" s="2060"/>
      <c r="AC58" s="2060"/>
      <c r="AD58" s="2060"/>
      <c r="AE58" s="2060"/>
      <c r="AF58" s="2060"/>
      <c r="AG58" s="2060"/>
      <c r="AH58" s="2060"/>
      <c r="AI58" s="2060"/>
    </row>
    <row r="59" spans="1:35" ht="12.95" customHeight="1">
      <c r="A59" s="2060"/>
      <c r="B59" s="2060"/>
      <c r="C59" s="1506"/>
      <c r="D59" s="1506"/>
      <c r="E59" s="1506"/>
      <c r="F59" s="1506"/>
      <c r="G59" s="1506"/>
      <c r="H59" s="1506"/>
      <c r="I59" s="1506"/>
      <c r="J59" s="1506"/>
      <c r="K59" s="1506"/>
      <c r="L59" s="1506"/>
      <c r="M59" s="1506"/>
      <c r="N59" s="1506"/>
      <c r="O59" s="1506"/>
      <c r="P59" s="1506"/>
      <c r="Q59" s="1506"/>
      <c r="T59" s="2060"/>
      <c r="U59" s="2060"/>
      <c r="V59" s="1506"/>
      <c r="W59" s="1506"/>
      <c r="X59" s="1506"/>
      <c r="Y59" s="1506"/>
      <c r="Z59" s="2060"/>
      <c r="AA59" s="2060"/>
      <c r="AB59" s="2060"/>
      <c r="AC59" s="2060"/>
      <c r="AD59" s="2060"/>
      <c r="AE59" s="2060"/>
      <c r="AF59" s="2060"/>
      <c r="AG59" s="2060"/>
      <c r="AH59" s="2060"/>
      <c r="AI59" s="2060"/>
    </row>
  </sheetData>
  <autoFilter ref="A1:A59"/>
  <conditionalFormatting sqref="AA12:AA36 X12:X36">
    <cfRule type="expression" dxfId="177" priority="91">
      <formula>OR(X12="Check",X12&lt;&gt;0)</formula>
    </cfRule>
  </conditionalFormatting>
  <conditionalFormatting sqref="B1:B2">
    <cfRule type="cellIs" dxfId="176" priority="15" operator="notEqual">
      <formula>0</formula>
    </cfRule>
  </conditionalFormatting>
  <conditionalFormatting sqref="E12:E36">
    <cfRule type="cellIs" dxfId="175" priority="13" operator="equal">
      <formula>0</formula>
    </cfRule>
  </conditionalFormatting>
  <conditionalFormatting sqref="F12:F36">
    <cfRule type="cellIs" dxfId="174" priority="12" operator="equal">
      <formula>0</formula>
    </cfRule>
  </conditionalFormatting>
  <conditionalFormatting sqref="K12 K14:K36 G12:G36 I12:I36 Q12:Q36 S36">
    <cfRule type="cellIs" dxfId="173" priority="14" operator="equal">
      <formula>0</formula>
    </cfRule>
  </conditionalFormatting>
  <conditionalFormatting sqref="D12:D36">
    <cfRule type="cellIs" dxfId="172" priority="11" operator="equal">
      <formula>0</formula>
    </cfRule>
  </conditionalFormatting>
  <conditionalFormatting sqref="K13">
    <cfRule type="cellIs" dxfId="171" priority="10" operator="equal">
      <formula>0</formula>
    </cfRule>
  </conditionalFormatting>
  <conditionalFormatting sqref="S12:S36">
    <cfRule type="cellIs" dxfId="170" priority="5" operator="equal">
      <formula>0</formula>
    </cfRule>
  </conditionalFormatting>
  <conditionalFormatting sqref="V12:V36">
    <cfRule type="cellIs" dxfId="169" priority="1" operator="equal">
      <formula>0</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ICMultiples">
    <tabColor rgb="FF99FF66"/>
    <pageSetUpPr autoPageBreaks="0"/>
  </sheetPr>
  <dimension ref="A1:CJ102"/>
  <sheetViews>
    <sheetView showGridLines="0" zoomScale="85" zoomScaleNormal="85" workbookViewId="0"/>
  </sheetViews>
  <sheetFormatPr defaultColWidth="16.5" defaultRowHeight="12.95" customHeight="1" outlineLevelCol="1"/>
  <cols>
    <col min="1" max="1" width="2.83203125" style="322" customWidth="1"/>
    <col min="2" max="2" width="3.83203125" style="322" customWidth="1"/>
    <col min="3" max="3" width="38" style="322" customWidth="1"/>
    <col min="4" max="4" width="12.33203125" style="322" customWidth="1"/>
    <col min="5" max="9" width="12.33203125" style="1506" customWidth="1" outlineLevel="1"/>
    <col min="10" max="10" width="12" style="322" customWidth="1"/>
    <col min="11" max="14" width="10.83203125" style="322" customWidth="1"/>
    <col min="15" max="16" width="10.83203125" style="322" customWidth="1" outlineLevel="1"/>
    <col min="17" max="17" width="3.83203125" style="322" customWidth="1"/>
    <col min="18" max="22" width="10.83203125" style="1506" customWidth="1" outlineLevel="1"/>
    <col min="23" max="27" width="10.83203125" style="322" customWidth="1"/>
    <col min="28" max="29" width="10.83203125" style="322" customWidth="1" outlineLevel="1"/>
    <col min="30" max="30" width="3.6640625" style="322" customWidth="1"/>
    <col min="31" max="35" width="10.83203125" style="1506" customWidth="1" outlineLevel="1"/>
    <col min="36" max="40" width="10.83203125" style="322" customWidth="1"/>
    <col min="41" max="42" width="10.83203125" style="322" customWidth="1" outlineLevel="1"/>
    <col min="43" max="43" width="0.83203125" style="322" customWidth="1"/>
    <col min="44" max="46" width="16.5" style="322"/>
    <col min="47" max="47" width="38" style="1506" customWidth="1"/>
    <col min="48" max="57" width="10.83203125" style="1506" customWidth="1"/>
    <col min="58" max="58" width="10.83203125" style="1499" customWidth="1"/>
    <col min="59" max="59" width="4.83203125" style="1499" customWidth="1"/>
    <col min="60" max="60" width="16.5" style="1506"/>
    <col min="61" max="61" width="38" style="1506" customWidth="1"/>
    <col min="62" max="72" width="10.83203125" style="1506" customWidth="1"/>
    <col min="73" max="75" width="10.83203125" style="1499" customWidth="1"/>
    <col min="85" max="88" width="16.5" style="1506"/>
    <col min="89" max="16384" width="16.5" style="322"/>
  </cols>
  <sheetData>
    <row r="1" spans="1:84" ht="18" customHeight="1">
      <c r="A1" s="1510"/>
      <c r="B1" s="649">
        <f ca="1">SUMPRODUCT(--ISERROR($C$1:AQ99))+COUNTIF($C$1:AQ99,Fail)</f>
        <v>0</v>
      </c>
      <c r="C1" s="1372" t="str">
        <f>START!$C$1</f>
        <v>Client Name</v>
      </c>
      <c r="D1" s="292"/>
      <c r="E1" s="292"/>
      <c r="F1" s="292"/>
      <c r="G1" s="292"/>
      <c r="H1" s="292"/>
      <c r="I1" s="292"/>
      <c r="J1" s="2060"/>
      <c r="K1" s="2060"/>
      <c r="L1" s="2060"/>
      <c r="M1" s="2060"/>
      <c r="N1" s="2060"/>
      <c r="O1" s="2060"/>
      <c r="P1" s="2060"/>
      <c r="Q1" s="172"/>
      <c r="R1" s="172"/>
      <c r="S1" s="172"/>
      <c r="T1" s="172"/>
      <c r="U1" s="172"/>
      <c r="V1" s="172"/>
      <c r="W1" s="172"/>
      <c r="X1" s="172"/>
      <c r="Y1" s="172"/>
      <c r="Z1" s="172"/>
      <c r="AA1" s="172"/>
      <c r="AB1" s="172"/>
      <c r="AC1" s="172"/>
      <c r="AD1" s="1506"/>
      <c r="AJ1" s="1506"/>
      <c r="AK1" s="1506"/>
      <c r="AL1" s="1506"/>
      <c r="AM1" s="1506"/>
      <c r="AN1" s="1506"/>
      <c r="AO1" s="1506"/>
      <c r="AP1" s="1506"/>
      <c r="AQ1" s="389" t="s">
        <v>873</v>
      </c>
      <c r="AR1" s="1510"/>
      <c r="AS1" s="1506"/>
      <c r="AT1" s="1506"/>
      <c r="AV1" s="2060"/>
      <c r="AW1" s="2060"/>
      <c r="AX1" s="2060"/>
      <c r="AY1" s="2060"/>
      <c r="AZ1" s="2060"/>
      <c r="BA1" s="2060"/>
      <c r="BB1" s="2060"/>
      <c r="BC1" s="2060"/>
      <c r="BD1" s="2060"/>
      <c r="BE1" s="2060"/>
      <c r="BF1" s="2060"/>
      <c r="BG1" s="43"/>
      <c r="BH1" s="2060"/>
      <c r="BI1" s="2060"/>
      <c r="BJ1" s="2060" t="s">
        <v>1449</v>
      </c>
      <c r="BK1" s="2060"/>
      <c r="BL1" s="2060"/>
      <c r="BM1" s="2060"/>
      <c r="BN1" s="2060"/>
      <c r="BO1" s="2060"/>
      <c r="BQ1" s="2060"/>
      <c r="BT1" s="2060"/>
      <c r="BU1" s="2060"/>
      <c r="BV1" s="2060"/>
      <c r="BW1" s="2060"/>
      <c r="BX1" s="2060"/>
      <c r="BY1" s="2060"/>
      <c r="BZ1" s="2060"/>
      <c r="CA1" s="2060"/>
      <c r="CB1" s="2060"/>
      <c r="CC1" s="2060"/>
      <c r="CD1" s="2060"/>
      <c r="CE1" s="2060"/>
      <c r="CF1" s="2060"/>
    </row>
    <row r="2" spans="1:84" ht="18" customHeight="1">
      <c r="A2" s="1510"/>
      <c r="B2" s="649"/>
      <c r="C2" s="1372" t="str">
        <f>START!$C$2</f>
        <v xml:space="preserve">Please enter project description in START worksheet cell G13 </v>
      </c>
      <c r="D2" s="292"/>
      <c r="E2" s="292"/>
      <c r="F2" s="292"/>
      <c r="G2" s="292"/>
      <c r="H2" s="292"/>
      <c r="I2" s="292"/>
      <c r="J2" s="2060"/>
      <c r="K2" s="2060"/>
      <c r="L2" s="2060"/>
      <c r="M2" s="2060"/>
      <c r="N2" s="2060"/>
      <c r="O2" s="2060"/>
      <c r="P2" s="2060"/>
      <c r="Q2" s="172"/>
      <c r="R2" s="172"/>
      <c r="S2" s="172"/>
      <c r="T2" s="172"/>
      <c r="U2" s="172"/>
      <c r="V2" s="172"/>
      <c r="W2" s="172"/>
      <c r="X2" s="172"/>
      <c r="Y2" s="172"/>
      <c r="Z2" s="172"/>
      <c r="AA2" s="172"/>
      <c r="AB2" s="172"/>
      <c r="AC2" s="172"/>
      <c r="AD2" s="1506"/>
      <c r="AJ2" s="1506"/>
      <c r="AK2" s="1506"/>
      <c r="AL2" s="1506"/>
      <c r="AM2" s="1506"/>
      <c r="AN2" s="1506"/>
      <c r="AO2" s="1506"/>
      <c r="AP2" s="1506"/>
      <c r="AQ2" s="389"/>
      <c r="AR2" s="1510"/>
      <c r="AS2" s="1506"/>
      <c r="AT2" s="1506"/>
      <c r="AV2" s="2060"/>
      <c r="AW2" s="2060"/>
      <c r="AX2" s="2060"/>
      <c r="AY2" s="2060"/>
      <c r="AZ2" s="2060"/>
      <c r="BA2" s="2060"/>
      <c r="BB2" s="2060"/>
      <c r="BC2" s="2060"/>
      <c r="BD2" s="2060"/>
      <c r="BE2" s="2060"/>
      <c r="BF2" s="2060"/>
      <c r="BG2" s="43"/>
      <c r="BH2" s="2060"/>
      <c r="BI2" s="2060"/>
      <c r="BJ2" s="2060"/>
      <c r="BK2" s="2060"/>
      <c r="BL2" s="2060"/>
      <c r="BM2" s="2060"/>
      <c r="BN2" s="2060"/>
      <c r="BQ2" s="2060"/>
      <c r="BT2" s="2060"/>
      <c r="BU2" s="2060"/>
      <c r="BV2" s="2060"/>
      <c r="BW2" s="2060"/>
      <c r="BX2" s="2060"/>
      <c r="BY2" s="2060"/>
      <c r="BZ2" s="2060"/>
      <c r="CA2" s="2060"/>
      <c r="CB2" s="2060"/>
      <c r="CC2" s="2060"/>
      <c r="CD2" s="2060"/>
      <c r="CE2" s="2060"/>
      <c r="CF2" s="2060"/>
    </row>
    <row r="3" spans="1:84" ht="18" customHeight="1">
      <c r="A3" s="1510"/>
      <c r="B3" s="1510"/>
      <c r="C3" s="839" t="str">
        <f>EVorTICFull&amp;" multiples"</f>
        <v>Total invested capital multiples</v>
      </c>
      <c r="D3" s="369"/>
      <c r="E3" s="369"/>
      <c r="F3" s="369"/>
      <c r="G3" s="369"/>
      <c r="H3" s="369"/>
      <c r="I3" s="369"/>
      <c r="J3" s="172"/>
      <c r="K3" s="172"/>
      <c r="L3" s="172"/>
      <c r="M3" s="172"/>
      <c r="N3" s="172"/>
      <c r="O3" s="172"/>
      <c r="P3" s="172"/>
      <c r="Q3" s="172"/>
      <c r="R3" s="172"/>
      <c r="S3" s="172"/>
      <c r="T3" s="172"/>
      <c r="U3" s="172"/>
      <c r="V3" s="172"/>
      <c r="W3" s="172"/>
      <c r="X3" s="172"/>
      <c r="Y3" s="172"/>
      <c r="Z3" s="172"/>
      <c r="AA3" s="172"/>
      <c r="AB3" s="172"/>
      <c r="AC3" s="172"/>
      <c r="AD3" s="1506"/>
      <c r="AJ3" s="1506"/>
      <c r="AK3" s="1506"/>
      <c r="AL3" s="1506"/>
      <c r="AM3" s="1506"/>
      <c r="AN3" s="1506"/>
      <c r="AO3" s="1506"/>
      <c r="AP3" s="1506"/>
      <c r="AQ3" s="1506"/>
      <c r="AR3" s="1510"/>
      <c r="AS3" s="1506"/>
      <c r="AT3" s="1506"/>
      <c r="AV3" s="2060"/>
      <c r="AW3" s="2060"/>
      <c r="AX3" s="2060"/>
      <c r="AY3" s="2060"/>
      <c r="AZ3" s="2060"/>
      <c r="BA3" s="2060"/>
      <c r="BB3" s="2060"/>
      <c r="BC3" s="2060"/>
      <c r="BD3" s="2060"/>
      <c r="BE3" s="2060"/>
      <c r="BF3" s="2060"/>
      <c r="BG3" s="43"/>
      <c r="BH3" s="2060"/>
      <c r="BI3" s="2060"/>
      <c r="BJ3" s="2060"/>
      <c r="BK3" s="2060"/>
      <c r="BL3" s="2060"/>
      <c r="BM3" s="2060"/>
      <c r="BN3" s="2060"/>
      <c r="BQ3" s="2060"/>
      <c r="BT3" s="2060"/>
      <c r="BU3" s="2060"/>
      <c r="BV3" s="2060"/>
      <c r="BW3" s="2060"/>
      <c r="BX3" s="2060"/>
      <c r="BY3" s="2060"/>
      <c r="BZ3" s="2060"/>
      <c r="CA3" s="2060"/>
      <c r="CB3" s="2060"/>
      <c r="CC3" s="2060"/>
      <c r="CD3" s="2060"/>
      <c r="CE3" s="2060"/>
      <c r="CF3" s="2060"/>
    </row>
    <row r="4" spans="1:84" ht="18" customHeight="1">
      <c r="A4" s="1510"/>
      <c r="B4" s="1510"/>
      <c r="C4" s="840" t="str">
        <f>ValDateHeading</f>
        <v>Estimation of value as of 28 February 2017</v>
      </c>
      <c r="D4" s="2062"/>
      <c r="E4" s="2062"/>
      <c r="F4" s="2062"/>
      <c r="G4" s="2062"/>
      <c r="H4" s="2062"/>
      <c r="I4" s="2062"/>
      <c r="J4" s="280"/>
      <c r="K4" s="172"/>
      <c r="L4" s="172"/>
      <c r="M4" s="172"/>
      <c r="N4" s="172"/>
      <c r="O4" s="172"/>
      <c r="P4" s="172"/>
      <c r="Q4" s="172"/>
      <c r="R4" s="172"/>
      <c r="S4" s="172"/>
      <c r="T4" s="172"/>
      <c r="U4" s="172"/>
      <c r="V4" s="172"/>
      <c r="W4" s="172"/>
      <c r="X4" s="172"/>
      <c r="Y4" s="172"/>
      <c r="Z4" s="172"/>
      <c r="AA4" s="172"/>
      <c r="AB4" s="172"/>
      <c r="AC4" s="172"/>
      <c r="AD4" s="1506"/>
      <c r="AJ4" s="1506"/>
      <c r="AK4" s="1506"/>
      <c r="AL4" s="1506"/>
      <c r="AM4" s="1506"/>
      <c r="AN4" s="1506"/>
      <c r="AO4" s="1506"/>
      <c r="AP4" s="1506"/>
      <c r="AQ4" s="1506"/>
      <c r="AR4" s="1510"/>
      <c r="AS4" s="1506"/>
      <c r="AT4" s="1506"/>
      <c r="AU4" s="1972" t="s">
        <v>1450</v>
      </c>
      <c r="AV4" s="2060"/>
      <c r="AW4" s="2060"/>
      <c r="AX4" s="2060"/>
      <c r="AY4" s="2060"/>
      <c r="AZ4" s="2060"/>
      <c r="BA4" s="2060"/>
      <c r="BB4" s="2060"/>
      <c r="BC4" s="2060"/>
      <c r="BD4" s="2060"/>
      <c r="BE4" s="2060"/>
      <c r="BF4" s="2060"/>
      <c r="BG4" s="43"/>
      <c r="BH4" s="2060"/>
      <c r="BI4" s="1972" t="s">
        <v>1451</v>
      </c>
      <c r="BJ4" s="2060"/>
      <c r="BK4" s="2060"/>
      <c r="BL4" s="2060"/>
      <c r="BM4" s="2060"/>
      <c r="BN4" s="2060"/>
      <c r="BQ4" s="2060"/>
      <c r="BT4" s="2060"/>
      <c r="BU4" s="2060"/>
      <c r="BV4" s="2060"/>
      <c r="BW4" s="2060"/>
      <c r="BX4" s="2060"/>
      <c r="BY4" s="2060"/>
      <c r="BZ4" s="2060"/>
      <c r="CA4" s="2060"/>
      <c r="CB4" s="2060"/>
      <c r="CC4" s="2060"/>
      <c r="CD4" s="2060"/>
      <c r="CE4" s="2060"/>
      <c r="CF4" s="2060"/>
    </row>
    <row r="5" spans="1:84" ht="13.9">
      <c r="A5" s="1510"/>
      <c r="B5" s="1510"/>
      <c r="C5" s="2060"/>
      <c r="D5" s="2060"/>
      <c r="E5" s="2060"/>
      <c r="F5" s="2060"/>
      <c r="G5" s="2060"/>
      <c r="H5" s="2060"/>
      <c r="I5" s="2060"/>
      <c r="J5" s="2060"/>
      <c r="K5" s="2060"/>
      <c r="L5" s="2060"/>
      <c r="M5" s="2060"/>
      <c r="N5" s="2060"/>
      <c r="O5" s="2060"/>
      <c r="P5" s="2060"/>
      <c r="Q5" s="2060"/>
      <c r="R5" s="2060"/>
      <c r="S5" s="2060"/>
      <c r="T5" s="2060"/>
      <c r="U5" s="2060"/>
      <c r="V5" s="2060"/>
      <c r="W5" s="2060"/>
      <c r="X5" s="2060"/>
      <c r="Y5" s="2060"/>
      <c r="Z5" s="2060"/>
      <c r="AA5" s="2060"/>
      <c r="AB5" s="2060"/>
      <c r="AC5" s="2060"/>
      <c r="AD5" s="2060"/>
      <c r="AE5" s="2060"/>
      <c r="AF5" s="2060"/>
      <c r="AG5" s="2060"/>
      <c r="AH5" s="2060"/>
      <c r="AI5" s="2060"/>
      <c r="AJ5" s="2060"/>
      <c r="AK5" s="2060"/>
      <c r="AL5" s="2060"/>
      <c r="AM5" s="2060"/>
      <c r="AN5" s="2060"/>
      <c r="AO5" s="2060"/>
      <c r="AP5" s="2060"/>
      <c r="AQ5" s="2060"/>
      <c r="AR5" s="1510"/>
      <c r="AS5" s="1506"/>
      <c r="AT5" s="1506"/>
      <c r="AU5" s="179" t="s">
        <v>1452</v>
      </c>
      <c r="AV5" s="2060"/>
      <c r="AW5" s="2060"/>
      <c r="AX5" s="2060"/>
      <c r="AY5" s="2060"/>
      <c r="AZ5" s="2060"/>
      <c r="BA5" s="2060"/>
      <c r="BB5" s="2060"/>
      <c r="BC5" s="2060"/>
      <c r="BD5" s="2060"/>
      <c r="BE5" s="2060"/>
      <c r="BF5" s="2060"/>
      <c r="BG5" s="43"/>
      <c r="BH5" s="2060"/>
      <c r="BI5" s="179" t="s">
        <v>1453</v>
      </c>
      <c r="BJ5" s="2060"/>
      <c r="BK5" s="2060"/>
      <c r="BL5" s="2060"/>
      <c r="BM5" s="2060"/>
      <c r="BN5" s="2060"/>
      <c r="BQ5" s="2060"/>
      <c r="BT5" s="2060"/>
      <c r="BU5" s="2060"/>
      <c r="BV5" s="2060"/>
      <c r="BW5" s="2060"/>
      <c r="BX5" s="2060"/>
      <c r="BY5" s="2060"/>
      <c r="BZ5" s="2060"/>
      <c r="CA5" s="2060"/>
      <c r="CB5" s="2060"/>
      <c r="CC5" s="2060"/>
      <c r="CD5" s="2060"/>
      <c r="CE5" s="2060"/>
      <c r="CF5" s="2060"/>
    </row>
    <row r="6" spans="1:84" s="1506" customFormat="1" ht="13.9">
      <c r="A6" s="1510"/>
      <c r="B6" s="1510"/>
      <c r="C6" s="2060"/>
      <c r="D6" s="2060"/>
      <c r="E6" s="2060"/>
      <c r="F6" s="2060"/>
      <c r="G6" s="2060"/>
      <c r="H6" s="2060"/>
      <c r="I6" s="2060"/>
      <c r="J6" s="2060"/>
      <c r="K6" s="2060"/>
      <c r="L6" s="2060"/>
      <c r="M6" s="2060"/>
      <c r="N6" s="2060"/>
      <c r="O6" s="2060"/>
      <c r="P6" s="2060"/>
      <c r="Q6" s="2060"/>
      <c r="R6" s="2060"/>
      <c r="S6" s="2060"/>
      <c r="T6" s="2060"/>
      <c r="U6" s="2060"/>
      <c r="V6" s="2060"/>
      <c r="W6" s="2060"/>
      <c r="X6" s="2060"/>
      <c r="Y6" s="2060"/>
      <c r="Z6" s="2060"/>
      <c r="AA6" s="2060"/>
      <c r="AB6" s="2060"/>
      <c r="AC6" s="2060"/>
      <c r="AD6" s="2060"/>
      <c r="AE6" s="2060"/>
      <c r="AF6" s="2060"/>
      <c r="AG6" s="2060"/>
      <c r="AH6" s="2060"/>
      <c r="AI6" s="2060"/>
      <c r="AJ6" s="2060"/>
      <c r="AK6" s="2060"/>
      <c r="AL6" s="2060"/>
      <c r="AM6" s="2060"/>
      <c r="AN6" s="2060"/>
      <c r="AO6" s="2060"/>
      <c r="AP6" s="2060"/>
      <c r="AQ6" s="2060"/>
      <c r="AR6" s="1510"/>
      <c r="AV6" s="2060"/>
      <c r="AW6" s="2060"/>
      <c r="AX6" s="2060"/>
      <c r="AY6" s="2060"/>
      <c r="AZ6" s="2060"/>
      <c r="BA6" s="2060"/>
      <c r="BB6" s="2060"/>
      <c r="BC6" s="2060"/>
      <c r="BD6" s="2060"/>
      <c r="BE6" s="2060"/>
      <c r="BF6" s="2060"/>
      <c r="BG6" s="43"/>
      <c r="BH6" s="2060"/>
      <c r="BJ6" s="2060"/>
      <c r="BK6" s="2060"/>
      <c r="BL6" s="2060"/>
      <c r="BM6" s="2060"/>
      <c r="BN6" s="2060"/>
      <c r="BQ6" s="2060"/>
      <c r="BT6" s="2060"/>
      <c r="BU6" s="2060"/>
      <c r="BV6" s="2060"/>
      <c r="BW6" s="2060"/>
      <c r="BX6" s="2060"/>
      <c r="BY6" s="2060"/>
      <c r="BZ6" s="2060"/>
      <c r="CA6" s="2060"/>
      <c r="CB6" s="2060"/>
      <c r="CC6" s="2060"/>
      <c r="CD6" s="2060"/>
      <c r="CE6" s="2060"/>
      <c r="CF6" s="2060"/>
    </row>
    <row r="7" spans="1:84" ht="13.9">
      <c r="A7" s="1510"/>
      <c r="B7" s="1510"/>
      <c r="C7" s="2060"/>
      <c r="D7" s="2060"/>
      <c r="E7" s="2060"/>
      <c r="F7" s="2060"/>
      <c r="G7" s="2060"/>
      <c r="H7" s="2060"/>
      <c r="I7" s="2060"/>
      <c r="J7" s="2060"/>
      <c r="K7" s="2060"/>
      <c r="L7" s="2060"/>
      <c r="M7" s="2060"/>
      <c r="N7" s="2060"/>
      <c r="O7" s="2060"/>
      <c r="P7" s="2060"/>
      <c r="Q7" s="2060"/>
      <c r="R7" s="2060"/>
      <c r="S7" s="2060"/>
      <c r="T7" s="2060"/>
      <c r="U7" s="2060"/>
      <c r="V7" s="2060"/>
      <c r="W7" s="2060"/>
      <c r="X7" s="2060"/>
      <c r="Y7" s="2060"/>
      <c r="Z7" s="2060"/>
      <c r="AA7" s="2060"/>
      <c r="AB7" s="2060"/>
      <c r="AC7" s="2060"/>
      <c r="AD7" s="2060"/>
      <c r="AE7" s="2060"/>
      <c r="AF7" s="2060"/>
      <c r="AG7" s="2060"/>
      <c r="AH7" s="2060"/>
      <c r="AI7" s="2060"/>
      <c r="AJ7" s="2060"/>
      <c r="AK7" s="2060"/>
      <c r="AL7" s="2060"/>
      <c r="AM7" s="2060"/>
      <c r="AN7" s="2060"/>
      <c r="AO7" s="2060"/>
      <c r="AP7" s="2060"/>
      <c r="AQ7" s="2060"/>
      <c r="AR7" s="1510"/>
      <c r="AS7" s="1506"/>
      <c r="AT7" s="1506"/>
      <c r="AV7" s="1982" t="s">
        <v>707</v>
      </c>
      <c r="AW7" s="1983"/>
      <c r="AX7" s="1983"/>
      <c r="AY7" s="1982" t="s">
        <v>708</v>
      </c>
      <c r="AZ7" s="1983"/>
      <c r="BA7" s="1983"/>
      <c r="BB7" s="1982" t="s">
        <v>709</v>
      </c>
      <c r="BC7" s="1983"/>
      <c r="BD7" s="1983"/>
      <c r="BE7" s="1982" t="s">
        <v>710</v>
      </c>
      <c r="BF7" s="1983"/>
      <c r="BG7" s="43"/>
      <c r="BH7" s="2060"/>
      <c r="BI7" s="2060"/>
      <c r="BJ7" s="1974" t="s">
        <v>707</v>
      </c>
      <c r="BK7" s="1974"/>
      <c r="BL7" s="1973"/>
      <c r="BM7" s="1974" t="s">
        <v>708</v>
      </c>
      <c r="BN7" s="1974"/>
      <c r="BO7" s="1973"/>
      <c r="BP7" s="1974" t="s">
        <v>709</v>
      </c>
      <c r="BQ7" s="1974"/>
      <c r="BR7" s="1973"/>
      <c r="BS7" s="1974" t="s">
        <v>710</v>
      </c>
      <c r="BT7" s="1974"/>
      <c r="BU7" s="2060"/>
      <c r="BV7" s="2060"/>
      <c r="BW7" s="2060"/>
      <c r="BX7" s="2060"/>
      <c r="BY7" s="2060"/>
      <c r="BZ7" s="2060"/>
      <c r="CA7" s="2060"/>
      <c r="CB7" s="2060"/>
      <c r="CC7" s="2060"/>
      <c r="CD7" s="2060"/>
      <c r="CE7" s="2060"/>
      <c r="CF7" s="2060"/>
    </row>
    <row r="8" spans="1:84" ht="12.95" customHeight="1">
      <c r="A8" s="1510"/>
      <c r="B8" s="1510"/>
      <c r="C8" s="1184"/>
      <c r="D8" s="1215" t="str">
        <f>EVorTIC&amp;" / Revenue "</f>
        <v xml:space="preserve">TIC / Revenue </v>
      </c>
      <c r="E8" s="1215"/>
      <c r="F8" s="1215"/>
      <c r="G8" s="1215"/>
      <c r="H8" s="1809"/>
      <c r="I8" s="1809"/>
      <c r="J8" s="1809"/>
      <c r="K8" s="1809"/>
      <c r="L8" s="1215"/>
      <c r="M8" s="1215"/>
      <c r="N8" s="1215"/>
      <c r="O8" s="1215"/>
      <c r="P8" s="1215"/>
      <c r="Q8" s="1215" t="str">
        <f>EVorTIC&amp; " / EBITDA "</f>
        <v xml:space="preserve">TIC / EBITDA </v>
      </c>
      <c r="R8" s="1215"/>
      <c r="S8" s="1215"/>
      <c r="T8" s="1166"/>
      <c r="U8" s="1166"/>
      <c r="V8" s="1166"/>
      <c r="W8" s="1215"/>
      <c r="X8" s="1215"/>
      <c r="Y8" s="1215"/>
      <c r="Z8" s="1215"/>
      <c r="AA8" s="1215"/>
      <c r="AB8" s="1215"/>
      <c r="AC8" s="1215"/>
      <c r="AD8" s="1215" t="str">
        <f>EVorTIC&amp; " / EBIT "</f>
        <v xml:space="preserve">TIC / EBIT </v>
      </c>
      <c r="AE8" s="1215"/>
      <c r="AF8" s="1215"/>
      <c r="AG8" s="1215"/>
      <c r="AH8" s="1215"/>
      <c r="AI8" s="1215"/>
      <c r="AJ8" s="1215"/>
      <c r="AK8" s="1215"/>
      <c r="AL8" s="1215"/>
      <c r="AM8" s="1215"/>
      <c r="AN8" s="1215"/>
      <c r="AO8" s="1215"/>
      <c r="AP8" s="1215"/>
      <c r="AQ8" s="1506"/>
      <c r="AR8" s="1510"/>
      <c r="AS8" s="1506"/>
      <c r="AT8" s="1506"/>
      <c r="AV8" s="1984"/>
      <c r="AW8" s="1214" t="s">
        <v>1454</v>
      </c>
      <c r="AX8" s="1214"/>
      <c r="AY8" s="1984"/>
      <c r="AZ8" s="1214" t="s">
        <v>1454</v>
      </c>
      <c r="BA8" s="1984"/>
      <c r="BB8" s="1984"/>
      <c r="BC8" s="1214" t="s">
        <v>1454</v>
      </c>
      <c r="BD8" s="1984"/>
      <c r="BE8" s="1984"/>
      <c r="BF8" s="1214" t="s">
        <v>1454</v>
      </c>
      <c r="BG8" s="43"/>
      <c r="BH8" s="2060"/>
      <c r="BI8" s="1506" t="s">
        <v>1455</v>
      </c>
      <c r="BJ8" s="1984" t="s">
        <v>247</v>
      </c>
      <c r="BK8" s="1214" t="s">
        <v>1454</v>
      </c>
      <c r="BL8" s="1214"/>
      <c r="BM8" s="1984" t="s">
        <v>247</v>
      </c>
      <c r="BN8" s="1214" t="s">
        <v>1454</v>
      </c>
      <c r="BO8" s="1984"/>
      <c r="BP8" s="1984" t="s">
        <v>247</v>
      </c>
      <c r="BQ8" s="1214" t="s">
        <v>1454</v>
      </c>
      <c r="BR8" s="1984"/>
      <c r="BS8" s="1984" t="s">
        <v>247</v>
      </c>
      <c r="BT8" s="1214" t="s">
        <v>1454</v>
      </c>
      <c r="BU8" s="2060"/>
      <c r="BV8" s="2060"/>
      <c r="BW8" s="2060"/>
      <c r="BX8" s="2060"/>
      <c r="BY8" s="2060"/>
      <c r="BZ8" s="2060"/>
      <c r="CA8" s="2060"/>
      <c r="CB8" s="2060"/>
      <c r="CC8" s="2060"/>
      <c r="CD8" s="2060"/>
      <c r="CE8" s="2060"/>
      <c r="CF8" s="2060"/>
    </row>
    <row r="9" spans="1:84" s="1506" customFormat="1" ht="12.95" customHeight="1">
      <c r="A9" s="1510"/>
      <c r="B9" s="1510"/>
      <c r="C9" s="724"/>
      <c r="D9" s="736"/>
      <c r="E9" s="1841" t="s">
        <v>1456</v>
      </c>
      <c r="F9" s="1841" t="s">
        <v>1457</v>
      </c>
      <c r="G9" s="736"/>
      <c r="H9" s="1951"/>
      <c r="I9" s="1951"/>
      <c r="J9" s="1951"/>
      <c r="K9" s="1951"/>
      <c r="L9" s="736"/>
      <c r="M9" s="736"/>
      <c r="N9" s="736"/>
      <c r="O9" s="736"/>
      <c r="P9" s="736"/>
      <c r="Q9" s="736"/>
      <c r="R9" s="1841" t="s">
        <v>1456</v>
      </c>
      <c r="S9" s="1841" t="s">
        <v>1457</v>
      </c>
      <c r="T9" s="1808"/>
      <c r="U9" s="1808"/>
      <c r="V9" s="1808"/>
      <c r="W9" s="736"/>
      <c r="X9" s="736"/>
      <c r="Y9" s="736"/>
      <c r="Z9" s="736"/>
      <c r="AA9" s="736"/>
      <c r="AB9" s="736"/>
      <c r="AC9" s="736"/>
      <c r="AD9" s="736"/>
      <c r="AE9" s="1841" t="s">
        <v>1456</v>
      </c>
      <c r="AF9" s="1841" t="s">
        <v>1457</v>
      </c>
      <c r="AG9" s="736"/>
      <c r="AH9" s="736"/>
      <c r="AI9" s="736"/>
      <c r="AJ9" s="736"/>
      <c r="AK9" s="736"/>
      <c r="AL9" s="736"/>
      <c r="AM9" s="736"/>
      <c r="AN9" s="736"/>
      <c r="AO9" s="736"/>
      <c r="AP9" s="736"/>
      <c r="AQ9" s="1516"/>
      <c r="AR9" s="1948"/>
      <c r="AS9" s="1516"/>
      <c r="AT9" s="1516"/>
      <c r="AV9" s="1985" t="s">
        <v>247</v>
      </c>
      <c r="AW9" s="726" t="s">
        <v>1458</v>
      </c>
      <c r="AX9" s="726"/>
      <c r="AY9" s="1985" t="s">
        <v>247</v>
      </c>
      <c r="AZ9" s="726" t="s">
        <v>1458</v>
      </c>
      <c r="BA9" s="1986"/>
      <c r="BB9" s="1985" t="s">
        <v>247</v>
      </c>
      <c r="BC9" s="726" t="s">
        <v>1458</v>
      </c>
      <c r="BD9" s="1986"/>
      <c r="BE9" s="1985" t="s">
        <v>247</v>
      </c>
      <c r="BF9" s="726" t="s">
        <v>1458</v>
      </c>
      <c r="BG9" s="43"/>
      <c r="BH9" s="2060"/>
      <c r="BJ9" s="1985" t="s">
        <v>1459</v>
      </c>
      <c r="BK9" s="726" t="s">
        <v>247</v>
      </c>
      <c r="BL9" s="726"/>
      <c r="BM9" s="1985" t="s">
        <v>1459</v>
      </c>
      <c r="BN9" s="726" t="s">
        <v>247</v>
      </c>
      <c r="BO9" s="1986"/>
      <c r="BP9" s="1985" t="s">
        <v>1459</v>
      </c>
      <c r="BQ9" s="726" t="s">
        <v>247</v>
      </c>
      <c r="BR9" s="1986"/>
      <c r="BS9" s="1985" t="s">
        <v>1459</v>
      </c>
      <c r="BT9" s="726" t="s">
        <v>247</v>
      </c>
      <c r="BU9" s="2060"/>
      <c r="BV9" s="2060"/>
      <c r="BW9" s="2060"/>
      <c r="BX9" s="2060"/>
      <c r="BY9" s="2060"/>
      <c r="BZ9" s="2060"/>
      <c r="CA9" s="2060"/>
      <c r="CB9" s="2060"/>
      <c r="CC9" s="2060"/>
      <c r="CD9" s="2060"/>
      <c r="CE9" s="2060"/>
      <c r="CF9" s="2060"/>
    </row>
    <row r="10" spans="1:84" ht="12.95" customHeight="1">
      <c r="A10" s="1510"/>
      <c r="B10" s="1510"/>
      <c r="C10" s="1211"/>
      <c r="D10" s="1778" t="str">
        <f>EVorTIC</f>
        <v>TIC</v>
      </c>
      <c r="E10" s="1941" t="s">
        <v>1460</v>
      </c>
      <c r="F10" s="1941" t="s">
        <v>1460</v>
      </c>
      <c r="G10" s="1941" t="s">
        <v>701</v>
      </c>
      <c r="H10" s="1941" t="s">
        <v>702</v>
      </c>
      <c r="I10" s="1941" t="s">
        <v>703</v>
      </c>
      <c r="J10" s="1941" t="s">
        <v>704</v>
      </c>
      <c r="K10" s="1942" t="s">
        <v>705</v>
      </c>
      <c r="L10" s="1942" t="s">
        <v>707</v>
      </c>
      <c r="M10" s="1942" t="s">
        <v>708</v>
      </c>
      <c r="N10" s="1942" t="s">
        <v>709</v>
      </c>
      <c r="O10" s="1942" t="s">
        <v>710</v>
      </c>
      <c r="P10" s="1942" t="s">
        <v>711</v>
      </c>
      <c r="Q10" s="2060"/>
      <c r="R10" s="1941" t="s">
        <v>1460</v>
      </c>
      <c r="S10" s="1941" t="s">
        <v>1460</v>
      </c>
      <c r="T10" s="1941" t="s">
        <v>701</v>
      </c>
      <c r="U10" s="1941" t="s">
        <v>702</v>
      </c>
      <c r="V10" s="1941" t="s">
        <v>703</v>
      </c>
      <c r="W10" s="1942" t="s">
        <v>704</v>
      </c>
      <c r="X10" s="1942" t="s">
        <v>705</v>
      </c>
      <c r="Y10" s="1942" t="s">
        <v>707</v>
      </c>
      <c r="Z10" s="1942" t="s">
        <v>708</v>
      </c>
      <c r="AA10" s="1942" t="s">
        <v>709</v>
      </c>
      <c r="AB10" s="1942" t="s">
        <v>710</v>
      </c>
      <c r="AC10" s="1942" t="s">
        <v>711</v>
      </c>
      <c r="AD10" s="2060"/>
      <c r="AE10" s="1941" t="s">
        <v>1460</v>
      </c>
      <c r="AF10" s="1941" t="s">
        <v>1460</v>
      </c>
      <c r="AG10" s="1941" t="s">
        <v>701</v>
      </c>
      <c r="AH10" s="1941" t="s">
        <v>702</v>
      </c>
      <c r="AI10" s="1941" t="s">
        <v>703</v>
      </c>
      <c r="AJ10" s="1942" t="s">
        <v>704</v>
      </c>
      <c r="AK10" s="1942" t="s">
        <v>705</v>
      </c>
      <c r="AL10" s="1942" t="s">
        <v>707</v>
      </c>
      <c r="AM10" s="1942" t="s">
        <v>708</v>
      </c>
      <c r="AN10" s="1942" t="s">
        <v>709</v>
      </c>
      <c r="AO10" s="1942" t="s">
        <v>710</v>
      </c>
      <c r="AP10" s="1942" t="s">
        <v>711</v>
      </c>
      <c r="AQ10" s="1506"/>
      <c r="AR10" s="1510"/>
      <c r="AS10" s="1506"/>
      <c r="AT10" s="1506"/>
      <c r="AV10" s="1987" t="s">
        <v>1461</v>
      </c>
      <c r="AW10" s="1987" t="s">
        <v>1462</v>
      </c>
      <c r="AX10" s="1987"/>
      <c r="AY10" s="1987" t="s">
        <v>1461</v>
      </c>
      <c r="AZ10" s="1987" t="s">
        <v>1462</v>
      </c>
      <c r="BA10" s="1987"/>
      <c r="BB10" s="1987" t="s">
        <v>1461</v>
      </c>
      <c r="BC10" s="1987" t="s">
        <v>1462</v>
      </c>
      <c r="BD10" s="1987"/>
      <c r="BE10" s="1987" t="s">
        <v>1461</v>
      </c>
      <c r="BF10" s="1987" t="s">
        <v>1462</v>
      </c>
      <c r="BG10" s="43"/>
      <c r="BH10" s="2060"/>
      <c r="BJ10" s="1987" t="s">
        <v>708</v>
      </c>
      <c r="BK10" s="1987" t="s">
        <v>1463</v>
      </c>
      <c r="BL10" s="1987"/>
      <c r="BM10" s="1987" t="s">
        <v>709</v>
      </c>
      <c r="BN10" s="1987" t="s">
        <v>1464</v>
      </c>
      <c r="BO10" s="1987"/>
      <c r="BP10" s="1987" t="s">
        <v>710</v>
      </c>
      <c r="BQ10" s="1987" t="s">
        <v>1465</v>
      </c>
      <c r="BR10" s="1987"/>
      <c r="BS10" s="1987" t="s">
        <v>711</v>
      </c>
      <c r="BT10" s="1987" t="s">
        <v>1466</v>
      </c>
      <c r="BU10" s="1506"/>
      <c r="BV10" s="2060"/>
      <c r="BW10" s="2060"/>
      <c r="BX10" s="2060"/>
      <c r="BY10" s="2060"/>
      <c r="BZ10" s="2060"/>
      <c r="CA10" s="2060"/>
      <c r="CB10" s="2060"/>
      <c r="CC10" s="2060"/>
      <c r="CD10" s="2060"/>
      <c r="CE10" s="2060"/>
      <c r="CF10" s="2060"/>
    </row>
    <row r="11" spans="1:84" s="1506" customFormat="1" ht="12.95" customHeight="1">
      <c r="A11" s="1510"/>
      <c r="B11" s="1510"/>
      <c r="C11" s="1839" t="s">
        <v>1256</v>
      </c>
      <c r="D11" s="1840"/>
      <c r="E11" s="1840"/>
      <c r="F11" s="1840"/>
      <c r="G11" s="1841"/>
      <c r="H11" s="1841"/>
      <c r="I11" s="1841"/>
      <c r="J11" s="1841"/>
      <c r="K11" s="1842"/>
      <c r="L11" s="1842"/>
      <c r="M11" s="1842"/>
      <c r="N11" s="1842"/>
      <c r="O11" s="1842"/>
      <c r="P11" s="1842"/>
      <c r="Q11" s="2060"/>
      <c r="R11" s="2060"/>
      <c r="S11" s="2060"/>
      <c r="T11" s="1841"/>
      <c r="U11" s="1841"/>
      <c r="V11" s="1841"/>
      <c r="W11" s="1842"/>
      <c r="X11" s="1842"/>
      <c r="Y11" s="1842"/>
      <c r="Z11" s="1842"/>
      <c r="AA11" s="1842"/>
      <c r="AB11" s="1842"/>
      <c r="AC11" s="1842"/>
      <c r="AD11" s="2060"/>
      <c r="AE11" s="2060"/>
      <c r="AF11" s="2060"/>
      <c r="AG11" s="1841"/>
      <c r="AH11" s="1841"/>
      <c r="AI11" s="1841"/>
      <c r="AJ11" s="1842"/>
      <c r="AK11" s="1842"/>
      <c r="AL11" s="1842"/>
      <c r="AM11" s="1842"/>
      <c r="AN11" s="1842"/>
      <c r="AO11" s="1842"/>
      <c r="AP11" s="1842"/>
      <c r="AR11" s="1510"/>
      <c r="BG11" s="43"/>
      <c r="CF11" s="2060"/>
    </row>
    <row r="12" spans="1:84" ht="12.95" customHeight="1">
      <c r="A12" s="1510" t="str">
        <f t="shared" ref="A12:A25" si="0">IF(C12="--","n","")</f>
        <v>n</v>
      </c>
      <c r="B12" s="1510"/>
      <c r="C12" s="173" t="str">
        <f>'DATA GPC'!E$20</f>
        <v>--</v>
      </c>
      <c r="D12" s="467" t="str">
        <f>'WACC and TIC Inputs'!T221</f>
        <v>--</v>
      </c>
      <c r="E12" s="1549" t="str">
        <f t="shared" ref="E12:F36" si="1">IF($D12=0,"nmf",IFERROR($D12/E68,"--"))</f>
        <v>--</v>
      </c>
      <c r="F12" s="1549" t="str">
        <f t="shared" si="1"/>
        <v>--</v>
      </c>
      <c r="G12" s="1549" t="str">
        <f t="shared" ref="G12:P12" si="2">IF($D12=0,"nmf",IFERROR($D12/G68,"--"))</f>
        <v>--</v>
      </c>
      <c r="H12" s="1549" t="str">
        <f t="shared" si="2"/>
        <v>--</v>
      </c>
      <c r="I12" s="1549" t="str">
        <f t="shared" si="2"/>
        <v>--</v>
      </c>
      <c r="J12" s="1549" t="str">
        <f t="shared" si="2"/>
        <v>--</v>
      </c>
      <c r="K12" s="1549" t="str">
        <f t="shared" si="2"/>
        <v>--</v>
      </c>
      <c r="L12" s="1549" t="str">
        <f t="shared" si="2"/>
        <v>--</v>
      </c>
      <c r="M12" s="1549" t="str">
        <f t="shared" si="2"/>
        <v>--</v>
      </c>
      <c r="N12" s="1549" t="str">
        <f t="shared" si="2"/>
        <v>--</v>
      </c>
      <c r="O12" s="1549" t="str">
        <f t="shared" si="2"/>
        <v>--</v>
      </c>
      <c r="P12" s="1549" t="str">
        <f t="shared" si="2"/>
        <v>--</v>
      </c>
      <c r="Q12" s="1506"/>
      <c r="R12" s="1549" t="str">
        <f t="shared" ref="R12:S36" si="3">IFERROR(IF($D12/R68&lt;0,"nmf",$D12/R68),"--")</f>
        <v>--</v>
      </c>
      <c r="S12" s="1549" t="str">
        <f t="shared" si="3"/>
        <v>--</v>
      </c>
      <c r="T12" s="1549" t="str">
        <f t="shared" ref="T12:AC12" si="4">IFERROR(IF($D12/T68&lt;0,"nmf",$D12/T68),"--")</f>
        <v>--</v>
      </c>
      <c r="U12" s="1549" t="str">
        <f t="shared" si="4"/>
        <v>--</v>
      </c>
      <c r="V12" s="1549" t="str">
        <f t="shared" si="4"/>
        <v>--</v>
      </c>
      <c r="W12" s="1549" t="str">
        <f t="shared" si="4"/>
        <v>--</v>
      </c>
      <c r="X12" s="1549" t="str">
        <f t="shared" si="4"/>
        <v>--</v>
      </c>
      <c r="Y12" s="1549" t="str">
        <f t="shared" si="4"/>
        <v>--</v>
      </c>
      <c r="Z12" s="1549" t="str">
        <f t="shared" si="4"/>
        <v>--</v>
      </c>
      <c r="AA12" s="1549" t="str">
        <f t="shared" si="4"/>
        <v>--</v>
      </c>
      <c r="AB12" s="1549" t="str">
        <f t="shared" si="4"/>
        <v>--</v>
      </c>
      <c r="AC12" s="1549" t="str">
        <f t="shared" si="4"/>
        <v>--</v>
      </c>
      <c r="AD12" s="1506"/>
      <c r="AE12" s="1549" t="str">
        <f t="shared" ref="AE12:AF36" si="5">IFERROR(IF($D12/AE68&lt;=0,"nmf",$D12/AE68),"--")</f>
        <v>--</v>
      </c>
      <c r="AF12" s="1549" t="str">
        <f t="shared" si="5"/>
        <v>--</v>
      </c>
      <c r="AG12" s="1549" t="str">
        <f t="shared" ref="AG12:AP12" si="6">IFERROR(IF($D12/AG68&lt;=0,"nmf",$D12/AG68),"--")</f>
        <v>--</v>
      </c>
      <c r="AH12" s="1549" t="str">
        <f t="shared" si="6"/>
        <v>--</v>
      </c>
      <c r="AI12" s="1549" t="str">
        <f t="shared" si="6"/>
        <v>--</v>
      </c>
      <c r="AJ12" s="1549" t="str">
        <f t="shared" si="6"/>
        <v>--</v>
      </c>
      <c r="AK12" s="1549" t="str">
        <f t="shared" si="6"/>
        <v>--</v>
      </c>
      <c r="AL12" s="1549" t="str">
        <f t="shared" si="6"/>
        <v>--</v>
      </c>
      <c r="AM12" s="1549" t="str">
        <f t="shared" si="6"/>
        <v>--</v>
      </c>
      <c r="AN12" s="1549" t="str">
        <f t="shared" si="6"/>
        <v>--</v>
      </c>
      <c r="AO12" s="1549" t="str">
        <f t="shared" si="6"/>
        <v>--</v>
      </c>
      <c r="AP12" s="1549" t="str">
        <f t="shared" si="6"/>
        <v>--</v>
      </c>
      <c r="AQ12" s="1506"/>
      <c r="AR12" s="1510"/>
      <c r="AS12" s="2060"/>
      <c r="AT12" s="2060"/>
      <c r="AU12" s="2060" t="str">
        <f>$C12</f>
        <v>--</v>
      </c>
      <c r="AV12" s="1975" t="e">
        <f>IF(AND('Growth&amp;Margins'!Y64&gt;(AV$45-AV$46),'Growth&amp;Margins'!Y64&lt;(AV$45+AV$46)),'Growth&amp;Margins'!Y64,"--")</f>
        <v>#VALUE!</v>
      </c>
      <c r="AW12" s="1549" t="str">
        <f>IF(ISNUMBER(AV12),L12,"--")</f>
        <v>--</v>
      </c>
      <c r="AX12" s="1549"/>
      <c r="AY12" s="1975" t="e">
        <f>IF(AND('Growth&amp;Margins'!Z64&gt;(AY$45-AY$46),'Growth&amp;Margins'!Z64&lt;(AY$45+AY$46)),'Growth&amp;Margins'!Z64,"--")</f>
        <v>#VALUE!</v>
      </c>
      <c r="AZ12" s="1549" t="str">
        <f>IF(ISNUMBER(AY12),M12,"--")</f>
        <v>--</v>
      </c>
      <c r="BA12" s="2060"/>
      <c r="BB12" s="1975" t="e">
        <f>IF(AND('Growth&amp;Margins'!AA64&gt;(BB$45-BB$46),'Growth&amp;Margins'!AA64&lt;(BB$45+BB$46)),'Growth&amp;Margins'!AA64,"--")</f>
        <v>#VALUE!</v>
      </c>
      <c r="BC12" s="1549" t="str">
        <f>IF(ISNUMBER(BB12),N12,"--")</f>
        <v>--</v>
      </c>
      <c r="BD12" s="2060"/>
      <c r="BE12" s="1975" t="e">
        <f>IF(AND('Growth&amp;Margins'!AB64&gt;(BE$45-BE$46),'Growth&amp;Margins'!AB64&lt;(BE$45+BE$46)),'Growth&amp;Margins'!AB64,"--")</f>
        <v>#VALUE!</v>
      </c>
      <c r="BF12" s="1549" t="str">
        <f>IF(ISNUMBER(BE12),O12,"--")</f>
        <v>--</v>
      </c>
      <c r="BG12" s="43"/>
      <c r="BH12" s="2060"/>
      <c r="BI12" s="2060" t="str">
        <f>$C12</f>
        <v>--</v>
      </c>
      <c r="BJ12" s="1975" t="e">
        <f>IF(AND('Growth&amp;Margins'!Z12&gt;(BJ$45-BJ$46),'Growth&amp;Margins'!Z12&lt;(BJ$45+BJ$46)),'Growth&amp;Margins'!Z12,"--")</f>
        <v>#VALUE!</v>
      </c>
      <c r="BK12" s="1549" t="str">
        <f>IF(ISNUMBER(BJ12),Y12,"--")</f>
        <v>--</v>
      </c>
      <c r="BL12" s="2060"/>
      <c r="BM12" s="1975" t="e">
        <f>IF(AND('Growth&amp;Margins'!AA12&gt;(BM$45-BM$46),'Growth&amp;Margins'!AA12&lt;(BM$45+BM$46)),'Growth&amp;Margins'!AA12,"--")</f>
        <v>#VALUE!</v>
      </c>
      <c r="BN12" s="1549" t="str">
        <f>IF(ISNUMBER(BM12),Z12,"--")</f>
        <v>--</v>
      </c>
      <c r="BO12" s="2060"/>
      <c r="BP12" s="1975" t="e">
        <f>IF(AND('Growth&amp;Margins'!AB12&gt;(BP$45-BP$46),'Growth&amp;Margins'!AB12&lt;(BP$45+BP$46)),'Growth&amp;Margins'!AB12,"--")</f>
        <v>#VALUE!</v>
      </c>
      <c r="BQ12" s="1549" t="str">
        <f>IF(ISNUMBER(BP12),AA12,"--")</f>
        <v>--</v>
      </c>
      <c r="BR12" s="2060"/>
      <c r="BS12" s="1975" t="e">
        <f>IF(AND('Growth&amp;Margins'!AC12&gt;(BS$45-BS$46),'Growth&amp;Margins'!AC12&lt;(BS$45+BS$46)),'Growth&amp;Margins'!AC12,"--")</f>
        <v>#VALUE!</v>
      </c>
      <c r="BT12" s="1549" t="str">
        <f>IF(ISNUMBER(BS12),AB12,"--")</f>
        <v>--</v>
      </c>
      <c r="BU12" s="2060"/>
      <c r="BV12" s="2060"/>
      <c r="BW12" s="2060"/>
      <c r="BX12" s="2060"/>
      <c r="BY12" s="2060"/>
      <c r="BZ12" s="2060"/>
      <c r="CA12" s="2060"/>
      <c r="CB12" s="2060"/>
      <c r="CC12" s="2060"/>
      <c r="CD12" s="2060"/>
      <c r="CE12" s="2060"/>
      <c r="CF12" s="2060"/>
    </row>
    <row r="13" spans="1:84" ht="12.95" customHeight="1">
      <c r="A13" s="1510" t="str">
        <f t="shared" si="0"/>
        <v>n</v>
      </c>
      <c r="B13" s="1510"/>
      <c r="C13" s="173" t="str">
        <f>'DATA GPC'!E$21</f>
        <v>--</v>
      </c>
      <c r="D13" s="467" t="str">
        <f>'WACC and TIC Inputs'!T222</f>
        <v>--</v>
      </c>
      <c r="E13" s="1549" t="str">
        <f t="shared" si="1"/>
        <v>--</v>
      </c>
      <c r="F13" s="1549" t="str">
        <f t="shared" si="1"/>
        <v>--</v>
      </c>
      <c r="G13" s="1549" t="str">
        <f t="shared" ref="G13:P13" si="7">IF($D13=0,"nmf",IFERROR($D13/G69,"--"))</f>
        <v>--</v>
      </c>
      <c r="H13" s="1549" t="str">
        <f t="shared" si="7"/>
        <v>--</v>
      </c>
      <c r="I13" s="1549" t="str">
        <f t="shared" si="7"/>
        <v>--</v>
      </c>
      <c r="J13" s="1549" t="str">
        <f t="shared" si="7"/>
        <v>--</v>
      </c>
      <c r="K13" s="1549" t="str">
        <f t="shared" si="7"/>
        <v>--</v>
      </c>
      <c r="L13" s="1549" t="str">
        <f t="shared" si="7"/>
        <v>--</v>
      </c>
      <c r="M13" s="1549" t="str">
        <f t="shared" si="7"/>
        <v>--</v>
      </c>
      <c r="N13" s="1549" t="str">
        <f t="shared" si="7"/>
        <v>--</v>
      </c>
      <c r="O13" s="1549" t="str">
        <f t="shared" si="7"/>
        <v>--</v>
      </c>
      <c r="P13" s="1549" t="str">
        <f t="shared" si="7"/>
        <v>--</v>
      </c>
      <c r="Q13" s="1506"/>
      <c r="R13" s="1549" t="str">
        <f t="shared" si="3"/>
        <v>--</v>
      </c>
      <c r="S13" s="1549" t="str">
        <f t="shared" si="3"/>
        <v>--</v>
      </c>
      <c r="T13" s="1549" t="str">
        <f t="shared" ref="T13:AC13" si="8">IFERROR(IF($D13/T69&lt;0,"nmf",$D13/T69),"--")</f>
        <v>--</v>
      </c>
      <c r="U13" s="1549" t="str">
        <f t="shared" si="8"/>
        <v>--</v>
      </c>
      <c r="V13" s="1549" t="str">
        <f t="shared" si="8"/>
        <v>--</v>
      </c>
      <c r="W13" s="1549" t="str">
        <f t="shared" si="8"/>
        <v>--</v>
      </c>
      <c r="X13" s="1549" t="str">
        <f t="shared" si="8"/>
        <v>--</v>
      </c>
      <c r="Y13" s="1549" t="str">
        <f t="shared" si="8"/>
        <v>--</v>
      </c>
      <c r="Z13" s="1549" t="str">
        <f t="shared" si="8"/>
        <v>--</v>
      </c>
      <c r="AA13" s="1549" t="str">
        <f t="shared" si="8"/>
        <v>--</v>
      </c>
      <c r="AB13" s="1549" t="str">
        <f t="shared" si="8"/>
        <v>--</v>
      </c>
      <c r="AC13" s="1549" t="str">
        <f t="shared" si="8"/>
        <v>--</v>
      </c>
      <c r="AD13" s="1506"/>
      <c r="AE13" s="1549" t="str">
        <f t="shared" si="5"/>
        <v>--</v>
      </c>
      <c r="AF13" s="1549" t="str">
        <f t="shared" si="5"/>
        <v>--</v>
      </c>
      <c r="AG13" s="1549" t="str">
        <f t="shared" ref="AG13:AP13" si="9">IFERROR(IF($D13/AG69&lt;=0,"nmf",$D13/AG69),"--")</f>
        <v>--</v>
      </c>
      <c r="AH13" s="1549" t="str">
        <f t="shared" si="9"/>
        <v>--</v>
      </c>
      <c r="AI13" s="1549" t="str">
        <f t="shared" si="9"/>
        <v>--</v>
      </c>
      <c r="AJ13" s="1549" t="str">
        <f t="shared" si="9"/>
        <v>--</v>
      </c>
      <c r="AK13" s="1549" t="str">
        <f t="shared" si="9"/>
        <v>--</v>
      </c>
      <c r="AL13" s="1549" t="str">
        <f t="shared" si="9"/>
        <v>--</v>
      </c>
      <c r="AM13" s="1549" t="str">
        <f t="shared" si="9"/>
        <v>--</v>
      </c>
      <c r="AN13" s="1549" t="str">
        <f t="shared" si="9"/>
        <v>--</v>
      </c>
      <c r="AO13" s="1549" t="str">
        <f t="shared" si="9"/>
        <v>--</v>
      </c>
      <c r="AP13" s="1549" t="str">
        <f t="shared" si="9"/>
        <v>--</v>
      </c>
      <c r="AQ13" s="1506"/>
      <c r="AR13" s="1510"/>
      <c r="AS13" s="2060"/>
      <c r="AT13" s="2060"/>
      <c r="AU13" s="2060" t="str">
        <f t="shared" ref="AU13:AU36" si="10">$C13</f>
        <v>--</v>
      </c>
      <c r="AV13" s="1975" t="e">
        <f>IF(AND('Growth&amp;Margins'!Y65&gt;(AV$45-AV$46),'Growth&amp;Margins'!Y65&lt;(AV$45+AV$46)),'Growth&amp;Margins'!Y65,"--")</f>
        <v>#VALUE!</v>
      </c>
      <c r="AW13" s="1549" t="str">
        <f t="shared" ref="AW13:AW36" si="11">IF(ISNUMBER(AV13),L13,"--")</f>
        <v>--</v>
      </c>
      <c r="AX13" s="1549"/>
      <c r="AY13" s="1975" t="e">
        <f>IF(AND('Growth&amp;Margins'!Z65&gt;(AY$45-AY$46),'Growth&amp;Margins'!Z65&lt;(AY$45+AY$46)),'Growth&amp;Margins'!Z65,"--")</f>
        <v>#VALUE!</v>
      </c>
      <c r="AZ13" s="1549" t="str">
        <f t="shared" ref="AZ13:AZ36" si="12">IF(ISNUMBER(AY13),M13,"--")</f>
        <v>--</v>
      </c>
      <c r="BA13" s="2060"/>
      <c r="BB13" s="1975" t="e">
        <f>IF(AND('Growth&amp;Margins'!AA65&gt;(BB$45-BB$46),'Growth&amp;Margins'!AA65&lt;(BB$45+BB$46)),'Growth&amp;Margins'!AA65,"--")</f>
        <v>#VALUE!</v>
      </c>
      <c r="BC13" s="1549" t="str">
        <f t="shared" ref="BC13:BC36" si="13">IF(ISNUMBER(BB13),N13,"--")</f>
        <v>--</v>
      </c>
      <c r="BD13" s="2060"/>
      <c r="BE13" s="1975" t="e">
        <f>IF(AND('Growth&amp;Margins'!AB65&gt;(BE$45-BE$46),'Growth&amp;Margins'!AB65&lt;(BE$45+BE$46)),'Growth&amp;Margins'!AB65,"--")</f>
        <v>#VALUE!</v>
      </c>
      <c r="BF13" s="1549" t="str">
        <f t="shared" ref="BF13:BF36" si="14">IF(ISNUMBER(BE13),O13,"--")</f>
        <v>--</v>
      </c>
      <c r="BG13" s="43"/>
      <c r="BH13" s="2060"/>
      <c r="BI13" s="2060" t="str">
        <f t="shared" ref="BI13:BI36" si="15">$C13</f>
        <v>--</v>
      </c>
      <c r="BJ13" s="1975" t="e">
        <f>IF(AND('Growth&amp;Margins'!Z13&gt;(BJ$45-BJ$46),'Growth&amp;Margins'!Z13&lt;(BJ$45+BJ$46)),'Growth&amp;Margins'!Z13,"--")</f>
        <v>#VALUE!</v>
      </c>
      <c r="BK13" s="1549" t="str">
        <f t="shared" ref="BK13:BK36" si="16">IF(ISNUMBER(BJ13),Y13,"--")</f>
        <v>--</v>
      </c>
      <c r="BL13" s="2060"/>
      <c r="BM13" s="1975" t="e">
        <f>IF(AND('Growth&amp;Margins'!AA13&gt;(BM$45-BM$46),'Growth&amp;Margins'!AA13&lt;(BM$45+BM$46)),'Growth&amp;Margins'!AA13,"--")</f>
        <v>#VALUE!</v>
      </c>
      <c r="BN13" s="1549" t="str">
        <f t="shared" ref="BN13:BN36" si="17">IF(ISNUMBER(BM13),Z13,"--")</f>
        <v>--</v>
      </c>
      <c r="BO13" s="2060"/>
      <c r="BP13" s="1975" t="e">
        <f>IF(AND('Growth&amp;Margins'!AB13&gt;(BP$45-BP$46),'Growth&amp;Margins'!AB13&lt;(BP$45+BP$46)),'Growth&amp;Margins'!AB13,"--")</f>
        <v>#VALUE!</v>
      </c>
      <c r="BQ13" s="1549" t="str">
        <f t="shared" ref="BQ13:BQ36" si="18">IF(ISNUMBER(BP13),AA13,"--")</f>
        <v>--</v>
      </c>
      <c r="BR13" s="2060"/>
      <c r="BS13" s="1975" t="e">
        <f>IF(AND('Growth&amp;Margins'!AC13&gt;(BS$45-BS$46),'Growth&amp;Margins'!AC13&lt;(BS$45+BS$46)),'Growth&amp;Margins'!AC13,"--")</f>
        <v>#VALUE!</v>
      </c>
      <c r="BT13" s="1549" t="str">
        <f t="shared" ref="BT13:BT36" si="19">IF(ISNUMBER(BS13),AB13,"--")</f>
        <v>--</v>
      </c>
      <c r="BU13" s="2060"/>
      <c r="BV13" s="2060"/>
      <c r="BW13" s="2060"/>
      <c r="BX13" s="2060"/>
      <c r="BY13" s="2060"/>
      <c r="BZ13" s="2060"/>
      <c r="CA13" s="2060"/>
      <c r="CB13" s="2060"/>
      <c r="CC13" s="2060"/>
      <c r="CD13" s="2060"/>
      <c r="CE13" s="2060"/>
      <c r="CF13" s="2060"/>
    </row>
    <row r="14" spans="1:84" ht="12.95" customHeight="1">
      <c r="A14" s="1510" t="str">
        <f t="shared" si="0"/>
        <v>n</v>
      </c>
      <c r="B14" s="1510"/>
      <c r="C14" s="173" t="str">
        <f>'DATA GPC'!E$22</f>
        <v>--</v>
      </c>
      <c r="D14" s="467" t="str">
        <f>'WACC and TIC Inputs'!T223</f>
        <v>--</v>
      </c>
      <c r="E14" s="1549" t="str">
        <f t="shared" si="1"/>
        <v>--</v>
      </c>
      <c r="F14" s="1549" t="str">
        <f t="shared" si="1"/>
        <v>--</v>
      </c>
      <c r="G14" s="1549" t="str">
        <f t="shared" ref="G14:P14" si="20">IF($D14=0,"nmf",IFERROR($D14/G70,"--"))</f>
        <v>--</v>
      </c>
      <c r="H14" s="1549" t="str">
        <f t="shared" si="20"/>
        <v>--</v>
      </c>
      <c r="I14" s="1549" t="str">
        <f t="shared" si="20"/>
        <v>--</v>
      </c>
      <c r="J14" s="1549" t="str">
        <f t="shared" si="20"/>
        <v>--</v>
      </c>
      <c r="K14" s="1549" t="str">
        <f t="shared" si="20"/>
        <v>--</v>
      </c>
      <c r="L14" s="1549" t="str">
        <f t="shared" si="20"/>
        <v>--</v>
      </c>
      <c r="M14" s="1549" t="str">
        <f t="shared" si="20"/>
        <v>--</v>
      </c>
      <c r="N14" s="1549" t="str">
        <f t="shared" si="20"/>
        <v>--</v>
      </c>
      <c r="O14" s="1549" t="str">
        <f t="shared" si="20"/>
        <v>--</v>
      </c>
      <c r="P14" s="1549" t="str">
        <f t="shared" si="20"/>
        <v>--</v>
      </c>
      <c r="Q14" s="1506"/>
      <c r="R14" s="1549" t="str">
        <f t="shared" si="3"/>
        <v>--</v>
      </c>
      <c r="S14" s="1549" t="str">
        <f t="shared" si="3"/>
        <v>--</v>
      </c>
      <c r="T14" s="1549" t="str">
        <f t="shared" ref="T14:AC14" si="21">IFERROR(IF($D14/T70&lt;0,"nmf",$D14/T70),"--")</f>
        <v>--</v>
      </c>
      <c r="U14" s="1549" t="str">
        <f t="shared" si="21"/>
        <v>--</v>
      </c>
      <c r="V14" s="1549" t="str">
        <f t="shared" si="21"/>
        <v>--</v>
      </c>
      <c r="W14" s="1549" t="str">
        <f t="shared" si="21"/>
        <v>--</v>
      </c>
      <c r="X14" s="1549" t="str">
        <f t="shared" si="21"/>
        <v>--</v>
      </c>
      <c r="Y14" s="1549" t="str">
        <f t="shared" si="21"/>
        <v>--</v>
      </c>
      <c r="Z14" s="1549" t="str">
        <f t="shared" si="21"/>
        <v>--</v>
      </c>
      <c r="AA14" s="1549" t="str">
        <f t="shared" si="21"/>
        <v>--</v>
      </c>
      <c r="AB14" s="1549" t="str">
        <f t="shared" si="21"/>
        <v>--</v>
      </c>
      <c r="AC14" s="1549" t="str">
        <f t="shared" si="21"/>
        <v>--</v>
      </c>
      <c r="AD14" s="1506"/>
      <c r="AE14" s="1549" t="str">
        <f t="shared" si="5"/>
        <v>--</v>
      </c>
      <c r="AF14" s="1549" t="str">
        <f t="shared" si="5"/>
        <v>--</v>
      </c>
      <c r="AG14" s="1549" t="str">
        <f t="shared" ref="AG14:AP14" si="22">IFERROR(IF($D14/AG70&lt;=0,"nmf",$D14/AG70),"--")</f>
        <v>--</v>
      </c>
      <c r="AH14" s="1549" t="str">
        <f t="shared" si="22"/>
        <v>--</v>
      </c>
      <c r="AI14" s="1549" t="str">
        <f t="shared" si="22"/>
        <v>--</v>
      </c>
      <c r="AJ14" s="1549" t="str">
        <f t="shared" si="22"/>
        <v>--</v>
      </c>
      <c r="AK14" s="1549" t="str">
        <f t="shared" si="22"/>
        <v>--</v>
      </c>
      <c r="AL14" s="1549" t="str">
        <f t="shared" si="22"/>
        <v>--</v>
      </c>
      <c r="AM14" s="1549" t="str">
        <f t="shared" si="22"/>
        <v>--</v>
      </c>
      <c r="AN14" s="1549" t="str">
        <f t="shared" si="22"/>
        <v>--</v>
      </c>
      <c r="AO14" s="1549" t="str">
        <f t="shared" si="22"/>
        <v>--</v>
      </c>
      <c r="AP14" s="1549" t="str">
        <f t="shared" si="22"/>
        <v>--</v>
      </c>
      <c r="AQ14" s="1506"/>
      <c r="AR14" s="1510"/>
      <c r="AS14" s="2060"/>
      <c r="AT14" s="2060"/>
      <c r="AU14" s="2060" t="str">
        <f t="shared" si="10"/>
        <v>--</v>
      </c>
      <c r="AV14" s="1975" t="e">
        <f>IF(AND('Growth&amp;Margins'!Y66&gt;(AV$45-AV$46),'Growth&amp;Margins'!Y66&lt;(AV$45+AV$46)),'Growth&amp;Margins'!Y66,"--")</f>
        <v>#VALUE!</v>
      </c>
      <c r="AW14" s="1549" t="str">
        <f t="shared" si="11"/>
        <v>--</v>
      </c>
      <c r="AX14" s="1549"/>
      <c r="AY14" s="1975" t="e">
        <f>IF(AND('Growth&amp;Margins'!Z66&gt;(AY$45-AY$46),'Growth&amp;Margins'!Z66&lt;(AY$45+AY$46)),'Growth&amp;Margins'!Z66,"--")</f>
        <v>#VALUE!</v>
      </c>
      <c r="AZ14" s="1549" t="str">
        <f t="shared" si="12"/>
        <v>--</v>
      </c>
      <c r="BA14" s="2060"/>
      <c r="BB14" s="1975" t="e">
        <f>IF(AND('Growth&amp;Margins'!AA66&gt;(BB$45-BB$46),'Growth&amp;Margins'!AA66&lt;(BB$45+BB$46)),'Growth&amp;Margins'!AA66,"--")</f>
        <v>#VALUE!</v>
      </c>
      <c r="BC14" s="1549" t="str">
        <f t="shared" si="13"/>
        <v>--</v>
      </c>
      <c r="BD14" s="2060"/>
      <c r="BE14" s="1975" t="e">
        <f>IF(AND('Growth&amp;Margins'!AB66&gt;(BE$45-BE$46),'Growth&amp;Margins'!AB66&lt;(BE$45+BE$46)),'Growth&amp;Margins'!AB66,"--")</f>
        <v>#VALUE!</v>
      </c>
      <c r="BF14" s="1549" t="str">
        <f t="shared" si="14"/>
        <v>--</v>
      </c>
      <c r="BG14" s="43"/>
      <c r="BH14" s="2060"/>
      <c r="BI14" s="2060" t="str">
        <f t="shared" si="15"/>
        <v>--</v>
      </c>
      <c r="BJ14" s="1975" t="e">
        <f>IF(AND('Growth&amp;Margins'!Z14&gt;(BJ$45-BJ$46),'Growth&amp;Margins'!Z14&lt;(BJ$45+BJ$46)),'Growth&amp;Margins'!Z14,"--")</f>
        <v>#VALUE!</v>
      </c>
      <c r="BK14" s="1549" t="str">
        <f t="shared" si="16"/>
        <v>--</v>
      </c>
      <c r="BL14" s="2060"/>
      <c r="BM14" s="1975" t="e">
        <f>IF(AND('Growth&amp;Margins'!AA14&gt;(BM$45-BM$46),'Growth&amp;Margins'!AA14&lt;(BM$45+BM$46)),'Growth&amp;Margins'!AA14,"--")</f>
        <v>#VALUE!</v>
      </c>
      <c r="BN14" s="1549" t="str">
        <f t="shared" si="17"/>
        <v>--</v>
      </c>
      <c r="BO14" s="2060"/>
      <c r="BP14" s="1975" t="e">
        <f>IF(AND('Growth&amp;Margins'!AB14&gt;(BP$45-BP$46),'Growth&amp;Margins'!AB14&lt;(BP$45+BP$46)),'Growth&amp;Margins'!AB14,"--")</f>
        <v>#VALUE!</v>
      </c>
      <c r="BQ14" s="1549" t="str">
        <f t="shared" si="18"/>
        <v>--</v>
      </c>
      <c r="BR14" s="2060"/>
      <c r="BS14" s="1975" t="e">
        <f>IF(AND('Growth&amp;Margins'!AC14&gt;(BS$45-BS$46),'Growth&amp;Margins'!AC14&lt;(BS$45+BS$46)),'Growth&amp;Margins'!AC14,"--")</f>
        <v>#VALUE!</v>
      </c>
      <c r="BT14" s="1549" t="str">
        <f t="shared" si="19"/>
        <v>--</v>
      </c>
      <c r="BU14" s="2060"/>
      <c r="BV14" s="2060"/>
      <c r="BW14" s="2060"/>
      <c r="BX14" s="2060"/>
      <c r="BY14" s="2060"/>
      <c r="BZ14" s="2060"/>
      <c r="CA14" s="2060"/>
      <c r="CB14" s="2060"/>
      <c r="CC14" s="2060"/>
      <c r="CD14" s="2060"/>
      <c r="CE14" s="2060"/>
      <c r="CF14" s="2060"/>
    </row>
    <row r="15" spans="1:84" ht="12.95" customHeight="1">
      <c r="A15" s="1510" t="str">
        <f t="shared" si="0"/>
        <v>n</v>
      </c>
      <c r="B15" s="1510"/>
      <c r="C15" s="173" t="str">
        <f>'DATA GPC'!E$23</f>
        <v>--</v>
      </c>
      <c r="D15" s="467" t="str">
        <f>'WACC and TIC Inputs'!T224</f>
        <v>--</v>
      </c>
      <c r="E15" s="663" t="str">
        <f t="shared" si="1"/>
        <v>--</v>
      </c>
      <c r="F15" s="663" t="str">
        <f t="shared" si="1"/>
        <v>--</v>
      </c>
      <c r="G15" s="663" t="str">
        <f t="shared" ref="G15:P15" si="23">IF($D15=0,"nmf",IFERROR($D15/G71,"--"))</f>
        <v>--</v>
      </c>
      <c r="H15" s="663" t="str">
        <f t="shared" si="23"/>
        <v>--</v>
      </c>
      <c r="I15" s="663" t="str">
        <f t="shared" si="23"/>
        <v>--</v>
      </c>
      <c r="J15" s="663" t="str">
        <f t="shared" si="23"/>
        <v>--</v>
      </c>
      <c r="K15" s="1549" t="str">
        <f t="shared" si="23"/>
        <v>--</v>
      </c>
      <c r="L15" s="1549" t="str">
        <f t="shared" si="23"/>
        <v>--</v>
      </c>
      <c r="M15" s="1549" t="str">
        <f t="shared" si="23"/>
        <v>--</v>
      </c>
      <c r="N15" s="1549" t="str">
        <f t="shared" si="23"/>
        <v>--</v>
      </c>
      <c r="O15" s="1549" t="str">
        <f t="shared" si="23"/>
        <v>--</v>
      </c>
      <c r="P15" s="1549" t="str">
        <f t="shared" si="23"/>
        <v>--</v>
      </c>
      <c r="Q15" s="1506"/>
      <c r="R15" s="1549" t="str">
        <f t="shared" si="3"/>
        <v>--</v>
      </c>
      <c r="S15" s="1549" t="str">
        <f t="shared" si="3"/>
        <v>--</v>
      </c>
      <c r="T15" s="1549" t="str">
        <f t="shared" ref="T15:AC15" si="24">IFERROR(IF($D15/T71&lt;0,"nmf",$D15/T71),"--")</f>
        <v>--</v>
      </c>
      <c r="U15" s="1549" t="str">
        <f t="shared" si="24"/>
        <v>--</v>
      </c>
      <c r="V15" s="1549" t="str">
        <f t="shared" si="24"/>
        <v>--</v>
      </c>
      <c r="W15" s="1549" t="str">
        <f t="shared" si="24"/>
        <v>--</v>
      </c>
      <c r="X15" s="1549" t="str">
        <f t="shared" si="24"/>
        <v>--</v>
      </c>
      <c r="Y15" s="1549" t="str">
        <f t="shared" si="24"/>
        <v>--</v>
      </c>
      <c r="Z15" s="1549" t="str">
        <f t="shared" si="24"/>
        <v>--</v>
      </c>
      <c r="AA15" s="1549" t="str">
        <f t="shared" si="24"/>
        <v>--</v>
      </c>
      <c r="AB15" s="1549" t="str">
        <f t="shared" si="24"/>
        <v>--</v>
      </c>
      <c r="AC15" s="1549" t="str">
        <f t="shared" si="24"/>
        <v>--</v>
      </c>
      <c r="AD15" s="1506"/>
      <c r="AE15" s="1549" t="str">
        <f t="shared" si="5"/>
        <v>--</v>
      </c>
      <c r="AF15" s="1549" t="str">
        <f t="shared" si="5"/>
        <v>--</v>
      </c>
      <c r="AG15" s="1549" t="str">
        <f t="shared" ref="AG15:AP15" si="25">IFERROR(IF($D15/AG71&lt;=0,"nmf",$D15/AG71),"--")</f>
        <v>--</v>
      </c>
      <c r="AH15" s="1549" t="str">
        <f t="shared" si="25"/>
        <v>--</v>
      </c>
      <c r="AI15" s="1549" t="str">
        <f t="shared" si="25"/>
        <v>--</v>
      </c>
      <c r="AJ15" s="1549" t="str">
        <f t="shared" si="25"/>
        <v>--</v>
      </c>
      <c r="AK15" s="1549" t="str">
        <f t="shared" si="25"/>
        <v>--</v>
      </c>
      <c r="AL15" s="1549" t="str">
        <f t="shared" si="25"/>
        <v>--</v>
      </c>
      <c r="AM15" s="1549" t="str">
        <f t="shared" si="25"/>
        <v>--</v>
      </c>
      <c r="AN15" s="1549" t="str">
        <f t="shared" si="25"/>
        <v>--</v>
      </c>
      <c r="AO15" s="1549" t="str">
        <f t="shared" si="25"/>
        <v>--</v>
      </c>
      <c r="AP15" s="1549" t="str">
        <f t="shared" si="25"/>
        <v>--</v>
      </c>
      <c r="AQ15" s="1506"/>
      <c r="AR15" s="1510"/>
      <c r="AS15" s="2060"/>
      <c r="AT15" s="2060"/>
      <c r="AU15" s="2060" t="str">
        <f t="shared" si="10"/>
        <v>--</v>
      </c>
      <c r="AV15" s="1975" t="e">
        <f>IF(AND('Growth&amp;Margins'!Y67&gt;(AV$45-AV$46),'Growth&amp;Margins'!Y67&lt;(AV$45+AV$46)),'Growth&amp;Margins'!Y67,"--")</f>
        <v>#VALUE!</v>
      </c>
      <c r="AW15" s="1549" t="str">
        <f t="shared" si="11"/>
        <v>--</v>
      </c>
      <c r="AX15" s="1549"/>
      <c r="AY15" s="1975" t="e">
        <f>IF(AND('Growth&amp;Margins'!Z67&gt;(AY$45-AY$46),'Growth&amp;Margins'!Z67&lt;(AY$45+AY$46)),'Growth&amp;Margins'!Z67,"--")</f>
        <v>#VALUE!</v>
      </c>
      <c r="AZ15" s="1549" t="str">
        <f t="shared" si="12"/>
        <v>--</v>
      </c>
      <c r="BA15" s="2060"/>
      <c r="BB15" s="1975" t="e">
        <f>IF(AND('Growth&amp;Margins'!AA67&gt;(BB$45-BB$46),'Growth&amp;Margins'!AA67&lt;(BB$45+BB$46)),'Growth&amp;Margins'!AA67,"--")</f>
        <v>#VALUE!</v>
      </c>
      <c r="BC15" s="1549" t="str">
        <f t="shared" si="13"/>
        <v>--</v>
      </c>
      <c r="BD15" s="2060"/>
      <c r="BE15" s="1975" t="e">
        <f>IF(AND('Growth&amp;Margins'!AB67&gt;(BE$45-BE$46),'Growth&amp;Margins'!AB67&lt;(BE$45+BE$46)),'Growth&amp;Margins'!AB67,"--")</f>
        <v>#VALUE!</v>
      </c>
      <c r="BF15" s="1549" t="str">
        <f t="shared" si="14"/>
        <v>--</v>
      </c>
      <c r="BG15" s="43"/>
      <c r="BH15" s="2060"/>
      <c r="BI15" s="2060" t="str">
        <f t="shared" si="15"/>
        <v>--</v>
      </c>
      <c r="BJ15" s="1975" t="e">
        <f>IF(AND('Growth&amp;Margins'!Z15&gt;(BJ$45-BJ$46),'Growth&amp;Margins'!Z15&lt;(BJ$45+BJ$46)),'Growth&amp;Margins'!Z15,"--")</f>
        <v>#VALUE!</v>
      </c>
      <c r="BK15" s="1549" t="str">
        <f t="shared" si="16"/>
        <v>--</v>
      </c>
      <c r="BL15" s="2060"/>
      <c r="BM15" s="1975" t="e">
        <f>IF(AND('Growth&amp;Margins'!AA15&gt;(BM$45-BM$46),'Growth&amp;Margins'!AA15&lt;(BM$45+BM$46)),'Growth&amp;Margins'!AA15,"--")</f>
        <v>#VALUE!</v>
      </c>
      <c r="BN15" s="1549" t="str">
        <f t="shared" si="17"/>
        <v>--</v>
      </c>
      <c r="BO15" s="2060"/>
      <c r="BP15" s="1975" t="e">
        <f>IF(AND('Growth&amp;Margins'!AB15&gt;(BP$45-BP$46),'Growth&amp;Margins'!AB15&lt;(BP$45+BP$46)),'Growth&amp;Margins'!AB15,"--")</f>
        <v>#VALUE!</v>
      </c>
      <c r="BQ15" s="1549" t="str">
        <f t="shared" si="18"/>
        <v>--</v>
      </c>
      <c r="BR15" s="2060"/>
      <c r="BS15" s="1975" t="e">
        <f>IF(AND('Growth&amp;Margins'!AC15&gt;(BS$45-BS$46),'Growth&amp;Margins'!AC15&lt;(BS$45+BS$46)),'Growth&amp;Margins'!AC15,"--")</f>
        <v>#VALUE!</v>
      </c>
      <c r="BT15" s="1549" t="str">
        <f t="shared" si="19"/>
        <v>--</v>
      </c>
      <c r="BU15" s="2060"/>
      <c r="BV15" s="2060"/>
      <c r="BW15" s="2060"/>
      <c r="BX15" s="2060"/>
      <c r="BY15" s="2060"/>
      <c r="BZ15" s="2060"/>
      <c r="CA15" s="2060"/>
      <c r="CB15" s="2060"/>
      <c r="CC15" s="2060"/>
      <c r="CD15" s="2060"/>
      <c r="CE15" s="2060"/>
      <c r="CF15" s="2060"/>
    </row>
    <row r="16" spans="1:84" ht="12.95" customHeight="1">
      <c r="A16" s="1510" t="str">
        <f t="shared" si="0"/>
        <v>n</v>
      </c>
      <c r="B16" s="1510"/>
      <c r="C16" s="173" t="str">
        <f>'DATA GPC'!E$24</f>
        <v>--</v>
      </c>
      <c r="D16" s="467" t="str">
        <f>'WACC and TIC Inputs'!T225</f>
        <v>--</v>
      </c>
      <c r="E16" s="663" t="str">
        <f t="shared" si="1"/>
        <v>--</v>
      </c>
      <c r="F16" s="663" t="str">
        <f t="shared" si="1"/>
        <v>--</v>
      </c>
      <c r="G16" s="663" t="str">
        <f t="shared" ref="G16:P16" si="26">IF($D16=0,"nmf",IFERROR($D16/G72,"--"))</f>
        <v>--</v>
      </c>
      <c r="H16" s="663" t="str">
        <f t="shared" si="26"/>
        <v>--</v>
      </c>
      <c r="I16" s="663" t="str">
        <f t="shared" si="26"/>
        <v>--</v>
      </c>
      <c r="J16" s="663" t="str">
        <f t="shared" si="26"/>
        <v>--</v>
      </c>
      <c r="K16" s="1549" t="str">
        <f t="shared" si="26"/>
        <v>--</v>
      </c>
      <c r="L16" s="1549" t="str">
        <f t="shared" si="26"/>
        <v>--</v>
      </c>
      <c r="M16" s="1549" t="str">
        <f t="shared" si="26"/>
        <v>--</v>
      </c>
      <c r="N16" s="1549" t="str">
        <f t="shared" si="26"/>
        <v>--</v>
      </c>
      <c r="O16" s="1549" t="str">
        <f t="shared" si="26"/>
        <v>--</v>
      </c>
      <c r="P16" s="1549" t="str">
        <f t="shared" si="26"/>
        <v>--</v>
      </c>
      <c r="Q16" s="1506"/>
      <c r="R16" s="1549" t="str">
        <f t="shared" si="3"/>
        <v>--</v>
      </c>
      <c r="S16" s="1549" t="str">
        <f t="shared" si="3"/>
        <v>--</v>
      </c>
      <c r="T16" s="1549" t="str">
        <f t="shared" ref="T16:AC16" si="27">IFERROR(IF($D16/T72&lt;0,"nmf",$D16/T72),"--")</f>
        <v>--</v>
      </c>
      <c r="U16" s="1549" t="str">
        <f t="shared" si="27"/>
        <v>--</v>
      </c>
      <c r="V16" s="1549" t="str">
        <f t="shared" si="27"/>
        <v>--</v>
      </c>
      <c r="W16" s="1549" t="str">
        <f t="shared" si="27"/>
        <v>--</v>
      </c>
      <c r="X16" s="1549" t="str">
        <f t="shared" si="27"/>
        <v>--</v>
      </c>
      <c r="Y16" s="1549" t="str">
        <f t="shared" si="27"/>
        <v>--</v>
      </c>
      <c r="Z16" s="1549" t="str">
        <f t="shared" si="27"/>
        <v>--</v>
      </c>
      <c r="AA16" s="1549" t="str">
        <f t="shared" si="27"/>
        <v>--</v>
      </c>
      <c r="AB16" s="1549" t="str">
        <f t="shared" si="27"/>
        <v>--</v>
      </c>
      <c r="AC16" s="1549" t="str">
        <f t="shared" si="27"/>
        <v>--</v>
      </c>
      <c r="AD16" s="1506"/>
      <c r="AE16" s="1549" t="str">
        <f t="shared" si="5"/>
        <v>--</v>
      </c>
      <c r="AF16" s="1549" t="str">
        <f t="shared" si="5"/>
        <v>--</v>
      </c>
      <c r="AG16" s="1549" t="str">
        <f t="shared" ref="AG16:AP16" si="28">IFERROR(IF($D16/AG72&lt;=0,"nmf",$D16/AG72),"--")</f>
        <v>--</v>
      </c>
      <c r="AH16" s="1549" t="str">
        <f t="shared" si="28"/>
        <v>--</v>
      </c>
      <c r="AI16" s="1549" t="str">
        <f t="shared" si="28"/>
        <v>--</v>
      </c>
      <c r="AJ16" s="1549" t="str">
        <f t="shared" si="28"/>
        <v>--</v>
      </c>
      <c r="AK16" s="1549" t="str">
        <f t="shared" si="28"/>
        <v>--</v>
      </c>
      <c r="AL16" s="1549" t="str">
        <f t="shared" si="28"/>
        <v>--</v>
      </c>
      <c r="AM16" s="1549" t="str">
        <f t="shared" si="28"/>
        <v>--</v>
      </c>
      <c r="AN16" s="1549" t="str">
        <f t="shared" si="28"/>
        <v>--</v>
      </c>
      <c r="AO16" s="1549" t="str">
        <f t="shared" si="28"/>
        <v>--</v>
      </c>
      <c r="AP16" s="1549" t="str">
        <f t="shared" si="28"/>
        <v>--</v>
      </c>
      <c r="AQ16" s="1506"/>
      <c r="AR16" s="1510"/>
      <c r="AS16" s="2060"/>
      <c r="AT16" s="2060"/>
      <c r="AU16" s="2060" t="str">
        <f t="shared" si="10"/>
        <v>--</v>
      </c>
      <c r="AV16" s="1975" t="e">
        <f>IF(AND('Growth&amp;Margins'!Y68&gt;(AV$45-AV$46),'Growth&amp;Margins'!Y68&lt;(AV$45+AV$46)),'Growth&amp;Margins'!Y68,"--")</f>
        <v>#VALUE!</v>
      </c>
      <c r="AW16" s="1549" t="str">
        <f t="shared" si="11"/>
        <v>--</v>
      </c>
      <c r="AX16" s="1549"/>
      <c r="AY16" s="1975" t="e">
        <f>IF(AND('Growth&amp;Margins'!Z68&gt;(AY$45-AY$46),'Growth&amp;Margins'!Z68&lt;(AY$45+AY$46)),'Growth&amp;Margins'!Z68,"--")</f>
        <v>#VALUE!</v>
      </c>
      <c r="AZ16" s="1549" t="str">
        <f t="shared" si="12"/>
        <v>--</v>
      </c>
      <c r="BA16" s="2060"/>
      <c r="BB16" s="1975" t="e">
        <f>IF(AND('Growth&amp;Margins'!AA68&gt;(BB$45-BB$46),'Growth&amp;Margins'!AA68&lt;(BB$45+BB$46)),'Growth&amp;Margins'!AA68,"--")</f>
        <v>#VALUE!</v>
      </c>
      <c r="BC16" s="1549" t="str">
        <f t="shared" si="13"/>
        <v>--</v>
      </c>
      <c r="BD16" s="2060"/>
      <c r="BE16" s="1975" t="e">
        <f>IF(AND('Growth&amp;Margins'!AB68&gt;(BE$45-BE$46),'Growth&amp;Margins'!AB68&lt;(BE$45+BE$46)),'Growth&amp;Margins'!AB68,"--")</f>
        <v>#VALUE!</v>
      </c>
      <c r="BF16" s="1549" t="str">
        <f t="shared" si="14"/>
        <v>--</v>
      </c>
      <c r="BG16" s="43"/>
      <c r="BH16" s="2060"/>
      <c r="BI16" s="2060" t="str">
        <f t="shared" si="15"/>
        <v>--</v>
      </c>
      <c r="BJ16" s="1975" t="e">
        <f>IF(AND('Growth&amp;Margins'!Z16&gt;(BJ$45-BJ$46),'Growth&amp;Margins'!Z16&lt;(BJ$45+BJ$46)),'Growth&amp;Margins'!Z16,"--")</f>
        <v>#VALUE!</v>
      </c>
      <c r="BK16" s="1549" t="str">
        <f t="shared" si="16"/>
        <v>--</v>
      </c>
      <c r="BL16" s="2060"/>
      <c r="BM16" s="1975" t="e">
        <f>IF(AND('Growth&amp;Margins'!AA16&gt;(BM$45-BM$46),'Growth&amp;Margins'!AA16&lt;(BM$45+BM$46)),'Growth&amp;Margins'!AA16,"--")</f>
        <v>#VALUE!</v>
      </c>
      <c r="BN16" s="1549" t="str">
        <f t="shared" si="17"/>
        <v>--</v>
      </c>
      <c r="BO16" s="2060"/>
      <c r="BP16" s="1975" t="e">
        <f>IF(AND('Growth&amp;Margins'!AB16&gt;(BP$45-BP$46),'Growth&amp;Margins'!AB16&lt;(BP$45+BP$46)),'Growth&amp;Margins'!AB16,"--")</f>
        <v>#VALUE!</v>
      </c>
      <c r="BQ16" s="1549" t="str">
        <f t="shared" si="18"/>
        <v>--</v>
      </c>
      <c r="BR16" s="2060"/>
      <c r="BS16" s="1975" t="e">
        <f>IF(AND('Growth&amp;Margins'!AC16&gt;(BS$45-BS$46),'Growth&amp;Margins'!AC16&lt;(BS$45+BS$46)),'Growth&amp;Margins'!AC16,"--")</f>
        <v>#VALUE!</v>
      </c>
      <c r="BT16" s="1549" t="str">
        <f t="shared" si="19"/>
        <v>--</v>
      </c>
      <c r="BU16" s="2060"/>
      <c r="BV16" s="2060"/>
      <c r="BW16" s="2060"/>
      <c r="BX16" s="2060"/>
      <c r="BY16" s="2060"/>
      <c r="BZ16" s="2060"/>
      <c r="CA16" s="2060"/>
      <c r="CB16" s="2060"/>
      <c r="CC16" s="2060"/>
      <c r="CD16" s="2060"/>
      <c r="CE16" s="2060"/>
      <c r="CF16" s="2060"/>
    </row>
    <row r="17" spans="1:84" ht="12.95" customHeight="1">
      <c r="A17" s="1510" t="str">
        <f t="shared" si="0"/>
        <v>n</v>
      </c>
      <c r="B17" s="1510"/>
      <c r="C17" s="173" t="str">
        <f>'DATA GPC'!E$25</f>
        <v>--</v>
      </c>
      <c r="D17" s="467" t="str">
        <f>'WACC and TIC Inputs'!T226</f>
        <v>--</v>
      </c>
      <c r="E17" s="663" t="str">
        <f t="shared" si="1"/>
        <v>--</v>
      </c>
      <c r="F17" s="663" t="str">
        <f t="shared" si="1"/>
        <v>--</v>
      </c>
      <c r="G17" s="663" t="str">
        <f t="shared" ref="G17:P17" si="29">IF($D17=0,"nmf",IFERROR($D17/G73,"--"))</f>
        <v>--</v>
      </c>
      <c r="H17" s="663" t="str">
        <f t="shared" si="29"/>
        <v>--</v>
      </c>
      <c r="I17" s="663" t="str">
        <f t="shared" si="29"/>
        <v>--</v>
      </c>
      <c r="J17" s="663" t="str">
        <f t="shared" si="29"/>
        <v>--</v>
      </c>
      <c r="K17" s="1549" t="str">
        <f t="shared" si="29"/>
        <v>--</v>
      </c>
      <c r="L17" s="1549" t="str">
        <f t="shared" si="29"/>
        <v>--</v>
      </c>
      <c r="M17" s="1549" t="str">
        <f t="shared" si="29"/>
        <v>--</v>
      </c>
      <c r="N17" s="1549" t="str">
        <f t="shared" si="29"/>
        <v>--</v>
      </c>
      <c r="O17" s="1549" t="str">
        <f t="shared" si="29"/>
        <v>--</v>
      </c>
      <c r="P17" s="1549" t="str">
        <f t="shared" si="29"/>
        <v>--</v>
      </c>
      <c r="Q17" s="1506"/>
      <c r="R17" s="1549" t="str">
        <f t="shared" si="3"/>
        <v>--</v>
      </c>
      <c r="S17" s="1549" t="str">
        <f t="shared" si="3"/>
        <v>--</v>
      </c>
      <c r="T17" s="1549" t="str">
        <f t="shared" ref="T17:AC17" si="30">IFERROR(IF($D17/T73&lt;0,"nmf",$D17/T73),"--")</f>
        <v>--</v>
      </c>
      <c r="U17" s="1549" t="str">
        <f t="shared" si="30"/>
        <v>--</v>
      </c>
      <c r="V17" s="1549" t="str">
        <f t="shared" si="30"/>
        <v>--</v>
      </c>
      <c r="W17" s="1549" t="str">
        <f t="shared" si="30"/>
        <v>--</v>
      </c>
      <c r="X17" s="1549" t="str">
        <f t="shared" si="30"/>
        <v>--</v>
      </c>
      <c r="Y17" s="1549" t="str">
        <f t="shared" si="30"/>
        <v>--</v>
      </c>
      <c r="Z17" s="1549" t="str">
        <f t="shared" si="30"/>
        <v>--</v>
      </c>
      <c r="AA17" s="1549" t="str">
        <f t="shared" si="30"/>
        <v>--</v>
      </c>
      <c r="AB17" s="1549" t="str">
        <f t="shared" si="30"/>
        <v>--</v>
      </c>
      <c r="AC17" s="1549" t="str">
        <f t="shared" si="30"/>
        <v>--</v>
      </c>
      <c r="AD17" s="1506"/>
      <c r="AE17" s="1549" t="str">
        <f t="shared" si="5"/>
        <v>--</v>
      </c>
      <c r="AF17" s="1549" t="str">
        <f t="shared" si="5"/>
        <v>--</v>
      </c>
      <c r="AG17" s="1549" t="str">
        <f t="shared" ref="AG17:AP17" si="31">IFERROR(IF($D17/AG73&lt;=0,"nmf",$D17/AG73),"--")</f>
        <v>--</v>
      </c>
      <c r="AH17" s="1549" t="str">
        <f t="shared" si="31"/>
        <v>--</v>
      </c>
      <c r="AI17" s="1549" t="str">
        <f t="shared" si="31"/>
        <v>--</v>
      </c>
      <c r="AJ17" s="1549" t="str">
        <f t="shared" si="31"/>
        <v>--</v>
      </c>
      <c r="AK17" s="1549" t="str">
        <f t="shared" si="31"/>
        <v>--</v>
      </c>
      <c r="AL17" s="1549" t="str">
        <f t="shared" si="31"/>
        <v>--</v>
      </c>
      <c r="AM17" s="1549" t="str">
        <f t="shared" si="31"/>
        <v>--</v>
      </c>
      <c r="AN17" s="1549" t="str">
        <f t="shared" si="31"/>
        <v>--</v>
      </c>
      <c r="AO17" s="1549" t="str">
        <f t="shared" si="31"/>
        <v>--</v>
      </c>
      <c r="AP17" s="1549" t="str">
        <f t="shared" si="31"/>
        <v>--</v>
      </c>
      <c r="AQ17" s="1506"/>
      <c r="AR17" s="1510"/>
      <c r="AS17" s="2060"/>
      <c r="AT17" s="2060"/>
      <c r="AU17" s="2060" t="str">
        <f t="shared" si="10"/>
        <v>--</v>
      </c>
      <c r="AV17" s="1975" t="e">
        <f>IF(AND('Growth&amp;Margins'!Y69&gt;(AV$45-AV$46),'Growth&amp;Margins'!Y69&lt;(AV$45+AV$46)),'Growth&amp;Margins'!Y69,"--")</f>
        <v>#VALUE!</v>
      </c>
      <c r="AW17" s="1549" t="str">
        <f t="shared" si="11"/>
        <v>--</v>
      </c>
      <c r="AX17" s="1549"/>
      <c r="AY17" s="1975" t="e">
        <f>IF(AND('Growth&amp;Margins'!Z69&gt;(AY$45-AY$46),'Growth&amp;Margins'!Z69&lt;(AY$45+AY$46)),'Growth&amp;Margins'!Z69,"--")</f>
        <v>#VALUE!</v>
      </c>
      <c r="AZ17" s="1549" t="str">
        <f t="shared" si="12"/>
        <v>--</v>
      </c>
      <c r="BA17" s="2060"/>
      <c r="BB17" s="1975" t="e">
        <f>IF(AND('Growth&amp;Margins'!AA69&gt;(BB$45-BB$46),'Growth&amp;Margins'!AA69&lt;(BB$45+BB$46)),'Growth&amp;Margins'!AA69,"--")</f>
        <v>#VALUE!</v>
      </c>
      <c r="BC17" s="1549" t="str">
        <f t="shared" si="13"/>
        <v>--</v>
      </c>
      <c r="BD17" s="2060"/>
      <c r="BE17" s="1975" t="e">
        <f>IF(AND('Growth&amp;Margins'!AB69&gt;(BE$45-BE$46),'Growth&amp;Margins'!AB69&lt;(BE$45+BE$46)),'Growth&amp;Margins'!AB69,"--")</f>
        <v>#VALUE!</v>
      </c>
      <c r="BF17" s="1549" t="str">
        <f t="shared" si="14"/>
        <v>--</v>
      </c>
      <c r="BG17" s="43"/>
      <c r="BH17" s="2060"/>
      <c r="BI17" s="2060" t="str">
        <f t="shared" si="15"/>
        <v>--</v>
      </c>
      <c r="BJ17" s="1975" t="e">
        <f>IF(AND('Growth&amp;Margins'!Z17&gt;(BJ$45-BJ$46),'Growth&amp;Margins'!Z17&lt;(BJ$45+BJ$46)),'Growth&amp;Margins'!Z17,"--")</f>
        <v>#VALUE!</v>
      </c>
      <c r="BK17" s="1549" t="str">
        <f t="shared" si="16"/>
        <v>--</v>
      </c>
      <c r="BL17" s="2060"/>
      <c r="BM17" s="1975" t="e">
        <f>IF(AND('Growth&amp;Margins'!AA17&gt;(BM$45-BM$46),'Growth&amp;Margins'!AA17&lt;(BM$45+BM$46)),'Growth&amp;Margins'!AA17,"--")</f>
        <v>#VALUE!</v>
      </c>
      <c r="BN17" s="1549" t="str">
        <f t="shared" si="17"/>
        <v>--</v>
      </c>
      <c r="BO17" s="2060"/>
      <c r="BP17" s="1975" t="e">
        <f>IF(AND('Growth&amp;Margins'!AB17&gt;(BP$45-BP$46),'Growth&amp;Margins'!AB17&lt;(BP$45+BP$46)),'Growth&amp;Margins'!AB17,"--")</f>
        <v>#VALUE!</v>
      </c>
      <c r="BQ17" s="1549" t="str">
        <f t="shared" si="18"/>
        <v>--</v>
      </c>
      <c r="BR17" s="2060"/>
      <c r="BS17" s="1975" t="e">
        <f>IF(AND('Growth&amp;Margins'!AC17&gt;(BS$45-BS$46),'Growth&amp;Margins'!AC17&lt;(BS$45+BS$46)),'Growth&amp;Margins'!AC17,"--")</f>
        <v>#VALUE!</v>
      </c>
      <c r="BT17" s="1549" t="str">
        <f t="shared" si="19"/>
        <v>--</v>
      </c>
      <c r="BU17" s="2060"/>
      <c r="BV17" s="2060"/>
      <c r="BW17" s="2060"/>
      <c r="BX17" s="2060"/>
      <c r="BY17" s="2060"/>
      <c r="BZ17" s="2060"/>
      <c r="CA17" s="2060"/>
      <c r="CB17" s="2060"/>
      <c r="CC17" s="2060"/>
      <c r="CD17" s="2060"/>
      <c r="CE17" s="2060"/>
      <c r="CF17" s="2060"/>
    </row>
    <row r="18" spans="1:84" ht="12.95" customHeight="1">
      <c r="A18" s="1510" t="str">
        <f t="shared" si="0"/>
        <v>n</v>
      </c>
      <c r="B18" s="1510"/>
      <c r="C18" s="173" t="str">
        <f>'DATA GPC'!E$26</f>
        <v>--</v>
      </c>
      <c r="D18" s="467" t="str">
        <f>'WACC and TIC Inputs'!T227</f>
        <v>--</v>
      </c>
      <c r="E18" s="663" t="str">
        <f t="shared" si="1"/>
        <v>--</v>
      </c>
      <c r="F18" s="663" t="str">
        <f t="shared" si="1"/>
        <v>--</v>
      </c>
      <c r="G18" s="663" t="str">
        <f t="shared" ref="G18:P18" si="32">IF($D18=0,"nmf",IFERROR($D18/G74,"--"))</f>
        <v>--</v>
      </c>
      <c r="H18" s="663" t="str">
        <f t="shared" si="32"/>
        <v>--</v>
      </c>
      <c r="I18" s="663" t="str">
        <f t="shared" si="32"/>
        <v>--</v>
      </c>
      <c r="J18" s="663" t="str">
        <f t="shared" si="32"/>
        <v>--</v>
      </c>
      <c r="K18" s="1549" t="str">
        <f t="shared" si="32"/>
        <v>--</v>
      </c>
      <c r="L18" s="1549" t="str">
        <f t="shared" si="32"/>
        <v>--</v>
      </c>
      <c r="M18" s="1549" t="str">
        <f t="shared" si="32"/>
        <v>--</v>
      </c>
      <c r="N18" s="1549" t="str">
        <f t="shared" si="32"/>
        <v>--</v>
      </c>
      <c r="O18" s="1549" t="str">
        <f t="shared" si="32"/>
        <v>--</v>
      </c>
      <c r="P18" s="1549" t="str">
        <f t="shared" si="32"/>
        <v>--</v>
      </c>
      <c r="Q18" s="1506"/>
      <c r="R18" s="1549" t="str">
        <f t="shared" si="3"/>
        <v>--</v>
      </c>
      <c r="S18" s="1549" t="str">
        <f t="shared" si="3"/>
        <v>--</v>
      </c>
      <c r="T18" s="1549" t="str">
        <f t="shared" ref="T18:AC18" si="33">IFERROR(IF($D18/T74&lt;0,"nmf",$D18/T74),"--")</f>
        <v>--</v>
      </c>
      <c r="U18" s="1549" t="str">
        <f t="shared" si="33"/>
        <v>--</v>
      </c>
      <c r="V18" s="1549" t="str">
        <f t="shared" si="33"/>
        <v>--</v>
      </c>
      <c r="W18" s="1549" t="str">
        <f t="shared" si="33"/>
        <v>--</v>
      </c>
      <c r="X18" s="1549" t="str">
        <f t="shared" si="33"/>
        <v>--</v>
      </c>
      <c r="Y18" s="1549" t="str">
        <f t="shared" si="33"/>
        <v>--</v>
      </c>
      <c r="Z18" s="1549" t="str">
        <f t="shared" si="33"/>
        <v>--</v>
      </c>
      <c r="AA18" s="1549" t="str">
        <f t="shared" si="33"/>
        <v>--</v>
      </c>
      <c r="AB18" s="1549" t="str">
        <f t="shared" si="33"/>
        <v>--</v>
      </c>
      <c r="AC18" s="1549" t="str">
        <f t="shared" si="33"/>
        <v>--</v>
      </c>
      <c r="AD18" s="1506"/>
      <c r="AE18" s="1549" t="str">
        <f t="shared" si="5"/>
        <v>--</v>
      </c>
      <c r="AF18" s="1549" t="str">
        <f t="shared" si="5"/>
        <v>--</v>
      </c>
      <c r="AG18" s="1549" t="str">
        <f t="shared" ref="AG18:AP18" si="34">IFERROR(IF($D18/AG74&lt;=0,"nmf",$D18/AG74),"--")</f>
        <v>--</v>
      </c>
      <c r="AH18" s="1549" t="str">
        <f t="shared" si="34"/>
        <v>--</v>
      </c>
      <c r="AI18" s="1549" t="str">
        <f t="shared" si="34"/>
        <v>--</v>
      </c>
      <c r="AJ18" s="1549" t="str">
        <f t="shared" si="34"/>
        <v>--</v>
      </c>
      <c r="AK18" s="1549" t="str">
        <f t="shared" si="34"/>
        <v>--</v>
      </c>
      <c r="AL18" s="1549" t="str">
        <f t="shared" si="34"/>
        <v>--</v>
      </c>
      <c r="AM18" s="1549" t="str">
        <f t="shared" si="34"/>
        <v>--</v>
      </c>
      <c r="AN18" s="1549" t="str">
        <f t="shared" si="34"/>
        <v>--</v>
      </c>
      <c r="AO18" s="1549" t="str">
        <f t="shared" si="34"/>
        <v>--</v>
      </c>
      <c r="AP18" s="1549" t="str">
        <f t="shared" si="34"/>
        <v>--</v>
      </c>
      <c r="AQ18" s="1506"/>
      <c r="AR18" s="1510"/>
      <c r="AS18" s="2060"/>
      <c r="AT18" s="2060"/>
      <c r="AU18" s="2060" t="str">
        <f t="shared" si="10"/>
        <v>--</v>
      </c>
      <c r="AV18" s="1975" t="e">
        <f>IF(AND('Growth&amp;Margins'!Y70&gt;(AV$45-AV$46),'Growth&amp;Margins'!Y70&lt;(AV$45+AV$46)),'Growth&amp;Margins'!Y70,"--")</f>
        <v>#VALUE!</v>
      </c>
      <c r="AW18" s="1549" t="str">
        <f t="shared" si="11"/>
        <v>--</v>
      </c>
      <c r="AX18" s="1549"/>
      <c r="AY18" s="1975" t="e">
        <f>IF(AND('Growth&amp;Margins'!Z70&gt;(AY$45-AY$46),'Growth&amp;Margins'!Z70&lt;(AY$45+AY$46)),'Growth&amp;Margins'!Z70,"--")</f>
        <v>#VALUE!</v>
      </c>
      <c r="AZ18" s="1549" t="str">
        <f t="shared" si="12"/>
        <v>--</v>
      </c>
      <c r="BA18" s="2060"/>
      <c r="BB18" s="1975" t="e">
        <f>IF(AND('Growth&amp;Margins'!AA70&gt;(BB$45-BB$46),'Growth&amp;Margins'!AA70&lt;(BB$45+BB$46)),'Growth&amp;Margins'!AA70,"--")</f>
        <v>#VALUE!</v>
      </c>
      <c r="BC18" s="1549" t="str">
        <f t="shared" si="13"/>
        <v>--</v>
      </c>
      <c r="BD18" s="2060"/>
      <c r="BE18" s="1975" t="e">
        <f>IF(AND('Growth&amp;Margins'!AB70&gt;(BE$45-BE$46),'Growth&amp;Margins'!AB70&lt;(BE$45+BE$46)),'Growth&amp;Margins'!AB70,"--")</f>
        <v>#VALUE!</v>
      </c>
      <c r="BF18" s="1549" t="str">
        <f t="shared" si="14"/>
        <v>--</v>
      </c>
      <c r="BG18" s="43"/>
      <c r="BH18" s="2060"/>
      <c r="BI18" s="2060" t="str">
        <f t="shared" si="15"/>
        <v>--</v>
      </c>
      <c r="BJ18" s="1975" t="e">
        <f>IF(AND('Growth&amp;Margins'!Z18&gt;(BJ$45-BJ$46),'Growth&amp;Margins'!Z18&lt;(BJ$45+BJ$46)),'Growth&amp;Margins'!Z18,"--")</f>
        <v>#VALUE!</v>
      </c>
      <c r="BK18" s="1549" t="str">
        <f t="shared" si="16"/>
        <v>--</v>
      </c>
      <c r="BL18" s="2060"/>
      <c r="BM18" s="1975" t="e">
        <f>IF(AND('Growth&amp;Margins'!AA18&gt;(BM$45-BM$46),'Growth&amp;Margins'!AA18&lt;(BM$45+BM$46)),'Growth&amp;Margins'!AA18,"--")</f>
        <v>#VALUE!</v>
      </c>
      <c r="BN18" s="1549" t="str">
        <f t="shared" si="17"/>
        <v>--</v>
      </c>
      <c r="BO18" s="2060"/>
      <c r="BP18" s="1975" t="e">
        <f>IF(AND('Growth&amp;Margins'!AB18&gt;(BP$45-BP$46),'Growth&amp;Margins'!AB18&lt;(BP$45+BP$46)),'Growth&amp;Margins'!AB18,"--")</f>
        <v>#VALUE!</v>
      </c>
      <c r="BQ18" s="1549" t="str">
        <f t="shared" si="18"/>
        <v>--</v>
      </c>
      <c r="BR18" s="2060"/>
      <c r="BS18" s="1975" t="e">
        <f>IF(AND('Growth&amp;Margins'!AC18&gt;(BS$45-BS$46),'Growth&amp;Margins'!AC18&lt;(BS$45+BS$46)),'Growth&amp;Margins'!AC18,"--")</f>
        <v>#VALUE!</v>
      </c>
      <c r="BT18" s="1549" t="str">
        <f t="shared" si="19"/>
        <v>--</v>
      </c>
      <c r="BU18" s="2060"/>
      <c r="BV18" s="2060"/>
      <c r="BW18" s="2060"/>
      <c r="BX18" s="2060"/>
      <c r="BY18" s="2060"/>
      <c r="BZ18" s="2060"/>
      <c r="CA18" s="2060"/>
      <c r="CB18" s="2060"/>
      <c r="CC18" s="2060"/>
      <c r="CD18" s="2060"/>
      <c r="CE18" s="2060"/>
      <c r="CF18" s="2060"/>
    </row>
    <row r="19" spans="1:84" ht="12.95" customHeight="1">
      <c r="A19" s="1510" t="str">
        <f t="shared" si="0"/>
        <v>n</v>
      </c>
      <c r="B19" s="1510"/>
      <c r="C19" s="173" t="str">
        <f>'DATA GPC'!E$27</f>
        <v>--</v>
      </c>
      <c r="D19" s="467" t="str">
        <f>'WACC and TIC Inputs'!T228</f>
        <v>--</v>
      </c>
      <c r="E19" s="663" t="str">
        <f t="shared" si="1"/>
        <v>--</v>
      </c>
      <c r="F19" s="663" t="str">
        <f t="shared" si="1"/>
        <v>--</v>
      </c>
      <c r="G19" s="663" t="str">
        <f t="shared" ref="G19:P19" si="35">IF($D19=0,"nmf",IFERROR($D19/G75,"--"))</f>
        <v>--</v>
      </c>
      <c r="H19" s="663" t="str">
        <f t="shared" si="35"/>
        <v>--</v>
      </c>
      <c r="I19" s="663" t="str">
        <f t="shared" si="35"/>
        <v>--</v>
      </c>
      <c r="J19" s="663" t="str">
        <f t="shared" si="35"/>
        <v>--</v>
      </c>
      <c r="K19" s="1549" t="str">
        <f t="shared" si="35"/>
        <v>--</v>
      </c>
      <c r="L19" s="1549" t="str">
        <f t="shared" si="35"/>
        <v>--</v>
      </c>
      <c r="M19" s="1549" t="str">
        <f t="shared" si="35"/>
        <v>--</v>
      </c>
      <c r="N19" s="1549" t="str">
        <f t="shared" si="35"/>
        <v>--</v>
      </c>
      <c r="O19" s="1549" t="str">
        <f t="shared" si="35"/>
        <v>--</v>
      </c>
      <c r="P19" s="1549" t="str">
        <f t="shared" si="35"/>
        <v>--</v>
      </c>
      <c r="Q19" s="1506"/>
      <c r="R19" s="1549" t="str">
        <f t="shared" si="3"/>
        <v>--</v>
      </c>
      <c r="S19" s="1549" t="str">
        <f t="shared" si="3"/>
        <v>--</v>
      </c>
      <c r="T19" s="1549" t="str">
        <f t="shared" ref="T19:AC19" si="36">IFERROR(IF($D19/T75&lt;0,"nmf",$D19/T75),"--")</f>
        <v>--</v>
      </c>
      <c r="U19" s="1549" t="str">
        <f t="shared" si="36"/>
        <v>--</v>
      </c>
      <c r="V19" s="1549" t="str">
        <f t="shared" si="36"/>
        <v>--</v>
      </c>
      <c r="W19" s="1549" t="str">
        <f t="shared" si="36"/>
        <v>--</v>
      </c>
      <c r="X19" s="1549" t="str">
        <f t="shared" si="36"/>
        <v>--</v>
      </c>
      <c r="Y19" s="1549" t="str">
        <f t="shared" si="36"/>
        <v>--</v>
      </c>
      <c r="Z19" s="1549" t="str">
        <f t="shared" si="36"/>
        <v>--</v>
      </c>
      <c r="AA19" s="1549" t="str">
        <f t="shared" si="36"/>
        <v>--</v>
      </c>
      <c r="AB19" s="1549" t="str">
        <f t="shared" si="36"/>
        <v>--</v>
      </c>
      <c r="AC19" s="1549" t="str">
        <f t="shared" si="36"/>
        <v>--</v>
      </c>
      <c r="AD19" s="1506"/>
      <c r="AE19" s="1549" t="str">
        <f t="shared" si="5"/>
        <v>--</v>
      </c>
      <c r="AF19" s="1549" t="str">
        <f t="shared" si="5"/>
        <v>--</v>
      </c>
      <c r="AG19" s="1549" t="str">
        <f t="shared" ref="AG19:AP19" si="37">IFERROR(IF($D19/AG75&lt;=0,"nmf",$D19/AG75),"--")</f>
        <v>--</v>
      </c>
      <c r="AH19" s="1549" t="str">
        <f t="shared" si="37"/>
        <v>--</v>
      </c>
      <c r="AI19" s="1549" t="str">
        <f t="shared" si="37"/>
        <v>--</v>
      </c>
      <c r="AJ19" s="1549" t="str">
        <f t="shared" si="37"/>
        <v>--</v>
      </c>
      <c r="AK19" s="1549" t="str">
        <f t="shared" si="37"/>
        <v>--</v>
      </c>
      <c r="AL19" s="1549" t="str">
        <f t="shared" si="37"/>
        <v>--</v>
      </c>
      <c r="AM19" s="1549" t="str">
        <f t="shared" si="37"/>
        <v>--</v>
      </c>
      <c r="AN19" s="1549" t="str">
        <f t="shared" si="37"/>
        <v>--</v>
      </c>
      <c r="AO19" s="1549" t="str">
        <f t="shared" si="37"/>
        <v>--</v>
      </c>
      <c r="AP19" s="1549" t="str">
        <f t="shared" si="37"/>
        <v>--</v>
      </c>
      <c r="AQ19" s="1506"/>
      <c r="AR19" s="1510"/>
      <c r="AS19" s="2060"/>
      <c r="AT19" s="2060"/>
      <c r="AU19" s="2060" t="str">
        <f t="shared" si="10"/>
        <v>--</v>
      </c>
      <c r="AV19" s="1975" t="e">
        <f>IF(AND('Growth&amp;Margins'!Y71&gt;(AV$45-AV$46),'Growth&amp;Margins'!Y71&lt;(AV$45+AV$46)),'Growth&amp;Margins'!Y71,"--")</f>
        <v>#VALUE!</v>
      </c>
      <c r="AW19" s="1549" t="str">
        <f t="shared" si="11"/>
        <v>--</v>
      </c>
      <c r="AX19" s="1549"/>
      <c r="AY19" s="1975" t="e">
        <f>IF(AND('Growth&amp;Margins'!Z71&gt;(AY$45-AY$46),'Growth&amp;Margins'!Z71&lt;(AY$45+AY$46)),'Growth&amp;Margins'!Z71,"--")</f>
        <v>#VALUE!</v>
      </c>
      <c r="AZ19" s="1549" t="str">
        <f t="shared" si="12"/>
        <v>--</v>
      </c>
      <c r="BA19" s="2060"/>
      <c r="BB19" s="1975" t="e">
        <f>IF(AND('Growth&amp;Margins'!AA71&gt;(BB$45-BB$46),'Growth&amp;Margins'!AA71&lt;(BB$45+BB$46)),'Growth&amp;Margins'!AA71,"--")</f>
        <v>#VALUE!</v>
      </c>
      <c r="BC19" s="1549" t="str">
        <f t="shared" si="13"/>
        <v>--</v>
      </c>
      <c r="BD19" s="2060"/>
      <c r="BE19" s="1975" t="e">
        <f>IF(AND('Growth&amp;Margins'!AB71&gt;(BE$45-BE$46),'Growth&amp;Margins'!AB71&lt;(BE$45+BE$46)),'Growth&amp;Margins'!AB71,"--")</f>
        <v>#VALUE!</v>
      </c>
      <c r="BF19" s="1549" t="str">
        <f t="shared" si="14"/>
        <v>--</v>
      </c>
      <c r="BG19" s="43"/>
      <c r="BH19" s="2060"/>
      <c r="BI19" s="2060" t="str">
        <f t="shared" si="15"/>
        <v>--</v>
      </c>
      <c r="BJ19" s="1975" t="e">
        <f>IF(AND('Growth&amp;Margins'!Z19&gt;(BJ$45-BJ$46),'Growth&amp;Margins'!Z19&lt;(BJ$45+BJ$46)),'Growth&amp;Margins'!Z19,"--")</f>
        <v>#VALUE!</v>
      </c>
      <c r="BK19" s="1549" t="str">
        <f t="shared" si="16"/>
        <v>--</v>
      </c>
      <c r="BL19" s="2060"/>
      <c r="BM19" s="1975" t="e">
        <f>IF(AND('Growth&amp;Margins'!AA19&gt;(BM$45-BM$46),'Growth&amp;Margins'!AA19&lt;(BM$45+BM$46)),'Growth&amp;Margins'!AA19,"--")</f>
        <v>#VALUE!</v>
      </c>
      <c r="BN19" s="1549" t="str">
        <f t="shared" si="17"/>
        <v>--</v>
      </c>
      <c r="BO19" s="2060"/>
      <c r="BP19" s="1975" t="e">
        <f>IF(AND('Growth&amp;Margins'!AB19&gt;(BP$45-BP$46),'Growth&amp;Margins'!AB19&lt;(BP$45+BP$46)),'Growth&amp;Margins'!AB19,"--")</f>
        <v>#VALUE!</v>
      </c>
      <c r="BQ19" s="1549" t="str">
        <f t="shared" si="18"/>
        <v>--</v>
      </c>
      <c r="BR19" s="2060"/>
      <c r="BS19" s="1975" t="e">
        <f>IF(AND('Growth&amp;Margins'!AC19&gt;(BS$45-BS$46),'Growth&amp;Margins'!AC19&lt;(BS$45+BS$46)),'Growth&amp;Margins'!AC19,"--")</f>
        <v>#VALUE!</v>
      </c>
      <c r="BT19" s="1549" t="str">
        <f t="shared" si="19"/>
        <v>--</v>
      </c>
      <c r="BU19" s="2060"/>
      <c r="BV19" s="2060"/>
      <c r="BW19" s="2060"/>
      <c r="BX19" s="2060"/>
      <c r="BY19" s="2060"/>
      <c r="BZ19" s="2060"/>
      <c r="CA19" s="2060"/>
      <c r="CB19" s="2060"/>
      <c r="CC19" s="2060"/>
      <c r="CD19" s="2060"/>
      <c r="CE19" s="2060"/>
      <c r="CF19" s="2060"/>
    </row>
    <row r="20" spans="1:84" ht="12.95" customHeight="1">
      <c r="A20" s="1510" t="str">
        <f t="shared" si="0"/>
        <v>n</v>
      </c>
      <c r="B20" s="1510"/>
      <c r="C20" s="173" t="str">
        <f>'DATA GPC'!E$28</f>
        <v>--</v>
      </c>
      <c r="D20" s="467" t="str">
        <f>'WACC and TIC Inputs'!T229</f>
        <v>--</v>
      </c>
      <c r="E20" s="663" t="str">
        <f t="shared" si="1"/>
        <v>--</v>
      </c>
      <c r="F20" s="663" t="str">
        <f t="shared" si="1"/>
        <v>--</v>
      </c>
      <c r="G20" s="663" t="str">
        <f t="shared" ref="G20:P20" si="38">IF($D20=0,"nmf",IFERROR($D20/G76,"--"))</f>
        <v>--</v>
      </c>
      <c r="H20" s="663" t="str">
        <f t="shared" si="38"/>
        <v>--</v>
      </c>
      <c r="I20" s="663" t="str">
        <f t="shared" si="38"/>
        <v>--</v>
      </c>
      <c r="J20" s="663" t="str">
        <f t="shared" si="38"/>
        <v>--</v>
      </c>
      <c r="K20" s="1549" t="str">
        <f t="shared" si="38"/>
        <v>--</v>
      </c>
      <c r="L20" s="1549" t="str">
        <f t="shared" si="38"/>
        <v>--</v>
      </c>
      <c r="M20" s="1549" t="str">
        <f t="shared" si="38"/>
        <v>--</v>
      </c>
      <c r="N20" s="1549" t="str">
        <f t="shared" si="38"/>
        <v>--</v>
      </c>
      <c r="O20" s="1549" t="str">
        <f t="shared" si="38"/>
        <v>--</v>
      </c>
      <c r="P20" s="1549" t="str">
        <f t="shared" si="38"/>
        <v>--</v>
      </c>
      <c r="Q20" s="1506"/>
      <c r="R20" s="1549" t="str">
        <f t="shared" si="3"/>
        <v>--</v>
      </c>
      <c r="S20" s="1549" t="str">
        <f t="shared" si="3"/>
        <v>--</v>
      </c>
      <c r="T20" s="1549" t="str">
        <f t="shared" ref="T20:AC20" si="39">IFERROR(IF($D20/T76&lt;0,"nmf",$D20/T76),"--")</f>
        <v>--</v>
      </c>
      <c r="U20" s="1549" t="str">
        <f t="shared" si="39"/>
        <v>--</v>
      </c>
      <c r="V20" s="1549" t="str">
        <f t="shared" si="39"/>
        <v>--</v>
      </c>
      <c r="W20" s="1549" t="str">
        <f t="shared" si="39"/>
        <v>--</v>
      </c>
      <c r="X20" s="1549" t="str">
        <f t="shared" si="39"/>
        <v>--</v>
      </c>
      <c r="Y20" s="1549" t="str">
        <f t="shared" si="39"/>
        <v>--</v>
      </c>
      <c r="Z20" s="1549" t="str">
        <f t="shared" si="39"/>
        <v>--</v>
      </c>
      <c r="AA20" s="1549" t="str">
        <f t="shared" si="39"/>
        <v>--</v>
      </c>
      <c r="AB20" s="1549" t="str">
        <f t="shared" si="39"/>
        <v>--</v>
      </c>
      <c r="AC20" s="1549" t="str">
        <f t="shared" si="39"/>
        <v>--</v>
      </c>
      <c r="AD20" s="1506"/>
      <c r="AE20" s="1549" t="str">
        <f t="shared" si="5"/>
        <v>--</v>
      </c>
      <c r="AF20" s="1549" t="str">
        <f t="shared" si="5"/>
        <v>--</v>
      </c>
      <c r="AG20" s="1549" t="str">
        <f t="shared" ref="AG20:AP20" si="40">IFERROR(IF($D20/AG76&lt;=0,"nmf",$D20/AG76),"--")</f>
        <v>--</v>
      </c>
      <c r="AH20" s="1549" t="str">
        <f t="shared" si="40"/>
        <v>--</v>
      </c>
      <c r="AI20" s="1549" t="str">
        <f t="shared" si="40"/>
        <v>--</v>
      </c>
      <c r="AJ20" s="1549" t="str">
        <f t="shared" si="40"/>
        <v>--</v>
      </c>
      <c r="AK20" s="1549" t="str">
        <f t="shared" si="40"/>
        <v>--</v>
      </c>
      <c r="AL20" s="1549" t="str">
        <f t="shared" si="40"/>
        <v>--</v>
      </c>
      <c r="AM20" s="1549" t="str">
        <f t="shared" si="40"/>
        <v>--</v>
      </c>
      <c r="AN20" s="1549" t="str">
        <f t="shared" si="40"/>
        <v>--</v>
      </c>
      <c r="AO20" s="1549" t="str">
        <f t="shared" si="40"/>
        <v>--</v>
      </c>
      <c r="AP20" s="1549" t="str">
        <f t="shared" si="40"/>
        <v>--</v>
      </c>
      <c r="AQ20" s="1506"/>
      <c r="AR20" s="1510"/>
      <c r="AS20" s="2060"/>
      <c r="AT20" s="2060"/>
      <c r="AU20" s="2060" t="str">
        <f t="shared" si="10"/>
        <v>--</v>
      </c>
      <c r="AV20" s="1975" t="e">
        <f>IF(AND('Growth&amp;Margins'!Y72&gt;(AV$45-AV$46),'Growth&amp;Margins'!Y72&lt;(AV$45+AV$46)),'Growth&amp;Margins'!Y72,"--")</f>
        <v>#VALUE!</v>
      </c>
      <c r="AW20" s="1549" t="str">
        <f t="shared" si="11"/>
        <v>--</v>
      </c>
      <c r="AX20" s="1549"/>
      <c r="AY20" s="1975" t="e">
        <f>IF(AND('Growth&amp;Margins'!Z72&gt;(AY$45-AY$46),'Growth&amp;Margins'!Z72&lt;(AY$45+AY$46)),'Growth&amp;Margins'!Z72,"--")</f>
        <v>#VALUE!</v>
      </c>
      <c r="AZ20" s="1549" t="str">
        <f t="shared" si="12"/>
        <v>--</v>
      </c>
      <c r="BA20" s="2060"/>
      <c r="BB20" s="1975" t="e">
        <f>IF(AND('Growth&amp;Margins'!AA72&gt;(BB$45-BB$46),'Growth&amp;Margins'!AA72&lt;(BB$45+BB$46)),'Growth&amp;Margins'!AA72,"--")</f>
        <v>#VALUE!</v>
      </c>
      <c r="BC20" s="1549" t="str">
        <f t="shared" si="13"/>
        <v>--</v>
      </c>
      <c r="BD20" s="2060"/>
      <c r="BE20" s="1975" t="e">
        <f>IF(AND('Growth&amp;Margins'!AB72&gt;(BE$45-BE$46),'Growth&amp;Margins'!AB72&lt;(BE$45+BE$46)),'Growth&amp;Margins'!AB72,"--")</f>
        <v>#VALUE!</v>
      </c>
      <c r="BF20" s="1549" t="str">
        <f t="shared" si="14"/>
        <v>--</v>
      </c>
      <c r="BG20" s="43"/>
      <c r="BH20" s="2060"/>
      <c r="BI20" s="2060" t="str">
        <f t="shared" si="15"/>
        <v>--</v>
      </c>
      <c r="BJ20" s="1975" t="e">
        <f>IF(AND('Growth&amp;Margins'!Z20&gt;(BJ$45-BJ$46),'Growth&amp;Margins'!Z20&lt;(BJ$45+BJ$46)),'Growth&amp;Margins'!Z20,"--")</f>
        <v>#VALUE!</v>
      </c>
      <c r="BK20" s="1549" t="str">
        <f t="shared" si="16"/>
        <v>--</v>
      </c>
      <c r="BL20" s="2060"/>
      <c r="BM20" s="1975" t="e">
        <f>IF(AND('Growth&amp;Margins'!AA20&gt;(BM$45-BM$46),'Growth&amp;Margins'!AA20&lt;(BM$45+BM$46)),'Growth&amp;Margins'!AA20,"--")</f>
        <v>#VALUE!</v>
      </c>
      <c r="BN20" s="1549" t="str">
        <f t="shared" si="17"/>
        <v>--</v>
      </c>
      <c r="BO20" s="2060"/>
      <c r="BP20" s="1975" t="e">
        <f>IF(AND('Growth&amp;Margins'!AB20&gt;(BP$45-BP$46),'Growth&amp;Margins'!AB20&lt;(BP$45+BP$46)),'Growth&amp;Margins'!AB20,"--")</f>
        <v>#VALUE!</v>
      </c>
      <c r="BQ20" s="1549" t="str">
        <f t="shared" si="18"/>
        <v>--</v>
      </c>
      <c r="BR20" s="2060"/>
      <c r="BS20" s="1975" t="e">
        <f>IF(AND('Growth&amp;Margins'!AC20&gt;(BS$45-BS$46),'Growth&amp;Margins'!AC20&lt;(BS$45+BS$46)),'Growth&amp;Margins'!AC20,"--")</f>
        <v>#VALUE!</v>
      </c>
      <c r="BT20" s="1549" t="str">
        <f t="shared" si="19"/>
        <v>--</v>
      </c>
      <c r="BU20" s="2060"/>
      <c r="BV20" s="2060"/>
      <c r="BW20" s="2060"/>
      <c r="BX20" s="2060"/>
      <c r="BY20" s="2060"/>
      <c r="BZ20" s="2060"/>
      <c r="CA20" s="2060"/>
      <c r="CB20" s="2060"/>
      <c r="CC20" s="2060"/>
      <c r="CD20" s="2060"/>
      <c r="CE20" s="2060"/>
      <c r="CF20" s="2060"/>
    </row>
    <row r="21" spans="1:84" ht="12.95" customHeight="1">
      <c r="A21" s="1510" t="str">
        <f t="shared" si="0"/>
        <v>n</v>
      </c>
      <c r="B21" s="1510"/>
      <c r="C21" s="173" t="str">
        <f>'DATA GPC'!E$29</f>
        <v>--</v>
      </c>
      <c r="D21" s="467" t="str">
        <f>'WACC and TIC Inputs'!T230</f>
        <v>--</v>
      </c>
      <c r="E21" s="663" t="str">
        <f t="shared" si="1"/>
        <v>--</v>
      </c>
      <c r="F21" s="663" t="str">
        <f t="shared" si="1"/>
        <v>--</v>
      </c>
      <c r="G21" s="663" t="str">
        <f t="shared" ref="G21:P21" si="41">IF($D21=0,"nmf",IFERROR($D21/G77,"--"))</f>
        <v>--</v>
      </c>
      <c r="H21" s="663" t="str">
        <f t="shared" si="41"/>
        <v>--</v>
      </c>
      <c r="I21" s="663" t="str">
        <f t="shared" si="41"/>
        <v>--</v>
      </c>
      <c r="J21" s="663" t="str">
        <f t="shared" si="41"/>
        <v>--</v>
      </c>
      <c r="K21" s="1549" t="str">
        <f t="shared" si="41"/>
        <v>--</v>
      </c>
      <c r="L21" s="1549" t="str">
        <f t="shared" si="41"/>
        <v>--</v>
      </c>
      <c r="M21" s="1549" t="str">
        <f t="shared" si="41"/>
        <v>--</v>
      </c>
      <c r="N21" s="1549" t="str">
        <f t="shared" si="41"/>
        <v>--</v>
      </c>
      <c r="O21" s="1549" t="str">
        <f t="shared" si="41"/>
        <v>--</v>
      </c>
      <c r="P21" s="1549" t="str">
        <f t="shared" si="41"/>
        <v>--</v>
      </c>
      <c r="Q21" s="1506"/>
      <c r="R21" s="1549" t="str">
        <f t="shared" si="3"/>
        <v>--</v>
      </c>
      <c r="S21" s="1549" t="str">
        <f t="shared" si="3"/>
        <v>--</v>
      </c>
      <c r="T21" s="1549" t="str">
        <f t="shared" ref="T21:AC21" si="42">IFERROR(IF($D21/T77&lt;0,"nmf",$D21/T77),"--")</f>
        <v>--</v>
      </c>
      <c r="U21" s="1549" t="str">
        <f t="shared" si="42"/>
        <v>--</v>
      </c>
      <c r="V21" s="1549" t="str">
        <f t="shared" si="42"/>
        <v>--</v>
      </c>
      <c r="W21" s="1549" t="str">
        <f t="shared" si="42"/>
        <v>--</v>
      </c>
      <c r="X21" s="1549" t="str">
        <f t="shared" si="42"/>
        <v>--</v>
      </c>
      <c r="Y21" s="1549" t="str">
        <f t="shared" si="42"/>
        <v>--</v>
      </c>
      <c r="Z21" s="1549" t="str">
        <f t="shared" si="42"/>
        <v>--</v>
      </c>
      <c r="AA21" s="1549" t="str">
        <f t="shared" si="42"/>
        <v>--</v>
      </c>
      <c r="AB21" s="1549" t="str">
        <f t="shared" si="42"/>
        <v>--</v>
      </c>
      <c r="AC21" s="1549" t="str">
        <f t="shared" si="42"/>
        <v>--</v>
      </c>
      <c r="AD21" s="1506"/>
      <c r="AE21" s="1549" t="str">
        <f t="shared" si="5"/>
        <v>--</v>
      </c>
      <c r="AF21" s="1549" t="str">
        <f t="shared" si="5"/>
        <v>--</v>
      </c>
      <c r="AG21" s="1549" t="str">
        <f t="shared" ref="AG21:AP21" si="43">IFERROR(IF($D21/AG77&lt;=0,"nmf",$D21/AG77),"--")</f>
        <v>--</v>
      </c>
      <c r="AH21" s="1549" t="str">
        <f t="shared" si="43"/>
        <v>--</v>
      </c>
      <c r="AI21" s="1549" t="str">
        <f t="shared" si="43"/>
        <v>--</v>
      </c>
      <c r="AJ21" s="1549" t="str">
        <f t="shared" si="43"/>
        <v>--</v>
      </c>
      <c r="AK21" s="1549" t="str">
        <f t="shared" si="43"/>
        <v>--</v>
      </c>
      <c r="AL21" s="1549" t="str">
        <f t="shared" si="43"/>
        <v>--</v>
      </c>
      <c r="AM21" s="1549" t="str">
        <f t="shared" si="43"/>
        <v>--</v>
      </c>
      <c r="AN21" s="1549" t="str">
        <f t="shared" si="43"/>
        <v>--</v>
      </c>
      <c r="AO21" s="1549" t="str">
        <f t="shared" si="43"/>
        <v>--</v>
      </c>
      <c r="AP21" s="1549" t="str">
        <f t="shared" si="43"/>
        <v>--</v>
      </c>
      <c r="AQ21" s="1506"/>
      <c r="AR21" s="1510"/>
      <c r="AS21" s="2060"/>
      <c r="AT21" s="2060"/>
      <c r="AU21" s="2060" t="str">
        <f t="shared" si="10"/>
        <v>--</v>
      </c>
      <c r="AV21" s="1975" t="e">
        <f>IF(AND('Growth&amp;Margins'!Y73&gt;(AV$45-AV$46),'Growth&amp;Margins'!Y73&lt;(AV$45+AV$46)),'Growth&amp;Margins'!Y73,"--")</f>
        <v>#VALUE!</v>
      </c>
      <c r="AW21" s="1549" t="str">
        <f t="shared" si="11"/>
        <v>--</v>
      </c>
      <c r="AX21" s="1549"/>
      <c r="AY21" s="1975" t="e">
        <f>IF(AND('Growth&amp;Margins'!Z73&gt;(AY$45-AY$46),'Growth&amp;Margins'!Z73&lt;(AY$45+AY$46)),'Growth&amp;Margins'!Z73,"--")</f>
        <v>#VALUE!</v>
      </c>
      <c r="AZ21" s="1549" t="str">
        <f t="shared" si="12"/>
        <v>--</v>
      </c>
      <c r="BA21" s="2060"/>
      <c r="BB21" s="1975" t="e">
        <f>IF(AND('Growth&amp;Margins'!AA73&gt;(BB$45-BB$46),'Growth&amp;Margins'!AA73&lt;(BB$45+BB$46)),'Growth&amp;Margins'!AA73,"--")</f>
        <v>#VALUE!</v>
      </c>
      <c r="BC21" s="1549" t="str">
        <f t="shared" si="13"/>
        <v>--</v>
      </c>
      <c r="BD21" s="2060"/>
      <c r="BE21" s="1975" t="e">
        <f>IF(AND('Growth&amp;Margins'!AB73&gt;(BE$45-BE$46),'Growth&amp;Margins'!AB73&lt;(BE$45+BE$46)),'Growth&amp;Margins'!AB73,"--")</f>
        <v>#VALUE!</v>
      </c>
      <c r="BF21" s="1549" t="str">
        <f t="shared" si="14"/>
        <v>--</v>
      </c>
      <c r="BG21" s="43"/>
      <c r="BH21" s="2060"/>
      <c r="BI21" s="2060" t="str">
        <f t="shared" si="15"/>
        <v>--</v>
      </c>
      <c r="BJ21" s="1975" t="e">
        <f>IF(AND('Growth&amp;Margins'!Z21&gt;(BJ$45-BJ$46),'Growth&amp;Margins'!Z21&lt;(BJ$45+BJ$46)),'Growth&amp;Margins'!Z21,"--")</f>
        <v>#VALUE!</v>
      </c>
      <c r="BK21" s="1549" t="str">
        <f t="shared" si="16"/>
        <v>--</v>
      </c>
      <c r="BL21" s="2060"/>
      <c r="BM21" s="1975" t="e">
        <f>IF(AND('Growth&amp;Margins'!AA21&gt;(BM$45-BM$46),'Growth&amp;Margins'!AA21&lt;(BM$45+BM$46)),'Growth&amp;Margins'!AA21,"--")</f>
        <v>#VALUE!</v>
      </c>
      <c r="BN21" s="1549" t="str">
        <f t="shared" si="17"/>
        <v>--</v>
      </c>
      <c r="BO21" s="2060"/>
      <c r="BP21" s="1975" t="e">
        <f>IF(AND('Growth&amp;Margins'!AB21&gt;(BP$45-BP$46),'Growth&amp;Margins'!AB21&lt;(BP$45+BP$46)),'Growth&amp;Margins'!AB21,"--")</f>
        <v>#VALUE!</v>
      </c>
      <c r="BQ21" s="1549" t="str">
        <f t="shared" si="18"/>
        <v>--</v>
      </c>
      <c r="BR21" s="2060"/>
      <c r="BS21" s="1975" t="e">
        <f>IF(AND('Growth&amp;Margins'!AC21&gt;(BS$45-BS$46),'Growth&amp;Margins'!AC21&lt;(BS$45+BS$46)),'Growth&amp;Margins'!AC21,"--")</f>
        <v>#VALUE!</v>
      </c>
      <c r="BT21" s="1549" t="str">
        <f t="shared" si="19"/>
        <v>--</v>
      </c>
      <c r="BU21" s="2060"/>
      <c r="BV21" s="2060"/>
      <c r="BW21" s="2060"/>
      <c r="BX21" s="2060"/>
      <c r="BY21" s="2060"/>
      <c r="BZ21" s="2060"/>
      <c r="CA21" s="2060"/>
      <c r="CB21" s="2060"/>
      <c r="CC21" s="2060"/>
      <c r="CD21" s="2060"/>
      <c r="CE21" s="2060"/>
      <c r="CF21" s="2060"/>
    </row>
    <row r="22" spans="1:84" ht="12.95" customHeight="1">
      <c r="A22" s="1510" t="str">
        <f t="shared" si="0"/>
        <v>n</v>
      </c>
      <c r="B22" s="1510"/>
      <c r="C22" s="173" t="str">
        <f>'DATA GPC'!E$30</f>
        <v>--</v>
      </c>
      <c r="D22" s="467" t="str">
        <f>'WACC and TIC Inputs'!T231</f>
        <v>--</v>
      </c>
      <c r="E22" s="663" t="str">
        <f t="shared" si="1"/>
        <v>--</v>
      </c>
      <c r="F22" s="663" t="str">
        <f t="shared" si="1"/>
        <v>--</v>
      </c>
      <c r="G22" s="663" t="str">
        <f t="shared" ref="G22:P22" si="44">IF($D22=0,"nmf",IFERROR($D22/G78,"--"))</f>
        <v>--</v>
      </c>
      <c r="H22" s="663" t="str">
        <f t="shared" si="44"/>
        <v>--</v>
      </c>
      <c r="I22" s="663" t="str">
        <f t="shared" si="44"/>
        <v>--</v>
      </c>
      <c r="J22" s="663" t="str">
        <f t="shared" si="44"/>
        <v>--</v>
      </c>
      <c r="K22" s="1549" t="str">
        <f t="shared" si="44"/>
        <v>--</v>
      </c>
      <c r="L22" s="1549" t="str">
        <f t="shared" si="44"/>
        <v>--</v>
      </c>
      <c r="M22" s="1549" t="str">
        <f t="shared" si="44"/>
        <v>--</v>
      </c>
      <c r="N22" s="1549" t="str">
        <f t="shared" si="44"/>
        <v>--</v>
      </c>
      <c r="O22" s="1549" t="str">
        <f t="shared" si="44"/>
        <v>--</v>
      </c>
      <c r="P22" s="1549" t="str">
        <f t="shared" si="44"/>
        <v>--</v>
      </c>
      <c r="Q22" s="1506"/>
      <c r="R22" s="1549" t="str">
        <f t="shared" si="3"/>
        <v>--</v>
      </c>
      <c r="S22" s="1549" t="str">
        <f t="shared" si="3"/>
        <v>--</v>
      </c>
      <c r="T22" s="1549" t="str">
        <f t="shared" ref="T22:AC22" si="45">IFERROR(IF($D22/T78&lt;0,"nmf",$D22/T78),"--")</f>
        <v>--</v>
      </c>
      <c r="U22" s="1549" t="str">
        <f t="shared" si="45"/>
        <v>--</v>
      </c>
      <c r="V22" s="1549" t="str">
        <f t="shared" si="45"/>
        <v>--</v>
      </c>
      <c r="W22" s="1549" t="str">
        <f t="shared" si="45"/>
        <v>--</v>
      </c>
      <c r="X22" s="1549" t="str">
        <f t="shared" si="45"/>
        <v>--</v>
      </c>
      <c r="Y22" s="1549" t="str">
        <f t="shared" si="45"/>
        <v>--</v>
      </c>
      <c r="Z22" s="1549" t="str">
        <f t="shared" si="45"/>
        <v>--</v>
      </c>
      <c r="AA22" s="1549" t="str">
        <f t="shared" si="45"/>
        <v>--</v>
      </c>
      <c r="AB22" s="1549" t="str">
        <f t="shared" si="45"/>
        <v>--</v>
      </c>
      <c r="AC22" s="1549" t="str">
        <f t="shared" si="45"/>
        <v>--</v>
      </c>
      <c r="AD22" s="1506"/>
      <c r="AE22" s="1549" t="str">
        <f t="shared" si="5"/>
        <v>--</v>
      </c>
      <c r="AF22" s="1549" t="str">
        <f t="shared" si="5"/>
        <v>--</v>
      </c>
      <c r="AG22" s="1549" t="str">
        <f t="shared" ref="AG22:AP22" si="46">IFERROR(IF($D22/AG78&lt;=0,"nmf",$D22/AG78),"--")</f>
        <v>--</v>
      </c>
      <c r="AH22" s="1549" t="str">
        <f t="shared" si="46"/>
        <v>--</v>
      </c>
      <c r="AI22" s="1549" t="str">
        <f t="shared" si="46"/>
        <v>--</v>
      </c>
      <c r="AJ22" s="1549" t="str">
        <f t="shared" si="46"/>
        <v>--</v>
      </c>
      <c r="AK22" s="1549" t="str">
        <f t="shared" si="46"/>
        <v>--</v>
      </c>
      <c r="AL22" s="1549" t="str">
        <f t="shared" si="46"/>
        <v>--</v>
      </c>
      <c r="AM22" s="1549" t="str">
        <f t="shared" si="46"/>
        <v>--</v>
      </c>
      <c r="AN22" s="1549" t="str">
        <f t="shared" si="46"/>
        <v>--</v>
      </c>
      <c r="AO22" s="1549" t="str">
        <f t="shared" si="46"/>
        <v>--</v>
      </c>
      <c r="AP22" s="1549" t="str">
        <f t="shared" si="46"/>
        <v>--</v>
      </c>
      <c r="AQ22" s="1506"/>
      <c r="AR22" s="1510"/>
      <c r="AS22" s="2060"/>
      <c r="AT22" s="2060"/>
      <c r="AU22" s="2060" t="str">
        <f t="shared" si="10"/>
        <v>--</v>
      </c>
      <c r="AV22" s="1975" t="e">
        <f>IF(AND('Growth&amp;Margins'!Y74&gt;(AV$45-AV$46),'Growth&amp;Margins'!Y74&lt;(AV$45+AV$46)),'Growth&amp;Margins'!Y74,"--")</f>
        <v>#VALUE!</v>
      </c>
      <c r="AW22" s="1549" t="str">
        <f t="shared" si="11"/>
        <v>--</v>
      </c>
      <c r="AX22" s="1549"/>
      <c r="AY22" s="1975" t="e">
        <f>IF(AND('Growth&amp;Margins'!Z74&gt;(AY$45-AY$46),'Growth&amp;Margins'!Z74&lt;(AY$45+AY$46)),'Growth&amp;Margins'!Z74,"--")</f>
        <v>#VALUE!</v>
      </c>
      <c r="AZ22" s="1549" t="str">
        <f t="shared" si="12"/>
        <v>--</v>
      </c>
      <c r="BA22" s="2060"/>
      <c r="BB22" s="1975" t="e">
        <f>IF(AND('Growth&amp;Margins'!AA74&gt;(BB$45-BB$46),'Growth&amp;Margins'!AA74&lt;(BB$45+BB$46)),'Growth&amp;Margins'!AA74,"--")</f>
        <v>#VALUE!</v>
      </c>
      <c r="BC22" s="1549" t="str">
        <f t="shared" si="13"/>
        <v>--</v>
      </c>
      <c r="BD22" s="2060"/>
      <c r="BE22" s="1975" t="e">
        <f>IF(AND('Growth&amp;Margins'!AB74&gt;(BE$45-BE$46),'Growth&amp;Margins'!AB74&lt;(BE$45+BE$46)),'Growth&amp;Margins'!AB74,"--")</f>
        <v>#VALUE!</v>
      </c>
      <c r="BF22" s="1549" t="str">
        <f t="shared" si="14"/>
        <v>--</v>
      </c>
      <c r="BG22" s="43"/>
      <c r="BH22" s="2060"/>
      <c r="BI22" s="2060" t="str">
        <f t="shared" si="15"/>
        <v>--</v>
      </c>
      <c r="BJ22" s="1975" t="e">
        <f>IF(AND('Growth&amp;Margins'!Z22&gt;(BJ$45-BJ$46),'Growth&amp;Margins'!Z22&lt;(BJ$45+BJ$46)),'Growth&amp;Margins'!Z22,"--")</f>
        <v>#VALUE!</v>
      </c>
      <c r="BK22" s="1549" t="str">
        <f t="shared" si="16"/>
        <v>--</v>
      </c>
      <c r="BL22" s="2060"/>
      <c r="BM22" s="1975" t="e">
        <f>IF(AND('Growth&amp;Margins'!AA22&gt;(BM$45-BM$46),'Growth&amp;Margins'!AA22&lt;(BM$45+BM$46)),'Growth&amp;Margins'!AA22,"--")</f>
        <v>#VALUE!</v>
      </c>
      <c r="BN22" s="1549" t="str">
        <f t="shared" si="17"/>
        <v>--</v>
      </c>
      <c r="BO22" s="2060"/>
      <c r="BP22" s="1975" t="e">
        <f>IF(AND('Growth&amp;Margins'!AB22&gt;(BP$45-BP$46),'Growth&amp;Margins'!AB22&lt;(BP$45+BP$46)),'Growth&amp;Margins'!AB22,"--")</f>
        <v>#VALUE!</v>
      </c>
      <c r="BQ22" s="1549" t="str">
        <f t="shared" si="18"/>
        <v>--</v>
      </c>
      <c r="BR22" s="2060"/>
      <c r="BS22" s="1975" t="e">
        <f>IF(AND('Growth&amp;Margins'!AC22&gt;(BS$45-BS$46),'Growth&amp;Margins'!AC22&lt;(BS$45+BS$46)),'Growth&amp;Margins'!AC22,"--")</f>
        <v>#VALUE!</v>
      </c>
      <c r="BT22" s="1549" t="str">
        <f t="shared" si="19"/>
        <v>--</v>
      </c>
      <c r="BU22" s="2060"/>
      <c r="BV22" s="2060"/>
      <c r="BW22" s="2060"/>
      <c r="BX22" s="2060"/>
      <c r="BY22" s="2060"/>
      <c r="BZ22" s="2060"/>
      <c r="CA22" s="2060"/>
      <c r="CB22" s="2060"/>
      <c r="CC22" s="2060"/>
      <c r="CD22" s="2060"/>
      <c r="CE22" s="2060"/>
      <c r="CF22" s="2060"/>
    </row>
    <row r="23" spans="1:84" ht="12.95" customHeight="1">
      <c r="A23" s="1510" t="str">
        <f t="shared" si="0"/>
        <v>n</v>
      </c>
      <c r="B23" s="1510"/>
      <c r="C23" s="173" t="str">
        <f>'DATA GPC'!E$31</f>
        <v>--</v>
      </c>
      <c r="D23" s="467" t="str">
        <f>'WACC and TIC Inputs'!T232</f>
        <v>--</v>
      </c>
      <c r="E23" s="663" t="str">
        <f t="shared" si="1"/>
        <v>--</v>
      </c>
      <c r="F23" s="663" t="str">
        <f t="shared" si="1"/>
        <v>--</v>
      </c>
      <c r="G23" s="663" t="str">
        <f t="shared" ref="G23:P23" si="47">IF($D23=0,"nmf",IFERROR($D23/G79,"--"))</f>
        <v>--</v>
      </c>
      <c r="H23" s="663" t="str">
        <f t="shared" si="47"/>
        <v>--</v>
      </c>
      <c r="I23" s="663" t="str">
        <f t="shared" si="47"/>
        <v>--</v>
      </c>
      <c r="J23" s="663" t="str">
        <f t="shared" si="47"/>
        <v>--</v>
      </c>
      <c r="K23" s="1549" t="str">
        <f t="shared" si="47"/>
        <v>--</v>
      </c>
      <c r="L23" s="1549" t="str">
        <f t="shared" si="47"/>
        <v>--</v>
      </c>
      <c r="M23" s="1549" t="str">
        <f t="shared" si="47"/>
        <v>--</v>
      </c>
      <c r="N23" s="1549" t="str">
        <f t="shared" si="47"/>
        <v>--</v>
      </c>
      <c r="O23" s="1549" t="str">
        <f t="shared" si="47"/>
        <v>--</v>
      </c>
      <c r="P23" s="1549" t="str">
        <f t="shared" si="47"/>
        <v>--</v>
      </c>
      <c r="Q23" s="1506"/>
      <c r="R23" s="1549" t="str">
        <f t="shared" si="3"/>
        <v>--</v>
      </c>
      <c r="S23" s="1549" t="str">
        <f t="shared" si="3"/>
        <v>--</v>
      </c>
      <c r="T23" s="1549" t="str">
        <f t="shared" ref="T23:AC23" si="48">IFERROR(IF($D23/T79&lt;0,"nmf",$D23/T79),"--")</f>
        <v>--</v>
      </c>
      <c r="U23" s="1549" t="str">
        <f t="shared" si="48"/>
        <v>--</v>
      </c>
      <c r="V23" s="1549" t="str">
        <f t="shared" si="48"/>
        <v>--</v>
      </c>
      <c r="W23" s="1549" t="str">
        <f t="shared" si="48"/>
        <v>--</v>
      </c>
      <c r="X23" s="1549" t="str">
        <f t="shared" si="48"/>
        <v>--</v>
      </c>
      <c r="Y23" s="1549" t="str">
        <f t="shared" si="48"/>
        <v>--</v>
      </c>
      <c r="Z23" s="1549" t="str">
        <f t="shared" si="48"/>
        <v>--</v>
      </c>
      <c r="AA23" s="1549" t="str">
        <f t="shared" si="48"/>
        <v>--</v>
      </c>
      <c r="AB23" s="1549" t="str">
        <f t="shared" si="48"/>
        <v>--</v>
      </c>
      <c r="AC23" s="1549" t="str">
        <f t="shared" si="48"/>
        <v>--</v>
      </c>
      <c r="AD23" s="1506"/>
      <c r="AE23" s="1549" t="str">
        <f t="shared" si="5"/>
        <v>--</v>
      </c>
      <c r="AF23" s="1549" t="str">
        <f t="shared" si="5"/>
        <v>--</v>
      </c>
      <c r="AG23" s="1549" t="str">
        <f t="shared" ref="AG23:AP23" si="49">IFERROR(IF($D23/AG79&lt;=0,"nmf",$D23/AG79),"--")</f>
        <v>--</v>
      </c>
      <c r="AH23" s="1549" t="str">
        <f t="shared" si="49"/>
        <v>--</v>
      </c>
      <c r="AI23" s="1549" t="str">
        <f t="shared" si="49"/>
        <v>--</v>
      </c>
      <c r="AJ23" s="1549" t="str">
        <f t="shared" si="49"/>
        <v>--</v>
      </c>
      <c r="AK23" s="1549" t="str">
        <f t="shared" si="49"/>
        <v>--</v>
      </c>
      <c r="AL23" s="1549" t="str">
        <f t="shared" si="49"/>
        <v>--</v>
      </c>
      <c r="AM23" s="1549" t="str">
        <f t="shared" si="49"/>
        <v>--</v>
      </c>
      <c r="AN23" s="1549" t="str">
        <f t="shared" si="49"/>
        <v>--</v>
      </c>
      <c r="AO23" s="1549" t="str">
        <f t="shared" si="49"/>
        <v>--</v>
      </c>
      <c r="AP23" s="1549" t="str">
        <f t="shared" si="49"/>
        <v>--</v>
      </c>
      <c r="AQ23" s="1506"/>
      <c r="AR23" s="1510"/>
      <c r="AS23" s="2060"/>
      <c r="AT23" s="2060"/>
      <c r="AU23" s="2060" t="str">
        <f t="shared" si="10"/>
        <v>--</v>
      </c>
      <c r="AV23" s="1975" t="e">
        <f>IF(AND('Growth&amp;Margins'!Y75&gt;(AV$45-AV$46),'Growth&amp;Margins'!Y75&lt;(AV$45+AV$46)),'Growth&amp;Margins'!Y75,"--")</f>
        <v>#VALUE!</v>
      </c>
      <c r="AW23" s="1549" t="str">
        <f t="shared" si="11"/>
        <v>--</v>
      </c>
      <c r="AX23" s="1549"/>
      <c r="AY23" s="1975" t="e">
        <f>IF(AND('Growth&amp;Margins'!Z75&gt;(AY$45-AY$46),'Growth&amp;Margins'!Z75&lt;(AY$45+AY$46)),'Growth&amp;Margins'!Z75,"--")</f>
        <v>#VALUE!</v>
      </c>
      <c r="AZ23" s="1549" t="str">
        <f t="shared" si="12"/>
        <v>--</v>
      </c>
      <c r="BA23" s="2060"/>
      <c r="BB23" s="1975" t="e">
        <f>IF(AND('Growth&amp;Margins'!AA75&gt;(BB$45-BB$46),'Growth&amp;Margins'!AA75&lt;(BB$45+BB$46)),'Growth&amp;Margins'!AA75,"--")</f>
        <v>#VALUE!</v>
      </c>
      <c r="BC23" s="1549" t="str">
        <f t="shared" si="13"/>
        <v>--</v>
      </c>
      <c r="BD23" s="2060"/>
      <c r="BE23" s="1975" t="e">
        <f>IF(AND('Growth&amp;Margins'!AB75&gt;(BE$45-BE$46),'Growth&amp;Margins'!AB75&lt;(BE$45+BE$46)),'Growth&amp;Margins'!AB75,"--")</f>
        <v>#VALUE!</v>
      </c>
      <c r="BF23" s="1549" t="str">
        <f t="shared" si="14"/>
        <v>--</v>
      </c>
      <c r="BG23" s="43"/>
      <c r="BH23" s="2060"/>
      <c r="BI23" s="2060" t="str">
        <f t="shared" si="15"/>
        <v>--</v>
      </c>
      <c r="BJ23" s="1975" t="e">
        <f>IF(AND('Growth&amp;Margins'!Z23&gt;(BJ$45-BJ$46),'Growth&amp;Margins'!Z23&lt;(BJ$45+BJ$46)),'Growth&amp;Margins'!Z23,"--")</f>
        <v>#VALUE!</v>
      </c>
      <c r="BK23" s="1549" t="str">
        <f t="shared" si="16"/>
        <v>--</v>
      </c>
      <c r="BL23" s="2060"/>
      <c r="BM23" s="1975" t="e">
        <f>IF(AND('Growth&amp;Margins'!AA23&gt;(BM$45-BM$46),'Growth&amp;Margins'!AA23&lt;(BM$45+BM$46)),'Growth&amp;Margins'!AA23,"--")</f>
        <v>#VALUE!</v>
      </c>
      <c r="BN23" s="1549" t="str">
        <f t="shared" si="17"/>
        <v>--</v>
      </c>
      <c r="BO23" s="2060"/>
      <c r="BP23" s="1975" t="e">
        <f>IF(AND('Growth&amp;Margins'!AB23&gt;(BP$45-BP$46),'Growth&amp;Margins'!AB23&lt;(BP$45+BP$46)),'Growth&amp;Margins'!AB23,"--")</f>
        <v>#VALUE!</v>
      </c>
      <c r="BQ23" s="1549" t="str">
        <f t="shared" si="18"/>
        <v>--</v>
      </c>
      <c r="BR23" s="2060"/>
      <c r="BS23" s="1975" t="e">
        <f>IF(AND('Growth&amp;Margins'!AC23&gt;(BS$45-BS$46),'Growth&amp;Margins'!AC23&lt;(BS$45+BS$46)),'Growth&amp;Margins'!AC23,"--")</f>
        <v>#VALUE!</v>
      </c>
      <c r="BT23" s="1549" t="str">
        <f t="shared" si="19"/>
        <v>--</v>
      </c>
      <c r="BU23" s="2060"/>
      <c r="BV23" s="2060"/>
      <c r="BW23" s="2060"/>
      <c r="BX23" s="2060"/>
      <c r="BY23" s="2060"/>
      <c r="BZ23" s="2060"/>
      <c r="CA23" s="2060"/>
      <c r="CB23" s="2060"/>
      <c r="CC23" s="2060"/>
      <c r="CD23" s="2060"/>
      <c r="CE23" s="2060"/>
      <c r="CF23" s="2060"/>
    </row>
    <row r="24" spans="1:84" ht="12.95" customHeight="1">
      <c r="A24" s="1510" t="str">
        <f t="shared" si="0"/>
        <v>n</v>
      </c>
      <c r="B24" s="1510"/>
      <c r="C24" s="173" t="str">
        <f>'DATA GPC'!E$32</f>
        <v>--</v>
      </c>
      <c r="D24" s="467" t="str">
        <f>'WACC and TIC Inputs'!T233</f>
        <v>--</v>
      </c>
      <c r="E24" s="663" t="str">
        <f t="shared" si="1"/>
        <v>--</v>
      </c>
      <c r="F24" s="663" t="str">
        <f t="shared" si="1"/>
        <v>--</v>
      </c>
      <c r="G24" s="663" t="str">
        <f t="shared" ref="G24:P24" si="50">IF($D24=0,"nmf",IFERROR($D24/G80,"--"))</f>
        <v>--</v>
      </c>
      <c r="H24" s="663" t="str">
        <f t="shared" si="50"/>
        <v>--</v>
      </c>
      <c r="I24" s="663" t="str">
        <f t="shared" si="50"/>
        <v>--</v>
      </c>
      <c r="J24" s="663" t="str">
        <f t="shared" si="50"/>
        <v>--</v>
      </c>
      <c r="K24" s="1549" t="str">
        <f t="shared" si="50"/>
        <v>--</v>
      </c>
      <c r="L24" s="1549" t="str">
        <f t="shared" si="50"/>
        <v>--</v>
      </c>
      <c r="M24" s="1549" t="str">
        <f t="shared" si="50"/>
        <v>--</v>
      </c>
      <c r="N24" s="1549" t="str">
        <f t="shared" si="50"/>
        <v>--</v>
      </c>
      <c r="O24" s="1549" t="str">
        <f t="shared" si="50"/>
        <v>--</v>
      </c>
      <c r="P24" s="1549" t="str">
        <f t="shared" si="50"/>
        <v>--</v>
      </c>
      <c r="Q24" s="1506"/>
      <c r="R24" s="1549" t="str">
        <f t="shared" si="3"/>
        <v>--</v>
      </c>
      <c r="S24" s="1549" t="str">
        <f t="shared" si="3"/>
        <v>--</v>
      </c>
      <c r="T24" s="1549" t="str">
        <f t="shared" ref="T24:AC24" si="51">IFERROR(IF($D24/T80&lt;0,"nmf",$D24/T80),"--")</f>
        <v>--</v>
      </c>
      <c r="U24" s="1549" t="str">
        <f t="shared" si="51"/>
        <v>--</v>
      </c>
      <c r="V24" s="1549" t="str">
        <f t="shared" si="51"/>
        <v>--</v>
      </c>
      <c r="W24" s="1549" t="str">
        <f t="shared" si="51"/>
        <v>--</v>
      </c>
      <c r="X24" s="1549" t="str">
        <f t="shared" si="51"/>
        <v>--</v>
      </c>
      <c r="Y24" s="1549" t="str">
        <f t="shared" si="51"/>
        <v>--</v>
      </c>
      <c r="Z24" s="1549" t="str">
        <f t="shared" si="51"/>
        <v>--</v>
      </c>
      <c r="AA24" s="1549" t="str">
        <f t="shared" si="51"/>
        <v>--</v>
      </c>
      <c r="AB24" s="1549" t="str">
        <f t="shared" si="51"/>
        <v>--</v>
      </c>
      <c r="AC24" s="1549" t="str">
        <f t="shared" si="51"/>
        <v>--</v>
      </c>
      <c r="AD24" s="1506"/>
      <c r="AE24" s="1549" t="str">
        <f t="shared" si="5"/>
        <v>--</v>
      </c>
      <c r="AF24" s="1549" t="str">
        <f t="shared" si="5"/>
        <v>--</v>
      </c>
      <c r="AG24" s="1549" t="str">
        <f t="shared" ref="AG24:AP24" si="52">IFERROR(IF($D24/AG80&lt;=0,"nmf",$D24/AG80),"--")</f>
        <v>--</v>
      </c>
      <c r="AH24" s="1549" t="str">
        <f t="shared" si="52"/>
        <v>--</v>
      </c>
      <c r="AI24" s="1549" t="str">
        <f t="shared" si="52"/>
        <v>--</v>
      </c>
      <c r="AJ24" s="1549" t="str">
        <f t="shared" si="52"/>
        <v>--</v>
      </c>
      <c r="AK24" s="1549" t="str">
        <f t="shared" si="52"/>
        <v>--</v>
      </c>
      <c r="AL24" s="1549" t="str">
        <f t="shared" si="52"/>
        <v>--</v>
      </c>
      <c r="AM24" s="1549" t="str">
        <f t="shared" si="52"/>
        <v>--</v>
      </c>
      <c r="AN24" s="1549" t="str">
        <f t="shared" si="52"/>
        <v>--</v>
      </c>
      <c r="AO24" s="1549" t="str">
        <f t="shared" si="52"/>
        <v>--</v>
      </c>
      <c r="AP24" s="1549" t="str">
        <f t="shared" si="52"/>
        <v>--</v>
      </c>
      <c r="AQ24" s="1506"/>
      <c r="AR24" s="1510"/>
      <c r="AS24" s="2060"/>
      <c r="AT24" s="2060"/>
      <c r="AU24" s="2060" t="str">
        <f t="shared" si="10"/>
        <v>--</v>
      </c>
      <c r="AV24" s="1975" t="e">
        <f>IF(AND('Growth&amp;Margins'!Y76&gt;(AV$45-AV$46),'Growth&amp;Margins'!Y76&lt;(AV$45+AV$46)),'Growth&amp;Margins'!Y76,"--")</f>
        <v>#VALUE!</v>
      </c>
      <c r="AW24" s="1549" t="str">
        <f t="shared" si="11"/>
        <v>--</v>
      </c>
      <c r="AX24" s="1549"/>
      <c r="AY24" s="1975" t="e">
        <f>IF(AND('Growth&amp;Margins'!Z76&gt;(AY$45-AY$46),'Growth&amp;Margins'!Z76&lt;(AY$45+AY$46)),'Growth&amp;Margins'!Z76,"--")</f>
        <v>#VALUE!</v>
      </c>
      <c r="AZ24" s="1549" t="str">
        <f t="shared" si="12"/>
        <v>--</v>
      </c>
      <c r="BA24" s="2060"/>
      <c r="BB24" s="1975" t="e">
        <f>IF(AND('Growth&amp;Margins'!AA76&gt;(BB$45-BB$46),'Growth&amp;Margins'!AA76&lt;(BB$45+BB$46)),'Growth&amp;Margins'!AA76,"--")</f>
        <v>#VALUE!</v>
      </c>
      <c r="BC24" s="1549" t="str">
        <f t="shared" si="13"/>
        <v>--</v>
      </c>
      <c r="BD24" s="2060"/>
      <c r="BE24" s="1975" t="e">
        <f>IF(AND('Growth&amp;Margins'!AB76&gt;(BE$45-BE$46),'Growth&amp;Margins'!AB76&lt;(BE$45+BE$46)),'Growth&amp;Margins'!AB76,"--")</f>
        <v>#VALUE!</v>
      </c>
      <c r="BF24" s="1549" t="str">
        <f t="shared" si="14"/>
        <v>--</v>
      </c>
      <c r="BG24" s="43"/>
      <c r="BH24" s="2060"/>
      <c r="BI24" s="2060" t="str">
        <f t="shared" si="15"/>
        <v>--</v>
      </c>
      <c r="BJ24" s="1975" t="e">
        <f>IF(AND('Growth&amp;Margins'!Z24&gt;(BJ$45-BJ$46),'Growth&amp;Margins'!Z24&lt;(BJ$45+BJ$46)),'Growth&amp;Margins'!Z24,"--")</f>
        <v>#VALUE!</v>
      </c>
      <c r="BK24" s="1549" t="str">
        <f t="shared" si="16"/>
        <v>--</v>
      </c>
      <c r="BL24" s="2060"/>
      <c r="BM24" s="1975" t="e">
        <f>IF(AND('Growth&amp;Margins'!AA24&gt;(BM$45-BM$46),'Growth&amp;Margins'!AA24&lt;(BM$45+BM$46)),'Growth&amp;Margins'!AA24,"--")</f>
        <v>#VALUE!</v>
      </c>
      <c r="BN24" s="1549" t="str">
        <f t="shared" si="17"/>
        <v>--</v>
      </c>
      <c r="BO24" s="2060"/>
      <c r="BP24" s="1975" t="e">
        <f>IF(AND('Growth&amp;Margins'!AB24&gt;(BP$45-BP$46),'Growth&amp;Margins'!AB24&lt;(BP$45+BP$46)),'Growth&amp;Margins'!AB24,"--")</f>
        <v>#VALUE!</v>
      </c>
      <c r="BQ24" s="1549" t="str">
        <f t="shared" si="18"/>
        <v>--</v>
      </c>
      <c r="BR24" s="2060"/>
      <c r="BS24" s="1975" t="e">
        <f>IF(AND('Growth&amp;Margins'!AC24&gt;(BS$45-BS$46),'Growth&amp;Margins'!AC24&lt;(BS$45+BS$46)),'Growth&amp;Margins'!AC24,"--")</f>
        <v>#VALUE!</v>
      </c>
      <c r="BT24" s="1549" t="str">
        <f t="shared" si="19"/>
        <v>--</v>
      </c>
      <c r="BU24" s="2060"/>
      <c r="BV24" s="2060"/>
      <c r="BW24" s="2060"/>
      <c r="BX24" s="2060"/>
      <c r="BY24" s="2060"/>
      <c r="BZ24" s="2060"/>
      <c r="CA24" s="2060"/>
      <c r="CB24" s="2060"/>
      <c r="CC24" s="2060"/>
      <c r="CD24" s="2060"/>
      <c r="CE24" s="2060"/>
      <c r="CF24" s="2060"/>
    </row>
    <row r="25" spans="1:84" ht="12.95" customHeight="1">
      <c r="A25" s="1510" t="str">
        <f t="shared" si="0"/>
        <v>n</v>
      </c>
      <c r="B25" s="1510"/>
      <c r="C25" s="173" t="str">
        <f>'DATA GPC'!E$33</f>
        <v>--</v>
      </c>
      <c r="D25" s="467" t="str">
        <f>'WACC and TIC Inputs'!T234</f>
        <v>--</v>
      </c>
      <c r="E25" s="663" t="str">
        <f t="shared" si="1"/>
        <v>--</v>
      </c>
      <c r="F25" s="663" t="str">
        <f t="shared" si="1"/>
        <v>--</v>
      </c>
      <c r="G25" s="663" t="str">
        <f t="shared" ref="G25:P25" si="53">IF($D25=0,"nmf",IFERROR($D25/G81,"--"))</f>
        <v>--</v>
      </c>
      <c r="H25" s="663" t="str">
        <f t="shared" si="53"/>
        <v>--</v>
      </c>
      <c r="I25" s="663" t="str">
        <f t="shared" si="53"/>
        <v>--</v>
      </c>
      <c r="J25" s="663" t="str">
        <f t="shared" si="53"/>
        <v>--</v>
      </c>
      <c r="K25" s="1549" t="str">
        <f t="shared" si="53"/>
        <v>--</v>
      </c>
      <c r="L25" s="1549" t="str">
        <f t="shared" si="53"/>
        <v>--</v>
      </c>
      <c r="M25" s="1549" t="str">
        <f t="shared" si="53"/>
        <v>--</v>
      </c>
      <c r="N25" s="1549" t="str">
        <f t="shared" si="53"/>
        <v>--</v>
      </c>
      <c r="O25" s="1549" t="str">
        <f t="shared" si="53"/>
        <v>--</v>
      </c>
      <c r="P25" s="1549" t="str">
        <f t="shared" si="53"/>
        <v>--</v>
      </c>
      <c r="Q25" s="1506"/>
      <c r="R25" s="1549" t="str">
        <f t="shared" si="3"/>
        <v>--</v>
      </c>
      <c r="S25" s="1549" t="str">
        <f t="shared" si="3"/>
        <v>--</v>
      </c>
      <c r="T25" s="1549" t="str">
        <f t="shared" ref="T25:AC25" si="54">IFERROR(IF($D25/T81&lt;0,"nmf",$D25/T81),"--")</f>
        <v>--</v>
      </c>
      <c r="U25" s="1549" t="str">
        <f t="shared" si="54"/>
        <v>--</v>
      </c>
      <c r="V25" s="1549" t="str">
        <f t="shared" si="54"/>
        <v>--</v>
      </c>
      <c r="W25" s="1549" t="str">
        <f t="shared" si="54"/>
        <v>--</v>
      </c>
      <c r="X25" s="1549" t="str">
        <f t="shared" si="54"/>
        <v>--</v>
      </c>
      <c r="Y25" s="1549" t="str">
        <f t="shared" si="54"/>
        <v>--</v>
      </c>
      <c r="Z25" s="1549" t="str">
        <f t="shared" si="54"/>
        <v>--</v>
      </c>
      <c r="AA25" s="1549" t="str">
        <f t="shared" si="54"/>
        <v>--</v>
      </c>
      <c r="AB25" s="1549" t="str">
        <f t="shared" si="54"/>
        <v>--</v>
      </c>
      <c r="AC25" s="1549" t="str">
        <f t="shared" si="54"/>
        <v>--</v>
      </c>
      <c r="AD25" s="1506"/>
      <c r="AE25" s="1549" t="str">
        <f t="shared" si="5"/>
        <v>--</v>
      </c>
      <c r="AF25" s="1549" t="str">
        <f t="shared" si="5"/>
        <v>--</v>
      </c>
      <c r="AG25" s="1549" t="str">
        <f t="shared" ref="AG25:AP25" si="55">IFERROR(IF($D25/AG81&lt;=0,"nmf",$D25/AG81),"--")</f>
        <v>--</v>
      </c>
      <c r="AH25" s="1549" t="str">
        <f t="shared" si="55"/>
        <v>--</v>
      </c>
      <c r="AI25" s="1549" t="str">
        <f t="shared" si="55"/>
        <v>--</v>
      </c>
      <c r="AJ25" s="1549" t="str">
        <f t="shared" si="55"/>
        <v>--</v>
      </c>
      <c r="AK25" s="1549" t="str">
        <f t="shared" si="55"/>
        <v>--</v>
      </c>
      <c r="AL25" s="1549" t="str">
        <f t="shared" si="55"/>
        <v>--</v>
      </c>
      <c r="AM25" s="1549" t="str">
        <f t="shared" si="55"/>
        <v>--</v>
      </c>
      <c r="AN25" s="1549" t="str">
        <f t="shared" si="55"/>
        <v>--</v>
      </c>
      <c r="AO25" s="1549" t="str">
        <f t="shared" si="55"/>
        <v>--</v>
      </c>
      <c r="AP25" s="1549" t="str">
        <f t="shared" si="55"/>
        <v>--</v>
      </c>
      <c r="AQ25" s="1506"/>
      <c r="AR25" s="1510"/>
      <c r="AS25" s="2060"/>
      <c r="AT25" s="2060"/>
      <c r="AU25" s="2060" t="str">
        <f t="shared" si="10"/>
        <v>--</v>
      </c>
      <c r="AV25" s="1975" t="e">
        <f>IF(AND('Growth&amp;Margins'!Y77&gt;(AV$45-AV$46),'Growth&amp;Margins'!Y77&lt;(AV$45+AV$46)),'Growth&amp;Margins'!Y77,"--")</f>
        <v>#VALUE!</v>
      </c>
      <c r="AW25" s="1549" t="str">
        <f t="shared" si="11"/>
        <v>--</v>
      </c>
      <c r="AX25" s="1549"/>
      <c r="AY25" s="1975" t="e">
        <f>IF(AND('Growth&amp;Margins'!Z77&gt;(AY$45-AY$46),'Growth&amp;Margins'!Z77&lt;(AY$45+AY$46)),'Growth&amp;Margins'!Z77,"--")</f>
        <v>#VALUE!</v>
      </c>
      <c r="AZ25" s="1549" t="str">
        <f t="shared" si="12"/>
        <v>--</v>
      </c>
      <c r="BA25" s="2060"/>
      <c r="BB25" s="1975" t="e">
        <f>IF(AND('Growth&amp;Margins'!AA77&gt;(BB$45-BB$46),'Growth&amp;Margins'!AA77&lt;(BB$45+BB$46)),'Growth&amp;Margins'!AA77,"--")</f>
        <v>#VALUE!</v>
      </c>
      <c r="BC25" s="1549" t="str">
        <f t="shared" si="13"/>
        <v>--</v>
      </c>
      <c r="BD25" s="2060"/>
      <c r="BE25" s="1975" t="e">
        <f>IF(AND('Growth&amp;Margins'!AB77&gt;(BE$45-BE$46),'Growth&amp;Margins'!AB77&lt;(BE$45+BE$46)),'Growth&amp;Margins'!AB77,"--")</f>
        <v>#VALUE!</v>
      </c>
      <c r="BF25" s="1549" t="str">
        <f t="shared" si="14"/>
        <v>--</v>
      </c>
      <c r="BG25" s="43"/>
      <c r="BH25" s="2060"/>
      <c r="BI25" s="2060" t="str">
        <f t="shared" si="15"/>
        <v>--</v>
      </c>
      <c r="BJ25" s="1975" t="e">
        <f>IF(AND('Growth&amp;Margins'!Z25&gt;(BJ$45-BJ$46),'Growth&amp;Margins'!Z25&lt;(BJ$45+BJ$46)),'Growth&amp;Margins'!Z25,"--")</f>
        <v>#VALUE!</v>
      </c>
      <c r="BK25" s="1549" t="str">
        <f t="shared" si="16"/>
        <v>--</v>
      </c>
      <c r="BL25" s="2060"/>
      <c r="BM25" s="1975" t="e">
        <f>IF(AND('Growth&amp;Margins'!AA25&gt;(BM$45-BM$46),'Growth&amp;Margins'!AA25&lt;(BM$45+BM$46)),'Growth&amp;Margins'!AA25,"--")</f>
        <v>#VALUE!</v>
      </c>
      <c r="BN25" s="1549" t="str">
        <f t="shared" si="17"/>
        <v>--</v>
      </c>
      <c r="BO25" s="2060"/>
      <c r="BP25" s="1975" t="e">
        <f>IF(AND('Growth&amp;Margins'!AB25&gt;(BP$45-BP$46),'Growth&amp;Margins'!AB25&lt;(BP$45+BP$46)),'Growth&amp;Margins'!AB25,"--")</f>
        <v>#VALUE!</v>
      </c>
      <c r="BQ25" s="1549" t="str">
        <f t="shared" si="18"/>
        <v>--</v>
      </c>
      <c r="BR25" s="2060"/>
      <c r="BS25" s="1975" t="e">
        <f>IF(AND('Growth&amp;Margins'!AC25&gt;(BS$45-BS$46),'Growth&amp;Margins'!AC25&lt;(BS$45+BS$46)),'Growth&amp;Margins'!AC25,"--")</f>
        <v>#VALUE!</v>
      </c>
      <c r="BT25" s="1549" t="str">
        <f t="shared" si="19"/>
        <v>--</v>
      </c>
      <c r="BU25" s="2060"/>
      <c r="BV25" s="2060"/>
      <c r="BW25" s="2060"/>
      <c r="BX25" s="2060"/>
      <c r="BY25" s="2060"/>
      <c r="BZ25" s="2060"/>
      <c r="CA25" s="2060"/>
      <c r="CB25" s="2060"/>
      <c r="CC25" s="2060"/>
      <c r="CD25" s="2060"/>
      <c r="CE25" s="2060"/>
      <c r="CF25" s="2060"/>
    </row>
    <row r="26" spans="1:84" s="1506" customFormat="1" ht="12.95" customHeight="1">
      <c r="A26" s="1510" t="str">
        <f t="shared" ref="A26:A36" si="56">IF(C26="--","n","")</f>
        <v>n</v>
      </c>
      <c r="B26" s="1510"/>
      <c r="C26" s="173" t="str">
        <f>'DATA GPC'!E$34</f>
        <v>--</v>
      </c>
      <c r="D26" s="467" t="str">
        <f>'WACC and TIC Inputs'!T235</f>
        <v>--</v>
      </c>
      <c r="E26" s="663" t="str">
        <f t="shared" si="1"/>
        <v>--</v>
      </c>
      <c r="F26" s="663" t="str">
        <f t="shared" si="1"/>
        <v>--</v>
      </c>
      <c r="G26" s="663" t="str">
        <f t="shared" ref="G26:P26" si="57">IF($D26=0,"nmf",IFERROR($D26/G82,"--"))</f>
        <v>--</v>
      </c>
      <c r="H26" s="663" t="str">
        <f t="shared" si="57"/>
        <v>--</v>
      </c>
      <c r="I26" s="663" t="str">
        <f t="shared" si="57"/>
        <v>--</v>
      </c>
      <c r="J26" s="663" t="str">
        <f t="shared" si="57"/>
        <v>--</v>
      </c>
      <c r="K26" s="1549" t="str">
        <f t="shared" si="57"/>
        <v>--</v>
      </c>
      <c r="L26" s="1549" t="str">
        <f t="shared" si="57"/>
        <v>--</v>
      </c>
      <c r="M26" s="1549" t="str">
        <f t="shared" si="57"/>
        <v>--</v>
      </c>
      <c r="N26" s="1549" t="str">
        <f t="shared" si="57"/>
        <v>--</v>
      </c>
      <c r="O26" s="1549" t="str">
        <f t="shared" si="57"/>
        <v>--</v>
      </c>
      <c r="P26" s="1549" t="str">
        <f t="shared" si="57"/>
        <v>--</v>
      </c>
      <c r="R26" s="1549" t="str">
        <f t="shared" si="3"/>
        <v>--</v>
      </c>
      <c r="S26" s="1549" t="str">
        <f t="shared" si="3"/>
        <v>--</v>
      </c>
      <c r="T26" s="1549" t="str">
        <f t="shared" ref="T26:AC26" si="58">IFERROR(IF($D26/T82&lt;0,"nmf",$D26/T82),"--")</f>
        <v>--</v>
      </c>
      <c r="U26" s="1549" t="str">
        <f t="shared" si="58"/>
        <v>--</v>
      </c>
      <c r="V26" s="1549" t="str">
        <f t="shared" si="58"/>
        <v>--</v>
      </c>
      <c r="W26" s="1549" t="str">
        <f t="shared" si="58"/>
        <v>--</v>
      </c>
      <c r="X26" s="1549" t="str">
        <f t="shared" si="58"/>
        <v>--</v>
      </c>
      <c r="Y26" s="1549" t="str">
        <f t="shared" si="58"/>
        <v>--</v>
      </c>
      <c r="Z26" s="1549" t="str">
        <f t="shared" si="58"/>
        <v>--</v>
      </c>
      <c r="AA26" s="1549" t="str">
        <f t="shared" si="58"/>
        <v>--</v>
      </c>
      <c r="AB26" s="1549" t="str">
        <f t="shared" si="58"/>
        <v>--</v>
      </c>
      <c r="AC26" s="1549" t="str">
        <f t="shared" si="58"/>
        <v>--</v>
      </c>
      <c r="AE26" s="1549" t="str">
        <f t="shared" si="5"/>
        <v>--</v>
      </c>
      <c r="AF26" s="1549" t="str">
        <f t="shared" si="5"/>
        <v>--</v>
      </c>
      <c r="AG26" s="1549" t="str">
        <f t="shared" ref="AG26:AN36" si="59">IFERROR(IF($D26/AG82&lt;=0,"nmf",$D26/AG82),"--")</f>
        <v>--</v>
      </c>
      <c r="AH26" s="1549" t="str">
        <f t="shared" si="59"/>
        <v>--</v>
      </c>
      <c r="AI26" s="1549" t="str">
        <f t="shared" si="59"/>
        <v>--</v>
      </c>
      <c r="AJ26" s="1549" t="str">
        <f t="shared" si="59"/>
        <v>--</v>
      </c>
      <c r="AK26" s="1549" t="str">
        <f t="shared" si="59"/>
        <v>--</v>
      </c>
      <c r="AL26" s="1549" t="str">
        <f t="shared" si="59"/>
        <v>--</v>
      </c>
      <c r="AM26" s="1549" t="str">
        <f t="shared" si="59"/>
        <v>--</v>
      </c>
      <c r="AN26" s="1549" t="str">
        <f t="shared" si="59"/>
        <v>--</v>
      </c>
      <c r="AO26" s="1549" t="str">
        <f t="shared" ref="AO26:AP36" si="60">IFERROR(IF($D26/AO92&lt;=0,"nmf",$D26/AO92),"--")</f>
        <v>--</v>
      </c>
      <c r="AP26" s="1549" t="str">
        <f t="shared" si="60"/>
        <v>--</v>
      </c>
      <c r="AR26" s="1510"/>
      <c r="AS26" s="2060"/>
      <c r="AT26" s="2060"/>
      <c r="AU26" s="2060" t="str">
        <f t="shared" si="10"/>
        <v>--</v>
      </c>
      <c r="AV26" s="1975" t="e">
        <f>IF(AND('Growth&amp;Margins'!Y78&gt;(AV$45-AV$46),'Growth&amp;Margins'!Y78&lt;(AV$45+AV$46)),'Growth&amp;Margins'!Y78,"--")</f>
        <v>#VALUE!</v>
      </c>
      <c r="AW26" s="1549" t="str">
        <f t="shared" si="11"/>
        <v>--</v>
      </c>
      <c r="AX26" s="1549"/>
      <c r="AY26" s="1975" t="e">
        <f>IF(AND('Growth&amp;Margins'!Z78&gt;(AY$45-AY$46),'Growth&amp;Margins'!Z78&lt;(AY$45+AY$46)),'Growth&amp;Margins'!Z78,"--")</f>
        <v>#VALUE!</v>
      </c>
      <c r="AZ26" s="1549" t="str">
        <f t="shared" si="12"/>
        <v>--</v>
      </c>
      <c r="BA26" s="2060"/>
      <c r="BB26" s="1975" t="e">
        <f>IF(AND('Growth&amp;Margins'!AA78&gt;(BB$45-BB$46),'Growth&amp;Margins'!AA78&lt;(BB$45+BB$46)),'Growth&amp;Margins'!AA78,"--")</f>
        <v>#VALUE!</v>
      </c>
      <c r="BC26" s="1549" t="str">
        <f t="shared" si="13"/>
        <v>--</v>
      </c>
      <c r="BD26" s="2060"/>
      <c r="BE26" s="1975" t="e">
        <f>IF(AND('Growth&amp;Margins'!AB78&gt;(BE$45-BE$46),'Growth&amp;Margins'!AB78&lt;(BE$45+BE$46)),'Growth&amp;Margins'!AB78,"--")</f>
        <v>#VALUE!</v>
      </c>
      <c r="BF26" s="1549" t="str">
        <f t="shared" si="14"/>
        <v>--</v>
      </c>
      <c r="BG26" s="43"/>
      <c r="BH26" s="2060"/>
      <c r="BI26" s="2060" t="str">
        <f t="shared" si="15"/>
        <v>--</v>
      </c>
      <c r="BJ26" s="1975" t="e">
        <f>IF(AND('Growth&amp;Margins'!Z26&gt;(BJ$45-BJ$46),'Growth&amp;Margins'!Z26&lt;(BJ$45+BJ$46)),'Growth&amp;Margins'!Z26,"--")</f>
        <v>#VALUE!</v>
      </c>
      <c r="BK26" s="1549" t="str">
        <f t="shared" si="16"/>
        <v>--</v>
      </c>
      <c r="BL26" s="2060"/>
      <c r="BM26" s="1975" t="e">
        <f>IF(AND('Growth&amp;Margins'!AA26&gt;(BM$45-BM$46),'Growth&amp;Margins'!AA26&lt;(BM$45+BM$46)),'Growth&amp;Margins'!AA26,"--")</f>
        <v>#VALUE!</v>
      </c>
      <c r="BN26" s="1549" t="str">
        <f t="shared" si="17"/>
        <v>--</v>
      </c>
      <c r="BO26" s="2060"/>
      <c r="BP26" s="1975" t="e">
        <f>IF(AND('Growth&amp;Margins'!AB26&gt;(BP$45-BP$46),'Growth&amp;Margins'!AB26&lt;(BP$45+BP$46)),'Growth&amp;Margins'!AB26,"--")</f>
        <v>#VALUE!</v>
      </c>
      <c r="BQ26" s="1549" t="str">
        <f t="shared" si="18"/>
        <v>--</v>
      </c>
      <c r="BR26" s="2060"/>
      <c r="BS26" s="1975" t="e">
        <f>IF(AND('Growth&amp;Margins'!AC26&gt;(BS$45-BS$46),'Growth&amp;Margins'!AC26&lt;(BS$45+BS$46)),'Growth&amp;Margins'!AC26,"--")</f>
        <v>#VALUE!</v>
      </c>
      <c r="BT26" s="1549" t="str">
        <f t="shared" si="19"/>
        <v>--</v>
      </c>
      <c r="BU26" s="2060"/>
      <c r="BV26" s="2060"/>
      <c r="BW26" s="2060"/>
      <c r="BX26" s="2060"/>
      <c r="BY26" s="2060"/>
      <c r="BZ26" s="2060"/>
      <c r="CA26" s="2060"/>
      <c r="CB26" s="2060"/>
      <c r="CC26" s="2060"/>
      <c r="CD26" s="2060"/>
      <c r="CE26" s="2060"/>
      <c r="CF26" s="2060"/>
    </row>
    <row r="27" spans="1:84" s="1506" customFormat="1" ht="12.95" customHeight="1">
      <c r="A27" s="1510" t="str">
        <f t="shared" si="56"/>
        <v>n</v>
      </c>
      <c r="B27" s="1510"/>
      <c r="C27" s="173" t="str">
        <f>'DATA GPC'!E$35</f>
        <v>--</v>
      </c>
      <c r="D27" s="467" t="str">
        <f>'WACC and TIC Inputs'!T236</f>
        <v>--</v>
      </c>
      <c r="E27" s="663" t="str">
        <f t="shared" si="1"/>
        <v>--</v>
      </c>
      <c r="F27" s="663" t="str">
        <f t="shared" si="1"/>
        <v>--</v>
      </c>
      <c r="G27" s="663" t="str">
        <f t="shared" ref="G27:P27" si="61">IF($D27=0,"nmf",IFERROR($D27/G83,"--"))</f>
        <v>--</v>
      </c>
      <c r="H27" s="663" t="str">
        <f t="shared" si="61"/>
        <v>--</v>
      </c>
      <c r="I27" s="663" t="str">
        <f t="shared" si="61"/>
        <v>--</v>
      </c>
      <c r="J27" s="663" t="str">
        <f t="shared" si="61"/>
        <v>--</v>
      </c>
      <c r="K27" s="1549" t="str">
        <f t="shared" si="61"/>
        <v>--</v>
      </c>
      <c r="L27" s="1549" t="str">
        <f t="shared" si="61"/>
        <v>--</v>
      </c>
      <c r="M27" s="1549" t="str">
        <f t="shared" si="61"/>
        <v>--</v>
      </c>
      <c r="N27" s="1549" t="str">
        <f t="shared" si="61"/>
        <v>--</v>
      </c>
      <c r="O27" s="1549" t="str">
        <f t="shared" si="61"/>
        <v>--</v>
      </c>
      <c r="P27" s="1549" t="str">
        <f t="shared" si="61"/>
        <v>--</v>
      </c>
      <c r="R27" s="1549" t="str">
        <f t="shared" si="3"/>
        <v>--</v>
      </c>
      <c r="S27" s="1549" t="str">
        <f t="shared" si="3"/>
        <v>--</v>
      </c>
      <c r="T27" s="1549" t="str">
        <f t="shared" ref="T27:AC27" si="62">IFERROR(IF($D27/T83&lt;0,"nmf",$D27/T83),"--")</f>
        <v>--</v>
      </c>
      <c r="U27" s="1549" t="str">
        <f t="shared" si="62"/>
        <v>--</v>
      </c>
      <c r="V27" s="1549" t="str">
        <f t="shared" si="62"/>
        <v>--</v>
      </c>
      <c r="W27" s="1549" t="str">
        <f t="shared" si="62"/>
        <v>--</v>
      </c>
      <c r="X27" s="1549" t="str">
        <f t="shared" si="62"/>
        <v>--</v>
      </c>
      <c r="Y27" s="1549" t="str">
        <f t="shared" si="62"/>
        <v>--</v>
      </c>
      <c r="Z27" s="1549" t="str">
        <f t="shared" si="62"/>
        <v>--</v>
      </c>
      <c r="AA27" s="1549" t="str">
        <f t="shared" si="62"/>
        <v>--</v>
      </c>
      <c r="AB27" s="1549" t="str">
        <f t="shared" si="62"/>
        <v>--</v>
      </c>
      <c r="AC27" s="1549" t="str">
        <f t="shared" si="62"/>
        <v>--</v>
      </c>
      <c r="AE27" s="1549" t="str">
        <f t="shared" si="5"/>
        <v>--</v>
      </c>
      <c r="AF27" s="1549" t="str">
        <f t="shared" si="5"/>
        <v>--</v>
      </c>
      <c r="AG27" s="1549" t="str">
        <f t="shared" si="59"/>
        <v>--</v>
      </c>
      <c r="AH27" s="1549" t="str">
        <f t="shared" si="59"/>
        <v>--</v>
      </c>
      <c r="AI27" s="1549" t="str">
        <f t="shared" si="59"/>
        <v>--</v>
      </c>
      <c r="AJ27" s="1549" t="str">
        <f t="shared" si="59"/>
        <v>--</v>
      </c>
      <c r="AK27" s="1549" t="str">
        <f t="shared" si="59"/>
        <v>--</v>
      </c>
      <c r="AL27" s="1549" t="str">
        <f t="shared" si="59"/>
        <v>--</v>
      </c>
      <c r="AM27" s="1549" t="str">
        <f t="shared" si="59"/>
        <v>--</v>
      </c>
      <c r="AN27" s="1549" t="str">
        <f t="shared" si="59"/>
        <v>--</v>
      </c>
      <c r="AO27" s="1549" t="str">
        <f t="shared" si="60"/>
        <v>--</v>
      </c>
      <c r="AP27" s="1549" t="str">
        <f t="shared" si="60"/>
        <v>--</v>
      </c>
      <c r="AR27" s="1510"/>
      <c r="AS27" s="2060"/>
      <c r="AT27" s="2060"/>
      <c r="AU27" s="2060" t="str">
        <f t="shared" si="10"/>
        <v>--</v>
      </c>
      <c r="AV27" s="1975" t="e">
        <f>IF(AND('Growth&amp;Margins'!Y79&gt;(AV$45-AV$46),'Growth&amp;Margins'!Y79&lt;(AV$45+AV$46)),'Growth&amp;Margins'!Y79,"--")</f>
        <v>#VALUE!</v>
      </c>
      <c r="AW27" s="1549" t="str">
        <f t="shared" si="11"/>
        <v>--</v>
      </c>
      <c r="AX27" s="1549"/>
      <c r="AY27" s="1975" t="e">
        <f>IF(AND('Growth&amp;Margins'!Z79&gt;(AY$45-AY$46),'Growth&amp;Margins'!Z79&lt;(AY$45+AY$46)),'Growth&amp;Margins'!Z79,"--")</f>
        <v>#VALUE!</v>
      </c>
      <c r="AZ27" s="1549" t="str">
        <f t="shared" si="12"/>
        <v>--</v>
      </c>
      <c r="BA27" s="2060"/>
      <c r="BB27" s="1975" t="e">
        <f>IF(AND('Growth&amp;Margins'!AA79&gt;(BB$45-BB$46),'Growth&amp;Margins'!AA79&lt;(BB$45+BB$46)),'Growth&amp;Margins'!AA79,"--")</f>
        <v>#VALUE!</v>
      </c>
      <c r="BC27" s="1549" t="str">
        <f t="shared" si="13"/>
        <v>--</v>
      </c>
      <c r="BD27" s="2060"/>
      <c r="BE27" s="1975" t="e">
        <f>IF(AND('Growth&amp;Margins'!AB79&gt;(BE$45-BE$46),'Growth&amp;Margins'!AB79&lt;(BE$45+BE$46)),'Growth&amp;Margins'!AB79,"--")</f>
        <v>#VALUE!</v>
      </c>
      <c r="BF27" s="1549" t="str">
        <f t="shared" si="14"/>
        <v>--</v>
      </c>
      <c r="BG27" s="43"/>
      <c r="BH27" s="2060"/>
      <c r="BI27" s="2060" t="str">
        <f t="shared" si="15"/>
        <v>--</v>
      </c>
      <c r="BJ27" s="1975" t="e">
        <f>IF(AND('Growth&amp;Margins'!Z27&gt;(BJ$45-BJ$46),'Growth&amp;Margins'!Z27&lt;(BJ$45+BJ$46)),'Growth&amp;Margins'!Z27,"--")</f>
        <v>#VALUE!</v>
      </c>
      <c r="BK27" s="1549" t="str">
        <f t="shared" si="16"/>
        <v>--</v>
      </c>
      <c r="BL27" s="2060"/>
      <c r="BM27" s="1975" t="e">
        <f>IF(AND('Growth&amp;Margins'!AA27&gt;(BM$45-BM$46),'Growth&amp;Margins'!AA27&lt;(BM$45+BM$46)),'Growth&amp;Margins'!AA27,"--")</f>
        <v>#VALUE!</v>
      </c>
      <c r="BN27" s="1549" t="str">
        <f t="shared" si="17"/>
        <v>--</v>
      </c>
      <c r="BO27" s="2060"/>
      <c r="BP27" s="1975" t="e">
        <f>IF(AND('Growth&amp;Margins'!AB27&gt;(BP$45-BP$46),'Growth&amp;Margins'!AB27&lt;(BP$45+BP$46)),'Growth&amp;Margins'!AB27,"--")</f>
        <v>#VALUE!</v>
      </c>
      <c r="BQ27" s="1549" t="str">
        <f t="shared" si="18"/>
        <v>--</v>
      </c>
      <c r="BR27" s="2060"/>
      <c r="BS27" s="1975" t="e">
        <f>IF(AND('Growth&amp;Margins'!AC27&gt;(BS$45-BS$46),'Growth&amp;Margins'!AC27&lt;(BS$45+BS$46)),'Growth&amp;Margins'!AC27,"--")</f>
        <v>#VALUE!</v>
      </c>
      <c r="BT27" s="1549" t="str">
        <f t="shared" si="19"/>
        <v>--</v>
      </c>
      <c r="BU27" s="2060"/>
      <c r="BV27" s="2060"/>
      <c r="BW27" s="2060"/>
      <c r="BX27" s="2060"/>
      <c r="BY27" s="2060"/>
      <c r="BZ27" s="2060"/>
      <c r="CA27" s="2060"/>
      <c r="CB27" s="2060"/>
      <c r="CC27" s="2060"/>
      <c r="CD27" s="2060"/>
      <c r="CE27" s="2060"/>
      <c r="CF27" s="2060"/>
    </row>
    <row r="28" spans="1:84" s="1506" customFormat="1" ht="12.95" customHeight="1">
      <c r="A28" s="1510" t="str">
        <f t="shared" si="56"/>
        <v>n</v>
      </c>
      <c r="B28" s="1510"/>
      <c r="C28" s="173" t="str">
        <f>'DATA GPC'!E$36</f>
        <v>--</v>
      </c>
      <c r="D28" s="467" t="str">
        <f>'WACC and TIC Inputs'!T237</f>
        <v>--</v>
      </c>
      <c r="E28" s="663" t="str">
        <f t="shared" si="1"/>
        <v>--</v>
      </c>
      <c r="F28" s="663" t="str">
        <f t="shared" si="1"/>
        <v>--</v>
      </c>
      <c r="G28" s="663" t="str">
        <f t="shared" ref="G28:P28" si="63">IF($D28=0,"nmf",IFERROR($D28/G84,"--"))</f>
        <v>--</v>
      </c>
      <c r="H28" s="663" t="str">
        <f t="shared" si="63"/>
        <v>--</v>
      </c>
      <c r="I28" s="663" t="str">
        <f t="shared" si="63"/>
        <v>--</v>
      </c>
      <c r="J28" s="663" t="str">
        <f t="shared" si="63"/>
        <v>--</v>
      </c>
      <c r="K28" s="1549" t="str">
        <f t="shared" si="63"/>
        <v>--</v>
      </c>
      <c r="L28" s="1549" t="str">
        <f t="shared" si="63"/>
        <v>--</v>
      </c>
      <c r="M28" s="1549" t="str">
        <f t="shared" si="63"/>
        <v>--</v>
      </c>
      <c r="N28" s="1549" t="str">
        <f t="shared" si="63"/>
        <v>--</v>
      </c>
      <c r="O28" s="1549" t="str">
        <f t="shared" si="63"/>
        <v>--</v>
      </c>
      <c r="P28" s="1549" t="str">
        <f t="shared" si="63"/>
        <v>--</v>
      </c>
      <c r="R28" s="1549" t="str">
        <f t="shared" si="3"/>
        <v>--</v>
      </c>
      <c r="S28" s="1549" t="str">
        <f t="shared" si="3"/>
        <v>--</v>
      </c>
      <c r="T28" s="1549" t="str">
        <f t="shared" ref="T28:AC28" si="64">IFERROR(IF($D28/T84&lt;0,"nmf",$D28/T84),"--")</f>
        <v>--</v>
      </c>
      <c r="U28" s="1549" t="str">
        <f t="shared" si="64"/>
        <v>--</v>
      </c>
      <c r="V28" s="1549" t="str">
        <f t="shared" si="64"/>
        <v>--</v>
      </c>
      <c r="W28" s="1549" t="str">
        <f t="shared" si="64"/>
        <v>--</v>
      </c>
      <c r="X28" s="1549" t="str">
        <f t="shared" si="64"/>
        <v>--</v>
      </c>
      <c r="Y28" s="1549" t="str">
        <f t="shared" si="64"/>
        <v>--</v>
      </c>
      <c r="Z28" s="1549" t="str">
        <f t="shared" si="64"/>
        <v>--</v>
      </c>
      <c r="AA28" s="1549" t="str">
        <f t="shared" si="64"/>
        <v>--</v>
      </c>
      <c r="AB28" s="1549" t="str">
        <f t="shared" si="64"/>
        <v>--</v>
      </c>
      <c r="AC28" s="1549" t="str">
        <f t="shared" si="64"/>
        <v>--</v>
      </c>
      <c r="AE28" s="1549" t="str">
        <f t="shared" si="5"/>
        <v>--</v>
      </c>
      <c r="AF28" s="1549" t="str">
        <f t="shared" si="5"/>
        <v>--</v>
      </c>
      <c r="AG28" s="1549" t="str">
        <f t="shared" si="59"/>
        <v>--</v>
      </c>
      <c r="AH28" s="1549" t="str">
        <f t="shared" si="59"/>
        <v>--</v>
      </c>
      <c r="AI28" s="1549" t="str">
        <f t="shared" si="59"/>
        <v>--</v>
      </c>
      <c r="AJ28" s="1549" t="str">
        <f t="shared" si="59"/>
        <v>--</v>
      </c>
      <c r="AK28" s="1549" t="str">
        <f t="shared" si="59"/>
        <v>--</v>
      </c>
      <c r="AL28" s="1549" t="str">
        <f t="shared" si="59"/>
        <v>--</v>
      </c>
      <c r="AM28" s="1549" t="str">
        <f t="shared" si="59"/>
        <v>--</v>
      </c>
      <c r="AN28" s="1549" t="str">
        <f t="shared" si="59"/>
        <v>--</v>
      </c>
      <c r="AO28" s="1549" t="str">
        <f t="shared" si="60"/>
        <v>--</v>
      </c>
      <c r="AP28" s="1549" t="str">
        <f t="shared" si="60"/>
        <v>--</v>
      </c>
      <c r="AR28" s="1510"/>
      <c r="AS28" s="2060"/>
      <c r="AT28" s="2060"/>
      <c r="AU28" s="2060" t="str">
        <f t="shared" si="10"/>
        <v>--</v>
      </c>
      <c r="AV28" s="1975" t="e">
        <f>IF(AND('Growth&amp;Margins'!Y80&gt;(AV$45-AV$46),'Growth&amp;Margins'!Y80&lt;(AV$45+AV$46)),'Growth&amp;Margins'!Y80,"--")</f>
        <v>#VALUE!</v>
      </c>
      <c r="AW28" s="1549" t="str">
        <f t="shared" si="11"/>
        <v>--</v>
      </c>
      <c r="AX28" s="1549"/>
      <c r="AY28" s="1975" t="e">
        <f>IF(AND('Growth&amp;Margins'!Z80&gt;(AY$45-AY$46),'Growth&amp;Margins'!Z80&lt;(AY$45+AY$46)),'Growth&amp;Margins'!Z80,"--")</f>
        <v>#VALUE!</v>
      </c>
      <c r="AZ28" s="1549" t="str">
        <f t="shared" si="12"/>
        <v>--</v>
      </c>
      <c r="BA28" s="2060"/>
      <c r="BB28" s="1975" t="e">
        <f>IF(AND('Growth&amp;Margins'!AA80&gt;(BB$45-BB$46),'Growth&amp;Margins'!AA80&lt;(BB$45+BB$46)),'Growth&amp;Margins'!AA80,"--")</f>
        <v>#VALUE!</v>
      </c>
      <c r="BC28" s="1549" t="str">
        <f t="shared" si="13"/>
        <v>--</v>
      </c>
      <c r="BD28" s="2060"/>
      <c r="BE28" s="1975" t="e">
        <f>IF(AND('Growth&amp;Margins'!AB80&gt;(BE$45-BE$46),'Growth&amp;Margins'!AB80&lt;(BE$45+BE$46)),'Growth&amp;Margins'!AB80,"--")</f>
        <v>#VALUE!</v>
      </c>
      <c r="BF28" s="1549" t="str">
        <f t="shared" si="14"/>
        <v>--</v>
      </c>
      <c r="BG28" s="43"/>
      <c r="BH28" s="2060"/>
      <c r="BI28" s="2060" t="str">
        <f t="shared" si="15"/>
        <v>--</v>
      </c>
      <c r="BJ28" s="1975" t="e">
        <f>IF(AND('Growth&amp;Margins'!Z28&gt;(BJ$45-BJ$46),'Growth&amp;Margins'!Z28&lt;(BJ$45+BJ$46)),'Growth&amp;Margins'!Z28,"--")</f>
        <v>#VALUE!</v>
      </c>
      <c r="BK28" s="1549" t="str">
        <f t="shared" si="16"/>
        <v>--</v>
      </c>
      <c r="BL28" s="2060"/>
      <c r="BM28" s="1975" t="e">
        <f>IF(AND('Growth&amp;Margins'!AA28&gt;(BM$45-BM$46),'Growth&amp;Margins'!AA28&lt;(BM$45+BM$46)),'Growth&amp;Margins'!AA28,"--")</f>
        <v>#VALUE!</v>
      </c>
      <c r="BN28" s="1549" t="str">
        <f t="shared" si="17"/>
        <v>--</v>
      </c>
      <c r="BO28" s="2060"/>
      <c r="BP28" s="1975" t="e">
        <f>IF(AND('Growth&amp;Margins'!AB28&gt;(BP$45-BP$46),'Growth&amp;Margins'!AB28&lt;(BP$45+BP$46)),'Growth&amp;Margins'!AB28,"--")</f>
        <v>#VALUE!</v>
      </c>
      <c r="BQ28" s="1549" t="str">
        <f t="shared" si="18"/>
        <v>--</v>
      </c>
      <c r="BR28" s="2060"/>
      <c r="BS28" s="1975" t="e">
        <f>IF(AND('Growth&amp;Margins'!AC28&gt;(BS$45-BS$46),'Growth&amp;Margins'!AC28&lt;(BS$45+BS$46)),'Growth&amp;Margins'!AC28,"--")</f>
        <v>#VALUE!</v>
      </c>
      <c r="BT28" s="1549" t="str">
        <f t="shared" si="19"/>
        <v>--</v>
      </c>
      <c r="BU28" s="2060"/>
      <c r="BV28" s="2060"/>
      <c r="BW28" s="2060"/>
      <c r="BX28" s="2060"/>
      <c r="BY28" s="2060"/>
      <c r="BZ28" s="2060"/>
      <c r="CA28" s="2060"/>
      <c r="CB28" s="2060"/>
      <c r="CC28" s="2060"/>
      <c r="CD28" s="2060"/>
      <c r="CE28" s="2060"/>
      <c r="CF28" s="2060"/>
    </row>
    <row r="29" spans="1:84" s="1506" customFormat="1" ht="12.95" customHeight="1">
      <c r="A29" s="1510" t="str">
        <f t="shared" si="56"/>
        <v>n</v>
      </c>
      <c r="B29" s="1510"/>
      <c r="C29" s="173" t="str">
        <f>'DATA GPC'!E$37</f>
        <v>--</v>
      </c>
      <c r="D29" s="467" t="str">
        <f>'WACC and TIC Inputs'!T238</f>
        <v>--</v>
      </c>
      <c r="E29" s="663" t="str">
        <f t="shared" si="1"/>
        <v>--</v>
      </c>
      <c r="F29" s="663" t="str">
        <f t="shared" si="1"/>
        <v>--</v>
      </c>
      <c r="G29" s="663" t="str">
        <f t="shared" ref="G29:P29" si="65">IF($D29=0,"nmf",IFERROR($D29/G85,"--"))</f>
        <v>--</v>
      </c>
      <c r="H29" s="663" t="str">
        <f t="shared" si="65"/>
        <v>--</v>
      </c>
      <c r="I29" s="663" t="str">
        <f t="shared" si="65"/>
        <v>--</v>
      </c>
      <c r="J29" s="663" t="str">
        <f t="shared" si="65"/>
        <v>--</v>
      </c>
      <c r="K29" s="1549" t="str">
        <f t="shared" si="65"/>
        <v>--</v>
      </c>
      <c r="L29" s="1549" t="str">
        <f t="shared" si="65"/>
        <v>--</v>
      </c>
      <c r="M29" s="1549" t="str">
        <f t="shared" si="65"/>
        <v>--</v>
      </c>
      <c r="N29" s="1549" t="str">
        <f t="shared" si="65"/>
        <v>--</v>
      </c>
      <c r="O29" s="1549" t="str">
        <f t="shared" si="65"/>
        <v>--</v>
      </c>
      <c r="P29" s="1549" t="str">
        <f t="shared" si="65"/>
        <v>--</v>
      </c>
      <c r="R29" s="1549" t="str">
        <f t="shared" si="3"/>
        <v>--</v>
      </c>
      <c r="S29" s="1549" t="str">
        <f t="shared" si="3"/>
        <v>--</v>
      </c>
      <c r="T29" s="1549" t="str">
        <f t="shared" ref="T29:AC29" si="66">IFERROR(IF($D29/T85&lt;0,"nmf",$D29/T85),"--")</f>
        <v>--</v>
      </c>
      <c r="U29" s="1549" t="str">
        <f t="shared" si="66"/>
        <v>--</v>
      </c>
      <c r="V29" s="1549" t="str">
        <f t="shared" si="66"/>
        <v>--</v>
      </c>
      <c r="W29" s="1549" t="str">
        <f t="shared" si="66"/>
        <v>--</v>
      </c>
      <c r="X29" s="1549" t="str">
        <f t="shared" si="66"/>
        <v>--</v>
      </c>
      <c r="Y29" s="1549" t="str">
        <f t="shared" si="66"/>
        <v>--</v>
      </c>
      <c r="Z29" s="1549" t="str">
        <f t="shared" si="66"/>
        <v>--</v>
      </c>
      <c r="AA29" s="1549" t="str">
        <f t="shared" si="66"/>
        <v>--</v>
      </c>
      <c r="AB29" s="1549" t="str">
        <f t="shared" si="66"/>
        <v>--</v>
      </c>
      <c r="AC29" s="1549" t="str">
        <f t="shared" si="66"/>
        <v>--</v>
      </c>
      <c r="AE29" s="1549" t="str">
        <f t="shared" si="5"/>
        <v>--</v>
      </c>
      <c r="AF29" s="1549" t="str">
        <f t="shared" si="5"/>
        <v>--</v>
      </c>
      <c r="AG29" s="1549" t="str">
        <f t="shared" si="59"/>
        <v>--</v>
      </c>
      <c r="AH29" s="1549" t="str">
        <f t="shared" si="59"/>
        <v>--</v>
      </c>
      <c r="AI29" s="1549" t="str">
        <f t="shared" si="59"/>
        <v>--</v>
      </c>
      <c r="AJ29" s="1549" t="str">
        <f t="shared" si="59"/>
        <v>--</v>
      </c>
      <c r="AK29" s="1549" t="str">
        <f t="shared" si="59"/>
        <v>--</v>
      </c>
      <c r="AL29" s="1549" t="str">
        <f t="shared" si="59"/>
        <v>--</v>
      </c>
      <c r="AM29" s="1549" t="str">
        <f t="shared" si="59"/>
        <v>--</v>
      </c>
      <c r="AN29" s="1549" t="str">
        <f t="shared" si="59"/>
        <v>--</v>
      </c>
      <c r="AO29" s="1549" t="str">
        <f t="shared" si="60"/>
        <v>--</v>
      </c>
      <c r="AP29" s="1549" t="str">
        <f t="shared" si="60"/>
        <v>--</v>
      </c>
      <c r="AR29" s="1510"/>
      <c r="AS29" s="2060"/>
      <c r="AT29" s="2060"/>
      <c r="AU29" s="2060" t="str">
        <f t="shared" si="10"/>
        <v>--</v>
      </c>
      <c r="AV29" s="1975" t="e">
        <f>IF(AND('Growth&amp;Margins'!Y81&gt;(AV$45-AV$46),'Growth&amp;Margins'!Y81&lt;(AV$45+AV$46)),'Growth&amp;Margins'!Y81,"--")</f>
        <v>#VALUE!</v>
      </c>
      <c r="AW29" s="1549" t="str">
        <f t="shared" si="11"/>
        <v>--</v>
      </c>
      <c r="AX29" s="1549"/>
      <c r="AY29" s="1975" t="e">
        <f>IF(AND('Growth&amp;Margins'!Z81&gt;(AY$45-AY$46),'Growth&amp;Margins'!Z81&lt;(AY$45+AY$46)),'Growth&amp;Margins'!Z81,"--")</f>
        <v>#VALUE!</v>
      </c>
      <c r="AZ29" s="1549" t="str">
        <f t="shared" si="12"/>
        <v>--</v>
      </c>
      <c r="BA29" s="2060"/>
      <c r="BB29" s="1975" t="e">
        <f>IF(AND('Growth&amp;Margins'!AA81&gt;(BB$45-BB$46),'Growth&amp;Margins'!AA81&lt;(BB$45+BB$46)),'Growth&amp;Margins'!AA81,"--")</f>
        <v>#VALUE!</v>
      </c>
      <c r="BC29" s="1549" t="str">
        <f t="shared" si="13"/>
        <v>--</v>
      </c>
      <c r="BD29" s="2060"/>
      <c r="BE29" s="1975" t="e">
        <f>IF(AND('Growth&amp;Margins'!AB81&gt;(BE$45-BE$46),'Growth&amp;Margins'!AB81&lt;(BE$45+BE$46)),'Growth&amp;Margins'!AB81,"--")</f>
        <v>#VALUE!</v>
      </c>
      <c r="BF29" s="1549" t="str">
        <f t="shared" si="14"/>
        <v>--</v>
      </c>
      <c r="BG29" s="43"/>
      <c r="BH29" s="2060"/>
      <c r="BI29" s="2060" t="str">
        <f t="shared" si="15"/>
        <v>--</v>
      </c>
      <c r="BJ29" s="1975" t="e">
        <f>IF(AND('Growth&amp;Margins'!Z29&gt;(BJ$45-BJ$46),'Growth&amp;Margins'!Z29&lt;(BJ$45+BJ$46)),'Growth&amp;Margins'!Z29,"--")</f>
        <v>#VALUE!</v>
      </c>
      <c r="BK29" s="1549" t="str">
        <f t="shared" si="16"/>
        <v>--</v>
      </c>
      <c r="BL29" s="2060"/>
      <c r="BM29" s="1975" t="e">
        <f>IF(AND('Growth&amp;Margins'!AA29&gt;(BM$45-BM$46),'Growth&amp;Margins'!AA29&lt;(BM$45+BM$46)),'Growth&amp;Margins'!AA29,"--")</f>
        <v>#VALUE!</v>
      </c>
      <c r="BN29" s="1549" t="str">
        <f t="shared" si="17"/>
        <v>--</v>
      </c>
      <c r="BO29" s="2060"/>
      <c r="BP29" s="1975" t="e">
        <f>IF(AND('Growth&amp;Margins'!AB29&gt;(BP$45-BP$46),'Growth&amp;Margins'!AB29&lt;(BP$45+BP$46)),'Growth&amp;Margins'!AB29,"--")</f>
        <v>#VALUE!</v>
      </c>
      <c r="BQ29" s="1549" t="str">
        <f t="shared" si="18"/>
        <v>--</v>
      </c>
      <c r="BR29" s="2060"/>
      <c r="BS29" s="1975" t="e">
        <f>IF(AND('Growth&amp;Margins'!AC29&gt;(BS$45-BS$46),'Growth&amp;Margins'!AC29&lt;(BS$45+BS$46)),'Growth&amp;Margins'!AC29,"--")</f>
        <v>#VALUE!</v>
      </c>
      <c r="BT29" s="1549" t="str">
        <f t="shared" si="19"/>
        <v>--</v>
      </c>
      <c r="BU29" s="2060"/>
      <c r="BV29" s="2060"/>
      <c r="BW29" s="2060"/>
      <c r="BX29" s="2060"/>
      <c r="BY29" s="2060"/>
      <c r="BZ29" s="2060"/>
      <c r="CA29" s="2060"/>
      <c r="CB29" s="2060"/>
      <c r="CC29" s="2060"/>
      <c r="CD29" s="2060"/>
      <c r="CE29" s="2060"/>
      <c r="CF29" s="2060"/>
    </row>
    <row r="30" spans="1:84" s="1506" customFormat="1" ht="12.95" customHeight="1">
      <c r="A30" s="1510" t="str">
        <f t="shared" si="56"/>
        <v>n</v>
      </c>
      <c r="B30" s="1510"/>
      <c r="C30" s="173" t="str">
        <f>'DATA GPC'!E$38</f>
        <v>--</v>
      </c>
      <c r="D30" s="467" t="str">
        <f>'WACC and TIC Inputs'!T239</f>
        <v>--</v>
      </c>
      <c r="E30" s="663" t="str">
        <f t="shared" si="1"/>
        <v>--</v>
      </c>
      <c r="F30" s="663" t="str">
        <f t="shared" si="1"/>
        <v>--</v>
      </c>
      <c r="G30" s="663" t="str">
        <f t="shared" ref="G30:P30" si="67">IF($D30=0,"nmf",IFERROR($D30/G86,"--"))</f>
        <v>--</v>
      </c>
      <c r="H30" s="663" t="str">
        <f t="shared" si="67"/>
        <v>--</v>
      </c>
      <c r="I30" s="663" t="str">
        <f t="shared" si="67"/>
        <v>--</v>
      </c>
      <c r="J30" s="663" t="str">
        <f t="shared" si="67"/>
        <v>--</v>
      </c>
      <c r="K30" s="1549" t="str">
        <f t="shared" si="67"/>
        <v>--</v>
      </c>
      <c r="L30" s="1549" t="str">
        <f t="shared" si="67"/>
        <v>--</v>
      </c>
      <c r="M30" s="1549" t="str">
        <f t="shared" si="67"/>
        <v>--</v>
      </c>
      <c r="N30" s="1549" t="str">
        <f t="shared" si="67"/>
        <v>--</v>
      </c>
      <c r="O30" s="1549" t="str">
        <f t="shared" si="67"/>
        <v>--</v>
      </c>
      <c r="P30" s="1549" t="str">
        <f t="shared" si="67"/>
        <v>--</v>
      </c>
      <c r="R30" s="1549" t="str">
        <f t="shared" si="3"/>
        <v>--</v>
      </c>
      <c r="S30" s="1549" t="str">
        <f t="shared" si="3"/>
        <v>--</v>
      </c>
      <c r="T30" s="1549" t="str">
        <f t="shared" ref="T30:AC30" si="68">IFERROR(IF($D30/T86&lt;0,"nmf",$D30/T86),"--")</f>
        <v>--</v>
      </c>
      <c r="U30" s="1549" t="str">
        <f t="shared" si="68"/>
        <v>--</v>
      </c>
      <c r="V30" s="1549" t="str">
        <f t="shared" si="68"/>
        <v>--</v>
      </c>
      <c r="W30" s="1549" t="str">
        <f t="shared" si="68"/>
        <v>--</v>
      </c>
      <c r="X30" s="1549" t="str">
        <f t="shared" si="68"/>
        <v>--</v>
      </c>
      <c r="Y30" s="1549" t="str">
        <f t="shared" si="68"/>
        <v>--</v>
      </c>
      <c r="Z30" s="1549" t="str">
        <f t="shared" si="68"/>
        <v>--</v>
      </c>
      <c r="AA30" s="1549" t="str">
        <f t="shared" si="68"/>
        <v>--</v>
      </c>
      <c r="AB30" s="1549" t="str">
        <f t="shared" si="68"/>
        <v>--</v>
      </c>
      <c r="AC30" s="1549" t="str">
        <f t="shared" si="68"/>
        <v>--</v>
      </c>
      <c r="AE30" s="1549" t="str">
        <f t="shared" si="5"/>
        <v>--</v>
      </c>
      <c r="AF30" s="1549" t="str">
        <f t="shared" si="5"/>
        <v>--</v>
      </c>
      <c r="AG30" s="1549" t="str">
        <f t="shared" si="59"/>
        <v>--</v>
      </c>
      <c r="AH30" s="1549" t="str">
        <f t="shared" si="59"/>
        <v>--</v>
      </c>
      <c r="AI30" s="1549" t="str">
        <f t="shared" si="59"/>
        <v>--</v>
      </c>
      <c r="AJ30" s="1549" t="str">
        <f t="shared" si="59"/>
        <v>--</v>
      </c>
      <c r="AK30" s="1549" t="str">
        <f t="shared" si="59"/>
        <v>--</v>
      </c>
      <c r="AL30" s="1549" t="str">
        <f t="shared" si="59"/>
        <v>--</v>
      </c>
      <c r="AM30" s="1549" t="str">
        <f t="shared" si="59"/>
        <v>--</v>
      </c>
      <c r="AN30" s="1549" t="str">
        <f t="shared" si="59"/>
        <v>--</v>
      </c>
      <c r="AO30" s="1549" t="str">
        <f t="shared" si="60"/>
        <v>--</v>
      </c>
      <c r="AP30" s="1549" t="str">
        <f t="shared" si="60"/>
        <v>--</v>
      </c>
      <c r="AR30" s="1510"/>
      <c r="AS30" s="2060"/>
      <c r="AT30" s="2060"/>
      <c r="AU30" s="2060" t="str">
        <f t="shared" si="10"/>
        <v>--</v>
      </c>
      <c r="AV30" s="1975" t="e">
        <f>IF(AND('Growth&amp;Margins'!Y82&gt;(AV$45-AV$46),'Growth&amp;Margins'!Y82&lt;(AV$45+AV$46)),'Growth&amp;Margins'!Y82,"--")</f>
        <v>#VALUE!</v>
      </c>
      <c r="AW30" s="1549" t="str">
        <f t="shared" si="11"/>
        <v>--</v>
      </c>
      <c r="AX30" s="1549"/>
      <c r="AY30" s="1975" t="e">
        <f>IF(AND('Growth&amp;Margins'!Z82&gt;(AY$45-AY$46),'Growth&amp;Margins'!Z82&lt;(AY$45+AY$46)),'Growth&amp;Margins'!Z82,"--")</f>
        <v>#VALUE!</v>
      </c>
      <c r="AZ30" s="1549" t="str">
        <f t="shared" si="12"/>
        <v>--</v>
      </c>
      <c r="BA30" s="2060"/>
      <c r="BB30" s="1975" t="e">
        <f>IF(AND('Growth&amp;Margins'!AA82&gt;(BB$45-BB$46),'Growth&amp;Margins'!AA82&lt;(BB$45+BB$46)),'Growth&amp;Margins'!AA82,"--")</f>
        <v>#VALUE!</v>
      </c>
      <c r="BC30" s="1549" t="str">
        <f t="shared" si="13"/>
        <v>--</v>
      </c>
      <c r="BD30" s="2060"/>
      <c r="BE30" s="1975" t="e">
        <f>IF(AND('Growth&amp;Margins'!AB82&gt;(BE$45-BE$46),'Growth&amp;Margins'!AB82&lt;(BE$45+BE$46)),'Growth&amp;Margins'!AB82,"--")</f>
        <v>#VALUE!</v>
      </c>
      <c r="BF30" s="1549" t="str">
        <f t="shared" si="14"/>
        <v>--</v>
      </c>
      <c r="BG30" s="43"/>
      <c r="BH30" s="2060"/>
      <c r="BI30" s="2060" t="str">
        <f t="shared" si="15"/>
        <v>--</v>
      </c>
      <c r="BJ30" s="1975" t="e">
        <f>IF(AND('Growth&amp;Margins'!Z30&gt;(BJ$45-BJ$46),'Growth&amp;Margins'!Z30&lt;(BJ$45+BJ$46)),'Growth&amp;Margins'!Z30,"--")</f>
        <v>#VALUE!</v>
      </c>
      <c r="BK30" s="1549" t="str">
        <f t="shared" si="16"/>
        <v>--</v>
      </c>
      <c r="BL30" s="2060"/>
      <c r="BM30" s="1975" t="e">
        <f>IF(AND('Growth&amp;Margins'!AA30&gt;(BM$45-BM$46),'Growth&amp;Margins'!AA30&lt;(BM$45+BM$46)),'Growth&amp;Margins'!AA30,"--")</f>
        <v>#VALUE!</v>
      </c>
      <c r="BN30" s="1549" t="str">
        <f t="shared" si="17"/>
        <v>--</v>
      </c>
      <c r="BO30" s="2060"/>
      <c r="BP30" s="1975" t="e">
        <f>IF(AND('Growth&amp;Margins'!AB30&gt;(BP$45-BP$46),'Growth&amp;Margins'!AB30&lt;(BP$45+BP$46)),'Growth&amp;Margins'!AB30,"--")</f>
        <v>#VALUE!</v>
      </c>
      <c r="BQ30" s="1549" t="str">
        <f t="shared" si="18"/>
        <v>--</v>
      </c>
      <c r="BR30" s="2060"/>
      <c r="BS30" s="1975" t="e">
        <f>IF(AND('Growth&amp;Margins'!AC30&gt;(BS$45-BS$46),'Growth&amp;Margins'!AC30&lt;(BS$45+BS$46)),'Growth&amp;Margins'!AC30,"--")</f>
        <v>#VALUE!</v>
      </c>
      <c r="BT30" s="1549" t="str">
        <f t="shared" si="19"/>
        <v>--</v>
      </c>
      <c r="BU30" s="2060"/>
      <c r="BV30" s="2060"/>
      <c r="BW30" s="2060"/>
      <c r="BX30" s="2060"/>
      <c r="BY30" s="2060"/>
      <c r="BZ30" s="2060"/>
      <c r="CA30" s="2060"/>
      <c r="CB30" s="2060"/>
      <c r="CC30" s="2060"/>
      <c r="CD30" s="2060"/>
      <c r="CE30" s="2060"/>
      <c r="CF30" s="2060"/>
    </row>
    <row r="31" spans="1:84" s="1506" customFormat="1" ht="12.95" customHeight="1">
      <c r="A31" s="1510" t="str">
        <f t="shared" si="56"/>
        <v>n</v>
      </c>
      <c r="B31" s="1510"/>
      <c r="C31" s="173" t="str">
        <f>'DATA GPC'!E$39</f>
        <v>--</v>
      </c>
      <c r="D31" s="467" t="str">
        <f>'WACC and TIC Inputs'!T240</f>
        <v>--</v>
      </c>
      <c r="E31" s="663" t="str">
        <f t="shared" si="1"/>
        <v>--</v>
      </c>
      <c r="F31" s="663" t="str">
        <f t="shared" si="1"/>
        <v>--</v>
      </c>
      <c r="G31" s="663" t="str">
        <f t="shared" ref="G31:P31" si="69">IF($D31=0,"nmf",IFERROR($D31/G87,"--"))</f>
        <v>--</v>
      </c>
      <c r="H31" s="663" t="str">
        <f t="shared" si="69"/>
        <v>--</v>
      </c>
      <c r="I31" s="663" t="str">
        <f t="shared" si="69"/>
        <v>--</v>
      </c>
      <c r="J31" s="663" t="str">
        <f t="shared" si="69"/>
        <v>--</v>
      </c>
      <c r="K31" s="1549" t="str">
        <f t="shared" si="69"/>
        <v>--</v>
      </c>
      <c r="L31" s="1549" t="str">
        <f t="shared" si="69"/>
        <v>--</v>
      </c>
      <c r="M31" s="1549" t="str">
        <f t="shared" si="69"/>
        <v>--</v>
      </c>
      <c r="N31" s="1549" t="str">
        <f t="shared" si="69"/>
        <v>--</v>
      </c>
      <c r="O31" s="1549" t="str">
        <f t="shared" si="69"/>
        <v>--</v>
      </c>
      <c r="P31" s="1549" t="str">
        <f t="shared" si="69"/>
        <v>--</v>
      </c>
      <c r="R31" s="1549" t="str">
        <f t="shared" si="3"/>
        <v>--</v>
      </c>
      <c r="S31" s="1549" t="str">
        <f t="shared" si="3"/>
        <v>--</v>
      </c>
      <c r="T31" s="1549" t="str">
        <f t="shared" ref="T31:AC31" si="70">IFERROR(IF($D31/T87&lt;0,"nmf",$D31/T87),"--")</f>
        <v>--</v>
      </c>
      <c r="U31" s="1549" t="str">
        <f t="shared" si="70"/>
        <v>--</v>
      </c>
      <c r="V31" s="1549" t="str">
        <f t="shared" si="70"/>
        <v>--</v>
      </c>
      <c r="W31" s="1549" t="str">
        <f t="shared" si="70"/>
        <v>--</v>
      </c>
      <c r="X31" s="1549" t="str">
        <f t="shared" si="70"/>
        <v>--</v>
      </c>
      <c r="Y31" s="1549" t="str">
        <f t="shared" si="70"/>
        <v>--</v>
      </c>
      <c r="Z31" s="1549" t="str">
        <f t="shared" si="70"/>
        <v>--</v>
      </c>
      <c r="AA31" s="1549" t="str">
        <f t="shared" si="70"/>
        <v>--</v>
      </c>
      <c r="AB31" s="1549" t="str">
        <f t="shared" si="70"/>
        <v>--</v>
      </c>
      <c r="AC31" s="1549" t="str">
        <f t="shared" si="70"/>
        <v>--</v>
      </c>
      <c r="AE31" s="1549" t="str">
        <f t="shared" si="5"/>
        <v>--</v>
      </c>
      <c r="AF31" s="1549" t="str">
        <f t="shared" si="5"/>
        <v>--</v>
      </c>
      <c r="AG31" s="1549" t="str">
        <f t="shared" si="59"/>
        <v>--</v>
      </c>
      <c r="AH31" s="1549" t="str">
        <f t="shared" si="59"/>
        <v>--</v>
      </c>
      <c r="AI31" s="1549" t="str">
        <f t="shared" si="59"/>
        <v>--</v>
      </c>
      <c r="AJ31" s="1549" t="str">
        <f t="shared" si="59"/>
        <v>--</v>
      </c>
      <c r="AK31" s="1549" t="str">
        <f t="shared" si="59"/>
        <v>--</v>
      </c>
      <c r="AL31" s="1549" t="str">
        <f t="shared" si="59"/>
        <v>--</v>
      </c>
      <c r="AM31" s="1549" t="str">
        <f t="shared" si="59"/>
        <v>--</v>
      </c>
      <c r="AN31" s="1549" t="str">
        <f t="shared" si="59"/>
        <v>--</v>
      </c>
      <c r="AO31" s="1549" t="str">
        <f t="shared" si="60"/>
        <v>--</v>
      </c>
      <c r="AP31" s="1549" t="str">
        <f t="shared" si="60"/>
        <v>--</v>
      </c>
      <c r="AR31" s="1510"/>
      <c r="AS31" s="2060"/>
      <c r="AT31" s="2060"/>
      <c r="AU31" s="2060" t="str">
        <f t="shared" si="10"/>
        <v>--</v>
      </c>
      <c r="AV31" s="1975" t="e">
        <f>IF(AND('Growth&amp;Margins'!Y83&gt;(AV$45-AV$46),'Growth&amp;Margins'!Y83&lt;(AV$45+AV$46)),'Growth&amp;Margins'!Y83,"--")</f>
        <v>#VALUE!</v>
      </c>
      <c r="AW31" s="1549" t="str">
        <f t="shared" si="11"/>
        <v>--</v>
      </c>
      <c r="AX31" s="1549"/>
      <c r="AY31" s="1975" t="e">
        <f>IF(AND('Growth&amp;Margins'!Z83&gt;(AY$45-AY$46),'Growth&amp;Margins'!Z83&lt;(AY$45+AY$46)),'Growth&amp;Margins'!Z83,"--")</f>
        <v>#VALUE!</v>
      </c>
      <c r="AZ31" s="1549" t="str">
        <f t="shared" si="12"/>
        <v>--</v>
      </c>
      <c r="BA31" s="2060"/>
      <c r="BB31" s="1975" t="e">
        <f>IF(AND('Growth&amp;Margins'!AA83&gt;(BB$45-BB$46),'Growth&amp;Margins'!AA83&lt;(BB$45+BB$46)),'Growth&amp;Margins'!AA83,"--")</f>
        <v>#VALUE!</v>
      </c>
      <c r="BC31" s="1549" t="str">
        <f t="shared" si="13"/>
        <v>--</v>
      </c>
      <c r="BD31" s="2060"/>
      <c r="BE31" s="1975" t="e">
        <f>IF(AND('Growth&amp;Margins'!AB83&gt;(BE$45-BE$46),'Growth&amp;Margins'!AB83&lt;(BE$45+BE$46)),'Growth&amp;Margins'!AB83,"--")</f>
        <v>#VALUE!</v>
      </c>
      <c r="BF31" s="1549" t="str">
        <f t="shared" si="14"/>
        <v>--</v>
      </c>
      <c r="BG31" s="43"/>
      <c r="BH31" s="2060"/>
      <c r="BI31" s="2060" t="str">
        <f t="shared" si="15"/>
        <v>--</v>
      </c>
      <c r="BJ31" s="1975" t="e">
        <f>IF(AND('Growth&amp;Margins'!Z31&gt;(BJ$45-BJ$46),'Growth&amp;Margins'!Z31&lt;(BJ$45+BJ$46)),'Growth&amp;Margins'!Z31,"--")</f>
        <v>#VALUE!</v>
      </c>
      <c r="BK31" s="1549" t="str">
        <f t="shared" si="16"/>
        <v>--</v>
      </c>
      <c r="BL31" s="2060"/>
      <c r="BM31" s="1975" t="e">
        <f>IF(AND('Growth&amp;Margins'!AA31&gt;(BM$45-BM$46),'Growth&amp;Margins'!AA31&lt;(BM$45+BM$46)),'Growth&amp;Margins'!AA31,"--")</f>
        <v>#VALUE!</v>
      </c>
      <c r="BN31" s="1549" t="str">
        <f t="shared" si="17"/>
        <v>--</v>
      </c>
      <c r="BO31" s="2060"/>
      <c r="BP31" s="1975" t="e">
        <f>IF(AND('Growth&amp;Margins'!AB31&gt;(BP$45-BP$46),'Growth&amp;Margins'!AB31&lt;(BP$45+BP$46)),'Growth&amp;Margins'!AB31,"--")</f>
        <v>#VALUE!</v>
      </c>
      <c r="BQ31" s="1549" t="str">
        <f t="shared" si="18"/>
        <v>--</v>
      </c>
      <c r="BR31" s="2060"/>
      <c r="BS31" s="1975" t="e">
        <f>IF(AND('Growth&amp;Margins'!AC31&gt;(BS$45-BS$46),'Growth&amp;Margins'!AC31&lt;(BS$45+BS$46)),'Growth&amp;Margins'!AC31,"--")</f>
        <v>#VALUE!</v>
      </c>
      <c r="BT31" s="1549" t="str">
        <f t="shared" si="19"/>
        <v>--</v>
      </c>
      <c r="BU31" s="2060"/>
      <c r="BV31" s="2060"/>
      <c r="BW31" s="2060"/>
      <c r="BX31" s="2060"/>
      <c r="BY31" s="2060"/>
      <c r="BZ31" s="2060"/>
      <c r="CA31" s="2060"/>
      <c r="CB31" s="2060"/>
      <c r="CC31" s="2060"/>
      <c r="CD31" s="2060"/>
      <c r="CE31" s="2060"/>
      <c r="CF31" s="2060"/>
    </row>
    <row r="32" spans="1:84" s="1506" customFormat="1" ht="12.95" customHeight="1">
      <c r="A32" s="1510" t="str">
        <f t="shared" si="56"/>
        <v>n</v>
      </c>
      <c r="B32" s="1510"/>
      <c r="C32" s="173" t="str">
        <f>'DATA GPC'!E$40</f>
        <v>--</v>
      </c>
      <c r="D32" s="467" t="str">
        <f>'WACC and TIC Inputs'!T241</f>
        <v>--</v>
      </c>
      <c r="E32" s="663" t="str">
        <f t="shared" si="1"/>
        <v>--</v>
      </c>
      <c r="F32" s="663" t="str">
        <f t="shared" si="1"/>
        <v>--</v>
      </c>
      <c r="G32" s="663" t="str">
        <f t="shared" ref="G32:P32" si="71">IF($D32=0,"nmf",IFERROR($D32/G88,"--"))</f>
        <v>--</v>
      </c>
      <c r="H32" s="663" t="str">
        <f t="shared" si="71"/>
        <v>--</v>
      </c>
      <c r="I32" s="663" t="str">
        <f t="shared" si="71"/>
        <v>--</v>
      </c>
      <c r="J32" s="663" t="str">
        <f t="shared" si="71"/>
        <v>--</v>
      </c>
      <c r="K32" s="1549" t="str">
        <f t="shared" si="71"/>
        <v>--</v>
      </c>
      <c r="L32" s="1549" t="str">
        <f t="shared" si="71"/>
        <v>--</v>
      </c>
      <c r="M32" s="1549" t="str">
        <f t="shared" si="71"/>
        <v>--</v>
      </c>
      <c r="N32" s="1549" t="str">
        <f t="shared" si="71"/>
        <v>--</v>
      </c>
      <c r="O32" s="1549" t="str">
        <f t="shared" si="71"/>
        <v>--</v>
      </c>
      <c r="P32" s="1549" t="str">
        <f t="shared" si="71"/>
        <v>--</v>
      </c>
      <c r="R32" s="1549" t="str">
        <f t="shared" si="3"/>
        <v>--</v>
      </c>
      <c r="S32" s="1549" t="str">
        <f t="shared" si="3"/>
        <v>--</v>
      </c>
      <c r="T32" s="1549" t="str">
        <f t="shared" ref="T32:AC32" si="72">IFERROR(IF($D32/T88&lt;0,"nmf",$D32/T88),"--")</f>
        <v>--</v>
      </c>
      <c r="U32" s="1549" t="str">
        <f t="shared" si="72"/>
        <v>--</v>
      </c>
      <c r="V32" s="1549" t="str">
        <f t="shared" si="72"/>
        <v>--</v>
      </c>
      <c r="W32" s="1549" t="str">
        <f t="shared" si="72"/>
        <v>--</v>
      </c>
      <c r="X32" s="1549" t="str">
        <f t="shared" si="72"/>
        <v>--</v>
      </c>
      <c r="Y32" s="1549" t="str">
        <f t="shared" si="72"/>
        <v>--</v>
      </c>
      <c r="Z32" s="1549" t="str">
        <f t="shared" si="72"/>
        <v>--</v>
      </c>
      <c r="AA32" s="1549" t="str">
        <f t="shared" si="72"/>
        <v>--</v>
      </c>
      <c r="AB32" s="1549" t="str">
        <f t="shared" si="72"/>
        <v>--</v>
      </c>
      <c r="AC32" s="1549" t="str">
        <f t="shared" si="72"/>
        <v>--</v>
      </c>
      <c r="AE32" s="1549" t="str">
        <f t="shared" si="5"/>
        <v>--</v>
      </c>
      <c r="AF32" s="1549" t="str">
        <f t="shared" si="5"/>
        <v>--</v>
      </c>
      <c r="AG32" s="1549" t="str">
        <f t="shared" si="59"/>
        <v>--</v>
      </c>
      <c r="AH32" s="1549" t="str">
        <f t="shared" si="59"/>
        <v>--</v>
      </c>
      <c r="AI32" s="1549" t="str">
        <f t="shared" si="59"/>
        <v>--</v>
      </c>
      <c r="AJ32" s="1549" t="str">
        <f t="shared" si="59"/>
        <v>--</v>
      </c>
      <c r="AK32" s="1549" t="str">
        <f t="shared" si="59"/>
        <v>--</v>
      </c>
      <c r="AL32" s="1549" t="str">
        <f t="shared" si="59"/>
        <v>--</v>
      </c>
      <c r="AM32" s="1549" t="str">
        <f t="shared" si="59"/>
        <v>--</v>
      </c>
      <c r="AN32" s="1549" t="str">
        <f t="shared" si="59"/>
        <v>--</v>
      </c>
      <c r="AO32" s="1549" t="str">
        <f t="shared" si="60"/>
        <v>--</v>
      </c>
      <c r="AP32" s="1549" t="str">
        <f t="shared" si="60"/>
        <v>--</v>
      </c>
      <c r="AR32" s="1510"/>
      <c r="AS32" s="2060"/>
      <c r="AT32" s="2060"/>
      <c r="AU32" s="2060" t="str">
        <f t="shared" si="10"/>
        <v>--</v>
      </c>
      <c r="AV32" s="1975" t="e">
        <f>IF(AND('Growth&amp;Margins'!Y84&gt;(AV$45-AV$46),'Growth&amp;Margins'!Y84&lt;(AV$45+AV$46)),'Growth&amp;Margins'!Y84,"--")</f>
        <v>#VALUE!</v>
      </c>
      <c r="AW32" s="1549" t="str">
        <f t="shared" si="11"/>
        <v>--</v>
      </c>
      <c r="AX32" s="1549"/>
      <c r="AY32" s="1975" t="e">
        <f>IF(AND('Growth&amp;Margins'!Z84&gt;(AY$45-AY$46),'Growth&amp;Margins'!Z84&lt;(AY$45+AY$46)),'Growth&amp;Margins'!Z84,"--")</f>
        <v>#VALUE!</v>
      </c>
      <c r="AZ32" s="1549" t="str">
        <f t="shared" si="12"/>
        <v>--</v>
      </c>
      <c r="BA32" s="2060"/>
      <c r="BB32" s="1975" t="e">
        <f>IF(AND('Growth&amp;Margins'!AA84&gt;(BB$45-BB$46),'Growth&amp;Margins'!AA84&lt;(BB$45+BB$46)),'Growth&amp;Margins'!AA84,"--")</f>
        <v>#VALUE!</v>
      </c>
      <c r="BC32" s="1549" t="str">
        <f t="shared" si="13"/>
        <v>--</v>
      </c>
      <c r="BD32" s="2060"/>
      <c r="BE32" s="1975" t="e">
        <f>IF(AND('Growth&amp;Margins'!AB84&gt;(BE$45-BE$46),'Growth&amp;Margins'!AB84&lt;(BE$45+BE$46)),'Growth&amp;Margins'!AB84,"--")</f>
        <v>#VALUE!</v>
      </c>
      <c r="BF32" s="1549" t="str">
        <f t="shared" si="14"/>
        <v>--</v>
      </c>
      <c r="BG32" s="43"/>
      <c r="BH32" s="2060"/>
      <c r="BI32" s="2060" t="str">
        <f t="shared" si="15"/>
        <v>--</v>
      </c>
      <c r="BJ32" s="1975" t="e">
        <f>IF(AND('Growth&amp;Margins'!Z32&gt;(BJ$45-BJ$46),'Growth&amp;Margins'!Z32&lt;(BJ$45+BJ$46)),'Growth&amp;Margins'!Z32,"--")</f>
        <v>#VALUE!</v>
      </c>
      <c r="BK32" s="1549" t="str">
        <f t="shared" si="16"/>
        <v>--</v>
      </c>
      <c r="BL32" s="2060"/>
      <c r="BM32" s="1975" t="e">
        <f>IF(AND('Growth&amp;Margins'!AA32&gt;(BM$45-BM$46),'Growth&amp;Margins'!AA32&lt;(BM$45+BM$46)),'Growth&amp;Margins'!AA32,"--")</f>
        <v>#VALUE!</v>
      </c>
      <c r="BN32" s="1549" t="str">
        <f t="shared" si="17"/>
        <v>--</v>
      </c>
      <c r="BO32" s="2060"/>
      <c r="BP32" s="1975" t="e">
        <f>IF(AND('Growth&amp;Margins'!AB32&gt;(BP$45-BP$46),'Growth&amp;Margins'!AB32&lt;(BP$45+BP$46)),'Growth&amp;Margins'!AB32,"--")</f>
        <v>#VALUE!</v>
      </c>
      <c r="BQ32" s="1549" t="str">
        <f t="shared" si="18"/>
        <v>--</v>
      </c>
      <c r="BR32" s="2060"/>
      <c r="BS32" s="1975" t="e">
        <f>IF(AND('Growth&amp;Margins'!AC32&gt;(BS$45-BS$46),'Growth&amp;Margins'!AC32&lt;(BS$45+BS$46)),'Growth&amp;Margins'!AC32,"--")</f>
        <v>#VALUE!</v>
      </c>
      <c r="BT32" s="1549" t="str">
        <f t="shared" si="19"/>
        <v>--</v>
      </c>
      <c r="BU32" s="2060"/>
      <c r="BV32" s="2060"/>
      <c r="BW32" s="2060"/>
      <c r="BX32" s="2060"/>
      <c r="BY32" s="2060"/>
      <c r="BZ32" s="2060"/>
      <c r="CA32" s="2060"/>
      <c r="CB32" s="2060"/>
      <c r="CC32" s="2060"/>
      <c r="CD32" s="2060"/>
      <c r="CE32" s="2060"/>
      <c r="CF32" s="2060"/>
    </row>
    <row r="33" spans="1:84" s="1506" customFormat="1" ht="12.95" customHeight="1">
      <c r="A33" s="1510" t="str">
        <f t="shared" si="56"/>
        <v>n</v>
      </c>
      <c r="B33" s="1510"/>
      <c r="C33" s="173" t="str">
        <f>'DATA GPC'!E$41</f>
        <v>--</v>
      </c>
      <c r="D33" s="467" t="str">
        <f>'WACC and TIC Inputs'!T242</f>
        <v>--</v>
      </c>
      <c r="E33" s="663" t="str">
        <f t="shared" si="1"/>
        <v>--</v>
      </c>
      <c r="F33" s="663" t="str">
        <f t="shared" si="1"/>
        <v>--</v>
      </c>
      <c r="G33" s="663" t="str">
        <f t="shared" ref="G33:P33" si="73">IF($D33=0,"nmf",IFERROR($D33/G89,"--"))</f>
        <v>--</v>
      </c>
      <c r="H33" s="663" t="str">
        <f t="shared" si="73"/>
        <v>--</v>
      </c>
      <c r="I33" s="663" t="str">
        <f t="shared" si="73"/>
        <v>--</v>
      </c>
      <c r="J33" s="663" t="str">
        <f t="shared" si="73"/>
        <v>--</v>
      </c>
      <c r="K33" s="1549" t="str">
        <f t="shared" si="73"/>
        <v>--</v>
      </c>
      <c r="L33" s="1549" t="str">
        <f t="shared" si="73"/>
        <v>--</v>
      </c>
      <c r="M33" s="1549" t="str">
        <f t="shared" si="73"/>
        <v>--</v>
      </c>
      <c r="N33" s="1549" t="str">
        <f t="shared" si="73"/>
        <v>--</v>
      </c>
      <c r="O33" s="1549" t="str">
        <f t="shared" si="73"/>
        <v>--</v>
      </c>
      <c r="P33" s="1549" t="str">
        <f t="shared" si="73"/>
        <v>--</v>
      </c>
      <c r="R33" s="1549" t="str">
        <f t="shared" si="3"/>
        <v>--</v>
      </c>
      <c r="S33" s="1549" t="str">
        <f t="shared" si="3"/>
        <v>--</v>
      </c>
      <c r="T33" s="1549" t="str">
        <f t="shared" ref="T33:AC33" si="74">IFERROR(IF($D33/T89&lt;0,"nmf",$D33/T89),"--")</f>
        <v>--</v>
      </c>
      <c r="U33" s="1549" t="str">
        <f t="shared" si="74"/>
        <v>--</v>
      </c>
      <c r="V33" s="1549" t="str">
        <f t="shared" si="74"/>
        <v>--</v>
      </c>
      <c r="W33" s="1549" t="str">
        <f t="shared" si="74"/>
        <v>--</v>
      </c>
      <c r="X33" s="1549" t="str">
        <f t="shared" si="74"/>
        <v>--</v>
      </c>
      <c r="Y33" s="1549" t="str">
        <f t="shared" si="74"/>
        <v>--</v>
      </c>
      <c r="Z33" s="1549" t="str">
        <f t="shared" si="74"/>
        <v>--</v>
      </c>
      <c r="AA33" s="1549" t="str">
        <f t="shared" si="74"/>
        <v>--</v>
      </c>
      <c r="AB33" s="1549" t="str">
        <f t="shared" si="74"/>
        <v>--</v>
      </c>
      <c r="AC33" s="1549" t="str">
        <f t="shared" si="74"/>
        <v>--</v>
      </c>
      <c r="AE33" s="1549" t="str">
        <f t="shared" si="5"/>
        <v>--</v>
      </c>
      <c r="AF33" s="1549" t="str">
        <f t="shared" si="5"/>
        <v>--</v>
      </c>
      <c r="AG33" s="1549" t="str">
        <f t="shared" si="59"/>
        <v>--</v>
      </c>
      <c r="AH33" s="1549" t="str">
        <f t="shared" si="59"/>
        <v>--</v>
      </c>
      <c r="AI33" s="1549" t="str">
        <f t="shared" si="59"/>
        <v>--</v>
      </c>
      <c r="AJ33" s="1549" t="str">
        <f t="shared" si="59"/>
        <v>--</v>
      </c>
      <c r="AK33" s="1549" t="str">
        <f t="shared" si="59"/>
        <v>--</v>
      </c>
      <c r="AL33" s="1549" t="str">
        <f t="shared" si="59"/>
        <v>--</v>
      </c>
      <c r="AM33" s="1549" t="str">
        <f t="shared" si="59"/>
        <v>--</v>
      </c>
      <c r="AN33" s="1549" t="str">
        <f t="shared" si="59"/>
        <v>--</v>
      </c>
      <c r="AO33" s="1549" t="str">
        <f t="shared" si="60"/>
        <v>--</v>
      </c>
      <c r="AP33" s="1549" t="str">
        <f t="shared" si="60"/>
        <v>--</v>
      </c>
      <c r="AR33" s="1510"/>
      <c r="AS33" s="2060"/>
      <c r="AT33" s="2060"/>
      <c r="AU33" s="2060" t="str">
        <f t="shared" si="10"/>
        <v>--</v>
      </c>
      <c r="AV33" s="1975" t="e">
        <f>IF(AND('Growth&amp;Margins'!Y85&gt;(AV$45-AV$46),'Growth&amp;Margins'!Y85&lt;(AV$45+AV$46)),'Growth&amp;Margins'!Y85,"--")</f>
        <v>#VALUE!</v>
      </c>
      <c r="AW33" s="1549" t="str">
        <f t="shared" si="11"/>
        <v>--</v>
      </c>
      <c r="AX33" s="1549"/>
      <c r="AY33" s="1975" t="e">
        <f>IF(AND('Growth&amp;Margins'!Z85&gt;(AY$45-AY$46),'Growth&amp;Margins'!Z85&lt;(AY$45+AY$46)),'Growth&amp;Margins'!Z85,"--")</f>
        <v>#VALUE!</v>
      </c>
      <c r="AZ33" s="1549" t="str">
        <f t="shared" si="12"/>
        <v>--</v>
      </c>
      <c r="BA33" s="2060"/>
      <c r="BB33" s="1975" t="e">
        <f>IF(AND('Growth&amp;Margins'!AA85&gt;(BB$45-BB$46),'Growth&amp;Margins'!AA85&lt;(BB$45+BB$46)),'Growth&amp;Margins'!AA85,"--")</f>
        <v>#VALUE!</v>
      </c>
      <c r="BC33" s="1549" t="str">
        <f t="shared" si="13"/>
        <v>--</v>
      </c>
      <c r="BD33" s="2060"/>
      <c r="BE33" s="1975" t="e">
        <f>IF(AND('Growth&amp;Margins'!AB85&gt;(BE$45-BE$46),'Growth&amp;Margins'!AB85&lt;(BE$45+BE$46)),'Growth&amp;Margins'!AB85,"--")</f>
        <v>#VALUE!</v>
      </c>
      <c r="BF33" s="1549" t="str">
        <f t="shared" si="14"/>
        <v>--</v>
      </c>
      <c r="BG33" s="43"/>
      <c r="BH33" s="2060"/>
      <c r="BI33" s="2060" t="str">
        <f t="shared" si="15"/>
        <v>--</v>
      </c>
      <c r="BJ33" s="1975" t="e">
        <f>IF(AND('Growth&amp;Margins'!Z33&gt;(BJ$45-BJ$46),'Growth&amp;Margins'!Z33&lt;(BJ$45+BJ$46)),'Growth&amp;Margins'!Z33,"--")</f>
        <v>#VALUE!</v>
      </c>
      <c r="BK33" s="1549" t="str">
        <f t="shared" si="16"/>
        <v>--</v>
      </c>
      <c r="BL33" s="2060"/>
      <c r="BM33" s="1975" t="e">
        <f>IF(AND('Growth&amp;Margins'!AA33&gt;(BM$45-BM$46),'Growth&amp;Margins'!AA33&lt;(BM$45+BM$46)),'Growth&amp;Margins'!AA33,"--")</f>
        <v>#VALUE!</v>
      </c>
      <c r="BN33" s="1549" t="str">
        <f t="shared" si="17"/>
        <v>--</v>
      </c>
      <c r="BO33" s="2060"/>
      <c r="BP33" s="1975" t="e">
        <f>IF(AND('Growth&amp;Margins'!AB33&gt;(BP$45-BP$46),'Growth&amp;Margins'!AB33&lt;(BP$45+BP$46)),'Growth&amp;Margins'!AB33,"--")</f>
        <v>#VALUE!</v>
      </c>
      <c r="BQ33" s="1549" t="str">
        <f t="shared" si="18"/>
        <v>--</v>
      </c>
      <c r="BR33" s="2060"/>
      <c r="BS33" s="1975" t="e">
        <f>IF(AND('Growth&amp;Margins'!AC33&gt;(BS$45-BS$46),'Growth&amp;Margins'!AC33&lt;(BS$45+BS$46)),'Growth&amp;Margins'!AC33,"--")</f>
        <v>#VALUE!</v>
      </c>
      <c r="BT33" s="1549" t="str">
        <f t="shared" si="19"/>
        <v>--</v>
      </c>
      <c r="BU33" s="2060"/>
      <c r="BV33" s="2060"/>
      <c r="BW33" s="2060"/>
      <c r="BX33" s="2060"/>
      <c r="BY33" s="2060"/>
      <c r="BZ33" s="2060"/>
      <c r="CA33" s="2060"/>
      <c r="CB33" s="2060"/>
      <c r="CC33" s="2060"/>
      <c r="CD33" s="2060"/>
      <c r="CE33" s="2060"/>
      <c r="CF33" s="2060"/>
    </row>
    <row r="34" spans="1:84" s="1506" customFormat="1" ht="12.95" customHeight="1">
      <c r="A34" s="1510" t="str">
        <f t="shared" si="56"/>
        <v>n</v>
      </c>
      <c r="B34" s="1510"/>
      <c r="C34" s="173" t="str">
        <f>'DATA GPC'!E$42</f>
        <v>--</v>
      </c>
      <c r="D34" s="467" t="str">
        <f>'WACC and TIC Inputs'!T243</f>
        <v>--</v>
      </c>
      <c r="E34" s="663" t="str">
        <f t="shared" si="1"/>
        <v>--</v>
      </c>
      <c r="F34" s="663" t="str">
        <f t="shared" si="1"/>
        <v>--</v>
      </c>
      <c r="G34" s="663" t="str">
        <f t="shared" ref="G34:P34" si="75">IF($D34=0,"nmf",IFERROR($D34/G90,"--"))</f>
        <v>--</v>
      </c>
      <c r="H34" s="663" t="str">
        <f t="shared" si="75"/>
        <v>--</v>
      </c>
      <c r="I34" s="663" t="str">
        <f t="shared" si="75"/>
        <v>--</v>
      </c>
      <c r="J34" s="663" t="str">
        <f t="shared" si="75"/>
        <v>--</v>
      </c>
      <c r="K34" s="1549" t="str">
        <f t="shared" si="75"/>
        <v>--</v>
      </c>
      <c r="L34" s="1549" t="str">
        <f t="shared" si="75"/>
        <v>--</v>
      </c>
      <c r="M34" s="1549" t="str">
        <f t="shared" si="75"/>
        <v>--</v>
      </c>
      <c r="N34" s="1549" t="str">
        <f t="shared" si="75"/>
        <v>--</v>
      </c>
      <c r="O34" s="1549" t="str">
        <f t="shared" si="75"/>
        <v>--</v>
      </c>
      <c r="P34" s="1549" t="str">
        <f t="shared" si="75"/>
        <v>--</v>
      </c>
      <c r="R34" s="1549" t="str">
        <f t="shared" si="3"/>
        <v>--</v>
      </c>
      <c r="S34" s="1549" t="str">
        <f t="shared" si="3"/>
        <v>--</v>
      </c>
      <c r="T34" s="1549" t="str">
        <f t="shared" ref="T34:AC34" si="76">IFERROR(IF($D34/T90&lt;0,"nmf",$D34/T90),"--")</f>
        <v>--</v>
      </c>
      <c r="U34" s="1549" t="str">
        <f t="shared" si="76"/>
        <v>--</v>
      </c>
      <c r="V34" s="1549" t="str">
        <f t="shared" si="76"/>
        <v>--</v>
      </c>
      <c r="W34" s="1549" t="str">
        <f t="shared" si="76"/>
        <v>--</v>
      </c>
      <c r="X34" s="1549" t="str">
        <f t="shared" si="76"/>
        <v>--</v>
      </c>
      <c r="Y34" s="1549" t="str">
        <f t="shared" si="76"/>
        <v>--</v>
      </c>
      <c r="Z34" s="1549" t="str">
        <f t="shared" si="76"/>
        <v>--</v>
      </c>
      <c r="AA34" s="1549" t="str">
        <f t="shared" si="76"/>
        <v>--</v>
      </c>
      <c r="AB34" s="1549" t="str">
        <f t="shared" si="76"/>
        <v>--</v>
      </c>
      <c r="AC34" s="1549" t="str">
        <f t="shared" si="76"/>
        <v>--</v>
      </c>
      <c r="AE34" s="1549" t="str">
        <f t="shared" si="5"/>
        <v>--</v>
      </c>
      <c r="AF34" s="1549" t="str">
        <f t="shared" si="5"/>
        <v>--</v>
      </c>
      <c r="AG34" s="1549" t="str">
        <f t="shared" si="59"/>
        <v>--</v>
      </c>
      <c r="AH34" s="1549" t="str">
        <f t="shared" si="59"/>
        <v>--</v>
      </c>
      <c r="AI34" s="1549" t="str">
        <f t="shared" si="59"/>
        <v>--</v>
      </c>
      <c r="AJ34" s="1549" t="str">
        <f t="shared" si="59"/>
        <v>--</v>
      </c>
      <c r="AK34" s="1549" t="str">
        <f t="shared" si="59"/>
        <v>--</v>
      </c>
      <c r="AL34" s="1549" t="str">
        <f t="shared" si="59"/>
        <v>--</v>
      </c>
      <c r="AM34" s="1549" t="str">
        <f t="shared" si="59"/>
        <v>--</v>
      </c>
      <c r="AN34" s="1549" t="str">
        <f t="shared" si="59"/>
        <v>--</v>
      </c>
      <c r="AO34" s="1549" t="str">
        <f t="shared" si="60"/>
        <v>--</v>
      </c>
      <c r="AP34" s="1549" t="str">
        <f t="shared" si="60"/>
        <v>--</v>
      </c>
      <c r="AR34" s="1510"/>
      <c r="AS34" s="2060"/>
      <c r="AT34" s="2060"/>
      <c r="AU34" s="2060" t="str">
        <f t="shared" si="10"/>
        <v>--</v>
      </c>
      <c r="AV34" s="1975" t="e">
        <f>IF(AND('Growth&amp;Margins'!Y86&gt;(AV$45-AV$46),'Growth&amp;Margins'!Y86&lt;(AV$45+AV$46)),'Growth&amp;Margins'!Y86,"--")</f>
        <v>#VALUE!</v>
      </c>
      <c r="AW34" s="1549" t="str">
        <f t="shared" si="11"/>
        <v>--</v>
      </c>
      <c r="AX34" s="1549"/>
      <c r="AY34" s="1975" t="e">
        <f>IF(AND('Growth&amp;Margins'!Z86&gt;(AY$45-AY$46),'Growth&amp;Margins'!Z86&lt;(AY$45+AY$46)),'Growth&amp;Margins'!Z86,"--")</f>
        <v>#VALUE!</v>
      </c>
      <c r="AZ34" s="1549" t="str">
        <f t="shared" si="12"/>
        <v>--</v>
      </c>
      <c r="BA34" s="2060"/>
      <c r="BB34" s="1975" t="e">
        <f>IF(AND('Growth&amp;Margins'!AA86&gt;(BB$45-BB$46),'Growth&amp;Margins'!AA86&lt;(BB$45+BB$46)),'Growth&amp;Margins'!AA86,"--")</f>
        <v>#VALUE!</v>
      </c>
      <c r="BC34" s="1549" t="str">
        <f t="shared" si="13"/>
        <v>--</v>
      </c>
      <c r="BD34" s="2060"/>
      <c r="BE34" s="1975" t="e">
        <f>IF(AND('Growth&amp;Margins'!AB86&gt;(BE$45-BE$46),'Growth&amp;Margins'!AB86&lt;(BE$45+BE$46)),'Growth&amp;Margins'!AB86,"--")</f>
        <v>#VALUE!</v>
      </c>
      <c r="BF34" s="1549" t="str">
        <f t="shared" si="14"/>
        <v>--</v>
      </c>
      <c r="BG34" s="43"/>
      <c r="BH34" s="2060"/>
      <c r="BI34" s="2060" t="str">
        <f t="shared" si="15"/>
        <v>--</v>
      </c>
      <c r="BJ34" s="1975" t="e">
        <f>IF(AND('Growth&amp;Margins'!Z34&gt;(BJ$45-BJ$46),'Growth&amp;Margins'!Z34&lt;(BJ$45+BJ$46)),'Growth&amp;Margins'!Z34,"--")</f>
        <v>#VALUE!</v>
      </c>
      <c r="BK34" s="1549" t="str">
        <f t="shared" si="16"/>
        <v>--</v>
      </c>
      <c r="BL34" s="2060"/>
      <c r="BM34" s="1975" t="e">
        <f>IF(AND('Growth&amp;Margins'!AA34&gt;(BM$45-BM$46),'Growth&amp;Margins'!AA34&lt;(BM$45+BM$46)),'Growth&amp;Margins'!AA34,"--")</f>
        <v>#VALUE!</v>
      </c>
      <c r="BN34" s="1549" t="str">
        <f t="shared" si="17"/>
        <v>--</v>
      </c>
      <c r="BO34" s="2060"/>
      <c r="BP34" s="1975" t="e">
        <f>IF(AND('Growth&amp;Margins'!AB34&gt;(BP$45-BP$46),'Growth&amp;Margins'!AB34&lt;(BP$45+BP$46)),'Growth&amp;Margins'!AB34,"--")</f>
        <v>#VALUE!</v>
      </c>
      <c r="BQ34" s="1549" t="str">
        <f t="shared" si="18"/>
        <v>--</v>
      </c>
      <c r="BR34" s="2060"/>
      <c r="BS34" s="1975" t="e">
        <f>IF(AND('Growth&amp;Margins'!AC34&gt;(BS$45-BS$46),'Growth&amp;Margins'!AC34&lt;(BS$45+BS$46)),'Growth&amp;Margins'!AC34,"--")</f>
        <v>#VALUE!</v>
      </c>
      <c r="BT34" s="1549" t="str">
        <f t="shared" si="19"/>
        <v>--</v>
      </c>
      <c r="BU34" s="2060"/>
      <c r="BV34" s="2060"/>
      <c r="BW34" s="2060"/>
      <c r="BX34" s="2060"/>
      <c r="BY34" s="2060"/>
      <c r="BZ34" s="2060"/>
      <c r="CA34" s="2060"/>
      <c r="CB34" s="2060"/>
      <c r="CC34" s="2060"/>
      <c r="CD34" s="2060"/>
      <c r="CE34" s="2060"/>
      <c r="CF34" s="2060"/>
    </row>
    <row r="35" spans="1:84" s="1506" customFormat="1" ht="12.95" customHeight="1">
      <c r="A35" s="1510" t="str">
        <f t="shared" si="56"/>
        <v>n</v>
      </c>
      <c r="B35" s="1510"/>
      <c r="C35" s="173" t="str">
        <f>'DATA GPC'!E$43</f>
        <v>--</v>
      </c>
      <c r="D35" s="467" t="str">
        <f>'WACC and TIC Inputs'!T244</f>
        <v>--</v>
      </c>
      <c r="E35" s="663" t="str">
        <f t="shared" si="1"/>
        <v>--</v>
      </c>
      <c r="F35" s="663" t="str">
        <f t="shared" si="1"/>
        <v>--</v>
      </c>
      <c r="G35" s="663" t="str">
        <f t="shared" ref="G35:P35" si="77">IF($D35=0,"nmf",IFERROR($D35/G91,"--"))</f>
        <v>--</v>
      </c>
      <c r="H35" s="663" t="str">
        <f t="shared" si="77"/>
        <v>--</v>
      </c>
      <c r="I35" s="663" t="str">
        <f t="shared" si="77"/>
        <v>--</v>
      </c>
      <c r="J35" s="663" t="str">
        <f t="shared" si="77"/>
        <v>--</v>
      </c>
      <c r="K35" s="1549" t="str">
        <f t="shared" si="77"/>
        <v>--</v>
      </c>
      <c r="L35" s="1549" t="str">
        <f t="shared" si="77"/>
        <v>--</v>
      </c>
      <c r="M35" s="1549" t="str">
        <f t="shared" si="77"/>
        <v>--</v>
      </c>
      <c r="N35" s="1549" t="str">
        <f t="shared" si="77"/>
        <v>--</v>
      </c>
      <c r="O35" s="1549" t="str">
        <f t="shared" si="77"/>
        <v>--</v>
      </c>
      <c r="P35" s="1549" t="str">
        <f t="shared" si="77"/>
        <v>--</v>
      </c>
      <c r="R35" s="1549" t="str">
        <f t="shared" si="3"/>
        <v>--</v>
      </c>
      <c r="S35" s="1549" t="str">
        <f t="shared" si="3"/>
        <v>--</v>
      </c>
      <c r="T35" s="1549" t="str">
        <f t="shared" ref="T35:AC35" si="78">IFERROR(IF($D35/T91&lt;0,"nmf",$D35/T91),"--")</f>
        <v>--</v>
      </c>
      <c r="U35" s="1549" t="str">
        <f t="shared" si="78"/>
        <v>--</v>
      </c>
      <c r="V35" s="1549" t="str">
        <f t="shared" si="78"/>
        <v>--</v>
      </c>
      <c r="W35" s="1549" t="str">
        <f t="shared" si="78"/>
        <v>--</v>
      </c>
      <c r="X35" s="1549" t="str">
        <f t="shared" si="78"/>
        <v>--</v>
      </c>
      <c r="Y35" s="1549" t="str">
        <f t="shared" si="78"/>
        <v>--</v>
      </c>
      <c r="Z35" s="1549" t="str">
        <f t="shared" si="78"/>
        <v>--</v>
      </c>
      <c r="AA35" s="1549" t="str">
        <f t="shared" si="78"/>
        <v>--</v>
      </c>
      <c r="AB35" s="1549" t="str">
        <f t="shared" si="78"/>
        <v>--</v>
      </c>
      <c r="AC35" s="1549" t="str">
        <f t="shared" si="78"/>
        <v>--</v>
      </c>
      <c r="AE35" s="1549" t="str">
        <f t="shared" si="5"/>
        <v>--</v>
      </c>
      <c r="AF35" s="1549" t="str">
        <f t="shared" si="5"/>
        <v>--</v>
      </c>
      <c r="AG35" s="1549" t="str">
        <f t="shared" si="59"/>
        <v>--</v>
      </c>
      <c r="AH35" s="1549" t="str">
        <f t="shared" si="59"/>
        <v>--</v>
      </c>
      <c r="AI35" s="1549" t="str">
        <f t="shared" si="59"/>
        <v>--</v>
      </c>
      <c r="AJ35" s="1549" t="str">
        <f t="shared" si="59"/>
        <v>--</v>
      </c>
      <c r="AK35" s="1549" t="str">
        <f t="shared" si="59"/>
        <v>--</v>
      </c>
      <c r="AL35" s="1549" t="str">
        <f t="shared" si="59"/>
        <v>--</v>
      </c>
      <c r="AM35" s="1549" t="str">
        <f t="shared" si="59"/>
        <v>--</v>
      </c>
      <c r="AN35" s="1549" t="str">
        <f t="shared" si="59"/>
        <v>--</v>
      </c>
      <c r="AO35" s="1549" t="str">
        <f t="shared" si="60"/>
        <v>--</v>
      </c>
      <c r="AP35" s="1549" t="str">
        <f t="shared" si="60"/>
        <v>--</v>
      </c>
      <c r="AR35" s="1510"/>
      <c r="AS35" s="2060"/>
      <c r="AT35" s="2060"/>
      <c r="AU35" s="2060" t="str">
        <f t="shared" si="10"/>
        <v>--</v>
      </c>
      <c r="AV35" s="1975" t="e">
        <f>IF(AND('Growth&amp;Margins'!Y87&gt;(AV$45-AV$46),'Growth&amp;Margins'!Y87&lt;(AV$45+AV$46)),'Growth&amp;Margins'!Y87,"--")</f>
        <v>#VALUE!</v>
      </c>
      <c r="AW35" s="1549" t="str">
        <f t="shared" si="11"/>
        <v>--</v>
      </c>
      <c r="AX35" s="1549"/>
      <c r="AY35" s="1975" t="e">
        <f>IF(AND('Growth&amp;Margins'!Z87&gt;(AY$45-AY$46),'Growth&amp;Margins'!Z87&lt;(AY$45+AY$46)),'Growth&amp;Margins'!Z87,"--")</f>
        <v>#VALUE!</v>
      </c>
      <c r="AZ35" s="1549" t="str">
        <f t="shared" si="12"/>
        <v>--</v>
      </c>
      <c r="BA35" s="2060"/>
      <c r="BB35" s="1975" t="e">
        <f>IF(AND('Growth&amp;Margins'!AA87&gt;(BB$45-BB$46),'Growth&amp;Margins'!AA87&lt;(BB$45+BB$46)),'Growth&amp;Margins'!AA87,"--")</f>
        <v>#VALUE!</v>
      </c>
      <c r="BC35" s="1549" t="str">
        <f t="shared" si="13"/>
        <v>--</v>
      </c>
      <c r="BD35" s="2060"/>
      <c r="BE35" s="1975" t="e">
        <f>IF(AND('Growth&amp;Margins'!AB87&gt;(BE$45-BE$46),'Growth&amp;Margins'!AB87&lt;(BE$45+BE$46)),'Growth&amp;Margins'!AB87,"--")</f>
        <v>#VALUE!</v>
      </c>
      <c r="BF35" s="1549" t="str">
        <f t="shared" si="14"/>
        <v>--</v>
      </c>
      <c r="BG35" s="43"/>
      <c r="BH35" s="2060"/>
      <c r="BI35" s="2060" t="str">
        <f t="shared" si="15"/>
        <v>--</v>
      </c>
      <c r="BJ35" s="1975" t="e">
        <f>IF(AND('Growth&amp;Margins'!Z35&gt;(BJ$45-BJ$46),'Growth&amp;Margins'!Z35&lt;(BJ$45+BJ$46)),'Growth&amp;Margins'!Z35,"--")</f>
        <v>#VALUE!</v>
      </c>
      <c r="BK35" s="1549" t="str">
        <f t="shared" si="16"/>
        <v>--</v>
      </c>
      <c r="BL35" s="2060"/>
      <c r="BM35" s="1975" t="e">
        <f>IF(AND('Growth&amp;Margins'!AA35&gt;(BM$45-BM$46),'Growth&amp;Margins'!AA35&lt;(BM$45+BM$46)),'Growth&amp;Margins'!AA35,"--")</f>
        <v>#VALUE!</v>
      </c>
      <c r="BN35" s="1549" t="str">
        <f t="shared" si="17"/>
        <v>--</v>
      </c>
      <c r="BO35" s="2060"/>
      <c r="BP35" s="1975" t="e">
        <f>IF(AND('Growth&amp;Margins'!AB35&gt;(BP$45-BP$46),'Growth&amp;Margins'!AB35&lt;(BP$45+BP$46)),'Growth&amp;Margins'!AB35,"--")</f>
        <v>#VALUE!</v>
      </c>
      <c r="BQ35" s="1549" t="str">
        <f t="shared" si="18"/>
        <v>--</v>
      </c>
      <c r="BR35" s="2060"/>
      <c r="BS35" s="1975" t="e">
        <f>IF(AND('Growth&amp;Margins'!AC35&gt;(BS$45-BS$46),'Growth&amp;Margins'!AC35&lt;(BS$45+BS$46)),'Growth&amp;Margins'!AC35,"--")</f>
        <v>#VALUE!</v>
      </c>
      <c r="BT35" s="1549" t="str">
        <f t="shared" si="19"/>
        <v>--</v>
      </c>
      <c r="BU35" s="2060"/>
      <c r="BV35" s="2060"/>
      <c r="BW35" s="2060"/>
      <c r="BX35" s="2060"/>
      <c r="BY35" s="2060"/>
      <c r="BZ35" s="2060"/>
      <c r="CA35" s="2060"/>
      <c r="CB35" s="2060"/>
      <c r="CC35" s="2060"/>
      <c r="CD35" s="2060"/>
      <c r="CE35" s="2060"/>
      <c r="CF35" s="2060"/>
    </row>
    <row r="36" spans="1:84" ht="12.95" customHeight="1">
      <c r="A36" s="1510" t="str">
        <f t="shared" si="56"/>
        <v>n</v>
      </c>
      <c r="B36" s="1510"/>
      <c r="C36" s="173" t="str">
        <f>'DATA GPC'!E$44</f>
        <v>--</v>
      </c>
      <c r="D36" s="467" t="str">
        <f>'WACC and TIC Inputs'!T245</f>
        <v>--</v>
      </c>
      <c r="E36" s="663" t="str">
        <f t="shared" si="1"/>
        <v>--</v>
      </c>
      <c r="F36" s="663" t="str">
        <f t="shared" si="1"/>
        <v>--</v>
      </c>
      <c r="G36" s="663" t="str">
        <f t="shared" ref="G36:P36" si="79">IF($D36=0,"nmf",IFERROR($D36/G92,"--"))</f>
        <v>--</v>
      </c>
      <c r="H36" s="663" t="str">
        <f t="shared" si="79"/>
        <v>--</v>
      </c>
      <c r="I36" s="663" t="str">
        <f t="shared" si="79"/>
        <v>--</v>
      </c>
      <c r="J36" s="663" t="str">
        <f t="shared" si="79"/>
        <v>--</v>
      </c>
      <c r="K36" s="1549" t="str">
        <f t="shared" si="79"/>
        <v>--</v>
      </c>
      <c r="L36" s="1549" t="str">
        <f t="shared" si="79"/>
        <v>--</v>
      </c>
      <c r="M36" s="1549" t="str">
        <f t="shared" si="79"/>
        <v>--</v>
      </c>
      <c r="N36" s="1549" t="str">
        <f t="shared" si="79"/>
        <v>--</v>
      </c>
      <c r="O36" s="1549" t="str">
        <f t="shared" si="79"/>
        <v>--</v>
      </c>
      <c r="P36" s="1549" t="str">
        <f t="shared" si="79"/>
        <v>--</v>
      </c>
      <c r="Q36" s="1506"/>
      <c r="R36" s="1549" t="str">
        <f t="shared" si="3"/>
        <v>--</v>
      </c>
      <c r="S36" s="1549" t="str">
        <f t="shared" si="3"/>
        <v>--</v>
      </c>
      <c r="T36" s="1549" t="str">
        <f t="shared" ref="T36:AC36" si="80">IFERROR(IF($D36/T92&lt;0,"nmf",$D36/T92),"--")</f>
        <v>--</v>
      </c>
      <c r="U36" s="1549" t="str">
        <f t="shared" si="80"/>
        <v>--</v>
      </c>
      <c r="V36" s="1549" t="str">
        <f t="shared" si="80"/>
        <v>--</v>
      </c>
      <c r="W36" s="1549" t="str">
        <f t="shared" si="80"/>
        <v>--</v>
      </c>
      <c r="X36" s="1549" t="str">
        <f t="shared" si="80"/>
        <v>--</v>
      </c>
      <c r="Y36" s="1549" t="str">
        <f t="shared" si="80"/>
        <v>--</v>
      </c>
      <c r="Z36" s="1549" t="str">
        <f t="shared" si="80"/>
        <v>--</v>
      </c>
      <c r="AA36" s="1549" t="str">
        <f t="shared" si="80"/>
        <v>--</v>
      </c>
      <c r="AB36" s="1549" t="str">
        <f t="shared" si="80"/>
        <v>--</v>
      </c>
      <c r="AC36" s="1549" t="str">
        <f t="shared" si="80"/>
        <v>--</v>
      </c>
      <c r="AD36" s="1506"/>
      <c r="AE36" s="1549" t="str">
        <f t="shared" si="5"/>
        <v>--</v>
      </c>
      <c r="AF36" s="1549" t="str">
        <f t="shared" si="5"/>
        <v>--</v>
      </c>
      <c r="AG36" s="1549" t="str">
        <f t="shared" si="59"/>
        <v>--</v>
      </c>
      <c r="AH36" s="1549" t="str">
        <f t="shared" si="59"/>
        <v>--</v>
      </c>
      <c r="AI36" s="1549" t="str">
        <f t="shared" si="59"/>
        <v>--</v>
      </c>
      <c r="AJ36" s="1549" t="str">
        <f t="shared" si="59"/>
        <v>--</v>
      </c>
      <c r="AK36" s="1549" t="str">
        <f t="shared" si="59"/>
        <v>--</v>
      </c>
      <c r="AL36" s="1549" t="str">
        <f t="shared" si="59"/>
        <v>--</v>
      </c>
      <c r="AM36" s="1549" t="str">
        <f t="shared" si="59"/>
        <v>--</v>
      </c>
      <c r="AN36" s="1549" t="str">
        <f t="shared" si="59"/>
        <v>--</v>
      </c>
      <c r="AO36" s="1549" t="str">
        <f t="shared" si="60"/>
        <v>--</v>
      </c>
      <c r="AP36" s="1549" t="str">
        <f t="shared" si="60"/>
        <v>--</v>
      </c>
      <c r="AQ36" s="1506"/>
      <c r="AR36" s="1510"/>
      <c r="AS36" s="2060"/>
      <c r="AT36" s="2060"/>
      <c r="AU36" s="2060" t="str">
        <f t="shared" si="10"/>
        <v>--</v>
      </c>
      <c r="AV36" s="1975" t="e">
        <f>IF(AND('Growth&amp;Margins'!Y88&gt;(AV$45-AV$46),'Growth&amp;Margins'!Y88&lt;(AV$45+AV$46)),'Growth&amp;Margins'!Y88,"--")</f>
        <v>#VALUE!</v>
      </c>
      <c r="AW36" s="1549" t="str">
        <f t="shared" si="11"/>
        <v>--</v>
      </c>
      <c r="AX36" s="1549"/>
      <c r="AY36" s="1975" t="e">
        <f>IF(AND('Growth&amp;Margins'!Z88&gt;(AY$45-AY$46),'Growth&amp;Margins'!Z88&lt;(AY$45+AY$46)),'Growth&amp;Margins'!Z88,"--")</f>
        <v>#VALUE!</v>
      </c>
      <c r="AZ36" s="1549" t="str">
        <f t="shared" si="12"/>
        <v>--</v>
      </c>
      <c r="BA36" s="2060"/>
      <c r="BB36" s="1975" t="e">
        <f>IF(AND('Growth&amp;Margins'!AA88&gt;(BB$45-BB$46),'Growth&amp;Margins'!AA88&lt;(BB$45+BB$46)),'Growth&amp;Margins'!AA88,"--")</f>
        <v>#VALUE!</v>
      </c>
      <c r="BC36" s="1549" t="str">
        <f t="shared" si="13"/>
        <v>--</v>
      </c>
      <c r="BD36" s="2060"/>
      <c r="BE36" s="1975" t="e">
        <f>IF(AND('Growth&amp;Margins'!AB88&gt;(BE$45-BE$46),'Growth&amp;Margins'!AB88&lt;(BE$45+BE$46)),'Growth&amp;Margins'!AB88,"--")</f>
        <v>#VALUE!</v>
      </c>
      <c r="BF36" s="1549" t="str">
        <f t="shared" si="14"/>
        <v>--</v>
      </c>
      <c r="BG36" s="43"/>
      <c r="BH36" s="2060"/>
      <c r="BI36" s="2060" t="str">
        <f t="shared" si="15"/>
        <v>--</v>
      </c>
      <c r="BJ36" s="1975" t="e">
        <f>IF(AND('Growth&amp;Margins'!Z36&gt;(BJ$45-BJ$46),'Growth&amp;Margins'!Z36&lt;(BJ$45+BJ$46)),'Growth&amp;Margins'!Z36,"--")</f>
        <v>#VALUE!</v>
      </c>
      <c r="BK36" s="1549" t="str">
        <f t="shared" si="16"/>
        <v>--</v>
      </c>
      <c r="BL36" s="2060"/>
      <c r="BM36" s="1975" t="e">
        <f>IF(AND('Growth&amp;Margins'!AA36&gt;(BM$45-BM$46),'Growth&amp;Margins'!AA36&lt;(BM$45+BM$46)),'Growth&amp;Margins'!AA36,"--")</f>
        <v>#VALUE!</v>
      </c>
      <c r="BN36" s="1549" t="str">
        <f t="shared" si="17"/>
        <v>--</v>
      </c>
      <c r="BO36" s="2060"/>
      <c r="BP36" s="1975" t="e">
        <f>IF(AND('Growth&amp;Margins'!AB36&gt;(BP$45-BP$46),'Growth&amp;Margins'!AB36&lt;(BP$45+BP$46)),'Growth&amp;Margins'!AB36,"--")</f>
        <v>#VALUE!</v>
      </c>
      <c r="BQ36" s="1549" t="str">
        <f t="shared" si="18"/>
        <v>--</v>
      </c>
      <c r="BR36" s="2060"/>
      <c r="BS36" s="1975" t="e">
        <f>IF(AND('Growth&amp;Margins'!AC36&gt;(BS$45-BS$46),'Growth&amp;Margins'!AC36&lt;(BS$45+BS$46)),'Growth&amp;Margins'!AC36,"--")</f>
        <v>#VALUE!</v>
      </c>
      <c r="BT36" s="1549" t="str">
        <f t="shared" si="19"/>
        <v>--</v>
      </c>
      <c r="BU36" s="2060"/>
      <c r="BV36" s="2060"/>
      <c r="BW36" s="2060"/>
      <c r="BX36" s="2060"/>
      <c r="BY36" s="2060"/>
      <c r="BZ36" s="2060"/>
      <c r="CA36" s="2060"/>
      <c r="CB36" s="2060"/>
      <c r="CC36" s="2060"/>
      <c r="CD36" s="2060"/>
      <c r="CE36" s="2060"/>
      <c r="CF36" s="2060"/>
    </row>
    <row r="37" spans="1:84" ht="12.95" customHeight="1" thickBot="1">
      <c r="A37" s="1510" t="s">
        <v>1467</v>
      </c>
      <c r="B37" s="1510"/>
      <c r="C37" s="1513"/>
      <c r="D37" s="1513"/>
      <c r="E37" s="1513"/>
      <c r="F37" s="1513"/>
      <c r="G37" s="663"/>
      <c r="H37" s="663"/>
      <c r="I37" s="663"/>
      <c r="J37" s="663"/>
      <c r="K37" s="1549"/>
      <c r="L37" s="1549"/>
      <c r="M37" s="1549"/>
      <c r="N37" s="1549"/>
      <c r="O37" s="1549"/>
      <c r="P37" s="1549"/>
      <c r="Q37" s="1506"/>
      <c r="T37" s="255"/>
      <c r="U37" s="255"/>
      <c r="V37" s="255"/>
      <c r="W37" s="255"/>
      <c r="X37" s="255"/>
      <c r="Y37" s="255"/>
      <c r="Z37" s="255"/>
      <c r="AA37" s="255"/>
      <c r="AB37" s="255"/>
      <c r="AC37" s="255"/>
      <c r="AD37" s="1506"/>
      <c r="AJ37" s="1506"/>
      <c r="AK37" s="1506"/>
      <c r="AL37" s="1506"/>
      <c r="AM37" s="1506"/>
      <c r="AN37" s="1506"/>
      <c r="AO37" s="1506"/>
      <c r="AP37" s="1506"/>
      <c r="AQ37" s="1506"/>
      <c r="AR37" s="1510"/>
      <c r="AS37" s="2060"/>
      <c r="AT37" s="2060"/>
      <c r="AU37" s="90"/>
      <c r="AV37" s="1976" t="s">
        <v>1468</v>
      </c>
      <c r="AW37" s="90" t="s">
        <v>1468</v>
      </c>
      <c r="AX37" s="2060"/>
      <c r="AY37" s="1976" t="s">
        <v>1468</v>
      </c>
      <c r="AZ37" s="90" t="s">
        <v>1468</v>
      </c>
      <c r="BA37" s="2060"/>
      <c r="BB37" s="1976" t="s">
        <v>1468</v>
      </c>
      <c r="BC37" s="90" t="s">
        <v>1468</v>
      </c>
      <c r="BD37" s="2060"/>
      <c r="BE37" s="1976" t="s">
        <v>1468</v>
      </c>
      <c r="BF37" s="90" t="s">
        <v>1468</v>
      </c>
      <c r="BG37" s="43"/>
      <c r="BH37" s="2060"/>
      <c r="BI37" s="90"/>
      <c r="BJ37" s="1976" t="s">
        <v>1468</v>
      </c>
      <c r="BK37" s="90" t="s">
        <v>1468</v>
      </c>
      <c r="BL37" s="2060"/>
      <c r="BM37" s="1976" t="s">
        <v>1468</v>
      </c>
      <c r="BN37" s="90" t="s">
        <v>1468</v>
      </c>
      <c r="BO37" s="2060"/>
      <c r="BP37" s="1976" t="s">
        <v>1468</v>
      </c>
      <c r="BQ37" s="90" t="s">
        <v>1468</v>
      </c>
      <c r="BR37" s="2060"/>
      <c r="BS37" s="1976" t="s">
        <v>1468</v>
      </c>
      <c r="BT37" s="90" t="s">
        <v>1468</v>
      </c>
      <c r="BU37" s="2060"/>
      <c r="BV37" s="2060"/>
      <c r="BW37" s="2060"/>
      <c r="BX37" s="2060"/>
      <c r="BY37" s="2060"/>
      <c r="BZ37" s="2060"/>
      <c r="CA37" s="2060"/>
      <c r="CB37" s="2060"/>
      <c r="CC37" s="2060"/>
      <c r="CD37" s="2060"/>
      <c r="CE37" s="2060"/>
      <c r="CF37" s="2060"/>
    </row>
    <row r="38" spans="1:84" ht="12.95" customHeight="1">
      <c r="A38" s="1510"/>
      <c r="B38" s="1510"/>
      <c r="C38" s="1506"/>
      <c r="D38" s="1570" t="s">
        <v>1275</v>
      </c>
      <c r="E38" s="394" t="str">
        <f t="shared" ref="E38:J38" si="81">IFERROR(QUARTILE(E12:E36,4),"n/a")</f>
        <v>n/a</v>
      </c>
      <c r="F38" s="394" t="str">
        <f t="shared" si="81"/>
        <v>n/a</v>
      </c>
      <c r="G38" s="394" t="str">
        <f t="shared" si="81"/>
        <v>n/a</v>
      </c>
      <c r="H38" s="394" t="str">
        <f t="shared" si="81"/>
        <v>n/a</v>
      </c>
      <c r="I38" s="394" t="str">
        <f t="shared" si="81"/>
        <v>n/a</v>
      </c>
      <c r="J38" s="394" t="str">
        <f t="shared" si="81"/>
        <v>n/a</v>
      </c>
      <c r="K38" s="394">
        <f t="shared" ref="K38:P38" si="82">MAX(K12:K36)</f>
        <v>0</v>
      </c>
      <c r="L38" s="394">
        <f t="shared" si="82"/>
        <v>0</v>
      </c>
      <c r="M38" s="394">
        <f t="shared" si="82"/>
        <v>0</v>
      </c>
      <c r="N38" s="394">
        <f t="shared" si="82"/>
        <v>0</v>
      </c>
      <c r="O38" s="394">
        <f t="shared" si="82"/>
        <v>0</v>
      </c>
      <c r="P38" s="394">
        <f t="shared" si="82"/>
        <v>0</v>
      </c>
      <c r="Q38" s="1506"/>
      <c r="R38" s="394">
        <f>MAX(R12:R36)</f>
        <v>0</v>
      </c>
      <c r="S38" s="394">
        <f>MAX(S12:S36)</f>
        <v>0</v>
      </c>
      <c r="T38" s="394">
        <f t="shared" ref="T38:AC38" si="83">MAX(T12:T36)</f>
        <v>0</v>
      </c>
      <c r="U38" s="394">
        <f t="shared" si="83"/>
        <v>0</v>
      </c>
      <c r="V38" s="394">
        <f t="shared" si="83"/>
        <v>0</v>
      </c>
      <c r="W38" s="394">
        <f t="shared" si="83"/>
        <v>0</v>
      </c>
      <c r="X38" s="394">
        <f t="shared" si="83"/>
        <v>0</v>
      </c>
      <c r="Y38" s="394">
        <f t="shared" si="83"/>
        <v>0</v>
      </c>
      <c r="Z38" s="394">
        <f t="shared" si="83"/>
        <v>0</v>
      </c>
      <c r="AA38" s="394">
        <f t="shared" si="83"/>
        <v>0</v>
      </c>
      <c r="AB38" s="394">
        <f t="shared" si="83"/>
        <v>0</v>
      </c>
      <c r="AC38" s="394">
        <f t="shared" si="83"/>
        <v>0</v>
      </c>
      <c r="AD38" s="1506"/>
      <c r="AE38" s="229">
        <f>MAX(AE12:AE36)</f>
        <v>0</v>
      </c>
      <c r="AF38" s="229">
        <f>MAX(AF12:AF36)</f>
        <v>0</v>
      </c>
      <c r="AG38" s="229">
        <f t="shared" ref="AG38:AP38" si="84">MAX(AG12:AG36)</f>
        <v>0</v>
      </c>
      <c r="AH38" s="229">
        <f t="shared" si="84"/>
        <v>0</v>
      </c>
      <c r="AI38" s="229">
        <f t="shared" si="84"/>
        <v>0</v>
      </c>
      <c r="AJ38" s="229">
        <f t="shared" si="84"/>
        <v>0</v>
      </c>
      <c r="AK38" s="229">
        <f t="shared" si="84"/>
        <v>0</v>
      </c>
      <c r="AL38" s="229">
        <f t="shared" si="84"/>
        <v>0</v>
      </c>
      <c r="AM38" s="229">
        <f t="shared" si="84"/>
        <v>0</v>
      </c>
      <c r="AN38" s="229">
        <f t="shared" si="84"/>
        <v>0</v>
      </c>
      <c r="AO38" s="229">
        <f t="shared" si="84"/>
        <v>0</v>
      </c>
      <c r="AP38" s="229">
        <f t="shared" si="84"/>
        <v>0</v>
      </c>
      <c r="AQ38" s="1506"/>
      <c r="AR38" s="1510"/>
      <c r="AS38" s="2060"/>
      <c r="AT38" s="2060"/>
      <c r="AU38" s="1570" t="s">
        <v>1275</v>
      </c>
      <c r="AV38" s="1977" t="str">
        <f>IFERROR(QUARTILE(AV$12:AV$36,4),"n/a")</f>
        <v>n/a</v>
      </c>
      <c r="AW38" s="1978" t="str">
        <f>IFERROR(QUARTILE(AW12:AW36,4),"n/a")</f>
        <v>n/a</v>
      </c>
      <c r="AX38" s="168"/>
      <c r="AY38" s="1977" t="str">
        <f>IFERROR(QUARTILE(AY$12:AY$36,4),"n/a")</f>
        <v>n/a</v>
      </c>
      <c r="AZ38" s="1978" t="str">
        <f>IFERROR(QUARTILE(AZ12:AZ36,4),"n/a")</f>
        <v>n/a</v>
      </c>
      <c r="BA38" s="168"/>
      <c r="BB38" s="1977" t="str">
        <f>IFERROR(QUARTILE(BB$12:BB$36,4),"n/a")</f>
        <v>n/a</v>
      </c>
      <c r="BC38" s="1978" t="str">
        <f>IFERROR(QUARTILE(BC12:BC36,4),"n/a")</f>
        <v>n/a</v>
      </c>
      <c r="BD38" s="168"/>
      <c r="BE38" s="1977" t="str">
        <f>IFERROR(QUARTILE(BE$12:BE$36,4),"n/a")</f>
        <v>n/a</v>
      </c>
      <c r="BF38" s="1978" t="str">
        <f>IFERROR(QUARTILE(BF12:BF36,4),"n/a")</f>
        <v>n/a</v>
      </c>
      <c r="BG38" s="43"/>
      <c r="BH38" s="2060"/>
      <c r="BI38" s="1570" t="s">
        <v>1275</v>
      </c>
      <c r="BJ38" s="1977" t="str">
        <f>IFERROR(QUARTILE(BJ$12:BJ$36,4),"n/a")</f>
        <v>n/a</v>
      </c>
      <c r="BK38" s="1978" t="str">
        <f>IFERROR(QUARTILE(BK12:BK36,4),"n/a")</f>
        <v>n/a</v>
      </c>
      <c r="BL38" s="168"/>
      <c r="BM38" s="1977" t="str">
        <f>IFERROR(QUARTILE(BM$12:BM$36,4),"n/a")</f>
        <v>n/a</v>
      </c>
      <c r="BN38" s="1978" t="str">
        <f>IFERROR(QUARTILE(BN12:BN36,4),"n/a")</f>
        <v>n/a</v>
      </c>
      <c r="BO38" s="168"/>
      <c r="BP38" s="1977" t="str">
        <f>IFERROR(QUARTILE(BP$12:BP$36,4),"n/a")</f>
        <v>n/a</v>
      </c>
      <c r="BQ38" s="1978" t="str">
        <f>IFERROR(QUARTILE(BQ12:BQ36,4),"n/a")</f>
        <v>n/a</v>
      </c>
      <c r="BR38" s="168"/>
      <c r="BS38" s="1977" t="str">
        <f>IFERROR(QUARTILE(BS$12:BS$36,4),"n/a")</f>
        <v>n/a</v>
      </c>
      <c r="BT38" s="1978" t="str">
        <f>IFERROR(QUARTILE(BT12:BT36,4),"n/a")</f>
        <v>n/a</v>
      </c>
      <c r="BU38" s="2060"/>
      <c r="BV38" s="2060"/>
      <c r="BW38" s="2060"/>
      <c r="BX38" s="2060"/>
      <c r="BY38" s="2060"/>
      <c r="BZ38" s="2060"/>
      <c r="CA38" s="2060"/>
      <c r="CB38" s="2060"/>
      <c r="CC38" s="2060"/>
      <c r="CD38" s="2060"/>
      <c r="CE38" s="2060"/>
      <c r="CF38" s="2060"/>
    </row>
    <row r="39" spans="1:84" s="1506" customFormat="1" ht="12.95" customHeight="1">
      <c r="A39" s="1510"/>
      <c r="B39" s="1510"/>
      <c r="D39" s="1570" t="s">
        <v>1469</v>
      </c>
      <c r="E39" s="1549" t="str">
        <f>IFERROR(QUARTILE(E12:E36,3),"n/a")</f>
        <v>n/a</v>
      </c>
      <c r="F39" s="1549" t="str">
        <f>IFERROR(QUARTILE(F12:F36,3),"n/a")</f>
        <v>n/a</v>
      </c>
      <c r="G39" s="1549" t="str">
        <f t="shared" ref="G39:P39" si="85">IFERROR(QUARTILE(G12:G36,3),"n/a")</f>
        <v>n/a</v>
      </c>
      <c r="H39" s="1549" t="str">
        <f t="shared" si="85"/>
        <v>n/a</v>
      </c>
      <c r="I39" s="1549" t="str">
        <f t="shared" si="85"/>
        <v>n/a</v>
      </c>
      <c r="J39" s="1549" t="str">
        <f t="shared" si="85"/>
        <v>n/a</v>
      </c>
      <c r="K39" s="1549" t="str">
        <f t="shared" si="85"/>
        <v>n/a</v>
      </c>
      <c r="L39" s="1549" t="str">
        <f t="shared" si="85"/>
        <v>n/a</v>
      </c>
      <c r="M39" s="1549" t="str">
        <f t="shared" si="85"/>
        <v>n/a</v>
      </c>
      <c r="N39" s="1549" t="str">
        <f t="shared" si="85"/>
        <v>n/a</v>
      </c>
      <c r="O39" s="1549" t="str">
        <f t="shared" si="85"/>
        <v>n/a</v>
      </c>
      <c r="P39" s="1549" t="str">
        <f t="shared" si="85"/>
        <v>n/a</v>
      </c>
      <c r="R39" s="1549" t="str">
        <f>IFERROR(QUARTILE(R12:R36,3),"n/a")</f>
        <v>n/a</v>
      </c>
      <c r="S39" s="1549" t="str">
        <f>IFERROR(QUARTILE(S12:S36,3),"n/a")</f>
        <v>n/a</v>
      </c>
      <c r="T39" s="1549" t="str">
        <f t="shared" ref="T39:AC39" si="86">IFERROR(QUARTILE(T12:T36,3),"n/a")</f>
        <v>n/a</v>
      </c>
      <c r="U39" s="1549" t="str">
        <f t="shared" si="86"/>
        <v>n/a</v>
      </c>
      <c r="V39" s="1549" t="str">
        <f t="shared" si="86"/>
        <v>n/a</v>
      </c>
      <c r="W39" s="1549" t="str">
        <f t="shared" si="86"/>
        <v>n/a</v>
      </c>
      <c r="X39" s="1549" t="str">
        <f t="shared" si="86"/>
        <v>n/a</v>
      </c>
      <c r="Y39" s="1549" t="str">
        <f t="shared" si="86"/>
        <v>n/a</v>
      </c>
      <c r="Z39" s="1549" t="str">
        <f t="shared" si="86"/>
        <v>n/a</v>
      </c>
      <c r="AA39" s="1549" t="str">
        <f t="shared" si="86"/>
        <v>n/a</v>
      </c>
      <c r="AB39" s="1549" t="str">
        <f t="shared" si="86"/>
        <v>n/a</v>
      </c>
      <c r="AC39" s="1549" t="str">
        <f t="shared" si="86"/>
        <v>n/a</v>
      </c>
      <c r="AE39" s="1549" t="str">
        <f>IFERROR(QUARTILE(AE12:AE36,3),"n/a")</f>
        <v>n/a</v>
      </c>
      <c r="AF39" s="1549" t="str">
        <f>IFERROR(QUARTILE(AF12:AF36,3),"n/a")</f>
        <v>n/a</v>
      </c>
      <c r="AG39" s="1549" t="str">
        <f t="shared" ref="AG39:AP39" si="87">IFERROR(QUARTILE(AG12:AG36,3),"n/a")</f>
        <v>n/a</v>
      </c>
      <c r="AH39" s="1549" t="str">
        <f t="shared" si="87"/>
        <v>n/a</v>
      </c>
      <c r="AI39" s="1549" t="str">
        <f t="shared" si="87"/>
        <v>n/a</v>
      </c>
      <c r="AJ39" s="1549" t="str">
        <f t="shared" si="87"/>
        <v>n/a</v>
      </c>
      <c r="AK39" s="1549" t="str">
        <f t="shared" si="87"/>
        <v>n/a</v>
      </c>
      <c r="AL39" s="1549" t="str">
        <f t="shared" si="87"/>
        <v>n/a</v>
      </c>
      <c r="AM39" s="1549" t="str">
        <f t="shared" si="87"/>
        <v>n/a</v>
      </c>
      <c r="AN39" s="1549" t="str">
        <f t="shared" si="87"/>
        <v>n/a</v>
      </c>
      <c r="AO39" s="1549" t="str">
        <f t="shared" si="87"/>
        <v>n/a</v>
      </c>
      <c r="AP39" s="1549" t="str">
        <f t="shared" si="87"/>
        <v>n/a</v>
      </c>
      <c r="AR39" s="1510"/>
      <c r="AS39" s="2060"/>
      <c r="AT39" s="2060"/>
      <c r="AU39" s="1570" t="s">
        <v>1469</v>
      </c>
      <c r="AV39" s="1977" t="str">
        <f>IFERROR(QUARTILE(AV$12:AV$36,3),"n/a")</f>
        <v>n/a</v>
      </c>
      <c r="AW39" s="1979" t="str">
        <f>IFERROR(QUARTILE(AW12:AW36,3),"n/a")</f>
        <v>n/a</v>
      </c>
      <c r="AX39" s="1549"/>
      <c r="AY39" s="1977" t="str">
        <f>IFERROR(QUARTILE(AY$12:AY$36,3),"n/a")</f>
        <v>n/a</v>
      </c>
      <c r="AZ39" s="1979" t="str">
        <f>IFERROR(QUARTILE(AZ12:AZ36,3),"n/a")</f>
        <v>n/a</v>
      </c>
      <c r="BA39" s="1549"/>
      <c r="BB39" s="1977" t="str">
        <f>IFERROR(QUARTILE(BB$12:BB$36,3),"n/a")</f>
        <v>n/a</v>
      </c>
      <c r="BC39" s="1979" t="str">
        <f>IFERROR(QUARTILE(BC12:BC36,3),"n/a")</f>
        <v>n/a</v>
      </c>
      <c r="BD39" s="1549"/>
      <c r="BE39" s="1977" t="str">
        <f>IFERROR(QUARTILE(BE$12:BE$36,3),"n/a")</f>
        <v>n/a</v>
      </c>
      <c r="BF39" s="1979" t="str">
        <f>IFERROR(QUARTILE(BF12:BF36,3),"n/a")</f>
        <v>n/a</v>
      </c>
      <c r="BG39" s="43"/>
      <c r="BH39" s="2060"/>
      <c r="BI39" s="1570" t="s">
        <v>1469</v>
      </c>
      <c r="BJ39" s="1977" t="str">
        <f>IFERROR(QUARTILE(BJ$12:BJ$36,3),"n/a")</f>
        <v>n/a</v>
      </c>
      <c r="BK39" s="1979" t="str">
        <f>IFERROR(QUARTILE(BK12:BK36,3),"n/a")</f>
        <v>n/a</v>
      </c>
      <c r="BL39" s="1549"/>
      <c r="BM39" s="1977" t="str">
        <f>IFERROR(QUARTILE(BM$12:BM$36,3),"n/a")</f>
        <v>n/a</v>
      </c>
      <c r="BN39" s="1979" t="str">
        <f>IFERROR(QUARTILE(BN12:BN36,3),"n/a")</f>
        <v>n/a</v>
      </c>
      <c r="BO39" s="1549"/>
      <c r="BP39" s="1977" t="str">
        <f>IFERROR(QUARTILE(BP$12:BP$36,3),"n/a")</f>
        <v>n/a</v>
      </c>
      <c r="BQ39" s="1979" t="str">
        <f>IFERROR(QUARTILE(BQ12:BQ36,3),"n/a")</f>
        <v>n/a</v>
      </c>
      <c r="BR39" s="1549"/>
      <c r="BS39" s="1977" t="str">
        <f>IFERROR(QUARTILE(BS$12:BS$36,3),"n/a")</f>
        <v>n/a</v>
      </c>
      <c r="BT39" s="1979" t="str">
        <f>IFERROR(QUARTILE(BT12:BT36,3),"n/a")</f>
        <v>n/a</v>
      </c>
      <c r="BU39" s="2060"/>
      <c r="BV39" s="2060"/>
      <c r="BW39" s="2060"/>
      <c r="BX39" s="2060"/>
      <c r="BY39" s="2060"/>
      <c r="BZ39" s="2060"/>
      <c r="CA39" s="2060"/>
      <c r="CB39" s="2060"/>
      <c r="CC39" s="2060"/>
      <c r="CD39" s="2060"/>
      <c r="CE39" s="2060"/>
      <c r="CF39" s="2060"/>
    </row>
    <row r="40" spans="1:84" ht="12.95" customHeight="1">
      <c r="A40" s="1510"/>
      <c r="B40" s="1510"/>
      <c r="C40" s="1506"/>
      <c r="D40" s="1743" t="s">
        <v>1157</v>
      </c>
      <c r="E40" s="663" t="str">
        <f>IFERROR(AVERAGE(E12:E36),"n/a")</f>
        <v>n/a</v>
      </c>
      <c r="F40" s="663" t="str">
        <f>IFERROR(AVERAGE(F12:F36),"n/a")</f>
        <v>n/a</v>
      </c>
      <c r="G40" s="663" t="str">
        <f t="shared" ref="G40:P40" si="88">IFERROR(AVERAGE(G12:G36),"n/a")</f>
        <v>n/a</v>
      </c>
      <c r="H40" s="663" t="str">
        <f t="shared" si="88"/>
        <v>n/a</v>
      </c>
      <c r="I40" s="663" t="str">
        <f t="shared" si="88"/>
        <v>n/a</v>
      </c>
      <c r="J40" s="663" t="str">
        <f t="shared" si="88"/>
        <v>n/a</v>
      </c>
      <c r="K40" s="1549" t="str">
        <f t="shared" si="88"/>
        <v>n/a</v>
      </c>
      <c r="L40" s="1549" t="str">
        <f t="shared" si="88"/>
        <v>n/a</v>
      </c>
      <c r="M40" s="1549" t="str">
        <f t="shared" si="88"/>
        <v>n/a</v>
      </c>
      <c r="N40" s="1549" t="str">
        <f t="shared" si="88"/>
        <v>n/a</v>
      </c>
      <c r="O40" s="1549" t="str">
        <f t="shared" si="88"/>
        <v>n/a</v>
      </c>
      <c r="P40" s="1549" t="str">
        <f t="shared" si="88"/>
        <v>n/a</v>
      </c>
      <c r="Q40" s="1506"/>
      <c r="R40" s="1549" t="str">
        <f>IFERROR(AVERAGE(R12:R36),"n/a")</f>
        <v>n/a</v>
      </c>
      <c r="S40" s="1549" t="str">
        <f>IFERROR(AVERAGE(S12:S36),"n/a")</f>
        <v>n/a</v>
      </c>
      <c r="T40" s="1549" t="str">
        <f t="shared" ref="T40:AC40" si="89">IFERROR(AVERAGE(T12:T36),"n/a")</f>
        <v>n/a</v>
      </c>
      <c r="U40" s="1549" t="str">
        <f t="shared" si="89"/>
        <v>n/a</v>
      </c>
      <c r="V40" s="1549" t="str">
        <f t="shared" si="89"/>
        <v>n/a</v>
      </c>
      <c r="W40" s="1549" t="str">
        <f t="shared" si="89"/>
        <v>n/a</v>
      </c>
      <c r="X40" s="1549" t="str">
        <f t="shared" si="89"/>
        <v>n/a</v>
      </c>
      <c r="Y40" s="1549" t="str">
        <f t="shared" si="89"/>
        <v>n/a</v>
      </c>
      <c r="Z40" s="1549" t="str">
        <f t="shared" si="89"/>
        <v>n/a</v>
      </c>
      <c r="AA40" s="1549" t="str">
        <f t="shared" si="89"/>
        <v>n/a</v>
      </c>
      <c r="AB40" s="1549" t="str">
        <f t="shared" si="89"/>
        <v>n/a</v>
      </c>
      <c r="AC40" s="1549" t="str">
        <f t="shared" si="89"/>
        <v>n/a</v>
      </c>
      <c r="AD40" s="1506"/>
      <c r="AE40" s="168" t="str">
        <f>IFERROR(AVERAGE(AE12:AE36),"n/a")</f>
        <v>n/a</v>
      </c>
      <c r="AF40" s="168" t="str">
        <f>IFERROR(AVERAGE(AF12:AF36),"n/a")</f>
        <v>n/a</v>
      </c>
      <c r="AG40" s="168" t="str">
        <f t="shared" ref="AG40:AP40" si="90">IFERROR(AVERAGE(AG12:AG36),"n/a")</f>
        <v>n/a</v>
      </c>
      <c r="AH40" s="168" t="str">
        <f t="shared" si="90"/>
        <v>n/a</v>
      </c>
      <c r="AI40" s="168" t="str">
        <f t="shared" si="90"/>
        <v>n/a</v>
      </c>
      <c r="AJ40" s="168" t="str">
        <f t="shared" si="90"/>
        <v>n/a</v>
      </c>
      <c r="AK40" s="168" t="str">
        <f t="shared" si="90"/>
        <v>n/a</v>
      </c>
      <c r="AL40" s="168" t="str">
        <f t="shared" si="90"/>
        <v>n/a</v>
      </c>
      <c r="AM40" s="168" t="str">
        <f t="shared" si="90"/>
        <v>n/a</v>
      </c>
      <c r="AN40" s="168" t="str">
        <f t="shared" si="90"/>
        <v>n/a</v>
      </c>
      <c r="AO40" s="168" t="str">
        <f t="shared" si="90"/>
        <v>n/a</v>
      </c>
      <c r="AP40" s="168" t="str">
        <f t="shared" si="90"/>
        <v>n/a</v>
      </c>
      <c r="AQ40" s="1506"/>
      <c r="AR40" s="1510"/>
      <c r="AS40" s="2060"/>
      <c r="AT40" s="2060"/>
      <c r="AU40" s="1570" t="s">
        <v>1157</v>
      </c>
      <c r="AV40" s="1614" t="str">
        <f>IFERROR(AVERAGE(AV12:AV36),"n/a")</f>
        <v>n/a</v>
      </c>
      <c r="AW40" s="1980" t="str">
        <f>IFERROR(AVERAGE(AW12:AW36),"n/a")</f>
        <v>n/a</v>
      </c>
      <c r="AX40" s="168"/>
      <c r="AY40" s="1614" t="str">
        <f>IFERROR(AVERAGE(AY12:AY36),"n/a")</f>
        <v>n/a</v>
      </c>
      <c r="AZ40" s="1980" t="str">
        <f>IFERROR(AVERAGE(AZ12:AZ36),"n/a")</f>
        <v>n/a</v>
      </c>
      <c r="BA40" s="168"/>
      <c r="BB40" s="1614" t="str">
        <f>IFERROR(AVERAGE(BB12:BB36),"n/a")</f>
        <v>n/a</v>
      </c>
      <c r="BC40" s="1980" t="str">
        <f>IFERROR(AVERAGE(BC12:BC36),"n/a")</f>
        <v>n/a</v>
      </c>
      <c r="BD40" s="168"/>
      <c r="BE40" s="1614" t="str">
        <f>IFERROR(AVERAGE(BE12:BE36),"n/a")</f>
        <v>n/a</v>
      </c>
      <c r="BF40" s="1980" t="str">
        <f>IFERROR(AVERAGE(BF12:BF36),"n/a")</f>
        <v>n/a</v>
      </c>
      <c r="BG40" s="43"/>
      <c r="BH40" s="2060"/>
      <c r="BI40" s="1570" t="s">
        <v>1157</v>
      </c>
      <c r="BJ40" s="1614" t="str">
        <f>IFERROR(AVERAGE(BJ12:BJ36),"n/a")</f>
        <v>n/a</v>
      </c>
      <c r="BK40" s="1980" t="str">
        <f>IFERROR(AVERAGE(BK12:BK36),"n/a")</f>
        <v>n/a</v>
      </c>
      <c r="BL40" s="168"/>
      <c r="BM40" s="1614" t="str">
        <f>IFERROR(AVERAGE(BM12:BM36),"n/a")</f>
        <v>n/a</v>
      </c>
      <c r="BN40" s="1980" t="str">
        <f>IFERROR(AVERAGE(BN12:BN36),"n/a")</f>
        <v>n/a</v>
      </c>
      <c r="BO40" s="168"/>
      <c r="BP40" s="1614" t="str">
        <f>IFERROR(AVERAGE(BP12:BP36),"n/a")</f>
        <v>n/a</v>
      </c>
      <c r="BQ40" s="1980" t="str">
        <f>IFERROR(AVERAGE(BQ12:BQ36),"n/a")</f>
        <v>n/a</v>
      </c>
      <c r="BR40" s="168"/>
      <c r="BS40" s="1614" t="str">
        <f>IFERROR(AVERAGE(BS12:BS36),"n/a")</f>
        <v>n/a</v>
      </c>
      <c r="BT40" s="1980" t="str">
        <f>IFERROR(AVERAGE(BT12:BT36),"n/a")</f>
        <v>n/a</v>
      </c>
      <c r="BU40" s="2060"/>
      <c r="BV40" s="2060"/>
      <c r="BW40" s="2060"/>
      <c r="BX40" s="2060"/>
      <c r="BY40" s="2060"/>
      <c r="BZ40" s="2060"/>
      <c r="CA40" s="2060"/>
      <c r="CB40" s="2060"/>
      <c r="CC40" s="2060"/>
      <c r="CD40" s="2060"/>
      <c r="CE40" s="2060"/>
      <c r="CF40" s="2060"/>
    </row>
    <row r="41" spans="1:84" s="1506" customFormat="1" ht="12.95" customHeight="1">
      <c r="A41" s="1510"/>
      <c r="B41" s="1510"/>
      <c r="D41" s="1570" t="s">
        <v>1158</v>
      </c>
      <c r="E41" s="1549" t="str">
        <f>IFERROR(MEDIAN(E12:E36),"n/a")</f>
        <v>n/a</v>
      </c>
      <c r="F41" s="1549" t="str">
        <f t="shared" ref="F41:AP41" si="91">IFERROR(MEDIAN(F12:F36),"n/a")</f>
        <v>n/a</v>
      </c>
      <c r="G41" s="1549" t="str">
        <f t="shared" si="91"/>
        <v>n/a</v>
      </c>
      <c r="H41" s="1549" t="str">
        <f t="shared" si="91"/>
        <v>n/a</v>
      </c>
      <c r="I41" s="1549" t="str">
        <f t="shared" si="91"/>
        <v>n/a</v>
      </c>
      <c r="J41" s="1549" t="str">
        <f t="shared" si="91"/>
        <v>n/a</v>
      </c>
      <c r="K41" s="1549" t="str">
        <f t="shared" si="91"/>
        <v>n/a</v>
      </c>
      <c r="L41" s="1549" t="str">
        <f t="shared" si="91"/>
        <v>n/a</v>
      </c>
      <c r="M41" s="1549" t="str">
        <f t="shared" si="91"/>
        <v>n/a</v>
      </c>
      <c r="N41" s="1549" t="str">
        <f t="shared" si="91"/>
        <v>n/a</v>
      </c>
      <c r="O41" s="1549" t="str">
        <f t="shared" si="91"/>
        <v>n/a</v>
      </c>
      <c r="P41" s="1549" t="str">
        <f t="shared" si="91"/>
        <v>n/a</v>
      </c>
      <c r="R41" s="1549" t="str">
        <f t="shared" si="91"/>
        <v>n/a</v>
      </c>
      <c r="S41" s="1549" t="str">
        <f t="shared" si="91"/>
        <v>n/a</v>
      </c>
      <c r="T41" s="1549" t="str">
        <f t="shared" si="91"/>
        <v>n/a</v>
      </c>
      <c r="U41" s="1549" t="str">
        <f t="shared" si="91"/>
        <v>n/a</v>
      </c>
      <c r="V41" s="1549" t="str">
        <f t="shared" si="91"/>
        <v>n/a</v>
      </c>
      <c r="W41" s="1549" t="str">
        <f t="shared" si="91"/>
        <v>n/a</v>
      </c>
      <c r="X41" s="1549" t="str">
        <f t="shared" si="91"/>
        <v>n/a</v>
      </c>
      <c r="Y41" s="1549" t="str">
        <f t="shared" si="91"/>
        <v>n/a</v>
      </c>
      <c r="Z41" s="1549" t="str">
        <f t="shared" si="91"/>
        <v>n/a</v>
      </c>
      <c r="AA41" s="1549" t="str">
        <f t="shared" si="91"/>
        <v>n/a</v>
      </c>
      <c r="AB41" s="1549" t="str">
        <f t="shared" si="91"/>
        <v>n/a</v>
      </c>
      <c r="AC41" s="1549" t="str">
        <f t="shared" si="91"/>
        <v>n/a</v>
      </c>
      <c r="AE41" s="1549" t="str">
        <f t="shared" si="91"/>
        <v>n/a</v>
      </c>
      <c r="AF41" s="1549" t="str">
        <f t="shared" si="91"/>
        <v>n/a</v>
      </c>
      <c r="AG41" s="1549" t="str">
        <f t="shared" si="91"/>
        <v>n/a</v>
      </c>
      <c r="AH41" s="1549" t="str">
        <f t="shared" si="91"/>
        <v>n/a</v>
      </c>
      <c r="AI41" s="1549" t="str">
        <f t="shared" si="91"/>
        <v>n/a</v>
      </c>
      <c r="AJ41" s="1549" t="str">
        <f t="shared" si="91"/>
        <v>n/a</v>
      </c>
      <c r="AK41" s="1549" t="str">
        <f t="shared" si="91"/>
        <v>n/a</v>
      </c>
      <c r="AL41" s="1549" t="str">
        <f t="shared" si="91"/>
        <v>n/a</v>
      </c>
      <c r="AM41" s="1549" t="str">
        <f t="shared" si="91"/>
        <v>n/a</v>
      </c>
      <c r="AN41" s="1549" t="str">
        <f t="shared" si="91"/>
        <v>n/a</v>
      </c>
      <c r="AO41" s="1549" t="str">
        <f t="shared" si="91"/>
        <v>n/a</v>
      </c>
      <c r="AP41" s="1549" t="str">
        <f t="shared" si="91"/>
        <v>n/a</v>
      </c>
      <c r="AR41" s="1510"/>
      <c r="AS41" s="2060"/>
      <c r="AT41" s="2060"/>
      <c r="AU41" s="1570" t="s">
        <v>1158</v>
      </c>
      <c r="AV41" s="1977" t="str">
        <f t="shared" ref="AV41:BF41" si="92">IFERROR(MEDIAN(AV12:AV36),"n/a")</f>
        <v>n/a</v>
      </c>
      <c r="AW41" s="1979" t="str">
        <f t="shared" si="92"/>
        <v>n/a</v>
      </c>
      <c r="AX41" s="1549"/>
      <c r="AY41" s="1977" t="str">
        <f t="shared" si="92"/>
        <v>n/a</v>
      </c>
      <c r="AZ41" s="1979" t="str">
        <f t="shared" si="92"/>
        <v>n/a</v>
      </c>
      <c r="BA41" s="1549"/>
      <c r="BB41" s="1977" t="str">
        <f t="shared" si="92"/>
        <v>n/a</v>
      </c>
      <c r="BC41" s="1979" t="str">
        <f t="shared" si="92"/>
        <v>n/a</v>
      </c>
      <c r="BD41" s="1549"/>
      <c r="BE41" s="1977" t="str">
        <f t="shared" si="92"/>
        <v>n/a</v>
      </c>
      <c r="BF41" s="1979" t="str">
        <f t="shared" si="92"/>
        <v>n/a</v>
      </c>
      <c r="BG41" s="43"/>
      <c r="BH41" s="2060"/>
      <c r="BI41" s="1570" t="s">
        <v>1158</v>
      </c>
      <c r="BJ41" s="1977" t="str">
        <f t="shared" ref="BJ41:BT41" si="93">IFERROR(MEDIAN(BJ12:BJ36),"n/a")</f>
        <v>n/a</v>
      </c>
      <c r="BK41" s="1979" t="str">
        <f t="shared" si="93"/>
        <v>n/a</v>
      </c>
      <c r="BL41" s="1549"/>
      <c r="BM41" s="1977" t="str">
        <f t="shared" si="93"/>
        <v>n/a</v>
      </c>
      <c r="BN41" s="1979" t="str">
        <f t="shared" si="93"/>
        <v>n/a</v>
      </c>
      <c r="BO41" s="1549"/>
      <c r="BP41" s="1977" t="str">
        <f t="shared" si="93"/>
        <v>n/a</v>
      </c>
      <c r="BQ41" s="1979" t="str">
        <f t="shared" si="93"/>
        <v>n/a</v>
      </c>
      <c r="BR41" s="1549"/>
      <c r="BS41" s="1977" t="str">
        <f t="shared" si="93"/>
        <v>n/a</v>
      </c>
      <c r="BT41" s="1979" t="str">
        <f t="shared" si="93"/>
        <v>n/a</v>
      </c>
      <c r="BU41" s="2060"/>
      <c r="BV41" s="2060"/>
      <c r="BW41" s="2060"/>
      <c r="BX41" s="2060"/>
      <c r="BY41" s="2060"/>
      <c r="BZ41" s="2060"/>
      <c r="CA41" s="2060"/>
      <c r="CB41" s="2060"/>
      <c r="CC41" s="2060"/>
      <c r="CD41" s="2060"/>
      <c r="CE41" s="2060"/>
      <c r="CF41" s="2060"/>
    </row>
    <row r="42" spans="1:84" s="1506" customFormat="1" ht="12.95" customHeight="1">
      <c r="A42" s="1510"/>
      <c r="B42" s="1510"/>
      <c r="D42" s="1570" t="s">
        <v>1470</v>
      </c>
      <c r="E42" s="1549" t="str">
        <f>IFERROR(QUARTILE(E12:E36,1),"n/a")</f>
        <v>n/a</v>
      </c>
      <c r="F42" s="1549" t="str">
        <f>IFERROR(QUARTILE(F12:F36,1),"n/a")</f>
        <v>n/a</v>
      </c>
      <c r="G42" s="1549" t="str">
        <f t="shared" ref="G42:P42" si="94">IFERROR(QUARTILE(G12:G36,1),"n/a")</f>
        <v>n/a</v>
      </c>
      <c r="H42" s="1549" t="str">
        <f t="shared" si="94"/>
        <v>n/a</v>
      </c>
      <c r="I42" s="1549" t="str">
        <f t="shared" si="94"/>
        <v>n/a</v>
      </c>
      <c r="J42" s="1549" t="str">
        <f t="shared" si="94"/>
        <v>n/a</v>
      </c>
      <c r="K42" s="1549" t="str">
        <f t="shared" si="94"/>
        <v>n/a</v>
      </c>
      <c r="L42" s="1549" t="str">
        <f t="shared" si="94"/>
        <v>n/a</v>
      </c>
      <c r="M42" s="1549" t="str">
        <f t="shared" si="94"/>
        <v>n/a</v>
      </c>
      <c r="N42" s="1549" t="str">
        <f t="shared" si="94"/>
        <v>n/a</v>
      </c>
      <c r="O42" s="1549" t="str">
        <f t="shared" si="94"/>
        <v>n/a</v>
      </c>
      <c r="P42" s="1549" t="str">
        <f t="shared" si="94"/>
        <v>n/a</v>
      </c>
      <c r="R42" s="1549" t="str">
        <f>IFERROR(QUARTILE(R12:R36,1),"n/a")</f>
        <v>n/a</v>
      </c>
      <c r="S42" s="1549" t="str">
        <f>IFERROR(QUARTILE(S12:S36,1),"n/a")</f>
        <v>n/a</v>
      </c>
      <c r="T42" s="1549" t="str">
        <f t="shared" ref="T42:AC42" si="95">IFERROR(QUARTILE(T12:T36,1),"n/a")</f>
        <v>n/a</v>
      </c>
      <c r="U42" s="1549" t="str">
        <f t="shared" si="95"/>
        <v>n/a</v>
      </c>
      <c r="V42" s="1549" t="str">
        <f t="shared" si="95"/>
        <v>n/a</v>
      </c>
      <c r="W42" s="1549" t="str">
        <f t="shared" si="95"/>
        <v>n/a</v>
      </c>
      <c r="X42" s="1549" t="str">
        <f t="shared" si="95"/>
        <v>n/a</v>
      </c>
      <c r="Y42" s="1549" t="str">
        <f t="shared" si="95"/>
        <v>n/a</v>
      </c>
      <c r="Z42" s="1549" t="str">
        <f t="shared" si="95"/>
        <v>n/a</v>
      </c>
      <c r="AA42" s="1549" t="str">
        <f t="shared" si="95"/>
        <v>n/a</v>
      </c>
      <c r="AB42" s="1549" t="str">
        <f t="shared" si="95"/>
        <v>n/a</v>
      </c>
      <c r="AC42" s="1549" t="str">
        <f t="shared" si="95"/>
        <v>n/a</v>
      </c>
      <c r="AE42" s="1549" t="str">
        <f>IFERROR(QUARTILE(AE12:AE36,1),"n/a")</f>
        <v>n/a</v>
      </c>
      <c r="AF42" s="1549" t="str">
        <f>IFERROR(QUARTILE(AF12:AF36,1),"n/a")</f>
        <v>n/a</v>
      </c>
      <c r="AG42" s="1549" t="str">
        <f t="shared" ref="AG42:AP42" si="96">IFERROR(QUARTILE(AG12:AG36,1),"n/a")</f>
        <v>n/a</v>
      </c>
      <c r="AH42" s="1549" t="str">
        <f t="shared" si="96"/>
        <v>n/a</v>
      </c>
      <c r="AI42" s="1549" t="str">
        <f t="shared" si="96"/>
        <v>n/a</v>
      </c>
      <c r="AJ42" s="1549" t="str">
        <f t="shared" si="96"/>
        <v>n/a</v>
      </c>
      <c r="AK42" s="1549" t="str">
        <f t="shared" si="96"/>
        <v>n/a</v>
      </c>
      <c r="AL42" s="1549" t="str">
        <f t="shared" si="96"/>
        <v>n/a</v>
      </c>
      <c r="AM42" s="1549" t="str">
        <f t="shared" si="96"/>
        <v>n/a</v>
      </c>
      <c r="AN42" s="1549" t="str">
        <f t="shared" si="96"/>
        <v>n/a</v>
      </c>
      <c r="AO42" s="1549" t="str">
        <f t="shared" si="96"/>
        <v>n/a</v>
      </c>
      <c r="AP42" s="1549" t="str">
        <f t="shared" si="96"/>
        <v>n/a</v>
      </c>
      <c r="AR42" s="1510"/>
      <c r="AS42" s="2060"/>
      <c r="AT42" s="2060"/>
      <c r="AU42" s="1570" t="s">
        <v>1470</v>
      </c>
      <c r="AV42" s="1977" t="str">
        <f>IFERROR(QUARTILE(AV$12:AV$36,1),"n/a")</f>
        <v>n/a</v>
      </c>
      <c r="AW42" s="1979" t="str">
        <f>IFERROR(QUARTILE(AW12:AW36,1),"n/a")</f>
        <v>n/a</v>
      </c>
      <c r="AX42" s="1549"/>
      <c r="AY42" s="1977" t="str">
        <f>IFERROR(QUARTILE(AY$12:AY$36,1),"n/a")</f>
        <v>n/a</v>
      </c>
      <c r="AZ42" s="1979" t="str">
        <f>IFERROR(QUARTILE(AZ12:AZ36,1),"n/a")</f>
        <v>n/a</v>
      </c>
      <c r="BA42" s="1549"/>
      <c r="BB42" s="1977" t="str">
        <f>IFERROR(QUARTILE(BB$12:BB$36,1),"n/a")</f>
        <v>n/a</v>
      </c>
      <c r="BC42" s="1979" t="str">
        <f>IFERROR(QUARTILE(BC12:BC36,1),"n/a")</f>
        <v>n/a</v>
      </c>
      <c r="BD42" s="1549"/>
      <c r="BE42" s="1977" t="str">
        <f>IFERROR(QUARTILE(BE$12:BE$36,1),"n/a")</f>
        <v>n/a</v>
      </c>
      <c r="BF42" s="1979" t="str">
        <f>IFERROR(QUARTILE(BF12:BF36,1),"n/a")</f>
        <v>n/a</v>
      </c>
      <c r="BG42" s="43"/>
      <c r="BH42" s="2060"/>
      <c r="BI42" s="1570" t="s">
        <v>1470</v>
      </c>
      <c r="BJ42" s="1977" t="str">
        <f>IFERROR(QUARTILE(BJ$12:BJ$36,1),"n/a")</f>
        <v>n/a</v>
      </c>
      <c r="BK42" s="1979" t="str">
        <f>IFERROR(QUARTILE(BK12:BK36,1),"n/a")</f>
        <v>n/a</v>
      </c>
      <c r="BL42" s="1549"/>
      <c r="BM42" s="1977" t="str">
        <f>IFERROR(QUARTILE(BM$12:BM$36,1),"n/a")</f>
        <v>n/a</v>
      </c>
      <c r="BN42" s="1979" t="str">
        <f>IFERROR(QUARTILE(BN12:BN36,1),"n/a")</f>
        <v>n/a</v>
      </c>
      <c r="BO42" s="1549"/>
      <c r="BP42" s="1977" t="str">
        <f>IFERROR(QUARTILE(BP$12:BP$36,1),"n/a")</f>
        <v>n/a</v>
      </c>
      <c r="BQ42" s="1979" t="str">
        <f>IFERROR(QUARTILE(BQ12:BQ36,1),"n/a")</f>
        <v>n/a</v>
      </c>
      <c r="BR42" s="1549"/>
      <c r="BS42" s="1977" t="str">
        <f>IFERROR(QUARTILE(BS$12:BS$36,1),"n/a")</f>
        <v>n/a</v>
      </c>
      <c r="BT42" s="1979" t="str">
        <f>IFERROR(QUARTILE(BT12:BT36,1),"n/a")</f>
        <v>n/a</v>
      </c>
      <c r="BU42" s="2060"/>
      <c r="BV42" s="2060"/>
      <c r="BW42" s="2060"/>
      <c r="BX42" s="2060"/>
      <c r="BY42" s="2060"/>
      <c r="BZ42" s="2060"/>
      <c r="CA42" s="2060"/>
      <c r="CB42" s="2060"/>
      <c r="CC42" s="2060"/>
      <c r="CD42" s="2060"/>
      <c r="CE42" s="2060"/>
      <c r="CF42" s="2060"/>
    </row>
    <row r="43" spans="1:84" s="1506" customFormat="1" ht="12.95" customHeight="1" thickBot="1">
      <c r="A43" s="1510"/>
      <c r="B43" s="1510"/>
      <c r="D43" s="1570" t="s">
        <v>1273</v>
      </c>
      <c r="E43" s="1549" t="str">
        <f>IFERROR(QUARTILE(E12:E36,0),"n/a")</f>
        <v>n/a</v>
      </c>
      <c r="F43" s="1549" t="str">
        <f>IFERROR(QUARTILE(F12:F36,0),"n/a")</f>
        <v>n/a</v>
      </c>
      <c r="G43" s="1549" t="str">
        <f t="shared" ref="G43:P43" si="97">IFERROR(QUARTILE(G12:G36,0),"n/a")</f>
        <v>n/a</v>
      </c>
      <c r="H43" s="1549" t="str">
        <f t="shared" si="97"/>
        <v>n/a</v>
      </c>
      <c r="I43" s="1549" t="str">
        <f t="shared" si="97"/>
        <v>n/a</v>
      </c>
      <c r="J43" s="1549" t="str">
        <f t="shared" si="97"/>
        <v>n/a</v>
      </c>
      <c r="K43" s="1549" t="str">
        <f t="shared" si="97"/>
        <v>n/a</v>
      </c>
      <c r="L43" s="1549" t="str">
        <f t="shared" si="97"/>
        <v>n/a</v>
      </c>
      <c r="M43" s="1549" t="str">
        <f t="shared" si="97"/>
        <v>n/a</v>
      </c>
      <c r="N43" s="1549" t="str">
        <f t="shared" si="97"/>
        <v>n/a</v>
      </c>
      <c r="O43" s="1549" t="str">
        <f t="shared" si="97"/>
        <v>n/a</v>
      </c>
      <c r="P43" s="1549" t="str">
        <f t="shared" si="97"/>
        <v>n/a</v>
      </c>
      <c r="R43" s="1549" t="str">
        <f>IFERROR(QUARTILE(R12:R36,0),"n/a")</f>
        <v>n/a</v>
      </c>
      <c r="S43" s="1549" t="str">
        <f>IFERROR(QUARTILE(S12:S36,0),"n/a")</f>
        <v>n/a</v>
      </c>
      <c r="T43" s="1549" t="str">
        <f t="shared" ref="T43:AC43" si="98">IFERROR(QUARTILE(T12:T36,0),"n/a")</f>
        <v>n/a</v>
      </c>
      <c r="U43" s="1549" t="str">
        <f t="shared" si="98"/>
        <v>n/a</v>
      </c>
      <c r="V43" s="1549" t="str">
        <f t="shared" si="98"/>
        <v>n/a</v>
      </c>
      <c r="W43" s="1549" t="str">
        <f t="shared" si="98"/>
        <v>n/a</v>
      </c>
      <c r="X43" s="1549" t="str">
        <f t="shared" si="98"/>
        <v>n/a</v>
      </c>
      <c r="Y43" s="1549" t="str">
        <f t="shared" si="98"/>
        <v>n/a</v>
      </c>
      <c r="Z43" s="1549" t="str">
        <f t="shared" si="98"/>
        <v>n/a</v>
      </c>
      <c r="AA43" s="1549" t="str">
        <f t="shared" si="98"/>
        <v>n/a</v>
      </c>
      <c r="AB43" s="1549" t="str">
        <f t="shared" si="98"/>
        <v>n/a</v>
      </c>
      <c r="AC43" s="1549" t="str">
        <f t="shared" si="98"/>
        <v>n/a</v>
      </c>
      <c r="AE43" s="1549" t="str">
        <f>IFERROR(QUARTILE(AE12:AE36,0),"n/a")</f>
        <v>n/a</v>
      </c>
      <c r="AF43" s="1549" t="str">
        <f>IFERROR(QUARTILE(AF12:AF36,0),"n/a")</f>
        <v>n/a</v>
      </c>
      <c r="AG43" s="1549" t="str">
        <f t="shared" ref="AG43:AP43" si="99">IFERROR(QUARTILE(AG12:AG36,0),"n/a")</f>
        <v>n/a</v>
      </c>
      <c r="AH43" s="1549" t="str">
        <f t="shared" si="99"/>
        <v>n/a</v>
      </c>
      <c r="AI43" s="1549" t="str">
        <f t="shared" si="99"/>
        <v>n/a</v>
      </c>
      <c r="AJ43" s="1549" t="str">
        <f t="shared" si="99"/>
        <v>n/a</v>
      </c>
      <c r="AK43" s="1549" t="str">
        <f t="shared" si="99"/>
        <v>n/a</v>
      </c>
      <c r="AL43" s="1549" t="str">
        <f t="shared" si="99"/>
        <v>n/a</v>
      </c>
      <c r="AM43" s="1549" t="str">
        <f t="shared" si="99"/>
        <v>n/a</v>
      </c>
      <c r="AN43" s="1549" t="str">
        <f t="shared" si="99"/>
        <v>n/a</v>
      </c>
      <c r="AO43" s="1549" t="str">
        <f t="shared" si="99"/>
        <v>n/a</v>
      </c>
      <c r="AP43" s="1549" t="str">
        <f t="shared" si="99"/>
        <v>n/a</v>
      </c>
      <c r="AR43" s="1510"/>
      <c r="AS43" s="2060"/>
      <c r="AT43" s="2060"/>
      <c r="AU43" s="1570" t="s">
        <v>1273</v>
      </c>
      <c r="AV43" s="1614" t="str">
        <f>IFERROR(QUARTILE(AV$12:AV$36,0),"n/a")</f>
        <v>n/a</v>
      </c>
      <c r="AW43" s="1981" t="str">
        <f>IFERROR(QUARTILE(AW12:AW36,0),"n/a")</f>
        <v>n/a</v>
      </c>
      <c r="AX43" s="1549"/>
      <c r="AY43" s="1614" t="str">
        <f>IFERROR(QUARTILE(AY$12:AY$36,0),"n/a")</f>
        <v>n/a</v>
      </c>
      <c r="AZ43" s="1981" t="str">
        <f>IFERROR(QUARTILE(AZ12:AZ36,0),"n/a")</f>
        <v>n/a</v>
      </c>
      <c r="BA43" s="1549"/>
      <c r="BB43" s="1614" t="str">
        <f>IFERROR(QUARTILE(BB$12:BB$36,0),"n/a")</f>
        <v>n/a</v>
      </c>
      <c r="BC43" s="1981" t="str">
        <f>IFERROR(QUARTILE(BC12:BC36,0),"n/a")</f>
        <v>n/a</v>
      </c>
      <c r="BD43" s="1549"/>
      <c r="BE43" s="1614" t="str">
        <f>IFERROR(QUARTILE(BE$12:BE$36,0),"n/a")</f>
        <v>n/a</v>
      </c>
      <c r="BF43" s="1981" t="str">
        <f>IFERROR(QUARTILE(BF12:BF36,0),"n/a")</f>
        <v>n/a</v>
      </c>
      <c r="BG43" s="43"/>
      <c r="BH43" s="2060"/>
      <c r="BI43" s="1570" t="s">
        <v>1273</v>
      </c>
      <c r="BJ43" s="1614" t="str">
        <f>IFERROR(QUARTILE(BJ$12:BJ$36,0),"n/a")</f>
        <v>n/a</v>
      </c>
      <c r="BK43" s="1981" t="str">
        <f>IFERROR(QUARTILE(BK12:BK36,0),"n/a")</f>
        <v>n/a</v>
      </c>
      <c r="BL43" s="1549"/>
      <c r="BM43" s="1614" t="str">
        <f>IFERROR(QUARTILE(BM$12:BM$36,0),"n/a")</f>
        <v>n/a</v>
      </c>
      <c r="BN43" s="1981" t="str">
        <f>IFERROR(QUARTILE(BN12:BN36,0),"n/a")</f>
        <v>n/a</v>
      </c>
      <c r="BO43" s="1549"/>
      <c r="BP43" s="1614" t="str">
        <f>IFERROR(QUARTILE(BP$12:BP$36,0),"n/a")</f>
        <v>n/a</v>
      </c>
      <c r="BQ43" s="1981" t="str">
        <f>IFERROR(QUARTILE(BQ12:BQ36,0),"n/a")</f>
        <v>n/a</v>
      </c>
      <c r="BR43" s="1549"/>
      <c r="BS43" s="1614" t="str">
        <f>IFERROR(QUARTILE(BS$12:BS$36,0),"n/a")</f>
        <v>n/a</v>
      </c>
      <c r="BT43" s="1981" t="str">
        <f>IFERROR(QUARTILE(BT12:BT36,0),"n/a")</f>
        <v>n/a</v>
      </c>
      <c r="BU43" s="2060"/>
      <c r="BV43" s="2060"/>
      <c r="BW43" s="2060"/>
      <c r="BX43" s="2060"/>
      <c r="BY43" s="2060"/>
      <c r="BZ43" s="2060"/>
      <c r="CA43" s="2060"/>
      <c r="CB43" s="2060"/>
      <c r="CC43" s="2060"/>
      <c r="CD43" s="2060"/>
      <c r="CE43" s="2060"/>
      <c r="CF43" s="2060"/>
    </row>
    <row r="44" spans="1:84" ht="12.95" customHeight="1">
      <c r="A44" s="1510"/>
      <c r="B44" s="1510"/>
      <c r="C44" s="1513"/>
      <c r="D44" s="1513"/>
      <c r="E44" s="1744"/>
      <c r="F44" s="1744"/>
      <c r="G44" s="1744"/>
      <c r="H44" s="1744"/>
      <c r="I44" s="1744"/>
      <c r="J44" s="1744"/>
      <c r="K44" s="394"/>
      <c r="L44" s="394"/>
      <c r="M44" s="394"/>
      <c r="N44" s="394"/>
      <c r="O44" s="394"/>
      <c r="P44" s="394"/>
      <c r="Q44" s="1506"/>
      <c r="R44" s="1745"/>
      <c r="S44" s="1745"/>
      <c r="T44" s="1745"/>
      <c r="U44" s="1745"/>
      <c r="V44" s="1745"/>
      <c r="W44" s="1745"/>
      <c r="X44" s="1746"/>
      <c r="Y44" s="1746"/>
      <c r="Z44" s="1746"/>
      <c r="AA44" s="1746"/>
      <c r="AB44" s="1746"/>
      <c r="AC44" s="1746"/>
      <c r="AD44" s="1506"/>
      <c r="AE44" s="1745"/>
      <c r="AF44" s="1745"/>
      <c r="AG44" s="1745"/>
      <c r="AH44" s="1745"/>
      <c r="AI44" s="1745"/>
      <c r="AJ44" s="1745"/>
      <c r="AK44" s="1745"/>
      <c r="AL44" s="1745"/>
      <c r="AM44" s="1745"/>
      <c r="AN44" s="1745"/>
      <c r="AO44" s="1745"/>
      <c r="AP44" s="1745"/>
      <c r="AQ44" s="1506"/>
      <c r="AR44" s="1510"/>
      <c r="AS44" s="2060"/>
      <c r="AT44" s="2060"/>
      <c r="AU44" s="1029" t="s">
        <v>1471</v>
      </c>
      <c r="AV44" s="1746"/>
      <c r="AW44" s="1502"/>
      <c r="AX44" s="1502"/>
      <c r="AY44" s="1746"/>
      <c r="AZ44" s="1746"/>
      <c r="BA44" s="1502"/>
      <c r="BB44" s="1746"/>
      <c r="BC44" s="1746"/>
      <c r="BD44" s="1502"/>
      <c r="BE44" s="1746"/>
      <c r="BF44" s="2060"/>
      <c r="BG44" s="43"/>
      <c r="BH44" s="2060"/>
      <c r="BI44" s="1029" t="s">
        <v>1471</v>
      </c>
      <c r="BJ44" s="1746"/>
      <c r="BK44" s="1746"/>
      <c r="BL44" s="1502"/>
      <c r="BM44" s="1746"/>
      <c r="BN44" s="1746"/>
      <c r="BO44" s="1502"/>
      <c r="BP44" s="1746"/>
      <c r="BQ44" s="1746"/>
      <c r="BR44" s="1502"/>
      <c r="BS44" s="1746"/>
      <c r="BT44" s="1746"/>
      <c r="BU44" s="2060"/>
      <c r="BV44" s="2060"/>
      <c r="BW44" s="2060"/>
      <c r="BX44" s="2060"/>
      <c r="BY44" s="2060"/>
      <c r="BZ44" s="2060"/>
      <c r="CA44" s="2060"/>
      <c r="CB44" s="2060"/>
      <c r="CC44" s="2060"/>
      <c r="CD44" s="2060"/>
      <c r="CE44" s="2060"/>
      <c r="CF44" s="2060"/>
    </row>
    <row r="45" spans="1:84" s="1506" customFormat="1" ht="12.95" customHeight="1">
      <c r="A45" s="1510"/>
      <c r="B45" s="1510"/>
      <c r="C45" s="1588" t="str">
        <f>"EBIT=Earnings before interest and taxes; EBITDA=Earnings before interest and taxes, depreciation and amortization; "&amp;EVorTIC&amp;"="&amp;EVorTICFull</f>
        <v>EBIT=Earnings before interest and taxes; EBITDA=Earnings before interest and taxes, depreciation and amortization; TIC=Total invested capital</v>
      </c>
      <c r="D45" s="1555"/>
      <c r="E45" s="1555"/>
      <c r="F45" s="1555"/>
      <c r="G45" s="1555"/>
      <c r="H45" s="1555"/>
      <c r="I45" s="1555"/>
      <c r="J45" s="1580"/>
      <c r="K45" s="1549"/>
      <c r="L45" s="1549"/>
      <c r="M45" s="1549"/>
      <c r="N45" s="1549"/>
      <c r="O45" s="1549"/>
      <c r="P45" s="1549"/>
      <c r="Q45" s="1516"/>
      <c r="R45" s="1516"/>
      <c r="S45" s="1516"/>
      <c r="T45" s="1504"/>
      <c r="U45" s="1504"/>
      <c r="V45" s="1504"/>
      <c r="W45" s="1504"/>
      <c r="X45" s="1504"/>
      <c r="Y45" s="1504"/>
      <c r="Z45" s="1504"/>
      <c r="AA45" s="1504"/>
      <c r="AB45" s="1504"/>
      <c r="AC45" s="1504"/>
      <c r="AD45" s="1516"/>
      <c r="AE45" s="1516"/>
      <c r="AF45" s="1516"/>
      <c r="AG45" s="1516"/>
      <c r="AH45" s="1516"/>
      <c r="AI45" s="1516"/>
      <c r="AJ45" s="1516"/>
      <c r="AK45" s="1516"/>
      <c r="AL45" s="1516"/>
      <c r="AM45" s="1516"/>
      <c r="AN45" s="1516"/>
      <c r="AR45" s="1510"/>
      <c r="AS45" s="2060"/>
      <c r="AT45" s="2060"/>
      <c r="AU45" s="2060" t="str">
        <f>'Growth&amp;Margins'!C97</f>
        <v/>
      </c>
      <c r="AV45" s="1975" t="str">
        <f>'Growth&amp;Margins'!Y97</f>
        <v>--</v>
      </c>
      <c r="AW45" s="2060"/>
      <c r="AX45" s="2060"/>
      <c r="AY45" s="1975" t="str">
        <f>'Growth&amp;Margins'!Z97</f>
        <v>--</v>
      </c>
      <c r="AZ45" s="2060"/>
      <c r="BA45" s="2060"/>
      <c r="BB45" s="1975" t="str">
        <f>'Growth&amp;Margins'!AA97</f>
        <v>--</v>
      </c>
      <c r="BC45" s="2060"/>
      <c r="BD45" s="2060"/>
      <c r="BE45" s="1975" t="str">
        <f>'Growth&amp;Margins'!AB97</f>
        <v>--</v>
      </c>
      <c r="BF45" s="2060"/>
      <c r="BG45" s="43"/>
      <c r="BH45" s="2060"/>
      <c r="BI45" s="2060" t="str">
        <f>'Growth&amp;Margins'!C45</f>
        <v/>
      </c>
      <c r="BJ45" s="1975" t="str">
        <f>'Growth&amp;Margins'!Z45</f>
        <v>--</v>
      </c>
      <c r="BK45" s="1975"/>
      <c r="BL45" s="2060"/>
      <c r="BM45" s="1975" t="str">
        <f>'Growth&amp;Margins'!AA45</f>
        <v>--</v>
      </c>
      <c r="BN45" s="1975"/>
      <c r="BO45" s="2060"/>
      <c r="BP45" s="1975" t="str">
        <f>'Growth&amp;Margins'!AB45</f>
        <v>--</v>
      </c>
      <c r="BQ45" s="1975"/>
      <c r="BR45" s="2060"/>
      <c r="BS45" s="1975" t="str">
        <f>'Growth&amp;Margins'!AC45</f>
        <v>--</v>
      </c>
      <c r="BT45" s="1975"/>
      <c r="BU45" s="2060"/>
      <c r="BV45" s="2060"/>
      <c r="BW45" s="2060"/>
      <c r="BX45" s="2060"/>
      <c r="BY45" s="2060"/>
      <c r="BZ45" s="2060"/>
      <c r="CA45" s="2060"/>
      <c r="CB45" s="2060"/>
      <c r="CC45" s="2060"/>
      <c r="CD45" s="2060"/>
      <c r="CE45" s="2060"/>
      <c r="CF45" s="2060"/>
    </row>
    <row r="46" spans="1:84" s="1506" customFormat="1" ht="12.95" customHeight="1">
      <c r="A46" s="1510"/>
      <c r="B46" s="1510"/>
      <c r="C46" s="1588" t="s">
        <v>1472</v>
      </c>
      <c r="D46" s="1555"/>
      <c r="E46" s="1555"/>
      <c r="F46" s="1555"/>
      <c r="G46" s="1555"/>
      <c r="H46" s="1555"/>
      <c r="I46" s="1555"/>
      <c r="J46" s="1580"/>
      <c r="K46" s="1549"/>
      <c r="L46" s="1549"/>
      <c r="M46" s="1549"/>
      <c r="N46" s="1549"/>
      <c r="O46" s="1549"/>
      <c r="P46" s="1549"/>
      <c r="Q46" s="1516"/>
      <c r="R46" s="1516"/>
      <c r="S46" s="1516"/>
      <c r="T46" s="1504"/>
      <c r="U46" s="1504"/>
      <c r="V46" s="1504"/>
      <c r="W46" s="1504"/>
      <c r="X46" s="1504"/>
      <c r="Y46" s="1504"/>
      <c r="Z46" s="1504"/>
      <c r="AA46" s="1504"/>
      <c r="AB46" s="1504"/>
      <c r="AC46" s="1504"/>
      <c r="AD46" s="1516"/>
      <c r="AE46" s="1516"/>
      <c r="AF46" s="1516"/>
      <c r="AG46" s="1516"/>
      <c r="AH46" s="1516"/>
      <c r="AI46" s="1516"/>
      <c r="AJ46" s="1516"/>
      <c r="AK46" s="1516"/>
      <c r="AL46" s="1516"/>
      <c r="AM46" s="1516"/>
      <c r="AN46" s="1516"/>
      <c r="AR46" s="1510"/>
      <c r="AS46" s="2060"/>
      <c r="AT46" s="2060"/>
      <c r="AU46" s="2060" t="s">
        <v>1473</v>
      </c>
      <c r="AV46" s="2241">
        <f>'Guideline Public Company Method'!$U$10</f>
        <v>0.05</v>
      </c>
      <c r="AW46" s="2060"/>
      <c r="AX46" s="2060"/>
      <c r="AY46" s="2241">
        <f>$AV$46</f>
        <v>0.05</v>
      </c>
      <c r="AZ46" s="2060"/>
      <c r="BA46" s="2060"/>
      <c r="BB46" s="2241">
        <f>$AV$46</f>
        <v>0.05</v>
      </c>
      <c r="BC46" s="2060"/>
      <c r="BD46" s="2060"/>
      <c r="BE46" s="2241">
        <f>$AV$46</f>
        <v>0.05</v>
      </c>
      <c r="BF46" s="2060"/>
      <c r="BG46" s="43"/>
      <c r="BH46" s="2060"/>
      <c r="BI46" s="2060" t="s">
        <v>1473</v>
      </c>
      <c r="BJ46" s="2241">
        <f>'Guideline Public Company Method'!$U$16</f>
        <v>0.04</v>
      </c>
      <c r="BL46" s="2060"/>
      <c r="BM46" s="2241">
        <f>$BJ$46</f>
        <v>0.04</v>
      </c>
      <c r="BO46" s="2060"/>
      <c r="BP46" s="2241">
        <f>$BJ$46</f>
        <v>0.04</v>
      </c>
      <c r="BR46" s="2060"/>
      <c r="BS46" s="2241">
        <f>$BJ$46</f>
        <v>0.04</v>
      </c>
      <c r="BU46" s="2060"/>
      <c r="BV46" s="2060"/>
      <c r="BW46" s="2060"/>
      <c r="BX46" s="2060"/>
      <c r="BY46" s="2060"/>
      <c r="BZ46" s="2060"/>
      <c r="CA46" s="2060"/>
      <c r="CB46" s="2060"/>
      <c r="CC46" s="2060"/>
      <c r="CD46" s="2060"/>
      <c r="CE46" s="2060"/>
      <c r="CF46" s="2060"/>
    </row>
    <row r="47" spans="1:84" s="1506" customFormat="1" ht="12.95" customHeight="1">
      <c r="A47" s="1518"/>
      <c r="B47" s="1518"/>
      <c r="C47" s="373" t="s">
        <v>1402</v>
      </c>
      <c r="D47" s="225"/>
      <c r="E47" s="225"/>
      <c r="F47" s="225"/>
      <c r="G47" s="225"/>
      <c r="H47" s="225"/>
      <c r="I47" s="225"/>
      <c r="J47" s="672"/>
      <c r="K47" s="1515"/>
      <c r="L47" s="1515"/>
      <c r="M47" s="1515"/>
      <c r="N47" s="1515"/>
      <c r="O47" s="1515"/>
      <c r="P47" s="1515"/>
      <c r="X47" s="1515"/>
      <c r="Y47" s="1515"/>
      <c r="Z47" s="1515"/>
      <c r="AA47" s="1515"/>
      <c r="AB47" s="1515"/>
      <c r="AC47" s="1515"/>
      <c r="AQ47" s="1515"/>
      <c r="AR47" s="1510"/>
      <c r="AS47" s="2060"/>
      <c r="AT47" s="2060"/>
      <c r="BG47" s="43"/>
      <c r="BV47" s="2060"/>
      <c r="BW47" s="2060"/>
      <c r="BX47" s="2060"/>
      <c r="BY47" s="2060"/>
      <c r="BZ47" s="2060"/>
      <c r="CA47" s="2060"/>
      <c r="CB47" s="2060"/>
      <c r="CC47" s="2060"/>
      <c r="CD47" s="2060"/>
      <c r="CE47" s="2060"/>
      <c r="CF47" s="2060"/>
    </row>
    <row r="48" spans="1:84" s="1506" customFormat="1" ht="12.95" customHeight="1">
      <c r="A48" s="1518"/>
      <c r="B48" s="1518"/>
      <c r="C48" s="373"/>
      <c r="D48" s="225"/>
      <c r="E48" s="225"/>
      <c r="F48" s="225"/>
      <c r="G48" s="225"/>
      <c r="H48" s="225"/>
      <c r="I48" s="225"/>
      <c r="J48" s="672"/>
      <c r="K48" s="1515"/>
      <c r="L48" s="1515"/>
      <c r="M48" s="1515"/>
      <c r="N48" s="1515"/>
      <c r="O48" s="1515"/>
      <c r="P48" s="1515"/>
      <c r="X48" s="1515"/>
      <c r="Y48" s="1515"/>
      <c r="Z48" s="1515"/>
      <c r="AA48" s="1515"/>
      <c r="AB48" s="1515"/>
      <c r="AC48" s="1515"/>
      <c r="AQ48" s="1515"/>
      <c r="AR48" s="1510"/>
      <c r="AS48" s="2060"/>
      <c r="AT48" s="2060"/>
      <c r="AU48" s="2060"/>
      <c r="AV48" s="2060"/>
      <c r="AW48" s="2060"/>
      <c r="AX48" s="2060"/>
      <c r="AY48" s="2060"/>
      <c r="AZ48" s="2060"/>
      <c r="BA48" s="2060"/>
      <c r="BB48" s="2060"/>
      <c r="BC48" s="2060"/>
      <c r="BD48" s="2060"/>
      <c r="BE48" s="2060"/>
      <c r="BF48" s="2060"/>
      <c r="BG48" s="43"/>
      <c r="BH48" s="2060"/>
      <c r="BI48" s="2060"/>
      <c r="BJ48" s="2060"/>
      <c r="BK48" s="2060"/>
      <c r="BL48" s="2060"/>
      <c r="BM48" s="2060"/>
      <c r="BN48" s="2060"/>
      <c r="BQ48" s="2060"/>
      <c r="BT48" s="2060"/>
      <c r="BU48" s="2060"/>
      <c r="BV48" s="2060"/>
      <c r="BW48" s="2060"/>
      <c r="BX48" s="2060"/>
      <c r="BY48" s="2060"/>
      <c r="BZ48" s="2060"/>
      <c r="CA48" s="2060"/>
      <c r="CB48" s="2060"/>
      <c r="CC48" s="2060"/>
      <c r="CD48" s="2060"/>
      <c r="CE48" s="2060"/>
      <c r="CF48" s="2060"/>
    </row>
    <row r="49" spans="1:84" s="1506" customFormat="1" ht="12.95" customHeight="1">
      <c r="A49" s="1510"/>
      <c r="B49" s="1510"/>
      <c r="C49" s="1504" t="str">
        <f ca="1">FootnoteDRAFT</f>
        <v>Run date: 05-August-2018  02:34 PM.   DRAFT document. All data subject to change upon completion of additional analysis.</v>
      </c>
      <c r="D49" s="1504"/>
      <c r="E49" s="1504"/>
      <c r="F49" s="1504"/>
      <c r="G49" s="1504"/>
      <c r="H49" s="1504"/>
      <c r="I49" s="1504"/>
      <c r="J49" s="672"/>
      <c r="K49" s="1512"/>
      <c r="L49" s="1512"/>
      <c r="M49" s="1512"/>
      <c r="N49" s="1512"/>
      <c r="O49" s="1512"/>
      <c r="P49" s="1512"/>
      <c r="X49" s="1512"/>
      <c r="Y49" s="1512"/>
      <c r="Z49" s="1512"/>
      <c r="AA49" s="1512"/>
      <c r="AB49" s="1512"/>
      <c r="AC49" s="1512"/>
      <c r="AQ49" s="1512"/>
      <c r="AR49" s="1510"/>
      <c r="AS49" s="2060"/>
      <c r="AT49" s="2060"/>
      <c r="AU49" s="2060"/>
      <c r="AV49" s="2060"/>
      <c r="AW49" s="2060"/>
      <c r="AX49" s="2060"/>
      <c r="AY49" s="2060"/>
      <c r="AZ49" s="2060"/>
      <c r="BA49" s="2060"/>
      <c r="BB49" s="2060"/>
      <c r="BC49" s="2060"/>
      <c r="BD49" s="2060"/>
      <c r="BE49" s="2060"/>
      <c r="BF49" s="2060"/>
      <c r="BG49" s="2060"/>
      <c r="BH49" s="2060"/>
      <c r="BI49" s="2060"/>
      <c r="BJ49" s="2060"/>
      <c r="BK49" s="2060"/>
      <c r="BL49" s="2060"/>
      <c r="BM49" s="2060"/>
      <c r="BN49" s="2060"/>
      <c r="BQ49" s="2060"/>
      <c r="BT49" s="2060"/>
      <c r="BU49" s="2060"/>
      <c r="BV49" s="2060"/>
      <c r="BW49" s="2060"/>
      <c r="BX49" s="2060"/>
      <c r="BY49" s="2060"/>
      <c r="BZ49" s="2060"/>
      <c r="CA49" s="2060"/>
      <c r="CB49" s="2060"/>
      <c r="CC49" s="2060"/>
      <c r="CD49" s="2060"/>
      <c r="CE49" s="2060"/>
      <c r="CF49" s="2060"/>
    </row>
    <row r="50" spans="1:84" ht="12.95" customHeight="1">
      <c r="A50" s="1510" t="s">
        <v>17</v>
      </c>
      <c r="B50" s="1510"/>
      <c r="C50" s="1510"/>
      <c r="D50" s="1510"/>
      <c r="E50" s="1510"/>
      <c r="F50" s="1510"/>
      <c r="G50" s="1510"/>
      <c r="H50" s="1510"/>
      <c r="I50" s="1510"/>
      <c r="J50" s="701"/>
      <c r="K50" s="1510"/>
      <c r="L50" s="1510"/>
      <c r="M50" s="1510"/>
      <c r="N50" s="1510"/>
      <c r="O50" s="1510"/>
      <c r="P50" s="1510"/>
      <c r="Q50" s="1510"/>
      <c r="R50" s="1510"/>
      <c r="S50" s="1510"/>
      <c r="T50" s="1510"/>
      <c r="U50" s="1510"/>
      <c r="V50" s="1510"/>
      <c r="W50" s="1510"/>
      <c r="X50" s="1510"/>
      <c r="Y50" s="1510"/>
      <c r="Z50" s="1510"/>
      <c r="AA50" s="1510"/>
      <c r="AB50" s="1510"/>
      <c r="AC50" s="1510"/>
      <c r="AD50" s="1510"/>
      <c r="AE50" s="1510"/>
      <c r="AF50" s="1510"/>
      <c r="AG50" s="1510"/>
      <c r="AH50" s="1510"/>
      <c r="AI50" s="1510"/>
      <c r="AJ50" s="1510"/>
      <c r="AK50" s="1510"/>
      <c r="AL50" s="1510"/>
      <c r="AM50" s="1510"/>
      <c r="AN50" s="1510"/>
      <c r="AO50" s="1510"/>
      <c r="AP50" s="1510"/>
      <c r="AQ50" s="1546" t="str">
        <f>IF($A50="n","Page end","This page not printed")</f>
        <v>Page end</v>
      </c>
      <c r="AR50" s="1510"/>
      <c r="AS50" s="2060"/>
      <c r="AT50" s="2060"/>
      <c r="AU50" s="2060"/>
      <c r="AV50" s="2060"/>
      <c r="AW50" s="2060"/>
      <c r="AX50" s="2060"/>
      <c r="AY50" s="2060"/>
      <c r="AZ50" s="2060"/>
      <c r="BA50" s="2060"/>
      <c r="BB50" s="2060"/>
      <c r="BC50" s="2060"/>
      <c r="BD50" s="2060"/>
      <c r="BE50" s="2060"/>
      <c r="BF50" s="2060"/>
      <c r="BG50" s="2060"/>
      <c r="BH50" s="2060"/>
      <c r="BI50" s="2060"/>
      <c r="BJ50" s="2060"/>
      <c r="BK50" s="2060"/>
      <c r="BL50" s="2060"/>
      <c r="BM50" s="2060"/>
      <c r="BN50" s="2060"/>
      <c r="BQ50" s="2060"/>
      <c r="BT50" s="2060"/>
      <c r="BU50" s="2060"/>
      <c r="BV50" s="2060"/>
      <c r="BW50" s="2060"/>
      <c r="BX50" s="2060"/>
      <c r="BY50" s="2060"/>
      <c r="BZ50" s="2060"/>
      <c r="CA50" s="2060"/>
      <c r="CB50" s="2060"/>
      <c r="CC50" s="2060"/>
      <c r="CD50" s="2060"/>
      <c r="CE50" s="2060"/>
      <c r="CF50" s="2060"/>
    </row>
    <row r="51" spans="1:84" s="1506" customFormat="1" ht="18" customHeight="1">
      <c r="A51" s="1510"/>
      <c r="B51" s="649">
        <f ca="1">SUMPRODUCT(--ISERROR($C$1:AQ102))+COUNTIF($C$1:AQ102,Fail)</f>
        <v>0</v>
      </c>
      <c r="C51" s="1372" t="str">
        <f>START!$C$1</f>
        <v>Client Name</v>
      </c>
      <c r="D51" s="292"/>
      <c r="E51" s="292"/>
      <c r="F51" s="292"/>
      <c r="G51" s="292"/>
      <c r="H51" s="292"/>
      <c r="I51" s="292"/>
      <c r="J51" s="2060"/>
      <c r="K51" s="2060"/>
      <c r="L51" s="2060"/>
      <c r="M51" s="2060"/>
      <c r="N51" s="2060"/>
      <c r="O51" s="2060"/>
      <c r="P51" s="2060"/>
      <c r="Q51" s="172"/>
      <c r="R51" s="172"/>
      <c r="S51" s="172"/>
      <c r="T51" s="172"/>
      <c r="U51" s="172"/>
      <c r="V51" s="172"/>
      <c r="W51" s="172"/>
      <c r="X51" s="172"/>
      <c r="Y51" s="172"/>
      <c r="Z51" s="172"/>
      <c r="AA51" s="172"/>
      <c r="AB51" s="172"/>
      <c r="AC51" s="172"/>
      <c r="AQ51" s="389" t="str">
        <f>AQ1&amp;".a"</f>
        <v>Exhibit 2.a</v>
      </c>
      <c r="AR51" s="1510"/>
      <c r="AV51" s="2060"/>
      <c r="AW51" s="2060"/>
      <c r="AX51" s="2060"/>
      <c r="AY51" s="2060"/>
      <c r="AZ51" s="2060"/>
      <c r="BA51" s="2060"/>
      <c r="BB51" s="2060"/>
      <c r="BC51" s="2060"/>
      <c r="BD51" s="2060"/>
      <c r="BE51" s="2060"/>
      <c r="BF51" s="2060"/>
      <c r="BG51" s="2060"/>
      <c r="BH51" s="2060"/>
      <c r="BI51" s="2060"/>
      <c r="BJ51" s="2060"/>
      <c r="BK51" s="2060"/>
      <c r="BL51" s="2060"/>
      <c r="BM51" s="2060"/>
      <c r="BN51" s="2060"/>
      <c r="BQ51" s="2060"/>
      <c r="BT51" s="2060"/>
      <c r="BU51" s="2060"/>
      <c r="BV51" s="2060"/>
      <c r="BW51" s="2060"/>
      <c r="BX51" s="2060"/>
      <c r="BY51" s="2060"/>
      <c r="BZ51" s="2060"/>
      <c r="CA51" s="2060"/>
      <c r="CB51" s="2060"/>
      <c r="CC51" s="2060"/>
      <c r="CD51" s="2060"/>
      <c r="CE51" s="2060"/>
      <c r="CF51" s="2060"/>
    </row>
    <row r="52" spans="1:84" s="1506" customFormat="1" ht="18" customHeight="1">
      <c r="A52" s="1510"/>
      <c r="B52" s="649"/>
      <c r="C52" s="1372" t="str">
        <f>START!$C$2</f>
        <v xml:space="preserve">Please enter project description in START worksheet cell G13 </v>
      </c>
      <c r="D52" s="292"/>
      <c r="E52" s="292"/>
      <c r="F52" s="292"/>
      <c r="G52" s="292"/>
      <c r="H52" s="292"/>
      <c r="I52" s="292"/>
      <c r="J52" s="2060"/>
      <c r="K52" s="2060"/>
      <c r="L52" s="2060"/>
      <c r="M52" s="2060"/>
      <c r="N52" s="2060"/>
      <c r="O52" s="2060"/>
      <c r="P52" s="2060"/>
      <c r="Q52" s="172"/>
      <c r="R52" s="172"/>
      <c r="S52" s="172"/>
      <c r="T52" s="172"/>
      <c r="U52" s="172"/>
      <c r="V52" s="172"/>
      <c r="W52" s="172"/>
      <c r="X52" s="172"/>
      <c r="Y52" s="172"/>
      <c r="Z52" s="172"/>
      <c r="AA52" s="172"/>
      <c r="AB52" s="172"/>
      <c r="AC52" s="172"/>
      <c r="AQ52" s="389"/>
      <c r="AR52" s="1510"/>
      <c r="AV52" s="2060"/>
      <c r="AW52" s="2060"/>
      <c r="AX52" s="2060"/>
      <c r="AY52" s="2060"/>
      <c r="AZ52" s="2060"/>
      <c r="BA52" s="2060"/>
      <c r="BB52" s="2060"/>
      <c r="BC52" s="2060"/>
      <c r="BD52" s="2060"/>
      <c r="BE52" s="2060"/>
      <c r="BF52" s="2060"/>
      <c r="BG52" s="2060"/>
      <c r="BH52" s="2060"/>
      <c r="BI52" s="2060"/>
      <c r="BJ52" s="2060"/>
      <c r="BK52" s="2060"/>
      <c r="BL52" s="2060"/>
      <c r="BM52" s="2060"/>
      <c r="BN52" s="2060"/>
      <c r="BQ52" s="2060"/>
      <c r="BT52" s="2060"/>
      <c r="BU52" s="2060"/>
      <c r="BV52" s="2060"/>
      <c r="BW52" s="2060"/>
      <c r="BX52" s="2060"/>
      <c r="BY52" s="2060"/>
      <c r="BZ52" s="2060"/>
      <c r="CA52" s="2060"/>
      <c r="CB52" s="2060"/>
      <c r="CC52" s="2060"/>
      <c r="CD52" s="2060"/>
      <c r="CE52" s="2060"/>
      <c r="CF52" s="2060"/>
    </row>
    <row r="53" spans="1:84" s="1506" customFormat="1" ht="18" customHeight="1">
      <c r="A53" s="1510"/>
      <c r="B53" s="1510"/>
      <c r="C53" s="839" t="str">
        <f>"Revenue, EBITDA and EBIT for "&amp;EVorTIClowercase&amp;" multiples"</f>
        <v>Revenue, EBITDA and EBIT for total invested capital multiples</v>
      </c>
      <c r="D53" s="369"/>
      <c r="E53" s="369"/>
      <c r="F53" s="369"/>
      <c r="G53" s="369"/>
      <c r="H53" s="369"/>
      <c r="I53" s="369"/>
      <c r="J53" s="172"/>
      <c r="K53" s="172"/>
      <c r="L53" s="172"/>
      <c r="M53" s="172"/>
      <c r="N53" s="172"/>
      <c r="O53" s="172"/>
      <c r="P53" s="172"/>
      <c r="Q53" s="172"/>
      <c r="R53" s="172"/>
      <c r="S53" s="172"/>
      <c r="T53" s="172"/>
      <c r="U53" s="172"/>
      <c r="V53" s="172"/>
      <c r="W53" s="172"/>
      <c r="X53" s="172"/>
      <c r="Y53" s="172"/>
      <c r="Z53" s="172"/>
      <c r="AA53" s="172"/>
      <c r="AB53" s="172"/>
      <c r="AC53" s="172"/>
      <c r="AR53" s="1510"/>
      <c r="AV53" s="2060"/>
      <c r="AW53" s="2060"/>
      <c r="AX53" s="2060"/>
      <c r="AY53" s="2060"/>
      <c r="AZ53" s="2060"/>
      <c r="BA53" s="2060"/>
      <c r="BB53" s="2060"/>
      <c r="BC53" s="2060"/>
      <c r="BD53" s="2060"/>
      <c r="BE53" s="2060"/>
      <c r="BF53" s="2060"/>
      <c r="BG53" s="2060"/>
      <c r="BH53" s="2060"/>
      <c r="BI53" s="2060"/>
      <c r="BJ53" s="2060"/>
      <c r="BK53" s="2060"/>
      <c r="BL53" s="2060"/>
      <c r="BM53" s="2060"/>
      <c r="BN53" s="2060"/>
      <c r="BQ53" s="2060"/>
      <c r="BT53" s="2060"/>
      <c r="BU53" s="2060"/>
      <c r="BV53" s="2060"/>
      <c r="BW53" s="2060"/>
      <c r="BX53" s="2060"/>
      <c r="BY53" s="2060"/>
      <c r="BZ53" s="2060"/>
      <c r="CA53" s="2060"/>
      <c r="CB53" s="2060"/>
      <c r="CC53" s="2060"/>
      <c r="CD53" s="2060"/>
      <c r="CE53" s="2060"/>
      <c r="CF53" s="2060"/>
    </row>
    <row r="54" spans="1:84" s="1506" customFormat="1" ht="18" customHeight="1">
      <c r="A54" s="1510"/>
      <c r="B54" s="1510"/>
      <c r="C54" s="840" t="str">
        <f>ValDateHeading</f>
        <v>Estimation of value as of 28 February 2017</v>
      </c>
      <c r="D54" s="2062"/>
      <c r="E54" s="2062"/>
      <c r="F54" s="2062"/>
      <c r="G54" s="2062"/>
      <c r="H54" s="2062"/>
      <c r="I54" s="2062"/>
      <c r="J54" s="280"/>
      <c r="K54" s="172"/>
      <c r="L54" s="172"/>
      <c r="M54" s="172"/>
      <c r="N54" s="172"/>
      <c r="O54" s="172"/>
      <c r="P54" s="172"/>
      <c r="Q54" s="172"/>
      <c r="R54" s="172"/>
      <c r="S54" s="172"/>
      <c r="T54" s="172"/>
      <c r="U54" s="172"/>
      <c r="V54" s="172"/>
      <c r="W54" s="172"/>
      <c r="X54" s="172"/>
      <c r="Y54" s="172"/>
      <c r="Z54" s="172"/>
      <c r="AA54" s="172"/>
      <c r="AB54" s="172"/>
      <c r="AC54" s="172"/>
      <c r="AR54" s="1510"/>
      <c r="AV54" s="2060"/>
      <c r="AW54" s="2060"/>
      <c r="AX54" s="2060"/>
      <c r="AY54" s="2060"/>
      <c r="AZ54" s="2060"/>
      <c r="BA54" s="2060"/>
      <c r="BB54" s="2060"/>
      <c r="BC54" s="2060"/>
      <c r="BD54" s="2060"/>
      <c r="BE54" s="2060"/>
      <c r="BF54" s="2060"/>
      <c r="BG54" s="2060"/>
      <c r="BH54" s="2060"/>
      <c r="BI54" s="2060"/>
      <c r="BJ54" s="2060"/>
      <c r="BK54" s="2060"/>
      <c r="BL54" s="2060"/>
      <c r="BM54" s="2060"/>
      <c r="BN54" s="2060"/>
      <c r="BQ54" s="2060"/>
      <c r="BT54" s="2060"/>
      <c r="BU54" s="2060"/>
      <c r="BV54" s="2060"/>
      <c r="BW54" s="2060"/>
      <c r="BX54" s="2060"/>
      <c r="BY54" s="2060"/>
      <c r="BZ54" s="2060"/>
      <c r="CA54" s="2060"/>
      <c r="CB54" s="2060"/>
      <c r="CC54" s="2060"/>
      <c r="CD54" s="2060"/>
      <c r="CE54" s="2060"/>
      <c r="CF54" s="2060"/>
    </row>
    <row r="55" spans="1:84" s="1506" customFormat="1" ht="18" customHeight="1">
      <c r="A55" s="1417"/>
      <c r="B55" s="1510"/>
      <c r="C55" s="2060"/>
      <c r="D55" s="2060"/>
      <c r="E55" s="2060"/>
      <c r="F55" s="2060"/>
      <c r="G55" s="2060"/>
      <c r="H55" s="2060"/>
      <c r="I55" s="2060"/>
      <c r="J55" s="2060"/>
      <c r="K55" s="2060"/>
      <c r="L55" s="2060"/>
      <c r="M55" s="2060"/>
      <c r="N55" s="2060"/>
      <c r="O55" s="2060"/>
      <c r="P55" s="2060"/>
      <c r="Q55" s="2060"/>
      <c r="R55" s="2060"/>
      <c r="S55" s="2060"/>
      <c r="T55" s="2060"/>
      <c r="U55" s="2060"/>
      <c r="V55" s="2060"/>
      <c r="W55" s="2060"/>
      <c r="X55" s="2060"/>
      <c r="Y55" s="2060"/>
      <c r="Z55" s="2060"/>
      <c r="AA55" s="2060"/>
      <c r="AB55" s="2060"/>
      <c r="AC55" s="2060"/>
      <c r="AD55" s="2060"/>
      <c r="AE55" s="2060"/>
      <c r="AF55" s="2060"/>
      <c r="AG55" s="2060"/>
      <c r="AH55" s="2060"/>
      <c r="AI55" s="2060"/>
      <c r="AJ55" s="2060"/>
      <c r="AK55" s="2060"/>
      <c r="AL55" s="2060"/>
      <c r="AM55" s="2060"/>
      <c r="AN55" s="2060"/>
      <c r="AO55" s="2060"/>
      <c r="AP55" s="2060"/>
      <c r="AQ55" s="2060"/>
      <c r="AR55" s="1510"/>
      <c r="AV55" s="2060"/>
      <c r="AW55" s="2060"/>
      <c r="AX55" s="2060"/>
      <c r="AY55" s="2060"/>
      <c r="AZ55" s="2060"/>
      <c r="BA55" s="2060"/>
      <c r="BB55" s="2060"/>
      <c r="BC55" s="2060"/>
      <c r="BD55" s="2060"/>
      <c r="BE55" s="2060"/>
      <c r="BF55" s="2060"/>
      <c r="BG55" s="2060"/>
      <c r="BH55" s="2060"/>
      <c r="BI55" s="2060"/>
      <c r="BJ55" s="2060"/>
      <c r="BK55" s="2060"/>
      <c r="BL55" s="2060"/>
      <c r="BM55" s="2060"/>
      <c r="BN55" s="2060"/>
      <c r="BQ55" s="2060"/>
      <c r="BT55" s="2060"/>
      <c r="BU55" s="2060"/>
      <c r="BV55" s="2060"/>
      <c r="BW55" s="2060"/>
      <c r="BX55" s="2060"/>
      <c r="BY55" s="2060"/>
      <c r="BZ55" s="2060"/>
      <c r="CA55" s="2060"/>
      <c r="CB55" s="2060"/>
      <c r="CC55" s="2060"/>
      <c r="CD55" s="2060"/>
      <c r="CE55" s="2060"/>
      <c r="CF55" s="2060"/>
    </row>
    <row r="56" spans="1:84" s="1506" customFormat="1" ht="13.9">
      <c r="A56" s="1417"/>
      <c r="B56" s="1510"/>
      <c r="C56" s="1511"/>
      <c r="D56" s="2060"/>
      <c r="E56" s="2060"/>
      <c r="F56" s="2060"/>
      <c r="G56" s="2060"/>
      <c r="H56" s="2060"/>
      <c r="I56" s="2060"/>
      <c r="J56" s="2060"/>
      <c r="K56" s="2060"/>
      <c r="L56" s="2060"/>
      <c r="M56" s="2060"/>
      <c r="N56" s="2060"/>
      <c r="O56" s="2060"/>
      <c r="P56" s="2060"/>
      <c r="Q56" s="2060"/>
      <c r="R56" s="2060"/>
      <c r="S56" s="2060"/>
      <c r="T56" s="2060"/>
      <c r="U56" s="2060"/>
      <c r="V56" s="2060"/>
      <c r="W56" s="2060"/>
      <c r="X56" s="2060"/>
      <c r="Y56" s="2060"/>
      <c r="Z56" s="2060"/>
      <c r="AA56" s="2060"/>
      <c r="AB56" s="2060"/>
      <c r="AC56" s="2060"/>
      <c r="AD56" s="2060"/>
      <c r="AE56" s="2060"/>
      <c r="AF56" s="2060"/>
      <c r="AG56" s="2060"/>
      <c r="AH56" s="2060"/>
      <c r="AI56" s="2060"/>
      <c r="AJ56" s="2060"/>
      <c r="AK56" s="2060"/>
      <c r="AL56" s="2060"/>
      <c r="AM56" s="2060"/>
      <c r="AN56" s="2060"/>
      <c r="AO56" s="2060"/>
      <c r="AP56" s="2060"/>
      <c r="AQ56" s="2060"/>
      <c r="AR56" s="1510"/>
      <c r="AV56" s="2060"/>
      <c r="AW56" s="2060"/>
      <c r="AX56" s="2060"/>
      <c r="AY56" s="2060"/>
      <c r="AZ56" s="2060"/>
      <c r="BA56" s="2060"/>
      <c r="BB56" s="2060"/>
      <c r="BC56" s="2060"/>
      <c r="BD56" s="2060"/>
      <c r="BE56" s="2060"/>
      <c r="BF56" s="2060"/>
      <c r="BG56" s="2060"/>
      <c r="BH56" s="2060"/>
      <c r="BI56" s="2060"/>
      <c r="BJ56" s="2060"/>
      <c r="BK56" s="2060"/>
      <c r="BL56" s="2060"/>
      <c r="BM56" s="2060"/>
      <c r="BN56" s="2060"/>
      <c r="BQ56" s="2060"/>
      <c r="BT56" s="2060"/>
      <c r="BU56" s="2060"/>
      <c r="BV56" s="2060"/>
      <c r="BW56" s="2060"/>
      <c r="BX56" s="2060"/>
      <c r="BY56" s="2060"/>
      <c r="BZ56" s="2060"/>
      <c r="CA56" s="2060"/>
      <c r="CB56" s="2060"/>
      <c r="CC56" s="2060"/>
      <c r="CD56" s="2060"/>
      <c r="CE56" s="2060"/>
      <c r="CF56" s="2060"/>
    </row>
    <row r="57" spans="1:84" s="1506" customFormat="1" ht="13.9">
      <c r="A57" s="1510"/>
      <c r="B57" s="1510"/>
      <c r="C57" s="2060"/>
      <c r="D57" s="2060"/>
      <c r="E57" s="2060"/>
      <c r="F57" s="2060"/>
      <c r="G57" s="2060"/>
      <c r="H57" s="2060"/>
      <c r="I57" s="2060"/>
      <c r="J57" s="2060"/>
      <c r="K57" s="2060"/>
      <c r="L57" s="2060"/>
      <c r="M57" s="2060"/>
      <c r="N57" s="2060"/>
      <c r="O57" s="2060"/>
      <c r="P57" s="2060"/>
      <c r="Q57" s="2060"/>
      <c r="R57" s="2060"/>
      <c r="S57" s="2060"/>
      <c r="T57" s="2060"/>
      <c r="U57" s="2060"/>
      <c r="V57" s="2060"/>
      <c r="W57" s="2060"/>
      <c r="X57" s="2060"/>
      <c r="Y57" s="2060"/>
      <c r="Z57" s="2060"/>
      <c r="AA57" s="2060"/>
      <c r="AB57" s="2060"/>
      <c r="AC57" s="2060"/>
      <c r="AD57" s="2060"/>
      <c r="AE57" s="2060"/>
      <c r="AF57" s="2060"/>
      <c r="AG57" s="2060"/>
      <c r="AH57" s="2060"/>
      <c r="AI57" s="2060"/>
      <c r="AJ57" s="2060"/>
      <c r="AK57" s="2060"/>
      <c r="AL57" s="2060"/>
      <c r="AM57" s="2060"/>
      <c r="AN57" s="2060"/>
      <c r="AO57" s="2060"/>
      <c r="AP57" s="2060"/>
      <c r="AQ57" s="2060"/>
      <c r="AR57" s="1510"/>
      <c r="AV57" s="2060"/>
      <c r="AW57" s="2060"/>
      <c r="AX57" s="2060"/>
      <c r="AY57" s="2060"/>
      <c r="AZ57" s="2060"/>
      <c r="BA57" s="2060"/>
      <c r="BB57" s="2060"/>
      <c r="BC57" s="2060"/>
      <c r="BD57" s="2060"/>
      <c r="BE57" s="2060"/>
      <c r="BF57" s="2060"/>
      <c r="BG57" s="2060"/>
      <c r="BH57" s="2060"/>
      <c r="BI57" s="2060"/>
      <c r="BJ57" s="2060"/>
      <c r="BK57" s="2060"/>
      <c r="BL57" s="2060"/>
      <c r="BM57" s="2060"/>
      <c r="BN57" s="2060"/>
      <c r="BQ57" s="2060"/>
      <c r="BT57" s="2060"/>
      <c r="BU57" s="2060"/>
      <c r="BV57" s="2060"/>
      <c r="BW57" s="2060"/>
      <c r="BX57" s="2060"/>
      <c r="BY57" s="2060"/>
      <c r="BZ57" s="2060"/>
      <c r="CA57" s="2060"/>
      <c r="CB57" s="2060"/>
      <c r="CC57" s="2060"/>
      <c r="CD57" s="2060"/>
      <c r="CE57" s="2060"/>
      <c r="CF57" s="2060"/>
    </row>
    <row r="58" spans="1:84" s="1506" customFormat="1" ht="13.9">
      <c r="A58" s="1510"/>
      <c r="B58" s="1510"/>
      <c r="C58" s="2060"/>
      <c r="D58" s="2060"/>
      <c r="E58" s="2060"/>
      <c r="F58" s="2060"/>
      <c r="G58" s="2060"/>
      <c r="H58" s="2060"/>
      <c r="I58" s="2060"/>
      <c r="J58" s="2060"/>
      <c r="K58" s="2060"/>
      <c r="L58" s="2060"/>
      <c r="M58" s="2060"/>
      <c r="N58" s="2060"/>
      <c r="O58" s="2060"/>
      <c r="P58" s="2060"/>
      <c r="Q58" s="2060"/>
      <c r="R58" s="2060"/>
      <c r="S58" s="2060"/>
      <c r="T58" s="2060"/>
      <c r="U58" s="2060"/>
      <c r="V58" s="2060"/>
      <c r="W58" s="2060"/>
      <c r="X58" s="2060"/>
      <c r="Y58" s="2060"/>
      <c r="Z58" s="2060"/>
      <c r="AA58" s="2060"/>
      <c r="AB58" s="2060"/>
      <c r="AC58" s="2060"/>
      <c r="AD58" s="2060"/>
      <c r="AE58" s="2060"/>
      <c r="AF58" s="2060"/>
      <c r="AG58" s="2060"/>
      <c r="AH58" s="2060"/>
      <c r="AI58" s="2060"/>
      <c r="AJ58" s="2060"/>
      <c r="AK58" s="2060"/>
      <c r="AL58" s="2060"/>
      <c r="AM58" s="2060"/>
      <c r="AN58" s="2060"/>
      <c r="AO58" s="2060"/>
      <c r="AP58" s="2060"/>
      <c r="AQ58" s="2060"/>
      <c r="AR58" s="1510"/>
      <c r="AV58" s="2060"/>
      <c r="AW58" s="2060"/>
      <c r="AX58" s="2060"/>
      <c r="AY58" s="2060"/>
      <c r="AZ58" s="2060"/>
      <c r="BA58" s="2060"/>
      <c r="BB58" s="2060"/>
      <c r="BC58" s="2060"/>
      <c r="BD58" s="2060"/>
      <c r="BE58" s="2060"/>
      <c r="BF58" s="2060"/>
      <c r="BG58" s="2060"/>
      <c r="BH58" s="2060"/>
      <c r="BI58" s="2060"/>
      <c r="BJ58" s="2060"/>
      <c r="BK58" s="2060"/>
      <c r="BL58" s="2060"/>
      <c r="BM58" s="2060"/>
      <c r="BN58" s="2060"/>
      <c r="BQ58" s="2060"/>
      <c r="BT58" s="2060"/>
      <c r="BU58" s="2060"/>
      <c r="BV58" s="2060"/>
      <c r="BW58" s="2060"/>
      <c r="BX58" s="2060"/>
      <c r="BY58" s="2060"/>
      <c r="BZ58" s="2060"/>
      <c r="CA58" s="2060"/>
      <c r="CB58" s="2060"/>
      <c r="CC58" s="2060"/>
      <c r="CD58" s="2060"/>
      <c r="CE58" s="2060"/>
      <c r="CF58" s="2060"/>
    </row>
    <row r="59" spans="1:84" ht="12.95" customHeight="1">
      <c r="A59" s="1510"/>
      <c r="B59" s="1510"/>
      <c r="C59" s="1513"/>
      <c r="D59" s="1513"/>
      <c r="E59" s="1513"/>
      <c r="F59" s="1513"/>
      <c r="G59" s="1513"/>
      <c r="H59" s="1513"/>
      <c r="I59" s="1513"/>
      <c r="J59" s="1513"/>
      <c r="K59" s="1549"/>
      <c r="L59" s="1549"/>
      <c r="M59" s="1549"/>
      <c r="N59" s="1549"/>
      <c r="O59" s="1549"/>
      <c r="P59" s="1549"/>
      <c r="Q59" s="1516"/>
      <c r="W59" s="1506"/>
      <c r="X59" s="2060"/>
      <c r="Y59" s="2060"/>
      <c r="Z59" s="2060"/>
      <c r="AA59" s="2060"/>
      <c r="AB59" s="2060"/>
      <c r="AC59" s="2060"/>
      <c r="AD59" s="2060"/>
      <c r="AJ59" s="1506"/>
      <c r="AK59" s="1506"/>
      <c r="AL59" s="1506"/>
      <c r="AM59" s="1506"/>
      <c r="AN59" s="1506"/>
      <c r="AO59" s="1506"/>
      <c r="AP59" s="1506"/>
      <c r="AQ59" s="1506"/>
      <c r="AR59" s="1510"/>
      <c r="AS59" s="2060"/>
      <c r="AT59" s="2060"/>
      <c r="AU59" s="2060"/>
      <c r="AV59" s="2060"/>
      <c r="AW59" s="2060"/>
      <c r="AX59" s="2060"/>
      <c r="AY59" s="2060"/>
      <c r="AZ59" s="2060"/>
      <c r="BA59" s="2060"/>
      <c r="BB59" s="2060"/>
      <c r="BC59" s="2060"/>
      <c r="BD59" s="2060"/>
      <c r="BE59" s="2060"/>
      <c r="BF59" s="2060"/>
      <c r="BG59" s="2060"/>
      <c r="BH59" s="2060"/>
      <c r="BI59" s="2060"/>
      <c r="BJ59" s="2060"/>
      <c r="BK59" s="2060"/>
      <c r="BL59" s="2060"/>
      <c r="BM59" s="2060"/>
      <c r="BN59" s="2060"/>
      <c r="BQ59" s="2060"/>
      <c r="BT59" s="2060"/>
      <c r="BU59" s="2060"/>
      <c r="BV59" s="2060"/>
      <c r="BW59" s="2060"/>
      <c r="BX59" s="2060"/>
      <c r="BY59" s="2060"/>
      <c r="BZ59" s="2060"/>
      <c r="CA59" s="2060"/>
      <c r="CB59" s="2060"/>
      <c r="CC59" s="2060"/>
      <c r="CD59" s="2060"/>
      <c r="CE59" s="2060"/>
      <c r="CF59" s="2060"/>
    </row>
    <row r="60" spans="1:84" ht="12.95" customHeight="1">
      <c r="A60" s="1510"/>
      <c r="B60" s="1510"/>
      <c r="C60" s="1184"/>
      <c r="D60" s="1219" t="s">
        <v>463</v>
      </c>
      <c r="E60" s="1166"/>
      <c r="F60" s="1166"/>
      <c r="G60" s="1219"/>
      <c r="H60" s="1166"/>
      <c r="I60" s="1166"/>
      <c r="J60" s="1166"/>
      <c r="K60" s="1215"/>
      <c r="L60" s="1215"/>
      <c r="M60" s="1215"/>
      <c r="N60" s="1215"/>
      <c r="O60" s="1215"/>
      <c r="P60" s="1215"/>
      <c r="Q60" s="1218" t="s">
        <v>247</v>
      </c>
      <c r="R60" s="1219"/>
      <c r="S60" s="1219"/>
      <c r="T60" s="1166"/>
      <c r="U60" s="1166"/>
      <c r="V60" s="1166"/>
      <c r="W60" s="1166"/>
      <c r="X60" s="1215"/>
      <c r="Y60" s="1215"/>
      <c r="Z60" s="1215"/>
      <c r="AA60" s="1215"/>
      <c r="AB60" s="1215"/>
      <c r="AC60" s="1215"/>
      <c r="AD60" s="2060"/>
      <c r="AE60" s="1219"/>
      <c r="AF60" s="1219"/>
      <c r="AG60" s="1166"/>
      <c r="AH60" s="1166"/>
      <c r="AI60" s="1166"/>
      <c r="AJ60" s="1166"/>
      <c r="AK60" s="1215"/>
      <c r="AL60" s="1215"/>
      <c r="AM60" s="1215"/>
      <c r="AN60" s="1215"/>
      <c r="AO60" s="1215"/>
      <c r="AP60" s="1215"/>
      <c r="AQ60" s="1506"/>
      <c r="AR60" s="1510"/>
      <c r="AS60" s="1506"/>
      <c r="AT60" s="1506"/>
      <c r="AV60" s="2060"/>
      <c r="AW60" s="2060"/>
      <c r="AX60" s="2060"/>
      <c r="AY60" s="2060"/>
      <c r="AZ60" s="2060"/>
      <c r="BA60" s="2060"/>
      <c r="BB60" s="2060"/>
      <c r="BC60" s="2060"/>
      <c r="BD60" s="2060"/>
      <c r="BE60" s="2060"/>
      <c r="BF60" s="2060"/>
      <c r="BG60" s="2060"/>
      <c r="BH60" s="2060"/>
      <c r="BI60" s="2060"/>
      <c r="BJ60" s="2060"/>
      <c r="BK60" s="2060"/>
      <c r="BL60" s="2060"/>
      <c r="BM60" s="2060"/>
      <c r="BN60" s="2060"/>
      <c r="BQ60" s="2060"/>
      <c r="BT60" s="2060"/>
      <c r="BU60" s="2060"/>
      <c r="BV60" s="2060"/>
      <c r="BW60" s="2060"/>
      <c r="BX60" s="2060"/>
      <c r="BY60" s="2060"/>
      <c r="BZ60" s="2060"/>
      <c r="CA60" s="2060"/>
      <c r="CB60" s="2060"/>
      <c r="CC60" s="2060"/>
      <c r="CD60" s="2060"/>
      <c r="CE60" s="2060"/>
      <c r="CF60" s="2060"/>
    </row>
    <row r="61" spans="1:84" s="1506" customFormat="1" ht="12.95" customHeight="1">
      <c r="A61" s="1510"/>
      <c r="B61" s="1510"/>
      <c r="C61" s="724"/>
      <c r="D61" s="1218"/>
      <c r="E61" s="1841" t="s">
        <v>1456</v>
      </c>
      <c r="F61" s="1841" t="s">
        <v>1457</v>
      </c>
      <c r="G61" s="1218"/>
      <c r="H61" s="1808"/>
      <c r="I61" s="1808"/>
      <c r="J61" s="1808"/>
      <c r="K61" s="736"/>
      <c r="L61" s="736"/>
      <c r="M61" s="736"/>
      <c r="N61" s="736"/>
      <c r="O61" s="736"/>
      <c r="P61" s="736"/>
      <c r="Q61" s="1218"/>
      <c r="R61" s="1841" t="s">
        <v>1456</v>
      </c>
      <c r="S61" s="1841" t="s">
        <v>1457</v>
      </c>
      <c r="T61" s="1808"/>
      <c r="U61" s="1808"/>
      <c r="V61" s="1808"/>
      <c r="W61" s="1808"/>
      <c r="X61" s="736"/>
      <c r="Y61" s="736"/>
      <c r="Z61" s="736"/>
      <c r="AA61" s="736"/>
      <c r="AB61" s="736"/>
      <c r="AC61" s="736"/>
      <c r="AD61" s="2060"/>
      <c r="AE61" s="1841" t="s">
        <v>1456</v>
      </c>
      <c r="AF61" s="1841" t="s">
        <v>1457</v>
      </c>
      <c r="AG61" s="1808"/>
      <c r="AH61" s="1808"/>
      <c r="AI61" s="1808"/>
      <c r="AJ61" s="1808"/>
      <c r="AK61" s="736"/>
      <c r="AL61" s="736"/>
      <c r="AM61" s="736"/>
      <c r="AN61" s="736"/>
      <c r="AO61" s="736"/>
      <c r="AP61" s="736"/>
      <c r="AQ61" s="1516"/>
      <c r="AR61" s="1948"/>
      <c r="AS61" s="1516"/>
      <c r="AT61" s="1516"/>
      <c r="AV61" s="2060"/>
      <c r="AW61" s="2060"/>
      <c r="AX61" s="2060"/>
      <c r="AY61" s="2060"/>
      <c r="AZ61" s="2060"/>
      <c r="BA61" s="2060"/>
      <c r="BB61" s="2060"/>
      <c r="BC61" s="2060"/>
      <c r="BD61" s="2060"/>
      <c r="BE61" s="2060"/>
      <c r="BF61" s="2060"/>
      <c r="BG61" s="2060"/>
      <c r="BH61" s="2060"/>
      <c r="BI61" s="2060"/>
      <c r="BJ61" s="2060"/>
      <c r="BK61" s="2060"/>
      <c r="BL61" s="2060"/>
      <c r="BM61" s="2060"/>
      <c r="BN61" s="2060"/>
      <c r="BQ61" s="2060"/>
      <c r="BT61" s="2060"/>
      <c r="BU61" s="2060"/>
      <c r="BV61" s="2060"/>
      <c r="BW61" s="2060"/>
      <c r="BX61" s="2060"/>
      <c r="BY61" s="2060"/>
      <c r="BZ61" s="2060"/>
      <c r="CA61" s="2060"/>
      <c r="CB61" s="2060"/>
      <c r="CC61" s="2060"/>
      <c r="CD61" s="2060"/>
      <c r="CE61" s="2060"/>
      <c r="CF61" s="2060"/>
    </row>
    <row r="62" spans="1:84" ht="12.95" customHeight="1">
      <c r="A62" s="1510"/>
      <c r="B62" s="1510"/>
      <c r="C62" s="1211" t="s">
        <v>1256</v>
      </c>
      <c r="D62" s="1777" t="s">
        <v>167</v>
      </c>
      <c r="E62" s="1941" t="s">
        <v>1460</v>
      </c>
      <c r="F62" s="1941" t="s">
        <v>1460</v>
      </c>
      <c r="G62" s="1941" t="s">
        <v>701</v>
      </c>
      <c r="H62" s="1941" t="s">
        <v>702</v>
      </c>
      <c r="I62" s="1941" t="s">
        <v>703</v>
      </c>
      <c r="J62" s="1941" t="s">
        <v>704</v>
      </c>
      <c r="K62" s="1942" t="s">
        <v>705</v>
      </c>
      <c r="L62" s="1942" t="s">
        <v>707</v>
      </c>
      <c r="M62" s="1942" t="s">
        <v>708</v>
      </c>
      <c r="N62" s="1942" t="s">
        <v>709</v>
      </c>
      <c r="O62" s="1942" t="s">
        <v>710</v>
      </c>
      <c r="P62" s="1942" t="s">
        <v>711</v>
      </c>
      <c r="Q62" s="2060"/>
      <c r="R62" s="1941" t="s">
        <v>1460</v>
      </c>
      <c r="S62" s="1941" t="s">
        <v>1460</v>
      </c>
      <c r="T62" s="1941" t="s">
        <v>701</v>
      </c>
      <c r="U62" s="1941" t="s">
        <v>702</v>
      </c>
      <c r="V62" s="1941" t="s">
        <v>703</v>
      </c>
      <c r="W62" s="1942" t="s">
        <v>704</v>
      </c>
      <c r="X62" s="1942" t="s">
        <v>705</v>
      </c>
      <c r="Y62" s="1942" t="s">
        <v>707</v>
      </c>
      <c r="Z62" s="1942" t="s">
        <v>708</v>
      </c>
      <c r="AA62" s="1942" t="s">
        <v>709</v>
      </c>
      <c r="AB62" s="1942" t="s">
        <v>710</v>
      </c>
      <c r="AC62" s="1942" t="s">
        <v>711</v>
      </c>
      <c r="AD62" s="2060"/>
      <c r="AE62" s="1941" t="s">
        <v>1460</v>
      </c>
      <c r="AF62" s="1941" t="s">
        <v>1460</v>
      </c>
      <c r="AG62" s="1941" t="s">
        <v>701</v>
      </c>
      <c r="AH62" s="1941" t="s">
        <v>702</v>
      </c>
      <c r="AI62" s="1941" t="s">
        <v>703</v>
      </c>
      <c r="AJ62" s="1942" t="s">
        <v>704</v>
      </c>
      <c r="AK62" s="1942" t="s">
        <v>705</v>
      </c>
      <c r="AL62" s="1942" t="s">
        <v>707</v>
      </c>
      <c r="AM62" s="1942" t="s">
        <v>708</v>
      </c>
      <c r="AN62" s="1942" t="s">
        <v>709</v>
      </c>
      <c r="AO62" s="1942" t="s">
        <v>710</v>
      </c>
      <c r="AP62" s="1942" t="s">
        <v>711</v>
      </c>
      <c r="AQ62" s="1506"/>
      <c r="AR62" s="1510"/>
      <c r="AS62" s="1506"/>
      <c r="AT62" s="1506"/>
      <c r="AU62" s="2060"/>
      <c r="AV62" s="2060"/>
      <c r="AW62" s="2060"/>
      <c r="AX62" s="2060"/>
      <c r="AY62" s="2060"/>
      <c r="AZ62" s="2060"/>
      <c r="BA62" s="2060"/>
      <c r="BB62" s="2060"/>
      <c r="BC62" s="2060"/>
      <c r="BD62" s="2060"/>
      <c r="BE62" s="2060"/>
      <c r="BF62" s="2060"/>
      <c r="BG62" s="2060"/>
      <c r="BH62" s="2060"/>
      <c r="BI62" s="2060"/>
      <c r="BJ62" s="2060"/>
      <c r="BK62" s="2060"/>
      <c r="BL62" s="2060"/>
      <c r="BM62" s="2060"/>
      <c r="BN62" s="2060"/>
      <c r="BQ62" s="2060"/>
      <c r="BT62" s="2060"/>
      <c r="BU62" s="2060"/>
      <c r="BV62" s="2060"/>
      <c r="BW62" s="2060"/>
      <c r="BX62" s="2060"/>
      <c r="BY62" s="2060"/>
      <c r="BZ62" s="2060"/>
      <c r="CA62" s="2060"/>
      <c r="CB62" s="2060"/>
      <c r="CC62" s="2060"/>
      <c r="CD62" s="2060"/>
      <c r="CE62" s="2060"/>
      <c r="CF62" s="2060"/>
    </row>
    <row r="63" spans="1:84" ht="12.95" customHeight="1">
      <c r="A63" s="1518"/>
      <c r="B63" s="1518"/>
      <c r="C63" s="1220" t="str">
        <f>CoNameHeading</f>
        <v>Client Name</v>
      </c>
      <c r="D63" s="467" t="str">
        <f>START!K23</f>
        <v/>
      </c>
      <c r="E63" s="467">
        <f>IFERROR(AVERAGE('DATA GPC'!K565:O565),"--")</f>
        <v>0</v>
      </c>
      <c r="F63" s="693">
        <f>IFERROR(AVERAGE(H63:J63),"--")</f>
        <v>0</v>
      </c>
      <c r="G63" s="693">
        <f>'INC STAT Hist Input'!G10</f>
        <v>0</v>
      </c>
      <c r="H63" s="693">
        <f>'INC STAT Hist Input'!H10</f>
        <v>0</v>
      </c>
      <c r="I63" s="693">
        <f>'INC STAT Hist Input'!I10</f>
        <v>0</v>
      </c>
      <c r="J63" s="693">
        <f>'INC STAT Hist Input'!J10</f>
        <v>0</v>
      </c>
      <c r="K63" s="90">
        <f>'INC STAT Hist Input'!K10</f>
        <v>0</v>
      </c>
      <c r="L63" s="90">
        <f>'PFI Inputs'!G326</f>
        <v>0</v>
      </c>
      <c r="M63" s="90">
        <f>'PFI Inc Stat'!H10</f>
        <v>0</v>
      </c>
      <c r="N63" s="90">
        <f>'PFI Inc Stat'!I10</f>
        <v>0</v>
      </c>
      <c r="O63" s="90">
        <f>'PFI Inc Stat'!J10</f>
        <v>0</v>
      </c>
      <c r="P63" s="90">
        <f>'PFI Inc Stat'!K10</f>
        <v>0</v>
      </c>
      <c r="Q63" s="2060"/>
      <c r="R63" s="2060">
        <f>IFERROR(AVERAGE('DATA GPC'!K658:O658),"--")</f>
        <v>0</v>
      </c>
      <c r="S63" s="693">
        <f>IFERROR(AVERAGE(U63:W63),"--")</f>
        <v>0</v>
      </c>
      <c r="T63" s="467">
        <f>'INC STAT Hist Input'!G20</f>
        <v>0</v>
      </c>
      <c r="U63" s="467">
        <f>'INC STAT Hist Input'!H20</f>
        <v>0</v>
      </c>
      <c r="V63" s="467">
        <f>'INC STAT Hist Input'!I20</f>
        <v>0</v>
      </c>
      <c r="W63" s="467">
        <f>'INC STAT Hist Input'!J20</f>
        <v>0</v>
      </c>
      <c r="X63" s="467">
        <f>'INC STAT Hist Input'!K20</f>
        <v>0</v>
      </c>
      <c r="Y63" s="467">
        <f>'PFI Inputs'!G328</f>
        <v>0</v>
      </c>
      <c r="Z63" s="467">
        <f>'PFI Inc Stat'!H21</f>
        <v>0</v>
      </c>
      <c r="AA63" s="467">
        <f>'PFI Inc Stat'!I21</f>
        <v>0</v>
      </c>
      <c r="AB63" s="467">
        <f>'PFI Inc Stat'!J21</f>
        <v>0</v>
      </c>
      <c r="AC63" s="467">
        <f>'PFI Inc Stat'!K21</f>
        <v>0</v>
      </c>
      <c r="AD63" s="2060"/>
      <c r="AE63" s="2060">
        <f>IFERROR(AVERAGE('DATA GPC'!K658:O658),"--")</f>
        <v>0</v>
      </c>
      <c r="AF63" s="693">
        <f>IFERROR(AVERAGE(AH63:AJ63),"--")</f>
        <v>0</v>
      </c>
      <c r="AG63" s="467">
        <f>'INC STAT Hist Input'!G23</f>
        <v>0</v>
      </c>
      <c r="AH63" s="467">
        <f>'INC STAT Hist Input'!H23</f>
        <v>0</v>
      </c>
      <c r="AI63" s="467">
        <f>'INC STAT Hist Input'!I23</f>
        <v>0</v>
      </c>
      <c r="AJ63" s="467">
        <f>'INC STAT Hist Input'!J23</f>
        <v>0</v>
      </c>
      <c r="AK63" s="467">
        <f>'INC STAT Hist Input'!K23</f>
        <v>0</v>
      </c>
      <c r="AL63" s="467">
        <f ca="1">'PFI Inputs'!G329</f>
        <v>0</v>
      </c>
      <c r="AM63" s="467">
        <f ca="1">'PFI Inc Stat'!H24</f>
        <v>0</v>
      </c>
      <c r="AN63" s="467">
        <f ca="1">'PFI Inc Stat'!I24</f>
        <v>0</v>
      </c>
      <c r="AO63" s="467">
        <f ca="1">'PFI Inc Stat'!J24</f>
        <v>0</v>
      </c>
      <c r="AP63" s="467">
        <f ca="1">'PFI Inc Stat'!K24</f>
        <v>0</v>
      </c>
      <c r="AQ63" s="467"/>
      <c r="AR63" s="1510"/>
      <c r="AS63" s="2060"/>
      <c r="AT63" s="2060"/>
      <c r="AV63" s="2060"/>
      <c r="AW63" s="2060"/>
      <c r="AX63" s="2060"/>
      <c r="AY63" s="2060"/>
      <c r="AZ63" s="2060"/>
      <c r="BA63" s="2060"/>
      <c r="BB63" s="2060"/>
      <c r="BC63" s="2060"/>
      <c r="BD63" s="2060"/>
      <c r="BE63" s="2060"/>
      <c r="BF63" s="2060"/>
      <c r="BG63" s="2060"/>
      <c r="BH63" s="2060"/>
      <c r="BI63" s="2060"/>
      <c r="BJ63" s="2060"/>
      <c r="BK63" s="2060"/>
      <c r="BL63" s="2060"/>
      <c r="BM63" s="2060"/>
      <c r="BN63" s="2060"/>
      <c r="BQ63" s="2060"/>
      <c r="BT63" s="2060"/>
      <c r="BU63" s="2060"/>
      <c r="BV63" s="2060"/>
      <c r="BW63" s="2060"/>
      <c r="BX63" s="2060"/>
      <c r="BY63" s="2060"/>
      <c r="BZ63" s="2060"/>
      <c r="CA63" s="2060"/>
      <c r="CB63" s="2060"/>
      <c r="CC63" s="2060"/>
      <c r="CD63" s="2060"/>
      <c r="CE63" s="2060"/>
      <c r="CF63" s="2060"/>
    </row>
    <row r="64" spans="1:84" s="1506" customFormat="1" ht="12.95" customHeight="1">
      <c r="A64" s="1518"/>
      <c r="B64" s="1518"/>
      <c r="C64" s="1952"/>
      <c r="D64" s="467"/>
      <c r="E64" s="467"/>
      <c r="F64" s="693"/>
      <c r="G64" s="693"/>
      <c r="H64" s="693"/>
      <c r="I64" s="693"/>
      <c r="J64" s="693"/>
      <c r="K64" s="90"/>
      <c r="L64" s="90"/>
      <c r="M64" s="90"/>
      <c r="N64" s="90"/>
      <c r="O64" s="90"/>
      <c r="P64" s="90"/>
      <c r="Q64" s="2060"/>
      <c r="R64" s="2060"/>
      <c r="S64" s="693"/>
      <c r="T64" s="467"/>
      <c r="U64" s="467"/>
      <c r="V64" s="467"/>
      <c r="W64" s="467"/>
      <c r="X64" s="467"/>
      <c r="Y64" s="467"/>
      <c r="Z64" s="467"/>
      <c r="AA64" s="467"/>
      <c r="AB64" s="467"/>
      <c r="AC64" s="467"/>
      <c r="AD64" s="2060"/>
      <c r="AE64" s="2060"/>
      <c r="AF64" s="693"/>
      <c r="AG64" s="467"/>
      <c r="AH64" s="467"/>
      <c r="AI64" s="467"/>
      <c r="AJ64" s="467"/>
      <c r="AK64" s="467"/>
      <c r="AL64" s="467"/>
      <c r="AM64" s="467"/>
      <c r="AN64" s="467"/>
      <c r="AO64" s="467"/>
      <c r="AP64" s="467"/>
      <c r="AQ64" s="467"/>
      <c r="AR64" s="1510"/>
      <c r="AS64" s="2060"/>
      <c r="AT64" s="2060"/>
      <c r="AV64" s="2060"/>
      <c r="AW64" s="2060"/>
      <c r="AX64" s="2060"/>
      <c r="AY64" s="2060"/>
      <c r="AZ64" s="2060"/>
      <c r="BA64" s="2060"/>
      <c r="BB64" s="2060"/>
      <c r="BC64" s="2060"/>
      <c r="BD64" s="2060"/>
      <c r="BE64" s="2060"/>
      <c r="BF64" s="2060"/>
      <c r="BG64" s="2060"/>
      <c r="BH64" s="2060"/>
      <c r="BI64" s="2060"/>
      <c r="BJ64" s="2060"/>
      <c r="BK64" s="2060"/>
      <c r="BL64" s="2060"/>
      <c r="BM64" s="2060"/>
      <c r="BN64" s="2060"/>
      <c r="BQ64" s="2060"/>
      <c r="BT64" s="2060"/>
      <c r="BU64" s="2060"/>
      <c r="BV64" s="2060"/>
      <c r="BW64" s="2060"/>
      <c r="BX64" s="2060"/>
      <c r="BY64" s="2060"/>
      <c r="BZ64" s="2060"/>
      <c r="CA64" s="2060"/>
      <c r="CB64" s="2060"/>
      <c r="CC64" s="2060"/>
      <c r="CD64" s="2060"/>
      <c r="CE64" s="2060"/>
      <c r="CF64" s="2060"/>
    </row>
    <row r="65" spans="1:84" ht="12.95" customHeight="1">
      <c r="A65" s="1510"/>
      <c r="B65" s="1510"/>
      <c r="C65" s="1184"/>
      <c r="D65" s="1219" t="s">
        <v>463</v>
      </c>
      <c r="E65" s="1166"/>
      <c r="F65" s="1166"/>
      <c r="G65" s="1219"/>
      <c r="H65" s="1166"/>
      <c r="I65" s="1166"/>
      <c r="J65" s="1166"/>
      <c r="K65" s="1215"/>
      <c r="L65" s="1215"/>
      <c r="M65" s="1215"/>
      <c r="N65" s="1215"/>
      <c r="O65" s="1215"/>
      <c r="P65" s="1215"/>
      <c r="Q65" s="1218" t="s">
        <v>247</v>
      </c>
      <c r="R65" s="1166"/>
      <c r="S65" s="1166"/>
      <c r="T65" s="1219"/>
      <c r="U65" s="1166"/>
      <c r="V65" s="1166"/>
      <c r="W65" s="1166"/>
      <c r="X65" s="1215"/>
      <c r="Y65" s="1215"/>
      <c r="Z65" s="1215"/>
      <c r="AA65" s="1215"/>
      <c r="AB65" s="1215"/>
      <c r="AC65" s="1215"/>
      <c r="AD65" s="2060"/>
      <c r="AE65" s="1215"/>
      <c r="AF65" s="1215"/>
      <c r="AG65" s="1219"/>
      <c r="AH65" s="1166"/>
      <c r="AI65" s="1166"/>
      <c r="AJ65" s="1166"/>
      <c r="AK65" s="1215"/>
      <c r="AL65" s="1215"/>
      <c r="AM65" s="1215"/>
      <c r="AN65" s="1215"/>
      <c r="AO65" s="1215"/>
      <c r="AP65" s="1215"/>
      <c r="AQ65" s="1953"/>
      <c r="AR65" s="1510"/>
      <c r="AS65" s="1506"/>
      <c r="AT65" s="1506"/>
      <c r="AU65" s="2060"/>
      <c r="AV65" s="2060"/>
      <c r="AW65" s="2060"/>
      <c r="AX65" s="2060"/>
      <c r="AY65" s="2060"/>
      <c r="AZ65" s="2060"/>
      <c r="BA65" s="2060"/>
      <c r="BB65" s="2060"/>
      <c r="BC65" s="2060"/>
      <c r="BD65" s="2060"/>
      <c r="BE65" s="2060"/>
      <c r="BF65" s="2060"/>
      <c r="BG65" s="2060"/>
      <c r="BH65" s="2060"/>
      <c r="BI65" s="2060"/>
      <c r="BJ65" s="2060"/>
      <c r="BK65" s="2060"/>
      <c r="BL65" s="2060"/>
      <c r="BM65" s="2060"/>
      <c r="BN65" s="2060"/>
      <c r="BQ65" s="2060"/>
      <c r="BT65" s="2060"/>
      <c r="BU65" s="2060"/>
      <c r="BV65" s="2060"/>
      <c r="BW65" s="2060"/>
      <c r="BX65" s="2060"/>
      <c r="BY65" s="2060"/>
      <c r="BZ65" s="2060"/>
      <c r="CA65" s="2060"/>
      <c r="CB65" s="2060"/>
      <c r="CC65" s="2060"/>
      <c r="CD65" s="2060"/>
      <c r="CE65" s="2060"/>
      <c r="CF65" s="2060"/>
    </row>
    <row r="66" spans="1:84" s="1506" customFormat="1" ht="12.95" customHeight="1">
      <c r="A66" s="1510"/>
      <c r="B66" s="1510"/>
      <c r="C66" s="724"/>
      <c r="D66" s="1218"/>
      <c r="E66" s="1841" t="s">
        <v>1456</v>
      </c>
      <c r="F66" s="1841" t="s">
        <v>1457</v>
      </c>
      <c r="G66" s="1218"/>
      <c r="H66" s="1808"/>
      <c r="I66" s="1808"/>
      <c r="J66" s="1808"/>
      <c r="K66" s="736"/>
      <c r="L66" s="736"/>
      <c r="M66" s="736"/>
      <c r="N66" s="736"/>
      <c r="O66" s="736"/>
      <c r="P66" s="736"/>
      <c r="Q66" s="724"/>
      <c r="R66" s="1841" t="s">
        <v>1456</v>
      </c>
      <c r="S66" s="1841" t="s">
        <v>1457</v>
      </c>
      <c r="T66" s="1218"/>
      <c r="U66" s="1808"/>
      <c r="V66" s="1808"/>
      <c r="W66" s="1808"/>
      <c r="X66" s="736"/>
      <c r="Y66" s="736"/>
      <c r="Z66" s="736"/>
      <c r="AA66" s="736"/>
      <c r="AB66" s="736"/>
      <c r="AC66" s="736"/>
      <c r="AD66" s="734"/>
      <c r="AE66" s="1841" t="s">
        <v>1456</v>
      </c>
      <c r="AF66" s="1841" t="s">
        <v>1457</v>
      </c>
      <c r="AG66" s="1218"/>
      <c r="AH66" s="1808"/>
      <c r="AI66" s="1808"/>
      <c r="AJ66" s="1808"/>
      <c r="AK66" s="736"/>
      <c r="AL66" s="736"/>
      <c r="AM66" s="736"/>
      <c r="AN66" s="736"/>
      <c r="AO66" s="736"/>
      <c r="AP66" s="736"/>
      <c r="AQ66" s="1516"/>
      <c r="AR66" s="1948"/>
      <c r="AS66" s="1516"/>
      <c r="AT66" s="1516"/>
      <c r="AU66" s="2060"/>
      <c r="AV66" s="2060"/>
      <c r="AW66" s="2060"/>
      <c r="AX66" s="2060"/>
      <c r="AY66" s="2060"/>
      <c r="AZ66" s="2060"/>
      <c r="BA66" s="2060"/>
      <c r="BB66" s="2060"/>
      <c r="BC66" s="2060"/>
      <c r="BD66" s="2060"/>
      <c r="BE66" s="2060"/>
      <c r="BF66" s="2060"/>
      <c r="BG66" s="2060"/>
      <c r="BH66" s="2060"/>
      <c r="BI66" s="2060"/>
      <c r="BJ66" s="2060"/>
      <c r="BK66" s="2060"/>
      <c r="BL66" s="2060"/>
      <c r="BM66" s="2060"/>
      <c r="BN66" s="2060"/>
      <c r="BQ66" s="2060"/>
      <c r="BT66" s="2060"/>
      <c r="BU66" s="2060"/>
      <c r="BV66" s="2060"/>
      <c r="BW66" s="2060"/>
      <c r="BX66" s="2060"/>
      <c r="BY66" s="2060"/>
      <c r="BZ66" s="2060"/>
      <c r="CA66" s="2060"/>
      <c r="CB66" s="2060"/>
      <c r="CC66" s="2060"/>
      <c r="CD66" s="2060"/>
      <c r="CE66" s="2060"/>
      <c r="CF66" s="2060"/>
    </row>
    <row r="67" spans="1:84" ht="12.95" customHeight="1">
      <c r="A67" s="1510"/>
      <c r="B67" s="1510"/>
      <c r="C67" s="1211" t="s">
        <v>1256</v>
      </c>
      <c r="D67" s="1217"/>
      <c r="E67" s="1941" t="s">
        <v>1460</v>
      </c>
      <c r="F67" s="1941" t="s">
        <v>1460</v>
      </c>
      <c r="G67" s="1941" t="s">
        <v>701</v>
      </c>
      <c r="H67" s="1941" t="s">
        <v>702</v>
      </c>
      <c r="I67" s="1941" t="s">
        <v>703</v>
      </c>
      <c r="J67" s="1941" t="s">
        <v>704</v>
      </c>
      <c r="K67" s="1942" t="s">
        <v>705</v>
      </c>
      <c r="L67" s="1942" t="s">
        <v>707</v>
      </c>
      <c r="M67" s="1942" t="s">
        <v>708</v>
      </c>
      <c r="N67" s="1942" t="s">
        <v>709</v>
      </c>
      <c r="O67" s="1942" t="s">
        <v>710</v>
      </c>
      <c r="P67" s="1942" t="s">
        <v>711</v>
      </c>
      <c r="Q67" s="724"/>
      <c r="R67" s="1941" t="s">
        <v>1460</v>
      </c>
      <c r="S67" s="1941" t="s">
        <v>1460</v>
      </c>
      <c r="T67" s="1941" t="s">
        <v>701</v>
      </c>
      <c r="U67" s="1941" t="s">
        <v>702</v>
      </c>
      <c r="V67" s="1941" t="s">
        <v>703</v>
      </c>
      <c r="W67" s="1942" t="s">
        <v>704</v>
      </c>
      <c r="X67" s="1942" t="s">
        <v>705</v>
      </c>
      <c r="Y67" s="1942" t="s">
        <v>707</v>
      </c>
      <c r="Z67" s="1942" t="s">
        <v>708</v>
      </c>
      <c r="AA67" s="1942" t="s">
        <v>709</v>
      </c>
      <c r="AB67" s="1942" t="s">
        <v>710</v>
      </c>
      <c r="AC67" s="1942" t="s">
        <v>711</v>
      </c>
      <c r="AD67" s="734"/>
      <c r="AE67" s="1941" t="s">
        <v>1460</v>
      </c>
      <c r="AF67" s="1941" t="s">
        <v>1460</v>
      </c>
      <c r="AG67" s="1941" t="s">
        <v>701</v>
      </c>
      <c r="AH67" s="1941" t="s">
        <v>702</v>
      </c>
      <c r="AI67" s="1941" t="s">
        <v>703</v>
      </c>
      <c r="AJ67" s="1942" t="s">
        <v>704</v>
      </c>
      <c r="AK67" s="1942" t="s">
        <v>705</v>
      </c>
      <c r="AL67" s="1942" t="s">
        <v>707</v>
      </c>
      <c r="AM67" s="1942" t="s">
        <v>708</v>
      </c>
      <c r="AN67" s="1942" t="s">
        <v>709</v>
      </c>
      <c r="AO67" s="1942" t="s">
        <v>710</v>
      </c>
      <c r="AP67" s="1942" t="s">
        <v>711</v>
      </c>
      <c r="AQ67" s="1506"/>
      <c r="AR67" s="1510"/>
      <c r="AS67" s="1506"/>
      <c r="AT67" s="1506"/>
      <c r="AU67" s="2060"/>
      <c r="AV67" s="2060"/>
      <c r="AW67" s="2060"/>
      <c r="AX67" s="2060"/>
      <c r="AY67" s="2060"/>
      <c r="AZ67" s="2060"/>
      <c r="BA67" s="2060"/>
      <c r="BB67" s="2060"/>
      <c r="BC67" s="2060"/>
      <c r="BD67" s="2060"/>
      <c r="BE67" s="2060"/>
      <c r="BF67" s="2060"/>
      <c r="BG67" s="2060"/>
      <c r="BH67" s="2060"/>
      <c r="BI67" s="2060"/>
      <c r="BJ67" s="2060"/>
      <c r="BK67" s="2060"/>
      <c r="BL67" s="2060"/>
      <c r="BM67" s="2060"/>
      <c r="BN67" s="2060"/>
      <c r="BQ67" s="2060"/>
      <c r="BT67" s="2060"/>
      <c r="BU67" s="2060"/>
      <c r="BV67" s="2060"/>
      <c r="BW67" s="2060"/>
      <c r="BX67" s="2060"/>
      <c r="BY67" s="2060"/>
      <c r="BZ67" s="2060"/>
      <c r="CA67" s="2060"/>
      <c r="CB67" s="2060"/>
      <c r="CC67" s="2060"/>
      <c r="CD67" s="2060"/>
      <c r="CE67" s="2060"/>
      <c r="CF67" s="2060"/>
    </row>
    <row r="68" spans="1:84" ht="12.95" customHeight="1">
      <c r="A68" s="1510" t="str">
        <f t="shared" ref="A68:A81" si="100">IF(C68="--","n","")</f>
        <v>n</v>
      </c>
      <c r="B68" s="1510"/>
      <c r="C68" s="173" t="str">
        <f>'DATA GPC'!E$20</f>
        <v>--</v>
      </c>
      <c r="D68" s="467" t="str">
        <f>'DATA GPC'!J20</f>
        <v>--</v>
      </c>
      <c r="E68" s="467" t="str">
        <f>IFERROR(AVERAGEIFS('DATA GPC'!$K566:$O566,'DATA GPC'!$K192:$O192,"&gt;0"),"--")</f>
        <v>--</v>
      </c>
      <c r="F68" s="693" t="str">
        <f t="shared" ref="F68:F92" si="101">IFERROR(AVERAGE(H68:J68),"--")</f>
        <v>--</v>
      </c>
      <c r="G68" s="693" t="str">
        <f>'DATA GPC'!L566</f>
        <v>--</v>
      </c>
      <c r="H68" s="693" t="str">
        <f>'DATA GPC'!M566</f>
        <v>--</v>
      </c>
      <c r="I68" s="693" t="str">
        <f>'DATA GPC'!N566</f>
        <v>--</v>
      </c>
      <c r="J68" s="693" t="str">
        <f>'DATA GPC'!O566</f>
        <v>--</v>
      </c>
      <c r="K68" s="90" t="str">
        <f>'DATA GPC'!P566</f>
        <v>--</v>
      </c>
      <c r="L68" s="90" t="str">
        <f>'DATA GPC'!U566</f>
        <v>--</v>
      </c>
      <c r="M68" s="90" t="str">
        <f>'DATA GPC'!V566</f>
        <v>--</v>
      </c>
      <c r="N68" s="90" t="str">
        <f>'DATA GPC'!W566</f>
        <v>--</v>
      </c>
      <c r="O68" s="90" t="str">
        <f>'DATA GPC'!X566</f>
        <v>--</v>
      </c>
      <c r="P68" s="90" t="str">
        <f>'DATA GPC'!Y566</f>
        <v>--</v>
      </c>
      <c r="Q68" s="1506"/>
      <c r="R68" s="467" t="str">
        <f>IFERROR(AVERAGEIFS('DATA GPC'!$K628:$O628,'DATA GPC'!$K192:$O192,"&gt;0"),"--")</f>
        <v>--</v>
      </c>
      <c r="S68" s="693" t="str">
        <f>IFERROR(AVERAGE(U68:W68),"--")</f>
        <v>--</v>
      </c>
      <c r="T68" s="467" t="str">
        <f>'DATA GPC'!L628</f>
        <v>--</v>
      </c>
      <c r="U68" s="467" t="str">
        <f>'DATA GPC'!M628</f>
        <v>--</v>
      </c>
      <c r="V68" s="467" t="str">
        <f>'DATA GPC'!N628</f>
        <v>--</v>
      </c>
      <c r="W68" s="467" t="str">
        <f>'DATA GPC'!O628</f>
        <v>--</v>
      </c>
      <c r="X68" s="467" t="str">
        <f>'DATA GPC'!P628</f>
        <v>--</v>
      </c>
      <c r="Y68" s="467" t="str">
        <f>'DATA GPC'!U628</f>
        <v>--</v>
      </c>
      <c r="Z68" s="467" t="str">
        <f>'DATA GPC'!V628</f>
        <v>--</v>
      </c>
      <c r="AA68" s="467" t="str">
        <f>'DATA GPC'!W628</f>
        <v>--</v>
      </c>
      <c r="AB68" s="467" t="str">
        <f>'DATA GPC'!X628</f>
        <v>--</v>
      </c>
      <c r="AC68" s="467" t="str">
        <f>'DATA GPC'!Y628</f>
        <v>--</v>
      </c>
      <c r="AD68" s="1506"/>
      <c r="AE68" s="467" t="str">
        <f>IFERROR(AVERAGEIFS('DATA GPC'!$K659:$O659,'DATA GPC'!$K192:$O192,"&gt;0"),"--")</f>
        <v>--</v>
      </c>
      <c r="AF68" s="693" t="str">
        <f>IFERROR(AVERAGE(AH68:AJ68),"--")</f>
        <v>--</v>
      </c>
      <c r="AG68" s="467" t="str">
        <f>'DATA GPC'!L659</f>
        <v>--</v>
      </c>
      <c r="AH68" s="467" t="str">
        <f>'DATA GPC'!M659</f>
        <v>--</v>
      </c>
      <c r="AI68" s="467" t="str">
        <f>'DATA GPC'!N659</f>
        <v>--</v>
      </c>
      <c r="AJ68" s="467" t="str">
        <f>'DATA GPC'!O659</f>
        <v>--</v>
      </c>
      <c r="AK68" s="467" t="str">
        <f>'DATA GPC'!P659</f>
        <v>--</v>
      </c>
      <c r="AL68" s="467" t="str">
        <f>'DATA GPC'!U659</f>
        <v>--</v>
      </c>
      <c r="AM68" s="467" t="str">
        <f>'DATA GPC'!V659</f>
        <v>--</v>
      </c>
      <c r="AN68" s="467" t="str">
        <f>'DATA GPC'!W659</f>
        <v>--</v>
      </c>
      <c r="AO68" s="467" t="str">
        <f>'DATA GPC'!X659</f>
        <v>--</v>
      </c>
      <c r="AP68" s="467" t="str">
        <f>'DATA GPC'!Y659</f>
        <v>--</v>
      </c>
      <c r="AQ68" s="1506"/>
      <c r="AR68" s="1510"/>
      <c r="AS68" s="2060"/>
      <c r="AT68" s="2060"/>
      <c r="AU68" s="2060"/>
      <c r="AV68" s="2060"/>
      <c r="AW68" s="2060"/>
      <c r="AX68" s="2060"/>
      <c r="AY68" s="2060"/>
      <c r="AZ68" s="2060"/>
      <c r="BA68" s="2060"/>
      <c r="BB68" s="2060"/>
      <c r="BC68" s="2060"/>
      <c r="BD68" s="2060"/>
      <c r="BE68" s="2060"/>
      <c r="BF68" s="2060"/>
      <c r="BG68" s="2060"/>
      <c r="BH68" s="2060"/>
      <c r="BI68" s="2060"/>
      <c r="BJ68" s="2060"/>
      <c r="BK68" s="2060"/>
      <c r="BL68" s="2060"/>
      <c r="BM68" s="2060"/>
      <c r="BN68" s="2060"/>
      <c r="BQ68" s="2060"/>
      <c r="BT68" s="2060"/>
      <c r="BU68" s="2060"/>
      <c r="BV68" s="2060"/>
      <c r="BW68" s="2060"/>
      <c r="BX68" s="2060"/>
      <c r="BY68" s="2060"/>
      <c r="BZ68" s="2060"/>
      <c r="CA68" s="2060"/>
      <c r="CB68" s="2060"/>
      <c r="CC68" s="2060"/>
      <c r="CD68" s="2060"/>
      <c r="CE68" s="2060"/>
      <c r="CF68" s="2060"/>
    </row>
    <row r="69" spans="1:84" ht="12.95" customHeight="1">
      <c r="A69" s="1510" t="str">
        <f t="shared" si="100"/>
        <v>n</v>
      </c>
      <c r="B69" s="1510"/>
      <c r="C69" s="173" t="str">
        <f>'DATA GPC'!E$21</f>
        <v>--</v>
      </c>
      <c r="D69" s="467" t="str">
        <f>'DATA GPC'!J21</f>
        <v>--</v>
      </c>
      <c r="E69" s="467" t="str">
        <f>IFERROR(AVERAGEIFS('DATA GPC'!$K567:$O567,'DATA GPC'!$K193:$O193,"&gt;0"),"--")</f>
        <v>--</v>
      </c>
      <c r="F69" s="693" t="str">
        <f t="shared" si="101"/>
        <v>--</v>
      </c>
      <c r="G69" s="693" t="str">
        <f>'DATA GPC'!L567</f>
        <v>--</v>
      </c>
      <c r="H69" s="693" t="str">
        <f>'DATA GPC'!M567</f>
        <v>--</v>
      </c>
      <c r="I69" s="693" t="str">
        <f>'DATA GPC'!N567</f>
        <v>--</v>
      </c>
      <c r="J69" s="693" t="str">
        <f>'DATA GPC'!O567</f>
        <v>--</v>
      </c>
      <c r="K69" s="90" t="str">
        <f>'DATA GPC'!P567</f>
        <v>--</v>
      </c>
      <c r="L69" s="90" t="str">
        <f>'DATA GPC'!U567</f>
        <v>--</v>
      </c>
      <c r="M69" s="90" t="str">
        <f>'DATA GPC'!V567</f>
        <v>--</v>
      </c>
      <c r="N69" s="90" t="str">
        <f>'DATA GPC'!W567</f>
        <v>--</v>
      </c>
      <c r="O69" s="90" t="str">
        <f>'DATA GPC'!X567</f>
        <v>--</v>
      </c>
      <c r="P69" s="90" t="str">
        <f>'DATA GPC'!Y567</f>
        <v>--</v>
      </c>
      <c r="Q69" s="1506"/>
      <c r="R69" s="467" t="str">
        <f>IFERROR(AVERAGEIFS('DATA GPC'!$K629:$O629,'DATA GPC'!$K193:$O193,"&gt;0"),"--")</f>
        <v>--</v>
      </c>
      <c r="S69" s="693" t="str">
        <f t="shared" ref="S69:S92" si="102">IFERROR(AVERAGE(U69:W69),"--")</f>
        <v>--</v>
      </c>
      <c r="T69" s="467" t="str">
        <f>'DATA GPC'!L629</f>
        <v>--</v>
      </c>
      <c r="U69" s="467" t="str">
        <f>'DATA GPC'!M629</f>
        <v>--</v>
      </c>
      <c r="V69" s="467" t="str">
        <f>'DATA GPC'!N629</f>
        <v>--</v>
      </c>
      <c r="W69" s="467" t="str">
        <f>'DATA GPC'!O629</f>
        <v>--</v>
      </c>
      <c r="X69" s="467" t="str">
        <f>'DATA GPC'!P629</f>
        <v>--</v>
      </c>
      <c r="Y69" s="467" t="str">
        <f>'DATA GPC'!U629</f>
        <v>--</v>
      </c>
      <c r="Z69" s="467" t="str">
        <f>'DATA GPC'!V629</f>
        <v>--</v>
      </c>
      <c r="AA69" s="467" t="str">
        <f>'DATA GPC'!W629</f>
        <v>--</v>
      </c>
      <c r="AB69" s="467" t="str">
        <f>'DATA GPC'!X629</f>
        <v>--</v>
      </c>
      <c r="AC69" s="467" t="str">
        <f>'DATA GPC'!Y629</f>
        <v>--</v>
      </c>
      <c r="AD69" s="1506"/>
      <c r="AE69" s="467" t="str">
        <f>IFERROR(AVERAGEIFS('DATA GPC'!$K660:$O660,'DATA GPC'!$K193:$O193,"&gt;0"),"--")</f>
        <v>--</v>
      </c>
      <c r="AF69" s="693" t="str">
        <f t="shared" ref="AF69:AF92" si="103">IFERROR(AVERAGE(AH69:AJ69),"--")</f>
        <v>--</v>
      </c>
      <c r="AG69" s="467" t="str">
        <f>'DATA GPC'!L660</f>
        <v>--</v>
      </c>
      <c r="AH69" s="467" t="str">
        <f>'DATA GPC'!M660</f>
        <v>--</v>
      </c>
      <c r="AI69" s="467" t="str">
        <f>'DATA GPC'!N660</f>
        <v>--</v>
      </c>
      <c r="AJ69" s="467" t="str">
        <f>'DATA GPC'!O660</f>
        <v>--</v>
      </c>
      <c r="AK69" s="467" t="str">
        <f>'DATA GPC'!P660</f>
        <v>--</v>
      </c>
      <c r="AL69" s="467" t="str">
        <f>'DATA GPC'!U660</f>
        <v>--</v>
      </c>
      <c r="AM69" s="467" t="str">
        <f>'DATA GPC'!V660</f>
        <v>--</v>
      </c>
      <c r="AN69" s="467" t="str">
        <f>'DATA GPC'!W660</f>
        <v>--</v>
      </c>
      <c r="AO69" s="467" t="str">
        <f>'DATA GPC'!X660</f>
        <v>--</v>
      </c>
      <c r="AP69" s="467" t="str">
        <f>'DATA GPC'!Y660</f>
        <v>--</v>
      </c>
      <c r="AQ69" s="1506"/>
      <c r="AR69" s="1510"/>
      <c r="AS69" s="2060"/>
      <c r="AT69" s="2060"/>
      <c r="AU69" s="2060"/>
      <c r="AV69" s="2060"/>
      <c r="AW69" s="2060"/>
      <c r="AX69" s="2060"/>
      <c r="AY69" s="2060"/>
      <c r="AZ69" s="2060"/>
      <c r="BA69" s="2060"/>
      <c r="BB69" s="2060"/>
      <c r="BC69" s="2060"/>
      <c r="BD69" s="2060"/>
      <c r="BE69" s="2060"/>
      <c r="BF69" s="2060"/>
      <c r="BG69" s="2060"/>
      <c r="BH69" s="2060"/>
      <c r="BI69" s="2060"/>
      <c r="BJ69" s="2060"/>
      <c r="BK69" s="2060"/>
      <c r="BL69" s="2060"/>
      <c r="BM69" s="2060"/>
      <c r="BN69" s="2060"/>
      <c r="BQ69" s="2060"/>
      <c r="BT69" s="2060"/>
      <c r="BU69" s="2060"/>
      <c r="BV69" s="2060"/>
      <c r="BW69" s="2060"/>
      <c r="BX69" s="2060"/>
      <c r="BY69" s="2060"/>
      <c r="BZ69" s="2060"/>
      <c r="CA69" s="2060"/>
      <c r="CB69" s="2060"/>
      <c r="CC69" s="2060"/>
      <c r="CD69" s="2060"/>
      <c r="CE69" s="2060"/>
      <c r="CF69" s="2060"/>
    </row>
    <row r="70" spans="1:84" ht="12.95" customHeight="1">
      <c r="A70" s="1510" t="str">
        <f t="shared" si="100"/>
        <v>n</v>
      </c>
      <c r="B70" s="1510"/>
      <c r="C70" s="173" t="str">
        <f>'DATA GPC'!E$22</f>
        <v>--</v>
      </c>
      <c r="D70" s="467" t="str">
        <f>'DATA GPC'!J22</f>
        <v>--</v>
      </c>
      <c r="E70" s="467" t="str">
        <f>IFERROR(AVERAGEIFS('DATA GPC'!$K568:$O568,'DATA GPC'!$K194:$O194,"&gt;0"),"--")</f>
        <v>--</v>
      </c>
      <c r="F70" s="693" t="str">
        <f t="shared" si="101"/>
        <v>--</v>
      </c>
      <c r="G70" s="693" t="str">
        <f>'DATA GPC'!L568</f>
        <v>--</v>
      </c>
      <c r="H70" s="693" t="str">
        <f>'DATA GPC'!M568</f>
        <v>--</v>
      </c>
      <c r="I70" s="693" t="str">
        <f>'DATA GPC'!N568</f>
        <v>--</v>
      </c>
      <c r="J70" s="693" t="str">
        <f>'DATA GPC'!O568</f>
        <v>--</v>
      </c>
      <c r="K70" s="90" t="str">
        <f>'DATA GPC'!P568</f>
        <v>--</v>
      </c>
      <c r="L70" s="90" t="str">
        <f>'DATA GPC'!U568</f>
        <v>--</v>
      </c>
      <c r="M70" s="90" t="str">
        <f>'DATA GPC'!V568</f>
        <v>--</v>
      </c>
      <c r="N70" s="90" t="str">
        <f>'DATA GPC'!W568</f>
        <v>--</v>
      </c>
      <c r="O70" s="90" t="str">
        <f>'DATA GPC'!X568</f>
        <v>--</v>
      </c>
      <c r="P70" s="90" t="str">
        <f>'DATA GPC'!Y568</f>
        <v>--</v>
      </c>
      <c r="Q70" s="1506"/>
      <c r="R70" s="467" t="str">
        <f>IFERROR(AVERAGEIFS('DATA GPC'!$K630:$O630,'DATA GPC'!$K194:$O194,"&gt;0"),"--")</f>
        <v>--</v>
      </c>
      <c r="S70" s="693" t="str">
        <f t="shared" si="102"/>
        <v>--</v>
      </c>
      <c r="T70" s="467" t="str">
        <f>'DATA GPC'!L630</f>
        <v>--</v>
      </c>
      <c r="U70" s="467" t="str">
        <f>'DATA GPC'!M630</f>
        <v>--</v>
      </c>
      <c r="V70" s="467" t="str">
        <f>'DATA GPC'!N630</f>
        <v>--</v>
      </c>
      <c r="W70" s="467" t="str">
        <f>'DATA GPC'!O630</f>
        <v>--</v>
      </c>
      <c r="X70" s="467" t="str">
        <f>'DATA GPC'!P630</f>
        <v>--</v>
      </c>
      <c r="Y70" s="467" t="str">
        <f>'DATA GPC'!U630</f>
        <v>--</v>
      </c>
      <c r="Z70" s="467" t="str">
        <f>'DATA GPC'!V630</f>
        <v>--</v>
      </c>
      <c r="AA70" s="467" t="str">
        <f>'DATA GPC'!W630</f>
        <v>--</v>
      </c>
      <c r="AB70" s="467" t="str">
        <f>'DATA GPC'!X630</f>
        <v>--</v>
      </c>
      <c r="AC70" s="467" t="str">
        <f>'DATA GPC'!Y630</f>
        <v>--</v>
      </c>
      <c r="AD70" s="1506"/>
      <c r="AE70" s="467" t="str">
        <f>IFERROR(AVERAGEIFS('DATA GPC'!$K661:$O661,'DATA GPC'!$K194:$O194,"&gt;0"),"--")</f>
        <v>--</v>
      </c>
      <c r="AF70" s="693" t="str">
        <f t="shared" si="103"/>
        <v>--</v>
      </c>
      <c r="AG70" s="467" t="str">
        <f>'DATA GPC'!L661</f>
        <v>--</v>
      </c>
      <c r="AH70" s="467" t="str">
        <f>'DATA GPC'!M661</f>
        <v>--</v>
      </c>
      <c r="AI70" s="467" t="str">
        <f>'DATA GPC'!N661</f>
        <v>--</v>
      </c>
      <c r="AJ70" s="467" t="str">
        <f>'DATA GPC'!O661</f>
        <v>--</v>
      </c>
      <c r="AK70" s="467" t="str">
        <f>'DATA GPC'!P661</f>
        <v>--</v>
      </c>
      <c r="AL70" s="467" t="str">
        <f>'DATA GPC'!U661</f>
        <v>--</v>
      </c>
      <c r="AM70" s="467" t="str">
        <f>'DATA GPC'!V661</f>
        <v>--</v>
      </c>
      <c r="AN70" s="467" t="str">
        <f>'DATA GPC'!W661</f>
        <v>--</v>
      </c>
      <c r="AO70" s="467" t="str">
        <f>'DATA GPC'!X661</f>
        <v>--</v>
      </c>
      <c r="AP70" s="467" t="str">
        <f>'DATA GPC'!Y661</f>
        <v>--</v>
      </c>
      <c r="AQ70" s="1506"/>
      <c r="AR70" s="1510"/>
      <c r="AS70" s="2060"/>
      <c r="AT70" s="2060"/>
      <c r="AU70" s="2060"/>
      <c r="AV70" s="2060"/>
      <c r="AW70" s="2060"/>
      <c r="AX70" s="2060"/>
      <c r="AY70" s="2060"/>
      <c r="AZ70" s="2060"/>
      <c r="BA70" s="2060"/>
      <c r="BB70" s="2060"/>
      <c r="BC70" s="2060"/>
      <c r="BD70" s="2060"/>
      <c r="BE70" s="2060"/>
      <c r="BF70" s="2060"/>
      <c r="BG70" s="2060"/>
      <c r="BH70" s="2060"/>
      <c r="BI70" s="2060"/>
      <c r="BJ70" s="2060"/>
      <c r="BK70" s="2060"/>
      <c r="BL70" s="2060"/>
      <c r="BM70" s="2060"/>
      <c r="BN70" s="2060"/>
      <c r="BQ70" s="2060"/>
      <c r="BT70" s="2060"/>
      <c r="BU70" s="2060"/>
      <c r="BV70" s="2060"/>
      <c r="BW70" s="2060"/>
      <c r="BX70" s="2060"/>
      <c r="BY70" s="2060"/>
      <c r="BZ70" s="2060"/>
      <c r="CA70" s="2060"/>
      <c r="CB70" s="2060"/>
      <c r="CC70" s="2060"/>
      <c r="CD70" s="2060"/>
      <c r="CE70" s="2060"/>
      <c r="CF70" s="2060"/>
    </row>
    <row r="71" spans="1:84" ht="12.95" customHeight="1">
      <c r="A71" s="1510" t="str">
        <f t="shared" si="100"/>
        <v>n</v>
      </c>
      <c r="B71" s="1510"/>
      <c r="C71" s="173" t="str">
        <f>'DATA GPC'!E$23</f>
        <v>--</v>
      </c>
      <c r="D71" s="467" t="str">
        <f>'DATA GPC'!J23</f>
        <v>--</v>
      </c>
      <c r="E71" s="467" t="str">
        <f>IFERROR(AVERAGEIFS('DATA GPC'!$K569:$O569,'DATA GPC'!$K195:$O195,"&gt;0"),"--")</f>
        <v>--</v>
      </c>
      <c r="F71" s="693" t="str">
        <f t="shared" si="101"/>
        <v>--</v>
      </c>
      <c r="G71" s="693" t="str">
        <f>'DATA GPC'!L569</f>
        <v>--</v>
      </c>
      <c r="H71" s="693" t="str">
        <f>'DATA GPC'!M569</f>
        <v>--</v>
      </c>
      <c r="I71" s="693" t="str">
        <f>'DATA GPC'!N569</f>
        <v>--</v>
      </c>
      <c r="J71" s="693" t="str">
        <f>'DATA GPC'!O569</f>
        <v>--</v>
      </c>
      <c r="K71" s="90" t="str">
        <f>'DATA GPC'!P569</f>
        <v>--</v>
      </c>
      <c r="L71" s="90" t="str">
        <f>'DATA GPC'!U569</f>
        <v>--</v>
      </c>
      <c r="M71" s="90" t="str">
        <f>'DATA GPC'!V569</f>
        <v>--</v>
      </c>
      <c r="N71" s="90" t="str">
        <f>'DATA GPC'!W569</f>
        <v>--</v>
      </c>
      <c r="O71" s="90" t="str">
        <f>'DATA GPC'!X569</f>
        <v>--</v>
      </c>
      <c r="P71" s="90" t="str">
        <f>'DATA GPC'!Y569</f>
        <v>--</v>
      </c>
      <c r="Q71" s="1506"/>
      <c r="R71" s="467" t="str">
        <f>IFERROR(AVERAGEIFS('DATA GPC'!$K631:$O631,'DATA GPC'!$K195:$O195,"&gt;0"),"--")</f>
        <v>--</v>
      </c>
      <c r="S71" s="693" t="str">
        <f t="shared" si="102"/>
        <v>--</v>
      </c>
      <c r="T71" s="467" t="str">
        <f>'DATA GPC'!L631</f>
        <v>--</v>
      </c>
      <c r="U71" s="467" t="str">
        <f>'DATA GPC'!M631</f>
        <v>--</v>
      </c>
      <c r="V71" s="467" t="str">
        <f>'DATA GPC'!N631</f>
        <v>--</v>
      </c>
      <c r="W71" s="467" t="str">
        <f>'DATA GPC'!O631</f>
        <v>--</v>
      </c>
      <c r="X71" s="467" t="str">
        <f>'DATA GPC'!P631</f>
        <v>--</v>
      </c>
      <c r="Y71" s="467" t="str">
        <f>'DATA GPC'!U631</f>
        <v>--</v>
      </c>
      <c r="Z71" s="467" t="str">
        <f>'DATA GPC'!V631</f>
        <v>--</v>
      </c>
      <c r="AA71" s="467" t="str">
        <f>'DATA GPC'!W631</f>
        <v>--</v>
      </c>
      <c r="AB71" s="467" t="str">
        <f>'DATA GPC'!X631</f>
        <v>--</v>
      </c>
      <c r="AC71" s="467" t="str">
        <f>'DATA GPC'!Y631</f>
        <v>--</v>
      </c>
      <c r="AD71" s="1506"/>
      <c r="AE71" s="467" t="str">
        <f>IFERROR(AVERAGEIFS('DATA GPC'!$K662:$O662,'DATA GPC'!$K195:$O195,"&gt;0"),"--")</f>
        <v>--</v>
      </c>
      <c r="AF71" s="693" t="str">
        <f t="shared" si="103"/>
        <v>--</v>
      </c>
      <c r="AG71" s="467" t="str">
        <f>'DATA GPC'!L662</f>
        <v>--</v>
      </c>
      <c r="AH71" s="467" t="str">
        <f>'DATA GPC'!M662</f>
        <v>--</v>
      </c>
      <c r="AI71" s="467" t="str">
        <f>'DATA GPC'!N662</f>
        <v>--</v>
      </c>
      <c r="AJ71" s="467" t="str">
        <f>'DATA GPC'!O662</f>
        <v>--</v>
      </c>
      <c r="AK71" s="467" t="str">
        <f>'DATA GPC'!P662</f>
        <v>--</v>
      </c>
      <c r="AL71" s="467" t="str">
        <f>'DATA GPC'!U662</f>
        <v>--</v>
      </c>
      <c r="AM71" s="467" t="str">
        <f>'DATA GPC'!V662</f>
        <v>--</v>
      </c>
      <c r="AN71" s="467" t="str">
        <f>'DATA GPC'!W662</f>
        <v>--</v>
      </c>
      <c r="AO71" s="467" t="str">
        <f>'DATA GPC'!X662</f>
        <v>--</v>
      </c>
      <c r="AP71" s="467" t="str">
        <f>'DATA GPC'!Y662</f>
        <v>--</v>
      </c>
      <c r="AQ71" s="1506"/>
      <c r="AR71" s="1510"/>
      <c r="AS71" s="2060"/>
      <c r="AT71" s="2060"/>
      <c r="AU71" s="2060"/>
      <c r="AV71" s="2060"/>
      <c r="AW71" s="2060"/>
      <c r="AX71" s="2060"/>
      <c r="AY71" s="2060"/>
      <c r="AZ71" s="2060"/>
      <c r="BA71" s="2060"/>
      <c r="BB71" s="2060"/>
      <c r="BC71" s="2060"/>
      <c r="BD71" s="2060"/>
      <c r="BE71" s="2060"/>
      <c r="BF71" s="2060"/>
      <c r="BG71" s="2060"/>
      <c r="BH71" s="2060"/>
      <c r="BI71" s="2060"/>
      <c r="BJ71" s="2060"/>
      <c r="BK71" s="2060"/>
      <c r="BL71" s="2060"/>
      <c r="BM71" s="2060"/>
      <c r="BN71" s="2060"/>
      <c r="BQ71" s="2060"/>
      <c r="BT71" s="2060"/>
      <c r="BU71" s="2060"/>
      <c r="BV71" s="2060"/>
      <c r="BW71" s="2060"/>
      <c r="BX71" s="2060"/>
      <c r="BY71" s="2060"/>
      <c r="BZ71" s="2060"/>
      <c r="CA71" s="2060"/>
      <c r="CB71" s="2060"/>
      <c r="CC71" s="2060"/>
      <c r="CD71" s="2060"/>
      <c r="CE71" s="2060"/>
      <c r="CF71" s="2060"/>
    </row>
    <row r="72" spans="1:84" ht="12.95" customHeight="1">
      <c r="A72" s="1510" t="str">
        <f t="shared" si="100"/>
        <v>n</v>
      </c>
      <c r="B72" s="1510"/>
      <c r="C72" s="173" t="str">
        <f>'DATA GPC'!E$24</f>
        <v>--</v>
      </c>
      <c r="D72" s="467" t="str">
        <f>'DATA GPC'!J24</f>
        <v>--</v>
      </c>
      <c r="E72" s="467" t="str">
        <f>IFERROR(AVERAGEIFS('DATA GPC'!$K570:$O570,'DATA GPC'!$K196:$O196,"&gt;0"),"--")</f>
        <v>--</v>
      </c>
      <c r="F72" s="693" t="str">
        <f t="shared" si="101"/>
        <v>--</v>
      </c>
      <c r="G72" s="693" t="str">
        <f>'DATA GPC'!L570</f>
        <v>--</v>
      </c>
      <c r="H72" s="693" t="str">
        <f>'DATA GPC'!M570</f>
        <v>--</v>
      </c>
      <c r="I72" s="693" t="str">
        <f>'DATA GPC'!N570</f>
        <v>--</v>
      </c>
      <c r="J72" s="693" t="str">
        <f>'DATA GPC'!O570</f>
        <v>--</v>
      </c>
      <c r="K72" s="90" t="str">
        <f>'DATA GPC'!P570</f>
        <v>--</v>
      </c>
      <c r="L72" s="90" t="str">
        <f>'DATA GPC'!U570</f>
        <v>--</v>
      </c>
      <c r="M72" s="90" t="str">
        <f>'DATA GPC'!V570</f>
        <v>--</v>
      </c>
      <c r="N72" s="90" t="str">
        <f>'DATA GPC'!W570</f>
        <v>--</v>
      </c>
      <c r="O72" s="90" t="str">
        <f>'DATA GPC'!X570</f>
        <v>--</v>
      </c>
      <c r="P72" s="90" t="str">
        <f>'DATA GPC'!Y570</f>
        <v>--</v>
      </c>
      <c r="Q72" s="1506"/>
      <c r="R72" s="467" t="str">
        <f>IFERROR(AVERAGEIFS('DATA GPC'!$K632:$O632,'DATA GPC'!$K196:$O196,"&gt;0"),"--")</f>
        <v>--</v>
      </c>
      <c r="S72" s="693" t="str">
        <f t="shared" si="102"/>
        <v>--</v>
      </c>
      <c r="T72" s="467" t="str">
        <f>'DATA GPC'!L632</f>
        <v>--</v>
      </c>
      <c r="U72" s="467" t="str">
        <f>'DATA GPC'!M632</f>
        <v>--</v>
      </c>
      <c r="V72" s="467" t="str">
        <f>'DATA GPC'!N632</f>
        <v>--</v>
      </c>
      <c r="W72" s="467" t="str">
        <f>'DATA GPC'!O632</f>
        <v>--</v>
      </c>
      <c r="X72" s="467" t="str">
        <f>'DATA GPC'!P632</f>
        <v>--</v>
      </c>
      <c r="Y72" s="467" t="str">
        <f>'DATA GPC'!U632</f>
        <v>--</v>
      </c>
      <c r="Z72" s="467" t="str">
        <f>'DATA GPC'!V632</f>
        <v>--</v>
      </c>
      <c r="AA72" s="467" t="str">
        <f>'DATA GPC'!W632</f>
        <v>--</v>
      </c>
      <c r="AB72" s="467" t="str">
        <f>'DATA GPC'!X632</f>
        <v>--</v>
      </c>
      <c r="AC72" s="467" t="str">
        <f>'DATA GPC'!Y632</f>
        <v>--</v>
      </c>
      <c r="AD72" s="1506"/>
      <c r="AE72" s="467" t="str">
        <f>IFERROR(AVERAGEIFS('DATA GPC'!$K663:$O663,'DATA GPC'!$K196:$O196,"&gt;0"),"--")</f>
        <v>--</v>
      </c>
      <c r="AF72" s="693" t="str">
        <f t="shared" si="103"/>
        <v>--</v>
      </c>
      <c r="AG72" s="467" t="str">
        <f>'DATA GPC'!L663</f>
        <v>--</v>
      </c>
      <c r="AH72" s="467" t="str">
        <f>'DATA GPC'!M663</f>
        <v>--</v>
      </c>
      <c r="AI72" s="467" t="str">
        <f>'DATA GPC'!N663</f>
        <v>--</v>
      </c>
      <c r="AJ72" s="467" t="str">
        <f>'DATA GPC'!O663</f>
        <v>--</v>
      </c>
      <c r="AK72" s="467" t="str">
        <f>'DATA GPC'!P663</f>
        <v>--</v>
      </c>
      <c r="AL72" s="467" t="str">
        <f>'DATA GPC'!U663</f>
        <v>--</v>
      </c>
      <c r="AM72" s="467" t="str">
        <f>'DATA GPC'!V663</f>
        <v>--</v>
      </c>
      <c r="AN72" s="467" t="str">
        <f>'DATA GPC'!W663</f>
        <v>--</v>
      </c>
      <c r="AO72" s="467" t="str">
        <f>'DATA GPC'!X663</f>
        <v>--</v>
      </c>
      <c r="AP72" s="467" t="str">
        <f>'DATA GPC'!Y663</f>
        <v>--</v>
      </c>
      <c r="AQ72" s="1506"/>
      <c r="AR72" s="1510"/>
      <c r="AS72" s="2060"/>
      <c r="AT72" s="2060"/>
      <c r="AU72" s="2060"/>
      <c r="AV72" s="2060"/>
      <c r="AW72" s="2060"/>
      <c r="AX72" s="2060"/>
      <c r="AY72" s="2060"/>
      <c r="AZ72" s="2060"/>
      <c r="BA72" s="2060"/>
      <c r="BB72" s="2060"/>
      <c r="BC72" s="2060"/>
      <c r="BD72" s="2060"/>
      <c r="BE72" s="2060"/>
      <c r="BF72" s="2060"/>
      <c r="BG72" s="2060"/>
      <c r="BH72" s="2060"/>
      <c r="BI72" s="2060"/>
      <c r="BJ72" s="2060"/>
      <c r="BK72" s="2060"/>
      <c r="BL72" s="2060"/>
      <c r="BM72" s="2060"/>
      <c r="BN72" s="2060"/>
      <c r="BQ72" s="2060"/>
      <c r="BT72" s="2060"/>
      <c r="BU72" s="2060"/>
      <c r="BV72" s="2060"/>
      <c r="BW72" s="2060"/>
      <c r="BX72" s="2060"/>
      <c r="BY72" s="2060"/>
      <c r="BZ72" s="2060"/>
      <c r="CA72" s="2060"/>
      <c r="CB72" s="2060"/>
      <c r="CC72" s="2060"/>
      <c r="CD72" s="2060"/>
      <c r="CE72" s="2060"/>
      <c r="CF72" s="2060"/>
    </row>
    <row r="73" spans="1:84" ht="12.95" customHeight="1">
      <c r="A73" s="1510" t="str">
        <f t="shared" si="100"/>
        <v>n</v>
      </c>
      <c r="B73" s="1510"/>
      <c r="C73" s="173" t="str">
        <f>'DATA GPC'!E$25</f>
        <v>--</v>
      </c>
      <c r="D73" s="467" t="str">
        <f>'DATA GPC'!J25</f>
        <v>--</v>
      </c>
      <c r="E73" s="467" t="str">
        <f>IFERROR(AVERAGEIFS('DATA GPC'!$K571:$O571,'DATA GPC'!$K197:$O197,"&gt;0"),"--")</f>
        <v>--</v>
      </c>
      <c r="F73" s="693" t="str">
        <f t="shared" si="101"/>
        <v>--</v>
      </c>
      <c r="G73" s="693" t="str">
        <f>'DATA GPC'!L571</f>
        <v>--</v>
      </c>
      <c r="H73" s="693" t="str">
        <f>'DATA GPC'!M571</f>
        <v>--</v>
      </c>
      <c r="I73" s="693" t="str">
        <f>'DATA GPC'!N571</f>
        <v>--</v>
      </c>
      <c r="J73" s="693" t="str">
        <f>'DATA GPC'!O571</f>
        <v>--</v>
      </c>
      <c r="K73" s="90" t="str">
        <f>'DATA GPC'!P571</f>
        <v>--</v>
      </c>
      <c r="L73" s="90" t="str">
        <f>'DATA GPC'!U571</f>
        <v>--</v>
      </c>
      <c r="M73" s="90" t="str">
        <f>'DATA GPC'!V571</f>
        <v>--</v>
      </c>
      <c r="N73" s="90" t="str">
        <f>'DATA GPC'!W571</f>
        <v>--</v>
      </c>
      <c r="O73" s="90" t="str">
        <f>'DATA GPC'!X571</f>
        <v>--</v>
      </c>
      <c r="P73" s="90" t="str">
        <f>'DATA GPC'!Y571</f>
        <v>--</v>
      </c>
      <c r="Q73" s="1506"/>
      <c r="R73" s="467" t="str">
        <f>IFERROR(AVERAGEIFS('DATA GPC'!$K633:$O633,'DATA GPC'!$K197:$O197,"&gt;0"),"--")</f>
        <v>--</v>
      </c>
      <c r="S73" s="693" t="str">
        <f t="shared" si="102"/>
        <v>--</v>
      </c>
      <c r="T73" s="467" t="str">
        <f>'DATA GPC'!L633</f>
        <v>--</v>
      </c>
      <c r="U73" s="467" t="str">
        <f>'DATA GPC'!M633</f>
        <v>--</v>
      </c>
      <c r="V73" s="467" t="str">
        <f>'DATA GPC'!N633</f>
        <v>--</v>
      </c>
      <c r="W73" s="467" t="str">
        <f>'DATA GPC'!O633</f>
        <v>--</v>
      </c>
      <c r="X73" s="467" t="str">
        <f>'DATA GPC'!P633</f>
        <v>--</v>
      </c>
      <c r="Y73" s="467" t="str">
        <f>'DATA GPC'!U633</f>
        <v>--</v>
      </c>
      <c r="Z73" s="467" t="str">
        <f>'DATA GPC'!V633</f>
        <v>--</v>
      </c>
      <c r="AA73" s="467" t="str">
        <f>'DATA GPC'!W633</f>
        <v>--</v>
      </c>
      <c r="AB73" s="467" t="str">
        <f>'DATA GPC'!X633</f>
        <v>--</v>
      </c>
      <c r="AC73" s="467" t="str">
        <f>'DATA GPC'!Y633</f>
        <v>--</v>
      </c>
      <c r="AD73" s="1506"/>
      <c r="AE73" s="467" t="str">
        <f>IFERROR(AVERAGEIFS('DATA GPC'!$K664:$O664,'DATA GPC'!$K197:$O197,"&gt;0"),"--")</f>
        <v>--</v>
      </c>
      <c r="AF73" s="693" t="str">
        <f t="shared" si="103"/>
        <v>--</v>
      </c>
      <c r="AG73" s="467" t="str">
        <f>'DATA GPC'!L664</f>
        <v>--</v>
      </c>
      <c r="AH73" s="467" t="str">
        <f>'DATA GPC'!M664</f>
        <v>--</v>
      </c>
      <c r="AI73" s="467" t="str">
        <f>'DATA GPC'!N664</f>
        <v>--</v>
      </c>
      <c r="AJ73" s="467" t="str">
        <f>'DATA GPC'!O664</f>
        <v>--</v>
      </c>
      <c r="AK73" s="467" t="str">
        <f>'DATA GPC'!P664</f>
        <v>--</v>
      </c>
      <c r="AL73" s="467" t="str">
        <f>'DATA GPC'!U664</f>
        <v>--</v>
      </c>
      <c r="AM73" s="467" t="str">
        <f>'DATA GPC'!V664</f>
        <v>--</v>
      </c>
      <c r="AN73" s="467" t="str">
        <f>'DATA GPC'!W664</f>
        <v>--</v>
      </c>
      <c r="AO73" s="467" t="str">
        <f>'DATA GPC'!X664</f>
        <v>--</v>
      </c>
      <c r="AP73" s="467" t="str">
        <f>'DATA GPC'!Y664</f>
        <v>--</v>
      </c>
      <c r="AQ73" s="1506"/>
      <c r="AR73" s="1510"/>
      <c r="AS73" s="2060"/>
      <c r="AT73" s="2060"/>
      <c r="AU73" s="2060"/>
      <c r="AV73" s="2060"/>
      <c r="AW73" s="2060"/>
      <c r="AX73" s="2060"/>
      <c r="AY73" s="2060"/>
      <c r="AZ73" s="2060"/>
      <c r="BA73" s="2060"/>
      <c r="BB73" s="2060"/>
      <c r="BC73" s="2060"/>
      <c r="BD73" s="2060"/>
      <c r="BE73" s="2060"/>
      <c r="BF73" s="2060"/>
      <c r="BG73" s="2060"/>
      <c r="BH73" s="2060"/>
      <c r="BI73" s="2060"/>
      <c r="BJ73" s="2060"/>
      <c r="BK73" s="2060"/>
      <c r="BL73" s="2060"/>
      <c r="BM73" s="2060"/>
      <c r="BN73" s="2060"/>
      <c r="BQ73" s="2060"/>
      <c r="BT73" s="2060"/>
      <c r="BU73" s="2060"/>
      <c r="BV73" s="2060"/>
      <c r="BW73" s="2060"/>
      <c r="BX73" s="2060"/>
      <c r="BY73" s="2060"/>
      <c r="BZ73" s="2060"/>
      <c r="CA73" s="2060"/>
      <c r="CB73" s="2060"/>
      <c r="CC73" s="2060"/>
      <c r="CD73" s="2060"/>
      <c r="CE73" s="2060"/>
      <c r="CF73" s="2060"/>
    </row>
    <row r="74" spans="1:84" ht="12.95" customHeight="1">
      <c r="A74" s="1510" t="str">
        <f t="shared" si="100"/>
        <v>n</v>
      </c>
      <c r="B74" s="1510"/>
      <c r="C74" s="173" t="str">
        <f>'DATA GPC'!E$26</f>
        <v>--</v>
      </c>
      <c r="D74" s="467" t="str">
        <f>'DATA GPC'!J26</f>
        <v>--</v>
      </c>
      <c r="E74" s="467" t="str">
        <f>IFERROR(AVERAGEIFS('DATA GPC'!$K572:$O572,'DATA GPC'!$K198:$O198,"&gt;0"),"--")</f>
        <v>--</v>
      </c>
      <c r="F74" s="693" t="str">
        <f t="shared" si="101"/>
        <v>--</v>
      </c>
      <c r="G74" s="693" t="str">
        <f>'DATA GPC'!L572</f>
        <v>--</v>
      </c>
      <c r="H74" s="693" t="str">
        <f>'DATA GPC'!M572</f>
        <v>--</v>
      </c>
      <c r="I74" s="693" t="str">
        <f>'DATA GPC'!N572</f>
        <v>--</v>
      </c>
      <c r="J74" s="693" t="str">
        <f>'DATA GPC'!O572</f>
        <v>--</v>
      </c>
      <c r="K74" s="90" t="str">
        <f>'DATA GPC'!P572</f>
        <v>--</v>
      </c>
      <c r="L74" s="90" t="str">
        <f>'DATA GPC'!U572</f>
        <v>--</v>
      </c>
      <c r="M74" s="90" t="str">
        <f>'DATA GPC'!V572</f>
        <v>--</v>
      </c>
      <c r="N74" s="90" t="str">
        <f>'DATA GPC'!W572</f>
        <v>--</v>
      </c>
      <c r="O74" s="90" t="str">
        <f>'DATA GPC'!X572</f>
        <v>--</v>
      </c>
      <c r="P74" s="90" t="str">
        <f>'DATA GPC'!Y572</f>
        <v>--</v>
      </c>
      <c r="Q74" s="1506"/>
      <c r="R74" s="467" t="str">
        <f>IFERROR(AVERAGEIFS('DATA GPC'!$K634:$O634,'DATA GPC'!$K198:$O198,"&gt;0"),"--")</f>
        <v>--</v>
      </c>
      <c r="S74" s="693" t="str">
        <f t="shared" si="102"/>
        <v>--</v>
      </c>
      <c r="T74" s="467" t="str">
        <f>'DATA GPC'!L634</f>
        <v>--</v>
      </c>
      <c r="U74" s="467" t="str">
        <f>'DATA GPC'!M634</f>
        <v>--</v>
      </c>
      <c r="V74" s="467" t="str">
        <f>'DATA GPC'!N634</f>
        <v>--</v>
      </c>
      <c r="W74" s="467" t="str">
        <f>'DATA GPC'!O634</f>
        <v>--</v>
      </c>
      <c r="X74" s="467" t="str">
        <f>'DATA GPC'!P634</f>
        <v>--</v>
      </c>
      <c r="Y74" s="467" t="str">
        <f>'DATA GPC'!U634</f>
        <v>--</v>
      </c>
      <c r="Z74" s="467" t="str">
        <f>'DATA GPC'!V634</f>
        <v>--</v>
      </c>
      <c r="AA74" s="467" t="str">
        <f>'DATA GPC'!W634</f>
        <v>--</v>
      </c>
      <c r="AB74" s="467" t="str">
        <f>'DATA GPC'!X634</f>
        <v>--</v>
      </c>
      <c r="AC74" s="467" t="str">
        <f>'DATA GPC'!Y634</f>
        <v>--</v>
      </c>
      <c r="AD74" s="1506"/>
      <c r="AE74" s="467" t="str">
        <f>IFERROR(AVERAGEIFS('DATA GPC'!$K665:$O665,'DATA GPC'!$K198:$O198,"&gt;0"),"--")</f>
        <v>--</v>
      </c>
      <c r="AF74" s="693" t="str">
        <f t="shared" si="103"/>
        <v>--</v>
      </c>
      <c r="AG74" s="467" t="str">
        <f>'DATA GPC'!L665</f>
        <v>--</v>
      </c>
      <c r="AH74" s="467" t="str">
        <f>'DATA GPC'!M665</f>
        <v>--</v>
      </c>
      <c r="AI74" s="467" t="str">
        <f>'DATA GPC'!N665</f>
        <v>--</v>
      </c>
      <c r="AJ74" s="467" t="str">
        <f>'DATA GPC'!O665</f>
        <v>--</v>
      </c>
      <c r="AK74" s="467" t="str">
        <f>'DATA GPC'!P665</f>
        <v>--</v>
      </c>
      <c r="AL74" s="467" t="str">
        <f>'DATA GPC'!U665</f>
        <v>--</v>
      </c>
      <c r="AM74" s="467" t="str">
        <f>'DATA GPC'!V665</f>
        <v>--</v>
      </c>
      <c r="AN74" s="467" t="str">
        <f>'DATA GPC'!W665</f>
        <v>--</v>
      </c>
      <c r="AO74" s="467" t="str">
        <f>'DATA GPC'!X665</f>
        <v>--</v>
      </c>
      <c r="AP74" s="467" t="str">
        <f>'DATA GPC'!Y665</f>
        <v>--</v>
      </c>
      <c r="AQ74" s="1506"/>
      <c r="AR74" s="1510"/>
      <c r="AS74" s="2060"/>
      <c r="AT74" s="2060"/>
      <c r="AU74" s="2060"/>
      <c r="AV74" s="2060"/>
      <c r="AW74" s="2060"/>
      <c r="AX74" s="2060"/>
      <c r="AY74" s="2060"/>
      <c r="AZ74" s="2060"/>
      <c r="BA74" s="2060"/>
      <c r="BB74" s="2060"/>
      <c r="BC74" s="2060"/>
      <c r="BD74" s="2060"/>
      <c r="BE74" s="2060"/>
      <c r="BF74" s="2060"/>
      <c r="BG74" s="2060"/>
      <c r="BH74" s="2060"/>
      <c r="BI74" s="2060"/>
      <c r="BJ74" s="2060"/>
      <c r="BK74" s="2060"/>
      <c r="BL74" s="2060"/>
      <c r="BM74" s="2060"/>
      <c r="BN74" s="2060"/>
      <c r="BQ74" s="2060"/>
      <c r="BT74" s="2060"/>
      <c r="BU74" s="2060"/>
      <c r="BV74" s="2060"/>
      <c r="BW74" s="2060"/>
      <c r="BX74" s="2060"/>
      <c r="BY74" s="2060"/>
      <c r="BZ74" s="2060"/>
      <c r="CA74" s="2060"/>
      <c r="CB74" s="2060"/>
      <c r="CC74" s="2060"/>
      <c r="CD74" s="2060"/>
      <c r="CE74" s="2060"/>
      <c r="CF74" s="2060"/>
    </row>
    <row r="75" spans="1:84" ht="12.95" customHeight="1">
      <c r="A75" s="1510" t="str">
        <f t="shared" si="100"/>
        <v>n</v>
      </c>
      <c r="B75" s="1510"/>
      <c r="C75" s="173" t="str">
        <f>'DATA GPC'!E$27</f>
        <v>--</v>
      </c>
      <c r="D75" s="467" t="str">
        <f>'DATA GPC'!J27</f>
        <v>--</v>
      </c>
      <c r="E75" s="467" t="str">
        <f>IFERROR(AVERAGEIFS('DATA GPC'!$K573:$O573,'DATA GPC'!$K199:$O199,"&gt;0"),"--")</f>
        <v>--</v>
      </c>
      <c r="F75" s="693" t="str">
        <f t="shared" si="101"/>
        <v>--</v>
      </c>
      <c r="G75" s="693" t="str">
        <f>'DATA GPC'!L573</f>
        <v>--</v>
      </c>
      <c r="H75" s="693" t="str">
        <f>'DATA GPC'!M573</f>
        <v>--</v>
      </c>
      <c r="I75" s="693" t="str">
        <f>'DATA GPC'!N573</f>
        <v>--</v>
      </c>
      <c r="J75" s="693" t="str">
        <f>'DATA GPC'!O573</f>
        <v>--</v>
      </c>
      <c r="K75" s="90" t="str">
        <f>'DATA GPC'!P573</f>
        <v>--</v>
      </c>
      <c r="L75" s="90" t="str">
        <f>'DATA GPC'!U573</f>
        <v>--</v>
      </c>
      <c r="M75" s="90" t="str">
        <f>'DATA GPC'!V573</f>
        <v>--</v>
      </c>
      <c r="N75" s="90" t="str">
        <f>'DATA GPC'!W573</f>
        <v>--</v>
      </c>
      <c r="O75" s="90" t="str">
        <f>'DATA GPC'!X573</f>
        <v>--</v>
      </c>
      <c r="P75" s="90" t="str">
        <f>'DATA GPC'!Y573</f>
        <v>--</v>
      </c>
      <c r="Q75" s="1506"/>
      <c r="R75" s="467" t="str">
        <f>IFERROR(AVERAGEIFS('DATA GPC'!$K635:$O635,'DATA GPC'!$K199:$O199,"&gt;0"),"--")</f>
        <v>--</v>
      </c>
      <c r="S75" s="693" t="str">
        <f t="shared" si="102"/>
        <v>--</v>
      </c>
      <c r="T75" s="467" t="str">
        <f>'DATA GPC'!L635</f>
        <v>--</v>
      </c>
      <c r="U75" s="467" t="str">
        <f>'DATA GPC'!M635</f>
        <v>--</v>
      </c>
      <c r="V75" s="467" t="str">
        <f>'DATA GPC'!N635</f>
        <v>--</v>
      </c>
      <c r="W75" s="467" t="str">
        <f>'DATA GPC'!O635</f>
        <v>--</v>
      </c>
      <c r="X75" s="467" t="str">
        <f>'DATA GPC'!P635</f>
        <v>--</v>
      </c>
      <c r="Y75" s="467" t="str">
        <f>'DATA GPC'!U635</f>
        <v>--</v>
      </c>
      <c r="Z75" s="467" t="str">
        <f>'DATA GPC'!V635</f>
        <v>--</v>
      </c>
      <c r="AA75" s="467" t="str">
        <f>'DATA GPC'!W635</f>
        <v>--</v>
      </c>
      <c r="AB75" s="467" t="str">
        <f>'DATA GPC'!X635</f>
        <v>--</v>
      </c>
      <c r="AC75" s="467" t="str">
        <f>'DATA GPC'!Y635</f>
        <v>--</v>
      </c>
      <c r="AD75" s="1506"/>
      <c r="AE75" s="467" t="str">
        <f>IFERROR(AVERAGEIFS('DATA GPC'!$K666:$O666,'DATA GPC'!$K199:$O199,"&gt;0"),"--")</f>
        <v>--</v>
      </c>
      <c r="AF75" s="693" t="str">
        <f t="shared" si="103"/>
        <v>--</v>
      </c>
      <c r="AG75" s="467" t="str">
        <f>'DATA GPC'!L666</f>
        <v>--</v>
      </c>
      <c r="AH75" s="467" t="str">
        <f>'DATA GPC'!M666</f>
        <v>--</v>
      </c>
      <c r="AI75" s="467" t="str">
        <f>'DATA GPC'!N666</f>
        <v>--</v>
      </c>
      <c r="AJ75" s="467" t="str">
        <f>'DATA GPC'!O666</f>
        <v>--</v>
      </c>
      <c r="AK75" s="467" t="str">
        <f>'DATA GPC'!P666</f>
        <v>--</v>
      </c>
      <c r="AL75" s="467" t="str">
        <f>'DATA GPC'!U666</f>
        <v>--</v>
      </c>
      <c r="AM75" s="467" t="str">
        <f>'DATA GPC'!V666</f>
        <v>--</v>
      </c>
      <c r="AN75" s="467" t="str">
        <f>'DATA GPC'!W666</f>
        <v>--</v>
      </c>
      <c r="AO75" s="467" t="str">
        <f>'DATA GPC'!X666</f>
        <v>--</v>
      </c>
      <c r="AP75" s="467" t="str">
        <f>'DATA GPC'!Y666</f>
        <v>--</v>
      </c>
      <c r="AQ75" s="1506"/>
      <c r="AR75" s="1510"/>
      <c r="AS75" s="2060"/>
      <c r="AT75" s="2060"/>
      <c r="AU75" s="2060"/>
      <c r="AV75" s="2060"/>
      <c r="AW75" s="2060"/>
      <c r="AX75" s="2060"/>
      <c r="AY75" s="2060"/>
      <c r="AZ75" s="2060"/>
      <c r="BA75" s="2060"/>
      <c r="BB75" s="2060"/>
      <c r="BC75" s="2060"/>
      <c r="BD75" s="2060"/>
      <c r="BE75" s="2060"/>
      <c r="BF75" s="2060"/>
      <c r="BG75" s="2060"/>
      <c r="BH75" s="2060"/>
      <c r="BI75" s="2060"/>
      <c r="BJ75" s="2060"/>
      <c r="BK75" s="2060"/>
      <c r="BL75" s="2060"/>
      <c r="BM75" s="2060"/>
      <c r="BN75" s="2060"/>
      <c r="BQ75" s="2060"/>
      <c r="BT75" s="2060"/>
      <c r="BU75" s="2060"/>
      <c r="BV75" s="2060"/>
      <c r="BW75" s="2060"/>
      <c r="BX75" s="2060"/>
      <c r="BY75" s="2060"/>
      <c r="BZ75" s="2060"/>
      <c r="CA75" s="2060"/>
      <c r="CB75" s="2060"/>
      <c r="CC75" s="2060"/>
      <c r="CD75" s="2060"/>
      <c r="CE75" s="2060"/>
      <c r="CF75" s="2060"/>
    </row>
    <row r="76" spans="1:84" ht="12.95" customHeight="1">
      <c r="A76" s="1510" t="str">
        <f t="shared" si="100"/>
        <v>n</v>
      </c>
      <c r="B76" s="1510"/>
      <c r="C76" s="173" t="str">
        <f>'DATA GPC'!E$28</f>
        <v>--</v>
      </c>
      <c r="D76" s="467" t="str">
        <f>'DATA GPC'!J28</f>
        <v>--</v>
      </c>
      <c r="E76" s="467" t="str">
        <f>IFERROR(AVERAGEIFS('DATA GPC'!$K574:$O574,'DATA GPC'!$K200:$O200,"&gt;0"),"--")</f>
        <v>--</v>
      </c>
      <c r="F76" s="693" t="str">
        <f t="shared" si="101"/>
        <v>--</v>
      </c>
      <c r="G76" s="693" t="str">
        <f>'DATA GPC'!L574</f>
        <v>--</v>
      </c>
      <c r="H76" s="693" t="str">
        <f>'DATA GPC'!M574</f>
        <v>--</v>
      </c>
      <c r="I76" s="693" t="str">
        <f>'DATA GPC'!N574</f>
        <v>--</v>
      </c>
      <c r="J76" s="693" t="str">
        <f>'DATA GPC'!O574</f>
        <v>--</v>
      </c>
      <c r="K76" s="90" t="str">
        <f>'DATA GPC'!P574</f>
        <v>--</v>
      </c>
      <c r="L76" s="90" t="str">
        <f>'DATA GPC'!U574</f>
        <v>--</v>
      </c>
      <c r="M76" s="90" t="str">
        <f>'DATA GPC'!V574</f>
        <v>--</v>
      </c>
      <c r="N76" s="90" t="str">
        <f>'DATA GPC'!W574</f>
        <v>--</v>
      </c>
      <c r="O76" s="90" t="str">
        <f>'DATA GPC'!X574</f>
        <v>--</v>
      </c>
      <c r="P76" s="90" t="str">
        <f>'DATA GPC'!Y574</f>
        <v>--</v>
      </c>
      <c r="Q76" s="1506"/>
      <c r="R76" s="467" t="str">
        <f>IFERROR(AVERAGEIFS('DATA GPC'!$K636:$O636,'DATA GPC'!$K200:$O200,"&gt;0"),"--")</f>
        <v>--</v>
      </c>
      <c r="S76" s="693" t="str">
        <f t="shared" si="102"/>
        <v>--</v>
      </c>
      <c r="T76" s="467" t="str">
        <f>'DATA GPC'!L636</f>
        <v>--</v>
      </c>
      <c r="U76" s="467" t="str">
        <f>'DATA GPC'!M636</f>
        <v>--</v>
      </c>
      <c r="V76" s="467" t="str">
        <f>'DATA GPC'!N636</f>
        <v>--</v>
      </c>
      <c r="W76" s="467" t="str">
        <f>'DATA GPC'!O636</f>
        <v>--</v>
      </c>
      <c r="X76" s="467" t="str">
        <f>'DATA GPC'!P636</f>
        <v>--</v>
      </c>
      <c r="Y76" s="467" t="str">
        <f>'DATA GPC'!U636</f>
        <v>--</v>
      </c>
      <c r="Z76" s="467" t="str">
        <f>'DATA GPC'!V636</f>
        <v>--</v>
      </c>
      <c r="AA76" s="467" t="str">
        <f>'DATA GPC'!W636</f>
        <v>--</v>
      </c>
      <c r="AB76" s="467" t="str">
        <f>'DATA GPC'!X636</f>
        <v>--</v>
      </c>
      <c r="AC76" s="467" t="str">
        <f>'DATA GPC'!Y636</f>
        <v>--</v>
      </c>
      <c r="AD76" s="1506"/>
      <c r="AE76" s="467" t="str">
        <f>IFERROR(AVERAGEIFS('DATA GPC'!$K667:$O667,'DATA GPC'!$K200:$O200,"&gt;0"),"--")</f>
        <v>--</v>
      </c>
      <c r="AF76" s="693" t="str">
        <f t="shared" si="103"/>
        <v>--</v>
      </c>
      <c r="AG76" s="467" t="str">
        <f>'DATA GPC'!L667</f>
        <v>--</v>
      </c>
      <c r="AH76" s="467" t="str">
        <f>'DATA GPC'!M667</f>
        <v>--</v>
      </c>
      <c r="AI76" s="467" t="str">
        <f>'DATA GPC'!N667</f>
        <v>--</v>
      </c>
      <c r="AJ76" s="467" t="str">
        <f>'DATA GPC'!O667</f>
        <v>--</v>
      </c>
      <c r="AK76" s="467" t="str">
        <f>'DATA GPC'!P667</f>
        <v>--</v>
      </c>
      <c r="AL76" s="467" t="str">
        <f>'DATA GPC'!U667</f>
        <v>--</v>
      </c>
      <c r="AM76" s="467" t="str">
        <f>'DATA GPC'!V667</f>
        <v>--</v>
      </c>
      <c r="AN76" s="467" t="str">
        <f>'DATA GPC'!W667</f>
        <v>--</v>
      </c>
      <c r="AO76" s="467" t="str">
        <f>'DATA GPC'!X667</f>
        <v>--</v>
      </c>
      <c r="AP76" s="467" t="str">
        <f>'DATA GPC'!Y667</f>
        <v>--</v>
      </c>
      <c r="AQ76" s="1506"/>
      <c r="AR76" s="1510"/>
      <c r="AS76" s="2060"/>
      <c r="AT76" s="2060"/>
      <c r="AU76" s="2060"/>
      <c r="AV76" s="2060"/>
      <c r="AW76" s="2060"/>
      <c r="AX76" s="2060"/>
      <c r="AY76" s="2060"/>
      <c r="AZ76" s="2060"/>
      <c r="BA76" s="2060"/>
      <c r="BB76" s="2060"/>
      <c r="BC76" s="2060"/>
      <c r="BD76" s="2060"/>
      <c r="BE76" s="2060"/>
      <c r="BF76" s="2060"/>
      <c r="BG76" s="2060"/>
      <c r="BH76" s="2060"/>
      <c r="BI76" s="2060"/>
      <c r="BJ76" s="2060"/>
      <c r="BK76" s="2060"/>
      <c r="BL76" s="2060"/>
      <c r="BM76" s="2060"/>
      <c r="BN76" s="2060"/>
      <c r="BQ76" s="2060"/>
      <c r="BT76" s="2060"/>
      <c r="BU76" s="2060"/>
      <c r="BV76" s="2060"/>
      <c r="BW76" s="2060"/>
      <c r="BX76" s="2060"/>
      <c r="BY76" s="2060"/>
      <c r="BZ76" s="2060"/>
      <c r="CA76" s="2060"/>
      <c r="CB76" s="2060"/>
      <c r="CC76" s="2060"/>
      <c r="CD76" s="2060"/>
      <c r="CE76" s="2060"/>
      <c r="CF76" s="2060"/>
    </row>
    <row r="77" spans="1:84" ht="12.95" customHeight="1">
      <c r="A77" s="1510" t="str">
        <f t="shared" si="100"/>
        <v>n</v>
      </c>
      <c r="B77" s="1510"/>
      <c r="C77" s="173" t="str">
        <f>'DATA GPC'!E$29</f>
        <v>--</v>
      </c>
      <c r="D77" s="467" t="str">
        <f>'DATA GPC'!J29</f>
        <v>--</v>
      </c>
      <c r="E77" s="467" t="str">
        <f>IFERROR(AVERAGEIFS('DATA GPC'!$K575:$O575,'DATA GPC'!$K201:$O201,"&gt;0"),"--")</f>
        <v>--</v>
      </c>
      <c r="F77" s="693" t="str">
        <f t="shared" si="101"/>
        <v>--</v>
      </c>
      <c r="G77" s="90" t="str">
        <f>'DATA GPC'!L575</f>
        <v>--</v>
      </c>
      <c r="H77" s="90" t="str">
        <f>'DATA GPC'!M575</f>
        <v>--</v>
      </c>
      <c r="I77" s="90" t="str">
        <f>'DATA GPC'!N575</f>
        <v>--</v>
      </c>
      <c r="J77" s="90" t="str">
        <f>'DATA GPC'!O575</f>
        <v>--</v>
      </c>
      <c r="K77" s="90" t="str">
        <f>'DATA GPC'!P575</f>
        <v>--</v>
      </c>
      <c r="L77" s="90" t="str">
        <f>'DATA GPC'!U575</f>
        <v>--</v>
      </c>
      <c r="M77" s="90" t="str">
        <f>'DATA GPC'!V575</f>
        <v>--</v>
      </c>
      <c r="N77" s="90" t="str">
        <f>'DATA GPC'!W575</f>
        <v>--</v>
      </c>
      <c r="O77" s="90" t="str">
        <f>'DATA GPC'!X575</f>
        <v>--</v>
      </c>
      <c r="P77" s="90" t="str">
        <f>'DATA GPC'!Y575</f>
        <v>--</v>
      </c>
      <c r="Q77" s="1506"/>
      <c r="R77" s="467" t="str">
        <f>IFERROR(AVERAGEIFS('DATA GPC'!$K637:$O637,'DATA GPC'!$K201:$O201,"&gt;0"),"--")</f>
        <v>--</v>
      </c>
      <c r="S77" s="693" t="str">
        <f t="shared" si="102"/>
        <v>--</v>
      </c>
      <c r="T77" s="467" t="str">
        <f>'DATA GPC'!L637</f>
        <v>--</v>
      </c>
      <c r="U77" s="467" t="str">
        <f>'DATA GPC'!M637</f>
        <v>--</v>
      </c>
      <c r="V77" s="467" t="str">
        <f>'DATA GPC'!N637</f>
        <v>--</v>
      </c>
      <c r="W77" s="467" t="str">
        <f>'DATA GPC'!O637</f>
        <v>--</v>
      </c>
      <c r="X77" s="467" t="str">
        <f>'DATA GPC'!P637</f>
        <v>--</v>
      </c>
      <c r="Y77" s="467" t="str">
        <f>'DATA GPC'!U637</f>
        <v>--</v>
      </c>
      <c r="Z77" s="467" t="str">
        <f>'DATA GPC'!V637</f>
        <v>--</v>
      </c>
      <c r="AA77" s="467" t="str">
        <f>'DATA GPC'!W637</f>
        <v>--</v>
      </c>
      <c r="AB77" s="467" t="str">
        <f>'DATA GPC'!X637</f>
        <v>--</v>
      </c>
      <c r="AC77" s="467" t="str">
        <f>'DATA GPC'!Y637</f>
        <v>--</v>
      </c>
      <c r="AD77" s="1506"/>
      <c r="AE77" s="467" t="str">
        <f>IFERROR(AVERAGEIFS('DATA GPC'!$K668:$O668,'DATA GPC'!$K201:$O201,"&gt;0"),"--")</f>
        <v>--</v>
      </c>
      <c r="AF77" s="693" t="str">
        <f t="shared" si="103"/>
        <v>--</v>
      </c>
      <c r="AG77" s="467" t="str">
        <f>'DATA GPC'!L668</f>
        <v>--</v>
      </c>
      <c r="AH77" s="467" t="str">
        <f>'DATA GPC'!M668</f>
        <v>--</v>
      </c>
      <c r="AI77" s="467" t="str">
        <f>'DATA GPC'!N668</f>
        <v>--</v>
      </c>
      <c r="AJ77" s="467" t="str">
        <f>'DATA GPC'!O668</f>
        <v>--</v>
      </c>
      <c r="AK77" s="467" t="str">
        <f>'DATA GPC'!P668</f>
        <v>--</v>
      </c>
      <c r="AL77" s="467" t="str">
        <f>'DATA GPC'!U668</f>
        <v>--</v>
      </c>
      <c r="AM77" s="467" t="str">
        <f>'DATA GPC'!V668</f>
        <v>--</v>
      </c>
      <c r="AN77" s="467" t="str">
        <f>'DATA GPC'!W668</f>
        <v>--</v>
      </c>
      <c r="AO77" s="467" t="str">
        <f>'DATA GPC'!X668</f>
        <v>--</v>
      </c>
      <c r="AP77" s="467" t="str">
        <f>'DATA GPC'!Y668</f>
        <v>--</v>
      </c>
      <c r="AQ77" s="1506"/>
      <c r="AR77" s="1510"/>
      <c r="AS77" s="2060"/>
      <c r="AT77" s="2060"/>
      <c r="AU77" s="2060"/>
      <c r="AV77" s="2060"/>
      <c r="AW77" s="2060"/>
      <c r="AX77" s="2060"/>
      <c r="AY77" s="2060"/>
      <c r="AZ77" s="2060"/>
      <c r="BA77" s="2060"/>
      <c r="BB77" s="2060"/>
      <c r="BC77" s="2060"/>
      <c r="BD77" s="2060"/>
      <c r="BE77" s="2060"/>
      <c r="BF77" s="2060"/>
      <c r="BG77" s="2060"/>
      <c r="BH77" s="2060"/>
      <c r="BI77" s="2060"/>
      <c r="BJ77" s="2060"/>
      <c r="BK77" s="2060"/>
      <c r="BL77" s="2060"/>
      <c r="BM77" s="2060"/>
      <c r="BN77" s="2060"/>
      <c r="BQ77" s="2060"/>
      <c r="BT77" s="2060"/>
      <c r="BU77" s="2060"/>
      <c r="BV77" s="2060"/>
      <c r="BW77" s="2060"/>
      <c r="BX77" s="2060"/>
      <c r="BY77" s="2060"/>
      <c r="BZ77" s="2060"/>
      <c r="CA77" s="2060"/>
      <c r="CB77" s="2060"/>
      <c r="CC77" s="2060"/>
      <c r="CD77" s="2060"/>
      <c r="CE77" s="2060"/>
      <c r="CF77" s="2060"/>
    </row>
    <row r="78" spans="1:84" ht="12.95" customHeight="1">
      <c r="A78" s="1510" t="str">
        <f t="shared" si="100"/>
        <v>n</v>
      </c>
      <c r="B78" s="1510"/>
      <c r="C78" s="173" t="str">
        <f>'DATA GPC'!E$30</f>
        <v>--</v>
      </c>
      <c r="D78" s="467" t="str">
        <f>'DATA GPC'!J30</f>
        <v>--</v>
      </c>
      <c r="E78" s="467" t="str">
        <f>IFERROR(AVERAGEIFS('DATA GPC'!$K576:$O576,'DATA GPC'!$K202:$O202,"&gt;0"),"--")</f>
        <v>--</v>
      </c>
      <c r="F78" s="693" t="str">
        <f t="shared" si="101"/>
        <v>--</v>
      </c>
      <c r="G78" s="90" t="str">
        <f>'DATA GPC'!L576</f>
        <v>--</v>
      </c>
      <c r="H78" s="90" t="str">
        <f>'DATA GPC'!M576</f>
        <v>--</v>
      </c>
      <c r="I78" s="90" t="str">
        <f>'DATA GPC'!N576</f>
        <v>--</v>
      </c>
      <c r="J78" s="90" t="str">
        <f>'DATA GPC'!O576</f>
        <v>--</v>
      </c>
      <c r="K78" s="90" t="str">
        <f>'DATA GPC'!P576</f>
        <v>--</v>
      </c>
      <c r="L78" s="90" t="str">
        <f>'DATA GPC'!U576</f>
        <v>--</v>
      </c>
      <c r="M78" s="90" t="str">
        <f>'DATA GPC'!V576</f>
        <v>--</v>
      </c>
      <c r="N78" s="90" t="str">
        <f>'DATA GPC'!W576</f>
        <v>--</v>
      </c>
      <c r="O78" s="90" t="str">
        <f>'DATA GPC'!X576</f>
        <v>--</v>
      </c>
      <c r="P78" s="90" t="str">
        <f>'DATA GPC'!Y576</f>
        <v>--</v>
      </c>
      <c r="Q78" s="1506"/>
      <c r="R78" s="467" t="str">
        <f>IFERROR(AVERAGEIFS('DATA GPC'!$K638:$O638,'DATA GPC'!$K202:$O202,"&gt;0"),"--")</f>
        <v>--</v>
      </c>
      <c r="S78" s="693" t="str">
        <f t="shared" si="102"/>
        <v>--</v>
      </c>
      <c r="T78" s="467" t="str">
        <f>'DATA GPC'!L638</f>
        <v>--</v>
      </c>
      <c r="U78" s="467" t="str">
        <f>'DATA GPC'!M638</f>
        <v>--</v>
      </c>
      <c r="V78" s="467" t="str">
        <f>'DATA GPC'!N638</f>
        <v>--</v>
      </c>
      <c r="W78" s="467" t="str">
        <f>'DATA GPC'!O638</f>
        <v>--</v>
      </c>
      <c r="X78" s="467" t="str">
        <f>'DATA GPC'!P638</f>
        <v>--</v>
      </c>
      <c r="Y78" s="467" t="str">
        <f>'DATA GPC'!U638</f>
        <v>--</v>
      </c>
      <c r="Z78" s="467" t="str">
        <f>'DATA GPC'!V638</f>
        <v>--</v>
      </c>
      <c r="AA78" s="467" t="str">
        <f>'DATA GPC'!W638</f>
        <v>--</v>
      </c>
      <c r="AB78" s="467" t="str">
        <f>'DATA GPC'!X638</f>
        <v>--</v>
      </c>
      <c r="AC78" s="467" t="str">
        <f>'DATA GPC'!Y638</f>
        <v>--</v>
      </c>
      <c r="AD78" s="1506"/>
      <c r="AE78" s="467" t="str">
        <f>IFERROR(AVERAGEIFS('DATA GPC'!$K669:$O669,'DATA GPC'!$K202:$O202,"&gt;0"),"--")</f>
        <v>--</v>
      </c>
      <c r="AF78" s="693" t="str">
        <f t="shared" si="103"/>
        <v>--</v>
      </c>
      <c r="AG78" s="467" t="str">
        <f>'DATA GPC'!L669</f>
        <v>--</v>
      </c>
      <c r="AH78" s="467" t="str">
        <f>'DATA GPC'!M669</f>
        <v>--</v>
      </c>
      <c r="AI78" s="467" t="str">
        <f>'DATA GPC'!N669</f>
        <v>--</v>
      </c>
      <c r="AJ78" s="467" t="str">
        <f>'DATA GPC'!O669</f>
        <v>--</v>
      </c>
      <c r="AK78" s="467" t="str">
        <f>'DATA GPC'!P669</f>
        <v>--</v>
      </c>
      <c r="AL78" s="467" t="str">
        <f>'DATA GPC'!U669</f>
        <v>--</v>
      </c>
      <c r="AM78" s="467" t="str">
        <f>'DATA GPC'!V669</f>
        <v>--</v>
      </c>
      <c r="AN78" s="467" t="str">
        <f>'DATA GPC'!W669</f>
        <v>--</v>
      </c>
      <c r="AO78" s="467" t="str">
        <f>'DATA GPC'!X669</f>
        <v>--</v>
      </c>
      <c r="AP78" s="467" t="str">
        <f>'DATA GPC'!Y669</f>
        <v>--</v>
      </c>
      <c r="AQ78" s="1506"/>
      <c r="AR78" s="1510"/>
      <c r="AS78" s="2060"/>
      <c r="AT78" s="2060"/>
      <c r="AU78" s="2060"/>
      <c r="AV78" s="2060"/>
      <c r="AW78" s="2060"/>
      <c r="AX78" s="2060"/>
      <c r="AY78" s="2060"/>
      <c r="AZ78" s="2060"/>
      <c r="BA78" s="2060"/>
      <c r="BB78" s="2060"/>
      <c r="BC78" s="2060"/>
      <c r="BD78" s="2060"/>
      <c r="BE78" s="2060"/>
      <c r="BF78" s="2060"/>
      <c r="BG78" s="2060"/>
      <c r="BH78" s="2060"/>
      <c r="BI78" s="2060"/>
      <c r="BJ78" s="2060"/>
      <c r="BK78" s="2060"/>
      <c r="BL78" s="2060"/>
      <c r="BM78" s="2060"/>
      <c r="BN78" s="2060"/>
      <c r="BQ78" s="2060"/>
      <c r="BT78" s="2060"/>
      <c r="BU78" s="2060"/>
      <c r="BV78" s="2060"/>
      <c r="BW78" s="2060"/>
      <c r="BX78" s="2060"/>
      <c r="BY78" s="2060"/>
      <c r="BZ78" s="2060"/>
      <c r="CA78" s="2060"/>
      <c r="CB78" s="2060"/>
      <c r="CC78" s="2060"/>
      <c r="CD78" s="2060"/>
      <c r="CE78" s="2060"/>
      <c r="CF78" s="2060"/>
    </row>
    <row r="79" spans="1:84" ht="12.95" customHeight="1">
      <c r="A79" s="1510" t="str">
        <f t="shared" si="100"/>
        <v>n</v>
      </c>
      <c r="B79" s="1510"/>
      <c r="C79" s="173" t="str">
        <f>'DATA GPC'!E$31</f>
        <v>--</v>
      </c>
      <c r="D79" s="467" t="str">
        <f>'DATA GPC'!J31</f>
        <v>--</v>
      </c>
      <c r="E79" s="467" t="str">
        <f>IFERROR(AVERAGEIFS('DATA GPC'!$K577:$O577,'DATA GPC'!$K203:$O203,"&gt;0"),"--")</f>
        <v>--</v>
      </c>
      <c r="F79" s="693" t="str">
        <f t="shared" si="101"/>
        <v>--</v>
      </c>
      <c r="G79" s="90" t="str">
        <f>'DATA GPC'!L577</f>
        <v>--</v>
      </c>
      <c r="H79" s="90" t="str">
        <f>'DATA GPC'!M577</f>
        <v>--</v>
      </c>
      <c r="I79" s="90" t="str">
        <f>'DATA GPC'!N577</f>
        <v>--</v>
      </c>
      <c r="J79" s="90" t="str">
        <f>'DATA GPC'!O577</f>
        <v>--</v>
      </c>
      <c r="K79" s="90" t="str">
        <f>'DATA GPC'!P577</f>
        <v>--</v>
      </c>
      <c r="L79" s="90" t="str">
        <f>'DATA GPC'!U577</f>
        <v>--</v>
      </c>
      <c r="M79" s="90" t="str">
        <f>'DATA GPC'!V577</f>
        <v>--</v>
      </c>
      <c r="N79" s="90" t="str">
        <f>'DATA GPC'!W577</f>
        <v>--</v>
      </c>
      <c r="O79" s="90" t="str">
        <f>'DATA GPC'!X577</f>
        <v>--</v>
      </c>
      <c r="P79" s="90" t="str">
        <f>'DATA GPC'!Y577</f>
        <v>--</v>
      </c>
      <c r="Q79" s="1506"/>
      <c r="R79" s="467" t="str">
        <f>IFERROR(AVERAGEIFS('DATA GPC'!$K639:$O639,'DATA GPC'!$K203:$O203,"&gt;0"),"--")</f>
        <v>--</v>
      </c>
      <c r="S79" s="693" t="str">
        <f t="shared" si="102"/>
        <v>--</v>
      </c>
      <c r="T79" s="467" t="str">
        <f>'DATA GPC'!L639</f>
        <v>--</v>
      </c>
      <c r="U79" s="467" t="str">
        <f>'DATA GPC'!M639</f>
        <v>--</v>
      </c>
      <c r="V79" s="467" t="str">
        <f>'DATA GPC'!N639</f>
        <v>--</v>
      </c>
      <c r="W79" s="467" t="str">
        <f>'DATA GPC'!O639</f>
        <v>--</v>
      </c>
      <c r="X79" s="467" t="str">
        <f>'DATA GPC'!P639</f>
        <v>--</v>
      </c>
      <c r="Y79" s="467" t="str">
        <f>'DATA GPC'!U639</f>
        <v>--</v>
      </c>
      <c r="Z79" s="467" t="str">
        <f>'DATA GPC'!V639</f>
        <v>--</v>
      </c>
      <c r="AA79" s="467" t="str">
        <f>'DATA GPC'!W639</f>
        <v>--</v>
      </c>
      <c r="AB79" s="467" t="str">
        <f>'DATA GPC'!X639</f>
        <v>--</v>
      </c>
      <c r="AC79" s="467" t="str">
        <f>'DATA GPC'!Y639</f>
        <v>--</v>
      </c>
      <c r="AD79" s="1506"/>
      <c r="AE79" s="467" t="str">
        <f>IFERROR(AVERAGEIFS('DATA GPC'!$K670:$O670,'DATA GPC'!$K203:$O203,"&gt;0"),"--")</f>
        <v>--</v>
      </c>
      <c r="AF79" s="693" t="str">
        <f t="shared" si="103"/>
        <v>--</v>
      </c>
      <c r="AG79" s="467" t="str">
        <f>'DATA GPC'!L670</f>
        <v>--</v>
      </c>
      <c r="AH79" s="467" t="str">
        <f>'DATA GPC'!M670</f>
        <v>--</v>
      </c>
      <c r="AI79" s="467" t="str">
        <f>'DATA GPC'!N670</f>
        <v>--</v>
      </c>
      <c r="AJ79" s="467" t="str">
        <f>'DATA GPC'!O670</f>
        <v>--</v>
      </c>
      <c r="AK79" s="467" t="str">
        <f>'DATA GPC'!P670</f>
        <v>--</v>
      </c>
      <c r="AL79" s="467" t="str">
        <f>'DATA GPC'!U670</f>
        <v>--</v>
      </c>
      <c r="AM79" s="467" t="str">
        <f>'DATA GPC'!V670</f>
        <v>--</v>
      </c>
      <c r="AN79" s="467" t="str">
        <f>'DATA GPC'!W670</f>
        <v>--</v>
      </c>
      <c r="AO79" s="467" t="str">
        <f>'DATA GPC'!X670</f>
        <v>--</v>
      </c>
      <c r="AP79" s="467" t="str">
        <f>'DATA GPC'!Y670</f>
        <v>--</v>
      </c>
      <c r="AQ79" s="1506"/>
      <c r="AR79" s="1510"/>
      <c r="AS79" s="2060"/>
      <c r="AT79" s="2060"/>
      <c r="AU79" s="2060"/>
      <c r="AV79" s="2060"/>
      <c r="AW79" s="2060"/>
      <c r="AX79" s="2060"/>
      <c r="AY79" s="2060"/>
      <c r="AZ79" s="2060"/>
      <c r="BA79" s="2060"/>
      <c r="BB79" s="2060"/>
      <c r="BC79" s="2060"/>
      <c r="BD79" s="2060"/>
      <c r="BE79" s="2060"/>
      <c r="BF79" s="2060"/>
      <c r="BG79" s="2060"/>
      <c r="BH79" s="2060"/>
      <c r="BI79" s="2060"/>
      <c r="BJ79" s="2060"/>
      <c r="BK79" s="2060"/>
      <c r="BL79" s="2060"/>
      <c r="BM79" s="2060"/>
      <c r="BN79" s="2060"/>
      <c r="BQ79" s="2060"/>
      <c r="BT79" s="2060"/>
      <c r="BU79" s="2060"/>
      <c r="BV79" s="2060"/>
      <c r="BW79" s="2060"/>
      <c r="BX79" s="2060"/>
      <c r="BY79" s="2060"/>
      <c r="BZ79" s="2060"/>
      <c r="CA79" s="2060"/>
      <c r="CB79" s="2060"/>
      <c r="CC79" s="2060"/>
      <c r="CD79" s="2060"/>
      <c r="CE79" s="2060"/>
      <c r="CF79" s="2060"/>
    </row>
    <row r="80" spans="1:84" ht="12.95" customHeight="1">
      <c r="A80" s="1510" t="str">
        <f t="shared" si="100"/>
        <v>n</v>
      </c>
      <c r="B80" s="1510"/>
      <c r="C80" s="173" t="str">
        <f>'DATA GPC'!E$32</f>
        <v>--</v>
      </c>
      <c r="D80" s="467" t="str">
        <f>'DATA GPC'!J32</f>
        <v>--</v>
      </c>
      <c r="E80" s="467" t="str">
        <f>IFERROR(AVERAGEIFS('DATA GPC'!$K578:$O578,'DATA GPC'!$K204:$O204,"&gt;0"),"--")</f>
        <v>--</v>
      </c>
      <c r="F80" s="693" t="str">
        <f t="shared" si="101"/>
        <v>--</v>
      </c>
      <c r="G80" s="90" t="str">
        <f>'DATA GPC'!L578</f>
        <v>--</v>
      </c>
      <c r="H80" s="90" t="str">
        <f>'DATA GPC'!M578</f>
        <v>--</v>
      </c>
      <c r="I80" s="90" t="str">
        <f>'DATA GPC'!N578</f>
        <v>--</v>
      </c>
      <c r="J80" s="90" t="str">
        <f>'DATA GPC'!O578</f>
        <v>--</v>
      </c>
      <c r="K80" s="90" t="str">
        <f>'DATA GPC'!P578</f>
        <v>--</v>
      </c>
      <c r="L80" s="90" t="str">
        <f>'DATA GPC'!U578</f>
        <v>--</v>
      </c>
      <c r="M80" s="90" t="str">
        <f>'DATA GPC'!V578</f>
        <v>--</v>
      </c>
      <c r="N80" s="90" t="str">
        <f>'DATA GPC'!W578</f>
        <v>--</v>
      </c>
      <c r="O80" s="90" t="str">
        <f>'DATA GPC'!X578</f>
        <v>--</v>
      </c>
      <c r="P80" s="90" t="str">
        <f>'DATA GPC'!Y578</f>
        <v>--</v>
      </c>
      <c r="Q80" s="1506"/>
      <c r="R80" s="467" t="str">
        <f>IFERROR(AVERAGEIFS('DATA GPC'!$K640:$O640,'DATA GPC'!$K204:$O204,"&gt;0"),"--")</f>
        <v>--</v>
      </c>
      <c r="S80" s="693" t="str">
        <f t="shared" si="102"/>
        <v>--</v>
      </c>
      <c r="T80" s="467" t="str">
        <f>'DATA GPC'!L640</f>
        <v>--</v>
      </c>
      <c r="U80" s="467" t="str">
        <f>'DATA GPC'!M640</f>
        <v>--</v>
      </c>
      <c r="V80" s="467" t="str">
        <f>'DATA GPC'!N640</f>
        <v>--</v>
      </c>
      <c r="W80" s="467" t="str">
        <f>'DATA GPC'!O640</f>
        <v>--</v>
      </c>
      <c r="X80" s="467" t="str">
        <f>'DATA GPC'!P640</f>
        <v>--</v>
      </c>
      <c r="Y80" s="467" t="str">
        <f>'DATA GPC'!U640</f>
        <v>--</v>
      </c>
      <c r="Z80" s="467" t="str">
        <f>'DATA GPC'!V640</f>
        <v>--</v>
      </c>
      <c r="AA80" s="467" t="str">
        <f>'DATA GPC'!W640</f>
        <v>--</v>
      </c>
      <c r="AB80" s="467" t="str">
        <f>'DATA GPC'!X640</f>
        <v>--</v>
      </c>
      <c r="AC80" s="467" t="str">
        <f>'DATA GPC'!Y640</f>
        <v>--</v>
      </c>
      <c r="AD80" s="1506"/>
      <c r="AE80" s="467" t="str">
        <f>IFERROR(AVERAGEIFS('DATA GPC'!$K671:$O671,'DATA GPC'!$K204:$O204,"&gt;0"),"--")</f>
        <v>--</v>
      </c>
      <c r="AF80" s="693" t="str">
        <f t="shared" si="103"/>
        <v>--</v>
      </c>
      <c r="AG80" s="467" t="str">
        <f>'DATA GPC'!L671</f>
        <v>--</v>
      </c>
      <c r="AH80" s="467" t="str">
        <f>'DATA GPC'!M671</f>
        <v>--</v>
      </c>
      <c r="AI80" s="467" t="str">
        <f>'DATA GPC'!N671</f>
        <v>--</v>
      </c>
      <c r="AJ80" s="467" t="str">
        <f>'DATA GPC'!O671</f>
        <v>--</v>
      </c>
      <c r="AK80" s="467" t="str">
        <f>'DATA GPC'!P671</f>
        <v>--</v>
      </c>
      <c r="AL80" s="467" t="str">
        <f>'DATA GPC'!U671</f>
        <v>--</v>
      </c>
      <c r="AM80" s="467" t="str">
        <f>'DATA GPC'!V671</f>
        <v>--</v>
      </c>
      <c r="AN80" s="467" t="str">
        <f>'DATA GPC'!W671</f>
        <v>--</v>
      </c>
      <c r="AO80" s="467" t="str">
        <f>'DATA GPC'!X671</f>
        <v>--</v>
      </c>
      <c r="AP80" s="467" t="str">
        <f>'DATA GPC'!Y671</f>
        <v>--</v>
      </c>
      <c r="AQ80" s="1506"/>
      <c r="AR80" s="1510"/>
      <c r="AS80" s="2060"/>
      <c r="AT80" s="2060"/>
      <c r="AU80" s="2060"/>
      <c r="AV80" s="2060"/>
      <c r="AW80" s="2060"/>
      <c r="AX80" s="2060"/>
      <c r="AY80" s="2060"/>
      <c r="AZ80" s="2060"/>
      <c r="BA80" s="2060"/>
      <c r="BB80" s="2060"/>
      <c r="BC80" s="2060"/>
      <c r="BD80" s="2060"/>
      <c r="BE80" s="2060"/>
      <c r="BF80" s="2060"/>
      <c r="BG80" s="2060"/>
      <c r="BH80" s="2060"/>
      <c r="BI80" s="2060"/>
      <c r="BJ80" s="2060"/>
      <c r="BK80" s="2060"/>
      <c r="BL80" s="2060"/>
      <c r="BM80" s="2060"/>
      <c r="BN80" s="2060"/>
      <c r="BQ80" s="2060"/>
      <c r="BT80" s="2060"/>
      <c r="BU80" s="2060"/>
      <c r="BV80" s="2060"/>
      <c r="BW80" s="2060"/>
      <c r="BX80" s="2060"/>
      <c r="BY80" s="2060"/>
      <c r="BZ80" s="2060"/>
      <c r="CA80" s="2060"/>
      <c r="CB80" s="2060"/>
      <c r="CC80" s="2060"/>
      <c r="CD80" s="2060"/>
      <c r="CE80" s="2060"/>
      <c r="CF80" s="2060"/>
    </row>
    <row r="81" spans="1:84" ht="12.95" customHeight="1">
      <c r="A81" s="1510" t="str">
        <f t="shared" si="100"/>
        <v>n</v>
      </c>
      <c r="B81" s="1510"/>
      <c r="C81" s="173" t="str">
        <f>'DATA GPC'!E$33</f>
        <v>--</v>
      </c>
      <c r="D81" s="467" t="str">
        <f>'DATA GPC'!J33</f>
        <v>--</v>
      </c>
      <c r="E81" s="467" t="str">
        <f>IFERROR(AVERAGEIFS('DATA GPC'!$K579:$O579,'DATA GPC'!$K205:$O205,"&gt;0"),"--")</f>
        <v>--</v>
      </c>
      <c r="F81" s="693" t="str">
        <f t="shared" si="101"/>
        <v>--</v>
      </c>
      <c r="G81" s="90" t="str">
        <f>'DATA GPC'!L579</f>
        <v>--</v>
      </c>
      <c r="H81" s="90" t="str">
        <f>'DATA GPC'!M579</f>
        <v>--</v>
      </c>
      <c r="I81" s="90" t="str">
        <f>'DATA GPC'!N579</f>
        <v>--</v>
      </c>
      <c r="J81" s="90" t="str">
        <f>'DATA GPC'!O579</f>
        <v>--</v>
      </c>
      <c r="K81" s="90" t="str">
        <f>'DATA GPC'!P579</f>
        <v>--</v>
      </c>
      <c r="L81" s="90" t="str">
        <f>'DATA GPC'!U579</f>
        <v>--</v>
      </c>
      <c r="M81" s="90" t="str">
        <f>'DATA GPC'!V579</f>
        <v>--</v>
      </c>
      <c r="N81" s="90" t="str">
        <f>'DATA GPC'!W579</f>
        <v>--</v>
      </c>
      <c r="O81" s="90" t="str">
        <f>'DATA GPC'!X579</f>
        <v>--</v>
      </c>
      <c r="P81" s="90" t="str">
        <f>'DATA GPC'!Y579</f>
        <v>--</v>
      </c>
      <c r="Q81" s="1506"/>
      <c r="R81" s="467" t="str">
        <f>IFERROR(AVERAGEIFS('DATA GPC'!$K641:$O641,'DATA GPC'!$K205:$O205,"&gt;0"),"--")</f>
        <v>--</v>
      </c>
      <c r="S81" s="693" t="str">
        <f t="shared" si="102"/>
        <v>--</v>
      </c>
      <c r="T81" s="467" t="str">
        <f>'DATA GPC'!L641</f>
        <v>--</v>
      </c>
      <c r="U81" s="467" t="str">
        <f>'DATA GPC'!M641</f>
        <v>--</v>
      </c>
      <c r="V81" s="467" t="str">
        <f>'DATA GPC'!N641</f>
        <v>--</v>
      </c>
      <c r="W81" s="467" t="str">
        <f>'DATA GPC'!O641</f>
        <v>--</v>
      </c>
      <c r="X81" s="467" t="str">
        <f>'DATA GPC'!P641</f>
        <v>--</v>
      </c>
      <c r="Y81" s="467" t="str">
        <f>'DATA GPC'!U641</f>
        <v>--</v>
      </c>
      <c r="Z81" s="467" t="str">
        <f>'DATA GPC'!V641</f>
        <v>--</v>
      </c>
      <c r="AA81" s="467" t="str">
        <f>'DATA GPC'!W641</f>
        <v>--</v>
      </c>
      <c r="AB81" s="467" t="str">
        <f>'DATA GPC'!X641</f>
        <v>--</v>
      </c>
      <c r="AC81" s="467" t="str">
        <f>'DATA GPC'!Y641</f>
        <v>--</v>
      </c>
      <c r="AD81" s="1506"/>
      <c r="AE81" s="467" t="str">
        <f>IFERROR(AVERAGEIFS('DATA GPC'!$K672:$O672,'DATA GPC'!$K205:$O205,"&gt;0"),"--")</f>
        <v>--</v>
      </c>
      <c r="AF81" s="693" t="str">
        <f t="shared" si="103"/>
        <v>--</v>
      </c>
      <c r="AG81" s="467" t="str">
        <f>'DATA GPC'!L672</f>
        <v>--</v>
      </c>
      <c r="AH81" s="467" t="str">
        <f>'DATA GPC'!M672</f>
        <v>--</v>
      </c>
      <c r="AI81" s="467" t="str">
        <f>'DATA GPC'!N672</f>
        <v>--</v>
      </c>
      <c r="AJ81" s="467" t="str">
        <f>'DATA GPC'!O672</f>
        <v>--</v>
      </c>
      <c r="AK81" s="467" t="str">
        <f>'DATA GPC'!P672</f>
        <v>--</v>
      </c>
      <c r="AL81" s="467" t="str">
        <f>'DATA GPC'!U672</f>
        <v>--</v>
      </c>
      <c r="AM81" s="467" t="str">
        <f>'DATA GPC'!V672</f>
        <v>--</v>
      </c>
      <c r="AN81" s="467" t="str">
        <f>'DATA GPC'!W672</f>
        <v>--</v>
      </c>
      <c r="AO81" s="467" t="str">
        <f>'DATA GPC'!X672</f>
        <v>--</v>
      </c>
      <c r="AP81" s="467" t="str">
        <f>'DATA GPC'!Y672</f>
        <v>--</v>
      </c>
      <c r="AQ81" s="1506"/>
      <c r="AR81" s="1510"/>
      <c r="AS81" s="2060"/>
      <c r="AT81" s="2060"/>
      <c r="AU81" s="2060"/>
      <c r="AV81" s="2060"/>
      <c r="AW81" s="2060"/>
      <c r="AX81" s="2060"/>
      <c r="AY81" s="2060"/>
      <c r="AZ81" s="2060"/>
      <c r="BA81" s="2060"/>
      <c r="BB81" s="2060"/>
      <c r="BC81" s="2060"/>
      <c r="BD81" s="2060"/>
      <c r="BE81" s="2060"/>
      <c r="BF81" s="2060"/>
      <c r="BG81" s="2060"/>
      <c r="BH81" s="2060"/>
      <c r="BI81" s="2060"/>
      <c r="BJ81" s="2060"/>
      <c r="BK81" s="2060"/>
      <c r="BL81" s="2060"/>
      <c r="BM81" s="2060"/>
      <c r="BN81" s="2060"/>
      <c r="BQ81" s="2060"/>
      <c r="BT81" s="2060"/>
      <c r="BU81" s="2060"/>
      <c r="BV81" s="2060"/>
      <c r="BW81" s="2060"/>
      <c r="BX81" s="2060"/>
      <c r="BY81" s="2060"/>
      <c r="BZ81" s="2060"/>
      <c r="CA81" s="2060"/>
      <c r="CB81" s="2060"/>
      <c r="CC81" s="2060"/>
      <c r="CD81" s="2060"/>
      <c r="CE81" s="2060"/>
      <c r="CF81" s="2060"/>
    </row>
    <row r="82" spans="1:84" s="1506" customFormat="1" ht="12.95" customHeight="1">
      <c r="A82" s="1510" t="str">
        <f t="shared" ref="A82:A92" si="104">IF(C82="--","n","")</f>
        <v>n</v>
      </c>
      <c r="B82" s="1510"/>
      <c r="C82" s="173" t="str">
        <f>'DATA GPC'!E$34</f>
        <v>--</v>
      </c>
      <c r="D82" s="467" t="str">
        <f>'DATA GPC'!J34</f>
        <v>--</v>
      </c>
      <c r="E82" s="467" t="str">
        <f>IFERROR(AVERAGEIFS('DATA GPC'!$K580:$O580,'DATA GPC'!$K206:$O206,"&gt;0"),"--")</f>
        <v>--</v>
      </c>
      <c r="F82" s="693" t="str">
        <f t="shared" si="101"/>
        <v>--</v>
      </c>
      <c r="G82" s="90" t="str">
        <f>'DATA GPC'!L580</f>
        <v>--</v>
      </c>
      <c r="H82" s="90" t="str">
        <f>'DATA GPC'!M580</f>
        <v>--</v>
      </c>
      <c r="I82" s="90" t="str">
        <f>'DATA GPC'!N580</f>
        <v>--</v>
      </c>
      <c r="J82" s="90" t="str">
        <f>'DATA GPC'!O580</f>
        <v>--</v>
      </c>
      <c r="K82" s="90" t="str">
        <f>'DATA GPC'!P580</f>
        <v>--</v>
      </c>
      <c r="L82" s="90" t="str">
        <f>'DATA GPC'!U580</f>
        <v>--</v>
      </c>
      <c r="M82" s="90" t="str">
        <f>'DATA GPC'!V580</f>
        <v>--</v>
      </c>
      <c r="N82" s="90" t="str">
        <f>'DATA GPC'!W580</f>
        <v>--</v>
      </c>
      <c r="O82" s="90" t="str">
        <f>'DATA GPC'!X580</f>
        <v>--</v>
      </c>
      <c r="P82" s="90" t="str">
        <f>'DATA GPC'!Y580</f>
        <v>--</v>
      </c>
      <c r="R82" s="467" t="str">
        <f>IFERROR(AVERAGEIFS('DATA GPC'!$K642:$O642,'DATA GPC'!$K206:$O206,"&gt;0"),"--")</f>
        <v>--</v>
      </c>
      <c r="S82" s="693" t="str">
        <f t="shared" si="102"/>
        <v>--</v>
      </c>
      <c r="T82" s="467" t="str">
        <f>'DATA GPC'!L642</f>
        <v>--</v>
      </c>
      <c r="U82" s="467" t="str">
        <f>'DATA GPC'!M642</f>
        <v>--</v>
      </c>
      <c r="V82" s="467" t="str">
        <f>'DATA GPC'!N642</f>
        <v>--</v>
      </c>
      <c r="W82" s="467" t="str">
        <f>'DATA GPC'!O642</f>
        <v>--</v>
      </c>
      <c r="X82" s="467" t="str">
        <f>'DATA GPC'!P642</f>
        <v>--</v>
      </c>
      <c r="Y82" s="467" t="str">
        <f>'DATA GPC'!U642</f>
        <v>--</v>
      </c>
      <c r="Z82" s="467" t="str">
        <f>'DATA GPC'!V642</f>
        <v>--</v>
      </c>
      <c r="AA82" s="467" t="str">
        <f>'DATA GPC'!W642</f>
        <v>--</v>
      </c>
      <c r="AB82" s="467" t="str">
        <f>'DATA GPC'!X642</f>
        <v>--</v>
      </c>
      <c r="AC82" s="467" t="str">
        <f>'DATA GPC'!Y642</f>
        <v>--</v>
      </c>
      <c r="AE82" s="467" t="str">
        <f>IFERROR(AVERAGEIFS('DATA GPC'!$K673:$O673,'DATA GPC'!$K206:$O206,"&gt;0"),"--")</f>
        <v>--</v>
      </c>
      <c r="AF82" s="693" t="str">
        <f t="shared" si="103"/>
        <v>--</v>
      </c>
      <c r="AG82" s="467" t="str">
        <f>'DATA GPC'!L673</f>
        <v>--</v>
      </c>
      <c r="AH82" s="467" t="str">
        <f>'DATA GPC'!M673</f>
        <v>--</v>
      </c>
      <c r="AI82" s="467" t="str">
        <f>'DATA GPC'!N673</f>
        <v>--</v>
      </c>
      <c r="AJ82" s="467" t="str">
        <f>'DATA GPC'!O673</f>
        <v>--</v>
      </c>
      <c r="AK82" s="467" t="str">
        <f>'DATA GPC'!P673</f>
        <v>--</v>
      </c>
      <c r="AL82" s="467" t="str">
        <f>'DATA GPC'!U673</f>
        <v>--</v>
      </c>
      <c r="AM82" s="467" t="str">
        <f>'DATA GPC'!V673</f>
        <v>--</v>
      </c>
      <c r="AN82" s="467" t="str">
        <f>'DATA GPC'!W673</f>
        <v>--</v>
      </c>
      <c r="AO82" s="467" t="str">
        <f>'DATA GPC'!X673</f>
        <v>--</v>
      </c>
      <c r="AP82" s="467" t="str">
        <f>'DATA GPC'!Y673</f>
        <v>--</v>
      </c>
      <c r="AR82" s="1510"/>
      <c r="AS82" s="2060"/>
      <c r="AT82" s="2060"/>
      <c r="AU82" s="2060"/>
      <c r="AV82" s="2060"/>
      <c r="AW82" s="2060"/>
      <c r="AX82" s="2060"/>
      <c r="AY82" s="2060"/>
      <c r="AZ82" s="2060"/>
      <c r="BA82" s="2060"/>
      <c r="BB82" s="2060"/>
      <c r="BC82" s="2060"/>
      <c r="BD82" s="2060"/>
      <c r="BE82" s="2060"/>
      <c r="BF82" s="2060"/>
      <c r="BG82" s="2060"/>
      <c r="BH82" s="2060"/>
      <c r="BI82" s="2060"/>
      <c r="BJ82" s="2060"/>
      <c r="BK82" s="2060"/>
      <c r="BL82" s="2060"/>
      <c r="BM82" s="2060"/>
      <c r="BN82" s="2060"/>
      <c r="BQ82" s="2060"/>
      <c r="BT82" s="2060"/>
      <c r="BU82" s="2060"/>
      <c r="BV82" s="2060"/>
      <c r="BW82" s="2060"/>
      <c r="BX82" s="2060"/>
      <c r="BY82" s="2060"/>
      <c r="BZ82" s="2060"/>
      <c r="CA82" s="2060"/>
      <c r="CB82" s="2060"/>
      <c r="CC82" s="2060"/>
      <c r="CD82" s="2060"/>
      <c r="CE82" s="2060"/>
      <c r="CF82" s="2060"/>
    </row>
    <row r="83" spans="1:84" s="1506" customFormat="1" ht="12.95" customHeight="1">
      <c r="A83" s="1510" t="str">
        <f t="shared" si="104"/>
        <v>n</v>
      </c>
      <c r="B83" s="1510"/>
      <c r="C83" s="173" t="str">
        <f>'DATA GPC'!E$35</f>
        <v>--</v>
      </c>
      <c r="D83" s="467" t="str">
        <f>'DATA GPC'!J35</f>
        <v>--</v>
      </c>
      <c r="E83" s="467" t="str">
        <f>IFERROR(AVERAGEIFS('DATA GPC'!$K581:$O581,'DATA GPC'!$K207:$O207,"&gt;0"),"--")</f>
        <v>--</v>
      </c>
      <c r="F83" s="693" t="str">
        <f t="shared" si="101"/>
        <v>--</v>
      </c>
      <c r="G83" s="90" t="str">
        <f>'DATA GPC'!L581</f>
        <v>--</v>
      </c>
      <c r="H83" s="90" t="str">
        <f>'DATA GPC'!M581</f>
        <v>--</v>
      </c>
      <c r="I83" s="90" t="str">
        <f>'DATA GPC'!N581</f>
        <v>--</v>
      </c>
      <c r="J83" s="90" t="str">
        <f>'DATA GPC'!O581</f>
        <v>--</v>
      </c>
      <c r="K83" s="90" t="str">
        <f>'DATA GPC'!P581</f>
        <v>--</v>
      </c>
      <c r="L83" s="90" t="str">
        <f>'DATA GPC'!U581</f>
        <v>--</v>
      </c>
      <c r="M83" s="90" t="str">
        <f>'DATA GPC'!V581</f>
        <v>--</v>
      </c>
      <c r="N83" s="90" t="str">
        <f>'DATA GPC'!W581</f>
        <v>--</v>
      </c>
      <c r="O83" s="90" t="str">
        <f>'DATA GPC'!X581</f>
        <v>--</v>
      </c>
      <c r="P83" s="90" t="str">
        <f>'DATA GPC'!Y581</f>
        <v>--</v>
      </c>
      <c r="R83" s="467" t="str">
        <f>IFERROR(AVERAGEIFS('DATA GPC'!$K643:$O643,'DATA GPC'!$K207:$O207,"&gt;0"),"--")</f>
        <v>--</v>
      </c>
      <c r="S83" s="693" t="str">
        <f t="shared" si="102"/>
        <v>--</v>
      </c>
      <c r="T83" s="467" t="str">
        <f>'DATA GPC'!L643</f>
        <v>--</v>
      </c>
      <c r="U83" s="467" t="str">
        <f>'DATA GPC'!M643</f>
        <v>--</v>
      </c>
      <c r="V83" s="467" t="str">
        <f>'DATA GPC'!N643</f>
        <v>--</v>
      </c>
      <c r="W83" s="467" t="str">
        <f>'DATA GPC'!O643</f>
        <v>--</v>
      </c>
      <c r="X83" s="467" t="str">
        <f>'DATA GPC'!P643</f>
        <v>--</v>
      </c>
      <c r="Y83" s="467" t="str">
        <f>'DATA GPC'!U643</f>
        <v>--</v>
      </c>
      <c r="Z83" s="467" t="str">
        <f>'DATA GPC'!V643</f>
        <v>--</v>
      </c>
      <c r="AA83" s="467" t="str">
        <f>'DATA GPC'!W643</f>
        <v>--</v>
      </c>
      <c r="AB83" s="467" t="str">
        <f>'DATA GPC'!X643</f>
        <v>--</v>
      </c>
      <c r="AC83" s="467" t="str">
        <f>'DATA GPC'!Y643</f>
        <v>--</v>
      </c>
      <c r="AE83" s="467" t="str">
        <f>IFERROR(AVERAGEIFS('DATA GPC'!$K674:$O674,'DATA GPC'!$K207:$O207,"&gt;0"),"--")</f>
        <v>--</v>
      </c>
      <c r="AF83" s="693" t="str">
        <f t="shared" si="103"/>
        <v>--</v>
      </c>
      <c r="AG83" s="467" t="str">
        <f>'DATA GPC'!L674</f>
        <v>--</v>
      </c>
      <c r="AH83" s="467" t="str">
        <f>'DATA GPC'!M674</f>
        <v>--</v>
      </c>
      <c r="AI83" s="467" t="str">
        <f>'DATA GPC'!N674</f>
        <v>--</v>
      </c>
      <c r="AJ83" s="467" t="str">
        <f>'DATA GPC'!O674</f>
        <v>--</v>
      </c>
      <c r="AK83" s="467" t="str">
        <f>'DATA GPC'!P674</f>
        <v>--</v>
      </c>
      <c r="AL83" s="467" t="str">
        <f>'DATA GPC'!U674</f>
        <v>--</v>
      </c>
      <c r="AM83" s="467" t="str">
        <f>'DATA GPC'!V674</f>
        <v>--</v>
      </c>
      <c r="AN83" s="467" t="str">
        <f>'DATA GPC'!W674</f>
        <v>--</v>
      </c>
      <c r="AO83" s="467" t="str">
        <f>'DATA GPC'!X674</f>
        <v>--</v>
      </c>
      <c r="AP83" s="467" t="str">
        <f>'DATA GPC'!Y674</f>
        <v>--</v>
      </c>
      <c r="AR83" s="1510"/>
      <c r="AS83" s="2060"/>
      <c r="AT83" s="2060"/>
      <c r="AU83" s="2060"/>
      <c r="AV83" s="2060"/>
      <c r="AW83" s="2060"/>
      <c r="AX83" s="2060"/>
      <c r="AY83" s="2060"/>
      <c r="AZ83" s="2060"/>
      <c r="BA83" s="2060"/>
      <c r="BB83" s="2060"/>
      <c r="BC83" s="2060"/>
      <c r="BD83" s="2060"/>
      <c r="BE83" s="2060"/>
      <c r="BF83" s="2060"/>
      <c r="BG83" s="2060"/>
      <c r="BH83" s="2060"/>
      <c r="BI83" s="2060"/>
      <c r="BJ83" s="2060"/>
      <c r="BK83" s="2060"/>
      <c r="BL83" s="2060"/>
      <c r="BM83" s="2060"/>
      <c r="BN83" s="2060"/>
      <c r="BQ83" s="2060"/>
      <c r="BT83" s="2060"/>
      <c r="BU83" s="2060"/>
      <c r="BV83" s="2060"/>
      <c r="BW83" s="2060"/>
      <c r="BX83" s="2060"/>
      <c r="BY83" s="2060"/>
      <c r="BZ83" s="2060"/>
      <c r="CA83" s="2060"/>
      <c r="CB83" s="2060"/>
      <c r="CC83" s="2060"/>
      <c r="CD83" s="2060"/>
      <c r="CE83" s="2060"/>
      <c r="CF83" s="2060"/>
    </row>
    <row r="84" spans="1:84" s="1506" customFormat="1" ht="12.95" customHeight="1">
      <c r="A84" s="1510" t="str">
        <f t="shared" si="104"/>
        <v>n</v>
      </c>
      <c r="B84" s="1510"/>
      <c r="C84" s="173" t="str">
        <f>'DATA GPC'!E$36</f>
        <v>--</v>
      </c>
      <c r="D84" s="467" t="str">
        <f>'DATA GPC'!J36</f>
        <v>--</v>
      </c>
      <c r="E84" s="467" t="str">
        <f>IFERROR(AVERAGEIFS('DATA GPC'!$K582:$O582,'DATA GPC'!$K208:$O208,"&gt;0"),"--")</f>
        <v>--</v>
      </c>
      <c r="F84" s="693" t="str">
        <f t="shared" si="101"/>
        <v>--</v>
      </c>
      <c r="G84" s="90" t="str">
        <f>'DATA GPC'!L582</f>
        <v>--</v>
      </c>
      <c r="H84" s="90" t="str">
        <f>'DATA GPC'!M582</f>
        <v>--</v>
      </c>
      <c r="I84" s="90" t="str">
        <f>'DATA GPC'!N582</f>
        <v>--</v>
      </c>
      <c r="J84" s="90" t="str">
        <f>'DATA GPC'!O582</f>
        <v>--</v>
      </c>
      <c r="K84" s="90" t="str">
        <f>'DATA GPC'!P582</f>
        <v>--</v>
      </c>
      <c r="L84" s="90" t="str">
        <f>'DATA GPC'!U582</f>
        <v>--</v>
      </c>
      <c r="M84" s="90" t="str">
        <f>'DATA GPC'!V582</f>
        <v>--</v>
      </c>
      <c r="N84" s="90" t="str">
        <f>'DATA GPC'!W582</f>
        <v>--</v>
      </c>
      <c r="O84" s="90" t="str">
        <f>'DATA GPC'!X582</f>
        <v>--</v>
      </c>
      <c r="P84" s="90" t="str">
        <f>'DATA GPC'!Y582</f>
        <v>--</v>
      </c>
      <c r="R84" s="467" t="str">
        <f>IFERROR(AVERAGEIFS('DATA GPC'!$K644:$O644,'DATA GPC'!$K208:$O208,"&gt;0"),"--")</f>
        <v>--</v>
      </c>
      <c r="S84" s="693" t="str">
        <f t="shared" si="102"/>
        <v>--</v>
      </c>
      <c r="T84" s="467" t="str">
        <f>'DATA GPC'!L644</f>
        <v>--</v>
      </c>
      <c r="U84" s="467" t="str">
        <f>'DATA GPC'!M644</f>
        <v>--</v>
      </c>
      <c r="V84" s="467" t="str">
        <f>'DATA GPC'!N644</f>
        <v>--</v>
      </c>
      <c r="W84" s="467" t="str">
        <f>'DATA GPC'!O644</f>
        <v>--</v>
      </c>
      <c r="X84" s="467" t="str">
        <f>'DATA GPC'!P644</f>
        <v>--</v>
      </c>
      <c r="Y84" s="467" t="str">
        <f>'DATA GPC'!U644</f>
        <v>--</v>
      </c>
      <c r="Z84" s="467" t="str">
        <f>'DATA GPC'!V644</f>
        <v>--</v>
      </c>
      <c r="AA84" s="467" t="str">
        <f>'DATA GPC'!W644</f>
        <v>--</v>
      </c>
      <c r="AB84" s="467" t="str">
        <f>'DATA GPC'!X644</f>
        <v>--</v>
      </c>
      <c r="AC84" s="467" t="str">
        <f>'DATA GPC'!Y644</f>
        <v>--</v>
      </c>
      <c r="AE84" s="467" t="str">
        <f>IFERROR(AVERAGEIFS('DATA GPC'!$K675:$O675,'DATA GPC'!$K208:$O208,"&gt;0"),"--")</f>
        <v>--</v>
      </c>
      <c r="AF84" s="693" t="str">
        <f t="shared" si="103"/>
        <v>--</v>
      </c>
      <c r="AG84" s="467" t="str">
        <f>'DATA GPC'!L675</f>
        <v>--</v>
      </c>
      <c r="AH84" s="467" t="str">
        <f>'DATA GPC'!M675</f>
        <v>--</v>
      </c>
      <c r="AI84" s="467" t="str">
        <f>'DATA GPC'!N675</f>
        <v>--</v>
      </c>
      <c r="AJ84" s="467" t="str">
        <f>'DATA GPC'!O675</f>
        <v>--</v>
      </c>
      <c r="AK84" s="467" t="str">
        <f>'DATA GPC'!P675</f>
        <v>--</v>
      </c>
      <c r="AL84" s="467" t="str">
        <f>'DATA GPC'!U675</f>
        <v>--</v>
      </c>
      <c r="AM84" s="467" t="str">
        <f>'DATA GPC'!V675</f>
        <v>--</v>
      </c>
      <c r="AN84" s="467" t="str">
        <f>'DATA GPC'!W675</f>
        <v>--</v>
      </c>
      <c r="AO84" s="467" t="str">
        <f>'DATA GPC'!X675</f>
        <v>--</v>
      </c>
      <c r="AP84" s="467" t="str">
        <f>'DATA GPC'!Y675</f>
        <v>--</v>
      </c>
      <c r="AR84" s="1510"/>
      <c r="AS84" s="2060"/>
      <c r="AT84" s="2060"/>
      <c r="AU84" s="2060"/>
      <c r="AV84" s="2060"/>
      <c r="AW84" s="2060"/>
      <c r="AX84" s="2060"/>
      <c r="AY84" s="2060"/>
      <c r="AZ84" s="2060"/>
      <c r="BA84" s="2060"/>
      <c r="BB84" s="2060"/>
      <c r="BC84" s="2060"/>
      <c r="BD84" s="2060"/>
      <c r="BE84" s="2060"/>
      <c r="BF84" s="2060"/>
      <c r="BG84" s="2060"/>
      <c r="BH84" s="2060"/>
      <c r="BI84" s="2060"/>
      <c r="BJ84" s="2060"/>
      <c r="BK84" s="2060"/>
      <c r="BL84" s="2060"/>
      <c r="BM84" s="2060"/>
      <c r="BN84" s="2060"/>
      <c r="BQ84" s="2060"/>
      <c r="BT84" s="2060"/>
      <c r="BU84" s="2060"/>
      <c r="BV84" s="2060"/>
      <c r="BW84" s="2060"/>
      <c r="BX84" s="2060"/>
      <c r="BY84" s="2060"/>
      <c r="BZ84" s="2060"/>
      <c r="CA84" s="2060"/>
      <c r="CB84" s="2060"/>
      <c r="CC84" s="2060"/>
      <c r="CD84" s="2060"/>
      <c r="CE84" s="2060"/>
      <c r="CF84" s="2060"/>
    </row>
    <row r="85" spans="1:84" s="1506" customFormat="1" ht="12.95" customHeight="1">
      <c r="A85" s="1510" t="str">
        <f t="shared" si="104"/>
        <v>n</v>
      </c>
      <c r="B85" s="1510"/>
      <c r="C85" s="173" t="str">
        <f>'DATA GPC'!E$37</f>
        <v>--</v>
      </c>
      <c r="D85" s="467" t="str">
        <f>'DATA GPC'!J37</f>
        <v>--</v>
      </c>
      <c r="E85" s="467" t="str">
        <f>IFERROR(AVERAGEIFS('DATA GPC'!$K583:$O583,'DATA GPC'!$K209:$O209,"&gt;0"),"--")</f>
        <v>--</v>
      </c>
      <c r="F85" s="693" t="str">
        <f t="shared" si="101"/>
        <v>--</v>
      </c>
      <c r="G85" s="90" t="str">
        <f>'DATA GPC'!L583</f>
        <v>--</v>
      </c>
      <c r="H85" s="90" t="str">
        <f>'DATA GPC'!M583</f>
        <v>--</v>
      </c>
      <c r="I85" s="90" t="str">
        <f>'DATA GPC'!N583</f>
        <v>--</v>
      </c>
      <c r="J85" s="90" t="str">
        <f>'DATA GPC'!O583</f>
        <v>--</v>
      </c>
      <c r="K85" s="90" t="str">
        <f>'DATA GPC'!P583</f>
        <v>--</v>
      </c>
      <c r="L85" s="90" t="str">
        <f>'DATA GPC'!U583</f>
        <v>--</v>
      </c>
      <c r="M85" s="90" t="str">
        <f>'DATA GPC'!V583</f>
        <v>--</v>
      </c>
      <c r="N85" s="90" t="str">
        <f>'DATA GPC'!W583</f>
        <v>--</v>
      </c>
      <c r="O85" s="90" t="str">
        <f>'DATA GPC'!X583</f>
        <v>--</v>
      </c>
      <c r="P85" s="90" t="str">
        <f>'DATA GPC'!Y583</f>
        <v>--</v>
      </c>
      <c r="R85" s="467" t="str">
        <f>IFERROR(AVERAGEIFS('DATA GPC'!$K645:$O645,'DATA GPC'!$K209:$O209,"&gt;0"),"--")</f>
        <v>--</v>
      </c>
      <c r="S85" s="693" t="str">
        <f t="shared" si="102"/>
        <v>--</v>
      </c>
      <c r="T85" s="467" t="str">
        <f>'DATA GPC'!L645</f>
        <v>--</v>
      </c>
      <c r="U85" s="467" t="str">
        <f>'DATA GPC'!M645</f>
        <v>--</v>
      </c>
      <c r="V85" s="467" t="str">
        <f>'DATA GPC'!N645</f>
        <v>--</v>
      </c>
      <c r="W85" s="467" t="str">
        <f>'DATA GPC'!O645</f>
        <v>--</v>
      </c>
      <c r="X85" s="467" t="str">
        <f>'DATA GPC'!P645</f>
        <v>--</v>
      </c>
      <c r="Y85" s="467" t="str">
        <f>'DATA GPC'!U645</f>
        <v>--</v>
      </c>
      <c r="Z85" s="467" t="str">
        <f>'DATA GPC'!V645</f>
        <v>--</v>
      </c>
      <c r="AA85" s="467" t="str">
        <f>'DATA GPC'!W645</f>
        <v>--</v>
      </c>
      <c r="AB85" s="467" t="str">
        <f>'DATA GPC'!X645</f>
        <v>--</v>
      </c>
      <c r="AC85" s="467" t="str">
        <f>'DATA GPC'!Y645</f>
        <v>--</v>
      </c>
      <c r="AE85" s="467" t="str">
        <f>IFERROR(AVERAGEIFS('DATA GPC'!$K676:$O676,'DATA GPC'!$K209:$O209,"&gt;0"),"--")</f>
        <v>--</v>
      </c>
      <c r="AF85" s="693" t="str">
        <f t="shared" si="103"/>
        <v>--</v>
      </c>
      <c r="AG85" s="467" t="str">
        <f>'DATA GPC'!L676</f>
        <v>--</v>
      </c>
      <c r="AH85" s="467" t="str">
        <f>'DATA GPC'!M676</f>
        <v>--</v>
      </c>
      <c r="AI85" s="467" t="str">
        <f>'DATA GPC'!N676</f>
        <v>--</v>
      </c>
      <c r="AJ85" s="467" t="str">
        <f>'DATA GPC'!O676</f>
        <v>--</v>
      </c>
      <c r="AK85" s="467" t="str">
        <f>'DATA GPC'!P676</f>
        <v>--</v>
      </c>
      <c r="AL85" s="467" t="str">
        <f>'DATA GPC'!U676</f>
        <v>--</v>
      </c>
      <c r="AM85" s="467" t="str">
        <f>'DATA GPC'!V676</f>
        <v>--</v>
      </c>
      <c r="AN85" s="467" t="str">
        <f>'DATA GPC'!W676</f>
        <v>--</v>
      </c>
      <c r="AO85" s="467" t="str">
        <f>'DATA GPC'!X676</f>
        <v>--</v>
      </c>
      <c r="AP85" s="467" t="str">
        <f>'DATA GPC'!Y676</f>
        <v>--</v>
      </c>
      <c r="AR85" s="1510"/>
      <c r="AS85" s="2060"/>
      <c r="AT85" s="2060"/>
      <c r="AU85" s="2060"/>
      <c r="AV85" s="2060"/>
      <c r="AW85" s="2060"/>
      <c r="AX85" s="2060"/>
      <c r="AY85" s="2060"/>
      <c r="AZ85" s="2060"/>
      <c r="BA85" s="2060"/>
      <c r="BB85" s="2060"/>
      <c r="BC85" s="2060"/>
      <c r="BD85" s="2060"/>
      <c r="BE85" s="2060"/>
      <c r="BF85" s="2060"/>
      <c r="BG85" s="2060"/>
      <c r="BH85" s="2060"/>
      <c r="BI85" s="2060"/>
      <c r="BJ85" s="2060"/>
      <c r="BK85" s="2060"/>
      <c r="BL85" s="2060"/>
      <c r="BM85" s="2060"/>
      <c r="BN85" s="2060"/>
      <c r="BQ85" s="2060"/>
      <c r="BT85" s="2060"/>
      <c r="BU85" s="2060"/>
      <c r="BV85" s="2060"/>
      <c r="BW85" s="2060"/>
      <c r="BX85" s="2060"/>
      <c r="BY85" s="2060"/>
      <c r="BZ85" s="2060"/>
      <c r="CA85" s="2060"/>
      <c r="CB85" s="2060"/>
      <c r="CC85" s="2060"/>
      <c r="CD85" s="2060"/>
      <c r="CE85" s="2060"/>
      <c r="CF85" s="2060"/>
    </row>
    <row r="86" spans="1:84" s="1506" customFormat="1" ht="12.95" customHeight="1">
      <c r="A86" s="1510" t="str">
        <f t="shared" si="104"/>
        <v>n</v>
      </c>
      <c r="B86" s="1510"/>
      <c r="C86" s="173" t="str">
        <f>'DATA GPC'!E$38</f>
        <v>--</v>
      </c>
      <c r="D86" s="467" t="str">
        <f>'DATA GPC'!J38</f>
        <v>--</v>
      </c>
      <c r="E86" s="467" t="str">
        <f>IFERROR(AVERAGEIFS('DATA GPC'!$K584:$O584,'DATA GPC'!$K210:$O210,"&gt;0"),"--")</f>
        <v>--</v>
      </c>
      <c r="F86" s="693" t="str">
        <f t="shared" si="101"/>
        <v>--</v>
      </c>
      <c r="G86" s="90" t="str">
        <f>'DATA GPC'!L584</f>
        <v>--</v>
      </c>
      <c r="H86" s="90" t="str">
        <f>'DATA GPC'!M584</f>
        <v>--</v>
      </c>
      <c r="I86" s="90" t="str">
        <f>'DATA GPC'!N584</f>
        <v>--</v>
      </c>
      <c r="J86" s="90" t="str">
        <f>'DATA GPC'!O584</f>
        <v>--</v>
      </c>
      <c r="K86" s="90" t="str">
        <f>'DATA GPC'!P584</f>
        <v>--</v>
      </c>
      <c r="L86" s="90" t="str">
        <f>'DATA GPC'!U584</f>
        <v>--</v>
      </c>
      <c r="M86" s="90" t="str">
        <f>'DATA GPC'!V584</f>
        <v>--</v>
      </c>
      <c r="N86" s="90" t="str">
        <f>'DATA GPC'!W584</f>
        <v>--</v>
      </c>
      <c r="O86" s="90" t="str">
        <f>'DATA GPC'!X584</f>
        <v>--</v>
      </c>
      <c r="P86" s="90" t="str">
        <f>'DATA GPC'!Y584</f>
        <v>--</v>
      </c>
      <c r="R86" s="467" t="str">
        <f>IFERROR(AVERAGEIFS('DATA GPC'!$K646:$O646,'DATA GPC'!$K210:$O210,"&gt;0"),"--")</f>
        <v>--</v>
      </c>
      <c r="S86" s="693" t="str">
        <f t="shared" si="102"/>
        <v>--</v>
      </c>
      <c r="T86" s="467" t="str">
        <f>'DATA GPC'!L646</f>
        <v>--</v>
      </c>
      <c r="U86" s="467" t="str">
        <f>'DATA GPC'!M646</f>
        <v>--</v>
      </c>
      <c r="V86" s="467" t="str">
        <f>'DATA GPC'!N646</f>
        <v>--</v>
      </c>
      <c r="W86" s="467" t="str">
        <f>'DATA GPC'!O646</f>
        <v>--</v>
      </c>
      <c r="X86" s="467" t="str">
        <f>'DATA GPC'!P646</f>
        <v>--</v>
      </c>
      <c r="Y86" s="467" t="str">
        <f>'DATA GPC'!U646</f>
        <v>--</v>
      </c>
      <c r="Z86" s="467" t="str">
        <f>'DATA GPC'!V646</f>
        <v>--</v>
      </c>
      <c r="AA86" s="467" t="str">
        <f>'DATA GPC'!W646</f>
        <v>--</v>
      </c>
      <c r="AB86" s="467" t="str">
        <f>'DATA GPC'!X646</f>
        <v>--</v>
      </c>
      <c r="AC86" s="467" t="str">
        <f>'DATA GPC'!Y646</f>
        <v>--</v>
      </c>
      <c r="AE86" s="467" t="str">
        <f>IFERROR(AVERAGEIFS('DATA GPC'!$K677:$O677,'DATA GPC'!$K210:$O210,"&gt;0"),"--")</f>
        <v>--</v>
      </c>
      <c r="AF86" s="693" t="str">
        <f t="shared" si="103"/>
        <v>--</v>
      </c>
      <c r="AG86" s="467" t="str">
        <f>'DATA GPC'!L677</f>
        <v>--</v>
      </c>
      <c r="AH86" s="467" t="str">
        <f>'DATA GPC'!M677</f>
        <v>--</v>
      </c>
      <c r="AI86" s="467" t="str">
        <f>'DATA GPC'!N677</f>
        <v>--</v>
      </c>
      <c r="AJ86" s="467" t="str">
        <f>'DATA GPC'!O677</f>
        <v>--</v>
      </c>
      <c r="AK86" s="467" t="str">
        <f>'DATA GPC'!P677</f>
        <v>--</v>
      </c>
      <c r="AL86" s="467" t="str">
        <f>'DATA GPC'!U677</f>
        <v>--</v>
      </c>
      <c r="AM86" s="467" t="str">
        <f>'DATA GPC'!V677</f>
        <v>--</v>
      </c>
      <c r="AN86" s="467" t="str">
        <f>'DATA GPC'!W677</f>
        <v>--</v>
      </c>
      <c r="AO86" s="467" t="str">
        <f>'DATA GPC'!X677</f>
        <v>--</v>
      </c>
      <c r="AP86" s="467" t="str">
        <f>'DATA GPC'!Y677</f>
        <v>--</v>
      </c>
      <c r="AR86" s="1510"/>
      <c r="AS86" s="2060"/>
      <c r="AT86" s="2060"/>
      <c r="AU86" s="2060"/>
      <c r="AV86" s="2060"/>
      <c r="AW86" s="2060"/>
      <c r="AX86" s="2060"/>
      <c r="AY86" s="2060"/>
      <c r="AZ86" s="2060"/>
      <c r="BA86" s="2060"/>
      <c r="BB86" s="2060"/>
      <c r="BC86" s="2060"/>
      <c r="BD86" s="2060"/>
      <c r="BE86" s="2060"/>
      <c r="BF86" s="2060"/>
      <c r="BG86" s="2060"/>
      <c r="BH86" s="2060"/>
      <c r="BI86" s="2060"/>
      <c r="BJ86" s="2060"/>
      <c r="BK86" s="2060"/>
      <c r="BL86" s="2060"/>
      <c r="BM86" s="2060"/>
      <c r="BN86" s="2060"/>
      <c r="BQ86" s="2060"/>
      <c r="BT86" s="2060"/>
      <c r="BU86" s="2060"/>
      <c r="BV86" s="2060"/>
      <c r="BW86" s="2060"/>
      <c r="BX86" s="2060"/>
      <c r="BY86" s="2060"/>
      <c r="BZ86" s="2060"/>
      <c r="CA86" s="2060"/>
      <c r="CB86" s="2060"/>
      <c r="CC86" s="2060"/>
      <c r="CD86" s="2060"/>
      <c r="CE86" s="2060"/>
      <c r="CF86" s="2060"/>
    </row>
    <row r="87" spans="1:84" s="1506" customFormat="1" ht="12.95" customHeight="1">
      <c r="A87" s="1510" t="str">
        <f t="shared" si="104"/>
        <v>n</v>
      </c>
      <c r="B87" s="1510"/>
      <c r="C87" s="173" t="str">
        <f>'DATA GPC'!E$39</f>
        <v>--</v>
      </c>
      <c r="D87" s="467" t="str">
        <f>'DATA GPC'!J39</f>
        <v>--</v>
      </c>
      <c r="E87" s="467" t="str">
        <f>IFERROR(AVERAGEIFS('DATA GPC'!$K585:$O585,'DATA GPC'!$K211:$O211,"&gt;0"),"--")</f>
        <v>--</v>
      </c>
      <c r="F87" s="693" t="str">
        <f t="shared" si="101"/>
        <v>--</v>
      </c>
      <c r="G87" s="90" t="str">
        <f>'DATA GPC'!L585</f>
        <v>--</v>
      </c>
      <c r="H87" s="90" t="str">
        <f>'DATA GPC'!M585</f>
        <v>--</v>
      </c>
      <c r="I87" s="90" t="str">
        <f>'DATA GPC'!N585</f>
        <v>--</v>
      </c>
      <c r="J87" s="90" t="str">
        <f>'DATA GPC'!O585</f>
        <v>--</v>
      </c>
      <c r="K87" s="90" t="str">
        <f>'DATA GPC'!P585</f>
        <v>--</v>
      </c>
      <c r="L87" s="90" t="str">
        <f>'DATA GPC'!U585</f>
        <v>--</v>
      </c>
      <c r="M87" s="90" t="str">
        <f>'DATA GPC'!V585</f>
        <v>--</v>
      </c>
      <c r="N87" s="90" t="str">
        <f>'DATA GPC'!W585</f>
        <v>--</v>
      </c>
      <c r="O87" s="90" t="str">
        <f>'DATA GPC'!X585</f>
        <v>--</v>
      </c>
      <c r="P87" s="90" t="str">
        <f>'DATA GPC'!Y585</f>
        <v>--</v>
      </c>
      <c r="R87" s="467" t="str">
        <f>IFERROR(AVERAGEIFS('DATA GPC'!$K647:$O647,'DATA GPC'!$K211:$O211,"&gt;0"),"--")</f>
        <v>--</v>
      </c>
      <c r="S87" s="693" t="str">
        <f t="shared" si="102"/>
        <v>--</v>
      </c>
      <c r="T87" s="467" t="str">
        <f>'DATA GPC'!L647</f>
        <v>--</v>
      </c>
      <c r="U87" s="467" t="str">
        <f>'DATA GPC'!M647</f>
        <v>--</v>
      </c>
      <c r="V87" s="467" t="str">
        <f>'DATA GPC'!N647</f>
        <v>--</v>
      </c>
      <c r="W87" s="467" t="str">
        <f>'DATA GPC'!O647</f>
        <v>--</v>
      </c>
      <c r="X87" s="467" t="str">
        <f>'DATA GPC'!P647</f>
        <v>--</v>
      </c>
      <c r="Y87" s="467" t="str">
        <f>'DATA GPC'!U647</f>
        <v>--</v>
      </c>
      <c r="Z87" s="467" t="str">
        <f>'DATA GPC'!V647</f>
        <v>--</v>
      </c>
      <c r="AA87" s="467" t="str">
        <f>'DATA GPC'!W647</f>
        <v>--</v>
      </c>
      <c r="AB87" s="467" t="str">
        <f>'DATA GPC'!X647</f>
        <v>--</v>
      </c>
      <c r="AC87" s="467" t="str">
        <f>'DATA GPC'!Y647</f>
        <v>--</v>
      </c>
      <c r="AE87" s="467" t="str">
        <f>IFERROR(AVERAGEIFS('DATA GPC'!$K678:$O678,'DATA GPC'!$K211:$O211,"&gt;0"),"--")</f>
        <v>--</v>
      </c>
      <c r="AF87" s="693" t="str">
        <f t="shared" si="103"/>
        <v>--</v>
      </c>
      <c r="AG87" s="467" t="str">
        <f>'DATA GPC'!L678</f>
        <v>--</v>
      </c>
      <c r="AH87" s="467" t="str">
        <f>'DATA GPC'!M678</f>
        <v>--</v>
      </c>
      <c r="AI87" s="467" t="str">
        <f>'DATA GPC'!N678</f>
        <v>--</v>
      </c>
      <c r="AJ87" s="467" t="str">
        <f>'DATA GPC'!O678</f>
        <v>--</v>
      </c>
      <c r="AK87" s="467" t="str">
        <f>'DATA GPC'!P678</f>
        <v>--</v>
      </c>
      <c r="AL87" s="467" t="str">
        <f>'DATA GPC'!U678</f>
        <v>--</v>
      </c>
      <c r="AM87" s="467" t="str">
        <f>'DATA GPC'!V678</f>
        <v>--</v>
      </c>
      <c r="AN87" s="467" t="str">
        <f>'DATA GPC'!W678</f>
        <v>--</v>
      </c>
      <c r="AO87" s="467" t="str">
        <f>'DATA GPC'!X678</f>
        <v>--</v>
      </c>
      <c r="AP87" s="467" t="str">
        <f>'DATA GPC'!Y678</f>
        <v>--</v>
      </c>
      <c r="AR87" s="1510"/>
      <c r="AS87" s="2060"/>
      <c r="AT87" s="2060"/>
      <c r="AU87" s="2060"/>
      <c r="AV87" s="2060"/>
      <c r="AW87" s="2060"/>
      <c r="AX87" s="2060"/>
      <c r="AY87" s="2060"/>
      <c r="AZ87" s="2060"/>
      <c r="BA87" s="2060"/>
      <c r="BB87" s="2060"/>
      <c r="BC87" s="2060"/>
      <c r="BD87" s="2060"/>
      <c r="BE87" s="2060"/>
      <c r="BF87" s="2060"/>
      <c r="BG87" s="2060"/>
      <c r="BH87" s="2060"/>
      <c r="BI87" s="2060"/>
      <c r="BJ87" s="2060"/>
      <c r="BK87" s="2060"/>
      <c r="BL87" s="2060"/>
      <c r="BM87" s="2060"/>
      <c r="BN87" s="2060"/>
      <c r="BQ87" s="2060"/>
      <c r="BT87" s="2060"/>
      <c r="BU87" s="2060"/>
      <c r="BV87" s="2060"/>
      <c r="BW87" s="2060"/>
      <c r="BX87" s="2060"/>
      <c r="BY87" s="2060"/>
      <c r="BZ87" s="2060"/>
      <c r="CA87" s="2060"/>
      <c r="CB87" s="2060"/>
      <c r="CC87" s="2060"/>
      <c r="CD87" s="2060"/>
      <c r="CE87" s="2060"/>
      <c r="CF87" s="2060"/>
    </row>
    <row r="88" spans="1:84" s="1506" customFormat="1" ht="12.95" customHeight="1">
      <c r="A88" s="1510" t="str">
        <f t="shared" si="104"/>
        <v>n</v>
      </c>
      <c r="B88" s="1510"/>
      <c r="C88" s="173" t="str">
        <f>'DATA GPC'!E$40</f>
        <v>--</v>
      </c>
      <c r="D88" s="467" t="str">
        <f>'DATA GPC'!J40</f>
        <v>--</v>
      </c>
      <c r="E88" s="467" t="str">
        <f>IFERROR(AVERAGEIFS('DATA GPC'!$K586:$O586,'DATA GPC'!$K212:$O212,"&gt;0"),"--")</f>
        <v>--</v>
      </c>
      <c r="F88" s="693" t="str">
        <f t="shared" si="101"/>
        <v>--</v>
      </c>
      <c r="G88" s="90" t="str">
        <f>'DATA GPC'!L586</f>
        <v>--</v>
      </c>
      <c r="H88" s="90" t="str">
        <f>'DATA GPC'!M586</f>
        <v>--</v>
      </c>
      <c r="I88" s="90" t="str">
        <f>'DATA GPC'!N586</f>
        <v>--</v>
      </c>
      <c r="J88" s="90" t="str">
        <f>'DATA GPC'!O586</f>
        <v>--</v>
      </c>
      <c r="K88" s="90" t="str">
        <f>'DATA GPC'!P586</f>
        <v>--</v>
      </c>
      <c r="L88" s="90" t="str">
        <f>'DATA GPC'!U586</f>
        <v>--</v>
      </c>
      <c r="M88" s="90" t="str">
        <f>'DATA GPC'!V586</f>
        <v>--</v>
      </c>
      <c r="N88" s="90" t="str">
        <f>'DATA GPC'!W586</f>
        <v>--</v>
      </c>
      <c r="O88" s="90" t="str">
        <f>'DATA GPC'!X586</f>
        <v>--</v>
      </c>
      <c r="P88" s="90" t="str">
        <f>'DATA GPC'!Y586</f>
        <v>--</v>
      </c>
      <c r="R88" s="467" t="str">
        <f>IFERROR(AVERAGEIFS('DATA GPC'!$K648:$O648,'DATA GPC'!$K212:$O212,"&gt;0"),"--")</f>
        <v>--</v>
      </c>
      <c r="S88" s="693" t="str">
        <f t="shared" si="102"/>
        <v>--</v>
      </c>
      <c r="T88" s="467" t="str">
        <f>'DATA GPC'!L648</f>
        <v>--</v>
      </c>
      <c r="U88" s="467" t="str">
        <f>'DATA GPC'!M648</f>
        <v>--</v>
      </c>
      <c r="V88" s="467" t="str">
        <f>'DATA GPC'!N648</f>
        <v>--</v>
      </c>
      <c r="W88" s="467" t="str">
        <f>'DATA GPC'!O648</f>
        <v>--</v>
      </c>
      <c r="X88" s="467" t="str">
        <f>'DATA GPC'!P648</f>
        <v>--</v>
      </c>
      <c r="Y88" s="467" t="str">
        <f>'DATA GPC'!U648</f>
        <v>--</v>
      </c>
      <c r="Z88" s="467" t="str">
        <f>'DATA GPC'!V648</f>
        <v>--</v>
      </c>
      <c r="AA88" s="467" t="str">
        <f>'DATA GPC'!W648</f>
        <v>--</v>
      </c>
      <c r="AB88" s="467" t="str">
        <f>'DATA GPC'!X648</f>
        <v>--</v>
      </c>
      <c r="AC88" s="467" t="str">
        <f>'DATA GPC'!Y648</f>
        <v>--</v>
      </c>
      <c r="AE88" s="467" t="str">
        <f>IFERROR(AVERAGEIFS('DATA GPC'!$K679:$O679,'DATA GPC'!$K212:$O212,"&gt;0"),"--")</f>
        <v>--</v>
      </c>
      <c r="AF88" s="693" t="str">
        <f t="shared" si="103"/>
        <v>--</v>
      </c>
      <c r="AG88" s="467" t="str">
        <f>'DATA GPC'!L679</f>
        <v>--</v>
      </c>
      <c r="AH88" s="467" t="str">
        <f>'DATA GPC'!M679</f>
        <v>--</v>
      </c>
      <c r="AI88" s="467" t="str">
        <f>'DATA GPC'!N679</f>
        <v>--</v>
      </c>
      <c r="AJ88" s="467" t="str">
        <f>'DATA GPC'!O679</f>
        <v>--</v>
      </c>
      <c r="AK88" s="467" t="str">
        <f>'DATA GPC'!P679</f>
        <v>--</v>
      </c>
      <c r="AL88" s="467" t="str">
        <f>'DATA GPC'!U679</f>
        <v>--</v>
      </c>
      <c r="AM88" s="467" t="str">
        <f>'DATA GPC'!V679</f>
        <v>--</v>
      </c>
      <c r="AN88" s="467" t="str">
        <f>'DATA GPC'!W679</f>
        <v>--</v>
      </c>
      <c r="AO88" s="467" t="str">
        <f>'DATA GPC'!X679</f>
        <v>--</v>
      </c>
      <c r="AP88" s="467" t="str">
        <f>'DATA GPC'!Y679</f>
        <v>--</v>
      </c>
      <c r="AR88" s="1510"/>
      <c r="AS88" s="2060"/>
      <c r="AT88" s="2060"/>
      <c r="AU88" s="2060"/>
      <c r="AV88" s="2060"/>
      <c r="AW88" s="2060"/>
      <c r="AX88" s="2060"/>
      <c r="AY88" s="2060"/>
      <c r="AZ88" s="2060"/>
      <c r="BA88" s="2060"/>
      <c r="BB88" s="2060"/>
      <c r="BC88" s="2060"/>
      <c r="BD88" s="2060"/>
      <c r="BE88" s="2060"/>
      <c r="BF88" s="2060"/>
      <c r="BG88" s="2060"/>
      <c r="BH88" s="2060"/>
      <c r="BI88" s="2060"/>
      <c r="BJ88" s="2060"/>
      <c r="BK88" s="2060"/>
      <c r="BL88" s="2060"/>
      <c r="BM88" s="2060"/>
      <c r="BN88" s="2060"/>
      <c r="BQ88" s="2060"/>
      <c r="BT88" s="2060"/>
      <c r="BU88" s="2060"/>
      <c r="BV88" s="2060"/>
      <c r="BW88" s="2060"/>
      <c r="BX88" s="2060"/>
      <c r="BY88" s="2060"/>
      <c r="BZ88" s="2060"/>
      <c r="CA88" s="2060"/>
      <c r="CB88" s="2060"/>
      <c r="CC88" s="2060"/>
      <c r="CD88" s="2060"/>
      <c r="CE88" s="2060"/>
      <c r="CF88" s="2060"/>
    </row>
    <row r="89" spans="1:84" s="1506" customFormat="1" ht="12.95" customHeight="1">
      <c r="A89" s="1510" t="str">
        <f t="shared" si="104"/>
        <v>n</v>
      </c>
      <c r="B89" s="1510"/>
      <c r="C89" s="173" t="str">
        <f>'DATA GPC'!E$41</f>
        <v>--</v>
      </c>
      <c r="D89" s="467" t="str">
        <f>'DATA GPC'!J41</f>
        <v>--</v>
      </c>
      <c r="E89" s="467" t="str">
        <f>IFERROR(AVERAGEIFS('DATA GPC'!$K587:$O587,'DATA GPC'!$K213:$O213,"&gt;0"),"--")</f>
        <v>--</v>
      </c>
      <c r="F89" s="693" t="str">
        <f t="shared" si="101"/>
        <v>--</v>
      </c>
      <c r="G89" s="90" t="str">
        <f>'DATA GPC'!L587</f>
        <v>--</v>
      </c>
      <c r="H89" s="90" t="str">
        <f>'DATA GPC'!M587</f>
        <v>--</v>
      </c>
      <c r="I89" s="90" t="str">
        <f>'DATA GPC'!N587</f>
        <v>--</v>
      </c>
      <c r="J89" s="90" t="str">
        <f>'DATA GPC'!O587</f>
        <v>--</v>
      </c>
      <c r="K89" s="90" t="str">
        <f>'DATA GPC'!P587</f>
        <v>--</v>
      </c>
      <c r="L89" s="90" t="str">
        <f>'DATA GPC'!U587</f>
        <v>--</v>
      </c>
      <c r="M89" s="90" t="str">
        <f>'DATA GPC'!V587</f>
        <v>--</v>
      </c>
      <c r="N89" s="90" t="str">
        <f>'DATA GPC'!W587</f>
        <v>--</v>
      </c>
      <c r="O89" s="90" t="str">
        <f>'DATA GPC'!X587</f>
        <v>--</v>
      </c>
      <c r="P89" s="90" t="str">
        <f>'DATA GPC'!Y587</f>
        <v>--</v>
      </c>
      <c r="R89" s="467" t="str">
        <f>IFERROR(AVERAGEIFS('DATA GPC'!$K649:$O649,'DATA GPC'!$K213:$O213,"&gt;0"),"--")</f>
        <v>--</v>
      </c>
      <c r="S89" s="693" t="str">
        <f t="shared" si="102"/>
        <v>--</v>
      </c>
      <c r="T89" s="467" t="str">
        <f>'DATA GPC'!L649</f>
        <v>--</v>
      </c>
      <c r="U89" s="467" t="str">
        <f>'DATA GPC'!M649</f>
        <v>--</v>
      </c>
      <c r="V89" s="467" t="str">
        <f>'DATA GPC'!N649</f>
        <v>--</v>
      </c>
      <c r="W89" s="467" t="str">
        <f>'DATA GPC'!O649</f>
        <v>--</v>
      </c>
      <c r="X89" s="467" t="str">
        <f>'DATA GPC'!P649</f>
        <v>--</v>
      </c>
      <c r="Y89" s="467" t="str">
        <f>'DATA GPC'!U649</f>
        <v>--</v>
      </c>
      <c r="Z89" s="467" t="str">
        <f>'DATA GPC'!V649</f>
        <v>--</v>
      </c>
      <c r="AA89" s="467" t="str">
        <f>'DATA GPC'!W649</f>
        <v>--</v>
      </c>
      <c r="AB89" s="467" t="str">
        <f>'DATA GPC'!X649</f>
        <v>--</v>
      </c>
      <c r="AC89" s="467" t="str">
        <f>'DATA GPC'!Y649</f>
        <v>--</v>
      </c>
      <c r="AE89" s="467" t="str">
        <f>IFERROR(AVERAGEIFS('DATA GPC'!$K680:$O680,'DATA GPC'!$K213:$O213,"&gt;0"),"--")</f>
        <v>--</v>
      </c>
      <c r="AF89" s="693" t="str">
        <f t="shared" si="103"/>
        <v>--</v>
      </c>
      <c r="AG89" s="467" t="str">
        <f>'DATA GPC'!L680</f>
        <v>--</v>
      </c>
      <c r="AH89" s="467" t="str">
        <f>'DATA GPC'!M680</f>
        <v>--</v>
      </c>
      <c r="AI89" s="467" t="str">
        <f>'DATA GPC'!N680</f>
        <v>--</v>
      </c>
      <c r="AJ89" s="467" t="str">
        <f>'DATA GPC'!O680</f>
        <v>--</v>
      </c>
      <c r="AK89" s="467" t="str">
        <f>'DATA GPC'!P680</f>
        <v>--</v>
      </c>
      <c r="AL89" s="467" t="str">
        <f>'DATA GPC'!U680</f>
        <v>--</v>
      </c>
      <c r="AM89" s="467" t="str">
        <f>'DATA GPC'!V680</f>
        <v>--</v>
      </c>
      <c r="AN89" s="467" t="str">
        <f>'DATA GPC'!W680</f>
        <v>--</v>
      </c>
      <c r="AO89" s="467" t="str">
        <f>'DATA GPC'!X680</f>
        <v>--</v>
      </c>
      <c r="AP89" s="467" t="str">
        <f>'DATA GPC'!Y680</f>
        <v>--</v>
      </c>
      <c r="AR89" s="1510"/>
      <c r="AS89" s="2060"/>
      <c r="AT89" s="2060"/>
      <c r="AU89" s="2060"/>
      <c r="AV89" s="2060"/>
      <c r="AW89" s="2060"/>
      <c r="AX89" s="2060"/>
      <c r="AY89" s="2060"/>
      <c r="AZ89" s="2060"/>
      <c r="BA89" s="2060"/>
      <c r="BB89" s="2060"/>
      <c r="BC89" s="2060"/>
      <c r="BD89" s="2060"/>
      <c r="BE89" s="2060"/>
      <c r="BF89" s="2060"/>
      <c r="BG89" s="2060"/>
      <c r="BH89" s="2060"/>
      <c r="BI89" s="2060"/>
      <c r="BJ89" s="2060"/>
      <c r="BK89" s="2060"/>
      <c r="BL89" s="2060"/>
      <c r="BM89" s="2060"/>
      <c r="BN89" s="2060"/>
      <c r="BQ89" s="2060"/>
      <c r="BT89" s="2060"/>
      <c r="BU89" s="2060"/>
      <c r="BV89" s="2060"/>
      <c r="BW89" s="2060"/>
      <c r="BX89" s="2060"/>
      <c r="BY89" s="2060"/>
      <c r="BZ89" s="2060"/>
      <c r="CA89" s="2060"/>
      <c r="CB89" s="2060"/>
      <c r="CC89" s="2060"/>
      <c r="CD89" s="2060"/>
      <c r="CE89" s="2060"/>
      <c r="CF89" s="2060"/>
    </row>
    <row r="90" spans="1:84" s="1506" customFormat="1" ht="12.95" customHeight="1">
      <c r="A90" s="1510" t="str">
        <f t="shared" si="104"/>
        <v>n</v>
      </c>
      <c r="B90" s="1510"/>
      <c r="C90" s="173" t="str">
        <f>'DATA GPC'!E$42</f>
        <v>--</v>
      </c>
      <c r="D90" s="467" t="str">
        <f>'DATA GPC'!J42</f>
        <v>--</v>
      </c>
      <c r="E90" s="467" t="str">
        <f>IFERROR(AVERAGEIFS('DATA GPC'!$K588:$O588,'DATA GPC'!$K214:$O214,"&gt;0"),"--")</f>
        <v>--</v>
      </c>
      <c r="F90" s="693" t="str">
        <f t="shared" si="101"/>
        <v>--</v>
      </c>
      <c r="G90" s="90" t="str">
        <f>'DATA GPC'!L588</f>
        <v>--</v>
      </c>
      <c r="H90" s="90" t="str">
        <f>'DATA GPC'!M588</f>
        <v>--</v>
      </c>
      <c r="I90" s="90" t="str">
        <f>'DATA GPC'!N588</f>
        <v>--</v>
      </c>
      <c r="J90" s="90" t="str">
        <f>'DATA GPC'!O588</f>
        <v>--</v>
      </c>
      <c r="K90" s="90" t="str">
        <f>'DATA GPC'!P588</f>
        <v>--</v>
      </c>
      <c r="L90" s="90" t="str">
        <f>'DATA GPC'!U588</f>
        <v>--</v>
      </c>
      <c r="M90" s="90" t="str">
        <f>'DATA GPC'!V588</f>
        <v>--</v>
      </c>
      <c r="N90" s="90" t="str">
        <f>'DATA GPC'!W588</f>
        <v>--</v>
      </c>
      <c r="O90" s="90" t="str">
        <f>'DATA GPC'!X588</f>
        <v>--</v>
      </c>
      <c r="P90" s="90" t="str">
        <f>'DATA GPC'!Y588</f>
        <v>--</v>
      </c>
      <c r="R90" s="467" t="str">
        <f>IFERROR(AVERAGEIFS('DATA GPC'!$K650:$O650,'DATA GPC'!$K214:$O214,"&gt;0"),"--")</f>
        <v>--</v>
      </c>
      <c r="S90" s="693" t="str">
        <f t="shared" si="102"/>
        <v>--</v>
      </c>
      <c r="T90" s="467" t="str">
        <f>'DATA GPC'!L650</f>
        <v>--</v>
      </c>
      <c r="U90" s="467" t="str">
        <f>'DATA GPC'!M650</f>
        <v>--</v>
      </c>
      <c r="V90" s="467" t="str">
        <f>'DATA GPC'!N650</f>
        <v>--</v>
      </c>
      <c r="W90" s="467" t="str">
        <f>'DATA GPC'!O650</f>
        <v>--</v>
      </c>
      <c r="X90" s="467" t="str">
        <f>'DATA GPC'!P650</f>
        <v>--</v>
      </c>
      <c r="Y90" s="467" t="str">
        <f>'DATA GPC'!U650</f>
        <v>--</v>
      </c>
      <c r="Z90" s="467" t="str">
        <f>'DATA GPC'!V650</f>
        <v>--</v>
      </c>
      <c r="AA90" s="467" t="str">
        <f>'DATA GPC'!W650</f>
        <v>--</v>
      </c>
      <c r="AB90" s="467" t="str">
        <f>'DATA GPC'!X650</f>
        <v>--</v>
      </c>
      <c r="AC90" s="467" t="str">
        <f>'DATA GPC'!Y650</f>
        <v>--</v>
      </c>
      <c r="AE90" s="467" t="str">
        <f>IFERROR(AVERAGEIFS('DATA GPC'!$K681:$O681,'DATA GPC'!$K214:$O214,"&gt;0"),"--")</f>
        <v>--</v>
      </c>
      <c r="AF90" s="693" t="str">
        <f t="shared" si="103"/>
        <v>--</v>
      </c>
      <c r="AG90" s="467" t="str">
        <f>'DATA GPC'!L681</f>
        <v>--</v>
      </c>
      <c r="AH90" s="467" t="str">
        <f>'DATA GPC'!M681</f>
        <v>--</v>
      </c>
      <c r="AI90" s="467" t="str">
        <f>'DATA GPC'!N681</f>
        <v>--</v>
      </c>
      <c r="AJ90" s="467" t="str">
        <f>'DATA GPC'!O681</f>
        <v>--</v>
      </c>
      <c r="AK90" s="467" t="str">
        <f>'DATA GPC'!P681</f>
        <v>--</v>
      </c>
      <c r="AL90" s="467" t="str">
        <f>'DATA GPC'!U681</f>
        <v>--</v>
      </c>
      <c r="AM90" s="467" t="str">
        <f>'DATA GPC'!V681</f>
        <v>--</v>
      </c>
      <c r="AN90" s="467" t="str">
        <f>'DATA GPC'!W681</f>
        <v>--</v>
      </c>
      <c r="AO90" s="467" t="str">
        <f>'DATA GPC'!X681</f>
        <v>--</v>
      </c>
      <c r="AP90" s="467" t="str">
        <f>'DATA GPC'!Y681</f>
        <v>--</v>
      </c>
      <c r="AR90" s="1510"/>
      <c r="AS90" s="2060"/>
      <c r="AT90" s="2060"/>
      <c r="AU90" s="2060"/>
      <c r="AV90" s="2060"/>
      <c r="AW90" s="2060"/>
      <c r="AX90" s="2060"/>
      <c r="AY90" s="2060"/>
      <c r="AZ90" s="2060"/>
      <c r="BA90" s="2060"/>
      <c r="BB90" s="2060"/>
      <c r="BC90" s="2060"/>
      <c r="BD90" s="2060"/>
      <c r="BE90" s="2060"/>
      <c r="BF90" s="2060"/>
      <c r="BG90" s="2060"/>
      <c r="BH90" s="2060"/>
      <c r="BI90" s="2060"/>
      <c r="BJ90" s="2060"/>
      <c r="BK90" s="2060"/>
      <c r="BL90" s="2060"/>
      <c r="BM90" s="2060"/>
      <c r="BN90" s="2060"/>
      <c r="BQ90" s="2060"/>
      <c r="BT90" s="2060"/>
      <c r="BU90" s="2060"/>
      <c r="BV90" s="2060"/>
      <c r="BW90" s="2060"/>
      <c r="BX90" s="2060"/>
      <c r="BY90" s="2060"/>
      <c r="BZ90" s="2060"/>
      <c r="CA90" s="2060"/>
      <c r="CB90" s="2060"/>
      <c r="CC90" s="2060"/>
      <c r="CD90" s="2060"/>
      <c r="CE90" s="2060"/>
      <c r="CF90" s="2060"/>
    </row>
    <row r="91" spans="1:84" s="1506" customFormat="1" ht="12.95" customHeight="1">
      <c r="A91" s="1510" t="str">
        <f t="shared" si="104"/>
        <v>n</v>
      </c>
      <c r="B91" s="1510"/>
      <c r="C91" s="173" t="str">
        <f>'DATA GPC'!E$43</f>
        <v>--</v>
      </c>
      <c r="D91" s="467" t="str">
        <f>'DATA GPC'!J43</f>
        <v>--</v>
      </c>
      <c r="E91" s="467" t="str">
        <f>IFERROR(AVERAGEIFS('DATA GPC'!$K589:$O589,'DATA GPC'!$K215:$O215,"&gt;0"),"--")</f>
        <v>--</v>
      </c>
      <c r="F91" s="693" t="str">
        <f t="shared" si="101"/>
        <v>--</v>
      </c>
      <c r="G91" s="90" t="str">
        <f>'DATA GPC'!L589</f>
        <v>--</v>
      </c>
      <c r="H91" s="90" t="str">
        <f>'DATA GPC'!M589</f>
        <v>--</v>
      </c>
      <c r="I91" s="90" t="str">
        <f>'DATA GPC'!N589</f>
        <v>--</v>
      </c>
      <c r="J91" s="90" t="str">
        <f>'DATA GPC'!O589</f>
        <v>--</v>
      </c>
      <c r="K91" s="90" t="str">
        <f>'DATA GPC'!P589</f>
        <v>--</v>
      </c>
      <c r="L91" s="90" t="str">
        <f>'DATA GPC'!U589</f>
        <v>--</v>
      </c>
      <c r="M91" s="90" t="str">
        <f>'DATA GPC'!V589</f>
        <v>--</v>
      </c>
      <c r="N91" s="90" t="str">
        <f>'DATA GPC'!W589</f>
        <v>--</v>
      </c>
      <c r="O91" s="90" t="str">
        <f>'DATA GPC'!X589</f>
        <v>--</v>
      </c>
      <c r="P91" s="90" t="str">
        <f>'DATA GPC'!Y589</f>
        <v>--</v>
      </c>
      <c r="R91" s="467" t="str">
        <f>IFERROR(AVERAGEIFS('DATA GPC'!$K651:$O651,'DATA GPC'!$K215:$O215,"&gt;0"),"--")</f>
        <v>--</v>
      </c>
      <c r="S91" s="693" t="str">
        <f t="shared" si="102"/>
        <v>--</v>
      </c>
      <c r="T91" s="467" t="str">
        <f>'DATA GPC'!L651</f>
        <v>--</v>
      </c>
      <c r="U91" s="467" t="str">
        <f>'DATA GPC'!M651</f>
        <v>--</v>
      </c>
      <c r="V91" s="467" t="str">
        <f>'DATA GPC'!N651</f>
        <v>--</v>
      </c>
      <c r="W91" s="467" t="str">
        <f>'DATA GPC'!O651</f>
        <v>--</v>
      </c>
      <c r="X91" s="467" t="str">
        <f>'DATA GPC'!P651</f>
        <v>--</v>
      </c>
      <c r="Y91" s="467" t="str">
        <f>'DATA GPC'!U651</f>
        <v>--</v>
      </c>
      <c r="Z91" s="467" t="str">
        <f>'DATA GPC'!V651</f>
        <v>--</v>
      </c>
      <c r="AA91" s="467" t="str">
        <f>'DATA GPC'!W651</f>
        <v>--</v>
      </c>
      <c r="AB91" s="467" t="str">
        <f>'DATA GPC'!X651</f>
        <v>--</v>
      </c>
      <c r="AC91" s="467" t="str">
        <f>'DATA GPC'!Y651</f>
        <v>--</v>
      </c>
      <c r="AE91" s="467" t="str">
        <f>IFERROR(AVERAGEIFS('DATA GPC'!$K682:$O682,'DATA GPC'!$K215:$O215,"&gt;0"),"--")</f>
        <v>--</v>
      </c>
      <c r="AF91" s="693" t="str">
        <f t="shared" si="103"/>
        <v>--</v>
      </c>
      <c r="AG91" s="467" t="str">
        <f>'DATA GPC'!L682</f>
        <v>--</v>
      </c>
      <c r="AH91" s="467" t="str">
        <f>'DATA GPC'!M682</f>
        <v>--</v>
      </c>
      <c r="AI91" s="467" t="str">
        <f>'DATA GPC'!N682</f>
        <v>--</v>
      </c>
      <c r="AJ91" s="467" t="str">
        <f>'DATA GPC'!O682</f>
        <v>--</v>
      </c>
      <c r="AK91" s="467" t="str">
        <f>'DATA GPC'!P682</f>
        <v>--</v>
      </c>
      <c r="AL91" s="467" t="str">
        <f>'DATA GPC'!U682</f>
        <v>--</v>
      </c>
      <c r="AM91" s="467" t="str">
        <f>'DATA GPC'!V682</f>
        <v>--</v>
      </c>
      <c r="AN91" s="467" t="str">
        <f>'DATA GPC'!W682</f>
        <v>--</v>
      </c>
      <c r="AO91" s="467" t="str">
        <f>'DATA GPC'!X682</f>
        <v>--</v>
      </c>
      <c r="AP91" s="467" t="str">
        <f>'DATA GPC'!Y682</f>
        <v>--</v>
      </c>
      <c r="AR91" s="1510"/>
      <c r="AS91" s="2060"/>
      <c r="AT91" s="2060"/>
      <c r="AU91" s="2060"/>
      <c r="AV91" s="2060"/>
      <c r="AW91" s="2060"/>
      <c r="AX91" s="2060"/>
      <c r="AY91" s="2060"/>
      <c r="AZ91" s="2060"/>
      <c r="BA91" s="2060"/>
      <c r="BB91" s="2060"/>
      <c r="BC91" s="2060"/>
      <c r="BD91" s="2060"/>
      <c r="BE91" s="2060"/>
      <c r="BF91" s="2060"/>
      <c r="BG91" s="2060"/>
      <c r="BH91" s="2060"/>
      <c r="BI91" s="2060"/>
      <c r="BJ91" s="2060"/>
      <c r="BK91" s="2060"/>
      <c r="BL91" s="2060"/>
      <c r="BM91" s="2060"/>
      <c r="BN91" s="2060"/>
      <c r="BQ91" s="2060"/>
      <c r="BT91" s="2060"/>
      <c r="BU91" s="2060"/>
      <c r="BV91" s="2060"/>
      <c r="BW91" s="2060"/>
      <c r="BX91" s="2060"/>
      <c r="BY91" s="2060"/>
      <c r="BZ91" s="2060"/>
      <c r="CA91" s="2060"/>
      <c r="CB91" s="2060"/>
      <c r="CC91" s="2060"/>
      <c r="CD91" s="2060"/>
      <c r="CE91" s="2060"/>
      <c r="CF91" s="2060"/>
    </row>
    <row r="92" spans="1:84" ht="12.95" customHeight="1">
      <c r="A92" s="1510" t="str">
        <f t="shared" si="104"/>
        <v>n</v>
      </c>
      <c r="B92" s="1510"/>
      <c r="C92" s="173" t="str">
        <f>'DATA GPC'!E$44</f>
        <v>--</v>
      </c>
      <c r="D92" s="467" t="str">
        <f>'DATA GPC'!J44</f>
        <v>--</v>
      </c>
      <c r="E92" s="467" t="str">
        <f>IFERROR(AVERAGEIFS('DATA GPC'!$K590:$O590,'DATA GPC'!$K216:$O216,"&gt;0"),"--")</f>
        <v>--</v>
      </c>
      <c r="F92" s="693" t="str">
        <f t="shared" si="101"/>
        <v>--</v>
      </c>
      <c r="G92" s="90" t="str">
        <f>'DATA GPC'!L590</f>
        <v>--</v>
      </c>
      <c r="H92" s="90" t="str">
        <f>'DATA GPC'!M590</f>
        <v>--</v>
      </c>
      <c r="I92" s="90" t="str">
        <f>'DATA GPC'!N590</f>
        <v>--</v>
      </c>
      <c r="J92" s="90" t="str">
        <f>'DATA GPC'!O590</f>
        <v>--</v>
      </c>
      <c r="K92" s="90" t="str">
        <f>'DATA GPC'!P590</f>
        <v>--</v>
      </c>
      <c r="L92" s="90" t="str">
        <f>'DATA GPC'!U590</f>
        <v>--</v>
      </c>
      <c r="M92" s="90" t="str">
        <f>'DATA GPC'!V590</f>
        <v>--</v>
      </c>
      <c r="N92" s="90" t="str">
        <f>'DATA GPC'!W590</f>
        <v>--</v>
      </c>
      <c r="O92" s="90" t="str">
        <f>'DATA GPC'!X590</f>
        <v>--</v>
      </c>
      <c r="P92" s="90" t="str">
        <f>'DATA GPC'!Y590</f>
        <v>--</v>
      </c>
      <c r="Q92" s="1506"/>
      <c r="R92" s="467" t="str">
        <f>IFERROR(AVERAGEIFS('DATA GPC'!$K652:$O652,'DATA GPC'!$K216:$O216,"&gt;0"),"--")</f>
        <v>--</v>
      </c>
      <c r="S92" s="693" t="str">
        <f t="shared" si="102"/>
        <v>--</v>
      </c>
      <c r="T92" s="467" t="str">
        <f>'DATA GPC'!L652</f>
        <v>--</v>
      </c>
      <c r="U92" s="467" t="str">
        <f>'DATA GPC'!M652</f>
        <v>--</v>
      </c>
      <c r="V92" s="467" t="str">
        <f>'DATA GPC'!N652</f>
        <v>--</v>
      </c>
      <c r="W92" s="467" t="str">
        <f>'DATA GPC'!O652</f>
        <v>--</v>
      </c>
      <c r="X92" s="467" t="str">
        <f>'DATA GPC'!P652</f>
        <v>--</v>
      </c>
      <c r="Y92" s="467" t="str">
        <f>'DATA GPC'!U652</f>
        <v>--</v>
      </c>
      <c r="Z92" s="467" t="str">
        <f>'DATA GPC'!V652</f>
        <v>--</v>
      </c>
      <c r="AA92" s="467" t="str">
        <f>'DATA GPC'!W652</f>
        <v>--</v>
      </c>
      <c r="AB92" s="467" t="str">
        <f>'DATA GPC'!X652</f>
        <v>--</v>
      </c>
      <c r="AC92" s="467" t="str">
        <f>'DATA GPC'!Y652</f>
        <v>--</v>
      </c>
      <c r="AD92" s="1506"/>
      <c r="AE92" s="467" t="str">
        <f>IFERROR(AVERAGEIFS('DATA GPC'!$K683:$O683,'DATA GPC'!$K216:$O216,"&gt;0"),"--")</f>
        <v>--</v>
      </c>
      <c r="AF92" s="693" t="str">
        <f t="shared" si="103"/>
        <v>--</v>
      </c>
      <c r="AG92" s="467" t="str">
        <f>'DATA GPC'!L683</f>
        <v>--</v>
      </c>
      <c r="AH92" s="467" t="str">
        <f>'DATA GPC'!M683</f>
        <v>--</v>
      </c>
      <c r="AI92" s="467" t="str">
        <f>'DATA GPC'!N683</f>
        <v>--</v>
      </c>
      <c r="AJ92" s="467" t="str">
        <f>'DATA GPC'!O683</f>
        <v>--</v>
      </c>
      <c r="AK92" s="467" t="str">
        <f>'DATA GPC'!P683</f>
        <v>--</v>
      </c>
      <c r="AL92" s="467" t="str">
        <f>'DATA GPC'!U683</f>
        <v>--</v>
      </c>
      <c r="AM92" s="467" t="str">
        <f>'DATA GPC'!V683</f>
        <v>--</v>
      </c>
      <c r="AN92" s="467" t="str">
        <f>'DATA GPC'!W683</f>
        <v>--</v>
      </c>
      <c r="AO92" s="467" t="str">
        <f>'DATA GPC'!X683</f>
        <v>--</v>
      </c>
      <c r="AP92" s="467" t="str">
        <f>'DATA GPC'!Y683</f>
        <v>--</v>
      </c>
      <c r="AQ92" s="1506"/>
      <c r="AR92" s="1510"/>
      <c r="AS92" s="2060"/>
      <c r="AT92" s="2060"/>
      <c r="AU92" s="2060"/>
      <c r="AV92" s="2060"/>
      <c r="AW92" s="2060"/>
      <c r="AX92" s="2060"/>
      <c r="AY92" s="2060"/>
      <c r="AZ92" s="2060"/>
      <c r="BA92" s="2060"/>
      <c r="BB92" s="2060"/>
      <c r="BC92" s="2060"/>
      <c r="BD92" s="2060"/>
      <c r="BE92" s="2060"/>
      <c r="BF92" s="2060"/>
      <c r="BG92" s="2060"/>
      <c r="BH92" s="2060"/>
      <c r="BI92" s="2060"/>
      <c r="BJ92" s="2060"/>
      <c r="BK92" s="2060"/>
      <c r="BL92" s="2060"/>
      <c r="BM92" s="2060"/>
      <c r="BN92" s="2060"/>
      <c r="BQ92" s="2060"/>
      <c r="BT92" s="2060"/>
      <c r="BU92" s="2060"/>
      <c r="BV92" s="2060"/>
      <c r="BW92" s="2060"/>
      <c r="BX92" s="2060"/>
      <c r="BY92" s="2060"/>
      <c r="BZ92" s="2060"/>
      <c r="CA92" s="2060"/>
      <c r="CB92" s="2060"/>
      <c r="CC92" s="2060"/>
      <c r="CD92" s="2060"/>
      <c r="CE92" s="2060"/>
      <c r="CF92" s="2060"/>
    </row>
    <row r="93" spans="1:84" ht="12.95" customHeight="1">
      <c r="A93" s="1510"/>
      <c r="B93" s="1510"/>
      <c r="C93" s="1327"/>
      <c r="D93" s="1327"/>
      <c r="E93" s="1327"/>
      <c r="F93" s="1327"/>
      <c r="G93" s="1327"/>
      <c r="H93" s="1327"/>
      <c r="I93" s="1327"/>
      <c r="J93" s="1328"/>
      <c r="K93" s="1329"/>
      <c r="L93" s="1329"/>
      <c r="M93" s="1329"/>
      <c r="N93" s="1329"/>
      <c r="O93" s="1329"/>
      <c r="P93" s="1329"/>
      <c r="Q93" s="1322"/>
      <c r="R93" s="1322"/>
      <c r="S93" s="1322"/>
      <c r="T93" s="1322"/>
      <c r="U93" s="1322"/>
      <c r="V93" s="1322"/>
      <c r="W93" s="1181"/>
      <c r="X93" s="1181"/>
      <c r="Y93" s="1181"/>
      <c r="Z93" s="1181"/>
      <c r="AA93" s="1181"/>
      <c r="AB93" s="1181"/>
      <c r="AC93" s="1181"/>
      <c r="AD93" s="1322"/>
      <c r="AE93" s="1322"/>
      <c r="AF93" s="1322"/>
      <c r="AG93" s="1322"/>
      <c r="AH93" s="1322"/>
      <c r="AI93" s="1322"/>
      <c r="AJ93" s="1322"/>
      <c r="AK93" s="1322"/>
      <c r="AL93" s="1322"/>
      <c r="AM93" s="1322"/>
      <c r="AN93" s="1322"/>
      <c r="AO93" s="1322"/>
      <c r="AP93" s="1322"/>
      <c r="AQ93" s="1506"/>
      <c r="AR93" s="1510"/>
      <c r="AS93" s="2060"/>
      <c r="AT93" s="2060"/>
      <c r="AU93" s="2060"/>
      <c r="AV93" s="2060"/>
      <c r="AW93" s="2060"/>
      <c r="AX93" s="2060"/>
      <c r="AY93" s="2060"/>
      <c r="AZ93" s="2060"/>
      <c r="BA93" s="2060"/>
      <c r="BB93" s="2060"/>
      <c r="BC93" s="2060"/>
      <c r="BD93" s="2060"/>
      <c r="BE93" s="2060"/>
      <c r="BF93" s="2060"/>
      <c r="BG93" s="2060"/>
      <c r="BH93" s="2060"/>
      <c r="BI93" s="2060"/>
      <c r="BJ93" s="2060"/>
      <c r="BK93" s="2060"/>
      <c r="BL93" s="2060"/>
      <c r="BM93" s="2060"/>
      <c r="BN93" s="2060"/>
      <c r="BQ93" s="2060"/>
      <c r="BT93" s="2060"/>
      <c r="BU93" s="2060"/>
      <c r="BV93" s="2060"/>
      <c r="BW93" s="2060"/>
      <c r="BX93" s="2060"/>
      <c r="BY93" s="2060"/>
      <c r="BZ93" s="2060"/>
      <c r="CA93" s="2060"/>
      <c r="CB93" s="2060"/>
      <c r="CC93" s="2060"/>
      <c r="CD93" s="2060"/>
      <c r="CE93" s="2060"/>
      <c r="CF93" s="2060"/>
    </row>
    <row r="94" spans="1:84" s="1506" customFormat="1" ht="12.95" customHeight="1">
      <c r="A94" s="1510"/>
      <c r="B94" s="1510"/>
      <c r="C94" s="1588" t="str">
        <f>"EBIT=Earnings before interest and taxes; EBITDA=Earnings before interest and taxes, depreciation and amortization; "&amp;EVorTIC&amp;"="&amp;EVorTICFull</f>
        <v>EBIT=Earnings before interest and taxes; EBITDA=Earnings before interest and taxes, depreciation and amortization; TIC=Total invested capital</v>
      </c>
      <c r="D94" s="1555"/>
      <c r="E94" s="1555"/>
      <c r="F94" s="1555"/>
      <c r="G94" s="1555"/>
      <c r="H94" s="1555"/>
      <c r="I94" s="1555"/>
      <c r="J94" s="1580"/>
      <c r="K94" s="1549"/>
      <c r="L94" s="1549"/>
      <c r="M94" s="1549"/>
      <c r="N94" s="1549"/>
      <c r="O94" s="1549"/>
      <c r="P94" s="1549"/>
      <c r="Q94" s="1516"/>
      <c r="R94" s="1516"/>
      <c r="S94" s="1516"/>
      <c r="T94" s="1516"/>
      <c r="U94" s="1516"/>
      <c r="V94" s="1516"/>
      <c r="W94" s="1504"/>
      <c r="X94" s="1504"/>
      <c r="Y94" s="1504"/>
      <c r="Z94" s="1504"/>
      <c r="AA94" s="1504"/>
      <c r="AB94" s="1504"/>
      <c r="AC94" s="1504"/>
      <c r="AD94" s="1516"/>
      <c r="AE94" s="1516"/>
      <c r="AF94" s="1516"/>
      <c r="AG94" s="1516"/>
      <c r="AH94" s="1516"/>
      <c r="AI94" s="1516"/>
      <c r="AJ94" s="1516"/>
      <c r="AK94" s="1516"/>
      <c r="AL94" s="1516"/>
      <c r="AM94" s="1516"/>
      <c r="AN94" s="1516"/>
      <c r="AR94" s="1510"/>
      <c r="AS94" s="2060"/>
      <c r="AT94" s="2060"/>
      <c r="AU94" s="2060"/>
      <c r="AV94" s="2060"/>
      <c r="AW94" s="2060"/>
      <c r="AX94" s="2060"/>
      <c r="AY94" s="2060"/>
      <c r="AZ94" s="2060"/>
      <c r="BA94" s="2060"/>
      <c r="BB94" s="2060"/>
      <c r="BC94" s="2060"/>
      <c r="BD94" s="2060"/>
      <c r="BE94" s="2060"/>
      <c r="BF94" s="2060"/>
      <c r="BG94" s="2060"/>
      <c r="BH94" s="2060"/>
      <c r="BI94" s="2060"/>
      <c r="BJ94" s="2060"/>
      <c r="BK94" s="2060"/>
      <c r="BL94" s="2060"/>
      <c r="BM94" s="2060"/>
      <c r="BN94" s="2060"/>
      <c r="BQ94" s="2060"/>
      <c r="BT94" s="2060"/>
      <c r="BU94" s="2060"/>
      <c r="BV94" s="2060"/>
      <c r="BW94" s="2060"/>
      <c r="BX94" s="2060"/>
      <c r="BY94" s="2060"/>
      <c r="BZ94" s="2060"/>
      <c r="CA94" s="2060"/>
      <c r="CB94" s="2060"/>
      <c r="CC94" s="2060"/>
      <c r="CD94" s="2060"/>
      <c r="CE94" s="2060"/>
      <c r="CF94" s="2060"/>
    </row>
    <row r="95" spans="1:84" s="1506" customFormat="1" ht="12.95" customHeight="1">
      <c r="A95" s="1510"/>
      <c r="B95" s="1510"/>
      <c r="C95" s="1588" t="s">
        <v>1472</v>
      </c>
      <c r="D95" s="1555"/>
      <c r="E95" s="1555"/>
      <c r="F95" s="1555"/>
      <c r="G95" s="1555"/>
      <c r="H95" s="1555"/>
      <c r="I95" s="1555"/>
      <c r="J95" s="1580"/>
      <c r="K95" s="1549"/>
      <c r="L95" s="1549"/>
      <c r="M95" s="1549"/>
      <c r="N95" s="1549"/>
      <c r="O95" s="1549"/>
      <c r="P95" s="1549"/>
      <c r="Q95" s="1516"/>
      <c r="R95" s="1516"/>
      <c r="S95" s="1516"/>
      <c r="T95" s="1516"/>
      <c r="U95" s="1516"/>
      <c r="V95" s="1516"/>
      <c r="W95" s="1504"/>
      <c r="X95" s="1504"/>
      <c r="Y95" s="1504"/>
      <c r="Z95" s="1504"/>
      <c r="AA95" s="1504"/>
      <c r="AB95" s="1504"/>
      <c r="AC95" s="1504"/>
      <c r="AD95" s="1516"/>
      <c r="AE95" s="1516"/>
      <c r="AF95" s="1516"/>
      <c r="AG95" s="1516"/>
      <c r="AH95" s="1516"/>
      <c r="AI95" s="1516"/>
      <c r="AJ95" s="1516"/>
      <c r="AK95" s="1516"/>
      <c r="AL95" s="1516"/>
      <c r="AM95" s="1516"/>
      <c r="AN95" s="1516"/>
      <c r="AR95" s="1510"/>
      <c r="AS95" s="2060"/>
      <c r="AT95" s="2060"/>
      <c r="AU95" s="2060"/>
      <c r="AV95" s="2060"/>
      <c r="AW95" s="2060"/>
      <c r="AX95" s="2060"/>
      <c r="AY95" s="2060"/>
      <c r="AZ95" s="2060"/>
      <c r="BA95" s="2060"/>
      <c r="BB95" s="2060"/>
      <c r="BC95" s="2060"/>
      <c r="BD95" s="2060"/>
      <c r="BE95" s="2060"/>
      <c r="BF95" s="2060"/>
      <c r="BG95" s="2060"/>
      <c r="BH95" s="2060"/>
      <c r="BI95" s="2060"/>
      <c r="BJ95" s="2060"/>
      <c r="BK95" s="2060"/>
      <c r="BL95" s="2060"/>
      <c r="BM95" s="2060"/>
      <c r="BN95" s="2060"/>
      <c r="BQ95" s="2060"/>
      <c r="BT95" s="2060"/>
      <c r="BU95" s="2060"/>
      <c r="BV95" s="2060"/>
      <c r="BW95" s="2060"/>
      <c r="BX95" s="2060"/>
      <c r="BY95" s="2060"/>
      <c r="BZ95" s="2060"/>
      <c r="CA95" s="2060"/>
      <c r="CB95" s="2060"/>
      <c r="CC95" s="2060"/>
      <c r="CD95" s="2060"/>
      <c r="CE95" s="2060"/>
      <c r="CF95" s="2060"/>
    </row>
    <row r="96" spans="1:84" ht="12.95" customHeight="1">
      <c r="A96" s="1518"/>
      <c r="B96" s="1518"/>
      <c r="C96" s="373" t="s">
        <v>1402</v>
      </c>
      <c r="D96" s="225"/>
      <c r="E96" s="225"/>
      <c r="F96" s="225"/>
      <c r="G96" s="225"/>
      <c r="H96" s="225"/>
      <c r="I96" s="225"/>
      <c r="J96" s="672"/>
      <c r="K96" s="1515"/>
      <c r="L96" s="1515"/>
      <c r="M96" s="1515"/>
      <c r="N96" s="1515"/>
      <c r="O96" s="1515"/>
      <c r="P96" s="1515"/>
      <c r="Q96" s="1506"/>
      <c r="W96" s="1506"/>
      <c r="X96" s="1515"/>
      <c r="Y96" s="1515"/>
      <c r="Z96" s="1515"/>
      <c r="AA96" s="1515"/>
      <c r="AB96" s="1515"/>
      <c r="AC96" s="1515"/>
      <c r="AD96" s="1506"/>
      <c r="AJ96" s="1506"/>
      <c r="AK96" s="1506"/>
      <c r="AL96" s="1506"/>
      <c r="AM96" s="1506"/>
      <c r="AN96" s="1506"/>
      <c r="AO96" s="1506"/>
      <c r="AP96" s="1506"/>
      <c r="AQ96" s="1515"/>
      <c r="AR96" s="1510"/>
      <c r="AS96" s="2060"/>
      <c r="AT96" s="2060"/>
      <c r="AU96" s="2060"/>
      <c r="AV96" s="2060"/>
      <c r="AW96" s="2060"/>
      <c r="AX96" s="2060"/>
      <c r="AY96" s="2060"/>
      <c r="AZ96" s="2060"/>
      <c r="BA96" s="2060"/>
      <c r="BB96" s="2060"/>
      <c r="BC96" s="2060"/>
      <c r="BD96" s="2060"/>
      <c r="BE96" s="2060"/>
      <c r="BF96" s="2060"/>
      <c r="BG96" s="2060"/>
      <c r="BH96" s="2060"/>
      <c r="BI96" s="2060"/>
      <c r="BJ96" s="2060"/>
      <c r="BK96" s="2060"/>
      <c r="BL96" s="2060"/>
      <c r="BM96" s="2060"/>
      <c r="BN96" s="2060"/>
      <c r="BQ96" s="2060"/>
      <c r="BT96" s="2060"/>
      <c r="BU96" s="2060"/>
      <c r="BV96" s="2060"/>
      <c r="BW96" s="2060"/>
      <c r="BX96" s="2060"/>
      <c r="BY96" s="2060"/>
      <c r="BZ96" s="2060"/>
      <c r="CA96" s="2060"/>
      <c r="CB96" s="2060"/>
      <c r="CC96" s="2060"/>
      <c r="CD96" s="2060"/>
      <c r="CE96" s="2060"/>
      <c r="CF96" s="2060"/>
    </row>
    <row r="97" spans="1:84" s="1506" customFormat="1" ht="12.95" customHeight="1">
      <c r="A97" s="1518"/>
      <c r="B97" s="1518"/>
      <c r="C97" s="373"/>
      <c r="D97" s="225"/>
      <c r="E97" s="225"/>
      <c r="F97" s="225"/>
      <c r="G97" s="225"/>
      <c r="H97" s="225"/>
      <c r="I97" s="225"/>
      <c r="J97" s="672"/>
      <c r="K97" s="1515"/>
      <c r="L97" s="1515"/>
      <c r="M97" s="1515"/>
      <c r="N97" s="1515"/>
      <c r="O97" s="1515"/>
      <c r="P97" s="1515"/>
      <c r="X97" s="1515"/>
      <c r="Y97" s="1515"/>
      <c r="Z97" s="1515"/>
      <c r="AA97" s="1515"/>
      <c r="AB97" s="1515"/>
      <c r="AC97" s="1515"/>
      <c r="AQ97" s="1515"/>
      <c r="AR97" s="1510"/>
      <c r="AS97" s="2060"/>
      <c r="AT97" s="2060"/>
      <c r="AU97" s="2060"/>
      <c r="AV97" s="2060"/>
      <c r="AW97" s="2060"/>
      <c r="AX97" s="2060"/>
      <c r="AY97" s="2060"/>
      <c r="AZ97" s="2060"/>
      <c r="BA97" s="2060"/>
      <c r="BB97" s="2060"/>
      <c r="BC97" s="2060"/>
      <c r="BD97" s="2060"/>
      <c r="BE97" s="2060"/>
      <c r="BF97" s="2060"/>
      <c r="BG97" s="2060"/>
      <c r="BH97" s="2060"/>
      <c r="BI97" s="2060"/>
      <c r="BJ97" s="2060"/>
      <c r="BK97" s="2060"/>
      <c r="BL97" s="2060"/>
      <c r="BM97" s="2060"/>
      <c r="BN97" s="2060"/>
      <c r="BQ97" s="2060"/>
      <c r="BT97" s="2060"/>
      <c r="BU97" s="2060"/>
      <c r="BV97" s="2060"/>
      <c r="BW97" s="2060"/>
      <c r="BX97" s="2060"/>
      <c r="BY97" s="2060"/>
      <c r="BZ97" s="2060"/>
      <c r="CA97" s="2060"/>
      <c r="CB97" s="2060"/>
      <c r="CC97" s="2060"/>
      <c r="CD97" s="2060"/>
      <c r="CE97" s="2060"/>
      <c r="CF97" s="2060"/>
    </row>
    <row r="98" spans="1:84" ht="12.95" customHeight="1">
      <c r="A98" s="1510"/>
      <c r="B98" s="1510"/>
      <c r="C98" s="1504" t="str">
        <f ca="1">FootnoteDRAFT</f>
        <v>Run date: 05-August-2018  02:34 PM.   DRAFT document. All data subject to change upon completion of additional analysis.</v>
      </c>
      <c r="D98" s="1504"/>
      <c r="E98" s="1504"/>
      <c r="F98" s="1504"/>
      <c r="G98" s="1504"/>
      <c r="H98" s="1504"/>
      <c r="I98" s="1504"/>
      <c r="J98" s="672"/>
      <c r="K98" s="1512"/>
      <c r="L98" s="1512"/>
      <c r="M98" s="1512"/>
      <c r="N98" s="1512"/>
      <c r="O98" s="1512"/>
      <c r="P98" s="1512"/>
      <c r="Q98" s="1506"/>
      <c r="W98" s="1506"/>
      <c r="X98" s="1512"/>
      <c r="Y98" s="1512"/>
      <c r="Z98" s="1512"/>
      <c r="AA98" s="1512"/>
      <c r="AB98" s="1512"/>
      <c r="AC98" s="1512"/>
      <c r="AD98" s="1506"/>
      <c r="AJ98" s="1506"/>
      <c r="AK98" s="1506"/>
      <c r="AL98" s="1506"/>
      <c r="AM98" s="1506"/>
      <c r="AN98" s="1506"/>
      <c r="AO98" s="1506"/>
      <c r="AP98" s="1506"/>
      <c r="AQ98" s="1512"/>
      <c r="AR98" s="1510"/>
      <c r="AS98" s="2060"/>
      <c r="AT98" s="2060"/>
      <c r="AU98" s="2060"/>
      <c r="AV98" s="2060"/>
      <c r="AW98" s="2060"/>
      <c r="AX98" s="2060"/>
      <c r="AY98" s="2060"/>
      <c r="AZ98" s="2060"/>
      <c r="BA98" s="2060"/>
      <c r="BB98" s="2060"/>
      <c r="BC98" s="2060"/>
      <c r="BD98" s="2060"/>
      <c r="BE98" s="2060"/>
      <c r="BF98" s="2060"/>
      <c r="BG98" s="2060"/>
      <c r="BH98" s="2060"/>
      <c r="BI98" s="2060"/>
      <c r="BJ98" s="2060"/>
      <c r="BK98" s="2060"/>
      <c r="BL98" s="2060"/>
      <c r="BM98" s="2060"/>
      <c r="BN98" s="2060"/>
      <c r="BQ98" s="2060"/>
      <c r="BT98" s="2060"/>
      <c r="BU98" s="2060"/>
      <c r="BV98" s="2060"/>
      <c r="BW98" s="2060"/>
      <c r="BX98" s="2060"/>
      <c r="BY98" s="2060"/>
      <c r="BZ98" s="2060"/>
      <c r="CA98" s="2060"/>
      <c r="CB98" s="2060"/>
      <c r="CC98" s="2060"/>
      <c r="CD98" s="2060"/>
      <c r="CE98" s="2060"/>
      <c r="CF98" s="2060"/>
    </row>
    <row r="99" spans="1:84" ht="13.9">
      <c r="A99" s="1510" t="s">
        <v>17</v>
      </c>
      <c r="B99" s="1510"/>
      <c r="C99" s="1510"/>
      <c r="D99" s="1510"/>
      <c r="E99" s="1510"/>
      <c r="F99" s="1510"/>
      <c r="G99" s="1510"/>
      <c r="H99" s="1510"/>
      <c r="I99" s="1510"/>
      <c r="J99" s="701"/>
      <c r="K99" s="1510"/>
      <c r="L99" s="1510"/>
      <c r="M99" s="1510"/>
      <c r="N99" s="1510"/>
      <c r="O99" s="1510"/>
      <c r="P99" s="1510"/>
      <c r="Q99" s="1510"/>
      <c r="R99" s="1510"/>
      <c r="S99" s="1510"/>
      <c r="T99" s="1510"/>
      <c r="U99" s="1510"/>
      <c r="V99" s="1510"/>
      <c r="W99" s="1510"/>
      <c r="X99" s="1510"/>
      <c r="Y99" s="1510"/>
      <c r="Z99" s="1510"/>
      <c r="AA99" s="1510"/>
      <c r="AB99" s="1510"/>
      <c r="AC99" s="1510"/>
      <c r="AD99" s="1510"/>
      <c r="AE99" s="1510"/>
      <c r="AF99" s="1510"/>
      <c r="AG99" s="1510"/>
      <c r="AH99" s="1510"/>
      <c r="AI99" s="1510"/>
      <c r="AJ99" s="1510"/>
      <c r="AK99" s="1510"/>
      <c r="AL99" s="1510"/>
      <c r="AM99" s="1510"/>
      <c r="AN99" s="1510"/>
      <c r="AO99" s="1510"/>
      <c r="AP99" s="1510"/>
      <c r="AQ99" s="1546" t="str">
        <f>IF($A99="n","Page end","This page not printed")</f>
        <v>Page end</v>
      </c>
      <c r="AR99" s="1510"/>
      <c r="AS99" s="2060"/>
      <c r="AT99" s="2060"/>
      <c r="AU99" s="2060"/>
      <c r="AV99" s="2060"/>
      <c r="AW99" s="2060"/>
      <c r="AX99" s="2060"/>
      <c r="AY99" s="2060"/>
      <c r="AZ99" s="2060"/>
      <c r="BA99" s="2060"/>
      <c r="BB99" s="2060"/>
      <c r="BC99" s="2060"/>
      <c r="BD99" s="2060"/>
      <c r="BE99" s="2060"/>
      <c r="BF99" s="2060"/>
      <c r="BG99" s="2060"/>
      <c r="BH99" s="2060"/>
      <c r="BI99" s="2060"/>
      <c r="BJ99" s="2060"/>
      <c r="BK99" s="2060"/>
      <c r="BL99" s="2060"/>
      <c r="BM99" s="2060"/>
      <c r="BN99" s="2060"/>
      <c r="BQ99" s="2060"/>
      <c r="BT99" s="2060"/>
      <c r="BU99" s="2060"/>
      <c r="BV99" s="2060"/>
      <c r="BW99" s="2060"/>
      <c r="BX99" s="2060"/>
      <c r="BY99" s="2060"/>
      <c r="BZ99" s="2060"/>
      <c r="CA99" s="2060"/>
      <c r="CB99" s="2060"/>
      <c r="CC99" s="2060"/>
      <c r="CD99" s="2060"/>
      <c r="CE99" s="2060"/>
      <c r="CF99" s="2060"/>
    </row>
    <row r="100" spans="1:84" ht="12.95" customHeight="1">
      <c r="A100" s="1510"/>
      <c r="B100" s="1510"/>
      <c r="C100" s="1510"/>
      <c r="D100" s="1510"/>
      <c r="E100" s="1510"/>
      <c r="F100" s="1510"/>
      <c r="G100" s="1510"/>
      <c r="H100" s="1510"/>
      <c r="I100" s="1510"/>
      <c r="J100" s="701"/>
      <c r="K100" s="1510"/>
      <c r="L100" s="1510"/>
      <c r="M100" s="1510"/>
      <c r="N100" s="1510"/>
      <c r="O100" s="1510"/>
      <c r="P100" s="1510"/>
      <c r="Q100" s="1510"/>
      <c r="R100" s="1510"/>
      <c r="S100" s="1510"/>
      <c r="T100" s="1510"/>
      <c r="U100" s="1510"/>
      <c r="V100" s="1510"/>
      <c r="W100" s="1510"/>
      <c r="X100" s="1510"/>
      <c r="Y100" s="1510"/>
      <c r="Z100" s="1510"/>
      <c r="AA100" s="1510"/>
      <c r="AB100" s="1510"/>
      <c r="AC100" s="1510"/>
      <c r="AD100" s="1510"/>
      <c r="AE100" s="1510"/>
      <c r="AF100" s="1510"/>
      <c r="AG100" s="1510"/>
      <c r="AH100" s="1510"/>
      <c r="AI100" s="1510"/>
      <c r="AJ100" s="1510"/>
      <c r="AK100" s="1510"/>
      <c r="AL100" s="1510"/>
      <c r="AM100" s="1510"/>
      <c r="AN100" s="1510"/>
      <c r="AO100" s="1510"/>
      <c r="AP100" s="1510"/>
      <c r="AQ100" s="1546"/>
      <c r="AR100" s="1510"/>
      <c r="AS100" s="2060"/>
      <c r="AT100" s="2060"/>
      <c r="AU100" s="2060"/>
      <c r="AV100" s="2060"/>
      <c r="AW100" s="2060"/>
      <c r="AX100" s="2060"/>
      <c r="AY100" s="2060"/>
      <c r="AZ100" s="2060"/>
      <c r="BA100" s="2060"/>
      <c r="BB100" s="2060"/>
      <c r="BC100" s="2060"/>
      <c r="BD100" s="2060"/>
      <c r="BE100" s="2060"/>
      <c r="BF100" s="2060"/>
      <c r="BG100" s="2060"/>
      <c r="BH100" s="2060"/>
      <c r="BI100" s="2060"/>
      <c r="BJ100" s="2060"/>
      <c r="BK100" s="2060"/>
      <c r="BL100" s="2060"/>
      <c r="BM100" s="2060"/>
      <c r="BN100" s="2060"/>
      <c r="BQ100" s="2060"/>
      <c r="BT100" s="2060"/>
      <c r="BU100" s="2060"/>
      <c r="BV100" s="2060"/>
      <c r="BW100" s="2060"/>
      <c r="BX100" s="2060"/>
      <c r="BY100" s="2060"/>
      <c r="BZ100" s="2060"/>
      <c r="CA100" s="2060"/>
      <c r="CB100" s="2060"/>
      <c r="CC100" s="2060"/>
      <c r="CD100" s="2060"/>
      <c r="CE100" s="2060"/>
      <c r="CF100" s="2060"/>
    </row>
    <row r="101" spans="1:84" ht="12.95" customHeight="1">
      <c r="A101" s="2060"/>
      <c r="B101" s="2060"/>
      <c r="C101" s="2060"/>
      <c r="D101" s="2060"/>
      <c r="E101" s="2060"/>
      <c r="F101" s="2060"/>
      <c r="G101" s="2060"/>
      <c r="H101" s="2060"/>
      <c r="I101" s="2060"/>
      <c r="J101" s="1578"/>
      <c r="K101" s="2060"/>
      <c r="L101" s="2060"/>
      <c r="M101" s="2060"/>
      <c r="N101" s="2060"/>
      <c r="O101" s="2060"/>
      <c r="P101" s="2060"/>
      <c r="Q101" s="2060"/>
      <c r="R101" s="2060"/>
      <c r="S101" s="2060"/>
      <c r="T101" s="2060"/>
      <c r="U101" s="2060"/>
      <c r="V101" s="2060"/>
      <c r="W101" s="2060"/>
      <c r="X101" s="2060"/>
      <c r="Y101" s="2060"/>
      <c r="Z101" s="2060"/>
      <c r="AA101" s="2060"/>
      <c r="AB101" s="2060"/>
      <c r="AC101" s="2060"/>
      <c r="AD101" s="2060"/>
      <c r="AE101" s="2060"/>
      <c r="AF101" s="2060"/>
      <c r="AG101" s="2060"/>
      <c r="AH101" s="2060"/>
      <c r="AI101" s="2060"/>
      <c r="AJ101" s="2060"/>
      <c r="AK101" s="2060"/>
      <c r="AL101" s="2060"/>
      <c r="AM101" s="2060"/>
      <c r="AN101" s="2060"/>
      <c r="AO101" s="2060"/>
      <c r="AP101" s="2060"/>
      <c r="AQ101" s="2060"/>
      <c r="AR101" s="2060"/>
      <c r="AS101" s="2060"/>
      <c r="AT101" s="2060"/>
      <c r="AU101" s="2060"/>
      <c r="AV101" s="2060"/>
      <c r="AW101" s="2060"/>
      <c r="AX101" s="2060"/>
      <c r="AY101" s="2060"/>
      <c r="AZ101" s="2060"/>
      <c r="BA101" s="2060"/>
      <c r="BB101" s="2060"/>
      <c r="BC101" s="2060"/>
      <c r="BD101" s="2060"/>
      <c r="BE101" s="2060"/>
      <c r="BF101" s="2060"/>
      <c r="BG101" s="2060"/>
      <c r="BH101" s="2060"/>
      <c r="BI101" s="2060"/>
      <c r="BJ101" s="2060"/>
      <c r="BK101" s="2060"/>
      <c r="BL101" s="2060"/>
      <c r="BM101" s="2060"/>
      <c r="BN101" s="2060"/>
      <c r="BQ101" s="2060"/>
      <c r="BT101" s="2060"/>
      <c r="BU101" s="2060"/>
      <c r="BV101" s="2060"/>
      <c r="BW101" s="2060"/>
      <c r="BX101" s="2060"/>
      <c r="BY101" s="2060"/>
      <c r="BZ101" s="2060"/>
      <c r="CA101" s="2060"/>
      <c r="CB101" s="2060"/>
      <c r="CC101" s="2060"/>
      <c r="CD101" s="2060"/>
      <c r="CE101" s="2060"/>
      <c r="CF101" s="2060"/>
    </row>
    <row r="102" spans="1:84" ht="12.95" customHeight="1">
      <c r="A102" s="2060"/>
      <c r="B102" s="2060"/>
      <c r="C102" s="2060"/>
      <c r="D102" s="2060"/>
      <c r="E102" s="2060"/>
      <c r="F102" s="2060"/>
      <c r="G102" s="2060"/>
      <c r="H102" s="2060"/>
      <c r="I102" s="2060"/>
      <c r="J102" s="1578"/>
      <c r="K102" s="2060"/>
      <c r="L102" s="2060"/>
      <c r="M102" s="2060"/>
      <c r="N102" s="2060"/>
      <c r="O102" s="2060"/>
      <c r="P102" s="2060"/>
      <c r="Q102" s="2060"/>
      <c r="R102" s="2060"/>
      <c r="S102" s="2060"/>
      <c r="T102" s="2060"/>
      <c r="U102" s="2060"/>
      <c r="V102" s="2060"/>
      <c r="W102" s="2060"/>
      <c r="X102" s="2060"/>
      <c r="Y102" s="2060"/>
      <c r="Z102" s="2060"/>
      <c r="AA102" s="2060"/>
      <c r="AB102" s="2060"/>
      <c r="AC102" s="2060"/>
      <c r="AD102" s="2060"/>
      <c r="AE102" s="2060"/>
      <c r="AF102" s="2060"/>
      <c r="AG102" s="2060"/>
      <c r="AH102" s="2060"/>
      <c r="AI102" s="2060"/>
      <c r="AJ102" s="2060"/>
      <c r="AK102" s="2060"/>
      <c r="AL102" s="2060"/>
      <c r="AM102" s="2060"/>
      <c r="AN102" s="2060"/>
      <c r="AO102" s="2060"/>
      <c r="AP102" s="2060"/>
      <c r="AQ102" s="2060"/>
      <c r="AR102" s="2060"/>
      <c r="AS102" s="2060"/>
      <c r="AT102" s="2060"/>
      <c r="AU102" s="2060"/>
      <c r="AV102" s="2060"/>
      <c r="AW102" s="2060"/>
      <c r="AX102" s="2060"/>
      <c r="AY102" s="2060"/>
      <c r="AZ102" s="2060"/>
      <c r="BA102" s="2060"/>
      <c r="BB102" s="2060"/>
      <c r="BC102" s="2060"/>
      <c r="BD102" s="2060"/>
      <c r="BE102" s="2060"/>
      <c r="BF102" s="2060"/>
      <c r="BG102" s="2060"/>
      <c r="BH102" s="2060"/>
      <c r="BI102" s="2060"/>
      <c r="BJ102" s="2060"/>
      <c r="BK102" s="2060"/>
      <c r="BL102" s="2060"/>
      <c r="BM102" s="2060"/>
      <c r="BN102" s="2060"/>
      <c r="BQ102" s="2060"/>
      <c r="BT102" s="2060"/>
      <c r="BU102" s="2060"/>
      <c r="BV102" s="2060"/>
      <c r="BW102" s="2060"/>
      <c r="BX102" s="2060"/>
      <c r="BY102" s="2060"/>
      <c r="BZ102" s="2060"/>
      <c r="CA102" s="2060"/>
      <c r="CB102" s="2060"/>
      <c r="CC102" s="2060"/>
      <c r="CD102" s="2060"/>
      <c r="CE102" s="2060"/>
      <c r="CF102" s="2060"/>
    </row>
  </sheetData>
  <autoFilter ref="A1:A102"/>
  <conditionalFormatting sqref="B1:B2">
    <cfRule type="cellIs" dxfId="168" priority="7" operator="notEqual">
      <formula>0</formula>
    </cfRule>
  </conditionalFormatting>
  <conditionalFormatting sqref="B51:B52">
    <cfRule type="cellIs" dxfId="167" priority="5" operator="notEqual">
      <formula>0</formula>
    </cfRule>
  </conditionalFormatting>
  <conditionalFormatting sqref="A56">
    <cfRule type="expression" dxfId="166" priority="4">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2" manualBreakCount="2">
    <brk id="50" max="16383" man="1"/>
    <brk id="99" max="16383"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rowthAndMargins">
    <tabColor rgb="FF99FF66"/>
    <pageSetUpPr autoPageBreaks="0"/>
  </sheetPr>
  <dimension ref="A1:BO213"/>
  <sheetViews>
    <sheetView showGridLines="0" zoomScale="85" zoomScaleNormal="85" zoomScaleSheetLayoutView="85" workbookViewId="0"/>
  </sheetViews>
  <sheetFormatPr defaultColWidth="9.33203125" defaultRowHeight="12" customHeight="1" outlineLevelCol="1"/>
  <cols>
    <col min="1" max="1" width="2.83203125" style="335" customWidth="1"/>
    <col min="2" max="2" width="3.83203125" style="335" customWidth="1"/>
    <col min="3" max="3" width="38" style="335" customWidth="1"/>
    <col min="4" max="4" width="12.33203125" style="335" customWidth="1"/>
    <col min="5" max="5" width="10.83203125" style="335" customWidth="1" outlineLevel="1"/>
    <col min="6" max="7" width="10.83203125" style="1530" customWidth="1" outlineLevel="1"/>
    <col min="8" max="9" width="10.83203125" style="335" customWidth="1" outlineLevel="1"/>
    <col min="10" max="14" width="10.83203125" style="335" customWidth="1"/>
    <col min="15" max="16" width="10.83203125" style="335" customWidth="1" outlineLevel="1"/>
    <col min="17" max="17" width="4" style="1530" customWidth="1"/>
    <col min="18" max="18" width="10.83203125" style="335" customWidth="1" outlineLevel="1"/>
    <col min="19" max="20" width="10.83203125" style="1530" customWidth="1" outlineLevel="1"/>
    <col min="21" max="22" width="10.83203125" style="335" customWidth="1" outlineLevel="1"/>
    <col min="23" max="27" width="10.83203125" style="335" customWidth="1"/>
    <col min="28" max="29" width="10.83203125" style="335" customWidth="1" outlineLevel="1"/>
    <col min="30" max="30" width="4" style="1530" customWidth="1"/>
    <col min="31" max="31" width="10.83203125" style="335" customWidth="1" outlineLevel="1"/>
    <col min="32" max="33" width="10.83203125" style="1530" customWidth="1" outlineLevel="1"/>
    <col min="34" max="35" width="10.83203125" style="335" customWidth="1" outlineLevel="1"/>
    <col min="36" max="40" width="10.83203125" style="335" customWidth="1"/>
    <col min="41" max="42" width="10.83203125" style="335" customWidth="1" outlineLevel="1"/>
    <col min="43" max="43" width="2" style="335" customWidth="1"/>
    <col min="44" max="44" width="8.83203125" style="335" customWidth="1"/>
    <col min="45" max="51" width="11.1640625" style="335" customWidth="1"/>
    <col min="52" max="53" width="11.1640625" style="335" customWidth="1" outlineLevel="1"/>
    <col min="54" max="58" width="11.1640625" style="335" customWidth="1"/>
    <col min="59" max="60" width="11.1640625" style="335" customWidth="1" outlineLevel="1"/>
    <col min="61" max="65" width="11.1640625" style="335" customWidth="1"/>
    <col min="66" max="67" width="11.1640625" style="335" customWidth="1" outlineLevel="1"/>
    <col min="68" max="71" width="11.1640625" style="335" customWidth="1"/>
    <col min="72" max="116" width="12.83203125" style="335" customWidth="1"/>
    <col min="117" max="16384" width="9.33203125" style="335"/>
  </cols>
  <sheetData>
    <row r="1" spans="1:63" ht="18" customHeight="1">
      <c r="A1" s="1557"/>
      <c r="B1" s="649">
        <f ca="1">SUMPRODUCT(--ISERROR($C$1:AQ104))+COUNTIF($C$1:AQ104,Fail)</f>
        <v>0</v>
      </c>
      <c r="C1" s="1372" t="str">
        <f>START!$C$1</f>
        <v>Client Name</v>
      </c>
      <c r="D1" s="852"/>
      <c r="E1" s="852"/>
      <c r="F1" s="852"/>
      <c r="G1" s="852"/>
      <c r="H1" s="852"/>
      <c r="I1" s="852"/>
      <c r="J1" s="852"/>
      <c r="K1" s="852"/>
      <c r="L1" s="852"/>
      <c r="M1" s="852"/>
      <c r="N1" s="852"/>
      <c r="O1" s="852"/>
      <c r="P1" s="852"/>
      <c r="Q1" s="852"/>
      <c r="R1" s="1525"/>
      <c r="S1" s="1525"/>
      <c r="T1" s="1525"/>
      <c r="U1" s="1525"/>
      <c r="V1" s="1525"/>
      <c r="W1" s="1525"/>
      <c r="X1" s="852"/>
      <c r="Y1" s="852"/>
      <c r="Z1" s="1525"/>
      <c r="AA1" s="1525"/>
      <c r="AB1" s="1525"/>
      <c r="AC1" s="1525"/>
      <c r="AD1" s="1525"/>
      <c r="AE1" s="1525"/>
      <c r="AF1" s="1525"/>
      <c r="AG1" s="1525"/>
      <c r="AH1" s="1525"/>
      <c r="AI1" s="1525"/>
      <c r="AJ1" s="1525"/>
      <c r="AK1" s="1525"/>
      <c r="AL1" s="1525"/>
      <c r="AM1" s="1525"/>
      <c r="AN1" s="1525"/>
      <c r="AO1" s="1525"/>
      <c r="AP1" s="1525"/>
      <c r="AQ1" s="389" t="s">
        <v>935</v>
      </c>
      <c r="AR1" s="1557"/>
      <c r="AS1" s="1530"/>
      <c r="AT1" s="1530"/>
      <c r="AU1" s="1530"/>
      <c r="AV1" s="1530"/>
      <c r="AW1" s="1525"/>
      <c r="AX1" s="1525"/>
      <c r="AY1" s="1525"/>
      <c r="AZ1" s="1525"/>
      <c r="BA1" s="1525"/>
      <c r="BB1" s="1525"/>
      <c r="BC1" s="1525"/>
      <c r="BD1" s="1525"/>
      <c r="BE1" s="1525"/>
      <c r="BF1" s="1525"/>
      <c r="BG1" s="1525"/>
      <c r="BH1" s="1525"/>
      <c r="BI1" s="1525"/>
      <c r="BJ1" s="1525"/>
      <c r="BK1" s="1525"/>
    </row>
    <row r="2" spans="1:63" ht="18" customHeight="1">
      <c r="A2" s="1557"/>
      <c r="B2" s="649"/>
      <c r="C2" s="1372" t="str">
        <f>START!$C$2</f>
        <v xml:space="preserve">Please enter project description in START worksheet cell G13 </v>
      </c>
      <c r="D2" s="852"/>
      <c r="E2" s="852"/>
      <c r="F2" s="852"/>
      <c r="G2" s="852"/>
      <c r="H2" s="852"/>
      <c r="I2" s="852"/>
      <c r="J2" s="852"/>
      <c r="K2" s="852"/>
      <c r="L2" s="852"/>
      <c r="M2" s="852"/>
      <c r="N2" s="852"/>
      <c r="O2" s="852"/>
      <c r="P2" s="852"/>
      <c r="Q2" s="852"/>
      <c r="R2" s="1525"/>
      <c r="S2" s="1525"/>
      <c r="T2" s="1525"/>
      <c r="U2" s="1525"/>
      <c r="V2" s="1525"/>
      <c r="W2" s="1525"/>
      <c r="X2" s="852"/>
      <c r="Y2" s="852"/>
      <c r="Z2" s="1525"/>
      <c r="AA2" s="1525"/>
      <c r="AB2" s="1525"/>
      <c r="AC2" s="1525"/>
      <c r="AD2" s="1525"/>
      <c r="AE2" s="1525"/>
      <c r="AF2" s="1525"/>
      <c r="AG2" s="1525"/>
      <c r="AH2" s="1525"/>
      <c r="AI2" s="1525"/>
      <c r="AJ2" s="1525"/>
      <c r="AK2" s="1525"/>
      <c r="AL2" s="1525"/>
      <c r="AM2" s="1525"/>
      <c r="AN2" s="1525"/>
      <c r="AO2" s="1525"/>
      <c r="AP2" s="1525"/>
      <c r="AQ2" s="389"/>
      <c r="AR2" s="1557"/>
      <c r="AS2" s="1530"/>
      <c r="AT2" s="1530"/>
      <c r="AU2" s="1530"/>
      <c r="AV2" s="1530"/>
      <c r="AW2" s="1525"/>
      <c r="AX2" s="1525"/>
      <c r="AY2" s="1525"/>
      <c r="AZ2" s="1525"/>
      <c r="BA2" s="1525"/>
      <c r="BB2" s="1525"/>
      <c r="BC2" s="1525"/>
      <c r="BD2" s="1525"/>
      <c r="BE2" s="1525"/>
      <c r="BF2" s="1525"/>
      <c r="BG2" s="1525"/>
      <c r="BH2" s="1525"/>
      <c r="BI2" s="1525"/>
      <c r="BJ2" s="1525"/>
      <c r="BK2" s="1525"/>
    </row>
    <row r="3" spans="1:63" ht="18" customHeight="1">
      <c r="A3" s="1557"/>
      <c r="B3" s="1557"/>
      <c r="C3" s="839" t="s">
        <v>1474</v>
      </c>
      <c r="D3" s="1526"/>
      <c r="E3" s="1526"/>
      <c r="F3" s="1526"/>
      <c r="G3" s="1526"/>
      <c r="H3" s="1526"/>
      <c r="I3" s="1526"/>
      <c r="J3" s="1526"/>
      <c r="K3" s="1526"/>
      <c r="L3" s="1526"/>
      <c r="M3" s="1526"/>
      <c r="N3" s="1526"/>
      <c r="O3" s="1526"/>
      <c r="P3" s="1526"/>
      <c r="Q3" s="1526"/>
      <c r="R3" s="1525"/>
      <c r="S3" s="1525"/>
      <c r="T3" s="1525"/>
      <c r="U3" s="1525"/>
      <c r="V3" s="1525"/>
      <c r="W3" s="1525"/>
      <c r="X3" s="1526"/>
      <c r="Y3" s="1526"/>
      <c r="Z3" s="1526"/>
      <c r="AA3" s="1526"/>
      <c r="AB3" s="1526"/>
      <c r="AC3" s="1526"/>
      <c r="AD3" s="1526"/>
      <c r="AE3" s="1526"/>
      <c r="AF3" s="1526"/>
      <c r="AG3" s="1526"/>
      <c r="AH3" s="1526"/>
      <c r="AI3" s="1526"/>
      <c r="AJ3" s="1526"/>
      <c r="AK3" s="1526"/>
      <c r="AL3" s="1526"/>
      <c r="AM3" s="1526"/>
      <c r="AN3" s="1526"/>
      <c r="AO3" s="1526"/>
      <c r="AP3" s="1526"/>
      <c r="AQ3" s="1525"/>
      <c r="AR3" s="1557"/>
      <c r="AS3" s="1530"/>
      <c r="AT3" s="1530"/>
      <c r="AU3" s="1530"/>
      <c r="AV3" s="1530"/>
      <c r="AW3" s="1525"/>
      <c r="AX3" s="1525"/>
      <c r="AY3" s="1525"/>
      <c r="AZ3" s="1525"/>
      <c r="BA3" s="1525"/>
      <c r="BB3" s="1525"/>
      <c r="BC3" s="1525"/>
      <c r="BD3" s="1525"/>
      <c r="BE3" s="1525"/>
      <c r="BF3" s="1525"/>
      <c r="BG3" s="1525"/>
      <c r="BH3" s="1525"/>
      <c r="BI3" s="1525"/>
      <c r="BJ3" s="1525"/>
      <c r="BK3" s="1525"/>
    </row>
    <row r="4" spans="1:63" ht="18" customHeight="1">
      <c r="A4" s="1557"/>
      <c r="B4" s="1557"/>
      <c r="C4" s="840" t="str">
        <f>ValDateHeading</f>
        <v>Estimation of value as of 28 February 2017</v>
      </c>
      <c r="D4" s="1526"/>
      <c r="E4" s="1526"/>
      <c r="F4" s="1526"/>
      <c r="G4" s="1526"/>
      <c r="H4" s="1526"/>
      <c r="I4" s="1526"/>
      <c r="J4" s="1526"/>
      <c r="K4" s="1526"/>
      <c r="L4" s="1526"/>
      <c r="M4" s="1526"/>
      <c r="N4" s="1526"/>
      <c r="O4" s="1526"/>
      <c r="P4" s="1526"/>
      <c r="Q4" s="1526"/>
      <c r="R4" s="1526"/>
      <c r="S4" s="1526"/>
      <c r="T4" s="1526"/>
      <c r="U4" s="1526"/>
      <c r="V4" s="1526"/>
      <c r="W4" s="1526"/>
      <c r="X4" s="1526"/>
      <c r="Y4" s="1526"/>
      <c r="Z4" s="1526"/>
      <c r="AA4" s="1526"/>
      <c r="AB4" s="1526"/>
      <c r="AC4" s="1526"/>
      <c r="AD4" s="1526"/>
      <c r="AE4" s="1526"/>
      <c r="AF4" s="1526"/>
      <c r="AG4" s="1526"/>
      <c r="AH4" s="1526"/>
      <c r="AI4" s="1526"/>
      <c r="AJ4" s="1526"/>
      <c r="AK4" s="1526"/>
      <c r="AL4" s="1526"/>
      <c r="AM4" s="1526"/>
      <c r="AN4" s="1526"/>
      <c r="AO4" s="1526"/>
      <c r="AP4" s="1526"/>
      <c r="AQ4" s="1525"/>
      <c r="AR4" s="1557"/>
      <c r="AS4" s="1530"/>
      <c r="AT4" s="1530"/>
      <c r="AU4" s="1530"/>
      <c r="AV4" s="1530"/>
      <c r="AW4" s="1525"/>
      <c r="AX4" s="1525"/>
      <c r="AY4" s="1525"/>
      <c r="AZ4" s="1525"/>
      <c r="BA4" s="1525"/>
      <c r="BB4" s="1525"/>
      <c r="BC4" s="1525"/>
      <c r="BD4" s="1525"/>
      <c r="BE4" s="1525"/>
      <c r="BF4" s="1525"/>
      <c r="BG4" s="1525"/>
      <c r="BH4" s="1525"/>
      <c r="BI4" s="1525"/>
      <c r="BJ4" s="1525"/>
      <c r="BK4" s="1525"/>
    </row>
    <row r="5" spans="1:63" ht="13.9">
      <c r="A5" s="1419"/>
      <c r="B5" s="1557"/>
      <c r="C5" s="2060"/>
      <c r="D5" s="1526"/>
      <c r="E5" s="1526"/>
      <c r="F5" s="1526"/>
      <c r="G5" s="1526"/>
      <c r="H5" s="1526"/>
      <c r="I5" s="1526"/>
      <c r="J5" s="1526"/>
      <c r="K5" s="1526"/>
      <c r="L5" s="1526"/>
      <c r="M5" s="1526"/>
      <c r="N5" s="1526"/>
      <c r="O5" s="1526"/>
      <c r="P5" s="1526"/>
      <c r="Q5" s="1526"/>
      <c r="R5" s="1526"/>
      <c r="S5" s="1526"/>
      <c r="T5" s="1526"/>
      <c r="U5" s="1526"/>
      <c r="V5" s="1526"/>
      <c r="W5" s="1526"/>
      <c r="X5" s="1526"/>
      <c r="Y5" s="1526"/>
      <c r="Z5" s="1526"/>
      <c r="AA5" s="1526"/>
      <c r="AB5" s="1526"/>
      <c r="AC5" s="1526"/>
      <c r="AD5" s="1526"/>
      <c r="AE5" s="1526"/>
      <c r="AF5" s="1526"/>
      <c r="AG5" s="1526"/>
      <c r="AH5" s="1526"/>
      <c r="AI5" s="1526"/>
      <c r="AJ5" s="1526"/>
      <c r="AK5" s="1526"/>
      <c r="AL5" s="1526"/>
      <c r="AM5" s="1526"/>
      <c r="AN5" s="1526"/>
      <c r="AO5" s="1526"/>
      <c r="AP5" s="1526"/>
      <c r="AQ5" s="1525"/>
      <c r="AR5" s="1557"/>
      <c r="AS5" s="1530"/>
      <c r="AT5" s="1530"/>
      <c r="AU5" s="1530"/>
      <c r="AV5" s="1530"/>
      <c r="AW5" s="1525"/>
      <c r="AX5" s="1525"/>
      <c r="AY5" s="1525"/>
      <c r="AZ5" s="1525"/>
      <c r="BA5" s="1525"/>
      <c r="BB5" s="1525"/>
      <c r="BC5" s="1525"/>
      <c r="BD5" s="1525"/>
      <c r="BE5" s="1525"/>
      <c r="BF5" s="1525"/>
      <c r="BG5" s="1525"/>
      <c r="BH5" s="1525"/>
      <c r="BI5" s="1525"/>
      <c r="BJ5" s="1525"/>
      <c r="BK5" s="1525"/>
    </row>
    <row r="6" spans="1:63" s="282" customFormat="1" ht="13.9">
      <c r="A6" s="1413" t="str">
        <f>IF(MasterCheck,"Please check the "&amp;'Error Check'!$G$8,"")</f>
        <v/>
      </c>
      <c r="B6" s="1424"/>
      <c r="C6" s="1511"/>
      <c r="D6" s="2060"/>
      <c r="E6" s="2060"/>
      <c r="F6" s="2060"/>
      <c r="G6" s="2060"/>
      <c r="H6" s="2060"/>
      <c r="I6" s="2060"/>
      <c r="J6" s="2060"/>
      <c r="K6" s="2060"/>
      <c r="L6" s="2060"/>
      <c r="M6" s="2060"/>
      <c r="N6" s="2060"/>
      <c r="O6" s="2060"/>
      <c r="P6" s="2060"/>
      <c r="Q6" s="2060"/>
      <c r="R6" s="2060"/>
      <c r="S6" s="2060"/>
      <c r="T6" s="2060"/>
      <c r="U6" s="2060"/>
      <c r="V6" s="2060"/>
      <c r="W6" s="2060"/>
      <c r="X6" s="2060"/>
      <c r="Y6" s="1506"/>
      <c r="Z6" s="1506"/>
      <c r="AA6" s="1506"/>
      <c r="AB6" s="1506"/>
      <c r="AC6" s="1506"/>
      <c r="AD6" s="2060"/>
      <c r="AE6" s="1506"/>
      <c r="AF6" s="1506"/>
      <c r="AG6" s="1506"/>
      <c r="AH6" s="1506"/>
      <c r="AI6" s="2060"/>
      <c r="AJ6" s="1526"/>
      <c r="AK6" s="1526"/>
      <c r="AL6" s="1526"/>
      <c r="AM6" s="1526"/>
      <c r="AN6" s="1526"/>
      <c r="AO6" s="1526"/>
      <c r="AP6" s="1508"/>
      <c r="AQ6" s="1508"/>
      <c r="AR6" s="1557"/>
      <c r="AS6" s="1508"/>
      <c r="AT6" s="1508"/>
      <c r="AU6" s="1508"/>
      <c r="AV6" s="1508"/>
      <c r="AW6" s="1508"/>
      <c r="AX6" s="1508"/>
      <c r="AY6" s="1508"/>
      <c r="AZ6" s="1508"/>
      <c r="BA6" s="1508"/>
      <c r="BB6" s="1508"/>
      <c r="BC6" s="1508"/>
      <c r="BD6" s="1508"/>
      <c r="BE6" s="1508"/>
      <c r="BF6" s="1508"/>
      <c r="BG6" s="1508"/>
      <c r="BH6" s="1508"/>
      <c r="BI6" s="1508"/>
      <c r="BJ6" s="1508"/>
      <c r="BK6" s="1508"/>
    </row>
    <row r="7" spans="1:63" ht="12" customHeight="1">
      <c r="A7" s="1557"/>
      <c r="B7" s="1557"/>
      <c r="C7" s="543"/>
      <c r="D7" s="544"/>
      <c r="E7" s="544"/>
      <c r="F7" s="544"/>
      <c r="G7" s="544"/>
      <c r="H7" s="544"/>
      <c r="I7" s="544"/>
      <c r="J7" s="544"/>
      <c r="K7" s="544"/>
      <c r="L7" s="544"/>
      <c r="M7" s="544"/>
      <c r="N7" s="544"/>
      <c r="O7" s="544"/>
      <c r="P7" s="544"/>
      <c r="Q7" s="1502"/>
      <c r="R7" s="255"/>
      <c r="S7" s="255"/>
      <c r="T7" s="255"/>
      <c r="U7" s="255"/>
      <c r="V7" s="255"/>
      <c r="W7" s="1530"/>
      <c r="X7" s="1530"/>
      <c r="Y7" s="1530"/>
      <c r="Z7" s="1530"/>
      <c r="AA7" s="1530"/>
      <c r="AB7" s="1530"/>
      <c r="AC7" s="1530"/>
      <c r="AD7" s="1502"/>
      <c r="AE7" s="2060"/>
      <c r="AF7" s="2060"/>
      <c r="AG7" s="2060"/>
      <c r="AH7" s="1530"/>
      <c r="AI7" s="1530"/>
      <c r="AJ7" s="1530"/>
      <c r="AK7" s="1530"/>
      <c r="AL7" s="1530"/>
      <c r="AM7" s="1530"/>
      <c r="AN7" s="1530"/>
      <c r="AO7" s="1530"/>
      <c r="AP7" s="1530"/>
      <c r="AQ7" s="1525"/>
      <c r="AR7" s="1557"/>
      <c r="AS7" s="1525"/>
      <c r="AT7" s="1525"/>
      <c r="AU7" s="1525"/>
      <c r="AV7" s="1525"/>
      <c r="AW7" s="1525"/>
      <c r="AX7" s="1525"/>
      <c r="AY7" s="1525"/>
      <c r="AZ7" s="1525"/>
      <c r="BA7" s="1525"/>
      <c r="BB7" s="1525"/>
      <c r="BC7" s="1525"/>
      <c r="BD7" s="1525"/>
      <c r="BE7" s="1525"/>
      <c r="BF7" s="1525"/>
      <c r="BG7" s="1525"/>
      <c r="BH7" s="1525"/>
      <c r="BI7" s="1525"/>
      <c r="BJ7" s="1525"/>
      <c r="BK7" s="1525"/>
    </row>
    <row r="8" spans="1:63" ht="12" customHeight="1">
      <c r="A8" s="1557"/>
      <c r="B8" s="1557"/>
      <c r="C8" s="1267"/>
      <c r="D8" s="1165" t="s">
        <v>466</v>
      </c>
      <c r="E8" s="1165"/>
      <c r="F8" s="1165"/>
      <c r="G8" s="1165"/>
      <c r="H8" s="1165"/>
      <c r="I8" s="1165"/>
      <c r="J8" s="1165"/>
      <c r="K8" s="1165"/>
      <c r="L8" s="1165"/>
      <c r="M8" s="1165"/>
      <c r="N8" s="1165"/>
      <c r="O8" s="1165"/>
      <c r="P8" s="1165"/>
      <c r="Q8" s="1944" t="s">
        <v>258</v>
      </c>
      <c r="R8" s="1165"/>
      <c r="S8" s="1165"/>
      <c r="T8" s="1165"/>
      <c r="U8" s="1165"/>
      <c r="V8" s="1264"/>
      <c r="W8" s="1166"/>
      <c r="X8" s="1166"/>
      <c r="Y8" s="1166"/>
      <c r="Z8" s="1166"/>
      <c r="AA8" s="1166"/>
      <c r="AB8" s="1166"/>
      <c r="AC8" s="1166"/>
      <c r="AD8" s="1944" t="s">
        <v>226</v>
      </c>
      <c r="AE8" s="1165"/>
      <c r="AF8" s="1165"/>
      <c r="AG8" s="1165"/>
      <c r="AH8" s="1165"/>
      <c r="AI8" s="1165"/>
      <c r="AJ8" s="1166"/>
      <c r="AK8" s="1166"/>
      <c r="AL8" s="1166"/>
      <c r="AM8" s="1166"/>
      <c r="AN8" s="1166"/>
      <c r="AO8" s="1166"/>
      <c r="AP8" s="1166"/>
      <c r="AQ8" s="1530"/>
      <c r="AR8" s="1557"/>
      <c r="AS8" s="1530"/>
      <c r="AT8" s="1530"/>
      <c r="AU8" s="1530"/>
      <c r="AV8" s="1530"/>
      <c r="AW8" s="1525"/>
      <c r="AX8" s="1525"/>
      <c r="AY8" s="1525"/>
      <c r="AZ8" s="1525"/>
      <c r="BA8" s="1525"/>
      <c r="BB8" s="1525"/>
      <c r="BC8" s="1525"/>
      <c r="BD8" s="1525"/>
      <c r="BE8" s="1525"/>
      <c r="BF8" s="1525"/>
      <c r="BG8" s="1525"/>
      <c r="BH8" s="1525"/>
      <c r="BI8" s="1525"/>
      <c r="BJ8" s="1525"/>
      <c r="BK8" s="1525"/>
    </row>
    <row r="9" spans="1:63" s="1530" customFormat="1" ht="12" customHeight="1">
      <c r="A9" s="1557"/>
      <c r="B9" s="1557"/>
      <c r="C9" s="1949"/>
      <c r="D9" s="1944"/>
      <c r="E9" s="738" t="s">
        <v>1456</v>
      </c>
      <c r="F9" s="738" t="s">
        <v>1457</v>
      </c>
      <c r="G9" s="1944"/>
      <c r="H9" s="1944"/>
      <c r="I9" s="1944"/>
      <c r="J9" s="1944"/>
      <c r="K9" s="1944"/>
      <c r="L9" s="1944"/>
      <c r="M9" s="1944"/>
      <c r="N9" s="1944"/>
      <c r="O9" s="1944"/>
      <c r="P9" s="1944"/>
      <c r="Q9" s="1944"/>
      <c r="R9" s="738" t="s">
        <v>1456</v>
      </c>
      <c r="S9" s="738" t="s">
        <v>1457</v>
      </c>
      <c r="T9" s="1944"/>
      <c r="U9" s="1944"/>
      <c r="V9" s="732"/>
      <c r="W9" s="1808"/>
      <c r="X9" s="1808"/>
      <c r="Y9" s="1808"/>
      <c r="Z9" s="1808"/>
      <c r="AA9" s="1808"/>
      <c r="AB9" s="1808"/>
      <c r="AC9" s="1808"/>
      <c r="AD9" s="1944"/>
      <c r="AE9" s="738" t="s">
        <v>1456</v>
      </c>
      <c r="AF9" s="738" t="s">
        <v>1457</v>
      </c>
      <c r="AG9" s="1944"/>
      <c r="AH9" s="1944"/>
      <c r="AI9" s="1944"/>
      <c r="AJ9" s="1808"/>
      <c r="AK9" s="1808"/>
      <c r="AL9" s="1808"/>
      <c r="AM9" s="1808"/>
      <c r="AN9" s="1808"/>
      <c r="AO9" s="1808"/>
      <c r="AP9" s="1808"/>
      <c r="AR9" s="1557"/>
      <c r="AW9" s="1525"/>
      <c r="AX9" s="1525"/>
      <c r="AY9" s="1525"/>
      <c r="AZ9" s="1525"/>
      <c r="BA9" s="1525"/>
      <c r="BB9" s="1525"/>
      <c r="BC9" s="1525"/>
      <c r="BD9" s="1525"/>
      <c r="BE9" s="1525"/>
      <c r="BF9" s="1525"/>
      <c r="BG9" s="1525"/>
      <c r="BH9" s="1525"/>
      <c r="BI9" s="1525"/>
      <c r="BJ9" s="1525"/>
      <c r="BK9" s="1525"/>
    </row>
    <row r="10" spans="1:63" ht="12" customHeight="1">
      <c r="A10" s="1557"/>
      <c r="B10" s="1557"/>
      <c r="C10" s="1269"/>
      <c r="D10" s="1270" t="s">
        <v>1475</v>
      </c>
      <c r="E10" s="1272" t="s">
        <v>929</v>
      </c>
      <c r="F10" s="1272" t="s">
        <v>929</v>
      </c>
      <c r="G10" s="1272" t="s">
        <v>701</v>
      </c>
      <c r="H10" s="1272" t="s">
        <v>702</v>
      </c>
      <c r="I10" s="1272" t="s">
        <v>703</v>
      </c>
      <c r="J10" s="1272" t="s">
        <v>704</v>
      </c>
      <c r="K10" s="1272" t="s">
        <v>705</v>
      </c>
      <c r="L10" s="1272" t="s">
        <v>707</v>
      </c>
      <c r="M10" s="1272" t="s">
        <v>708</v>
      </c>
      <c r="N10" s="1272" t="s">
        <v>709</v>
      </c>
      <c r="O10" s="1272" t="s">
        <v>710</v>
      </c>
      <c r="P10" s="1272" t="s">
        <v>711</v>
      </c>
      <c r="Q10" s="1502"/>
      <c r="R10" s="1272" t="s">
        <v>929</v>
      </c>
      <c r="S10" s="1272" t="s">
        <v>929</v>
      </c>
      <c r="T10" s="1272" t="s">
        <v>701</v>
      </c>
      <c r="U10" s="1272" t="s">
        <v>702</v>
      </c>
      <c r="V10" s="1272" t="s">
        <v>703</v>
      </c>
      <c r="W10" s="1272" t="s">
        <v>704</v>
      </c>
      <c r="X10" s="1272" t="s">
        <v>705</v>
      </c>
      <c r="Y10" s="1272" t="s">
        <v>707</v>
      </c>
      <c r="Z10" s="1272" t="s">
        <v>708</v>
      </c>
      <c r="AA10" s="1272" t="s">
        <v>709</v>
      </c>
      <c r="AB10" s="1272" t="s">
        <v>710</v>
      </c>
      <c r="AC10" s="1272" t="s">
        <v>711</v>
      </c>
      <c r="AD10" s="1502"/>
      <c r="AE10" s="1272" t="s">
        <v>929</v>
      </c>
      <c r="AF10" s="1272" t="s">
        <v>929</v>
      </c>
      <c r="AG10" s="1272" t="s">
        <v>701</v>
      </c>
      <c r="AH10" s="1272" t="s">
        <v>702</v>
      </c>
      <c r="AI10" s="1272" t="s">
        <v>703</v>
      </c>
      <c r="AJ10" s="1272" t="s">
        <v>704</v>
      </c>
      <c r="AK10" s="1272" t="s">
        <v>705</v>
      </c>
      <c r="AL10" s="1272" t="s">
        <v>707</v>
      </c>
      <c r="AM10" s="1272" t="s">
        <v>708</v>
      </c>
      <c r="AN10" s="1272" t="s">
        <v>709</v>
      </c>
      <c r="AO10" s="1272" t="s">
        <v>710</v>
      </c>
      <c r="AP10" s="1272" t="s">
        <v>711</v>
      </c>
      <c r="AQ10" s="1530"/>
      <c r="AR10" s="1557"/>
      <c r="AS10" s="1530"/>
      <c r="AT10" s="1530"/>
      <c r="AU10" s="1530"/>
      <c r="AV10" s="1530"/>
      <c r="AW10" s="1525"/>
      <c r="AX10" s="1525"/>
      <c r="AY10" s="1525"/>
      <c r="AZ10" s="1525"/>
      <c r="BA10" s="1525"/>
      <c r="BB10" s="1525"/>
      <c r="BC10" s="1525"/>
      <c r="BD10" s="1525"/>
      <c r="BE10" s="1525"/>
      <c r="BF10" s="1525"/>
      <c r="BG10" s="1525"/>
      <c r="BH10" s="1525"/>
      <c r="BI10" s="1525"/>
      <c r="BJ10" s="1525"/>
      <c r="BK10" s="1525"/>
    </row>
    <row r="11" spans="1:63" s="1530" customFormat="1" ht="12" customHeight="1">
      <c r="A11" s="1557"/>
      <c r="B11" s="1557"/>
      <c r="C11" s="1759" t="s">
        <v>1256</v>
      </c>
      <c r="D11" s="1760"/>
      <c r="E11" s="1761"/>
      <c r="F11" s="1761"/>
      <c r="G11" s="1761"/>
      <c r="H11" s="1761"/>
      <c r="I11" s="1761"/>
      <c r="J11" s="1529"/>
      <c r="K11" s="738"/>
      <c r="L11" s="738"/>
      <c r="M11" s="738"/>
      <c r="N11" s="1527"/>
      <c r="O11" s="1527"/>
      <c r="P11" s="1527"/>
      <c r="Q11" s="1502"/>
      <c r="R11" s="1527"/>
      <c r="S11" s="1527"/>
      <c r="T11" s="1527"/>
      <c r="U11" s="1762"/>
      <c r="V11" s="1762"/>
      <c r="W11" s="1762"/>
      <c r="X11" s="1762"/>
      <c r="Y11" s="1762"/>
      <c r="Z11" s="1762"/>
      <c r="AA11" s="1762"/>
      <c r="AB11" s="1762"/>
      <c r="AC11" s="1762"/>
      <c r="AD11" s="2060"/>
      <c r="AE11" s="1529"/>
      <c r="AF11" s="1529"/>
      <c r="AG11" s="1529"/>
      <c r="AH11" s="1762"/>
      <c r="AI11" s="1762"/>
      <c r="AJ11" s="1762"/>
      <c r="AK11" s="1762"/>
      <c r="AL11" s="1762"/>
      <c r="AM11" s="1762"/>
      <c r="AN11" s="1762"/>
      <c r="AO11" s="1762"/>
      <c r="AP11" s="1762"/>
      <c r="AR11" s="1557"/>
      <c r="AW11" s="1525"/>
      <c r="AX11" s="1525"/>
      <c r="AY11" s="1525"/>
      <c r="AZ11" s="1525"/>
      <c r="BA11" s="1525"/>
      <c r="BB11" s="1525"/>
      <c r="BC11" s="1525"/>
      <c r="BD11" s="1525"/>
      <c r="BE11" s="1525"/>
      <c r="BF11" s="1525"/>
      <c r="BG11" s="1525"/>
      <c r="BH11" s="1525"/>
      <c r="BI11" s="1525"/>
      <c r="BJ11" s="1525"/>
      <c r="BK11" s="1525"/>
    </row>
    <row r="12" spans="1:63" ht="12" customHeight="1">
      <c r="A12" s="1557" t="str">
        <f t="shared" ref="A12:A25" si="0">IF(C12="--","n","")</f>
        <v>n</v>
      </c>
      <c r="B12" s="1557"/>
      <c r="C12" s="146" t="str">
        <f>'DATA GPC'!E$20</f>
        <v>--</v>
      </c>
      <c r="D12" s="651" t="str">
        <f>'Working Capital'!D$11</f>
        <v>--</v>
      </c>
      <c r="E12" s="503" t="str">
        <f>'DATA GPC'!H1126</f>
        <v>--</v>
      </c>
      <c r="F12" s="503" t="str">
        <f>'DATA GPC'!I1126</f>
        <v>--</v>
      </c>
      <c r="G12" s="503" t="str">
        <f>'DATA GPC'!L1126</f>
        <v>--</v>
      </c>
      <c r="H12" s="503" t="str">
        <f>'DATA GPC'!M1126</f>
        <v>--</v>
      </c>
      <c r="I12" s="503" t="str">
        <f>'DATA GPC'!N1126</f>
        <v>--</v>
      </c>
      <c r="J12" s="1364" t="str">
        <f>'DATA GPC'!O1126</f>
        <v>--</v>
      </c>
      <c r="K12" s="1364" t="str">
        <f>'DATA GPC'!P1126</f>
        <v>--</v>
      </c>
      <c r="L12" s="1364" t="str">
        <f>'DATA GPC'!U1126</f>
        <v>--</v>
      </c>
      <c r="M12" s="1364" t="str">
        <f>'DATA GPC'!V1126</f>
        <v>--</v>
      </c>
      <c r="N12" s="1364" t="str">
        <f>'DATA GPC'!W1126</f>
        <v>--</v>
      </c>
      <c r="O12" s="1364" t="str">
        <f>'DATA GPC'!X1126</f>
        <v>--</v>
      </c>
      <c r="P12" s="1364" t="str">
        <f>'DATA GPC'!Y1126</f>
        <v>--</v>
      </c>
      <c r="Q12" s="1364"/>
      <c r="R12" s="1369" t="str">
        <f>'DATA GPC'!H1157</f>
        <v>--</v>
      </c>
      <c r="S12" s="1369" t="str">
        <f>'DATA GPC'!I1157</f>
        <v>--</v>
      </c>
      <c r="T12" s="1364" t="str">
        <f>'DATA GPC'!L1157</f>
        <v>--</v>
      </c>
      <c r="U12" s="1364" t="str">
        <f>'DATA GPC'!M1157</f>
        <v>--</v>
      </c>
      <c r="V12" s="1364" t="str">
        <f>'DATA GPC'!N1157</f>
        <v>--</v>
      </c>
      <c r="W12" s="1364" t="str">
        <f>'DATA GPC'!O1157</f>
        <v>--</v>
      </c>
      <c r="X12" s="1364" t="str">
        <f>'DATA GPC'!P1157</f>
        <v>--</v>
      </c>
      <c r="Y12" s="1364" t="str">
        <f>'DATA GPC'!U1157</f>
        <v>--</v>
      </c>
      <c r="Z12" s="1364" t="str">
        <f>'DATA GPC'!V1157</f>
        <v>--</v>
      </c>
      <c r="AA12" s="1364" t="str">
        <f>'DATA GPC'!W1157</f>
        <v>--</v>
      </c>
      <c r="AB12" s="1364" t="str">
        <f>'DATA GPC'!X1157</f>
        <v>--</v>
      </c>
      <c r="AC12" s="1364" t="str">
        <f>'DATA GPC'!Y1157</f>
        <v>--</v>
      </c>
      <c r="AD12" s="1364"/>
      <c r="AE12" s="1364" t="str">
        <f>'DATA GPC'!H1188</f>
        <v>--</v>
      </c>
      <c r="AF12" s="1364" t="str">
        <f>'DATA GPC'!I1188</f>
        <v>--</v>
      </c>
      <c r="AG12" s="1364" t="str">
        <f>'DATA GPC'!L1188</f>
        <v>--</v>
      </c>
      <c r="AH12" s="1364" t="str">
        <f>'DATA GPC'!M1188</f>
        <v>--</v>
      </c>
      <c r="AI12" s="1364" t="str">
        <f>'DATA GPC'!N1188</f>
        <v>--</v>
      </c>
      <c r="AJ12" s="1364" t="str">
        <f>'DATA GPC'!O1188</f>
        <v>--</v>
      </c>
      <c r="AK12" s="1364" t="str">
        <f>'DATA GPC'!P1188</f>
        <v>--</v>
      </c>
      <c r="AL12" s="1364" t="str">
        <f>'DATA GPC'!U1188</f>
        <v>--</v>
      </c>
      <c r="AM12" s="1364" t="str">
        <f>'DATA GPC'!V1188</f>
        <v>--</v>
      </c>
      <c r="AN12" s="1364" t="str">
        <f>'DATA GPC'!W1188</f>
        <v>--</v>
      </c>
      <c r="AO12" s="503" t="str">
        <f>'DATA GPC'!X1188</f>
        <v>--</v>
      </c>
      <c r="AP12" s="503" t="str">
        <f>'DATA GPC'!Y1188</f>
        <v>--</v>
      </c>
      <c r="AQ12" s="1530"/>
      <c r="AR12" s="1557"/>
      <c r="AS12" s="1530"/>
      <c r="AT12" s="1530"/>
      <c r="AU12" s="1530"/>
      <c r="AV12" s="1530"/>
      <c r="AW12" s="1525"/>
      <c r="AX12" s="1525"/>
      <c r="AY12" s="1525"/>
      <c r="AZ12" s="1525"/>
      <c r="BA12" s="1525"/>
      <c r="BB12" s="1525"/>
      <c r="BC12" s="1525"/>
      <c r="BD12" s="1525"/>
      <c r="BE12" s="1525"/>
      <c r="BF12" s="1525"/>
      <c r="BG12" s="1525"/>
      <c r="BH12" s="1525"/>
      <c r="BI12" s="1525"/>
      <c r="BJ12" s="1525"/>
      <c r="BK12" s="1525"/>
    </row>
    <row r="13" spans="1:63" ht="12" customHeight="1">
      <c r="A13" s="1557" t="str">
        <f t="shared" si="0"/>
        <v>n</v>
      </c>
      <c r="B13" s="1557"/>
      <c r="C13" s="146" t="str">
        <f>'DATA GPC'!E$21</f>
        <v>--</v>
      </c>
      <c r="D13" s="651" t="str">
        <f>'Working Capital'!D$12</f>
        <v>--</v>
      </c>
      <c r="E13" s="503" t="str">
        <f>'DATA GPC'!H1127</f>
        <v>--</v>
      </c>
      <c r="F13" s="503" t="str">
        <f>'DATA GPC'!I1127</f>
        <v>--</v>
      </c>
      <c r="G13" s="503" t="str">
        <f>'DATA GPC'!L1127</f>
        <v>--</v>
      </c>
      <c r="H13" s="503" t="str">
        <f>'DATA GPC'!M1127</f>
        <v>--</v>
      </c>
      <c r="I13" s="503" t="str">
        <f>'DATA GPC'!N1127</f>
        <v>--</v>
      </c>
      <c r="J13" s="1364" t="str">
        <f>'DATA GPC'!O1127</f>
        <v>--</v>
      </c>
      <c r="K13" s="1364" t="str">
        <f>'DATA GPC'!P1127</f>
        <v>--</v>
      </c>
      <c r="L13" s="1364" t="str">
        <f>'DATA GPC'!U1127</f>
        <v>--</v>
      </c>
      <c r="M13" s="1364" t="str">
        <f>'DATA GPC'!V1127</f>
        <v>--</v>
      </c>
      <c r="N13" s="1364" t="str">
        <f>'DATA GPC'!W1127</f>
        <v>--</v>
      </c>
      <c r="O13" s="1364" t="str">
        <f>'DATA GPC'!X1127</f>
        <v>--</v>
      </c>
      <c r="P13" s="1364" t="str">
        <f>'DATA GPC'!Y1127</f>
        <v>--</v>
      </c>
      <c r="Q13" s="1364"/>
      <c r="R13" s="1369" t="str">
        <f>'DATA GPC'!H1158</f>
        <v>--</v>
      </c>
      <c r="S13" s="1369" t="str">
        <f>'DATA GPC'!I1158</f>
        <v>--</v>
      </c>
      <c r="T13" s="1364" t="str">
        <f>'DATA GPC'!L1158</f>
        <v>--</v>
      </c>
      <c r="U13" s="1364" t="str">
        <f>'DATA GPC'!M1158</f>
        <v>--</v>
      </c>
      <c r="V13" s="1364" t="str">
        <f>'DATA GPC'!N1158</f>
        <v>--</v>
      </c>
      <c r="W13" s="1364" t="str">
        <f>'DATA GPC'!O1158</f>
        <v>--</v>
      </c>
      <c r="X13" s="1364" t="str">
        <f>'DATA GPC'!P1158</f>
        <v>--</v>
      </c>
      <c r="Y13" s="1364" t="str">
        <f>'DATA GPC'!U1158</f>
        <v>--</v>
      </c>
      <c r="Z13" s="1364" t="str">
        <f>'DATA GPC'!V1158</f>
        <v>--</v>
      </c>
      <c r="AA13" s="1364" t="str">
        <f>'DATA GPC'!W1158</f>
        <v>--</v>
      </c>
      <c r="AB13" s="1364" t="str">
        <f>'DATA GPC'!X1158</f>
        <v>--</v>
      </c>
      <c r="AC13" s="1364" t="str">
        <f>'DATA GPC'!Y1158</f>
        <v>--</v>
      </c>
      <c r="AD13" s="1364"/>
      <c r="AE13" s="1364" t="str">
        <f>'DATA GPC'!H1189</f>
        <v>--</v>
      </c>
      <c r="AF13" s="1364" t="str">
        <f>'DATA GPC'!I1189</f>
        <v>--</v>
      </c>
      <c r="AG13" s="1364" t="str">
        <f>'DATA GPC'!L1189</f>
        <v>--</v>
      </c>
      <c r="AH13" s="1364" t="str">
        <f>'DATA GPC'!M1189</f>
        <v>--</v>
      </c>
      <c r="AI13" s="1364" t="str">
        <f>'DATA GPC'!N1189</f>
        <v>--</v>
      </c>
      <c r="AJ13" s="1364" t="str">
        <f>'DATA GPC'!O1189</f>
        <v>--</v>
      </c>
      <c r="AK13" s="1364" t="str">
        <f>'DATA GPC'!P1189</f>
        <v>--</v>
      </c>
      <c r="AL13" s="1364" t="str">
        <f>'DATA GPC'!U1189</f>
        <v>--</v>
      </c>
      <c r="AM13" s="1364" t="str">
        <f>'DATA GPC'!V1189</f>
        <v>--</v>
      </c>
      <c r="AN13" s="1364" t="str">
        <f>'DATA GPC'!W1189</f>
        <v>--</v>
      </c>
      <c r="AO13" s="503" t="str">
        <f>'DATA GPC'!X1189</f>
        <v>--</v>
      </c>
      <c r="AP13" s="503" t="str">
        <f>'DATA GPC'!Y1189</f>
        <v>--</v>
      </c>
      <c r="AQ13" s="1530"/>
      <c r="AR13" s="1557"/>
      <c r="AS13" s="1530"/>
      <c r="AT13" s="1530"/>
      <c r="AU13" s="1530"/>
      <c r="AV13" s="1530"/>
      <c r="AW13" s="1525"/>
      <c r="AX13" s="1525"/>
      <c r="AY13" s="1525"/>
      <c r="AZ13" s="1525"/>
      <c r="BA13" s="1525"/>
      <c r="BB13" s="1525"/>
      <c r="BC13" s="1525"/>
      <c r="BD13" s="1525"/>
      <c r="BE13" s="1525"/>
      <c r="BF13" s="1525"/>
      <c r="BG13" s="1525"/>
      <c r="BH13" s="1525"/>
      <c r="BI13" s="1525"/>
      <c r="BJ13" s="1525"/>
      <c r="BK13" s="1525"/>
    </row>
    <row r="14" spans="1:63" ht="12" customHeight="1">
      <c r="A14" s="1557" t="str">
        <f t="shared" si="0"/>
        <v>n</v>
      </c>
      <c r="B14" s="1557"/>
      <c r="C14" s="146" t="str">
        <f>'DATA GPC'!E$22</f>
        <v>--</v>
      </c>
      <c r="D14" s="651" t="str">
        <f>'Working Capital'!D$13</f>
        <v>--</v>
      </c>
      <c r="E14" s="503" t="str">
        <f>'DATA GPC'!H1128</f>
        <v>--</v>
      </c>
      <c r="F14" s="503" t="str">
        <f>'DATA GPC'!I1128</f>
        <v>--</v>
      </c>
      <c r="G14" s="503" t="str">
        <f>'DATA GPC'!L1128</f>
        <v>--</v>
      </c>
      <c r="H14" s="503" t="str">
        <f>'DATA GPC'!M1128</f>
        <v>--</v>
      </c>
      <c r="I14" s="503" t="str">
        <f>'DATA GPC'!N1128</f>
        <v>--</v>
      </c>
      <c r="J14" s="1364" t="str">
        <f>'DATA GPC'!O1128</f>
        <v>--</v>
      </c>
      <c r="K14" s="1364" t="str">
        <f>'DATA GPC'!P1128</f>
        <v>--</v>
      </c>
      <c r="L14" s="1364" t="str">
        <f>'DATA GPC'!U1128</f>
        <v>--</v>
      </c>
      <c r="M14" s="1364" t="str">
        <f>'DATA GPC'!V1128</f>
        <v>--</v>
      </c>
      <c r="N14" s="1364" t="str">
        <f>'DATA GPC'!W1128</f>
        <v>--</v>
      </c>
      <c r="O14" s="1364" t="str">
        <f>'DATA GPC'!X1128</f>
        <v>--</v>
      </c>
      <c r="P14" s="1364" t="str">
        <f>'DATA GPC'!Y1128</f>
        <v>--</v>
      </c>
      <c r="Q14" s="1364"/>
      <c r="R14" s="1369" t="str">
        <f>'DATA GPC'!H1159</f>
        <v>--</v>
      </c>
      <c r="S14" s="1369" t="str">
        <f>'DATA GPC'!I1159</f>
        <v>--</v>
      </c>
      <c r="T14" s="1364" t="str">
        <f>'DATA GPC'!L1159</f>
        <v>--</v>
      </c>
      <c r="U14" s="1364" t="str">
        <f>'DATA GPC'!M1159</f>
        <v>--</v>
      </c>
      <c r="V14" s="1364" t="str">
        <f>'DATA GPC'!N1159</f>
        <v>--</v>
      </c>
      <c r="W14" s="1364" t="str">
        <f>'DATA GPC'!O1159</f>
        <v>--</v>
      </c>
      <c r="X14" s="1364" t="str">
        <f>'DATA GPC'!P1159</f>
        <v>--</v>
      </c>
      <c r="Y14" s="1364" t="str">
        <f>'DATA GPC'!U1159</f>
        <v>--</v>
      </c>
      <c r="Z14" s="1364" t="str">
        <f>'DATA GPC'!V1159</f>
        <v>--</v>
      </c>
      <c r="AA14" s="1364" t="str">
        <f>'DATA GPC'!W1159</f>
        <v>--</v>
      </c>
      <c r="AB14" s="1364" t="str">
        <f>'DATA GPC'!X1159</f>
        <v>--</v>
      </c>
      <c r="AC14" s="1364" t="str">
        <f>'DATA GPC'!Y1159</f>
        <v>--</v>
      </c>
      <c r="AD14" s="1364"/>
      <c r="AE14" s="1364" t="str">
        <f>'DATA GPC'!H1190</f>
        <v>--</v>
      </c>
      <c r="AF14" s="1364" t="str">
        <f>'DATA GPC'!I1190</f>
        <v>--</v>
      </c>
      <c r="AG14" s="1364" t="str">
        <f>'DATA GPC'!L1190</f>
        <v>--</v>
      </c>
      <c r="AH14" s="1364" t="str">
        <f>'DATA GPC'!M1190</f>
        <v>--</v>
      </c>
      <c r="AI14" s="1364" t="str">
        <f>'DATA GPC'!N1190</f>
        <v>--</v>
      </c>
      <c r="AJ14" s="1364" t="str">
        <f>'DATA GPC'!O1190</f>
        <v>--</v>
      </c>
      <c r="AK14" s="1364" t="str">
        <f>'DATA GPC'!P1190</f>
        <v>--</v>
      </c>
      <c r="AL14" s="1364" t="str">
        <f>'DATA GPC'!U1190</f>
        <v>--</v>
      </c>
      <c r="AM14" s="1364" t="str">
        <f>'DATA GPC'!V1190</f>
        <v>--</v>
      </c>
      <c r="AN14" s="1364" t="str">
        <f>'DATA GPC'!W1190</f>
        <v>--</v>
      </c>
      <c r="AO14" s="503" t="str">
        <f>'DATA GPC'!X1190</f>
        <v>--</v>
      </c>
      <c r="AP14" s="503" t="str">
        <f>'DATA GPC'!Y1190</f>
        <v>--</v>
      </c>
      <c r="AQ14" s="1530"/>
      <c r="AR14" s="1557"/>
      <c r="AS14" s="1530"/>
      <c r="AT14" s="1530"/>
      <c r="AU14" s="1530"/>
      <c r="AV14" s="1530"/>
      <c r="AW14" s="1525"/>
      <c r="AX14" s="1525"/>
      <c r="AY14" s="1525"/>
      <c r="AZ14" s="1525"/>
      <c r="BA14" s="1525"/>
      <c r="BB14" s="1525"/>
      <c r="BC14" s="1525"/>
      <c r="BD14" s="1525"/>
      <c r="BE14" s="1525"/>
      <c r="BF14" s="1525"/>
      <c r="BG14" s="1525"/>
      <c r="BH14" s="1525"/>
      <c r="BI14" s="1525"/>
      <c r="BJ14" s="1525"/>
      <c r="BK14" s="1525"/>
    </row>
    <row r="15" spans="1:63" ht="12" customHeight="1">
      <c r="A15" s="1557" t="str">
        <f t="shared" si="0"/>
        <v>n</v>
      </c>
      <c r="B15" s="1557"/>
      <c r="C15" s="146" t="str">
        <f>'DATA GPC'!E$23</f>
        <v>--</v>
      </c>
      <c r="D15" s="651" t="str">
        <f>'Working Capital'!D$14</f>
        <v>--</v>
      </c>
      <c r="E15" s="503" t="str">
        <f>'DATA GPC'!H1129</f>
        <v>--</v>
      </c>
      <c r="F15" s="503" t="str">
        <f>'DATA GPC'!I1129</f>
        <v>--</v>
      </c>
      <c r="G15" s="503" t="str">
        <f>'DATA GPC'!L1129</f>
        <v>--</v>
      </c>
      <c r="H15" s="503" t="str">
        <f>'DATA GPC'!M1129</f>
        <v>--</v>
      </c>
      <c r="I15" s="503" t="str">
        <f>'DATA GPC'!N1129</f>
        <v>--</v>
      </c>
      <c r="J15" s="1364" t="str">
        <f>'DATA GPC'!O1129</f>
        <v>--</v>
      </c>
      <c r="K15" s="1364" t="str">
        <f>'DATA GPC'!P1129</f>
        <v>--</v>
      </c>
      <c r="L15" s="1364" t="str">
        <f>'DATA GPC'!U1129</f>
        <v>--</v>
      </c>
      <c r="M15" s="1364" t="str">
        <f>'DATA GPC'!V1129</f>
        <v>--</v>
      </c>
      <c r="N15" s="1364" t="str">
        <f>'DATA GPC'!W1129</f>
        <v>--</v>
      </c>
      <c r="O15" s="1364" t="str">
        <f>'DATA GPC'!X1129</f>
        <v>--</v>
      </c>
      <c r="P15" s="1364" t="str">
        <f>'DATA GPC'!Y1129</f>
        <v>--</v>
      </c>
      <c r="Q15" s="1364"/>
      <c r="R15" s="1369" t="str">
        <f>'DATA GPC'!H1160</f>
        <v>--</v>
      </c>
      <c r="S15" s="1369" t="str">
        <f>'DATA GPC'!I1160</f>
        <v>--</v>
      </c>
      <c r="T15" s="1364" t="str">
        <f>'DATA GPC'!L1160</f>
        <v>--</v>
      </c>
      <c r="U15" s="1364" t="str">
        <f>'DATA GPC'!M1160</f>
        <v>--</v>
      </c>
      <c r="V15" s="1364" t="str">
        <f>'DATA GPC'!N1160</f>
        <v>--</v>
      </c>
      <c r="W15" s="1364" t="str">
        <f>'DATA GPC'!O1160</f>
        <v>--</v>
      </c>
      <c r="X15" s="1364" t="str">
        <f>'DATA GPC'!P1160</f>
        <v>--</v>
      </c>
      <c r="Y15" s="1364" t="str">
        <f>'DATA GPC'!U1160</f>
        <v>--</v>
      </c>
      <c r="Z15" s="1364" t="str">
        <f>'DATA GPC'!V1160</f>
        <v>--</v>
      </c>
      <c r="AA15" s="1364" t="str">
        <f>'DATA GPC'!W1160</f>
        <v>--</v>
      </c>
      <c r="AB15" s="1364" t="str">
        <f>'DATA GPC'!X1160</f>
        <v>--</v>
      </c>
      <c r="AC15" s="1364" t="str">
        <f>'DATA GPC'!Y1160</f>
        <v>--</v>
      </c>
      <c r="AD15" s="1364"/>
      <c r="AE15" s="1364" t="str">
        <f>'DATA GPC'!H1191</f>
        <v>--</v>
      </c>
      <c r="AF15" s="1364" t="str">
        <f>'DATA GPC'!I1191</f>
        <v>--</v>
      </c>
      <c r="AG15" s="1364" t="str">
        <f>'DATA GPC'!L1191</f>
        <v>--</v>
      </c>
      <c r="AH15" s="1364" t="str">
        <f>'DATA GPC'!M1191</f>
        <v>--</v>
      </c>
      <c r="AI15" s="1364" t="str">
        <f>'DATA GPC'!N1191</f>
        <v>--</v>
      </c>
      <c r="AJ15" s="1364" t="str">
        <f>'DATA GPC'!O1191</f>
        <v>--</v>
      </c>
      <c r="AK15" s="1364" t="str">
        <f>'DATA GPC'!P1191</f>
        <v>--</v>
      </c>
      <c r="AL15" s="1364" t="str">
        <f>'DATA GPC'!U1191</f>
        <v>--</v>
      </c>
      <c r="AM15" s="1364" t="str">
        <f>'DATA GPC'!V1191</f>
        <v>--</v>
      </c>
      <c r="AN15" s="1364" t="str">
        <f>'DATA GPC'!W1191</f>
        <v>--</v>
      </c>
      <c r="AO15" s="503" t="str">
        <f>'DATA GPC'!X1191</f>
        <v>--</v>
      </c>
      <c r="AP15" s="503" t="str">
        <f>'DATA GPC'!Y1191</f>
        <v>--</v>
      </c>
      <c r="AQ15" s="1530"/>
      <c r="AR15" s="1557"/>
      <c r="AS15" s="1530"/>
      <c r="AT15" s="1530"/>
      <c r="AU15" s="1530"/>
      <c r="AV15" s="1530"/>
      <c r="AW15" s="1525"/>
      <c r="AX15" s="1525"/>
      <c r="AY15" s="1525"/>
      <c r="AZ15" s="1525"/>
      <c r="BA15" s="1525"/>
      <c r="BB15" s="1525"/>
      <c r="BC15" s="1525"/>
      <c r="BD15" s="1525"/>
      <c r="BE15" s="1525"/>
      <c r="BF15" s="1525"/>
      <c r="BG15" s="1525"/>
      <c r="BH15" s="1525"/>
      <c r="BI15" s="1525"/>
      <c r="BJ15" s="1525"/>
      <c r="BK15" s="1525"/>
    </row>
    <row r="16" spans="1:63" ht="12" customHeight="1">
      <c r="A16" s="1557" t="str">
        <f t="shared" si="0"/>
        <v>n</v>
      </c>
      <c r="B16" s="1557"/>
      <c r="C16" s="146" t="str">
        <f>'DATA GPC'!E$24</f>
        <v>--</v>
      </c>
      <c r="D16" s="651" t="str">
        <f>'Working Capital'!D$15</f>
        <v>--</v>
      </c>
      <c r="E16" s="503" t="str">
        <f>'DATA GPC'!H1130</f>
        <v>--</v>
      </c>
      <c r="F16" s="503" t="str">
        <f>'DATA GPC'!I1130</f>
        <v>--</v>
      </c>
      <c r="G16" s="503" t="str">
        <f>'DATA GPC'!L1130</f>
        <v>--</v>
      </c>
      <c r="H16" s="503" t="str">
        <f>'DATA GPC'!M1130</f>
        <v>--</v>
      </c>
      <c r="I16" s="503" t="str">
        <f>'DATA GPC'!N1130</f>
        <v>--</v>
      </c>
      <c r="J16" s="1364" t="str">
        <f>'DATA GPC'!O1130</f>
        <v>--</v>
      </c>
      <c r="K16" s="1364" t="str">
        <f>'DATA GPC'!P1130</f>
        <v>--</v>
      </c>
      <c r="L16" s="1364" t="str">
        <f>'DATA GPC'!U1130</f>
        <v>--</v>
      </c>
      <c r="M16" s="1364" t="str">
        <f>'DATA GPC'!V1130</f>
        <v>--</v>
      </c>
      <c r="N16" s="1364" t="str">
        <f>'DATA GPC'!W1130</f>
        <v>--</v>
      </c>
      <c r="O16" s="1364" t="str">
        <f>'DATA GPC'!X1130</f>
        <v>--</v>
      </c>
      <c r="P16" s="1364" t="str">
        <f>'DATA GPC'!Y1130</f>
        <v>--</v>
      </c>
      <c r="Q16" s="1364"/>
      <c r="R16" s="1369" t="str">
        <f>'DATA GPC'!H1161</f>
        <v>--</v>
      </c>
      <c r="S16" s="1369" t="str">
        <f>'DATA GPC'!I1161</f>
        <v>--</v>
      </c>
      <c r="T16" s="1364" t="str">
        <f>'DATA GPC'!L1161</f>
        <v>--</v>
      </c>
      <c r="U16" s="1364" t="str">
        <f>'DATA GPC'!M1161</f>
        <v>--</v>
      </c>
      <c r="V16" s="1364" t="str">
        <f>'DATA GPC'!N1161</f>
        <v>--</v>
      </c>
      <c r="W16" s="1364" t="str">
        <f>'DATA GPC'!O1161</f>
        <v>--</v>
      </c>
      <c r="X16" s="1364" t="str">
        <f>'DATA GPC'!P1161</f>
        <v>--</v>
      </c>
      <c r="Y16" s="1364" t="str">
        <f>'DATA GPC'!U1161</f>
        <v>--</v>
      </c>
      <c r="Z16" s="1364" t="str">
        <f>'DATA GPC'!V1161</f>
        <v>--</v>
      </c>
      <c r="AA16" s="1364" t="str">
        <f>'DATA GPC'!W1161</f>
        <v>--</v>
      </c>
      <c r="AB16" s="1364" t="str">
        <f>'DATA GPC'!X1161</f>
        <v>--</v>
      </c>
      <c r="AC16" s="1364" t="str">
        <f>'DATA GPC'!Y1161</f>
        <v>--</v>
      </c>
      <c r="AD16" s="1364"/>
      <c r="AE16" s="1364" t="str">
        <f>'DATA GPC'!H1192</f>
        <v>--</v>
      </c>
      <c r="AF16" s="1364" t="str">
        <f>'DATA GPC'!I1192</f>
        <v>--</v>
      </c>
      <c r="AG16" s="1364" t="str">
        <f>'DATA GPC'!L1192</f>
        <v>--</v>
      </c>
      <c r="AH16" s="1364" t="str">
        <f>'DATA GPC'!M1192</f>
        <v>--</v>
      </c>
      <c r="AI16" s="1364" t="str">
        <f>'DATA GPC'!N1192</f>
        <v>--</v>
      </c>
      <c r="AJ16" s="1364" t="str">
        <f>'DATA GPC'!O1192</f>
        <v>--</v>
      </c>
      <c r="AK16" s="1364" t="str">
        <f>'DATA GPC'!P1192</f>
        <v>--</v>
      </c>
      <c r="AL16" s="1364" t="str">
        <f>'DATA GPC'!U1192</f>
        <v>--</v>
      </c>
      <c r="AM16" s="1364" t="str">
        <f>'DATA GPC'!V1192</f>
        <v>--</v>
      </c>
      <c r="AN16" s="1364" t="str">
        <f>'DATA GPC'!W1192</f>
        <v>--</v>
      </c>
      <c r="AO16" s="503" t="str">
        <f>'DATA GPC'!X1192</f>
        <v>--</v>
      </c>
      <c r="AP16" s="503" t="str">
        <f>'DATA GPC'!Y1192</f>
        <v>--</v>
      </c>
      <c r="AQ16" s="1530"/>
      <c r="AR16" s="1557"/>
      <c r="AS16" s="1530"/>
      <c r="AT16" s="1530"/>
      <c r="AU16" s="1530"/>
      <c r="AV16" s="1530"/>
      <c r="AW16" s="1525"/>
      <c r="AX16" s="1525"/>
      <c r="AY16" s="1525"/>
      <c r="AZ16" s="1525"/>
      <c r="BA16" s="1525"/>
      <c r="BB16" s="1525"/>
      <c r="BC16" s="1525"/>
      <c r="BD16" s="1525"/>
      <c r="BE16" s="1525"/>
      <c r="BF16" s="1525"/>
      <c r="BG16" s="1525"/>
      <c r="BH16" s="1525"/>
      <c r="BI16" s="1525"/>
      <c r="BJ16" s="1525"/>
      <c r="BK16" s="1525"/>
    </row>
    <row r="17" spans="1:63" ht="12" customHeight="1">
      <c r="A17" s="1557" t="str">
        <f t="shared" si="0"/>
        <v>n</v>
      </c>
      <c r="B17" s="1557"/>
      <c r="C17" s="146" t="str">
        <f>'DATA GPC'!E$25</f>
        <v>--</v>
      </c>
      <c r="D17" s="651" t="str">
        <f>'Working Capital'!D$16</f>
        <v>--</v>
      </c>
      <c r="E17" s="503" t="str">
        <f>'DATA GPC'!H1131</f>
        <v>--</v>
      </c>
      <c r="F17" s="503" t="str">
        <f>'DATA GPC'!I1131</f>
        <v>--</v>
      </c>
      <c r="G17" s="503" t="str">
        <f>'DATA GPC'!L1131</f>
        <v>--</v>
      </c>
      <c r="H17" s="503" t="str">
        <f>'DATA GPC'!M1131</f>
        <v>--</v>
      </c>
      <c r="I17" s="503" t="str">
        <f>'DATA GPC'!N1131</f>
        <v>--</v>
      </c>
      <c r="J17" s="1364" t="str">
        <f>'DATA GPC'!O1131</f>
        <v>--</v>
      </c>
      <c r="K17" s="1364" t="str">
        <f>'DATA GPC'!P1131</f>
        <v>--</v>
      </c>
      <c r="L17" s="1364" t="str">
        <f>'DATA GPC'!U1131</f>
        <v>--</v>
      </c>
      <c r="M17" s="1364" t="str">
        <f>'DATA GPC'!V1131</f>
        <v>--</v>
      </c>
      <c r="N17" s="1364" t="str">
        <f>'DATA GPC'!W1131</f>
        <v>--</v>
      </c>
      <c r="O17" s="1364" t="str">
        <f>'DATA GPC'!X1131</f>
        <v>--</v>
      </c>
      <c r="P17" s="1364" t="str">
        <f>'DATA GPC'!Y1131</f>
        <v>--</v>
      </c>
      <c r="Q17" s="1364"/>
      <c r="R17" s="1369" t="str">
        <f>'DATA GPC'!H1162</f>
        <v>--</v>
      </c>
      <c r="S17" s="1369" t="str">
        <f>'DATA GPC'!I1162</f>
        <v>--</v>
      </c>
      <c r="T17" s="1364" t="str">
        <f>'DATA GPC'!L1162</f>
        <v>--</v>
      </c>
      <c r="U17" s="1364" t="str">
        <f>'DATA GPC'!M1162</f>
        <v>--</v>
      </c>
      <c r="V17" s="1364" t="str">
        <f>'DATA GPC'!N1162</f>
        <v>--</v>
      </c>
      <c r="W17" s="1364" t="str">
        <f>'DATA GPC'!O1162</f>
        <v>--</v>
      </c>
      <c r="X17" s="1364" t="str">
        <f>'DATA GPC'!P1162</f>
        <v>--</v>
      </c>
      <c r="Y17" s="1364" t="str">
        <f>'DATA GPC'!U1162</f>
        <v>--</v>
      </c>
      <c r="Z17" s="1364" t="str">
        <f>'DATA GPC'!V1162</f>
        <v>--</v>
      </c>
      <c r="AA17" s="1364" t="str">
        <f>'DATA GPC'!W1162</f>
        <v>--</v>
      </c>
      <c r="AB17" s="1364" t="str">
        <f>'DATA GPC'!X1162</f>
        <v>--</v>
      </c>
      <c r="AC17" s="1364" t="str">
        <f>'DATA GPC'!Y1162</f>
        <v>--</v>
      </c>
      <c r="AD17" s="1364"/>
      <c r="AE17" s="1364" t="str">
        <f>'DATA GPC'!H1193</f>
        <v>--</v>
      </c>
      <c r="AF17" s="1364" t="str">
        <f>'DATA GPC'!I1193</f>
        <v>--</v>
      </c>
      <c r="AG17" s="1364" t="str">
        <f>'DATA GPC'!L1193</f>
        <v>--</v>
      </c>
      <c r="AH17" s="1364" t="str">
        <f>'DATA GPC'!M1193</f>
        <v>--</v>
      </c>
      <c r="AI17" s="1364" t="str">
        <f>'DATA GPC'!N1193</f>
        <v>--</v>
      </c>
      <c r="AJ17" s="1364" t="str">
        <f>'DATA GPC'!O1193</f>
        <v>--</v>
      </c>
      <c r="AK17" s="1364" t="str">
        <f>'DATA GPC'!P1193</f>
        <v>--</v>
      </c>
      <c r="AL17" s="1364" t="str">
        <f>'DATA GPC'!U1193</f>
        <v>--</v>
      </c>
      <c r="AM17" s="1364" t="str">
        <f>'DATA GPC'!V1193</f>
        <v>--</v>
      </c>
      <c r="AN17" s="1364" t="str">
        <f>'DATA GPC'!W1193</f>
        <v>--</v>
      </c>
      <c r="AO17" s="503" t="str">
        <f>'DATA GPC'!X1193</f>
        <v>--</v>
      </c>
      <c r="AP17" s="503" t="str">
        <f>'DATA GPC'!Y1193</f>
        <v>--</v>
      </c>
      <c r="AQ17" s="1530"/>
      <c r="AR17" s="1557"/>
      <c r="AS17" s="1530"/>
      <c r="AT17" s="1530"/>
      <c r="AU17" s="1530"/>
      <c r="AV17" s="1530"/>
      <c r="AW17" s="1525"/>
      <c r="AX17" s="1525"/>
      <c r="AY17" s="1525"/>
      <c r="AZ17" s="1525"/>
      <c r="BA17" s="1525"/>
      <c r="BB17" s="1525"/>
      <c r="BC17" s="1525"/>
      <c r="BD17" s="1525"/>
      <c r="BE17" s="1525"/>
      <c r="BF17" s="1525"/>
      <c r="BG17" s="1525"/>
      <c r="BH17" s="1525"/>
      <c r="BI17" s="1525"/>
      <c r="BJ17" s="1525"/>
      <c r="BK17" s="1525"/>
    </row>
    <row r="18" spans="1:63" ht="12" customHeight="1">
      <c r="A18" s="1557" t="str">
        <f t="shared" si="0"/>
        <v>n</v>
      </c>
      <c r="B18" s="1557"/>
      <c r="C18" s="146" t="str">
        <f>'DATA GPC'!E$26</f>
        <v>--</v>
      </c>
      <c r="D18" s="651" t="str">
        <f>'Working Capital'!D$17</f>
        <v>--</v>
      </c>
      <c r="E18" s="503" t="str">
        <f>'DATA GPC'!H1132</f>
        <v>--</v>
      </c>
      <c r="F18" s="503" t="str">
        <f>'DATA GPC'!I1132</f>
        <v>--</v>
      </c>
      <c r="G18" s="503" t="str">
        <f>'DATA GPC'!L1132</f>
        <v>--</v>
      </c>
      <c r="H18" s="503" t="str">
        <f>'DATA GPC'!M1132</f>
        <v>--</v>
      </c>
      <c r="I18" s="503" t="str">
        <f>'DATA GPC'!N1132</f>
        <v>--</v>
      </c>
      <c r="J18" s="1364" t="str">
        <f>'DATA GPC'!O1132</f>
        <v>--</v>
      </c>
      <c r="K18" s="1364" t="str">
        <f>'DATA GPC'!P1132</f>
        <v>--</v>
      </c>
      <c r="L18" s="1364" t="str">
        <f>'DATA GPC'!U1132</f>
        <v>--</v>
      </c>
      <c r="M18" s="1364" t="str">
        <f>'DATA GPC'!V1132</f>
        <v>--</v>
      </c>
      <c r="N18" s="1364" t="str">
        <f>'DATA GPC'!W1132</f>
        <v>--</v>
      </c>
      <c r="O18" s="1364" t="str">
        <f>'DATA GPC'!X1132</f>
        <v>--</v>
      </c>
      <c r="P18" s="1364" t="str">
        <f>'DATA GPC'!Y1132</f>
        <v>--</v>
      </c>
      <c r="Q18" s="1364"/>
      <c r="R18" s="1369" t="str">
        <f>'DATA GPC'!H1163</f>
        <v>--</v>
      </c>
      <c r="S18" s="1369" t="str">
        <f>'DATA GPC'!I1163</f>
        <v>--</v>
      </c>
      <c r="T18" s="1364" t="str">
        <f>'DATA GPC'!L1163</f>
        <v>--</v>
      </c>
      <c r="U18" s="1364" t="str">
        <f>'DATA GPC'!M1163</f>
        <v>--</v>
      </c>
      <c r="V18" s="1364" t="str">
        <f>'DATA GPC'!N1163</f>
        <v>--</v>
      </c>
      <c r="W18" s="1364" t="str">
        <f>'DATA GPC'!O1163</f>
        <v>--</v>
      </c>
      <c r="X18" s="1364" t="str">
        <f>'DATA GPC'!P1163</f>
        <v>--</v>
      </c>
      <c r="Y18" s="1364" t="str">
        <f>'DATA GPC'!U1163</f>
        <v>--</v>
      </c>
      <c r="Z18" s="1364" t="str">
        <f>'DATA GPC'!V1163</f>
        <v>--</v>
      </c>
      <c r="AA18" s="1364" t="str">
        <f>'DATA GPC'!W1163</f>
        <v>--</v>
      </c>
      <c r="AB18" s="1364" t="str">
        <f>'DATA GPC'!X1163</f>
        <v>--</v>
      </c>
      <c r="AC18" s="1364" t="str">
        <f>'DATA GPC'!Y1163</f>
        <v>--</v>
      </c>
      <c r="AD18" s="1364"/>
      <c r="AE18" s="1364" t="str">
        <f>'DATA GPC'!H1194</f>
        <v>--</v>
      </c>
      <c r="AF18" s="1364" t="str">
        <f>'DATA GPC'!I1194</f>
        <v>--</v>
      </c>
      <c r="AG18" s="1364" t="str">
        <f>'DATA GPC'!L1194</f>
        <v>--</v>
      </c>
      <c r="AH18" s="1364" t="str">
        <f>'DATA GPC'!M1194</f>
        <v>--</v>
      </c>
      <c r="AI18" s="1364" t="str">
        <f>'DATA GPC'!N1194</f>
        <v>--</v>
      </c>
      <c r="AJ18" s="1364" t="str">
        <f>'DATA GPC'!O1194</f>
        <v>--</v>
      </c>
      <c r="AK18" s="1364" t="str">
        <f>'DATA GPC'!P1194</f>
        <v>--</v>
      </c>
      <c r="AL18" s="1364" t="str">
        <f>'DATA GPC'!U1194</f>
        <v>--</v>
      </c>
      <c r="AM18" s="1364" t="str">
        <f>'DATA GPC'!V1194</f>
        <v>--</v>
      </c>
      <c r="AN18" s="1364" t="str">
        <f>'DATA GPC'!W1194</f>
        <v>--</v>
      </c>
      <c r="AO18" s="503" t="str">
        <f>'DATA GPC'!X1194</f>
        <v>--</v>
      </c>
      <c r="AP18" s="503" t="str">
        <f>'DATA GPC'!Y1194</f>
        <v>--</v>
      </c>
      <c r="AQ18" s="1530"/>
      <c r="AR18" s="1557"/>
      <c r="AS18" s="1530"/>
      <c r="AT18" s="1530"/>
      <c r="AU18" s="1530"/>
      <c r="AV18" s="1530"/>
      <c r="AW18" s="1525"/>
      <c r="AX18" s="1525"/>
      <c r="AY18" s="1525"/>
      <c r="AZ18" s="1525"/>
      <c r="BA18" s="1525"/>
      <c r="BB18" s="1525"/>
      <c r="BC18" s="1525"/>
      <c r="BD18" s="1525"/>
      <c r="BE18" s="1525"/>
      <c r="BF18" s="1525"/>
      <c r="BG18" s="1525"/>
      <c r="BH18" s="1525"/>
      <c r="BI18" s="1525"/>
      <c r="BJ18" s="1525"/>
      <c r="BK18" s="1525"/>
    </row>
    <row r="19" spans="1:63" ht="12" customHeight="1">
      <c r="A19" s="1557" t="str">
        <f t="shared" si="0"/>
        <v>n</v>
      </c>
      <c r="B19" s="1557"/>
      <c r="C19" s="146" t="str">
        <f>'DATA GPC'!E$27</f>
        <v>--</v>
      </c>
      <c r="D19" s="651" t="str">
        <f>'Working Capital'!D$18</f>
        <v>--</v>
      </c>
      <c r="E19" s="503" t="str">
        <f>'DATA GPC'!H1133</f>
        <v>--</v>
      </c>
      <c r="F19" s="503" t="str">
        <f>'DATA GPC'!I1133</f>
        <v>--</v>
      </c>
      <c r="G19" s="503" t="str">
        <f>'DATA GPC'!L1133</f>
        <v>--</v>
      </c>
      <c r="H19" s="503" t="str">
        <f>'DATA GPC'!M1133</f>
        <v>--</v>
      </c>
      <c r="I19" s="503" t="str">
        <f>'DATA GPC'!N1133</f>
        <v>--</v>
      </c>
      <c r="J19" s="1364" t="str">
        <f>'DATA GPC'!O1133</f>
        <v>--</v>
      </c>
      <c r="K19" s="1364" t="str">
        <f>'DATA GPC'!P1133</f>
        <v>--</v>
      </c>
      <c r="L19" s="1364" t="str">
        <f>'DATA GPC'!U1133</f>
        <v>--</v>
      </c>
      <c r="M19" s="1364" t="str">
        <f>'DATA GPC'!V1133</f>
        <v>--</v>
      </c>
      <c r="N19" s="1364" t="str">
        <f>'DATA GPC'!W1133</f>
        <v>--</v>
      </c>
      <c r="O19" s="1364" t="str">
        <f>'DATA GPC'!X1133</f>
        <v>--</v>
      </c>
      <c r="P19" s="1364" t="str">
        <f>'DATA GPC'!Y1133</f>
        <v>--</v>
      </c>
      <c r="Q19" s="1364"/>
      <c r="R19" s="1369" t="str">
        <f>'DATA GPC'!H1164</f>
        <v>--</v>
      </c>
      <c r="S19" s="1369" t="str">
        <f>'DATA GPC'!I1164</f>
        <v>--</v>
      </c>
      <c r="T19" s="1364" t="str">
        <f>'DATA GPC'!L1164</f>
        <v>--</v>
      </c>
      <c r="U19" s="1364" t="str">
        <f>'DATA GPC'!M1164</f>
        <v>--</v>
      </c>
      <c r="V19" s="1364" t="str">
        <f>'DATA GPC'!N1164</f>
        <v>--</v>
      </c>
      <c r="W19" s="1364" t="str">
        <f>'DATA GPC'!O1164</f>
        <v>--</v>
      </c>
      <c r="X19" s="1364" t="str">
        <f>'DATA GPC'!P1164</f>
        <v>--</v>
      </c>
      <c r="Y19" s="1364" t="str">
        <f>'DATA GPC'!U1164</f>
        <v>--</v>
      </c>
      <c r="Z19" s="1364" t="str">
        <f>'DATA GPC'!V1164</f>
        <v>--</v>
      </c>
      <c r="AA19" s="1364" t="str">
        <f>'DATA GPC'!W1164</f>
        <v>--</v>
      </c>
      <c r="AB19" s="1364" t="str">
        <f>'DATA GPC'!X1164</f>
        <v>--</v>
      </c>
      <c r="AC19" s="1364" t="str">
        <f>'DATA GPC'!Y1164</f>
        <v>--</v>
      </c>
      <c r="AD19" s="1364"/>
      <c r="AE19" s="1364" t="str">
        <f>'DATA GPC'!H1195</f>
        <v>--</v>
      </c>
      <c r="AF19" s="1364" t="str">
        <f>'DATA GPC'!I1195</f>
        <v>--</v>
      </c>
      <c r="AG19" s="1364" t="str">
        <f>'DATA GPC'!L1195</f>
        <v>--</v>
      </c>
      <c r="AH19" s="1364" t="str">
        <f>'DATA GPC'!M1195</f>
        <v>--</v>
      </c>
      <c r="AI19" s="1364" t="str">
        <f>'DATA GPC'!N1195</f>
        <v>--</v>
      </c>
      <c r="AJ19" s="1364" t="str">
        <f>'DATA GPC'!O1195</f>
        <v>--</v>
      </c>
      <c r="AK19" s="1364" t="str">
        <f>'DATA GPC'!P1195</f>
        <v>--</v>
      </c>
      <c r="AL19" s="1364" t="str">
        <f>'DATA GPC'!U1195</f>
        <v>--</v>
      </c>
      <c r="AM19" s="1364" t="str">
        <f>'DATA GPC'!V1195</f>
        <v>--</v>
      </c>
      <c r="AN19" s="1364" t="str">
        <f>'DATA GPC'!W1195</f>
        <v>--</v>
      </c>
      <c r="AO19" s="503" t="str">
        <f>'DATA GPC'!X1195</f>
        <v>--</v>
      </c>
      <c r="AP19" s="503" t="str">
        <f>'DATA GPC'!Y1195</f>
        <v>--</v>
      </c>
      <c r="AQ19" s="1530"/>
      <c r="AR19" s="1557"/>
      <c r="AS19" s="1530"/>
      <c r="AT19" s="1530"/>
      <c r="AU19" s="1530"/>
      <c r="AV19" s="1530"/>
      <c r="AW19" s="1525"/>
      <c r="AX19" s="1525"/>
      <c r="AY19" s="1525"/>
      <c r="AZ19" s="1525"/>
      <c r="BA19" s="1525"/>
      <c r="BB19" s="1525"/>
      <c r="BC19" s="1525"/>
      <c r="BD19" s="1525"/>
      <c r="BE19" s="1525"/>
      <c r="BF19" s="1525"/>
      <c r="BG19" s="1525"/>
      <c r="BH19" s="1525"/>
      <c r="BI19" s="1525"/>
      <c r="BJ19" s="1525"/>
      <c r="BK19" s="1525"/>
    </row>
    <row r="20" spans="1:63" ht="12" customHeight="1">
      <c r="A20" s="1557" t="str">
        <f t="shared" si="0"/>
        <v>n</v>
      </c>
      <c r="B20" s="1557"/>
      <c r="C20" s="146" t="str">
        <f>'DATA GPC'!E$28</f>
        <v>--</v>
      </c>
      <c r="D20" s="651" t="str">
        <f>'Working Capital'!D$19</f>
        <v>--</v>
      </c>
      <c r="E20" s="503" t="str">
        <f>'DATA GPC'!H1134</f>
        <v>--</v>
      </c>
      <c r="F20" s="503" t="str">
        <f>'DATA GPC'!I1134</f>
        <v>--</v>
      </c>
      <c r="G20" s="503" t="str">
        <f>'DATA GPC'!L1134</f>
        <v>--</v>
      </c>
      <c r="H20" s="503" t="str">
        <f>'DATA GPC'!M1134</f>
        <v>--</v>
      </c>
      <c r="I20" s="503" t="str">
        <f>'DATA GPC'!N1134</f>
        <v>--</v>
      </c>
      <c r="J20" s="1364" t="str">
        <f>'DATA GPC'!O1134</f>
        <v>--</v>
      </c>
      <c r="K20" s="1364" t="str">
        <f>'DATA GPC'!P1134</f>
        <v>--</v>
      </c>
      <c r="L20" s="1364" t="str">
        <f>'DATA GPC'!U1134</f>
        <v>--</v>
      </c>
      <c r="M20" s="1364" t="str">
        <f>'DATA GPC'!V1134</f>
        <v>--</v>
      </c>
      <c r="N20" s="1364" t="str">
        <f>'DATA GPC'!W1134</f>
        <v>--</v>
      </c>
      <c r="O20" s="1364" t="str">
        <f>'DATA GPC'!X1134</f>
        <v>--</v>
      </c>
      <c r="P20" s="1364" t="str">
        <f>'DATA GPC'!Y1134</f>
        <v>--</v>
      </c>
      <c r="Q20" s="1364"/>
      <c r="R20" s="1369" t="str">
        <f>'DATA GPC'!H1165</f>
        <v>--</v>
      </c>
      <c r="S20" s="1369" t="str">
        <f>'DATA GPC'!I1165</f>
        <v>--</v>
      </c>
      <c r="T20" s="1364" t="str">
        <f>'DATA GPC'!L1165</f>
        <v>--</v>
      </c>
      <c r="U20" s="1364" t="str">
        <f>'DATA GPC'!M1165</f>
        <v>--</v>
      </c>
      <c r="V20" s="1364" t="str">
        <f>'DATA GPC'!N1165</f>
        <v>--</v>
      </c>
      <c r="W20" s="1364" t="str">
        <f>'DATA GPC'!O1165</f>
        <v>--</v>
      </c>
      <c r="X20" s="1364" t="str">
        <f>'DATA GPC'!P1165</f>
        <v>--</v>
      </c>
      <c r="Y20" s="1364" t="str">
        <f>'DATA GPC'!U1165</f>
        <v>--</v>
      </c>
      <c r="Z20" s="1364" t="str">
        <f>'DATA GPC'!V1165</f>
        <v>--</v>
      </c>
      <c r="AA20" s="1364" t="str">
        <f>'DATA GPC'!W1165</f>
        <v>--</v>
      </c>
      <c r="AB20" s="1364" t="str">
        <f>'DATA GPC'!X1165</f>
        <v>--</v>
      </c>
      <c r="AC20" s="1364" t="str">
        <f>'DATA GPC'!Y1165</f>
        <v>--</v>
      </c>
      <c r="AD20" s="1364"/>
      <c r="AE20" s="1364" t="str">
        <f>'DATA GPC'!H1196</f>
        <v>--</v>
      </c>
      <c r="AF20" s="1364" t="str">
        <f>'DATA GPC'!I1196</f>
        <v>--</v>
      </c>
      <c r="AG20" s="1364" t="str">
        <f>'DATA GPC'!L1196</f>
        <v>--</v>
      </c>
      <c r="AH20" s="1364" t="str">
        <f>'DATA GPC'!M1196</f>
        <v>--</v>
      </c>
      <c r="AI20" s="1364" t="str">
        <f>'DATA GPC'!N1196</f>
        <v>--</v>
      </c>
      <c r="AJ20" s="1364" t="str">
        <f>'DATA GPC'!O1196</f>
        <v>--</v>
      </c>
      <c r="AK20" s="1364" t="str">
        <f>'DATA GPC'!P1196</f>
        <v>--</v>
      </c>
      <c r="AL20" s="1364" t="str">
        <f>'DATA GPC'!U1196</f>
        <v>--</v>
      </c>
      <c r="AM20" s="1364" t="str">
        <f>'DATA GPC'!V1196</f>
        <v>--</v>
      </c>
      <c r="AN20" s="1364" t="str">
        <f>'DATA GPC'!W1196</f>
        <v>--</v>
      </c>
      <c r="AO20" s="503" t="str">
        <f>'DATA GPC'!X1196</f>
        <v>--</v>
      </c>
      <c r="AP20" s="503" t="str">
        <f>'DATA GPC'!Y1196</f>
        <v>--</v>
      </c>
      <c r="AQ20" s="1530"/>
      <c r="AR20" s="1557"/>
      <c r="AS20" s="1530"/>
      <c r="AT20" s="1530"/>
      <c r="AU20" s="1530"/>
      <c r="AV20" s="1530"/>
      <c r="AW20" s="1525"/>
      <c r="AX20" s="1525"/>
      <c r="AY20" s="1525"/>
      <c r="AZ20" s="1525"/>
      <c r="BA20" s="1525"/>
      <c r="BB20" s="1525"/>
      <c r="BC20" s="1525"/>
      <c r="BD20" s="1525"/>
      <c r="BE20" s="1525"/>
      <c r="BF20" s="1525"/>
      <c r="BG20" s="1525"/>
      <c r="BH20" s="1525"/>
      <c r="BI20" s="1525"/>
      <c r="BJ20" s="1525"/>
      <c r="BK20" s="1525"/>
    </row>
    <row r="21" spans="1:63" ht="12" customHeight="1">
      <c r="A21" s="1557" t="str">
        <f t="shared" si="0"/>
        <v>n</v>
      </c>
      <c r="B21" s="1557"/>
      <c r="C21" s="146" t="str">
        <f>'DATA GPC'!E$29</f>
        <v>--</v>
      </c>
      <c r="D21" s="651" t="str">
        <f>'Working Capital'!D$20</f>
        <v>--</v>
      </c>
      <c r="E21" s="503" t="str">
        <f>'DATA GPC'!H1135</f>
        <v>--</v>
      </c>
      <c r="F21" s="503" t="str">
        <f>'DATA GPC'!I1135</f>
        <v>--</v>
      </c>
      <c r="G21" s="503" t="str">
        <f>'DATA GPC'!L1135</f>
        <v>--</v>
      </c>
      <c r="H21" s="503" t="str">
        <f>'DATA GPC'!M1135</f>
        <v>--</v>
      </c>
      <c r="I21" s="503" t="str">
        <f>'DATA GPC'!N1135</f>
        <v>--</v>
      </c>
      <c r="J21" s="1364" t="str">
        <f>'DATA GPC'!O1135</f>
        <v>--</v>
      </c>
      <c r="K21" s="1364" t="str">
        <f>'DATA GPC'!P1135</f>
        <v>--</v>
      </c>
      <c r="L21" s="1364" t="str">
        <f>'DATA GPC'!U1135</f>
        <v>--</v>
      </c>
      <c r="M21" s="1364" t="str">
        <f>'DATA GPC'!V1135</f>
        <v>--</v>
      </c>
      <c r="N21" s="1364" t="str">
        <f>'DATA GPC'!W1135</f>
        <v>--</v>
      </c>
      <c r="O21" s="1364" t="str">
        <f>'DATA GPC'!X1135</f>
        <v>--</v>
      </c>
      <c r="P21" s="1364" t="str">
        <f>'DATA GPC'!Y1135</f>
        <v>--</v>
      </c>
      <c r="Q21" s="1364"/>
      <c r="R21" s="1369" t="str">
        <f>'DATA GPC'!H1166</f>
        <v>--</v>
      </c>
      <c r="S21" s="1369" t="str">
        <f>'DATA GPC'!I1166</f>
        <v>--</v>
      </c>
      <c r="T21" s="1364" t="str">
        <f>'DATA GPC'!L1166</f>
        <v>--</v>
      </c>
      <c r="U21" s="1364" t="str">
        <f>'DATA GPC'!M1166</f>
        <v>--</v>
      </c>
      <c r="V21" s="1364" t="str">
        <f>'DATA GPC'!N1166</f>
        <v>--</v>
      </c>
      <c r="W21" s="1364" t="str">
        <f>'DATA GPC'!O1166</f>
        <v>--</v>
      </c>
      <c r="X21" s="1364" t="str">
        <f>'DATA GPC'!P1166</f>
        <v>--</v>
      </c>
      <c r="Y21" s="1364" t="str">
        <f>'DATA GPC'!U1166</f>
        <v>--</v>
      </c>
      <c r="Z21" s="1364" t="str">
        <f>'DATA GPC'!V1166</f>
        <v>--</v>
      </c>
      <c r="AA21" s="1364" t="str">
        <f>'DATA GPC'!W1166</f>
        <v>--</v>
      </c>
      <c r="AB21" s="1364" t="str">
        <f>'DATA GPC'!X1166</f>
        <v>--</v>
      </c>
      <c r="AC21" s="1364" t="str">
        <f>'DATA GPC'!Y1166</f>
        <v>--</v>
      </c>
      <c r="AD21" s="1364"/>
      <c r="AE21" s="1364" t="str">
        <f>'DATA GPC'!H1197</f>
        <v>--</v>
      </c>
      <c r="AF21" s="1364" t="str">
        <f>'DATA GPC'!I1197</f>
        <v>--</v>
      </c>
      <c r="AG21" s="1364" t="str">
        <f>'DATA GPC'!L1197</f>
        <v>--</v>
      </c>
      <c r="AH21" s="1364" t="str">
        <f>'DATA GPC'!M1197</f>
        <v>--</v>
      </c>
      <c r="AI21" s="1364" t="str">
        <f>'DATA GPC'!N1197</f>
        <v>--</v>
      </c>
      <c r="AJ21" s="1364" t="str">
        <f>'DATA GPC'!O1197</f>
        <v>--</v>
      </c>
      <c r="AK21" s="1364" t="str">
        <f>'DATA GPC'!P1197</f>
        <v>--</v>
      </c>
      <c r="AL21" s="1364" t="str">
        <f>'DATA GPC'!U1197</f>
        <v>--</v>
      </c>
      <c r="AM21" s="1364" t="str">
        <f>'DATA GPC'!V1197</f>
        <v>--</v>
      </c>
      <c r="AN21" s="1364" t="str">
        <f>'DATA GPC'!W1197</f>
        <v>--</v>
      </c>
      <c r="AO21" s="503" t="str">
        <f>'DATA GPC'!X1197</f>
        <v>--</v>
      </c>
      <c r="AP21" s="503" t="str">
        <f>'DATA GPC'!Y1197</f>
        <v>--</v>
      </c>
      <c r="AQ21" s="1530"/>
      <c r="AR21" s="1557"/>
      <c r="AS21" s="1530"/>
      <c r="AT21" s="1530"/>
      <c r="AU21" s="1530"/>
      <c r="AV21" s="1530"/>
      <c r="AW21" s="1525"/>
      <c r="AX21" s="1525"/>
      <c r="AY21" s="1525"/>
      <c r="AZ21" s="1525"/>
      <c r="BA21" s="1525"/>
      <c r="BB21" s="1525"/>
      <c r="BC21" s="1525"/>
      <c r="BD21" s="1525"/>
      <c r="BE21" s="1525"/>
      <c r="BF21" s="1525"/>
      <c r="BG21" s="1525"/>
      <c r="BH21" s="1525"/>
      <c r="BI21" s="1525"/>
      <c r="BJ21" s="1525"/>
      <c r="BK21" s="1525"/>
    </row>
    <row r="22" spans="1:63" ht="12" customHeight="1">
      <c r="A22" s="1557" t="str">
        <f t="shared" si="0"/>
        <v>n</v>
      </c>
      <c r="B22" s="1557"/>
      <c r="C22" s="146" t="str">
        <f>'DATA GPC'!E$30</f>
        <v>--</v>
      </c>
      <c r="D22" s="651" t="str">
        <f>'Working Capital'!D$21</f>
        <v>--</v>
      </c>
      <c r="E22" s="503" t="str">
        <f>'DATA GPC'!H1136</f>
        <v>--</v>
      </c>
      <c r="F22" s="503" t="str">
        <f>'DATA GPC'!I1136</f>
        <v>--</v>
      </c>
      <c r="G22" s="503" t="str">
        <f>'DATA GPC'!L1136</f>
        <v>--</v>
      </c>
      <c r="H22" s="503" t="str">
        <f>'DATA GPC'!M1136</f>
        <v>--</v>
      </c>
      <c r="I22" s="503" t="str">
        <f>'DATA GPC'!N1136</f>
        <v>--</v>
      </c>
      <c r="J22" s="1364" t="str">
        <f>'DATA GPC'!O1136</f>
        <v>--</v>
      </c>
      <c r="K22" s="1364" t="str">
        <f>'DATA GPC'!P1136</f>
        <v>--</v>
      </c>
      <c r="L22" s="1364" t="str">
        <f>'DATA GPC'!U1136</f>
        <v>--</v>
      </c>
      <c r="M22" s="1364" t="str">
        <f>'DATA GPC'!V1136</f>
        <v>--</v>
      </c>
      <c r="N22" s="1364" t="str">
        <f>'DATA GPC'!W1136</f>
        <v>--</v>
      </c>
      <c r="O22" s="1364" t="str">
        <f>'DATA GPC'!X1136</f>
        <v>--</v>
      </c>
      <c r="P22" s="1364" t="str">
        <f>'DATA GPC'!Y1136</f>
        <v>--</v>
      </c>
      <c r="Q22" s="1364"/>
      <c r="R22" s="1369" t="str">
        <f>'DATA GPC'!H1167</f>
        <v>--</v>
      </c>
      <c r="S22" s="1369" t="str">
        <f>'DATA GPC'!I1167</f>
        <v>--</v>
      </c>
      <c r="T22" s="1364" t="str">
        <f>'DATA GPC'!L1167</f>
        <v>--</v>
      </c>
      <c r="U22" s="1364" t="str">
        <f>'DATA GPC'!M1167</f>
        <v>--</v>
      </c>
      <c r="V22" s="1364" t="str">
        <f>'DATA GPC'!N1167</f>
        <v>--</v>
      </c>
      <c r="W22" s="1364" t="str">
        <f>'DATA GPC'!O1167</f>
        <v>--</v>
      </c>
      <c r="X22" s="1364" t="str">
        <f>'DATA GPC'!P1167</f>
        <v>--</v>
      </c>
      <c r="Y22" s="1364" t="str">
        <f>'DATA GPC'!U1167</f>
        <v>--</v>
      </c>
      <c r="Z22" s="1364" t="str">
        <f>'DATA GPC'!V1167</f>
        <v>--</v>
      </c>
      <c r="AA22" s="1364" t="str">
        <f>'DATA GPC'!W1167</f>
        <v>--</v>
      </c>
      <c r="AB22" s="1364" t="str">
        <f>'DATA GPC'!X1167</f>
        <v>--</v>
      </c>
      <c r="AC22" s="1364" t="str">
        <f>'DATA GPC'!Y1167</f>
        <v>--</v>
      </c>
      <c r="AD22" s="1364"/>
      <c r="AE22" s="1364" t="str">
        <f>'DATA GPC'!H1198</f>
        <v>--</v>
      </c>
      <c r="AF22" s="1364" t="str">
        <f>'DATA GPC'!I1198</f>
        <v>--</v>
      </c>
      <c r="AG22" s="1364" t="str">
        <f>'DATA GPC'!L1198</f>
        <v>--</v>
      </c>
      <c r="AH22" s="1364" t="str">
        <f>'DATA GPC'!M1198</f>
        <v>--</v>
      </c>
      <c r="AI22" s="1364" t="str">
        <f>'DATA GPC'!N1198</f>
        <v>--</v>
      </c>
      <c r="AJ22" s="1364" t="str">
        <f>'DATA GPC'!O1198</f>
        <v>--</v>
      </c>
      <c r="AK22" s="1364" t="str">
        <f>'DATA GPC'!P1198</f>
        <v>--</v>
      </c>
      <c r="AL22" s="1364" t="str">
        <f>'DATA GPC'!U1198</f>
        <v>--</v>
      </c>
      <c r="AM22" s="1364" t="str">
        <f>'DATA GPC'!V1198</f>
        <v>--</v>
      </c>
      <c r="AN22" s="1364" t="str">
        <f>'DATA GPC'!W1198</f>
        <v>--</v>
      </c>
      <c r="AO22" s="503" t="str">
        <f>'DATA GPC'!X1198</f>
        <v>--</v>
      </c>
      <c r="AP22" s="503" t="str">
        <f>'DATA GPC'!Y1198</f>
        <v>--</v>
      </c>
      <c r="AQ22" s="1530"/>
      <c r="AR22" s="1557"/>
      <c r="AS22" s="1530"/>
      <c r="AT22" s="1530"/>
      <c r="AU22" s="1530"/>
      <c r="AV22" s="1530"/>
      <c r="AW22" s="1525"/>
      <c r="AX22" s="1525"/>
      <c r="AY22" s="1525"/>
      <c r="AZ22" s="1525"/>
      <c r="BA22" s="1525"/>
      <c r="BB22" s="1525"/>
      <c r="BC22" s="1525"/>
      <c r="BD22" s="1525"/>
      <c r="BE22" s="1525"/>
      <c r="BF22" s="1525"/>
      <c r="BG22" s="1525"/>
      <c r="BH22" s="1525"/>
      <c r="BI22" s="1525"/>
      <c r="BJ22" s="1525"/>
      <c r="BK22" s="1525"/>
    </row>
    <row r="23" spans="1:63" ht="12" customHeight="1">
      <c r="A23" s="1557" t="str">
        <f t="shared" si="0"/>
        <v>n</v>
      </c>
      <c r="B23" s="1557"/>
      <c r="C23" s="146" t="str">
        <f>'DATA GPC'!E$31</f>
        <v>--</v>
      </c>
      <c r="D23" s="651" t="str">
        <f>'Working Capital'!D$22</f>
        <v>--</v>
      </c>
      <c r="E23" s="503" t="str">
        <f>'DATA GPC'!H1137</f>
        <v>--</v>
      </c>
      <c r="F23" s="503" t="str">
        <f>'DATA GPC'!I1137</f>
        <v>--</v>
      </c>
      <c r="G23" s="503" t="str">
        <f>'DATA GPC'!L1137</f>
        <v>--</v>
      </c>
      <c r="H23" s="503" t="str">
        <f>'DATA GPC'!M1137</f>
        <v>--</v>
      </c>
      <c r="I23" s="503" t="str">
        <f>'DATA GPC'!N1137</f>
        <v>--</v>
      </c>
      <c r="J23" s="1364" t="str">
        <f>'DATA GPC'!O1137</f>
        <v>--</v>
      </c>
      <c r="K23" s="1364" t="str">
        <f>'DATA GPC'!P1137</f>
        <v>--</v>
      </c>
      <c r="L23" s="1364" t="str">
        <f>'DATA GPC'!U1137</f>
        <v>--</v>
      </c>
      <c r="M23" s="1364" t="str">
        <f>'DATA GPC'!V1137</f>
        <v>--</v>
      </c>
      <c r="N23" s="1364" t="str">
        <f>'DATA GPC'!W1137</f>
        <v>--</v>
      </c>
      <c r="O23" s="1364" t="str">
        <f>'DATA GPC'!X1137</f>
        <v>--</v>
      </c>
      <c r="P23" s="1364" t="str">
        <f>'DATA GPC'!Y1137</f>
        <v>--</v>
      </c>
      <c r="Q23" s="1364"/>
      <c r="R23" s="1369" t="str">
        <f>'DATA GPC'!H1168</f>
        <v>--</v>
      </c>
      <c r="S23" s="1369" t="str">
        <f>'DATA GPC'!I1168</f>
        <v>--</v>
      </c>
      <c r="T23" s="1364" t="str">
        <f>'DATA GPC'!L1168</f>
        <v>--</v>
      </c>
      <c r="U23" s="1364" t="str">
        <f>'DATA GPC'!M1168</f>
        <v>--</v>
      </c>
      <c r="V23" s="1364" t="str">
        <f>'DATA GPC'!N1168</f>
        <v>--</v>
      </c>
      <c r="W23" s="1364" t="str">
        <f>'DATA GPC'!O1168</f>
        <v>--</v>
      </c>
      <c r="X23" s="1364" t="str">
        <f>'DATA GPC'!P1168</f>
        <v>--</v>
      </c>
      <c r="Y23" s="1364" t="str">
        <f>'DATA GPC'!U1168</f>
        <v>--</v>
      </c>
      <c r="Z23" s="1364" t="str">
        <f>'DATA GPC'!V1168</f>
        <v>--</v>
      </c>
      <c r="AA23" s="1364" t="str">
        <f>'DATA GPC'!W1168</f>
        <v>--</v>
      </c>
      <c r="AB23" s="1364" t="str">
        <f>'DATA GPC'!X1168</f>
        <v>--</v>
      </c>
      <c r="AC23" s="1364" t="str">
        <f>'DATA GPC'!Y1168</f>
        <v>--</v>
      </c>
      <c r="AD23" s="1364"/>
      <c r="AE23" s="1364" t="str">
        <f>'DATA GPC'!H1199</f>
        <v>--</v>
      </c>
      <c r="AF23" s="1364" t="str">
        <f>'DATA GPC'!I1199</f>
        <v>--</v>
      </c>
      <c r="AG23" s="1364" t="str">
        <f>'DATA GPC'!L1199</f>
        <v>--</v>
      </c>
      <c r="AH23" s="1364" t="str">
        <f>'DATA GPC'!M1199</f>
        <v>--</v>
      </c>
      <c r="AI23" s="1364" t="str">
        <f>'DATA GPC'!N1199</f>
        <v>--</v>
      </c>
      <c r="AJ23" s="1364" t="str">
        <f>'DATA GPC'!O1199</f>
        <v>--</v>
      </c>
      <c r="AK23" s="1364" t="str">
        <f>'DATA GPC'!P1199</f>
        <v>--</v>
      </c>
      <c r="AL23" s="1364" t="str">
        <f>'DATA GPC'!U1199</f>
        <v>--</v>
      </c>
      <c r="AM23" s="1364" t="str">
        <f>'DATA GPC'!V1199</f>
        <v>--</v>
      </c>
      <c r="AN23" s="1364" t="str">
        <f>'DATA GPC'!W1199</f>
        <v>--</v>
      </c>
      <c r="AO23" s="503" t="str">
        <f>'DATA GPC'!X1199</f>
        <v>--</v>
      </c>
      <c r="AP23" s="503" t="str">
        <f>'DATA GPC'!Y1199</f>
        <v>--</v>
      </c>
      <c r="AQ23" s="1530"/>
      <c r="AR23" s="1557"/>
      <c r="AS23" s="1530"/>
      <c r="AT23" s="1530"/>
      <c r="AU23" s="1530"/>
      <c r="AV23" s="1530"/>
      <c r="AW23" s="1525"/>
      <c r="AX23" s="1525"/>
      <c r="AY23" s="1525"/>
      <c r="AZ23" s="1525"/>
      <c r="BA23" s="1525"/>
      <c r="BB23" s="1525"/>
      <c r="BC23" s="1525"/>
      <c r="BD23" s="1525"/>
      <c r="BE23" s="1525"/>
      <c r="BF23" s="1525"/>
      <c r="BG23" s="1525"/>
      <c r="BH23" s="1525"/>
      <c r="BI23" s="1525"/>
      <c r="BJ23" s="1525"/>
      <c r="BK23" s="1525"/>
    </row>
    <row r="24" spans="1:63" ht="12" customHeight="1">
      <c r="A24" s="1557" t="str">
        <f t="shared" si="0"/>
        <v>n</v>
      </c>
      <c r="B24" s="1557"/>
      <c r="C24" s="146" t="str">
        <f>'DATA GPC'!E$32</f>
        <v>--</v>
      </c>
      <c r="D24" s="651" t="str">
        <f>'Working Capital'!D$23</f>
        <v>--</v>
      </c>
      <c r="E24" s="503" t="str">
        <f>'DATA GPC'!H1138</f>
        <v>--</v>
      </c>
      <c r="F24" s="503" t="str">
        <f>'DATA GPC'!I1138</f>
        <v>--</v>
      </c>
      <c r="G24" s="503" t="str">
        <f>'DATA GPC'!L1138</f>
        <v>--</v>
      </c>
      <c r="H24" s="503" t="str">
        <f>'DATA GPC'!M1138</f>
        <v>--</v>
      </c>
      <c r="I24" s="503" t="str">
        <f>'DATA GPC'!N1138</f>
        <v>--</v>
      </c>
      <c r="J24" s="1364" t="str">
        <f>'DATA GPC'!O1138</f>
        <v>--</v>
      </c>
      <c r="K24" s="1364" t="str">
        <f>'DATA GPC'!P1138</f>
        <v>--</v>
      </c>
      <c r="L24" s="1364" t="str">
        <f>'DATA GPC'!U1138</f>
        <v>--</v>
      </c>
      <c r="M24" s="1364" t="str">
        <f>'DATA GPC'!V1138</f>
        <v>--</v>
      </c>
      <c r="N24" s="1364" t="str">
        <f>'DATA GPC'!W1138</f>
        <v>--</v>
      </c>
      <c r="O24" s="1364" t="str">
        <f>'DATA GPC'!X1138</f>
        <v>--</v>
      </c>
      <c r="P24" s="1364" t="str">
        <f>'DATA GPC'!Y1138</f>
        <v>--</v>
      </c>
      <c r="Q24" s="1364"/>
      <c r="R24" s="1369" t="str">
        <f>'DATA GPC'!H1169</f>
        <v>--</v>
      </c>
      <c r="S24" s="1369" t="str">
        <f>'DATA GPC'!I1169</f>
        <v>--</v>
      </c>
      <c r="T24" s="1364" t="str">
        <f>'DATA GPC'!L1169</f>
        <v>--</v>
      </c>
      <c r="U24" s="1364" t="str">
        <f>'DATA GPC'!M1169</f>
        <v>--</v>
      </c>
      <c r="V24" s="1364" t="str">
        <f>'DATA GPC'!N1169</f>
        <v>--</v>
      </c>
      <c r="W24" s="1364" t="str">
        <f>'DATA GPC'!O1169</f>
        <v>--</v>
      </c>
      <c r="X24" s="1364" t="str">
        <f>'DATA GPC'!P1169</f>
        <v>--</v>
      </c>
      <c r="Y24" s="1364" t="str">
        <f>'DATA GPC'!U1169</f>
        <v>--</v>
      </c>
      <c r="Z24" s="1364" t="str">
        <f>'DATA GPC'!V1169</f>
        <v>--</v>
      </c>
      <c r="AA24" s="1364" t="str">
        <f>'DATA GPC'!W1169</f>
        <v>--</v>
      </c>
      <c r="AB24" s="1364" t="str">
        <f>'DATA GPC'!X1169</f>
        <v>--</v>
      </c>
      <c r="AC24" s="1364" t="str">
        <f>'DATA GPC'!Y1169</f>
        <v>--</v>
      </c>
      <c r="AD24" s="1364"/>
      <c r="AE24" s="1364" t="str">
        <f>'DATA GPC'!H1200</f>
        <v>--</v>
      </c>
      <c r="AF24" s="1364" t="str">
        <f>'DATA GPC'!I1200</f>
        <v>--</v>
      </c>
      <c r="AG24" s="1364" t="str">
        <f>'DATA GPC'!L1200</f>
        <v>--</v>
      </c>
      <c r="AH24" s="1364" t="str">
        <f>'DATA GPC'!M1200</f>
        <v>--</v>
      </c>
      <c r="AI24" s="1364" t="str">
        <f>'DATA GPC'!N1200</f>
        <v>--</v>
      </c>
      <c r="AJ24" s="1364" t="str">
        <f>'DATA GPC'!O1200</f>
        <v>--</v>
      </c>
      <c r="AK24" s="1364" t="str">
        <f>'DATA GPC'!P1200</f>
        <v>--</v>
      </c>
      <c r="AL24" s="1364" t="str">
        <f>'DATA GPC'!U1200</f>
        <v>--</v>
      </c>
      <c r="AM24" s="1364" t="str">
        <f>'DATA GPC'!V1200</f>
        <v>--</v>
      </c>
      <c r="AN24" s="1364" t="str">
        <f>'DATA GPC'!W1200</f>
        <v>--</v>
      </c>
      <c r="AO24" s="503" t="str">
        <f>'DATA GPC'!X1200</f>
        <v>--</v>
      </c>
      <c r="AP24" s="503" t="str">
        <f>'DATA GPC'!Y1200</f>
        <v>--</v>
      </c>
      <c r="AQ24" s="1530"/>
      <c r="AR24" s="1557"/>
      <c r="AS24" s="1530"/>
      <c r="AT24" s="1530"/>
      <c r="AU24" s="1530"/>
      <c r="AV24" s="1530"/>
      <c r="AW24" s="1525"/>
      <c r="AX24" s="1525"/>
      <c r="AY24" s="1525"/>
      <c r="AZ24" s="1525"/>
      <c r="BA24" s="1525"/>
      <c r="BB24" s="1525"/>
      <c r="BC24" s="1525"/>
      <c r="BD24" s="1525"/>
      <c r="BE24" s="1525"/>
      <c r="BF24" s="1525"/>
      <c r="BG24" s="1525"/>
      <c r="BH24" s="1525"/>
      <c r="BI24" s="1525"/>
      <c r="BJ24" s="1525"/>
      <c r="BK24" s="1525"/>
    </row>
    <row r="25" spans="1:63" ht="12" customHeight="1">
      <c r="A25" s="1557" t="str">
        <f t="shared" si="0"/>
        <v>n</v>
      </c>
      <c r="B25" s="1557"/>
      <c r="C25" s="146" t="str">
        <f>'DATA GPC'!E$33</f>
        <v>--</v>
      </c>
      <c r="D25" s="651" t="str">
        <f>'Working Capital'!D$24</f>
        <v>--</v>
      </c>
      <c r="E25" s="503" t="str">
        <f>'DATA GPC'!H1139</f>
        <v>--</v>
      </c>
      <c r="F25" s="503" t="str">
        <f>'DATA GPC'!I1139</f>
        <v>--</v>
      </c>
      <c r="G25" s="503" t="str">
        <f>'DATA GPC'!L1139</f>
        <v>--</v>
      </c>
      <c r="H25" s="503" t="str">
        <f>'DATA GPC'!M1139</f>
        <v>--</v>
      </c>
      <c r="I25" s="503" t="str">
        <f>'DATA GPC'!N1139</f>
        <v>--</v>
      </c>
      <c r="J25" s="1364" t="str">
        <f>'DATA GPC'!O1139</f>
        <v>--</v>
      </c>
      <c r="K25" s="1364" t="str">
        <f>'DATA GPC'!P1139</f>
        <v>--</v>
      </c>
      <c r="L25" s="1364" t="str">
        <f>'DATA GPC'!U1139</f>
        <v>--</v>
      </c>
      <c r="M25" s="1364" t="str">
        <f>'DATA GPC'!V1139</f>
        <v>--</v>
      </c>
      <c r="N25" s="1364" t="str">
        <f>'DATA GPC'!W1139</f>
        <v>--</v>
      </c>
      <c r="O25" s="1364" t="str">
        <f>'DATA GPC'!X1139</f>
        <v>--</v>
      </c>
      <c r="P25" s="1364" t="str">
        <f>'DATA GPC'!Y1139</f>
        <v>--</v>
      </c>
      <c r="Q25" s="1364"/>
      <c r="R25" s="1369" t="str">
        <f>'DATA GPC'!H1170</f>
        <v>--</v>
      </c>
      <c r="S25" s="1369" t="str">
        <f>'DATA GPC'!I1170</f>
        <v>--</v>
      </c>
      <c r="T25" s="1364" t="str">
        <f>'DATA GPC'!L1170</f>
        <v>--</v>
      </c>
      <c r="U25" s="1364" t="str">
        <f>'DATA GPC'!M1170</f>
        <v>--</v>
      </c>
      <c r="V25" s="1364" t="str">
        <f>'DATA GPC'!N1170</f>
        <v>--</v>
      </c>
      <c r="W25" s="1364" t="str">
        <f>'DATA GPC'!O1170</f>
        <v>--</v>
      </c>
      <c r="X25" s="1364" t="str">
        <f>'DATA GPC'!P1170</f>
        <v>--</v>
      </c>
      <c r="Y25" s="1364" t="str">
        <f>'DATA GPC'!U1170</f>
        <v>--</v>
      </c>
      <c r="Z25" s="1364" t="str">
        <f>'DATA GPC'!V1170</f>
        <v>--</v>
      </c>
      <c r="AA25" s="1364" t="str">
        <f>'DATA GPC'!W1170</f>
        <v>--</v>
      </c>
      <c r="AB25" s="1364" t="str">
        <f>'DATA GPC'!X1170</f>
        <v>--</v>
      </c>
      <c r="AC25" s="1364" t="str">
        <f>'DATA GPC'!Y1170</f>
        <v>--</v>
      </c>
      <c r="AD25" s="1364"/>
      <c r="AE25" s="1364" t="str">
        <f>'DATA GPC'!H1201</f>
        <v>--</v>
      </c>
      <c r="AF25" s="1364" t="str">
        <f>'DATA GPC'!I1201</f>
        <v>--</v>
      </c>
      <c r="AG25" s="1364" t="str">
        <f>'DATA GPC'!L1201</f>
        <v>--</v>
      </c>
      <c r="AH25" s="1364" t="str">
        <f>'DATA GPC'!M1201</f>
        <v>--</v>
      </c>
      <c r="AI25" s="1364" t="str">
        <f>'DATA GPC'!N1201</f>
        <v>--</v>
      </c>
      <c r="AJ25" s="1364" t="str">
        <f>'DATA GPC'!O1201</f>
        <v>--</v>
      </c>
      <c r="AK25" s="1364" t="str">
        <f>'DATA GPC'!P1201</f>
        <v>--</v>
      </c>
      <c r="AL25" s="1364" t="str">
        <f>'DATA GPC'!U1201</f>
        <v>--</v>
      </c>
      <c r="AM25" s="1364" t="str">
        <f>'DATA GPC'!V1201</f>
        <v>--</v>
      </c>
      <c r="AN25" s="1364" t="str">
        <f>'DATA GPC'!W1201</f>
        <v>--</v>
      </c>
      <c r="AO25" s="503" t="str">
        <f>'DATA GPC'!X1201</f>
        <v>--</v>
      </c>
      <c r="AP25" s="503" t="str">
        <f>'DATA GPC'!Y1201</f>
        <v>--</v>
      </c>
      <c r="AQ25" s="1530"/>
      <c r="AR25" s="1557"/>
      <c r="AS25" s="1530"/>
      <c r="AT25" s="1530"/>
      <c r="AU25" s="1530"/>
      <c r="AV25" s="1530"/>
      <c r="AW25" s="1525"/>
      <c r="AX25" s="1525"/>
      <c r="AY25" s="1525"/>
      <c r="AZ25" s="1525"/>
      <c r="BA25" s="1525"/>
      <c r="BB25" s="1525"/>
      <c r="BC25" s="1525"/>
      <c r="BD25" s="1525"/>
      <c r="BE25" s="1525"/>
      <c r="BF25" s="1525"/>
      <c r="BG25" s="1525"/>
      <c r="BH25" s="1525"/>
      <c r="BI25" s="1525"/>
      <c r="BJ25" s="1525"/>
      <c r="BK25" s="1525"/>
    </row>
    <row r="26" spans="1:63" s="1530" customFormat="1" ht="12" customHeight="1">
      <c r="A26" s="1557" t="str">
        <f t="shared" ref="A26:A36" si="1">IF(C26="--","n","")</f>
        <v>n</v>
      </c>
      <c r="B26" s="1557"/>
      <c r="C26" s="146" t="str">
        <f>'DATA GPC'!E$34</f>
        <v>--</v>
      </c>
      <c r="D26" s="651" t="str">
        <f>'Working Capital'!D$24</f>
        <v>--</v>
      </c>
      <c r="E26" s="503" t="str">
        <f>'DATA GPC'!H1140</f>
        <v>--</v>
      </c>
      <c r="F26" s="503" t="str">
        <f>'DATA GPC'!I1140</f>
        <v>--</v>
      </c>
      <c r="G26" s="503" t="str">
        <f>'DATA GPC'!L1140</f>
        <v>--</v>
      </c>
      <c r="H26" s="503" t="str">
        <f>'DATA GPC'!M1140</f>
        <v>--</v>
      </c>
      <c r="I26" s="503" t="str">
        <f>'DATA GPC'!N1140</f>
        <v>--</v>
      </c>
      <c r="J26" s="1364" t="str">
        <f>'DATA GPC'!O1140</f>
        <v>--</v>
      </c>
      <c r="K26" s="1364" t="str">
        <f>'DATA GPC'!P1140</f>
        <v>--</v>
      </c>
      <c r="L26" s="1364" t="str">
        <f>'DATA GPC'!U1140</f>
        <v>--</v>
      </c>
      <c r="M26" s="1364" t="str">
        <f>'DATA GPC'!V1140</f>
        <v>--</v>
      </c>
      <c r="N26" s="1364" t="str">
        <f>'DATA GPC'!W1140</f>
        <v>--</v>
      </c>
      <c r="O26" s="1364" t="str">
        <f>'DATA GPC'!X1140</f>
        <v>--</v>
      </c>
      <c r="P26" s="1364" t="str">
        <f>'DATA GPC'!Y1140</f>
        <v>--</v>
      </c>
      <c r="Q26" s="1364"/>
      <c r="R26" s="1369" t="str">
        <f>'DATA GPC'!H1171</f>
        <v>--</v>
      </c>
      <c r="S26" s="1369" t="str">
        <f>'DATA GPC'!I1171</f>
        <v>--</v>
      </c>
      <c r="T26" s="1364" t="str">
        <f>'DATA GPC'!L1171</f>
        <v>--</v>
      </c>
      <c r="U26" s="1364" t="str">
        <f>'DATA GPC'!M1171</f>
        <v>--</v>
      </c>
      <c r="V26" s="1364" t="str">
        <f>'DATA GPC'!N1171</f>
        <v>--</v>
      </c>
      <c r="W26" s="1364" t="str">
        <f>'DATA GPC'!O1171</f>
        <v>--</v>
      </c>
      <c r="X26" s="1364" t="str">
        <f>'DATA GPC'!P1171</f>
        <v>--</v>
      </c>
      <c r="Y26" s="1364" t="str">
        <f>'DATA GPC'!U1171</f>
        <v>--</v>
      </c>
      <c r="Z26" s="1364" t="str">
        <f>'DATA GPC'!V1171</f>
        <v>--</v>
      </c>
      <c r="AA26" s="1364" t="str">
        <f>'DATA GPC'!W1171</f>
        <v>--</v>
      </c>
      <c r="AB26" s="1364" t="str">
        <f>'DATA GPC'!X1171</f>
        <v>--</v>
      </c>
      <c r="AC26" s="1364" t="str">
        <f>'DATA GPC'!Y1171</f>
        <v>--</v>
      </c>
      <c r="AD26" s="1364"/>
      <c r="AE26" s="1364" t="str">
        <f>'DATA GPC'!H1202</f>
        <v>--</v>
      </c>
      <c r="AF26" s="1364" t="str">
        <f>'DATA GPC'!I1202</f>
        <v>--</v>
      </c>
      <c r="AG26" s="1364" t="str">
        <f>'DATA GPC'!L1202</f>
        <v>--</v>
      </c>
      <c r="AH26" s="1364" t="str">
        <f>'DATA GPC'!M1202</f>
        <v>--</v>
      </c>
      <c r="AI26" s="1364" t="str">
        <f>'DATA GPC'!N1202</f>
        <v>--</v>
      </c>
      <c r="AJ26" s="1364" t="str">
        <f>'DATA GPC'!O1202</f>
        <v>--</v>
      </c>
      <c r="AK26" s="1364" t="str">
        <f>'DATA GPC'!P1202</f>
        <v>--</v>
      </c>
      <c r="AL26" s="1364" t="str">
        <f>'DATA GPC'!U1202</f>
        <v>--</v>
      </c>
      <c r="AM26" s="1364" t="str">
        <f>'DATA GPC'!V1202</f>
        <v>--</v>
      </c>
      <c r="AN26" s="1364" t="str">
        <f>'DATA GPC'!W1202</f>
        <v>--</v>
      </c>
      <c r="AO26" s="503" t="str">
        <f>'DATA GPC'!X1202</f>
        <v>--</v>
      </c>
      <c r="AP26" s="503" t="str">
        <f>'DATA GPC'!Y1202</f>
        <v>--</v>
      </c>
      <c r="AR26" s="1557"/>
      <c r="AW26" s="1525"/>
      <c r="AX26" s="1525"/>
      <c r="AY26" s="1525"/>
      <c r="AZ26" s="1525"/>
      <c r="BA26" s="1525"/>
      <c r="BB26" s="1525"/>
      <c r="BC26" s="1525"/>
      <c r="BD26" s="1525"/>
      <c r="BE26" s="1525"/>
      <c r="BF26" s="1525"/>
      <c r="BG26" s="1525"/>
      <c r="BH26" s="1525"/>
      <c r="BI26" s="1525"/>
      <c r="BJ26" s="1525"/>
      <c r="BK26" s="1525"/>
    </row>
    <row r="27" spans="1:63" s="1530" customFormat="1" ht="12" customHeight="1">
      <c r="A27" s="1557" t="str">
        <f t="shared" si="1"/>
        <v>n</v>
      </c>
      <c r="B27" s="1557"/>
      <c r="C27" s="146" t="str">
        <f>'DATA GPC'!E$35</f>
        <v>--</v>
      </c>
      <c r="D27" s="651" t="str">
        <f>'Working Capital'!D$24</f>
        <v>--</v>
      </c>
      <c r="E27" s="503" t="str">
        <f>'DATA GPC'!H1141</f>
        <v>--</v>
      </c>
      <c r="F27" s="503" t="str">
        <f>'DATA GPC'!I1141</f>
        <v>--</v>
      </c>
      <c r="G27" s="503" t="str">
        <f>'DATA GPC'!L1141</f>
        <v>--</v>
      </c>
      <c r="H27" s="503" t="str">
        <f>'DATA GPC'!M1141</f>
        <v>--</v>
      </c>
      <c r="I27" s="503" t="str">
        <f>'DATA GPC'!N1141</f>
        <v>--</v>
      </c>
      <c r="J27" s="1364" t="str">
        <f>'DATA GPC'!O1141</f>
        <v>--</v>
      </c>
      <c r="K27" s="1364" t="str">
        <f>'DATA GPC'!P1141</f>
        <v>--</v>
      </c>
      <c r="L27" s="1364" t="str">
        <f>'DATA GPC'!U1141</f>
        <v>--</v>
      </c>
      <c r="M27" s="1364" t="str">
        <f>'DATA GPC'!V1141</f>
        <v>--</v>
      </c>
      <c r="N27" s="1364" t="str">
        <f>'DATA GPC'!W1141</f>
        <v>--</v>
      </c>
      <c r="O27" s="1364" t="str">
        <f>'DATA GPC'!X1141</f>
        <v>--</v>
      </c>
      <c r="P27" s="1364" t="str">
        <f>'DATA GPC'!Y1141</f>
        <v>--</v>
      </c>
      <c r="Q27" s="1364"/>
      <c r="R27" s="1369" t="str">
        <f>'DATA GPC'!H1172</f>
        <v>--</v>
      </c>
      <c r="S27" s="1369" t="str">
        <f>'DATA GPC'!I1172</f>
        <v>--</v>
      </c>
      <c r="T27" s="1364" t="str">
        <f>'DATA GPC'!L1172</f>
        <v>--</v>
      </c>
      <c r="U27" s="1364" t="str">
        <f>'DATA GPC'!M1172</f>
        <v>--</v>
      </c>
      <c r="V27" s="1364" t="str">
        <f>'DATA GPC'!N1172</f>
        <v>--</v>
      </c>
      <c r="W27" s="1364" t="str">
        <f>'DATA GPC'!O1172</f>
        <v>--</v>
      </c>
      <c r="X27" s="1364" t="str">
        <f>'DATA GPC'!P1172</f>
        <v>--</v>
      </c>
      <c r="Y27" s="1364" t="str">
        <f>'DATA GPC'!U1172</f>
        <v>--</v>
      </c>
      <c r="Z27" s="1364" t="str">
        <f>'DATA GPC'!V1172</f>
        <v>--</v>
      </c>
      <c r="AA27" s="1364" t="str">
        <f>'DATA GPC'!W1172</f>
        <v>--</v>
      </c>
      <c r="AB27" s="1364" t="str">
        <f>'DATA GPC'!X1172</f>
        <v>--</v>
      </c>
      <c r="AC27" s="1364" t="str">
        <f>'DATA GPC'!Y1172</f>
        <v>--</v>
      </c>
      <c r="AD27" s="1364"/>
      <c r="AE27" s="1364" t="str">
        <f>'DATA GPC'!H1203</f>
        <v>--</v>
      </c>
      <c r="AF27" s="1364" t="str">
        <f>'DATA GPC'!I1203</f>
        <v>--</v>
      </c>
      <c r="AG27" s="1364" t="str">
        <f>'DATA GPC'!L1203</f>
        <v>--</v>
      </c>
      <c r="AH27" s="1364" t="str">
        <f>'DATA GPC'!M1203</f>
        <v>--</v>
      </c>
      <c r="AI27" s="1364" t="str">
        <f>'DATA GPC'!N1203</f>
        <v>--</v>
      </c>
      <c r="AJ27" s="1364" t="str">
        <f>'DATA GPC'!O1203</f>
        <v>--</v>
      </c>
      <c r="AK27" s="1364" t="str">
        <f>'DATA GPC'!P1203</f>
        <v>--</v>
      </c>
      <c r="AL27" s="1364" t="str">
        <f>'DATA GPC'!U1203</f>
        <v>--</v>
      </c>
      <c r="AM27" s="1364" t="str">
        <f>'DATA GPC'!V1203</f>
        <v>--</v>
      </c>
      <c r="AN27" s="1364" t="str">
        <f>'DATA GPC'!W1203</f>
        <v>--</v>
      </c>
      <c r="AO27" s="503" t="str">
        <f>'DATA GPC'!X1203</f>
        <v>--</v>
      </c>
      <c r="AP27" s="503" t="str">
        <f>'DATA GPC'!Y1203</f>
        <v>--</v>
      </c>
      <c r="AR27" s="1557"/>
      <c r="AW27" s="1525"/>
      <c r="AX27" s="1525"/>
      <c r="AY27" s="1525"/>
      <c r="AZ27" s="1525"/>
      <c r="BA27" s="1525"/>
      <c r="BB27" s="1525"/>
      <c r="BC27" s="1525"/>
      <c r="BD27" s="1525"/>
      <c r="BE27" s="1525"/>
      <c r="BF27" s="1525"/>
      <c r="BG27" s="1525"/>
      <c r="BH27" s="1525"/>
      <c r="BI27" s="1525"/>
      <c r="BJ27" s="1525"/>
      <c r="BK27" s="1525"/>
    </row>
    <row r="28" spans="1:63" s="1530" customFormat="1" ht="12" customHeight="1">
      <c r="A28" s="1557" t="str">
        <f t="shared" si="1"/>
        <v>n</v>
      </c>
      <c r="B28" s="1557"/>
      <c r="C28" s="146" t="str">
        <f>'DATA GPC'!E$36</f>
        <v>--</v>
      </c>
      <c r="D28" s="651" t="str">
        <f>'Working Capital'!D$24</f>
        <v>--</v>
      </c>
      <c r="E28" s="503" t="str">
        <f>'DATA GPC'!H1142</f>
        <v>--</v>
      </c>
      <c r="F28" s="503" t="str">
        <f>'DATA GPC'!I1142</f>
        <v>--</v>
      </c>
      <c r="G28" s="503" t="str">
        <f>'DATA GPC'!L1142</f>
        <v>--</v>
      </c>
      <c r="H28" s="503" t="str">
        <f>'DATA GPC'!M1142</f>
        <v>--</v>
      </c>
      <c r="I28" s="503" t="str">
        <f>'DATA GPC'!N1142</f>
        <v>--</v>
      </c>
      <c r="J28" s="1364" t="str">
        <f>'DATA GPC'!O1142</f>
        <v>--</v>
      </c>
      <c r="K28" s="1364" t="str">
        <f>'DATA GPC'!P1142</f>
        <v>--</v>
      </c>
      <c r="L28" s="1364" t="str">
        <f>'DATA GPC'!U1142</f>
        <v>--</v>
      </c>
      <c r="M28" s="1364" t="str">
        <f>'DATA GPC'!V1142</f>
        <v>--</v>
      </c>
      <c r="N28" s="1364" t="str">
        <f>'DATA GPC'!W1142</f>
        <v>--</v>
      </c>
      <c r="O28" s="1364" t="str">
        <f>'DATA GPC'!X1142</f>
        <v>--</v>
      </c>
      <c r="P28" s="1364" t="str">
        <f>'DATA GPC'!Y1142</f>
        <v>--</v>
      </c>
      <c r="Q28" s="1364"/>
      <c r="R28" s="1369" t="str">
        <f>'DATA GPC'!H1173</f>
        <v>--</v>
      </c>
      <c r="S28" s="1369" t="str">
        <f>'DATA GPC'!I1173</f>
        <v>--</v>
      </c>
      <c r="T28" s="1364" t="str">
        <f>'DATA GPC'!L1173</f>
        <v>--</v>
      </c>
      <c r="U28" s="1364" t="str">
        <f>'DATA GPC'!M1173</f>
        <v>--</v>
      </c>
      <c r="V28" s="1364" t="str">
        <f>'DATA GPC'!N1173</f>
        <v>--</v>
      </c>
      <c r="W28" s="1364" t="str">
        <f>'DATA GPC'!O1173</f>
        <v>--</v>
      </c>
      <c r="X28" s="1364" t="str">
        <f>'DATA GPC'!P1173</f>
        <v>--</v>
      </c>
      <c r="Y28" s="1364" t="str">
        <f>'DATA GPC'!U1173</f>
        <v>--</v>
      </c>
      <c r="Z28" s="1364" t="str">
        <f>'DATA GPC'!V1173</f>
        <v>--</v>
      </c>
      <c r="AA28" s="1364" t="str">
        <f>'DATA GPC'!W1173</f>
        <v>--</v>
      </c>
      <c r="AB28" s="1364" t="str">
        <f>'DATA GPC'!X1173</f>
        <v>--</v>
      </c>
      <c r="AC28" s="1364" t="str">
        <f>'DATA GPC'!Y1173</f>
        <v>--</v>
      </c>
      <c r="AD28" s="1364"/>
      <c r="AE28" s="1364" t="str">
        <f>'DATA GPC'!H1204</f>
        <v>--</v>
      </c>
      <c r="AF28" s="1364" t="str">
        <f>'DATA GPC'!I1204</f>
        <v>--</v>
      </c>
      <c r="AG28" s="1364" t="str">
        <f>'DATA GPC'!L1204</f>
        <v>--</v>
      </c>
      <c r="AH28" s="1364" t="str">
        <f>'DATA GPC'!M1204</f>
        <v>--</v>
      </c>
      <c r="AI28" s="1364" t="str">
        <f>'DATA GPC'!N1204</f>
        <v>--</v>
      </c>
      <c r="AJ28" s="1364" t="str">
        <f>'DATA GPC'!O1204</f>
        <v>--</v>
      </c>
      <c r="AK28" s="1364" t="str">
        <f>'DATA GPC'!P1204</f>
        <v>--</v>
      </c>
      <c r="AL28" s="1364" t="str">
        <f>'DATA GPC'!U1204</f>
        <v>--</v>
      </c>
      <c r="AM28" s="1364" t="str">
        <f>'DATA GPC'!V1204</f>
        <v>--</v>
      </c>
      <c r="AN28" s="1364" t="str">
        <f>'DATA GPC'!W1204</f>
        <v>--</v>
      </c>
      <c r="AO28" s="503" t="str">
        <f>'DATA GPC'!X1204</f>
        <v>--</v>
      </c>
      <c r="AP28" s="503" t="str">
        <f>'DATA GPC'!Y1204</f>
        <v>--</v>
      </c>
      <c r="AR28" s="1557"/>
      <c r="AW28" s="1525"/>
      <c r="AX28" s="1525"/>
      <c r="AY28" s="1525"/>
      <c r="AZ28" s="1525"/>
      <c r="BA28" s="1525"/>
      <c r="BB28" s="1525"/>
      <c r="BC28" s="1525"/>
      <c r="BD28" s="1525"/>
      <c r="BE28" s="1525"/>
      <c r="BF28" s="1525"/>
      <c r="BG28" s="1525"/>
      <c r="BH28" s="1525"/>
      <c r="BI28" s="1525"/>
      <c r="BJ28" s="1525"/>
      <c r="BK28" s="1525"/>
    </row>
    <row r="29" spans="1:63" s="1530" customFormat="1" ht="12" customHeight="1">
      <c r="A29" s="1557" t="str">
        <f t="shared" si="1"/>
        <v>n</v>
      </c>
      <c r="B29" s="1557"/>
      <c r="C29" s="146" t="str">
        <f>'DATA GPC'!E$37</f>
        <v>--</v>
      </c>
      <c r="D29" s="651" t="str">
        <f>'Working Capital'!D$24</f>
        <v>--</v>
      </c>
      <c r="E29" s="503" t="str">
        <f>'DATA GPC'!H1143</f>
        <v>--</v>
      </c>
      <c r="F29" s="503" t="str">
        <f>'DATA GPC'!I1143</f>
        <v>--</v>
      </c>
      <c r="G29" s="503" t="str">
        <f>'DATA GPC'!L1143</f>
        <v>--</v>
      </c>
      <c r="H29" s="503" t="str">
        <f>'DATA GPC'!M1143</f>
        <v>--</v>
      </c>
      <c r="I29" s="503" t="str">
        <f>'DATA GPC'!N1143</f>
        <v>--</v>
      </c>
      <c r="J29" s="1364" t="str">
        <f>'DATA GPC'!O1143</f>
        <v>--</v>
      </c>
      <c r="K29" s="1364" t="str">
        <f>'DATA GPC'!P1143</f>
        <v>--</v>
      </c>
      <c r="L29" s="1364" t="str">
        <f>'DATA GPC'!U1143</f>
        <v>--</v>
      </c>
      <c r="M29" s="1364" t="str">
        <f>'DATA GPC'!V1143</f>
        <v>--</v>
      </c>
      <c r="N29" s="1364" t="str">
        <f>'DATA GPC'!W1143</f>
        <v>--</v>
      </c>
      <c r="O29" s="1364" t="str">
        <f>'DATA GPC'!X1143</f>
        <v>--</v>
      </c>
      <c r="P29" s="1364" t="str">
        <f>'DATA GPC'!Y1143</f>
        <v>--</v>
      </c>
      <c r="Q29" s="1364"/>
      <c r="R29" s="1369" t="str">
        <f>'DATA GPC'!H1174</f>
        <v>--</v>
      </c>
      <c r="S29" s="1369" t="str">
        <f>'DATA GPC'!I1174</f>
        <v>--</v>
      </c>
      <c r="T29" s="1364" t="str">
        <f>'DATA GPC'!L1174</f>
        <v>--</v>
      </c>
      <c r="U29" s="1364" t="str">
        <f>'DATA GPC'!M1174</f>
        <v>--</v>
      </c>
      <c r="V29" s="1364" t="str">
        <f>'DATA GPC'!N1174</f>
        <v>--</v>
      </c>
      <c r="W29" s="1364" t="str">
        <f>'DATA GPC'!O1174</f>
        <v>--</v>
      </c>
      <c r="X29" s="1364" t="str">
        <f>'DATA GPC'!P1174</f>
        <v>--</v>
      </c>
      <c r="Y29" s="1364" t="str">
        <f>'DATA GPC'!U1174</f>
        <v>--</v>
      </c>
      <c r="Z29" s="1364" t="str">
        <f>'DATA GPC'!V1174</f>
        <v>--</v>
      </c>
      <c r="AA29" s="1364" t="str">
        <f>'DATA GPC'!W1174</f>
        <v>--</v>
      </c>
      <c r="AB29" s="1364" t="str">
        <f>'DATA GPC'!X1174</f>
        <v>--</v>
      </c>
      <c r="AC29" s="1364" t="str">
        <f>'DATA GPC'!Y1174</f>
        <v>--</v>
      </c>
      <c r="AD29" s="1364"/>
      <c r="AE29" s="1364" t="str">
        <f>'DATA GPC'!H1205</f>
        <v>--</v>
      </c>
      <c r="AF29" s="1364" t="str">
        <f>'DATA GPC'!I1205</f>
        <v>--</v>
      </c>
      <c r="AG29" s="1364" t="str">
        <f>'DATA GPC'!L1205</f>
        <v>--</v>
      </c>
      <c r="AH29" s="1364" t="str">
        <f>'DATA GPC'!M1205</f>
        <v>--</v>
      </c>
      <c r="AI29" s="1364" t="str">
        <f>'DATA GPC'!N1205</f>
        <v>--</v>
      </c>
      <c r="AJ29" s="1364" t="str">
        <f>'DATA GPC'!O1205</f>
        <v>--</v>
      </c>
      <c r="AK29" s="1364" t="str">
        <f>'DATA GPC'!P1205</f>
        <v>--</v>
      </c>
      <c r="AL29" s="1364" t="str">
        <f>'DATA GPC'!U1205</f>
        <v>--</v>
      </c>
      <c r="AM29" s="1364" t="str">
        <f>'DATA GPC'!V1205</f>
        <v>--</v>
      </c>
      <c r="AN29" s="1364" t="str">
        <f>'DATA GPC'!W1205</f>
        <v>--</v>
      </c>
      <c r="AO29" s="503" t="str">
        <f>'DATA GPC'!X1205</f>
        <v>--</v>
      </c>
      <c r="AP29" s="503" t="str">
        <f>'DATA GPC'!Y1205</f>
        <v>--</v>
      </c>
      <c r="AR29" s="1557"/>
      <c r="AW29" s="1525"/>
      <c r="AX29" s="1525"/>
      <c r="AY29" s="1525"/>
      <c r="AZ29" s="1525"/>
      <c r="BA29" s="1525"/>
      <c r="BB29" s="1525"/>
      <c r="BC29" s="1525"/>
      <c r="BD29" s="1525"/>
      <c r="BE29" s="1525"/>
      <c r="BF29" s="1525"/>
      <c r="BG29" s="1525"/>
      <c r="BH29" s="1525"/>
      <c r="BI29" s="1525"/>
      <c r="BJ29" s="1525"/>
      <c r="BK29" s="1525"/>
    </row>
    <row r="30" spans="1:63" s="1530" customFormat="1" ht="12" customHeight="1">
      <c r="A30" s="1557" t="str">
        <f t="shared" si="1"/>
        <v>n</v>
      </c>
      <c r="B30" s="1557"/>
      <c r="C30" s="146" t="str">
        <f>'DATA GPC'!E$38</f>
        <v>--</v>
      </c>
      <c r="D30" s="651" t="str">
        <f>'Working Capital'!D$24</f>
        <v>--</v>
      </c>
      <c r="E30" s="503" t="str">
        <f>'DATA GPC'!H1144</f>
        <v>--</v>
      </c>
      <c r="F30" s="503" t="str">
        <f>'DATA GPC'!I1144</f>
        <v>--</v>
      </c>
      <c r="G30" s="503" t="str">
        <f>'DATA GPC'!L1144</f>
        <v>--</v>
      </c>
      <c r="H30" s="503" t="str">
        <f>'DATA GPC'!M1144</f>
        <v>--</v>
      </c>
      <c r="I30" s="503" t="str">
        <f>'DATA GPC'!N1144</f>
        <v>--</v>
      </c>
      <c r="J30" s="1364" t="str">
        <f>'DATA GPC'!O1144</f>
        <v>--</v>
      </c>
      <c r="K30" s="1364" t="str">
        <f>'DATA GPC'!P1144</f>
        <v>--</v>
      </c>
      <c r="L30" s="1364" t="str">
        <f>'DATA GPC'!U1144</f>
        <v>--</v>
      </c>
      <c r="M30" s="1364" t="str">
        <f>'DATA GPC'!V1144</f>
        <v>--</v>
      </c>
      <c r="N30" s="1364" t="str">
        <f>'DATA GPC'!W1144</f>
        <v>--</v>
      </c>
      <c r="O30" s="1364" t="str">
        <f>'DATA GPC'!X1144</f>
        <v>--</v>
      </c>
      <c r="P30" s="1364" t="str">
        <f>'DATA GPC'!Y1144</f>
        <v>--</v>
      </c>
      <c r="Q30" s="1364"/>
      <c r="R30" s="1369" t="str">
        <f>'DATA GPC'!H1175</f>
        <v>--</v>
      </c>
      <c r="S30" s="1369" t="str">
        <f>'DATA GPC'!I1175</f>
        <v>--</v>
      </c>
      <c r="T30" s="1364" t="str">
        <f>'DATA GPC'!L1175</f>
        <v>--</v>
      </c>
      <c r="U30" s="1364" t="str">
        <f>'DATA GPC'!M1175</f>
        <v>--</v>
      </c>
      <c r="V30" s="1364" t="str">
        <f>'DATA GPC'!N1175</f>
        <v>--</v>
      </c>
      <c r="W30" s="1364" t="str">
        <f>'DATA GPC'!O1175</f>
        <v>--</v>
      </c>
      <c r="X30" s="1364" t="str">
        <f>'DATA GPC'!P1175</f>
        <v>--</v>
      </c>
      <c r="Y30" s="1364" t="str">
        <f>'DATA GPC'!U1175</f>
        <v>--</v>
      </c>
      <c r="Z30" s="1364" t="str">
        <f>'DATA GPC'!V1175</f>
        <v>--</v>
      </c>
      <c r="AA30" s="1364" t="str">
        <f>'DATA GPC'!W1175</f>
        <v>--</v>
      </c>
      <c r="AB30" s="1364" t="str">
        <f>'DATA GPC'!X1175</f>
        <v>--</v>
      </c>
      <c r="AC30" s="1364" t="str">
        <f>'DATA GPC'!Y1175</f>
        <v>--</v>
      </c>
      <c r="AD30" s="1364"/>
      <c r="AE30" s="1364" t="str">
        <f>'DATA GPC'!H1206</f>
        <v>--</v>
      </c>
      <c r="AF30" s="1364" t="str">
        <f>'DATA GPC'!I1206</f>
        <v>--</v>
      </c>
      <c r="AG30" s="1364" t="str">
        <f>'DATA GPC'!L1206</f>
        <v>--</v>
      </c>
      <c r="AH30" s="1364" t="str">
        <f>'DATA GPC'!M1206</f>
        <v>--</v>
      </c>
      <c r="AI30" s="1364" t="str">
        <f>'DATA GPC'!N1206</f>
        <v>--</v>
      </c>
      <c r="AJ30" s="1364" t="str">
        <f>'DATA GPC'!O1206</f>
        <v>--</v>
      </c>
      <c r="AK30" s="1364" t="str">
        <f>'DATA GPC'!P1206</f>
        <v>--</v>
      </c>
      <c r="AL30" s="1364" t="str">
        <f>'DATA GPC'!U1206</f>
        <v>--</v>
      </c>
      <c r="AM30" s="1364" t="str">
        <f>'DATA GPC'!V1206</f>
        <v>--</v>
      </c>
      <c r="AN30" s="1364" t="str">
        <f>'DATA GPC'!W1206</f>
        <v>--</v>
      </c>
      <c r="AO30" s="503" t="str">
        <f>'DATA GPC'!X1206</f>
        <v>--</v>
      </c>
      <c r="AP30" s="503" t="str">
        <f>'DATA GPC'!Y1206</f>
        <v>--</v>
      </c>
      <c r="AR30" s="1557"/>
      <c r="AW30" s="1525"/>
      <c r="AX30" s="1525"/>
      <c r="AY30" s="1525"/>
      <c r="AZ30" s="1525"/>
      <c r="BA30" s="1525"/>
      <c r="BB30" s="1525"/>
      <c r="BC30" s="1525"/>
      <c r="BD30" s="1525"/>
      <c r="BE30" s="1525"/>
      <c r="BF30" s="1525"/>
      <c r="BG30" s="1525"/>
      <c r="BH30" s="1525"/>
      <c r="BI30" s="1525"/>
      <c r="BJ30" s="1525"/>
      <c r="BK30" s="1525"/>
    </row>
    <row r="31" spans="1:63" s="1530" customFormat="1" ht="12" customHeight="1">
      <c r="A31" s="1557" t="str">
        <f t="shared" si="1"/>
        <v>n</v>
      </c>
      <c r="B31" s="1557"/>
      <c r="C31" s="146" t="str">
        <f>'DATA GPC'!E$39</f>
        <v>--</v>
      </c>
      <c r="D31" s="651" t="str">
        <f>'Working Capital'!D$24</f>
        <v>--</v>
      </c>
      <c r="E31" s="503" t="str">
        <f>'DATA GPC'!H1145</f>
        <v>--</v>
      </c>
      <c r="F31" s="503" t="str">
        <f>'DATA GPC'!I1145</f>
        <v>--</v>
      </c>
      <c r="G31" s="503" t="str">
        <f>'DATA GPC'!L1145</f>
        <v>--</v>
      </c>
      <c r="H31" s="503" t="str">
        <f>'DATA GPC'!M1145</f>
        <v>--</v>
      </c>
      <c r="I31" s="503" t="str">
        <f>'DATA GPC'!N1145</f>
        <v>--</v>
      </c>
      <c r="J31" s="1364" t="str">
        <f>'DATA GPC'!O1145</f>
        <v>--</v>
      </c>
      <c r="K31" s="1364" t="str">
        <f>'DATA GPC'!P1145</f>
        <v>--</v>
      </c>
      <c r="L31" s="1364" t="str">
        <f>'DATA GPC'!U1145</f>
        <v>--</v>
      </c>
      <c r="M31" s="1364" t="str">
        <f>'DATA GPC'!V1145</f>
        <v>--</v>
      </c>
      <c r="N31" s="1364" t="str">
        <f>'DATA GPC'!W1145</f>
        <v>--</v>
      </c>
      <c r="O31" s="1364" t="str">
        <f>'DATA GPC'!X1145</f>
        <v>--</v>
      </c>
      <c r="P31" s="1364" t="str">
        <f>'DATA GPC'!Y1145</f>
        <v>--</v>
      </c>
      <c r="Q31" s="1364"/>
      <c r="R31" s="1369" t="str">
        <f>'DATA GPC'!H1176</f>
        <v>--</v>
      </c>
      <c r="S31" s="1369" t="str">
        <f>'DATA GPC'!I1176</f>
        <v>--</v>
      </c>
      <c r="T31" s="1364" t="str">
        <f>'DATA GPC'!L1176</f>
        <v>--</v>
      </c>
      <c r="U31" s="1364" t="str">
        <f>'DATA GPC'!M1176</f>
        <v>--</v>
      </c>
      <c r="V31" s="1364" t="str">
        <f>'DATA GPC'!N1176</f>
        <v>--</v>
      </c>
      <c r="W31" s="1364" t="str">
        <f>'DATA GPC'!O1176</f>
        <v>--</v>
      </c>
      <c r="X31" s="1364" t="str">
        <f>'DATA GPC'!P1176</f>
        <v>--</v>
      </c>
      <c r="Y31" s="1364" t="str">
        <f>'DATA GPC'!U1176</f>
        <v>--</v>
      </c>
      <c r="Z31" s="1364" t="str">
        <f>'DATA GPC'!V1176</f>
        <v>--</v>
      </c>
      <c r="AA31" s="1364" t="str">
        <f>'DATA GPC'!W1176</f>
        <v>--</v>
      </c>
      <c r="AB31" s="1364" t="str">
        <f>'DATA GPC'!X1176</f>
        <v>--</v>
      </c>
      <c r="AC31" s="1364" t="str">
        <f>'DATA GPC'!Y1176</f>
        <v>--</v>
      </c>
      <c r="AD31" s="1364"/>
      <c r="AE31" s="1364" t="str">
        <f>'DATA GPC'!H1207</f>
        <v>--</v>
      </c>
      <c r="AF31" s="1364" t="str">
        <f>'DATA GPC'!I1207</f>
        <v>--</v>
      </c>
      <c r="AG31" s="1364" t="str">
        <f>'DATA GPC'!L1207</f>
        <v>--</v>
      </c>
      <c r="AH31" s="1364" t="str">
        <f>'DATA GPC'!M1207</f>
        <v>--</v>
      </c>
      <c r="AI31" s="1364" t="str">
        <f>'DATA GPC'!N1207</f>
        <v>--</v>
      </c>
      <c r="AJ31" s="1364" t="str">
        <f>'DATA GPC'!O1207</f>
        <v>--</v>
      </c>
      <c r="AK31" s="1364" t="str">
        <f>'DATA GPC'!P1207</f>
        <v>--</v>
      </c>
      <c r="AL31" s="1364" t="str">
        <f>'DATA GPC'!U1207</f>
        <v>--</v>
      </c>
      <c r="AM31" s="1364" t="str">
        <f>'DATA GPC'!V1207</f>
        <v>--</v>
      </c>
      <c r="AN31" s="1364" t="str">
        <f>'DATA GPC'!W1207</f>
        <v>--</v>
      </c>
      <c r="AO31" s="503" t="str">
        <f>'DATA GPC'!X1207</f>
        <v>--</v>
      </c>
      <c r="AP31" s="503" t="str">
        <f>'DATA GPC'!Y1207</f>
        <v>--</v>
      </c>
      <c r="AR31" s="1557"/>
      <c r="AW31" s="1525"/>
      <c r="AX31" s="1525"/>
      <c r="AY31" s="1525"/>
      <c r="AZ31" s="1525"/>
      <c r="BA31" s="1525"/>
      <c r="BB31" s="1525"/>
      <c r="BC31" s="1525"/>
      <c r="BD31" s="1525"/>
      <c r="BE31" s="1525"/>
      <c r="BF31" s="1525"/>
      <c r="BG31" s="1525"/>
      <c r="BH31" s="1525"/>
      <c r="BI31" s="1525"/>
      <c r="BJ31" s="1525"/>
      <c r="BK31" s="1525"/>
    </row>
    <row r="32" spans="1:63" s="1530" customFormat="1" ht="12" customHeight="1">
      <c r="A32" s="1557" t="str">
        <f t="shared" si="1"/>
        <v>n</v>
      </c>
      <c r="B32" s="1557"/>
      <c r="C32" s="146" t="str">
        <f>'DATA GPC'!E$40</f>
        <v>--</v>
      </c>
      <c r="D32" s="651" t="str">
        <f>'Working Capital'!D$24</f>
        <v>--</v>
      </c>
      <c r="E32" s="503" t="str">
        <f>'DATA GPC'!H1146</f>
        <v>--</v>
      </c>
      <c r="F32" s="503" t="str">
        <f>'DATA GPC'!I1146</f>
        <v>--</v>
      </c>
      <c r="G32" s="503" t="str">
        <f>'DATA GPC'!L1146</f>
        <v>--</v>
      </c>
      <c r="H32" s="503" t="str">
        <f>'DATA GPC'!M1146</f>
        <v>--</v>
      </c>
      <c r="I32" s="503" t="str">
        <f>'DATA GPC'!N1146</f>
        <v>--</v>
      </c>
      <c r="J32" s="1364" t="str">
        <f>'DATA GPC'!O1146</f>
        <v>--</v>
      </c>
      <c r="K32" s="1364" t="str">
        <f>'DATA GPC'!P1146</f>
        <v>--</v>
      </c>
      <c r="L32" s="1364" t="str">
        <f>'DATA GPC'!U1146</f>
        <v>--</v>
      </c>
      <c r="M32" s="1364" t="str">
        <f>'DATA GPC'!V1146</f>
        <v>--</v>
      </c>
      <c r="N32" s="1364" t="str">
        <f>'DATA GPC'!W1146</f>
        <v>--</v>
      </c>
      <c r="O32" s="1364" t="str">
        <f>'DATA GPC'!X1146</f>
        <v>--</v>
      </c>
      <c r="P32" s="1364" t="str">
        <f>'DATA GPC'!Y1146</f>
        <v>--</v>
      </c>
      <c r="Q32" s="1364"/>
      <c r="R32" s="1369" t="str">
        <f>'DATA GPC'!H1177</f>
        <v>--</v>
      </c>
      <c r="S32" s="1369" t="str">
        <f>'DATA GPC'!I1177</f>
        <v>--</v>
      </c>
      <c r="T32" s="1364" t="str">
        <f>'DATA GPC'!L1177</f>
        <v>--</v>
      </c>
      <c r="U32" s="1364" t="str">
        <f>'DATA GPC'!M1177</f>
        <v>--</v>
      </c>
      <c r="V32" s="1364" t="str">
        <f>'DATA GPC'!N1177</f>
        <v>--</v>
      </c>
      <c r="W32" s="1364" t="str">
        <f>'DATA GPC'!O1177</f>
        <v>--</v>
      </c>
      <c r="X32" s="1364" t="str">
        <f>'DATA GPC'!P1177</f>
        <v>--</v>
      </c>
      <c r="Y32" s="1364" t="str">
        <f>'DATA GPC'!U1177</f>
        <v>--</v>
      </c>
      <c r="Z32" s="1364" t="str">
        <f>'DATA GPC'!V1177</f>
        <v>--</v>
      </c>
      <c r="AA32" s="1364" t="str">
        <f>'DATA GPC'!W1177</f>
        <v>--</v>
      </c>
      <c r="AB32" s="1364" t="str">
        <f>'DATA GPC'!X1177</f>
        <v>--</v>
      </c>
      <c r="AC32" s="1364" t="str">
        <f>'DATA GPC'!Y1177</f>
        <v>--</v>
      </c>
      <c r="AD32" s="1364"/>
      <c r="AE32" s="1364" t="str">
        <f>'DATA GPC'!H1208</f>
        <v>--</v>
      </c>
      <c r="AF32" s="1364" t="str">
        <f>'DATA GPC'!I1208</f>
        <v>--</v>
      </c>
      <c r="AG32" s="1364" t="str">
        <f>'DATA GPC'!L1208</f>
        <v>--</v>
      </c>
      <c r="AH32" s="1364" t="str">
        <f>'DATA GPC'!M1208</f>
        <v>--</v>
      </c>
      <c r="AI32" s="1364" t="str">
        <f>'DATA GPC'!N1208</f>
        <v>--</v>
      </c>
      <c r="AJ32" s="1364" t="str">
        <f>'DATA GPC'!O1208</f>
        <v>--</v>
      </c>
      <c r="AK32" s="1364" t="str">
        <f>'DATA GPC'!P1208</f>
        <v>--</v>
      </c>
      <c r="AL32" s="1364" t="str">
        <f>'DATA GPC'!U1208</f>
        <v>--</v>
      </c>
      <c r="AM32" s="1364" t="str">
        <f>'DATA GPC'!V1208</f>
        <v>--</v>
      </c>
      <c r="AN32" s="1364" t="str">
        <f>'DATA GPC'!W1208</f>
        <v>--</v>
      </c>
      <c r="AO32" s="503" t="str">
        <f>'DATA GPC'!X1208</f>
        <v>--</v>
      </c>
      <c r="AP32" s="503" t="str">
        <f>'DATA GPC'!Y1208</f>
        <v>--</v>
      </c>
      <c r="AR32" s="1557"/>
      <c r="AW32" s="1525"/>
      <c r="AX32" s="1525"/>
      <c r="AY32" s="1525"/>
      <c r="AZ32" s="1525"/>
      <c r="BA32" s="1525"/>
      <c r="BB32" s="1525"/>
      <c r="BC32" s="1525"/>
      <c r="BD32" s="1525"/>
      <c r="BE32" s="1525"/>
      <c r="BF32" s="1525"/>
      <c r="BG32" s="1525"/>
      <c r="BH32" s="1525"/>
      <c r="BI32" s="1525"/>
      <c r="BJ32" s="1525"/>
      <c r="BK32" s="1525"/>
    </row>
    <row r="33" spans="1:63" s="1530" customFormat="1" ht="12" customHeight="1">
      <c r="A33" s="1557" t="str">
        <f t="shared" si="1"/>
        <v>n</v>
      </c>
      <c r="B33" s="1557"/>
      <c r="C33" s="146" t="str">
        <f>'DATA GPC'!E$41</f>
        <v>--</v>
      </c>
      <c r="D33" s="651" t="str">
        <f>'Working Capital'!D$24</f>
        <v>--</v>
      </c>
      <c r="E33" s="503" t="str">
        <f>'DATA GPC'!H1147</f>
        <v>--</v>
      </c>
      <c r="F33" s="503" t="str">
        <f>'DATA GPC'!I1147</f>
        <v>--</v>
      </c>
      <c r="G33" s="503" t="str">
        <f>'DATA GPC'!L1147</f>
        <v>--</v>
      </c>
      <c r="H33" s="503" t="str">
        <f>'DATA GPC'!M1147</f>
        <v>--</v>
      </c>
      <c r="I33" s="503" t="str">
        <f>'DATA GPC'!N1147</f>
        <v>--</v>
      </c>
      <c r="J33" s="1364" t="str">
        <f>'DATA GPC'!O1147</f>
        <v>--</v>
      </c>
      <c r="K33" s="1364" t="str">
        <f>'DATA GPC'!P1147</f>
        <v>--</v>
      </c>
      <c r="L33" s="1364" t="str">
        <f>'DATA GPC'!U1147</f>
        <v>--</v>
      </c>
      <c r="M33" s="1364" t="str">
        <f>'DATA GPC'!V1147</f>
        <v>--</v>
      </c>
      <c r="N33" s="1364" t="str">
        <f>'DATA GPC'!W1147</f>
        <v>--</v>
      </c>
      <c r="O33" s="1364" t="str">
        <f>'DATA GPC'!X1147</f>
        <v>--</v>
      </c>
      <c r="P33" s="1364" t="str">
        <f>'DATA GPC'!Y1147</f>
        <v>--</v>
      </c>
      <c r="Q33" s="1364"/>
      <c r="R33" s="1369" t="str">
        <f>'DATA GPC'!H1178</f>
        <v>--</v>
      </c>
      <c r="S33" s="1369" t="str">
        <f>'DATA GPC'!I1178</f>
        <v>--</v>
      </c>
      <c r="T33" s="1364" t="str">
        <f>'DATA GPC'!L1178</f>
        <v>--</v>
      </c>
      <c r="U33" s="1364" t="str">
        <f>'DATA GPC'!M1178</f>
        <v>--</v>
      </c>
      <c r="V33" s="1364" t="str">
        <f>'DATA GPC'!N1178</f>
        <v>--</v>
      </c>
      <c r="W33" s="1364" t="str">
        <f>'DATA GPC'!O1178</f>
        <v>--</v>
      </c>
      <c r="X33" s="1364" t="str">
        <f>'DATA GPC'!P1178</f>
        <v>--</v>
      </c>
      <c r="Y33" s="1364" t="str">
        <f>'DATA GPC'!U1178</f>
        <v>--</v>
      </c>
      <c r="Z33" s="1364" t="str">
        <f>'DATA GPC'!V1178</f>
        <v>--</v>
      </c>
      <c r="AA33" s="1364" t="str">
        <f>'DATA GPC'!W1178</f>
        <v>--</v>
      </c>
      <c r="AB33" s="1364" t="str">
        <f>'DATA GPC'!X1178</f>
        <v>--</v>
      </c>
      <c r="AC33" s="1364" t="str">
        <f>'DATA GPC'!Y1178</f>
        <v>--</v>
      </c>
      <c r="AD33" s="1364"/>
      <c r="AE33" s="1364" t="str">
        <f>'DATA GPC'!H1209</f>
        <v>--</v>
      </c>
      <c r="AF33" s="1364" t="str">
        <f>'DATA GPC'!I1209</f>
        <v>--</v>
      </c>
      <c r="AG33" s="1364" t="str">
        <f>'DATA GPC'!L1209</f>
        <v>--</v>
      </c>
      <c r="AH33" s="1364" t="str">
        <f>'DATA GPC'!M1209</f>
        <v>--</v>
      </c>
      <c r="AI33" s="1364" t="str">
        <f>'DATA GPC'!N1209</f>
        <v>--</v>
      </c>
      <c r="AJ33" s="1364" t="str">
        <f>'DATA GPC'!O1209</f>
        <v>--</v>
      </c>
      <c r="AK33" s="1364" t="str">
        <f>'DATA GPC'!P1209</f>
        <v>--</v>
      </c>
      <c r="AL33" s="1364" t="str">
        <f>'DATA GPC'!U1209</f>
        <v>--</v>
      </c>
      <c r="AM33" s="1364" t="str">
        <f>'DATA GPC'!V1209</f>
        <v>--</v>
      </c>
      <c r="AN33" s="1364" t="str">
        <f>'DATA GPC'!W1209</f>
        <v>--</v>
      </c>
      <c r="AO33" s="503" t="str">
        <f>'DATA GPC'!X1209</f>
        <v>--</v>
      </c>
      <c r="AP33" s="503" t="str">
        <f>'DATA GPC'!Y1209</f>
        <v>--</v>
      </c>
      <c r="AR33" s="1557"/>
      <c r="AW33" s="1525"/>
      <c r="AX33" s="1525"/>
      <c r="AY33" s="1525"/>
      <c r="AZ33" s="1525"/>
      <c r="BA33" s="1525"/>
      <c r="BB33" s="1525"/>
      <c r="BC33" s="1525"/>
      <c r="BD33" s="1525"/>
      <c r="BE33" s="1525"/>
      <c r="BF33" s="1525"/>
      <c r="BG33" s="1525"/>
      <c r="BH33" s="1525"/>
      <c r="BI33" s="1525"/>
      <c r="BJ33" s="1525"/>
      <c r="BK33" s="1525"/>
    </row>
    <row r="34" spans="1:63" s="1530" customFormat="1" ht="12" customHeight="1">
      <c r="A34" s="1557" t="str">
        <f t="shared" si="1"/>
        <v>n</v>
      </c>
      <c r="B34" s="1557"/>
      <c r="C34" s="146" t="str">
        <f>'DATA GPC'!E$42</f>
        <v>--</v>
      </c>
      <c r="D34" s="651" t="str">
        <f>'Working Capital'!D$24</f>
        <v>--</v>
      </c>
      <c r="E34" s="503" t="str">
        <f>'DATA GPC'!H1148</f>
        <v>--</v>
      </c>
      <c r="F34" s="503" t="str">
        <f>'DATA GPC'!I1148</f>
        <v>--</v>
      </c>
      <c r="G34" s="503" t="str">
        <f>'DATA GPC'!L1148</f>
        <v>--</v>
      </c>
      <c r="H34" s="503" t="str">
        <f>'DATA GPC'!M1148</f>
        <v>--</v>
      </c>
      <c r="I34" s="503" t="str">
        <f>'DATA GPC'!N1148</f>
        <v>--</v>
      </c>
      <c r="J34" s="1364" t="str">
        <f>'DATA GPC'!O1148</f>
        <v>--</v>
      </c>
      <c r="K34" s="1364" t="str">
        <f>'DATA GPC'!P1148</f>
        <v>--</v>
      </c>
      <c r="L34" s="1364" t="str">
        <f>'DATA GPC'!U1148</f>
        <v>--</v>
      </c>
      <c r="M34" s="1364" t="str">
        <f>'DATA GPC'!V1148</f>
        <v>--</v>
      </c>
      <c r="N34" s="1364" t="str">
        <f>'DATA GPC'!W1148</f>
        <v>--</v>
      </c>
      <c r="O34" s="1364" t="str">
        <f>'DATA GPC'!X1148</f>
        <v>--</v>
      </c>
      <c r="P34" s="1364" t="str">
        <f>'DATA GPC'!Y1148</f>
        <v>--</v>
      </c>
      <c r="Q34" s="1364"/>
      <c r="R34" s="1369" t="str">
        <f>'DATA GPC'!H1179</f>
        <v>--</v>
      </c>
      <c r="S34" s="1369" t="str">
        <f>'DATA GPC'!I1179</f>
        <v>--</v>
      </c>
      <c r="T34" s="1364" t="str">
        <f>'DATA GPC'!L1179</f>
        <v>--</v>
      </c>
      <c r="U34" s="1364" t="str">
        <f>'DATA GPC'!M1179</f>
        <v>--</v>
      </c>
      <c r="V34" s="1364" t="str">
        <f>'DATA GPC'!N1179</f>
        <v>--</v>
      </c>
      <c r="W34" s="1364" t="str">
        <f>'DATA GPC'!O1179</f>
        <v>--</v>
      </c>
      <c r="X34" s="1364" t="str">
        <f>'DATA GPC'!P1179</f>
        <v>--</v>
      </c>
      <c r="Y34" s="1364" t="str">
        <f>'DATA GPC'!U1179</f>
        <v>--</v>
      </c>
      <c r="Z34" s="1364" t="str">
        <f>'DATA GPC'!V1179</f>
        <v>--</v>
      </c>
      <c r="AA34" s="1364" t="str">
        <f>'DATA GPC'!W1179</f>
        <v>--</v>
      </c>
      <c r="AB34" s="1364" t="str">
        <f>'DATA GPC'!X1179</f>
        <v>--</v>
      </c>
      <c r="AC34" s="1364" t="str">
        <f>'DATA GPC'!Y1179</f>
        <v>--</v>
      </c>
      <c r="AD34" s="1364"/>
      <c r="AE34" s="1364" t="str">
        <f>'DATA GPC'!H1210</f>
        <v>--</v>
      </c>
      <c r="AF34" s="1364" t="str">
        <f>'DATA GPC'!I1210</f>
        <v>--</v>
      </c>
      <c r="AG34" s="1364" t="str">
        <f>'DATA GPC'!L1210</f>
        <v>--</v>
      </c>
      <c r="AH34" s="1364" t="str">
        <f>'DATA GPC'!M1210</f>
        <v>--</v>
      </c>
      <c r="AI34" s="1364" t="str">
        <f>'DATA GPC'!N1210</f>
        <v>--</v>
      </c>
      <c r="AJ34" s="1364" t="str">
        <f>'DATA GPC'!O1210</f>
        <v>--</v>
      </c>
      <c r="AK34" s="1364" t="str">
        <f>'DATA GPC'!P1210</f>
        <v>--</v>
      </c>
      <c r="AL34" s="1364" t="str">
        <f>'DATA GPC'!U1210</f>
        <v>--</v>
      </c>
      <c r="AM34" s="1364" t="str">
        <f>'DATA GPC'!V1210</f>
        <v>--</v>
      </c>
      <c r="AN34" s="1364" t="str">
        <f>'DATA GPC'!W1210</f>
        <v>--</v>
      </c>
      <c r="AO34" s="503" t="str">
        <f>'DATA GPC'!X1210</f>
        <v>--</v>
      </c>
      <c r="AP34" s="503" t="str">
        <f>'DATA GPC'!Y1210</f>
        <v>--</v>
      </c>
      <c r="AR34" s="1557"/>
      <c r="AW34" s="1525"/>
      <c r="AX34" s="1525"/>
      <c r="AY34" s="1525"/>
      <c r="AZ34" s="1525"/>
      <c r="BA34" s="1525"/>
      <c r="BB34" s="1525"/>
      <c r="BC34" s="1525"/>
      <c r="BD34" s="1525"/>
      <c r="BE34" s="1525"/>
      <c r="BF34" s="1525"/>
      <c r="BG34" s="1525"/>
      <c r="BH34" s="1525"/>
      <c r="BI34" s="1525"/>
      <c r="BJ34" s="1525"/>
      <c r="BK34" s="1525"/>
    </row>
    <row r="35" spans="1:63" s="1530" customFormat="1" ht="12" customHeight="1">
      <c r="A35" s="1557" t="str">
        <f t="shared" si="1"/>
        <v>n</v>
      </c>
      <c r="B35" s="1557"/>
      <c r="C35" s="146" t="str">
        <f>'DATA GPC'!E$43</f>
        <v>--</v>
      </c>
      <c r="D35" s="651" t="str">
        <f>'Working Capital'!D$24</f>
        <v>--</v>
      </c>
      <c r="E35" s="503" t="str">
        <f>'DATA GPC'!H1149</f>
        <v>--</v>
      </c>
      <c r="F35" s="503" t="str">
        <f>'DATA GPC'!I1149</f>
        <v>--</v>
      </c>
      <c r="G35" s="503" t="str">
        <f>'DATA GPC'!L1149</f>
        <v>--</v>
      </c>
      <c r="H35" s="503" t="str">
        <f>'DATA GPC'!M1149</f>
        <v>--</v>
      </c>
      <c r="I35" s="503" t="str">
        <f>'DATA GPC'!N1149</f>
        <v>--</v>
      </c>
      <c r="J35" s="1364" t="str">
        <f>'DATA GPC'!O1149</f>
        <v>--</v>
      </c>
      <c r="K35" s="1364" t="str">
        <f>'DATA GPC'!P1149</f>
        <v>--</v>
      </c>
      <c r="L35" s="1364" t="str">
        <f>'DATA GPC'!U1149</f>
        <v>--</v>
      </c>
      <c r="M35" s="1364" t="str">
        <f>'DATA GPC'!V1149</f>
        <v>--</v>
      </c>
      <c r="N35" s="1364" t="str">
        <f>'DATA GPC'!W1149</f>
        <v>--</v>
      </c>
      <c r="O35" s="1364" t="str">
        <f>'DATA GPC'!X1149</f>
        <v>--</v>
      </c>
      <c r="P35" s="1364" t="str">
        <f>'DATA GPC'!Y1149</f>
        <v>--</v>
      </c>
      <c r="Q35" s="1364"/>
      <c r="R35" s="1369" t="str">
        <f>'DATA GPC'!H1180</f>
        <v>--</v>
      </c>
      <c r="S35" s="1369" t="str">
        <f>'DATA GPC'!I1180</f>
        <v>--</v>
      </c>
      <c r="T35" s="1364" t="str">
        <f>'DATA GPC'!L1180</f>
        <v>--</v>
      </c>
      <c r="U35" s="1364" t="str">
        <f>'DATA GPC'!M1180</f>
        <v>--</v>
      </c>
      <c r="V35" s="1364" t="str">
        <f>'DATA GPC'!N1180</f>
        <v>--</v>
      </c>
      <c r="W35" s="1364" t="str">
        <f>'DATA GPC'!O1180</f>
        <v>--</v>
      </c>
      <c r="X35" s="1364" t="str">
        <f>'DATA GPC'!P1180</f>
        <v>--</v>
      </c>
      <c r="Y35" s="1364" t="str">
        <f>'DATA GPC'!U1180</f>
        <v>--</v>
      </c>
      <c r="Z35" s="1364" t="str">
        <f>'DATA GPC'!V1180</f>
        <v>--</v>
      </c>
      <c r="AA35" s="1364" t="str">
        <f>'DATA GPC'!W1180</f>
        <v>--</v>
      </c>
      <c r="AB35" s="1364" t="str">
        <f>'DATA GPC'!X1180</f>
        <v>--</v>
      </c>
      <c r="AC35" s="1364" t="str">
        <f>'DATA GPC'!Y1180</f>
        <v>--</v>
      </c>
      <c r="AD35" s="1364"/>
      <c r="AE35" s="1364" t="str">
        <f>'DATA GPC'!H1211</f>
        <v>--</v>
      </c>
      <c r="AF35" s="1364" t="str">
        <f>'DATA GPC'!I1211</f>
        <v>--</v>
      </c>
      <c r="AG35" s="1364" t="str">
        <f>'DATA GPC'!L1211</f>
        <v>--</v>
      </c>
      <c r="AH35" s="1364" t="str">
        <f>'DATA GPC'!M1211</f>
        <v>--</v>
      </c>
      <c r="AI35" s="1364" t="str">
        <f>'DATA GPC'!N1211</f>
        <v>--</v>
      </c>
      <c r="AJ35" s="1364" t="str">
        <f>'DATA GPC'!O1211</f>
        <v>--</v>
      </c>
      <c r="AK35" s="1364" t="str">
        <f>'DATA GPC'!P1211</f>
        <v>--</v>
      </c>
      <c r="AL35" s="1364" t="str">
        <f>'DATA GPC'!U1211</f>
        <v>--</v>
      </c>
      <c r="AM35" s="1364" t="str">
        <f>'DATA GPC'!V1211</f>
        <v>--</v>
      </c>
      <c r="AN35" s="1364" t="str">
        <f>'DATA GPC'!W1211</f>
        <v>--</v>
      </c>
      <c r="AO35" s="503" t="str">
        <f>'DATA GPC'!X1211</f>
        <v>--</v>
      </c>
      <c r="AP35" s="503" t="str">
        <f>'DATA GPC'!Y1211</f>
        <v>--</v>
      </c>
      <c r="AR35" s="1557"/>
      <c r="AW35" s="1525"/>
      <c r="AX35" s="1525"/>
      <c r="AY35" s="1525"/>
      <c r="AZ35" s="1525"/>
      <c r="BA35" s="1525"/>
      <c r="BB35" s="1525"/>
      <c r="BC35" s="1525"/>
      <c r="BD35" s="1525"/>
      <c r="BE35" s="1525"/>
      <c r="BF35" s="1525"/>
      <c r="BG35" s="1525"/>
      <c r="BH35" s="1525"/>
      <c r="BI35" s="1525"/>
      <c r="BJ35" s="1525"/>
      <c r="BK35" s="1525"/>
    </row>
    <row r="36" spans="1:63" ht="12" customHeight="1">
      <c r="A36" s="1557" t="str">
        <f t="shared" si="1"/>
        <v>n</v>
      </c>
      <c r="B36" s="1557"/>
      <c r="C36" s="146" t="str">
        <f>'DATA GPC'!E$44</f>
        <v>--</v>
      </c>
      <c r="D36" s="651" t="str">
        <f>'Working Capital'!D$24</f>
        <v>--</v>
      </c>
      <c r="E36" s="503" t="str">
        <f>'DATA GPC'!H1150</f>
        <v>--</v>
      </c>
      <c r="F36" s="503" t="str">
        <f>'DATA GPC'!I1150</f>
        <v>--</v>
      </c>
      <c r="G36" s="503" t="str">
        <f>'DATA GPC'!L1150</f>
        <v>--</v>
      </c>
      <c r="H36" s="503" t="str">
        <f>'DATA GPC'!M1150</f>
        <v>--</v>
      </c>
      <c r="I36" s="503" t="str">
        <f>'DATA GPC'!N1150</f>
        <v>--</v>
      </c>
      <c r="J36" s="1364" t="str">
        <f>'DATA GPC'!O1150</f>
        <v>--</v>
      </c>
      <c r="K36" s="1364" t="str">
        <f>'DATA GPC'!P1150</f>
        <v>--</v>
      </c>
      <c r="L36" s="1364" t="str">
        <f>'DATA GPC'!U1150</f>
        <v>--</v>
      </c>
      <c r="M36" s="1364" t="str">
        <f>'DATA GPC'!V1150</f>
        <v>--</v>
      </c>
      <c r="N36" s="1364" t="str">
        <f>'DATA GPC'!W1150</f>
        <v>--</v>
      </c>
      <c r="O36" s="1364" t="str">
        <f>'DATA GPC'!X1150</f>
        <v>--</v>
      </c>
      <c r="P36" s="1364" t="str">
        <f>'DATA GPC'!Y1150</f>
        <v>--</v>
      </c>
      <c r="Q36" s="1364"/>
      <c r="R36" s="1369" t="str">
        <f>'DATA GPC'!H1181</f>
        <v>--</v>
      </c>
      <c r="S36" s="1369" t="str">
        <f>'DATA GPC'!I1181</f>
        <v>--</v>
      </c>
      <c r="T36" s="1364" t="str">
        <f>'DATA GPC'!L1181</f>
        <v>--</v>
      </c>
      <c r="U36" s="1364" t="str">
        <f>'DATA GPC'!M1181</f>
        <v>--</v>
      </c>
      <c r="V36" s="1364" t="str">
        <f>'DATA GPC'!N1181</f>
        <v>--</v>
      </c>
      <c r="W36" s="1364" t="str">
        <f>'DATA GPC'!O1181</f>
        <v>--</v>
      </c>
      <c r="X36" s="1364" t="str">
        <f>'DATA GPC'!P1181</f>
        <v>--</v>
      </c>
      <c r="Y36" s="1364" t="str">
        <f>'DATA GPC'!U1181</f>
        <v>--</v>
      </c>
      <c r="Z36" s="1364" t="str">
        <f>'DATA GPC'!V1181</f>
        <v>--</v>
      </c>
      <c r="AA36" s="1364" t="str">
        <f>'DATA GPC'!W1181</f>
        <v>--</v>
      </c>
      <c r="AB36" s="1364" t="str">
        <f>'DATA GPC'!X1181</f>
        <v>--</v>
      </c>
      <c r="AC36" s="1364" t="str">
        <f>'DATA GPC'!Y1181</f>
        <v>--</v>
      </c>
      <c r="AD36" s="1364"/>
      <c r="AE36" s="1364" t="str">
        <f>'DATA GPC'!H1212</f>
        <v>--</v>
      </c>
      <c r="AF36" s="1364" t="str">
        <f>'DATA GPC'!I1212</f>
        <v>--</v>
      </c>
      <c r="AG36" s="1364" t="str">
        <f>'DATA GPC'!L1212</f>
        <v>--</v>
      </c>
      <c r="AH36" s="1364" t="str">
        <f>'DATA GPC'!M1212</f>
        <v>--</v>
      </c>
      <c r="AI36" s="1364" t="str">
        <f>'DATA GPC'!N1212</f>
        <v>--</v>
      </c>
      <c r="AJ36" s="1364" t="str">
        <f>'DATA GPC'!O1212</f>
        <v>--</v>
      </c>
      <c r="AK36" s="1364" t="str">
        <f>'DATA GPC'!P1212</f>
        <v>--</v>
      </c>
      <c r="AL36" s="1364" t="str">
        <f>'DATA GPC'!U1212</f>
        <v>--</v>
      </c>
      <c r="AM36" s="1364" t="str">
        <f>'DATA GPC'!V1212</f>
        <v>--</v>
      </c>
      <c r="AN36" s="1364" t="str">
        <f>'DATA GPC'!W1212</f>
        <v>--</v>
      </c>
      <c r="AO36" s="503" t="str">
        <f>'DATA GPC'!X1212</f>
        <v>--</v>
      </c>
      <c r="AP36" s="503" t="str">
        <f>'DATA GPC'!Y1212</f>
        <v>--</v>
      </c>
      <c r="AQ36" s="1530"/>
      <c r="AR36" s="1557"/>
      <c r="AS36" s="1530"/>
      <c r="AT36" s="1530"/>
      <c r="AU36" s="1530"/>
      <c r="AV36" s="1530"/>
      <c r="AW36" s="1525"/>
      <c r="AX36" s="1525"/>
      <c r="AY36" s="1525"/>
      <c r="AZ36" s="1525"/>
      <c r="BA36" s="1525"/>
      <c r="BB36" s="1525"/>
      <c r="BC36" s="1525"/>
      <c r="BD36" s="1525"/>
      <c r="BE36" s="1525"/>
      <c r="BF36" s="1525"/>
      <c r="BG36" s="1525"/>
      <c r="BH36" s="1525"/>
      <c r="BI36" s="1525"/>
      <c r="BJ36" s="1525"/>
      <c r="BK36" s="1525"/>
    </row>
    <row r="37" spans="1:63" ht="12" customHeight="1">
      <c r="A37" s="1557"/>
      <c r="B37" s="1557"/>
      <c r="C37" s="1542"/>
      <c r="D37" s="1542"/>
      <c r="E37" s="665"/>
      <c r="F37" s="665"/>
      <c r="G37" s="665"/>
      <c r="H37" s="665"/>
      <c r="I37" s="665"/>
      <c r="J37" s="1369"/>
      <c r="K37" s="1369"/>
      <c r="L37" s="1369"/>
      <c r="M37" s="1369"/>
      <c r="N37" s="1369"/>
      <c r="O37" s="1369"/>
      <c r="P37" s="1369"/>
      <c r="Q37" s="2060"/>
      <c r="R37" s="1369"/>
      <c r="S37" s="1369"/>
      <c r="T37" s="1369"/>
      <c r="U37" s="1369"/>
      <c r="V37" s="1369"/>
      <c r="W37" s="1722"/>
      <c r="X37" s="1722"/>
      <c r="Y37" s="1722"/>
      <c r="Z37" s="1722"/>
      <c r="AA37" s="1722"/>
      <c r="AB37" s="1722"/>
      <c r="AC37" s="1722"/>
      <c r="AD37" s="2060"/>
      <c r="AE37" s="1369"/>
      <c r="AF37" s="1369"/>
      <c r="AG37" s="1369"/>
      <c r="AH37" s="1722"/>
      <c r="AI37" s="1722"/>
      <c r="AJ37" s="1722"/>
      <c r="AK37" s="1722"/>
      <c r="AL37" s="1722"/>
      <c r="AM37" s="1722"/>
      <c r="AN37" s="1722"/>
      <c r="AO37" s="1722"/>
      <c r="AP37" s="1722"/>
      <c r="AQ37" s="1530"/>
      <c r="AR37" s="1557"/>
      <c r="AS37" s="1530"/>
      <c r="AT37" s="1530"/>
      <c r="AU37" s="1530"/>
      <c r="AV37" s="1530"/>
      <c r="AW37" s="1525"/>
      <c r="AX37" s="1525"/>
      <c r="AY37" s="1525"/>
      <c r="AZ37" s="1525"/>
      <c r="BA37" s="1525"/>
      <c r="BB37" s="1525"/>
      <c r="BC37" s="1525"/>
      <c r="BD37" s="1525"/>
      <c r="BE37" s="1525"/>
      <c r="BF37" s="1525"/>
      <c r="BG37" s="1525"/>
      <c r="BH37" s="1525"/>
      <c r="BI37" s="1525"/>
      <c r="BJ37" s="1525"/>
      <c r="BK37" s="1525"/>
    </row>
    <row r="38" spans="1:63" ht="12" customHeight="1">
      <c r="A38" s="1557"/>
      <c r="B38" s="1557"/>
      <c r="C38" s="1763"/>
      <c r="D38" s="1570" t="s">
        <v>1275</v>
      </c>
      <c r="E38" s="1755" t="str">
        <f t="shared" ref="E38:J38" si="2">IFERROR(QUARTILE(E12:E36,4),"n/a")</f>
        <v>n/a</v>
      </c>
      <c r="F38" s="1755" t="str">
        <f t="shared" si="2"/>
        <v>n/a</v>
      </c>
      <c r="G38" s="1755" t="str">
        <f t="shared" si="2"/>
        <v>n/a</v>
      </c>
      <c r="H38" s="1755" t="str">
        <f t="shared" si="2"/>
        <v>n/a</v>
      </c>
      <c r="I38" s="1755" t="str">
        <f t="shared" si="2"/>
        <v>n/a</v>
      </c>
      <c r="J38" s="1755" t="str">
        <f t="shared" si="2"/>
        <v>n/a</v>
      </c>
      <c r="K38" s="1755" t="str">
        <f t="shared" ref="K38:V38" si="3">IFERROR(QUARTILE(K12:K36,4),"n/a")</f>
        <v>n/a</v>
      </c>
      <c r="L38" s="1755" t="str">
        <f t="shared" si="3"/>
        <v>n/a</v>
      </c>
      <c r="M38" s="1755" t="str">
        <f t="shared" si="3"/>
        <v>n/a</v>
      </c>
      <c r="N38" s="1755" t="str">
        <f t="shared" si="3"/>
        <v>n/a</v>
      </c>
      <c r="O38" s="1755" t="str">
        <f t="shared" si="3"/>
        <v>n/a</v>
      </c>
      <c r="P38" s="1755" t="str">
        <f t="shared" si="3"/>
        <v>n/a</v>
      </c>
      <c r="Q38" s="2060"/>
      <c r="R38" s="1755" t="str">
        <f>IFERROR(QUARTILE(R12:R36,4),"n/a")</f>
        <v>n/a</v>
      </c>
      <c r="S38" s="1755" t="str">
        <f>IFERROR(QUARTILE(S12:S36,4),"n/a")</f>
        <v>n/a</v>
      </c>
      <c r="T38" s="1755" t="str">
        <f>IFERROR(QUARTILE(T12:T36,4),"n/a")</f>
        <v>n/a</v>
      </c>
      <c r="U38" s="1755" t="str">
        <f t="shared" si="3"/>
        <v>n/a</v>
      </c>
      <c r="V38" s="1755" t="str">
        <f t="shared" si="3"/>
        <v>n/a</v>
      </c>
      <c r="W38" s="1755" t="str">
        <f>IFERROR(QUARTILE(W12:W36,4),"n/a")</f>
        <v>n/a</v>
      </c>
      <c r="X38" s="1755" t="str">
        <f t="shared" ref="X38:AI38" si="4">IFERROR(QUARTILE(X12:X36,4),"n/a")</f>
        <v>n/a</v>
      </c>
      <c r="Y38" s="1755" t="str">
        <f t="shared" si="4"/>
        <v>n/a</v>
      </c>
      <c r="Z38" s="1755" t="str">
        <f t="shared" si="4"/>
        <v>n/a</v>
      </c>
      <c r="AA38" s="1755" t="str">
        <f t="shared" si="4"/>
        <v>n/a</v>
      </c>
      <c r="AB38" s="1755" t="str">
        <f t="shared" si="4"/>
        <v>n/a</v>
      </c>
      <c r="AC38" s="1755" t="str">
        <f t="shared" si="4"/>
        <v>n/a</v>
      </c>
      <c r="AD38" s="2060"/>
      <c r="AE38" s="1755" t="str">
        <f>IFERROR(QUARTILE(AE12:AE36,4),"n/a")</f>
        <v>n/a</v>
      </c>
      <c r="AF38" s="1755" t="str">
        <f>IFERROR(QUARTILE(AF12:AF36,4),"n/a")</f>
        <v>n/a</v>
      </c>
      <c r="AG38" s="1755" t="str">
        <f>IFERROR(QUARTILE(AG12:AG36,4),"n/a")</f>
        <v>n/a</v>
      </c>
      <c r="AH38" s="1755" t="str">
        <f t="shared" si="4"/>
        <v>n/a</v>
      </c>
      <c r="AI38" s="1755" t="str">
        <f t="shared" si="4"/>
        <v>n/a</v>
      </c>
      <c r="AJ38" s="1755" t="str">
        <f t="shared" ref="AJ38:AP38" si="5">IFERROR(QUARTILE(AJ12:AJ36,4),"n/a")</f>
        <v>n/a</v>
      </c>
      <c r="AK38" s="1755" t="str">
        <f t="shared" si="5"/>
        <v>n/a</v>
      </c>
      <c r="AL38" s="1755" t="str">
        <f t="shared" si="5"/>
        <v>n/a</v>
      </c>
      <c r="AM38" s="1755" t="str">
        <f t="shared" si="5"/>
        <v>n/a</v>
      </c>
      <c r="AN38" s="1755" t="str">
        <f t="shared" si="5"/>
        <v>n/a</v>
      </c>
      <c r="AO38" s="1755" t="str">
        <f t="shared" si="5"/>
        <v>n/a</v>
      </c>
      <c r="AP38" s="1755" t="str">
        <f t="shared" si="5"/>
        <v>n/a</v>
      </c>
      <c r="AQ38" s="1530"/>
      <c r="AR38" s="1557"/>
      <c r="AS38" s="1530"/>
      <c r="AT38" s="1530"/>
      <c r="AU38" s="1530"/>
      <c r="AV38" s="1530"/>
      <c r="AW38" s="1525"/>
      <c r="AX38" s="1525"/>
      <c r="AY38" s="1525"/>
      <c r="AZ38" s="1525"/>
      <c r="BA38" s="1525"/>
      <c r="BB38" s="1525"/>
      <c r="BC38" s="1525"/>
      <c r="BD38" s="1525"/>
      <c r="BE38" s="1525"/>
      <c r="BF38" s="1525"/>
      <c r="BG38" s="1525"/>
      <c r="BH38" s="1525"/>
      <c r="BI38" s="1525"/>
      <c r="BJ38" s="1525"/>
      <c r="BK38" s="1525"/>
    </row>
    <row r="39" spans="1:63" s="1530" customFormat="1" ht="12" customHeight="1">
      <c r="A39" s="1557"/>
      <c r="B39" s="1557"/>
      <c r="C39" s="1542"/>
      <c r="D39" s="1570" t="s">
        <v>1469</v>
      </c>
      <c r="E39" s="1614" t="str">
        <f t="shared" ref="E39:J39" si="6">IFERROR(QUARTILE(E12:E36,3),"n/a")</f>
        <v>n/a</v>
      </c>
      <c r="F39" s="1614" t="str">
        <f t="shared" si="6"/>
        <v>n/a</v>
      </c>
      <c r="G39" s="1614" t="str">
        <f t="shared" si="6"/>
        <v>n/a</v>
      </c>
      <c r="H39" s="1614" t="str">
        <f t="shared" si="6"/>
        <v>n/a</v>
      </c>
      <c r="I39" s="1614" t="str">
        <f t="shared" si="6"/>
        <v>n/a</v>
      </c>
      <c r="J39" s="1614" t="str">
        <f t="shared" si="6"/>
        <v>n/a</v>
      </c>
      <c r="K39" s="1614" t="str">
        <f t="shared" ref="K39:V39" si="7">IFERROR(QUARTILE(K12:K36,3),"n/a")</f>
        <v>n/a</v>
      </c>
      <c r="L39" s="1614" t="str">
        <f t="shared" si="7"/>
        <v>n/a</v>
      </c>
      <c r="M39" s="1614" t="str">
        <f t="shared" si="7"/>
        <v>n/a</v>
      </c>
      <c r="N39" s="1614" t="str">
        <f t="shared" si="7"/>
        <v>n/a</v>
      </c>
      <c r="O39" s="1614" t="str">
        <f t="shared" si="7"/>
        <v>n/a</v>
      </c>
      <c r="P39" s="1614" t="str">
        <f t="shared" si="7"/>
        <v>n/a</v>
      </c>
      <c r="Q39" s="2060"/>
      <c r="R39" s="1614" t="str">
        <f>IFERROR(QUARTILE(R12:R36,3),"n/a")</f>
        <v>n/a</v>
      </c>
      <c r="S39" s="1614" t="str">
        <f>IFERROR(QUARTILE(S12:S36,3),"n/a")</f>
        <v>n/a</v>
      </c>
      <c r="T39" s="1614" t="str">
        <f>IFERROR(QUARTILE(T12:T36,3),"n/a")</f>
        <v>n/a</v>
      </c>
      <c r="U39" s="1614" t="str">
        <f t="shared" si="7"/>
        <v>n/a</v>
      </c>
      <c r="V39" s="1614" t="str">
        <f t="shared" si="7"/>
        <v>n/a</v>
      </c>
      <c r="W39" s="1614" t="str">
        <f>IFERROR(QUARTILE(W12:W36,3),"n/a")</f>
        <v>n/a</v>
      </c>
      <c r="X39" s="1614" t="str">
        <f t="shared" ref="X39:AI39" si="8">IFERROR(QUARTILE(X12:X36,3),"n/a")</f>
        <v>n/a</v>
      </c>
      <c r="Y39" s="1614" t="str">
        <f t="shared" si="8"/>
        <v>n/a</v>
      </c>
      <c r="Z39" s="1614" t="str">
        <f t="shared" si="8"/>
        <v>n/a</v>
      </c>
      <c r="AA39" s="1614" t="str">
        <f t="shared" si="8"/>
        <v>n/a</v>
      </c>
      <c r="AB39" s="1614" t="str">
        <f t="shared" si="8"/>
        <v>n/a</v>
      </c>
      <c r="AC39" s="1614" t="str">
        <f t="shared" si="8"/>
        <v>n/a</v>
      </c>
      <c r="AD39" s="2060"/>
      <c r="AE39" s="1614" t="str">
        <f>IFERROR(QUARTILE(AE12:AE36,3),"n/a")</f>
        <v>n/a</v>
      </c>
      <c r="AF39" s="1614" t="str">
        <f>IFERROR(QUARTILE(AF12:AF36,3),"n/a")</f>
        <v>n/a</v>
      </c>
      <c r="AG39" s="1614" t="str">
        <f>IFERROR(QUARTILE(AG12:AG36,3),"n/a")</f>
        <v>n/a</v>
      </c>
      <c r="AH39" s="1614" t="str">
        <f t="shared" si="8"/>
        <v>n/a</v>
      </c>
      <c r="AI39" s="1614" t="str">
        <f t="shared" si="8"/>
        <v>n/a</v>
      </c>
      <c r="AJ39" s="1614" t="str">
        <f t="shared" ref="AJ39:AP39" si="9">IFERROR(QUARTILE(AJ12:AJ36,3),"n/a")</f>
        <v>n/a</v>
      </c>
      <c r="AK39" s="1614" t="str">
        <f t="shared" si="9"/>
        <v>n/a</v>
      </c>
      <c r="AL39" s="1614" t="str">
        <f t="shared" si="9"/>
        <v>n/a</v>
      </c>
      <c r="AM39" s="1614" t="str">
        <f t="shared" si="9"/>
        <v>n/a</v>
      </c>
      <c r="AN39" s="1614" t="str">
        <f t="shared" si="9"/>
        <v>n/a</v>
      </c>
      <c r="AO39" s="1614" t="str">
        <f t="shared" si="9"/>
        <v>n/a</v>
      </c>
      <c r="AP39" s="1614" t="str">
        <f t="shared" si="9"/>
        <v>n/a</v>
      </c>
      <c r="AR39" s="1557"/>
      <c r="AW39" s="1525"/>
      <c r="AX39" s="1525"/>
      <c r="AY39" s="1525"/>
      <c r="AZ39" s="1525"/>
      <c r="BA39" s="1525"/>
      <c r="BB39" s="1525"/>
      <c r="BC39" s="1525"/>
      <c r="BD39" s="1525"/>
      <c r="BE39" s="1525"/>
      <c r="BF39" s="1525"/>
      <c r="BG39" s="1525"/>
      <c r="BH39" s="1525"/>
      <c r="BI39" s="1525"/>
      <c r="BJ39" s="1525"/>
      <c r="BK39" s="1525"/>
    </row>
    <row r="40" spans="1:63" ht="12" customHeight="1">
      <c r="A40" s="1557"/>
      <c r="B40" s="1557"/>
      <c r="C40" s="1542"/>
      <c r="D40" s="1570" t="s">
        <v>1157</v>
      </c>
      <c r="E40" s="1614" t="str">
        <f>IFERROR(AVERAGE(E12:E36),"n/a")</f>
        <v>n/a</v>
      </c>
      <c r="F40" s="1614" t="str">
        <f>IFERROR(AVERAGE(F12:F36),"n/a")</f>
        <v>n/a</v>
      </c>
      <c r="G40" s="1614" t="str">
        <f>IFERROR(AVERAGE(G12:G36),"n/a")</f>
        <v>n/a</v>
      </c>
      <c r="H40" s="1614" t="str">
        <f>IFERROR(AVERAGE(H12:H36),"n/a")</f>
        <v>n/a</v>
      </c>
      <c r="I40" s="1614" t="str">
        <f>IFERROR(AVERAGE(I12:I36),"n/a")</f>
        <v>n/a</v>
      </c>
      <c r="J40" s="1614" t="str">
        <f t="shared" ref="J40:V40" si="10">IFERROR(AVERAGE(J12:J36),"n/a")</f>
        <v>n/a</v>
      </c>
      <c r="K40" s="1614" t="str">
        <f t="shared" si="10"/>
        <v>n/a</v>
      </c>
      <c r="L40" s="1614" t="str">
        <f t="shared" si="10"/>
        <v>n/a</v>
      </c>
      <c r="M40" s="1614" t="str">
        <f t="shared" si="10"/>
        <v>n/a</v>
      </c>
      <c r="N40" s="1614" t="str">
        <f t="shared" si="10"/>
        <v>n/a</v>
      </c>
      <c r="O40" s="1614" t="str">
        <f t="shared" si="10"/>
        <v>n/a</v>
      </c>
      <c r="P40" s="1614" t="str">
        <f t="shared" si="10"/>
        <v>n/a</v>
      </c>
      <c r="Q40" s="2060"/>
      <c r="R40" s="1614" t="str">
        <f>IFERROR(AVERAGE(R12:R36),"n/a")</f>
        <v>n/a</v>
      </c>
      <c r="S40" s="1614" t="str">
        <f>IFERROR(AVERAGE(S12:S36),"n/a")</f>
        <v>n/a</v>
      </c>
      <c r="T40" s="1614" t="str">
        <f>IFERROR(AVERAGE(T12:T36),"n/a")</f>
        <v>n/a</v>
      </c>
      <c r="U40" s="1614" t="str">
        <f t="shared" si="10"/>
        <v>n/a</v>
      </c>
      <c r="V40" s="1614" t="str">
        <f t="shared" si="10"/>
        <v>n/a</v>
      </c>
      <c r="W40" s="1614" t="str">
        <f t="shared" ref="W40:AI40" si="11">IFERROR(AVERAGE(W12:W36),"n/a")</f>
        <v>n/a</v>
      </c>
      <c r="X40" s="1614" t="str">
        <f t="shared" si="11"/>
        <v>n/a</v>
      </c>
      <c r="Y40" s="1614" t="str">
        <f t="shared" si="11"/>
        <v>n/a</v>
      </c>
      <c r="Z40" s="1614" t="str">
        <f t="shared" si="11"/>
        <v>n/a</v>
      </c>
      <c r="AA40" s="1614" t="str">
        <f t="shared" si="11"/>
        <v>n/a</v>
      </c>
      <c r="AB40" s="1614" t="str">
        <f t="shared" si="11"/>
        <v>n/a</v>
      </c>
      <c r="AC40" s="1614" t="str">
        <f t="shared" si="11"/>
        <v>n/a</v>
      </c>
      <c r="AD40" s="2060"/>
      <c r="AE40" s="1614" t="str">
        <f>IFERROR(AVERAGE(AE12:AE36),"n/a")</f>
        <v>n/a</v>
      </c>
      <c r="AF40" s="1614" t="str">
        <f>IFERROR(AVERAGE(AF12:AF36),"n/a")</f>
        <v>n/a</v>
      </c>
      <c r="AG40" s="1614" t="str">
        <f>IFERROR(AVERAGE(AG12:AG36),"n/a")</f>
        <v>n/a</v>
      </c>
      <c r="AH40" s="1614" t="str">
        <f t="shared" si="11"/>
        <v>n/a</v>
      </c>
      <c r="AI40" s="1614" t="str">
        <f t="shared" si="11"/>
        <v>n/a</v>
      </c>
      <c r="AJ40" s="1614" t="str">
        <f t="shared" ref="AJ40:AP40" si="12">IFERROR(AVERAGE(AJ12:AJ36),"n/a")</f>
        <v>n/a</v>
      </c>
      <c r="AK40" s="1614" t="str">
        <f t="shared" si="12"/>
        <v>n/a</v>
      </c>
      <c r="AL40" s="1614" t="str">
        <f t="shared" si="12"/>
        <v>n/a</v>
      </c>
      <c r="AM40" s="1614" t="str">
        <f t="shared" si="12"/>
        <v>n/a</v>
      </c>
      <c r="AN40" s="1614" t="str">
        <f t="shared" si="12"/>
        <v>n/a</v>
      </c>
      <c r="AO40" s="1614" t="str">
        <f t="shared" si="12"/>
        <v>n/a</v>
      </c>
      <c r="AP40" s="1614" t="str">
        <f t="shared" si="12"/>
        <v>n/a</v>
      </c>
      <c r="AQ40" s="1530"/>
      <c r="AR40" s="1557"/>
      <c r="AS40" s="1530"/>
      <c r="AT40" s="1530"/>
      <c r="AU40" s="1530"/>
      <c r="AV40" s="1530"/>
      <c r="AW40" s="1525"/>
      <c r="AX40" s="1525"/>
      <c r="AY40" s="1525"/>
      <c r="AZ40" s="1525"/>
      <c r="BA40" s="1525"/>
      <c r="BB40" s="1525"/>
      <c r="BC40" s="1525"/>
      <c r="BD40" s="1525"/>
      <c r="BE40" s="1525"/>
      <c r="BF40" s="1525"/>
      <c r="BG40" s="1525"/>
      <c r="BH40" s="1525"/>
      <c r="BI40" s="1525"/>
      <c r="BJ40" s="1525"/>
      <c r="BK40" s="1525"/>
    </row>
    <row r="41" spans="1:63" s="1530" customFormat="1" ht="12" customHeight="1">
      <c r="A41" s="1557"/>
      <c r="B41" s="1557"/>
      <c r="C41" s="1542"/>
      <c r="D41" s="1570" t="s">
        <v>1158</v>
      </c>
      <c r="E41" s="1614" t="str">
        <f>IFERROR(MEDIAN(E12:E36),"n/a")</f>
        <v>n/a</v>
      </c>
      <c r="F41" s="1614" t="str">
        <f t="shared" ref="F41:AN41" si="13">IFERROR(MEDIAN(F12:F36),"n/a")</f>
        <v>n/a</v>
      </c>
      <c r="G41" s="1614" t="str">
        <f t="shared" si="13"/>
        <v>n/a</v>
      </c>
      <c r="H41" s="1614" t="str">
        <f t="shared" si="13"/>
        <v>n/a</v>
      </c>
      <c r="I41" s="1614" t="str">
        <f t="shared" si="13"/>
        <v>n/a</v>
      </c>
      <c r="J41" s="1614" t="str">
        <f t="shared" si="13"/>
        <v>n/a</v>
      </c>
      <c r="K41" s="1614" t="str">
        <f t="shared" si="13"/>
        <v>n/a</v>
      </c>
      <c r="L41" s="1614" t="str">
        <f t="shared" si="13"/>
        <v>n/a</v>
      </c>
      <c r="M41" s="1614" t="str">
        <f t="shared" si="13"/>
        <v>n/a</v>
      </c>
      <c r="N41" s="1614" t="str">
        <f t="shared" si="13"/>
        <v>n/a</v>
      </c>
      <c r="O41" s="1614" t="str">
        <f t="shared" si="13"/>
        <v>n/a</v>
      </c>
      <c r="P41" s="1614" t="str">
        <f t="shared" si="13"/>
        <v>n/a</v>
      </c>
      <c r="Q41" s="2060"/>
      <c r="R41" s="1614" t="str">
        <f t="shared" si="13"/>
        <v>n/a</v>
      </c>
      <c r="S41" s="1614" t="str">
        <f t="shared" si="13"/>
        <v>n/a</v>
      </c>
      <c r="T41" s="1614" t="str">
        <f t="shared" si="13"/>
        <v>n/a</v>
      </c>
      <c r="U41" s="1614" t="str">
        <f t="shared" si="13"/>
        <v>n/a</v>
      </c>
      <c r="V41" s="1614" t="str">
        <f t="shared" si="13"/>
        <v>n/a</v>
      </c>
      <c r="W41" s="1614" t="str">
        <f t="shared" si="13"/>
        <v>n/a</v>
      </c>
      <c r="X41" s="1614" t="str">
        <f t="shared" si="13"/>
        <v>n/a</v>
      </c>
      <c r="Y41" s="1614" t="str">
        <f t="shared" si="13"/>
        <v>n/a</v>
      </c>
      <c r="Z41" s="1614" t="str">
        <f t="shared" si="13"/>
        <v>n/a</v>
      </c>
      <c r="AA41" s="1614" t="str">
        <f t="shared" si="13"/>
        <v>n/a</v>
      </c>
      <c r="AB41" s="1614" t="str">
        <f t="shared" si="13"/>
        <v>n/a</v>
      </c>
      <c r="AC41" s="1614" t="str">
        <f t="shared" si="13"/>
        <v>n/a</v>
      </c>
      <c r="AD41" s="2060"/>
      <c r="AE41" s="1614" t="str">
        <f t="shared" si="13"/>
        <v>n/a</v>
      </c>
      <c r="AF41" s="1614" t="str">
        <f t="shared" si="13"/>
        <v>n/a</v>
      </c>
      <c r="AG41" s="1614" t="str">
        <f t="shared" si="13"/>
        <v>n/a</v>
      </c>
      <c r="AH41" s="1614" t="str">
        <f t="shared" si="13"/>
        <v>n/a</v>
      </c>
      <c r="AI41" s="1614" t="str">
        <f t="shared" si="13"/>
        <v>n/a</v>
      </c>
      <c r="AJ41" s="1614" t="str">
        <f t="shared" si="13"/>
        <v>n/a</v>
      </c>
      <c r="AK41" s="1614" t="str">
        <f t="shared" si="13"/>
        <v>n/a</v>
      </c>
      <c r="AL41" s="1614" t="str">
        <f t="shared" si="13"/>
        <v>n/a</v>
      </c>
      <c r="AM41" s="1614" t="str">
        <f t="shared" si="13"/>
        <v>n/a</v>
      </c>
      <c r="AN41" s="1614" t="str">
        <f t="shared" si="13"/>
        <v>n/a</v>
      </c>
      <c r="AO41" s="1614" t="str">
        <f>IFERROR(MEDIAN(AO12:AO36),"n/a")</f>
        <v>n/a</v>
      </c>
      <c r="AP41" s="1614" t="str">
        <f>IFERROR(MEDIAN(AP12:AP36),"n/a")</f>
        <v>n/a</v>
      </c>
      <c r="AR41" s="1557"/>
      <c r="AW41" s="1525"/>
      <c r="AX41" s="1525"/>
      <c r="AY41" s="1525"/>
      <c r="AZ41" s="1525"/>
      <c r="BA41" s="1525"/>
      <c r="BB41" s="1525"/>
      <c r="BC41" s="1525"/>
      <c r="BD41" s="1525"/>
      <c r="BE41" s="1525"/>
      <c r="BF41" s="1525"/>
      <c r="BG41" s="1525"/>
      <c r="BH41" s="1525"/>
      <c r="BI41" s="1525"/>
      <c r="BJ41" s="1525"/>
      <c r="BK41" s="1525"/>
    </row>
    <row r="42" spans="1:63" s="1530" customFormat="1" ht="12" customHeight="1">
      <c r="A42" s="1557"/>
      <c r="B42" s="1557"/>
      <c r="C42" s="1542"/>
      <c r="D42" s="1570" t="s">
        <v>1470</v>
      </c>
      <c r="E42" s="1614" t="str">
        <f t="shared" ref="E42:J42" si="14">IFERROR(QUARTILE(E12:E36,1),"n/a")</f>
        <v>n/a</v>
      </c>
      <c r="F42" s="1614" t="str">
        <f t="shared" si="14"/>
        <v>n/a</v>
      </c>
      <c r="G42" s="1614" t="str">
        <f t="shared" si="14"/>
        <v>n/a</v>
      </c>
      <c r="H42" s="1614" t="str">
        <f t="shared" si="14"/>
        <v>n/a</v>
      </c>
      <c r="I42" s="1614" t="str">
        <f t="shared" si="14"/>
        <v>n/a</v>
      </c>
      <c r="J42" s="1614" t="str">
        <f t="shared" si="14"/>
        <v>n/a</v>
      </c>
      <c r="K42" s="1614" t="str">
        <f t="shared" ref="K42:V42" si="15">IFERROR(QUARTILE(K12:K36,1),"n/a")</f>
        <v>n/a</v>
      </c>
      <c r="L42" s="1614" t="str">
        <f t="shared" si="15"/>
        <v>n/a</v>
      </c>
      <c r="M42" s="1614" t="str">
        <f t="shared" si="15"/>
        <v>n/a</v>
      </c>
      <c r="N42" s="1614" t="str">
        <f t="shared" si="15"/>
        <v>n/a</v>
      </c>
      <c r="O42" s="1614" t="str">
        <f t="shared" si="15"/>
        <v>n/a</v>
      </c>
      <c r="P42" s="1614" t="str">
        <f t="shared" si="15"/>
        <v>n/a</v>
      </c>
      <c r="Q42" s="2060"/>
      <c r="R42" s="1614" t="str">
        <f>IFERROR(QUARTILE(R12:R36,1),"n/a")</f>
        <v>n/a</v>
      </c>
      <c r="S42" s="1614" t="str">
        <f>IFERROR(QUARTILE(S12:S36,1),"n/a")</f>
        <v>n/a</v>
      </c>
      <c r="T42" s="1614" t="str">
        <f>IFERROR(QUARTILE(T12:T36,1),"n/a")</f>
        <v>n/a</v>
      </c>
      <c r="U42" s="1614" t="str">
        <f t="shared" si="15"/>
        <v>n/a</v>
      </c>
      <c r="V42" s="1614" t="str">
        <f t="shared" si="15"/>
        <v>n/a</v>
      </c>
      <c r="W42" s="1614" t="str">
        <f>IFERROR(QUARTILE(W12:W36,1),"n/a")</f>
        <v>n/a</v>
      </c>
      <c r="X42" s="1614" t="str">
        <f t="shared" ref="X42:AI42" si="16">IFERROR(QUARTILE(X12:X36,1),"n/a")</f>
        <v>n/a</v>
      </c>
      <c r="Y42" s="1614" t="str">
        <f t="shared" si="16"/>
        <v>n/a</v>
      </c>
      <c r="Z42" s="1614" t="str">
        <f t="shared" si="16"/>
        <v>n/a</v>
      </c>
      <c r="AA42" s="1614" t="str">
        <f t="shared" si="16"/>
        <v>n/a</v>
      </c>
      <c r="AB42" s="1614" t="str">
        <f t="shared" si="16"/>
        <v>n/a</v>
      </c>
      <c r="AC42" s="1614" t="str">
        <f t="shared" si="16"/>
        <v>n/a</v>
      </c>
      <c r="AD42" s="2060"/>
      <c r="AE42" s="1614" t="str">
        <f>IFERROR(QUARTILE(AE12:AE36,1),"n/a")</f>
        <v>n/a</v>
      </c>
      <c r="AF42" s="1614" t="str">
        <f>IFERROR(QUARTILE(AF12:AF36,1),"n/a")</f>
        <v>n/a</v>
      </c>
      <c r="AG42" s="1614" t="str">
        <f>IFERROR(QUARTILE(AG12:AG36,1),"n/a")</f>
        <v>n/a</v>
      </c>
      <c r="AH42" s="1614" t="str">
        <f t="shared" si="16"/>
        <v>n/a</v>
      </c>
      <c r="AI42" s="1614" t="str">
        <f t="shared" si="16"/>
        <v>n/a</v>
      </c>
      <c r="AJ42" s="1614" t="str">
        <f t="shared" ref="AJ42:AP42" si="17">IFERROR(QUARTILE(AJ12:AJ36,1),"n/a")</f>
        <v>n/a</v>
      </c>
      <c r="AK42" s="1614" t="str">
        <f t="shared" si="17"/>
        <v>n/a</v>
      </c>
      <c r="AL42" s="1614" t="str">
        <f t="shared" si="17"/>
        <v>n/a</v>
      </c>
      <c r="AM42" s="1614" t="str">
        <f t="shared" si="17"/>
        <v>n/a</v>
      </c>
      <c r="AN42" s="1614" t="str">
        <f t="shared" si="17"/>
        <v>n/a</v>
      </c>
      <c r="AO42" s="1614" t="str">
        <f t="shared" si="17"/>
        <v>n/a</v>
      </c>
      <c r="AP42" s="1614" t="str">
        <f t="shared" si="17"/>
        <v>n/a</v>
      </c>
      <c r="AR42" s="1557"/>
      <c r="AW42" s="1525"/>
      <c r="AX42" s="1525"/>
      <c r="AY42" s="1525"/>
      <c r="AZ42" s="1525"/>
      <c r="BA42" s="1525"/>
      <c r="BB42" s="1525"/>
      <c r="BC42" s="1525"/>
      <c r="BD42" s="1525"/>
      <c r="BE42" s="1525"/>
      <c r="BF42" s="1525"/>
      <c r="BG42" s="1525"/>
      <c r="BH42" s="1525"/>
      <c r="BI42" s="1525"/>
      <c r="BJ42" s="1525"/>
      <c r="BK42" s="1525"/>
    </row>
    <row r="43" spans="1:63" s="1530" customFormat="1" ht="12" customHeight="1">
      <c r="A43" s="1557"/>
      <c r="B43" s="1557"/>
      <c r="C43" s="1542"/>
      <c r="D43" s="1570" t="s">
        <v>1273</v>
      </c>
      <c r="E43" s="1758" t="str">
        <f t="shared" ref="E43:J43" si="18">IFERROR(QUARTILE(E12:E36,0),"n/a")</f>
        <v>n/a</v>
      </c>
      <c r="F43" s="1758" t="str">
        <f t="shared" si="18"/>
        <v>n/a</v>
      </c>
      <c r="G43" s="1758" t="str">
        <f t="shared" si="18"/>
        <v>n/a</v>
      </c>
      <c r="H43" s="1758" t="str">
        <f t="shared" si="18"/>
        <v>n/a</v>
      </c>
      <c r="I43" s="1758" t="str">
        <f t="shared" si="18"/>
        <v>n/a</v>
      </c>
      <c r="J43" s="1758" t="str">
        <f t="shared" si="18"/>
        <v>n/a</v>
      </c>
      <c r="K43" s="1758" t="str">
        <f t="shared" ref="K43:V43" si="19">IFERROR(QUARTILE(K12:K36,0),"n/a")</f>
        <v>n/a</v>
      </c>
      <c r="L43" s="1758" t="str">
        <f t="shared" si="19"/>
        <v>n/a</v>
      </c>
      <c r="M43" s="1758" t="str">
        <f t="shared" si="19"/>
        <v>n/a</v>
      </c>
      <c r="N43" s="1758" t="str">
        <f t="shared" si="19"/>
        <v>n/a</v>
      </c>
      <c r="O43" s="1758" t="str">
        <f t="shared" si="19"/>
        <v>n/a</v>
      </c>
      <c r="P43" s="1758" t="str">
        <f t="shared" si="19"/>
        <v>n/a</v>
      </c>
      <c r="Q43" s="2060"/>
      <c r="R43" s="1758" t="str">
        <f>IFERROR(QUARTILE(R12:R36,0),"n/a")</f>
        <v>n/a</v>
      </c>
      <c r="S43" s="1758" t="str">
        <f>IFERROR(QUARTILE(S12:S36,0),"n/a")</f>
        <v>n/a</v>
      </c>
      <c r="T43" s="1758" t="str">
        <f>IFERROR(QUARTILE(T12:T36,0),"n/a")</f>
        <v>n/a</v>
      </c>
      <c r="U43" s="1758" t="str">
        <f t="shared" si="19"/>
        <v>n/a</v>
      </c>
      <c r="V43" s="1758" t="str">
        <f t="shared" si="19"/>
        <v>n/a</v>
      </c>
      <c r="W43" s="1758" t="str">
        <f>IFERROR(QUARTILE(W12:W36,0),"n/a")</f>
        <v>n/a</v>
      </c>
      <c r="X43" s="1758" t="str">
        <f t="shared" ref="X43:AI43" si="20">IFERROR(QUARTILE(X12:X36,0),"n/a")</f>
        <v>n/a</v>
      </c>
      <c r="Y43" s="1758" t="str">
        <f t="shared" si="20"/>
        <v>n/a</v>
      </c>
      <c r="Z43" s="1758" t="str">
        <f t="shared" si="20"/>
        <v>n/a</v>
      </c>
      <c r="AA43" s="1758" t="str">
        <f t="shared" si="20"/>
        <v>n/a</v>
      </c>
      <c r="AB43" s="1758" t="str">
        <f t="shared" si="20"/>
        <v>n/a</v>
      </c>
      <c r="AC43" s="1758" t="str">
        <f t="shared" si="20"/>
        <v>n/a</v>
      </c>
      <c r="AD43" s="2060"/>
      <c r="AE43" s="1758" t="str">
        <f>IFERROR(QUARTILE(AE12:AE36,0),"n/a")</f>
        <v>n/a</v>
      </c>
      <c r="AF43" s="1758" t="str">
        <f>IFERROR(QUARTILE(AF12:AF36,0),"n/a")</f>
        <v>n/a</v>
      </c>
      <c r="AG43" s="1758" t="str">
        <f>IFERROR(QUARTILE(AG12:AG36,0),"n/a")</f>
        <v>n/a</v>
      </c>
      <c r="AH43" s="1758" t="str">
        <f t="shared" si="20"/>
        <v>n/a</v>
      </c>
      <c r="AI43" s="1758" t="str">
        <f t="shared" si="20"/>
        <v>n/a</v>
      </c>
      <c r="AJ43" s="1758" t="str">
        <f t="shared" ref="AJ43:AP43" si="21">IFERROR(QUARTILE(AJ12:AJ36,0),"n/a")</f>
        <v>n/a</v>
      </c>
      <c r="AK43" s="1758" t="str">
        <f t="shared" si="21"/>
        <v>n/a</v>
      </c>
      <c r="AL43" s="1758" t="str">
        <f t="shared" si="21"/>
        <v>n/a</v>
      </c>
      <c r="AM43" s="1758" t="str">
        <f t="shared" si="21"/>
        <v>n/a</v>
      </c>
      <c r="AN43" s="1758" t="str">
        <f t="shared" si="21"/>
        <v>n/a</v>
      </c>
      <c r="AO43" s="1758" t="str">
        <f t="shared" si="21"/>
        <v>n/a</v>
      </c>
      <c r="AP43" s="1758" t="str">
        <f t="shared" si="21"/>
        <v>n/a</v>
      </c>
      <c r="AR43" s="1557"/>
      <c r="AW43" s="1525"/>
      <c r="AX43" s="1525"/>
      <c r="AY43" s="1525"/>
      <c r="AZ43" s="1525"/>
      <c r="BA43" s="1525"/>
      <c r="BB43" s="1525"/>
      <c r="BC43" s="1525"/>
      <c r="BD43" s="1525"/>
      <c r="BE43" s="1525"/>
      <c r="BF43" s="1525"/>
      <c r="BG43" s="1525"/>
      <c r="BH43" s="1525"/>
      <c r="BI43" s="1525"/>
      <c r="BJ43" s="1525"/>
      <c r="BK43" s="1525"/>
    </row>
    <row r="44" spans="1:63" s="1530" customFormat="1" ht="12" customHeight="1">
      <c r="A44" s="1557"/>
      <c r="B44" s="1557"/>
      <c r="C44" s="1759" t="s">
        <v>1471</v>
      </c>
      <c r="D44" s="1760"/>
      <c r="E44" s="1761"/>
      <c r="F44" s="1761"/>
      <c r="G44" s="1761"/>
      <c r="H44" s="1761"/>
      <c r="I44" s="1761"/>
      <c r="J44" s="1529"/>
      <c r="K44" s="738"/>
      <c r="L44" s="738"/>
      <c r="M44" s="738"/>
      <c r="N44" s="1527"/>
      <c r="O44" s="1527"/>
      <c r="P44" s="1527"/>
      <c r="Q44" s="2060"/>
      <c r="R44" s="1762"/>
      <c r="S44" s="1762"/>
      <c r="T44" s="1762"/>
      <c r="U44" s="1762"/>
      <c r="V44" s="1762"/>
      <c r="W44" s="1762"/>
      <c r="X44" s="1762"/>
      <c r="Y44" s="1762"/>
      <c r="Z44" s="1762"/>
      <c r="AA44" s="1762"/>
      <c r="AB44" s="1762"/>
      <c r="AC44" s="1762"/>
      <c r="AD44" s="2060"/>
      <c r="AE44" s="1762"/>
      <c r="AF44" s="1762"/>
      <c r="AG44" s="1762"/>
      <c r="AH44" s="1762"/>
      <c r="AI44" s="1762"/>
      <c r="AJ44" s="1762"/>
      <c r="AK44" s="1762"/>
      <c r="AL44" s="1762"/>
      <c r="AM44" s="1762"/>
      <c r="AN44" s="1762"/>
      <c r="AO44" s="1762"/>
      <c r="AP44" s="1762"/>
      <c r="AR44" s="1557"/>
      <c r="AW44" s="1525"/>
      <c r="AX44" s="1525"/>
      <c r="AY44" s="1525"/>
      <c r="AZ44" s="1525"/>
      <c r="BA44" s="1525"/>
      <c r="BB44" s="1525"/>
      <c r="BC44" s="1525"/>
      <c r="BD44" s="1525"/>
      <c r="BE44" s="1525"/>
      <c r="BF44" s="1525"/>
      <c r="BG44" s="1525"/>
      <c r="BH44" s="1525"/>
      <c r="BI44" s="1525"/>
      <c r="BJ44" s="1525"/>
      <c r="BK44" s="1525"/>
    </row>
    <row r="45" spans="1:63" s="1530" customFormat="1" ht="12" customHeight="1">
      <c r="A45" s="1557"/>
      <c r="B45" s="1557"/>
      <c r="C45" s="1545" t="str">
        <f>ClientName</f>
        <v/>
      </c>
      <c r="D45" s="651">
        <f>FQtr</f>
        <v>42643</v>
      </c>
      <c r="E45" s="1364">
        <f>'INC STAT Hist Input'!E37</f>
        <v>0</v>
      </c>
      <c r="F45" s="1364" t="str">
        <f>'INC STAT Hist Input'!F37</f>
        <v>n/a</v>
      </c>
      <c r="G45" s="1364" t="str">
        <f>'INC STAT Hist Input'!G37</f>
        <v>n/a</v>
      </c>
      <c r="H45" s="1364" t="str">
        <f>'INC STAT Hist Input'!H37</f>
        <v>n/a</v>
      </c>
      <c r="I45" s="1364" t="str">
        <f>'INC STAT Hist Input'!I37</f>
        <v>n/a</v>
      </c>
      <c r="J45" s="1364" t="str">
        <f>'INC STAT Hist Input'!J37</f>
        <v>n/a</v>
      </c>
      <c r="K45" s="1364" t="s">
        <v>967</v>
      </c>
      <c r="L45" s="1364">
        <f>'PFI Inputs'!G31</f>
        <v>0</v>
      </c>
      <c r="M45" s="1364">
        <f>'PFI Inputs'!H31</f>
        <v>0</v>
      </c>
      <c r="N45" s="1364">
        <f>'PFI Inputs'!I31</f>
        <v>0</v>
      </c>
      <c r="O45" s="1364">
        <f>'PFI Inputs'!J31</f>
        <v>0</v>
      </c>
      <c r="P45" s="1364">
        <f>'PFI Inputs'!K31</f>
        <v>0</v>
      </c>
      <c r="Q45" s="2060"/>
      <c r="R45" s="1364">
        <f>'INC STAT Hist Input'!E39</f>
        <v>0</v>
      </c>
      <c r="S45" s="1364" t="str">
        <f>'INC STAT Hist Input'!F39</f>
        <v>n/a</v>
      </c>
      <c r="T45" s="1364" t="str">
        <f>'INC STAT Hist Input'!G39</f>
        <v>n/a</v>
      </c>
      <c r="U45" s="1364" t="str">
        <f>'INC STAT Hist Input'!H39</f>
        <v>n/a</v>
      </c>
      <c r="V45" s="1364" t="str">
        <f>'INC STAT Hist Input'!I39</f>
        <v>n/a</v>
      </c>
      <c r="W45" s="1364" t="str">
        <f>'INC STAT Hist Input'!J39</f>
        <v>n/a</v>
      </c>
      <c r="X45" s="1364" t="s">
        <v>967</v>
      </c>
      <c r="Y45" s="1364" t="str">
        <f>'PFI Inputs'!G309</f>
        <v>--</v>
      </c>
      <c r="Z45" s="1364" t="str">
        <f>'PFI Inputs'!H309</f>
        <v>--</v>
      </c>
      <c r="AA45" s="1364" t="str">
        <f>'PFI Inputs'!I309</f>
        <v>--</v>
      </c>
      <c r="AB45" s="1364" t="str">
        <f>'PFI Inputs'!J309</f>
        <v>--</v>
      </c>
      <c r="AC45" s="1364" t="str">
        <f>'PFI Inputs'!K309</f>
        <v>--</v>
      </c>
      <c r="AD45" s="2060"/>
      <c r="AE45" s="1364">
        <f>'INC STAT Hist Input'!E40</f>
        <v>0</v>
      </c>
      <c r="AF45" s="1364" t="str">
        <f>'INC STAT Hist Input'!F40</f>
        <v>n/a</v>
      </c>
      <c r="AG45" s="1364" t="str">
        <f>'INC STAT Hist Input'!G40</f>
        <v>n/a</v>
      </c>
      <c r="AH45" s="1364" t="str">
        <f>'INC STAT Hist Input'!H40</f>
        <v>n/a</v>
      </c>
      <c r="AI45" s="1364" t="str">
        <f>'INC STAT Hist Input'!I40</f>
        <v>n/a</v>
      </c>
      <c r="AJ45" s="1364" t="str">
        <f>'INC STAT Hist Input'!J40</f>
        <v>n/a</v>
      </c>
      <c r="AK45" s="1762" t="s">
        <v>967</v>
      </c>
      <c r="AL45" s="1364" t="str">
        <f ca="1">'PFI Inputs'!G310</f>
        <v>--</v>
      </c>
      <c r="AM45" s="1364" t="str">
        <f ca="1">'PFI Inputs'!H310</f>
        <v>--</v>
      </c>
      <c r="AN45" s="1364" t="str">
        <f ca="1">'PFI Inputs'!I310</f>
        <v>--</v>
      </c>
      <c r="AO45" s="1364" t="str">
        <f ca="1">'PFI Inputs'!J310</f>
        <v>--</v>
      </c>
      <c r="AP45" s="1364" t="str">
        <f ca="1">'PFI Inputs'!K310</f>
        <v>--</v>
      </c>
      <c r="AR45" s="1557"/>
      <c r="AW45" s="1525"/>
      <c r="AX45" s="1525"/>
      <c r="AY45" s="1525"/>
      <c r="AZ45" s="1525"/>
      <c r="BA45" s="1525"/>
      <c r="BB45" s="1525"/>
      <c r="BC45" s="1525"/>
      <c r="BD45" s="1525"/>
      <c r="BE45" s="1525"/>
      <c r="BF45" s="1525"/>
      <c r="BG45" s="1525"/>
      <c r="BH45" s="1525"/>
      <c r="BI45" s="1525"/>
      <c r="BJ45" s="1525"/>
      <c r="BK45" s="1525"/>
    </row>
    <row r="46" spans="1:63" s="1530" customFormat="1" ht="12" customHeight="1">
      <c r="A46" s="1557"/>
      <c r="B46" s="1557"/>
      <c r="C46" s="1759"/>
      <c r="D46" s="1760"/>
      <c r="E46" s="1761"/>
      <c r="F46" s="1761"/>
      <c r="G46" s="1761"/>
      <c r="H46" s="1761"/>
      <c r="I46" s="1761"/>
      <c r="J46" s="1529"/>
      <c r="K46" s="738"/>
      <c r="L46" s="738"/>
      <c r="M46" s="738"/>
      <c r="N46" s="1527"/>
      <c r="O46" s="1527"/>
      <c r="P46" s="1527"/>
      <c r="Q46" s="2060"/>
      <c r="R46" s="1762"/>
      <c r="S46" s="1762"/>
      <c r="T46" s="1762"/>
      <c r="U46" s="1762"/>
      <c r="V46" s="1762"/>
      <c r="W46" s="1762"/>
      <c r="X46" s="1762"/>
      <c r="Y46" s="1762"/>
      <c r="Z46" s="1762"/>
      <c r="AA46" s="1762"/>
      <c r="AB46" s="1762"/>
      <c r="AC46" s="1762"/>
      <c r="AD46" s="1762"/>
      <c r="AE46" s="1762"/>
      <c r="AF46" s="1762"/>
      <c r="AG46" s="1762"/>
      <c r="AH46" s="1762"/>
      <c r="AI46" s="1762"/>
      <c r="AJ46" s="1762"/>
      <c r="AK46" s="1762"/>
      <c r="AL46" s="1762"/>
      <c r="AM46" s="1762"/>
      <c r="AN46" s="1762"/>
      <c r="AO46" s="1762"/>
      <c r="AP46" s="1762"/>
      <c r="AR46" s="1557"/>
      <c r="AW46" s="1525"/>
      <c r="AX46" s="1525"/>
      <c r="AY46" s="1525"/>
      <c r="AZ46" s="1525"/>
      <c r="BA46" s="1525"/>
      <c r="BB46" s="1525"/>
      <c r="BC46" s="1525"/>
      <c r="BD46" s="1525"/>
      <c r="BE46" s="1525"/>
      <c r="BF46" s="1525"/>
      <c r="BG46" s="1525"/>
      <c r="BH46" s="1525"/>
      <c r="BI46" s="1525"/>
      <c r="BJ46" s="1525"/>
      <c r="BK46" s="1525"/>
    </row>
    <row r="47" spans="1:63" s="1530" customFormat="1" ht="12" customHeight="1">
      <c r="A47" s="1557"/>
      <c r="B47" s="1557"/>
      <c r="C47" s="1544"/>
      <c r="D47" s="1570"/>
      <c r="E47" s="2060"/>
      <c r="F47" s="2060"/>
      <c r="G47" s="2060"/>
      <c r="H47" s="1585"/>
      <c r="I47" s="1585"/>
      <c r="J47" s="1556"/>
      <c r="K47" s="1556"/>
      <c r="L47" s="1556"/>
      <c r="M47" s="1545"/>
      <c r="N47" s="1504"/>
      <c r="O47" s="1504"/>
      <c r="P47" s="1504"/>
      <c r="Q47" s="2060"/>
      <c r="R47" s="1504"/>
      <c r="S47" s="1504"/>
      <c r="T47" s="1504"/>
      <c r="U47" s="1556"/>
      <c r="V47" s="1556"/>
      <c r="W47" s="1556"/>
      <c r="X47" s="1556"/>
      <c r="Y47" s="1556"/>
      <c r="Z47" s="1556"/>
      <c r="AA47" s="1556"/>
      <c r="AB47" s="1556"/>
      <c r="AC47" s="1556"/>
      <c r="AD47" s="1556"/>
      <c r="AE47" s="1556"/>
      <c r="AF47" s="1556"/>
      <c r="AG47" s="1556"/>
      <c r="AH47" s="1556"/>
      <c r="AI47" s="1556"/>
      <c r="AJ47" s="1556"/>
      <c r="AK47" s="1556"/>
      <c r="AL47" s="1556"/>
      <c r="AM47" s="1556"/>
      <c r="AN47" s="1556"/>
      <c r="AO47" s="1556"/>
      <c r="AP47" s="1556"/>
      <c r="AR47" s="1557"/>
      <c r="AS47" s="1525"/>
      <c r="AT47" s="1525"/>
      <c r="AU47" s="1525"/>
      <c r="AV47" s="1525"/>
      <c r="AW47" s="1525"/>
      <c r="AX47" s="1525"/>
      <c r="AY47" s="1525"/>
      <c r="AZ47" s="1525"/>
      <c r="BA47" s="1525"/>
      <c r="BB47" s="1525"/>
      <c r="BC47" s="1525"/>
      <c r="BD47" s="1525"/>
      <c r="BE47" s="1525"/>
      <c r="BF47" s="1525"/>
      <c r="BG47" s="1525"/>
      <c r="BH47" s="1525"/>
      <c r="BI47" s="1525"/>
      <c r="BJ47" s="1525"/>
      <c r="BK47" s="1525"/>
    </row>
    <row r="48" spans="1:63" s="1530" customFormat="1" ht="12" customHeight="1">
      <c r="A48" s="1557"/>
      <c r="B48" s="1557"/>
      <c r="C48" s="1544" t="str">
        <f>"CAGR=Compound annual growth rate; EBIT=Earnings before interest and taxes; EBITDA=Earnings before interest and taxes, depreciation and amortization; LFY=Last fiscal year; LTM=Last twelve months; "&amp;EVorTIC&amp;"="&amp;EVorTICFull</f>
        <v>CAGR=Compound annual growth rate; EBIT=Earnings before interest and taxes; EBITDA=Earnings before interest and taxes, depreciation and amortization; LFY=Last fiscal year; LTM=Last twelve months; TIC=Total invested capital</v>
      </c>
      <c r="D48" s="1570"/>
      <c r="E48" s="2060"/>
      <c r="F48" s="2060"/>
      <c r="G48" s="2060"/>
      <c r="H48" s="1585"/>
      <c r="I48" s="1585"/>
      <c r="J48" s="1556"/>
      <c r="K48" s="1556"/>
      <c r="L48" s="1556"/>
      <c r="M48" s="1545"/>
      <c r="N48" s="1504"/>
      <c r="O48" s="1504"/>
      <c r="P48" s="1504"/>
      <c r="Q48" s="1504"/>
      <c r="R48" s="1504"/>
      <c r="S48" s="1504"/>
      <c r="T48" s="1504"/>
      <c r="U48" s="1556"/>
      <c r="V48" s="1556"/>
      <c r="W48" s="1556"/>
      <c r="X48" s="1556"/>
      <c r="Y48" s="1556"/>
      <c r="Z48" s="1556"/>
      <c r="AA48" s="1556"/>
      <c r="AB48" s="1556"/>
      <c r="AC48" s="1556"/>
      <c r="AD48" s="1556"/>
      <c r="AE48" s="1529"/>
      <c r="AF48" s="1529"/>
      <c r="AG48" s="1529"/>
      <c r="AH48" s="1556"/>
      <c r="AI48" s="1556"/>
      <c r="AJ48" s="1556"/>
      <c r="AK48" s="1556"/>
      <c r="AL48" s="1556"/>
      <c r="AM48" s="1556"/>
      <c r="AN48" s="1556"/>
      <c r="AO48" s="1556"/>
      <c r="AP48" s="1556"/>
      <c r="AR48" s="1557"/>
      <c r="AS48" s="1525"/>
      <c r="AT48" s="1525"/>
      <c r="AU48" s="1525"/>
      <c r="AV48" s="1525"/>
      <c r="AW48" s="1525"/>
      <c r="AX48" s="1525"/>
      <c r="AY48" s="1525"/>
      <c r="AZ48" s="1525"/>
      <c r="BA48" s="1525"/>
      <c r="BB48" s="1525"/>
      <c r="BC48" s="1525"/>
      <c r="BD48" s="1525"/>
      <c r="BE48" s="1525"/>
      <c r="BF48" s="1525"/>
      <c r="BG48" s="1525"/>
      <c r="BH48" s="1525"/>
      <c r="BI48" s="1525"/>
      <c r="BJ48" s="1525"/>
      <c r="BK48" s="1525"/>
    </row>
    <row r="49" spans="1:63" s="1530" customFormat="1" ht="12" customHeight="1">
      <c r="A49" s="1557"/>
      <c r="B49" s="1557"/>
      <c r="C49" s="1529" t="s">
        <v>1402</v>
      </c>
      <c r="D49" s="1529"/>
      <c r="E49" s="2060"/>
      <c r="F49" s="2060"/>
      <c r="G49" s="2060"/>
      <c r="H49" s="679"/>
      <c r="I49" s="679"/>
      <c r="J49" s="1529"/>
      <c r="K49" s="1529"/>
      <c r="L49" s="1529"/>
      <c r="M49" s="1529"/>
      <c r="N49" s="1529"/>
      <c r="O49" s="1529"/>
      <c r="P49" s="1529"/>
      <c r="Q49" s="1529"/>
      <c r="R49" s="1529"/>
      <c r="S49" s="1529"/>
      <c r="T49" s="1529"/>
      <c r="U49" s="1529"/>
      <c r="V49" s="1529"/>
      <c r="W49" s="1529"/>
      <c r="X49" s="1529"/>
      <c r="Y49" s="1529"/>
      <c r="Z49" s="1529"/>
      <c r="AA49" s="1529"/>
      <c r="AB49" s="1529"/>
      <c r="AC49" s="1529"/>
      <c r="AD49" s="1529"/>
      <c r="AE49" s="1529"/>
      <c r="AF49" s="1529"/>
      <c r="AG49" s="1529"/>
      <c r="AH49" s="1529"/>
      <c r="AI49" s="1529"/>
      <c r="AJ49" s="1529"/>
      <c r="AK49" s="1529"/>
      <c r="AL49" s="1529"/>
      <c r="AM49" s="1529"/>
      <c r="AN49" s="1529"/>
      <c r="AO49" s="1529"/>
      <c r="AP49" s="1529"/>
      <c r="AQ49" s="1525"/>
      <c r="AR49" s="1557"/>
      <c r="AS49" s="1525"/>
      <c r="AT49" s="1525"/>
      <c r="AU49" s="1525"/>
      <c r="AV49" s="1525"/>
      <c r="AW49" s="1525"/>
      <c r="AX49" s="1525"/>
      <c r="AY49" s="1525"/>
      <c r="AZ49" s="1525"/>
      <c r="BA49" s="1525"/>
      <c r="BB49" s="1525"/>
      <c r="BC49" s="1525"/>
      <c r="BD49" s="1525"/>
      <c r="BE49" s="1525"/>
      <c r="BF49" s="1525"/>
      <c r="BG49" s="1525"/>
      <c r="BH49" s="1525"/>
      <c r="BI49" s="1525"/>
      <c r="BJ49" s="1525"/>
      <c r="BK49" s="1525"/>
    </row>
    <row r="50" spans="1:63" s="1530" customFormat="1" ht="12" customHeight="1">
      <c r="A50" s="1557"/>
      <c r="B50" s="1557"/>
      <c r="C50" s="1529"/>
      <c r="D50" s="1529"/>
      <c r="E50" s="2060"/>
      <c r="F50" s="2060"/>
      <c r="G50" s="2060"/>
      <c r="H50" s="679"/>
      <c r="I50" s="679"/>
      <c r="J50" s="1529"/>
      <c r="K50" s="1529"/>
      <c r="L50" s="1529"/>
      <c r="M50" s="1529"/>
      <c r="N50" s="1529"/>
      <c r="O50" s="1529"/>
      <c r="P50" s="1529"/>
      <c r="Q50" s="1529"/>
      <c r="R50" s="1529"/>
      <c r="S50" s="1529"/>
      <c r="T50" s="1529"/>
      <c r="U50" s="1529"/>
      <c r="V50" s="1529"/>
      <c r="W50" s="1529"/>
      <c r="X50" s="1529"/>
      <c r="Y50" s="1529"/>
      <c r="Z50" s="1529"/>
      <c r="AA50" s="1529"/>
      <c r="AB50" s="1529"/>
      <c r="AC50" s="1529"/>
      <c r="AD50" s="1529"/>
      <c r="AE50" s="1529"/>
      <c r="AF50" s="1529"/>
      <c r="AG50" s="1529"/>
      <c r="AH50" s="1529"/>
      <c r="AI50" s="1529"/>
      <c r="AJ50" s="1529"/>
      <c r="AK50" s="1529"/>
      <c r="AL50" s="1529"/>
      <c r="AM50" s="1529"/>
      <c r="AN50" s="1529"/>
      <c r="AO50" s="1529"/>
      <c r="AP50" s="1529"/>
      <c r="AQ50" s="1525"/>
      <c r="AR50" s="1557"/>
      <c r="AS50" s="1525"/>
      <c r="AT50" s="1525"/>
      <c r="AU50" s="1525"/>
      <c r="AV50" s="1525"/>
      <c r="AW50" s="1525"/>
      <c r="AX50" s="1525"/>
      <c r="AY50" s="1525"/>
      <c r="AZ50" s="1525"/>
      <c r="BA50" s="1525"/>
      <c r="BB50" s="1525"/>
      <c r="BC50" s="1525"/>
      <c r="BD50" s="1525"/>
      <c r="BE50" s="1525"/>
      <c r="BF50" s="1525"/>
      <c r="BG50" s="1525"/>
      <c r="BH50" s="1525"/>
      <c r="BI50" s="1525"/>
      <c r="BJ50" s="1525"/>
      <c r="BK50" s="1525"/>
    </row>
    <row r="51" spans="1:63" s="1530" customFormat="1" ht="12" customHeight="1">
      <c r="A51" s="1557"/>
      <c r="B51" s="1557"/>
      <c r="C51" s="1529" t="str">
        <f>DraftFooter</f>
        <v>Draft and preliminary. All data subject to change upon completion of additional analysis</v>
      </c>
      <c r="D51" s="356"/>
      <c r="E51" s="691"/>
      <c r="F51" s="691"/>
      <c r="G51" s="691"/>
      <c r="H51" s="691"/>
      <c r="I51" s="691"/>
      <c r="J51" s="356"/>
      <c r="K51" s="356"/>
      <c r="L51" s="356"/>
      <c r="M51" s="356"/>
      <c r="N51" s="356"/>
      <c r="O51" s="356"/>
      <c r="P51" s="356"/>
      <c r="Q51" s="356"/>
      <c r="R51" s="1529"/>
      <c r="S51" s="1529"/>
      <c r="T51" s="1529"/>
      <c r="U51" s="1529"/>
      <c r="V51" s="1529"/>
      <c r="W51" s="1529"/>
      <c r="X51" s="356"/>
      <c r="Y51" s="357"/>
      <c r="Z51" s="652"/>
      <c r="AA51" s="652"/>
      <c r="AB51" s="652"/>
      <c r="AC51" s="652"/>
      <c r="AD51" s="652"/>
      <c r="AE51" s="652"/>
      <c r="AF51" s="652"/>
      <c r="AG51" s="652"/>
      <c r="AH51" s="652"/>
      <c r="AI51" s="652"/>
      <c r="AJ51" s="652"/>
      <c r="AK51" s="652"/>
      <c r="AL51" s="652"/>
      <c r="AM51" s="652"/>
      <c r="AN51" s="652"/>
      <c r="AO51" s="652"/>
      <c r="AP51" s="652"/>
      <c r="AQ51" s="1525"/>
      <c r="AR51" s="1557"/>
      <c r="AS51" s="1525"/>
      <c r="AT51" s="1525"/>
      <c r="AU51" s="1525"/>
      <c r="AV51" s="1525"/>
      <c r="AW51" s="1525"/>
      <c r="AX51" s="1525"/>
      <c r="AY51" s="1525"/>
      <c r="AZ51" s="1525"/>
      <c r="BA51" s="1525"/>
      <c r="BB51" s="1525"/>
      <c r="BC51" s="1525"/>
      <c r="BD51" s="1525"/>
      <c r="BE51" s="1525"/>
      <c r="BF51" s="1525"/>
      <c r="BG51" s="1525"/>
      <c r="BH51" s="1525"/>
      <c r="BI51" s="1525"/>
      <c r="BJ51" s="1525"/>
      <c r="BK51" s="1525"/>
    </row>
    <row r="52" spans="1:63" s="1530" customFormat="1" ht="12" customHeight="1">
      <c r="A52" s="1557" t="s">
        <v>17</v>
      </c>
      <c r="B52" s="1557"/>
      <c r="C52" s="592"/>
      <c r="D52" s="592"/>
      <c r="E52" s="709"/>
      <c r="F52" s="709"/>
      <c r="G52" s="709"/>
      <c r="H52" s="709"/>
      <c r="I52" s="709"/>
      <c r="J52" s="592"/>
      <c r="K52" s="592"/>
      <c r="L52" s="592"/>
      <c r="M52" s="592"/>
      <c r="N52" s="592"/>
      <c r="O52" s="592"/>
      <c r="P52" s="592"/>
      <c r="Q52" s="592"/>
      <c r="R52" s="1565"/>
      <c r="S52" s="1565"/>
      <c r="T52" s="1565"/>
      <c r="U52" s="1565"/>
      <c r="V52" s="1565"/>
      <c r="W52" s="1565"/>
      <c r="X52" s="592"/>
      <c r="Y52" s="592"/>
      <c r="Z52" s="592"/>
      <c r="AA52" s="592"/>
      <c r="AB52" s="592"/>
      <c r="AC52" s="592"/>
      <c r="AD52" s="592"/>
      <c r="AE52" s="592"/>
      <c r="AF52" s="592"/>
      <c r="AG52" s="592"/>
      <c r="AH52" s="592"/>
      <c r="AI52" s="592"/>
      <c r="AJ52" s="592"/>
      <c r="AK52" s="592"/>
      <c r="AL52" s="592"/>
      <c r="AM52" s="592"/>
      <c r="AN52" s="592"/>
      <c r="AO52" s="592"/>
      <c r="AP52" s="592"/>
      <c r="AQ52" s="596" t="s">
        <v>18</v>
      </c>
      <c r="AR52" s="1557"/>
      <c r="AS52" s="1525"/>
      <c r="AT52" s="1525"/>
      <c r="AU52" s="1525"/>
      <c r="AV52" s="1525"/>
      <c r="AW52" s="1525"/>
      <c r="AX52" s="1525"/>
      <c r="AY52" s="1525"/>
      <c r="AZ52" s="1525"/>
      <c r="BA52" s="1525"/>
      <c r="BB52" s="1525"/>
      <c r="BC52" s="1525"/>
      <c r="BD52" s="1525"/>
      <c r="BE52" s="1525"/>
      <c r="BF52" s="1525"/>
      <c r="BG52" s="1525"/>
      <c r="BH52" s="1525"/>
      <c r="BI52" s="1525"/>
      <c r="BJ52" s="1525"/>
      <c r="BK52" s="1525"/>
    </row>
    <row r="53" spans="1:63" s="1530" customFormat="1" ht="18" customHeight="1">
      <c r="A53" s="1557"/>
      <c r="B53" s="649">
        <f ca="1">SUMPRODUCT(--ISERROR($C$1:AQ150))+COUNTIF($C$1:AQ150,Fail)</f>
        <v>0</v>
      </c>
      <c r="C53" s="1372" t="str">
        <f>START!$C$1</f>
        <v>Client Name</v>
      </c>
      <c r="D53" s="852"/>
      <c r="E53" s="852"/>
      <c r="F53" s="852"/>
      <c r="G53" s="852"/>
      <c r="H53" s="852"/>
      <c r="I53" s="852"/>
      <c r="J53" s="852"/>
      <c r="K53" s="852"/>
      <c r="L53" s="852"/>
      <c r="M53" s="852"/>
      <c r="N53" s="852"/>
      <c r="O53" s="852"/>
      <c r="P53" s="852"/>
      <c r="Q53" s="852"/>
      <c r="R53" s="1525"/>
      <c r="S53" s="1525"/>
      <c r="T53" s="1525"/>
      <c r="U53" s="1525"/>
      <c r="V53" s="1525"/>
      <c r="W53" s="1525"/>
      <c r="X53" s="852"/>
      <c r="Y53" s="852"/>
      <c r="Z53" s="1525"/>
      <c r="AA53" s="1525"/>
      <c r="AB53" s="1525"/>
      <c r="AC53" s="1525"/>
      <c r="AD53" s="1525"/>
      <c r="AE53" s="1525"/>
      <c r="AF53" s="1525"/>
      <c r="AG53" s="1525"/>
      <c r="AH53" s="1525"/>
      <c r="AI53" s="1525"/>
      <c r="AJ53" s="1525"/>
      <c r="AK53" s="1525"/>
      <c r="AL53" s="1525"/>
      <c r="AM53" s="1525"/>
      <c r="AN53" s="1525"/>
      <c r="AO53" s="1525"/>
      <c r="AP53" s="1525"/>
      <c r="AQ53" s="389" t="str">
        <f>AQ1&amp;".a"</f>
        <v>Exhibit 3.a</v>
      </c>
      <c r="AR53" s="1557"/>
      <c r="AW53" s="1525"/>
      <c r="AX53" s="1525"/>
      <c r="AY53" s="1525"/>
      <c r="AZ53" s="1525"/>
      <c r="BA53" s="1525"/>
      <c r="BB53" s="1525"/>
      <c r="BC53" s="1525"/>
      <c r="BD53" s="1525"/>
      <c r="BE53" s="1525"/>
      <c r="BF53" s="1525"/>
      <c r="BG53" s="1525"/>
      <c r="BH53" s="1525"/>
      <c r="BI53" s="1525"/>
      <c r="BJ53" s="1525"/>
      <c r="BK53" s="1525"/>
    </row>
    <row r="54" spans="1:63" s="1530" customFormat="1" ht="18" customHeight="1">
      <c r="A54" s="1557"/>
      <c r="B54" s="649"/>
      <c r="C54" s="1372" t="str">
        <f>START!$C$2</f>
        <v xml:space="preserve">Please enter project description in START worksheet cell G13 </v>
      </c>
      <c r="D54" s="852"/>
      <c r="E54" s="852"/>
      <c r="F54" s="852"/>
      <c r="G54" s="852"/>
      <c r="H54" s="852"/>
      <c r="I54" s="852"/>
      <c r="J54" s="852"/>
      <c r="K54" s="852"/>
      <c r="L54" s="852"/>
      <c r="M54" s="852"/>
      <c r="N54" s="852"/>
      <c r="O54" s="852"/>
      <c r="P54" s="852"/>
      <c r="Q54" s="852"/>
      <c r="R54" s="1525"/>
      <c r="S54" s="1525"/>
      <c r="T54" s="1525"/>
      <c r="U54" s="1525"/>
      <c r="V54" s="1525"/>
      <c r="W54" s="1525"/>
      <c r="X54" s="852"/>
      <c r="Y54" s="852"/>
      <c r="Z54" s="1525"/>
      <c r="AA54" s="1525"/>
      <c r="AB54" s="1525"/>
      <c r="AC54" s="1525"/>
      <c r="AD54" s="1525"/>
      <c r="AE54" s="1525"/>
      <c r="AF54" s="1525"/>
      <c r="AG54" s="1525"/>
      <c r="AH54" s="1525"/>
      <c r="AI54" s="1525"/>
      <c r="AJ54" s="1525"/>
      <c r="AK54" s="1525"/>
      <c r="AL54" s="1525"/>
      <c r="AM54" s="1525"/>
      <c r="AN54" s="1525"/>
      <c r="AO54" s="1525"/>
      <c r="AP54" s="1525"/>
      <c r="AQ54" s="389"/>
      <c r="AR54" s="1557"/>
      <c r="AW54" s="1525"/>
      <c r="AX54" s="1525"/>
      <c r="AY54" s="1525"/>
      <c r="AZ54" s="1525"/>
      <c r="BA54" s="1525"/>
      <c r="BB54" s="1525"/>
      <c r="BC54" s="1525"/>
      <c r="BD54" s="1525"/>
      <c r="BE54" s="1525"/>
      <c r="BF54" s="1525"/>
      <c r="BG54" s="1525"/>
      <c r="BH54" s="1525"/>
      <c r="BI54" s="1525"/>
      <c r="BJ54" s="1525"/>
      <c r="BK54" s="1525"/>
    </row>
    <row r="55" spans="1:63" s="1530" customFormat="1" ht="18" customHeight="1">
      <c r="A55" s="1557"/>
      <c r="B55" s="1557"/>
      <c r="C55" s="839" t="s">
        <v>1474</v>
      </c>
      <c r="D55" s="1526"/>
      <c r="E55" s="1526"/>
      <c r="F55" s="1526"/>
      <c r="G55" s="1526"/>
      <c r="H55" s="1526"/>
      <c r="I55" s="1526"/>
      <c r="J55" s="1526"/>
      <c r="K55" s="1526"/>
      <c r="L55" s="1526"/>
      <c r="M55" s="1526"/>
      <c r="N55" s="1526"/>
      <c r="O55" s="1526"/>
      <c r="P55" s="1526"/>
      <c r="Q55" s="1526"/>
      <c r="R55" s="1525"/>
      <c r="S55" s="1525"/>
      <c r="T55" s="1525"/>
      <c r="U55" s="1525"/>
      <c r="V55" s="1525"/>
      <c r="W55" s="1525"/>
      <c r="X55" s="1526"/>
      <c r="Y55" s="1526"/>
      <c r="Z55" s="1526"/>
      <c r="AA55" s="1526"/>
      <c r="AB55" s="1526"/>
      <c r="AC55" s="1526"/>
      <c r="AD55" s="1526"/>
      <c r="AE55" s="1526"/>
      <c r="AF55" s="1526"/>
      <c r="AG55" s="1526"/>
      <c r="AH55" s="1526"/>
      <c r="AI55" s="1526"/>
      <c r="AJ55" s="1526"/>
      <c r="AK55" s="1526"/>
      <c r="AL55" s="1526"/>
      <c r="AM55" s="1526"/>
      <c r="AN55" s="1526"/>
      <c r="AO55" s="1526"/>
      <c r="AP55" s="1526"/>
      <c r="AQ55" s="1525"/>
      <c r="AR55" s="1557"/>
      <c r="AW55" s="1525"/>
      <c r="AX55" s="1525"/>
      <c r="AY55" s="1525"/>
      <c r="AZ55" s="1525"/>
      <c r="BA55" s="1525"/>
      <c r="BB55" s="1525"/>
      <c r="BC55" s="1525"/>
      <c r="BD55" s="1525"/>
      <c r="BE55" s="1525"/>
      <c r="BF55" s="1525"/>
      <c r="BG55" s="1525"/>
      <c r="BH55" s="1525"/>
      <c r="BI55" s="1525"/>
      <c r="BJ55" s="1525"/>
      <c r="BK55" s="1525"/>
    </row>
    <row r="56" spans="1:63" s="1530" customFormat="1" ht="18" customHeight="1">
      <c r="A56" s="1557"/>
      <c r="B56" s="1557"/>
      <c r="C56" s="840" t="str">
        <f>ValDateHeading</f>
        <v>Estimation of value as of 28 February 2017</v>
      </c>
      <c r="D56" s="1526"/>
      <c r="E56" s="1526"/>
      <c r="F56" s="1526"/>
      <c r="G56" s="1526"/>
      <c r="H56" s="1526"/>
      <c r="I56" s="1526"/>
      <c r="J56" s="1526"/>
      <c r="K56" s="1526"/>
      <c r="L56" s="1526"/>
      <c r="M56" s="1526"/>
      <c r="N56" s="1526"/>
      <c r="O56" s="1526"/>
      <c r="P56" s="1526"/>
      <c r="Q56" s="1526"/>
      <c r="R56" s="1526"/>
      <c r="S56" s="1526"/>
      <c r="T56" s="1526"/>
      <c r="U56" s="1526"/>
      <c r="V56" s="1526"/>
      <c r="W56" s="1526"/>
      <c r="X56" s="1526"/>
      <c r="Y56" s="1526"/>
      <c r="Z56" s="1526"/>
      <c r="AA56" s="1526"/>
      <c r="AB56" s="1526"/>
      <c r="AC56" s="1526"/>
      <c r="AD56" s="1526"/>
      <c r="AE56" s="1526"/>
      <c r="AF56" s="1526"/>
      <c r="AG56" s="1526"/>
      <c r="AH56" s="1526"/>
      <c r="AI56" s="1526"/>
      <c r="AJ56" s="1526"/>
      <c r="AK56" s="1526"/>
      <c r="AL56" s="1526"/>
      <c r="AM56" s="1526"/>
      <c r="AN56" s="1526"/>
      <c r="AO56" s="1526"/>
      <c r="AP56" s="1526"/>
      <c r="AQ56" s="1525"/>
      <c r="AR56" s="1557"/>
      <c r="AW56" s="1525"/>
      <c r="AX56" s="1525"/>
      <c r="AY56" s="1525"/>
      <c r="AZ56" s="1525"/>
      <c r="BA56" s="1525"/>
      <c r="BB56" s="1525"/>
      <c r="BC56" s="1525"/>
      <c r="BD56" s="1525"/>
      <c r="BE56" s="1525"/>
      <c r="BF56" s="1525"/>
      <c r="BG56" s="1525"/>
      <c r="BH56" s="1525"/>
      <c r="BI56" s="1525"/>
      <c r="BJ56" s="1525"/>
      <c r="BK56" s="1525"/>
    </row>
    <row r="57" spans="1:63" s="1530" customFormat="1" ht="13.9">
      <c r="A57" s="1419"/>
      <c r="B57" s="1557"/>
      <c r="C57" s="2060"/>
      <c r="D57" s="1526"/>
      <c r="E57" s="1526"/>
      <c r="F57" s="1526"/>
      <c r="G57" s="1526"/>
      <c r="H57" s="1526"/>
      <c r="I57" s="1526"/>
      <c r="J57" s="1526"/>
      <c r="K57" s="2060"/>
      <c r="L57" s="1526"/>
      <c r="M57" s="1526"/>
      <c r="N57" s="1526"/>
      <c r="O57" s="1526"/>
      <c r="P57" s="1526"/>
      <c r="Q57" s="1526"/>
      <c r="R57" s="1526"/>
      <c r="S57" s="1526"/>
      <c r="T57" s="1526"/>
      <c r="U57" s="1526"/>
      <c r="V57" s="1526"/>
      <c r="W57" s="1526"/>
      <c r="X57" s="1526"/>
      <c r="Y57" s="1526"/>
      <c r="Z57" s="1526"/>
      <c r="AA57" s="1526"/>
      <c r="AB57" s="1526"/>
      <c r="AC57" s="1526"/>
      <c r="AD57" s="1526"/>
      <c r="AE57" s="1526"/>
      <c r="AF57" s="1526"/>
      <c r="AG57" s="1526"/>
      <c r="AH57" s="1526"/>
      <c r="AI57" s="1526"/>
      <c r="AJ57" s="1526"/>
      <c r="AK57" s="1526"/>
      <c r="AL57" s="1526"/>
      <c r="AM57" s="1526"/>
      <c r="AN57" s="1526"/>
      <c r="AO57" s="1526"/>
      <c r="AP57" s="1526"/>
      <c r="AQ57" s="1525"/>
      <c r="AR57" s="1557"/>
      <c r="AW57" s="1525"/>
      <c r="AX57" s="1525"/>
      <c r="AY57" s="1525"/>
      <c r="AZ57" s="1525"/>
      <c r="BA57" s="1525"/>
      <c r="BB57" s="1525"/>
      <c r="BC57" s="1525"/>
      <c r="BD57" s="1525"/>
      <c r="BE57" s="1525"/>
      <c r="BF57" s="1525"/>
      <c r="BG57" s="1525"/>
      <c r="BH57" s="1525"/>
      <c r="BI57" s="1525"/>
      <c r="BJ57" s="1525"/>
      <c r="BK57" s="1525"/>
    </row>
    <row r="58" spans="1:63" s="1508" customFormat="1" ht="13.9">
      <c r="A58" s="1413" t="str">
        <f>IF(MasterCheck,"Please check the "&amp;'Error Check'!$G$8,"")</f>
        <v/>
      </c>
      <c r="B58" s="1424"/>
      <c r="C58" s="1511"/>
      <c r="D58" s="2060"/>
      <c r="E58" s="2060"/>
      <c r="F58" s="2060"/>
      <c r="G58" s="2060"/>
      <c r="H58" s="2060"/>
      <c r="I58" s="2060"/>
      <c r="J58" s="2060"/>
      <c r="K58" s="2060"/>
      <c r="L58" s="2060"/>
      <c r="M58" s="2060"/>
      <c r="N58" s="2060"/>
      <c r="O58" s="2060"/>
      <c r="P58" s="2060"/>
      <c r="Q58" s="1502"/>
      <c r="R58" s="2060"/>
      <c r="S58" s="2060"/>
      <c r="T58" s="2060"/>
      <c r="U58" s="2060"/>
      <c r="V58" s="2060"/>
      <c r="W58" s="2060"/>
      <c r="X58" s="2060"/>
      <c r="Y58" s="1506"/>
      <c r="Z58" s="1506"/>
      <c r="AA58" s="1506"/>
      <c r="AB58" s="1506"/>
      <c r="AC58" s="1506"/>
      <c r="AD58" s="1516"/>
      <c r="AE58" s="1506"/>
      <c r="AF58" s="1506"/>
      <c r="AG58" s="1506"/>
      <c r="AH58" s="1506"/>
      <c r="AI58" s="2060"/>
      <c r="AJ58" s="1526"/>
      <c r="AK58" s="1526"/>
      <c r="AL58" s="1526"/>
      <c r="AM58" s="1526"/>
      <c r="AN58" s="1526"/>
      <c r="AO58" s="1526"/>
      <c r="AR58" s="1557"/>
    </row>
    <row r="59" spans="1:63" s="1530" customFormat="1" ht="12" customHeight="1">
      <c r="A59" s="1557"/>
      <c r="B59" s="1557"/>
      <c r="C59" s="543"/>
      <c r="D59" s="544"/>
      <c r="E59" s="544"/>
      <c r="F59" s="544"/>
      <c r="G59" s="544"/>
      <c r="H59" s="544"/>
      <c r="I59" s="544"/>
      <c r="J59" s="544"/>
      <c r="K59" s="544"/>
      <c r="L59" s="544"/>
      <c r="M59" s="544"/>
      <c r="N59" s="544"/>
      <c r="O59" s="544"/>
      <c r="P59" s="544"/>
      <c r="Q59" s="1502"/>
      <c r="R59" s="255"/>
      <c r="S59" s="255"/>
      <c r="T59" s="255"/>
      <c r="U59" s="255"/>
      <c r="V59" s="255"/>
      <c r="AD59" s="1502"/>
      <c r="AQ59" s="1525"/>
      <c r="AR59" s="1557"/>
      <c r="AS59" s="1525"/>
      <c r="AT59" s="1525"/>
      <c r="AU59" s="1525"/>
      <c r="AV59" s="1525"/>
      <c r="AW59" s="1525"/>
      <c r="AX59" s="1525"/>
      <c r="AY59" s="1525"/>
      <c r="AZ59" s="1525"/>
      <c r="BA59" s="1525"/>
      <c r="BB59" s="1525"/>
      <c r="BC59" s="1525"/>
      <c r="BD59" s="1525"/>
      <c r="BE59" s="1525"/>
      <c r="BF59" s="1525"/>
      <c r="BG59" s="1525"/>
      <c r="BH59" s="1525"/>
      <c r="BI59" s="1525"/>
      <c r="BJ59" s="1525"/>
      <c r="BK59" s="1525"/>
    </row>
    <row r="60" spans="1:63" ht="12" customHeight="1">
      <c r="A60" s="1557"/>
      <c r="B60" s="1557"/>
      <c r="C60" s="1688"/>
      <c r="D60" s="1268"/>
      <c r="E60" s="1689"/>
      <c r="F60" s="1689"/>
      <c r="G60" s="1689"/>
      <c r="H60" s="1689"/>
      <c r="I60" s="1689"/>
      <c r="J60" s="1274"/>
      <c r="K60" s="1165"/>
      <c r="L60" s="1165"/>
      <c r="M60" s="1165"/>
      <c r="N60" s="1688"/>
      <c r="O60" s="1688"/>
      <c r="P60" s="1688"/>
      <c r="Q60" s="1943" t="s">
        <v>278</v>
      </c>
      <c r="R60" s="1111"/>
      <c r="S60" s="1111"/>
      <c r="T60" s="1111"/>
      <c r="U60" s="1111"/>
      <c r="V60" s="1111"/>
      <c r="W60" s="1111"/>
      <c r="X60" s="1111"/>
      <c r="Y60" s="1111"/>
      <c r="Z60" s="1111"/>
      <c r="AA60" s="1111"/>
      <c r="AB60" s="1111"/>
      <c r="AC60" s="1111"/>
      <c r="AD60" s="1943" t="s">
        <v>240</v>
      </c>
      <c r="AE60" s="1111"/>
      <c r="AF60" s="1111"/>
      <c r="AG60" s="1111"/>
      <c r="AH60" s="1111"/>
      <c r="AI60" s="1111"/>
      <c r="AJ60" s="1111"/>
      <c r="AK60" s="1111"/>
      <c r="AL60" s="1111"/>
      <c r="AM60" s="1111"/>
      <c r="AN60" s="1111"/>
      <c r="AO60" s="1111"/>
      <c r="AP60" s="1111"/>
      <c r="AQ60" s="1530"/>
      <c r="AR60" s="1557"/>
      <c r="AS60" s="1530"/>
      <c r="AT60" s="1530"/>
      <c r="AU60" s="1530"/>
      <c r="AV60" s="1530"/>
      <c r="AW60" s="1525"/>
      <c r="AX60" s="1525"/>
      <c r="AY60" s="1525"/>
      <c r="AZ60" s="1525"/>
      <c r="BA60" s="1525"/>
      <c r="BB60" s="1525"/>
      <c r="BC60" s="1525"/>
      <c r="BD60" s="1525"/>
      <c r="BE60" s="1525"/>
      <c r="BF60" s="1525"/>
      <c r="BG60" s="1525"/>
      <c r="BH60" s="1525"/>
      <c r="BI60" s="1525"/>
      <c r="BJ60" s="1525"/>
      <c r="BK60" s="1525"/>
    </row>
    <row r="61" spans="1:63" s="1530" customFormat="1" ht="12" customHeight="1">
      <c r="A61" s="1557"/>
      <c r="B61" s="1557"/>
      <c r="C61" s="1545"/>
      <c r="D61" s="1830"/>
      <c r="E61" s="1950"/>
      <c r="F61" s="1950"/>
      <c r="G61" s="1950"/>
      <c r="H61" s="1950"/>
      <c r="I61" s="1950"/>
      <c r="J61" s="1529"/>
      <c r="K61" s="1944" t="s">
        <v>1476</v>
      </c>
      <c r="L61" s="1944"/>
      <c r="M61" s="1944"/>
      <c r="N61" s="1545"/>
      <c r="O61" s="1545"/>
      <c r="P61" s="1545"/>
      <c r="Q61" s="1943"/>
      <c r="R61" s="1841" t="s">
        <v>1456</v>
      </c>
      <c r="S61" s="1841" t="s">
        <v>1457</v>
      </c>
      <c r="T61" s="1943"/>
      <c r="U61" s="1943"/>
      <c r="V61" s="1943"/>
      <c r="W61" s="1943"/>
      <c r="X61" s="1943"/>
      <c r="Y61" s="1943"/>
      <c r="Z61" s="1943"/>
      <c r="AA61" s="1943"/>
      <c r="AB61" s="1943"/>
      <c r="AC61" s="1943"/>
      <c r="AD61" s="1943"/>
      <c r="AE61" s="1841" t="s">
        <v>1456</v>
      </c>
      <c r="AF61" s="1841" t="s">
        <v>1457</v>
      </c>
      <c r="AG61" s="1943"/>
      <c r="AH61" s="1943"/>
      <c r="AI61" s="1943"/>
      <c r="AJ61" s="1943"/>
      <c r="AK61" s="1943"/>
      <c r="AL61" s="1943"/>
      <c r="AM61" s="1943"/>
      <c r="AN61" s="1943"/>
      <c r="AO61" s="1943"/>
      <c r="AP61" s="1943"/>
      <c r="AR61" s="1557"/>
      <c r="AW61" s="1525"/>
      <c r="AX61" s="1525"/>
      <c r="AY61" s="1525"/>
      <c r="AZ61" s="1525"/>
      <c r="BA61" s="1525"/>
      <c r="BB61" s="1525"/>
      <c r="BC61" s="1525"/>
      <c r="BD61" s="1525"/>
      <c r="BE61" s="1525"/>
      <c r="BF61" s="1525"/>
      <c r="BG61" s="1525"/>
      <c r="BH61" s="1525"/>
      <c r="BI61" s="1525"/>
      <c r="BJ61" s="1525"/>
      <c r="BK61" s="1525"/>
    </row>
    <row r="62" spans="1:63" ht="12" customHeight="1">
      <c r="A62" s="1557"/>
      <c r="B62" s="1557"/>
      <c r="C62" s="1690"/>
      <c r="D62" s="1270" t="s">
        <v>1475</v>
      </c>
      <c r="E62" s="1691"/>
      <c r="F62" s="1691"/>
      <c r="G62" s="1691"/>
      <c r="H62" s="1691"/>
      <c r="I62" s="1691"/>
      <c r="J62" s="1277"/>
      <c r="K62" s="1272" t="s">
        <v>1477</v>
      </c>
      <c r="L62" s="1272" t="s">
        <v>247</v>
      </c>
      <c r="M62" s="1272" t="s">
        <v>211</v>
      </c>
      <c r="N62" s="1384"/>
      <c r="O62" s="1384"/>
      <c r="P62" s="1384"/>
      <c r="Q62" s="1502"/>
      <c r="R62" s="1941" t="s">
        <v>1460</v>
      </c>
      <c r="S62" s="1941" t="s">
        <v>1460</v>
      </c>
      <c r="T62" s="1272" t="s">
        <v>701</v>
      </c>
      <c r="U62" s="1273" t="s">
        <v>702</v>
      </c>
      <c r="V62" s="1273" t="s">
        <v>703</v>
      </c>
      <c r="W62" s="1273" t="s">
        <v>704</v>
      </c>
      <c r="X62" s="1273" t="s">
        <v>705</v>
      </c>
      <c r="Y62" s="1273" t="s">
        <v>707</v>
      </c>
      <c r="Z62" s="1273" t="s">
        <v>708</v>
      </c>
      <c r="AA62" s="1273" t="s">
        <v>709</v>
      </c>
      <c r="AB62" s="1273" t="s">
        <v>710</v>
      </c>
      <c r="AC62" s="1273" t="s">
        <v>711</v>
      </c>
      <c r="AD62" s="1502"/>
      <c r="AE62" s="1941" t="s">
        <v>1460</v>
      </c>
      <c r="AF62" s="1941" t="s">
        <v>1460</v>
      </c>
      <c r="AG62" s="1272" t="s">
        <v>701</v>
      </c>
      <c r="AH62" s="1273" t="s">
        <v>704</v>
      </c>
      <c r="AI62" s="1273" t="s">
        <v>704</v>
      </c>
      <c r="AJ62" s="1273" t="s">
        <v>704</v>
      </c>
      <c r="AK62" s="1273" t="s">
        <v>705</v>
      </c>
      <c r="AL62" s="1273" t="s">
        <v>707</v>
      </c>
      <c r="AM62" s="1273" t="s">
        <v>708</v>
      </c>
      <c r="AN62" s="1273" t="s">
        <v>709</v>
      </c>
      <c r="AO62" s="1273" t="s">
        <v>710</v>
      </c>
      <c r="AP62" s="1273" t="s">
        <v>711</v>
      </c>
      <c r="AQ62" s="1530"/>
      <c r="AR62" s="1557"/>
      <c r="AS62" s="1530"/>
      <c r="AT62" s="1530"/>
      <c r="AU62" s="1530"/>
      <c r="AV62" s="1530"/>
      <c r="AW62" s="1525"/>
      <c r="AX62" s="1525"/>
      <c r="AY62" s="1525"/>
      <c r="AZ62" s="1525"/>
      <c r="BA62" s="1525"/>
      <c r="BB62" s="1525"/>
      <c r="BC62" s="1525"/>
      <c r="BD62" s="1525"/>
      <c r="BE62" s="1525"/>
      <c r="BF62" s="1525"/>
      <c r="BG62" s="1525"/>
      <c r="BH62" s="1525"/>
      <c r="BI62" s="1525"/>
      <c r="BJ62" s="1525"/>
      <c r="BK62" s="1525"/>
    </row>
    <row r="63" spans="1:63" s="1530" customFormat="1" ht="12" customHeight="1">
      <c r="A63" s="1557"/>
      <c r="B63" s="1557"/>
      <c r="C63" s="1759" t="s">
        <v>1256</v>
      </c>
      <c r="D63" s="1760"/>
      <c r="E63" s="1761"/>
      <c r="F63" s="1761"/>
      <c r="G63" s="1761"/>
      <c r="H63" s="1761"/>
      <c r="I63" s="1761"/>
      <c r="J63" s="1529"/>
      <c r="K63" s="738"/>
      <c r="L63" s="738"/>
      <c r="M63" s="738"/>
      <c r="N63" s="1527"/>
      <c r="O63" s="1527"/>
      <c r="P63" s="1527"/>
      <c r="Q63" s="1502"/>
      <c r="R63" s="1527"/>
      <c r="S63" s="1527"/>
      <c r="T63" s="1527"/>
      <c r="U63" s="1762"/>
      <c r="V63" s="1762"/>
      <c r="W63" s="1762"/>
      <c r="X63" s="1762"/>
      <c r="Y63" s="1762"/>
      <c r="Z63" s="1762"/>
      <c r="AA63" s="1762"/>
      <c r="AB63" s="1762"/>
      <c r="AC63" s="1762"/>
      <c r="AD63" s="1502"/>
      <c r="AE63" s="1529"/>
      <c r="AF63" s="1529"/>
      <c r="AG63" s="1529"/>
      <c r="AH63" s="1762"/>
      <c r="AI63" s="1762"/>
      <c r="AJ63" s="1762"/>
      <c r="AK63" s="1762"/>
      <c r="AL63" s="1762"/>
      <c r="AM63" s="1762"/>
      <c r="AN63" s="1762"/>
      <c r="AO63" s="1762"/>
      <c r="AP63" s="1762"/>
      <c r="AR63" s="1557"/>
      <c r="AW63" s="1525"/>
      <c r="AX63" s="1525"/>
      <c r="AY63" s="1525"/>
      <c r="AZ63" s="1525"/>
      <c r="BA63" s="1525"/>
      <c r="BB63" s="1525"/>
      <c r="BC63" s="1525"/>
      <c r="BD63" s="1525"/>
      <c r="BE63" s="1525"/>
      <c r="BF63" s="1525"/>
      <c r="BG63" s="1525"/>
      <c r="BH63" s="1525"/>
      <c r="BI63" s="1525"/>
      <c r="BJ63" s="1525"/>
      <c r="BK63" s="1525"/>
    </row>
    <row r="64" spans="1:63" ht="12" customHeight="1">
      <c r="A64" s="1557" t="str">
        <f t="shared" ref="A64:A77" si="22">IF(C64="--","n","")</f>
        <v>n</v>
      </c>
      <c r="B64" s="1557"/>
      <c r="C64" s="1542" t="str">
        <f t="shared" ref="C64:C88" si="23">C12</f>
        <v>--</v>
      </c>
      <c r="D64" s="651" t="str">
        <f>'Working Capital'!D$11</f>
        <v>--</v>
      </c>
      <c r="E64" s="1584"/>
      <c r="F64" s="1584"/>
      <c r="G64" s="1584"/>
      <c r="H64" s="1584"/>
      <c r="I64" s="1584"/>
      <c r="J64" s="1530"/>
      <c r="K64" s="1364" t="str">
        <f>IFERROR(('DATA GPC'!V566/'DATA GPC'!O566)^(1/2)-1,"--")</f>
        <v>--</v>
      </c>
      <c r="L64" s="1364" t="str">
        <f>IFERROR(('DATA GPC'!V628/'DATA GPC'!O628)^(1/2)-1,"--")</f>
        <v>--</v>
      </c>
      <c r="M64" s="1364" t="str">
        <f>IFERROR(('DATA GPC'!V659/'DATA GPC'!O659)^(1/2)-1,"--")</f>
        <v>--</v>
      </c>
      <c r="N64" s="1369"/>
      <c r="O64" s="1369"/>
      <c r="P64" s="1369"/>
      <c r="Q64" s="2060"/>
      <c r="R64" s="1364" t="str">
        <f>IFERROR(AVERAGE('DATA GPC'!$K1219:$O1219),"--")</f>
        <v>--</v>
      </c>
      <c r="S64" s="1364" t="str">
        <f>IFERROR(AVERAGE(U64:W64),"--")</f>
        <v>--</v>
      </c>
      <c r="T64" s="1364" t="str">
        <f>'DATA GPC'!L1219</f>
        <v>--</v>
      </c>
      <c r="U64" s="1364" t="str">
        <f>'DATA GPC'!M1219</f>
        <v>--</v>
      </c>
      <c r="V64" s="1364" t="str">
        <f>'DATA GPC'!N1219</f>
        <v>--</v>
      </c>
      <c r="W64" s="1364" t="str">
        <f>'DATA GPC'!O1219</f>
        <v>--</v>
      </c>
      <c r="X64" s="1364" t="str">
        <f>'DATA GPC'!P1219</f>
        <v>--</v>
      </c>
      <c r="Y64" s="1364" t="str">
        <f>'DATA GPC'!U1219</f>
        <v>--</v>
      </c>
      <c r="Z64" s="1364" t="str">
        <f>'DATA GPC'!V1219</f>
        <v>--</v>
      </c>
      <c r="AA64" s="1364" t="str">
        <f>'DATA GPC'!W1219</f>
        <v>--</v>
      </c>
      <c r="AB64" s="1364" t="str">
        <f>'DATA GPC'!X1219</f>
        <v>--</v>
      </c>
      <c r="AC64" s="1364" t="str">
        <f>'DATA GPC'!Y1219</f>
        <v>--</v>
      </c>
      <c r="AD64" s="2060"/>
      <c r="AE64" s="1364" t="str">
        <f>IFERROR(AVERAGE('DATA GPC'!$K1250:$O1250),"--")</f>
        <v>--</v>
      </c>
      <c r="AF64" s="1364" t="str">
        <f>IFERROR(AVERAGE(AH64:AJ64),"--")</f>
        <v>--</v>
      </c>
      <c r="AG64" s="1364" t="str">
        <f>'DATA GPC'!L1250</f>
        <v>--</v>
      </c>
      <c r="AH64" s="1364" t="str">
        <f>'DATA GPC'!M1250</f>
        <v>--</v>
      </c>
      <c r="AI64" s="1364" t="str">
        <f>'DATA GPC'!N1250</f>
        <v>--</v>
      </c>
      <c r="AJ64" s="1364" t="str">
        <f>'DATA GPC'!O1250</f>
        <v>--</v>
      </c>
      <c r="AK64" s="1364" t="str">
        <f>'DATA GPC'!P1250</f>
        <v>--</v>
      </c>
      <c r="AL64" s="1364" t="str">
        <f>'DATA GPC'!U1250</f>
        <v>--</v>
      </c>
      <c r="AM64" s="1364" t="str">
        <f>'DATA GPC'!V1250</f>
        <v>--</v>
      </c>
      <c r="AN64" s="1364" t="str">
        <f>'DATA GPC'!W1250</f>
        <v>--</v>
      </c>
      <c r="AO64" s="503" t="str">
        <f>'DATA GPC'!X1250</f>
        <v>--</v>
      </c>
      <c r="AP64" s="503" t="str">
        <f>'DATA GPC'!Y1250</f>
        <v>--</v>
      </c>
      <c r="AQ64" s="1530"/>
      <c r="AR64" s="1557"/>
      <c r="AS64" s="1530"/>
      <c r="AT64" s="1530"/>
      <c r="AU64" s="1530"/>
      <c r="AV64" s="1530"/>
      <c r="AW64" s="1525"/>
      <c r="AX64" s="1525"/>
      <c r="AY64" s="1525"/>
      <c r="AZ64" s="1525"/>
      <c r="BA64" s="1525"/>
      <c r="BB64" s="1525"/>
      <c r="BC64" s="1525"/>
      <c r="BD64" s="1525"/>
      <c r="BE64" s="1525"/>
      <c r="BF64" s="1525"/>
      <c r="BG64" s="1525"/>
      <c r="BH64" s="1525"/>
      <c r="BI64" s="1525"/>
      <c r="BJ64" s="1525"/>
      <c r="BK64" s="1525"/>
    </row>
    <row r="65" spans="1:63" ht="12" customHeight="1">
      <c r="A65" s="1557" t="str">
        <f t="shared" si="22"/>
        <v>n</v>
      </c>
      <c r="B65" s="1557"/>
      <c r="C65" s="1542" t="str">
        <f t="shared" si="23"/>
        <v>--</v>
      </c>
      <c r="D65" s="651" t="str">
        <f>'Working Capital'!D$12</f>
        <v>--</v>
      </c>
      <c r="E65" s="665"/>
      <c r="F65" s="665"/>
      <c r="G65" s="665"/>
      <c r="H65" s="665"/>
      <c r="I65" s="665"/>
      <c r="J65" s="1530"/>
      <c r="K65" s="1364" t="str">
        <f>IFERROR(('DATA GPC'!V567/'DATA GPC'!O567)^(1/2)-1,"--")</f>
        <v>--</v>
      </c>
      <c r="L65" s="1364" t="str">
        <f>IFERROR(('DATA GPC'!V629/'DATA GPC'!O629)^(1/2)-1,"--")</f>
        <v>--</v>
      </c>
      <c r="M65" s="1364" t="str">
        <f>IFERROR(('DATA GPC'!V660/'DATA GPC'!O660)^(1/2)-1,"--")</f>
        <v>--</v>
      </c>
      <c r="N65" s="1369"/>
      <c r="O65" s="1369"/>
      <c r="P65" s="1369"/>
      <c r="Q65" s="1369"/>
      <c r="R65" s="1364" t="str">
        <f>IFERROR(AVERAGE('DATA GPC'!$K1220:$O1220),"--")</f>
        <v>--</v>
      </c>
      <c r="S65" s="1364" t="str">
        <f t="shared" ref="S65:S88" si="24">IFERROR(AVERAGE(U65:W65),"--")</f>
        <v>--</v>
      </c>
      <c r="T65" s="1364" t="str">
        <f>'DATA GPC'!L1220</f>
        <v>--</v>
      </c>
      <c r="U65" s="1364" t="str">
        <f>'DATA GPC'!M1220</f>
        <v>--</v>
      </c>
      <c r="V65" s="1364" t="str">
        <f>'DATA GPC'!N1220</f>
        <v>--</v>
      </c>
      <c r="W65" s="1364" t="str">
        <f>'DATA GPC'!O1220</f>
        <v>--</v>
      </c>
      <c r="X65" s="1364" t="str">
        <f>'DATA GPC'!P1220</f>
        <v>--</v>
      </c>
      <c r="Y65" s="1364" t="str">
        <f>'DATA GPC'!U1220</f>
        <v>--</v>
      </c>
      <c r="Z65" s="1364" t="str">
        <f>'DATA GPC'!V1220</f>
        <v>--</v>
      </c>
      <c r="AA65" s="1364" t="str">
        <f>'DATA GPC'!W1220</f>
        <v>--</v>
      </c>
      <c r="AB65" s="1364" t="str">
        <f>'DATA GPC'!X1220</f>
        <v>--</v>
      </c>
      <c r="AC65" s="1364" t="str">
        <f>'DATA GPC'!Y1220</f>
        <v>--</v>
      </c>
      <c r="AD65" s="1364"/>
      <c r="AE65" s="1364" t="str">
        <f>IFERROR(AVERAGE('DATA GPC'!$K1251:$O1251),"--")</f>
        <v>--</v>
      </c>
      <c r="AF65" s="1364" t="str">
        <f t="shared" ref="AF65:AF88" si="25">IFERROR(AVERAGE(AH65:AJ65),"--")</f>
        <v>--</v>
      </c>
      <c r="AG65" s="1364" t="str">
        <f>'DATA GPC'!L1251</f>
        <v>--</v>
      </c>
      <c r="AH65" s="1364" t="str">
        <f>'DATA GPC'!M1251</f>
        <v>--</v>
      </c>
      <c r="AI65" s="1364" t="str">
        <f>'DATA GPC'!N1251</f>
        <v>--</v>
      </c>
      <c r="AJ65" s="1364" t="str">
        <f>'DATA GPC'!O1251</f>
        <v>--</v>
      </c>
      <c r="AK65" s="1364" t="str">
        <f>'DATA GPC'!P1251</f>
        <v>--</v>
      </c>
      <c r="AL65" s="1364" t="str">
        <f>'DATA GPC'!U1251</f>
        <v>--</v>
      </c>
      <c r="AM65" s="1364" t="str">
        <f>'DATA GPC'!V1251</f>
        <v>--</v>
      </c>
      <c r="AN65" s="1364" t="str">
        <f>'DATA GPC'!W1251</f>
        <v>--</v>
      </c>
      <c r="AO65" s="503" t="str">
        <f>'DATA GPC'!X1251</f>
        <v>--</v>
      </c>
      <c r="AP65" s="503" t="str">
        <f>'DATA GPC'!Y1251</f>
        <v>--</v>
      </c>
      <c r="AQ65" s="1530"/>
      <c r="AR65" s="1557"/>
      <c r="AS65" s="1530"/>
      <c r="AT65" s="1530"/>
      <c r="AU65" s="1530"/>
      <c r="AV65" s="1530"/>
      <c r="AW65" s="1525"/>
      <c r="AX65" s="1525"/>
      <c r="AY65" s="1525"/>
      <c r="AZ65" s="1525"/>
      <c r="BA65" s="1525"/>
      <c r="BB65" s="1525"/>
      <c r="BC65" s="1525"/>
      <c r="BD65" s="1525"/>
      <c r="BE65" s="1525"/>
      <c r="BF65" s="1525"/>
      <c r="BG65" s="1525"/>
      <c r="BH65" s="1525"/>
      <c r="BI65" s="1525"/>
      <c r="BJ65" s="1525"/>
      <c r="BK65" s="1525"/>
    </row>
    <row r="66" spans="1:63" ht="12" customHeight="1">
      <c r="A66" s="1557" t="str">
        <f t="shared" si="22"/>
        <v>n</v>
      </c>
      <c r="B66" s="1557"/>
      <c r="C66" s="1542" t="str">
        <f t="shared" si="23"/>
        <v>--</v>
      </c>
      <c r="D66" s="651" t="str">
        <f>'Working Capital'!D$13</f>
        <v>--</v>
      </c>
      <c r="E66" s="665"/>
      <c r="F66" s="665"/>
      <c r="G66" s="665"/>
      <c r="H66" s="665"/>
      <c r="I66" s="665"/>
      <c r="J66" s="1530"/>
      <c r="K66" s="1364" t="str">
        <f>IFERROR(('DATA GPC'!V568/'DATA GPC'!O568)^(1/2)-1,"--")</f>
        <v>--</v>
      </c>
      <c r="L66" s="1364" t="str">
        <f>IFERROR(('DATA GPC'!V630/'DATA GPC'!O630)^(1/2)-1,"--")</f>
        <v>--</v>
      </c>
      <c r="M66" s="1364" t="str">
        <f>IFERROR(('DATA GPC'!V661/'DATA GPC'!O661)^(1/2)-1,"--")</f>
        <v>--</v>
      </c>
      <c r="N66" s="1369"/>
      <c r="O66" s="1369"/>
      <c r="P66" s="1369"/>
      <c r="Q66" s="1369"/>
      <c r="R66" s="1364" t="str">
        <f>IFERROR(AVERAGE('DATA GPC'!$K1221:$O1221),"--")</f>
        <v>--</v>
      </c>
      <c r="S66" s="1364" t="str">
        <f t="shared" si="24"/>
        <v>--</v>
      </c>
      <c r="T66" s="1364" t="str">
        <f>'DATA GPC'!L1221</f>
        <v>--</v>
      </c>
      <c r="U66" s="1364" t="str">
        <f>'DATA GPC'!M1221</f>
        <v>--</v>
      </c>
      <c r="V66" s="1364" t="str">
        <f>'DATA GPC'!N1221</f>
        <v>--</v>
      </c>
      <c r="W66" s="1364" t="str">
        <f>'DATA GPC'!O1221</f>
        <v>--</v>
      </c>
      <c r="X66" s="1364" t="str">
        <f>'DATA GPC'!P1221</f>
        <v>--</v>
      </c>
      <c r="Y66" s="1364" t="str">
        <f>'DATA GPC'!U1221</f>
        <v>--</v>
      </c>
      <c r="Z66" s="1364" t="str">
        <f>'DATA GPC'!V1221</f>
        <v>--</v>
      </c>
      <c r="AA66" s="1364" t="str">
        <f>'DATA GPC'!W1221</f>
        <v>--</v>
      </c>
      <c r="AB66" s="1364" t="str">
        <f>'DATA GPC'!X1221</f>
        <v>--</v>
      </c>
      <c r="AC66" s="1364" t="str">
        <f>'DATA GPC'!Y1221</f>
        <v>--</v>
      </c>
      <c r="AD66" s="1364"/>
      <c r="AE66" s="1364" t="str">
        <f>IFERROR(AVERAGE('DATA GPC'!$K1252:$O1252),"--")</f>
        <v>--</v>
      </c>
      <c r="AF66" s="1364" t="str">
        <f t="shared" si="25"/>
        <v>--</v>
      </c>
      <c r="AG66" s="1364" t="str">
        <f>'DATA GPC'!L1252</f>
        <v>--</v>
      </c>
      <c r="AH66" s="1364" t="str">
        <f>'DATA GPC'!M1252</f>
        <v>--</v>
      </c>
      <c r="AI66" s="1364" t="str">
        <f>'DATA GPC'!N1252</f>
        <v>--</v>
      </c>
      <c r="AJ66" s="1364" t="str">
        <f>'DATA GPC'!O1252</f>
        <v>--</v>
      </c>
      <c r="AK66" s="1364" t="str">
        <f>'DATA GPC'!P1252</f>
        <v>--</v>
      </c>
      <c r="AL66" s="1364" t="str">
        <f>'DATA GPC'!U1252</f>
        <v>--</v>
      </c>
      <c r="AM66" s="1364" t="str">
        <f>'DATA GPC'!V1252</f>
        <v>--</v>
      </c>
      <c r="AN66" s="1364" t="str">
        <f>'DATA GPC'!W1252</f>
        <v>--</v>
      </c>
      <c r="AO66" s="503" t="str">
        <f>'DATA GPC'!X1252</f>
        <v>--</v>
      </c>
      <c r="AP66" s="503" t="str">
        <f>'DATA GPC'!Y1252</f>
        <v>--</v>
      </c>
      <c r="AQ66" s="1530"/>
      <c r="AR66" s="1557"/>
      <c r="AS66" s="1530"/>
      <c r="AT66" s="1530"/>
      <c r="AU66" s="1530"/>
      <c r="AV66" s="1530"/>
      <c r="AW66" s="1525"/>
      <c r="AX66" s="1525"/>
      <c r="AY66" s="1525"/>
      <c r="AZ66" s="1525"/>
      <c r="BA66" s="1525"/>
      <c r="BB66" s="1525"/>
      <c r="BC66" s="1525"/>
      <c r="BD66" s="1525"/>
      <c r="BE66" s="1525"/>
      <c r="BF66" s="1525"/>
      <c r="BG66" s="1525"/>
      <c r="BH66" s="1525"/>
      <c r="BI66" s="1525"/>
      <c r="BJ66" s="1525"/>
      <c r="BK66" s="1525"/>
    </row>
    <row r="67" spans="1:63" ht="12" customHeight="1">
      <c r="A67" s="1557" t="str">
        <f t="shared" si="22"/>
        <v>n</v>
      </c>
      <c r="B67" s="1557"/>
      <c r="C67" s="1542" t="str">
        <f t="shared" si="23"/>
        <v>--</v>
      </c>
      <c r="D67" s="651" t="str">
        <f>'Working Capital'!D$14</f>
        <v>--</v>
      </c>
      <c r="E67" s="665"/>
      <c r="F67" s="665"/>
      <c r="G67" s="665"/>
      <c r="H67" s="665"/>
      <c r="I67" s="665"/>
      <c r="J67" s="1530"/>
      <c r="K67" s="1364" t="str">
        <f>IFERROR(('DATA GPC'!V569/'DATA GPC'!O569)^(1/2)-1,"--")</f>
        <v>--</v>
      </c>
      <c r="L67" s="1364" t="str">
        <f>IFERROR(('DATA GPC'!V631/'DATA GPC'!O631)^(1/2)-1,"--")</f>
        <v>--</v>
      </c>
      <c r="M67" s="1364" t="str">
        <f>IFERROR(('DATA GPC'!V662/'DATA GPC'!O662)^(1/2)-1,"--")</f>
        <v>--</v>
      </c>
      <c r="N67" s="1369"/>
      <c r="O67" s="1369"/>
      <c r="P67" s="1369"/>
      <c r="Q67" s="1369"/>
      <c r="R67" s="1364" t="str">
        <f>IFERROR(AVERAGE('DATA GPC'!$K1222:$O1222),"--")</f>
        <v>--</v>
      </c>
      <c r="S67" s="1364" t="str">
        <f t="shared" si="24"/>
        <v>--</v>
      </c>
      <c r="T67" s="1364" t="str">
        <f>'DATA GPC'!L1222</f>
        <v>--</v>
      </c>
      <c r="U67" s="1364" t="str">
        <f>'DATA GPC'!M1222</f>
        <v>--</v>
      </c>
      <c r="V67" s="1364" t="str">
        <f>'DATA GPC'!N1222</f>
        <v>--</v>
      </c>
      <c r="W67" s="1364" t="str">
        <f>'DATA GPC'!O1222</f>
        <v>--</v>
      </c>
      <c r="X67" s="1364" t="str">
        <f>'DATA GPC'!P1222</f>
        <v>--</v>
      </c>
      <c r="Y67" s="1364" t="str">
        <f>'DATA GPC'!U1222</f>
        <v>--</v>
      </c>
      <c r="Z67" s="1364" t="str">
        <f>'DATA GPC'!V1222</f>
        <v>--</v>
      </c>
      <c r="AA67" s="1364" t="str">
        <f>'DATA GPC'!W1222</f>
        <v>--</v>
      </c>
      <c r="AB67" s="1364" t="str">
        <f>'DATA GPC'!X1222</f>
        <v>--</v>
      </c>
      <c r="AC67" s="1364" t="str">
        <f>'DATA GPC'!Y1222</f>
        <v>--</v>
      </c>
      <c r="AD67" s="1364"/>
      <c r="AE67" s="1364" t="str">
        <f>IFERROR(AVERAGE('DATA GPC'!$K1253:$O1253),"--")</f>
        <v>--</v>
      </c>
      <c r="AF67" s="1364" t="str">
        <f t="shared" si="25"/>
        <v>--</v>
      </c>
      <c r="AG67" s="1364" t="str">
        <f>'DATA GPC'!L1253</f>
        <v>--</v>
      </c>
      <c r="AH67" s="1364" t="str">
        <f>'DATA GPC'!M1253</f>
        <v>--</v>
      </c>
      <c r="AI67" s="1364" t="str">
        <f>'DATA GPC'!N1253</f>
        <v>--</v>
      </c>
      <c r="AJ67" s="1364" t="str">
        <f>'DATA GPC'!O1253</f>
        <v>--</v>
      </c>
      <c r="AK67" s="1364" t="str">
        <f>'DATA GPC'!P1253</f>
        <v>--</v>
      </c>
      <c r="AL67" s="1364" t="str">
        <f>'DATA GPC'!U1253</f>
        <v>--</v>
      </c>
      <c r="AM67" s="1364" t="str">
        <f>'DATA GPC'!V1253</f>
        <v>--</v>
      </c>
      <c r="AN67" s="1364" t="str">
        <f>'DATA GPC'!W1253</f>
        <v>--</v>
      </c>
      <c r="AO67" s="503" t="str">
        <f>'DATA GPC'!X1253</f>
        <v>--</v>
      </c>
      <c r="AP67" s="503" t="str">
        <f>'DATA GPC'!Y1253</f>
        <v>--</v>
      </c>
      <c r="AQ67" s="1530"/>
      <c r="AR67" s="1557"/>
      <c r="AS67" s="1530"/>
      <c r="AT67" s="1530"/>
      <c r="AU67" s="1530"/>
      <c r="AV67" s="1530"/>
      <c r="AW67" s="1525"/>
      <c r="AX67" s="1525"/>
      <c r="AY67" s="1525"/>
      <c r="AZ67" s="1525"/>
      <c r="BA67" s="1525"/>
      <c r="BB67" s="1525"/>
      <c r="BC67" s="1525"/>
      <c r="BD67" s="1525"/>
      <c r="BE67" s="1525"/>
      <c r="BF67" s="1525"/>
      <c r="BG67" s="1525"/>
      <c r="BH67" s="1525"/>
      <c r="BI67" s="1525"/>
      <c r="BJ67" s="1525"/>
      <c r="BK67" s="1525"/>
    </row>
    <row r="68" spans="1:63" ht="12" customHeight="1">
      <c r="A68" s="1557" t="str">
        <f t="shared" si="22"/>
        <v>n</v>
      </c>
      <c r="B68" s="1557"/>
      <c r="C68" s="1542" t="str">
        <f t="shared" si="23"/>
        <v>--</v>
      </c>
      <c r="D68" s="651" t="str">
        <f>'Working Capital'!D$15</f>
        <v>--</v>
      </c>
      <c r="E68" s="665"/>
      <c r="F68" s="665"/>
      <c r="G68" s="665"/>
      <c r="H68" s="665"/>
      <c r="I68" s="665"/>
      <c r="J68" s="1530"/>
      <c r="K68" s="1364" t="str">
        <f>IFERROR(('DATA GPC'!V570/'DATA GPC'!O570)^(1/2)-1,"--")</f>
        <v>--</v>
      </c>
      <c r="L68" s="1364" t="str">
        <f>IFERROR(('DATA GPC'!V632/'DATA GPC'!O632)^(1/2)-1,"--")</f>
        <v>--</v>
      </c>
      <c r="M68" s="1364" t="str">
        <f>IFERROR(('DATA GPC'!V663/'DATA GPC'!O663)^(1/2)-1,"--")</f>
        <v>--</v>
      </c>
      <c r="N68" s="1369"/>
      <c r="O68" s="1369"/>
      <c r="P68" s="1369"/>
      <c r="Q68" s="1369"/>
      <c r="R68" s="1364" t="str">
        <f>IFERROR(AVERAGE('DATA GPC'!$K1223:$O1223),"--")</f>
        <v>--</v>
      </c>
      <c r="S68" s="1364" t="str">
        <f t="shared" si="24"/>
        <v>--</v>
      </c>
      <c r="T68" s="1364" t="str">
        <f>'DATA GPC'!L1223</f>
        <v>--</v>
      </c>
      <c r="U68" s="1364" t="str">
        <f>'DATA GPC'!M1223</f>
        <v>--</v>
      </c>
      <c r="V68" s="1364" t="str">
        <f>'DATA GPC'!N1223</f>
        <v>--</v>
      </c>
      <c r="W68" s="1364" t="str">
        <f>'DATA GPC'!O1223</f>
        <v>--</v>
      </c>
      <c r="X68" s="1364" t="str">
        <f>'DATA GPC'!P1223</f>
        <v>--</v>
      </c>
      <c r="Y68" s="1364" t="str">
        <f>'DATA GPC'!U1223</f>
        <v>--</v>
      </c>
      <c r="Z68" s="1364" t="str">
        <f>'DATA GPC'!V1223</f>
        <v>--</v>
      </c>
      <c r="AA68" s="1364" t="str">
        <f>'DATA GPC'!W1223</f>
        <v>--</v>
      </c>
      <c r="AB68" s="1364" t="str">
        <f>'DATA GPC'!X1223</f>
        <v>--</v>
      </c>
      <c r="AC68" s="1364" t="str">
        <f>'DATA GPC'!Y1223</f>
        <v>--</v>
      </c>
      <c r="AD68" s="1364"/>
      <c r="AE68" s="1364" t="str">
        <f>IFERROR(AVERAGE('DATA GPC'!$K1254:$O1254),"--")</f>
        <v>--</v>
      </c>
      <c r="AF68" s="1364" t="str">
        <f t="shared" si="25"/>
        <v>--</v>
      </c>
      <c r="AG68" s="1364" t="str">
        <f>'DATA GPC'!L1254</f>
        <v>--</v>
      </c>
      <c r="AH68" s="1364" t="str">
        <f>'DATA GPC'!M1254</f>
        <v>--</v>
      </c>
      <c r="AI68" s="1364" t="str">
        <f>'DATA GPC'!N1254</f>
        <v>--</v>
      </c>
      <c r="AJ68" s="1364" t="str">
        <f>'DATA GPC'!O1254</f>
        <v>--</v>
      </c>
      <c r="AK68" s="1364" t="str">
        <f>'DATA GPC'!P1254</f>
        <v>--</v>
      </c>
      <c r="AL68" s="1364" t="str">
        <f>'DATA GPC'!U1254</f>
        <v>--</v>
      </c>
      <c r="AM68" s="1364" t="str">
        <f>'DATA GPC'!V1254</f>
        <v>--</v>
      </c>
      <c r="AN68" s="1364" t="str">
        <f>'DATA GPC'!W1254</f>
        <v>--</v>
      </c>
      <c r="AO68" s="503" t="str">
        <f>'DATA GPC'!X1254</f>
        <v>--</v>
      </c>
      <c r="AP68" s="503" t="str">
        <f>'DATA GPC'!Y1254</f>
        <v>--</v>
      </c>
      <c r="AQ68" s="1530"/>
      <c r="AR68" s="1557"/>
      <c r="AS68" s="1530"/>
      <c r="AT68" s="1530"/>
      <c r="AU68" s="1530"/>
      <c r="AV68" s="1530"/>
      <c r="AW68" s="1525"/>
      <c r="AX68" s="1525"/>
      <c r="AY68" s="1525"/>
      <c r="AZ68" s="1525"/>
      <c r="BA68" s="1525"/>
      <c r="BB68" s="1525"/>
      <c r="BC68" s="1525"/>
      <c r="BD68" s="1525"/>
      <c r="BE68" s="1525"/>
      <c r="BF68" s="1525"/>
      <c r="BG68" s="1525"/>
      <c r="BH68" s="1525"/>
      <c r="BI68" s="1525"/>
      <c r="BJ68" s="1525"/>
      <c r="BK68" s="1525"/>
    </row>
    <row r="69" spans="1:63" ht="12" customHeight="1">
      <c r="A69" s="1557" t="str">
        <f t="shared" si="22"/>
        <v>n</v>
      </c>
      <c r="B69" s="1557"/>
      <c r="C69" s="1542" t="str">
        <f t="shared" si="23"/>
        <v>--</v>
      </c>
      <c r="D69" s="651" t="str">
        <f>'Working Capital'!D$16</f>
        <v>--</v>
      </c>
      <c r="E69" s="665"/>
      <c r="F69" s="665"/>
      <c r="G69" s="665"/>
      <c r="H69" s="665"/>
      <c r="I69" s="665"/>
      <c r="J69" s="1530"/>
      <c r="K69" s="1364" t="str">
        <f>IFERROR(('DATA GPC'!V571/'DATA GPC'!O571)^(1/2)-1,"--")</f>
        <v>--</v>
      </c>
      <c r="L69" s="1364" t="str">
        <f>IFERROR(('DATA GPC'!V633/'DATA GPC'!O633)^(1/2)-1,"--")</f>
        <v>--</v>
      </c>
      <c r="M69" s="1364" t="str">
        <f>IFERROR(('DATA GPC'!V664/'DATA GPC'!O664)^(1/2)-1,"--")</f>
        <v>--</v>
      </c>
      <c r="N69" s="1369"/>
      <c r="O69" s="1369"/>
      <c r="P69" s="1369"/>
      <c r="Q69" s="1369"/>
      <c r="R69" s="1364" t="str">
        <f>IFERROR(AVERAGE('DATA GPC'!$K1224:$O1224),"--")</f>
        <v>--</v>
      </c>
      <c r="S69" s="1364" t="str">
        <f t="shared" si="24"/>
        <v>--</v>
      </c>
      <c r="T69" s="1364" t="str">
        <f>'DATA GPC'!L1224</f>
        <v>--</v>
      </c>
      <c r="U69" s="1364" t="str">
        <f>'DATA GPC'!M1224</f>
        <v>--</v>
      </c>
      <c r="V69" s="1364" t="str">
        <f>'DATA GPC'!N1224</f>
        <v>--</v>
      </c>
      <c r="W69" s="1364" t="str">
        <f>'DATA GPC'!O1224</f>
        <v>--</v>
      </c>
      <c r="X69" s="1364" t="str">
        <f>'DATA GPC'!P1224</f>
        <v>--</v>
      </c>
      <c r="Y69" s="1364" t="str">
        <f>'DATA GPC'!U1224</f>
        <v>--</v>
      </c>
      <c r="Z69" s="1364" t="str">
        <f>'DATA GPC'!V1224</f>
        <v>--</v>
      </c>
      <c r="AA69" s="1364" t="str">
        <f>'DATA GPC'!W1224</f>
        <v>--</v>
      </c>
      <c r="AB69" s="1364" t="str">
        <f>'DATA GPC'!X1224</f>
        <v>--</v>
      </c>
      <c r="AC69" s="1364" t="str">
        <f>'DATA GPC'!Y1224</f>
        <v>--</v>
      </c>
      <c r="AD69" s="1364"/>
      <c r="AE69" s="1364" t="str">
        <f>IFERROR(AVERAGE('DATA GPC'!$K1255:$O1255),"--")</f>
        <v>--</v>
      </c>
      <c r="AF69" s="1364" t="str">
        <f t="shared" si="25"/>
        <v>--</v>
      </c>
      <c r="AG69" s="1364" t="str">
        <f>'DATA GPC'!L1255</f>
        <v>--</v>
      </c>
      <c r="AH69" s="1364" t="str">
        <f>'DATA GPC'!M1255</f>
        <v>--</v>
      </c>
      <c r="AI69" s="1364" t="str">
        <f>'DATA GPC'!N1255</f>
        <v>--</v>
      </c>
      <c r="AJ69" s="1364" t="str">
        <f>'DATA GPC'!O1255</f>
        <v>--</v>
      </c>
      <c r="AK69" s="1364" t="str">
        <f>'DATA GPC'!P1255</f>
        <v>--</v>
      </c>
      <c r="AL69" s="1364" t="str">
        <f>'DATA GPC'!U1255</f>
        <v>--</v>
      </c>
      <c r="AM69" s="1364" t="str">
        <f>'DATA GPC'!V1255</f>
        <v>--</v>
      </c>
      <c r="AN69" s="1364" t="str">
        <f>'DATA GPC'!W1255</f>
        <v>--</v>
      </c>
      <c r="AO69" s="503" t="str">
        <f>'DATA GPC'!X1255</f>
        <v>--</v>
      </c>
      <c r="AP69" s="503" t="str">
        <f>'DATA GPC'!Y1255</f>
        <v>--</v>
      </c>
      <c r="AQ69" s="1530"/>
      <c r="AR69" s="1557"/>
      <c r="AS69" s="1530"/>
      <c r="AT69" s="1530"/>
      <c r="AU69" s="1530"/>
      <c r="AV69" s="1530"/>
      <c r="AW69" s="1525"/>
      <c r="AX69" s="1525"/>
      <c r="AY69" s="1525"/>
      <c r="AZ69" s="1525"/>
      <c r="BA69" s="1525"/>
      <c r="BB69" s="1525"/>
      <c r="BC69" s="1525"/>
      <c r="BD69" s="1525"/>
      <c r="BE69" s="1525"/>
      <c r="BF69" s="1525"/>
      <c r="BG69" s="1525"/>
      <c r="BH69" s="1525"/>
      <c r="BI69" s="1525"/>
      <c r="BJ69" s="1525"/>
      <c r="BK69" s="1525"/>
    </row>
    <row r="70" spans="1:63" ht="12" customHeight="1">
      <c r="A70" s="1557" t="str">
        <f t="shared" si="22"/>
        <v>n</v>
      </c>
      <c r="B70" s="1557"/>
      <c r="C70" s="1542" t="str">
        <f t="shared" si="23"/>
        <v>--</v>
      </c>
      <c r="D70" s="651" t="str">
        <f>'Working Capital'!D$17</f>
        <v>--</v>
      </c>
      <c r="E70" s="665"/>
      <c r="F70" s="665"/>
      <c r="G70" s="665"/>
      <c r="H70" s="665"/>
      <c r="I70" s="665"/>
      <c r="J70" s="1530"/>
      <c r="K70" s="1364" t="str">
        <f>IFERROR(('DATA GPC'!V572/'DATA GPC'!O572)^(1/2)-1,"--")</f>
        <v>--</v>
      </c>
      <c r="L70" s="1364" t="str">
        <f>IFERROR(('DATA GPC'!V634/'DATA GPC'!O634)^(1/2)-1,"--")</f>
        <v>--</v>
      </c>
      <c r="M70" s="1364" t="str">
        <f>IFERROR(('DATA GPC'!V665/'DATA GPC'!O665)^(1/2)-1,"--")</f>
        <v>--</v>
      </c>
      <c r="N70" s="1369"/>
      <c r="O70" s="1369"/>
      <c r="P70" s="1369"/>
      <c r="Q70" s="1369"/>
      <c r="R70" s="1364" t="str">
        <f>IFERROR(AVERAGE('DATA GPC'!$K1225:$O1225),"--")</f>
        <v>--</v>
      </c>
      <c r="S70" s="1364" t="str">
        <f t="shared" si="24"/>
        <v>--</v>
      </c>
      <c r="T70" s="1364" t="str">
        <f>'DATA GPC'!L1225</f>
        <v>--</v>
      </c>
      <c r="U70" s="1364" t="str">
        <f>'DATA GPC'!M1225</f>
        <v>--</v>
      </c>
      <c r="V70" s="1364" t="str">
        <f>'DATA GPC'!N1225</f>
        <v>--</v>
      </c>
      <c r="W70" s="1364" t="str">
        <f>'DATA GPC'!O1225</f>
        <v>--</v>
      </c>
      <c r="X70" s="1364" t="str">
        <f>'DATA GPC'!P1225</f>
        <v>--</v>
      </c>
      <c r="Y70" s="1364" t="str">
        <f>'DATA GPC'!U1225</f>
        <v>--</v>
      </c>
      <c r="Z70" s="1364" t="str">
        <f>'DATA GPC'!V1225</f>
        <v>--</v>
      </c>
      <c r="AA70" s="1364" t="str">
        <f>'DATA GPC'!W1225</f>
        <v>--</v>
      </c>
      <c r="AB70" s="1364" t="str">
        <f>'DATA GPC'!X1225</f>
        <v>--</v>
      </c>
      <c r="AC70" s="1364" t="str">
        <f>'DATA GPC'!Y1225</f>
        <v>--</v>
      </c>
      <c r="AD70" s="1364"/>
      <c r="AE70" s="1364" t="str">
        <f>IFERROR(AVERAGE('DATA GPC'!$K1256:$O1256),"--")</f>
        <v>--</v>
      </c>
      <c r="AF70" s="1364" t="str">
        <f t="shared" si="25"/>
        <v>--</v>
      </c>
      <c r="AG70" s="1364" t="str">
        <f>'DATA GPC'!L1256</f>
        <v>--</v>
      </c>
      <c r="AH70" s="1364" t="str">
        <f>'DATA GPC'!M1256</f>
        <v>--</v>
      </c>
      <c r="AI70" s="1364" t="str">
        <f>'DATA GPC'!N1256</f>
        <v>--</v>
      </c>
      <c r="AJ70" s="1364" t="str">
        <f>'DATA GPC'!O1256</f>
        <v>--</v>
      </c>
      <c r="AK70" s="1364" t="str">
        <f>'DATA GPC'!P1256</f>
        <v>--</v>
      </c>
      <c r="AL70" s="1364" t="str">
        <f>'DATA GPC'!U1256</f>
        <v>--</v>
      </c>
      <c r="AM70" s="1364" t="str">
        <f>'DATA GPC'!V1256</f>
        <v>--</v>
      </c>
      <c r="AN70" s="1364" t="str">
        <f>'DATA GPC'!W1256</f>
        <v>--</v>
      </c>
      <c r="AO70" s="503" t="str">
        <f>'DATA GPC'!X1256</f>
        <v>--</v>
      </c>
      <c r="AP70" s="503" t="str">
        <f>'DATA GPC'!Y1256</f>
        <v>--</v>
      </c>
      <c r="AQ70" s="1530"/>
      <c r="AR70" s="1557"/>
      <c r="AS70" s="1530"/>
      <c r="AT70" s="1530"/>
      <c r="AU70" s="1530"/>
      <c r="AV70" s="1530"/>
      <c r="AW70" s="1525"/>
      <c r="AX70" s="1525"/>
      <c r="AY70" s="1525"/>
      <c r="AZ70" s="1525"/>
      <c r="BA70" s="1525"/>
      <c r="BB70" s="1525"/>
      <c r="BC70" s="1525"/>
      <c r="BD70" s="1525"/>
      <c r="BE70" s="1525"/>
      <c r="BF70" s="1525"/>
      <c r="BG70" s="1525"/>
      <c r="BH70" s="1525"/>
      <c r="BI70" s="1525"/>
      <c r="BJ70" s="1525"/>
      <c r="BK70" s="1525"/>
    </row>
    <row r="71" spans="1:63" ht="12" customHeight="1">
      <c r="A71" s="1557" t="str">
        <f t="shared" si="22"/>
        <v>n</v>
      </c>
      <c r="B71" s="1557"/>
      <c r="C71" s="1542" t="str">
        <f t="shared" si="23"/>
        <v>--</v>
      </c>
      <c r="D71" s="651" t="str">
        <f>'Working Capital'!D$18</f>
        <v>--</v>
      </c>
      <c r="E71" s="665"/>
      <c r="F71" s="665"/>
      <c r="G71" s="665"/>
      <c r="H71" s="665"/>
      <c r="I71" s="665"/>
      <c r="J71" s="1530"/>
      <c r="K71" s="1364" t="str">
        <f>IFERROR(('DATA GPC'!V573/'DATA GPC'!O573)^(1/2)-1,"--")</f>
        <v>--</v>
      </c>
      <c r="L71" s="1364" t="str">
        <f>IFERROR(('DATA GPC'!V635/'DATA GPC'!O635)^(1/2)-1,"--")</f>
        <v>--</v>
      </c>
      <c r="M71" s="1364" t="str">
        <f>IFERROR(('DATA GPC'!V666/'DATA GPC'!O666)^(1/2)-1,"--")</f>
        <v>--</v>
      </c>
      <c r="N71" s="1369"/>
      <c r="O71" s="1369"/>
      <c r="P71" s="1369"/>
      <c r="Q71" s="1369"/>
      <c r="R71" s="1364" t="str">
        <f>IFERROR(AVERAGE('DATA GPC'!$K1226:$O1226),"--")</f>
        <v>--</v>
      </c>
      <c r="S71" s="1364" t="str">
        <f t="shared" si="24"/>
        <v>--</v>
      </c>
      <c r="T71" s="1364" t="str">
        <f>'DATA GPC'!L1226</f>
        <v>--</v>
      </c>
      <c r="U71" s="1364" t="str">
        <f>'DATA GPC'!M1226</f>
        <v>--</v>
      </c>
      <c r="V71" s="1364" t="str">
        <f>'DATA GPC'!N1226</f>
        <v>--</v>
      </c>
      <c r="W71" s="1364" t="str">
        <f>'DATA GPC'!O1226</f>
        <v>--</v>
      </c>
      <c r="X71" s="1364" t="str">
        <f>'DATA GPC'!P1226</f>
        <v>--</v>
      </c>
      <c r="Y71" s="1364" t="str">
        <f>'DATA GPC'!U1226</f>
        <v>--</v>
      </c>
      <c r="Z71" s="1364" t="str">
        <f>'DATA GPC'!V1226</f>
        <v>--</v>
      </c>
      <c r="AA71" s="1364" t="str">
        <f>'DATA GPC'!W1226</f>
        <v>--</v>
      </c>
      <c r="AB71" s="1364" t="str">
        <f>'DATA GPC'!X1226</f>
        <v>--</v>
      </c>
      <c r="AC71" s="1364" t="str">
        <f>'DATA GPC'!Y1226</f>
        <v>--</v>
      </c>
      <c r="AD71" s="1364"/>
      <c r="AE71" s="1364" t="str">
        <f>IFERROR(AVERAGE('DATA GPC'!$K1257:$O1257),"--")</f>
        <v>--</v>
      </c>
      <c r="AF71" s="1364" t="str">
        <f t="shared" si="25"/>
        <v>--</v>
      </c>
      <c r="AG71" s="1364" t="str">
        <f>'DATA GPC'!L1257</f>
        <v>--</v>
      </c>
      <c r="AH71" s="1364" t="str">
        <f>'DATA GPC'!M1257</f>
        <v>--</v>
      </c>
      <c r="AI71" s="1364" t="str">
        <f>'DATA GPC'!N1257</f>
        <v>--</v>
      </c>
      <c r="AJ71" s="1364" t="str">
        <f>'DATA GPC'!O1257</f>
        <v>--</v>
      </c>
      <c r="AK71" s="1364" t="str">
        <f>'DATA GPC'!P1257</f>
        <v>--</v>
      </c>
      <c r="AL71" s="1364" t="str">
        <f>'DATA GPC'!U1257</f>
        <v>--</v>
      </c>
      <c r="AM71" s="1364" t="str">
        <f>'DATA GPC'!V1257</f>
        <v>--</v>
      </c>
      <c r="AN71" s="1364" t="str">
        <f>'DATA GPC'!W1257</f>
        <v>--</v>
      </c>
      <c r="AO71" s="503" t="str">
        <f>'DATA GPC'!X1257</f>
        <v>--</v>
      </c>
      <c r="AP71" s="503" t="str">
        <f>'DATA GPC'!Y1257</f>
        <v>--</v>
      </c>
      <c r="AQ71" s="1530"/>
      <c r="AR71" s="1557"/>
      <c r="AS71" s="1530"/>
      <c r="AT71" s="1530"/>
      <c r="AU71" s="1530"/>
      <c r="AV71" s="1530"/>
      <c r="AW71" s="1525"/>
      <c r="AX71" s="1525"/>
      <c r="AY71" s="1525"/>
      <c r="AZ71" s="1525"/>
      <c r="BA71" s="1525"/>
      <c r="BB71" s="1525"/>
      <c r="BC71" s="1525"/>
      <c r="BD71" s="1525"/>
      <c r="BE71" s="1525"/>
      <c r="BF71" s="1525"/>
      <c r="BG71" s="1525"/>
      <c r="BH71" s="1525"/>
      <c r="BI71" s="1525"/>
      <c r="BJ71" s="1525"/>
      <c r="BK71" s="1525"/>
    </row>
    <row r="72" spans="1:63" ht="12" customHeight="1">
      <c r="A72" s="1557" t="str">
        <f t="shared" si="22"/>
        <v>n</v>
      </c>
      <c r="B72" s="1557"/>
      <c r="C72" s="1542" t="str">
        <f t="shared" si="23"/>
        <v>--</v>
      </c>
      <c r="D72" s="651" t="str">
        <f>'Working Capital'!D$19</f>
        <v>--</v>
      </c>
      <c r="E72" s="665"/>
      <c r="F72" s="665"/>
      <c r="G72" s="665"/>
      <c r="H72" s="665"/>
      <c r="I72" s="665"/>
      <c r="J72" s="1530"/>
      <c r="K72" s="1364" t="str">
        <f>IFERROR(('DATA GPC'!V574/'DATA GPC'!O574)^(1/2)-1,"--")</f>
        <v>--</v>
      </c>
      <c r="L72" s="1364" t="str">
        <f>IFERROR(('DATA GPC'!V636/'DATA GPC'!O636)^(1/2)-1,"--")</f>
        <v>--</v>
      </c>
      <c r="M72" s="1364" t="str">
        <f>IFERROR(('DATA GPC'!V667/'DATA GPC'!O667)^(1/2)-1,"--")</f>
        <v>--</v>
      </c>
      <c r="N72" s="1369"/>
      <c r="O72" s="1369"/>
      <c r="P72" s="1369"/>
      <c r="Q72" s="1369"/>
      <c r="R72" s="1364" t="str">
        <f>IFERROR(AVERAGE('DATA GPC'!$K1227:$O1227),"--")</f>
        <v>--</v>
      </c>
      <c r="S72" s="1364" t="str">
        <f t="shared" si="24"/>
        <v>--</v>
      </c>
      <c r="T72" s="1364" t="str">
        <f>'DATA GPC'!L1227</f>
        <v>--</v>
      </c>
      <c r="U72" s="1364" t="str">
        <f>'DATA GPC'!M1227</f>
        <v>--</v>
      </c>
      <c r="V72" s="1364" t="str">
        <f>'DATA GPC'!N1227</f>
        <v>--</v>
      </c>
      <c r="W72" s="1364" t="str">
        <f>'DATA GPC'!O1227</f>
        <v>--</v>
      </c>
      <c r="X72" s="1364" t="str">
        <f>'DATA GPC'!P1227</f>
        <v>--</v>
      </c>
      <c r="Y72" s="1364" t="str">
        <f>'DATA GPC'!U1227</f>
        <v>--</v>
      </c>
      <c r="Z72" s="1364" t="str">
        <f>'DATA GPC'!V1227</f>
        <v>--</v>
      </c>
      <c r="AA72" s="1364" t="str">
        <f>'DATA GPC'!W1227</f>
        <v>--</v>
      </c>
      <c r="AB72" s="1364" t="str">
        <f>'DATA GPC'!X1227</f>
        <v>--</v>
      </c>
      <c r="AC72" s="1364" t="str">
        <f>'DATA GPC'!Y1227</f>
        <v>--</v>
      </c>
      <c r="AD72" s="1364"/>
      <c r="AE72" s="1364" t="str">
        <f>IFERROR(AVERAGE('DATA GPC'!$K1258:$O1258),"--")</f>
        <v>--</v>
      </c>
      <c r="AF72" s="1364" t="str">
        <f t="shared" si="25"/>
        <v>--</v>
      </c>
      <c r="AG72" s="1364" t="str">
        <f>'DATA GPC'!L1258</f>
        <v>--</v>
      </c>
      <c r="AH72" s="1364" t="str">
        <f>'DATA GPC'!M1258</f>
        <v>--</v>
      </c>
      <c r="AI72" s="1364" t="str">
        <f>'DATA GPC'!N1258</f>
        <v>--</v>
      </c>
      <c r="AJ72" s="1364" t="str">
        <f>'DATA GPC'!O1258</f>
        <v>--</v>
      </c>
      <c r="AK72" s="1364" t="str">
        <f>'DATA GPC'!P1258</f>
        <v>--</v>
      </c>
      <c r="AL72" s="1364" t="str">
        <f>'DATA GPC'!U1258</f>
        <v>--</v>
      </c>
      <c r="AM72" s="1364" t="str">
        <f>'DATA GPC'!V1258</f>
        <v>--</v>
      </c>
      <c r="AN72" s="1364" t="str">
        <f>'DATA GPC'!W1258</f>
        <v>--</v>
      </c>
      <c r="AO72" s="503" t="str">
        <f>'DATA GPC'!X1258</f>
        <v>--</v>
      </c>
      <c r="AP72" s="503" t="str">
        <f>'DATA GPC'!Y1258</f>
        <v>--</v>
      </c>
      <c r="AQ72" s="1530"/>
      <c r="AR72" s="1557"/>
      <c r="AS72" s="1530"/>
      <c r="AT72" s="1530"/>
      <c r="AU72" s="1530"/>
      <c r="AV72" s="1530"/>
      <c r="AW72" s="1525"/>
      <c r="AX72" s="1525"/>
      <c r="AY72" s="1525"/>
      <c r="AZ72" s="1525"/>
      <c r="BA72" s="1525"/>
      <c r="BB72" s="1525"/>
      <c r="BC72" s="1525"/>
      <c r="BD72" s="1525"/>
      <c r="BE72" s="1525"/>
      <c r="BF72" s="1525"/>
      <c r="BG72" s="1525"/>
      <c r="BH72" s="1525"/>
      <c r="BI72" s="1525"/>
      <c r="BJ72" s="1525"/>
      <c r="BK72" s="1525"/>
    </row>
    <row r="73" spans="1:63" ht="12" customHeight="1">
      <c r="A73" s="1557" t="str">
        <f t="shared" si="22"/>
        <v>n</v>
      </c>
      <c r="B73" s="1557"/>
      <c r="C73" s="1542" t="str">
        <f t="shared" si="23"/>
        <v>--</v>
      </c>
      <c r="D73" s="651" t="str">
        <f>'Working Capital'!D$20</f>
        <v>--</v>
      </c>
      <c r="E73" s="665"/>
      <c r="F73" s="665"/>
      <c r="G73" s="665"/>
      <c r="H73" s="665"/>
      <c r="I73" s="665"/>
      <c r="J73" s="1530"/>
      <c r="K73" s="1364" t="str">
        <f>IFERROR(('DATA GPC'!V575/'DATA GPC'!O575)^(1/2)-1,"--")</f>
        <v>--</v>
      </c>
      <c r="L73" s="1364" t="str">
        <f>IFERROR(('DATA GPC'!V637/'DATA GPC'!O637)^(1/2)-1,"--")</f>
        <v>--</v>
      </c>
      <c r="M73" s="1364" t="str">
        <f>IFERROR(('DATA GPC'!V668/'DATA GPC'!O668)^(1/2)-1,"--")</f>
        <v>--</v>
      </c>
      <c r="N73" s="1369"/>
      <c r="O73" s="1369"/>
      <c r="P73" s="1369"/>
      <c r="Q73" s="1369"/>
      <c r="R73" s="1364" t="str">
        <f>IFERROR(AVERAGE('DATA GPC'!$K1228:$O1228),"--")</f>
        <v>--</v>
      </c>
      <c r="S73" s="1364" t="str">
        <f t="shared" si="24"/>
        <v>--</v>
      </c>
      <c r="T73" s="1364" t="str">
        <f>'DATA GPC'!L1228</f>
        <v>--</v>
      </c>
      <c r="U73" s="1364" t="str">
        <f>'DATA GPC'!M1228</f>
        <v>--</v>
      </c>
      <c r="V73" s="1364" t="str">
        <f>'DATA GPC'!N1228</f>
        <v>--</v>
      </c>
      <c r="W73" s="1364" t="str">
        <f>'DATA GPC'!O1228</f>
        <v>--</v>
      </c>
      <c r="X73" s="1364" t="str">
        <f>'DATA GPC'!P1228</f>
        <v>--</v>
      </c>
      <c r="Y73" s="1364" t="str">
        <f>'DATA GPC'!U1228</f>
        <v>--</v>
      </c>
      <c r="Z73" s="1364" t="str">
        <f>'DATA GPC'!V1228</f>
        <v>--</v>
      </c>
      <c r="AA73" s="1364" t="str">
        <f>'DATA GPC'!W1228</f>
        <v>--</v>
      </c>
      <c r="AB73" s="1364" t="str">
        <f>'DATA GPC'!X1228</f>
        <v>--</v>
      </c>
      <c r="AC73" s="1364" t="str">
        <f>'DATA GPC'!Y1228</f>
        <v>--</v>
      </c>
      <c r="AD73" s="1364"/>
      <c r="AE73" s="1364" t="str">
        <f>IFERROR(AVERAGE('DATA GPC'!$K1259:$O1259),"--")</f>
        <v>--</v>
      </c>
      <c r="AF73" s="1364" t="str">
        <f t="shared" si="25"/>
        <v>--</v>
      </c>
      <c r="AG73" s="1364" t="str">
        <f>'DATA GPC'!L1259</f>
        <v>--</v>
      </c>
      <c r="AH73" s="1364" t="str">
        <f>'DATA GPC'!M1259</f>
        <v>--</v>
      </c>
      <c r="AI73" s="1364" t="str">
        <f>'DATA GPC'!N1259</f>
        <v>--</v>
      </c>
      <c r="AJ73" s="1364" t="str">
        <f>'DATA GPC'!O1259</f>
        <v>--</v>
      </c>
      <c r="AK73" s="1364" t="str">
        <f>'DATA GPC'!P1259</f>
        <v>--</v>
      </c>
      <c r="AL73" s="1364" t="str">
        <f>'DATA GPC'!U1259</f>
        <v>--</v>
      </c>
      <c r="AM73" s="1364" t="str">
        <f>'DATA GPC'!V1259</f>
        <v>--</v>
      </c>
      <c r="AN73" s="1364" t="str">
        <f>'DATA GPC'!W1259</f>
        <v>--</v>
      </c>
      <c r="AO73" s="503" t="str">
        <f>'DATA GPC'!X1259</f>
        <v>--</v>
      </c>
      <c r="AP73" s="503" t="str">
        <f>'DATA GPC'!Y1259</f>
        <v>--</v>
      </c>
      <c r="AQ73" s="1530"/>
      <c r="AR73" s="1557"/>
      <c r="AS73" s="1530"/>
      <c r="AT73" s="1530"/>
      <c r="AU73" s="1530"/>
      <c r="AV73" s="1530"/>
      <c r="AW73" s="1525"/>
      <c r="AX73" s="1525"/>
      <c r="AY73" s="1525"/>
      <c r="AZ73" s="1525"/>
      <c r="BA73" s="1525"/>
      <c r="BB73" s="1525"/>
      <c r="BC73" s="1525"/>
      <c r="BD73" s="1525"/>
      <c r="BE73" s="1525"/>
      <c r="BF73" s="1525"/>
      <c r="BG73" s="1525"/>
      <c r="BH73" s="1525"/>
      <c r="BI73" s="1525"/>
      <c r="BJ73" s="1525"/>
      <c r="BK73" s="1525"/>
    </row>
    <row r="74" spans="1:63" ht="12" customHeight="1">
      <c r="A74" s="1557" t="str">
        <f t="shared" si="22"/>
        <v>n</v>
      </c>
      <c r="B74" s="1557"/>
      <c r="C74" s="1542" t="str">
        <f t="shared" si="23"/>
        <v>--</v>
      </c>
      <c r="D74" s="651" t="str">
        <f>'Working Capital'!D$21</f>
        <v>--</v>
      </c>
      <c r="E74" s="665"/>
      <c r="F74" s="665"/>
      <c r="G74" s="665"/>
      <c r="H74" s="665"/>
      <c r="I74" s="665"/>
      <c r="J74" s="1530"/>
      <c r="K74" s="1364" t="str">
        <f>IFERROR(('DATA GPC'!V576/'DATA GPC'!O576)^(1/2)-1,"--")</f>
        <v>--</v>
      </c>
      <c r="L74" s="1364" t="str">
        <f>IFERROR(('DATA GPC'!V638/'DATA GPC'!O638)^(1/2)-1,"--")</f>
        <v>--</v>
      </c>
      <c r="M74" s="1364" t="str">
        <f>IFERROR(('DATA GPC'!V669/'DATA GPC'!O669)^(1/2)-1,"--")</f>
        <v>--</v>
      </c>
      <c r="N74" s="1369"/>
      <c r="O74" s="1369"/>
      <c r="P74" s="1369"/>
      <c r="Q74" s="1369"/>
      <c r="R74" s="1364" t="str">
        <f>IFERROR(AVERAGE('DATA GPC'!$K1229:$O1229),"--")</f>
        <v>--</v>
      </c>
      <c r="S74" s="1364" t="str">
        <f t="shared" si="24"/>
        <v>--</v>
      </c>
      <c r="T74" s="1364" t="str">
        <f>'DATA GPC'!L1229</f>
        <v>--</v>
      </c>
      <c r="U74" s="1364" t="str">
        <f>'DATA GPC'!M1229</f>
        <v>--</v>
      </c>
      <c r="V74" s="1364" t="str">
        <f>'DATA GPC'!N1229</f>
        <v>--</v>
      </c>
      <c r="W74" s="1364" t="str">
        <f>'DATA GPC'!O1229</f>
        <v>--</v>
      </c>
      <c r="X74" s="1364" t="str">
        <f>'DATA GPC'!P1229</f>
        <v>--</v>
      </c>
      <c r="Y74" s="1364" t="str">
        <f>'DATA GPC'!U1229</f>
        <v>--</v>
      </c>
      <c r="Z74" s="1364" t="str">
        <f>'DATA GPC'!V1229</f>
        <v>--</v>
      </c>
      <c r="AA74" s="1364" t="str">
        <f>'DATA GPC'!W1229</f>
        <v>--</v>
      </c>
      <c r="AB74" s="1364" t="str">
        <f>'DATA GPC'!X1229</f>
        <v>--</v>
      </c>
      <c r="AC74" s="1364" t="str">
        <f>'DATA GPC'!Y1229</f>
        <v>--</v>
      </c>
      <c r="AD74" s="1364"/>
      <c r="AE74" s="1364" t="str">
        <f>IFERROR(AVERAGE('DATA GPC'!$K1260:$O1260),"--")</f>
        <v>--</v>
      </c>
      <c r="AF74" s="1364" t="str">
        <f t="shared" si="25"/>
        <v>--</v>
      </c>
      <c r="AG74" s="1364" t="str">
        <f>'DATA GPC'!L1260</f>
        <v>--</v>
      </c>
      <c r="AH74" s="1364" t="str">
        <f>'DATA GPC'!M1260</f>
        <v>--</v>
      </c>
      <c r="AI74" s="1364" t="str">
        <f>'DATA GPC'!N1260</f>
        <v>--</v>
      </c>
      <c r="AJ74" s="1364" t="str">
        <f>'DATA GPC'!O1260</f>
        <v>--</v>
      </c>
      <c r="AK74" s="1364" t="str">
        <f>'DATA GPC'!P1260</f>
        <v>--</v>
      </c>
      <c r="AL74" s="1364" t="str">
        <f>'DATA GPC'!U1260</f>
        <v>--</v>
      </c>
      <c r="AM74" s="1364" t="str">
        <f>'DATA GPC'!V1260</f>
        <v>--</v>
      </c>
      <c r="AN74" s="1364" t="str">
        <f>'DATA GPC'!W1260</f>
        <v>--</v>
      </c>
      <c r="AO74" s="503" t="str">
        <f>'DATA GPC'!X1260</f>
        <v>--</v>
      </c>
      <c r="AP74" s="503" t="str">
        <f>'DATA GPC'!Y1260</f>
        <v>--</v>
      </c>
      <c r="AQ74" s="1530"/>
      <c r="AR74" s="1557"/>
      <c r="AS74" s="1530"/>
      <c r="AT74" s="1530"/>
      <c r="AU74" s="1530"/>
      <c r="AV74" s="1530"/>
      <c r="AW74" s="1525"/>
      <c r="AX74" s="1525"/>
      <c r="AY74" s="1525"/>
      <c r="AZ74" s="1525"/>
      <c r="BA74" s="1525"/>
      <c r="BB74" s="1525"/>
      <c r="BC74" s="1525"/>
      <c r="BD74" s="1525"/>
      <c r="BE74" s="1525"/>
      <c r="BF74" s="1525"/>
      <c r="BG74" s="1525"/>
      <c r="BH74" s="1525"/>
      <c r="BI74" s="1525"/>
      <c r="BJ74" s="1525"/>
      <c r="BK74" s="1525"/>
    </row>
    <row r="75" spans="1:63" ht="12" customHeight="1">
      <c r="A75" s="1557" t="str">
        <f t="shared" si="22"/>
        <v>n</v>
      </c>
      <c r="B75" s="1557"/>
      <c r="C75" s="1542" t="str">
        <f t="shared" si="23"/>
        <v>--</v>
      </c>
      <c r="D75" s="651" t="str">
        <f>'Working Capital'!D$22</f>
        <v>--</v>
      </c>
      <c r="E75" s="665"/>
      <c r="F75" s="665"/>
      <c r="G75" s="665"/>
      <c r="H75" s="665"/>
      <c r="I75" s="665"/>
      <c r="J75" s="1530"/>
      <c r="K75" s="1364" t="str">
        <f>IFERROR(('DATA GPC'!V577/'DATA GPC'!O577)^(1/2)-1,"--")</f>
        <v>--</v>
      </c>
      <c r="L75" s="1364" t="str">
        <f>IFERROR(('DATA GPC'!V639/'DATA GPC'!O639)^(1/2)-1,"--")</f>
        <v>--</v>
      </c>
      <c r="M75" s="1364" t="str">
        <f>IFERROR(('DATA GPC'!V670/'DATA GPC'!O670)^(1/2)-1,"--")</f>
        <v>--</v>
      </c>
      <c r="N75" s="1369"/>
      <c r="O75" s="1369"/>
      <c r="P75" s="1369"/>
      <c r="Q75" s="1369"/>
      <c r="R75" s="1364" t="str">
        <f>IFERROR(AVERAGE('DATA GPC'!$K1230:$O1230),"--")</f>
        <v>--</v>
      </c>
      <c r="S75" s="1364" t="str">
        <f t="shared" si="24"/>
        <v>--</v>
      </c>
      <c r="T75" s="1364" t="str">
        <f>'DATA GPC'!L1230</f>
        <v>--</v>
      </c>
      <c r="U75" s="1364" t="str">
        <f>'DATA GPC'!M1230</f>
        <v>--</v>
      </c>
      <c r="V75" s="1364" t="str">
        <f>'DATA GPC'!N1230</f>
        <v>--</v>
      </c>
      <c r="W75" s="1364" t="str">
        <f>'DATA GPC'!O1230</f>
        <v>--</v>
      </c>
      <c r="X75" s="1364" t="str">
        <f>'DATA GPC'!P1230</f>
        <v>--</v>
      </c>
      <c r="Y75" s="1364" t="str">
        <f>'DATA GPC'!U1230</f>
        <v>--</v>
      </c>
      <c r="Z75" s="1364" t="str">
        <f>'DATA GPC'!V1230</f>
        <v>--</v>
      </c>
      <c r="AA75" s="1364" t="str">
        <f>'DATA GPC'!W1230</f>
        <v>--</v>
      </c>
      <c r="AB75" s="1364" t="str">
        <f>'DATA GPC'!X1230</f>
        <v>--</v>
      </c>
      <c r="AC75" s="1364" t="str">
        <f>'DATA GPC'!Y1230</f>
        <v>--</v>
      </c>
      <c r="AD75" s="1364"/>
      <c r="AE75" s="1364" t="str">
        <f>IFERROR(AVERAGE('DATA GPC'!$K1261:$O1261),"--")</f>
        <v>--</v>
      </c>
      <c r="AF75" s="1364" t="str">
        <f t="shared" si="25"/>
        <v>--</v>
      </c>
      <c r="AG75" s="1364" t="str">
        <f>'DATA GPC'!L1261</f>
        <v>--</v>
      </c>
      <c r="AH75" s="1364" t="str">
        <f>'DATA GPC'!M1261</f>
        <v>--</v>
      </c>
      <c r="AI75" s="1364" t="str">
        <f>'DATA GPC'!N1261</f>
        <v>--</v>
      </c>
      <c r="AJ75" s="1364" t="str">
        <f>'DATA GPC'!O1261</f>
        <v>--</v>
      </c>
      <c r="AK75" s="1364" t="str">
        <f>'DATA GPC'!P1261</f>
        <v>--</v>
      </c>
      <c r="AL75" s="1364" t="str">
        <f>'DATA GPC'!U1261</f>
        <v>--</v>
      </c>
      <c r="AM75" s="1364" t="str">
        <f>'DATA GPC'!V1261</f>
        <v>--</v>
      </c>
      <c r="AN75" s="1364" t="str">
        <f>'DATA GPC'!W1261</f>
        <v>--</v>
      </c>
      <c r="AO75" s="503" t="str">
        <f>'DATA GPC'!X1261</f>
        <v>--</v>
      </c>
      <c r="AP75" s="503" t="str">
        <f>'DATA GPC'!Y1261</f>
        <v>--</v>
      </c>
      <c r="AQ75" s="1530"/>
      <c r="AR75" s="1557"/>
      <c r="AS75" s="1530"/>
      <c r="AT75" s="1530"/>
      <c r="AU75" s="1530"/>
      <c r="AV75" s="1530"/>
      <c r="AW75" s="1525"/>
      <c r="AX75" s="1525"/>
      <c r="AY75" s="1525"/>
      <c r="AZ75" s="1525"/>
      <c r="BA75" s="1525"/>
      <c r="BB75" s="1525"/>
      <c r="BC75" s="1525"/>
      <c r="BD75" s="1525"/>
      <c r="BE75" s="1525"/>
      <c r="BF75" s="1525"/>
      <c r="BG75" s="1525"/>
      <c r="BH75" s="1525"/>
      <c r="BI75" s="1525"/>
      <c r="BJ75" s="1525"/>
      <c r="BK75" s="1525"/>
    </row>
    <row r="76" spans="1:63" ht="12" customHeight="1">
      <c r="A76" s="1557" t="str">
        <f t="shared" si="22"/>
        <v>n</v>
      </c>
      <c r="B76" s="1557"/>
      <c r="C76" s="1542" t="str">
        <f t="shared" si="23"/>
        <v>--</v>
      </c>
      <c r="D76" s="651" t="str">
        <f>'Working Capital'!D$23</f>
        <v>--</v>
      </c>
      <c r="E76" s="665"/>
      <c r="F76" s="665"/>
      <c r="G76" s="665"/>
      <c r="H76" s="665"/>
      <c r="I76" s="665"/>
      <c r="J76" s="1530"/>
      <c r="K76" s="1364" t="str">
        <f>IFERROR(('DATA GPC'!V578/'DATA GPC'!O578)^(1/2)-1,"--")</f>
        <v>--</v>
      </c>
      <c r="L76" s="1364" t="str">
        <f>IFERROR(('DATA GPC'!V640/'DATA GPC'!O640)^(1/2)-1,"--")</f>
        <v>--</v>
      </c>
      <c r="M76" s="1364" t="str">
        <f>IFERROR(('DATA GPC'!V671/'DATA GPC'!O671)^(1/2)-1,"--")</f>
        <v>--</v>
      </c>
      <c r="N76" s="1369"/>
      <c r="O76" s="1369"/>
      <c r="P76" s="1369"/>
      <c r="Q76" s="1369"/>
      <c r="R76" s="1364" t="str">
        <f>IFERROR(AVERAGE('DATA GPC'!$K1231:$O1231),"--")</f>
        <v>--</v>
      </c>
      <c r="S76" s="1364" t="str">
        <f t="shared" si="24"/>
        <v>--</v>
      </c>
      <c r="T76" s="1364" t="str">
        <f>'DATA GPC'!L1231</f>
        <v>--</v>
      </c>
      <c r="U76" s="1364" t="str">
        <f>'DATA GPC'!M1231</f>
        <v>--</v>
      </c>
      <c r="V76" s="1364" t="str">
        <f>'DATA GPC'!N1231</f>
        <v>--</v>
      </c>
      <c r="W76" s="1364" t="str">
        <f>'DATA GPC'!O1231</f>
        <v>--</v>
      </c>
      <c r="X76" s="1364" t="str">
        <f>'DATA GPC'!P1231</f>
        <v>--</v>
      </c>
      <c r="Y76" s="1364" t="str">
        <f>'DATA GPC'!U1231</f>
        <v>--</v>
      </c>
      <c r="Z76" s="1364" t="str">
        <f>'DATA GPC'!V1231</f>
        <v>--</v>
      </c>
      <c r="AA76" s="1364" t="str">
        <f>'DATA GPC'!W1231</f>
        <v>--</v>
      </c>
      <c r="AB76" s="1364" t="str">
        <f>'DATA GPC'!X1231</f>
        <v>--</v>
      </c>
      <c r="AC76" s="1364" t="str">
        <f>'DATA GPC'!Y1231</f>
        <v>--</v>
      </c>
      <c r="AD76" s="1364"/>
      <c r="AE76" s="1364" t="str">
        <f>IFERROR(AVERAGE('DATA GPC'!$K1262:$O1262),"--")</f>
        <v>--</v>
      </c>
      <c r="AF76" s="1364" t="str">
        <f t="shared" si="25"/>
        <v>--</v>
      </c>
      <c r="AG76" s="1364" t="str">
        <f>'DATA GPC'!L1262</f>
        <v>--</v>
      </c>
      <c r="AH76" s="1364" t="str">
        <f>'DATA GPC'!M1262</f>
        <v>--</v>
      </c>
      <c r="AI76" s="1364" t="str">
        <f>'DATA GPC'!N1262</f>
        <v>--</v>
      </c>
      <c r="AJ76" s="1364" t="str">
        <f>'DATA GPC'!O1262</f>
        <v>--</v>
      </c>
      <c r="AK76" s="1364" t="str">
        <f>'DATA GPC'!P1262</f>
        <v>--</v>
      </c>
      <c r="AL76" s="1364" t="str">
        <f>'DATA GPC'!U1262</f>
        <v>--</v>
      </c>
      <c r="AM76" s="1364" t="str">
        <f>'DATA GPC'!V1262</f>
        <v>--</v>
      </c>
      <c r="AN76" s="1364" t="str">
        <f>'DATA GPC'!W1262</f>
        <v>--</v>
      </c>
      <c r="AO76" s="503" t="str">
        <f>'DATA GPC'!X1262</f>
        <v>--</v>
      </c>
      <c r="AP76" s="503" t="str">
        <f>'DATA GPC'!Y1262</f>
        <v>--</v>
      </c>
      <c r="AQ76" s="1530"/>
      <c r="AR76" s="1557"/>
      <c r="AS76" s="1530"/>
      <c r="AT76" s="1530"/>
      <c r="AU76" s="1530"/>
      <c r="AV76" s="1530"/>
      <c r="AW76" s="1525"/>
      <c r="AX76" s="1525"/>
      <c r="AY76" s="1525"/>
      <c r="AZ76" s="1525"/>
      <c r="BA76" s="1525"/>
      <c r="BB76" s="1525"/>
      <c r="BC76" s="1525"/>
      <c r="BD76" s="1525"/>
      <c r="BE76" s="1525"/>
      <c r="BF76" s="1525"/>
      <c r="BG76" s="1525"/>
      <c r="BH76" s="1525"/>
      <c r="BI76" s="1525"/>
      <c r="BJ76" s="1525"/>
      <c r="BK76" s="1525"/>
    </row>
    <row r="77" spans="1:63" ht="12" customHeight="1">
      <c r="A77" s="1557" t="str">
        <f t="shared" si="22"/>
        <v>n</v>
      </c>
      <c r="B77" s="1557"/>
      <c r="C77" s="1542" t="str">
        <f t="shared" si="23"/>
        <v>--</v>
      </c>
      <c r="D77" s="651" t="str">
        <f>'Working Capital'!D$24</f>
        <v>--</v>
      </c>
      <c r="E77" s="1581"/>
      <c r="F77" s="1581"/>
      <c r="G77" s="1581"/>
      <c r="H77" s="1581"/>
      <c r="I77" s="1581"/>
      <c r="J77" s="1530"/>
      <c r="K77" s="1364" t="str">
        <f>IFERROR(('DATA GPC'!V579/'DATA GPC'!O579)^(1/2)-1,"--")</f>
        <v>--</v>
      </c>
      <c r="L77" s="1364" t="str">
        <f>IFERROR(('DATA GPC'!V641/'DATA GPC'!O641)^(1/2)-1,"--")</f>
        <v>--</v>
      </c>
      <c r="M77" s="1364" t="str">
        <f>IFERROR(('DATA GPC'!V672/'DATA GPC'!O672)^(1/2)-1,"--")</f>
        <v>--</v>
      </c>
      <c r="N77" s="1369"/>
      <c r="O77" s="1369"/>
      <c r="P77" s="1369"/>
      <c r="Q77" s="1369"/>
      <c r="R77" s="1364" t="str">
        <f>IFERROR(AVERAGE('DATA GPC'!$K1232:$O1232),"--")</f>
        <v>--</v>
      </c>
      <c r="S77" s="1364" t="str">
        <f t="shared" si="24"/>
        <v>--</v>
      </c>
      <c r="T77" s="1364" t="str">
        <f>'DATA GPC'!L1232</f>
        <v>--</v>
      </c>
      <c r="U77" s="1364" t="str">
        <f>'DATA GPC'!M1232</f>
        <v>--</v>
      </c>
      <c r="V77" s="1364" t="str">
        <f>'DATA GPC'!N1232</f>
        <v>--</v>
      </c>
      <c r="W77" s="1364" t="str">
        <f>'DATA GPC'!O1232</f>
        <v>--</v>
      </c>
      <c r="X77" s="1364" t="str">
        <f>'DATA GPC'!P1232</f>
        <v>--</v>
      </c>
      <c r="Y77" s="1364" t="str">
        <f>'DATA GPC'!U1232</f>
        <v>--</v>
      </c>
      <c r="Z77" s="1364" t="str">
        <f>'DATA GPC'!V1232</f>
        <v>--</v>
      </c>
      <c r="AA77" s="1364" t="str">
        <f>'DATA GPC'!W1232</f>
        <v>--</v>
      </c>
      <c r="AB77" s="1364" t="str">
        <f>'DATA GPC'!X1232</f>
        <v>--</v>
      </c>
      <c r="AC77" s="1364" t="str">
        <f>'DATA GPC'!Y1232</f>
        <v>--</v>
      </c>
      <c r="AD77" s="1364"/>
      <c r="AE77" s="1364" t="str">
        <f>IFERROR(AVERAGE('DATA GPC'!$K1263:$O1263),"--")</f>
        <v>--</v>
      </c>
      <c r="AF77" s="1364" t="str">
        <f t="shared" si="25"/>
        <v>--</v>
      </c>
      <c r="AG77" s="1364" t="str">
        <f>'DATA GPC'!L1263</f>
        <v>--</v>
      </c>
      <c r="AH77" s="1364" t="str">
        <f>'DATA GPC'!M1263</f>
        <v>--</v>
      </c>
      <c r="AI77" s="1364" t="str">
        <f>'DATA GPC'!N1263</f>
        <v>--</v>
      </c>
      <c r="AJ77" s="1364" t="str">
        <f>'DATA GPC'!O1263</f>
        <v>--</v>
      </c>
      <c r="AK77" s="1364" t="str">
        <f>'DATA GPC'!P1263</f>
        <v>--</v>
      </c>
      <c r="AL77" s="1364" t="str">
        <f>'DATA GPC'!U1263</f>
        <v>--</v>
      </c>
      <c r="AM77" s="1364" t="str">
        <f>'DATA GPC'!V1263</f>
        <v>--</v>
      </c>
      <c r="AN77" s="1364" t="str">
        <f>'DATA GPC'!W1263</f>
        <v>--</v>
      </c>
      <c r="AO77" s="503" t="str">
        <f>'DATA GPC'!X1263</f>
        <v>--</v>
      </c>
      <c r="AP77" s="503" t="str">
        <f>'DATA GPC'!Y1263</f>
        <v>--</v>
      </c>
      <c r="AQ77" s="1530"/>
      <c r="AR77" s="1557"/>
      <c r="AS77" s="1530"/>
      <c r="AT77" s="1530"/>
      <c r="AU77" s="1530"/>
      <c r="AV77" s="1530"/>
      <c r="AW77" s="1525"/>
      <c r="AX77" s="1525"/>
      <c r="AY77" s="1525"/>
      <c r="AZ77" s="1525"/>
      <c r="BA77" s="1525"/>
      <c r="BB77" s="1525"/>
      <c r="BC77" s="1525"/>
      <c r="BD77" s="1525"/>
      <c r="BE77" s="1525"/>
      <c r="BF77" s="1525"/>
      <c r="BG77" s="1525"/>
      <c r="BH77" s="1525"/>
      <c r="BI77" s="1525"/>
      <c r="BJ77" s="1525"/>
      <c r="BK77" s="1525"/>
    </row>
    <row r="78" spans="1:63" s="1530" customFormat="1" ht="12" customHeight="1">
      <c r="A78" s="1557" t="str">
        <f t="shared" ref="A78:A88" si="26">IF(C78="--","n","")</f>
        <v>n</v>
      </c>
      <c r="B78" s="1557"/>
      <c r="C78" s="1542" t="str">
        <f t="shared" si="23"/>
        <v>--</v>
      </c>
      <c r="D78" s="651" t="str">
        <f>'Working Capital'!D$24</f>
        <v>--</v>
      </c>
      <c r="E78" s="1581"/>
      <c r="F78" s="1581"/>
      <c r="G78" s="1581"/>
      <c r="H78" s="1581"/>
      <c r="I78" s="1581"/>
      <c r="K78" s="1364" t="str">
        <f>IFERROR(('DATA GPC'!V580/'DATA GPC'!O580)^(1/2)-1,"--")</f>
        <v>--</v>
      </c>
      <c r="L78" s="1364" t="str">
        <f>IFERROR(('DATA GPC'!V642/'DATA GPC'!O642)^(1/2)-1,"--")</f>
        <v>--</v>
      </c>
      <c r="M78" s="1364" t="str">
        <f>IFERROR(('DATA GPC'!V673/'DATA GPC'!O673)^(1/2)-1,"--")</f>
        <v>--</v>
      </c>
      <c r="N78" s="1369"/>
      <c r="O78" s="1369"/>
      <c r="P78" s="1369"/>
      <c r="Q78" s="1369"/>
      <c r="R78" s="1364" t="str">
        <f>IFERROR(AVERAGE('DATA GPC'!$K1233:$O1233),"--")</f>
        <v>--</v>
      </c>
      <c r="S78" s="1364" t="str">
        <f t="shared" si="24"/>
        <v>--</v>
      </c>
      <c r="T78" s="1364" t="str">
        <f>'DATA GPC'!L1233</f>
        <v>--</v>
      </c>
      <c r="U78" s="1364" t="str">
        <f>'DATA GPC'!M1233</f>
        <v>--</v>
      </c>
      <c r="V78" s="1364" t="str">
        <f>'DATA GPC'!N1233</f>
        <v>--</v>
      </c>
      <c r="W78" s="1364" t="str">
        <f>'DATA GPC'!O1233</f>
        <v>--</v>
      </c>
      <c r="X78" s="1364" t="str">
        <f>'DATA GPC'!P1233</f>
        <v>--</v>
      </c>
      <c r="Y78" s="1364" t="str">
        <f>'DATA GPC'!U1233</f>
        <v>--</v>
      </c>
      <c r="Z78" s="1364" t="str">
        <f>'DATA GPC'!V1233</f>
        <v>--</v>
      </c>
      <c r="AA78" s="1364" t="str">
        <f>'DATA GPC'!W1233</f>
        <v>--</v>
      </c>
      <c r="AB78" s="1364" t="str">
        <f>'DATA GPC'!X1233</f>
        <v>--</v>
      </c>
      <c r="AC78" s="1364" t="str">
        <f>'DATA GPC'!Y1233</f>
        <v>--</v>
      </c>
      <c r="AD78" s="1364"/>
      <c r="AE78" s="1364" t="str">
        <f>IFERROR(AVERAGE('DATA GPC'!$K1264:$O1264),"--")</f>
        <v>--</v>
      </c>
      <c r="AF78" s="1364" t="str">
        <f t="shared" si="25"/>
        <v>--</v>
      </c>
      <c r="AG78" s="1364" t="str">
        <f>'DATA GPC'!L1264</f>
        <v>--</v>
      </c>
      <c r="AH78" s="1364" t="str">
        <f>'DATA GPC'!M1264</f>
        <v>--</v>
      </c>
      <c r="AI78" s="1364" t="str">
        <f>'DATA GPC'!N1264</f>
        <v>--</v>
      </c>
      <c r="AJ78" s="1364" t="str">
        <f>'DATA GPC'!O1264</f>
        <v>--</v>
      </c>
      <c r="AK78" s="1364" t="str">
        <f>'DATA GPC'!P1264</f>
        <v>--</v>
      </c>
      <c r="AL78" s="1364" t="str">
        <f>'DATA GPC'!U1264</f>
        <v>--</v>
      </c>
      <c r="AM78" s="1364" t="str">
        <f>'DATA GPC'!V1264</f>
        <v>--</v>
      </c>
      <c r="AN78" s="1364" t="str">
        <f>'DATA GPC'!W1264</f>
        <v>--</v>
      </c>
      <c r="AO78" s="503" t="str">
        <f>'DATA GPC'!X1264</f>
        <v>--</v>
      </c>
      <c r="AP78" s="503" t="str">
        <f>'DATA GPC'!Y1264</f>
        <v>--</v>
      </c>
      <c r="AR78" s="1557"/>
      <c r="AW78" s="1525"/>
      <c r="AX78" s="1525"/>
      <c r="AY78" s="1525"/>
      <c r="AZ78" s="1525"/>
      <c r="BA78" s="1525"/>
      <c r="BB78" s="1525"/>
      <c r="BC78" s="1525"/>
      <c r="BD78" s="1525"/>
      <c r="BE78" s="1525"/>
      <c r="BF78" s="1525"/>
      <c r="BG78" s="1525"/>
      <c r="BH78" s="1525"/>
      <c r="BI78" s="1525"/>
      <c r="BJ78" s="1525"/>
      <c r="BK78" s="1525"/>
    </row>
    <row r="79" spans="1:63" s="1530" customFormat="1" ht="12" customHeight="1">
      <c r="A79" s="1557" t="str">
        <f t="shared" si="26"/>
        <v>n</v>
      </c>
      <c r="B79" s="1557"/>
      <c r="C79" s="1542" t="str">
        <f t="shared" si="23"/>
        <v>--</v>
      </c>
      <c r="D79" s="651" t="str">
        <f>'Working Capital'!D$24</f>
        <v>--</v>
      </c>
      <c r="E79" s="1581"/>
      <c r="F79" s="1581"/>
      <c r="G79" s="1581"/>
      <c r="H79" s="1581"/>
      <c r="I79" s="1581"/>
      <c r="K79" s="1364" t="str">
        <f>IFERROR(('DATA GPC'!V581/'DATA GPC'!O581)^(1/2)-1,"--")</f>
        <v>--</v>
      </c>
      <c r="L79" s="1364" t="str">
        <f>IFERROR(('DATA GPC'!V643/'DATA GPC'!O643)^(1/2)-1,"--")</f>
        <v>--</v>
      </c>
      <c r="M79" s="1364" t="str">
        <f>IFERROR(('DATA GPC'!V674/'DATA GPC'!O674)^(1/2)-1,"--")</f>
        <v>--</v>
      </c>
      <c r="N79" s="1369"/>
      <c r="O79" s="1369"/>
      <c r="P79" s="1369"/>
      <c r="Q79" s="1369"/>
      <c r="R79" s="1364" t="str">
        <f>IFERROR(AVERAGE('DATA GPC'!$K1234:$O1234),"--")</f>
        <v>--</v>
      </c>
      <c r="S79" s="1364" t="str">
        <f t="shared" si="24"/>
        <v>--</v>
      </c>
      <c r="T79" s="1364" t="str">
        <f>'DATA GPC'!L1234</f>
        <v>--</v>
      </c>
      <c r="U79" s="1364" t="str">
        <f>'DATA GPC'!M1234</f>
        <v>--</v>
      </c>
      <c r="V79" s="1364" t="str">
        <f>'DATA GPC'!N1234</f>
        <v>--</v>
      </c>
      <c r="W79" s="1364" t="str">
        <f>'DATA GPC'!O1234</f>
        <v>--</v>
      </c>
      <c r="X79" s="1364" t="str">
        <f>'DATA GPC'!P1234</f>
        <v>--</v>
      </c>
      <c r="Y79" s="1364" t="str">
        <f>'DATA GPC'!U1234</f>
        <v>--</v>
      </c>
      <c r="Z79" s="1364" t="str">
        <f>'DATA GPC'!V1234</f>
        <v>--</v>
      </c>
      <c r="AA79" s="1364" t="str">
        <f>'DATA GPC'!W1234</f>
        <v>--</v>
      </c>
      <c r="AB79" s="1364" t="str">
        <f>'DATA GPC'!X1234</f>
        <v>--</v>
      </c>
      <c r="AC79" s="1364" t="str">
        <f>'DATA GPC'!Y1234</f>
        <v>--</v>
      </c>
      <c r="AD79" s="1364"/>
      <c r="AE79" s="1364" t="str">
        <f>IFERROR(AVERAGE('DATA GPC'!$K1265:$O1265),"--")</f>
        <v>--</v>
      </c>
      <c r="AF79" s="1364" t="str">
        <f t="shared" si="25"/>
        <v>--</v>
      </c>
      <c r="AG79" s="1364" t="str">
        <f>'DATA GPC'!L1265</f>
        <v>--</v>
      </c>
      <c r="AH79" s="1364" t="str">
        <f>'DATA GPC'!M1265</f>
        <v>--</v>
      </c>
      <c r="AI79" s="1364" t="str">
        <f>'DATA GPC'!N1265</f>
        <v>--</v>
      </c>
      <c r="AJ79" s="1364" t="str">
        <f>'DATA GPC'!O1265</f>
        <v>--</v>
      </c>
      <c r="AK79" s="1364" t="str">
        <f>'DATA GPC'!P1265</f>
        <v>--</v>
      </c>
      <c r="AL79" s="1364" t="str">
        <f>'DATA GPC'!U1265</f>
        <v>--</v>
      </c>
      <c r="AM79" s="1364" t="str">
        <f>'DATA GPC'!V1265</f>
        <v>--</v>
      </c>
      <c r="AN79" s="1364" t="str">
        <f>'DATA GPC'!W1265</f>
        <v>--</v>
      </c>
      <c r="AO79" s="503" t="str">
        <f>'DATA GPC'!X1265</f>
        <v>--</v>
      </c>
      <c r="AP79" s="503" t="str">
        <f>'DATA GPC'!Y1265</f>
        <v>--</v>
      </c>
      <c r="AR79" s="1557"/>
      <c r="AW79" s="1525"/>
      <c r="AX79" s="1525"/>
      <c r="AY79" s="1525"/>
      <c r="AZ79" s="1525"/>
      <c r="BA79" s="1525"/>
      <c r="BB79" s="1525"/>
      <c r="BC79" s="1525"/>
      <c r="BD79" s="1525"/>
      <c r="BE79" s="1525"/>
      <c r="BF79" s="1525"/>
      <c r="BG79" s="1525"/>
      <c r="BH79" s="1525"/>
      <c r="BI79" s="1525"/>
      <c r="BJ79" s="1525"/>
      <c r="BK79" s="1525"/>
    </row>
    <row r="80" spans="1:63" s="1530" customFormat="1" ht="12" customHeight="1">
      <c r="A80" s="1557" t="str">
        <f t="shared" si="26"/>
        <v>n</v>
      </c>
      <c r="B80" s="1557"/>
      <c r="C80" s="1542" t="str">
        <f t="shared" si="23"/>
        <v>--</v>
      </c>
      <c r="D80" s="651" t="str">
        <f>'Working Capital'!D$24</f>
        <v>--</v>
      </c>
      <c r="E80" s="1581"/>
      <c r="F80" s="1581"/>
      <c r="G80" s="1581"/>
      <c r="H80" s="1581"/>
      <c r="I80" s="1581"/>
      <c r="K80" s="1364" t="str">
        <f>IFERROR(('DATA GPC'!V582/'DATA GPC'!O582)^(1/2)-1,"--")</f>
        <v>--</v>
      </c>
      <c r="L80" s="1364" t="str">
        <f>IFERROR(('DATA GPC'!V644/'DATA GPC'!O644)^(1/2)-1,"--")</f>
        <v>--</v>
      </c>
      <c r="M80" s="1364" t="str">
        <f>IFERROR(('DATA GPC'!V675/'DATA GPC'!O675)^(1/2)-1,"--")</f>
        <v>--</v>
      </c>
      <c r="N80" s="1369"/>
      <c r="O80" s="1369"/>
      <c r="P80" s="1369"/>
      <c r="Q80" s="1369"/>
      <c r="R80" s="1364" t="str">
        <f>IFERROR(AVERAGE('DATA GPC'!$K1235:$O1235),"--")</f>
        <v>--</v>
      </c>
      <c r="S80" s="1364" t="str">
        <f t="shared" si="24"/>
        <v>--</v>
      </c>
      <c r="T80" s="1364" t="str">
        <f>'DATA GPC'!L1235</f>
        <v>--</v>
      </c>
      <c r="U80" s="1364" t="str">
        <f>'DATA GPC'!M1235</f>
        <v>--</v>
      </c>
      <c r="V80" s="1364" t="str">
        <f>'DATA GPC'!N1235</f>
        <v>--</v>
      </c>
      <c r="W80" s="1364" t="str">
        <f>'DATA GPC'!O1235</f>
        <v>--</v>
      </c>
      <c r="X80" s="1364" t="str">
        <f>'DATA GPC'!P1235</f>
        <v>--</v>
      </c>
      <c r="Y80" s="1364" t="str">
        <f>'DATA GPC'!U1235</f>
        <v>--</v>
      </c>
      <c r="Z80" s="1364" t="str">
        <f>'DATA GPC'!V1235</f>
        <v>--</v>
      </c>
      <c r="AA80" s="1364" t="str">
        <f>'DATA GPC'!W1235</f>
        <v>--</v>
      </c>
      <c r="AB80" s="1364" t="str">
        <f>'DATA GPC'!X1235</f>
        <v>--</v>
      </c>
      <c r="AC80" s="1364" t="str">
        <f>'DATA GPC'!Y1235</f>
        <v>--</v>
      </c>
      <c r="AD80" s="1364"/>
      <c r="AE80" s="1364" t="str">
        <f>IFERROR(AVERAGE('DATA GPC'!$K1266:$O1266),"--")</f>
        <v>--</v>
      </c>
      <c r="AF80" s="1364" t="str">
        <f t="shared" si="25"/>
        <v>--</v>
      </c>
      <c r="AG80" s="1364" t="str">
        <f>'DATA GPC'!L1266</f>
        <v>--</v>
      </c>
      <c r="AH80" s="1364" t="str">
        <f>'DATA GPC'!M1266</f>
        <v>--</v>
      </c>
      <c r="AI80" s="1364" t="str">
        <f>'DATA GPC'!N1266</f>
        <v>--</v>
      </c>
      <c r="AJ80" s="1364" t="str">
        <f>'DATA GPC'!O1266</f>
        <v>--</v>
      </c>
      <c r="AK80" s="1364" t="str">
        <f>'DATA GPC'!P1266</f>
        <v>--</v>
      </c>
      <c r="AL80" s="1364" t="str">
        <f>'DATA GPC'!U1266</f>
        <v>--</v>
      </c>
      <c r="AM80" s="1364" t="str">
        <f>'DATA GPC'!V1266</f>
        <v>--</v>
      </c>
      <c r="AN80" s="1364" t="str">
        <f>'DATA GPC'!W1266</f>
        <v>--</v>
      </c>
      <c r="AO80" s="503" t="str">
        <f>'DATA GPC'!X1266</f>
        <v>--</v>
      </c>
      <c r="AP80" s="503" t="str">
        <f>'DATA GPC'!Y1266</f>
        <v>--</v>
      </c>
      <c r="AR80" s="1557"/>
      <c r="AW80" s="1525"/>
      <c r="AX80" s="1525"/>
      <c r="AY80" s="1525"/>
      <c r="AZ80" s="1525"/>
      <c r="BA80" s="1525"/>
      <c r="BB80" s="1525"/>
      <c r="BC80" s="1525"/>
      <c r="BD80" s="1525"/>
      <c r="BE80" s="1525"/>
      <c r="BF80" s="1525"/>
      <c r="BG80" s="1525"/>
      <c r="BH80" s="1525"/>
      <c r="BI80" s="1525"/>
      <c r="BJ80" s="1525"/>
      <c r="BK80" s="1525"/>
    </row>
    <row r="81" spans="1:63" s="1530" customFormat="1" ht="12" customHeight="1">
      <c r="A81" s="1557" t="str">
        <f t="shared" si="26"/>
        <v>n</v>
      </c>
      <c r="B81" s="1557"/>
      <c r="C81" s="1542" t="str">
        <f t="shared" si="23"/>
        <v>--</v>
      </c>
      <c r="D81" s="651" t="str">
        <f>'Working Capital'!D$24</f>
        <v>--</v>
      </c>
      <c r="E81" s="1581"/>
      <c r="F81" s="1581"/>
      <c r="G81" s="1581"/>
      <c r="H81" s="1581"/>
      <c r="I81" s="1581"/>
      <c r="K81" s="1364" t="str">
        <f>IFERROR(('DATA GPC'!V583/'DATA GPC'!O583)^(1/2)-1,"--")</f>
        <v>--</v>
      </c>
      <c r="L81" s="1364" t="str">
        <f>IFERROR(('DATA GPC'!V645/'DATA GPC'!O645)^(1/2)-1,"--")</f>
        <v>--</v>
      </c>
      <c r="M81" s="1364" t="str">
        <f>IFERROR(('DATA GPC'!V676/'DATA GPC'!O676)^(1/2)-1,"--")</f>
        <v>--</v>
      </c>
      <c r="N81" s="1369"/>
      <c r="O81" s="1369"/>
      <c r="P81" s="1369"/>
      <c r="Q81" s="1369"/>
      <c r="R81" s="1364" t="str">
        <f>IFERROR(AVERAGE('DATA GPC'!$K1236:$O1236),"--")</f>
        <v>--</v>
      </c>
      <c r="S81" s="1364" t="str">
        <f t="shared" si="24"/>
        <v>--</v>
      </c>
      <c r="T81" s="1364" t="str">
        <f>'DATA GPC'!L1236</f>
        <v>--</v>
      </c>
      <c r="U81" s="1364" t="str">
        <f>'DATA GPC'!M1236</f>
        <v>--</v>
      </c>
      <c r="V81" s="1364" t="str">
        <f>'DATA GPC'!N1236</f>
        <v>--</v>
      </c>
      <c r="W81" s="1364" t="str">
        <f>'DATA GPC'!O1236</f>
        <v>--</v>
      </c>
      <c r="X81" s="1364" t="str">
        <f>'DATA GPC'!P1236</f>
        <v>--</v>
      </c>
      <c r="Y81" s="1364" t="str">
        <f>'DATA GPC'!U1236</f>
        <v>--</v>
      </c>
      <c r="Z81" s="1364" t="str">
        <f>'DATA GPC'!V1236</f>
        <v>--</v>
      </c>
      <c r="AA81" s="1364" t="str">
        <f>'DATA GPC'!W1236</f>
        <v>--</v>
      </c>
      <c r="AB81" s="1364" t="str">
        <f>'DATA GPC'!X1236</f>
        <v>--</v>
      </c>
      <c r="AC81" s="1364" t="str">
        <f>'DATA GPC'!Y1236</f>
        <v>--</v>
      </c>
      <c r="AD81" s="1364"/>
      <c r="AE81" s="1364" t="str">
        <f>IFERROR(AVERAGE('DATA GPC'!$K1267:$O1267),"--")</f>
        <v>--</v>
      </c>
      <c r="AF81" s="1364" t="str">
        <f t="shared" si="25"/>
        <v>--</v>
      </c>
      <c r="AG81" s="1364" t="str">
        <f>'DATA GPC'!L1267</f>
        <v>--</v>
      </c>
      <c r="AH81" s="1364" t="str">
        <f>'DATA GPC'!M1267</f>
        <v>--</v>
      </c>
      <c r="AI81" s="1364" t="str">
        <f>'DATA GPC'!N1267</f>
        <v>--</v>
      </c>
      <c r="AJ81" s="1364" t="str">
        <f>'DATA GPC'!O1267</f>
        <v>--</v>
      </c>
      <c r="AK81" s="1364" t="str">
        <f>'DATA GPC'!P1267</f>
        <v>--</v>
      </c>
      <c r="AL81" s="1364" t="str">
        <f>'DATA GPC'!U1267</f>
        <v>--</v>
      </c>
      <c r="AM81" s="1364" t="str">
        <f>'DATA GPC'!V1267</f>
        <v>--</v>
      </c>
      <c r="AN81" s="1364" t="str">
        <f>'DATA GPC'!W1267</f>
        <v>--</v>
      </c>
      <c r="AO81" s="503" t="str">
        <f>'DATA GPC'!X1267</f>
        <v>--</v>
      </c>
      <c r="AP81" s="503" t="str">
        <f>'DATA GPC'!Y1267</f>
        <v>--</v>
      </c>
      <c r="AR81" s="1557"/>
      <c r="AW81" s="1525"/>
      <c r="AX81" s="1525"/>
      <c r="AY81" s="1525"/>
      <c r="AZ81" s="1525"/>
      <c r="BA81" s="1525"/>
      <c r="BB81" s="1525"/>
      <c r="BC81" s="1525"/>
      <c r="BD81" s="1525"/>
      <c r="BE81" s="1525"/>
      <c r="BF81" s="1525"/>
      <c r="BG81" s="1525"/>
      <c r="BH81" s="1525"/>
      <c r="BI81" s="1525"/>
      <c r="BJ81" s="1525"/>
      <c r="BK81" s="1525"/>
    </row>
    <row r="82" spans="1:63" s="1530" customFormat="1" ht="12" customHeight="1">
      <c r="A82" s="1557" t="str">
        <f t="shared" si="26"/>
        <v>n</v>
      </c>
      <c r="B82" s="1557"/>
      <c r="C82" s="1542" t="str">
        <f t="shared" si="23"/>
        <v>--</v>
      </c>
      <c r="D82" s="651" t="str">
        <f>'Working Capital'!D$24</f>
        <v>--</v>
      </c>
      <c r="E82" s="1581"/>
      <c r="F82" s="1581"/>
      <c r="G82" s="1581"/>
      <c r="H82" s="1581"/>
      <c r="I82" s="1581"/>
      <c r="K82" s="1364" t="str">
        <f>IFERROR(('DATA GPC'!V584/'DATA GPC'!O584)^(1/2)-1,"--")</f>
        <v>--</v>
      </c>
      <c r="L82" s="1364" t="str">
        <f>IFERROR(('DATA GPC'!V646/'DATA GPC'!O646)^(1/2)-1,"--")</f>
        <v>--</v>
      </c>
      <c r="M82" s="1364" t="str">
        <f>IFERROR(('DATA GPC'!V677/'DATA GPC'!O677)^(1/2)-1,"--")</f>
        <v>--</v>
      </c>
      <c r="N82" s="1369"/>
      <c r="O82" s="1369"/>
      <c r="P82" s="1369"/>
      <c r="Q82" s="1369"/>
      <c r="R82" s="1364" t="str">
        <f>IFERROR(AVERAGE('DATA GPC'!$K1237:$O1237),"--")</f>
        <v>--</v>
      </c>
      <c r="S82" s="1364" t="str">
        <f t="shared" si="24"/>
        <v>--</v>
      </c>
      <c r="T82" s="1364" t="str">
        <f>'DATA GPC'!L1237</f>
        <v>--</v>
      </c>
      <c r="U82" s="1364" t="str">
        <f>'DATA GPC'!M1237</f>
        <v>--</v>
      </c>
      <c r="V82" s="1364" t="str">
        <f>'DATA GPC'!N1237</f>
        <v>--</v>
      </c>
      <c r="W82" s="1364" t="str">
        <f>'DATA GPC'!O1237</f>
        <v>--</v>
      </c>
      <c r="X82" s="1364" t="str">
        <f>'DATA GPC'!P1237</f>
        <v>--</v>
      </c>
      <c r="Y82" s="1364" t="str">
        <f>'DATA GPC'!U1237</f>
        <v>--</v>
      </c>
      <c r="Z82" s="1364" t="str">
        <f>'DATA GPC'!V1237</f>
        <v>--</v>
      </c>
      <c r="AA82" s="1364" t="str">
        <f>'DATA GPC'!W1237</f>
        <v>--</v>
      </c>
      <c r="AB82" s="1364" t="str">
        <f>'DATA GPC'!X1237</f>
        <v>--</v>
      </c>
      <c r="AC82" s="1364" t="str">
        <f>'DATA GPC'!Y1237</f>
        <v>--</v>
      </c>
      <c r="AD82" s="1364"/>
      <c r="AE82" s="1364" t="str">
        <f>IFERROR(AVERAGE('DATA GPC'!$K1268:$O1268),"--")</f>
        <v>--</v>
      </c>
      <c r="AF82" s="1364" t="str">
        <f t="shared" si="25"/>
        <v>--</v>
      </c>
      <c r="AG82" s="1364" t="str">
        <f>'DATA GPC'!L1268</f>
        <v>--</v>
      </c>
      <c r="AH82" s="1364" t="str">
        <f>'DATA GPC'!M1268</f>
        <v>--</v>
      </c>
      <c r="AI82" s="1364" t="str">
        <f>'DATA GPC'!N1268</f>
        <v>--</v>
      </c>
      <c r="AJ82" s="1364" t="str">
        <f>'DATA GPC'!O1268</f>
        <v>--</v>
      </c>
      <c r="AK82" s="1364" t="str">
        <f>'DATA GPC'!P1268</f>
        <v>--</v>
      </c>
      <c r="AL82" s="1364" t="str">
        <f>'DATA GPC'!U1268</f>
        <v>--</v>
      </c>
      <c r="AM82" s="1364" t="str">
        <f>'DATA GPC'!V1268</f>
        <v>--</v>
      </c>
      <c r="AN82" s="1364" t="str">
        <f>'DATA GPC'!W1268</f>
        <v>--</v>
      </c>
      <c r="AO82" s="503" t="str">
        <f>'DATA GPC'!X1268</f>
        <v>--</v>
      </c>
      <c r="AP82" s="503" t="str">
        <f>'DATA GPC'!Y1268</f>
        <v>--</v>
      </c>
      <c r="AR82" s="1557"/>
      <c r="AW82" s="1525"/>
      <c r="AX82" s="1525"/>
      <c r="AY82" s="1525"/>
      <c r="AZ82" s="1525"/>
      <c r="BA82" s="1525"/>
      <c r="BB82" s="1525"/>
      <c r="BC82" s="1525"/>
      <c r="BD82" s="1525"/>
      <c r="BE82" s="1525"/>
      <c r="BF82" s="1525"/>
      <c r="BG82" s="1525"/>
      <c r="BH82" s="1525"/>
      <c r="BI82" s="1525"/>
      <c r="BJ82" s="1525"/>
      <c r="BK82" s="1525"/>
    </row>
    <row r="83" spans="1:63" s="1530" customFormat="1" ht="12" customHeight="1">
      <c r="A83" s="1557" t="str">
        <f t="shared" si="26"/>
        <v>n</v>
      </c>
      <c r="B83" s="1557"/>
      <c r="C83" s="1542" t="str">
        <f t="shared" si="23"/>
        <v>--</v>
      </c>
      <c r="D83" s="651" t="str">
        <f>'Working Capital'!D$24</f>
        <v>--</v>
      </c>
      <c r="E83" s="1581"/>
      <c r="F83" s="1581"/>
      <c r="G83" s="1581"/>
      <c r="H83" s="1581"/>
      <c r="I83" s="1581"/>
      <c r="K83" s="1364" t="str">
        <f>IFERROR(('DATA GPC'!V585/'DATA GPC'!O585)^(1/2)-1,"--")</f>
        <v>--</v>
      </c>
      <c r="L83" s="1364" t="str">
        <f>IFERROR(('DATA GPC'!V647/'DATA GPC'!O647)^(1/2)-1,"--")</f>
        <v>--</v>
      </c>
      <c r="M83" s="1364" t="str">
        <f>IFERROR(('DATA GPC'!V678/'DATA GPC'!O678)^(1/2)-1,"--")</f>
        <v>--</v>
      </c>
      <c r="N83" s="1369"/>
      <c r="O83" s="1369"/>
      <c r="P83" s="1369"/>
      <c r="Q83" s="1369"/>
      <c r="R83" s="1364" t="str">
        <f>IFERROR(AVERAGE('DATA GPC'!$K1238:$O1238),"--")</f>
        <v>--</v>
      </c>
      <c r="S83" s="1364" t="str">
        <f t="shared" si="24"/>
        <v>--</v>
      </c>
      <c r="T83" s="1364" t="str">
        <f>'DATA GPC'!L1238</f>
        <v>--</v>
      </c>
      <c r="U83" s="1364" t="str">
        <f>'DATA GPC'!M1238</f>
        <v>--</v>
      </c>
      <c r="V83" s="1364" t="str">
        <f>'DATA GPC'!N1238</f>
        <v>--</v>
      </c>
      <c r="W83" s="1364" t="str">
        <f>'DATA GPC'!O1238</f>
        <v>--</v>
      </c>
      <c r="X83" s="1364" t="str">
        <f>'DATA GPC'!P1238</f>
        <v>--</v>
      </c>
      <c r="Y83" s="1364" t="str">
        <f>'DATA GPC'!U1238</f>
        <v>--</v>
      </c>
      <c r="Z83" s="1364" t="str">
        <f>'DATA GPC'!V1238</f>
        <v>--</v>
      </c>
      <c r="AA83" s="1364" t="str">
        <f>'DATA GPC'!W1238</f>
        <v>--</v>
      </c>
      <c r="AB83" s="1364" t="str">
        <f>'DATA GPC'!X1238</f>
        <v>--</v>
      </c>
      <c r="AC83" s="1364" t="str">
        <f>'DATA GPC'!Y1238</f>
        <v>--</v>
      </c>
      <c r="AD83" s="1364"/>
      <c r="AE83" s="1364" t="str">
        <f>IFERROR(AVERAGE('DATA GPC'!$K1269:$O1269),"--")</f>
        <v>--</v>
      </c>
      <c r="AF83" s="1364" t="str">
        <f t="shared" si="25"/>
        <v>--</v>
      </c>
      <c r="AG83" s="1364" t="str">
        <f>'DATA GPC'!L1269</f>
        <v>--</v>
      </c>
      <c r="AH83" s="1364" t="str">
        <f>'DATA GPC'!M1269</f>
        <v>--</v>
      </c>
      <c r="AI83" s="1364" t="str">
        <f>'DATA GPC'!N1269</f>
        <v>--</v>
      </c>
      <c r="AJ83" s="1364" t="str">
        <f>'DATA GPC'!O1269</f>
        <v>--</v>
      </c>
      <c r="AK83" s="1364" t="str">
        <f>'DATA GPC'!P1269</f>
        <v>--</v>
      </c>
      <c r="AL83" s="1364" t="str">
        <f>'DATA GPC'!U1269</f>
        <v>--</v>
      </c>
      <c r="AM83" s="1364" t="str">
        <f>'DATA GPC'!V1269</f>
        <v>--</v>
      </c>
      <c r="AN83" s="1364" t="str">
        <f>'DATA GPC'!W1269</f>
        <v>--</v>
      </c>
      <c r="AO83" s="503" t="str">
        <f>'DATA GPC'!X1269</f>
        <v>--</v>
      </c>
      <c r="AP83" s="503" t="str">
        <f>'DATA GPC'!Y1269</f>
        <v>--</v>
      </c>
      <c r="AR83" s="1557"/>
      <c r="AW83" s="1525"/>
      <c r="AX83" s="1525"/>
      <c r="AY83" s="1525"/>
      <c r="AZ83" s="1525"/>
      <c r="BA83" s="1525"/>
      <c r="BB83" s="1525"/>
      <c r="BC83" s="1525"/>
      <c r="BD83" s="1525"/>
      <c r="BE83" s="1525"/>
      <c r="BF83" s="1525"/>
      <c r="BG83" s="1525"/>
      <c r="BH83" s="1525"/>
      <c r="BI83" s="1525"/>
      <c r="BJ83" s="1525"/>
      <c r="BK83" s="1525"/>
    </row>
    <row r="84" spans="1:63" s="1530" customFormat="1" ht="12" customHeight="1">
      <c r="A84" s="1557" t="str">
        <f t="shared" si="26"/>
        <v>n</v>
      </c>
      <c r="B84" s="1557"/>
      <c r="C84" s="1542" t="str">
        <f t="shared" si="23"/>
        <v>--</v>
      </c>
      <c r="D84" s="651" t="str">
        <f>'Working Capital'!D$24</f>
        <v>--</v>
      </c>
      <c r="E84" s="1581"/>
      <c r="F84" s="1581"/>
      <c r="G84" s="1581"/>
      <c r="H84" s="1581"/>
      <c r="I84" s="1581"/>
      <c r="K84" s="1364" t="str">
        <f>IFERROR(('DATA GPC'!V586/'DATA GPC'!O586)^(1/2)-1,"--")</f>
        <v>--</v>
      </c>
      <c r="L84" s="1364" t="str">
        <f>IFERROR(('DATA GPC'!V648/'DATA GPC'!O648)^(1/2)-1,"--")</f>
        <v>--</v>
      </c>
      <c r="M84" s="1364" t="str">
        <f>IFERROR(('DATA GPC'!V679/'DATA GPC'!O679)^(1/2)-1,"--")</f>
        <v>--</v>
      </c>
      <c r="N84" s="1369"/>
      <c r="O84" s="1369"/>
      <c r="P84" s="1369"/>
      <c r="Q84" s="1369"/>
      <c r="R84" s="1364" t="str">
        <f>IFERROR(AVERAGE('DATA GPC'!$K1239:$O1239),"--")</f>
        <v>--</v>
      </c>
      <c r="S84" s="1364" t="str">
        <f t="shared" si="24"/>
        <v>--</v>
      </c>
      <c r="T84" s="1364" t="str">
        <f>'DATA GPC'!L1239</f>
        <v>--</v>
      </c>
      <c r="U84" s="1364" t="str">
        <f>'DATA GPC'!M1239</f>
        <v>--</v>
      </c>
      <c r="V84" s="1364" t="str">
        <f>'DATA GPC'!N1239</f>
        <v>--</v>
      </c>
      <c r="W84" s="1364" t="str">
        <f>'DATA GPC'!O1239</f>
        <v>--</v>
      </c>
      <c r="X84" s="1364" t="str">
        <f>'DATA GPC'!P1239</f>
        <v>--</v>
      </c>
      <c r="Y84" s="1364" t="str">
        <f>'DATA GPC'!U1239</f>
        <v>--</v>
      </c>
      <c r="Z84" s="1364" t="str">
        <f>'DATA GPC'!V1239</f>
        <v>--</v>
      </c>
      <c r="AA84" s="1364" t="str">
        <f>'DATA GPC'!W1239</f>
        <v>--</v>
      </c>
      <c r="AB84" s="1364" t="str">
        <f>'DATA GPC'!X1239</f>
        <v>--</v>
      </c>
      <c r="AC84" s="1364" t="str">
        <f>'DATA GPC'!Y1239</f>
        <v>--</v>
      </c>
      <c r="AD84" s="1364"/>
      <c r="AE84" s="1364" t="str">
        <f>IFERROR(AVERAGE('DATA GPC'!$K1270:$O1270),"--")</f>
        <v>--</v>
      </c>
      <c r="AF84" s="1364" t="str">
        <f t="shared" si="25"/>
        <v>--</v>
      </c>
      <c r="AG84" s="1364" t="str">
        <f>'DATA GPC'!L1270</f>
        <v>--</v>
      </c>
      <c r="AH84" s="1364" t="str">
        <f>'DATA GPC'!M1270</f>
        <v>--</v>
      </c>
      <c r="AI84" s="1364" t="str">
        <f>'DATA GPC'!N1270</f>
        <v>--</v>
      </c>
      <c r="AJ84" s="1364" t="str">
        <f>'DATA GPC'!O1270</f>
        <v>--</v>
      </c>
      <c r="AK84" s="1364" t="str">
        <f>'DATA GPC'!P1270</f>
        <v>--</v>
      </c>
      <c r="AL84" s="1364" t="str">
        <f>'DATA GPC'!U1270</f>
        <v>--</v>
      </c>
      <c r="AM84" s="1364" t="str">
        <f>'DATA GPC'!V1270</f>
        <v>--</v>
      </c>
      <c r="AN84" s="1364" t="str">
        <f>'DATA GPC'!W1270</f>
        <v>--</v>
      </c>
      <c r="AO84" s="503" t="str">
        <f>'DATA GPC'!X1270</f>
        <v>--</v>
      </c>
      <c r="AP84" s="503" t="str">
        <f>'DATA GPC'!Y1270</f>
        <v>--</v>
      </c>
      <c r="AR84" s="1557"/>
      <c r="AW84" s="1525"/>
      <c r="AX84" s="1525"/>
      <c r="AY84" s="1525"/>
      <c r="AZ84" s="1525"/>
      <c r="BA84" s="1525"/>
      <c r="BB84" s="1525"/>
      <c r="BC84" s="1525"/>
      <c r="BD84" s="1525"/>
      <c r="BE84" s="1525"/>
      <c r="BF84" s="1525"/>
      <c r="BG84" s="1525"/>
      <c r="BH84" s="1525"/>
      <c r="BI84" s="1525"/>
      <c r="BJ84" s="1525"/>
      <c r="BK84" s="1525"/>
    </row>
    <row r="85" spans="1:63" s="1530" customFormat="1" ht="12" customHeight="1">
      <c r="A85" s="1557" t="str">
        <f t="shared" si="26"/>
        <v>n</v>
      </c>
      <c r="B85" s="1557"/>
      <c r="C85" s="1542" t="str">
        <f t="shared" si="23"/>
        <v>--</v>
      </c>
      <c r="D85" s="651" t="str">
        <f>'Working Capital'!D$24</f>
        <v>--</v>
      </c>
      <c r="E85" s="1581"/>
      <c r="F85" s="1581"/>
      <c r="G85" s="1581"/>
      <c r="H85" s="1581"/>
      <c r="I85" s="1581"/>
      <c r="K85" s="1364" t="str">
        <f>IFERROR(('DATA GPC'!V587/'DATA GPC'!O587)^(1/2)-1,"--")</f>
        <v>--</v>
      </c>
      <c r="L85" s="1364" t="str">
        <f>IFERROR(('DATA GPC'!V649/'DATA GPC'!O649)^(1/2)-1,"--")</f>
        <v>--</v>
      </c>
      <c r="M85" s="1364" t="str">
        <f>IFERROR(('DATA GPC'!V680/'DATA GPC'!O680)^(1/2)-1,"--")</f>
        <v>--</v>
      </c>
      <c r="N85" s="1369"/>
      <c r="O85" s="1369"/>
      <c r="P85" s="1369"/>
      <c r="Q85" s="1369"/>
      <c r="R85" s="1364" t="str">
        <f>IFERROR(AVERAGE('DATA GPC'!$K1240:$O1240),"--")</f>
        <v>--</v>
      </c>
      <c r="S85" s="1364" t="str">
        <f t="shared" si="24"/>
        <v>--</v>
      </c>
      <c r="T85" s="1364" t="str">
        <f>'DATA GPC'!L1240</f>
        <v>--</v>
      </c>
      <c r="U85" s="1364" t="str">
        <f>'DATA GPC'!M1240</f>
        <v>--</v>
      </c>
      <c r="V85" s="1364" t="str">
        <f>'DATA GPC'!N1240</f>
        <v>--</v>
      </c>
      <c r="W85" s="1364" t="str">
        <f>'DATA GPC'!O1240</f>
        <v>--</v>
      </c>
      <c r="X85" s="1364" t="str">
        <f>'DATA GPC'!P1240</f>
        <v>--</v>
      </c>
      <c r="Y85" s="1364" t="str">
        <f>'DATA GPC'!U1240</f>
        <v>--</v>
      </c>
      <c r="Z85" s="1364" t="str">
        <f>'DATA GPC'!V1240</f>
        <v>--</v>
      </c>
      <c r="AA85" s="1364" t="str">
        <f>'DATA GPC'!W1240</f>
        <v>--</v>
      </c>
      <c r="AB85" s="1364" t="str">
        <f>'DATA GPC'!X1240</f>
        <v>--</v>
      </c>
      <c r="AC85" s="1364" t="str">
        <f>'DATA GPC'!Y1240</f>
        <v>--</v>
      </c>
      <c r="AD85" s="1364"/>
      <c r="AE85" s="1364" t="str">
        <f>IFERROR(AVERAGE('DATA GPC'!$K1271:$O1271),"--")</f>
        <v>--</v>
      </c>
      <c r="AF85" s="1364" t="str">
        <f t="shared" si="25"/>
        <v>--</v>
      </c>
      <c r="AG85" s="1364" t="str">
        <f>'DATA GPC'!L1271</f>
        <v>--</v>
      </c>
      <c r="AH85" s="1364" t="str">
        <f>'DATA GPC'!M1271</f>
        <v>--</v>
      </c>
      <c r="AI85" s="1364" t="str">
        <f>'DATA GPC'!N1271</f>
        <v>--</v>
      </c>
      <c r="AJ85" s="1364" t="str">
        <f>'DATA GPC'!O1271</f>
        <v>--</v>
      </c>
      <c r="AK85" s="1364" t="str">
        <f>'DATA GPC'!P1271</f>
        <v>--</v>
      </c>
      <c r="AL85" s="1364" t="str">
        <f>'DATA GPC'!U1271</f>
        <v>--</v>
      </c>
      <c r="AM85" s="1364" t="str">
        <f>'DATA GPC'!V1271</f>
        <v>--</v>
      </c>
      <c r="AN85" s="1364" t="str">
        <f>'DATA GPC'!W1271</f>
        <v>--</v>
      </c>
      <c r="AO85" s="503" t="str">
        <f>'DATA GPC'!X1271</f>
        <v>--</v>
      </c>
      <c r="AP85" s="503" t="str">
        <f>'DATA GPC'!Y1271</f>
        <v>--</v>
      </c>
      <c r="AR85" s="1557"/>
      <c r="AW85" s="1525"/>
      <c r="AX85" s="1525"/>
      <c r="AY85" s="1525"/>
      <c r="AZ85" s="1525"/>
      <c r="BA85" s="1525"/>
      <c r="BB85" s="1525"/>
      <c r="BC85" s="1525"/>
      <c r="BD85" s="1525"/>
      <c r="BE85" s="1525"/>
      <c r="BF85" s="1525"/>
      <c r="BG85" s="1525"/>
      <c r="BH85" s="1525"/>
      <c r="BI85" s="1525"/>
      <c r="BJ85" s="1525"/>
      <c r="BK85" s="1525"/>
    </row>
    <row r="86" spans="1:63" s="1530" customFormat="1" ht="12" customHeight="1">
      <c r="A86" s="1557" t="str">
        <f t="shared" si="26"/>
        <v>n</v>
      </c>
      <c r="B86" s="1557"/>
      <c r="C86" s="1542" t="str">
        <f t="shared" si="23"/>
        <v>--</v>
      </c>
      <c r="D86" s="651" t="str">
        <f>'Working Capital'!D$24</f>
        <v>--</v>
      </c>
      <c r="E86" s="1581"/>
      <c r="F86" s="1581"/>
      <c r="G86" s="1581"/>
      <c r="H86" s="1581"/>
      <c r="I86" s="1581"/>
      <c r="K86" s="1364" t="str">
        <f>IFERROR(('DATA GPC'!V588/'DATA GPC'!O588)^(1/2)-1,"--")</f>
        <v>--</v>
      </c>
      <c r="L86" s="1364" t="str">
        <f>IFERROR(('DATA GPC'!V650/'DATA GPC'!O650)^(1/2)-1,"--")</f>
        <v>--</v>
      </c>
      <c r="M86" s="1364" t="str">
        <f>IFERROR(('DATA GPC'!V681/'DATA GPC'!O681)^(1/2)-1,"--")</f>
        <v>--</v>
      </c>
      <c r="N86" s="1369"/>
      <c r="O86" s="1369"/>
      <c r="P86" s="1369"/>
      <c r="Q86" s="1369"/>
      <c r="R86" s="1364" t="str">
        <f>IFERROR(AVERAGE('DATA GPC'!$K1241:$O1241),"--")</f>
        <v>--</v>
      </c>
      <c r="S86" s="1364" t="str">
        <f t="shared" si="24"/>
        <v>--</v>
      </c>
      <c r="T86" s="1364" t="str">
        <f>'DATA GPC'!L1241</f>
        <v>--</v>
      </c>
      <c r="U86" s="1364" t="str">
        <f>'DATA GPC'!M1241</f>
        <v>--</v>
      </c>
      <c r="V86" s="1364" t="str">
        <f>'DATA GPC'!N1241</f>
        <v>--</v>
      </c>
      <c r="W86" s="1364" t="str">
        <f>'DATA GPC'!O1241</f>
        <v>--</v>
      </c>
      <c r="X86" s="1364" t="str">
        <f>'DATA GPC'!P1241</f>
        <v>--</v>
      </c>
      <c r="Y86" s="1364" t="str">
        <f>'DATA GPC'!U1241</f>
        <v>--</v>
      </c>
      <c r="Z86" s="1364" t="str">
        <f>'DATA GPC'!V1241</f>
        <v>--</v>
      </c>
      <c r="AA86" s="1364" t="str">
        <f>'DATA GPC'!W1241</f>
        <v>--</v>
      </c>
      <c r="AB86" s="1364" t="str">
        <f>'DATA GPC'!X1241</f>
        <v>--</v>
      </c>
      <c r="AC86" s="1364" t="str">
        <f>'DATA GPC'!Y1241</f>
        <v>--</v>
      </c>
      <c r="AD86" s="1364"/>
      <c r="AE86" s="1364" t="str">
        <f>IFERROR(AVERAGE('DATA GPC'!$K1272:$O1272),"--")</f>
        <v>--</v>
      </c>
      <c r="AF86" s="1364" t="str">
        <f t="shared" si="25"/>
        <v>--</v>
      </c>
      <c r="AG86" s="1364" t="str">
        <f>'DATA GPC'!L1272</f>
        <v>--</v>
      </c>
      <c r="AH86" s="1364" t="str">
        <f>'DATA GPC'!M1272</f>
        <v>--</v>
      </c>
      <c r="AI86" s="1364" t="str">
        <f>'DATA GPC'!N1272</f>
        <v>--</v>
      </c>
      <c r="AJ86" s="1364" t="str">
        <f>'DATA GPC'!O1272</f>
        <v>--</v>
      </c>
      <c r="AK86" s="1364" t="str">
        <f>'DATA GPC'!P1272</f>
        <v>--</v>
      </c>
      <c r="AL86" s="1364" t="str">
        <f>'DATA GPC'!U1272</f>
        <v>--</v>
      </c>
      <c r="AM86" s="1364" t="str">
        <f>'DATA GPC'!V1272</f>
        <v>--</v>
      </c>
      <c r="AN86" s="1364" t="str">
        <f>'DATA GPC'!W1272</f>
        <v>--</v>
      </c>
      <c r="AO86" s="503" t="str">
        <f>'DATA GPC'!X1272</f>
        <v>--</v>
      </c>
      <c r="AP86" s="503" t="str">
        <f>'DATA GPC'!Y1272</f>
        <v>--</v>
      </c>
      <c r="AR86" s="1557"/>
      <c r="AW86" s="1525"/>
      <c r="AX86" s="1525"/>
      <c r="AY86" s="1525"/>
      <c r="AZ86" s="1525"/>
      <c r="BA86" s="1525"/>
      <c r="BB86" s="1525"/>
      <c r="BC86" s="1525"/>
      <c r="BD86" s="1525"/>
      <c r="BE86" s="1525"/>
      <c r="BF86" s="1525"/>
      <c r="BG86" s="1525"/>
      <c r="BH86" s="1525"/>
      <c r="BI86" s="1525"/>
      <c r="BJ86" s="1525"/>
      <c r="BK86" s="1525"/>
    </row>
    <row r="87" spans="1:63" s="1530" customFormat="1" ht="12" customHeight="1">
      <c r="A87" s="1557" t="str">
        <f t="shared" si="26"/>
        <v>n</v>
      </c>
      <c r="B87" s="1557"/>
      <c r="C87" s="1542" t="str">
        <f t="shared" si="23"/>
        <v>--</v>
      </c>
      <c r="D87" s="651" t="str">
        <f>'Working Capital'!D$24</f>
        <v>--</v>
      </c>
      <c r="E87" s="1581"/>
      <c r="F87" s="1581"/>
      <c r="G87" s="1581"/>
      <c r="H87" s="1581"/>
      <c r="I87" s="1581"/>
      <c r="K87" s="1364" t="str">
        <f>IFERROR(('DATA GPC'!V589/'DATA GPC'!O589)^(1/2)-1,"--")</f>
        <v>--</v>
      </c>
      <c r="L87" s="1364" t="str">
        <f>IFERROR(('DATA GPC'!V651/'DATA GPC'!O651)^(1/2)-1,"--")</f>
        <v>--</v>
      </c>
      <c r="M87" s="1364" t="str">
        <f>IFERROR(('DATA GPC'!V682/'DATA GPC'!O682)^(1/2)-1,"--")</f>
        <v>--</v>
      </c>
      <c r="N87" s="1369"/>
      <c r="O87" s="1369"/>
      <c r="P87" s="1369"/>
      <c r="Q87" s="1369"/>
      <c r="R87" s="1364" t="str">
        <f>IFERROR(AVERAGE('DATA GPC'!$K1242:$O1242),"--")</f>
        <v>--</v>
      </c>
      <c r="S87" s="1364" t="str">
        <f t="shared" si="24"/>
        <v>--</v>
      </c>
      <c r="T87" s="1364" t="str">
        <f>'DATA GPC'!L1242</f>
        <v>--</v>
      </c>
      <c r="U87" s="1364" t="str">
        <f>'DATA GPC'!M1242</f>
        <v>--</v>
      </c>
      <c r="V87" s="1364" t="str">
        <f>'DATA GPC'!N1242</f>
        <v>--</v>
      </c>
      <c r="W87" s="1364" t="str">
        <f>'DATA GPC'!O1242</f>
        <v>--</v>
      </c>
      <c r="X87" s="1364" t="str">
        <f>'DATA GPC'!P1242</f>
        <v>--</v>
      </c>
      <c r="Y87" s="1364" t="str">
        <f>'DATA GPC'!U1242</f>
        <v>--</v>
      </c>
      <c r="Z87" s="1364" t="str">
        <f>'DATA GPC'!V1242</f>
        <v>--</v>
      </c>
      <c r="AA87" s="1364" t="str">
        <f>'DATA GPC'!W1242</f>
        <v>--</v>
      </c>
      <c r="AB87" s="1364" t="str">
        <f>'DATA GPC'!X1242</f>
        <v>--</v>
      </c>
      <c r="AC87" s="1364" t="str">
        <f>'DATA GPC'!Y1242</f>
        <v>--</v>
      </c>
      <c r="AD87" s="1364"/>
      <c r="AE87" s="1364" t="str">
        <f>IFERROR(AVERAGE('DATA GPC'!$K1273:$O1273),"--")</f>
        <v>--</v>
      </c>
      <c r="AF87" s="1364" t="str">
        <f t="shared" si="25"/>
        <v>--</v>
      </c>
      <c r="AG87" s="1364" t="str">
        <f>'DATA GPC'!L1273</f>
        <v>--</v>
      </c>
      <c r="AH87" s="1364" t="str">
        <f>'DATA GPC'!M1273</f>
        <v>--</v>
      </c>
      <c r="AI87" s="1364" t="str">
        <f>'DATA GPC'!N1273</f>
        <v>--</v>
      </c>
      <c r="AJ87" s="1364" t="str">
        <f>'DATA GPC'!O1273</f>
        <v>--</v>
      </c>
      <c r="AK87" s="1364" t="str">
        <f>'DATA GPC'!P1273</f>
        <v>--</v>
      </c>
      <c r="AL87" s="1364" t="str">
        <f>'DATA GPC'!U1273</f>
        <v>--</v>
      </c>
      <c r="AM87" s="1364" t="str">
        <f>'DATA GPC'!V1273</f>
        <v>--</v>
      </c>
      <c r="AN87" s="1364" t="str">
        <f>'DATA GPC'!W1273</f>
        <v>--</v>
      </c>
      <c r="AO87" s="503" t="str">
        <f>'DATA GPC'!X1273</f>
        <v>--</v>
      </c>
      <c r="AP87" s="503" t="str">
        <f>'DATA GPC'!Y1273</f>
        <v>--</v>
      </c>
      <c r="AR87" s="1557"/>
      <c r="AW87" s="1525"/>
      <c r="AX87" s="1525"/>
      <c r="AY87" s="1525"/>
      <c r="AZ87" s="1525"/>
      <c r="BA87" s="1525"/>
      <c r="BB87" s="1525"/>
      <c r="BC87" s="1525"/>
      <c r="BD87" s="1525"/>
      <c r="BE87" s="1525"/>
      <c r="BF87" s="1525"/>
      <c r="BG87" s="1525"/>
      <c r="BH87" s="1525"/>
      <c r="BI87" s="1525"/>
      <c r="BJ87" s="1525"/>
      <c r="BK87" s="1525"/>
    </row>
    <row r="88" spans="1:63" ht="12" customHeight="1">
      <c r="A88" s="1557" t="str">
        <f t="shared" si="26"/>
        <v>n</v>
      </c>
      <c r="B88" s="1557"/>
      <c r="C88" s="1542" t="str">
        <f t="shared" si="23"/>
        <v>--</v>
      </c>
      <c r="D88" s="651" t="str">
        <f>'Working Capital'!D$24</f>
        <v>--</v>
      </c>
      <c r="E88" s="1581"/>
      <c r="F88" s="1581"/>
      <c r="G88" s="1581"/>
      <c r="H88" s="1581"/>
      <c r="I88" s="1581"/>
      <c r="J88" s="1530"/>
      <c r="K88" s="1364" t="str">
        <f>IFERROR(('DATA GPC'!V590/'DATA GPC'!O590)^(1/2)-1,"--")</f>
        <v>--</v>
      </c>
      <c r="L88" s="1364" t="str">
        <f>IFERROR(('DATA GPC'!V652/'DATA GPC'!O652)^(1/2)-1,"--")</f>
        <v>--</v>
      </c>
      <c r="M88" s="1364" t="str">
        <f>IFERROR(('DATA GPC'!V683/'DATA GPC'!O683)^(1/2)-1,"--")</f>
        <v>--</v>
      </c>
      <c r="N88" s="1369"/>
      <c r="O88" s="1369"/>
      <c r="P88" s="1369"/>
      <c r="Q88" s="1369"/>
      <c r="R88" s="1364" t="str">
        <f>IFERROR(AVERAGE('DATA GPC'!$K1243:$O1243),"--")</f>
        <v>--</v>
      </c>
      <c r="S88" s="1364" t="str">
        <f t="shared" si="24"/>
        <v>--</v>
      </c>
      <c r="T88" s="1364" t="str">
        <f>'DATA GPC'!L1243</f>
        <v>--</v>
      </c>
      <c r="U88" s="1364" t="str">
        <f>'DATA GPC'!M1243</f>
        <v>--</v>
      </c>
      <c r="V88" s="1364" t="str">
        <f>'DATA GPC'!N1243</f>
        <v>--</v>
      </c>
      <c r="W88" s="1364" t="str">
        <f>'DATA GPC'!O1243</f>
        <v>--</v>
      </c>
      <c r="X88" s="1364" t="str">
        <f>'DATA GPC'!P1243</f>
        <v>--</v>
      </c>
      <c r="Y88" s="1364" t="str">
        <f>'DATA GPC'!U1243</f>
        <v>--</v>
      </c>
      <c r="Z88" s="1364" t="str">
        <f>'DATA GPC'!V1243</f>
        <v>--</v>
      </c>
      <c r="AA88" s="1364" t="str">
        <f>'DATA GPC'!W1243</f>
        <v>--</v>
      </c>
      <c r="AB88" s="1364" t="str">
        <f>'DATA GPC'!X1243</f>
        <v>--</v>
      </c>
      <c r="AC88" s="1364" t="str">
        <f>'DATA GPC'!Y1243</f>
        <v>--</v>
      </c>
      <c r="AD88" s="1364"/>
      <c r="AE88" s="1364" t="str">
        <f>IFERROR(AVERAGE('DATA GPC'!$K1274:$O1274),"--")</f>
        <v>--</v>
      </c>
      <c r="AF88" s="1364" t="str">
        <f t="shared" si="25"/>
        <v>--</v>
      </c>
      <c r="AG88" s="1364" t="str">
        <f>'DATA GPC'!L1274</f>
        <v>--</v>
      </c>
      <c r="AH88" s="1364" t="str">
        <f>'DATA GPC'!M1274</f>
        <v>--</v>
      </c>
      <c r="AI88" s="1364" t="str">
        <f>'DATA GPC'!N1274</f>
        <v>--</v>
      </c>
      <c r="AJ88" s="1364" t="str">
        <f>'DATA GPC'!O1274</f>
        <v>--</v>
      </c>
      <c r="AK88" s="1364" t="str">
        <f>'DATA GPC'!P1274</f>
        <v>--</v>
      </c>
      <c r="AL88" s="1364" t="str">
        <f>'DATA GPC'!U1274</f>
        <v>--</v>
      </c>
      <c r="AM88" s="1364" t="str">
        <f>'DATA GPC'!V1274</f>
        <v>--</v>
      </c>
      <c r="AN88" s="1364" t="str">
        <f>'DATA GPC'!W1274</f>
        <v>--</v>
      </c>
      <c r="AO88" s="503" t="str">
        <f>'DATA GPC'!X1274</f>
        <v>--</v>
      </c>
      <c r="AP88" s="503" t="str">
        <f>'DATA GPC'!Y1274</f>
        <v>--</v>
      </c>
      <c r="AQ88" s="1530"/>
      <c r="AR88" s="1557"/>
      <c r="AS88" s="1530"/>
      <c r="AT88" s="1530"/>
      <c r="AU88" s="1530"/>
      <c r="AV88" s="1530"/>
      <c r="AW88" s="1525"/>
      <c r="AX88" s="1525"/>
      <c r="AY88" s="1525"/>
      <c r="AZ88" s="1525"/>
      <c r="BA88" s="1525"/>
      <c r="BB88" s="1525"/>
      <c r="BC88" s="1525"/>
      <c r="BD88" s="1525"/>
      <c r="BE88" s="1525"/>
      <c r="BF88" s="1525"/>
      <c r="BG88" s="1525"/>
      <c r="BH88" s="1525"/>
      <c r="BI88" s="1525"/>
      <c r="BJ88" s="1525"/>
      <c r="BK88" s="1525"/>
    </row>
    <row r="89" spans="1:63" ht="12" customHeight="1">
      <c r="A89" s="1557"/>
      <c r="B89" s="1557"/>
      <c r="C89" s="1544"/>
      <c r="D89" s="1544"/>
      <c r="E89" s="2060"/>
      <c r="F89" s="2060"/>
      <c r="G89" s="2060"/>
      <c r="H89" s="1581"/>
      <c r="I89" s="1581"/>
      <c r="J89" s="1530"/>
      <c r="K89" s="1369"/>
      <c r="L89" s="1369"/>
      <c r="M89" s="1369"/>
      <c r="N89" s="1369"/>
      <c r="O89" s="1369"/>
      <c r="P89" s="1369"/>
      <c r="Q89" s="2060"/>
      <c r="R89" s="1369"/>
      <c r="S89" s="1369"/>
      <c r="T89" s="1369"/>
      <c r="U89" s="1369"/>
      <c r="V89" s="1369"/>
      <c r="W89" s="1369"/>
      <c r="X89" s="1369"/>
      <c r="Y89" s="1369"/>
      <c r="Z89" s="1369"/>
      <c r="AA89" s="1369"/>
      <c r="AB89" s="1369"/>
      <c r="AC89" s="1369"/>
      <c r="AD89" s="2060"/>
      <c r="AE89" s="1369"/>
      <c r="AF89" s="1369"/>
      <c r="AG89" s="1369"/>
      <c r="AH89" s="1369"/>
      <c r="AI89" s="1369"/>
      <c r="AJ89" s="1369"/>
      <c r="AK89" s="1369"/>
      <c r="AL89" s="1722"/>
      <c r="AM89" s="1722"/>
      <c r="AN89" s="1722"/>
      <c r="AO89" s="1722"/>
      <c r="AP89" s="1722"/>
      <c r="AQ89" s="1530"/>
      <c r="AR89" s="1557"/>
      <c r="AS89" s="1530"/>
      <c r="AT89" s="1530"/>
      <c r="AU89" s="1530"/>
      <c r="AV89" s="1530"/>
      <c r="AW89" s="1525"/>
      <c r="AX89" s="1525"/>
      <c r="AY89" s="1525"/>
      <c r="AZ89" s="1525"/>
      <c r="BA89" s="1525"/>
      <c r="BB89" s="1525"/>
      <c r="BC89" s="1525"/>
      <c r="BD89" s="1525"/>
      <c r="BE89" s="1525"/>
      <c r="BF89" s="1525"/>
      <c r="BG89" s="1525"/>
      <c r="BH89" s="1525"/>
      <c r="BI89" s="1525"/>
      <c r="BJ89" s="1525"/>
      <c r="BK89" s="1525"/>
    </row>
    <row r="90" spans="1:63" ht="12" customHeight="1">
      <c r="A90" s="1557"/>
      <c r="B90" s="1557"/>
      <c r="C90" s="1763"/>
      <c r="D90" s="1530"/>
      <c r="E90" s="2060"/>
      <c r="F90" s="2060"/>
      <c r="G90" s="2060"/>
      <c r="H90" s="1581"/>
      <c r="I90" s="1581"/>
      <c r="J90" s="1570" t="s">
        <v>1275</v>
      </c>
      <c r="K90" s="1755" t="str">
        <f>IFERROR(QUARTILE(K64:K88,4),"n/a")</f>
        <v>n/a</v>
      </c>
      <c r="L90" s="1755" t="str">
        <f>IFERROR(QUARTILE(L64:L88,4),"n/a")</f>
        <v>n/a</v>
      </c>
      <c r="M90" s="1755" t="str">
        <f>IFERROR(QUARTILE(M64:M88,4),"n/a")</f>
        <v>n/a</v>
      </c>
      <c r="N90" s="1756"/>
      <c r="O90" s="1756"/>
      <c r="P90" s="1756"/>
      <c r="Q90" s="2060"/>
      <c r="R90" s="1755" t="str">
        <f t="shared" ref="R90:W90" si="27">IFERROR(QUARTILE(R64:R88,4),"n/a")</f>
        <v>n/a</v>
      </c>
      <c r="S90" s="1755" t="str">
        <f t="shared" si="27"/>
        <v>n/a</v>
      </c>
      <c r="T90" s="1755" t="str">
        <f t="shared" si="27"/>
        <v>n/a</v>
      </c>
      <c r="U90" s="1755" t="str">
        <f t="shared" si="27"/>
        <v>n/a</v>
      </c>
      <c r="V90" s="1755" t="str">
        <f t="shared" si="27"/>
        <v>n/a</v>
      </c>
      <c r="W90" s="1755" t="str">
        <f t="shared" si="27"/>
        <v>n/a</v>
      </c>
      <c r="X90" s="1755">
        <f t="shared" ref="X90:AI90" si="28">IFERROR(MAX(X64:X88),"n/a")</f>
        <v>0</v>
      </c>
      <c r="Y90" s="1755">
        <f t="shared" si="28"/>
        <v>0</v>
      </c>
      <c r="Z90" s="1755">
        <f t="shared" si="28"/>
        <v>0</v>
      </c>
      <c r="AA90" s="1755">
        <f t="shared" si="28"/>
        <v>0</v>
      </c>
      <c r="AB90" s="1755">
        <f t="shared" si="28"/>
        <v>0</v>
      </c>
      <c r="AC90" s="1755">
        <f t="shared" si="28"/>
        <v>0</v>
      </c>
      <c r="AD90" s="2060"/>
      <c r="AE90" s="1755">
        <f>IFERROR(MAX(AE64:AE88),"n/a")</f>
        <v>0</v>
      </c>
      <c r="AF90" s="1755">
        <f>IFERROR(MAX(AF64:AF88),"n/a")</f>
        <v>0</v>
      </c>
      <c r="AG90" s="1755">
        <f>IFERROR(MAX(AG64:AG88),"n/a")</f>
        <v>0</v>
      </c>
      <c r="AH90" s="1755">
        <f t="shared" si="28"/>
        <v>0</v>
      </c>
      <c r="AI90" s="1755">
        <f t="shared" si="28"/>
        <v>0</v>
      </c>
      <c r="AJ90" s="1755">
        <f t="shared" ref="AJ90:AP90" si="29">IFERROR(MAX(AJ64:AJ88),"n/a")</f>
        <v>0</v>
      </c>
      <c r="AK90" s="1755">
        <f t="shared" si="29"/>
        <v>0</v>
      </c>
      <c r="AL90" s="1755">
        <f t="shared" si="29"/>
        <v>0</v>
      </c>
      <c r="AM90" s="1755">
        <f t="shared" si="29"/>
        <v>0</v>
      </c>
      <c r="AN90" s="1755">
        <f t="shared" si="29"/>
        <v>0</v>
      </c>
      <c r="AO90" s="1755">
        <f t="shared" si="29"/>
        <v>0</v>
      </c>
      <c r="AP90" s="1755">
        <f t="shared" si="29"/>
        <v>0</v>
      </c>
      <c r="AQ90" s="1530"/>
      <c r="AR90" s="1557"/>
      <c r="AS90" s="1530"/>
      <c r="AT90" s="1530"/>
      <c r="AU90" s="1530"/>
      <c r="AV90" s="1530"/>
      <c r="AW90" s="1525"/>
      <c r="AX90" s="1525"/>
      <c r="AY90" s="1525"/>
      <c r="AZ90" s="1525"/>
      <c r="BA90" s="1525"/>
      <c r="BB90" s="1525"/>
      <c r="BC90" s="1525"/>
      <c r="BD90" s="1525"/>
      <c r="BE90" s="1525"/>
      <c r="BF90" s="1525"/>
      <c r="BG90" s="1525"/>
      <c r="BH90" s="1525"/>
      <c r="BI90" s="1525"/>
      <c r="BJ90" s="1525"/>
      <c r="BK90" s="1525"/>
    </row>
    <row r="91" spans="1:63" s="1530" customFormat="1" ht="12" customHeight="1">
      <c r="A91" s="1557"/>
      <c r="B91" s="1557"/>
      <c r="C91" s="1544"/>
      <c r="E91" s="2060"/>
      <c r="F91" s="2060"/>
      <c r="G91" s="2060"/>
      <c r="H91" s="1585"/>
      <c r="I91" s="1585"/>
      <c r="J91" s="1570" t="s">
        <v>1469</v>
      </c>
      <c r="K91" s="1614" t="str">
        <f>IFERROR(QUARTILE(K64:K88,3),"n/a")</f>
        <v>n/a</v>
      </c>
      <c r="L91" s="1614" t="str">
        <f>IFERROR(QUARTILE(L64:L88,3),"n/a")</f>
        <v>n/a</v>
      </c>
      <c r="M91" s="1614" t="str">
        <f>IFERROR(QUARTILE(M64:M88,3),"n/a")</f>
        <v>n/a</v>
      </c>
      <c r="N91" s="1722"/>
      <c r="O91" s="1722"/>
      <c r="P91" s="1722"/>
      <c r="Q91" s="2060"/>
      <c r="R91" s="1614" t="str">
        <f t="shared" ref="R91:W91" si="30">IFERROR(QUARTILE(R64:R88,3),"n/a")</f>
        <v>n/a</v>
      </c>
      <c r="S91" s="1614" t="str">
        <f t="shared" si="30"/>
        <v>n/a</v>
      </c>
      <c r="T91" s="1614" t="str">
        <f t="shared" si="30"/>
        <v>n/a</v>
      </c>
      <c r="U91" s="1614" t="str">
        <f t="shared" si="30"/>
        <v>n/a</v>
      </c>
      <c r="V91" s="1614" t="str">
        <f t="shared" si="30"/>
        <v>n/a</v>
      </c>
      <c r="W91" s="1614" t="str">
        <f t="shared" si="30"/>
        <v>n/a</v>
      </c>
      <c r="X91" s="1614" t="str">
        <f t="shared" ref="X91:AI91" si="31">IFERROR(QUARTILE(X64:X88,3),"n/a")</f>
        <v>n/a</v>
      </c>
      <c r="Y91" s="1614" t="str">
        <f t="shared" si="31"/>
        <v>n/a</v>
      </c>
      <c r="Z91" s="1614" t="str">
        <f t="shared" si="31"/>
        <v>n/a</v>
      </c>
      <c r="AA91" s="1614" t="str">
        <f t="shared" si="31"/>
        <v>n/a</v>
      </c>
      <c r="AB91" s="1614" t="str">
        <f t="shared" si="31"/>
        <v>n/a</v>
      </c>
      <c r="AC91" s="1614" t="str">
        <f t="shared" si="31"/>
        <v>n/a</v>
      </c>
      <c r="AD91" s="2060"/>
      <c r="AE91" s="1614" t="str">
        <f>IFERROR(QUARTILE(AE64:AE88,3),"n/a")</f>
        <v>n/a</v>
      </c>
      <c r="AF91" s="1614" t="str">
        <f>IFERROR(QUARTILE(AF64:AF88,3),"n/a")</f>
        <v>n/a</v>
      </c>
      <c r="AG91" s="1614" t="str">
        <f>IFERROR(QUARTILE(AG64:AG88,3),"n/a")</f>
        <v>n/a</v>
      </c>
      <c r="AH91" s="1614" t="str">
        <f t="shared" si="31"/>
        <v>n/a</v>
      </c>
      <c r="AI91" s="1614" t="str">
        <f t="shared" si="31"/>
        <v>n/a</v>
      </c>
      <c r="AJ91" s="1614" t="str">
        <f t="shared" ref="AJ91:AP91" si="32">IFERROR(QUARTILE(AJ64:AJ88,3),"n/a")</f>
        <v>n/a</v>
      </c>
      <c r="AK91" s="1614" t="str">
        <f t="shared" si="32"/>
        <v>n/a</v>
      </c>
      <c r="AL91" s="1614" t="str">
        <f t="shared" si="32"/>
        <v>n/a</v>
      </c>
      <c r="AM91" s="1614" t="str">
        <f t="shared" si="32"/>
        <v>n/a</v>
      </c>
      <c r="AN91" s="1614" t="str">
        <f t="shared" si="32"/>
        <v>n/a</v>
      </c>
      <c r="AO91" s="1614" t="str">
        <f t="shared" si="32"/>
        <v>n/a</v>
      </c>
      <c r="AP91" s="1614" t="str">
        <f t="shared" si="32"/>
        <v>n/a</v>
      </c>
      <c r="AR91" s="1557"/>
      <c r="AW91" s="1525"/>
      <c r="AX91" s="1525"/>
      <c r="AY91" s="1525"/>
      <c r="AZ91" s="1525"/>
      <c r="BA91" s="1525"/>
      <c r="BB91" s="1525"/>
      <c r="BC91" s="1525"/>
      <c r="BD91" s="1525"/>
      <c r="BE91" s="1525"/>
      <c r="BF91" s="1525"/>
      <c r="BG91" s="1525"/>
      <c r="BH91" s="1525"/>
      <c r="BI91" s="1525"/>
      <c r="BJ91" s="1525"/>
      <c r="BK91" s="1525"/>
    </row>
    <row r="92" spans="1:63" s="1530" customFormat="1" ht="12" customHeight="1">
      <c r="A92" s="1557"/>
      <c r="B92" s="1557"/>
      <c r="C92" s="1544"/>
      <c r="E92" s="2060"/>
      <c r="F92" s="2060"/>
      <c r="G92" s="2060"/>
      <c r="H92" s="1585"/>
      <c r="I92" s="1585"/>
      <c r="J92" s="1570" t="s">
        <v>1157</v>
      </c>
      <c r="K92" s="1614" t="str">
        <f>IFERROR(AVERAGE(K64:K88),"n/a")</f>
        <v>n/a</v>
      </c>
      <c r="L92" s="1614" t="str">
        <f>IFERROR(AVERAGE(L64:L88),"n/a")</f>
        <v>n/a</v>
      </c>
      <c r="M92" s="1614" t="str">
        <f>IFERROR(AVERAGE(M64:M88),"n/a")</f>
        <v>n/a</v>
      </c>
      <c r="N92" s="1722"/>
      <c r="O92" s="1722"/>
      <c r="P92" s="1722"/>
      <c r="Q92" s="2060"/>
      <c r="R92" s="1614" t="str">
        <f>IFERROR(AVERAGE(R64:R88),"n/a")</f>
        <v>n/a</v>
      </c>
      <c r="S92" s="1614" t="str">
        <f>IFERROR(AVERAGE(S64:S88),"n/a")</f>
        <v>n/a</v>
      </c>
      <c r="T92" s="1614" t="str">
        <f>IFERROR(AVERAGE(T64:T88),"n/a")</f>
        <v>n/a</v>
      </c>
      <c r="U92" s="1614" t="str">
        <f>IFERROR(AVERAGE(U64:U88),"n/a")</f>
        <v>n/a</v>
      </c>
      <c r="V92" s="1614" t="str">
        <f>IFERROR(AVERAGE(V64:V88),"n/a")</f>
        <v>n/a</v>
      </c>
      <c r="W92" s="1614" t="str">
        <f t="shared" ref="W92:AI92" si="33">IFERROR(AVERAGE(W64:W88),"n/a")</f>
        <v>n/a</v>
      </c>
      <c r="X92" s="1614" t="str">
        <f t="shared" si="33"/>
        <v>n/a</v>
      </c>
      <c r="Y92" s="1614" t="str">
        <f t="shared" si="33"/>
        <v>n/a</v>
      </c>
      <c r="Z92" s="1614" t="str">
        <f t="shared" si="33"/>
        <v>n/a</v>
      </c>
      <c r="AA92" s="1614" t="str">
        <f t="shared" si="33"/>
        <v>n/a</v>
      </c>
      <c r="AB92" s="1614" t="str">
        <f t="shared" si="33"/>
        <v>n/a</v>
      </c>
      <c r="AC92" s="1614" t="str">
        <f t="shared" si="33"/>
        <v>n/a</v>
      </c>
      <c r="AD92" s="2060"/>
      <c r="AE92" s="1614" t="str">
        <f>IFERROR(AVERAGE(AE64:AE88),"n/a")</f>
        <v>n/a</v>
      </c>
      <c r="AF92" s="1614" t="str">
        <f>IFERROR(AVERAGE(AF64:AF88),"n/a")</f>
        <v>n/a</v>
      </c>
      <c r="AG92" s="1614" t="str">
        <f>IFERROR(AVERAGE(AG64:AG88),"n/a")</f>
        <v>n/a</v>
      </c>
      <c r="AH92" s="1614" t="str">
        <f t="shared" si="33"/>
        <v>n/a</v>
      </c>
      <c r="AI92" s="1614" t="str">
        <f t="shared" si="33"/>
        <v>n/a</v>
      </c>
      <c r="AJ92" s="1614" t="str">
        <f t="shared" ref="AJ92:AP92" si="34">IFERROR(AVERAGE(AJ64:AJ88),"n/a")</f>
        <v>n/a</v>
      </c>
      <c r="AK92" s="1614" t="str">
        <f t="shared" si="34"/>
        <v>n/a</v>
      </c>
      <c r="AL92" s="1614" t="str">
        <f t="shared" si="34"/>
        <v>n/a</v>
      </c>
      <c r="AM92" s="1614" t="str">
        <f t="shared" si="34"/>
        <v>n/a</v>
      </c>
      <c r="AN92" s="1614" t="str">
        <f t="shared" si="34"/>
        <v>n/a</v>
      </c>
      <c r="AO92" s="1614" t="str">
        <f t="shared" si="34"/>
        <v>n/a</v>
      </c>
      <c r="AP92" s="1614" t="str">
        <f t="shared" si="34"/>
        <v>n/a</v>
      </c>
      <c r="AR92" s="1557"/>
      <c r="AW92" s="1525"/>
      <c r="AX92" s="1525"/>
      <c r="AY92" s="1525"/>
      <c r="AZ92" s="1525"/>
      <c r="BA92" s="1525"/>
      <c r="BB92" s="1525"/>
      <c r="BC92" s="1525"/>
      <c r="BD92" s="1525"/>
      <c r="BE92" s="1525"/>
      <c r="BF92" s="1525"/>
      <c r="BG92" s="1525"/>
      <c r="BH92" s="1525"/>
      <c r="BI92" s="1525"/>
      <c r="BJ92" s="1525"/>
      <c r="BK92" s="1525"/>
    </row>
    <row r="93" spans="1:63" s="1530" customFormat="1" ht="12" customHeight="1">
      <c r="A93" s="1557"/>
      <c r="B93" s="1557"/>
      <c r="C93" s="1544"/>
      <c r="E93" s="2060"/>
      <c r="F93" s="2060"/>
      <c r="G93" s="2060"/>
      <c r="H93" s="1585"/>
      <c r="I93" s="1585"/>
      <c r="J93" s="1570" t="s">
        <v>1158</v>
      </c>
      <c r="K93" s="1614" t="str">
        <f>IFERROR(MEDIAN(K64:K88),"n/a")</f>
        <v>n/a</v>
      </c>
      <c r="L93" s="1614" t="str">
        <f>IFERROR(MEDIAN(L64:L88),"n/a")</f>
        <v>n/a</v>
      </c>
      <c r="M93" s="1614" t="str">
        <f>IFERROR(MEDIAN(M64:M88),"n/a")</f>
        <v>n/a</v>
      </c>
      <c r="N93" s="1722"/>
      <c r="O93" s="1722"/>
      <c r="P93" s="1722"/>
      <c r="Q93" s="2060"/>
      <c r="R93" s="1614" t="str">
        <f t="shared" ref="R93:AP93" si="35">IFERROR(MEDIAN(R64:R88),"n/a")</f>
        <v>n/a</v>
      </c>
      <c r="S93" s="1614" t="str">
        <f t="shared" si="35"/>
        <v>n/a</v>
      </c>
      <c r="T93" s="1614" t="str">
        <f t="shared" si="35"/>
        <v>n/a</v>
      </c>
      <c r="U93" s="1614" t="str">
        <f t="shared" si="35"/>
        <v>n/a</v>
      </c>
      <c r="V93" s="1614" t="str">
        <f t="shared" si="35"/>
        <v>n/a</v>
      </c>
      <c r="W93" s="1614" t="str">
        <f t="shared" si="35"/>
        <v>n/a</v>
      </c>
      <c r="X93" s="1614" t="str">
        <f t="shared" si="35"/>
        <v>n/a</v>
      </c>
      <c r="Y93" s="1614" t="str">
        <f t="shared" si="35"/>
        <v>n/a</v>
      </c>
      <c r="Z93" s="1614" t="str">
        <f t="shared" si="35"/>
        <v>n/a</v>
      </c>
      <c r="AA93" s="1614" t="str">
        <f t="shared" si="35"/>
        <v>n/a</v>
      </c>
      <c r="AB93" s="1614" t="str">
        <f t="shared" si="35"/>
        <v>n/a</v>
      </c>
      <c r="AC93" s="1614" t="str">
        <f t="shared" si="35"/>
        <v>n/a</v>
      </c>
      <c r="AD93" s="2060"/>
      <c r="AE93" s="1614" t="str">
        <f t="shared" si="35"/>
        <v>n/a</v>
      </c>
      <c r="AF93" s="1614" t="str">
        <f t="shared" si="35"/>
        <v>n/a</v>
      </c>
      <c r="AG93" s="1614" t="str">
        <f t="shared" si="35"/>
        <v>n/a</v>
      </c>
      <c r="AH93" s="1614" t="str">
        <f t="shared" si="35"/>
        <v>n/a</v>
      </c>
      <c r="AI93" s="1614" t="str">
        <f t="shared" si="35"/>
        <v>n/a</v>
      </c>
      <c r="AJ93" s="1614" t="str">
        <f t="shared" si="35"/>
        <v>n/a</v>
      </c>
      <c r="AK93" s="1614" t="str">
        <f t="shared" si="35"/>
        <v>n/a</v>
      </c>
      <c r="AL93" s="1614" t="str">
        <f t="shared" si="35"/>
        <v>n/a</v>
      </c>
      <c r="AM93" s="1614" t="str">
        <f t="shared" si="35"/>
        <v>n/a</v>
      </c>
      <c r="AN93" s="1614" t="str">
        <f t="shared" si="35"/>
        <v>n/a</v>
      </c>
      <c r="AO93" s="1614" t="str">
        <f t="shared" si="35"/>
        <v>n/a</v>
      </c>
      <c r="AP93" s="1614" t="str">
        <f t="shared" si="35"/>
        <v>n/a</v>
      </c>
      <c r="AR93" s="1557"/>
      <c r="AW93" s="1525"/>
      <c r="AX93" s="1525"/>
      <c r="AY93" s="1525"/>
      <c r="AZ93" s="1525"/>
      <c r="BA93" s="1525"/>
      <c r="BB93" s="1525"/>
      <c r="BC93" s="1525"/>
      <c r="BD93" s="1525"/>
      <c r="BE93" s="1525"/>
      <c r="BF93" s="1525"/>
      <c r="BG93" s="1525"/>
      <c r="BH93" s="1525"/>
      <c r="BI93" s="1525"/>
      <c r="BJ93" s="1525"/>
      <c r="BK93" s="1525"/>
    </row>
    <row r="94" spans="1:63" s="1530" customFormat="1" ht="12" customHeight="1">
      <c r="A94" s="1557"/>
      <c r="B94" s="1557"/>
      <c r="C94" s="1544"/>
      <c r="E94" s="2060"/>
      <c r="F94" s="2060"/>
      <c r="G94" s="2060"/>
      <c r="H94" s="1585"/>
      <c r="I94" s="1585"/>
      <c r="J94" s="1570" t="s">
        <v>1470</v>
      </c>
      <c r="K94" s="1614" t="str">
        <f>IFERROR(QUARTILE(K64:K88,1),"n/a")</f>
        <v>n/a</v>
      </c>
      <c r="L94" s="1614" t="str">
        <f>IFERROR(QUARTILE(L64:L88,1),"n/a")</f>
        <v>n/a</v>
      </c>
      <c r="M94" s="1614" t="str">
        <f>IFERROR(QUARTILE(M64:M88,1),"n/a")</f>
        <v>n/a</v>
      </c>
      <c r="N94" s="1722"/>
      <c r="O94" s="1722"/>
      <c r="P94" s="1722"/>
      <c r="Q94" s="2060"/>
      <c r="R94" s="1614" t="str">
        <f t="shared" ref="R94:W94" si="36">IFERROR(QUARTILE(R64:R88,1),"n/a")</f>
        <v>n/a</v>
      </c>
      <c r="S94" s="1614" t="str">
        <f t="shared" si="36"/>
        <v>n/a</v>
      </c>
      <c r="T94" s="1614" t="str">
        <f t="shared" si="36"/>
        <v>n/a</v>
      </c>
      <c r="U94" s="1614" t="str">
        <f t="shared" si="36"/>
        <v>n/a</v>
      </c>
      <c r="V94" s="1614" t="str">
        <f t="shared" si="36"/>
        <v>n/a</v>
      </c>
      <c r="W94" s="1614" t="str">
        <f t="shared" si="36"/>
        <v>n/a</v>
      </c>
      <c r="X94" s="1614" t="str">
        <f t="shared" ref="X94:AI94" si="37">IFERROR(QUARTILE(X64:X88,1),"n/a")</f>
        <v>n/a</v>
      </c>
      <c r="Y94" s="1614" t="str">
        <f t="shared" si="37"/>
        <v>n/a</v>
      </c>
      <c r="Z94" s="1614" t="str">
        <f t="shared" si="37"/>
        <v>n/a</v>
      </c>
      <c r="AA94" s="1614" t="str">
        <f t="shared" si="37"/>
        <v>n/a</v>
      </c>
      <c r="AB94" s="1614" t="str">
        <f t="shared" si="37"/>
        <v>n/a</v>
      </c>
      <c r="AC94" s="1614" t="str">
        <f t="shared" si="37"/>
        <v>n/a</v>
      </c>
      <c r="AD94" s="2060"/>
      <c r="AE94" s="1614" t="str">
        <f>IFERROR(QUARTILE(AE64:AE88,1),"n/a")</f>
        <v>n/a</v>
      </c>
      <c r="AF94" s="1614" t="str">
        <f>IFERROR(QUARTILE(AF64:AF88,1),"n/a")</f>
        <v>n/a</v>
      </c>
      <c r="AG94" s="1614" t="str">
        <f>IFERROR(QUARTILE(AG64:AG88,1),"n/a")</f>
        <v>n/a</v>
      </c>
      <c r="AH94" s="1614" t="str">
        <f t="shared" si="37"/>
        <v>n/a</v>
      </c>
      <c r="AI94" s="1614" t="str">
        <f t="shared" si="37"/>
        <v>n/a</v>
      </c>
      <c r="AJ94" s="1614" t="str">
        <f t="shared" ref="AJ94:AP94" si="38">IFERROR(QUARTILE(AJ64:AJ88,1),"n/a")</f>
        <v>n/a</v>
      </c>
      <c r="AK94" s="1614" t="str">
        <f t="shared" si="38"/>
        <v>n/a</v>
      </c>
      <c r="AL94" s="1614" t="str">
        <f t="shared" si="38"/>
        <v>n/a</v>
      </c>
      <c r="AM94" s="1614" t="str">
        <f t="shared" si="38"/>
        <v>n/a</v>
      </c>
      <c r="AN94" s="1614" t="str">
        <f t="shared" si="38"/>
        <v>n/a</v>
      </c>
      <c r="AO94" s="1614" t="str">
        <f t="shared" si="38"/>
        <v>n/a</v>
      </c>
      <c r="AP94" s="1614" t="str">
        <f t="shared" si="38"/>
        <v>n/a</v>
      </c>
      <c r="AR94" s="1557"/>
      <c r="AW94" s="1525"/>
      <c r="AX94" s="1525"/>
      <c r="AY94" s="1525"/>
      <c r="AZ94" s="1525"/>
      <c r="BA94" s="1525"/>
      <c r="BB94" s="1525"/>
      <c r="BC94" s="1525"/>
      <c r="BD94" s="1525"/>
      <c r="BE94" s="1525"/>
      <c r="BF94" s="1525"/>
      <c r="BG94" s="1525"/>
      <c r="BH94" s="1525"/>
      <c r="BI94" s="1525"/>
      <c r="BJ94" s="1525"/>
      <c r="BK94" s="1525"/>
    </row>
    <row r="95" spans="1:63" s="1530" customFormat="1" ht="12" customHeight="1">
      <c r="A95" s="1557"/>
      <c r="B95" s="1557"/>
      <c r="C95" s="1544"/>
      <c r="E95" s="2060"/>
      <c r="F95" s="2060"/>
      <c r="G95" s="2060"/>
      <c r="H95" s="1585"/>
      <c r="I95" s="1585"/>
      <c r="J95" s="1570" t="s">
        <v>1273</v>
      </c>
      <c r="K95" s="1758" t="str">
        <f>IFERROR(QUARTILE(K64:K88,0),"n/a")</f>
        <v>n/a</v>
      </c>
      <c r="L95" s="1758" t="str">
        <f>IFERROR(QUARTILE(L64:L88,0),"n/a")</f>
        <v>n/a</v>
      </c>
      <c r="M95" s="1758" t="str">
        <f>IFERROR(QUARTILE(M64:M88,0),"n/a")</f>
        <v>n/a</v>
      </c>
      <c r="N95" s="1757"/>
      <c r="O95" s="1757"/>
      <c r="P95" s="1757"/>
      <c r="Q95" s="2060"/>
      <c r="R95" s="1758" t="str">
        <f t="shared" ref="R95:W95" si="39">IFERROR(QUARTILE(R64:R88,0),"n/a")</f>
        <v>n/a</v>
      </c>
      <c r="S95" s="1758" t="str">
        <f t="shared" si="39"/>
        <v>n/a</v>
      </c>
      <c r="T95" s="1758" t="str">
        <f t="shared" si="39"/>
        <v>n/a</v>
      </c>
      <c r="U95" s="1758" t="str">
        <f t="shared" si="39"/>
        <v>n/a</v>
      </c>
      <c r="V95" s="1758" t="str">
        <f t="shared" si="39"/>
        <v>n/a</v>
      </c>
      <c r="W95" s="1758" t="str">
        <f t="shared" si="39"/>
        <v>n/a</v>
      </c>
      <c r="X95" s="1758" t="str">
        <f t="shared" ref="X95:AI95" si="40">IFERROR(QUARTILE(X64:X88,0),"n/a")</f>
        <v>n/a</v>
      </c>
      <c r="Y95" s="1758" t="str">
        <f t="shared" si="40"/>
        <v>n/a</v>
      </c>
      <c r="Z95" s="1758" t="str">
        <f t="shared" si="40"/>
        <v>n/a</v>
      </c>
      <c r="AA95" s="1758" t="str">
        <f t="shared" si="40"/>
        <v>n/a</v>
      </c>
      <c r="AB95" s="1758" t="str">
        <f t="shared" si="40"/>
        <v>n/a</v>
      </c>
      <c r="AC95" s="1758" t="str">
        <f t="shared" si="40"/>
        <v>n/a</v>
      </c>
      <c r="AD95" s="2060"/>
      <c r="AE95" s="1758" t="str">
        <f>IFERROR(QUARTILE(AE64:AE88,0),"n/a")</f>
        <v>n/a</v>
      </c>
      <c r="AF95" s="1758" t="str">
        <f>IFERROR(QUARTILE(AF64:AF88,0),"n/a")</f>
        <v>n/a</v>
      </c>
      <c r="AG95" s="1758" t="str">
        <f>IFERROR(QUARTILE(AG64:AG88,0),"n/a")</f>
        <v>n/a</v>
      </c>
      <c r="AH95" s="1758" t="str">
        <f t="shared" si="40"/>
        <v>n/a</v>
      </c>
      <c r="AI95" s="1758" t="str">
        <f t="shared" si="40"/>
        <v>n/a</v>
      </c>
      <c r="AJ95" s="1758" t="str">
        <f t="shared" ref="AJ95:AP95" si="41">IFERROR(QUARTILE(AJ64:AJ88,0),"n/a")</f>
        <v>n/a</v>
      </c>
      <c r="AK95" s="1758" t="str">
        <f t="shared" si="41"/>
        <v>n/a</v>
      </c>
      <c r="AL95" s="1758" t="str">
        <f t="shared" si="41"/>
        <v>n/a</v>
      </c>
      <c r="AM95" s="1758" t="str">
        <f t="shared" si="41"/>
        <v>n/a</v>
      </c>
      <c r="AN95" s="1758" t="str">
        <f t="shared" si="41"/>
        <v>n/a</v>
      </c>
      <c r="AO95" s="1758" t="str">
        <f t="shared" si="41"/>
        <v>n/a</v>
      </c>
      <c r="AP95" s="1758" t="str">
        <f t="shared" si="41"/>
        <v>n/a</v>
      </c>
      <c r="AR95" s="1557"/>
      <c r="AW95" s="1525"/>
      <c r="AX95" s="1525"/>
      <c r="AY95" s="1525"/>
      <c r="AZ95" s="1525"/>
      <c r="BA95" s="1525"/>
      <c r="BB95" s="1525"/>
      <c r="BC95" s="1525"/>
      <c r="BD95" s="1525"/>
      <c r="BE95" s="1525"/>
      <c r="BF95" s="1525"/>
      <c r="BG95" s="1525"/>
      <c r="BH95" s="1525"/>
      <c r="BI95" s="1525"/>
      <c r="BJ95" s="1525"/>
      <c r="BK95" s="1525"/>
    </row>
    <row r="96" spans="1:63" s="1530" customFormat="1" ht="12" customHeight="1">
      <c r="A96" s="1557"/>
      <c r="B96" s="1557"/>
      <c r="C96" s="1759" t="s">
        <v>1471</v>
      </c>
      <c r="D96" s="651"/>
      <c r="E96" s="1761"/>
      <c r="F96" s="1761"/>
      <c r="G96" s="1761"/>
      <c r="H96" s="1761"/>
      <c r="I96" s="1761"/>
      <c r="J96" s="1529"/>
      <c r="K96" s="738"/>
      <c r="L96" s="738"/>
      <c r="M96" s="738"/>
      <c r="N96" s="1527"/>
      <c r="O96" s="1527"/>
      <c r="P96" s="1527"/>
      <c r="Q96" s="2060"/>
      <c r="R96" s="1762"/>
      <c r="S96" s="1762"/>
      <c r="T96" s="1762"/>
      <c r="U96" s="1762"/>
      <c r="V96" s="1762"/>
      <c r="W96" s="1762"/>
      <c r="X96" s="1762"/>
      <c r="Y96" s="1762"/>
      <c r="Z96" s="1762"/>
      <c r="AA96" s="1762"/>
      <c r="AB96" s="1762"/>
      <c r="AC96" s="1762"/>
      <c r="AD96" s="2060"/>
      <c r="AE96" s="1762"/>
      <c r="AF96" s="1762"/>
      <c r="AG96" s="1762"/>
      <c r="AH96" s="1762"/>
      <c r="AI96" s="1762"/>
      <c r="AJ96" s="1762"/>
      <c r="AK96" s="1762"/>
      <c r="AL96" s="1762"/>
      <c r="AM96" s="1762"/>
      <c r="AN96" s="1762"/>
      <c r="AO96" s="1762"/>
      <c r="AP96" s="1762"/>
      <c r="AR96" s="1557"/>
      <c r="AW96" s="1525"/>
      <c r="AX96" s="1525"/>
      <c r="AY96" s="1525"/>
      <c r="AZ96" s="1525"/>
      <c r="BA96" s="1525"/>
      <c r="BB96" s="1525"/>
      <c r="BC96" s="1525"/>
      <c r="BD96" s="1525"/>
      <c r="BE96" s="1525"/>
      <c r="BF96" s="1525"/>
      <c r="BG96" s="1525"/>
      <c r="BH96" s="1525"/>
      <c r="BI96" s="1525"/>
      <c r="BJ96" s="1525"/>
      <c r="BK96" s="1525"/>
    </row>
    <row r="97" spans="1:63" s="1530" customFormat="1" ht="12" customHeight="1">
      <c r="A97" s="1557"/>
      <c r="B97" s="1557"/>
      <c r="C97" s="1542" t="str">
        <f>C45</f>
        <v/>
      </c>
      <c r="D97" s="651">
        <f>D45</f>
        <v>42643</v>
      </c>
      <c r="E97" s="1761"/>
      <c r="F97" s="1761"/>
      <c r="G97" s="1761"/>
      <c r="H97" s="1761"/>
      <c r="I97" s="1761"/>
      <c r="J97" s="1529"/>
      <c r="K97" s="1364" t="str">
        <f>IFERROR(('DATA GPC'!V565/'DATA GPC'!O565)^(1/2)-1,"--")</f>
        <v>--</v>
      </c>
      <c r="L97" s="1364" t="str">
        <f>IFERROR(('DATA GPC'!V627/'DATA GPC'!O627)^(1/2)-1,"--")</f>
        <v>--</v>
      </c>
      <c r="M97" s="1364" t="str">
        <f ca="1">IFERROR(('DATA GPC'!V658/'DATA GPC'!O658)^(1/2)-1,"--")</f>
        <v>--</v>
      </c>
      <c r="N97" s="1527"/>
      <c r="O97" s="1527"/>
      <c r="P97" s="1527"/>
      <c r="Q97" s="2060"/>
      <c r="R97" s="1364">
        <f>'DATA GPC'!J1218</f>
        <v>0</v>
      </c>
      <c r="S97" s="1364" t="str">
        <f>'DATA GPC'!K1218</f>
        <v>--</v>
      </c>
      <c r="T97" s="1364" t="str">
        <f>'DATA GPC'!L1218</f>
        <v>--</v>
      </c>
      <c r="U97" s="1364" t="str">
        <f>'DATA GPC'!M1218</f>
        <v>--</v>
      </c>
      <c r="V97" s="1364" t="str">
        <f>'DATA GPC'!N1218</f>
        <v>--</v>
      </c>
      <c r="W97" s="1364" t="str">
        <f>'DATA GPC'!O1218</f>
        <v>--</v>
      </c>
      <c r="X97" s="1364" t="str">
        <f>'DATA GPC'!P1218</f>
        <v>--</v>
      </c>
      <c r="Y97" s="1364" t="str">
        <f>'DATA GPC'!U1218</f>
        <v>--</v>
      </c>
      <c r="Z97" s="1364" t="str">
        <f>'DATA GPC'!V1218</f>
        <v>--</v>
      </c>
      <c r="AA97" s="1364" t="str">
        <f>'DATA GPC'!W1218</f>
        <v>--</v>
      </c>
      <c r="AB97" s="1364" t="str">
        <f>'DATA GPC'!X1218</f>
        <v>--</v>
      </c>
      <c r="AC97" s="1364" t="str">
        <f>'DATA GPC'!Y1218</f>
        <v>--</v>
      </c>
      <c r="AD97" s="2060"/>
      <c r="AE97" s="1364">
        <f>'DATA GPC'!J1249</f>
        <v>0</v>
      </c>
      <c r="AF97" s="1364" t="str">
        <f>'DATA GPC'!K1249</f>
        <v>--</v>
      </c>
      <c r="AG97" s="1364" t="str">
        <f>'DATA GPC'!L1249</f>
        <v>--</v>
      </c>
      <c r="AH97" s="1364" t="str">
        <f>'DATA GPC'!M1249</f>
        <v>--</v>
      </c>
      <c r="AI97" s="1364" t="str">
        <f>'DATA GPC'!N1249</f>
        <v>--</v>
      </c>
      <c r="AJ97" s="1364" t="str">
        <f>'DATA GPC'!O1249</f>
        <v>--</v>
      </c>
      <c r="AK97" s="1364" t="str">
        <f>'DATA GPC'!P1249</f>
        <v>--</v>
      </c>
      <c r="AL97" s="1364" t="str">
        <f ca="1">'DATA GPC'!U1249</f>
        <v>--</v>
      </c>
      <c r="AM97" s="1364" t="str">
        <f ca="1">'DATA GPC'!V1249</f>
        <v>--</v>
      </c>
      <c r="AN97" s="1364" t="str">
        <f ca="1">'DATA GPC'!W1249</f>
        <v>--</v>
      </c>
      <c r="AO97" s="1364" t="str">
        <f ca="1">'DATA GPC'!X1249</f>
        <v>--</v>
      </c>
      <c r="AP97" s="1364" t="str">
        <f ca="1">'DATA GPC'!Y1249</f>
        <v>--</v>
      </c>
      <c r="AR97" s="1557"/>
      <c r="AW97" s="1525"/>
      <c r="AX97" s="1525"/>
      <c r="AY97" s="1525"/>
      <c r="AZ97" s="1525"/>
      <c r="BA97" s="1525"/>
      <c r="BB97" s="1525"/>
      <c r="BC97" s="1525"/>
      <c r="BD97" s="1525"/>
      <c r="BE97" s="1525"/>
      <c r="BF97" s="1525"/>
      <c r="BG97" s="1525"/>
      <c r="BH97" s="1525"/>
      <c r="BI97" s="1525"/>
      <c r="BJ97" s="1525"/>
      <c r="BK97" s="1525"/>
    </row>
    <row r="98" spans="1:63" s="1530" customFormat="1" ht="12" customHeight="1">
      <c r="A98" s="1557"/>
      <c r="B98" s="1557"/>
      <c r="C98" s="1759"/>
      <c r="D98" s="1760"/>
      <c r="E98" s="1761"/>
      <c r="F98" s="1761"/>
      <c r="G98" s="1761"/>
      <c r="H98" s="1761"/>
      <c r="I98" s="1761"/>
      <c r="J98" s="1529"/>
      <c r="K98" s="2060"/>
      <c r="L98" s="2060"/>
      <c r="M98" s="2060"/>
      <c r="N98" s="2060"/>
      <c r="O98" s="2060"/>
      <c r="P98" s="2060"/>
      <c r="Q98" s="2060"/>
      <c r="R98" s="2060"/>
      <c r="S98" s="2060"/>
      <c r="T98" s="2060"/>
      <c r="U98" s="2060"/>
      <c r="V98" s="2060"/>
      <c r="W98" s="2060"/>
      <c r="X98" s="2060"/>
      <c r="Y98" s="2060"/>
      <c r="Z98" s="2060"/>
      <c r="AA98" s="2060"/>
      <c r="AB98" s="2060"/>
      <c r="AC98" s="2060"/>
      <c r="AD98" s="2060"/>
      <c r="AE98" s="2060"/>
      <c r="AF98" s="2060"/>
      <c r="AG98" s="2060"/>
      <c r="AH98" s="2060"/>
      <c r="AI98" s="2060"/>
      <c r="AJ98" s="2060"/>
      <c r="AK98" s="2060"/>
      <c r="AL98" s="2060"/>
      <c r="AM98" s="2060"/>
      <c r="AN98" s="2060"/>
      <c r="AO98" s="2060"/>
      <c r="AP98" s="2060"/>
      <c r="AQ98" s="2060"/>
      <c r="AR98" s="1557"/>
      <c r="AW98" s="1525"/>
      <c r="AX98" s="1525"/>
      <c r="AY98" s="1525"/>
      <c r="AZ98" s="1525"/>
      <c r="BA98" s="1525"/>
      <c r="BB98" s="1525"/>
      <c r="BC98" s="1525"/>
      <c r="BD98" s="1525"/>
      <c r="BE98" s="1525"/>
      <c r="BF98" s="1525"/>
      <c r="BG98" s="1525"/>
      <c r="BH98" s="1525"/>
      <c r="BI98" s="1525"/>
      <c r="BJ98" s="1525"/>
      <c r="BK98" s="1525"/>
    </row>
    <row r="99" spans="1:63" s="1530" customFormat="1" ht="12" customHeight="1">
      <c r="A99" s="1557"/>
      <c r="B99" s="1557"/>
      <c r="C99" s="1544"/>
      <c r="D99" s="1570"/>
      <c r="E99" s="2060"/>
      <c r="F99" s="2060"/>
      <c r="G99" s="2060"/>
      <c r="H99" s="1585"/>
      <c r="I99" s="1585"/>
      <c r="J99" s="1556"/>
      <c r="K99" s="2060"/>
      <c r="L99" s="2060"/>
      <c r="M99" s="2060"/>
      <c r="N99" s="2060"/>
      <c r="O99" s="2060"/>
      <c r="P99" s="2060"/>
      <c r="Q99" s="2060"/>
      <c r="R99" s="2060"/>
      <c r="S99" s="2060"/>
      <c r="T99" s="2060"/>
      <c r="U99" s="2060"/>
      <c r="V99" s="2060"/>
      <c r="W99" s="2060"/>
      <c r="X99" s="2060"/>
      <c r="Y99" s="2060"/>
      <c r="Z99" s="2060"/>
      <c r="AA99" s="2060"/>
      <c r="AB99" s="2060"/>
      <c r="AC99" s="2060"/>
      <c r="AD99" s="2060"/>
      <c r="AE99" s="2060"/>
      <c r="AF99" s="2060"/>
      <c r="AG99" s="2060"/>
      <c r="AH99" s="2060"/>
      <c r="AI99" s="2060"/>
      <c r="AJ99" s="2060"/>
      <c r="AK99" s="2060"/>
      <c r="AL99" s="2060"/>
      <c r="AM99" s="2060"/>
      <c r="AN99" s="2060"/>
      <c r="AO99" s="2060"/>
      <c r="AP99" s="2060"/>
      <c r="AQ99" s="2060"/>
      <c r="AR99" s="1557"/>
      <c r="AS99" s="1525"/>
      <c r="AT99" s="1525"/>
      <c r="AU99" s="1525"/>
      <c r="AV99" s="1525"/>
      <c r="AW99" s="1525"/>
      <c r="AX99" s="1525"/>
      <c r="AY99" s="1525"/>
      <c r="AZ99" s="1525"/>
      <c r="BA99" s="1525"/>
      <c r="BB99" s="1525"/>
      <c r="BC99" s="1525"/>
      <c r="BD99" s="1525"/>
      <c r="BE99" s="1525"/>
      <c r="BF99" s="1525"/>
      <c r="BG99" s="1525"/>
      <c r="BH99" s="1525"/>
      <c r="BI99" s="1525"/>
      <c r="BJ99" s="1525"/>
      <c r="BK99" s="1525"/>
    </row>
    <row r="100" spans="1:63" s="1530" customFormat="1" ht="12" customHeight="1">
      <c r="A100" s="1557"/>
      <c r="B100" s="1557"/>
      <c r="C100" s="1544" t="str">
        <f>"CAGR=Compound annual growth rate; EBIT=Earnings before interest and taxes; EBITDA=Earnings before interest and taxes, depreciation and amortization; LFY=Last fiscal year; LTM=Last twelve months; "&amp;EVorTIC&amp;"="&amp;EVorTICFull</f>
        <v>CAGR=Compound annual growth rate; EBIT=Earnings before interest and taxes; EBITDA=Earnings before interest and taxes, depreciation and amortization; LFY=Last fiscal year; LTM=Last twelve months; TIC=Total invested capital</v>
      </c>
      <c r="D100" s="1570"/>
      <c r="E100" s="2060"/>
      <c r="F100" s="2060"/>
      <c r="G100" s="2060"/>
      <c r="H100" s="1585"/>
      <c r="I100" s="1585"/>
      <c r="J100" s="1556"/>
      <c r="K100" s="1556"/>
      <c r="L100" s="1556"/>
      <c r="M100" s="1545"/>
      <c r="N100" s="1504"/>
      <c r="O100" s="1504"/>
      <c r="P100" s="1504"/>
      <c r="Q100" s="1504"/>
      <c r="R100" s="1504"/>
      <c r="S100" s="1504"/>
      <c r="T100" s="1504"/>
      <c r="U100" s="1556"/>
      <c r="V100" s="1556"/>
      <c r="W100" s="1556"/>
      <c r="X100" s="1556"/>
      <c r="Y100" s="1556"/>
      <c r="Z100" s="1556"/>
      <c r="AA100" s="1556"/>
      <c r="AB100" s="1556"/>
      <c r="AC100" s="1556"/>
      <c r="AD100" s="2060"/>
      <c r="AE100" s="1529"/>
      <c r="AF100" s="1529"/>
      <c r="AG100" s="1529"/>
      <c r="AH100" s="1556"/>
      <c r="AI100" s="1556"/>
      <c r="AJ100" s="1556"/>
      <c r="AK100" s="1556"/>
      <c r="AL100" s="1556"/>
      <c r="AM100" s="1556"/>
      <c r="AN100" s="1556"/>
      <c r="AO100" s="1556"/>
      <c r="AP100" s="1556"/>
      <c r="AR100" s="1557"/>
      <c r="AS100" s="1525"/>
      <c r="AT100" s="1525"/>
      <c r="AU100" s="1525"/>
      <c r="AV100" s="1525"/>
      <c r="AW100" s="1525"/>
      <c r="AX100" s="1525"/>
      <c r="AY100" s="1525"/>
      <c r="AZ100" s="1525"/>
      <c r="BA100" s="1525"/>
      <c r="BB100" s="1525"/>
      <c r="BC100" s="1525"/>
      <c r="BD100" s="1525"/>
      <c r="BE100" s="1525"/>
      <c r="BF100" s="1525"/>
      <c r="BG100" s="1525"/>
      <c r="BH100" s="1525"/>
      <c r="BI100" s="1525"/>
      <c r="BJ100" s="1525"/>
      <c r="BK100" s="1525"/>
    </row>
    <row r="101" spans="1:63" ht="12" customHeight="1">
      <c r="A101" s="1557"/>
      <c r="B101" s="1557"/>
      <c r="C101" s="1529" t="s">
        <v>1402</v>
      </c>
      <c r="D101" s="1529"/>
      <c r="E101" s="2060"/>
      <c r="F101" s="2060"/>
      <c r="G101" s="2060"/>
      <c r="H101" s="679"/>
      <c r="I101" s="679"/>
      <c r="J101" s="1529"/>
      <c r="K101" s="1529"/>
      <c r="L101" s="1529"/>
      <c r="M101" s="1529"/>
      <c r="N101" s="1529"/>
      <c r="O101" s="1529"/>
      <c r="P101" s="1529"/>
      <c r="Q101" s="1529"/>
      <c r="R101" s="1529"/>
      <c r="S101" s="1529"/>
      <c r="T101" s="1529"/>
      <c r="U101" s="1529"/>
      <c r="V101" s="1529"/>
      <c r="W101" s="1529"/>
      <c r="X101" s="1529"/>
      <c r="Y101" s="1529"/>
      <c r="Z101" s="1529"/>
      <c r="AA101" s="1529"/>
      <c r="AB101" s="1529"/>
      <c r="AC101" s="1529"/>
      <c r="AD101" s="1529"/>
      <c r="AE101" s="1529"/>
      <c r="AF101" s="1529"/>
      <c r="AG101" s="1529"/>
      <c r="AH101" s="1529"/>
      <c r="AI101" s="1529"/>
      <c r="AJ101" s="1529"/>
      <c r="AK101" s="1529"/>
      <c r="AL101" s="1529"/>
      <c r="AM101" s="1529"/>
      <c r="AN101" s="1529"/>
      <c r="AO101" s="1529"/>
      <c r="AP101" s="1529"/>
      <c r="AQ101" s="1525"/>
      <c r="AR101" s="1557"/>
      <c r="AS101" s="1525"/>
      <c r="AT101" s="1525"/>
      <c r="AU101" s="1525"/>
      <c r="AV101" s="1525"/>
      <c r="AW101" s="1525"/>
      <c r="AX101" s="1525"/>
      <c r="AY101" s="1525"/>
      <c r="AZ101" s="1525"/>
      <c r="BA101" s="1525"/>
      <c r="BB101" s="1525"/>
      <c r="BC101" s="1525"/>
      <c r="BD101" s="1525"/>
      <c r="BE101" s="1525"/>
      <c r="BF101" s="1525"/>
      <c r="BG101" s="1525"/>
      <c r="BH101" s="1525"/>
      <c r="BI101" s="1525"/>
      <c r="BJ101" s="1525"/>
      <c r="BK101" s="1525"/>
    </row>
    <row r="102" spans="1:63" s="1530" customFormat="1" ht="12" customHeight="1">
      <c r="A102" s="1557"/>
      <c r="B102" s="1557"/>
      <c r="C102" s="1529"/>
      <c r="D102" s="1529"/>
      <c r="E102" s="2060"/>
      <c r="F102" s="2060"/>
      <c r="G102" s="2060"/>
      <c r="H102" s="679"/>
      <c r="I102" s="679"/>
      <c r="J102" s="1529"/>
      <c r="K102" s="1529"/>
      <c r="L102" s="1529"/>
      <c r="M102" s="1529"/>
      <c r="N102" s="1529"/>
      <c r="O102" s="1529"/>
      <c r="P102" s="1529"/>
      <c r="Q102" s="1529"/>
      <c r="R102" s="1529"/>
      <c r="S102" s="1529"/>
      <c r="T102" s="1529"/>
      <c r="U102" s="1529"/>
      <c r="V102" s="1529"/>
      <c r="W102" s="1529"/>
      <c r="X102" s="1529"/>
      <c r="Y102" s="1529"/>
      <c r="Z102" s="1529"/>
      <c r="AA102" s="1529"/>
      <c r="AB102" s="1529"/>
      <c r="AC102" s="1529"/>
      <c r="AD102" s="1529"/>
      <c r="AE102" s="1529"/>
      <c r="AF102" s="1529"/>
      <c r="AG102" s="1529"/>
      <c r="AH102" s="1529"/>
      <c r="AI102" s="1529"/>
      <c r="AJ102" s="1529"/>
      <c r="AK102" s="1529"/>
      <c r="AL102" s="1529"/>
      <c r="AM102" s="1529"/>
      <c r="AN102" s="1529"/>
      <c r="AO102" s="1529"/>
      <c r="AP102" s="1529"/>
      <c r="AQ102" s="1525"/>
      <c r="AR102" s="1557"/>
      <c r="AS102" s="1525"/>
      <c r="AT102" s="1525"/>
      <c r="AU102" s="1525"/>
      <c r="AV102" s="1525"/>
      <c r="AW102" s="1525"/>
      <c r="AX102" s="1525"/>
      <c r="AY102" s="1525"/>
      <c r="AZ102" s="1525"/>
      <c r="BA102" s="1525"/>
      <c r="BB102" s="1525"/>
      <c r="BC102" s="1525"/>
      <c r="BD102" s="1525"/>
      <c r="BE102" s="1525"/>
      <c r="BF102" s="1525"/>
      <c r="BG102" s="1525"/>
      <c r="BH102" s="1525"/>
      <c r="BI102" s="1525"/>
      <c r="BJ102" s="1525"/>
      <c r="BK102" s="1525"/>
    </row>
    <row r="103" spans="1:63" ht="12" customHeight="1">
      <c r="A103" s="1557"/>
      <c r="B103" s="1557"/>
      <c r="C103" s="1529" t="str">
        <f>DraftFooter</f>
        <v>Draft and preliminary. All data subject to change upon completion of additional analysis</v>
      </c>
      <c r="D103" s="356"/>
      <c r="E103" s="691"/>
      <c r="F103" s="691"/>
      <c r="G103" s="691"/>
      <c r="H103" s="691"/>
      <c r="I103" s="691"/>
      <c r="J103" s="356"/>
      <c r="K103" s="356"/>
      <c r="L103" s="356"/>
      <c r="M103" s="356"/>
      <c r="N103" s="356"/>
      <c r="O103" s="356"/>
      <c r="P103" s="356"/>
      <c r="Q103" s="356"/>
      <c r="R103" s="1529"/>
      <c r="S103" s="1529"/>
      <c r="T103" s="1529"/>
      <c r="U103" s="1529"/>
      <c r="V103" s="1529"/>
      <c r="W103" s="1529"/>
      <c r="X103" s="356"/>
      <c r="Y103" s="357"/>
      <c r="Z103" s="652"/>
      <c r="AA103" s="652"/>
      <c r="AB103" s="652"/>
      <c r="AC103" s="652"/>
      <c r="AD103" s="652"/>
      <c r="AE103" s="652"/>
      <c r="AF103" s="652"/>
      <c r="AG103" s="652"/>
      <c r="AH103" s="652"/>
      <c r="AI103" s="652"/>
      <c r="AJ103" s="652"/>
      <c r="AK103" s="652"/>
      <c r="AL103" s="652"/>
      <c r="AM103" s="652"/>
      <c r="AN103" s="652"/>
      <c r="AO103" s="652"/>
      <c r="AP103" s="652"/>
      <c r="AQ103" s="1525"/>
      <c r="AR103" s="1557"/>
      <c r="AS103" s="1525"/>
      <c r="AT103" s="1525"/>
      <c r="AU103" s="1525"/>
      <c r="AV103" s="1525"/>
      <c r="AW103" s="1525"/>
      <c r="AX103" s="1525"/>
      <c r="AY103" s="1525"/>
      <c r="AZ103" s="1525"/>
      <c r="BA103" s="1525"/>
      <c r="BB103" s="1525"/>
      <c r="BC103" s="1525"/>
      <c r="BD103" s="1525"/>
      <c r="BE103" s="1525"/>
      <c r="BF103" s="1525"/>
      <c r="BG103" s="1525"/>
      <c r="BH103" s="1525"/>
      <c r="BI103" s="1525"/>
      <c r="BJ103" s="1525"/>
      <c r="BK103" s="1525"/>
    </row>
    <row r="104" spans="1:63" ht="12" customHeight="1">
      <c r="A104" s="1557" t="s">
        <v>17</v>
      </c>
      <c r="B104" s="1557"/>
      <c r="C104" s="592"/>
      <c r="D104" s="592"/>
      <c r="E104" s="709"/>
      <c r="F104" s="709"/>
      <c r="G104" s="709"/>
      <c r="H104" s="709"/>
      <c r="I104" s="709"/>
      <c r="J104" s="592"/>
      <c r="K104" s="592"/>
      <c r="L104" s="592"/>
      <c r="M104" s="592"/>
      <c r="N104" s="592"/>
      <c r="O104" s="592"/>
      <c r="P104" s="592"/>
      <c r="Q104" s="592"/>
      <c r="R104" s="1565"/>
      <c r="S104" s="1565"/>
      <c r="T104" s="1565"/>
      <c r="U104" s="1565"/>
      <c r="V104" s="1565"/>
      <c r="W104" s="1565"/>
      <c r="X104" s="592"/>
      <c r="Y104" s="592"/>
      <c r="Z104" s="592"/>
      <c r="AA104" s="592"/>
      <c r="AB104" s="592"/>
      <c r="AC104" s="592"/>
      <c r="AD104" s="592"/>
      <c r="AE104" s="592"/>
      <c r="AF104" s="592"/>
      <c r="AG104" s="592"/>
      <c r="AH104" s="592"/>
      <c r="AI104" s="592"/>
      <c r="AJ104" s="592"/>
      <c r="AK104" s="592"/>
      <c r="AL104" s="592"/>
      <c r="AM104" s="592"/>
      <c r="AN104" s="592"/>
      <c r="AO104" s="592"/>
      <c r="AP104" s="592"/>
      <c r="AQ104" s="596" t="s">
        <v>18</v>
      </c>
      <c r="AR104" s="1557"/>
      <c r="AS104" s="1525"/>
      <c r="AT104" s="1525"/>
      <c r="AU104" s="1525"/>
      <c r="AV104" s="1525"/>
      <c r="AW104" s="1525"/>
      <c r="AX104" s="1525"/>
      <c r="AY104" s="1525"/>
      <c r="AZ104" s="1525"/>
      <c r="BA104" s="1525"/>
      <c r="BB104" s="1525"/>
      <c r="BC104" s="1525"/>
      <c r="BD104" s="1525"/>
      <c r="BE104" s="1525"/>
      <c r="BF104" s="1525"/>
      <c r="BG104" s="1525"/>
      <c r="BH104" s="1525"/>
      <c r="BI104" s="1525"/>
      <c r="BJ104" s="1525"/>
      <c r="BK104" s="1525"/>
    </row>
    <row r="105" spans="1:63" customFormat="1" ht="13.9">
      <c r="A105" s="1557"/>
      <c r="B105" s="1557"/>
      <c r="C105" s="592"/>
      <c r="D105" s="592"/>
      <c r="E105" s="709"/>
      <c r="F105" s="709"/>
      <c r="G105" s="709"/>
      <c r="H105" s="709"/>
      <c r="I105" s="709"/>
      <c r="J105" s="592"/>
      <c r="K105" s="592"/>
      <c r="L105" s="592"/>
      <c r="M105" s="592"/>
      <c r="N105" s="592"/>
      <c r="O105" s="592"/>
      <c r="P105" s="592"/>
      <c r="Q105" s="592"/>
      <c r="R105" s="1565"/>
      <c r="S105" s="1565"/>
      <c r="T105" s="1565"/>
      <c r="U105" s="1565"/>
      <c r="V105" s="1565"/>
      <c r="W105" s="1565"/>
      <c r="X105" s="592"/>
      <c r="Y105" s="592"/>
      <c r="Z105" s="592"/>
      <c r="AA105" s="592"/>
      <c r="AB105" s="592"/>
      <c r="AC105" s="592"/>
      <c r="AD105" s="592"/>
      <c r="AE105" s="592"/>
      <c r="AF105" s="592"/>
      <c r="AG105" s="592"/>
      <c r="AH105" s="592"/>
      <c r="AI105" s="592"/>
      <c r="AJ105" s="592"/>
      <c r="AK105" s="592"/>
      <c r="AL105" s="592"/>
      <c r="AM105" s="592"/>
      <c r="AN105" s="592"/>
      <c r="AO105" s="592"/>
      <c r="AP105" s="592"/>
      <c r="AQ105" s="596"/>
      <c r="AR105" s="1557"/>
      <c r="AS105" s="2060"/>
      <c r="AT105" s="2060"/>
      <c r="AU105" s="2060"/>
      <c r="AV105" s="2060"/>
      <c r="AW105" s="2060"/>
      <c r="AX105" s="2060"/>
      <c r="AY105" s="2060"/>
      <c r="AZ105" s="2060"/>
      <c r="BA105" s="2060"/>
      <c r="BB105" s="2060"/>
      <c r="BC105" s="2060"/>
      <c r="BD105" s="2060"/>
      <c r="BE105" s="2060"/>
      <c r="BF105" s="2060"/>
      <c r="BG105" s="2060"/>
      <c r="BH105" s="2060"/>
      <c r="BI105" s="2060"/>
      <c r="BJ105" s="2060"/>
      <c r="BK105" s="2060"/>
    </row>
    <row r="106" spans="1:63" customFormat="1" ht="13.9">
      <c r="A106" s="2060"/>
      <c r="B106" s="2060"/>
      <c r="C106" s="2060"/>
      <c r="D106" s="2060"/>
      <c r="E106" s="1578"/>
      <c r="F106" s="1578"/>
      <c r="G106" s="1578"/>
      <c r="H106" s="1578"/>
      <c r="I106" s="1578"/>
      <c r="J106" s="2060"/>
      <c r="K106" s="2060"/>
      <c r="L106" s="2060"/>
      <c r="M106" s="2060"/>
      <c r="N106" s="2060"/>
      <c r="O106" s="2060"/>
      <c r="P106" s="2060"/>
      <c r="Q106" s="2060"/>
      <c r="R106" s="2060"/>
      <c r="S106" s="2060"/>
      <c r="T106" s="2060"/>
      <c r="U106" s="2060"/>
      <c r="V106" s="2060"/>
      <c r="W106" s="2060"/>
      <c r="X106" s="2060"/>
      <c r="Y106" s="2060"/>
      <c r="Z106" s="2060"/>
      <c r="AA106" s="2060"/>
      <c r="AB106" s="2060"/>
      <c r="AC106" s="2060"/>
      <c r="AD106" s="2060"/>
      <c r="AE106" s="2060"/>
      <c r="AF106" s="2060"/>
      <c r="AG106" s="2060"/>
      <c r="AH106" s="2060"/>
      <c r="AI106" s="2060"/>
      <c r="AJ106" s="2060"/>
      <c r="AK106" s="2060"/>
      <c r="AL106" s="2060"/>
      <c r="AM106" s="2060"/>
      <c r="AN106" s="2060"/>
      <c r="AO106" s="2060"/>
      <c r="AP106" s="2060"/>
      <c r="AQ106" s="2060"/>
      <c r="AR106" s="2060"/>
      <c r="AS106" s="2060"/>
      <c r="AT106" s="2060"/>
      <c r="AU106" s="2060"/>
      <c r="AV106" s="2060"/>
      <c r="AW106" s="2060"/>
      <c r="AX106" s="2060"/>
      <c r="AY106" s="2060"/>
      <c r="AZ106" s="2060"/>
      <c r="BA106" s="2060"/>
      <c r="BB106" s="2060"/>
      <c r="BC106" s="2060"/>
      <c r="BD106" s="2060"/>
      <c r="BE106" s="2060"/>
      <c r="BF106" s="2060"/>
      <c r="BG106" s="2060"/>
      <c r="BH106" s="2060"/>
      <c r="BI106" s="2060"/>
      <c r="BJ106" s="2060"/>
      <c r="BK106" s="2060"/>
    </row>
    <row r="107" spans="1:63" customFormat="1" ht="13.9">
      <c r="A107" s="2060"/>
      <c r="B107" s="2060"/>
      <c r="C107" s="2060"/>
      <c r="D107" s="2060"/>
      <c r="E107" s="1578"/>
      <c r="F107" s="1578"/>
      <c r="G107" s="1578"/>
      <c r="H107" s="1578"/>
      <c r="I107" s="1578"/>
      <c r="J107" s="2060"/>
      <c r="K107" s="2060"/>
      <c r="L107" s="2060"/>
      <c r="M107" s="2060"/>
      <c r="N107" s="2060"/>
      <c r="O107" s="2060"/>
      <c r="P107" s="2060"/>
      <c r="Q107" s="2060"/>
      <c r="R107" s="2060"/>
      <c r="S107" s="2060"/>
      <c r="T107" s="2060"/>
      <c r="U107" s="2060"/>
      <c r="V107" s="2060"/>
      <c r="W107" s="2060"/>
      <c r="X107" s="2060"/>
      <c r="Y107" s="2060"/>
      <c r="Z107" s="2060"/>
      <c r="AA107" s="2060"/>
      <c r="AB107" s="2060"/>
      <c r="AC107" s="2060"/>
      <c r="AD107" s="2060"/>
      <c r="AE107" s="2060"/>
      <c r="AF107" s="2060"/>
      <c r="AG107" s="2060"/>
      <c r="AH107" s="2060"/>
      <c r="AI107" s="2060"/>
      <c r="AJ107" s="2060"/>
      <c r="AK107" s="2060"/>
      <c r="AL107" s="2060"/>
      <c r="AM107" s="2060"/>
      <c r="AN107" s="2060"/>
      <c r="AO107" s="2060"/>
      <c r="AP107" s="2060"/>
      <c r="AQ107" s="2060"/>
      <c r="AR107" s="2060"/>
      <c r="AS107" s="2060"/>
      <c r="AT107" s="2060"/>
      <c r="AU107" s="2060"/>
      <c r="AV107" s="2060"/>
      <c r="AW107" s="2060"/>
      <c r="AX107" s="2060"/>
      <c r="AY107" s="2060"/>
      <c r="AZ107" s="2060"/>
      <c r="BA107" s="2060"/>
      <c r="BB107" s="2060"/>
      <c r="BC107" s="2060"/>
      <c r="BD107" s="2060"/>
      <c r="BE107" s="2060"/>
      <c r="BF107" s="2060"/>
      <c r="BG107" s="2060"/>
      <c r="BH107" s="2060"/>
      <c r="BI107" s="2060"/>
      <c r="BJ107" s="2060"/>
      <c r="BK107" s="2060"/>
    </row>
    <row r="108" spans="1:63" customFormat="1" ht="13.9">
      <c r="A108" s="2060"/>
      <c r="B108" s="2060"/>
      <c r="C108" s="2060"/>
      <c r="D108" s="2060"/>
      <c r="E108" s="1578"/>
      <c r="F108" s="1578"/>
      <c r="G108" s="1578"/>
      <c r="H108" s="1578"/>
      <c r="I108" s="1578"/>
      <c r="J108" s="2060"/>
      <c r="K108" s="2060"/>
      <c r="L108" s="2060"/>
      <c r="M108" s="2060"/>
      <c r="N108" s="2060"/>
      <c r="O108" s="2060"/>
      <c r="P108" s="2060"/>
      <c r="Q108" s="2060"/>
      <c r="R108" s="2060"/>
      <c r="S108" s="2060"/>
      <c r="T108" s="2060"/>
      <c r="U108" s="2060"/>
      <c r="V108" s="2060"/>
      <c r="W108" s="2060"/>
      <c r="X108" s="2060"/>
      <c r="Y108" s="2060"/>
      <c r="Z108" s="2060"/>
      <c r="AA108" s="2060"/>
      <c r="AB108" s="2060"/>
      <c r="AC108" s="2060"/>
      <c r="AD108" s="2060"/>
      <c r="AE108" s="2060"/>
      <c r="AF108" s="2060"/>
      <c r="AG108" s="2060"/>
      <c r="AH108" s="2060"/>
      <c r="AI108" s="2060"/>
      <c r="AJ108" s="2060"/>
      <c r="AK108" s="2060"/>
      <c r="AL108" s="2060"/>
      <c r="AM108" s="2060"/>
      <c r="AN108" s="2060"/>
      <c r="AO108" s="2060"/>
      <c r="AP108" s="2060"/>
      <c r="AQ108" s="2060"/>
      <c r="AR108" s="2060"/>
      <c r="AS108" s="2060"/>
      <c r="AT108" s="2060"/>
      <c r="AU108" s="2060"/>
      <c r="AV108" s="2060"/>
      <c r="AW108" s="2060"/>
      <c r="AX108" s="2060"/>
      <c r="AY108" s="2060"/>
      <c r="AZ108" s="2060"/>
      <c r="BA108" s="2060"/>
      <c r="BB108" s="2060"/>
      <c r="BC108" s="2060"/>
      <c r="BD108" s="2060"/>
      <c r="BE108" s="2060"/>
      <c r="BF108" s="2060"/>
      <c r="BG108" s="2060"/>
      <c r="BH108" s="2060"/>
      <c r="BI108" s="2060"/>
      <c r="BJ108" s="2060"/>
      <c r="BK108" s="2060"/>
    </row>
    <row r="109" spans="1:63" customFormat="1" ht="13.9">
      <c r="A109" s="2060"/>
      <c r="B109" s="2060"/>
      <c r="C109" s="2060"/>
      <c r="D109" s="2060"/>
      <c r="E109" s="1578"/>
      <c r="F109" s="1578"/>
      <c r="G109" s="1578"/>
      <c r="H109" s="1578"/>
      <c r="I109" s="1578"/>
      <c r="J109" s="2060"/>
      <c r="K109" s="2060"/>
      <c r="L109" s="2060"/>
      <c r="M109" s="2060"/>
      <c r="N109" s="2060"/>
      <c r="O109" s="2060"/>
      <c r="P109" s="2060"/>
      <c r="Q109" s="2060"/>
      <c r="R109" s="2060"/>
      <c r="S109" s="2060"/>
      <c r="T109" s="2060"/>
      <c r="U109" s="2060"/>
      <c r="V109" s="2060"/>
      <c r="W109" s="2060"/>
      <c r="X109" s="2060"/>
      <c r="Y109" s="2060"/>
      <c r="Z109" s="2060"/>
      <c r="AA109" s="2060"/>
      <c r="AB109" s="2060"/>
      <c r="AC109" s="2060"/>
      <c r="AD109" s="2060"/>
      <c r="AE109" s="2060"/>
      <c r="AF109" s="2060"/>
      <c r="AG109" s="2060"/>
      <c r="AH109" s="2060"/>
      <c r="AI109" s="2060"/>
      <c r="AJ109" s="2060"/>
      <c r="AK109" s="2060"/>
      <c r="AL109" s="2060"/>
      <c r="AM109" s="2060"/>
      <c r="AN109" s="2060"/>
      <c r="AO109" s="2060"/>
      <c r="AP109" s="2060"/>
      <c r="AQ109" s="2060"/>
      <c r="AR109" s="2060"/>
      <c r="AS109" s="2060"/>
      <c r="AT109" s="2060"/>
      <c r="AU109" s="2060"/>
      <c r="AV109" s="2060"/>
      <c r="AW109" s="2060"/>
      <c r="AX109" s="2060"/>
      <c r="AY109" s="2060"/>
      <c r="AZ109" s="2060"/>
      <c r="BA109" s="2060"/>
      <c r="BB109" s="2060"/>
      <c r="BC109" s="2060"/>
      <c r="BD109" s="2060"/>
      <c r="BE109" s="2060"/>
      <c r="BF109" s="2060"/>
      <c r="BG109" s="2060"/>
      <c r="BH109" s="2060"/>
      <c r="BI109" s="2060"/>
      <c r="BJ109" s="2060"/>
      <c r="BK109" s="2060"/>
    </row>
    <row r="110" spans="1:63" customFormat="1" ht="12" customHeight="1">
      <c r="A110" s="2060"/>
      <c r="B110" s="2060"/>
      <c r="C110" s="2060"/>
      <c r="D110" s="2060"/>
      <c r="E110" s="1505"/>
      <c r="F110" s="1505"/>
      <c r="G110" s="1505"/>
      <c r="H110" s="1505"/>
      <c r="I110" s="1505"/>
      <c r="J110" s="2060"/>
      <c r="K110" s="2060"/>
      <c r="L110" s="2060"/>
      <c r="M110" s="2060"/>
      <c r="N110" s="2060"/>
      <c r="O110" s="2060"/>
      <c r="P110" s="2060"/>
      <c r="Q110" s="2060"/>
      <c r="R110" s="2060"/>
      <c r="S110" s="2060"/>
      <c r="T110" s="2060"/>
      <c r="U110" s="2060"/>
      <c r="V110" s="2060"/>
      <c r="W110" s="2060"/>
      <c r="X110" s="2060"/>
      <c r="Y110" s="2060"/>
      <c r="Z110" s="2060"/>
      <c r="AA110" s="2060"/>
      <c r="AB110" s="2060"/>
      <c r="AC110" s="2060"/>
      <c r="AD110" s="2060"/>
      <c r="AE110" s="2060"/>
      <c r="AF110" s="2060"/>
      <c r="AG110" s="2060"/>
      <c r="AH110" s="2060"/>
      <c r="AI110" s="2060"/>
      <c r="AJ110" s="2060"/>
      <c r="AK110" s="2060"/>
      <c r="AL110" s="2060"/>
      <c r="AM110" s="2060"/>
      <c r="AN110" s="2060"/>
      <c r="AO110" s="2060"/>
      <c r="AP110" s="2060"/>
      <c r="AQ110" s="2060"/>
      <c r="AR110" s="2060"/>
      <c r="AS110" s="2060"/>
      <c r="AT110" s="2060"/>
      <c r="AU110" s="2060"/>
      <c r="AV110" s="2060"/>
      <c r="AW110" s="2060"/>
      <c r="AX110" s="2060"/>
      <c r="AY110" s="2060"/>
      <c r="AZ110" s="2060"/>
      <c r="BA110" s="2060"/>
      <c r="BB110" s="2060"/>
      <c r="BC110" s="2060"/>
      <c r="BD110" s="2060"/>
      <c r="BE110" s="2060"/>
      <c r="BF110" s="2060"/>
      <c r="BG110" s="2060"/>
      <c r="BH110" s="2060"/>
      <c r="BI110" s="2060"/>
      <c r="BJ110" s="2060"/>
      <c r="BK110" s="2060"/>
    </row>
    <row r="111" spans="1:63" customFormat="1" ht="12" customHeight="1">
      <c r="A111" s="2060"/>
      <c r="B111" s="2060"/>
      <c r="C111" s="2060"/>
      <c r="D111" s="2060"/>
      <c r="E111" s="1505"/>
      <c r="F111" s="1505"/>
      <c r="G111" s="1505"/>
      <c r="H111" s="1505"/>
      <c r="I111" s="1505"/>
      <c r="J111" s="2060"/>
      <c r="K111" s="2060"/>
      <c r="L111" s="2060"/>
      <c r="M111" s="2060"/>
      <c r="N111" s="2060"/>
      <c r="O111" s="2060"/>
      <c r="P111" s="2060"/>
      <c r="Q111" s="2060"/>
      <c r="R111" s="2060"/>
      <c r="S111" s="2060"/>
      <c r="T111" s="2060"/>
      <c r="U111" s="2060"/>
      <c r="V111" s="2060"/>
      <c r="W111" s="2060"/>
      <c r="X111" s="2060"/>
      <c r="Y111" s="2060"/>
      <c r="Z111" s="2060"/>
      <c r="AA111" s="2060"/>
      <c r="AB111" s="2060"/>
      <c r="AC111" s="2060"/>
      <c r="AD111" s="2060"/>
      <c r="AE111" s="2060"/>
      <c r="AF111" s="2060"/>
      <c r="AG111" s="2060"/>
      <c r="AH111" s="2060"/>
      <c r="AI111" s="2060"/>
      <c r="AJ111" s="2060"/>
      <c r="AK111" s="2060"/>
      <c r="AL111" s="2060"/>
      <c r="AM111" s="2060"/>
      <c r="AN111" s="2060"/>
      <c r="AO111" s="2060"/>
      <c r="AP111" s="2060"/>
      <c r="AQ111" s="2060"/>
      <c r="AR111" s="2060"/>
      <c r="AS111" s="2060"/>
      <c r="AT111" s="2060"/>
      <c r="AU111" s="2060"/>
      <c r="AV111" s="2060"/>
      <c r="AW111" s="2060"/>
      <c r="AX111" s="2060"/>
      <c r="AY111" s="2060"/>
      <c r="AZ111" s="2060"/>
      <c r="BA111" s="2060"/>
      <c r="BB111" s="2060"/>
      <c r="BC111" s="2060"/>
      <c r="BD111" s="2060"/>
      <c r="BE111" s="2060"/>
      <c r="BF111" s="2060"/>
      <c r="BG111" s="2060"/>
      <c r="BH111" s="2060"/>
      <c r="BI111" s="2060"/>
      <c r="BJ111" s="2060"/>
      <c r="BK111" s="2060"/>
    </row>
    <row r="112" spans="1:63" customFormat="1" ht="12" customHeight="1">
      <c r="A112" s="2060"/>
      <c r="B112" s="2060"/>
      <c r="C112" s="2060"/>
      <c r="D112" s="2060"/>
      <c r="E112" s="1578"/>
      <c r="F112" s="1578"/>
      <c r="G112" s="1578"/>
      <c r="H112" s="1578"/>
      <c r="I112" s="1578"/>
      <c r="J112" s="2060"/>
      <c r="K112" s="2060"/>
      <c r="L112" s="2060"/>
      <c r="M112" s="2060"/>
      <c r="N112" s="2060"/>
      <c r="O112" s="2060"/>
      <c r="P112" s="2060"/>
      <c r="Q112" s="2060"/>
      <c r="R112" s="2060"/>
      <c r="S112" s="2060"/>
      <c r="T112" s="2060"/>
      <c r="U112" s="2060"/>
      <c r="V112" s="2060"/>
      <c r="W112" s="2060"/>
      <c r="X112" s="2060"/>
      <c r="Y112" s="2060"/>
      <c r="Z112" s="2060"/>
      <c r="AA112" s="2060"/>
      <c r="AB112" s="2060"/>
      <c r="AC112" s="2060"/>
      <c r="AD112" s="2060"/>
      <c r="AE112" s="2060"/>
      <c r="AF112" s="2060"/>
      <c r="AG112" s="2060"/>
      <c r="AH112" s="2060"/>
      <c r="AI112" s="2060"/>
      <c r="AJ112" s="2060"/>
      <c r="AK112" s="2060"/>
      <c r="AL112" s="2060"/>
      <c r="AM112" s="2060"/>
      <c r="AN112" s="2060"/>
      <c r="AO112" s="2060"/>
      <c r="AP112" s="2060"/>
      <c r="AQ112" s="2060"/>
      <c r="AR112" s="2060"/>
      <c r="AS112" s="2060"/>
      <c r="AT112" s="2060"/>
      <c r="AU112" s="2060"/>
      <c r="AV112" s="2060"/>
      <c r="AW112" s="2060"/>
      <c r="AX112" s="2060"/>
      <c r="AY112" s="2060"/>
      <c r="AZ112" s="2060"/>
      <c r="BA112" s="2060"/>
      <c r="BB112" s="2060"/>
      <c r="BC112" s="2060"/>
      <c r="BD112" s="2060"/>
      <c r="BE112" s="2060"/>
      <c r="BF112" s="2060"/>
      <c r="BG112" s="2060"/>
      <c r="BH112" s="2060"/>
      <c r="BI112" s="2060"/>
      <c r="BJ112" s="2060"/>
      <c r="BK112" s="2060"/>
    </row>
    <row r="113" spans="5:42" customFormat="1" ht="12" customHeight="1">
      <c r="E113" s="1578"/>
      <c r="F113" s="1578"/>
      <c r="G113" s="1578"/>
      <c r="H113" s="1578"/>
      <c r="I113" s="1578"/>
      <c r="J113" s="2060"/>
      <c r="K113" s="2060"/>
      <c r="L113" s="2060"/>
      <c r="M113" s="2060"/>
      <c r="N113" s="2060"/>
      <c r="O113" s="2060"/>
      <c r="P113" s="2060"/>
      <c r="Q113" s="2060"/>
      <c r="R113" s="2060"/>
      <c r="S113" s="2060"/>
      <c r="T113" s="2060"/>
      <c r="U113" s="2060"/>
      <c r="V113" s="2060"/>
      <c r="W113" s="2060"/>
      <c r="X113" s="2060"/>
      <c r="Y113" s="2060"/>
      <c r="Z113" s="2060"/>
      <c r="AA113" s="2060"/>
      <c r="AB113" s="2060"/>
      <c r="AC113" s="2060"/>
      <c r="AD113" s="2060"/>
      <c r="AE113" s="2060"/>
      <c r="AF113" s="2060"/>
      <c r="AG113" s="2060"/>
      <c r="AH113" s="2060"/>
      <c r="AI113" s="2060"/>
      <c r="AJ113" s="2060"/>
      <c r="AK113" s="2060"/>
      <c r="AL113" s="2060"/>
      <c r="AM113" s="2060"/>
      <c r="AN113" s="2060"/>
      <c r="AO113" s="2060"/>
      <c r="AP113" s="2060"/>
    </row>
    <row r="114" spans="5:42" customFormat="1" ht="12" customHeight="1">
      <c r="E114" s="1578"/>
      <c r="F114" s="1578"/>
      <c r="G114" s="1578"/>
      <c r="H114" s="1578"/>
      <c r="I114" s="1578"/>
      <c r="J114" s="2060"/>
      <c r="K114" s="2060"/>
      <c r="L114" s="2060"/>
      <c r="M114" s="2060"/>
      <c r="N114" s="2060"/>
      <c r="O114" s="2060"/>
      <c r="P114" s="2060"/>
      <c r="Q114" s="2060"/>
      <c r="R114" s="2060"/>
      <c r="S114" s="2060"/>
      <c r="T114" s="2060"/>
      <c r="U114" s="2060"/>
      <c r="V114" s="2060"/>
      <c r="W114" s="2060"/>
      <c r="X114" s="2060"/>
      <c r="Y114" s="2060"/>
      <c r="Z114" s="2060"/>
      <c r="AA114" s="2060"/>
      <c r="AB114" s="2060"/>
      <c r="AC114" s="2060"/>
      <c r="AD114" s="2060"/>
      <c r="AE114" s="2060"/>
      <c r="AF114" s="2060"/>
      <c r="AG114" s="2060"/>
      <c r="AH114" s="2060"/>
      <c r="AI114" s="2060"/>
      <c r="AJ114" s="2060"/>
      <c r="AK114" s="2060"/>
      <c r="AL114" s="2060"/>
      <c r="AM114" s="2060"/>
      <c r="AN114" s="2060"/>
      <c r="AO114" s="2060"/>
      <c r="AP114" s="2060"/>
    </row>
    <row r="115" spans="5:42" customFormat="1" ht="12" customHeight="1">
      <c r="E115" s="2060"/>
      <c r="F115" s="2060"/>
      <c r="G115" s="2060"/>
      <c r="H115" s="2060"/>
      <c r="I115" s="2060"/>
      <c r="J115" s="2060"/>
      <c r="K115" s="2060"/>
      <c r="L115" s="2060"/>
      <c r="M115" s="2060"/>
      <c r="N115" s="2060"/>
      <c r="O115" s="2060"/>
      <c r="P115" s="2060"/>
      <c r="Q115" s="2060"/>
      <c r="R115" s="2060"/>
      <c r="S115" s="2060"/>
      <c r="T115" s="2060"/>
      <c r="U115" s="2060"/>
      <c r="V115" s="2060"/>
      <c r="W115" s="2060"/>
      <c r="X115" s="2060"/>
      <c r="Y115" s="2060"/>
      <c r="Z115" s="2060"/>
      <c r="AA115" s="2060"/>
      <c r="AB115" s="2060"/>
      <c r="AC115" s="2060"/>
      <c r="AD115" s="2060"/>
      <c r="AE115" s="2060"/>
      <c r="AF115" s="2060"/>
      <c r="AG115" s="2060"/>
      <c r="AH115" s="2060"/>
      <c r="AI115" s="2060"/>
      <c r="AJ115" s="2060"/>
      <c r="AK115" s="2060"/>
      <c r="AL115" s="2060"/>
      <c r="AM115" s="2060"/>
      <c r="AN115" s="2060"/>
      <c r="AO115" s="2060"/>
      <c r="AP115" s="2060"/>
    </row>
    <row r="116" spans="5:42" customFormat="1" ht="12" customHeight="1">
      <c r="E116" s="2060"/>
      <c r="F116" s="2060"/>
      <c r="G116" s="2060"/>
      <c r="H116" s="2060"/>
      <c r="I116" s="2060"/>
      <c r="J116" s="2060"/>
      <c r="K116" s="2060"/>
      <c r="L116" s="2060"/>
      <c r="M116" s="2060"/>
      <c r="N116" s="2060"/>
      <c r="O116" s="2060"/>
      <c r="P116" s="2060"/>
      <c r="Q116" s="2060"/>
      <c r="R116" s="2060"/>
      <c r="S116" s="2060"/>
      <c r="T116" s="2060"/>
      <c r="U116" s="2060"/>
      <c r="V116" s="2060"/>
      <c r="W116" s="2060"/>
      <c r="X116" s="2060"/>
      <c r="Y116" s="2060"/>
      <c r="Z116" s="2060"/>
      <c r="AA116" s="2060"/>
      <c r="AB116" s="2060"/>
      <c r="AC116" s="2060"/>
      <c r="AD116" s="2060"/>
      <c r="AE116" s="2060"/>
      <c r="AF116" s="2060"/>
      <c r="AG116" s="2060"/>
      <c r="AH116" s="2060"/>
      <c r="AI116" s="2060"/>
      <c r="AJ116" s="2060"/>
      <c r="AK116" s="2060"/>
      <c r="AL116" s="2060"/>
      <c r="AM116" s="2060"/>
      <c r="AN116" s="2060"/>
      <c r="AO116" s="2060"/>
      <c r="AP116" s="2060"/>
    </row>
    <row r="117" spans="5:42" customFormat="1" ht="12" customHeight="1">
      <c r="E117" s="2060"/>
      <c r="F117" s="2060"/>
      <c r="G117" s="2060"/>
      <c r="H117" s="2060"/>
      <c r="I117" s="2060"/>
      <c r="J117" s="2060"/>
      <c r="K117" s="2060"/>
      <c r="L117" s="2060"/>
      <c r="M117" s="2060"/>
      <c r="N117" s="2060"/>
      <c r="O117" s="2060"/>
      <c r="P117" s="2060"/>
      <c r="Q117" s="2060"/>
      <c r="R117" s="2060"/>
      <c r="S117" s="2060"/>
      <c r="T117" s="2060"/>
      <c r="U117" s="2060"/>
      <c r="V117" s="2060"/>
      <c r="W117" s="2060"/>
      <c r="X117" s="2060"/>
      <c r="Y117" s="2060"/>
      <c r="Z117" s="2060"/>
      <c r="AA117" s="2060"/>
      <c r="AB117" s="2060"/>
      <c r="AC117" s="2060"/>
      <c r="AD117" s="2060"/>
      <c r="AE117" s="2060"/>
      <c r="AF117" s="2060"/>
      <c r="AG117" s="2060"/>
      <c r="AH117" s="2060"/>
      <c r="AI117" s="2060"/>
      <c r="AJ117" s="2060"/>
      <c r="AK117" s="2060"/>
      <c r="AL117" s="2060"/>
      <c r="AM117" s="2060"/>
      <c r="AN117" s="2060"/>
      <c r="AO117" s="2060"/>
      <c r="AP117" s="2060"/>
    </row>
    <row r="118" spans="5:42" customFormat="1" ht="12" customHeight="1">
      <c r="E118" s="2060"/>
      <c r="F118" s="2060"/>
      <c r="G118" s="2060"/>
      <c r="H118" s="2060"/>
      <c r="I118" s="2060"/>
      <c r="J118" s="2060"/>
      <c r="K118" s="2060"/>
      <c r="L118" s="2060"/>
      <c r="M118" s="2060"/>
      <c r="N118" s="2060"/>
      <c r="O118" s="2060"/>
      <c r="P118" s="2060"/>
      <c r="Q118" s="2060"/>
      <c r="R118" s="2060"/>
      <c r="S118" s="2060"/>
      <c r="T118" s="2060"/>
      <c r="U118" s="2060"/>
      <c r="V118" s="2060"/>
      <c r="W118" s="2060"/>
      <c r="X118" s="2060"/>
      <c r="Y118" s="2060"/>
      <c r="Z118" s="2060"/>
      <c r="AA118" s="2060"/>
      <c r="AB118" s="2060"/>
      <c r="AC118" s="2060"/>
      <c r="AD118" s="2060"/>
      <c r="AE118" s="2060"/>
      <c r="AF118" s="2060"/>
      <c r="AG118" s="2060"/>
      <c r="AH118" s="2060"/>
      <c r="AI118" s="2060"/>
      <c r="AJ118" s="2060"/>
      <c r="AK118" s="2060"/>
      <c r="AL118" s="2060"/>
      <c r="AM118" s="2060"/>
      <c r="AN118" s="2060"/>
      <c r="AO118" s="2060"/>
      <c r="AP118" s="2060"/>
    </row>
    <row r="119" spans="5:42" customFormat="1" ht="12" customHeight="1">
      <c r="E119" s="2060"/>
      <c r="F119" s="2060"/>
      <c r="G119" s="2060"/>
      <c r="H119" s="2060"/>
      <c r="I119" s="2060"/>
      <c r="J119" s="2060"/>
      <c r="K119" s="2060"/>
      <c r="L119" s="2060"/>
      <c r="M119" s="2060"/>
      <c r="N119" s="2060"/>
      <c r="O119" s="2060"/>
      <c r="P119" s="2060"/>
      <c r="Q119" s="2060"/>
      <c r="R119" s="2060"/>
      <c r="S119" s="2060"/>
      <c r="T119" s="2060"/>
      <c r="U119" s="2060"/>
      <c r="V119" s="2060"/>
      <c r="W119" s="2060"/>
      <c r="X119" s="2060"/>
      <c r="Y119" s="2060"/>
      <c r="Z119" s="2060"/>
      <c r="AA119" s="2060"/>
      <c r="AB119" s="2060"/>
      <c r="AC119" s="2060"/>
      <c r="AD119" s="2060"/>
      <c r="AE119" s="2060"/>
      <c r="AF119" s="2060"/>
      <c r="AG119" s="2060"/>
      <c r="AH119" s="2060"/>
      <c r="AI119" s="2060"/>
      <c r="AJ119" s="2060"/>
      <c r="AK119" s="2060"/>
      <c r="AL119" s="2060"/>
      <c r="AM119" s="2060"/>
      <c r="AN119" s="2060"/>
      <c r="AO119" s="2060"/>
      <c r="AP119" s="2060"/>
    </row>
    <row r="120" spans="5:42" customFormat="1" ht="12" customHeight="1">
      <c r="E120" s="2060"/>
      <c r="F120" s="2060"/>
      <c r="G120" s="2060"/>
      <c r="H120" s="2060"/>
      <c r="I120" s="2060"/>
      <c r="J120" s="2060"/>
      <c r="K120" s="2060"/>
      <c r="L120" s="2060"/>
      <c r="M120" s="2060"/>
      <c r="N120" s="2060"/>
      <c r="O120" s="2060"/>
      <c r="P120" s="2060"/>
      <c r="Q120" s="2060"/>
      <c r="R120" s="2060"/>
      <c r="S120" s="2060"/>
      <c r="T120" s="2060"/>
      <c r="U120" s="2060"/>
      <c r="V120" s="2060"/>
      <c r="W120" s="2060"/>
      <c r="X120" s="2060"/>
      <c r="Y120" s="2060"/>
      <c r="Z120" s="2060"/>
      <c r="AA120" s="2060"/>
      <c r="AB120" s="2060"/>
      <c r="AC120" s="2060"/>
      <c r="AD120" s="2060"/>
      <c r="AE120" s="2060"/>
      <c r="AF120" s="2060"/>
      <c r="AG120" s="2060"/>
      <c r="AH120" s="2060"/>
      <c r="AI120" s="2060"/>
      <c r="AJ120" s="2060"/>
      <c r="AK120" s="2060"/>
      <c r="AL120" s="2060"/>
      <c r="AM120" s="2060"/>
      <c r="AN120" s="2060"/>
      <c r="AO120" s="2060"/>
      <c r="AP120" s="2060"/>
    </row>
    <row r="121" spans="5:42" customFormat="1" ht="12" customHeight="1">
      <c r="E121" s="2060"/>
      <c r="F121" s="2060"/>
      <c r="G121" s="2060"/>
      <c r="H121" s="2060"/>
      <c r="I121" s="2060"/>
      <c r="J121" s="2060"/>
      <c r="K121" s="2060"/>
      <c r="L121" s="2060"/>
      <c r="M121" s="2060"/>
      <c r="N121" s="2060"/>
      <c r="O121" s="2060"/>
      <c r="P121" s="2060"/>
      <c r="Q121" s="2060"/>
      <c r="R121" s="2060"/>
      <c r="S121" s="2060"/>
      <c r="T121" s="2060"/>
      <c r="U121" s="2060"/>
      <c r="V121" s="2060"/>
      <c r="W121" s="2060"/>
      <c r="X121" s="2060"/>
      <c r="Y121" s="2060"/>
      <c r="Z121" s="2060"/>
      <c r="AA121" s="2060"/>
      <c r="AB121" s="2060"/>
      <c r="AC121" s="2060"/>
      <c r="AD121" s="2060"/>
      <c r="AE121" s="2060"/>
      <c r="AF121" s="2060"/>
      <c r="AG121" s="2060"/>
      <c r="AH121" s="2060"/>
      <c r="AI121" s="2060"/>
      <c r="AJ121" s="2060"/>
      <c r="AK121" s="2060"/>
      <c r="AL121" s="2060"/>
      <c r="AM121" s="2060"/>
      <c r="AN121" s="2060"/>
      <c r="AO121" s="2060"/>
      <c r="AP121" s="2060"/>
    </row>
    <row r="122" spans="5:42" customFormat="1" ht="12" customHeight="1">
      <c r="E122" s="2060"/>
      <c r="F122" s="2060"/>
      <c r="G122" s="2060"/>
      <c r="H122" s="2060"/>
      <c r="I122" s="2060"/>
      <c r="J122" s="2060"/>
      <c r="K122" s="2060"/>
      <c r="L122" s="2060"/>
      <c r="M122" s="2060"/>
      <c r="N122" s="2060"/>
      <c r="O122" s="2060"/>
      <c r="P122" s="2060"/>
      <c r="Q122" s="2060"/>
      <c r="R122" s="2060"/>
      <c r="S122" s="2060"/>
      <c r="T122" s="2060"/>
      <c r="U122" s="2060"/>
      <c r="V122" s="2060"/>
      <c r="W122" s="2060"/>
      <c r="X122" s="2060"/>
      <c r="Y122" s="2060"/>
      <c r="Z122" s="2060"/>
      <c r="AA122" s="2060"/>
      <c r="AB122" s="2060"/>
      <c r="AC122" s="2060"/>
      <c r="AD122" s="2060"/>
      <c r="AE122" s="2060"/>
      <c r="AF122" s="2060"/>
      <c r="AG122" s="2060"/>
      <c r="AH122" s="2060"/>
      <c r="AI122" s="2060"/>
      <c r="AJ122" s="2060"/>
      <c r="AK122" s="2060"/>
      <c r="AL122" s="2060"/>
      <c r="AM122" s="2060"/>
      <c r="AN122" s="2060"/>
      <c r="AO122" s="2060"/>
      <c r="AP122" s="2060"/>
    </row>
    <row r="123" spans="5:42" customFormat="1" ht="12" customHeight="1">
      <c r="E123" s="2060"/>
      <c r="F123" s="2060"/>
      <c r="G123" s="2060"/>
      <c r="H123" s="2060"/>
      <c r="I123" s="2060"/>
      <c r="J123" s="2060"/>
      <c r="K123" s="2060"/>
      <c r="L123" s="2060"/>
      <c r="M123" s="2060"/>
      <c r="N123" s="2060"/>
      <c r="O123" s="2060"/>
      <c r="P123" s="2060"/>
      <c r="Q123" s="2060"/>
      <c r="R123" s="2060"/>
      <c r="S123" s="2060"/>
      <c r="T123" s="2060"/>
      <c r="U123" s="2060"/>
      <c r="V123" s="2060"/>
      <c r="W123" s="2060"/>
      <c r="X123" s="2060"/>
      <c r="Y123" s="2060"/>
      <c r="Z123" s="2060"/>
      <c r="AA123" s="2060"/>
      <c r="AB123" s="2060"/>
      <c r="AC123" s="2060"/>
      <c r="AD123" s="2060"/>
      <c r="AE123" s="2060"/>
      <c r="AF123" s="2060"/>
      <c r="AG123" s="2060"/>
      <c r="AH123" s="2060"/>
      <c r="AI123" s="2060"/>
      <c r="AJ123" s="2060"/>
      <c r="AK123" s="2060"/>
      <c r="AL123" s="2060"/>
      <c r="AM123" s="2060"/>
      <c r="AN123" s="2060"/>
      <c r="AO123" s="2060"/>
      <c r="AP123" s="2060"/>
    </row>
    <row r="124" spans="5:42" customFormat="1" ht="12" customHeight="1">
      <c r="E124" s="2060"/>
      <c r="F124" s="2060"/>
      <c r="G124" s="2060"/>
      <c r="H124" s="2060"/>
      <c r="I124" s="2060"/>
      <c r="J124" s="2060"/>
      <c r="K124" s="2060"/>
      <c r="L124" s="2060"/>
      <c r="M124" s="2060"/>
      <c r="N124" s="2060"/>
      <c r="O124" s="2060"/>
      <c r="P124" s="2060"/>
      <c r="Q124" s="2060"/>
      <c r="R124" s="2060"/>
      <c r="S124" s="2060"/>
      <c r="T124" s="2060"/>
      <c r="U124" s="2060"/>
      <c r="V124" s="2060"/>
      <c r="W124" s="2060"/>
      <c r="X124" s="2060"/>
      <c r="Y124" s="2060"/>
      <c r="Z124" s="2060"/>
      <c r="AA124" s="2060"/>
      <c r="AB124" s="2060"/>
      <c r="AC124" s="2060"/>
      <c r="AD124" s="2060"/>
      <c r="AE124" s="2060"/>
      <c r="AF124" s="2060"/>
      <c r="AG124" s="2060"/>
      <c r="AH124" s="2060"/>
      <c r="AI124" s="2060"/>
      <c r="AJ124" s="2060"/>
      <c r="AK124" s="2060"/>
      <c r="AL124" s="2060"/>
      <c r="AM124" s="2060"/>
      <c r="AN124" s="2060"/>
      <c r="AO124" s="2060"/>
      <c r="AP124" s="2060"/>
    </row>
    <row r="125" spans="5:42" customFormat="1" ht="12" customHeight="1">
      <c r="E125" s="2060"/>
      <c r="F125" s="2060"/>
      <c r="G125" s="2060"/>
      <c r="H125" s="2060"/>
      <c r="I125" s="2060"/>
      <c r="J125" s="2060"/>
      <c r="K125" s="2060"/>
      <c r="L125" s="2060"/>
      <c r="M125" s="2060"/>
      <c r="N125" s="2060"/>
      <c r="O125" s="2060"/>
      <c r="P125" s="2060"/>
      <c r="Q125" s="2060"/>
      <c r="R125" s="2060"/>
      <c r="S125" s="2060"/>
      <c r="T125" s="2060"/>
      <c r="U125" s="2060"/>
      <c r="V125" s="2060"/>
      <c r="W125" s="2060"/>
      <c r="X125" s="2060"/>
      <c r="Y125" s="2060"/>
      <c r="Z125" s="2060"/>
      <c r="AA125" s="2060"/>
      <c r="AB125" s="2060"/>
      <c r="AC125" s="2060"/>
      <c r="AD125" s="2060"/>
      <c r="AE125" s="2060"/>
      <c r="AF125" s="2060"/>
      <c r="AG125" s="2060"/>
      <c r="AH125" s="2060"/>
      <c r="AI125" s="2060"/>
      <c r="AJ125" s="2060"/>
      <c r="AK125" s="2060"/>
      <c r="AL125" s="2060"/>
      <c r="AM125" s="2060"/>
      <c r="AN125" s="2060"/>
      <c r="AO125" s="2060"/>
      <c r="AP125" s="2060"/>
    </row>
    <row r="126" spans="5:42" customFormat="1" ht="12" customHeight="1">
      <c r="E126" s="2060"/>
      <c r="F126" s="2060"/>
      <c r="G126" s="2060"/>
      <c r="H126" s="2060"/>
      <c r="I126" s="2060"/>
      <c r="J126" s="2060"/>
      <c r="K126" s="2060"/>
      <c r="L126" s="2060"/>
      <c r="M126" s="2060"/>
      <c r="N126" s="2060"/>
      <c r="O126" s="2060"/>
      <c r="P126" s="2060"/>
      <c r="Q126" s="2060"/>
      <c r="R126" s="2060"/>
      <c r="S126" s="2060"/>
      <c r="T126" s="2060"/>
      <c r="U126" s="2060"/>
      <c r="V126" s="2060"/>
      <c r="W126" s="2060"/>
      <c r="X126" s="2060"/>
      <c r="Y126" s="2060"/>
      <c r="Z126" s="2060"/>
      <c r="AA126" s="2060"/>
      <c r="AB126" s="2060"/>
      <c r="AC126" s="2060"/>
      <c r="AD126" s="2060"/>
      <c r="AE126" s="2060"/>
      <c r="AF126" s="2060"/>
      <c r="AG126" s="2060"/>
      <c r="AH126" s="2060"/>
      <c r="AI126" s="2060"/>
      <c r="AJ126" s="2060"/>
      <c r="AK126" s="2060"/>
      <c r="AL126" s="2060"/>
      <c r="AM126" s="2060"/>
      <c r="AN126" s="2060"/>
      <c r="AO126" s="2060"/>
      <c r="AP126" s="2060"/>
    </row>
    <row r="127" spans="5:42" customFormat="1" ht="12" customHeight="1">
      <c r="E127" s="2060"/>
      <c r="F127" s="2060"/>
      <c r="G127" s="2060"/>
      <c r="H127" s="2060"/>
      <c r="I127" s="2060"/>
      <c r="J127" s="2060"/>
      <c r="K127" s="2060"/>
      <c r="L127" s="2060"/>
      <c r="M127" s="2060"/>
      <c r="N127" s="2060"/>
      <c r="O127" s="2060"/>
      <c r="P127" s="2060"/>
      <c r="Q127" s="2060"/>
      <c r="R127" s="2060"/>
      <c r="S127" s="2060"/>
      <c r="T127" s="2060"/>
      <c r="U127" s="2060"/>
      <c r="V127" s="2060"/>
      <c r="W127" s="2060"/>
      <c r="X127" s="2060"/>
      <c r="Y127" s="2060"/>
      <c r="Z127" s="2060"/>
      <c r="AA127" s="2060"/>
      <c r="AB127" s="2060"/>
      <c r="AC127" s="2060"/>
      <c r="AD127" s="2060"/>
      <c r="AE127" s="2060"/>
      <c r="AF127" s="2060"/>
      <c r="AG127" s="2060"/>
      <c r="AH127" s="2060"/>
      <c r="AI127" s="2060"/>
      <c r="AJ127" s="2060"/>
      <c r="AK127" s="2060"/>
      <c r="AL127" s="2060"/>
      <c r="AM127" s="2060"/>
      <c r="AN127" s="2060"/>
      <c r="AO127" s="2060"/>
      <c r="AP127" s="2060"/>
    </row>
    <row r="128" spans="5:42" customFormat="1" ht="12" customHeight="1">
      <c r="E128" s="2060"/>
      <c r="F128" s="2060"/>
      <c r="G128" s="2060"/>
      <c r="H128" s="2060"/>
      <c r="I128" s="2060"/>
      <c r="J128" s="2060"/>
      <c r="K128" s="2060"/>
      <c r="L128" s="2060"/>
      <c r="M128" s="2060"/>
      <c r="N128" s="2060"/>
      <c r="O128" s="2060"/>
      <c r="P128" s="2060"/>
      <c r="Q128" s="2060"/>
      <c r="R128" s="2060"/>
      <c r="S128" s="2060"/>
      <c r="T128" s="2060"/>
      <c r="U128" s="2060"/>
      <c r="V128" s="2060"/>
      <c r="W128" s="2060"/>
      <c r="X128" s="2060"/>
      <c r="Y128" s="2060"/>
      <c r="Z128" s="2060"/>
      <c r="AA128" s="2060"/>
      <c r="AB128" s="2060"/>
      <c r="AC128" s="2060"/>
      <c r="AD128" s="2060"/>
      <c r="AE128" s="2060"/>
      <c r="AF128" s="2060"/>
      <c r="AG128" s="2060"/>
      <c r="AH128" s="2060"/>
      <c r="AI128" s="2060"/>
      <c r="AJ128" s="2060"/>
      <c r="AK128" s="2060"/>
      <c r="AL128" s="2060"/>
      <c r="AM128" s="2060"/>
      <c r="AN128" s="2060"/>
      <c r="AO128" s="2060"/>
      <c r="AP128" s="2060"/>
    </row>
    <row r="129" spans="6:42" customFormat="1" ht="12" customHeight="1">
      <c r="F129" s="2060"/>
      <c r="G129" s="2060"/>
      <c r="H129" s="2060"/>
      <c r="I129" s="2060"/>
      <c r="J129" s="2060"/>
      <c r="K129" s="2060"/>
      <c r="L129" s="2060"/>
      <c r="M129" s="2060"/>
      <c r="N129" s="2060"/>
      <c r="O129" s="2060"/>
      <c r="P129" s="2060"/>
      <c r="Q129" s="2060"/>
      <c r="R129" s="2060"/>
      <c r="S129" s="2060"/>
      <c r="T129" s="2060"/>
      <c r="U129" s="2060"/>
      <c r="V129" s="2060"/>
      <c r="W129" s="2060"/>
      <c r="X129" s="2060"/>
      <c r="Y129" s="2060"/>
      <c r="Z129" s="2060"/>
      <c r="AA129" s="2060"/>
      <c r="AB129" s="2060"/>
      <c r="AC129" s="2060"/>
      <c r="AD129" s="2060"/>
      <c r="AE129" s="2060"/>
      <c r="AF129" s="2060"/>
      <c r="AG129" s="2060"/>
      <c r="AH129" s="2060"/>
      <c r="AI129" s="2060"/>
      <c r="AJ129" s="2060"/>
      <c r="AK129" s="2060"/>
      <c r="AL129" s="2060"/>
      <c r="AM129" s="2060"/>
      <c r="AN129" s="2060"/>
      <c r="AO129" s="2060"/>
      <c r="AP129" s="2060"/>
    </row>
    <row r="130" spans="6:42" customFormat="1" ht="12" customHeight="1">
      <c r="F130" s="2060"/>
      <c r="G130" s="2060"/>
      <c r="H130" s="2060"/>
      <c r="I130" s="2060"/>
      <c r="J130" s="2060"/>
      <c r="K130" s="2060"/>
      <c r="L130" s="2060"/>
      <c r="M130" s="2060"/>
      <c r="N130" s="2060"/>
      <c r="O130" s="2060"/>
      <c r="P130" s="2060"/>
      <c r="Q130" s="2060"/>
      <c r="R130" s="2060"/>
      <c r="S130" s="2060"/>
      <c r="T130" s="2060"/>
      <c r="U130" s="2060"/>
      <c r="V130" s="2060"/>
      <c r="W130" s="2060"/>
      <c r="X130" s="2060"/>
      <c r="Y130" s="2060"/>
      <c r="Z130" s="2060"/>
      <c r="AA130" s="2060"/>
      <c r="AB130" s="2060"/>
      <c r="AC130" s="2060"/>
      <c r="AD130" s="2060"/>
      <c r="AE130" s="2060"/>
      <c r="AF130" s="2060"/>
      <c r="AG130" s="2060"/>
      <c r="AH130" s="2060"/>
      <c r="AI130" s="2060"/>
      <c r="AJ130" s="2060"/>
      <c r="AK130" s="2060"/>
      <c r="AL130" s="2060"/>
      <c r="AM130" s="2060"/>
      <c r="AN130" s="2060"/>
      <c r="AO130" s="2060"/>
      <c r="AP130" s="2060"/>
    </row>
    <row r="131" spans="6:42" customFormat="1" ht="12" customHeight="1">
      <c r="F131" s="2060"/>
      <c r="G131" s="2060"/>
      <c r="H131" s="2060"/>
      <c r="I131" s="2060"/>
      <c r="J131" s="2060"/>
      <c r="K131" s="2060"/>
      <c r="L131" s="2060"/>
      <c r="M131" s="2060"/>
      <c r="N131" s="2060"/>
      <c r="O131" s="2060"/>
      <c r="P131" s="2060"/>
      <c r="Q131" s="2060"/>
      <c r="R131" s="2060"/>
      <c r="S131" s="2060"/>
      <c r="T131" s="2060"/>
      <c r="U131" s="2060"/>
      <c r="V131" s="2060"/>
      <c r="W131" s="2060"/>
      <c r="X131" s="2060"/>
      <c r="Y131" s="2060"/>
      <c r="Z131" s="2060"/>
      <c r="AA131" s="2060"/>
      <c r="AB131" s="2060"/>
      <c r="AC131" s="2060"/>
      <c r="AD131" s="2060"/>
      <c r="AE131" s="2060"/>
      <c r="AF131" s="2060"/>
      <c r="AG131" s="2060"/>
      <c r="AH131" s="2060"/>
      <c r="AI131" s="2060"/>
      <c r="AJ131" s="2060"/>
      <c r="AK131" s="2060"/>
      <c r="AL131" s="2060"/>
      <c r="AM131" s="2060"/>
      <c r="AN131" s="2060"/>
      <c r="AO131" s="2060"/>
      <c r="AP131" s="2060"/>
    </row>
    <row r="132" spans="6:42" customFormat="1" ht="12" customHeight="1">
      <c r="F132" s="2060"/>
      <c r="G132" s="2060"/>
      <c r="H132" s="2060"/>
      <c r="I132" s="2060"/>
      <c r="J132" s="2060"/>
      <c r="K132" s="2060"/>
      <c r="L132" s="2060"/>
      <c r="M132" s="2060"/>
      <c r="N132" s="2060"/>
      <c r="O132" s="2060"/>
      <c r="P132" s="2060"/>
      <c r="Q132" s="2060"/>
      <c r="R132" s="2060"/>
      <c r="S132" s="2060"/>
      <c r="T132" s="2060"/>
      <c r="U132" s="2060"/>
      <c r="V132" s="2060"/>
      <c r="W132" s="2060"/>
      <c r="X132" s="2060"/>
      <c r="Y132" s="2060"/>
      <c r="Z132" s="2060"/>
      <c r="AA132" s="2060"/>
      <c r="AB132" s="2060"/>
      <c r="AC132" s="2060"/>
      <c r="AD132" s="2060"/>
      <c r="AE132" s="2060"/>
      <c r="AF132" s="2060"/>
      <c r="AG132" s="2060"/>
      <c r="AH132" s="2060"/>
      <c r="AI132" s="2060"/>
      <c r="AJ132" s="2060"/>
      <c r="AK132" s="2060"/>
      <c r="AL132" s="2060"/>
      <c r="AM132" s="2060"/>
      <c r="AN132" s="2060"/>
      <c r="AO132" s="2060"/>
      <c r="AP132" s="2060"/>
    </row>
    <row r="133" spans="6:42" customFormat="1" ht="12" customHeight="1">
      <c r="F133" s="2060"/>
      <c r="G133" s="2060"/>
      <c r="H133" s="2060"/>
      <c r="I133" s="2060"/>
      <c r="J133" s="2060"/>
      <c r="K133" s="2060"/>
      <c r="L133" s="2060"/>
      <c r="M133" s="2060"/>
      <c r="N133" s="2060"/>
      <c r="O133" s="2060"/>
      <c r="P133" s="2060"/>
      <c r="Q133" s="2060"/>
      <c r="R133" s="2060"/>
      <c r="S133" s="2060"/>
      <c r="T133" s="2060"/>
      <c r="U133" s="2060"/>
      <c r="V133" s="2060"/>
      <c r="W133" s="2060"/>
      <c r="X133" s="2060"/>
      <c r="Y133" s="2060"/>
      <c r="Z133" s="2060"/>
      <c r="AA133" s="2060"/>
      <c r="AB133" s="2060"/>
      <c r="AC133" s="2060"/>
      <c r="AD133" s="2060"/>
      <c r="AE133" s="2060"/>
      <c r="AF133" s="2060"/>
      <c r="AG133" s="2060"/>
      <c r="AH133" s="2060"/>
      <c r="AI133" s="2060"/>
      <c r="AJ133" s="2060"/>
      <c r="AK133" s="2060"/>
      <c r="AL133" s="2060"/>
      <c r="AM133" s="2060"/>
      <c r="AN133" s="2060"/>
      <c r="AO133" s="2060"/>
      <c r="AP133" s="2060"/>
    </row>
    <row r="134" spans="6:42" customFormat="1" ht="12" customHeight="1">
      <c r="F134" s="2060"/>
      <c r="G134" s="2060"/>
      <c r="H134" s="2060"/>
      <c r="I134" s="2060"/>
      <c r="J134" s="2060"/>
      <c r="K134" s="2060"/>
      <c r="L134" s="2060"/>
      <c r="M134" s="2060"/>
      <c r="N134" s="2060"/>
      <c r="O134" s="2060"/>
      <c r="P134" s="2060"/>
      <c r="Q134" s="2060"/>
      <c r="R134" s="2060"/>
      <c r="S134" s="2060"/>
      <c r="T134" s="2060"/>
      <c r="U134" s="2060"/>
      <c r="V134" s="2060"/>
      <c r="W134" s="2060"/>
      <c r="X134" s="2060"/>
      <c r="Y134" s="2060"/>
      <c r="Z134" s="2060"/>
      <c r="AA134" s="2060"/>
      <c r="AB134" s="2060"/>
      <c r="AC134" s="2060"/>
      <c r="AD134" s="2060"/>
      <c r="AE134" s="2060"/>
      <c r="AF134" s="2060"/>
      <c r="AG134" s="2060"/>
      <c r="AH134" s="2060"/>
      <c r="AI134" s="2060"/>
      <c r="AJ134" s="2060"/>
      <c r="AK134" s="2060"/>
      <c r="AL134" s="2060"/>
      <c r="AM134" s="2060"/>
      <c r="AN134" s="2060"/>
      <c r="AO134" s="2060"/>
      <c r="AP134" s="2060"/>
    </row>
    <row r="135" spans="6:42" customFormat="1" ht="12" customHeight="1">
      <c r="F135" s="2060"/>
      <c r="G135" s="2060"/>
      <c r="H135" s="2060"/>
      <c r="I135" s="2060"/>
      <c r="J135" s="2060"/>
      <c r="K135" s="2060"/>
      <c r="L135" s="2060"/>
      <c r="M135" s="2060"/>
      <c r="N135" s="2060"/>
      <c r="O135" s="2060"/>
      <c r="P135" s="2060"/>
      <c r="Q135" s="2060"/>
      <c r="R135" s="2060"/>
      <c r="S135" s="2060"/>
      <c r="T135" s="2060"/>
      <c r="U135" s="2060"/>
      <c r="V135" s="2060"/>
      <c r="W135" s="2060"/>
      <c r="X135" s="2060"/>
      <c r="Y135" s="2060"/>
      <c r="Z135" s="2060"/>
      <c r="AA135" s="2060"/>
      <c r="AB135" s="2060"/>
      <c r="AC135" s="2060"/>
      <c r="AD135" s="2060"/>
      <c r="AE135" s="2060"/>
      <c r="AF135" s="2060"/>
      <c r="AG135" s="2060"/>
      <c r="AH135" s="2060"/>
      <c r="AI135" s="2060"/>
      <c r="AJ135" s="2060"/>
      <c r="AK135" s="2060"/>
      <c r="AL135" s="2060"/>
      <c r="AM135" s="2060"/>
      <c r="AN135" s="2060"/>
      <c r="AO135" s="2060"/>
      <c r="AP135" s="2060"/>
    </row>
    <row r="136" spans="6:42" customFormat="1" ht="12" customHeight="1">
      <c r="F136" s="2060"/>
      <c r="G136" s="2060"/>
      <c r="H136" s="2060"/>
      <c r="I136" s="2060"/>
      <c r="J136" s="2060"/>
      <c r="K136" s="2060"/>
      <c r="L136" s="2060"/>
      <c r="M136" s="2060"/>
      <c r="N136" s="2060"/>
      <c r="O136" s="2060"/>
      <c r="P136" s="2060"/>
      <c r="Q136" s="2060"/>
      <c r="R136" s="2060"/>
      <c r="S136" s="2060"/>
      <c r="T136" s="2060"/>
      <c r="U136" s="2060"/>
      <c r="V136" s="2060"/>
      <c r="W136" s="2060"/>
      <c r="X136" s="2060"/>
      <c r="Y136" s="2060"/>
      <c r="Z136" s="2060"/>
      <c r="AA136" s="2060"/>
      <c r="AB136" s="2060"/>
      <c r="AC136" s="2060"/>
      <c r="AD136" s="2060"/>
      <c r="AE136" s="2060"/>
      <c r="AF136" s="2060"/>
      <c r="AG136" s="2060"/>
      <c r="AH136" s="2060"/>
      <c r="AI136" s="2060"/>
      <c r="AJ136" s="2060"/>
      <c r="AK136" s="2060"/>
      <c r="AL136" s="2060"/>
      <c r="AM136" s="2060"/>
      <c r="AN136" s="2060"/>
      <c r="AO136" s="2060"/>
      <c r="AP136" s="2060"/>
    </row>
    <row r="137" spans="6:42" customFormat="1" ht="12" customHeight="1">
      <c r="F137" s="2060"/>
      <c r="G137" s="2060"/>
      <c r="H137" s="2060"/>
      <c r="I137" s="2060"/>
      <c r="J137" s="2060"/>
      <c r="K137" s="2060"/>
      <c r="L137" s="2060"/>
      <c r="M137" s="2060"/>
      <c r="N137" s="2060"/>
      <c r="O137" s="2060"/>
      <c r="P137" s="2060"/>
      <c r="Q137" s="2060"/>
      <c r="R137" s="2060"/>
      <c r="S137" s="2060"/>
      <c r="T137" s="2060"/>
      <c r="U137" s="2060"/>
      <c r="V137" s="2060"/>
      <c r="W137" s="2060"/>
      <c r="X137" s="2060"/>
      <c r="Y137" s="2060"/>
      <c r="Z137" s="2060"/>
      <c r="AA137" s="2060"/>
      <c r="AB137" s="2060"/>
      <c r="AC137" s="2060"/>
      <c r="AD137" s="2060"/>
      <c r="AE137" s="2060"/>
      <c r="AF137" s="2060"/>
      <c r="AG137" s="2060"/>
      <c r="AH137" s="2060"/>
      <c r="AI137" s="2060"/>
      <c r="AJ137" s="2060"/>
      <c r="AK137" s="2060"/>
      <c r="AL137" s="2060"/>
      <c r="AM137" s="2060"/>
      <c r="AN137" s="2060"/>
      <c r="AO137" s="2060"/>
      <c r="AP137" s="2060"/>
    </row>
    <row r="138" spans="6:42" customFormat="1" ht="12" customHeight="1">
      <c r="F138" s="2060"/>
      <c r="G138" s="2060"/>
      <c r="H138" s="2060"/>
      <c r="I138" s="2060"/>
      <c r="J138" s="2060"/>
      <c r="K138" s="2060"/>
      <c r="L138" s="2060"/>
      <c r="M138" s="2060"/>
      <c r="N138" s="2060"/>
      <c r="O138" s="2060"/>
      <c r="P138" s="2060"/>
      <c r="Q138" s="2060"/>
      <c r="R138" s="2060"/>
      <c r="S138" s="2060"/>
      <c r="T138" s="2060"/>
      <c r="U138" s="2060"/>
      <c r="V138" s="2060"/>
      <c r="W138" s="2060"/>
      <c r="X138" s="2060"/>
      <c r="Y138" s="2060"/>
      <c r="Z138" s="2060"/>
      <c r="AA138" s="2060"/>
      <c r="AB138" s="2060"/>
      <c r="AC138" s="2060"/>
      <c r="AD138" s="2060"/>
      <c r="AE138" s="2060"/>
      <c r="AF138" s="2060"/>
      <c r="AG138" s="2060"/>
      <c r="AH138" s="2060"/>
      <c r="AI138" s="2060"/>
      <c r="AJ138" s="2060"/>
      <c r="AK138" s="2060"/>
      <c r="AL138" s="2060"/>
      <c r="AM138" s="2060"/>
      <c r="AN138" s="2060"/>
      <c r="AO138" s="2060"/>
      <c r="AP138" s="2060"/>
    </row>
    <row r="139" spans="6:42" customFormat="1" ht="12" customHeight="1">
      <c r="F139" s="2060"/>
      <c r="G139" s="2060"/>
      <c r="H139" s="2060"/>
      <c r="I139" s="2060"/>
      <c r="J139" s="2060"/>
      <c r="K139" s="2060"/>
      <c r="L139" s="2060"/>
      <c r="M139" s="2060"/>
      <c r="N139" s="2060"/>
      <c r="O139" s="2060"/>
      <c r="P139" s="2060"/>
      <c r="Q139" s="2060"/>
      <c r="R139" s="2060"/>
      <c r="S139" s="2060"/>
      <c r="T139" s="2060"/>
      <c r="U139" s="2060"/>
      <c r="V139" s="2060"/>
      <c r="W139" s="2060"/>
      <c r="X139" s="2060"/>
      <c r="Y139" s="2060"/>
      <c r="Z139" s="2060"/>
      <c r="AA139" s="2060"/>
      <c r="AB139" s="2060"/>
      <c r="AC139" s="2060"/>
      <c r="AD139" s="2060"/>
      <c r="AE139" s="2060"/>
      <c r="AF139" s="2060"/>
      <c r="AG139" s="2060"/>
      <c r="AH139" s="2060"/>
      <c r="AI139" s="2060"/>
      <c r="AJ139" s="2060"/>
      <c r="AK139" s="2060"/>
      <c r="AL139" s="2060"/>
      <c r="AM139" s="2060"/>
      <c r="AN139" s="2060"/>
      <c r="AO139" s="2060"/>
      <c r="AP139" s="2060"/>
    </row>
    <row r="140" spans="6:42" customFormat="1" ht="12" customHeight="1">
      <c r="F140" s="2060"/>
      <c r="G140" s="2060"/>
      <c r="H140" s="2060"/>
      <c r="I140" s="2060"/>
      <c r="J140" s="2060"/>
      <c r="K140" s="2060"/>
      <c r="L140" s="2060"/>
      <c r="M140" s="2060"/>
      <c r="N140" s="2060"/>
      <c r="O140" s="2060"/>
      <c r="P140" s="2060"/>
      <c r="Q140" s="2060"/>
      <c r="R140" s="2060"/>
      <c r="S140" s="2060"/>
      <c r="T140" s="2060"/>
      <c r="U140" s="2060"/>
      <c r="V140" s="2060"/>
      <c r="W140" s="2060"/>
      <c r="X140" s="2060"/>
      <c r="Y140" s="2060"/>
      <c r="Z140" s="2060"/>
      <c r="AA140" s="2060"/>
      <c r="AB140" s="2060"/>
      <c r="AC140" s="2060"/>
      <c r="AD140" s="2060"/>
      <c r="AE140" s="2060"/>
      <c r="AF140" s="2060"/>
      <c r="AG140" s="2060"/>
      <c r="AH140" s="2060"/>
      <c r="AI140" s="2060"/>
      <c r="AJ140" s="2060"/>
      <c r="AK140" s="2060"/>
      <c r="AL140" s="2060"/>
      <c r="AM140" s="2060"/>
      <c r="AN140" s="2060"/>
      <c r="AO140" s="2060"/>
      <c r="AP140" s="2060"/>
    </row>
    <row r="141" spans="6:42" customFormat="1" ht="12" customHeight="1">
      <c r="F141" s="2060"/>
      <c r="G141" s="2060"/>
      <c r="H141" s="2060"/>
      <c r="I141" s="2060"/>
      <c r="J141" s="2060"/>
      <c r="K141" s="2060"/>
      <c r="L141" s="2060"/>
      <c r="M141" s="2060"/>
      <c r="N141" s="2060"/>
      <c r="O141" s="2060"/>
      <c r="P141" s="2060"/>
      <c r="Q141" s="2060"/>
      <c r="R141" s="2060"/>
      <c r="S141" s="2060"/>
      <c r="T141" s="2060"/>
      <c r="U141" s="2060"/>
      <c r="V141" s="2060"/>
      <c r="W141" s="2060"/>
      <c r="X141" s="2060"/>
      <c r="Y141" s="2060"/>
      <c r="Z141" s="2060"/>
      <c r="AA141" s="2060"/>
      <c r="AB141" s="2060"/>
      <c r="AC141" s="2060"/>
      <c r="AD141" s="2060"/>
      <c r="AE141" s="2060"/>
      <c r="AF141" s="2060"/>
      <c r="AG141" s="2060"/>
      <c r="AH141" s="2060"/>
      <c r="AI141" s="2060"/>
      <c r="AJ141" s="2060"/>
      <c r="AK141" s="2060"/>
      <c r="AL141" s="2060"/>
      <c r="AM141" s="2060"/>
      <c r="AN141" s="2060"/>
      <c r="AO141" s="2060"/>
      <c r="AP141" s="2060"/>
    </row>
    <row r="142" spans="6:42" customFormat="1" ht="12" customHeight="1">
      <c r="F142" s="2060"/>
      <c r="G142" s="2060"/>
      <c r="H142" s="2060"/>
      <c r="I142" s="2060"/>
      <c r="J142" s="2060"/>
      <c r="K142" s="2060"/>
      <c r="L142" s="2060"/>
      <c r="M142" s="2060"/>
      <c r="N142" s="2060"/>
      <c r="O142" s="2060"/>
      <c r="P142" s="2060"/>
      <c r="Q142" s="2060"/>
      <c r="R142" s="2060"/>
      <c r="S142" s="2060"/>
      <c r="T142" s="2060"/>
      <c r="U142" s="2060"/>
      <c r="V142" s="2060"/>
      <c r="W142" s="2060"/>
      <c r="X142" s="2060"/>
      <c r="Y142" s="2060"/>
      <c r="Z142" s="2060"/>
      <c r="AA142" s="2060"/>
      <c r="AB142" s="2060"/>
      <c r="AC142" s="2060"/>
      <c r="AD142" s="2060"/>
      <c r="AE142" s="2060"/>
      <c r="AF142" s="2060"/>
      <c r="AG142" s="2060"/>
      <c r="AH142" s="2060"/>
      <c r="AI142" s="2060"/>
      <c r="AJ142" s="2060"/>
      <c r="AK142" s="2060"/>
      <c r="AL142" s="2060"/>
      <c r="AM142" s="2060"/>
      <c r="AN142" s="2060"/>
      <c r="AO142" s="2060"/>
      <c r="AP142" s="2060"/>
    </row>
    <row r="143" spans="6:42" customFormat="1" ht="12" customHeight="1">
      <c r="F143" s="2060"/>
      <c r="G143" s="2060"/>
      <c r="H143" s="2060"/>
      <c r="I143" s="2060"/>
      <c r="J143" s="2060"/>
      <c r="K143" s="2060"/>
      <c r="L143" s="2060"/>
      <c r="M143" s="2060"/>
      <c r="N143" s="2060"/>
      <c r="O143" s="2060"/>
      <c r="P143" s="2060"/>
      <c r="Q143" s="2060"/>
      <c r="R143" s="2060"/>
      <c r="S143" s="2060"/>
      <c r="T143" s="2060"/>
      <c r="U143" s="2060"/>
      <c r="V143" s="2060"/>
      <c r="W143" s="2060"/>
      <c r="X143" s="2060"/>
      <c r="Y143" s="2060"/>
      <c r="Z143" s="2060"/>
      <c r="AA143" s="2060"/>
      <c r="AB143" s="2060"/>
      <c r="AC143" s="2060"/>
      <c r="AD143" s="2060"/>
      <c r="AE143" s="2060"/>
      <c r="AF143" s="2060"/>
      <c r="AG143" s="2060"/>
      <c r="AH143" s="2060"/>
      <c r="AI143" s="2060"/>
      <c r="AJ143" s="2060"/>
      <c r="AK143" s="2060"/>
      <c r="AL143" s="2060"/>
      <c r="AM143" s="2060"/>
      <c r="AN143" s="2060"/>
      <c r="AO143" s="2060"/>
      <c r="AP143" s="2060"/>
    </row>
    <row r="144" spans="6:42" customFormat="1" ht="12" customHeight="1">
      <c r="F144" s="2060"/>
      <c r="G144" s="2060"/>
      <c r="H144" s="2060"/>
      <c r="I144" s="2060"/>
      <c r="J144" s="2060"/>
      <c r="K144" s="2060"/>
      <c r="L144" s="2060"/>
      <c r="M144" s="2060"/>
      <c r="N144" s="2060"/>
      <c r="O144" s="2060"/>
      <c r="P144" s="2060"/>
      <c r="Q144" s="2060"/>
      <c r="R144" s="2060"/>
      <c r="S144" s="2060"/>
      <c r="T144" s="2060"/>
      <c r="U144" s="2060"/>
      <c r="V144" s="2060"/>
      <c r="W144" s="2060"/>
      <c r="X144" s="2060"/>
      <c r="Y144" s="2060"/>
      <c r="Z144" s="2060"/>
      <c r="AA144" s="2060"/>
      <c r="AB144" s="2060"/>
      <c r="AC144" s="2060"/>
      <c r="AD144" s="2060"/>
      <c r="AE144" s="2060"/>
      <c r="AF144" s="2060"/>
      <c r="AG144" s="2060"/>
      <c r="AH144" s="2060"/>
      <c r="AI144" s="2060"/>
      <c r="AJ144" s="2060"/>
      <c r="AK144" s="2060"/>
      <c r="AL144" s="2060"/>
      <c r="AM144" s="2060"/>
      <c r="AN144" s="2060"/>
      <c r="AO144" s="2060"/>
      <c r="AP144" s="2060"/>
    </row>
    <row r="145" spans="6:42" customFormat="1" ht="12" customHeight="1">
      <c r="F145" s="2060"/>
      <c r="G145" s="2060"/>
      <c r="H145" s="2060"/>
      <c r="I145" s="2060"/>
      <c r="J145" s="2060"/>
      <c r="K145" s="2060"/>
      <c r="L145" s="2060"/>
      <c r="M145" s="2060"/>
      <c r="N145" s="2060"/>
      <c r="O145" s="2060"/>
      <c r="P145" s="2060"/>
      <c r="Q145" s="2060"/>
      <c r="R145" s="2060"/>
      <c r="S145" s="2060"/>
      <c r="T145" s="2060"/>
      <c r="U145" s="2060"/>
      <c r="V145" s="2060"/>
      <c r="W145" s="2060"/>
      <c r="X145" s="2060"/>
      <c r="Y145" s="2060"/>
      <c r="Z145" s="2060"/>
      <c r="AA145" s="2060"/>
      <c r="AB145" s="2060"/>
      <c r="AC145" s="2060"/>
      <c r="AD145" s="2060"/>
      <c r="AE145" s="2060"/>
      <c r="AF145" s="2060"/>
      <c r="AG145" s="2060"/>
      <c r="AH145" s="2060"/>
      <c r="AI145" s="2060"/>
      <c r="AJ145" s="2060"/>
      <c r="AK145" s="2060"/>
      <c r="AL145" s="2060"/>
      <c r="AM145" s="2060"/>
      <c r="AN145" s="2060"/>
      <c r="AO145" s="2060"/>
      <c r="AP145" s="2060"/>
    </row>
    <row r="146" spans="6:42" customFormat="1" ht="12" customHeight="1">
      <c r="F146" s="2060"/>
      <c r="G146" s="2060"/>
      <c r="H146" s="2060"/>
      <c r="I146" s="2060"/>
      <c r="J146" s="2060"/>
      <c r="K146" s="2060"/>
      <c r="L146" s="2060"/>
      <c r="M146" s="2060"/>
      <c r="N146" s="2060"/>
      <c r="O146" s="2060"/>
      <c r="P146" s="2060"/>
      <c r="Q146" s="2060"/>
      <c r="R146" s="2060"/>
      <c r="S146" s="2060"/>
      <c r="T146" s="2060"/>
      <c r="U146" s="2060"/>
      <c r="V146" s="2060"/>
      <c r="W146" s="2060"/>
      <c r="X146" s="2060"/>
      <c r="Y146" s="2060"/>
      <c r="Z146" s="2060"/>
      <c r="AA146" s="2060"/>
      <c r="AB146" s="2060"/>
      <c r="AC146" s="2060"/>
      <c r="AD146" s="2060"/>
      <c r="AE146" s="2060"/>
      <c r="AF146" s="2060"/>
      <c r="AG146" s="2060"/>
      <c r="AH146" s="2060"/>
      <c r="AI146" s="2060"/>
      <c r="AJ146" s="2060"/>
      <c r="AK146" s="2060"/>
      <c r="AL146" s="2060"/>
      <c r="AM146" s="2060"/>
      <c r="AN146" s="2060"/>
      <c r="AO146" s="2060"/>
      <c r="AP146" s="2060"/>
    </row>
    <row r="147" spans="6:42" customFormat="1" ht="12" customHeight="1">
      <c r="F147" s="2060"/>
      <c r="G147" s="2060"/>
      <c r="H147" s="2060"/>
      <c r="I147" s="2060"/>
      <c r="J147" s="2060"/>
      <c r="K147" s="2060"/>
      <c r="L147" s="2060"/>
      <c r="M147" s="2060"/>
      <c r="N147" s="2060"/>
      <c r="O147" s="2060"/>
      <c r="P147" s="2060"/>
      <c r="Q147" s="2060"/>
      <c r="R147" s="2060"/>
      <c r="S147" s="2060"/>
      <c r="T147" s="2060"/>
      <c r="U147" s="2060"/>
      <c r="V147" s="2060"/>
      <c r="W147" s="2060"/>
      <c r="X147" s="2060"/>
      <c r="Y147" s="2060"/>
      <c r="Z147" s="2060"/>
      <c r="AA147" s="2060"/>
      <c r="AB147" s="2060"/>
      <c r="AC147" s="2060"/>
      <c r="AD147" s="2060"/>
      <c r="AE147" s="2060"/>
      <c r="AF147" s="2060"/>
      <c r="AG147" s="2060"/>
      <c r="AH147" s="2060"/>
      <c r="AI147" s="2060"/>
      <c r="AJ147" s="2060"/>
      <c r="AK147" s="2060"/>
      <c r="AL147" s="2060"/>
      <c r="AM147" s="2060"/>
      <c r="AN147" s="2060"/>
      <c r="AO147" s="2060"/>
      <c r="AP147" s="2060"/>
    </row>
    <row r="148" spans="6:42" customFormat="1" ht="12" customHeight="1">
      <c r="F148" s="2060"/>
      <c r="G148" s="2060"/>
      <c r="H148" s="2060"/>
      <c r="I148" s="2060"/>
      <c r="J148" s="2060"/>
      <c r="K148" s="2060"/>
      <c r="L148" s="2060"/>
      <c r="M148" s="2060"/>
      <c r="N148" s="2060"/>
      <c r="O148" s="2060"/>
      <c r="P148" s="2060"/>
      <c r="Q148" s="2060"/>
      <c r="R148" s="2060"/>
      <c r="S148" s="2060"/>
      <c r="T148" s="2060"/>
      <c r="U148" s="2060"/>
      <c r="V148" s="2060"/>
      <c r="W148" s="2060"/>
      <c r="X148" s="2060"/>
      <c r="Y148" s="2060"/>
      <c r="Z148" s="2060"/>
      <c r="AA148" s="2060"/>
      <c r="AB148" s="2060"/>
      <c r="AC148" s="2060"/>
      <c r="AD148" s="2060"/>
      <c r="AE148" s="2060"/>
      <c r="AF148" s="2060"/>
      <c r="AG148" s="2060"/>
      <c r="AH148" s="2060"/>
      <c r="AI148" s="2060"/>
      <c r="AJ148" s="2060"/>
      <c r="AK148" s="2060"/>
      <c r="AL148" s="2060"/>
      <c r="AM148" s="2060"/>
      <c r="AN148" s="2060"/>
      <c r="AO148" s="2060"/>
      <c r="AP148" s="2060"/>
    </row>
    <row r="149" spans="6:42" customFormat="1" ht="12" customHeight="1">
      <c r="F149" s="2060"/>
      <c r="G149" s="2060"/>
      <c r="H149" s="2060"/>
      <c r="I149" s="2060"/>
      <c r="J149" s="2060"/>
      <c r="K149" s="2060"/>
      <c r="L149" s="2060"/>
      <c r="M149" s="2060"/>
      <c r="N149" s="2060"/>
      <c r="O149" s="2060"/>
      <c r="P149" s="2060"/>
      <c r="Q149" s="2060"/>
      <c r="R149" s="2060"/>
      <c r="S149" s="2060"/>
      <c r="T149" s="2060"/>
      <c r="U149" s="2060"/>
      <c r="V149" s="2060"/>
      <c r="W149" s="2060"/>
      <c r="X149" s="2060"/>
      <c r="Y149" s="2060"/>
      <c r="Z149" s="2060"/>
      <c r="AA149" s="2060"/>
      <c r="AB149" s="2060"/>
      <c r="AC149" s="2060"/>
      <c r="AD149" s="2060"/>
      <c r="AE149" s="2060"/>
      <c r="AF149" s="2060"/>
      <c r="AG149" s="2060"/>
      <c r="AH149" s="2060"/>
      <c r="AI149" s="2060"/>
      <c r="AJ149" s="2060"/>
      <c r="AK149" s="2060"/>
      <c r="AL149" s="2060"/>
      <c r="AM149" s="2060"/>
      <c r="AN149" s="2060"/>
      <c r="AO149" s="2060"/>
      <c r="AP149" s="2060"/>
    </row>
    <row r="150" spans="6:42" customFormat="1" ht="12" customHeight="1">
      <c r="F150" s="2060"/>
      <c r="G150" s="2060"/>
      <c r="H150" s="2060"/>
      <c r="I150" s="2060"/>
      <c r="J150" s="2060"/>
      <c r="K150" s="2060"/>
      <c r="L150" s="2060"/>
      <c r="M150" s="2060"/>
      <c r="N150" s="2060"/>
      <c r="O150" s="2060"/>
      <c r="P150" s="2060"/>
      <c r="Q150" s="2060"/>
      <c r="R150" s="2060"/>
      <c r="S150" s="2060"/>
      <c r="T150" s="2060"/>
      <c r="U150" s="2060"/>
      <c r="V150" s="2060"/>
      <c r="W150" s="2060"/>
      <c r="X150" s="2060"/>
      <c r="Y150" s="2060"/>
      <c r="Z150" s="2060"/>
      <c r="AA150" s="2060"/>
      <c r="AB150" s="2060"/>
      <c r="AC150" s="2060"/>
      <c r="AD150" s="2060"/>
      <c r="AE150" s="2060"/>
      <c r="AF150" s="2060"/>
      <c r="AG150" s="2060"/>
      <c r="AH150" s="2060"/>
      <c r="AI150" s="2060"/>
      <c r="AJ150" s="2060"/>
      <c r="AK150" s="2060"/>
      <c r="AL150" s="2060"/>
      <c r="AM150" s="2060"/>
      <c r="AN150" s="2060"/>
      <c r="AO150" s="2060"/>
      <c r="AP150" s="2060"/>
    </row>
    <row r="151" spans="6:42" customFormat="1" ht="12" customHeight="1">
      <c r="F151" s="2060"/>
      <c r="G151" s="2060"/>
      <c r="H151" s="2060"/>
      <c r="I151" s="2060"/>
      <c r="J151" s="2060"/>
      <c r="K151" s="2060"/>
      <c r="L151" s="2060"/>
      <c r="M151" s="2060"/>
      <c r="N151" s="2060"/>
      <c r="O151" s="2060"/>
      <c r="P151" s="2060"/>
      <c r="Q151" s="2060"/>
      <c r="R151" s="2060"/>
      <c r="S151" s="2060"/>
      <c r="T151" s="2060"/>
      <c r="U151" s="2060"/>
      <c r="V151" s="2060"/>
      <c r="W151" s="2060"/>
      <c r="X151" s="2060"/>
      <c r="Y151" s="2060"/>
      <c r="Z151" s="2060"/>
      <c r="AA151" s="2060"/>
      <c r="AB151" s="2060"/>
      <c r="AC151" s="2060"/>
      <c r="AD151" s="2060"/>
      <c r="AE151" s="2060"/>
      <c r="AF151" s="2060"/>
      <c r="AG151" s="2060"/>
      <c r="AH151" s="2060"/>
      <c r="AI151" s="2060"/>
      <c r="AJ151" s="2060"/>
      <c r="AK151" s="2060"/>
      <c r="AL151" s="2060"/>
      <c r="AM151" s="2060"/>
      <c r="AN151" s="2060"/>
      <c r="AO151" s="2060"/>
      <c r="AP151" s="2060"/>
    </row>
    <row r="152" spans="6:42" customFormat="1" ht="12" customHeight="1">
      <c r="F152" s="2060"/>
      <c r="G152" s="2060"/>
      <c r="H152" s="2060"/>
      <c r="I152" s="2060"/>
      <c r="J152" s="2060"/>
      <c r="K152" s="2060"/>
      <c r="L152" s="2060"/>
      <c r="M152" s="2060"/>
      <c r="N152" s="2060"/>
      <c r="O152" s="2060"/>
      <c r="P152" s="2060"/>
      <c r="Q152" s="2060"/>
      <c r="R152" s="2060"/>
      <c r="S152" s="2060"/>
      <c r="T152" s="2060"/>
      <c r="U152" s="2060"/>
      <c r="V152" s="2060"/>
      <c r="W152" s="2060"/>
      <c r="X152" s="2060"/>
      <c r="Y152" s="2060"/>
      <c r="Z152" s="2060"/>
      <c r="AA152" s="2060"/>
      <c r="AB152" s="2060"/>
      <c r="AC152" s="2060"/>
      <c r="AD152" s="2060"/>
      <c r="AE152" s="2060"/>
      <c r="AF152" s="2060"/>
      <c r="AG152" s="2060"/>
      <c r="AH152" s="2060"/>
      <c r="AI152" s="2060"/>
      <c r="AJ152" s="2060"/>
      <c r="AK152" s="2060"/>
      <c r="AL152" s="2060"/>
      <c r="AM152" s="2060"/>
      <c r="AN152" s="2060"/>
      <c r="AO152" s="2060"/>
      <c r="AP152" s="2060"/>
    </row>
    <row r="153" spans="6:42" customFormat="1" ht="12" customHeight="1">
      <c r="F153" s="2060"/>
      <c r="G153" s="2060"/>
      <c r="H153" s="2060"/>
      <c r="I153" s="2060"/>
      <c r="J153" s="2060"/>
      <c r="K153" s="2060"/>
      <c r="L153" s="2060"/>
      <c r="M153" s="2060"/>
      <c r="N153" s="2060"/>
      <c r="O153" s="2060"/>
      <c r="P153" s="2060"/>
      <c r="Q153" s="2060"/>
      <c r="R153" s="2060"/>
      <c r="S153" s="2060"/>
      <c r="T153" s="2060"/>
      <c r="U153" s="2060"/>
      <c r="V153" s="2060"/>
      <c r="W153" s="2060"/>
      <c r="X153" s="2060"/>
      <c r="Y153" s="2060"/>
      <c r="Z153" s="2060"/>
      <c r="AA153" s="2060"/>
      <c r="AB153" s="2060"/>
      <c r="AC153" s="2060"/>
      <c r="AD153" s="2060"/>
      <c r="AE153" s="2060"/>
      <c r="AF153" s="2060"/>
      <c r="AG153" s="2060"/>
      <c r="AH153" s="2060"/>
      <c r="AI153" s="2060"/>
      <c r="AJ153" s="2060"/>
      <c r="AK153" s="2060"/>
      <c r="AL153" s="2060"/>
      <c r="AM153" s="2060"/>
      <c r="AN153" s="2060"/>
      <c r="AO153" s="2060"/>
      <c r="AP153" s="2060"/>
    </row>
    <row r="154" spans="6:42" customFormat="1" ht="12" customHeight="1">
      <c r="F154" s="2060"/>
      <c r="G154" s="2060"/>
      <c r="H154" s="2060"/>
      <c r="I154" s="2060"/>
      <c r="J154" s="2060"/>
      <c r="K154" s="2060"/>
      <c r="L154" s="2060"/>
      <c r="M154" s="2060"/>
      <c r="N154" s="2060"/>
      <c r="O154" s="2060"/>
      <c r="P154" s="2060"/>
      <c r="Q154" s="2060"/>
      <c r="R154" s="2060"/>
      <c r="S154" s="2060"/>
      <c r="T154" s="2060"/>
      <c r="U154" s="2060"/>
      <c r="V154" s="2060"/>
      <c r="W154" s="2060"/>
      <c r="X154" s="2060"/>
      <c r="Y154" s="2060"/>
      <c r="Z154" s="2060"/>
      <c r="AA154" s="2060"/>
      <c r="AB154" s="2060"/>
      <c r="AC154" s="2060"/>
      <c r="AD154" s="2060"/>
      <c r="AE154" s="2060"/>
      <c r="AF154" s="2060"/>
      <c r="AG154" s="2060"/>
      <c r="AH154" s="2060"/>
      <c r="AI154" s="2060"/>
      <c r="AJ154" s="2060"/>
      <c r="AK154" s="2060"/>
      <c r="AL154" s="2060"/>
      <c r="AM154" s="2060"/>
      <c r="AN154" s="2060"/>
      <c r="AO154" s="2060"/>
      <c r="AP154" s="2060"/>
    </row>
    <row r="155" spans="6:42" customFormat="1" ht="12" customHeight="1">
      <c r="F155" s="2060"/>
      <c r="G155" s="2060"/>
      <c r="H155" s="2060"/>
      <c r="I155" s="2060"/>
      <c r="J155" s="2060"/>
      <c r="K155" s="2060"/>
      <c r="L155" s="2060"/>
      <c r="M155" s="2060"/>
      <c r="N155" s="2060"/>
      <c r="O155" s="2060"/>
      <c r="P155" s="2060"/>
      <c r="Q155" s="2060"/>
      <c r="R155" s="2060"/>
      <c r="S155" s="2060"/>
      <c r="T155" s="2060"/>
      <c r="U155" s="2060"/>
      <c r="V155" s="2060"/>
      <c r="W155" s="2060"/>
      <c r="X155" s="2060"/>
      <c r="Y155" s="2060"/>
      <c r="Z155" s="2060"/>
      <c r="AA155" s="2060"/>
      <c r="AB155" s="2060"/>
      <c r="AC155" s="2060"/>
      <c r="AD155" s="2060"/>
      <c r="AE155" s="2060"/>
      <c r="AF155" s="2060"/>
      <c r="AG155" s="2060"/>
      <c r="AH155" s="2060"/>
      <c r="AI155" s="2060"/>
      <c r="AJ155" s="2060"/>
      <c r="AK155" s="2060"/>
      <c r="AL155" s="2060"/>
      <c r="AM155" s="2060"/>
      <c r="AN155" s="2060"/>
      <c r="AO155" s="2060"/>
      <c r="AP155" s="2060"/>
    </row>
    <row r="156" spans="6:42" customFormat="1" ht="12" customHeight="1">
      <c r="F156" s="2060"/>
      <c r="G156" s="2060"/>
      <c r="H156" s="2060"/>
      <c r="I156" s="2060"/>
      <c r="J156" s="2060"/>
      <c r="K156" s="2060"/>
      <c r="L156" s="2060"/>
      <c r="M156" s="2060"/>
      <c r="N156" s="2060"/>
      <c r="O156" s="2060"/>
      <c r="P156" s="2060"/>
      <c r="Q156" s="2060"/>
      <c r="R156" s="2060"/>
      <c r="S156" s="2060"/>
      <c r="T156" s="2060"/>
      <c r="U156" s="2060"/>
      <c r="V156" s="2060"/>
      <c r="W156" s="2060"/>
      <c r="X156" s="2060"/>
      <c r="Y156" s="2060"/>
      <c r="Z156" s="2060"/>
      <c r="AA156" s="2060"/>
      <c r="AB156" s="2060"/>
      <c r="AC156" s="2060"/>
      <c r="AD156" s="2060"/>
      <c r="AE156" s="2060"/>
      <c r="AF156" s="2060"/>
      <c r="AG156" s="2060"/>
      <c r="AH156" s="2060"/>
      <c r="AI156" s="2060"/>
      <c r="AJ156" s="2060"/>
      <c r="AK156" s="2060"/>
      <c r="AL156" s="2060"/>
      <c r="AM156" s="2060"/>
      <c r="AN156" s="2060"/>
      <c r="AO156" s="2060"/>
      <c r="AP156" s="2060"/>
    </row>
    <row r="157" spans="6:42" customFormat="1" ht="12" customHeight="1">
      <c r="F157" s="2060"/>
      <c r="G157" s="2060"/>
      <c r="H157" s="2060"/>
      <c r="I157" s="2060"/>
      <c r="J157" s="2060"/>
      <c r="K157" s="2060"/>
      <c r="L157" s="2060"/>
      <c r="M157" s="2060"/>
      <c r="N157" s="2060"/>
      <c r="O157" s="2060"/>
      <c r="P157" s="2060"/>
      <c r="Q157" s="2060"/>
      <c r="R157" s="2060"/>
      <c r="S157" s="2060"/>
      <c r="T157" s="2060"/>
      <c r="U157" s="2060"/>
      <c r="V157" s="2060"/>
      <c r="W157" s="2060"/>
      <c r="X157" s="2060"/>
      <c r="Y157" s="2060"/>
      <c r="Z157" s="2060"/>
      <c r="AA157" s="2060"/>
      <c r="AB157" s="2060"/>
      <c r="AC157" s="2060"/>
      <c r="AD157" s="2060"/>
      <c r="AE157" s="2060"/>
      <c r="AF157" s="2060"/>
      <c r="AG157" s="2060"/>
      <c r="AH157" s="2060"/>
      <c r="AI157" s="2060"/>
      <c r="AJ157" s="2060"/>
      <c r="AK157" s="2060"/>
      <c r="AL157" s="2060"/>
      <c r="AM157" s="2060"/>
      <c r="AN157" s="2060"/>
      <c r="AO157" s="2060"/>
      <c r="AP157" s="2060"/>
    </row>
    <row r="158" spans="6:42" customFormat="1" ht="12" customHeight="1">
      <c r="F158" s="2060"/>
      <c r="G158" s="2060"/>
      <c r="H158" s="2060"/>
      <c r="I158" s="2060"/>
      <c r="J158" s="2060"/>
      <c r="K158" s="2060"/>
      <c r="L158" s="2060"/>
      <c r="M158" s="2060"/>
      <c r="N158" s="2060"/>
      <c r="O158" s="2060"/>
      <c r="P158" s="2060"/>
      <c r="Q158" s="2060"/>
      <c r="R158" s="2060"/>
      <c r="S158" s="2060"/>
      <c r="T158" s="2060"/>
      <c r="U158" s="2060"/>
      <c r="V158" s="2060"/>
      <c r="W158" s="2060"/>
      <c r="X158" s="2060"/>
      <c r="Y158" s="2060"/>
      <c r="Z158" s="2060"/>
      <c r="AA158" s="2060"/>
      <c r="AB158" s="2060"/>
      <c r="AC158" s="2060"/>
      <c r="AD158" s="2060"/>
      <c r="AE158" s="2060"/>
      <c r="AF158" s="2060"/>
      <c r="AG158" s="2060"/>
      <c r="AH158" s="2060"/>
      <c r="AI158" s="2060"/>
      <c r="AJ158" s="2060"/>
      <c r="AK158" s="2060"/>
      <c r="AL158" s="2060"/>
      <c r="AM158" s="2060"/>
      <c r="AN158" s="2060"/>
      <c r="AO158" s="2060"/>
      <c r="AP158" s="2060"/>
    </row>
    <row r="159" spans="6:42" customFormat="1" ht="20.100000000000001" customHeight="1">
      <c r="F159" s="2060"/>
      <c r="G159" s="2060"/>
      <c r="H159" s="2060"/>
      <c r="I159" s="2060"/>
      <c r="J159" s="2060"/>
      <c r="K159" s="2060"/>
      <c r="L159" s="2060"/>
      <c r="M159" s="2060"/>
      <c r="N159" s="2060"/>
      <c r="O159" s="2060"/>
      <c r="P159" s="2060"/>
      <c r="Q159" s="2060"/>
      <c r="R159" s="2060"/>
      <c r="S159" s="2060"/>
      <c r="T159" s="2060"/>
      <c r="U159" s="2060"/>
      <c r="V159" s="2060"/>
      <c r="W159" s="2060"/>
      <c r="X159" s="2060"/>
      <c r="Y159" s="2060"/>
      <c r="Z159" s="2060"/>
      <c r="AA159" s="2060"/>
      <c r="AB159" s="2060"/>
      <c r="AC159" s="2060"/>
      <c r="AD159" s="2060"/>
      <c r="AE159" s="2060"/>
      <c r="AF159" s="2060"/>
      <c r="AG159" s="2060"/>
      <c r="AH159" s="2060"/>
      <c r="AI159" s="2060"/>
      <c r="AJ159" s="2060"/>
      <c r="AK159" s="2060"/>
      <c r="AL159" s="2060"/>
      <c r="AM159" s="2060"/>
      <c r="AN159" s="2060"/>
      <c r="AO159" s="2060"/>
      <c r="AP159" s="2060"/>
    </row>
    <row r="160" spans="6:42" customFormat="1" ht="13.9">
      <c r="F160" s="2060"/>
      <c r="G160" s="2060"/>
      <c r="H160" s="2060"/>
      <c r="I160" s="2060"/>
      <c r="J160" s="2060"/>
      <c r="K160" s="2060"/>
      <c r="L160" s="2060"/>
      <c r="M160" s="2060"/>
      <c r="N160" s="2060"/>
      <c r="O160" s="2060"/>
      <c r="P160" s="2060"/>
      <c r="Q160" s="2060"/>
      <c r="R160" s="2060"/>
      <c r="S160" s="2060"/>
      <c r="T160" s="2060"/>
      <c r="U160" s="2060"/>
      <c r="V160" s="2060"/>
      <c r="W160" s="2060"/>
      <c r="X160" s="2060"/>
      <c r="Y160" s="2060"/>
      <c r="Z160" s="2060"/>
      <c r="AA160" s="2060"/>
      <c r="AB160" s="2060"/>
      <c r="AC160" s="2060"/>
      <c r="AD160" s="2060"/>
      <c r="AE160" s="2060"/>
      <c r="AF160" s="2060"/>
      <c r="AG160" s="2060"/>
      <c r="AH160" s="2060"/>
      <c r="AI160" s="2060"/>
      <c r="AJ160" s="2060"/>
      <c r="AK160" s="2060"/>
      <c r="AL160" s="2060"/>
      <c r="AM160" s="2060"/>
      <c r="AN160" s="2060"/>
      <c r="AO160" s="2060"/>
      <c r="AP160" s="2060"/>
    </row>
    <row r="161" spans="6:42" customFormat="1" ht="13.9">
      <c r="F161" s="2060"/>
      <c r="G161" s="2060"/>
      <c r="H161" s="2060"/>
      <c r="I161" s="2060"/>
      <c r="J161" s="2060"/>
      <c r="K161" s="2060"/>
      <c r="L161" s="2060"/>
      <c r="M161" s="2060"/>
      <c r="N161" s="2060"/>
      <c r="O161" s="2060"/>
      <c r="P161" s="2060"/>
      <c r="Q161" s="2060"/>
      <c r="R161" s="2060"/>
      <c r="S161" s="2060"/>
      <c r="T161" s="2060"/>
      <c r="U161" s="2060"/>
      <c r="V161" s="2060"/>
      <c r="W161" s="2060"/>
      <c r="X161" s="2060"/>
      <c r="Y161" s="2060"/>
      <c r="Z161" s="2060"/>
      <c r="AA161" s="2060"/>
      <c r="AB161" s="2060"/>
      <c r="AC161" s="2060"/>
      <c r="AD161" s="2060"/>
      <c r="AE161" s="2060"/>
      <c r="AF161" s="2060"/>
      <c r="AG161" s="2060"/>
      <c r="AH161" s="2060"/>
      <c r="AI161" s="2060"/>
      <c r="AJ161" s="2060"/>
      <c r="AK161" s="2060"/>
      <c r="AL161" s="2060"/>
      <c r="AM161" s="2060"/>
      <c r="AN161" s="2060"/>
      <c r="AO161" s="2060"/>
      <c r="AP161" s="2060"/>
    </row>
    <row r="162" spans="6:42" customFormat="1" ht="13.9">
      <c r="F162" s="2060"/>
      <c r="G162" s="2060"/>
      <c r="H162" s="2060"/>
      <c r="I162" s="2060"/>
      <c r="J162" s="2060"/>
      <c r="K162" s="2060"/>
      <c r="L162" s="2060"/>
      <c r="M162" s="2060"/>
      <c r="N162" s="2060"/>
      <c r="O162" s="2060"/>
      <c r="P162" s="2060"/>
      <c r="Q162" s="2060"/>
      <c r="R162" s="2060"/>
      <c r="S162" s="2060"/>
      <c r="T162" s="2060"/>
      <c r="U162" s="2060"/>
      <c r="V162" s="2060"/>
      <c r="W162" s="2060"/>
      <c r="X162" s="2060"/>
      <c r="Y162" s="2060"/>
      <c r="Z162" s="2060"/>
      <c r="AA162" s="2060"/>
      <c r="AB162" s="2060"/>
      <c r="AC162" s="2060"/>
      <c r="AD162" s="2060"/>
      <c r="AE162" s="2060"/>
      <c r="AF162" s="2060"/>
      <c r="AG162" s="2060"/>
      <c r="AH162" s="2060"/>
      <c r="AI162" s="2060"/>
      <c r="AJ162" s="2060"/>
      <c r="AK162" s="2060"/>
      <c r="AL162" s="2060"/>
      <c r="AM162" s="2060"/>
      <c r="AN162" s="2060"/>
      <c r="AO162" s="2060"/>
      <c r="AP162" s="2060"/>
    </row>
    <row r="163" spans="6:42" customFormat="1" ht="13.9">
      <c r="F163" s="2060"/>
      <c r="G163" s="2060"/>
      <c r="H163" s="2060"/>
      <c r="I163" s="2060"/>
      <c r="J163" s="2060"/>
      <c r="K163" s="2060"/>
      <c r="L163" s="2060"/>
      <c r="M163" s="2060"/>
      <c r="N163" s="2060"/>
      <c r="O163" s="2060"/>
      <c r="P163" s="2060"/>
      <c r="Q163" s="2060"/>
      <c r="R163" s="2060"/>
      <c r="S163" s="2060"/>
      <c r="T163" s="2060"/>
      <c r="U163" s="2060"/>
      <c r="V163" s="2060"/>
      <c r="W163" s="2060"/>
      <c r="X163" s="2060"/>
      <c r="Y163" s="2060"/>
      <c r="Z163" s="2060"/>
      <c r="AA163" s="2060"/>
      <c r="AB163" s="2060"/>
      <c r="AC163" s="2060"/>
      <c r="AD163" s="2060"/>
      <c r="AE163" s="2060"/>
      <c r="AF163" s="2060"/>
      <c r="AG163" s="2060"/>
      <c r="AH163" s="2060"/>
      <c r="AI163" s="2060"/>
      <c r="AJ163" s="2060"/>
      <c r="AK163" s="2060"/>
      <c r="AL163" s="2060"/>
      <c r="AM163" s="2060"/>
      <c r="AN163" s="2060"/>
      <c r="AO163" s="2060"/>
      <c r="AP163" s="2060"/>
    </row>
    <row r="164" spans="6:42" customFormat="1" ht="12" customHeight="1">
      <c r="F164" s="2060"/>
      <c r="G164" s="2060"/>
      <c r="H164" s="2060"/>
      <c r="I164" s="2060"/>
      <c r="J164" s="2060"/>
      <c r="K164" s="2060"/>
      <c r="L164" s="2060"/>
      <c r="M164" s="2060"/>
      <c r="N164" s="2060"/>
      <c r="O164" s="2060"/>
      <c r="P164" s="2060"/>
      <c r="Q164" s="2060"/>
      <c r="R164" s="2060"/>
      <c r="S164" s="2060"/>
      <c r="T164" s="2060"/>
      <c r="U164" s="2060"/>
      <c r="V164" s="2060"/>
      <c r="W164" s="2060"/>
      <c r="X164" s="2060"/>
      <c r="Y164" s="2060"/>
      <c r="Z164" s="2060"/>
      <c r="AA164" s="2060"/>
      <c r="AB164" s="2060"/>
      <c r="AC164" s="2060"/>
      <c r="AD164" s="2060"/>
      <c r="AE164" s="2060"/>
      <c r="AF164" s="2060"/>
      <c r="AG164" s="2060"/>
      <c r="AH164" s="2060"/>
      <c r="AI164" s="2060"/>
      <c r="AJ164" s="2060"/>
      <c r="AK164" s="2060"/>
      <c r="AL164" s="2060"/>
      <c r="AM164" s="2060"/>
      <c r="AN164" s="2060"/>
      <c r="AO164" s="2060"/>
      <c r="AP164" s="2060"/>
    </row>
    <row r="165" spans="6:42" customFormat="1" ht="12" customHeight="1">
      <c r="F165" s="2060"/>
      <c r="G165" s="2060"/>
      <c r="H165" s="2060"/>
      <c r="I165" s="2060"/>
      <c r="J165" s="2060"/>
      <c r="K165" s="2060"/>
      <c r="L165" s="2060"/>
      <c r="M165" s="2060"/>
      <c r="N165" s="2060"/>
      <c r="O165" s="2060"/>
      <c r="P165" s="2060"/>
      <c r="Q165" s="2060"/>
      <c r="R165" s="2060"/>
      <c r="S165" s="2060"/>
      <c r="T165" s="2060"/>
      <c r="U165" s="2060"/>
      <c r="V165" s="2060"/>
      <c r="W165" s="2060"/>
      <c r="X165" s="2060"/>
      <c r="Y165" s="2060"/>
      <c r="Z165" s="2060"/>
      <c r="AA165" s="2060"/>
      <c r="AB165" s="2060"/>
      <c r="AC165" s="2060"/>
      <c r="AD165" s="2060"/>
      <c r="AE165" s="2060"/>
      <c r="AF165" s="2060"/>
      <c r="AG165" s="2060"/>
      <c r="AH165" s="2060"/>
      <c r="AI165" s="2060"/>
      <c r="AJ165" s="2060"/>
      <c r="AK165" s="2060"/>
      <c r="AL165" s="2060"/>
      <c r="AM165" s="2060"/>
      <c r="AN165" s="2060"/>
      <c r="AO165" s="2060"/>
      <c r="AP165" s="2060"/>
    </row>
    <row r="166" spans="6:42" customFormat="1" ht="12" customHeight="1">
      <c r="F166" s="2060"/>
      <c r="G166" s="2060"/>
      <c r="H166" s="2060"/>
      <c r="I166" s="2060"/>
      <c r="J166" s="2060"/>
      <c r="K166" s="2060"/>
      <c r="L166" s="2060"/>
      <c r="M166" s="2060"/>
      <c r="N166" s="2060"/>
      <c r="O166" s="2060"/>
      <c r="P166" s="2060"/>
      <c r="Q166" s="2060"/>
      <c r="R166" s="2060"/>
      <c r="S166" s="2060"/>
      <c r="T166" s="2060"/>
      <c r="U166" s="2060"/>
      <c r="V166" s="2060"/>
      <c r="W166" s="2060"/>
      <c r="X166" s="2060"/>
      <c r="Y166" s="2060"/>
      <c r="Z166" s="2060"/>
      <c r="AA166" s="2060"/>
      <c r="AB166" s="2060"/>
      <c r="AC166" s="2060"/>
      <c r="AD166" s="2060"/>
      <c r="AE166" s="2060"/>
      <c r="AF166" s="2060"/>
      <c r="AG166" s="2060"/>
      <c r="AH166" s="2060"/>
      <c r="AI166" s="2060"/>
      <c r="AJ166" s="2060"/>
      <c r="AK166" s="2060"/>
      <c r="AL166" s="2060"/>
      <c r="AM166" s="2060"/>
      <c r="AN166" s="2060"/>
      <c r="AO166" s="2060"/>
      <c r="AP166" s="2060"/>
    </row>
    <row r="167" spans="6:42" customFormat="1" ht="12" customHeight="1">
      <c r="F167" s="2060"/>
      <c r="G167" s="2060"/>
      <c r="H167" s="2060"/>
      <c r="I167" s="2060"/>
      <c r="J167" s="2060"/>
      <c r="K167" s="2060"/>
      <c r="L167" s="2060"/>
      <c r="M167" s="2060"/>
      <c r="N167" s="2060"/>
      <c r="O167" s="2060"/>
      <c r="P167" s="2060"/>
      <c r="Q167" s="2060"/>
      <c r="R167" s="2060"/>
      <c r="S167" s="2060"/>
      <c r="T167" s="2060"/>
      <c r="U167" s="2060"/>
      <c r="V167" s="2060"/>
      <c r="W167" s="2060"/>
      <c r="X167" s="2060"/>
      <c r="Y167" s="2060"/>
      <c r="Z167" s="2060"/>
      <c r="AA167" s="2060"/>
      <c r="AB167" s="2060"/>
      <c r="AC167" s="2060"/>
      <c r="AD167" s="2060"/>
      <c r="AE167" s="2060"/>
      <c r="AF167" s="2060"/>
      <c r="AG167" s="2060"/>
      <c r="AH167" s="2060"/>
      <c r="AI167" s="2060"/>
      <c r="AJ167" s="2060"/>
      <c r="AK167" s="2060"/>
      <c r="AL167" s="2060"/>
      <c r="AM167" s="2060"/>
      <c r="AN167" s="2060"/>
      <c r="AO167" s="2060"/>
      <c r="AP167" s="2060"/>
    </row>
    <row r="168" spans="6:42" customFormat="1" ht="12" customHeight="1">
      <c r="F168" s="2060"/>
      <c r="G168" s="2060"/>
      <c r="H168" s="2060"/>
      <c r="I168" s="2060"/>
      <c r="J168" s="2060"/>
      <c r="K168" s="2060"/>
      <c r="L168" s="2060"/>
      <c r="M168" s="2060"/>
      <c r="N168" s="2060"/>
      <c r="O168" s="2060"/>
      <c r="P168" s="2060"/>
      <c r="Q168" s="2060"/>
      <c r="R168" s="2060"/>
      <c r="S168" s="2060"/>
      <c r="T168" s="2060"/>
      <c r="U168" s="2060"/>
      <c r="V168" s="2060"/>
      <c r="W168" s="2060"/>
      <c r="X168" s="2060"/>
      <c r="Y168" s="2060"/>
      <c r="Z168" s="2060"/>
      <c r="AA168" s="2060"/>
      <c r="AB168" s="2060"/>
      <c r="AC168" s="2060"/>
      <c r="AD168" s="2060"/>
      <c r="AE168" s="2060"/>
      <c r="AF168" s="2060"/>
      <c r="AG168" s="2060"/>
      <c r="AH168" s="2060"/>
      <c r="AI168" s="2060"/>
      <c r="AJ168" s="2060"/>
      <c r="AK168" s="2060"/>
      <c r="AL168" s="2060"/>
      <c r="AM168" s="2060"/>
      <c r="AN168" s="2060"/>
      <c r="AO168" s="2060"/>
      <c r="AP168" s="2060"/>
    </row>
    <row r="169" spans="6:42" customFormat="1" ht="12" customHeight="1">
      <c r="F169" s="2060"/>
      <c r="G169" s="2060"/>
      <c r="H169" s="2060"/>
      <c r="I169" s="2060"/>
      <c r="J169" s="2060"/>
      <c r="K169" s="2060"/>
      <c r="L169" s="2060"/>
      <c r="M169" s="2060"/>
      <c r="N169" s="2060"/>
      <c r="O169" s="2060"/>
      <c r="P169" s="2060"/>
      <c r="Q169" s="2060"/>
      <c r="R169" s="2060"/>
      <c r="S169" s="2060"/>
      <c r="T169" s="2060"/>
      <c r="U169" s="2060"/>
      <c r="V169" s="2060"/>
      <c r="W169" s="2060"/>
      <c r="X169" s="2060"/>
      <c r="Y169" s="2060"/>
      <c r="Z169" s="2060"/>
      <c r="AA169" s="2060"/>
      <c r="AB169" s="2060"/>
      <c r="AC169" s="2060"/>
      <c r="AD169" s="2060"/>
      <c r="AE169" s="2060"/>
      <c r="AF169" s="2060"/>
      <c r="AG169" s="2060"/>
      <c r="AH169" s="2060"/>
      <c r="AI169" s="2060"/>
      <c r="AJ169" s="2060"/>
      <c r="AK169" s="2060"/>
      <c r="AL169" s="2060"/>
      <c r="AM169" s="2060"/>
      <c r="AN169" s="2060"/>
      <c r="AO169" s="2060"/>
      <c r="AP169" s="2060"/>
    </row>
    <row r="170" spans="6:42" customFormat="1" ht="12" customHeight="1">
      <c r="F170" s="2060"/>
      <c r="G170" s="2060"/>
      <c r="H170" s="2060"/>
      <c r="I170" s="2060"/>
      <c r="J170" s="2060"/>
      <c r="K170" s="2060"/>
      <c r="L170" s="2060"/>
      <c r="M170" s="2060"/>
      <c r="N170" s="2060"/>
      <c r="O170" s="2060"/>
      <c r="P170" s="2060"/>
      <c r="Q170" s="2060"/>
      <c r="R170" s="2060"/>
      <c r="S170" s="2060"/>
      <c r="T170" s="2060"/>
      <c r="U170" s="2060"/>
      <c r="V170" s="2060"/>
      <c r="W170" s="2060"/>
      <c r="X170" s="2060"/>
      <c r="Y170" s="2060"/>
      <c r="Z170" s="2060"/>
      <c r="AA170" s="2060"/>
      <c r="AB170" s="2060"/>
      <c r="AC170" s="2060"/>
      <c r="AD170" s="2060"/>
      <c r="AE170" s="2060"/>
      <c r="AF170" s="2060"/>
      <c r="AG170" s="2060"/>
      <c r="AH170" s="2060"/>
      <c r="AI170" s="2060"/>
      <c r="AJ170" s="2060"/>
      <c r="AK170" s="2060"/>
      <c r="AL170" s="2060"/>
      <c r="AM170" s="2060"/>
      <c r="AN170" s="2060"/>
      <c r="AO170" s="2060"/>
      <c r="AP170" s="2060"/>
    </row>
    <row r="171" spans="6:42" customFormat="1" ht="12" customHeight="1">
      <c r="F171" s="2060"/>
      <c r="G171" s="2060"/>
      <c r="H171" s="2060"/>
      <c r="I171" s="2060"/>
      <c r="J171" s="2060"/>
      <c r="K171" s="2060"/>
      <c r="L171" s="2060"/>
      <c r="M171" s="2060"/>
      <c r="N171" s="2060"/>
      <c r="O171" s="2060"/>
      <c r="P171" s="2060"/>
      <c r="Q171" s="2060"/>
      <c r="R171" s="2060"/>
      <c r="S171" s="2060"/>
      <c r="T171" s="2060"/>
      <c r="U171" s="2060"/>
      <c r="V171" s="2060"/>
      <c r="W171" s="2060"/>
      <c r="X171" s="2060"/>
      <c r="Y171" s="2060"/>
      <c r="Z171" s="2060"/>
      <c r="AA171" s="2060"/>
      <c r="AB171" s="2060"/>
      <c r="AC171" s="2060"/>
      <c r="AD171" s="2060"/>
      <c r="AE171" s="2060"/>
      <c r="AF171" s="2060"/>
      <c r="AG171" s="2060"/>
      <c r="AH171" s="2060"/>
      <c r="AI171" s="2060"/>
      <c r="AJ171" s="2060"/>
      <c r="AK171" s="2060"/>
      <c r="AL171" s="2060"/>
      <c r="AM171" s="2060"/>
      <c r="AN171" s="2060"/>
      <c r="AO171" s="2060"/>
      <c r="AP171" s="2060"/>
    </row>
    <row r="172" spans="6:42" customFormat="1" ht="12" customHeight="1">
      <c r="F172" s="2060"/>
      <c r="G172" s="2060"/>
      <c r="H172" s="2060"/>
      <c r="I172" s="2060"/>
      <c r="J172" s="2060"/>
      <c r="K172" s="2060"/>
      <c r="L172" s="2060"/>
      <c r="M172" s="2060"/>
      <c r="N172" s="2060"/>
      <c r="O172" s="2060"/>
      <c r="P172" s="2060"/>
      <c r="Q172" s="2060"/>
      <c r="R172" s="2060"/>
      <c r="S172" s="2060"/>
      <c r="T172" s="2060"/>
      <c r="U172" s="2060"/>
      <c r="V172" s="2060"/>
      <c r="W172" s="2060"/>
      <c r="X172" s="2060"/>
      <c r="Y172" s="2060"/>
      <c r="Z172" s="2060"/>
      <c r="AA172" s="2060"/>
      <c r="AB172" s="2060"/>
      <c r="AC172" s="2060"/>
      <c r="AD172" s="2060"/>
      <c r="AE172" s="2060"/>
      <c r="AF172" s="2060"/>
      <c r="AG172" s="2060"/>
      <c r="AH172" s="2060"/>
      <c r="AI172" s="2060"/>
      <c r="AJ172" s="2060"/>
      <c r="AK172" s="2060"/>
      <c r="AL172" s="2060"/>
      <c r="AM172" s="2060"/>
      <c r="AN172" s="2060"/>
      <c r="AO172" s="2060"/>
      <c r="AP172" s="2060"/>
    </row>
    <row r="173" spans="6:42" customFormat="1" ht="12" customHeight="1">
      <c r="F173" s="2060"/>
      <c r="G173" s="2060"/>
      <c r="H173" s="2060"/>
      <c r="I173" s="2060"/>
      <c r="J173" s="2060"/>
      <c r="K173" s="2060"/>
      <c r="L173" s="2060"/>
      <c r="M173" s="2060"/>
      <c r="N173" s="2060"/>
      <c r="O173" s="2060"/>
      <c r="P173" s="2060"/>
      <c r="Q173" s="2060"/>
      <c r="R173" s="2060"/>
      <c r="S173" s="2060"/>
      <c r="T173" s="2060"/>
      <c r="U173" s="2060"/>
      <c r="V173" s="2060"/>
      <c r="W173" s="2060"/>
      <c r="X173" s="2060"/>
      <c r="Y173" s="2060"/>
      <c r="Z173" s="2060"/>
      <c r="AA173" s="2060"/>
      <c r="AB173" s="2060"/>
      <c r="AC173" s="2060"/>
      <c r="AD173" s="2060"/>
      <c r="AE173" s="2060"/>
      <c r="AF173" s="2060"/>
      <c r="AG173" s="2060"/>
      <c r="AH173" s="2060"/>
      <c r="AI173" s="2060"/>
      <c r="AJ173" s="2060"/>
      <c r="AK173" s="2060"/>
      <c r="AL173" s="2060"/>
      <c r="AM173" s="2060"/>
      <c r="AN173" s="2060"/>
      <c r="AO173" s="2060"/>
      <c r="AP173" s="2060"/>
    </row>
    <row r="174" spans="6:42" customFormat="1" ht="12" customHeight="1">
      <c r="F174" s="2060"/>
      <c r="G174" s="2060"/>
      <c r="H174" s="2060"/>
      <c r="I174" s="2060"/>
      <c r="J174" s="2060"/>
      <c r="K174" s="2060"/>
      <c r="L174" s="2060"/>
      <c r="M174" s="2060"/>
      <c r="N174" s="2060"/>
      <c r="O174" s="2060"/>
      <c r="P174" s="2060"/>
      <c r="Q174" s="2060"/>
      <c r="R174" s="2060"/>
      <c r="S174" s="2060"/>
      <c r="T174" s="2060"/>
      <c r="U174" s="2060"/>
      <c r="V174" s="2060"/>
      <c r="W174" s="2060"/>
      <c r="X174" s="2060"/>
      <c r="Y174" s="2060"/>
      <c r="Z174" s="2060"/>
      <c r="AA174" s="2060"/>
      <c r="AB174" s="2060"/>
      <c r="AC174" s="2060"/>
      <c r="AD174" s="2060"/>
      <c r="AE174" s="2060"/>
      <c r="AF174" s="2060"/>
      <c r="AG174" s="2060"/>
      <c r="AH174" s="2060"/>
      <c r="AI174" s="2060"/>
      <c r="AJ174" s="2060"/>
      <c r="AK174" s="2060"/>
      <c r="AL174" s="2060"/>
      <c r="AM174" s="2060"/>
      <c r="AN174" s="2060"/>
      <c r="AO174" s="2060"/>
      <c r="AP174" s="2060"/>
    </row>
    <row r="175" spans="6:42" customFormat="1" ht="12" customHeight="1">
      <c r="F175" s="2060"/>
      <c r="G175" s="2060"/>
      <c r="H175" s="2060"/>
      <c r="I175" s="2060"/>
      <c r="J175" s="2060"/>
      <c r="K175" s="2060"/>
      <c r="L175" s="2060"/>
      <c r="M175" s="2060"/>
      <c r="N175" s="2060"/>
      <c r="O175" s="2060"/>
      <c r="P175" s="2060"/>
      <c r="Q175" s="2060"/>
      <c r="R175" s="2060"/>
      <c r="S175" s="2060"/>
      <c r="T175" s="2060"/>
      <c r="U175" s="2060"/>
      <c r="V175" s="2060"/>
      <c r="W175" s="2060"/>
      <c r="X175" s="2060"/>
      <c r="Y175" s="2060"/>
      <c r="Z175" s="2060"/>
      <c r="AA175" s="2060"/>
      <c r="AB175" s="2060"/>
      <c r="AC175" s="2060"/>
      <c r="AD175" s="2060"/>
      <c r="AE175" s="2060"/>
      <c r="AF175" s="2060"/>
      <c r="AG175" s="2060"/>
      <c r="AH175" s="2060"/>
      <c r="AI175" s="2060"/>
      <c r="AJ175" s="2060"/>
      <c r="AK175" s="2060"/>
      <c r="AL175" s="2060"/>
      <c r="AM175" s="2060"/>
      <c r="AN175" s="2060"/>
      <c r="AO175" s="2060"/>
      <c r="AP175" s="2060"/>
    </row>
    <row r="176" spans="6:42" customFormat="1" ht="12" customHeight="1">
      <c r="F176" s="2060"/>
      <c r="G176" s="2060"/>
      <c r="H176" s="2060"/>
      <c r="I176" s="2060"/>
      <c r="J176" s="2060"/>
      <c r="K176" s="2060"/>
      <c r="L176" s="2060"/>
      <c r="M176" s="2060"/>
      <c r="N176" s="2060"/>
      <c r="O176" s="2060"/>
      <c r="P176" s="2060"/>
      <c r="Q176" s="2060"/>
      <c r="R176" s="2060"/>
      <c r="S176" s="2060"/>
      <c r="T176" s="2060"/>
      <c r="U176" s="2060"/>
      <c r="V176" s="2060"/>
      <c r="W176" s="2060"/>
      <c r="X176" s="2060"/>
      <c r="Y176" s="2060"/>
      <c r="Z176" s="2060"/>
      <c r="AA176" s="2060"/>
      <c r="AB176" s="2060"/>
      <c r="AC176" s="2060"/>
      <c r="AD176" s="2060"/>
      <c r="AE176" s="2060"/>
      <c r="AF176" s="2060"/>
      <c r="AG176" s="2060"/>
      <c r="AH176" s="2060"/>
      <c r="AI176" s="2060"/>
      <c r="AJ176" s="2060"/>
      <c r="AK176" s="2060"/>
      <c r="AL176" s="2060"/>
      <c r="AM176" s="2060"/>
      <c r="AN176" s="2060"/>
      <c r="AO176" s="2060"/>
      <c r="AP176" s="2060"/>
    </row>
    <row r="177" spans="6:42" customFormat="1" ht="12" customHeight="1">
      <c r="F177" s="2060"/>
      <c r="G177" s="2060"/>
      <c r="H177" s="2060"/>
      <c r="I177" s="2060"/>
      <c r="J177" s="2060"/>
      <c r="K177" s="2060"/>
      <c r="L177" s="2060"/>
      <c r="M177" s="2060"/>
      <c r="N177" s="2060"/>
      <c r="O177" s="2060"/>
      <c r="P177" s="2060"/>
      <c r="Q177" s="2060"/>
      <c r="R177" s="2060"/>
      <c r="S177" s="2060"/>
      <c r="T177" s="2060"/>
      <c r="U177" s="2060"/>
      <c r="V177" s="2060"/>
      <c r="W177" s="2060"/>
      <c r="X177" s="2060"/>
      <c r="Y177" s="2060"/>
      <c r="Z177" s="2060"/>
      <c r="AA177" s="2060"/>
      <c r="AB177" s="2060"/>
      <c r="AC177" s="2060"/>
      <c r="AD177" s="2060"/>
      <c r="AE177" s="2060"/>
      <c r="AF177" s="2060"/>
      <c r="AG177" s="2060"/>
      <c r="AH177" s="2060"/>
      <c r="AI177" s="2060"/>
      <c r="AJ177" s="2060"/>
      <c r="AK177" s="2060"/>
      <c r="AL177" s="2060"/>
      <c r="AM177" s="2060"/>
      <c r="AN177" s="2060"/>
      <c r="AO177" s="2060"/>
      <c r="AP177" s="2060"/>
    </row>
    <row r="178" spans="6:42" customFormat="1" ht="12" customHeight="1">
      <c r="F178" s="2060"/>
      <c r="G178" s="2060"/>
      <c r="H178" s="2060"/>
      <c r="I178" s="2060"/>
      <c r="J178" s="2060"/>
      <c r="K178" s="2060"/>
      <c r="L178" s="2060"/>
      <c r="M178" s="2060"/>
      <c r="N178" s="2060"/>
      <c r="O178" s="2060"/>
      <c r="P178" s="2060"/>
      <c r="Q178" s="2060"/>
      <c r="R178" s="2060"/>
      <c r="S178" s="2060"/>
      <c r="T178" s="2060"/>
      <c r="U178" s="2060"/>
      <c r="V178" s="2060"/>
      <c r="W178" s="2060"/>
      <c r="X178" s="2060"/>
      <c r="Y178" s="2060"/>
      <c r="Z178" s="2060"/>
      <c r="AA178" s="2060"/>
      <c r="AB178" s="2060"/>
      <c r="AC178" s="2060"/>
      <c r="AD178" s="2060"/>
      <c r="AE178" s="2060"/>
      <c r="AF178" s="2060"/>
      <c r="AG178" s="2060"/>
      <c r="AH178" s="2060"/>
      <c r="AI178" s="2060"/>
      <c r="AJ178" s="2060"/>
      <c r="AK178" s="2060"/>
      <c r="AL178" s="2060"/>
      <c r="AM178" s="2060"/>
      <c r="AN178" s="2060"/>
      <c r="AO178" s="2060"/>
      <c r="AP178" s="2060"/>
    </row>
    <row r="179" spans="6:42" customFormat="1" ht="12" customHeight="1">
      <c r="F179" s="2060"/>
      <c r="G179" s="2060"/>
      <c r="H179" s="2060"/>
      <c r="I179" s="2060"/>
      <c r="J179" s="2060"/>
      <c r="K179" s="2060"/>
      <c r="L179" s="2060"/>
      <c r="M179" s="2060"/>
      <c r="N179" s="2060"/>
      <c r="O179" s="2060"/>
      <c r="P179" s="2060"/>
      <c r="Q179" s="2060"/>
      <c r="R179" s="2060"/>
      <c r="S179" s="2060"/>
      <c r="T179" s="2060"/>
      <c r="U179" s="2060"/>
      <c r="V179" s="2060"/>
      <c r="W179" s="2060"/>
      <c r="X179" s="2060"/>
      <c r="Y179" s="2060"/>
      <c r="Z179" s="2060"/>
      <c r="AA179" s="2060"/>
      <c r="AB179" s="2060"/>
      <c r="AC179" s="2060"/>
      <c r="AD179" s="2060"/>
      <c r="AE179" s="2060"/>
      <c r="AF179" s="2060"/>
      <c r="AG179" s="2060"/>
      <c r="AH179" s="2060"/>
      <c r="AI179" s="2060"/>
      <c r="AJ179" s="2060"/>
      <c r="AK179" s="2060"/>
      <c r="AL179" s="2060"/>
      <c r="AM179" s="2060"/>
      <c r="AN179" s="2060"/>
      <c r="AO179" s="2060"/>
      <c r="AP179" s="2060"/>
    </row>
    <row r="180" spans="6:42" customFormat="1" ht="12" customHeight="1">
      <c r="F180" s="2060"/>
      <c r="G180" s="2060"/>
      <c r="H180" s="2060"/>
      <c r="I180" s="2060"/>
      <c r="J180" s="2060"/>
      <c r="K180" s="2060"/>
      <c r="L180" s="2060"/>
      <c r="M180" s="2060"/>
      <c r="N180" s="2060"/>
      <c r="O180" s="2060"/>
      <c r="P180" s="2060"/>
      <c r="Q180" s="2060"/>
      <c r="R180" s="2060"/>
      <c r="S180" s="2060"/>
      <c r="T180" s="2060"/>
      <c r="U180" s="2060"/>
      <c r="V180" s="2060"/>
      <c r="W180" s="2060"/>
      <c r="X180" s="2060"/>
      <c r="Y180" s="2060"/>
      <c r="Z180" s="2060"/>
      <c r="AA180" s="2060"/>
      <c r="AB180" s="2060"/>
      <c r="AC180" s="2060"/>
      <c r="AD180" s="2060"/>
      <c r="AE180" s="2060"/>
      <c r="AF180" s="2060"/>
      <c r="AG180" s="2060"/>
      <c r="AH180" s="2060"/>
      <c r="AI180" s="2060"/>
      <c r="AJ180" s="2060"/>
      <c r="AK180" s="2060"/>
      <c r="AL180" s="2060"/>
      <c r="AM180" s="2060"/>
      <c r="AN180" s="2060"/>
      <c r="AO180" s="2060"/>
      <c r="AP180" s="2060"/>
    </row>
    <row r="181" spans="6:42" customFormat="1" ht="12" customHeight="1">
      <c r="F181" s="2060"/>
      <c r="G181" s="2060"/>
      <c r="H181" s="2060"/>
      <c r="I181" s="2060"/>
      <c r="J181" s="2060"/>
      <c r="K181" s="2060"/>
      <c r="L181" s="2060"/>
      <c r="M181" s="2060"/>
      <c r="N181" s="2060"/>
      <c r="O181" s="2060"/>
      <c r="P181" s="2060"/>
      <c r="Q181" s="2060"/>
      <c r="R181" s="2060"/>
      <c r="S181" s="2060"/>
      <c r="T181" s="2060"/>
      <c r="U181" s="2060"/>
      <c r="V181" s="2060"/>
      <c r="W181" s="2060"/>
      <c r="X181" s="2060"/>
      <c r="Y181" s="2060"/>
      <c r="Z181" s="2060"/>
      <c r="AA181" s="2060"/>
      <c r="AB181" s="2060"/>
      <c r="AC181" s="2060"/>
      <c r="AD181" s="2060"/>
      <c r="AE181" s="2060"/>
      <c r="AF181" s="2060"/>
      <c r="AG181" s="2060"/>
      <c r="AH181" s="2060"/>
      <c r="AI181" s="2060"/>
      <c r="AJ181" s="2060"/>
      <c r="AK181" s="2060"/>
      <c r="AL181" s="2060"/>
      <c r="AM181" s="2060"/>
      <c r="AN181" s="2060"/>
      <c r="AO181" s="2060"/>
      <c r="AP181" s="2060"/>
    </row>
    <row r="182" spans="6:42" customFormat="1" ht="12" customHeight="1">
      <c r="F182" s="2060"/>
      <c r="G182" s="2060"/>
      <c r="H182" s="2060"/>
      <c r="I182" s="2060"/>
      <c r="J182" s="2060"/>
      <c r="K182" s="2060"/>
      <c r="L182" s="2060"/>
      <c r="M182" s="2060"/>
      <c r="N182" s="2060"/>
      <c r="O182" s="2060"/>
      <c r="P182" s="2060"/>
      <c r="Q182" s="2060"/>
      <c r="R182" s="2060"/>
      <c r="S182" s="2060"/>
      <c r="T182" s="2060"/>
      <c r="U182" s="2060"/>
      <c r="V182" s="2060"/>
      <c r="W182" s="2060"/>
      <c r="X182" s="2060"/>
      <c r="Y182" s="2060"/>
      <c r="Z182" s="2060"/>
      <c r="AA182" s="2060"/>
      <c r="AB182" s="2060"/>
      <c r="AC182" s="2060"/>
      <c r="AD182" s="2060"/>
      <c r="AE182" s="2060"/>
      <c r="AF182" s="2060"/>
      <c r="AG182" s="2060"/>
      <c r="AH182" s="2060"/>
      <c r="AI182" s="2060"/>
      <c r="AJ182" s="2060"/>
      <c r="AK182" s="2060"/>
      <c r="AL182" s="2060"/>
      <c r="AM182" s="2060"/>
      <c r="AN182" s="2060"/>
      <c r="AO182" s="2060"/>
      <c r="AP182" s="2060"/>
    </row>
    <row r="183" spans="6:42" customFormat="1" ht="12" customHeight="1">
      <c r="F183" s="2060"/>
      <c r="G183" s="2060"/>
      <c r="H183" s="2060"/>
      <c r="I183" s="2060"/>
      <c r="J183" s="2060"/>
      <c r="K183" s="2060"/>
      <c r="L183" s="2060"/>
      <c r="M183" s="2060"/>
      <c r="N183" s="2060"/>
      <c r="O183" s="2060"/>
      <c r="P183" s="2060"/>
      <c r="Q183" s="2060"/>
      <c r="R183" s="2060"/>
      <c r="S183" s="2060"/>
      <c r="T183" s="2060"/>
      <c r="U183" s="2060"/>
      <c r="V183" s="2060"/>
      <c r="W183" s="2060"/>
      <c r="X183" s="2060"/>
      <c r="Y183" s="2060"/>
      <c r="Z183" s="2060"/>
      <c r="AA183" s="2060"/>
      <c r="AB183" s="2060"/>
      <c r="AC183" s="2060"/>
      <c r="AD183" s="2060"/>
      <c r="AE183" s="2060"/>
      <c r="AF183" s="2060"/>
      <c r="AG183" s="2060"/>
      <c r="AH183" s="2060"/>
      <c r="AI183" s="2060"/>
      <c r="AJ183" s="2060"/>
      <c r="AK183" s="2060"/>
      <c r="AL183" s="2060"/>
      <c r="AM183" s="2060"/>
      <c r="AN183" s="2060"/>
      <c r="AO183" s="2060"/>
      <c r="AP183" s="2060"/>
    </row>
    <row r="184" spans="6:42" customFormat="1" ht="12" customHeight="1">
      <c r="F184" s="2060"/>
      <c r="G184" s="2060"/>
      <c r="H184" s="2060"/>
      <c r="I184" s="2060"/>
      <c r="J184" s="2060"/>
      <c r="K184" s="2060"/>
      <c r="L184" s="2060"/>
      <c r="M184" s="2060"/>
      <c r="N184" s="2060"/>
      <c r="O184" s="2060"/>
      <c r="P184" s="2060"/>
      <c r="Q184" s="2060"/>
      <c r="R184" s="2060"/>
      <c r="S184" s="2060"/>
      <c r="T184" s="2060"/>
      <c r="U184" s="2060"/>
      <c r="V184" s="2060"/>
      <c r="W184" s="2060"/>
      <c r="X184" s="2060"/>
      <c r="Y184" s="2060"/>
      <c r="Z184" s="2060"/>
      <c r="AA184" s="2060"/>
      <c r="AB184" s="2060"/>
      <c r="AC184" s="2060"/>
      <c r="AD184" s="2060"/>
      <c r="AE184" s="2060"/>
      <c r="AF184" s="2060"/>
      <c r="AG184" s="2060"/>
      <c r="AH184" s="2060"/>
      <c r="AI184" s="2060"/>
      <c r="AJ184" s="2060"/>
      <c r="AK184" s="2060"/>
      <c r="AL184" s="2060"/>
      <c r="AM184" s="2060"/>
      <c r="AN184" s="2060"/>
      <c r="AO184" s="2060"/>
      <c r="AP184" s="2060"/>
    </row>
    <row r="185" spans="6:42" customFormat="1" ht="12" customHeight="1">
      <c r="F185" s="2060"/>
      <c r="G185" s="2060"/>
      <c r="H185" s="2060"/>
      <c r="I185" s="2060"/>
      <c r="J185" s="2060"/>
      <c r="K185" s="2060"/>
      <c r="L185" s="2060"/>
      <c r="M185" s="2060"/>
      <c r="N185" s="2060"/>
      <c r="O185" s="2060"/>
      <c r="P185" s="2060"/>
      <c r="Q185" s="2060"/>
      <c r="R185" s="2060"/>
      <c r="S185" s="2060"/>
      <c r="T185" s="2060"/>
      <c r="U185" s="2060"/>
      <c r="V185" s="2060"/>
      <c r="W185" s="2060"/>
      <c r="X185" s="2060"/>
      <c r="Y185" s="2060"/>
      <c r="Z185" s="2060"/>
      <c r="AA185" s="2060"/>
      <c r="AB185" s="2060"/>
      <c r="AC185" s="2060"/>
      <c r="AD185" s="2060"/>
      <c r="AE185" s="2060"/>
      <c r="AF185" s="2060"/>
      <c r="AG185" s="2060"/>
      <c r="AH185" s="2060"/>
      <c r="AI185" s="2060"/>
      <c r="AJ185" s="2060"/>
      <c r="AK185" s="2060"/>
      <c r="AL185" s="2060"/>
      <c r="AM185" s="2060"/>
      <c r="AN185" s="2060"/>
      <c r="AO185" s="2060"/>
      <c r="AP185" s="2060"/>
    </row>
    <row r="186" spans="6:42" customFormat="1" ht="12" customHeight="1">
      <c r="F186" s="2060"/>
      <c r="G186" s="2060"/>
      <c r="H186" s="2060"/>
      <c r="I186" s="2060"/>
      <c r="J186" s="2060"/>
      <c r="K186" s="2060"/>
      <c r="L186" s="2060"/>
      <c r="M186" s="2060"/>
      <c r="N186" s="2060"/>
      <c r="O186" s="2060"/>
      <c r="P186" s="2060"/>
      <c r="Q186" s="2060"/>
      <c r="R186" s="2060"/>
      <c r="S186" s="2060"/>
      <c r="T186" s="2060"/>
      <c r="U186" s="2060"/>
      <c r="V186" s="2060"/>
      <c r="W186" s="2060"/>
      <c r="X186" s="2060"/>
      <c r="Y186" s="2060"/>
      <c r="Z186" s="2060"/>
      <c r="AA186" s="2060"/>
      <c r="AB186" s="2060"/>
      <c r="AC186" s="2060"/>
      <c r="AD186" s="2060"/>
      <c r="AE186" s="2060"/>
      <c r="AF186" s="2060"/>
      <c r="AG186" s="2060"/>
      <c r="AH186" s="2060"/>
      <c r="AI186" s="2060"/>
      <c r="AJ186" s="2060"/>
      <c r="AK186" s="2060"/>
      <c r="AL186" s="2060"/>
      <c r="AM186" s="2060"/>
      <c r="AN186" s="2060"/>
      <c r="AO186" s="2060"/>
      <c r="AP186" s="2060"/>
    </row>
    <row r="187" spans="6:42" customFormat="1" ht="12" customHeight="1">
      <c r="F187" s="2060"/>
      <c r="G187" s="2060"/>
      <c r="H187" s="2060"/>
      <c r="I187" s="2060"/>
      <c r="J187" s="2060"/>
      <c r="K187" s="2060"/>
      <c r="L187" s="2060"/>
      <c r="M187" s="2060"/>
      <c r="N187" s="2060"/>
      <c r="O187" s="2060"/>
      <c r="P187" s="2060"/>
      <c r="Q187" s="2060"/>
      <c r="R187" s="2060"/>
      <c r="S187" s="2060"/>
      <c r="T187" s="2060"/>
      <c r="U187" s="2060"/>
      <c r="V187" s="2060"/>
      <c r="W187" s="2060"/>
      <c r="X187" s="2060"/>
      <c r="Y187" s="2060"/>
      <c r="Z187" s="2060"/>
      <c r="AA187" s="2060"/>
      <c r="AB187" s="2060"/>
      <c r="AC187" s="2060"/>
      <c r="AD187" s="2060"/>
      <c r="AE187" s="2060"/>
      <c r="AF187" s="2060"/>
      <c r="AG187" s="2060"/>
      <c r="AH187" s="2060"/>
      <c r="AI187" s="2060"/>
      <c r="AJ187" s="2060"/>
      <c r="AK187" s="2060"/>
      <c r="AL187" s="2060"/>
      <c r="AM187" s="2060"/>
      <c r="AN187" s="2060"/>
      <c r="AO187" s="2060"/>
      <c r="AP187" s="2060"/>
    </row>
    <row r="188" spans="6:42" customFormat="1" ht="12" customHeight="1">
      <c r="F188" s="2060"/>
      <c r="G188" s="2060"/>
      <c r="H188" s="2060"/>
      <c r="I188" s="2060"/>
      <c r="J188" s="2060"/>
      <c r="K188" s="2060"/>
      <c r="L188" s="2060"/>
      <c r="M188" s="2060"/>
      <c r="N188" s="2060"/>
      <c r="O188" s="2060"/>
      <c r="P188" s="2060"/>
      <c r="Q188" s="2060"/>
      <c r="R188" s="2060"/>
      <c r="S188" s="2060"/>
      <c r="T188" s="2060"/>
      <c r="U188" s="2060"/>
      <c r="V188" s="2060"/>
      <c r="W188" s="2060"/>
      <c r="X188" s="2060"/>
      <c r="Y188" s="2060"/>
      <c r="Z188" s="2060"/>
      <c r="AA188" s="2060"/>
      <c r="AB188" s="2060"/>
      <c r="AC188" s="2060"/>
      <c r="AD188" s="2060"/>
      <c r="AE188" s="2060"/>
      <c r="AF188" s="2060"/>
      <c r="AG188" s="2060"/>
      <c r="AH188" s="2060"/>
      <c r="AI188" s="2060"/>
      <c r="AJ188" s="2060"/>
      <c r="AK188" s="2060"/>
      <c r="AL188" s="2060"/>
      <c r="AM188" s="2060"/>
      <c r="AN188" s="2060"/>
      <c r="AO188" s="2060"/>
      <c r="AP188" s="2060"/>
    </row>
    <row r="189" spans="6:42" customFormat="1" ht="12" customHeight="1">
      <c r="F189" s="2060"/>
      <c r="G189" s="2060"/>
      <c r="H189" s="2060"/>
      <c r="I189" s="2060"/>
      <c r="J189" s="2060"/>
      <c r="K189" s="2060"/>
      <c r="L189" s="2060"/>
      <c r="M189" s="2060"/>
      <c r="N189" s="2060"/>
      <c r="O189" s="2060"/>
      <c r="P189" s="2060"/>
      <c r="Q189" s="2060"/>
      <c r="R189" s="2060"/>
      <c r="S189" s="2060"/>
      <c r="T189" s="2060"/>
      <c r="U189" s="2060"/>
      <c r="V189" s="2060"/>
      <c r="W189" s="2060"/>
      <c r="X189" s="2060"/>
      <c r="Y189" s="2060"/>
      <c r="Z189" s="2060"/>
      <c r="AA189" s="2060"/>
      <c r="AB189" s="2060"/>
      <c r="AC189" s="2060"/>
      <c r="AD189" s="2060"/>
      <c r="AE189" s="2060"/>
      <c r="AF189" s="2060"/>
      <c r="AG189" s="2060"/>
      <c r="AH189" s="2060"/>
      <c r="AI189" s="2060"/>
      <c r="AJ189" s="2060"/>
      <c r="AK189" s="2060"/>
      <c r="AL189" s="2060"/>
      <c r="AM189" s="2060"/>
      <c r="AN189" s="2060"/>
      <c r="AO189" s="2060"/>
      <c r="AP189" s="2060"/>
    </row>
    <row r="190" spans="6:42" customFormat="1" ht="12" customHeight="1">
      <c r="F190" s="2060"/>
      <c r="G190" s="2060"/>
      <c r="H190" s="2060"/>
      <c r="I190" s="2060"/>
      <c r="J190" s="2060"/>
      <c r="K190" s="2060"/>
      <c r="L190" s="2060"/>
      <c r="M190" s="2060"/>
      <c r="N190" s="2060"/>
      <c r="O190" s="2060"/>
      <c r="P190" s="2060"/>
      <c r="Q190" s="2060"/>
      <c r="R190" s="2060"/>
      <c r="S190" s="2060"/>
      <c r="T190" s="2060"/>
      <c r="U190" s="2060"/>
      <c r="V190" s="2060"/>
      <c r="W190" s="2060"/>
      <c r="X190" s="2060"/>
      <c r="Y190" s="2060"/>
      <c r="Z190" s="2060"/>
      <c r="AA190" s="2060"/>
      <c r="AB190" s="2060"/>
      <c r="AC190" s="2060"/>
      <c r="AD190" s="2060"/>
      <c r="AE190" s="2060"/>
      <c r="AF190" s="2060"/>
      <c r="AG190" s="2060"/>
      <c r="AH190" s="2060"/>
      <c r="AI190" s="2060"/>
      <c r="AJ190" s="2060"/>
      <c r="AK190" s="2060"/>
      <c r="AL190" s="2060"/>
      <c r="AM190" s="2060"/>
      <c r="AN190" s="2060"/>
      <c r="AO190" s="2060"/>
      <c r="AP190" s="2060"/>
    </row>
    <row r="191" spans="6:42" customFormat="1" ht="12" customHeight="1">
      <c r="F191" s="2060"/>
      <c r="G191" s="2060"/>
      <c r="H191" s="2060"/>
      <c r="I191" s="2060"/>
      <c r="J191" s="2060"/>
      <c r="K191" s="2060"/>
      <c r="L191" s="2060"/>
      <c r="M191" s="2060"/>
      <c r="N191" s="2060"/>
      <c r="O191" s="2060"/>
      <c r="P191" s="2060"/>
      <c r="Q191" s="2060"/>
      <c r="R191" s="2060"/>
      <c r="S191" s="2060"/>
      <c r="T191" s="2060"/>
      <c r="U191" s="2060"/>
      <c r="V191" s="2060"/>
      <c r="W191" s="2060"/>
      <c r="X191" s="2060"/>
      <c r="Y191" s="2060"/>
      <c r="Z191" s="2060"/>
      <c r="AA191" s="2060"/>
      <c r="AB191" s="2060"/>
      <c r="AC191" s="2060"/>
      <c r="AD191" s="2060"/>
      <c r="AE191" s="2060"/>
      <c r="AF191" s="2060"/>
      <c r="AG191" s="2060"/>
      <c r="AH191" s="2060"/>
      <c r="AI191" s="2060"/>
      <c r="AJ191" s="2060"/>
      <c r="AK191" s="2060"/>
      <c r="AL191" s="2060"/>
      <c r="AM191" s="2060"/>
      <c r="AN191" s="2060"/>
      <c r="AO191" s="2060"/>
      <c r="AP191" s="2060"/>
    </row>
    <row r="192" spans="6:42" customFormat="1" ht="12" customHeight="1">
      <c r="F192" s="2060"/>
      <c r="G192" s="2060"/>
      <c r="H192" s="2060"/>
      <c r="I192" s="2060"/>
      <c r="J192" s="2060"/>
      <c r="K192" s="2060"/>
      <c r="L192" s="2060"/>
      <c r="M192" s="2060"/>
      <c r="N192" s="2060"/>
      <c r="O192" s="2060"/>
      <c r="P192" s="2060"/>
      <c r="Q192" s="2060"/>
      <c r="R192" s="2060"/>
      <c r="S192" s="2060"/>
      <c r="T192" s="2060"/>
      <c r="U192" s="2060"/>
      <c r="V192" s="2060"/>
      <c r="W192" s="2060"/>
      <c r="X192" s="2060"/>
      <c r="Y192" s="2060"/>
      <c r="Z192" s="2060"/>
      <c r="AA192" s="2060"/>
      <c r="AB192" s="2060"/>
      <c r="AC192" s="2060"/>
      <c r="AD192" s="2060"/>
      <c r="AE192" s="2060"/>
      <c r="AF192" s="2060"/>
      <c r="AG192" s="2060"/>
      <c r="AH192" s="2060"/>
      <c r="AI192" s="2060"/>
      <c r="AJ192" s="2060"/>
      <c r="AK192" s="2060"/>
      <c r="AL192" s="2060"/>
      <c r="AM192" s="2060"/>
      <c r="AN192" s="2060"/>
      <c r="AO192" s="2060"/>
      <c r="AP192" s="2060"/>
    </row>
    <row r="193" spans="6:42" customFormat="1" ht="12" customHeight="1">
      <c r="F193" s="2060"/>
      <c r="G193" s="2060"/>
      <c r="H193" s="2060"/>
      <c r="I193" s="2060"/>
      <c r="J193" s="2060"/>
      <c r="K193" s="2060"/>
      <c r="L193" s="2060"/>
      <c r="M193" s="2060"/>
      <c r="N193" s="2060"/>
      <c r="O193" s="2060"/>
      <c r="P193" s="2060"/>
      <c r="Q193" s="2060"/>
      <c r="R193" s="2060"/>
      <c r="S193" s="2060"/>
      <c r="T193" s="2060"/>
      <c r="U193" s="2060"/>
      <c r="V193" s="2060"/>
      <c r="W193" s="2060"/>
      <c r="X193" s="2060"/>
      <c r="Y193" s="2060"/>
      <c r="Z193" s="2060"/>
      <c r="AA193" s="2060"/>
      <c r="AB193" s="2060"/>
      <c r="AC193" s="2060"/>
      <c r="AD193" s="2060"/>
      <c r="AE193" s="2060"/>
      <c r="AF193" s="2060"/>
      <c r="AG193" s="2060"/>
      <c r="AH193" s="2060"/>
      <c r="AI193" s="2060"/>
      <c r="AJ193" s="2060"/>
      <c r="AK193" s="2060"/>
      <c r="AL193" s="2060"/>
      <c r="AM193" s="2060"/>
      <c r="AN193" s="2060"/>
      <c r="AO193" s="2060"/>
      <c r="AP193" s="2060"/>
    </row>
    <row r="194" spans="6:42" customFormat="1" ht="12" customHeight="1">
      <c r="F194" s="2060"/>
      <c r="G194" s="2060"/>
      <c r="H194" s="2060"/>
      <c r="I194" s="2060"/>
      <c r="J194" s="2060"/>
      <c r="K194" s="2060"/>
      <c r="L194" s="2060"/>
      <c r="M194" s="2060"/>
      <c r="N194" s="2060"/>
      <c r="O194" s="2060"/>
      <c r="P194" s="2060"/>
      <c r="Q194" s="2060"/>
      <c r="R194" s="2060"/>
      <c r="S194" s="2060"/>
      <c r="T194" s="2060"/>
      <c r="U194" s="2060"/>
      <c r="V194" s="2060"/>
      <c r="W194" s="2060"/>
      <c r="X194" s="2060"/>
      <c r="Y194" s="2060"/>
      <c r="Z194" s="2060"/>
      <c r="AA194" s="2060"/>
      <c r="AB194" s="2060"/>
      <c r="AC194" s="2060"/>
      <c r="AD194" s="2060"/>
      <c r="AE194" s="2060"/>
      <c r="AF194" s="2060"/>
      <c r="AG194" s="2060"/>
      <c r="AH194" s="2060"/>
      <c r="AI194" s="2060"/>
      <c r="AJ194" s="2060"/>
      <c r="AK194" s="2060"/>
      <c r="AL194" s="2060"/>
      <c r="AM194" s="2060"/>
      <c r="AN194" s="2060"/>
      <c r="AO194" s="2060"/>
      <c r="AP194" s="2060"/>
    </row>
    <row r="195" spans="6:42" customFormat="1" ht="12" customHeight="1">
      <c r="F195" s="2060"/>
      <c r="G195" s="2060"/>
      <c r="H195" s="2060"/>
      <c r="I195" s="2060"/>
      <c r="J195" s="2060"/>
      <c r="K195" s="2060"/>
      <c r="L195" s="2060"/>
      <c r="M195" s="2060"/>
      <c r="N195" s="2060"/>
      <c r="O195" s="2060"/>
      <c r="P195" s="2060"/>
      <c r="Q195" s="2060"/>
      <c r="R195" s="2060"/>
      <c r="S195" s="2060"/>
      <c r="T195" s="2060"/>
      <c r="U195" s="2060"/>
      <c r="V195" s="2060"/>
      <c r="W195" s="2060"/>
      <c r="X195" s="2060"/>
      <c r="Y195" s="2060"/>
      <c r="Z195" s="2060"/>
      <c r="AA195" s="2060"/>
      <c r="AB195" s="2060"/>
      <c r="AC195" s="2060"/>
      <c r="AD195" s="2060"/>
      <c r="AE195" s="2060"/>
      <c r="AF195" s="2060"/>
      <c r="AG195" s="2060"/>
      <c r="AH195" s="2060"/>
      <c r="AI195" s="2060"/>
      <c r="AJ195" s="2060"/>
      <c r="AK195" s="2060"/>
      <c r="AL195" s="2060"/>
      <c r="AM195" s="2060"/>
      <c r="AN195" s="2060"/>
      <c r="AO195" s="2060"/>
      <c r="AP195" s="2060"/>
    </row>
    <row r="196" spans="6:42" customFormat="1" ht="12" customHeight="1">
      <c r="F196" s="2060"/>
      <c r="G196" s="2060"/>
      <c r="H196" s="2060"/>
      <c r="I196" s="2060"/>
      <c r="J196" s="2060"/>
      <c r="K196" s="2060"/>
      <c r="L196" s="2060"/>
      <c r="M196" s="2060"/>
      <c r="N196" s="2060"/>
      <c r="O196" s="2060"/>
      <c r="P196" s="2060"/>
      <c r="Q196" s="2060"/>
      <c r="R196" s="2060"/>
      <c r="S196" s="2060"/>
      <c r="T196" s="2060"/>
      <c r="U196" s="2060"/>
      <c r="V196" s="2060"/>
      <c r="W196" s="2060"/>
      <c r="X196" s="2060"/>
      <c r="Y196" s="2060"/>
      <c r="Z196" s="2060"/>
      <c r="AA196" s="2060"/>
      <c r="AB196" s="2060"/>
      <c r="AC196" s="2060"/>
      <c r="AD196" s="2060"/>
      <c r="AE196" s="2060"/>
      <c r="AF196" s="2060"/>
      <c r="AG196" s="2060"/>
      <c r="AH196" s="2060"/>
      <c r="AI196" s="2060"/>
      <c r="AJ196" s="2060"/>
      <c r="AK196" s="2060"/>
      <c r="AL196" s="2060"/>
      <c r="AM196" s="2060"/>
      <c r="AN196" s="2060"/>
      <c r="AO196" s="2060"/>
      <c r="AP196" s="2060"/>
    </row>
    <row r="197" spans="6:42" customFormat="1" ht="12" customHeight="1">
      <c r="F197" s="2060"/>
      <c r="G197" s="2060"/>
      <c r="H197" s="2060"/>
      <c r="I197" s="2060"/>
      <c r="J197" s="2060"/>
      <c r="K197" s="2060"/>
      <c r="L197" s="2060"/>
      <c r="M197" s="2060"/>
      <c r="N197" s="2060"/>
      <c r="O197" s="2060"/>
      <c r="P197" s="2060"/>
      <c r="Q197" s="2060"/>
      <c r="R197" s="2060"/>
      <c r="S197" s="2060"/>
      <c r="T197" s="2060"/>
      <c r="U197" s="2060"/>
      <c r="V197" s="2060"/>
      <c r="W197" s="2060"/>
      <c r="X197" s="2060"/>
      <c r="Y197" s="2060"/>
      <c r="Z197" s="2060"/>
      <c r="AA197" s="2060"/>
      <c r="AB197" s="2060"/>
      <c r="AC197" s="2060"/>
      <c r="AD197" s="2060"/>
      <c r="AE197" s="2060"/>
      <c r="AF197" s="2060"/>
      <c r="AG197" s="2060"/>
      <c r="AH197" s="2060"/>
      <c r="AI197" s="2060"/>
      <c r="AJ197" s="2060"/>
      <c r="AK197" s="2060"/>
      <c r="AL197" s="2060"/>
      <c r="AM197" s="2060"/>
      <c r="AN197" s="2060"/>
      <c r="AO197" s="2060"/>
      <c r="AP197" s="2060"/>
    </row>
    <row r="198" spans="6:42" customFormat="1" ht="12" customHeight="1">
      <c r="F198" s="2060"/>
      <c r="G198" s="2060"/>
      <c r="H198" s="2060"/>
      <c r="I198" s="2060"/>
      <c r="J198" s="2060"/>
      <c r="K198" s="2060"/>
      <c r="L198" s="2060"/>
      <c r="M198" s="2060"/>
      <c r="N198" s="2060"/>
      <c r="O198" s="2060"/>
      <c r="P198" s="2060"/>
      <c r="Q198" s="2060"/>
      <c r="R198" s="2060"/>
      <c r="S198" s="2060"/>
      <c r="T198" s="2060"/>
      <c r="U198" s="2060"/>
      <c r="V198" s="2060"/>
      <c r="W198" s="2060"/>
      <c r="X198" s="2060"/>
      <c r="Y198" s="2060"/>
      <c r="Z198" s="2060"/>
      <c r="AA198" s="2060"/>
      <c r="AB198" s="2060"/>
      <c r="AC198" s="2060"/>
      <c r="AD198" s="2060"/>
      <c r="AE198" s="2060"/>
      <c r="AF198" s="2060"/>
      <c r="AG198" s="2060"/>
      <c r="AH198" s="2060"/>
      <c r="AI198" s="2060"/>
      <c r="AJ198" s="2060"/>
      <c r="AK198" s="2060"/>
      <c r="AL198" s="2060"/>
      <c r="AM198" s="2060"/>
      <c r="AN198" s="2060"/>
      <c r="AO198" s="2060"/>
      <c r="AP198" s="2060"/>
    </row>
    <row r="199" spans="6:42" customFormat="1" ht="12" customHeight="1">
      <c r="F199" s="2060"/>
      <c r="G199" s="2060"/>
      <c r="H199" s="2060"/>
      <c r="I199" s="2060"/>
      <c r="J199" s="2060"/>
      <c r="K199" s="2060"/>
      <c r="L199" s="2060"/>
      <c r="M199" s="2060"/>
      <c r="N199" s="2060"/>
      <c r="O199" s="2060"/>
      <c r="P199" s="2060"/>
      <c r="Q199" s="2060"/>
      <c r="R199" s="2060"/>
      <c r="S199" s="2060"/>
      <c r="T199" s="2060"/>
      <c r="U199" s="2060"/>
      <c r="V199" s="2060"/>
      <c r="W199" s="2060"/>
      <c r="X199" s="2060"/>
      <c r="Y199" s="2060"/>
      <c r="Z199" s="2060"/>
      <c r="AA199" s="2060"/>
      <c r="AB199" s="2060"/>
      <c r="AC199" s="2060"/>
      <c r="AD199" s="2060"/>
      <c r="AE199" s="2060"/>
      <c r="AF199" s="2060"/>
      <c r="AG199" s="2060"/>
      <c r="AH199" s="2060"/>
      <c r="AI199" s="2060"/>
      <c r="AJ199" s="2060"/>
      <c r="AK199" s="2060"/>
      <c r="AL199" s="2060"/>
      <c r="AM199" s="2060"/>
      <c r="AN199" s="2060"/>
      <c r="AO199" s="2060"/>
      <c r="AP199" s="2060"/>
    </row>
    <row r="200" spans="6:42" customFormat="1" ht="12" customHeight="1">
      <c r="F200" s="2060"/>
      <c r="G200" s="2060"/>
      <c r="H200" s="2060"/>
      <c r="I200" s="2060"/>
      <c r="J200" s="2060"/>
      <c r="K200" s="2060"/>
      <c r="L200" s="2060"/>
      <c r="M200" s="2060"/>
      <c r="N200" s="2060"/>
      <c r="O200" s="2060"/>
      <c r="P200" s="2060"/>
      <c r="Q200" s="2060"/>
      <c r="R200" s="2060"/>
      <c r="S200" s="2060"/>
      <c r="T200" s="2060"/>
      <c r="U200" s="2060"/>
      <c r="V200" s="2060"/>
      <c r="W200" s="2060"/>
      <c r="X200" s="2060"/>
      <c r="Y200" s="2060"/>
      <c r="Z200" s="2060"/>
      <c r="AA200" s="2060"/>
      <c r="AB200" s="2060"/>
      <c r="AC200" s="2060"/>
      <c r="AD200" s="2060"/>
      <c r="AE200" s="2060"/>
      <c r="AF200" s="2060"/>
      <c r="AG200" s="2060"/>
      <c r="AH200" s="2060"/>
      <c r="AI200" s="2060"/>
      <c r="AJ200" s="2060"/>
      <c r="AK200" s="2060"/>
      <c r="AL200" s="2060"/>
      <c r="AM200" s="2060"/>
      <c r="AN200" s="2060"/>
      <c r="AO200" s="2060"/>
      <c r="AP200" s="2060"/>
    </row>
    <row r="201" spans="6:42" customFormat="1" ht="12" customHeight="1">
      <c r="F201" s="2060"/>
      <c r="G201" s="2060"/>
      <c r="H201" s="2060"/>
      <c r="I201" s="2060"/>
      <c r="J201" s="2060"/>
      <c r="K201" s="2060"/>
      <c r="L201" s="2060"/>
      <c r="M201" s="2060"/>
      <c r="N201" s="2060"/>
      <c r="O201" s="2060"/>
      <c r="P201" s="2060"/>
      <c r="Q201" s="2060"/>
      <c r="R201" s="2060"/>
      <c r="S201" s="2060"/>
      <c r="T201" s="2060"/>
      <c r="U201" s="2060"/>
      <c r="V201" s="2060"/>
      <c r="W201" s="2060"/>
      <c r="X201" s="2060"/>
      <c r="Y201" s="2060"/>
      <c r="Z201" s="2060"/>
      <c r="AA201" s="2060"/>
      <c r="AB201" s="2060"/>
      <c r="AC201" s="2060"/>
      <c r="AD201" s="2060"/>
      <c r="AE201" s="2060"/>
      <c r="AF201" s="2060"/>
      <c r="AG201" s="2060"/>
      <c r="AH201" s="2060"/>
      <c r="AI201" s="2060"/>
      <c r="AJ201" s="2060"/>
      <c r="AK201" s="2060"/>
      <c r="AL201" s="2060"/>
      <c r="AM201" s="2060"/>
      <c r="AN201" s="2060"/>
      <c r="AO201" s="2060"/>
      <c r="AP201" s="2060"/>
    </row>
    <row r="202" spans="6:42" customFormat="1" ht="12" customHeight="1">
      <c r="F202" s="2060"/>
      <c r="G202" s="2060"/>
      <c r="H202" s="2060"/>
      <c r="I202" s="2060"/>
      <c r="J202" s="2060"/>
      <c r="K202" s="2060"/>
      <c r="L202" s="2060"/>
      <c r="M202" s="2060"/>
      <c r="N202" s="2060"/>
      <c r="O202" s="2060"/>
      <c r="P202" s="2060"/>
      <c r="Q202" s="2060"/>
      <c r="R202" s="2060"/>
      <c r="S202" s="2060"/>
      <c r="T202" s="2060"/>
      <c r="U202" s="2060"/>
      <c r="V202" s="2060"/>
      <c r="W202" s="2060"/>
      <c r="X202" s="2060"/>
      <c r="Y202" s="2060"/>
      <c r="Z202" s="2060"/>
      <c r="AA202" s="2060"/>
      <c r="AB202" s="2060"/>
      <c r="AC202" s="2060"/>
      <c r="AD202" s="2060"/>
      <c r="AE202" s="2060"/>
      <c r="AF202" s="2060"/>
      <c r="AG202" s="2060"/>
      <c r="AH202" s="2060"/>
      <c r="AI202" s="2060"/>
      <c r="AJ202" s="2060"/>
      <c r="AK202" s="2060"/>
      <c r="AL202" s="2060"/>
      <c r="AM202" s="2060"/>
      <c r="AN202" s="2060"/>
      <c r="AO202" s="2060"/>
      <c r="AP202" s="2060"/>
    </row>
    <row r="203" spans="6:42" customFormat="1" ht="12" customHeight="1">
      <c r="F203" s="2060"/>
      <c r="G203" s="2060"/>
      <c r="H203" s="2060"/>
      <c r="I203" s="2060"/>
      <c r="J203" s="2060"/>
      <c r="K203" s="2060"/>
      <c r="L203" s="2060"/>
      <c r="M203" s="2060"/>
      <c r="N203" s="2060"/>
      <c r="O203" s="2060"/>
      <c r="P203" s="2060"/>
      <c r="Q203" s="2060"/>
      <c r="R203" s="2060"/>
      <c r="S203" s="2060"/>
      <c r="T203" s="2060"/>
      <c r="U203" s="2060"/>
      <c r="V203" s="2060"/>
      <c r="W203" s="2060"/>
      <c r="X203" s="2060"/>
      <c r="Y203" s="2060"/>
      <c r="Z203" s="2060"/>
      <c r="AA203" s="2060"/>
      <c r="AB203" s="2060"/>
      <c r="AC203" s="2060"/>
      <c r="AD203" s="2060"/>
      <c r="AE203" s="2060"/>
      <c r="AF203" s="2060"/>
      <c r="AG203" s="2060"/>
      <c r="AH203" s="2060"/>
      <c r="AI203" s="2060"/>
      <c r="AJ203" s="2060"/>
      <c r="AK203" s="2060"/>
      <c r="AL203" s="2060"/>
      <c r="AM203" s="2060"/>
      <c r="AN203" s="2060"/>
      <c r="AO203" s="2060"/>
      <c r="AP203" s="2060"/>
    </row>
    <row r="204" spans="6:42" customFormat="1" ht="12" customHeight="1">
      <c r="F204" s="2060"/>
      <c r="G204" s="2060"/>
      <c r="H204" s="2060"/>
      <c r="I204" s="2060"/>
      <c r="J204" s="2060"/>
      <c r="K204" s="2060"/>
      <c r="L204" s="2060"/>
      <c r="M204" s="2060"/>
      <c r="N204" s="2060"/>
      <c r="O204" s="2060"/>
      <c r="P204" s="2060"/>
      <c r="Q204" s="2060"/>
      <c r="R204" s="2060"/>
      <c r="S204" s="2060"/>
      <c r="T204" s="2060"/>
      <c r="U204" s="2060"/>
      <c r="V204" s="2060"/>
      <c r="W204" s="2060"/>
      <c r="X204" s="2060"/>
      <c r="Y204" s="2060"/>
      <c r="Z204" s="2060"/>
      <c r="AA204" s="2060"/>
      <c r="AB204" s="2060"/>
      <c r="AC204" s="2060"/>
      <c r="AD204" s="2060"/>
      <c r="AE204" s="2060"/>
      <c r="AF204" s="2060"/>
      <c r="AG204" s="2060"/>
      <c r="AH204" s="2060"/>
      <c r="AI204" s="2060"/>
      <c r="AJ204" s="2060"/>
      <c r="AK204" s="2060"/>
      <c r="AL204" s="2060"/>
      <c r="AM204" s="2060"/>
      <c r="AN204" s="2060"/>
      <c r="AO204" s="2060"/>
      <c r="AP204" s="2060"/>
    </row>
    <row r="205" spans="6:42" customFormat="1" ht="12" customHeight="1">
      <c r="F205" s="2060"/>
      <c r="G205" s="2060"/>
      <c r="H205" s="2060"/>
      <c r="I205" s="2060"/>
      <c r="J205" s="2060"/>
      <c r="K205" s="2060"/>
      <c r="L205" s="2060"/>
      <c r="M205" s="2060"/>
      <c r="N205" s="2060"/>
      <c r="O205" s="2060"/>
      <c r="P205" s="2060"/>
      <c r="Q205" s="2060"/>
      <c r="R205" s="2060"/>
      <c r="S205" s="2060"/>
      <c r="T205" s="2060"/>
      <c r="U205" s="2060"/>
      <c r="V205" s="2060"/>
      <c r="W205" s="2060"/>
      <c r="X205" s="2060"/>
      <c r="Y205" s="2060"/>
      <c r="Z205" s="2060"/>
      <c r="AA205" s="2060"/>
      <c r="AB205" s="2060"/>
      <c r="AC205" s="2060"/>
      <c r="AD205" s="2060"/>
      <c r="AE205" s="2060"/>
      <c r="AF205" s="2060"/>
      <c r="AG205" s="2060"/>
      <c r="AH205" s="2060"/>
      <c r="AI205" s="2060"/>
      <c r="AJ205" s="2060"/>
      <c r="AK205" s="2060"/>
      <c r="AL205" s="2060"/>
      <c r="AM205" s="2060"/>
      <c r="AN205" s="2060"/>
      <c r="AO205" s="2060"/>
      <c r="AP205" s="2060"/>
    </row>
    <row r="206" spans="6:42" customFormat="1" ht="12" customHeight="1">
      <c r="F206" s="2060"/>
      <c r="G206" s="2060"/>
      <c r="H206" s="2060"/>
      <c r="I206" s="2060"/>
      <c r="J206" s="2060"/>
      <c r="K206" s="2060"/>
      <c r="L206" s="2060"/>
      <c r="M206" s="2060"/>
      <c r="N206" s="2060"/>
      <c r="O206" s="2060"/>
      <c r="P206" s="2060"/>
      <c r="Q206" s="2060"/>
      <c r="R206" s="2060"/>
      <c r="S206" s="2060"/>
      <c r="T206" s="2060"/>
      <c r="U206" s="2060"/>
      <c r="V206" s="2060"/>
      <c r="W206" s="2060"/>
      <c r="X206" s="2060"/>
      <c r="Y206" s="2060"/>
      <c r="Z206" s="2060"/>
      <c r="AA206" s="2060"/>
      <c r="AB206" s="2060"/>
      <c r="AC206" s="2060"/>
      <c r="AD206" s="2060"/>
      <c r="AE206" s="2060"/>
      <c r="AF206" s="2060"/>
      <c r="AG206" s="2060"/>
      <c r="AH206" s="2060"/>
      <c r="AI206" s="2060"/>
      <c r="AJ206" s="2060"/>
      <c r="AK206" s="2060"/>
      <c r="AL206" s="2060"/>
      <c r="AM206" s="2060"/>
      <c r="AN206" s="2060"/>
      <c r="AO206" s="2060"/>
      <c r="AP206" s="2060"/>
    </row>
    <row r="207" spans="6:42" customFormat="1" ht="12" customHeight="1">
      <c r="F207" s="2060"/>
      <c r="G207" s="2060"/>
      <c r="H207" s="2060"/>
      <c r="I207" s="2060"/>
      <c r="J207" s="2060"/>
      <c r="K207" s="2060"/>
      <c r="L207" s="2060"/>
      <c r="M207" s="2060"/>
      <c r="N207" s="2060"/>
      <c r="O207" s="2060"/>
      <c r="P207" s="2060"/>
      <c r="Q207" s="2060"/>
      <c r="R207" s="2060"/>
      <c r="S207" s="2060"/>
      <c r="T207" s="2060"/>
      <c r="U207" s="2060"/>
      <c r="V207" s="2060"/>
      <c r="W207" s="2060"/>
      <c r="X207" s="2060"/>
      <c r="Y207" s="2060"/>
      <c r="Z207" s="2060"/>
      <c r="AA207" s="2060"/>
      <c r="AB207" s="2060"/>
      <c r="AC207" s="2060"/>
      <c r="AD207" s="2060"/>
      <c r="AE207" s="2060"/>
      <c r="AF207" s="2060"/>
      <c r="AG207" s="2060"/>
      <c r="AH207" s="2060"/>
      <c r="AI207" s="2060"/>
      <c r="AJ207" s="2060"/>
      <c r="AK207" s="2060"/>
      <c r="AL207" s="2060"/>
      <c r="AM207" s="2060"/>
      <c r="AN207" s="2060"/>
      <c r="AO207" s="2060"/>
      <c r="AP207" s="2060"/>
    </row>
    <row r="208" spans="6:42" customFormat="1" ht="12" customHeight="1">
      <c r="F208" s="2060"/>
      <c r="G208" s="2060"/>
      <c r="H208" s="2060"/>
      <c r="I208" s="2060"/>
      <c r="J208" s="2060"/>
      <c r="K208" s="2060"/>
      <c r="L208" s="2060"/>
      <c r="M208" s="2060"/>
      <c r="N208" s="2060"/>
      <c r="O208" s="2060"/>
      <c r="P208" s="2060"/>
      <c r="Q208" s="2060"/>
      <c r="R208" s="2060"/>
      <c r="S208" s="2060"/>
      <c r="T208" s="2060"/>
      <c r="U208" s="2060"/>
      <c r="V208" s="2060"/>
      <c r="W208" s="2060"/>
      <c r="X208" s="2060"/>
      <c r="Y208" s="2060"/>
      <c r="Z208" s="2060"/>
      <c r="AA208" s="2060"/>
      <c r="AB208" s="2060"/>
      <c r="AC208" s="2060"/>
      <c r="AD208" s="2060"/>
      <c r="AE208" s="2060"/>
      <c r="AF208" s="2060"/>
      <c r="AG208" s="2060"/>
      <c r="AH208" s="2060"/>
      <c r="AI208" s="2060"/>
      <c r="AJ208" s="2060"/>
      <c r="AK208" s="2060"/>
      <c r="AL208" s="2060"/>
      <c r="AM208" s="2060"/>
      <c r="AN208" s="2060"/>
      <c r="AO208" s="2060"/>
      <c r="AP208" s="2060"/>
    </row>
    <row r="209" spans="6:42" customFormat="1" ht="12" customHeight="1">
      <c r="F209" s="2060"/>
      <c r="G209" s="2060"/>
      <c r="H209" s="2060"/>
      <c r="I209" s="2060"/>
      <c r="J209" s="2060"/>
      <c r="K209" s="2060"/>
      <c r="L209" s="2060"/>
      <c r="M209" s="2060"/>
      <c r="N209" s="2060"/>
      <c r="O209" s="2060"/>
      <c r="P209" s="2060"/>
      <c r="Q209" s="2060"/>
      <c r="R209" s="2060"/>
      <c r="S209" s="2060"/>
      <c r="T209" s="2060"/>
      <c r="U209" s="2060"/>
      <c r="V209" s="2060"/>
      <c r="W209" s="2060"/>
      <c r="X209" s="2060"/>
      <c r="Y209" s="2060"/>
      <c r="Z209" s="2060"/>
      <c r="AA209" s="2060"/>
      <c r="AB209" s="2060"/>
      <c r="AC209" s="2060"/>
      <c r="AD209" s="2060"/>
      <c r="AE209" s="2060"/>
      <c r="AF209" s="2060"/>
      <c r="AG209" s="2060"/>
      <c r="AH209" s="2060"/>
      <c r="AI209" s="2060"/>
      <c r="AJ209" s="2060"/>
      <c r="AK209" s="2060"/>
      <c r="AL209" s="2060"/>
      <c r="AM209" s="2060"/>
      <c r="AN209" s="2060"/>
      <c r="AO209" s="2060"/>
      <c r="AP209" s="2060"/>
    </row>
    <row r="210" spans="6:42" customFormat="1" ht="12" customHeight="1">
      <c r="F210" s="2060"/>
      <c r="G210" s="2060"/>
      <c r="H210" s="2060"/>
      <c r="I210" s="2060"/>
      <c r="J210" s="2060"/>
      <c r="K210" s="2060"/>
      <c r="L210" s="2060"/>
      <c r="M210" s="2060"/>
      <c r="N210" s="2060"/>
      <c r="O210" s="2060"/>
      <c r="P210" s="2060"/>
      <c r="Q210" s="2060"/>
      <c r="R210" s="2060"/>
      <c r="S210" s="2060"/>
      <c r="T210" s="2060"/>
      <c r="U210" s="2060"/>
      <c r="V210" s="2060"/>
      <c r="W210" s="2060"/>
      <c r="X210" s="2060"/>
      <c r="Y210" s="2060"/>
      <c r="Z210" s="2060"/>
      <c r="AA210" s="2060"/>
      <c r="AB210" s="2060"/>
      <c r="AC210" s="2060"/>
      <c r="AD210" s="2060"/>
      <c r="AE210" s="2060"/>
      <c r="AF210" s="2060"/>
      <c r="AG210" s="2060"/>
      <c r="AH210" s="2060"/>
      <c r="AI210" s="2060"/>
      <c r="AJ210" s="2060"/>
      <c r="AK210" s="2060"/>
      <c r="AL210" s="2060"/>
      <c r="AM210" s="2060"/>
      <c r="AN210" s="2060"/>
      <c r="AO210" s="2060"/>
      <c r="AP210" s="2060"/>
    </row>
    <row r="211" spans="6:42" customFormat="1" ht="12" customHeight="1">
      <c r="F211" s="2060"/>
      <c r="G211" s="2060"/>
      <c r="H211" s="2060"/>
      <c r="I211" s="2060"/>
      <c r="J211" s="2060"/>
      <c r="K211" s="2060"/>
      <c r="L211" s="2060"/>
      <c r="M211" s="2060"/>
      <c r="N211" s="2060"/>
      <c r="O211" s="2060"/>
      <c r="P211" s="2060"/>
      <c r="Q211" s="2060"/>
      <c r="R211" s="2060"/>
      <c r="S211" s="2060"/>
      <c r="T211" s="2060"/>
      <c r="U211" s="2060"/>
      <c r="V211" s="2060"/>
      <c r="W211" s="2060"/>
      <c r="X211" s="2060"/>
      <c r="Y211" s="2060"/>
      <c r="Z211" s="2060"/>
      <c r="AA211" s="2060"/>
      <c r="AB211" s="2060"/>
      <c r="AC211" s="2060"/>
      <c r="AD211" s="2060"/>
      <c r="AE211" s="2060"/>
      <c r="AF211" s="2060"/>
      <c r="AG211" s="2060"/>
      <c r="AH211" s="2060"/>
      <c r="AI211" s="2060"/>
      <c r="AJ211" s="2060"/>
      <c r="AK211" s="2060"/>
      <c r="AL211" s="2060"/>
      <c r="AM211" s="2060"/>
      <c r="AN211" s="2060"/>
      <c r="AO211" s="2060"/>
      <c r="AP211" s="2060"/>
    </row>
    <row r="212" spans="6:42" customFormat="1" ht="12" customHeight="1">
      <c r="F212" s="2060"/>
      <c r="G212" s="2060"/>
      <c r="H212" s="2060"/>
      <c r="I212" s="2060"/>
      <c r="J212" s="2060"/>
      <c r="K212" s="2060"/>
      <c r="L212" s="2060"/>
      <c r="M212" s="2060"/>
      <c r="N212" s="2060"/>
      <c r="O212" s="2060"/>
      <c r="P212" s="2060"/>
      <c r="Q212" s="2060"/>
      <c r="R212" s="2060"/>
      <c r="S212" s="2060"/>
      <c r="T212" s="2060"/>
      <c r="U212" s="2060"/>
      <c r="V212" s="2060"/>
      <c r="W212" s="2060"/>
      <c r="X212" s="2060"/>
      <c r="Y212" s="2060"/>
      <c r="Z212" s="2060"/>
      <c r="AA212" s="2060"/>
      <c r="AB212" s="2060"/>
      <c r="AC212" s="2060"/>
      <c r="AD212" s="2060"/>
      <c r="AE212" s="2060"/>
      <c r="AF212" s="2060"/>
      <c r="AG212" s="2060"/>
      <c r="AH212" s="2060"/>
      <c r="AI212" s="2060"/>
      <c r="AJ212" s="2060"/>
      <c r="AK212" s="2060"/>
      <c r="AL212" s="2060"/>
      <c r="AM212" s="2060"/>
      <c r="AN212" s="2060"/>
      <c r="AO212" s="2060"/>
      <c r="AP212" s="2060"/>
    </row>
    <row r="213" spans="6:42" customFormat="1" ht="12" customHeight="1">
      <c r="F213" s="2060"/>
      <c r="G213" s="2060"/>
      <c r="H213" s="2060"/>
      <c r="I213" s="2060"/>
      <c r="J213" s="2060"/>
      <c r="K213" s="2060"/>
      <c r="L213" s="2060"/>
      <c r="M213" s="2060"/>
      <c r="N213" s="2060"/>
      <c r="O213" s="2060"/>
      <c r="P213" s="2060"/>
      <c r="Q213" s="2060"/>
      <c r="R213" s="2060"/>
      <c r="S213" s="2060"/>
      <c r="T213" s="2060"/>
      <c r="U213" s="2060"/>
      <c r="V213" s="2060"/>
      <c r="W213" s="2060"/>
      <c r="X213" s="2060"/>
      <c r="Y213" s="2060"/>
      <c r="Z213" s="2060"/>
      <c r="AA213" s="2060"/>
      <c r="AB213" s="2060"/>
      <c r="AC213" s="2060"/>
      <c r="AD213" s="2060"/>
      <c r="AE213" s="2060"/>
      <c r="AF213" s="2060"/>
      <c r="AG213" s="2060"/>
      <c r="AH213" s="2060"/>
      <c r="AI213" s="2060"/>
      <c r="AJ213" s="2060"/>
      <c r="AK213" s="2060"/>
      <c r="AL213" s="2060"/>
      <c r="AM213" s="2060"/>
      <c r="AN213" s="2060"/>
      <c r="AO213" s="2060"/>
      <c r="AP213" s="2060"/>
    </row>
  </sheetData>
  <autoFilter ref="A1:A213"/>
  <conditionalFormatting sqref="B1:B2">
    <cfRule type="cellIs" dxfId="165" priority="4" operator="notEqual">
      <formula>0</formula>
    </cfRule>
  </conditionalFormatting>
  <conditionalFormatting sqref="A6">
    <cfRule type="expression" dxfId="164" priority="3">
      <formula>AND(MasterCheck&gt;0,RedAlertY=TRUE)</formula>
    </cfRule>
  </conditionalFormatting>
  <conditionalFormatting sqref="B53:B54">
    <cfRule type="cellIs" dxfId="163" priority="2" operator="notEqual">
      <formula>0</formula>
    </cfRule>
  </conditionalFormatting>
  <conditionalFormatting sqref="A58">
    <cfRule type="expression" dxfId="162"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5" manualBreakCount="5">
    <brk id="52" max="16383" man="1"/>
    <brk id="104" max="16383" man="1"/>
    <brk id="105" max="16383" man="1"/>
    <brk id="159" max="16383" man="1"/>
    <brk id="213"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quityMultiples">
    <tabColor rgb="FF99FF66"/>
    <pageSetUpPr autoPageBreaks="0"/>
  </sheetPr>
  <dimension ref="A1:X106"/>
  <sheetViews>
    <sheetView showGridLines="0" zoomScale="85" zoomScaleNormal="85" workbookViewId="0">
      <selection activeCell="S7" sqref="S7"/>
    </sheetView>
  </sheetViews>
  <sheetFormatPr defaultColWidth="16.5" defaultRowHeight="12.95" customHeight="1" outlineLevelCol="1"/>
  <cols>
    <col min="1" max="1" width="2.83203125" customWidth="1"/>
    <col min="2" max="2" width="3.83203125" customWidth="1"/>
    <col min="3" max="3" width="34.5" customWidth="1"/>
    <col min="4" max="4" width="12.33203125" customWidth="1"/>
    <col min="5" max="6" width="10.83203125" customWidth="1" outlineLevel="1"/>
    <col min="7" max="11" width="10.83203125" customWidth="1"/>
    <col min="12" max="13" width="10.83203125" style="646" customWidth="1" outlineLevel="1"/>
    <col min="14" max="14" width="11.83203125" customWidth="1"/>
    <col min="15" max="16" width="10.83203125" customWidth="1"/>
    <col min="17" max="17" width="11.83203125" customWidth="1"/>
    <col min="18" max="19" width="10.83203125" customWidth="1"/>
    <col min="20" max="20" width="8.6640625" customWidth="1"/>
    <col min="21" max="22" width="8.83203125" customWidth="1"/>
  </cols>
  <sheetData>
    <row r="1" spans="1:22" ht="18" customHeight="1">
      <c r="A1" s="2060"/>
      <c r="B1" s="649">
        <f ca="1">SUMPRODUCT(--ISERROR($C$1:T98))+COUNTIF($C$1:T98,Fail)</f>
        <v>0</v>
      </c>
      <c r="C1" s="1372" t="str">
        <f>START!$C$1</f>
        <v>Client Name</v>
      </c>
      <c r="D1" s="172"/>
      <c r="E1" s="172"/>
      <c r="F1" s="172"/>
      <c r="G1" s="172"/>
      <c r="H1" s="172"/>
      <c r="I1" s="172"/>
      <c r="J1" s="172"/>
      <c r="K1" s="172"/>
      <c r="L1" s="172"/>
      <c r="M1" s="172"/>
      <c r="N1" s="172"/>
      <c r="O1" s="172"/>
      <c r="P1" s="172"/>
      <c r="Q1" s="172"/>
      <c r="R1" s="172"/>
      <c r="S1" s="1506"/>
      <c r="T1" s="389" t="s">
        <v>1478</v>
      </c>
      <c r="U1" s="1510"/>
      <c r="V1" s="1506"/>
    </row>
    <row r="2" spans="1:22" ht="18" customHeight="1">
      <c r="A2" s="1510"/>
      <c r="B2" s="1510"/>
      <c r="C2" s="1372" t="str">
        <f>START!$C$2</f>
        <v xml:space="preserve">Please enter project description in START worksheet cell G13 </v>
      </c>
      <c r="D2" s="172"/>
      <c r="E2" s="172"/>
      <c r="F2" s="172"/>
      <c r="G2" s="172"/>
      <c r="H2" s="172"/>
      <c r="I2" s="172"/>
      <c r="J2" s="172"/>
      <c r="K2" s="172"/>
      <c r="L2" s="172"/>
      <c r="M2" s="172"/>
      <c r="N2" s="172"/>
      <c r="O2" s="172"/>
      <c r="P2" s="172"/>
      <c r="Q2" s="172"/>
      <c r="R2" s="172"/>
      <c r="S2" s="1506"/>
      <c r="T2" s="1506"/>
      <c r="U2" s="1510"/>
      <c r="V2" s="1506"/>
    </row>
    <row r="3" spans="1:22" s="1023" customFormat="1" ht="18" customHeight="1">
      <c r="A3" s="1510"/>
      <c r="B3" s="1510"/>
      <c r="C3" s="839" t="s">
        <v>1479</v>
      </c>
      <c r="D3" s="172"/>
      <c r="E3" s="172"/>
      <c r="F3" s="172"/>
      <c r="G3" s="172"/>
      <c r="H3" s="172"/>
      <c r="I3" s="172"/>
      <c r="J3" s="172"/>
      <c r="K3" s="172"/>
      <c r="L3" s="172"/>
      <c r="M3" s="172"/>
      <c r="N3" s="172"/>
      <c r="O3" s="172"/>
      <c r="P3" s="172"/>
      <c r="Q3" s="172"/>
      <c r="R3" s="172"/>
      <c r="S3" s="1506"/>
      <c r="T3" s="1506"/>
      <c r="U3" s="1510"/>
      <c r="V3" s="1506"/>
    </row>
    <row r="4" spans="1:22" ht="18" customHeight="1">
      <c r="A4" s="1510"/>
      <c r="B4" s="1510"/>
      <c r="C4" s="840" t="str">
        <f>ValDateHeading</f>
        <v>Estimation of value as of 28 February 2017</v>
      </c>
      <c r="D4" s="172"/>
      <c r="E4" s="172"/>
      <c r="F4" s="172"/>
      <c r="G4" s="172"/>
      <c r="H4" s="172"/>
      <c r="I4" s="172"/>
      <c r="J4" s="172"/>
      <c r="K4" s="172"/>
      <c r="L4" s="172"/>
      <c r="M4" s="172"/>
      <c r="N4" s="172"/>
      <c r="O4" s="172"/>
      <c r="P4" s="172"/>
      <c r="Q4" s="172"/>
      <c r="R4" s="172"/>
      <c r="S4" s="1506"/>
      <c r="T4" s="1506"/>
      <c r="U4" s="1510"/>
      <c r="V4" s="1506"/>
    </row>
    <row r="5" spans="1:22" ht="13.9">
      <c r="A5" s="1417"/>
      <c r="B5" s="1510"/>
      <c r="C5" s="1506"/>
      <c r="D5" s="1506"/>
      <c r="E5" s="1506"/>
      <c r="F5" s="280" t="str">
        <f>IF(Val1Hist2=2,"Multiples with historical period market capital are for trending analysis only, and not for valuation work","")</f>
        <v/>
      </c>
      <c r="G5" s="1506"/>
      <c r="H5" s="1506"/>
      <c r="I5" s="1506"/>
      <c r="J5" s="1506"/>
      <c r="K5" s="1506"/>
      <c r="L5" s="1506"/>
      <c r="M5" s="1506"/>
      <c r="N5" s="1506"/>
      <c r="O5" s="1506"/>
      <c r="P5" s="1506"/>
      <c r="Q5" s="1506"/>
      <c r="R5" s="1506"/>
      <c r="S5" s="1506"/>
      <c r="T5" s="1506"/>
      <c r="U5" s="1510"/>
      <c r="V5" s="1506"/>
    </row>
    <row r="6" spans="1:22" s="1499" customFormat="1" ht="13.9">
      <c r="A6" s="1417"/>
      <c r="B6" s="1510"/>
      <c r="C6" s="1506"/>
      <c r="D6" s="1506"/>
      <c r="E6" s="1506"/>
      <c r="F6" s="280"/>
      <c r="G6" s="1506"/>
      <c r="H6" s="1506"/>
      <c r="I6" s="1506"/>
      <c r="J6" s="1506"/>
      <c r="K6" s="1506"/>
      <c r="L6" s="1506"/>
      <c r="M6" s="1506"/>
      <c r="N6" s="1506"/>
      <c r="O6" s="1506"/>
      <c r="P6" s="1506"/>
      <c r="Q6" s="1506"/>
      <c r="R6" s="1506"/>
      <c r="S6" s="1506"/>
      <c r="T6" s="1506"/>
      <c r="U6" s="1510"/>
      <c r="V6" s="1506"/>
    </row>
    <row r="7" spans="1:22" ht="13.9">
      <c r="A7" s="1413" t="str">
        <f>IF(MasterCheck,"Please check the "&amp;'Error Check'!$G$8,"")</f>
        <v/>
      </c>
      <c r="B7" s="1424"/>
      <c r="C7" s="1511"/>
      <c r="D7" s="2060"/>
      <c r="E7" s="2060"/>
      <c r="F7" s="1506"/>
      <c r="G7" s="2060"/>
      <c r="H7" s="2060"/>
      <c r="I7" s="2060"/>
      <c r="J7" s="2060"/>
      <c r="K7" s="2060"/>
      <c r="L7" s="2060"/>
      <c r="M7" s="2060"/>
      <c r="N7" s="2060"/>
      <c r="O7" s="2060"/>
      <c r="P7" s="2060"/>
      <c r="Q7" s="2060"/>
      <c r="R7" s="1506"/>
      <c r="S7" s="1506"/>
      <c r="T7" s="1506"/>
      <c r="U7" s="606"/>
      <c r="V7" s="2060"/>
    </row>
    <row r="8" spans="1:22" ht="13.9">
      <c r="A8" s="1510"/>
      <c r="B8" s="1510"/>
      <c r="C8" s="734"/>
      <c r="D8" s="1167" t="str">
        <f>'WACC and TIC Inputs'!N218</f>
        <v>Total</v>
      </c>
      <c r="E8" s="1215" t="s">
        <v>1480</v>
      </c>
      <c r="F8" s="1215"/>
      <c r="G8" s="1215"/>
      <c r="H8" s="1215"/>
      <c r="I8" s="1215"/>
      <c r="J8" s="1215"/>
      <c r="K8" s="1215"/>
      <c r="L8" s="1215"/>
      <c r="M8" s="1215"/>
      <c r="N8" s="734"/>
      <c r="O8" s="1215" t="s">
        <v>1481</v>
      </c>
      <c r="P8" s="1215"/>
      <c r="Q8" s="734"/>
      <c r="R8" s="1215" t="s">
        <v>1482</v>
      </c>
      <c r="S8" s="1215"/>
      <c r="T8" s="255"/>
      <c r="U8" s="1510"/>
      <c r="V8" s="2060"/>
    </row>
    <row r="9" spans="1:22" ht="13.9">
      <c r="A9" s="1510"/>
      <c r="B9" s="1510"/>
      <c r="C9" s="734"/>
      <c r="D9" s="725" t="str">
        <f>'WACC and TIC Inputs'!N219</f>
        <v>market</v>
      </c>
      <c r="E9" s="725" t="s">
        <v>1456</v>
      </c>
      <c r="F9" s="725" t="s">
        <v>1457</v>
      </c>
      <c r="G9" s="724"/>
      <c r="H9" s="724"/>
      <c r="I9" s="724"/>
      <c r="J9" s="724"/>
      <c r="K9" s="724"/>
      <c r="L9" s="724"/>
      <c r="M9" s="724"/>
      <c r="N9" s="724"/>
      <c r="O9" s="724"/>
      <c r="P9" s="724"/>
      <c r="Q9" s="734"/>
      <c r="R9" s="736" t="s">
        <v>1483</v>
      </c>
      <c r="S9" s="736"/>
      <c r="T9" s="255"/>
      <c r="U9" s="1510"/>
      <c r="V9" s="2060"/>
    </row>
    <row r="10" spans="1:22" ht="13.9">
      <c r="A10" s="1510"/>
      <c r="B10" s="1510"/>
      <c r="C10" s="1838"/>
      <c r="D10" s="1221" t="str">
        <f>'WACC and TIC Inputs'!N220</f>
        <v>capital</v>
      </c>
      <c r="E10" s="1221" t="s">
        <v>1460</v>
      </c>
      <c r="F10" s="1221" t="s">
        <v>1460</v>
      </c>
      <c r="G10" s="1221" t="s">
        <v>704</v>
      </c>
      <c r="H10" s="1221" t="s">
        <v>705</v>
      </c>
      <c r="I10" s="1221" t="s">
        <v>707</v>
      </c>
      <c r="J10" s="1221" t="s">
        <v>708</v>
      </c>
      <c r="K10" s="1221" t="s">
        <v>709</v>
      </c>
      <c r="L10" s="1221" t="s">
        <v>710</v>
      </c>
      <c r="M10" s="1221" t="s">
        <v>711</v>
      </c>
      <c r="N10" s="724"/>
      <c r="O10" s="1221" t="s">
        <v>704</v>
      </c>
      <c r="P10" s="1222">
        <f>LFQLTM</f>
        <v>42643</v>
      </c>
      <c r="Q10" s="734"/>
      <c r="R10" s="1221" t="s">
        <v>704</v>
      </c>
      <c r="S10" s="1222">
        <f>LFQLTM</f>
        <v>42643</v>
      </c>
      <c r="T10" s="1513"/>
      <c r="U10" s="1510"/>
      <c r="V10" s="2060"/>
    </row>
    <row r="11" spans="1:22" s="1499" customFormat="1" ht="13.9">
      <c r="A11" s="1510"/>
      <c r="B11" s="1510"/>
      <c r="C11" s="1839" t="s">
        <v>1256</v>
      </c>
      <c r="D11" s="725"/>
      <c r="E11" s="725"/>
      <c r="F11" s="725"/>
      <c r="G11" s="725"/>
      <c r="H11" s="725"/>
      <c r="I11" s="725"/>
      <c r="J11" s="725"/>
      <c r="K11" s="725"/>
      <c r="L11" s="725"/>
      <c r="M11" s="725"/>
      <c r="N11" s="724"/>
      <c r="O11" s="725"/>
      <c r="P11" s="1837"/>
      <c r="Q11" s="734"/>
      <c r="R11" s="725"/>
      <c r="S11" s="1837"/>
      <c r="T11" s="1513"/>
      <c r="U11" s="1510"/>
      <c r="V11" s="2060"/>
    </row>
    <row r="12" spans="1:22" ht="13.9">
      <c r="A12" s="1632" t="str">
        <f t="shared" ref="A12:A36" si="0">IF(E12="--","n","")</f>
        <v>n</v>
      </c>
      <c r="B12" s="1510"/>
      <c r="C12" s="173" t="str">
        <f>'DATA GPC'!E$20</f>
        <v>--</v>
      </c>
      <c r="D12" s="90" t="str">
        <f>'WACC and TIC Inputs'!N221</f>
        <v>--</v>
      </c>
      <c r="E12" s="1549" t="str">
        <f t="shared" ref="E12:M12" si="1">IFERROR(IF($D12/E61&lt;=0,"nmf",$D12/E61),"--")</f>
        <v>--</v>
      </c>
      <c r="F12" s="1549" t="str">
        <f t="shared" si="1"/>
        <v>--</v>
      </c>
      <c r="G12" s="1549" t="str">
        <f t="shared" si="1"/>
        <v>--</v>
      </c>
      <c r="H12" s="1549" t="str">
        <f t="shared" si="1"/>
        <v>--</v>
      </c>
      <c r="I12" s="1549" t="str">
        <f t="shared" si="1"/>
        <v>--</v>
      </c>
      <c r="J12" s="1549" t="str">
        <f t="shared" si="1"/>
        <v>--</v>
      </c>
      <c r="K12" s="1549" t="str">
        <f t="shared" si="1"/>
        <v>--</v>
      </c>
      <c r="L12" s="1549" t="str">
        <f t="shared" si="1"/>
        <v>--</v>
      </c>
      <c r="M12" s="1549" t="str">
        <f t="shared" si="1"/>
        <v>--</v>
      </c>
      <c r="N12" s="255"/>
      <c r="O12" s="1549" t="str">
        <f t="shared" ref="O12:P27" si="2">IFERROR(IF($D12/O61&lt;=0,"nmf",$D12/O61),"--")</f>
        <v>--</v>
      </c>
      <c r="P12" s="1549" t="str">
        <f t="shared" si="2"/>
        <v>--</v>
      </c>
      <c r="Q12" s="1549"/>
      <c r="R12" s="1549" t="str">
        <f t="shared" ref="R12:S25" si="3">IFERROR(IF($D12/R61&lt;=0,"nmf",$D12/R61),"--")</f>
        <v>--</v>
      </c>
      <c r="S12" s="1549" t="str">
        <f t="shared" si="3"/>
        <v>--</v>
      </c>
      <c r="T12" s="1513"/>
      <c r="U12" s="1510"/>
      <c r="V12" s="2060"/>
    </row>
    <row r="13" spans="1:22" ht="13.9">
      <c r="A13" s="1632" t="str">
        <f t="shared" si="0"/>
        <v>n</v>
      </c>
      <c r="B13" s="1510"/>
      <c r="C13" s="173" t="str">
        <f>'DATA GPC'!E$21</f>
        <v>--</v>
      </c>
      <c r="D13" s="90" t="str">
        <f>'WACC and TIC Inputs'!N222</f>
        <v>--</v>
      </c>
      <c r="E13" s="1549" t="str">
        <f t="shared" ref="E13:M13" si="4">IFERROR(IF($D13/E62&lt;=0,"nmf",$D13/E62),"--")</f>
        <v>--</v>
      </c>
      <c r="F13" s="1549" t="str">
        <f t="shared" si="4"/>
        <v>--</v>
      </c>
      <c r="G13" s="1549" t="str">
        <f t="shared" si="4"/>
        <v>--</v>
      </c>
      <c r="H13" s="1549" t="str">
        <f t="shared" si="4"/>
        <v>--</v>
      </c>
      <c r="I13" s="1549" t="str">
        <f t="shared" si="4"/>
        <v>--</v>
      </c>
      <c r="J13" s="1549" t="str">
        <f t="shared" si="4"/>
        <v>--</v>
      </c>
      <c r="K13" s="1549" t="str">
        <f t="shared" si="4"/>
        <v>--</v>
      </c>
      <c r="L13" s="1549" t="str">
        <f t="shared" si="4"/>
        <v>--</v>
      </c>
      <c r="M13" s="1549" t="str">
        <f t="shared" si="4"/>
        <v>--</v>
      </c>
      <c r="N13" s="255"/>
      <c r="O13" s="1549" t="str">
        <f t="shared" si="2"/>
        <v>--</v>
      </c>
      <c r="P13" s="1549" t="str">
        <f t="shared" si="2"/>
        <v>--</v>
      </c>
      <c r="Q13" s="1549"/>
      <c r="R13" s="1549" t="str">
        <f t="shared" si="3"/>
        <v>--</v>
      </c>
      <c r="S13" s="1549" t="str">
        <f t="shared" si="3"/>
        <v>--</v>
      </c>
      <c r="T13" s="1513"/>
      <c r="U13" s="1510"/>
      <c r="V13" s="2060"/>
    </row>
    <row r="14" spans="1:22" ht="13.9">
      <c r="A14" s="1632" t="str">
        <f t="shared" si="0"/>
        <v>n</v>
      </c>
      <c r="B14" s="1510"/>
      <c r="C14" s="173" t="str">
        <f>'DATA GPC'!E$22</f>
        <v>--</v>
      </c>
      <c r="D14" s="90" t="str">
        <f>'WACC and TIC Inputs'!N223</f>
        <v>--</v>
      </c>
      <c r="E14" s="1549" t="str">
        <f t="shared" ref="E14:M14" si="5">IFERROR(IF($D14/E63&lt;=0,"nmf",$D14/E63),"--")</f>
        <v>--</v>
      </c>
      <c r="F14" s="1549" t="str">
        <f t="shared" si="5"/>
        <v>--</v>
      </c>
      <c r="G14" s="1549" t="str">
        <f t="shared" si="5"/>
        <v>--</v>
      </c>
      <c r="H14" s="1549" t="str">
        <f t="shared" si="5"/>
        <v>--</v>
      </c>
      <c r="I14" s="1549" t="str">
        <f t="shared" si="5"/>
        <v>--</v>
      </c>
      <c r="J14" s="1549" t="str">
        <f t="shared" si="5"/>
        <v>--</v>
      </c>
      <c r="K14" s="1549" t="str">
        <f t="shared" si="5"/>
        <v>--</v>
      </c>
      <c r="L14" s="1549" t="str">
        <f t="shared" si="5"/>
        <v>--</v>
      </c>
      <c r="M14" s="1549" t="str">
        <f t="shared" si="5"/>
        <v>--</v>
      </c>
      <c r="N14" s="255"/>
      <c r="O14" s="1549" t="str">
        <f t="shared" si="2"/>
        <v>--</v>
      </c>
      <c r="P14" s="1549" t="str">
        <f t="shared" si="2"/>
        <v>--</v>
      </c>
      <c r="Q14" s="1549"/>
      <c r="R14" s="1549" t="str">
        <f t="shared" si="3"/>
        <v>--</v>
      </c>
      <c r="S14" s="1549" t="str">
        <f t="shared" si="3"/>
        <v>--</v>
      </c>
      <c r="T14" s="1513"/>
      <c r="U14" s="1510"/>
      <c r="V14" s="2060"/>
    </row>
    <row r="15" spans="1:22" ht="13.9">
      <c r="A15" s="1632" t="str">
        <f t="shared" si="0"/>
        <v>n</v>
      </c>
      <c r="B15" s="1510"/>
      <c r="C15" s="173" t="str">
        <f>'DATA GPC'!E$23</f>
        <v>--</v>
      </c>
      <c r="D15" s="90" t="str">
        <f>'WACC and TIC Inputs'!N224</f>
        <v>--</v>
      </c>
      <c r="E15" s="663" t="str">
        <f t="shared" ref="E15:M15" si="6">IFERROR(IF($D15/E64&lt;=0,"nmf",$D15/E64),"--")</f>
        <v>--</v>
      </c>
      <c r="F15" s="1549" t="str">
        <f t="shared" si="6"/>
        <v>--</v>
      </c>
      <c r="G15" s="1549" t="str">
        <f t="shared" si="6"/>
        <v>--</v>
      </c>
      <c r="H15" s="1549" t="str">
        <f t="shared" si="6"/>
        <v>--</v>
      </c>
      <c r="I15" s="1549" t="str">
        <f t="shared" si="6"/>
        <v>--</v>
      </c>
      <c r="J15" s="1549" t="str">
        <f t="shared" si="6"/>
        <v>--</v>
      </c>
      <c r="K15" s="1549" t="str">
        <f t="shared" si="6"/>
        <v>--</v>
      </c>
      <c r="L15" s="1549" t="str">
        <f t="shared" si="6"/>
        <v>--</v>
      </c>
      <c r="M15" s="1549" t="str">
        <f t="shared" si="6"/>
        <v>--</v>
      </c>
      <c r="N15" s="255"/>
      <c r="O15" s="1549" t="str">
        <f t="shared" si="2"/>
        <v>--</v>
      </c>
      <c r="P15" s="1549" t="str">
        <f t="shared" si="2"/>
        <v>--</v>
      </c>
      <c r="Q15" s="1549"/>
      <c r="R15" s="1549" t="str">
        <f t="shared" si="3"/>
        <v>--</v>
      </c>
      <c r="S15" s="1549" t="str">
        <f t="shared" si="3"/>
        <v>--</v>
      </c>
      <c r="T15" s="1513"/>
      <c r="U15" s="1510"/>
      <c r="V15" s="2060"/>
    </row>
    <row r="16" spans="1:22" ht="13.9">
      <c r="A16" s="1632" t="str">
        <f t="shared" si="0"/>
        <v>n</v>
      </c>
      <c r="B16" s="1510"/>
      <c r="C16" s="173" t="str">
        <f>'DATA GPC'!E$24</f>
        <v>--</v>
      </c>
      <c r="D16" s="90" t="str">
        <f>'WACC and TIC Inputs'!N225</f>
        <v>--</v>
      </c>
      <c r="E16" s="663" t="str">
        <f t="shared" ref="E16:M16" si="7">IFERROR(IF($D16/E65&lt;=0,"nmf",$D16/E65),"--")</f>
        <v>--</v>
      </c>
      <c r="F16" s="1549" t="str">
        <f t="shared" si="7"/>
        <v>--</v>
      </c>
      <c r="G16" s="1549" t="str">
        <f t="shared" si="7"/>
        <v>--</v>
      </c>
      <c r="H16" s="1549" t="str">
        <f t="shared" si="7"/>
        <v>--</v>
      </c>
      <c r="I16" s="1549" t="str">
        <f t="shared" si="7"/>
        <v>--</v>
      </c>
      <c r="J16" s="1549" t="str">
        <f t="shared" si="7"/>
        <v>--</v>
      </c>
      <c r="K16" s="1549" t="str">
        <f t="shared" si="7"/>
        <v>--</v>
      </c>
      <c r="L16" s="1549" t="str">
        <f t="shared" si="7"/>
        <v>--</v>
      </c>
      <c r="M16" s="1549" t="str">
        <f t="shared" si="7"/>
        <v>--</v>
      </c>
      <c r="N16" s="255"/>
      <c r="O16" s="1549" t="str">
        <f t="shared" si="2"/>
        <v>--</v>
      </c>
      <c r="P16" s="1549" t="str">
        <f t="shared" si="2"/>
        <v>--</v>
      </c>
      <c r="Q16" s="1549"/>
      <c r="R16" s="1549" t="str">
        <f t="shared" si="3"/>
        <v>--</v>
      </c>
      <c r="S16" s="1549" t="str">
        <f t="shared" si="3"/>
        <v>--</v>
      </c>
      <c r="T16" s="1513"/>
      <c r="U16" s="1510"/>
      <c r="V16" s="2060"/>
    </row>
    <row r="17" spans="1:22" ht="13.9">
      <c r="A17" s="1632" t="str">
        <f t="shared" si="0"/>
        <v>n</v>
      </c>
      <c r="B17" s="1510"/>
      <c r="C17" s="173" t="str">
        <f>'DATA GPC'!E$25</f>
        <v>--</v>
      </c>
      <c r="D17" s="90" t="str">
        <f>'WACC and TIC Inputs'!N226</f>
        <v>--</v>
      </c>
      <c r="E17" s="663" t="str">
        <f t="shared" ref="E17:M17" si="8">IFERROR(IF($D17/E66&lt;=0,"nmf",$D17/E66),"--")</f>
        <v>--</v>
      </c>
      <c r="F17" s="1549" t="str">
        <f t="shared" si="8"/>
        <v>--</v>
      </c>
      <c r="G17" s="1549" t="str">
        <f t="shared" si="8"/>
        <v>--</v>
      </c>
      <c r="H17" s="1549" t="str">
        <f t="shared" si="8"/>
        <v>--</v>
      </c>
      <c r="I17" s="1549" t="str">
        <f t="shared" si="8"/>
        <v>--</v>
      </c>
      <c r="J17" s="1549" t="str">
        <f t="shared" si="8"/>
        <v>--</v>
      </c>
      <c r="K17" s="1549" t="str">
        <f t="shared" si="8"/>
        <v>--</v>
      </c>
      <c r="L17" s="1549" t="str">
        <f t="shared" si="8"/>
        <v>--</v>
      </c>
      <c r="M17" s="1549" t="str">
        <f t="shared" si="8"/>
        <v>--</v>
      </c>
      <c r="N17" s="255"/>
      <c r="O17" s="1549" t="str">
        <f t="shared" si="2"/>
        <v>--</v>
      </c>
      <c r="P17" s="1549" t="str">
        <f t="shared" si="2"/>
        <v>--</v>
      </c>
      <c r="Q17" s="1549"/>
      <c r="R17" s="1549" t="str">
        <f t="shared" si="3"/>
        <v>--</v>
      </c>
      <c r="S17" s="1549" t="str">
        <f t="shared" si="3"/>
        <v>--</v>
      </c>
      <c r="T17" s="1513"/>
      <c r="U17" s="1510"/>
      <c r="V17" s="1506"/>
    </row>
    <row r="18" spans="1:22" ht="13.9">
      <c r="A18" s="1632" t="str">
        <f t="shared" si="0"/>
        <v>n</v>
      </c>
      <c r="B18" s="1510"/>
      <c r="C18" s="173" t="str">
        <f>'DATA GPC'!E$26</f>
        <v>--</v>
      </c>
      <c r="D18" s="90" t="str">
        <f>'WACC and TIC Inputs'!N227</f>
        <v>--</v>
      </c>
      <c r="E18" s="663" t="str">
        <f t="shared" ref="E18:M18" si="9">IFERROR(IF($D18/E67&lt;=0,"nmf",$D18/E67),"--")</f>
        <v>--</v>
      </c>
      <c r="F18" s="1549" t="str">
        <f t="shared" si="9"/>
        <v>--</v>
      </c>
      <c r="G18" s="1549" t="str">
        <f t="shared" si="9"/>
        <v>--</v>
      </c>
      <c r="H18" s="1549" t="str">
        <f t="shared" si="9"/>
        <v>--</v>
      </c>
      <c r="I18" s="1549" t="str">
        <f t="shared" si="9"/>
        <v>--</v>
      </c>
      <c r="J18" s="1549" t="str">
        <f t="shared" si="9"/>
        <v>--</v>
      </c>
      <c r="K18" s="1549" t="str">
        <f t="shared" si="9"/>
        <v>--</v>
      </c>
      <c r="L18" s="1549" t="str">
        <f t="shared" si="9"/>
        <v>--</v>
      </c>
      <c r="M18" s="1549" t="str">
        <f t="shared" si="9"/>
        <v>--</v>
      </c>
      <c r="N18" s="255"/>
      <c r="O18" s="1549" t="str">
        <f t="shared" si="2"/>
        <v>--</v>
      </c>
      <c r="P18" s="1549" t="str">
        <f t="shared" si="2"/>
        <v>--</v>
      </c>
      <c r="Q18" s="1549"/>
      <c r="R18" s="1549" t="str">
        <f t="shared" si="3"/>
        <v>--</v>
      </c>
      <c r="S18" s="1549" t="str">
        <f t="shared" si="3"/>
        <v>--</v>
      </c>
      <c r="T18" s="1513"/>
      <c r="U18" s="1510"/>
      <c r="V18" s="1506"/>
    </row>
    <row r="19" spans="1:22" ht="13.9">
      <c r="A19" s="1632" t="str">
        <f t="shared" si="0"/>
        <v>n</v>
      </c>
      <c r="B19" s="1510"/>
      <c r="C19" s="173" t="str">
        <f>'DATA GPC'!E$27</f>
        <v>--</v>
      </c>
      <c r="D19" s="90" t="str">
        <f>'WACC and TIC Inputs'!N228</f>
        <v>--</v>
      </c>
      <c r="E19" s="663" t="str">
        <f t="shared" ref="E19:M19" si="10">IFERROR(IF($D19/E68&lt;=0,"nmf",$D19/E68),"--")</f>
        <v>--</v>
      </c>
      <c r="F19" s="1549" t="str">
        <f t="shared" si="10"/>
        <v>--</v>
      </c>
      <c r="G19" s="1549" t="str">
        <f t="shared" si="10"/>
        <v>--</v>
      </c>
      <c r="H19" s="1549" t="str">
        <f t="shared" si="10"/>
        <v>--</v>
      </c>
      <c r="I19" s="1549" t="str">
        <f t="shared" si="10"/>
        <v>--</v>
      </c>
      <c r="J19" s="1549" t="str">
        <f t="shared" si="10"/>
        <v>--</v>
      </c>
      <c r="K19" s="1549" t="str">
        <f t="shared" si="10"/>
        <v>--</v>
      </c>
      <c r="L19" s="1549" t="str">
        <f t="shared" si="10"/>
        <v>--</v>
      </c>
      <c r="M19" s="1549" t="str">
        <f t="shared" si="10"/>
        <v>--</v>
      </c>
      <c r="N19" s="255"/>
      <c r="O19" s="1549" t="str">
        <f t="shared" si="2"/>
        <v>--</v>
      </c>
      <c r="P19" s="1549" t="str">
        <f t="shared" si="2"/>
        <v>--</v>
      </c>
      <c r="Q19" s="1549"/>
      <c r="R19" s="1549" t="str">
        <f t="shared" si="3"/>
        <v>--</v>
      </c>
      <c r="S19" s="1549" t="str">
        <f t="shared" si="3"/>
        <v>--</v>
      </c>
      <c r="T19" s="1513"/>
      <c r="U19" s="1510"/>
      <c r="V19" s="1506"/>
    </row>
    <row r="20" spans="1:22" ht="13.9">
      <c r="A20" s="1632" t="str">
        <f t="shared" si="0"/>
        <v>n</v>
      </c>
      <c r="B20" s="1510"/>
      <c r="C20" s="173" t="str">
        <f>'DATA GPC'!E$28</f>
        <v>--</v>
      </c>
      <c r="D20" s="90" t="str">
        <f>'WACC and TIC Inputs'!N229</f>
        <v>--</v>
      </c>
      <c r="E20" s="663" t="str">
        <f t="shared" ref="E20:M20" si="11">IFERROR(IF($D20/E69&lt;=0,"nmf",$D20/E69),"--")</f>
        <v>--</v>
      </c>
      <c r="F20" s="1549" t="str">
        <f t="shared" si="11"/>
        <v>--</v>
      </c>
      <c r="G20" s="1549" t="str">
        <f t="shared" si="11"/>
        <v>--</v>
      </c>
      <c r="H20" s="1549" t="str">
        <f t="shared" si="11"/>
        <v>--</v>
      </c>
      <c r="I20" s="1549" t="str">
        <f t="shared" si="11"/>
        <v>--</v>
      </c>
      <c r="J20" s="1549" t="str">
        <f t="shared" si="11"/>
        <v>--</v>
      </c>
      <c r="K20" s="1549" t="str">
        <f t="shared" si="11"/>
        <v>--</v>
      </c>
      <c r="L20" s="1549" t="str">
        <f t="shared" si="11"/>
        <v>--</v>
      </c>
      <c r="M20" s="1549" t="str">
        <f t="shared" si="11"/>
        <v>--</v>
      </c>
      <c r="N20" s="255"/>
      <c r="O20" s="1549" t="str">
        <f t="shared" si="2"/>
        <v>--</v>
      </c>
      <c r="P20" s="1549" t="str">
        <f t="shared" si="2"/>
        <v>--</v>
      </c>
      <c r="Q20" s="1549"/>
      <c r="R20" s="1549" t="str">
        <f t="shared" si="3"/>
        <v>--</v>
      </c>
      <c r="S20" s="1549" t="str">
        <f t="shared" si="3"/>
        <v>--</v>
      </c>
      <c r="T20" s="1513"/>
      <c r="U20" s="1510"/>
      <c r="V20" s="1506"/>
    </row>
    <row r="21" spans="1:22" ht="13.9">
      <c r="A21" s="1632" t="str">
        <f t="shared" si="0"/>
        <v>n</v>
      </c>
      <c r="B21" s="1510"/>
      <c r="C21" s="173" t="str">
        <f>'DATA GPC'!E$29</f>
        <v>--</v>
      </c>
      <c r="D21" s="90" t="str">
        <f>'WACC and TIC Inputs'!N230</f>
        <v>--</v>
      </c>
      <c r="E21" s="663" t="str">
        <f t="shared" ref="E21:M21" si="12">IFERROR(IF($D21/E70&lt;=0,"nmf",$D21/E70),"--")</f>
        <v>--</v>
      </c>
      <c r="F21" s="1549" t="str">
        <f t="shared" si="12"/>
        <v>--</v>
      </c>
      <c r="G21" s="1549" t="str">
        <f t="shared" si="12"/>
        <v>--</v>
      </c>
      <c r="H21" s="1549" t="str">
        <f t="shared" si="12"/>
        <v>--</v>
      </c>
      <c r="I21" s="1549" t="str">
        <f t="shared" si="12"/>
        <v>--</v>
      </c>
      <c r="J21" s="1549" t="str">
        <f t="shared" si="12"/>
        <v>--</v>
      </c>
      <c r="K21" s="1549" t="str">
        <f t="shared" si="12"/>
        <v>--</v>
      </c>
      <c r="L21" s="1549" t="str">
        <f t="shared" si="12"/>
        <v>--</v>
      </c>
      <c r="M21" s="1549" t="str">
        <f t="shared" si="12"/>
        <v>--</v>
      </c>
      <c r="N21" s="255"/>
      <c r="O21" s="1549" t="str">
        <f t="shared" si="2"/>
        <v>--</v>
      </c>
      <c r="P21" s="1549" t="str">
        <f t="shared" si="2"/>
        <v>--</v>
      </c>
      <c r="Q21" s="1549"/>
      <c r="R21" s="1549" t="str">
        <f t="shared" si="3"/>
        <v>--</v>
      </c>
      <c r="S21" s="1549" t="str">
        <f t="shared" si="3"/>
        <v>--</v>
      </c>
      <c r="T21" s="1513"/>
      <c r="U21" s="1510"/>
      <c r="V21" s="1506"/>
    </row>
    <row r="22" spans="1:22" ht="13.9">
      <c r="A22" s="1632" t="str">
        <f t="shared" si="0"/>
        <v>n</v>
      </c>
      <c r="B22" s="1510"/>
      <c r="C22" s="173" t="str">
        <f>'DATA GPC'!E$30</f>
        <v>--</v>
      </c>
      <c r="D22" s="90" t="str">
        <f>'WACC and TIC Inputs'!N231</f>
        <v>--</v>
      </c>
      <c r="E22" s="663" t="str">
        <f t="shared" ref="E22:M22" si="13">IFERROR(IF($D22/E71&lt;=0,"nmf",$D22/E71),"--")</f>
        <v>--</v>
      </c>
      <c r="F22" s="1549" t="str">
        <f t="shared" si="13"/>
        <v>--</v>
      </c>
      <c r="G22" s="1549" t="str">
        <f t="shared" si="13"/>
        <v>--</v>
      </c>
      <c r="H22" s="1549" t="str">
        <f t="shared" si="13"/>
        <v>--</v>
      </c>
      <c r="I22" s="1549" t="str">
        <f t="shared" si="13"/>
        <v>--</v>
      </c>
      <c r="J22" s="1549" t="str">
        <f t="shared" si="13"/>
        <v>--</v>
      </c>
      <c r="K22" s="1549" t="str">
        <f t="shared" si="13"/>
        <v>--</v>
      </c>
      <c r="L22" s="1549" t="str">
        <f t="shared" si="13"/>
        <v>--</v>
      </c>
      <c r="M22" s="1549" t="str">
        <f t="shared" si="13"/>
        <v>--</v>
      </c>
      <c r="N22" s="255"/>
      <c r="O22" s="1549" t="str">
        <f t="shared" si="2"/>
        <v>--</v>
      </c>
      <c r="P22" s="1549" t="str">
        <f t="shared" si="2"/>
        <v>--</v>
      </c>
      <c r="Q22" s="1549"/>
      <c r="R22" s="1549" t="str">
        <f t="shared" si="3"/>
        <v>--</v>
      </c>
      <c r="S22" s="1549" t="str">
        <f t="shared" si="3"/>
        <v>--</v>
      </c>
      <c r="T22" s="1513"/>
      <c r="U22" s="1510"/>
      <c r="V22" s="1506"/>
    </row>
    <row r="23" spans="1:22" ht="12.75" customHeight="1">
      <c r="A23" s="1632" t="str">
        <f t="shared" si="0"/>
        <v>n</v>
      </c>
      <c r="B23" s="1510"/>
      <c r="C23" s="173" t="str">
        <f>'DATA GPC'!E$31</f>
        <v>--</v>
      </c>
      <c r="D23" s="90" t="str">
        <f>'WACC and TIC Inputs'!N232</f>
        <v>--</v>
      </c>
      <c r="E23" s="663" t="str">
        <f t="shared" ref="E23:M23" si="14">IFERROR(IF($D23/E72&lt;=0,"nmf",$D23/E72),"--")</f>
        <v>--</v>
      </c>
      <c r="F23" s="1549" t="str">
        <f t="shared" si="14"/>
        <v>--</v>
      </c>
      <c r="G23" s="1549" t="str">
        <f t="shared" si="14"/>
        <v>--</v>
      </c>
      <c r="H23" s="1549" t="str">
        <f t="shared" si="14"/>
        <v>--</v>
      </c>
      <c r="I23" s="1549" t="str">
        <f t="shared" si="14"/>
        <v>--</v>
      </c>
      <c r="J23" s="1549" t="str">
        <f t="shared" si="14"/>
        <v>--</v>
      </c>
      <c r="K23" s="1549" t="str">
        <f t="shared" si="14"/>
        <v>--</v>
      </c>
      <c r="L23" s="1549" t="str">
        <f t="shared" si="14"/>
        <v>--</v>
      </c>
      <c r="M23" s="1549" t="str">
        <f t="shared" si="14"/>
        <v>--</v>
      </c>
      <c r="N23" s="255"/>
      <c r="O23" s="1549" t="str">
        <f t="shared" si="2"/>
        <v>--</v>
      </c>
      <c r="P23" s="1549" t="str">
        <f t="shared" si="2"/>
        <v>--</v>
      </c>
      <c r="Q23" s="1549"/>
      <c r="R23" s="1549" t="str">
        <f t="shared" si="3"/>
        <v>--</v>
      </c>
      <c r="S23" s="1549" t="str">
        <f t="shared" si="3"/>
        <v>--</v>
      </c>
      <c r="T23" s="1513"/>
      <c r="U23" s="1510"/>
      <c r="V23" s="1506"/>
    </row>
    <row r="24" spans="1:22" ht="13.9">
      <c r="A24" s="1632" t="str">
        <f t="shared" si="0"/>
        <v>n</v>
      </c>
      <c r="B24" s="1510"/>
      <c r="C24" s="173" t="str">
        <f>'DATA GPC'!E$32</f>
        <v>--</v>
      </c>
      <c r="D24" s="90" t="str">
        <f>'WACC and TIC Inputs'!N233</f>
        <v>--</v>
      </c>
      <c r="E24" s="663" t="str">
        <f t="shared" ref="E24:M24" si="15">IFERROR(IF($D24/E73&lt;=0,"nmf",$D24/E73),"--")</f>
        <v>--</v>
      </c>
      <c r="F24" s="1549" t="str">
        <f t="shared" si="15"/>
        <v>--</v>
      </c>
      <c r="G24" s="1549" t="str">
        <f t="shared" si="15"/>
        <v>--</v>
      </c>
      <c r="H24" s="1549" t="str">
        <f t="shared" si="15"/>
        <v>--</v>
      </c>
      <c r="I24" s="1549" t="str">
        <f t="shared" si="15"/>
        <v>--</v>
      </c>
      <c r="J24" s="1549" t="str">
        <f t="shared" si="15"/>
        <v>--</v>
      </c>
      <c r="K24" s="1549" t="str">
        <f t="shared" si="15"/>
        <v>--</v>
      </c>
      <c r="L24" s="1549" t="str">
        <f t="shared" si="15"/>
        <v>--</v>
      </c>
      <c r="M24" s="1549" t="str">
        <f t="shared" si="15"/>
        <v>--</v>
      </c>
      <c r="N24" s="255"/>
      <c r="O24" s="1549" t="str">
        <f t="shared" si="2"/>
        <v>--</v>
      </c>
      <c r="P24" s="1549" t="str">
        <f t="shared" si="2"/>
        <v>--</v>
      </c>
      <c r="Q24" s="1549"/>
      <c r="R24" s="1549" t="str">
        <f t="shared" si="3"/>
        <v>--</v>
      </c>
      <c r="S24" s="1549" t="str">
        <f t="shared" si="3"/>
        <v>--</v>
      </c>
      <c r="T24" s="1513"/>
      <c r="U24" s="1510"/>
      <c r="V24" s="1506"/>
    </row>
    <row r="25" spans="1:22" ht="13.9">
      <c r="A25" s="1632" t="str">
        <f t="shared" si="0"/>
        <v>n</v>
      </c>
      <c r="B25" s="1510"/>
      <c r="C25" s="173" t="str">
        <f>'DATA GPC'!E$33</f>
        <v>--</v>
      </c>
      <c r="D25" s="90" t="str">
        <f>'WACC and TIC Inputs'!N234</f>
        <v>--</v>
      </c>
      <c r="E25" s="663" t="str">
        <f t="shared" ref="E25:M25" si="16">IFERROR(IF($D25/E74&lt;=0,"nmf",$D25/E74),"--")</f>
        <v>--</v>
      </c>
      <c r="F25" s="1549" t="str">
        <f>IFERROR(IF($D25/F74&lt;=0,"nmf",$D25/F74),"--")</f>
        <v>--</v>
      </c>
      <c r="G25" s="1549" t="str">
        <f t="shared" si="16"/>
        <v>--</v>
      </c>
      <c r="H25" s="1549" t="str">
        <f t="shared" si="16"/>
        <v>--</v>
      </c>
      <c r="I25" s="1549" t="str">
        <f t="shared" si="16"/>
        <v>--</v>
      </c>
      <c r="J25" s="1549" t="str">
        <f t="shared" si="16"/>
        <v>--</v>
      </c>
      <c r="K25" s="1549" t="str">
        <f t="shared" si="16"/>
        <v>--</v>
      </c>
      <c r="L25" s="1549" t="str">
        <f t="shared" si="16"/>
        <v>--</v>
      </c>
      <c r="M25" s="1549" t="str">
        <f t="shared" si="16"/>
        <v>--</v>
      </c>
      <c r="N25" s="255"/>
      <c r="O25" s="1549" t="str">
        <f t="shared" si="2"/>
        <v>--</v>
      </c>
      <c r="P25" s="1549" t="str">
        <f t="shared" si="2"/>
        <v>--</v>
      </c>
      <c r="Q25" s="1549"/>
      <c r="R25" s="1549" t="str">
        <f t="shared" si="3"/>
        <v>--</v>
      </c>
      <c r="S25" s="1549" t="str">
        <f t="shared" si="3"/>
        <v>--</v>
      </c>
      <c r="T25" s="1513"/>
      <c r="U25" s="1510"/>
      <c r="V25" s="1506"/>
    </row>
    <row r="26" spans="1:22" s="1499" customFormat="1" ht="13.9">
      <c r="A26" s="1632" t="str">
        <f t="shared" si="0"/>
        <v>n</v>
      </c>
      <c r="B26" s="1510"/>
      <c r="C26" s="173" t="str">
        <f>'DATA GPC'!E$34</f>
        <v>--</v>
      </c>
      <c r="D26" s="90" t="str">
        <f>'WACC and TIC Inputs'!N235</f>
        <v>--</v>
      </c>
      <c r="E26" s="663" t="str">
        <f t="shared" ref="E26:M26" si="17">IFERROR(IF($D26/E75&lt;=0,"nmf",$D26/E75),"--")</f>
        <v>--</v>
      </c>
      <c r="F26" s="1549" t="str">
        <f t="shared" si="17"/>
        <v>--</v>
      </c>
      <c r="G26" s="1549" t="str">
        <f t="shared" si="17"/>
        <v>--</v>
      </c>
      <c r="H26" s="1549" t="str">
        <f t="shared" si="17"/>
        <v>--</v>
      </c>
      <c r="I26" s="1549" t="str">
        <f t="shared" si="17"/>
        <v>--</v>
      </c>
      <c r="J26" s="1549" t="str">
        <f t="shared" si="17"/>
        <v>--</v>
      </c>
      <c r="K26" s="1549" t="str">
        <f t="shared" si="17"/>
        <v>--</v>
      </c>
      <c r="L26" s="1549" t="str">
        <f t="shared" si="17"/>
        <v>--</v>
      </c>
      <c r="M26" s="1549" t="str">
        <f t="shared" si="17"/>
        <v>--</v>
      </c>
      <c r="N26" s="255"/>
      <c r="O26" s="1549" t="str">
        <f t="shared" si="2"/>
        <v>--</v>
      </c>
      <c r="P26" s="1549" t="str">
        <f t="shared" si="2"/>
        <v>--</v>
      </c>
      <c r="Q26" s="1549"/>
      <c r="R26" s="1549" t="str">
        <f>IFERROR(IF($D26/R85&lt;=0,"nmf",$D26/R85),"--")</f>
        <v>--</v>
      </c>
      <c r="S26" s="1549" t="str">
        <f>IFERROR(IF($D26/S85&lt;=0,"nmf",$D26/S85),"--")</f>
        <v>--</v>
      </c>
      <c r="T26" s="1513"/>
      <c r="U26" s="1510"/>
      <c r="V26" s="1506"/>
    </row>
    <row r="27" spans="1:22" s="1499" customFormat="1" ht="13.9">
      <c r="A27" s="1632" t="str">
        <f t="shared" si="0"/>
        <v>n</v>
      </c>
      <c r="B27" s="1510"/>
      <c r="C27" s="173" t="str">
        <f>'DATA GPC'!E$35</f>
        <v>--</v>
      </c>
      <c r="D27" s="90" t="str">
        <f>'WACC and TIC Inputs'!N236</f>
        <v>--</v>
      </c>
      <c r="E27" s="663" t="str">
        <f t="shared" ref="E27:M27" si="18">IFERROR(IF($D27/E76&lt;=0,"nmf",$D27/E76),"--")</f>
        <v>--</v>
      </c>
      <c r="F27" s="1549" t="str">
        <f t="shared" si="18"/>
        <v>--</v>
      </c>
      <c r="G27" s="1549" t="str">
        <f t="shared" si="18"/>
        <v>--</v>
      </c>
      <c r="H27" s="1549" t="str">
        <f t="shared" si="18"/>
        <v>--</v>
      </c>
      <c r="I27" s="1549" t="str">
        <f t="shared" si="18"/>
        <v>--</v>
      </c>
      <c r="J27" s="1549" t="str">
        <f t="shared" si="18"/>
        <v>--</v>
      </c>
      <c r="K27" s="1549" t="str">
        <f t="shared" si="18"/>
        <v>--</v>
      </c>
      <c r="L27" s="1549" t="str">
        <f t="shared" si="18"/>
        <v>--</v>
      </c>
      <c r="M27" s="1549" t="str">
        <f t="shared" si="18"/>
        <v>--</v>
      </c>
      <c r="N27" s="255"/>
      <c r="O27" s="1549" t="str">
        <f t="shared" si="2"/>
        <v>--</v>
      </c>
      <c r="P27" s="1549" t="str">
        <f t="shared" si="2"/>
        <v>--</v>
      </c>
      <c r="Q27" s="1549"/>
      <c r="R27" s="1549" t="str">
        <f t="shared" ref="R27:S36" si="19">IFERROR(IF($D27/R93&lt;=0,"nmf",$D27/R93),"--")</f>
        <v>--</v>
      </c>
      <c r="S27" s="1549" t="str">
        <f t="shared" si="19"/>
        <v>--</v>
      </c>
      <c r="T27" s="1513"/>
      <c r="U27" s="1510"/>
      <c r="V27" s="1506"/>
    </row>
    <row r="28" spans="1:22" s="1499" customFormat="1" ht="13.9">
      <c r="A28" s="1632" t="str">
        <f t="shared" si="0"/>
        <v>n</v>
      </c>
      <c r="B28" s="1510"/>
      <c r="C28" s="173" t="str">
        <f>'DATA GPC'!E$36</f>
        <v>--</v>
      </c>
      <c r="D28" s="90" t="str">
        <f>'WACC and TIC Inputs'!N237</f>
        <v>--</v>
      </c>
      <c r="E28" s="663" t="str">
        <f t="shared" ref="E28:M28" si="20">IFERROR(IF($D28/E94&lt;=0,"nmf",$D28/E94),"--")</f>
        <v>--</v>
      </c>
      <c r="F28" s="1549" t="str">
        <f t="shared" si="20"/>
        <v>--</v>
      </c>
      <c r="G28" s="1549" t="str">
        <f t="shared" si="20"/>
        <v>--</v>
      </c>
      <c r="H28" s="1549" t="str">
        <f t="shared" si="20"/>
        <v>--</v>
      </c>
      <c r="I28" s="1549" t="str">
        <f t="shared" si="20"/>
        <v>--</v>
      </c>
      <c r="J28" s="1549" t="str">
        <f t="shared" si="20"/>
        <v>--</v>
      </c>
      <c r="K28" s="1549" t="str">
        <f t="shared" si="20"/>
        <v>--</v>
      </c>
      <c r="L28" s="1549" t="str">
        <f t="shared" si="20"/>
        <v>--</v>
      </c>
      <c r="M28" s="1549" t="str">
        <f t="shared" si="20"/>
        <v>--</v>
      </c>
      <c r="N28" s="255"/>
      <c r="O28" s="1549" t="str">
        <f t="shared" ref="O28:P36" si="21">IFERROR(IF($D28/O94&lt;=0,"nmf",$D28/O94),"--")</f>
        <v>--</v>
      </c>
      <c r="P28" s="1549" t="str">
        <f t="shared" si="21"/>
        <v>--</v>
      </c>
      <c r="Q28" s="1549"/>
      <c r="R28" s="1549" t="str">
        <f t="shared" si="19"/>
        <v>--</v>
      </c>
      <c r="S28" s="1549" t="str">
        <f t="shared" si="19"/>
        <v>--</v>
      </c>
      <c r="T28" s="1513"/>
      <c r="U28" s="1510"/>
      <c r="V28" s="1506"/>
    </row>
    <row r="29" spans="1:22" s="1499" customFormat="1" ht="13.9">
      <c r="A29" s="1632" t="str">
        <f t="shared" si="0"/>
        <v>n</v>
      </c>
      <c r="B29" s="1510"/>
      <c r="C29" s="173" t="str">
        <f>'DATA GPC'!E$37</f>
        <v>--</v>
      </c>
      <c r="D29" s="90" t="str">
        <f>'WACC and TIC Inputs'!N238</f>
        <v>--</v>
      </c>
      <c r="E29" s="663" t="str">
        <f t="shared" ref="E29:M29" si="22">IFERROR(IF($D29/E95&lt;=0,"nmf",$D29/E95),"--")</f>
        <v>--</v>
      </c>
      <c r="F29" s="1549" t="str">
        <f t="shared" si="22"/>
        <v>--</v>
      </c>
      <c r="G29" s="1549" t="str">
        <f t="shared" si="22"/>
        <v>--</v>
      </c>
      <c r="H29" s="1549" t="str">
        <f t="shared" si="22"/>
        <v>--</v>
      </c>
      <c r="I29" s="1549" t="str">
        <f t="shared" si="22"/>
        <v>--</v>
      </c>
      <c r="J29" s="1549" t="str">
        <f t="shared" si="22"/>
        <v>--</v>
      </c>
      <c r="K29" s="1549" t="str">
        <f t="shared" si="22"/>
        <v>--</v>
      </c>
      <c r="L29" s="1549" t="str">
        <f t="shared" si="22"/>
        <v>--</v>
      </c>
      <c r="M29" s="1549" t="str">
        <f t="shared" si="22"/>
        <v>--</v>
      </c>
      <c r="N29" s="255"/>
      <c r="O29" s="1549" t="str">
        <f t="shared" si="21"/>
        <v>--</v>
      </c>
      <c r="P29" s="1549" t="str">
        <f t="shared" si="21"/>
        <v>--</v>
      </c>
      <c r="Q29" s="1549"/>
      <c r="R29" s="1549" t="str">
        <f t="shared" si="19"/>
        <v>--</v>
      </c>
      <c r="S29" s="1549" t="str">
        <f t="shared" si="19"/>
        <v>--</v>
      </c>
      <c r="T29" s="1513"/>
      <c r="U29" s="1510"/>
      <c r="V29" s="1506"/>
    </row>
    <row r="30" spans="1:22" s="1499" customFormat="1" ht="13.9">
      <c r="A30" s="1632" t="str">
        <f t="shared" si="0"/>
        <v>n</v>
      </c>
      <c r="B30" s="1510"/>
      <c r="C30" s="173" t="str">
        <f>'DATA GPC'!E$38</f>
        <v>--</v>
      </c>
      <c r="D30" s="90" t="str">
        <f>'WACC and TIC Inputs'!N239</f>
        <v>--</v>
      </c>
      <c r="E30" s="663" t="str">
        <f t="shared" ref="E30:M30" si="23">IFERROR(IF($D30/E96&lt;=0,"nmf",$D30/E96),"--")</f>
        <v>--</v>
      </c>
      <c r="F30" s="1549" t="str">
        <f t="shared" si="23"/>
        <v>--</v>
      </c>
      <c r="G30" s="1549" t="str">
        <f t="shared" si="23"/>
        <v>--</v>
      </c>
      <c r="H30" s="1549" t="str">
        <f t="shared" si="23"/>
        <v>--</v>
      </c>
      <c r="I30" s="1549" t="str">
        <f t="shared" si="23"/>
        <v>--</v>
      </c>
      <c r="J30" s="1549" t="str">
        <f t="shared" si="23"/>
        <v>--</v>
      </c>
      <c r="K30" s="1549" t="str">
        <f t="shared" si="23"/>
        <v>--</v>
      </c>
      <c r="L30" s="1549" t="str">
        <f t="shared" si="23"/>
        <v>--</v>
      </c>
      <c r="M30" s="1549" t="str">
        <f t="shared" si="23"/>
        <v>--</v>
      </c>
      <c r="N30" s="255"/>
      <c r="O30" s="1549" t="str">
        <f t="shared" si="21"/>
        <v>--</v>
      </c>
      <c r="P30" s="1549" t="str">
        <f t="shared" si="21"/>
        <v>--</v>
      </c>
      <c r="Q30" s="1549"/>
      <c r="R30" s="1549" t="str">
        <f t="shared" si="19"/>
        <v>--</v>
      </c>
      <c r="S30" s="1549" t="str">
        <f t="shared" si="19"/>
        <v>--</v>
      </c>
      <c r="T30" s="1513"/>
      <c r="U30" s="1510"/>
      <c r="V30" s="1506"/>
    </row>
    <row r="31" spans="1:22" s="1499" customFormat="1" ht="13.9">
      <c r="A31" s="1632" t="str">
        <f t="shared" si="0"/>
        <v>n</v>
      </c>
      <c r="B31" s="1510"/>
      <c r="C31" s="173" t="str">
        <f>'DATA GPC'!E$39</f>
        <v>--</v>
      </c>
      <c r="D31" s="90" t="str">
        <f>'WACC and TIC Inputs'!N240</f>
        <v>--</v>
      </c>
      <c r="E31" s="663" t="str">
        <f t="shared" ref="E31:M31" si="24">IFERROR(IF($D31/E97&lt;=0,"nmf",$D31/E97),"--")</f>
        <v>--</v>
      </c>
      <c r="F31" s="1549" t="str">
        <f t="shared" si="24"/>
        <v>--</v>
      </c>
      <c r="G31" s="1549" t="str">
        <f t="shared" si="24"/>
        <v>--</v>
      </c>
      <c r="H31" s="1549" t="str">
        <f t="shared" si="24"/>
        <v>--</v>
      </c>
      <c r="I31" s="1549" t="str">
        <f t="shared" si="24"/>
        <v>--</v>
      </c>
      <c r="J31" s="1549" t="str">
        <f t="shared" si="24"/>
        <v>--</v>
      </c>
      <c r="K31" s="1549" t="str">
        <f t="shared" si="24"/>
        <v>--</v>
      </c>
      <c r="L31" s="1549" t="str">
        <f t="shared" si="24"/>
        <v>--</v>
      </c>
      <c r="M31" s="1549" t="str">
        <f t="shared" si="24"/>
        <v>--</v>
      </c>
      <c r="N31" s="255"/>
      <c r="O31" s="1549" t="str">
        <f t="shared" si="21"/>
        <v>--</v>
      </c>
      <c r="P31" s="1549" t="str">
        <f t="shared" si="21"/>
        <v>--</v>
      </c>
      <c r="Q31" s="1549"/>
      <c r="R31" s="1549" t="str">
        <f t="shared" si="19"/>
        <v>--</v>
      </c>
      <c r="S31" s="1549" t="str">
        <f t="shared" si="19"/>
        <v>--</v>
      </c>
      <c r="T31" s="1513"/>
      <c r="U31" s="1510"/>
      <c r="V31" s="1506"/>
    </row>
    <row r="32" spans="1:22" s="1499" customFormat="1" ht="13.9">
      <c r="A32" s="1632" t="str">
        <f t="shared" si="0"/>
        <v>n</v>
      </c>
      <c r="B32" s="1510"/>
      <c r="C32" s="173" t="str">
        <f>'DATA GPC'!E$40</f>
        <v>--</v>
      </c>
      <c r="D32" s="90" t="str">
        <f>'WACC and TIC Inputs'!N241</f>
        <v>--</v>
      </c>
      <c r="E32" s="663" t="str">
        <f t="shared" ref="E32:M32" si="25">IFERROR(IF($D32/E98&lt;=0,"nmf",$D32/E98),"--")</f>
        <v>--</v>
      </c>
      <c r="F32" s="1549" t="str">
        <f t="shared" si="25"/>
        <v>--</v>
      </c>
      <c r="G32" s="1549" t="str">
        <f t="shared" si="25"/>
        <v>--</v>
      </c>
      <c r="H32" s="1549" t="str">
        <f t="shared" si="25"/>
        <v>--</v>
      </c>
      <c r="I32" s="1549" t="str">
        <f t="shared" si="25"/>
        <v>--</v>
      </c>
      <c r="J32" s="1549" t="str">
        <f t="shared" si="25"/>
        <v>--</v>
      </c>
      <c r="K32" s="1549" t="str">
        <f t="shared" si="25"/>
        <v>--</v>
      </c>
      <c r="L32" s="1549" t="str">
        <f t="shared" si="25"/>
        <v>--</v>
      </c>
      <c r="M32" s="1549" t="str">
        <f t="shared" si="25"/>
        <v>--</v>
      </c>
      <c r="N32" s="255"/>
      <c r="O32" s="1549" t="str">
        <f t="shared" si="21"/>
        <v>--</v>
      </c>
      <c r="P32" s="1549" t="str">
        <f t="shared" si="21"/>
        <v>--</v>
      </c>
      <c r="Q32" s="1549"/>
      <c r="R32" s="1549" t="str">
        <f t="shared" si="19"/>
        <v>--</v>
      </c>
      <c r="S32" s="1549" t="str">
        <f t="shared" si="19"/>
        <v>--</v>
      </c>
      <c r="T32" s="1513"/>
      <c r="U32" s="1510"/>
      <c r="V32" s="1506"/>
    </row>
    <row r="33" spans="1:24" s="1499" customFormat="1" ht="13.9">
      <c r="A33" s="1632" t="str">
        <f t="shared" si="0"/>
        <v>n</v>
      </c>
      <c r="B33" s="1510"/>
      <c r="C33" s="173" t="str">
        <f>'DATA GPC'!E$41</f>
        <v>--</v>
      </c>
      <c r="D33" s="90" t="str">
        <f>'WACC and TIC Inputs'!N242</f>
        <v>--</v>
      </c>
      <c r="E33" s="663" t="str">
        <f t="shared" ref="E33:M33" si="26">IFERROR(IF($D33/E99&lt;=0,"nmf",$D33/E99),"--")</f>
        <v>--</v>
      </c>
      <c r="F33" s="1549" t="str">
        <f t="shared" si="26"/>
        <v>--</v>
      </c>
      <c r="G33" s="1549" t="str">
        <f t="shared" si="26"/>
        <v>--</v>
      </c>
      <c r="H33" s="1549" t="str">
        <f t="shared" si="26"/>
        <v>--</v>
      </c>
      <c r="I33" s="1549" t="str">
        <f t="shared" si="26"/>
        <v>--</v>
      </c>
      <c r="J33" s="1549" t="str">
        <f t="shared" si="26"/>
        <v>--</v>
      </c>
      <c r="K33" s="1549" t="str">
        <f t="shared" si="26"/>
        <v>--</v>
      </c>
      <c r="L33" s="1549" t="str">
        <f t="shared" si="26"/>
        <v>--</v>
      </c>
      <c r="M33" s="1549" t="str">
        <f t="shared" si="26"/>
        <v>--</v>
      </c>
      <c r="N33" s="255"/>
      <c r="O33" s="1549" t="str">
        <f t="shared" si="21"/>
        <v>--</v>
      </c>
      <c r="P33" s="1549" t="str">
        <f t="shared" si="21"/>
        <v>--</v>
      </c>
      <c r="Q33" s="1549"/>
      <c r="R33" s="1549" t="str">
        <f t="shared" si="19"/>
        <v>--</v>
      </c>
      <c r="S33" s="1549" t="str">
        <f t="shared" si="19"/>
        <v>--</v>
      </c>
      <c r="T33" s="1513"/>
      <c r="U33" s="1510"/>
      <c r="V33" s="1506"/>
      <c r="W33" s="2060"/>
      <c r="X33" s="2060"/>
    </row>
    <row r="34" spans="1:24" s="1499" customFormat="1" ht="13.9">
      <c r="A34" s="1632" t="str">
        <f t="shared" si="0"/>
        <v>n</v>
      </c>
      <c r="B34" s="1510"/>
      <c r="C34" s="173" t="str">
        <f>'DATA GPC'!E$42</f>
        <v>--</v>
      </c>
      <c r="D34" s="90" t="str">
        <f>'WACC and TIC Inputs'!N243</f>
        <v>--</v>
      </c>
      <c r="E34" s="663" t="str">
        <f t="shared" ref="E34:M34" si="27">IFERROR(IF($D34/E100&lt;=0,"nmf",$D34/E100),"--")</f>
        <v>--</v>
      </c>
      <c r="F34" s="1549" t="str">
        <f t="shared" si="27"/>
        <v>--</v>
      </c>
      <c r="G34" s="1549" t="str">
        <f t="shared" si="27"/>
        <v>--</v>
      </c>
      <c r="H34" s="1549" t="str">
        <f t="shared" si="27"/>
        <v>--</v>
      </c>
      <c r="I34" s="1549" t="str">
        <f t="shared" si="27"/>
        <v>--</v>
      </c>
      <c r="J34" s="1549" t="str">
        <f t="shared" si="27"/>
        <v>--</v>
      </c>
      <c r="K34" s="1549" t="str">
        <f t="shared" si="27"/>
        <v>--</v>
      </c>
      <c r="L34" s="1549" t="str">
        <f t="shared" si="27"/>
        <v>--</v>
      </c>
      <c r="M34" s="1549" t="str">
        <f t="shared" si="27"/>
        <v>--</v>
      </c>
      <c r="N34" s="255"/>
      <c r="O34" s="1549" t="str">
        <f t="shared" si="21"/>
        <v>--</v>
      </c>
      <c r="P34" s="1549" t="str">
        <f t="shared" si="21"/>
        <v>--</v>
      </c>
      <c r="Q34" s="1549"/>
      <c r="R34" s="1549" t="str">
        <f t="shared" si="19"/>
        <v>--</v>
      </c>
      <c r="S34" s="1549" t="str">
        <f t="shared" si="19"/>
        <v>--</v>
      </c>
      <c r="T34" s="1513"/>
      <c r="U34" s="1510"/>
      <c r="V34" s="1506"/>
      <c r="W34" s="2060"/>
      <c r="X34" s="2060"/>
    </row>
    <row r="35" spans="1:24" s="1499" customFormat="1" ht="13.9">
      <c r="A35" s="1632" t="str">
        <f t="shared" si="0"/>
        <v>n</v>
      </c>
      <c r="B35" s="1510"/>
      <c r="C35" s="173" t="str">
        <f>'DATA GPC'!E$43</f>
        <v>--</v>
      </c>
      <c r="D35" s="90" t="str">
        <f>'WACC and TIC Inputs'!N244</f>
        <v>--</v>
      </c>
      <c r="E35" s="663" t="str">
        <f t="shared" ref="E35:M35" si="28">IFERROR(IF($D35/E101&lt;=0,"nmf",$D35/E101),"--")</f>
        <v>--</v>
      </c>
      <c r="F35" s="1549" t="str">
        <f t="shared" si="28"/>
        <v>--</v>
      </c>
      <c r="G35" s="1549" t="str">
        <f t="shared" si="28"/>
        <v>--</v>
      </c>
      <c r="H35" s="1549" t="str">
        <f t="shared" si="28"/>
        <v>--</v>
      </c>
      <c r="I35" s="1549" t="str">
        <f t="shared" si="28"/>
        <v>--</v>
      </c>
      <c r="J35" s="1549" t="str">
        <f t="shared" si="28"/>
        <v>--</v>
      </c>
      <c r="K35" s="1549" t="str">
        <f t="shared" si="28"/>
        <v>--</v>
      </c>
      <c r="L35" s="1549" t="str">
        <f t="shared" si="28"/>
        <v>--</v>
      </c>
      <c r="M35" s="1549" t="str">
        <f t="shared" si="28"/>
        <v>--</v>
      </c>
      <c r="N35" s="255"/>
      <c r="O35" s="1549" t="str">
        <f t="shared" si="21"/>
        <v>--</v>
      </c>
      <c r="P35" s="1549" t="str">
        <f t="shared" si="21"/>
        <v>--</v>
      </c>
      <c r="Q35" s="1549"/>
      <c r="R35" s="1549" t="str">
        <f t="shared" si="19"/>
        <v>--</v>
      </c>
      <c r="S35" s="1549" t="str">
        <f t="shared" si="19"/>
        <v>--</v>
      </c>
      <c r="T35" s="1513"/>
      <c r="U35" s="1510"/>
      <c r="V35" s="1506"/>
      <c r="W35" s="2060"/>
      <c r="X35" s="2060"/>
    </row>
    <row r="36" spans="1:24" ht="13.9">
      <c r="A36" s="1632" t="str">
        <f t="shared" si="0"/>
        <v>n</v>
      </c>
      <c r="B36" s="1510"/>
      <c r="C36" s="173" t="str">
        <f>'DATA GPC'!E$44</f>
        <v>--</v>
      </c>
      <c r="D36" s="90" t="str">
        <f>'WACC and TIC Inputs'!N245</f>
        <v>--</v>
      </c>
      <c r="E36" s="663" t="str">
        <f t="shared" ref="E36:M36" si="29">IFERROR(IF($D36/E102&lt;=0,"nmf",$D36/E102),"--")</f>
        <v>--</v>
      </c>
      <c r="F36" s="1549" t="str">
        <f t="shared" si="29"/>
        <v>--</v>
      </c>
      <c r="G36" s="1549" t="str">
        <f t="shared" si="29"/>
        <v>--</v>
      </c>
      <c r="H36" s="1549" t="str">
        <f t="shared" si="29"/>
        <v>--</v>
      </c>
      <c r="I36" s="1549" t="str">
        <f t="shared" si="29"/>
        <v>--</v>
      </c>
      <c r="J36" s="1549" t="str">
        <f t="shared" si="29"/>
        <v>--</v>
      </c>
      <c r="K36" s="1549" t="str">
        <f t="shared" si="29"/>
        <v>--</v>
      </c>
      <c r="L36" s="1549" t="str">
        <f t="shared" si="29"/>
        <v>--</v>
      </c>
      <c r="M36" s="1549" t="str">
        <f t="shared" si="29"/>
        <v>--</v>
      </c>
      <c r="N36" s="255"/>
      <c r="O36" s="1549" t="str">
        <f t="shared" si="21"/>
        <v>--</v>
      </c>
      <c r="P36" s="1549" t="str">
        <f t="shared" si="21"/>
        <v>--</v>
      </c>
      <c r="Q36" s="1549"/>
      <c r="R36" s="1549" t="str">
        <f t="shared" si="19"/>
        <v>--</v>
      </c>
      <c r="S36" s="1549" t="str">
        <f t="shared" si="19"/>
        <v>--</v>
      </c>
      <c r="T36" s="1513"/>
      <c r="U36" s="1510"/>
      <c r="V36" s="1506"/>
      <c r="W36" s="2060"/>
      <c r="X36" s="2060"/>
    </row>
    <row r="37" spans="1:24" ht="13.9">
      <c r="A37" s="1510"/>
      <c r="B37" s="1510"/>
      <c r="C37" s="173"/>
      <c r="D37" s="90"/>
      <c r="E37" s="663"/>
      <c r="F37" s="168"/>
      <c r="G37" s="168"/>
      <c r="H37" s="168"/>
      <c r="I37" s="168"/>
      <c r="J37" s="168"/>
      <c r="K37" s="168"/>
      <c r="L37" s="168"/>
      <c r="M37" s="168"/>
      <c r="N37" s="2060"/>
      <c r="O37" s="168"/>
      <c r="P37" s="168"/>
      <c r="Q37" s="2060"/>
      <c r="R37" s="168"/>
      <c r="S37" s="168"/>
      <c r="T37" s="1506"/>
      <c r="U37" s="1510"/>
      <c r="V37" s="1506"/>
      <c r="W37" s="2060"/>
      <c r="X37" s="2060"/>
    </row>
    <row r="38" spans="1:24" ht="13.9">
      <c r="A38" s="1510"/>
      <c r="B38" s="1510"/>
      <c r="C38" s="2060"/>
      <c r="D38" s="1570" t="s">
        <v>1275</v>
      </c>
      <c r="E38" s="1945" t="str">
        <f t="shared" ref="E38:K38" si="30">IFERROR(QUARTILE(E12:E36,4),"n/a")</f>
        <v>n/a</v>
      </c>
      <c r="F38" s="1945" t="str">
        <f t="shared" si="30"/>
        <v>n/a</v>
      </c>
      <c r="G38" s="1945" t="str">
        <f t="shared" si="30"/>
        <v>n/a</v>
      </c>
      <c r="H38" s="1945" t="str">
        <f t="shared" si="30"/>
        <v>n/a</v>
      </c>
      <c r="I38" s="1945" t="str">
        <f t="shared" si="30"/>
        <v>n/a</v>
      </c>
      <c r="J38" s="1945" t="str">
        <f t="shared" si="30"/>
        <v>n/a</v>
      </c>
      <c r="K38" s="1945" t="str">
        <f t="shared" si="30"/>
        <v>n/a</v>
      </c>
      <c r="L38" s="1945" t="str">
        <f>IFERROR(QUARTILE(L12:L36,4),"n/a")</f>
        <v>n/a</v>
      </c>
      <c r="M38" s="1945" t="str">
        <f>IFERROR(QUARTILE(M12:M36,4),"n/a")</f>
        <v>n/a</v>
      </c>
      <c r="N38" s="2060"/>
      <c r="O38" s="1945" t="str">
        <f>IFERROR(QUARTILE(O12:O36,4),"n/a")</f>
        <v>n/a</v>
      </c>
      <c r="P38" s="1945" t="str">
        <f>IFERROR(QUARTILE(P12:P36,4),"n/a")</f>
        <v>n/a</v>
      </c>
      <c r="Q38" s="2060"/>
      <c r="R38" s="1945" t="str">
        <f>IFERROR(QUARTILE(R12:R36,4),"n/a")</f>
        <v>n/a</v>
      </c>
      <c r="S38" s="1945" t="str">
        <f>IFERROR(QUARTILE(S12:S36,4),"n/a")</f>
        <v>n/a</v>
      </c>
      <c r="T38" s="1516"/>
      <c r="U38" s="1510"/>
      <c r="V38" s="1506"/>
      <c r="W38" s="2060"/>
      <c r="X38" s="2060"/>
    </row>
    <row r="39" spans="1:24" s="1499" customFormat="1" ht="13.9">
      <c r="A39" s="1510"/>
      <c r="B39" s="1510"/>
      <c r="C39" s="2060"/>
      <c r="D39" s="1570" t="s">
        <v>1469</v>
      </c>
      <c r="E39" s="663" t="str">
        <f t="shared" ref="E39:K39" si="31">IFERROR(QUARTILE(E12:E36,3),"n/a")</f>
        <v>n/a</v>
      </c>
      <c r="F39" s="663" t="str">
        <f t="shared" si="31"/>
        <v>n/a</v>
      </c>
      <c r="G39" s="663" t="str">
        <f t="shared" si="31"/>
        <v>n/a</v>
      </c>
      <c r="H39" s="663" t="str">
        <f t="shared" si="31"/>
        <v>n/a</v>
      </c>
      <c r="I39" s="663" t="str">
        <f t="shared" si="31"/>
        <v>n/a</v>
      </c>
      <c r="J39" s="663" t="str">
        <f t="shared" si="31"/>
        <v>n/a</v>
      </c>
      <c r="K39" s="663" t="str">
        <f t="shared" si="31"/>
        <v>n/a</v>
      </c>
      <c r="L39" s="663" t="str">
        <f>IFERROR(QUARTILE(L12:L36,3),"n/a")</f>
        <v>n/a</v>
      </c>
      <c r="M39" s="663" t="str">
        <f>IFERROR(QUARTILE(M12:M36,3),"n/a")</f>
        <v>n/a</v>
      </c>
      <c r="N39" s="2060"/>
      <c r="O39" s="663" t="str">
        <f>IFERROR(QUARTILE(O12:O36,3),"n/a")</f>
        <v>n/a</v>
      </c>
      <c r="P39" s="663" t="str">
        <f>IFERROR(QUARTILE(P12:P36,3),"n/a")</f>
        <v>n/a</v>
      </c>
      <c r="Q39" s="2060"/>
      <c r="R39" s="663" t="str">
        <f>IFERROR(QUARTILE(R12:R36,3),"n/a")</f>
        <v>n/a</v>
      </c>
      <c r="S39" s="663" t="str">
        <f>IFERROR(QUARTILE(S12:S36,3),"n/a")</f>
        <v>n/a</v>
      </c>
      <c r="T39" s="1516"/>
      <c r="U39" s="1510"/>
      <c r="V39" s="1506"/>
      <c r="W39" s="2060"/>
      <c r="X39" s="2060"/>
    </row>
    <row r="40" spans="1:24" ht="12.75" customHeight="1">
      <c r="A40" s="1510"/>
      <c r="B40" s="1510"/>
      <c r="C40" s="2060"/>
      <c r="D40" s="1743" t="s">
        <v>1157</v>
      </c>
      <c r="E40" s="663" t="str">
        <f t="shared" ref="E40:K40" si="32">IFERROR(AVERAGE(E12:E36),"n/a")</f>
        <v>n/a</v>
      </c>
      <c r="F40" s="1549" t="str">
        <f t="shared" si="32"/>
        <v>n/a</v>
      </c>
      <c r="G40" s="1549" t="str">
        <f t="shared" si="32"/>
        <v>n/a</v>
      </c>
      <c r="H40" s="1549" t="str">
        <f t="shared" si="32"/>
        <v>n/a</v>
      </c>
      <c r="I40" s="1549" t="str">
        <f t="shared" si="32"/>
        <v>n/a</v>
      </c>
      <c r="J40" s="1549" t="str">
        <f t="shared" si="32"/>
        <v>n/a</v>
      </c>
      <c r="K40" s="1549" t="str">
        <f t="shared" si="32"/>
        <v>n/a</v>
      </c>
      <c r="L40" s="1549" t="str">
        <f>IFERROR(AVERAGE(L12:L36),"n/a")</f>
        <v>n/a</v>
      </c>
      <c r="M40" s="1549" t="str">
        <f>IFERROR(AVERAGE(M12:M36),"n/a")</f>
        <v>n/a</v>
      </c>
      <c r="N40" s="2060"/>
      <c r="O40" s="1549" t="str">
        <f>IFERROR(AVERAGE(O12:O36),"n/a")</f>
        <v>n/a</v>
      </c>
      <c r="P40" s="1549" t="str">
        <f>IFERROR(AVERAGE(P12:P36),"n/a")</f>
        <v>n/a</v>
      </c>
      <c r="Q40" s="2060"/>
      <c r="R40" s="1549" t="str">
        <f>IFERROR(AVERAGE(R12:R36),"n/a")</f>
        <v>n/a</v>
      </c>
      <c r="S40" s="1549" t="str">
        <f>IFERROR(AVERAGE(S12:S36),"n/a")</f>
        <v>n/a</v>
      </c>
      <c r="T40" s="1516"/>
      <c r="U40" s="1510"/>
      <c r="V40" s="1506"/>
      <c r="W40" s="2060"/>
      <c r="X40" s="2060"/>
    </row>
    <row r="41" spans="1:24" s="1499" customFormat="1" ht="13.9">
      <c r="A41" s="1510"/>
      <c r="B41" s="1510"/>
      <c r="C41" s="2060"/>
      <c r="D41" s="1570" t="s">
        <v>1158</v>
      </c>
      <c r="E41" s="663" t="str">
        <f>IFERROR(MEDIAN(E12:E36),"n/a")</f>
        <v>n/a</v>
      </c>
      <c r="F41" s="663" t="str">
        <f t="shared" ref="F41:S41" si="33">IFERROR(MEDIAN(F12:F36),"n/a")</f>
        <v>n/a</v>
      </c>
      <c r="G41" s="663" t="str">
        <f t="shared" si="33"/>
        <v>n/a</v>
      </c>
      <c r="H41" s="663" t="str">
        <f t="shared" si="33"/>
        <v>n/a</v>
      </c>
      <c r="I41" s="663" t="str">
        <f t="shared" si="33"/>
        <v>n/a</v>
      </c>
      <c r="J41" s="663" t="str">
        <f t="shared" si="33"/>
        <v>n/a</v>
      </c>
      <c r="K41" s="663" t="str">
        <f t="shared" si="33"/>
        <v>n/a</v>
      </c>
      <c r="L41" s="663" t="str">
        <f t="shared" si="33"/>
        <v>n/a</v>
      </c>
      <c r="M41" s="663" t="str">
        <f t="shared" si="33"/>
        <v>n/a</v>
      </c>
      <c r="N41" s="2060"/>
      <c r="O41" s="663" t="str">
        <f t="shared" si="33"/>
        <v>n/a</v>
      </c>
      <c r="P41" s="663" t="str">
        <f t="shared" si="33"/>
        <v>n/a</v>
      </c>
      <c r="Q41" s="2060"/>
      <c r="R41" s="663" t="str">
        <f t="shared" si="33"/>
        <v>n/a</v>
      </c>
      <c r="S41" s="663" t="str">
        <f t="shared" si="33"/>
        <v>n/a</v>
      </c>
      <c r="T41" s="1516"/>
      <c r="U41" s="1510"/>
      <c r="V41" s="1506"/>
      <c r="W41" s="2060"/>
      <c r="X41" s="2060"/>
    </row>
    <row r="42" spans="1:24" s="1499" customFormat="1" ht="13.9">
      <c r="A42" s="1510"/>
      <c r="B42" s="1510"/>
      <c r="C42" s="2060"/>
      <c r="D42" s="1570" t="s">
        <v>1470</v>
      </c>
      <c r="E42" s="663" t="str">
        <f t="shared" ref="E42:K42" si="34">IFERROR(QUARTILE(E12:E36,1),"n/a")</f>
        <v>n/a</v>
      </c>
      <c r="F42" s="663" t="str">
        <f t="shared" si="34"/>
        <v>n/a</v>
      </c>
      <c r="G42" s="663" t="str">
        <f t="shared" si="34"/>
        <v>n/a</v>
      </c>
      <c r="H42" s="663" t="str">
        <f t="shared" si="34"/>
        <v>n/a</v>
      </c>
      <c r="I42" s="663" t="str">
        <f t="shared" si="34"/>
        <v>n/a</v>
      </c>
      <c r="J42" s="663" t="str">
        <f t="shared" si="34"/>
        <v>n/a</v>
      </c>
      <c r="K42" s="663" t="str">
        <f t="shared" si="34"/>
        <v>n/a</v>
      </c>
      <c r="L42" s="663" t="str">
        <f>IFERROR(QUARTILE(L12:L36,1),"n/a")</f>
        <v>n/a</v>
      </c>
      <c r="M42" s="663" t="str">
        <f>IFERROR(QUARTILE(M12:M36,1),"n/a")</f>
        <v>n/a</v>
      </c>
      <c r="N42" s="2060"/>
      <c r="O42" s="663" t="str">
        <f>IFERROR(QUARTILE(O12:O36,1),"n/a")</f>
        <v>n/a</v>
      </c>
      <c r="P42" s="663" t="str">
        <f>IFERROR(QUARTILE(P12:P36,1),"n/a")</f>
        <v>n/a</v>
      </c>
      <c r="Q42" s="2060"/>
      <c r="R42" s="663" t="str">
        <f>IFERROR(QUARTILE(R12:R36,1),"n/a")</f>
        <v>n/a</v>
      </c>
      <c r="S42" s="663" t="str">
        <f>IFERROR(QUARTILE(S12:S36,1),"n/a")</f>
        <v>n/a</v>
      </c>
      <c r="T42" s="1516"/>
      <c r="U42" s="1510"/>
      <c r="V42" s="1506"/>
      <c r="W42" s="2060"/>
      <c r="X42" s="2060"/>
    </row>
    <row r="43" spans="1:24" s="1499" customFormat="1" ht="13.9">
      <c r="A43" s="1510"/>
      <c r="B43" s="1510"/>
      <c r="C43" s="2060"/>
      <c r="D43" s="1570" t="s">
        <v>1273</v>
      </c>
      <c r="E43" s="1946" t="str">
        <f t="shared" ref="E43:K43" si="35">IFERROR(QUARTILE(E12:E36,0),"n/a")</f>
        <v>n/a</v>
      </c>
      <c r="F43" s="1946" t="str">
        <f t="shared" si="35"/>
        <v>n/a</v>
      </c>
      <c r="G43" s="1946" t="str">
        <f t="shared" si="35"/>
        <v>n/a</v>
      </c>
      <c r="H43" s="1946" t="str">
        <f t="shared" si="35"/>
        <v>n/a</v>
      </c>
      <c r="I43" s="1946" t="str">
        <f t="shared" si="35"/>
        <v>n/a</v>
      </c>
      <c r="J43" s="1946" t="str">
        <f t="shared" si="35"/>
        <v>n/a</v>
      </c>
      <c r="K43" s="1946" t="str">
        <f t="shared" si="35"/>
        <v>n/a</v>
      </c>
      <c r="L43" s="1946" t="str">
        <f>IFERROR(QUARTILE(L12:L36,0),"n/a")</f>
        <v>n/a</v>
      </c>
      <c r="M43" s="1946" t="str">
        <f>IFERROR(QUARTILE(M12:M36,0),"n/a")</f>
        <v>n/a</v>
      </c>
      <c r="N43" s="2060"/>
      <c r="O43" s="1946" t="str">
        <f>IFERROR(QUARTILE(O12:O36,0),"n/a")</f>
        <v>n/a</v>
      </c>
      <c r="P43" s="1946" t="str">
        <f>IFERROR(QUARTILE(P12:P36,0),"n/a")</f>
        <v>n/a</v>
      </c>
      <c r="Q43" s="2060"/>
      <c r="R43" s="1946" t="str">
        <f>IFERROR(QUARTILE(R12:R36,0),"n/a")</f>
        <v>n/a</v>
      </c>
      <c r="S43" s="1946" t="str">
        <f>IFERROR(QUARTILE(S12:S36,0),"n/a")</f>
        <v>n/a</v>
      </c>
      <c r="T43" s="1516"/>
      <c r="U43" s="1510"/>
      <c r="V43" s="1506"/>
      <c r="W43" s="2060"/>
      <c r="X43" s="2060"/>
    </row>
    <row r="44" spans="1:24" ht="13.9">
      <c r="A44" s="1510"/>
      <c r="B44" s="1510"/>
      <c r="C44" s="1506"/>
      <c r="D44" s="1506"/>
      <c r="E44" s="1569"/>
      <c r="F44" s="1516"/>
      <c r="G44" s="1516"/>
      <c r="H44" s="1516"/>
      <c r="I44" s="1516"/>
      <c r="J44" s="1516"/>
      <c r="K44" s="1516"/>
      <c r="L44" s="1516"/>
      <c r="M44" s="1516"/>
      <c r="N44" s="2060"/>
      <c r="O44" s="1516"/>
      <c r="P44" s="1516"/>
      <c r="Q44" s="2060"/>
      <c r="R44" s="206"/>
      <c r="S44" s="206"/>
      <c r="T44" s="1506"/>
      <c r="U44" s="1510"/>
      <c r="V44" s="1506"/>
      <c r="W44" s="2060"/>
      <c r="X44" s="2060"/>
    </row>
    <row r="45" spans="1:24" s="449" customFormat="1" ht="13.9">
      <c r="A45" s="1510"/>
      <c r="B45" s="1510"/>
      <c r="C45" s="1506"/>
      <c r="D45" s="1506"/>
      <c r="E45" s="1567"/>
      <c r="F45" s="1506"/>
      <c r="G45" s="1506"/>
      <c r="H45" s="1506"/>
      <c r="I45" s="1506"/>
      <c r="J45" s="1506"/>
      <c r="K45" s="1506"/>
      <c r="L45" s="1506"/>
      <c r="M45" s="1506"/>
      <c r="N45" s="2060"/>
      <c r="O45" s="1506"/>
      <c r="P45" s="1506"/>
      <c r="Q45" s="2060"/>
      <c r="R45" s="206"/>
      <c r="S45" s="206"/>
      <c r="T45" s="1506"/>
      <c r="U45" s="1510"/>
      <c r="V45" s="1506"/>
      <c r="W45" s="2060"/>
      <c r="X45" s="2060"/>
    </row>
    <row r="46" spans="1:24" s="1506" customFormat="1" ht="12.95" customHeight="1">
      <c r="A46" s="1510"/>
      <c r="B46" s="1510"/>
      <c r="C46" s="1588" t="s">
        <v>1472</v>
      </c>
      <c r="D46" s="1555"/>
      <c r="E46" s="1580"/>
      <c r="F46" s="1549"/>
      <c r="G46" s="1549"/>
      <c r="H46" s="1549"/>
      <c r="I46" s="1549"/>
      <c r="J46" s="1549"/>
      <c r="K46" s="1549"/>
      <c r="L46" s="1516"/>
      <c r="M46" s="1504"/>
      <c r="N46" s="2060"/>
      <c r="O46" s="1504"/>
      <c r="P46" s="1504"/>
      <c r="Q46" s="2060"/>
      <c r="R46" s="1504"/>
      <c r="S46" s="1504"/>
      <c r="T46" s="1516"/>
      <c r="U46" s="1510"/>
      <c r="V46" s="1516"/>
      <c r="W46" s="1516"/>
      <c r="X46" s="1516"/>
    </row>
    <row r="47" spans="1:24" s="1499" customFormat="1" ht="13.9">
      <c r="A47" s="1566"/>
      <c r="B47" s="1510"/>
      <c r="C47" s="373" t="s">
        <v>1402</v>
      </c>
      <c r="D47" s="202"/>
      <c r="E47" s="672"/>
      <c r="F47" s="200"/>
      <c r="G47" s="1508"/>
      <c r="H47" s="1508"/>
      <c r="I47" s="1508"/>
      <c r="J47" s="1508"/>
      <c r="K47" s="1508"/>
      <c r="L47" s="1508"/>
      <c r="M47" s="1508"/>
      <c r="N47" s="2060"/>
      <c r="O47" s="1508"/>
      <c r="P47" s="1508"/>
      <c r="Q47" s="1508"/>
      <c r="R47" s="1508"/>
      <c r="S47" s="1508"/>
      <c r="T47" s="1508"/>
      <c r="U47" s="1510"/>
      <c r="V47" s="1506"/>
      <c r="W47" s="2060"/>
      <c r="X47" s="2060"/>
    </row>
    <row r="48" spans="1:24" s="1499" customFormat="1" ht="13.9">
      <c r="A48" s="1566"/>
      <c r="B48" s="1510"/>
      <c r="C48" s="373"/>
      <c r="D48" s="202"/>
      <c r="E48" s="672"/>
      <c r="F48" s="200"/>
      <c r="G48" s="1508"/>
      <c r="H48" s="1508"/>
      <c r="I48" s="1508"/>
      <c r="J48" s="1508"/>
      <c r="K48" s="1508"/>
      <c r="L48" s="1508"/>
      <c r="M48" s="1508"/>
      <c r="N48" s="2060"/>
      <c r="O48" s="1508"/>
      <c r="P48" s="1508"/>
      <c r="Q48" s="1508"/>
      <c r="R48" s="1508"/>
      <c r="S48" s="1508"/>
      <c r="T48" s="1508"/>
      <c r="U48" s="1510"/>
      <c r="V48" s="1506"/>
      <c r="W48" s="2060"/>
      <c r="X48" s="2060"/>
    </row>
    <row r="49" spans="1:22" s="1499" customFormat="1" ht="13.9">
      <c r="A49" s="1518"/>
      <c r="B49" s="1510"/>
      <c r="C49" s="373" t="str">
        <f ca="1">FootnoteDRAFT</f>
        <v>Run date: 05-August-2018  02:34 PM.   DRAFT document. All data subject to change upon completion of additional analysis.</v>
      </c>
      <c r="D49" s="202"/>
      <c r="E49" s="672"/>
      <c r="F49" s="200"/>
      <c r="G49" s="1508"/>
      <c r="H49" s="1508"/>
      <c r="I49" s="1508"/>
      <c r="J49" s="1508"/>
      <c r="K49" s="1508"/>
      <c r="L49" s="1508"/>
      <c r="M49" s="1508"/>
      <c r="N49" s="2060"/>
      <c r="O49" s="1508"/>
      <c r="P49" s="1508"/>
      <c r="Q49" s="1508"/>
      <c r="R49" s="1508"/>
      <c r="S49" s="1508"/>
      <c r="T49" s="1508"/>
      <c r="U49" s="1518"/>
      <c r="V49" s="1506"/>
    </row>
    <row r="50" spans="1:22" s="1499" customFormat="1" ht="13.9">
      <c r="A50" s="1510" t="s">
        <v>17</v>
      </c>
      <c r="B50" s="1510"/>
      <c r="C50" s="1510"/>
      <c r="D50" s="1510"/>
      <c r="E50" s="701"/>
      <c r="F50" s="1510"/>
      <c r="G50" s="1510"/>
      <c r="H50" s="1510"/>
      <c r="I50" s="1510"/>
      <c r="J50" s="1510"/>
      <c r="K50" s="1510"/>
      <c r="L50" s="1510"/>
      <c r="M50" s="1510"/>
      <c r="N50" s="1510"/>
      <c r="O50" s="1510"/>
      <c r="P50" s="1510"/>
      <c r="Q50" s="1510"/>
      <c r="R50" s="1510"/>
      <c r="S50" s="1510"/>
      <c r="T50" s="1546" t="str">
        <f>IF(A50="n","Page end","This page not printed")</f>
        <v>Page end</v>
      </c>
      <c r="U50" s="1510"/>
      <c r="V50" s="2060"/>
    </row>
    <row r="51" spans="1:22" s="1499" customFormat="1" ht="18" customHeight="1">
      <c r="A51" s="1510"/>
      <c r="B51" s="649">
        <f ca="1">SUMPRODUCT(--ISERROR($C$1:T106))+COUNTIF($C$1:T106,Fail)</f>
        <v>0</v>
      </c>
      <c r="C51" s="1372" t="str">
        <f>START!$C$1</f>
        <v>Client Name</v>
      </c>
      <c r="D51" s="172"/>
      <c r="E51" s="172"/>
      <c r="F51" s="172"/>
      <c r="G51" s="172"/>
      <c r="H51" s="172"/>
      <c r="I51" s="172"/>
      <c r="J51" s="172"/>
      <c r="K51" s="172"/>
      <c r="L51" s="172"/>
      <c r="M51" s="172"/>
      <c r="N51" s="172"/>
      <c r="O51" s="172"/>
      <c r="P51" s="172"/>
      <c r="Q51" s="172"/>
      <c r="R51" s="172"/>
      <c r="S51" s="1506"/>
      <c r="T51" s="389" t="str">
        <f>T1&amp;".a"</f>
        <v>Workpaper 1.a</v>
      </c>
      <c r="U51" s="1510"/>
      <c r="V51" s="1506"/>
    </row>
    <row r="52" spans="1:22" s="1499" customFormat="1" ht="18" customHeight="1">
      <c r="A52" s="1510"/>
      <c r="B52" s="1510"/>
      <c r="C52" s="1372" t="str">
        <f>START!$C$2</f>
        <v xml:space="preserve">Please enter project description in START worksheet cell G13 </v>
      </c>
      <c r="D52" s="172"/>
      <c r="E52" s="172"/>
      <c r="F52" s="172"/>
      <c r="G52" s="172"/>
      <c r="H52" s="172"/>
      <c r="I52" s="172"/>
      <c r="J52" s="172"/>
      <c r="K52" s="172"/>
      <c r="L52" s="172"/>
      <c r="M52" s="172"/>
      <c r="N52" s="172"/>
      <c r="O52" s="172"/>
      <c r="P52" s="172"/>
      <c r="Q52" s="172"/>
      <c r="R52" s="172"/>
      <c r="S52" s="1506"/>
      <c r="T52" s="1506"/>
      <c r="U52" s="1510"/>
      <c r="V52" s="1506"/>
    </row>
    <row r="53" spans="1:22" s="1499" customFormat="1" ht="18" customHeight="1">
      <c r="A53" s="1510"/>
      <c r="B53" s="1510"/>
      <c r="C53" s="839" t="s">
        <v>1479</v>
      </c>
      <c r="D53" s="172"/>
      <c r="E53" s="172"/>
      <c r="F53" s="172"/>
      <c r="G53" s="172"/>
      <c r="H53" s="172"/>
      <c r="I53" s="172"/>
      <c r="J53" s="172"/>
      <c r="K53" s="172"/>
      <c r="L53" s="172"/>
      <c r="M53" s="172"/>
      <c r="N53" s="172"/>
      <c r="O53" s="172"/>
      <c r="P53" s="172"/>
      <c r="Q53" s="172"/>
      <c r="R53" s="172"/>
      <c r="S53" s="1506"/>
      <c r="T53" s="1506"/>
      <c r="U53" s="1510"/>
      <c r="V53" s="1506"/>
    </row>
    <row r="54" spans="1:22" s="1499" customFormat="1" ht="18" customHeight="1">
      <c r="A54" s="1510"/>
      <c r="B54" s="1510"/>
      <c r="C54" s="840" t="str">
        <f>ValDateHeading</f>
        <v>Estimation of value as of 28 February 2017</v>
      </c>
      <c r="D54" s="172"/>
      <c r="E54" s="172"/>
      <c r="F54" s="172"/>
      <c r="G54" s="172"/>
      <c r="H54" s="172"/>
      <c r="I54" s="172"/>
      <c r="J54" s="172"/>
      <c r="K54" s="172"/>
      <c r="L54" s="172"/>
      <c r="M54" s="172"/>
      <c r="N54" s="172"/>
      <c r="O54" s="172"/>
      <c r="P54" s="172"/>
      <c r="Q54" s="172"/>
      <c r="R54" s="172"/>
      <c r="S54" s="1506"/>
      <c r="T54" s="1506"/>
      <c r="U54" s="1510"/>
      <c r="V54" s="1506"/>
    </row>
    <row r="55" spans="1:22" s="1499" customFormat="1" ht="13.9">
      <c r="A55" s="1417"/>
      <c r="B55" s="1510"/>
      <c r="C55" s="1506"/>
      <c r="D55" s="1506"/>
      <c r="E55" s="1506"/>
      <c r="F55" s="280" t="str">
        <f>IF(Val1Hist2=2,"Multiples with historical period market capital are for trending analysis only, and not for valuation work","")</f>
        <v/>
      </c>
      <c r="G55" s="1506"/>
      <c r="H55" s="1506"/>
      <c r="I55" s="1506"/>
      <c r="J55" s="1506"/>
      <c r="K55" s="1506"/>
      <c r="L55" s="1506"/>
      <c r="M55" s="1506"/>
      <c r="N55" s="1506"/>
      <c r="O55" s="1506"/>
      <c r="P55" s="1506"/>
      <c r="Q55" s="1506"/>
      <c r="R55" s="1506"/>
      <c r="S55" s="1506"/>
      <c r="T55" s="1506"/>
      <c r="U55" s="1510"/>
      <c r="V55" s="1506"/>
    </row>
    <row r="56" spans="1:22" s="1499" customFormat="1" ht="13.9">
      <c r="A56" s="1413" t="str">
        <f>IF(MasterCheck,"Please check the "&amp;'Error Check'!$G$8,"")</f>
        <v/>
      </c>
      <c r="B56" s="1424"/>
      <c r="C56" s="1511"/>
      <c r="D56" s="2060"/>
      <c r="E56" s="2060"/>
      <c r="F56" s="1506"/>
      <c r="G56" s="2060"/>
      <c r="H56" s="2060"/>
      <c r="I56" s="2060"/>
      <c r="J56" s="2060"/>
      <c r="K56" s="2060"/>
      <c r="L56" s="2060"/>
      <c r="M56" s="2060"/>
      <c r="N56" s="2060"/>
      <c r="O56" s="2060"/>
      <c r="P56" s="2060"/>
      <c r="Q56" s="2060"/>
      <c r="R56" s="1506"/>
      <c r="S56" s="1506"/>
      <c r="T56" s="1506"/>
      <c r="U56" s="606"/>
      <c r="V56" s="2060"/>
    </row>
    <row r="57" spans="1:22" s="449" customFormat="1" ht="13.9">
      <c r="A57" s="1510"/>
      <c r="B57" s="1510"/>
      <c r="C57" s="1506"/>
      <c r="D57" s="1506"/>
      <c r="E57" s="672"/>
      <c r="F57" s="1506"/>
      <c r="G57" s="1506"/>
      <c r="H57" s="1506"/>
      <c r="I57" s="1506"/>
      <c r="J57" s="1506"/>
      <c r="K57" s="1506"/>
      <c r="L57" s="1506"/>
      <c r="M57" s="1506"/>
      <c r="N57" s="1506"/>
      <c r="O57" s="1506"/>
      <c r="P57" s="1506"/>
      <c r="Q57" s="1506"/>
      <c r="R57" s="206"/>
      <c r="S57" s="206"/>
      <c r="T57" s="1506"/>
      <c r="U57" s="1510"/>
      <c r="V57" s="1506"/>
    </row>
    <row r="58" spans="1:22" ht="12.75" customHeight="1">
      <c r="A58" s="1510"/>
      <c r="B58" s="1510"/>
      <c r="C58" s="1213"/>
      <c r="D58" s="1214"/>
      <c r="E58" s="1219" t="s">
        <v>395</v>
      </c>
      <c r="F58" s="1215"/>
      <c r="G58" s="1215"/>
      <c r="H58" s="1215"/>
      <c r="I58" s="1215"/>
      <c r="J58" s="1215"/>
      <c r="K58" s="1215"/>
      <c r="L58" s="1215"/>
      <c r="M58" s="1215"/>
      <c r="N58" s="734"/>
      <c r="O58" s="1215" t="s">
        <v>1484</v>
      </c>
      <c r="P58" s="1215"/>
      <c r="Q58" s="734"/>
      <c r="R58" s="1215" t="s">
        <v>1485</v>
      </c>
      <c r="S58" s="1215"/>
      <c r="T58" s="2060"/>
      <c r="U58" s="1510"/>
      <c r="V58" s="2060"/>
    </row>
    <row r="59" spans="1:22" ht="12.75" customHeight="1">
      <c r="A59" s="1510"/>
      <c r="B59" s="1510"/>
      <c r="C59" s="734"/>
      <c r="D59" s="725"/>
      <c r="E59" s="1954" t="s">
        <v>1456</v>
      </c>
      <c r="F59" s="725" t="s">
        <v>1457</v>
      </c>
      <c r="G59" s="724"/>
      <c r="H59" s="724"/>
      <c r="I59" s="724"/>
      <c r="J59" s="724"/>
      <c r="K59" s="724"/>
      <c r="L59" s="724"/>
      <c r="M59" s="724"/>
      <c r="N59" s="724"/>
      <c r="O59" s="724"/>
      <c r="P59" s="724"/>
      <c r="Q59" s="734"/>
      <c r="R59" s="724"/>
      <c r="S59" s="724"/>
      <c r="T59" s="2060"/>
      <c r="U59" s="1510"/>
      <c r="V59" s="2060"/>
    </row>
    <row r="60" spans="1:22" ht="12.75" customHeight="1">
      <c r="A60" s="1510"/>
      <c r="B60" s="1510"/>
      <c r="C60" s="1211" t="s">
        <v>1256</v>
      </c>
      <c r="D60" s="1222"/>
      <c r="E60" s="1223" t="s">
        <v>1460</v>
      </c>
      <c r="F60" s="1221" t="s">
        <v>1460</v>
      </c>
      <c r="G60" s="1221" t="s">
        <v>704</v>
      </c>
      <c r="H60" s="1221" t="s">
        <v>705</v>
      </c>
      <c r="I60" s="1221" t="s">
        <v>707</v>
      </c>
      <c r="J60" s="1221" t="s">
        <v>708</v>
      </c>
      <c r="K60" s="1221" t="s">
        <v>709</v>
      </c>
      <c r="L60" s="1221" t="s">
        <v>710</v>
      </c>
      <c r="M60" s="1221" t="s">
        <v>711</v>
      </c>
      <c r="N60" s="724"/>
      <c r="O60" s="1221" t="s">
        <v>704</v>
      </c>
      <c r="P60" s="1222">
        <f>LFQLTM</f>
        <v>42643</v>
      </c>
      <c r="Q60" s="734"/>
      <c r="R60" s="1221" t="s">
        <v>704</v>
      </c>
      <c r="S60" s="1222">
        <f>LFQLTM</f>
        <v>42643</v>
      </c>
      <c r="T60" s="2060"/>
      <c r="U60" s="1510"/>
      <c r="V60" s="2060"/>
    </row>
    <row r="61" spans="1:22" ht="12.75" customHeight="1">
      <c r="A61" s="1632" t="str">
        <f t="shared" ref="A61:A85" si="36">IF(E61="--","n","")</f>
        <v>n</v>
      </c>
      <c r="B61" s="1510"/>
      <c r="C61" s="173" t="str">
        <f>'DATA GPC'!E$20</f>
        <v>--</v>
      </c>
      <c r="D61" s="15"/>
      <c r="E61" s="693" t="str">
        <f>IFERROR(AVERAGEIFS('DATA GPC'!$K783:$O783,'DATA GPC'!$K192:$O192,"&gt;0"),"--")</f>
        <v>--</v>
      </c>
      <c r="F61" s="693" t="str">
        <f>IFERROR(AVERAGEIFS('DATA GPC'!$M783:$O783,'DATA GPC'!$M192:$O192,"&gt;0"),"--")</f>
        <v>--</v>
      </c>
      <c r="G61" s="15" t="str">
        <f>IF($C61="--","--",'DATA GPC'!O783)</f>
        <v>--</v>
      </c>
      <c r="H61" s="15" t="str">
        <f>IF($C61="--","--",'DATA GPC'!P783)</f>
        <v>--</v>
      </c>
      <c r="I61" s="15" t="str">
        <f>IF($C61="--","--",'DATA GPC'!U783)</f>
        <v>--</v>
      </c>
      <c r="J61" s="15" t="str">
        <f>IF($C61="--","--",'DATA GPC'!V783)</f>
        <v>--</v>
      </c>
      <c r="K61" s="15" t="str">
        <f>IF($C61="--","--",'DATA GPC'!W783)</f>
        <v>--</v>
      </c>
      <c r="L61" s="15" t="str">
        <f>IF($C61="--","--",'DATA GPC'!X783)</f>
        <v>--</v>
      </c>
      <c r="M61" s="15" t="str">
        <f>IF($C61="--","--",'DATA GPC'!Y783)</f>
        <v>--</v>
      </c>
      <c r="N61" s="255"/>
      <c r="O61" s="15" t="str">
        <f>IFERROR('DATA GPC'!O1064,"--")</f>
        <v>--</v>
      </c>
      <c r="P61" s="15" t="str">
        <f>IFERROR('DATA GPC'!P1064,"--")</f>
        <v>--</v>
      </c>
      <c r="Q61" s="15"/>
      <c r="R61" s="15" t="str">
        <f>IFERROR('DATA GPC'!O1095,"--")</f>
        <v>--</v>
      </c>
      <c r="S61" s="15" t="str">
        <f>IFERROR('DATA GPC'!P1095,"--")</f>
        <v>--</v>
      </c>
      <c r="T61" s="1506"/>
      <c r="U61" s="1510"/>
      <c r="V61" s="2060"/>
    </row>
    <row r="62" spans="1:22" ht="12.75" customHeight="1">
      <c r="A62" s="1632" t="str">
        <f t="shared" si="36"/>
        <v>n</v>
      </c>
      <c r="B62" s="1510"/>
      <c r="C62" s="173" t="str">
        <f>'DATA GPC'!E$21</f>
        <v>--</v>
      </c>
      <c r="D62" s="15"/>
      <c r="E62" s="693" t="str">
        <f>IFERROR(AVERAGEIFS('DATA GPC'!$K784:$O784,'DATA GPC'!$K193:$O193,"&gt;0"),"--")</f>
        <v>--</v>
      </c>
      <c r="F62" s="693" t="str">
        <f>IFERROR(AVERAGEIFS('DATA GPC'!$M784:$O784,'DATA GPC'!$M193:$O193,"&gt;0"),"--")</f>
        <v>--</v>
      </c>
      <c r="G62" s="15" t="str">
        <f>IF($C62="--","--",'DATA GPC'!O784)</f>
        <v>--</v>
      </c>
      <c r="H62" s="15" t="str">
        <f>IF($C62="--","--",'DATA GPC'!P784)</f>
        <v>--</v>
      </c>
      <c r="I62" s="15" t="str">
        <f>IF($C62="--","--",'DATA GPC'!U784)</f>
        <v>--</v>
      </c>
      <c r="J62" s="15" t="str">
        <f>IF($C62="--","--",'DATA GPC'!V784)</f>
        <v>--</v>
      </c>
      <c r="K62" s="15" t="str">
        <f>IF($C62="--","--",'DATA GPC'!W784)</f>
        <v>--</v>
      </c>
      <c r="L62" s="15" t="str">
        <f>IF($C62="--","--",'DATA GPC'!X784)</f>
        <v>--</v>
      </c>
      <c r="M62" s="15" t="str">
        <f>IF($C62="--","--",'DATA GPC'!Y784)</f>
        <v>--</v>
      </c>
      <c r="N62" s="255"/>
      <c r="O62" s="15" t="str">
        <f>IFERROR('DATA GPC'!O1065,"--")</f>
        <v>--</v>
      </c>
      <c r="P62" s="15" t="str">
        <f>IFERROR('DATA GPC'!P1065,"--")</f>
        <v>--</v>
      </c>
      <c r="Q62" s="1513"/>
      <c r="R62" s="15" t="str">
        <f>IFERROR('DATA GPC'!O1096,"--")</f>
        <v>--</v>
      </c>
      <c r="S62" s="15" t="str">
        <f>IFERROR('DATA GPC'!P1096,"--")</f>
        <v>--</v>
      </c>
      <c r="T62" s="1506"/>
      <c r="U62" s="1510"/>
      <c r="V62" s="2060"/>
    </row>
    <row r="63" spans="1:22" ht="12.75" customHeight="1">
      <c r="A63" s="1632" t="str">
        <f t="shared" si="36"/>
        <v>n</v>
      </c>
      <c r="B63" s="1510"/>
      <c r="C63" s="173" t="str">
        <f>'DATA GPC'!E$22</f>
        <v>--</v>
      </c>
      <c r="D63" s="15"/>
      <c r="E63" s="693" t="str">
        <f>IFERROR(AVERAGEIFS('DATA GPC'!$K785:$O785,'DATA GPC'!$K194:$O194,"&gt;0"),"--")</f>
        <v>--</v>
      </c>
      <c r="F63" s="693" t="str">
        <f>IFERROR(AVERAGEIFS('DATA GPC'!$M785:$O785,'DATA GPC'!$M194:$O194,"&gt;0"),"--")</f>
        <v>--</v>
      </c>
      <c r="G63" s="15" t="str">
        <f>IF($C63="--","--",'DATA GPC'!O785)</f>
        <v>--</v>
      </c>
      <c r="H63" s="15" t="str">
        <f>IF($C63="--","--",'DATA GPC'!P785)</f>
        <v>--</v>
      </c>
      <c r="I63" s="15" t="str">
        <f>IF($C63="--","--",'DATA GPC'!U785)</f>
        <v>--</v>
      </c>
      <c r="J63" s="15" t="str">
        <f>IF($C63="--","--",'DATA GPC'!V785)</f>
        <v>--</v>
      </c>
      <c r="K63" s="15" t="str">
        <f>IF($C63="--","--",'DATA GPC'!W785)</f>
        <v>--</v>
      </c>
      <c r="L63" s="15" t="str">
        <f>IF($C63="--","--",'DATA GPC'!X785)</f>
        <v>--</v>
      </c>
      <c r="M63" s="15" t="str">
        <f>IF($C63="--","--",'DATA GPC'!Y785)</f>
        <v>--</v>
      </c>
      <c r="N63" s="255"/>
      <c r="O63" s="15" t="str">
        <f>IFERROR('DATA GPC'!O1066,"--")</f>
        <v>--</v>
      </c>
      <c r="P63" s="15" t="str">
        <f>IFERROR('DATA GPC'!P1066,"--")</f>
        <v>--</v>
      </c>
      <c r="Q63" s="1513"/>
      <c r="R63" s="15" t="str">
        <f>IFERROR('DATA GPC'!O1097,"--")</f>
        <v>--</v>
      </c>
      <c r="S63" s="15" t="str">
        <f>IFERROR('DATA GPC'!P1097,"--")</f>
        <v>--</v>
      </c>
      <c r="T63" s="1506"/>
      <c r="U63" s="606"/>
      <c r="V63" s="2060"/>
    </row>
    <row r="64" spans="1:22" ht="12.75" customHeight="1">
      <c r="A64" s="1632" t="str">
        <f t="shared" si="36"/>
        <v>n</v>
      </c>
      <c r="B64" s="1510"/>
      <c r="C64" s="173" t="str">
        <f>'DATA GPC'!E$23</f>
        <v>--</v>
      </c>
      <c r="D64" s="15"/>
      <c r="E64" s="693" t="str">
        <f>IFERROR(AVERAGEIFS('DATA GPC'!$K786:$O786,'DATA GPC'!$K195:$O195,"&gt;0"),"--")</f>
        <v>--</v>
      </c>
      <c r="F64" s="693" t="str">
        <f>IFERROR(AVERAGEIFS('DATA GPC'!$M786:$O786,'DATA GPC'!$M195:$O195,"&gt;0"),"--")</f>
        <v>--</v>
      </c>
      <c r="G64" s="15" t="str">
        <f>IF($C64="--","--",'DATA GPC'!O786)</f>
        <v>--</v>
      </c>
      <c r="H64" s="15" t="str">
        <f>IF($C64="--","--",'DATA GPC'!P786)</f>
        <v>--</v>
      </c>
      <c r="I64" s="15" t="str">
        <f>IF($C64="--","--",'DATA GPC'!U786)</f>
        <v>--</v>
      </c>
      <c r="J64" s="15" t="str">
        <f>IF($C64="--","--",'DATA GPC'!V786)</f>
        <v>--</v>
      </c>
      <c r="K64" s="15" t="str">
        <f>IF($C64="--","--",'DATA GPC'!W786)</f>
        <v>--</v>
      </c>
      <c r="L64" s="15" t="str">
        <f>IF($C64="--","--",'DATA GPC'!X786)</f>
        <v>--</v>
      </c>
      <c r="M64" s="15" t="str">
        <f>IF($C64="--","--",'DATA GPC'!Y786)</f>
        <v>--</v>
      </c>
      <c r="N64" s="255"/>
      <c r="O64" s="15" t="str">
        <f>IFERROR('DATA GPC'!O1067,"--")</f>
        <v>--</v>
      </c>
      <c r="P64" s="15" t="str">
        <f>IFERROR('DATA GPC'!P1067,"--")</f>
        <v>--</v>
      </c>
      <c r="Q64" s="1513"/>
      <c r="R64" s="15" t="str">
        <f>IFERROR('DATA GPC'!O1098,"--")</f>
        <v>--</v>
      </c>
      <c r="S64" s="15" t="str">
        <f>IFERROR('DATA GPC'!P1098,"--")</f>
        <v>--</v>
      </c>
      <c r="T64" s="1506"/>
      <c r="U64" s="606"/>
      <c r="V64" s="2060"/>
    </row>
    <row r="65" spans="1:22" ht="12.75" customHeight="1">
      <c r="A65" s="1632" t="str">
        <f t="shared" si="36"/>
        <v>n</v>
      </c>
      <c r="B65" s="1510"/>
      <c r="C65" s="173" t="str">
        <f>'DATA GPC'!E$24</f>
        <v>--</v>
      </c>
      <c r="D65" s="15"/>
      <c r="E65" s="693" t="str">
        <f>IFERROR(AVERAGEIFS('DATA GPC'!$K787:$O787,'DATA GPC'!$K196:$O196,"&gt;0"),"--")</f>
        <v>--</v>
      </c>
      <c r="F65" s="693" t="str">
        <f>IFERROR(AVERAGEIFS('DATA GPC'!$M787:$O787,'DATA GPC'!$M196:$O196,"&gt;0"),"--")</f>
        <v>--</v>
      </c>
      <c r="G65" s="15" t="str">
        <f>IF($C65="--","--",'DATA GPC'!O787)</f>
        <v>--</v>
      </c>
      <c r="H65" s="15" t="str">
        <f>IF($C65="--","--",'DATA GPC'!P787)</f>
        <v>--</v>
      </c>
      <c r="I65" s="15" t="str">
        <f>IF($C65="--","--",'DATA GPC'!U787)</f>
        <v>--</v>
      </c>
      <c r="J65" s="15" t="str">
        <f>IF($C65="--","--",'DATA GPC'!V787)</f>
        <v>--</v>
      </c>
      <c r="K65" s="15" t="str">
        <f>IF($C65="--","--",'DATA GPC'!W787)</f>
        <v>--</v>
      </c>
      <c r="L65" s="15" t="str">
        <f>IF($C65="--","--",'DATA GPC'!X787)</f>
        <v>--</v>
      </c>
      <c r="M65" s="15" t="str">
        <f>IF($C65="--","--",'DATA GPC'!Y787)</f>
        <v>--</v>
      </c>
      <c r="N65" s="255"/>
      <c r="O65" s="15" t="str">
        <f>IFERROR('DATA GPC'!O1068,"--")</f>
        <v>--</v>
      </c>
      <c r="P65" s="15" t="str">
        <f>IFERROR('DATA GPC'!P1068,"--")</f>
        <v>--</v>
      </c>
      <c r="Q65" s="1513"/>
      <c r="R65" s="15" t="str">
        <f>IFERROR('DATA GPC'!O1099,"--")</f>
        <v>--</v>
      </c>
      <c r="S65" s="15" t="str">
        <f>IFERROR('DATA GPC'!P1099,"--")</f>
        <v>--</v>
      </c>
      <c r="T65" s="1506"/>
      <c r="U65" s="606"/>
      <c r="V65" s="2060"/>
    </row>
    <row r="66" spans="1:22" ht="12.75" customHeight="1">
      <c r="A66" s="1632" t="str">
        <f t="shared" si="36"/>
        <v>n</v>
      </c>
      <c r="B66" s="1510"/>
      <c r="C66" s="173" t="str">
        <f>'DATA GPC'!E$25</f>
        <v>--</v>
      </c>
      <c r="D66" s="15"/>
      <c r="E66" s="693" t="str">
        <f>IFERROR(AVERAGEIFS('DATA GPC'!$K788:$O788,'DATA GPC'!$K197:$O197,"&gt;0"),"--")</f>
        <v>--</v>
      </c>
      <c r="F66" s="693" t="str">
        <f>IFERROR(AVERAGEIFS('DATA GPC'!$M788:$O788,'DATA GPC'!$M197:$O197,"&gt;0"),"--")</f>
        <v>--</v>
      </c>
      <c r="G66" s="15" t="str">
        <f>IF($C66="--","--",'DATA GPC'!O788)</f>
        <v>--</v>
      </c>
      <c r="H66" s="15" t="str">
        <f>IF($C66="--","--",'DATA GPC'!P788)</f>
        <v>--</v>
      </c>
      <c r="I66" s="15" t="str">
        <f>IF($C66="--","--",'DATA GPC'!U788)</f>
        <v>--</v>
      </c>
      <c r="J66" s="15" t="str">
        <f>IF($C66="--","--",'DATA GPC'!V788)</f>
        <v>--</v>
      </c>
      <c r="K66" s="15" t="str">
        <f>IF($C66="--","--",'DATA GPC'!W788)</f>
        <v>--</v>
      </c>
      <c r="L66" s="15" t="str">
        <f>IF($C66="--","--",'DATA GPC'!X788)</f>
        <v>--</v>
      </c>
      <c r="M66" s="15" t="str">
        <f>IF($C66="--","--",'DATA GPC'!Y788)</f>
        <v>--</v>
      </c>
      <c r="N66" s="255"/>
      <c r="O66" s="15" t="str">
        <f>IFERROR('DATA GPC'!O1069,"--")</f>
        <v>--</v>
      </c>
      <c r="P66" s="15" t="str">
        <f>IFERROR('DATA GPC'!P1069,"--")</f>
        <v>--</v>
      </c>
      <c r="Q66" s="1513"/>
      <c r="R66" s="15" t="str">
        <f>IFERROR('DATA GPC'!O1100,"--")</f>
        <v>--</v>
      </c>
      <c r="S66" s="15" t="str">
        <f>IFERROR('DATA GPC'!P1100,"--")</f>
        <v>--</v>
      </c>
      <c r="T66" s="1506"/>
      <c r="U66" s="606"/>
      <c r="V66" s="2060"/>
    </row>
    <row r="67" spans="1:22" ht="12.75" customHeight="1">
      <c r="A67" s="1632" t="str">
        <f t="shared" si="36"/>
        <v>n</v>
      </c>
      <c r="B67" s="1510"/>
      <c r="C67" s="173" t="str">
        <f>'DATA GPC'!E$26</f>
        <v>--</v>
      </c>
      <c r="D67" s="15"/>
      <c r="E67" s="693" t="str">
        <f>IFERROR(AVERAGEIFS('DATA GPC'!$K789:$O789,'DATA GPC'!$K198:$O198,"&gt;0"),"--")</f>
        <v>--</v>
      </c>
      <c r="F67" s="693" t="str">
        <f>IFERROR(AVERAGEIFS('DATA GPC'!$M789:$O789,'DATA GPC'!$M198:$O198,"&gt;0"),"--")</f>
        <v>--</v>
      </c>
      <c r="G67" s="15" t="str">
        <f>IF($C67="--","--",'DATA GPC'!O789)</f>
        <v>--</v>
      </c>
      <c r="H67" s="15" t="str">
        <f>IF($C67="--","--",'DATA GPC'!P789)</f>
        <v>--</v>
      </c>
      <c r="I67" s="15" t="str">
        <f>IF($C67="--","--",'DATA GPC'!U789)</f>
        <v>--</v>
      </c>
      <c r="J67" s="15" t="str">
        <f>IF($C67="--","--",'DATA GPC'!V789)</f>
        <v>--</v>
      </c>
      <c r="K67" s="15" t="str">
        <f>IF($C67="--","--",'DATA GPC'!W789)</f>
        <v>--</v>
      </c>
      <c r="L67" s="15" t="str">
        <f>IF($C67="--","--",'DATA GPC'!X789)</f>
        <v>--</v>
      </c>
      <c r="M67" s="15" t="str">
        <f>IF($C67="--","--",'DATA GPC'!Y789)</f>
        <v>--</v>
      </c>
      <c r="N67" s="255"/>
      <c r="O67" s="15" t="str">
        <f>IFERROR('DATA GPC'!O1070,"--")</f>
        <v>--</v>
      </c>
      <c r="P67" s="15" t="str">
        <f>IFERROR('DATA GPC'!P1070,"--")</f>
        <v>--</v>
      </c>
      <c r="Q67" s="1513"/>
      <c r="R67" s="15" t="str">
        <f>IFERROR('DATA GPC'!O1101,"--")</f>
        <v>--</v>
      </c>
      <c r="S67" s="15" t="str">
        <f>IFERROR('DATA GPC'!P1101,"--")</f>
        <v>--</v>
      </c>
      <c r="T67" s="1506"/>
      <c r="U67" s="606"/>
      <c r="V67" s="2060"/>
    </row>
    <row r="68" spans="1:22" ht="12.75" customHeight="1">
      <c r="A68" s="1632" t="str">
        <f t="shared" si="36"/>
        <v>n</v>
      </c>
      <c r="B68" s="1510"/>
      <c r="C68" s="173" t="str">
        <f>'DATA GPC'!E$27</f>
        <v>--</v>
      </c>
      <c r="D68" s="15"/>
      <c r="E68" s="693" t="str">
        <f>IFERROR(AVERAGEIFS('DATA GPC'!$K790:$O790,'DATA GPC'!$K199:$O199,"&gt;0"),"--")</f>
        <v>--</v>
      </c>
      <c r="F68" s="693" t="str">
        <f>IFERROR(AVERAGEIFS('DATA GPC'!$M790:$O790,'DATA GPC'!$M199:$O199,"&gt;0"),"--")</f>
        <v>--</v>
      </c>
      <c r="G68" s="15" t="str">
        <f>IF($C68="--","--",'DATA GPC'!O790)</f>
        <v>--</v>
      </c>
      <c r="H68" s="15" t="str">
        <f>IF($C68="--","--",'DATA GPC'!P790)</f>
        <v>--</v>
      </c>
      <c r="I68" s="15" t="str">
        <f>IF($C68="--","--",'DATA GPC'!U790)</f>
        <v>--</v>
      </c>
      <c r="J68" s="15" t="str">
        <f>IF($C68="--","--",'DATA GPC'!V790)</f>
        <v>--</v>
      </c>
      <c r="K68" s="15" t="str">
        <f>IF($C68="--","--",'DATA GPC'!W790)</f>
        <v>--</v>
      </c>
      <c r="L68" s="15" t="str">
        <f>IF($C68="--","--",'DATA GPC'!X790)</f>
        <v>--</v>
      </c>
      <c r="M68" s="15" t="str">
        <f>IF($C68="--","--",'DATA GPC'!Y790)</f>
        <v>--</v>
      </c>
      <c r="N68" s="255"/>
      <c r="O68" s="15" t="str">
        <f>IFERROR('DATA GPC'!O1071,"--")</f>
        <v>--</v>
      </c>
      <c r="P68" s="15" t="str">
        <f>IFERROR('DATA GPC'!P1071,"--")</f>
        <v>--</v>
      </c>
      <c r="Q68" s="1513"/>
      <c r="R68" s="15" t="str">
        <f>IFERROR('DATA GPC'!O1102,"--")</f>
        <v>--</v>
      </c>
      <c r="S68" s="15" t="str">
        <f>IFERROR('DATA GPC'!P1102,"--")</f>
        <v>--</v>
      </c>
      <c r="T68" s="1506"/>
      <c r="U68" s="606"/>
      <c r="V68" s="2060"/>
    </row>
    <row r="69" spans="1:22" ht="12.75" customHeight="1">
      <c r="A69" s="1632" t="str">
        <f t="shared" si="36"/>
        <v>n</v>
      </c>
      <c r="B69" s="1510"/>
      <c r="C69" s="173" t="str">
        <f>'DATA GPC'!E$28</f>
        <v>--</v>
      </c>
      <c r="D69" s="15"/>
      <c r="E69" s="693" t="str">
        <f>IFERROR(AVERAGEIFS('DATA GPC'!$K791:$O791,'DATA GPC'!$K200:$O200,"&gt;0"),"--")</f>
        <v>--</v>
      </c>
      <c r="F69" s="693" t="str">
        <f>IFERROR(AVERAGEIFS('DATA GPC'!$M791:$O791,'DATA GPC'!$M200:$O200,"&gt;0"),"--")</f>
        <v>--</v>
      </c>
      <c r="G69" s="15" t="str">
        <f>IF($C69="--","--",'DATA GPC'!O791)</f>
        <v>--</v>
      </c>
      <c r="H69" s="15" t="str">
        <f>IF($C69="--","--",'DATA GPC'!P791)</f>
        <v>--</v>
      </c>
      <c r="I69" s="15" t="str">
        <f>IF($C69="--","--",'DATA GPC'!U791)</f>
        <v>--</v>
      </c>
      <c r="J69" s="15" t="str">
        <f>IF($C69="--","--",'DATA GPC'!V791)</f>
        <v>--</v>
      </c>
      <c r="K69" s="15" t="str">
        <f>IF($C69="--","--",'DATA GPC'!W791)</f>
        <v>--</v>
      </c>
      <c r="L69" s="15" t="str">
        <f>IF($C69="--","--",'DATA GPC'!X791)</f>
        <v>--</v>
      </c>
      <c r="M69" s="15" t="str">
        <f>IF($C69="--","--",'DATA GPC'!Y791)</f>
        <v>--</v>
      </c>
      <c r="N69" s="255"/>
      <c r="O69" s="15" t="str">
        <f>IFERROR('DATA GPC'!O1072,"--")</f>
        <v>--</v>
      </c>
      <c r="P69" s="15" t="str">
        <f>IFERROR('DATA GPC'!P1072,"--")</f>
        <v>--</v>
      </c>
      <c r="Q69" s="1513"/>
      <c r="R69" s="15" t="str">
        <f>IFERROR('DATA GPC'!O1103,"--")</f>
        <v>--</v>
      </c>
      <c r="S69" s="15" t="str">
        <f>IFERROR('DATA GPC'!P1103,"--")</f>
        <v>--</v>
      </c>
      <c r="T69" s="1506"/>
      <c r="U69" s="606"/>
      <c r="V69" s="2060"/>
    </row>
    <row r="70" spans="1:22" ht="12.75" customHeight="1">
      <c r="A70" s="1632" t="str">
        <f t="shared" si="36"/>
        <v>n</v>
      </c>
      <c r="B70" s="1510"/>
      <c r="C70" s="173" t="str">
        <f>'DATA GPC'!E$29</f>
        <v>--</v>
      </c>
      <c r="D70" s="15"/>
      <c r="E70" s="693" t="str">
        <f>IFERROR(AVERAGEIFS('DATA GPC'!$K792:$O792,'DATA GPC'!$K201:$O201,"&gt;0"),"--")</f>
        <v>--</v>
      </c>
      <c r="F70" s="693" t="str">
        <f>IFERROR(AVERAGEIFS('DATA GPC'!$M792:$O792,'DATA GPC'!$M201:$O201,"&gt;0"),"--")</f>
        <v>--</v>
      </c>
      <c r="G70" s="15" t="str">
        <f>IF($C70="--","--",'DATA GPC'!O792)</f>
        <v>--</v>
      </c>
      <c r="H70" s="15" t="str">
        <f>IF($C70="--","--",'DATA GPC'!P792)</f>
        <v>--</v>
      </c>
      <c r="I70" s="15" t="str">
        <f>IF($C70="--","--",'DATA GPC'!U792)</f>
        <v>--</v>
      </c>
      <c r="J70" s="15" t="str">
        <f>IF($C70="--","--",'DATA GPC'!V792)</f>
        <v>--</v>
      </c>
      <c r="K70" s="15" t="str">
        <f>IF($C70="--","--",'DATA GPC'!W792)</f>
        <v>--</v>
      </c>
      <c r="L70" s="15" t="str">
        <f>IF($C70="--","--",'DATA GPC'!X792)</f>
        <v>--</v>
      </c>
      <c r="M70" s="15" t="str">
        <f>IF($C70="--","--",'DATA GPC'!Y792)</f>
        <v>--</v>
      </c>
      <c r="N70" s="255"/>
      <c r="O70" s="15" t="str">
        <f>IFERROR('DATA GPC'!O1073,"--")</f>
        <v>--</v>
      </c>
      <c r="P70" s="15" t="str">
        <f>IFERROR('DATA GPC'!P1073,"--")</f>
        <v>--</v>
      </c>
      <c r="Q70" s="1513"/>
      <c r="R70" s="15" t="str">
        <f>IFERROR('DATA GPC'!O1104,"--")</f>
        <v>--</v>
      </c>
      <c r="S70" s="15" t="str">
        <f>IFERROR('DATA GPC'!P1104,"--")</f>
        <v>--</v>
      </c>
      <c r="T70" s="1506"/>
      <c r="U70" s="606"/>
      <c r="V70" s="2060"/>
    </row>
    <row r="71" spans="1:22" ht="12.75" customHeight="1">
      <c r="A71" s="1632" t="str">
        <f t="shared" si="36"/>
        <v>n</v>
      </c>
      <c r="B71" s="1510"/>
      <c r="C71" s="173" t="str">
        <f>'DATA GPC'!E$30</f>
        <v>--</v>
      </c>
      <c r="D71" s="15"/>
      <c r="E71" s="693" t="str">
        <f>IFERROR(AVERAGEIFS('DATA GPC'!$K793:$O793,'DATA GPC'!$K202:$O202,"&gt;0"),"--")</f>
        <v>--</v>
      </c>
      <c r="F71" s="693" t="str">
        <f>IFERROR(AVERAGEIFS('DATA GPC'!$M793:$O793,'DATA GPC'!$M202:$O202,"&gt;0"),"--")</f>
        <v>--</v>
      </c>
      <c r="G71" s="15" t="str">
        <f>IF($C71="--","--",'DATA GPC'!O793)</f>
        <v>--</v>
      </c>
      <c r="H71" s="15" t="str">
        <f>IF($C71="--","--",'DATA GPC'!P793)</f>
        <v>--</v>
      </c>
      <c r="I71" s="15" t="str">
        <f>IF($C71="--","--",'DATA GPC'!U793)</f>
        <v>--</v>
      </c>
      <c r="J71" s="15" t="str">
        <f>IF($C71="--","--",'DATA GPC'!V793)</f>
        <v>--</v>
      </c>
      <c r="K71" s="15" t="str">
        <f>IF($C71="--","--",'DATA GPC'!W793)</f>
        <v>--</v>
      </c>
      <c r="L71" s="15" t="str">
        <f>IF($C71="--","--",'DATA GPC'!X793)</f>
        <v>--</v>
      </c>
      <c r="M71" s="15" t="str">
        <f>IF($C71="--","--",'DATA GPC'!Y793)</f>
        <v>--</v>
      </c>
      <c r="N71" s="255"/>
      <c r="O71" s="15" t="str">
        <f>IFERROR('DATA GPC'!O1074,"--")</f>
        <v>--</v>
      </c>
      <c r="P71" s="15" t="str">
        <f>IFERROR('DATA GPC'!P1074,"--")</f>
        <v>--</v>
      </c>
      <c r="Q71" s="1513"/>
      <c r="R71" s="15" t="str">
        <f>IFERROR('DATA GPC'!O1105,"--")</f>
        <v>--</v>
      </c>
      <c r="S71" s="15" t="str">
        <f>IFERROR('DATA GPC'!P1105,"--")</f>
        <v>--</v>
      </c>
      <c r="T71" s="1506"/>
      <c r="U71" s="606"/>
      <c r="V71" s="2060"/>
    </row>
    <row r="72" spans="1:22" ht="12.75" customHeight="1">
      <c r="A72" s="1632" t="str">
        <f t="shared" si="36"/>
        <v>n</v>
      </c>
      <c r="B72" s="1510"/>
      <c r="C72" s="173" t="str">
        <f>'DATA GPC'!E$31</f>
        <v>--</v>
      </c>
      <c r="D72" s="15"/>
      <c r="E72" s="693" t="str">
        <f>IFERROR(AVERAGEIFS('DATA GPC'!$K794:$O794,'DATA GPC'!$K203:$O203,"&gt;0"),"--")</f>
        <v>--</v>
      </c>
      <c r="F72" s="693" t="str">
        <f>IFERROR(AVERAGEIFS('DATA GPC'!$M794:$O794,'DATA GPC'!$M203:$O203,"&gt;0"),"--")</f>
        <v>--</v>
      </c>
      <c r="G72" s="15" t="str">
        <f>IF($C72="--","--",'DATA GPC'!O794)</f>
        <v>--</v>
      </c>
      <c r="H72" s="15" t="str">
        <f>IF($C72="--","--",'DATA GPC'!P794)</f>
        <v>--</v>
      </c>
      <c r="I72" s="15" t="str">
        <f>IF($C72="--","--",'DATA GPC'!U794)</f>
        <v>--</v>
      </c>
      <c r="J72" s="15" t="str">
        <f>IF($C72="--","--",'DATA GPC'!V794)</f>
        <v>--</v>
      </c>
      <c r="K72" s="15" t="str">
        <f>IF($C72="--","--",'DATA GPC'!W794)</f>
        <v>--</v>
      </c>
      <c r="L72" s="15" t="str">
        <f>IF($C72="--","--",'DATA GPC'!X794)</f>
        <v>--</v>
      </c>
      <c r="M72" s="15" t="str">
        <f>IF($C72="--","--",'DATA GPC'!Y794)</f>
        <v>--</v>
      </c>
      <c r="N72" s="255"/>
      <c r="O72" s="15" t="str">
        <f>IFERROR('DATA GPC'!O1075,"--")</f>
        <v>--</v>
      </c>
      <c r="P72" s="15" t="str">
        <f>IFERROR('DATA GPC'!P1075,"--")</f>
        <v>--</v>
      </c>
      <c r="Q72" s="1513"/>
      <c r="R72" s="15" t="str">
        <f>IFERROR('DATA GPC'!O1106,"--")</f>
        <v>--</v>
      </c>
      <c r="S72" s="15" t="str">
        <f>IFERROR('DATA GPC'!P1106,"--")</f>
        <v>--</v>
      </c>
      <c r="T72" s="1506"/>
      <c r="U72" s="606"/>
      <c r="V72" s="2060"/>
    </row>
    <row r="73" spans="1:22" ht="12.75" customHeight="1">
      <c r="A73" s="1632" t="str">
        <f t="shared" si="36"/>
        <v>n</v>
      </c>
      <c r="B73" s="1510"/>
      <c r="C73" s="173" t="str">
        <f>'DATA GPC'!E$32</f>
        <v>--</v>
      </c>
      <c r="D73" s="15"/>
      <c r="E73" s="693" t="str">
        <f>IFERROR(AVERAGEIFS('DATA GPC'!$K795:$O795,'DATA GPC'!$K204:$O204,"&gt;0"),"--")</f>
        <v>--</v>
      </c>
      <c r="F73" s="693" t="str">
        <f>IFERROR(AVERAGEIFS('DATA GPC'!$M795:$O795,'DATA GPC'!$M204:$O204,"&gt;0"),"--")</f>
        <v>--</v>
      </c>
      <c r="G73" s="15" t="str">
        <f>IF($C73="--","--",'DATA GPC'!O795)</f>
        <v>--</v>
      </c>
      <c r="H73" s="15" t="str">
        <f>IF($C73="--","--",'DATA GPC'!P795)</f>
        <v>--</v>
      </c>
      <c r="I73" s="15" t="str">
        <f>IF($C73="--","--",'DATA GPC'!U795)</f>
        <v>--</v>
      </c>
      <c r="J73" s="15" t="str">
        <f>IF($C73="--","--",'DATA GPC'!V795)</f>
        <v>--</v>
      </c>
      <c r="K73" s="15" t="str">
        <f>IF($C73="--","--",'DATA GPC'!W795)</f>
        <v>--</v>
      </c>
      <c r="L73" s="15" t="str">
        <f>IF($C73="--","--",'DATA GPC'!X795)</f>
        <v>--</v>
      </c>
      <c r="M73" s="15" t="str">
        <f>IF($C73="--","--",'DATA GPC'!Y795)</f>
        <v>--</v>
      </c>
      <c r="N73" s="255"/>
      <c r="O73" s="15" t="str">
        <f>IFERROR('DATA GPC'!O1076,"--")</f>
        <v>--</v>
      </c>
      <c r="P73" s="15" t="str">
        <f>IFERROR('DATA GPC'!P1076,"--")</f>
        <v>--</v>
      </c>
      <c r="Q73" s="1513"/>
      <c r="R73" s="15" t="str">
        <f>IFERROR('DATA GPC'!O1107,"--")</f>
        <v>--</v>
      </c>
      <c r="S73" s="15" t="str">
        <f>IFERROR('DATA GPC'!P1107,"--")</f>
        <v>--</v>
      </c>
      <c r="T73" s="1506"/>
      <c r="U73" s="606"/>
      <c r="V73" s="2060"/>
    </row>
    <row r="74" spans="1:22" ht="12.75" customHeight="1">
      <c r="A74" s="1632" t="str">
        <f t="shared" si="36"/>
        <v>n</v>
      </c>
      <c r="B74" s="1510"/>
      <c r="C74" s="173" t="str">
        <f>'DATA GPC'!E$33</f>
        <v>--</v>
      </c>
      <c r="D74" s="15"/>
      <c r="E74" s="693" t="str">
        <f>IFERROR(AVERAGEIFS('DATA GPC'!$K796:$O796,'DATA GPC'!$K205:$O205,"&gt;0"),"--")</f>
        <v>--</v>
      </c>
      <c r="F74" s="693" t="str">
        <f>IFERROR(AVERAGEIFS('DATA GPC'!$M796:$O796,'DATA GPC'!$M205:$O205,"&gt;0"),"--")</f>
        <v>--</v>
      </c>
      <c r="G74" s="15" t="str">
        <f>IF($C74="--","--",'DATA GPC'!O796)</f>
        <v>--</v>
      </c>
      <c r="H74" s="15" t="str">
        <f>IF($C74="--","--",'DATA GPC'!P796)</f>
        <v>--</v>
      </c>
      <c r="I74" s="15" t="str">
        <f>IF($C74="--","--",'DATA GPC'!U796)</f>
        <v>--</v>
      </c>
      <c r="J74" s="15" t="str">
        <f>IF($C74="--","--",'DATA GPC'!V796)</f>
        <v>--</v>
      </c>
      <c r="K74" s="15" t="str">
        <f>IF($C74="--","--",'DATA GPC'!W796)</f>
        <v>--</v>
      </c>
      <c r="L74" s="15" t="str">
        <f>IF($C74="--","--",'DATA GPC'!X796)</f>
        <v>--</v>
      </c>
      <c r="M74" s="15" t="str">
        <f>IF($C74="--","--",'DATA GPC'!Y796)</f>
        <v>--</v>
      </c>
      <c r="N74" s="255"/>
      <c r="O74" s="15" t="str">
        <f>IFERROR('DATA GPC'!O1077,"--")</f>
        <v>--</v>
      </c>
      <c r="P74" s="15" t="str">
        <f>IFERROR('DATA GPC'!P1077,"--")</f>
        <v>--</v>
      </c>
      <c r="Q74" s="1513"/>
      <c r="R74" s="15" t="str">
        <f>IFERROR('DATA GPC'!O1108,"--")</f>
        <v>--</v>
      </c>
      <c r="S74" s="15" t="str">
        <f>IFERROR('DATA GPC'!P1108,"--")</f>
        <v>--</v>
      </c>
      <c r="T74" s="1506"/>
      <c r="U74" s="606"/>
      <c r="V74" s="2060"/>
    </row>
    <row r="75" spans="1:22" s="1499" customFormat="1" ht="12.75" customHeight="1">
      <c r="A75" s="1632" t="str">
        <f t="shared" si="36"/>
        <v>n</v>
      </c>
      <c r="B75" s="1510"/>
      <c r="C75" s="173" t="str">
        <f>'DATA GPC'!E$34</f>
        <v>--</v>
      </c>
      <c r="D75" s="15"/>
      <c r="E75" s="693" t="str">
        <f>IFERROR(AVERAGEIFS('DATA GPC'!$K797:$O797,'DATA GPC'!$K206:$O206,"&gt;0"),"--")</f>
        <v>--</v>
      </c>
      <c r="F75" s="693" t="str">
        <f>IFERROR(AVERAGEIFS('DATA GPC'!$M797:$O797,'DATA GPC'!$M206:$O206,"&gt;0"),"--")</f>
        <v>--</v>
      </c>
      <c r="G75" s="15" t="str">
        <f>IF($C75="--","--",'DATA GPC'!O797)</f>
        <v>--</v>
      </c>
      <c r="H75" s="15" t="str">
        <f>IF($C75="--","--",'DATA GPC'!P797)</f>
        <v>--</v>
      </c>
      <c r="I75" s="15" t="str">
        <f>IF($C75="--","--",'DATA GPC'!U797)</f>
        <v>--</v>
      </c>
      <c r="J75" s="15" t="str">
        <f>IF($C75="--","--",'DATA GPC'!V797)</f>
        <v>--</v>
      </c>
      <c r="K75" s="15" t="str">
        <f>IF($C75="--","--",'DATA GPC'!W797)</f>
        <v>--</v>
      </c>
      <c r="L75" s="15" t="str">
        <f>IF($C75="--","--",'DATA GPC'!X797)</f>
        <v>--</v>
      </c>
      <c r="M75" s="15" t="str">
        <f>IF($C75="--","--",'DATA GPC'!Y797)</f>
        <v>--</v>
      </c>
      <c r="N75" s="255"/>
      <c r="O75" s="15" t="str">
        <f>IFERROR('DATA GPC'!O1078,"--")</f>
        <v>--</v>
      </c>
      <c r="P75" s="15" t="str">
        <f>IFERROR('DATA GPC'!P1078,"--")</f>
        <v>--</v>
      </c>
      <c r="Q75" s="1513"/>
      <c r="R75" s="15" t="str">
        <f>IFERROR('DATA GPC'!O1109,"--")</f>
        <v>--</v>
      </c>
      <c r="S75" s="15" t="str">
        <f>IFERROR('DATA GPC'!P1109,"--")</f>
        <v>--</v>
      </c>
      <c r="T75" s="1506"/>
      <c r="U75" s="606"/>
      <c r="V75" s="2060"/>
    </row>
    <row r="76" spans="1:22" s="1499" customFormat="1" ht="12.75" customHeight="1">
      <c r="A76" s="1632" t="str">
        <f t="shared" si="36"/>
        <v>n</v>
      </c>
      <c r="B76" s="1510"/>
      <c r="C76" s="173" t="str">
        <f>'DATA GPC'!E$35</f>
        <v>--</v>
      </c>
      <c r="D76" s="15"/>
      <c r="E76" s="693" t="str">
        <f>IFERROR(AVERAGEIFS('DATA GPC'!$K798:$O798,'DATA GPC'!$K207:$O207,"&gt;0"),"--")</f>
        <v>--</v>
      </c>
      <c r="F76" s="693" t="str">
        <f>IFERROR(AVERAGEIFS('DATA GPC'!$M798:$O798,'DATA GPC'!$M207:$O207,"&gt;0"),"--")</f>
        <v>--</v>
      </c>
      <c r="G76" s="15" t="str">
        <f>IF($C76="--","--",'DATA GPC'!O798)</f>
        <v>--</v>
      </c>
      <c r="H76" s="15" t="str">
        <f>IF($C76="--","--",'DATA GPC'!P798)</f>
        <v>--</v>
      </c>
      <c r="I76" s="15" t="str">
        <f>IF($C76="--","--",'DATA GPC'!U798)</f>
        <v>--</v>
      </c>
      <c r="J76" s="15" t="str">
        <f>IF($C76="--","--",'DATA GPC'!V798)</f>
        <v>--</v>
      </c>
      <c r="K76" s="15" t="str">
        <f>IF($C76="--","--",'DATA GPC'!W798)</f>
        <v>--</v>
      </c>
      <c r="L76" s="15" t="str">
        <f>IF($C76="--","--",'DATA GPC'!X798)</f>
        <v>--</v>
      </c>
      <c r="M76" s="15" t="str">
        <f>IF($C76="--","--",'DATA GPC'!Y798)</f>
        <v>--</v>
      </c>
      <c r="N76" s="255"/>
      <c r="O76" s="15" t="str">
        <f>IFERROR('DATA GPC'!O1079,"--")</f>
        <v>--</v>
      </c>
      <c r="P76" s="15" t="str">
        <f>IFERROR('DATA GPC'!P1079,"--")</f>
        <v>--</v>
      </c>
      <c r="Q76" s="1513"/>
      <c r="R76" s="15" t="str">
        <f>IFERROR('DATA GPC'!O1110,"--")</f>
        <v>--</v>
      </c>
      <c r="S76" s="15" t="str">
        <f>IFERROR('DATA GPC'!P1110,"--")</f>
        <v>--</v>
      </c>
      <c r="T76" s="1506"/>
      <c r="U76" s="606"/>
      <c r="V76" s="2060"/>
    </row>
    <row r="77" spans="1:22" s="1499" customFormat="1" ht="12.75" customHeight="1">
      <c r="A77" s="1632" t="str">
        <f t="shared" si="36"/>
        <v>n</v>
      </c>
      <c r="B77" s="1510"/>
      <c r="C77" s="173" t="str">
        <f>'DATA GPC'!E$33</f>
        <v>--</v>
      </c>
      <c r="D77" s="15"/>
      <c r="E77" s="693" t="str">
        <f>IFERROR(AVERAGEIFS('DATA GPC'!$K799:$O799,'DATA GPC'!$K208:$O208,"&gt;0"),"--")</f>
        <v>--</v>
      </c>
      <c r="F77" s="693" t="str">
        <f>IFERROR(AVERAGEIFS('DATA GPC'!$M799:$O799,'DATA GPC'!$M208:$O208,"&gt;0"),"--")</f>
        <v>--</v>
      </c>
      <c r="G77" s="15" t="str">
        <f>IF($C77="--","--",'DATA GPC'!O799)</f>
        <v>--</v>
      </c>
      <c r="H77" s="15" t="str">
        <f>IF($C77="--","--",'DATA GPC'!P799)</f>
        <v>--</v>
      </c>
      <c r="I77" s="15" t="str">
        <f>IF($C77="--","--",'DATA GPC'!U799)</f>
        <v>--</v>
      </c>
      <c r="J77" s="15" t="str">
        <f>IF($C77="--","--",'DATA GPC'!V799)</f>
        <v>--</v>
      </c>
      <c r="K77" s="15" t="str">
        <f>IF($C77="--","--",'DATA GPC'!W799)</f>
        <v>--</v>
      </c>
      <c r="L77" s="15" t="str">
        <f>IF($C77="--","--",'DATA GPC'!X799)</f>
        <v>--</v>
      </c>
      <c r="M77" s="15" t="str">
        <f>IF($C77="--","--",'DATA GPC'!Y799)</f>
        <v>--</v>
      </c>
      <c r="N77" s="255"/>
      <c r="O77" s="15" t="str">
        <f>IFERROR('DATA GPC'!O1080,"--")</f>
        <v>--</v>
      </c>
      <c r="P77" s="15" t="str">
        <f>IFERROR('DATA GPC'!P1080,"--")</f>
        <v>--</v>
      </c>
      <c r="Q77" s="1513"/>
      <c r="R77" s="15" t="str">
        <f>IFERROR('DATA GPC'!O1111,"--")</f>
        <v>--</v>
      </c>
      <c r="S77" s="15" t="str">
        <f>IFERROR('DATA GPC'!P1111,"--")</f>
        <v>--</v>
      </c>
      <c r="T77" s="1506"/>
      <c r="U77" s="606"/>
      <c r="V77" s="2060"/>
    </row>
    <row r="78" spans="1:22" s="1499" customFormat="1" ht="12.75" customHeight="1">
      <c r="A78" s="1632" t="str">
        <f t="shared" si="36"/>
        <v>n</v>
      </c>
      <c r="B78" s="1510"/>
      <c r="C78" s="173" t="str">
        <f>'DATA GPC'!E$33</f>
        <v>--</v>
      </c>
      <c r="D78" s="15"/>
      <c r="E78" s="693" t="str">
        <f>IFERROR(AVERAGEIFS('DATA GPC'!$K800:$O800,'DATA GPC'!$K209:$O209,"&gt;0"),"--")</f>
        <v>--</v>
      </c>
      <c r="F78" s="693" t="str">
        <f>IFERROR(AVERAGEIFS('DATA GPC'!$M800:$O800,'DATA GPC'!$M209:$O209,"&gt;0"),"--")</f>
        <v>--</v>
      </c>
      <c r="G78" s="15" t="str">
        <f>IF($C78="--","--",'DATA GPC'!O800)</f>
        <v>--</v>
      </c>
      <c r="H78" s="15" t="str">
        <f>IF($C78="--","--",'DATA GPC'!P800)</f>
        <v>--</v>
      </c>
      <c r="I78" s="15" t="str">
        <f>IF($C78="--","--",'DATA GPC'!U800)</f>
        <v>--</v>
      </c>
      <c r="J78" s="15" t="str">
        <f>IF($C78="--","--",'DATA GPC'!V800)</f>
        <v>--</v>
      </c>
      <c r="K78" s="15" t="str">
        <f>IF($C78="--","--",'DATA GPC'!W800)</f>
        <v>--</v>
      </c>
      <c r="L78" s="15" t="str">
        <f>IF($C78="--","--",'DATA GPC'!X800)</f>
        <v>--</v>
      </c>
      <c r="M78" s="15" t="str">
        <f>IF($C78="--","--",'DATA GPC'!Y800)</f>
        <v>--</v>
      </c>
      <c r="N78" s="255"/>
      <c r="O78" s="15" t="str">
        <f>IFERROR('DATA GPC'!O1081,"--")</f>
        <v>--</v>
      </c>
      <c r="P78" s="15" t="str">
        <f>IFERROR('DATA GPC'!P1081,"--")</f>
        <v>--</v>
      </c>
      <c r="Q78" s="1513"/>
      <c r="R78" s="15" t="str">
        <f>IFERROR('DATA GPC'!O1112,"--")</f>
        <v>--</v>
      </c>
      <c r="S78" s="15" t="str">
        <f>IFERROR('DATA GPC'!P1112,"--")</f>
        <v>--</v>
      </c>
      <c r="T78" s="1506"/>
      <c r="U78" s="606"/>
      <c r="V78" s="2060"/>
    </row>
    <row r="79" spans="1:22" s="1499" customFormat="1" ht="12.75" customHeight="1">
      <c r="A79" s="1632" t="str">
        <f t="shared" si="36"/>
        <v>n</v>
      </c>
      <c r="B79" s="1510"/>
      <c r="C79" s="173" t="str">
        <f>'DATA GPC'!E$33</f>
        <v>--</v>
      </c>
      <c r="D79" s="15"/>
      <c r="E79" s="693" t="str">
        <f>IFERROR(AVERAGEIFS('DATA GPC'!$K801:$O801,'DATA GPC'!$K210:$O210,"&gt;0"),"--")</f>
        <v>--</v>
      </c>
      <c r="F79" s="693" t="str">
        <f>IFERROR(AVERAGEIFS('DATA GPC'!$M801:$O801,'DATA GPC'!$M210:$O210,"&gt;0"),"--")</f>
        <v>--</v>
      </c>
      <c r="G79" s="15" t="str">
        <f>IF($C79="--","--",'DATA GPC'!O801)</f>
        <v>--</v>
      </c>
      <c r="H79" s="15" t="str">
        <f>IF($C79="--","--",'DATA GPC'!P801)</f>
        <v>--</v>
      </c>
      <c r="I79" s="15" t="str">
        <f>IF($C79="--","--",'DATA GPC'!U801)</f>
        <v>--</v>
      </c>
      <c r="J79" s="15" t="str">
        <f>IF($C79="--","--",'DATA GPC'!V801)</f>
        <v>--</v>
      </c>
      <c r="K79" s="15" t="str">
        <f>IF($C79="--","--",'DATA GPC'!W801)</f>
        <v>--</v>
      </c>
      <c r="L79" s="15" t="str">
        <f>IF($C79="--","--",'DATA GPC'!X801)</f>
        <v>--</v>
      </c>
      <c r="M79" s="15" t="str">
        <f>IF($C79="--","--",'DATA GPC'!Y801)</f>
        <v>--</v>
      </c>
      <c r="N79" s="255"/>
      <c r="O79" s="15" t="str">
        <f>IFERROR('DATA GPC'!O1082,"--")</f>
        <v>--</v>
      </c>
      <c r="P79" s="15" t="str">
        <f>IFERROR('DATA GPC'!P1082,"--")</f>
        <v>--</v>
      </c>
      <c r="Q79" s="1513"/>
      <c r="R79" s="15" t="str">
        <f>IFERROR('DATA GPC'!O1113,"--")</f>
        <v>--</v>
      </c>
      <c r="S79" s="15" t="str">
        <f>IFERROR('DATA GPC'!P1113,"--")</f>
        <v>--</v>
      </c>
      <c r="T79" s="1506"/>
      <c r="U79" s="606"/>
      <c r="V79" s="2060"/>
    </row>
    <row r="80" spans="1:22" s="1499" customFormat="1" ht="12.75" customHeight="1">
      <c r="A80" s="1632" t="str">
        <f t="shared" si="36"/>
        <v>n</v>
      </c>
      <c r="B80" s="1510"/>
      <c r="C80" s="173" t="str">
        <f>'DATA GPC'!E$33</f>
        <v>--</v>
      </c>
      <c r="D80" s="15"/>
      <c r="E80" s="693" t="str">
        <f>IFERROR(AVERAGEIFS('DATA GPC'!$K802:$O802,'DATA GPC'!$K211:$O211,"&gt;0"),"--")</f>
        <v>--</v>
      </c>
      <c r="F80" s="693" t="str">
        <f>IFERROR(AVERAGEIFS('DATA GPC'!$M802:$O802,'DATA GPC'!$M211:$O211,"&gt;0"),"--")</f>
        <v>--</v>
      </c>
      <c r="G80" s="15" t="str">
        <f>IF($C80="--","--",'DATA GPC'!O802)</f>
        <v>--</v>
      </c>
      <c r="H80" s="15" t="str">
        <f>IF($C80="--","--",'DATA GPC'!P802)</f>
        <v>--</v>
      </c>
      <c r="I80" s="15" t="str">
        <f>IF($C80="--","--",'DATA GPC'!U802)</f>
        <v>--</v>
      </c>
      <c r="J80" s="15" t="str">
        <f>IF($C80="--","--",'DATA GPC'!V802)</f>
        <v>--</v>
      </c>
      <c r="K80" s="15" t="str">
        <f>IF($C80="--","--",'DATA GPC'!W802)</f>
        <v>--</v>
      </c>
      <c r="L80" s="15" t="str">
        <f>IF($C80="--","--",'DATA GPC'!X802)</f>
        <v>--</v>
      </c>
      <c r="M80" s="15" t="str">
        <f>IF($C80="--","--",'DATA GPC'!Y802)</f>
        <v>--</v>
      </c>
      <c r="N80" s="255"/>
      <c r="O80" s="15" t="str">
        <f>IFERROR('DATA GPC'!O1083,"--")</f>
        <v>--</v>
      </c>
      <c r="P80" s="15" t="str">
        <f>IFERROR('DATA GPC'!P1083,"--")</f>
        <v>--</v>
      </c>
      <c r="Q80" s="1513"/>
      <c r="R80" s="15" t="str">
        <f>IFERROR('DATA GPC'!O1114,"--")</f>
        <v>--</v>
      </c>
      <c r="S80" s="15" t="str">
        <f>IFERROR('DATA GPC'!P1114,"--")</f>
        <v>--</v>
      </c>
      <c r="T80" s="1506"/>
      <c r="U80" s="606"/>
      <c r="V80" s="2060"/>
    </row>
    <row r="81" spans="1:24" s="1499" customFormat="1" ht="12.75" customHeight="1">
      <c r="A81" s="1632" t="str">
        <f t="shared" si="36"/>
        <v>n</v>
      </c>
      <c r="B81" s="1510"/>
      <c r="C81" s="173" t="str">
        <f>'DATA GPC'!E$33</f>
        <v>--</v>
      </c>
      <c r="D81" s="15"/>
      <c r="E81" s="693" t="str">
        <f>IFERROR(AVERAGEIFS('DATA GPC'!$K803:$O803,'DATA GPC'!$K212:$O212,"&gt;0"),"--")</f>
        <v>--</v>
      </c>
      <c r="F81" s="693" t="str">
        <f>IFERROR(AVERAGEIFS('DATA GPC'!$M803:$O803,'DATA GPC'!$M212:$O212,"&gt;0"),"--")</f>
        <v>--</v>
      </c>
      <c r="G81" s="15" t="str">
        <f>IF($C81="--","--",'DATA GPC'!O803)</f>
        <v>--</v>
      </c>
      <c r="H81" s="15" t="str">
        <f>IF($C81="--","--",'DATA GPC'!P803)</f>
        <v>--</v>
      </c>
      <c r="I81" s="15" t="str">
        <f>IF($C81="--","--",'DATA GPC'!U803)</f>
        <v>--</v>
      </c>
      <c r="J81" s="15" t="str">
        <f>IF($C81="--","--",'DATA GPC'!V803)</f>
        <v>--</v>
      </c>
      <c r="K81" s="15" t="str">
        <f>IF($C81="--","--",'DATA GPC'!W803)</f>
        <v>--</v>
      </c>
      <c r="L81" s="15" t="str">
        <f>IF($C81="--","--",'DATA GPC'!X803)</f>
        <v>--</v>
      </c>
      <c r="M81" s="15" t="str">
        <f>IF($C81="--","--",'DATA GPC'!Y803)</f>
        <v>--</v>
      </c>
      <c r="N81" s="255"/>
      <c r="O81" s="15" t="str">
        <f>IFERROR('DATA GPC'!O1084,"--")</f>
        <v>--</v>
      </c>
      <c r="P81" s="15" t="str">
        <f>IFERROR('DATA GPC'!P1084,"--")</f>
        <v>--</v>
      </c>
      <c r="Q81" s="1513"/>
      <c r="R81" s="15" t="str">
        <f>IFERROR('DATA GPC'!O1115,"--")</f>
        <v>--</v>
      </c>
      <c r="S81" s="15" t="str">
        <f>IFERROR('DATA GPC'!P1115,"--")</f>
        <v>--</v>
      </c>
      <c r="T81" s="1506"/>
      <c r="U81" s="606"/>
      <c r="V81" s="2060"/>
      <c r="W81" s="2060"/>
      <c r="X81" s="2060"/>
    </row>
    <row r="82" spans="1:24" s="1499" customFormat="1" ht="12.75" customHeight="1">
      <c r="A82" s="1632" t="str">
        <f t="shared" si="36"/>
        <v>n</v>
      </c>
      <c r="B82" s="1510"/>
      <c r="C82" s="173" t="str">
        <f>'DATA GPC'!E$33</f>
        <v>--</v>
      </c>
      <c r="D82" s="15"/>
      <c r="E82" s="693" t="str">
        <f>IFERROR(AVERAGEIFS('DATA GPC'!$K804:$O804,'DATA GPC'!$K213:$O213,"&gt;0"),"--")</f>
        <v>--</v>
      </c>
      <c r="F82" s="693" t="str">
        <f>IFERROR(AVERAGEIFS('DATA GPC'!$M804:$O804,'DATA GPC'!$M213:$O213,"&gt;0"),"--")</f>
        <v>--</v>
      </c>
      <c r="G82" s="15" t="str">
        <f>IF($C82="--","--",'DATA GPC'!O804)</f>
        <v>--</v>
      </c>
      <c r="H82" s="15" t="str">
        <f>IF($C82="--","--",'DATA GPC'!P804)</f>
        <v>--</v>
      </c>
      <c r="I82" s="15" t="str">
        <f>IF($C82="--","--",'DATA GPC'!U804)</f>
        <v>--</v>
      </c>
      <c r="J82" s="15" t="str">
        <f>IF($C82="--","--",'DATA GPC'!V804)</f>
        <v>--</v>
      </c>
      <c r="K82" s="15" t="str">
        <f>IF($C82="--","--",'DATA GPC'!W804)</f>
        <v>--</v>
      </c>
      <c r="L82" s="15" t="str">
        <f>IF($C82="--","--",'DATA GPC'!X804)</f>
        <v>--</v>
      </c>
      <c r="M82" s="15" t="str">
        <f>IF($C82="--","--",'DATA GPC'!Y804)</f>
        <v>--</v>
      </c>
      <c r="N82" s="255"/>
      <c r="O82" s="15" t="str">
        <f>IFERROR('DATA GPC'!O1085,"--")</f>
        <v>--</v>
      </c>
      <c r="P82" s="15" t="str">
        <f>IFERROR('DATA GPC'!P1085,"--")</f>
        <v>--</v>
      </c>
      <c r="Q82" s="1513"/>
      <c r="R82" s="15" t="str">
        <f>IFERROR('DATA GPC'!O1116,"--")</f>
        <v>--</v>
      </c>
      <c r="S82" s="15" t="str">
        <f>IFERROR('DATA GPC'!P1116,"--")</f>
        <v>--</v>
      </c>
      <c r="T82" s="1506"/>
      <c r="U82" s="606"/>
      <c r="V82" s="2060"/>
      <c r="W82" s="2060"/>
      <c r="X82" s="2060"/>
    </row>
    <row r="83" spans="1:24" s="1499" customFormat="1" ht="12.75" customHeight="1">
      <c r="A83" s="1632" t="str">
        <f t="shared" si="36"/>
        <v>n</v>
      </c>
      <c r="B83" s="1510"/>
      <c r="C83" s="173" t="str">
        <f>'DATA GPC'!E$33</f>
        <v>--</v>
      </c>
      <c r="D83" s="15"/>
      <c r="E83" s="693" t="str">
        <f>IFERROR(AVERAGEIFS('DATA GPC'!$K805:$O805,'DATA GPC'!$K214:$O214,"&gt;0"),"--")</f>
        <v>--</v>
      </c>
      <c r="F83" s="693" t="str">
        <f>IFERROR(AVERAGEIFS('DATA GPC'!$M805:$O805,'DATA GPC'!$M214:$O214,"&gt;0"),"--")</f>
        <v>--</v>
      </c>
      <c r="G83" s="15" t="str">
        <f>IF($C83="--","--",'DATA GPC'!O805)</f>
        <v>--</v>
      </c>
      <c r="H83" s="15" t="str">
        <f>IF($C83="--","--",'DATA GPC'!P805)</f>
        <v>--</v>
      </c>
      <c r="I83" s="15" t="str">
        <f>IF($C83="--","--",'DATA GPC'!U805)</f>
        <v>--</v>
      </c>
      <c r="J83" s="15" t="str">
        <f>IF($C83="--","--",'DATA GPC'!V805)</f>
        <v>--</v>
      </c>
      <c r="K83" s="15" t="str">
        <f>IF($C83="--","--",'DATA GPC'!W805)</f>
        <v>--</v>
      </c>
      <c r="L83" s="15" t="str">
        <f>IF($C83="--","--",'DATA GPC'!X805)</f>
        <v>--</v>
      </c>
      <c r="M83" s="15" t="str">
        <f>IF($C83="--","--",'DATA GPC'!Y805)</f>
        <v>--</v>
      </c>
      <c r="N83" s="255"/>
      <c r="O83" s="15" t="str">
        <f>IFERROR('DATA GPC'!O1086,"--")</f>
        <v>--</v>
      </c>
      <c r="P83" s="15" t="str">
        <f>IFERROR('DATA GPC'!P1086,"--")</f>
        <v>--</v>
      </c>
      <c r="Q83" s="1513"/>
      <c r="R83" s="15" t="str">
        <f>IFERROR('DATA GPC'!O1117,"--")</f>
        <v>--</v>
      </c>
      <c r="S83" s="15" t="str">
        <f>IFERROR('DATA GPC'!P1117,"--")</f>
        <v>--</v>
      </c>
      <c r="T83" s="1506"/>
      <c r="U83" s="606"/>
      <c r="V83" s="2060"/>
      <c r="W83" s="2060"/>
      <c r="X83" s="2060"/>
    </row>
    <row r="84" spans="1:24" s="1499" customFormat="1" ht="12.75" customHeight="1">
      <c r="A84" s="1632" t="str">
        <f t="shared" si="36"/>
        <v>n</v>
      </c>
      <c r="B84" s="1510"/>
      <c r="C84" s="173" t="str">
        <f>'DATA GPC'!E$33</f>
        <v>--</v>
      </c>
      <c r="D84" s="15"/>
      <c r="E84" s="693" t="str">
        <f>IFERROR(AVERAGEIFS('DATA GPC'!$K806:$O806,'DATA GPC'!$K215:$O215,"&gt;0"),"--")</f>
        <v>--</v>
      </c>
      <c r="F84" s="693" t="str">
        <f>IFERROR(AVERAGEIFS('DATA GPC'!$M806:$O806,'DATA GPC'!$M215:$O215,"&gt;0"),"--")</f>
        <v>--</v>
      </c>
      <c r="G84" s="15" t="str">
        <f>IF($C84="--","--",'DATA GPC'!O806)</f>
        <v>--</v>
      </c>
      <c r="H84" s="15" t="str">
        <f>IF($C84="--","--",'DATA GPC'!P806)</f>
        <v>--</v>
      </c>
      <c r="I84" s="15" t="str">
        <f>IF($C84="--","--",'DATA GPC'!U806)</f>
        <v>--</v>
      </c>
      <c r="J84" s="15" t="str">
        <f>IF($C84="--","--",'DATA GPC'!V806)</f>
        <v>--</v>
      </c>
      <c r="K84" s="15" t="str">
        <f>IF($C84="--","--",'DATA GPC'!W806)</f>
        <v>--</v>
      </c>
      <c r="L84" s="15" t="str">
        <f>IF($C84="--","--",'DATA GPC'!X806)</f>
        <v>--</v>
      </c>
      <c r="M84" s="15" t="str">
        <f>IF($C84="--","--",'DATA GPC'!Y806)</f>
        <v>--</v>
      </c>
      <c r="N84" s="255"/>
      <c r="O84" s="15" t="str">
        <f>IFERROR('DATA GPC'!O1087,"--")</f>
        <v>--</v>
      </c>
      <c r="P84" s="15" t="str">
        <f>IFERROR('DATA GPC'!P1087,"--")</f>
        <v>--</v>
      </c>
      <c r="Q84" s="1513"/>
      <c r="R84" s="15" t="str">
        <f>IFERROR('DATA GPC'!O1118,"--")</f>
        <v>--</v>
      </c>
      <c r="S84" s="15" t="str">
        <f>IFERROR('DATA GPC'!P1118,"--")</f>
        <v>--</v>
      </c>
      <c r="T84" s="1506"/>
      <c r="U84" s="606"/>
      <c r="V84" s="2060"/>
      <c r="W84" s="2060"/>
      <c r="X84" s="2060"/>
    </row>
    <row r="85" spans="1:24" ht="12.75" customHeight="1">
      <c r="A85" s="1632" t="str">
        <f t="shared" si="36"/>
        <v>n</v>
      </c>
      <c r="B85" s="1510"/>
      <c r="C85" s="173" t="str">
        <f>'DATA GPC'!E$33</f>
        <v>--</v>
      </c>
      <c r="D85" s="15"/>
      <c r="E85" s="693" t="str">
        <f>IFERROR(AVERAGEIFS('DATA GPC'!$K807:$O807,'DATA GPC'!$K216:$O216,"&gt;0"),"--")</f>
        <v>--</v>
      </c>
      <c r="F85" s="693" t="str">
        <f>IFERROR(AVERAGEIFS('DATA GPC'!$M807:$O807,'DATA GPC'!$M216:$O216,"&gt;0"),"--")</f>
        <v>--</v>
      </c>
      <c r="G85" s="15" t="str">
        <f>IF($C85="--","--",'DATA GPC'!O807)</f>
        <v>--</v>
      </c>
      <c r="H85" s="15" t="str">
        <f>IF($C85="--","--",'DATA GPC'!P807)</f>
        <v>--</v>
      </c>
      <c r="I85" s="15" t="str">
        <f>IF($C85="--","--",'DATA GPC'!U807)</f>
        <v>--</v>
      </c>
      <c r="J85" s="15" t="str">
        <f>IF($C85="--","--",'DATA GPC'!V807)</f>
        <v>--</v>
      </c>
      <c r="K85" s="15" t="str">
        <f>IF($C85="--","--",'DATA GPC'!W807)</f>
        <v>--</v>
      </c>
      <c r="L85" s="15" t="str">
        <f>IF($C85="--","--",'DATA GPC'!X807)</f>
        <v>--</v>
      </c>
      <c r="M85" s="15" t="str">
        <f>IF($C85="--","--",'DATA GPC'!Y807)</f>
        <v>--</v>
      </c>
      <c r="N85" s="255"/>
      <c r="O85" s="15" t="str">
        <f>IFERROR('DATA GPC'!O1088,"--")</f>
        <v>--</v>
      </c>
      <c r="P85" s="15" t="str">
        <f>IFERROR('DATA GPC'!P1088,"--")</f>
        <v>--</v>
      </c>
      <c r="Q85" s="1513"/>
      <c r="R85" s="15" t="str">
        <f>IFERROR('DATA GPC'!O1119,"--")</f>
        <v>--</v>
      </c>
      <c r="S85" s="15" t="str">
        <f>IFERROR('DATA GPC'!P1119,"--")</f>
        <v>--</v>
      </c>
      <c r="T85" s="1506"/>
      <c r="U85" s="606"/>
      <c r="V85" s="2060"/>
      <c r="W85" s="2060"/>
      <c r="X85" s="2060"/>
    </row>
    <row r="86" spans="1:24" s="1499" customFormat="1" ht="13.9">
      <c r="A86" s="1510"/>
      <c r="B86" s="1510"/>
      <c r="C86" s="173"/>
      <c r="D86" s="90"/>
      <c r="E86" s="663"/>
      <c r="F86" s="663"/>
      <c r="G86" s="663"/>
      <c r="H86" s="663"/>
      <c r="I86" s="663"/>
      <c r="J86" s="663"/>
      <c r="K86" s="663"/>
      <c r="L86" s="663"/>
      <c r="M86" s="663"/>
      <c r="N86" s="2060"/>
      <c r="O86" s="663"/>
      <c r="P86" s="663"/>
      <c r="Q86" s="2060"/>
      <c r="R86" s="663"/>
      <c r="S86" s="663"/>
      <c r="T86" s="1506"/>
      <c r="U86" s="1510"/>
      <c r="V86" s="1506"/>
      <c r="W86" s="2060"/>
      <c r="X86" s="2060"/>
    </row>
    <row r="87" spans="1:24" s="1499" customFormat="1" ht="13.9">
      <c r="A87" s="1510"/>
      <c r="B87" s="1510"/>
      <c r="C87" s="2060"/>
      <c r="D87" s="1570" t="s">
        <v>1275</v>
      </c>
      <c r="E87" s="1947" t="str">
        <f>IFERROR(QUARTILE(E61:E85,4),"n/a")</f>
        <v>n/a</v>
      </c>
      <c r="F87" s="1947" t="str">
        <f t="shared" ref="F87:M87" si="37">IFERROR(QUARTILE(F61:F85,4),"n/a")</f>
        <v>n/a</v>
      </c>
      <c r="G87" s="1947" t="str">
        <f t="shared" si="37"/>
        <v>n/a</v>
      </c>
      <c r="H87" s="1947" t="str">
        <f t="shared" si="37"/>
        <v>n/a</v>
      </c>
      <c r="I87" s="1947" t="str">
        <f t="shared" si="37"/>
        <v>n/a</v>
      </c>
      <c r="J87" s="1947" t="str">
        <f t="shared" si="37"/>
        <v>n/a</v>
      </c>
      <c r="K87" s="1947" t="str">
        <f t="shared" si="37"/>
        <v>n/a</v>
      </c>
      <c r="L87" s="1947" t="str">
        <f t="shared" si="37"/>
        <v>n/a</v>
      </c>
      <c r="M87" s="1947" t="str">
        <f t="shared" si="37"/>
        <v>n/a</v>
      </c>
      <c r="N87" s="2060"/>
      <c r="O87" s="1947" t="str">
        <f>IFERROR(QUARTILE(O61:O85,4),"n/a")</f>
        <v>n/a</v>
      </c>
      <c r="P87" s="1947" t="str">
        <f>IFERROR(QUARTILE(P61:P85,4),"n/a")</f>
        <v>n/a</v>
      </c>
      <c r="Q87" s="2060"/>
      <c r="R87" s="1947" t="str">
        <f>IFERROR(QUARTILE(R61:R85,4),"n/a")</f>
        <v>n/a</v>
      </c>
      <c r="S87" s="1947" t="str">
        <f>IFERROR(QUARTILE(S61:S85,4),"n/a")</f>
        <v>n/a</v>
      </c>
      <c r="T87" s="1516"/>
      <c r="U87" s="1510"/>
      <c r="V87" s="1506"/>
      <c r="W87" s="2060"/>
      <c r="X87" s="2060"/>
    </row>
    <row r="88" spans="1:24" s="1499" customFormat="1" ht="13.9">
      <c r="A88" s="1510"/>
      <c r="B88" s="1510"/>
      <c r="C88" s="2060"/>
      <c r="D88" s="1570" t="s">
        <v>1469</v>
      </c>
      <c r="E88" s="693" t="str">
        <f>IFERROR(QUARTILE(E61:E85,3),"n/a")</f>
        <v>n/a</v>
      </c>
      <c r="F88" s="693" t="str">
        <f t="shared" ref="F88:M88" si="38">IFERROR(QUARTILE(F61:F85,3),"n/a")</f>
        <v>n/a</v>
      </c>
      <c r="G88" s="693" t="str">
        <f t="shared" si="38"/>
        <v>n/a</v>
      </c>
      <c r="H88" s="693" t="str">
        <f t="shared" si="38"/>
        <v>n/a</v>
      </c>
      <c r="I88" s="693" t="str">
        <f t="shared" si="38"/>
        <v>n/a</v>
      </c>
      <c r="J88" s="693" t="str">
        <f t="shared" si="38"/>
        <v>n/a</v>
      </c>
      <c r="K88" s="693" t="str">
        <f t="shared" si="38"/>
        <v>n/a</v>
      </c>
      <c r="L88" s="693" t="str">
        <f t="shared" si="38"/>
        <v>n/a</v>
      </c>
      <c r="M88" s="693" t="str">
        <f t="shared" si="38"/>
        <v>n/a</v>
      </c>
      <c r="N88" s="2060"/>
      <c r="O88" s="693" t="str">
        <f>IFERROR(QUARTILE(O61:O85,3),"n/a")</f>
        <v>n/a</v>
      </c>
      <c r="P88" s="693" t="str">
        <f>IFERROR(QUARTILE(P61:P85,3),"n/a")</f>
        <v>n/a</v>
      </c>
      <c r="Q88" s="2060"/>
      <c r="R88" s="693" t="str">
        <f>IFERROR(QUARTILE(R61:R85,3),"n/a")</f>
        <v>n/a</v>
      </c>
      <c r="S88" s="693" t="str">
        <f>IFERROR(QUARTILE(S61:S85,3),"n/a")</f>
        <v>n/a</v>
      </c>
      <c r="T88" s="1516"/>
      <c r="U88" s="1510"/>
      <c r="V88" s="1506"/>
      <c r="W88" s="2060"/>
      <c r="X88" s="2060"/>
    </row>
    <row r="89" spans="1:24" s="1499" customFormat="1" ht="12.75" customHeight="1">
      <c r="A89" s="1510"/>
      <c r="B89" s="1510"/>
      <c r="C89" s="2060"/>
      <c r="D89" s="1743" t="s">
        <v>1157</v>
      </c>
      <c r="E89" s="693" t="str">
        <f>IFERROR(AVERAGE(E61:E85),"n/a")</f>
        <v>n/a</v>
      </c>
      <c r="F89" s="693" t="str">
        <f t="shared" ref="F89:M89" si="39">IFERROR(AVERAGE(F61:F85),"n/a")</f>
        <v>n/a</v>
      </c>
      <c r="G89" s="693" t="str">
        <f t="shared" si="39"/>
        <v>n/a</v>
      </c>
      <c r="H89" s="693" t="str">
        <f t="shared" si="39"/>
        <v>n/a</v>
      </c>
      <c r="I89" s="693" t="str">
        <f t="shared" si="39"/>
        <v>n/a</v>
      </c>
      <c r="J89" s="693" t="str">
        <f t="shared" si="39"/>
        <v>n/a</v>
      </c>
      <c r="K89" s="693" t="str">
        <f t="shared" si="39"/>
        <v>n/a</v>
      </c>
      <c r="L89" s="693" t="str">
        <f t="shared" si="39"/>
        <v>n/a</v>
      </c>
      <c r="M89" s="693" t="str">
        <f t="shared" si="39"/>
        <v>n/a</v>
      </c>
      <c r="N89" s="2060"/>
      <c r="O89" s="693" t="str">
        <f>IFERROR(AVERAGE(O61:O85),"n/a")</f>
        <v>n/a</v>
      </c>
      <c r="P89" s="693" t="str">
        <f>IFERROR(AVERAGE(P61:P85),"n/a")</f>
        <v>n/a</v>
      </c>
      <c r="Q89" s="2060"/>
      <c r="R89" s="693" t="str">
        <f>IFERROR(AVERAGE(R61:R85),"n/a")</f>
        <v>n/a</v>
      </c>
      <c r="S89" s="693" t="str">
        <f>IFERROR(AVERAGE(S61:S85),"n/a")</f>
        <v>n/a</v>
      </c>
      <c r="T89" s="1516"/>
      <c r="U89" s="1510"/>
      <c r="V89" s="1506"/>
      <c r="W89" s="2060"/>
      <c r="X89" s="2060"/>
    </row>
    <row r="90" spans="1:24" s="1499" customFormat="1" ht="13.9">
      <c r="A90" s="1510"/>
      <c r="B90" s="1510"/>
      <c r="C90" s="2060"/>
      <c r="D90" s="1570" t="s">
        <v>1158</v>
      </c>
      <c r="E90" s="693" t="str">
        <f>IFERROR(MEDIAN(E61:E85),"n/a")</f>
        <v>n/a</v>
      </c>
      <c r="F90" s="693" t="str">
        <f t="shared" ref="F90:S90" si="40">IFERROR(MEDIAN(F61:F85),"n/a")</f>
        <v>n/a</v>
      </c>
      <c r="G90" s="693" t="str">
        <f t="shared" si="40"/>
        <v>n/a</v>
      </c>
      <c r="H90" s="693" t="str">
        <f t="shared" si="40"/>
        <v>n/a</v>
      </c>
      <c r="I90" s="693" t="str">
        <f t="shared" si="40"/>
        <v>n/a</v>
      </c>
      <c r="J90" s="693" t="str">
        <f t="shared" si="40"/>
        <v>n/a</v>
      </c>
      <c r="K90" s="693" t="str">
        <f t="shared" si="40"/>
        <v>n/a</v>
      </c>
      <c r="L90" s="693" t="str">
        <f t="shared" si="40"/>
        <v>n/a</v>
      </c>
      <c r="M90" s="693" t="str">
        <f t="shared" si="40"/>
        <v>n/a</v>
      </c>
      <c r="N90" s="2060"/>
      <c r="O90" s="693" t="str">
        <f t="shared" si="40"/>
        <v>n/a</v>
      </c>
      <c r="P90" s="693" t="str">
        <f t="shared" si="40"/>
        <v>n/a</v>
      </c>
      <c r="Q90" s="2060"/>
      <c r="R90" s="693" t="str">
        <f t="shared" si="40"/>
        <v>n/a</v>
      </c>
      <c r="S90" s="693" t="str">
        <f t="shared" si="40"/>
        <v>n/a</v>
      </c>
      <c r="T90" s="1516"/>
      <c r="U90" s="1510"/>
      <c r="V90" s="1506"/>
      <c r="W90" s="2060"/>
      <c r="X90" s="2060"/>
    </row>
    <row r="91" spans="1:24" s="1499" customFormat="1" ht="13.9">
      <c r="A91" s="1510"/>
      <c r="B91" s="1510"/>
      <c r="C91" s="2060"/>
      <c r="D91" s="1570" t="s">
        <v>1470</v>
      </c>
      <c r="E91" s="693" t="str">
        <f>IFERROR(QUARTILE(E61:E85,1),"n/a")</f>
        <v>n/a</v>
      </c>
      <c r="F91" s="693" t="str">
        <f t="shared" ref="F91:M91" si="41">IFERROR(QUARTILE(F61:F85,1),"n/a")</f>
        <v>n/a</v>
      </c>
      <c r="G91" s="693" t="str">
        <f t="shared" si="41"/>
        <v>n/a</v>
      </c>
      <c r="H91" s="693" t="str">
        <f t="shared" si="41"/>
        <v>n/a</v>
      </c>
      <c r="I91" s="693" t="str">
        <f t="shared" si="41"/>
        <v>n/a</v>
      </c>
      <c r="J91" s="693" t="str">
        <f t="shared" si="41"/>
        <v>n/a</v>
      </c>
      <c r="K91" s="693" t="str">
        <f t="shared" si="41"/>
        <v>n/a</v>
      </c>
      <c r="L91" s="693" t="str">
        <f t="shared" si="41"/>
        <v>n/a</v>
      </c>
      <c r="M91" s="693" t="str">
        <f t="shared" si="41"/>
        <v>n/a</v>
      </c>
      <c r="N91" s="2060"/>
      <c r="O91" s="693" t="str">
        <f>IFERROR(QUARTILE(O61:O85,1),"n/a")</f>
        <v>n/a</v>
      </c>
      <c r="P91" s="693" t="str">
        <f>IFERROR(QUARTILE(P61:P85,1),"n/a")</f>
        <v>n/a</v>
      </c>
      <c r="Q91" s="2060"/>
      <c r="R91" s="693" t="str">
        <f>IFERROR(QUARTILE(R61:R85,1),"n/a")</f>
        <v>n/a</v>
      </c>
      <c r="S91" s="693" t="str">
        <f>IFERROR(QUARTILE(S61:S85,1),"n/a")</f>
        <v>n/a</v>
      </c>
      <c r="T91" s="1516"/>
      <c r="U91" s="1510"/>
      <c r="V91" s="1506"/>
      <c r="W91" s="2060"/>
      <c r="X91" s="2060"/>
    </row>
    <row r="92" spans="1:24" s="1499" customFormat="1" ht="13.9">
      <c r="A92" s="1510"/>
      <c r="B92" s="1510"/>
      <c r="C92" s="1502"/>
      <c r="D92" s="1570" t="s">
        <v>1273</v>
      </c>
      <c r="E92" s="693" t="str">
        <f>IFERROR(QUARTILE(E61:E85,0),"n/a")</f>
        <v>n/a</v>
      </c>
      <c r="F92" s="693" t="str">
        <f t="shared" ref="F92:M92" si="42">IFERROR(QUARTILE(F61:F85,0),"n/a")</f>
        <v>n/a</v>
      </c>
      <c r="G92" s="693" t="str">
        <f t="shared" si="42"/>
        <v>n/a</v>
      </c>
      <c r="H92" s="693" t="str">
        <f t="shared" si="42"/>
        <v>n/a</v>
      </c>
      <c r="I92" s="693" t="str">
        <f t="shared" si="42"/>
        <v>n/a</v>
      </c>
      <c r="J92" s="693" t="str">
        <f t="shared" si="42"/>
        <v>n/a</v>
      </c>
      <c r="K92" s="693" t="str">
        <f t="shared" si="42"/>
        <v>n/a</v>
      </c>
      <c r="L92" s="693" t="str">
        <f t="shared" si="42"/>
        <v>n/a</v>
      </c>
      <c r="M92" s="693" t="str">
        <f t="shared" si="42"/>
        <v>n/a</v>
      </c>
      <c r="N92" s="2060"/>
      <c r="O92" s="693" t="str">
        <f>IFERROR(QUARTILE(O61:O85,0),"n/a")</f>
        <v>n/a</v>
      </c>
      <c r="P92" s="693" t="str">
        <f>IFERROR(QUARTILE(P61:P85,0),"n/a")</f>
        <v>n/a</v>
      </c>
      <c r="Q92" s="2060"/>
      <c r="R92" s="693" t="str">
        <f>IFERROR(QUARTILE(R61:R85,0),"n/a")</f>
        <v>n/a</v>
      </c>
      <c r="S92" s="693" t="str">
        <f>IFERROR(QUARTILE(S61:S85,0),"n/a")</f>
        <v>n/a</v>
      </c>
      <c r="T92" s="1516"/>
      <c r="U92" s="1510"/>
      <c r="V92" s="1506"/>
      <c r="W92" s="2060"/>
      <c r="X92" s="2060"/>
    </row>
    <row r="93" spans="1:24" ht="12.75" customHeight="1">
      <c r="A93" s="1510"/>
      <c r="B93" s="1510"/>
      <c r="C93" s="1502"/>
      <c r="D93" s="1502"/>
      <c r="E93" s="713"/>
      <c r="F93" s="713"/>
      <c r="G93" s="713"/>
      <c r="H93" s="713"/>
      <c r="I93" s="713"/>
      <c r="J93" s="713"/>
      <c r="K93" s="713"/>
      <c r="L93" s="713"/>
      <c r="M93" s="713"/>
      <c r="N93" s="2060"/>
      <c r="O93" s="713"/>
      <c r="P93" s="713"/>
      <c r="Q93" s="2060"/>
      <c r="R93" s="713"/>
      <c r="S93" s="713"/>
      <c r="T93" s="1516"/>
      <c r="U93" s="1510"/>
      <c r="V93" s="1506"/>
      <c r="W93" s="2060"/>
      <c r="X93" s="2060"/>
    </row>
    <row r="94" spans="1:24" s="1506" customFormat="1" ht="12.95" customHeight="1">
      <c r="A94" s="1510"/>
      <c r="B94" s="1510"/>
      <c r="C94" s="1588" t="s">
        <v>1472</v>
      </c>
      <c r="D94" s="1555"/>
      <c r="E94" s="1580"/>
      <c r="F94" s="1549"/>
      <c r="G94" s="1549"/>
      <c r="H94" s="1549"/>
      <c r="I94" s="1549"/>
      <c r="J94" s="1549"/>
      <c r="K94" s="1549"/>
      <c r="L94" s="1516"/>
      <c r="M94" s="1504"/>
      <c r="N94" s="1504"/>
      <c r="O94" s="1504"/>
      <c r="P94" s="1504"/>
      <c r="Q94" s="1504"/>
      <c r="R94" s="1504"/>
      <c r="S94" s="1504"/>
      <c r="T94" s="1516"/>
      <c r="U94" s="1510"/>
      <c r="V94" s="1516"/>
      <c r="W94" s="1516"/>
      <c r="X94" s="1516"/>
    </row>
    <row r="95" spans="1:24" ht="13.9">
      <c r="A95" s="1566"/>
      <c r="B95" s="1510"/>
      <c r="C95" s="373" t="s">
        <v>1402</v>
      </c>
      <c r="D95" s="202"/>
      <c r="E95" s="672"/>
      <c r="F95" s="200"/>
      <c r="G95" s="1508"/>
      <c r="H95" s="1508"/>
      <c r="I95" s="1508"/>
      <c r="J95" s="1508"/>
      <c r="K95" s="1508"/>
      <c r="L95" s="1508"/>
      <c r="M95" s="1508"/>
      <c r="N95" s="1508"/>
      <c r="O95" s="1508"/>
      <c r="P95" s="1508"/>
      <c r="Q95" s="1508"/>
      <c r="R95" s="1508"/>
      <c r="S95" s="1508"/>
      <c r="T95" s="1508"/>
      <c r="U95" s="1510"/>
      <c r="V95" s="1506"/>
      <c r="W95" s="2060"/>
      <c r="X95" s="2060"/>
    </row>
    <row r="96" spans="1:24" s="1499" customFormat="1" ht="13.9">
      <c r="A96" s="1566"/>
      <c r="B96" s="1510"/>
      <c r="C96" s="373"/>
      <c r="D96" s="202"/>
      <c r="E96" s="672"/>
      <c r="F96" s="200"/>
      <c r="G96" s="1508"/>
      <c r="H96" s="1508"/>
      <c r="I96" s="1508"/>
      <c r="J96" s="1508"/>
      <c r="K96" s="1508"/>
      <c r="L96" s="1508"/>
      <c r="M96" s="1508"/>
      <c r="N96" s="1508"/>
      <c r="O96" s="1508"/>
      <c r="P96" s="1508"/>
      <c r="Q96" s="1508"/>
      <c r="R96" s="1508"/>
      <c r="S96" s="1508"/>
      <c r="T96" s="1508"/>
      <c r="U96" s="1510"/>
      <c r="V96" s="1506"/>
      <c r="W96" s="2060"/>
      <c r="X96" s="2060"/>
    </row>
    <row r="97" spans="1:22" ht="13.9">
      <c r="A97" s="1518"/>
      <c r="B97" s="1510"/>
      <c r="C97" s="373" t="str">
        <f ca="1">FootnoteDRAFT</f>
        <v>Run date: 05-August-2018  02:34 PM.   DRAFT document. All data subject to change upon completion of additional analysis.</v>
      </c>
      <c r="D97" s="202"/>
      <c r="E97" s="672"/>
      <c r="F97" s="200"/>
      <c r="G97" s="1508"/>
      <c r="H97" s="1508"/>
      <c r="I97" s="1508"/>
      <c r="J97" s="1508"/>
      <c r="K97" s="1508"/>
      <c r="L97" s="1508"/>
      <c r="M97" s="1508"/>
      <c r="N97" s="1508"/>
      <c r="O97" s="1508"/>
      <c r="P97" s="1508"/>
      <c r="Q97" s="1508"/>
      <c r="R97" s="1508"/>
      <c r="S97" s="1508"/>
      <c r="T97" s="1508"/>
      <c r="U97" s="1518"/>
      <c r="V97" s="1506"/>
    </row>
    <row r="98" spans="1:22" ht="13.9">
      <c r="A98" s="1510" t="s">
        <v>17</v>
      </c>
      <c r="B98" s="1510"/>
      <c r="C98" s="1510"/>
      <c r="D98" s="1510"/>
      <c r="E98" s="701"/>
      <c r="F98" s="1510"/>
      <c r="G98" s="1510"/>
      <c r="H98" s="1510"/>
      <c r="I98" s="1510"/>
      <c r="J98" s="1510"/>
      <c r="K98" s="1510"/>
      <c r="L98" s="1510"/>
      <c r="M98" s="1510"/>
      <c r="N98" s="1510"/>
      <c r="O98" s="1510"/>
      <c r="P98" s="1510"/>
      <c r="Q98" s="1510"/>
      <c r="R98" s="1510"/>
      <c r="S98" s="1510"/>
      <c r="T98" s="1546" t="str">
        <f>IF(A98="n","Page end","This page not printed")</f>
        <v>Page end</v>
      </c>
      <c r="U98" s="1510"/>
      <c r="V98" s="2060"/>
    </row>
    <row r="99" spans="1:22" ht="13.9">
      <c r="A99" s="1510"/>
      <c r="B99" s="1510"/>
      <c r="C99" s="1510"/>
      <c r="D99" s="1510"/>
      <c r="E99" s="701"/>
      <c r="F99" s="1510"/>
      <c r="G99" s="1510"/>
      <c r="H99" s="1510"/>
      <c r="I99" s="1510"/>
      <c r="J99" s="1510"/>
      <c r="K99" s="1510"/>
      <c r="L99" s="1510"/>
      <c r="M99" s="1510"/>
      <c r="N99" s="1510"/>
      <c r="O99" s="1510"/>
      <c r="P99" s="1510"/>
      <c r="Q99" s="1510"/>
      <c r="R99" s="1510"/>
      <c r="S99" s="1510"/>
      <c r="T99" s="1546"/>
      <c r="U99" s="1510"/>
      <c r="V99" s="1506"/>
    </row>
    <row r="100" spans="1:22" ht="13.9">
      <c r="A100" s="2060"/>
      <c r="B100" s="2060"/>
      <c r="C100" s="2060"/>
      <c r="D100" s="2060"/>
      <c r="E100" s="1578"/>
      <c r="F100" s="2060"/>
      <c r="G100" s="2060"/>
      <c r="H100" s="2060"/>
      <c r="I100" s="2060"/>
      <c r="J100" s="2060"/>
      <c r="K100" s="2060"/>
      <c r="L100" s="2060"/>
      <c r="M100" s="2060"/>
      <c r="N100" s="2060"/>
      <c r="O100" s="2060"/>
      <c r="P100" s="2060"/>
      <c r="Q100" s="2060"/>
      <c r="R100" s="2060"/>
      <c r="S100" s="2060"/>
      <c r="T100" s="2060"/>
      <c r="U100" s="2060"/>
      <c r="V100" s="1506"/>
    </row>
    <row r="101" spans="1:22" ht="13.9">
      <c r="A101" s="2060"/>
      <c r="B101" s="2060"/>
      <c r="C101" s="2060"/>
      <c r="D101" s="2060"/>
      <c r="E101" s="1578"/>
      <c r="F101" s="2060"/>
      <c r="G101" s="2060"/>
      <c r="H101" s="2060"/>
      <c r="I101" s="2060"/>
      <c r="J101" s="2060"/>
      <c r="K101" s="2060"/>
      <c r="L101" s="2060"/>
      <c r="M101" s="2060"/>
      <c r="N101" s="2060"/>
      <c r="O101" s="2060"/>
      <c r="P101" s="2060"/>
      <c r="Q101" s="2060"/>
      <c r="R101" s="2060"/>
      <c r="S101" s="2060"/>
      <c r="T101" s="2060"/>
      <c r="U101" s="2060"/>
      <c r="V101" s="1506"/>
    </row>
    <row r="102" spans="1:22" ht="13.9">
      <c r="A102" s="2060"/>
      <c r="B102" s="2060"/>
      <c r="C102" s="2060"/>
      <c r="D102" s="2060"/>
      <c r="E102" s="1578"/>
      <c r="F102" s="2060"/>
      <c r="G102" s="2060"/>
      <c r="H102" s="2060"/>
      <c r="I102" s="2060"/>
      <c r="J102" s="2060"/>
      <c r="K102" s="2060"/>
      <c r="L102" s="2060"/>
      <c r="M102" s="2060"/>
      <c r="N102" s="2060"/>
      <c r="O102" s="2060"/>
      <c r="P102" s="2060"/>
      <c r="Q102" s="2060"/>
      <c r="R102" s="2060"/>
      <c r="S102" s="2060"/>
      <c r="T102" s="2060"/>
      <c r="U102" s="2060"/>
      <c r="V102" s="1506"/>
    </row>
    <row r="103" spans="1:22" ht="13.9">
      <c r="A103" s="2060"/>
      <c r="B103" s="2060"/>
      <c r="C103" s="2060"/>
      <c r="D103" s="2060"/>
      <c r="E103" s="1578"/>
      <c r="F103" s="2060"/>
      <c r="G103" s="2060"/>
      <c r="H103" s="2060"/>
      <c r="I103" s="2060"/>
      <c r="J103" s="2060"/>
      <c r="K103" s="2060"/>
      <c r="L103" s="2060"/>
      <c r="M103" s="2060"/>
      <c r="N103" s="2060"/>
      <c r="O103" s="2060"/>
      <c r="P103" s="2060"/>
      <c r="Q103" s="2060"/>
      <c r="R103" s="2060"/>
      <c r="S103" s="2060"/>
      <c r="T103" s="2060"/>
      <c r="U103" s="2060"/>
      <c r="V103" s="1506"/>
    </row>
    <row r="104" spans="1:22" ht="13.9">
      <c r="A104" s="2060"/>
      <c r="B104" s="2060"/>
      <c r="C104" s="2060"/>
      <c r="D104" s="2060"/>
      <c r="E104" s="1505"/>
      <c r="F104" s="2060"/>
      <c r="G104" s="2060"/>
      <c r="H104" s="2060"/>
      <c r="I104" s="2060"/>
      <c r="J104" s="2060"/>
      <c r="K104" s="2060"/>
      <c r="L104" s="2060"/>
      <c r="M104" s="2060"/>
      <c r="N104" s="2060"/>
      <c r="O104" s="2060"/>
      <c r="P104" s="2060"/>
      <c r="Q104" s="2060"/>
      <c r="R104" s="2060"/>
      <c r="S104" s="2060"/>
      <c r="T104" s="2060"/>
      <c r="U104" s="2060"/>
      <c r="V104" s="1506"/>
    </row>
    <row r="105" spans="1:22" ht="13.9">
      <c r="A105" s="2060"/>
      <c r="B105" s="2060"/>
      <c r="C105" s="2060"/>
      <c r="D105" s="2060"/>
      <c r="E105" s="1505"/>
      <c r="F105" s="2060"/>
      <c r="G105" s="2060"/>
      <c r="H105" s="2060"/>
      <c r="I105" s="2060"/>
      <c r="J105" s="2060"/>
      <c r="K105" s="2060"/>
      <c r="L105" s="2060"/>
      <c r="M105" s="2060"/>
      <c r="N105" s="2060"/>
      <c r="O105" s="2060"/>
      <c r="P105" s="2060"/>
      <c r="Q105" s="2060"/>
      <c r="R105" s="2060"/>
      <c r="S105" s="2060"/>
      <c r="T105" s="2060"/>
      <c r="U105" s="2060"/>
      <c r="V105" s="1506"/>
    </row>
    <row r="106" spans="1:22" ht="13.9">
      <c r="A106" s="2060"/>
      <c r="B106" s="2060"/>
      <c r="C106" s="2060"/>
      <c r="D106" s="2060"/>
      <c r="E106" s="1578"/>
      <c r="F106" s="2060"/>
      <c r="G106" s="2060"/>
      <c r="H106" s="2060"/>
      <c r="I106" s="2060"/>
      <c r="J106" s="2060"/>
      <c r="K106" s="2060"/>
      <c r="L106" s="2060"/>
      <c r="M106" s="2060"/>
      <c r="N106" s="2060"/>
      <c r="O106" s="2060"/>
      <c r="P106" s="2060"/>
      <c r="Q106" s="2060"/>
      <c r="R106" s="2060"/>
      <c r="S106" s="2060"/>
      <c r="T106" s="2060"/>
      <c r="U106" s="2060"/>
      <c r="V106" s="1506"/>
    </row>
  </sheetData>
  <conditionalFormatting sqref="B1">
    <cfRule type="cellIs" dxfId="161" priority="4" operator="notEqual">
      <formula>0</formula>
    </cfRule>
  </conditionalFormatting>
  <conditionalFormatting sqref="A7">
    <cfRule type="expression" dxfId="160" priority="3">
      <formula>AND(MasterCheck&gt;0,RedAlertY=TRUE)</formula>
    </cfRule>
  </conditionalFormatting>
  <conditionalFormatting sqref="B51">
    <cfRule type="cellIs" dxfId="159" priority="2" operator="notEqual">
      <formula>0</formula>
    </cfRule>
  </conditionalFormatting>
  <conditionalFormatting sqref="A56">
    <cfRule type="expression" dxfId="158"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2" manualBreakCount="2">
    <brk id="50" max="16383" man="1"/>
    <brk id="98"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uidelinePublicCompanyMethod">
    <tabColor rgb="FFFFFF00"/>
    <pageSetUpPr autoPageBreaks="0"/>
  </sheetPr>
  <dimension ref="A1:AC70"/>
  <sheetViews>
    <sheetView showGridLines="0" zoomScale="85" zoomScaleNormal="85" zoomScaleSheetLayoutView="85" workbookViewId="0">
      <selection activeCell="T42" sqref="T42"/>
    </sheetView>
  </sheetViews>
  <sheetFormatPr defaultColWidth="9.33203125" defaultRowHeight="12" customHeight="1" outlineLevelCol="1"/>
  <cols>
    <col min="1" max="1" width="2.83203125" style="334" customWidth="1"/>
    <col min="2" max="2" width="3.83203125" style="334" customWidth="1"/>
    <col min="3" max="3" width="45.6640625" style="285" customWidth="1"/>
    <col min="4" max="4" width="17" style="285" customWidth="1"/>
    <col min="5" max="5" width="3.83203125" style="285" customWidth="1"/>
    <col min="6" max="6" width="12.83203125" style="285" customWidth="1" outlineLevel="1"/>
    <col min="7" max="7" width="3.83203125" style="285" customWidth="1" outlineLevel="1"/>
    <col min="8" max="8" width="12.83203125" style="285" customWidth="1"/>
    <col min="9" max="9" width="3.83203125" style="285" customWidth="1"/>
    <col min="10" max="10" width="13.6640625" style="285" customWidth="1"/>
    <col min="11" max="11" width="3.83203125" style="285" customWidth="1"/>
    <col min="12" max="12" width="12.83203125" style="285" customWidth="1" outlineLevel="1"/>
    <col min="13" max="13" width="3.83203125" style="285" customWidth="1" outlineLevel="1"/>
    <col min="14" max="14" width="12.83203125" style="285" customWidth="1"/>
    <col min="15" max="15" width="3.83203125" style="285" customWidth="1"/>
    <col min="16" max="16" width="11.83203125" style="285" customWidth="1"/>
    <col min="17" max="17" width="4.33203125" style="1525" customWidth="1"/>
    <col min="18" max="18" width="51.5" style="285" customWidth="1"/>
    <col min="19" max="19" width="8.83203125" style="285" customWidth="1"/>
    <col min="20" max="20" width="32.5" style="285" bestFit="1" customWidth="1"/>
    <col min="21" max="21" width="12.83203125" customWidth="1"/>
    <col min="22" max="22" width="12.83203125" style="1499" customWidth="1"/>
    <col min="23" max="23" width="13.6640625" style="285" customWidth="1"/>
    <col min="24" max="24" width="13.6640625" style="1525" customWidth="1"/>
    <col min="25" max="26" width="13.6640625" style="285" customWidth="1"/>
    <col min="27" max="27" width="13.6640625" style="1525" customWidth="1"/>
    <col min="28" max="28" width="13.6640625" style="285" customWidth="1"/>
    <col min="29" max="16384" width="9.33203125" style="285"/>
  </cols>
  <sheetData>
    <row r="1" spans="1:29" ht="18" customHeight="1">
      <c r="A1" s="1510"/>
      <c r="B1" s="649">
        <f ca="1">SUMPRODUCT(--ISERROR($C$1:R38))+COUNTIF($C$1:R38,Fail)</f>
        <v>0</v>
      </c>
      <c r="C1" s="1372" t="str">
        <f>START!$C$1</f>
        <v>Client Name</v>
      </c>
      <c r="D1" s="852"/>
      <c r="E1" s="852"/>
      <c r="F1" s="852"/>
      <c r="G1" s="852"/>
      <c r="H1" s="852"/>
      <c r="I1" s="852"/>
      <c r="J1" s="852"/>
      <c r="K1" s="852"/>
      <c r="L1" s="852"/>
      <c r="M1" s="338"/>
      <c r="N1" s="1525"/>
      <c r="O1" s="1525"/>
      <c r="P1" s="1525"/>
      <c r="R1" s="389" t="s">
        <v>854</v>
      </c>
      <c r="S1" s="1510"/>
      <c r="T1" s="1507" t="s">
        <v>1486</v>
      </c>
      <c r="U1" s="2060"/>
      <c r="V1" s="2060"/>
      <c r="W1" s="1525"/>
      <c r="Y1" s="1525"/>
      <c r="Z1" s="1525"/>
      <c r="AB1" s="1525"/>
      <c r="AC1" s="1525"/>
    </row>
    <row r="2" spans="1:29" s="1027" customFormat="1" ht="18" customHeight="1">
      <c r="A2" s="1510"/>
      <c r="B2" s="649"/>
      <c r="C2" s="1372" t="str">
        <f>START!$C$2</f>
        <v xml:space="preserve">Please enter project description in START worksheet cell G13 </v>
      </c>
      <c r="D2" s="852"/>
      <c r="E2" s="852"/>
      <c r="F2" s="852"/>
      <c r="G2" s="852"/>
      <c r="H2" s="852"/>
      <c r="I2" s="852"/>
      <c r="J2" s="852"/>
      <c r="K2" s="852"/>
      <c r="L2" s="852"/>
      <c r="M2" s="338"/>
      <c r="N2" s="1525"/>
      <c r="O2" s="1525"/>
      <c r="P2" s="1525"/>
      <c r="Q2" s="1525"/>
      <c r="R2" s="389"/>
      <c r="S2" s="1510"/>
      <c r="T2" s="1525" t="s">
        <v>1487</v>
      </c>
      <c r="U2" s="2208">
        <v>2</v>
      </c>
      <c r="V2" s="1525" t="s">
        <v>1488</v>
      </c>
      <c r="W2" s="1525"/>
      <c r="X2" s="1525"/>
      <c r="Y2" s="1525"/>
      <c r="Z2" s="1525"/>
      <c r="AA2" s="1525"/>
      <c r="AB2" s="1525"/>
      <c r="AC2" s="1525"/>
    </row>
    <row r="3" spans="1:29" ht="18" customHeight="1">
      <c r="A3" s="1510"/>
      <c r="B3" s="1509"/>
      <c r="C3" s="839" t="s">
        <v>1489</v>
      </c>
      <c r="D3" s="1526"/>
      <c r="E3" s="1526"/>
      <c r="F3" s="1526"/>
      <c r="G3" s="1526"/>
      <c r="H3" s="1526"/>
      <c r="I3" s="1526"/>
      <c r="J3" s="1526"/>
      <c r="K3" s="1526"/>
      <c r="L3" s="1526"/>
      <c r="M3" s="1526"/>
      <c r="N3" s="1526"/>
      <c r="O3" s="1525"/>
      <c r="P3" s="1525"/>
      <c r="R3" s="1525"/>
      <c r="S3" s="1510"/>
      <c r="T3" s="1525" t="s">
        <v>1490</v>
      </c>
      <c r="U3" s="1525" t="str">
        <f>INDEX($T$2:$T$3,U2)</f>
        <v>Use Range</v>
      </c>
      <c r="V3" s="1525" t="s">
        <v>1491</v>
      </c>
      <c r="W3" s="1525"/>
      <c r="Y3" s="1525"/>
      <c r="Z3" s="1525"/>
      <c r="AB3" s="1525"/>
      <c r="AC3" s="1525"/>
    </row>
    <row r="4" spans="1:29" ht="18" customHeight="1">
      <c r="A4" s="1510"/>
      <c r="B4" s="1509"/>
      <c r="C4" s="840" t="str">
        <f>ValDateHeading</f>
        <v>Estimation of value as of 28 February 2017</v>
      </c>
      <c r="D4" s="1526"/>
      <c r="E4" s="1526"/>
      <c r="F4" s="1526"/>
      <c r="G4" s="1526"/>
      <c r="H4" s="1526"/>
      <c r="I4" s="1526"/>
      <c r="J4" s="1526"/>
      <c r="K4" s="1526"/>
      <c r="L4" s="1526"/>
      <c r="M4" s="1526"/>
      <c r="N4" s="1526"/>
      <c r="O4" s="1525"/>
      <c r="P4" s="1525"/>
      <c r="R4" s="1525"/>
      <c r="S4" s="1510"/>
      <c r="T4" s="1525" t="s">
        <v>1492</v>
      </c>
      <c r="U4" s="2060"/>
      <c r="V4" s="2060"/>
      <c r="W4" s="1525"/>
      <c r="Y4" s="1525"/>
      <c r="Z4" s="1525"/>
      <c r="AB4" s="1525"/>
      <c r="AC4" s="1525"/>
    </row>
    <row r="5" spans="1:29" ht="18" customHeight="1">
      <c r="A5" s="1417"/>
      <c r="B5" s="1509"/>
      <c r="C5" s="769" t="str">
        <f>SubjCurrencyHeading</f>
        <v>(USD in Millions)</v>
      </c>
      <c r="D5" s="1526"/>
      <c r="E5" s="1526"/>
      <c r="F5" s="1526"/>
      <c r="G5" s="1526"/>
      <c r="H5" s="1526"/>
      <c r="I5" s="1526"/>
      <c r="J5" s="1526"/>
      <c r="K5" s="1526"/>
      <c r="L5" s="1526"/>
      <c r="M5" s="1526"/>
      <c r="N5" s="1526"/>
      <c r="O5" s="1525"/>
      <c r="P5" s="1525"/>
      <c r="R5" s="1525"/>
      <c r="S5" s="1510"/>
      <c r="T5" s="1525"/>
      <c r="U5" s="2060"/>
      <c r="V5" s="2060"/>
      <c r="W5" s="1525"/>
      <c r="Y5" s="1525"/>
      <c r="Z5" s="1525"/>
      <c r="AB5" s="1525"/>
      <c r="AC5" s="1525"/>
    </row>
    <row r="6" spans="1:29" ht="13.9">
      <c r="A6" s="1417"/>
      <c r="B6" s="1509"/>
      <c r="C6" s="1511"/>
      <c r="D6" s="2060"/>
      <c r="E6" s="2060"/>
      <c r="F6" s="2060"/>
      <c r="G6" s="2060"/>
      <c r="H6" s="2060"/>
      <c r="I6" s="2060"/>
      <c r="J6" s="528"/>
      <c r="K6" s="2060"/>
      <c r="L6" s="2060"/>
      <c r="M6" s="2060"/>
      <c r="N6" s="2060"/>
      <c r="O6" s="2060"/>
      <c r="P6" s="2060"/>
      <c r="Q6" s="2060"/>
      <c r="R6" s="1525"/>
      <c r="S6" s="1510"/>
      <c r="T6" s="1525"/>
      <c r="U6" s="2060"/>
      <c r="V6" s="2060"/>
      <c r="W6" s="1525"/>
      <c r="Y6" s="1525"/>
      <c r="Z6" s="1525"/>
      <c r="AB6" s="1525"/>
      <c r="AC6" s="1525"/>
    </row>
    <row r="7" spans="1:29" s="332" customFormat="1" ht="13.5" customHeight="1">
      <c r="A7" s="1510"/>
      <c r="B7" s="1509"/>
      <c r="C7" s="2060"/>
      <c r="D7" s="2073"/>
      <c r="E7" s="2073"/>
      <c r="F7" s="2073"/>
      <c r="G7" s="2073"/>
      <c r="H7" s="2073"/>
      <c r="I7" s="2073"/>
      <c r="J7" s="2073"/>
      <c r="K7" s="2073"/>
      <c r="L7" s="2073"/>
      <c r="M7" s="2073"/>
      <c r="N7" s="2073"/>
      <c r="O7" s="2073"/>
      <c r="P7" s="2073"/>
      <c r="Q7" s="2060"/>
      <c r="R7" s="2060"/>
      <c r="S7" s="1510"/>
    </row>
    <row r="8" spans="1:29" ht="13.9">
      <c r="A8" s="1510"/>
      <c r="B8" s="1509"/>
      <c r="C8" s="2060"/>
      <c r="D8" s="1530"/>
      <c r="E8" s="732"/>
      <c r="F8" s="1932"/>
      <c r="G8" s="730"/>
      <c r="H8" s="730"/>
      <c r="I8" s="731"/>
      <c r="J8" s="731"/>
      <c r="K8" s="732"/>
      <c r="L8" s="1932"/>
      <c r="M8" s="732"/>
      <c r="N8" s="732"/>
      <c r="O8" s="731"/>
      <c r="P8" s="731"/>
      <c r="Q8" s="2060"/>
      <c r="R8" s="2060"/>
      <c r="S8" s="1510"/>
      <c r="T8" s="1664" t="str">
        <f>"Indicative multiples from from the "&amp;EVorTIC&amp;" Multiples worksheet"</f>
        <v>Indicative multiples from from the TIC Multiples worksheet</v>
      </c>
      <c r="U8" s="2060"/>
      <c r="V8" s="2060"/>
      <c r="W8" s="1525"/>
      <c r="Y8" s="1525"/>
      <c r="Z8" s="1525"/>
      <c r="AB8" s="1525"/>
      <c r="AC8" s="1525"/>
    </row>
    <row r="9" spans="1:29" ht="13.9">
      <c r="A9" s="1510"/>
      <c r="B9" s="1509"/>
      <c r="C9" s="2060"/>
      <c r="D9" s="1530"/>
      <c r="E9" s="732" t="str">
        <f>IF(SingleOrRange=1,"","Selected range")</f>
        <v>Selected range</v>
      </c>
      <c r="F9" s="1932"/>
      <c r="G9" s="732"/>
      <c r="H9" s="732"/>
      <c r="I9" s="731"/>
      <c r="J9" s="733" t="s">
        <v>1493</v>
      </c>
      <c r="K9" s="732"/>
      <c r="L9" s="732"/>
      <c r="M9" s="1932"/>
      <c r="N9" s="732"/>
      <c r="O9" s="731"/>
      <c r="P9" s="731"/>
      <c r="Q9" s="2060"/>
      <c r="R9" s="2060"/>
      <c r="S9" s="1510"/>
      <c r="T9" s="1525"/>
      <c r="U9" s="312"/>
      <c r="V9" s="2060"/>
      <c r="W9" s="1525"/>
      <c r="Y9" s="1525"/>
      <c r="Z9" s="1525"/>
      <c r="AB9" s="1525"/>
      <c r="AC9" s="1525"/>
    </row>
    <row r="10" spans="1:29" s="297" customFormat="1" ht="13.9">
      <c r="A10" s="1510"/>
      <c r="B10" s="1509"/>
      <c r="C10" s="2060"/>
      <c r="D10" s="1318"/>
      <c r="E10" s="1318"/>
      <c r="F10" s="1209" t="str">
        <f>IF(SingleOrRange=1,"","Low")</f>
        <v>Low</v>
      </c>
      <c r="G10" s="1210"/>
      <c r="H10" s="1209" t="str">
        <f>IF(SingleOrRange=1,"Selected","High")</f>
        <v>High</v>
      </c>
      <c r="I10" s="1210"/>
      <c r="J10" s="1209" t="s">
        <v>1494</v>
      </c>
      <c r="K10" s="1210"/>
      <c r="L10" s="1209" t="str">
        <f>IF(SingleOrRange=1,"","Low")</f>
        <v>Low</v>
      </c>
      <c r="M10" s="1210"/>
      <c r="N10" s="1209" t="str">
        <f>IF(SingleOrRange=1,"Selected","High")</f>
        <v>High</v>
      </c>
      <c r="O10" s="1210"/>
      <c r="P10" s="1210" t="s">
        <v>1495</v>
      </c>
      <c r="Q10" s="2060"/>
      <c r="R10" s="2060"/>
      <c r="S10" s="1510"/>
      <c r="T10" s="312" t="s">
        <v>1496</v>
      </c>
      <c r="U10" s="1988">
        <v>0.05</v>
      </c>
      <c r="V10" s="312"/>
      <c r="W10" s="302" t="s">
        <v>1273</v>
      </c>
      <c r="X10" s="302" t="s">
        <v>1470</v>
      </c>
      <c r="Y10" s="302" t="s">
        <v>1158</v>
      </c>
      <c r="Z10" s="302" t="s">
        <v>1157</v>
      </c>
      <c r="AA10" s="302" t="s">
        <v>1469</v>
      </c>
      <c r="AB10" s="302" t="s">
        <v>1275</v>
      </c>
      <c r="AC10" s="1525"/>
    </row>
    <row r="11" spans="1:29" s="297" customFormat="1" ht="13.9">
      <c r="A11" s="1510"/>
      <c r="B11" s="1509"/>
      <c r="C11" s="2060"/>
      <c r="D11" s="1492" t="s">
        <v>1497</v>
      </c>
      <c r="E11" s="1530"/>
      <c r="F11" s="458"/>
      <c r="G11" s="458"/>
      <c r="H11" s="458"/>
      <c r="I11" s="458"/>
      <c r="J11" s="458"/>
      <c r="K11" s="458"/>
      <c r="L11" s="458"/>
      <c r="M11" s="458"/>
      <c r="N11" s="458"/>
      <c r="O11" s="458"/>
      <c r="P11" s="458"/>
      <c r="Q11" s="2060"/>
      <c r="R11" s="2060"/>
      <c r="S11" s="1510"/>
      <c r="T11" s="312"/>
      <c r="U11" s="1989" t="s">
        <v>1498</v>
      </c>
      <c r="V11" s="1990"/>
      <c r="W11" s="1525" t="str">
        <f>"Green multiples are based on the guideline public companies whose EBITDA margins are in the "&amp;TEXT(MIN($U$12:$U$14)-$U$10,"0.0%")&amp;"-"&amp;TEXT(MAX($U$12:$U$14)+$U$10,"0.0%")&amp;" range."</f>
        <v>Green multiples are based on the guideline public companies whose EBITDA margins are in the -5.0%-5.0% range.</v>
      </c>
      <c r="X11" s="1525"/>
      <c r="Y11" s="1525"/>
      <c r="Z11" s="1525"/>
      <c r="AA11" s="1525"/>
      <c r="AB11" s="1525"/>
      <c r="AC11" s="1525"/>
    </row>
    <row r="12" spans="1:29" s="312" customFormat="1" ht="13.9">
      <c r="A12" s="1510" t="str">
        <f>IF(N(N12)*P12,"","n")</f>
        <v>n</v>
      </c>
      <c r="B12" s="2242"/>
      <c r="C12" s="2060"/>
      <c r="D12" s="312" t="str">
        <f>TEXT('PFI Inputs'!$G$26,"yyyy")&amp;" revenue"</f>
        <v>2017 revenue</v>
      </c>
      <c r="E12" s="1568"/>
      <c r="F12" s="1301">
        <v>0</v>
      </c>
      <c r="G12" s="2060"/>
      <c r="H12" s="1301">
        <v>0</v>
      </c>
      <c r="I12" s="459"/>
      <c r="J12" s="527">
        <f>IF(B12="n",0,'PFI Inputs'!G28+IF(MonthsInStub=12,0,'PFI Inputs'!F28))</f>
        <v>0</v>
      </c>
      <c r="K12" s="460"/>
      <c r="L12" s="527" t="str">
        <f>IF(SingleOrRange=1,"n/a",IFERROR(IF(F12*$J12&lt;=0,"n/a",F12*$J12),"n/a"))</f>
        <v>n/a</v>
      </c>
      <c r="M12" s="2060"/>
      <c r="N12" s="527" t="str">
        <f>IFERROR(IF(H12*$J12&lt;=0,"n/a",H12*$J12),"n/a")</f>
        <v>n/a</v>
      </c>
      <c r="O12" s="459"/>
      <c r="P12" s="1729">
        <v>0</v>
      </c>
      <c r="Q12" s="2060"/>
      <c r="R12" s="2060"/>
      <c r="S12" s="1510"/>
      <c r="T12" s="1662" t="str">
        <f>D12</f>
        <v>2017 revenue</v>
      </c>
      <c r="U12" s="1991" t="str">
        <f>'TIC Multiples'!$AV$45</f>
        <v>--</v>
      </c>
      <c r="V12" s="2097" t="e">
        <f>"or "&amp;TEXT(U12-$U$10,"0.0%")&amp;"-"&amp;TEXT(U12+$U$10,"0.0%")</f>
        <v>#VALUE!</v>
      </c>
      <c r="W12" s="1993" t="str">
        <f>'TIC Multiples'!$AW$43</f>
        <v>n/a</v>
      </c>
      <c r="X12" s="1993" t="str">
        <f>'TIC Multiples'!$AW$42</f>
        <v>n/a</v>
      </c>
      <c r="Y12" s="1993" t="str">
        <f>'TIC Multiples'!$AW$41</f>
        <v>n/a</v>
      </c>
      <c r="Z12" s="1993" t="str">
        <f>'TIC Multiples'!$AW$40</f>
        <v>n/a</v>
      </c>
      <c r="AA12" s="1993" t="str">
        <f>'TIC Multiples'!$AW$39</f>
        <v>n/a</v>
      </c>
      <c r="AB12" s="1993" t="str">
        <f>'TIC Multiples'!$AW$38</f>
        <v>n/a</v>
      </c>
    </row>
    <row r="13" spans="1:29" s="312" customFormat="1" ht="13.9">
      <c r="A13" s="1510" t="str">
        <f>IF(N(N13)*P13,"","n")</f>
        <v>n</v>
      </c>
      <c r="B13" s="2242"/>
      <c r="C13" s="2060"/>
      <c r="D13" s="312" t="str">
        <f>TEXT('PFI Inputs'!$H$26,"yyyy")&amp;" revenue"</f>
        <v>2018 revenue</v>
      </c>
      <c r="E13" s="1568"/>
      <c r="F13" s="1301">
        <v>0</v>
      </c>
      <c r="G13" s="2060"/>
      <c r="H13" s="1301">
        <v>0</v>
      </c>
      <c r="I13" s="459"/>
      <c r="J13" s="527">
        <f>IF(B13="n",0,'PFI Inputs'!H28)</f>
        <v>0</v>
      </c>
      <c r="K13" s="460"/>
      <c r="L13" s="527" t="str">
        <f>IF(SingleOrRange=1,"n/a",IFERROR(IF(F13*$J13&lt;=0,"n/a",F13*$J13),"n/a"))</f>
        <v>n/a</v>
      </c>
      <c r="M13" s="2060"/>
      <c r="N13" s="527" t="str">
        <f t="shared" ref="N13:N26" si="0">IFERROR(IF(H13*$J13&lt;=0,"n/a",H13*$J13),"n/a")</f>
        <v>n/a</v>
      </c>
      <c r="O13" s="459"/>
      <c r="P13" s="1729">
        <v>0</v>
      </c>
      <c r="Q13" s="2060"/>
      <c r="R13" s="2060"/>
      <c r="S13" s="1510"/>
      <c r="T13" s="1662" t="str">
        <f>D13</f>
        <v>2018 revenue</v>
      </c>
      <c r="U13" s="1991" t="str">
        <f>'TIC Multiples'!$AY$45</f>
        <v>--</v>
      </c>
      <c r="V13" s="2097" t="e">
        <f>"or "&amp;TEXT(U13-$U$10,"0.0%")&amp;"-"&amp;TEXT(U13+$U$10,"0.0%")</f>
        <v>#VALUE!</v>
      </c>
      <c r="W13" s="1993" t="str">
        <f>'TIC Multiples'!$AZ$43</f>
        <v>n/a</v>
      </c>
      <c r="X13" s="1993" t="str">
        <f>'TIC Multiples'!$AZ$42</f>
        <v>n/a</v>
      </c>
      <c r="Y13" s="1993" t="str">
        <f>'TIC Multiples'!$AZ$41</f>
        <v>n/a</v>
      </c>
      <c r="Z13" s="1993" t="str">
        <f>'TIC Multiples'!$AZ$40</f>
        <v>n/a</v>
      </c>
      <c r="AA13" s="1993" t="str">
        <f>'TIC Multiples'!$AZ$39</f>
        <v>n/a</v>
      </c>
      <c r="AB13" s="1993" t="str">
        <f>'TIC Multiples'!$AZ$38</f>
        <v>n/a</v>
      </c>
    </row>
    <row r="14" spans="1:29" ht="13.9">
      <c r="A14" s="1510" t="str">
        <f>IF(N(N14)*P14,"","n")</f>
        <v>n</v>
      </c>
      <c r="B14" s="2242"/>
      <c r="C14" s="2060"/>
      <c r="D14" s="312" t="str">
        <f>TEXT('PFI Inputs'!$I$26,"yyyy")&amp;" revenue"</f>
        <v>2019 revenue</v>
      </c>
      <c r="E14" s="1568"/>
      <c r="F14" s="1301">
        <v>0</v>
      </c>
      <c r="G14" s="2060"/>
      <c r="H14" s="1301">
        <v>0</v>
      </c>
      <c r="I14" s="459"/>
      <c r="J14" s="527">
        <f>IF(B14="n",0,'PFI Inputs'!I28)</f>
        <v>0</v>
      </c>
      <c r="K14" s="460"/>
      <c r="L14" s="527" t="str">
        <f>IF(SingleOrRange=1,"n/a",IFERROR(IF(F14*$J14&lt;=0,"n/a",F14*$J14),"n/a"))</f>
        <v>n/a</v>
      </c>
      <c r="M14" s="2060"/>
      <c r="N14" s="527" t="str">
        <f t="shared" si="0"/>
        <v>n/a</v>
      </c>
      <c r="O14" s="459"/>
      <c r="P14" s="1729">
        <v>0</v>
      </c>
      <c r="Q14" s="2060"/>
      <c r="R14" s="2060"/>
      <c r="S14" s="1510"/>
      <c r="T14" s="1662" t="str">
        <f>D14</f>
        <v>2019 revenue</v>
      </c>
      <c r="U14" s="1992" t="str">
        <f>'TIC Multiples'!$BB$45</f>
        <v>--</v>
      </c>
      <c r="V14" s="2098" t="e">
        <f>"or "&amp;TEXT(U14-$U$10,"0.0%")&amp;"-"&amp;TEXT(U14+$U$10,"0.0%")</f>
        <v>#VALUE!</v>
      </c>
      <c r="W14" s="1993" t="str">
        <f>'TIC Multiples'!$BC$43</f>
        <v>n/a</v>
      </c>
      <c r="X14" s="1993" t="str">
        <f>'TIC Multiples'!$BC$42</f>
        <v>n/a</v>
      </c>
      <c r="Y14" s="1993" t="str">
        <f>'TIC Multiples'!$BC$41</f>
        <v>n/a</v>
      </c>
      <c r="Z14" s="1993" t="str">
        <f>'TIC Multiples'!$BC$40</f>
        <v>n/a</v>
      </c>
      <c r="AA14" s="1993" t="str">
        <f>'TIC Multiples'!$BC$39</f>
        <v>n/a</v>
      </c>
      <c r="AB14" s="1993" t="str">
        <f>'TIC Multiples'!$BC$38</f>
        <v>n/a</v>
      </c>
      <c r="AC14" s="1525"/>
    </row>
    <row r="15" spans="1:29" ht="13.9">
      <c r="A15" s="1510" t="str">
        <f>IF(COUNTBLANK(A12:A14),"","n")</f>
        <v>n</v>
      </c>
      <c r="B15" s="1510"/>
      <c r="C15" s="2060"/>
      <c r="D15" s="1530"/>
      <c r="E15" s="1568"/>
      <c r="F15" s="1530"/>
      <c r="G15" s="2060"/>
      <c r="H15" s="1530"/>
      <c r="I15" s="1530"/>
      <c r="J15" s="1530"/>
      <c r="K15" s="1530"/>
      <c r="L15" s="1530"/>
      <c r="M15" s="2060"/>
      <c r="N15" s="1530"/>
      <c r="O15" s="1530"/>
      <c r="P15" s="1529"/>
      <c r="Q15" s="2060"/>
      <c r="R15" s="2060"/>
      <c r="S15" s="1510"/>
      <c r="T15" s="1525"/>
      <c r="U15" s="2060"/>
      <c r="V15" s="2060"/>
      <c r="W15" s="1525" t="str">
        <f>"Green multiples are based on the guideline public companies whose EBITDA NEXT year's growth rates in the "&amp;TEXT(MIN($U$18:$U$20)-$U$16,"0.0%")&amp;"-"&amp;TEXT(MAX($U$18:$U$20)+$U$16,"0.0%")&amp;" range."</f>
        <v>Green multiples are based on the guideline public companies whose EBITDA NEXT year's growth rates in the -4.0%-4.0% range.</v>
      </c>
      <c r="Y15" s="1525"/>
      <c r="Z15" s="1525"/>
      <c r="AB15" s="1525"/>
      <c r="AC15" s="1525"/>
    </row>
    <row r="16" spans="1:29" ht="13.9">
      <c r="A16" s="1510" t="str">
        <f>IF(N(N16)*P16,"","n")</f>
        <v>n</v>
      </c>
      <c r="B16" s="2242"/>
      <c r="C16" s="2060"/>
      <c r="D16" s="312" t="str">
        <f>"LFY "&amp;TEXT(LFY,"yyyy")&amp;" EBITDA"</f>
        <v>LFY 2016 EBITDA</v>
      </c>
      <c r="E16" s="1568"/>
      <c r="F16" s="1301">
        <v>0</v>
      </c>
      <c r="G16" s="2060"/>
      <c r="H16" s="1301">
        <v>0</v>
      </c>
      <c r="I16" s="459"/>
      <c r="J16" s="527">
        <f>IF(B16="n",0,'INC STAT Hist Input'!J20)</f>
        <v>0</v>
      </c>
      <c r="K16" s="460"/>
      <c r="L16" s="527" t="str">
        <f>IF(SingleOrRange=1,"n/a",IFERROR(IF(F16*$J16&lt;=0,"n/a",F16*$J16),"n/a"))</f>
        <v>n/a</v>
      </c>
      <c r="M16" s="2060"/>
      <c r="N16" s="527" t="str">
        <f t="shared" si="0"/>
        <v>n/a</v>
      </c>
      <c r="O16" s="459"/>
      <c r="P16" s="1729">
        <v>0</v>
      </c>
      <c r="Q16" s="2060"/>
      <c r="R16" s="2060"/>
      <c r="S16" s="1510"/>
      <c r="T16" s="1662" t="str">
        <f>D16</f>
        <v>LFY 2016 EBITDA</v>
      </c>
      <c r="U16" s="1988">
        <v>0.04</v>
      </c>
      <c r="V16" s="312"/>
      <c r="W16" s="1663" t="str">
        <f>'TIC Multiples'!$W$43</f>
        <v>n/a</v>
      </c>
      <c r="X16" s="1663" t="str">
        <f>'TIC Multiples'!$W$42</f>
        <v>n/a</v>
      </c>
      <c r="Y16" s="1663" t="str">
        <f>'TIC Multiples'!$W$41</f>
        <v>n/a</v>
      </c>
      <c r="Z16" s="1663" t="str">
        <f>'TIC Multiples'!$W$40</f>
        <v>n/a</v>
      </c>
      <c r="AA16" s="1663" t="str">
        <f>'TIC Multiples'!$W$39</f>
        <v>n/a</v>
      </c>
      <c r="AB16" s="1663">
        <f>'TIC Multiples'!$W$38</f>
        <v>0</v>
      </c>
      <c r="AC16" s="1525"/>
    </row>
    <row r="17" spans="1:28" ht="13.9">
      <c r="A17" s="1510" t="str">
        <f>IF(N(N17)*P17,"","n")</f>
        <v>n</v>
      </c>
      <c r="B17" s="2242"/>
      <c r="C17" s="2060"/>
      <c r="D17" s="312" t="str">
        <f>"LTM "&amp;TEXT(LFQLTM,"yyyy")&amp;" EBITDA"</f>
        <v>LTM 2016 EBITDA</v>
      </c>
      <c r="E17" s="1568"/>
      <c r="F17" s="1301">
        <v>0</v>
      </c>
      <c r="G17" s="2060"/>
      <c r="H17" s="1301">
        <v>0</v>
      </c>
      <c r="I17" s="459"/>
      <c r="J17" s="527">
        <f>IF(B17="n",0,'INC STAT Hist Input'!K20)</f>
        <v>0</v>
      </c>
      <c r="K17" s="460"/>
      <c r="L17" s="527" t="str">
        <f>IF(SingleOrRange=1,"n/a",IFERROR(IF(F17*$J17&lt;=0,"n/a",F17*$J17),"n/a"))</f>
        <v>n/a</v>
      </c>
      <c r="M17" s="2060"/>
      <c r="N17" s="527" t="str">
        <f t="shared" si="0"/>
        <v>n/a</v>
      </c>
      <c r="O17" s="459"/>
      <c r="P17" s="1729">
        <v>0</v>
      </c>
      <c r="Q17" s="2060"/>
      <c r="R17" s="2060"/>
      <c r="S17" s="1510"/>
      <c r="T17" s="1662" t="str">
        <f>D17</f>
        <v>LTM 2016 EBITDA</v>
      </c>
      <c r="U17" s="1989" t="s">
        <v>1499</v>
      </c>
      <c r="V17" s="1990"/>
      <c r="W17" s="1663" t="str">
        <f>'TIC Multiples'!$X$43</f>
        <v>n/a</v>
      </c>
      <c r="X17" s="1663" t="str">
        <f>'TIC Multiples'!$X$42</f>
        <v>n/a</v>
      </c>
      <c r="Y17" s="1663" t="str">
        <f>'TIC Multiples'!$X$41</f>
        <v>n/a</v>
      </c>
      <c r="Z17" s="1663" t="str">
        <f>'TIC Multiples'!$X$40</f>
        <v>n/a</v>
      </c>
      <c r="AA17" s="1663" t="str">
        <f>'TIC Multiples'!$X$39</f>
        <v>n/a</v>
      </c>
      <c r="AB17" s="1663">
        <f>'TIC Multiples'!$X$38</f>
        <v>0</v>
      </c>
    </row>
    <row r="18" spans="1:28" s="334" customFormat="1" ht="13.9">
      <c r="A18" s="1510" t="str">
        <f>IF(N(N18)*P18,"","n")</f>
        <v>n</v>
      </c>
      <c r="B18" s="2242"/>
      <c r="C18" s="2060"/>
      <c r="D18" s="312" t="str">
        <f>TEXT('PFI Inputs'!$G$26,"yyyy")&amp;" EBITDA"</f>
        <v>2017 EBITDA</v>
      </c>
      <c r="E18" s="1568"/>
      <c r="F18" s="1301">
        <v>0</v>
      </c>
      <c r="G18" s="2060"/>
      <c r="H18" s="1301">
        <v>0</v>
      </c>
      <c r="I18" s="459"/>
      <c r="J18" s="527">
        <f>IF(B18="n",0,'PFI Inputs'!G72+IF(MonthsInStub=12,0,'PFI Inputs'!F72))</f>
        <v>0</v>
      </c>
      <c r="K18" s="460"/>
      <c r="L18" s="527" t="str">
        <f>IF(SingleOrRange=1,"n/a",IFERROR(IF(F18*$J18&lt;=0,"n/a",F18*$J18),"n/a"))</f>
        <v>n/a</v>
      </c>
      <c r="M18" s="2060"/>
      <c r="N18" s="527" t="str">
        <f t="shared" si="0"/>
        <v>n/a</v>
      </c>
      <c r="O18" s="459"/>
      <c r="P18" s="1729">
        <v>0</v>
      </c>
      <c r="Q18" s="2060"/>
      <c r="R18" s="2060"/>
      <c r="S18" s="1510"/>
      <c r="T18" s="1662" t="str">
        <f>D18</f>
        <v>2017 EBITDA</v>
      </c>
      <c r="U18" s="1991" t="str">
        <f>'TIC Multiples'!$BJ$45</f>
        <v>--</v>
      </c>
      <c r="V18" s="2097" t="e">
        <f>"or "&amp;TEXT(U18-$U$16,"0.0%")&amp;"-"&amp;TEXT(U18+$U$16,"0.0%")</f>
        <v>#VALUE!</v>
      </c>
      <c r="W18" s="1993" t="str">
        <f>'TIC Multiples'!$BK$43</f>
        <v>n/a</v>
      </c>
      <c r="X18" s="1993" t="str">
        <f>'TIC Multiples'!$BK$42</f>
        <v>n/a</v>
      </c>
      <c r="Y18" s="1993" t="str">
        <f>'TIC Multiples'!$BK$41</f>
        <v>n/a</v>
      </c>
      <c r="Z18" s="1993" t="str">
        <f>'TIC Multiples'!$BK$40</f>
        <v>n/a</v>
      </c>
      <c r="AA18" s="1993" t="str">
        <f>'TIC Multiples'!$BK$39</f>
        <v>n/a</v>
      </c>
      <c r="AB18" s="1993" t="str">
        <f>'TIC Multiples'!$BK$38</f>
        <v>n/a</v>
      </c>
    </row>
    <row r="19" spans="1:28" s="334" customFormat="1" ht="13.9">
      <c r="A19" s="1510" t="str">
        <f>IF(N(N19)*P19,"","n")</f>
        <v>n</v>
      </c>
      <c r="B19" s="2242"/>
      <c r="C19" s="2060"/>
      <c r="D19" s="312" t="str">
        <f>TEXT('PFI Inputs'!$H$26,"yyyy")&amp;" EBITDA"</f>
        <v>2018 EBITDA</v>
      </c>
      <c r="E19" s="670"/>
      <c r="F19" s="1301">
        <v>0</v>
      </c>
      <c r="G19" s="2060"/>
      <c r="H19" s="1301">
        <v>0</v>
      </c>
      <c r="I19" s="459"/>
      <c r="J19" s="527">
        <f>IF(B19="n",0,'PFI Inputs'!H72)</f>
        <v>0</v>
      </c>
      <c r="K19" s="460"/>
      <c r="L19" s="527" t="str">
        <f>IF(SingleOrRange=1,"n/a",IFERROR(IF(F19*$J19&lt;=0,"n/a",F19*$J19),"n/a"))</f>
        <v>n/a</v>
      </c>
      <c r="M19" s="2060"/>
      <c r="N19" s="527" t="str">
        <f t="shared" si="0"/>
        <v>n/a</v>
      </c>
      <c r="O19" s="459"/>
      <c r="P19" s="1729">
        <v>0</v>
      </c>
      <c r="Q19" s="2060"/>
      <c r="R19" s="2060"/>
      <c r="S19" s="1510"/>
      <c r="T19" s="1662" t="str">
        <f>D19</f>
        <v>2018 EBITDA</v>
      </c>
      <c r="U19" s="1991" t="str">
        <f>'TIC Multiples'!$BM$45</f>
        <v>--</v>
      </c>
      <c r="V19" s="2097" t="e">
        <f>"or "&amp;TEXT(U19-$U$16,"0.0%")&amp;"-"&amp;TEXT(U19+$U$16,"0.0%")</f>
        <v>#VALUE!</v>
      </c>
      <c r="W19" s="1993" t="str">
        <f>'TIC Multiples'!$BN$43</f>
        <v>n/a</v>
      </c>
      <c r="X19" s="1993" t="str">
        <f>'TIC Multiples'!$BN$42</f>
        <v>n/a</v>
      </c>
      <c r="Y19" s="1993" t="str">
        <f>'TIC Multiples'!$BN$41</f>
        <v>n/a</v>
      </c>
      <c r="Z19" s="1993" t="str">
        <f>'TIC Multiples'!$BN$40</f>
        <v>n/a</v>
      </c>
      <c r="AA19" s="1993" t="str">
        <f>'TIC Multiples'!$BN$39</f>
        <v>n/a</v>
      </c>
      <c r="AB19" s="1993" t="str">
        <f>'TIC Multiples'!$BN$38</f>
        <v>n/a</v>
      </c>
    </row>
    <row r="20" spans="1:28" ht="13.9">
      <c r="A20" s="1510" t="str">
        <f>IF(N(N20)*P20,"","n")</f>
        <v>n</v>
      </c>
      <c r="B20" s="2242"/>
      <c r="C20" s="2060"/>
      <c r="D20" s="312" t="str">
        <f>TEXT('PFI Inputs'!$I$26,"yyyy")&amp;" EBITDA"</f>
        <v>2019 EBITDA</v>
      </c>
      <c r="E20" s="1568"/>
      <c r="F20" s="1301">
        <v>0</v>
      </c>
      <c r="G20" s="2060"/>
      <c r="H20" s="1301">
        <v>0</v>
      </c>
      <c r="I20" s="459"/>
      <c r="J20" s="527">
        <f>IF(B20="n",0,'PFI Inputs'!I72)</f>
        <v>0</v>
      </c>
      <c r="K20" s="460"/>
      <c r="L20" s="527" t="str">
        <f>IF(SingleOrRange=1,"n/a",IFERROR(IF(F20*$J20&lt;=0,"n/a",F20*$J20),"n/a"))</f>
        <v>n/a</v>
      </c>
      <c r="M20" s="2060"/>
      <c r="N20" s="527" t="str">
        <f t="shared" si="0"/>
        <v>n/a</v>
      </c>
      <c r="O20" s="459"/>
      <c r="P20" s="1729">
        <v>0</v>
      </c>
      <c r="Q20" s="2060"/>
      <c r="R20" s="2060"/>
      <c r="S20" s="1510"/>
      <c r="T20" s="1662" t="str">
        <f>D20</f>
        <v>2019 EBITDA</v>
      </c>
      <c r="U20" s="1992" t="str">
        <f>'TIC Multiples'!$BP$45</f>
        <v>--</v>
      </c>
      <c r="V20" s="2098" t="e">
        <f>"or "&amp;TEXT(U20-$U$16,"0.0%")&amp;"-"&amp;TEXT(U20+$U$16,"0.0%")</f>
        <v>#VALUE!</v>
      </c>
      <c r="W20" s="1993" t="str">
        <f>'TIC Multiples'!$BQ$43</f>
        <v>n/a</v>
      </c>
      <c r="X20" s="1993" t="str">
        <f>'TIC Multiples'!$BQ$42</f>
        <v>n/a</v>
      </c>
      <c r="Y20" s="1993" t="str">
        <f>'TIC Multiples'!$BQ$41</f>
        <v>n/a</v>
      </c>
      <c r="Z20" s="1993" t="str">
        <f>'TIC Multiples'!$BQ$40</f>
        <v>n/a</v>
      </c>
      <c r="AA20" s="1993" t="str">
        <f>'TIC Multiples'!$BQ$39</f>
        <v>n/a</v>
      </c>
      <c r="AB20" s="1993" t="str">
        <f>'TIC Multiples'!$BQ$38</f>
        <v>n/a</v>
      </c>
    </row>
    <row r="21" spans="1:28" s="297" customFormat="1" ht="13.9">
      <c r="A21" s="1510" t="str">
        <f>IF(COUNTBLANK(A16:A20),"","n")</f>
        <v>n</v>
      </c>
      <c r="B21" s="1510"/>
      <c r="C21" s="2060"/>
      <c r="D21" s="2073"/>
      <c r="E21" s="1568"/>
      <c r="F21" s="2073"/>
      <c r="G21" s="2060"/>
      <c r="H21" s="2073"/>
      <c r="I21" s="2073"/>
      <c r="J21" s="2073"/>
      <c r="K21" s="2073"/>
      <c r="L21" s="2073"/>
      <c r="M21" s="2060"/>
      <c r="N21" s="2073"/>
      <c r="O21" s="2073"/>
      <c r="P21" s="22"/>
      <c r="Q21" s="2060"/>
      <c r="R21" s="2060"/>
      <c r="S21" s="1510"/>
      <c r="T21" s="312"/>
      <c r="U21" s="312"/>
      <c r="V21" s="312"/>
      <c r="W21" s="302"/>
      <c r="X21" s="302"/>
      <c r="Y21" s="302"/>
      <c r="Z21" s="302"/>
      <c r="AA21" s="302"/>
      <c r="AB21" s="302"/>
    </row>
    <row r="22" spans="1:28" ht="13.9">
      <c r="A22" s="1510" t="str">
        <f>IF(N(N22)*P22,"","n")</f>
        <v>n</v>
      </c>
      <c r="B22" s="2242"/>
      <c r="C22" s="2060"/>
      <c r="D22" s="312" t="str">
        <f>"LFY "&amp;TEXT(LFY,"yyyy")&amp;" EBIT"</f>
        <v>LFY 2016 EBIT</v>
      </c>
      <c r="E22" s="1568"/>
      <c r="F22" s="1301">
        <v>0</v>
      </c>
      <c r="G22" s="2060"/>
      <c r="H22" s="1301">
        <v>0</v>
      </c>
      <c r="I22" s="459"/>
      <c r="J22" s="527">
        <f>IF(B22="n",0,'INC STAT Hist Input'!J23)</f>
        <v>0</v>
      </c>
      <c r="K22" s="460"/>
      <c r="L22" s="527" t="str">
        <f>IF(SingleOrRange=1,"n/a",IFERROR(IF(F22*$J22&lt;=0,"n/a",F22*$J22),"n/a"))</f>
        <v>n/a</v>
      </c>
      <c r="M22" s="2060"/>
      <c r="N22" s="527" t="str">
        <f t="shared" si="0"/>
        <v>n/a</v>
      </c>
      <c r="O22" s="459"/>
      <c r="P22" s="1729">
        <v>0</v>
      </c>
      <c r="Q22" s="2060"/>
      <c r="R22" s="2060"/>
      <c r="S22" s="1510"/>
      <c r="T22" s="1662" t="str">
        <f>D22</f>
        <v>LFY 2016 EBIT</v>
      </c>
      <c r="U22" s="2060"/>
      <c r="V22" s="2060"/>
      <c r="W22" s="1663" t="str">
        <f>'TIC Multiples'!$AJ$43</f>
        <v>n/a</v>
      </c>
      <c r="X22" s="1663" t="str">
        <f>'TIC Multiples'!$AJ$42</f>
        <v>n/a</v>
      </c>
      <c r="Y22" s="1663" t="str">
        <f>'TIC Multiples'!$AJ$41</f>
        <v>n/a</v>
      </c>
      <c r="Z22" s="1663" t="str">
        <f>'TIC Multiples'!$AJ$40</f>
        <v>n/a</v>
      </c>
      <c r="AA22" s="1663" t="str">
        <f>'TIC Multiples'!$AJ$39</f>
        <v>n/a</v>
      </c>
      <c r="AB22" s="1663">
        <f>'TIC Multiples'!$AJ$38</f>
        <v>0</v>
      </c>
    </row>
    <row r="23" spans="1:28" s="334" customFormat="1" ht="13.9">
      <c r="A23" s="1510" t="str">
        <f>IF(N(N23)*P23,"","n")</f>
        <v>n</v>
      </c>
      <c r="B23" s="2242"/>
      <c r="C23" s="2060"/>
      <c r="D23" s="312" t="str">
        <f>"LTM "&amp;TEXT(LFQLTM,"yyyy")&amp;" EBIT"</f>
        <v>LTM 2016 EBIT</v>
      </c>
      <c r="E23" s="1568"/>
      <c r="F23" s="1301">
        <v>0</v>
      </c>
      <c r="G23" s="2060"/>
      <c r="H23" s="1301">
        <v>0</v>
      </c>
      <c r="I23" s="459"/>
      <c r="J23" s="527">
        <f>IF(B23="n",0,'INC STAT Hist Input'!K23)</f>
        <v>0</v>
      </c>
      <c r="K23" s="460"/>
      <c r="L23" s="527" t="str">
        <f>IF(SingleOrRange=1,"n/a",IFERROR(IF(F23*$J23&lt;=0,"n/a",F23*$J23),"n/a"))</f>
        <v>n/a</v>
      </c>
      <c r="M23" s="2060"/>
      <c r="N23" s="527" t="str">
        <f t="shared" si="0"/>
        <v>n/a</v>
      </c>
      <c r="O23" s="459"/>
      <c r="P23" s="1729">
        <v>0</v>
      </c>
      <c r="Q23" s="2060"/>
      <c r="R23" s="2060"/>
      <c r="S23" s="1510"/>
      <c r="T23" s="1662" t="str">
        <f>D23</f>
        <v>LTM 2016 EBIT</v>
      </c>
      <c r="U23" s="1525"/>
      <c r="V23" s="1525"/>
      <c r="W23" s="1663" t="str">
        <f>'TIC Multiples'!$AK$43</f>
        <v>n/a</v>
      </c>
      <c r="X23" s="1663" t="str">
        <f>'TIC Multiples'!$AK$42</f>
        <v>n/a</v>
      </c>
      <c r="Y23" s="1663" t="str">
        <f>'TIC Multiples'!$AK$41</f>
        <v>n/a</v>
      </c>
      <c r="Z23" s="1663" t="str">
        <f>'TIC Multiples'!$AK$40</f>
        <v>n/a</v>
      </c>
      <c r="AA23" s="1663" t="str">
        <f>'TIC Multiples'!$AK$39</f>
        <v>n/a</v>
      </c>
      <c r="AB23" s="1663">
        <f>'TIC Multiples'!$AK$38</f>
        <v>0</v>
      </c>
    </row>
    <row r="24" spans="1:28" s="334" customFormat="1" ht="13.9">
      <c r="A24" s="1510" t="str">
        <f ca="1">IF(N(N24)*P24,"","n")</f>
        <v>n</v>
      </c>
      <c r="B24" s="2242"/>
      <c r="C24" s="2060"/>
      <c r="D24" s="312" t="str">
        <f>TEXT('PFI Inputs'!$G$26,"yyyy")&amp;" EBIT"</f>
        <v>2017 EBIT</v>
      </c>
      <c r="E24" s="1568"/>
      <c r="F24" s="1301">
        <v>0</v>
      </c>
      <c r="G24" s="2060"/>
      <c r="H24" s="1301">
        <v>0</v>
      </c>
      <c r="I24" s="459"/>
      <c r="J24" s="527">
        <f ca="1">IF(B24="n",0,'PFI Inputs'!G79+IF(MonthsInStub=12,0,'PFI Inputs'!F79))</f>
        <v>0</v>
      </c>
      <c r="K24" s="460"/>
      <c r="L24" s="527" t="str">
        <f ca="1">IF(SingleOrRange=1,"n/a",IFERROR(IF(F24*$J24&lt;=0,"n/a",F24*$J24),"n/a"))</f>
        <v>n/a</v>
      </c>
      <c r="M24" s="2060"/>
      <c r="N24" s="527" t="str">
        <f t="shared" ca="1" si="0"/>
        <v>n/a</v>
      </c>
      <c r="O24" s="459"/>
      <c r="P24" s="1729">
        <v>0</v>
      </c>
      <c r="Q24" s="2060"/>
      <c r="R24" s="2060"/>
      <c r="S24" s="1510"/>
      <c r="T24" s="1662" t="str">
        <f>D24</f>
        <v>2017 EBIT</v>
      </c>
      <c r="U24" s="1525"/>
      <c r="V24" s="1525"/>
      <c r="W24" s="1663" t="str">
        <f>'TIC Multiples'!$AL$43</f>
        <v>n/a</v>
      </c>
      <c r="X24" s="1663" t="str">
        <f>'TIC Multiples'!$AL$42</f>
        <v>n/a</v>
      </c>
      <c r="Y24" s="1663" t="str">
        <f>'TIC Multiples'!$AL$41</f>
        <v>n/a</v>
      </c>
      <c r="Z24" s="1663" t="str">
        <f>'TIC Multiples'!$AL$40</f>
        <v>n/a</v>
      </c>
      <c r="AA24" s="1663" t="str">
        <f>'TIC Multiples'!$AL$39</f>
        <v>n/a</v>
      </c>
      <c r="AB24" s="1663">
        <f>'TIC Multiples'!$AL$38</f>
        <v>0</v>
      </c>
    </row>
    <row r="25" spans="1:28" ht="13.9">
      <c r="A25" s="1510" t="str">
        <f ca="1">IF(N(N25)*P25,"","n")</f>
        <v>n</v>
      </c>
      <c r="B25" s="2242"/>
      <c r="C25" s="2060"/>
      <c r="D25" s="312" t="str">
        <f>TEXT('PFI Inputs'!$H$26,"yyyy")&amp;" EBIT"</f>
        <v>2018 EBIT</v>
      </c>
      <c r="E25" s="1568"/>
      <c r="F25" s="1301">
        <v>0</v>
      </c>
      <c r="G25" s="2060"/>
      <c r="H25" s="1301">
        <v>0</v>
      </c>
      <c r="I25" s="459"/>
      <c r="J25" s="527">
        <f ca="1">IF(B25="n",0,'PFI Inputs'!H79)</f>
        <v>0</v>
      </c>
      <c r="K25" s="460"/>
      <c r="L25" s="527" t="str">
        <f ca="1">IF(SingleOrRange=1,"n/a",IFERROR(IF(F25*$J25&lt;=0,"n/a",F25*$J25),"n/a"))</f>
        <v>n/a</v>
      </c>
      <c r="M25" s="2060"/>
      <c r="N25" s="527" t="str">
        <f t="shared" ca="1" si="0"/>
        <v>n/a</v>
      </c>
      <c r="O25" s="459"/>
      <c r="P25" s="1729">
        <v>0</v>
      </c>
      <c r="Q25" s="2060"/>
      <c r="R25" s="2060"/>
      <c r="S25" s="1510"/>
      <c r="T25" s="1662" t="str">
        <f>D25</f>
        <v>2018 EBIT</v>
      </c>
      <c r="U25" s="2060"/>
      <c r="V25" s="2060"/>
      <c r="W25" s="1663" t="str">
        <f>'TIC Multiples'!$AM$43</f>
        <v>n/a</v>
      </c>
      <c r="X25" s="1663" t="str">
        <f>'TIC Multiples'!$AM$42</f>
        <v>n/a</v>
      </c>
      <c r="Y25" s="1663" t="str">
        <f>'TIC Multiples'!$AM$41</f>
        <v>n/a</v>
      </c>
      <c r="Z25" s="1663" t="str">
        <f>'TIC Multiples'!$AM$40</f>
        <v>n/a</v>
      </c>
      <c r="AA25" s="1663" t="str">
        <f>'TIC Multiples'!$AM$39</f>
        <v>n/a</v>
      </c>
      <c r="AB25" s="1663">
        <f>'TIC Multiples'!$AM$38</f>
        <v>0</v>
      </c>
    </row>
    <row r="26" spans="1:28" ht="13.9">
      <c r="A26" s="1510" t="str">
        <f ca="1">IF(N(N26)*P26,"","n")</f>
        <v>n</v>
      </c>
      <c r="B26" s="2242"/>
      <c r="C26" s="2060"/>
      <c r="D26" s="312" t="str">
        <f>TEXT('PFI Inputs'!$I$26,"yyyy")&amp;" EBIT"</f>
        <v>2019 EBIT</v>
      </c>
      <c r="E26" s="670"/>
      <c r="F26" s="1301">
        <v>0</v>
      </c>
      <c r="G26" s="2060"/>
      <c r="H26" s="1301">
        <v>0</v>
      </c>
      <c r="I26" s="459"/>
      <c r="J26" s="527">
        <f ca="1">IF(B26="n",0,'PFI Inputs'!I79)</f>
        <v>0</v>
      </c>
      <c r="K26" s="460"/>
      <c r="L26" s="527" t="str">
        <f ca="1">IF(SingleOrRange=1,"n/a",IFERROR(IF(F26*$J26&lt;=0,"n/a",F26*$J26),"n/a"))</f>
        <v>n/a</v>
      </c>
      <c r="M26" s="2060"/>
      <c r="N26" s="527" t="str">
        <f t="shared" ca="1" si="0"/>
        <v>n/a</v>
      </c>
      <c r="O26" s="459"/>
      <c r="P26" s="1729">
        <v>0</v>
      </c>
      <c r="Q26" s="2060"/>
      <c r="R26" s="2060"/>
      <c r="S26" s="1510"/>
      <c r="T26" s="1662" t="str">
        <f>D26</f>
        <v>2019 EBIT</v>
      </c>
      <c r="U26" s="2060"/>
      <c r="V26" s="2060"/>
      <c r="W26" s="1663" t="str">
        <f>'TIC Multiples'!$AN$43</f>
        <v>n/a</v>
      </c>
      <c r="X26" s="1663" t="str">
        <f>'TIC Multiples'!$AN$42</f>
        <v>n/a</v>
      </c>
      <c r="Y26" s="1663" t="str">
        <f>'TIC Multiples'!$AN$41</f>
        <v>n/a</v>
      </c>
      <c r="Z26" s="1663" t="str">
        <f>'TIC Multiples'!$AN$40</f>
        <v>n/a</v>
      </c>
      <c r="AA26" s="1663" t="str">
        <f>'TIC Multiples'!$AN$39</f>
        <v>n/a</v>
      </c>
      <c r="AB26" s="1663">
        <f>'TIC Multiples'!$AN$38</f>
        <v>0</v>
      </c>
    </row>
    <row r="27" spans="1:28" ht="13.9">
      <c r="A27" s="1510" t="str">
        <f ca="1">IF(COUNTBLANK(A22:A26),"","n")</f>
        <v>n</v>
      </c>
      <c r="B27" s="1510"/>
      <c r="C27" s="2060"/>
      <c r="D27" s="2073"/>
      <c r="E27" s="1568"/>
      <c r="F27" s="2073"/>
      <c r="G27" s="2073"/>
      <c r="H27" s="2073"/>
      <c r="I27" s="2073"/>
      <c r="J27" s="2073"/>
      <c r="K27" s="2073"/>
      <c r="L27" s="2073"/>
      <c r="M27" s="2060"/>
      <c r="N27" s="2073"/>
      <c r="O27" s="2073"/>
      <c r="P27" s="2073"/>
      <c r="Q27" s="2060"/>
      <c r="R27" s="2060"/>
      <c r="S27" s="1510"/>
      <c r="T27" s="1525"/>
      <c r="U27" s="2060"/>
      <c r="V27" s="2060"/>
      <c r="W27" s="1525"/>
      <c r="Y27" s="1525"/>
      <c r="Z27" s="1525"/>
      <c r="AB27" s="1525"/>
    </row>
    <row r="28" spans="1:28" ht="13.9">
      <c r="A28" s="1510"/>
      <c r="B28" s="1510"/>
      <c r="C28" s="2060"/>
      <c r="D28" s="22"/>
      <c r="E28" s="619"/>
      <c r="F28" s="22"/>
      <c r="G28" s="22"/>
      <c r="H28" s="22"/>
      <c r="I28" s="22"/>
      <c r="J28" s="441" t="s">
        <v>1500</v>
      </c>
      <c r="K28" s="1529"/>
      <c r="L28" s="1589">
        <f ca="1">SUMPRODUCT(L12:L26,$P$12:$P$26)</f>
        <v>0</v>
      </c>
      <c r="M28" s="2060"/>
      <c r="N28" s="1589">
        <f ca="1">SUMPRODUCT(N12:N26,$P$12:$P$26)</f>
        <v>0</v>
      </c>
      <c r="O28" s="22"/>
      <c r="P28" s="1493">
        <f ca="1">IF(SingleOrRange=1,SUMPRODUCT(P12:P26,--(H12:H26&gt;0),--(J12:J26&gt;0)),SUMPRODUCT(P12:P26,--(F12:F26&gt;0),--(H12:H26&gt;0),--(J12:J26&gt;0)))</f>
        <v>0</v>
      </c>
      <c r="Q28" s="2060"/>
      <c r="R28" s="2060"/>
      <c r="S28" s="1510"/>
      <c r="T28" s="1525"/>
      <c r="U28" s="2060"/>
      <c r="V28" s="2060"/>
      <c r="W28" s="1525"/>
      <c r="Y28" s="1525"/>
      <c r="Z28" s="1525"/>
      <c r="AB28" s="1525"/>
    </row>
    <row r="29" spans="1:28" s="303" customFormat="1" ht="13.9">
      <c r="A29" s="1510" t="str">
        <f>IF(SingleOrRange=1,"n","")</f>
        <v/>
      </c>
      <c r="B29" s="1510"/>
      <c r="C29" s="2060"/>
      <c r="D29" s="2073"/>
      <c r="E29" s="1568"/>
      <c r="F29" s="2073"/>
      <c r="G29" s="2073"/>
      <c r="H29" s="2073"/>
      <c r="I29" s="2073"/>
      <c r="J29" s="1404" t="s">
        <v>1495</v>
      </c>
      <c r="K29" s="2073"/>
      <c r="L29" s="1729">
        <v>0.5</v>
      </c>
      <c r="M29" s="2060"/>
      <c r="N29" s="1369">
        <f>IF(SingleOrRange=1,1,1-L29)</f>
        <v>0.5</v>
      </c>
      <c r="O29" s="2073"/>
      <c r="P29" s="1403" t="str">
        <f ca="1">IF(L28+N28,IF(P28&lt;&gt;1,Fail,""),"")</f>
        <v/>
      </c>
      <c r="Q29" s="2060"/>
      <c r="R29" s="2060"/>
      <c r="S29" s="1510"/>
      <c r="T29" s="1533"/>
      <c r="U29" s="1533"/>
      <c r="V29" s="1533"/>
      <c r="W29" s="1533"/>
      <c r="X29" s="1533"/>
      <c r="Y29" s="1533"/>
      <c r="Z29" s="1533"/>
      <c r="AA29" s="1533"/>
      <c r="AB29" s="1533"/>
    </row>
    <row r="30" spans="1:28" ht="12" customHeight="1">
      <c r="A30" s="1510"/>
      <c r="B30" s="1510"/>
      <c r="C30" s="1525"/>
      <c r="D30" s="1541"/>
      <c r="E30" s="1505"/>
      <c r="F30" s="1540"/>
      <c r="G30" s="1540"/>
      <c r="H30" s="2060"/>
      <c r="I30" s="2060"/>
      <c r="J30" s="2060"/>
      <c r="K30" s="2060"/>
      <c r="L30" s="1540"/>
      <c r="M30" s="2060"/>
      <c r="N30" s="2060"/>
      <c r="O30" s="2060"/>
      <c r="P30" s="2060"/>
      <c r="Q30" s="2060"/>
      <c r="R30" s="1525"/>
      <c r="S30" s="1510"/>
      <c r="T30" s="1525"/>
      <c r="U30" s="2060"/>
      <c r="V30" s="2060"/>
      <c r="W30" s="1525"/>
      <c r="Y30" s="1525"/>
      <c r="Z30" s="1525"/>
      <c r="AB30" s="1525"/>
    </row>
    <row r="31" spans="1:28" s="1027" customFormat="1" ht="16.5" customHeight="1">
      <c r="A31" s="1510"/>
      <c r="B31" s="1510"/>
      <c r="C31" s="1525"/>
      <c r="D31" s="1494"/>
      <c r="E31" s="1076"/>
      <c r="F31" s="1495"/>
      <c r="G31" s="1495"/>
      <c r="H31" s="1078"/>
      <c r="I31" s="1078"/>
      <c r="J31" s="1201" t="str">
        <f>"Estimated value of "&amp;LOWER(EVorTICFull)</f>
        <v>Estimated value of total invested capital</v>
      </c>
      <c r="K31" s="1078"/>
      <c r="L31" s="1495"/>
      <c r="M31" s="1078"/>
      <c r="N31" s="1321">
        <f ca="1">SUMPRODUCT(L28:N28,L29:N29)</f>
        <v>0</v>
      </c>
      <c r="O31" s="1078"/>
      <c r="P31" s="1078"/>
      <c r="Q31" s="2060"/>
      <c r="R31" s="1525"/>
      <c r="S31" s="1510"/>
      <c r="T31" s="1525"/>
      <c r="U31" s="1525"/>
      <c r="V31" s="1525"/>
      <c r="W31" s="1525"/>
      <c r="X31" s="1525"/>
      <c r="Y31" s="1525"/>
      <c r="Z31" s="1525"/>
      <c r="AA31" s="1525"/>
      <c r="AB31" s="1525"/>
    </row>
    <row r="32" spans="1:28" s="1027" customFormat="1" ht="12" customHeight="1">
      <c r="A32" s="1510"/>
      <c r="B32" s="1510"/>
      <c r="C32" s="1525"/>
      <c r="D32" s="1541"/>
      <c r="E32" s="1505"/>
      <c r="F32" s="1540"/>
      <c r="G32" s="1540"/>
      <c r="H32" s="2060"/>
      <c r="I32" s="2060"/>
      <c r="J32" s="2060"/>
      <c r="K32" s="2060"/>
      <c r="L32" s="1540"/>
      <c r="M32" s="2060"/>
      <c r="N32" s="2060"/>
      <c r="O32" s="2060"/>
      <c r="P32" s="2060"/>
      <c r="Q32" s="2060"/>
      <c r="R32" s="1525"/>
      <c r="S32" s="1510"/>
      <c r="T32" s="1525"/>
      <c r="U32" s="1525"/>
      <c r="V32" s="1525"/>
      <c r="W32" s="1525"/>
      <c r="X32" s="1525"/>
      <c r="Y32" s="1525"/>
      <c r="Z32" s="1525"/>
      <c r="AA32" s="1525"/>
      <c r="AB32" s="1525"/>
    </row>
    <row r="33" spans="1:27" s="1027" customFormat="1" ht="12" customHeight="1">
      <c r="A33" s="1510"/>
      <c r="B33" s="1510"/>
      <c r="C33" s="1525"/>
      <c r="D33" s="1541"/>
      <c r="E33" s="1505"/>
      <c r="F33" s="1540"/>
      <c r="G33" s="1540"/>
      <c r="H33" s="1540"/>
      <c r="I33" s="1525"/>
      <c r="J33" s="1553"/>
      <c r="K33" s="2060"/>
      <c r="L33" s="1589"/>
      <c r="M33" s="2060"/>
      <c r="N33" s="2060"/>
      <c r="O33" s="2060"/>
      <c r="P33" s="1525"/>
      <c r="Q33" s="1525"/>
      <c r="R33" s="1525"/>
      <c r="S33" s="1510"/>
      <c r="T33" s="1525"/>
      <c r="U33" s="1525"/>
      <c r="V33" s="1525"/>
      <c r="W33" s="1525"/>
      <c r="X33" s="1525"/>
      <c r="Y33" s="1525"/>
      <c r="Z33" s="1525"/>
      <c r="AA33" s="1525"/>
    </row>
    <row r="34" spans="1:27" s="1525" customFormat="1" ht="12" customHeight="1">
      <c r="A34" s="1510"/>
      <c r="B34" s="1510"/>
      <c r="C34" s="1588" t="s">
        <v>1501</v>
      </c>
      <c r="D34" s="1541"/>
      <c r="E34" s="1505"/>
      <c r="F34" s="1540"/>
      <c r="G34" s="1540"/>
      <c r="H34" s="1540"/>
      <c r="J34" s="1553"/>
      <c r="K34" s="2060"/>
      <c r="L34" s="1589"/>
      <c r="M34" s="2060"/>
      <c r="N34" s="2060"/>
      <c r="O34" s="2060"/>
      <c r="S34" s="1510"/>
    </row>
    <row r="35" spans="1:27" s="1525" customFormat="1" ht="12" customHeight="1">
      <c r="A35" s="1510"/>
      <c r="B35" s="1510"/>
      <c r="C35" s="1588"/>
      <c r="D35" s="1541"/>
      <c r="E35" s="1505"/>
      <c r="F35" s="1540"/>
      <c r="G35" s="1540"/>
      <c r="H35" s="1540"/>
      <c r="J35" s="1553"/>
      <c r="K35" s="2060"/>
      <c r="L35" s="1589"/>
      <c r="M35" s="2060"/>
      <c r="N35" s="2060"/>
      <c r="O35" s="2060"/>
      <c r="S35" s="1510"/>
    </row>
    <row r="36" spans="1:27" ht="12" customHeight="1">
      <c r="A36" s="1510"/>
      <c r="B36" s="1510"/>
      <c r="C36" s="373" t="str">
        <f ca="1">FootnoteDRAFT</f>
        <v>Run date: 05-August-2018  02:34 PM.   DRAFT document. All data subject to change upon completion of additional analysis.</v>
      </c>
      <c r="D36" s="1525"/>
      <c r="E36" s="1505"/>
      <c r="F36" s="1525"/>
      <c r="G36" s="1525"/>
      <c r="H36" s="1525"/>
      <c r="I36" s="1525"/>
      <c r="J36" s="1525"/>
      <c r="K36" s="329"/>
      <c r="L36" s="329"/>
      <c r="M36" s="329"/>
      <c r="N36" s="1525"/>
      <c r="O36" s="333"/>
      <c r="P36" s="1525"/>
      <c r="R36" s="1525"/>
      <c r="S36" s="1510"/>
      <c r="T36" s="1525"/>
      <c r="U36" s="2060"/>
      <c r="V36" s="2060"/>
      <c r="W36" s="1525"/>
      <c r="Y36" s="1525"/>
      <c r="Z36" s="1525"/>
    </row>
    <row r="37" spans="1:27" ht="12" customHeight="1">
      <c r="A37" s="1510" t="s">
        <v>17</v>
      </c>
      <c r="B37" s="1510"/>
      <c r="C37" s="1510"/>
      <c r="D37" s="1510"/>
      <c r="E37" s="701"/>
      <c r="F37" s="1510"/>
      <c r="G37" s="1510"/>
      <c r="H37" s="1510"/>
      <c r="I37" s="1510"/>
      <c r="J37" s="1510"/>
      <c r="K37" s="1510"/>
      <c r="L37" s="1510"/>
      <c r="M37" s="1510"/>
      <c r="N37" s="1510"/>
      <c r="O37" s="1510"/>
      <c r="P37" s="1510"/>
      <c r="Q37" s="1510"/>
      <c r="R37" s="1546" t="s">
        <v>18</v>
      </c>
      <c r="S37" s="1510"/>
      <c r="T37" s="1525"/>
      <c r="U37" s="2060"/>
      <c r="V37" s="2060"/>
      <c r="W37" s="1525"/>
      <c r="Y37" s="1525"/>
      <c r="Z37" s="1525"/>
    </row>
    <row r="38" spans="1:27" ht="12" customHeight="1">
      <c r="A38" s="1510"/>
      <c r="B38" s="1510"/>
      <c r="C38" s="1510"/>
      <c r="D38" s="1510"/>
      <c r="E38" s="683"/>
      <c r="F38" s="1510"/>
      <c r="G38" s="1510"/>
      <c r="H38" s="1510"/>
      <c r="I38" s="1510"/>
      <c r="J38" s="1510"/>
      <c r="K38" s="1510"/>
      <c r="L38" s="1510"/>
      <c r="M38" s="1510"/>
      <c r="N38" s="1510"/>
      <c r="O38" s="1510"/>
      <c r="P38" s="1510"/>
      <c r="Q38" s="1510"/>
      <c r="R38" s="1510"/>
      <c r="S38" s="1510"/>
      <c r="T38" s="1525"/>
      <c r="U38" s="2060"/>
      <c r="V38" s="2060"/>
      <c r="W38" s="1525"/>
      <c r="Y38" s="1525"/>
      <c r="Z38" s="1525"/>
    </row>
    <row r="39" spans="1:27" ht="12" customHeight="1">
      <c r="A39" s="1525"/>
      <c r="B39" s="1525"/>
      <c r="C39" s="1525"/>
      <c r="D39" s="1507"/>
      <c r="E39" s="1505"/>
      <c r="F39" s="1525"/>
      <c r="G39" s="1525"/>
      <c r="H39" s="1525"/>
      <c r="I39" s="1507"/>
      <c r="J39" s="1525"/>
      <c r="K39" s="1507"/>
      <c r="L39" s="1525"/>
      <c r="M39" s="1525"/>
      <c r="N39" s="1525"/>
      <c r="O39" s="1525"/>
      <c r="P39" s="1525"/>
      <c r="R39" s="1525"/>
      <c r="S39" s="1525"/>
      <c r="T39" s="1525"/>
      <c r="U39" s="2060"/>
      <c r="V39" s="2060"/>
      <c r="W39" s="1525"/>
      <c r="Y39" s="1525"/>
      <c r="Z39" s="1525"/>
    </row>
    <row r="40" spans="1:27" ht="12" customHeight="1">
      <c r="A40" s="1525"/>
      <c r="B40" s="1525"/>
      <c r="C40" s="1525"/>
      <c r="D40" s="1525"/>
      <c r="E40" s="1505"/>
      <c r="F40" s="1525"/>
      <c r="G40" s="1525"/>
      <c r="H40" s="1525"/>
      <c r="I40" s="1525"/>
      <c r="J40" s="1541"/>
      <c r="K40" s="1530"/>
      <c r="L40" s="1525"/>
      <c r="M40" s="1525"/>
      <c r="N40" s="1525"/>
      <c r="O40" s="1525"/>
      <c r="P40" s="1525"/>
      <c r="R40" s="1525"/>
      <c r="S40" s="1525"/>
      <c r="T40" s="1525"/>
      <c r="U40" s="2060"/>
      <c r="V40" s="2060"/>
      <c r="W40" s="1525"/>
      <c r="Y40" s="1525"/>
      <c r="Z40" s="1525"/>
    </row>
    <row r="41" spans="1:27" ht="12" customHeight="1">
      <c r="A41" s="1525"/>
      <c r="B41" s="1525"/>
      <c r="C41" s="1525"/>
      <c r="D41" s="1525"/>
      <c r="E41" s="1505"/>
      <c r="F41" s="1525"/>
      <c r="G41" s="1525"/>
      <c r="H41" s="1525"/>
      <c r="I41" s="1525"/>
      <c r="J41" s="1541"/>
      <c r="K41" s="1530"/>
      <c r="L41" s="1525"/>
      <c r="M41" s="1525"/>
      <c r="N41" s="1525"/>
      <c r="O41" s="1525"/>
      <c r="P41" s="1525"/>
      <c r="R41" s="1525"/>
      <c r="S41" s="1525"/>
      <c r="T41" s="1525"/>
      <c r="U41" s="2060"/>
      <c r="V41" s="2060"/>
      <c r="W41" s="1525"/>
      <c r="Y41" s="1525"/>
      <c r="Z41" s="1525"/>
    </row>
    <row r="42" spans="1:27" ht="12" customHeight="1">
      <c r="A42" s="1525"/>
      <c r="B42" s="1525"/>
      <c r="C42" s="1525"/>
      <c r="D42" s="1525"/>
      <c r="E42" s="1505"/>
      <c r="F42" s="1525"/>
      <c r="G42" s="1525"/>
      <c r="H42" s="1525"/>
      <c r="I42" s="1525"/>
      <c r="J42" s="1541"/>
      <c r="K42" s="1530"/>
      <c r="L42" s="1525"/>
      <c r="M42" s="1525"/>
      <c r="N42" s="1525"/>
      <c r="O42" s="1525"/>
      <c r="P42" s="1525"/>
      <c r="R42" s="1525"/>
      <c r="S42" s="1525"/>
      <c r="T42" s="1525"/>
      <c r="U42" s="2060"/>
      <c r="V42" s="2060"/>
      <c r="W42" s="1525"/>
      <c r="Y42" s="1525"/>
      <c r="Z42" s="1525"/>
    </row>
    <row r="43" spans="1:27" ht="12" customHeight="1">
      <c r="A43" s="1525"/>
      <c r="B43" s="1525"/>
      <c r="C43" s="1525"/>
      <c r="D43" s="1525"/>
      <c r="E43" s="1505"/>
      <c r="F43" s="1525"/>
      <c r="G43" s="1525"/>
      <c r="H43" s="1525"/>
      <c r="I43" s="1525"/>
      <c r="J43" s="1525"/>
      <c r="K43" s="1525"/>
      <c r="L43" s="1525"/>
      <c r="M43" s="1525"/>
      <c r="N43" s="1525"/>
      <c r="O43" s="1525"/>
      <c r="P43" s="1525"/>
      <c r="R43" s="1525"/>
      <c r="S43" s="1525"/>
      <c r="T43" s="1525"/>
      <c r="U43" s="2060"/>
      <c r="V43" s="2060"/>
      <c r="W43" s="1525"/>
      <c r="Y43" s="1525"/>
      <c r="Z43" s="1525"/>
    </row>
    <row r="44" spans="1:27" ht="12" customHeight="1">
      <c r="A44" s="1525"/>
      <c r="B44" s="1525"/>
      <c r="C44" s="1525"/>
      <c r="D44" s="1525"/>
      <c r="E44" s="1505"/>
      <c r="F44" s="1525"/>
      <c r="G44" s="1525"/>
      <c r="H44" s="1525"/>
      <c r="I44" s="1525"/>
      <c r="J44" s="1525"/>
      <c r="K44" s="1525"/>
      <c r="L44" s="1525"/>
      <c r="M44" s="1525"/>
      <c r="N44" s="1525"/>
      <c r="O44" s="1525"/>
      <c r="P44" s="1525"/>
      <c r="R44" s="1525"/>
      <c r="S44" s="1525"/>
      <c r="T44" s="1525"/>
      <c r="U44" s="2060"/>
      <c r="V44" s="2060"/>
      <c r="W44" s="1525"/>
      <c r="Y44" s="1525"/>
      <c r="Z44" s="1525"/>
    </row>
    <row r="45" spans="1:27" ht="12" customHeight="1">
      <c r="A45" s="1525"/>
      <c r="B45" s="1525"/>
      <c r="C45" s="1525"/>
      <c r="D45" s="1525"/>
      <c r="E45" s="1505"/>
      <c r="F45" s="1525"/>
      <c r="G45" s="1525"/>
      <c r="H45" s="1525"/>
      <c r="I45" s="1525"/>
      <c r="J45" s="1525"/>
      <c r="K45" s="1525"/>
      <c r="L45" s="1525"/>
      <c r="M45" s="1525"/>
      <c r="N45" s="1525"/>
      <c r="O45" s="1525"/>
      <c r="P45" s="1525"/>
      <c r="R45" s="1525"/>
      <c r="S45" s="1525"/>
      <c r="T45" s="1525"/>
      <c r="U45" s="2060"/>
      <c r="V45" s="2060"/>
      <c r="W45" s="1525"/>
      <c r="Y45" s="1525"/>
      <c r="Z45" s="1525"/>
    </row>
    <row r="46" spans="1:27" ht="12" customHeight="1">
      <c r="A46" s="1525"/>
      <c r="B46" s="1525"/>
      <c r="C46" s="1525"/>
      <c r="D46" s="1525"/>
      <c r="E46" s="1505"/>
      <c r="F46" s="1525"/>
      <c r="G46" s="1525"/>
      <c r="H46" s="1525"/>
      <c r="I46" s="1525"/>
      <c r="J46" s="1541"/>
      <c r="K46" s="1530"/>
      <c r="L46" s="1525"/>
      <c r="M46" s="1525"/>
      <c r="N46" s="1525"/>
      <c r="O46" s="1525"/>
      <c r="P46" s="1525"/>
      <c r="R46" s="1525"/>
      <c r="S46" s="1525"/>
      <c r="T46" s="1525"/>
      <c r="U46" s="2060"/>
      <c r="V46" s="2060"/>
      <c r="W46" s="1525"/>
      <c r="Y46" s="1525"/>
      <c r="Z46" s="1525"/>
    </row>
    <row r="47" spans="1:27" ht="12" customHeight="1">
      <c r="A47" s="1525"/>
      <c r="B47" s="1525"/>
      <c r="C47" s="1525"/>
      <c r="D47" s="1525"/>
      <c r="E47" s="1505"/>
      <c r="F47" s="1525"/>
      <c r="G47" s="1525"/>
      <c r="H47" s="1525"/>
      <c r="I47" s="1525"/>
      <c r="J47" s="1541"/>
      <c r="K47" s="1530"/>
      <c r="L47" s="1525"/>
      <c r="M47" s="1525"/>
      <c r="N47" s="1525"/>
      <c r="O47" s="1525"/>
      <c r="P47" s="1525"/>
      <c r="R47" s="1525"/>
      <c r="S47" s="1525"/>
      <c r="T47" s="1525"/>
      <c r="U47" s="2060"/>
      <c r="V47" s="2060"/>
      <c r="W47" s="1525"/>
      <c r="Y47" s="1525"/>
      <c r="Z47" s="1525"/>
    </row>
    <row r="48" spans="1:27" ht="12" customHeight="1">
      <c r="A48" s="1525"/>
      <c r="B48" s="1525"/>
      <c r="C48" s="1525"/>
      <c r="D48" s="1525"/>
      <c r="E48" s="1505"/>
      <c r="F48" s="1525"/>
      <c r="G48" s="1525"/>
      <c r="H48" s="1525"/>
      <c r="I48" s="1525"/>
      <c r="J48" s="1541"/>
      <c r="K48" s="1530"/>
      <c r="L48" s="1525"/>
      <c r="M48" s="1525"/>
      <c r="N48" s="1525"/>
      <c r="O48" s="1525"/>
      <c r="P48" s="1525"/>
      <c r="R48" s="1525"/>
      <c r="S48" s="1525"/>
      <c r="T48" s="1525"/>
      <c r="U48" s="2060"/>
      <c r="V48" s="2060"/>
      <c r="W48" s="1525"/>
      <c r="Y48" s="1525"/>
      <c r="Z48" s="1525"/>
    </row>
    <row r="49" spans="3:11" ht="12" customHeight="1">
      <c r="C49" s="1525"/>
      <c r="D49" s="1525"/>
      <c r="E49" s="1505"/>
      <c r="F49" s="1525"/>
      <c r="G49" s="1525"/>
      <c r="H49" s="1525"/>
      <c r="I49" s="1525"/>
      <c r="J49" s="1525"/>
      <c r="K49" s="1525"/>
    </row>
    <row r="50" spans="3:11" ht="12" customHeight="1">
      <c r="C50" s="1525"/>
      <c r="D50" s="1525"/>
      <c r="E50" s="1505"/>
      <c r="F50" s="1525"/>
      <c r="G50" s="1525"/>
      <c r="H50" s="1525"/>
      <c r="I50" s="1525"/>
      <c r="J50" s="1525"/>
      <c r="K50" s="1525"/>
    </row>
    <row r="51" spans="3:11" ht="12" customHeight="1">
      <c r="C51" s="1525"/>
      <c r="D51" s="1525"/>
      <c r="E51" s="1578"/>
      <c r="F51" s="1525"/>
      <c r="G51" s="1525"/>
      <c r="H51" s="1525"/>
      <c r="I51" s="1525"/>
      <c r="J51" s="1525"/>
      <c r="K51" s="1525"/>
    </row>
    <row r="52" spans="3:11" ht="12" customHeight="1">
      <c r="C52" s="1525"/>
      <c r="D52" s="1525"/>
      <c r="E52" s="1578"/>
      <c r="F52" s="1525"/>
      <c r="G52" s="1525"/>
      <c r="H52" s="1525"/>
      <c r="I52" s="1525"/>
      <c r="J52" s="1541"/>
      <c r="K52" s="1530"/>
    </row>
    <row r="53" spans="3:11" ht="12" customHeight="1">
      <c r="C53" s="1525"/>
      <c r="D53" s="1525"/>
      <c r="E53" s="1578"/>
      <c r="F53" s="1525"/>
      <c r="G53" s="1525"/>
      <c r="H53" s="1525"/>
      <c r="I53" s="1525"/>
      <c r="J53" s="1541"/>
      <c r="K53" s="1530"/>
    </row>
    <row r="54" spans="3:11" ht="12" customHeight="1">
      <c r="C54" s="1525"/>
      <c r="D54" s="1525"/>
      <c r="E54" s="1578"/>
      <c r="F54" s="1525"/>
      <c r="G54" s="1525"/>
      <c r="H54" s="1525"/>
      <c r="I54" s="1525"/>
      <c r="J54" s="1541"/>
      <c r="K54" s="1530"/>
    </row>
    <row r="55" spans="3:11" ht="12" customHeight="1">
      <c r="C55" s="1525"/>
      <c r="D55" s="1525"/>
      <c r="E55" s="1578"/>
      <c r="F55" s="1525"/>
      <c r="G55" s="1525"/>
      <c r="H55" s="1525"/>
      <c r="I55" s="1525"/>
      <c r="J55" s="1525"/>
      <c r="K55" s="1525"/>
    </row>
    <row r="56" spans="3:11" ht="12" customHeight="1">
      <c r="C56" s="1525"/>
      <c r="D56" s="1525"/>
      <c r="E56" s="1578"/>
      <c r="F56" s="1525"/>
      <c r="G56" s="1525"/>
      <c r="H56" s="1525"/>
      <c r="I56" s="1525"/>
      <c r="J56" s="1525"/>
      <c r="K56" s="1525"/>
    </row>
    <row r="57" spans="3:11" ht="12" customHeight="1">
      <c r="C57" s="1525"/>
      <c r="D57" s="1525"/>
      <c r="E57" s="1578"/>
      <c r="F57" s="1525"/>
      <c r="G57" s="1525"/>
      <c r="H57" s="1525"/>
      <c r="I57" s="1525"/>
      <c r="J57" s="1525"/>
      <c r="K57" s="1525"/>
    </row>
    <row r="58" spans="3:11" ht="12" customHeight="1">
      <c r="C58" s="1525"/>
      <c r="D58" s="1525"/>
      <c r="E58" s="1578"/>
      <c r="F58" s="1525"/>
      <c r="G58" s="1525"/>
      <c r="H58" s="1525"/>
      <c r="I58" s="1525"/>
      <c r="J58" s="1525"/>
      <c r="K58" s="1525"/>
    </row>
    <row r="59" spans="3:11" ht="12" customHeight="1">
      <c r="C59" s="1525"/>
      <c r="D59" s="1525"/>
      <c r="E59" s="1578"/>
      <c r="F59" s="1525"/>
      <c r="G59" s="1525"/>
      <c r="H59" s="1525"/>
      <c r="I59" s="1525"/>
      <c r="J59" s="1525"/>
      <c r="K59" s="1525"/>
    </row>
    <row r="60" spans="3:11" ht="12" customHeight="1">
      <c r="C60" s="1525"/>
      <c r="D60" s="1525"/>
      <c r="E60" s="1578"/>
      <c r="F60" s="1525"/>
      <c r="G60" s="1525"/>
      <c r="H60" s="1525"/>
      <c r="I60" s="1525"/>
      <c r="J60" s="1525"/>
      <c r="K60" s="1525"/>
    </row>
    <row r="61" spans="3:11" ht="12" customHeight="1">
      <c r="C61" s="1525"/>
      <c r="D61" s="1525"/>
      <c r="E61" s="1578"/>
      <c r="F61" s="1525"/>
      <c r="G61" s="1525"/>
      <c r="H61" s="1525"/>
      <c r="I61" s="1525"/>
      <c r="J61" s="1525"/>
      <c r="K61" s="1525"/>
    </row>
    <row r="62" spans="3:11" ht="12" customHeight="1">
      <c r="C62" s="1525"/>
      <c r="D62" s="1525"/>
      <c r="E62" s="1578"/>
      <c r="F62" s="1525"/>
      <c r="G62" s="1525"/>
      <c r="H62" s="1525"/>
      <c r="I62" s="1525"/>
      <c r="J62" s="1525"/>
      <c r="K62" s="1525"/>
    </row>
    <row r="63" spans="3:11" ht="12" customHeight="1">
      <c r="C63" s="1525"/>
      <c r="D63" s="1525"/>
      <c r="E63" s="1578"/>
      <c r="F63" s="1525"/>
      <c r="G63" s="1525"/>
      <c r="H63" s="1525"/>
      <c r="I63" s="1525"/>
      <c r="J63" s="1525"/>
      <c r="K63" s="1525"/>
    </row>
    <row r="64" spans="3:11" ht="12" customHeight="1">
      <c r="C64" s="1525"/>
      <c r="D64" s="1525"/>
      <c r="E64" s="1578"/>
      <c r="F64" s="1525"/>
      <c r="G64" s="1525"/>
      <c r="H64" s="1525"/>
      <c r="I64" s="1525"/>
      <c r="J64" s="1525"/>
      <c r="K64" s="1525"/>
    </row>
    <row r="65" spans="5:5" ht="12" customHeight="1">
      <c r="E65" s="1578"/>
    </row>
    <row r="66" spans="5:5" ht="12" customHeight="1">
      <c r="E66" s="1505"/>
    </row>
    <row r="67" spans="5:5" ht="12" customHeight="1">
      <c r="E67" s="1505"/>
    </row>
    <row r="68" spans="5:5" ht="12" customHeight="1">
      <c r="E68" s="1578"/>
    </row>
    <row r="69" spans="5:5" ht="12" customHeight="1">
      <c r="E69" s="1578"/>
    </row>
    <row r="70" spans="5:5" ht="12" customHeight="1">
      <c r="E70" s="1578"/>
    </row>
  </sheetData>
  <autoFilter ref="A1:A42"/>
  <conditionalFormatting sqref="P28">
    <cfRule type="cellIs" dxfId="157" priority="8" operator="lessThan">
      <formula>1</formula>
    </cfRule>
  </conditionalFormatting>
  <conditionalFormatting sqref="B1:B2">
    <cfRule type="cellIs" dxfId="156" priority="5" operator="notEqual">
      <formula>0</formula>
    </cfRule>
  </conditionalFormatting>
  <conditionalFormatting sqref="P29">
    <cfRule type="cellIs" dxfId="155" priority="3" operator="equal">
      <formula>Fail</formula>
    </cfRule>
  </conditionalFormatting>
  <conditionalFormatting sqref="I29:P29">
    <cfRule type="expression" dxfId="154" priority="1549">
      <formula>$U$2=1</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37" max="16383" man="1"/>
  </rowBreak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uidelineTransactionsInput">
    <tabColor rgb="FFFFFF00"/>
  </sheetPr>
  <dimension ref="A1:BV68"/>
  <sheetViews>
    <sheetView showGridLines="0" zoomScale="85" zoomScaleNormal="85" workbookViewId="0">
      <selection activeCell="J19" activeCellId="1" sqref="A1 J19"/>
    </sheetView>
  </sheetViews>
  <sheetFormatPr defaultColWidth="18.33203125" defaultRowHeight="15" outlineLevelCol="1"/>
  <cols>
    <col min="1" max="1" width="2.83203125" style="1850" customWidth="1"/>
    <col min="2" max="2" width="4.1640625" style="1850" customWidth="1"/>
    <col min="3" max="3" width="4.33203125" style="1850" customWidth="1"/>
    <col min="4" max="4" width="17.5" style="1852" customWidth="1"/>
    <col min="5" max="5" width="13.5" style="1851" customWidth="1"/>
    <col min="6" max="6" width="10.1640625" style="1851" customWidth="1"/>
    <col min="7" max="7" width="18.5" style="1851" customWidth="1"/>
    <col min="8" max="8" width="32" style="1851" customWidth="1"/>
    <col min="9" max="11" width="18.33203125" style="1850" customWidth="1" outlineLevel="1"/>
    <col min="12" max="12" width="29.1640625" style="1850" customWidth="1" outlineLevel="1"/>
    <col min="13" max="13" width="18.33203125" style="1850"/>
    <col min="14" max="14" width="32" style="1851" customWidth="1"/>
    <col min="15" max="15" width="18.33203125" style="1851" customWidth="1" outlineLevel="1"/>
    <col min="16" max="16" width="21.6640625" style="1851" customWidth="1" outlineLevel="1"/>
    <col min="17" max="17" width="18.33203125" style="1851" customWidth="1" outlineLevel="1"/>
    <col min="18" max="18" width="29.1640625" style="1851" customWidth="1" outlineLevel="1"/>
    <col min="19" max="19" width="13.83203125" style="1851" customWidth="1" outlineLevel="1"/>
    <col min="20" max="35" width="13.83203125" style="1850" customWidth="1" outlineLevel="1"/>
    <col min="36" max="38" width="13.83203125" style="1850" customWidth="1"/>
    <col min="39" max="45" width="13.83203125" style="1850" customWidth="1" outlineLevel="1"/>
    <col min="46" max="48" width="13.83203125" style="1850" customWidth="1"/>
    <col min="49" max="49" width="3.1640625" style="1850" customWidth="1" outlineLevel="1"/>
    <col min="50" max="58" width="13.83203125" style="1850" customWidth="1" outlineLevel="1"/>
    <col min="59" max="59" width="2.33203125" style="1850" customWidth="1"/>
    <col min="60" max="60" width="4.6640625" style="1850" bestFit="1" customWidth="1"/>
    <col min="61" max="16384" width="18.33203125" style="1850"/>
  </cols>
  <sheetData>
    <row r="1" spans="1:74" s="1499" customFormat="1" ht="18" customHeight="1">
      <c r="A1" s="2060"/>
      <c r="B1" s="649">
        <f>SUMPRODUCT(--ISERROR($C$1:AP29))+COUNTIF($C$1:AP29,Fail)</f>
        <v>0</v>
      </c>
      <c r="C1" s="1372" t="str">
        <f>START!$C$1</f>
        <v>Client Name</v>
      </c>
      <c r="D1" s="365"/>
      <c r="E1" s="172"/>
      <c r="F1" s="172"/>
      <c r="G1" s="172"/>
      <c r="H1" s="172"/>
      <c r="I1" s="2060"/>
      <c r="J1" s="2060"/>
      <c r="K1" s="2060"/>
      <c r="L1" s="2060"/>
      <c r="M1" s="172"/>
      <c r="N1" s="172"/>
      <c r="O1" s="172"/>
      <c r="P1" s="172"/>
      <c r="Q1" s="172"/>
      <c r="R1" s="172"/>
      <c r="S1" s="172"/>
      <c r="T1" s="172" t="s">
        <v>873</v>
      </c>
      <c r="U1" s="172"/>
      <c r="V1" s="172"/>
      <c r="W1" s="172"/>
      <c r="X1" s="172"/>
      <c r="Y1" s="172"/>
      <c r="Z1" s="172"/>
      <c r="AA1" s="172"/>
      <c r="AB1" s="172"/>
      <c r="AC1" s="172"/>
      <c r="AD1" s="172"/>
      <c r="AE1" s="172"/>
      <c r="AF1" s="172"/>
      <c r="AG1" s="172"/>
      <c r="AH1" s="172"/>
      <c r="AI1" s="172"/>
      <c r="AJ1" s="172"/>
      <c r="AK1" s="172"/>
      <c r="AL1" s="172"/>
      <c r="AM1" s="364"/>
      <c r="AN1" s="172"/>
      <c r="AO1" s="364"/>
      <c r="AP1" s="2060"/>
      <c r="AQ1" s="2060"/>
      <c r="AR1" s="2060"/>
      <c r="AS1" s="397"/>
      <c r="AT1" s="2060"/>
      <c r="AU1" s="2060"/>
      <c r="AV1" s="2060"/>
      <c r="AW1" s="2060"/>
      <c r="AX1" s="2060"/>
      <c r="AY1" s="2060"/>
      <c r="AZ1" s="2060"/>
      <c r="BA1" s="2060"/>
      <c r="BB1" s="2060"/>
      <c r="BC1" s="2060"/>
      <c r="BD1" s="2060"/>
      <c r="BE1" s="2060"/>
      <c r="BF1" s="2060"/>
      <c r="BG1" s="2060"/>
      <c r="BH1" s="1509"/>
      <c r="BI1" s="2060"/>
      <c r="BJ1" s="2060"/>
      <c r="BK1" s="2060"/>
      <c r="BL1" s="2060"/>
      <c r="BM1" s="2060"/>
      <c r="BN1" s="2060"/>
      <c r="BO1" s="2060"/>
      <c r="BP1" s="2060"/>
      <c r="BQ1" s="2060"/>
      <c r="BR1" s="2060"/>
      <c r="BS1" s="2060"/>
      <c r="BT1" s="2060"/>
      <c r="BU1" s="2060"/>
      <c r="BV1" s="2060"/>
    </row>
    <row r="2" spans="1:74" s="1499" customFormat="1" ht="18" customHeight="1">
      <c r="A2" s="1510"/>
      <c r="B2" s="649"/>
      <c r="C2" s="1372" t="str">
        <f>START!$C$2</f>
        <v xml:space="preserve">Please enter project description in START worksheet cell G13 </v>
      </c>
      <c r="D2" s="365"/>
      <c r="E2" s="172"/>
      <c r="F2" s="172"/>
      <c r="G2" s="172"/>
      <c r="H2" s="172"/>
      <c r="I2" s="2060"/>
      <c r="J2" s="2060"/>
      <c r="K2" s="2060"/>
      <c r="L2" s="2060"/>
      <c r="M2" s="172"/>
      <c r="N2" s="172"/>
      <c r="O2" s="172"/>
      <c r="P2" s="172"/>
      <c r="Q2" s="172"/>
      <c r="R2" s="172"/>
      <c r="S2" s="172"/>
      <c r="T2" s="172"/>
      <c r="U2" s="172"/>
      <c r="V2" s="172"/>
      <c r="W2" s="172"/>
      <c r="X2" s="172"/>
      <c r="Y2" s="172"/>
      <c r="Z2" s="172"/>
      <c r="AA2" s="172"/>
      <c r="AB2" s="172"/>
      <c r="AC2" s="172"/>
      <c r="AD2" s="172"/>
      <c r="AE2" s="172"/>
      <c r="AF2" s="172"/>
      <c r="AG2" s="172"/>
      <c r="AH2" s="172"/>
      <c r="AI2" s="172"/>
      <c r="AJ2" s="172"/>
      <c r="AK2" s="172"/>
      <c r="AL2" s="172"/>
      <c r="AM2" s="364"/>
      <c r="AN2" s="172"/>
      <c r="AO2" s="364"/>
      <c r="AP2" s="2060"/>
      <c r="AQ2" s="2060"/>
      <c r="AR2" s="2060"/>
      <c r="AS2" s="397"/>
      <c r="AT2" s="2060"/>
      <c r="AU2" s="2060"/>
      <c r="AV2" s="2060"/>
      <c r="AW2" s="2060"/>
      <c r="AX2" s="2060"/>
      <c r="AY2" s="2060"/>
      <c r="AZ2" s="2060"/>
      <c r="BA2" s="2060"/>
      <c r="BB2" s="2060"/>
      <c r="BC2" s="2060"/>
      <c r="BD2" s="2060"/>
      <c r="BE2" s="2060"/>
      <c r="BF2" s="2060"/>
      <c r="BG2" s="2060"/>
      <c r="BH2" s="1509"/>
      <c r="BI2" s="2060"/>
      <c r="BJ2" s="2060"/>
      <c r="BK2" s="2060"/>
      <c r="BL2" s="2060"/>
      <c r="BM2" s="2060"/>
      <c r="BN2" s="2060"/>
      <c r="BO2" s="2060"/>
      <c r="BP2" s="2060"/>
      <c r="BQ2" s="2060"/>
      <c r="BR2" s="2060"/>
      <c r="BS2" s="2060"/>
      <c r="BT2" s="2060"/>
      <c r="BU2" s="2060"/>
      <c r="BV2" s="2060"/>
    </row>
    <row r="3" spans="1:74" s="1499" customFormat="1" ht="18" customHeight="1">
      <c r="A3" s="1510"/>
      <c r="B3" s="1509"/>
      <c r="C3" s="839" t="s">
        <v>1502</v>
      </c>
      <c r="D3" s="365"/>
      <c r="E3" s="172"/>
      <c r="F3" s="172"/>
      <c r="G3" s="172"/>
      <c r="H3" s="172"/>
      <c r="I3" s="2060"/>
      <c r="J3" s="2060"/>
      <c r="K3" s="2060"/>
      <c r="L3" s="2060"/>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72"/>
      <c r="AM3" s="1506"/>
      <c r="AN3" s="172"/>
      <c r="AO3" s="1506"/>
      <c r="AP3" s="2060"/>
      <c r="AQ3" s="2060"/>
      <c r="AR3" s="2060"/>
      <c r="AS3" s="2060"/>
      <c r="AT3" s="2060"/>
      <c r="AU3" s="2060"/>
      <c r="AV3" s="2060"/>
      <c r="AW3" s="2060"/>
      <c r="AX3" s="2060"/>
      <c r="AY3" s="2060"/>
      <c r="AZ3" s="2060"/>
      <c r="BA3" s="2060"/>
      <c r="BB3" s="2060"/>
      <c r="BC3" s="2060"/>
      <c r="BD3" s="2060"/>
      <c r="BE3" s="2060"/>
      <c r="BF3" s="2060"/>
      <c r="BG3" s="2060"/>
      <c r="BH3" s="1509"/>
      <c r="BI3" s="2060"/>
      <c r="BJ3" s="2060"/>
      <c r="BK3" s="2060"/>
      <c r="BL3" s="2060"/>
      <c r="BM3" s="2060"/>
      <c r="BN3" s="2060"/>
      <c r="BO3" s="2060"/>
      <c r="BP3" s="2060"/>
      <c r="BQ3" s="2060"/>
      <c r="BR3" s="2060"/>
      <c r="BS3" s="2060"/>
      <c r="BT3" s="2060"/>
      <c r="BU3" s="2060"/>
      <c r="BV3" s="2060"/>
    </row>
    <row r="4" spans="1:74" s="1499" customFormat="1" ht="18" customHeight="1">
      <c r="A4" s="1510"/>
      <c r="B4" s="1509"/>
      <c r="C4" s="840" t="str">
        <f>"Analysis at "&amp;TEXT(Valuation_date,"d mmmm yyyy")</f>
        <v>Analysis at 28 February 2017</v>
      </c>
      <c r="D4" s="49"/>
      <c r="E4" s="172"/>
      <c r="F4" s="172"/>
      <c r="G4" s="172"/>
      <c r="H4" s="172"/>
      <c r="I4" s="2060"/>
      <c r="J4" s="2060"/>
      <c r="K4" s="2060"/>
      <c r="L4" s="2060"/>
      <c r="M4" s="172"/>
      <c r="N4" s="172"/>
      <c r="O4" s="172"/>
      <c r="P4" s="172"/>
      <c r="Q4" s="172"/>
      <c r="R4" s="172"/>
      <c r="S4" s="172"/>
      <c r="T4" s="172"/>
      <c r="U4" s="172"/>
      <c r="V4" s="172"/>
      <c r="W4" s="172"/>
      <c r="X4" s="172"/>
      <c r="Y4" s="970"/>
      <c r="Z4" s="172"/>
      <c r="AA4" s="172"/>
      <c r="AB4" s="172"/>
      <c r="AC4" s="172"/>
      <c r="AD4" s="172"/>
      <c r="AE4" s="172"/>
      <c r="AF4" s="172"/>
      <c r="AG4" s="172"/>
      <c r="AH4" s="172"/>
      <c r="AI4" s="172"/>
      <c r="AJ4" s="172"/>
      <c r="AK4" s="172"/>
      <c r="AL4" s="172"/>
      <c r="AM4" s="1506"/>
      <c r="AN4" s="172"/>
      <c r="AO4" s="1506"/>
      <c r="AP4" s="2060"/>
      <c r="AQ4" s="2060"/>
      <c r="AR4" s="2060"/>
      <c r="AS4" s="2060"/>
      <c r="AT4" s="2060"/>
      <c r="AU4" s="2060"/>
      <c r="AV4" s="2060"/>
      <c r="AW4" s="2060"/>
      <c r="AX4" s="2060"/>
      <c r="AY4" s="2060"/>
      <c r="AZ4" s="2060"/>
      <c r="BA4" s="2060"/>
      <c r="BB4" s="2060"/>
      <c r="BC4" s="2060"/>
      <c r="BD4" s="2060"/>
      <c r="BE4" s="2060"/>
      <c r="BF4" s="2060"/>
      <c r="BG4" s="2060"/>
      <c r="BH4" s="1509"/>
      <c r="BI4" s="2060"/>
      <c r="BJ4" s="2060"/>
      <c r="BK4" s="2060"/>
      <c r="BL4" s="2060"/>
      <c r="BM4" s="2060"/>
      <c r="BN4" s="2060"/>
      <c r="BO4" s="2060"/>
      <c r="BP4" s="2060"/>
      <c r="BQ4" s="2060"/>
      <c r="BR4" s="2060"/>
      <c r="BS4" s="2060"/>
      <c r="BT4" s="2060"/>
      <c r="BU4" s="2060"/>
      <c r="BV4" s="2060"/>
    </row>
    <row r="5" spans="1:74" s="1499" customFormat="1" ht="18" customHeight="1">
      <c r="A5" s="1552"/>
      <c r="B5" s="1509"/>
      <c r="C5" s="1405" t="s">
        <v>1503</v>
      </c>
      <c r="D5" s="1389"/>
      <c r="E5" s="172"/>
      <c r="F5" s="172"/>
      <c r="G5" s="172"/>
      <c r="H5" s="172"/>
      <c r="I5" s="2060"/>
      <c r="J5" s="2060"/>
      <c r="K5" s="2060"/>
      <c r="L5" s="2060"/>
      <c r="M5" s="1502"/>
      <c r="N5" s="172"/>
      <c r="O5" s="172"/>
      <c r="P5" s="172"/>
      <c r="Q5" s="172"/>
      <c r="R5" s="172"/>
      <c r="S5" s="172"/>
      <c r="T5" s="172"/>
      <c r="U5" s="172"/>
      <c r="V5" s="172"/>
      <c r="W5" s="172"/>
      <c r="X5" s="172"/>
      <c r="Y5" s="172"/>
      <c r="Z5" s="172"/>
      <c r="AA5" s="172"/>
      <c r="AB5" s="172"/>
      <c r="AC5" s="970"/>
      <c r="AD5" s="970"/>
      <c r="AE5" s="1502"/>
      <c r="AF5" s="1502"/>
      <c r="AG5" s="1502"/>
      <c r="AH5" s="1502"/>
      <c r="AI5" s="1502"/>
      <c r="AJ5" s="1502"/>
      <c r="AK5" s="970"/>
      <c r="AL5" s="970"/>
      <c r="AM5" s="1516"/>
      <c r="AN5" s="172"/>
      <c r="AO5" s="1516"/>
      <c r="AP5" s="2060"/>
      <c r="AQ5" s="2060"/>
      <c r="AR5" s="2060"/>
      <c r="AS5" s="2060"/>
      <c r="AT5" s="2060"/>
      <c r="AU5" s="2060"/>
      <c r="AV5" s="2060"/>
      <c r="AW5" s="2060"/>
      <c r="AX5" s="2060"/>
      <c r="AY5" s="2060"/>
      <c r="AZ5" s="2060"/>
      <c r="BA5" s="2060"/>
      <c r="BB5" s="2060"/>
      <c r="BC5" s="2060"/>
      <c r="BD5" s="2060"/>
      <c r="BE5" s="2060"/>
      <c r="BF5" s="2060"/>
      <c r="BG5" s="2060"/>
      <c r="BH5" s="1509"/>
      <c r="BI5" s="2060"/>
      <c r="BJ5" s="2060"/>
      <c r="BK5" s="2060"/>
      <c r="BL5" s="2060"/>
      <c r="BM5" s="2060"/>
      <c r="BN5" s="2060"/>
      <c r="BO5" s="2060"/>
      <c r="BP5" s="2060"/>
      <c r="BQ5" s="2060"/>
      <c r="BR5" s="2060"/>
      <c r="BS5" s="2060"/>
      <c r="BT5" s="2060"/>
      <c r="BU5" s="2060"/>
      <c r="BV5" s="2060"/>
    </row>
    <row r="6" spans="1:74" ht="15.6">
      <c r="A6" s="1552"/>
      <c r="B6" s="1509"/>
      <c r="BH6" s="1509"/>
    </row>
    <row r="7" spans="1:74" s="1860" customFormat="1" ht="13.9">
      <c r="A7" s="1552" t="s">
        <v>17</v>
      </c>
      <c r="B7" s="1509"/>
      <c r="C7" s="1867"/>
      <c r="D7" s="1873"/>
      <c r="E7" s="1873" t="s">
        <v>1504</v>
      </c>
      <c r="F7" s="1873" t="s">
        <v>1505</v>
      </c>
      <c r="G7" s="1873" t="s">
        <v>1506</v>
      </c>
      <c r="H7" s="1873" t="s">
        <v>1507</v>
      </c>
      <c r="I7" s="1873" t="s">
        <v>1508</v>
      </c>
      <c r="J7" s="1873" t="s">
        <v>1509</v>
      </c>
      <c r="K7" s="1873" t="s">
        <v>1510</v>
      </c>
      <c r="L7" s="1873" t="s">
        <v>1511</v>
      </c>
      <c r="M7" s="1873" t="s">
        <v>1512</v>
      </c>
      <c r="N7" s="1873" t="s">
        <v>1513</v>
      </c>
      <c r="O7" s="1873" t="s">
        <v>1514</v>
      </c>
      <c r="P7" s="1873" t="s">
        <v>1509</v>
      </c>
      <c r="Q7" s="1873" t="s">
        <v>1510</v>
      </c>
      <c r="R7" s="1873" t="s">
        <v>1511</v>
      </c>
      <c r="S7" s="1873" t="s">
        <v>1515</v>
      </c>
      <c r="T7" s="1873" t="s">
        <v>1516</v>
      </c>
      <c r="U7" s="1873" t="s">
        <v>1517</v>
      </c>
      <c r="V7" s="1873" t="s">
        <v>1518</v>
      </c>
      <c r="W7" s="1873" t="s">
        <v>1519</v>
      </c>
      <c r="X7" s="1873" t="s">
        <v>1520</v>
      </c>
      <c r="Y7" s="1873" t="s">
        <v>1521</v>
      </c>
      <c r="Z7" s="1873"/>
      <c r="AA7" s="1873"/>
      <c r="AB7" s="1873"/>
      <c r="AC7" s="1873"/>
      <c r="AD7" s="1873"/>
      <c r="AE7" s="1873"/>
      <c r="AF7" s="1873" t="str">
        <f>IFERROR(V7/$T7,"n/a")</f>
        <v>n/a</v>
      </c>
      <c r="AG7" s="1873" t="str">
        <f>IFERROR(W7/$U7,"n/a")</f>
        <v>n/a</v>
      </c>
      <c r="AH7" s="1873" t="str">
        <f>IFERROR(X7/$T7,"n/a")</f>
        <v>n/a</v>
      </c>
      <c r="AI7" s="1873" t="str">
        <f>IFERROR(Y7/$U7,"n/a")</f>
        <v>n/a</v>
      </c>
      <c r="AJ7" s="1873" t="s">
        <v>1522</v>
      </c>
      <c r="AK7" s="1873" t="s">
        <v>1523</v>
      </c>
      <c r="AL7" s="1873" t="s">
        <v>1524</v>
      </c>
      <c r="AM7" s="1873" t="s">
        <v>1525</v>
      </c>
      <c r="AN7" s="1873"/>
      <c r="AO7" s="1873"/>
      <c r="AP7" s="1873" t="s">
        <v>1526</v>
      </c>
      <c r="AQ7" s="1873"/>
      <c r="AR7" s="1873"/>
      <c r="AS7" s="1873"/>
      <c r="AT7" s="1873"/>
      <c r="AU7" s="1873"/>
      <c r="AV7" s="1873"/>
      <c r="AW7" s="1873"/>
      <c r="AX7" s="1873" t="s">
        <v>1527</v>
      </c>
      <c r="AY7" s="1873"/>
      <c r="AZ7" s="1873" t="s">
        <v>1528</v>
      </c>
      <c r="BA7" s="1873" t="s">
        <v>1529</v>
      </c>
      <c r="BB7" s="1873" t="s">
        <v>1530</v>
      </c>
      <c r="BC7" s="1873"/>
      <c r="BD7" s="1873"/>
      <c r="BE7" s="1873" t="s">
        <v>1531</v>
      </c>
      <c r="BF7" s="1873" t="s">
        <v>1531</v>
      </c>
      <c r="BG7" s="1873"/>
      <c r="BH7" s="1509"/>
      <c r="BI7" s="1853"/>
      <c r="BJ7" s="1853"/>
      <c r="BK7" s="1853"/>
      <c r="BL7" s="1853"/>
      <c r="BM7" s="1853"/>
      <c r="BN7" s="1853"/>
      <c r="BO7" s="1853"/>
      <c r="BP7" s="1853"/>
      <c r="BQ7" s="1853"/>
      <c r="BR7" s="1853"/>
      <c r="BS7" s="1853"/>
      <c r="BT7" s="1853"/>
      <c r="BU7" s="1853"/>
      <c r="BV7" s="1853"/>
    </row>
    <row r="8" spans="1:74" s="1853" customFormat="1" ht="15.6">
      <c r="A8" s="1552"/>
      <c r="B8" s="1509"/>
      <c r="D8" s="1889"/>
      <c r="E8" s="1890"/>
      <c r="F8" s="1890"/>
      <c r="G8" s="1890"/>
      <c r="H8" s="1890"/>
      <c r="I8" s="1893"/>
      <c r="J8" s="1893"/>
      <c r="K8" s="1893"/>
      <c r="L8" s="1893"/>
      <c r="M8" s="1891"/>
      <c r="N8" s="1890"/>
      <c r="O8" s="1890"/>
      <c r="P8" s="1890"/>
      <c r="Q8" s="1893"/>
      <c r="R8" s="1893"/>
      <c r="S8" s="1890"/>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2"/>
      <c r="AX8" s="1893"/>
      <c r="AY8" s="1893"/>
      <c r="AZ8" s="1893"/>
      <c r="BA8" s="1893"/>
      <c r="BB8" s="1893"/>
      <c r="BC8" s="1893"/>
      <c r="BD8" s="1893"/>
      <c r="BE8" s="1893"/>
      <c r="BF8" s="1893"/>
      <c r="BG8" s="1893"/>
      <c r="BH8" s="1509"/>
    </row>
    <row r="9" spans="1:74" s="1860" customFormat="1" ht="55.15">
      <c r="A9" s="1552"/>
      <c r="B9" s="1509"/>
      <c r="D9" s="1879" t="s">
        <v>1532</v>
      </c>
      <c r="E9" s="1880" t="s">
        <v>1533</v>
      </c>
      <c r="F9" s="1880" t="s">
        <v>1534</v>
      </c>
      <c r="G9" s="1880" t="s">
        <v>1535</v>
      </c>
      <c r="H9" s="1909" t="s">
        <v>1536</v>
      </c>
      <c r="I9" s="1897" t="s">
        <v>1537</v>
      </c>
      <c r="J9" s="1897" t="s">
        <v>1538</v>
      </c>
      <c r="K9" s="1897" t="s">
        <v>1539</v>
      </c>
      <c r="L9" s="1897" t="s">
        <v>267</v>
      </c>
      <c r="M9" s="1901" t="s">
        <v>1540</v>
      </c>
      <c r="N9" s="1913" t="s">
        <v>1541</v>
      </c>
      <c r="O9" s="1897" t="s">
        <v>1542</v>
      </c>
      <c r="P9" s="1897" t="s">
        <v>1538</v>
      </c>
      <c r="Q9" s="1897" t="s">
        <v>1539</v>
      </c>
      <c r="R9" s="1898" t="s">
        <v>267</v>
      </c>
      <c r="S9" s="1880" t="str">
        <f>"Target "&amp;EVorTICFull</f>
        <v>Target Total invested capital</v>
      </c>
      <c r="T9" s="1881" t="s">
        <v>1543</v>
      </c>
      <c r="U9" s="1881" t="s">
        <v>1544</v>
      </c>
      <c r="V9" s="1881" t="s">
        <v>1545</v>
      </c>
      <c r="W9" s="1881" t="s">
        <v>1546</v>
      </c>
      <c r="X9" s="1880" t="s">
        <v>1547</v>
      </c>
      <c r="Y9" s="1880" t="s">
        <v>1548</v>
      </c>
      <c r="Z9" s="1881" t="str">
        <f>EVorTIC&amp;"/ LTM Revenue"</f>
        <v>TIC/ LTM Revenue</v>
      </c>
      <c r="AA9" s="1881" t="str">
        <f>EVorTIC&amp;"/ NTM Revenue"</f>
        <v>TIC/ NTM Revenue</v>
      </c>
      <c r="AB9" s="1881" t="str">
        <f>EVorTIC&amp;"/ LTM EBITDA"</f>
        <v>TIC/ LTM EBITDA</v>
      </c>
      <c r="AC9" s="1881" t="str">
        <f>EVorTIC&amp;"/ NTM EBITDA"</f>
        <v>TIC/ NTM EBITDA</v>
      </c>
      <c r="AD9" s="1881" t="str">
        <f>EVorTIC&amp;"/ LTM EBIT"</f>
        <v>TIC/ LTM EBIT</v>
      </c>
      <c r="AE9" s="1881" t="str">
        <f>EVorTIC&amp;"/ NTM EBIT"</f>
        <v>TIC/ NTM EBIT</v>
      </c>
      <c r="AF9" s="1880" t="s">
        <v>1549</v>
      </c>
      <c r="AG9" s="1880" t="s">
        <v>1550</v>
      </c>
      <c r="AH9" s="1880" t="s">
        <v>1551</v>
      </c>
      <c r="AI9" s="1880" t="s">
        <v>1552</v>
      </c>
      <c r="AJ9" s="1880" t="s">
        <v>1553</v>
      </c>
      <c r="AK9" s="1880" t="s">
        <v>1554</v>
      </c>
      <c r="AL9" s="1918" t="s">
        <v>1555</v>
      </c>
      <c r="AM9" s="1881" t="s">
        <v>1556</v>
      </c>
      <c r="AN9" s="1881" t="s">
        <v>1557</v>
      </c>
      <c r="AO9" s="1881" t="s">
        <v>1558</v>
      </c>
      <c r="AP9" s="1881" t="s">
        <v>371</v>
      </c>
      <c r="AQ9" s="1881" t="str">
        <f>"Target "&amp;EVorTIC&amp;" 
1 day before"</f>
        <v>Target TIC 
1 day before</v>
      </c>
      <c r="AR9" s="1881" t="str">
        <f>"Target "&amp;EVorTIC&amp;" 
5 days before"</f>
        <v>Target TIC 
5 days before</v>
      </c>
      <c r="AS9" s="1881" t="str">
        <f>"Target "&amp;EVorTIC&amp;" 
30 days before"</f>
        <v>Target TIC 
30 days before</v>
      </c>
      <c r="AT9" s="1881" t="str">
        <f>"1-day premium "&amp;EVorTIC&amp;" basis"</f>
        <v>1-day premium TIC basis</v>
      </c>
      <c r="AU9" s="1881" t="str">
        <f>"5-day premium "&amp;EVorTIC&amp;" basis"</f>
        <v>5-day premium TIC basis</v>
      </c>
      <c r="AV9" s="1919" t="str">
        <f>"30-day premium "&amp;EVorTIC&amp;" basis"</f>
        <v>30-day premium TIC basis</v>
      </c>
      <c r="AW9" s="1882"/>
      <c r="AX9" s="1881" t="s">
        <v>1559</v>
      </c>
      <c r="AY9" s="1881" t="s">
        <v>1560</v>
      </c>
      <c r="AZ9" s="1881" t="s">
        <v>1561</v>
      </c>
      <c r="BA9" s="1881" t="s">
        <v>1562</v>
      </c>
      <c r="BB9" s="1881" t="s">
        <v>1563</v>
      </c>
      <c r="BC9" s="1881" t="s">
        <v>1564</v>
      </c>
      <c r="BD9" s="1881" t="s">
        <v>1565</v>
      </c>
      <c r="BE9" s="1881" t="s">
        <v>1566</v>
      </c>
      <c r="BF9" s="1881" t="s">
        <v>1567</v>
      </c>
      <c r="BG9" s="1933"/>
      <c r="BH9" s="1509"/>
    </row>
    <row r="10" spans="1:74" s="1860" customFormat="1" ht="15.6">
      <c r="A10" s="1552"/>
      <c r="B10" s="1509"/>
      <c r="D10" s="1869"/>
      <c r="E10" s="1864"/>
      <c r="F10" s="1864"/>
      <c r="G10" s="1864"/>
      <c r="H10" s="1910"/>
      <c r="I10" s="1868"/>
      <c r="J10" s="1868"/>
      <c r="K10" s="1868"/>
      <c r="L10" s="1868"/>
      <c r="M10" s="1902"/>
      <c r="N10" s="1914"/>
      <c r="O10" s="1864"/>
      <c r="P10" s="1864"/>
      <c r="Q10" s="1864"/>
      <c r="R10" s="1905"/>
      <c r="S10" s="1863"/>
      <c r="T10" s="1862"/>
      <c r="U10" s="1862"/>
      <c r="V10" s="1862"/>
      <c r="W10" s="1862"/>
      <c r="X10" s="1863"/>
      <c r="Y10" s="1863"/>
      <c r="Z10" s="1863"/>
      <c r="AA10" s="1863"/>
      <c r="AB10" s="1862"/>
      <c r="AC10" s="1862"/>
      <c r="AD10" s="1863"/>
      <c r="AE10" s="1863"/>
      <c r="AF10" s="1861"/>
      <c r="AG10" s="1861"/>
      <c r="AH10" s="1862"/>
      <c r="AI10" s="1862"/>
      <c r="AJ10" s="1861"/>
      <c r="AK10" s="1861"/>
      <c r="AL10" s="1861"/>
      <c r="AM10" s="1862"/>
      <c r="AN10" s="1862"/>
      <c r="AO10" s="1862"/>
      <c r="AP10" s="1862"/>
      <c r="AQ10" s="1861"/>
      <c r="AR10" s="1861"/>
      <c r="AS10" s="1861"/>
      <c r="AT10" s="1861"/>
      <c r="AU10" s="1861"/>
      <c r="AV10" s="1861"/>
      <c r="AW10" s="1866"/>
      <c r="BH10" s="1509"/>
    </row>
    <row r="11" spans="1:74" s="1853" customFormat="1" ht="13.9">
      <c r="A11" s="1552" t="str">
        <f>IF(D11&lt;&gt;"","","n")</f>
        <v>n</v>
      </c>
      <c r="B11" s="1509"/>
      <c r="C11" s="1853">
        <v>1</v>
      </c>
      <c r="D11" s="2243"/>
      <c r="E11" s="1894" t="str">
        <f>IF($D11="","--",DATEVALUE(_xll.ciqfunctions.udf.CIQ($D11,E$7)))</f>
        <v>--</v>
      </c>
      <c r="F11" s="1896" t="str">
        <f>IF($D11="","--",_xll.ciqfunctions.udf.CIQ($D11, F$7))</f>
        <v>--</v>
      </c>
      <c r="G11" s="1895" t="str">
        <f>IF($D11="","--",_xll.ciqfunctions.udf.CIQ($D11, G$7))</f>
        <v>--</v>
      </c>
      <c r="H11" s="1911" t="str">
        <f>IF($D11="","--",_xll.ciqfunctions.udf.CIQ($D11, H$7))</f>
        <v>--</v>
      </c>
      <c r="I11" s="1853" t="str">
        <f>IF($D11="","--",_xll.ciqfunctions.udf.CIQ($D11, I$7))</f>
        <v>--</v>
      </c>
      <c r="J11" s="2068" t="str">
        <f>IF($E11="--","--",_xll.ciqfunctions.udf.CIQ($I11,J$7))</f>
        <v>--</v>
      </c>
      <c r="K11" s="1872" t="str">
        <f>IF($D11="","--",_xll.ciqfunctions.udf.CIQ($D11, K$7))</f>
        <v>--</v>
      </c>
      <c r="L11" s="1872" t="str">
        <f>IF($D11="","--",_xll.ciqfunctions.udf.CIQ($D11, L$7))</f>
        <v>--</v>
      </c>
      <c r="M11" s="1903" t="str">
        <f>IF($D11="","--",_xll.ciqfunctions.udf.CIQ($D11, M$7)/100)</f>
        <v>--</v>
      </c>
      <c r="N11" s="1915" t="str">
        <f>IF($D11="","--",_xll.ciqfunctions.udf.CIQ($D11, N$7))</f>
        <v>--</v>
      </c>
      <c r="O11" s="1853" t="str">
        <f>IF($D11="","--",_xll.ciqfunctions.udf.CIQ($D11, O$7))</f>
        <v>--</v>
      </c>
      <c r="P11" s="2068" t="str">
        <f>IF($E11="--","--",_xll.ciqfunctions.udf.CIQ(IFERROR(LEFT(O11,FIND(";",O11,1)-1),O11),P$7))</f>
        <v>--</v>
      </c>
      <c r="Q11" s="1872" t="str">
        <f>IF($D11="","--",_xll.ciqfunctions.udf.CIQ($D11, Q$7))</f>
        <v>--</v>
      </c>
      <c r="R11" s="1899" t="str">
        <f>IF($D11="","--",_xll.ciqfunctions.udf.CIQ($D11, R$7))</f>
        <v>--</v>
      </c>
      <c r="S11" s="1667" t="str">
        <f>IF($D11="","--",_xll.ciqfunctions.udf.CIQ($I11,S$7,$E11,$E11,SubjOutputCurrencyCode,"C"))</f>
        <v>--</v>
      </c>
      <c r="T11" s="1667" t="str">
        <f>IF($D11="","--",IF(_xll.ciqfunctions.udf.CIQ($D11,T$7,,SubjOutputCurrencyCode,"C")=0,"n/a",_xll.ciqfunctions.udf.CIQ($D11,T$7,,SubjOutputCurrencyCode,"C")))</f>
        <v>--</v>
      </c>
      <c r="U11" s="1667" t="str">
        <f>IF($D11="","--",IF(_xll.ciqfunctions.udf.CIQ($D11,U$7,,SubjOutputCurrencyCode,"C")=0,"n/a",_xll.ciqfunctions.udf.CIQ($D11,U$7,,SubjOutputCurrencyCode,"C")))</f>
        <v>--</v>
      </c>
      <c r="V11" s="1667" t="str">
        <f>IF($D11="","--",IF(_xll.ciqfunctions.udf.CIQ($D11,V$7,,SubjOutputCurrencyCode,"C")=0,"n/a",_xll.ciqfunctions.udf.CIQ($D11,V$7,,SubjOutputCurrencyCode,"C")))</f>
        <v>--</v>
      </c>
      <c r="W11" s="1667" t="str">
        <f>IF($D11="","--",IF(_xll.ciqfunctions.udf.CIQ($D11,W$7,,SubjOutputCurrencyCode,"C")=0,"n/a",_xll.ciqfunctions.udf.CIQ($D11,W$7,,SubjOutputCurrencyCode,"C")))</f>
        <v>--</v>
      </c>
      <c r="X11" s="1667" t="str">
        <f>IF($D11="","--",IF(_xll.ciqfunctions.udf.CIQ($D11,X$7,,SubjOutputCurrencyCode,"C")=0,"n/a",_xll.ciqfunctions.udf.CIQ($D11,X$7,,SubjOutputCurrencyCode,"C")))</f>
        <v>--</v>
      </c>
      <c r="Y11" s="1667" t="str">
        <f>IF($D11="","--",IF(_xll.ciqfunctions.udf.CIQ($D11,Y$7,,SubjOutputCurrencyCode,"C")=0,"n/a",_xll.ciqfunctions.udf.CIQ($D11,Y$7,,SubjOutputCurrencyCode,"C")))</f>
        <v>--</v>
      </c>
      <c r="Z11" s="1874" t="str">
        <f t="shared" ref="Z11:Z18" si="0">IFERROR(IF($S11,$S11/T11,"n/a"),"n/a")</f>
        <v>n/a</v>
      </c>
      <c r="AA11" s="1874" t="str">
        <f t="shared" ref="AA11:AA30" si="1">IFERROR($S11/U11,"n/a")</f>
        <v>n/a</v>
      </c>
      <c r="AB11" s="1874" t="str">
        <f>IFERROR(IF($S11,$S11/V11,"n/a"),"n/a")</f>
        <v>n/a</v>
      </c>
      <c r="AC11" s="1874" t="str">
        <f>IFERROR(IF($S11,$S11/W11,"n/a"),"n/a")</f>
        <v>n/a</v>
      </c>
      <c r="AD11" s="1874" t="str">
        <f>IFERROR(IF($S11,$S11/X11,"n/a"),"n/a")</f>
        <v>n/a</v>
      </c>
      <c r="AE11" s="1874" t="str">
        <f>IFERROR(IF($S11,$S11/Y11,"n/a"),"n/a")</f>
        <v>n/a</v>
      </c>
      <c r="AF11" s="1874" t="str">
        <f t="shared" ref="AF11:AF30" si="2">IFERROR(V11/$T11,"n/a")</f>
        <v>n/a</v>
      </c>
      <c r="AG11" s="1874" t="str">
        <f t="shared" ref="AG11:AG30" si="3">IFERROR(W11/$U11,"n/a")</f>
        <v>n/a</v>
      </c>
      <c r="AH11" s="1874" t="str">
        <f t="shared" ref="AH11:AH30" si="4">IFERROR(X11/$T11,"n/a")</f>
        <v>n/a</v>
      </c>
      <c r="AI11" s="1874" t="str">
        <f t="shared" ref="AI11:AI30" si="5">IFERROR(Y11/$U11,"n/a")</f>
        <v>n/a</v>
      </c>
      <c r="AJ11" s="1614" t="str">
        <f>IF($D11="","--",IF(_xll.ciqfunctions.udf.CIQ($D11,AJ$7)=0,"n/a",_xll.ciqfunctions.udf.CIQ($D11,AJ$7)/100))</f>
        <v>--</v>
      </c>
      <c r="AK11" s="1614" t="str">
        <f>IF($D11="","--",IF(_xll.ciqfunctions.udf.CIQ($D11,AK$7)=0,"n/a",_xll.ciqfunctions.udf.CIQ($D11,AK$7)/100))</f>
        <v>--</v>
      </c>
      <c r="AL11" s="1614" t="str">
        <f>IF($D11="","--",IF(_xll.ciqfunctions.udf.CIQ($D11,AL$7)=0,"n/a",_xll.ciqfunctions.udf.CIQ($D11,AL$7)/100))</f>
        <v>--</v>
      </c>
      <c r="AM11" s="1667" t="str">
        <f>IF($D11="","--",IF(_xll.ciqfunctions.udf.CIQ($D11,AM$7)=0,"n/a",_xll.ciqfunctions.udf.CIQ($D11,AM$7)))</f>
        <v>--</v>
      </c>
      <c r="AN11" s="1667" t="str">
        <f>IF($D11="","--",IF(BE11*BA11=0,"n/a",BE11*BA11))</f>
        <v>--</v>
      </c>
      <c r="AO11" s="1667" t="str">
        <f>IF($D11="","--",IF(BF11*BB11=0,"n/a",BF11*BB11))</f>
        <v>--</v>
      </c>
      <c r="AP11" s="1667" t="str">
        <f>IF($D11="","--",_xll.ciqfunctions.udf.CIQ($I11,AP$7,IQ_LTM,$E11,ReportType,DataMode,SubjOutputCurrencyCode,"C"))</f>
        <v>--</v>
      </c>
      <c r="AQ11" s="1667" t="str">
        <f>IFERROR(AM11+AP11,"n/a")</f>
        <v>n/a</v>
      </c>
      <c r="AR11" s="1667" t="str">
        <f>IFERROR(AN11+AP11,"n/a")</f>
        <v>n/a</v>
      </c>
      <c r="AS11" s="1667" t="str">
        <f>IFERROR(AO11+AP11,"n/a")</f>
        <v>n/a</v>
      </c>
      <c r="AT11" s="1614" t="str">
        <f t="shared" ref="AT11:AT30" si="6">IF(S11&gt;0,IFERROR(S11/AQ11-1,"n/a"),"n/a")</f>
        <v>n/a</v>
      </c>
      <c r="AU11" s="1614" t="str">
        <f t="shared" ref="AU11:AU30" si="7">IF(S11&gt;0,IFERROR(S11/AR11-1,"n/a"),"n/a")</f>
        <v>n/a</v>
      </c>
      <c r="AV11" s="1614" t="str">
        <f t="shared" ref="AV11:AV30" si="8">IF(S11&gt;0,IFERROR(S11/AS11-1,"n/a"),"n/a")</f>
        <v>n/a</v>
      </c>
      <c r="AW11" s="1883"/>
      <c r="AX11" s="1667" t="str">
        <f>IF($D11="","--",_xll.ciqfunctions.udf.CIQ($D11,AX$7))</f>
        <v>--</v>
      </c>
      <c r="AY11" s="1667">
        <f>IFERROR(AM11/AZ11,0)</f>
        <v>0</v>
      </c>
      <c r="AZ11" s="1871" t="str">
        <f>IF($D11="","--",_xll.ciqfunctions.udf.CIQ($D11,AZ$7))</f>
        <v>--</v>
      </c>
      <c r="BA11" s="1871" t="str">
        <f>IF($D11="","--",_xll.ciqfunctions.udf.CIQ($D11,BA$7))</f>
        <v>--</v>
      </c>
      <c r="BB11" s="1871" t="str">
        <f>IF($D11="","--",_xll.ciqfunctions.udf.CIQ($D11,BB$7))</f>
        <v>--</v>
      </c>
      <c r="BC11" s="1894" t="str">
        <f>IFERROR(E11-5,"--")</f>
        <v>--</v>
      </c>
      <c r="BD11" s="1894" t="str">
        <f>IFERROR(E11-30,"--")</f>
        <v>--</v>
      </c>
      <c r="BE11" s="1871" t="str">
        <f>IF($D11="","--",_xll.ciqfunctions.udf.CIQ(I11,BE$7,BC11))</f>
        <v>--</v>
      </c>
      <c r="BF11" s="1871" t="str">
        <f>IF($D11="","--",_xll.ciqfunctions.udf.CIQ(I11,BF$7,BD11))</f>
        <v>--</v>
      </c>
      <c r="BG11" s="1871"/>
      <c r="BH11" s="1509"/>
    </row>
    <row r="12" spans="1:74" s="1853" customFormat="1" ht="13.9">
      <c r="A12" s="1552" t="str">
        <f t="shared" ref="A12:A30" si="9">IF(D12&lt;&gt;"","","n")</f>
        <v>n</v>
      </c>
      <c r="B12" s="1509"/>
      <c r="C12" s="1853">
        <v>2</v>
      </c>
      <c r="D12" s="2243"/>
      <c r="E12" s="1894" t="str">
        <f>IF($D12="","--",DATEVALUE(_xll.ciqfunctions.udf.CIQ($D12,E$7)))</f>
        <v>--</v>
      </c>
      <c r="F12" s="1896" t="str">
        <f>IF($D12="","--",_xll.ciqfunctions.udf.CIQ($D12, F$7))</f>
        <v>--</v>
      </c>
      <c r="G12" s="1895" t="str">
        <f>IF($D12="","--",_xll.ciqfunctions.udf.CIQ($D12, G$7))</f>
        <v>--</v>
      </c>
      <c r="H12" s="1911" t="str">
        <f>IF($D12="","--",_xll.ciqfunctions.udf.CIQ($D12, H$7))</f>
        <v>--</v>
      </c>
      <c r="I12" s="1853" t="str">
        <f>IF($D12="","--",_xll.ciqfunctions.udf.CIQ($D12, I$7))</f>
        <v>--</v>
      </c>
      <c r="J12" s="2068" t="str">
        <f>IF($E12="--","--",_xll.ciqfunctions.udf.CIQ($I12,J$7))</f>
        <v>--</v>
      </c>
      <c r="K12" s="1872" t="str">
        <f>IF($D12="","--",_xll.ciqfunctions.udf.CIQ($D12, K$7))</f>
        <v>--</v>
      </c>
      <c r="L12" s="1872" t="str">
        <f>IF($D12="","--",_xll.ciqfunctions.udf.CIQ($D12, L$7))</f>
        <v>--</v>
      </c>
      <c r="M12" s="1903" t="str">
        <f>IF($D12="","--",_xll.ciqfunctions.udf.CIQ($D12, M$7)/100)</f>
        <v>--</v>
      </c>
      <c r="N12" s="1915" t="str">
        <f>IF($D12="","--",_xll.ciqfunctions.udf.CIQ($D12, N$7))</f>
        <v>--</v>
      </c>
      <c r="O12" s="1853" t="str">
        <f>IF($D12="","--",_xll.ciqfunctions.udf.CIQ($D12, O$7))</f>
        <v>--</v>
      </c>
      <c r="P12" s="2068" t="str">
        <f>IF($E12="--","--",_xll.ciqfunctions.udf.CIQ(IFERROR(LEFT(O12,FIND(";",O12,1)-1),O12),P$7))</f>
        <v>--</v>
      </c>
      <c r="Q12" s="1872" t="str">
        <f>IF($D12="","--",_xll.ciqfunctions.udf.CIQ($D12, Q$7))</f>
        <v>--</v>
      </c>
      <c r="R12" s="1899" t="str">
        <f>IF($D12="","--",_xll.ciqfunctions.udf.CIQ($D12, R$7))</f>
        <v>--</v>
      </c>
      <c r="S12" s="1667" t="str">
        <f>IF($D12="","--",_xll.ciqfunctions.udf.CIQ($I12,S$7,$E12,$E12,SubjOutputCurrencyCode,"C"))</f>
        <v>--</v>
      </c>
      <c r="T12" s="1667" t="str">
        <f>IF($D12="","--",IF(_xll.ciqfunctions.udf.CIQ($D12,T$7,,SubjOutputCurrencyCode,"C")=0,"n/a",_xll.ciqfunctions.udf.CIQ($D12,T$7,,SubjOutputCurrencyCode,"C")))</f>
        <v>--</v>
      </c>
      <c r="U12" s="1667" t="str">
        <f>IF($D12="","--",IF(_xll.ciqfunctions.udf.CIQ($D12,U$7,,SubjOutputCurrencyCode,"C")=0,"n/a",_xll.ciqfunctions.udf.CIQ($D12,U$7,,SubjOutputCurrencyCode,"C")))</f>
        <v>--</v>
      </c>
      <c r="V12" s="1667" t="str">
        <f>IF($D12="","--",IF(_xll.ciqfunctions.udf.CIQ($D12,V$7,,SubjOutputCurrencyCode,"C")=0,"n/a",_xll.ciqfunctions.udf.CIQ($D12,V$7,,SubjOutputCurrencyCode,"C")))</f>
        <v>--</v>
      </c>
      <c r="W12" s="1667" t="str">
        <f>IF($D12="","--",IF(_xll.ciqfunctions.udf.CIQ($D12,W$7,,SubjOutputCurrencyCode,"C")=0,"n/a",_xll.ciqfunctions.udf.CIQ($D12,W$7,,SubjOutputCurrencyCode,"C")))</f>
        <v>--</v>
      </c>
      <c r="X12" s="1667" t="str">
        <f>IF($D12="","--",IF(_xll.ciqfunctions.udf.CIQ($D12,X$7,,SubjOutputCurrencyCode,"C")=0,"n/a",_xll.ciqfunctions.udf.CIQ($D12,X$7,,SubjOutputCurrencyCode,"C")))</f>
        <v>--</v>
      </c>
      <c r="Y12" s="1667" t="str">
        <f>IF($D12="","--",IF(_xll.ciqfunctions.udf.CIQ($D12,Y$7,,SubjOutputCurrencyCode,"C")=0,"n/a",_xll.ciqfunctions.udf.CIQ($D12,Y$7,,SubjOutputCurrencyCode,"C")))</f>
        <v>--</v>
      </c>
      <c r="Z12" s="1874" t="str">
        <f t="shared" si="0"/>
        <v>n/a</v>
      </c>
      <c r="AA12" s="1874" t="str">
        <f t="shared" si="1"/>
        <v>n/a</v>
      </c>
      <c r="AB12" s="1874" t="str">
        <f t="shared" ref="AB12:AB30" si="10">IFERROR(IF($S12,$S12/V12,"n/a"),"n/a")</f>
        <v>n/a</v>
      </c>
      <c r="AC12" s="1874" t="str">
        <f t="shared" ref="AC12:AC30" si="11">IFERROR(IF($S12,$S12/W12,"n/a"),"n/a")</f>
        <v>n/a</v>
      </c>
      <c r="AD12" s="1874" t="str">
        <f t="shared" ref="AD12:AD30" si="12">IFERROR(IF($S12,$S12/X12,"n/a"),"n/a")</f>
        <v>n/a</v>
      </c>
      <c r="AE12" s="1874" t="str">
        <f t="shared" ref="AE12:AE30" si="13">IFERROR(IF($S12,$S12/Y12,"n/a"),"n/a")</f>
        <v>n/a</v>
      </c>
      <c r="AF12" s="1874" t="str">
        <f t="shared" si="2"/>
        <v>n/a</v>
      </c>
      <c r="AG12" s="1874" t="str">
        <f t="shared" si="3"/>
        <v>n/a</v>
      </c>
      <c r="AH12" s="1874" t="str">
        <f t="shared" si="4"/>
        <v>n/a</v>
      </c>
      <c r="AI12" s="1874" t="str">
        <f t="shared" si="5"/>
        <v>n/a</v>
      </c>
      <c r="AJ12" s="1614" t="str">
        <f>IF($D12="","--",IF(_xll.ciqfunctions.udf.CIQ($D12,AJ$7)=0,"n/a",_xll.ciqfunctions.udf.CIQ($D12,AJ$7)/100))</f>
        <v>--</v>
      </c>
      <c r="AK12" s="1614" t="str">
        <f>IF($D12="","--",IF(_xll.ciqfunctions.udf.CIQ($D12,AK$7)=0,"n/a",_xll.ciqfunctions.udf.CIQ($D12,AK$7)/100))</f>
        <v>--</v>
      </c>
      <c r="AL12" s="1614" t="str">
        <f>IF($D12="","--",IF(_xll.ciqfunctions.udf.CIQ($D12,AL$7)=0,"n/a",_xll.ciqfunctions.udf.CIQ($D12,AL$7)/100))</f>
        <v>--</v>
      </c>
      <c r="AM12" s="1667" t="str">
        <f>IF($D12="","--",IF(_xll.ciqfunctions.udf.CIQ($D12,AM$7)=0,"n/a",_xll.ciqfunctions.udf.CIQ($D12,AM$7)))</f>
        <v>--</v>
      </c>
      <c r="AN12" s="1667" t="str">
        <f t="shared" ref="AN12:AN30" si="14">IF($D12="","--",IF(BE12*BA12=0,"n/a",BE12*BA12))</f>
        <v>--</v>
      </c>
      <c r="AO12" s="1667" t="str">
        <f t="shared" ref="AO12:AO30" si="15">IF($D12="","--",IF(BF12*BB12=0,"n/a",BF12*BB12))</f>
        <v>--</v>
      </c>
      <c r="AP12" s="1667" t="str">
        <f>IF($D12="","--",_xll.ciqfunctions.udf.CIQ($I12,AP$7,IQ_LTM,$E12,ReportType,DataMode,SubjOutputCurrencyCode,"C"))</f>
        <v>--</v>
      </c>
      <c r="AQ12" s="1667" t="str">
        <f t="shared" ref="AQ12:AQ30" si="16">IFERROR(AM12+AP12,"n/a")</f>
        <v>n/a</v>
      </c>
      <c r="AR12" s="1667" t="str">
        <f t="shared" ref="AR12:AR30" si="17">IFERROR(AN12+AP12,"n/a")</f>
        <v>n/a</v>
      </c>
      <c r="AS12" s="1667" t="str">
        <f t="shared" ref="AS12:AS30" si="18">IFERROR(AO12+AP12,"n/a")</f>
        <v>n/a</v>
      </c>
      <c r="AT12" s="1614" t="str">
        <f t="shared" si="6"/>
        <v>n/a</v>
      </c>
      <c r="AU12" s="1614" t="str">
        <f t="shared" si="7"/>
        <v>n/a</v>
      </c>
      <c r="AV12" s="1614" t="str">
        <f t="shared" si="8"/>
        <v>n/a</v>
      </c>
      <c r="AW12" s="1883"/>
      <c r="AX12" s="1667" t="str">
        <f>IF($D12="","--",_xll.ciqfunctions.udf.CIQ($D12,AX$7))</f>
        <v>--</v>
      </c>
      <c r="AY12" s="1667">
        <f t="shared" ref="AY12:AY30" si="19">IFERROR(AM12/AZ12,0)</f>
        <v>0</v>
      </c>
      <c r="AZ12" s="1871" t="str">
        <f>IF($D12="","--",_xll.ciqfunctions.udf.CIQ($D12,AZ$7))</f>
        <v>--</v>
      </c>
      <c r="BA12" s="1871" t="str">
        <f>IF($D12="","--",_xll.ciqfunctions.udf.CIQ($D12,BA$7))</f>
        <v>--</v>
      </c>
      <c r="BB12" s="1871" t="str">
        <f>IF($D12="","--",_xll.ciqfunctions.udf.CIQ($D12,BB$7))</f>
        <v>--</v>
      </c>
      <c r="BC12" s="1894" t="str">
        <f t="shared" ref="BC12:BC30" si="20">IFERROR(E12-5,"--")</f>
        <v>--</v>
      </c>
      <c r="BD12" s="1894" t="str">
        <f t="shared" ref="BD12:BD30" si="21">IFERROR(E12-30,"--")</f>
        <v>--</v>
      </c>
      <c r="BE12" s="1871" t="str">
        <f>IF($D12="","--",_xll.ciqfunctions.udf.CIQ(I12,BE$7,BC12))</f>
        <v>--</v>
      </c>
      <c r="BF12" s="1871" t="str">
        <f>IF($D12="","--",_xll.ciqfunctions.udf.CIQ(I12,BF$7,BD12))</f>
        <v>--</v>
      </c>
      <c r="BG12" s="1871"/>
      <c r="BH12" s="1509"/>
    </row>
    <row r="13" spans="1:74" s="1853" customFormat="1" ht="13.9">
      <c r="A13" s="1552" t="str">
        <f t="shared" si="9"/>
        <v>n</v>
      </c>
      <c r="B13" s="1509"/>
      <c r="C13" s="1853">
        <v>3</v>
      </c>
      <c r="D13" s="2243"/>
      <c r="E13" s="1894" t="str">
        <f>IF($D13="","--",DATEVALUE(_xll.ciqfunctions.udf.CIQ($D13,E$7)))</f>
        <v>--</v>
      </c>
      <c r="F13" s="1896" t="str">
        <f>IF($D13="","--",_xll.ciqfunctions.udf.CIQ($D13, F$7))</f>
        <v>--</v>
      </c>
      <c r="G13" s="1895" t="str">
        <f>IF($D13="","--",_xll.ciqfunctions.udf.CIQ($D13, G$7))</f>
        <v>--</v>
      </c>
      <c r="H13" s="1911" t="str">
        <f>IF($D13="","--",_xll.ciqfunctions.udf.CIQ($D13, H$7))</f>
        <v>--</v>
      </c>
      <c r="I13" s="1853" t="str">
        <f>IF($D13="","--",_xll.ciqfunctions.udf.CIQ($D13, I$7))</f>
        <v>--</v>
      </c>
      <c r="J13" s="2068" t="str">
        <f>IF($E13="--","--",_xll.ciqfunctions.udf.CIQ($I13,J$7))</f>
        <v>--</v>
      </c>
      <c r="K13" s="1872" t="str">
        <f>IF($D13="","--",_xll.ciqfunctions.udf.CIQ($D13, K$7))</f>
        <v>--</v>
      </c>
      <c r="L13" s="1872" t="str">
        <f>IF($D13="","--",_xll.ciqfunctions.udf.CIQ($D13, L$7))</f>
        <v>--</v>
      </c>
      <c r="M13" s="1903" t="str">
        <f>IF($D13="","--",_xll.ciqfunctions.udf.CIQ($D13, M$7)/100)</f>
        <v>--</v>
      </c>
      <c r="N13" s="1915" t="str">
        <f>IF($D13="","--",_xll.ciqfunctions.udf.CIQ($D13, N$7))</f>
        <v>--</v>
      </c>
      <c r="O13" s="1853" t="str">
        <f>IF($D13="","--",_xll.ciqfunctions.udf.CIQ($D13, O$7))</f>
        <v>--</v>
      </c>
      <c r="P13" s="2068" t="str">
        <f>IF($E13="--","--",_xll.ciqfunctions.udf.CIQ(IFERROR(LEFT(O13,FIND(";",O13,1)-1),O13),P$7))</f>
        <v>--</v>
      </c>
      <c r="Q13" s="1872" t="str">
        <f>IF($D13="","--",_xll.ciqfunctions.udf.CIQ($D13, Q$7))</f>
        <v>--</v>
      </c>
      <c r="R13" s="1899" t="str">
        <f>IF($D13="","--",_xll.ciqfunctions.udf.CIQ($D13, R$7))</f>
        <v>--</v>
      </c>
      <c r="S13" s="1667" t="str">
        <f>IF($D13="","--",_xll.ciqfunctions.udf.CIQ($I13,S$7,$E13,$E13,SubjOutputCurrencyCode,"C"))</f>
        <v>--</v>
      </c>
      <c r="T13" s="1667" t="str">
        <f>IF($D13="","--",IF(_xll.ciqfunctions.udf.CIQ($D13,T$7,,SubjOutputCurrencyCode,"C")=0,"n/a",_xll.ciqfunctions.udf.CIQ($D13,T$7,,SubjOutputCurrencyCode,"C")))</f>
        <v>--</v>
      </c>
      <c r="U13" s="1667" t="str">
        <f>IF($D13="","--",IF(_xll.ciqfunctions.udf.CIQ($D13,U$7,,SubjOutputCurrencyCode,"C")=0,"n/a",_xll.ciqfunctions.udf.CIQ($D13,U$7,,SubjOutputCurrencyCode,"C")))</f>
        <v>--</v>
      </c>
      <c r="V13" s="1667" t="str">
        <f>IF($D13="","--",IF(_xll.ciqfunctions.udf.CIQ($D13,V$7,,SubjOutputCurrencyCode,"C")=0,"n/a",_xll.ciqfunctions.udf.CIQ($D13,V$7,,SubjOutputCurrencyCode,"C")))</f>
        <v>--</v>
      </c>
      <c r="W13" s="1667" t="str">
        <f>IF($D13="","--",IF(_xll.ciqfunctions.udf.CIQ($D13,W$7,,SubjOutputCurrencyCode,"C")=0,"n/a",_xll.ciqfunctions.udf.CIQ($D13,W$7,,SubjOutputCurrencyCode,"C")))</f>
        <v>--</v>
      </c>
      <c r="X13" s="1667" t="str">
        <f>IF($D13="","--",IF(_xll.ciqfunctions.udf.CIQ($D13,X$7,,SubjOutputCurrencyCode,"C")=0,"n/a",_xll.ciqfunctions.udf.CIQ($D13,X$7,,SubjOutputCurrencyCode,"C")))</f>
        <v>--</v>
      </c>
      <c r="Y13" s="1667" t="str">
        <f>IF($D13="","--",IF(_xll.ciqfunctions.udf.CIQ($D13,Y$7,,SubjOutputCurrencyCode,"C")=0,"n/a",_xll.ciqfunctions.udf.CIQ($D13,Y$7,,SubjOutputCurrencyCode,"C")))</f>
        <v>--</v>
      </c>
      <c r="Z13" s="1874" t="str">
        <f t="shared" si="0"/>
        <v>n/a</v>
      </c>
      <c r="AA13" s="1874" t="str">
        <f t="shared" si="1"/>
        <v>n/a</v>
      </c>
      <c r="AB13" s="1874" t="str">
        <f t="shared" si="10"/>
        <v>n/a</v>
      </c>
      <c r="AC13" s="1874" t="str">
        <f t="shared" si="11"/>
        <v>n/a</v>
      </c>
      <c r="AD13" s="1874" t="str">
        <f t="shared" si="12"/>
        <v>n/a</v>
      </c>
      <c r="AE13" s="1874" t="str">
        <f t="shared" si="13"/>
        <v>n/a</v>
      </c>
      <c r="AF13" s="1874" t="str">
        <f t="shared" si="2"/>
        <v>n/a</v>
      </c>
      <c r="AG13" s="1874" t="str">
        <f t="shared" si="3"/>
        <v>n/a</v>
      </c>
      <c r="AH13" s="1874" t="str">
        <f t="shared" si="4"/>
        <v>n/a</v>
      </c>
      <c r="AI13" s="1874" t="str">
        <f t="shared" si="5"/>
        <v>n/a</v>
      </c>
      <c r="AJ13" s="1614" t="str">
        <f>IF($D13="","--",IF(_xll.ciqfunctions.udf.CIQ($D13,AJ$7)=0,"n/a",_xll.ciqfunctions.udf.CIQ($D13,AJ$7)/100))</f>
        <v>--</v>
      </c>
      <c r="AK13" s="1614" t="str">
        <f>IF($D13="","--",IF(_xll.ciqfunctions.udf.CIQ($D13,AK$7)=0,"n/a",_xll.ciqfunctions.udf.CIQ($D13,AK$7)/100))</f>
        <v>--</v>
      </c>
      <c r="AL13" s="1614" t="str">
        <f>IF($D13="","--",IF(_xll.ciqfunctions.udf.CIQ($D13,AL$7)=0,"n/a",_xll.ciqfunctions.udf.CIQ($D13,AL$7)/100))</f>
        <v>--</v>
      </c>
      <c r="AM13" s="1667" t="str">
        <f>IF($D13="","--",IF(_xll.ciqfunctions.udf.CIQ($D13,AM$7)=0,"n/a",_xll.ciqfunctions.udf.CIQ($D13,AM$7)))</f>
        <v>--</v>
      </c>
      <c r="AN13" s="1667" t="str">
        <f t="shared" si="14"/>
        <v>--</v>
      </c>
      <c r="AO13" s="1667" t="str">
        <f t="shared" si="15"/>
        <v>--</v>
      </c>
      <c r="AP13" s="1667" t="str">
        <f>IF($D13="","--",_xll.ciqfunctions.udf.CIQ($I13,AP$7,IQ_LTM,$E13,ReportType,DataMode,SubjOutputCurrencyCode,"C"))</f>
        <v>--</v>
      </c>
      <c r="AQ13" s="1667" t="str">
        <f t="shared" si="16"/>
        <v>n/a</v>
      </c>
      <c r="AR13" s="1667" t="str">
        <f t="shared" si="17"/>
        <v>n/a</v>
      </c>
      <c r="AS13" s="1667" t="str">
        <f t="shared" si="18"/>
        <v>n/a</v>
      </c>
      <c r="AT13" s="1614" t="str">
        <f t="shared" si="6"/>
        <v>n/a</v>
      </c>
      <c r="AU13" s="1614" t="str">
        <f t="shared" si="7"/>
        <v>n/a</v>
      </c>
      <c r="AV13" s="1614" t="str">
        <f t="shared" si="8"/>
        <v>n/a</v>
      </c>
      <c r="AW13" s="1883"/>
      <c r="AX13" s="1667" t="str">
        <f>IF($D13="","--",_xll.ciqfunctions.udf.CIQ($D13,AX$7))</f>
        <v>--</v>
      </c>
      <c r="AY13" s="1667">
        <f t="shared" si="19"/>
        <v>0</v>
      </c>
      <c r="AZ13" s="1871" t="str">
        <f>IF($D13="","--",_xll.ciqfunctions.udf.CIQ($D13,AZ$7))</f>
        <v>--</v>
      </c>
      <c r="BA13" s="1871" t="str">
        <f>IF($D13="","--",_xll.ciqfunctions.udf.CIQ($D13,BA$7))</f>
        <v>--</v>
      </c>
      <c r="BB13" s="1871" t="str">
        <f>IF($D13="","--",_xll.ciqfunctions.udf.CIQ($D13,BB$7))</f>
        <v>--</v>
      </c>
      <c r="BC13" s="1894" t="str">
        <f t="shared" si="20"/>
        <v>--</v>
      </c>
      <c r="BD13" s="1894" t="str">
        <f t="shared" si="21"/>
        <v>--</v>
      </c>
      <c r="BE13" s="1871" t="str">
        <f>IF($D13="","--",_xll.ciqfunctions.udf.CIQ(I13,BE$7,BC13))</f>
        <v>--</v>
      </c>
      <c r="BF13" s="1871" t="str">
        <f>IF($D13="","--",_xll.ciqfunctions.udf.CIQ(I13,BF$7,BD13))</f>
        <v>--</v>
      </c>
      <c r="BG13" s="1871"/>
      <c r="BH13" s="1509"/>
    </row>
    <row r="14" spans="1:74" s="1853" customFormat="1" ht="13.9">
      <c r="A14" s="1552" t="str">
        <f t="shared" si="9"/>
        <v>n</v>
      </c>
      <c r="B14" s="1509"/>
      <c r="C14" s="1853">
        <v>4</v>
      </c>
      <c r="D14" s="2243"/>
      <c r="E14" s="1894" t="str">
        <f>IF($D14="","--",DATEVALUE(_xll.ciqfunctions.udf.CIQ($D14,E$7)))</f>
        <v>--</v>
      </c>
      <c r="F14" s="1896" t="str">
        <f>IF($D14="","--",_xll.ciqfunctions.udf.CIQ($D14, F$7))</f>
        <v>--</v>
      </c>
      <c r="G14" s="1895" t="str">
        <f>IF($D14="","--",_xll.ciqfunctions.udf.CIQ($D14, G$7))</f>
        <v>--</v>
      </c>
      <c r="H14" s="1911" t="str">
        <f>IF($D14="","--",_xll.ciqfunctions.udf.CIQ($D14, H$7))</f>
        <v>--</v>
      </c>
      <c r="I14" s="1853" t="str">
        <f>IF($D14="","--",_xll.ciqfunctions.udf.CIQ($D14, I$7))</f>
        <v>--</v>
      </c>
      <c r="J14" s="2068" t="str">
        <f>IF($E14="--","--",_xll.ciqfunctions.udf.CIQ($I14,J$7))</f>
        <v>--</v>
      </c>
      <c r="K14" s="1872" t="str">
        <f>IF($D14="","--",_xll.ciqfunctions.udf.CIQ($D14, K$7))</f>
        <v>--</v>
      </c>
      <c r="L14" s="1872" t="str">
        <f>IF($D14="","--",_xll.ciqfunctions.udf.CIQ($D14, L$7))</f>
        <v>--</v>
      </c>
      <c r="M14" s="1903" t="str">
        <f>IF($D14="","--",_xll.ciqfunctions.udf.CIQ($D14, M$7)/100)</f>
        <v>--</v>
      </c>
      <c r="N14" s="1915" t="str">
        <f>IF($D14="","--",_xll.ciqfunctions.udf.CIQ($D14, N$7))</f>
        <v>--</v>
      </c>
      <c r="O14" s="1853" t="str">
        <f>IF($D14="","--",_xll.ciqfunctions.udf.CIQ($D14, O$7))</f>
        <v>--</v>
      </c>
      <c r="P14" s="2068" t="str">
        <f>IF($E14="--","--",_xll.ciqfunctions.udf.CIQ(IFERROR(LEFT(O14,FIND(";",O14,1)-1),O14),P$7))</f>
        <v>--</v>
      </c>
      <c r="Q14" s="1872" t="str">
        <f>IF($D14="","--",_xll.ciqfunctions.udf.CIQ($D14, Q$7))</f>
        <v>--</v>
      </c>
      <c r="R14" s="1899" t="str">
        <f>IF($D14="","--",_xll.ciqfunctions.udf.CIQ($D14, R$7))</f>
        <v>--</v>
      </c>
      <c r="S14" s="1667" t="str">
        <f>IF($D14="","--",_xll.ciqfunctions.udf.CIQ($I14,S$7,$E14,$E14,SubjOutputCurrencyCode,"C"))</f>
        <v>--</v>
      </c>
      <c r="T14" s="1667" t="str">
        <f>IF($D14="","--",IF(_xll.ciqfunctions.udf.CIQ($D14,T$7,,SubjOutputCurrencyCode,"C")=0,"n/a",_xll.ciqfunctions.udf.CIQ($D14,T$7,,SubjOutputCurrencyCode,"C")))</f>
        <v>--</v>
      </c>
      <c r="U14" s="1667" t="str">
        <f>IF($D14="","--",IF(_xll.ciqfunctions.udf.CIQ($D14,U$7,,SubjOutputCurrencyCode,"C")=0,"n/a",_xll.ciqfunctions.udf.CIQ($D14,U$7,,SubjOutputCurrencyCode,"C")))</f>
        <v>--</v>
      </c>
      <c r="V14" s="1667" t="str">
        <f>IF($D14="","--",IF(_xll.ciqfunctions.udf.CIQ($D14,V$7,,SubjOutputCurrencyCode,"C")=0,"n/a",_xll.ciqfunctions.udf.CIQ($D14,V$7,,SubjOutputCurrencyCode,"C")))</f>
        <v>--</v>
      </c>
      <c r="W14" s="1667" t="str">
        <f>IF($D14="","--",IF(_xll.ciqfunctions.udf.CIQ($D14,W$7,,SubjOutputCurrencyCode,"C")=0,"n/a",_xll.ciqfunctions.udf.CIQ($D14,W$7,,SubjOutputCurrencyCode,"C")))</f>
        <v>--</v>
      </c>
      <c r="X14" s="1667" t="str">
        <f>IF($D14="","--",IF(_xll.ciqfunctions.udf.CIQ($D14,X$7,,SubjOutputCurrencyCode,"C")=0,"n/a",_xll.ciqfunctions.udf.CIQ($D14,X$7,,SubjOutputCurrencyCode,"C")))</f>
        <v>--</v>
      </c>
      <c r="Y14" s="1667" t="str">
        <f>IF($D14="","--",IF(_xll.ciqfunctions.udf.CIQ($D14,Y$7,,SubjOutputCurrencyCode,"C")=0,"n/a",_xll.ciqfunctions.udf.CIQ($D14,Y$7,,SubjOutputCurrencyCode,"C")))</f>
        <v>--</v>
      </c>
      <c r="Z14" s="1874" t="str">
        <f t="shared" si="0"/>
        <v>n/a</v>
      </c>
      <c r="AA14" s="1874" t="str">
        <f t="shared" si="1"/>
        <v>n/a</v>
      </c>
      <c r="AB14" s="1874" t="str">
        <f t="shared" si="10"/>
        <v>n/a</v>
      </c>
      <c r="AC14" s="1874" t="str">
        <f t="shared" si="11"/>
        <v>n/a</v>
      </c>
      <c r="AD14" s="1874" t="str">
        <f t="shared" si="12"/>
        <v>n/a</v>
      </c>
      <c r="AE14" s="1874" t="str">
        <f t="shared" si="13"/>
        <v>n/a</v>
      </c>
      <c r="AF14" s="1874" t="str">
        <f t="shared" si="2"/>
        <v>n/a</v>
      </c>
      <c r="AG14" s="1874" t="str">
        <f t="shared" si="3"/>
        <v>n/a</v>
      </c>
      <c r="AH14" s="1874" t="str">
        <f t="shared" si="4"/>
        <v>n/a</v>
      </c>
      <c r="AI14" s="1874" t="str">
        <f t="shared" si="5"/>
        <v>n/a</v>
      </c>
      <c r="AJ14" s="1614" t="str">
        <f>IF($D14="","--",IF(_xll.ciqfunctions.udf.CIQ($D14,AJ$7)=0,"n/a",_xll.ciqfunctions.udf.CIQ($D14,AJ$7)/100))</f>
        <v>--</v>
      </c>
      <c r="AK14" s="1614" t="str">
        <f>IF($D14="","--",IF(_xll.ciqfunctions.udf.CIQ($D14,AK$7)=0,"n/a",_xll.ciqfunctions.udf.CIQ($D14,AK$7)/100))</f>
        <v>--</v>
      </c>
      <c r="AL14" s="1614" t="str">
        <f>IF($D14="","--",IF(_xll.ciqfunctions.udf.CIQ($D14,AL$7)=0,"n/a",_xll.ciqfunctions.udf.CIQ($D14,AL$7)/100))</f>
        <v>--</v>
      </c>
      <c r="AM14" s="1667" t="str">
        <f>IF($D14="","--",IF(_xll.ciqfunctions.udf.CIQ($D14,AM$7)=0,"n/a",_xll.ciqfunctions.udf.CIQ($D14,AM$7)))</f>
        <v>--</v>
      </c>
      <c r="AN14" s="1667" t="str">
        <f t="shared" si="14"/>
        <v>--</v>
      </c>
      <c r="AO14" s="1667" t="str">
        <f t="shared" si="15"/>
        <v>--</v>
      </c>
      <c r="AP14" s="1667" t="str">
        <f>IF($D14="","--",_xll.ciqfunctions.udf.CIQ($I14,AP$7,IQ_LTM,$E14,ReportType,DataMode,SubjOutputCurrencyCode,"C"))</f>
        <v>--</v>
      </c>
      <c r="AQ14" s="1667" t="str">
        <f t="shared" si="16"/>
        <v>n/a</v>
      </c>
      <c r="AR14" s="1667" t="str">
        <f t="shared" si="17"/>
        <v>n/a</v>
      </c>
      <c r="AS14" s="1667" t="str">
        <f t="shared" si="18"/>
        <v>n/a</v>
      </c>
      <c r="AT14" s="1614" t="str">
        <f t="shared" si="6"/>
        <v>n/a</v>
      </c>
      <c r="AU14" s="1614" t="str">
        <f t="shared" si="7"/>
        <v>n/a</v>
      </c>
      <c r="AV14" s="1614" t="str">
        <f t="shared" si="8"/>
        <v>n/a</v>
      </c>
      <c r="AW14" s="1883"/>
      <c r="AX14" s="1667" t="str">
        <f>IF($D14="","--",_xll.ciqfunctions.udf.CIQ($D14,AX$7))</f>
        <v>--</v>
      </c>
      <c r="AY14" s="1667">
        <f t="shared" si="19"/>
        <v>0</v>
      </c>
      <c r="AZ14" s="1871" t="str">
        <f>IF($D14="","--",_xll.ciqfunctions.udf.CIQ($D14,AZ$7))</f>
        <v>--</v>
      </c>
      <c r="BA14" s="1871" t="str">
        <f>IF($D14="","--",_xll.ciqfunctions.udf.CIQ($D14,BA$7))</f>
        <v>--</v>
      </c>
      <c r="BB14" s="1871" t="str">
        <f>IF($D14="","--",_xll.ciqfunctions.udf.CIQ($D14,BB$7))</f>
        <v>--</v>
      </c>
      <c r="BC14" s="1894" t="str">
        <f t="shared" si="20"/>
        <v>--</v>
      </c>
      <c r="BD14" s="1894" t="str">
        <f t="shared" si="21"/>
        <v>--</v>
      </c>
      <c r="BE14" s="1871" t="str">
        <f>IF($D14="","--",_xll.ciqfunctions.udf.CIQ(I14,BE$7,BC14))</f>
        <v>--</v>
      </c>
      <c r="BF14" s="1871" t="str">
        <f>IF($D14="","--",_xll.ciqfunctions.udf.CIQ(I14,BF$7,BD14))</f>
        <v>--</v>
      </c>
      <c r="BG14" s="1871"/>
      <c r="BH14" s="1509"/>
    </row>
    <row r="15" spans="1:74" s="1853" customFormat="1" ht="13.9">
      <c r="A15" s="1552" t="str">
        <f t="shared" si="9"/>
        <v>n</v>
      </c>
      <c r="B15" s="1509"/>
      <c r="C15" s="1853">
        <v>5</v>
      </c>
      <c r="D15" s="2243"/>
      <c r="E15" s="1894" t="str">
        <f>IF($D15="","--",DATEVALUE(_xll.ciqfunctions.udf.CIQ($D15,E$7)))</f>
        <v>--</v>
      </c>
      <c r="F15" s="1896" t="str">
        <f>IF($D15="","--",_xll.ciqfunctions.udf.CIQ($D15, F$7))</f>
        <v>--</v>
      </c>
      <c r="G15" s="1895" t="str">
        <f>IF($D15="","--",_xll.ciqfunctions.udf.CIQ($D15, G$7))</f>
        <v>--</v>
      </c>
      <c r="H15" s="1911" t="str">
        <f>IF($D15="","--",_xll.ciqfunctions.udf.CIQ($D15, H$7))</f>
        <v>--</v>
      </c>
      <c r="I15" s="1853" t="str">
        <f>IF($D15="","--",_xll.ciqfunctions.udf.CIQ($D15, I$7))</f>
        <v>--</v>
      </c>
      <c r="J15" s="2068" t="str">
        <f>IF($E15="--","--",_xll.ciqfunctions.udf.CIQ($I15,J$7))</f>
        <v>--</v>
      </c>
      <c r="K15" s="1872" t="str">
        <f>IF($D15="","--",_xll.ciqfunctions.udf.CIQ($D15, K$7))</f>
        <v>--</v>
      </c>
      <c r="L15" s="1872" t="str">
        <f>IF($D15="","--",_xll.ciqfunctions.udf.CIQ($D15, L$7))</f>
        <v>--</v>
      </c>
      <c r="M15" s="1903" t="str">
        <f>IF($D15="","--",_xll.ciqfunctions.udf.CIQ($D15, M$7)/100)</f>
        <v>--</v>
      </c>
      <c r="N15" s="1915" t="str">
        <f>IF($D15="","--",_xll.ciqfunctions.udf.CIQ($D15, N$7))</f>
        <v>--</v>
      </c>
      <c r="O15" s="1853" t="str">
        <f>IF($D15="","--",_xll.ciqfunctions.udf.CIQ($D15, O$7))</f>
        <v>--</v>
      </c>
      <c r="P15" s="2068" t="str">
        <f>IF($E15="--","--",_xll.ciqfunctions.udf.CIQ(IFERROR(LEFT(O15,FIND(";",O15,1)-1),O15),P$7))</f>
        <v>--</v>
      </c>
      <c r="Q15" s="1872" t="str">
        <f>IF($D15="","--",_xll.ciqfunctions.udf.CIQ($D15, Q$7))</f>
        <v>--</v>
      </c>
      <c r="R15" s="1899" t="str">
        <f>IF($D15="","--",_xll.ciqfunctions.udf.CIQ($D15, R$7))</f>
        <v>--</v>
      </c>
      <c r="S15" s="1667" t="str">
        <f>IF($D15="","--",_xll.ciqfunctions.udf.CIQ($I15,S$7,$E15,$E15,SubjOutputCurrencyCode,"C"))</f>
        <v>--</v>
      </c>
      <c r="T15" s="1667" t="str">
        <f>IF($D15="","--",IF(_xll.ciqfunctions.udf.CIQ($D15,T$7,,SubjOutputCurrencyCode,"C")=0,"n/a",_xll.ciqfunctions.udf.CIQ($D15,T$7,,SubjOutputCurrencyCode,"C")))</f>
        <v>--</v>
      </c>
      <c r="U15" s="1667" t="str">
        <f>IF($D15="","--",IF(_xll.ciqfunctions.udf.CIQ($D15,U$7,,SubjOutputCurrencyCode,"C")=0,"n/a",_xll.ciqfunctions.udf.CIQ($D15,U$7,,SubjOutputCurrencyCode,"C")))</f>
        <v>--</v>
      </c>
      <c r="V15" s="1667" t="str">
        <f>IF($D15="","--",IF(_xll.ciqfunctions.udf.CIQ($D15,V$7,,SubjOutputCurrencyCode,"C")=0,"n/a",_xll.ciqfunctions.udf.CIQ($D15,V$7,,SubjOutputCurrencyCode,"C")))</f>
        <v>--</v>
      </c>
      <c r="W15" s="1667" t="str">
        <f>IF($D15="","--",IF(_xll.ciqfunctions.udf.CIQ($D15,W$7,,SubjOutputCurrencyCode,"C")=0,"n/a",_xll.ciqfunctions.udf.CIQ($D15,W$7,,SubjOutputCurrencyCode,"C")))</f>
        <v>--</v>
      </c>
      <c r="X15" s="1667" t="str">
        <f>IF($D15="","--",IF(_xll.ciqfunctions.udf.CIQ($D15,X$7,,SubjOutputCurrencyCode,"C")=0,"n/a",_xll.ciqfunctions.udf.CIQ($D15,X$7,,SubjOutputCurrencyCode,"C")))</f>
        <v>--</v>
      </c>
      <c r="Y15" s="1667" t="str">
        <f>IF($D15="","--",IF(_xll.ciqfunctions.udf.CIQ($D15,Y$7,,SubjOutputCurrencyCode,"C")=0,"n/a",_xll.ciqfunctions.udf.CIQ($D15,Y$7,,SubjOutputCurrencyCode,"C")))</f>
        <v>--</v>
      </c>
      <c r="Z15" s="1874" t="str">
        <f t="shared" si="0"/>
        <v>n/a</v>
      </c>
      <c r="AA15" s="1874" t="str">
        <f t="shared" si="1"/>
        <v>n/a</v>
      </c>
      <c r="AB15" s="1874" t="str">
        <f t="shared" si="10"/>
        <v>n/a</v>
      </c>
      <c r="AC15" s="1874" t="str">
        <f t="shared" si="11"/>
        <v>n/a</v>
      </c>
      <c r="AD15" s="1874" t="str">
        <f t="shared" si="12"/>
        <v>n/a</v>
      </c>
      <c r="AE15" s="1874" t="str">
        <f t="shared" si="13"/>
        <v>n/a</v>
      </c>
      <c r="AF15" s="1874" t="str">
        <f t="shared" si="2"/>
        <v>n/a</v>
      </c>
      <c r="AG15" s="1874" t="str">
        <f t="shared" si="3"/>
        <v>n/a</v>
      </c>
      <c r="AH15" s="1874" t="str">
        <f t="shared" si="4"/>
        <v>n/a</v>
      </c>
      <c r="AI15" s="1874" t="str">
        <f t="shared" si="5"/>
        <v>n/a</v>
      </c>
      <c r="AJ15" s="1614" t="str">
        <f>IF($D15="","--",IF(_xll.ciqfunctions.udf.CIQ($D15,AJ$7)=0,"n/a",_xll.ciqfunctions.udf.CIQ($D15,AJ$7)/100))</f>
        <v>--</v>
      </c>
      <c r="AK15" s="1614" t="str">
        <f>IF($D15="","--",IF(_xll.ciqfunctions.udf.CIQ($D15,AK$7)=0,"n/a",_xll.ciqfunctions.udf.CIQ($D15,AK$7)/100))</f>
        <v>--</v>
      </c>
      <c r="AL15" s="1614" t="str">
        <f>IF($D15="","--",IF(_xll.ciqfunctions.udf.CIQ($D15,AL$7)=0,"n/a",_xll.ciqfunctions.udf.CIQ($D15,AL$7)/100))</f>
        <v>--</v>
      </c>
      <c r="AM15" s="1667" t="str">
        <f>IF($D15="","--",IF(_xll.ciqfunctions.udf.CIQ($D15,AM$7)=0,"n/a",_xll.ciqfunctions.udf.CIQ($D15,AM$7)))</f>
        <v>--</v>
      </c>
      <c r="AN15" s="1667" t="str">
        <f t="shared" si="14"/>
        <v>--</v>
      </c>
      <c r="AO15" s="1667" t="str">
        <f t="shared" si="15"/>
        <v>--</v>
      </c>
      <c r="AP15" s="1667" t="str">
        <f>IF($D15="","--",_xll.ciqfunctions.udf.CIQ($I15,AP$7,IQ_LTM,$E15,ReportType,DataMode,SubjOutputCurrencyCode,"C"))</f>
        <v>--</v>
      </c>
      <c r="AQ15" s="1667" t="str">
        <f t="shared" si="16"/>
        <v>n/a</v>
      </c>
      <c r="AR15" s="1667" t="str">
        <f t="shared" si="17"/>
        <v>n/a</v>
      </c>
      <c r="AS15" s="1667" t="str">
        <f t="shared" si="18"/>
        <v>n/a</v>
      </c>
      <c r="AT15" s="1614" t="str">
        <f t="shared" si="6"/>
        <v>n/a</v>
      </c>
      <c r="AU15" s="1614" t="str">
        <f t="shared" si="7"/>
        <v>n/a</v>
      </c>
      <c r="AV15" s="1614" t="str">
        <f t="shared" si="8"/>
        <v>n/a</v>
      </c>
      <c r="AW15" s="1883"/>
      <c r="AX15" s="1667" t="str">
        <f>IF($D15="","--",_xll.ciqfunctions.udf.CIQ($D15,AX$7))</f>
        <v>--</v>
      </c>
      <c r="AY15" s="1667">
        <f t="shared" si="19"/>
        <v>0</v>
      </c>
      <c r="AZ15" s="1871" t="str">
        <f>IF($D15="","--",_xll.ciqfunctions.udf.CIQ($D15,AZ$7))</f>
        <v>--</v>
      </c>
      <c r="BA15" s="1871" t="str">
        <f>IF($D15="","--",_xll.ciqfunctions.udf.CIQ($D15,BA$7))</f>
        <v>--</v>
      </c>
      <c r="BB15" s="1871" t="str">
        <f>IF($D15="","--",_xll.ciqfunctions.udf.CIQ($D15,BB$7))</f>
        <v>--</v>
      </c>
      <c r="BC15" s="1894" t="str">
        <f t="shared" si="20"/>
        <v>--</v>
      </c>
      <c r="BD15" s="1894" t="str">
        <f t="shared" si="21"/>
        <v>--</v>
      </c>
      <c r="BE15" s="1871" t="str">
        <f>IF($D15="","--",_xll.ciqfunctions.udf.CIQ(I15,BE$7,BC15))</f>
        <v>--</v>
      </c>
      <c r="BF15" s="1871" t="str">
        <f>IF($D15="","--",_xll.ciqfunctions.udf.CIQ(I15,BF$7,BD15))</f>
        <v>--</v>
      </c>
      <c r="BG15" s="1871"/>
      <c r="BH15" s="1509"/>
    </row>
    <row r="16" spans="1:74" s="1853" customFormat="1" ht="13.9">
      <c r="A16" s="1552" t="str">
        <f t="shared" si="9"/>
        <v>n</v>
      </c>
      <c r="B16" s="1509"/>
      <c r="C16" s="1853">
        <v>6</v>
      </c>
      <c r="D16" s="2243"/>
      <c r="E16" s="1894" t="str">
        <f>IF($D16="","--",DATEVALUE(_xll.ciqfunctions.udf.CIQ($D16,E$7)))</f>
        <v>--</v>
      </c>
      <c r="F16" s="1896" t="str">
        <f>IF($D16="","--",_xll.ciqfunctions.udf.CIQ($D16, F$7))</f>
        <v>--</v>
      </c>
      <c r="G16" s="1895" t="str">
        <f>IF($D16="","--",_xll.ciqfunctions.udf.CIQ($D16, G$7))</f>
        <v>--</v>
      </c>
      <c r="H16" s="1911" t="str">
        <f>IF($D16="","--",_xll.ciqfunctions.udf.CIQ($D16, H$7))</f>
        <v>--</v>
      </c>
      <c r="I16" s="1853" t="str">
        <f>IF($D16="","--",_xll.ciqfunctions.udf.CIQ($D16, I$7))</f>
        <v>--</v>
      </c>
      <c r="J16" s="2068" t="str">
        <f>IF($E16="--","--",_xll.ciqfunctions.udf.CIQ($I16,J$7))</f>
        <v>--</v>
      </c>
      <c r="K16" s="1872" t="str">
        <f>IF($D16="","--",_xll.ciqfunctions.udf.CIQ($D16, K$7))</f>
        <v>--</v>
      </c>
      <c r="L16" s="1872" t="str">
        <f>IF($D16="","--",_xll.ciqfunctions.udf.CIQ($D16, L$7))</f>
        <v>--</v>
      </c>
      <c r="M16" s="1903" t="str">
        <f>IF($D16="","--",_xll.ciqfunctions.udf.CIQ($D16, M$7)/100)</f>
        <v>--</v>
      </c>
      <c r="N16" s="1915" t="str">
        <f>IF($D16="","--",_xll.ciqfunctions.udf.CIQ($D16, N$7))</f>
        <v>--</v>
      </c>
      <c r="O16" s="1853" t="str">
        <f>IF($D16="","--",_xll.ciqfunctions.udf.CIQ($D16, O$7))</f>
        <v>--</v>
      </c>
      <c r="P16" s="2068" t="str">
        <f>IF($E16="--","--",_xll.ciqfunctions.udf.CIQ(IFERROR(LEFT(O16,FIND(";",O16,1)-1),O16),P$7))</f>
        <v>--</v>
      </c>
      <c r="Q16" s="1872" t="str">
        <f>IF($D16="","--",_xll.ciqfunctions.udf.CIQ($D16, Q$7))</f>
        <v>--</v>
      </c>
      <c r="R16" s="1899" t="str">
        <f>IF($D16="","--",_xll.ciqfunctions.udf.CIQ($D16, R$7))</f>
        <v>--</v>
      </c>
      <c r="S16" s="1667" t="str">
        <f>IF($D16="","--",_xll.ciqfunctions.udf.CIQ($I16,S$7,$E16,$E16,SubjOutputCurrencyCode,"C"))</f>
        <v>--</v>
      </c>
      <c r="T16" s="1667" t="str">
        <f>IF($D16="","--",IF(_xll.ciqfunctions.udf.CIQ($D16,T$7,,SubjOutputCurrencyCode,"C")=0,"n/a",_xll.ciqfunctions.udf.CIQ($D16,T$7,,SubjOutputCurrencyCode,"C")))</f>
        <v>--</v>
      </c>
      <c r="U16" s="1667" t="str">
        <f>IF($D16="","--",IF(_xll.ciqfunctions.udf.CIQ($D16,U$7,,SubjOutputCurrencyCode,"C")=0,"n/a",_xll.ciqfunctions.udf.CIQ($D16,U$7,,SubjOutputCurrencyCode,"C")))</f>
        <v>--</v>
      </c>
      <c r="V16" s="1667" t="str">
        <f>IF($D16="","--",IF(_xll.ciqfunctions.udf.CIQ($D16,V$7,,SubjOutputCurrencyCode,"C")=0,"n/a",_xll.ciqfunctions.udf.CIQ($D16,V$7,,SubjOutputCurrencyCode,"C")))</f>
        <v>--</v>
      </c>
      <c r="W16" s="1667" t="str">
        <f>IF($D16="","--",IF(_xll.ciqfunctions.udf.CIQ($D16,W$7,,SubjOutputCurrencyCode,"C")=0,"n/a",_xll.ciqfunctions.udf.CIQ($D16,W$7,,SubjOutputCurrencyCode,"C")))</f>
        <v>--</v>
      </c>
      <c r="X16" s="1667" t="str">
        <f>IF($D16="","--",IF(_xll.ciqfunctions.udf.CIQ($D16,X$7,,SubjOutputCurrencyCode,"C")=0,"n/a",_xll.ciqfunctions.udf.CIQ($D16,X$7,,SubjOutputCurrencyCode,"C")))</f>
        <v>--</v>
      </c>
      <c r="Y16" s="1667" t="str">
        <f>IF($D16="","--",IF(_xll.ciqfunctions.udf.CIQ($D16,Y$7,,SubjOutputCurrencyCode,"C")=0,"n/a",_xll.ciqfunctions.udf.CIQ($D16,Y$7,,SubjOutputCurrencyCode,"C")))</f>
        <v>--</v>
      </c>
      <c r="Z16" s="1874" t="str">
        <f t="shared" si="0"/>
        <v>n/a</v>
      </c>
      <c r="AA16" s="1874" t="str">
        <f t="shared" si="1"/>
        <v>n/a</v>
      </c>
      <c r="AB16" s="1874" t="str">
        <f t="shared" si="10"/>
        <v>n/a</v>
      </c>
      <c r="AC16" s="1874" t="str">
        <f t="shared" si="11"/>
        <v>n/a</v>
      </c>
      <c r="AD16" s="1874" t="str">
        <f t="shared" si="12"/>
        <v>n/a</v>
      </c>
      <c r="AE16" s="1874" t="str">
        <f t="shared" si="13"/>
        <v>n/a</v>
      </c>
      <c r="AF16" s="1874" t="str">
        <f t="shared" si="2"/>
        <v>n/a</v>
      </c>
      <c r="AG16" s="1874" t="str">
        <f t="shared" si="3"/>
        <v>n/a</v>
      </c>
      <c r="AH16" s="1874" t="str">
        <f t="shared" si="4"/>
        <v>n/a</v>
      </c>
      <c r="AI16" s="1874" t="str">
        <f t="shared" si="5"/>
        <v>n/a</v>
      </c>
      <c r="AJ16" s="1614" t="str">
        <f>IF($D16="","--",IF(_xll.ciqfunctions.udf.CIQ($D16,AJ$7)=0,"n/a",_xll.ciqfunctions.udf.CIQ($D16,AJ$7)/100))</f>
        <v>--</v>
      </c>
      <c r="AK16" s="1614" t="str">
        <f>IF($D16="","--",IF(_xll.ciqfunctions.udf.CIQ($D16,AK$7)=0,"n/a",_xll.ciqfunctions.udf.CIQ($D16,AK$7)/100))</f>
        <v>--</v>
      </c>
      <c r="AL16" s="1614" t="str">
        <f>IF($D16="","--",IF(_xll.ciqfunctions.udf.CIQ($D16,AL$7)=0,"n/a",_xll.ciqfunctions.udf.CIQ($D16,AL$7)/100))</f>
        <v>--</v>
      </c>
      <c r="AM16" s="1667" t="str">
        <f>IF($D16="","--",IF(_xll.ciqfunctions.udf.CIQ($D16,AM$7)=0,"n/a",_xll.ciqfunctions.udf.CIQ($D16,AM$7)))</f>
        <v>--</v>
      </c>
      <c r="AN16" s="1667" t="str">
        <f t="shared" si="14"/>
        <v>--</v>
      </c>
      <c r="AO16" s="1667" t="str">
        <f t="shared" si="15"/>
        <v>--</v>
      </c>
      <c r="AP16" s="1667" t="str">
        <f>IF($D16="","--",_xll.ciqfunctions.udf.CIQ($I16,AP$7,IQ_LTM,$E16,ReportType,DataMode,SubjOutputCurrencyCode,"C"))</f>
        <v>--</v>
      </c>
      <c r="AQ16" s="1667" t="str">
        <f t="shared" si="16"/>
        <v>n/a</v>
      </c>
      <c r="AR16" s="1667" t="str">
        <f t="shared" si="17"/>
        <v>n/a</v>
      </c>
      <c r="AS16" s="1667" t="str">
        <f t="shared" si="18"/>
        <v>n/a</v>
      </c>
      <c r="AT16" s="1614" t="str">
        <f t="shared" si="6"/>
        <v>n/a</v>
      </c>
      <c r="AU16" s="1614" t="str">
        <f t="shared" si="7"/>
        <v>n/a</v>
      </c>
      <c r="AV16" s="1614" t="str">
        <f t="shared" si="8"/>
        <v>n/a</v>
      </c>
      <c r="AW16" s="1883"/>
      <c r="AX16" s="1667" t="str">
        <f>IF($D16="","--",_xll.ciqfunctions.udf.CIQ($D16,AX$7))</f>
        <v>--</v>
      </c>
      <c r="AY16" s="1667">
        <f t="shared" si="19"/>
        <v>0</v>
      </c>
      <c r="AZ16" s="1871" t="str">
        <f>IF($D16="","--",_xll.ciqfunctions.udf.CIQ($D16,AZ$7))</f>
        <v>--</v>
      </c>
      <c r="BA16" s="1871" t="str">
        <f>IF($D16="","--",_xll.ciqfunctions.udf.CIQ($D16,BA$7))</f>
        <v>--</v>
      </c>
      <c r="BB16" s="1871" t="str">
        <f>IF($D16="","--",_xll.ciqfunctions.udf.CIQ($D16,BB$7))</f>
        <v>--</v>
      </c>
      <c r="BC16" s="1894" t="str">
        <f t="shared" si="20"/>
        <v>--</v>
      </c>
      <c r="BD16" s="1894" t="str">
        <f t="shared" si="21"/>
        <v>--</v>
      </c>
      <c r="BE16" s="1871" t="str">
        <f>IF($D16="","--",_xll.ciqfunctions.udf.CIQ(I16,BE$7,BC16))</f>
        <v>--</v>
      </c>
      <c r="BF16" s="1871" t="str">
        <f>IF($D16="","--",_xll.ciqfunctions.udf.CIQ(I16,BF$7,BD16))</f>
        <v>--</v>
      </c>
      <c r="BG16" s="1871"/>
      <c r="BH16" s="1509"/>
    </row>
    <row r="17" spans="1:60" s="1853" customFormat="1" ht="13.9">
      <c r="A17" s="1552" t="str">
        <f t="shared" si="9"/>
        <v>n</v>
      </c>
      <c r="B17" s="1509"/>
      <c r="C17" s="1853">
        <v>7</v>
      </c>
      <c r="D17" s="2243"/>
      <c r="E17" s="1894" t="str">
        <f>IF($D17="","--",DATEVALUE(_xll.ciqfunctions.udf.CIQ($D17,E$7)))</f>
        <v>--</v>
      </c>
      <c r="F17" s="1896" t="str">
        <f>IF($D17="","--",_xll.ciqfunctions.udf.CIQ($D17, F$7))</f>
        <v>--</v>
      </c>
      <c r="G17" s="1895" t="str">
        <f>IF($D17="","--",_xll.ciqfunctions.udf.CIQ($D17, G$7))</f>
        <v>--</v>
      </c>
      <c r="H17" s="1911" t="str">
        <f>IF($D17="","--",_xll.ciqfunctions.udf.CIQ($D17, H$7))</f>
        <v>--</v>
      </c>
      <c r="I17" s="1853" t="str">
        <f>IF($D17="","--",_xll.ciqfunctions.udf.CIQ($D17, I$7))</f>
        <v>--</v>
      </c>
      <c r="J17" s="2068" t="str">
        <f>IF($E17="--","--",_xll.ciqfunctions.udf.CIQ($I17,J$7))</f>
        <v>--</v>
      </c>
      <c r="K17" s="1872" t="str">
        <f>IF($D17="","--",_xll.ciqfunctions.udf.CIQ($D17, K$7))</f>
        <v>--</v>
      </c>
      <c r="L17" s="1872" t="str">
        <f>IF($D17="","--",_xll.ciqfunctions.udf.CIQ($D17, L$7))</f>
        <v>--</v>
      </c>
      <c r="M17" s="1903" t="str">
        <f>IF($D17="","--",_xll.ciqfunctions.udf.CIQ($D17, M$7)/100)</f>
        <v>--</v>
      </c>
      <c r="N17" s="1915" t="str">
        <f>IF($D17="","--",_xll.ciqfunctions.udf.CIQ($D17, N$7))</f>
        <v>--</v>
      </c>
      <c r="O17" s="1853" t="str">
        <f>IF($D17="","--",_xll.ciqfunctions.udf.CIQ($D17, O$7))</f>
        <v>--</v>
      </c>
      <c r="P17" s="2068" t="str">
        <f>IF($E17="--","--",_xll.ciqfunctions.udf.CIQ(IFERROR(LEFT(O17,FIND(";",O17,1)-1),O17),P$7))</f>
        <v>--</v>
      </c>
      <c r="Q17" s="1872" t="str">
        <f>IF($D17="","--",_xll.ciqfunctions.udf.CIQ($D17, Q$7))</f>
        <v>--</v>
      </c>
      <c r="R17" s="1899" t="str">
        <f>IF($D17="","--",_xll.ciqfunctions.udf.CIQ($D17, R$7))</f>
        <v>--</v>
      </c>
      <c r="S17" s="1667" t="str">
        <f>IF($D17="","--",_xll.ciqfunctions.udf.CIQ($I17,S$7,$E17,$E17,SubjOutputCurrencyCode,"C"))</f>
        <v>--</v>
      </c>
      <c r="T17" s="1667" t="str">
        <f>IF($D17="","--",IF(_xll.ciqfunctions.udf.CIQ($D17,T$7,,SubjOutputCurrencyCode,"C")=0,"n/a",_xll.ciqfunctions.udf.CIQ($D17,T$7,,SubjOutputCurrencyCode,"C")))</f>
        <v>--</v>
      </c>
      <c r="U17" s="1667" t="str">
        <f>IF($D17="","--",IF(_xll.ciqfunctions.udf.CIQ($D17,U$7,,SubjOutputCurrencyCode,"C")=0,"n/a",_xll.ciqfunctions.udf.CIQ($D17,U$7,,SubjOutputCurrencyCode,"C")))</f>
        <v>--</v>
      </c>
      <c r="V17" s="1667" t="str">
        <f>IF($D17="","--",IF(_xll.ciqfunctions.udf.CIQ($D17,V$7,,SubjOutputCurrencyCode,"C")=0,"n/a",_xll.ciqfunctions.udf.CIQ($D17,V$7,,SubjOutputCurrencyCode,"C")))</f>
        <v>--</v>
      </c>
      <c r="W17" s="1667" t="str">
        <f>IF($D17="","--",IF(_xll.ciqfunctions.udf.CIQ($D17,W$7,,SubjOutputCurrencyCode,"C")=0,"n/a",_xll.ciqfunctions.udf.CIQ($D17,W$7,,SubjOutputCurrencyCode,"C")))</f>
        <v>--</v>
      </c>
      <c r="X17" s="1667" t="str">
        <f>IF($D17="","--",IF(_xll.ciqfunctions.udf.CIQ($D17,X$7,,SubjOutputCurrencyCode,"C")=0,"n/a",_xll.ciqfunctions.udf.CIQ($D17,X$7,,SubjOutputCurrencyCode,"C")))</f>
        <v>--</v>
      </c>
      <c r="Y17" s="1667" t="str">
        <f>IF($D17="","--",IF(_xll.ciqfunctions.udf.CIQ($D17,Y$7,,SubjOutputCurrencyCode,"C")=0,"n/a",_xll.ciqfunctions.udf.CIQ($D17,Y$7,,SubjOutputCurrencyCode,"C")))</f>
        <v>--</v>
      </c>
      <c r="Z17" s="1874" t="str">
        <f t="shared" si="0"/>
        <v>n/a</v>
      </c>
      <c r="AA17" s="1874" t="str">
        <f t="shared" si="1"/>
        <v>n/a</v>
      </c>
      <c r="AB17" s="1874" t="str">
        <f t="shared" si="10"/>
        <v>n/a</v>
      </c>
      <c r="AC17" s="1874" t="str">
        <f t="shared" si="11"/>
        <v>n/a</v>
      </c>
      <c r="AD17" s="1874" t="str">
        <f t="shared" si="12"/>
        <v>n/a</v>
      </c>
      <c r="AE17" s="1874" t="str">
        <f t="shared" si="13"/>
        <v>n/a</v>
      </c>
      <c r="AF17" s="1874" t="str">
        <f t="shared" si="2"/>
        <v>n/a</v>
      </c>
      <c r="AG17" s="1874" t="str">
        <f t="shared" si="3"/>
        <v>n/a</v>
      </c>
      <c r="AH17" s="1874" t="str">
        <f t="shared" si="4"/>
        <v>n/a</v>
      </c>
      <c r="AI17" s="1874" t="str">
        <f t="shared" si="5"/>
        <v>n/a</v>
      </c>
      <c r="AJ17" s="1614" t="str">
        <f>IF($D17="","--",IF(_xll.ciqfunctions.udf.CIQ($D17,AJ$7)=0,"n/a",_xll.ciqfunctions.udf.CIQ($D17,AJ$7)/100))</f>
        <v>--</v>
      </c>
      <c r="AK17" s="1614" t="str">
        <f>IF($D17="","--",IF(_xll.ciqfunctions.udf.CIQ($D17,AK$7)=0,"n/a",_xll.ciqfunctions.udf.CIQ($D17,AK$7)/100))</f>
        <v>--</v>
      </c>
      <c r="AL17" s="1614" t="str">
        <f>IF($D17="","--",IF(_xll.ciqfunctions.udf.CIQ($D17,AL$7)=0,"n/a",_xll.ciqfunctions.udf.CIQ($D17,AL$7)/100))</f>
        <v>--</v>
      </c>
      <c r="AM17" s="1667" t="str">
        <f>IF($D17="","--",IF(_xll.ciqfunctions.udf.CIQ($D17,AM$7)=0,"n/a",_xll.ciqfunctions.udf.CIQ($D17,AM$7)))</f>
        <v>--</v>
      </c>
      <c r="AN17" s="1667" t="str">
        <f t="shared" si="14"/>
        <v>--</v>
      </c>
      <c r="AO17" s="1667" t="str">
        <f t="shared" si="15"/>
        <v>--</v>
      </c>
      <c r="AP17" s="1667" t="str">
        <f>IF($D17="","--",_xll.ciqfunctions.udf.CIQ($I17,AP$7,IQ_LTM,$E17,ReportType,DataMode,SubjOutputCurrencyCode,"C"))</f>
        <v>--</v>
      </c>
      <c r="AQ17" s="1667" t="str">
        <f t="shared" si="16"/>
        <v>n/a</v>
      </c>
      <c r="AR17" s="1667" t="str">
        <f t="shared" si="17"/>
        <v>n/a</v>
      </c>
      <c r="AS17" s="1667" t="str">
        <f t="shared" si="18"/>
        <v>n/a</v>
      </c>
      <c r="AT17" s="1614" t="str">
        <f t="shared" si="6"/>
        <v>n/a</v>
      </c>
      <c r="AU17" s="1614" t="str">
        <f t="shared" si="7"/>
        <v>n/a</v>
      </c>
      <c r="AV17" s="1614" t="str">
        <f t="shared" si="8"/>
        <v>n/a</v>
      </c>
      <c r="AW17" s="1883"/>
      <c r="AX17" s="1667" t="str">
        <f>IF($D17="","--",_xll.ciqfunctions.udf.CIQ($D17,AX$7))</f>
        <v>--</v>
      </c>
      <c r="AY17" s="1667">
        <f t="shared" si="19"/>
        <v>0</v>
      </c>
      <c r="AZ17" s="1871" t="str">
        <f>IF($D17="","--",_xll.ciqfunctions.udf.CIQ($D17,AZ$7))</f>
        <v>--</v>
      </c>
      <c r="BA17" s="1871" t="str">
        <f>IF($D17="","--",_xll.ciqfunctions.udf.CIQ($D17,BA$7))</f>
        <v>--</v>
      </c>
      <c r="BB17" s="1871" t="str">
        <f>IF($D17="","--",_xll.ciqfunctions.udf.CIQ($D17,BB$7))</f>
        <v>--</v>
      </c>
      <c r="BC17" s="1894" t="str">
        <f t="shared" si="20"/>
        <v>--</v>
      </c>
      <c r="BD17" s="1894" t="str">
        <f t="shared" si="21"/>
        <v>--</v>
      </c>
      <c r="BE17" s="1871" t="str">
        <f>IF($D17="","--",_xll.ciqfunctions.udf.CIQ(I17,BE$7,BC17))</f>
        <v>--</v>
      </c>
      <c r="BF17" s="1871" t="str">
        <f>IF($D17="","--",_xll.ciqfunctions.udf.CIQ(I17,BF$7,BD17))</f>
        <v>--</v>
      </c>
      <c r="BG17" s="1871"/>
      <c r="BH17" s="1509"/>
    </row>
    <row r="18" spans="1:60" s="1853" customFormat="1" ht="13.9">
      <c r="A18" s="1552" t="str">
        <f t="shared" si="9"/>
        <v>n</v>
      </c>
      <c r="B18" s="1509"/>
      <c r="C18" s="1853">
        <v>8</v>
      </c>
      <c r="D18" s="2243"/>
      <c r="E18" s="1894" t="str">
        <f>IF($D18="","--",DATEVALUE(_xll.ciqfunctions.udf.CIQ($D18,E$7)))</f>
        <v>--</v>
      </c>
      <c r="F18" s="1896" t="str">
        <f>IF($D18="","--",_xll.ciqfunctions.udf.CIQ($D18, F$7))</f>
        <v>--</v>
      </c>
      <c r="G18" s="1895" t="str">
        <f>IF($D18="","--",_xll.ciqfunctions.udf.CIQ($D18, G$7))</f>
        <v>--</v>
      </c>
      <c r="H18" s="1911" t="str">
        <f>IF($D18="","--",_xll.ciqfunctions.udf.CIQ($D18, H$7))</f>
        <v>--</v>
      </c>
      <c r="I18" s="1853" t="str">
        <f>IF($D18="","--",_xll.ciqfunctions.udf.CIQ($D18, I$7))</f>
        <v>--</v>
      </c>
      <c r="J18" s="2068" t="str">
        <f>IF($E18="--","--",_xll.ciqfunctions.udf.CIQ($I18,J$7))</f>
        <v>--</v>
      </c>
      <c r="K18" s="1872" t="str">
        <f>IF($D18="","--",_xll.ciqfunctions.udf.CIQ($D18, K$7))</f>
        <v>--</v>
      </c>
      <c r="L18" s="1872" t="str">
        <f>IF($D18="","--",_xll.ciqfunctions.udf.CIQ($D18, L$7))</f>
        <v>--</v>
      </c>
      <c r="M18" s="1903" t="str">
        <f>IF($D18="","--",_xll.ciqfunctions.udf.CIQ($D18, M$7)/100)</f>
        <v>--</v>
      </c>
      <c r="N18" s="1915" t="str">
        <f>IF($D18="","--",_xll.ciqfunctions.udf.CIQ($D18, N$7))</f>
        <v>--</v>
      </c>
      <c r="O18" s="1853" t="str">
        <f>IF($D18="","--",_xll.ciqfunctions.udf.CIQ($D18, O$7))</f>
        <v>--</v>
      </c>
      <c r="P18" s="2068" t="str">
        <f>IF($E18="--","--",_xll.ciqfunctions.udf.CIQ(IFERROR(LEFT(O18,FIND(";",O18,1)-1),O18),P$7))</f>
        <v>--</v>
      </c>
      <c r="Q18" s="1872" t="str">
        <f>IF($D18="","--",_xll.ciqfunctions.udf.CIQ($D18, Q$7))</f>
        <v>--</v>
      </c>
      <c r="R18" s="1899" t="str">
        <f>IF($D18="","--",_xll.ciqfunctions.udf.CIQ($D18, R$7))</f>
        <v>--</v>
      </c>
      <c r="S18" s="1667" t="str">
        <f>IF($D18="","--",_xll.ciqfunctions.udf.CIQ($I18,S$7,$E18,$E18,SubjOutputCurrencyCode,"C"))</f>
        <v>--</v>
      </c>
      <c r="T18" s="1667" t="str">
        <f>IF($D18="","--",IF(_xll.ciqfunctions.udf.CIQ($D18,T$7,,SubjOutputCurrencyCode,"C")=0,"n/a",_xll.ciqfunctions.udf.CIQ($D18,T$7,,SubjOutputCurrencyCode,"C")))</f>
        <v>--</v>
      </c>
      <c r="U18" s="1667" t="str">
        <f>IF($D18="","--",IF(_xll.ciqfunctions.udf.CIQ($D18,U$7,,SubjOutputCurrencyCode,"C")=0,"n/a",_xll.ciqfunctions.udf.CIQ($D18,U$7,,SubjOutputCurrencyCode,"C")))</f>
        <v>--</v>
      </c>
      <c r="V18" s="1667" t="str">
        <f>IF($D18="","--",IF(_xll.ciqfunctions.udf.CIQ($D18,V$7,,SubjOutputCurrencyCode,"C")=0,"n/a",_xll.ciqfunctions.udf.CIQ($D18,V$7,,SubjOutputCurrencyCode,"C")))</f>
        <v>--</v>
      </c>
      <c r="W18" s="1667" t="str">
        <f>IF($D18="","--",IF(_xll.ciqfunctions.udf.CIQ($D18,W$7,,SubjOutputCurrencyCode,"C")=0,"n/a",_xll.ciqfunctions.udf.CIQ($D18,W$7,,SubjOutputCurrencyCode,"C")))</f>
        <v>--</v>
      </c>
      <c r="X18" s="1667" t="str">
        <f>IF($D18="","--",IF(_xll.ciqfunctions.udf.CIQ($D18,X$7,,SubjOutputCurrencyCode,"C")=0,"n/a",_xll.ciqfunctions.udf.CIQ($D18,X$7,,SubjOutputCurrencyCode,"C")))</f>
        <v>--</v>
      </c>
      <c r="Y18" s="1667" t="str">
        <f>IF($D18="","--",IF(_xll.ciqfunctions.udf.CIQ($D18,Y$7,,SubjOutputCurrencyCode,"C")=0,"n/a",_xll.ciqfunctions.udf.CIQ($D18,Y$7,,SubjOutputCurrencyCode,"C")))</f>
        <v>--</v>
      </c>
      <c r="Z18" s="1874" t="str">
        <f t="shared" si="0"/>
        <v>n/a</v>
      </c>
      <c r="AA18" s="1874" t="str">
        <f t="shared" si="1"/>
        <v>n/a</v>
      </c>
      <c r="AB18" s="1874" t="str">
        <f t="shared" si="10"/>
        <v>n/a</v>
      </c>
      <c r="AC18" s="1874" t="str">
        <f t="shared" si="11"/>
        <v>n/a</v>
      </c>
      <c r="AD18" s="1874" t="str">
        <f t="shared" si="12"/>
        <v>n/a</v>
      </c>
      <c r="AE18" s="1874" t="str">
        <f t="shared" si="13"/>
        <v>n/a</v>
      </c>
      <c r="AF18" s="1874" t="str">
        <f t="shared" si="2"/>
        <v>n/a</v>
      </c>
      <c r="AG18" s="1874" t="str">
        <f t="shared" si="3"/>
        <v>n/a</v>
      </c>
      <c r="AH18" s="1874" t="str">
        <f t="shared" si="4"/>
        <v>n/a</v>
      </c>
      <c r="AI18" s="1874" t="str">
        <f t="shared" si="5"/>
        <v>n/a</v>
      </c>
      <c r="AJ18" s="1614" t="str">
        <f>IF($D18="","--",IF(_xll.ciqfunctions.udf.CIQ($D18,AJ$7)=0,"n/a",_xll.ciqfunctions.udf.CIQ($D18,AJ$7)/100))</f>
        <v>--</v>
      </c>
      <c r="AK18" s="1614" t="str">
        <f>IF($D18="","--",IF(_xll.ciqfunctions.udf.CIQ($D18,AK$7)=0,"n/a",_xll.ciqfunctions.udf.CIQ($D18,AK$7)/100))</f>
        <v>--</v>
      </c>
      <c r="AL18" s="1614" t="str">
        <f>IF($D18="","--",IF(_xll.ciqfunctions.udf.CIQ($D18,AL$7)=0,"n/a",_xll.ciqfunctions.udf.CIQ($D18,AL$7)/100))</f>
        <v>--</v>
      </c>
      <c r="AM18" s="1667" t="str">
        <f>IF($D18="","--",IF(_xll.ciqfunctions.udf.CIQ($D18,AM$7)=0,"n/a",_xll.ciqfunctions.udf.CIQ($D18,AM$7)))</f>
        <v>--</v>
      </c>
      <c r="AN18" s="1667" t="str">
        <f t="shared" si="14"/>
        <v>--</v>
      </c>
      <c r="AO18" s="1667" t="str">
        <f t="shared" si="15"/>
        <v>--</v>
      </c>
      <c r="AP18" s="1667" t="str">
        <f>IF($D18="","--",_xll.ciqfunctions.udf.CIQ($I18,AP$7,IQ_LTM,$E18,ReportType,DataMode,SubjOutputCurrencyCode,"C"))</f>
        <v>--</v>
      </c>
      <c r="AQ18" s="1667" t="str">
        <f t="shared" si="16"/>
        <v>n/a</v>
      </c>
      <c r="AR18" s="1667" t="str">
        <f t="shared" si="17"/>
        <v>n/a</v>
      </c>
      <c r="AS18" s="1667" t="str">
        <f t="shared" si="18"/>
        <v>n/a</v>
      </c>
      <c r="AT18" s="1614" t="str">
        <f t="shared" si="6"/>
        <v>n/a</v>
      </c>
      <c r="AU18" s="1614" t="str">
        <f t="shared" si="7"/>
        <v>n/a</v>
      </c>
      <c r="AV18" s="1614" t="str">
        <f t="shared" si="8"/>
        <v>n/a</v>
      </c>
      <c r="AW18" s="1883"/>
      <c r="AX18" s="1667" t="str">
        <f>IF($D18="","--",_xll.ciqfunctions.udf.CIQ($D18,AX$7))</f>
        <v>--</v>
      </c>
      <c r="AY18" s="1667">
        <f t="shared" si="19"/>
        <v>0</v>
      </c>
      <c r="AZ18" s="1871" t="str">
        <f>IF($D18="","--",_xll.ciqfunctions.udf.CIQ($D18,AZ$7))</f>
        <v>--</v>
      </c>
      <c r="BA18" s="1871" t="str">
        <f>IF($D18="","--",_xll.ciqfunctions.udf.CIQ($D18,BA$7))</f>
        <v>--</v>
      </c>
      <c r="BB18" s="1871" t="str">
        <f>IF($D18="","--",_xll.ciqfunctions.udf.CIQ($D18,BB$7))</f>
        <v>--</v>
      </c>
      <c r="BC18" s="1894" t="str">
        <f t="shared" si="20"/>
        <v>--</v>
      </c>
      <c r="BD18" s="1894" t="str">
        <f t="shared" si="21"/>
        <v>--</v>
      </c>
      <c r="BE18" s="1871" t="str">
        <f>IF($D18="","--",_xll.ciqfunctions.udf.CIQ(I18,BE$7,BC18))</f>
        <v>--</v>
      </c>
      <c r="BF18" s="1871" t="str">
        <f>IF($D18="","--",_xll.ciqfunctions.udf.CIQ(I18,BF$7,BD18))</f>
        <v>--</v>
      </c>
      <c r="BG18" s="1871"/>
      <c r="BH18" s="1509"/>
    </row>
    <row r="19" spans="1:60" s="1853" customFormat="1" ht="13.9">
      <c r="A19" s="1552" t="str">
        <f t="shared" si="9"/>
        <v>n</v>
      </c>
      <c r="B19" s="1509"/>
      <c r="C19" s="1853">
        <v>9</v>
      </c>
      <c r="D19" s="2243"/>
      <c r="E19" s="1894" t="str">
        <f>IF($D19="","--",DATEVALUE(_xll.ciqfunctions.udf.CIQ($D19,E$7)))</f>
        <v>--</v>
      </c>
      <c r="F19" s="1896" t="str">
        <f>IF($D19="","--",_xll.ciqfunctions.udf.CIQ($D19, F$7))</f>
        <v>--</v>
      </c>
      <c r="G19" s="1895" t="str">
        <f>IF($D19="","--",_xll.ciqfunctions.udf.CIQ($D19, G$7))</f>
        <v>--</v>
      </c>
      <c r="H19" s="1911" t="str">
        <f>IF($D19="","--",_xll.ciqfunctions.udf.CIQ($D19, H$7))</f>
        <v>--</v>
      </c>
      <c r="I19" s="1853" t="str">
        <f>IF($D19="","--",_xll.ciqfunctions.udf.CIQ($D19, I$7))</f>
        <v>--</v>
      </c>
      <c r="J19" s="2068" t="str">
        <f>IF($E19="--","--",_xll.ciqfunctions.udf.CIQ($I19,J$7))</f>
        <v>--</v>
      </c>
      <c r="K19" s="1872" t="str">
        <f>IF($D19="","--",_xll.ciqfunctions.udf.CIQ($D19, K$7))</f>
        <v>--</v>
      </c>
      <c r="L19" s="1872" t="str">
        <f>IF($D19="","--",_xll.ciqfunctions.udf.CIQ($D19, L$7))</f>
        <v>--</v>
      </c>
      <c r="M19" s="1903" t="str">
        <f>IF($D19="","--",_xll.ciqfunctions.udf.CIQ($D19, M$7)/100)</f>
        <v>--</v>
      </c>
      <c r="N19" s="1915" t="str">
        <f>IF($D19="","--",_xll.ciqfunctions.udf.CIQ($D19, N$7))</f>
        <v>--</v>
      </c>
      <c r="O19" s="1853" t="str">
        <f>IF($D19="","--",_xll.ciqfunctions.udf.CIQ($D19, O$7))</f>
        <v>--</v>
      </c>
      <c r="P19" s="2068" t="str">
        <f>IF($E19="--","--",_xll.ciqfunctions.udf.CIQ(IFERROR(LEFT(O19,FIND(";",O19,1)-1),O19),P$7))</f>
        <v>--</v>
      </c>
      <c r="Q19" s="1872" t="str">
        <f>IF($D19="","--",_xll.ciqfunctions.udf.CIQ($D19, Q$7))</f>
        <v>--</v>
      </c>
      <c r="R19" s="1899" t="str">
        <f>IF($D19="","--",_xll.ciqfunctions.udf.CIQ($D19, R$7))</f>
        <v>--</v>
      </c>
      <c r="S19" s="1667" t="str">
        <f>IF($D19="","--",_xll.ciqfunctions.udf.CIQ($I19,S$7,$E19,$E19,SubjOutputCurrencyCode,"C"))</f>
        <v>--</v>
      </c>
      <c r="T19" s="1667" t="str">
        <f>IF($D19="","--",IF(_xll.ciqfunctions.udf.CIQ($D19,T$7,,SubjOutputCurrencyCode,"C")=0,"n/a",_xll.ciqfunctions.udf.CIQ($D19,T$7,,SubjOutputCurrencyCode,"C")))</f>
        <v>--</v>
      </c>
      <c r="U19" s="1667" t="str">
        <f>IF($D19="","--",IF(_xll.ciqfunctions.udf.CIQ($D19,U$7,,SubjOutputCurrencyCode,"C")=0,"n/a",_xll.ciqfunctions.udf.CIQ($D19,U$7,,SubjOutputCurrencyCode,"C")))</f>
        <v>--</v>
      </c>
      <c r="V19" s="1667" t="str">
        <f>IF($D19="","--",IF(_xll.ciqfunctions.udf.CIQ($D19,V$7,,SubjOutputCurrencyCode,"C")=0,"n/a",_xll.ciqfunctions.udf.CIQ($D19,V$7,,SubjOutputCurrencyCode,"C")))</f>
        <v>--</v>
      </c>
      <c r="W19" s="1667" t="str">
        <f>IF($D19="","--",IF(_xll.ciqfunctions.udf.CIQ($D19,W$7,,SubjOutputCurrencyCode,"C")=0,"n/a",_xll.ciqfunctions.udf.CIQ($D19,W$7,,SubjOutputCurrencyCode,"C")))</f>
        <v>--</v>
      </c>
      <c r="X19" s="1667" t="str">
        <f>IF($D19="","--",IF(_xll.ciqfunctions.udf.CIQ($D19,X$7,,SubjOutputCurrencyCode,"C")=0,"n/a",_xll.ciqfunctions.udf.CIQ($D19,X$7,,SubjOutputCurrencyCode,"C")))</f>
        <v>--</v>
      </c>
      <c r="Y19" s="1667" t="str">
        <f>IF($D19="","--",IF(_xll.ciqfunctions.udf.CIQ($D19,Y$7,,SubjOutputCurrencyCode,"C")=0,"n/a",_xll.ciqfunctions.udf.CIQ($D19,Y$7,,SubjOutputCurrencyCode,"C")))</f>
        <v>--</v>
      </c>
      <c r="Z19" s="1874" t="str">
        <f>IFERROR(IF($S19,$S19/T19,"n/a"),"n/a")</f>
        <v>n/a</v>
      </c>
      <c r="AA19" s="1874" t="str">
        <f t="shared" si="1"/>
        <v>n/a</v>
      </c>
      <c r="AB19" s="1874" t="str">
        <f t="shared" si="10"/>
        <v>n/a</v>
      </c>
      <c r="AC19" s="1874" t="str">
        <f t="shared" si="11"/>
        <v>n/a</v>
      </c>
      <c r="AD19" s="1874" t="str">
        <f t="shared" si="12"/>
        <v>n/a</v>
      </c>
      <c r="AE19" s="1874" t="str">
        <f t="shared" si="13"/>
        <v>n/a</v>
      </c>
      <c r="AF19" s="1874" t="str">
        <f t="shared" si="2"/>
        <v>n/a</v>
      </c>
      <c r="AG19" s="1874" t="str">
        <f t="shared" si="3"/>
        <v>n/a</v>
      </c>
      <c r="AH19" s="1874" t="str">
        <f t="shared" si="4"/>
        <v>n/a</v>
      </c>
      <c r="AI19" s="1874" t="str">
        <f t="shared" si="5"/>
        <v>n/a</v>
      </c>
      <c r="AJ19" s="1614" t="str">
        <f>IF($D19="","--",IF(_xll.ciqfunctions.udf.CIQ($D19,AJ$7)=0,"n/a",_xll.ciqfunctions.udf.CIQ($D19,AJ$7)/100))</f>
        <v>--</v>
      </c>
      <c r="AK19" s="1614" t="str">
        <f>IF($D19="","--",IF(_xll.ciqfunctions.udf.CIQ($D19,AK$7)=0,"n/a",_xll.ciqfunctions.udf.CIQ($D19,AK$7)/100))</f>
        <v>--</v>
      </c>
      <c r="AL19" s="1614" t="str">
        <f>IF($D19="","--",IF(_xll.ciqfunctions.udf.CIQ($D19,AL$7)=0,"n/a",_xll.ciqfunctions.udf.CIQ($D19,AL$7)/100))</f>
        <v>--</v>
      </c>
      <c r="AM19" s="1667" t="str">
        <f>IF($D19="","--",IF(_xll.ciqfunctions.udf.CIQ($D19,AM$7)=0,"n/a",_xll.ciqfunctions.udf.CIQ($D19,AM$7)))</f>
        <v>--</v>
      </c>
      <c r="AN19" s="1667" t="str">
        <f t="shared" si="14"/>
        <v>--</v>
      </c>
      <c r="AO19" s="1667" t="str">
        <f t="shared" si="15"/>
        <v>--</v>
      </c>
      <c r="AP19" s="1667" t="str">
        <f>IF($D19="","--",_xll.ciqfunctions.udf.CIQ($I19,AP$7,IQ_LTM,$E19,ReportType,DataMode,SubjOutputCurrencyCode,"C"))</f>
        <v>--</v>
      </c>
      <c r="AQ19" s="1667" t="str">
        <f t="shared" si="16"/>
        <v>n/a</v>
      </c>
      <c r="AR19" s="1667" t="str">
        <f t="shared" si="17"/>
        <v>n/a</v>
      </c>
      <c r="AS19" s="1667" t="str">
        <f t="shared" si="18"/>
        <v>n/a</v>
      </c>
      <c r="AT19" s="1614" t="str">
        <f t="shared" si="6"/>
        <v>n/a</v>
      </c>
      <c r="AU19" s="1614" t="str">
        <f t="shared" si="7"/>
        <v>n/a</v>
      </c>
      <c r="AV19" s="1614" t="str">
        <f t="shared" si="8"/>
        <v>n/a</v>
      </c>
      <c r="AW19" s="1883"/>
      <c r="AX19" s="1667" t="str">
        <f>IF($D19="","--",_xll.ciqfunctions.udf.CIQ($D19,AX$7))</f>
        <v>--</v>
      </c>
      <c r="AY19" s="1667">
        <f t="shared" si="19"/>
        <v>0</v>
      </c>
      <c r="AZ19" s="1871" t="str">
        <f>IF($D19="","--",_xll.ciqfunctions.udf.CIQ($D19,AZ$7))</f>
        <v>--</v>
      </c>
      <c r="BA19" s="1871" t="str">
        <f>IF($D19="","--",_xll.ciqfunctions.udf.CIQ($D19,BA$7))</f>
        <v>--</v>
      </c>
      <c r="BB19" s="1871" t="str">
        <f>IF($D19="","--",_xll.ciqfunctions.udf.CIQ($D19,BB$7))</f>
        <v>--</v>
      </c>
      <c r="BC19" s="1894" t="str">
        <f t="shared" si="20"/>
        <v>--</v>
      </c>
      <c r="BD19" s="1894" t="str">
        <f t="shared" si="21"/>
        <v>--</v>
      </c>
      <c r="BE19" s="1871" t="str">
        <f>IF($D19="","--",_xll.ciqfunctions.udf.CIQ(I19,BE$7,BC19))</f>
        <v>--</v>
      </c>
      <c r="BF19" s="1871" t="str">
        <f>IF($D19="","--",_xll.ciqfunctions.udf.CIQ(I19,BF$7,BD19))</f>
        <v>--</v>
      </c>
      <c r="BG19" s="1871"/>
      <c r="BH19" s="1509"/>
    </row>
    <row r="20" spans="1:60" s="1853" customFormat="1" ht="13.9">
      <c r="A20" s="1552" t="str">
        <f t="shared" si="9"/>
        <v>n</v>
      </c>
      <c r="B20" s="1509"/>
      <c r="C20" s="1853">
        <v>10</v>
      </c>
      <c r="D20" s="2243"/>
      <c r="E20" s="1894" t="str">
        <f>IF($D20="","--",DATEVALUE(_xll.ciqfunctions.udf.CIQ($D20,E$7)))</f>
        <v>--</v>
      </c>
      <c r="F20" s="1896" t="str">
        <f>IF($D20="","--",_xll.ciqfunctions.udf.CIQ($D20, F$7))</f>
        <v>--</v>
      </c>
      <c r="G20" s="1895" t="str">
        <f>IF($D20="","--",_xll.ciqfunctions.udf.CIQ($D20, G$7))</f>
        <v>--</v>
      </c>
      <c r="H20" s="1911" t="str">
        <f>IF($D20="","--",_xll.ciqfunctions.udf.CIQ($D20, H$7))</f>
        <v>--</v>
      </c>
      <c r="I20" s="1853" t="str">
        <f>IF($D20="","--",_xll.ciqfunctions.udf.CIQ($D20, I$7))</f>
        <v>--</v>
      </c>
      <c r="J20" s="2068" t="str">
        <f>IF($E20="--","--",_xll.ciqfunctions.udf.CIQ($I20,J$7))</f>
        <v>--</v>
      </c>
      <c r="K20" s="1872" t="str">
        <f>IF($D20="","--",_xll.ciqfunctions.udf.CIQ($D20, K$7))</f>
        <v>--</v>
      </c>
      <c r="L20" s="1872" t="str">
        <f>IF($D20="","--",_xll.ciqfunctions.udf.CIQ($D20, L$7))</f>
        <v>--</v>
      </c>
      <c r="M20" s="1903" t="str">
        <f>IF($D20="","--",_xll.ciqfunctions.udf.CIQ($D20, M$7)/100)</f>
        <v>--</v>
      </c>
      <c r="N20" s="1915" t="str">
        <f>IF($D20="","--",_xll.ciqfunctions.udf.CIQ($D20, N$7))</f>
        <v>--</v>
      </c>
      <c r="O20" s="1853" t="str">
        <f>IF($D20="","--",_xll.ciqfunctions.udf.CIQ($D20, O$7))</f>
        <v>--</v>
      </c>
      <c r="P20" s="2068" t="str">
        <f>IF($E20="--","--",_xll.ciqfunctions.udf.CIQ(IFERROR(LEFT(O20,FIND(";",O20,1)-1),O20),P$7))</f>
        <v>--</v>
      </c>
      <c r="Q20" s="1872" t="str">
        <f>IF($D20="","--",_xll.ciqfunctions.udf.CIQ($D20, Q$7))</f>
        <v>--</v>
      </c>
      <c r="R20" s="1899" t="str">
        <f>IF($D20="","--",_xll.ciqfunctions.udf.CIQ($D20, R$7))</f>
        <v>--</v>
      </c>
      <c r="S20" s="1667" t="str">
        <f>IF($D20="","--",_xll.ciqfunctions.udf.CIQ($I20,S$7,$E20,$E20,SubjOutputCurrencyCode,"C"))</f>
        <v>--</v>
      </c>
      <c r="T20" s="1667" t="str">
        <f>IF($D20="","--",IF(_xll.ciqfunctions.udf.CIQ($D20,T$7,,SubjOutputCurrencyCode,"C")=0,"n/a",_xll.ciqfunctions.udf.CIQ($D20,T$7,,SubjOutputCurrencyCode,"C")))</f>
        <v>--</v>
      </c>
      <c r="U20" s="1667" t="str">
        <f>IF($D20="","--",IF(_xll.ciqfunctions.udf.CIQ($D20,U$7,,SubjOutputCurrencyCode,"C")=0,"n/a",_xll.ciqfunctions.udf.CIQ($D20,U$7,,SubjOutputCurrencyCode,"C")))</f>
        <v>--</v>
      </c>
      <c r="V20" s="1667" t="str">
        <f>IF($D20="","--",IF(_xll.ciqfunctions.udf.CIQ($D20,V$7,,SubjOutputCurrencyCode,"C")=0,"n/a",_xll.ciqfunctions.udf.CIQ($D20,V$7,,SubjOutputCurrencyCode,"C")))</f>
        <v>--</v>
      </c>
      <c r="W20" s="1667" t="str">
        <f>IF($D20="","--",IF(_xll.ciqfunctions.udf.CIQ($D20,W$7,,SubjOutputCurrencyCode,"C")=0,"n/a",_xll.ciqfunctions.udf.CIQ($D20,W$7,,SubjOutputCurrencyCode,"C")))</f>
        <v>--</v>
      </c>
      <c r="X20" s="1667" t="str">
        <f>IF($D20="","--",IF(_xll.ciqfunctions.udf.CIQ($D20,X$7,,SubjOutputCurrencyCode,"C")=0,"n/a",_xll.ciqfunctions.udf.CIQ($D20,X$7,,SubjOutputCurrencyCode,"C")))</f>
        <v>--</v>
      </c>
      <c r="Y20" s="1667" t="str">
        <f>IF($D20="","--",IF(_xll.ciqfunctions.udf.CIQ($D20,Y$7,,SubjOutputCurrencyCode,"C")=0,"n/a",_xll.ciqfunctions.udf.CIQ($D20,Y$7,,SubjOutputCurrencyCode,"C")))</f>
        <v>--</v>
      </c>
      <c r="Z20" s="1874" t="str">
        <f t="shared" ref="Z20:Z30" si="22">IFERROR(IF($S20,$S20/T20,"n/a"),"n/a")</f>
        <v>n/a</v>
      </c>
      <c r="AA20" s="1874" t="str">
        <f t="shared" si="1"/>
        <v>n/a</v>
      </c>
      <c r="AB20" s="1874" t="str">
        <f t="shared" si="10"/>
        <v>n/a</v>
      </c>
      <c r="AC20" s="1874" t="str">
        <f t="shared" si="11"/>
        <v>n/a</v>
      </c>
      <c r="AD20" s="1874" t="str">
        <f t="shared" si="12"/>
        <v>n/a</v>
      </c>
      <c r="AE20" s="1874" t="str">
        <f t="shared" si="13"/>
        <v>n/a</v>
      </c>
      <c r="AF20" s="1874" t="str">
        <f t="shared" si="2"/>
        <v>n/a</v>
      </c>
      <c r="AG20" s="1874" t="str">
        <f t="shared" si="3"/>
        <v>n/a</v>
      </c>
      <c r="AH20" s="1874" t="str">
        <f t="shared" si="4"/>
        <v>n/a</v>
      </c>
      <c r="AI20" s="1874" t="str">
        <f t="shared" si="5"/>
        <v>n/a</v>
      </c>
      <c r="AJ20" s="1614" t="str">
        <f>IF($D20="","--",IF(_xll.ciqfunctions.udf.CIQ($D20,AJ$7)=0,"n/a",_xll.ciqfunctions.udf.CIQ($D20,AJ$7)/100))</f>
        <v>--</v>
      </c>
      <c r="AK20" s="1614" t="str">
        <f>IF($D20="","--",IF(_xll.ciqfunctions.udf.CIQ($D20,AK$7)=0,"n/a",_xll.ciqfunctions.udf.CIQ($D20,AK$7)/100))</f>
        <v>--</v>
      </c>
      <c r="AL20" s="1614" t="str">
        <f>IF($D20="","--",IF(_xll.ciqfunctions.udf.CIQ($D20,AL$7)=0,"n/a",_xll.ciqfunctions.udf.CIQ($D20,AL$7)/100))</f>
        <v>--</v>
      </c>
      <c r="AM20" s="1667" t="str">
        <f>IF($D20="","--",IF(_xll.ciqfunctions.udf.CIQ($D20,AM$7)=0,"n/a",_xll.ciqfunctions.udf.CIQ($D20,AM$7)))</f>
        <v>--</v>
      </c>
      <c r="AN20" s="1667" t="str">
        <f t="shared" si="14"/>
        <v>--</v>
      </c>
      <c r="AO20" s="1667" t="str">
        <f t="shared" si="15"/>
        <v>--</v>
      </c>
      <c r="AP20" s="1667" t="str">
        <f>IF($D20="","--",_xll.ciqfunctions.udf.CIQ($I20,AP$7,IQ_LTM,$E20,ReportType,DataMode,SubjOutputCurrencyCode,"C"))</f>
        <v>--</v>
      </c>
      <c r="AQ20" s="1667" t="str">
        <f t="shared" si="16"/>
        <v>n/a</v>
      </c>
      <c r="AR20" s="1667" t="str">
        <f t="shared" si="17"/>
        <v>n/a</v>
      </c>
      <c r="AS20" s="1667" t="str">
        <f t="shared" si="18"/>
        <v>n/a</v>
      </c>
      <c r="AT20" s="1614" t="str">
        <f t="shared" si="6"/>
        <v>n/a</v>
      </c>
      <c r="AU20" s="1614" t="str">
        <f t="shared" si="7"/>
        <v>n/a</v>
      </c>
      <c r="AV20" s="1614" t="str">
        <f t="shared" si="8"/>
        <v>n/a</v>
      </c>
      <c r="AW20" s="1883"/>
      <c r="AX20" s="1667" t="str">
        <f>IF($D20="","--",_xll.ciqfunctions.udf.CIQ($D20,AX$7))</f>
        <v>--</v>
      </c>
      <c r="AY20" s="1667">
        <f t="shared" si="19"/>
        <v>0</v>
      </c>
      <c r="AZ20" s="1871" t="str">
        <f>IF($D20="","--",_xll.ciqfunctions.udf.CIQ($D20,AZ$7))</f>
        <v>--</v>
      </c>
      <c r="BA20" s="1871" t="str">
        <f>IF($D20="","--",_xll.ciqfunctions.udf.CIQ($D20,BA$7))</f>
        <v>--</v>
      </c>
      <c r="BB20" s="1871" t="str">
        <f>IF($D20="","--",_xll.ciqfunctions.udf.CIQ($D20,BB$7))</f>
        <v>--</v>
      </c>
      <c r="BC20" s="1894" t="str">
        <f t="shared" si="20"/>
        <v>--</v>
      </c>
      <c r="BD20" s="1894" t="str">
        <f t="shared" si="21"/>
        <v>--</v>
      </c>
      <c r="BE20" s="1871" t="str">
        <f>IF($D20="","--",_xll.ciqfunctions.udf.CIQ(I20,BE$7,BC20))</f>
        <v>--</v>
      </c>
      <c r="BF20" s="1871" t="str">
        <f>IF($D20="","--",_xll.ciqfunctions.udf.CIQ(I20,BF$7,BD20))</f>
        <v>--</v>
      </c>
      <c r="BG20" s="1871"/>
      <c r="BH20" s="1509"/>
    </row>
    <row r="21" spans="1:60" s="1853" customFormat="1" ht="13.9">
      <c r="A21" s="1552" t="str">
        <f t="shared" si="9"/>
        <v>n</v>
      </c>
      <c r="B21" s="1509"/>
      <c r="C21" s="1853">
        <v>11</v>
      </c>
      <c r="D21" s="2243"/>
      <c r="E21" s="1894" t="str">
        <f>IF($D21="","--",DATEVALUE(_xll.ciqfunctions.udf.CIQ($D21,E$7)))</f>
        <v>--</v>
      </c>
      <c r="F21" s="1896" t="str">
        <f>IF($D21="","--",_xll.ciqfunctions.udf.CIQ($D21, F$7))</f>
        <v>--</v>
      </c>
      <c r="G21" s="1895" t="str">
        <f>IF($D21="","--",_xll.ciqfunctions.udf.CIQ($D21, G$7))</f>
        <v>--</v>
      </c>
      <c r="H21" s="1911" t="str">
        <f>IF($D21="","--",_xll.ciqfunctions.udf.CIQ($D21, H$7))</f>
        <v>--</v>
      </c>
      <c r="I21" s="1853" t="str">
        <f>IF($D21="","--",_xll.ciqfunctions.udf.CIQ($D21, I$7))</f>
        <v>--</v>
      </c>
      <c r="J21" s="2068" t="str">
        <f>IF($E21="--","--",_xll.ciqfunctions.udf.CIQ($I21,J$7))</f>
        <v>--</v>
      </c>
      <c r="K21" s="1872" t="str">
        <f>IF($D21="","--",_xll.ciqfunctions.udf.CIQ($D21, K$7))</f>
        <v>--</v>
      </c>
      <c r="L21" s="1872" t="str">
        <f>IF($D21="","--",_xll.ciqfunctions.udf.CIQ($D21, L$7))</f>
        <v>--</v>
      </c>
      <c r="M21" s="1903" t="str">
        <f>IF($D21="","--",_xll.ciqfunctions.udf.CIQ($D21, M$7)/100)</f>
        <v>--</v>
      </c>
      <c r="N21" s="1915" t="str">
        <f>IF($D21="","--",_xll.ciqfunctions.udf.CIQ($D21, N$7))</f>
        <v>--</v>
      </c>
      <c r="O21" s="1853" t="str">
        <f>IF($D21="","--",_xll.ciqfunctions.udf.CIQ($D21, O$7))</f>
        <v>--</v>
      </c>
      <c r="P21" s="2068" t="str">
        <f>IF($E21="--","--",_xll.ciqfunctions.udf.CIQ(IFERROR(LEFT(O21,FIND(";",O21,1)-1),O21),P$7))</f>
        <v>--</v>
      </c>
      <c r="Q21" s="1872" t="str">
        <f>IF($D21="","--",_xll.ciqfunctions.udf.CIQ($D21, Q$7))</f>
        <v>--</v>
      </c>
      <c r="R21" s="1899" t="str">
        <f>IF($D21="","--",_xll.ciqfunctions.udf.CIQ($D21, R$7))</f>
        <v>--</v>
      </c>
      <c r="S21" s="1667" t="str">
        <f>IF($D21="","--",_xll.ciqfunctions.udf.CIQ($I21,S$7,$E21,$E21,SubjOutputCurrencyCode,"C"))</f>
        <v>--</v>
      </c>
      <c r="T21" s="1667" t="str">
        <f>IF($D21="","--",IF(_xll.ciqfunctions.udf.CIQ($D21,T$7,,SubjOutputCurrencyCode,"C")=0,"n/a",_xll.ciqfunctions.udf.CIQ($D21,T$7,,SubjOutputCurrencyCode,"C")))</f>
        <v>--</v>
      </c>
      <c r="U21" s="1667" t="str">
        <f>IF($D21="","--",IF(_xll.ciqfunctions.udf.CIQ($D21,U$7,,SubjOutputCurrencyCode,"C")=0,"n/a",_xll.ciqfunctions.udf.CIQ($D21,U$7,,SubjOutputCurrencyCode,"C")))</f>
        <v>--</v>
      </c>
      <c r="V21" s="1667" t="str">
        <f>IF($D21="","--",IF(_xll.ciqfunctions.udf.CIQ($D21,V$7,,SubjOutputCurrencyCode,"C")=0,"n/a",_xll.ciqfunctions.udf.CIQ($D21,V$7,,SubjOutputCurrencyCode,"C")))</f>
        <v>--</v>
      </c>
      <c r="W21" s="1667" t="str">
        <f>IF($D21="","--",IF(_xll.ciqfunctions.udf.CIQ($D21,W$7,,SubjOutputCurrencyCode,"C")=0,"n/a",_xll.ciqfunctions.udf.CIQ($D21,W$7,,SubjOutputCurrencyCode,"C")))</f>
        <v>--</v>
      </c>
      <c r="X21" s="1667" t="str">
        <f>IF($D21="","--",IF(_xll.ciqfunctions.udf.CIQ($D21,X$7,,SubjOutputCurrencyCode,"C")=0,"n/a",_xll.ciqfunctions.udf.CIQ($D21,X$7,,SubjOutputCurrencyCode,"C")))</f>
        <v>--</v>
      </c>
      <c r="Y21" s="1667" t="str">
        <f>IF($D21="","--",IF(_xll.ciqfunctions.udf.CIQ($D21,Y$7,,SubjOutputCurrencyCode,"C")=0,"n/a",_xll.ciqfunctions.udf.CIQ($D21,Y$7,,SubjOutputCurrencyCode,"C")))</f>
        <v>--</v>
      </c>
      <c r="Z21" s="1874" t="str">
        <f t="shared" si="22"/>
        <v>n/a</v>
      </c>
      <c r="AA21" s="1874" t="str">
        <f t="shared" si="1"/>
        <v>n/a</v>
      </c>
      <c r="AB21" s="1874" t="str">
        <f t="shared" si="10"/>
        <v>n/a</v>
      </c>
      <c r="AC21" s="1874" t="str">
        <f t="shared" si="11"/>
        <v>n/a</v>
      </c>
      <c r="AD21" s="1874" t="str">
        <f t="shared" si="12"/>
        <v>n/a</v>
      </c>
      <c r="AE21" s="1874" t="str">
        <f t="shared" si="13"/>
        <v>n/a</v>
      </c>
      <c r="AF21" s="1874" t="str">
        <f t="shared" si="2"/>
        <v>n/a</v>
      </c>
      <c r="AG21" s="1874" t="str">
        <f t="shared" si="3"/>
        <v>n/a</v>
      </c>
      <c r="AH21" s="1874" t="str">
        <f t="shared" si="4"/>
        <v>n/a</v>
      </c>
      <c r="AI21" s="1874" t="str">
        <f t="shared" si="5"/>
        <v>n/a</v>
      </c>
      <c r="AJ21" s="1614" t="str">
        <f>IF($D21="","--",IF(_xll.ciqfunctions.udf.CIQ($D21,AJ$7)=0,"n/a",_xll.ciqfunctions.udf.CIQ($D21,AJ$7)/100))</f>
        <v>--</v>
      </c>
      <c r="AK21" s="1614" t="str">
        <f>IF($D21="","--",IF(_xll.ciqfunctions.udf.CIQ($D21,AK$7)=0,"n/a",_xll.ciqfunctions.udf.CIQ($D21,AK$7)/100))</f>
        <v>--</v>
      </c>
      <c r="AL21" s="1614" t="str">
        <f>IF($D21="","--",IF(_xll.ciqfunctions.udf.CIQ($D21,AL$7)=0,"n/a",_xll.ciqfunctions.udf.CIQ($D21,AL$7)/100))</f>
        <v>--</v>
      </c>
      <c r="AM21" s="1667" t="str">
        <f>IF($D21="","--",IF(_xll.ciqfunctions.udf.CIQ($D21,AM$7)=0,"n/a",_xll.ciqfunctions.udf.CIQ($D21,AM$7)))</f>
        <v>--</v>
      </c>
      <c r="AN21" s="1667" t="str">
        <f t="shared" si="14"/>
        <v>--</v>
      </c>
      <c r="AO21" s="1667" t="str">
        <f t="shared" si="15"/>
        <v>--</v>
      </c>
      <c r="AP21" s="1667" t="str">
        <f>IF($D21="","--",_xll.ciqfunctions.udf.CIQ($I21,AP$7,IQ_LTM,$E21,ReportType,DataMode,SubjOutputCurrencyCode,"C"))</f>
        <v>--</v>
      </c>
      <c r="AQ21" s="1667" t="str">
        <f t="shared" si="16"/>
        <v>n/a</v>
      </c>
      <c r="AR21" s="1667" t="str">
        <f t="shared" si="17"/>
        <v>n/a</v>
      </c>
      <c r="AS21" s="1667" t="str">
        <f t="shared" si="18"/>
        <v>n/a</v>
      </c>
      <c r="AT21" s="1614" t="str">
        <f t="shared" si="6"/>
        <v>n/a</v>
      </c>
      <c r="AU21" s="1614" t="str">
        <f t="shared" si="7"/>
        <v>n/a</v>
      </c>
      <c r="AV21" s="1614" t="str">
        <f t="shared" si="8"/>
        <v>n/a</v>
      </c>
      <c r="AW21" s="1883"/>
      <c r="AX21" s="1667" t="str">
        <f>IF($D21="","--",_xll.ciqfunctions.udf.CIQ($D21,AX$7))</f>
        <v>--</v>
      </c>
      <c r="AY21" s="1667">
        <f t="shared" si="19"/>
        <v>0</v>
      </c>
      <c r="AZ21" s="1871" t="str">
        <f>IF($D21="","--",_xll.ciqfunctions.udf.CIQ($D21,AZ$7))</f>
        <v>--</v>
      </c>
      <c r="BA21" s="1871" t="str">
        <f>IF($D21="","--",_xll.ciqfunctions.udf.CIQ($D21,BA$7))</f>
        <v>--</v>
      </c>
      <c r="BB21" s="1871" t="str">
        <f>IF($D21="","--",_xll.ciqfunctions.udf.CIQ($D21,BB$7))</f>
        <v>--</v>
      </c>
      <c r="BC21" s="1894" t="str">
        <f t="shared" si="20"/>
        <v>--</v>
      </c>
      <c r="BD21" s="1894" t="str">
        <f t="shared" si="21"/>
        <v>--</v>
      </c>
      <c r="BE21" s="1871" t="str">
        <f>IF($D21="","--",_xll.ciqfunctions.udf.CIQ(I21,BE$7,BC21))</f>
        <v>--</v>
      </c>
      <c r="BF21" s="1871" t="str">
        <f>IF($D21="","--",_xll.ciqfunctions.udf.CIQ(I21,BF$7,BD21))</f>
        <v>--</v>
      </c>
      <c r="BG21" s="1871"/>
      <c r="BH21" s="1509"/>
    </row>
    <row r="22" spans="1:60" s="1853" customFormat="1" ht="13.9">
      <c r="A22" s="1552" t="str">
        <f t="shared" si="9"/>
        <v>n</v>
      </c>
      <c r="B22" s="1509"/>
      <c r="C22" s="1853">
        <v>12</v>
      </c>
      <c r="D22" s="2243"/>
      <c r="E22" s="1894" t="str">
        <f>IF($D22="","--",DATEVALUE(_xll.ciqfunctions.udf.CIQ($D22,E$7)))</f>
        <v>--</v>
      </c>
      <c r="F22" s="1896" t="str">
        <f>IF($D22="","--",_xll.ciqfunctions.udf.CIQ($D22, F$7))</f>
        <v>--</v>
      </c>
      <c r="G22" s="1895" t="str">
        <f>IF($D22="","--",_xll.ciqfunctions.udf.CIQ($D22, G$7))</f>
        <v>--</v>
      </c>
      <c r="H22" s="1911" t="str">
        <f>IF($D22="","--",_xll.ciqfunctions.udf.CIQ($D22, H$7))</f>
        <v>--</v>
      </c>
      <c r="I22" s="1853" t="str">
        <f>IF($D22="","--",_xll.ciqfunctions.udf.CIQ($D22, I$7))</f>
        <v>--</v>
      </c>
      <c r="J22" s="2068" t="str">
        <f>IF($E22="--","--",_xll.ciqfunctions.udf.CIQ($I22,J$7))</f>
        <v>--</v>
      </c>
      <c r="K22" s="1872" t="str">
        <f>IF($D22="","--",_xll.ciqfunctions.udf.CIQ($D22, K$7))</f>
        <v>--</v>
      </c>
      <c r="L22" s="1872" t="str">
        <f>IF($D22="","--",_xll.ciqfunctions.udf.CIQ($D22, L$7))</f>
        <v>--</v>
      </c>
      <c r="M22" s="1903" t="str">
        <f>IF($D22="","--",_xll.ciqfunctions.udf.CIQ($D22, M$7)/100)</f>
        <v>--</v>
      </c>
      <c r="N22" s="1915" t="str">
        <f>IF($D22="","--",_xll.ciqfunctions.udf.CIQ($D22, N$7))</f>
        <v>--</v>
      </c>
      <c r="O22" s="1853" t="str">
        <f>IF($D22="","--",_xll.ciqfunctions.udf.CIQ($D22, O$7))</f>
        <v>--</v>
      </c>
      <c r="P22" s="2068" t="str">
        <f>IF($E22="--","--",_xll.ciqfunctions.udf.CIQ(IFERROR(LEFT(O22,FIND(";",O22,1)-1),O22),P$7))</f>
        <v>--</v>
      </c>
      <c r="Q22" s="1872" t="str">
        <f>IF($D22="","--",_xll.ciqfunctions.udf.CIQ($D22, Q$7))</f>
        <v>--</v>
      </c>
      <c r="R22" s="1899" t="str">
        <f>IF($D22="","--",_xll.ciqfunctions.udf.CIQ($D22, R$7))</f>
        <v>--</v>
      </c>
      <c r="S22" s="1667" t="str">
        <f>IF($D22="","--",_xll.ciqfunctions.udf.CIQ($I22,S$7,$E22,$E22,SubjOutputCurrencyCode,"C"))</f>
        <v>--</v>
      </c>
      <c r="T22" s="1667" t="str">
        <f>IF($D22="","--",IF(_xll.ciqfunctions.udf.CIQ($D22,T$7,,SubjOutputCurrencyCode,"C")=0,"n/a",_xll.ciqfunctions.udf.CIQ($D22,T$7,,SubjOutputCurrencyCode,"C")))</f>
        <v>--</v>
      </c>
      <c r="U22" s="1667" t="str">
        <f>IF($D22="","--",IF(_xll.ciqfunctions.udf.CIQ($D22,U$7,,SubjOutputCurrencyCode,"C")=0,"n/a",_xll.ciqfunctions.udf.CIQ($D22,U$7,,SubjOutputCurrencyCode,"C")))</f>
        <v>--</v>
      </c>
      <c r="V22" s="1667" t="str">
        <f>IF($D22="","--",IF(_xll.ciqfunctions.udf.CIQ($D22,V$7,,SubjOutputCurrencyCode,"C")=0,"n/a",_xll.ciqfunctions.udf.CIQ($D22,V$7,,SubjOutputCurrencyCode,"C")))</f>
        <v>--</v>
      </c>
      <c r="W22" s="1667" t="str">
        <f>IF($D22="","--",IF(_xll.ciqfunctions.udf.CIQ($D22,W$7,,SubjOutputCurrencyCode,"C")=0,"n/a",_xll.ciqfunctions.udf.CIQ($D22,W$7,,SubjOutputCurrencyCode,"C")))</f>
        <v>--</v>
      </c>
      <c r="X22" s="1667" t="str">
        <f>IF($D22="","--",IF(_xll.ciqfunctions.udf.CIQ($D22,X$7,,SubjOutputCurrencyCode,"C")=0,"n/a",_xll.ciqfunctions.udf.CIQ($D22,X$7,,SubjOutputCurrencyCode,"C")))</f>
        <v>--</v>
      </c>
      <c r="Y22" s="1667" t="str">
        <f>IF($D22="","--",IF(_xll.ciqfunctions.udf.CIQ($D22,Y$7,,SubjOutputCurrencyCode,"C")=0,"n/a",_xll.ciqfunctions.udf.CIQ($D22,Y$7,,SubjOutputCurrencyCode,"C")))</f>
        <v>--</v>
      </c>
      <c r="Z22" s="1874" t="str">
        <f t="shared" si="22"/>
        <v>n/a</v>
      </c>
      <c r="AA22" s="1874" t="str">
        <f t="shared" si="1"/>
        <v>n/a</v>
      </c>
      <c r="AB22" s="1874" t="str">
        <f t="shared" si="10"/>
        <v>n/a</v>
      </c>
      <c r="AC22" s="1874" t="str">
        <f t="shared" si="11"/>
        <v>n/a</v>
      </c>
      <c r="AD22" s="1874" t="str">
        <f t="shared" si="12"/>
        <v>n/a</v>
      </c>
      <c r="AE22" s="1874" t="str">
        <f t="shared" si="13"/>
        <v>n/a</v>
      </c>
      <c r="AF22" s="1874" t="str">
        <f t="shared" si="2"/>
        <v>n/a</v>
      </c>
      <c r="AG22" s="1874" t="str">
        <f t="shared" si="3"/>
        <v>n/a</v>
      </c>
      <c r="AH22" s="1874" t="str">
        <f t="shared" si="4"/>
        <v>n/a</v>
      </c>
      <c r="AI22" s="1874" t="str">
        <f t="shared" si="5"/>
        <v>n/a</v>
      </c>
      <c r="AJ22" s="1614" t="str">
        <f>IF($D22="","--",IF(_xll.ciqfunctions.udf.CIQ($D22,AJ$7)=0,"n/a",_xll.ciqfunctions.udf.CIQ($D22,AJ$7)/100))</f>
        <v>--</v>
      </c>
      <c r="AK22" s="1614" t="str">
        <f>IF($D22="","--",IF(_xll.ciqfunctions.udf.CIQ($D22,AK$7)=0,"n/a",_xll.ciqfunctions.udf.CIQ($D22,AK$7)/100))</f>
        <v>--</v>
      </c>
      <c r="AL22" s="1614" t="str">
        <f>IF($D22="","--",IF(_xll.ciqfunctions.udf.CIQ($D22,AL$7)=0,"n/a",_xll.ciqfunctions.udf.CIQ($D22,AL$7)/100))</f>
        <v>--</v>
      </c>
      <c r="AM22" s="1667" t="str">
        <f>IF($D22="","--",IF(_xll.ciqfunctions.udf.CIQ($D22,AM$7)=0,"n/a",_xll.ciqfunctions.udf.CIQ($D22,AM$7)))</f>
        <v>--</v>
      </c>
      <c r="AN22" s="1667" t="str">
        <f t="shared" si="14"/>
        <v>--</v>
      </c>
      <c r="AO22" s="1667" t="str">
        <f t="shared" si="15"/>
        <v>--</v>
      </c>
      <c r="AP22" s="1667" t="str">
        <f>IF($D22="","--",_xll.ciqfunctions.udf.CIQ($I22,AP$7,IQ_LTM,$E22,ReportType,DataMode,SubjOutputCurrencyCode,"C"))</f>
        <v>--</v>
      </c>
      <c r="AQ22" s="1667" t="str">
        <f t="shared" si="16"/>
        <v>n/a</v>
      </c>
      <c r="AR22" s="1667" t="str">
        <f t="shared" si="17"/>
        <v>n/a</v>
      </c>
      <c r="AS22" s="1667" t="str">
        <f t="shared" si="18"/>
        <v>n/a</v>
      </c>
      <c r="AT22" s="1614" t="str">
        <f t="shared" si="6"/>
        <v>n/a</v>
      </c>
      <c r="AU22" s="1614" t="str">
        <f t="shared" si="7"/>
        <v>n/a</v>
      </c>
      <c r="AV22" s="1614" t="str">
        <f t="shared" si="8"/>
        <v>n/a</v>
      </c>
      <c r="AW22" s="1883"/>
      <c r="AX22" s="1667" t="str">
        <f>IF($D22="","--",_xll.ciqfunctions.udf.CIQ($D22,AX$7))</f>
        <v>--</v>
      </c>
      <c r="AY22" s="1667">
        <f t="shared" si="19"/>
        <v>0</v>
      </c>
      <c r="AZ22" s="1871" t="str">
        <f>IF($D22="","--",_xll.ciqfunctions.udf.CIQ($D22,AZ$7))</f>
        <v>--</v>
      </c>
      <c r="BA22" s="1871" t="str">
        <f>IF($D22="","--",_xll.ciqfunctions.udf.CIQ($D22,BA$7))</f>
        <v>--</v>
      </c>
      <c r="BB22" s="1871" t="str">
        <f>IF($D22="","--",_xll.ciqfunctions.udf.CIQ($D22,BB$7))</f>
        <v>--</v>
      </c>
      <c r="BC22" s="1894" t="str">
        <f t="shared" si="20"/>
        <v>--</v>
      </c>
      <c r="BD22" s="1894" t="str">
        <f t="shared" si="21"/>
        <v>--</v>
      </c>
      <c r="BE22" s="1871" t="str">
        <f>IF($D22="","--",_xll.ciqfunctions.udf.CIQ(I22,BE$7,BC22))</f>
        <v>--</v>
      </c>
      <c r="BF22" s="1871" t="str">
        <f>IF($D22="","--",_xll.ciqfunctions.udf.CIQ(I22,BF$7,BD22))</f>
        <v>--</v>
      </c>
      <c r="BG22" s="1871"/>
      <c r="BH22" s="1509"/>
    </row>
    <row r="23" spans="1:60" s="1853" customFormat="1" ht="13.9">
      <c r="A23" s="1552" t="str">
        <f t="shared" si="9"/>
        <v>n</v>
      </c>
      <c r="B23" s="1509"/>
      <c r="C23" s="1853">
        <v>13</v>
      </c>
      <c r="D23" s="2243"/>
      <c r="E23" s="1894" t="str">
        <f>IF($D23="","--",DATEVALUE(_xll.ciqfunctions.udf.CIQ($D23,E$7)))</f>
        <v>--</v>
      </c>
      <c r="F23" s="1896" t="str">
        <f>IF($D23="","--",_xll.ciqfunctions.udf.CIQ($D23, F$7))</f>
        <v>--</v>
      </c>
      <c r="G23" s="1895" t="str">
        <f>IF($D23="","--",_xll.ciqfunctions.udf.CIQ($D23, G$7))</f>
        <v>--</v>
      </c>
      <c r="H23" s="1911" t="str">
        <f>IF($D23="","--",_xll.ciqfunctions.udf.CIQ($D23, H$7))</f>
        <v>--</v>
      </c>
      <c r="I23" s="1853" t="str">
        <f>IF($D23="","--",_xll.ciqfunctions.udf.CIQ($D23, I$7))</f>
        <v>--</v>
      </c>
      <c r="J23" s="2068" t="str">
        <f>IF($E23="--","--",_xll.ciqfunctions.udf.CIQ($I23,J$7))</f>
        <v>--</v>
      </c>
      <c r="K23" s="1872" t="str">
        <f>IF($D23="","--",_xll.ciqfunctions.udf.CIQ($D23, K$7))</f>
        <v>--</v>
      </c>
      <c r="L23" s="1872" t="str">
        <f>IF($D23="","--",_xll.ciqfunctions.udf.CIQ($D23, L$7))</f>
        <v>--</v>
      </c>
      <c r="M23" s="1903" t="str">
        <f>IF($D23="","--",_xll.ciqfunctions.udf.CIQ($D23, M$7)/100)</f>
        <v>--</v>
      </c>
      <c r="N23" s="1915" t="str">
        <f>IF($D23="","--",_xll.ciqfunctions.udf.CIQ($D23, N$7))</f>
        <v>--</v>
      </c>
      <c r="O23" s="1853" t="str">
        <f>IF($D23="","--",_xll.ciqfunctions.udf.CIQ($D23, O$7))</f>
        <v>--</v>
      </c>
      <c r="P23" s="2068" t="str">
        <f>IF($E23="--","--",_xll.ciqfunctions.udf.CIQ(IFERROR(LEFT(O23,FIND(";",O23,1)-1),O23),P$7))</f>
        <v>--</v>
      </c>
      <c r="Q23" s="1872" t="str">
        <f>IF($D23="","--",_xll.ciqfunctions.udf.CIQ($D23, Q$7))</f>
        <v>--</v>
      </c>
      <c r="R23" s="1899" t="str">
        <f>IF($D23="","--",_xll.ciqfunctions.udf.CIQ($D23, R$7))</f>
        <v>--</v>
      </c>
      <c r="S23" s="1667" t="str">
        <f>IF($D23="","--",_xll.ciqfunctions.udf.CIQ($I23,S$7,$E23,$E23,SubjOutputCurrencyCode,"C"))</f>
        <v>--</v>
      </c>
      <c r="T23" s="1667" t="str">
        <f>IF($D23="","--",IF(_xll.ciqfunctions.udf.CIQ($D23,T$7,,SubjOutputCurrencyCode,"C")=0,"n/a",_xll.ciqfunctions.udf.CIQ($D23,T$7,,SubjOutputCurrencyCode,"C")))</f>
        <v>--</v>
      </c>
      <c r="U23" s="1667" t="str">
        <f>IF($D23="","--",IF(_xll.ciqfunctions.udf.CIQ($D23,U$7,,SubjOutputCurrencyCode,"C")=0,"n/a",_xll.ciqfunctions.udf.CIQ($D23,U$7,,SubjOutputCurrencyCode,"C")))</f>
        <v>--</v>
      </c>
      <c r="V23" s="1667" t="str">
        <f>IF($D23="","--",IF(_xll.ciqfunctions.udf.CIQ($D23,V$7,,SubjOutputCurrencyCode,"C")=0,"n/a",_xll.ciqfunctions.udf.CIQ($D23,V$7,,SubjOutputCurrencyCode,"C")))</f>
        <v>--</v>
      </c>
      <c r="W23" s="1667" t="str">
        <f>IF($D23="","--",IF(_xll.ciqfunctions.udf.CIQ($D23,W$7,,SubjOutputCurrencyCode,"C")=0,"n/a",_xll.ciqfunctions.udf.CIQ($D23,W$7,,SubjOutputCurrencyCode,"C")))</f>
        <v>--</v>
      </c>
      <c r="X23" s="1667" t="str">
        <f>IF($D23="","--",IF(_xll.ciqfunctions.udf.CIQ($D23,X$7,,SubjOutputCurrencyCode,"C")=0,"n/a",_xll.ciqfunctions.udf.CIQ($D23,X$7,,SubjOutputCurrencyCode,"C")))</f>
        <v>--</v>
      </c>
      <c r="Y23" s="1667" t="str">
        <f>IF($D23="","--",IF(_xll.ciqfunctions.udf.CIQ($D23,Y$7,,SubjOutputCurrencyCode,"C")=0,"n/a",_xll.ciqfunctions.udf.CIQ($D23,Y$7,,SubjOutputCurrencyCode,"C")))</f>
        <v>--</v>
      </c>
      <c r="Z23" s="1874" t="str">
        <f t="shared" si="22"/>
        <v>n/a</v>
      </c>
      <c r="AA23" s="1874" t="str">
        <f t="shared" si="1"/>
        <v>n/a</v>
      </c>
      <c r="AB23" s="1874" t="str">
        <f t="shared" si="10"/>
        <v>n/a</v>
      </c>
      <c r="AC23" s="1874" t="str">
        <f t="shared" si="11"/>
        <v>n/a</v>
      </c>
      <c r="AD23" s="1874" t="str">
        <f t="shared" si="12"/>
        <v>n/a</v>
      </c>
      <c r="AE23" s="1874" t="str">
        <f t="shared" si="13"/>
        <v>n/a</v>
      </c>
      <c r="AF23" s="1874" t="str">
        <f t="shared" si="2"/>
        <v>n/a</v>
      </c>
      <c r="AG23" s="1874" t="str">
        <f t="shared" si="3"/>
        <v>n/a</v>
      </c>
      <c r="AH23" s="1874" t="str">
        <f t="shared" si="4"/>
        <v>n/a</v>
      </c>
      <c r="AI23" s="1874" t="str">
        <f t="shared" si="5"/>
        <v>n/a</v>
      </c>
      <c r="AJ23" s="1614" t="str">
        <f>IF($D23="","--",IF(_xll.ciqfunctions.udf.CIQ($D23,AJ$7)=0,"n/a",_xll.ciqfunctions.udf.CIQ($D23,AJ$7)/100))</f>
        <v>--</v>
      </c>
      <c r="AK23" s="1614" t="str">
        <f>IF($D23="","--",IF(_xll.ciqfunctions.udf.CIQ($D23,AK$7)=0,"n/a",_xll.ciqfunctions.udf.CIQ($D23,AK$7)/100))</f>
        <v>--</v>
      </c>
      <c r="AL23" s="1614" t="str">
        <f>IF($D23="","--",IF(_xll.ciqfunctions.udf.CIQ($D23,AL$7)=0,"n/a",_xll.ciqfunctions.udf.CIQ($D23,AL$7)/100))</f>
        <v>--</v>
      </c>
      <c r="AM23" s="1667" t="str">
        <f>IF($D23="","--",IF(_xll.ciqfunctions.udf.CIQ($D23,AM$7)=0,"n/a",_xll.ciqfunctions.udf.CIQ($D23,AM$7)))</f>
        <v>--</v>
      </c>
      <c r="AN23" s="1667" t="str">
        <f t="shared" si="14"/>
        <v>--</v>
      </c>
      <c r="AO23" s="1667" t="str">
        <f t="shared" si="15"/>
        <v>--</v>
      </c>
      <c r="AP23" s="1667" t="str">
        <f>IF($D23="","--",_xll.ciqfunctions.udf.CIQ($I23,AP$7,IQ_LTM,$E23,ReportType,DataMode,SubjOutputCurrencyCode,"C"))</f>
        <v>--</v>
      </c>
      <c r="AQ23" s="1667" t="str">
        <f t="shared" si="16"/>
        <v>n/a</v>
      </c>
      <c r="AR23" s="1667" t="str">
        <f t="shared" si="17"/>
        <v>n/a</v>
      </c>
      <c r="AS23" s="1667" t="str">
        <f t="shared" si="18"/>
        <v>n/a</v>
      </c>
      <c r="AT23" s="1614" t="str">
        <f t="shared" si="6"/>
        <v>n/a</v>
      </c>
      <c r="AU23" s="1614" t="str">
        <f t="shared" si="7"/>
        <v>n/a</v>
      </c>
      <c r="AV23" s="1614" t="str">
        <f t="shared" si="8"/>
        <v>n/a</v>
      </c>
      <c r="AW23" s="1883"/>
      <c r="AX23" s="1667" t="str">
        <f>IF($D23="","--",_xll.ciqfunctions.udf.CIQ($D23,AX$7))</f>
        <v>--</v>
      </c>
      <c r="AY23" s="1667">
        <f t="shared" si="19"/>
        <v>0</v>
      </c>
      <c r="AZ23" s="1871" t="str">
        <f>IF($D23="","--",_xll.ciqfunctions.udf.CIQ($D23,AZ$7))</f>
        <v>--</v>
      </c>
      <c r="BA23" s="1871" t="str">
        <f>IF($D23="","--",_xll.ciqfunctions.udf.CIQ($D23,BA$7))</f>
        <v>--</v>
      </c>
      <c r="BB23" s="1871" t="str">
        <f>IF($D23="","--",_xll.ciqfunctions.udf.CIQ($D23,BB$7))</f>
        <v>--</v>
      </c>
      <c r="BC23" s="1894" t="str">
        <f t="shared" si="20"/>
        <v>--</v>
      </c>
      <c r="BD23" s="1894" t="str">
        <f t="shared" si="21"/>
        <v>--</v>
      </c>
      <c r="BE23" s="1871" t="str">
        <f>IF($D23="","--",_xll.ciqfunctions.udf.CIQ(I23,BE$7,BC23))</f>
        <v>--</v>
      </c>
      <c r="BF23" s="1871" t="str">
        <f>IF($D23="","--",_xll.ciqfunctions.udf.CIQ(I23,BF$7,BD23))</f>
        <v>--</v>
      </c>
      <c r="BG23" s="1871"/>
      <c r="BH23" s="1509"/>
    </row>
    <row r="24" spans="1:60" s="1853" customFormat="1" ht="13.9">
      <c r="A24" s="1552" t="str">
        <f t="shared" si="9"/>
        <v>n</v>
      </c>
      <c r="B24" s="1509"/>
      <c r="C24" s="1853">
        <v>14</v>
      </c>
      <c r="D24" s="2243"/>
      <c r="E24" s="1894" t="str">
        <f>IF($D24="","--",DATEVALUE(_xll.ciqfunctions.udf.CIQ($D24,E$7)))</f>
        <v>--</v>
      </c>
      <c r="F24" s="1896" t="str">
        <f>IF($D24="","--",_xll.ciqfunctions.udf.CIQ($D24, F$7))</f>
        <v>--</v>
      </c>
      <c r="G24" s="1895" t="str">
        <f>IF($D24="","--",_xll.ciqfunctions.udf.CIQ($D24, G$7))</f>
        <v>--</v>
      </c>
      <c r="H24" s="1911" t="str">
        <f>IF($D24="","--",_xll.ciqfunctions.udf.CIQ($D24, H$7))</f>
        <v>--</v>
      </c>
      <c r="I24" s="1853" t="str">
        <f>IF($D24="","--",_xll.ciqfunctions.udf.CIQ($D24, I$7))</f>
        <v>--</v>
      </c>
      <c r="J24" s="2068" t="str">
        <f>IF($E24="--","--",_xll.ciqfunctions.udf.CIQ($I24,J$7))</f>
        <v>--</v>
      </c>
      <c r="K24" s="1872" t="str">
        <f>IF($D24="","--",_xll.ciqfunctions.udf.CIQ($D24, K$7))</f>
        <v>--</v>
      </c>
      <c r="L24" s="1872" t="str">
        <f>IF($D24="","--",_xll.ciqfunctions.udf.CIQ($D24, L$7))</f>
        <v>--</v>
      </c>
      <c r="M24" s="1903" t="str">
        <f>IF($D24="","--",_xll.ciqfunctions.udf.CIQ($D24, M$7)/100)</f>
        <v>--</v>
      </c>
      <c r="N24" s="1916" t="str">
        <f>IF($D24="","--",_xll.ciqfunctions.udf.CIQ($D24, N$7))</f>
        <v>--</v>
      </c>
      <c r="O24" s="1853" t="str">
        <f>IF($D24="","--",_xll.ciqfunctions.udf.CIQ($D24, O$7))</f>
        <v>--</v>
      </c>
      <c r="P24" s="2068" t="str">
        <f>IF($E24="--","--",_xll.ciqfunctions.udf.CIQ(IFERROR(LEFT(O24,FIND(";",O24,1)-1),O24),P$7))</f>
        <v>--</v>
      </c>
      <c r="Q24" s="1872" t="str">
        <f>IF($D24="","--",_xll.ciqfunctions.udf.CIQ($D24, Q$7))</f>
        <v>--</v>
      </c>
      <c r="R24" s="1899" t="str">
        <f>IF($D24="","--",_xll.ciqfunctions.udf.CIQ($D24, R$7))</f>
        <v>--</v>
      </c>
      <c r="S24" s="1667" t="str">
        <f>IF($D24="","--",_xll.ciqfunctions.udf.CIQ($I24,S$7,$E24,$E24,SubjOutputCurrencyCode,"C"))</f>
        <v>--</v>
      </c>
      <c r="T24" s="1667" t="str">
        <f>IF($D24="","--",IF(_xll.ciqfunctions.udf.CIQ($D24,T$7,,SubjOutputCurrencyCode,"C")=0,"n/a",_xll.ciqfunctions.udf.CIQ($D24,T$7,,SubjOutputCurrencyCode,"C")))</f>
        <v>--</v>
      </c>
      <c r="U24" s="1667" t="str">
        <f>IF($D24="","--",IF(_xll.ciqfunctions.udf.CIQ($D24,U$7,,SubjOutputCurrencyCode,"C")=0,"n/a",_xll.ciqfunctions.udf.CIQ($D24,U$7,,SubjOutputCurrencyCode,"C")))</f>
        <v>--</v>
      </c>
      <c r="V24" s="1667" t="str">
        <f>IF($D24="","--",IF(_xll.ciqfunctions.udf.CIQ($D24,V$7,,SubjOutputCurrencyCode,"C")=0,"n/a",_xll.ciqfunctions.udf.CIQ($D24,V$7,,SubjOutputCurrencyCode,"C")))</f>
        <v>--</v>
      </c>
      <c r="W24" s="1667" t="str">
        <f>IF($D24="","--",IF(_xll.ciqfunctions.udf.CIQ($D24,W$7,,SubjOutputCurrencyCode,"C")=0,"n/a",_xll.ciqfunctions.udf.CIQ($D24,W$7,,SubjOutputCurrencyCode,"C")))</f>
        <v>--</v>
      </c>
      <c r="X24" s="1667" t="str">
        <f>IF($D24="","--",IF(_xll.ciqfunctions.udf.CIQ($D24,X$7,,SubjOutputCurrencyCode,"C")=0,"n/a",_xll.ciqfunctions.udf.CIQ($D24,X$7,,SubjOutputCurrencyCode,"C")))</f>
        <v>--</v>
      </c>
      <c r="Y24" s="1667" t="str">
        <f>IF($D24="","--",IF(_xll.ciqfunctions.udf.CIQ($D24,Y$7,,SubjOutputCurrencyCode,"C")=0,"n/a",_xll.ciqfunctions.udf.CIQ($D24,Y$7,,SubjOutputCurrencyCode,"C")))</f>
        <v>--</v>
      </c>
      <c r="Z24" s="1874" t="str">
        <f t="shared" si="22"/>
        <v>n/a</v>
      </c>
      <c r="AA24" s="1874" t="str">
        <f t="shared" si="1"/>
        <v>n/a</v>
      </c>
      <c r="AB24" s="1874" t="str">
        <f t="shared" si="10"/>
        <v>n/a</v>
      </c>
      <c r="AC24" s="1874" t="str">
        <f t="shared" si="11"/>
        <v>n/a</v>
      </c>
      <c r="AD24" s="1874" t="str">
        <f t="shared" si="12"/>
        <v>n/a</v>
      </c>
      <c r="AE24" s="1874" t="str">
        <f t="shared" si="13"/>
        <v>n/a</v>
      </c>
      <c r="AF24" s="1874" t="str">
        <f t="shared" si="2"/>
        <v>n/a</v>
      </c>
      <c r="AG24" s="1874" t="str">
        <f t="shared" si="3"/>
        <v>n/a</v>
      </c>
      <c r="AH24" s="1874" t="str">
        <f t="shared" si="4"/>
        <v>n/a</v>
      </c>
      <c r="AI24" s="1874" t="str">
        <f t="shared" si="5"/>
        <v>n/a</v>
      </c>
      <c r="AJ24" s="1614" t="str">
        <f>IF($D24="","--",IF(_xll.ciqfunctions.udf.CIQ($D24,AJ$7)=0,"n/a",_xll.ciqfunctions.udf.CIQ($D24,AJ$7)/100))</f>
        <v>--</v>
      </c>
      <c r="AK24" s="1614" t="str">
        <f>IF($D24="","--",IF(_xll.ciqfunctions.udf.CIQ($D24,AK$7)=0,"n/a",_xll.ciqfunctions.udf.CIQ($D24,AK$7)/100))</f>
        <v>--</v>
      </c>
      <c r="AL24" s="1614" t="str">
        <f>IF($D24="","--",IF(_xll.ciqfunctions.udf.CIQ($D24,AL$7)=0,"n/a",_xll.ciqfunctions.udf.CIQ($D24,AL$7)/100))</f>
        <v>--</v>
      </c>
      <c r="AM24" s="1667" t="str">
        <f>IF($D24="","--",IF(_xll.ciqfunctions.udf.CIQ($D24,AM$7)=0,"n/a",_xll.ciqfunctions.udf.CIQ($D24,AM$7)))</f>
        <v>--</v>
      </c>
      <c r="AN24" s="1667" t="str">
        <f t="shared" si="14"/>
        <v>--</v>
      </c>
      <c r="AO24" s="1667" t="str">
        <f t="shared" si="15"/>
        <v>--</v>
      </c>
      <c r="AP24" s="1667" t="str">
        <f>IF($D24="","--",_xll.ciqfunctions.udf.CIQ($I24,AP$7,IQ_LTM,$E24,ReportType,DataMode,SubjOutputCurrencyCode,"C"))</f>
        <v>--</v>
      </c>
      <c r="AQ24" s="1667" t="str">
        <f t="shared" si="16"/>
        <v>n/a</v>
      </c>
      <c r="AR24" s="1667" t="str">
        <f t="shared" si="17"/>
        <v>n/a</v>
      </c>
      <c r="AS24" s="1667" t="str">
        <f t="shared" si="18"/>
        <v>n/a</v>
      </c>
      <c r="AT24" s="1614" t="str">
        <f t="shared" si="6"/>
        <v>n/a</v>
      </c>
      <c r="AU24" s="1614" t="str">
        <f t="shared" si="7"/>
        <v>n/a</v>
      </c>
      <c r="AV24" s="1614" t="str">
        <f t="shared" si="8"/>
        <v>n/a</v>
      </c>
      <c r="AW24" s="1883"/>
      <c r="AX24" s="1667" t="str">
        <f>IF($D24="","--",_xll.ciqfunctions.udf.CIQ($D24,AX$7))</f>
        <v>--</v>
      </c>
      <c r="AY24" s="1667">
        <f t="shared" si="19"/>
        <v>0</v>
      </c>
      <c r="AZ24" s="1871" t="str">
        <f>IF($D24="","--",_xll.ciqfunctions.udf.CIQ($D24,AZ$7))</f>
        <v>--</v>
      </c>
      <c r="BA24" s="1871" t="str">
        <f>IF($D24="","--",_xll.ciqfunctions.udf.CIQ($D24,BA$7))</f>
        <v>--</v>
      </c>
      <c r="BB24" s="1871" t="str">
        <f>IF($D24="","--",_xll.ciqfunctions.udf.CIQ($D24,BB$7))</f>
        <v>--</v>
      </c>
      <c r="BC24" s="1894" t="str">
        <f t="shared" si="20"/>
        <v>--</v>
      </c>
      <c r="BD24" s="1894" t="str">
        <f t="shared" si="21"/>
        <v>--</v>
      </c>
      <c r="BE24" s="1871" t="str">
        <f>IF($D24="","--",_xll.ciqfunctions.udf.CIQ(I24,BE$7,BC24))</f>
        <v>--</v>
      </c>
      <c r="BF24" s="1871" t="str">
        <f>IF($D24="","--",_xll.ciqfunctions.udf.CIQ(I24,BF$7,BD24))</f>
        <v>--</v>
      </c>
      <c r="BG24" s="1871"/>
      <c r="BH24" s="1509"/>
    </row>
    <row r="25" spans="1:60" s="1853" customFormat="1" ht="13.9">
      <c r="A25" s="1552" t="str">
        <f t="shared" si="9"/>
        <v>n</v>
      </c>
      <c r="B25" s="1509"/>
      <c r="C25" s="1853">
        <v>15</v>
      </c>
      <c r="D25" s="2243"/>
      <c r="E25" s="1894" t="str">
        <f>IF($D25="","--",DATEVALUE(_xll.ciqfunctions.udf.CIQ($D25,E$7)))</f>
        <v>--</v>
      </c>
      <c r="F25" s="1896" t="str">
        <f>IF($D25="","--",_xll.ciqfunctions.udf.CIQ($D25, F$7))</f>
        <v>--</v>
      </c>
      <c r="G25" s="1895" t="str">
        <f>IF($D25="","--",_xll.ciqfunctions.udf.CIQ($D25, G$7))</f>
        <v>--</v>
      </c>
      <c r="H25" s="1911" t="str">
        <f>IF($D25="","--",_xll.ciqfunctions.udf.CIQ($D25, H$7))</f>
        <v>--</v>
      </c>
      <c r="I25" s="1853" t="str">
        <f>IF($D25="","--",_xll.ciqfunctions.udf.CIQ($D25, I$7))</f>
        <v>--</v>
      </c>
      <c r="J25" s="2068" t="str">
        <f>IF($E25="--","--",_xll.ciqfunctions.udf.CIQ($I25,J$7))</f>
        <v>--</v>
      </c>
      <c r="K25" s="1872" t="str">
        <f>IF($D25="","--",_xll.ciqfunctions.udf.CIQ($D25, K$7))</f>
        <v>--</v>
      </c>
      <c r="L25" s="1872" t="str">
        <f>IF($D25="","--",_xll.ciqfunctions.udf.CIQ($D25, L$7))</f>
        <v>--</v>
      </c>
      <c r="M25" s="1903" t="str">
        <f>IF($D25="","--",_xll.ciqfunctions.udf.CIQ($D25, M$7)/100)</f>
        <v>--</v>
      </c>
      <c r="N25" s="1915" t="str">
        <f>IF($D25="","--",_xll.ciqfunctions.udf.CIQ($D25, N$7))</f>
        <v>--</v>
      </c>
      <c r="O25" s="1853" t="str">
        <f>IF($D25="","--",_xll.ciqfunctions.udf.CIQ($D25, O$7))</f>
        <v>--</v>
      </c>
      <c r="P25" s="2068" t="str">
        <f>IF($E25="--","--",_xll.ciqfunctions.udf.CIQ(IFERROR(LEFT(O25,FIND(";",O25,1)-1),O25),P$7))</f>
        <v>--</v>
      </c>
      <c r="Q25" s="1872" t="str">
        <f>IF($D25="","--",_xll.ciqfunctions.udf.CIQ($D25, Q$7))</f>
        <v>--</v>
      </c>
      <c r="R25" s="1899" t="str">
        <f>IF($D25="","--",_xll.ciqfunctions.udf.CIQ($D25, R$7))</f>
        <v>--</v>
      </c>
      <c r="S25" s="1667" t="str">
        <f>IF($D25="","--",_xll.ciqfunctions.udf.CIQ($I25,S$7,$E25,$E25,SubjOutputCurrencyCode,"C"))</f>
        <v>--</v>
      </c>
      <c r="T25" s="1667" t="str">
        <f>IF($D25="","--",IF(_xll.ciqfunctions.udf.CIQ($D25,T$7,,SubjOutputCurrencyCode,"C")=0,"n/a",_xll.ciqfunctions.udf.CIQ($D25,T$7,,SubjOutputCurrencyCode,"C")))</f>
        <v>--</v>
      </c>
      <c r="U25" s="1667" t="str">
        <f>IF($D25="","--",IF(_xll.ciqfunctions.udf.CIQ($D25,U$7,,SubjOutputCurrencyCode,"C")=0,"n/a",_xll.ciqfunctions.udf.CIQ($D25,U$7,,SubjOutputCurrencyCode,"C")))</f>
        <v>--</v>
      </c>
      <c r="V25" s="1667" t="str">
        <f>IF($D25="","--",IF(_xll.ciqfunctions.udf.CIQ($D25,V$7,,SubjOutputCurrencyCode,"C")=0,"n/a",_xll.ciqfunctions.udf.CIQ($D25,V$7,,SubjOutputCurrencyCode,"C")))</f>
        <v>--</v>
      </c>
      <c r="W25" s="1667" t="str">
        <f>IF($D25="","--",IF(_xll.ciqfunctions.udf.CIQ($D25,W$7,,SubjOutputCurrencyCode,"C")=0,"n/a",_xll.ciqfunctions.udf.CIQ($D25,W$7,,SubjOutputCurrencyCode,"C")))</f>
        <v>--</v>
      </c>
      <c r="X25" s="1667" t="str">
        <f>IF($D25="","--",IF(_xll.ciqfunctions.udf.CIQ($D25,X$7,,SubjOutputCurrencyCode,"C")=0,"n/a",_xll.ciqfunctions.udf.CIQ($D25,X$7,,SubjOutputCurrencyCode,"C")))</f>
        <v>--</v>
      </c>
      <c r="Y25" s="1667" t="str">
        <f>IF($D25="","--",IF(_xll.ciqfunctions.udf.CIQ($D25,Y$7,,SubjOutputCurrencyCode,"C")=0,"n/a",_xll.ciqfunctions.udf.CIQ($D25,Y$7,,SubjOutputCurrencyCode,"C")))</f>
        <v>--</v>
      </c>
      <c r="Z25" s="1874" t="str">
        <f t="shared" si="22"/>
        <v>n/a</v>
      </c>
      <c r="AA25" s="1874" t="str">
        <f t="shared" si="1"/>
        <v>n/a</v>
      </c>
      <c r="AB25" s="1874" t="str">
        <f t="shared" si="10"/>
        <v>n/a</v>
      </c>
      <c r="AC25" s="1874" t="str">
        <f t="shared" si="11"/>
        <v>n/a</v>
      </c>
      <c r="AD25" s="1874" t="str">
        <f t="shared" si="12"/>
        <v>n/a</v>
      </c>
      <c r="AE25" s="1874" t="str">
        <f t="shared" si="13"/>
        <v>n/a</v>
      </c>
      <c r="AF25" s="1874" t="str">
        <f t="shared" si="2"/>
        <v>n/a</v>
      </c>
      <c r="AG25" s="1874" t="str">
        <f t="shared" si="3"/>
        <v>n/a</v>
      </c>
      <c r="AH25" s="1874" t="str">
        <f t="shared" si="4"/>
        <v>n/a</v>
      </c>
      <c r="AI25" s="1874" t="str">
        <f t="shared" si="5"/>
        <v>n/a</v>
      </c>
      <c r="AJ25" s="1614" t="str">
        <f>IF($D25="","--",IF(_xll.ciqfunctions.udf.CIQ($D25,AJ$7)=0,"n/a",_xll.ciqfunctions.udf.CIQ($D25,AJ$7)/100))</f>
        <v>--</v>
      </c>
      <c r="AK25" s="1614" t="str">
        <f>IF($D25="","--",IF(_xll.ciqfunctions.udf.CIQ($D25,AK$7)=0,"n/a",_xll.ciqfunctions.udf.CIQ($D25,AK$7)/100))</f>
        <v>--</v>
      </c>
      <c r="AL25" s="1614" t="str">
        <f>IF($D25="","--",IF(_xll.ciqfunctions.udf.CIQ($D25,AL$7)=0,"n/a",_xll.ciqfunctions.udf.CIQ($D25,AL$7)/100))</f>
        <v>--</v>
      </c>
      <c r="AM25" s="1667" t="str">
        <f>IF($D25="","--",IF(_xll.ciqfunctions.udf.CIQ($D25,AM$7)=0,"n/a",_xll.ciqfunctions.udf.CIQ($D25,AM$7)))</f>
        <v>--</v>
      </c>
      <c r="AN25" s="1667" t="str">
        <f t="shared" si="14"/>
        <v>--</v>
      </c>
      <c r="AO25" s="1667" t="str">
        <f t="shared" si="15"/>
        <v>--</v>
      </c>
      <c r="AP25" s="1667" t="str">
        <f>IF($D25="","--",_xll.ciqfunctions.udf.CIQ($I25,AP$7,IQ_LTM,$E25,ReportType,DataMode,SubjOutputCurrencyCode,"C"))</f>
        <v>--</v>
      </c>
      <c r="AQ25" s="1667" t="str">
        <f t="shared" si="16"/>
        <v>n/a</v>
      </c>
      <c r="AR25" s="1667" t="str">
        <f t="shared" si="17"/>
        <v>n/a</v>
      </c>
      <c r="AS25" s="1667" t="str">
        <f t="shared" si="18"/>
        <v>n/a</v>
      </c>
      <c r="AT25" s="1614" t="str">
        <f t="shared" si="6"/>
        <v>n/a</v>
      </c>
      <c r="AU25" s="1614" t="str">
        <f t="shared" si="7"/>
        <v>n/a</v>
      </c>
      <c r="AV25" s="1614" t="str">
        <f t="shared" si="8"/>
        <v>n/a</v>
      </c>
      <c r="AW25" s="1883"/>
      <c r="AX25" s="1667" t="str">
        <f>IF($D25="","--",_xll.ciqfunctions.udf.CIQ($D25,AX$7))</f>
        <v>--</v>
      </c>
      <c r="AY25" s="1667">
        <f t="shared" si="19"/>
        <v>0</v>
      </c>
      <c r="AZ25" s="1871" t="str">
        <f>IF($D25="","--",_xll.ciqfunctions.udf.CIQ($D25,AZ$7))</f>
        <v>--</v>
      </c>
      <c r="BA25" s="1871" t="str">
        <f>IF($D25="","--",_xll.ciqfunctions.udf.CIQ($D25,BA$7))</f>
        <v>--</v>
      </c>
      <c r="BB25" s="1871" t="str">
        <f>IF($D25="","--",_xll.ciqfunctions.udf.CIQ($D25,BB$7))</f>
        <v>--</v>
      </c>
      <c r="BC25" s="1894" t="str">
        <f t="shared" si="20"/>
        <v>--</v>
      </c>
      <c r="BD25" s="1894" t="str">
        <f t="shared" si="21"/>
        <v>--</v>
      </c>
      <c r="BE25" s="1871" t="str">
        <f>IF($D25="","--",_xll.ciqfunctions.udf.CIQ(I25,BE$7,BC25))</f>
        <v>--</v>
      </c>
      <c r="BF25" s="1871" t="str">
        <f>IF($D25="","--",_xll.ciqfunctions.udf.CIQ(I25,BF$7,BD25))</f>
        <v>--</v>
      </c>
      <c r="BG25" s="1871"/>
      <c r="BH25" s="1509"/>
    </row>
    <row r="26" spans="1:60" s="1853" customFormat="1" ht="13.9">
      <c r="A26" s="1552" t="str">
        <f t="shared" si="9"/>
        <v>n</v>
      </c>
      <c r="B26" s="1509"/>
      <c r="C26" s="1853">
        <v>16</v>
      </c>
      <c r="D26" s="2243"/>
      <c r="E26" s="1894" t="str">
        <f>IF($D26="","--",DATEVALUE(_xll.ciqfunctions.udf.CIQ($D26,E$7)))</f>
        <v>--</v>
      </c>
      <c r="F26" s="1896" t="str">
        <f>IF($D26="","--",_xll.ciqfunctions.udf.CIQ($D26, F$7))</f>
        <v>--</v>
      </c>
      <c r="G26" s="1895" t="str">
        <f>IF($D26="","--",_xll.ciqfunctions.udf.CIQ($D26, G$7))</f>
        <v>--</v>
      </c>
      <c r="H26" s="1911" t="str">
        <f>IF($D26="","--",_xll.ciqfunctions.udf.CIQ($D26, H$7))</f>
        <v>--</v>
      </c>
      <c r="I26" s="1853" t="str">
        <f>IF($D26="","--",_xll.ciqfunctions.udf.CIQ($D26, I$7))</f>
        <v>--</v>
      </c>
      <c r="J26" s="2068" t="str">
        <f>IF($E26="--","--",_xll.ciqfunctions.udf.CIQ($I26,J$7))</f>
        <v>--</v>
      </c>
      <c r="K26" s="1872" t="str">
        <f>IF($D26="","--",_xll.ciqfunctions.udf.CIQ($D26, K$7))</f>
        <v>--</v>
      </c>
      <c r="L26" s="1872" t="str">
        <f>IF($D26="","--",_xll.ciqfunctions.udf.CIQ($D26, L$7))</f>
        <v>--</v>
      </c>
      <c r="M26" s="1903" t="str">
        <f>IF($D26="","--",_xll.ciqfunctions.udf.CIQ($D26, M$7)/100)</f>
        <v>--</v>
      </c>
      <c r="N26" s="1915" t="str">
        <f>IF($D26="","--",_xll.ciqfunctions.udf.CIQ($D26, N$7))</f>
        <v>--</v>
      </c>
      <c r="O26" s="1853" t="str">
        <f>IF($D26="","--",_xll.ciqfunctions.udf.CIQ($D26, O$7))</f>
        <v>--</v>
      </c>
      <c r="P26" s="2068" t="str">
        <f>IF($E26="--","--",_xll.ciqfunctions.udf.CIQ(IFERROR(LEFT(O26,FIND(";",O26,1)-1),O26),P$7))</f>
        <v>--</v>
      </c>
      <c r="Q26" s="1872" t="str">
        <f>IF($D26="","--",_xll.ciqfunctions.udf.CIQ($D26, Q$7))</f>
        <v>--</v>
      </c>
      <c r="R26" s="1899" t="str">
        <f>IF($D26="","--",_xll.ciqfunctions.udf.CIQ($D26, R$7))</f>
        <v>--</v>
      </c>
      <c r="S26" s="1667" t="str">
        <f>IF($D26="","--",_xll.ciqfunctions.udf.CIQ($I26,S$7,$E26,$E26,SubjOutputCurrencyCode,"C"))</f>
        <v>--</v>
      </c>
      <c r="T26" s="1667" t="str">
        <f>IF($D26="","--",IF(_xll.ciqfunctions.udf.CIQ($D26,T$7,,SubjOutputCurrencyCode,"C")=0,"n/a",_xll.ciqfunctions.udf.CIQ($D26,T$7,,SubjOutputCurrencyCode,"C")))</f>
        <v>--</v>
      </c>
      <c r="U26" s="1667" t="str">
        <f>IF($D26="","--",IF(_xll.ciqfunctions.udf.CIQ($D26,U$7,,SubjOutputCurrencyCode,"C")=0,"n/a",_xll.ciqfunctions.udf.CIQ($D26,U$7,,SubjOutputCurrencyCode,"C")))</f>
        <v>--</v>
      </c>
      <c r="V26" s="1667" t="str">
        <f>IF($D26="","--",IF(_xll.ciqfunctions.udf.CIQ($D26,V$7,,SubjOutputCurrencyCode,"C")=0,"n/a",_xll.ciqfunctions.udf.CIQ($D26,V$7,,SubjOutputCurrencyCode,"C")))</f>
        <v>--</v>
      </c>
      <c r="W26" s="1667" t="str">
        <f>IF($D26="","--",IF(_xll.ciqfunctions.udf.CIQ($D26,W$7,,SubjOutputCurrencyCode,"C")=0,"n/a",_xll.ciqfunctions.udf.CIQ($D26,W$7,,SubjOutputCurrencyCode,"C")))</f>
        <v>--</v>
      </c>
      <c r="X26" s="1667" t="str">
        <f>IF($D26="","--",IF(_xll.ciqfunctions.udf.CIQ($D26,X$7,,SubjOutputCurrencyCode,"C")=0,"n/a",_xll.ciqfunctions.udf.CIQ($D26,X$7,,SubjOutputCurrencyCode,"C")))</f>
        <v>--</v>
      </c>
      <c r="Y26" s="1667" t="str">
        <f>IF($D26="","--",IF(_xll.ciqfunctions.udf.CIQ($D26,Y$7,,SubjOutputCurrencyCode,"C")=0,"n/a",_xll.ciqfunctions.udf.CIQ($D26,Y$7,,SubjOutputCurrencyCode,"C")))</f>
        <v>--</v>
      </c>
      <c r="Z26" s="1874" t="str">
        <f t="shared" si="22"/>
        <v>n/a</v>
      </c>
      <c r="AA26" s="1874" t="str">
        <f t="shared" si="1"/>
        <v>n/a</v>
      </c>
      <c r="AB26" s="1874" t="str">
        <f t="shared" si="10"/>
        <v>n/a</v>
      </c>
      <c r="AC26" s="1874" t="str">
        <f t="shared" si="11"/>
        <v>n/a</v>
      </c>
      <c r="AD26" s="1874" t="str">
        <f t="shared" si="12"/>
        <v>n/a</v>
      </c>
      <c r="AE26" s="1874" t="str">
        <f t="shared" si="13"/>
        <v>n/a</v>
      </c>
      <c r="AF26" s="1874" t="str">
        <f t="shared" si="2"/>
        <v>n/a</v>
      </c>
      <c r="AG26" s="1874" t="str">
        <f t="shared" si="3"/>
        <v>n/a</v>
      </c>
      <c r="AH26" s="1874" t="str">
        <f t="shared" si="4"/>
        <v>n/a</v>
      </c>
      <c r="AI26" s="1874" t="str">
        <f t="shared" si="5"/>
        <v>n/a</v>
      </c>
      <c r="AJ26" s="1614" t="str">
        <f>IF($D26="","--",IF(_xll.ciqfunctions.udf.CIQ($D26,AJ$7)=0,"n/a",_xll.ciqfunctions.udf.CIQ($D26,AJ$7)/100))</f>
        <v>--</v>
      </c>
      <c r="AK26" s="1614" t="str">
        <f>IF($D26="","--",IF(_xll.ciqfunctions.udf.CIQ($D26,AK$7)=0,"n/a",_xll.ciqfunctions.udf.CIQ($D26,AK$7)/100))</f>
        <v>--</v>
      </c>
      <c r="AL26" s="1614" t="str">
        <f>IF($D26="","--",IF(_xll.ciqfunctions.udf.CIQ($D26,AL$7)=0,"n/a",_xll.ciqfunctions.udf.CIQ($D26,AL$7)/100))</f>
        <v>--</v>
      </c>
      <c r="AM26" s="1667" t="str">
        <f>IF($D26="","--",IF(_xll.ciqfunctions.udf.CIQ($D26,AM$7)=0,"n/a",_xll.ciqfunctions.udf.CIQ($D26,AM$7)))</f>
        <v>--</v>
      </c>
      <c r="AN26" s="1667" t="str">
        <f t="shared" si="14"/>
        <v>--</v>
      </c>
      <c r="AO26" s="1667" t="str">
        <f t="shared" si="15"/>
        <v>--</v>
      </c>
      <c r="AP26" s="1667" t="str">
        <f>IF($D26="","--",_xll.ciqfunctions.udf.CIQ($I26,AP$7,IQ_LTM,$E26,ReportType,DataMode,SubjOutputCurrencyCode,"C"))</f>
        <v>--</v>
      </c>
      <c r="AQ26" s="1667" t="str">
        <f t="shared" si="16"/>
        <v>n/a</v>
      </c>
      <c r="AR26" s="1667" t="str">
        <f t="shared" si="17"/>
        <v>n/a</v>
      </c>
      <c r="AS26" s="1667" t="str">
        <f t="shared" si="18"/>
        <v>n/a</v>
      </c>
      <c r="AT26" s="1614" t="str">
        <f t="shared" si="6"/>
        <v>n/a</v>
      </c>
      <c r="AU26" s="1614" t="str">
        <f t="shared" si="7"/>
        <v>n/a</v>
      </c>
      <c r="AV26" s="1614" t="str">
        <f t="shared" si="8"/>
        <v>n/a</v>
      </c>
      <c r="AW26" s="1883"/>
      <c r="AX26" s="1667" t="str">
        <f>IF($D26="","--",_xll.ciqfunctions.udf.CIQ($D26,AX$7))</f>
        <v>--</v>
      </c>
      <c r="AY26" s="1667">
        <f t="shared" si="19"/>
        <v>0</v>
      </c>
      <c r="AZ26" s="1871" t="str">
        <f>IF($D26="","--",_xll.ciqfunctions.udf.CIQ($D26,AZ$7))</f>
        <v>--</v>
      </c>
      <c r="BA26" s="1871" t="str">
        <f>IF($D26="","--",_xll.ciqfunctions.udf.CIQ($D26,BA$7))</f>
        <v>--</v>
      </c>
      <c r="BB26" s="1871" t="str">
        <f>IF($D26="","--",_xll.ciqfunctions.udf.CIQ($D26,BB$7))</f>
        <v>--</v>
      </c>
      <c r="BC26" s="1894" t="str">
        <f t="shared" si="20"/>
        <v>--</v>
      </c>
      <c r="BD26" s="1894" t="str">
        <f t="shared" si="21"/>
        <v>--</v>
      </c>
      <c r="BE26" s="1871" t="str">
        <f>IF($D26="","--",_xll.ciqfunctions.udf.CIQ(I26,BE$7,BC26))</f>
        <v>--</v>
      </c>
      <c r="BF26" s="1871" t="str">
        <f>IF($D26="","--",_xll.ciqfunctions.udf.CIQ(I26,BF$7,BD26))</f>
        <v>--</v>
      </c>
      <c r="BG26" s="1871"/>
      <c r="BH26" s="1509"/>
    </row>
    <row r="27" spans="1:60" s="1853" customFormat="1" ht="13.9">
      <c r="A27" s="1552" t="str">
        <f t="shared" si="9"/>
        <v>n</v>
      </c>
      <c r="B27" s="1509"/>
      <c r="C27" s="1853">
        <v>17</v>
      </c>
      <c r="D27" s="2243"/>
      <c r="E27" s="1894" t="str">
        <f>IF($D27="","--",DATEVALUE(_xll.ciqfunctions.udf.CIQ($D27,E$7)))</f>
        <v>--</v>
      </c>
      <c r="F27" s="1896" t="str">
        <f>IF($D27="","--",_xll.ciqfunctions.udf.CIQ($D27, F$7))</f>
        <v>--</v>
      </c>
      <c r="G27" s="1895" t="str">
        <f>IF($D27="","--",_xll.ciqfunctions.udf.CIQ($D27, G$7))</f>
        <v>--</v>
      </c>
      <c r="H27" s="1911" t="str">
        <f>IF($D27="","--",_xll.ciqfunctions.udf.CIQ($D27, H$7))</f>
        <v>--</v>
      </c>
      <c r="I27" s="1853" t="str">
        <f>IF($D27="","--",_xll.ciqfunctions.udf.CIQ($D27, I$7))</f>
        <v>--</v>
      </c>
      <c r="J27" s="2068" t="str">
        <f>IF($E27="--","--",_xll.ciqfunctions.udf.CIQ($I27,J$7))</f>
        <v>--</v>
      </c>
      <c r="K27" s="1872" t="str">
        <f>IF($D27="","--",_xll.ciqfunctions.udf.CIQ($D27, K$7))</f>
        <v>--</v>
      </c>
      <c r="L27" s="1872" t="str">
        <f>IF($D27="","--",_xll.ciqfunctions.udf.CIQ($D27, L$7))</f>
        <v>--</v>
      </c>
      <c r="M27" s="1903" t="str">
        <f>IF($D27="","--",_xll.ciqfunctions.udf.CIQ($D27, M$7)/100)</f>
        <v>--</v>
      </c>
      <c r="N27" s="1915" t="str">
        <f>IF($D27="","--",_xll.ciqfunctions.udf.CIQ($D27, N$7))</f>
        <v>--</v>
      </c>
      <c r="O27" s="1853" t="str">
        <f>IF($D27="","--",_xll.ciqfunctions.udf.CIQ($D27, O$7))</f>
        <v>--</v>
      </c>
      <c r="P27" s="2068" t="str">
        <f>IF($E27="--","--",_xll.ciqfunctions.udf.CIQ(IFERROR(LEFT(O27,FIND(";",O27,1)-1),O27),P$7))</f>
        <v>--</v>
      </c>
      <c r="Q27" s="1872" t="str">
        <f>IF($D27="","--",_xll.ciqfunctions.udf.CIQ($D27, Q$7))</f>
        <v>--</v>
      </c>
      <c r="R27" s="1899" t="str">
        <f>IF($D27="","--",_xll.ciqfunctions.udf.CIQ($D27, R$7))</f>
        <v>--</v>
      </c>
      <c r="S27" s="1667" t="str">
        <f>IF($D27="","--",_xll.ciqfunctions.udf.CIQ($I27,S$7,$E27,$E27,SubjOutputCurrencyCode,"C"))</f>
        <v>--</v>
      </c>
      <c r="T27" s="1667" t="str">
        <f>IF($D27="","--",IF(_xll.ciqfunctions.udf.CIQ($D27,T$7,,SubjOutputCurrencyCode,"C")=0,"n/a",_xll.ciqfunctions.udf.CIQ($D27,T$7,,SubjOutputCurrencyCode,"C")))</f>
        <v>--</v>
      </c>
      <c r="U27" s="1667" t="str">
        <f>IF($D27="","--",IF(_xll.ciqfunctions.udf.CIQ($D27,U$7,,SubjOutputCurrencyCode,"C")=0,"n/a",_xll.ciqfunctions.udf.CIQ($D27,U$7,,SubjOutputCurrencyCode,"C")))</f>
        <v>--</v>
      </c>
      <c r="V27" s="1667" t="str">
        <f>IF($D27="","--",IF(_xll.ciqfunctions.udf.CIQ($D27,V$7,,SubjOutputCurrencyCode,"C")=0,"n/a",_xll.ciqfunctions.udf.CIQ($D27,V$7,,SubjOutputCurrencyCode,"C")))</f>
        <v>--</v>
      </c>
      <c r="W27" s="1667" t="str">
        <f>IF($D27="","--",IF(_xll.ciqfunctions.udf.CIQ($D27,W$7,,SubjOutputCurrencyCode,"C")=0,"n/a",_xll.ciqfunctions.udf.CIQ($D27,W$7,,SubjOutputCurrencyCode,"C")))</f>
        <v>--</v>
      </c>
      <c r="X27" s="1667" t="str">
        <f>IF($D27="","--",IF(_xll.ciqfunctions.udf.CIQ($D27,X$7,,SubjOutputCurrencyCode,"C")=0,"n/a",_xll.ciqfunctions.udf.CIQ($D27,X$7,,SubjOutputCurrencyCode,"C")))</f>
        <v>--</v>
      </c>
      <c r="Y27" s="1667" t="str">
        <f>IF($D27="","--",IF(_xll.ciqfunctions.udf.CIQ($D27,Y$7,,SubjOutputCurrencyCode,"C")=0,"n/a",_xll.ciqfunctions.udf.CIQ($D27,Y$7,,SubjOutputCurrencyCode,"C")))</f>
        <v>--</v>
      </c>
      <c r="Z27" s="1874" t="str">
        <f t="shared" si="22"/>
        <v>n/a</v>
      </c>
      <c r="AA27" s="1874" t="str">
        <f t="shared" si="1"/>
        <v>n/a</v>
      </c>
      <c r="AB27" s="1874" t="str">
        <f t="shared" si="10"/>
        <v>n/a</v>
      </c>
      <c r="AC27" s="1874" t="str">
        <f t="shared" si="11"/>
        <v>n/a</v>
      </c>
      <c r="AD27" s="1874" t="str">
        <f t="shared" si="12"/>
        <v>n/a</v>
      </c>
      <c r="AE27" s="1874" t="str">
        <f t="shared" si="13"/>
        <v>n/a</v>
      </c>
      <c r="AF27" s="1874" t="str">
        <f t="shared" si="2"/>
        <v>n/a</v>
      </c>
      <c r="AG27" s="1874" t="str">
        <f t="shared" si="3"/>
        <v>n/a</v>
      </c>
      <c r="AH27" s="1874" t="str">
        <f t="shared" si="4"/>
        <v>n/a</v>
      </c>
      <c r="AI27" s="1874" t="str">
        <f t="shared" si="5"/>
        <v>n/a</v>
      </c>
      <c r="AJ27" s="1614" t="str">
        <f>IF($D27="","--",IF(_xll.ciqfunctions.udf.CIQ($D27,AJ$7)=0,"n/a",_xll.ciqfunctions.udf.CIQ($D27,AJ$7)/100))</f>
        <v>--</v>
      </c>
      <c r="AK27" s="1614" t="str">
        <f>IF($D27="","--",IF(_xll.ciqfunctions.udf.CIQ($D27,AK$7)=0,"n/a",_xll.ciqfunctions.udf.CIQ($D27,AK$7)/100))</f>
        <v>--</v>
      </c>
      <c r="AL27" s="1614" t="str">
        <f>IF($D27="","--",IF(_xll.ciqfunctions.udf.CIQ($D27,AL$7)=0,"n/a",_xll.ciqfunctions.udf.CIQ($D27,AL$7)/100))</f>
        <v>--</v>
      </c>
      <c r="AM27" s="1667" t="str">
        <f>IF($D27="","--",IF(_xll.ciqfunctions.udf.CIQ($D27,AM$7)=0,"n/a",_xll.ciqfunctions.udf.CIQ($D27,AM$7)))</f>
        <v>--</v>
      </c>
      <c r="AN27" s="1667" t="str">
        <f t="shared" si="14"/>
        <v>--</v>
      </c>
      <c r="AO27" s="1667" t="str">
        <f t="shared" si="15"/>
        <v>--</v>
      </c>
      <c r="AP27" s="1667" t="str">
        <f>IF($D27="","--",_xll.ciqfunctions.udf.CIQ($I27,AP$7,IQ_LTM,$E27,ReportType,DataMode,SubjOutputCurrencyCode,"C"))</f>
        <v>--</v>
      </c>
      <c r="AQ27" s="1667" t="str">
        <f t="shared" si="16"/>
        <v>n/a</v>
      </c>
      <c r="AR27" s="1667" t="str">
        <f t="shared" si="17"/>
        <v>n/a</v>
      </c>
      <c r="AS27" s="1667" t="str">
        <f t="shared" si="18"/>
        <v>n/a</v>
      </c>
      <c r="AT27" s="1614" t="str">
        <f t="shared" si="6"/>
        <v>n/a</v>
      </c>
      <c r="AU27" s="1614" t="str">
        <f t="shared" si="7"/>
        <v>n/a</v>
      </c>
      <c r="AV27" s="1614" t="str">
        <f t="shared" si="8"/>
        <v>n/a</v>
      </c>
      <c r="AW27" s="1883"/>
      <c r="AX27" s="1667" t="str">
        <f>IF($D27="","--",_xll.ciqfunctions.udf.CIQ($D27,AX$7))</f>
        <v>--</v>
      </c>
      <c r="AY27" s="1667">
        <f t="shared" si="19"/>
        <v>0</v>
      </c>
      <c r="AZ27" s="1871" t="str">
        <f>IF($D27="","--",_xll.ciqfunctions.udf.CIQ($D27,AZ$7))</f>
        <v>--</v>
      </c>
      <c r="BA27" s="1871" t="str">
        <f>IF($D27="","--",_xll.ciqfunctions.udf.CIQ($D27,BA$7))</f>
        <v>--</v>
      </c>
      <c r="BB27" s="1871" t="str">
        <f>IF($D27="","--",_xll.ciqfunctions.udf.CIQ($D27,BB$7))</f>
        <v>--</v>
      </c>
      <c r="BC27" s="1894" t="str">
        <f t="shared" si="20"/>
        <v>--</v>
      </c>
      <c r="BD27" s="1894" t="str">
        <f t="shared" si="21"/>
        <v>--</v>
      </c>
      <c r="BE27" s="1871" t="str">
        <f>IF($D27="","--",_xll.ciqfunctions.udf.CIQ(I27,BE$7,BC27))</f>
        <v>--</v>
      </c>
      <c r="BF27" s="1871" t="str">
        <f>IF($D27="","--",_xll.ciqfunctions.udf.CIQ(I27,BF$7,BD27))</f>
        <v>--</v>
      </c>
      <c r="BG27" s="1871"/>
      <c r="BH27" s="1509"/>
    </row>
    <row r="28" spans="1:60" s="1853" customFormat="1" ht="13.9">
      <c r="A28" s="1552" t="str">
        <f t="shared" si="9"/>
        <v>n</v>
      </c>
      <c r="B28" s="1509"/>
      <c r="C28" s="1853">
        <v>18</v>
      </c>
      <c r="D28" s="2243"/>
      <c r="E28" s="1894" t="str">
        <f>IF($D28="","--",DATEVALUE(_xll.ciqfunctions.udf.CIQ($D28,E$7)))</f>
        <v>--</v>
      </c>
      <c r="F28" s="1896" t="str">
        <f>IF($D28="","--",_xll.ciqfunctions.udf.CIQ($D28, F$7))</f>
        <v>--</v>
      </c>
      <c r="G28" s="1895" t="str">
        <f>IF($D28="","--",_xll.ciqfunctions.udf.CIQ($D28, G$7))</f>
        <v>--</v>
      </c>
      <c r="H28" s="1911" t="str">
        <f>IF($D28="","--",_xll.ciqfunctions.udf.CIQ($D28, H$7))</f>
        <v>--</v>
      </c>
      <c r="I28" s="1853" t="str">
        <f>IF($D28="","--",_xll.ciqfunctions.udf.CIQ($D28, I$7))</f>
        <v>--</v>
      </c>
      <c r="J28" s="2068" t="str">
        <f>IF($E28="--","--",_xll.ciqfunctions.udf.CIQ($I28,J$7))</f>
        <v>--</v>
      </c>
      <c r="K28" s="1872" t="str">
        <f>IF($D28="","--",_xll.ciqfunctions.udf.CIQ($D28, K$7))</f>
        <v>--</v>
      </c>
      <c r="L28" s="1872" t="str">
        <f>IF($D28="","--",_xll.ciqfunctions.udf.CIQ($D28, L$7))</f>
        <v>--</v>
      </c>
      <c r="M28" s="1903" t="str">
        <f>IF($D28="","--",_xll.ciqfunctions.udf.CIQ($D28, M$7)/100)</f>
        <v>--</v>
      </c>
      <c r="N28" s="1915" t="str">
        <f>IF($D28="","--",_xll.ciqfunctions.udf.CIQ($D28, N$7))</f>
        <v>--</v>
      </c>
      <c r="O28" s="1853" t="str">
        <f>IF($D28="","--",_xll.ciqfunctions.udf.CIQ($D28, O$7))</f>
        <v>--</v>
      </c>
      <c r="P28" s="2068" t="str">
        <f>IF($E28="--","--",_xll.ciqfunctions.udf.CIQ(IFERROR(LEFT(O28,FIND(";",O28,1)-1),O28),P$7))</f>
        <v>--</v>
      </c>
      <c r="Q28" s="1872" t="str">
        <f>IF($D28="","--",_xll.ciqfunctions.udf.CIQ($D28, Q$7))</f>
        <v>--</v>
      </c>
      <c r="R28" s="1899" t="str">
        <f>IF($D28="","--",_xll.ciqfunctions.udf.CIQ($D28, R$7))</f>
        <v>--</v>
      </c>
      <c r="S28" s="1667" t="str">
        <f>IF($D28="","--",_xll.ciqfunctions.udf.CIQ($I28,S$7,$E28,$E28,SubjOutputCurrencyCode,"C"))</f>
        <v>--</v>
      </c>
      <c r="T28" s="1667" t="str">
        <f>IF($D28="","--",IF(_xll.ciqfunctions.udf.CIQ($D28,T$7,,SubjOutputCurrencyCode,"C")=0,"n/a",_xll.ciqfunctions.udf.CIQ($D28,T$7,,SubjOutputCurrencyCode,"C")))</f>
        <v>--</v>
      </c>
      <c r="U28" s="1667" t="str">
        <f>IF($D28="","--",IF(_xll.ciqfunctions.udf.CIQ($D28,U$7,,SubjOutputCurrencyCode,"C")=0,"n/a",_xll.ciqfunctions.udf.CIQ($D28,U$7,,SubjOutputCurrencyCode,"C")))</f>
        <v>--</v>
      </c>
      <c r="V28" s="1667" t="str">
        <f>IF($D28="","--",IF(_xll.ciqfunctions.udf.CIQ($D28,V$7,,SubjOutputCurrencyCode,"C")=0,"n/a",_xll.ciqfunctions.udf.CIQ($D28,V$7,,SubjOutputCurrencyCode,"C")))</f>
        <v>--</v>
      </c>
      <c r="W28" s="1667" t="str">
        <f>IF($D28="","--",IF(_xll.ciqfunctions.udf.CIQ($D28,W$7,,SubjOutputCurrencyCode,"C")=0,"n/a",_xll.ciqfunctions.udf.CIQ($D28,W$7,,SubjOutputCurrencyCode,"C")))</f>
        <v>--</v>
      </c>
      <c r="X28" s="1667" t="str">
        <f>IF($D28="","--",IF(_xll.ciqfunctions.udf.CIQ($D28,X$7,,SubjOutputCurrencyCode,"C")=0,"n/a",_xll.ciqfunctions.udf.CIQ($D28,X$7,,SubjOutputCurrencyCode,"C")))</f>
        <v>--</v>
      </c>
      <c r="Y28" s="1667" t="str">
        <f>IF($D28="","--",IF(_xll.ciqfunctions.udf.CIQ($D28,Y$7,,SubjOutputCurrencyCode,"C")=0,"n/a",_xll.ciqfunctions.udf.CIQ($D28,Y$7,,SubjOutputCurrencyCode,"C")))</f>
        <v>--</v>
      </c>
      <c r="Z28" s="1874" t="str">
        <f t="shared" si="22"/>
        <v>n/a</v>
      </c>
      <c r="AA28" s="1874" t="str">
        <f t="shared" si="1"/>
        <v>n/a</v>
      </c>
      <c r="AB28" s="1874" t="str">
        <f t="shared" si="10"/>
        <v>n/a</v>
      </c>
      <c r="AC28" s="1874" t="str">
        <f t="shared" si="11"/>
        <v>n/a</v>
      </c>
      <c r="AD28" s="1874" t="str">
        <f t="shared" si="12"/>
        <v>n/a</v>
      </c>
      <c r="AE28" s="1874" t="str">
        <f t="shared" si="13"/>
        <v>n/a</v>
      </c>
      <c r="AF28" s="1874" t="str">
        <f t="shared" si="2"/>
        <v>n/a</v>
      </c>
      <c r="AG28" s="1874" t="str">
        <f t="shared" si="3"/>
        <v>n/a</v>
      </c>
      <c r="AH28" s="1874" t="str">
        <f t="shared" si="4"/>
        <v>n/a</v>
      </c>
      <c r="AI28" s="1874" t="str">
        <f t="shared" si="5"/>
        <v>n/a</v>
      </c>
      <c r="AJ28" s="1614" t="str">
        <f>IF($D28="","--",IF(_xll.ciqfunctions.udf.CIQ($D28,AJ$7)=0,"n/a",_xll.ciqfunctions.udf.CIQ($D28,AJ$7)/100))</f>
        <v>--</v>
      </c>
      <c r="AK28" s="1614" t="str">
        <f>IF($D28="","--",IF(_xll.ciqfunctions.udf.CIQ($D28,AK$7)=0,"n/a",_xll.ciqfunctions.udf.CIQ($D28,AK$7)/100))</f>
        <v>--</v>
      </c>
      <c r="AL28" s="1614" t="str">
        <f>IF($D28="","--",IF(_xll.ciqfunctions.udf.CIQ($D28,AL$7)=0,"n/a",_xll.ciqfunctions.udf.CIQ($D28,AL$7)/100))</f>
        <v>--</v>
      </c>
      <c r="AM28" s="1667" t="str">
        <f>IF($D28="","--",IF(_xll.ciqfunctions.udf.CIQ($D28,AM$7)=0,"n/a",_xll.ciqfunctions.udf.CIQ($D28,AM$7)))</f>
        <v>--</v>
      </c>
      <c r="AN28" s="1667" t="str">
        <f t="shared" si="14"/>
        <v>--</v>
      </c>
      <c r="AO28" s="1667" t="str">
        <f t="shared" si="15"/>
        <v>--</v>
      </c>
      <c r="AP28" s="1667" t="str">
        <f>IF($D28="","--",_xll.ciqfunctions.udf.CIQ($I28,AP$7,IQ_LTM,$E28,ReportType,DataMode,SubjOutputCurrencyCode,"C"))</f>
        <v>--</v>
      </c>
      <c r="AQ28" s="1667" t="str">
        <f t="shared" si="16"/>
        <v>n/a</v>
      </c>
      <c r="AR28" s="1667" t="str">
        <f t="shared" si="17"/>
        <v>n/a</v>
      </c>
      <c r="AS28" s="1667" t="str">
        <f t="shared" si="18"/>
        <v>n/a</v>
      </c>
      <c r="AT28" s="1614" t="str">
        <f t="shared" si="6"/>
        <v>n/a</v>
      </c>
      <c r="AU28" s="1614" t="str">
        <f t="shared" si="7"/>
        <v>n/a</v>
      </c>
      <c r="AV28" s="1614" t="str">
        <f t="shared" si="8"/>
        <v>n/a</v>
      </c>
      <c r="AW28" s="1883"/>
      <c r="AX28" s="1667" t="str">
        <f>IF($D28="","--",_xll.ciqfunctions.udf.CIQ($D28,AX$7))</f>
        <v>--</v>
      </c>
      <c r="AY28" s="1667">
        <f t="shared" si="19"/>
        <v>0</v>
      </c>
      <c r="AZ28" s="1871" t="str">
        <f>IF($D28="","--",_xll.ciqfunctions.udf.CIQ($D28,AZ$7))</f>
        <v>--</v>
      </c>
      <c r="BA28" s="1871" t="str">
        <f>IF($D28="","--",_xll.ciqfunctions.udf.CIQ($D28,BA$7))</f>
        <v>--</v>
      </c>
      <c r="BB28" s="1871" t="str">
        <f>IF($D28="","--",_xll.ciqfunctions.udf.CIQ($D28,BB$7))</f>
        <v>--</v>
      </c>
      <c r="BC28" s="1894" t="str">
        <f t="shared" si="20"/>
        <v>--</v>
      </c>
      <c r="BD28" s="1894" t="str">
        <f t="shared" si="21"/>
        <v>--</v>
      </c>
      <c r="BE28" s="1871" t="str">
        <f>IF($D28="","--",_xll.ciqfunctions.udf.CIQ(I28,BE$7,BC28))</f>
        <v>--</v>
      </c>
      <c r="BF28" s="1871" t="str">
        <f>IF($D28="","--",_xll.ciqfunctions.udf.CIQ(I28,BF$7,BD28))</f>
        <v>--</v>
      </c>
      <c r="BG28" s="1871"/>
      <c r="BH28" s="1509"/>
    </row>
    <row r="29" spans="1:60" s="1853" customFormat="1" ht="13.9">
      <c r="A29" s="1552" t="str">
        <f t="shared" si="9"/>
        <v>n</v>
      </c>
      <c r="B29" s="1509"/>
      <c r="C29" s="1853">
        <v>19</v>
      </c>
      <c r="D29" s="2243"/>
      <c r="E29" s="1894" t="str">
        <f>IF($D29="","--",DATEVALUE(_xll.ciqfunctions.udf.CIQ($D29,E$7)))</f>
        <v>--</v>
      </c>
      <c r="F29" s="1896" t="str">
        <f>IF($D29="","--",_xll.ciqfunctions.udf.CIQ($D29, F$7))</f>
        <v>--</v>
      </c>
      <c r="G29" s="1895" t="str">
        <f>IF($D29="","--",_xll.ciqfunctions.udf.CIQ($D29, G$7))</f>
        <v>--</v>
      </c>
      <c r="H29" s="1911" t="str">
        <f>IF($D29="","--",_xll.ciqfunctions.udf.CIQ($D29, H$7))</f>
        <v>--</v>
      </c>
      <c r="I29" s="1853" t="str">
        <f>IF($D29="","--",_xll.ciqfunctions.udf.CIQ($D29, I$7))</f>
        <v>--</v>
      </c>
      <c r="J29" s="2068" t="str">
        <f>IF($E29="--","--",_xll.ciqfunctions.udf.CIQ($I29,J$7))</f>
        <v>--</v>
      </c>
      <c r="K29" s="1872" t="str">
        <f>IF($D29="","--",_xll.ciqfunctions.udf.CIQ($D29, K$7))</f>
        <v>--</v>
      </c>
      <c r="L29" s="1872" t="str">
        <f>IF($D29="","--",_xll.ciqfunctions.udf.CIQ($D29, L$7))</f>
        <v>--</v>
      </c>
      <c r="M29" s="1903" t="str">
        <f>IF($D29="","--",_xll.ciqfunctions.udf.CIQ($D29, M$7)/100)</f>
        <v>--</v>
      </c>
      <c r="N29" s="1915" t="str">
        <f>IF($D29="","--",_xll.ciqfunctions.udf.CIQ($D29, N$7))</f>
        <v>--</v>
      </c>
      <c r="O29" s="1853" t="str">
        <f>IF($D29="","--",_xll.ciqfunctions.udf.CIQ($D29, O$7))</f>
        <v>--</v>
      </c>
      <c r="P29" s="2068" t="str">
        <f>IF($E29="--","--",_xll.ciqfunctions.udf.CIQ(IFERROR(LEFT(O29,FIND(";",O29,1)-1),O29),P$7))</f>
        <v>--</v>
      </c>
      <c r="Q29" s="1872" t="str">
        <f>IF($D29="","--",_xll.ciqfunctions.udf.CIQ($D29, Q$7))</f>
        <v>--</v>
      </c>
      <c r="R29" s="1899" t="str">
        <f>IF($D29="","--",_xll.ciqfunctions.udf.CIQ($D29, R$7))</f>
        <v>--</v>
      </c>
      <c r="S29" s="1667" t="str">
        <f>IF($D29="","--",_xll.ciqfunctions.udf.CIQ($I29,S$7,$E29,$E29,SubjOutputCurrencyCode,"C"))</f>
        <v>--</v>
      </c>
      <c r="T29" s="1667" t="str">
        <f>IF($D29="","--",IF(_xll.ciqfunctions.udf.CIQ($D29,T$7,,SubjOutputCurrencyCode,"C")=0,"n/a",_xll.ciqfunctions.udf.CIQ($D29,T$7,,SubjOutputCurrencyCode,"C")))</f>
        <v>--</v>
      </c>
      <c r="U29" s="1667" t="str">
        <f>IF($D29="","--",IF(_xll.ciqfunctions.udf.CIQ($D29,U$7,,SubjOutputCurrencyCode,"C")=0,"n/a",_xll.ciqfunctions.udf.CIQ($D29,U$7,,SubjOutputCurrencyCode,"C")))</f>
        <v>--</v>
      </c>
      <c r="V29" s="1667" t="str">
        <f>IF($D29="","--",IF(_xll.ciqfunctions.udf.CIQ($D29,V$7,,SubjOutputCurrencyCode,"C")=0,"n/a",_xll.ciqfunctions.udf.CIQ($D29,V$7,,SubjOutputCurrencyCode,"C")))</f>
        <v>--</v>
      </c>
      <c r="W29" s="1667" t="str">
        <f>IF($D29="","--",IF(_xll.ciqfunctions.udf.CIQ($D29,W$7,,SubjOutputCurrencyCode,"C")=0,"n/a",_xll.ciqfunctions.udf.CIQ($D29,W$7,,SubjOutputCurrencyCode,"C")))</f>
        <v>--</v>
      </c>
      <c r="X29" s="1667" t="str">
        <f>IF($D29="","--",IF(_xll.ciqfunctions.udf.CIQ($D29,X$7,,SubjOutputCurrencyCode,"C")=0,"n/a",_xll.ciqfunctions.udf.CIQ($D29,X$7,,SubjOutputCurrencyCode,"C")))</f>
        <v>--</v>
      </c>
      <c r="Y29" s="1667" t="str">
        <f>IF($D29="","--",IF(_xll.ciqfunctions.udf.CIQ($D29,Y$7,,SubjOutputCurrencyCode,"C")=0,"n/a",_xll.ciqfunctions.udf.CIQ($D29,Y$7,,SubjOutputCurrencyCode,"C")))</f>
        <v>--</v>
      </c>
      <c r="Z29" s="1874" t="str">
        <f t="shared" si="22"/>
        <v>n/a</v>
      </c>
      <c r="AA29" s="1874" t="str">
        <f t="shared" si="1"/>
        <v>n/a</v>
      </c>
      <c r="AB29" s="1874" t="str">
        <f t="shared" si="10"/>
        <v>n/a</v>
      </c>
      <c r="AC29" s="1874" t="str">
        <f t="shared" si="11"/>
        <v>n/a</v>
      </c>
      <c r="AD29" s="1874" t="str">
        <f t="shared" si="12"/>
        <v>n/a</v>
      </c>
      <c r="AE29" s="1874" t="str">
        <f t="shared" si="13"/>
        <v>n/a</v>
      </c>
      <c r="AF29" s="1874" t="str">
        <f t="shared" si="2"/>
        <v>n/a</v>
      </c>
      <c r="AG29" s="1874" t="str">
        <f t="shared" si="3"/>
        <v>n/a</v>
      </c>
      <c r="AH29" s="1874" t="str">
        <f t="shared" si="4"/>
        <v>n/a</v>
      </c>
      <c r="AI29" s="1874" t="str">
        <f t="shared" si="5"/>
        <v>n/a</v>
      </c>
      <c r="AJ29" s="1614" t="str">
        <f>IF($D29="","--",IF(_xll.ciqfunctions.udf.CIQ($D29,AJ$7)=0,"n/a",_xll.ciqfunctions.udf.CIQ($D29,AJ$7)/100))</f>
        <v>--</v>
      </c>
      <c r="AK29" s="1614" t="str">
        <f>IF($D29="","--",IF(_xll.ciqfunctions.udf.CIQ($D29,AK$7)=0,"n/a",_xll.ciqfunctions.udf.CIQ($D29,AK$7)/100))</f>
        <v>--</v>
      </c>
      <c r="AL29" s="1614" t="str">
        <f>IF($D29="","--",IF(_xll.ciqfunctions.udf.CIQ($D29,AL$7)=0,"n/a",_xll.ciqfunctions.udf.CIQ($D29,AL$7)/100))</f>
        <v>--</v>
      </c>
      <c r="AM29" s="1667" t="str">
        <f>IF($D29="","--",IF(_xll.ciqfunctions.udf.CIQ($D29,AM$7)=0,"n/a",_xll.ciqfunctions.udf.CIQ($D29,AM$7)))</f>
        <v>--</v>
      </c>
      <c r="AN29" s="1667" t="str">
        <f t="shared" si="14"/>
        <v>--</v>
      </c>
      <c r="AO29" s="1667" t="str">
        <f t="shared" si="15"/>
        <v>--</v>
      </c>
      <c r="AP29" s="1667" t="str">
        <f>IF($D29="","--",_xll.ciqfunctions.udf.CIQ($I29,AP$7,IQ_LTM,$E29,ReportType,DataMode,SubjOutputCurrencyCode,"C"))</f>
        <v>--</v>
      </c>
      <c r="AQ29" s="1667" t="str">
        <f t="shared" si="16"/>
        <v>n/a</v>
      </c>
      <c r="AR29" s="1667" t="str">
        <f t="shared" si="17"/>
        <v>n/a</v>
      </c>
      <c r="AS29" s="1667" t="str">
        <f t="shared" si="18"/>
        <v>n/a</v>
      </c>
      <c r="AT29" s="1614" t="str">
        <f t="shared" si="6"/>
        <v>n/a</v>
      </c>
      <c r="AU29" s="1614" t="str">
        <f t="shared" si="7"/>
        <v>n/a</v>
      </c>
      <c r="AV29" s="1614" t="str">
        <f t="shared" si="8"/>
        <v>n/a</v>
      </c>
      <c r="AW29" s="1883"/>
      <c r="AX29" s="1667" t="str">
        <f>IF($D29="","--",_xll.ciqfunctions.udf.CIQ($D29,AX$7))</f>
        <v>--</v>
      </c>
      <c r="AY29" s="1667">
        <f t="shared" si="19"/>
        <v>0</v>
      </c>
      <c r="AZ29" s="1871" t="str">
        <f>IF($D29="","--",_xll.ciqfunctions.udf.CIQ($D29,AZ$7))</f>
        <v>--</v>
      </c>
      <c r="BA29" s="1871" t="str">
        <f>IF($D29="","--",_xll.ciqfunctions.udf.CIQ($D29,BA$7))</f>
        <v>--</v>
      </c>
      <c r="BB29" s="1871" t="str">
        <f>IF($D29="","--",_xll.ciqfunctions.udf.CIQ($D29,BB$7))</f>
        <v>--</v>
      </c>
      <c r="BC29" s="1894" t="str">
        <f t="shared" si="20"/>
        <v>--</v>
      </c>
      <c r="BD29" s="1894" t="str">
        <f t="shared" si="21"/>
        <v>--</v>
      </c>
      <c r="BE29" s="1871" t="str">
        <f>IF($D29="","--",_xll.ciqfunctions.udf.CIQ(I29,BE$7,BC29))</f>
        <v>--</v>
      </c>
      <c r="BF29" s="1871" t="str">
        <f>IF($D29="","--",_xll.ciqfunctions.udf.CIQ(I29,BF$7,BD29))</f>
        <v>--</v>
      </c>
      <c r="BG29" s="1871"/>
      <c r="BH29" s="1509"/>
    </row>
    <row r="30" spans="1:60" s="1853" customFormat="1" ht="13.9">
      <c r="A30" s="1552" t="str">
        <f t="shared" si="9"/>
        <v>n</v>
      </c>
      <c r="B30" s="1509"/>
      <c r="C30" s="1853">
        <v>20</v>
      </c>
      <c r="D30" s="2243"/>
      <c r="E30" s="1894" t="str">
        <f>IF($D30="","--",DATEVALUE(_xll.ciqfunctions.udf.CIQ($D30,E$7)))</f>
        <v>--</v>
      </c>
      <c r="F30" s="1896" t="str">
        <f>IF($D30="","--",_xll.ciqfunctions.udf.CIQ($D30, F$7))</f>
        <v>--</v>
      </c>
      <c r="G30" s="1895" t="str">
        <f>IF($D30="","--",_xll.ciqfunctions.udf.CIQ($D30, G$7))</f>
        <v>--</v>
      </c>
      <c r="H30" s="1911" t="str">
        <f>IF($D30="","--",_xll.ciqfunctions.udf.CIQ($D30, H$7))</f>
        <v>--</v>
      </c>
      <c r="I30" s="1853" t="str">
        <f>IF($D30="","--",_xll.ciqfunctions.udf.CIQ($D30, I$7))</f>
        <v>--</v>
      </c>
      <c r="J30" s="2068" t="str">
        <f>IF($E30="--","--",_xll.ciqfunctions.udf.CIQ($I30,J$7))</f>
        <v>--</v>
      </c>
      <c r="K30" s="1872" t="str">
        <f>IF($D30="","--",_xll.ciqfunctions.udf.CIQ($D30, K$7))</f>
        <v>--</v>
      </c>
      <c r="L30" s="1872" t="str">
        <f>IF($D30="","--",_xll.ciqfunctions.udf.CIQ($D30, L$7))</f>
        <v>--</v>
      </c>
      <c r="M30" s="1903" t="str">
        <f>IF($D30="","--",_xll.ciqfunctions.udf.CIQ($D30, M$7)/100)</f>
        <v>--</v>
      </c>
      <c r="N30" s="1915" t="str">
        <f>IF($D30="","--",_xll.ciqfunctions.udf.CIQ($D30, N$7))</f>
        <v>--</v>
      </c>
      <c r="O30" s="1853" t="str">
        <f>IF($D30="","--",_xll.ciqfunctions.udf.CIQ($D30, O$7))</f>
        <v>--</v>
      </c>
      <c r="P30" s="2068" t="str">
        <f>IF($E30="--","--",_xll.ciqfunctions.udf.CIQ(IFERROR(LEFT(O30,FIND(";",O30,1)-1),O30),P$7))</f>
        <v>--</v>
      </c>
      <c r="Q30" s="1872" t="str">
        <f>IF($D30="","--",_xll.ciqfunctions.udf.CIQ($D30, Q$7))</f>
        <v>--</v>
      </c>
      <c r="R30" s="1899" t="str">
        <f>IF($D30="","--",_xll.ciqfunctions.udf.CIQ($D30, R$7))</f>
        <v>--</v>
      </c>
      <c r="S30" s="1667" t="str">
        <f>IF($D30="","--",_xll.ciqfunctions.udf.CIQ($I30,S$7,$E30,$E30,SubjOutputCurrencyCode,"C"))</f>
        <v>--</v>
      </c>
      <c r="T30" s="1667" t="str">
        <f>IF($D30="","--",IF(_xll.ciqfunctions.udf.CIQ($D30,T$7,,SubjOutputCurrencyCode,"C")=0,"n/a",_xll.ciqfunctions.udf.CIQ($D30,T$7,,SubjOutputCurrencyCode,"C")))</f>
        <v>--</v>
      </c>
      <c r="U30" s="1667" t="str">
        <f>IF($D30="","--",IF(_xll.ciqfunctions.udf.CIQ($D30,U$7,,SubjOutputCurrencyCode,"C")=0,"n/a",_xll.ciqfunctions.udf.CIQ($D30,U$7,,SubjOutputCurrencyCode,"C")))</f>
        <v>--</v>
      </c>
      <c r="V30" s="1667" t="str">
        <f>IF($D30="","--",IF(_xll.ciqfunctions.udf.CIQ($D30,V$7,,SubjOutputCurrencyCode,"C")=0,"n/a",_xll.ciqfunctions.udf.CIQ($D30,V$7,,SubjOutputCurrencyCode,"C")))</f>
        <v>--</v>
      </c>
      <c r="W30" s="1667" t="str">
        <f>IF($D30="","--",IF(_xll.ciqfunctions.udf.CIQ($D30,W$7,,SubjOutputCurrencyCode,"C")=0,"n/a",_xll.ciqfunctions.udf.CIQ($D30,W$7,,SubjOutputCurrencyCode,"C")))</f>
        <v>--</v>
      </c>
      <c r="X30" s="1667" t="str">
        <f>IF($D30="","--",IF(_xll.ciqfunctions.udf.CIQ($D30,X$7,,SubjOutputCurrencyCode,"C")=0,"n/a",_xll.ciqfunctions.udf.CIQ($D30,X$7,,SubjOutputCurrencyCode,"C")))</f>
        <v>--</v>
      </c>
      <c r="Y30" s="1667" t="str">
        <f>IF($D30="","--",IF(_xll.ciqfunctions.udf.CIQ($D30,Y$7,,SubjOutputCurrencyCode,"C")=0,"n/a",_xll.ciqfunctions.udf.CIQ($D30,Y$7,,SubjOutputCurrencyCode,"C")))</f>
        <v>--</v>
      </c>
      <c r="Z30" s="1874" t="str">
        <f t="shared" si="22"/>
        <v>n/a</v>
      </c>
      <c r="AA30" s="1874" t="str">
        <f t="shared" si="1"/>
        <v>n/a</v>
      </c>
      <c r="AB30" s="1874" t="str">
        <f t="shared" si="10"/>
        <v>n/a</v>
      </c>
      <c r="AC30" s="1874" t="str">
        <f t="shared" si="11"/>
        <v>n/a</v>
      </c>
      <c r="AD30" s="1874" t="str">
        <f t="shared" si="12"/>
        <v>n/a</v>
      </c>
      <c r="AE30" s="1874" t="str">
        <f t="shared" si="13"/>
        <v>n/a</v>
      </c>
      <c r="AF30" s="1874" t="str">
        <f t="shared" si="2"/>
        <v>n/a</v>
      </c>
      <c r="AG30" s="1874" t="str">
        <f t="shared" si="3"/>
        <v>n/a</v>
      </c>
      <c r="AH30" s="1874" t="str">
        <f t="shared" si="4"/>
        <v>n/a</v>
      </c>
      <c r="AI30" s="1874" t="str">
        <f t="shared" si="5"/>
        <v>n/a</v>
      </c>
      <c r="AJ30" s="1614" t="str">
        <f>IF($D30="","--",IF(_xll.ciqfunctions.udf.CIQ($D30,AJ$7)=0,"n/a",_xll.ciqfunctions.udf.CIQ($D30,AJ$7)/100))</f>
        <v>--</v>
      </c>
      <c r="AK30" s="1614" t="str">
        <f>IF($D30="","--",IF(_xll.ciqfunctions.udf.CIQ($D30,AK$7)=0,"n/a",_xll.ciqfunctions.udf.CIQ($D30,AK$7)/100))</f>
        <v>--</v>
      </c>
      <c r="AL30" s="1614" t="str">
        <f>IF($D30="","--",IF(_xll.ciqfunctions.udf.CIQ($D30,AL$7)=0,"n/a",_xll.ciqfunctions.udf.CIQ($D30,AL$7)/100))</f>
        <v>--</v>
      </c>
      <c r="AM30" s="1667" t="str">
        <f>IF($D30="","--",IF(_xll.ciqfunctions.udf.CIQ($D30,AM$7)=0,"n/a",_xll.ciqfunctions.udf.CIQ($D30,AM$7)))</f>
        <v>--</v>
      </c>
      <c r="AN30" s="1667" t="str">
        <f t="shared" si="14"/>
        <v>--</v>
      </c>
      <c r="AO30" s="1667" t="str">
        <f t="shared" si="15"/>
        <v>--</v>
      </c>
      <c r="AP30" s="1667" t="str">
        <f>IF($D30="","--",_xll.ciqfunctions.udf.CIQ($I30,AP$7,IQ_LTM,$E30,ReportType,DataMode,SubjOutputCurrencyCode,"C"))</f>
        <v>--</v>
      </c>
      <c r="AQ30" s="1667" t="str">
        <f t="shared" si="16"/>
        <v>n/a</v>
      </c>
      <c r="AR30" s="1667" t="str">
        <f t="shared" si="17"/>
        <v>n/a</v>
      </c>
      <c r="AS30" s="1667" t="str">
        <f t="shared" si="18"/>
        <v>n/a</v>
      </c>
      <c r="AT30" s="1614" t="str">
        <f t="shared" si="6"/>
        <v>n/a</v>
      </c>
      <c r="AU30" s="1614" t="str">
        <f t="shared" si="7"/>
        <v>n/a</v>
      </c>
      <c r="AV30" s="1614" t="str">
        <f t="shared" si="8"/>
        <v>n/a</v>
      </c>
      <c r="AW30" s="1883"/>
      <c r="AX30" s="1667" t="str">
        <f>IF($D30="","--",_xll.ciqfunctions.udf.CIQ($D30,AX$7))</f>
        <v>--</v>
      </c>
      <c r="AY30" s="1667">
        <f t="shared" si="19"/>
        <v>0</v>
      </c>
      <c r="AZ30" s="1871" t="str">
        <f>IF($D30="","--",_xll.ciqfunctions.udf.CIQ($D30,AZ$7))</f>
        <v>--</v>
      </c>
      <c r="BA30" s="1871" t="str">
        <f>IF($D30="","--",_xll.ciqfunctions.udf.CIQ($D30,BA$7))</f>
        <v>--</v>
      </c>
      <c r="BB30" s="1871" t="str">
        <f>IF($D30="","--",_xll.ciqfunctions.udf.CIQ($D30,BB$7))</f>
        <v>--</v>
      </c>
      <c r="BC30" s="1894" t="str">
        <f t="shared" si="20"/>
        <v>--</v>
      </c>
      <c r="BD30" s="1894" t="str">
        <f t="shared" si="21"/>
        <v>--</v>
      </c>
      <c r="BE30" s="1871" t="str">
        <f>IF($D30="","--",_xll.ciqfunctions.udf.CIQ(I30,BE$7,BC30))</f>
        <v>--</v>
      </c>
      <c r="BF30" s="1871" t="str">
        <f>IF($D30="","--",_xll.ciqfunctions.udf.CIQ(I30,BF$7,BD30))</f>
        <v>--</v>
      </c>
      <c r="BG30" s="1871"/>
      <c r="BH30" s="1509"/>
    </row>
    <row r="31" spans="1:60" s="1853" customFormat="1" ht="15.6">
      <c r="A31" s="1552"/>
      <c r="B31" s="1509"/>
      <c r="D31" s="1852"/>
      <c r="E31" s="1851"/>
      <c r="F31" s="1851"/>
      <c r="G31" s="1851"/>
      <c r="H31" s="1912"/>
      <c r="I31" s="1900"/>
      <c r="J31" s="1900"/>
      <c r="K31" s="1900"/>
      <c r="L31" s="1900"/>
      <c r="M31" s="1904"/>
      <c r="N31" s="1917"/>
      <c r="O31" s="1851"/>
      <c r="P31" s="1851"/>
      <c r="Q31" s="1851"/>
      <c r="R31" s="1906"/>
      <c r="S31" s="1850"/>
      <c r="T31" s="1850"/>
      <c r="U31" s="1850"/>
      <c r="V31" s="1850"/>
      <c r="W31" s="1850"/>
      <c r="X31" s="1850"/>
      <c r="Y31" s="1850"/>
      <c r="Z31" s="1850"/>
      <c r="AA31" s="1850"/>
      <c r="AB31" s="1850"/>
      <c r="AC31" s="1850"/>
      <c r="AD31" s="1850"/>
      <c r="AE31" s="1850"/>
      <c r="AF31" s="1850"/>
      <c r="AG31" s="1850"/>
      <c r="AH31" s="1850"/>
      <c r="AI31" s="1850"/>
      <c r="AJ31" s="1850"/>
      <c r="AK31" s="1850"/>
      <c r="AL31" s="1850"/>
      <c r="AM31" s="1850"/>
      <c r="AN31" s="1850"/>
      <c r="AO31" s="1850"/>
      <c r="AP31" s="1850"/>
      <c r="AQ31" s="1850"/>
      <c r="AR31" s="1850"/>
      <c r="AS31" s="1850"/>
      <c r="AT31" s="1850"/>
      <c r="AU31" s="1850"/>
      <c r="AV31" s="1850"/>
      <c r="AW31" s="1866"/>
      <c r="BH31" s="1509"/>
    </row>
    <row r="32" spans="1:60" s="1853" customFormat="1" ht="15.6">
      <c r="A32" s="1552"/>
      <c r="B32" s="1509"/>
      <c r="D32" s="1875"/>
      <c r="E32" s="1876"/>
      <c r="F32" s="1876"/>
      <c r="G32" s="1927"/>
      <c r="H32" s="1927"/>
      <c r="I32" s="1928"/>
      <c r="J32" s="1928"/>
      <c r="K32" s="1928"/>
      <c r="L32" s="1928"/>
      <c r="M32" s="1928"/>
      <c r="N32" s="1927"/>
      <c r="O32" s="1927"/>
      <c r="P32" s="1927"/>
      <c r="Q32" s="1927"/>
      <c r="R32" s="1927"/>
      <c r="S32" s="1927"/>
      <c r="T32" s="1928"/>
      <c r="U32" s="1928"/>
      <c r="V32" s="1928"/>
      <c r="W32" s="1928"/>
      <c r="X32" s="1928"/>
      <c r="Y32" s="1877"/>
      <c r="Z32" s="1877"/>
      <c r="AA32" s="1877"/>
      <c r="AB32" s="1877"/>
      <c r="AC32" s="1877"/>
      <c r="AD32" s="1877"/>
      <c r="AE32" s="1877"/>
      <c r="AF32" s="1877"/>
      <c r="AG32" s="1877"/>
      <c r="AH32" s="1877"/>
      <c r="AI32" s="1877"/>
      <c r="AJ32" s="1877"/>
      <c r="AK32" s="1877"/>
      <c r="AL32" s="1877"/>
      <c r="AM32" s="1877"/>
      <c r="AN32" s="1877"/>
      <c r="AO32" s="1877"/>
      <c r="AP32" s="1877"/>
      <c r="AQ32" s="1877"/>
      <c r="AR32" s="1877"/>
      <c r="AS32" s="1877"/>
      <c r="AT32" s="1877"/>
      <c r="AU32" s="1877"/>
      <c r="AV32" s="1877"/>
      <c r="AW32" s="1878"/>
      <c r="AX32" s="1878"/>
      <c r="AY32" s="1878"/>
      <c r="AZ32" s="1878"/>
      <c r="BA32" s="1878"/>
      <c r="BB32" s="1878"/>
      <c r="BC32" s="1878"/>
      <c r="BD32" s="1878"/>
      <c r="BE32" s="1878"/>
      <c r="BF32" s="1878"/>
      <c r="BH32" s="1509"/>
    </row>
    <row r="33" spans="1:60" s="1853" customFormat="1" ht="15.6">
      <c r="A33" s="1552"/>
      <c r="B33" s="1509"/>
      <c r="D33" s="815" t="str">
        <f>"EBIT=Earnings before interest and taxes; EBITDA=Earnings before interest and taxes, depreciation and amortization; LFY=Last fiscal year; LTM=Last twelve months; NTM=Next twelve months; "&amp;EVorTIC&amp;"="&amp;EVorTICFull</f>
        <v>EBIT=Earnings before interest and taxes; EBITDA=Earnings before interest and taxes, depreciation and amortization; LFY=Last fiscal year; LTM=Last twelve months; NTM=Next twelve months; TIC=Total invested capital</v>
      </c>
      <c r="E33" s="1851"/>
      <c r="F33" s="1851"/>
      <c r="G33" s="1908"/>
      <c r="H33" s="1908"/>
      <c r="I33" s="22"/>
      <c r="J33" s="22"/>
      <c r="K33" s="22"/>
      <c r="L33" s="22"/>
      <c r="M33" s="22"/>
      <c r="N33" s="1908"/>
      <c r="O33" s="1908"/>
      <c r="P33" s="1908"/>
      <c r="Q33" s="1908"/>
      <c r="R33" s="1908"/>
      <c r="S33" s="1908"/>
      <c r="T33" s="22"/>
      <c r="U33" s="22"/>
      <c r="V33" s="22"/>
      <c r="W33" s="22"/>
      <c r="X33" s="22"/>
      <c r="Y33" s="1850"/>
      <c r="Z33" s="1850"/>
      <c r="AA33" s="1850"/>
      <c r="AB33" s="1850"/>
      <c r="AC33" s="1850"/>
      <c r="AD33" s="1850"/>
      <c r="AE33" s="1850"/>
      <c r="AF33" s="1850"/>
      <c r="AG33" s="1850"/>
      <c r="AH33" s="1850"/>
      <c r="AI33" s="1850"/>
      <c r="AJ33" s="1850"/>
      <c r="AK33" s="1850"/>
      <c r="AL33" s="1850"/>
      <c r="AM33" s="1850"/>
      <c r="AN33" s="1850"/>
      <c r="AO33" s="1850"/>
      <c r="AP33" s="1850"/>
      <c r="AQ33" s="1850"/>
      <c r="AR33" s="1850"/>
      <c r="AS33" s="1850"/>
      <c r="AT33" s="1850"/>
      <c r="AU33" s="1850"/>
      <c r="AV33" s="1850"/>
      <c r="AW33" s="2060"/>
      <c r="BH33" s="1509"/>
    </row>
    <row r="34" spans="1:60" s="1853" customFormat="1" ht="13.9">
      <c r="A34" s="1552"/>
      <c r="B34" s="1509"/>
      <c r="D34" s="373" t="s">
        <v>1402</v>
      </c>
      <c r="E34" s="1870"/>
      <c r="F34" s="1870"/>
      <c r="G34" s="1929"/>
      <c r="H34" s="1929"/>
      <c r="I34" s="1929"/>
      <c r="J34" s="1929"/>
      <c r="K34" s="1929"/>
      <c r="L34" s="1929"/>
      <c r="M34" s="1929"/>
      <c r="N34" s="1929"/>
      <c r="O34" s="1929"/>
      <c r="P34" s="1908"/>
      <c r="Q34" s="1929"/>
      <c r="R34" s="1929"/>
      <c r="S34" s="1929"/>
      <c r="T34" s="1929"/>
      <c r="U34" s="1929"/>
      <c r="V34" s="1929"/>
      <c r="W34" s="1929"/>
      <c r="X34" s="1929"/>
      <c r="Y34" s="1870"/>
      <c r="Z34" s="1870"/>
      <c r="AA34" s="1870"/>
      <c r="AB34" s="1870"/>
      <c r="AC34" s="1870"/>
      <c r="AD34" s="1870"/>
      <c r="AE34" s="1870"/>
      <c r="AF34" s="1870"/>
      <c r="AG34" s="1870"/>
      <c r="AH34" s="1870"/>
      <c r="AI34" s="1870"/>
      <c r="AJ34" s="1870"/>
      <c r="AK34" s="1870"/>
      <c r="AL34" s="1870"/>
      <c r="AM34" s="1870"/>
      <c r="AN34" s="1870"/>
      <c r="AO34" s="1870"/>
      <c r="AP34" s="1870"/>
      <c r="AQ34" s="1870"/>
      <c r="AR34" s="1870"/>
      <c r="AS34" s="1870"/>
      <c r="AT34" s="1870"/>
      <c r="AU34" s="1870"/>
      <c r="AV34" s="1870"/>
      <c r="AW34" s="2060"/>
      <c r="AX34" s="1870"/>
      <c r="AY34" s="1870"/>
      <c r="AZ34" s="1870"/>
      <c r="BA34" s="1870"/>
      <c r="BB34" s="1870"/>
      <c r="BC34" s="1870"/>
      <c r="BD34" s="1870"/>
      <c r="BE34" s="1870"/>
      <c r="BF34" s="1870"/>
      <c r="BG34" s="1870"/>
      <c r="BH34" s="1509"/>
    </row>
    <row r="35" spans="1:60" s="1853" customFormat="1" ht="15.6">
      <c r="A35" s="1552"/>
      <c r="B35" s="1509"/>
      <c r="C35" s="2060"/>
      <c r="D35" s="373"/>
      <c r="E35" s="2060"/>
      <c r="F35" s="2060"/>
      <c r="G35" s="2060"/>
      <c r="H35" s="2060"/>
      <c r="I35" s="22"/>
      <c r="J35" s="22"/>
      <c r="K35" s="22"/>
      <c r="L35" s="22"/>
      <c r="M35" s="2060"/>
      <c r="N35" s="2060"/>
      <c r="O35" s="2060"/>
      <c r="P35" s="2060"/>
      <c r="Q35" s="2060"/>
      <c r="R35" s="2060"/>
      <c r="S35" s="2060"/>
      <c r="T35" s="2060"/>
      <c r="U35" s="2060"/>
      <c r="V35" s="2060"/>
      <c r="W35" s="2060"/>
      <c r="X35" s="2060"/>
      <c r="Y35" s="1859"/>
      <c r="Z35" s="1854"/>
      <c r="AA35" s="1854"/>
      <c r="AB35" s="1854"/>
      <c r="AC35" s="1854"/>
      <c r="AD35" s="1854"/>
      <c r="AE35" s="1854"/>
      <c r="AF35" s="1858"/>
      <c r="AG35" s="1858"/>
      <c r="AH35" s="1858"/>
      <c r="AI35" s="1858"/>
      <c r="AJ35" s="1857"/>
      <c r="AK35" s="1857"/>
      <c r="AL35" s="1857"/>
      <c r="AM35" s="1856"/>
      <c r="AN35" s="1856"/>
      <c r="AO35" s="1856"/>
      <c r="AP35" s="1856"/>
      <c r="AQ35" s="1856"/>
      <c r="AR35" s="1856"/>
      <c r="AS35" s="1856"/>
      <c r="AT35" s="1856"/>
      <c r="AU35" s="1856"/>
      <c r="AV35" s="1855"/>
      <c r="AW35" s="2060"/>
      <c r="BH35" s="1509"/>
    </row>
    <row r="36" spans="1:60" s="1499" customFormat="1" ht="13.9">
      <c r="A36" s="1552"/>
      <c r="B36" s="1509"/>
      <c r="C36" s="2060"/>
      <c r="D36" s="373" t="str">
        <f ca="1">FootnoteDRAFT</f>
        <v>Run date: 05-August-2018  02:34 PM.   DRAFT document. All data subject to change upon completion of additional analysis.</v>
      </c>
      <c r="E36" s="2060"/>
      <c r="F36" s="2060"/>
      <c r="G36" s="2060"/>
      <c r="H36" s="2060"/>
      <c r="I36" s="2060"/>
      <c r="J36" s="2060"/>
      <c r="K36" s="2060"/>
      <c r="L36" s="2060"/>
      <c r="M36" s="2060"/>
      <c r="N36" s="2060"/>
      <c r="O36" s="2060"/>
      <c r="P36" s="2060"/>
      <c r="Q36" s="2060"/>
      <c r="R36" s="2060"/>
      <c r="S36" s="2060"/>
      <c r="T36" s="2060"/>
      <c r="U36" s="2060"/>
      <c r="V36" s="2060"/>
      <c r="W36" s="2060"/>
      <c r="X36" s="2060"/>
      <c r="Y36" s="1330" t="s">
        <v>1275</v>
      </c>
      <c r="Z36" s="1887" t="str">
        <f t="shared" ref="Z36:AE36" si="23">IFERROR(QUARTILE(Z$10:Z$31,4),"n/a")</f>
        <v>n/a</v>
      </c>
      <c r="AA36" s="1887" t="str">
        <f t="shared" si="23"/>
        <v>n/a</v>
      </c>
      <c r="AB36" s="1887" t="str">
        <f t="shared" si="23"/>
        <v>n/a</v>
      </c>
      <c r="AC36" s="1887" t="str">
        <f t="shared" si="23"/>
        <v>n/a</v>
      </c>
      <c r="AD36" s="1887" t="str">
        <f t="shared" si="23"/>
        <v>n/a</v>
      </c>
      <c r="AE36" s="1887" t="str">
        <f t="shared" si="23"/>
        <v>n/a</v>
      </c>
      <c r="AF36" s="1887" t="str">
        <f t="shared" ref="AF36:AV36" si="24">IFERROR(QUARTILE(AF$10:AF$31,4),"n/a")</f>
        <v>n/a</v>
      </c>
      <c r="AG36" s="1887" t="str">
        <f t="shared" si="24"/>
        <v>n/a</v>
      </c>
      <c r="AH36" s="1887" t="str">
        <f t="shared" si="24"/>
        <v>n/a</v>
      </c>
      <c r="AI36" s="1887" t="str">
        <f t="shared" si="24"/>
        <v>n/a</v>
      </c>
      <c r="AJ36" s="1363" t="str">
        <f t="shared" si="24"/>
        <v>n/a</v>
      </c>
      <c r="AK36" s="1363" t="str">
        <f t="shared" si="24"/>
        <v>n/a</v>
      </c>
      <c r="AL36" s="1920" t="str">
        <f t="shared" si="24"/>
        <v>n/a</v>
      </c>
      <c r="AM36" s="1666" t="str">
        <f t="shared" si="24"/>
        <v>n/a</v>
      </c>
      <c r="AN36" s="1666" t="str">
        <f t="shared" si="24"/>
        <v>n/a</v>
      </c>
      <c r="AO36" s="1666" t="str">
        <f t="shared" si="24"/>
        <v>n/a</v>
      </c>
      <c r="AP36" s="1666"/>
      <c r="AQ36" s="1666" t="str">
        <f t="shared" si="24"/>
        <v>n/a</v>
      </c>
      <c r="AR36" s="1666" t="str">
        <f t="shared" si="24"/>
        <v>n/a</v>
      </c>
      <c r="AS36" s="1666" t="str">
        <f t="shared" si="24"/>
        <v>n/a</v>
      </c>
      <c r="AT36" s="1884" t="str">
        <f t="shared" si="24"/>
        <v>n/a</v>
      </c>
      <c r="AU36" s="1884" t="str">
        <f t="shared" si="24"/>
        <v>n/a</v>
      </c>
      <c r="AV36" s="1923" t="str">
        <f t="shared" si="24"/>
        <v>n/a</v>
      </c>
      <c r="AW36" s="2060"/>
      <c r="AX36" s="2060"/>
      <c r="AY36" s="2060"/>
      <c r="AZ36" s="2060"/>
      <c r="BA36" s="2060"/>
      <c r="BB36" s="2060"/>
      <c r="BC36" s="2060"/>
      <c r="BD36" s="2060"/>
      <c r="BE36" s="2060"/>
      <c r="BF36" s="2060"/>
      <c r="BG36" s="2060"/>
      <c r="BH36" s="1509"/>
    </row>
    <row r="37" spans="1:60" s="1499" customFormat="1" ht="13.9">
      <c r="A37" s="1552"/>
      <c r="B37" s="1509"/>
      <c r="C37" s="327"/>
      <c r="D37" s="2060"/>
      <c r="E37" s="183"/>
      <c r="F37" s="183"/>
      <c r="G37" s="1930"/>
      <c r="H37" s="1930"/>
      <c r="I37" s="2060"/>
      <c r="J37" s="2060"/>
      <c r="K37" s="2060"/>
      <c r="L37" s="2060"/>
      <c r="M37" s="2060"/>
      <c r="N37" s="1930"/>
      <c r="O37" s="1930"/>
      <c r="P37" s="1930"/>
      <c r="Q37" s="1930"/>
      <c r="R37" s="1930"/>
      <c r="S37" s="1930"/>
      <c r="T37" s="1930"/>
      <c r="U37" s="1930"/>
      <c r="V37" s="1930"/>
      <c r="W37" s="1930"/>
      <c r="X37" s="1930"/>
      <c r="Y37" s="183" t="s">
        <v>1469</v>
      </c>
      <c r="Z37" s="1874" t="str">
        <f t="shared" ref="Z37:AE37" si="25">IFERROR(QUARTILE(Z$10:Z$31,3),"n/a")</f>
        <v>n/a</v>
      </c>
      <c r="AA37" s="1874" t="str">
        <f t="shared" si="25"/>
        <v>n/a</v>
      </c>
      <c r="AB37" s="1874" t="str">
        <f t="shared" si="25"/>
        <v>n/a</v>
      </c>
      <c r="AC37" s="1874" t="str">
        <f t="shared" si="25"/>
        <v>n/a</v>
      </c>
      <c r="AD37" s="1874" t="str">
        <f t="shared" si="25"/>
        <v>n/a</v>
      </c>
      <c r="AE37" s="1874" t="str">
        <f t="shared" si="25"/>
        <v>n/a</v>
      </c>
      <c r="AF37" s="1874" t="str">
        <f t="shared" ref="AF37:AV37" si="26">IFERROR(QUARTILE(AF$10:AF$31,3),"n/a")</f>
        <v>n/a</v>
      </c>
      <c r="AG37" s="1874" t="str">
        <f t="shared" si="26"/>
        <v>n/a</v>
      </c>
      <c r="AH37" s="1874" t="str">
        <f t="shared" si="26"/>
        <v>n/a</v>
      </c>
      <c r="AI37" s="1874" t="str">
        <f t="shared" si="26"/>
        <v>n/a</v>
      </c>
      <c r="AJ37" s="1614" t="str">
        <f t="shared" si="26"/>
        <v>n/a</v>
      </c>
      <c r="AK37" s="1614" t="str">
        <f t="shared" si="26"/>
        <v>n/a</v>
      </c>
      <c r="AL37" s="1921" t="str">
        <f t="shared" si="26"/>
        <v>n/a</v>
      </c>
      <c r="AM37" s="1667" t="str">
        <f t="shared" si="26"/>
        <v>n/a</v>
      </c>
      <c r="AN37" s="1667" t="str">
        <f t="shared" si="26"/>
        <v>n/a</v>
      </c>
      <c r="AO37" s="1667" t="str">
        <f t="shared" si="26"/>
        <v>n/a</v>
      </c>
      <c r="AP37" s="1667"/>
      <c r="AQ37" s="1667" t="str">
        <f t="shared" si="26"/>
        <v>n/a</v>
      </c>
      <c r="AR37" s="1667" t="str">
        <f t="shared" si="26"/>
        <v>n/a</v>
      </c>
      <c r="AS37" s="1667" t="str">
        <f t="shared" si="26"/>
        <v>n/a</v>
      </c>
      <c r="AT37" s="1425" t="str">
        <f t="shared" si="26"/>
        <v>n/a</v>
      </c>
      <c r="AU37" s="1425" t="str">
        <f t="shared" si="26"/>
        <v>n/a</v>
      </c>
      <c r="AV37" s="1924" t="str">
        <f t="shared" si="26"/>
        <v>n/a</v>
      </c>
      <c r="AW37" s="2060"/>
      <c r="AX37" s="2060"/>
      <c r="AY37" s="2060"/>
      <c r="AZ37" s="2060"/>
      <c r="BA37" s="2060"/>
      <c r="BB37" s="2060"/>
      <c r="BC37" s="2060"/>
      <c r="BD37" s="2060"/>
      <c r="BE37" s="2060"/>
      <c r="BF37" s="2060"/>
      <c r="BG37" s="2060"/>
      <c r="BH37" s="1509"/>
    </row>
    <row r="38" spans="1:60" s="1499" customFormat="1" ht="13.9">
      <c r="A38" s="1552"/>
      <c r="B38" s="1509"/>
      <c r="C38" s="327"/>
      <c r="D38" s="2060"/>
      <c r="E38" s="183"/>
      <c r="F38" s="183"/>
      <c r="G38" s="1930"/>
      <c r="H38" s="1930"/>
      <c r="I38" s="2060"/>
      <c r="J38" s="2060"/>
      <c r="K38" s="2060"/>
      <c r="L38" s="2060"/>
      <c r="M38" s="2060"/>
      <c r="N38" s="1930"/>
      <c r="O38" s="1930"/>
      <c r="P38" s="1930"/>
      <c r="Q38" s="1930"/>
      <c r="R38" s="1930"/>
      <c r="S38" s="1930"/>
      <c r="T38" s="1930"/>
      <c r="U38" s="1930"/>
      <c r="V38" s="1930"/>
      <c r="W38" s="1930"/>
      <c r="X38" s="1930"/>
      <c r="Y38" s="183" t="s">
        <v>1157</v>
      </c>
      <c r="Z38" s="1874" t="str">
        <f>IFERROR(AVERAGE(Z$10:Z$31),"n/a")</f>
        <v>n/a</v>
      </c>
      <c r="AA38" s="1874" t="str">
        <f>IFERROR(AVERAGE(AA$10:AA$31),"n/a")</f>
        <v>n/a</v>
      </c>
      <c r="AB38" s="1874" t="str">
        <f>IFERROR(AVERAGE(AB$10:AB$31),"n/a")</f>
        <v>n/a</v>
      </c>
      <c r="AC38" s="1874" t="str">
        <f t="shared" ref="AC38:AV38" si="27">IFERROR(AVERAGE(AC$10:AC$31),"n/a")</f>
        <v>n/a</v>
      </c>
      <c r="AD38" s="1874" t="str">
        <f t="shared" si="27"/>
        <v>n/a</v>
      </c>
      <c r="AE38" s="1874" t="str">
        <f t="shared" si="27"/>
        <v>n/a</v>
      </c>
      <c r="AF38" s="1874" t="str">
        <f t="shared" si="27"/>
        <v>n/a</v>
      </c>
      <c r="AG38" s="1874" t="str">
        <f t="shared" si="27"/>
        <v>n/a</v>
      </c>
      <c r="AH38" s="1874" t="str">
        <f t="shared" si="27"/>
        <v>n/a</v>
      </c>
      <c r="AI38" s="1874" t="str">
        <f t="shared" si="27"/>
        <v>n/a</v>
      </c>
      <c r="AJ38" s="1614" t="str">
        <f t="shared" si="27"/>
        <v>n/a</v>
      </c>
      <c r="AK38" s="1614" t="str">
        <f t="shared" si="27"/>
        <v>n/a</v>
      </c>
      <c r="AL38" s="1921" t="str">
        <f t="shared" si="27"/>
        <v>n/a</v>
      </c>
      <c r="AM38" s="1667" t="str">
        <f t="shared" si="27"/>
        <v>n/a</v>
      </c>
      <c r="AN38" s="1667" t="str">
        <f t="shared" si="27"/>
        <v>n/a</v>
      </c>
      <c r="AO38" s="1667" t="str">
        <f t="shared" si="27"/>
        <v>n/a</v>
      </c>
      <c r="AP38" s="1667"/>
      <c r="AQ38" s="1667" t="str">
        <f t="shared" si="27"/>
        <v>n/a</v>
      </c>
      <c r="AR38" s="1667" t="str">
        <f t="shared" si="27"/>
        <v>n/a</v>
      </c>
      <c r="AS38" s="1667" t="str">
        <f t="shared" si="27"/>
        <v>n/a</v>
      </c>
      <c r="AT38" s="1425" t="str">
        <f t="shared" si="27"/>
        <v>n/a</v>
      </c>
      <c r="AU38" s="1425" t="str">
        <f t="shared" si="27"/>
        <v>n/a</v>
      </c>
      <c r="AV38" s="1924" t="str">
        <f t="shared" si="27"/>
        <v>n/a</v>
      </c>
      <c r="AW38" s="2060"/>
      <c r="AX38" s="2060"/>
      <c r="AY38" s="2060"/>
      <c r="AZ38" s="2060"/>
      <c r="BA38" s="2060"/>
      <c r="BB38" s="2060"/>
      <c r="BC38" s="2060"/>
      <c r="BD38" s="2060"/>
      <c r="BE38" s="2060"/>
      <c r="BF38" s="2060"/>
      <c r="BG38" s="2060"/>
      <c r="BH38" s="1509"/>
    </row>
    <row r="39" spans="1:60" s="1499" customFormat="1" ht="13.9">
      <c r="A39" s="1552"/>
      <c r="B39" s="1509"/>
      <c r="C39" s="327"/>
      <c r="D39" s="2060"/>
      <c r="E39" s="183"/>
      <c r="F39" s="183"/>
      <c r="G39" s="1930"/>
      <c r="H39" s="1930"/>
      <c r="I39" s="2060"/>
      <c r="J39" s="2060"/>
      <c r="K39" s="2060"/>
      <c r="L39" s="2060"/>
      <c r="M39" s="2060"/>
      <c r="N39" s="1930"/>
      <c r="O39" s="1930"/>
      <c r="P39" s="1930"/>
      <c r="Q39" s="1930"/>
      <c r="R39" s="1930"/>
      <c r="S39" s="1930"/>
      <c r="T39" s="1930"/>
      <c r="U39" s="1930"/>
      <c r="V39" s="1930"/>
      <c r="W39" s="1930"/>
      <c r="X39" s="1930"/>
      <c r="Y39" s="183" t="s">
        <v>1158</v>
      </c>
      <c r="Z39" s="1874" t="str">
        <f>IFERROR(MEDIAN(Z$13:Z$31),"n/a")</f>
        <v>n/a</v>
      </c>
      <c r="AA39" s="1874" t="str">
        <f t="shared" ref="AA39:AV39" si="28">IFERROR(MEDIAN(AA$13:AA$31),"n/a")</f>
        <v>n/a</v>
      </c>
      <c r="AB39" s="1874" t="str">
        <f t="shared" si="28"/>
        <v>n/a</v>
      </c>
      <c r="AC39" s="1874" t="str">
        <f t="shared" si="28"/>
        <v>n/a</v>
      </c>
      <c r="AD39" s="1874" t="str">
        <f t="shared" si="28"/>
        <v>n/a</v>
      </c>
      <c r="AE39" s="1874" t="str">
        <f t="shared" si="28"/>
        <v>n/a</v>
      </c>
      <c r="AF39" s="1874" t="str">
        <f t="shared" si="28"/>
        <v>n/a</v>
      </c>
      <c r="AG39" s="1874" t="str">
        <f t="shared" si="28"/>
        <v>n/a</v>
      </c>
      <c r="AH39" s="1874" t="str">
        <f t="shared" si="28"/>
        <v>n/a</v>
      </c>
      <c r="AI39" s="1874" t="str">
        <f t="shared" si="28"/>
        <v>n/a</v>
      </c>
      <c r="AJ39" s="1614" t="str">
        <f t="shared" si="28"/>
        <v>n/a</v>
      </c>
      <c r="AK39" s="1614" t="str">
        <f t="shared" si="28"/>
        <v>n/a</v>
      </c>
      <c r="AL39" s="1921" t="str">
        <f t="shared" si="28"/>
        <v>n/a</v>
      </c>
      <c r="AM39" s="1667" t="str">
        <f t="shared" si="28"/>
        <v>n/a</v>
      </c>
      <c r="AN39" s="1667" t="str">
        <f t="shared" si="28"/>
        <v>n/a</v>
      </c>
      <c r="AO39" s="1667" t="str">
        <f t="shared" si="28"/>
        <v>n/a</v>
      </c>
      <c r="AP39" s="1667"/>
      <c r="AQ39" s="1667" t="str">
        <f t="shared" si="28"/>
        <v>n/a</v>
      </c>
      <c r="AR39" s="1667" t="str">
        <f t="shared" si="28"/>
        <v>n/a</v>
      </c>
      <c r="AS39" s="1667" t="str">
        <f t="shared" si="28"/>
        <v>n/a</v>
      </c>
      <c r="AT39" s="1425" t="str">
        <f t="shared" si="28"/>
        <v>n/a</v>
      </c>
      <c r="AU39" s="1425" t="str">
        <f t="shared" si="28"/>
        <v>n/a</v>
      </c>
      <c r="AV39" s="1924" t="str">
        <f t="shared" si="28"/>
        <v>n/a</v>
      </c>
      <c r="AW39" s="2060"/>
      <c r="AX39" s="2060"/>
      <c r="AY39" s="2060"/>
      <c r="AZ39" s="2060"/>
      <c r="BA39" s="2060"/>
      <c r="BB39" s="2060"/>
      <c r="BC39" s="2060"/>
      <c r="BD39" s="2060"/>
      <c r="BE39" s="2060"/>
      <c r="BF39" s="2060"/>
      <c r="BG39" s="2060"/>
      <c r="BH39" s="1509"/>
    </row>
    <row r="40" spans="1:60" s="1499" customFormat="1" ht="13.9">
      <c r="A40" s="1552"/>
      <c r="B40" s="1509"/>
      <c r="C40" s="327"/>
      <c r="D40" s="2060"/>
      <c r="E40" s="183"/>
      <c r="F40" s="183"/>
      <c r="G40" s="1930"/>
      <c r="H40" s="1930"/>
      <c r="I40" s="2060"/>
      <c r="J40" s="2060"/>
      <c r="K40" s="2060"/>
      <c r="L40" s="2060"/>
      <c r="M40" s="2060"/>
      <c r="N40" s="1930"/>
      <c r="O40" s="1930"/>
      <c r="P40" s="1930"/>
      <c r="Q40" s="1930"/>
      <c r="R40" s="1930"/>
      <c r="S40" s="1930"/>
      <c r="T40" s="1930"/>
      <c r="U40" s="1930"/>
      <c r="V40" s="1930"/>
      <c r="W40" s="1930"/>
      <c r="X40" s="1930"/>
      <c r="Y40" s="183" t="s">
        <v>1470</v>
      </c>
      <c r="Z40" s="1874" t="str">
        <f t="shared" ref="Z40:AE40" si="29">IFERROR(QUARTILE(Z$10:Z$31,1),"n/a")</f>
        <v>n/a</v>
      </c>
      <c r="AA40" s="1874" t="str">
        <f t="shared" si="29"/>
        <v>n/a</v>
      </c>
      <c r="AB40" s="1874" t="str">
        <f t="shared" si="29"/>
        <v>n/a</v>
      </c>
      <c r="AC40" s="1874" t="str">
        <f t="shared" si="29"/>
        <v>n/a</v>
      </c>
      <c r="AD40" s="1874" t="str">
        <f t="shared" si="29"/>
        <v>n/a</v>
      </c>
      <c r="AE40" s="1874" t="str">
        <f t="shared" si="29"/>
        <v>n/a</v>
      </c>
      <c r="AF40" s="1874" t="str">
        <f t="shared" ref="AF40:AV40" si="30">IFERROR(QUARTILE(AF$10:AF$31,1),"n/a")</f>
        <v>n/a</v>
      </c>
      <c r="AG40" s="1874" t="str">
        <f t="shared" si="30"/>
        <v>n/a</v>
      </c>
      <c r="AH40" s="1874" t="str">
        <f t="shared" si="30"/>
        <v>n/a</v>
      </c>
      <c r="AI40" s="1874" t="str">
        <f t="shared" si="30"/>
        <v>n/a</v>
      </c>
      <c r="AJ40" s="1614" t="str">
        <f t="shared" si="30"/>
        <v>n/a</v>
      </c>
      <c r="AK40" s="1614" t="str">
        <f t="shared" si="30"/>
        <v>n/a</v>
      </c>
      <c r="AL40" s="1921" t="str">
        <f t="shared" si="30"/>
        <v>n/a</v>
      </c>
      <c r="AM40" s="1667" t="str">
        <f t="shared" si="30"/>
        <v>n/a</v>
      </c>
      <c r="AN40" s="1667" t="str">
        <f t="shared" si="30"/>
        <v>n/a</v>
      </c>
      <c r="AO40" s="1667" t="str">
        <f t="shared" si="30"/>
        <v>n/a</v>
      </c>
      <c r="AP40" s="1667"/>
      <c r="AQ40" s="1667" t="str">
        <f t="shared" si="30"/>
        <v>n/a</v>
      </c>
      <c r="AR40" s="1667" t="str">
        <f t="shared" si="30"/>
        <v>n/a</v>
      </c>
      <c r="AS40" s="1667" t="str">
        <f t="shared" si="30"/>
        <v>n/a</v>
      </c>
      <c r="AT40" s="1425" t="str">
        <f t="shared" si="30"/>
        <v>n/a</v>
      </c>
      <c r="AU40" s="1425" t="str">
        <f t="shared" si="30"/>
        <v>n/a</v>
      </c>
      <c r="AV40" s="1924" t="str">
        <f t="shared" si="30"/>
        <v>n/a</v>
      </c>
      <c r="AW40" s="2060"/>
      <c r="AX40" s="2060"/>
      <c r="AY40" s="2060"/>
      <c r="AZ40" s="2060"/>
      <c r="BA40" s="2060"/>
      <c r="BB40" s="2060"/>
      <c r="BC40" s="2060"/>
      <c r="BD40" s="2060"/>
      <c r="BE40" s="2060"/>
      <c r="BF40" s="2060"/>
      <c r="BG40" s="2060"/>
      <c r="BH40" s="1509"/>
    </row>
    <row r="41" spans="1:60" s="1499" customFormat="1" ht="13.9">
      <c r="A41" s="1552"/>
      <c r="B41" s="1509"/>
      <c r="C41" s="327"/>
      <c r="D41" s="373"/>
      <c r="E41" s="183"/>
      <c r="F41" s="183"/>
      <c r="G41" s="1930"/>
      <c r="H41" s="1930"/>
      <c r="I41" s="2060"/>
      <c r="J41" s="2060"/>
      <c r="K41" s="2060"/>
      <c r="L41" s="2060"/>
      <c r="M41" s="2060"/>
      <c r="N41" s="1930"/>
      <c r="O41" s="1930"/>
      <c r="P41" s="1930"/>
      <c r="Q41" s="1930"/>
      <c r="R41" s="1930"/>
      <c r="S41" s="1930"/>
      <c r="T41" s="1930"/>
      <c r="U41" s="1930"/>
      <c r="V41" s="1930"/>
      <c r="W41" s="1930"/>
      <c r="X41" s="1930"/>
      <c r="Y41" s="1885" t="s">
        <v>1273</v>
      </c>
      <c r="Z41" s="1888" t="str">
        <f t="shared" ref="Z41:AE41" si="31">IFERROR(QUARTILE(Z$10:Z$31,0),"n/a")</f>
        <v>n/a</v>
      </c>
      <c r="AA41" s="1888" t="str">
        <f t="shared" si="31"/>
        <v>n/a</v>
      </c>
      <c r="AB41" s="1888" t="str">
        <f t="shared" si="31"/>
        <v>n/a</v>
      </c>
      <c r="AC41" s="1888" t="str">
        <f t="shared" si="31"/>
        <v>n/a</v>
      </c>
      <c r="AD41" s="1888" t="str">
        <f t="shared" si="31"/>
        <v>n/a</v>
      </c>
      <c r="AE41" s="1888" t="str">
        <f t="shared" si="31"/>
        <v>n/a</v>
      </c>
      <c r="AF41" s="1888" t="str">
        <f t="shared" ref="AF41:AV41" si="32">IFERROR(QUARTILE(AF$10:AF$31,0),"n/a")</f>
        <v>n/a</v>
      </c>
      <c r="AG41" s="1888" t="str">
        <f t="shared" si="32"/>
        <v>n/a</v>
      </c>
      <c r="AH41" s="1888" t="str">
        <f t="shared" si="32"/>
        <v>n/a</v>
      </c>
      <c r="AI41" s="1888" t="str">
        <f t="shared" si="32"/>
        <v>n/a</v>
      </c>
      <c r="AJ41" s="1717" t="str">
        <f t="shared" si="32"/>
        <v>n/a</v>
      </c>
      <c r="AK41" s="1717" t="str">
        <f t="shared" si="32"/>
        <v>n/a</v>
      </c>
      <c r="AL41" s="1922" t="str">
        <f t="shared" si="32"/>
        <v>n/a</v>
      </c>
      <c r="AM41" s="1812" t="str">
        <f t="shared" si="32"/>
        <v>n/a</v>
      </c>
      <c r="AN41" s="1812" t="str">
        <f t="shared" si="32"/>
        <v>n/a</v>
      </c>
      <c r="AO41" s="1812" t="str">
        <f t="shared" si="32"/>
        <v>n/a</v>
      </c>
      <c r="AP41" s="1812"/>
      <c r="AQ41" s="1812" t="str">
        <f t="shared" si="32"/>
        <v>n/a</v>
      </c>
      <c r="AR41" s="1812" t="str">
        <f t="shared" si="32"/>
        <v>n/a</v>
      </c>
      <c r="AS41" s="1812" t="str">
        <f t="shared" si="32"/>
        <v>n/a</v>
      </c>
      <c r="AT41" s="1886" t="str">
        <f t="shared" si="32"/>
        <v>n/a</v>
      </c>
      <c r="AU41" s="1886" t="str">
        <f t="shared" si="32"/>
        <v>n/a</v>
      </c>
      <c r="AV41" s="1925" t="str">
        <f t="shared" si="32"/>
        <v>n/a</v>
      </c>
      <c r="AW41" s="2060"/>
      <c r="AX41" s="2060"/>
      <c r="AY41" s="2060"/>
      <c r="AZ41" s="2060"/>
      <c r="BA41" s="2060"/>
      <c r="BB41" s="2060"/>
      <c r="BC41" s="2060"/>
      <c r="BD41" s="2060"/>
      <c r="BE41" s="2060"/>
      <c r="BF41" s="2060"/>
      <c r="BG41" s="2060"/>
      <c r="BH41" s="1509"/>
    </row>
    <row r="42" spans="1:60" s="1853" customFormat="1" ht="15.6">
      <c r="A42" s="1552"/>
      <c r="B42" s="1509"/>
      <c r="E42" s="1851"/>
      <c r="F42" s="1851"/>
      <c r="G42" s="1908"/>
      <c r="H42" s="1908"/>
      <c r="I42" s="22"/>
      <c r="J42" s="22"/>
      <c r="K42" s="22"/>
      <c r="L42" s="22"/>
      <c r="M42" s="2060"/>
      <c r="N42" s="1908"/>
      <c r="O42" s="1908"/>
      <c r="P42" s="1908"/>
      <c r="Q42" s="1908"/>
      <c r="R42" s="1908"/>
      <c r="S42" s="1908"/>
      <c r="T42" s="22"/>
      <c r="U42" s="22"/>
      <c r="V42" s="22"/>
      <c r="W42" s="22"/>
      <c r="X42" s="22"/>
      <c r="Y42" s="1850"/>
      <c r="Z42" s="1850"/>
      <c r="AA42" s="1850"/>
      <c r="AB42" s="1850"/>
      <c r="AC42" s="1850"/>
      <c r="AD42" s="1850"/>
      <c r="AE42" s="1850"/>
      <c r="AF42" s="1850"/>
      <c r="AG42" s="1850"/>
      <c r="AH42" s="1850"/>
      <c r="AI42" s="1850"/>
      <c r="AJ42" s="1850"/>
      <c r="AK42" s="1850"/>
      <c r="AL42" s="1850"/>
      <c r="AM42" s="1850"/>
      <c r="AN42" s="1850"/>
      <c r="AO42" s="1850"/>
      <c r="AP42" s="1850"/>
      <c r="AQ42" s="1850"/>
      <c r="AR42" s="1850"/>
      <c r="AS42" s="1850"/>
      <c r="AT42" s="1850"/>
      <c r="AU42" s="1850"/>
      <c r="AV42" s="1850"/>
      <c r="AW42" s="2060"/>
      <c r="BH42" s="1509"/>
    </row>
    <row r="43" spans="1:60" s="1865" customFormat="1" ht="13.9">
      <c r="A43" s="1552" t="s">
        <v>17</v>
      </c>
      <c r="B43" s="1509"/>
      <c r="C43" s="1509"/>
      <c r="D43" s="1509"/>
      <c r="E43" s="1509"/>
      <c r="F43" s="1509"/>
      <c r="G43" s="1509"/>
      <c r="H43" s="1509"/>
      <c r="I43" s="1509"/>
      <c r="J43" s="1509"/>
      <c r="K43" s="1509"/>
      <c r="L43" s="1509"/>
      <c r="M43" s="1509"/>
      <c r="N43" s="1509"/>
      <c r="O43" s="1509"/>
      <c r="P43" s="1509"/>
      <c r="Q43" s="1509"/>
      <c r="R43" s="1509"/>
      <c r="S43" s="1509"/>
      <c r="T43" s="1509"/>
      <c r="U43" s="1509"/>
      <c r="V43" s="1509"/>
      <c r="W43" s="1509"/>
      <c r="X43" s="1509"/>
      <c r="Y43" s="1509"/>
      <c r="Z43" s="1509"/>
      <c r="AA43" s="1509"/>
      <c r="AB43" s="1509"/>
      <c r="AC43" s="1509"/>
      <c r="AD43" s="1509"/>
      <c r="AE43" s="1509"/>
      <c r="AF43" s="1509"/>
      <c r="AG43" s="1509"/>
      <c r="AH43" s="1509"/>
      <c r="AI43" s="1509"/>
      <c r="AJ43" s="1509"/>
      <c r="AK43" s="1509"/>
      <c r="AL43" s="1509"/>
      <c r="AM43" s="1509"/>
      <c r="AN43" s="1509"/>
      <c r="AO43" s="1509"/>
      <c r="AP43" s="1509"/>
      <c r="AQ43" s="1509"/>
      <c r="AR43" s="1509"/>
      <c r="AS43" s="1509"/>
      <c r="AT43" s="1509"/>
      <c r="AU43" s="1509"/>
      <c r="AV43" s="1509"/>
      <c r="AW43" s="1509"/>
      <c r="AX43" s="1509"/>
      <c r="AY43" s="1509"/>
      <c r="AZ43" s="1509"/>
      <c r="BA43" s="1509"/>
      <c r="BB43" s="1509"/>
      <c r="BC43" s="1509"/>
      <c r="BD43" s="1509"/>
      <c r="BE43" s="1509"/>
      <c r="BF43" s="1546"/>
      <c r="BG43" s="1546" t="s">
        <v>18</v>
      </c>
      <c r="BH43" s="1509"/>
    </row>
    <row r="44" spans="1:60">
      <c r="A44" s="1509"/>
      <c r="B44" s="1509"/>
      <c r="C44" s="1509"/>
      <c r="D44" s="1509"/>
      <c r="E44" s="1509"/>
      <c r="F44" s="1509"/>
      <c r="G44" s="1509"/>
      <c r="H44" s="1509"/>
      <c r="I44" s="1509"/>
      <c r="J44" s="1509"/>
      <c r="K44" s="1509"/>
      <c r="L44" s="1509"/>
      <c r="M44" s="1509"/>
      <c r="N44" s="1509"/>
      <c r="O44" s="1509"/>
      <c r="P44" s="1509"/>
      <c r="Q44" s="1509"/>
      <c r="R44" s="1509"/>
      <c r="S44" s="1509"/>
      <c r="T44" s="1509"/>
      <c r="U44" s="1509"/>
      <c r="V44" s="1509"/>
      <c r="W44" s="1509"/>
      <c r="X44" s="1509"/>
      <c r="Y44" s="1509"/>
      <c r="Z44" s="1509"/>
      <c r="AA44" s="1509"/>
      <c r="AB44" s="1509"/>
      <c r="AC44" s="1509"/>
      <c r="AD44" s="1509"/>
      <c r="AE44" s="1509"/>
      <c r="AF44" s="1509"/>
      <c r="AG44" s="1509"/>
      <c r="AH44" s="1509"/>
      <c r="AI44" s="1509"/>
      <c r="AJ44" s="1509"/>
      <c r="AK44" s="1509"/>
      <c r="AL44" s="1509"/>
      <c r="AM44" s="1509"/>
      <c r="AN44" s="1509"/>
      <c r="AO44" s="1509"/>
      <c r="AP44" s="1509"/>
      <c r="AQ44" s="1509"/>
      <c r="AR44" s="1509"/>
      <c r="AS44" s="1509"/>
      <c r="AT44" s="1509"/>
      <c r="AU44" s="1509"/>
      <c r="AV44" s="1509"/>
      <c r="AW44" s="1509"/>
      <c r="AX44" s="1509"/>
      <c r="AY44" s="1509"/>
      <c r="AZ44" s="1509"/>
      <c r="BA44" s="1509"/>
      <c r="BB44" s="1509"/>
      <c r="BC44" s="1509"/>
      <c r="BD44" s="1509"/>
      <c r="BE44" s="1509"/>
      <c r="BF44" s="1509"/>
      <c r="BG44" s="1509"/>
      <c r="BH44" s="1509"/>
    </row>
    <row r="46" spans="1:60" ht="15.6">
      <c r="D46" s="2060"/>
      <c r="F46" s="1839" t="s">
        <v>1568</v>
      </c>
      <c r="N46" s="1839" t="s">
        <v>1569</v>
      </c>
    </row>
    <row r="47" spans="1:60" ht="15.6">
      <c r="D47" s="2060"/>
      <c r="E47" s="1667">
        <v>1</v>
      </c>
      <c r="F47" s="2068" t="str">
        <f>IF(I11="--","--",_xll.ciqfunctions.udf.CIQ(I11,"IQ_SHORT_BUSINESS_DESCRIPTION"))</f>
        <v>--</v>
      </c>
      <c r="N47" s="2068" t="str">
        <f>IF($O11="--","--",_xll.ciqfunctions.udf.CIQ(O11,"IQ_SHORT_BUSINESS_DESCRIPTION"))</f>
        <v>--</v>
      </c>
    </row>
    <row r="48" spans="1:60" ht="15.6">
      <c r="D48" s="2060"/>
      <c r="E48" s="1667">
        <f>E47+1</f>
        <v>2</v>
      </c>
      <c r="F48" s="2068" t="str">
        <f>IF(I12="--","--",_xll.ciqfunctions.udf.CIQ(I12,"IQ_SHORT_BUSINESS_DESCRIPTION"))</f>
        <v>--</v>
      </c>
      <c r="N48" s="2068" t="str">
        <f>IF($O12="--","--",_xll.ciqfunctions.udf.CIQ(O12,"IQ_SHORT_BUSINESS_DESCRIPTION"))</f>
        <v>--</v>
      </c>
    </row>
    <row r="49" spans="4:14" ht="15.6">
      <c r="D49" s="2060"/>
      <c r="E49" s="1667">
        <f t="shared" ref="E49:E66" si="33">E48+1</f>
        <v>3</v>
      </c>
      <c r="F49" s="2068" t="str">
        <f>IF(I13="--","--",_xll.ciqfunctions.udf.CIQ(I13,"IQ_SHORT_BUSINESS_DESCRIPTION"))</f>
        <v>--</v>
      </c>
      <c r="N49" s="2068" t="str">
        <f>IF($O13="--","--",_xll.ciqfunctions.udf.CIQ(O13,"IQ_SHORT_BUSINESS_DESCRIPTION"))</f>
        <v>--</v>
      </c>
    </row>
    <row r="50" spans="4:14" ht="15.6">
      <c r="D50" s="2060"/>
      <c r="E50" s="1667">
        <f t="shared" si="33"/>
        <v>4</v>
      </c>
      <c r="F50" s="2068" t="str">
        <f>IF(I14="--","--",_xll.ciqfunctions.udf.CIQ(I14,"IQ_SHORT_BUSINESS_DESCRIPTION"))</f>
        <v>--</v>
      </c>
      <c r="N50" s="2068" t="str">
        <f>IF($O14="--","--",_xll.ciqfunctions.udf.CIQ(O14,"IQ_SHORT_BUSINESS_DESCRIPTION"))</f>
        <v>--</v>
      </c>
    </row>
    <row r="51" spans="4:14" ht="15.6">
      <c r="D51" s="2060"/>
      <c r="E51" s="1667">
        <f t="shared" si="33"/>
        <v>5</v>
      </c>
      <c r="F51" s="2068" t="str">
        <f>IF(I15="--","--",_xll.ciqfunctions.udf.CIQ(I15,"IQ_SHORT_BUSINESS_DESCRIPTION"))</f>
        <v>--</v>
      </c>
      <c r="N51" s="2068" t="str">
        <f>IF($O15="--","--",_xll.ciqfunctions.udf.CIQ(O15,"IQ_SHORT_BUSINESS_DESCRIPTION"))</f>
        <v>--</v>
      </c>
    </row>
    <row r="52" spans="4:14" ht="15.6">
      <c r="D52" s="2060"/>
      <c r="E52" s="1667">
        <f t="shared" si="33"/>
        <v>6</v>
      </c>
      <c r="F52" s="2068" t="str">
        <f>IF(I16="--","--",_xll.ciqfunctions.udf.CIQ(I16,"IQ_SHORT_BUSINESS_DESCRIPTION"))</f>
        <v>--</v>
      </c>
      <c r="N52" s="2068" t="str">
        <f>IF($O16="--","--",_xll.ciqfunctions.udf.CIQ(O16,"IQ_SHORT_BUSINESS_DESCRIPTION"))</f>
        <v>--</v>
      </c>
    </row>
    <row r="53" spans="4:14" ht="15.6">
      <c r="D53" s="2060"/>
      <c r="E53" s="1667">
        <f t="shared" si="33"/>
        <v>7</v>
      </c>
      <c r="F53" s="2068" t="str">
        <f>IF(I17="--","--",_xll.ciqfunctions.udf.CIQ(I17,"IQ_SHORT_BUSINESS_DESCRIPTION"))</f>
        <v>--</v>
      </c>
      <c r="N53" s="2068" t="str">
        <f>IF($O17="--","--",_xll.ciqfunctions.udf.CIQ(O17,"IQ_SHORT_BUSINESS_DESCRIPTION"))</f>
        <v>--</v>
      </c>
    </row>
    <row r="54" spans="4:14" ht="15.6">
      <c r="D54" s="2060"/>
      <c r="E54" s="1667">
        <f t="shared" si="33"/>
        <v>8</v>
      </c>
      <c r="F54" s="2068" t="str">
        <f>IF(I18="--","--",_xll.ciqfunctions.udf.CIQ(I18,"IQ_SHORT_BUSINESS_DESCRIPTION"))</f>
        <v>--</v>
      </c>
      <c r="N54" s="2068" t="str">
        <f>IF($O18="--","--",_xll.ciqfunctions.udf.CIQ(O18,"IQ_SHORT_BUSINESS_DESCRIPTION"))</f>
        <v>--</v>
      </c>
    </row>
    <row r="55" spans="4:14" ht="15.6">
      <c r="D55" s="2060"/>
      <c r="E55" s="1667">
        <f t="shared" si="33"/>
        <v>9</v>
      </c>
      <c r="F55" s="2068" t="str">
        <f>IF(I19="--","--",_xll.ciqfunctions.udf.CIQ(I19,"IQ_SHORT_BUSINESS_DESCRIPTION"))</f>
        <v>--</v>
      </c>
      <c r="N55" s="2068" t="str">
        <f>IF($O19="--","--",_xll.ciqfunctions.udf.CIQ(O19,"IQ_SHORT_BUSINESS_DESCRIPTION"))</f>
        <v>--</v>
      </c>
    </row>
    <row r="56" spans="4:14" ht="15.6">
      <c r="D56" s="2060"/>
      <c r="E56" s="1667">
        <f t="shared" si="33"/>
        <v>10</v>
      </c>
      <c r="F56" s="2068" t="str">
        <f>IF(I20="--","--",_xll.ciqfunctions.udf.CIQ(I20,"IQ_SHORT_BUSINESS_DESCRIPTION"))</f>
        <v>--</v>
      </c>
      <c r="N56" s="2068" t="str">
        <f>IF($O20="--","--",_xll.ciqfunctions.udf.CIQ(O20,"IQ_SHORT_BUSINESS_DESCRIPTION"))</f>
        <v>--</v>
      </c>
    </row>
    <row r="57" spans="4:14" ht="15.6">
      <c r="D57" s="2060"/>
      <c r="E57" s="1667">
        <f t="shared" si="33"/>
        <v>11</v>
      </c>
      <c r="F57" s="2068" t="str">
        <f>IF(I21="--","--",_xll.ciqfunctions.udf.CIQ(I21,"IQ_SHORT_BUSINESS_DESCRIPTION"))</f>
        <v>--</v>
      </c>
      <c r="N57" s="2068" t="str">
        <f>IF($O21="--","--",_xll.ciqfunctions.udf.CIQ(O21,"IQ_SHORT_BUSINESS_DESCRIPTION"))</f>
        <v>--</v>
      </c>
    </row>
    <row r="58" spans="4:14" ht="15.6">
      <c r="E58" s="1667">
        <f t="shared" si="33"/>
        <v>12</v>
      </c>
      <c r="F58" s="2068" t="str">
        <f>IF(I22="--","--",_xll.ciqfunctions.udf.CIQ(I22,"IQ_SHORT_BUSINESS_DESCRIPTION"))</f>
        <v>--</v>
      </c>
      <c r="N58" s="2068" t="str">
        <f>IF($O22="--","--",_xll.ciqfunctions.udf.CIQ(O22,"IQ_SHORT_BUSINESS_DESCRIPTION"))</f>
        <v>--</v>
      </c>
    </row>
    <row r="59" spans="4:14" ht="15.6">
      <c r="E59" s="1667">
        <f t="shared" si="33"/>
        <v>13</v>
      </c>
      <c r="F59" s="2068" t="str">
        <f>IF(I23="--","--",_xll.ciqfunctions.udf.CIQ(I23,"IQ_SHORT_BUSINESS_DESCRIPTION"))</f>
        <v>--</v>
      </c>
      <c r="N59" s="2068" t="str">
        <f>IF($O23="--","--",_xll.ciqfunctions.udf.CIQ(O23,"IQ_SHORT_BUSINESS_DESCRIPTION"))</f>
        <v>--</v>
      </c>
    </row>
    <row r="60" spans="4:14" ht="15.6">
      <c r="E60" s="1667">
        <f t="shared" si="33"/>
        <v>14</v>
      </c>
      <c r="F60" s="2068" t="str">
        <f>IF(I24="--","--",_xll.ciqfunctions.udf.CIQ(I24,"IQ_SHORT_BUSINESS_DESCRIPTION"))</f>
        <v>--</v>
      </c>
      <c r="N60" s="2068" t="str">
        <f>IF($O24="--","--",_xll.ciqfunctions.udf.CIQ(O24,"IQ_SHORT_BUSINESS_DESCRIPTION"))</f>
        <v>--</v>
      </c>
    </row>
    <row r="61" spans="4:14" ht="15.6">
      <c r="E61" s="1667">
        <f t="shared" si="33"/>
        <v>15</v>
      </c>
      <c r="F61" s="2068" t="str">
        <f>IF(I25="--","--",_xll.ciqfunctions.udf.CIQ(I25,"IQ_SHORT_BUSINESS_DESCRIPTION"))</f>
        <v>--</v>
      </c>
      <c r="N61" s="2068" t="str">
        <f>IF($O25="--","--",_xll.ciqfunctions.udf.CIQ(O25,"IQ_SHORT_BUSINESS_DESCRIPTION"))</f>
        <v>--</v>
      </c>
    </row>
    <row r="62" spans="4:14" ht="15.6">
      <c r="E62" s="1667">
        <f t="shared" si="33"/>
        <v>16</v>
      </c>
      <c r="F62" s="2068" t="str">
        <f>IF(I26="--","--",_xll.ciqfunctions.udf.CIQ(I26,"IQ_SHORT_BUSINESS_DESCRIPTION"))</f>
        <v>--</v>
      </c>
      <c r="N62" s="2068" t="str">
        <f>IF($O26="--","--",_xll.ciqfunctions.udf.CIQ(O26,"IQ_SHORT_BUSINESS_DESCRIPTION"))</f>
        <v>--</v>
      </c>
    </row>
    <row r="63" spans="4:14" ht="15.6">
      <c r="E63" s="1667">
        <f t="shared" si="33"/>
        <v>17</v>
      </c>
      <c r="F63" s="2068" t="str">
        <f>IF(I27="--","--",_xll.ciqfunctions.udf.CIQ(I27,"IQ_SHORT_BUSINESS_DESCRIPTION"))</f>
        <v>--</v>
      </c>
      <c r="N63" s="2068" t="str">
        <f>IF($O27="--","--",_xll.ciqfunctions.udf.CIQ(O27,"IQ_SHORT_BUSINESS_DESCRIPTION"))</f>
        <v>--</v>
      </c>
    </row>
    <row r="64" spans="4:14" ht="15.6">
      <c r="E64" s="1667">
        <f t="shared" si="33"/>
        <v>18</v>
      </c>
      <c r="F64" s="2068" t="str">
        <f>IF(I28="--","--",_xll.ciqfunctions.udf.CIQ(I28,"IQ_SHORT_BUSINESS_DESCRIPTION"))</f>
        <v>--</v>
      </c>
      <c r="N64" s="2068" t="str">
        <f>IF($O28="--","--",_xll.ciqfunctions.udf.CIQ(O28,"IQ_SHORT_BUSINESS_DESCRIPTION"))</f>
        <v>--</v>
      </c>
    </row>
    <row r="65" spans="5:14" ht="15.6">
      <c r="E65" s="1667">
        <f t="shared" si="33"/>
        <v>19</v>
      </c>
      <c r="F65" s="2068" t="str">
        <f>IF(I29="--","--",_xll.ciqfunctions.udf.CIQ(I29,"IQ_SHORT_BUSINESS_DESCRIPTION"))</f>
        <v>--</v>
      </c>
      <c r="N65" s="2068" t="str">
        <f>IF($O29="--","--",_xll.ciqfunctions.udf.CIQ(O29,"IQ_SHORT_BUSINESS_DESCRIPTION"))</f>
        <v>--</v>
      </c>
    </row>
    <row r="66" spans="5:14" ht="15.6">
      <c r="E66" s="1667">
        <f t="shared" si="33"/>
        <v>20</v>
      </c>
      <c r="F66" s="2068" t="str">
        <f>IF(I30="--","--",_xll.ciqfunctions.udf.CIQ(I30,"IQ_SHORT_BUSINESS_DESCRIPTION"))</f>
        <v>--</v>
      </c>
      <c r="N66" s="2068" t="str">
        <f>IF($O30="--","--",_xll.ciqfunctions.udf.CIQ(O30,"IQ_SHORT_BUSINESS_DESCRIPTION"))</f>
        <v>--</v>
      </c>
    </row>
    <row r="67" spans="5:14" ht="15.6">
      <c r="G67" s="1667"/>
    </row>
    <row r="68" spans="5:14" ht="15.6">
      <c r="G68" s="1667"/>
    </row>
  </sheetData>
  <conditionalFormatting sqref="B1:B2">
    <cfRule type="cellIs" dxfId="153" priority="1" operator="notEqual">
      <formula>0</formula>
    </cfRule>
  </conditionalFormatting>
  <pageMargins left="0.6" right="0.4" top="0.5" bottom="0.5" header="0" footer="0.3"/>
  <pageSetup scale="70" fitToWidth="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43" max="16383" man="1"/>
  </rowBreaks>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uidelineTransactions">
    <tabColor rgb="FFFFFF00"/>
    <pageSetUpPr autoPageBreaks="0"/>
  </sheetPr>
  <dimension ref="A1:AG64"/>
  <sheetViews>
    <sheetView showGridLines="0" zoomScale="85" zoomScaleNormal="85" zoomScaleSheetLayoutView="85" workbookViewId="0">
      <selection activeCell="A12" sqref="A12"/>
    </sheetView>
  </sheetViews>
  <sheetFormatPr defaultColWidth="9.33203125" defaultRowHeight="12" customHeight="1" outlineLevelCol="1"/>
  <cols>
    <col min="1" max="1" width="2.83203125" style="334" customWidth="1"/>
    <col min="2" max="2" width="3.83203125" style="334" customWidth="1"/>
    <col min="3" max="3" width="45.6640625" style="334" customWidth="1"/>
    <col min="4" max="4" width="17" style="334" customWidth="1"/>
    <col min="5" max="5" width="3.83203125" style="334" customWidth="1"/>
    <col min="6" max="6" width="12.83203125" style="334" customWidth="1" outlineLevel="1"/>
    <col min="7" max="7" width="3.83203125" style="334" customWidth="1" outlineLevel="1"/>
    <col min="8" max="8" width="12.83203125" style="334" customWidth="1"/>
    <col min="9" max="9" width="3.83203125" style="334" customWidth="1"/>
    <col min="10" max="10" width="13.6640625" style="334" customWidth="1"/>
    <col min="11" max="11" width="3.83203125" style="334" customWidth="1"/>
    <col min="12" max="12" width="12.83203125" style="334" customWidth="1" outlineLevel="1"/>
    <col min="13" max="13" width="3.83203125" style="334" customWidth="1" outlineLevel="1"/>
    <col min="14" max="14" width="12.83203125" style="334" customWidth="1"/>
    <col min="15" max="15" width="3.83203125" style="334" customWidth="1"/>
    <col min="16" max="19" width="11.83203125" style="334" customWidth="1"/>
    <col min="20" max="20" width="22" style="334" customWidth="1"/>
    <col min="21" max="21" width="8.83203125" style="334" customWidth="1"/>
    <col min="22" max="22" width="23" style="334" customWidth="1"/>
    <col min="23" max="28" width="11.83203125" style="334" customWidth="1"/>
    <col min="29" max="16384" width="9.33203125" style="334"/>
  </cols>
  <sheetData>
    <row r="1" spans="1:33" ht="18" customHeight="1">
      <c r="A1" s="1510"/>
      <c r="B1" s="649">
        <f ca="1">SUMPRODUCT(--ISERROR($C$1:T31))+COUNTIF($C$1:T31,Fail)</f>
        <v>0</v>
      </c>
      <c r="C1" s="1372" t="str">
        <f>START!$C$1</f>
        <v>Client Name</v>
      </c>
      <c r="D1" s="852"/>
      <c r="E1" s="852"/>
      <c r="F1" s="852"/>
      <c r="G1" s="852"/>
      <c r="H1" s="852"/>
      <c r="I1" s="852"/>
      <c r="J1" s="852"/>
      <c r="K1" s="852"/>
      <c r="L1" s="852"/>
      <c r="M1" s="338"/>
      <c r="N1" s="1525"/>
      <c r="O1" s="1525"/>
      <c r="P1" s="1525"/>
      <c r="Q1" s="1525"/>
      <c r="R1" s="1525"/>
      <c r="S1" s="1525"/>
      <c r="T1" s="389" t="s">
        <v>935</v>
      </c>
      <c r="U1" s="1510"/>
      <c r="V1" s="1525" t="s">
        <v>1487</v>
      </c>
      <c r="W1" s="2242">
        <v>2</v>
      </c>
      <c r="X1" s="1525" t="s">
        <v>1488</v>
      </c>
      <c r="Y1" s="1525"/>
      <c r="Z1" s="1525"/>
      <c r="AA1" s="1525"/>
      <c r="AB1" s="1525"/>
      <c r="AC1" s="1525"/>
      <c r="AD1" s="1525"/>
      <c r="AE1" s="1525"/>
      <c r="AF1" s="1525"/>
      <c r="AG1" s="1525"/>
    </row>
    <row r="2" spans="1:33" s="1027" customFormat="1" ht="18" customHeight="1">
      <c r="A2" s="1510"/>
      <c r="B2" s="649"/>
      <c r="C2" s="1372" t="str">
        <f>START!$C$2</f>
        <v xml:space="preserve">Please enter project description in START worksheet cell G13 </v>
      </c>
      <c r="D2" s="852"/>
      <c r="E2" s="852"/>
      <c r="F2" s="852"/>
      <c r="G2" s="852"/>
      <c r="H2" s="852"/>
      <c r="I2" s="852"/>
      <c r="J2" s="852"/>
      <c r="K2" s="852"/>
      <c r="L2" s="852"/>
      <c r="M2" s="338"/>
      <c r="N2" s="1525"/>
      <c r="O2" s="1525"/>
      <c r="P2" s="1525"/>
      <c r="Q2" s="1525"/>
      <c r="R2" s="1525"/>
      <c r="S2" s="1525"/>
      <c r="T2" s="389"/>
      <c r="U2" s="1510"/>
      <c r="V2" s="1525" t="s">
        <v>1490</v>
      </c>
      <c r="W2" s="1525" t="str">
        <f>INDEX($V$1:$V$2,W1)</f>
        <v>Use Range</v>
      </c>
      <c r="X2" s="1525" t="s">
        <v>1491</v>
      </c>
      <c r="Y2" s="1525"/>
      <c r="Z2" s="1525"/>
      <c r="AA2" s="1525"/>
      <c r="AB2" s="1525"/>
      <c r="AC2" s="1525"/>
      <c r="AD2" s="1525"/>
      <c r="AE2" s="1525"/>
      <c r="AF2" s="1525"/>
      <c r="AG2" s="1525"/>
    </row>
    <row r="3" spans="1:33" ht="18" customHeight="1">
      <c r="A3" s="1510"/>
      <c r="B3" s="1509"/>
      <c r="C3" s="839" t="s">
        <v>1570</v>
      </c>
      <c r="D3" s="1526"/>
      <c r="E3" s="1526"/>
      <c r="F3" s="1526"/>
      <c r="G3" s="1526"/>
      <c r="H3" s="1526"/>
      <c r="I3" s="1526"/>
      <c r="J3" s="1526"/>
      <c r="K3" s="1526"/>
      <c r="L3" s="1526"/>
      <c r="M3" s="1526"/>
      <c r="N3" s="1526"/>
      <c r="O3" s="1525"/>
      <c r="P3" s="1525"/>
      <c r="Q3" s="1525"/>
      <c r="R3" s="1525"/>
      <c r="S3" s="1525"/>
      <c r="T3" s="1525"/>
      <c r="U3" s="1510"/>
      <c r="V3" s="1525"/>
      <c r="W3" s="1525"/>
      <c r="X3" s="1525"/>
      <c r="Y3" s="1525"/>
      <c r="Z3" s="1525"/>
      <c r="AA3" s="1525"/>
      <c r="AB3" s="1525"/>
      <c r="AC3" s="1525"/>
      <c r="AD3" s="1525"/>
      <c r="AE3" s="1525"/>
      <c r="AF3" s="1525"/>
      <c r="AG3" s="1525"/>
    </row>
    <row r="4" spans="1:33" ht="18" customHeight="1">
      <c r="A4" s="1510"/>
      <c r="B4" s="1509"/>
      <c r="C4" s="840" t="str">
        <f>ValDateHeading</f>
        <v>Estimation of value as of 28 February 2017</v>
      </c>
      <c r="D4" s="1526"/>
      <c r="E4" s="1526"/>
      <c r="F4" s="1526"/>
      <c r="G4" s="1526"/>
      <c r="H4" s="1526"/>
      <c r="I4" s="1526"/>
      <c r="J4" s="1526"/>
      <c r="K4" s="1526"/>
      <c r="L4" s="1526"/>
      <c r="M4" s="1526"/>
      <c r="N4" s="1526"/>
      <c r="O4" s="1525"/>
      <c r="P4" s="1525"/>
      <c r="Q4" s="1525"/>
      <c r="R4" s="1525"/>
      <c r="S4" s="1525"/>
      <c r="T4" s="1525"/>
      <c r="U4" s="1510"/>
      <c r="V4" s="1525"/>
      <c r="W4" s="1525"/>
      <c r="X4" s="1525"/>
      <c r="Y4" s="1525"/>
      <c r="Z4" s="1525"/>
      <c r="AA4" s="1525"/>
      <c r="AB4" s="1525"/>
      <c r="AC4" s="1525"/>
      <c r="AD4" s="1525"/>
      <c r="AE4" s="1525"/>
      <c r="AF4" s="1525"/>
      <c r="AG4" s="1525"/>
    </row>
    <row r="5" spans="1:33" ht="18" customHeight="1">
      <c r="A5" s="1417"/>
      <c r="B5" s="1509"/>
      <c r="C5" s="769" t="str">
        <f>SubjCurrencyHeading</f>
        <v>(USD in Millions)</v>
      </c>
      <c r="D5" s="1526"/>
      <c r="E5" s="1526"/>
      <c r="F5" s="1526"/>
      <c r="G5" s="1526"/>
      <c r="H5" s="1526"/>
      <c r="I5" s="1526"/>
      <c r="J5" s="1526"/>
      <c r="K5" s="1526"/>
      <c r="L5" s="1526"/>
      <c r="M5" s="1526"/>
      <c r="N5" s="1526"/>
      <c r="O5" s="1525"/>
      <c r="P5" s="1525"/>
      <c r="Q5" s="1525"/>
      <c r="R5" s="1525"/>
      <c r="S5" s="1525"/>
      <c r="T5" s="1525"/>
      <c r="U5" s="1510"/>
      <c r="V5" s="1525"/>
      <c r="W5" s="1525"/>
      <c r="X5" s="1525"/>
      <c r="Y5" s="1525"/>
      <c r="Z5" s="1525"/>
      <c r="AA5" s="1525"/>
      <c r="AB5" s="1525"/>
      <c r="AC5" s="1525"/>
      <c r="AD5" s="1525"/>
      <c r="AE5" s="1525"/>
      <c r="AF5" s="1525"/>
      <c r="AG5" s="1525"/>
    </row>
    <row r="6" spans="1:33" s="282" customFormat="1" ht="13.9">
      <c r="A6" s="1413" t="str">
        <f>IF(MasterCheck,"Please check the "&amp;'Error Check'!$G$8,"")</f>
        <v/>
      </c>
      <c r="B6" s="1424"/>
      <c r="C6" s="1511"/>
      <c r="D6" s="2060"/>
      <c r="E6" s="2060"/>
      <c r="F6" s="2060"/>
      <c r="G6" s="2060"/>
      <c r="H6" s="2060"/>
      <c r="I6" s="2060"/>
      <c r="J6" s="2060"/>
      <c r="K6" s="2060"/>
      <c r="L6" s="2060"/>
      <c r="M6" s="2060"/>
      <c r="N6" s="2060"/>
      <c r="O6" s="2060"/>
      <c r="P6" s="2060"/>
      <c r="Q6" s="2060"/>
      <c r="R6" s="2060"/>
      <c r="S6" s="1525"/>
      <c r="T6" s="1506"/>
      <c r="U6" s="1510"/>
      <c r="V6" s="1506"/>
      <c r="W6" s="1506"/>
      <c r="X6" s="1506"/>
      <c r="Y6" s="1506"/>
      <c r="Z6" s="1506"/>
      <c r="AA6" s="2060"/>
      <c r="AB6" s="2060"/>
      <c r="AC6" s="2060"/>
      <c r="AD6" s="2060"/>
      <c r="AE6" s="2060"/>
      <c r="AF6" s="2060"/>
      <c r="AG6" s="2060"/>
    </row>
    <row r="7" spans="1:33" s="332" customFormat="1" ht="13.5" customHeight="1">
      <c r="A7" s="1510"/>
      <c r="B7" s="1509"/>
      <c r="C7" s="2060"/>
      <c r="D7" s="2073"/>
      <c r="E7" s="2073"/>
      <c r="F7" s="2073"/>
      <c r="G7" s="2073"/>
      <c r="H7" s="2073"/>
      <c r="I7" s="2073"/>
      <c r="J7" s="2073"/>
      <c r="K7" s="2073"/>
      <c r="L7" s="2073"/>
      <c r="M7" s="2073"/>
      <c r="N7" s="2073"/>
      <c r="O7" s="2073"/>
      <c r="P7" s="2073"/>
      <c r="Q7" s="2060"/>
      <c r="R7" s="2060"/>
      <c r="S7" s="2060"/>
      <c r="T7" s="2060"/>
      <c r="U7" s="1510"/>
    </row>
    <row r="8" spans="1:33" ht="13.9">
      <c r="A8" s="1510"/>
      <c r="B8" s="1509"/>
      <c r="C8" s="2060"/>
      <c r="D8" s="1529"/>
      <c r="E8" s="1529"/>
      <c r="F8" s="732"/>
      <c r="G8" s="730"/>
      <c r="H8" s="730"/>
      <c r="I8" s="731"/>
      <c r="J8" s="731"/>
      <c r="K8" s="731"/>
      <c r="L8" s="729"/>
      <c r="M8" s="732"/>
      <c r="N8" s="732"/>
      <c r="O8" s="731"/>
      <c r="P8" s="731"/>
      <c r="Q8" s="2060"/>
      <c r="R8" s="2060"/>
      <c r="S8" s="2060"/>
      <c r="T8" s="2060"/>
      <c r="U8" s="1510"/>
      <c r="V8" s="1525"/>
      <c r="W8" s="1525"/>
      <c r="X8" s="1525"/>
      <c r="Y8" s="1525"/>
      <c r="Z8" s="1525"/>
      <c r="AA8" s="1525"/>
      <c r="AB8" s="1525"/>
      <c r="AC8" s="1525"/>
      <c r="AD8" s="1525"/>
      <c r="AE8" s="1525"/>
      <c r="AF8" s="1525"/>
      <c r="AG8" s="1525"/>
    </row>
    <row r="9" spans="1:33" ht="13.9">
      <c r="A9" s="1510"/>
      <c r="B9" s="1509"/>
      <c r="C9" s="2060"/>
      <c r="D9" s="1274"/>
      <c r="E9" s="1264" t="str">
        <f>IF(SingleOrRange=1,"","Selected range")</f>
        <v>Selected range</v>
      </c>
      <c r="F9" s="1264"/>
      <c r="G9" s="1264"/>
      <c r="H9" s="1264"/>
      <c r="I9" s="1187"/>
      <c r="J9" s="2103" t="s">
        <v>1493</v>
      </c>
      <c r="K9" s="1187"/>
      <c r="L9" s="1264"/>
      <c r="M9" s="1264"/>
      <c r="N9" s="1264"/>
      <c r="O9" s="1187"/>
      <c r="P9" s="1187"/>
      <c r="Q9" s="2060"/>
      <c r="R9" s="2060"/>
      <c r="S9" s="2060"/>
      <c r="T9" s="2060"/>
      <c r="U9" s="1510"/>
      <c r="V9" s="1525"/>
      <c r="W9" s="1525"/>
      <c r="X9" s="1525"/>
      <c r="Y9" s="1525"/>
      <c r="Z9" s="1525"/>
      <c r="AA9" s="1525"/>
      <c r="AB9" s="1525"/>
      <c r="AC9" s="1525"/>
      <c r="AD9" s="1525"/>
      <c r="AE9" s="1525"/>
      <c r="AF9" s="1525"/>
      <c r="AG9" s="1525"/>
    </row>
    <row r="10" spans="1:33" s="312" customFormat="1" ht="13.9">
      <c r="A10" s="1510"/>
      <c r="B10" s="1509"/>
      <c r="C10" s="2060"/>
      <c r="D10" s="1277"/>
      <c r="E10" s="1277"/>
      <c r="F10" s="2102" t="str">
        <f>IF(SingleOrRange=1,"","Low")</f>
        <v>Low</v>
      </c>
      <c r="G10" s="1266"/>
      <c r="H10" s="2102" t="str">
        <f>IF(SingleOrRange=1,"Selected","High")</f>
        <v>High</v>
      </c>
      <c r="I10" s="1266"/>
      <c r="J10" s="2102" t="s">
        <v>1494</v>
      </c>
      <c r="K10" s="1266"/>
      <c r="L10" s="2102" t="str">
        <f>IF(SingleOrRange=1,"","Low")</f>
        <v>Low</v>
      </c>
      <c r="M10" s="1266"/>
      <c r="N10" s="2102" t="str">
        <f>IF(SingleOrRange=1,"Selected","High")</f>
        <v>High</v>
      </c>
      <c r="O10" s="1266"/>
      <c r="P10" s="1266" t="s">
        <v>1495</v>
      </c>
      <c r="Q10" s="2060"/>
      <c r="R10" s="2060"/>
      <c r="S10" s="2060"/>
      <c r="T10" s="2060"/>
      <c r="U10" s="1510"/>
      <c r="W10" s="1664" t="s">
        <v>1571</v>
      </c>
    </row>
    <row r="11" spans="1:33" s="312" customFormat="1" ht="13.9">
      <c r="A11" s="1510"/>
      <c r="B11" s="1509"/>
      <c r="C11" s="2060"/>
      <c r="D11" s="1492" t="s">
        <v>1497</v>
      </c>
      <c r="E11" s="1530"/>
      <c r="F11" s="458"/>
      <c r="G11" s="458"/>
      <c r="H11" s="458"/>
      <c r="I11" s="458"/>
      <c r="J11" s="458"/>
      <c r="K11" s="458"/>
      <c r="L11" s="458"/>
      <c r="M11" s="458"/>
      <c r="N11" s="458"/>
      <c r="O11" s="458"/>
      <c r="P11" s="458"/>
      <c r="Q11" s="2060"/>
      <c r="R11" s="2060"/>
      <c r="S11" s="2060"/>
      <c r="T11" s="2060"/>
      <c r="U11" s="1510"/>
      <c r="W11" s="302" t="s">
        <v>1273</v>
      </c>
      <c r="X11" s="312" t="s">
        <v>1470</v>
      </c>
      <c r="Y11" s="302" t="s">
        <v>1158</v>
      </c>
      <c r="Z11" s="302" t="s">
        <v>1157</v>
      </c>
      <c r="AA11" s="312" t="s">
        <v>1469</v>
      </c>
      <c r="AB11" s="302" t="s">
        <v>1275</v>
      </c>
    </row>
    <row r="12" spans="1:33" s="312" customFormat="1" ht="13.9">
      <c r="A12" s="1510" t="str">
        <f>IF(N(N12)*P12,"","n")</f>
        <v>n</v>
      </c>
      <c r="B12" s="2242"/>
      <c r="C12" s="2060"/>
      <c r="D12" s="312" t="str">
        <f>"LTM "&amp;TEXT(LFY,"yyyy")&amp;" revenue"</f>
        <v>LTM 2016 revenue</v>
      </c>
      <c r="E12" s="1530"/>
      <c r="F12" s="1608">
        <v>0</v>
      </c>
      <c r="G12" s="1606"/>
      <c r="H12" s="1608">
        <v>0</v>
      </c>
      <c r="I12" s="459"/>
      <c r="J12" s="90">
        <f>IF(B12="n",0,'INC STAT Hist Input'!K10)</f>
        <v>0</v>
      </c>
      <c r="K12" s="1930"/>
      <c r="L12" s="1403" t="str">
        <f>IF(SingleOrRange=1,"n/a",IFERROR(IF(F12*J12&lt;=0,"n/a",F12*J12),"n/a"))</f>
        <v>n/a</v>
      </c>
      <c r="M12" s="1930"/>
      <c r="N12" s="1403" t="str">
        <f>IFERROR(IF(H12*$J12&lt;=0,"n/a",H12*$J12),"n/a")</f>
        <v>n/a</v>
      </c>
      <c r="O12" s="459"/>
      <c r="P12" s="1609">
        <v>0</v>
      </c>
      <c r="Q12" s="2060"/>
      <c r="R12" s="2060"/>
      <c r="S12" s="2060"/>
      <c r="T12" s="2060"/>
      <c r="U12" s="1510"/>
      <c r="W12" s="1665" t="str">
        <f>'Guideline Transactions Input'!$Z$41</f>
        <v>n/a</v>
      </c>
      <c r="X12" s="1665" t="str">
        <f>'Guideline Transactions Input'!$Z$40</f>
        <v>n/a</v>
      </c>
      <c r="Y12" s="1665" t="str">
        <f>'Guideline Transactions Input'!$Z$39</f>
        <v>n/a</v>
      </c>
      <c r="Z12" s="1665" t="str">
        <f>'Guideline Transactions Input'!$Z$38</f>
        <v>n/a</v>
      </c>
      <c r="AA12" s="1665" t="str">
        <f>'Guideline Transactions Input'!$Z$37</f>
        <v>n/a</v>
      </c>
      <c r="AB12" s="1665" t="str">
        <f>'Guideline Transactions Input'!$Z$36</f>
        <v>n/a</v>
      </c>
    </row>
    <row r="13" spans="1:33" s="312" customFormat="1" ht="13.9">
      <c r="A13" s="1510" t="str">
        <f>IF(N(N13)*P13,"","n")</f>
        <v>n</v>
      </c>
      <c r="B13" s="2242"/>
      <c r="C13" s="2060"/>
      <c r="D13" s="312" t="str">
        <f>"NFY "&amp;TEXT(PFIYear1,"yyyy")&amp;" revenue"</f>
        <v>NFY 2017 revenue</v>
      </c>
      <c r="E13" s="1530"/>
      <c r="F13" s="1608">
        <v>0</v>
      </c>
      <c r="G13" s="1606"/>
      <c r="H13" s="1608">
        <v>0</v>
      </c>
      <c r="I13" s="459"/>
      <c r="J13" s="1403">
        <f>IF(StubY,'PFI Inputs'!G28+(12-MonthsInStub)/12*'PFI Inputs'!H28,'PFI Inputs'!G28)</f>
        <v>0</v>
      </c>
      <c r="K13" s="1784"/>
      <c r="L13" s="1403" t="str">
        <f>IF(SingleOrRange=1,"n/a",IFERROR(IF(F13*J13&lt;=0,"n/a",F13*J13),"n/a"))</f>
        <v>n/a</v>
      </c>
      <c r="M13" s="1930"/>
      <c r="N13" s="1403" t="str">
        <f t="shared" ref="N13:N19" si="0">IFERROR(IF(H13*$J13&lt;=0,"n/a",H13*$J13),"n/a")</f>
        <v>n/a</v>
      </c>
      <c r="O13" s="459"/>
      <c r="P13" s="1609">
        <v>0</v>
      </c>
      <c r="Q13" s="2060"/>
      <c r="R13" s="2060"/>
      <c r="S13" s="2100"/>
      <c r="T13" s="2060"/>
      <c r="U13" s="1510"/>
      <c r="W13" s="1665" t="str">
        <f>'Guideline Transactions Input'!$AA$41</f>
        <v>n/a</v>
      </c>
      <c r="X13" s="1665" t="str">
        <f>'Guideline Transactions Input'!$AA$40</f>
        <v>n/a</v>
      </c>
      <c r="Y13" s="1665" t="str">
        <f>'Guideline Transactions Input'!$AA$39</f>
        <v>n/a</v>
      </c>
      <c r="Z13" s="1665" t="str">
        <f>'Guideline Transactions Input'!$AA$38</f>
        <v>n/a</v>
      </c>
      <c r="AA13" s="1665" t="str">
        <f>'Guideline Transactions Input'!$AA$37</f>
        <v>n/a</v>
      </c>
      <c r="AB13" s="1665" t="str">
        <f>'Guideline Transactions Input'!$AA$36</f>
        <v>n/a</v>
      </c>
    </row>
    <row r="14" spans="1:33" ht="13.9">
      <c r="A14" s="1510" t="str">
        <f>IF(COUNTBLANK(A12:A13),"","n")</f>
        <v>n</v>
      </c>
      <c r="B14" s="1510"/>
      <c r="C14" s="2060"/>
      <c r="D14" s="1530"/>
      <c r="E14" s="1568"/>
      <c r="F14" s="1529"/>
      <c r="G14" s="1529"/>
      <c r="H14" s="1529"/>
      <c r="I14" s="1530"/>
      <c r="J14" s="1784"/>
      <c r="K14" s="1784"/>
      <c r="L14" s="1784"/>
      <c r="M14" s="1784"/>
      <c r="N14" s="1784"/>
      <c r="O14" s="1530"/>
      <c r="P14" s="1785"/>
      <c r="Q14" s="1530"/>
      <c r="R14" s="2060"/>
      <c r="S14" s="2060"/>
      <c r="T14" s="2060"/>
      <c r="U14" s="1510"/>
      <c r="V14" s="1525"/>
      <c r="W14" s="1525"/>
      <c r="X14" s="1525"/>
      <c r="Y14" s="1525"/>
      <c r="Z14" s="1525"/>
      <c r="AA14" s="1525"/>
      <c r="AB14" s="1525"/>
      <c r="AC14" s="1525"/>
      <c r="AD14" s="1525"/>
      <c r="AE14" s="1525"/>
      <c r="AF14" s="1525"/>
      <c r="AG14" s="1525"/>
    </row>
    <row r="15" spans="1:33" ht="13.9">
      <c r="A15" s="1510" t="str">
        <f>IF(N(N15)*P15,"","n")</f>
        <v>n</v>
      </c>
      <c r="B15" s="2242"/>
      <c r="C15" s="2060"/>
      <c r="D15" s="312" t="str">
        <f>"LTM "&amp;TEXT(LFY,"yyyy")&amp;" EBITDA"</f>
        <v>LTM 2016 EBITDA</v>
      </c>
      <c r="E15" s="1568"/>
      <c r="F15" s="1608">
        <v>0</v>
      </c>
      <c r="G15" s="1606"/>
      <c r="H15" s="1608">
        <v>0</v>
      </c>
      <c r="I15" s="459"/>
      <c r="J15" s="1403">
        <f>IF(B15="n",0,'INC STAT Hist Input'!K20)</f>
        <v>0</v>
      </c>
      <c r="K15" s="1784"/>
      <c r="L15" s="1403" t="str">
        <f>IF(SingleOrRange=1,"n/a",IFERROR(IF(F15*J15&lt;=0,"n/a",F15*J15),"n/a"))</f>
        <v>n/a</v>
      </c>
      <c r="M15" s="1930"/>
      <c r="N15" s="1403" t="str">
        <f t="shared" si="0"/>
        <v>n/a</v>
      </c>
      <c r="O15" s="459"/>
      <c r="P15" s="1609">
        <v>0</v>
      </c>
      <c r="Q15" s="2060"/>
      <c r="R15" s="2060"/>
      <c r="S15" s="2060"/>
      <c r="T15" s="2060"/>
      <c r="U15" s="1510"/>
      <c r="V15" s="1525"/>
      <c r="W15" s="1665" t="str">
        <f>'Guideline Transactions Input'!$AB$41</f>
        <v>n/a</v>
      </c>
      <c r="X15" s="1665" t="str">
        <f>'Guideline Transactions Input'!$AB$40</f>
        <v>n/a</v>
      </c>
      <c r="Y15" s="1665" t="str">
        <f>'Guideline Transactions Input'!$AB$39</f>
        <v>n/a</v>
      </c>
      <c r="Z15" s="1665" t="str">
        <f>'Guideline Transactions Input'!$AB$38</f>
        <v>n/a</v>
      </c>
      <c r="AA15" s="1665" t="str">
        <f>'Guideline Transactions Input'!$AB$37</f>
        <v>n/a</v>
      </c>
      <c r="AB15" s="1665" t="str">
        <f>'Guideline Transactions Input'!$AB$36</f>
        <v>n/a</v>
      </c>
      <c r="AC15" s="1525"/>
      <c r="AD15" s="1525"/>
      <c r="AE15" s="1525"/>
      <c r="AF15" s="1525"/>
      <c r="AG15" s="1525"/>
    </row>
    <row r="16" spans="1:33" ht="13.9">
      <c r="A16" s="1510" t="str">
        <f>IF(N(N16)*P16,"","n")</f>
        <v>n</v>
      </c>
      <c r="B16" s="2242"/>
      <c r="C16" s="2060"/>
      <c r="D16" s="312" t="str">
        <f>"NFY "&amp;TEXT(PFICSYear1,"yyyy")&amp;" EBITDA"</f>
        <v>NFY 2017 EBITDA</v>
      </c>
      <c r="E16" s="1568"/>
      <c r="F16" s="1608">
        <v>0</v>
      </c>
      <c r="G16" s="1606"/>
      <c r="H16" s="1608">
        <v>0</v>
      </c>
      <c r="I16" s="459"/>
      <c r="J16" s="1403">
        <f>IF(StubY,'PFI Inputs'!G72+(12-MonthsInStub)/12*'PFI Inputs'!H72,'PFI Inputs'!G72)</f>
        <v>0</v>
      </c>
      <c r="K16" s="1784"/>
      <c r="L16" s="1403" t="str">
        <f>IF(SingleOrRange=1,"n/a",IFERROR(IF(F16*J16&lt;=0,"n/a",F16*J16),"n/a"))</f>
        <v>n/a</v>
      </c>
      <c r="M16" s="1930"/>
      <c r="N16" s="1403" t="str">
        <f t="shared" si="0"/>
        <v>n/a</v>
      </c>
      <c r="O16" s="459"/>
      <c r="P16" s="1609">
        <v>0</v>
      </c>
      <c r="Q16" s="2060"/>
      <c r="R16" s="2060"/>
      <c r="S16" s="2060"/>
      <c r="T16" s="2060"/>
      <c r="U16" s="1510"/>
      <c r="V16" s="1525"/>
      <c r="W16" s="1665" t="str">
        <f>'Guideline Transactions Input'!$AC$41</f>
        <v>n/a</v>
      </c>
      <c r="X16" s="1665" t="str">
        <f>'Guideline Transactions Input'!$AC$40</f>
        <v>n/a</v>
      </c>
      <c r="Y16" s="1665" t="str">
        <f>'Guideline Transactions Input'!$AC$39</f>
        <v>n/a</v>
      </c>
      <c r="Z16" s="1665" t="str">
        <f>'Guideline Transactions Input'!$AC$38</f>
        <v>n/a</v>
      </c>
      <c r="AA16" s="1665" t="str">
        <f>'Guideline Transactions Input'!$AC$37</f>
        <v>n/a</v>
      </c>
      <c r="AB16" s="1665" t="str">
        <f>'Guideline Transactions Input'!$AC$36</f>
        <v>n/a</v>
      </c>
      <c r="AC16" s="1525"/>
      <c r="AD16" s="1525"/>
      <c r="AE16" s="1525"/>
      <c r="AF16" s="1525"/>
      <c r="AG16" s="1525"/>
    </row>
    <row r="17" spans="1:28" s="312" customFormat="1" ht="13.9">
      <c r="A17" s="1510" t="str">
        <f>IF(COUNTBLANK(A15:A16),"","n")</f>
        <v>n</v>
      </c>
      <c r="B17" s="1510"/>
      <c r="C17" s="2060"/>
      <c r="D17" s="2073"/>
      <c r="E17" s="1568"/>
      <c r="F17" s="22"/>
      <c r="G17" s="22"/>
      <c r="H17" s="22"/>
      <c r="I17" s="2073"/>
      <c r="J17" s="1784"/>
      <c r="K17" s="1784"/>
      <c r="L17" s="1784"/>
      <c r="M17" s="1784"/>
      <c r="N17" s="1784"/>
      <c r="O17" s="2073"/>
      <c r="P17" s="1403"/>
      <c r="Q17" s="2060"/>
      <c r="R17" s="2060"/>
      <c r="S17" s="2060"/>
      <c r="T17" s="2060"/>
      <c r="U17" s="1510"/>
      <c r="W17" s="1525"/>
      <c r="X17" s="1525"/>
      <c r="Y17" s="1525"/>
      <c r="Z17" s="1525"/>
      <c r="AA17" s="1525"/>
      <c r="AB17" s="1525"/>
    </row>
    <row r="18" spans="1:28" ht="13.9">
      <c r="A18" s="1510" t="str">
        <f>IF(N(N18)*P18,"","n")</f>
        <v>n</v>
      </c>
      <c r="B18" s="2242"/>
      <c r="C18" s="2060"/>
      <c r="D18" s="312" t="str">
        <f>"LTM "&amp;TEXT(LFY,"yyyy")&amp;" EBIT"</f>
        <v>LTM 2016 EBIT</v>
      </c>
      <c r="E18" s="1568"/>
      <c r="F18" s="1608">
        <v>0</v>
      </c>
      <c r="G18" s="1607"/>
      <c r="H18" s="1608">
        <v>0</v>
      </c>
      <c r="I18" s="459"/>
      <c r="J18" s="1403">
        <f>IF(B18="n",0,'INC STAT Hist Input'!K23)</f>
        <v>0</v>
      </c>
      <c r="K18" s="1784"/>
      <c r="L18" s="1403" t="str">
        <f>IF(SingleOrRange=1,"n/a",IFERROR(IF(F18*J18&lt;=0,"n/a",F18*J18),"n/a"))</f>
        <v>n/a</v>
      </c>
      <c r="M18" s="1930"/>
      <c r="N18" s="1403" t="str">
        <f t="shared" si="0"/>
        <v>n/a</v>
      </c>
      <c r="O18" s="459"/>
      <c r="P18" s="1609">
        <v>0</v>
      </c>
      <c r="Q18" s="2060"/>
      <c r="R18" s="2060"/>
      <c r="S18" s="2060"/>
      <c r="T18" s="2060"/>
      <c r="U18" s="1510"/>
      <c r="V18" s="1525"/>
      <c r="W18" s="1665" t="str">
        <f>'Guideline Transactions Input'!$AD$41</f>
        <v>n/a</v>
      </c>
      <c r="X18" s="1665" t="str">
        <f>'Guideline Transactions Input'!$AD$40</f>
        <v>n/a</v>
      </c>
      <c r="Y18" s="1665" t="str">
        <f>'Guideline Transactions Input'!$AD$39</f>
        <v>n/a</v>
      </c>
      <c r="Z18" s="1665" t="str">
        <f>'Guideline Transactions Input'!$AD$38</f>
        <v>n/a</v>
      </c>
      <c r="AA18" s="1665" t="str">
        <f>'Guideline Transactions Input'!$AD$37</f>
        <v>n/a</v>
      </c>
      <c r="AB18" s="1665" t="str">
        <f>'Guideline Transactions Input'!$AD$36</f>
        <v>n/a</v>
      </c>
    </row>
    <row r="19" spans="1:28" ht="13.9">
      <c r="A19" s="1510" t="str">
        <f ca="1">IF(N(N19)*P19,"","n")</f>
        <v>n</v>
      </c>
      <c r="B19" s="2242"/>
      <c r="C19" s="2060"/>
      <c r="D19" s="312" t="str">
        <f>"NFY "&amp;TEXT(PFIYear1,"yyyy")&amp;" EBIT"</f>
        <v>NFY 2017 EBIT</v>
      </c>
      <c r="E19" s="1568"/>
      <c r="F19" s="1608">
        <v>0</v>
      </c>
      <c r="G19" s="1607"/>
      <c r="H19" s="1608">
        <v>0</v>
      </c>
      <c r="I19" s="459"/>
      <c r="J19" s="1403">
        <f ca="1">IF(StubY,'PFI Inputs'!G79+(12-MonthsInStub)/12*'PFI Inputs'!H79,'PFI Inputs'!G79)</f>
        <v>0</v>
      </c>
      <c r="K19" s="1784"/>
      <c r="L19" s="1403" t="str">
        <f ca="1">IF(SingleOrRange=1,"n/a",IFERROR(IF(F19*J19&lt;=0,"n/a",F19*J19),"n/a"))</f>
        <v>n/a</v>
      </c>
      <c r="M19" s="1930"/>
      <c r="N19" s="1403" t="str">
        <f t="shared" ca="1" si="0"/>
        <v>n/a</v>
      </c>
      <c r="O19" s="459"/>
      <c r="P19" s="1609">
        <v>0</v>
      </c>
      <c r="Q19" s="2060"/>
      <c r="R19" s="2060"/>
      <c r="S19" s="2060"/>
      <c r="T19" s="2060"/>
      <c r="U19" s="1510"/>
      <c r="V19" s="1525"/>
      <c r="W19" s="1665" t="str">
        <f>'Guideline Transactions Input'!$AE$41</f>
        <v>n/a</v>
      </c>
      <c r="X19" s="1665" t="str">
        <f>'Guideline Transactions Input'!$AE$40</f>
        <v>n/a</v>
      </c>
      <c r="Y19" s="1665" t="str">
        <f>'Guideline Transactions Input'!$AE$39</f>
        <v>n/a</v>
      </c>
      <c r="Z19" s="1665" t="str">
        <f>'Guideline Transactions Input'!$AE$38</f>
        <v>n/a</v>
      </c>
      <c r="AA19" s="1665" t="str">
        <f>'Guideline Transactions Input'!$AE$37</f>
        <v>n/a</v>
      </c>
      <c r="AB19" s="1665" t="str">
        <f>'Guideline Transactions Input'!$AE$36</f>
        <v>n/a</v>
      </c>
    </row>
    <row r="20" spans="1:28" ht="13.9">
      <c r="A20" s="1510" t="str">
        <f ca="1">IF(COUNTBLANK(A18:A19),"","n")</f>
        <v>n</v>
      </c>
      <c r="B20" s="1510"/>
      <c r="C20" s="2060"/>
      <c r="D20" s="2073"/>
      <c r="E20" s="1568"/>
      <c r="F20" s="2073"/>
      <c r="G20" s="2073"/>
      <c r="H20" s="2073"/>
      <c r="I20" s="2073"/>
      <c r="J20" s="2073"/>
      <c r="K20" s="2073"/>
      <c r="L20" s="2099"/>
      <c r="M20" s="2100"/>
      <c r="N20" s="2099"/>
      <c r="O20" s="2073"/>
      <c r="P20" s="2073"/>
      <c r="Q20" s="2060"/>
      <c r="R20" s="2060"/>
      <c r="S20" s="2060"/>
      <c r="T20" s="2060"/>
      <c r="U20" s="1510"/>
      <c r="V20" s="1525"/>
      <c r="W20" s="1525"/>
      <c r="X20" s="1525"/>
      <c r="Y20" s="1525"/>
      <c r="Z20" s="1525"/>
      <c r="AA20" s="1525"/>
      <c r="AB20" s="1525"/>
    </row>
    <row r="21" spans="1:28" ht="13.9">
      <c r="A21" s="1510"/>
      <c r="B21" s="1510"/>
      <c r="C21" s="2060"/>
      <c r="D21" s="22"/>
      <c r="E21" s="619"/>
      <c r="F21" s="22"/>
      <c r="G21" s="22"/>
      <c r="H21" s="22"/>
      <c r="I21" s="22"/>
      <c r="J21" s="441" t="s">
        <v>1500</v>
      </c>
      <c r="K21" s="1529"/>
      <c r="L21" s="2104">
        <f ca="1">SUMPRODUCT(L12:L19,$P$12:$P$19)</f>
        <v>0</v>
      </c>
      <c r="M21" s="2105"/>
      <c r="N21" s="2104">
        <f ca="1">SUMPRODUCT(N12:N19,$P$12:$P$19)</f>
        <v>0</v>
      </c>
      <c r="O21" s="22"/>
      <c r="P21" s="1493">
        <f ca="1">IF(SingleOrRange=1,SUMPRODUCT(P12:P19,--(H12:H19&gt;0),--(J12:J19&gt;0)),SUMPRODUCT(P12:P19,--(F12:F19&gt;0),--(H12:H19&gt;0),--(J12:J19&gt;0)))</f>
        <v>0</v>
      </c>
      <c r="Q21" s="2060"/>
      <c r="R21" s="2060"/>
      <c r="S21" s="2060"/>
      <c r="T21" s="2060"/>
      <c r="U21" s="1510"/>
      <c r="V21" s="1525"/>
      <c r="W21" s="1525"/>
      <c r="X21" s="1525"/>
      <c r="Y21" s="1525"/>
      <c r="Z21" s="1525"/>
      <c r="AA21" s="1525"/>
      <c r="AB21" s="1525"/>
    </row>
    <row r="22" spans="1:28" s="303" customFormat="1" ht="13.9">
      <c r="A22" s="1510" t="str">
        <f>IF(SingleOrRange=1,"n","")</f>
        <v/>
      </c>
      <c r="B22" s="1510"/>
      <c r="C22" s="2060"/>
      <c r="D22" s="2073"/>
      <c r="E22" s="1568"/>
      <c r="F22" s="2073"/>
      <c r="G22" s="2073"/>
      <c r="H22" s="2073"/>
      <c r="I22" s="2073"/>
      <c r="J22" s="1404" t="s">
        <v>1495</v>
      </c>
      <c r="K22" s="2073"/>
      <c r="L22" s="1609">
        <v>0.5</v>
      </c>
      <c r="M22" s="2060"/>
      <c r="N22" s="1614">
        <f>IF(SingleOrRange=1,1,1-L22)</f>
        <v>0.5</v>
      </c>
      <c r="O22" s="2073"/>
      <c r="P22" s="2073" t="str">
        <f ca="1">IF(AND(P21&gt;0,P21&lt;1),IF(P21&lt;&gt;1,Fail,""),"")</f>
        <v/>
      </c>
      <c r="Q22" s="2060"/>
      <c r="R22" s="2060"/>
      <c r="S22" s="2060"/>
      <c r="T22" s="2060"/>
      <c r="U22" s="1510"/>
      <c r="V22" s="1533"/>
      <c r="W22" s="1533"/>
      <c r="X22" s="1533"/>
      <c r="Y22" s="1533"/>
      <c r="Z22" s="1533"/>
      <c r="AA22" s="1533"/>
      <c r="AB22" s="1533"/>
    </row>
    <row r="23" spans="1:28" s="1028" customFormat="1" ht="13.9">
      <c r="A23" s="1510"/>
      <c r="B23" s="1510"/>
      <c r="C23" s="2060"/>
      <c r="D23" s="2073"/>
      <c r="E23" s="1568"/>
      <c r="F23" s="2073"/>
      <c r="G23" s="2073"/>
      <c r="H23" s="2060"/>
      <c r="I23" s="2060"/>
      <c r="J23" s="2060"/>
      <c r="K23" s="2060"/>
      <c r="L23" s="2060"/>
      <c r="M23" s="2060"/>
      <c r="N23" s="2060"/>
      <c r="O23" s="2060"/>
      <c r="P23" s="2060"/>
      <c r="Q23" s="2060"/>
      <c r="R23" s="2060"/>
      <c r="S23" s="2060"/>
      <c r="T23" s="2060"/>
      <c r="U23" s="1510"/>
      <c r="V23" s="2060"/>
      <c r="W23" s="2060"/>
      <c r="X23" s="2060"/>
      <c r="Y23" s="2060"/>
      <c r="Z23" s="1533"/>
      <c r="AA23" s="1533"/>
      <c r="AB23" s="1533"/>
    </row>
    <row r="24" spans="1:28" s="1028" customFormat="1" ht="16.5" customHeight="1">
      <c r="A24" s="1510"/>
      <c r="B24" s="1510"/>
      <c r="C24" s="2060"/>
      <c r="D24" s="1319"/>
      <c r="E24" s="1320"/>
      <c r="F24" s="1319"/>
      <c r="G24" s="1319"/>
      <c r="H24" s="1078"/>
      <c r="I24" s="1078"/>
      <c r="J24" s="1201" t="str">
        <f>"Estimated value of "&amp;LOWER(EVorTICFull)</f>
        <v>Estimated value of total invested capital</v>
      </c>
      <c r="K24" s="1078"/>
      <c r="L24" s="1078"/>
      <c r="M24" s="1078"/>
      <c r="N24" s="2101">
        <f ca="1">SUMPRODUCT(L21:N21,L22:N22)</f>
        <v>0</v>
      </c>
      <c r="O24" s="1078"/>
      <c r="P24" s="1078"/>
      <c r="Q24" s="2060"/>
      <c r="R24" s="2060"/>
      <c r="S24" s="2060"/>
      <c r="T24" s="2060"/>
      <c r="U24" s="1510"/>
      <c r="V24" s="2060"/>
      <c r="W24" s="2060"/>
      <c r="X24" s="2060"/>
      <c r="Y24" s="2060"/>
      <c r="Z24" s="1533"/>
      <c r="AA24" s="1533"/>
      <c r="AB24" s="1533"/>
    </row>
    <row r="25" spans="1:28" s="1028" customFormat="1" ht="13.9">
      <c r="A25" s="1510"/>
      <c r="B25" s="1510"/>
      <c r="C25" s="2060"/>
      <c r="D25" s="2073"/>
      <c r="E25" s="1568"/>
      <c r="F25" s="2073"/>
      <c r="G25" s="2073"/>
      <c r="H25" s="2060"/>
      <c r="I25" s="2060"/>
      <c r="J25" s="2060"/>
      <c r="K25" s="2060"/>
      <c r="L25" s="2060"/>
      <c r="M25" s="2060"/>
      <c r="N25" s="2060"/>
      <c r="O25" s="2060"/>
      <c r="P25" s="2060"/>
      <c r="Q25" s="2060"/>
      <c r="R25" s="2060"/>
      <c r="S25" s="2060"/>
      <c r="T25" s="2060"/>
      <c r="U25" s="1510"/>
      <c r="V25" s="2060"/>
      <c r="W25" s="2060"/>
      <c r="X25" s="2060"/>
      <c r="Y25" s="2060"/>
      <c r="Z25" s="1533"/>
      <c r="AA25" s="1533"/>
      <c r="AB25" s="1533"/>
    </row>
    <row r="26" spans="1:28" s="1028" customFormat="1" ht="13.9">
      <c r="A26" s="1510"/>
      <c r="B26" s="1510"/>
      <c r="C26" s="2060"/>
      <c r="D26" s="2073"/>
      <c r="E26" s="1568"/>
      <c r="F26" s="2073"/>
      <c r="G26" s="2073"/>
      <c r="H26" s="2073"/>
      <c r="I26" s="1525"/>
      <c r="J26" s="1553"/>
      <c r="K26" s="2060"/>
      <c r="L26" s="1589"/>
      <c r="M26" s="2060"/>
      <c r="N26" s="2060"/>
      <c r="O26" s="2060"/>
      <c r="P26" s="2073"/>
      <c r="Q26" s="2060"/>
      <c r="R26" s="2060"/>
      <c r="S26" s="2060"/>
      <c r="T26" s="2060"/>
      <c r="U26" s="1510"/>
      <c r="V26" s="2060"/>
      <c r="W26" s="2060"/>
      <c r="X26" s="2060"/>
      <c r="Y26" s="2060"/>
      <c r="Z26" s="1533"/>
      <c r="AA26" s="1533"/>
      <c r="AB26" s="1533"/>
    </row>
    <row r="27" spans="1:28" s="1533" customFormat="1" ht="13.9">
      <c r="A27" s="1510"/>
      <c r="B27" s="1510"/>
      <c r="C27" s="2060"/>
      <c r="D27" s="2073"/>
      <c r="E27" s="1568"/>
      <c r="F27" s="2073"/>
      <c r="G27" s="2073"/>
      <c r="H27" s="2073"/>
      <c r="I27" s="1525"/>
      <c r="J27" s="1553"/>
      <c r="K27" s="2060"/>
      <c r="L27" s="1589"/>
      <c r="M27" s="2060"/>
      <c r="N27" s="2060"/>
      <c r="O27" s="2060"/>
      <c r="P27" s="2073"/>
      <c r="Q27" s="2060"/>
      <c r="R27" s="2060"/>
      <c r="S27" s="2060"/>
      <c r="T27" s="2060"/>
      <c r="U27" s="1510"/>
      <c r="V27" s="2060"/>
      <c r="W27" s="2060"/>
      <c r="X27" s="2060"/>
      <c r="Y27" s="2060"/>
    </row>
    <row r="28" spans="1:28" s="1028" customFormat="1" ht="13.9">
      <c r="A28" s="1510"/>
      <c r="B28" s="1510"/>
      <c r="C28" s="1588" t="str">
        <f>"EBIT=Earnings before interest and taxes; EBITDA=Earnings before interest and taxes, depreciation and amortization; LFY=Last fiscal year; LTM=Last twelve months; NTM=Next Twelve Months; "&amp;EVorTIC&amp;"="&amp;EVorTICFull</f>
        <v>EBIT=Earnings before interest and taxes; EBITDA=Earnings before interest and taxes, depreciation and amortization; LFY=Last fiscal year; LTM=Last twelve months; NTM=Next Twelve Months; TIC=Total invested capital</v>
      </c>
      <c r="D28" s="2073"/>
      <c r="E28" s="1568"/>
      <c r="F28" s="2073"/>
      <c r="G28" s="2073"/>
      <c r="H28" s="2073"/>
      <c r="I28" s="2073"/>
      <c r="J28" s="2073"/>
      <c r="K28" s="2073"/>
      <c r="L28" s="2073"/>
      <c r="M28" s="2060"/>
      <c r="N28" s="2073"/>
      <c r="O28" s="2073"/>
      <c r="P28" s="2073"/>
      <c r="Q28" s="2060"/>
      <c r="R28" s="2060"/>
      <c r="S28" s="2060"/>
      <c r="T28" s="2060"/>
      <c r="U28" s="1510"/>
      <c r="V28" s="2060"/>
      <c r="W28" s="2060"/>
      <c r="X28" s="2060"/>
      <c r="Y28" s="2060"/>
      <c r="Z28" s="1533"/>
      <c r="AA28" s="1533"/>
      <c r="AB28" s="1533"/>
    </row>
    <row r="29" spans="1:28" s="1533" customFormat="1" ht="13.9">
      <c r="A29" s="1510"/>
      <c r="B29" s="1510"/>
      <c r="C29" s="1588"/>
      <c r="D29" s="2073"/>
      <c r="E29" s="1568"/>
      <c r="F29" s="2073"/>
      <c r="G29" s="2073"/>
      <c r="H29" s="2073"/>
      <c r="I29" s="2073"/>
      <c r="J29" s="2073"/>
      <c r="K29" s="2073"/>
      <c r="L29" s="2073"/>
      <c r="M29" s="2060"/>
      <c r="N29" s="2073"/>
      <c r="O29" s="2073"/>
      <c r="P29" s="2073"/>
      <c r="Q29" s="2060"/>
      <c r="R29" s="2060"/>
      <c r="S29" s="2060"/>
      <c r="T29" s="2060"/>
      <c r="U29" s="1510"/>
      <c r="V29" s="2060"/>
      <c r="W29" s="2060"/>
      <c r="X29" s="2060"/>
      <c r="Y29" s="2060"/>
    </row>
    <row r="30" spans="1:28" s="1533" customFormat="1" ht="13.9">
      <c r="A30" s="1510"/>
      <c r="B30" s="1510"/>
      <c r="C30" s="1504" t="str">
        <f ca="1">FootnoteDRAFT</f>
        <v>Run date: 05-August-2018  02:34 PM.   DRAFT document. All data subject to change upon completion of additional analysis.</v>
      </c>
      <c r="D30" s="2073"/>
      <c r="E30" s="1568"/>
      <c r="F30" s="2073"/>
      <c r="G30" s="2073"/>
      <c r="H30" s="2073"/>
      <c r="I30" s="2073"/>
      <c r="J30" s="2073"/>
      <c r="K30" s="2073"/>
      <c r="L30" s="2073"/>
      <c r="M30" s="2060"/>
      <c r="N30" s="2073"/>
      <c r="O30" s="2073"/>
      <c r="P30" s="2073"/>
      <c r="Q30" s="2060"/>
      <c r="R30" s="2060"/>
      <c r="S30" s="2060"/>
      <c r="T30" s="2060"/>
      <c r="U30" s="1510"/>
      <c r="V30" s="2060"/>
      <c r="W30" s="2060"/>
      <c r="X30" s="2060"/>
      <c r="Y30" s="2060"/>
    </row>
    <row r="31" spans="1:28" ht="12" customHeight="1">
      <c r="A31" s="1510" t="s">
        <v>17</v>
      </c>
      <c r="B31" s="1510"/>
      <c r="C31" s="1510"/>
      <c r="D31" s="1510"/>
      <c r="E31" s="701"/>
      <c r="F31" s="1510"/>
      <c r="G31" s="1510"/>
      <c r="H31" s="1510"/>
      <c r="I31" s="1510"/>
      <c r="J31" s="1510"/>
      <c r="K31" s="1510"/>
      <c r="L31" s="1510"/>
      <c r="M31" s="1510"/>
      <c r="N31" s="1510"/>
      <c r="O31" s="1510"/>
      <c r="P31" s="1510"/>
      <c r="Q31" s="1510"/>
      <c r="R31" s="1510"/>
      <c r="S31" s="1510"/>
      <c r="T31" s="1546" t="s">
        <v>18</v>
      </c>
      <c r="U31" s="1510"/>
      <c r="V31" s="2060"/>
      <c r="W31" s="2060"/>
      <c r="X31" s="2060"/>
      <c r="Y31" s="2060"/>
      <c r="Z31" s="1525"/>
      <c r="AA31" s="1525"/>
      <c r="AB31" s="1525"/>
    </row>
    <row r="32" spans="1:28" ht="12" customHeight="1">
      <c r="A32" s="1510"/>
      <c r="B32" s="1510"/>
      <c r="C32" s="1510"/>
      <c r="D32" s="1510"/>
      <c r="E32" s="683"/>
      <c r="F32" s="1510"/>
      <c r="G32" s="1510"/>
      <c r="H32" s="1510"/>
      <c r="I32" s="1510"/>
      <c r="J32" s="1510"/>
      <c r="K32" s="1510"/>
      <c r="L32" s="1510"/>
      <c r="M32" s="1510"/>
      <c r="N32" s="1510"/>
      <c r="O32" s="1510"/>
      <c r="P32" s="1510"/>
      <c r="Q32" s="1510"/>
      <c r="R32" s="1510"/>
      <c r="S32" s="1510"/>
      <c r="T32" s="1510"/>
      <c r="U32" s="1510"/>
      <c r="V32" s="1525"/>
      <c r="W32" s="1525"/>
      <c r="X32" s="1525"/>
      <c r="Y32" s="1525"/>
      <c r="Z32" s="1525"/>
      <c r="AA32" s="1525"/>
      <c r="AB32" s="1525"/>
    </row>
    <row r="33" spans="4:11" ht="12" customHeight="1">
      <c r="D33" s="1507"/>
      <c r="E33" s="1505"/>
      <c r="F33" s="1525"/>
      <c r="G33" s="1525"/>
      <c r="H33" s="1525"/>
      <c r="I33" s="1507"/>
      <c r="J33" s="1525"/>
      <c r="K33" s="1507"/>
    </row>
    <row r="34" spans="4:11" ht="12" customHeight="1">
      <c r="D34" s="1525"/>
      <c r="E34" s="1505"/>
      <c r="F34" s="1525"/>
      <c r="G34" s="1525"/>
      <c r="H34" s="1525"/>
      <c r="I34" s="1525"/>
      <c r="J34" s="1541"/>
      <c r="K34" s="1530"/>
    </row>
    <row r="35" spans="4:11" ht="12" customHeight="1">
      <c r="D35" s="1525"/>
      <c r="E35" s="1505"/>
      <c r="F35" s="1525"/>
      <c r="G35" s="1525"/>
      <c r="H35" s="1525"/>
      <c r="I35" s="1525"/>
      <c r="J35" s="1541"/>
      <c r="K35" s="1530"/>
    </row>
    <row r="36" spans="4:11" ht="12" customHeight="1">
      <c r="D36" s="1525"/>
      <c r="E36" s="1505"/>
      <c r="F36" s="1525"/>
      <c r="G36" s="1525"/>
      <c r="H36" s="1525"/>
      <c r="I36" s="1525"/>
      <c r="J36" s="1541"/>
      <c r="K36" s="1530"/>
    </row>
    <row r="37" spans="4:11" ht="12" customHeight="1">
      <c r="D37" s="1525"/>
      <c r="E37" s="1505"/>
      <c r="F37" s="1525"/>
      <c r="G37" s="1525"/>
      <c r="H37" s="1525"/>
      <c r="I37" s="1525"/>
      <c r="J37" s="1525"/>
      <c r="K37" s="1525"/>
    </row>
    <row r="38" spans="4:11" ht="12" customHeight="1">
      <c r="D38" s="1525"/>
      <c r="E38" s="1505"/>
      <c r="F38" s="1525"/>
      <c r="G38" s="1525"/>
      <c r="H38" s="1525"/>
      <c r="I38" s="1525"/>
      <c r="J38" s="1525"/>
      <c r="K38" s="1525"/>
    </row>
    <row r="39" spans="4:11" ht="12" customHeight="1">
      <c r="D39" s="1525"/>
      <c r="E39" s="1505"/>
      <c r="F39" s="1525"/>
      <c r="G39" s="1525"/>
      <c r="H39" s="1525"/>
      <c r="I39" s="1525"/>
      <c r="J39" s="1525"/>
      <c r="K39" s="1525"/>
    </row>
    <row r="40" spans="4:11" ht="12" customHeight="1">
      <c r="D40" s="1525"/>
      <c r="E40" s="1505"/>
      <c r="F40" s="1525"/>
      <c r="G40" s="1525"/>
      <c r="H40" s="1525"/>
      <c r="I40" s="1525"/>
      <c r="J40" s="1541"/>
      <c r="K40" s="1530"/>
    </row>
    <row r="41" spans="4:11" ht="12" customHeight="1">
      <c r="D41" s="1525"/>
      <c r="E41" s="1505"/>
      <c r="F41" s="1525"/>
      <c r="G41" s="1525"/>
      <c r="H41" s="1525"/>
      <c r="I41" s="1525"/>
      <c r="J41" s="1541"/>
      <c r="K41" s="1530"/>
    </row>
    <row r="42" spans="4:11" ht="12" customHeight="1">
      <c r="D42" s="1525"/>
      <c r="E42" s="1505"/>
      <c r="F42" s="1525"/>
      <c r="G42" s="1525"/>
      <c r="H42" s="1525"/>
      <c r="I42" s="1525"/>
      <c r="J42" s="1541"/>
      <c r="K42" s="1530"/>
    </row>
    <row r="43" spans="4:11" ht="12" customHeight="1">
      <c r="D43" s="1525"/>
      <c r="E43" s="1505"/>
      <c r="F43" s="1525"/>
      <c r="G43" s="1525"/>
      <c r="H43" s="1525"/>
      <c r="I43" s="1525"/>
      <c r="J43" s="1525"/>
      <c r="K43" s="1525"/>
    </row>
    <row r="44" spans="4:11" ht="12" customHeight="1">
      <c r="D44" s="1525"/>
      <c r="E44" s="1505"/>
      <c r="F44" s="1525"/>
      <c r="G44" s="1525"/>
      <c r="H44" s="1525"/>
      <c r="I44" s="1525"/>
      <c r="J44" s="1525"/>
      <c r="K44" s="1525"/>
    </row>
    <row r="45" spans="4:11" ht="12" customHeight="1">
      <c r="D45" s="1525"/>
      <c r="E45" s="1578"/>
      <c r="F45" s="1525"/>
      <c r="G45" s="1525"/>
      <c r="H45" s="1525"/>
      <c r="I45" s="1525"/>
      <c r="J45" s="1525"/>
      <c r="K45" s="1525"/>
    </row>
    <row r="46" spans="4:11" ht="12" customHeight="1">
      <c r="D46" s="1525"/>
      <c r="E46" s="1578"/>
      <c r="F46" s="1525"/>
      <c r="G46" s="1525"/>
      <c r="H46" s="1525"/>
      <c r="I46" s="1525"/>
      <c r="J46" s="1541"/>
      <c r="K46" s="1530"/>
    </row>
    <row r="47" spans="4:11" ht="12" customHeight="1">
      <c r="D47" s="1525"/>
      <c r="E47" s="1578"/>
      <c r="F47" s="1525"/>
      <c r="G47" s="1525"/>
      <c r="H47" s="1525"/>
      <c r="I47" s="1525"/>
      <c r="J47" s="1541"/>
      <c r="K47" s="1530"/>
    </row>
    <row r="48" spans="4:11" ht="12" customHeight="1">
      <c r="D48" s="1525"/>
      <c r="E48" s="1578"/>
      <c r="F48" s="1525"/>
      <c r="G48" s="1525"/>
      <c r="H48" s="1525"/>
      <c r="I48" s="1525"/>
      <c r="J48" s="1541"/>
      <c r="K48" s="1530"/>
    </row>
    <row r="49" spans="5:5" ht="12" customHeight="1">
      <c r="E49" s="1578"/>
    </row>
    <row r="50" spans="5:5" ht="12" customHeight="1">
      <c r="E50" s="1578"/>
    </row>
    <row r="51" spans="5:5" ht="12" customHeight="1">
      <c r="E51" s="1578"/>
    </row>
    <row r="52" spans="5:5" ht="12" customHeight="1">
      <c r="E52" s="1578"/>
    </row>
    <row r="53" spans="5:5" ht="12" customHeight="1">
      <c r="E53" s="1578"/>
    </row>
    <row r="54" spans="5:5" ht="12" customHeight="1">
      <c r="E54" s="1578"/>
    </row>
    <row r="55" spans="5:5" ht="12" customHeight="1">
      <c r="E55" s="1578"/>
    </row>
    <row r="56" spans="5:5" ht="12" customHeight="1">
      <c r="E56" s="1578"/>
    </row>
    <row r="57" spans="5:5" ht="12" customHeight="1">
      <c r="E57" s="1578"/>
    </row>
    <row r="58" spans="5:5" ht="12" customHeight="1">
      <c r="E58" s="1578"/>
    </row>
    <row r="59" spans="5:5" ht="12" customHeight="1">
      <c r="E59" s="1578"/>
    </row>
    <row r="60" spans="5:5" ht="12" customHeight="1">
      <c r="E60" s="1505"/>
    </row>
    <row r="61" spans="5:5" ht="12" customHeight="1">
      <c r="E61" s="1505"/>
    </row>
    <row r="62" spans="5:5" ht="12" customHeight="1">
      <c r="E62" s="1578"/>
    </row>
    <row r="63" spans="5:5" ht="12" customHeight="1">
      <c r="E63" s="1578"/>
    </row>
    <row r="64" spans="5:5" ht="12" customHeight="1">
      <c r="E64" s="1578"/>
    </row>
  </sheetData>
  <autoFilter ref="A1:A36"/>
  <conditionalFormatting sqref="P21">
    <cfRule type="cellIs" dxfId="152" priority="4" operator="notEqual">
      <formula>1</formula>
    </cfRule>
  </conditionalFormatting>
  <conditionalFormatting sqref="B1:B2">
    <cfRule type="cellIs" dxfId="151" priority="3" operator="notEqual">
      <formula>0</formula>
    </cfRule>
  </conditionalFormatting>
  <conditionalFormatting sqref="A6">
    <cfRule type="expression" dxfId="150" priority="2">
      <formula>AND(MasterCheck&gt;0,RedAlertY=TRUE)</formula>
    </cfRule>
  </conditionalFormatting>
  <conditionalFormatting sqref="J22:P22">
    <cfRule type="expression" dxfId="149" priority="1">
      <formula>SingleOrRange=1</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31" max="16383"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C">
    <tabColor rgb="FFFF00FF"/>
    <pageSetUpPr autoPageBreaks="0"/>
  </sheetPr>
  <dimension ref="A1:I170"/>
  <sheetViews>
    <sheetView showGridLines="0" zoomScale="85" zoomScaleNormal="85" zoomScaleSheetLayoutView="85" workbookViewId="0"/>
  </sheetViews>
  <sheetFormatPr defaultColWidth="9.33203125" defaultRowHeight="12" customHeight="1"/>
  <cols>
    <col min="1" max="1" width="2.83203125" style="335" customWidth="1"/>
    <col min="2" max="2" width="3.83203125" style="335" customWidth="1"/>
    <col min="3" max="3" width="36.1640625" style="335" customWidth="1"/>
    <col min="4" max="4" width="87.83203125" style="335" customWidth="1"/>
    <col min="5" max="5" width="4.33203125" style="1530" customWidth="1"/>
    <col min="6" max="6" width="18" style="335" customWidth="1"/>
    <col min="7" max="7" width="62.83203125" style="335" customWidth="1"/>
    <col min="8" max="8" width="4.33203125" style="1530" customWidth="1"/>
    <col min="9" max="9" width="89.6640625" style="1530" customWidth="1"/>
    <col min="10" max="46" width="12.83203125" style="335" customWidth="1"/>
    <col min="47" max="16384" width="9.33203125" style="335"/>
  </cols>
  <sheetData>
    <row r="1" spans="1:9" ht="18" customHeight="1">
      <c r="A1" s="2060"/>
      <c r="B1" s="1557"/>
      <c r="C1" s="838" t="str">
        <f>CoNameHeading</f>
        <v>Client Name</v>
      </c>
      <c r="D1" s="1530"/>
      <c r="F1" s="852"/>
      <c r="G1" s="852"/>
      <c r="H1" s="848"/>
      <c r="I1" s="1622" t="s">
        <v>1572</v>
      </c>
    </row>
    <row r="2" spans="1:9" ht="18" customHeight="1">
      <c r="A2" s="1557"/>
      <c r="B2" s="1557"/>
      <c r="C2" s="839" t="s">
        <v>1573</v>
      </c>
      <c r="D2" s="1530"/>
      <c r="F2" s="1526"/>
      <c r="G2" s="1526"/>
      <c r="H2" s="848"/>
      <c r="I2" s="1621"/>
    </row>
    <row r="3" spans="1:9" ht="18" customHeight="1">
      <c r="A3" s="1557"/>
      <c r="B3" s="1557"/>
      <c r="C3" s="840" t="str">
        <f>ValDateHeading</f>
        <v>Estimation of value as of 28 February 2017</v>
      </c>
      <c r="D3" s="1530"/>
      <c r="F3" s="1526"/>
      <c r="G3" s="1526"/>
      <c r="H3" s="848"/>
      <c r="I3" s="1621"/>
    </row>
    <row r="4" spans="1:9" ht="18" customHeight="1">
      <c r="A4" s="1557"/>
      <c r="B4" s="1557"/>
      <c r="C4" s="840"/>
      <c r="D4" s="1530"/>
      <c r="F4" s="1526"/>
      <c r="G4" s="1526"/>
      <c r="H4" s="848"/>
      <c r="I4" s="1623" t="s">
        <v>1574</v>
      </c>
    </row>
    <row r="5" spans="1:9" ht="18" customHeight="1">
      <c r="A5" s="1557"/>
      <c r="B5" s="1557"/>
      <c r="C5" s="2060"/>
      <c r="D5" s="977"/>
      <c r="E5" s="977"/>
      <c r="F5" s="2060"/>
      <c r="G5" s="1526"/>
      <c r="H5" s="848"/>
      <c r="I5" s="1623" t="s">
        <v>1575</v>
      </c>
    </row>
    <row r="6" spans="1:9" ht="18" customHeight="1">
      <c r="A6" s="1557"/>
      <c r="B6" s="1557"/>
      <c r="C6" s="2060"/>
      <c r="D6" s="977"/>
      <c r="E6" s="977"/>
      <c r="F6" s="1526"/>
      <c r="G6" s="1526"/>
      <c r="H6" s="848"/>
      <c r="I6" s="1623" t="s">
        <v>1574</v>
      </c>
    </row>
    <row r="7" spans="1:9" ht="15.6">
      <c r="A7" s="1557"/>
      <c r="B7" s="1557"/>
      <c r="C7" s="849"/>
      <c r="D7" s="849" t="s">
        <v>1576</v>
      </c>
      <c r="E7" s="849"/>
      <c r="F7" s="849" t="s">
        <v>1577</v>
      </c>
      <c r="G7" s="1526"/>
      <c r="H7" s="848"/>
      <c r="I7" s="1624" t="s">
        <v>1578</v>
      </c>
    </row>
    <row r="8" spans="1:9" ht="20.100000000000001" customHeight="1">
      <c r="A8" s="1557" t="str">
        <f t="shared" ref="A8:A41" si="0">IF(OR(ISBLANK(C8)=FALSE,D8=""),"n","")</f>
        <v>n</v>
      </c>
      <c r="B8" s="1557" t="str">
        <f ca="1">IFERROR(INDEX('Error Check'!$F$14:$F$48,MATCH(I8,'Error Check'!$D$14:$D$48,0)),"")</f>
        <v/>
      </c>
      <c r="C8" s="452"/>
      <c r="D8" s="850"/>
      <c r="E8" s="850"/>
      <c r="F8" s="1604"/>
      <c r="G8" s="950"/>
      <c r="H8" s="848"/>
      <c r="I8" s="1623" t="s">
        <v>862</v>
      </c>
    </row>
    <row r="9" spans="1:9" ht="20.100000000000001" customHeight="1">
      <c r="A9" s="1557" t="str">
        <f t="shared" si="0"/>
        <v>n</v>
      </c>
      <c r="B9" s="1557" t="str">
        <f ca="1">IFERROR(INDEX('Error Check'!$F$14:$F$48,MATCH(I9,'Error Check'!$D$14:$D$48,0)),"")</f>
        <v/>
      </c>
      <c r="C9" s="452"/>
      <c r="D9" s="850"/>
      <c r="E9" s="850"/>
      <c r="F9" s="1604"/>
      <c r="G9" s="950"/>
      <c r="H9" s="848"/>
      <c r="I9" s="1623" t="s">
        <v>1579</v>
      </c>
    </row>
    <row r="10" spans="1:9" ht="20.100000000000001" customHeight="1">
      <c r="A10" s="1557" t="str">
        <f t="shared" si="0"/>
        <v>n</v>
      </c>
      <c r="B10" s="1557" t="str">
        <f ca="1">IFERROR(INDEX('Error Check'!$F$14:$F$48,MATCH(I10,'Error Check'!$D$14:$D$48,0)),"")</f>
        <v/>
      </c>
      <c r="C10" s="452"/>
      <c r="D10" s="850"/>
      <c r="E10" s="850"/>
      <c r="F10" s="1604"/>
      <c r="G10" s="950"/>
      <c r="H10" s="848"/>
      <c r="I10" s="1623" t="s">
        <v>1580</v>
      </c>
    </row>
    <row r="11" spans="1:9" ht="20.100000000000001" customHeight="1">
      <c r="A11" s="1557" t="str">
        <f t="shared" si="0"/>
        <v>n</v>
      </c>
      <c r="B11" s="1557" t="str">
        <f ca="1">IFERROR(INDEX('Error Check'!$F$14:$F$48,MATCH(I11,'Error Check'!$D$14:$D$48,0)),"")</f>
        <v/>
      </c>
      <c r="C11" s="452"/>
      <c r="D11" s="850"/>
      <c r="E11" s="850"/>
      <c r="F11" s="1604"/>
      <c r="G11" s="950"/>
      <c r="H11" s="848"/>
      <c r="I11" s="1623"/>
    </row>
    <row r="12" spans="1:9" ht="20.100000000000001" customHeight="1">
      <c r="A12" s="1557" t="str">
        <f t="shared" si="0"/>
        <v>n</v>
      </c>
      <c r="B12" s="1557" t="str">
        <f ca="1">IFERROR(INDEX('Error Check'!$F$14:$F$48,MATCH(I12,'Error Check'!$D$14:$D$48,0)),"")</f>
        <v/>
      </c>
      <c r="C12" s="452"/>
      <c r="D12" s="850"/>
      <c r="E12" s="850"/>
      <c r="F12" s="1604"/>
      <c r="G12" s="950"/>
      <c r="H12" s="848"/>
      <c r="I12" s="1623"/>
    </row>
    <row r="13" spans="1:9" ht="20.100000000000001" customHeight="1">
      <c r="A13" s="1557" t="str">
        <f t="shared" si="0"/>
        <v>n</v>
      </c>
      <c r="B13" s="1557" t="str">
        <f ca="1">IFERROR(INDEX('Error Check'!$F$14:$F$48,MATCH(I13,'Error Check'!$D$14:$D$48,0)),"")</f>
        <v/>
      </c>
      <c r="C13" s="452"/>
      <c r="D13" s="850"/>
      <c r="E13" s="850"/>
      <c r="F13" s="1604"/>
      <c r="G13" s="950"/>
      <c r="H13" s="848"/>
      <c r="I13" s="1623"/>
    </row>
    <row r="14" spans="1:9" ht="20.100000000000001" customHeight="1">
      <c r="A14" s="1557" t="str">
        <f t="shared" si="0"/>
        <v>n</v>
      </c>
      <c r="B14" s="1557" t="str">
        <f ca="1">IFERROR(INDEX('Error Check'!$F$14:$F$48,MATCH(I14,'Error Check'!$D$14:$D$48,0)),"")</f>
        <v/>
      </c>
      <c r="C14" s="452"/>
      <c r="D14" s="850"/>
      <c r="E14" s="850"/>
      <c r="F14" s="1604"/>
      <c r="G14" s="950"/>
      <c r="H14" s="848"/>
      <c r="I14" s="1623"/>
    </row>
    <row r="15" spans="1:9" ht="20.100000000000001" customHeight="1">
      <c r="A15" s="1557" t="str">
        <f t="shared" si="0"/>
        <v>n</v>
      </c>
      <c r="B15" s="1557" t="str">
        <f ca="1">IFERROR(INDEX('Error Check'!$F$14:$F$48,MATCH(I15,'Error Check'!$D$14:$D$48,0)),"")</f>
        <v/>
      </c>
      <c r="C15" s="452"/>
      <c r="D15" s="850"/>
      <c r="E15" s="850"/>
      <c r="F15" s="1604"/>
      <c r="G15" s="950" t="str">
        <f t="shared" ref="G15:G41" ca="1" si="1">IF(B15=Fail,"Error detected. Double-click sheet name in Column D to review.","")</f>
        <v/>
      </c>
      <c r="H15" s="848"/>
      <c r="I15" s="1623"/>
    </row>
    <row r="16" spans="1:9" ht="20.100000000000001" customHeight="1">
      <c r="A16" s="1557" t="str">
        <f t="shared" si="0"/>
        <v>n</v>
      </c>
      <c r="B16" s="1557" t="str">
        <f ca="1">IFERROR(INDEX('Error Check'!$F$14:$F$48,MATCH(I16,'Error Check'!$D$14:$D$48,0)),"")</f>
        <v/>
      </c>
      <c r="C16" s="452"/>
      <c r="D16" s="850"/>
      <c r="E16" s="850"/>
      <c r="F16" s="1604"/>
      <c r="G16" s="950" t="str">
        <f t="shared" ca="1" si="1"/>
        <v/>
      </c>
      <c r="H16" s="848"/>
      <c r="I16" s="1623"/>
    </row>
    <row r="17" spans="1:9" ht="20.100000000000001" customHeight="1">
      <c r="A17" s="1557" t="str">
        <f t="shared" si="0"/>
        <v>n</v>
      </c>
      <c r="B17" s="1557" t="str">
        <f ca="1">IFERROR(INDEX('Error Check'!$F$14:$F$48,MATCH(I17,'Error Check'!$D$14:$D$48,0)),"")</f>
        <v/>
      </c>
      <c r="C17" s="452"/>
      <c r="D17" s="850"/>
      <c r="E17" s="850"/>
      <c r="F17" s="1604"/>
      <c r="G17" s="950" t="str">
        <f t="shared" ca="1" si="1"/>
        <v/>
      </c>
      <c r="H17" s="848"/>
      <c r="I17" s="1623"/>
    </row>
    <row r="18" spans="1:9" ht="20.100000000000001" customHeight="1">
      <c r="A18" s="1557" t="str">
        <f t="shared" si="0"/>
        <v>n</v>
      </c>
      <c r="B18" s="1557" t="str">
        <f ca="1">IFERROR(INDEX('Error Check'!$F$14:$F$48,MATCH(I18,'Error Check'!$D$14:$D$48,0)),"")</f>
        <v/>
      </c>
      <c r="C18" s="452"/>
      <c r="D18" s="850"/>
      <c r="E18" s="850"/>
      <c r="F18" s="1604"/>
      <c r="G18" s="950" t="str">
        <f t="shared" ca="1" si="1"/>
        <v/>
      </c>
      <c r="H18" s="848"/>
      <c r="I18" s="1623"/>
    </row>
    <row r="19" spans="1:9" ht="20.100000000000001" customHeight="1">
      <c r="A19" s="1557" t="str">
        <f t="shared" si="0"/>
        <v>n</v>
      </c>
      <c r="B19" s="1557" t="str">
        <f ca="1">IFERROR(INDEX('Error Check'!$F$14:$F$48,MATCH(I19,'Error Check'!$D$14:$D$48,0)),"")</f>
        <v/>
      </c>
      <c r="C19" s="452"/>
      <c r="D19" s="850"/>
      <c r="E19" s="850"/>
      <c r="F19" s="1604"/>
      <c r="G19" s="950" t="str">
        <f t="shared" ca="1" si="1"/>
        <v/>
      </c>
      <c r="H19" s="848"/>
      <c r="I19" s="1623"/>
    </row>
    <row r="20" spans="1:9" ht="20.100000000000001" customHeight="1">
      <c r="A20" s="1557" t="str">
        <f t="shared" si="0"/>
        <v>n</v>
      </c>
      <c r="B20" s="1557" t="str">
        <f ca="1">IFERROR(INDEX('Error Check'!$F$14:$F$48,MATCH(I20,'Error Check'!$D$14:$D$48,0)),"")</f>
        <v/>
      </c>
      <c r="C20" s="452"/>
      <c r="D20" s="850"/>
      <c r="E20" s="850"/>
      <c r="F20" s="1604"/>
      <c r="G20" s="950" t="str">
        <f t="shared" ca="1" si="1"/>
        <v/>
      </c>
      <c r="H20" s="848"/>
      <c r="I20" s="1623"/>
    </row>
    <row r="21" spans="1:9" ht="20.100000000000001" customHeight="1">
      <c r="A21" s="1557" t="str">
        <f t="shared" si="0"/>
        <v>n</v>
      </c>
      <c r="B21" s="1557" t="str">
        <f ca="1">IFERROR(INDEX('Error Check'!$F$14:$F$48,MATCH(I21,'Error Check'!$D$14:$D$48,0)),"")</f>
        <v/>
      </c>
      <c r="C21" s="452"/>
      <c r="D21" s="850"/>
      <c r="E21" s="850"/>
      <c r="F21" s="1604"/>
      <c r="G21" s="950" t="str">
        <f t="shared" ca="1" si="1"/>
        <v/>
      </c>
      <c r="H21" s="848"/>
      <c r="I21" s="1623"/>
    </row>
    <row r="22" spans="1:9" ht="20.100000000000001" customHeight="1">
      <c r="A22" s="1557" t="str">
        <f t="shared" si="0"/>
        <v>n</v>
      </c>
      <c r="B22" s="1557" t="str">
        <f ca="1">IFERROR(INDEX('Error Check'!$F$14:$F$48,MATCH(I22,'Error Check'!$D$14:$D$48,0)),"")</f>
        <v/>
      </c>
      <c r="C22" s="452"/>
      <c r="D22" s="850"/>
      <c r="E22" s="850"/>
      <c r="F22" s="1604"/>
      <c r="G22" s="950" t="str">
        <f t="shared" ca="1" si="1"/>
        <v/>
      </c>
      <c r="H22" s="848"/>
      <c r="I22" s="1623"/>
    </row>
    <row r="23" spans="1:9" ht="20.100000000000001" customHeight="1">
      <c r="A23" s="1557" t="str">
        <f t="shared" si="0"/>
        <v>n</v>
      </c>
      <c r="B23" s="1557" t="str">
        <f ca="1">IFERROR(INDEX('Error Check'!$F$14:$F$48,MATCH(I23,'Error Check'!$D$14:$D$48,0)),"")</f>
        <v/>
      </c>
      <c r="C23" s="452"/>
      <c r="D23" s="850"/>
      <c r="E23" s="850"/>
      <c r="F23" s="1604"/>
      <c r="G23" s="950" t="str">
        <f t="shared" ca="1" si="1"/>
        <v/>
      </c>
      <c r="H23" s="848"/>
      <c r="I23" s="1623"/>
    </row>
    <row r="24" spans="1:9" ht="20.100000000000001" customHeight="1">
      <c r="A24" s="1557" t="str">
        <f t="shared" si="0"/>
        <v>n</v>
      </c>
      <c r="B24" s="1557" t="str">
        <f ca="1">IFERROR(INDEX('Error Check'!$F$14:$F$48,MATCH(I24,'Error Check'!$D$14:$D$48,0)),"")</f>
        <v/>
      </c>
      <c r="C24" s="452"/>
      <c r="D24" s="850"/>
      <c r="E24" s="850"/>
      <c r="F24" s="1604"/>
      <c r="G24" s="950" t="str">
        <f t="shared" ca="1" si="1"/>
        <v/>
      </c>
      <c r="H24" s="848"/>
      <c r="I24" s="1623"/>
    </row>
    <row r="25" spans="1:9" ht="20.100000000000001" customHeight="1">
      <c r="A25" s="1557" t="str">
        <f t="shared" si="0"/>
        <v>n</v>
      </c>
      <c r="B25" s="1557" t="str">
        <f ca="1">IFERROR(INDEX('Error Check'!$F$14:$F$48,MATCH(I25,'Error Check'!$D$14:$D$48,0)),"")</f>
        <v/>
      </c>
      <c r="C25" s="452"/>
      <c r="D25" s="850"/>
      <c r="E25" s="850"/>
      <c r="F25" s="1604"/>
      <c r="G25" s="950" t="str">
        <f t="shared" ca="1" si="1"/>
        <v/>
      </c>
      <c r="H25" s="848"/>
      <c r="I25" s="1623"/>
    </row>
    <row r="26" spans="1:9" ht="20.100000000000001" customHeight="1">
      <c r="A26" s="1557" t="str">
        <f t="shared" si="0"/>
        <v>n</v>
      </c>
      <c r="B26" s="1557" t="str">
        <f ca="1">IFERROR(INDEX('Error Check'!$F$14:$F$48,MATCH(I26,'Error Check'!$D$14:$D$48,0)),"")</f>
        <v/>
      </c>
      <c r="C26" s="452"/>
      <c r="D26" s="850"/>
      <c r="E26" s="850"/>
      <c r="F26" s="1604"/>
      <c r="G26" s="950" t="str">
        <f t="shared" ca="1" si="1"/>
        <v/>
      </c>
      <c r="H26" s="848"/>
      <c r="I26" s="1623"/>
    </row>
    <row r="27" spans="1:9" ht="20.100000000000001" customHeight="1">
      <c r="A27" s="1557" t="str">
        <f t="shared" si="0"/>
        <v>n</v>
      </c>
      <c r="B27" s="1557" t="str">
        <f ca="1">IFERROR(INDEX('Error Check'!$F$14:$F$48,MATCH(I27,'Error Check'!$D$14:$D$48,0)),"")</f>
        <v/>
      </c>
      <c r="C27" s="452"/>
      <c r="D27" s="850"/>
      <c r="E27" s="850"/>
      <c r="F27" s="1604"/>
      <c r="G27" s="950" t="str">
        <f t="shared" ca="1" si="1"/>
        <v/>
      </c>
      <c r="H27" s="848"/>
      <c r="I27" s="1623"/>
    </row>
    <row r="28" spans="1:9" ht="20.100000000000001" customHeight="1">
      <c r="A28" s="1557" t="str">
        <f t="shared" si="0"/>
        <v>n</v>
      </c>
      <c r="B28" s="1557" t="str">
        <f ca="1">IFERROR(INDEX('Error Check'!$F$14:$F$48,MATCH(I28,'Error Check'!$D$14:$D$48,0)),"")</f>
        <v/>
      </c>
      <c r="C28" s="452"/>
      <c r="D28" s="850"/>
      <c r="E28" s="850"/>
      <c r="F28" s="1604"/>
      <c r="G28" s="950" t="str">
        <f t="shared" ca="1" si="1"/>
        <v/>
      </c>
      <c r="H28" s="848"/>
      <c r="I28" s="1623"/>
    </row>
    <row r="29" spans="1:9" ht="20.100000000000001" customHeight="1">
      <c r="A29" s="1557" t="str">
        <f t="shared" si="0"/>
        <v>n</v>
      </c>
      <c r="B29" s="1557" t="str">
        <f ca="1">IFERROR(INDEX('Error Check'!$F$14:$F$48,MATCH(I29,'Error Check'!$D$14:$D$48,0)),"")</f>
        <v/>
      </c>
      <c r="C29" s="452"/>
      <c r="D29" s="850"/>
      <c r="E29" s="850"/>
      <c r="F29" s="1604"/>
      <c r="G29" s="950" t="str">
        <f t="shared" ca="1" si="1"/>
        <v/>
      </c>
      <c r="H29" s="848"/>
      <c r="I29" s="1623"/>
    </row>
    <row r="30" spans="1:9" s="1530" customFormat="1" ht="20.100000000000001" customHeight="1">
      <c r="A30" s="1557" t="str">
        <f t="shared" si="0"/>
        <v>n</v>
      </c>
      <c r="B30" s="1557"/>
      <c r="C30" s="452"/>
      <c r="D30" s="850"/>
      <c r="E30" s="850"/>
      <c r="F30" s="1604"/>
      <c r="G30" s="950"/>
      <c r="H30" s="848"/>
      <c r="I30" s="1623"/>
    </row>
    <row r="31" spans="1:9" ht="20.100000000000001" customHeight="1">
      <c r="A31" s="1557" t="str">
        <f t="shared" si="0"/>
        <v>n</v>
      </c>
      <c r="B31" s="1557" t="str">
        <f ca="1">IFERROR(INDEX('Error Check'!$F$14:$F$48,MATCH(I31,'Error Check'!$D$14:$D$48,0)),"")</f>
        <v/>
      </c>
      <c r="C31" s="452"/>
      <c r="D31" s="850"/>
      <c r="E31" s="850"/>
      <c r="F31" s="1604"/>
      <c r="G31" s="950" t="str">
        <f t="shared" ca="1" si="1"/>
        <v/>
      </c>
      <c r="H31" s="848"/>
      <c r="I31" s="1623"/>
    </row>
    <row r="32" spans="1:9" ht="20.100000000000001" customHeight="1">
      <c r="A32" s="1557" t="str">
        <f t="shared" ref="A32:A40" si="2">IF(OR(ISBLANK(C32)=FALSE,D32=""),"n","")</f>
        <v>n</v>
      </c>
      <c r="B32" s="1557" t="str">
        <f ca="1">IFERROR(INDEX('Error Check'!$F$14:$F$48,MATCH(I32,'Error Check'!$D$14:$D$48,0)),"")</f>
        <v/>
      </c>
      <c r="C32" s="452"/>
      <c r="D32" s="850"/>
      <c r="E32" s="850"/>
      <c r="F32" s="1604"/>
      <c r="G32" s="950" t="str">
        <f t="shared" ca="1" si="1"/>
        <v/>
      </c>
      <c r="H32" s="848"/>
      <c r="I32" s="1623"/>
    </row>
    <row r="33" spans="1:9" ht="20.100000000000001" customHeight="1">
      <c r="A33" s="1557" t="str">
        <f t="shared" si="2"/>
        <v>n</v>
      </c>
      <c r="B33" s="1557" t="str">
        <f ca="1">IFERROR(INDEX('Error Check'!$F$14:$F$48,MATCH(I33,'Error Check'!$D$14:$D$48,0)),"")</f>
        <v/>
      </c>
      <c r="C33" s="452"/>
      <c r="D33" s="850"/>
      <c r="E33" s="850"/>
      <c r="F33" s="1604"/>
      <c r="G33" s="950" t="str">
        <f t="shared" ca="1" si="1"/>
        <v/>
      </c>
      <c r="H33" s="848"/>
      <c r="I33" s="1623"/>
    </row>
    <row r="34" spans="1:9" ht="20.100000000000001" customHeight="1">
      <c r="A34" s="1557" t="str">
        <f t="shared" si="2"/>
        <v>n</v>
      </c>
      <c r="B34" s="1557" t="str">
        <f ca="1">IFERROR(INDEX('Error Check'!$F$14:$F$48,MATCH(I34,'Error Check'!$D$14:$D$48,0)),"")</f>
        <v/>
      </c>
      <c r="C34" s="452"/>
      <c r="D34" s="850"/>
      <c r="E34" s="850"/>
      <c r="F34" s="1604"/>
      <c r="G34" s="950" t="str">
        <f t="shared" ca="1" si="1"/>
        <v/>
      </c>
      <c r="H34" s="848"/>
      <c r="I34" s="1623"/>
    </row>
    <row r="35" spans="1:9" ht="20.100000000000001" customHeight="1">
      <c r="A35" s="1557" t="str">
        <f t="shared" si="2"/>
        <v>n</v>
      </c>
      <c r="B35" s="1557" t="str">
        <f ca="1">IFERROR(INDEX('Error Check'!$F$14:$F$48,MATCH(I35,'Error Check'!$D$14:$D$48,0)),"")</f>
        <v/>
      </c>
      <c r="C35" s="452"/>
      <c r="D35" s="850"/>
      <c r="E35" s="850"/>
      <c r="F35" s="1604"/>
      <c r="G35" s="950" t="str">
        <f t="shared" ca="1" si="1"/>
        <v/>
      </c>
      <c r="H35" s="848"/>
      <c r="I35" s="1623"/>
    </row>
    <row r="36" spans="1:9" ht="20.100000000000001" customHeight="1">
      <c r="A36" s="1557" t="str">
        <f t="shared" si="2"/>
        <v>n</v>
      </c>
      <c r="B36" s="1557" t="str">
        <f ca="1">IFERROR(INDEX('Error Check'!$F$14:$F$48,MATCH(I36,'Error Check'!$D$14:$D$48,0)),"")</f>
        <v/>
      </c>
      <c r="C36" s="452"/>
      <c r="D36" s="850"/>
      <c r="E36" s="850"/>
      <c r="F36" s="1604"/>
      <c r="G36" s="950" t="str">
        <f t="shared" ca="1" si="1"/>
        <v/>
      </c>
      <c r="H36" s="848"/>
      <c r="I36" s="1623"/>
    </row>
    <row r="37" spans="1:9" s="1530" customFormat="1" ht="20.100000000000001" customHeight="1">
      <c r="A37" s="1557" t="str">
        <f t="shared" si="2"/>
        <v>n</v>
      </c>
      <c r="B37" s="1557" t="str">
        <f ca="1">IFERROR(INDEX('Error Check'!$F$14:$F$48,MATCH(I37,'Error Check'!$D$14:$D$48,0)),"")</f>
        <v/>
      </c>
      <c r="C37" s="452"/>
      <c r="D37" s="850"/>
      <c r="E37" s="850"/>
      <c r="F37" s="1604"/>
      <c r="G37" s="950"/>
      <c r="H37" s="848"/>
      <c r="I37" s="1623"/>
    </row>
    <row r="38" spans="1:9" s="1530" customFormat="1" ht="20.100000000000001" customHeight="1">
      <c r="A38" s="1557" t="str">
        <f t="shared" si="2"/>
        <v>n</v>
      </c>
      <c r="B38" s="1557" t="str">
        <f ca="1">IFERROR(INDEX('Error Check'!$F$14:$F$48,MATCH(I38,'Error Check'!$D$14:$D$48,0)),"")</f>
        <v/>
      </c>
      <c r="C38" s="452"/>
      <c r="D38" s="850"/>
      <c r="E38" s="850"/>
      <c r="F38" s="1604"/>
      <c r="G38" s="950"/>
      <c r="H38" s="848"/>
      <c r="I38" s="1623"/>
    </row>
    <row r="39" spans="1:9" s="1530" customFormat="1" ht="20.100000000000001" customHeight="1">
      <c r="A39" s="1557" t="str">
        <f t="shared" si="2"/>
        <v>n</v>
      </c>
      <c r="B39" s="1557" t="str">
        <f ca="1">IFERROR(INDEX('Error Check'!$F$14:$F$48,MATCH(I39,'Error Check'!$D$14:$D$48,0)),"")</f>
        <v/>
      </c>
      <c r="C39" s="452"/>
      <c r="D39" s="850"/>
      <c r="E39" s="850"/>
      <c r="F39" s="1604"/>
      <c r="G39" s="950"/>
      <c r="H39" s="848"/>
      <c r="I39" s="1623"/>
    </row>
    <row r="40" spans="1:9" s="1530" customFormat="1" ht="20.100000000000001" customHeight="1">
      <c r="A40" s="1557" t="str">
        <f t="shared" si="2"/>
        <v>n</v>
      </c>
      <c r="B40" s="1557" t="str">
        <f ca="1">IFERROR(INDEX('Error Check'!$F$14:$F$48,MATCH(I40,'Error Check'!$D$14:$D$48,0)),"")</f>
        <v/>
      </c>
      <c r="C40" s="452"/>
      <c r="D40" s="850"/>
      <c r="E40" s="850"/>
      <c r="F40" s="1604"/>
      <c r="G40" s="950"/>
      <c r="H40" s="848"/>
      <c r="I40" s="1623"/>
    </row>
    <row r="41" spans="1:9" ht="20.100000000000001" customHeight="1">
      <c r="A41" s="1557" t="str">
        <f t="shared" si="0"/>
        <v>n</v>
      </c>
      <c r="B41" s="1557" t="str">
        <f ca="1">IFERROR(INDEX('Error Check'!$F$14:$F$48,MATCH(I41,'Error Check'!$D$14:$D$48,0)),"")</f>
        <v/>
      </c>
      <c r="C41" s="452"/>
      <c r="D41" s="850"/>
      <c r="E41" s="850"/>
      <c r="F41" s="1604"/>
      <c r="G41" s="950" t="str">
        <f t="shared" ca="1" si="1"/>
        <v/>
      </c>
      <c r="H41" s="848"/>
      <c r="I41" s="1623"/>
    </row>
    <row r="42" spans="1:9" ht="20.100000000000001" customHeight="1">
      <c r="A42" s="1557" t="s">
        <v>17</v>
      </c>
      <c r="B42" s="592"/>
      <c r="C42" s="592"/>
      <c r="D42" s="592" t="s">
        <v>1581</v>
      </c>
      <c r="E42" s="592"/>
      <c r="F42" s="592" t="s">
        <v>1582</v>
      </c>
      <c r="G42" s="848" t="s">
        <v>18</v>
      </c>
      <c r="H42" s="848"/>
      <c r="I42" s="1623" t="s">
        <v>1583</v>
      </c>
    </row>
    <row r="43" spans="1:9" ht="20.100000000000001" customHeight="1">
      <c r="A43" s="2060"/>
      <c r="B43" s="2060"/>
      <c r="C43" s="2060"/>
      <c r="D43" s="2060"/>
      <c r="E43" s="2060"/>
      <c r="F43" s="2060"/>
      <c r="G43" s="2060"/>
      <c r="H43" s="2060"/>
      <c r="I43" s="852"/>
    </row>
    <row r="44" spans="1:9" ht="20.100000000000001" customHeight="1">
      <c r="A44" s="2060"/>
      <c r="B44" s="2060"/>
      <c r="C44" s="2060"/>
      <c r="D44" s="2060"/>
      <c r="E44" s="2060"/>
      <c r="F44" s="2060"/>
      <c r="G44" s="2060"/>
      <c r="H44" s="2060"/>
      <c r="I44" s="852"/>
    </row>
    <row r="45" spans="1:9" ht="20.100000000000001" customHeight="1">
      <c r="A45" s="2060"/>
      <c r="B45" s="2060"/>
      <c r="C45" s="2060"/>
      <c r="D45" s="2060"/>
      <c r="E45" s="2060"/>
      <c r="F45" s="2060"/>
      <c r="G45" s="2060"/>
      <c r="H45" s="2060"/>
      <c r="I45" s="2060"/>
    </row>
    <row r="46" spans="1:9" ht="20.100000000000001" customHeight="1">
      <c r="A46" s="2060"/>
      <c r="B46" s="2060"/>
      <c r="C46" s="2060"/>
      <c r="D46" s="2060"/>
      <c r="E46" s="2060"/>
      <c r="F46" s="2060"/>
      <c r="G46" s="2060"/>
      <c r="H46" s="2060"/>
      <c r="I46" s="2060"/>
    </row>
    <row r="47" spans="1:9" ht="20.100000000000001" customHeight="1">
      <c r="A47" s="2060"/>
      <c r="B47" s="2060"/>
      <c r="C47" s="2060"/>
      <c r="D47" s="2060"/>
      <c r="E47" s="2060"/>
      <c r="F47" s="2060"/>
      <c r="G47" s="2060"/>
      <c r="H47" s="2060"/>
      <c r="I47" s="2060"/>
    </row>
    <row r="48" spans="1:9" ht="20.100000000000001" customHeight="1">
      <c r="A48" s="2060"/>
      <c r="B48" s="2060"/>
      <c r="C48" s="2060"/>
      <c r="D48" s="2060"/>
      <c r="E48" s="2060"/>
      <c r="F48" s="2060"/>
      <c r="G48" s="2060"/>
      <c r="H48" s="2060"/>
      <c r="I48" s="2060"/>
    </row>
    <row r="49" spans="1:9" ht="20.100000000000001" customHeight="1">
      <c r="A49" s="2060"/>
      <c r="B49" s="2060"/>
      <c r="C49" s="2060"/>
      <c r="D49" s="2060"/>
      <c r="E49" s="2060"/>
      <c r="F49" s="2060"/>
      <c r="G49" s="2060"/>
      <c r="H49" s="2060"/>
      <c r="I49" s="2060"/>
    </row>
    <row r="50" spans="1:9" ht="20.100000000000001" customHeight="1">
      <c r="A50" s="2060"/>
      <c r="B50" s="2060"/>
      <c r="C50" s="2060"/>
      <c r="D50" s="2060"/>
      <c r="E50" s="2060"/>
      <c r="F50" s="2060"/>
      <c r="G50" s="2060"/>
      <c r="H50" s="2060"/>
      <c r="I50" s="2060"/>
    </row>
    <row r="51" spans="1:9" s="646" customFormat="1" ht="20.100000000000001" customHeight="1">
      <c r="A51" s="2060"/>
      <c r="B51" s="2060"/>
      <c r="C51" s="2060"/>
      <c r="D51" s="2060"/>
      <c r="E51" s="2060"/>
      <c r="F51" s="2060"/>
      <c r="G51" s="2060"/>
      <c r="H51" s="2060"/>
      <c r="I51" s="2060"/>
    </row>
    <row r="52" spans="1:9" s="646" customFormat="1" ht="20.100000000000001" customHeight="1">
      <c r="A52" s="2060"/>
      <c r="B52" s="2060"/>
      <c r="C52" s="2060"/>
      <c r="D52" s="2060"/>
      <c r="E52" s="2060"/>
      <c r="F52" s="2060"/>
      <c r="G52" s="2060"/>
      <c r="H52" s="2060"/>
      <c r="I52" s="2060"/>
    </row>
    <row r="53" spans="1:9" s="646" customFormat="1" ht="20.100000000000001" customHeight="1">
      <c r="A53" s="2060"/>
      <c r="B53" s="2060"/>
      <c r="C53" s="2060"/>
      <c r="D53" s="2060"/>
      <c r="E53" s="2060"/>
      <c r="F53" s="2060"/>
      <c r="G53" s="2060"/>
      <c r="H53" s="2060"/>
      <c r="I53" s="2060"/>
    </row>
    <row r="54" spans="1:9" s="646" customFormat="1" ht="20.100000000000001" customHeight="1">
      <c r="A54" s="2060"/>
      <c r="B54" s="2060"/>
      <c r="C54" s="2060"/>
      <c r="D54" s="2060"/>
      <c r="E54" s="2060"/>
      <c r="F54" s="2060"/>
      <c r="G54" s="2060"/>
      <c r="H54" s="2060"/>
      <c r="I54" s="2060"/>
    </row>
    <row r="55" spans="1:9" s="646" customFormat="1" ht="20.100000000000001" customHeight="1">
      <c r="A55" s="2060"/>
      <c r="B55" s="2060"/>
      <c r="C55" s="2060"/>
      <c r="D55" s="2060"/>
      <c r="E55" s="2060"/>
      <c r="F55" s="2060"/>
      <c r="G55" s="2060"/>
      <c r="H55" s="2060"/>
      <c r="I55" s="2060"/>
    </row>
    <row r="56" spans="1:9" s="646" customFormat="1" ht="20.100000000000001" customHeight="1">
      <c r="A56" s="2060"/>
      <c r="B56" s="2060"/>
      <c r="C56" s="2060"/>
      <c r="D56" s="2060"/>
      <c r="E56" s="2060"/>
      <c r="F56" s="2060"/>
      <c r="G56" s="2060"/>
      <c r="H56" s="2060"/>
      <c r="I56" s="2060"/>
    </row>
    <row r="57" spans="1:9" s="646" customFormat="1" ht="20.100000000000001" customHeight="1">
      <c r="A57" s="2060"/>
      <c r="B57" s="2060"/>
      <c r="C57" s="2060"/>
      <c r="D57" s="2060"/>
      <c r="E57" s="2060"/>
      <c r="F57" s="2060"/>
      <c r="G57" s="2060"/>
      <c r="H57" s="2060"/>
      <c r="I57" s="2060"/>
    </row>
    <row r="58" spans="1:9" s="646" customFormat="1" ht="20.100000000000001" customHeight="1">
      <c r="A58" s="2060"/>
      <c r="B58" s="2060"/>
      <c r="C58" s="2060"/>
      <c r="D58" s="2060"/>
      <c r="E58" s="2060"/>
      <c r="F58" s="2060"/>
      <c r="G58" s="2060"/>
      <c r="H58" s="2060"/>
      <c r="I58" s="2060"/>
    </row>
    <row r="59" spans="1:9" s="646" customFormat="1" ht="20.100000000000001" customHeight="1">
      <c r="A59" s="2060"/>
      <c r="B59" s="2060"/>
      <c r="C59" s="2060"/>
      <c r="D59" s="2060"/>
      <c r="E59" s="2060"/>
      <c r="F59" s="2060"/>
      <c r="G59" s="2060"/>
      <c r="H59" s="2060"/>
      <c r="I59" s="2060"/>
    </row>
    <row r="60" spans="1:9" s="646" customFormat="1" ht="12" customHeight="1">
      <c r="A60" s="2060"/>
      <c r="B60" s="2060"/>
      <c r="C60" s="2060"/>
      <c r="D60" s="2060"/>
      <c r="E60" s="2060"/>
      <c r="F60" s="2060"/>
      <c r="G60" s="2060"/>
      <c r="H60" s="2060"/>
      <c r="I60" s="2060"/>
    </row>
    <row r="61" spans="1:9" s="646" customFormat="1" ht="12" customHeight="1">
      <c r="A61" s="2060"/>
      <c r="B61" s="2060"/>
      <c r="C61" s="2060"/>
      <c r="D61" s="2060"/>
      <c r="E61" s="2060"/>
      <c r="F61" s="2060"/>
      <c r="G61" s="2060"/>
      <c r="H61" s="2060"/>
      <c r="I61" s="2060"/>
    </row>
    <row r="62" spans="1:9" s="646" customFormat="1" ht="12" customHeight="1">
      <c r="A62" s="2060"/>
      <c r="B62" s="2060"/>
      <c r="C62" s="2060"/>
      <c r="D62" s="2060"/>
      <c r="E62" s="2060"/>
      <c r="F62" s="2060"/>
      <c r="G62" s="2060"/>
      <c r="H62" s="2060"/>
      <c r="I62" s="2060"/>
    </row>
    <row r="63" spans="1:9" s="646" customFormat="1" ht="12" customHeight="1">
      <c r="A63" s="2060"/>
      <c r="B63" s="2060"/>
      <c r="C63" s="2060"/>
      <c r="D63" s="2060"/>
      <c r="E63" s="2060"/>
      <c r="F63" s="2060"/>
      <c r="G63" s="2060"/>
      <c r="H63" s="2060"/>
      <c r="I63" s="2060"/>
    </row>
    <row r="64" spans="1:9" s="646" customFormat="1" ht="12" customHeight="1">
      <c r="A64" s="2060"/>
      <c r="B64" s="2060"/>
      <c r="C64" s="2060"/>
      <c r="D64" s="2060"/>
      <c r="E64" s="2060"/>
      <c r="F64" s="2060"/>
      <c r="G64" s="2060"/>
      <c r="H64" s="2060"/>
      <c r="I64" s="2060"/>
    </row>
    <row r="65" spans="5:9" s="646" customFormat="1" ht="12" customHeight="1">
      <c r="E65" s="2060"/>
      <c r="F65" s="2060"/>
      <c r="G65" s="2060"/>
      <c r="H65" s="2060"/>
      <c r="I65" s="2060"/>
    </row>
    <row r="66" spans="5:9" s="646" customFormat="1" ht="12" customHeight="1">
      <c r="E66" s="2060"/>
      <c r="F66" s="2060"/>
      <c r="G66" s="2060"/>
      <c r="H66" s="2060"/>
      <c r="I66" s="2060"/>
    </row>
    <row r="67" spans="5:9" s="646" customFormat="1" ht="12" customHeight="1">
      <c r="E67" s="2060"/>
      <c r="F67" s="2060"/>
      <c r="G67" s="2060"/>
      <c r="H67" s="2060"/>
      <c r="I67" s="2060"/>
    </row>
    <row r="68" spans="5:9" s="646" customFormat="1" ht="12" customHeight="1">
      <c r="E68" s="2060"/>
      <c r="F68" s="2060"/>
      <c r="G68" s="2060"/>
      <c r="H68" s="2060"/>
      <c r="I68" s="2060"/>
    </row>
    <row r="69" spans="5:9" s="646" customFormat="1" ht="12" customHeight="1">
      <c r="E69" s="2060"/>
      <c r="F69" s="2060"/>
      <c r="G69" s="2060"/>
      <c r="H69" s="2060"/>
      <c r="I69" s="2060"/>
    </row>
    <row r="70" spans="5:9" s="646" customFormat="1" ht="12" customHeight="1">
      <c r="E70" s="2060"/>
      <c r="F70" s="2060"/>
      <c r="G70" s="2060"/>
      <c r="H70" s="2060"/>
      <c r="I70" s="2060"/>
    </row>
    <row r="71" spans="5:9" s="646" customFormat="1" ht="12" customHeight="1">
      <c r="E71" s="2060"/>
      <c r="F71" s="2060"/>
      <c r="G71" s="2060"/>
      <c r="H71" s="2060"/>
      <c r="I71" s="2060"/>
    </row>
    <row r="72" spans="5:9" s="646" customFormat="1" ht="12" customHeight="1">
      <c r="E72" s="2060"/>
      <c r="F72" s="2060"/>
      <c r="G72" s="2060"/>
      <c r="H72" s="2060"/>
      <c r="I72" s="2060"/>
    </row>
    <row r="73" spans="5:9" s="646" customFormat="1" ht="12" customHeight="1">
      <c r="E73" s="2060"/>
      <c r="F73" s="2060"/>
      <c r="G73" s="2060"/>
      <c r="H73" s="2060"/>
      <c r="I73" s="2060"/>
    </row>
    <row r="74" spans="5:9" s="646" customFormat="1" ht="12" customHeight="1">
      <c r="E74" s="2060"/>
      <c r="F74" s="2060"/>
      <c r="G74" s="2060"/>
      <c r="H74" s="2060"/>
      <c r="I74" s="2060"/>
    </row>
    <row r="75" spans="5:9" s="646" customFormat="1" ht="12" customHeight="1">
      <c r="E75" s="2060"/>
      <c r="F75" s="2060"/>
      <c r="G75" s="2060"/>
      <c r="H75" s="2060"/>
      <c r="I75" s="2060"/>
    </row>
    <row r="76" spans="5:9" s="646" customFormat="1" ht="12" customHeight="1">
      <c r="E76" s="2060"/>
      <c r="F76" s="2060"/>
      <c r="G76" s="2060"/>
      <c r="H76" s="2060"/>
      <c r="I76" s="2060"/>
    </row>
    <row r="77" spans="5:9" s="646" customFormat="1" ht="12" customHeight="1">
      <c r="E77" s="2060"/>
      <c r="F77" s="2060"/>
      <c r="G77" s="2060"/>
      <c r="H77" s="2060"/>
      <c r="I77" s="2060"/>
    </row>
    <row r="78" spans="5:9" s="646" customFormat="1" ht="12" customHeight="1">
      <c r="E78" s="2060"/>
      <c r="F78" s="2060"/>
      <c r="G78" s="2060"/>
      <c r="H78" s="2060"/>
      <c r="I78" s="2060"/>
    </row>
    <row r="79" spans="5:9" s="646" customFormat="1" ht="12" customHeight="1">
      <c r="E79" s="2060"/>
      <c r="F79" s="2060"/>
      <c r="G79" s="2060"/>
      <c r="H79" s="2060"/>
      <c r="I79" s="2060"/>
    </row>
    <row r="80" spans="5:9" s="646" customFormat="1" ht="12" customHeight="1">
      <c r="E80" s="2060"/>
      <c r="F80" s="2060"/>
      <c r="G80" s="2060"/>
      <c r="H80" s="2060"/>
      <c r="I80" s="2060"/>
    </row>
    <row r="81" spans="5:9" s="646" customFormat="1" ht="12" customHeight="1">
      <c r="E81" s="2060"/>
      <c r="F81" s="2060"/>
      <c r="G81" s="2060"/>
      <c r="H81" s="2060"/>
      <c r="I81" s="2060"/>
    </row>
    <row r="82" spans="5:9" s="646" customFormat="1" ht="12" customHeight="1">
      <c r="E82" s="2060"/>
      <c r="F82" s="2060"/>
      <c r="G82" s="2060"/>
      <c r="H82" s="2060"/>
      <c r="I82" s="2060"/>
    </row>
    <row r="83" spans="5:9" s="646" customFormat="1" ht="12" customHeight="1">
      <c r="E83" s="2060"/>
      <c r="F83" s="2060"/>
      <c r="G83" s="2060"/>
      <c r="H83" s="2060"/>
      <c r="I83" s="2060"/>
    </row>
    <row r="84" spans="5:9" s="646" customFormat="1" ht="12" customHeight="1">
      <c r="E84" s="2060"/>
      <c r="F84" s="2060"/>
      <c r="G84" s="2060"/>
      <c r="H84" s="2060"/>
      <c r="I84" s="2060"/>
    </row>
    <row r="85" spans="5:9" s="646" customFormat="1" ht="12" customHeight="1">
      <c r="E85" s="2060"/>
      <c r="F85" s="2060"/>
      <c r="G85" s="2060"/>
      <c r="H85" s="2060"/>
      <c r="I85" s="2060"/>
    </row>
    <row r="86" spans="5:9" s="646" customFormat="1" ht="12" customHeight="1">
      <c r="E86" s="2060"/>
      <c r="F86" s="2060"/>
      <c r="G86" s="2060"/>
      <c r="H86" s="2060"/>
      <c r="I86" s="2060"/>
    </row>
    <row r="87" spans="5:9" s="646" customFormat="1" ht="12" customHeight="1">
      <c r="E87" s="2060"/>
      <c r="F87" s="2060"/>
      <c r="G87" s="2060"/>
      <c r="H87" s="2060"/>
      <c r="I87" s="2060"/>
    </row>
    <row r="88" spans="5:9" s="646" customFormat="1" ht="12" customHeight="1">
      <c r="E88" s="2060"/>
      <c r="F88" s="2060"/>
      <c r="G88" s="2060"/>
      <c r="H88" s="2060"/>
      <c r="I88" s="2060"/>
    </row>
    <row r="89" spans="5:9" s="646" customFormat="1" ht="12" customHeight="1">
      <c r="E89" s="2060"/>
      <c r="F89" s="2060"/>
      <c r="G89" s="2060"/>
      <c r="H89" s="2060"/>
      <c r="I89" s="2060"/>
    </row>
    <row r="90" spans="5:9" s="646" customFormat="1" ht="12" customHeight="1">
      <c r="E90" s="2060"/>
      <c r="F90" s="2060"/>
      <c r="G90" s="2060"/>
      <c r="H90" s="2060"/>
      <c r="I90" s="2060"/>
    </row>
    <row r="91" spans="5:9" s="646" customFormat="1" ht="12" customHeight="1">
      <c r="E91" s="2060"/>
      <c r="F91" s="2060"/>
      <c r="G91" s="2060"/>
      <c r="H91" s="2060"/>
      <c r="I91" s="2060"/>
    </row>
    <row r="92" spans="5:9" s="646" customFormat="1" ht="12" customHeight="1">
      <c r="E92" s="2060"/>
      <c r="F92" s="2060"/>
      <c r="G92" s="2060"/>
      <c r="H92" s="2060"/>
      <c r="I92" s="2060"/>
    </row>
    <row r="93" spans="5:9" s="646" customFormat="1" ht="12" customHeight="1">
      <c r="E93" s="2060"/>
      <c r="F93" s="2060"/>
      <c r="G93" s="2060"/>
      <c r="H93" s="2060"/>
      <c r="I93" s="2060"/>
    </row>
    <row r="94" spans="5:9" s="646" customFormat="1" ht="12" customHeight="1">
      <c r="E94" s="2060"/>
      <c r="F94" s="2060"/>
      <c r="G94" s="2060"/>
      <c r="H94" s="2060"/>
      <c r="I94" s="2060"/>
    </row>
    <row r="95" spans="5:9" s="646" customFormat="1" ht="12" customHeight="1">
      <c r="E95" s="2060"/>
      <c r="F95" s="2060"/>
      <c r="G95" s="2060"/>
      <c r="H95" s="2060"/>
      <c r="I95" s="2060"/>
    </row>
    <row r="96" spans="5:9" s="646" customFormat="1" ht="12" customHeight="1">
      <c r="E96" s="2060"/>
      <c r="F96" s="2060"/>
      <c r="G96" s="2060"/>
      <c r="H96" s="2060"/>
      <c r="I96" s="2060"/>
    </row>
    <row r="97" spans="5:9" s="646" customFormat="1" ht="12" customHeight="1">
      <c r="E97" s="2060"/>
      <c r="F97" s="2060"/>
      <c r="G97" s="2060"/>
      <c r="H97" s="2060"/>
      <c r="I97" s="2060"/>
    </row>
    <row r="98" spans="5:9" s="646" customFormat="1" ht="12" customHeight="1">
      <c r="E98" s="2060"/>
      <c r="F98" s="2060"/>
      <c r="G98" s="2060"/>
      <c r="H98" s="2060"/>
      <c r="I98" s="2060"/>
    </row>
    <row r="99" spans="5:9" s="646" customFormat="1" ht="12" customHeight="1">
      <c r="E99" s="2060"/>
      <c r="F99" s="2060"/>
      <c r="G99" s="2060"/>
      <c r="H99" s="2060"/>
      <c r="I99" s="2060"/>
    </row>
    <row r="100" spans="5:9" s="646" customFormat="1" ht="12" customHeight="1">
      <c r="E100" s="2060"/>
      <c r="F100" s="2060"/>
      <c r="G100" s="2060"/>
      <c r="H100" s="2060"/>
      <c r="I100" s="2060"/>
    </row>
    <row r="101" spans="5:9" s="646" customFormat="1" ht="12" customHeight="1">
      <c r="E101" s="2060"/>
      <c r="F101" s="2060"/>
      <c r="G101" s="2060"/>
      <c r="H101" s="2060"/>
      <c r="I101" s="2060"/>
    </row>
    <row r="102" spans="5:9" s="646" customFormat="1" ht="12" customHeight="1">
      <c r="E102" s="2060"/>
      <c r="F102" s="2060"/>
      <c r="G102" s="2060"/>
      <c r="H102" s="2060"/>
      <c r="I102" s="2060"/>
    </row>
    <row r="103" spans="5:9" s="646" customFormat="1" ht="12" customHeight="1">
      <c r="E103" s="2060"/>
      <c r="F103" s="2060"/>
      <c r="G103" s="2060"/>
      <c r="H103" s="2060"/>
      <c r="I103" s="2060"/>
    </row>
    <row r="104" spans="5:9" s="646" customFormat="1" ht="12" customHeight="1">
      <c r="E104" s="2060"/>
      <c r="F104" s="2060"/>
      <c r="G104" s="2060"/>
      <c r="H104" s="2060"/>
      <c r="I104" s="2060"/>
    </row>
    <row r="105" spans="5:9" s="646" customFormat="1" ht="12" customHeight="1">
      <c r="E105" s="2060"/>
      <c r="F105" s="2060"/>
      <c r="G105" s="2060"/>
      <c r="H105" s="2060"/>
      <c r="I105" s="2060"/>
    </row>
    <row r="106" spans="5:9" s="646" customFormat="1" ht="12" customHeight="1">
      <c r="E106" s="2060"/>
      <c r="F106" s="2060"/>
      <c r="G106" s="2060"/>
      <c r="H106" s="2060"/>
      <c r="I106" s="2060"/>
    </row>
    <row r="107" spans="5:9" s="646" customFormat="1" ht="12" customHeight="1">
      <c r="E107" s="2060"/>
      <c r="F107" s="2060"/>
      <c r="G107" s="2060"/>
      <c r="H107" s="2060"/>
      <c r="I107" s="2060"/>
    </row>
    <row r="108" spans="5:9" s="646" customFormat="1" ht="12" customHeight="1">
      <c r="E108" s="2060"/>
      <c r="F108" s="2060"/>
      <c r="G108" s="2060"/>
      <c r="H108" s="2060"/>
      <c r="I108" s="2060"/>
    </row>
    <row r="109" spans="5:9" s="646" customFormat="1" ht="12" customHeight="1">
      <c r="E109" s="2060"/>
      <c r="F109" s="2060"/>
      <c r="G109" s="2060"/>
      <c r="H109" s="2060"/>
      <c r="I109" s="2060"/>
    </row>
    <row r="110" spans="5:9" s="646" customFormat="1" ht="12" customHeight="1">
      <c r="E110" s="2060"/>
      <c r="F110" s="2060"/>
      <c r="G110" s="2060"/>
      <c r="H110" s="2060"/>
      <c r="I110" s="2060"/>
    </row>
    <row r="111" spans="5:9" s="646" customFormat="1" ht="12" customHeight="1">
      <c r="E111" s="2060"/>
      <c r="F111" s="2060"/>
      <c r="G111" s="2060"/>
      <c r="H111" s="2060"/>
      <c r="I111" s="2060"/>
    </row>
    <row r="112" spans="5:9" s="646" customFormat="1" ht="12" customHeight="1">
      <c r="E112" s="2060"/>
      <c r="F112" s="2060"/>
      <c r="G112" s="2060"/>
      <c r="H112" s="2060"/>
      <c r="I112" s="2060"/>
    </row>
    <row r="113" spans="5:9" s="646" customFormat="1" ht="12" customHeight="1">
      <c r="E113" s="2060"/>
      <c r="F113" s="2060"/>
      <c r="G113" s="2060"/>
      <c r="H113" s="2060"/>
      <c r="I113" s="2060"/>
    </row>
    <row r="114" spans="5:9" s="646" customFormat="1" ht="12" customHeight="1">
      <c r="E114" s="2060"/>
      <c r="F114" s="2060"/>
      <c r="G114" s="2060"/>
      <c r="H114" s="2060"/>
      <c r="I114" s="2060"/>
    </row>
    <row r="115" spans="5:9" s="646" customFormat="1" ht="12" customHeight="1">
      <c r="E115" s="2060"/>
      <c r="F115" s="2060"/>
      <c r="G115" s="2060"/>
      <c r="H115" s="2060"/>
      <c r="I115" s="2060"/>
    </row>
    <row r="116" spans="5:9" s="646" customFormat="1" ht="12" customHeight="1">
      <c r="E116" s="2060"/>
      <c r="F116" s="2060"/>
      <c r="G116" s="2060"/>
      <c r="H116" s="2060"/>
      <c r="I116" s="2060"/>
    </row>
    <row r="117" spans="5:9" s="646" customFormat="1" ht="12" customHeight="1">
      <c r="E117" s="2060"/>
      <c r="F117" s="2060"/>
      <c r="G117" s="2060"/>
      <c r="H117" s="2060"/>
      <c r="I117" s="2060"/>
    </row>
    <row r="118" spans="5:9" s="646" customFormat="1" ht="12" customHeight="1">
      <c r="E118" s="2060"/>
      <c r="F118" s="2060"/>
      <c r="G118" s="2060"/>
      <c r="H118" s="2060"/>
      <c r="I118" s="2060"/>
    </row>
    <row r="119" spans="5:9" s="646" customFormat="1" ht="12" customHeight="1">
      <c r="E119" s="2060"/>
      <c r="F119" s="2060"/>
      <c r="G119" s="2060"/>
      <c r="H119" s="2060"/>
      <c r="I119" s="2060"/>
    </row>
    <row r="120" spans="5:9" s="646" customFormat="1" ht="12" customHeight="1">
      <c r="E120" s="2060"/>
      <c r="F120" s="2060"/>
      <c r="G120" s="2060"/>
      <c r="H120" s="2060"/>
      <c r="I120" s="2060"/>
    </row>
    <row r="121" spans="5:9" s="646" customFormat="1" ht="12" customHeight="1">
      <c r="E121" s="2060"/>
      <c r="F121" s="2060"/>
      <c r="G121" s="2060"/>
      <c r="H121" s="2060"/>
      <c r="I121" s="2060"/>
    </row>
    <row r="122" spans="5:9" s="646" customFormat="1" ht="12" customHeight="1">
      <c r="E122" s="2060"/>
      <c r="F122" s="2060"/>
      <c r="G122" s="2060"/>
      <c r="H122" s="2060"/>
      <c r="I122" s="2060"/>
    </row>
    <row r="123" spans="5:9" s="646" customFormat="1" ht="12" customHeight="1">
      <c r="E123" s="2060"/>
      <c r="F123" s="2060"/>
      <c r="G123" s="2060"/>
      <c r="H123" s="2060"/>
      <c r="I123" s="2060"/>
    </row>
    <row r="124" spans="5:9" s="646" customFormat="1" ht="12" customHeight="1">
      <c r="E124" s="2060"/>
      <c r="F124" s="2060"/>
      <c r="G124" s="2060"/>
      <c r="H124" s="2060"/>
      <c r="I124" s="2060"/>
    </row>
    <row r="125" spans="5:9" s="646" customFormat="1" ht="12" customHeight="1">
      <c r="E125" s="2060"/>
      <c r="F125" s="2060"/>
      <c r="G125" s="2060"/>
      <c r="H125" s="2060"/>
      <c r="I125" s="2060"/>
    </row>
    <row r="126" spans="5:9" s="646" customFormat="1" ht="12" customHeight="1">
      <c r="E126" s="2060"/>
      <c r="F126" s="2060"/>
      <c r="G126" s="2060"/>
      <c r="H126" s="2060"/>
      <c r="I126" s="2060"/>
    </row>
    <row r="127" spans="5:9" s="646" customFormat="1" ht="12" customHeight="1">
      <c r="E127" s="2060"/>
      <c r="F127" s="2060"/>
      <c r="G127" s="2060"/>
      <c r="H127" s="2060"/>
      <c r="I127" s="2060"/>
    </row>
    <row r="128" spans="5:9" s="646" customFormat="1" ht="12" customHeight="1">
      <c r="E128" s="2060"/>
      <c r="F128" s="2060"/>
      <c r="G128" s="2060"/>
      <c r="H128" s="2060"/>
      <c r="I128" s="2060"/>
    </row>
    <row r="129" spans="5:9" s="646" customFormat="1" ht="12" customHeight="1">
      <c r="E129" s="2060"/>
      <c r="F129" s="2060"/>
      <c r="G129" s="2060"/>
      <c r="H129" s="2060"/>
      <c r="I129" s="2060"/>
    </row>
    <row r="130" spans="5:9" s="646" customFormat="1" ht="12" customHeight="1">
      <c r="E130" s="2060"/>
      <c r="F130" s="2060"/>
      <c r="G130" s="2060"/>
      <c r="H130" s="2060"/>
      <c r="I130" s="2060"/>
    </row>
    <row r="131" spans="5:9" s="646" customFormat="1" ht="12" customHeight="1">
      <c r="E131" s="2060"/>
      <c r="F131" s="2060"/>
      <c r="G131" s="2060"/>
      <c r="H131" s="2060"/>
      <c r="I131" s="2060"/>
    </row>
    <row r="132" spans="5:9" s="646" customFormat="1" ht="12" customHeight="1">
      <c r="E132" s="2060"/>
      <c r="F132" s="2060"/>
      <c r="G132" s="2060"/>
      <c r="H132" s="2060"/>
      <c r="I132" s="2060"/>
    </row>
    <row r="133" spans="5:9" s="646" customFormat="1" ht="12" customHeight="1">
      <c r="E133" s="2060"/>
      <c r="F133" s="2060"/>
      <c r="G133" s="2060"/>
      <c r="H133" s="2060"/>
      <c r="I133" s="2060"/>
    </row>
    <row r="134" spans="5:9" s="646" customFormat="1" ht="12" customHeight="1">
      <c r="E134" s="2060"/>
      <c r="F134" s="2060"/>
      <c r="G134" s="2060"/>
      <c r="H134" s="2060"/>
      <c r="I134" s="2060"/>
    </row>
    <row r="135" spans="5:9" s="646" customFormat="1" ht="12" customHeight="1">
      <c r="E135" s="2060"/>
      <c r="F135" s="2060"/>
      <c r="G135" s="2060"/>
      <c r="H135" s="2060"/>
      <c r="I135" s="2060"/>
    </row>
    <row r="136" spans="5:9" s="646" customFormat="1" ht="12" customHeight="1">
      <c r="E136" s="2060"/>
      <c r="F136" s="2060"/>
      <c r="G136" s="2060"/>
      <c r="H136" s="2060"/>
      <c r="I136" s="2060"/>
    </row>
    <row r="137" spans="5:9" s="646" customFormat="1" ht="12" customHeight="1">
      <c r="E137" s="2060"/>
      <c r="F137" s="2060"/>
      <c r="G137" s="2060"/>
      <c r="H137" s="2060"/>
      <c r="I137" s="2060"/>
    </row>
    <row r="138" spans="5:9" s="646" customFormat="1" ht="12" customHeight="1">
      <c r="E138" s="2060"/>
      <c r="F138" s="2060"/>
      <c r="G138" s="2060"/>
      <c r="H138" s="2060"/>
      <c r="I138" s="2060"/>
    </row>
    <row r="139" spans="5:9" s="646" customFormat="1" ht="12" customHeight="1">
      <c r="E139" s="2060"/>
      <c r="F139" s="2060"/>
      <c r="G139" s="2060"/>
      <c r="H139" s="2060"/>
      <c r="I139" s="2060"/>
    </row>
    <row r="140" spans="5:9" s="646" customFormat="1" ht="12" customHeight="1">
      <c r="E140" s="2060"/>
      <c r="F140" s="2060"/>
      <c r="G140" s="2060"/>
      <c r="H140" s="2060"/>
      <c r="I140" s="2060"/>
    </row>
    <row r="141" spans="5:9" s="646" customFormat="1" ht="12" customHeight="1">
      <c r="E141" s="2060"/>
      <c r="F141" s="2060"/>
      <c r="G141" s="2060"/>
      <c r="H141" s="2060"/>
      <c r="I141" s="2060"/>
    </row>
    <row r="142" spans="5:9" s="646" customFormat="1" ht="12" customHeight="1">
      <c r="E142" s="2060"/>
      <c r="F142" s="2060"/>
      <c r="G142" s="2060"/>
      <c r="H142" s="2060"/>
      <c r="I142" s="2060"/>
    </row>
    <row r="143" spans="5:9" s="646" customFormat="1" ht="12" customHeight="1">
      <c r="E143" s="2060"/>
      <c r="F143" s="2060"/>
      <c r="G143" s="2060"/>
      <c r="H143" s="2060"/>
      <c r="I143" s="2060"/>
    </row>
    <row r="144" spans="5:9" s="646" customFormat="1" ht="12" customHeight="1">
      <c r="E144" s="2060"/>
      <c r="F144" s="2060"/>
      <c r="G144" s="2060"/>
      <c r="H144" s="2060"/>
      <c r="I144" s="2060"/>
    </row>
    <row r="145" spans="1:9" s="646" customFormat="1" ht="12" customHeight="1">
      <c r="A145" s="2060"/>
      <c r="B145" s="2060"/>
      <c r="C145" s="2060"/>
      <c r="D145" s="2060"/>
      <c r="E145" s="2060"/>
      <c r="F145" s="2060"/>
      <c r="G145" s="2060"/>
      <c r="H145" s="2060"/>
      <c r="I145" s="2060"/>
    </row>
    <row r="146" spans="1:9" s="646" customFormat="1" ht="12" customHeight="1">
      <c r="A146" s="2060"/>
      <c r="B146" s="2060"/>
      <c r="C146" s="2060"/>
      <c r="D146" s="2060"/>
      <c r="E146" s="2060"/>
      <c r="F146" s="2060"/>
      <c r="G146" s="2060"/>
      <c r="H146" s="2060"/>
      <c r="I146" s="2060"/>
    </row>
    <row r="147" spans="1:9" s="646" customFormat="1" ht="12" customHeight="1">
      <c r="A147" s="2060"/>
      <c r="B147" s="2060"/>
      <c r="C147" s="2060"/>
      <c r="D147" s="2060"/>
      <c r="E147" s="2060"/>
      <c r="F147" s="2060"/>
      <c r="G147" s="2060"/>
      <c r="H147" s="2060"/>
      <c r="I147" s="2060"/>
    </row>
    <row r="148" spans="1:9" s="646" customFormat="1" ht="12" customHeight="1">
      <c r="A148" s="2060"/>
      <c r="B148" s="2060"/>
      <c r="C148" s="2060"/>
      <c r="D148" s="2060"/>
      <c r="E148" s="2060"/>
      <c r="F148" s="2060"/>
      <c r="G148" s="2060"/>
      <c r="H148" s="2060"/>
      <c r="I148" s="2060"/>
    </row>
    <row r="149" spans="1:9" s="646" customFormat="1" ht="12" customHeight="1">
      <c r="A149" s="2060"/>
      <c r="B149" s="2060"/>
      <c r="C149" s="2060"/>
      <c r="D149" s="2060"/>
      <c r="E149" s="2060"/>
      <c r="F149" s="2060"/>
      <c r="G149" s="2060"/>
      <c r="H149" s="2060"/>
      <c r="I149" s="2060"/>
    </row>
    <row r="150" spans="1:9" s="646" customFormat="1" ht="12" customHeight="1">
      <c r="A150" s="2060"/>
      <c r="B150" s="2060"/>
      <c r="C150" s="2060"/>
      <c r="D150" s="2060"/>
      <c r="E150" s="2060"/>
      <c r="F150" s="2060"/>
      <c r="G150" s="2060"/>
      <c r="H150" s="2060"/>
      <c r="I150" s="2060"/>
    </row>
    <row r="151" spans="1:9" s="646" customFormat="1" ht="12" customHeight="1">
      <c r="A151" s="2060"/>
      <c r="B151" s="2060"/>
      <c r="C151" s="2060"/>
      <c r="D151" s="2060"/>
      <c r="E151" s="2060"/>
      <c r="F151" s="2060"/>
      <c r="G151" s="2060"/>
      <c r="H151" s="2060"/>
      <c r="I151" s="2060"/>
    </row>
    <row r="152" spans="1:9" s="646" customFormat="1" ht="12" customHeight="1">
      <c r="A152" s="1530"/>
      <c r="B152" s="1530"/>
      <c r="C152" s="1530"/>
      <c r="D152" s="1530"/>
      <c r="E152" s="1530"/>
      <c r="F152" s="1530"/>
      <c r="G152" s="1530"/>
      <c r="H152" s="1530"/>
      <c r="I152" s="1530"/>
    </row>
    <row r="153" spans="1:9" s="646" customFormat="1" ht="12" customHeight="1">
      <c r="A153" s="1530"/>
      <c r="B153" s="1530"/>
      <c r="C153" s="1530"/>
      <c r="D153" s="1530"/>
      <c r="E153" s="1530"/>
      <c r="F153" s="1530"/>
      <c r="G153" s="1530"/>
      <c r="H153" s="1530"/>
      <c r="I153" s="1530"/>
    </row>
    <row r="154" spans="1:9" s="646" customFormat="1" ht="12" customHeight="1">
      <c r="A154" s="1530"/>
      <c r="B154" s="1530"/>
      <c r="C154" s="1530"/>
      <c r="D154" s="1530"/>
      <c r="E154" s="1530"/>
      <c r="F154" s="1530"/>
      <c r="G154" s="1530"/>
      <c r="H154" s="1530"/>
      <c r="I154" s="1530"/>
    </row>
    <row r="155" spans="1:9" s="646" customFormat="1" ht="12" customHeight="1">
      <c r="A155" s="1530"/>
      <c r="B155" s="1530"/>
      <c r="C155" s="1530"/>
      <c r="D155" s="1530"/>
      <c r="E155" s="1530"/>
      <c r="F155" s="1530"/>
      <c r="G155" s="1530"/>
      <c r="H155" s="1530"/>
      <c r="I155" s="1530"/>
    </row>
    <row r="156" spans="1:9" s="646" customFormat="1" ht="12" customHeight="1">
      <c r="A156" s="1530"/>
      <c r="B156" s="1530"/>
      <c r="C156" s="1530"/>
      <c r="D156" s="1530"/>
      <c r="E156" s="1530"/>
      <c r="F156" s="1530"/>
      <c r="G156" s="1530"/>
      <c r="H156" s="1530"/>
      <c r="I156" s="1530"/>
    </row>
    <row r="157" spans="1:9" s="646" customFormat="1" ht="12" customHeight="1">
      <c r="A157" s="1530"/>
      <c r="B157" s="1530"/>
      <c r="C157" s="1530"/>
      <c r="D157" s="1530"/>
      <c r="E157" s="1530"/>
      <c r="F157" s="1530"/>
      <c r="G157" s="1530"/>
      <c r="H157" s="1530"/>
      <c r="I157" s="1530"/>
    </row>
    <row r="158" spans="1:9" s="646" customFormat="1" ht="12" customHeight="1">
      <c r="A158" s="1530"/>
      <c r="B158" s="1530"/>
      <c r="C158" s="1530"/>
      <c r="D158" s="1530"/>
      <c r="E158" s="1530"/>
      <c r="F158" s="1530"/>
      <c r="G158" s="1530"/>
      <c r="H158" s="1530"/>
      <c r="I158" s="1530"/>
    </row>
    <row r="159" spans="1:9" s="646" customFormat="1" ht="12" customHeight="1">
      <c r="A159" s="1530"/>
      <c r="B159" s="1530"/>
      <c r="C159" s="1530"/>
      <c r="D159" s="1530"/>
      <c r="E159" s="1530"/>
      <c r="F159" s="1530"/>
      <c r="G159" s="1530"/>
      <c r="H159" s="1530"/>
      <c r="I159" s="1530"/>
    </row>
    <row r="160" spans="1:9" s="646" customFormat="1" ht="12" customHeight="1">
      <c r="A160" s="1530"/>
      <c r="B160" s="1530"/>
      <c r="C160" s="1530"/>
      <c r="D160" s="1530"/>
      <c r="E160" s="1530"/>
      <c r="F160" s="1530"/>
      <c r="G160" s="1530"/>
      <c r="H160" s="1530"/>
      <c r="I160" s="1530"/>
    </row>
    <row r="161" spans="1:9" s="646" customFormat="1" ht="12" customHeight="1">
      <c r="A161" s="1530"/>
      <c r="B161" s="1530"/>
      <c r="C161" s="1530"/>
      <c r="D161" s="1530"/>
      <c r="E161" s="1530"/>
      <c r="F161" s="1530"/>
      <c r="G161" s="1530"/>
      <c r="H161" s="1530"/>
      <c r="I161" s="1530"/>
    </row>
    <row r="162" spans="1:9" s="646" customFormat="1" ht="12" customHeight="1">
      <c r="A162" s="1530"/>
      <c r="B162" s="1530"/>
      <c r="C162" s="1530"/>
      <c r="D162" s="1530"/>
      <c r="E162" s="1530"/>
      <c r="F162" s="1530"/>
      <c r="G162" s="1530"/>
      <c r="H162" s="1530"/>
      <c r="I162" s="1530"/>
    </row>
    <row r="163" spans="1:9" s="646" customFormat="1" ht="12" customHeight="1">
      <c r="A163" s="1530"/>
      <c r="B163" s="1530"/>
      <c r="C163" s="1530"/>
      <c r="D163" s="1530"/>
      <c r="E163" s="1530"/>
      <c r="F163" s="1530"/>
      <c r="G163" s="1530"/>
      <c r="H163" s="1530"/>
      <c r="I163" s="1530"/>
    </row>
    <row r="164" spans="1:9" s="646" customFormat="1" ht="12" customHeight="1">
      <c r="A164" s="1530"/>
      <c r="B164" s="1530"/>
      <c r="C164" s="1530"/>
      <c r="D164" s="1530"/>
      <c r="E164" s="1530"/>
      <c r="F164" s="1530"/>
      <c r="G164" s="1530"/>
      <c r="H164" s="1530"/>
      <c r="I164" s="1530"/>
    </row>
    <row r="165" spans="1:9" s="646" customFormat="1" ht="12" customHeight="1">
      <c r="A165" s="1530"/>
      <c r="B165" s="1530"/>
      <c r="C165" s="1530"/>
      <c r="D165" s="1530"/>
      <c r="E165" s="1530"/>
      <c r="F165" s="1530"/>
      <c r="G165" s="1530"/>
      <c r="H165" s="1530"/>
      <c r="I165" s="1530"/>
    </row>
    <row r="166" spans="1:9" s="646" customFormat="1" ht="12" customHeight="1">
      <c r="A166" s="1530"/>
      <c r="B166" s="1530"/>
      <c r="C166" s="1530"/>
      <c r="D166" s="1530"/>
      <c r="E166" s="1530"/>
      <c r="F166" s="1530"/>
      <c r="G166" s="1530"/>
      <c r="H166" s="1530"/>
      <c r="I166" s="1530"/>
    </row>
    <row r="167" spans="1:9" s="646" customFormat="1" ht="12" customHeight="1">
      <c r="A167" s="1530"/>
      <c r="B167" s="1530"/>
      <c r="C167" s="1530"/>
      <c r="D167" s="1530"/>
      <c r="E167" s="1530"/>
      <c r="F167" s="1530"/>
      <c r="G167" s="1530"/>
      <c r="H167" s="1530"/>
      <c r="I167" s="1530"/>
    </row>
    <row r="168" spans="1:9" s="646" customFormat="1" ht="12" customHeight="1">
      <c r="A168" s="1530"/>
      <c r="B168" s="1530"/>
      <c r="C168" s="1530"/>
      <c r="D168" s="1530"/>
      <c r="E168" s="1530"/>
      <c r="F168" s="1530"/>
      <c r="G168" s="1530"/>
      <c r="H168" s="1530"/>
      <c r="I168" s="1530"/>
    </row>
    <row r="169" spans="1:9" s="646" customFormat="1" ht="12" customHeight="1">
      <c r="A169" s="1530"/>
      <c r="B169" s="1530"/>
      <c r="C169" s="1530"/>
      <c r="D169" s="1530"/>
      <c r="E169" s="1530"/>
      <c r="F169" s="1530"/>
      <c r="G169" s="1530"/>
      <c r="H169" s="1530"/>
      <c r="I169" s="1530"/>
    </row>
    <row r="170" spans="1:9" s="646" customFormat="1" ht="12" customHeight="1">
      <c r="A170" s="1530"/>
      <c r="B170" s="1530"/>
      <c r="C170" s="1530"/>
      <c r="D170" s="1530"/>
      <c r="E170" s="1530"/>
      <c r="F170" s="1530"/>
      <c r="G170" s="1530"/>
      <c r="H170" s="1530"/>
      <c r="I170" s="1530"/>
    </row>
  </sheetData>
  <autoFilter ref="A1:A192"/>
  <conditionalFormatting sqref="G8:H41">
    <cfRule type="cellIs" dxfId="148" priority="2" operator="notEqual">
      <formula>""</formula>
    </cfRule>
  </conditionalFormatting>
  <conditionalFormatting sqref="G8:H8">
    <cfRule type="cellIs" dxfId="147" priority="1" operator="notEqual">
      <formula>""</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6" manualBreakCount="6">
    <brk id="42" max="16383" man="1"/>
    <brk id="61" max="16383" man="1"/>
    <brk id="69" max="16383" man="1"/>
    <brk id="123" max="16383" man="1"/>
    <brk id="177" max="16383" man="1"/>
    <brk id="231" max="16383" man="1"/>
  </rowBreak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INTEND">
    <tabColor rgb="FFFF00FF"/>
    <pageSetUpPr autoPageBreaks="0"/>
  </sheetPr>
  <dimension ref="A1:A49"/>
  <sheetViews>
    <sheetView showGridLines="0" zoomScale="85" zoomScaleNormal="85" zoomScaleSheetLayoutView="85" workbookViewId="0">
      <selection activeCell="H20" sqref="H20"/>
    </sheetView>
  </sheetViews>
  <sheetFormatPr defaultRowHeight="12" customHeight="1"/>
  <cols>
    <col min="1" max="76" width="12.83203125" customWidth="1"/>
  </cols>
  <sheetData>
    <row r="1" ht="20.100000000000001" customHeight="1"/>
    <row r="2" ht="20.100000000000001" customHeight="1"/>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row r="30" ht="20.100000000000001" customHeight="1"/>
    <row r="31" ht="20.100000000000001" customHeight="1"/>
    <row r="32" ht="20.100000000000001" customHeight="1"/>
    <row r="33" ht="20.100000000000001" customHeight="1"/>
    <row r="34" ht="20.100000000000001" customHeight="1"/>
    <row r="35" ht="20.100000000000001" customHeight="1"/>
    <row r="36" ht="20.100000000000001" customHeight="1"/>
    <row r="37" ht="20.100000000000001" customHeight="1"/>
    <row r="38" ht="20.100000000000001" customHeight="1"/>
    <row r="39" ht="20.100000000000001" customHeight="1"/>
    <row r="40" ht="20.100000000000001" customHeight="1"/>
    <row r="41" ht="20.100000000000001" customHeight="1"/>
    <row r="42" ht="20.100000000000001" customHeight="1"/>
    <row r="43" ht="20.100000000000001" customHeight="1"/>
    <row r="44" ht="20.100000000000001" customHeight="1"/>
    <row r="45" ht="20.100000000000001" customHeight="1"/>
    <row r="46" ht="20.100000000000001" customHeight="1"/>
    <row r="47" ht="20.100000000000001" customHeight="1"/>
    <row r="48" ht="20.100000000000001" customHeight="1"/>
    <row r="49" ht="20.100000000000001" customHeight="1"/>
  </sheetData>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6" manualBreakCount="6">
    <brk id="32" max="16383" man="1"/>
    <brk id="51" max="16383" man="1"/>
    <brk id="59" max="16383" man="1"/>
    <brk id="113" max="16383" man="1"/>
    <brk id="167" max="16383" man="1"/>
    <brk id="221" max="16383"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papers">
    <tabColor theme="4" tint="-0.249977111117893"/>
    <pageSetUpPr autoPageBreaks="0"/>
  </sheetPr>
  <dimension ref="A1:L97"/>
  <sheetViews>
    <sheetView showGridLines="0" zoomScale="85" zoomScaleNormal="85" workbookViewId="0"/>
  </sheetViews>
  <sheetFormatPr defaultColWidth="9.33203125" defaultRowHeight="13.9"/>
  <cols>
    <col min="1" max="1" width="2.83203125" style="362" customWidth="1"/>
    <col min="2" max="2" width="3.83203125" style="362" customWidth="1"/>
    <col min="3" max="11" width="9.33203125" style="362"/>
    <col min="12" max="12" width="129.33203125" style="362" customWidth="1"/>
    <col min="13" max="16384" width="9.33203125" style="362"/>
  </cols>
  <sheetData>
    <row r="1" spans="1:12" ht="18" customHeight="1">
      <c r="A1" s="611"/>
      <c r="L1" s="569" t="s">
        <v>1584</v>
      </c>
    </row>
    <row r="2" spans="1:12" ht="18" customHeight="1"/>
    <row r="3" spans="1:12" ht="18" customHeight="1"/>
    <row r="4" spans="1:12" ht="18" customHeight="1"/>
    <row r="5" spans="1:12">
      <c r="A5" s="1419"/>
    </row>
    <row r="8" spans="1:12">
      <c r="E8" s="362" t="s">
        <v>1585</v>
      </c>
    </row>
    <row r="13" spans="1:12">
      <c r="E13" s="611"/>
    </row>
    <row r="14" spans="1:12">
      <c r="E14" s="611"/>
    </row>
    <row r="15" spans="1:12">
      <c r="E15" s="611"/>
    </row>
    <row r="16" spans="1:12">
      <c r="E16" s="611"/>
    </row>
    <row r="17" spans="1:5">
      <c r="E17" s="611"/>
    </row>
    <row r="18" spans="1:5">
      <c r="E18" s="611"/>
    </row>
    <row r="19" spans="1:5">
      <c r="E19" s="611"/>
    </row>
    <row r="20" spans="1:5">
      <c r="A20" s="1557" t="s">
        <v>17</v>
      </c>
      <c r="E20" s="671"/>
    </row>
    <row r="21" spans="1:5">
      <c r="E21" s="611"/>
    </row>
    <row r="22" spans="1:5">
      <c r="E22" s="611"/>
    </row>
    <row r="23" spans="1:5">
      <c r="E23" s="611"/>
    </row>
    <row r="24" spans="1:5">
      <c r="E24" s="611"/>
    </row>
    <row r="25" spans="1:5">
      <c r="E25" s="611"/>
    </row>
    <row r="26" spans="1:5">
      <c r="E26" s="611"/>
    </row>
    <row r="27" spans="1:5">
      <c r="E27" s="671"/>
    </row>
    <row r="28" spans="1:5">
      <c r="E28" s="611"/>
    </row>
    <row r="29" spans="1:5">
      <c r="E29" s="611"/>
    </row>
    <row r="30" spans="1:5">
      <c r="E30" s="611"/>
    </row>
    <row r="31" spans="1:5">
      <c r="E31" s="611"/>
    </row>
    <row r="32" spans="1:5">
      <c r="E32" s="611"/>
    </row>
    <row r="33" spans="5:5">
      <c r="E33" s="671"/>
    </row>
    <row r="34" spans="5:5">
      <c r="E34" s="611"/>
    </row>
    <row r="35" spans="5:5">
      <c r="E35" s="611"/>
    </row>
    <row r="36" spans="5:5">
      <c r="E36" s="611"/>
    </row>
    <row r="37" spans="5:5">
      <c r="E37" s="611"/>
    </row>
    <row r="38" spans="5:5">
      <c r="E38" s="611"/>
    </row>
    <row r="39" spans="5:5">
      <c r="E39" s="611"/>
    </row>
    <row r="40" spans="5:5">
      <c r="E40" s="611"/>
    </row>
    <row r="41" spans="5:5">
      <c r="E41" s="611"/>
    </row>
    <row r="42" spans="5:5">
      <c r="E42" s="611"/>
    </row>
    <row r="43" spans="5:5">
      <c r="E43" s="611"/>
    </row>
    <row r="44" spans="5:5">
      <c r="E44" s="611"/>
    </row>
    <row r="45" spans="5:5">
      <c r="E45" s="611"/>
    </row>
    <row r="46" spans="5:5">
      <c r="E46" s="611"/>
    </row>
    <row r="47" spans="5:5">
      <c r="E47" s="671"/>
    </row>
    <row r="48" spans="5:5">
      <c r="E48" s="671"/>
    </row>
    <row r="49" spans="5:5">
      <c r="E49" s="671"/>
    </row>
    <row r="50" spans="5:5">
      <c r="E50" s="671"/>
    </row>
    <row r="51" spans="5:5">
      <c r="E51" s="671"/>
    </row>
    <row r="52" spans="5:5">
      <c r="E52" s="671"/>
    </row>
    <row r="53" spans="5:5">
      <c r="E53" s="671"/>
    </row>
    <row r="54" spans="5:5">
      <c r="E54" s="671"/>
    </row>
    <row r="55" spans="5:5">
      <c r="E55" s="671"/>
    </row>
    <row r="56" spans="5:5">
      <c r="E56" s="671"/>
    </row>
    <row r="57" spans="5:5">
      <c r="E57" s="671"/>
    </row>
    <row r="58" spans="5:5">
      <c r="E58" s="671"/>
    </row>
    <row r="59" spans="5:5">
      <c r="E59" s="671"/>
    </row>
    <row r="60" spans="5:5">
      <c r="E60" s="671"/>
    </row>
    <row r="61" spans="5:5">
      <c r="E61" s="671"/>
    </row>
    <row r="62" spans="5:5">
      <c r="E62" s="611"/>
    </row>
    <row r="63" spans="5:5">
      <c r="E63" s="611"/>
    </row>
    <row r="64" spans="5:5">
      <c r="E64" s="671"/>
    </row>
    <row r="65" spans="5:5">
      <c r="E65" s="671"/>
    </row>
    <row r="66" spans="5:5">
      <c r="E66" s="671"/>
    </row>
    <row r="97" spans="12:12">
      <c r="L97" s="1557" t="s">
        <v>18</v>
      </c>
    </row>
  </sheetData>
  <autoFilter ref="A1:A97"/>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20" max="16383" man="1"/>
  </rowBreak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Sheet">
    <tabColor rgb="FF99FF66"/>
    <pageSetUpPr autoPageBreaks="0"/>
  </sheetPr>
  <dimension ref="A1:Y34"/>
  <sheetViews>
    <sheetView showGridLines="0" zoomScale="85" zoomScaleNormal="85" workbookViewId="0"/>
  </sheetViews>
  <sheetFormatPr defaultColWidth="9.33203125" defaultRowHeight="13.9"/>
  <cols>
    <col min="1" max="1" width="2.83203125" style="322" customWidth="1"/>
    <col min="2" max="2" width="3.83203125" style="322" customWidth="1"/>
    <col min="3" max="3" width="37.33203125" style="313" customWidth="1"/>
    <col min="4" max="4" width="2.83203125" style="313" customWidth="1"/>
    <col min="5" max="6" width="2.83203125" style="1513" customWidth="1"/>
    <col min="7" max="7" width="10.5" style="313" customWidth="1"/>
    <col min="8" max="21" width="9.83203125" style="313" customWidth="1"/>
    <col min="22" max="22" width="27.6640625" style="313" customWidth="1"/>
    <col min="23" max="23" width="8.83203125" style="313" customWidth="1"/>
    <col min="24" max="24" width="10" style="313" customWidth="1"/>
    <col min="25" max="16384" width="9.33203125" style="322"/>
  </cols>
  <sheetData>
    <row r="1" spans="1:25" s="292" customFormat="1" ht="18" customHeight="1">
      <c r="A1" s="1510"/>
      <c r="B1" s="961">
        <f ca="1">SUMPRODUCT(--ISERROR($C$1:V53)+COUNTIF($C$1:V53,Fail))</f>
        <v>0</v>
      </c>
      <c r="C1" s="1372" t="str">
        <f>START!$C$1</f>
        <v>Client Name</v>
      </c>
      <c r="V1" s="389" t="s">
        <v>1478</v>
      </c>
      <c r="W1" s="515"/>
    </row>
    <row r="2" spans="1:25" s="292" customFormat="1" ht="18" customHeight="1">
      <c r="A2" s="1510"/>
      <c r="B2" s="961"/>
      <c r="C2" s="1372" t="str">
        <f>START!$C$2</f>
        <v xml:space="preserve">Please enter project description in START worksheet cell G13 </v>
      </c>
      <c r="V2" s="389"/>
      <c r="W2" s="515"/>
    </row>
    <row r="3" spans="1:25" s="369" customFormat="1" ht="18" customHeight="1">
      <c r="A3" s="1510"/>
      <c r="B3" s="1509"/>
      <c r="C3" s="839" t="s">
        <v>1586</v>
      </c>
      <c r="G3" s="1668" t="str">
        <f>IF(TABSetting="Y","","This worksheet is for US engagements only. It is currently not in use because the TABSetting toggle in START!H47 is set to ""N""")</f>
        <v>This worksheet is for US engagements only. It is currently not in use because the TABSetting toggle in START!H47 is set to "N"</v>
      </c>
      <c r="W3" s="515"/>
    </row>
    <row r="4" spans="1:25" s="337" customFormat="1" ht="18" customHeight="1">
      <c r="A4" s="1510"/>
      <c r="B4" s="1509"/>
      <c r="C4" s="840" t="str">
        <f>ValDateHeading</f>
        <v>Estimation of value as of 28 February 2017</v>
      </c>
      <c r="D4" s="2062"/>
      <c r="E4" s="2062"/>
      <c r="F4" s="2062"/>
      <c r="G4" s="2062"/>
      <c r="H4" s="2062"/>
      <c r="I4" s="2062"/>
      <c r="J4" s="2062"/>
      <c r="K4" s="2062"/>
      <c r="L4" s="2062"/>
      <c r="M4" s="2062"/>
      <c r="N4" s="2062"/>
      <c r="O4" s="2062"/>
      <c r="P4" s="2062"/>
      <c r="Q4" s="2062"/>
      <c r="R4" s="2062"/>
      <c r="S4" s="2062"/>
      <c r="T4" s="2062"/>
      <c r="U4" s="2062"/>
      <c r="V4" s="2062"/>
      <c r="W4" s="516"/>
      <c r="X4" s="2062"/>
      <c r="Y4" s="2062"/>
    </row>
    <row r="5" spans="1:25" ht="18" customHeight="1">
      <c r="A5" s="1417"/>
      <c r="B5" s="1509"/>
      <c r="C5" s="770" t="str">
        <f>OutputCurrencyLabel</f>
        <v>(USD in Millions)</v>
      </c>
      <c r="D5" s="386"/>
      <c r="E5" s="386"/>
      <c r="F5" s="386"/>
      <c r="G5" s="386"/>
      <c r="H5" s="386"/>
      <c r="I5" s="386"/>
      <c r="J5" s="386"/>
      <c r="K5" s="386"/>
      <c r="L5" s="386"/>
      <c r="M5" s="386"/>
      <c r="N5" s="386"/>
      <c r="O5" s="386"/>
      <c r="P5" s="1513"/>
      <c r="Q5" s="1513"/>
      <c r="R5" s="1513"/>
      <c r="S5" s="1513"/>
      <c r="T5" s="1513"/>
      <c r="U5" s="1513"/>
      <c r="V5" s="1513"/>
      <c r="W5" s="238"/>
      <c r="X5" s="1513"/>
      <c r="Y5" s="1506"/>
    </row>
    <row r="6" spans="1:25" ht="15.6">
      <c r="A6" s="1510"/>
      <c r="B6" s="1509"/>
      <c r="C6" s="415"/>
      <c r="D6" s="1520"/>
      <c r="E6" s="1520"/>
      <c r="F6" s="1520"/>
      <c r="G6" s="1520"/>
      <c r="H6" s="1520"/>
      <c r="I6" s="1520"/>
      <c r="J6" s="1520"/>
      <c r="K6" s="1520"/>
      <c r="L6" s="1520"/>
      <c r="M6" s="1520"/>
      <c r="N6" s="1520"/>
      <c r="O6" s="1520"/>
      <c r="P6" s="1520"/>
      <c r="Q6" s="1520"/>
      <c r="R6" s="1520"/>
      <c r="S6" s="1520"/>
      <c r="T6" s="1520"/>
      <c r="U6" s="1520"/>
      <c r="V6" s="1520"/>
      <c r="W6" s="1519"/>
      <c r="X6" s="1513"/>
      <c r="Y6" s="1506"/>
    </row>
    <row r="7" spans="1:25">
      <c r="A7" s="1510"/>
      <c r="B7" s="1509"/>
      <c r="C7" s="1520"/>
      <c r="D7" s="1520"/>
      <c r="E7" s="1520"/>
      <c r="F7" s="1520"/>
      <c r="G7" s="1054">
        <f>Valuation_date</f>
        <v>42794</v>
      </c>
      <c r="H7" s="1520"/>
      <c r="I7" s="1520"/>
      <c r="J7" s="1520"/>
      <c r="K7" s="1520"/>
      <c r="L7" s="1520"/>
      <c r="M7" s="1520"/>
      <c r="N7" s="1520"/>
      <c r="O7" s="1520"/>
      <c r="P7" s="1520"/>
      <c r="Q7" s="1520"/>
      <c r="R7" s="1520"/>
      <c r="S7" s="1520"/>
      <c r="T7" s="1520"/>
      <c r="U7" s="1520"/>
      <c r="V7" s="1520"/>
      <c r="W7" s="1519"/>
      <c r="X7" s="387"/>
      <c r="Y7" s="1506"/>
    </row>
    <row r="8" spans="1:25">
      <c r="A8" s="1510"/>
      <c r="B8" s="1509"/>
      <c r="C8" s="416" t="s">
        <v>1587</v>
      </c>
      <c r="D8" s="416"/>
      <c r="E8" s="416"/>
      <c r="F8" s="416"/>
      <c r="G8" s="1208">
        <f ca="1">DCF!G56</f>
        <v>0</v>
      </c>
      <c r="H8" s="418"/>
      <c r="I8" s="419"/>
      <c r="J8" s="418"/>
      <c r="K8" s="418"/>
      <c r="L8" s="420"/>
      <c r="M8" s="421"/>
      <c r="N8" s="421"/>
      <c r="O8" s="421"/>
      <c r="P8" s="421"/>
      <c r="Q8" s="421"/>
      <c r="R8" s="421"/>
      <c r="S8" s="421"/>
      <c r="T8" s="421"/>
      <c r="U8" s="421"/>
      <c r="V8" s="421"/>
      <c r="W8" s="517"/>
      <c r="X8" s="1520"/>
      <c r="Y8" s="1506"/>
    </row>
    <row r="9" spans="1:25">
      <c r="A9" s="1510"/>
      <c r="B9" s="1509"/>
      <c r="C9" s="416" t="s">
        <v>1588</v>
      </c>
      <c r="D9" s="416"/>
      <c r="E9" s="416"/>
      <c r="F9" s="416"/>
      <c r="G9" s="417">
        <f>IF(TABSetting="Y",-'BAL SHEET Hist Input'!K$59,0)</f>
        <v>0</v>
      </c>
      <c r="H9" s="416"/>
      <c r="I9" s="417"/>
      <c r="J9" s="422"/>
      <c r="K9" s="422"/>
      <c r="L9" s="420"/>
      <c r="M9" s="421"/>
      <c r="N9" s="421"/>
      <c r="O9" s="421"/>
      <c r="P9" s="421"/>
      <c r="Q9" s="421"/>
      <c r="R9" s="421"/>
      <c r="S9" s="421"/>
      <c r="T9" s="421"/>
      <c r="U9" s="421"/>
      <c r="V9" s="421"/>
      <c r="W9" s="517"/>
      <c r="X9" s="1520"/>
      <c r="Y9" s="1506"/>
    </row>
    <row r="10" spans="1:25" s="412" customFormat="1">
      <c r="A10" s="1510"/>
      <c r="B10" s="423"/>
      <c r="C10" s="416" t="s">
        <v>1589</v>
      </c>
      <c r="D10" s="421"/>
      <c r="E10" s="421"/>
      <c r="F10" s="421"/>
      <c r="G10" s="421">
        <f>IF(TABSetting="Y",-'BAL SHEET Hist Input'!$K$11,0)</f>
        <v>0</v>
      </c>
      <c r="H10" s="416"/>
      <c r="I10" s="424"/>
      <c r="J10" s="425"/>
      <c r="K10" s="422"/>
      <c r="L10" s="420"/>
      <c r="M10" s="421"/>
      <c r="N10" s="421"/>
      <c r="O10" s="421"/>
      <c r="P10" s="421"/>
      <c r="Q10" s="421"/>
      <c r="R10" s="421"/>
      <c r="S10" s="421"/>
      <c r="T10" s="421"/>
      <c r="U10" s="421"/>
      <c r="V10" s="421"/>
      <c r="W10" s="517"/>
      <c r="X10" s="1520"/>
    </row>
    <row r="11" spans="1:25">
      <c r="A11" s="1510"/>
      <c r="B11" s="1509"/>
      <c r="C11" s="416" t="s">
        <v>1590</v>
      </c>
      <c r="D11" s="416"/>
      <c r="E11" s="416"/>
      <c r="F11" s="416"/>
      <c r="G11" s="417">
        <f>IF(TABSetting="Y",-('BAL SHEET Hist Input'!$K$20),0)</f>
        <v>0</v>
      </c>
      <c r="H11" s="416"/>
      <c r="I11" s="416"/>
      <c r="J11" s="416"/>
      <c r="K11" s="416"/>
      <c r="L11" s="420"/>
      <c r="M11" s="421"/>
      <c r="N11" s="421"/>
      <c r="O11" s="421"/>
      <c r="P11" s="421"/>
      <c r="Q11" s="421"/>
      <c r="R11" s="421"/>
      <c r="S11" s="421"/>
      <c r="T11" s="421"/>
      <c r="U11" s="421"/>
      <c r="V11" s="421"/>
      <c r="W11" s="517"/>
      <c r="X11" s="1520"/>
      <c r="Y11" s="1506"/>
    </row>
    <row r="12" spans="1:25">
      <c r="A12" s="1510"/>
      <c r="B12" s="1509"/>
      <c r="C12" s="1203" t="s">
        <v>1591</v>
      </c>
      <c r="D12" s="1203"/>
      <c r="E12" s="1203"/>
      <c r="F12" s="1203"/>
      <c r="G12" s="1314">
        <f ca="1">SUM(G8:G11)</f>
        <v>0</v>
      </c>
      <c r="H12" s="416"/>
      <c r="I12" s="417"/>
      <c r="J12" s="422"/>
      <c r="K12" s="422"/>
      <c r="L12" s="420"/>
      <c r="M12" s="421"/>
      <c r="N12" s="421"/>
      <c r="O12" s="421"/>
      <c r="P12" s="421"/>
      <c r="Q12" s="421"/>
      <c r="R12" s="421"/>
      <c r="S12" s="421"/>
      <c r="T12" s="421"/>
      <c r="U12" s="421"/>
      <c r="V12" s="421"/>
      <c r="W12" s="517"/>
      <c r="X12" s="1520"/>
      <c r="Y12" s="1506"/>
    </row>
    <row r="13" spans="1:25">
      <c r="A13" s="1510"/>
      <c r="B13" s="1509"/>
      <c r="C13" s="416" t="s">
        <v>1592</v>
      </c>
      <c r="D13" s="416"/>
      <c r="E13" s="416"/>
      <c r="F13" s="416"/>
      <c r="G13" s="2180">
        <v>10</v>
      </c>
      <c r="H13" s="416"/>
      <c r="I13" s="417"/>
      <c r="J13" s="422"/>
      <c r="K13" s="422"/>
      <c r="L13" s="420"/>
      <c r="M13" s="421"/>
      <c r="N13" s="421"/>
      <c r="O13" s="421"/>
      <c r="P13" s="421"/>
      <c r="Q13" s="421"/>
      <c r="R13" s="421"/>
      <c r="S13" s="421"/>
      <c r="T13" s="421"/>
      <c r="U13" s="421"/>
      <c r="V13" s="421"/>
      <c r="W13" s="517"/>
      <c r="X13" s="1520"/>
      <c r="Y13" s="1506"/>
    </row>
    <row r="14" spans="1:25">
      <c r="A14" s="1510"/>
      <c r="B14" s="1509"/>
      <c r="C14" s="416"/>
      <c r="D14" s="416"/>
      <c r="E14" s="416"/>
      <c r="F14" s="416"/>
      <c r="G14" s="617"/>
      <c r="H14" s="416"/>
      <c r="I14" s="417"/>
      <c r="J14" s="422"/>
      <c r="K14" s="422"/>
      <c r="L14" s="420"/>
      <c r="M14" s="421"/>
      <c r="N14" s="421"/>
      <c r="O14" s="421"/>
      <c r="P14" s="421"/>
      <c r="Q14" s="421"/>
      <c r="R14" s="421"/>
      <c r="S14" s="421"/>
      <c r="T14" s="421"/>
      <c r="U14" s="421"/>
      <c r="V14" s="421"/>
      <c r="W14" s="517"/>
      <c r="X14" s="1520"/>
      <c r="Y14" s="1506"/>
    </row>
    <row r="15" spans="1:25">
      <c r="A15" s="1510" t="s">
        <v>17</v>
      </c>
      <c r="B15" s="1509"/>
      <c r="C15" s="739"/>
      <c r="D15" s="739"/>
      <c r="E15" s="739"/>
      <c r="F15" s="739"/>
      <c r="G15" s="751">
        <v>1</v>
      </c>
      <c r="H15" s="728">
        <f t="shared" ref="H15:Q15" si="0">1+G15</f>
        <v>2</v>
      </c>
      <c r="I15" s="728">
        <f t="shared" si="0"/>
        <v>3</v>
      </c>
      <c r="J15" s="728">
        <f t="shared" si="0"/>
        <v>4</v>
      </c>
      <c r="K15" s="728">
        <f t="shared" si="0"/>
        <v>5</v>
      </c>
      <c r="L15" s="728">
        <f t="shared" si="0"/>
        <v>6</v>
      </c>
      <c r="M15" s="728">
        <f t="shared" si="0"/>
        <v>7</v>
      </c>
      <c r="N15" s="728">
        <f t="shared" si="0"/>
        <v>8</v>
      </c>
      <c r="O15" s="728">
        <f t="shared" si="0"/>
        <v>9</v>
      </c>
      <c r="P15" s="728">
        <f t="shared" si="0"/>
        <v>10</v>
      </c>
      <c r="Q15" s="728">
        <f t="shared" si="0"/>
        <v>11</v>
      </c>
      <c r="R15" s="728">
        <f>1+Q15</f>
        <v>12</v>
      </c>
      <c r="S15" s="728">
        <f>1+R15</f>
        <v>13</v>
      </c>
      <c r="T15" s="728">
        <f>1+S15</f>
        <v>14</v>
      </c>
      <c r="U15" s="728">
        <f>1+T15</f>
        <v>15</v>
      </c>
      <c r="V15" s="420"/>
      <c r="W15" s="517"/>
      <c r="X15" s="420"/>
      <c r="Y15" s="420"/>
    </row>
    <row r="16" spans="1:25">
      <c r="A16" s="1510"/>
      <c r="B16" s="1509"/>
      <c r="C16" s="1280" t="s">
        <v>1593</v>
      </c>
      <c r="D16" s="1280"/>
      <c r="E16" s="1280"/>
      <c r="F16" s="1280"/>
      <c r="G16" s="1655">
        <f>'PFI Inputs'!G26</f>
        <v>42825</v>
      </c>
      <c r="H16" s="1656">
        <f t="shared" ref="H16:U16" si="1">EOMONTH(G16,12)</f>
        <v>43190</v>
      </c>
      <c r="I16" s="1656">
        <f t="shared" si="1"/>
        <v>43555</v>
      </c>
      <c r="J16" s="1656">
        <f t="shared" si="1"/>
        <v>43921</v>
      </c>
      <c r="K16" s="1656">
        <f t="shared" si="1"/>
        <v>44286</v>
      </c>
      <c r="L16" s="1656">
        <f t="shared" si="1"/>
        <v>44651</v>
      </c>
      <c r="M16" s="1656">
        <f t="shared" si="1"/>
        <v>45016</v>
      </c>
      <c r="N16" s="1656">
        <f t="shared" si="1"/>
        <v>45382</v>
      </c>
      <c r="O16" s="1656">
        <f t="shared" si="1"/>
        <v>45747</v>
      </c>
      <c r="P16" s="1656">
        <f t="shared" si="1"/>
        <v>46112</v>
      </c>
      <c r="Q16" s="1656">
        <f t="shared" si="1"/>
        <v>46477</v>
      </c>
      <c r="R16" s="1656">
        <f t="shared" si="1"/>
        <v>46843</v>
      </c>
      <c r="S16" s="1656">
        <f t="shared" si="1"/>
        <v>47208</v>
      </c>
      <c r="T16" s="1656">
        <f t="shared" si="1"/>
        <v>47573</v>
      </c>
      <c r="U16" s="1656">
        <f t="shared" si="1"/>
        <v>47938</v>
      </c>
      <c r="V16" s="420"/>
      <c r="W16" s="517"/>
      <c r="X16" s="420"/>
      <c r="Y16" s="420"/>
    </row>
    <row r="17" spans="1:25">
      <c r="A17" s="1510"/>
      <c r="B17" s="1509"/>
      <c r="C17" s="416"/>
      <c r="D17" s="416"/>
      <c r="E17" s="416"/>
      <c r="F17" s="416"/>
      <c r="G17" s="416"/>
      <c r="H17" s="416"/>
      <c r="I17" s="416"/>
      <c r="J17" s="416"/>
      <c r="K17" s="416"/>
      <c r="L17" s="420"/>
      <c r="M17" s="420"/>
      <c r="N17" s="420"/>
      <c r="O17" s="420"/>
      <c r="P17" s="420"/>
      <c r="Q17" s="420"/>
      <c r="R17" s="420"/>
      <c r="S17" s="420"/>
      <c r="T17" s="420"/>
      <c r="U17" s="420"/>
      <c r="V17" s="420"/>
      <c r="W17" s="517"/>
      <c r="X17" s="420"/>
      <c r="Y17" s="420"/>
    </row>
    <row r="18" spans="1:25">
      <c r="A18" s="1510"/>
      <c r="B18" s="1509"/>
      <c r="C18" s="416" t="s">
        <v>1594</v>
      </c>
      <c r="D18" s="416"/>
      <c r="E18" s="416"/>
      <c r="F18" s="416"/>
      <c r="G18" s="542">
        <f ca="1">MAX($G$12,0)/$G$13*StubWt</f>
        <v>0</v>
      </c>
      <c r="H18" s="542">
        <f ca="1">IF(H$15&gt;TabAmort,0,IF($G$12&gt;0,MIN(MAX($G$12,0)/$G$13,$G$12-SUM($G18:G18)),0))</f>
        <v>0</v>
      </c>
      <c r="I18" s="542">
        <f ca="1">IF(I$15&gt;TabAmort,0,IF($G$12&gt;0,MIN(MAX($G$12,0)/$G$13,$G$12-SUM($G18:H18)),0))</f>
        <v>0</v>
      </c>
      <c r="J18" s="542">
        <f ca="1">IF(J$15&gt;TabAmort,0,IF($G$12&gt;0,MIN(MAX($G$12,0)/$G$13,$G$12-SUM($G18:I18)),0))</f>
        <v>0</v>
      </c>
      <c r="K18" s="542">
        <f ca="1">IF(K$15&gt;TabAmort,0,IF($G$12&gt;0,MIN(MAX($G$12,0)/$G$13,$G$12-SUM($G18:J18)),0))</f>
        <v>0</v>
      </c>
      <c r="L18" s="542">
        <f ca="1">IF(L$15&gt;TabAmort,0,IF($G$12&gt;0,MIN(MAX($G$12,0)/$G$13,$G$12-SUM($G18:K18)),0))</f>
        <v>0</v>
      </c>
      <c r="M18" s="542">
        <f ca="1">IF(M$15&gt;TabAmort,0,IF($G$12&gt;0,MIN(MAX($G$12,0)/$G$13,$G$12-SUM($G18:L18)),0))</f>
        <v>0</v>
      </c>
      <c r="N18" s="542">
        <f ca="1">IF(N$15&gt;TabAmort,0,IF($G$12&gt;0,MIN(MAX($G$12,0)/$G$13,$G$12-SUM($G18:M18)),0))</f>
        <v>0</v>
      </c>
      <c r="O18" s="542">
        <f ca="1">IF(O$15&gt;TabAmort,0,IF($G$12&gt;0,MIN(MAX($G$12,0)/$G$13,$G$12-SUM($G18:N18)),0))</f>
        <v>0</v>
      </c>
      <c r="P18" s="542">
        <f ca="1">IF(P$15&gt;TabAmort,0,IF($G$12&gt;0,MIN(MAX($G$12,0)/$G$13,$G$12-SUM($G18:O18)),0))</f>
        <v>0</v>
      </c>
      <c r="Q18" s="542">
        <f>IF(Q$15&gt;TabAmort,0,IF($G$12&gt;0,MIN(MAX($G$12,0)/$G$13,$G$12-SUM($G18:P18)),0))</f>
        <v>0</v>
      </c>
      <c r="R18" s="542">
        <f>IF(R$15&gt;TabAmort,0,IF($G$12&gt;0,MIN(MAX($G$12,0)/$G$13,$G$12-SUM($G18:Q18)),0))</f>
        <v>0</v>
      </c>
      <c r="S18" s="542">
        <f>IF(S$15&gt;TabAmort,0,IF($G$12&gt;0,MIN(MAX($G$12,0)/$G$13,$G$12-SUM($G18:R18)),0))</f>
        <v>0</v>
      </c>
      <c r="T18" s="542">
        <f>IF(T$15&gt;TabAmort,0,IF($G$12&gt;0,MIN(MAX($G$12,0)/$G$13,$G$12-SUM($G18:S18)),0))</f>
        <v>0</v>
      </c>
      <c r="U18" s="542">
        <f>IF(U$15&gt;TabAmort,0,IF($G$12&gt;0,MIN(MAX($G$12,0)/$G$13,$G$12-SUM($G18:T18)),0))</f>
        <v>0</v>
      </c>
      <c r="V18" s="420"/>
      <c r="W18" s="517"/>
      <c r="X18" s="420"/>
      <c r="Y18" s="420"/>
    </row>
    <row r="19" spans="1:25">
      <c r="A19" s="1510"/>
      <c r="B19" s="1509"/>
      <c r="C19" s="416" t="s">
        <v>933</v>
      </c>
      <c r="D19" s="416"/>
      <c r="E19" s="416"/>
      <c r="F19" s="416"/>
      <c r="G19" s="426">
        <f>IF(G15&gt;TabAmort,0,IF(G15&gt;NoOfPFIYrs,D19,'PFI Inputs'!G91))</f>
        <v>0</v>
      </c>
      <c r="H19" s="426">
        <f>IF(H15&gt;TabAmort,0,IF(H15&gt;NoOfPFIYrs,G19,'PFI Inputs'!H91))</f>
        <v>0</v>
      </c>
      <c r="I19" s="426">
        <f>IF(I15&gt;TabAmort,0,IF(I15&gt;NoOfPFIYrs,H19,'PFI Inputs'!I91))</f>
        <v>0</v>
      </c>
      <c r="J19" s="426">
        <f>IF(J15&gt;TabAmort,0,IF(J15&gt;NoOfPFIYrs,I19,'PFI Inputs'!J91))</f>
        <v>0</v>
      </c>
      <c r="K19" s="426">
        <f>IF(K15&gt;TabAmort,0,IF(K15&gt;NoOfPFIYrs,J19,'PFI Inputs'!K91))</f>
        <v>0</v>
      </c>
      <c r="L19" s="426">
        <f>IF(L15&gt;TabAmort,0,IF(L15&gt;NoOfPFIYrs,K19,'PFI Inputs'!L91))</f>
        <v>0</v>
      </c>
      <c r="M19" s="426">
        <f>IF(M15&gt;TabAmort,0,IF(M15&gt;NoOfPFIYrs,L19,'PFI Inputs'!M91))</f>
        <v>0</v>
      </c>
      <c r="N19" s="426">
        <f>IF(N15&gt;TabAmort,0,IF(N15&gt;NoOfPFIYrs,M19,'PFI Inputs'!N91))</f>
        <v>0</v>
      </c>
      <c r="O19" s="426">
        <f>IF(O15&gt;TabAmort,0,IF(O15&gt;NoOfPFIYrs,N19,'PFI Inputs'!O91))</f>
        <v>0</v>
      </c>
      <c r="P19" s="426">
        <f>IF(P15&gt;TabAmort,0,IF(P15&gt;NoOfPFIYrs,O19,'PFI Inputs'!P91))</f>
        <v>0</v>
      </c>
      <c r="Q19" s="426">
        <f>IF(Q15&gt;TabAmort,0,IF(Q15&gt;NoOfPFIYrs,P19,'PFI Inputs'!Q91))</f>
        <v>0</v>
      </c>
      <c r="R19" s="426">
        <f>IF(R15&gt;TabAmort,0,IF(R15&gt;NoOfPFIYrs,Q19,'PFI Inputs'!T91))</f>
        <v>0</v>
      </c>
      <c r="S19" s="426">
        <f>IF(S15&gt;TabAmort,0,IF(S15&gt;NoOfPFIYrs,R19,'PFI Inputs'!U91))</f>
        <v>0</v>
      </c>
      <c r="T19" s="426">
        <f>IF(T15&gt;TabAmort,0,IF(T15&gt;NoOfPFIYrs,S19,'PFI Inputs'!V91))</f>
        <v>0</v>
      </c>
      <c r="U19" s="426">
        <f>IF(U15&gt;TabAmort,0,IF(U15&gt;NoOfPFIYrs,T19,'PFI Inputs'!W91))</f>
        <v>0</v>
      </c>
      <c r="V19" s="420"/>
      <c r="W19" s="517"/>
      <c r="X19" s="420"/>
      <c r="Y19" s="420"/>
    </row>
    <row r="20" spans="1:25">
      <c r="A20" s="1510"/>
      <c r="B20" s="1509"/>
      <c r="C20" s="416"/>
      <c r="D20" s="416"/>
      <c r="E20" s="416"/>
      <c r="F20" s="416"/>
      <c r="G20" s="427"/>
      <c r="H20" s="416"/>
      <c r="I20" s="416"/>
      <c r="J20" s="416"/>
      <c r="K20" s="416"/>
      <c r="L20" s="420"/>
      <c r="M20" s="420"/>
      <c r="N20" s="420"/>
      <c r="O20" s="420"/>
      <c r="P20" s="420"/>
      <c r="Q20" s="420"/>
      <c r="R20" s="420"/>
      <c r="S20" s="420"/>
      <c r="T20" s="420"/>
      <c r="U20" s="420"/>
      <c r="V20" s="420"/>
      <c r="W20" s="517"/>
      <c r="X20" s="420"/>
      <c r="Y20" s="420"/>
    </row>
    <row r="21" spans="1:25">
      <c r="A21" s="1510"/>
      <c r="B21" s="1509"/>
      <c r="C21" s="416" t="s">
        <v>1595</v>
      </c>
      <c r="D21" s="416"/>
      <c r="E21" s="416"/>
      <c r="F21" s="416"/>
      <c r="G21" s="542">
        <f t="shared" ref="G21:U21" ca="1" si="2">G18*G19</f>
        <v>0</v>
      </c>
      <c r="H21" s="542">
        <f t="shared" ca="1" si="2"/>
        <v>0</v>
      </c>
      <c r="I21" s="542">
        <f t="shared" ca="1" si="2"/>
        <v>0</v>
      </c>
      <c r="J21" s="542">
        <f t="shared" ca="1" si="2"/>
        <v>0</v>
      </c>
      <c r="K21" s="542">
        <f t="shared" ca="1" si="2"/>
        <v>0</v>
      </c>
      <c r="L21" s="542">
        <f t="shared" ca="1" si="2"/>
        <v>0</v>
      </c>
      <c r="M21" s="542">
        <f t="shared" ca="1" si="2"/>
        <v>0</v>
      </c>
      <c r="N21" s="542">
        <f t="shared" ca="1" si="2"/>
        <v>0</v>
      </c>
      <c r="O21" s="542">
        <f t="shared" ca="1" si="2"/>
        <v>0</v>
      </c>
      <c r="P21" s="542">
        <f t="shared" ca="1" si="2"/>
        <v>0</v>
      </c>
      <c r="Q21" s="542">
        <f t="shared" si="2"/>
        <v>0</v>
      </c>
      <c r="R21" s="542">
        <f t="shared" si="2"/>
        <v>0</v>
      </c>
      <c r="S21" s="542">
        <f t="shared" si="2"/>
        <v>0</v>
      </c>
      <c r="T21" s="542">
        <f t="shared" si="2"/>
        <v>0</v>
      </c>
      <c r="U21" s="542">
        <f t="shared" si="2"/>
        <v>0</v>
      </c>
      <c r="V21" s="420"/>
      <c r="W21" s="517"/>
      <c r="X21" s="420"/>
      <c r="Y21" s="420"/>
    </row>
    <row r="22" spans="1:25">
      <c r="A22" s="1510"/>
      <c r="B22" s="1509"/>
      <c r="C22" s="416" t="s">
        <v>1596</v>
      </c>
      <c r="D22" s="416"/>
      <c r="E22" s="416"/>
      <c r="F22" s="416"/>
      <c r="G22" s="428">
        <f>START!G73</f>
        <v>4.2465753424657533E-2</v>
      </c>
      <c r="H22" s="428">
        <f>IF(H$15&gt;TabAmort,0,IF(START!H73=0,G22+1,START!H73))</f>
        <v>0.58493150684931505</v>
      </c>
      <c r="I22" s="428">
        <f>IF(I$15&gt;TabAmort,0,IF(START!I73=0,H22+1,START!I73))</f>
        <v>1.5849315068493151</v>
      </c>
      <c r="J22" s="428">
        <f>IF(J$15&gt;TabAmort,0,IF(START!J73=0,I22+1,START!J73))</f>
        <v>2.5849315068493151</v>
      </c>
      <c r="K22" s="428">
        <f>IF(K$15&gt;TabAmort,0,IF(START!K73=0,J22+1,START!K73))</f>
        <v>3.5849315068493151</v>
      </c>
      <c r="L22" s="428">
        <f>IF(L$15&gt;TabAmort,0,IF(START!L73=0,K22+1,START!L73))</f>
        <v>4.5849315068493155</v>
      </c>
      <c r="M22" s="428">
        <f>IF(M$15&gt;TabAmort,0,IF(START!M73=0,L22+1,START!M73))</f>
        <v>5.5849315068493155</v>
      </c>
      <c r="N22" s="428">
        <f>IF(N$15&gt;TabAmort,0,IF(START!N73=0,M$22+1,START!N73))</f>
        <v>6.5849315068493155</v>
      </c>
      <c r="O22" s="428">
        <f>IF(O$15&gt;TabAmort,0,IF(START!O73=0,N22+1,START!O73))</f>
        <v>7.5849315068493155</v>
      </c>
      <c r="P22" s="428">
        <f>IF(P$15&gt;TabAmort,0,IF(START!P73=0,O22+1,START!P73))</f>
        <v>8.5849315068493155</v>
      </c>
      <c r="Q22" s="428">
        <f>IF(Q$15&gt;TabAmort,0,IF(START!Q73=0,P22+1,START!Q73))</f>
        <v>0</v>
      </c>
      <c r="R22" s="428">
        <f>IF(R$15&gt;TabAmort,0,IF(DCF!U34=0,Q22+1,DCF!U34))</f>
        <v>0</v>
      </c>
      <c r="S22" s="428">
        <f>IF(S$15&gt;TabAmort,0,IF(START!S73=0,R22+1,START!S73))</f>
        <v>0</v>
      </c>
      <c r="T22" s="428">
        <f>IF(T$15&gt;TabAmort,0,IF(START!T73=0,S22+1,START!T73))</f>
        <v>0</v>
      </c>
      <c r="U22" s="428">
        <f>IF(U$15&gt;TabAmort,0,IF(START!U73=0,T22+1,START!U73))</f>
        <v>0</v>
      </c>
      <c r="V22" s="420"/>
      <c r="W22" s="517"/>
      <c r="X22" s="420"/>
      <c r="Y22" s="420"/>
    </row>
    <row r="23" spans="1:25">
      <c r="A23" s="1510"/>
      <c r="B23" s="1509"/>
      <c r="C23" s="416" t="s">
        <v>1597</v>
      </c>
      <c r="D23" s="416"/>
      <c r="E23" s="416"/>
      <c r="F23" s="416"/>
      <c r="G23" s="1315">
        <f>IFERROR(1/(1+WACC!$O$51)^G$22,0)</f>
        <v>1</v>
      </c>
      <c r="H23" s="1315">
        <f>IFERROR(IF(H$15&gt;TabAmort,0,1/(1+WACC!$O$51)^H$22),0)</f>
        <v>1</v>
      </c>
      <c r="I23" s="1315">
        <f>IFERROR(IF(I$15&gt;TabAmort,0,1/(1+WACC!$O$51)^I$22),0)</f>
        <v>1</v>
      </c>
      <c r="J23" s="1315">
        <f>IFERROR(IF(J$15&gt;TabAmort,0,1/(1+WACC!$O$51)^J$22),0)</f>
        <v>1</v>
      </c>
      <c r="K23" s="1315">
        <f>IFERROR(IF(K$15&gt;TabAmort,0,1/(1+WACC!$O$51)^K$22),0)</f>
        <v>1</v>
      </c>
      <c r="L23" s="1315">
        <f>IFERROR(IF(L$15&gt;TabAmort,0,1/(1+WACC!$O$51)^L$22),0)</f>
        <v>1</v>
      </c>
      <c r="M23" s="1315">
        <f>IFERROR(IF(M$15&gt;TabAmort,0,1/(1+WACC!$O$51)^M$22),0)</f>
        <v>1</v>
      </c>
      <c r="N23" s="1315">
        <f>IFERROR(IF(N$15&gt;TabAmort,0,1/(1+WACC!$O$51)^N$22),0)</f>
        <v>1</v>
      </c>
      <c r="O23" s="1315">
        <f>IFERROR(IF(O$15&gt;TabAmort,0,1/(1+WACC!$O$51)^O$22),0)</f>
        <v>1</v>
      </c>
      <c r="P23" s="1315">
        <f>IFERROR(IF(P$15&gt;TabAmort,0,1/(1+WACC!$O$51)^P$22),0)</f>
        <v>1</v>
      </c>
      <c r="Q23" s="1315">
        <f>IFERROR(IF(Q$15&gt;TabAmort,0,1/(1+WACC!$O$51)^Q$22),0)</f>
        <v>0</v>
      </c>
      <c r="R23" s="1315">
        <f>IFERROR(IF(R$15&gt;TabAmort,0,1/(1+WACC!$O$51)^R$22),0)</f>
        <v>0</v>
      </c>
      <c r="S23" s="1315">
        <f>IFERROR(IF(S$15&gt;TabAmort,0,1/(1+WACC!$O$51)^S$22),0)</f>
        <v>0</v>
      </c>
      <c r="T23" s="1315">
        <f>IFERROR(IF(T$15&gt;TabAmort,0,1/(1+WACC!$O$51)^T$22),0)</f>
        <v>0</v>
      </c>
      <c r="U23" s="1315">
        <f>IFERROR(IF(U$15&gt;TabAmort,0,1/(1+WACC!$O$51)^U$22),0)</f>
        <v>0</v>
      </c>
      <c r="V23" s="420"/>
      <c r="W23" s="517"/>
      <c r="X23" s="420"/>
      <c r="Y23" s="420"/>
    </row>
    <row r="24" spans="1:25">
      <c r="A24" s="1510"/>
      <c r="B24" s="1509"/>
      <c r="C24" s="416" t="s">
        <v>1598</v>
      </c>
      <c r="D24" s="416"/>
      <c r="E24" s="416"/>
      <c r="F24" s="416"/>
      <c r="G24" s="1316">
        <f ca="1">G21*G23</f>
        <v>0</v>
      </c>
      <c r="H24" s="1316">
        <f ca="1">H21*H23</f>
        <v>0</v>
      </c>
      <c r="I24" s="1316">
        <f t="shared" ref="I24:Q24" ca="1" si="3">I21*I23</f>
        <v>0</v>
      </c>
      <c r="J24" s="1316">
        <f t="shared" ca="1" si="3"/>
        <v>0</v>
      </c>
      <c r="K24" s="1316">
        <f t="shared" ca="1" si="3"/>
        <v>0</v>
      </c>
      <c r="L24" s="1203">
        <f t="shared" ca="1" si="3"/>
        <v>0</v>
      </c>
      <c r="M24" s="1203">
        <f t="shared" ca="1" si="3"/>
        <v>0</v>
      </c>
      <c r="N24" s="1203">
        <f t="shared" ca="1" si="3"/>
        <v>0</v>
      </c>
      <c r="O24" s="1203">
        <f t="shared" ca="1" si="3"/>
        <v>0</v>
      </c>
      <c r="P24" s="1203">
        <f t="shared" ca="1" si="3"/>
        <v>0</v>
      </c>
      <c r="Q24" s="1203">
        <f t="shared" si="3"/>
        <v>0</v>
      </c>
      <c r="R24" s="1203">
        <f>R21*R23</f>
        <v>0</v>
      </c>
      <c r="S24" s="1203">
        <f>S21*S23</f>
        <v>0</v>
      </c>
      <c r="T24" s="1203">
        <f>T21*T23</f>
        <v>0</v>
      </c>
      <c r="U24" s="1203">
        <f>U21*U23</f>
        <v>0</v>
      </c>
      <c r="V24" s="420"/>
      <c r="W24" s="517"/>
      <c r="X24" s="420"/>
      <c r="Y24" s="420"/>
    </row>
    <row r="25" spans="1:25">
      <c r="A25" s="1510"/>
      <c r="B25" s="1509"/>
      <c r="C25" s="421" t="s">
        <v>1599</v>
      </c>
      <c r="D25" s="421"/>
      <c r="E25" s="421"/>
      <c r="F25" s="421"/>
      <c r="G25" s="1317">
        <f ca="1">IFERROR(SUM(G24:U24),0)</f>
        <v>0</v>
      </c>
      <c r="H25" s="429"/>
      <c r="I25" s="912"/>
      <c r="J25" s="912"/>
      <c r="K25" s="912"/>
      <c r="L25" s="421"/>
      <c r="M25" s="421"/>
      <c r="N25" s="421"/>
      <c r="O25" s="421"/>
      <c r="P25" s="421"/>
      <c r="Q25" s="421"/>
      <c r="R25" s="421"/>
      <c r="S25" s="421"/>
      <c r="T25" s="421"/>
      <c r="U25" s="421"/>
      <c r="V25" s="421"/>
      <c r="W25" s="517"/>
      <c r="X25" s="1520"/>
      <c r="Y25" s="1506"/>
    </row>
    <row r="26" spans="1:25">
      <c r="A26" s="1510"/>
      <c r="B26" s="1509"/>
      <c r="C26" s="421"/>
      <c r="D26" s="421"/>
      <c r="E26" s="421"/>
      <c r="F26" s="421"/>
      <c r="G26" s="912"/>
      <c r="H26" s="429"/>
      <c r="I26" s="912"/>
      <c r="J26" s="912"/>
      <c r="K26" s="912"/>
      <c r="L26" s="421"/>
      <c r="M26" s="421"/>
      <c r="N26" s="421"/>
      <c r="O26" s="421"/>
      <c r="P26" s="421"/>
      <c r="Q26" s="421"/>
      <c r="R26" s="421"/>
      <c r="S26" s="421"/>
      <c r="T26" s="421"/>
      <c r="U26" s="421"/>
      <c r="V26" s="421"/>
      <c r="W26" s="517"/>
      <c r="X26" s="1520"/>
      <c r="Y26" s="1506"/>
    </row>
    <row r="27" spans="1:25">
      <c r="A27" s="1510" t="s">
        <v>17</v>
      </c>
      <c r="B27" s="1509"/>
      <c r="C27" s="421" t="s">
        <v>1600</v>
      </c>
      <c r="D27" s="421"/>
      <c r="E27" s="421"/>
      <c r="F27" s="421"/>
      <c r="G27" s="421">
        <v>0</v>
      </c>
      <c r="H27" s="1513"/>
      <c r="I27" s="421"/>
      <c r="J27" s="421"/>
      <c r="K27" s="421"/>
      <c r="L27" s="421"/>
      <c r="M27" s="421"/>
      <c r="N27" s="421"/>
      <c r="O27" s="421"/>
      <c r="P27" s="421"/>
      <c r="Q27" s="421"/>
      <c r="R27" s="421"/>
      <c r="S27" s="421"/>
      <c r="T27" s="421"/>
      <c r="U27" s="421"/>
      <c r="V27" s="421"/>
      <c r="W27" s="517"/>
      <c r="X27" s="1520"/>
      <c r="Y27" s="1506"/>
    </row>
    <row r="28" spans="1:25">
      <c r="A28" s="1510" t="s">
        <v>17</v>
      </c>
      <c r="B28" s="1509"/>
      <c r="C28" s="421" t="s">
        <v>1601</v>
      </c>
      <c r="D28" s="421"/>
      <c r="E28" s="421"/>
      <c r="F28" s="421"/>
      <c r="G28" s="421">
        <f ca="1">ROUND(G25-G27,4)</f>
        <v>0</v>
      </c>
      <c r="H28" s="430" t="str">
        <f ca="1">IF(ROUND(TABDiff,0)=0,"OK","Check")</f>
        <v>OK</v>
      </c>
      <c r="I28" s="421"/>
      <c r="J28" s="421"/>
      <c r="K28" s="421"/>
      <c r="L28" s="421"/>
      <c r="M28" s="421"/>
      <c r="N28" s="421"/>
      <c r="O28" s="421"/>
      <c r="P28" s="421"/>
      <c r="Q28" s="421"/>
      <c r="R28" s="421"/>
      <c r="S28" s="421"/>
      <c r="T28" s="421"/>
      <c r="U28" s="421"/>
      <c r="V28" s="421"/>
      <c r="W28" s="517"/>
      <c r="X28" s="1520"/>
      <c r="Y28" s="1506"/>
    </row>
    <row r="29" spans="1:25">
      <c r="A29" s="1510"/>
      <c r="B29" s="1509"/>
      <c r="C29" s="1520"/>
      <c r="D29" s="1520"/>
      <c r="E29" s="1520"/>
      <c r="F29" s="1520"/>
      <c r="G29" s="1520"/>
      <c r="H29" s="1520"/>
      <c r="I29" s="1520"/>
      <c r="J29" s="1520"/>
      <c r="K29" s="1520"/>
      <c r="L29" s="1520"/>
      <c r="M29" s="1520"/>
      <c r="N29" s="1520"/>
      <c r="O29" s="1520"/>
      <c r="P29" s="1520"/>
      <c r="Q29" s="1520"/>
      <c r="R29" s="1520"/>
      <c r="S29" s="1520"/>
      <c r="T29" s="1520"/>
      <c r="U29" s="1520"/>
      <c r="V29" s="1520"/>
      <c r="W29" s="1519"/>
      <c r="X29" s="1520"/>
      <c r="Y29" s="1506"/>
    </row>
    <row r="30" spans="1:25" s="1506" customFormat="1">
      <c r="A30" s="1510"/>
      <c r="B30" s="1509"/>
      <c r="C30" s="1520" t="s">
        <v>1602</v>
      </c>
      <c r="D30" s="1520"/>
      <c r="E30" s="1520"/>
      <c r="F30" s="1520"/>
      <c r="G30" s="1520"/>
      <c r="H30" s="1520"/>
      <c r="I30" s="1520"/>
      <c r="J30" s="1520"/>
      <c r="K30" s="1520"/>
      <c r="L30" s="1520"/>
      <c r="M30" s="1520"/>
      <c r="N30" s="1520"/>
      <c r="O30" s="1520"/>
      <c r="P30" s="1520"/>
      <c r="Q30" s="1520"/>
      <c r="R30" s="1520"/>
      <c r="S30" s="1520"/>
      <c r="T30" s="1520"/>
      <c r="U30" s="1520"/>
      <c r="V30" s="1520"/>
      <c r="W30" s="1519"/>
      <c r="X30" s="1520"/>
    </row>
    <row r="31" spans="1:25" s="1506" customFormat="1">
      <c r="A31" s="1510"/>
      <c r="B31" s="1509"/>
      <c r="C31" s="1520"/>
      <c r="D31" s="1520"/>
      <c r="E31" s="1520"/>
      <c r="F31" s="1520"/>
      <c r="G31" s="1520"/>
      <c r="H31" s="1520"/>
      <c r="I31" s="1520"/>
      <c r="J31" s="1520"/>
      <c r="K31" s="1520"/>
      <c r="L31" s="1520"/>
      <c r="M31" s="1520"/>
      <c r="N31" s="1520"/>
      <c r="O31" s="1520"/>
      <c r="P31" s="1520"/>
      <c r="Q31" s="1520"/>
      <c r="R31" s="1520"/>
      <c r="S31" s="1520"/>
      <c r="T31" s="1520"/>
      <c r="U31" s="1520"/>
      <c r="V31" s="1520"/>
      <c r="W31" s="1519"/>
      <c r="X31" s="1520"/>
    </row>
    <row r="32" spans="1:25" s="313" customFormat="1">
      <c r="A32" s="1552"/>
      <c r="B32" s="238"/>
      <c r="C32" s="461" t="str">
        <f ca="1">FootnoteDRAFT</f>
        <v>Run date: 05-August-2018  02:34 PM.   DRAFT document. All data subject to change upon completion of additional analysis.</v>
      </c>
      <c r="D32" s="373"/>
      <c r="E32" s="373"/>
      <c r="F32" s="373"/>
      <c r="G32" s="373"/>
      <c r="H32" s="373"/>
      <c r="I32" s="373"/>
      <c r="J32" s="373"/>
      <c r="K32" s="373"/>
      <c r="L32" s="373"/>
      <c r="M32" s="373"/>
      <c r="N32" s="373"/>
      <c r="O32" s="373"/>
      <c r="P32" s="373"/>
      <c r="Q32" s="373"/>
      <c r="R32" s="373"/>
      <c r="S32" s="373"/>
      <c r="T32" s="373"/>
      <c r="U32" s="373"/>
      <c r="V32" s="373"/>
      <c r="W32" s="518"/>
      <c r="X32" s="557"/>
      <c r="Y32" s="1513"/>
    </row>
    <row r="33" spans="1:24">
      <c r="A33" s="1510" t="s">
        <v>17</v>
      </c>
      <c r="B33" s="1510"/>
      <c r="C33" s="593"/>
      <c r="D33" s="594"/>
      <c r="E33" s="594"/>
      <c r="F33" s="594"/>
      <c r="G33" s="594"/>
      <c r="H33" s="594"/>
      <c r="I33" s="594"/>
      <c r="J33" s="594"/>
      <c r="K33" s="594"/>
      <c r="L33" s="594"/>
      <c r="M33" s="594"/>
      <c r="N33" s="594"/>
      <c r="O33" s="594"/>
      <c r="P33" s="594"/>
      <c r="Q33" s="594"/>
      <c r="R33" s="594"/>
      <c r="S33" s="594"/>
      <c r="T33" s="594"/>
      <c r="U33" s="594"/>
      <c r="V33" s="595" t="s">
        <v>18</v>
      </c>
      <c r="W33" s="594"/>
      <c r="X33" s="1512"/>
    </row>
    <row r="34" spans="1:24">
      <c r="A34" s="593"/>
      <c r="B34" s="593"/>
      <c r="C34" s="593"/>
      <c r="D34" s="593"/>
      <c r="E34" s="593"/>
      <c r="F34" s="593"/>
      <c r="G34" s="593"/>
      <c r="H34" s="593"/>
      <c r="I34" s="593"/>
      <c r="J34" s="593"/>
      <c r="K34" s="593"/>
      <c r="L34" s="593"/>
      <c r="M34" s="593"/>
      <c r="N34" s="593"/>
      <c r="O34" s="593"/>
      <c r="P34" s="593"/>
      <c r="Q34" s="593"/>
      <c r="R34" s="593"/>
      <c r="S34" s="593"/>
      <c r="T34" s="593"/>
      <c r="U34" s="593"/>
      <c r="V34" s="593"/>
      <c r="W34" s="593"/>
      <c r="X34" s="1513"/>
    </row>
  </sheetData>
  <autoFilter ref="A1:A33"/>
  <conditionalFormatting sqref="H28">
    <cfRule type="cellIs" dxfId="146" priority="2" operator="equal">
      <formula>"Check"</formula>
    </cfRule>
  </conditionalFormatting>
  <conditionalFormatting sqref="B1:B2">
    <cfRule type="cellIs" dxfId="145" priority="1" operator="notEqual">
      <formula>0</formula>
    </cfRule>
  </conditionalFormatting>
  <hyperlinks>
    <hyperlink ref="G3" location="TABSetting" display="TABSetting"/>
  </hyperlinks>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33" max="16383"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preciation">
    <tabColor rgb="FF99FF66"/>
    <pageSetUpPr autoPageBreaks="0"/>
  </sheetPr>
  <dimension ref="A1:BB135"/>
  <sheetViews>
    <sheetView showGridLines="0" zoomScale="85" zoomScaleNormal="85" zoomScaleSheetLayoutView="85" workbookViewId="0">
      <selection activeCell="A33" sqref="A33"/>
    </sheetView>
  </sheetViews>
  <sheetFormatPr defaultColWidth="9.33203125" defaultRowHeight="12" customHeight="1" outlineLevelCol="1"/>
  <cols>
    <col min="1" max="1" width="2.83203125" style="334" customWidth="1"/>
    <col min="2" max="2" width="3.83203125" style="334" customWidth="1"/>
    <col min="3" max="3" width="34.33203125" style="334" customWidth="1"/>
    <col min="4" max="4" width="10.33203125" style="334" customWidth="1"/>
    <col min="5" max="5" width="8.83203125" style="334" customWidth="1"/>
    <col min="6" max="6" width="21" style="334" customWidth="1"/>
    <col min="7" max="16" width="10.33203125" style="334" customWidth="1"/>
    <col min="17" max="31" width="10.33203125" style="334" customWidth="1" outlineLevel="1"/>
    <col min="32" max="32" width="39.6640625" style="334" customWidth="1"/>
    <col min="33" max="37" width="10.33203125" style="334" customWidth="1"/>
    <col min="38" max="48" width="10.83203125" style="334" customWidth="1"/>
    <col min="49" max="16384" width="9.33203125" style="334"/>
  </cols>
  <sheetData>
    <row r="1" spans="1:54" ht="18" customHeight="1">
      <c r="A1" s="1557"/>
      <c r="B1" s="649">
        <f ca="1">SUMPRODUCT(--ISERROR($C$1:AF68))+COUNTIF($C$1:AF68,Fail)</f>
        <v>0</v>
      </c>
      <c r="C1" s="1372" t="str">
        <f>START!$C$1</f>
        <v>Client Name</v>
      </c>
      <c r="D1" s="852"/>
      <c r="E1" s="852"/>
      <c r="F1" s="852"/>
      <c r="G1" s="852"/>
      <c r="H1" s="852"/>
      <c r="I1" s="852"/>
      <c r="J1" s="852"/>
      <c r="K1" s="852"/>
      <c r="L1" s="852"/>
      <c r="M1" s="852"/>
      <c r="N1" s="852"/>
      <c r="O1" s="852"/>
      <c r="P1" s="852"/>
      <c r="Q1" s="852"/>
      <c r="R1" s="1525"/>
      <c r="S1" s="1525"/>
      <c r="T1" s="292"/>
      <c r="U1" s="292"/>
      <c r="V1" s="292"/>
      <c r="W1" s="292"/>
      <c r="X1" s="292"/>
      <c r="Y1" s="292"/>
      <c r="Z1" s="292"/>
      <c r="AA1" s="292"/>
      <c r="AB1" s="292"/>
      <c r="AC1" s="292"/>
      <c r="AD1" s="292"/>
      <c r="AE1" s="292"/>
      <c r="AF1" s="389" t="s">
        <v>1603</v>
      </c>
      <c r="AG1" s="1557"/>
      <c r="AH1" s="292"/>
      <c r="AI1" s="292"/>
      <c r="AJ1" s="292"/>
      <c r="AK1" s="292"/>
      <c r="AL1" s="292"/>
      <c r="AM1" s="852"/>
      <c r="AN1" s="852"/>
      <c r="AO1" s="852"/>
      <c r="AP1" s="852"/>
      <c r="AQ1" s="852"/>
      <c r="AR1" s="852"/>
      <c r="AS1" s="852"/>
      <c r="AT1" s="852"/>
      <c r="AU1" s="852"/>
      <c r="AV1" s="1525"/>
      <c r="AW1" s="1525"/>
      <c r="AX1" s="1525"/>
      <c r="AY1" s="1525"/>
      <c r="AZ1" s="1525"/>
      <c r="BA1" s="1525"/>
      <c r="BB1" s="1525"/>
    </row>
    <row r="2" spans="1:54" s="1027" customFormat="1" ht="18" customHeight="1">
      <c r="A2" s="1557"/>
      <c r="B2" s="649"/>
      <c r="C2" s="1372" t="str">
        <f>START!$C$2</f>
        <v xml:space="preserve">Please enter project description in START worksheet cell G13 </v>
      </c>
      <c r="D2" s="852"/>
      <c r="E2" s="852"/>
      <c r="F2" s="852"/>
      <c r="G2" s="852"/>
      <c r="H2" s="852"/>
      <c r="I2" s="852"/>
      <c r="J2" s="852"/>
      <c r="K2" s="852"/>
      <c r="L2" s="852"/>
      <c r="M2" s="852"/>
      <c r="N2" s="852"/>
      <c r="O2" s="852"/>
      <c r="P2" s="852"/>
      <c r="Q2" s="852"/>
      <c r="R2" s="1525"/>
      <c r="S2" s="1525"/>
      <c r="T2" s="292"/>
      <c r="U2" s="292"/>
      <c r="V2" s="292"/>
      <c r="W2" s="292"/>
      <c r="X2" s="292"/>
      <c r="Y2" s="292"/>
      <c r="Z2" s="292"/>
      <c r="AA2" s="292"/>
      <c r="AB2" s="292"/>
      <c r="AC2" s="292"/>
      <c r="AD2" s="292"/>
      <c r="AE2" s="292"/>
      <c r="AF2" s="389"/>
      <c r="AG2" s="1557"/>
      <c r="AH2" s="292"/>
      <c r="AI2" s="292"/>
      <c r="AJ2" s="292"/>
      <c r="AK2" s="292"/>
      <c r="AL2" s="292"/>
      <c r="AM2" s="852"/>
      <c r="AN2" s="852"/>
      <c r="AO2" s="852"/>
      <c r="AP2" s="852"/>
      <c r="AQ2" s="852"/>
      <c r="AR2" s="852"/>
      <c r="AS2" s="852"/>
      <c r="AT2" s="852"/>
      <c r="AU2" s="852"/>
      <c r="AV2" s="1525"/>
      <c r="AW2" s="1525"/>
      <c r="AX2" s="1525"/>
      <c r="AY2" s="1525"/>
      <c r="AZ2" s="1525"/>
      <c r="BA2" s="1525"/>
      <c r="BB2" s="1525"/>
    </row>
    <row r="3" spans="1:54" ht="18" customHeight="1">
      <c r="A3" s="1557"/>
      <c r="B3" s="1557"/>
      <c r="C3" s="839" t="s">
        <v>1604</v>
      </c>
      <c r="D3" s="1526"/>
      <c r="E3" s="1526"/>
      <c r="F3" s="1526"/>
      <c r="G3" s="1526"/>
      <c r="H3" s="1526"/>
      <c r="I3" s="1526"/>
      <c r="J3" s="1526"/>
      <c r="K3" s="1526"/>
      <c r="L3" s="1526"/>
      <c r="M3" s="1526"/>
      <c r="N3" s="1526"/>
      <c r="O3" s="1526"/>
      <c r="P3" s="1526"/>
      <c r="Q3" s="1526"/>
      <c r="R3" s="1525"/>
      <c r="S3" s="1525"/>
      <c r="T3" s="369"/>
      <c r="U3" s="369"/>
      <c r="V3" s="369"/>
      <c r="W3" s="369"/>
      <c r="X3" s="369"/>
      <c r="Y3" s="369"/>
      <c r="Z3" s="369"/>
      <c r="AA3" s="369"/>
      <c r="AB3" s="369"/>
      <c r="AC3" s="369"/>
      <c r="AD3" s="369"/>
      <c r="AE3" s="369"/>
      <c r="AF3" s="369"/>
      <c r="AG3" s="1557"/>
      <c r="AH3" s="369"/>
      <c r="AI3" s="369"/>
      <c r="AJ3" s="369"/>
      <c r="AK3" s="369"/>
      <c r="AL3" s="369"/>
      <c r="AM3" s="1526"/>
      <c r="AN3" s="1525"/>
      <c r="AO3" s="1525"/>
      <c r="AP3" s="1525"/>
      <c r="AQ3" s="1525"/>
      <c r="AR3" s="1525"/>
      <c r="AS3" s="1525"/>
      <c r="AT3" s="1525"/>
      <c r="AU3" s="1525"/>
      <c r="AV3" s="1525"/>
      <c r="AW3" s="1525"/>
      <c r="AX3" s="1525"/>
      <c r="AY3" s="1525"/>
      <c r="AZ3" s="1525"/>
      <c r="BA3" s="1525"/>
      <c r="BB3" s="1525"/>
    </row>
    <row r="4" spans="1:54" ht="18" customHeight="1">
      <c r="A4" s="1557"/>
      <c r="B4" s="1557"/>
      <c r="C4" s="840" t="str">
        <f>ValDateHeading</f>
        <v>Estimation of value as of 28 February 2017</v>
      </c>
      <c r="D4" s="1526"/>
      <c r="E4" s="1526"/>
      <c r="F4" s="1526"/>
      <c r="G4" s="1526"/>
      <c r="H4" s="558"/>
      <c r="I4" s="1526"/>
      <c r="J4" s="1526"/>
      <c r="K4" s="1526"/>
      <c r="L4" s="1526"/>
      <c r="M4" s="1526"/>
      <c r="N4" s="1526"/>
      <c r="O4" s="1526"/>
      <c r="P4" s="1526"/>
      <c r="Q4" s="1526"/>
      <c r="R4" s="1525"/>
      <c r="S4" s="1525"/>
      <c r="T4" s="2062"/>
      <c r="U4" s="2062"/>
      <c r="V4" s="2062"/>
      <c r="W4" s="2062"/>
      <c r="X4" s="2062"/>
      <c r="Y4" s="2062"/>
      <c r="Z4" s="2062"/>
      <c r="AA4" s="2062"/>
      <c r="AB4" s="2062"/>
      <c r="AC4" s="2062"/>
      <c r="AD4" s="2062"/>
      <c r="AE4" s="2062"/>
      <c r="AF4" s="2062"/>
      <c r="AG4" s="1557"/>
      <c r="AH4" s="2062"/>
      <c r="AI4" s="2062"/>
      <c r="AJ4" s="2062"/>
      <c r="AK4" s="2062"/>
      <c r="AL4" s="2062"/>
      <c r="AM4" s="1526"/>
      <c r="AN4" s="1526"/>
      <c r="AO4" s="1526"/>
      <c r="AP4" s="1526"/>
      <c r="AQ4" s="1526"/>
      <c r="AR4" s="1526"/>
      <c r="AS4" s="1526"/>
      <c r="AT4" s="1526"/>
      <c r="AU4" s="1526"/>
      <c r="AV4" s="1525"/>
      <c r="AW4" s="1525"/>
      <c r="AX4" s="1525"/>
      <c r="AY4" s="1525"/>
      <c r="AZ4" s="1525"/>
      <c r="BA4" s="1525"/>
      <c r="BB4" s="1525"/>
    </row>
    <row r="5" spans="1:54" ht="18" customHeight="1">
      <c r="A5" s="1419"/>
      <c r="B5" s="1557"/>
      <c r="C5" s="340"/>
      <c r="D5" s="1526"/>
      <c r="E5" s="1526"/>
      <c r="F5" s="1526"/>
      <c r="G5" s="1526"/>
      <c r="H5" s="1526"/>
      <c r="I5" s="1526"/>
      <c r="J5" s="1526"/>
      <c r="K5" s="1526"/>
      <c r="L5" s="1526"/>
      <c r="M5" s="1526"/>
      <c r="N5" s="1526"/>
      <c r="O5" s="1526"/>
      <c r="P5" s="1526"/>
      <c r="Q5" s="1526"/>
      <c r="R5" s="1525"/>
      <c r="S5" s="1525"/>
      <c r="T5" s="366"/>
      <c r="U5" s="366"/>
      <c r="V5" s="366"/>
      <c r="W5" s="366"/>
      <c r="X5" s="366"/>
      <c r="Y5" s="366"/>
      <c r="Z5" s="366"/>
      <c r="AA5" s="366"/>
      <c r="AB5" s="366"/>
      <c r="AC5" s="366"/>
      <c r="AD5" s="366"/>
      <c r="AE5" s="366"/>
      <c r="AF5" s="366"/>
      <c r="AG5" s="1557"/>
      <c r="AH5" s="366"/>
      <c r="AI5" s="366"/>
      <c r="AJ5" s="366"/>
      <c r="AK5" s="366"/>
      <c r="AL5" s="366"/>
      <c r="AM5" s="1526"/>
      <c r="AN5" s="1526"/>
      <c r="AO5" s="1526"/>
      <c r="AP5" s="1526"/>
      <c r="AQ5" s="1526"/>
      <c r="AR5" s="1526"/>
      <c r="AS5" s="1526"/>
      <c r="AT5" s="1526"/>
      <c r="AU5" s="1526"/>
      <c r="AV5" s="1525"/>
      <c r="AW5" s="1525"/>
      <c r="AX5" s="1525"/>
      <c r="AY5" s="1525"/>
      <c r="AZ5" s="1525"/>
      <c r="BA5" s="1525"/>
      <c r="BB5" s="1525"/>
    </row>
    <row r="6" spans="1:54" ht="13.9">
      <c r="A6" s="1557" t="s">
        <v>17</v>
      </c>
      <c r="B6" s="1557"/>
      <c r="C6" s="342"/>
      <c r="D6" s="341"/>
      <c r="E6" s="341"/>
      <c r="F6" s="341"/>
      <c r="G6" s="1644">
        <f>'PFI Inputs'!G23</f>
        <v>0</v>
      </c>
      <c r="H6" s="1644">
        <f>N('PFI Inputs'!H23)</f>
        <v>1</v>
      </c>
      <c r="I6" s="1644">
        <f>H6+1</f>
        <v>2</v>
      </c>
      <c r="J6" s="1644">
        <f t="shared" ref="J6:AE6" si="0">I6+1</f>
        <v>3</v>
      </c>
      <c r="K6" s="1644">
        <f t="shared" si="0"/>
        <v>4</v>
      </c>
      <c r="L6" s="1644">
        <f t="shared" si="0"/>
        <v>5</v>
      </c>
      <c r="M6" s="1644">
        <f t="shared" si="0"/>
        <v>6</v>
      </c>
      <c r="N6" s="1644">
        <f t="shared" si="0"/>
        <v>7</v>
      </c>
      <c r="O6" s="1644">
        <f t="shared" si="0"/>
        <v>8</v>
      </c>
      <c r="P6" s="1644">
        <f t="shared" si="0"/>
        <v>9</v>
      </c>
      <c r="Q6" s="1644">
        <f t="shared" si="0"/>
        <v>10</v>
      </c>
      <c r="R6" s="1644">
        <f t="shared" si="0"/>
        <v>11</v>
      </c>
      <c r="S6" s="1644">
        <f t="shared" si="0"/>
        <v>12</v>
      </c>
      <c r="T6" s="1644">
        <f t="shared" si="0"/>
        <v>13</v>
      </c>
      <c r="U6" s="1644">
        <f t="shared" si="0"/>
        <v>14</v>
      </c>
      <c r="V6" s="1644">
        <f t="shared" si="0"/>
        <v>15</v>
      </c>
      <c r="W6" s="1644">
        <f t="shared" si="0"/>
        <v>16</v>
      </c>
      <c r="X6" s="1644">
        <f t="shared" si="0"/>
        <v>17</v>
      </c>
      <c r="Y6" s="1644">
        <f t="shared" si="0"/>
        <v>18</v>
      </c>
      <c r="Z6" s="1644">
        <f t="shared" si="0"/>
        <v>19</v>
      </c>
      <c r="AA6" s="1644">
        <f t="shared" si="0"/>
        <v>20</v>
      </c>
      <c r="AB6" s="1644">
        <f t="shared" si="0"/>
        <v>21</v>
      </c>
      <c r="AC6" s="1644">
        <f t="shared" si="0"/>
        <v>22</v>
      </c>
      <c r="AD6" s="1644">
        <f t="shared" si="0"/>
        <v>23</v>
      </c>
      <c r="AE6" s="1644">
        <f t="shared" si="0"/>
        <v>24</v>
      </c>
      <c r="AF6" s="340"/>
      <c r="AG6" s="1557"/>
      <c r="AH6" s="340"/>
      <c r="AI6" s="340"/>
      <c r="AJ6" s="340"/>
      <c r="AK6" s="340"/>
      <c r="AL6" s="340"/>
      <c r="AM6" s="1526"/>
      <c r="AN6" s="1526"/>
      <c r="AO6" s="1526"/>
      <c r="AP6" s="1526"/>
      <c r="AQ6" s="1526"/>
      <c r="AR6" s="1526"/>
      <c r="AS6" s="1526"/>
      <c r="AT6" s="1526"/>
      <c r="AU6" s="1526"/>
      <c r="AV6" s="1525"/>
      <c r="AW6" s="1525"/>
      <c r="AX6" s="1525"/>
      <c r="AY6" s="1525"/>
      <c r="AZ6" s="1525"/>
      <c r="BA6" s="1525"/>
      <c r="BB6" s="1525"/>
    </row>
    <row r="7" spans="1:54" s="336" customFormat="1" ht="24.75" customHeight="1">
      <c r="A7" s="1557"/>
      <c r="B7" s="1557"/>
      <c r="C7" s="543"/>
      <c r="D7" s="544"/>
      <c r="E7" s="544"/>
      <c r="F7" s="544"/>
      <c r="G7" s="341"/>
      <c r="H7" s="341"/>
      <c r="I7" s="341"/>
      <c r="J7" s="341"/>
      <c r="K7" s="341"/>
      <c r="L7" s="341"/>
      <c r="M7" s="341"/>
      <c r="N7" s="341"/>
      <c r="O7" s="22"/>
      <c r="P7" s="22"/>
      <c r="Q7" s="22"/>
      <c r="R7" s="22"/>
      <c r="S7" s="22"/>
      <c r="T7" s="22"/>
      <c r="U7" s="22"/>
      <c r="V7" s="22"/>
      <c r="W7" s="22"/>
      <c r="X7" s="22"/>
      <c r="Y7" s="22"/>
      <c r="Z7" s="22"/>
      <c r="AA7" s="22"/>
      <c r="AB7" s="22"/>
      <c r="AC7" s="22"/>
      <c r="AD7" s="22"/>
      <c r="AE7" s="22"/>
      <c r="AF7" s="2060"/>
      <c r="AG7" s="1557"/>
      <c r="AH7" s="2060"/>
      <c r="AI7" s="2060"/>
      <c r="AJ7" s="2060"/>
      <c r="AK7" s="2060"/>
      <c r="AL7" s="2060"/>
      <c r="AM7" s="2060"/>
      <c r="AN7" s="2060"/>
      <c r="AO7" s="2060"/>
      <c r="AP7" s="2060"/>
      <c r="AQ7" s="2060"/>
      <c r="AR7" s="2060"/>
      <c r="AS7" s="2060"/>
      <c r="AT7" s="2060"/>
      <c r="AU7" s="2060"/>
      <c r="AV7" s="2060"/>
      <c r="AW7" s="2060"/>
      <c r="AX7" s="2060"/>
      <c r="AY7" s="2060"/>
      <c r="AZ7" s="2060"/>
      <c r="BA7" s="2060"/>
      <c r="BB7" s="2060"/>
    </row>
    <row r="8" spans="1:54" s="336" customFormat="1" ht="12.75" customHeight="1">
      <c r="A8" s="1557"/>
      <c r="B8" s="1557"/>
      <c r="C8" s="1186"/>
      <c r="D8" s="1186"/>
      <c r="E8" s="1186"/>
      <c r="F8" s="1186"/>
      <c r="G8" s="1187" t="str">
        <f>IF(MonthsInStub=0,"",ROUND(MonthsInStub,0)&amp;" months")</f>
        <v>6 months</v>
      </c>
      <c r="H8" s="1188" t="str">
        <f>'BAL SHEET Hist Input'!$F$8</f>
        <v>For years ended March 31</v>
      </c>
      <c r="I8" s="1188"/>
      <c r="J8" s="1188"/>
      <c r="K8" s="1188"/>
      <c r="L8" s="1188"/>
      <c r="M8" s="1188"/>
      <c r="N8" s="1188"/>
      <c r="O8" s="1188"/>
      <c r="P8" s="1188"/>
      <c r="Q8" s="1188"/>
      <c r="R8" s="1188"/>
      <c r="S8" s="1188"/>
      <c r="T8" s="1188"/>
      <c r="U8" s="1188"/>
      <c r="V8" s="1188"/>
      <c r="W8" s="1188"/>
      <c r="X8" s="1188"/>
      <c r="Y8" s="1188"/>
      <c r="Z8" s="1188"/>
      <c r="AA8" s="1188"/>
      <c r="AB8" s="1188"/>
      <c r="AC8" s="1188"/>
      <c r="AD8" s="1188"/>
      <c r="AE8" s="1188"/>
      <c r="AF8" s="2060"/>
      <c r="AG8" s="1557"/>
      <c r="AH8" s="2060"/>
      <c r="AI8" s="2060"/>
      <c r="AJ8" s="2060"/>
      <c r="AK8" s="2060"/>
      <c r="AL8" s="2060"/>
      <c r="AM8" s="2060"/>
      <c r="AN8" s="2060"/>
      <c r="AO8" s="2060"/>
      <c r="AP8" s="2060"/>
      <c r="AQ8" s="2060"/>
      <c r="AR8" s="2060"/>
      <c r="AS8" s="2060"/>
      <c r="AT8" s="2060"/>
      <c r="AU8" s="2060"/>
      <c r="AV8" s="2060"/>
      <c r="AW8" s="2060"/>
      <c r="AX8" s="2060"/>
      <c r="AY8" s="2060"/>
      <c r="AZ8" s="2060"/>
      <c r="BA8" s="2060"/>
      <c r="BB8" s="2060"/>
    </row>
    <row r="9" spans="1:54" s="336" customFormat="1" ht="13.9">
      <c r="A9" s="1557"/>
      <c r="B9" s="1557"/>
      <c r="C9" s="750" t="str">
        <f>SubjCurrencyHeading</f>
        <v>(USD in Millions)</v>
      </c>
      <c r="D9" s="1189"/>
      <c r="E9" s="1190"/>
      <c r="F9" s="1657">
        <f>'BAL SHEET Hist Input'!$K$9</f>
        <v>42643</v>
      </c>
      <c r="G9" s="1657">
        <f>'PFI Inputs'!G26</f>
        <v>42825</v>
      </c>
      <c r="H9" s="1657">
        <f t="shared" ref="H9:U9" si="1">EOMONTH(G9,12)</f>
        <v>43190</v>
      </c>
      <c r="I9" s="1657">
        <f t="shared" si="1"/>
        <v>43555</v>
      </c>
      <c r="J9" s="1657">
        <f t="shared" ref="J9:P9" si="2">EOMONTH(I9,12)</f>
        <v>43921</v>
      </c>
      <c r="K9" s="1657">
        <f t="shared" si="2"/>
        <v>44286</v>
      </c>
      <c r="L9" s="1657">
        <f t="shared" si="2"/>
        <v>44651</v>
      </c>
      <c r="M9" s="1657">
        <f t="shared" si="2"/>
        <v>45016</v>
      </c>
      <c r="N9" s="1657">
        <f t="shared" si="2"/>
        <v>45382</v>
      </c>
      <c r="O9" s="1657">
        <f t="shared" si="2"/>
        <v>45747</v>
      </c>
      <c r="P9" s="1657">
        <f t="shared" si="2"/>
        <v>46112</v>
      </c>
      <c r="Q9" s="1657">
        <f t="shared" si="1"/>
        <v>46477</v>
      </c>
      <c r="R9" s="1657">
        <f t="shared" si="1"/>
        <v>46843</v>
      </c>
      <c r="S9" s="1657">
        <f t="shared" si="1"/>
        <v>47208</v>
      </c>
      <c r="T9" s="1657">
        <f t="shared" si="1"/>
        <v>47573</v>
      </c>
      <c r="U9" s="1657">
        <f t="shared" si="1"/>
        <v>47938</v>
      </c>
      <c r="V9" s="1657">
        <f t="shared" ref="V9:AE9" si="3">EOMONTH(U9,12)</f>
        <v>48304</v>
      </c>
      <c r="W9" s="1657">
        <f t="shared" si="3"/>
        <v>48669</v>
      </c>
      <c r="X9" s="1657">
        <f t="shared" si="3"/>
        <v>49034</v>
      </c>
      <c r="Y9" s="1657">
        <f t="shared" si="3"/>
        <v>49399</v>
      </c>
      <c r="Z9" s="1657">
        <f t="shared" si="3"/>
        <v>49765</v>
      </c>
      <c r="AA9" s="1657">
        <f t="shared" si="3"/>
        <v>50130</v>
      </c>
      <c r="AB9" s="1657">
        <f t="shared" si="3"/>
        <v>50495</v>
      </c>
      <c r="AC9" s="1657">
        <f t="shared" si="3"/>
        <v>50860</v>
      </c>
      <c r="AD9" s="1657">
        <f t="shared" si="3"/>
        <v>51226</v>
      </c>
      <c r="AE9" s="1657">
        <f t="shared" si="3"/>
        <v>51591</v>
      </c>
      <c r="AF9" s="2060"/>
      <c r="AG9" s="1557"/>
      <c r="AH9" s="2060"/>
      <c r="AI9" s="2060"/>
      <c r="AJ9" s="2060"/>
      <c r="AK9" s="2060"/>
      <c r="AL9" s="2060"/>
      <c r="AM9" s="2060"/>
      <c r="AN9" s="2060"/>
      <c r="AO9" s="2060"/>
      <c r="AP9" s="2060"/>
      <c r="AQ9" s="2060"/>
      <c r="AR9" s="2060"/>
      <c r="AS9" s="2060"/>
      <c r="AT9" s="2060"/>
      <c r="AU9" s="2060"/>
      <c r="AV9" s="2060"/>
      <c r="AW9" s="2060"/>
      <c r="AX9" s="2060"/>
      <c r="AY9" s="2060"/>
      <c r="AZ9" s="2060"/>
      <c r="BA9" s="2060"/>
      <c r="BB9" s="2060"/>
    </row>
    <row r="10" spans="1:54" ht="15.6">
      <c r="A10" s="1510"/>
      <c r="B10" s="1509"/>
      <c r="C10" s="560" t="s">
        <v>1605</v>
      </c>
      <c r="D10" s="411"/>
      <c r="E10" s="411"/>
      <c r="F10" s="411"/>
      <c r="G10" s="411"/>
      <c r="H10" s="411"/>
      <c r="I10" s="411"/>
      <c r="J10" s="411"/>
      <c r="K10" s="411"/>
      <c r="L10" s="411"/>
      <c r="M10" s="411"/>
      <c r="N10" s="411"/>
      <c r="O10" s="411"/>
      <c r="P10" s="411"/>
      <c r="Q10" s="411"/>
      <c r="R10" s="411"/>
      <c r="S10" s="411"/>
      <c r="T10" s="411"/>
      <c r="U10" s="1525"/>
      <c r="V10" s="1525"/>
      <c r="W10" s="1525"/>
      <c r="X10" s="1525"/>
      <c r="Y10" s="1525"/>
      <c r="Z10" s="1525"/>
      <c r="AA10" s="1525"/>
      <c r="AB10" s="1525"/>
      <c r="AC10" s="1525"/>
      <c r="AD10" s="1525"/>
      <c r="AE10" s="1525"/>
      <c r="AF10" s="2060"/>
      <c r="AG10" s="1557"/>
      <c r="AH10" s="2060"/>
      <c r="AI10" s="2060"/>
      <c r="AJ10" s="2060"/>
      <c r="AK10" s="2060"/>
      <c r="AL10" s="2060"/>
      <c r="AM10" s="2060"/>
      <c r="AN10" s="2060"/>
      <c r="AO10" s="2060"/>
      <c r="AP10" s="2060"/>
      <c r="AQ10" s="2060"/>
      <c r="AR10" s="2060"/>
      <c r="AS10" s="2060"/>
      <c r="AT10" s="2060"/>
      <c r="AU10" s="2060"/>
      <c r="AV10" s="1525"/>
      <c r="AW10" s="1525"/>
      <c r="AX10" s="1525"/>
      <c r="AY10" s="1525"/>
      <c r="AZ10" s="1525"/>
      <c r="BA10" s="1525"/>
      <c r="BB10" s="1525"/>
    </row>
    <row r="11" spans="1:54" ht="13.9">
      <c r="A11" s="1510"/>
      <c r="B11" s="1509"/>
      <c r="C11" s="331" t="s">
        <v>1061</v>
      </c>
      <c r="D11" s="1525"/>
      <c r="E11" s="411"/>
      <c r="F11" s="1060">
        <f>'BAL SHEET Hist Input'!$K$20</f>
        <v>0</v>
      </c>
      <c r="G11" s="1060">
        <f t="shared" ref="G11:AE11" ca="1" si="4">ROUND((F11+G14-G13-G15),6)</f>
        <v>0</v>
      </c>
      <c r="H11" s="1060">
        <f t="shared" ca="1" si="4"/>
        <v>0</v>
      </c>
      <c r="I11" s="1060">
        <f t="shared" ca="1" si="4"/>
        <v>0</v>
      </c>
      <c r="J11" s="1060">
        <f t="shared" ca="1" si="4"/>
        <v>0</v>
      </c>
      <c r="K11" s="1060">
        <f t="shared" ca="1" si="4"/>
        <v>0</v>
      </c>
      <c r="L11" s="1060">
        <f t="shared" ca="1" si="4"/>
        <v>0</v>
      </c>
      <c r="M11" s="1060">
        <f t="shared" ca="1" si="4"/>
        <v>0</v>
      </c>
      <c r="N11" s="1060">
        <f t="shared" ca="1" si="4"/>
        <v>0</v>
      </c>
      <c r="O11" s="1060">
        <f t="shared" ca="1" si="4"/>
        <v>0</v>
      </c>
      <c r="P11" s="1060">
        <f t="shared" ca="1" si="4"/>
        <v>0</v>
      </c>
      <c r="Q11" s="1060">
        <f t="shared" ca="1" si="4"/>
        <v>0</v>
      </c>
      <c r="R11" s="1060">
        <f t="shared" ca="1" si="4"/>
        <v>0</v>
      </c>
      <c r="S11" s="1060">
        <f t="shared" ca="1" si="4"/>
        <v>0</v>
      </c>
      <c r="T11" s="1060">
        <f t="shared" ca="1" si="4"/>
        <v>0</v>
      </c>
      <c r="U11" s="1060">
        <f t="shared" ca="1" si="4"/>
        <v>0</v>
      </c>
      <c r="V11" s="1060">
        <f t="shared" ca="1" si="4"/>
        <v>0</v>
      </c>
      <c r="W11" s="1060">
        <f t="shared" ca="1" si="4"/>
        <v>0</v>
      </c>
      <c r="X11" s="1060">
        <f t="shared" ca="1" si="4"/>
        <v>0</v>
      </c>
      <c r="Y11" s="1060">
        <f t="shared" ca="1" si="4"/>
        <v>0</v>
      </c>
      <c r="Z11" s="1060">
        <f t="shared" ca="1" si="4"/>
        <v>0</v>
      </c>
      <c r="AA11" s="1060">
        <f t="shared" ca="1" si="4"/>
        <v>0</v>
      </c>
      <c r="AB11" s="1060">
        <f t="shared" ca="1" si="4"/>
        <v>0</v>
      </c>
      <c r="AC11" s="1060">
        <f t="shared" ca="1" si="4"/>
        <v>0</v>
      </c>
      <c r="AD11" s="1060">
        <f t="shared" ca="1" si="4"/>
        <v>0</v>
      </c>
      <c r="AE11" s="1060">
        <f t="shared" ca="1" si="4"/>
        <v>0</v>
      </c>
      <c r="AF11" s="2060"/>
      <c r="AG11" s="1557"/>
      <c r="AH11" s="2060"/>
      <c r="AI11" s="2060"/>
      <c r="AJ11" s="2060"/>
      <c r="AK11" s="2060"/>
      <c r="AL11" s="2060"/>
      <c r="AM11" s="2060"/>
      <c r="AN11" s="2060"/>
      <c r="AO11" s="2060"/>
      <c r="AP11" s="2060"/>
      <c r="AQ11" s="2060"/>
      <c r="AR11" s="2060"/>
      <c r="AS11" s="2060"/>
      <c r="AT11" s="2060"/>
      <c r="AU11" s="2060"/>
      <c r="AV11" s="1525"/>
      <c r="AW11" s="1525"/>
      <c r="AX11" s="1525"/>
      <c r="AY11" s="1525"/>
      <c r="AZ11" s="1525"/>
      <c r="BA11" s="1525"/>
      <c r="BB11" s="1525"/>
    </row>
    <row r="12" spans="1:54" ht="13.9">
      <c r="A12" s="1510"/>
      <c r="B12" s="1509"/>
      <c r="C12" s="411"/>
      <c r="D12" s="411"/>
      <c r="E12" s="664"/>
      <c r="F12" s="411"/>
      <c r="G12" s="56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2060"/>
      <c r="AG12" s="1557"/>
      <c r="AH12" s="2060"/>
      <c r="AI12" s="2060"/>
      <c r="AJ12" s="2060"/>
      <c r="AK12" s="2060"/>
      <c r="AL12" s="2060"/>
      <c r="AM12" s="2060"/>
      <c r="AN12" s="2060"/>
      <c r="AO12" s="2060"/>
      <c r="AP12" s="2060"/>
      <c r="AQ12" s="2060"/>
      <c r="AR12" s="2060"/>
      <c r="AS12" s="2060"/>
      <c r="AT12" s="2060"/>
      <c r="AU12" s="2060"/>
      <c r="AV12" s="1525"/>
      <c r="AW12" s="1525"/>
      <c r="AX12" s="1525"/>
      <c r="AY12" s="1525"/>
      <c r="AZ12" s="1525"/>
      <c r="BA12" s="1525"/>
      <c r="BB12" s="1525"/>
    </row>
    <row r="13" spans="1:54" s="1027" customFormat="1" ht="13.9">
      <c r="A13" s="1510"/>
      <c r="B13" s="1509"/>
      <c r="C13" s="331" t="s">
        <v>1606</v>
      </c>
      <c r="D13" s="1525">
        <f>SUM(G13:AE13)</f>
        <v>0</v>
      </c>
      <c r="E13" s="664"/>
      <c r="F13" s="411"/>
      <c r="G13" s="1060">
        <f t="shared" ref="G13:AE13" si="5">G25</f>
        <v>0</v>
      </c>
      <c r="H13" s="1060">
        <f t="shared" si="5"/>
        <v>0</v>
      </c>
      <c r="I13" s="1060">
        <f t="shared" si="5"/>
        <v>0</v>
      </c>
      <c r="J13" s="1060">
        <f t="shared" si="5"/>
        <v>0</v>
      </c>
      <c r="K13" s="1060">
        <f t="shared" si="5"/>
        <v>0</v>
      </c>
      <c r="L13" s="1060">
        <f t="shared" si="5"/>
        <v>0</v>
      </c>
      <c r="M13" s="1060">
        <f t="shared" si="5"/>
        <v>0</v>
      </c>
      <c r="N13" s="1060">
        <f t="shared" si="5"/>
        <v>0</v>
      </c>
      <c r="O13" s="1060">
        <f t="shared" si="5"/>
        <v>0</v>
      </c>
      <c r="P13" s="1060">
        <f t="shared" si="5"/>
        <v>0</v>
      </c>
      <c r="Q13" s="1060">
        <f t="shared" si="5"/>
        <v>0</v>
      </c>
      <c r="R13" s="1060">
        <f t="shared" si="5"/>
        <v>0</v>
      </c>
      <c r="S13" s="1060">
        <f t="shared" si="5"/>
        <v>0</v>
      </c>
      <c r="T13" s="1060">
        <f t="shared" si="5"/>
        <v>0</v>
      </c>
      <c r="U13" s="1060">
        <f t="shared" si="5"/>
        <v>0</v>
      </c>
      <c r="V13" s="1060">
        <f t="shared" si="5"/>
        <v>0</v>
      </c>
      <c r="W13" s="1060">
        <f t="shared" si="5"/>
        <v>0</v>
      </c>
      <c r="X13" s="1060">
        <f t="shared" si="5"/>
        <v>0</v>
      </c>
      <c r="Y13" s="1060">
        <f t="shared" si="5"/>
        <v>0</v>
      </c>
      <c r="Z13" s="1060">
        <f t="shared" si="5"/>
        <v>0</v>
      </c>
      <c r="AA13" s="1060">
        <f t="shared" si="5"/>
        <v>0</v>
      </c>
      <c r="AB13" s="1060">
        <f t="shared" si="5"/>
        <v>0</v>
      </c>
      <c r="AC13" s="1060">
        <f t="shared" si="5"/>
        <v>0</v>
      </c>
      <c r="AD13" s="1060">
        <f t="shared" si="5"/>
        <v>0</v>
      </c>
      <c r="AE13" s="1060">
        <f t="shared" si="5"/>
        <v>0</v>
      </c>
      <c r="AF13" s="255"/>
      <c r="AG13" s="1557"/>
      <c r="AH13" s="255"/>
      <c r="AI13" s="255"/>
      <c r="AJ13" s="255"/>
      <c r="AK13" s="255"/>
      <c r="AL13" s="255"/>
      <c r="AM13" s="255"/>
      <c r="AN13" s="255"/>
      <c r="AO13" s="255"/>
      <c r="AP13" s="255"/>
      <c r="AQ13" s="255"/>
      <c r="AR13" s="255"/>
      <c r="AS13" s="255"/>
      <c r="AT13" s="255"/>
      <c r="AU13" s="255"/>
      <c r="AV13" s="1525"/>
      <c r="AW13" s="1525"/>
      <c r="AX13" s="1525"/>
      <c r="AY13" s="1525"/>
      <c r="AZ13" s="1525"/>
      <c r="BA13" s="1525"/>
      <c r="BB13" s="1525"/>
    </row>
    <row r="14" spans="1:54" ht="13.9">
      <c r="A14" s="1510" t="str">
        <f>IF(OR(MAX(F14:Q14)&gt;0.01,MIN(,F14:Q14)&lt;-0.01),"","n")</f>
        <v>n</v>
      </c>
      <c r="B14" s="409">
        <v>20</v>
      </c>
      <c r="C14" s="331" t="s">
        <v>923</v>
      </c>
      <c r="D14" s="1525">
        <f>SUM(G14:AE14)</f>
        <v>0</v>
      </c>
      <c r="E14" s="1525"/>
      <c r="F14" s="509"/>
      <c r="G14" s="1060">
        <f>IF(G6&lt;=NoOfPFIYrs,'PFI Inputs'!G95,F22*G19)</f>
        <v>0</v>
      </c>
      <c r="H14" s="1060">
        <f>IF(H6&lt;=NoOfPFIYrs,'PFI Inputs'!H95,G22*H19)</f>
        <v>0</v>
      </c>
      <c r="I14" s="1060">
        <f>IF(I6&lt;=NoOfPFIYrs,'PFI Inputs'!I95,H22*I19)</f>
        <v>0</v>
      </c>
      <c r="J14" s="1060">
        <f>IF(J6&lt;=NoOfPFIYrs,'PFI Inputs'!J95,I22*J19)</f>
        <v>0</v>
      </c>
      <c r="K14" s="1060">
        <f>IF(K6&lt;=NoOfPFIYrs,'PFI Inputs'!K95,J22*K19)</f>
        <v>0</v>
      </c>
      <c r="L14" s="1060">
        <f>IF(L6&lt;=NoOfPFIYrs,'PFI Inputs'!L95,K22*L19)</f>
        <v>0</v>
      </c>
      <c r="M14" s="1060">
        <f>IF(M6&lt;=NoOfPFIYrs,'PFI Inputs'!M95,L22*M19)</f>
        <v>0</v>
      </c>
      <c r="N14" s="1060">
        <f>IF(N6&lt;=NoOfPFIYrs,'PFI Inputs'!N95,M22*N19)</f>
        <v>0</v>
      </c>
      <c r="O14" s="1060">
        <f>IF(O6&lt;=NoOfPFIYrs,'PFI Inputs'!O95,N22*O19)</f>
        <v>0</v>
      </c>
      <c r="P14" s="1060">
        <f>IF(P6&lt;=NoOfPFIYrs,'PFI Inputs'!P95,O22*P19)</f>
        <v>0</v>
      </c>
      <c r="Q14" s="1060">
        <f>IF(Q6&lt;=NoOfPFIYrs,'PFI Inputs'!Q95,P22*Q19)</f>
        <v>0</v>
      </c>
      <c r="R14" s="1060">
        <f>IF(R6&lt;=NoOfPFIYrs,'PFI Inputs'!R95,Q22*R19)</f>
        <v>0</v>
      </c>
      <c r="S14" s="1060">
        <f>IF(S6&lt;=NoOfPFIYrs,'PFI Inputs'!S95,R22*S19)</f>
        <v>0</v>
      </c>
      <c r="T14" s="1060">
        <f>IF(T6&lt;=NoOfPFIYrs,'PFI Inputs'!T95,S22*T19)</f>
        <v>0</v>
      </c>
      <c r="U14" s="1060">
        <f>IF(U6&lt;=NoOfPFIYrs,'PFI Inputs'!U95,T22*U19)</f>
        <v>0</v>
      </c>
      <c r="V14" s="1060">
        <f>IF(V6&lt;=NoOfPFIYrs,'PFI Inputs'!V95,U22*V19)</f>
        <v>0</v>
      </c>
      <c r="W14" s="1060">
        <f>IF(W6&lt;=NoOfPFIYrs,'PFI Inputs'!W95,V22*W19)</f>
        <v>0</v>
      </c>
      <c r="X14" s="1060">
        <f>IF(X6&lt;=NoOfPFIYrs,'PFI Inputs'!X95,W22*X19)</f>
        <v>0</v>
      </c>
      <c r="Y14" s="1060">
        <f>IF(Y6&lt;=NoOfPFIYrs,'PFI Inputs'!Y95,X22*Y19)</f>
        <v>0</v>
      </c>
      <c r="Z14" s="1060">
        <f>IF(Z6&lt;=NoOfPFIYrs,'PFI Inputs'!Z95,Y22*Z19)</f>
        <v>0</v>
      </c>
      <c r="AA14" s="1060">
        <f>IF(AA6&lt;=NoOfPFIYrs,'PFI Inputs'!AA95,Z22*AA19)</f>
        <v>0</v>
      </c>
      <c r="AB14" s="1060">
        <f>IF(AB6&lt;=NoOfPFIYrs,'PFI Inputs'!AB95,AA22*AB19)</f>
        <v>0</v>
      </c>
      <c r="AC14" s="1060">
        <f>IF(AC6&lt;=NoOfPFIYrs,'PFI Inputs'!AC95,AB22*AC19)</f>
        <v>0</v>
      </c>
      <c r="AD14" s="1060">
        <f>IF(AD6&lt;=NoOfPFIYrs,'PFI Inputs'!AD95,AC22*AD19)</f>
        <v>0</v>
      </c>
      <c r="AE14" s="1060">
        <f>IF(AE6&lt;=NoOfPFIYrs,'PFI Inputs'!AE95,AD22*AE19)</f>
        <v>0</v>
      </c>
      <c r="AF14" s="2060"/>
      <c r="AG14" s="1557"/>
      <c r="AH14" s="2060"/>
      <c r="AI14" s="2060"/>
      <c r="AJ14" s="2060"/>
      <c r="AK14" s="2060"/>
      <c r="AL14" s="2060"/>
      <c r="AM14" s="2060"/>
      <c r="AN14" s="2060"/>
      <c r="AO14" s="2060"/>
      <c r="AP14" s="2060"/>
      <c r="AQ14" s="2060"/>
      <c r="AR14" s="2060"/>
      <c r="AS14" s="2060"/>
      <c r="AT14" s="2060"/>
      <c r="AU14" s="2060"/>
      <c r="AV14" s="1525"/>
      <c r="AW14" s="1525"/>
      <c r="AX14" s="1525"/>
      <c r="AY14" s="1525"/>
      <c r="AZ14" s="1525"/>
      <c r="BA14" s="1525"/>
      <c r="BB14" s="1525"/>
    </row>
    <row r="15" spans="1:54" ht="13.9">
      <c r="A15" s="1510"/>
      <c r="B15" s="1509"/>
      <c r="C15" s="331" t="s">
        <v>1607</v>
      </c>
      <c r="D15" s="1525">
        <f ca="1">SUM(G15:AE15)</f>
        <v>0</v>
      </c>
      <c r="E15" s="664"/>
      <c r="F15" s="411"/>
      <c r="G15" s="1060">
        <f t="shared" ref="G15:AE15" ca="1" si="6">G53</f>
        <v>0</v>
      </c>
      <c r="H15" s="1060">
        <f t="shared" ca="1" si="6"/>
        <v>0</v>
      </c>
      <c r="I15" s="1060">
        <f t="shared" ca="1" si="6"/>
        <v>0</v>
      </c>
      <c r="J15" s="1060">
        <f t="shared" ca="1" si="6"/>
        <v>0</v>
      </c>
      <c r="K15" s="1060">
        <f t="shared" ca="1" si="6"/>
        <v>0</v>
      </c>
      <c r="L15" s="1060">
        <f t="shared" ca="1" si="6"/>
        <v>0</v>
      </c>
      <c r="M15" s="1060">
        <f t="shared" ca="1" si="6"/>
        <v>0</v>
      </c>
      <c r="N15" s="1060">
        <f t="shared" ca="1" si="6"/>
        <v>0</v>
      </c>
      <c r="O15" s="1060">
        <f t="shared" ca="1" si="6"/>
        <v>0</v>
      </c>
      <c r="P15" s="1060">
        <f t="shared" ca="1" si="6"/>
        <v>0</v>
      </c>
      <c r="Q15" s="1060">
        <f t="shared" ca="1" si="6"/>
        <v>0</v>
      </c>
      <c r="R15" s="1060">
        <f t="shared" ca="1" si="6"/>
        <v>0</v>
      </c>
      <c r="S15" s="1060">
        <f t="shared" ca="1" si="6"/>
        <v>0</v>
      </c>
      <c r="T15" s="1060">
        <f t="shared" ca="1" si="6"/>
        <v>0</v>
      </c>
      <c r="U15" s="1060">
        <f t="shared" ca="1" si="6"/>
        <v>0</v>
      </c>
      <c r="V15" s="1060">
        <f t="shared" ca="1" si="6"/>
        <v>0</v>
      </c>
      <c r="W15" s="1060">
        <f t="shared" ca="1" si="6"/>
        <v>0</v>
      </c>
      <c r="X15" s="1060">
        <f t="shared" ca="1" si="6"/>
        <v>0</v>
      </c>
      <c r="Y15" s="1060">
        <f t="shared" ca="1" si="6"/>
        <v>0</v>
      </c>
      <c r="Z15" s="1060">
        <f t="shared" ca="1" si="6"/>
        <v>0</v>
      </c>
      <c r="AA15" s="1060">
        <f t="shared" ca="1" si="6"/>
        <v>0</v>
      </c>
      <c r="AB15" s="1060">
        <f t="shared" ca="1" si="6"/>
        <v>0</v>
      </c>
      <c r="AC15" s="1060">
        <f t="shared" ca="1" si="6"/>
        <v>0</v>
      </c>
      <c r="AD15" s="1060">
        <f t="shared" ca="1" si="6"/>
        <v>0</v>
      </c>
      <c r="AE15" s="1060">
        <f t="shared" ca="1" si="6"/>
        <v>0</v>
      </c>
      <c r="AF15" s="2060"/>
      <c r="AG15" s="1557"/>
      <c r="AH15" s="2060"/>
      <c r="AI15" s="2060"/>
      <c r="AJ15" s="2060"/>
      <c r="AK15" s="2060"/>
      <c r="AL15" s="2060"/>
      <c r="AM15" s="2060"/>
      <c r="AN15" s="2060"/>
      <c r="AO15" s="2060"/>
      <c r="AP15" s="2060"/>
      <c r="AQ15" s="2060"/>
      <c r="AR15" s="2060"/>
      <c r="AS15" s="2060"/>
      <c r="AT15" s="2060"/>
      <c r="AU15" s="2060"/>
      <c r="AV15" s="1525"/>
      <c r="AW15" s="1525"/>
      <c r="AX15" s="1525"/>
      <c r="AY15" s="1525"/>
      <c r="AZ15" s="1525"/>
      <c r="BA15" s="1525"/>
      <c r="BB15" s="1525"/>
    </row>
    <row r="16" spans="1:54" ht="13.9">
      <c r="A16" s="1510"/>
      <c r="B16" s="1509"/>
      <c r="C16" s="411"/>
      <c r="D16" s="411"/>
      <c r="E16" s="664"/>
      <c r="F16" s="411"/>
      <c r="G16" s="1970"/>
      <c r="H16" s="1970"/>
      <c r="I16" s="1970"/>
      <c r="J16" s="1970"/>
      <c r="K16" s="1970"/>
      <c r="L16" s="1970"/>
      <c r="M16" s="1970"/>
      <c r="N16" s="1970"/>
      <c r="O16" s="1970"/>
      <c r="P16" s="1970"/>
      <c r="Q16" s="1970"/>
      <c r="R16" s="1970"/>
      <c r="S16" s="1970"/>
      <c r="T16" s="1970"/>
      <c r="U16" s="2073"/>
      <c r="V16" s="2073"/>
      <c r="W16" s="2073"/>
      <c r="X16" s="2073"/>
      <c r="Y16" s="2073"/>
      <c r="Z16" s="2073"/>
      <c r="AA16" s="2073"/>
      <c r="AB16" s="2073"/>
      <c r="AC16" s="2073"/>
      <c r="AD16" s="2073"/>
      <c r="AE16" s="2073"/>
      <c r="AF16" s="2060"/>
      <c r="AG16" s="1557"/>
      <c r="AH16" s="2060"/>
      <c r="AI16" s="2060"/>
      <c r="AJ16" s="2060"/>
      <c r="AK16" s="2060"/>
      <c r="AL16" s="2060"/>
      <c r="AM16" s="2060"/>
      <c r="AN16" s="2060"/>
      <c r="AO16" s="2060"/>
      <c r="AP16" s="2060"/>
      <c r="AQ16" s="2060"/>
      <c r="AR16" s="2060"/>
      <c r="AS16" s="2060"/>
      <c r="AT16" s="2060"/>
      <c r="AU16" s="2060"/>
      <c r="AV16" s="1525"/>
      <c r="AW16" s="1525"/>
      <c r="AX16" s="1525"/>
      <c r="AY16" s="1525"/>
      <c r="AZ16" s="1525"/>
      <c r="BA16" s="1525"/>
      <c r="BB16" s="1525"/>
    </row>
    <row r="17" spans="1:54" s="336" customFormat="1" ht="12.75" customHeight="1">
      <c r="A17" s="1557"/>
      <c r="B17" s="1557"/>
      <c r="C17" s="1186"/>
      <c r="D17" s="1186"/>
      <c r="E17" s="1191"/>
      <c r="F17" s="1186"/>
      <c r="G17" s="1187" t="str">
        <f>ROUND(MonthsInStub,0) &amp;" months"</f>
        <v>6 months</v>
      </c>
      <c r="H17" s="1188" t="str">
        <f>'BAL SHEET Hist Input'!$F$8</f>
        <v>For years ended March 31</v>
      </c>
      <c r="I17" s="1188"/>
      <c r="J17" s="1188"/>
      <c r="K17" s="1188"/>
      <c r="L17" s="1188"/>
      <c r="M17" s="1188"/>
      <c r="N17" s="1188"/>
      <c r="O17" s="1188"/>
      <c r="P17" s="1188"/>
      <c r="Q17" s="1188"/>
      <c r="R17" s="1188"/>
      <c r="S17" s="1188"/>
      <c r="T17" s="1188"/>
      <c r="U17" s="1188"/>
      <c r="V17" s="1188"/>
      <c r="W17" s="1188"/>
      <c r="X17" s="1188"/>
      <c r="Y17" s="1188"/>
      <c r="Z17" s="1188"/>
      <c r="AA17" s="1188"/>
      <c r="AB17" s="1188"/>
      <c r="AC17" s="1188"/>
      <c r="AD17" s="1188"/>
      <c r="AE17" s="1188"/>
      <c r="AF17" s="2060"/>
      <c r="AG17" s="1557"/>
      <c r="AH17" s="2060"/>
      <c r="AI17" s="2060"/>
      <c r="AJ17" s="2060"/>
      <c r="AK17" s="2060"/>
      <c r="AL17" s="2060"/>
      <c r="AM17" s="2060"/>
      <c r="AN17" s="2060"/>
      <c r="AO17" s="2060"/>
      <c r="AP17" s="2060"/>
      <c r="AQ17" s="2060"/>
      <c r="AR17" s="2060"/>
      <c r="AS17" s="2060"/>
      <c r="AT17" s="2060"/>
      <c r="AU17" s="2060"/>
      <c r="AV17" s="2060"/>
      <c r="AW17" s="2060"/>
      <c r="AX17" s="2060"/>
      <c r="AY17" s="2060"/>
      <c r="AZ17" s="2060"/>
      <c r="BA17" s="2060"/>
      <c r="BB17" s="2060"/>
    </row>
    <row r="18" spans="1:54" s="336" customFormat="1" ht="13.9">
      <c r="A18" s="1557"/>
      <c r="B18" s="1557"/>
      <c r="C18" s="750" t="str">
        <f>OutputCurrencyLabel</f>
        <v>(USD in Millions)</v>
      </c>
      <c r="D18" s="1190"/>
      <c r="E18" s="1192"/>
      <c r="F18" s="1190"/>
      <c r="G18" s="1657">
        <f t="shared" ref="G18:AE18" si="7">G9</f>
        <v>42825</v>
      </c>
      <c r="H18" s="1657">
        <f t="shared" si="7"/>
        <v>43190</v>
      </c>
      <c r="I18" s="1657">
        <f t="shared" si="7"/>
        <v>43555</v>
      </c>
      <c r="J18" s="1657">
        <f t="shared" si="7"/>
        <v>43921</v>
      </c>
      <c r="K18" s="1657">
        <f t="shared" si="7"/>
        <v>44286</v>
      </c>
      <c r="L18" s="1657">
        <f t="shared" si="7"/>
        <v>44651</v>
      </c>
      <c r="M18" s="1657">
        <f t="shared" si="7"/>
        <v>45016</v>
      </c>
      <c r="N18" s="1657">
        <f t="shared" si="7"/>
        <v>45382</v>
      </c>
      <c r="O18" s="1657">
        <f t="shared" si="7"/>
        <v>45747</v>
      </c>
      <c r="P18" s="1657">
        <f t="shared" si="7"/>
        <v>46112</v>
      </c>
      <c r="Q18" s="1657">
        <f t="shared" si="7"/>
        <v>46477</v>
      </c>
      <c r="R18" s="1657">
        <f t="shared" si="7"/>
        <v>46843</v>
      </c>
      <c r="S18" s="1657">
        <f t="shared" si="7"/>
        <v>47208</v>
      </c>
      <c r="T18" s="1657">
        <f t="shared" si="7"/>
        <v>47573</v>
      </c>
      <c r="U18" s="1657">
        <f t="shared" si="7"/>
        <v>47938</v>
      </c>
      <c r="V18" s="1657">
        <f t="shared" si="7"/>
        <v>48304</v>
      </c>
      <c r="W18" s="1657">
        <f t="shared" si="7"/>
        <v>48669</v>
      </c>
      <c r="X18" s="1657">
        <f t="shared" si="7"/>
        <v>49034</v>
      </c>
      <c r="Y18" s="1657">
        <f t="shared" si="7"/>
        <v>49399</v>
      </c>
      <c r="Z18" s="1657">
        <f t="shared" si="7"/>
        <v>49765</v>
      </c>
      <c r="AA18" s="1657">
        <f t="shared" si="7"/>
        <v>50130</v>
      </c>
      <c r="AB18" s="1657">
        <f t="shared" si="7"/>
        <v>50495</v>
      </c>
      <c r="AC18" s="1657">
        <f t="shared" si="7"/>
        <v>50860</v>
      </c>
      <c r="AD18" s="1657">
        <f t="shared" si="7"/>
        <v>51226</v>
      </c>
      <c r="AE18" s="1657">
        <f t="shared" si="7"/>
        <v>51591</v>
      </c>
      <c r="AF18" s="2060"/>
      <c r="AG18" s="1557"/>
      <c r="AH18" s="2060"/>
      <c r="AI18" s="2060"/>
      <c r="AJ18" s="2060"/>
      <c r="AK18" s="2060"/>
      <c r="AL18" s="2060"/>
      <c r="AM18" s="2060"/>
      <c r="AN18" s="2060"/>
      <c r="AO18" s="2060"/>
      <c r="AP18" s="2060"/>
      <c r="AQ18" s="2060"/>
      <c r="AR18" s="2060"/>
      <c r="AS18" s="2060"/>
      <c r="AT18" s="2060"/>
      <c r="AU18" s="2060"/>
      <c r="AV18" s="2060"/>
      <c r="AW18" s="2060"/>
      <c r="AX18" s="2060"/>
      <c r="AY18" s="2060"/>
      <c r="AZ18" s="2060"/>
      <c r="BA18" s="2060"/>
      <c r="BB18" s="2060"/>
    </row>
    <row r="19" spans="1:54" s="1527" customFormat="1" ht="13.9">
      <c r="A19" s="1557"/>
      <c r="B19" s="1557"/>
      <c r="C19" s="1561" t="s">
        <v>463</v>
      </c>
      <c r="D19" s="343"/>
      <c r="E19" s="622"/>
      <c r="F19" s="343"/>
      <c r="G19" s="1060">
        <f>IF(G6&lt;=NoOfPFIYrs,'PFI Inputs'!G28,IF(G6&lt;=(NoOfPFIYrs+'PFI Inputs'!$F$13),F19*(1+'PFI Inputs'!$F$14),F19*(1+'PFI Inputs'!$F$10)))</f>
        <v>0</v>
      </c>
      <c r="H19" s="1060">
        <f>IF(H6&lt;=NoOfPFIYrs,'PFI Inputs'!H28,IF(H6&lt;=(NoOfPFIYrs+'PFI Inputs'!$F$13),G19*(1+'PFI Inputs'!$F$14),G19*(1+'PFI Inputs'!$F$10)))</f>
        <v>0</v>
      </c>
      <c r="I19" s="1060">
        <f>IF(I6&lt;=NoOfPFIYrs,'PFI Inputs'!I28,IF(I6&lt;=(NoOfPFIYrs+'PFI Inputs'!$F$13),H19*(1+'PFI Inputs'!$F$14),H19*(1+'PFI Inputs'!$F$10)))</f>
        <v>0</v>
      </c>
      <c r="J19" s="1060">
        <f>IF(J6&lt;=NoOfPFIYrs,'PFI Inputs'!J28,IF(J6&lt;=(NoOfPFIYrs+'PFI Inputs'!$F$13),I19*(1+'PFI Inputs'!$F$14),I19*(1+'PFI Inputs'!$F$10)))</f>
        <v>0</v>
      </c>
      <c r="K19" s="1060">
        <f>IF(K6&lt;=NoOfPFIYrs,'PFI Inputs'!K28,IF(K6&lt;=(NoOfPFIYrs+'PFI Inputs'!$F$13),J19*(1+'PFI Inputs'!$F$14),J19*(1+'PFI Inputs'!$F$10)))</f>
        <v>0</v>
      </c>
      <c r="L19" s="1060">
        <f>IF(L6&lt;=NoOfPFIYrs,'PFI Inputs'!L28,IF(L6&lt;=(NoOfPFIYrs+'PFI Inputs'!$F$13),K19*(1+'PFI Inputs'!$F$14),K19*(1+'PFI Inputs'!$F$10)))</f>
        <v>0</v>
      </c>
      <c r="M19" s="1060">
        <f>IF(M6&lt;=NoOfPFIYrs,'PFI Inputs'!M28,IF(M6&lt;=(NoOfPFIYrs+'PFI Inputs'!$F$13),L19*(1+'PFI Inputs'!$F$14),L19*(1+'PFI Inputs'!$F$10)))</f>
        <v>0</v>
      </c>
      <c r="N19" s="1060">
        <f>IF(N6&lt;=NoOfPFIYrs,'PFI Inputs'!N28,IF(N6&lt;=(NoOfPFIYrs+'PFI Inputs'!$F$13),M19*(1+'PFI Inputs'!$F$14),M19*(1+'PFI Inputs'!$F$10)))</f>
        <v>0</v>
      </c>
      <c r="O19" s="1060">
        <f>IF(O6&lt;=NoOfPFIYrs,'PFI Inputs'!O28,IF(O6&lt;=(NoOfPFIYrs+'PFI Inputs'!$F$13),N19*(1+'PFI Inputs'!$F$14),N19*(1+'PFI Inputs'!$F$10)))</f>
        <v>0</v>
      </c>
      <c r="P19" s="1060">
        <f>IF(P6&lt;=NoOfPFIYrs,'PFI Inputs'!P28,IF(P6&lt;=(NoOfPFIYrs+'PFI Inputs'!$F$13),O19*(1+'PFI Inputs'!$F$14),O19*(1+'PFI Inputs'!$F$10)))</f>
        <v>0</v>
      </c>
      <c r="Q19" s="1060">
        <f>IF(Q6&lt;=NoOfPFIYrs,'PFI Inputs'!Q28,IF(Q6&lt;=(NoOfPFIYrs+'PFI Inputs'!$F$13),P19*(1+'PFI Inputs'!$F$14),P19*(1+'PFI Inputs'!$F$10)))</f>
        <v>0</v>
      </c>
      <c r="R19" s="1060">
        <f>IF(R6&lt;=NoOfPFIYrs,'PFI Inputs'!R28,IF(R6&lt;=(NoOfPFIYrs+'PFI Inputs'!$F$13),Q19*(1+'PFI Inputs'!$F$14),Q19*(1+'PFI Inputs'!$F$10)))</f>
        <v>0</v>
      </c>
      <c r="S19" s="1060">
        <f>IF(S6&lt;=NoOfPFIYrs,'PFI Inputs'!S28,IF(S6&lt;=(NoOfPFIYrs+'PFI Inputs'!$F$13),R19*(1+'PFI Inputs'!$F$14),R19*(1+'PFI Inputs'!$F$10)))</f>
        <v>0</v>
      </c>
      <c r="T19" s="1060">
        <f>IF(T6&lt;=NoOfPFIYrs,'PFI Inputs'!T28,IF(T6&lt;=(NoOfPFIYrs+'PFI Inputs'!$F$13),S19*(1+'PFI Inputs'!$F$14),S19*(1+'PFI Inputs'!$F$10)))</f>
        <v>0</v>
      </c>
      <c r="U19" s="1060">
        <f>IF(U6&lt;=NoOfPFIYrs,'PFI Inputs'!U28,IF(U6&lt;=(NoOfPFIYrs+'PFI Inputs'!$F$13),T19*(1+'PFI Inputs'!$F$14),T19*(1+'PFI Inputs'!$F$10)))</f>
        <v>0</v>
      </c>
      <c r="V19" s="1060">
        <f>IF(V6&lt;=NoOfPFIYrs,'PFI Inputs'!V28,IF(V6&lt;=(NoOfPFIYrs+'PFI Inputs'!$F$13),U19*(1+'PFI Inputs'!$F$14),U19*(1+'PFI Inputs'!$F$10)))</f>
        <v>0</v>
      </c>
      <c r="W19" s="1060">
        <f>IF(W6&lt;=NoOfPFIYrs,'PFI Inputs'!W28,IF(W6&lt;=(NoOfPFIYrs+'PFI Inputs'!$F$13),V19*(1+'PFI Inputs'!$F$14),V19*(1+'PFI Inputs'!$F$10)))</f>
        <v>0</v>
      </c>
      <c r="X19" s="1060">
        <f>IF(X6&lt;=NoOfPFIYrs,'PFI Inputs'!X28,IF(X6&lt;=(NoOfPFIYrs+'PFI Inputs'!$F$13),W19*(1+'PFI Inputs'!$F$14),W19*(1+'PFI Inputs'!$F$10)))</f>
        <v>0</v>
      </c>
      <c r="Y19" s="1060">
        <f>IF(Y6&lt;=NoOfPFIYrs,'PFI Inputs'!Y28,IF(Y6&lt;=(NoOfPFIYrs+'PFI Inputs'!$F$13),X19*(1+'PFI Inputs'!$F$14),X19*(1+'PFI Inputs'!$F$10)))</f>
        <v>0</v>
      </c>
      <c r="Z19" s="1060">
        <f>IF(Z6&lt;=NoOfPFIYrs,'PFI Inputs'!Z28,IF(Z6&lt;=(NoOfPFIYrs+'PFI Inputs'!$F$13),Y19*(1+'PFI Inputs'!$F$14),Y19*(1+'PFI Inputs'!$F$10)))</f>
        <v>0</v>
      </c>
      <c r="AA19" s="1060">
        <f>IF(AA6&lt;=NoOfPFIYrs,'PFI Inputs'!AA28,IF(AA6&lt;=(NoOfPFIYrs+'PFI Inputs'!$F$13),Z19*(1+'PFI Inputs'!$F$14),Z19*(1+'PFI Inputs'!$F$10)))</f>
        <v>0</v>
      </c>
      <c r="AB19" s="1060">
        <f>IF(AB6&lt;=NoOfPFIYrs,'PFI Inputs'!AB28,IF(AB6&lt;=(NoOfPFIYrs+'PFI Inputs'!$F$13),AA19*(1+'PFI Inputs'!$F$14),AA19*(1+'PFI Inputs'!$F$10)))</f>
        <v>0</v>
      </c>
      <c r="AC19" s="1060">
        <f>IF(AC6&lt;=NoOfPFIYrs,'PFI Inputs'!AC28,IF(AC6&lt;=(NoOfPFIYrs+'PFI Inputs'!$F$13),AB19*(1+'PFI Inputs'!$F$14),AB19*(1+'PFI Inputs'!$F$10)))</f>
        <v>0</v>
      </c>
      <c r="AD19" s="1060">
        <f>IF(AD6&lt;=NoOfPFIYrs,'PFI Inputs'!AD28,IF(AD6&lt;=(NoOfPFIYrs+'PFI Inputs'!$F$13),AC19*(1+'PFI Inputs'!$F$14),AC19*(1+'PFI Inputs'!$F$10)))</f>
        <v>0</v>
      </c>
      <c r="AE19" s="1060">
        <f>IF(AE6&lt;=NoOfPFIYrs,'PFI Inputs'!AE28,IF(AE6&lt;=(NoOfPFIYrs+'PFI Inputs'!$F$13),AD19*(1+'PFI Inputs'!$F$14),AD19*(1+'PFI Inputs'!$F$10)))</f>
        <v>0</v>
      </c>
      <c r="AF19" s="2060"/>
      <c r="AG19" s="1557"/>
      <c r="AH19" s="2060"/>
      <c r="AI19" s="2060"/>
      <c r="AJ19" s="2060"/>
      <c r="AK19" s="2060"/>
      <c r="AL19" s="2060"/>
      <c r="AM19" s="2060"/>
      <c r="AN19" s="2060"/>
      <c r="AO19" s="2060"/>
      <c r="AP19" s="2060"/>
      <c r="AQ19" s="2060"/>
      <c r="AR19" s="2060"/>
      <c r="AS19" s="2060"/>
      <c r="AT19" s="2060"/>
      <c r="AU19" s="2060"/>
      <c r="AV19" s="2060"/>
      <c r="AW19" s="2060"/>
      <c r="AX19" s="2060"/>
      <c r="AY19" s="2060"/>
      <c r="AZ19" s="2060"/>
      <c r="BA19" s="2060"/>
      <c r="BB19" s="2060"/>
    </row>
    <row r="20" spans="1:54" s="336" customFormat="1" ht="13.9">
      <c r="A20" s="1557"/>
      <c r="B20" s="1557"/>
      <c r="C20" s="1561" t="s">
        <v>1608</v>
      </c>
      <c r="D20" s="1503"/>
      <c r="E20" s="665"/>
      <c r="F20" s="1503"/>
      <c r="G20" s="1060">
        <f>'Depreciation and Tax Benefit'!F11</f>
        <v>0</v>
      </c>
      <c r="H20" s="1060">
        <f ca="1">IF(N(H18)=0,0,G57)</f>
        <v>0</v>
      </c>
      <c r="I20" s="1060">
        <f ca="1">IF(N(I18)=0,0,H57)</f>
        <v>0</v>
      </c>
      <c r="J20" s="1060">
        <f ca="1">IF(N(J18)=0,0,I57)</f>
        <v>0</v>
      </c>
      <c r="K20" s="1060">
        <f ca="1">IF(N(K18)=0,0,J57)</f>
        <v>0</v>
      </c>
      <c r="L20" s="1060">
        <f ca="1">IF(N(L18)=0,0,K$57)</f>
        <v>0</v>
      </c>
      <c r="M20" s="1060">
        <f t="shared" ref="M20:AE20" ca="1" si="8">IF(N(M18)=0,0,L57)</f>
        <v>0</v>
      </c>
      <c r="N20" s="1060">
        <f t="shared" ca="1" si="8"/>
        <v>0</v>
      </c>
      <c r="O20" s="1060">
        <f t="shared" ca="1" si="8"/>
        <v>0</v>
      </c>
      <c r="P20" s="1060">
        <f t="shared" ca="1" si="8"/>
        <v>0</v>
      </c>
      <c r="Q20" s="509">
        <f t="shared" ca="1" si="8"/>
        <v>0</v>
      </c>
      <c r="R20" s="509">
        <f t="shared" ca="1" si="8"/>
        <v>0</v>
      </c>
      <c r="S20" s="509">
        <f t="shared" ca="1" si="8"/>
        <v>0</v>
      </c>
      <c r="T20" s="509">
        <f t="shared" ca="1" si="8"/>
        <v>0</v>
      </c>
      <c r="U20" s="509">
        <f t="shared" ca="1" si="8"/>
        <v>0</v>
      </c>
      <c r="V20" s="509">
        <f t="shared" ca="1" si="8"/>
        <v>0</v>
      </c>
      <c r="W20" s="509">
        <f t="shared" ca="1" si="8"/>
        <v>0</v>
      </c>
      <c r="X20" s="509">
        <f t="shared" ca="1" si="8"/>
        <v>0</v>
      </c>
      <c r="Y20" s="509">
        <f t="shared" ca="1" si="8"/>
        <v>0</v>
      </c>
      <c r="Z20" s="509">
        <f t="shared" ca="1" si="8"/>
        <v>0</v>
      </c>
      <c r="AA20" s="509">
        <f t="shared" ca="1" si="8"/>
        <v>0</v>
      </c>
      <c r="AB20" s="509">
        <f t="shared" ca="1" si="8"/>
        <v>0</v>
      </c>
      <c r="AC20" s="509">
        <f t="shared" ca="1" si="8"/>
        <v>0</v>
      </c>
      <c r="AD20" s="509">
        <f t="shared" ca="1" si="8"/>
        <v>0</v>
      </c>
      <c r="AE20" s="509">
        <f t="shared" ca="1" si="8"/>
        <v>0</v>
      </c>
      <c r="AF20" s="2060"/>
      <c r="AG20" s="1557"/>
      <c r="AH20" s="2060"/>
      <c r="AI20" s="2060"/>
      <c r="AJ20" s="2060"/>
      <c r="AK20" s="2060"/>
      <c r="AL20" s="2060"/>
      <c r="AM20" s="2060"/>
      <c r="AN20" s="2060"/>
      <c r="AO20" s="2060"/>
      <c r="AP20" s="2060"/>
      <c r="AQ20" s="2060"/>
      <c r="AR20" s="2060"/>
      <c r="AS20" s="2060"/>
      <c r="AT20" s="2060"/>
      <c r="AU20" s="2060"/>
      <c r="AV20" s="2060"/>
      <c r="AW20" s="2060"/>
      <c r="AX20" s="2060"/>
      <c r="AY20" s="2060"/>
      <c r="AZ20" s="2060"/>
      <c r="BA20" s="2060"/>
      <c r="BB20" s="2060"/>
    </row>
    <row r="21" spans="1:54" s="336" customFormat="1" ht="13.9">
      <c r="A21" s="1557"/>
      <c r="B21" s="1557"/>
      <c r="C21" s="1561" t="s">
        <v>923</v>
      </c>
      <c r="D21" s="1503"/>
      <c r="E21" s="1581"/>
      <c r="F21" s="1503"/>
      <c r="G21" s="1060">
        <f t="shared" ref="G21:AE21" si="9">G14</f>
        <v>0</v>
      </c>
      <c r="H21" s="1060">
        <f t="shared" si="9"/>
        <v>0</v>
      </c>
      <c r="I21" s="1060">
        <f t="shared" si="9"/>
        <v>0</v>
      </c>
      <c r="J21" s="1060">
        <f t="shared" si="9"/>
        <v>0</v>
      </c>
      <c r="K21" s="1060">
        <f t="shared" si="9"/>
        <v>0</v>
      </c>
      <c r="L21" s="1060">
        <f t="shared" si="9"/>
        <v>0</v>
      </c>
      <c r="M21" s="1060">
        <f t="shared" si="9"/>
        <v>0</v>
      </c>
      <c r="N21" s="1060">
        <f t="shared" si="9"/>
        <v>0</v>
      </c>
      <c r="O21" s="1060">
        <f t="shared" si="9"/>
        <v>0</v>
      </c>
      <c r="P21" s="1060">
        <f t="shared" si="9"/>
        <v>0</v>
      </c>
      <c r="Q21" s="509">
        <f t="shared" si="9"/>
        <v>0</v>
      </c>
      <c r="R21" s="509">
        <f t="shared" si="9"/>
        <v>0</v>
      </c>
      <c r="S21" s="509">
        <f t="shared" si="9"/>
        <v>0</v>
      </c>
      <c r="T21" s="509">
        <f t="shared" si="9"/>
        <v>0</v>
      </c>
      <c r="U21" s="509">
        <f t="shared" si="9"/>
        <v>0</v>
      </c>
      <c r="V21" s="509">
        <f t="shared" si="9"/>
        <v>0</v>
      </c>
      <c r="W21" s="509">
        <f t="shared" si="9"/>
        <v>0</v>
      </c>
      <c r="X21" s="509">
        <f t="shared" si="9"/>
        <v>0</v>
      </c>
      <c r="Y21" s="509">
        <f t="shared" si="9"/>
        <v>0</v>
      </c>
      <c r="Z21" s="509">
        <f t="shared" si="9"/>
        <v>0</v>
      </c>
      <c r="AA21" s="509">
        <f t="shared" si="9"/>
        <v>0</v>
      </c>
      <c r="AB21" s="509">
        <f t="shared" si="9"/>
        <v>0</v>
      </c>
      <c r="AC21" s="509">
        <f t="shared" si="9"/>
        <v>0</v>
      </c>
      <c r="AD21" s="509">
        <f t="shared" si="9"/>
        <v>0</v>
      </c>
      <c r="AE21" s="509">
        <f t="shared" si="9"/>
        <v>0</v>
      </c>
      <c r="AF21" s="2060"/>
      <c r="AG21" s="1557"/>
      <c r="AH21" s="2060"/>
      <c r="AI21" s="2060"/>
      <c r="AJ21" s="2060"/>
      <c r="AK21" s="2060"/>
      <c r="AL21" s="2060"/>
      <c r="AM21" s="2060"/>
      <c r="AN21" s="2060"/>
      <c r="AO21" s="2060"/>
      <c r="AP21" s="2060"/>
      <c r="AQ21" s="2060"/>
      <c r="AR21" s="2060"/>
      <c r="AS21" s="2060"/>
      <c r="AT21" s="2060"/>
      <c r="AU21" s="2060"/>
      <c r="AV21" s="2060"/>
      <c r="AW21" s="2060"/>
      <c r="AX21" s="2060"/>
      <c r="AY21" s="2060"/>
      <c r="AZ21" s="2060"/>
      <c r="BA21" s="2060"/>
      <c r="BB21" s="2060"/>
    </row>
    <row r="22" spans="1:54" s="336" customFormat="1" ht="13.9">
      <c r="A22" s="1557"/>
      <c r="B22" s="1557"/>
      <c r="C22" s="289" t="s">
        <v>1036</v>
      </c>
      <c r="D22" s="1039"/>
      <c r="E22" s="1581"/>
      <c r="F22" s="1039"/>
      <c r="G22" s="1611">
        <f t="shared" ref="G22:N22" si="10">IFERROR(G21/G19,0)</f>
        <v>0</v>
      </c>
      <c r="H22" s="1611">
        <f t="shared" si="10"/>
        <v>0</v>
      </c>
      <c r="I22" s="1611">
        <f t="shared" si="10"/>
        <v>0</v>
      </c>
      <c r="J22" s="1611">
        <f t="shared" si="10"/>
        <v>0</v>
      </c>
      <c r="K22" s="1611">
        <f t="shared" si="10"/>
        <v>0</v>
      </c>
      <c r="L22" s="1611">
        <f t="shared" si="10"/>
        <v>0</v>
      </c>
      <c r="M22" s="1611">
        <f t="shared" si="10"/>
        <v>0</v>
      </c>
      <c r="N22" s="1611">
        <f t="shared" si="10"/>
        <v>0</v>
      </c>
      <c r="O22" s="1611">
        <f>IFERROR(O21/O19,0)</f>
        <v>0</v>
      </c>
      <c r="P22" s="1611">
        <f t="shared" ref="P22:AE22" si="11">IFERROR(P21/P19,0)</f>
        <v>0</v>
      </c>
      <c r="Q22" s="1611">
        <f t="shared" si="11"/>
        <v>0</v>
      </c>
      <c r="R22" s="1611">
        <f t="shared" si="11"/>
        <v>0</v>
      </c>
      <c r="S22" s="1611">
        <f t="shared" si="11"/>
        <v>0</v>
      </c>
      <c r="T22" s="1611">
        <f t="shared" si="11"/>
        <v>0</v>
      </c>
      <c r="U22" s="1611">
        <f t="shared" si="11"/>
        <v>0</v>
      </c>
      <c r="V22" s="1611">
        <f t="shared" si="11"/>
        <v>0</v>
      </c>
      <c r="W22" s="1611">
        <f t="shared" si="11"/>
        <v>0</v>
      </c>
      <c r="X22" s="1611">
        <f t="shared" si="11"/>
        <v>0</v>
      </c>
      <c r="Y22" s="1611">
        <f t="shared" si="11"/>
        <v>0</v>
      </c>
      <c r="Z22" s="1611">
        <f t="shared" si="11"/>
        <v>0</v>
      </c>
      <c r="AA22" s="1611">
        <f t="shared" si="11"/>
        <v>0</v>
      </c>
      <c r="AB22" s="1611">
        <f t="shared" si="11"/>
        <v>0</v>
      </c>
      <c r="AC22" s="1611">
        <f t="shared" si="11"/>
        <v>0</v>
      </c>
      <c r="AD22" s="1611">
        <f t="shared" si="11"/>
        <v>0</v>
      </c>
      <c r="AE22" s="1611">
        <f t="shared" si="11"/>
        <v>0</v>
      </c>
      <c r="AF22" s="255"/>
      <c r="AG22" s="1557"/>
      <c r="AH22" s="255"/>
      <c r="AI22" s="255"/>
      <c r="AJ22" s="255"/>
      <c r="AK22" s="255"/>
      <c r="AL22" s="255"/>
      <c r="AM22" s="255"/>
      <c r="AN22" s="255"/>
      <c r="AO22" s="255"/>
      <c r="AP22" s="255"/>
      <c r="AQ22" s="255"/>
      <c r="AR22" s="255"/>
      <c r="AS22" s="255"/>
      <c r="AT22" s="255"/>
      <c r="AU22" s="255"/>
      <c r="AV22" s="255"/>
      <c r="AW22" s="255"/>
      <c r="AX22" s="255"/>
      <c r="AY22" s="255"/>
      <c r="AZ22" s="255"/>
      <c r="BA22" s="255"/>
      <c r="BB22" s="255"/>
    </row>
    <row r="23" spans="1:54" s="336" customFormat="1" ht="13.9">
      <c r="A23" s="1557"/>
      <c r="B23" s="1557"/>
      <c r="C23" s="1561"/>
      <c r="D23" s="1503" t="str">
        <f>IF(E23="","",Fail)</f>
        <v/>
      </c>
      <c r="E23" s="888" t="str">
        <f>IF('Depreciation and Tax Benefit'!F25="Straight-line","",IF(AND(LEFT('Depreciation and Tax Benefit'!$F$25,5)="MACRS",OR('Depreciation and Tax Benefit'!$E$25=3,'Depreciation and Tax Benefit'!$E$25=5,'Depreciation and Tax Benefit'!$E$25=7,'Depreciation and Tax Benefit'!$E$25=10,'Depreciation and Tax Benefit'!$E$25=15,'Depreciation and Tax Benefit'!$E$25=20)),"","For existing Net PPE: MACRS must use 3, 5, 7, 10, 15 or 20 year life"))</f>
        <v/>
      </c>
      <c r="F23" s="1503"/>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060"/>
      <c r="AG23" s="1557"/>
      <c r="AH23" s="2060"/>
      <c r="AI23" s="2060"/>
      <c r="AJ23" s="2060"/>
      <c r="AK23" s="2060"/>
      <c r="AL23" s="2060"/>
      <c r="AM23" s="2060"/>
      <c r="AN23" s="2060"/>
      <c r="AO23" s="2060"/>
      <c r="AP23" s="2060"/>
      <c r="AQ23" s="2060"/>
      <c r="AR23" s="2060"/>
      <c r="AS23" s="2060"/>
      <c r="AT23" s="2060"/>
      <c r="AU23" s="2060"/>
      <c r="AV23" s="2060"/>
      <c r="AW23" s="2060"/>
      <c r="AX23" s="2060"/>
      <c r="AY23" s="2060"/>
      <c r="AZ23" s="2060"/>
      <c r="BA23" s="2060"/>
      <c r="BB23" s="2060"/>
    </row>
    <row r="24" spans="1:54" s="336" customFormat="1" ht="13.9">
      <c r="A24" s="1557"/>
      <c r="B24" s="1557"/>
      <c r="C24" s="512" t="s">
        <v>202</v>
      </c>
      <c r="D24" s="1527"/>
      <c r="E24" s="2096" t="s">
        <v>59</v>
      </c>
      <c r="F24" s="562" t="s">
        <v>60</v>
      </c>
      <c r="G24" s="22"/>
      <c r="H24" s="682" t="s">
        <v>59</v>
      </c>
      <c r="I24" s="562" t="s">
        <v>60</v>
      </c>
      <c r="J24" s="22"/>
      <c r="K24" s="22"/>
      <c r="L24" s="22"/>
      <c r="M24" s="22"/>
      <c r="N24" s="22"/>
      <c r="O24" s="22"/>
      <c r="P24" s="22"/>
      <c r="Q24" s="22"/>
      <c r="R24" s="22"/>
      <c r="S24" s="22"/>
      <c r="T24" s="22"/>
      <c r="U24" s="22"/>
      <c r="V24" s="22"/>
      <c r="W24" s="22"/>
      <c r="X24" s="22"/>
      <c r="Y24" s="22"/>
      <c r="Z24" s="22"/>
      <c r="AA24" s="22"/>
      <c r="AB24" s="22"/>
      <c r="AC24" s="22"/>
      <c r="AD24" s="22"/>
      <c r="AE24" s="22"/>
      <c r="AF24" s="2060"/>
      <c r="AG24" s="1557"/>
      <c r="AH24" s="2060"/>
      <c r="AI24" s="2060"/>
      <c r="AJ24" s="2060"/>
      <c r="AK24" s="2060"/>
      <c r="AL24" s="2060"/>
      <c r="AM24" s="2060"/>
      <c r="AN24" s="2060"/>
      <c r="AO24" s="2060"/>
      <c r="AP24" s="2060"/>
      <c r="AQ24" s="2060"/>
      <c r="AR24" s="2060"/>
      <c r="AS24" s="2060"/>
      <c r="AT24" s="2060"/>
      <c r="AU24" s="2060"/>
      <c r="AV24" s="2060"/>
      <c r="AW24" s="2060"/>
      <c r="AX24" s="2060"/>
      <c r="AY24" s="2060"/>
      <c r="AZ24" s="2060"/>
      <c r="BA24" s="2060"/>
      <c r="BB24" s="2060"/>
    </row>
    <row r="25" spans="1:54" s="336" customFormat="1" ht="13.9">
      <c r="A25" s="1557" t="str">
        <f>IF(SUM(G25:Q25),"","n")</f>
        <v>n</v>
      </c>
      <c r="B25" s="1557"/>
      <c r="C25" s="1561" t="s">
        <v>1609</v>
      </c>
      <c r="D25" s="513">
        <f>G$20</f>
        <v>0</v>
      </c>
      <c r="E25" s="2244">
        <f>START!H48</f>
        <v>10</v>
      </c>
      <c r="F25" s="2244" t="str">
        <f>START!I48</f>
        <v>Straight-line</v>
      </c>
      <c r="G25" s="1060">
        <f>IFERROR(IF('Depreciation and Tax Benefit'!$F25="Straight-line",($D25/'Depreciation and Tax Benefit'!$E$25)*StubWt,G$133*$D25),0)</f>
        <v>0</v>
      </c>
      <c r="H25" s="1060">
        <f>IFERROR(IF('Depreciation and Tax Benefit'!$F25="Straight-line",MIN($D25/'Depreciation and Tax Benefit'!$E25,$D$25-SUM($G$25:G25)),H$133*$D25),0)</f>
        <v>0</v>
      </c>
      <c r="I25" s="1060">
        <f>IFERROR(IF('Depreciation and Tax Benefit'!$F25="Straight-line",MIN($D25/'Depreciation and Tax Benefit'!$E25,$D$25-SUM($G$25:H25)),I$133*$D25),0)</f>
        <v>0</v>
      </c>
      <c r="J25" s="1060">
        <f>IFERROR(IF('Depreciation and Tax Benefit'!$F25="Straight-line",MIN($D25/'Depreciation and Tax Benefit'!$E25,$D$25-SUM($G$25:I25)),J$133*$D25),0)</f>
        <v>0</v>
      </c>
      <c r="K25" s="1060">
        <f>IFERROR(IF('Depreciation and Tax Benefit'!$F25="Straight-line",MIN($D25/'Depreciation and Tax Benefit'!$E25,$D$25-SUM($G$25:J25)),K$133*$D25),0)</f>
        <v>0</v>
      </c>
      <c r="L25" s="1060">
        <f>IFERROR(IF('Depreciation and Tax Benefit'!$F25="Straight-line",MIN($D25/'Depreciation and Tax Benefit'!$E25,$D$25-SUM($G$25:K25)),L$133*$D25),0)</f>
        <v>0</v>
      </c>
      <c r="M25" s="1060">
        <f>IFERROR(IF('Depreciation and Tax Benefit'!$F25="Straight-line",MIN($D25/'Depreciation and Tax Benefit'!$E25,$D$25-SUM($G$25:L25)),M$133*$D25),0)</f>
        <v>0</v>
      </c>
      <c r="N25" s="1060">
        <f>IFERROR(IF('Depreciation and Tax Benefit'!$F25="Straight-line",MIN($D25/'Depreciation and Tax Benefit'!$E25,$D$25-SUM($G$25:M25)),N$133*$D25),0)</f>
        <v>0</v>
      </c>
      <c r="O25" s="1060">
        <f>IFERROR(IF('Depreciation and Tax Benefit'!$F25="Straight-line",MIN($D25/'Depreciation and Tax Benefit'!$E25,$D$25-SUM($G$25:N25)),O$133*$D25),0)</f>
        <v>0</v>
      </c>
      <c r="P25" s="1060">
        <f>IFERROR(IF('Depreciation and Tax Benefit'!$F25="Straight-line",MIN($D25/'Depreciation and Tax Benefit'!$E25,$D$25-SUM($G$25:O25)),P$133*$D25),0)</f>
        <v>0</v>
      </c>
      <c r="Q25" s="1060">
        <f>IFERROR(IF('Depreciation and Tax Benefit'!$F25="Straight-line",MIN($D25/'Depreciation and Tax Benefit'!$E25,$D$25-SUM($G$25:P25)),Q$133*$D25),0)</f>
        <v>0</v>
      </c>
      <c r="R25" s="1060">
        <f>IFERROR(IF('Depreciation and Tax Benefit'!$F25="Straight-line",MIN($D25/'Depreciation and Tax Benefit'!$E25,$D$25-SUM($G$25:Q25)),R$133*$D25),0)</f>
        <v>0</v>
      </c>
      <c r="S25" s="1060">
        <f>IFERROR(IF('Depreciation and Tax Benefit'!$F25="Straight-line",MIN($D25/'Depreciation and Tax Benefit'!$E25,$D$25-SUM($G$25:R25)),S$133*$D25),0)</f>
        <v>0</v>
      </c>
      <c r="T25" s="1060">
        <f>IFERROR(IF('Depreciation and Tax Benefit'!$F25="Straight-line",MIN($D25/'Depreciation and Tax Benefit'!$E25,$D$25-SUM($G$25:S25)),T$133*$D25),0)</f>
        <v>0</v>
      </c>
      <c r="U25" s="1060">
        <f>IFERROR(IF('Depreciation and Tax Benefit'!$F25="Straight-line",MIN($D25/'Depreciation and Tax Benefit'!$E25,$D$25-SUM($G$25:T25)),U$133*$D25),0)</f>
        <v>0</v>
      </c>
      <c r="V25" s="1060">
        <f>IFERROR(IF('Depreciation and Tax Benefit'!$F25="Straight-line",MIN($D25/'Depreciation and Tax Benefit'!$E25,$D$25-SUM($G$25:U25)),V$133*$D25),0)</f>
        <v>0</v>
      </c>
      <c r="W25" s="1060">
        <f>IFERROR(IF('Depreciation and Tax Benefit'!$F25="Straight-line",MIN($D25/'Depreciation and Tax Benefit'!$E25,$D$25-SUM($G$25:V25)),W$133*$D25),0)</f>
        <v>0</v>
      </c>
      <c r="X25" s="1060">
        <f>IFERROR(IF('Depreciation and Tax Benefit'!$F25="Straight-line",MIN($D25/'Depreciation and Tax Benefit'!$E25,$D$25-SUM($G$25:W25)),X$133*$D25),0)</f>
        <v>0</v>
      </c>
      <c r="Y25" s="1060">
        <f>IFERROR(IF('Depreciation and Tax Benefit'!$F25="Straight-line",MIN($D25/'Depreciation and Tax Benefit'!$E25,$D$25-SUM($G$25:X25)),Y$133*$D25),0)</f>
        <v>0</v>
      </c>
      <c r="Z25" s="1060">
        <f>IFERROR(IF('Depreciation and Tax Benefit'!$F25="Straight-line",MIN($D25/'Depreciation and Tax Benefit'!$E25,$D$25-SUM($G$25:Y25)),Z$133*$D25),0)</f>
        <v>0</v>
      </c>
      <c r="AA25" s="1060">
        <f>IFERROR(IF('Depreciation and Tax Benefit'!$F25="Straight-line",MIN($D25/'Depreciation and Tax Benefit'!$E25,$D$25-SUM($G$25:Z25)),AA$133*$D25),0)</f>
        <v>0</v>
      </c>
      <c r="AB25" s="1060">
        <f>IFERROR(IF('Depreciation and Tax Benefit'!$F25="Straight-line",MIN($D25/'Depreciation and Tax Benefit'!$E25,$D$25-SUM($G$25:AA25)),AB$133*$D25),0)</f>
        <v>0</v>
      </c>
      <c r="AC25" s="1060">
        <f>IFERROR(IF('Depreciation and Tax Benefit'!$F25="Straight-line",MIN($D25/'Depreciation and Tax Benefit'!$E25,$D$25-SUM($G$25:AB25)),AC$133*$D25),0)</f>
        <v>0</v>
      </c>
      <c r="AD25" s="1060">
        <f>IFERROR(IF('Depreciation and Tax Benefit'!$F25="Straight-line",MIN($D25/'Depreciation and Tax Benefit'!$E25,$D$25-SUM($G$25:AC25)),AD$133*$D25),0)</f>
        <v>0</v>
      </c>
      <c r="AE25" s="1060">
        <f>IFERROR(IF('Depreciation and Tax Benefit'!$F25="Straight-line",MIN($D25/'Depreciation and Tax Benefit'!$E25,$D$25-SUM($G$25:AD25)),AE$133*$D25),0)</f>
        <v>0</v>
      </c>
      <c r="AF25" s="2060"/>
      <c r="AG25" s="1557"/>
      <c r="AH25" s="2060"/>
      <c r="AI25" s="2060"/>
      <c r="AJ25" s="2060"/>
      <c r="AK25" s="2060"/>
      <c r="AL25" s="2060"/>
      <c r="AM25" s="2060"/>
      <c r="AN25" s="2060"/>
      <c r="AO25" s="2060"/>
      <c r="AP25" s="2060"/>
      <c r="AQ25" s="2060"/>
      <c r="AR25" s="2060"/>
      <c r="AS25" s="2060"/>
      <c r="AT25" s="2060"/>
      <c r="AU25" s="2060"/>
      <c r="AV25" s="2060"/>
      <c r="AW25" s="2060"/>
      <c r="AX25" s="2060"/>
      <c r="AY25" s="2060"/>
      <c r="AZ25" s="2060"/>
      <c r="BA25" s="2060"/>
      <c r="BB25" s="2060"/>
    </row>
    <row r="26" spans="1:54" s="336" customFormat="1" ht="13.9">
      <c r="A26" s="1557"/>
      <c r="B26" s="1557"/>
      <c r="C26" s="1561"/>
      <c r="D26" s="1503" t="str">
        <f>IF('Depreciation and Tax Benefit'!E26="","",Fail)</f>
        <v/>
      </c>
      <c r="E26" s="888" t="str">
        <f>IF(F27="Straight-line","",IF(AND(LEFT($F$27,5)="MACRS",OR($E$27=3,$E$27=5,$E$27=7,$E$27=10,$E$27=15,$E$27=20)),"","For projected Capex: MACRS must use 3, 5, 7, 10, 15 or 20 year life"))</f>
        <v/>
      </c>
      <c r="F26" s="1561"/>
      <c r="G26" s="1971"/>
      <c r="H26" s="509"/>
      <c r="I26" s="509"/>
      <c r="J26" s="509"/>
      <c r="K26" s="509"/>
      <c r="L26" s="509"/>
      <c r="M26" s="509"/>
      <c r="N26" s="509"/>
      <c r="O26" s="509"/>
      <c r="P26" s="509"/>
      <c r="Q26" s="509"/>
      <c r="R26" s="509"/>
      <c r="S26" s="509"/>
      <c r="T26" s="509"/>
      <c r="U26" s="509"/>
      <c r="V26" s="509"/>
      <c r="W26" s="509"/>
      <c r="X26" s="509"/>
      <c r="Y26" s="509"/>
      <c r="Z26" s="509"/>
      <c r="AA26" s="509"/>
      <c r="AB26" s="509"/>
      <c r="AC26" s="509"/>
      <c r="AD26" s="509"/>
      <c r="AE26" s="509"/>
      <c r="AF26" s="2060"/>
      <c r="AG26" s="1557"/>
      <c r="AH26" s="2060"/>
      <c r="AI26" s="2060"/>
      <c r="AJ26" s="2060"/>
      <c r="AK26" s="2060"/>
      <c r="AL26" s="2060"/>
      <c r="AM26" s="2060"/>
      <c r="AN26" s="2060"/>
      <c r="AO26" s="2060"/>
      <c r="AP26" s="2060"/>
      <c r="AQ26" s="2060"/>
      <c r="AR26" s="2060"/>
      <c r="AS26" s="2060"/>
      <c r="AT26" s="2060"/>
      <c r="AU26" s="2060"/>
      <c r="AV26" s="2060"/>
      <c r="AW26" s="2060"/>
      <c r="AX26" s="2060"/>
      <c r="AY26" s="2060"/>
      <c r="AZ26" s="2060"/>
      <c r="BA26" s="2060"/>
      <c r="BB26" s="2060"/>
    </row>
    <row r="27" spans="1:54" s="336" customFormat="1" ht="13.9">
      <c r="A27" s="1557"/>
      <c r="B27" s="1557"/>
      <c r="C27" s="887" t="s">
        <v>1610</v>
      </c>
      <c r="D27" s="514" t="s">
        <v>1611</v>
      </c>
      <c r="E27" s="2244">
        <f>START!$H$50</f>
        <v>10</v>
      </c>
      <c r="F27" s="2244" t="str">
        <f>START!I50</f>
        <v>Straight-line</v>
      </c>
      <c r="G27" s="1529"/>
      <c r="H27" s="1529"/>
      <c r="I27" s="1529"/>
      <c r="J27" s="1529"/>
      <c r="K27" s="1529"/>
      <c r="L27" s="1529"/>
      <c r="M27" s="1529"/>
      <c r="N27" s="1529"/>
      <c r="O27" s="1529"/>
      <c r="P27" s="1529"/>
      <c r="Q27" s="1529"/>
      <c r="R27" s="1529"/>
      <c r="S27" s="1529"/>
      <c r="T27" s="1529"/>
      <c r="U27" s="1529"/>
      <c r="V27" s="1529"/>
      <c r="W27" s="1529"/>
      <c r="X27" s="1529"/>
      <c r="Y27" s="1529"/>
      <c r="Z27" s="1529"/>
      <c r="AA27" s="1529"/>
      <c r="AB27" s="1529"/>
      <c r="AC27" s="1529"/>
      <c r="AD27" s="1529"/>
      <c r="AE27" s="1529"/>
      <c r="AF27" s="2060"/>
      <c r="AG27" s="1557"/>
      <c r="AH27" s="2060"/>
      <c r="AI27" s="2060"/>
      <c r="AJ27" s="2060"/>
      <c r="AK27" s="2060"/>
      <c r="AL27" s="2060"/>
      <c r="AM27" s="2060"/>
      <c r="AN27" s="2060"/>
      <c r="AO27" s="2060"/>
      <c r="AP27" s="2060"/>
      <c r="AQ27" s="2060"/>
      <c r="AR27" s="2060"/>
      <c r="AS27" s="2060"/>
      <c r="AT27" s="2060"/>
      <c r="AU27" s="2060"/>
      <c r="AV27" s="2060"/>
      <c r="AW27" s="2060"/>
      <c r="AX27" s="2060"/>
      <c r="AY27" s="2060"/>
      <c r="AZ27" s="2060"/>
      <c r="BA27" s="2060"/>
      <c r="BB27" s="2060"/>
    </row>
    <row r="28" spans="1:54" s="336" customFormat="1" ht="13.9">
      <c r="A28" s="1557" t="str">
        <f t="shared" ref="A28:A38" ca="1" si="12">IF(SUM(G28:Q28),"","n")</f>
        <v>n</v>
      </c>
      <c r="B28" s="1969">
        <f>IF(StubY,0,1)</f>
        <v>0</v>
      </c>
      <c r="C28" s="1366">
        <f t="shared" ref="C28:C52" ca="1" si="13">OFFSET($G$18,0,ROW()-ROW($C$28))</f>
        <v>42825</v>
      </c>
      <c r="D28" s="513">
        <f t="shared" ref="D28:D52" ca="1" si="14">SUMIFS($G$21:$AE$21,$G$18:$AE$18,$C28)</f>
        <v>0</v>
      </c>
      <c r="E28" s="618">
        <f>'Depreciation and Tax Benefit'!$E$27</f>
        <v>10</v>
      </c>
      <c r="F28" s="511"/>
      <c r="G28" s="1060">
        <f ca="1">IFERROR(IF('Depreciation and Tax Benefit'!$F$27="Straight-line",IF(G$6=$B28,$D28/$E28*IF(AND($C28=$G$18,StubY),StubWt/2,0.5),MIN($D28/$E28,$D28-SUM($F28:F28))),SUMIFS($G$135:$AA$135,$G$134:$AA$134,G$6-$B28+1)*$D28),0)</f>
        <v>0</v>
      </c>
      <c r="H28" s="1060">
        <f ca="1">IFERROR(IF('Depreciation and Tax Benefit'!$F$27="Straight-line",IF(H$6=$B28,$D28/$E28*IF(AND($C28=$G$18,StubY),StubWt/2,0.5),MIN($D28/$E28,$D28-SUM($F28:G28))),SUMIFS($G$135:$AA$135,$G$134:$AA$134,H$6-$B28+1)*$D28),0)</f>
        <v>0</v>
      </c>
      <c r="I28" s="1060">
        <f ca="1">IFERROR(IF('Depreciation and Tax Benefit'!$F$27="Straight-line",IF(I$6=$B28,$D28/$E28*IF(AND($C28=$G$18,StubY),StubWt/2,0.5),MIN($D28/$E28,$D28-SUM($F28:H28))),SUMIFS($G$135:$AA$135,$G$134:$AA$134,I$6-$B28+1)*$D28),0)</f>
        <v>0</v>
      </c>
      <c r="J28" s="1060">
        <f ca="1">IFERROR(IF('Depreciation and Tax Benefit'!$F$27="Straight-line",IF(J$6=$B28,$D28/$E28*IF(AND($C28=$G$18,StubY),StubWt/2,0.5),MIN($D28/$E28,$D28-SUM($F28:I28))),SUMIFS($G$135:$AA$135,$G$134:$AA$134,J$6-$B28+1)*$D28),0)</f>
        <v>0</v>
      </c>
      <c r="K28" s="1060">
        <f ca="1">IFERROR(IF('Depreciation and Tax Benefit'!$F$27="Straight-line",IF(K$6=$B28,$D28/$E28*IF(AND($C28=$G$18,StubY),StubWt/2,0.5),MIN($D28/$E28,$D28-SUM($F28:J28))),SUMIFS($G$135:$AA$135,$G$134:$AA$134,K$6-$B28+1)*$D28),0)</f>
        <v>0</v>
      </c>
      <c r="L28" s="1060">
        <f ca="1">IFERROR(IF('Depreciation and Tax Benefit'!$F$27="Straight-line",IF(L$6=$B28,$D28/$E28*IF(AND($C28=$G$18,StubY),StubWt/2,0.5),MIN($D28/$E28,$D28-SUM($F28:K28))),SUMIFS($G$135:$AA$135,$G$134:$AA$134,L$6-$B28+1)*$D28),0)</f>
        <v>0</v>
      </c>
      <c r="M28" s="1060">
        <f ca="1">IFERROR(IF('Depreciation and Tax Benefit'!$F$27="Straight-line",IF(M$6=$B28,$D28/$E28*IF(AND($C28=$G$18,StubY),StubWt/2,0.5),MIN($D28/$E28,$D28-SUM($F28:L28))),SUMIFS($G$135:$AA$135,$G$134:$AA$134,M$6-$B28+1)*$D28),0)</f>
        <v>0</v>
      </c>
      <c r="N28" s="1060">
        <f ca="1">IFERROR(IF('Depreciation and Tax Benefit'!$F$27="Straight-line",IF(N$6=$B28,$D28/$E28*IF(AND($C28=$G$18,StubY),StubWt/2,0.5),MIN($D28/$E28,$D28-SUM($F28:M28))),SUMIFS($G$135:$AA$135,$G$134:$AA$134,N$6-$B28+1)*$D28),0)</f>
        <v>0</v>
      </c>
      <c r="O28" s="1060">
        <f ca="1">IFERROR(IF('Depreciation and Tax Benefit'!$F$27="Straight-line",IF(O$6=$B28,$D28/$E28*IF(AND($C28=$G$18,StubY),StubWt/2,0.5),MIN($D28/$E28,$D28-SUM($F28:N28))),SUMIFS($G$135:$AA$135,$G$134:$AA$134,O$6-$B28+1)*$D28),0)</f>
        <v>0</v>
      </c>
      <c r="P28" s="1060">
        <f ca="1">IFERROR(IF('Depreciation and Tax Benefit'!$F$27="Straight-line",IF(P$6=$B28,$D28/$E28*IF(AND($C28=$G$18,StubY),StubWt/2,0.5),MIN($D28/$E28,$D28-SUM($F28:O28))),SUMIFS($G$135:$AA$135,$G$134:$AA$134,P$6-$B28+1)*$D28),0)</f>
        <v>0</v>
      </c>
      <c r="Q28" s="1060">
        <f ca="1">IFERROR(IF('Depreciation and Tax Benefit'!$F$27="Straight-line",IF(Q$6=$B28,$D28/$E28*IF(AND($C28=$G$18,StubY),StubWt/2,0.5),MIN($D28/$E28,$D28-SUM($F28:P28))),SUMIFS($G$135:$AA$135,$G$134:$AA$134,Q$6-$B28+1)*$D28),0)</f>
        <v>0</v>
      </c>
      <c r="R28" s="1060">
        <f ca="1">IFERROR(IF('Depreciation and Tax Benefit'!$F$27="Straight-line",IF(R$6=$B28,$D28/$E28*IF(AND($C28=$G$18,StubY),StubWt/2,0.5),MIN($D28/$E28,$D28-SUM($F28:Q28))),SUMIFS($G$135:$AA$135,$G$134:$AA$134,R$6-$B28+1)*$D28),0)</f>
        <v>0</v>
      </c>
      <c r="S28" s="1060">
        <f ca="1">IFERROR(IF('Depreciation and Tax Benefit'!$F$27="Straight-line",IF(S$6=$B28,$D28/$E28*IF(AND($C28=$G$18,StubY),StubWt/2,0.5),MIN($D28/$E28,$D28-SUM($F28:R28))),SUMIFS($G$135:$AA$135,$G$134:$AA$134,S$6-$B28+1)*$D28),0)</f>
        <v>0</v>
      </c>
      <c r="T28" s="1060">
        <f ca="1">IFERROR(IF('Depreciation and Tax Benefit'!$F$27="Straight-line",IF(T$6=$B28,$D28/$E28*IF(AND($C28=$G$18,StubY),StubWt/2,0.5),MIN($D28/$E28,$D28-SUM($F28:S28))),SUMIFS($G$135:$AA$135,$G$134:$AA$134,T$6-$B28+1)*$D28),0)</f>
        <v>0</v>
      </c>
      <c r="U28" s="1060">
        <f ca="1">IFERROR(IF('Depreciation and Tax Benefit'!$F$27="Straight-line",IF(U$6=$B28,$D28/$E28*IF(AND($C28=$G$18,StubY),StubWt/2,0.5),MIN($D28/$E28,$D28-SUM($F28:T28))),SUMIFS($G$135:$AA$135,$G$134:$AA$134,U$6-$B28+1)*$D28),0)</f>
        <v>0</v>
      </c>
      <c r="V28" s="1060">
        <f ca="1">IFERROR(IF('Depreciation and Tax Benefit'!$F$27="Straight-line",IF(V$6=$B28,$D28/$E28*IF(AND($C28=$G$18,StubY),StubWt/2,0.5),MIN($D28/$E28,$D28-SUM($F28:U28))),SUMIFS($G$135:$AA$135,$G$134:$AA$134,V$6-$B28+1)*$D28),0)</f>
        <v>0</v>
      </c>
      <c r="W28" s="1060">
        <f ca="1">IFERROR(IF('Depreciation and Tax Benefit'!$F$27="Straight-line",IF(W$6=$B28,$D28/$E28*IF(AND($C28=$G$18,StubY),StubWt/2,0.5),MIN($D28/$E28,$D28-SUM($F28:V28))),SUMIFS($G$135:$AA$135,$G$134:$AA$134,W$6-$B28+1)*$D28),0)</f>
        <v>0</v>
      </c>
      <c r="X28" s="1060">
        <f ca="1">IFERROR(IF('Depreciation and Tax Benefit'!$F$27="Straight-line",IF(X$6=$B28,$D28/$E28*IF(AND($C28=$G$18,StubY),StubWt/2,0.5),MIN($D28/$E28,$D28-SUM($F28:W28))),SUMIFS($G$135:$AA$135,$G$134:$AA$134,X$6-$B28+1)*$D28),0)</f>
        <v>0</v>
      </c>
      <c r="Y28" s="1060">
        <f ca="1">IFERROR(IF('Depreciation and Tax Benefit'!$F$27="Straight-line",IF(Y$6=$B28,$D28/$E28*IF(AND($C28=$G$18,StubY),StubWt/2,0.5),MIN($D28/$E28,$D28-SUM($F28:X28))),SUMIFS($G$135:$AA$135,$G$134:$AA$134,Y$6-$B28+1)*$D28),0)</f>
        <v>0</v>
      </c>
      <c r="Z28" s="1060">
        <f ca="1">IFERROR(IF('Depreciation and Tax Benefit'!$F$27="Straight-line",IF(Z$6=$B28,$D28/$E28*IF(AND($C28=$G$18,StubY),StubWt/2,0.5),MIN($D28/$E28,$D28-SUM($F28:Y28))),SUMIFS($G$135:$AA$135,$G$134:$AA$134,Z$6-$B28+1)*$D28),0)</f>
        <v>0</v>
      </c>
      <c r="AA28" s="1060">
        <f ca="1">IFERROR(IF('Depreciation and Tax Benefit'!$F$27="Straight-line",IF(AA$6=$B28,$D28/$E28*IF(AND($C28=$G$18,StubY),StubWt/2,0.5),MIN($D28/$E28,$D28-SUM($F28:Z28))),SUMIFS($G$135:$AA$135,$G$134:$AA$134,AA$6-$B28+1)*$D28),0)</f>
        <v>0</v>
      </c>
      <c r="AB28" s="1060">
        <f ca="1">IFERROR(IF('Depreciation and Tax Benefit'!$F$27="Straight-line",IF(AB$6=$B28,$D28/$E28*IF(AND($C28=$G$18,StubY),StubWt/2,0.5),MIN($D28/$E28,$D28-SUM($F28:AA28))),SUMIFS($G$135:$AA$135,$G$134:$AA$134,AB$6-$B28+1)*$D28),0)</f>
        <v>0</v>
      </c>
      <c r="AC28" s="1060">
        <f ca="1">IFERROR(IF('Depreciation and Tax Benefit'!$F$27="Straight-line",IF(AC$6=$B28,$D28/$E28*IF(AND($C28=$G$18,StubY),StubWt/2,0.5),MIN($D28/$E28,$D28-SUM($F28:AB28))),SUMIFS($G$135:$AA$135,$G$134:$AA$134,AC$6-$B28+1)*$D28),0)</f>
        <v>0</v>
      </c>
      <c r="AD28" s="1060">
        <f ca="1">IFERROR(IF('Depreciation and Tax Benefit'!$F$27="Straight-line",IF(AD$6=$B28,$D28/$E28*IF(AND($C28=$G$18,StubY),StubWt/2,0.5),MIN($D28/$E28,$D28-SUM($F28:AC28))),SUMIFS($G$135:$AA$135,$G$134:$AA$134,AD$6-$B28+1)*$D28),0)</f>
        <v>0</v>
      </c>
      <c r="AE28" s="1060">
        <f ca="1">IFERROR(IF('Depreciation and Tax Benefit'!$F$27="Straight-line",IF(AE$6=$B28,$D28/$E28*IF(AND($C28=$G$18,StubY),StubWt/2,0.5),MIN($D28/$E28,$D28-SUM($F28:AD28))),SUMIFS($G$135:$AA$135,$G$134:$AA$134,AE$6-$B28+1)*$D28),0)</f>
        <v>0</v>
      </c>
      <c r="AF28" s="2060"/>
      <c r="AG28" s="1557"/>
      <c r="AH28" s="2060"/>
      <c r="AI28" s="2060"/>
      <c r="AJ28" s="2060"/>
      <c r="AK28" s="2060"/>
      <c r="AL28" s="2060"/>
      <c r="AM28" s="2060"/>
      <c r="AN28" s="2060"/>
      <c r="AO28" s="2060"/>
      <c r="AP28" s="2060"/>
      <c r="AQ28" s="2060"/>
      <c r="AR28" s="2060"/>
      <c r="AS28" s="2060"/>
      <c r="AT28" s="2060"/>
      <c r="AU28" s="2060"/>
      <c r="AV28" s="2060"/>
      <c r="AW28" s="2060"/>
      <c r="AX28" s="2060"/>
      <c r="AY28" s="2060"/>
      <c r="AZ28" s="2060"/>
      <c r="BA28" s="2060"/>
      <c r="BB28" s="2060"/>
    </row>
    <row r="29" spans="1:54" s="336" customFormat="1" ht="13.9">
      <c r="A29" s="1557" t="str">
        <f t="shared" ca="1" si="12"/>
        <v>n</v>
      </c>
      <c r="B29" s="1969">
        <f>B28+1</f>
        <v>1</v>
      </c>
      <c r="C29" s="1366">
        <f t="shared" ca="1" si="13"/>
        <v>43190</v>
      </c>
      <c r="D29" s="513">
        <f t="shared" ca="1" si="14"/>
        <v>0</v>
      </c>
      <c r="E29" s="618">
        <f>'Depreciation and Tax Benefit'!$E$27</f>
        <v>10</v>
      </c>
      <c r="F29" s="511"/>
      <c r="G29" s="509"/>
      <c r="H29" s="1060">
        <f ca="1">IFERROR(IF('Depreciation and Tax Benefit'!$F$27="Straight-line",IF(H$6=$B29,$D29/$E29*IF(AND($C29=$G$18,StubY),StubWt/2,0.5),MIN($D29/$E29,$D29-SUM($F29:G29))),SUMIFS($G$135:$AA$135,$G$134:$AA$134,H$6-$B29+1)*$D29),0)</f>
        <v>0</v>
      </c>
      <c r="I29" s="1060">
        <f ca="1">IFERROR(IF('Depreciation and Tax Benefit'!$F$27="Straight-line",IF(I$6=$B29,$D29/$E29*IF(AND($C29=$G$18,StubY),StubWt/2,0.5),MIN($D29/$E29,$D29-SUM($F29:H29))),SUMIFS($G$135:$AA$135,$G$134:$AA$134,I$6-$B29+1)*$D29),0)</f>
        <v>0</v>
      </c>
      <c r="J29" s="1060">
        <f ca="1">IFERROR(IF('Depreciation and Tax Benefit'!$F$27="Straight-line",IF(J$6=$B29,$D29/$E29*IF(AND($C29=$G$18,StubY),StubWt/2,0.5),MIN($D29/$E29,$D29-SUM($F29:I29))),SUMIFS($G$135:$AA$135,$G$134:$AA$134,J$6-$B29+1)*$D29),0)</f>
        <v>0</v>
      </c>
      <c r="K29" s="1060">
        <f ca="1">IFERROR(IF('Depreciation and Tax Benefit'!$F$27="Straight-line",IF(K$6=$B29,$D29/$E29*IF(AND($C29=$G$18,StubY),StubWt/2,0.5),MIN($D29/$E29,$D29-SUM($F29:J29))),SUMIFS($G$135:$AA$135,$G$134:$AA$134,K$6-$B29+1)*$D29),0)</f>
        <v>0</v>
      </c>
      <c r="L29" s="1060">
        <f ca="1">IFERROR(IF('Depreciation and Tax Benefit'!$F$27="Straight-line",IF(L$6=$B29,$D29/$E29*IF(AND($C29=$G$18,StubY),StubWt/2,0.5),MIN($D29/$E29,$D29-SUM($F29:K29))),SUMIFS($G$135:$AA$135,$G$134:$AA$134,L$6-$B29+1)*$D29),0)</f>
        <v>0</v>
      </c>
      <c r="M29" s="1060">
        <f ca="1">IFERROR(IF('Depreciation and Tax Benefit'!$F$27="Straight-line",IF(M$6=$B29,$D29/$E29*IF(AND($C29=$G$18,StubY),StubWt/2,0.5),MIN($D29/$E29,$D29-SUM($F29:L29))),SUMIFS($G$135:$AA$135,$G$134:$AA$134,M$6-$B29+1)*$D29),0)</f>
        <v>0</v>
      </c>
      <c r="N29" s="1060">
        <f ca="1">IFERROR(IF('Depreciation and Tax Benefit'!$F$27="Straight-line",IF(N$6=$B29,$D29/$E29*IF(AND($C29=$G$18,StubY),StubWt/2,0.5),MIN($D29/$E29,$D29-SUM($F29:M29))),SUMIFS($G$135:$AA$135,$G$134:$AA$134,N$6-$B29+1)*$D29),0)</f>
        <v>0</v>
      </c>
      <c r="O29" s="1060">
        <f ca="1">IFERROR(IF('Depreciation and Tax Benefit'!$F$27="Straight-line",IF(O$6=$B29,$D29/$E29*IF(AND($C29=$G$18,StubY),StubWt/2,0.5),MIN($D29/$E29,$D29-SUM($F29:N29))),SUMIFS($G$135:$AA$135,$G$134:$AA$134,O$6-$B29+1)*$D29),0)</f>
        <v>0</v>
      </c>
      <c r="P29" s="1060">
        <f ca="1">IFERROR(IF('Depreciation and Tax Benefit'!$F$27="Straight-line",IF(P$6=$B29,$D29/$E29*IF(AND($C29=$G$18,StubY),StubWt/2,0.5),MIN($D29/$E29,$D29-SUM($F29:O29))),SUMIFS($G$135:$AA$135,$G$134:$AA$134,P$6-$B29+1)*$D29),0)</f>
        <v>0</v>
      </c>
      <c r="Q29" s="1060">
        <f ca="1">IFERROR(IF('Depreciation and Tax Benefit'!$F$27="Straight-line",IF(Q$6=$B29,$D29/$E29*IF(AND($C29=$G$18,StubY),StubWt/2,0.5),MIN($D29/$E29,$D29-SUM($F29:P29))),SUMIFS($G$135:$AA$135,$G$134:$AA$134,Q$6-$B29+1)*$D29),0)</f>
        <v>0</v>
      </c>
      <c r="R29" s="1060">
        <f ca="1">IFERROR(IF('Depreciation and Tax Benefit'!$F$27="Straight-line",IF(R$6=$B29,$D29/$E29*IF(AND($C29=$G$18,StubY),StubWt/2,0.5),MIN($D29/$E29,$D29-SUM($F29:Q29))),SUMIFS($G$135:$AA$135,$G$134:$AA$134,R$6-$B29+1)*$D29),0)</f>
        <v>0</v>
      </c>
      <c r="S29" s="1060">
        <f ca="1">IFERROR(IF('Depreciation and Tax Benefit'!$F$27="Straight-line",IF(S$6=$B29,$D29/$E29*IF(AND($C29=$G$18,StubY),StubWt/2,0.5),MIN($D29/$E29,$D29-SUM($F29:R29))),SUMIFS($G$135:$AA$135,$G$134:$AA$134,S$6-$B29+1)*$D29),0)</f>
        <v>0</v>
      </c>
      <c r="T29" s="1060">
        <f ca="1">IFERROR(IF('Depreciation and Tax Benefit'!$F$27="Straight-line",IF(T$6=$B29,$D29/$E29*IF(AND($C29=$G$18,StubY),StubWt/2,0.5),MIN($D29/$E29,$D29-SUM($F29:S29))),SUMIFS($G$135:$AA$135,$G$134:$AA$134,T$6-$B29+1)*$D29),0)</f>
        <v>0</v>
      </c>
      <c r="U29" s="1060">
        <f ca="1">IFERROR(IF('Depreciation and Tax Benefit'!$F$27="Straight-line",IF(U$6=$B29,$D29/$E29*IF(AND($C29=$G$18,StubY),StubWt/2,0.5),MIN($D29/$E29,$D29-SUM($F29:T29))),SUMIFS($G$135:$AA$135,$G$134:$AA$134,U$6-$B29+1)*$D29),0)</f>
        <v>0</v>
      </c>
      <c r="V29" s="1060">
        <f ca="1">IFERROR(IF('Depreciation and Tax Benefit'!$F$27="Straight-line",IF(V$6=$B29,$D29/$E29*IF(AND($C29=$G$18,StubY),StubWt/2,0.5),MIN($D29/$E29,$D29-SUM($F29:U29))),SUMIFS($G$135:$AA$135,$G$134:$AA$134,V$6-$B29+1)*$D29),0)</f>
        <v>0</v>
      </c>
      <c r="W29" s="1060">
        <f ca="1">IFERROR(IF('Depreciation and Tax Benefit'!$F$27="Straight-line",IF(W$6=$B29,$D29/$E29*IF(AND($C29=$G$18,StubY),StubWt/2,0.5),MIN($D29/$E29,$D29-SUM($F29:V29))),SUMIFS($G$135:$AA$135,$G$134:$AA$134,W$6-$B29+1)*$D29),0)</f>
        <v>0</v>
      </c>
      <c r="X29" s="1060">
        <f ca="1">IFERROR(IF('Depreciation and Tax Benefit'!$F$27="Straight-line",IF(X$6=$B29,$D29/$E29*IF(AND($C29=$G$18,StubY),StubWt/2,0.5),MIN($D29/$E29,$D29-SUM($F29:W29))),SUMIFS($G$135:$AA$135,$G$134:$AA$134,X$6-$B29+1)*$D29),0)</f>
        <v>0</v>
      </c>
      <c r="Y29" s="1060">
        <f ca="1">IFERROR(IF('Depreciation and Tax Benefit'!$F$27="Straight-line",IF(Y$6=$B29,$D29/$E29*IF(AND($C29=$G$18,StubY),StubWt/2,0.5),MIN($D29/$E29,$D29-SUM($F29:X29))),SUMIFS($G$135:$AA$135,$G$134:$AA$134,Y$6-$B29+1)*$D29),0)</f>
        <v>0</v>
      </c>
      <c r="Z29" s="1060">
        <f ca="1">IFERROR(IF('Depreciation and Tax Benefit'!$F$27="Straight-line",IF(Z$6=$B29,$D29/$E29*IF(AND($C29=$G$18,StubY),StubWt/2,0.5),MIN($D29/$E29,$D29-SUM($F29:Y29))),SUMIFS($G$135:$AA$135,$G$134:$AA$134,Z$6-$B29+1)*$D29),0)</f>
        <v>0</v>
      </c>
      <c r="AA29" s="1060">
        <f ca="1">IFERROR(IF('Depreciation and Tax Benefit'!$F$27="Straight-line",IF(AA$6=$B29,$D29/$E29*IF(AND($C29=$G$18,StubY),StubWt/2,0.5),MIN($D29/$E29,$D29-SUM($F29:Z29))),SUMIFS($G$135:$AA$135,$G$134:$AA$134,AA$6-$B29+1)*$D29),0)</f>
        <v>0</v>
      </c>
      <c r="AB29" s="1060">
        <f ca="1">IFERROR(IF('Depreciation and Tax Benefit'!$F$27="Straight-line",IF(AB$6=$B29,$D29/$E29*IF(AND($C29=$G$18,StubY),StubWt/2,0.5),MIN($D29/$E29,$D29-SUM($F29:AA29))),SUMIFS($G$135:$AA$135,$G$134:$AA$134,AB$6-$B29+1)*$D29),0)</f>
        <v>0</v>
      </c>
      <c r="AC29" s="1060">
        <f ca="1">IFERROR(IF('Depreciation and Tax Benefit'!$F$27="Straight-line",IF(AC$6=$B29,$D29/$E29*IF(AND($C29=$G$18,StubY),StubWt/2,0.5),MIN($D29/$E29,$D29-SUM($F29:AB29))),SUMIFS($G$135:$AA$135,$G$134:$AA$134,AC$6-$B29+1)*$D29),0)</f>
        <v>0</v>
      </c>
      <c r="AD29" s="1060">
        <f ca="1">IFERROR(IF('Depreciation and Tax Benefit'!$F$27="Straight-line",IF(AD$6=$B29,$D29/$E29*IF(AND($C29=$G$18,StubY),StubWt/2,0.5),MIN($D29/$E29,$D29-SUM($F29:AC29))),SUMIFS($G$135:$AA$135,$G$134:$AA$134,AD$6-$B29+1)*$D29),0)</f>
        <v>0</v>
      </c>
      <c r="AE29" s="1060">
        <f ca="1">IFERROR(IF('Depreciation and Tax Benefit'!$F$27="Straight-line",IF(AE$6=$B29,$D29/$E29*IF(AND($C29=$G$18,StubY),StubWt/2,0.5),MIN($D29/$E29,$D29-SUM($F29:AD29))),SUMIFS($G$135:$AA$135,$G$134:$AA$134,AE$6-$B29+1)*$D29),0)</f>
        <v>0</v>
      </c>
      <c r="AF29" s="1060"/>
      <c r="AG29" s="1557"/>
      <c r="AH29" s="2060"/>
      <c r="AI29" s="2060"/>
      <c r="AJ29" s="2060"/>
      <c r="AK29" s="2060"/>
      <c r="AL29" s="2060"/>
      <c r="AM29" s="2060"/>
      <c r="AN29" s="2060"/>
      <c r="AO29" s="2060"/>
      <c r="AP29" s="2060"/>
      <c r="AQ29" s="2060"/>
      <c r="AR29" s="2060"/>
      <c r="AS29" s="2060"/>
      <c r="AT29" s="2060"/>
      <c r="AU29" s="2060"/>
      <c r="AV29" s="2060"/>
      <c r="AW29" s="2060"/>
      <c r="AX29" s="2060"/>
      <c r="AY29" s="2060"/>
      <c r="AZ29" s="2060"/>
      <c r="BA29" s="2060"/>
      <c r="BB29" s="2060"/>
    </row>
    <row r="30" spans="1:54" s="336" customFormat="1" ht="13.9">
      <c r="A30" s="1557" t="str">
        <f t="shared" ca="1" si="12"/>
        <v>n</v>
      </c>
      <c r="B30" s="1969">
        <f t="shared" ref="B30:B52" si="15">B29+1</f>
        <v>2</v>
      </c>
      <c r="C30" s="1366">
        <f t="shared" ca="1" si="13"/>
        <v>43555</v>
      </c>
      <c r="D30" s="513">
        <f t="shared" ca="1" si="14"/>
        <v>0</v>
      </c>
      <c r="E30" s="618">
        <f>'Depreciation and Tax Benefit'!$E$27</f>
        <v>10</v>
      </c>
      <c r="F30" s="511"/>
      <c r="G30" s="509"/>
      <c r="H30" s="509"/>
      <c r="I30" s="1060">
        <f ca="1">IFERROR(IF('Depreciation and Tax Benefit'!$F$27="Straight-line",IF(I$6=$B30,$D30/$E30*IF(AND($C30=$G$18,StubY),StubWt/2,0.5),MIN($D30/$E30,$D30-SUM($F30:H30))),SUMIFS($G$135:$AA$135,$G$134:$AA$134,I$6-$B30+1)*$D30),0)</f>
        <v>0</v>
      </c>
      <c r="J30" s="1060">
        <f ca="1">IFERROR(IF('Depreciation and Tax Benefit'!$F$27="Straight-line",IF(J$6=$B30,$D30/$E30*IF(AND($C30=$G$18,StubY),StubWt/2,0.5),MIN($D30/$E30,$D30-SUM($F30:I30))),SUMIFS($G$135:$AA$135,$G$134:$AA$134,J$6-$B30+1)*$D30),0)</f>
        <v>0</v>
      </c>
      <c r="K30" s="1060">
        <f ca="1">IFERROR(IF('Depreciation and Tax Benefit'!$F$27="Straight-line",IF(K$6=$B30,$D30/$E30*IF(AND($C30=$G$18,StubY),StubWt/2,0.5),MIN($D30/$E30,$D30-SUM($F30:J30))),SUMIFS($G$135:$AA$135,$G$134:$AA$134,K$6-$B30+1)*$D30),0)</f>
        <v>0</v>
      </c>
      <c r="L30" s="1060">
        <f ca="1">IFERROR(IF('Depreciation and Tax Benefit'!$F$27="Straight-line",IF(L$6=$B30,$D30/$E30*IF(AND($C30=$G$18,StubY),StubWt/2,0.5),MIN($D30/$E30,$D30-SUM($F30:K30))),SUMIFS($G$135:$AA$135,$G$134:$AA$134,L$6-$B30+1)*$D30),0)</f>
        <v>0</v>
      </c>
      <c r="M30" s="1060">
        <f ca="1">IFERROR(IF('Depreciation and Tax Benefit'!$F$27="Straight-line",IF(M$6=$B30,$D30/$E30*IF(AND($C30=$G$18,StubY),StubWt/2,0.5),MIN($D30/$E30,$D30-SUM($F30:L30))),SUMIFS($G$135:$AA$135,$G$134:$AA$134,M$6-$B30+1)*$D30),0)</f>
        <v>0</v>
      </c>
      <c r="N30" s="1060">
        <f ca="1">IFERROR(IF('Depreciation and Tax Benefit'!$F$27="Straight-line",IF(N$6=$B30,$D30/$E30*IF(AND($C30=$G$18,StubY),StubWt/2,0.5),MIN($D30/$E30,$D30-SUM($F30:M30))),SUMIFS($G$135:$AA$135,$G$134:$AA$134,N$6-$B30+1)*$D30),0)</f>
        <v>0</v>
      </c>
      <c r="O30" s="1060">
        <f ca="1">IFERROR(IF('Depreciation and Tax Benefit'!$F$27="Straight-line",IF(O$6=$B30,$D30/$E30*IF(AND($C30=$G$18,StubY),StubWt/2,0.5),MIN($D30/$E30,$D30-SUM($F30:N30))),SUMIFS($G$135:$AA$135,$G$134:$AA$134,O$6-$B30+1)*$D30),0)</f>
        <v>0</v>
      </c>
      <c r="P30" s="1060">
        <f ca="1">IFERROR(IF('Depreciation and Tax Benefit'!$F$27="Straight-line",IF(P$6=$B30,$D30/$E30*IF(AND($C30=$G$18,StubY),StubWt/2,0.5),MIN($D30/$E30,$D30-SUM($F30:O30))),SUMIFS($G$135:$AA$135,$G$134:$AA$134,P$6-$B30+1)*$D30),0)</f>
        <v>0</v>
      </c>
      <c r="Q30" s="1060">
        <f ca="1">IFERROR(IF('Depreciation and Tax Benefit'!$F$27="Straight-line",IF(Q$6=$B30,$D30/$E30*IF(AND($C30=$G$18,StubY),StubWt/2,0.5),MIN($D30/$E30,$D30-SUM($F30:P30))),SUMIFS($G$135:$AA$135,$G$134:$AA$134,Q$6-$B30+1)*$D30),0)</f>
        <v>0</v>
      </c>
      <c r="R30" s="1060">
        <f ca="1">IFERROR(IF('Depreciation and Tax Benefit'!$F$27="Straight-line",IF(R$6=$B30,$D30/$E30*IF(AND($C30=$G$18,StubY),StubWt/2,0.5),MIN($D30/$E30,$D30-SUM($F30:Q30))),SUMIFS($G$135:$AA$135,$G$134:$AA$134,R$6-$B30+1)*$D30),0)</f>
        <v>0</v>
      </c>
      <c r="S30" s="1060">
        <f ca="1">IFERROR(IF('Depreciation and Tax Benefit'!$F$27="Straight-line",IF(S$6=$B30,$D30/$E30*IF(AND($C30=$G$18,StubY),StubWt/2,0.5),MIN($D30/$E30,$D30-SUM($F30:R30))),SUMIFS($G$135:$AA$135,$G$134:$AA$134,S$6-$B30+1)*$D30),0)</f>
        <v>0</v>
      </c>
      <c r="T30" s="1060">
        <f ca="1">IFERROR(IF('Depreciation and Tax Benefit'!$F$27="Straight-line",IF(T$6=$B30,$D30/$E30*IF(AND($C30=$G$18,StubY),StubWt/2,0.5),MIN($D30/$E30,$D30-SUM($F30:S30))),SUMIFS($G$135:$AA$135,$G$134:$AA$134,T$6-$B30+1)*$D30),0)</f>
        <v>0</v>
      </c>
      <c r="U30" s="1060">
        <f ca="1">IFERROR(IF('Depreciation and Tax Benefit'!$F$27="Straight-line",IF(U$6=$B30,$D30/$E30*IF(AND($C30=$G$18,StubY),StubWt/2,0.5),MIN($D30/$E30,$D30-SUM($F30:T30))),SUMIFS($G$135:$AA$135,$G$134:$AA$134,U$6-$B30+1)*$D30),0)</f>
        <v>0</v>
      </c>
      <c r="V30" s="1060">
        <f ca="1">IFERROR(IF('Depreciation and Tax Benefit'!$F$27="Straight-line",IF(V$6=$B30,$D30/$E30*IF(AND($C30=$G$18,StubY),StubWt/2,0.5),MIN($D30/$E30,$D30-SUM($F30:U30))),SUMIFS($G$135:$AA$135,$G$134:$AA$134,V$6-$B30+1)*$D30),0)</f>
        <v>0</v>
      </c>
      <c r="W30" s="1060">
        <f ca="1">IFERROR(IF('Depreciation and Tax Benefit'!$F$27="Straight-line",IF(W$6=$B30,$D30/$E30*IF(AND($C30=$G$18,StubY),StubWt/2,0.5),MIN($D30/$E30,$D30-SUM($F30:V30))),SUMIFS($G$135:$AA$135,$G$134:$AA$134,W$6-$B30+1)*$D30),0)</f>
        <v>0</v>
      </c>
      <c r="X30" s="1060">
        <f ca="1">IFERROR(IF('Depreciation and Tax Benefit'!$F$27="Straight-line",IF(X$6=$B30,$D30/$E30*IF(AND($C30=$G$18,StubY),StubWt/2,0.5),MIN($D30/$E30,$D30-SUM($F30:W30))),SUMIFS($G$135:$AA$135,$G$134:$AA$134,X$6-$B30+1)*$D30),0)</f>
        <v>0</v>
      </c>
      <c r="Y30" s="1060">
        <f ca="1">IFERROR(IF('Depreciation and Tax Benefit'!$F$27="Straight-line",IF(Y$6=$B30,$D30/$E30*IF(AND($C30=$G$18,StubY),StubWt/2,0.5),MIN($D30/$E30,$D30-SUM($F30:X30))),SUMIFS($G$135:$AA$135,$G$134:$AA$134,Y$6-$B30+1)*$D30),0)</f>
        <v>0</v>
      </c>
      <c r="Z30" s="1060">
        <f ca="1">IFERROR(IF('Depreciation and Tax Benefit'!$F$27="Straight-line",IF(Z$6=$B30,$D30/$E30*IF(AND($C30=$G$18,StubY),StubWt/2,0.5),MIN($D30/$E30,$D30-SUM($F30:Y30))),SUMIFS($G$135:$AA$135,$G$134:$AA$134,Z$6-$B30+1)*$D30),0)</f>
        <v>0</v>
      </c>
      <c r="AA30" s="1060">
        <f ca="1">IFERROR(IF('Depreciation and Tax Benefit'!$F$27="Straight-line",IF(AA$6=$B30,$D30/$E30*IF(AND($C30=$G$18,StubY),StubWt/2,0.5),MIN($D30/$E30,$D30-SUM($F30:Z30))),SUMIFS($G$135:$AA$135,$G$134:$AA$134,AA$6-$B30+1)*$D30),0)</f>
        <v>0</v>
      </c>
      <c r="AB30" s="1060">
        <f ca="1">IFERROR(IF('Depreciation and Tax Benefit'!$F$27="Straight-line",IF(AB$6=$B30,$D30/$E30*IF(AND($C30=$G$18,StubY),StubWt/2,0.5),MIN($D30/$E30,$D30-SUM($F30:AA30))),SUMIFS($G$135:$AA$135,$G$134:$AA$134,AB$6-$B30+1)*$D30),0)</f>
        <v>0</v>
      </c>
      <c r="AC30" s="1060">
        <f ca="1">IFERROR(IF('Depreciation and Tax Benefit'!$F$27="Straight-line",IF(AC$6=$B30,$D30/$E30*IF(AND($C30=$G$18,StubY),StubWt/2,0.5),MIN($D30/$E30,$D30-SUM($F30:AB30))),SUMIFS($G$135:$AA$135,$G$134:$AA$134,AC$6-$B30+1)*$D30),0)</f>
        <v>0</v>
      </c>
      <c r="AD30" s="1060">
        <f ca="1">IFERROR(IF('Depreciation and Tax Benefit'!$F$27="Straight-line",IF(AD$6=$B30,$D30/$E30*IF(AND($C30=$G$18,StubY),StubWt/2,0.5),MIN($D30/$E30,$D30-SUM($F30:AC30))),SUMIFS($G$135:$AA$135,$G$134:$AA$134,AD$6-$B30+1)*$D30),0)</f>
        <v>0</v>
      </c>
      <c r="AE30" s="1060">
        <f ca="1">IFERROR(IF('Depreciation and Tax Benefit'!$F$27="Straight-line",IF(AE$6=$B30,$D30/$E30*IF(AND($C30=$G$18,StubY),StubWt/2,0.5),MIN($D30/$E30,$D30-SUM($F30:AD30))),SUMIFS($G$135:$AA$135,$G$134:$AA$134,AE$6-$B30+1)*$D30),0)</f>
        <v>0</v>
      </c>
      <c r="AF30" s="2060"/>
      <c r="AG30" s="1557"/>
      <c r="AH30" s="2060"/>
      <c r="AI30" s="2060"/>
      <c r="AJ30" s="2060"/>
      <c r="AK30" s="2060"/>
      <c r="AL30" s="2060"/>
      <c r="AM30" s="2060"/>
      <c r="AN30" s="2060"/>
      <c r="AO30" s="2060"/>
      <c r="AP30" s="2060"/>
      <c r="AQ30" s="2060"/>
      <c r="AR30" s="2060"/>
      <c r="AS30" s="2060"/>
      <c r="AT30" s="2060"/>
      <c r="AU30" s="2060"/>
      <c r="AV30" s="2060"/>
      <c r="AW30" s="2060"/>
      <c r="AX30" s="2060"/>
      <c r="AY30" s="2060"/>
      <c r="AZ30" s="2060"/>
      <c r="BA30" s="2060"/>
      <c r="BB30" s="2060"/>
    </row>
    <row r="31" spans="1:54" s="336" customFormat="1" ht="13.9">
      <c r="A31" s="1557" t="str">
        <f t="shared" ca="1" si="12"/>
        <v>n</v>
      </c>
      <c r="B31" s="1969">
        <f t="shared" si="15"/>
        <v>3</v>
      </c>
      <c r="C31" s="1366">
        <f t="shared" ca="1" si="13"/>
        <v>43921</v>
      </c>
      <c r="D31" s="513">
        <f t="shared" ca="1" si="14"/>
        <v>0</v>
      </c>
      <c r="E31" s="618">
        <f>'Depreciation and Tax Benefit'!$E$27</f>
        <v>10</v>
      </c>
      <c r="F31" s="511"/>
      <c r="G31" s="509"/>
      <c r="H31" s="509"/>
      <c r="I31" s="509"/>
      <c r="J31" s="1060">
        <f ca="1">IFERROR(IF('Depreciation and Tax Benefit'!$F$27="Straight-line",IF(J$6=$B31,$D31/$E31*IF(AND($C31=$G$18,StubY),StubWt/2,0.5),MIN($D31/$E31,$D31-SUM($F31:I31))),SUMIFS($G$135:$AA$135,$G$134:$AA$134,J$6-$B31+1)*$D31),0)</f>
        <v>0</v>
      </c>
      <c r="K31" s="1060">
        <f ca="1">IFERROR(IF('Depreciation and Tax Benefit'!$F$27="Straight-line",IF(K$6=$B31,$D31/$E31*IF(AND($C31=$G$18,StubY),StubWt/2,0.5),MIN($D31/$E31,$D31-SUM($F31:J31))),SUMIFS($G$135:$AA$135,$G$134:$AA$134,K$6-$B31+1)*$D31),0)</f>
        <v>0</v>
      </c>
      <c r="L31" s="1060">
        <f ca="1">IFERROR(IF('Depreciation and Tax Benefit'!$F$27="Straight-line",IF(L$6=$B31,$D31/$E31*IF(AND($C31=$G$18,StubY),StubWt/2,0.5),MIN($D31/$E31,$D31-SUM($F31:K31))),SUMIFS($G$135:$AA$135,$G$134:$AA$134,L$6-$B31+1)*$D31),0)</f>
        <v>0</v>
      </c>
      <c r="M31" s="1060">
        <f ca="1">IFERROR(IF('Depreciation and Tax Benefit'!$F$27="Straight-line",IF(M$6=$B31,$D31/$E31*IF(AND($C31=$G$18,StubY),StubWt/2,0.5),MIN($D31/$E31,$D31-SUM($F31:L31))),SUMIFS($G$135:$AA$135,$G$134:$AA$134,M$6-$B31+1)*$D31),0)</f>
        <v>0</v>
      </c>
      <c r="N31" s="1060">
        <f ca="1">IFERROR(IF('Depreciation and Tax Benefit'!$F$27="Straight-line",IF(N$6=$B31,$D31/$E31*IF(AND($C31=$G$18,StubY),StubWt/2,0.5),MIN($D31/$E31,$D31-SUM($F31:M31))),SUMIFS($G$135:$AA$135,$G$134:$AA$134,N$6-$B31+1)*$D31),0)</f>
        <v>0</v>
      </c>
      <c r="O31" s="1060">
        <f ca="1">IFERROR(IF('Depreciation and Tax Benefit'!$F$27="Straight-line",IF(O$6=$B31,$D31/$E31*IF(AND($C31=$G$18,StubY),StubWt/2,0.5),MIN($D31/$E31,$D31-SUM($F31:N31))),SUMIFS($G$135:$AA$135,$G$134:$AA$134,O$6-$B31+1)*$D31),0)</f>
        <v>0</v>
      </c>
      <c r="P31" s="1060">
        <f ca="1">IFERROR(IF('Depreciation and Tax Benefit'!$F$27="Straight-line",IF(P$6=$B31,$D31/$E31*IF(AND($C31=$G$18,StubY),StubWt/2,0.5),MIN($D31/$E31,$D31-SUM($F31:O31))),SUMIFS($G$135:$AA$135,$G$134:$AA$134,P$6-$B31+1)*$D31),0)</f>
        <v>0</v>
      </c>
      <c r="Q31" s="1060">
        <f ca="1">IFERROR(IF('Depreciation and Tax Benefit'!$F$27="Straight-line",IF(Q$6=$B31,$D31/$E31*IF(AND($C31=$G$18,StubY),StubWt/2,0.5),MIN($D31/$E31,$D31-SUM($F31:P31))),SUMIFS($G$135:$AA$135,$G$134:$AA$134,Q$6-$B31+1)*$D31),0)</f>
        <v>0</v>
      </c>
      <c r="R31" s="1060">
        <f ca="1">IFERROR(IF('Depreciation and Tax Benefit'!$F$27="Straight-line",IF(R$6=$B31,$D31/$E31*IF(AND($C31=$G$18,StubY),StubWt/2,0.5),MIN($D31/$E31,$D31-SUM($F31:Q31))),SUMIFS($G$135:$AA$135,$G$134:$AA$134,R$6-$B31+1)*$D31),0)</f>
        <v>0</v>
      </c>
      <c r="S31" s="1060">
        <f ca="1">IFERROR(IF('Depreciation and Tax Benefit'!$F$27="Straight-line",IF(S$6=$B31,$D31/$E31*IF(AND($C31=$G$18,StubY),StubWt/2,0.5),MIN($D31/$E31,$D31-SUM($F31:R31))),SUMIFS($G$135:$AA$135,$G$134:$AA$134,S$6-$B31+1)*$D31),0)</f>
        <v>0</v>
      </c>
      <c r="T31" s="1060">
        <f ca="1">IFERROR(IF('Depreciation and Tax Benefit'!$F$27="Straight-line",IF(T$6=$B31,$D31/$E31*IF(AND($C31=$G$18,StubY),StubWt/2,0.5),MIN($D31/$E31,$D31-SUM($F31:S31))),SUMIFS($G$135:$AA$135,$G$134:$AA$134,T$6-$B31+1)*$D31),0)</f>
        <v>0</v>
      </c>
      <c r="U31" s="1060">
        <f ca="1">IFERROR(IF('Depreciation and Tax Benefit'!$F$27="Straight-line",IF(U$6=$B31,$D31/$E31*IF(AND($C31=$G$18,StubY),StubWt/2,0.5),MIN($D31/$E31,$D31-SUM($F31:T31))),SUMIFS($G$135:$AA$135,$G$134:$AA$134,U$6-$B31+1)*$D31),0)</f>
        <v>0</v>
      </c>
      <c r="V31" s="1060">
        <f ca="1">IFERROR(IF('Depreciation and Tax Benefit'!$F$27="Straight-line",IF(V$6=$B31,$D31/$E31*IF(AND($C31=$G$18,StubY),StubWt/2,0.5),MIN($D31/$E31,$D31-SUM($F31:U31))),SUMIFS($G$135:$AA$135,$G$134:$AA$134,V$6-$B31+1)*$D31),0)</f>
        <v>0</v>
      </c>
      <c r="W31" s="1060">
        <f ca="1">IFERROR(IF('Depreciation and Tax Benefit'!$F$27="Straight-line",IF(W$6=$B31,$D31/$E31*IF(AND($C31=$G$18,StubY),StubWt/2,0.5),MIN($D31/$E31,$D31-SUM($F31:V31))),SUMIFS($G$135:$AA$135,$G$134:$AA$134,W$6-$B31+1)*$D31),0)</f>
        <v>0</v>
      </c>
      <c r="X31" s="1060">
        <f ca="1">IFERROR(IF('Depreciation and Tax Benefit'!$F$27="Straight-line",IF(X$6=$B31,$D31/$E31*IF(AND($C31=$G$18,StubY),StubWt/2,0.5),MIN($D31/$E31,$D31-SUM($F31:W31))),SUMIFS($G$135:$AA$135,$G$134:$AA$134,X$6-$B31+1)*$D31),0)</f>
        <v>0</v>
      </c>
      <c r="Y31" s="1060">
        <f ca="1">IFERROR(IF('Depreciation and Tax Benefit'!$F$27="Straight-line",IF(Y$6=$B31,$D31/$E31*IF(AND($C31=$G$18,StubY),StubWt/2,0.5),MIN($D31/$E31,$D31-SUM($F31:X31))),SUMIFS($G$135:$AA$135,$G$134:$AA$134,Y$6-$B31+1)*$D31),0)</f>
        <v>0</v>
      </c>
      <c r="Z31" s="1060">
        <f ca="1">IFERROR(IF('Depreciation and Tax Benefit'!$F$27="Straight-line",IF(Z$6=$B31,$D31/$E31*IF(AND($C31=$G$18,StubY),StubWt/2,0.5),MIN($D31/$E31,$D31-SUM($F31:Y31))),SUMIFS($G$135:$AA$135,$G$134:$AA$134,Z$6-$B31+1)*$D31),0)</f>
        <v>0</v>
      </c>
      <c r="AA31" s="1060">
        <f ca="1">IFERROR(IF('Depreciation and Tax Benefit'!$F$27="Straight-line",IF(AA$6=$B31,$D31/$E31*IF(AND($C31=$G$18,StubY),StubWt/2,0.5),MIN($D31/$E31,$D31-SUM($F31:Z31))),SUMIFS($G$135:$AA$135,$G$134:$AA$134,AA$6-$B31+1)*$D31),0)</f>
        <v>0</v>
      </c>
      <c r="AB31" s="1060">
        <f ca="1">IFERROR(IF('Depreciation and Tax Benefit'!$F$27="Straight-line",IF(AB$6=$B31,$D31/$E31*IF(AND($C31=$G$18,StubY),StubWt/2,0.5),MIN($D31/$E31,$D31-SUM($F31:AA31))),SUMIFS($G$135:$AA$135,$G$134:$AA$134,AB$6-$B31+1)*$D31),0)</f>
        <v>0</v>
      </c>
      <c r="AC31" s="1060">
        <f ca="1">IFERROR(IF('Depreciation and Tax Benefit'!$F$27="Straight-line",IF(AC$6=$B31,$D31/$E31*IF(AND($C31=$G$18,StubY),StubWt/2,0.5),MIN($D31/$E31,$D31-SUM($F31:AB31))),SUMIFS($G$135:$AA$135,$G$134:$AA$134,AC$6-$B31+1)*$D31),0)</f>
        <v>0</v>
      </c>
      <c r="AD31" s="1060">
        <f ca="1">IFERROR(IF('Depreciation and Tax Benefit'!$F$27="Straight-line",IF(AD$6=$B31,$D31/$E31*IF(AND($C31=$G$18,StubY),StubWt/2,0.5),MIN($D31/$E31,$D31-SUM($F31:AC31))),SUMIFS($G$135:$AA$135,$G$134:$AA$134,AD$6-$B31+1)*$D31),0)</f>
        <v>0</v>
      </c>
      <c r="AE31" s="1060">
        <f ca="1">IFERROR(IF('Depreciation and Tax Benefit'!$F$27="Straight-line",IF(AE$6=$B31,$D31/$E31*IF(AND($C31=$G$18,StubY),StubWt/2,0.5),MIN($D31/$E31,$D31-SUM($F31:AD31))),SUMIFS($G$135:$AA$135,$G$134:$AA$134,AE$6-$B31+1)*$D31),0)</f>
        <v>0</v>
      </c>
      <c r="AF31" s="2060"/>
      <c r="AG31" s="1557"/>
      <c r="AH31" s="2060"/>
      <c r="AI31" s="2060"/>
      <c r="AJ31" s="2060"/>
      <c r="AK31" s="2060"/>
      <c r="AL31" s="2060"/>
      <c r="AM31" s="2060"/>
      <c r="AN31" s="2060"/>
      <c r="AO31" s="2060"/>
      <c r="AP31" s="2060"/>
      <c r="AQ31" s="2060"/>
      <c r="AR31" s="2060"/>
      <c r="AS31" s="2060"/>
      <c r="AT31" s="2060"/>
      <c r="AU31" s="2060"/>
      <c r="AV31" s="2060"/>
      <c r="AW31" s="2060"/>
      <c r="AX31" s="2060"/>
      <c r="AY31" s="2060"/>
      <c r="AZ31" s="2060"/>
      <c r="BA31" s="2060"/>
      <c r="BB31" s="2060"/>
    </row>
    <row r="32" spans="1:54" s="336" customFormat="1" ht="13.9">
      <c r="A32" s="1557" t="str">
        <f t="shared" ca="1" si="12"/>
        <v>n</v>
      </c>
      <c r="B32" s="1969">
        <f t="shared" si="15"/>
        <v>4</v>
      </c>
      <c r="C32" s="1366">
        <f t="shared" ca="1" si="13"/>
        <v>44286</v>
      </c>
      <c r="D32" s="513">
        <f t="shared" ca="1" si="14"/>
        <v>0</v>
      </c>
      <c r="E32" s="618">
        <f>'Depreciation and Tax Benefit'!$E$27</f>
        <v>10</v>
      </c>
      <c r="F32" s="511"/>
      <c r="G32" s="509"/>
      <c r="H32" s="509"/>
      <c r="I32" s="509"/>
      <c r="J32" s="509"/>
      <c r="K32" s="1060">
        <f ca="1">IFERROR(IF('Depreciation and Tax Benefit'!$F$27="Straight-line",IF(K$6=$B32,$D32/$E32*IF(AND($C32=$G$18,StubY),StubWt/2,0.5),MIN($D32/$E32,$D32-SUM($F32:J32))),SUMIFS($G$135:$AA$135,$G$134:$AA$134,K$6-$B32+1)*$D32),0)</f>
        <v>0</v>
      </c>
      <c r="L32" s="1060">
        <f ca="1">IFERROR(IF('Depreciation and Tax Benefit'!$F$27="Straight-line",IF(L$6=$B32,$D32/$E32*IF(AND($C32=$G$18,StubY),StubWt/2,0.5),MIN($D32/$E32,$D32-SUM($F32:K32))),SUMIFS($G$135:$AA$135,$G$134:$AA$134,L$6-$B32+1)*$D32),0)</f>
        <v>0</v>
      </c>
      <c r="M32" s="1060">
        <f ca="1">IFERROR(IF('Depreciation and Tax Benefit'!$F$27="Straight-line",IF(M$6=$B32,$D32/$E32*IF(AND($C32=$G$18,StubY),StubWt/2,0.5),MIN($D32/$E32,$D32-SUM($F32:L32))),SUMIFS($G$135:$AA$135,$G$134:$AA$134,M$6-$B32+1)*$D32),0)</f>
        <v>0</v>
      </c>
      <c r="N32" s="1060">
        <f ca="1">IFERROR(IF('Depreciation and Tax Benefit'!$F$27="Straight-line",IF(N$6=$B32,$D32/$E32*IF(AND($C32=$G$18,StubY),StubWt/2,0.5),MIN($D32/$E32,$D32-SUM($F32:M32))),SUMIFS($G$135:$AA$135,$G$134:$AA$134,N$6-$B32+1)*$D32),0)</f>
        <v>0</v>
      </c>
      <c r="O32" s="1060">
        <f ca="1">IFERROR(IF('Depreciation and Tax Benefit'!$F$27="Straight-line",IF(O$6=$B32,$D32/$E32*IF(AND($C32=$G$18,StubY),StubWt/2,0.5),MIN($D32/$E32,$D32-SUM($F32:N32))),SUMIFS($G$135:$AA$135,$G$134:$AA$134,O$6-$B32+1)*$D32),0)</f>
        <v>0</v>
      </c>
      <c r="P32" s="1060">
        <f ca="1">IFERROR(IF('Depreciation and Tax Benefit'!$F$27="Straight-line",IF(P$6=$B32,$D32/$E32*IF(AND($C32=$G$18,StubY),StubWt/2,0.5),MIN($D32/$E32,$D32-SUM($F32:O32))),SUMIFS($G$135:$AA$135,$G$134:$AA$134,P$6-$B32+1)*$D32),0)</f>
        <v>0</v>
      </c>
      <c r="Q32" s="1060">
        <f ca="1">IFERROR(IF('Depreciation and Tax Benefit'!$F$27="Straight-line",IF(Q$6=$B32,$D32/$E32*IF(AND($C32=$G$18,StubY),StubWt/2,0.5),MIN($D32/$E32,$D32-SUM($F32:P32))),SUMIFS($G$135:$AA$135,$G$134:$AA$134,Q$6-$B32+1)*$D32),0)</f>
        <v>0</v>
      </c>
      <c r="R32" s="1060">
        <f ca="1">IFERROR(IF('Depreciation and Tax Benefit'!$F$27="Straight-line",IF(R$6=$B32,$D32/$E32*IF(AND($C32=$G$18,StubY),StubWt/2,0.5),MIN($D32/$E32,$D32-SUM($F32:Q32))),SUMIFS($G$135:$AA$135,$G$134:$AA$134,R$6-$B32+1)*$D32),0)</f>
        <v>0</v>
      </c>
      <c r="S32" s="1060">
        <f ca="1">IFERROR(IF('Depreciation and Tax Benefit'!$F$27="Straight-line",IF(S$6=$B32,$D32/$E32*IF(AND($C32=$G$18,StubY),StubWt/2,0.5),MIN($D32/$E32,$D32-SUM($F32:R32))),SUMIFS($G$135:$AA$135,$G$134:$AA$134,S$6-$B32+1)*$D32),0)</f>
        <v>0</v>
      </c>
      <c r="T32" s="1060">
        <f ca="1">IFERROR(IF('Depreciation and Tax Benefit'!$F$27="Straight-line",IF(T$6=$B32,$D32/$E32*IF(AND($C32=$G$18,StubY),StubWt/2,0.5),MIN($D32/$E32,$D32-SUM($F32:S32))),SUMIFS($G$135:$AA$135,$G$134:$AA$134,T$6-$B32+1)*$D32),0)</f>
        <v>0</v>
      </c>
      <c r="U32" s="1060">
        <f ca="1">IFERROR(IF('Depreciation and Tax Benefit'!$F$27="Straight-line",IF(U$6=$B32,$D32/$E32*IF(AND($C32=$G$18,StubY),StubWt/2,0.5),MIN($D32/$E32,$D32-SUM($F32:T32))),SUMIFS($G$135:$AA$135,$G$134:$AA$134,U$6-$B32+1)*$D32),0)</f>
        <v>0</v>
      </c>
      <c r="V32" s="1060">
        <f ca="1">IFERROR(IF('Depreciation and Tax Benefit'!$F$27="Straight-line",IF(V$6=$B32,$D32/$E32*IF(AND($C32=$G$18,StubY),StubWt/2,0.5),MIN($D32/$E32,$D32-SUM($F32:U32))),SUMIFS($G$135:$AA$135,$G$134:$AA$134,V$6-$B32+1)*$D32),0)</f>
        <v>0</v>
      </c>
      <c r="W32" s="1060">
        <f ca="1">IFERROR(IF('Depreciation and Tax Benefit'!$F$27="Straight-line",IF(W$6=$B32,$D32/$E32*IF(AND($C32=$G$18,StubY),StubWt/2,0.5),MIN($D32/$E32,$D32-SUM($F32:V32))),SUMIFS($G$135:$AA$135,$G$134:$AA$134,W$6-$B32+1)*$D32),0)</f>
        <v>0</v>
      </c>
      <c r="X32" s="1060">
        <f ca="1">IFERROR(IF('Depreciation and Tax Benefit'!$F$27="Straight-line",IF(X$6=$B32,$D32/$E32*IF(AND($C32=$G$18,StubY),StubWt/2,0.5),MIN($D32/$E32,$D32-SUM($F32:W32))),SUMIFS($G$135:$AA$135,$G$134:$AA$134,X$6-$B32+1)*$D32),0)</f>
        <v>0</v>
      </c>
      <c r="Y32" s="1060">
        <f ca="1">IFERROR(IF('Depreciation and Tax Benefit'!$F$27="Straight-line",IF(Y$6=$B32,$D32/$E32*IF(AND($C32=$G$18,StubY),StubWt/2,0.5),MIN($D32/$E32,$D32-SUM($F32:X32))),SUMIFS($G$135:$AA$135,$G$134:$AA$134,Y$6-$B32+1)*$D32),0)</f>
        <v>0</v>
      </c>
      <c r="Z32" s="1060">
        <f ca="1">IFERROR(IF('Depreciation and Tax Benefit'!$F$27="Straight-line",IF(Z$6=$B32,$D32/$E32*IF(AND($C32=$G$18,StubY),StubWt/2,0.5),MIN($D32/$E32,$D32-SUM($F32:Y32))),SUMIFS($G$135:$AA$135,$G$134:$AA$134,Z$6-$B32+1)*$D32),0)</f>
        <v>0</v>
      </c>
      <c r="AA32" s="1060">
        <f ca="1">IFERROR(IF('Depreciation and Tax Benefit'!$F$27="Straight-line",IF(AA$6=$B32,$D32/$E32*IF(AND($C32=$G$18,StubY),StubWt/2,0.5),MIN($D32/$E32,$D32-SUM($F32:Z32))),SUMIFS($G$135:$AA$135,$G$134:$AA$134,AA$6-$B32+1)*$D32),0)</f>
        <v>0</v>
      </c>
      <c r="AB32" s="1060">
        <f ca="1">IFERROR(IF('Depreciation and Tax Benefit'!$F$27="Straight-line",IF(AB$6=$B32,$D32/$E32*IF(AND($C32=$G$18,StubY),StubWt/2,0.5),MIN($D32/$E32,$D32-SUM($F32:AA32))),SUMIFS($G$135:$AA$135,$G$134:$AA$134,AB$6-$B32+1)*$D32),0)</f>
        <v>0</v>
      </c>
      <c r="AC32" s="1060">
        <f ca="1">IFERROR(IF('Depreciation and Tax Benefit'!$F$27="Straight-line",IF(AC$6=$B32,$D32/$E32*IF(AND($C32=$G$18,StubY),StubWt/2,0.5),MIN($D32/$E32,$D32-SUM($F32:AB32))),SUMIFS($G$135:$AA$135,$G$134:$AA$134,AC$6-$B32+1)*$D32),0)</f>
        <v>0</v>
      </c>
      <c r="AD32" s="1060">
        <f ca="1">IFERROR(IF('Depreciation and Tax Benefit'!$F$27="Straight-line",IF(AD$6=$B32,$D32/$E32*IF(AND($C32=$G$18,StubY),StubWt/2,0.5),MIN($D32/$E32,$D32-SUM($F32:AC32))),SUMIFS($G$135:$AA$135,$G$134:$AA$134,AD$6-$B32+1)*$D32),0)</f>
        <v>0</v>
      </c>
      <c r="AE32" s="1060">
        <f ca="1">IFERROR(IF('Depreciation and Tax Benefit'!$F$27="Straight-line",IF(AE$6=$B32,$D32/$E32*IF(AND($C32=$G$18,StubY),StubWt/2,0.5),MIN($D32/$E32,$D32-SUM($F32:AD32))),SUMIFS($G$135:$AA$135,$G$134:$AA$134,AE$6-$B32+1)*$D32),0)</f>
        <v>0</v>
      </c>
      <c r="AF32" s="2060"/>
      <c r="AG32" s="1557"/>
      <c r="AH32" s="2060"/>
      <c r="AI32" s="2060"/>
      <c r="AJ32" s="2060"/>
      <c r="AK32" s="2060"/>
      <c r="AL32" s="2060"/>
      <c r="AM32" s="2060"/>
      <c r="AN32" s="2060"/>
      <c r="AO32" s="2060"/>
      <c r="AP32" s="2060"/>
      <c r="AQ32" s="2060"/>
      <c r="AR32" s="2060"/>
      <c r="AS32" s="2060"/>
      <c r="AT32" s="2060"/>
      <c r="AU32" s="2060"/>
      <c r="AV32" s="2060"/>
      <c r="AW32" s="2060"/>
      <c r="AX32" s="2060"/>
      <c r="AY32" s="2060"/>
      <c r="AZ32" s="2060"/>
      <c r="BA32" s="2060"/>
      <c r="BB32" s="2060"/>
    </row>
    <row r="33" spans="1:54" s="336" customFormat="1" ht="13.9">
      <c r="A33" s="1557" t="str">
        <f t="shared" ca="1" si="12"/>
        <v>n</v>
      </c>
      <c r="B33" s="1969">
        <f t="shared" si="15"/>
        <v>5</v>
      </c>
      <c r="C33" s="1366">
        <f t="shared" ca="1" si="13"/>
        <v>44651</v>
      </c>
      <c r="D33" s="513">
        <f t="shared" ca="1" si="14"/>
        <v>0</v>
      </c>
      <c r="E33" s="618">
        <f>'Depreciation and Tax Benefit'!$E$27</f>
        <v>10</v>
      </c>
      <c r="F33" s="511"/>
      <c r="G33" s="509"/>
      <c r="H33" s="509"/>
      <c r="I33" s="509"/>
      <c r="J33" s="509"/>
      <c r="K33" s="509"/>
      <c r="L33" s="1060">
        <f ca="1">IFERROR(IF('Depreciation and Tax Benefit'!$F$27="Straight-line",IF(L$6=$B33,$D33/$E33*IF(AND($C33=$G$18,StubY),StubWt/2,0.5),MIN($D33/$E33,$D33-SUM($F33:K33))),SUMIFS($G$135:$AA$135,$G$134:$AA$134,L$6-$B33+1)*$D33),0)</f>
        <v>0</v>
      </c>
      <c r="M33" s="1060">
        <f ca="1">IFERROR(IF('Depreciation and Tax Benefit'!$F$27="Straight-line",IF(M$6=$B33,$D33/$E33*IF(AND($C33=$G$18,StubY),StubWt/2,0.5),MIN($D33/$E33,$D33-SUM($F33:L33))),SUMIFS($G$135:$AA$135,$G$134:$AA$134,M$6-$B33+1)*$D33),0)</f>
        <v>0</v>
      </c>
      <c r="N33" s="1060">
        <f ca="1">IFERROR(IF('Depreciation and Tax Benefit'!$F$27="Straight-line",IF(N$6=$B33,$D33/$E33*IF(AND($C33=$G$18,StubY),StubWt/2,0.5),MIN($D33/$E33,$D33-SUM($F33:M33))),SUMIFS($G$135:$AA$135,$G$134:$AA$134,N$6-$B33+1)*$D33),0)</f>
        <v>0</v>
      </c>
      <c r="O33" s="1060">
        <f ca="1">IFERROR(IF('Depreciation and Tax Benefit'!$F$27="Straight-line",IF(O$6=$B33,$D33/$E33*IF(AND($C33=$G$18,StubY),StubWt/2,0.5),MIN($D33/$E33,$D33-SUM($F33:N33))),SUMIFS($G$135:$AA$135,$G$134:$AA$134,O$6-$B33+1)*$D33),0)</f>
        <v>0</v>
      </c>
      <c r="P33" s="1060">
        <f ca="1">IFERROR(IF('Depreciation and Tax Benefit'!$F$27="Straight-line",IF(P$6=$B33,$D33/$E33*IF(AND($C33=$G$18,StubY),StubWt/2,0.5),MIN($D33/$E33,$D33-SUM($F33:O33))),SUMIFS($G$135:$AA$135,$G$134:$AA$134,P$6-$B33+1)*$D33),0)</f>
        <v>0</v>
      </c>
      <c r="Q33" s="1060">
        <f ca="1">IFERROR(IF('Depreciation and Tax Benefit'!$F$27="Straight-line",IF(Q$6=$B33,$D33/$E33*IF(AND($C33=$G$18,StubY),StubWt/2,0.5),MIN($D33/$E33,$D33-SUM($F33:P33))),SUMIFS($G$135:$AA$135,$G$134:$AA$134,Q$6-$B33+1)*$D33),0)</f>
        <v>0</v>
      </c>
      <c r="R33" s="1060">
        <f ca="1">IFERROR(IF('Depreciation and Tax Benefit'!$F$27="Straight-line",IF(R$6=$B33,$D33/$E33*IF(AND($C33=$G$18,StubY),StubWt/2,0.5),MIN($D33/$E33,$D33-SUM($F33:Q33))),SUMIFS($G$135:$AA$135,$G$134:$AA$134,R$6-$B33+1)*$D33),0)</f>
        <v>0</v>
      </c>
      <c r="S33" s="1060">
        <f ca="1">IFERROR(IF('Depreciation and Tax Benefit'!$F$27="Straight-line",IF(S$6=$B33,$D33/$E33*IF(AND($C33=$G$18,StubY),StubWt/2,0.5),MIN($D33/$E33,$D33-SUM($F33:R33))),SUMIFS($G$135:$AA$135,$G$134:$AA$134,S$6-$B33+1)*$D33),0)</f>
        <v>0</v>
      </c>
      <c r="T33" s="1060">
        <f ca="1">IFERROR(IF('Depreciation and Tax Benefit'!$F$27="Straight-line",IF(T$6=$B33,$D33/$E33*IF(AND($C33=$G$18,StubY),StubWt/2,0.5),MIN($D33/$E33,$D33-SUM($F33:S33))),SUMIFS($G$135:$AA$135,$G$134:$AA$134,T$6-$B33+1)*$D33),0)</f>
        <v>0</v>
      </c>
      <c r="U33" s="1060">
        <f ca="1">IFERROR(IF('Depreciation and Tax Benefit'!$F$27="Straight-line",IF(U$6=$B33,$D33/$E33*IF(AND($C33=$G$18,StubY),StubWt/2,0.5),MIN($D33/$E33,$D33-SUM($F33:T33))),SUMIFS($G$135:$AA$135,$G$134:$AA$134,U$6-$B33+1)*$D33),0)</f>
        <v>0</v>
      </c>
      <c r="V33" s="1060">
        <f ca="1">IFERROR(IF('Depreciation and Tax Benefit'!$F$27="Straight-line",IF(V$6=$B33,$D33/$E33*IF(AND($C33=$G$18,StubY),StubWt/2,0.5),MIN($D33/$E33,$D33-SUM($F33:U33))),SUMIFS($G$135:$AA$135,$G$134:$AA$134,V$6-$B33+1)*$D33),0)</f>
        <v>0</v>
      </c>
      <c r="W33" s="1060">
        <f ca="1">IFERROR(IF('Depreciation and Tax Benefit'!$F$27="Straight-line",IF(W$6=$B33,$D33/$E33*IF(AND($C33=$G$18,StubY),StubWt/2,0.5),MIN($D33/$E33,$D33-SUM($F33:V33))),SUMIFS($G$135:$AA$135,$G$134:$AA$134,W$6-$B33+1)*$D33),0)</f>
        <v>0</v>
      </c>
      <c r="X33" s="1060">
        <f ca="1">IFERROR(IF('Depreciation and Tax Benefit'!$F$27="Straight-line",IF(X$6=$B33,$D33/$E33*IF(AND($C33=$G$18,StubY),StubWt/2,0.5),MIN($D33/$E33,$D33-SUM($F33:W33))),SUMIFS($G$135:$AA$135,$G$134:$AA$134,X$6-$B33+1)*$D33),0)</f>
        <v>0</v>
      </c>
      <c r="Y33" s="1060">
        <f ca="1">IFERROR(IF('Depreciation and Tax Benefit'!$F$27="Straight-line",IF(Y$6=$B33,$D33/$E33*IF(AND($C33=$G$18,StubY),StubWt/2,0.5),MIN($D33/$E33,$D33-SUM($F33:X33))),SUMIFS($G$135:$AA$135,$G$134:$AA$134,Y$6-$B33+1)*$D33),0)</f>
        <v>0</v>
      </c>
      <c r="Z33" s="1060">
        <f ca="1">IFERROR(IF('Depreciation and Tax Benefit'!$F$27="Straight-line",IF(Z$6=$B33,$D33/$E33*IF(AND($C33=$G$18,StubY),StubWt/2,0.5),MIN($D33/$E33,$D33-SUM($F33:Y33))),SUMIFS($G$135:$AA$135,$G$134:$AA$134,Z$6-$B33+1)*$D33),0)</f>
        <v>0</v>
      </c>
      <c r="AA33" s="1060">
        <f ca="1">IFERROR(IF('Depreciation and Tax Benefit'!$F$27="Straight-line",IF(AA$6=$B33,$D33/$E33*IF(AND($C33=$G$18,StubY),StubWt/2,0.5),MIN($D33/$E33,$D33-SUM($F33:Z33))),SUMIFS($G$135:$AA$135,$G$134:$AA$134,AA$6-$B33+1)*$D33),0)</f>
        <v>0</v>
      </c>
      <c r="AB33" s="1060">
        <f ca="1">IFERROR(IF('Depreciation and Tax Benefit'!$F$27="Straight-line",IF(AB$6=$B33,$D33/$E33*IF(AND($C33=$G$18,StubY),StubWt/2,0.5),MIN($D33/$E33,$D33-SUM($F33:AA33))),SUMIFS($G$135:$AA$135,$G$134:$AA$134,AB$6-$B33+1)*$D33),0)</f>
        <v>0</v>
      </c>
      <c r="AC33" s="1060">
        <f ca="1">IFERROR(IF('Depreciation and Tax Benefit'!$F$27="Straight-line",IF(AC$6=$B33,$D33/$E33*IF(AND($C33=$G$18,StubY),StubWt/2,0.5),MIN($D33/$E33,$D33-SUM($F33:AB33))),SUMIFS($G$135:$AA$135,$G$134:$AA$134,AC$6-$B33+1)*$D33),0)</f>
        <v>0</v>
      </c>
      <c r="AD33" s="1060">
        <f ca="1">IFERROR(IF('Depreciation and Tax Benefit'!$F$27="Straight-line",IF(AD$6=$B33,$D33/$E33*IF(AND($C33=$G$18,StubY),StubWt/2,0.5),MIN($D33/$E33,$D33-SUM($F33:AC33))),SUMIFS($G$135:$AA$135,$G$134:$AA$134,AD$6-$B33+1)*$D33),0)</f>
        <v>0</v>
      </c>
      <c r="AE33" s="1060">
        <f ca="1">IFERROR(IF('Depreciation and Tax Benefit'!$F$27="Straight-line",IF(AE$6=$B33,$D33/$E33*IF(AND($C33=$G$18,StubY),StubWt/2,0.5),MIN($D33/$E33,$D33-SUM($F33:AD33))),SUMIFS($G$135:$AA$135,$G$134:$AA$134,AE$6-$B33+1)*$D33),0)</f>
        <v>0</v>
      </c>
      <c r="AF33" s="1060">
        <f ca="1">IFERROR(IF('Depreciation and Tax Benefit'!$F$27="Straight-line",IF(AF$6=$B33,$D33/$E33*0.5,MIN($D33/$E33,$D33-SUM($F33:AE33))),SUMIFS($G$135:$AA$135,$G$134:$AA$134,AF$6-$B33+1)*$D33),0)</f>
        <v>0</v>
      </c>
      <c r="AG33" s="1557"/>
      <c r="AH33" s="2060"/>
      <c r="AI33" s="2060"/>
      <c r="AJ33" s="2060"/>
      <c r="AK33" s="2060"/>
      <c r="AL33" s="2060"/>
      <c r="AM33" s="2060"/>
      <c r="AN33" s="2060"/>
      <c r="AO33" s="2060"/>
      <c r="AP33" s="2060"/>
      <c r="AQ33" s="2060"/>
      <c r="AR33" s="2060"/>
      <c r="AS33" s="2060"/>
      <c r="AT33" s="2060"/>
      <c r="AU33" s="2060"/>
      <c r="AV33" s="2060"/>
      <c r="AW33" s="2060"/>
      <c r="AX33" s="2060"/>
      <c r="AY33" s="2060"/>
      <c r="AZ33" s="2060"/>
      <c r="BA33" s="2060"/>
      <c r="BB33" s="2060"/>
    </row>
    <row r="34" spans="1:54" s="336" customFormat="1" ht="13.9">
      <c r="A34" s="1557" t="str">
        <f t="shared" ca="1" si="12"/>
        <v>n</v>
      </c>
      <c r="B34" s="1969">
        <f t="shared" si="15"/>
        <v>6</v>
      </c>
      <c r="C34" s="1366">
        <f t="shared" ca="1" si="13"/>
        <v>45016</v>
      </c>
      <c r="D34" s="513">
        <f t="shared" ca="1" si="14"/>
        <v>0</v>
      </c>
      <c r="E34" s="618">
        <f>'Depreciation and Tax Benefit'!$E$27</f>
        <v>10</v>
      </c>
      <c r="F34" s="511"/>
      <c r="G34" s="509"/>
      <c r="H34" s="509"/>
      <c r="I34" s="509"/>
      <c r="J34" s="509"/>
      <c r="K34" s="509"/>
      <c r="L34" s="509"/>
      <c r="M34" s="1060">
        <f ca="1">IFERROR(IF('Depreciation and Tax Benefit'!$F$27="Straight-line",IF(M$6=$B34,$D34/$E34*IF(AND($C34=$G$18,StubY),StubWt/2,0.5),MIN($D34/$E34,$D34-SUM($F34:L34))),SUMIFS($G$135:$AA$135,$G$134:$AA$134,M$6-$B34+1)*$D34),0)</f>
        <v>0</v>
      </c>
      <c r="N34" s="1060">
        <f ca="1">IFERROR(IF('Depreciation and Tax Benefit'!$F$27="Straight-line",IF(N$6=$B34,$D34/$E34*IF(AND($C34=$G$18,StubY),StubWt/2,0.5),MIN($D34/$E34,$D34-SUM($F34:M34))),SUMIFS($G$135:$AA$135,$G$134:$AA$134,N$6-$B34+1)*$D34),0)</f>
        <v>0</v>
      </c>
      <c r="O34" s="1060">
        <f ca="1">IFERROR(IF('Depreciation and Tax Benefit'!$F$27="Straight-line",IF(O$6=$B34,$D34/$E34*IF(AND($C34=$G$18,StubY),StubWt/2,0.5),MIN($D34/$E34,$D34-SUM($F34:N34))),SUMIFS($G$135:$AA$135,$G$134:$AA$134,O$6-$B34+1)*$D34),0)</f>
        <v>0</v>
      </c>
      <c r="P34" s="1060">
        <f ca="1">IFERROR(IF('Depreciation and Tax Benefit'!$F$27="Straight-line",IF(P$6=$B34,$D34/$E34*IF(AND($C34=$G$18,StubY),StubWt/2,0.5),MIN($D34/$E34,$D34-SUM($F34:O34))),SUMIFS($G$135:$AA$135,$G$134:$AA$134,P$6-$B34+1)*$D34),0)</f>
        <v>0</v>
      </c>
      <c r="Q34" s="1060">
        <f ca="1">IFERROR(IF('Depreciation and Tax Benefit'!$F$27="Straight-line",IF(Q$6=$B34,$D34/$E34*IF(AND($C34=$G$18,StubY),StubWt/2,0.5),MIN($D34/$E34,$D34-SUM($F34:P34))),SUMIFS($G$135:$AA$135,$G$134:$AA$134,Q$6-$B34+1)*$D34),0)</f>
        <v>0</v>
      </c>
      <c r="R34" s="1060">
        <f ca="1">IFERROR(IF('Depreciation and Tax Benefit'!$F$27="Straight-line",IF(R$6=$B34,$D34/$E34*IF(AND($C34=$G$18,StubY),StubWt/2,0.5),MIN($D34/$E34,$D34-SUM($F34:Q34))),SUMIFS($G$135:$AA$135,$G$134:$AA$134,R$6-$B34+1)*$D34),0)</f>
        <v>0</v>
      </c>
      <c r="S34" s="1060">
        <f ca="1">IFERROR(IF('Depreciation and Tax Benefit'!$F$27="Straight-line",IF(S$6=$B34,$D34/$E34*IF(AND($C34=$G$18,StubY),StubWt/2,0.5),MIN($D34/$E34,$D34-SUM($F34:R34))),SUMIFS($G$135:$AA$135,$G$134:$AA$134,S$6-$B34+1)*$D34),0)</f>
        <v>0</v>
      </c>
      <c r="T34" s="1060">
        <f ca="1">IFERROR(IF('Depreciation and Tax Benefit'!$F$27="Straight-line",IF(T$6=$B34,$D34/$E34*IF(AND($C34=$G$18,StubY),StubWt/2,0.5),MIN($D34/$E34,$D34-SUM($F34:S34))),SUMIFS($G$135:$AA$135,$G$134:$AA$134,T$6-$B34+1)*$D34),0)</f>
        <v>0</v>
      </c>
      <c r="U34" s="1060">
        <f ca="1">IFERROR(IF('Depreciation and Tax Benefit'!$F$27="Straight-line",IF(U$6=$B34,$D34/$E34*IF(AND($C34=$G$18,StubY),StubWt/2,0.5),MIN($D34/$E34,$D34-SUM($F34:T34))),SUMIFS($G$135:$AA$135,$G$134:$AA$134,U$6-$B34+1)*$D34),0)</f>
        <v>0</v>
      </c>
      <c r="V34" s="1060">
        <f ca="1">IFERROR(IF('Depreciation and Tax Benefit'!$F$27="Straight-line",IF(V$6=$B34,$D34/$E34*IF(AND($C34=$G$18,StubY),StubWt/2,0.5),MIN($D34/$E34,$D34-SUM($F34:U34))),SUMIFS($G$135:$AA$135,$G$134:$AA$134,V$6-$B34+1)*$D34),0)</f>
        <v>0</v>
      </c>
      <c r="W34" s="1060">
        <f ca="1">IFERROR(IF('Depreciation and Tax Benefit'!$F$27="Straight-line",IF(W$6=$B34,$D34/$E34*IF(AND($C34=$G$18,StubY),StubWt/2,0.5),MIN($D34/$E34,$D34-SUM($F34:V34))),SUMIFS($G$135:$AA$135,$G$134:$AA$134,W$6-$B34+1)*$D34),0)</f>
        <v>0</v>
      </c>
      <c r="X34" s="1060">
        <f ca="1">IFERROR(IF('Depreciation and Tax Benefit'!$F$27="Straight-line",IF(X$6=$B34,$D34/$E34*IF(AND($C34=$G$18,StubY),StubWt/2,0.5),MIN($D34/$E34,$D34-SUM($F34:W34))),SUMIFS($G$135:$AA$135,$G$134:$AA$134,X$6-$B34+1)*$D34),0)</f>
        <v>0</v>
      </c>
      <c r="Y34" s="1060">
        <f ca="1">IFERROR(IF('Depreciation and Tax Benefit'!$F$27="Straight-line",IF(Y$6=$B34,$D34/$E34*IF(AND($C34=$G$18,StubY),StubWt/2,0.5),MIN($D34/$E34,$D34-SUM($F34:X34))),SUMIFS($G$135:$AA$135,$G$134:$AA$134,Y$6-$B34+1)*$D34),0)</f>
        <v>0</v>
      </c>
      <c r="Z34" s="1060">
        <f ca="1">IFERROR(IF('Depreciation and Tax Benefit'!$F$27="Straight-line",IF(Z$6=$B34,$D34/$E34*IF(AND($C34=$G$18,StubY),StubWt/2,0.5),MIN($D34/$E34,$D34-SUM($F34:Y34))),SUMIFS($G$135:$AA$135,$G$134:$AA$134,Z$6-$B34+1)*$D34),0)</f>
        <v>0</v>
      </c>
      <c r="AA34" s="1060">
        <f ca="1">IFERROR(IF('Depreciation and Tax Benefit'!$F$27="Straight-line",IF(AA$6=$B34,$D34/$E34*IF(AND($C34=$G$18,StubY),StubWt/2,0.5),MIN($D34/$E34,$D34-SUM($F34:Z34))),SUMIFS($G$135:$AA$135,$G$134:$AA$134,AA$6-$B34+1)*$D34),0)</f>
        <v>0</v>
      </c>
      <c r="AB34" s="1060">
        <f ca="1">IFERROR(IF('Depreciation and Tax Benefit'!$F$27="Straight-line",IF(AB$6=$B34,$D34/$E34*IF(AND($C34=$G$18,StubY),StubWt/2,0.5),MIN($D34/$E34,$D34-SUM($F34:AA34))),SUMIFS($G$135:$AA$135,$G$134:$AA$134,AB$6-$B34+1)*$D34),0)</f>
        <v>0</v>
      </c>
      <c r="AC34" s="1060">
        <f ca="1">IFERROR(IF('Depreciation and Tax Benefit'!$F$27="Straight-line",IF(AC$6=$B34,$D34/$E34*IF(AND($C34=$G$18,StubY),StubWt/2,0.5),MIN($D34/$E34,$D34-SUM($F34:AB34))),SUMIFS($G$135:$AA$135,$G$134:$AA$134,AC$6-$B34+1)*$D34),0)</f>
        <v>0</v>
      </c>
      <c r="AD34" s="1060">
        <f ca="1">IFERROR(IF('Depreciation and Tax Benefit'!$F$27="Straight-line",IF(AD$6=$B34,$D34/$E34*IF(AND($C34=$G$18,StubY),StubWt/2,0.5),MIN($D34/$E34,$D34-SUM($F34:AC34))),SUMIFS($G$135:$AA$135,$G$134:$AA$134,AD$6-$B34+1)*$D34),0)</f>
        <v>0</v>
      </c>
      <c r="AE34" s="1060">
        <f ca="1">IFERROR(IF('Depreciation and Tax Benefit'!$F$27="Straight-line",IF(AE$6=$B34,$D34/$E34*IF(AND($C34=$G$18,StubY),StubWt/2,0.5),MIN($D34/$E34,$D34-SUM($F34:AD34))),SUMIFS($G$135:$AA$135,$G$134:$AA$134,AE$6-$B34+1)*$D34),0)</f>
        <v>0</v>
      </c>
      <c r="AF34" s="2060"/>
      <c r="AG34" s="1557"/>
      <c r="AH34" s="2060"/>
      <c r="AI34" s="2060"/>
      <c r="AJ34" s="2060"/>
      <c r="AK34" s="2060"/>
      <c r="AL34" s="2060"/>
      <c r="AM34" s="2060"/>
      <c r="AN34" s="2060"/>
      <c r="AO34" s="2060"/>
      <c r="AP34" s="2060"/>
      <c r="AQ34" s="2060"/>
      <c r="AR34" s="2060"/>
      <c r="AS34" s="2060"/>
      <c r="AT34" s="2060"/>
      <c r="AU34" s="2060"/>
      <c r="AV34" s="2060"/>
      <c r="AW34" s="2060"/>
      <c r="AX34" s="2060"/>
      <c r="AY34" s="2060"/>
      <c r="AZ34" s="2060"/>
      <c r="BA34" s="2060"/>
      <c r="BB34" s="2060"/>
    </row>
    <row r="35" spans="1:54" s="336" customFormat="1" ht="13.9">
      <c r="A35" s="1557" t="str">
        <f t="shared" ca="1" si="12"/>
        <v>n</v>
      </c>
      <c r="B35" s="1969">
        <f t="shared" si="15"/>
        <v>7</v>
      </c>
      <c r="C35" s="1366">
        <f t="shared" ca="1" si="13"/>
        <v>45382</v>
      </c>
      <c r="D35" s="513">
        <f t="shared" ca="1" si="14"/>
        <v>0</v>
      </c>
      <c r="E35" s="618">
        <f>'Depreciation and Tax Benefit'!$E$27</f>
        <v>10</v>
      </c>
      <c r="F35" s="511"/>
      <c r="G35" s="509"/>
      <c r="H35" s="509"/>
      <c r="I35" s="509"/>
      <c r="J35" s="509"/>
      <c r="K35" s="509"/>
      <c r="L35" s="509"/>
      <c r="M35" s="509"/>
      <c r="N35" s="1060">
        <f ca="1">IFERROR(IF('Depreciation and Tax Benefit'!$F$27="Straight-line",IF(N$6=$B35,$D35/$E35*IF(AND($C35=$G$18,StubY),StubWt/2,0.5),MIN($D35/$E35,$D35-SUM($F35:M35))),SUMIFS($G$135:$AA$135,$G$134:$AA$134,N$6-$B35+1)*$D35),0)</f>
        <v>0</v>
      </c>
      <c r="O35" s="1060">
        <f ca="1">IFERROR(IF('Depreciation and Tax Benefit'!$F$27="Straight-line",IF(O$6=$B35,$D35/$E35*IF(AND($C35=$G$18,StubY),StubWt/2,0.5),MIN($D35/$E35,$D35-SUM($F35:N35))),SUMIFS($G$135:$AA$135,$G$134:$AA$134,O$6-$B35+1)*$D35),0)</f>
        <v>0</v>
      </c>
      <c r="P35" s="1060">
        <f ca="1">IFERROR(IF('Depreciation and Tax Benefit'!$F$27="Straight-line",IF(P$6=$B35,$D35/$E35*IF(AND($C35=$G$18,StubY),StubWt/2,0.5),MIN($D35/$E35,$D35-SUM($F35:O35))),SUMIFS($G$135:$AA$135,$G$134:$AA$134,P$6-$B35+1)*$D35),0)</f>
        <v>0</v>
      </c>
      <c r="Q35" s="1060">
        <f ca="1">IFERROR(IF('Depreciation and Tax Benefit'!$F$27="Straight-line",IF(Q$6=$B35,$D35/$E35*IF(AND($C35=$G$18,StubY),StubWt/2,0.5),MIN($D35/$E35,$D35-SUM($F35:P35))),SUMIFS($G$135:$AA$135,$G$134:$AA$134,Q$6-$B35+1)*$D35),0)</f>
        <v>0</v>
      </c>
      <c r="R35" s="1060">
        <f ca="1">IFERROR(IF('Depreciation and Tax Benefit'!$F$27="Straight-line",IF(R$6=$B35,$D35/$E35*IF(AND($C35=$G$18,StubY),StubWt/2,0.5),MIN($D35/$E35,$D35-SUM($F35:Q35))),SUMIFS($G$135:$AA$135,$G$134:$AA$134,R$6-$B35+1)*$D35),0)</f>
        <v>0</v>
      </c>
      <c r="S35" s="1060">
        <f ca="1">IFERROR(IF('Depreciation and Tax Benefit'!$F$27="Straight-line",IF(S$6=$B35,$D35/$E35*IF(AND($C35=$G$18,StubY),StubWt/2,0.5),MIN($D35/$E35,$D35-SUM($F35:R35))),SUMIFS($G$135:$AA$135,$G$134:$AA$134,S$6-$B35+1)*$D35),0)</f>
        <v>0</v>
      </c>
      <c r="T35" s="1060">
        <f ca="1">IFERROR(IF('Depreciation and Tax Benefit'!$F$27="Straight-line",IF(T$6=$B35,$D35/$E35*IF(AND($C35=$G$18,StubY),StubWt/2,0.5),MIN($D35/$E35,$D35-SUM($F35:S35))),SUMIFS($G$135:$AA$135,$G$134:$AA$134,T$6-$B35+1)*$D35),0)</f>
        <v>0</v>
      </c>
      <c r="U35" s="1060">
        <f ca="1">IFERROR(IF('Depreciation and Tax Benefit'!$F$27="Straight-line",IF(U$6=$B35,$D35/$E35*IF(AND($C35=$G$18,StubY),StubWt/2,0.5),MIN($D35/$E35,$D35-SUM($F35:T35))),SUMIFS($G$135:$AA$135,$G$134:$AA$134,U$6-$B35+1)*$D35),0)</f>
        <v>0</v>
      </c>
      <c r="V35" s="1060">
        <f ca="1">IFERROR(IF('Depreciation and Tax Benefit'!$F$27="Straight-line",IF(V$6=$B35,$D35/$E35*IF(AND($C35=$G$18,StubY),StubWt/2,0.5),MIN($D35/$E35,$D35-SUM($F35:U35))),SUMIFS($G$135:$AA$135,$G$134:$AA$134,V$6-$B35+1)*$D35),0)</f>
        <v>0</v>
      </c>
      <c r="W35" s="1060">
        <f ca="1">IFERROR(IF('Depreciation and Tax Benefit'!$F$27="Straight-line",IF(W$6=$B35,$D35/$E35*IF(AND($C35=$G$18,StubY),StubWt/2,0.5),MIN($D35/$E35,$D35-SUM($F35:V35))),SUMIFS($G$135:$AA$135,$G$134:$AA$134,W$6-$B35+1)*$D35),0)</f>
        <v>0</v>
      </c>
      <c r="X35" s="1060">
        <f ca="1">IFERROR(IF('Depreciation and Tax Benefit'!$F$27="Straight-line",IF(X$6=$B35,$D35/$E35*IF(AND($C35=$G$18,StubY),StubWt/2,0.5),MIN($D35/$E35,$D35-SUM($F35:W35))),SUMIFS($G$135:$AA$135,$G$134:$AA$134,X$6-$B35+1)*$D35),0)</f>
        <v>0</v>
      </c>
      <c r="Y35" s="1060">
        <f ca="1">IFERROR(IF('Depreciation and Tax Benefit'!$F$27="Straight-line",IF(Y$6=$B35,$D35/$E35*IF(AND($C35=$G$18,StubY),StubWt/2,0.5),MIN($D35/$E35,$D35-SUM($F35:X35))),SUMIFS($G$135:$AA$135,$G$134:$AA$134,Y$6-$B35+1)*$D35),0)</f>
        <v>0</v>
      </c>
      <c r="Z35" s="1060">
        <f ca="1">IFERROR(IF('Depreciation and Tax Benefit'!$F$27="Straight-line",IF(Z$6=$B35,$D35/$E35*IF(AND($C35=$G$18,StubY),StubWt/2,0.5),MIN($D35/$E35,$D35-SUM($F35:Y35))),SUMIFS($G$135:$AA$135,$G$134:$AA$134,Z$6-$B35+1)*$D35),0)</f>
        <v>0</v>
      </c>
      <c r="AA35" s="1060">
        <f ca="1">IFERROR(IF('Depreciation and Tax Benefit'!$F$27="Straight-line",IF(AA$6=$B35,$D35/$E35*IF(AND($C35=$G$18,StubY),StubWt/2,0.5),MIN($D35/$E35,$D35-SUM($F35:Z35))),SUMIFS($G$135:$AA$135,$G$134:$AA$134,AA$6-$B35+1)*$D35),0)</f>
        <v>0</v>
      </c>
      <c r="AB35" s="1060">
        <f ca="1">IFERROR(IF('Depreciation and Tax Benefit'!$F$27="Straight-line",IF(AB$6=$B35,$D35/$E35*IF(AND($C35=$G$18,StubY),StubWt/2,0.5),MIN($D35/$E35,$D35-SUM($F35:AA35))),SUMIFS($G$135:$AA$135,$G$134:$AA$134,AB$6-$B35+1)*$D35),0)</f>
        <v>0</v>
      </c>
      <c r="AC35" s="1060">
        <f ca="1">IFERROR(IF('Depreciation and Tax Benefit'!$F$27="Straight-line",IF(AC$6=$B35,$D35/$E35*IF(AND($C35=$G$18,StubY),StubWt/2,0.5),MIN($D35/$E35,$D35-SUM($F35:AB35))),SUMIFS($G$135:$AA$135,$G$134:$AA$134,AC$6-$B35+1)*$D35),0)</f>
        <v>0</v>
      </c>
      <c r="AD35" s="1060">
        <f ca="1">IFERROR(IF('Depreciation and Tax Benefit'!$F$27="Straight-line",IF(AD$6=$B35,$D35/$E35*IF(AND($C35=$G$18,StubY),StubWt/2,0.5),MIN($D35/$E35,$D35-SUM($F35:AC35))),SUMIFS($G$135:$AA$135,$G$134:$AA$134,AD$6-$B35+1)*$D35),0)</f>
        <v>0</v>
      </c>
      <c r="AE35" s="1060">
        <f ca="1">IFERROR(IF('Depreciation and Tax Benefit'!$F$27="Straight-line",IF(AE$6=$B35,$D35/$E35*IF(AND($C35=$G$18,StubY),StubWt/2,0.5),MIN($D35/$E35,$D35-SUM($F35:AD35))),SUMIFS($G$135:$AA$135,$G$134:$AA$134,AE$6-$B35+1)*$D35),0)</f>
        <v>0</v>
      </c>
      <c r="AF35" s="1060"/>
      <c r="AG35" s="1557"/>
      <c r="AH35" s="2060"/>
      <c r="AI35" s="2060"/>
      <c r="AJ35" s="2060"/>
      <c r="AK35" s="2060"/>
      <c r="AL35" s="2060"/>
      <c r="AM35" s="2060"/>
      <c r="AN35" s="2060"/>
      <c r="AO35" s="2060"/>
      <c r="AP35" s="2060"/>
      <c r="AQ35" s="2060"/>
      <c r="AR35" s="2060"/>
      <c r="AS35" s="2060"/>
      <c r="AT35" s="2060"/>
      <c r="AU35" s="2060"/>
      <c r="AV35" s="2060"/>
      <c r="AW35" s="2060"/>
      <c r="AX35" s="2060"/>
      <c r="AY35" s="2060"/>
      <c r="AZ35" s="2060"/>
      <c r="BA35" s="2060"/>
      <c r="BB35" s="2060"/>
    </row>
    <row r="36" spans="1:54" s="336" customFormat="1" ht="13.9">
      <c r="A36" s="1557" t="str">
        <f t="shared" ca="1" si="12"/>
        <v>n</v>
      </c>
      <c r="B36" s="1969">
        <f t="shared" si="15"/>
        <v>8</v>
      </c>
      <c r="C36" s="1366">
        <f t="shared" ca="1" si="13"/>
        <v>45747</v>
      </c>
      <c r="D36" s="513">
        <f t="shared" ca="1" si="14"/>
        <v>0</v>
      </c>
      <c r="E36" s="618">
        <f>'Depreciation and Tax Benefit'!$E$27</f>
        <v>10</v>
      </c>
      <c r="F36" s="511"/>
      <c r="G36" s="509"/>
      <c r="H36" s="509"/>
      <c r="I36" s="509"/>
      <c r="J36" s="509"/>
      <c r="K36" s="509"/>
      <c r="L36" s="509"/>
      <c r="M36" s="509"/>
      <c r="N36" s="509"/>
      <c r="O36" s="1060">
        <f ca="1">IFERROR(IF('Depreciation and Tax Benefit'!$F$27="Straight-line",IF(O$6=$B36,$D36/$E36*IF(AND($C36=$G$18,StubY),StubWt/2,0.5),MIN($D36/$E36,$D36-SUM($F36:N36))),SUMIFS($G$135:$AA$135,$G$134:$AA$134,O$6-$B36+1)*$D36),0)</f>
        <v>0</v>
      </c>
      <c r="P36" s="1060">
        <f ca="1">IFERROR(IF('Depreciation and Tax Benefit'!$F$27="Straight-line",IF(P$6=$B36,$D36/$E36*IF(AND($C36=$G$18,StubY),StubWt/2,0.5),MIN($D36/$E36,$D36-SUM($F36:O36))),SUMIFS($G$135:$AA$135,$G$134:$AA$134,P$6-$B36+1)*$D36),0)</f>
        <v>0</v>
      </c>
      <c r="Q36" s="1060">
        <f ca="1">IFERROR(IF('Depreciation and Tax Benefit'!$F$27="Straight-line",IF(Q$6=$B36,$D36/$E36*IF(AND($C36=$G$18,StubY),StubWt/2,0.5),MIN($D36/$E36,$D36-SUM($F36:P36))),SUMIFS($G$135:$AA$135,$G$134:$AA$134,Q$6-$B36+1)*$D36),0)</f>
        <v>0</v>
      </c>
      <c r="R36" s="1060">
        <f ca="1">IFERROR(IF('Depreciation and Tax Benefit'!$F$27="Straight-line",IF(R$6=$B36,$D36/$E36*IF(AND($C36=$G$18,StubY),StubWt/2,0.5),MIN($D36/$E36,$D36-SUM($F36:Q36))),SUMIFS($G$135:$AA$135,$G$134:$AA$134,R$6-$B36+1)*$D36),0)</f>
        <v>0</v>
      </c>
      <c r="S36" s="1060">
        <f ca="1">IFERROR(IF('Depreciation and Tax Benefit'!$F$27="Straight-line",IF(S$6=$B36,$D36/$E36*IF(AND($C36=$G$18,StubY),StubWt/2,0.5),MIN($D36/$E36,$D36-SUM($F36:R36))),SUMIFS($G$135:$AA$135,$G$134:$AA$134,S$6-$B36+1)*$D36),0)</f>
        <v>0</v>
      </c>
      <c r="T36" s="1060">
        <f ca="1">IFERROR(IF('Depreciation and Tax Benefit'!$F$27="Straight-line",IF(T$6=$B36,$D36/$E36*IF(AND($C36=$G$18,StubY),StubWt/2,0.5),MIN($D36/$E36,$D36-SUM($F36:S36))),SUMIFS($G$135:$AA$135,$G$134:$AA$134,T$6-$B36+1)*$D36),0)</f>
        <v>0</v>
      </c>
      <c r="U36" s="1060">
        <f ca="1">IFERROR(IF('Depreciation and Tax Benefit'!$F$27="Straight-line",IF(U$6=$B36,$D36/$E36*IF(AND($C36=$G$18,StubY),StubWt/2,0.5),MIN($D36/$E36,$D36-SUM($F36:T36))),SUMIFS($G$135:$AA$135,$G$134:$AA$134,U$6-$B36+1)*$D36),0)</f>
        <v>0</v>
      </c>
      <c r="V36" s="1060">
        <f ca="1">IFERROR(IF('Depreciation and Tax Benefit'!$F$27="Straight-line",IF(V$6=$B36,$D36/$E36*IF(AND($C36=$G$18,StubY),StubWt/2,0.5),MIN($D36/$E36,$D36-SUM($F36:U36))),SUMIFS($G$135:$AA$135,$G$134:$AA$134,V$6-$B36+1)*$D36),0)</f>
        <v>0</v>
      </c>
      <c r="W36" s="1060">
        <f ca="1">IFERROR(IF('Depreciation and Tax Benefit'!$F$27="Straight-line",IF(W$6=$B36,$D36/$E36*IF(AND($C36=$G$18,StubY),StubWt/2,0.5),MIN($D36/$E36,$D36-SUM($F36:V36))),SUMIFS($G$135:$AA$135,$G$134:$AA$134,W$6-$B36+1)*$D36),0)</f>
        <v>0</v>
      </c>
      <c r="X36" s="1060">
        <f ca="1">IFERROR(IF('Depreciation and Tax Benefit'!$F$27="Straight-line",IF(X$6=$B36,$D36/$E36*IF(AND($C36=$G$18,StubY),StubWt/2,0.5),MIN($D36/$E36,$D36-SUM($F36:W36))),SUMIFS($G$135:$AA$135,$G$134:$AA$134,X$6-$B36+1)*$D36),0)</f>
        <v>0</v>
      </c>
      <c r="Y36" s="1060">
        <f ca="1">IFERROR(IF('Depreciation and Tax Benefit'!$F$27="Straight-line",IF(Y$6=$B36,$D36/$E36*IF(AND($C36=$G$18,StubY),StubWt/2,0.5),MIN($D36/$E36,$D36-SUM($F36:X36))),SUMIFS($G$135:$AA$135,$G$134:$AA$134,Y$6-$B36+1)*$D36),0)</f>
        <v>0</v>
      </c>
      <c r="Z36" s="1060">
        <f ca="1">IFERROR(IF('Depreciation and Tax Benefit'!$F$27="Straight-line",IF(Z$6=$B36,$D36/$E36*IF(AND($C36=$G$18,StubY),StubWt/2,0.5),MIN($D36/$E36,$D36-SUM($F36:Y36))),SUMIFS($G$135:$AA$135,$G$134:$AA$134,Z$6-$B36+1)*$D36),0)</f>
        <v>0</v>
      </c>
      <c r="AA36" s="1060">
        <f ca="1">IFERROR(IF('Depreciation and Tax Benefit'!$F$27="Straight-line",IF(AA$6=$B36,$D36/$E36*IF(AND($C36=$G$18,StubY),StubWt/2,0.5),MIN($D36/$E36,$D36-SUM($F36:Z36))),SUMIFS($G$135:$AA$135,$G$134:$AA$134,AA$6-$B36+1)*$D36),0)</f>
        <v>0</v>
      </c>
      <c r="AB36" s="1060">
        <f ca="1">IFERROR(IF('Depreciation and Tax Benefit'!$F$27="Straight-line",IF(AB$6=$B36,$D36/$E36*IF(AND($C36=$G$18,StubY),StubWt/2,0.5),MIN($D36/$E36,$D36-SUM($F36:AA36))),SUMIFS($G$135:$AA$135,$G$134:$AA$134,AB$6-$B36+1)*$D36),0)</f>
        <v>0</v>
      </c>
      <c r="AC36" s="1060">
        <f ca="1">IFERROR(IF('Depreciation and Tax Benefit'!$F$27="Straight-line",IF(AC$6=$B36,$D36/$E36*IF(AND($C36=$G$18,StubY),StubWt/2,0.5),MIN($D36/$E36,$D36-SUM($F36:AB36))),SUMIFS($G$135:$AA$135,$G$134:$AA$134,AC$6-$B36+1)*$D36),0)</f>
        <v>0</v>
      </c>
      <c r="AD36" s="1060">
        <f ca="1">IFERROR(IF('Depreciation and Tax Benefit'!$F$27="Straight-line",IF(AD$6=$B36,$D36/$E36*IF(AND($C36=$G$18,StubY),StubWt/2,0.5),MIN($D36/$E36,$D36-SUM($F36:AC36))),SUMIFS($G$135:$AA$135,$G$134:$AA$134,AD$6-$B36+1)*$D36),0)</f>
        <v>0</v>
      </c>
      <c r="AE36" s="1060">
        <f ca="1">IFERROR(IF('Depreciation and Tax Benefit'!$F$27="Straight-line",IF(AE$6=$B36,$D36/$E36*IF(AND($C36=$G$18,StubY),StubWt/2,0.5),MIN($D36/$E36,$D36-SUM($F36:AD36))),SUMIFS($G$135:$AA$135,$G$134:$AA$134,AE$6-$B36+1)*$D36),0)</f>
        <v>0</v>
      </c>
      <c r="AF36" s="2060"/>
      <c r="AG36" s="1557"/>
      <c r="AH36" s="2060"/>
      <c r="AI36" s="2060"/>
      <c r="AJ36" s="2060"/>
      <c r="AK36" s="2060"/>
      <c r="AL36" s="2060"/>
      <c r="AM36" s="2060"/>
      <c r="AN36" s="2060"/>
      <c r="AO36" s="2060"/>
      <c r="AP36" s="2060"/>
      <c r="AQ36" s="2060"/>
      <c r="AR36" s="2060"/>
      <c r="AS36" s="2060"/>
      <c r="AT36" s="2060"/>
      <c r="AU36" s="2060"/>
      <c r="AV36" s="2060"/>
      <c r="AW36" s="2060"/>
      <c r="AX36" s="2060"/>
      <c r="AY36" s="2060"/>
      <c r="AZ36" s="2060"/>
      <c r="BA36" s="2060"/>
      <c r="BB36" s="2060"/>
    </row>
    <row r="37" spans="1:54" s="336" customFormat="1" ht="13.9">
      <c r="A37" s="1557" t="str">
        <f t="shared" ca="1" si="12"/>
        <v>n</v>
      </c>
      <c r="B37" s="1969">
        <f t="shared" si="15"/>
        <v>9</v>
      </c>
      <c r="C37" s="1366">
        <f t="shared" ca="1" si="13"/>
        <v>46112</v>
      </c>
      <c r="D37" s="513">
        <f t="shared" ca="1" si="14"/>
        <v>0</v>
      </c>
      <c r="E37" s="618">
        <f>'Depreciation and Tax Benefit'!$E$27</f>
        <v>10</v>
      </c>
      <c r="F37" s="511"/>
      <c r="G37" s="509"/>
      <c r="H37" s="509"/>
      <c r="I37" s="509"/>
      <c r="J37" s="509"/>
      <c r="K37" s="509"/>
      <c r="L37" s="509"/>
      <c r="M37" s="509"/>
      <c r="N37" s="509"/>
      <c r="O37" s="509"/>
      <c r="P37" s="1060">
        <f ca="1">IFERROR(IF('Depreciation and Tax Benefit'!$F$27="Straight-line",IF(P$6=$B37,$D37/$E37*IF(AND($C37=$G$18,StubY),StubWt/2,0.5),MIN($D37/$E37,$D37-SUM($F37:O37))),SUMIFS($G$135:$AA$135,$G$134:$AA$134,P$6-$B37+1)*$D37),0)</f>
        <v>0</v>
      </c>
      <c r="Q37" s="1060">
        <f ca="1">IFERROR(IF('Depreciation and Tax Benefit'!$F$27="Straight-line",IF(Q$6=$B37,$D37/$E37*IF(AND($C37=$G$18,StubY),StubWt/2,0.5),MIN($D37/$E37,$D37-SUM($F37:P37))),SUMIFS($G$135:$AA$135,$G$134:$AA$134,Q$6-$B37+1)*$D37),0)</f>
        <v>0</v>
      </c>
      <c r="R37" s="1060">
        <f ca="1">IFERROR(IF('Depreciation and Tax Benefit'!$F$27="Straight-line",IF(R$6=$B37,$D37/$E37*IF(AND($C37=$G$18,StubY),StubWt/2,0.5),MIN($D37/$E37,$D37-SUM($F37:Q37))),SUMIFS($G$135:$AA$135,$G$134:$AA$134,R$6-$B37+1)*$D37),0)</f>
        <v>0</v>
      </c>
      <c r="S37" s="1060">
        <f ca="1">IFERROR(IF('Depreciation and Tax Benefit'!$F$27="Straight-line",IF(S$6=$B37,$D37/$E37*IF(AND($C37=$G$18,StubY),StubWt/2,0.5),MIN($D37/$E37,$D37-SUM($F37:R37))),SUMIFS($G$135:$AA$135,$G$134:$AA$134,S$6-$B37+1)*$D37),0)</f>
        <v>0</v>
      </c>
      <c r="T37" s="1060">
        <f ca="1">IFERROR(IF('Depreciation and Tax Benefit'!$F$27="Straight-line",IF(T$6=$B37,$D37/$E37*IF(AND($C37=$G$18,StubY),StubWt/2,0.5),MIN($D37/$E37,$D37-SUM($F37:S37))),SUMIFS($G$135:$AA$135,$G$134:$AA$134,T$6-$B37+1)*$D37),0)</f>
        <v>0</v>
      </c>
      <c r="U37" s="1060">
        <f ca="1">IFERROR(IF('Depreciation and Tax Benefit'!$F$27="Straight-line",IF(U$6=$B37,$D37/$E37*IF(AND($C37=$G$18,StubY),StubWt/2,0.5),MIN($D37/$E37,$D37-SUM($F37:T37))),SUMIFS($G$135:$AA$135,$G$134:$AA$134,U$6-$B37+1)*$D37),0)</f>
        <v>0</v>
      </c>
      <c r="V37" s="1060">
        <f ca="1">IFERROR(IF('Depreciation and Tax Benefit'!$F$27="Straight-line",IF(V$6=$B37,$D37/$E37*IF(AND($C37=$G$18,StubY),StubWt/2,0.5),MIN($D37/$E37,$D37-SUM($F37:U37))),SUMIFS($G$135:$AA$135,$G$134:$AA$134,V$6-$B37+1)*$D37),0)</f>
        <v>0</v>
      </c>
      <c r="W37" s="1060">
        <f ca="1">IFERROR(IF('Depreciation and Tax Benefit'!$F$27="Straight-line",IF(W$6=$B37,$D37/$E37*IF(AND($C37=$G$18,StubY),StubWt/2,0.5),MIN($D37/$E37,$D37-SUM($F37:V37))),SUMIFS($G$135:$AA$135,$G$134:$AA$134,W$6-$B37+1)*$D37),0)</f>
        <v>0</v>
      </c>
      <c r="X37" s="1060">
        <f ca="1">IFERROR(IF('Depreciation and Tax Benefit'!$F$27="Straight-line",IF(X$6=$B37,$D37/$E37*IF(AND($C37=$G$18,StubY),StubWt/2,0.5),MIN($D37/$E37,$D37-SUM($F37:W37))),SUMIFS($G$135:$AA$135,$G$134:$AA$134,X$6-$B37+1)*$D37),0)</f>
        <v>0</v>
      </c>
      <c r="Y37" s="1060">
        <f ca="1">IFERROR(IF('Depreciation and Tax Benefit'!$F$27="Straight-line",IF(Y$6=$B37,$D37/$E37*IF(AND($C37=$G$18,StubY),StubWt/2,0.5),MIN($D37/$E37,$D37-SUM($F37:X37))),SUMIFS($G$135:$AA$135,$G$134:$AA$134,Y$6-$B37+1)*$D37),0)</f>
        <v>0</v>
      </c>
      <c r="Z37" s="1060">
        <f ca="1">IFERROR(IF('Depreciation and Tax Benefit'!$F$27="Straight-line",IF(Z$6=$B37,$D37/$E37*IF(AND($C37=$G$18,StubY),StubWt/2,0.5),MIN($D37/$E37,$D37-SUM($F37:Y37))),SUMIFS($G$135:$AA$135,$G$134:$AA$134,Z$6-$B37+1)*$D37),0)</f>
        <v>0</v>
      </c>
      <c r="AA37" s="1060">
        <f ca="1">IFERROR(IF('Depreciation and Tax Benefit'!$F$27="Straight-line",IF(AA$6=$B37,$D37/$E37*IF(AND($C37=$G$18,StubY),StubWt/2,0.5),MIN($D37/$E37,$D37-SUM($F37:Z37))),SUMIFS($G$135:$AA$135,$G$134:$AA$134,AA$6-$B37+1)*$D37),0)</f>
        <v>0</v>
      </c>
      <c r="AB37" s="1060">
        <f ca="1">IFERROR(IF('Depreciation and Tax Benefit'!$F$27="Straight-line",IF(AB$6=$B37,$D37/$E37*IF(AND($C37=$G$18,StubY),StubWt/2,0.5),MIN($D37/$E37,$D37-SUM($F37:AA37))),SUMIFS($G$135:$AA$135,$G$134:$AA$134,AB$6-$B37+1)*$D37),0)</f>
        <v>0</v>
      </c>
      <c r="AC37" s="1060">
        <f ca="1">IFERROR(IF('Depreciation and Tax Benefit'!$F$27="Straight-line",IF(AC$6=$B37,$D37/$E37*IF(AND($C37=$G$18,StubY),StubWt/2,0.5),MIN($D37/$E37,$D37-SUM($F37:AB37))),SUMIFS($G$135:$AA$135,$G$134:$AA$134,AC$6-$B37+1)*$D37),0)</f>
        <v>0</v>
      </c>
      <c r="AD37" s="1060">
        <f ca="1">IFERROR(IF('Depreciation and Tax Benefit'!$F$27="Straight-line",IF(AD$6=$B37,$D37/$E37*IF(AND($C37=$G$18,StubY),StubWt/2,0.5),MIN($D37/$E37,$D37-SUM($F37:AC37))),SUMIFS($G$135:$AA$135,$G$134:$AA$134,AD$6-$B37+1)*$D37),0)</f>
        <v>0</v>
      </c>
      <c r="AE37" s="1060">
        <f ca="1">IFERROR(IF('Depreciation and Tax Benefit'!$F$27="Straight-line",IF(AE$6=$B37,$D37/$E37*IF(AND($C37=$G$18,StubY),StubWt/2,0.5),MIN($D37/$E37,$D37-SUM($F37:AD37))),SUMIFS($G$135:$AA$135,$G$134:$AA$134,AE$6-$B37+1)*$D37),0)</f>
        <v>0</v>
      </c>
      <c r="AF37" s="2060"/>
      <c r="AG37" s="1557"/>
      <c r="AH37" s="2060"/>
      <c r="AI37" s="2060"/>
      <c r="AJ37" s="2060"/>
      <c r="AK37" s="2060"/>
      <c r="AL37" s="2060"/>
      <c r="AM37" s="2060"/>
      <c r="AN37" s="2060"/>
      <c r="AO37" s="2060"/>
      <c r="AP37" s="2060"/>
      <c r="AQ37" s="2060"/>
      <c r="AR37" s="2060"/>
      <c r="AS37" s="2060"/>
      <c r="AT37" s="2060"/>
      <c r="AU37" s="2060"/>
      <c r="AV37" s="2060"/>
      <c r="AW37" s="2060"/>
      <c r="AX37" s="2060"/>
      <c r="AY37" s="2060"/>
      <c r="AZ37" s="2060"/>
      <c r="BA37" s="2060"/>
      <c r="BB37" s="2060"/>
    </row>
    <row r="38" spans="1:54" s="336" customFormat="1" ht="13.9">
      <c r="A38" s="1557" t="str">
        <f t="shared" ca="1" si="12"/>
        <v>n</v>
      </c>
      <c r="B38" s="1969">
        <f t="shared" si="15"/>
        <v>10</v>
      </c>
      <c r="C38" s="1366">
        <f t="shared" ca="1" si="13"/>
        <v>46477</v>
      </c>
      <c r="D38" s="513">
        <f t="shared" ca="1" si="14"/>
        <v>0</v>
      </c>
      <c r="E38" s="618">
        <f>'Depreciation and Tax Benefit'!$E$27</f>
        <v>10</v>
      </c>
      <c r="F38" s="511"/>
      <c r="G38" s="509"/>
      <c r="H38" s="509"/>
      <c r="I38" s="509"/>
      <c r="J38" s="509"/>
      <c r="K38" s="509"/>
      <c r="L38" s="509"/>
      <c r="M38" s="509"/>
      <c r="N38" s="509"/>
      <c r="O38" s="509"/>
      <c r="P38" s="509"/>
      <c r="Q38" s="1060">
        <f ca="1">IFERROR(IF('Depreciation and Tax Benefit'!$F$27="Straight-line",IF(Q$6=$B38,$D38/$E38*IF(AND($C38=$G$18,StubY),StubWt/2,0.5),MIN($D38/$E38,$D38-SUM($F38:P38))),SUMIFS($G$135:$AA$135,$G$134:$AA$134,Q$6-$B38+1)*$D38),0)</f>
        <v>0</v>
      </c>
      <c r="R38" s="1060">
        <f ca="1">IFERROR(IF('Depreciation and Tax Benefit'!$F$27="Straight-line",IF(R$6=$B38,$D38/$E38*IF(AND($C38=$G$18,StubY),StubWt/2,0.5),MIN($D38/$E38,$D38-SUM($F38:Q38))),SUMIFS($G$135:$AA$135,$G$134:$AA$134,R$6-$B38+1)*$D38),0)</f>
        <v>0</v>
      </c>
      <c r="S38" s="1060">
        <f ca="1">IFERROR(IF('Depreciation and Tax Benefit'!$F$27="Straight-line",IF(S$6=$B38,$D38/$E38*IF(AND($C38=$G$18,StubY),StubWt/2,0.5),MIN($D38/$E38,$D38-SUM($F38:R38))),SUMIFS($G$135:$AA$135,$G$134:$AA$134,S$6-$B38+1)*$D38),0)</f>
        <v>0</v>
      </c>
      <c r="T38" s="1060">
        <f ca="1">IFERROR(IF('Depreciation and Tax Benefit'!$F$27="Straight-line",IF(T$6=$B38,$D38/$E38*IF(AND($C38=$G$18,StubY),StubWt/2,0.5),MIN($D38/$E38,$D38-SUM($F38:S38))),SUMIFS($G$135:$AA$135,$G$134:$AA$134,T$6-$B38+1)*$D38),0)</f>
        <v>0</v>
      </c>
      <c r="U38" s="1060">
        <f ca="1">IFERROR(IF('Depreciation and Tax Benefit'!$F$27="Straight-line",IF(U$6=$B38,$D38/$E38*IF(AND($C38=$G$18,StubY),StubWt/2,0.5),MIN($D38/$E38,$D38-SUM($F38:T38))),SUMIFS($G$135:$AA$135,$G$134:$AA$134,U$6-$B38+1)*$D38),0)</f>
        <v>0</v>
      </c>
      <c r="V38" s="1060">
        <f ca="1">IFERROR(IF('Depreciation and Tax Benefit'!$F$27="Straight-line",IF(V$6=$B38,$D38/$E38*IF(AND($C38=$G$18,StubY),StubWt/2,0.5),MIN($D38/$E38,$D38-SUM($F38:U38))),SUMIFS($G$135:$AA$135,$G$134:$AA$134,V$6-$B38+1)*$D38),0)</f>
        <v>0</v>
      </c>
      <c r="W38" s="1060">
        <f ca="1">IFERROR(IF('Depreciation and Tax Benefit'!$F$27="Straight-line",IF(W$6=$B38,$D38/$E38*IF(AND($C38=$G$18,StubY),StubWt/2,0.5),MIN($D38/$E38,$D38-SUM($F38:V38))),SUMIFS($G$135:$AA$135,$G$134:$AA$134,W$6-$B38+1)*$D38),0)</f>
        <v>0</v>
      </c>
      <c r="X38" s="1060">
        <f ca="1">IFERROR(IF('Depreciation and Tax Benefit'!$F$27="Straight-line",IF(X$6=$B38,$D38/$E38*IF(AND($C38=$G$18,StubY),StubWt/2,0.5),MIN($D38/$E38,$D38-SUM($F38:W38))),SUMIFS($G$135:$AA$135,$G$134:$AA$134,X$6-$B38+1)*$D38),0)</f>
        <v>0</v>
      </c>
      <c r="Y38" s="1060">
        <f ca="1">IFERROR(IF('Depreciation and Tax Benefit'!$F$27="Straight-line",IF(Y$6=$B38,$D38/$E38*IF(AND($C38=$G$18,StubY),StubWt/2,0.5),MIN($D38/$E38,$D38-SUM($F38:X38))),SUMIFS($G$135:$AA$135,$G$134:$AA$134,Y$6-$B38+1)*$D38),0)</f>
        <v>0</v>
      </c>
      <c r="Z38" s="1060">
        <f ca="1">IFERROR(IF('Depreciation and Tax Benefit'!$F$27="Straight-line",IF(Z$6=$B38,$D38/$E38*IF(AND($C38=$G$18,StubY),StubWt/2,0.5),MIN($D38/$E38,$D38-SUM($F38:Y38))),SUMIFS($G$135:$AA$135,$G$134:$AA$134,Z$6-$B38+1)*$D38),0)</f>
        <v>0</v>
      </c>
      <c r="AA38" s="1060">
        <f ca="1">IFERROR(IF('Depreciation and Tax Benefit'!$F$27="Straight-line",IF(AA$6=$B38,$D38/$E38*IF(AND($C38=$G$18,StubY),StubWt/2,0.5),MIN($D38/$E38,$D38-SUM($F38:Z38))),SUMIFS($G$135:$AA$135,$G$134:$AA$134,AA$6-$B38+1)*$D38),0)</f>
        <v>0</v>
      </c>
      <c r="AB38" s="1060">
        <f ca="1">IFERROR(IF('Depreciation and Tax Benefit'!$F$27="Straight-line",IF(AB$6=$B38,$D38/$E38*IF(AND($C38=$G$18,StubY),StubWt/2,0.5),MIN($D38/$E38,$D38-SUM($F38:AA38))),SUMIFS($G$135:$AA$135,$G$134:$AA$134,AB$6-$B38+1)*$D38),0)</f>
        <v>0</v>
      </c>
      <c r="AC38" s="1060">
        <f ca="1">IFERROR(IF('Depreciation and Tax Benefit'!$F$27="Straight-line",IF(AC$6=$B38,$D38/$E38*IF(AND($C38=$G$18,StubY),StubWt/2,0.5),MIN($D38/$E38,$D38-SUM($F38:AB38))),SUMIFS($G$135:$AA$135,$G$134:$AA$134,AC$6-$B38+1)*$D38),0)</f>
        <v>0</v>
      </c>
      <c r="AD38" s="1060">
        <f ca="1">IFERROR(IF('Depreciation and Tax Benefit'!$F$27="Straight-line",IF(AD$6=$B38,$D38/$E38*IF(AND($C38=$G$18,StubY),StubWt/2,0.5),MIN($D38/$E38,$D38-SUM($F38:AC38))),SUMIFS($G$135:$AA$135,$G$134:$AA$134,AD$6-$B38+1)*$D38),0)</f>
        <v>0</v>
      </c>
      <c r="AE38" s="1060">
        <f ca="1">IFERROR(IF('Depreciation and Tax Benefit'!$F$27="Straight-line",IF(AE$6=$B38,$D38/$E38*IF(AND($C38=$G$18,StubY),StubWt/2,0.5),MIN($D38/$E38,$D38-SUM($F38:AD38))),SUMIFS($G$135:$AA$135,$G$134:$AA$134,AE$6-$B38+1)*$D38),0)</f>
        <v>0</v>
      </c>
      <c r="AF38" s="2060"/>
      <c r="AG38" s="1557"/>
      <c r="AH38" s="2060"/>
      <c r="AI38" s="2060"/>
      <c r="AJ38" s="2060"/>
      <c r="AK38" s="2060"/>
      <c r="AL38" s="2060"/>
      <c r="AM38" s="2060"/>
      <c r="AN38" s="2060"/>
      <c r="AO38" s="2060"/>
      <c r="AP38" s="2060"/>
      <c r="AQ38" s="2060"/>
      <c r="AR38" s="2060"/>
      <c r="AS38" s="2060"/>
      <c r="AT38" s="2060"/>
      <c r="AU38" s="2060"/>
      <c r="AV38" s="2060"/>
      <c r="AW38" s="2060"/>
      <c r="AX38" s="2060"/>
      <c r="AY38" s="2060"/>
      <c r="AZ38" s="2060"/>
      <c r="BA38" s="2060"/>
      <c r="BB38" s="2060"/>
    </row>
    <row r="39" spans="1:54" s="336" customFormat="1" ht="13.9">
      <c r="A39" s="1557" t="str">
        <f t="shared" ref="A39:A51" si="16">IF(SUM(G39:Q39),"","n")</f>
        <v>n</v>
      </c>
      <c r="B39" s="1969">
        <f t="shared" si="15"/>
        <v>11</v>
      </c>
      <c r="C39" s="1366">
        <f t="shared" ca="1" si="13"/>
        <v>46843</v>
      </c>
      <c r="D39" s="513">
        <f t="shared" ca="1" si="14"/>
        <v>0</v>
      </c>
      <c r="E39" s="618">
        <f>'Depreciation and Tax Benefit'!$E$27</f>
        <v>10</v>
      </c>
      <c r="F39" s="511"/>
      <c r="G39" s="509"/>
      <c r="H39" s="509"/>
      <c r="I39" s="509"/>
      <c r="J39" s="509"/>
      <c r="K39" s="509"/>
      <c r="L39" s="509"/>
      <c r="M39" s="509"/>
      <c r="N39" s="509"/>
      <c r="O39" s="509"/>
      <c r="P39" s="509"/>
      <c r="Q39" s="509"/>
      <c r="R39" s="1060">
        <f ca="1">IFERROR(IF('Depreciation and Tax Benefit'!$F$27="Straight-line",IF(R$6=$B39,$D39/$E39*IF(AND($C39=$G$18,StubY),StubWt/2,0.5),MIN($D39/$E39,$D39-SUM($F39:Q39))),SUMIFS($G$135:$AA$135,$G$134:$AA$134,R$6-$B39+1)*$D39),0)</f>
        <v>0</v>
      </c>
      <c r="S39" s="1060">
        <f ca="1">IFERROR(IF('Depreciation and Tax Benefit'!$F$27="Straight-line",IF(S$6=$B39,$D39/$E39*IF(AND($C39=$G$18,StubY),StubWt/2,0.5),MIN($D39/$E39,$D39-SUM($F39:R39))),SUMIFS($G$135:$AA$135,$G$134:$AA$134,S$6-$B39+1)*$D39),0)</f>
        <v>0</v>
      </c>
      <c r="T39" s="1060">
        <f ca="1">IFERROR(IF('Depreciation and Tax Benefit'!$F$27="Straight-line",IF(T$6=$B39,$D39/$E39*IF(AND($C39=$G$18,StubY),StubWt/2,0.5),MIN($D39/$E39,$D39-SUM($F39:S39))),SUMIFS($G$135:$AA$135,$G$134:$AA$134,T$6-$B39+1)*$D39),0)</f>
        <v>0</v>
      </c>
      <c r="U39" s="1060">
        <f ca="1">IFERROR(IF('Depreciation and Tax Benefit'!$F$27="Straight-line",IF(U$6=$B39,$D39/$E39*IF(AND($C39=$G$18,StubY),StubWt/2,0.5),MIN($D39/$E39,$D39-SUM($F39:T39))),SUMIFS($G$135:$AA$135,$G$134:$AA$134,U$6-$B39+1)*$D39),0)</f>
        <v>0</v>
      </c>
      <c r="V39" s="1060">
        <f ca="1">IFERROR(IF('Depreciation and Tax Benefit'!$F$27="Straight-line",IF(V$6=$B39,$D39/$E39*IF(AND($C39=$G$18,StubY),StubWt/2,0.5),MIN($D39/$E39,$D39-SUM($F39:U39))),SUMIFS($G$135:$AA$135,$G$134:$AA$134,V$6-$B39+1)*$D39),0)</f>
        <v>0</v>
      </c>
      <c r="W39" s="1060">
        <f ca="1">IFERROR(IF('Depreciation and Tax Benefit'!$F$27="Straight-line",IF(W$6=$B39,$D39/$E39*IF(AND($C39=$G$18,StubY),StubWt/2,0.5),MIN($D39/$E39,$D39-SUM($F39:V39))),SUMIFS($G$135:$AA$135,$G$134:$AA$134,W$6-$B39+1)*$D39),0)</f>
        <v>0</v>
      </c>
      <c r="X39" s="1060">
        <f ca="1">IFERROR(IF('Depreciation and Tax Benefit'!$F$27="Straight-line",IF(X$6=$B39,$D39/$E39*IF(AND($C39=$G$18,StubY),StubWt/2,0.5),MIN($D39/$E39,$D39-SUM($F39:W39))),SUMIFS($G$135:$AA$135,$G$134:$AA$134,X$6-$B39+1)*$D39),0)</f>
        <v>0</v>
      </c>
      <c r="Y39" s="1060">
        <f ca="1">IFERROR(IF('Depreciation and Tax Benefit'!$F$27="Straight-line",IF(Y$6=$B39,$D39/$E39*IF(AND($C39=$G$18,StubY),StubWt/2,0.5),MIN($D39/$E39,$D39-SUM($F39:X39))),SUMIFS($G$135:$AA$135,$G$134:$AA$134,Y$6-$B39+1)*$D39),0)</f>
        <v>0</v>
      </c>
      <c r="Z39" s="1060">
        <f ca="1">IFERROR(IF('Depreciation and Tax Benefit'!$F$27="Straight-line",IF(Z$6=$B39,$D39/$E39*IF(AND($C39=$G$18,StubY),StubWt/2,0.5),MIN($D39/$E39,$D39-SUM($F39:Y39))),SUMIFS($G$135:$AA$135,$G$134:$AA$134,Z$6-$B39+1)*$D39),0)</f>
        <v>0</v>
      </c>
      <c r="AA39" s="1060">
        <f ca="1">IFERROR(IF('Depreciation and Tax Benefit'!$F$27="Straight-line",IF(AA$6=$B39,$D39/$E39*IF(AND($C39=$G$18,StubY),StubWt/2,0.5),MIN($D39/$E39,$D39-SUM($F39:Z39))),SUMIFS($G$135:$AA$135,$G$134:$AA$134,AA$6-$B39+1)*$D39),0)</f>
        <v>0</v>
      </c>
      <c r="AB39" s="1060">
        <f ca="1">IFERROR(IF('Depreciation and Tax Benefit'!$F$27="Straight-line",IF(AB$6=$B39,$D39/$E39*IF(AND($C39=$G$18,StubY),StubWt/2,0.5),MIN($D39/$E39,$D39-SUM($F39:AA39))),SUMIFS($G$135:$AA$135,$G$134:$AA$134,AB$6-$B39+1)*$D39),0)</f>
        <v>0</v>
      </c>
      <c r="AC39" s="1060">
        <f ca="1">IFERROR(IF('Depreciation and Tax Benefit'!$F$27="Straight-line",IF(AC$6=$B39,$D39/$E39*IF(AND($C39=$G$18,StubY),StubWt/2,0.5),MIN($D39/$E39,$D39-SUM($F39:AB39))),SUMIFS($G$135:$AA$135,$G$134:$AA$134,AC$6-$B39+1)*$D39),0)</f>
        <v>0</v>
      </c>
      <c r="AD39" s="1060">
        <f ca="1">IFERROR(IF('Depreciation and Tax Benefit'!$F$27="Straight-line",IF(AD$6=$B39,$D39/$E39*IF(AND($C39=$G$18,StubY),StubWt/2,0.5),MIN($D39/$E39,$D39-SUM($F39:AC39))),SUMIFS($G$135:$AA$135,$G$134:$AA$134,AD$6-$B39+1)*$D39),0)</f>
        <v>0</v>
      </c>
      <c r="AE39" s="1060">
        <f ca="1">IFERROR(IF('Depreciation and Tax Benefit'!$F$27="Straight-line",IF(AE$6=$B39,$D39/$E39*IF(AND($C39=$G$18,StubY),StubWt/2,0.5),MIN($D39/$E39,$D39-SUM($F39:AD39))),SUMIFS($G$135:$AA$135,$G$134:$AA$134,AE$6-$B39+1)*$D39),0)</f>
        <v>0</v>
      </c>
      <c r="AF39" s="1060"/>
      <c r="AG39" s="1557"/>
      <c r="AH39" s="2060"/>
      <c r="AI39" s="2060"/>
      <c r="AJ39" s="2060"/>
      <c r="AK39" s="2060"/>
      <c r="AL39" s="2060"/>
      <c r="AM39" s="2060"/>
      <c r="AN39" s="2060"/>
      <c r="AO39" s="2060"/>
      <c r="AP39" s="2060"/>
      <c r="AQ39" s="2060"/>
      <c r="AR39" s="2060"/>
      <c r="AS39" s="2060"/>
      <c r="AT39" s="2060"/>
      <c r="AU39" s="2060"/>
      <c r="AV39" s="2060"/>
      <c r="AW39" s="2060"/>
      <c r="AX39" s="2060"/>
      <c r="AY39" s="2060"/>
      <c r="AZ39" s="2060"/>
      <c r="BA39" s="2060"/>
      <c r="BB39" s="2060"/>
    </row>
    <row r="40" spans="1:54" s="336" customFormat="1" ht="13.9">
      <c r="A40" s="1557" t="str">
        <f t="shared" si="16"/>
        <v>n</v>
      </c>
      <c r="B40" s="1969">
        <f t="shared" si="15"/>
        <v>12</v>
      </c>
      <c r="C40" s="1366">
        <f t="shared" ca="1" si="13"/>
        <v>47208</v>
      </c>
      <c r="D40" s="513">
        <f t="shared" ca="1" si="14"/>
        <v>0</v>
      </c>
      <c r="E40" s="618">
        <f>'Depreciation and Tax Benefit'!$E$27</f>
        <v>10</v>
      </c>
      <c r="F40" s="511"/>
      <c r="G40" s="509"/>
      <c r="H40" s="509"/>
      <c r="I40" s="509"/>
      <c r="J40" s="509"/>
      <c r="K40" s="509"/>
      <c r="L40" s="509"/>
      <c r="M40" s="509"/>
      <c r="N40" s="509"/>
      <c r="O40" s="509"/>
      <c r="P40" s="509"/>
      <c r="Q40" s="509"/>
      <c r="R40" s="509"/>
      <c r="S40" s="1060">
        <f ca="1">IFERROR(IF('Depreciation and Tax Benefit'!$F$27="Straight-line",IF(S$6=$B40,$D40/$E40*IF(AND($C40=$G$18,StubY),StubWt/2,0.5),MIN($D40/$E40,$D40-SUM($F40:R40))),SUMIFS($G$135:$AA$135,$G$134:$AA$134,S$6-$B40+1)*$D40),0)</f>
        <v>0</v>
      </c>
      <c r="T40" s="1060">
        <f ca="1">IFERROR(IF('Depreciation and Tax Benefit'!$F$27="Straight-line",IF(T$6=$B40,$D40/$E40*IF(AND($C40=$G$18,StubY),StubWt/2,0.5),MIN($D40/$E40,$D40-SUM($F40:S40))),SUMIFS($G$135:$AA$135,$G$134:$AA$134,T$6-$B40+1)*$D40),0)</f>
        <v>0</v>
      </c>
      <c r="U40" s="1060">
        <f ca="1">IFERROR(IF('Depreciation and Tax Benefit'!$F$27="Straight-line",IF(U$6=$B40,$D40/$E40*IF(AND($C40=$G$18,StubY),StubWt/2,0.5),MIN($D40/$E40,$D40-SUM($F40:T40))),SUMIFS($G$135:$AA$135,$G$134:$AA$134,U$6-$B40+1)*$D40),0)</f>
        <v>0</v>
      </c>
      <c r="V40" s="1060">
        <f ca="1">IFERROR(IF('Depreciation and Tax Benefit'!$F$27="Straight-line",IF(V$6=$B40,$D40/$E40*IF(AND($C40=$G$18,StubY),StubWt/2,0.5),MIN($D40/$E40,$D40-SUM($F40:U40))),SUMIFS($G$135:$AA$135,$G$134:$AA$134,V$6-$B40+1)*$D40),0)</f>
        <v>0</v>
      </c>
      <c r="W40" s="1060">
        <f ca="1">IFERROR(IF('Depreciation and Tax Benefit'!$F$27="Straight-line",IF(W$6=$B40,$D40/$E40*IF(AND($C40=$G$18,StubY),StubWt/2,0.5),MIN($D40/$E40,$D40-SUM($F40:V40))),SUMIFS($G$135:$AA$135,$G$134:$AA$134,W$6-$B40+1)*$D40),0)</f>
        <v>0</v>
      </c>
      <c r="X40" s="1060">
        <f ca="1">IFERROR(IF('Depreciation and Tax Benefit'!$F$27="Straight-line",IF(X$6=$B40,$D40/$E40*IF(AND($C40=$G$18,StubY),StubWt/2,0.5),MIN($D40/$E40,$D40-SUM($F40:W40))),SUMIFS($G$135:$AA$135,$G$134:$AA$134,X$6-$B40+1)*$D40),0)</f>
        <v>0</v>
      </c>
      <c r="Y40" s="1060">
        <f ca="1">IFERROR(IF('Depreciation and Tax Benefit'!$F$27="Straight-line",IF(Y$6=$B40,$D40/$E40*IF(AND($C40=$G$18,StubY),StubWt/2,0.5),MIN($D40/$E40,$D40-SUM($F40:X40))),SUMIFS($G$135:$AA$135,$G$134:$AA$134,Y$6-$B40+1)*$D40),0)</f>
        <v>0</v>
      </c>
      <c r="Z40" s="1060">
        <f ca="1">IFERROR(IF('Depreciation and Tax Benefit'!$F$27="Straight-line",IF(Z$6=$B40,$D40/$E40*IF(AND($C40=$G$18,StubY),StubWt/2,0.5),MIN($D40/$E40,$D40-SUM($F40:Y40))),SUMIFS($G$135:$AA$135,$G$134:$AA$134,Z$6-$B40+1)*$D40),0)</f>
        <v>0</v>
      </c>
      <c r="AA40" s="1060">
        <f ca="1">IFERROR(IF('Depreciation and Tax Benefit'!$F$27="Straight-line",IF(AA$6=$B40,$D40/$E40*IF(AND($C40=$G$18,StubY),StubWt/2,0.5),MIN($D40/$E40,$D40-SUM($F40:Z40))),SUMIFS($G$135:$AA$135,$G$134:$AA$134,AA$6-$B40+1)*$D40),0)</f>
        <v>0</v>
      </c>
      <c r="AB40" s="1060">
        <f ca="1">IFERROR(IF('Depreciation and Tax Benefit'!$F$27="Straight-line",IF(AB$6=$B40,$D40/$E40*IF(AND($C40=$G$18,StubY),StubWt/2,0.5),MIN($D40/$E40,$D40-SUM($F40:AA40))),SUMIFS($G$135:$AA$135,$G$134:$AA$134,AB$6-$B40+1)*$D40),0)</f>
        <v>0</v>
      </c>
      <c r="AC40" s="1060">
        <f ca="1">IFERROR(IF('Depreciation and Tax Benefit'!$F$27="Straight-line",IF(AC$6=$B40,$D40/$E40*IF(AND($C40=$G$18,StubY),StubWt/2,0.5),MIN($D40/$E40,$D40-SUM($F40:AB40))),SUMIFS($G$135:$AA$135,$G$134:$AA$134,AC$6-$B40+1)*$D40),0)</f>
        <v>0</v>
      </c>
      <c r="AD40" s="1060">
        <f ca="1">IFERROR(IF('Depreciation and Tax Benefit'!$F$27="Straight-line",IF(AD$6=$B40,$D40/$E40*IF(AND($C40=$G$18,StubY),StubWt/2,0.5),MIN($D40/$E40,$D40-SUM($F40:AC40))),SUMIFS($G$135:$AA$135,$G$134:$AA$134,AD$6-$B40+1)*$D40),0)</f>
        <v>0</v>
      </c>
      <c r="AE40" s="1060">
        <f ca="1">IFERROR(IF('Depreciation and Tax Benefit'!$F$27="Straight-line",IF(AE$6=$B40,$D40/$E40*IF(AND($C40=$G$18,StubY),StubWt/2,0.5),MIN($D40/$E40,$D40-SUM($F40:AD40))),SUMIFS($G$135:$AA$135,$G$134:$AA$134,AE$6-$B40+1)*$D40),0)</f>
        <v>0</v>
      </c>
      <c r="AF40" s="1060"/>
      <c r="AG40" s="1557"/>
      <c r="AH40" s="2060"/>
      <c r="AI40" s="2060"/>
      <c r="AJ40" s="2060"/>
      <c r="AK40" s="2060"/>
      <c r="AL40" s="2060"/>
      <c r="AM40" s="2060"/>
      <c r="AN40" s="2060"/>
      <c r="AO40" s="2060"/>
      <c r="AP40" s="2060"/>
      <c r="AQ40" s="2060"/>
      <c r="AR40" s="2060"/>
      <c r="AS40" s="2060"/>
      <c r="AT40" s="2060"/>
      <c r="AU40" s="2060"/>
      <c r="AV40" s="2060"/>
      <c r="AW40" s="2060"/>
      <c r="AX40" s="2060"/>
      <c r="AY40" s="2060"/>
      <c r="AZ40" s="2060"/>
      <c r="BA40" s="2060"/>
      <c r="BB40" s="2060"/>
    </row>
    <row r="41" spans="1:54" s="336" customFormat="1" ht="13.9">
      <c r="A41" s="1557" t="str">
        <f t="shared" si="16"/>
        <v>n</v>
      </c>
      <c r="B41" s="1969">
        <f t="shared" si="15"/>
        <v>13</v>
      </c>
      <c r="C41" s="1366">
        <f t="shared" ca="1" si="13"/>
        <v>47573</v>
      </c>
      <c r="D41" s="513">
        <f t="shared" ca="1" si="14"/>
        <v>0</v>
      </c>
      <c r="E41" s="618">
        <f>'Depreciation and Tax Benefit'!$E$27</f>
        <v>10</v>
      </c>
      <c r="F41" s="511"/>
      <c r="G41" s="509"/>
      <c r="H41" s="509"/>
      <c r="I41" s="509"/>
      <c r="J41" s="509"/>
      <c r="K41" s="509"/>
      <c r="L41" s="509"/>
      <c r="M41" s="509"/>
      <c r="N41" s="509"/>
      <c r="O41" s="509"/>
      <c r="P41" s="509"/>
      <c r="Q41" s="509"/>
      <c r="R41" s="509"/>
      <c r="S41" s="509"/>
      <c r="T41" s="1060">
        <f ca="1">IFERROR(IF('Depreciation and Tax Benefit'!$F$27="Straight-line",IF(T$6=$B41,$D41/$E41*IF(AND($C41=$G$18,StubY),StubWt/2,0.5),MIN($D41/$E41,$D41-SUM($F41:S41))),SUMIFS($G$135:$AA$135,$G$134:$AA$134,T$6-$B41+1)*$D41),0)</f>
        <v>0</v>
      </c>
      <c r="U41" s="1060">
        <f ca="1">IFERROR(IF('Depreciation and Tax Benefit'!$F$27="Straight-line",IF(U$6=$B41,$D41/$E41*IF(AND($C41=$G$18,StubY),StubWt/2,0.5),MIN($D41/$E41,$D41-SUM($F41:T41))),SUMIFS($G$135:$AA$135,$G$134:$AA$134,U$6-$B41+1)*$D41),0)</f>
        <v>0</v>
      </c>
      <c r="V41" s="1060">
        <f ca="1">IFERROR(IF('Depreciation and Tax Benefit'!$F$27="Straight-line",IF(V$6=$B41,$D41/$E41*IF(AND($C41=$G$18,StubY),StubWt/2,0.5),MIN($D41/$E41,$D41-SUM($F41:U41))),SUMIFS($G$135:$AA$135,$G$134:$AA$134,V$6-$B41+1)*$D41),0)</f>
        <v>0</v>
      </c>
      <c r="W41" s="1060">
        <f ca="1">IFERROR(IF('Depreciation and Tax Benefit'!$F$27="Straight-line",IF(W$6=$B41,$D41/$E41*IF(AND($C41=$G$18,StubY),StubWt/2,0.5),MIN($D41/$E41,$D41-SUM($F41:V41))),SUMIFS($G$135:$AA$135,$G$134:$AA$134,W$6-$B41+1)*$D41),0)</f>
        <v>0</v>
      </c>
      <c r="X41" s="1060">
        <f ca="1">IFERROR(IF('Depreciation and Tax Benefit'!$F$27="Straight-line",IF(X$6=$B41,$D41/$E41*IF(AND($C41=$G$18,StubY),StubWt/2,0.5),MIN($D41/$E41,$D41-SUM($F41:W41))),SUMIFS($G$135:$AA$135,$G$134:$AA$134,X$6-$B41+1)*$D41),0)</f>
        <v>0</v>
      </c>
      <c r="Y41" s="1060">
        <f ca="1">IFERROR(IF('Depreciation and Tax Benefit'!$F$27="Straight-line",IF(Y$6=$B41,$D41/$E41*IF(AND($C41=$G$18,StubY),StubWt/2,0.5),MIN($D41/$E41,$D41-SUM($F41:X41))),SUMIFS($G$135:$AA$135,$G$134:$AA$134,Y$6-$B41+1)*$D41),0)</f>
        <v>0</v>
      </c>
      <c r="Z41" s="1060">
        <f ca="1">IFERROR(IF('Depreciation and Tax Benefit'!$F$27="Straight-line",IF(Z$6=$B41,$D41/$E41*IF(AND($C41=$G$18,StubY),StubWt/2,0.5),MIN($D41/$E41,$D41-SUM($F41:Y41))),SUMIFS($G$135:$AA$135,$G$134:$AA$134,Z$6-$B41+1)*$D41),0)</f>
        <v>0</v>
      </c>
      <c r="AA41" s="1060">
        <f ca="1">IFERROR(IF('Depreciation and Tax Benefit'!$F$27="Straight-line",IF(AA$6=$B41,$D41/$E41*IF(AND($C41=$G$18,StubY),StubWt/2,0.5),MIN($D41/$E41,$D41-SUM($F41:Z41))),SUMIFS($G$135:$AA$135,$G$134:$AA$134,AA$6-$B41+1)*$D41),0)</f>
        <v>0</v>
      </c>
      <c r="AB41" s="1060">
        <f ca="1">IFERROR(IF('Depreciation and Tax Benefit'!$F$27="Straight-line",IF(AB$6=$B41,$D41/$E41*IF(AND($C41=$G$18,StubY),StubWt/2,0.5),MIN($D41/$E41,$D41-SUM($F41:AA41))),SUMIFS($G$135:$AA$135,$G$134:$AA$134,AB$6-$B41+1)*$D41),0)</f>
        <v>0</v>
      </c>
      <c r="AC41" s="1060">
        <f ca="1">IFERROR(IF('Depreciation and Tax Benefit'!$F$27="Straight-line",IF(AC$6=$B41,$D41/$E41*IF(AND($C41=$G$18,StubY),StubWt/2,0.5),MIN($D41/$E41,$D41-SUM($F41:AB41))),SUMIFS($G$135:$AA$135,$G$134:$AA$134,AC$6-$B41+1)*$D41),0)</f>
        <v>0</v>
      </c>
      <c r="AD41" s="1060">
        <f ca="1">IFERROR(IF('Depreciation and Tax Benefit'!$F$27="Straight-line",IF(AD$6=$B41,$D41/$E41*IF(AND($C41=$G$18,StubY),StubWt/2,0.5),MIN($D41/$E41,$D41-SUM($F41:AC41))),SUMIFS($G$135:$AA$135,$G$134:$AA$134,AD$6-$B41+1)*$D41),0)</f>
        <v>0</v>
      </c>
      <c r="AE41" s="1060">
        <f ca="1">IFERROR(IF('Depreciation and Tax Benefit'!$F$27="Straight-line",IF(AE$6=$B41,$D41/$E41*IF(AND($C41=$G$18,StubY),StubWt/2,0.5),MIN($D41/$E41,$D41-SUM($F41:AD41))),SUMIFS($G$135:$AA$135,$G$134:$AA$134,AE$6-$B41+1)*$D41),0)</f>
        <v>0</v>
      </c>
      <c r="AF41" s="1060"/>
      <c r="AG41" s="1557"/>
      <c r="AH41" s="2060"/>
      <c r="AI41" s="2060"/>
      <c r="AJ41" s="2060"/>
      <c r="AK41" s="2060"/>
      <c r="AL41" s="2060"/>
      <c r="AM41" s="2060"/>
      <c r="AN41" s="2060"/>
      <c r="AO41" s="2060"/>
      <c r="AP41" s="2060"/>
      <c r="AQ41" s="2060"/>
      <c r="AR41" s="2060"/>
      <c r="AS41" s="2060"/>
      <c r="AT41" s="2060"/>
      <c r="AU41" s="2060"/>
      <c r="AV41" s="2060"/>
      <c r="AW41" s="2060"/>
      <c r="AX41" s="2060"/>
      <c r="AY41" s="2060"/>
      <c r="AZ41" s="2060"/>
      <c r="BA41" s="2060"/>
      <c r="BB41" s="2060"/>
    </row>
    <row r="42" spans="1:54" s="336" customFormat="1" ht="13.9">
      <c r="A42" s="1557" t="str">
        <f t="shared" si="16"/>
        <v>n</v>
      </c>
      <c r="B42" s="1969">
        <f t="shared" si="15"/>
        <v>14</v>
      </c>
      <c r="C42" s="1366">
        <f t="shared" ca="1" si="13"/>
        <v>47938</v>
      </c>
      <c r="D42" s="513">
        <f t="shared" ca="1" si="14"/>
        <v>0</v>
      </c>
      <c r="E42" s="618">
        <f>'Depreciation and Tax Benefit'!$E$27</f>
        <v>10</v>
      </c>
      <c r="F42" s="511"/>
      <c r="G42" s="509"/>
      <c r="H42" s="509"/>
      <c r="I42" s="509"/>
      <c r="J42" s="509"/>
      <c r="K42" s="509"/>
      <c r="L42" s="509"/>
      <c r="M42" s="509"/>
      <c r="N42" s="509"/>
      <c r="O42" s="509"/>
      <c r="P42" s="509"/>
      <c r="Q42" s="509"/>
      <c r="R42" s="509"/>
      <c r="S42" s="509"/>
      <c r="T42" s="509"/>
      <c r="U42" s="1060">
        <f ca="1">IFERROR(IF('Depreciation and Tax Benefit'!$F$27="Straight-line",IF(U$6=$B42,$D42/$E42*IF(AND($C42=$G$18,StubY),StubWt/2,0.5),MIN($D42/$E42,$D42-SUM($F42:T42))),SUMIFS($G$135:$AA$135,$G$134:$AA$134,U$6-$B42+1)*$D42),0)</f>
        <v>0</v>
      </c>
      <c r="V42" s="1060">
        <f ca="1">IFERROR(IF('Depreciation and Tax Benefit'!$F$27="Straight-line",IF(V$6=$B42,$D42/$E42*IF(AND($C42=$G$18,StubY),StubWt/2,0.5),MIN($D42/$E42,$D42-SUM($F42:U42))),SUMIFS($G$135:$AA$135,$G$134:$AA$134,V$6-$B42+1)*$D42),0)</f>
        <v>0</v>
      </c>
      <c r="W42" s="1060">
        <f ca="1">IFERROR(IF('Depreciation and Tax Benefit'!$F$27="Straight-line",IF(W$6=$B42,$D42/$E42*IF(AND($C42=$G$18,StubY),StubWt/2,0.5),MIN($D42/$E42,$D42-SUM($F42:V42))),SUMIFS($G$135:$AA$135,$G$134:$AA$134,W$6-$B42+1)*$D42),0)</f>
        <v>0</v>
      </c>
      <c r="X42" s="1060">
        <f ca="1">IFERROR(IF('Depreciation and Tax Benefit'!$F$27="Straight-line",IF(X$6=$B42,$D42/$E42*IF(AND($C42=$G$18,StubY),StubWt/2,0.5),MIN($D42/$E42,$D42-SUM($F42:W42))),SUMIFS($G$135:$AA$135,$G$134:$AA$134,X$6-$B42+1)*$D42),0)</f>
        <v>0</v>
      </c>
      <c r="Y42" s="1060">
        <f ca="1">IFERROR(IF('Depreciation and Tax Benefit'!$F$27="Straight-line",IF(Y$6=$B42,$D42/$E42*IF(AND($C42=$G$18,StubY),StubWt/2,0.5),MIN($D42/$E42,$D42-SUM($F42:X42))),SUMIFS($G$135:$AA$135,$G$134:$AA$134,Y$6-$B42+1)*$D42),0)</f>
        <v>0</v>
      </c>
      <c r="Z42" s="1060">
        <f ca="1">IFERROR(IF('Depreciation and Tax Benefit'!$F$27="Straight-line",IF(Z$6=$B42,$D42/$E42*IF(AND($C42=$G$18,StubY),StubWt/2,0.5),MIN($D42/$E42,$D42-SUM($F42:Y42))),SUMIFS($G$135:$AA$135,$G$134:$AA$134,Z$6-$B42+1)*$D42),0)</f>
        <v>0</v>
      </c>
      <c r="AA42" s="1060">
        <f ca="1">IFERROR(IF('Depreciation and Tax Benefit'!$F$27="Straight-line",IF(AA$6=$B42,$D42/$E42*IF(AND($C42=$G$18,StubY),StubWt/2,0.5),MIN($D42/$E42,$D42-SUM($F42:Z42))),SUMIFS($G$135:$AA$135,$G$134:$AA$134,AA$6-$B42+1)*$D42),0)</f>
        <v>0</v>
      </c>
      <c r="AB42" s="1060">
        <f ca="1">IFERROR(IF('Depreciation and Tax Benefit'!$F$27="Straight-line",IF(AB$6=$B42,$D42/$E42*IF(AND($C42=$G$18,StubY),StubWt/2,0.5),MIN($D42/$E42,$D42-SUM($F42:AA42))),SUMIFS($G$135:$AA$135,$G$134:$AA$134,AB$6-$B42+1)*$D42),0)</f>
        <v>0</v>
      </c>
      <c r="AC42" s="1060">
        <f ca="1">IFERROR(IF('Depreciation and Tax Benefit'!$F$27="Straight-line",IF(AC$6=$B42,$D42/$E42*IF(AND($C42=$G$18,StubY),StubWt/2,0.5),MIN($D42/$E42,$D42-SUM($F42:AB42))),SUMIFS($G$135:$AA$135,$G$134:$AA$134,AC$6-$B42+1)*$D42),0)</f>
        <v>0</v>
      </c>
      <c r="AD42" s="1060">
        <f ca="1">IFERROR(IF('Depreciation and Tax Benefit'!$F$27="Straight-line",IF(AD$6=$B42,$D42/$E42*IF(AND($C42=$G$18,StubY),StubWt/2,0.5),MIN($D42/$E42,$D42-SUM($F42:AC42))),SUMIFS($G$135:$AA$135,$G$134:$AA$134,AD$6-$B42+1)*$D42),0)</f>
        <v>0</v>
      </c>
      <c r="AE42" s="1060">
        <f ca="1">IFERROR(IF('Depreciation and Tax Benefit'!$F$27="Straight-line",IF(AE$6=$B42,$D42/$E42*IF(AND($C42=$G$18,StubY),StubWt/2,0.5),MIN($D42/$E42,$D42-SUM($F42:AD42))),SUMIFS($G$135:$AA$135,$G$134:$AA$134,AE$6-$B42+1)*$D42),0)</f>
        <v>0</v>
      </c>
      <c r="AF42" s="1060"/>
      <c r="AG42" s="1557"/>
      <c r="AH42" s="2060"/>
      <c r="AI42" s="2060"/>
      <c r="AJ42" s="2060"/>
      <c r="AK42" s="2060"/>
      <c r="AL42" s="2060"/>
      <c r="AM42" s="2060"/>
      <c r="AN42" s="2060"/>
      <c r="AO42" s="2060"/>
      <c r="AP42" s="2060"/>
      <c r="AQ42" s="2060"/>
      <c r="AR42" s="2060"/>
      <c r="AS42" s="2060"/>
      <c r="AT42" s="2060"/>
      <c r="AU42" s="2060"/>
      <c r="AV42" s="2060"/>
      <c r="AW42" s="2060"/>
      <c r="AX42" s="2060"/>
      <c r="AY42" s="2060"/>
      <c r="AZ42" s="2060"/>
      <c r="BA42" s="2060"/>
      <c r="BB42" s="2060"/>
    </row>
    <row r="43" spans="1:54" s="336" customFormat="1" ht="13.9">
      <c r="A43" s="1557" t="str">
        <f t="shared" si="16"/>
        <v>n</v>
      </c>
      <c r="B43" s="1969">
        <f t="shared" si="15"/>
        <v>15</v>
      </c>
      <c r="C43" s="1366">
        <f t="shared" ca="1" si="13"/>
        <v>48304</v>
      </c>
      <c r="D43" s="513">
        <f t="shared" ca="1" si="14"/>
        <v>0</v>
      </c>
      <c r="E43" s="618">
        <f>'Depreciation and Tax Benefit'!$E$27</f>
        <v>10</v>
      </c>
      <c r="F43" s="511"/>
      <c r="G43" s="509"/>
      <c r="H43" s="509"/>
      <c r="I43" s="509"/>
      <c r="J43" s="509"/>
      <c r="K43" s="509"/>
      <c r="L43" s="509"/>
      <c r="M43" s="509"/>
      <c r="N43" s="509"/>
      <c r="O43" s="509"/>
      <c r="P43" s="509"/>
      <c r="Q43" s="509"/>
      <c r="R43" s="509"/>
      <c r="S43" s="509"/>
      <c r="T43" s="509"/>
      <c r="U43" s="509"/>
      <c r="V43" s="1060">
        <f ca="1">IFERROR(IF('Depreciation and Tax Benefit'!$F$27="Straight-line",IF(V$6=$B43,$D43/$E43*IF(AND($C43=$G$18,StubY),StubWt/2,0.5),MIN($D43/$E43,$D43-SUM($F43:U43))),SUMIFS($G$135:$AA$135,$G$134:$AA$134,V$6-$B43+1)*$D43),0)</f>
        <v>0</v>
      </c>
      <c r="W43" s="1060">
        <f ca="1">IFERROR(IF('Depreciation and Tax Benefit'!$F$27="Straight-line",IF(W$6=$B43,$D43/$E43*IF(AND($C43=$G$18,StubY),StubWt/2,0.5),MIN($D43/$E43,$D43-SUM($F43:V43))),SUMIFS($G$135:$AA$135,$G$134:$AA$134,W$6-$B43+1)*$D43),0)</f>
        <v>0</v>
      </c>
      <c r="X43" s="1060">
        <f ca="1">IFERROR(IF('Depreciation and Tax Benefit'!$F$27="Straight-line",IF(X$6=$B43,$D43/$E43*IF(AND($C43=$G$18,StubY),StubWt/2,0.5),MIN($D43/$E43,$D43-SUM($F43:W43))),SUMIFS($G$135:$AA$135,$G$134:$AA$134,X$6-$B43+1)*$D43),0)</f>
        <v>0</v>
      </c>
      <c r="Y43" s="1060">
        <f ca="1">IFERROR(IF('Depreciation and Tax Benefit'!$F$27="Straight-line",IF(Y$6=$B43,$D43/$E43*IF(AND($C43=$G$18,StubY),StubWt/2,0.5),MIN($D43/$E43,$D43-SUM($F43:X43))),SUMIFS($G$135:$AA$135,$G$134:$AA$134,Y$6-$B43+1)*$D43),0)</f>
        <v>0</v>
      </c>
      <c r="Z43" s="1060">
        <f ca="1">IFERROR(IF('Depreciation and Tax Benefit'!$F$27="Straight-line",IF(Z$6=$B43,$D43/$E43*IF(AND($C43=$G$18,StubY),StubWt/2,0.5),MIN($D43/$E43,$D43-SUM($F43:Y43))),SUMIFS($G$135:$AA$135,$G$134:$AA$134,Z$6-$B43+1)*$D43),0)</f>
        <v>0</v>
      </c>
      <c r="AA43" s="1060">
        <f ca="1">IFERROR(IF('Depreciation and Tax Benefit'!$F$27="Straight-line",IF(AA$6=$B43,$D43/$E43*IF(AND($C43=$G$18,StubY),StubWt/2,0.5),MIN($D43/$E43,$D43-SUM($F43:Z43))),SUMIFS($G$135:$AA$135,$G$134:$AA$134,AA$6-$B43+1)*$D43),0)</f>
        <v>0</v>
      </c>
      <c r="AB43" s="1060">
        <f ca="1">IFERROR(IF('Depreciation and Tax Benefit'!$F$27="Straight-line",IF(AB$6=$B43,$D43/$E43*IF(AND($C43=$G$18,StubY),StubWt/2,0.5),MIN($D43/$E43,$D43-SUM($F43:AA43))),SUMIFS($G$135:$AA$135,$G$134:$AA$134,AB$6-$B43+1)*$D43),0)</f>
        <v>0</v>
      </c>
      <c r="AC43" s="1060">
        <f ca="1">IFERROR(IF('Depreciation and Tax Benefit'!$F$27="Straight-line",IF(AC$6=$B43,$D43/$E43*IF(AND($C43=$G$18,StubY),StubWt/2,0.5),MIN($D43/$E43,$D43-SUM($F43:AB43))),SUMIFS($G$135:$AA$135,$G$134:$AA$134,AC$6-$B43+1)*$D43),0)</f>
        <v>0</v>
      </c>
      <c r="AD43" s="1060">
        <f ca="1">IFERROR(IF('Depreciation and Tax Benefit'!$F$27="Straight-line",IF(AD$6=$B43,$D43/$E43*IF(AND($C43=$G$18,StubY),StubWt/2,0.5),MIN($D43/$E43,$D43-SUM($F43:AC43))),SUMIFS($G$135:$AA$135,$G$134:$AA$134,AD$6-$B43+1)*$D43),0)</f>
        <v>0</v>
      </c>
      <c r="AE43" s="1060">
        <f ca="1">IFERROR(IF('Depreciation and Tax Benefit'!$F$27="Straight-line",IF(AE$6=$B43,$D43/$E43*IF(AND($C43=$G$18,StubY),StubWt/2,0.5),MIN($D43/$E43,$D43-SUM($F43:AD43))),SUMIFS($G$135:$AA$135,$G$134:$AA$134,AE$6-$B43+1)*$D43),0)</f>
        <v>0</v>
      </c>
      <c r="AF43" s="1060"/>
      <c r="AG43" s="1557"/>
      <c r="AH43" s="2060"/>
      <c r="AI43" s="2060"/>
      <c r="AJ43" s="2060"/>
      <c r="AK43" s="2060"/>
      <c r="AL43" s="2060"/>
      <c r="AM43" s="2060"/>
      <c r="AN43" s="2060"/>
      <c r="AO43" s="2060"/>
      <c r="AP43" s="2060"/>
      <c r="AQ43" s="2060"/>
      <c r="AR43" s="2060"/>
      <c r="AS43" s="2060"/>
      <c r="AT43" s="2060"/>
      <c r="AU43" s="2060"/>
      <c r="AV43" s="2060"/>
      <c r="AW43" s="2060"/>
      <c r="AX43" s="2060"/>
      <c r="AY43" s="2060"/>
      <c r="AZ43" s="2060"/>
      <c r="BA43" s="2060"/>
      <c r="BB43" s="2060"/>
    </row>
    <row r="44" spans="1:54" s="336" customFormat="1" ht="13.9">
      <c r="A44" s="1557" t="str">
        <f t="shared" si="16"/>
        <v>n</v>
      </c>
      <c r="B44" s="1969">
        <f t="shared" si="15"/>
        <v>16</v>
      </c>
      <c r="C44" s="1366">
        <f t="shared" ca="1" si="13"/>
        <v>48669</v>
      </c>
      <c r="D44" s="513">
        <f t="shared" ca="1" si="14"/>
        <v>0</v>
      </c>
      <c r="E44" s="618">
        <f>'Depreciation and Tax Benefit'!$E$27</f>
        <v>10</v>
      </c>
      <c r="F44" s="511"/>
      <c r="G44" s="509"/>
      <c r="H44" s="509"/>
      <c r="I44" s="509"/>
      <c r="J44" s="509"/>
      <c r="K44" s="509"/>
      <c r="L44" s="509"/>
      <c r="M44" s="509"/>
      <c r="N44" s="509"/>
      <c r="O44" s="509"/>
      <c r="P44" s="509"/>
      <c r="Q44" s="509"/>
      <c r="R44" s="509"/>
      <c r="S44" s="509"/>
      <c r="T44" s="509"/>
      <c r="U44" s="509"/>
      <c r="V44" s="509"/>
      <c r="W44" s="1060">
        <f ca="1">IFERROR(IF('Depreciation and Tax Benefit'!$F$27="Straight-line",IF(W$6=$B44,$D44/$E44*IF(AND($C44=$G$18,StubY),StubWt/2,0.5),MIN($D44/$E44,$D44-SUM($F44:V44))),SUMIFS($G$135:$AA$135,$G$134:$AA$134,W$6-$B44+1)*$D44),0)</f>
        <v>0</v>
      </c>
      <c r="X44" s="1060">
        <f ca="1">IFERROR(IF('Depreciation and Tax Benefit'!$F$27="Straight-line",IF(X$6=$B44,$D44/$E44*IF(AND($C44=$G$18,StubY),StubWt/2,0.5),MIN($D44/$E44,$D44-SUM($F44:W44))),SUMIFS($G$135:$AA$135,$G$134:$AA$134,X$6-$B44+1)*$D44),0)</f>
        <v>0</v>
      </c>
      <c r="Y44" s="1060">
        <f ca="1">IFERROR(IF('Depreciation and Tax Benefit'!$F$27="Straight-line",IF(Y$6=$B44,$D44/$E44*IF(AND($C44=$G$18,StubY),StubWt/2,0.5),MIN($D44/$E44,$D44-SUM($F44:X44))),SUMIFS($G$135:$AA$135,$G$134:$AA$134,Y$6-$B44+1)*$D44),0)</f>
        <v>0</v>
      </c>
      <c r="Z44" s="1060">
        <f ca="1">IFERROR(IF('Depreciation and Tax Benefit'!$F$27="Straight-line",IF(Z$6=$B44,$D44/$E44*IF(AND($C44=$G$18,StubY),StubWt/2,0.5),MIN($D44/$E44,$D44-SUM($F44:Y44))),SUMIFS($G$135:$AA$135,$G$134:$AA$134,Z$6-$B44+1)*$D44),0)</f>
        <v>0</v>
      </c>
      <c r="AA44" s="1060">
        <f ca="1">IFERROR(IF('Depreciation and Tax Benefit'!$F$27="Straight-line",IF(AA$6=$B44,$D44/$E44*IF(AND($C44=$G$18,StubY),StubWt/2,0.5),MIN($D44/$E44,$D44-SUM($F44:Z44))),SUMIFS($G$135:$AA$135,$G$134:$AA$134,AA$6-$B44+1)*$D44),0)</f>
        <v>0</v>
      </c>
      <c r="AB44" s="1060">
        <f ca="1">IFERROR(IF('Depreciation and Tax Benefit'!$F$27="Straight-line",IF(AB$6=$B44,$D44/$E44*IF(AND($C44=$G$18,StubY),StubWt/2,0.5),MIN($D44/$E44,$D44-SUM($F44:AA44))),SUMIFS($G$135:$AA$135,$G$134:$AA$134,AB$6-$B44+1)*$D44),0)</f>
        <v>0</v>
      </c>
      <c r="AC44" s="1060">
        <f ca="1">IFERROR(IF('Depreciation and Tax Benefit'!$F$27="Straight-line",IF(AC$6=$B44,$D44/$E44*IF(AND($C44=$G$18,StubY),StubWt/2,0.5),MIN($D44/$E44,$D44-SUM($F44:AB44))),SUMIFS($G$135:$AA$135,$G$134:$AA$134,AC$6-$B44+1)*$D44),0)</f>
        <v>0</v>
      </c>
      <c r="AD44" s="1060">
        <f ca="1">IFERROR(IF('Depreciation and Tax Benefit'!$F$27="Straight-line",IF(AD$6=$B44,$D44/$E44*IF(AND($C44=$G$18,StubY),StubWt/2,0.5),MIN($D44/$E44,$D44-SUM($F44:AC44))),SUMIFS($G$135:$AA$135,$G$134:$AA$134,AD$6-$B44+1)*$D44),0)</f>
        <v>0</v>
      </c>
      <c r="AE44" s="1060">
        <f ca="1">IFERROR(IF('Depreciation and Tax Benefit'!$F$27="Straight-line",IF(AE$6=$B44,$D44/$E44*IF(AND($C44=$G$18,StubY),StubWt/2,0.5),MIN($D44/$E44,$D44-SUM($F44:AD44))),SUMIFS($G$135:$AA$135,$G$134:$AA$134,AE$6-$B44+1)*$D44),0)</f>
        <v>0</v>
      </c>
      <c r="AF44" s="1060"/>
      <c r="AG44" s="1557"/>
      <c r="AH44" s="2060"/>
      <c r="AI44" s="2060"/>
      <c r="AJ44" s="2060"/>
      <c r="AK44" s="2060"/>
      <c r="AL44" s="2060"/>
      <c r="AM44" s="2060"/>
      <c r="AN44" s="2060"/>
      <c r="AO44" s="2060"/>
      <c r="AP44" s="2060"/>
      <c r="AQ44" s="2060"/>
      <c r="AR44" s="2060"/>
      <c r="AS44" s="2060"/>
      <c r="AT44" s="2060"/>
      <c r="AU44" s="2060"/>
      <c r="AV44" s="2060"/>
      <c r="AW44" s="2060"/>
      <c r="AX44" s="2060"/>
      <c r="AY44" s="2060"/>
      <c r="AZ44" s="2060"/>
      <c r="BA44" s="2060"/>
      <c r="BB44" s="2060"/>
    </row>
    <row r="45" spans="1:54" s="336" customFormat="1" ht="13.9">
      <c r="A45" s="1557" t="str">
        <f t="shared" si="16"/>
        <v>n</v>
      </c>
      <c r="B45" s="1969">
        <f t="shared" si="15"/>
        <v>17</v>
      </c>
      <c r="C45" s="1366">
        <f t="shared" ca="1" si="13"/>
        <v>49034</v>
      </c>
      <c r="D45" s="513">
        <f t="shared" ca="1" si="14"/>
        <v>0</v>
      </c>
      <c r="E45" s="618">
        <f>'Depreciation and Tax Benefit'!$E$27</f>
        <v>10</v>
      </c>
      <c r="F45" s="511"/>
      <c r="G45" s="509"/>
      <c r="H45" s="509"/>
      <c r="I45" s="509"/>
      <c r="J45" s="509"/>
      <c r="K45" s="509"/>
      <c r="L45" s="509"/>
      <c r="M45" s="509"/>
      <c r="N45" s="509"/>
      <c r="O45" s="509"/>
      <c r="P45" s="509"/>
      <c r="Q45" s="509"/>
      <c r="R45" s="509"/>
      <c r="S45" s="509"/>
      <c r="T45" s="509"/>
      <c r="U45" s="509"/>
      <c r="V45" s="509"/>
      <c r="W45" s="509"/>
      <c r="X45" s="1060">
        <f ca="1">IFERROR(IF('Depreciation and Tax Benefit'!$F$27="Straight-line",IF(X$6=$B45,$D45/$E45*IF(AND($C45=$G$18,StubY),StubWt/2,0.5),MIN($D45/$E45,$D45-SUM($F45:W45))),SUMIFS($G$135:$AA$135,$G$134:$AA$134,X$6-$B45+1)*$D45),0)</f>
        <v>0</v>
      </c>
      <c r="Y45" s="1060">
        <f ca="1">IFERROR(IF('Depreciation and Tax Benefit'!$F$27="Straight-line",IF(Y$6=$B45,$D45/$E45*IF(AND($C45=$G$18,StubY),StubWt/2,0.5),MIN($D45/$E45,$D45-SUM($F45:X45))),SUMIFS($G$135:$AA$135,$G$134:$AA$134,Y$6-$B45+1)*$D45),0)</f>
        <v>0</v>
      </c>
      <c r="Z45" s="1060">
        <f ca="1">IFERROR(IF('Depreciation and Tax Benefit'!$F$27="Straight-line",IF(Z$6=$B45,$D45/$E45*IF(AND($C45=$G$18,StubY),StubWt/2,0.5),MIN($D45/$E45,$D45-SUM($F45:Y45))),SUMIFS($G$135:$AA$135,$G$134:$AA$134,Z$6-$B45+1)*$D45),0)</f>
        <v>0</v>
      </c>
      <c r="AA45" s="1060">
        <f ca="1">IFERROR(IF('Depreciation and Tax Benefit'!$F$27="Straight-line",IF(AA$6=$B45,$D45/$E45*IF(AND($C45=$G$18,StubY),StubWt/2,0.5),MIN($D45/$E45,$D45-SUM($F45:Z45))),SUMIFS($G$135:$AA$135,$G$134:$AA$134,AA$6-$B45+1)*$D45),0)</f>
        <v>0</v>
      </c>
      <c r="AB45" s="1060">
        <f ca="1">IFERROR(IF('Depreciation and Tax Benefit'!$F$27="Straight-line",IF(AB$6=$B45,$D45/$E45*IF(AND($C45=$G$18,StubY),StubWt/2,0.5),MIN($D45/$E45,$D45-SUM($F45:AA45))),SUMIFS($G$135:$AA$135,$G$134:$AA$134,AB$6-$B45+1)*$D45),0)</f>
        <v>0</v>
      </c>
      <c r="AC45" s="1060">
        <f ca="1">IFERROR(IF('Depreciation and Tax Benefit'!$F$27="Straight-line",IF(AC$6=$B45,$D45/$E45*IF(AND($C45=$G$18,StubY),StubWt/2,0.5),MIN($D45/$E45,$D45-SUM($F45:AB45))),SUMIFS($G$135:$AA$135,$G$134:$AA$134,AC$6-$B45+1)*$D45),0)</f>
        <v>0</v>
      </c>
      <c r="AD45" s="1060">
        <f ca="1">IFERROR(IF('Depreciation and Tax Benefit'!$F$27="Straight-line",IF(AD$6=$B45,$D45/$E45*IF(AND($C45=$G$18,StubY),StubWt/2,0.5),MIN($D45/$E45,$D45-SUM($F45:AC45))),SUMIFS($G$135:$AA$135,$G$134:$AA$134,AD$6-$B45+1)*$D45),0)</f>
        <v>0</v>
      </c>
      <c r="AE45" s="1060">
        <f ca="1">IFERROR(IF('Depreciation and Tax Benefit'!$F$27="Straight-line",IF(AE$6=$B45,$D45/$E45*IF(AND($C45=$G$18,StubY),StubWt/2,0.5),MIN($D45/$E45,$D45-SUM($F45:AD45))),SUMIFS($G$135:$AA$135,$G$134:$AA$134,AE$6-$B45+1)*$D45),0)</f>
        <v>0</v>
      </c>
      <c r="AF45" s="1060"/>
      <c r="AG45" s="1557"/>
      <c r="AH45" s="2060"/>
      <c r="AI45" s="2060"/>
      <c r="AJ45" s="2060"/>
      <c r="AK45" s="2060"/>
      <c r="AL45" s="2060"/>
      <c r="AM45" s="2060"/>
      <c r="AN45" s="2060"/>
      <c r="AO45" s="2060"/>
      <c r="AP45" s="2060"/>
      <c r="AQ45" s="2060"/>
      <c r="AR45" s="2060"/>
      <c r="AS45" s="2060"/>
      <c r="AT45" s="2060"/>
      <c r="AU45" s="2060"/>
      <c r="AV45" s="2060"/>
      <c r="AW45" s="2060"/>
      <c r="AX45" s="2060"/>
      <c r="AY45" s="2060"/>
      <c r="AZ45" s="2060"/>
      <c r="BA45" s="2060"/>
      <c r="BB45" s="2060"/>
    </row>
    <row r="46" spans="1:54" s="336" customFormat="1" ht="13.9">
      <c r="A46" s="1557" t="str">
        <f t="shared" si="16"/>
        <v>n</v>
      </c>
      <c r="B46" s="1969">
        <f t="shared" si="15"/>
        <v>18</v>
      </c>
      <c r="C46" s="1366">
        <f t="shared" ca="1" si="13"/>
        <v>49399</v>
      </c>
      <c r="D46" s="513">
        <f t="shared" ca="1" si="14"/>
        <v>0</v>
      </c>
      <c r="E46" s="618">
        <f>'Depreciation and Tax Benefit'!$E$27</f>
        <v>10</v>
      </c>
      <c r="F46" s="511"/>
      <c r="G46" s="509"/>
      <c r="H46" s="509"/>
      <c r="I46" s="509"/>
      <c r="J46" s="509"/>
      <c r="K46" s="509"/>
      <c r="L46" s="509"/>
      <c r="M46" s="509"/>
      <c r="N46" s="509"/>
      <c r="O46" s="509"/>
      <c r="P46" s="509"/>
      <c r="Q46" s="509"/>
      <c r="R46" s="509"/>
      <c r="S46" s="509"/>
      <c r="T46" s="509"/>
      <c r="U46" s="509"/>
      <c r="V46" s="509"/>
      <c r="W46" s="509"/>
      <c r="X46" s="509"/>
      <c r="Y46" s="1060">
        <f ca="1">IFERROR(IF('Depreciation and Tax Benefit'!$F$27="Straight-line",IF(Y$6=$B46,$D46/$E46*IF(AND($C46=$G$18,StubY),StubWt/2,0.5),MIN($D46/$E46,$D46-SUM($F46:X46))),SUMIFS($G$135:$AA$135,$G$134:$AA$134,Y$6-$B46+1)*$D46),0)</f>
        <v>0</v>
      </c>
      <c r="Z46" s="1060">
        <f ca="1">IFERROR(IF('Depreciation and Tax Benefit'!$F$27="Straight-line",IF(Z$6=$B46,$D46/$E46*IF(AND($C46=$G$18,StubY),StubWt/2,0.5),MIN($D46/$E46,$D46-SUM($F46:Y46))),SUMIFS($G$135:$AA$135,$G$134:$AA$134,Z$6-$B46+1)*$D46),0)</f>
        <v>0</v>
      </c>
      <c r="AA46" s="1060">
        <f ca="1">IFERROR(IF('Depreciation and Tax Benefit'!$F$27="Straight-line",IF(AA$6=$B46,$D46/$E46*IF(AND($C46=$G$18,StubY),StubWt/2,0.5),MIN($D46/$E46,$D46-SUM($F46:Z46))),SUMIFS($G$135:$AA$135,$G$134:$AA$134,AA$6-$B46+1)*$D46),0)</f>
        <v>0</v>
      </c>
      <c r="AB46" s="1060">
        <f ca="1">IFERROR(IF('Depreciation and Tax Benefit'!$F$27="Straight-line",IF(AB$6=$B46,$D46/$E46*IF(AND($C46=$G$18,StubY),StubWt/2,0.5),MIN($D46/$E46,$D46-SUM($F46:AA46))),SUMIFS($G$135:$AA$135,$G$134:$AA$134,AB$6-$B46+1)*$D46),0)</f>
        <v>0</v>
      </c>
      <c r="AC46" s="1060">
        <f ca="1">IFERROR(IF('Depreciation and Tax Benefit'!$F$27="Straight-line",IF(AC$6=$B46,$D46/$E46*IF(AND($C46=$G$18,StubY),StubWt/2,0.5),MIN($D46/$E46,$D46-SUM($F46:AB46))),SUMIFS($G$135:$AA$135,$G$134:$AA$134,AC$6-$B46+1)*$D46),0)</f>
        <v>0</v>
      </c>
      <c r="AD46" s="1060">
        <f ca="1">IFERROR(IF('Depreciation and Tax Benefit'!$F$27="Straight-line",IF(AD$6=$B46,$D46/$E46*IF(AND($C46=$G$18,StubY),StubWt/2,0.5),MIN($D46/$E46,$D46-SUM($F46:AC46))),SUMIFS($G$135:$AA$135,$G$134:$AA$134,AD$6-$B46+1)*$D46),0)</f>
        <v>0</v>
      </c>
      <c r="AE46" s="1060">
        <f ca="1">IFERROR(IF('Depreciation and Tax Benefit'!$F$27="Straight-line",IF(AE$6=$B46,$D46/$E46*IF(AND($C46=$G$18,StubY),StubWt/2,0.5),MIN($D46/$E46,$D46-SUM($F46:AD46))),SUMIFS($G$135:$AA$135,$G$134:$AA$134,AE$6-$B46+1)*$D46),0)</f>
        <v>0</v>
      </c>
      <c r="AF46" s="1060"/>
      <c r="AG46" s="1557"/>
      <c r="AH46" s="2060"/>
      <c r="AI46" s="2060"/>
      <c r="AJ46" s="2060"/>
      <c r="AK46" s="2060"/>
      <c r="AL46" s="2060"/>
      <c r="AM46" s="2060"/>
      <c r="AN46" s="2060"/>
      <c r="AO46" s="2060"/>
      <c r="AP46" s="2060"/>
      <c r="AQ46" s="2060"/>
      <c r="AR46" s="2060"/>
      <c r="AS46" s="2060"/>
      <c r="AT46" s="2060"/>
      <c r="AU46" s="2060"/>
      <c r="AV46" s="2060"/>
      <c r="AW46" s="2060"/>
      <c r="AX46" s="2060"/>
      <c r="AY46" s="2060"/>
      <c r="AZ46" s="2060"/>
      <c r="BA46" s="2060"/>
      <c r="BB46" s="2060"/>
    </row>
    <row r="47" spans="1:54" s="336" customFormat="1" ht="13.9">
      <c r="A47" s="1557" t="str">
        <f t="shared" si="16"/>
        <v>n</v>
      </c>
      <c r="B47" s="1969">
        <f t="shared" si="15"/>
        <v>19</v>
      </c>
      <c r="C47" s="1366">
        <f t="shared" ca="1" si="13"/>
        <v>49765</v>
      </c>
      <c r="D47" s="513">
        <f t="shared" ca="1" si="14"/>
        <v>0</v>
      </c>
      <c r="E47" s="618">
        <f>'Depreciation and Tax Benefit'!$E$27</f>
        <v>10</v>
      </c>
      <c r="F47" s="511"/>
      <c r="G47" s="509"/>
      <c r="H47" s="509"/>
      <c r="I47" s="509"/>
      <c r="J47" s="509"/>
      <c r="K47" s="509"/>
      <c r="L47" s="509"/>
      <c r="M47" s="509"/>
      <c r="N47" s="509"/>
      <c r="O47" s="509"/>
      <c r="P47" s="509"/>
      <c r="Q47" s="509"/>
      <c r="R47" s="509"/>
      <c r="S47" s="509"/>
      <c r="T47" s="509"/>
      <c r="U47" s="509"/>
      <c r="V47" s="509"/>
      <c r="W47" s="509"/>
      <c r="X47" s="509"/>
      <c r="Y47" s="509"/>
      <c r="Z47" s="1060">
        <f ca="1">IFERROR(IF('Depreciation and Tax Benefit'!$F$27="Straight-line",IF(Z$6=$B47,$D47/$E47*IF(AND($C47=$G$18,StubY),StubWt/2,0.5),MIN($D47/$E47,$D47-SUM($F47:Y47))),SUMIFS($G$135:$AA$135,$G$134:$AA$134,Z$6-$B47+1)*$D47),0)</f>
        <v>0</v>
      </c>
      <c r="AA47" s="1060">
        <f ca="1">IFERROR(IF('Depreciation and Tax Benefit'!$F$27="Straight-line",IF(AA$6=$B47,$D47/$E47*IF(AND($C47=$G$18,StubY),StubWt/2,0.5),MIN($D47/$E47,$D47-SUM($F47:Z47))),SUMIFS($G$135:$AA$135,$G$134:$AA$134,AA$6-$B47+1)*$D47),0)</f>
        <v>0</v>
      </c>
      <c r="AB47" s="1060">
        <f ca="1">IFERROR(IF('Depreciation and Tax Benefit'!$F$27="Straight-line",IF(AB$6=$B47,$D47/$E47*IF(AND($C47=$G$18,StubY),StubWt/2,0.5),MIN($D47/$E47,$D47-SUM($F47:AA47))),SUMIFS($G$135:$AA$135,$G$134:$AA$134,AB$6-$B47+1)*$D47),0)</f>
        <v>0</v>
      </c>
      <c r="AC47" s="1060">
        <f ca="1">IFERROR(IF('Depreciation and Tax Benefit'!$F$27="Straight-line",IF(AC$6=$B47,$D47/$E47*IF(AND($C47=$G$18,StubY),StubWt/2,0.5),MIN($D47/$E47,$D47-SUM($F47:AB47))),SUMIFS($G$135:$AA$135,$G$134:$AA$134,AC$6-$B47+1)*$D47),0)</f>
        <v>0</v>
      </c>
      <c r="AD47" s="1060">
        <f ca="1">IFERROR(IF('Depreciation and Tax Benefit'!$F$27="Straight-line",IF(AD$6=$B47,$D47/$E47*IF(AND($C47=$G$18,StubY),StubWt/2,0.5),MIN($D47/$E47,$D47-SUM($F47:AC47))),SUMIFS($G$135:$AA$135,$G$134:$AA$134,AD$6-$B47+1)*$D47),0)</f>
        <v>0</v>
      </c>
      <c r="AE47" s="1060">
        <f ca="1">IFERROR(IF('Depreciation and Tax Benefit'!$F$27="Straight-line",IF(AE$6=$B47,$D47/$E47*IF(AND($C47=$G$18,StubY),StubWt/2,0.5),MIN($D47/$E47,$D47-SUM($F47:AD47))),SUMIFS($G$135:$AA$135,$G$134:$AA$134,AE$6-$B47+1)*$D47),0)</f>
        <v>0</v>
      </c>
      <c r="AF47" s="1060"/>
      <c r="AG47" s="1557"/>
      <c r="AH47" s="2060"/>
      <c r="AI47" s="2060"/>
      <c r="AJ47" s="2060"/>
      <c r="AK47" s="2060"/>
      <c r="AL47" s="2060"/>
      <c r="AM47" s="2060"/>
      <c r="AN47" s="2060"/>
      <c r="AO47" s="2060"/>
      <c r="AP47" s="2060"/>
      <c r="AQ47" s="2060"/>
      <c r="AR47" s="2060"/>
      <c r="AS47" s="2060"/>
      <c r="AT47" s="2060"/>
      <c r="AU47" s="2060"/>
      <c r="AV47" s="2060"/>
      <c r="AW47" s="2060"/>
      <c r="AX47" s="2060"/>
      <c r="AY47" s="2060"/>
      <c r="AZ47" s="2060"/>
      <c r="BA47" s="2060"/>
      <c r="BB47" s="2060"/>
    </row>
    <row r="48" spans="1:54" s="336" customFormat="1" ht="13.9">
      <c r="A48" s="1557" t="str">
        <f t="shared" si="16"/>
        <v>n</v>
      </c>
      <c r="B48" s="1969">
        <f t="shared" si="15"/>
        <v>20</v>
      </c>
      <c r="C48" s="1366">
        <f t="shared" ca="1" si="13"/>
        <v>50130</v>
      </c>
      <c r="D48" s="513">
        <f t="shared" ca="1" si="14"/>
        <v>0</v>
      </c>
      <c r="E48" s="618">
        <f>'Depreciation and Tax Benefit'!$E$27</f>
        <v>10</v>
      </c>
      <c r="F48" s="511"/>
      <c r="G48" s="509"/>
      <c r="H48" s="509"/>
      <c r="I48" s="509"/>
      <c r="J48" s="509"/>
      <c r="K48" s="509"/>
      <c r="L48" s="509"/>
      <c r="M48" s="509"/>
      <c r="N48" s="509"/>
      <c r="O48" s="509"/>
      <c r="P48" s="509"/>
      <c r="Q48" s="509"/>
      <c r="R48" s="509"/>
      <c r="S48" s="509"/>
      <c r="T48" s="509"/>
      <c r="U48" s="509"/>
      <c r="V48" s="509"/>
      <c r="W48" s="509"/>
      <c r="X48" s="509"/>
      <c r="Y48" s="509"/>
      <c r="Z48" s="509"/>
      <c r="AA48" s="1060">
        <f ca="1">IFERROR(IF('Depreciation and Tax Benefit'!$F$27="Straight-line",IF(AA$6=$B48,$D48/$E48*IF(AND($C48=$G$18,StubY),StubWt/2,0.5),MIN($D48/$E48,$D48-SUM($F48:Z48))),SUMIFS($G$135:$AA$135,$G$134:$AA$134,AA$6-$B48+1)*$D48),0)</f>
        <v>0</v>
      </c>
      <c r="AB48" s="1060">
        <f ca="1">IFERROR(IF('Depreciation and Tax Benefit'!$F$27="Straight-line",IF(AB$6=$B48,$D48/$E48*IF(AND($C48=$G$18,StubY),StubWt/2,0.5),MIN($D48/$E48,$D48-SUM($F48:AA48))),SUMIFS($G$135:$AA$135,$G$134:$AA$134,AB$6-$B48+1)*$D48),0)</f>
        <v>0</v>
      </c>
      <c r="AC48" s="1060">
        <f ca="1">IFERROR(IF('Depreciation and Tax Benefit'!$F$27="Straight-line",IF(AC$6=$B48,$D48/$E48*IF(AND($C48=$G$18,StubY),StubWt/2,0.5),MIN($D48/$E48,$D48-SUM($F48:AB48))),SUMIFS($G$135:$AA$135,$G$134:$AA$134,AC$6-$B48+1)*$D48),0)</f>
        <v>0</v>
      </c>
      <c r="AD48" s="1060">
        <f ca="1">IFERROR(IF('Depreciation and Tax Benefit'!$F$27="Straight-line",IF(AD$6=$B48,$D48/$E48*IF(AND($C48=$G$18,StubY),StubWt/2,0.5),MIN($D48/$E48,$D48-SUM($F48:AC48))),SUMIFS($G$135:$AA$135,$G$134:$AA$134,AD$6-$B48+1)*$D48),0)</f>
        <v>0</v>
      </c>
      <c r="AE48" s="1060">
        <f ca="1">IFERROR(IF('Depreciation and Tax Benefit'!$F$27="Straight-line",IF(AE$6=$B48,$D48/$E48*IF(AND($C48=$G$18,StubY),StubWt/2,0.5),MIN($D48/$E48,$D48-SUM($F48:AD48))),SUMIFS($G$135:$AA$135,$G$134:$AA$134,AE$6-$B48+1)*$D48),0)</f>
        <v>0</v>
      </c>
      <c r="AF48" s="1060"/>
      <c r="AG48" s="1557"/>
      <c r="AH48" s="2060"/>
      <c r="AI48" s="2060"/>
      <c r="AJ48" s="2060"/>
      <c r="AK48" s="2060"/>
      <c r="AL48" s="2060"/>
      <c r="AM48" s="2060"/>
      <c r="AN48" s="2060"/>
      <c r="AO48" s="2060"/>
      <c r="AP48" s="2060"/>
      <c r="AQ48" s="2060"/>
      <c r="AR48" s="2060"/>
      <c r="AS48" s="2060"/>
      <c r="AT48" s="2060"/>
      <c r="AU48" s="2060"/>
      <c r="AV48" s="2060"/>
      <c r="AW48" s="2060"/>
      <c r="AX48" s="2060"/>
      <c r="AY48" s="2060"/>
      <c r="AZ48" s="2060"/>
      <c r="BA48" s="2060"/>
      <c r="BB48" s="2060"/>
    </row>
    <row r="49" spans="1:54" s="336" customFormat="1" ht="13.9">
      <c r="A49" s="1557" t="str">
        <f t="shared" si="16"/>
        <v>n</v>
      </c>
      <c r="B49" s="1969">
        <f t="shared" si="15"/>
        <v>21</v>
      </c>
      <c r="C49" s="1366">
        <f t="shared" ca="1" si="13"/>
        <v>50495</v>
      </c>
      <c r="D49" s="513">
        <f t="shared" ca="1" si="14"/>
        <v>0</v>
      </c>
      <c r="E49" s="618">
        <f>'Depreciation and Tax Benefit'!$E$27</f>
        <v>10</v>
      </c>
      <c r="F49" s="511"/>
      <c r="G49" s="509"/>
      <c r="H49" s="509"/>
      <c r="I49" s="509"/>
      <c r="J49" s="509"/>
      <c r="K49" s="509"/>
      <c r="L49" s="509"/>
      <c r="M49" s="509"/>
      <c r="N49" s="509"/>
      <c r="O49" s="509"/>
      <c r="P49" s="509"/>
      <c r="Q49" s="509"/>
      <c r="R49" s="509"/>
      <c r="S49" s="509"/>
      <c r="T49" s="509"/>
      <c r="U49" s="509"/>
      <c r="V49" s="509"/>
      <c r="W49" s="509"/>
      <c r="X49" s="509"/>
      <c r="Y49" s="509"/>
      <c r="Z49" s="509"/>
      <c r="AA49" s="509"/>
      <c r="AB49" s="1060">
        <f ca="1">IFERROR(IF('Depreciation and Tax Benefit'!$F$27="Straight-line",IF(AB$6=$B49,$D49/$E49*IF(AND($C49=$G$18,StubY),StubWt/2,0.5),MIN($D49/$E49,$D49-SUM($F49:AA49))),SUMIFS($G$135:$AA$135,$G$134:$AA$134,AB$6-$B49+1)*$D49),0)</f>
        <v>0</v>
      </c>
      <c r="AC49" s="1060">
        <f ca="1">IFERROR(IF('Depreciation and Tax Benefit'!$F$27="Straight-line",IF(AC$6=$B49,$D49/$E49*IF(AND($C49=$G$18,StubY),StubWt/2,0.5),MIN($D49/$E49,$D49-SUM($F49:AB49))),SUMIFS($G$135:$AA$135,$G$134:$AA$134,AC$6-$B49+1)*$D49),0)</f>
        <v>0</v>
      </c>
      <c r="AD49" s="1060">
        <f ca="1">IFERROR(IF('Depreciation and Tax Benefit'!$F$27="Straight-line",IF(AD$6=$B49,$D49/$E49*IF(AND($C49=$G$18,StubY),StubWt/2,0.5),MIN($D49/$E49,$D49-SUM($F49:AC49))),SUMIFS($G$135:$AA$135,$G$134:$AA$134,AD$6-$B49+1)*$D49),0)</f>
        <v>0</v>
      </c>
      <c r="AE49" s="1060">
        <f ca="1">IFERROR(IF('Depreciation and Tax Benefit'!$F$27="Straight-line",IF(AE$6=$B49,$D49/$E49*IF(AND($C49=$G$18,StubY),StubWt/2,0.5),MIN($D49/$E49,$D49-SUM($F49:AD49))),SUMIFS($G$135:$AA$135,$G$134:$AA$134,AE$6-$B49+1)*$D49),0)</f>
        <v>0</v>
      </c>
      <c r="AF49" s="1060"/>
      <c r="AG49" s="1557"/>
      <c r="AH49" s="2060"/>
      <c r="AI49" s="2060"/>
      <c r="AJ49" s="2060"/>
      <c r="AK49" s="2060"/>
      <c r="AL49" s="2060"/>
      <c r="AM49" s="2060"/>
      <c r="AN49" s="2060"/>
      <c r="AO49" s="2060"/>
      <c r="AP49" s="2060"/>
      <c r="AQ49" s="2060"/>
      <c r="AR49" s="2060"/>
      <c r="AS49" s="2060"/>
      <c r="AT49" s="2060"/>
      <c r="AU49" s="2060"/>
      <c r="AV49" s="2060"/>
      <c r="AW49" s="2060"/>
      <c r="AX49" s="2060"/>
      <c r="AY49" s="2060"/>
      <c r="AZ49" s="2060"/>
      <c r="BA49" s="2060"/>
      <c r="BB49" s="2060"/>
    </row>
    <row r="50" spans="1:54" s="336" customFormat="1" ht="13.9">
      <c r="A50" s="1557" t="str">
        <f t="shared" si="16"/>
        <v>n</v>
      </c>
      <c r="B50" s="1969">
        <f t="shared" si="15"/>
        <v>22</v>
      </c>
      <c r="C50" s="1366">
        <f t="shared" ca="1" si="13"/>
        <v>50860</v>
      </c>
      <c r="D50" s="513">
        <f t="shared" ca="1" si="14"/>
        <v>0</v>
      </c>
      <c r="E50" s="806">
        <f>'Depreciation and Tax Benefit'!$E$27</f>
        <v>10</v>
      </c>
      <c r="F50" s="511"/>
      <c r="G50" s="509"/>
      <c r="H50" s="509"/>
      <c r="I50" s="509"/>
      <c r="J50" s="509"/>
      <c r="K50" s="509"/>
      <c r="L50" s="509"/>
      <c r="M50" s="509"/>
      <c r="N50" s="509"/>
      <c r="O50" s="509"/>
      <c r="P50" s="509"/>
      <c r="Q50" s="509"/>
      <c r="R50" s="509"/>
      <c r="S50" s="509"/>
      <c r="T50" s="509"/>
      <c r="U50" s="509"/>
      <c r="V50" s="509"/>
      <c r="W50" s="509"/>
      <c r="X50" s="509"/>
      <c r="Y50" s="509"/>
      <c r="Z50" s="509"/>
      <c r="AA50" s="509"/>
      <c r="AB50" s="509"/>
      <c r="AC50" s="1060">
        <f ca="1">IFERROR(IF('Depreciation and Tax Benefit'!$F$27="Straight-line",IF(AC$6=$B50,$D50/$E50*IF(AND($C50=$G$18,StubY),StubWt/2,0.5),MIN($D50/$E50,$D50-SUM($F50:AB50))),SUMIFS($G$135:$AA$135,$G$134:$AA$134,AC$6-$B50+1)*$D50),0)</f>
        <v>0</v>
      </c>
      <c r="AD50" s="1060">
        <f ca="1">IFERROR(IF('Depreciation and Tax Benefit'!$F$27="Straight-line",IF(AD$6=$B50,$D50/$E50*IF(AND($C50=$G$18,StubY),StubWt/2,0.5),MIN($D50/$E50,$D50-SUM($F50:AC50))),SUMIFS($G$135:$AA$135,$G$134:$AA$134,AD$6-$B50+1)*$D50),0)</f>
        <v>0</v>
      </c>
      <c r="AE50" s="1060">
        <f ca="1">IFERROR(IF('Depreciation and Tax Benefit'!$F$27="Straight-line",IF(AE$6=$B50,$D50/$E50*IF(AND($C50=$G$18,StubY),StubWt/2,0.5),MIN($D50/$E50,$D50-SUM($F50:AD50))),SUMIFS($G$135:$AA$135,$G$134:$AA$134,AE$6-$B50+1)*$D50),0)</f>
        <v>0</v>
      </c>
      <c r="AF50" s="1060"/>
      <c r="AG50" s="1557"/>
      <c r="AH50" s="2060"/>
      <c r="AI50" s="2060"/>
      <c r="AJ50" s="2060"/>
      <c r="AK50" s="2060"/>
      <c r="AL50" s="2060"/>
      <c r="AM50" s="2060"/>
      <c r="AN50" s="2060"/>
      <c r="AO50" s="2060"/>
      <c r="AP50" s="2060"/>
      <c r="AQ50" s="2060"/>
      <c r="AR50" s="2060"/>
      <c r="AS50" s="2060"/>
      <c r="AT50" s="2060"/>
      <c r="AU50" s="2060"/>
      <c r="AV50" s="2060"/>
      <c r="AW50" s="2060"/>
      <c r="AX50" s="2060"/>
      <c r="AY50" s="2060"/>
      <c r="AZ50" s="2060"/>
      <c r="BA50" s="2060"/>
      <c r="BB50" s="2060"/>
    </row>
    <row r="51" spans="1:54" s="336" customFormat="1" ht="13.9">
      <c r="A51" s="1557" t="str">
        <f t="shared" si="16"/>
        <v>n</v>
      </c>
      <c r="B51" s="1969">
        <f t="shared" si="15"/>
        <v>23</v>
      </c>
      <c r="C51" s="1366">
        <f t="shared" ca="1" si="13"/>
        <v>51226</v>
      </c>
      <c r="D51" s="513">
        <f t="shared" ca="1" si="14"/>
        <v>0</v>
      </c>
      <c r="E51" s="806">
        <f>'Depreciation and Tax Benefit'!$E$27</f>
        <v>10</v>
      </c>
      <c r="F51" s="511"/>
      <c r="G51" s="509"/>
      <c r="H51" s="509"/>
      <c r="I51" s="509"/>
      <c r="J51" s="509"/>
      <c r="K51" s="509"/>
      <c r="L51" s="509"/>
      <c r="M51" s="509"/>
      <c r="N51" s="509"/>
      <c r="O51" s="509"/>
      <c r="P51" s="509"/>
      <c r="Q51" s="509"/>
      <c r="R51" s="509"/>
      <c r="S51" s="509"/>
      <c r="T51" s="509"/>
      <c r="U51" s="509"/>
      <c r="V51" s="509"/>
      <c r="W51" s="509"/>
      <c r="X51" s="509"/>
      <c r="Y51" s="509"/>
      <c r="Z51" s="509"/>
      <c r="AA51" s="509"/>
      <c r="AB51" s="509"/>
      <c r="AC51" s="509"/>
      <c r="AD51" s="1060">
        <f ca="1">IFERROR(IF('Depreciation and Tax Benefit'!$F$27="Straight-line",IF(AD$6=$B51,$D51/$E51*IF(AND($C51=$G$18,StubY),StubWt/2,0.5),MIN($D51/$E51,$D51-SUM($F51:AC51))),SUMIFS($G$135:$AA$135,$G$134:$AA$134,AD$6-$B51+1)*$D51),0)</f>
        <v>0</v>
      </c>
      <c r="AE51" s="1060">
        <f ca="1">IFERROR(IF('Depreciation and Tax Benefit'!$F$27="Straight-line",IF(AE$6=$B51,$D51/$E51*IF(AND($C51=$G$18,StubY),StubWt/2,0.5),MIN($D51/$E51,$D51-SUM($F51:AD51))),SUMIFS($G$135:$AA$135,$G$134:$AA$134,AE$6-$B51+1)*$D51),0)</f>
        <v>0</v>
      </c>
      <c r="AF51" s="1060"/>
      <c r="AG51" s="1557"/>
      <c r="AH51" s="2060"/>
      <c r="AI51" s="2060"/>
      <c r="AJ51" s="2060"/>
      <c r="AK51" s="2060"/>
      <c r="AL51" s="2060"/>
      <c r="AM51" s="2060"/>
      <c r="AN51" s="2060"/>
      <c r="AO51" s="2060"/>
      <c r="AP51" s="2060"/>
      <c r="AQ51" s="2060"/>
      <c r="AR51" s="2060"/>
      <c r="AS51" s="2060"/>
      <c r="AT51" s="2060"/>
      <c r="AU51" s="2060"/>
      <c r="AV51" s="2060"/>
      <c r="AW51" s="2060"/>
      <c r="AX51" s="2060"/>
      <c r="AY51" s="2060"/>
      <c r="AZ51" s="2060"/>
      <c r="BA51" s="2060"/>
      <c r="BB51" s="2060"/>
    </row>
    <row r="52" spans="1:54" s="336" customFormat="1" ht="13.9">
      <c r="A52" s="1557" t="str">
        <f>IF(SUM(G52:Q52),"","n")</f>
        <v>n</v>
      </c>
      <c r="B52" s="1969">
        <f t="shared" si="15"/>
        <v>24</v>
      </c>
      <c r="C52" s="1366">
        <f t="shared" ca="1" si="13"/>
        <v>51591</v>
      </c>
      <c r="D52" s="513">
        <f t="shared" ca="1" si="14"/>
        <v>0</v>
      </c>
      <c r="E52" s="806">
        <f>'Depreciation and Tax Benefit'!$E$27</f>
        <v>10</v>
      </c>
      <c r="F52" s="511"/>
      <c r="G52" s="509"/>
      <c r="H52" s="509"/>
      <c r="I52" s="509"/>
      <c r="J52" s="509"/>
      <c r="K52" s="509"/>
      <c r="L52" s="509"/>
      <c r="M52" s="509"/>
      <c r="N52" s="509"/>
      <c r="O52" s="509"/>
      <c r="P52" s="509"/>
      <c r="Q52" s="509"/>
      <c r="R52" s="509"/>
      <c r="S52" s="509"/>
      <c r="T52" s="509"/>
      <c r="U52" s="509"/>
      <c r="V52" s="509"/>
      <c r="W52" s="509"/>
      <c r="X52" s="509"/>
      <c r="Y52" s="509"/>
      <c r="Z52" s="509"/>
      <c r="AA52" s="509"/>
      <c r="AB52" s="509"/>
      <c r="AC52" s="509"/>
      <c r="AD52" s="509"/>
      <c r="AE52" s="1060">
        <f ca="1">IFERROR(IF('Depreciation and Tax Benefit'!$F$27="Straight-line",IF(AE$6=$B52,$D52/$E52*IF(AND($C52=$G$18,StubY),StubWt/2,0.5),MIN($D52/$E52,$D52-SUM($F52:AD52))),SUMIFS($G$135:$AA$135,$G$134:$AA$134,AE$6-$B52+1)*$D52),0)</f>
        <v>0</v>
      </c>
      <c r="AF52" s="2060"/>
      <c r="AG52" s="1557"/>
      <c r="AH52" s="2060"/>
      <c r="AI52" s="2060"/>
      <c r="AJ52" s="2060"/>
      <c r="AK52" s="2060"/>
      <c r="AL52" s="2060"/>
      <c r="AM52" s="2060"/>
      <c r="AN52" s="2060"/>
      <c r="AO52" s="2060"/>
      <c r="AP52" s="2060"/>
      <c r="AQ52" s="2060"/>
      <c r="AR52" s="2060"/>
      <c r="AS52" s="2060"/>
      <c r="AT52" s="2060"/>
      <c r="AU52" s="2060"/>
      <c r="AV52" s="2060"/>
      <c r="AW52" s="2060"/>
      <c r="AX52" s="2060"/>
      <c r="AY52" s="2060"/>
      <c r="AZ52" s="2060"/>
      <c r="BA52" s="2060"/>
      <c r="BB52" s="2060"/>
    </row>
    <row r="53" spans="1:54" s="336" customFormat="1" ht="13.9">
      <c r="A53" s="1557"/>
      <c r="B53" s="1557"/>
      <c r="C53" s="1195" t="s">
        <v>1612</v>
      </c>
      <c r="D53" s="1196"/>
      <c r="E53" s="1197"/>
      <c r="F53" s="1196"/>
      <c r="G53" s="1612">
        <f t="shared" ref="G53:P53" ca="1" si="17">SUM(G28:G52)</f>
        <v>0</v>
      </c>
      <c r="H53" s="1612">
        <f t="shared" ca="1" si="17"/>
        <v>0</v>
      </c>
      <c r="I53" s="1612">
        <f t="shared" ca="1" si="17"/>
        <v>0</v>
      </c>
      <c r="J53" s="1612">
        <f t="shared" ca="1" si="17"/>
        <v>0</v>
      </c>
      <c r="K53" s="1612">
        <f t="shared" ca="1" si="17"/>
        <v>0</v>
      </c>
      <c r="L53" s="1612">
        <f t="shared" ca="1" si="17"/>
        <v>0</v>
      </c>
      <c r="M53" s="1612">
        <f t="shared" ca="1" si="17"/>
        <v>0</v>
      </c>
      <c r="N53" s="1612">
        <f t="shared" ca="1" si="17"/>
        <v>0</v>
      </c>
      <c r="O53" s="1612">
        <f t="shared" ca="1" si="17"/>
        <v>0</v>
      </c>
      <c r="P53" s="1612">
        <f t="shared" ca="1" si="17"/>
        <v>0</v>
      </c>
      <c r="Q53" s="1198">
        <f t="shared" ref="Q53:AE53" ca="1" si="18">IF(N(Q18),SUM(Q28:Q52),0)</f>
        <v>0</v>
      </c>
      <c r="R53" s="1198">
        <f t="shared" ca="1" si="18"/>
        <v>0</v>
      </c>
      <c r="S53" s="1198">
        <f t="shared" ca="1" si="18"/>
        <v>0</v>
      </c>
      <c r="T53" s="1198">
        <f t="shared" ca="1" si="18"/>
        <v>0</v>
      </c>
      <c r="U53" s="1198">
        <f t="shared" ca="1" si="18"/>
        <v>0</v>
      </c>
      <c r="V53" s="1198">
        <f t="shared" ca="1" si="18"/>
        <v>0</v>
      </c>
      <c r="W53" s="1198">
        <f t="shared" ca="1" si="18"/>
        <v>0</v>
      </c>
      <c r="X53" s="1198">
        <f t="shared" ca="1" si="18"/>
        <v>0</v>
      </c>
      <c r="Y53" s="1198">
        <f t="shared" ca="1" si="18"/>
        <v>0</v>
      </c>
      <c r="Z53" s="1198">
        <f t="shared" ca="1" si="18"/>
        <v>0</v>
      </c>
      <c r="AA53" s="1198">
        <f t="shared" ca="1" si="18"/>
        <v>0</v>
      </c>
      <c r="AB53" s="1198">
        <f t="shared" ca="1" si="18"/>
        <v>0</v>
      </c>
      <c r="AC53" s="1198">
        <f t="shared" ca="1" si="18"/>
        <v>0</v>
      </c>
      <c r="AD53" s="1198">
        <f t="shared" ca="1" si="18"/>
        <v>0</v>
      </c>
      <c r="AE53" s="1198">
        <f t="shared" ca="1" si="18"/>
        <v>0</v>
      </c>
      <c r="AF53" s="255"/>
      <c r="AG53" s="1557"/>
      <c r="AH53" s="255"/>
      <c r="AI53" s="255"/>
      <c r="AJ53" s="255"/>
      <c r="AK53" s="255"/>
      <c r="AL53" s="255"/>
      <c r="AM53" s="255"/>
      <c r="AN53" s="255"/>
      <c r="AO53" s="255"/>
      <c r="AP53" s="255"/>
      <c r="AQ53" s="255"/>
      <c r="AR53" s="255"/>
      <c r="AS53" s="255"/>
      <c r="AT53" s="255"/>
      <c r="AU53" s="255"/>
      <c r="AV53" s="255"/>
      <c r="AW53" s="255"/>
      <c r="AX53" s="255"/>
      <c r="AY53" s="255"/>
      <c r="AZ53" s="255"/>
      <c r="BA53" s="255"/>
      <c r="BB53" s="255"/>
    </row>
    <row r="54" spans="1:54" s="336" customFormat="1" ht="13.9">
      <c r="A54" s="1557"/>
      <c r="B54" s="1557"/>
      <c r="C54" s="1193" t="s">
        <v>1613</v>
      </c>
      <c r="D54" s="437"/>
      <c r="E54" s="691"/>
      <c r="F54" s="437"/>
      <c r="G54" s="1613">
        <f t="shared" ref="G54:P54" ca="1" si="19">SUM(G25,G53)</f>
        <v>0</v>
      </c>
      <c r="H54" s="1613">
        <f t="shared" ca="1" si="19"/>
        <v>0</v>
      </c>
      <c r="I54" s="1613">
        <f t="shared" ca="1" si="19"/>
        <v>0</v>
      </c>
      <c r="J54" s="1613">
        <f t="shared" ca="1" si="19"/>
        <v>0</v>
      </c>
      <c r="K54" s="1613">
        <f t="shared" ca="1" si="19"/>
        <v>0</v>
      </c>
      <c r="L54" s="1613">
        <f t="shared" ca="1" si="19"/>
        <v>0</v>
      </c>
      <c r="M54" s="1613">
        <f t="shared" ca="1" si="19"/>
        <v>0</v>
      </c>
      <c r="N54" s="1613">
        <f t="shared" ca="1" si="19"/>
        <v>0</v>
      </c>
      <c r="O54" s="1613">
        <f t="shared" ca="1" si="19"/>
        <v>0</v>
      </c>
      <c r="P54" s="1613">
        <f t="shared" ca="1" si="19"/>
        <v>0</v>
      </c>
      <c r="Q54" s="1194">
        <f t="shared" ref="Q54:AE54" ca="1" si="20">IF(N(Q18),SUM(Q25,Q53),0)</f>
        <v>0</v>
      </c>
      <c r="R54" s="1194">
        <f t="shared" ca="1" si="20"/>
        <v>0</v>
      </c>
      <c r="S54" s="1194">
        <f t="shared" ca="1" si="20"/>
        <v>0</v>
      </c>
      <c r="T54" s="1194">
        <f t="shared" ca="1" si="20"/>
        <v>0</v>
      </c>
      <c r="U54" s="1194">
        <f t="shared" ca="1" si="20"/>
        <v>0</v>
      </c>
      <c r="V54" s="1194">
        <f t="shared" ca="1" si="20"/>
        <v>0</v>
      </c>
      <c r="W54" s="1194">
        <f t="shared" ca="1" si="20"/>
        <v>0</v>
      </c>
      <c r="X54" s="1194">
        <f t="shared" ca="1" si="20"/>
        <v>0</v>
      </c>
      <c r="Y54" s="1194">
        <f t="shared" ca="1" si="20"/>
        <v>0</v>
      </c>
      <c r="Z54" s="1194">
        <f t="shared" ca="1" si="20"/>
        <v>0</v>
      </c>
      <c r="AA54" s="1194">
        <f t="shared" ca="1" si="20"/>
        <v>0</v>
      </c>
      <c r="AB54" s="1194">
        <f t="shared" ca="1" si="20"/>
        <v>0</v>
      </c>
      <c r="AC54" s="1194">
        <f t="shared" ca="1" si="20"/>
        <v>0</v>
      </c>
      <c r="AD54" s="1194">
        <f t="shared" ca="1" si="20"/>
        <v>0</v>
      </c>
      <c r="AE54" s="1194">
        <f t="shared" ca="1" si="20"/>
        <v>0</v>
      </c>
      <c r="AF54" s="2060"/>
      <c r="AG54" s="1557"/>
      <c r="AH54" s="2060"/>
      <c r="AI54" s="2060"/>
      <c r="AJ54" s="2060"/>
      <c r="AK54" s="2060"/>
      <c r="AL54" s="2060"/>
      <c r="AM54" s="2060"/>
      <c r="AN54" s="2060"/>
      <c r="AO54" s="2060"/>
      <c r="AP54" s="2060"/>
      <c r="AQ54" s="2060"/>
      <c r="AR54" s="2060"/>
      <c r="AS54" s="2060"/>
      <c r="AT54" s="2060"/>
      <c r="AU54" s="2060"/>
      <c r="AV54" s="2060"/>
      <c r="AW54" s="2060"/>
      <c r="AX54" s="2060"/>
      <c r="AY54" s="2060"/>
      <c r="AZ54" s="2060"/>
      <c r="BA54" s="2060"/>
      <c r="BB54" s="2060"/>
    </row>
    <row r="55" spans="1:54" s="336" customFormat="1" ht="13.9">
      <c r="A55" s="1557"/>
      <c r="B55" s="1557"/>
      <c r="C55" s="545" t="s">
        <v>1614</v>
      </c>
      <c r="D55" s="546"/>
      <c r="E55" s="1585"/>
      <c r="F55" s="546"/>
      <c r="G55" s="1611" t="str">
        <f t="shared" ref="G55:AE55" ca="1" si="21">IFERROR(G54/G60,"n/a")</f>
        <v>n/a</v>
      </c>
      <c r="H55" s="1611" t="str">
        <f t="shared" ca="1" si="21"/>
        <v>n/a</v>
      </c>
      <c r="I55" s="1611" t="str">
        <f t="shared" ca="1" si="21"/>
        <v>n/a</v>
      </c>
      <c r="J55" s="1611" t="str">
        <f t="shared" ca="1" si="21"/>
        <v>n/a</v>
      </c>
      <c r="K55" s="1611" t="str">
        <f t="shared" ca="1" si="21"/>
        <v>n/a</v>
      </c>
      <c r="L55" s="1611" t="str">
        <f t="shared" ca="1" si="21"/>
        <v>n/a</v>
      </c>
      <c r="M55" s="1611" t="str">
        <f t="shared" ca="1" si="21"/>
        <v>n/a</v>
      </c>
      <c r="N55" s="1611" t="str">
        <f t="shared" ca="1" si="21"/>
        <v>n/a</v>
      </c>
      <c r="O55" s="1611" t="str">
        <f t="shared" ca="1" si="21"/>
        <v>n/a</v>
      </c>
      <c r="P55" s="1611" t="str">
        <f t="shared" ca="1" si="21"/>
        <v>n/a</v>
      </c>
      <c r="Q55" s="889" t="str">
        <f t="shared" ca="1" si="21"/>
        <v>n/a</v>
      </c>
      <c r="R55" s="889" t="str">
        <f t="shared" ca="1" si="21"/>
        <v>n/a</v>
      </c>
      <c r="S55" s="889" t="str">
        <f t="shared" ca="1" si="21"/>
        <v>n/a</v>
      </c>
      <c r="T55" s="889" t="str">
        <f t="shared" ca="1" si="21"/>
        <v>n/a</v>
      </c>
      <c r="U55" s="889" t="str">
        <f t="shared" ca="1" si="21"/>
        <v>n/a</v>
      </c>
      <c r="V55" s="889" t="str">
        <f t="shared" ca="1" si="21"/>
        <v>n/a</v>
      </c>
      <c r="W55" s="889" t="str">
        <f t="shared" ca="1" si="21"/>
        <v>n/a</v>
      </c>
      <c r="X55" s="889" t="str">
        <f t="shared" ca="1" si="21"/>
        <v>n/a</v>
      </c>
      <c r="Y55" s="889" t="str">
        <f t="shared" ca="1" si="21"/>
        <v>n/a</v>
      </c>
      <c r="Z55" s="889" t="str">
        <f t="shared" ca="1" si="21"/>
        <v>n/a</v>
      </c>
      <c r="AA55" s="889" t="str">
        <f t="shared" ca="1" si="21"/>
        <v>n/a</v>
      </c>
      <c r="AB55" s="889" t="str">
        <f t="shared" ca="1" si="21"/>
        <v>n/a</v>
      </c>
      <c r="AC55" s="889" t="str">
        <f t="shared" ca="1" si="21"/>
        <v>n/a</v>
      </c>
      <c r="AD55" s="889" t="str">
        <f t="shared" ca="1" si="21"/>
        <v>n/a</v>
      </c>
      <c r="AE55" s="889" t="str">
        <f t="shared" ca="1" si="21"/>
        <v>n/a</v>
      </c>
      <c r="AF55" s="2060"/>
      <c r="AG55" s="1557"/>
      <c r="AH55" s="2060"/>
      <c r="AI55" s="2060"/>
      <c r="AJ55" s="2060"/>
      <c r="AK55" s="2060"/>
      <c r="AL55" s="2060"/>
      <c r="AM55" s="2060"/>
      <c r="AN55" s="2060"/>
      <c r="AO55" s="2060"/>
      <c r="AP55" s="2060"/>
      <c r="AQ55" s="2060"/>
      <c r="AR55" s="2060"/>
      <c r="AS55" s="2060"/>
      <c r="AT55" s="2060"/>
      <c r="AU55" s="2060"/>
      <c r="AV55" s="2060"/>
      <c r="AW55" s="2060"/>
      <c r="AX55" s="2060"/>
      <c r="AY55" s="2060"/>
      <c r="AZ55" s="2060"/>
      <c r="BA55" s="2060"/>
      <c r="BB55" s="2060"/>
    </row>
    <row r="56" spans="1:54" s="336" customFormat="1" ht="13.9">
      <c r="A56" s="1557"/>
      <c r="B56" s="1557"/>
      <c r="C56" s="545"/>
      <c r="D56" s="546"/>
      <c r="E56" s="1585"/>
      <c r="F56" s="546"/>
      <c r="G56" s="1502"/>
      <c r="H56" s="1502"/>
      <c r="I56" s="1502"/>
      <c r="J56" s="1502"/>
      <c r="K56" s="1502"/>
      <c r="L56" s="1502"/>
      <c r="M56" s="1502"/>
      <c r="N56" s="1502"/>
      <c r="O56" s="1502"/>
      <c r="P56" s="1502"/>
      <c r="Q56" s="1502"/>
      <c r="R56" s="1502"/>
      <c r="S56" s="1502"/>
      <c r="T56" s="1502"/>
      <c r="U56" s="1502"/>
      <c r="V56" s="1502"/>
      <c r="W56" s="1502"/>
      <c r="X56" s="1502"/>
      <c r="Y56" s="1502"/>
      <c r="Z56" s="1502"/>
      <c r="AA56" s="1502"/>
      <c r="AB56" s="1502"/>
      <c r="AC56" s="1502"/>
      <c r="AD56" s="1502"/>
      <c r="AE56" s="1502"/>
      <c r="AF56" s="2060"/>
      <c r="AG56" s="1557"/>
      <c r="AH56" s="2060"/>
      <c r="AI56" s="2060"/>
      <c r="AJ56" s="2060"/>
      <c r="AK56" s="2060"/>
      <c r="AL56" s="2060"/>
      <c r="AM56" s="2060"/>
      <c r="AN56" s="2060"/>
      <c r="AO56" s="2060"/>
      <c r="AP56" s="2060"/>
      <c r="AQ56" s="2060"/>
      <c r="AR56" s="2060"/>
      <c r="AS56" s="2060"/>
      <c r="AT56" s="2060"/>
      <c r="AU56" s="2060"/>
      <c r="AV56" s="2060"/>
      <c r="AW56" s="2060"/>
      <c r="AX56" s="2060"/>
      <c r="AY56" s="2060"/>
      <c r="AZ56" s="2060"/>
      <c r="BA56" s="2060"/>
      <c r="BB56" s="2060"/>
    </row>
    <row r="57" spans="1:54" s="336" customFormat="1" ht="13.9">
      <c r="A57" s="1557"/>
      <c r="B57" s="1557"/>
      <c r="C57" s="468" t="s">
        <v>988</v>
      </c>
      <c r="D57" s="510"/>
      <c r="E57" s="691"/>
      <c r="F57" s="510"/>
      <c r="G57" s="1060">
        <f t="shared" ref="G57:AE57" ca="1" si="22">G11</f>
        <v>0</v>
      </c>
      <c r="H57" s="1060">
        <f t="shared" ca="1" si="22"/>
        <v>0</v>
      </c>
      <c r="I57" s="1060">
        <f t="shared" ca="1" si="22"/>
        <v>0</v>
      </c>
      <c r="J57" s="1060">
        <f t="shared" ca="1" si="22"/>
        <v>0</v>
      </c>
      <c r="K57" s="1060">
        <f t="shared" ca="1" si="22"/>
        <v>0</v>
      </c>
      <c r="L57" s="1060">
        <f t="shared" ca="1" si="22"/>
        <v>0</v>
      </c>
      <c r="M57" s="1060">
        <f t="shared" ca="1" si="22"/>
        <v>0</v>
      </c>
      <c r="N57" s="1060">
        <f t="shared" ca="1" si="22"/>
        <v>0</v>
      </c>
      <c r="O57" s="1060">
        <f t="shared" ca="1" si="22"/>
        <v>0</v>
      </c>
      <c r="P57" s="1060">
        <f t="shared" ca="1" si="22"/>
        <v>0</v>
      </c>
      <c r="Q57" s="1060">
        <f t="shared" ca="1" si="22"/>
        <v>0</v>
      </c>
      <c r="R57" s="1060">
        <f t="shared" ca="1" si="22"/>
        <v>0</v>
      </c>
      <c r="S57" s="1060">
        <f t="shared" ca="1" si="22"/>
        <v>0</v>
      </c>
      <c r="T57" s="1060">
        <f t="shared" ca="1" si="22"/>
        <v>0</v>
      </c>
      <c r="U57" s="1060">
        <f t="shared" ca="1" si="22"/>
        <v>0</v>
      </c>
      <c r="V57" s="1060">
        <f t="shared" ca="1" si="22"/>
        <v>0</v>
      </c>
      <c r="W57" s="1060">
        <f t="shared" ca="1" si="22"/>
        <v>0</v>
      </c>
      <c r="X57" s="1060">
        <f t="shared" ca="1" si="22"/>
        <v>0</v>
      </c>
      <c r="Y57" s="1060">
        <f t="shared" ca="1" si="22"/>
        <v>0</v>
      </c>
      <c r="Z57" s="1060">
        <f t="shared" ca="1" si="22"/>
        <v>0</v>
      </c>
      <c r="AA57" s="1060">
        <f t="shared" ca="1" si="22"/>
        <v>0</v>
      </c>
      <c r="AB57" s="1060">
        <f t="shared" ca="1" si="22"/>
        <v>0</v>
      </c>
      <c r="AC57" s="1060">
        <f t="shared" ca="1" si="22"/>
        <v>0</v>
      </c>
      <c r="AD57" s="1060">
        <f t="shared" ca="1" si="22"/>
        <v>0</v>
      </c>
      <c r="AE57" s="1060">
        <f t="shared" ca="1" si="22"/>
        <v>0</v>
      </c>
      <c r="AF57" s="2060"/>
      <c r="AG57" s="1557"/>
      <c r="AH57" s="2060"/>
      <c r="AI57" s="2060"/>
      <c r="AJ57" s="2060"/>
      <c r="AK57" s="2060"/>
      <c r="AL57" s="2060"/>
      <c r="AM57" s="2060"/>
      <c r="AN57" s="2060"/>
      <c r="AO57" s="2060"/>
      <c r="AP57" s="2060"/>
      <c r="AQ57" s="2060"/>
      <c r="AR57" s="2060"/>
      <c r="AS57" s="2060"/>
      <c r="AT57" s="2060"/>
      <c r="AU57" s="2060"/>
      <c r="AV57" s="2060"/>
      <c r="AW57" s="2060"/>
      <c r="AX57" s="2060"/>
      <c r="AY57" s="2060"/>
      <c r="AZ57" s="2060"/>
      <c r="BA57" s="2060"/>
      <c r="BB57" s="2060"/>
    </row>
    <row r="58" spans="1:54" s="336" customFormat="1" ht="13.9">
      <c r="A58" s="1557"/>
      <c r="B58" s="1557"/>
      <c r="C58" s="547" t="s">
        <v>1615</v>
      </c>
      <c r="D58" s="546"/>
      <c r="E58" s="1585"/>
      <c r="F58" s="546"/>
      <c r="G58" s="1060">
        <f ca="1">AVERAGE(G20,G57)</f>
        <v>0</v>
      </c>
      <c r="H58" s="1060">
        <f ca="1">AVERAGE(H20,H57)</f>
        <v>0</v>
      </c>
      <c r="I58" s="1060">
        <f ca="1">AVERAGE(I20,I57)</f>
        <v>0</v>
      </c>
      <c r="J58" s="1060">
        <f ca="1">AVERAGE(J20,J57)</f>
        <v>0</v>
      </c>
      <c r="K58" s="1060">
        <f ca="1">AVERAGE(K20,K$57)</f>
        <v>0</v>
      </c>
      <c r="L58" s="1060">
        <f t="shared" ref="L58:AE58" ca="1" si="23">AVERAGE(L20,L57)</f>
        <v>0</v>
      </c>
      <c r="M58" s="1060">
        <f t="shared" ca="1" si="23"/>
        <v>0</v>
      </c>
      <c r="N58" s="1060">
        <f t="shared" ca="1" si="23"/>
        <v>0</v>
      </c>
      <c r="O58" s="1060">
        <f t="shared" ca="1" si="23"/>
        <v>0</v>
      </c>
      <c r="P58" s="1060">
        <f t="shared" ca="1" si="23"/>
        <v>0</v>
      </c>
      <c r="Q58" s="1060">
        <f t="shared" ca="1" si="23"/>
        <v>0</v>
      </c>
      <c r="R58" s="1060">
        <f t="shared" ca="1" si="23"/>
        <v>0</v>
      </c>
      <c r="S58" s="1060">
        <f t="shared" ca="1" si="23"/>
        <v>0</v>
      </c>
      <c r="T58" s="1060">
        <f t="shared" ca="1" si="23"/>
        <v>0</v>
      </c>
      <c r="U58" s="1060">
        <f t="shared" ca="1" si="23"/>
        <v>0</v>
      </c>
      <c r="V58" s="1060">
        <f t="shared" ca="1" si="23"/>
        <v>0</v>
      </c>
      <c r="W58" s="1060">
        <f t="shared" ca="1" si="23"/>
        <v>0</v>
      </c>
      <c r="X58" s="1060">
        <f t="shared" ca="1" si="23"/>
        <v>0</v>
      </c>
      <c r="Y58" s="1060">
        <f t="shared" ca="1" si="23"/>
        <v>0</v>
      </c>
      <c r="Z58" s="1060">
        <f t="shared" ca="1" si="23"/>
        <v>0</v>
      </c>
      <c r="AA58" s="1060">
        <f t="shared" ca="1" si="23"/>
        <v>0</v>
      </c>
      <c r="AB58" s="1060">
        <f t="shared" ca="1" si="23"/>
        <v>0</v>
      </c>
      <c r="AC58" s="1060">
        <f t="shared" ca="1" si="23"/>
        <v>0</v>
      </c>
      <c r="AD58" s="1060">
        <f t="shared" ca="1" si="23"/>
        <v>0</v>
      </c>
      <c r="AE58" s="1060">
        <f t="shared" ca="1" si="23"/>
        <v>0</v>
      </c>
      <c r="AF58" s="2060"/>
      <c r="AG58" s="1557"/>
      <c r="AH58" s="2060"/>
      <c r="AI58" s="2060"/>
      <c r="AJ58" s="2060"/>
      <c r="AK58" s="2060"/>
      <c r="AL58" s="2060"/>
      <c r="AM58" s="2060"/>
      <c r="AN58" s="2060"/>
      <c r="AO58" s="2060"/>
      <c r="AP58" s="2060"/>
      <c r="AQ58" s="2060"/>
      <c r="AR58" s="2060"/>
      <c r="AS58" s="2060"/>
      <c r="AT58" s="2060"/>
      <c r="AU58" s="2060"/>
      <c r="AV58" s="2060"/>
      <c r="AW58" s="2060"/>
      <c r="AX58" s="2060"/>
      <c r="AY58" s="2060"/>
      <c r="AZ58" s="2060"/>
      <c r="BA58" s="2060"/>
      <c r="BB58" s="2060"/>
    </row>
    <row r="59" spans="1:54" s="336" customFormat="1" ht="13.9">
      <c r="A59" s="1557"/>
      <c r="B59" s="1557"/>
      <c r="C59" s="547"/>
      <c r="D59" s="546"/>
      <c r="E59" s="1585"/>
      <c r="F59" s="546"/>
      <c r="G59" s="1502"/>
      <c r="H59" s="1502"/>
      <c r="I59" s="1502"/>
      <c r="J59" s="1502"/>
      <c r="K59" s="1502"/>
      <c r="L59" s="1502"/>
      <c r="M59" s="1502"/>
      <c r="N59" s="1502"/>
      <c r="O59" s="1502"/>
      <c r="P59" s="1502"/>
      <c r="Q59" s="1502"/>
      <c r="R59" s="1502"/>
      <c r="S59" s="1502"/>
      <c r="T59" s="1502"/>
      <c r="U59" s="1502"/>
      <c r="V59" s="1502"/>
      <c r="W59" s="1502"/>
      <c r="X59" s="1502"/>
      <c r="Y59" s="1502"/>
      <c r="Z59" s="1502"/>
      <c r="AA59" s="1502"/>
      <c r="AB59" s="1502"/>
      <c r="AC59" s="1502"/>
      <c r="AD59" s="1502"/>
      <c r="AE59" s="1502"/>
      <c r="AF59" s="2060"/>
      <c r="AG59" s="1557"/>
      <c r="AH59" s="2060"/>
      <c r="AI59" s="2060"/>
      <c r="AJ59" s="2060"/>
      <c r="AK59" s="2060"/>
      <c r="AL59" s="2060"/>
      <c r="AM59" s="2060"/>
      <c r="AN59" s="2060"/>
      <c r="AO59" s="2060"/>
      <c r="AP59" s="2060"/>
      <c r="AQ59" s="2060"/>
      <c r="AR59" s="2060"/>
      <c r="AS59" s="2060"/>
      <c r="AT59" s="2060"/>
      <c r="AU59" s="2060"/>
      <c r="AV59" s="2060"/>
      <c r="AW59" s="2060"/>
      <c r="AX59" s="2060"/>
      <c r="AY59" s="2060"/>
      <c r="AZ59" s="2060"/>
      <c r="BA59" s="2060"/>
      <c r="BB59" s="2060"/>
    </row>
    <row r="60" spans="1:54" s="336" customFormat="1" ht="13.9">
      <c r="A60" s="1557"/>
      <c r="B60" s="1557"/>
      <c r="C60" s="468" t="s">
        <v>463</v>
      </c>
      <c r="D60" s="510"/>
      <c r="E60" s="691"/>
      <c r="F60" s="510"/>
      <c r="G60" s="1060">
        <f>'PFI Inputs'!G28</f>
        <v>0</v>
      </c>
      <c r="H60" s="1060">
        <f>'PFI Inputs'!H28</f>
        <v>0</v>
      </c>
      <c r="I60" s="1060">
        <f>'PFI Inputs'!I28</f>
        <v>0</v>
      </c>
      <c r="J60" s="1060">
        <f>'PFI Inputs'!J28</f>
        <v>0</v>
      </c>
      <c r="K60" s="1060">
        <f>'PFI Inputs'!K28</f>
        <v>0</v>
      </c>
      <c r="L60" s="1060">
        <f>'PFI Inputs'!L28</f>
        <v>0</v>
      </c>
      <c r="M60" s="1060">
        <f>'PFI Inputs'!M28</f>
        <v>0</v>
      </c>
      <c r="N60" s="1060">
        <f>'PFI Inputs'!N28</f>
        <v>0</v>
      </c>
      <c r="O60" s="1060">
        <f>'PFI Inputs'!O28</f>
        <v>0</v>
      </c>
      <c r="P60" s="1060">
        <f>'PFI Inputs'!P28</f>
        <v>0</v>
      </c>
      <c r="Q60" s="1060">
        <f>'PFI Inputs'!Q28</f>
        <v>0</v>
      </c>
      <c r="R60" s="1060">
        <f>'PFI Inputs'!T28</f>
        <v>0</v>
      </c>
      <c r="S60" s="1060">
        <f>'PFI Inputs'!U28</f>
        <v>0</v>
      </c>
      <c r="T60" s="1060">
        <f>'PFI Inputs'!V28</f>
        <v>0</v>
      </c>
      <c r="U60" s="1060">
        <f>'PFI Inputs'!Z34</f>
        <v>0</v>
      </c>
      <c r="V60" s="1060">
        <f>'PFI Inputs'!X28</f>
        <v>0</v>
      </c>
      <c r="W60" s="1060">
        <f>'PFI Inputs'!Y28</f>
        <v>0</v>
      </c>
      <c r="X60" s="1060">
        <f>'PFI Inputs'!Z28</f>
        <v>0</v>
      </c>
      <c r="Y60" s="1060">
        <f>'PFI Inputs'!AA28</f>
        <v>0</v>
      </c>
      <c r="Z60" s="1060">
        <f>'PFI Inputs'!AB28</f>
        <v>0</v>
      </c>
      <c r="AA60" s="1060">
        <f>'PFI Inputs'!AC28</f>
        <v>0</v>
      </c>
      <c r="AB60" s="1060">
        <f>'PFI Inputs'!AD28</f>
        <v>0</v>
      </c>
      <c r="AC60" s="1060">
        <f>'PFI Inputs'!AE28</f>
        <v>0</v>
      </c>
      <c r="AD60" s="1060">
        <f>'PFI Inputs'!AF28</f>
        <v>0</v>
      </c>
      <c r="AE60" s="1060">
        <f>'PFI Inputs'!AG28</f>
        <v>0</v>
      </c>
      <c r="AF60" s="2060"/>
      <c r="AG60" s="1557"/>
      <c r="AH60" s="2060"/>
      <c r="AI60" s="2060"/>
      <c r="AJ60" s="2060"/>
      <c r="AK60" s="2060"/>
      <c r="AL60" s="2060"/>
      <c r="AM60" s="2060"/>
      <c r="AN60" s="2060"/>
      <c r="AO60" s="2060"/>
      <c r="AP60" s="2060"/>
      <c r="AQ60" s="2060"/>
      <c r="AR60" s="2060"/>
      <c r="AS60" s="2060"/>
      <c r="AT60" s="2060"/>
      <c r="AU60" s="2060"/>
      <c r="AV60" s="2060"/>
      <c r="AW60" s="2060"/>
      <c r="AX60" s="2060"/>
      <c r="AY60" s="2060"/>
      <c r="AZ60" s="2060"/>
      <c r="BA60" s="2060"/>
      <c r="BB60" s="2060"/>
    </row>
    <row r="61" spans="1:54" s="336" customFormat="1" ht="13.9">
      <c r="A61" s="1557"/>
      <c r="B61" s="1557"/>
      <c r="C61" s="1199" t="s">
        <v>1616</v>
      </c>
      <c r="D61" s="1200"/>
      <c r="E61" s="1197"/>
      <c r="F61" s="1200"/>
      <c r="G61" s="1201" t="s">
        <v>1617</v>
      </c>
      <c r="H61" s="1202">
        <f t="shared" ref="H61:AE61" ca="1" si="24">IFERROR(H60/H58,0)</f>
        <v>0</v>
      </c>
      <c r="I61" s="1202">
        <f t="shared" ca="1" si="24"/>
        <v>0</v>
      </c>
      <c r="J61" s="1202">
        <f t="shared" ca="1" si="24"/>
        <v>0</v>
      </c>
      <c r="K61" s="1202">
        <f t="shared" ca="1" si="24"/>
        <v>0</v>
      </c>
      <c r="L61" s="1202">
        <f t="shared" ca="1" si="24"/>
        <v>0</v>
      </c>
      <c r="M61" s="1202">
        <f t="shared" ca="1" si="24"/>
        <v>0</v>
      </c>
      <c r="N61" s="1202">
        <f t="shared" ca="1" si="24"/>
        <v>0</v>
      </c>
      <c r="O61" s="1202">
        <f t="shared" ca="1" si="24"/>
        <v>0</v>
      </c>
      <c r="P61" s="1202">
        <f t="shared" ca="1" si="24"/>
        <v>0</v>
      </c>
      <c r="Q61" s="1202">
        <f t="shared" ca="1" si="24"/>
        <v>0</v>
      </c>
      <c r="R61" s="1202">
        <f t="shared" ca="1" si="24"/>
        <v>0</v>
      </c>
      <c r="S61" s="1202">
        <f t="shared" ca="1" si="24"/>
        <v>0</v>
      </c>
      <c r="T61" s="1202">
        <f t="shared" ca="1" si="24"/>
        <v>0</v>
      </c>
      <c r="U61" s="1202">
        <f t="shared" ca="1" si="24"/>
        <v>0</v>
      </c>
      <c r="V61" s="1202">
        <f t="shared" ca="1" si="24"/>
        <v>0</v>
      </c>
      <c r="W61" s="1202">
        <f t="shared" ca="1" si="24"/>
        <v>0</v>
      </c>
      <c r="X61" s="1202">
        <f t="shared" ca="1" si="24"/>
        <v>0</v>
      </c>
      <c r="Y61" s="1202">
        <f t="shared" ca="1" si="24"/>
        <v>0</v>
      </c>
      <c r="Z61" s="1202">
        <f t="shared" ca="1" si="24"/>
        <v>0</v>
      </c>
      <c r="AA61" s="1202">
        <f t="shared" ca="1" si="24"/>
        <v>0</v>
      </c>
      <c r="AB61" s="1202">
        <f t="shared" ca="1" si="24"/>
        <v>0</v>
      </c>
      <c r="AC61" s="1202">
        <f t="shared" ca="1" si="24"/>
        <v>0</v>
      </c>
      <c r="AD61" s="1202">
        <f t="shared" ca="1" si="24"/>
        <v>0</v>
      </c>
      <c r="AE61" s="1202">
        <f t="shared" ca="1" si="24"/>
        <v>0</v>
      </c>
      <c r="AF61" s="2060"/>
      <c r="AG61" s="1557"/>
      <c r="AH61" s="2060"/>
      <c r="AI61" s="2060"/>
      <c r="AJ61" s="2060"/>
      <c r="AK61" s="2060"/>
      <c r="AL61" s="2060"/>
      <c r="AM61" s="2060"/>
      <c r="AN61" s="2060"/>
      <c r="AO61" s="2060"/>
      <c r="AP61" s="2060"/>
      <c r="AQ61" s="2060"/>
      <c r="AR61" s="2060"/>
      <c r="AS61" s="2060"/>
      <c r="AT61" s="2060"/>
      <c r="AU61" s="2060"/>
      <c r="AV61" s="2060"/>
      <c r="AW61" s="2060"/>
      <c r="AX61" s="2060"/>
      <c r="AY61" s="2060"/>
      <c r="AZ61" s="2060"/>
      <c r="BA61" s="2060"/>
      <c r="BB61" s="2060"/>
    </row>
    <row r="62" spans="1:54" s="336" customFormat="1" ht="13.9">
      <c r="A62" s="1557"/>
      <c r="B62" s="1557"/>
      <c r="C62" s="1561"/>
      <c r="D62" s="1503"/>
      <c r="E62" s="1581"/>
      <c r="F62" s="1503"/>
      <c r="G62" s="1503"/>
      <c r="H62" s="1503"/>
      <c r="I62" s="1503"/>
      <c r="J62" s="1503"/>
      <c r="K62" s="1503"/>
      <c r="L62" s="1503"/>
      <c r="M62" s="1503"/>
      <c r="N62" s="1503"/>
      <c r="O62" s="1503"/>
      <c r="P62" s="1503"/>
      <c r="Q62" s="1503"/>
      <c r="R62" s="1503"/>
      <c r="S62" s="1503"/>
      <c r="T62" s="1503"/>
      <c r="U62" s="1503"/>
      <c r="V62" s="1503"/>
      <c r="W62" s="1503"/>
      <c r="X62" s="1503"/>
      <c r="Y62" s="1503"/>
      <c r="Z62" s="1503"/>
      <c r="AA62" s="1503"/>
      <c r="AB62" s="1503"/>
      <c r="AC62" s="1503"/>
      <c r="AD62" s="1503"/>
      <c r="AE62" s="1503"/>
      <c r="AF62" s="2060"/>
      <c r="AG62" s="1557"/>
      <c r="AH62" s="2060"/>
      <c r="AI62" s="2060"/>
      <c r="AJ62" s="2060"/>
      <c r="AK62" s="2060"/>
      <c r="AL62" s="2060"/>
      <c r="AM62" s="2060"/>
      <c r="AN62" s="2060"/>
      <c r="AO62" s="2060"/>
      <c r="AP62" s="2060"/>
      <c r="AQ62" s="2060"/>
      <c r="AR62" s="2060"/>
      <c r="AS62" s="2060"/>
      <c r="AT62" s="2060"/>
      <c r="AU62" s="2060"/>
      <c r="AV62" s="2060"/>
      <c r="AW62" s="2060"/>
      <c r="AX62" s="2060"/>
      <c r="AY62" s="2060"/>
      <c r="AZ62" s="2060"/>
      <c r="BA62" s="2060"/>
      <c r="BB62" s="2060"/>
    </row>
    <row r="63" spans="1:54" s="336" customFormat="1" ht="13.9">
      <c r="A63" s="1557"/>
      <c r="B63" s="1557"/>
      <c r="C63" s="1501" t="s">
        <v>1618</v>
      </c>
      <c r="D63" s="1503"/>
      <c r="E63" s="1581"/>
      <c r="F63" s="1503"/>
      <c r="G63" s="1503"/>
      <c r="H63" s="1503"/>
      <c r="I63" s="1503"/>
      <c r="J63" s="1503"/>
      <c r="K63" s="1503"/>
      <c r="L63" s="1503"/>
      <c r="M63" s="1503"/>
      <c r="N63" s="1503"/>
      <c r="O63" s="1503"/>
      <c r="P63" s="1503"/>
      <c r="Q63" s="1503"/>
      <c r="R63" s="1503"/>
      <c r="S63" s="1503"/>
      <c r="T63" s="1503"/>
      <c r="U63" s="1503"/>
      <c r="V63" s="1503"/>
      <c r="W63" s="1503"/>
      <c r="X63" s="1503"/>
      <c r="Y63" s="1503"/>
      <c r="Z63" s="1503"/>
      <c r="AA63" s="1503"/>
      <c r="AB63" s="1503"/>
      <c r="AC63" s="1503"/>
      <c r="AD63" s="1503"/>
      <c r="AE63" s="1503"/>
      <c r="AF63" s="2060"/>
      <c r="AG63" s="1557"/>
      <c r="AH63" s="2060"/>
      <c r="AI63" s="2060"/>
      <c r="AJ63" s="2060"/>
      <c r="AK63" s="2060"/>
      <c r="AL63" s="2060"/>
      <c r="AM63" s="2060"/>
      <c r="AN63" s="2060"/>
      <c r="AO63" s="2060"/>
      <c r="AP63" s="2060"/>
      <c r="AQ63" s="2060"/>
      <c r="AR63" s="2060"/>
      <c r="AS63" s="2060"/>
      <c r="AT63" s="2060"/>
      <c r="AU63" s="2060"/>
      <c r="AV63" s="2060"/>
      <c r="AW63" s="2060"/>
      <c r="AX63" s="2060"/>
      <c r="AY63" s="2060"/>
      <c r="AZ63" s="2060"/>
      <c r="BA63" s="2060"/>
      <c r="BB63" s="2060"/>
    </row>
    <row r="64" spans="1:54" s="336" customFormat="1" ht="13.9">
      <c r="A64" s="1557"/>
      <c r="B64" s="1557"/>
      <c r="C64" s="1561"/>
      <c r="D64" s="1503"/>
      <c r="E64" s="1581"/>
      <c r="F64" s="1503"/>
      <c r="G64" s="1527"/>
      <c r="H64" s="1561"/>
      <c r="I64" s="1503"/>
      <c r="J64" s="1503"/>
      <c r="K64" s="1503"/>
      <c r="L64" s="1503"/>
      <c r="M64" s="1503"/>
      <c r="N64" s="1503"/>
      <c r="O64" s="1503"/>
      <c r="P64" s="1503"/>
      <c r="Q64" s="1503"/>
      <c r="R64" s="1529"/>
      <c r="S64" s="1527"/>
      <c r="T64" s="2060"/>
      <c r="U64" s="2060"/>
      <c r="V64" s="2060"/>
      <c r="W64" s="2060"/>
      <c r="X64" s="2060"/>
      <c r="Y64" s="2060"/>
      <c r="Z64" s="2060"/>
      <c r="AA64" s="2060"/>
      <c r="AB64" s="2060"/>
      <c r="AC64" s="2060"/>
      <c r="AD64" s="2060"/>
      <c r="AE64" s="2060"/>
      <c r="AF64" s="2060"/>
      <c r="AG64" s="1557"/>
      <c r="AH64" s="2060"/>
      <c r="AI64" s="2060"/>
      <c r="AJ64" s="2060"/>
      <c r="AK64" s="2060"/>
      <c r="AL64" s="2060"/>
      <c r="AM64" s="2060"/>
      <c r="AN64" s="2060"/>
      <c r="AO64" s="2060"/>
      <c r="AP64" s="2060"/>
      <c r="AQ64" s="2060"/>
      <c r="AR64" s="2060"/>
      <c r="AS64" s="2060"/>
      <c r="AT64" s="2060"/>
      <c r="AU64" s="2060"/>
      <c r="AV64" s="2060"/>
      <c r="AW64" s="2060"/>
      <c r="AX64" s="2060"/>
      <c r="AY64" s="2060"/>
      <c r="AZ64" s="2060"/>
      <c r="BA64" s="2060"/>
      <c r="BB64" s="2060"/>
    </row>
    <row r="65" spans="1:54" s="1527" customFormat="1" ht="13.9">
      <c r="A65" s="1557"/>
      <c r="B65" s="1557"/>
      <c r="C65" s="1501" t="s">
        <v>1619</v>
      </c>
      <c r="D65" s="1503"/>
      <c r="E65" s="1581"/>
      <c r="F65" s="1503"/>
      <c r="H65" s="1561"/>
      <c r="I65" s="1503"/>
      <c r="J65" s="1503"/>
      <c r="K65" s="1503"/>
      <c r="L65" s="1503"/>
      <c r="M65" s="1503"/>
      <c r="N65" s="1503"/>
      <c r="O65" s="1503"/>
      <c r="P65" s="1503"/>
      <c r="Q65" s="1503"/>
      <c r="R65" s="1529"/>
      <c r="T65" s="2060"/>
      <c r="U65" s="2060"/>
      <c r="V65" s="2060"/>
      <c r="W65" s="2060"/>
      <c r="X65" s="2060"/>
      <c r="Y65" s="2060"/>
      <c r="Z65" s="2060"/>
      <c r="AA65" s="2060"/>
      <c r="AB65" s="2060"/>
      <c r="AC65" s="2060"/>
      <c r="AD65" s="2060"/>
      <c r="AE65" s="2060"/>
      <c r="AF65" s="2060"/>
      <c r="AG65" s="1557"/>
      <c r="AH65" s="2060"/>
      <c r="AI65" s="2060"/>
      <c r="AJ65" s="2060"/>
      <c r="AK65" s="2060"/>
      <c r="AL65" s="2060"/>
      <c r="AM65" s="2060"/>
      <c r="AN65" s="2060"/>
      <c r="AO65" s="2060"/>
      <c r="AP65" s="2060"/>
      <c r="AQ65" s="2060"/>
      <c r="AR65" s="2060"/>
      <c r="AS65" s="2060"/>
      <c r="AT65" s="2060"/>
      <c r="AU65" s="2060"/>
      <c r="AV65" s="2060"/>
      <c r="AW65" s="2060"/>
      <c r="AX65" s="2060"/>
      <c r="AY65" s="2060"/>
      <c r="AZ65" s="2060"/>
      <c r="BA65" s="2060"/>
      <c r="BB65" s="2060"/>
    </row>
    <row r="66" spans="1:54" s="1527" customFormat="1" ht="13.9">
      <c r="A66" s="1557"/>
      <c r="B66" s="1557"/>
      <c r="C66" s="1501"/>
      <c r="D66" s="1503"/>
      <c r="E66" s="1581"/>
      <c r="F66" s="1503"/>
      <c r="H66" s="1561"/>
      <c r="I66" s="1503"/>
      <c r="J66" s="1503"/>
      <c r="K66" s="1503"/>
      <c r="L66" s="1503"/>
      <c r="M66" s="1503"/>
      <c r="N66" s="1503"/>
      <c r="O66" s="1503"/>
      <c r="P66" s="1503"/>
      <c r="Q66" s="1503"/>
      <c r="R66" s="1529"/>
      <c r="T66" s="2060"/>
      <c r="U66" s="2060"/>
      <c r="V66" s="2060"/>
      <c r="W66" s="2060"/>
      <c r="X66" s="2060"/>
      <c r="Y66" s="2060"/>
      <c r="Z66" s="2060"/>
      <c r="AA66" s="2060"/>
      <c r="AB66" s="2060"/>
      <c r="AC66" s="2060"/>
      <c r="AD66" s="2060"/>
      <c r="AE66" s="2060"/>
      <c r="AF66" s="2060"/>
      <c r="AG66" s="1557"/>
      <c r="AH66" s="2060"/>
      <c r="AI66" s="2060"/>
      <c r="AJ66" s="2060"/>
      <c r="AK66" s="2060"/>
      <c r="AL66" s="2060"/>
      <c r="AM66" s="2060"/>
      <c r="AN66" s="2060"/>
      <c r="AO66" s="2060"/>
      <c r="AP66" s="2060"/>
      <c r="AQ66" s="2060"/>
      <c r="AR66" s="2060"/>
      <c r="AS66" s="2060"/>
      <c r="AT66" s="2060"/>
      <c r="AU66" s="2060"/>
      <c r="AV66" s="2060"/>
      <c r="AW66" s="2060"/>
      <c r="AX66" s="2060"/>
      <c r="AY66" s="2060"/>
      <c r="AZ66" s="2060"/>
      <c r="BA66" s="2060"/>
      <c r="BB66" s="2060"/>
    </row>
    <row r="67" spans="1:54" ht="12" customHeight="1">
      <c r="A67" s="1557"/>
      <c r="B67" s="1557"/>
      <c r="C67" s="1529" t="str">
        <f ca="1">FootnoteDRAFT</f>
        <v>Run date: 05-August-2018  02:34 PM.   DRAFT document. All data subject to change upon completion of additional analysis.</v>
      </c>
      <c r="D67" s="356"/>
      <c r="E67" s="691"/>
      <c r="F67" s="356"/>
      <c r="G67" s="356"/>
      <c r="H67" s="356"/>
      <c r="I67" s="356"/>
      <c r="J67" s="356"/>
      <c r="K67" s="356"/>
      <c r="L67" s="356"/>
      <c r="M67" s="356"/>
      <c r="N67" s="356"/>
      <c r="O67" s="356"/>
      <c r="P67" s="356"/>
      <c r="Q67" s="356"/>
      <c r="R67" s="1525"/>
      <c r="S67" s="1525"/>
      <c r="T67" s="2060"/>
      <c r="U67" s="2060"/>
      <c r="V67" s="2060"/>
      <c r="W67" s="2060"/>
      <c r="X67" s="2060"/>
      <c r="Y67" s="2060"/>
      <c r="Z67" s="2060"/>
      <c r="AA67" s="2060"/>
      <c r="AB67" s="2060"/>
      <c r="AC67" s="2060"/>
      <c r="AD67" s="2060"/>
      <c r="AE67" s="2060"/>
      <c r="AF67" s="2060"/>
      <c r="AG67" s="1557"/>
      <c r="AH67" s="2060"/>
      <c r="AI67" s="2060"/>
      <c r="AJ67" s="2060"/>
      <c r="AK67" s="2060"/>
      <c r="AL67" s="2060"/>
      <c r="AM67" s="2060"/>
      <c r="AN67" s="2060"/>
      <c r="AO67" s="2060"/>
      <c r="AP67" s="2060"/>
      <c r="AQ67" s="2060"/>
      <c r="AR67" s="2060"/>
      <c r="AS67" s="2060"/>
      <c r="AT67" s="2060"/>
      <c r="AU67" s="2060"/>
      <c r="AV67" s="2060"/>
      <c r="AW67" s="2060"/>
      <c r="AX67" s="2060"/>
      <c r="AY67" s="2060"/>
      <c r="AZ67" s="2060"/>
      <c r="BA67" s="2060"/>
      <c r="BB67" s="2060"/>
    </row>
    <row r="68" spans="1:54" ht="12" customHeight="1">
      <c r="A68" s="1557" t="s">
        <v>17</v>
      </c>
      <c r="B68" s="1557"/>
      <c r="C68" s="1557"/>
      <c r="D68" s="1557"/>
      <c r="E68" s="671"/>
      <c r="F68" s="1557"/>
      <c r="G68" s="1557"/>
      <c r="H68" s="1557"/>
      <c r="I68" s="1557"/>
      <c r="J68" s="1557"/>
      <c r="K68" s="1557"/>
      <c r="L68" s="1557"/>
      <c r="M68" s="1557"/>
      <c r="N68" s="1557"/>
      <c r="O68" s="1557"/>
      <c r="P68" s="1557"/>
      <c r="Q68" s="1557"/>
      <c r="R68" s="1557"/>
      <c r="S68" s="1557"/>
      <c r="T68" s="1557"/>
      <c r="U68" s="1557"/>
      <c r="V68" s="1557"/>
      <c r="W68" s="1557"/>
      <c r="X68" s="1557"/>
      <c r="Y68" s="1557"/>
      <c r="Z68" s="1557"/>
      <c r="AA68" s="1557"/>
      <c r="AB68" s="1557"/>
      <c r="AC68" s="1557"/>
      <c r="AD68" s="1557"/>
      <c r="AE68" s="1557"/>
      <c r="AF68" s="596" t="s">
        <v>18</v>
      </c>
      <c r="AG68" s="1557"/>
      <c r="AH68" s="2060"/>
      <c r="AI68" s="2060"/>
      <c r="AJ68" s="2060"/>
      <c r="AK68" s="2060"/>
      <c r="AL68" s="2060"/>
      <c r="AM68" s="2060"/>
      <c r="AN68" s="2060"/>
      <c r="AO68" s="2060"/>
      <c r="AP68" s="2060"/>
      <c r="AQ68" s="2060"/>
      <c r="AR68" s="2060"/>
      <c r="AS68" s="2060"/>
      <c r="AT68" s="2060"/>
      <c r="AU68" s="2060"/>
      <c r="AV68" s="2060"/>
      <c r="AW68" s="2060"/>
      <c r="AX68" s="2060"/>
      <c r="AY68" s="2060"/>
      <c r="AZ68" s="2060"/>
      <c r="BA68" s="2060"/>
      <c r="BB68" s="2060"/>
    </row>
    <row r="69" spans="1:54" s="292" customFormat="1" ht="18" customHeight="1">
      <c r="A69" s="1557"/>
      <c r="B69" s="1557"/>
      <c r="C69" s="838" t="str">
        <f>ClientName</f>
        <v/>
      </c>
      <c r="E69" s="1505"/>
      <c r="AF69" s="389" t="str">
        <f>AF1&amp;".1"</f>
        <v>Workpaper 2.1</v>
      </c>
      <c r="AG69" s="1557"/>
    </row>
    <row r="70" spans="1:54" s="292" customFormat="1" ht="18" customHeight="1">
      <c r="A70" s="1557"/>
      <c r="B70" s="1557"/>
      <c r="C70" s="838" t="str">
        <f>CoNameHeading</f>
        <v>Client Name</v>
      </c>
      <c r="E70" s="1505"/>
      <c r="AF70" s="389"/>
      <c r="AG70" s="1557"/>
    </row>
    <row r="71" spans="1:54" s="369" customFormat="1" ht="18" customHeight="1">
      <c r="A71" s="1557"/>
      <c r="B71" s="1557"/>
      <c r="C71" s="839" t="s">
        <v>1620</v>
      </c>
      <c r="E71" s="1505"/>
      <c r="AG71" s="1557"/>
    </row>
    <row r="72" spans="1:54" s="337" customFormat="1" ht="18" customHeight="1">
      <c r="A72" s="1557"/>
      <c r="B72" s="1557"/>
      <c r="C72" s="840" t="str">
        <f>ValDateHeading</f>
        <v>Estimation of value as of 28 February 2017</v>
      </c>
      <c r="D72" s="2062"/>
      <c r="E72" s="1578"/>
      <c r="F72" s="2062"/>
      <c r="G72" s="2062"/>
      <c r="H72" s="2062"/>
      <c r="I72" s="2062"/>
      <c r="J72" s="2062"/>
      <c r="K72" s="2062"/>
      <c r="L72" s="2062"/>
      <c r="M72" s="2062"/>
      <c r="N72" s="2062"/>
      <c r="O72" s="2062"/>
      <c r="P72" s="2062"/>
      <c r="Q72" s="2062"/>
      <c r="R72" s="2062"/>
      <c r="S72" s="2062"/>
      <c r="T72" s="2062"/>
      <c r="U72" s="2062"/>
      <c r="V72" s="2062"/>
      <c r="W72" s="2062"/>
      <c r="X72" s="2062"/>
      <c r="Y72" s="2062"/>
      <c r="Z72" s="2062"/>
      <c r="AA72" s="2062"/>
      <c r="AB72" s="2062"/>
      <c r="AC72" s="2062"/>
      <c r="AD72" s="2062"/>
      <c r="AE72" s="2062"/>
      <c r="AF72" s="2062"/>
      <c r="AG72" s="1557"/>
      <c r="AH72" s="2062"/>
      <c r="AI72" s="2062"/>
      <c r="AJ72" s="2062"/>
      <c r="AK72" s="2062"/>
      <c r="AL72" s="2062"/>
      <c r="AM72" s="2062"/>
      <c r="AN72" s="2062"/>
      <c r="AO72" s="2062"/>
      <c r="AP72" s="2062"/>
      <c r="AQ72" s="2062"/>
      <c r="AR72" s="2062"/>
      <c r="AS72" s="2062"/>
      <c r="AT72" s="2062"/>
      <c r="AU72" s="2062"/>
      <c r="AV72" s="2062"/>
      <c r="AW72" s="2062"/>
      <c r="AX72" s="2062"/>
      <c r="AY72" s="2062"/>
      <c r="AZ72" s="2062"/>
      <c r="BA72" s="2062"/>
      <c r="BB72" s="2062"/>
    </row>
    <row r="73" spans="1:54" s="322" customFormat="1" ht="18" customHeight="1">
      <c r="A73" s="1557"/>
      <c r="B73" s="1557"/>
      <c r="C73" s="415"/>
      <c r="D73" s="386"/>
      <c r="E73" s="674"/>
      <c r="F73" s="386"/>
      <c r="G73" s="386"/>
      <c r="H73" s="386"/>
      <c r="I73" s="386"/>
      <c r="J73" s="386"/>
      <c r="K73" s="386"/>
      <c r="L73" s="386"/>
      <c r="M73" s="386"/>
      <c r="N73" s="386"/>
      <c r="O73" s="1513"/>
      <c r="P73" s="1513"/>
      <c r="Q73" s="1513"/>
      <c r="R73" s="1513"/>
      <c r="S73" s="1513"/>
      <c r="T73" s="1506"/>
      <c r="U73" s="1513"/>
      <c r="V73" s="1513"/>
      <c r="W73" s="1513"/>
      <c r="X73" s="1513"/>
      <c r="Y73" s="1513"/>
      <c r="Z73" s="1513"/>
      <c r="AA73" s="1513"/>
      <c r="AB73" s="1513"/>
      <c r="AC73" s="1513"/>
      <c r="AD73" s="1513"/>
      <c r="AE73" s="1513"/>
      <c r="AF73" s="1513"/>
      <c r="AG73" s="1557"/>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row>
    <row r="74" spans="1:54" s="322" customFormat="1" ht="15.6">
      <c r="A74" s="1557"/>
      <c r="B74" s="1557"/>
      <c r="C74" s="415"/>
      <c r="D74" s="1520"/>
      <c r="E74" s="672"/>
      <c r="F74" s="1520"/>
      <c r="G74" s="1647"/>
      <c r="H74" s="1520"/>
      <c r="I74" s="1520"/>
      <c r="J74" s="1520"/>
      <c r="K74" s="1520"/>
      <c r="L74" s="1520"/>
      <c r="M74" s="1520"/>
      <c r="N74" s="1520"/>
      <c r="O74" s="1520"/>
      <c r="P74" s="1520"/>
      <c r="Q74" s="1520"/>
      <c r="R74" s="1520"/>
      <c r="S74" s="1520"/>
      <c r="T74" s="1506"/>
      <c r="U74" s="1520"/>
      <c r="V74" s="1520"/>
      <c r="W74" s="1520"/>
      <c r="X74" s="1520"/>
      <c r="Y74" s="1520"/>
      <c r="Z74" s="1520"/>
      <c r="AA74" s="1520"/>
      <c r="AB74" s="1520"/>
      <c r="AC74" s="1520"/>
      <c r="AD74" s="1520"/>
      <c r="AE74" s="1520"/>
      <c r="AF74" s="1520"/>
      <c r="AG74" s="1557"/>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row>
    <row r="75" spans="1:54" ht="12" customHeight="1">
      <c r="A75" s="1557"/>
      <c r="B75" s="1557"/>
      <c r="C75" s="2060"/>
      <c r="D75" s="2060"/>
      <c r="E75" s="2060"/>
      <c r="F75" s="2060"/>
      <c r="G75" s="2060"/>
      <c r="H75" s="2060"/>
      <c r="I75" s="2060"/>
      <c r="J75" s="2060"/>
      <c r="K75" s="2060"/>
      <c r="L75" s="2060"/>
      <c r="M75" s="2060"/>
      <c r="N75" s="2060"/>
      <c r="O75" s="2060"/>
      <c r="P75" s="2060"/>
      <c r="Q75" s="2060"/>
      <c r="R75" s="2060"/>
      <c r="S75" s="2060"/>
      <c r="T75" s="2060"/>
      <c r="U75" s="2060"/>
      <c r="V75" s="2060"/>
      <c r="W75" s="2060"/>
      <c r="X75" s="2060"/>
      <c r="Y75" s="2060"/>
      <c r="Z75" s="2060"/>
      <c r="AA75" s="2060"/>
      <c r="AB75" s="2060"/>
      <c r="AC75" s="2060"/>
      <c r="AD75" s="2060"/>
      <c r="AE75" s="2060"/>
      <c r="AF75" s="2060"/>
      <c r="AG75" s="1557"/>
      <c r="AH75" s="2060"/>
      <c r="AI75" s="2060"/>
      <c r="AJ75" s="2060"/>
      <c r="AK75" s="2060"/>
      <c r="AL75" s="2060"/>
      <c r="AM75" s="2060"/>
      <c r="AN75" s="2060"/>
      <c r="AO75" s="2060"/>
      <c r="AP75" s="2060"/>
      <c r="AQ75" s="2060"/>
      <c r="AR75" s="2060"/>
      <c r="AS75" s="2060"/>
      <c r="AT75" s="2060"/>
      <c r="AU75" s="2060"/>
      <c r="AV75" s="2060"/>
      <c r="AW75" s="2060"/>
      <c r="AX75" s="2060"/>
      <c r="AY75" s="2060"/>
      <c r="AZ75" s="2060"/>
      <c r="BA75" s="2060"/>
      <c r="BB75" s="2060"/>
    </row>
    <row r="76" spans="1:54" ht="12" customHeight="1">
      <c r="A76" s="1557"/>
      <c r="B76" s="1557"/>
      <c r="C76" s="1520"/>
      <c r="D76" s="1520"/>
      <c r="E76" s="1525"/>
      <c r="F76" s="1525"/>
      <c r="G76" s="555"/>
      <c r="H76" s="1520"/>
      <c r="I76" s="1520"/>
      <c r="J76" s="1520"/>
      <c r="K76" s="1520"/>
      <c r="L76" s="1520"/>
      <c r="M76" s="1520"/>
      <c r="N76" s="1520"/>
      <c r="O76" s="1520"/>
      <c r="P76" s="1520"/>
      <c r="Q76" s="1520"/>
      <c r="R76" s="1520"/>
      <c r="S76" s="1520"/>
      <c r="T76" s="1520"/>
      <c r="U76" s="1520"/>
      <c r="V76" s="1520"/>
      <c r="W76" s="1520"/>
      <c r="X76" s="1520"/>
      <c r="Y76" s="1520"/>
      <c r="Z76" s="1520"/>
      <c r="AA76" s="1520"/>
      <c r="AB76" s="1520"/>
      <c r="AC76" s="1520"/>
      <c r="AD76" s="1520"/>
      <c r="AE76" s="1520"/>
      <c r="AF76" s="1525"/>
      <c r="AG76" s="1557"/>
      <c r="AH76" s="2060"/>
      <c r="AI76" s="2060"/>
      <c r="AJ76" s="2060"/>
      <c r="AK76" s="2060"/>
      <c r="AL76" s="2060"/>
      <c r="AM76" s="2060"/>
      <c r="AN76" s="2060"/>
      <c r="AO76" s="2060"/>
      <c r="AP76" s="2060"/>
      <c r="AQ76" s="2060"/>
      <c r="AR76" s="2060"/>
      <c r="AS76" s="2060"/>
      <c r="AT76" s="2060"/>
      <c r="AU76" s="2060"/>
      <c r="AV76" s="2060"/>
      <c r="AW76" s="2060"/>
      <c r="AX76" s="2060"/>
      <c r="AY76" s="2060"/>
      <c r="AZ76" s="2060"/>
      <c r="BA76" s="2060"/>
      <c r="BB76" s="2060"/>
    </row>
    <row r="77" spans="1:54" ht="12" customHeight="1">
      <c r="A77" s="1557"/>
      <c r="B77" s="1557"/>
      <c r="C77" s="1203"/>
      <c r="D77" s="1203"/>
      <c r="E77" s="1203"/>
      <c r="F77" s="1203"/>
      <c r="G77" s="1204">
        <f>NoOfPFIYrs+1</f>
        <v>8</v>
      </c>
      <c r="H77" s="1204">
        <f t="shared" ref="H77:U77" si="25">G77+1</f>
        <v>9</v>
      </c>
      <c r="I77" s="1204">
        <f t="shared" si="25"/>
        <v>10</v>
      </c>
      <c r="J77" s="1204">
        <f t="shared" si="25"/>
        <v>11</v>
      </c>
      <c r="K77" s="1204">
        <f t="shared" si="25"/>
        <v>12</v>
      </c>
      <c r="L77" s="1204">
        <f t="shared" si="25"/>
        <v>13</v>
      </c>
      <c r="M77" s="1204">
        <f t="shared" si="25"/>
        <v>14</v>
      </c>
      <c r="N77" s="1204">
        <f t="shared" si="25"/>
        <v>15</v>
      </c>
      <c r="O77" s="1204">
        <f t="shared" si="25"/>
        <v>16</v>
      </c>
      <c r="P77" s="1204">
        <f t="shared" si="25"/>
        <v>17</v>
      </c>
      <c r="Q77" s="1204">
        <f t="shared" si="25"/>
        <v>18</v>
      </c>
      <c r="R77" s="1204">
        <f t="shared" si="25"/>
        <v>19</v>
      </c>
      <c r="S77" s="1204">
        <f t="shared" si="25"/>
        <v>20</v>
      </c>
      <c r="T77" s="1204">
        <f t="shared" si="25"/>
        <v>21</v>
      </c>
      <c r="U77" s="1204">
        <f t="shared" si="25"/>
        <v>22</v>
      </c>
      <c r="V77" s="1204">
        <f t="shared" ref="V77:AE77" si="26">U77+1</f>
        <v>23</v>
      </c>
      <c r="W77" s="1204">
        <f t="shared" si="26"/>
        <v>24</v>
      </c>
      <c r="X77" s="1204">
        <f t="shared" si="26"/>
        <v>25</v>
      </c>
      <c r="Y77" s="1204">
        <f t="shared" si="26"/>
        <v>26</v>
      </c>
      <c r="Z77" s="1204">
        <f t="shared" si="26"/>
        <v>27</v>
      </c>
      <c r="AA77" s="1204">
        <f t="shared" si="26"/>
        <v>28</v>
      </c>
      <c r="AB77" s="1204">
        <f t="shared" si="26"/>
        <v>29</v>
      </c>
      <c r="AC77" s="1204">
        <f t="shared" si="26"/>
        <v>30</v>
      </c>
      <c r="AD77" s="1204">
        <f t="shared" si="26"/>
        <v>31</v>
      </c>
      <c r="AE77" s="1204">
        <f t="shared" si="26"/>
        <v>32</v>
      </c>
      <c r="AF77" s="1525"/>
      <c r="AG77" s="1557"/>
      <c r="AH77" s="2060"/>
      <c r="AI77" s="2060"/>
      <c r="AJ77" s="2060"/>
      <c r="AK77" s="2060"/>
      <c r="AL77" s="2060"/>
      <c r="AM77" s="2060"/>
      <c r="AN77" s="2060"/>
      <c r="AO77" s="2060"/>
      <c r="AP77" s="2060"/>
      <c r="AQ77" s="2060"/>
      <c r="AR77" s="2060"/>
      <c r="AS77" s="2060"/>
      <c r="AT77" s="2060"/>
      <c r="AU77" s="2060"/>
      <c r="AV77" s="2060"/>
      <c r="AW77" s="2060"/>
      <c r="AX77" s="2060"/>
      <c r="AY77" s="2060"/>
      <c r="AZ77" s="2060"/>
      <c r="BA77" s="2060"/>
      <c r="BB77" s="2060"/>
    </row>
    <row r="78" spans="1:54" ht="12" customHeight="1">
      <c r="A78" s="1557"/>
      <c r="B78" s="1557"/>
      <c r="C78" s="750" t="str">
        <f>OutputCurrencyLabel</f>
        <v>(USD in Millions)</v>
      </c>
      <c r="D78" s="1205"/>
      <c r="E78" s="1205"/>
      <c r="F78" s="1205"/>
      <c r="G78" s="1657">
        <f ca="1">EOMONTH(MAX(OFFSET(G18,0,0,1,NoOfPFIYrs)),12)</f>
        <v>45382</v>
      </c>
      <c r="H78" s="1657">
        <f t="shared" ref="H78:AE78" ca="1" si="27">EOMONTH(G78,12)</f>
        <v>45747</v>
      </c>
      <c r="I78" s="1657">
        <f t="shared" ca="1" si="27"/>
        <v>46112</v>
      </c>
      <c r="J78" s="1657">
        <f t="shared" ca="1" si="27"/>
        <v>46477</v>
      </c>
      <c r="K78" s="1657">
        <f t="shared" ca="1" si="27"/>
        <v>46843</v>
      </c>
      <c r="L78" s="1657">
        <f t="shared" ca="1" si="27"/>
        <v>47208</v>
      </c>
      <c r="M78" s="1657">
        <f t="shared" ca="1" si="27"/>
        <v>47573</v>
      </c>
      <c r="N78" s="1657">
        <f t="shared" ca="1" si="27"/>
        <v>47938</v>
      </c>
      <c r="O78" s="1657">
        <f t="shared" ca="1" si="27"/>
        <v>48304</v>
      </c>
      <c r="P78" s="1657">
        <f t="shared" ca="1" si="27"/>
        <v>48669</v>
      </c>
      <c r="Q78" s="1657">
        <f t="shared" ca="1" si="27"/>
        <v>49034</v>
      </c>
      <c r="R78" s="1657">
        <f t="shared" ca="1" si="27"/>
        <v>49399</v>
      </c>
      <c r="S78" s="1657">
        <f t="shared" ca="1" si="27"/>
        <v>49765</v>
      </c>
      <c r="T78" s="1657">
        <f t="shared" ca="1" si="27"/>
        <v>50130</v>
      </c>
      <c r="U78" s="1657">
        <f t="shared" ca="1" si="27"/>
        <v>50495</v>
      </c>
      <c r="V78" s="1657">
        <f t="shared" ca="1" si="27"/>
        <v>50860</v>
      </c>
      <c r="W78" s="1657">
        <f t="shared" ca="1" si="27"/>
        <v>51226</v>
      </c>
      <c r="X78" s="1657">
        <f t="shared" ca="1" si="27"/>
        <v>51591</v>
      </c>
      <c r="Y78" s="1657">
        <f t="shared" ca="1" si="27"/>
        <v>51956</v>
      </c>
      <c r="Z78" s="1657">
        <f t="shared" ca="1" si="27"/>
        <v>52321</v>
      </c>
      <c r="AA78" s="1657">
        <f t="shared" ca="1" si="27"/>
        <v>52687</v>
      </c>
      <c r="AB78" s="1657">
        <f t="shared" ca="1" si="27"/>
        <v>53052</v>
      </c>
      <c r="AC78" s="1657">
        <f t="shared" ca="1" si="27"/>
        <v>53417</v>
      </c>
      <c r="AD78" s="1657">
        <f t="shared" ca="1" si="27"/>
        <v>53782</v>
      </c>
      <c r="AE78" s="1657">
        <f t="shared" ca="1" si="27"/>
        <v>54148</v>
      </c>
      <c r="AF78" s="1525"/>
      <c r="AG78" s="1557"/>
      <c r="AH78" s="2060"/>
      <c r="AI78" s="2060"/>
      <c r="AJ78" s="2060"/>
      <c r="AK78" s="2060"/>
      <c r="AL78" s="2060"/>
      <c r="AM78" s="2060"/>
      <c r="AN78" s="2060"/>
      <c r="AO78" s="2060"/>
      <c r="AP78" s="2060"/>
      <c r="AQ78" s="2060"/>
      <c r="AR78" s="2060"/>
      <c r="AS78" s="2060"/>
      <c r="AT78" s="2060"/>
      <c r="AU78" s="2060"/>
      <c r="AV78" s="2060"/>
      <c r="AW78" s="2060"/>
      <c r="AX78" s="2060"/>
      <c r="AY78" s="2060"/>
      <c r="AZ78" s="2060"/>
      <c r="BA78" s="2060"/>
      <c r="BB78" s="2060"/>
    </row>
    <row r="79" spans="1:54" ht="12" customHeight="1">
      <c r="A79" s="1557"/>
      <c r="B79" s="1557"/>
      <c r="C79" s="416"/>
      <c r="D79" s="416"/>
      <c r="E79" s="416"/>
      <c r="F79" s="416"/>
      <c r="G79" s="416"/>
      <c r="H79" s="416"/>
      <c r="I79" s="416"/>
      <c r="J79" s="416"/>
      <c r="K79" s="416"/>
      <c r="L79" s="420"/>
      <c r="M79" s="420"/>
      <c r="N79" s="420"/>
      <c r="O79" s="420"/>
      <c r="P79" s="420"/>
      <c r="Q79" s="420"/>
      <c r="R79" s="420"/>
      <c r="S79" s="420"/>
      <c r="T79" s="420"/>
      <c r="U79" s="420"/>
      <c r="V79" s="420"/>
      <c r="W79" s="420"/>
      <c r="X79" s="420"/>
      <c r="Y79" s="420"/>
      <c r="Z79" s="420"/>
      <c r="AA79" s="420"/>
      <c r="AB79" s="420"/>
      <c r="AC79" s="420"/>
      <c r="AD79" s="420"/>
      <c r="AE79" s="420"/>
      <c r="AF79" s="1525"/>
      <c r="AG79" s="1557"/>
      <c r="AH79" s="2060"/>
      <c r="AI79" s="2060"/>
      <c r="AJ79" s="2060"/>
      <c r="AK79" s="2060"/>
      <c r="AL79" s="2060"/>
      <c r="AM79" s="2060"/>
      <c r="AN79" s="2060"/>
      <c r="AO79" s="2060"/>
      <c r="AP79" s="2060"/>
      <c r="AQ79" s="2060"/>
      <c r="AR79" s="2060"/>
      <c r="AS79" s="2060"/>
      <c r="AT79" s="2060"/>
      <c r="AU79" s="2060"/>
      <c r="AV79" s="2060"/>
      <c r="AW79" s="2060"/>
      <c r="AX79" s="2060"/>
      <c r="AY79" s="2060"/>
      <c r="AZ79" s="2060"/>
      <c r="BA79" s="2060"/>
      <c r="BB79" s="2060"/>
    </row>
    <row r="80" spans="1:54" s="1027" customFormat="1" ht="12" customHeight="1">
      <c r="A80" s="1557"/>
      <c r="B80" s="1557"/>
      <c r="C80" s="416" t="s">
        <v>1621</v>
      </c>
      <c r="D80" s="416"/>
      <c r="E80" s="416"/>
      <c r="F80" s="416"/>
      <c r="G80" s="416">
        <f>SUMIFS(DCF!$G$26:$R$26,DCF!$G$9:$R$9,"Normalized")</f>
        <v>0</v>
      </c>
      <c r="H80" s="416">
        <f>$G80</f>
        <v>0</v>
      </c>
      <c r="I80" s="416">
        <f t="shared" ref="I80:AE80" si="28">$G80</f>
        <v>0</v>
      </c>
      <c r="J80" s="416">
        <f t="shared" si="28"/>
        <v>0</v>
      </c>
      <c r="K80" s="416">
        <f t="shared" si="28"/>
        <v>0</v>
      </c>
      <c r="L80" s="416">
        <f t="shared" si="28"/>
        <v>0</v>
      </c>
      <c r="M80" s="416">
        <f t="shared" si="28"/>
        <v>0</v>
      </c>
      <c r="N80" s="416">
        <f t="shared" si="28"/>
        <v>0</v>
      </c>
      <c r="O80" s="416">
        <f t="shared" si="28"/>
        <v>0</v>
      </c>
      <c r="P80" s="416">
        <f t="shared" si="28"/>
        <v>0</v>
      </c>
      <c r="Q80" s="416">
        <f t="shared" si="28"/>
        <v>0</v>
      </c>
      <c r="R80" s="416">
        <f t="shared" si="28"/>
        <v>0</v>
      </c>
      <c r="S80" s="416">
        <f t="shared" si="28"/>
        <v>0</v>
      </c>
      <c r="T80" s="416">
        <f t="shared" si="28"/>
        <v>0</v>
      </c>
      <c r="U80" s="416">
        <f t="shared" si="28"/>
        <v>0</v>
      </c>
      <c r="V80" s="416">
        <f t="shared" si="28"/>
        <v>0</v>
      </c>
      <c r="W80" s="416">
        <f t="shared" si="28"/>
        <v>0</v>
      </c>
      <c r="X80" s="416">
        <f t="shared" si="28"/>
        <v>0</v>
      </c>
      <c r="Y80" s="416">
        <f t="shared" si="28"/>
        <v>0</v>
      </c>
      <c r="Z80" s="416">
        <f t="shared" si="28"/>
        <v>0</v>
      </c>
      <c r="AA80" s="416">
        <f t="shared" si="28"/>
        <v>0</v>
      </c>
      <c r="AB80" s="416">
        <f t="shared" si="28"/>
        <v>0</v>
      </c>
      <c r="AC80" s="416">
        <f t="shared" si="28"/>
        <v>0</v>
      </c>
      <c r="AD80" s="416">
        <f t="shared" si="28"/>
        <v>0</v>
      </c>
      <c r="AE80" s="416">
        <f t="shared" si="28"/>
        <v>0</v>
      </c>
      <c r="AF80" s="1525"/>
      <c r="AG80" s="1557"/>
      <c r="AH80" s="2060"/>
      <c r="AI80" s="2060"/>
      <c r="AJ80" s="2060"/>
      <c r="AK80" s="2060"/>
      <c r="AL80" s="2060"/>
      <c r="AM80" s="2060"/>
      <c r="AN80" s="2060"/>
      <c r="AO80" s="2060"/>
      <c r="AP80" s="2060"/>
      <c r="AQ80" s="2060"/>
      <c r="AR80" s="2060"/>
      <c r="AS80" s="2060"/>
      <c r="AT80" s="2060"/>
      <c r="AU80" s="2060"/>
      <c r="AV80" s="2060"/>
      <c r="AW80" s="2060"/>
      <c r="AX80" s="2060"/>
      <c r="AY80" s="2060"/>
      <c r="AZ80" s="2060"/>
      <c r="BA80" s="2060"/>
      <c r="BB80" s="2060"/>
    </row>
    <row r="81" spans="1:54" s="1027" customFormat="1" ht="12" customHeight="1">
      <c r="A81" s="1557"/>
      <c r="B81" s="1557"/>
      <c r="C81" s="416" t="s">
        <v>1622</v>
      </c>
      <c r="D81" s="416"/>
      <c r="E81" s="416"/>
      <c r="F81" s="416"/>
      <c r="G81" s="416">
        <f t="shared" ref="G81:AE81" ca="1" si="29">IFERROR(INDEX($G$54:$AE$54,MATCH(G78,$G$9:$AE$9,0)),0)</f>
        <v>0</v>
      </c>
      <c r="H81" s="416">
        <f t="shared" ca="1" si="29"/>
        <v>0</v>
      </c>
      <c r="I81" s="416">
        <f t="shared" ca="1" si="29"/>
        <v>0</v>
      </c>
      <c r="J81" s="416">
        <f t="shared" ca="1" si="29"/>
        <v>0</v>
      </c>
      <c r="K81" s="416">
        <f t="shared" ca="1" si="29"/>
        <v>0</v>
      </c>
      <c r="L81" s="416">
        <f t="shared" ca="1" si="29"/>
        <v>0</v>
      </c>
      <c r="M81" s="416">
        <f t="shared" ca="1" si="29"/>
        <v>0</v>
      </c>
      <c r="N81" s="416">
        <f t="shared" ca="1" si="29"/>
        <v>0</v>
      </c>
      <c r="O81" s="416">
        <f t="shared" ca="1" si="29"/>
        <v>0</v>
      </c>
      <c r="P81" s="416">
        <f t="shared" ca="1" si="29"/>
        <v>0</v>
      </c>
      <c r="Q81" s="416">
        <f t="shared" ca="1" si="29"/>
        <v>0</v>
      </c>
      <c r="R81" s="416">
        <f t="shared" ca="1" si="29"/>
        <v>0</v>
      </c>
      <c r="S81" s="416">
        <f t="shared" ca="1" si="29"/>
        <v>0</v>
      </c>
      <c r="T81" s="416">
        <f t="shared" ca="1" si="29"/>
        <v>0</v>
      </c>
      <c r="U81" s="416">
        <f t="shared" ca="1" si="29"/>
        <v>0</v>
      </c>
      <c r="V81" s="416">
        <f t="shared" ca="1" si="29"/>
        <v>0</v>
      </c>
      <c r="W81" s="416">
        <f t="shared" ca="1" si="29"/>
        <v>0</v>
      </c>
      <c r="X81" s="416">
        <f t="shared" ca="1" si="29"/>
        <v>0</v>
      </c>
      <c r="Y81" s="416">
        <f t="shared" ca="1" si="29"/>
        <v>0</v>
      </c>
      <c r="Z81" s="416">
        <f t="shared" ca="1" si="29"/>
        <v>0</v>
      </c>
      <c r="AA81" s="416">
        <f t="shared" ca="1" si="29"/>
        <v>0</v>
      </c>
      <c r="AB81" s="416">
        <f t="shared" ca="1" si="29"/>
        <v>0</v>
      </c>
      <c r="AC81" s="416">
        <f t="shared" ca="1" si="29"/>
        <v>0</v>
      </c>
      <c r="AD81" s="416">
        <f t="shared" ca="1" si="29"/>
        <v>0</v>
      </c>
      <c r="AE81" s="416">
        <f t="shared" ca="1" si="29"/>
        <v>0</v>
      </c>
      <c r="AF81" s="1525"/>
      <c r="AG81" s="1557"/>
      <c r="AH81" s="2060"/>
      <c r="AI81" s="2060"/>
      <c r="AJ81" s="2060"/>
      <c r="AK81" s="2060"/>
      <c r="AL81" s="2060"/>
      <c r="AM81" s="2060"/>
      <c r="AN81" s="2060"/>
      <c r="AO81" s="2060"/>
      <c r="AP81" s="2060"/>
      <c r="AQ81" s="2060"/>
      <c r="AR81" s="2060"/>
      <c r="AS81" s="2060"/>
      <c r="AT81" s="2060"/>
      <c r="AU81" s="2060"/>
      <c r="AV81" s="2060"/>
      <c r="AW81" s="2060"/>
      <c r="AX81" s="2060"/>
      <c r="AY81" s="2060"/>
      <c r="AZ81" s="2060"/>
      <c r="BA81" s="2060"/>
      <c r="BB81" s="2060"/>
    </row>
    <row r="82" spans="1:54" ht="12" customHeight="1">
      <c r="A82" s="1557"/>
      <c r="B82" s="1557"/>
      <c r="C82" s="550" t="s">
        <v>1623</v>
      </c>
      <c r="D82" s="416"/>
      <c r="E82" s="1525"/>
      <c r="F82" s="1525"/>
      <c r="G82" s="1208">
        <f t="shared" ref="G82:AE82" ca="1" si="30">G80-G81</f>
        <v>0</v>
      </c>
      <c r="H82" s="1208">
        <f t="shared" ca="1" si="30"/>
        <v>0</v>
      </c>
      <c r="I82" s="1208">
        <f t="shared" ca="1" si="30"/>
        <v>0</v>
      </c>
      <c r="J82" s="1208">
        <f t="shared" ca="1" si="30"/>
        <v>0</v>
      </c>
      <c r="K82" s="1208">
        <f t="shared" ca="1" si="30"/>
        <v>0</v>
      </c>
      <c r="L82" s="1208">
        <f t="shared" ca="1" si="30"/>
        <v>0</v>
      </c>
      <c r="M82" s="1208">
        <f t="shared" ca="1" si="30"/>
        <v>0</v>
      </c>
      <c r="N82" s="1208">
        <f t="shared" ca="1" si="30"/>
        <v>0</v>
      </c>
      <c r="O82" s="1208">
        <f t="shared" ca="1" si="30"/>
        <v>0</v>
      </c>
      <c r="P82" s="1208">
        <f t="shared" ca="1" si="30"/>
        <v>0</v>
      </c>
      <c r="Q82" s="1208">
        <f t="shared" ca="1" si="30"/>
        <v>0</v>
      </c>
      <c r="R82" s="1208">
        <f t="shared" ca="1" si="30"/>
        <v>0</v>
      </c>
      <c r="S82" s="1208">
        <f t="shared" ca="1" si="30"/>
        <v>0</v>
      </c>
      <c r="T82" s="1208">
        <f t="shared" ca="1" si="30"/>
        <v>0</v>
      </c>
      <c r="U82" s="1208">
        <f t="shared" ca="1" si="30"/>
        <v>0</v>
      </c>
      <c r="V82" s="1208">
        <f t="shared" ca="1" si="30"/>
        <v>0</v>
      </c>
      <c r="W82" s="1208">
        <f t="shared" ca="1" si="30"/>
        <v>0</v>
      </c>
      <c r="X82" s="1208">
        <f t="shared" ca="1" si="30"/>
        <v>0</v>
      </c>
      <c r="Y82" s="1208">
        <f t="shared" ca="1" si="30"/>
        <v>0</v>
      </c>
      <c r="Z82" s="1208">
        <f t="shared" ca="1" si="30"/>
        <v>0</v>
      </c>
      <c r="AA82" s="1208">
        <f t="shared" ca="1" si="30"/>
        <v>0</v>
      </c>
      <c r="AB82" s="1208">
        <f t="shared" ca="1" si="30"/>
        <v>0</v>
      </c>
      <c r="AC82" s="1208">
        <f t="shared" ca="1" si="30"/>
        <v>0</v>
      </c>
      <c r="AD82" s="1208">
        <f t="shared" ca="1" si="30"/>
        <v>0</v>
      </c>
      <c r="AE82" s="1208">
        <f t="shared" ca="1" si="30"/>
        <v>0</v>
      </c>
      <c r="AF82" s="1525"/>
      <c r="AG82" s="1557"/>
      <c r="AH82" s="2060"/>
      <c r="AI82" s="2060"/>
      <c r="AJ82" s="2060"/>
      <c r="AK82" s="2060"/>
      <c r="AL82" s="2060"/>
      <c r="AM82" s="2060"/>
      <c r="AN82" s="2060"/>
      <c r="AO82" s="2060"/>
      <c r="AP82" s="2060"/>
      <c r="AQ82" s="2060"/>
      <c r="AR82" s="2060"/>
      <c r="AS82" s="2060"/>
      <c r="AT82" s="2060"/>
      <c r="AU82" s="2060"/>
      <c r="AV82" s="2060"/>
      <c r="AW82" s="2060"/>
      <c r="AX82" s="2060"/>
      <c r="AY82" s="2060"/>
      <c r="AZ82" s="2060"/>
      <c r="BA82" s="2060"/>
      <c r="BB82" s="2060"/>
    </row>
    <row r="83" spans="1:54" ht="12" customHeight="1">
      <c r="A83" s="1557"/>
      <c r="B83" s="1557"/>
      <c r="C83" s="550" t="s">
        <v>933</v>
      </c>
      <c r="D83" s="416"/>
      <c r="E83" s="1525"/>
      <c r="F83" s="1525"/>
      <c r="G83" s="551">
        <f ca="1">'PFI Inputs'!$S$91</f>
        <v>0</v>
      </c>
      <c r="H83" s="551">
        <f t="shared" ref="H83:AE83" ca="1" si="31">G83</f>
        <v>0</v>
      </c>
      <c r="I83" s="551">
        <f t="shared" ca="1" si="31"/>
        <v>0</v>
      </c>
      <c r="J83" s="551">
        <f t="shared" ca="1" si="31"/>
        <v>0</v>
      </c>
      <c r="K83" s="551">
        <f t="shared" ca="1" si="31"/>
        <v>0</v>
      </c>
      <c r="L83" s="551">
        <f t="shared" ca="1" si="31"/>
        <v>0</v>
      </c>
      <c r="M83" s="551">
        <f t="shared" ca="1" si="31"/>
        <v>0</v>
      </c>
      <c r="N83" s="551">
        <f t="shared" ca="1" si="31"/>
        <v>0</v>
      </c>
      <c r="O83" s="551">
        <f t="shared" ca="1" si="31"/>
        <v>0</v>
      </c>
      <c r="P83" s="551">
        <f t="shared" ca="1" si="31"/>
        <v>0</v>
      </c>
      <c r="Q83" s="551">
        <f t="shared" ca="1" si="31"/>
        <v>0</v>
      </c>
      <c r="R83" s="551">
        <f t="shared" ca="1" si="31"/>
        <v>0</v>
      </c>
      <c r="S83" s="551">
        <f t="shared" ca="1" si="31"/>
        <v>0</v>
      </c>
      <c r="T83" s="551">
        <f t="shared" ca="1" si="31"/>
        <v>0</v>
      </c>
      <c r="U83" s="551">
        <f t="shared" ca="1" si="31"/>
        <v>0</v>
      </c>
      <c r="V83" s="551">
        <f t="shared" ca="1" si="31"/>
        <v>0</v>
      </c>
      <c r="W83" s="551">
        <f t="shared" ca="1" si="31"/>
        <v>0</v>
      </c>
      <c r="X83" s="551">
        <f t="shared" ca="1" si="31"/>
        <v>0</v>
      </c>
      <c r="Y83" s="551">
        <f t="shared" ca="1" si="31"/>
        <v>0</v>
      </c>
      <c r="Z83" s="551">
        <f t="shared" ca="1" si="31"/>
        <v>0</v>
      </c>
      <c r="AA83" s="551">
        <f t="shared" ca="1" si="31"/>
        <v>0</v>
      </c>
      <c r="AB83" s="551">
        <f t="shared" ca="1" si="31"/>
        <v>0</v>
      </c>
      <c r="AC83" s="551">
        <f t="shared" ca="1" si="31"/>
        <v>0</v>
      </c>
      <c r="AD83" s="551">
        <f t="shared" ca="1" si="31"/>
        <v>0</v>
      </c>
      <c r="AE83" s="551">
        <f t="shared" ca="1" si="31"/>
        <v>0</v>
      </c>
      <c r="AF83" s="1525"/>
      <c r="AG83" s="1557"/>
      <c r="AH83" s="2060"/>
      <c r="AI83" s="2060"/>
      <c r="AJ83" s="2060"/>
      <c r="AK83" s="2060"/>
      <c r="AL83" s="2060"/>
      <c r="AM83" s="2060"/>
      <c r="AN83" s="2060"/>
      <c r="AO83" s="2060"/>
      <c r="AP83" s="2060"/>
      <c r="AQ83" s="2060"/>
      <c r="AR83" s="2060"/>
      <c r="AS83" s="2060"/>
      <c r="AT83" s="2060"/>
      <c r="AU83" s="2060"/>
      <c r="AV83" s="2060"/>
      <c r="AW83" s="2060"/>
      <c r="AX83" s="2060"/>
      <c r="AY83" s="2060"/>
      <c r="AZ83" s="2060"/>
      <c r="BA83" s="2060"/>
      <c r="BB83" s="2060"/>
    </row>
    <row r="84" spans="1:54" ht="12" customHeight="1">
      <c r="A84" s="1557"/>
      <c r="B84" s="1557"/>
      <c r="C84" s="1496" t="s">
        <v>1595</v>
      </c>
      <c r="D84" s="1497"/>
      <c r="E84" s="1384"/>
      <c r="F84" s="1384"/>
      <c r="G84" s="1498">
        <f t="shared" ref="G84:AE84" ca="1" si="32">G82*G83</f>
        <v>0</v>
      </c>
      <c r="H84" s="1498">
        <f t="shared" ca="1" si="32"/>
        <v>0</v>
      </c>
      <c r="I84" s="1498">
        <f t="shared" ca="1" si="32"/>
        <v>0</v>
      </c>
      <c r="J84" s="1498">
        <f t="shared" ca="1" si="32"/>
        <v>0</v>
      </c>
      <c r="K84" s="1498">
        <f t="shared" ca="1" si="32"/>
        <v>0</v>
      </c>
      <c r="L84" s="1498">
        <f t="shared" ca="1" si="32"/>
        <v>0</v>
      </c>
      <c r="M84" s="1498">
        <f t="shared" ca="1" si="32"/>
        <v>0</v>
      </c>
      <c r="N84" s="1498">
        <f t="shared" ca="1" si="32"/>
        <v>0</v>
      </c>
      <c r="O84" s="1498">
        <f t="shared" ca="1" si="32"/>
        <v>0</v>
      </c>
      <c r="P84" s="1498">
        <f t="shared" ca="1" si="32"/>
        <v>0</v>
      </c>
      <c r="Q84" s="1498">
        <f t="shared" ca="1" si="32"/>
        <v>0</v>
      </c>
      <c r="R84" s="1498">
        <f t="shared" ca="1" si="32"/>
        <v>0</v>
      </c>
      <c r="S84" s="1498">
        <f t="shared" ca="1" si="32"/>
        <v>0</v>
      </c>
      <c r="T84" s="1498">
        <f t="shared" ca="1" si="32"/>
        <v>0</v>
      </c>
      <c r="U84" s="1498">
        <f t="shared" ca="1" si="32"/>
        <v>0</v>
      </c>
      <c r="V84" s="1498">
        <f t="shared" ca="1" si="32"/>
        <v>0</v>
      </c>
      <c r="W84" s="1498">
        <f t="shared" ca="1" si="32"/>
        <v>0</v>
      </c>
      <c r="X84" s="1498">
        <f t="shared" ca="1" si="32"/>
        <v>0</v>
      </c>
      <c r="Y84" s="1498">
        <f t="shared" ca="1" si="32"/>
        <v>0</v>
      </c>
      <c r="Z84" s="1498">
        <f t="shared" ca="1" si="32"/>
        <v>0</v>
      </c>
      <c r="AA84" s="1498">
        <f t="shared" ca="1" si="32"/>
        <v>0</v>
      </c>
      <c r="AB84" s="1498">
        <f t="shared" ca="1" si="32"/>
        <v>0</v>
      </c>
      <c r="AC84" s="1498">
        <f t="shared" ca="1" si="32"/>
        <v>0</v>
      </c>
      <c r="AD84" s="1498">
        <f t="shared" ca="1" si="32"/>
        <v>0</v>
      </c>
      <c r="AE84" s="1498">
        <f t="shared" ca="1" si="32"/>
        <v>0</v>
      </c>
      <c r="AF84" s="1525"/>
      <c r="AG84" s="1557"/>
      <c r="AH84" s="2060"/>
      <c r="AI84" s="2060"/>
      <c r="AJ84" s="2060"/>
      <c r="AK84" s="2060"/>
      <c r="AL84" s="2060"/>
      <c r="AM84" s="2060"/>
      <c r="AN84" s="2060"/>
      <c r="AO84" s="2060"/>
      <c r="AP84" s="2060"/>
      <c r="AQ84" s="2060"/>
      <c r="AR84" s="2060"/>
      <c r="AS84" s="2060"/>
      <c r="AT84" s="2060"/>
      <c r="AU84" s="2060"/>
      <c r="AV84" s="2060"/>
      <c r="AW84" s="2060"/>
      <c r="AX84" s="2060"/>
      <c r="AY84" s="2060"/>
      <c r="AZ84" s="2060"/>
      <c r="BA84" s="2060"/>
      <c r="BB84" s="2060"/>
    </row>
    <row r="85" spans="1:54" ht="12" customHeight="1">
      <c r="A85" s="1557" t="s">
        <v>17</v>
      </c>
      <c r="B85" s="1557"/>
      <c r="C85" s="550" t="s">
        <v>1624</v>
      </c>
      <c r="D85" s="416"/>
      <c r="E85" s="1525"/>
      <c r="F85" s="1525"/>
      <c r="G85" s="552">
        <f>INDEX(START!$G$73:$S$73,MATCH(G77,START!G68:S68,0))</f>
        <v>6.5849315068493155</v>
      </c>
      <c r="H85" s="552">
        <f t="shared" ref="H85:U85" si="33">G85+1</f>
        <v>7.5849315068493155</v>
      </c>
      <c r="I85" s="552">
        <f t="shared" si="33"/>
        <v>8.5849315068493155</v>
      </c>
      <c r="J85" s="552">
        <f t="shared" si="33"/>
        <v>9.5849315068493155</v>
      </c>
      <c r="K85" s="552">
        <f t="shared" si="33"/>
        <v>10.584931506849315</v>
      </c>
      <c r="L85" s="552">
        <f t="shared" si="33"/>
        <v>11.584931506849315</v>
      </c>
      <c r="M85" s="552">
        <f t="shared" si="33"/>
        <v>12.584931506849315</v>
      </c>
      <c r="N85" s="552">
        <f t="shared" si="33"/>
        <v>13.584931506849315</v>
      </c>
      <c r="O85" s="552">
        <f t="shared" si="33"/>
        <v>14.584931506849315</v>
      </c>
      <c r="P85" s="552">
        <f t="shared" si="33"/>
        <v>15.584931506849315</v>
      </c>
      <c r="Q85" s="552">
        <f t="shared" si="33"/>
        <v>16.584931506849315</v>
      </c>
      <c r="R85" s="552">
        <f t="shared" si="33"/>
        <v>17.584931506849315</v>
      </c>
      <c r="S85" s="552">
        <f t="shared" si="33"/>
        <v>18.584931506849315</v>
      </c>
      <c r="T85" s="552">
        <f t="shared" si="33"/>
        <v>19.584931506849315</v>
      </c>
      <c r="U85" s="552">
        <f t="shared" si="33"/>
        <v>20.584931506849315</v>
      </c>
      <c r="V85" s="552">
        <f t="shared" ref="V85:AE85" si="34">U85+1</f>
        <v>21.584931506849315</v>
      </c>
      <c r="W85" s="552">
        <f t="shared" si="34"/>
        <v>22.584931506849315</v>
      </c>
      <c r="X85" s="552">
        <f t="shared" si="34"/>
        <v>23.584931506849315</v>
      </c>
      <c r="Y85" s="552">
        <f t="shared" si="34"/>
        <v>24.584931506849315</v>
      </c>
      <c r="Z85" s="552">
        <f t="shared" si="34"/>
        <v>25.584931506849315</v>
      </c>
      <c r="AA85" s="552">
        <f t="shared" si="34"/>
        <v>26.584931506849315</v>
      </c>
      <c r="AB85" s="552">
        <f t="shared" si="34"/>
        <v>27.584931506849315</v>
      </c>
      <c r="AC85" s="552">
        <f t="shared" si="34"/>
        <v>28.584931506849315</v>
      </c>
      <c r="AD85" s="552">
        <f t="shared" si="34"/>
        <v>29.584931506849315</v>
      </c>
      <c r="AE85" s="552">
        <f t="shared" si="34"/>
        <v>30.584931506849315</v>
      </c>
      <c r="AF85" s="1525"/>
      <c r="AG85" s="1557"/>
      <c r="AH85" s="2060"/>
      <c r="AI85" s="2060"/>
      <c r="AJ85" s="2060"/>
      <c r="AK85" s="2060"/>
      <c r="AL85" s="2060"/>
      <c r="AM85" s="2060"/>
      <c r="AN85" s="2060"/>
      <c r="AO85" s="2060"/>
      <c r="AP85" s="2060"/>
      <c r="AQ85" s="2060"/>
      <c r="AR85" s="2060"/>
      <c r="AS85" s="2060"/>
      <c r="AT85" s="2060"/>
      <c r="AU85" s="2060"/>
      <c r="AV85" s="2060"/>
      <c r="AW85" s="2060"/>
      <c r="AX85" s="2060"/>
      <c r="AY85" s="2060"/>
      <c r="AZ85" s="2060"/>
      <c r="BA85" s="2060"/>
      <c r="BB85" s="2060"/>
    </row>
    <row r="86" spans="1:54" ht="12" customHeight="1">
      <c r="A86" s="1557"/>
      <c r="B86" s="1557"/>
      <c r="C86" s="550" t="str">
        <f>"Present value factor @ WACC of "&amp;TEXT(IFERROR(WACC!$O$51,0),"0.0%")</f>
        <v>Present value factor @ WACC of 0.0%</v>
      </c>
      <c r="D86" s="416"/>
      <c r="E86" s="1525"/>
      <c r="F86" s="1525"/>
      <c r="G86" s="1207">
        <f t="shared" ref="G86:AE86" si="35">1/(1+WACC)^G85</f>
        <v>1</v>
      </c>
      <c r="H86" s="1207">
        <f t="shared" si="35"/>
        <v>1</v>
      </c>
      <c r="I86" s="1207">
        <f t="shared" si="35"/>
        <v>1</v>
      </c>
      <c r="J86" s="1207">
        <f t="shared" si="35"/>
        <v>1</v>
      </c>
      <c r="K86" s="1207">
        <f t="shared" si="35"/>
        <v>1</v>
      </c>
      <c r="L86" s="1207">
        <f t="shared" si="35"/>
        <v>1</v>
      </c>
      <c r="M86" s="1207">
        <f t="shared" si="35"/>
        <v>1</v>
      </c>
      <c r="N86" s="1207">
        <f t="shared" si="35"/>
        <v>1</v>
      </c>
      <c r="O86" s="1207">
        <f t="shared" si="35"/>
        <v>1</v>
      </c>
      <c r="P86" s="1207">
        <f t="shared" si="35"/>
        <v>1</v>
      </c>
      <c r="Q86" s="1207">
        <f t="shared" si="35"/>
        <v>1</v>
      </c>
      <c r="R86" s="1207">
        <f t="shared" si="35"/>
        <v>1</v>
      </c>
      <c r="S86" s="1207">
        <f t="shared" si="35"/>
        <v>1</v>
      </c>
      <c r="T86" s="1207">
        <f t="shared" si="35"/>
        <v>1</v>
      </c>
      <c r="U86" s="1207">
        <f t="shared" si="35"/>
        <v>1</v>
      </c>
      <c r="V86" s="1207">
        <f t="shared" si="35"/>
        <v>1</v>
      </c>
      <c r="W86" s="1207">
        <f t="shared" si="35"/>
        <v>1</v>
      </c>
      <c r="X86" s="1207">
        <f t="shared" si="35"/>
        <v>1</v>
      </c>
      <c r="Y86" s="1207">
        <f t="shared" si="35"/>
        <v>1</v>
      </c>
      <c r="Z86" s="1207">
        <f t="shared" si="35"/>
        <v>1</v>
      </c>
      <c r="AA86" s="1207">
        <f t="shared" si="35"/>
        <v>1</v>
      </c>
      <c r="AB86" s="1207">
        <f t="shared" si="35"/>
        <v>1</v>
      </c>
      <c r="AC86" s="1207">
        <f t="shared" si="35"/>
        <v>1</v>
      </c>
      <c r="AD86" s="1207">
        <f t="shared" si="35"/>
        <v>1</v>
      </c>
      <c r="AE86" s="1207">
        <f t="shared" si="35"/>
        <v>1</v>
      </c>
      <c r="AF86" s="1525"/>
      <c r="AG86" s="1557"/>
      <c r="AH86" s="2060"/>
      <c r="AI86" s="2060"/>
      <c r="AJ86" s="2060"/>
      <c r="AK86" s="2060"/>
      <c r="AL86" s="2060"/>
      <c r="AM86" s="2060"/>
      <c r="AN86" s="2060"/>
      <c r="AO86" s="2060"/>
      <c r="AP86" s="2060"/>
      <c r="AQ86" s="2060"/>
      <c r="AR86" s="2060"/>
      <c r="AS86" s="2060"/>
      <c r="AT86" s="2060"/>
      <c r="AU86" s="2060"/>
      <c r="AV86" s="2060"/>
      <c r="AW86" s="2060"/>
      <c r="AX86" s="2060"/>
      <c r="AY86" s="2060"/>
      <c r="AZ86" s="2060"/>
      <c r="BA86" s="2060"/>
      <c r="BB86" s="2060"/>
    </row>
    <row r="87" spans="1:54" ht="12" customHeight="1">
      <c r="A87" s="1557"/>
      <c r="B87" s="1557"/>
      <c r="C87" s="550" t="s">
        <v>1625</v>
      </c>
      <c r="D87" s="416"/>
      <c r="E87" s="1525"/>
      <c r="F87" s="1525"/>
      <c r="G87" s="1208">
        <f t="shared" ref="G87:AE87" ca="1" si="36">G84*G86</f>
        <v>0</v>
      </c>
      <c r="H87" s="1208">
        <f t="shared" ca="1" si="36"/>
        <v>0</v>
      </c>
      <c r="I87" s="1208">
        <f t="shared" ca="1" si="36"/>
        <v>0</v>
      </c>
      <c r="J87" s="1208">
        <f t="shared" ca="1" si="36"/>
        <v>0</v>
      </c>
      <c r="K87" s="1208">
        <f t="shared" ca="1" si="36"/>
        <v>0</v>
      </c>
      <c r="L87" s="1208">
        <f t="shared" ca="1" si="36"/>
        <v>0</v>
      </c>
      <c r="M87" s="1208">
        <f t="shared" ca="1" si="36"/>
        <v>0</v>
      </c>
      <c r="N87" s="1208">
        <f t="shared" ca="1" si="36"/>
        <v>0</v>
      </c>
      <c r="O87" s="1208">
        <f t="shared" ca="1" si="36"/>
        <v>0</v>
      </c>
      <c r="P87" s="1208">
        <f t="shared" ca="1" si="36"/>
        <v>0</v>
      </c>
      <c r="Q87" s="1208">
        <f t="shared" ca="1" si="36"/>
        <v>0</v>
      </c>
      <c r="R87" s="1208">
        <f t="shared" ca="1" si="36"/>
        <v>0</v>
      </c>
      <c r="S87" s="1208">
        <f t="shared" ca="1" si="36"/>
        <v>0</v>
      </c>
      <c r="T87" s="1208">
        <f t="shared" ca="1" si="36"/>
        <v>0</v>
      </c>
      <c r="U87" s="1208">
        <f t="shared" ca="1" si="36"/>
        <v>0</v>
      </c>
      <c r="V87" s="1208">
        <f t="shared" ca="1" si="36"/>
        <v>0</v>
      </c>
      <c r="W87" s="1208">
        <f t="shared" ca="1" si="36"/>
        <v>0</v>
      </c>
      <c r="X87" s="1208">
        <f t="shared" ca="1" si="36"/>
        <v>0</v>
      </c>
      <c r="Y87" s="1208">
        <f t="shared" ca="1" si="36"/>
        <v>0</v>
      </c>
      <c r="Z87" s="1208">
        <f t="shared" ca="1" si="36"/>
        <v>0</v>
      </c>
      <c r="AA87" s="1208">
        <f t="shared" ca="1" si="36"/>
        <v>0</v>
      </c>
      <c r="AB87" s="1208">
        <f t="shared" ca="1" si="36"/>
        <v>0</v>
      </c>
      <c r="AC87" s="1208">
        <f t="shared" ca="1" si="36"/>
        <v>0</v>
      </c>
      <c r="AD87" s="1208">
        <f t="shared" ca="1" si="36"/>
        <v>0</v>
      </c>
      <c r="AE87" s="1208">
        <f t="shared" ca="1" si="36"/>
        <v>0</v>
      </c>
      <c r="AF87" s="1525"/>
      <c r="AG87" s="1557"/>
      <c r="AH87" s="2060"/>
      <c r="AI87" s="2060"/>
      <c r="AJ87" s="2060"/>
      <c r="AK87" s="2060"/>
      <c r="AL87" s="2060"/>
      <c r="AM87" s="2060"/>
      <c r="AN87" s="2060"/>
      <c r="AO87" s="2060"/>
      <c r="AP87" s="2060"/>
      <c r="AQ87" s="2060"/>
      <c r="AR87" s="2060"/>
      <c r="AS87" s="2060"/>
      <c r="AT87" s="2060"/>
      <c r="AU87" s="2060"/>
      <c r="AV87" s="2060"/>
      <c r="AW87" s="2060"/>
      <c r="AX87" s="2060"/>
      <c r="AY87" s="2060"/>
      <c r="AZ87" s="2060"/>
      <c r="BA87" s="2060"/>
      <c r="BB87" s="2060"/>
    </row>
    <row r="88" spans="1:54" ht="12" customHeight="1" thickBot="1">
      <c r="A88" s="1557"/>
      <c r="B88" s="1557"/>
      <c r="C88" s="1513" t="s">
        <v>1626</v>
      </c>
      <c r="D88" s="1513"/>
      <c r="E88" s="1525"/>
      <c r="F88" s="1525"/>
      <c r="G88" s="556">
        <f ca="1">SUM(G87:AE87)</f>
        <v>0</v>
      </c>
      <c r="H88" s="421"/>
      <c r="I88" s="421"/>
      <c r="J88" s="421"/>
      <c r="K88" s="421"/>
      <c r="L88" s="421"/>
      <c r="M88" s="421"/>
      <c r="N88" s="421"/>
      <c r="O88" s="421"/>
      <c r="P88" s="421"/>
      <c r="Q88" s="421"/>
      <c r="R88" s="2060"/>
      <c r="S88" s="2060"/>
      <c r="T88" s="2060"/>
      <c r="U88" s="2060"/>
      <c r="V88" s="2060"/>
      <c r="W88" s="2060"/>
      <c r="X88" s="2060"/>
      <c r="Y88" s="2060"/>
      <c r="Z88" s="2060"/>
      <c r="AA88" s="2060"/>
      <c r="AB88" s="2060"/>
      <c r="AC88" s="2060"/>
      <c r="AD88" s="2060"/>
      <c r="AE88" s="2060"/>
      <c r="AF88" s="1525"/>
      <c r="AG88" s="1557"/>
      <c r="AH88" s="2060"/>
      <c r="AI88" s="2060"/>
      <c r="AJ88" s="2060"/>
      <c r="AK88" s="2060"/>
      <c r="AL88" s="2060"/>
      <c r="AM88" s="2060"/>
      <c r="AN88" s="2060"/>
      <c r="AO88" s="2060"/>
      <c r="AP88" s="2060"/>
      <c r="AQ88" s="2060"/>
      <c r="AR88" s="2060"/>
      <c r="AS88" s="2060"/>
      <c r="AT88" s="2060"/>
      <c r="AU88" s="2060"/>
      <c r="AV88" s="2060"/>
      <c r="AW88" s="2060"/>
      <c r="AX88" s="2060"/>
      <c r="AY88" s="2060"/>
      <c r="AZ88" s="2060"/>
      <c r="BA88" s="2060"/>
      <c r="BB88" s="2060"/>
    </row>
    <row r="89" spans="1:54" ht="12" customHeight="1" thickTop="1">
      <c r="A89" s="1557"/>
      <c r="B89" s="1557"/>
      <c r="C89" s="2060"/>
      <c r="D89" s="2060"/>
      <c r="E89" s="1525"/>
      <c r="F89" s="1525"/>
      <c r="G89" s="2060"/>
      <c r="H89" s="2060"/>
      <c r="I89" s="2060"/>
      <c r="J89" s="2060"/>
      <c r="K89" s="2060"/>
      <c r="L89" s="2060"/>
      <c r="M89" s="2060"/>
      <c r="N89" s="2060"/>
      <c r="O89" s="2060"/>
      <c r="P89" s="2060"/>
      <c r="Q89" s="2060"/>
      <c r="R89" s="2060"/>
      <c r="S89" s="2060"/>
      <c r="T89" s="2060"/>
      <c r="U89" s="2060"/>
      <c r="V89" s="2060"/>
      <c r="W89" s="2060"/>
      <c r="X89" s="2060"/>
      <c r="Y89" s="2060"/>
      <c r="Z89" s="2060"/>
      <c r="AA89" s="2060"/>
      <c r="AB89" s="2060"/>
      <c r="AC89" s="2060"/>
      <c r="AD89" s="2060"/>
      <c r="AE89" s="2060"/>
      <c r="AF89" s="2060"/>
      <c r="AG89" s="1557"/>
      <c r="AH89" s="2060"/>
      <c r="AI89" s="2060"/>
      <c r="AJ89" s="2060"/>
      <c r="AK89" s="2060"/>
      <c r="AL89" s="2060"/>
      <c r="AM89" s="2060"/>
      <c r="AN89" s="2060"/>
      <c r="AO89" s="2060"/>
      <c r="AP89" s="2060"/>
      <c r="AQ89" s="2060"/>
      <c r="AR89" s="2060"/>
      <c r="AS89" s="2060"/>
      <c r="AT89" s="2060"/>
      <c r="AU89" s="2060"/>
      <c r="AV89" s="2060"/>
      <c r="AW89" s="2060"/>
      <c r="AX89" s="2060"/>
      <c r="AY89" s="2060"/>
      <c r="AZ89" s="2060"/>
      <c r="BA89" s="2060"/>
      <c r="BB89" s="2060"/>
    </row>
    <row r="90" spans="1:54" s="1527" customFormat="1" ht="13.9">
      <c r="A90" s="1557"/>
      <c r="B90" s="1557"/>
      <c r="C90" s="1501" t="s">
        <v>1627</v>
      </c>
      <c r="D90" s="1503"/>
      <c r="E90" s="1581"/>
      <c r="F90" s="1503"/>
      <c r="H90" s="1561"/>
      <c r="I90" s="1503"/>
      <c r="J90" s="1503"/>
      <c r="K90" s="1503"/>
      <c r="L90" s="1503"/>
      <c r="M90" s="1503"/>
      <c r="N90" s="1503"/>
      <c r="O90" s="1503"/>
      <c r="P90" s="1503"/>
      <c r="Q90" s="1503"/>
      <c r="R90" s="1529"/>
      <c r="T90" s="2060"/>
      <c r="U90" s="2060"/>
      <c r="V90" s="2060"/>
      <c r="W90" s="2060"/>
      <c r="X90" s="2060"/>
      <c r="Y90" s="2060"/>
      <c r="Z90" s="2060"/>
      <c r="AA90" s="2060"/>
      <c r="AB90" s="2060"/>
      <c r="AC90" s="2060"/>
      <c r="AD90" s="2060"/>
      <c r="AE90" s="2060"/>
      <c r="AF90" s="2060"/>
      <c r="AG90" s="1557"/>
      <c r="AH90" s="2060"/>
      <c r="AI90" s="2060"/>
      <c r="AJ90" s="2060"/>
      <c r="AK90" s="2060"/>
      <c r="AL90" s="2060"/>
      <c r="AM90" s="2060"/>
      <c r="AN90" s="2060"/>
      <c r="AO90" s="2060"/>
      <c r="AP90" s="2060"/>
      <c r="AQ90" s="2060"/>
      <c r="AR90" s="2060"/>
      <c r="AS90" s="2060"/>
      <c r="AT90" s="2060"/>
      <c r="AU90" s="2060"/>
      <c r="AV90" s="2060"/>
      <c r="AW90" s="2060"/>
      <c r="AX90" s="2060"/>
      <c r="AY90" s="2060"/>
      <c r="AZ90" s="2060"/>
      <c r="BA90" s="2060"/>
      <c r="BB90" s="2060"/>
    </row>
    <row r="91" spans="1:54" s="1527" customFormat="1" ht="13.9">
      <c r="A91" s="1557"/>
      <c r="B91" s="1557"/>
      <c r="C91" s="1501"/>
      <c r="D91" s="1503"/>
      <c r="E91" s="1581"/>
      <c r="F91" s="1503"/>
      <c r="H91" s="1561"/>
      <c r="I91" s="1503"/>
      <c r="J91" s="1503"/>
      <c r="K91" s="1503"/>
      <c r="L91" s="1503"/>
      <c r="M91" s="1503"/>
      <c r="N91" s="1503"/>
      <c r="O91" s="1503"/>
      <c r="P91" s="1503"/>
      <c r="Q91" s="1503"/>
      <c r="R91" s="1529"/>
      <c r="T91" s="2060"/>
      <c r="U91" s="2060"/>
      <c r="V91" s="2060"/>
      <c r="W91" s="2060"/>
      <c r="X91" s="2060"/>
      <c r="Y91" s="2060"/>
      <c r="Z91" s="2060"/>
      <c r="AA91" s="2060"/>
      <c r="AB91" s="2060"/>
      <c r="AC91" s="2060"/>
      <c r="AD91" s="2060"/>
      <c r="AE91" s="2060"/>
      <c r="AF91" s="2060"/>
      <c r="AG91" s="1557"/>
      <c r="AH91" s="2060"/>
      <c r="AI91" s="2060"/>
      <c r="AJ91" s="2060"/>
      <c r="AK91" s="2060"/>
      <c r="AL91" s="2060"/>
      <c r="AM91" s="2060"/>
      <c r="AN91" s="2060"/>
      <c r="AO91" s="2060"/>
      <c r="AP91" s="2060"/>
      <c r="AQ91" s="2060"/>
      <c r="AR91" s="2060"/>
      <c r="AS91" s="2060"/>
      <c r="AT91" s="2060"/>
      <c r="AU91" s="2060"/>
      <c r="AV91" s="2060"/>
      <c r="AW91" s="2060"/>
      <c r="AX91" s="2060"/>
      <c r="AY91" s="2060"/>
      <c r="AZ91" s="2060"/>
      <c r="BA91" s="2060"/>
      <c r="BB91" s="2060"/>
    </row>
    <row r="92" spans="1:54" ht="12" customHeight="1">
      <c r="A92" s="1557"/>
      <c r="B92" s="1557"/>
      <c r="C92" s="1529" t="str">
        <f ca="1">FootnoteDRAFT</f>
        <v>Run date: 05-August-2018  02:34 PM.   DRAFT document. All data subject to change upon completion of additional analysis.</v>
      </c>
      <c r="D92" s="356"/>
      <c r="E92" s="356"/>
      <c r="F92" s="356"/>
      <c r="G92" s="356"/>
      <c r="H92" s="356"/>
      <c r="I92" s="356"/>
      <c r="J92" s="356"/>
      <c r="K92" s="356"/>
      <c r="L92" s="356"/>
      <c r="M92" s="356"/>
      <c r="N92" s="356"/>
      <c r="O92" s="356"/>
      <c r="P92" s="356"/>
      <c r="Q92" s="356"/>
      <c r="R92" s="1525"/>
      <c r="S92" s="1525"/>
      <c r="T92" s="2060"/>
      <c r="U92" s="2060"/>
      <c r="V92" s="2060"/>
      <c r="W92" s="2060"/>
      <c r="X92" s="2060"/>
      <c r="Y92" s="2060"/>
      <c r="Z92" s="2060"/>
      <c r="AA92" s="2060"/>
      <c r="AB92" s="2060"/>
      <c r="AC92" s="2060"/>
      <c r="AD92" s="2060"/>
      <c r="AE92" s="2060"/>
      <c r="AF92" s="2060"/>
      <c r="AG92" s="1557"/>
      <c r="AH92" s="2060"/>
      <c r="AI92" s="2060"/>
      <c r="AJ92" s="2060"/>
      <c r="AK92" s="2060"/>
      <c r="AL92" s="2060"/>
      <c r="AM92" s="2060"/>
      <c r="AN92" s="2060"/>
      <c r="AO92" s="2060"/>
      <c r="AP92" s="2060"/>
      <c r="AQ92" s="2060"/>
      <c r="AR92" s="2060"/>
      <c r="AS92" s="2060"/>
      <c r="AT92" s="2060"/>
      <c r="AU92" s="2060"/>
      <c r="AV92" s="2060"/>
      <c r="AW92" s="2060"/>
      <c r="AX92" s="2060"/>
      <c r="AY92" s="2060"/>
      <c r="AZ92" s="2060"/>
      <c r="BA92" s="2060"/>
      <c r="BB92" s="2060"/>
    </row>
    <row r="93" spans="1:54" ht="12" customHeight="1">
      <c r="A93" s="1557" t="s">
        <v>17</v>
      </c>
      <c r="B93" s="1557"/>
      <c r="C93" s="1557"/>
      <c r="D93" s="1557"/>
      <c r="E93" s="1557"/>
      <c r="F93" s="1557"/>
      <c r="G93" s="1557"/>
      <c r="H93" s="1557"/>
      <c r="I93" s="1557"/>
      <c r="J93" s="1557"/>
      <c r="K93" s="1557"/>
      <c r="L93" s="1557"/>
      <c r="M93" s="1557"/>
      <c r="N93" s="1557"/>
      <c r="O93" s="1557"/>
      <c r="P93" s="1557"/>
      <c r="Q93" s="1557"/>
      <c r="R93" s="1557"/>
      <c r="S93" s="1557"/>
      <c r="T93" s="1557"/>
      <c r="U93" s="1557"/>
      <c r="V93" s="1557"/>
      <c r="W93" s="1557"/>
      <c r="X93" s="1557"/>
      <c r="Y93" s="1557"/>
      <c r="Z93" s="1557"/>
      <c r="AA93" s="1557"/>
      <c r="AB93" s="1557"/>
      <c r="AC93" s="1557"/>
      <c r="AD93" s="1557"/>
      <c r="AE93" s="1557"/>
      <c r="AF93" s="596" t="s">
        <v>18</v>
      </c>
      <c r="AG93" s="1557"/>
      <c r="AH93" s="2060"/>
      <c r="AI93" s="2060"/>
      <c r="AJ93" s="2060"/>
      <c r="AK93" s="2060"/>
      <c r="AL93" s="2060"/>
      <c r="AM93" s="2060"/>
      <c r="AN93" s="2060"/>
      <c r="AO93" s="2060"/>
      <c r="AP93" s="2060"/>
      <c r="AQ93" s="2060"/>
      <c r="AR93" s="2060"/>
      <c r="AS93" s="2060"/>
      <c r="AT93" s="2060"/>
      <c r="AU93" s="2060"/>
      <c r="AV93" s="2060"/>
      <c r="AW93" s="2060"/>
      <c r="AX93" s="2060"/>
      <c r="AY93" s="2060"/>
      <c r="AZ93" s="2060"/>
      <c r="BA93" s="2060"/>
      <c r="BB93" s="2060"/>
    </row>
    <row r="94" spans="1:54" ht="12" customHeight="1">
      <c r="A94" s="1557"/>
      <c r="B94" s="1557"/>
      <c r="C94" s="1557"/>
      <c r="D94" s="1557"/>
      <c r="E94" s="1557"/>
      <c r="F94" s="1557"/>
      <c r="G94" s="1557"/>
      <c r="H94" s="1557"/>
      <c r="I94" s="1557"/>
      <c r="J94" s="1557"/>
      <c r="K94" s="1557"/>
      <c r="L94" s="1557"/>
      <c r="M94" s="1557"/>
      <c r="N94" s="1557"/>
      <c r="O94" s="1557"/>
      <c r="P94" s="1557"/>
      <c r="Q94" s="1557"/>
      <c r="R94" s="1557"/>
      <c r="S94" s="1557"/>
      <c r="T94" s="1557"/>
      <c r="U94" s="1557"/>
      <c r="V94" s="1557"/>
      <c r="W94" s="1557"/>
      <c r="X94" s="1557"/>
      <c r="Y94" s="1557"/>
      <c r="Z94" s="1557"/>
      <c r="AA94" s="1557"/>
      <c r="AB94" s="1557"/>
      <c r="AC94" s="1557"/>
      <c r="AD94" s="1557"/>
      <c r="AE94" s="1557"/>
      <c r="AF94" s="1557"/>
      <c r="AG94" s="1557"/>
      <c r="AH94" s="2060"/>
      <c r="AI94" s="2060"/>
      <c r="AJ94" s="2060"/>
      <c r="AK94" s="2060"/>
      <c r="AL94" s="2060"/>
      <c r="AM94" s="2060"/>
      <c r="AN94" s="2060"/>
      <c r="AO94" s="2060"/>
      <c r="AP94" s="2060"/>
      <c r="AQ94" s="2060"/>
      <c r="AR94" s="2060"/>
      <c r="AS94" s="2060"/>
      <c r="AT94" s="2060"/>
      <c r="AU94" s="2060"/>
      <c r="AV94" s="2060"/>
      <c r="AW94" s="2060"/>
      <c r="AX94" s="2060"/>
      <c r="AY94" s="2060"/>
      <c r="AZ94" s="2060"/>
      <c r="BA94" s="2060"/>
      <c r="BB94" s="2060"/>
    </row>
    <row r="95" spans="1:54" ht="12" customHeight="1">
      <c r="A95" s="1525"/>
      <c r="B95" s="1525"/>
      <c r="C95" s="2060"/>
      <c r="D95" s="2060"/>
      <c r="E95" s="2060"/>
      <c r="F95" s="2060"/>
      <c r="G95" s="2060"/>
      <c r="H95" s="2060"/>
      <c r="I95" s="2060"/>
      <c r="J95" s="2060"/>
      <c r="K95" s="2060"/>
      <c r="L95" s="2060"/>
      <c r="M95" s="2060"/>
      <c r="N95" s="2060"/>
      <c r="O95" s="2060"/>
      <c r="P95" s="2060"/>
      <c r="Q95" s="2060"/>
      <c r="R95" s="2060"/>
      <c r="S95" s="2060"/>
      <c r="T95" s="2060"/>
      <c r="U95" s="2060"/>
      <c r="V95" s="2060"/>
      <c r="W95" s="2060"/>
      <c r="X95" s="2060"/>
      <c r="Y95" s="2060"/>
      <c r="Z95" s="2060"/>
      <c r="AA95" s="2060"/>
      <c r="AB95" s="2060"/>
      <c r="AC95" s="2060"/>
      <c r="AD95" s="2060"/>
      <c r="AE95" s="2060"/>
      <c r="AF95" s="2060"/>
      <c r="AG95" s="2060"/>
      <c r="AH95" s="2060"/>
      <c r="AI95" s="2060"/>
      <c r="AJ95" s="2060"/>
      <c r="AK95" s="2060"/>
      <c r="AL95" s="2060"/>
      <c r="AM95" s="2060"/>
      <c r="AN95" s="2060"/>
      <c r="AO95" s="2060"/>
      <c r="AP95" s="2060"/>
      <c r="AQ95" s="2060"/>
      <c r="AR95" s="2060"/>
      <c r="AS95" s="2060"/>
      <c r="AT95" s="2060"/>
      <c r="AU95" s="2060"/>
      <c r="AV95" s="2060"/>
      <c r="AW95" s="2060"/>
      <c r="AX95" s="2060"/>
      <c r="AY95" s="2060"/>
      <c r="AZ95" s="2060"/>
      <c r="BA95" s="2060"/>
      <c r="BB95" s="2060"/>
    </row>
    <row r="96" spans="1:54" ht="12" customHeight="1">
      <c r="A96" s="1525"/>
      <c r="B96" s="1525"/>
      <c r="C96" s="2060"/>
      <c r="D96" s="2060"/>
      <c r="E96" s="2060"/>
      <c r="F96" s="2060"/>
      <c r="G96" s="2060"/>
      <c r="H96" s="2060"/>
      <c r="I96" s="2060"/>
      <c r="J96" s="2060"/>
      <c r="K96" s="2060"/>
      <c r="L96" s="2060"/>
      <c r="M96" s="2060"/>
      <c r="N96" s="2060"/>
      <c r="O96" s="2060"/>
      <c r="P96" s="2060"/>
      <c r="Q96" s="2060"/>
      <c r="R96" s="2060"/>
      <c r="S96" s="2060"/>
      <c r="T96" s="2060"/>
      <c r="U96" s="2060"/>
      <c r="V96" s="2060"/>
      <c r="W96" s="2060"/>
      <c r="X96" s="2060"/>
      <c r="Y96" s="2060"/>
      <c r="Z96" s="2060"/>
      <c r="AA96" s="2060"/>
      <c r="AB96" s="2060"/>
      <c r="AC96" s="2060"/>
      <c r="AD96" s="2060"/>
      <c r="AE96" s="2060"/>
      <c r="AF96" s="2060"/>
      <c r="AG96" s="2060"/>
      <c r="AH96" s="2060"/>
      <c r="AI96" s="2060"/>
      <c r="AJ96" s="2060"/>
      <c r="AK96" s="2060"/>
      <c r="AL96" s="2060"/>
      <c r="AM96" s="2060"/>
      <c r="AN96" s="2060"/>
      <c r="AO96" s="2060"/>
      <c r="AP96" s="2060"/>
      <c r="AQ96" s="2060"/>
      <c r="AR96" s="2060"/>
      <c r="AS96" s="2060"/>
      <c r="AT96" s="2060"/>
      <c r="AU96" s="2060"/>
      <c r="AV96" s="2060"/>
      <c r="AW96" s="2060"/>
      <c r="AX96" s="2060"/>
      <c r="AY96" s="2060"/>
      <c r="AZ96" s="2060"/>
      <c r="BA96" s="2060"/>
      <c r="BB96" s="2060"/>
    </row>
    <row r="97" spans="3:54" ht="12" customHeight="1">
      <c r="C97" s="2060"/>
      <c r="D97" s="2060"/>
      <c r="E97" s="2060"/>
      <c r="F97" s="2060"/>
      <c r="G97" s="2060"/>
      <c r="H97" s="2060"/>
      <c r="I97" s="2060"/>
      <c r="J97" s="2060"/>
      <c r="K97" s="2060"/>
      <c r="L97" s="2060"/>
      <c r="M97" s="2060"/>
      <c r="N97" s="2060"/>
      <c r="O97" s="2060"/>
      <c r="P97" s="2060"/>
      <c r="Q97" s="2060"/>
      <c r="R97" s="2060"/>
      <c r="S97" s="2060"/>
      <c r="T97" s="2060"/>
      <c r="U97" s="2060"/>
      <c r="V97" s="2060"/>
      <c r="W97" s="2060"/>
      <c r="X97" s="2060"/>
      <c r="Y97" s="2060"/>
      <c r="Z97" s="2060"/>
      <c r="AA97" s="2060"/>
      <c r="AB97" s="2060"/>
      <c r="AC97" s="2060"/>
      <c r="AD97" s="2060"/>
      <c r="AE97" s="2060"/>
      <c r="AF97" s="2060"/>
      <c r="AG97" s="2060"/>
      <c r="AH97" s="2060"/>
      <c r="AI97" s="2060"/>
      <c r="AJ97" s="2060"/>
      <c r="AK97" s="2060"/>
      <c r="AL97" s="2060"/>
      <c r="AM97" s="2060"/>
      <c r="AN97" s="2060"/>
      <c r="AO97" s="2060"/>
      <c r="AP97" s="2060"/>
      <c r="AQ97" s="2060"/>
      <c r="AR97" s="2060"/>
      <c r="AS97" s="2060"/>
      <c r="AT97" s="2060"/>
      <c r="AU97" s="2060"/>
      <c r="AV97" s="2060"/>
      <c r="AW97" s="2060"/>
      <c r="AX97" s="2060"/>
      <c r="AY97" s="2060"/>
      <c r="AZ97" s="2060"/>
      <c r="BA97" s="2060"/>
      <c r="BB97" s="2060"/>
    </row>
    <row r="98" spans="3:54" s="255" customFormat="1" ht="12" customHeight="1">
      <c r="C98" s="884" t="s">
        <v>1628</v>
      </c>
      <c r="D98" s="885"/>
      <c r="E98" s="885"/>
      <c r="F98" s="885"/>
      <c r="G98" s="2245" t="s">
        <v>1629</v>
      </c>
      <c r="H98" s="2245"/>
      <c r="I98" s="2245"/>
      <c r="J98" s="2245"/>
      <c r="K98" s="2245"/>
      <c r="L98" s="2245"/>
      <c r="M98" s="2245"/>
      <c r="N98" s="2245"/>
      <c r="O98" s="2245"/>
      <c r="P98" s="2245"/>
      <c r="Q98" s="2245"/>
      <c r="R98" s="2245"/>
      <c r="S98" s="2245"/>
      <c r="T98" s="2245"/>
      <c r="U98" s="2245"/>
      <c r="V98" s="2245"/>
      <c r="W98" s="2245"/>
      <c r="X98" s="2245"/>
      <c r="Y98" s="2245"/>
      <c r="Z98" s="2245"/>
      <c r="AA98" s="2245"/>
    </row>
    <row r="99" spans="3:54" s="255" customFormat="1" ht="12" customHeight="1">
      <c r="C99" s="1545"/>
      <c r="D99" s="1545"/>
      <c r="E99" s="1545"/>
      <c r="F99" s="1545"/>
      <c r="G99" s="999">
        <v>1</v>
      </c>
      <c r="H99" s="999">
        <v>2</v>
      </c>
      <c r="I99" s="999">
        <v>3</v>
      </c>
      <c r="J99" s="999">
        <v>4</v>
      </c>
      <c r="K99" s="999">
        <v>5</v>
      </c>
      <c r="L99" s="999">
        <v>6</v>
      </c>
      <c r="M99" s="999">
        <v>7</v>
      </c>
      <c r="N99" s="999">
        <v>8</v>
      </c>
      <c r="O99" s="999">
        <v>9</v>
      </c>
      <c r="P99" s="999">
        <v>10</v>
      </c>
      <c r="Q99" s="999">
        <v>11</v>
      </c>
      <c r="R99" s="999">
        <v>12</v>
      </c>
      <c r="S99" s="999">
        <v>13</v>
      </c>
      <c r="T99" s="999">
        <v>14</v>
      </c>
      <c r="U99" s="999">
        <v>15</v>
      </c>
      <c r="V99" s="999">
        <v>16</v>
      </c>
      <c r="W99" s="999">
        <v>17</v>
      </c>
      <c r="X99" s="999">
        <v>18</v>
      </c>
      <c r="Y99" s="999">
        <v>19</v>
      </c>
      <c r="Z99" s="999">
        <v>20</v>
      </c>
      <c r="AA99" s="999">
        <v>21</v>
      </c>
    </row>
    <row r="100" spans="3:54" s="255" customFormat="1" ht="12" customHeight="1">
      <c r="C100" s="886" t="s">
        <v>1630</v>
      </c>
      <c r="D100" s="1545">
        <v>1</v>
      </c>
      <c r="E100" s="1545"/>
      <c r="F100" s="1545"/>
      <c r="G100" s="1000">
        <v>0.33329999999999999</v>
      </c>
      <c r="H100" s="1000">
        <v>0.44450000000000001</v>
      </c>
      <c r="I100" s="1000">
        <v>0.14810000000000001</v>
      </c>
      <c r="J100" s="1000">
        <v>7.4099999999999999E-2</v>
      </c>
      <c r="K100" s="1001">
        <v>0</v>
      </c>
      <c r="L100" s="1001">
        <v>0</v>
      </c>
      <c r="M100" s="1001">
        <v>0</v>
      </c>
      <c r="N100" s="1001">
        <v>0</v>
      </c>
      <c r="O100" s="1001">
        <v>0</v>
      </c>
      <c r="P100" s="1001">
        <v>0</v>
      </c>
      <c r="Q100" s="1001">
        <v>0</v>
      </c>
      <c r="R100" s="1001">
        <v>0</v>
      </c>
      <c r="S100" s="1001">
        <v>0</v>
      </c>
      <c r="T100" s="1001">
        <v>0</v>
      </c>
      <c r="U100" s="1001">
        <v>0</v>
      </c>
      <c r="V100" s="1001">
        <v>0</v>
      </c>
      <c r="W100" s="1001">
        <v>0</v>
      </c>
      <c r="X100" s="1001">
        <v>0</v>
      </c>
      <c r="Y100" s="1001">
        <v>0</v>
      </c>
      <c r="Z100" s="1001">
        <v>0</v>
      </c>
      <c r="AA100" s="1001">
        <v>0</v>
      </c>
    </row>
    <row r="101" spans="3:54" s="255" customFormat="1" ht="12" customHeight="1">
      <c r="C101" s="886" t="s">
        <v>1631</v>
      </c>
      <c r="D101" s="1545">
        <v>2</v>
      </c>
      <c r="E101" s="1545"/>
      <c r="F101" s="1545"/>
      <c r="G101" s="1000">
        <v>0.58330000000000004</v>
      </c>
      <c r="H101" s="1000">
        <v>0.27779999999999999</v>
      </c>
      <c r="I101" s="1000">
        <v>0.1235</v>
      </c>
      <c r="J101" s="1000">
        <v>1.54E-2</v>
      </c>
      <c r="K101" s="1001">
        <v>0</v>
      </c>
      <c r="L101" s="1001">
        <v>0</v>
      </c>
      <c r="M101" s="1001">
        <v>0</v>
      </c>
      <c r="N101" s="1001">
        <v>0</v>
      </c>
      <c r="O101" s="1001">
        <v>0</v>
      </c>
      <c r="P101" s="1001">
        <v>0</v>
      </c>
      <c r="Q101" s="1001">
        <v>0</v>
      </c>
      <c r="R101" s="1001">
        <v>0</v>
      </c>
      <c r="S101" s="1001">
        <v>0</v>
      </c>
      <c r="T101" s="1001">
        <v>0</v>
      </c>
      <c r="U101" s="1001">
        <v>0</v>
      </c>
      <c r="V101" s="1001">
        <v>0</v>
      </c>
      <c r="W101" s="1001">
        <v>0</v>
      </c>
      <c r="X101" s="1001">
        <v>0</v>
      </c>
      <c r="Y101" s="1001">
        <v>0</v>
      </c>
      <c r="Z101" s="1001">
        <v>0</v>
      </c>
      <c r="AA101" s="1001">
        <v>0</v>
      </c>
    </row>
    <row r="102" spans="3:54" s="255" customFormat="1" ht="12" customHeight="1">
      <c r="C102" s="886" t="s">
        <v>1632</v>
      </c>
      <c r="D102" s="1545">
        <v>3</v>
      </c>
      <c r="E102" s="1545"/>
      <c r="F102" s="1545"/>
      <c r="G102" s="1000">
        <v>0.41670000000000001</v>
      </c>
      <c r="H102" s="1000">
        <v>0.38890000000000002</v>
      </c>
      <c r="I102" s="1000">
        <v>0.1414</v>
      </c>
      <c r="J102" s="1000">
        <v>5.2999999999999999E-2</v>
      </c>
      <c r="K102" s="1001">
        <v>0</v>
      </c>
      <c r="L102" s="1001">
        <v>0</v>
      </c>
      <c r="M102" s="1001">
        <v>0</v>
      </c>
      <c r="N102" s="1001">
        <v>0</v>
      </c>
      <c r="O102" s="1001">
        <v>0</v>
      </c>
      <c r="P102" s="1001">
        <v>0</v>
      </c>
      <c r="Q102" s="1001">
        <v>0</v>
      </c>
      <c r="R102" s="1001">
        <v>0</v>
      </c>
      <c r="S102" s="1001">
        <v>0</v>
      </c>
      <c r="T102" s="1001">
        <v>0</v>
      </c>
      <c r="U102" s="1001">
        <v>0</v>
      </c>
      <c r="V102" s="1001">
        <v>0</v>
      </c>
      <c r="W102" s="1001">
        <v>0</v>
      </c>
      <c r="X102" s="1001">
        <v>0</v>
      </c>
      <c r="Y102" s="1001">
        <v>0</v>
      </c>
      <c r="Z102" s="1001">
        <v>0</v>
      </c>
      <c r="AA102" s="1001">
        <v>0</v>
      </c>
    </row>
    <row r="103" spans="3:54" s="255" customFormat="1" ht="12" customHeight="1">
      <c r="C103" s="886" t="s">
        <v>1633</v>
      </c>
      <c r="D103" s="1545">
        <v>4</v>
      </c>
      <c r="E103" s="1545"/>
      <c r="F103" s="1545"/>
      <c r="G103" s="1000">
        <v>0.25</v>
      </c>
      <c r="H103" s="1000">
        <v>0.5</v>
      </c>
      <c r="I103" s="1000">
        <v>0.16669999999999999</v>
      </c>
      <c r="J103" s="1000">
        <v>8.3299999999999999E-2</v>
      </c>
      <c r="K103" s="1001">
        <v>0</v>
      </c>
      <c r="L103" s="1001">
        <v>0</v>
      </c>
      <c r="M103" s="1001">
        <v>0</v>
      </c>
      <c r="N103" s="1001">
        <v>0</v>
      </c>
      <c r="O103" s="1001">
        <v>0</v>
      </c>
      <c r="P103" s="1001">
        <v>0</v>
      </c>
      <c r="Q103" s="1001">
        <v>0</v>
      </c>
      <c r="R103" s="1001">
        <v>0</v>
      </c>
      <c r="S103" s="1001">
        <v>0</v>
      </c>
      <c r="T103" s="1001">
        <v>0</v>
      </c>
      <c r="U103" s="1001">
        <v>0</v>
      </c>
      <c r="V103" s="1001">
        <v>0</v>
      </c>
      <c r="W103" s="1001">
        <v>0</v>
      </c>
      <c r="X103" s="1001">
        <v>0</v>
      </c>
      <c r="Y103" s="1001">
        <v>0</v>
      </c>
      <c r="Z103" s="1001">
        <v>0</v>
      </c>
      <c r="AA103" s="1001">
        <v>0</v>
      </c>
    </row>
    <row r="104" spans="3:54" s="255" customFormat="1" ht="12" customHeight="1">
      <c r="C104" s="886" t="s">
        <v>1634</v>
      </c>
      <c r="D104" s="1545">
        <v>5</v>
      </c>
      <c r="E104" s="1545"/>
      <c r="F104" s="1545"/>
      <c r="G104" s="1000">
        <v>0.2</v>
      </c>
      <c r="H104" s="1000">
        <v>0.32</v>
      </c>
      <c r="I104" s="1000">
        <v>0.192</v>
      </c>
      <c r="J104" s="1000">
        <v>0.1152</v>
      </c>
      <c r="K104" s="1000">
        <v>0.1152</v>
      </c>
      <c r="L104" s="1000">
        <v>5.7599999999999998E-2</v>
      </c>
      <c r="M104" s="1001">
        <v>0</v>
      </c>
      <c r="N104" s="1001">
        <v>0</v>
      </c>
      <c r="O104" s="1001">
        <v>0</v>
      </c>
      <c r="P104" s="1001">
        <v>0</v>
      </c>
      <c r="Q104" s="1001">
        <v>0</v>
      </c>
      <c r="R104" s="1001">
        <v>0</v>
      </c>
      <c r="S104" s="1001">
        <v>0</v>
      </c>
      <c r="T104" s="1001">
        <v>0</v>
      </c>
      <c r="U104" s="1001">
        <v>0</v>
      </c>
      <c r="V104" s="1001">
        <v>0</v>
      </c>
      <c r="W104" s="1001">
        <v>0</v>
      </c>
      <c r="X104" s="1001">
        <v>0</v>
      </c>
      <c r="Y104" s="1001">
        <v>0</v>
      </c>
      <c r="Z104" s="1001">
        <v>0</v>
      </c>
      <c r="AA104" s="1001">
        <v>0</v>
      </c>
    </row>
    <row r="105" spans="3:54" s="255" customFormat="1" ht="12" customHeight="1">
      <c r="C105" s="886" t="s">
        <v>1635</v>
      </c>
      <c r="D105" s="1545">
        <v>6</v>
      </c>
      <c r="E105" s="1545"/>
      <c r="F105" s="1545"/>
      <c r="G105" s="1000">
        <v>0.35</v>
      </c>
      <c r="H105" s="1000">
        <v>0.26</v>
      </c>
      <c r="I105" s="1000">
        <v>0.156</v>
      </c>
      <c r="J105" s="1000">
        <v>0.1101</v>
      </c>
      <c r="K105" s="1000">
        <v>0.1101</v>
      </c>
      <c r="L105" s="1000">
        <v>1.38E-2</v>
      </c>
      <c r="M105" s="1001">
        <v>0</v>
      </c>
      <c r="N105" s="1001">
        <v>0</v>
      </c>
      <c r="O105" s="1001">
        <v>0</v>
      </c>
      <c r="P105" s="1001">
        <v>0</v>
      </c>
      <c r="Q105" s="1001">
        <v>0</v>
      </c>
      <c r="R105" s="1001">
        <v>0</v>
      </c>
      <c r="S105" s="1001">
        <v>0</v>
      </c>
      <c r="T105" s="1001">
        <v>0</v>
      </c>
      <c r="U105" s="1001">
        <v>0</v>
      </c>
      <c r="V105" s="1001">
        <v>0</v>
      </c>
      <c r="W105" s="1001">
        <v>0</v>
      </c>
      <c r="X105" s="1001">
        <v>0</v>
      </c>
      <c r="Y105" s="1001">
        <v>0</v>
      </c>
      <c r="Z105" s="1001">
        <v>0</v>
      </c>
      <c r="AA105" s="1001">
        <v>0</v>
      </c>
    </row>
    <row r="106" spans="3:54" s="255" customFormat="1" ht="12" customHeight="1">
      <c r="C106" s="886" t="s">
        <v>1636</v>
      </c>
      <c r="D106" s="1545">
        <v>7</v>
      </c>
      <c r="E106" s="1545"/>
      <c r="F106" s="1545"/>
      <c r="G106" s="1000">
        <v>0.25</v>
      </c>
      <c r="H106" s="1000">
        <v>0.3</v>
      </c>
      <c r="I106" s="1000">
        <v>0.18</v>
      </c>
      <c r="J106" s="1000">
        <v>0.1137</v>
      </c>
      <c r="K106" s="1000">
        <v>0.1137</v>
      </c>
      <c r="L106" s="1000">
        <v>4.2599999999999999E-2</v>
      </c>
      <c r="M106" s="1001">
        <v>0</v>
      </c>
      <c r="N106" s="1001">
        <v>0</v>
      </c>
      <c r="O106" s="1001">
        <v>0</v>
      </c>
      <c r="P106" s="1001">
        <v>0</v>
      </c>
      <c r="Q106" s="1001">
        <v>0</v>
      </c>
      <c r="R106" s="1001">
        <v>0</v>
      </c>
      <c r="S106" s="1001">
        <v>0</v>
      </c>
      <c r="T106" s="1001">
        <v>0</v>
      </c>
      <c r="U106" s="1001">
        <v>0</v>
      </c>
      <c r="V106" s="1001">
        <v>0</v>
      </c>
      <c r="W106" s="1001">
        <v>0</v>
      </c>
      <c r="X106" s="1001">
        <v>0</v>
      </c>
      <c r="Y106" s="1001">
        <v>0</v>
      </c>
      <c r="Z106" s="1001">
        <v>0</v>
      </c>
      <c r="AA106" s="1001">
        <v>0</v>
      </c>
    </row>
    <row r="107" spans="3:54" s="255" customFormat="1" ht="12" customHeight="1">
      <c r="C107" s="886" t="s">
        <v>1637</v>
      </c>
      <c r="D107" s="1545">
        <v>8</v>
      </c>
      <c r="E107" s="1545"/>
      <c r="F107" s="1545"/>
      <c r="G107" s="1000">
        <v>0.15</v>
      </c>
      <c r="H107" s="1000">
        <v>0.34</v>
      </c>
      <c r="I107" s="1000">
        <v>0.20399999999999999</v>
      </c>
      <c r="J107" s="1000">
        <v>0.12239999999999999</v>
      </c>
      <c r="K107" s="1000">
        <v>0.113</v>
      </c>
      <c r="L107" s="1000">
        <v>7.0599999999999996E-2</v>
      </c>
      <c r="M107" s="1001">
        <v>0</v>
      </c>
      <c r="N107" s="1001">
        <v>0</v>
      </c>
      <c r="O107" s="1001">
        <v>0</v>
      </c>
      <c r="P107" s="1001">
        <v>0</v>
      </c>
      <c r="Q107" s="1001">
        <v>0</v>
      </c>
      <c r="R107" s="1001">
        <v>0</v>
      </c>
      <c r="S107" s="1001">
        <v>0</v>
      </c>
      <c r="T107" s="1001">
        <v>0</v>
      </c>
      <c r="U107" s="1001">
        <v>0</v>
      </c>
      <c r="V107" s="1001">
        <v>0</v>
      </c>
      <c r="W107" s="1001">
        <v>0</v>
      </c>
      <c r="X107" s="1001">
        <v>0</v>
      </c>
      <c r="Y107" s="1001">
        <v>0</v>
      </c>
      <c r="Z107" s="1001">
        <v>0</v>
      </c>
      <c r="AA107" s="1001">
        <v>0</v>
      </c>
    </row>
    <row r="108" spans="3:54" s="255" customFormat="1" ht="12" customHeight="1">
      <c r="C108" s="886" t="s">
        <v>1638</v>
      </c>
      <c r="D108" s="1545">
        <v>9</v>
      </c>
      <c r="E108" s="1545"/>
      <c r="F108" s="1545"/>
      <c r="G108" s="1000">
        <v>0.1429</v>
      </c>
      <c r="H108" s="1000">
        <v>0.24490000000000001</v>
      </c>
      <c r="I108" s="1000">
        <v>0.1749</v>
      </c>
      <c r="J108" s="1000">
        <v>0.1249</v>
      </c>
      <c r="K108" s="1000">
        <v>8.9300000000000004E-2</v>
      </c>
      <c r="L108" s="1000">
        <v>8.9200000000000002E-2</v>
      </c>
      <c r="M108" s="1000">
        <v>8.9300000000000004E-2</v>
      </c>
      <c r="N108" s="1000">
        <v>4.4600000000000001E-2</v>
      </c>
      <c r="O108" s="1001">
        <v>0</v>
      </c>
      <c r="P108" s="1001">
        <v>0</v>
      </c>
      <c r="Q108" s="1001">
        <v>0</v>
      </c>
      <c r="R108" s="1001">
        <v>0</v>
      </c>
      <c r="S108" s="1001">
        <v>0</v>
      </c>
      <c r="T108" s="1001">
        <v>0</v>
      </c>
      <c r="U108" s="1001">
        <v>0</v>
      </c>
      <c r="V108" s="1001">
        <v>0</v>
      </c>
      <c r="W108" s="1001">
        <v>0</v>
      </c>
      <c r="X108" s="1001">
        <v>0</v>
      </c>
      <c r="Y108" s="1001">
        <v>0</v>
      </c>
      <c r="Z108" s="1001">
        <v>0</v>
      </c>
      <c r="AA108" s="1001">
        <v>0</v>
      </c>
    </row>
    <row r="109" spans="3:54" s="255" customFormat="1" ht="12" customHeight="1">
      <c r="C109" s="886" t="s">
        <v>1639</v>
      </c>
      <c r="D109" s="1545">
        <v>10</v>
      </c>
      <c r="E109" s="1545"/>
      <c r="F109" s="1545"/>
      <c r="G109" s="1000">
        <v>0.25</v>
      </c>
      <c r="H109" s="1000">
        <v>0.21429999999999999</v>
      </c>
      <c r="I109" s="1000">
        <v>0.15310000000000001</v>
      </c>
      <c r="J109" s="1000">
        <v>0.10929999999999999</v>
      </c>
      <c r="K109" s="1000">
        <v>8.7499999999999994E-2</v>
      </c>
      <c r="L109" s="1000">
        <v>8.7400000000000005E-2</v>
      </c>
      <c r="M109" s="1000">
        <v>8.7499999999999994E-2</v>
      </c>
      <c r="N109" s="1000">
        <v>1.09E-2</v>
      </c>
      <c r="O109" s="1001">
        <v>0</v>
      </c>
      <c r="P109" s="1001">
        <v>0</v>
      </c>
      <c r="Q109" s="1001">
        <v>0</v>
      </c>
      <c r="R109" s="1001">
        <v>0</v>
      </c>
      <c r="S109" s="1001">
        <v>0</v>
      </c>
      <c r="T109" s="1001">
        <v>0</v>
      </c>
      <c r="U109" s="1001">
        <v>0</v>
      </c>
      <c r="V109" s="1001">
        <v>0</v>
      </c>
      <c r="W109" s="1001">
        <v>0</v>
      </c>
      <c r="X109" s="1001">
        <v>0</v>
      </c>
      <c r="Y109" s="1001">
        <v>0</v>
      </c>
      <c r="Z109" s="1001">
        <v>0</v>
      </c>
      <c r="AA109" s="1001">
        <v>0</v>
      </c>
    </row>
    <row r="110" spans="3:54" s="255" customFormat="1" ht="12" customHeight="1">
      <c r="C110" s="886" t="s">
        <v>1640</v>
      </c>
      <c r="D110" s="1545">
        <v>11</v>
      </c>
      <c r="E110" s="1545"/>
      <c r="F110" s="1545"/>
      <c r="G110" s="1000">
        <v>0.17849999999999999</v>
      </c>
      <c r="H110" s="1000">
        <v>0.23469999999999999</v>
      </c>
      <c r="I110" s="1000">
        <v>0.1676</v>
      </c>
      <c r="J110" s="1000">
        <v>0.1197</v>
      </c>
      <c r="K110" s="1000">
        <v>8.8700000000000001E-2</v>
      </c>
      <c r="L110" s="1000">
        <v>8.8700000000000001E-2</v>
      </c>
      <c r="M110" s="1000">
        <v>8.8700000000000001E-2</v>
      </c>
      <c r="N110" s="1000">
        <v>3.3300000000000003E-2</v>
      </c>
      <c r="O110" s="1001">
        <v>0</v>
      </c>
      <c r="P110" s="1001">
        <v>0</v>
      </c>
      <c r="Q110" s="1001">
        <v>0</v>
      </c>
      <c r="R110" s="1001">
        <v>0</v>
      </c>
      <c r="S110" s="1001">
        <v>0</v>
      </c>
      <c r="T110" s="1001">
        <v>0</v>
      </c>
      <c r="U110" s="1001">
        <v>0</v>
      </c>
      <c r="V110" s="1001">
        <v>0</v>
      </c>
      <c r="W110" s="1001">
        <v>0</v>
      </c>
      <c r="X110" s="1001">
        <v>0</v>
      </c>
      <c r="Y110" s="1001">
        <v>0</v>
      </c>
      <c r="Z110" s="1001">
        <v>0</v>
      </c>
      <c r="AA110" s="1001">
        <v>0</v>
      </c>
    </row>
    <row r="111" spans="3:54" s="255" customFormat="1" ht="12" customHeight="1">
      <c r="C111" s="886" t="s">
        <v>1641</v>
      </c>
      <c r="D111" s="1545">
        <v>12</v>
      </c>
      <c r="E111" s="1545"/>
      <c r="F111" s="1545"/>
      <c r="G111" s="1000">
        <v>0.1071</v>
      </c>
      <c r="H111" s="1000">
        <v>0.25509999999999999</v>
      </c>
      <c r="I111" s="1000">
        <v>0.1822</v>
      </c>
      <c r="J111" s="1000">
        <v>0.13020000000000001</v>
      </c>
      <c r="K111" s="1000">
        <v>9.2999999999999999E-2</v>
      </c>
      <c r="L111" s="1000">
        <v>8.8499999999999995E-2</v>
      </c>
      <c r="M111" s="1000">
        <v>8.8599999999999998E-2</v>
      </c>
      <c r="N111" s="1000">
        <v>5.5300000000000002E-2</v>
      </c>
      <c r="O111" s="1001">
        <v>0</v>
      </c>
      <c r="P111" s="1001">
        <v>0</v>
      </c>
      <c r="Q111" s="1001">
        <v>0</v>
      </c>
      <c r="R111" s="1001">
        <v>0</v>
      </c>
      <c r="S111" s="1001">
        <v>0</v>
      </c>
      <c r="T111" s="1001">
        <v>0</v>
      </c>
      <c r="U111" s="1001">
        <v>0</v>
      </c>
      <c r="V111" s="1001">
        <v>0</v>
      </c>
      <c r="W111" s="1001">
        <v>0</v>
      </c>
      <c r="X111" s="1001">
        <v>0</v>
      </c>
      <c r="Y111" s="1001">
        <v>0</v>
      </c>
      <c r="Z111" s="1001">
        <v>0</v>
      </c>
      <c r="AA111" s="1001">
        <v>0</v>
      </c>
    </row>
    <row r="112" spans="3:54" s="255" customFormat="1" ht="12" customHeight="1">
      <c r="C112" s="886" t="s">
        <v>1642</v>
      </c>
      <c r="D112" s="1545">
        <v>13</v>
      </c>
      <c r="E112" s="1545"/>
      <c r="F112" s="1545"/>
      <c r="G112" s="1000">
        <v>0.1</v>
      </c>
      <c r="H112" s="1000">
        <v>0.18</v>
      </c>
      <c r="I112" s="1000">
        <v>0.14399999999999999</v>
      </c>
      <c r="J112" s="1000">
        <v>0.1152</v>
      </c>
      <c r="K112" s="1000">
        <v>9.2200000000000004E-2</v>
      </c>
      <c r="L112" s="1000">
        <v>7.3700000000000002E-2</v>
      </c>
      <c r="M112" s="1000">
        <v>6.5500000000000003E-2</v>
      </c>
      <c r="N112" s="1000">
        <v>6.5500000000000003E-2</v>
      </c>
      <c r="O112" s="1000">
        <v>6.5600000000000006E-2</v>
      </c>
      <c r="P112" s="1000">
        <v>6.5500000000000003E-2</v>
      </c>
      <c r="Q112" s="1000">
        <v>3.2800000000000003E-2</v>
      </c>
      <c r="R112" s="1001">
        <v>0</v>
      </c>
      <c r="S112" s="1001">
        <v>0</v>
      </c>
      <c r="T112" s="1001">
        <v>0</v>
      </c>
      <c r="U112" s="1001">
        <v>0</v>
      </c>
      <c r="V112" s="1001">
        <v>0</v>
      </c>
      <c r="W112" s="1001">
        <v>0</v>
      </c>
      <c r="X112" s="1001">
        <v>0</v>
      </c>
      <c r="Y112" s="1001">
        <v>0</v>
      </c>
      <c r="Z112" s="1001">
        <v>0</v>
      </c>
      <c r="AA112" s="1001">
        <v>0</v>
      </c>
    </row>
    <row r="113" spans="3:28" s="255" customFormat="1" ht="12" customHeight="1">
      <c r="C113" s="886" t="s">
        <v>1643</v>
      </c>
      <c r="D113" s="1545">
        <v>14</v>
      </c>
      <c r="E113" s="1545"/>
      <c r="F113" s="1545"/>
      <c r="G113" s="1000">
        <v>0.17499999999999999</v>
      </c>
      <c r="H113" s="1000">
        <v>0.16500000000000001</v>
      </c>
      <c r="I113" s="1000">
        <v>0.13200000000000001</v>
      </c>
      <c r="J113" s="1000">
        <v>0.1056</v>
      </c>
      <c r="K113" s="1000">
        <v>8.4500000000000006E-2</v>
      </c>
      <c r="L113" s="1000">
        <v>6.7599999999999993E-2</v>
      </c>
      <c r="M113" s="1000">
        <v>6.5500000000000003E-2</v>
      </c>
      <c r="N113" s="1000">
        <v>6.5500000000000003E-2</v>
      </c>
      <c r="O113" s="1000">
        <v>6.5600000000000006E-2</v>
      </c>
      <c r="P113" s="1000">
        <v>6.5500000000000003E-2</v>
      </c>
      <c r="Q113" s="1000">
        <v>8.2000000000000007E-3</v>
      </c>
      <c r="R113" s="1001">
        <v>0</v>
      </c>
      <c r="S113" s="1001">
        <v>0</v>
      </c>
      <c r="T113" s="1001">
        <v>0</v>
      </c>
      <c r="U113" s="1001">
        <v>0</v>
      </c>
      <c r="V113" s="1001">
        <v>0</v>
      </c>
      <c r="W113" s="1001">
        <v>0</v>
      </c>
      <c r="X113" s="1001">
        <v>0</v>
      </c>
      <c r="Y113" s="1001">
        <v>0</v>
      </c>
      <c r="Z113" s="1001">
        <v>0</v>
      </c>
      <c r="AA113" s="1001">
        <v>0</v>
      </c>
    </row>
    <row r="114" spans="3:28" s="255" customFormat="1" ht="12" customHeight="1">
      <c r="C114" s="886" t="s">
        <v>1644</v>
      </c>
      <c r="D114" s="1545">
        <v>15</v>
      </c>
      <c r="E114" s="1545"/>
      <c r="F114" s="1545"/>
      <c r="G114" s="1000">
        <v>0.125</v>
      </c>
      <c r="H114" s="1000">
        <v>0.17499999999999999</v>
      </c>
      <c r="I114" s="1000">
        <v>0.14000000000000001</v>
      </c>
      <c r="J114" s="1000">
        <v>0.112</v>
      </c>
      <c r="K114" s="1000">
        <v>8.9599999999999999E-2</v>
      </c>
      <c r="L114" s="1000">
        <v>7.17E-2</v>
      </c>
      <c r="M114" s="1000">
        <v>6.5500000000000003E-2</v>
      </c>
      <c r="N114" s="1000">
        <v>6.5500000000000003E-2</v>
      </c>
      <c r="O114" s="1000">
        <v>6.5500000000000003E-2</v>
      </c>
      <c r="P114" s="1000">
        <v>6.5500000000000003E-2</v>
      </c>
      <c r="Q114" s="1000">
        <v>2.46E-2</v>
      </c>
      <c r="R114" s="1001">
        <v>0</v>
      </c>
      <c r="S114" s="1001">
        <v>0</v>
      </c>
      <c r="T114" s="1001">
        <v>0</v>
      </c>
      <c r="U114" s="1001">
        <v>0</v>
      </c>
      <c r="V114" s="1001">
        <v>0</v>
      </c>
      <c r="W114" s="1001">
        <v>0</v>
      </c>
      <c r="X114" s="1001">
        <v>0</v>
      </c>
      <c r="Y114" s="1001">
        <v>0</v>
      </c>
      <c r="Z114" s="1001">
        <v>0</v>
      </c>
      <c r="AA114" s="1001">
        <v>0</v>
      </c>
    </row>
    <row r="115" spans="3:28" s="255" customFormat="1" ht="12" customHeight="1">
      <c r="C115" s="886" t="s">
        <v>1645</v>
      </c>
      <c r="D115" s="1545">
        <v>16</v>
      </c>
      <c r="E115" s="1545"/>
      <c r="F115" s="1545"/>
      <c r="G115" s="1000">
        <v>7.4999999999999997E-2</v>
      </c>
      <c r="H115" s="1000">
        <v>0.185</v>
      </c>
      <c r="I115" s="1000">
        <v>0.14799999999999999</v>
      </c>
      <c r="J115" s="1000">
        <v>0.11840000000000001</v>
      </c>
      <c r="K115" s="1000">
        <v>9.4700000000000006E-2</v>
      </c>
      <c r="L115" s="1000">
        <v>7.5800000000000006E-2</v>
      </c>
      <c r="M115" s="1000">
        <v>6.5500000000000003E-2</v>
      </c>
      <c r="N115" s="1000">
        <v>6.5500000000000003E-2</v>
      </c>
      <c r="O115" s="1000">
        <v>6.5500000000000003E-2</v>
      </c>
      <c r="P115" s="1000">
        <v>6.5500000000000003E-2</v>
      </c>
      <c r="Q115" s="1000">
        <v>4.1000000000000002E-2</v>
      </c>
      <c r="R115" s="1001">
        <v>0</v>
      </c>
      <c r="S115" s="1001">
        <v>0</v>
      </c>
      <c r="T115" s="1001">
        <v>0</v>
      </c>
      <c r="U115" s="1001">
        <v>0</v>
      </c>
      <c r="V115" s="1001">
        <v>0</v>
      </c>
      <c r="W115" s="1001">
        <v>0</v>
      </c>
      <c r="X115" s="1001">
        <v>0</v>
      </c>
      <c r="Y115" s="1001">
        <v>0</v>
      </c>
      <c r="Z115" s="1001">
        <v>0</v>
      </c>
      <c r="AA115" s="1001">
        <v>0</v>
      </c>
    </row>
    <row r="116" spans="3:28" s="255" customFormat="1" ht="12" customHeight="1">
      <c r="C116" s="886" t="s">
        <v>1646</v>
      </c>
      <c r="D116" s="1545">
        <v>17</v>
      </c>
      <c r="E116" s="1545"/>
      <c r="F116" s="1545"/>
      <c r="G116" s="1000">
        <v>0.05</v>
      </c>
      <c r="H116" s="1000">
        <v>9.5000000000000001E-2</v>
      </c>
      <c r="I116" s="1000">
        <v>8.5500000000000007E-2</v>
      </c>
      <c r="J116" s="1000">
        <v>7.6999999999999999E-2</v>
      </c>
      <c r="K116" s="1000">
        <v>6.93E-2</v>
      </c>
      <c r="L116" s="1000">
        <v>6.2300000000000001E-2</v>
      </c>
      <c r="M116" s="1000">
        <v>5.8999999999999997E-2</v>
      </c>
      <c r="N116" s="1000">
        <v>5.8999999999999997E-2</v>
      </c>
      <c r="O116" s="1000">
        <v>5.91E-2</v>
      </c>
      <c r="P116" s="1000">
        <v>5.8999999999999997E-2</v>
      </c>
      <c r="Q116" s="1000">
        <v>5.91E-2</v>
      </c>
      <c r="R116" s="1000">
        <v>5.8999999999999997E-2</v>
      </c>
      <c r="S116" s="1000">
        <v>5.91E-2</v>
      </c>
      <c r="T116" s="1000">
        <v>5.8999999999999997E-2</v>
      </c>
      <c r="U116" s="1000">
        <v>5.91E-2</v>
      </c>
      <c r="V116" s="1000">
        <v>2.9499999999999998E-2</v>
      </c>
      <c r="W116" s="1001">
        <v>0</v>
      </c>
      <c r="X116" s="1001">
        <v>0</v>
      </c>
      <c r="Y116" s="1001">
        <v>0</v>
      </c>
      <c r="Z116" s="1001">
        <v>0</v>
      </c>
      <c r="AA116" s="1001">
        <v>0</v>
      </c>
    </row>
    <row r="117" spans="3:28" s="255" customFormat="1" ht="12" customHeight="1">
      <c r="C117" s="886" t="s">
        <v>1647</v>
      </c>
      <c r="D117" s="1545">
        <v>18</v>
      </c>
      <c r="E117" s="1545"/>
      <c r="F117" s="1545"/>
      <c r="G117" s="1000">
        <v>8.7499999999999994E-2</v>
      </c>
      <c r="H117" s="1000">
        <v>9.1300000000000006E-2</v>
      </c>
      <c r="I117" s="1000">
        <v>8.2100000000000006E-2</v>
      </c>
      <c r="J117" s="1000">
        <v>7.3899999999999993E-2</v>
      </c>
      <c r="K117" s="1000">
        <v>6.6500000000000004E-2</v>
      </c>
      <c r="L117" s="1000">
        <v>5.9900000000000002E-2</v>
      </c>
      <c r="M117" s="1000">
        <v>5.8999999999999997E-2</v>
      </c>
      <c r="N117" s="1000">
        <v>5.91E-2</v>
      </c>
      <c r="O117" s="1000">
        <v>5.8999999999999997E-2</v>
      </c>
      <c r="P117" s="1000">
        <v>5.91E-2</v>
      </c>
      <c r="Q117" s="1000">
        <v>5.8999999999999997E-2</v>
      </c>
      <c r="R117" s="1000">
        <v>5.91E-2</v>
      </c>
      <c r="S117" s="1000">
        <v>5.8999999999999997E-2</v>
      </c>
      <c r="T117" s="1000">
        <v>5.91E-2</v>
      </c>
      <c r="U117" s="1000">
        <v>5.8999999999999997E-2</v>
      </c>
      <c r="V117" s="1000">
        <v>7.4000000000000003E-3</v>
      </c>
      <c r="W117" s="1001">
        <v>0</v>
      </c>
      <c r="X117" s="1001">
        <v>0</v>
      </c>
      <c r="Y117" s="1001">
        <v>0</v>
      </c>
      <c r="Z117" s="1001">
        <v>0</v>
      </c>
      <c r="AA117" s="1001">
        <v>0</v>
      </c>
    </row>
    <row r="118" spans="3:28" s="255" customFormat="1" ht="12" customHeight="1">
      <c r="C118" s="886" t="s">
        <v>1648</v>
      </c>
      <c r="D118" s="1545">
        <v>19</v>
      </c>
      <c r="E118" s="1545"/>
      <c r="F118" s="1545"/>
      <c r="G118" s="1000">
        <v>6.25E-2</v>
      </c>
      <c r="H118" s="1000">
        <v>9.3799999999999994E-2</v>
      </c>
      <c r="I118" s="1000">
        <v>8.4400000000000003E-2</v>
      </c>
      <c r="J118" s="1000">
        <v>7.5899999999999995E-2</v>
      </c>
      <c r="K118" s="1000">
        <v>6.83E-2</v>
      </c>
      <c r="L118" s="1000">
        <v>6.1499999999999999E-2</v>
      </c>
      <c r="M118" s="1000">
        <v>5.91E-2</v>
      </c>
      <c r="N118" s="1000">
        <v>5.8999999999999997E-2</v>
      </c>
      <c r="O118" s="1000">
        <v>5.91E-2</v>
      </c>
      <c r="P118" s="1000">
        <v>5.8999999999999997E-2</v>
      </c>
      <c r="Q118" s="1000">
        <v>5.91E-2</v>
      </c>
      <c r="R118" s="1000">
        <v>5.8999999999999997E-2</v>
      </c>
      <c r="S118" s="1000">
        <v>5.91E-2</v>
      </c>
      <c r="T118" s="1000">
        <v>5.8999999999999997E-2</v>
      </c>
      <c r="U118" s="1000">
        <v>5.91E-2</v>
      </c>
      <c r="V118" s="1000">
        <v>2.2100000000000002E-2</v>
      </c>
      <c r="W118" s="1001">
        <v>0</v>
      </c>
      <c r="X118" s="1001">
        <v>0</v>
      </c>
      <c r="Y118" s="1001">
        <v>0</v>
      </c>
      <c r="Z118" s="1001">
        <v>0</v>
      </c>
      <c r="AA118" s="1001">
        <v>0</v>
      </c>
    </row>
    <row r="119" spans="3:28" s="255" customFormat="1" ht="12" customHeight="1">
      <c r="C119" s="886" t="s">
        <v>1649</v>
      </c>
      <c r="D119" s="1545">
        <v>20</v>
      </c>
      <c r="E119" s="1545"/>
      <c r="F119" s="1545"/>
      <c r="G119" s="1000">
        <v>3.7499999999999999E-2</v>
      </c>
      <c r="H119" s="1000">
        <v>9.6299999999999997E-2</v>
      </c>
      <c r="I119" s="1000">
        <v>8.6599999999999996E-2</v>
      </c>
      <c r="J119" s="1000">
        <v>7.8E-2</v>
      </c>
      <c r="K119" s="1000">
        <v>7.0199999999999999E-2</v>
      </c>
      <c r="L119" s="1000">
        <v>6.3100000000000003E-2</v>
      </c>
      <c r="M119" s="1000">
        <v>5.8999999999999997E-2</v>
      </c>
      <c r="N119" s="1000">
        <v>5.8999999999999997E-2</v>
      </c>
      <c r="O119" s="1000">
        <v>5.91E-2</v>
      </c>
      <c r="P119" s="1000">
        <v>5.8999999999999997E-2</v>
      </c>
      <c r="Q119" s="1000">
        <v>5.91E-2</v>
      </c>
      <c r="R119" s="1000">
        <v>5.8999999999999997E-2</v>
      </c>
      <c r="S119" s="1000">
        <v>5.91E-2</v>
      </c>
      <c r="T119" s="1000">
        <v>5.8999999999999997E-2</v>
      </c>
      <c r="U119" s="1000">
        <v>5.91E-2</v>
      </c>
      <c r="V119" s="1000">
        <v>3.6900000000000002E-2</v>
      </c>
      <c r="W119" s="1001">
        <v>0</v>
      </c>
      <c r="X119" s="1001">
        <v>0</v>
      </c>
      <c r="Y119" s="1001">
        <v>0</v>
      </c>
      <c r="Z119" s="1001">
        <v>0</v>
      </c>
      <c r="AA119" s="1001">
        <v>0</v>
      </c>
    </row>
    <row r="120" spans="3:28" s="255" customFormat="1" ht="12" customHeight="1">
      <c r="C120" s="886" t="s">
        <v>1650</v>
      </c>
      <c r="D120" s="1545">
        <v>21</v>
      </c>
      <c r="E120" s="1545"/>
      <c r="F120" s="1545"/>
      <c r="G120" s="1000">
        <v>3.7499999999999999E-2</v>
      </c>
      <c r="H120" s="1000">
        <v>7.2190000000000004E-2</v>
      </c>
      <c r="I120" s="1000">
        <v>6.6769999999999996E-2</v>
      </c>
      <c r="J120" s="1000">
        <v>6.1769999999999999E-2</v>
      </c>
      <c r="K120" s="1000">
        <v>5.713E-2</v>
      </c>
      <c r="L120" s="1000">
        <v>5.2850000000000001E-2</v>
      </c>
      <c r="M120" s="1000">
        <v>4.888E-2</v>
      </c>
      <c r="N120" s="1000">
        <v>4.5220000000000003E-2</v>
      </c>
      <c r="O120" s="1000">
        <v>4.462E-2</v>
      </c>
      <c r="P120" s="1000">
        <v>4.4609999999999997E-2</v>
      </c>
      <c r="Q120" s="1000">
        <v>4.462E-2</v>
      </c>
      <c r="R120" s="1000">
        <v>4.4609999999999997E-2</v>
      </c>
      <c r="S120" s="1000">
        <v>4.462E-2</v>
      </c>
      <c r="T120" s="1000">
        <v>4.4609999999999997E-2</v>
      </c>
      <c r="U120" s="1000">
        <v>4.462E-2</v>
      </c>
      <c r="V120" s="1000">
        <v>4.4609999999999997E-2</v>
      </c>
      <c r="W120" s="1000">
        <v>4.462E-2</v>
      </c>
      <c r="X120" s="1000">
        <v>4.4609999999999997E-2</v>
      </c>
      <c r="Y120" s="1000">
        <v>4.462E-2</v>
      </c>
      <c r="Z120" s="1000">
        <v>4.4609999999999997E-2</v>
      </c>
      <c r="AA120" s="1000">
        <v>2.231E-2</v>
      </c>
    </row>
    <row r="121" spans="3:28" s="255" customFormat="1" ht="12" customHeight="1">
      <c r="C121" s="886" t="s">
        <v>1651</v>
      </c>
      <c r="D121" s="1545">
        <v>22</v>
      </c>
      <c r="E121" s="1545"/>
      <c r="F121" s="1545"/>
      <c r="G121" s="1000">
        <v>6.5629999999999994E-2</v>
      </c>
      <c r="H121" s="1000">
        <v>7.0000000000000007E-2</v>
      </c>
      <c r="I121" s="1000">
        <v>6.4820000000000003E-2</v>
      </c>
      <c r="J121" s="1000">
        <v>5.9959999999999999E-2</v>
      </c>
      <c r="K121" s="1000">
        <v>5.5460000000000002E-2</v>
      </c>
      <c r="L121" s="1000">
        <v>5.1299999999999998E-2</v>
      </c>
      <c r="M121" s="1000">
        <v>4.7460000000000002E-2</v>
      </c>
      <c r="N121" s="1000">
        <v>4.4589999999999998E-2</v>
      </c>
      <c r="O121" s="1000">
        <v>4.4589999999999998E-2</v>
      </c>
      <c r="P121" s="1000">
        <v>4.4589999999999998E-2</v>
      </c>
      <c r="Q121" s="1000">
        <v>4.4589999999999998E-2</v>
      </c>
      <c r="R121" s="1000">
        <v>4.4600000000000001E-2</v>
      </c>
      <c r="S121" s="1000">
        <v>4.4589999999999998E-2</v>
      </c>
      <c r="T121" s="1000">
        <v>4.4600000000000001E-2</v>
      </c>
      <c r="U121" s="1000">
        <v>4.4589999999999998E-2</v>
      </c>
      <c r="V121" s="1000">
        <v>4.4600000000000001E-2</v>
      </c>
      <c r="W121" s="1000">
        <v>4.4589999999999998E-2</v>
      </c>
      <c r="X121" s="1000">
        <v>4.4600000000000001E-2</v>
      </c>
      <c r="Y121" s="1000">
        <v>4.4589999999999998E-2</v>
      </c>
      <c r="Z121" s="1000">
        <v>4.4600000000000001E-2</v>
      </c>
      <c r="AA121" s="1000">
        <v>5.5700000000000003E-3</v>
      </c>
    </row>
    <row r="122" spans="3:28" s="255" customFormat="1" ht="12" customHeight="1">
      <c r="C122" s="886" t="s">
        <v>1652</v>
      </c>
      <c r="D122" s="1545">
        <v>23</v>
      </c>
      <c r="E122" s="1545"/>
      <c r="F122" s="1545"/>
      <c r="G122" s="1000">
        <v>4.6879999999999998E-2</v>
      </c>
      <c r="H122" s="1000">
        <v>7.1480000000000002E-2</v>
      </c>
      <c r="I122" s="1000">
        <v>6.6119999999999998E-2</v>
      </c>
      <c r="J122" s="1000">
        <v>6.1159999999999999E-2</v>
      </c>
      <c r="K122" s="1000">
        <v>5.6579999999999998E-2</v>
      </c>
      <c r="L122" s="1000">
        <v>5.2330000000000002E-2</v>
      </c>
      <c r="M122" s="1000">
        <v>4.8410000000000002E-2</v>
      </c>
      <c r="N122" s="1000">
        <v>4.478E-2</v>
      </c>
      <c r="O122" s="1000">
        <v>4.4630000000000003E-2</v>
      </c>
      <c r="P122" s="1000">
        <v>4.462E-2</v>
      </c>
      <c r="Q122" s="1000">
        <v>4.4630000000000003E-2</v>
      </c>
      <c r="R122" s="1000">
        <v>4.462E-2</v>
      </c>
      <c r="S122" s="1000">
        <v>4.4630000000000003E-2</v>
      </c>
      <c r="T122" s="1000">
        <v>4.462E-2</v>
      </c>
      <c r="U122" s="1000">
        <v>4.4630000000000003E-2</v>
      </c>
      <c r="V122" s="1000">
        <v>4.462E-2</v>
      </c>
      <c r="W122" s="1000">
        <v>4.4630000000000003E-2</v>
      </c>
      <c r="X122" s="1000">
        <v>4.462E-2</v>
      </c>
      <c r="Y122" s="1000">
        <v>4.4630000000000003E-2</v>
      </c>
      <c r="Z122" s="1000">
        <v>4.462E-2</v>
      </c>
      <c r="AA122" s="1000">
        <v>1.6729999999999998E-2</v>
      </c>
    </row>
    <row r="123" spans="3:28" s="255" customFormat="1" ht="12" customHeight="1">
      <c r="C123" s="886" t="s">
        <v>1653</v>
      </c>
      <c r="D123" s="1545">
        <v>24</v>
      </c>
      <c r="E123" s="1545"/>
      <c r="F123" s="1545"/>
      <c r="G123" s="1000">
        <v>2.8129999999999999E-2</v>
      </c>
      <c r="H123" s="1000">
        <v>7.2889999999999996E-2</v>
      </c>
      <c r="I123" s="1000">
        <v>6.7419999999999994E-2</v>
      </c>
      <c r="J123" s="1000">
        <v>6.2370000000000002E-2</v>
      </c>
      <c r="K123" s="1000">
        <v>5.7689999999999998E-2</v>
      </c>
      <c r="L123" s="1000">
        <v>5.3359999999999998E-2</v>
      </c>
      <c r="M123" s="1000">
        <v>4.9360000000000001E-2</v>
      </c>
      <c r="N123" s="1000">
        <v>4.5659999999999999E-2</v>
      </c>
      <c r="O123" s="1000">
        <v>4.4600000000000001E-2</v>
      </c>
      <c r="P123" s="1000">
        <v>4.4600000000000001E-2</v>
      </c>
      <c r="Q123" s="1000">
        <v>4.4600000000000001E-2</v>
      </c>
      <c r="R123" s="1000">
        <v>4.4600000000000001E-2</v>
      </c>
      <c r="S123" s="1000">
        <v>4.4609999999999997E-2</v>
      </c>
      <c r="T123" s="1000">
        <v>4.4600000000000001E-2</v>
      </c>
      <c r="U123" s="1000">
        <v>4.4609999999999997E-2</v>
      </c>
      <c r="V123" s="1000">
        <v>4.4600000000000001E-2</v>
      </c>
      <c r="W123" s="1000">
        <v>4.4609999999999997E-2</v>
      </c>
      <c r="X123" s="1000">
        <v>4.4600000000000001E-2</v>
      </c>
      <c r="Y123" s="1000">
        <v>4.4609999999999997E-2</v>
      </c>
      <c r="Z123" s="1000">
        <v>4.4600000000000001E-2</v>
      </c>
      <c r="AA123" s="1000">
        <v>2.7879999999999999E-2</v>
      </c>
    </row>
    <row r="124" spans="3:28" s="255" customFormat="1" ht="12" customHeight="1">
      <c r="C124" s="1544"/>
      <c r="D124" s="1544"/>
      <c r="E124" s="1544"/>
      <c r="F124" s="2060"/>
      <c r="G124" s="2060"/>
      <c r="H124" s="2060"/>
      <c r="I124" s="2060"/>
      <c r="J124" s="2060"/>
      <c r="K124" s="2060"/>
      <c r="L124" s="2060"/>
      <c r="M124" s="2060"/>
      <c r="N124" s="2060"/>
      <c r="O124" s="2060"/>
      <c r="P124" s="2060"/>
      <c r="Q124" s="2060"/>
      <c r="R124" s="2060"/>
      <c r="S124" s="2060"/>
      <c r="T124" s="2060"/>
      <c r="U124" s="2060"/>
      <c r="V124" s="2060"/>
      <c r="W124" s="2060"/>
      <c r="X124" s="2060"/>
      <c r="Y124" s="2060"/>
      <c r="Z124" s="2060"/>
      <c r="AA124" s="2060"/>
      <c r="AB124" s="2060"/>
    </row>
    <row r="127" spans="3:28" ht="12" customHeight="1">
      <c r="C127" s="1525" t="s">
        <v>62</v>
      </c>
      <c r="D127" s="1525"/>
      <c r="E127" s="1525"/>
      <c r="F127" s="1525"/>
      <c r="G127" s="1525"/>
      <c r="H127" s="1525"/>
      <c r="I127" s="1525"/>
      <c r="J127" s="1525"/>
      <c r="K127" s="1525"/>
      <c r="L127" s="1525"/>
      <c r="M127" s="1525"/>
      <c r="N127" s="1525"/>
      <c r="O127" s="1525"/>
      <c r="P127" s="1525"/>
      <c r="Q127" s="1525"/>
      <c r="R127" s="1525"/>
      <c r="S127" s="1525"/>
      <c r="T127" s="1525"/>
      <c r="U127" s="1525"/>
      <c r="V127" s="1525"/>
      <c r="W127" s="1525"/>
      <c r="X127" s="1525"/>
      <c r="Y127" s="1525"/>
      <c r="Z127" s="1525"/>
      <c r="AA127" s="1525"/>
      <c r="AB127" s="1525"/>
    </row>
    <row r="128" spans="3:28" ht="12" customHeight="1">
      <c r="C128" s="1525" t="s">
        <v>1654</v>
      </c>
      <c r="D128" s="1525"/>
      <c r="E128" s="1525"/>
      <c r="F128" s="1525"/>
      <c r="G128" s="1525"/>
      <c r="H128" s="1525"/>
      <c r="I128" s="1525"/>
      <c r="J128" s="1525"/>
      <c r="K128" s="1525"/>
      <c r="L128" s="1525"/>
      <c r="M128" s="1525"/>
      <c r="N128" s="1525"/>
      <c r="O128" s="1525"/>
      <c r="P128" s="1525"/>
      <c r="Q128" s="1525"/>
      <c r="R128" s="1525"/>
      <c r="S128" s="1525"/>
      <c r="T128" s="1525"/>
      <c r="U128" s="1525"/>
      <c r="V128" s="1525"/>
      <c r="W128" s="1525"/>
      <c r="X128" s="1525"/>
      <c r="Y128" s="1525"/>
      <c r="Z128" s="1525"/>
      <c r="AA128" s="1525"/>
      <c r="AB128" s="1525"/>
    </row>
    <row r="129" spans="3:27" ht="12" customHeight="1">
      <c r="C129" s="1525" t="s">
        <v>1655</v>
      </c>
      <c r="D129" s="1525"/>
      <c r="E129" s="1525"/>
      <c r="F129" s="1525"/>
      <c r="G129" s="1525"/>
      <c r="H129" s="1525"/>
      <c r="I129" s="1525"/>
      <c r="J129" s="1525"/>
      <c r="K129" s="1525"/>
      <c r="L129" s="1525"/>
      <c r="M129" s="1525"/>
      <c r="N129" s="1525"/>
      <c r="O129" s="1525"/>
      <c r="P129" s="1525"/>
      <c r="Q129" s="1525"/>
      <c r="R129" s="1525"/>
      <c r="S129" s="1525"/>
      <c r="T129" s="1525"/>
      <c r="U129" s="1525"/>
      <c r="V129" s="1525"/>
      <c r="W129" s="1525"/>
      <c r="X129" s="1525"/>
      <c r="Y129" s="1525"/>
      <c r="Z129" s="1525"/>
      <c r="AA129" s="1525"/>
    </row>
    <row r="130" spans="3:27" ht="12" customHeight="1">
      <c r="C130" s="1525" t="s">
        <v>1656</v>
      </c>
      <c r="D130" s="1525"/>
      <c r="E130" s="1525"/>
      <c r="F130" s="1525"/>
      <c r="G130" s="1525"/>
      <c r="H130" s="1525"/>
      <c r="I130" s="1525"/>
      <c r="J130" s="1525"/>
      <c r="K130" s="1525"/>
      <c r="L130" s="1525"/>
      <c r="M130" s="1525"/>
      <c r="N130" s="1525"/>
      <c r="O130" s="1525"/>
      <c r="P130" s="1525"/>
      <c r="Q130" s="1525"/>
      <c r="R130" s="1525"/>
      <c r="S130" s="1525"/>
      <c r="T130" s="1525"/>
      <c r="U130" s="1525"/>
      <c r="V130" s="1525"/>
      <c r="W130" s="1525"/>
      <c r="X130" s="1525"/>
      <c r="Y130" s="1525"/>
      <c r="Z130" s="1525"/>
      <c r="AA130" s="1525"/>
    </row>
    <row r="131" spans="3:27" ht="12" customHeight="1">
      <c r="C131" s="1525" t="s">
        <v>1657</v>
      </c>
      <c r="D131" s="1525"/>
      <c r="E131" s="1525"/>
      <c r="F131" s="1525"/>
      <c r="G131" s="1525"/>
      <c r="H131" s="1525"/>
      <c r="I131" s="1525"/>
      <c r="J131" s="1525"/>
      <c r="K131" s="1525"/>
      <c r="L131" s="1525"/>
      <c r="M131" s="1525"/>
      <c r="N131" s="1525"/>
      <c r="O131" s="1525"/>
      <c r="P131" s="1525"/>
      <c r="Q131" s="1525"/>
      <c r="R131" s="1525"/>
      <c r="S131" s="1525"/>
      <c r="T131" s="1525"/>
      <c r="U131" s="1525"/>
      <c r="V131" s="1525"/>
      <c r="W131" s="1525"/>
      <c r="X131" s="1525"/>
      <c r="Y131" s="1525"/>
      <c r="Z131" s="1525"/>
      <c r="AA131" s="1525"/>
    </row>
    <row r="133" spans="3:27" ht="12" customHeight="1">
      <c r="C133" s="1525" t="str">
        <f>'Depreciation and Tax Benefit'!$E$25&amp;"-Year "&amp;'Depreciation and Tax Benefit'!$F$25</f>
        <v>10-Year Straight-line</v>
      </c>
      <c r="D133" s="1525" t="s">
        <v>1658</v>
      </c>
      <c r="E133" s="1525"/>
      <c r="F133" s="1525" t="s">
        <v>1659</v>
      </c>
      <c r="G133" s="1002" t="str">
        <f>IFERROR(INDEX(G$100:G$123,MATCH($C133,$C$100:$C$123,0)),"n/a")</f>
        <v>n/a</v>
      </c>
      <c r="H133" s="1002" t="str">
        <f t="shared" ref="H133:AA133" si="37">IFERROR(INDEX(H$100:H$123,MATCH($C133,$C$100:$C$123,0)),"n/a")</f>
        <v>n/a</v>
      </c>
      <c r="I133" s="1002" t="str">
        <f t="shared" si="37"/>
        <v>n/a</v>
      </c>
      <c r="J133" s="1002" t="str">
        <f t="shared" si="37"/>
        <v>n/a</v>
      </c>
      <c r="K133" s="1002" t="str">
        <f t="shared" si="37"/>
        <v>n/a</v>
      </c>
      <c r="L133" s="1002" t="str">
        <f t="shared" si="37"/>
        <v>n/a</v>
      </c>
      <c r="M133" s="1002" t="str">
        <f t="shared" si="37"/>
        <v>n/a</v>
      </c>
      <c r="N133" s="1002" t="str">
        <f t="shared" si="37"/>
        <v>n/a</v>
      </c>
      <c r="O133" s="1002" t="str">
        <f t="shared" si="37"/>
        <v>n/a</v>
      </c>
      <c r="P133" s="1002" t="str">
        <f t="shared" si="37"/>
        <v>n/a</v>
      </c>
      <c r="Q133" s="1002" t="str">
        <f t="shared" si="37"/>
        <v>n/a</v>
      </c>
      <c r="R133" s="1002" t="str">
        <f t="shared" si="37"/>
        <v>n/a</v>
      </c>
      <c r="S133" s="1002" t="str">
        <f t="shared" si="37"/>
        <v>n/a</v>
      </c>
      <c r="T133" s="1002" t="str">
        <f t="shared" si="37"/>
        <v>n/a</v>
      </c>
      <c r="U133" s="1002" t="str">
        <f t="shared" si="37"/>
        <v>n/a</v>
      </c>
      <c r="V133" s="1002" t="str">
        <f t="shared" si="37"/>
        <v>n/a</v>
      </c>
      <c r="W133" s="1002" t="str">
        <f t="shared" si="37"/>
        <v>n/a</v>
      </c>
      <c r="X133" s="1002" t="str">
        <f t="shared" si="37"/>
        <v>n/a</v>
      </c>
      <c r="Y133" s="1002" t="str">
        <f t="shared" si="37"/>
        <v>n/a</v>
      </c>
      <c r="Z133" s="1002" t="str">
        <f t="shared" si="37"/>
        <v>n/a</v>
      </c>
      <c r="AA133" s="1002" t="str">
        <f t="shared" si="37"/>
        <v>n/a</v>
      </c>
    </row>
    <row r="134" spans="3:27" ht="12" customHeight="1">
      <c r="C134" s="1525"/>
      <c r="D134" s="1525"/>
      <c r="E134" s="1525"/>
      <c r="F134" s="1525" t="s">
        <v>1660</v>
      </c>
      <c r="G134" s="1525">
        <v>1</v>
      </c>
      <c r="H134" s="1525">
        <f>G134+1</f>
        <v>2</v>
      </c>
      <c r="I134" s="1525">
        <f t="shared" ref="I134:AA134" si="38">H134+1</f>
        <v>3</v>
      </c>
      <c r="J134" s="1525">
        <f t="shared" si="38"/>
        <v>4</v>
      </c>
      <c r="K134" s="1525">
        <f t="shared" si="38"/>
        <v>5</v>
      </c>
      <c r="L134" s="1525">
        <f t="shared" si="38"/>
        <v>6</v>
      </c>
      <c r="M134" s="1525">
        <f t="shared" si="38"/>
        <v>7</v>
      </c>
      <c r="N134" s="1525">
        <f t="shared" si="38"/>
        <v>8</v>
      </c>
      <c r="O134" s="1525">
        <f t="shared" si="38"/>
        <v>9</v>
      </c>
      <c r="P134" s="1525">
        <f t="shared" si="38"/>
        <v>10</v>
      </c>
      <c r="Q134" s="1525">
        <f t="shared" si="38"/>
        <v>11</v>
      </c>
      <c r="R134" s="1525">
        <f t="shared" si="38"/>
        <v>12</v>
      </c>
      <c r="S134" s="1525">
        <f t="shared" si="38"/>
        <v>13</v>
      </c>
      <c r="T134" s="1525">
        <f t="shared" si="38"/>
        <v>14</v>
      </c>
      <c r="U134" s="1525">
        <f t="shared" si="38"/>
        <v>15</v>
      </c>
      <c r="V134" s="1525">
        <f t="shared" si="38"/>
        <v>16</v>
      </c>
      <c r="W134" s="1525">
        <f t="shared" si="38"/>
        <v>17</v>
      </c>
      <c r="X134" s="1525">
        <f t="shared" si="38"/>
        <v>18</v>
      </c>
      <c r="Y134" s="1525">
        <f t="shared" si="38"/>
        <v>19</v>
      </c>
      <c r="Z134" s="1525">
        <f t="shared" si="38"/>
        <v>20</v>
      </c>
      <c r="AA134" s="1525">
        <f t="shared" si="38"/>
        <v>21</v>
      </c>
    </row>
    <row r="135" spans="3:27" ht="12" customHeight="1">
      <c r="C135" s="1525" t="str">
        <f>'Depreciation and Tax Benefit'!$E$27&amp;"-Year "&amp;'Depreciation and Tax Benefit'!$F$27</f>
        <v>10-Year Straight-line</v>
      </c>
      <c r="D135" s="1525" t="s">
        <v>1661</v>
      </c>
      <c r="E135" s="1525"/>
      <c r="F135" s="1525" t="s">
        <v>1659</v>
      </c>
      <c r="G135" s="1002" t="str">
        <f>IFERROR(INDEX(G$100:G$123,MATCH($C135,$C$100:$C$123,0)),"n/a")</f>
        <v>n/a</v>
      </c>
      <c r="H135" s="1002" t="str">
        <f t="shared" ref="H135:AA135" si="39">IFERROR(INDEX(H$100:H$123,MATCH($C135,$C$100:$C$123,0)),"n/a")</f>
        <v>n/a</v>
      </c>
      <c r="I135" s="1002" t="str">
        <f t="shared" si="39"/>
        <v>n/a</v>
      </c>
      <c r="J135" s="1002" t="str">
        <f t="shared" si="39"/>
        <v>n/a</v>
      </c>
      <c r="K135" s="1002" t="str">
        <f t="shared" si="39"/>
        <v>n/a</v>
      </c>
      <c r="L135" s="1002" t="str">
        <f t="shared" si="39"/>
        <v>n/a</v>
      </c>
      <c r="M135" s="1002" t="str">
        <f t="shared" si="39"/>
        <v>n/a</v>
      </c>
      <c r="N135" s="1002" t="str">
        <f t="shared" si="39"/>
        <v>n/a</v>
      </c>
      <c r="O135" s="1002" t="str">
        <f t="shared" si="39"/>
        <v>n/a</v>
      </c>
      <c r="P135" s="1002" t="str">
        <f t="shared" si="39"/>
        <v>n/a</v>
      </c>
      <c r="Q135" s="1002" t="str">
        <f t="shared" si="39"/>
        <v>n/a</v>
      </c>
      <c r="R135" s="1002" t="str">
        <f t="shared" si="39"/>
        <v>n/a</v>
      </c>
      <c r="S135" s="1002" t="str">
        <f t="shared" si="39"/>
        <v>n/a</v>
      </c>
      <c r="T135" s="1002" t="str">
        <f t="shared" si="39"/>
        <v>n/a</v>
      </c>
      <c r="U135" s="1002" t="str">
        <f t="shared" si="39"/>
        <v>n/a</v>
      </c>
      <c r="V135" s="1002" t="str">
        <f t="shared" si="39"/>
        <v>n/a</v>
      </c>
      <c r="W135" s="1002" t="str">
        <f t="shared" si="39"/>
        <v>n/a</v>
      </c>
      <c r="X135" s="1002" t="str">
        <f t="shared" si="39"/>
        <v>n/a</v>
      </c>
      <c r="Y135" s="1002" t="str">
        <f t="shared" si="39"/>
        <v>n/a</v>
      </c>
      <c r="Z135" s="1002" t="str">
        <f t="shared" si="39"/>
        <v>n/a</v>
      </c>
      <c r="AA135" s="1002" t="str">
        <f t="shared" si="39"/>
        <v>n/a</v>
      </c>
    </row>
  </sheetData>
  <autoFilter ref="A1:A116"/>
  <conditionalFormatting sqref="B1:B2">
    <cfRule type="cellIs" dxfId="144" priority="1" operator="notEqual">
      <formula>0</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2" manualBreakCount="2">
    <brk id="68" max="16383" man="1"/>
    <brk id="93" max="16383" man="1"/>
  </rowBreaks>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preciationSales">
    <tabColor rgb="FF99FF66"/>
    <pageSetUpPr autoPageBreaks="0"/>
  </sheetPr>
  <dimension ref="A1:AN99"/>
  <sheetViews>
    <sheetView showGridLines="0" zoomScale="85" zoomScaleNormal="85" zoomScaleSheetLayoutView="85" workbookViewId="0"/>
  </sheetViews>
  <sheetFormatPr defaultColWidth="9.33203125" defaultRowHeight="12" customHeight="1" outlineLevelCol="1"/>
  <cols>
    <col min="1" max="1" width="2.83203125" style="335" customWidth="1"/>
    <col min="2" max="2" width="3.83203125" style="335" customWidth="1"/>
    <col min="3" max="3" width="39" style="335" customWidth="1"/>
    <col min="4" max="4" width="12" style="335" customWidth="1"/>
    <col min="5" max="5" width="2" style="335" customWidth="1"/>
    <col min="6" max="11" width="12" style="335" customWidth="1"/>
    <col min="12" max="12" width="4" style="335" customWidth="1"/>
    <col min="13" max="14" width="12" style="335" customWidth="1"/>
    <col min="15" max="15" width="2" style="335" customWidth="1"/>
    <col min="16" max="16" width="61.6640625" style="335" customWidth="1"/>
    <col min="17" max="17" width="8.83203125" style="335" customWidth="1"/>
    <col min="18" max="24" width="11.1640625" style="335" customWidth="1"/>
    <col min="25" max="26" width="11.1640625" style="335" customWidth="1" outlineLevel="1"/>
    <col min="27" max="31" width="11.1640625" style="335" customWidth="1"/>
    <col min="32" max="33" width="11.1640625" style="335" customWidth="1" outlineLevel="1"/>
    <col min="34" max="38" width="11.1640625" style="335" customWidth="1"/>
    <col min="39" max="40" width="11.1640625" style="335" customWidth="1" outlineLevel="1"/>
    <col min="41" max="44" width="11.1640625" style="335" customWidth="1"/>
    <col min="45" max="89" width="12.83203125" style="335" customWidth="1"/>
    <col min="90" max="16384" width="9.33203125" style="335"/>
  </cols>
  <sheetData>
    <row r="1" spans="1:36" ht="18" customHeight="1">
      <c r="A1" s="1557"/>
      <c r="B1" s="649">
        <f>SUMPRODUCT(--ISERROR($C$1:P92))+COUNTIF($C$1:P92,Fail)</f>
        <v>0</v>
      </c>
      <c r="C1" s="1372" t="str">
        <f>START!$C$1</f>
        <v>Client Name</v>
      </c>
      <c r="D1" s="852"/>
      <c r="E1" s="852"/>
      <c r="F1" s="852"/>
      <c r="G1" s="852"/>
      <c r="H1" s="852"/>
      <c r="I1" s="852"/>
      <c r="J1" s="852"/>
      <c r="K1" s="1525"/>
      <c r="L1" s="1525"/>
      <c r="M1" s="852"/>
      <c r="N1" s="852"/>
      <c r="O1" s="1525"/>
      <c r="P1" s="389" t="s">
        <v>854</v>
      </c>
      <c r="Q1" s="1557"/>
      <c r="R1" s="1530"/>
      <c r="S1" s="1530"/>
      <c r="T1" s="1530"/>
      <c r="U1" s="1530"/>
      <c r="V1" s="1525"/>
      <c r="W1" s="1525"/>
      <c r="X1" s="1525"/>
      <c r="Y1" s="1525"/>
      <c r="Z1" s="1525"/>
      <c r="AA1" s="1525"/>
      <c r="AB1" s="1525"/>
      <c r="AC1" s="1525"/>
      <c r="AD1" s="1525"/>
      <c r="AE1" s="1525"/>
      <c r="AF1" s="1525"/>
      <c r="AG1" s="1525"/>
      <c r="AH1" s="1525"/>
      <c r="AI1" s="1525"/>
      <c r="AJ1" s="1525"/>
    </row>
    <row r="2" spans="1:36" ht="18" customHeight="1">
      <c r="A2" s="1557"/>
      <c r="B2" s="649"/>
      <c r="C2" s="1372" t="str">
        <f>START!$C$2</f>
        <v xml:space="preserve">Please enter project description in START worksheet cell G13 </v>
      </c>
      <c r="D2" s="852"/>
      <c r="E2" s="852"/>
      <c r="F2" s="852"/>
      <c r="G2" s="852"/>
      <c r="H2" s="852"/>
      <c r="I2" s="852"/>
      <c r="J2" s="852"/>
      <c r="K2" s="1525"/>
      <c r="L2" s="1525"/>
      <c r="M2" s="852"/>
      <c r="N2" s="852"/>
      <c r="O2" s="1525"/>
      <c r="P2" s="389"/>
      <c r="Q2" s="1557"/>
      <c r="R2" s="1530"/>
      <c r="S2" s="1530"/>
      <c r="T2" s="1530"/>
      <c r="U2" s="1530"/>
      <c r="V2" s="1525"/>
      <c r="W2" s="1525"/>
      <c r="X2" s="1525"/>
      <c r="Y2" s="1525"/>
      <c r="Z2" s="1525"/>
      <c r="AA2" s="1525"/>
      <c r="AB2" s="1525"/>
      <c r="AC2" s="1525"/>
      <c r="AD2" s="1525"/>
      <c r="AE2" s="1525"/>
      <c r="AF2" s="1525"/>
      <c r="AG2" s="1525"/>
      <c r="AH2" s="1525"/>
      <c r="AI2" s="1525"/>
      <c r="AJ2" s="1525"/>
    </row>
    <row r="3" spans="1:36" ht="18" customHeight="1">
      <c r="A3" s="1557"/>
      <c r="B3" s="1557"/>
      <c r="C3" s="839" t="s">
        <v>1662</v>
      </c>
      <c r="D3" s="1526"/>
      <c r="E3" s="1526"/>
      <c r="F3" s="1526"/>
      <c r="G3" s="1526"/>
      <c r="H3" s="1526"/>
      <c r="I3" s="1526"/>
      <c r="J3" s="1526"/>
      <c r="K3" s="1525"/>
      <c r="L3" s="1525"/>
      <c r="M3" s="1526"/>
      <c r="N3" s="1526"/>
      <c r="O3" s="1526"/>
      <c r="P3" s="1525"/>
      <c r="Q3" s="1557"/>
      <c r="R3" s="1530"/>
      <c r="S3" s="1530"/>
      <c r="T3" s="1530"/>
      <c r="U3" s="1530"/>
      <c r="V3" s="1525"/>
      <c r="W3" s="1525"/>
      <c r="X3" s="1525"/>
      <c r="Y3" s="1525"/>
      <c r="Z3" s="1525"/>
      <c r="AA3" s="1525"/>
      <c r="AB3" s="1525"/>
      <c r="AC3" s="1525"/>
      <c r="AD3" s="1525"/>
      <c r="AE3" s="1525"/>
      <c r="AF3" s="1525"/>
      <c r="AG3" s="1525"/>
      <c r="AH3" s="1525"/>
      <c r="AI3" s="1525"/>
      <c r="AJ3" s="1525"/>
    </row>
    <row r="4" spans="1:36" ht="18" customHeight="1">
      <c r="A4" s="1557"/>
      <c r="B4" s="1557"/>
      <c r="C4" s="840" t="str">
        <f>ValDateHeading</f>
        <v>Estimation of value as of 28 February 2017</v>
      </c>
      <c r="D4" s="1526"/>
      <c r="E4" s="1526"/>
      <c r="F4" s="1526"/>
      <c r="G4" s="1526"/>
      <c r="H4" s="1526"/>
      <c r="I4" s="1526"/>
      <c r="J4" s="1526"/>
      <c r="K4" s="1526"/>
      <c r="L4" s="1526"/>
      <c r="M4" s="1526"/>
      <c r="N4" s="1526"/>
      <c r="O4" s="1526"/>
      <c r="P4" s="1525"/>
      <c r="Q4" s="1557"/>
      <c r="R4" s="1530"/>
      <c r="S4" s="1530"/>
      <c r="T4" s="1530"/>
      <c r="U4" s="1530"/>
      <c r="V4" s="1525"/>
      <c r="W4" s="1525"/>
      <c r="X4" s="1525"/>
      <c r="Y4" s="1525"/>
      <c r="Z4" s="1525"/>
      <c r="AA4" s="1525"/>
      <c r="AB4" s="1525"/>
      <c r="AC4" s="1525"/>
      <c r="AD4" s="1525"/>
      <c r="AE4" s="1525"/>
      <c r="AF4" s="1525"/>
      <c r="AG4" s="1525"/>
      <c r="AH4" s="1525"/>
      <c r="AI4" s="1525"/>
      <c r="AJ4" s="1525"/>
    </row>
    <row r="5" spans="1:36" ht="18" customHeight="1">
      <c r="A5" s="1419"/>
      <c r="B5" s="1557"/>
      <c r="C5" s="2060"/>
      <c r="D5" s="1526"/>
      <c r="E5" s="1526"/>
      <c r="F5" s="1526"/>
      <c r="G5" s="1526"/>
      <c r="H5" s="1526"/>
      <c r="I5" s="1526"/>
      <c r="J5" s="1526"/>
      <c r="K5" s="1526"/>
      <c r="L5" s="1526"/>
      <c r="M5" s="1526"/>
      <c r="N5" s="1526"/>
      <c r="O5" s="1526"/>
      <c r="P5" s="1525"/>
      <c r="Q5" s="1557"/>
      <c r="R5" s="1530"/>
      <c r="S5" s="1530"/>
      <c r="T5" s="1530"/>
      <c r="U5" s="1530"/>
      <c r="V5" s="1525"/>
      <c r="W5" s="1525"/>
      <c r="X5" s="1525"/>
      <c r="Y5" s="1525"/>
      <c r="Z5" s="1525"/>
      <c r="AA5" s="1525"/>
      <c r="AB5" s="1525"/>
      <c r="AC5" s="1525"/>
      <c r="AD5" s="1525"/>
      <c r="AE5" s="1525"/>
      <c r="AF5" s="1525"/>
      <c r="AG5" s="1525"/>
      <c r="AH5" s="1525"/>
      <c r="AI5" s="1525"/>
      <c r="AJ5" s="1525"/>
    </row>
    <row r="6" spans="1:36" ht="13.9">
      <c r="A6" s="1413" t="str">
        <f>IF(MasterCheck,"Please check the "&amp;'Error Check'!$G$8,"")</f>
        <v/>
      </c>
      <c r="B6" s="1424"/>
      <c r="C6" s="1511"/>
      <c r="D6" s="1526"/>
      <c r="E6" s="1526"/>
      <c r="F6" s="1526"/>
      <c r="G6" s="1526"/>
      <c r="H6" s="1526"/>
      <c r="I6" s="1526"/>
      <c r="J6" s="1526"/>
      <c r="K6" s="341"/>
      <c r="L6" s="341"/>
      <c r="M6" s="1526"/>
      <c r="N6" s="1526"/>
      <c r="O6" s="1526"/>
      <c r="P6" s="1525"/>
      <c r="Q6" s="1557"/>
      <c r="R6" s="1530"/>
      <c r="S6" s="1530"/>
      <c r="T6" s="1530"/>
      <c r="U6" s="1530"/>
      <c r="V6" s="1525"/>
      <c r="W6" s="1525"/>
      <c r="X6" s="1525"/>
      <c r="Y6" s="1525"/>
      <c r="Z6" s="1525"/>
      <c r="AA6" s="1525"/>
      <c r="AB6" s="1525"/>
      <c r="AC6" s="1525"/>
      <c r="AD6" s="1525"/>
      <c r="AE6" s="1525"/>
      <c r="AF6" s="1525"/>
      <c r="AG6" s="1525"/>
      <c r="AH6" s="1525"/>
      <c r="AI6" s="1525"/>
      <c r="AJ6" s="1525"/>
    </row>
    <row r="7" spans="1:36" ht="12" customHeight="1">
      <c r="A7" s="1557"/>
      <c r="B7" s="1557"/>
      <c r="C7" s="343"/>
      <c r="D7" s="343"/>
      <c r="E7" s="344"/>
      <c r="F7" s="345"/>
      <c r="G7" s="345"/>
      <c r="H7" s="345"/>
      <c r="I7" s="345"/>
      <c r="J7" s="345"/>
      <c r="K7" s="345"/>
      <c r="L7" s="345"/>
      <c r="M7" s="345"/>
      <c r="N7" s="345"/>
      <c r="O7" s="345"/>
      <c r="P7" s="1525"/>
      <c r="Q7" s="1557"/>
      <c r="R7" s="1525"/>
      <c r="S7" s="1525"/>
      <c r="T7" s="1525"/>
      <c r="U7" s="1525"/>
      <c r="V7" s="1525"/>
      <c r="W7" s="1525"/>
      <c r="X7" s="1525"/>
      <c r="Y7" s="1525"/>
      <c r="Z7" s="1525"/>
      <c r="AA7" s="1525"/>
      <c r="AB7" s="1525"/>
      <c r="AC7" s="1525"/>
      <c r="AD7" s="1525"/>
      <c r="AE7" s="1525"/>
      <c r="AF7" s="1525"/>
      <c r="AG7" s="1525"/>
      <c r="AH7" s="1525"/>
      <c r="AI7" s="1525"/>
      <c r="AJ7" s="1525"/>
    </row>
    <row r="8" spans="1:36" ht="12" customHeight="1">
      <c r="A8" s="1557"/>
      <c r="B8" s="1557"/>
      <c r="C8" s="1268"/>
      <c r="D8" s="1268"/>
      <c r="E8" s="1268"/>
      <c r="F8" s="1168"/>
      <c r="G8" s="1168"/>
      <c r="H8" s="1168"/>
      <c r="I8" s="1168"/>
      <c r="J8" s="1168"/>
      <c r="K8" s="1168"/>
      <c r="L8" s="1168"/>
      <c r="M8" s="1168" t="s">
        <v>1457</v>
      </c>
      <c r="N8" s="1168" t="s">
        <v>1456</v>
      </c>
      <c r="O8" s="345"/>
      <c r="P8" s="1530"/>
      <c r="Q8" s="1557"/>
      <c r="R8" s="1530"/>
      <c r="S8" s="1530"/>
      <c r="T8" s="1530"/>
      <c r="U8" s="1530"/>
      <c r="V8" s="1525"/>
      <c r="W8" s="1525"/>
      <c r="X8" s="1525"/>
      <c r="Y8" s="1525"/>
      <c r="Z8" s="1525"/>
      <c r="AA8" s="1525"/>
      <c r="AB8" s="1525"/>
      <c r="AC8" s="1525"/>
      <c r="AD8" s="1525"/>
      <c r="AE8" s="1525"/>
      <c r="AF8" s="1525"/>
      <c r="AG8" s="1525"/>
      <c r="AH8" s="1525"/>
      <c r="AI8" s="1525"/>
      <c r="AJ8" s="1525"/>
    </row>
    <row r="9" spans="1:36" ht="12" customHeight="1">
      <c r="A9" s="1557"/>
      <c r="B9" s="1557"/>
      <c r="C9" s="1833" t="s">
        <v>1663</v>
      </c>
      <c r="D9" s="1270" t="s">
        <v>1475</v>
      </c>
      <c r="E9" s="1271"/>
      <c r="F9" s="1272" t="s">
        <v>700</v>
      </c>
      <c r="G9" s="1272" t="s">
        <v>701</v>
      </c>
      <c r="H9" s="1272" t="s">
        <v>702</v>
      </c>
      <c r="I9" s="1272" t="s">
        <v>703</v>
      </c>
      <c r="J9" s="1272" t="s">
        <v>704</v>
      </c>
      <c r="K9" s="1272" t="s">
        <v>705</v>
      </c>
      <c r="L9" s="1272"/>
      <c r="M9" s="1272" t="s">
        <v>932</v>
      </c>
      <c r="N9" s="1272" t="s">
        <v>932</v>
      </c>
      <c r="O9" s="345"/>
      <c r="P9" s="1530"/>
      <c r="Q9" s="1557"/>
      <c r="R9" s="1530"/>
      <c r="S9" s="1530"/>
      <c r="T9" s="1530"/>
      <c r="U9" s="1530"/>
      <c r="V9" s="1525"/>
      <c r="W9" s="1525"/>
      <c r="X9" s="1525"/>
      <c r="Y9" s="1525"/>
      <c r="Z9" s="1525"/>
      <c r="AA9" s="1525"/>
      <c r="AB9" s="1525"/>
      <c r="AC9" s="1525"/>
      <c r="AD9" s="1525"/>
      <c r="AE9" s="1525"/>
      <c r="AF9" s="1525"/>
      <c r="AG9" s="1525"/>
      <c r="AH9" s="1525"/>
      <c r="AI9" s="1525"/>
      <c r="AJ9" s="1525"/>
    </row>
    <row r="10" spans="1:36" s="1530" customFormat="1" ht="12" customHeight="1">
      <c r="A10" s="1557"/>
      <c r="B10" s="1557"/>
      <c r="C10" s="1832" t="s">
        <v>1256</v>
      </c>
      <c r="D10" s="1760"/>
      <c r="E10" s="1830"/>
      <c r="F10" s="738"/>
      <c r="G10" s="738"/>
      <c r="H10" s="738"/>
      <c r="I10" s="738"/>
      <c r="J10" s="738"/>
      <c r="K10" s="738"/>
      <c r="L10" s="738"/>
      <c r="M10" s="738"/>
      <c r="N10" s="738"/>
      <c r="O10" s="345"/>
      <c r="Q10" s="1557"/>
      <c r="V10" s="1525"/>
      <c r="W10" s="1525"/>
      <c r="X10" s="1525"/>
      <c r="Y10" s="1525"/>
      <c r="Z10" s="1525"/>
      <c r="AA10" s="1525"/>
      <c r="AB10" s="1525"/>
      <c r="AC10" s="1525"/>
      <c r="AD10" s="1525"/>
      <c r="AE10" s="1525"/>
      <c r="AF10" s="1525"/>
      <c r="AG10" s="1525"/>
      <c r="AH10" s="1525"/>
      <c r="AI10" s="1525"/>
      <c r="AJ10" s="1525"/>
    </row>
    <row r="11" spans="1:36" ht="12" customHeight="1">
      <c r="A11" s="1557" t="str">
        <f t="shared" ref="A11:A24" si="0">IF(C11="--","n","")</f>
        <v>n</v>
      </c>
      <c r="B11" s="1557"/>
      <c r="C11" s="146" t="str">
        <f>'DATA GPC'!E20</f>
        <v>--</v>
      </c>
      <c r="D11" s="359" t="str">
        <f>'Working Capital'!D11</f>
        <v>--</v>
      </c>
      <c r="E11" s="359"/>
      <c r="F11" s="1364" t="str">
        <f>IFERROR('DATA GPC'!K690/'DATA GPC'!K566,"--")</f>
        <v>--</v>
      </c>
      <c r="G11" s="1364" t="str">
        <f>IFERROR('DATA GPC'!L690/'DATA GPC'!L566,"--")</f>
        <v>--</v>
      </c>
      <c r="H11" s="1364" t="str">
        <f>IFERROR('DATA GPC'!M690/'DATA GPC'!M566,"--")</f>
        <v>--</v>
      </c>
      <c r="I11" s="1364" t="str">
        <f>IFERROR('DATA GPC'!N690/'DATA GPC'!N566,"--")</f>
        <v>--</v>
      </c>
      <c r="J11" s="1364" t="str">
        <f>IFERROR('DATA GPC'!O690/'DATA GPC'!O566,"--")</f>
        <v>--</v>
      </c>
      <c r="K11" s="1364" t="str">
        <f>IFERROR('DATA GPC'!P690/'DATA GPC'!P566,"--")</f>
        <v>--</v>
      </c>
      <c r="L11" s="1364"/>
      <c r="M11" s="1364" t="str">
        <f>IFERROR(AVERAGE(H11:$J11),"--")</f>
        <v>--</v>
      </c>
      <c r="N11" s="1364" t="str">
        <f>IFERROR(AVERAGE(F11:$J11),"--")</f>
        <v>--</v>
      </c>
      <c r="O11" s="351"/>
      <c r="P11" s="1530"/>
      <c r="Q11" s="1557"/>
      <c r="R11" s="1530"/>
      <c r="S11" s="1530"/>
      <c r="T11" s="1530"/>
      <c r="U11" s="1530"/>
      <c r="V11" s="1525"/>
      <c r="W11" s="1525"/>
      <c r="X11" s="1525"/>
      <c r="Y11" s="1525"/>
      <c r="Z11" s="1525"/>
      <c r="AA11" s="1525"/>
      <c r="AB11" s="1525"/>
      <c r="AC11" s="1525"/>
      <c r="AD11" s="1525"/>
      <c r="AE11" s="1525"/>
      <c r="AF11" s="1525"/>
      <c r="AG11" s="1525"/>
      <c r="AH11" s="1525"/>
      <c r="AI11" s="1525"/>
      <c r="AJ11" s="1525"/>
    </row>
    <row r="12" spans="1:36" ht="12" customHeight="1">
      <c r="A12" s="1557" t="str">
        <f t="shared" si="0"/>
        <v>n</v>
      </c>
      <c r="B12" s="1557"/>
      <c r="C12" s="146" t="str">
        <f>'DATA GPC'!E21</f>
        <v>--</v>
      </c>
      <c r="D12" s="359" t="str">
        <f>'Working Capital'!D12</f>
        <v>--</v>
      </c>
      <c r="E12" s="359"/>
      <c r="F12" s="1364" t="str">
        <f>IFERROR('DATA GPC'!K691/'DATA GPC'!K567,"--")</f>
        <v>--</v>
      </c>
      <c r="G12" s="1364" t="str">
        <f>IFERROR('DATA GPC'!L691/'DATA GPC'!L567,"--")</f>
        <v>--</v>
      </c>
      <c r="H12" s="1364" t="str">
        <f>IFERROR('DATA GPC'!M691/'DATA GPC'!M567,"--")</f>
        <v>--</v>
      </c>
      <c r="I12" s="1364" t="str">
        <f>IFERROR('DATA GPC'!N691/'DATA GPC'!N567,"--")</f>
        <v>--</v>
      </c>
      <c r="J12" s="1364" t="str">
        <f>IFERROR('DATA GPC'!O691/'DATA GPC'!O567,"--")</f>
        <v>--</v>
      </c>
      <c r="K12" s="1364" t="str">
        <f>IFERROR('DATA GPC'!P691/'DATA GPC'!P567,"--")</f>
        <v>--</v>
      </c>
      <c r="L12" s="1364"/>
      <c r="M12" s="1364" t="str">
        <f>IFERROR(AVERAGE(H12:$J12),"--")</f>
        <v>--</v>
      </c>
      <c r="N12" s="1364" t="str">
        <f>IFERROR(AVERAGE(F12:$J12),"--")</f>
        <v>--</v>
      </c>
      <c r="O12" s="351"/>
      <c r="P12" s="1530"/>
      <c r="Q12" s="1557"/>
      <c r="R12" s="1530"/>
      <c r="S12" s="1530"/>
      <c r="T12" s="1530"/>
      <c r="U12" s="1530"/>
      <c r="V12" s="1525"/>
      <c r="W12" s="1525"/>
      <c r="X12" s="1525"/>
      <c r="Y12" s="1525"/>
      <c r="Z12" s="1525"/>
      <c r="AA12" s="1525"/>
      <c r="AB12" s="1525"/>
      <c r="AC12" s="1525"/>
      <c r="AD12" s="1525"/>
      <c r="AE12" s="1525"/>
      <c r="AF12" s="1525"/>
      <c r="AG12" s="1525"/>
      <c r="AH12" s="1525"/>
      <c r="AI12" s="1525"/>
      <c r="AJ12" s="1525"/>
    </row>
    <row r="13" spans="1:36" ht="12" customHeight="1">
      <c r="A13" s="1557" t="str">
        <f t="shared" si="0"/>
        <v>n</v>
      </c>
      <c r="B13" s="1557"/>
      <c r="C13" s="146" t="str">
        <f>'DATA GPC'!E22</f>
        <v>--</v>
      </c>
      <c r="D13" s="359" t="str">
        <f>'Working Capital'!D13</f>
        <v>--</v>
      </c>
      <c r="E13" s="359"/>
      <c r="F13" s="1364" t="str">
        <f>IFERROR('DATA GPC'!K692/'DATA GPC'!K568,"--")</f>
        <v>--</v>
      </c>
      <c r="G13" s="1364" t="str">
        <f>IFERROR('DATA GPC'!L692/'DATA GPC'!L568,"--")</f>
        <v>--</v>
      </c>
      <c r="H13" s="1364" t="str">
        <f>IFERROR('DATA GPC'!M692/'DATA GPC'!M568,"--")</f>
        <v>--</v>
      </c>
      <c r="I13" s="1364" t="str">
        <f>IFERROR('DATA GPC'!N692/'DATA GPC'!N568,"--")</f>
        <v>--</v>
      </c>
      <c r="J13" s="1364" t="str">
        <f>IFERROR('DATA GPC'!O692/'DATA GPC'!O568,"--")</f>
        <v>--</v>
      </c>
      <c r="K13" s="1364" t="str">
        <f>IFERROR('DATA GPC'!P692/'DATA GPC'!P568,"--")</f>
        <v>--</v>
      </c>
      <c r="L13" s="1364"/>
      <c r="M13" s="1364" t="str">
        <f>IFERROR(AVERAGE(H13:$J13),"--")</f>
        <v>--</v>
      </c>
      <c r="N13" s="1364" t="str">
        <f>IFERROR(AVERAGE(F13:$J13),"--")</f>
        <v>--</v>
      </c>
      <c r="O13" s="351"/>
      <c r="P13" s="1530"/>
      <c r="Q13" s="1557"/>
      <c r="R13" s="1530"/>
      <c r="S13" s="1530"/>
      <c r="T13" s="1530"/>
      <c r="U13" s="1530"/>
      <c r="V13" s="1525"/>
      <c r="W13" s="1525"/>
      <c r="X13" s="1525"/>
      <c r="Y13" s="1525"/>
      <c r="Z13" s="1525"/>
      <c r="AA13" s="1525"/>
      <c r="AB13" s="1525"/>
      <c r="AC13" s="1525"/>
      <c r="AD13" s="1525"/>
      <c r="AE13" s="1525"/>
      <c r="AF13" s="1525"/>
      <c r="AG13" s="1525"/>
      <c r="AH13" s="1525"/>
      <c r="AI13" s="1525"/>
      <c r="AJ13" s="1525"/>
    </row>
    <row r="14" spans="1:36" ht="12" customHeight="1">
      <c r="A14" s="1557" t="str">
        <f t="shared" si="0"/>
        <v>n</v>
      </c>
      <c r="B14" s="1557"/>
      <c r="C14" s="146" t="str">
        <f>'DATA GPC'!E23</f>
        <v>--</v>
      </c>
      <c r="D14" s="359" t="str">
        <f>'Working Capital'!D14</f>
        <v>--</v>
      </c>
      <c r="E14" s="359"/>
      <c r="F14" s="1364" t="str">
        <f>IFERROR('DATA GPC'!K693/'DATA GPC'!K569,"--")</f>
        <v>--</v>
      </c>
      <c r="G14" s="1364" t="str">
        <f>IFERROR('DATA GPC'!L693/'DATA GPC'!L569,"--")</f>
        <v>--</v>
      </c>
      <c r="H14" s="1364" t="str">
        <f>IFERROR('DATA GPC'!M693/'DATA GPC'!M569,"--")</f>
        <v>--</v>
      </c>
      <c r="I14" s="1364" t="str">
        <f>IFERROR('DATA GPC'!N693/'DATA GPC'!N569,"--")</f>
        <v>--</v>
      </c>
      <c r="J14" s="1364" t="str">
        <f>IFERROR('DATA GPC'!O693/'DATA GPC'!O569,"--")</f>
        <v>--</v>
      </c>
      <c r="K14" s="1364" t="str">
        <f>IFERROR('DATA GPC'!P693/'DATA GPC'!P569,"--")</f>
        <v>--</v>
      </c>
      <c r="L14" s="1364"/>
      <c r="M14" s="1364" t="str">
        <f>IFERROR(AVERAGE(H14:$J14),"--")</f>
        <v>--</v>
      </c>
      <c r="N14" s="1364" t="str">
        <f>IFERROR(AVERAGE(F14:$J14),"--")</f>
        <v>--</v>
      </c>
      <c r="O14" s="351"/>
      <c r="P14" s="1530"/>
      <c r="Q14" s="1557"/>
      <c r="R14" s="1530"/>
      <c r="S14" s="1530"/>
      <c r="T14" s="1530"/>
      <c r="U14" s="1530"/>
      <c r="V14" s="1525"/>
      <c r="W14" s="1525"/>
      <c r="X14" s="1525"/>
      <c r="Y14" s="1525"/>
      <c r="Z14" s="1525"/>
      <c r="AA14" s="1525"/>
      <c r="AB14" s="1525"/>
      <c r="AC14" s="1525"/>
      <c r="AD14" s="1525"/>
      <c r="AE14" s="1525"/>
      <c r="AF14" s="1525"/>
      <c r="AG14" s="1525"/>
      <c r="AH14" s="1525"/>
      <c r="AI14" s="1525"/>
      <c r="AJ14" s="1525"/>
    </row>
    <row r="15" spans="1:36" ht="12" customHeight="1">
      <c r="A15" s="1557" t="str">
        <f t="shared" si="0"/>
        <v>n</v>
      </c>
      <c r="B15" s="1557"/>
      <c r="C15" s="146" t="str">
        <f>'DATA GPC'!E24</f>
        <v>--</v>
      </c>
      <c r="D15" s="359" t="str">
        <f>'Working Capital'!D15</f>
        <v>--</v>
      </c>
      <c r="E15" s="613"/>
      <c r="F15" s="1364" t="str">
        <f>IFERROR('DATA GPC'!K694/'DATA GPC'!K570,"--")</f>
        <v>--</v>
      </c>
      <c r="G15" s="1364" t="str">
        <f>IFERROR('DATA GPC'!L694/'DATA GPC'!L570,"--")</f>
        <v>--</v>
      </c>
      <c r="H15" s="1364" t="str">
        <f>IFERROR('DATA GPC'!M694/'DATA GPC'!M570,"--")</f>
        <v>--</v>
      </c>
      <c r="I15" s="1364" t="str">
        <f>IFERROR('DATA GPC'!N694/'DATA GPC'!N570,"--")</f>
        <v>--</v>
      </c>
      <c r="J15" s="1364" t="str">
        <f>IFERROR('DATA GPC'!O694/'DATA GPC'!O570,"--")</f>
        <v>--</v>
      </c>
      <c r="K15" s="1364" t="str">
        <f>IFERROR('DATA GPC'!P694/'DATA GPC'!P570,"--")</f>
        <v>--</v>
      </c>
      <c r="L15" s="1364"/>
      <c r="M15" s="1364" t="str">
        <f>IFERROR(AVERAGE(H15:$J15),"--")</f>
        <v>--</v>
      </c>
      <c r="N15" s="1364" t="str">
        <f>IFERROR(AVERAGE(F15:$J15),"--")</f>
        <v>--</v>
      </c>
      <c r="O15" s="351"/>
      <c r="P15" s="1530"/>
      <c r="Q15" s="1557"/>
      <c r="R15" s="1530"/>
      <c r="S15" s="1530"/>
      <c r="T15" s="1530"/>
      <c r="U15" s="1530"/>
      <c r="V15" s="1525"/>
      <c r="W15" s="1525"/>
      <c r="X15" s="1525"/>
      <c r="Y15" s="1525"/>
      <c r="Z15" s="1525"/>
      <c r="AA15" s="1525"/>
      <c r="AB15" s="1525"/>
      <c r="AC15" s="1525"/>
      <c r="AD15" s="1525"/>
      <c r="AE15" s="1525"/>
      <c r="AF15" s="1525"/>
      <c r="AG15" s="1525"/>
      <c r="AH15" s="1525"/>
      <c r="AI15" s="1525"/>
      <c r="AJ15" s="1525"/>
    </row>
    <row r="16" spans="1:36" ht="12" customHeight="1">
      <c r="A16" s="1557" t="str">
        <f t="shared" si="0"/>
        <v>n</v>
      </c>
      <c r="B16" s="1557"/>
      <c r="C16" s="146" t="str">
        <f>'DATA GPC'!E25</f>
        <v>--</v>
      </c>
      <c r="D16" s="359" t="str">
        <f>'Working Capital'!D16</f>
        <v>--</v>
      </c>
      <c r="E16" s="613"/>
      <c r="F16" s="1364" t="str">
        <f>IFERROR('DATA GPC'!K695/'DATA GPC'!K571,"--")</f>
        <v>--</v>
      </c>
      <c r="G16" s="1364" t="str">
        <f>IFERROR('DATA GPC'!L695/'DATA GPC'!L571,"--")</f>
        <v>--</v>
      </c>
      <c r="H16" s="1364" t="str">
        <f>IFERROR('DATA GPC'!M695/'DATA GPC'!M571,"--")</f>
        <v>--</v>
      </c>
      <c r="I16" s="1364" t="str">
        <f>IFERROR('DATA GPC'!N695/'DATA GPC'!N571,"--")</f>
        <v>--</v>
      </c>
      <c r="J16" s="1364" t="str">
        <f>IFERROR('DATA GPC'!O695/'DATA GPC'!O571,"--")</f>
        <v>--</v>
      </c>
      <c r="K16" s="1364" t="str">
        <f>IFERROR('DATA GPC'!P695/'DATA GPC'!P571,"--")</f>
        <v>--</v>
      </c>
      <c r="L16" s="1364"/>
      <c r="M16" s="1364" t="str">
        <f>IFERROR(AVERAGE(H16:$J16),"--")</f>
        <v>--</v>
      </c>
      <c r="N16" s="1364" t="str">
        <f>IFERROR(AVERAGE(F16:$J16),"--")</f>
        <v>--</v>
      </c>
      <c r="O16" s="351"/>
      <c r="P16" s="1530"/>
      <c r="Q16" s="1557"/>
      <c r="R16" s="1530"/>
      <c r="S16" s="1530"/>
      <c r="T16" s="1530"/>
      <c r="U16" s="1530"/>
      <c r="V16" s="1525"/>
      <c r="W16" s="1525"/>
      <c r="X16" s="1525"/>
      <c r="Y16" s="1525"/>
      <c r="Z16" s="1525"/>
      <c r="AA16" s="1525"/>
      <c r="AB16" s="1525"/>
      <c r="AC16" s="1525"/>
      <c r="AD16" s="1525"/>
      <c r="AE16" s="1525"/>
      <c r="AF16" s="1525"/>
      <c r="AG16" s="1525"/>
      <c r="AH16" s="1525"/>
      <c r="AI16" s="1525"/>
      <c r="AJ16" s="1525"/>
    </row>
    <row r="17" spans="1:36" ht="12" customHeight="1">
      <c r="A17" s="1557" t="str">
        <f t="shared" si="0"/>
        <v>n</v>
      </c>
      <c r="B17" s="1557"/>
      <c r="C17" s="146" t="str">
        <f>'DATA GPC'!E26</f>
        <v>--</v>
      </c>
      <c r="D17" s="359" t="str">
        <f>'Working Capital'!D17</f>
        <v>--</v>
      </c>
      <c r="E17" s="613"/>
      <c r="F17" s="1364" t="str">
        <f>IFERROR('DATA GPC'!K696/'DATA GPC'!K572,"--")</f>
        <v>--</v>
      </c>
      <c r="G17" s="1364" t="str">
        <f>IFERROR('DATA GPC'!L696/'DATA GPC'!L572,"--")</f>
        <v>--</v>
      </c>
      <c r="H17" s="1364" t="str">
        <f>IFERROR('DATA GPC'!M696/'DATA GPC'!M572,"--")</f>
        <v>--</v>
      </c>
      <c r="I17" s="1364" t="str">
        <f>IFERROR('DATA GPC'!N696/'DATA GPC'!N572,"--")</f>
        <v>--</v>
      </c>
      <c r="J17" s="1364" t="str">
        <f>IFERROR('DATA GPC'!O696/'DATA GPC'!O572,"--")</f>
        <v>--</v>
      </c>
      <c r="K17" s="1364" t="str">
        <f>IFERROR('DATA GPC'!P696/'DATA GPC'!P572,"--")</f>
        <v>--</v>
      </c>
      <c r="L17" s="1364"/>
      <c r="M17" s="1364" t="str">
        <f>IFERROR(AVERAGE(H17:$J17),"--")</f>
        <v>--</v>
      </c>
      <c r="N17" s="1364" t="str">
        <f>IFERROR(AVERAGE(F17:$J17),"--")</f>
        <v>--</v>
      </c>
      <c r="O17" s="351"/>
      <c r="P17" s="1530"/>
      <c r="Q17" s="1557"/>
      <c r="R17" s="1530"/>
      <c r="S17" s="1530"/>
      <c r="T17" s="1530"/>
      <c r="U17" s="1530"/>
      <c r="V17" s="1525"/>
      <c r="W17" s="1525"/>
      <c r="X17" s="1525"/>
      <c r="Y17" s="1525"/>
      <c r="Z17" s="1525"/>
      <c r="AA17" s="1525"/>
      <c r="AB17" s="1525"/>
      <c r="AC17" s="1525"/>
      <c r="AD17" s="1525"/>
      <c r="AE17" s="1525"/>
      <c r="AF17" s="1525"/>
      <c r="AG17" s="1525"/>
      <c r="AH17" s="1525"/>
      <c r="AI17" s="1525"/>
      <c r="AJ17" s="1525"/>
    </row>
    <row r="18" spans="1:36" ht="12" customHeight="1">
      <c r="A18" s="1557" t="str">
        <f t="shared" si="0"/>
        <v>n</v>
      </c>
      <c r="B18" s="1557"/>
      <c r="C18" s="146" t="str">
        <f>'DATA GPC'!E27</f>
        <v>--</v>
      </c>
      <c r="D18" s="359" t="str">
        <f>'Working Capital'!D18</f>
        <v>--</v>
      </c>
      <c r="E18" s="613"/>
      <c r="F18" s="1364" t="str">
        <f>IFERROR('DATA GPC'!K697/'DATA GPC'!K573,"--")</f>
        <v>--</v>
      </c>
      <c r="G18" s="1364" t="str">
        <f>IFERROR('DATA GPC'!L697/'DATA GPC'!L573,"--")</f>
        <v>--</v>
      </c>
      <c r="H18" s="1364" t="str">
        <f>IFERROR('DATA GPC'!M697/'DATA GPC'!M573,"--")</f>
        <v>--</v>
      </c>
      <c r="I18" s="1364" t="str">
        <f>IFERROR('DATA GPC'!N697/'DATA GPC'!N573,"--")</f>
        <v>--</v>
      </c>
      <c r="J18" s="1364" t="str">
        <f>IFERROR('DATA GPC'!O697/'DATA GPC'!O573,"--")</f>
        <v>--</v>
      </c>
      <c r="K18" s="1364" t="str">
        <f>IFERROR('DATA GPC'!P697/'DATA GPC'!P573,"--")</f>
        <v>--</v>
      </c>
      <c r="L18" s="1364"/>
      <c r="M18" s="1364" t="str">
        <f>IFERROR(AVERAGE(H18:$J18),"--")</f>
        <v>--</v>
      </c>
      <c r="N18" s="1364" t="str">
        <f>IFERROR(AVERAGE(F18:$J18),"--")</f>
        <v>--</v>
      </c>
      <c r="O18" s="351"/>
      <c r="P18" s="1530"/>
      <c r="Q18" s="1557"/>
      <c r="R18" s="1530"/>
      <c r="S18" s="1530"/>
      <c r="T18" s="1530"/>
      <c r="U18" s="1530"/>
      <c r="V18" s="1525"/>
      <c r="W18" s="1525"/>
      <c r="X18" s="1525"/>
      <c r="Y18" s="1525"/>
      <c r="Z18" s="1525"/>
      <c r="AA18" s="1525"/>
      <c r="AB18" s="1525"/>
      <c r="AC18" s="1525"/>
      <c r="AD18" s="1525"/>
      <c r="AE18" s="1525"/>
      <c r="AF18" s="1525"/>
      <c r="AG18" s="1525"/>
      <c r="AH18" s="1525"/>
      <c r="AI18" s="1525"/>
      <c r="AJ18" s="1525"/>
    </row>
    <row r="19" spans="1:36" ht="12" customHeight="1">
      <c r="A19" s="1557" t="str">
        <f t="shared" si="0"/>
        <v>n</v>
      </c>
      <c r="B19" s="1557"/>
      <c r="C19" s="146" t="str">
        <f>'DATA GPC'!E28</f>
        <v>--</v>
      </c>
      <c r="D19" s="359" t="str">
        <f>'Working Capital'!D19</f>
        <v>--</v>
      </c>
      <c r="E19" s="613"/>
      <c r="F19" s="1364" t="str">
        <f>IFERROR('DATA GPC'!K698/'DATA GPC'!K574,"--")</f>
        <v>--</v>
      </c>
      <c r="G19" s="1364" t="str">
        <f>IFERROR('DATA GPC'!L698/'DATA GPC'!L574,"--")</f>
        <v>--</v>
      </c>
      <c r="H19" s="1364" t="str">
        <f>IFERROR('DATA GPC'!M698/'DATA GPC'!M574,"--")</f>
        <v>--</v>
      </c>
      <c r="I19" s="1364" t="str">
        <f>IFERROR('DATA GPC'!N698/'DATA GPC'!N574,"--")</f>
        <v>--</v>
      </c>
      <c r="J19" s="1364" t="str">
        <f>IFERROR('DATA GPC'!O698/'DATA GPC'!O574,"--")</f>
        <v>--</v>
      </c>
      <c r="K19" s="1364" t="str">
        <f>IFERROR('DATA GPC'!P698/'DATA GPC'!P574,"--")</f>
        <v>--</v>
      </c>
      <c r="L19" s="1364"/>
      <c r="M19" s="1364" t="str">
        <f>IFERROR(AVERAGE(H19:$J19),"--")</f>
        <v>--</v>
      </c>
      <c r="N19" s="1364" t="str">
        <f>IFERROR(AVERAGE(F19:$J19),"--")</f>
        <v>--</v>
      </c>
      <c r="O19" s="351"/>
      <c r="P19" s="1530"/>
      <c r="Q19" s="1557"/>
      <c r="R19" s="1530"/>
      <c r="S19" s="1530"/>
      <c r="T19" s="1530"/>
      <c r="U19" s="1530"/>
      <c r="V19" s="1525"/>
      <c r="W19" s="1525"/>
      <c r="X19" s="1525"/>
      <c r="Y19" s="1525"/>
      <c r="Z19" s="1525"/>
      <c r="AA19" s="1525"/>
      <c r="AB19" s="1525"/>
      <c r="AC19" s="1525"/>
      <c r="AD19" s="1525"/>
      <c r="AE19" s="1525"/>
      <c r="AF19" s="1525"/>
      <c r="AG19" s="1525"/>
      <c r="AH19" s="1525"/>
      <c r="AI19" s="1525"/>
      <c r="AJ19" s="1525"/>
    </row>
    <row r="20" spans="1:36" ht="12" customHeight="1">
      <c r="A20" s="1557" t="str">
        <f t="shared" si="0"/>
        <v>n</v>
      </c>
      <c r="B20" s="1557"/>
      <c r="C20" s="146" t="str">
        <f>'DATA GPC'!E29</f>
        <v>--</v>
      </c>
      <c r="D20" s="359" t="str">
        <f>'Working Capital'!D20</f>
        <v>--</v>
      </c>
      <c r="E20" s="613"/>
      <c r="F20" s="1364" t="str">
        <f>IFERROR('DATA GPC'!K699/'DATA GPC'!K575,"--")</f>
        <v>--</v>
      </c>
      <c r="G20" s="1364" t="str">
        <f>IFERROR('DATA GPC'!L699/'DATA GPC'!L575,"--")</f>
        <v>--</v>
      </c>
      <c r="H20" s="1364" t="str">
        <f>IFERROR('DATA GPC'!M699/'DATA GPC'!M575,"--")</f>
        <v>--</v>
      </c>
      <c r="I20" s="1364" t="str">
        <f>IFERROR('DATA GPC'!N699/'DATA GPC'!N575,"--")</f>
        <v>--</v>
      </c>
      <c r="J20" s="1364" t="str">
        <f>IFERROR('DATA GPC'!O699/'DATA GPC'!O575,"--")</f>
        <v>--</v>
      </c>
      <c r="K20" s="1364" t="str">
        <f>IFERROR('DATA GPC'!P699/'DATA GPC'!P575,"--")</f>
        <v>--</v>
      </c>
      <c r="L20" s="1364"/>
      <c r="M20" s="1364" t="str">
        <f>IFERROR(AVERAGE(H20:$J20),"--")</f>
        <v>--</v>
      </c>
      <c r="N20" s="1364" t="str">
        <f>IFERROR(AVERAGE(F20:$J20),"--")</f>
        <v>--</v>
      </c>
      <c r="O20" s="351"/>
      <c r="P20" s="1530"/>
      <c r="Q20" s="1557"/>
      <c r="R20" s="1530"/>
      <c r="S20" s="1530"/>
      <c r="T20" s="1530"/>
      <c r="U20" s="1530"/>
      <c r="V20" s="1525"/>
      <c r="W20" s="1525"/>
      <c r="X20" s="1525"/>
      <c r="Y20" s="1525"/>
      <c r="Z20" s="1525"/>
      <c r="AA20" s="1525"/>
      <c r="AB20" s="1525"/>
      <c r="AC20" s="1525"/>
      <c r="AD20" s="1525"/>
      <c r="AE20" s="1525"/>
      <c r="AF20" s="1525"/>
      <c r="AG20" s="1525"/>
      <c r="AH20" s="1525"/>
      <c r="AI20" s="1525"/>
      <c r="AJ20" s="1525"/>
    </row>
    <row r="21" spans="1:36" ht="12" customHeight="1">
      <c r="A21" s="1557" t="str">
        <f t="shared" si="0"/>
        <v>n</v>
      </c>
      <c r="B21" s="1557"/>
      <c r="C21" s="146" t="str">
        <f>'DATA GPC'!E30</f>
        <v>--</v>
      </c>
      <c r="D21" s="359" t="str">
        <f>'Working Capital'!D21</f>
        <v>--</v>
      </c>
      <c r="E21" s="613"/>
      <c r="F21" s="1364" t="str">
        <f>IFERROR('DATA GPC'!K700/'DATA GPC'!K576,"--")</f>
        <v>--</v>
      </c>
      <c r="G21" s="1364" t="str">
        <f>IFERROR('DATA GPC'!L700/'DATA GPC'!L576,"--")</f>
        <v>--</v>
      </c>
      <c r="H21" s="1364" t="str">
        <f>IFERROR('DATA GPC'!M700/'DATA GPC'!M576,"--")</f>
        <v>--</v>
      </c>
      <c r="I21" s="1364" t="str">
        <f>IFERROR('DATA GPC'!N700/'DATA GPC'!N576,"--")</f>
        <v>--</v>
      </c>
      <c r="J21" s="1364" t="str">
        <f>IFERROR('DATA GPC'!O700/'DATA GPC'!O576,"--")</f>
        <v>--</v>
      </c>
      <c r="K21" s="1364" t="str">
        <f>IFERROR('DATA GPC'!P700/'DATA GPC'!P576,"--")</f>
        <v>--</v>
      </c>
      <c r="L21" s="1364"/>
      <c r="M21" s="1364" t="str">
        <f>IFERROR(AVERAGE(H21:$J21),"--")</f>
        <v>--</v>
      </c>
      <c r="N21" s="1364" t="str">
        <f>IFERROR(AVERAGE(F21:$J21),"--")</f>
        <v>--</v>
      </c>
      <c r="O21" s="351"/>
      <c r="P21" s="1530"/>
      <c r="Q21" s="1557"/>
      <c r="R21" s="1530"/>
      <c r="S21" s="1530"/>
      <c r="T21" s="1530"/>
      <c r="U21" s="1530"/>
      <c r="V21" s="1525"/>
      <c r="W21" s="1525"/>
      <c r="X21" s="1525"/>
      <c r="Y21" s="1525"/>
      <c r="Z21" s="1525"/>
      <c r="AA21" s="1525"/>
      <c r="AB21" s="1525"/>
      <c r="AC21" s="1525"/>
      <c r="AD21" s="1525"/>
      <c r="AE21" s="1525"/>
      <c r="AF21" s="1525"/>
      <c r="AG21" s="1525"/>
      <c r="AH21" s="1525"/>
      <c r="AI21" s="1525"/>
      <c r="AJ21" s="1525"/>
    </row>
    <row r="22" spans="1:36" ht="12" customHeight="1">
      <c r="A22" s="1557" t="str">
        <f t="shared" si="0"/>
        <v>n</v>
      </c>
      <c r="B22" s="1557"/>
      <c r="C22" s="146" t="str">
        <f>'DATA GPC'!E31</f>
        <v>--</v>
      </c>
      <c r="D22" s="359" t="str">
        <f>'Working Capital'!D22</f>
        <v>--</v>
      </c>
      <c r="E22" s="677"/>
      <c r="F22" s="1364" t="str">
        <f>IFERROR('DATA GPC'!K701/'DATA GPC'!K577,"--")</f>
        <v>--</v>
      </c>
      <c r="G22" s="1364" t="str">
        <f>IFERROR('DATA GPC'!L701/'DATA GPC'!L577,"--")</f>
        <v>--</v>
      </c>
      <c r="H22" s="1364" t="str">
        <f>IFERROR('DATA GPC'!M701/'DATA GPC'!M577,"--")</f>
        <v>--</v>
      </c>
      <c r="I22" s="1364" t="str">
        <f>IFERROR('DATA GPC'!N701/'DATA GPC'!N577,"--")</f>
        <v>--</v>
      </c>
      <c r="J22" s="1364" t="str">
        <f>IFERROR('DATA GPC'!O701/'DATA GPC'!O577,"--")</f>
        <v>--</v>
      </c>
      <c r="K22" s="1364" t="str">
        <f>IFERROR('DATA GPC'!P701/'DATA GPC'!P577,"--")</f>
        <v>--</v>
      </c>
      <c r="L22" s="1364"/>
      <c r="M22" s="1364" t="str">
        <f>IFERROR(AVERAGE(H22:$J22),"--")</f>
        <v>--</v>
      </c>
      <c r="N22" s="1364" t="str">
        <f>IFERROR(AVERAGE(F22:$J22),"--")</f>
        <v>--</v>
      </c>
      <c r="O22" s="351"/>
      <c r="P22" s="1530"/>
      <c r="Q22" s="1557"/>
      <c r="R22" s="1530"/>
      <c r="S22" s="1530"/>
      <c r="T22" s="1530"/>
      <c r="U22" s="1530"/>
      <c r="V22" s="1525"/>
      <c r="W22" s="1525"/>
      <c r="X22" s="1525"/>
      <c r="Y22" s="1525"/>
      <c r="Z22" s="1525"/>
      <c r="AA22" s="1525"/>
      <c r="AB22" s="1525"/>
      <c r="AC22" s="1525"/>
      <c r="AD22" s="1525"/>
      <c r="AE22" s="1525"/>
      <c r="AF22" s="1525"/>
      <c r="AG22" s="1525"/>
      <c r="AH22" s="1525"/>
      <c r="AI22" s="1525"/>
      <c r="AJ22" s="1525"/>
    </row>
    <row r="23" spans="1:36" ht="12" customHeight="1">
      <c r="A23" s="1557" t="str">
        <f t="shared" si="0"/>
        <v>n</v>
      </c>
      <c r="B23" s="1557"/>
      <c r="C23" s="146" t="str">
        <f>'DATA GPC'!E32</f>
        <v>--</v>
      </c>
      <c r="D23" s="359" t="str">
        <f>'Working Capital'!D23</f>
        <v>--</v>
      </c>
      <c r="E23" s="677"/>
      <c r="F23" s="1364" t="str">
        <f>IFERROR('DATA GPC'!K702/'DATA GPC'!K578,"--")</f>
        <v>--</v>
      </c>
      <c r="G23" s="1364" t="str">
        <f>IFERROR('DATA GPC'!L702/'DATA GPC'!L578,"--")</f>
        <v>--</v>
      </c>
      <c r="H23" s="1364" t="str">
        <f>IFERROR('DATA GPC'!M702/'DATA GPC'!M578,"--")</f>
        <v>--</v>
      </c>
      <c r="I23" s="1364" t="str">
        <f>IFERROR('DATA GPC'!N702/'DATA GPC'!N578,"--")</f>
        <v>--</v>
      </c>
      <c r="J23" s="1364" t="str">
        <f>IFERROR('DATA GPC'!O702/'DATA GPC'!O578,"--")</f>
        <v>--</v>
      </c>
      <c r="K23" s="1364" t="str">
        <f>IFERROR('DATA GPC'!P702/'DATA GPC'!P578,"--")</f>
        <v>--</v>
      </c>
      <c r="L23" s="1364"/>
      <c r="M23" s="1364" t="str">
        <f>IFERROR(AVERAGE(H23:$J23),"--")</f>
        <v>--</v>
      </c>
      <c r="N23" s="1364" t="str">
        <f>IFERROR(AVERAGE(F23:$J23),"--")</f>
        <v>--</v>
      </c>
      <c r="O23" s="351"/>
      <c r="P23" s="1530"/>
      <c r="Q23" s="1557"/>
      <c r="R23" s="1530"/>
      <c r="S23" s="1530"/>
      <c r="T23" s="1530"/>
      <c r="U23" s="1530"/>
      <c r="V23" s="1525"/>
      <c r="W23" s="1525"/>
      <c r="X23" s="1525"/>
      <c r="Y23" s="1525"/>
      <c r="Z23" s="1525"/>
      <c r="AA23" s="1525"/>
      <c r="AB23" s="1525"/>
      <c r="AC23" s="1525"/>
      <c r="AD23" s="1525"/>
      <c r="AE23" s="1525"/>
      <c r="AF23" s="1525"/>
      <c r="AG23" s="1525"/>
      <c r="AH23" s="1525"/>
      <c r="AI23" s="1525"/>
      <c r="AJ23" s="1525"/>
    </row>
    <row r="24" spans="1:36" ht="12" customHeight="1">
      <c r="A24" s="1557" t="str">
        <f t="shared" si="0"/>
        <v>n</v>
      </c>
      <c r="B24" s="1557"/>
      <c r="C24" s="146" t="str">
        <f>'DATA GPC'!E33</f>
        <v>--</v>
      </c>
      <c r="D24" s="359" t="str">
        <f>'Working Capital'!D24</f>
        <v>--</v>
      </c>
      <c r="E24" s="677"/>
      <c r="F24" s="1364" t="str">
        <f>IFERROR('DATA GPC'!K703/'DATA GPC'!K579,"--")</f>
        <v>--</v>
      </c>
      <c r="G24" s="1364" t="str">
        <f>IFERROR('DATA GPC'!L703/'DATA GPC'!L579,"--")</f>
        <v>--</v>
      </c>
      <c r="H24" s="1364" t="str">
        <f>IFERROR('DATA GPC'!M703/'DATA GPC'!M579,"--")</f>
        <v>--</v>
      </c>
      <c r="I24" s="1364" t="str">
        <f>IFERROR('DATA GPC'!N703/'DATA GPC'!N579,"--")</f>
        <v>--</v>
      </c>
      <c r="J24" s="1364" t="str">
        <f>IFERROR('DATA GPC'!O703/'DATA GPC'!O579,"--")</f>
        <v>--</v>
      </c>
      <c r="K24" s="1364" t="str">
        <f>IFERROR('DATA GPC'!P703/'DATA GPC'!P579,"--")</f>
        <v>--</v>
      </c>
      <c r="L24" s="1364"/>
      <c r="M24" s="1364" t="str">
        <f>IFERROR(AVERAGE(H24:$J24),"--")</f>
        <v>--</v>
      </c>
      <c r="N24" s="1364" t="str">
        <f>IFERROR(AVERAGE(F24:$J24),"--")</f>
        <v>--</v>
      </c>
      <c r="O24" s="351"/>
      <c r="P24" s="1530"/>
      <c r="Q24" s="1557"/>
      <c r="R24" s="1530"/>
      <c r="S24" s="1530"/>
      <c r="T24" s="1530"/>
      <c r="U24" s="1530"/>
      <c r="V24" s="1525"/>
      <c r="W24" s="1525"/>
      <c r="X24" s="1525"/>
      <c r="Y24" s="1525"/>
      <c r="Z24" s="1525"/>
      <c r="AA24" s="1525"/>
      <c r="AB24" s="1525"/>
      <c r="AC24" s="1525"/>
      <c r="AD24" s="1525"/>
      <c r="AE24" s="1525"/>
      <c r="AF24" s="1525"/>
      <c r="AG24" s="1525"/>
      <c r="AH24" s="1525"/>
      <c r="AI24" s="1525"/>
      <c r="AJ24" s="1525"/>
    </row>
    <row r="25" spans="1:36" s="1530" customFormat="1" ht="12" customHeight="1">
      <c r="A25" s="1557" t="str">
        <f t="shared" ref="A25:A35" si="1">IF(C25="--","n","")</f>
        <v>n</v>
      </c>
      <c r="B25" s="1557"/>
      <c r="C25" s="146" t="str">
        <f>'DATA GPC'!E34</f>
        <v>--</v>
      </c>
      <c r="D25" s="359" t="str">
        <f>'Working Capital'!D25</f>
        <v>--</v>
      </c>
      <c r="E25" s="677"/>
      <c r="F25" s="1364" t="str">
        <f>IFERROR('DATA GPC'!K704/'DATA GPC'!K580,"--")</f>
        <v>--</v>
      </c>
      <c r="G25" s="1364" t="str">
        <f>IFERROR('DATA GPC'!L704/'DATA GPC'!L580,"--")</f>
        <v>--</v>
      </c>
      <c r="H25" s="1364" t="str">
        <f>IFERROR('DATA GPC'!M704/'DATA GPC'!M580,"--")</f>
        <v>--</v>
      </c>
      <c r="I25" s="1364" t="str">
        <f>IFERROR('DATA GPC'!N704/'DATA GPC'!N580,"--")</f>
        <v>--</v>
      </c>
      <c r="J25" s="1364" t="str">
        <f>IFERROR('DATA GPC'!O704/'DATA GPC'!O580,"--")</f>
        <v>--</v>
      </c>
      <c r="K25" s="1364" t="str">
        <f>IFERROR('DATA GPC'!P704/'DATA GPC'!P580,"--")</f>
        <v>--</v>
      </c>
      <c r="L25" s="1364"/>
      <c r="M25" s="1364" t="str">
        <f>IFERROR(AVERAGE(H25:$J25),"--")</f>
        <v>--</v>
      </c>
      <c r="N25" s="1364" t="str">
        <f>IFERROR(AVERAGE(F25:$J25),"--")</f>
        <v>--</v>
      </c>
      <c r="O25" s="351"/>
      <c r="Q25" s="1557"/>
      <c r="V25" s="1525"/>
      <c r="W25" s="1525"/>
      <c r="X25" s="1525"/>
      <c r="Y25" s="1525"/>
      <c r="Z25" s="1525"/>
      <c r="AA25" s="1525"/>
      <c r="AB25" s="1525"/>
      <c r="AC25" s="1525"/>
      <c r="AD25" s="1525"/>
      <c r="AE25" s="1525"/>
      <c r="AF25" s="1525"/>
      <c r="AG25" s="1525"/>
      <c r="AH25" s="1525"/>
      <c r="AI25" s="1525"/>
      <c r="AJ25" s="1525"/>
    </row>
    <row r="26" spans="1:36" s="1530" customFormat="1" ht="12" customHeight="1">
      <c r="A26" s="1557" t="str">
        <f t="shared" si="1"/>
        <v>n</v>
      </c>
      <c r="B26" s="1557"/>
      <c r="C26" s="146" t="str">
        <f>'DATA GPC'!E35</f>
        <v>--</v>
      </c>
      <c r="D26" s="359" t="str">
        <f>'Working Capital'!D26</f>
        <v>--</v>
      </c>
      <c r="E26" s="677"/>
      <c r="F26" s="1364" t="str">
        <f>IFERROR('DATA GPC'!K705/'DATA GPC'!K581,"--")</f>
        <v>--</v>
      </c>
      <c r="G26" s="1364" t="str">
        <f>IFERROR('DATA GPC'!L705/'DATA GPC'!L581,"--")</f>
        <v>--</v>
      </c>
      <c r="H26" s="1364" t="str">
        <f>IFERROR('DATA GPC'!M705/'DATA GPC'!M581,"--")</f>
        <v>--</v>
      </c>
      <c r="I26" s="1364" t="str">
        <f>IFERROR('DATA GPC'!N705/'DATA GPC'!N581,"--")</f>
        <v>--</v>
      </c>
      <c r="J26" s="1364" t="str">
        <f>IFERROR('DATA GPC'!O705/'DATA GPC'!O581,"--")</f>
        <v>--</v>
      </c>
      <c r="K26" s="1364" t="str">
        <f>IFERROR('DATA GPC'!P705/'DATA GPC'!P581,"--")</f>
        <v>--</v>
      </c>
      <c r="L26" s="1364"/>
      <c r="M26" s="1364" t="str">
        <f>IFERROR(AVERAGE(H26:$J26),"--")</f>
        <v>--</v>
      </c>
      <c r="N26" s="1364" t="str">
        <f>IFERROR(AVERAGE(F26:$J26),"--")</f>
        <v>--</v>
      </c>
      <c r="O26" s="351"/>
      <c r="Q26" s="1557"/>
      <c r="V26" s="1525"/>
      <c r="W26" s="1525"/>
      <c r="X26" s="1525"/>
      <c r="Y26" s="1525"/>
      <c r="Z26" s="1525"/>
      <c r="AA26" s="1525"/>
      <c r="AB26" s="1525"/>
      <c r="AC26" s="1525"/>
      <c r="AD26" s="1525"/>
      <c r="AE26" s="1525"/>
      <c r="AF26" s="1525"/>
      <c r="AG26" s="1525"/>
      <c r="AH26" s="1525"/>
      <c r="AI26" s="1525"/>
      <c r="AJ26" s="1525"/>
    </row>
    <row r="27" spans="1:36" s="1530" customFormat="1" ht="12" customHeight="1">
      <c r="A27" s="1557" t="str">
        <f t="shared" si="1"/>
        <v>n</v>
      </c>
      <c r="B27" s="1557"/>
      <c r="C27" s="146" t="str">
        <f>'DATA GPC'!E36</f>
        <v>--</v>
      </c>
      <c r="D27" s="359" t="str">
        <f>'Working Capital'!D27</f>
        <v>--</v>
      </c>
      <c r="E27" s="677"/>
      <c r="F27" s="1364" t="str">
        <f>IFERROR('DATA GPC'!K706/'DATA GPC'!K582,"--")</f>
        <v>--</v>
      </c>
      <c r="G27" s="1364" t="str">
        <f>IFERROR('DATA GPC'!L706/'DATA GPC'!L582,"--")</f>
        <v>--</v>
      </c>
      <c r="H27" s="1364" t="str">
        <f>IFERROR('DATA GPC'!M706/'DATA GPC'!M582,"--")</f>
        <v>--</v>
      </c>
      <c r="I27" s="1364" t="str">
        <f>IFERROR('DATA GPC'!N706/'DATA GPC'!N582,"--")</f>
        <v>--</v>
      </c>
      <c r="J27" s="1364" t="str">
        <f>IFERROR('DATA GPC'!O706/'DATA GPC'!O582,"--")</f>
        <v>--</v>
      </c>
      <c r="K27" s="1364" t="str">
        <f>IFERROR('DATA GPC'!P706/'DATA GPC'!P582,"--")</f>
        <v>--</v>
      </c>
      <c r="L27" s="1364"/>
      <c r="M27" s="1364" t="str">
        <f>IFERROR(AVERAGE(H27:$J27),"--")</f>
        <v>--</v>
      </c>
      <c r="N27" s="1364" t="str">
        <f>IFERROR(AVERAGE(F27:$J27),"--")</f>
        <v>--</v>
      </c>
      <c r="O27" s="351"/>
      <c r="Q27" s="1557"/>
      <c r="V27" s="1525"/>
      <c r="W27" s="1525"/>
      <c r="X27" s="1525"/>
      <c r="Y27" s="1525"/>
      <c r="Z27" s="1525"/>
      <c r="AA27" s="1525"/>
      <c r="AB27" s="1525"/>
      <c r="AC27" s="1525"/>
      <c r="AD27" s="1525"/>
      <c r="AE27" s="1525"/>
      <c r="AF27" s="1525"/>
      <c r="AG27" s="1525"/>
      <c r="AH27" s="1525"/>
      <c r="AI27" s="1525"/>
      <c r="AJ27" s="1525"/>
    </row>
    <row r="28" spans="1:36" s="1530" customFormat="1" ht="12" customHeight="1">
      <c r="A28" s="1557" t="str">
        <f t="shared" si="1"/>
        <v>n</v>
      </c>
      <c r="B28" s="1557"/>
      <c r="C28" s="146" t="str">
        <f>'DATA GPC'!E37</f>
        <v>--</v>
      </c>
      <c r="D28" s="359" t="str">
        <f>'Working Capital'!D28</f>
        <v>--</v>
      </c>
      <c r="E28" s="677"/>
      <c r="F28" s="1364" t="str">
        <f>IFERROR('DATA GPC'!K707/'DATA GPC'!K583,"--")</f>
        <v>--</v>
      </c>
      <c r="G28" s="1364" t="str">
        <f>IFERROR('DATA GPC'!L707/'DATA GPC'!L583,"--")</f>
        <v>--</v>
      </c>
      <c r="H28" s="1364" t="str">
        <f>IFERROR('DATA GPC'!M707/'DATA GPC'!M583,"--")</f>
        <v>--</v>
      </c>
      <c r="I28" s="1364" t="str">
        <f>IFERROR('DATA GPC'!N707/'DATA GPC'!N583,"--")</f>
        <v>--</v>
      </c>
      <c r="J28" s="1364" t="str">
        <f>IFERROR('DATA GPC'!O707/'DATA GPC'!O583,"--")</f>
        <v>--</v>
      </c>
      <c r="K28" s="1364" t="str">
        <f>IFERROR('DATA GPC'!P707/'DATA GPC'!P583,"--")</f>
        <v>--</v>
      </c>
      <c r="L28" s="1364"/>
      <c r="M28" s="1364" t="str">
        <f>IFERROR(AVERAGE(H28:$J28),"--")</f>
        <v>--</v>
      </c>
      <c r="N28" s="1364" t="str">
        <f>IFERROR(AVERAGE(F28:$J28),"--")</f>
        <v>--</v>
      </c>
      <c r="O28" s="351"/>
      <c r="Q28" s="1557"/>
      <c r="V28" s="1525"/>
      <c r="W28" s="1525"/>
      <c r="X28" s="1525"/>
      <c r="Y28" s="1525"/>
      <c r="Z28" s="1525"/>
      <c r="AA28" s="1525"/>
      <c r="AB28" s="1525"/>
      <c r="AC28" s="1525"/>
      <c r="AD28" s="1525"/>
      <c r="AE28" s="1525"/>
      <c r="AF28" s="1525"/>
      <c r="AG28" s="1525"/>
      <c r="AH28" s="1525"/>
      <c r="AI28" s="1525"/>
      <c r="AJ28" s="1525"/>
    </row>
    <row r="29" spans="1:36" s="1530" customFormat="1" ht="12" customHeight="1">
      <c r="A29" s="1557" t="str">
        <f t="shared" si="1"/>
        <v>n</v>
      </c>
      <c r="B29" s="1557"/>
      <c r="C29" s="146" t="str">
        <f>'DATA GPC'!E38</f>
        <v>--</v>
      </c>
      <c r="D29" s="359" t="str">
        <f>'Working Capital'!D29</f>
        <v>--</v>
      </c>
      <c r="E29" s="677"/>
      <c r="F29" s="1364" t="str">
        <f>IFERROR('DATA GPC'!K708/'DATA GPC'!K584,"--")</f>
        <v>--</v>
      </c>
      <c r="G29" s="1364" t="str">
        <f>IFERROR('DATA GPC'!L708/'DATA GPC'!L584,"--")</f>
        <v>--</v>
      </c>
      <c r="H29" s="1364" t="str">
        <f>IFERROR('DATA GPC'!M708/'DATA GPC'!M584,"--")</f>
        <v>--</v>
      </c>
      <c r="I29" s="1364" t="str">
        <f>IFERROR('DATA GPC'!N708/'DATA GPC'!N584,"--")</f>
        <v>--</v>
      </c>
      <c r="J29" s="1364" t="str">
        <f>IFERROR('DATA GPC'!O708/'DATA GPC'!O584,"--")</f>
        <v>--</v>
      </c>
      <c r="K29" s="1364" t="str">
        <f>IFERROR('DATA GPC'!P708/'DATA GPC'!P584,"--")</f>
        <v>--</v>
      </c>
      <c r="L29" s="1364"/>
      <c r="M29" s="1364" t="str">
        <f>IFERROR(AVERAGE(H29:$J29),"--")</f>
        <v>--</v>
      </c>
      <c r="N29" s="1364" t="str">
        <f>IFERROR(AVERAGE(F29:$J29),"--")</f>
        <v>--</v>
      </c>
      <c r="O29" s="351"/>
      <c r="Q29" s="1557"/>
      <c r="V29" s="1525"/>
      <c r="W29" s="1525"/>
      <c r="X29" s="1525"/>
      <c r="Y29" s="1525"/>
      <c r="Z29" s="1525"/>
      <c r="AA29" s="1525"/>
      <c r="AB29" s="1525"/>
      <c r="AC29" s="1525"/>
      <c r="AD29" s="1525"/>
      <c r="AE29" s="1525"/>
      <c r="AF29" s="1525"/>
      <c r="AG29" s="1525"/>
      <c r="AH29" s="1525"/>
      <c r="AI29" s="1525"/>
      <c r="AJ29" s="1525"/>
    </row>
    <row r="30" spans="1:36" s="1530" customFormat="1" ht="12" customHeight="1">
      <c r="A30" s="1557" t="str">
        <f t="shared" si="1"/>
        <v>n</v>
      </c>
      <c r="B30" s="1557"/>
      <c r="C30" s="146" t="str">
        <f>'DATA GPC'!E39</f>
        <v>--</v>
      </c>
      <c r="D30" s="359" t="str">
        <f>'Working Capital'!D30</f>
        <v>--</v>
      </c>
      <c r="E30" s="677"/>
      <c r="F30" s="1364" t="str">
        <f>IFERROR('DATA GPC'!K709/'DATA GPC'!K585,"--")</f>
        <v>--</v>
      </c>
      <c r="G30" s="1364" t="str">
        <f>IFERROR('DATA GPC'!L709/'DATA GPC'!L585,"--")</f>
        <v>--</v>
      </c>
      <c r="H30" s="1364" t="str">
        <f>IFERROR('DATA GPC'!M709/'DATA GPC'!M585,"--")</f>
        <v>--</v>
      </c>
      <c r="I30" s="1364" t="str">
        <f>IFERROR('DATA GPC'!N709/'DATA GPC'!N585,"--")</f>
        <v>--</v>
      </c>
      <c r="J30" s="1364" t="str">
        <f>IFERROR('DATA GPC'!O709/'DATA GPC'!O585,"--")</f>
        <v>--</v>
      </c>
      <c r="K30" s="1364" t="str">
        <f>IFERROR('DATA GPC'!P709/'DATA GPC'!P585,"--")</f>
        <v>--</v>
      </c>
      <c r="L30" s="1364"/>
      <c r="M30" s="1364" t="str">
        <f>IFERROR(AVERAGE(H30:$J30),"--")</f>
        <v>--</v>
      </c>
      <c r="N30" s="1364" t="str">
        <f>IFERROR(AVERAGE(F30:$J30),"--")</f>
        <v>--</v>
      </c>
      <c r="O30" s="351"/>
      <c r="Q30" s="1557"/>
      <c r="V30" s="1525"/>
      <c r="W30" s="1525"/>
      <c r="X30" s="1525"/>
      <c r="Y30" s="1525"/>
      <c r="Z30" s="1525"/>
      <c r="AA30" s="1525"/>
      <c r="AB30" s="1525"/>
      <c r="AC30" s="1525"/>
      <c r="AD30" s="1525"/>
      <c r="AE30" s="1525"/>
      <c r="AF30" s="1525"/>
      <c r="AG30" s="1525"/>
      <c r="AH30" s="1525"/>
      <c r="AI30" s="1525"/>
      <c r="AJ30" s="1525"/>
    </row>
    <row r="31" spans="1:36" s="1530" customFormat="1" ht="12" customHeight="1">
      <c r="A31" s="1557" t="str">
        <f t="shared" si="1"/>
        <v>n</v>
      </c>
      <c r="B31" s="1557"/>
      <c r="C31" s="146" t="str">
        <f>'DATA GPC'!E40</f>
        <v>--</v>
      </c>
      <c r="D31" s="359" t="str">
        <f>'Working Capital'!D31</f>
        <v>--</v>
      </c>
      <c r="E31" s="677"/>
      <c r="F31" s="1364" t="str">
        <f>IFERROR('DATA GPC'!K710/'DATA GPC'!K586,"--")</f>
        <v>--</v>
      </c>
      <c r="G31" s="1364" t="str">
        <f>IFERROR('DATA GPC'!L710/'DATA GPC'!L586,"--")</f>
        <v>--</v>
      </c>
      <c r="H31" s="1364" t="str">
        <f>IFERROR('DATA GPC'!M710/'DATA GPC'!M586,"--")</f>
        <v>--</v>
      </c>
      <c r="I31" s="1364" t="str">
        <f>IFERROR('DATA GPC'!N710/'DATA GPC'!N586,"--")</f>
        <v>--</v>
      </c>
      <c r="J31" s="1364" t="str">
        <f>IFERROR('DATA GPC'!O710/'DATA GPC'!O586,"--")</f>
        <v>--</v>
      </c>
      <c r="K31" s="1364" t="str">
        <f>IFERROR('DATA GPC'!P710/'DATA GPC'!P586,"--")</f>
        <v>--</v>
      </c>
      <c r="L31" s="1364"/>
      <c r="M31" s="1364" t="str">
        <f>IFERROR(AVERAGE(H31:$J31),"--")</f>
        <v>--</v>
      </c>
      <c r="N31" s="1364" t="str">
        <f>IFERROR(AVERAGE(F31:$J31),"--")</f>
        <v>--</v>
      </c>
      <c r="O31" s="351"/>
      <c r="Q31" s="1557"/>
      <c r="V31" s="1525"/>
      <c r="W31" s="1525"/>
      <c r="X31" s="1525"/>
      <c r="Y31" s="1525"/>
      <c r="Z31" s="1525"/>
      <c r="AA31" s="1525"/>
      <c r="AB31" s="1525"/>
      <c r="AC31" s="1525"/>
      <c r="AD31" s="1525"/>
      <c r="AE31" s="1525"/>
      <c r="AF31" s="1525"/>
      <c r="AG31" s="1525"/>
      <c r="AH31" s="1525"/>
      <c r="AI31" s="1525"/>
      <c r="AJ31" s="1525"/>
    </row>
    <row r="32" spans="1:36" s="1530" customFormat="1" ht="12" customHeight="1">
      <c r="A32" s="1557" t="str">
        <f t="shared" si="1"/>
        <v>n</v>
      </c>
      <c r="B32" s="1557"/>
      <c r="C32" s="146" t="str">
        <f>'DATA GPC'!E41</f>
        <v>--</v>
      </c>
      <c r="D32" s="359" t="str">
        <f>'Working Capital'!D32</f>
        <v>--</v>
      </c>
      <c r="E32" s="677"/>
      <c r="F32" s="1364" t="str">
        <f>IFERROR('DATA GPC'!K711/'DATA GPC'!K587,"--")</f>
        <v>--</v>
      </c>
      <c r="G32" s="1364" t="str">
        <f>IFERROR('DATA GPC'!L711/'DATA GPC'!L587,"--")</f>
        <v>--</v>
      </c>
      <c r="H32" s="1364" t="str">
        <f>IFERROR('DATA GPC'!M711/'DATA GPC'!M587,"--")</f>
        <v>--</v>
      </c>
      <c r="I32" s="1364" t="str">
        <f>IFERROR('DATA GPC'!N711/'DATA GPC'!N587,"--")</f>
        <v>--</v>
      </c>
      <c r="J32" s="1364" t="str">
        <f>IFERROR('DATA GPC'!O711/'DATA GPC'!O587,"--")</f>
        <v>--</v>
      </c>
      <c r="K32" s="1364" t="str">
        <f>IFERROR('DATA GPC'!P711/'DATA GPC'!P587,"--")</f>
        <v>--</v>
      </c>
      <c r="L32" s="1364"/>
      <c r="M32" s="1364" t="str">
        <f>IFERROR(AVERAGE(H32:$J32),"--")</f>
        <v>--</v>
      </c>
      <c r="N32" s="1364" t="str">
        <f>IFERROR(AVERAGE(F32:$J32),"--")</f>
        <v>--</v>
      </c>
      <c r="O32" s="351"/>
      <c r="Q32" s="1557"/>
      <c r="V32" s="1525"/>
      <c r="W32" s="1525"/>
      <c r="X32" s="1525"/>
      <c r="Y32" s="1525"/>
      <c r="Z32" s="1525"/>
      <c r="AA32" s="1525"/>
      <c r="AB32" s="1525"/>
      <c r="AC32" s="1525"/>
      <c r="AD32" s="1525"/>
      <c r="AE32" s="1525"/>
      <c r="AF32" s="1525"/>
      <c r="AG32" s="1525"/>
      <c r="AH32" s="1525"/>
      <c r="AI32" s="1525"/>
      <c r="AJ32" s="1525"/>
    </row>
    <row r="33" spans="1:36" s="1530" customFormat="1" ht="12" customHeight="1">
      <c r="A33" s="1557" t="str">
        <f t="shared" si="1"/>
        <v>n</v>
      </c>
      <c r="B33" s="1557"/>
      <c r="C33" s="146" t="str">
        <f>'DATA GPC'!E42</f>
        <v>--</v>
      </c>
      <c r="D33" s="359" t="str">
        <f>'Working Capital'!D33</f>
        <v>--</v>
      </c>
      <c r="E33" s="677"/>
      <c r="F33" s="1364" t="str">
        <f>IFERROR('DATA GPC'!K712/'DATA GPC'!K588,"--")</f>
        <v>--</v>
      </c>
      <c r="G33" s="1364" t="str">
        <f>IFERROR('DATA GPC'!L712/'DATA GPC'!L588,"--")</f>
        <v>--</v>
      </c>
      <c r="H33" s="1364" t="str">
        <f>IFERROR('DATA GPC'!M712/'DATA GPC'!M588,"--")</f>
        <v>--</v>
      </c>
      <c r="I33" s="1364" t="str">
        <f>IFERROR('DATA GPC'!N712/'DATA GPC'!N588,"--")</f>
        <v>--</v>
      </c>
      <c r="J33" s="1364" t="str">
        <f>IFERROR('DATA GPC'!O712/'DATA GPC'!O588,"--")</f>
        <v>--</v>
      </c>
      <c r="K33" s="1364" t="str">
        <f>IFERROR('DATA GPC'!P712/'DATA GPC'!P588,"--")</f>
        <v>--</v>
      </c>
      <c r="L33" s="1364"/>
      <c r="M33" s="1364" t="str">
        <f>IFERROR(AVERAGE(H33:$J33),"--")</f>
        <v>--</v>
      </c>
      <c r="N33" s="1364" t="str">
        <f>IFERROR(AVERAGE(F33:$J33),"--")</f>
        <v>--</v>
      </c>
      <c r="O33" s="351"/>
      <c r="Q33" s="1557"/>
      <c r="V33" s="1525"/>
      <c r="W33" s="1525"/>
      <c r="X33" s="1525"/>
      <c r="Y33" s="1525"/>
      <c r="Z33" s="1525"/>
      <c r="AA33" s="1525"/>
      <c r="AB33" s="1525"/>
      <c r="AC33" s="1525"/>
      <c r="AD33" s="1525"/>
      <c r="AE33" s="1525"/>
      <c r="AF33" s="1525"/>
      <c r="AG33" s="1525"/>
      <c r="AH33" s="1525"/>
      <c r="AI33" s="1525"/>
      <c r="AJ33" s="1525"/>
    </row>
    <row r="34" spans="1:36" s="1530" customFormat="1" ht="12" customHeight="1">
      <c r="A34" s="1557" t="str">
        <f t="shared" si="1"/>
        <v>n</v>
      </c>
      <c r="B34" s="1557"/>
      <c r="C34" s="146" t="str">
        <f>'DATA GPC'!E43</f>
        <v>--</v>
      </c>
      <c r="D34" s="359" t="str">
        <f>'Working Capital'!D34</f>
        <v>--</v>
      </c>
      <c r="E34" s="677"/>
      <c r="F34" s="1364" t="str">
        <f>IFERROR('DATA GPC'!K713/'DATA GPC'!K589,"--")</f>
        <v>--</v>
      </c>
      <c r="G34" s="1364" t="str">
        <f>IFERROR('DATA GPC'!L713/'DATA GPC'!L589,"--")</f>
        <v>--</v>
      </c>
      <c r="H34" s="1364" t="str">
        <f>IFERROR('DATA GPC'!M713/'DATA GPC'!M589,"--")</f>
        <v>--</v>
      </c>
      <c r="I34" s="1364" t="str">
        <f>IFERROR('DATA GPC'!N713/'DATA GPC'!N589,"--")</f>
        <v>--</v>
      </c>
      <c r="J34" s="1364" t="str">
        <f>IFERROR('DATA GPC'!O713/'DATA GPC'!O589,"--")</f>
        <v>--</v>
      </c>
      <c r="K34" s="1364" t="str">
        <f>IFERROR('DATA GPC'!P713/'DATA GPC'!P589,"--")</f>
        <v>--</v>
      </c>
      <c r="L34" s="1364"/>
      <c r="M34" s="1364" t="str">
        <f>IFERROR(AVERAGE(H34:$J34),"--")</f>
        <v>--</v>
      </c>
      <c r="N34" s="1364" t="str">
        <f>IFERROR(AVERAGE(F34:$J34),"--")</f>
        <v>--</v>
      </c>
      <c r="O34" s="351"/>
      <c r="Q34" s="1557"/>
      <c r="V34" s="1525"/>
      <c r="W34" s="1525"/>
      <c r="X34" s="1525"/>
      <c r="Y34" s="1525"/>
      <c r="Z34" s="1525"/>
      <c r="AA34" s="1525"/>
      <c r="AB34" s="1525"/>
      <c r="AC34" s="1525"/>
      <c r="AD34" s="1525"/>
      <c r="AE34" s="1525"/>
      <c r="AF34" s="1525"/>
      <c r="AG34" s="1525"/>
      <c r="AH34" s="1525"/>
      <c r="AI34" s="1525"/>
      <c r="AJ34" s="1525"/>
    </row>
    <row r="35" spans="1:36" ht="12" customHeight="1">
      <c r="A35" s="1557" t="str">
        <f t="shared" si="1"/>
        <v>n</v>
      </c>
      <c r="B35" s="1557"/>
      <c r="C35" s="146" t="str">
        <f>'DATA GPC'!E44</f>
        <v>--</v>
      </c>
      <c r="D35" s="359" t="str">
        <f>'Working Capital'!D35</f>
        <v>--</v>
      </c>
      <c r="E35" s="677"/>
      <c r="F35" s="1364" t="str">
        <f>IFERROR('DATA GPC'!K714/'DATA GPC'!K590,"--")</f>
        <v>--</v>
      </c>
      <c r="G35" s="1364" t="str">
        <f>IFERROR('DATA GPC'!L714/'DATA GPC'!L590,"--")</f>
        <v>--</v>
      </c>
      <c r="H35" s="1364" t="str">
        <f>IFERROR('DATA GPC'!M714/'DATA GPC'!M590,"--")</f>
        <v>--</v>
      </c>
      <c r="I35" s="1364" t="str">
        <f>IFERROR('DATA GPC'!N714/'DATA GPC'!N590,"--")</f>
        <v>--</v>
      </c>
      <c r="J35" s="1364" t="str">
        <f>IFERROR('DATA GPC'!O714/'DATA GPC'!O590,"--")</f>
        <v>--</v>
      </c>
      <c r="K35" s="1364" t="str">
        <f>IFERROR('DATA GPC'!P714/'DATA GPC'!P590,"--")</f>
        <v>--</v>
      </c>
      <c r="L35" s="1364"/>
      <c r="M35" s="1364" t="str">
        <f>IFERROR(AVERAGE(H35:$J35),"--")</f>
        <v>--</v>
      </c>
      <c r="N35" s="1364" t="str">
        <f>IFERROR(AVERAGE(F35:$J35),"--")</f>
        <v>--</v>
      </c>
      <c r="O35" s="351"/>
      <c r="P35" s="1530"/>
      <c r="Q35" s="1557"/>
      <c r="R35" s="1530"/>
      <c r="S35" s="1530"/>
      <c r="T35" s="1530"/>
      <c r="U35" s="1530"/>
      <c r="V35" s="1525"/>
      <c r="W35" s="1525"/>
      <c r="X35" s="1525"/>
      <c r="Y35" s="1525"/>
      <c r="Z35" s="1525"/>
      <c r="AA35" s="1525"/>
      <c r="AB35" s="1525"/>
      <c r="AC35" s="1525"/>
      <c r="AD35" s="1525"/>
      <c r="AE35" s="1525"/>
      <c r="AF35" s="1525"/>
      <c r="AG35" s="1525"/>
      <c r="AH35" s="1525"/>
      <c r="AI35" s="1525"/>
      <c r="AJ35" s="1525"/>
    </row>
    <row r="36" spans="1:36" ht="12" customHeight="1">
      <c r="A36" s="1557"/>
      <c r="B36" s="1557"/>
      <c r="C36" s="1542"/>
      <c r="D36" s="1542"/>
      <c r="E36" s="2060"/>
      <c r="F36" s="1369"/>
      <c r="G36" s="1369"/>
      <c r="H36" s="1369"/>
      <c r="I36" s="1369"/>
      <c r="J36" s="1369"/>
      <c r="K36" s="1369"/>
      <c r="L36" s="1369"/>
      <c r="M36" s="1369"/>
      <c r="N36" s="1369"/>
      <c r="O36" s="2060"/>
      <c r="P36" s="1530"/>
      <c r="Q36" s="1557"/>
      <c r="R36" s="1530"/>
      <c r="S36" s="1530"/>
      <c r="T36" s="1530"/>
      <c r="U36" s="1530"/>
      <c r="V36" s="1525"/>
      <c r="W36" s="1525"/>
      <c r="X36" s="1525"/>
      <c r="Y36" s="1525"/>
      <c r="Z36" s="1525"/>
      <c r="AA36" s="1525"/>
      <c r="AB36" s="1525"/>
      <c r="AC36" s="1525"/>
      <c r="AD36" s="1525"/>
      <c r="AE36" s="1525"/>
      <c r="AF36" s="1525"/>
      <c r="AG36" s="1525"/>
      <c r="AH36" s="1525"/>
      <c r="AI36" s="1525"/>
      <c r="AJ36" s="1525"/>
    </row>
    <row r="37" spans="1:36" ht="12" customHeight="1">
      <c r="A37" s="1557"/>
      <c r="B37" s="1557"/>
      <c r="C37" s="1542"/>
      <c r="D37" s="1543" t="s">
        <v>1275</v>
      </c>
      <c r="E37" s="2060"/>
      <c r="F37" s="1734">
        <f t="shared" ref="F37:K37" si="2">IFERROR(MAX(F11:F35),"n/a")</f>
        <v>0</v>
      </c>
      <c r="G37" s="1734">
        <f t="shared" si="2"/>
        <v>0</v>
      </c>
      <c r="H37" s="1734">
        <f t="shared" si="2"/>
        <v>0</v>
      </c>
      <c r="I37" s="1734">
        <f t="shared" si="2"/>
        <v>0</v>
      </c>
      <c r="J37" s="1734">
        <f t="shared" si="2"/>
        <v>0</v>
      </c>
      <c r="K37" s="1734">
        <f t="shared" si="2"/>
        <v>0</v>
      </c>
      <c r="L37" s="1734"/>
      <c r="M37" s="1734">
        <f>IFERROR(MAX(M11:M35),"n/a")</f>
        <v>0</v>
      </c>
      <c r="N37" s="1734">
        <f>IFERROR(MAX(N11:N35),"n/a")</f>
        <v>0</v>
      </c>
      <c r="O37" s="2060"/>
      <c r="P37" s="1530"/>
      <c r="Q37" s="1557"/>
      <c r="R37" s="1530"/>
      <c r="S37" s="1530"/>
      <c r="T37" s="1530"/>
      <c r="U37" s="1530"/>
      <c r="V37" s="1525"/>
      <c r="W37" s="1525"/>
      <c r="X37" s="1525"/>
      <c r="Y37" s="1525"/>
      <c r="Z37" s="1525"/>
      <c r="AA37" s="1525"/>
      <c r="AB37" s="1525"/>
      <c r="AC37" s="1525"/>
      <c r="AD37" s="1525"/>
      <c r="AE37" s="1525"/>
      <c r="AF37" s="1525"/>
      <c r="AG37" s="1525"/>
      <c r="AH37" s="1525"/>
      <c r="AI37" s="1525"/>
      <c r="AJ37" s="1525"/>
    </row>
    <row r="38" spans="1:36" ht="12" customHeight="1">
      <c r="A38" s="1557"/>
      <c r="B38" s="1557"/>
      <c r="C38" s="1542"/>
      <c r="D38" s="1543" t="s">
        <v>1469</v>
      </c>
      <c r="E38" s="2060"/>
      <c r="F38" s="1614" t="str">
        <f t="shared" ref="F38:K38" si="3">IFERROR(QUARTILE(F11:F35,3),"n/a")</f>
        <v>n/a</v>
      </c>
      <c r="G38" s="1614" t="str">
        <f t="shared" si="3"/>
        <v>n/a</v>
      </c>
      <c r="H38" s="1614" t="str">
        <f t="shared" si="3"/>
        <v>n/a</v>
      </c>
      <c r="I38" s="1614" t="str">
        <f t="shared" si="3"/>
        <v>n/a</v>
      </c>
      <c r="J38" s="1614" t="str">
        <f t="shared" si="3"/>
        <v>n/a</v>
      </c>
      <c r="K38" s="1614" t="str">
        <f t="shared" si="3"/>
        <v>n/a</v>
      </c>
      <c r="L38" s="1614"/>
      <c r="M38" s="1614" t="str">
        <f>IFERROR(QUARTILE(M11:M35,3),"n/a")</f>
        <v>n/a</v>
      </c>
      <c r="N38" s="1614" t="str">
        <f>IFERROR(QUARTILE(N11:N35,3),"n/a")</f>
        <v>n/a</v>
      </c>
      <c r="O38" s="2060"/>
      <c r="P38" s="1530"/>
      <c r="Q38" s="1557"/>
      <c r="R38" s="1530"/>
      <c r="S38" s="1530"/>
      <c r="T38" s="1530"/>
      <c r="U38" s="1530"/>
      <c r="V38" s="1525"/>
      <c r="W38" s="1525"/>
      <c r="X38" s="1525"/>
      <c r="Y38" s="1525"/>
      <c r="Z38" s="1525"/>
      <c r="AA38" s="1525"/>
      <c r="AB38" s="1525"/>
      <c r="AC38" s="1525"/>
      <c r="AD38" s="1525"/>
      <c r="AE38" s="1525"/>
      <c r="AF38" s="1525"/>
      <c r="AG38" s="1525"/>
      <c r="AH38" s="1525"/>
      <c r="AI38" s="1525"/>
      <c r="AJ38" s="1525"/>
    </row>
    <row r="39" spans="1:36" ht="12" customHeight="1">
      <c r="A39" s="1557"/>
      <c r="B39" s="1557"/>
      <c r="C39" s="1542"/>
      <c r="D39" s="1543" t="s">
        <v>1157</v>
      </c>
      <c r="E39" s="2060"/>
      <c r="F39" s="1614" t="str">
        <f t="shared" ref="F39:K39" si="4">IFERROR(AVERAGE(F11:F35),"n/a")</f>
        <v>n/a</v>
      </c>
      <c r="G39" s="1614" t="str">
        <f t="shared" si="4"/>
        <v>n/a</v>
      </c>
      <c r="H39" s="1614" t="str">
        <f t="shared" si="4"/>
        <v>n/a</v>
      </c>
      <c r="I39" s="1614" t="str">
        <f t="shared" si="4"/>
        <v>n/a</v>
      </c>
      <c r="J39" s="1614" t="str">
        <f t="shared" si="4"/>
        <v>n/a</v>
      </c>
      <c r="K39" s="1614" t="str">
        <f t="shared" si="4"/>
        <v>n/a</v>
      </c>
      <c r="L39" s="1614"/>
      <c r="M39" s="1614" t="str">
        <f>IFERROR(AVERAGE(M11:M35),"n/a")</f>
        <v>n/a</v>
      </c>
      <c r="N39" s="1614" t="str">
        <f>IFERROR(AVERAGE(N11:N35),"n/a")</f>
        <v>n/a</v>
      </c>
      <c r="O39" s="2060"/>
      <c r="P39" s="1530"/>
      <c r="Q39" s="1557"/>
      <c r="R39" s="1530"/>
      <c r="S39" s="1530"/>
      <c r="T39" s="1530"/>
      <c r="U39" s="1530"/>
      <c r="V39" s="1525"/>
      <c r="W39" s="1525"/>
      <c r="X39" s="1525"/>
      <c r="Y39" s="1525"/>
      <c r="Z39" s="1525"/>
      <c r="AA39" s="1525"/>
      <c r="AB39" s="1525"/>
      <c r="AC39" s="1525"/>
      <c r="AD39" s="1525"/>
      <c r="AE39" s="1525"/>
      <c r="AF39" s="1525"/>
      <c r="AG39" s="1525"/>
      <c r="AH39" s="1525"/>
      <c r="AI39" s="1525"/>
      <c r="AJ39" s="1525"/>
    </row>
    <row r="40" spans="1:36" ht="12" customHeight="1">
      <c r="A40" s="1557"/>
      <c r="B40" s="1557"/>
      <c r="C40" s="1542"/>
      <c r="D40" s="1543" t="s">
        <v>1158</v>
      </c>
      <c r="E40" s="2060"/>
      <c r="F40" s="1614" t="str">
        <f t="shared" ref="F40:K40" si="5">IFERROR(MEDIAN(F11:F35),"n/a")</f>
        <v>n/a</v>
      </c>
      <c r="G40" s="1614" t="str">
        <f t="shared" si="5"/>
        <v>n/a</v>
      </c>
      <c r="H40" s="1614" t="str">
        <f t="shared" si="5"/>
        <v>n/a</v>
      </c>
      <c r="I40" s="1614" t="str">
        <f t="shared" si="5"/>
        <v>n/a</v>
      </c>
      <c r="J40" s="1614" t="str">
        <f t="shared" si="5"/>
        <v>n/a</v>
      </c>
      <c r="K40" s="1614" t="str">
        <f t="shared" si="5"/>
        <v>n/a</v>
      </c>
      <c r="L40" s="1614"/>
      <c r="M40" s="1614" t="str">
        <f>IFERROR(MEDIAN(M11:M35),"n/a")</f>
        <v>n/a</v>
      </c>
      <c r="N40" s="1614" t="str">
        <f>IFERROR(MEDIAN(N11:N35),"n/a")</f>
        <v>n/a</v>
      </c>
      <c r="O40" s="2060"/>
      <c r="P40" s="1530"/>
      <c r="Q40" s="1557"/>
      <c r="R40" s="1530"/>
      <c r="S40" s="1530"/>
      <c r="T40" s="1530"/>
      <c r="U40" s="1530"/>
      <c r="V40" s="1525"/>
      <c r="W40" s="1525"/>
      <c r="X40" s="1525"/>
      <c r="Y40" s="1525"/>
      <c r="Z40" s="1525"/>
      <c r="AA40" s="1525"/>
      <c r="AB40" s="1525"/>
      <c r="AC40" s="1525"/>
      <c r="AD40" s="1525"/>
      <c r="AE40" s="1525"/>
      <c r="AF40" s="1525"/>
      <c r="AG40" s="1525"/>
      <c r="AH40" s="1525"/>
      <c r="AI40" s="1525"/>
      <c r="AJ40" s="1525"/>
    </row>
    <row r="41" spans="1:36" ht="12" customHeight="1">
      <c r="A41" s="1557"/>
      <c r="B41" s="1557"/>
      <c r="C41" s="1542"/>
      <c r="D41" s="1543" t="s">
        <v>1470</v>
      </c>
      <c r="E41" s="2060"/>
      <c r="F41" s="1614" t="str">
        <f t="shared" ref="F41:K41" si="6">IFERROR(QUARTILE(F11:F35,1),"n/a")</f>
        <v>n/a</v>
      </c>
      <c r="G41" s="1614" t="str">
        <f t="shared" si="6"/>
        <v>n/a</v>
      </c>
      <c r="H41" s="1614" t="str">
        <f t="shared" si="6"/>
        <v>n/a</v>
      </c>
      <c r="I41" s="1614" t="str">
        <f t="shared" si="6"/>
        <v>n/a</v>
      </c>
      <c r="J41" s="1614" t="str">
        <f t="shared" si="6"/>
        <v>n/a</v>
      </c>
      <c r="K41" s="1614" t="str">
        <f t="shared" si="6"/>
        <v>n/a</v>
      </c>
      <c r="L41" s="1614"/>
      <c r="M41" s="1614" t="str">
        <f>IFERROR(QUARTILE(M11:M35,1),"n/a")</f>
        <v>n/a</v>
      </c>
      <c r="N41" s="1614" t="str">
        <f>IFERROR(QUARTILE(N11:N35,1),"n/a")</f>
        <v>n/a</v>
      </c>
      <c r="O41" s="2060"/>
      <c r="P41" s="1530"/>
      <c r="Q41" s="1557"/>
      <c r="R41" s="1530"/>
      <c r="S41" s="1530"/>
      <c r="T41" s="1530"/>
      <c r="U41" s="1530"/>
      <c r="V41" s="1525"/>
      <c r="W41" s="1525"/>
      <c r="X41" s="1525"/>
      <c r="Y41" s="1525"/>
      <c r="Z41" s="1525"/>
      <c r="AA41" s="1525"/>
      <c r="AB41" s="1525"/>
      <c r="AC41" s="1525"/>
      <c r="AD41" s="1525"/>
      <c r="AE41" s="1525"/>
      <c r="AF41" s="1525"/>
      <c r="AG41" s="1525"/>
      <c r="AH41" s="1525"/>
      <c r="AI41" s="1525"/>
      <c r="AJ41" s="1525"/>
    </row>
    <row r="42" spans="1:36" ht="12" customHeight="1">
      <c r="A42" s="1557"/>
      <c r="B42" s="1557"/>
      <c r="C42" s="1542"/>
      <c r="D42" s="1543" t="s">
        <v>1273</v>
      </c>
      <c r="E42" s="2060"/>
      <c r="F42" s="1735">
        <f t="shared" ref="F42:K42" si="7">IFERROR(MIN(F11:F35),"n/a")</f>
        <v>0</v>
      </c>
      <c r="G42" s="1735">
        <f t="shared" si="7"/>
        <v>0</v>
      </c>
      <c r="H42" s="1735">
        <f t="shared" si="7"/>
        <v>0</v>
      </c>
      <c r="I42" s="1735">
        <f t="shared" si="7"/>
        <v>0</v>
      </c>
      <c r="J42" s="1735">
        <f t="shared" si="7"/>
        <v>0</v>
      </c>
      <c r="K42" s="1735">
        <f t="shared" si="7"/>
        <v>0</v>
      </c>
      <c r="L42" s="1735"/>
      <c r="M42" s="1735">
        <f>IFERROR(MIN(M11:M35),"n/a")</f>
        <v>0</v>
      </c>
      <c r="N42" s="1735">
        <f>IFERROR(MIN(N11:N35),"n/a")</f>
        <v>0</v>
      </c>
      <c r="O42" s="2060"/>
      <c r="P42" s="1530"/>
      <c r="Q42" s="1557"/>
      <c r="R42" s="1530"/>
      <c r="S42" s="1530"/>
      <c r="T42" s="1530"/>
      <c r="U42" s="1530"/>
      <c r="V42" s="1525"/>
      <c r="W42" s="1525"/>
      <c r="X42" s="1525"/>
      <c r="Y42" s="1525"/>
      <c r="Z42" s="1525"/>
      <c r="AA42" s="1525"/>
      <c r="AB42" s="1525"/>
      <c r="AC42" s="1525"/>
      <c r="AD42" s="1525"/>
      <c r="AE42" s="1525"/>
      <c r="AF42" s="1525"/>
      <c r="AG42" s="1525"/>
      <c r="AH42" s="1525"/>
      <c r="AI42" s="1525"/>
      <c r="AJ42" s="1525"/>
    </row>
    <row r="43" spans="1:36" ht="12" customHeight="1">
      <c r="A43" s="1557"/>
      <c r="B43" s="1557"/>
      <c r="C43" s="1759" t="s">
        <v>1471</v>
      </c>
      <c r="D43" s="1543"/>
      <c r="E43" s="2060"/>
      <c r="F43" s="1556"/>
      <c r="G43" s="1556"/>
      <c r="H43" s="1556"/>
      <c r="I43" s="1556"/>
      <c r="J43" s="1556"/>
      <c r="K43" s="1556"/>
      <c r="L43" s="1556"/>
      <c r="M43" s="1556"/>
      <c r="N43" s="1556"/>
      <c r="O43" s="2060"/>
      <c r="P43" s="1530"/>
      <c r="Q43" s="1557"/>
      <c r="R43" s="1530"/>
      <c r="S43" s="1530"/>
      <c r="T43" s="1530"/>
      <c r="U43" s="1530"/>
      <c r="V43" s="1525"/>
      <c r="W43" s="1525"/>
      <c r="X43" s="1525"/>
      <c r="Y43" s="1525"/>
      <c r="Z43" s="1525"/>
      <c r="AA43" s="1525"/>
      <c r="AB43" s="1525"/>
      <c r="AC43" s="1525"/>
      <c r="AD43" s="1525"/>
      <c r="AE43" s="1525"/>
      <c r="AF43" s="1525"/>
      <c r="AG43" s="1525"/>
      <c r="AH43" s="1525"/>
      <c r="AI43" s="1525"/>
      <c r="AJ43" s="1525"/>
    </row>
    <row r="44" spans="1:36" s="1530" customFormat="1" ht="12" customHeight="1">
      <c r="A44" s="1557"/>
      <c r="B44" s="1557"/>
      <c r="C44" s="1542" t="str">
        <f>ClientName</f>
        <v/>
      </c>
      <c r="D44" s="359">
        <f>LFQLTM</f>
        <v>42643</v>
      </c>
      <c r="E44" s="2060"/>
      <c r="F44" s="1556" t="str">
        <f>IFERROR(-'INC STAT Hist Input'!F21/'INC STAT Hist Input'!F10,"--")</f>
        <v>--</v>
      </c>
      <c r="G44" s="1556" t="str">
        <f>IFERROR(-'INC STAT Hist Input'!G21/'INC STAT Hist Input'!G10,"--")</f>
        <v>--</v>
      </c>
      <c r="H44" s="1556" t="str">
        <f>IFERROR(-'INC STAT Hist Input'!H21/'INC STAT Hist Input'!H10,"--")</f>
        <v>--</v>
      </c>
      <c r="I44" s="1556" t="str">
        <f>IFERROR(-'INC STAT Hist Input'!I21/'INC STAT Hist Input'!I10,"--")</f>
        <v>--</v>
      </c>
      <c r="J44" s="1556" t="str">
        <f>IFERROR(-'INC STAT Hist Input'!J21/'INC STAT Hist Input'!J10,"--")</f>
        <v>--</v>
      </c>
      <c r="K44" s="1556" t="str">
        <f>IFERROR(-'INC STAT Hist Input'!K21/'INC STAT Hist Input'!K10,"--")</f>
        <v>--</v>
      </c>
      <c r="L44" s="1556"/>
      <c r="M44" s="1364" t="str">
        <f>IFERROR(AVERAGE(H44:J44),"--")</f>
        <v>--</v>
      </c>
      <c r="N44" s="1364" t="str">
        <f>IFERROR(AVERAGE(F44:J44),"--")</f>
        <v>--</v>
      </c>
      <c r="O44" s="2060"/>
      <c r="Q44" s="1557"/>
      <c r="V44" s="1525"/>
      <c r="W44" s="1525"/>
      <c r="X44" s="1525"/>
      <c r="Y44" s="1525"/>
      <c r="Z44" s="1525"/>
      <c r="AA44" s="1525"/>
      <c r="AB44" s="1525"/>
      <c r="AC44" s="1525"/>
      <c r="AD44" s="1525"/>
      <c r="AE44" s="1525"/>
      <c r="AF44" s="1525"/>
      <c r="AG44" s="1525"/>
      <c r="AH44" s="1525"/>
      <c r="AI44" s="1525"/>
      <c r="AJ44" s="1525"/>
    </row>
    <row r="45" spans="1:36" s="1530" customFormat="1" ht="12" customHeight="1">
      <c r="A45" s="1557"/>
      <c r="B45" s="1557"/>
      <c r="C45" s="1542"/>
      <c r="D45" s="359"/>
      <c r="E45" s="2060"/>
      <c r="F45" s="1556"/>
      <c r="G45" s="1556"/>
      <c r="H45" s="1556"/>
      <c r="I45" s="1556"/>
      <c r="J45" s="1556"/>
      <c r="K45" s="1556"/>
      <c r="L45" s="1556"/>
      <c r="M45" s="1364"/>
      <c r="N45" s="1364"/>
      <c r="O45" s="2060"/>
      <c r="Q45" s="1557"/>
      <c r="V45" s="1525"/>
      <c r="W45" s="1525"/>
      <c r="X45" s="1525"/>
      <c r="Y45" s="1525"/>
      <c r="Z45" s="1525"/>
      <c r="AA45" s="1525"/>
      <c r="AB45" s="1525"/>
      <c r="AC45" s="1525"/>
      <c r="AD45" s="1525"/>
      <c r="AE45" s="1525"/>
      <c r="AF45" s="1525"/>
      <c r="AG45" s="1525"/>
      <c r="AH45" s="1525"/>
      <c r="AI45" s="1525"/>
      <c r="AJ45" s="1525"/>
    </row>
    <row r="46" spans="1:36" s="1530" customFormat="1" ht="12" customHeight="1">
      <c r="A46" s="1557"/>
      <c r="B46" s="1557"/>
      <c r="C46" s="1542"/>
      <c r="D46" s="359"/>
      <c r="E46" s="2060"/>
      <c r="F46" s="1556"/>
      <c r="G46" s="1556"/>
      <c r="H46" s="1556"/>
      <c r="I46" s="1556"/>
      <c r="J46" s="1556"/>
      <c r="K46" s="1556"/>
      <c r="L46" s="1556"/>
      <c r="M46" s="1364"/>
      <c r="N46" s="1364"/>
      <c r="O46" s="2060"/>
      <c r="Q46" s="1557"/>
      <c r="V46" s="1525"/>
      <c r="W46" s="1525"/>
      <c r="X46" s="1525"/>
      <c r="Y46" s="1525"/>
      <c r="Z46" s="1525"/>
      <c r="AA46" s="1525"/>
      <c r="AB46" s="1525"/>
      <c r="AC46" s="1525"/>
      <c r="AD46" s="1525"/>
      <c r="AE46" s="1525"/>
      <c r="AF46" s="1525"/>
      <c r="AG46" s="1525"/>
      <c r="AH46" s="1525"/>
      <c r="AI46" s="1525"/>
      <c r="AJ46" s="1525"/>
    </row>
    <row r="47" spans="1:36" s="1530" customFormat="1" ht="12" customHeight="1">
      <c r="A47" s="1557"/>
      <c r="B47" s="1557"/>
      <c r="C47" s="1542"/>
      <c r="D47" s="359"/>
      <c r="E47" s="2060"/>
      <c r="F47" s="1556"/>
      <c r="G47" s="1556"/>
      <c r="H47" s="1556"/>
      <c r="I47" s="1556"/>
      <c r="J47" s="1556"/>
      <c r="K47" s="1556"/>
      <c r="L47" s="1556"/>
      <c r="M47" s="1364"/>
      <c r="N47" s="1364"/>
      <c r="O47" s="2060"/>
      <c r="Q47" s="1557"/>
      <c r="V47" s="1525"/>
      <c r="W47" s="1525"/>
      <c r="X47" s="1525"/>
      <c r="Y47" s="1525"/>
      <c r="Z47" s="1525"/>
      <c r="AA47" s="1525"/>
      <c r="AB47" s="1525"/>
      <c r="AC47" s="1525"/>
      <c r="AD47" s="1525"/>
      <c r="AE47" s="1525"/>
      <c r="AF47" s="1525"/>
      <c r="AG47" s="1525"/>
      <c r="AH47" s="1525"/>
      <c r="AI47" s="1525"/>
      <c r="AJ47" s="1525"/>
    </row>
    <row r="48" spans="1:36" s="1530" customFormat="1" ht="12" customHeight="1">
      <c r="A48" s="1557"/>
      <c r="B48" s="1557"/>
      <c r="C48" s="1542"/>
      <c r="D48" s="1543"/>
      <c r="E48" s="2060"/>
      <c r="F48" s="1556"/>
      <c r="G48" s="1556"/>
      <c r="H48" s="1556"/>
      <c r="I48" s="1556"/>
      <c r="J48" s="1556"/>
      <c r="K48" s="1556"/>
      <c r="L48" s="1556"/>
      <c r="M48" s="1556"/>
      <c r="N48" s="1556"/>
      <c r="O48" s="2060"/>
      <c r="Q48" s="1557"/>
      <c r="V48" s="1525"/>
      <c r="W48" s="1525"/>
      <c r="X48" s="1525"/>
      <c r="Y48" s="1525"/>
      <c r="Z48" s="1525"/>
      <c r="AA48" s="1525"/>
      <c r="AB48" s="1525"/>
      <c r="AC48" s="1525"/>
      <c r="AD48" s="1525"/>
      <c r="AE48" s="1525"/>
      <c r="AF48" s="1525"/>
      <c r="AG48" s="1525"/>
      <c r="AH48" s="1525"/>
      <c r="AI48" s="1525"/>
      <c r="AJ48" s="1525"/>
    </row>
    <row r="49" spans="1:36" ht="12" customHeight="1">
      <c r="A49" s="1557"/>
      <c r="B49" s="1557"/>
      <c r="C49" s="1268"/>
      <c r="D49" s="1268"/>
      <c r="E49" s="1268"/>
      <c r="F49" s="1168"/>
      <c r="G49" s="1168"/>
      <c r="H49" s="1168"/>
      <c r="I49" s="1168"/>
      <c r="J49" s="1168"/>
      <c r="K49" s="1168"/>
      <c r="L49" s="1168"/>
      <c r="M49" s="1168" t="s">
        <v>1457</v>
      </c>
      <c r="N49" s="1168" t="s">
        <v>1456</v>
      </c>
      <c r="O49" s="345"/>
      <c r="P49" s="1530"/>
      <c r="Q49" s="1557"/>
      <c r="R49" s="1530"/>
      <c r="S49" s="1530"/>
      <c r="T49" s="1530"/>
      <c r="U49" s="1530"/>
      <c r="V49" s="1525"/>
      <c r="W49" s="1525"/>
      <c r="X49" s="1525"/>
      <c r="Y49" s="1525"/>
      <c r="Z49" s="1525"/>
      <c r="AA49" s="1525"/>
      <c r="AB49" s="1525"/>
      <c r="AC49" s="1525"/>
      <c r="AD49" s="1525"/>
      <c r="AE49" s="1525"/>
      <c r="AF49" s="1525"/>
      <c r="AG49" s="1525"/>
      <c r="AH49" s="1525"/>
      <c r="AI49" s="1525"/>
      <c r="AJ49" s="1525"/>
    </row>
    <row r="50" spans="1:36" ht="12" customHeight="1">
      <c r="A50" s="1557"/>
      <c r="B50" s="1557"/>
      <c r="C50" s="1833" t="s">
        <v>1664</v>
      </c>
      <c r="D50" s="1270" t="s">
        <v>1475</v>
      </c>
      <c r="E50" s="1271"/>
      <c r="F50" s="1272" t="s">
        <v>700</v>
      </c>
      <c r="G50" s="1272" t="s">
        <v>701</v>
      </c>
      <c r="H50" s="1272" t="s">
        <v>702</v>
      </c>
      <c r="I50" s="1272" t="s">
        <v>703</v>
      </c>
      <c r="J50" s="1272" t="s">
        <v>704</v>
      </c>
      <c r="K50" s="1272" t="s">
        <v>705</v>
      </c>
      <c r="L50" s="1272"/>
      <c r="M50" s="1272" t="s">
        <v>932</v>
      </c>
      <c r="N50" s="1272" t="s">
        <v>932</v>
      </c>
      <c r="O50" s="345"/>
      <c r="P50" s="1530"/>
      <c r="Q50" s="1557"/>
      <c r="R50" s="1530"/>
      <c r="S50" s="1530"/>
      <c r="T50" s="1530"/>
      <c r="U50" s="1530"/>
      <c r="V50" s="1525"/>
      <c r="W50" s="1525"/>
      <c r="X50" s="1525"/>
      <c r="Y50" s="1525"/>
      <c r="Z50" s="1525"/>
      <c r="AA50" s="1525"/>
      <c r="AB50" s="1525"/>
      <c r="AC50" s="1525"/>
      <c r="AD50" s="1525"/>
      <c r="AE50" s="1525"/>
      <c r="AF50" s="1525"/>
      <c r="AG50" s="1525"/>
      <c r="AH50" s="1525"/>
      <c r="AI50" s="1525"/>
      <c r="AJ50" s="1525"/>
    </row>
    <row r="51" spans="1:36" s="1530" customFormat="1" ht="12" customHeight="1">
      <c r="A51" s="1557"/>
      <c r="B51" s="1557"/>
      <c r="C51" s="1832" t="s">
        <v>1256</v>
      </c>
      <c r="D51" s="1760"/>
      <c r="E51" s="1830"/>
      <c r="F51" s="738"/>
      <c r="G51" s="738"/>
      <c r="H51" s="738"/>
      <c r="I51" s="738"/>
      <c r="J51" s="738"/>
      <c r="K51" s="738"/>
      <c r="L51" s="738"/>
      <c r="M51" s="738"/>
      <c r="N51" s="738"/>
      <c r="O51" s="345"/>
      <c r="Q51" s="1557"/>
      <c r="V51" s="1525"/>
      <c r="W51" s="1525"/>
      <c r="X51" s="1525"/>
      <c r="Y51" s="1525"/>
      <c r="Z51" s="1525"/>
      <c r="AA51" s="1525"/>
      <c r="AB51" s="1525"/>
      <c r="AC51" s="1525"/>
      <c r="AD51" s="1525"/>
      <c r="AE51" s="1525"/>
      <c r="AF51" s="1525"/>
      <c r="AG51" s="1525"/>
      <c r="AH51" s="1525"/>
      <c r="AI51" s="1525"/>
      <c r="AJ51" s="1525"/>
    </row>
    <row r="52" spans="1:36" ht="12" customHeight="1">
      <c r="A52" s="1557" t="str">
        <f t="shared" ref="A52:A76" si="8">IF(C52="--","n","")</f>
        <v>n</v>
      </c>
      <c r="B52" s="1557"/>
      <c r="C52" s="146" t="str">
        <f>'DATA GPC'!E20</f>
        <v>--</v>
      </c>
      <c r="D52" s="359" t="str">
        <f>'Working Capital'!D11</f>
        <v>--</v>
      </c>
      <c r="E52" s="359"/>
      <c r="F52" s="1364" t="str">
        <f>IFERROR('DATA GPC'!K814/'DATA GPC'!K566,"--")</f>
        <v>--</v>
      </c>
      <c r="G52" s="1364" t="str">
        <f>IFERROR('DATA GPC'!L814/'DATA GPC'!L566,"--")</f>
        <v>--</v>
      </c>
      <c r="H52" s="1364" t="str">
        <f>IFERROR('DATA GPC'!M814/'DATA GPC'!M566,"--")</f>
        <v>--</v>
      </c>
      <c r="I52" s="1364" t="str">
        <f>IFERROR('DATA GPC'!N814/'DATA GPC'!N566,"--")</f>
        <v>--</v>
      </c>
      <c r="J52" s="1364" t="str">
        <f>IFERROR('DATA GPC'!O814/'DATA GPC'!O566,"--")</f>
        <v>--</v>
      </c>
      <c r="K52" s="1364" t="str">
        <f>IFERROR('DATA GPC'!P814/'DATA GPC'!P566,"--")</f>
        <v>--</v>
      </c>
      <c r="L52" s="1364"/>
      <c r="M52" s="1364" t="str">
        <f>IFERROR(AVERAGE(H52:$J52),"--")</f>
        <v>--</v>
      </c>
      <c r="N52" s="1364" t="str">
        <f>IFERROR(AVERAGE(F52:$J52),"--")</f>
        <v>--</v>
      </c>
      <c r="O52" s="351"/>
      <c r="P52" s="1530"/>
      <c r="Q52" s="1557"/>
      <c r="R52" s="1530"/>
      <c r="S52" s="1530"/>
      <c r="T52" s="1530"/>
      <c r="U52" s="1530"/>
      <c r="V52" s="1525"/>
      <c r="W52" s="1525"/>
      <c r="X52" s="1525"/>
      <c r="Y52" s="1525"/>
      <c r="Z52" s="1525"/>
      <c r="AA52" s="1525"/>
      <c r="AB52" s="1525"/>
      <c r="AC52" s="1525"/>
      <c r="AD52" s="1525"/>
      <c r="AE52" s="1525"/>
      <c r="AF52" s="1525"/>
      <c r="AG52" s="1525"/>
      <c r="AH52" s="1525"/>
      <c r="AI52" s="1525"/>
      <c r="AJ52" s="1525"/>
    </row>
    <row r="53" spans="1:36" ht="12" customHeight="1">
      <c r="A53" s="1557" t="str">
        <f t="shared" si="8"/>
        <v>n</v>
      </c>
      <c r="B53" s="1557"/>
      <c r="C53" s="146" t="str">
        <f>'DATA GPC'!E21</f>
        <v>--</v>
      </c>
      <c r="D53" s="359" t="str">
        <f>'Working Capital'!D12</f>
        <v>--</v>
      </c>
      <c r="E53" s="359"/>
      <c r="F53" s="1364" t="str">
        <f>IFERROR('DATA GPC'!K815/'DATA GPC'!K567,"--")</f>
        <v>--</v>
      </c>
      <c r="G53" s="1364" t="str">
        <f>IFERROR('DATA GPC'!L815/'DATA GPC'!L567,"--")</f>
        <v>--</v>
      </c>
      <c r="H53" s="1364" t="str">
        <f>IFERROR('DATA GPC'!M815/'DATA GPC'!M567,"--")</f>
        <v>--</v>
      </c>
      <c r="I53" s="1364" t="str">
        <f>IFERROR('DATA GPC'!N815/'DATA GPC'!N567,"--")</f>
        <v>--</v>
      </c>
      <c r="J53" s="1364" t="str">
        <f>IFERROR('DATA GPC'!O815/'DATA GPC'!O567,"--")</f>
        <v>--</v>
      </c>
      <c r="K53" s="1364" t="str">
        <f>IFERROR('DATA GPC'!P815/'DATA GPC'!P567,"--")</f>
        <v>--</v>
      </c>
      <c r="L53" s="1364"/>
      <c r="M53" s="1364" t="str">
        <f>IFERROR(AVERAGE(H53:$J53),"--")</f>
        <v>--</v>
      </c>
      <c r="N53" s="1364" t="str">
        <f>IFERROR(AVERAGE(F53:$J53),"--")</f>
        <v>--</v>
      </c>
      <c r="O53" s="351"/>
      <c r="P53" s="1530"/>
      <c r="Q53" s="1557"/>
      <c r="R53" s="1530"/>
      <c r="S53" s="1530"/>
      <c r="T53" s="1530"/>
      <c r="U53" s="1530"/>
      <c r="V53" s="1525"/>
      <c r="W53" s="1525"/>
      <c r="X53" s="1525"/>
      <c r="Y53" s="1525"/>
      <c r="Z53" s="1525"/>
      <c r="AA53" s="1525"/>
      <c r="AB53" s="1525"/>
      <c r="AC53" s="1525"/>
      <c r="AD53" s="1525"/>
      <c r="AE53" s="1525"/>
      <c r="AF53" s="1525"/>
      <c r="AG53" s="1525"/>
      <c r="AH53" s="1525"/>
      <c r="AI53" s="1525"/>
      <c r="AJ53" s="1525"/>
    </row>
    <row r="54" spans="1:36" ht="12" customHeight="1">
      <c r="A54" s="1557" t="str">
        <f t="shared" si="8"/>
        <v>n</v>
      </c>
      <c r="B54" s="1557"/>
      <c r="C54" s="146" t="str">
        <f>'DATA GPC'!E22</f>
        <v>--</v>
      </c>
      <c r="D54" s="359" t="str">
        <f>'Working Capital'!D13</f>
        <v>--</v>
      </c>
      <c r="E54" s="359"/>
      <c r="F54" s="1364" t="str">
        <f>IFERROR('DATA GPC'!K816/'DATA GPC'!K568,"--")</f>
        <v>--</v>
      </c>
      <c r="G54" s="1364" t="str">
        <f>IFERROR('DATA GPC'!L816/'DATA GPC'!L568,"--")</f>
        <v>--</v>
      </c>
      <c r="H54" s="1364" t="str">
        <f>IFERROR('DATA GPC'!M816/'DATA GPC'!M568,"--")</f>
        <v>--</v>
      </c>
      <c r="I54" s="1364" t="str">
        <f>IFERROR('DATA GPC'!N816/'DATA GPC'!N568,"--")</f>
        <v>--</v>
      </c>
      <c r="J54" s="1364" t="str">
        <f>IFERROR('DATA GPC'!O816/'DATA GPC'!O568,"--")</f>
        <v>--</v>
      </c>
      <c r="K54" s="1364" t="str">
        <f>IFERROR('DATA GPC'!P816/'DATA GPC'!P568,"--")</f>
        <v>--</v>
      </c>
      <c r="L54" s="1364"/>
      <c r="M54" s="1364" t="str">
        <f>IFERROR(AVERAGE(H54:$J54),"--")</f>
        <v>--</v>
      </c>
      <c r="N54" s="1364" t="str">
        <f>IFERROR(AVERAGE(F54:$J54),"--")</f>
        <v>--</v>
      </c>
      <c r="O54" s="351"/>
      <c r="P54" s="1530"/>
      <c r="Q54" s="1557"/>
      <c r="R54" s="1530"/>
      <c r="S54" s="1530"/>
      <c r="T54" s="1530"/>
      <c r="U54" s="1530"/>
      <c r="V54" s="1525"/>
      <c r="W54" s="1525"/>
      <c r="X54" s="1525"/>
      <c r="Y54" s="1525"/>
      <c r="Z54" s="1525"/>
      <c r="AA54" s="1525"/>
      <c r="AB54" s="1525"/>
      <c r="AC54" s="1525"/>
      <c r="AD54" s="1525"/>
      <c r="AE54" s="1525"/>
      <c r="AF54" s="1525"/>
      <c r="AG54" s="1525"/>
      <c r="AH54" s="1525"/>
      <c r="AI54" s="1525"/>
      <c r="AJ54" s="1525"/>
    </row>
    <row r="55" spans="1:36" ht="12" customHeight="1">
      <c r="A55" s="1557" t="str">
        <f t="shared" si="8"/>
        <v>n</v>
      </c>
      <c r="B55" s="1557"/>
      <c r="C55" s="146" t="str">
        <f>'DATA GPC'!E23</f>
        <v>--</v>
      </c>
      <c r="D55" s="359" t="str">
        <f>'Working Capital'!D14</f>
        <v>--</v>
      </c>
      <c r="E55" s="359"/>
      <c r="F55" s="1364" t="str">
        <f>IFERROR('DATA GPC'!K817/'DATA GPC'!K569,"--")</f>
        <v>--</v>
      </c>
      <c r="G55" s="1364" t="str">
        <f>IFERROR('DATA GPC'!L817/'DATA GPC'!L569,"--")</f>
        <v>--</v>
      </c>
      <c r="H55" s="1364" t="str">
        <f>IFERROR('DATA GPC'!M817/'DATA GPC'!M569,"--")</f>
        <v>--</v>
      </c>
      <c r="I55" s="1364" t="str">
        <f>IFERROR('DATA GPC'!N817/'DATA GPC'!N569,"--")</f>
        <v>--</v>
      </c>
      <c r="J55" s="1364" t="str">
        <f>IFERROR('DATA GPC'!O817/'DATA GPC'!O569,"--")</f>
        <v>--</v>
      </c>
      <c r="K55" s="1364" t="str">
        <f>IFERROR('DATA GPC'!P817/'DATA GPC'!P569,"--")</f>
        <v>--</v>
      </c>
      <c r="L55" s="1364"/>
      <c r="M55" s="1364" t="str">
        <f>IFERROR(AVERAGE(H55:$J55),"--")</f>
        <v>--</v>
      </c>
      <c r="N55" s="1364" t="str">
        <f>IFERROR(AVERAGE(F55:$J55),"--")</f>
        <v>--</v>
      </c>
      <c r="O55" s="351"/>
      <c r="P55" s="1530"/>
      <c r="Q55" s="1557"/>
      <c r="R55" s="1530"/>
      <c r="S55" s="1530"/>
      <c r="T55" s="1530"/>
      <c r="U55" s="1530"/>
      <c r="V55" s="1525"/>
      <c r="W55" s="1525"/>
      <c r="X55" s="1525"/>
      <c r="Y55" s="1525"/>
      <c r="Z55" s="1525"/>
      <c r="AA55" s="1525"/>
      <c r="AB55" s="1525"/>
      <c r="AC55" s="1525"/>
      <c r="AD55" s="1525"/>
      <c r="AE55" s="1525"/>
      <c r="AF55" s="1525"/>
      <c r="AG55" s="1525"/>
      <c r="AH55" s="1525"/>
      <c r="AI55" s="1525"/>
      <c r="AJ55" s="1525"/>
    </row>
    <row r="56" spans="1:36" ht="12" customHeight="1">
      <c r="A56" s="1557" t="str">
        <f t="shared" si="8"/>
        <v>n</v>
      </c>
      <c r="B56" s="1557"/>
      <c r="C56" s="146" t="str">
        <f>'DATA GPC'!E24</f>
        <v>--</v>
      </c>
      <c r="D56" s="359" t="str">
        <f>'Working Capital'!D15</f>
        <v>--</v>
      </c>
      <c r="E56" s="613"/>
      <c r="F56" s="1364" t="str">
        <f>IFERROR('DATA GPC'!K818/'DATA GPC'!K570,"--")</f>
        <v>--</v>
      </c>
      <c r="G56" s="1364" t="str">
        <f>IFERROR('DATA GPC'!L818/'DATA GPC'!L570,"--")</f>
        <v>--</v>
      </c>
      <c r="H56" s="1364" t="str">
        <f>IFERROR('DATA GPC'!M818/'DATA GPC'!M570,"--")</f>
        <v>--</v>
      </c>
      <c r="I56" s="1364" t="str">
        <f>IFERROR('DATA GPC'!N818/'DATA GPC'!N570,"--")</f>
        <v>--</v>
      </c>
      <c r="J56" s="1364" t="str">
        <f>IFERROR('DATA GPC'!O818/'DATA GPC'!O570,"--")</f>
        <v>--</v>
      </c>
      <c r="K56" s="1364" t="str">
        <f>IFERROR('DATA GPC'!P818/'DATA GPC'!P570,"--")</f>
        <v>--</v>
      </c>
      <c r="L56" s="1364"/>
      <c r="M56" s="1364" t="str">
        <f>IFERROR(AVERAGE(H56:$J56),"--")</f>
        <v>--</v>
      </c>
      <c r="N56" s="1364" t="str">
        <f>IFERROR(AVERAGE(F56:$J56),"--")</f>
        <v>--</v>
      </c>
      <c r="O56" s="351"/>
      <c r="P56" s="1530"/>
      <c r="Q56" s="1557"/>
      <c r="R56" s="1530"/>
      <c r="S56" s="1530"/>
      <c r="T56" s="1530"/>
      <c r="U56" s="1530"/>
      <c r="V56" s="1525"/>
      <c r="W56" s="1525"/>
      <c r="X56" s="1525"/>
      <c r="Y56" s="1525"/>
      <c r="Z56" s="1525"/>
      <c r="AA56" s="1525"/>
      <c r="AB56" s="1525"/>
      <c r="AC56" s="1525"/>
      <c r="AD56" s="1525"/>
      <c r="AE56" s="1525"/>
      <c r="AF56" s="1525"/>
      <c r="AG56" s="1525"/>
      <c r="AH56" s="1525"/>
      <c r="AI56" s="1525"/>
      <c r="AJ56" s="1525"/>
    </row>
    <row r="57" spans="1:36" ht="12" customHeight="1">
      <c r="A57" s="1557" t="str">
        <f t="shared" si="8"/>
        <v>n</v>
      </c>
      <c r="B57" s="1557"/>
      <c r="C57" s="146" t="str">
        <f>'DATA GPC'!E25</f>
        <v>--</v>
      </c>
      <c r="D57" s="359" t="str">
        <f>'Working Capital'!D16</f>
        <v>--</v>
      </c>
      <c r="E57" s="613"/>
      <c r="F57" s="1364" t="str">
        <f>IFERROR('DATA GPC'!K819/'DATA GPC'!K571,"--")</f>
        <v>--</v>
      </c>
      <c r="G57" s="1364" t="str">
        <f>IFERROR('DATA GPC'!L819/'DATA GPC'!L571,"--")</f>
        <v>--</v>
      </c>
      <c r="H57" s="1364" t="str">
        <f>IFERROR('DATA GPC'!M819/'DATA GPC'!M571,"--")</f>
        <v>--</v>
      </c>
      <c r="I57" s="1364" t="str">
        <f>IFERROR('DATA GPC'!N819/'DATA GPC'!N571,"--")</f>
        <v>--</v>
      </c>
      <c r="J57" s="1364" t="str">
        <f>IFERROR('DATA GPC'!O819/'DATA GPC'!O571,"--")</f>
        <v>--</v>
      </c>
      <c r="K57" s="1364" t="str">
        <f>IFERROR('DATA GPC'!P819/'DATA GPC'!P571,"--")</f>
        <v>--</v>
      </c>
      <c r="L57" s="1364"/>
      <c r="M57" s="1364" t="str">
        <f>IFERROR(AVERAGE(H57:$J57),"--")</f>
        <v>--</v>
      </c>
      <c r="N57" s="1364" t="str">
        <f>IFERROR(AVERAGE(F57:$J57),"--")</f>
        <v>--</v>
      </c>
      <c r="O57" s="351"/>
      <c r="P57" s="1530"/>
      <c r="Q57" s="1557"/>
      <c r="R57" s="1530"/>
      <c r="S57" s="1530"/>
      <c r="T57" s="1530"/>
      <c r="U57" s="1530"/>
      <c r="V57" s="1525"/>
      <c r="W57" s="1525"/>
      <c r="X57" s="1525"/>
      <c r="Y57" s="1525"/>
      <c r="Z57" s="1525"/>
      <c r="AA57" s="1525"/>
      <c r="AB57" s="1525"/>
      <c r="AC57" s="1525"/>
      <c r="AD57" s="1525"/>
      <c r="AE57" s="1525"/>
      <c r="AF57" s="1525"/>
      <c r="AG57" s="1525"/>
      <c r="AH57" s="1525"/>
      <c r="AI57" s="1525"/>
      <c r="AJ57" s="1525"/>
    </row>
    <row r="58" spans="1:36" ht="12" customHeight="1">
      <c r="A58" s="1557" t="str">
        <f t="shared" si="8"/>
        <v>n</v>
      </c>
      <c r="B58" s="1557"/>
      <c r="C58" s="146" t="str">
        <f>'DATA GPC'!E26</f>
        <v>--</v>
      </c>
      <c r="D58" s="359" t="str">
        <f>'Working Capital'!D17</f>
        <v>--</v>
      </c>
      <c r="E58" s="613"/>
      <c r="F58" s="1364" t="str">
        <f>IFERROR('DATA GPC'!K820/'DATA GPC'!K572,"--")</f>
        <v>--</v>
      </c>
      <c r="G58" s="1364" t="str">
        <f>IFERROR('DATA GPC'!L820/'DATA GPC'!L572,"--")</f>
        <v>--</v>
      </c>
      <c r="H58" s="1364" t="str">
        <f>IFERROR('DATA GPC'!M820/'DATA GPC'!M572,"--")</f>
        <v>--</v>
      </c>
      <c r="I58" s="1364" t="str">
        <f>IFERROR('DATA GPC'!N820/'DATA GPC'!N572,"--")</f>
        <v>--</v>
      </c>
      <c r="J58" s="1364" t="str">
        <f>IFERROR('DATA GPC'!O820/'DATA GPC'!O572,"--")</f>
        <v>--</v>
      </c>
      <c r="K58" s="1364" t="str">
        <f>IFERROR('DATA GPC'!P820/'DATA GPC'!P572,"--")</f>
        <v>--</v>
      </c>
      <c r="L58" s="1364"/>
      <c r="M58" s="1364" t="str">
        <f>IFERROR(AVERAGE(H58:$J58),"--")</f>
        <v>--</v>
      </c>
      <c r="N58" s="1364" t="str">
        <f>IFERROR(AVERAGE(F58:$J58),"--")</f>
        <v>--</v>
      </c>
      <c r="O58" s="351"/>
      <c r="P58" s="1530"/>
      <c r="Q58" s="1557"/>
      <c r="R58" s="1530"/>
      <c r="S58" s="1530"/>
      <c r="T58" s="1530"/>
      <c r="U58" s="1530"/>
      <c r="V58" s="1525"/>
      <c r="W58" s="1525"/>
      <c r="X58" s="1525"/>
      <c r="Y58" s="1525"/>
      <c r="Z58" s="1525"/>
      <c r="AA58" s="1525"/>
      <c r="AB58" s="1525"/>
      <c r="AC58" s="1525"/>
      <c r="AD58" s="1525"/>
      <c r="AE58" s="1525"/>
      <c r="AF58" s="1525"/>
      <c r="AG58" s="1525"/>
      <c r="AH58" s="1525"/>
      <c r="AI58" s="1525"/>
      <c r="AJ58" s="1525"/>
    </row>
    <row r="59" spans="1:36" ht="12" customHeight="1">
      <c r="A59" s="1557" t="str">
        <f t="shared" si="8"/>
        <v>n</v>
      </c>
      <c r="B59" s="1557"/>
      <c r="C59" s="146" t="str">
        <f>'DATA GPC'!E27</f>
        <v>--</v>
      </c>
      <c r="D59" s="359" t="str">
        <f>'Working Capital'!D18</f>
        <v>--</v>
      </c>
      <c r="E59" s="613"/>
      <c r="F59" s="1364" t="str">
        <f>IFERROR('DATA GPC'!K821/'DATA GPC'!K573,"--")</f>
        <v>--</v>
      </c>
      <c r="G59" s="1364" t="str">
        <f>IFERROR('DATA GPC'!L821/'DATA GPC'!L573,"--")</f>
        <v>--</v>
      </c>
      <c r="H59" s="1364" t="str">
        <f>IFERROR('DATA GPC'!M821/'DATA GPC'!M573,"--")</f>
        <v>--</v>
      </c>
      <c r="I59" s="1364" t="str">
        <f>IFERROR('DATA GPC'!N821/'DATA GPC'!N573,"--")</f>
        <v>--</v>
      </c>
      <c r="J59" s="1364" t="str">
        <f>IFERROR('DATA GPC'!O821/'DATA GPC'!O573,"--")</f>
        <v>--</v>
      </c>
      <c r="K59" s="1364" t="str">
        <f>IFERROR('DATA GPC'!P821/'DATA GPC'!P573,"--")</f>
        <v>--</v>
      </c>
      <c r="L59" s="1364"/>
      <c r="M59" s="1364" t="str">
        <f>IFERROR(AVERAGE(H59:$J59),"--")</f>
        <v>--</v>
      </c>
      <c r="N59" s="1364" t="str">
        <f>IFERROR(AVERAGE(F59:$J59),"--")</f>
        <v>--</v>
      </c>
      <c r="O59" s="351"/>
      <c r="P59" s="1530"/>
      <c r="Q59" s="1557"/>
      <c r="R59" s="1530"/>
      <c r="S59" s="1530"/>
      <c r="T59" s="1530"/>
      <c r="U59" s="1530"/>
      <c r="V59" s="1525"/>
      <c r="W59" s="1525"/>
      <c r="X59" s="1525"/>
      <c r="Y59" s="1525"/>
      <c r="Z59" s="1525"/>
      <c r="AA59" s="1525"/>
      <c r="AB59" s="1525"/>
      <c r="AC59" s="1525"/>
      <c r="AD59" s="1525"/>
      <c r="AE59" s="1525"/>
      <c r="AF59" s="1525"/>
      <c r="AG59" s="1525"/>
      <c r="AH59" s="1525"/>
      <c r="AI59" s="1525"/>
      <c r="AJ59" s="1525"/>
    </row>
    <row r="60" spans="1:36" ht="12" customHeight="1">
      <c r="A60" s="1557" t="str">
        <f t="shared" si="8"/>
        <v>n</v>
      </c>
      <c r="B60" s="1557"/>
      <c r="C60" s="146" t="str">
        <f>'DATA GPC'!E28</f>
        <v>--</v>
      </c>
      <c r="D60" s="359" t="str">
        <f>'Working Capital'!D19</f>
        <v>--</v>
      </c>
      <c r="E60" s="613"/>
      <c r="F60" s="1364" t="str">
        <f>IFERROR('DATA GPC'!K822/'DATA GPC'!K574,"--")</f>
        <v>--</v>
      </c>
      <c r="G60" s="1364" t="str">
        <f>IFERROR('DATA GPC'!L822/'DATA GPC'!L574,"--")</f>
        <v>--</v>
      </c>
      <c r="H60" s="1364" t="str">
        <f>IFERROR('DATA GPC'!M822/'DATA GPC'!M574,"--")</f>
        <v>--</v>
      </c>
      <c r="I60" s="1364" t="str">
        <f>IFERROR('DATA GPC'!N822/'DATA GPC'!N574,"--")</f>
        <v>--</v>
      </c>
      <c r="J60" s="1364" t="str">
        <f>IFERROR('DATA GPC'!O822/'DATA GPC'!O574,"--")</f>
        <v>--</v>
      </c>
      <c r="K60" s="1364" t="str">
        <f>IFERROR('DATA GPC'!P822/'DATA GPC'!P574,"--")</f>
        <v>--</v>
      </c>
      <c r="L60" s="1364"/>
      <c r="M60" s="1364" t="str">
        <f>IFERROR(AVERAGE(H60:$J60),"--")</f>
        <v>--</v>
      </c>
      <c r="N60" s="1364" t="str">
        <f>IFERROR(AVERAGE(F60:$J60),"--")</f>
        <v>--</v>
      </c>
      <c r="O60" s="351"/>
      <c r="P60" s="1530"/>
      <c r="Q60" s="1557"/>
      <c r="R60" s="1530"/>
      <c r="S60" s="1530"/>
      <c r="T60" s="1530"/>
      <c r="U60" s="1530"/>
      <c r="V60" s="1525"/>
      <c r="W60" s="1525"/>
      <c r="X60" s="1525"/>
      <c r="Y60" s="1525"/>
      <c r="Z60" s="1525"/>
      <c r="AA60" s="1525"/>
      <c r="AB60" s="1525"/>
      <c r="AC60" s="1525"/>
      <c r="AD60" s="1525"/>
      <c r="AE60" s="1525"/>
      <c r="AF60" s="1525"/>
      <c r="AG60" s="1525"/>
      <c r="AH60" s="1525"/>
      <c r="AI60" s="1525"/>
      <c r="AJ60" s="1525"/>
    </row>
    <row r="61" spans="1:36" ht="12" customHeight="1">
      <c r="A61" s="1557" t="str">
        <f t="shared" si="8"/>
        <v>n</v>
      </c>
      <c r="B61" s="1557"/>
      <c r="C61" s="146" t="str">
        <f>'DATA GPC'!E29</f>
        <v>--</v>
      </c>
      <c r="D61" s="359" t="str">
        <f>'Working Capital'!D20</f>
        <v>--</v>
      </c>
      <c r="E61" s="613"/>
      <c r="F61" s="1364" t="str">
        <f>IFERROR('DATA GPC'!K823/'DATA GPC'!K575,"--")</f>
        <v>--</v>
      </c>
      <c r="G61" s="1364" t="str">
        <f>IFERROR('DATA GPC'!L823/'DATA GPC'!L575,"--")</f>
        <v>--</v>
      </c>
      <c r="H61" s="1364" t="str">
        <f>IFERROR('DATA GPC'!M823/'DATA GPC'!M575,"--")</f>
        <v>--</v>
      </c>
      <c r="I61" s="1364" t="str">
        <f>IFERROR('DATA GPC'!N823/'DATA GPC'!N575,"--")</f>
        <v>--</v>
      </c>
      <c r="J61" s="1364" t="str">
        <f>IFERROR('DATA GPC'!O823/'DATA GPC'!O575,"--")</f>
        <v>--</v>
      </c>
      <c r="K61" s="1364" t="str">
        <f>IFERROR('DATA GPC'!P823/'DATA GPC'!P575,"--")</f>
        <v>--</v>
      </c>
      <c r="L61" s="1364"/>
      <c r="M61" s="1364" t="str">
        <f>IFERROR(AVERAGE(H61:$J61),"--")</f>
        <v>--</v>
      </c>
      <c r="N61" s="1364" t="str">
        <f>IFERROR(AVERAGE(F61:$J61),"--")</f>
        <v>--</v>
      </c>
      <c r="O61" s="351"/>
      <c r="P61" s="1530"/>
      <c r="Q61" s="1557"/>
      <c r="R61" s="1530"/>
      <c r="S61" s="1530"/>
      <c r="T61" s="1530"/>
      <c r="U61" s="1530"/>
      <c r="V61" s="1525"/>
      <c r="W61" s="1525"/>
      <c r="X61" s="1525"/>
      <c r="Y61" s="1525"/>
      <c r="Z61" s="1525"/>
      <c r="AA61" s="1525"/>
      <c r="AB61" s="1525"/>
      <c r="AC61" s="1525"/>
      <c r="AD61" s="1525"/>
      <c r="AE61" s="1525"/>
      <c r="AF61" s="1525"/>
      <c r="AG61" s="1525"/>
      <c r="AH61" s="1525"/>
      <c r="AI61" s="1525"/>
      <c r="AJ61" s="1525"/>
    </row>
    <row r="62" spans="1:36" ht="12" customHeight="1">
      <c r="A62" s="1557" t="str">
        <f t="shared" si="8"/>
        <v>n</v>
      </c>
      <c r="B62" s="1557"/>
      <c r="C62" s="146" t="str">
        <f>'DATA GPC'!E30</f>
        <v>--</v>
      </c>
      <c r="D62" s="359" t="str">
        <f>'Working Capital'!D21</f>
        <v>--</v>
      </c>
      <c r="E62" s="613"/>
      <c r="F62" s="1364" t="str">
        <f>IFERROR('DATA GPC'!K824/'DATA GPC'!K576,"--")</f>
        <v>--</v>
      </c>
      <c r="G62" s="1364" t="str">
        <f>IFERROR('DATA GPC'!L824/'DATA GPC'!L576,"--")</f>
        <v>--</v>
      </c>
      <c r="H62" s="1364" t="str">
        <f>IFERROR('DATA GPC'!M824/'DATA GPC'!M576,"--")</f>
        <v>--</v>
      </c>
      <c r="I62" s="1364" t="str">
        <f>IFERROR('DATA GPC'!N824/'DATA GPC'!N576,"--")</f>
        <v>--</v>
      </c>
      <c r="J62" s="1364" t="str">
        <f>IFERROR('DATA GPC'!O824/'DATA GPC'!O576,"--")</f>
        <v>--</v>
      </c>
      <c r="K62" s="1364" t="str">
        <f>IFERROR('DATA GPC'!P824/'DATA GPC'!P576,"--")</f>
        <v>--</v>
      </c>
      <c r="L62" s="1364"/>
      <c r="M62" s="1364" t="str">
        <f>IFERROR(AVERAGE(H62:$J62),"--")</f>
        <v>--</v>
      </c>
      <c r="N62" s="1364" t="str">
        <f>IFERROR(AVERAGE(F62:$J62),"--")</f>
        <v>--</v>
      </c>
      <c r="O62" s="351"/>
      <c r="P62" s="1530"/>
      <c r="Q62" s="1557"/>
      <c r="R62" s="1530"/>
      <c r="S62" s="1530"/>
      <c r="T62" s="1530"/>
      <c r="U62" s="1530"/>
      <c r="V62" s="1525"/>
      <c r="W62" s="1525"/>
      <c r="X62" s="1525"/>
      <c r="Y62" s="1525"/>
      <c r="Z62" s="1525"/>
      <c r="AA62" s="1525"/>
      <c r="AB62" s="1525"/>
      <c r="AC62" s="1525"/>
      <c r="AD62" s="1525"/>
      <c r="AE62" s="1525"/>
      <c r="AF62" s="1525"/>
      <c r="AG62" s="1525"/>
      <c r="AH62" s="1525"/>
      <c r="AI62" s="1525"/>
      <c r="AJ62" s="1525"/>
    </row>
    <row r="63" spans="1:36" ht="12" customHeight="1">
      <c r="A63" s="1557" t="str">
        <f t="shared" si="8"/>
        <v>n</v>
      </c>
      <c r="B63" s="1557"/>
      <c r="C63" s="146" t="str">
        <f>'DATA GPC'!E31</f>
        <v>--</v>
      </c>
      <c r="D63" s="359" t="str">
        <f>'Working Capital'!D22</f>
        <v>--</v>
      </c>
      <c r="E63" s="613"/>
      <c r="F63" s="1364" t="str">
        <f>IFERROR('DATA GPC'!K825/'DATA GPC'!K577,"--")</f>
        <v>--</v>
      </c>
      <c r="G63" s="1364" t="str">
        <f>IFERROR('DATA GPC'!L825/'DATA GPC'!L577,"--")</f>
        <v>--</v>
      </c>
      <c r="H63" s="1364" t="str">
        <f>IFERROR('DATA GPC'!M825/'DATA GPC'!M577,"--")</f>
        <v>--</v>
      </c>
      <c r="I63" s="1364" t="str">
        <f>IFERROR('DATA GPC'!N825/'DATA GPC'!N577,"--")</f>
        <v>--</v>
      </c>
      <c r="J63" s="1364" t="str">
        <f>IFERROR('DATA GPC'!O825/'DATA GPC'!O577,"--")</f>
        <v>--</v>
      </c>
      <c r="K63" s="1364" t="str">
        <f>IFERROR('DATA GPC'!P825/'DATA GPC'!P577,"--")</f>
        <v>--</v>
      </c>
      <c r="L63" s="1364"/>
      <c r="M63" s="1364" t="str">
        <f>IFERROR(AVERAGE(H63:$J63),"--")</f>
        <v>--</v>
      </c>
      <c r="N63" s="1364" t="str">
        <f>IFERROR(AVERAGE(F63:$J63),"--")</f>
        <v>--</v>
      </c>
      <c r="O63" s="351"/>
      <c r="P63" s="1530"/>
      <c r="Q63" s="1557"/>
      <c r="R63" s="1530"/>
      <c r="S63" s="1530"/>
      <c r="T63" s="1530"/>
      <c r="U63" s="1530"/>
      <c r="V63" s="1525"/>
      <c r="W63" s="1525"/>
      <c r="X63" s="1525"/>
      <c r="Y63" s="1525"/>
      <c r="Z63" s="1525"/>
      <c r="AA63" s="1525"/>
      <c r="AB63" s="1525"/>
      <c r="AC63" s="1525"/>
      <c r="AD63" s="1525"/>
      <c r="AE63" s="1525"/>
      <c r="AF63" s="1525"/>
      <c r="AG63" s="1525"/>
      <c r="AH63" s="1525"/>
      <c r="AI63" s="1525"/>
      <c r="AJ63" s="1525"/>
    </row>
    <row r="64" spans="1:36" ht="12" customHeight="1">
      <c r="A64" s="1557" t="str">
        <f t="shared" si="8"/>
        <v>n</v>
      </c>
      <c r="B64" s="1557"/>
      <c r="C64" s="146" t="str">
        <f>'DATA GPC'!E32</f>
        <v>--</v>
      </c>
      <c r="D64" s="359" t="str">
        <f>'Working Capital'!D23</f>
        <v>--</v>
      </c>
      <c r="E64" s="613"/>
      <c r="F64" s="1364" t="str">
        <f>IFERROR('DATA GPC'!K826/'DATA GPC'!K578,"--")</f>
        <v>--</v>
      </c>
      <c r="G64" s="1364" t="str">
        <f>IFERROR('DATA GPC'!L826/'DATA GPC'!L578,"--")</f>
        <v>--</v>
      </c>
      <c r="H64" s="1364" t="str">
        <f>IFERROR('DATA GPC'!M826/'DATA GPC'!M578,"--")</f>
        <v>--</v>
      </c>
      <c r="I64" s="1364" t="str">
        <f>IFERROR('DATA GPC'!N826/'DATA GPC'!N578,"--")</f>
        <v>--</v>
      </c>
      <c r="J64" s="1364" t="str">
        <f>IFERROR('DATA GPC'!O826/'DATA GPC'!O578,"--")</f>
        <v>--</v>
      </c>
      <c r="K64" s="1364" t="str">
        <f>IFERROR('DATA GPC'!P826/'DATA GPC'!P578,"--")</f>
        <v>--</v>
      </c>
      <c r="L64" s="1364"/>
      <c r="M64" s="1364" t="str">
        <f>IFERROR(AVERAGE(H64:$J64),"--")</f>
        <v>--</v>
      </c>
      <c r="N64" s="1364" t="str">
        <f>IFERROR(AVERAGE(F64:$J64),"--")</f>
        <v>--</v>
      </c>
      <c r="O64" s="351"/>
      <c r="P64" s="1530"/>
      <c r="Q64" s="1557"/>
      <c r="R64" s="1530"/>
      <c r="S64" s="1530"/>
      <c r="T64" s="1530"/>
      <c r="U64" s="1530"/>
      <c r="V64" s="1525"/>
      <c r="W64" s="1525"/>
      <c r="X64" s="1525"/>
      <c r="Y64" s="1525"/>
      <c r="Z64" s="1525"/>
      <c r="AA64" s="1525"/>
      <c r="AB64" s="1525"/>
      <c r="AC64" s="1525"/>
      <c r="AD64" s="1525"/>
      <c r="AE64" s="1525"/>
      <c r="AF64" s="1525"/>
      <c r="AG64" s="1525"/>
      <c r="AH64" s="1525"/>
      <c r="AI64" s="1525"/>
      <c r="AJ64" s="1525"/>
    </row>
    <row r="65" spans="1:36" ht="12" customHeight="1">
      <c r="A65" s="1557" t="str">
        <f t="shared" si="8"/>
        <v>n</v>
      </c>
      <c r="B65" s="1557"/>
      <c r="C65" s="146" t="str">
        <f>'DATA GPC'!E33</f>
        <v>--</v>
      </c>
      <c r="D65" s="359" t="str">
        <f>'Working Capital'!D24</f>
        <v>--</v>
      </c>
      <c r="E65" s="613"/>
      <c r="F65" s="1364" t="str">
        <f>IFERROR('DATA GPC'!K827/'DATA GPC'!K579,"--")</f>
        <v>--</v>
      </c>
      <c r="G65" s="1364" t="str">
        <f>IFERROR('DATA GPC'!L827/'DATA GPC'!L579,"--")</f>
        <v>--</v>
      </c>
      <c r="H65" s="1364" t="str">
        <f>IFERROR('DATA GPC'!M827/'DATA GPC'!M579,"--")</f>
        <v>--</v>
      </c>
      <c r="I65" s="1364" t="str">
        <f>IFERROR('DATA GPC'!N827/'DATA GPC'!N579,"--")</f>
        <v>--</v>
      </c>
      <c r="J65" s="1364" t="str">
        <f>IFERROR('DATA GPC'!O827/'DATA GPC'!O579,"--")</f>
        <v>--</v>
      </c>
      <c r="K65" s="1364" t="str">
        <f>IFERROR('DATA GPC'!P827/'DATA GPC'!P579,"--")</f>
        <v>--</v>
      </c>
      <c r="L65" s="1364"/>
      <c r="M65" s="1364" t="str">
        <f>IFERROR(AVERAGE(H65:$J65),"--")</f>
        <v>--</v>
      </c>
      <c r="N65" s="1364" t="str">
        <f>IFERROR(AVERAGE(F65:$J65),"--")</f>
        <v>--</v>
      </c>
      <c r="O65" s="351"/>
      <c r="P65" s="1530"/>
      <c r="Q65" s="1557"/>
      <c r="R65" s="1530"/>
      <c r="S65" s="1530"/>
      <c r="T65" s="1530"/>
      <c r="U65" s="1530"/>
      <c r="V65" s="1525"/>
      <c r="W65" s="1525"/>
      <c r="X65" s="1525"/>
      <c r="Y65" s="1525"/>
      <c r="Z65" s="1525"/>
      <c r="AA65" s="1525"/>
      <c r="AB65" s="1525"/>
      <c r="AC65" s="1525"/>
      <c r="AD65" s="1525"/>
      <c r="AE65" s="1525"/>
      <c r="AF65" s="1525"/>
      <c r="AG65" s="1525"/>
      <c r="AH65" s="1525"/>
      <c r="AI65" s="1525"/>
      <c r="AJ65" s="1525"/>
    </row>
    <row r="66" spans="1:36" s="1530" customFormat="1" ht="12" customHeight="1">
      <c r="A66" s="1557" t="str">
        <f t="shared" si="8"/>
        <v>n</v>
      </c>
      <c r="B66" s="1557"/>
      <c r="C66" s="146" t="str">
        <f>'DATA GPC'!E34</f>
        <v>--</v>
      </c>
      <c r="D66" s="359" t="str">
        <f>'Working Capital'!D25</f>
        <v>--</v>
      </c>
      <c r="E66" s="613"/>
      <c r="F66" s="1364" t="str">
        <f>IFERROR('DATA GPC'!K828/'DATA GPC'!K580,"--")</f>
        <v>--</v>
      </c>
      <c r="G66" s="1364" t="str">
        <f>IFERROR('DATA GPC'!L828/'DATA GPC'!L580,"--")</f>
        <v>--</v>
      </c>
      <c r="H66" s="1364" t="str">
        <f>IFERROR('DATA GPC'!M828/'DATA GPC'!M580,"--")</f>
        <v>--</v>
      </c>
      <c r="I66" s="1364" t="str">
        <f>IFERROR('DATA GPC'!N828/'DATA GPC'!N580,"--")</f>
        <v>--</v>
      </c>
      <c r="J66" s="1364" t="str">
        <f>IFERROR('DATA GPC'!O828/'DATA GPC'!O580,"--")</f>
        <v>--</v>
      </c>
      <c r="K66" s="1364" t="str">
        <f>IFERROR('DATA GPC'!P828/'DATA GPC'!P580,"--")</f>
        <v>--</v>
      </c>
      <c r="L66" s="1364"/>
      <c r="M66" s="1364" t="str">
        <f>IFERROR(AVERAGE(H66:$J66),"--")</f>
        <v>--</v>
      </c>
      <c r="N66" s="1364" t="str">
        <f>IFERROR(AVERAGE(F66:$J66),"--")</f>
        <v>--</v>
      </c>
      <c r="O66" s="351"/>
      <c r="Q66" s="1557"/>
      <c r="V66" s="1525"/>
      <c r="W66" s="1525"/>
      <c r="X66" s="1525"/>
      <c r="Y66" s="1525"/>
      <c r="Z66" s="1525"/>
      <c r="AA66" s="1525"/>
      <c r="AB66" s="1525"/>
      <c r="AC66" s="1525"/>
      <c r="AD66" s="1525"/>
      <c r="AE66" s="1525"/>
      <c r="AF66" s="1525"/>
      <c r="AG66" s="1525"/>
      <c r="AH66" s="1525"/>
      <c r="AI66" s="1525"/>
      <c r="AJ66" s="1525"/>
    </row>
    <row r="67" spans="1:36" s="1530" customFormat="1" ht="12" customHeight="1">
      <c r="A67" s="1557" t="str">
        <f t="shared" si="8"/>
        <v>n</v>
      </c>
      <c r="B67" s="1557"/>
      <c r="C67" s="146" t="str">
        <f>'DATA GPC'!E35</f>
        <v>--</v>
      </c>
      <c r="D67" s="359" t="str">
        <f>'Working Capital'!D26</f>
        <v>--</v>
      </c>
      <c r="E67" s="613"/>
      <c r="F67" s="1364" t="str">
        <f>IFERROR('DATA GPC'!K829/'DATA GPC'!K581,"--")</f>
        <v>--</v>
      </c>
      <c r="G67" s="1364" t="str">
        <f>IFERROR('DATA GPC'!L829/'DATA GPC'!L581,"--")</f>
        <v>--</v>
      </c>
      <c r="H67" s="1364" t="str">
        <f>IFERROR('DATA GPC'!M829/'DATA GPC'!M581,"--")</f>
        <v>--</v>
      </c>
      <c r="I67" s="1364" t="str">
        <f>IFERROR('DATA GPC'!N829/'DATA GPC'!N581,"--")</f>
        <v>--</v>
      </c>
      <c r="J67" s="1364" t="str">
        <f>IFERROR('DATA GPC'!O829/'DATA GPC'!O581,"--")</f>
        <v>--</v>
      </c>
      <c r="K67" s="1364" t="str">
        <f>IFERROR('DATA GPC'!P829/'DATA GPC'!P581,"--")</f>
        <v>--</v>
      </c>
      <c r="L67" s="1364"/>
      <c r="M67" s="1364" t="str">
        <f>IFERROR(AVERAGE(H67:$J67),"--")</f>
        <v>--</v>
      </c>
      <c r="N67" s="1364" t="str">
        <f>IFERROR(AVERAGE(F67:$J67),"--")</f>
        <v>--</v>
      </c>
      <c r="O67" s="351"/>
      <c r="Q67" s="1557"/>
      <c r="V67" s="1525"/>
      <c r="W67" s="1525"/>
      <c r="X67" s="1525"/>
      <c r="Y67" s="1525"/>
      <c r="Z67" s="1525"/>
      <c r="AA67" s="1525"/>
      <c r="AB67" s="1525"/>
      <c r="AC67" s="1525"/>
      <c r="AD67" s="1525"/>
      <c r="AE67" s="1525"/>
      <c r="AF67" s="1525"/>
      <c r="AG67" s="1525"/>
      <c r="AH67" s="1525"/>
      <c r="AI67" s="1525"/>
      <c r="AJ67" s="1525"/>
    </row>
    <row r="68" spans="1:36" s="1530" customFormat="1" ht="12" customHeight="1">
      <c r="A68" s="1557" t="str">
        <f t="shared" si="8"/>
        <v>n</v>
      </c>
      <c r="B68" s="1557"/>
      <c r="C68" s="146" t="str">
        <f>'DATA GPC'!E36</f>
        <v>--</v>
      </c>
      <c r="D68" s="359" t="str">
        <f>'Working Capital'!D27</f>
        <v>--</v>
      </c>
      <c r="E68" s="613"/>
      <c r="F68" s="1364" t="str">
        <f>IFERROR('DATA GPC'!K830/'DATA GPC'!K582,"--")</f>
        <v>--</v>
      </c>
      <c r="G68" s="1364" t="str">
        <f>IFERROR('DATA GPC'!L830/'DATA GPC'!L582,"--")</f>
        <v>--</v>
      </c>
      <c r="H68" s="1364" t="str">
        <f>IFERROR('DATA GPC'!M830/'DATA GPC'!M582,"--")</f>
        <v>--</v>
      </c>
      <c r="I68" s="1364" t="str">
        <f>IFERROR('DATA GPC'!N830/'DATA GPC'!N582,"--")</f>
        <v>--</v>
      </c>
      <c r="J68" s="1364" t="str">
        <f>IFERROR('DATA GPC'!O830/'DATA GPC'!O582,"--")</f>
        <v>--</v>
      </c>
      <c r="K68" s="1364" t="str">
        <f>IFERROR('DATA GPC'!P830/'DATA GPC'!P582,"--")</f>
        <v>--</v>
      </c>
      <c r="L68" s="1364"/>
      <c r="M68" s="1364" t="str">
        <f>IFERROR(AVERAGE(H68:$J68),"--")</f>
        <v>--</v>
      </c>
      <c r="N68" s="1364" t="str">
        <f>IFERROR(AVERAGE(F68:$J68),"--")</f>
        <v>--</v>
      </c>
      <c r="O68" s="351"/>
      <c r="Q68" s="1557"/>
      <c r="V68" s="1525"/>
      <c r="W68" s="1525"/>
      <c r="X68" s="1525"/>
      <c r="Y68" s="1525"/>
      <c r="Z68" s="1525"/>
      <c r="AA68" s="1525"/>
      <c r="AB68" s="1525"/>
      <c r="AC68" s="1525"/>
      <c r="AD68" s="1525"/>
      <c r="AE68" s="1525"/>
      <c r="AF68" s="1525"/>
      <c r="AG68" s="1525"/>
      <c r="AH68" s="1525"/>
      <c r="AI68" s="1525"/>
      <c r="AJ68" s="1525"/>
    </row>
    <row r="69" spans="1:36" s="1530" customFormat="1" ht="12" customHeight="1">
      <c r="A69" s="1557" t="str">
        <f t="shared" si="8"/>
        <v>n</v>
      </c>
      <c r="B69" s="1557"/>
      <c r="C69" s="146" t="str">
        <f>'DATA GPC'!E37</f>
        <v>--</v>
      </c>
      <c r="D69" s="359" t="str">
        <f>'Working Capital'!D28</f>
        <v>--</v>
      </c>
      <c r="E69" s="613"/>
      <c r="F69" s="1364" t="str">
        <f>IFERROR('DATA GPC'!K831/'DATA GPC'!K583,"--")</f>
        <v>--</v>
      </c>
      <c r="G69" s="1364" t="str">
        <f>IFERROR('DATA GPC'!L831/'DATA GPC'!L583,"--")</f>
        <v>--</v>
      </c>
      <c r="H69" s="1364" t="str">
        <f>IFERROR('DATA GPC'!M831/'DATA GPC'!M583,"--")</f>
        <v>--</v>
      </c>
      <c r="I69" s="1364" t="str">
        <f>IFERROR('DATA GPC'!N831/'DATA GPC'!N583,"--")</f>
        <v>--</v>
      </c>
      <c r="J69" s="1364" t="str">
        <f>IFERROR('DATA GPC'!O831/'DATA GPC'!O583,"--")</f>
        <v>--</v>
      </c>
      <c r="K69" s="1364" t="str">
        <f>IFERROR('DATA GPC'!P831/'DATA GPC'!P583,"--")</f>
        <v>--</v>
      </c>
      <c r="L69" s="1364"/>
      <c r="M69" s="1364" t="str">
        <f>IFERROR(AVERAGE(H69:$J69),"--")</f>
        <v>--</v>
      </c>
      <c r="N69" s="1364" t="str">
        <f>IFERROR(AVERAGE(F69:$J69),"--")</f>
        <v>--</v>
      </c>
      <c r="O69" s="351"/>
      <c r="Q69" s="1557"/>
      <c r="V69" s="1525"/>
      <c r="W69" s="1525"/>
      <c r="X69" s="1525"/>
      <c r="Y69" s="1525"/>
      <c r="Z69" s="1525"/>
      <c r="AA69" s="1525"/>
      <c r="AB69" s="1525"/>
      <c r="AC69" s="1525"/>
      <c r="AD69" s="1525"/>
      <c r="AE69" s="1525"/>
      <c r="AF69" s="1525"/>
      <c r="AG69" s="1525"/>
      <c r="AH69" s="1525"/>
      <c r="AI69" s="1525"/>
      <c r="AJ69" s="1525"/>
    </row>
    <row r="70" spans="1:36" s="1530" customFormat="1" ht="12" customHeight="1">
      <c r="A70" s="1557" t="str">
        <f t="shared" si="8"/>
        <v>n</v>
      </c>
      <c r="B70" s="1557"/>
      <c r="C70" s="146" t="str">
        <f>'DATA GPC'!E38</f>
        <v>--</v>
      </c>
      <c r="D70" s="359" t="str">
        <f>'Working Capital'!D29</f>
        <v>--</v>
      </c>
      <c r="E70" s="613"/>
      <c r="F70" s="1364" t="str">
        <f>IFERROR('DATA GPC'!K832/'DATA GPC'!K584,"--")</f>
        <v>--</v>
      </c>
      <c r="G70" s="1364" t="str">
        <f>IFERROR('DATA GPC'!L832/'DATA GPC'!L584,"--")</f>
        <v>--</v>
      </c>
      <c r="H70" s="1364" t="str">
        <f>IFERROR('DATA GPC'!M832/'DATA GPC'!M584,"--")</f>
        <v>--</v>
      </c>
      <c r="I70" s="1364" t="str">
        <f>IFERROR('DATA GPC'!N832/'DATA GPC'!N584,"--")</f>
        <v>--</v>
      </c>
      <c r="J70" s="1364" t="str">
        <f>IFERROR('DATA GPC'!O832/'DATA GPC'!O584,"--")</f>
        <v>--</v>
      </c>
      <c r="K70" s="1364" t="str">
        <f>IFERROR('DATA GPC'!P832/'DATA GPC'!P584,"--")</f>
        <v>--</v>
      </c>
      <c r="L70" s="1364"/>
      <c r="M70" s="1364" t="str">
        <f>IFERROR(AVERAGE(H70:$J70),"--")</f>
        <v>--</v>
      </c>
      <c r="N70" s="1364" t="str">
        <f>IFERROR(AVERAGE(F70:$J70),"--")</f>
        <v>--</v>
      </c>
      <c r="O70" s="351"/>
      <c r="Q70" s="1557"/>
      <c r="V70" s="1525"/>
      <c r="W70" s="1525"/>
      <c r="X70" s="1525"/>
      <c r="Y70" s="1525"/>
      <c r="Z70" s="1525"/>
      <c r="AA70" s="1525"/>
      <c r="AB70" s="1525"/>
      <c r="AC70" s="1525"/>
      <c r="AD70" s="1525"/>
      <c r="AE70" s="1525"/>
      <c r="AF70" s="1525"/>
      <c r="AG70" s="1525"/>
      <c r="AH70" s="1525"/>
      <c r="AI70" s="1525"/>
      <c r="AJ70" s="1525"/>
    </row>
    <row r="71" spans="1:36" s="1530" customFormat="1" ht="12" customHeight="1">
      <c r="A71" s="1557" t="str">
        <f t="shared" si="8"/>
        <v>n</v>
      </c>
      <c r="B71" s="1557"/>
      <c r="C71" s="146" t="str">
        <f>'DATA GPC'!E39</f>
        <v>--</v>
      </c>
      <c r="D71" s="359" t="str">
        <f>'Working Capital'!D30</f>
        <v>--</v>
      </c>
      <c r="E71" s="613"/>
      <c r="F71" s="1364" t="str">
        <f>IFERROR('DATA GPC'!K833/'DATA GPC'!K585,"--")</f>
        <v>--</v>
      </c>
      <c r="G71" s="1364" t="str">
        <f>IFERROR('DATA GPC'!L833/'DATA GPC'!L585,"--")</f>
        <v>--</v>
      </c>
      <c r="H71" s="1364" t="str">
        <f>IFERROR('DATA GPC'!M833/'DATA GPC'!M585,"--")</f>
        <v>--</v>
      </c>
      <c r="I71" s="1364" t="str">
        <f>IFERROR('DATA GPC'!N833/'DATA GPC'!N585,"--")</f>
        <v>--</v>
      </c>
      <c r="J71" s="1364" t="str">
        <f>IFERROR('DATA GPC'!O833/'DATA GPC'!O585,"--")</f>
        <v>--</v>
      </c>
      <c r="K71" s="1364" t="str">
        <f>IFERROR('DATA GPC'!P833/'DATA GPC'!P585,"--")</f>
        <v>--</v>
      </c>
      <c r="L71" s="1364"/>
      <c r="M71" s="1364" t="str">
        <f>IFERROR(AVERAGE(H71:$J71),"--")</f>
        <v>--</v>
      </c>
      <c r="N71" s="1364" t="str">
        <f>IFERROR(AVERAGE(F71:$J71),"--")</f>
        <v>--</v>
      </c>
      <c r="O71" s="351"/>
      <c r="Q71" s="1557"/>
      <c r="V71" s="1525"/>
      <c r="W71" s="1525"/>
      <c r="X71" s="1525"/>
      <c r="Y71" s="1525"/>
      <c r="Z71" s="1525"/>
      <c r="AA71" s="1525"/>
      <c r="AB71" s="1525"/>
      <c r="AC71" s="1525"/>
      <c r="AD71" s="1525"/>
      <c r="AE71" s="1525"/>
      <c r="AF71" s="1525"/>
      <c r="AG71" s="1525"/>
      <c r="AH71" s="1525"/>
      <c r="AI71" s="1525"/>
      <c r="AJ71" s="1525"/>
    </row>
    <row r="72" spans="1:36" s="1530" customFormat="1" ht="12" customHeight="1">
      <c r="A72" s="1557" t="str">
        <f t="shared" si="8"/>
        <v>n</v>
      </c>
      <c r="B72" s="1557"/>
      <c r="C72" s="146" t="str">
        <f>'DATA GPC'!E40</f>
        <v>--</v>
      </c>
      <c r="D72" s="359" t="str">
        <f>'Working Capital'!D31</f>
        <v>--</v>
      </c>
      <c r="E72" s="613"/>
      <c r="F72" s="1364" t="str">
        <f>IFERROR('DATA GPC'!K834/'DATA GPC'!K586,"--")</f>
        <v>--</v>
      </c>
      <c r="G72" s="1364" t="str">
        <f>IFERROR('DATA GPC'!L834/'DATA GPC'!L586,"--")</f>
        <v>--</v>
      </c>
      <c r="H72" s="1364" t="str">
        <f>IFERROR('DATA GPC'!M834/'DATA GPC'!M586,"--")</f>
        <v>--</v>
      </c>
      <c r="I72" s="1364" t="str">
        <f>IFERROR('DATA GPC'!N834/'DATA GPC'!N586,"--")</f>
        <v>--</v>
      </c>
      <c r="J72" s="1364" t="str">
        <f>IFERROR('DATA GPC'!O834/'DATA GPC'!O586,"--")</f>
        <v>--</v>
      </c>
      <c r="K72" s="1364" t="str">
        <f>IFERROR('DATA GPC'!P834/'DATA GPC'!P586,"--")</f>
        <v>--</v>
      </c>
      <c r="L72" s="1364"/>
      <c r="M72" s="1364" t="str">
        <f>IFERROR(AVERAGE(H72:$J72),"--")</f>
        <v>--</v>
      </c>
      <c r="N72" s="1364" t="str">
        <f>IFERROR(AVERAGE(F72:$J72),"--")</f>
        <v>--</v>
      </c>
      <c r="O72" s="351"/>
      <c r="Q72" s="1557"/>
      <c r="V72" s="1525"/>
      <c r="W72" s="1525"/>
      <c r="X72" s="1525"/>
      <c r="Y72" s="1525"/>
      <c r="Z72" s="1525"/>
      <c r="AA72" s="1525"/>
      <c r="AB72" s="1525"/>
      <c r="AC72" s="1525"/>
      <c r="AD72" s="1525"/>
      <c r="AE72" s="1525"/>
      <c r="AF72" s="1525"/>
      <c r="AG72" s="1525"/>
      <c r="AH72" s="1525"/>
      <c r="AI72" s="1525"/>
      <c r="AJ72" s="1525"/>
    </row>
    <row r="73" spans="1:36" s="1530" customFormat="1" ht="12" customHeight="1">
      <c r="A73" s="1557" t="str">
        <f t="shared" si="8"/>
        <v>n</v>
      </c>
      <c r="B73" s="1557"/>
      <c r="C73" s="146" t="str">
        <f>'DATA GPC'!E41</f>
        <v>--</v>
      </c>
      <c r="D73" s="359" t="str">
        <f>'Working Capital'!D32</f>
        <v>--</v>
      </c>
      <c r="E73" s="613"/>
      <c r="F73" s="1364" t="str">
        <f>IFERROR('DATA GPC'!K835/'DATA GPC'!K587,"--")</f>
        <v>--</v>
      </c>
      <c r="G73" s="1364" t="str">
        <f>IFERROR('DATA GPC'!L835/'DATA GPC'!L587,"--")</f>
        <v>--</v>
      </c>
      <c r="H73" s="1364" t="str">
        <f>IFERROR('DATA GPC'!M835/'DATA GPC'!M587,"--")</f>
        <v>--</v>
      </c>
      <c r="I73" s="1364" t="str">
        <f>IFERROR('DATA GPC'!N835/'DATA GPC'!N587,"--")</f>
        <v>--</v>
      </c>
      <c r="J73" s="1364" t="str">
        <f>IFERROR('DATA GPC'!O835/'DATA GPC'!O587,"--")</f>
        <v>--</v>
      </c>
      <c r="K73" s="1364" t="str">
        <f>IFERROR('DATA GPC'!P835/'DATA GPC'!P587,"--")</f>
        <v>--</v>
      </c>
      <c r="L73" s="1364"/>
      <c r="M73" s="1364" t="str">
        <f>IFERROR(AVERAGE(H73:$J73),"--")</f>
        <v>--</v>
      </c>
      <c r="N73" s="1364" t="str">
        <f>IFERROR(AVERAGE(F73:$J73),"--")</f>
        <v>--</v>
      </c>
      <c r="O73" s="351"/>
      <c r="Q73" s="1557"/>
      <c r="V73" s="1525"/>
      <c r="W73" s="1525"/>
      <c r="X73" s="1525"/>
      <c r="Y73" s="1525"/>
      <c r="Z73" s="1525"/>
      <c r="AA73" s="1525"/>
      <c r="AB73" s="1525"/>
      <c r="AC73" s="1525"/>
      <c r="AD73" s="1525"/>
      <c r="AE73" s="1525"/>
      <c r="AF73" s="1525"/>
      <c r="AG73" s="1525"/>
      <c r="AH73" s="1525"/>
      <c r="AI73" s="1525"/>
      <c r="AJ73" s="1525"/>
    </row>
    <row r="74" spans="1:36" s="1530" customFormat="1" ht="12" customHeight="1">
      <c r="A74" s="1557" t="str">
        <f t="shared" si="8"/>
        <v>n</v>
      </c>
      <c r="B74" s="1557"/>
      <c r="C74" s="146" t="str">
        <f>'DATA GPC'!E42</f>
        <v>--</v>
      </c>
      <c r="D74" s="359" t="str">
        <f>'Working Capital'!D33</f>
        <v>--</v>
      </c>
      <c r="E74" s="613"/>
      <c r="F74" s="1364" t="str">
        <f>IFERROR('DATA GPC'!K836/'DATA GPC'!K588,"--")</f>
        <v>--</v>
      </c>
      <c r="G74" s="1364" t="str">
        <f>IFERROR('DATA GPC'!L836/'DATA GPC'!L588,"--")</f>
        <v>--</v>
      </c>
      <c r="H74" s="1364" t="str">
        <f>IFERROR('DATA GPC'!M836/'DATA GPC'!M588,"--")</f>
        <v>--</v>
      </c>
      <c r="I74" s="1364" t="str">
        <f>IFERROR('DATA GPC'!N836/'DATA GPC'!N588,"--")</f>
        <v>--</v>
      </c>
      <c r="J74" s="1364" t="str">
        <f>IFERROR('DATA GPC'!O836/'DATA GPC'!O588,"--")</f>
        <v>--</v>
      </c>
      <c r="K74" s="1364" t="str">
        <f>IFERROR('DATA GPC'!P836/'DATA GPC'!P588,"--")</f>
        <v>--</v>
      </c>
      <c r="L74" s="1364"/>
      <c r="M74" s="1364" t="str">
        <f>IFERROR(AVERAGE(H74:$J74),"--")</f>
        <v>--</v>
      </c>
      <c r="N74" s="1364" t="str">
        <f>IFERROR(AVERAGE(F74:$J74),"--")</f>
        <v>--</v>
      </c>
      <c r="O74" s="351"/>
      <c r="Q74" s="1557"/>
      <c r="V74" s="1525"/>
      <c r="W74" s="1525"/>
      <c r="X74" s="1525"/>
      <c r="Y74" s="1525"/>
      <c r="Z74" s="1525"/>
      <c r="AA74" s="1525"/>
      <c r="AB74" s="1525"/>
      <c r="AC74" s="1525"/>
      <c r="AD74" s="1525"/>
      <c r="AE74" s="1525"/>
      <c r="AF74" s="1525"/>
      <c r="AG74" s="1525"/>
      <c r="AH74" s="1525"/>
      <c r="AI74" s="1525"/>
      <c r="AJ74" s="1525"/>
    </row>
    <row r="75" spans="1:36" s="1530" customFormat="1" ht="12" customHeight="1">
      <c r="A75" s="1557" t="str">
        <f t="shared" si="8"/>
        <v>n</v>
      </c>
      <c r="B75" s="1557"/>
      <c r="C75" s="146" t="str">
        <f>'DATA GPC'!E43</f>
        <v>--</v>
      </c>
      <c r="D75" s="359" t="str">
        <f>'Working Capital'!D34</f>
        <v>--</v>
      </c>
      <c r="E75" s="613"/>
      <c r="F75" s="1364" t="str">
        <f>IFERROR('DATA GPC'!K837/'DATA GPC'!K589,"--")</f>
        <v>--</v>
      </c>
      <c r="G75" s="1364" t="str">
        <f>IFERROR('DATA GPC'!L837/'DATA GPC'!L589,"--")</f>
        <v>--</v>
      </c>
      <c r="H75" s="1364" t="str">
        <f>IFERROR('DATA GPC'!M837/'DATA GPC'!M589,"--")</f>
        <v>--</v>
      </c>
      <c r="I75" s="1364" t="str">
        <f>IFERROR('DATA GPC'!N837/'DATA GPC'!N589,"--")</f>
        <v>--</v>
      </c>
      <c r="J75" s="1364" t="str">
        <f>IFERROR('DATA GPC'!O837/'DATA GPC'!O589,"--")</f>
        <v>--</v>
      </c>
      <c r="K75" s="1364" t="str">
        <f>IFERROR('DATA GPC'!P837/'DATA GPC'!P589,"--")</f>
        <v>--</v>
      </c>
      <c r="L75" s="1364"/>
      <c r="M75" s="1364" t="str">
        <f>IFERROR(AVERAGE(H75:$J75),"--")</f>
        <v>--</v>
      </c>
      <c r="N75" s="1364" t="str">
        <f>IFERROR(AVERAGE(F75:$J75),"--")</f>
        <v>--</v>
      </c>
      <c r="O75" s="351"/>
      <c r="Q75" s="1557"/>
      <c r="V75" s="1525"/>
      <c r="W75" s="1525"/>
      <c r="X75" s="1525"/>
      <c r="Y75" s="1525"/>
      <c r="Z75" s="1525"/>
      <c r="AA75" s="1525"/>
      <c r="AB75" s="1525"/>
      <c r="AC75" s="1525"/>
      <c r="AD75" s="1525"/>
      <c r="AE75" s="1525"/>
      <c r="AF75" s="1525"/>
      <c r="AG75" s="1525"/>
      <c r="AH75" s="1525"/>
      <c r="AI75" s="1525"/>
      <c r="AJ75" s="1525"/>
    </row>
    <row r="76" spans="1:36" ht="12" customHeight="1">
      <c r="A76" s="1557" t="str">
        <f t="shared" si="8"/>
        <v>n</v>
      </c>
      <c r="B76" s="1557"/>
      <c r="C76" s="146" t="str">
        <f>'DATA GPC'!E44</f>
        <v>--</v>
      </c>
      <c r="D76" s="359" t="str">
        <f>'Working Capital'!D35</f>
        <v>--</v>
      </c>
      <c r="E76" s="613"/>
      <c r="F76" s="1364" t="str">
        <f>IFERROR('DATA GPC'!K838/'DATA GPC'!K590,"--")</f>
        <v>--</v>
      </c>
      <c r="G76" s="1364" t="str">
        <f>IFERROR('DATA GPC'!L838/'DATA GPC'!L590,"--")</f>
        <v>--</v>
      </c>
      <c r="H76" s="1364" t="str">
        <f>IFERROR('DATA GPC'!M838/'DATA GPC'!M590,"--")</f>
        <v>--</v>
      </c>
      <c r="I76" s="1364" t="str">
        <f>IFERROR('DATA GPC'!N838/'DATA GPC'!N590,"--")</f>
        <v>--</v>
      </c>
      <c r="J76" s="1364" t="str">
        <f>IFERROR('DATA GPC'!O838/'DATA GPC'!O590,"--")</f>
        <v>--</v>
      </c>
      <c r="K76" s="1364" t="str">
        <f>IFERROR('DATA GPC'!P838/'DATA GPC'!P590,"--")</f>
        <v>--</v>
      </c>
      <c r="L76" s="1364"/>
      <c r="M76" s="1364" t="str">
        <f>IFERROR(AVERAGE(H76:$J76),"--")</f>
        <v>--</v>
      </c>
      <c r="N76" s="1364" t="str">
        <f>IFERROR(AVERAGE(F76:$J76),"--")</f>
        <v>--</v>
      </c>
      <c r="O76" s="351"/>
      <c r="P76" s="1530"/>
      <c r="Q76" s="1557"/>
      <c r="R76" s="1530"/>
      <c r="S76" s="1530"/>
      <c r="T76" s="1530"/>
      <c r="U76" s="1530"/>
      <c r="V76" s="1525"/>
      <c r="W76" s="1525"/>
      <c r="X76" s="1525"/>
      <c r="Y76" s="1525"/>
      <c r="Z76" s="1525"/>
      <c r="AA76" s="1525"/>
      <c r="AB76" s="1525"/>
      <c r="AC76" s="1525"/>
      <c r="AD76" s="1525"/>
      <c r="AE76" s="1525"/>
      <c r="AF76" s="1525"/>
      <c r="AG76" s="1525"/>
      <c r="AH76" s="1525"/>
      <c r="AI76" s="1525"/>
      <c r="AJ76" s="1525"/>
    </row>
    <row r="77" spans="1:36" ht="12" customHeight="1">
      <c r="A77" s="1557"/>
      <c r="B77" s="1557"/>
      <c r="C77" s="1542"/>
      <c r="D77" s="1542"/>
      <c r="E77" s="2060"/>
      <c r="F77" s="1369"/>
      <c r="G77" s="1369"/>
      <c r="H77" s="1369"/>
      <c r="I77" s="1369"/>
      <c r="J77" s="1369"/>
      <c r="K77" s="1369"/>
      <c r="L77" s="1369"/>
      <c r="M77" s="1369"/>
      <c r="N77" s="1369"/>
      <c r="O77" s="2060"/>
      <c r="P77" s="2060"/>
      <c r="Q77" s="1557"/>
      <c r="R77" s="1530"/>
      <c r="S77" s="1530"/>
      <c r="T77" s="1530"/>
      <c r="U77" s="1530"/>
      <c r="V77" s="1525"/>
      <c r="W77" s="1525"/>
      <c r="X77" s="1525"/>
      <c r="Y77" s="1525"/>
      <c r="Z77" s="1525"/>
      <c r="AA77" s="1525"/>
      <c r="AB77" s="1525"/>
      <c r="AC77" s="1525"/>
      <c r="AD77" s="1525"/>
      <c r="AE77" s="1525"/>
      <c r="AF77" s="1525"/>
      <c r="AG77" s="1525"/>
      <c r="AH77" s="1525"/>
      <c r="AI77" s="1525"/>
      <c r="AJ77" s="1525"/>
    </row>
    <row r="78" spans="1:36" ht="12" customHeight="1">
      <c r="A78" s="1557"/>
      <c r="B78" s="1557"/>
      <c r="C78" s="1542"/>
      <c r="D78" s="1543" t="s">
        <v>1275</v>
      </c>
      <c r="E78" s="2060"/>
      <c r="F78" s="1734">
        <f t="shared" ref="F78:K78" si="9">IFERROR(MAX(F52:F76),"n/a")</f>
        <v>0</v>
      </c>
      <c r="G78" s="1734">
        <f t="shared" si="9"/>
        <v>0</v>
      </c>
      <c r="H78" s="1734">
        <f t="shared" si="9"/>
        <v>0</v>
      </c>
      <c r="I78" s="1734">
        <f t="shared" si="9"/>
        <v>0</v>
      </c>
      <c r="J78" s="1734">
        <f t="shared" si="9"/>
        <v>0</v>
      </c>
      <c r="K78" s="1734">
        <f t="shared" si="9"/>
        <v>0</v>
      </c>
      <c r="L78" s="1734"/>
      <c r="M78" s="1734">
        <f>IFERROR(MAX(M52:M76),"n/a")</f>
        <v>0</v>
      </c>
      <c r="N78" s="1734">
        <f>IFERROR(MAX(N52:N76),"n/a")</f>
        <v>0</v>
      </c>
      <c r="O78" s="2060"/>
      <c r="P78" s="2060"/>
      <c r="Q78" s="1557"/>
      <c r="R78" s="1530"/>
      <c r="S78" s="1530"/>
      <c r="T78" s="1530"/>
      <c r="U78" s="1530"/>
      <c r="V78" s="1525"/>
      <c r="W78" s="1525"/>
      <c r="X78" s="1525"/>
      <c r="Y78" s="1525"/>
      <c r="Z78" s="1525"/>
      <c r="AA78" s="1525"/>
      <c r="AB78" s="1525"/>
      <c r="AC78" s="1525"/>
      <c r="AD78" s="1525"/>
      <c r="AE78" s="1525"/>
      <c r="AF78" s="1525"/>
      <c r="AG78" s="1525"/>
      <c r="AH78" s="1525"/>
      <c r="AI78" s="1525"/>
      <c r="AJ78" s="1525"/>
    </row>
    <row r="79" spans="1:36" ht="12" customHeight="1">
      <c r="A79" s="1557"/>
      <c r="B79" s="1557"/>
      <c r="C79" s="1542"/>
      <c r="D79" s="1543" t="s">
        <v>1469</v>
      </c>
      <c r="E79" s="2060"/>
      <c r="F79" s="1614" t="str">
        <f t="shared" ref="F79:K79" si="10">IFERROR(QUARTILE(F52:F76,3),"n/a")</f>
        <v>n/a</v>
      </c>
      <c r="G79" s="1614" t="str">
        <f t="shared" si="10"/>
        <v>n/a</v>
      </c>
      <c r="H79" s="1614" t="str">
        <f t="shared" si="10"/>
        <v>n/a</v>
      </c>
      <c r="I79" s="1614" t="str">
        <f t="shared" si="10"/>
        <v>n/a</v>
      </c>
      <c r="J79" s="1614" t="str">
        <f t="shared" si="10"/>
        <v>n/a</v>
      </c>
      <c r="K79" s="1614" t="str">
        <f t="shared" si="10"/>
        <v>n/a</v>
      </c>
      <c r="L79" s="1614"/>
      <c r="M79" s="1614" t="str">
        <f>IFERROR(QUARTILE(M52:M76,3),"n/a")</f>
        <v>n/a</v>
      </c>
      <c r="N79" s="1614" t="str">
        <f>IFERROR(QUARTILE(N52:N76,3),"n/a")</f>
        <v>n/a</v>
      </c>
      <c r="O79" s="2060"/>
      <c r="P79" s="2060"/>
      <c r="Q79" s="1557"/>
      <c r="R79" s="1530"/>
      <c r="S79" s="1530"/>
      <c r="T79" s="1530"/>
      <c r="U79" s="1530"/>
      <c r="V79" s="1525"/>
      <c r="W79" s="1525"/>
      <c r="X79" s="1525"/>
      <c r="Y79" s="1525"/>
      <c r="Z79" s="1525"/>
      <c r="AA79" s="1525"/>
      <c r="AB79" s="1525"/>
      <c r="AC79" s="1525"/>
      <c r="AD79" s="1525"/>
      <c r="AE79" s="1525"/>
      <c r="AF79" s="1525"/>
      <c r="AG79" s="1525"/>
      <c r="AH79" s="1525"/>
      <c r="AI79" s="1525"/>
      <c r="AJ79" s="1525"/>
    </row>
    <row r="80" spans="1:36" ht="12" customHeight="1">
      <c r="A80" s="1557"/>
      <c r="B80" s="1557"/>
      <c r="C80" s="1542"/>
      <c r="D80" s="1543" t="s">
        <v>1157</v>
      </c>
      <c r="E80" s="2060"/>
      <c r="F80" s="1614" t="str">
        <f t="shared" ref="F80:K80" si="11">IFERROR(AVERAGE(F52:F76),"n/a")</f>
        <v>n/a</v>
      </c>
      <c r="G80" s="1614" t="str">
        <f t="shared" si="11"/>
        <v>n/a</v>
      </c>
      <c r="H80" s="1614" t="str">
        <f t="shared" si="11"/>
        <v>n/a</v>
      </c>
      <c r="I80" s="1614" t="str">
        <f t="shared" si="11"/>
        <v>n/a</v>
      </c>
      <c r="J80" s="1614" t="str">
        <f t="shared" si="11"/>
        <v>n/a</v>
      </c>
      <c r="K80" s="1614" t="str">
        <f t="shared" si="11"/>
        <v>n/a</v>
      </c>
      <c r="L80" s="1614"/>
      <c r="M80" s="1614" t="str">
        <f>IFERROR(AVERAGE(M52:M76),"n/a")</f>
        <v>n/a</v>
      </c>
      <c r="N80" s="1614" t="str">
        <f>IFERROR(AVERAGE(N52:N76),"n/a")</f>
        <v>n/a</v>
      </c>
      <c r="O80" s="2060"/>
      <c r="P80" s="2060"/>
      <c r="Q80" s="1557"/>
      <c r="R80" s="1530"/>
      <c r="S80" s="1530"/>
      <c r="T80" s="1530"/>
      <c r="U80" s="1530"/>
      <c r="V80" s="1525"/>
      <c r="W80" s="1525"/>
      <c r="X80" s="1525"/>
      <c r="Y80" s="1525"/>
      <c r="Z80" s="1525"/>
      <c r="AA80" s="1525"/>
      <c r="AB80" s="1525"/>
      <c r="AC80" s="1525"/>
      <c r="AD80" s="1525"/>
      <c r="AE80" s="1525"/>
      <c r="AF80" s="1525"/>
      <c r="AG80" s="1525"/>
      <c r="AH80" s="1525"/>
      <c r="AI80" s="1525"/>
      <c r="AJ80" s="1525"/>
    </row>
    <row r="81" spans="1:36" ht="12" customHeight="1">
      <c r="A81" s="1557"/>
      <c r="B81" s="1557"/>
      <c r="C81" s="1542"/>
      <c r="D81" s="1543" t="s">
        <v>1158</v>
      </c>
      <c r="E81" s="2060"/>
      <c r="F81" s="1614" t="str">
        <f t="shared" ref="F81:K81" si="12">IFERROR(MEDIAN(F52:F76),"n/a")</f>
        <v>n/a</v>
      </c>
      <c r="G81" s="1614" t="str">
        <f t="shared" si="12"/>
        <v>n/a</v>
      </c>
      <c r="H81" s="1614" t="str">
        <f t="shared" si="12"/>
        <v>n/a</v>
      </c>
      <c r="I81" s="1614" t="str">
        <f t="shared" si="12"/>
        <v>n/a</v>
      </c>
      <c r="J81" s="1614" t="str">
        <f t="shared" si="12"/>
        <v>n/a</v>
      </c>
      <c r="K81" s="1614" t="str">
        <f t="shared" si="12"/>
        <v>n/a</v>
      </c>
      <c r="L81" s="1614"/>
      <c r="M81" s="1614" t="str">
        <f>IFERROR(MEDIAN(M52:M76),"n/a")</f>
        <v>n/a</v>
      </c>
      <c r="N81" s="1614" t="str">
        <f>IFERROR(MEDIAN(N52:N76),"n/a")</f>
        <v>n/a</v>
      </c>
      <c r="O81" s="2060"/>
      <c r="P81" s="2060"/>
      <c r="Q81" s="1557"/>
      <c r="R81" s="1530"/>
      <c r="S81" s="1530"/>
      <c r="T81" s="1530"/>
      <c r="U81" s="1530"/>
      <c r="V81" s="1525"/>
      <c r="W81" s="1525"/>
      <c r="X81" s="1525"/>
      <c r="Y81" s="1525"/>
      <c r="Z81" s="1525"/>
      <c r="AA81" s="1525"/>
      <c r="AB81" s="1525"/>
      <c r="AC81" s="1525"/>
      <c r="AD81" s="1525"/>
      <c r="AE81" s="1525"/>
      <c r="AF81" s="1525"/>
      <c r="AG81" s="1525"/>
      <c r="AH81" s="1525"/>
      <c r="AI81" s="1525"/>
      <c r="AJ81" s="1525"/>
    </row>
    <row r="82" spans="1:36" ht="12" customHeight="1">
      <c r="A82" s="1557"/>
      <c r="B82" s="1557"/>
      <c r="C82" s="1542"/>
      <c r="D82" s="1543" t="s">
        <v>1470</v>
      </c>
      <c r="E82" s="2060"/>
      <c r="F82" s="1614" t="str">
        <f t="shared" ref="F82:K82" si="13">IFERROR(QUARTILE(F52:F76,1),"n/a")</f>
        <v>n/a</v>
      </c>
      <c r="G82" s="1614" t="str">
        <f t="shared" si="13"/>
        <v>n/a</v>
      </c>
      <c r="H82" s="1614" t="str">
        <f t="shared" si="13"/>
        <v>n/a</v>
      </c>
      <c r="I82" s="1614" t="str">
        <f t="shared" si="13"/>
        <v>n/a</v>
      </c>
      <c r="J82" s="1614" t="str">
        <f t="shared" si="13"/>
        <v>n/a</v>
      </c>
      <c r="K82" s="1614" t="str">
        <f t="shared" si="13"/>
        <v>n/a</v>
      </c>
      <c r="L82" s="1614"/>
      <c r="M82" s="1614" t="str">
        <f>IFERROR(QUARTILE(M52:M76,1),"n/a")</f>
        <v>n/a</v>
      </c>
      <c r="N82" s="1614" t="str">
        <f>IFERROR(QUARTILE(N52:N76,1),"n/a")</f>
        <v>n/a</v>
      </c>
      <c r="O82" s="2060"/>
      <c r="P82" s="2060"/>
      <c r="Q82" s="1557"/>
      <c r="R82" s="1530"/>
      <c r="S82" s="1530"/>
      <c r="T82" s="1530"/>
      <c r="U82" s="1530"/>
      <c r="V82" s="1525"/>
      <c r="W82" s="1525"/>
      <c r="X82" s="1525"/>
      <c r="Y82" s="1525"/>
      <c r="Z82" s="1525"/>
      <c r="AA82" s="1525"/>
      <c r="AB82" s="1525"/>
      <c r="AC82" s="1525"/>
      <c r="AD82" s="1525"/>
      <c r="AE82" s="1525"/>
      <c r="AF82" s="1525"/>
      <c r="AG82" s="1525"/>
      <c r="AH82" s="1525"/>
      <c r="AI82" s="1525"/>
      <c r="AJ82" s="1525"/>
    </row>
    <row r="83" spans="1:36" ht="12" customHeight="1">
      <c r="A83" s="1557"/>
      <c r="B83" s="1557"/>
      <c r="C83" s="1542"/>
      <c r="D83" s="1543" t="s">
        <v>1273</v>
      </c>
      <c r="E83" s="2060"/>
      <c r="F83" s="1735">
        <f t="shared" ref="F83:K83" si="14">IFERROR(MIN(F52:F76),"n/a")</f>
        <v>0</v>
      </c>
      <c r="G83" s="1735">
        <f t="shared" si="14"/>
        <v>0</v>
      </c>
      <c r="H83" s="1735">
        <f t="shared" si="14"/>
        <v>0</v>
      </c>
      <c r="I83" s="1735">
        <f t="shared" si="14"/>
        <v>0</v>
      </c>
      <c r="J83" s="1735">
        <f t="shared" si="14"/>
        <v>0</v>
      </c>
      <c r="K83" s="1735">
        <f t="shared" si="14"/>
        <v>0</v>
      </c>
      <c r="L83" s="1735"/>
      <c r="M83" s="1735">
        <f>IFERROR(MIN(M52:M76),"n/a")</f>
        <v>0</v>
      </c>
      <c r="N83" s="1735">
        <f>IFERROR(MIN(N52:N76),"n/a")</f>
        <v>0</v>
      </c>
      <c r="O83" s="2060"/>
      <c r="P83" s="2060"/>
      <c r="Q83" s="1557"/>
      <c r="R83" s="1530"/>
      <c r="S83" s="1530"/>
      <c r="T83" s="1530"/>
      <c r="U83" s="1530"/>
      <c r="V83" s="1525"/>
      <c r="W83" s="1525"/>
      <c r="X83" s="1525"/>
      <c r="Y83" s="1525"/>
      <c r="Z83" s="1525"/>
      <c r="AA83" s="1525"/>
      <c r="AB83" s="1525"/>
      <c r="AC83" s="1525"/>
      <c r="AD83" s="1525"/>
      <c r="AE83" s="1525"/>
      <c r="AF83" s="1525"/>
      <c r="AG83" s="1525"/>
      <c r="AH83" s="1525"/>
      <c r="AI83" s="1525"/>
      <c r="AJ83" s="1525"/>
    </row>
    <row r="84" spans="1:36" s="1530" customFormat="1" ht="12" customHeight="1">
      <c r="A84" s="1557"/>
      <c r="B84" s="1557"/>
      <c r="C84" s="1759" t="s">
        <v>1471</v>
      </c>
      <c r="D84" s="1543"/>
      <c r="E84" s="2060"/>
      <c r="F84" s="1556"/>
      <c r="G84" s="1556"/>
      <c r="H84" s="1556"/>
      <c r="I84" s="1556"/>
      <c r="J84" s="1556"/>
      <c r="K84" s="1556"/>
      <c r="L84" s="1556"/>
      <c r="M84" s="1556"/>
      <c r="N84" s="1556"/>
      <c r="O84" s="2060"/>
      <c r="Q84" s="1557"/>
      <c r="V84" s="1525"/>
      <c r="W84" s="1525"/>
      <c r="X84" s="1525"/>
      <c r="Y84" s="1525"/>
      <c r="Z84" s="1525"/>
      <c r="AA84" s="1525"/>
      <c r="AB84" s="1525"/>
      <c r="AC84" s="1525"/>
      <c r="AD84" s="1525"/>
      <c r="AE84" s="1525"/>
      <c r="AF84" s="1525"/>
      <c r="AG84" s="1525"/>
      <c r="AH84" s="1525"/>
      <c r="AI84" s="1525"/>
      <c r="AJ84" s="1525"/>
    </row>
    <row r="85" spans="1:36" s="1530" customFormat="1" ht="12" customHeight="1">
      <c r="A85" s="1557"/>
      <c r="B85" s="1557"/>
      <c r="C85" s="1542" t="str">
        <f>ClientName</f>
        <v/>
      </c>
      <c r="D85" s="359">
        <f>LFQLTM</f>
        <v>42643</v>
      </c>
      <c r="E85" s="2060"/>
      <c r="F85" s="1364" t="str">
        <f>IFERROR('DATA GPC'!K813/'DATA GPC'!K565,"--")</f>
        <v>--</v>
      </c>
      <c r="G85" s="1364" t="str">
        <f>IFERROR('DATA GPC'!L813/'DATA GPC'!L565,"--")</f>
        <v>--</v>
      </c>
      <c r="H85" s="1364" t="str">
        <f>IFERROR('DATA GPC'!M813/'DATA GPC'!M565,"--")</f>
        <v>--</v>
      </c>
      <c r="I85" s="1364" t="str">
        <f>IFERROR('DATA GPC'!N813/'DATA GPC'!N565,"--")</f>
        <v>--</v>
      </c>
      <c r="J85" s="1364" t="str">
        <f>IFERROR('DATA GPC'!O813/'DATA GPC'!O565,"--")</f>
        <v>--</v>
      </c>
      <c r="K85" s="1364" t="str">
        <f>IFERROR('DATA GPC'!P813/'DATA GPC'!P565,"--")</f>
        <v>--</v>
      </c>
      <c r="L85" s="1556"/>
      <c r="M85" s="1364" t="str">
        <f>IFERROR(AVERAGE(H85:J85),"--")</f>
        <v>--</v>
      </c>
      <c r="N85" s="1364" t="str">
        <f>IFERROR(AVERAGE(F85:J85),"--")</f>
        <v>--</v>
      </c>
      <c r="O85" s="2060"/>
      <c r="Q85" s="1557"/>
      <c r="V85" s="1525"/>
      <c r="W85" s="1525"/>
      <c r="X85" s="1525"/>
      <c r="Y85" s="1525"/>
      <c r="Z85" s="1525"/>
      <c r="AA85" s="1525"/>
      <c r="AB85" s="1525"/>
      <c r="AC85" s="1525"/>
      <c r="AD85" s="1525"/>
      <c r="AE85" s="1525"/>
      <c r="AF85" s="1525"/>
      <c r="AG85" s="1525"/>
      <c r="AH85" s="1525"/>
      <c r="AI85" s="1525"/>
      <c r="AJ85" s="1525"/>
    </row>
    <row r="86" spans="1:36" ht="12" customHeight="1">
      <c r="A86" s="1557"/>
      <c r="B86" s="1557"/>
      <c r="C86" s="1542"/>
      <c r="D86" s="1543"/>
      <c r="E86" s="2060"/>
      <c r="F86" s="1556"/>
      <c r="G86" s="1556"/>
      <c r="H86" s="1556"/>
      <c r="I86" s="1556"/>
      <c r="J86" s="1556"/>
      <c r="K86" s="1556"/>
      <c r="L86" s="1556"/>
      <c r="M86" s="1556"/>
      <c r="N86" s="1556"/>
      <c r="O86" s="2060"/>
      <c r="P86" s="2060"/>
      <c r="Q86" s="1557"/>
      <c r="R86" s="1530"/>
      <c r="S86" s="1530"/>
      <c r="T86" s="1530"/>
      <c r="U86" s="1530"/>
      <c r="V86" s="1525"/>
      <c r="W86" s="1525"/>
      <c r="X86" s="1525"/>
      <c r="Y86" s="1525"/>
      <c r="Z86" s="1525"/>
      <c r="AA86" s="1525"/>
      <c r="AB86" s="1525"/>
      <c r="AC86" s="1525"/>
      <c r="AD86" s="1525"/>
      <c r="AE86" s="1525"/>
      <c r="AF86" s="1525"/>
      <c r="AG86" s="1525"/>
      <c r="AH86" s="1525"/>
      <c r="AI86" s="1525"/>
      <c r="AJ86" s="1525"/>
    </row>
    <row r="87" spans="1:36" ht="12" customHeight="1">
      <c r="A87" s="1557"/>
      <c r="B87" s="1557"/>
      <c r="C87" s="1542"/>
      <c r="D87" s="1543"/>
      <c r="E87" s="1584"/>
      <c r="F87" s="1556"/>
      <c r="G87" s="1556"/>
      <c r="H87" s="1556"/>
      <c r="I87" s="1556"/>
      <c r="J87" s="1556"/>
      <c r="K87" s="1556"/>
      <c r="L87" s="1556"/>
      <c r="M87" s="1556"/>
      <c r="N87" s="1556"/>
      <c r="O87" s="2060"/>
      <c r="P87" s="2060"/>
      <c r="Q87" s="1557"/>
      <c r="R87" s="1530"/>
      <c r="S87" s="1530"/>
      <c r="T87" s="1530"/>
      <c r="U87" s="1530"/>
      <c r="V87" s="1525"/>
      <c r="W87" s="1525"/>
      <c r="X87" s="1525"/>
      <c r="Y87" s="1525"/>
      <c r="Z87" s="1525"/>
      <c r="AA87" s="1525"/>
      <c r="AB87" s="1525"/>
      <c r="AC87" s="1525"/>
      <c r="AD87" s="1525"/>
      <c r="AE87" s="1525"/>
      <c r="AF87" s="1525"/>
      <c r="AG87" s="1525"/>
      <c r="AH87" s="1525"/>
      <c r="AI87" s="1525"/>
      <c r="AJ87" s="1525"/>
    </row>
    <row r="88" spans="1:36" s="1530" customFormat="1" ht="12" customHeight="1">
      <c r="A88" s="1557"/>
      <c r="B88" s="1557"/>
      <c r="C88" s="1542" t="s">
        <v>1665</v>
      </c>
      <c r="D88" s="1543"/>
      <c r="E88" s="1584"/>
      <c r="F88" s="1556"/>
      <c r="G88" s="1556"/>
      <c r="H88" s="1556"/>
      <c r="I88" s="1556"/>
      <c r="J88" s="1556"/>
      <c r="K88" s="1556"/>
      <c r="L88" s="1556"/>
      <c r="M88" s="1556"/>
      <c r="N88" s="1556"/>
      <c r="O88" s="2060"/>
      <c r="P88" s="2060"/>
      <c r="Q88" s="1557"/>
      <c r="V88" s="1525"/>
      <c r="W88" s="1525"/>
      <c r="X88" s="1525"/>
      <c r="Y88" s="1525"/>
      <c r="Z88" s="1525"/>
      <c r="AA88" s="1525"/>
      <c r="AB88" s="1525"/>
      <c r="AC88" s="1525"/>
      <c r="AD88" s="1525"/>
      <c r="AE88" s="1525"/>
      <c r="AF88" s="1525"/>
      <c r="AG88" s="1525"/>
      <c r="AH88" s="1525"/>
      <c r="AI88" s="1525"/>
      <c r="AJ88" s="1525"/>
    </row>
    <row r="89" spans="1:36" ht="12" customHeight="1">
      <c r="A89" s="1557"/>
      <c r="B89" s="1557"/>
      <c r="C89" s="1529" t="s">
        <v>1402</v>
      </c>
      <c r="D89" s="355"/>
      <c r="E89" s="619"/>
      <c r="F89" s="355"/>
      <c r="G89" s="355"/>
      <c r="H89" s="355"/>
      <c r="I89" s="355"/>
      <c r="J89" s="355"/>
      <c r="K89" s="355"/>
      <c r="L89" s="355"/>
      <c r="M89" s="355"/>
      <c r="N89" s="355"/>
      <c r="O89" s="355"/>
      <c r="P89" s="1525"/>
      <c r="Q89" s="1557"/>
      <c r="R89" s="1525"/>
      <c r="S89" s="1525"/>
      <c r="T89" s="1525"/>
      <c r="U89" s="1525"/>
      <c r="V89" s="1525"/>
      <c r="W89" s="1525"/>
      <c r="X89" s="1525"/>
      <c r="Y89" s="1525"/>
      <c r="Z89" s="1525"/>
      <c r="AA89" s="1525"/>
      <c r="AB89" s="1525"/>
      <c r="AC89" s="1525"/>
      <c r="AD89" s="1525"/>
      <c r="AE89" s="1525"/>
      <c r="AF89" s="1525"/>
      <c r="AG89" s="1525"/>
      <c r="AH89" s="1525"/>
      <c r="AI89" s="1525"/>
      <c r="AJ89" s="1525"/>
    </row>
    <row r="90" spans="1:36" s="1530" customFormat="1" ht="12" customHeight="1">
      <c r="A90" s="1557"/>
      <c r="B90" s="1557"/>
      <c r="C90" s="1529"/>
      <c r="D90" s="355"/>
      <c r="E90" s="619"/>
      <c r="F90" s="355"/>
      <c r="G90" s="355"/>
      <c r="H90" s="355"/>
      <c r="I90" s="355"/>
      <c r="J90" s="355"/>
      <c r="K90" s="355"/>
      <c r="L90" s="355"/>
      <c r="M90" s="355"/>
      <c r="N90" s="355"/>
      <c r="O90" s="355"/>
      <c r="P90" s="1525"/>
      <c r="Q90" s="1557"/>
      <c r="R90" s="1525"/>
      <c r="S90" s="1525"/>
      <c r="T90" s="1525"/>
      <c r="U90" s="1525"/>
      <c r="V90" s="1525"/>
      <c r="W90" s="1525"/>
      <c r="X90" s="1525"/>
      <c r="Y90" s="1525"/>
      <c r="Z90" s="1525"/>
      <c r="AA90" s="1525"/>
      <c r="AB90" s="1525"/>
      <c r="AC90" s="1525"/>
      <c r="AD90" s="1525"/>
      <c r="AE90" s="1525"/>
      <c r="AF90" s="1525"/>
      <c r="AG90" s="1525"/>
      <c r="AH90" s="1525"/>
      <c r="AI90" s="1525"/>
      <c r="AJ90" s="1525"/>
    </row>
    <row r="91" spans="1:36" ht="12" customHeight="1">
      <c r="A91" s="1557"/>
      <c r="B91" s="1557"/>
      <c r="C91" s="1529" t="str">
        <f>DraftFooter</f>
        <v>Draft and preliminary. All data subject to change upon completion of additional analysis</v>
      </c>
      <c r="D91" s="356"/>
      <c r="E91" s="691"/>
      <c r="F91" s="356"/>
      <c r="G91" s="356"/>
      <c r="H91" s="356"/>
      <c r="I91" s="356"/>
      <c r="J91" s="356"/>
      <c r="K91" s="1529"/>
      <c r="L91" s="1529"/>
      <c r="M91" s="356"/>
      <c r="N91" s="357"/>
      <c r="O91" s="358"/>
      <c r="P91" s="1525"/>
      <c r="Q91" s="1557"/>
      <c r="R91" s="1525"/>
      <c r="S91" s="1525"/>
      <c r="T91" s="1525"/>
      <c r="U91" s="1525"/>
      <c r="V91" s="1525"/>
      <c r="W91" s="1525"/>
      <c r="X91" s="1525"/>
      <c r="Y91" s="1525"/>
      <c r="Z91" s="1525"/>
      <c r="AA91" s="1525"/>
      <c r="AB91" s="1525"/>
      <c r="AC91" s="1525"/>
      <c r="AD91" s="1525"/>
      <c r="AE91" s="1525"/>
      <c r="AF91" s="1525"/>
      <c r="AG91" s="1525"/>
      <c r="AH91" s="1525"/>
      <c r="AI91" s="1525"/>
      <c r="AJ91" s="1525"/>
    </row>
    <row r="92" spans="1:36" ht="12" customHeight="1">
      <c r="A92" s="1557" t="s">
        <v>17</v>
      </c>
      <c r="B92" s="1557"/>
      <c r="C92" s="592"/>
      <c r="D92" s="592"/>
      <c r="E92" s="685"/>
      <c r="F92" s="592"/>
      <c r="G92" s="592"/>
      <c r="H92" s="592"/>
      <c r="I92" s="592"/>
      <c r="J92" s="592"/>
      <c r="K92" s="1565"/>
      <c r="L92" s="1565"/>
      <c r="M92" s="592"/>
      <c r="N92" s="592"/>
      <c r="O92" s="592"/>
      <c r="P92" s="596" t="s">
        <v>18</v>
      </c>
      <c r="Q92" s="1557"/>
      <c r="R92" s="1525"/>
      <c r="S92" s="1525"/>
      <c r="T92" s="1525"/>
      <c r="U92" s="1525"/>
      <c r="V92" s="1525"/>
      <c r="W92" s="1525"/>
      <c r="X92" s="1525"/>
      <c r="Y92" s="1525"/>
      <c r="Z92" s="1525"/>
      <c r="AA92" s="1525"/>
      <c r="AB92" s="1525"/>
      <c r="AC92" s="1525"/>
      <c r="AD92" s="1525"/>
      <c r="AE92" s="1525"/>
      <c r="AF92" s="1525"/>
      <c r="AG92" s="1525"/>
      <c r="AH92" s="1525"/>
      <c r="AI92" s="1525"/>
      <c r="AJ92" s="1525"/>
    </row>
    <row r="93" spans="1:36" ht="12" customHeight="1">
      <c r="A93" s="1557"/>
      <c r="B93" s="1557"/>
      <c r="C93" s="592"/>
      <c r="D93" s="592"/>
      <c r="E93" s="685"/>
      <c r="F93" s="592"/>
      <c r="G93" s="592"/>
      <c r="H93" s="592"/>
      <c r="I93" s="592"/>
      <c r="J93" s="592"/>
      <c r="K93" s="1565"/>
      <c r="L93" s="1565"/>
      <c r="M93" s="592"/>
      <c r="N93" s="592"/>
      <c r="O93" s="592"/>
      <c r="P93" s="596"/>
      <c r="Q93" s="1557"/>
      <c r="R93" s="1530"/>
      <c r="S93" s="1530"/>
      <c r="T93" s="1530"/>
      <c r="U93" s="1530"/>
      <c r="V93" s="1530"/>
      <c r="W93" s="1530"/>
      <c r="X93" s="1530"/>
      <c r="Y93" s="1530"/>
      <c r="Z93" s="1530"/>
      <c r="AA93" s="1530"/>
      <c r="AB93" s="1530"/>
      <c r="AC93" s="1530"/>
      <c r="AD93" s="1530"/>
      <c r="AE93" s="1530"/>
      <c r="AF93" s="1530"/>
      <c r="AG93" s="1530"/>
      <c r="AH93" s="1530"/>
      <c r="AI93" s="1530"/>
      <c r="AJ93" s="1530"/>
    </row>
    <row r="94" spans="1:36" ht="12" customHeight="1">
      <c r="A94" s="1530"/>
      <c r="B94" s="1530"/>
      <c r="C94" s="1530"/>
      <c r="D94" s="1530"/>
      <c r="E94" s="1568"/>
      <c r="F94" s="1530"/>
      <c r="G94" s="1530"/>
      <c r="H94" s="1530"/>
      <c r="I94" s="1530"/>
      <c r="J94" s="1530"/>
      <c r="K94" s="1530"/>
      <c r="L94" s="1530"/>
      <c r="M94" s="1530"/>
      <c r="N94" s="1530"/>
      <c r="O94" s="1530"/>
      <c r="P94" s="1530"/>
      <c r="Q94" s="1530"/>
      <c r="R94" s="1530"/>
      <c r="S94" s="1530"/>
      <c r="T94" s="1530"/>
      <c r="U94" s="1530"/>
      <c r="V94" s="1530"/>
      <c r="W94" s="1530"/>
      <c r="X94" s="1530"/>
      <c r="Y94" s="1530"/>
      <c r="Z94" s="1530"/>
      <c r="AA94" s="1530"/>
      <c r="AB94" s="1530"/>
      <c r="AC94" s="1530"/>
      <c r="AD94" s="1530"/>
      <c r="AE94" s="1530"/>
      <c r="AF94" s="1530"/>
      <c r="AG94" s="1530"/>
      <c r="AH94" s="1530"/>
      <c r="AI94" s="1530"/>
      <c r="AJ94" s="1530"/>
    </row>
    <row r="95" spans="1:36" ht="12" customHeight="1">
      <c r="A95" s="1530"/>
      <c r="B95" s="1530"/>
      <c r="C95" s="1530"/>
      <c r="D95" s="1530"/>
      <c r="E95" s="1568"/>
      <c r="F95" s="1530"/>
      <c r="G95" s="1530"/>
      <c r="H95" s="1530"/>
      <c r="I95" s="1530"/>
      <c r="J95" s="1530"/>
      <c r="K95" s="1530"/>
      <c r="L95" s="1530"/>
      <c r="M95" s="1530"/>
      <c r="N95" s="1530"/>
      <c r="O95" s="1530"/>
      <c r="P95" s="1530"/>
      <c r="Q95" s="1530"/>
      <c r="R95" s="1530"/>
      <c r="S95" s="1530"/>
      <c r="T95" s="1530"/>
      <c r="U95" s="1530"/>
      <c r="V95" s="1530"/>
      <c r="W95" s="1530"/>
      <c r="X95" s="1530"/>
      <c r="Y95" s="1530"/>
      <c r="Z95" s="1530"/>
      <c r="AA95" s="1530"/>
      <c r="AB95" s="1530"/>
      <c r="AC95" s="1530"/>
      <c r="AD95" s="1530"/>
      <c r="AE95" s="1530"/>
      <c r="AF95" s="1530"/>
      <c r="AG95" s="1530"/>
      <c r="AH95" s="1530"/>
      <c r="AI95" s="1530"/>
      <c r="AJ95" s="1530"/>
    </row>
    <row r="96" spans="1:36" ht="12" customHeight="1">
      <c r="A96" s="1530"/>
      <c r="B96" s="1530"/>
      <c r="C96" s="1530"/>
      <c r="D96" s="1530"/>
      <c r="E96" s="1568"/>
      <c r="F96" s="1530"/>
      <c r="G96" s="1530"/>
      <c r="H96" s="1530"/>
      <c r="I96" s="1530"/>
      <c r="J96" s="1530"/>
      <c r="K96" s="1530"/>
      <c r="L96" s="1530"/>
      <c r="M96" s="1530"/>
      <c r="N96" s="1530"/>
      <c r="O96" s="1530"/>
      <c r="P96" s="1530"/>
      <c r="Q96" s="1530"/>
      <c r="R96" s="1530"/>
      <c r="S96" s="1530"/>
      <c r="T96" s="1530"/>
      <c r="U96" s="1530"/>
      <c r="V96" s="1530"/>
      <c r="W96" s="1530"/>
      <c r="X96" s="1530"/>
      <c r="Y96" s="1530"/>
      <c r="Z96" s="1530"/>
      <c r="AA96" s="1530"/>
      <c r="AB96" s="1530"/>
      <c r="AC96" s="1530"/>
      <c r="AD96" s="1530"/>
      <c r="AE96" s="1530"/>
      <c r="AF96" s="1530"/>
      <c r="AG96" s="1530"/>
      <c r="AH96" s="1530"/>
      <c r="AI96" s="1530"/>
      <c r="AJ96" s="1530"/>
    </row>
    <row r="97" spans="5:5" ht="12" customHeight="1">
      <c r="E97" s="1568"/>
    </row>
    <row r="98" spans="5:5" ht="12" customHeight="1">
      <c r="E98" s="1568"/>
    </row>
    <row r="99" spans="5:5" ht="12" customHeight="1">
      <c r="E99" s="1568"/>
    </row>
  </sheetData>
  <autoFilter ref="A1:A99"/>
  <conditionalFormatting sqref="B1:B2">
    <cfRule type="cellIs" dxfId="143" priority="4" operator="notEqual">
      <formula>0</formula>
    </cfRule>
  </conditionalFormatting>
  <conditionalFormatting sqref="A6">
    <cfRule type="expression" dxfId="142" priority="3">
      <formula>AND(MasterCheck&gt;0,RedAlertY=TRUE)</formula>
    </cfRule>
  </conditionalFormatting>
  <conditionalFormatting sqref="F37:N42">
    <cfRule type="expression" dxfId="141" priority="2">
      <formula>(F37&lt;F$44)</formula>
    </cfRule>
  </conditionalFormatting>
  <conditionalFormatting sqref="F78:N83">
    <cfRule type="expression" dxfId="140" priority="1">
      <formula>(F78&lt;F$85)</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92"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WCSales">
    <tabColor rgb="FF99FF66"/>
    <pageSetUpPr autoPageBreaks="0"/>
  </sheetPr>
  <dimension ref="A1:AQ200"/>
  <sheetViews>
    <sheetView showGridLines="0" topLeftCell="A154" zoomScale="85" zoomScaleNormal="85" zoomScaleSheetLayoutView="85" workbookViewId="0">
      <selection activeCell="G185" sqref="G185"/>
    </sheetView>
  </sheetViews>
  <sheetFormatPr defaultColWidth="9.33203125" defaultRowHeight="12" customHeight="1" outlineLevelCol="1"/>
  <cols>
    <col min="1" max="1" width="2.83203125" style="335" customWidth="1"/>
    <col min="2" max="2" width="3.83203125" style="335" customWidth="1"/>
    <col min="3" max="3" width="39" style="335" customWidth="1"/>
    <col min="4" max="4" width="12" style="335" customWidth="1"/>
    <col min="5" max="5" width="2" style="335" customWidth="1"/>
    <col min="6" max="11" width="12" style="335" customWidth="1"/>
    <col min="12" max="12" width="4" style="335" customWidth="1"/>
    <col min="13" max="14" width="12" style="335" customWidth="1"/>
    <col min="15" max="15" width="2" style="335" customWidth="1"/>
    <col min="16" max="16" width="61.6640625" style="335" customWidth="1"/>
    <col min="17" max="17" width="8.83203125" style="335" customWidth="1"/>
    <col min="18" max="24" width="11.1640625" style="335" customWidth="1"/>
    <col min="25" max="26" width="11.1640625" style="335" customWidth="1" outlineLevel="1"/>
    <col min="27" max="31" width="11.1640625" style="335" customWidth="1"/>
    <col min="32" max="33" width="11.1640625" style="335" customWidth="1" outlineLevel="1"/>
    <col min="34" max="38" width="11.1640625" style="335" customWidth="1"/>
    <col min="39" max="40" width="11.1640625" style="335" customWidth="1" outlineLevel="1"/>
    <col min="41" max="44" width="11.1640625" style="335" customWidth="1"/>
    <col min="45" max="89" width="12.83203125" style="335" customWidth="1"/>
    <col min="90" max="16384" width="9.33203125" style="335"/>
  </cols>
  <sheetData>
    <row r="1" spans="1:43" ht="18" customHeight="1">
      <c r="A1" s="1557"/>
      <c r="B1" s="649">
        <f>SUMPRODUCT(--ISERROR($C$1:P50))+COUNTIF($C$1:P50,Fail)</f>
        <v>0</v>
      </c>
      <c r="C1" s="1372" t="str">
        <f>START!$C$1</f>
        <v>Client Name</v>
      </c>
      <c r="D1" s="852"/>
      <c r="E1" s="852"/>
      <c r="F1" s="852"/>
      <c r="G1" s="852"/>
      <c r="H1" s="852"/>
      <c r="I1" s="852"/>
      <c r="J1" s="852"/>
      <c r="K1" s="1525"/>
      <c r="L1" s="1525"/>
      <c r="M1" s="852"/>
      <c r="N1" s="852"/>
      <c r="O1" s="1525"/>
      <c r="P1" s="389" t="s">
        <v>873</v>
      </c>
      <c r="Q1" s="1557"/>
      <c r="R1" s="1525"/>
      <c r="S1" s="1525"/>
      <c r="T1" s="1525"/>
      <c r="U1" s="1525"/>
      <c r="V1" s="1525"/>
      <c r="W1" s="1525"/>
      <c r="X1" s="1525"/>
      <c r="Y1" s="1525"/>
      <c r="Z1" s="1525"/>
      <c r="AA1" s="1525"/>
      <c r="AB1" s="1525"/>
      <c r="AC1" s="1525"/>
      <c r="AD1" s="1525"/>
      <c r="AE1" s="1525"/>
      <c r="AF1" s="1525"/>
      <c r="AG1" s="1525"/>
      <c r="AH1" s="1525"/>
      <c r="AI1" s="1525"/>
      <c r="AJ1" s="1525"/>
      <c r="AK1" s="1525"/>
      <c r="AL1" s="1525"/>
      <c r="AM1" s="1525"/>
      <c r="AN1" s="1525"/>
      <c r="AO1" s="1525"/>
      <c r="AP1" s="1525"/>
      <c r="AQ1" s="1525"/>
    </row>
    <row r="2" spans="1:43" ht="18" customHeight="1">
      <c r="A2" s="1557"/>
      <c r="B2" s="649"/>
      <c r="C2" s="1372" t="str">
        <f>START!$C$2</f>
        <v xml:space="preserve">Please enter project description in START worksheet cell G13 </v>
      </c>
      <c r="D2" s="852"/>
      <c r="E2" s="852"/>
      <c r="F2" s="852"/>
      <c r="G2" s="852"/>
      <c r="H2" s="852"/>
      <c r="I2" s="852"/>
      <c r="J2" s="852"/>
      <c r="K2" s="1525"/>
      <c r="L2" s="1525"/>
      <c r="M2" s="852"/>
      <c r="N2" s="852"/>
      <c r="O2" s="1525"/>
      <c r="P2" s="389"/>
      <c r="Q2" s="1557"/>
      <c r="R2" s="1525"/>
      <c r="S2" s="1525"/>
      <c r="T2" s="1525"/>
      <c r="U2" s="1525"/>
      <c r="V2" s="1525"/>
      <c r="W2" s="1525"/>
      <c r="X2" s="1525"/>
      <c r="Y2" s="1525"/>
      <c r="Z2" s="1525"/>
      <c r="AA2" s="1525"/>
      <c r="AB2" s="1525"/>
      <c r="AC2" s="1525"/>
      <c r="AD2" s="1525"/>
      <c r="AE2" s="1525"/>
      <c r="AF2" s="1525"/>
      <c r="AG2" s="1525"/>
      <c r="AH2" s="1525"/>
      <c r="AI2" s="1525"/>
      <c r="AJ2" s="1525"/>
      <c r="AK2" s="1525"/>
      <c r="AL2" s="1525"/>
      <c r="AM2" s="1525"/>
      <c r="AN2" s="1525"/>
      <c r="AO2" s="1525"/>
      <c r="AP2" s="1525"/>
      <c r="AQ2" s="1525"/>
    </row>
    <row r="3" spans="1:43" ht="18" customHeight="1">
      <c r="A3" s="1557"/>
      <c r="B3" s="1557"/>
      <c r="C3" s="839" t="s">
        <v>1666</v>
      </c>
      <c r="D3" s="1526"/>
      <c r="E3" s="1526"/>
      <c r="F3" s="1526"/>
      <c r="G3" s="1526"/>
      <c r="H3" s="1526"/>
      <c r="I3" s="1526"/>
      <c r="J3" s="1526"/>
      <c r="K3" s="1526"/>
      <c r="L3" s="1526"/>
      <c r="M3" s="1526"/>
      <c r="N3" s="1526"/>
      <c r="O3" s="1526"/>
      <c r="P3" s="1525"/>
      <c r="Q3" s="1557"/>
      <c r="R3" s="1530"/>
      <c r="S3" s="1530"/>
      <c r="T3" s="1530"/>
      <c r="U3" s="1530"/>
      <c r="V3" s="1530"/>
      <c r="W3" s="1530"/>
      <c r="X3" s="1530"/>
      <c r="Y3" s="1530"/>
      <c r="Z3" s="1530"/>
      <c r="AA3" s="1530"/>
      <c r="AB3" s="1530"/>
      <c r="AC3" s="1530"/>
      <c r="AD3" s="1530"/>
      <c r="AE3" s="1530"/>
      <c r="AF3" s="1530"/>
      <c r="AG3" s="1530"/>
      <c r="AH3" s="1530"/>
      <c r="AI3" s="1530"/>
      <c r="AJ3" s="1530"/>
      <c r="AK3" s="1530"/>
      <c r="AL3" s="1530"/>
      <c r="AM3" s="1530"/>
      <c r="AN3" s="1530"/>
      <c r="AO3" s="1530"/>
      <c r="AP3" s="1530"/>
      <c r="AQ3" s="1530"/>
    </row>
    <row r="4" spans="1:43" ht="18" customHeight="1">
      <c r="A4" s="1557"/>
      <c r="B4" s="1557"/>
      <c r="C4" s="840" t="str">
        <f>ValDateHeading</f>
        <v>Estimation of value as of 28 February 2017</v>
      </c>
      <c r="D4" s="1526"/>
      <c r="E4" s="1526"/>
      <c r="F4" s="1526"/>
      <c r="G4" s="1526"/>
      <c r="H4" s="1526"/>
      <c r="I4" s="1526"/>
      <c r="J4" s="1526"/>
      <c r="K4" s="1526"/>
      <c r="L4" s="1526"/>
      <c r="M4" s="1526"/>
      <c r="N4" s="1526"/>
      <c r="O4" s="1526"/>
      <c r="P4" s="1525"/>
      <c r="Q4" s="1557"/>
      <c r="R4" s="1530"/>
      <c r="S4" s="1530"/>
      <c r="T4" s="1530"/>
      <c r="U4" s="1530"/>
      <c r="V4" s="1530"/>
      <c r="W4" s="1530"/>
      <c r="X4" s="1530"/>
      <c r="Y4" s="1530"/>
      <c r="Z4" s="1530"/>
      <c r="AA4" s="1530"/>
      <c r="AB4" s="1530"/>
      <c r="AC4" s="1530"/>
      <c r="AD4" s="1530"/>
      <c r="AE4" s="1530"/>
      <c r="AF4" s="1530"/>
      <c r="AG4" s="1530"/>
      <c r="AH4" s="1530"/>
      <c r="AI4" s="1530"/>
      <c r="AJ4" s="1530"/>
      <c r="AK4" s="1530"/>
      <c r="AL4" s="1530"/>
      <c r="AM4" s="1530"/>
      <c r="AN4" s="1530"/>
      <c r="AO4" s="1530"/>
      <c r="AP4" s="1530"/>
      <c r="AQ4" s="1530"/>
    </row>
    <row r="5" spans="1:43" ht="18" customHeight="1">
      <c r="A5" s="1419"/>
      <c r="B5" s="1557"/>
      <c r="C5" s="2060"/>
      <c r="D5" s="1526"/>
      <c r="E5" s="1526"/>
      <c r="F5" s="1526"/>
      <c r="G5" s="1526"/>
      <c r="H5" s="1526"/>
      <c r="I5" s="1526"/>
      <c r="J5" s="1526"/>
      <c r="K5" s="341"/>
      <c r="L5" s="341"/>
      <c r="M5" s="1526"/>
      <c r="N5" s="1526"/>
      <c r="O5" s="1526"/>
      <c r="P5" s="1525"/>
      <c r="Q5" s="1557"/>
      <c r="R5" s="1530"/>
      <c r="S5" s="1530"/>
      <c r="T5" s="1530"/>
      <c r="U5" s="1530"/>
      <c r="V5" s="1530"/>
      <c r="W5" s="1530"/>
      <c r="X5" s="1530"/>
      <c r="Y5" s="1530"/>
      <c r="Z5" s="1530"/>
      <c r="AA5" s="1530"/>
      <c r="AB5" s="1530"/>
      <c r="AC5" s="1530"/>
      <c r="AD5" s="1530"/>
      <c r="AE5" s="1530"/>
      <c r="AF5" s="1530"/>
      <c r="AG5" s="1530"/>
      <c r="AH5" s="1530"/>
      <c r="AI5" s="1530"/>
      <c r="AJ5" s="1530"/>
      <c r="AK5" s="1530"/>
      <c r="AL5" s="1530"/>
      <c r="AM5" s="1530"/>
      <c r="AN5" s="1530"/>
      <c r="AO5" s="1530"/>
      <c r="AP5" s="1530"/>
      <c r="AQ5" s="1530"/>
    </row>
    <row r="6" spans="1:43" ht="13.9">
      <c r="A6" s="1413" t="str">
        <f>IF(MasterCheck,"Please check the "&amp;'Error Check'!$G$8,"")</f>
        <v/>
      </c>
      <c r="B6" s="1424"/>
      <c r="C6" s="1511"/>
      <c r="D6" s="341"/>
      <c r="E6" s="341"/>
      <c r="F6" s="341"/>
      <c r="G6" s="341"/>
      <c r="H6" s="341"/>
      <c r="I6" s="341"/>
      <c r="J6" s="341"/>
      <c r="K6" s="341"/>
      <c r="L6" s="341"/>
      <c r="M6" s="341"/>
      <c r="N6" s="341"/>
      <c r="O6" s="341"/>
      <c r="P6" s="1525"/>
      <c r="Q6" s="1557"/>
      <c r="R6" s="1530"/>
      <c r="S6" s="1530"/>
      <c r="T6" s="1530"/>
      <c r="U6" s="1530"/>
      <c r="V6" s="1530"/>
      <c r="W6" s="1530"/>
      <c r="X6" s="1530"/>
      <c r="Y6" s="1530"/>
      <c r="Z6" s="1530"/>
      <c r="AA6" s="1530"/>
      <c r="AB6" s="1530"/>
      <c r="AC6" s="1530"/>
      <c r="AD6" s="1530"/>
      <c r="AE6" s="1530"/>
      <c r="AF6" s="1530"/>
      <c r="AG6" s="1530"/>
      <c r="AH6" s="1530"/>
      <c r="AI6" s="1530"/>
      <c r="AJ6" s="1530"/>
      <c r="AK6" s="1530"/>
      <c r="AL6" s="1530"/>
      <c r="AM6" s="1530"/>
      <c r="AN6" s="1530"/>
      <c r="AO6" s="1530"/>
      <c r="AP6" s="1530"/>
      <c r="AQ6" s="1530"/>
    </row>
    <row r="7" spans="1:43" ht="13.9">
      <c r="A7" s="1557"/>
      <c r="B7" s="1557"/>
      <c r="C7" s="343"/>
      <c r="D7" s="343"/>
      <c r="E7" s="344"/>
      <c r="F7" s="345"/>
      <c r="G7" s="345"/>
      <c r="H7" s="345"/>
      <c r="I7" s="345"/>
      <c r="J7" s="345"/>
      <c r="K7" s="345"/>
      <c r="L7" s="345"/>
      <c r="M7" s="345"/>
      <c r="N7" s="345"/>
      <c r="O7" s="345"/>
      <c r="P7" s="1529"/>
      <c r="Q7" s="1557"/>
      <c r="R7" s="1530"/>
      <c r="S7" s="1530"/>
      <c r="T7" s="1530"/>
      <c r="U7" s="1530"/>
      <c r="V7" s="1530"/>
      <c r="W7" s="1530"/>
      <c r="X7" s="1530"/>
      <c r="Y7" s="1530"/>
      <c r="Z7" s="1530"/>
      <c r="AA7" s="1530"/>
      <c r="AB7" s="1530"/>
      <c r="AC7" s="1530"/>
      <c r="AD7" s="1530"/>
      <c r="AE7" s="1530"/>
      <c r="AF7" s="1530"/>
      <c r="AG7" s="1530"/>
      <c r="AH7" s="1530"/>
      <c r="AI7" s="1530"/>
      <c r="AJ7" s="1530"/>
      <c r="AK7" s="1530"/>
      <c r="AL7" s="1530"/>
      <c r="AM7" s="1530"/>
      <c r="AN7" s="1530"/>
      <c r="AO7" s="1530"/>
      <c r="AP7" s="1530"/>
      <c r="AQ7" s="1530"/>
    </row>
    <row r="8" spans="1:43" ht="13.9">
      <c r="A8" s="1557"/>
      <c r="B8" s="1557"/>
      <c r="C8" s="1268"/>
      <c r="D8" s="1268"/>
      <c r="E8" s="1268"/>
      <c r="F8" s="1168"/>
      <c r="G8" s="1168"/>
      <c r="H8" s="1168"/>
      <c r="I8" s="1168"/>
      <c r="J8" s="1168"/>
      <c r="K8" s="1168"/>
      <c r="L8" s="1168"/>
      <c r="M8" s="1168" t="s">
        <v>1457</v>
      </c>
      <c r="N8" s="1168" t="s">
        <v>1456</v>
      </c>
      <c r="O8" s="345"/>
      <c r="P8" s="347"/>
      <c r="Q8" s="604"/>
      <c r="R8" s="1530"/>
      <c r="S8" s="1530"/>
      <c r="T8" s="1530"/>
      <c r="U8" s="1530"/>
      <c r="V8" s="1530"/>
      <c r="W8" s="1530"/>
      <c r="X8" s="1530"/>
      <c r="Y8" s="1530"/>
      <c r="Z8" s="1530"/>
      <c r="AA8" s="1530"/>
      <c r="AB8" s="1530"/>
      <c r="AC8" s="1530"/>
      <c r="AD8" s="1530"/>
      <c r="AE8" s="1530"/>
      <c r="AF8" s="1530"/>
      <c r="AG8" s="1530"/>
      <c r="AH8" s="1530"/>
      <c r="AI8" s="1530"/>
      <c r="AJ8" s="1530"/>
      <c r="AK8" s="1530"/>
      <c r="AL8" s="1530"/>
      <c r="AM8" s="1530"/>
      <c r="AN8" s="1530"/>
      <c r="AO8" s="1530"/>
      <c r="AP8" s="1530"/>
      <c r="AQ8" s="1530"/>
    </row>
    <row r="9" spans="1:43" s="346" customFormat="1" ht="13.9">
      <c r="A9" s="1557"/>
      <c r="B9" s="1557"/>
      <c r="C9" s="1278"/>
      <c r="D9" s="1270" t="s">
        <v>1475</v>
      </c>
      <c r="E9" s="1271"/>
      <c r="F9" s="1272" t="s">
        <v>700</v>
      </c>
      <c r="G9" s="1272" t="s">
        <v>701</v>
      </c>
      <c r="H9" s="1272" t="s">
        <v>702</v>
      </c>
      <c r="I9" s="1272" t="s">
        <v>703</v>
      </c>
      <c r="J9" s="1272" t="s">
        <v>704</v>
      </c>
      <c r="K9" s="1272" t="s">
        <v>705</v>
      </c>
      <c r="L9" s="1272"/>
      <c r="M9" s="1272" t="s">
        <v>932</v>
      </c>
      <c r="N9" s="1272" t="s">
        <v>932</v>
      </c>
      <c r="O9" s="345"/>
      <c r="P9" s="348"/>
      <c r="Q9" s="1565"/>
      <c r="R9" s="1529"/>
      <c r="S9" s="1529"/>
      <c r="T9" s="1529"/>
      <c r="U9" s="1529"/>
      <c r="V9" s="1529"/>
      <c r="W9" s="1529"/>
      <c r="X9" s="1529"/>
      <c r="Y9" s="1529"/>
      <c r="Z9" s="1529"/>
      <c r="AA9" s="1529"/>
      <c r="AB9" s="1529"/>
      <c r="AC9" s="1529"/>
      <c r="AD9" s="1529"/>
      <c r="AE9" s="1529"/>
      <c r="AF9" s="1529"/>
      <c r="AG9" s="1529"/>
      <c r="AH9" s="1529"/>
      <c r="AI9" s="1529"/>
      <c r="AJ9" s="1529"/>
      <c r="AK9" s="1529"/>
      <c r="AL9" s="1529"/>
      <c r="AM9" s="1529"/>
      <c r="AN9" s="1529"/>
      <c r="AO9" s="1529"/>
      <c r="AP9" s="1529"/>
      <c r="AQ9" s="1529"/>
    </row>
    <row r="10" spans="1:43" s="1529" customFormat="1" ht="13.9">
      <c r="A10" s="1557"/>
      <c r="B10" s="1557"/>
      <c r="C10" s="1832" t="s">
        <v>1256</v>
      </c>
      <c r="D10" s="1760"/>
      <c r="E10" s="1830"/>
      <c r="F10" s="738"/>
      <c r="G10" s="738"/>
      <c r="H10" s="738"/>
      <c r="I10" s="738"/>
      <c r="J10" s="738"/>
      <c r="K10" s="738"/>
      <c r="L10" s="738"/>
      <c r="M10" s="738"/>
      <c r="N10" s="738"/>
      <c r="O10" s="345"/>
      <c r="P10" s="348"/>
      <c r="Q10" s="1565"/>
    </row>
    <row r="11" spans="1:43" s="350" customFormat="1" ht="13.9">
      <c r="A11" s="1557" t="str">
        <f t="shared" ref="A11:A24" si="0">IF(C11="--","n","")</f>
        <v>n</v>
      </c>
      <c r="B11" s="1557"/>
      <c r="C11" s="146" t="str">
        <f>'DATA GPC'!$E$20</f>
        <v>--</v>
      </c>
      <c r="D11" s="359" t="str">
        <f>'DATA GPC'!$P$129</f>
        <v>--</v>
      </c>
      <c r="E11" s="359"/>
      <c r="F11" s="1364" t="str">
        <f>'DATA GPC'!K971</f>
        <v>--</v>
      </c>
      <c r="G11" s="1364" t="str">
        <f>'DATA GPC'!L971</f>
        <v>--</v>
      </c>
      <c r="H11" s="1364" t="str">
        <f>'DATA GPC'!M971</f>
        <v>--</v>
      </c>
      <c r="I11" s="1364" t="str">
        <f>'DATA GPC'!N971</f>
        <v>--</v>
      </c>
      <c r="J11" s="1364" t="str">
        <f>'DATA GPC'!O971</f>
        <v>--</v>
      </c>
      <c r="K11" s="1364" t="str">
        <f>'DATA GPC'!P971</f>
        <v>--</v>
      </c>
      <c r="L11" s="1364"/>
      <c r="M11" s="1364" t="str">
        <f t="shared" ref="M11:M20" si="1">IFERROR(AVERAGE(H11:J11),"--")</f>
        <v>--</v>
      </c>
      <c r="N11" s="1364" t="str">
        <f>IFERROR(AVERAGE(F11:J11),"--")</f>
        <v>--</v>
      </c>
      <c r="O11" s="351"/>
      <c r="P11" s="1529"/>
      <c r="Q11" s="1565"/>
    </row>
    <row r="12" spans="1:43" s="350" customFormat="1" ht="13.9">
      <c r="A12" s="1557" t="str">
        <f t="shared" si="0"/>
        <v>n</v>
      </c>
      <c r="B12" s="1557"/>
      <c r="C12" s="146" t="str">
        <f>'DATA GPC'!$E$21</f>
        <v>--</v>
      </c>
      <c r="D12" s="359" t="str">
        <f>'DATA GPC'!$P$130</f>
        <v>--</v>
      </c>
      <c r="E12" s="359"/>
      <c r="F12" s="1364" t="str">
        <f>'DATA GPC'!K972</f>
        <v>--</v>
      </c>
      <c r="G12" s="1364" t="str">
        <f>'DATA GPC'!L972</f>
        <v>--</v>
      </c>
      <c r="H12" s="1364" t="str">
        <f>'DATA GPC'!M972</f>
        <v>--</v>
      </c>
      <c r="I12" s="1364" t="str">
        <f>'DATA GPC'!N972</f>
        <v>--</v>
      </c>
      <c r="J12" s="1364" t="str">
        <f>'DATA GPC'!O972</f>
        <v>--</v>
      </c>
      <c r="K12" s="1364" t="str">
        <f>'DATA GPC'!P972</f>
        <v>--</v>
      </c>
      <c r="L12" s="1364"/>
      <c r="M12" s="1364" t="str">
        <f t="shared" si="1"/>
        <v>--</v>
      </c>
      <c r="N12" s="1364" t="str">
        <f t="shared" ref="N12:N24" si="2">IFERROR(AVERAGE(F12:J12),"--")</f>
        <v>--</v>
      </c>
      <c r="O12" s="351"/>
      <c r="P12" s="1529"/>
      <c r="Q12" s="1565"/>
    </row>
    <row r="13" spans="1:43" s="350" customFormat="1" ht="13.9">
      <c r="A13" s="1557" t="str">
        <f t="shared" si="0"/>
        <v>n</v>
      </c>
      <c r="B13" s="1557"/>
      <c r="C13" s="146" t="str">
        <f>'DATA GPC'!$E$22</f>
        <v>--</v>
      </c>
      <c r="D13" s="359" t="str">
        <f>'DATA GPC'!$P$131</f>
        <v>--</v>
      </c>
      <c r="E13" s="359"/>
      <c r="F13" s="1364" t="str">
        <f>'DATA GPC'!K973</f>
        <v>--</v>
      </c>
      <c r="G13" s="1364" t="str">
        <f>'DATA GPC'!L973</f>
        <v>--</v>
      </c>
      <c r="H13" s="1364" t="str">
        <f>'DATA GPC'!M973</f>
        <v>--</v>
      </c>
      <c r="I13" s="1364" t="str">
        <f>'DATA GPC'!N973</f>
        <v>--</v>
      </c>
      <c r="J13" s="1364" t="str">
        <f>'DATA GPC'!O973</f>
        <v>--</v>
      </c>
      <c r="K13" s="1364" t="str">
        <f>'DATA GPC'!P973</f>
        <v>--</v>
      </c>
      <c r="L13" s="1364"/>
      <c r="M13" s="1364" t="str">
        <f t="shared" si="1"/>
        <v>--</v>
      </c>
      <c r="N13" s="1364" t="str">
        <f t="shared" si="2"/>
        <v>--</v>
      </c>
      <c r="O13" s="351"/>
      <c r="P13" s="1529"/>
      <c r="Q13" s="1565"/>
    </row>
    <row r="14" spans="1:43" s="350" customFormat="1" ht="13.9">
      <c r="A14" s="1557" t="str">
        <f t="shared" si="0"/>
        <v>n</v>
      </c>
      <c r="B14" s="1557"/>
      <c r="C14" s="146" t="str">
        <f>'DATA GPC'!$E$23</f>
        <v>--</v>
      </c>
      <c r="D14" s="359" t="str">
        <f>'DATA GPC'!$P$132</f>
        <v>--</v>
      </c>
      <c r="E14" s="359"/>
      <c r="F14" s="1364" t="str">
        <f>'DATA GPC'!K974</f>
        <v>--</v>
      </c>
      <c r="G14" s="1364" t="str">
        <f>'DATA GPC'!L974</f>
        <v>--</v>
      </c>
      <c r="H14" s="1364" t="str">
        <f>'DATA GPC'!M974</f>
        <v>--</v>
      </c>
      <c r="I14" s="1364" t="str">
        <f>'DATA GPC'!N974</f>
        <v>--</v>
      </c>
      <c r="J14" s="1364" t="str">
        <f>'DATA GPC'!O974</f>
        <v>--</v>
      </c>
      <c r="K14" s="1364" t="str">
        <f>'DATA GPC'!P974</f>
        <v>--</v>
      </c>
      <c r="L14" s="1364"/>
      <c r="M14" s="1364" t="str">
        <f t="shared" si="1"/>
        <v>--</v>
      </c>
      <c r="N14" s="1364" t="str">
        <f t="shared" si="2"/>
        <v>--</v>
      </c>
      <c r="O14" s="351"/>
      <c r="P14" s="1529"/>
      <c r="Q14" s="1565"/>
    </row>
    <row r="15" spans="1:43" s="350" customFormat="1" ht="13.9">
      <c r="A15" s="1557" t="str">
        <f t="shared" si="0"/>
        <v>n</v>
      </c>
      <c r="B15" s="1557"/>
      <c r="C15" s="146" t="str">
        <f>'DATA GPC'!$E$24</f>
        <v>--</v>
      </c>
      <c r="D15" s="359" t="str">
        <f>'DATA GPC'!$P$133</f>
        <v>--</v>
      </c>
      <c r="E15" s="613"/>
      <c r="F15" s="1364" t="str">
        <f>'DATA GPC'!K975</f>
        <v>--</v>
      </c>
      <c r="G15" s="1364" t="str">
        <f>'DATA GPC'!L975</f>
        <v>--</v>
      </c>
      <c r="H15" s="1364" t="str">
        <f>'DATA GPC'!M975</f>
        <v>--</v>
      </c>
      <c r="I15" s="1364" t="str">
        <f>'DATA GPC'!N975</f>
        <v>--</v>
      </c>
      <c r="J15" s="1364" t="str">
        <f>'DATA GPC'!O975</f>
        <v>--</v>
      </c>
      <c r="K15" s="1364" t="str">
        <f>'DATA GPC'!P975</f>
        <v>--</v>
      </c>
      <c r="L15" s="1364"/>
      <c r="M15" s="1364" t="str">
        <f t="shared" si="1"/>
        <v>--</v>
      </c>
      <c r="N15" s="1364" t="str">
        <f t="shared" si="2"/>
        <v>--</v>
      </c>
      <c r="O15" s="351"/>
      <c r="P15" s="1529"/>
      <c r="Q15" s="1565"/>
    </row>
    <row r="16" spans="1:43" s="350" customFormat="1" ht="13.9">
      <c r="A16" s="1557" t="str">
        <f t="shared" si="0"/>
        <v>n</v>
      </c>
      <c r="B16" s="1557"/>
      <c r="C16" s="146" t="str">
        <f>'DATA GPC'!$E$25</f>
        <v>--</v>
      </c>
      <c r="D16" s="359" t="str">
        <f>'DATA GPC'!$P$134</f>
        <v>--</v>
      </c>
      <c r="E16" s="613"/>
      <c r="F16" s="1364" t="str">
        <f>'DATA GPC'!K976</f>
        <v>--</v>
      </c>
      <c r="G16" s="1364" t="str">
        <f>'DATA GPC'!L976</f>
        <v>--</v>
      </c>
      <c r="H16" s="1364" t="str">
        <f>'DATA GPC'!M976</f>
        <v>--</v>
      </c>
      <c r="I16" s="1364" t="str">
        <f>'DATA GPC'!N976</f>
        <v>--</v>
      </c>
      <c r="J16" s="1364" t="str">
        <f>'DATA GPC'!O976</f>
        <v>--</v>
      </c>
      <c r="K16" s="1364" t="str">
        <f>'DATA GPC'!P976</f>
        <v>--</v>
      </c>
      <c r="L16" s="1364"/>
      <c r="M16" s="1364" t="str">
        <f t="shared" si="1"/>
        <v>--</v>
      </c>
      <c r="N16" s="1364" t="str">
        <f t="shared" si="2"/>
        <v>--</v>
      </c>
      <c r="O16" s="351"/>
      <c r="P16" s="1529"/>
      <c r="Q16" s="1565"/>
    </row>
    <row r="17" spans="1:17" s="350" customFormat="1" ht="13.9">
      <c r="A17" s="1557" t="str">
        <f t="shared" si="0"/>
        <v>n</v>
      </c>
      <c r="B17" s="1557"/>
      <c r="C17" s="146" t="str">
        <f>'DATA GPC'!$E$26</f>
        <v>--</v>
      </c>
      <c r="D17" s="359" t="str">
        <f>'DATA GPC'!$P$135</f>
        <v>--</v>
      </c>
      <c r="E17" s="613"/>
      <c r="F17" s="1364" t="str">
        <f>'DATA GPC'!K977</f>
        <v>--</v>
      </c>
      <c r="G17" s="1364" t="str">
        <f>'DATA GPC'!L977</f>
        <v>--</v>
      </c>
      <c r="H17" s="1364" t="str">
        <f>'DATA GPC'!M977</f>
        <v>--</v>
      </c>
      <c r="I17" s="1364" t="str">
        <f>'DATA GPC'!N977</f>
        <v>--</v>
      </c>
      <c r="J17" s="1364" t="str">
        <f>'DATA GPC'!O977</f>
        <v>--</v>
      </c>
      <c r="K17" s="1364" t="str">
        <f>'DATA GPC'!P977</f>
        <v>--</v>
      </c>
      <c r="L17" s="1364"/>
      <c r="M17" s="1364" t="str">
        <f t="shared" si="1"/>
        <v>--</v>
      </c>
      <c r="N17" s="1364" t="str">
        <f t="shared" si="2"/>
        <v>--</v>
      </c>
      <c r="O17" s="351"/>
      <c r="P17" s="1529"/>
      <c r="Q17" s="1565"/>
    </row>
    <row r="18" spans="1:17" s="350" customFormat="1" ht="13.9">
      <c r="A18" s="1557" t="str">
        <f t="shared" si="0"/>
        <v>n</v>
      </c>
      <c r="B18" s="1557"/>
      <c r="C18" s="146" t="str">
        <f>'DATA GPC'!$E$27</f>
        <v>--</v>
      </c>
      <c r="D18" s="359" t="str">
        <f>'DATA GPC'!$P$136</f>
        <v>--</v>
      </c>
      <c r="E18" s="613"/>
      <c r="F18" s="1364" t="str">
        <f>'DATA GPC'!K978</f>
        <v>--</v>
      </c>
      <c r="G18" s="1364" t="str">
        <f>'DATA GPC'!L978</f>
        <v>--</v>
      </c>
      <c r="H18" s="1364" t="str">
        <f>'DATA GPC'!M978</f>
        <v>--</v>
      </c>
      <c r="I18" s="1364" t="str">
        <f>'DATA GPC'!N978</f>
        <v>--</v>
      </c>
      <c r="J18" s="1364" t="str">
        <f>'DATA GPC'!O978</f>
        <v>--</v>
      </c>
      <c r="K18" s="1364" t="str">
        <f>'DATA GPC'!P978</f>
        <v>--</v>
      </c>
      <c r="L18" s="1364"/>
      <c r="M18" s="1364" t="str">
        <f t="shared" si="1"/>
        <v>--</v>
      </c>
      <c r="N18" s="1364" t="str">
        <f t="shared" si="2"/>
        <v>--</v>
      </c>
      <c r="O18" s="351"/>
      <c r="P18" s="1529"/>
      <c r="Q18" s="1565"/>
    </row>
    <row r="19" spans="1:17" s="350" customFormat="1" ht="13.9">
      <c r="A19" s="1557" t="str">
        <f t="shared" si="0"/>
        <v>n</v>
      </c>
      <c r="B19" s="1557"/>
      <c r="C19" s="146" t="str">
        <f>'DATA GPC'!$E$28</f>
        <v>--</v>
      </c>
      <c r="D19" s="359" t="str">
        <f>'DATA GPC'!$P$137</f>
        <v>--</v>
      </c>
      <c r="E19" s="613"/>
      <c r="F19" s="1364" t="str">
        <f>'DATA GPC'!K979</f>
        <v>--</v>
      </c>
      <c r="G19" s="1364" t="str">
        <f>'DATA GPC'!L979</f>
        <v>--</v>
      </c>
      <c r="H19" s="1364" t="str">
        <f>'DATA GPC'!M979</f>
        <v>--</v>
      </c>
      <c r="I19" s="1364" t="str">
        <f>'DATA GPC'!N979</f>
        <v>--</v>
      </c>
      <c r="J19" s="1364" t="str">
        <f>'DATA GPC'!O979</f>
        <v>--</v>
      </c>
      <c r="K19" s="1364" t="str">
        <f>'DATA GPC'!P979</f>
        <v>--</v>
      </c>
      <c r="L19" s="1364"/>
      <c r="M19" s="1364" t="str">
        <f t="shared" si="1"/>
        <v>--</v>
      </c>
      <c r="N19" s="1364" t="str">
        <f t="shared" si="2"/>
        <v>--</v>
      </c>
      <c r="O19" s="351"/>
      <c r="P19" s="1529"/>
      <c r="Q19" s="1565"/>
    </row>
    <row r="20" spans="1:17" s="346" customFormat="1" ht="13.9">
      <c r="A20" s="1557" t="str">
        <f t="shared" si="0"/>
        <v>n</v>
      </c>
      <c r="B20" s="1557"/>
      <c r="C20" s="146" t="str">
        <f>'DATA GPC'!$E$29</f>
        <v>--</v>
      </c>
      <c r="D20" s="359" t="str">
        <f>'DATA GPC'!$P$138</f>
        <v>--</v>
      </c>
      <c r="E20" s="613"/>
      <c r="F20" s="1364" t="str">
        <f>'DATA GPC'!K980</f>
        <v>--</v>
      </c>
      <c r="G20" s="1364" t="str">
        <f>'DATA GPC'!L980</f>
        <v>--</v>
      </c>
      <c r="H20" s="1364" t="str">
        <f>'DATA GPC'!M980</f>
        <v>--</v>
      </c>
      <c r="I20" s="1364" t="str">
        <f>'DATA GPC'!N980</f>
        <v>--</v>
      </c>
      <c r="J20" s="1364" t="str">
        <f>'DATA GPC'!O980</f>
        <v>--</v>
      </c>
      <c r="K20" s="1364" t="str">
        <f>'DATA GPC'!P980</f>
        <v>--</v>
      </c>
      <c r="L20" s="1364"/>
      <c r="M20" s="1364" t="str">
        <f t="shared" si="1"/>
        <v>--</v>
      </c>
      <c r="N20" s="1364" t="str">
        <f t="shared" si="2"/>
        <v>--</v>
      </c>
      <c r="O20" s="351"/>
      <c r="P20" s="1529"/>
      <c r="Q20" s="1565"/>
    </row>
    <row r="21" spans="1:17" s="346" customFormat="1" ht="13.9">
      <c r="A21" s="1557" t="str">
        <f t="shared" si="0"/>
        <v>n</v>
      </c>
      <c r="B21" s="1557"/>
      <c r="C21" s="146" t="str">
        <f>'DATA GPC'!$E$30</f>
        <v>--</v>
      </c>
      <c r="D21" s="359" t="str">
        <f>'DATA GPC'!$P$139</f>
        <v>--</v>
      </c>
      <c r="E21" s="613"/>
      <c r="F21" s="1364" t="str">
        <f>'DATA GPC'!K981</f>
        <v>--</v>
      </c>
      <c r="G21" s="1364" t="str">
        <f>'DATA GPC'!L981</f>
        <v>--</v>
      </c>
      <c r="H21" s="1364" t="str">
        <f>'DATA GPC'!M981</f>
        <v>--</v>
      </c>
      <c r="I21" s="1364" t="str">
        <f>'DATA GPC'!N981</f>
        <v>--</v>
      </c>
      <c r="J21" s="1364" t="str">
        <f>'DATA GPC'!O981</f>
        <v>--</v>
      </c>
      <c r="K21" s="1364" t="str">
        <f>'DATA GPC'!P981</f>
        <v>--</v>
      </c>
      <c r="L21" s="1364"/>
      <c r="M21" s="1364" t="str">
        <f>IFERROR(AVERAGE(H21:J21),"--")</f>
        <v>--</v>
      </c>
      <c r="N21" s="1364" t="str">
        <f t="shared" si="2"/>
        <v>--</v>
      </c>
      <c r="O21" s="351"/>
      <c r="P21" s="1529"/>
      <c r="Q21" s="1565"/>
    </row>
    <row r="22" spans="1:17" s="349" customFormat="1" ht="13.9">
      <c r="A22" s="1557" t="str">
        <f t="shared" si="0"/>
        <v>n</v>
      </c>
      <c r="B22" s="1557"/>
      <c r="C22" s="146" t="str">
        <f>'DATA GPC'!$E$31</f>
        <v>--</v>
      </c>
      <c r="D22" s="359" t="str">
        <f>'DATA GPC'!$P$140</f>
        <v>--</v>
      </c>
      <c r="E22" s="677"/>
      <c r="F22" s="1364" t="str">
        <f>'DATA GPC'!K982</f>
        <v>--</v>
      </c>
      <c r="G22" s="1364" t="str">
        <f>'DATA GPC'!L982</f>
        <v>--</v>
      </c>
      <c r="H22" s="1364" t="str">
        <f>'DATA GPC'!M982</f>
        <v>--</v>
      </c>
      <c r="I22" s="1364" t="str">
        <f>'DATA GPC'!N982</f>
        <v>--</v>
      </c>
      <c r="J22" s="1364" t="str">
        <f>'DATA GPC'!O982</f>
        <v>--</v>
      </c>
      <c r="K22" s="1364" t="str">
        <f>'DATA GPC'!P982</f>
        <v>--</v>
      </c>
      <c r="L22" s="1364"/>
      <c r="M22" s="1364" t="str">
        <f>IFERROR(AVERAGE(H22:J22),"--")</f>
        <v>--</v>
      </c>
      <c r="N22" s="1364" t="str">
        <f t="shared" si="2"/>
        <v>--</v>
      </c>
      <c r="O22" s="351"/>
      <c r="P22" s="1529"/>
      <c r="Q22" s="1565"/>
    </row>
    <row r="23" spans="1:17" s="349" customFormat="1" ht="13.9">
      <c r="A23" s="1557" t="str">
        <f t="shared" si="0"/>
        <v>n</v>
      </c>
      <c r="B23" s="1557"/>
      <c r="C23" s="146" t="str">
        <f>'DATA GPC'!$E$32</f>
        <v>--</v>
      </c>
      <c r="D23" s="359" t="str">
        <f>'DATA GPC'!$P$141</f>
        <v>--</v>
      </c>
      <c r="E23" s="613"/>
      <c r="F23" s="1364" t="str">
        <f>'DATA GPC'!K983</f>
        <v>--</v>
      </c>
      <c r="G23" s="1364" t="str">
        <f>'DATA GPC'!L983</f>
        <v>--</v>
      </c>
      <c r="H23" s="1364" t="str">
        <f>'DATA GPC'!M983</f>
        <v>--</v>
      </c>
      <c r="I23" s="1364" t="str">
        <f>'DATA GPC'!N983</f>
        <v>--</v>
      </c>
      <c r="J23" s="1364" t="str">
        <f>'DATA GPC'!O983</f>
        <v>--</v>
      </c>
      <c r="K23" s="1364" t="str">
        <f>'DATA GPC'!P983</f>
        <v>--</v>
      </c>
      <c r="L23" s="1364"/>
      <c r="M23" s="1364" t="str">
        <f>IFERROR(AVERAGE(H23:J23),"--")</f>
        <v>--</v>
      </c>
      <c r="N23" s="1364" t="str">
        <f t="shared" si="2"/>
        <v>--</v>
      </c>
      <c r="O23" s="351"/>
      <c r="P23" s="1529"/>
      <c r="Q23" s="1565"/>
    </row>
    <row r="24" spans="1:17" s="349" customFormat="1" ht="13.9">
      <c r="A24" s="1557" t="str">
        <f t="shared" si="0"/>
        <v>n</v>
      </c>
      <c r="B24" s="1557"/>
      <c r="C24" s="146" t="str">
        <f>'DATA GPC'!$E$33</f>
        <v>--</v>
      </c>
      <c r="D24" s="359" t="str">
        <f>'DATA GPC'!$P$142</f>
        <v>--</v>
      </c>
      <c r="E24" s="613"/>
      <c r="F24" s="1364" t="str">
        <f>'DATA GPC'!K984</f>
        <v>--</v>
      </c>
      <c r="G24" s="1364" t="str">
        <f>'DATA GPC'!L984</f>
        <v>--</v>
      </c>
      <c r="H24" s="1364" t="str">
        <f>'DATA GPC'!M984</f>
        <v>--</v>
      </c>
      <c r="I24" s="1364" t="str">
        <f>'DATA GPC'!N984</f>
        <v>--</v>
      </c>
      <c r="J24" s="1364" t="str">
        <f>'DATA GPC'!O984</f>
        <v>--</v>
      </c>
      <c r="K24" s="1364" t="str">
        <f>'DATA GPC'!P984</f>
        <v>--</v>
      </c>
      <c r="L24" s="1364"/>
      <c r="M24" s="1364" t="str">
        <f>IFERROR(AVERAGE(H24:J24),"--")</f>
        <v>--</v>
      </c>
      <c r="N24" s="1364" t="str">
        <f t="shared" si="2"/>
        <v>--</v>
      </c>
      <c r="O24" s="351"/>
      <c r="P24" s="1529"/>
      <c r="Q24" s="1565"/>
    </row>
    <row r="25" spans="1:17" s="1529" customFormat="1" ht="13.9">
      <c r="A25" s="1557" t="str">
        <f t="shared" ref="A25:A35" si="3">IF(C25="--","n","")</f>
        <v>n</v>
      </c>
      <c r="B25" s="1557"/>
      <c r="C25" s="146" t="str">
        <f>'DATA GPC'!$E$34</f>
        <v>--</v>
      </c>
      <c r="D25" s="359" t="str">
        <f>'DATA GPC'!$P$143</f>
        <v>--</v>
      </c>
      <c r="E25" s="613"/>
      <c r="F25" s="1364" t="str">
        <f>'DATA GPC'!K985</f>
        <v>--</v>
      </c>
      <c r="G25" s="1364" t="str">
        <f>'DATA GPC'!L985</f>
        <v>--</v>
      </c>
      <c r="H25" s="1364" t="str">
        <f>'DATA GPC'!M985</f>
        <v>--</v>
      </c>
      <c r="I25" s="1364" t="str">
        <f>'DATA GPC'!N985</f>
        <v>--</v>
      </c>
      <c r="J25" s="1364" t="str">
        <f>'DATA GPC'!O985</f>
        <v>--</v>
      </c>
      <c r="K25" s="1364" t="str">
        <f>'DATA GPC'!P985</f>
        <v>--</v>
      </c>
      <c r="L25" s="1364"/>
      <c r="M25" s="1364" t="str">
        <f t="shared" ref="M25:M35" si="4">IFERROR(AVERAGE(H25:J25),"--")</f>
        <v>--</v>
      </c>
      <c r="N25" s="1364" t="str">
        <f t="shared" ref="N25:N35" si="5">IFERROR(AVERAGE(F25:J25),"--")</f>
        <v>--</v>
      </c>
      <c r="O25" s="351"/>
      <c r="Q25" s="1565"/>
    </row>
    <row r="26" spans="1:17" s="1529" customFormat="1" ht="13.9">
      <c r="A26" s="1557" t="str">
        <f t="shared" si="3"/>
        <v>n</v>
      </c>
      <c r="B26" s="1557"/>
      <c r="C26" s="146" t="str">
        <f>'DATA GPC'!$E$35</f>
        <v>--</v>
      </c>
      <c r="D26" s="359" t="str">
        <f>'DATA GPC'!$P$144</f>
        <v>--</v>
      </c>
      <c r="E26" s="613"/>
      <c r="F26" s="1364" t="str">
        <f>'DATA GPC'!K986</f>
        <v>--</v>
      </c>
      <c r="G26" s="1364" t="str">
        <f>'DATA GPC'!L986</f>
        <v>--</v>
      </c>
      <c r="H26" s="1364" t="str">
        <f>'DATA GPC'!M986</f>
        <v>--</v>
      </c>
      <c r="I26" s="1364" t="str">
        <f>'DATA GPC'!N986</f>
        <v>--</v>
      </c>
      <c r="J26" s="1364" t="str">
        <f>'DATA GPC'!O986</f>
        <v>--</v>
      </c>
      <c r="K26" s="1364" t="str">
        <f>'DATA GPC'!P986</f>
        <v>--</v>
      </c>
      <c r="L26" s="1364"/>
      <c r="M26" s="1364" t="str">
        <f t="shared" si="4"/>
        <v>--</v>
      </c>
      <c r="N26" s="1364" t="str">
        <f t="shared" si="5"/>
        <v>--</v>
      </c>
      <c r="O26" s="351"/>
      <c r="Q26" s="1565"/>
    </row>
    <row r="27" spans="1:17" s="1529" customFormat="1" ht="13.9">
      <c r="A27" s="1557" t="str">
        <f t="shared" si="3"/>
        <v>n</v>
      </c>
      <c r="B27" s="1557"/>
      <c r="C27" s="146" t="str">
        <f>'DATA GPC'!$E$36</f>
        <v>--</v>
      </c>
      <c r="D27" s="359" t="str">
        <f>'DATA GPC'!$P$145</f>
        <v>--</v>
      </c>
      <c r="E27" s="613"/>
      <c r="F27" s="1364" t="str">
        <f>'DATA GPC'!K987</f>
        <v>--</v>
      </c>
      <c r="G27" s="1364" t="str">
        <f>'DATA GPC'!L987</f>
        <v>--</v>
      </c>
      <c r="H27" s="1364" t="str">
        <f>'DATA GPC'!M987</f>
        <v>--</v>
      </c>
      <c r="I27" s="1364" t="str">
        <f>'DATA GPC'!N987</f>
        <v>--</v>
      </c>
      <c r="J27" s="1364" t="str">
        <f>'DATA GPC'!O987</f>
        <v>--</v>
      </c>
      <c r="K27" s="1364" t="str">
        <f>'DATA GPC'!P987</f>
        <v>--</v>
      </c>
      <c r="L27" s="1364"/>
      <c r="M27" s="1364" t="str">
        <f t="shared" si="4"/>
        <v>--</v>
      </c>
      <c r="N27" s="1364" t="str">
        <f t="shared" si="5"/>
        <v>--</v>
      </c>
      <c r="O27" s="351"/>
      <c r="Q27" s="1565"/>
    </row>
    <row r="28" spans="1:17" s="1529" customFormat="1" ht="13.9">
      <c r="A28" s="1557" t="str">
        <f t="shared" si="3"/>
        <v>n</v>
      </c>
      <c r="B28" s="1557"/>
      <c r="C28" s="146" t="str">
        <f>'DATA GPC'!$E$37</f>
        <v>--</v>
      </c>
      <c r="D28" s="359" t="str">
        <f>'DATA GPC'!$P$146</f>
        <v>--</v>
      </c>
      <c r="E28" s="613"/>
      <c r="F28" s="1364" t="str">
        <f>'DATA GPC'!K988</f>
        <v>--</v>
      </c>
      <c r="G28" s="1364" t="str">
        <f>'DATA GPC'!L988</f>
        <v>--</v>
      </c>
      <c r="H28" s="1364" t="str">
        <f>'DATA GPC'!M988</f>
        <v>--</v>
      </c>
      <c r="I28" s="1364" t="str">
        <f>'DATA GPC'!N988</f>
        <v>--</v>
      </c>
      <c r="J28" s="1364" t="str">
        <f>'DATA GPC'!O988</f>
        <v>--</v>
      </c>
      <c r="K28" s="1364" t="str">
        <f>'DATA GPC'!P988</f>
        <v>--</v>
      </c>
      <c r="L28" s="1364"/>
      <c r="M28" s="1364" t="str">
        <f t="shared" si="4"/>
        <v>--</v>
      </c>
      <c r="N28" s="1364" t="str">
        <f t="shared" si="5"/>
        <v>--</v>
      </c>
      <c r="O28" s="351"/>
      <c r="Q28" s="1565"/>
    </row>
    <row r="29" spans="1:17" s="1529" customFormat="1" ht="13.9">
      <c r="A29" s="1557" t="str">
        <f t="shared" si="3"/>
        <v>n</v>
      </c>
      <c r="B29" s="1557"/>
      <c r="C29" s="146" t="str">
        <f>'DATA GPC'!$E$38</f>
        <v>--</v>
      </c>
      <c r="D29" s="359" t="str">
        <f>'DATA GPC'!$P$147</f>
        <v>--</v>
      </c>
      <c r="E29" s="613"/>
      <c r="F29" s="1364" t="str">
        <f>'DATA GPC'!K989</f>
        <v>--</v>
      </c>
      <c r="G29" s="1364" t="str">
        <f>'DATA GPC'!L989</f>
        <v>--</v>
      </c>
      <c r="H29" s="1364" t="str">
        <f>'DATA GPC'!M989</f>
        <v>--</v>
      </c>
      <c r="I29" s="1364" t="str">
        <f>'DATA GPC'!N989</f>
        <v>--</v>
      </c>
      <c r="J29" s="1364" t="str">
        <f>'DATA GPC'!O989</f>
        <v>--</v>
      </c>
      <c r="K29" s="1364" t="str">
        <f>'DATA GPC'!P989</f>
        <v>--</v>
      </c>
      <c r="L29" s="1364"/>
      <c r="M29" s="1364" t="str">
        <f t="shared" si="4"/>
        <v>--</v>
      </c>
      <c r="N29" s="1364" t="str">
        <f t="shared" si="5"/>
        <v>--</v>
      </c>
      <c r="O29" s="351"/>
      <c r="Q29" s="1565"/>
    </row>
    <row r="30" spans="1:17" s="1529" customFormat="1" ht="13.9">
      <c r="A30" s="1557" t="str">
        <f t="shared" si="3"/>
        <v>n</v>
      </c>
      <c r="B30" s="1557"/>
      <c r="C30" s="146" t="str">
        <f>'DATA GPC'!$E$39</f>
        <v>--</v>
      </c>
      <c r="D30" s="359" t="str">
        <f>'DATA GPC'!$P$148</f>
        <v>--</v>
      </c>
      <c r="E30" s="613"/>
      <c r="F30" s="1364" t="str">
        <f>'DATA GPC'!K990</f>
        <v>--</v>
      </c>
      <c r="G30" s="1364" t="str">
        <f>'DATA GPC'!L990</f>
        <v>--</v>
      </c>
      <c r="H30" s="1364" t="str">
        <f>'DATA GPC'!M990</f>
        <v>--</v>
      </c>
      <c r="I30" s="1364" t="str">
        <f>'DATA GPC'!N990</f>
        <v>--</v>
      </c>
      <c r="J30" s="1364" t="str">
        <f>'DATA GPC'!O990</f>
        <v>--</v>
      </c>
      <c r="K30" s="1364" t="str">
        <f>'DATA GPC'!P990</f>
        <v>--</v>
      </c>
      <c r="L30" s="1364"/>
      <c r="M30" s="1364" t="str">
        <f t="shared" si="4"/>
        <v>--</v>
      </c>
      <c r="N30" s="1364" t="str">
        <f t="shared" si="5"/>
        <v>--</v>
      </c>
      <c r="O30" s="351"/>
      <c r="Q30" s="1565"/>
    </row>
    <row r="31" spans="1:17" s="1529" customFormat="1" ht="13.9">
      <c r="A31" s="1557" t="str">
        <f t="shared" si="3"/>
        <v>n</v>
      </c>
      <c r="B31" s="1557"/>
      <c r="C31" s="146" t="str">
        <f>'DATA GPC'!$E$40</f>
        <v>--</v>
      </c>
      <c r="D31" s="359" t="str">
        <f>'DATA GPC'!$P$149</f>
        <v>--</v>
      </c>
      <c r="E31" s="613"/>
      <c r="F31" s="1364" t="str">
        <f>'DATA GPC'!K991</f>
        <v>--</v>
      </c>
      <c r="G31" s="1364" t="str">
        <f>'DATA GPC'!L991</f>
        <v>--</v>
      </c>
      <c r="H31" s="1364" t="str">
        <f>'DATA GPC'!M991</f>
        <v>--</v>
      </c>
      <c r="I31" s="1364" t="str">
        <f>'DATA GPC'!N991</f>
        <v>--</v>
      </c>
      <c r="J31" s="1364" t="str">
        <f>'DATA GPC'!O991</f>
        <v>--</v>
      </c>
      <c r="K31" s="1364" t="str">
        <f>'DATA GPC'!P991</f>
        <v>--</v>
      </c>
      <c r="L31" s="1364"/>
      <c r="M31" s="1364" t="str">
        <f t="shared" si="4"/>
        <v>--</v>
      </c>
      <c r="N31" s="1364" t="str">
        <f t="shared" si="5"/>
        <v>--</v>
      </c>
      <c r="O31" s="351"/>
      <c r="Q31" s="1565"/>
    </row>
    <row r="32" spans="1:17" s="1529" customFormat="1" ht="13.9">
      <c r="A32" s="1557" t="str">
        <f t="shared" si="3"/>
        <v>n</v>
      </c>
      <c r="B32" s="1557"/>
      <c r="C32" s="146" t="str">
        <f>'DATA GPC'!$E$41</f>
        <v>--</v>
      </c>
      <c r="D32" s="359" t="str">
        <f>'DATA GPC'!$P$150</f>
        <v>--</v>
      </c>
      <c r="E32" s="613"/>
      <c r="F32" s="1364" t="str">
        <f>'DATA GPC'!K992</f>
        <v>--</v>
      </c>
      <c r="G32" s="1364" t="str">
        <f>'DATA GPC'!L992</f>
        <v>--</v>
      </c>
      <c r="H32" s="1364" t="str">
        <f>'DATA GPC'!M992</f>
        <v>--</v>
      </c>
      <c r="I32" s="1364" t="str">
        <f>'DATA GPC'!N992</f>
        <v>--</v>
      </c>
      <c r="J32" s="1364" t="str">
        <f>'DATA GPC'!O992</f>
        <v>--</v>
      </c>
      <c r="K32" s="1364" t="str">
        <f>'DATA GPC'!P992</f>
        <v>--</v>
      </c>
      <c r="L32" s="1364"/>
      <c r="M32" s="1364" t="str">
        <f t="shared" si="4"/>
        <v>--</v>
      </c>
      <c r="N32" s="1364" t="str">
        <f t="shared" si="5"/>
        <v>--</v>
      </c>
      <c r="O32" s="351"/>
      <c r="Q32" s="1565"/>
    </row>
    <row r="33" spans="1:36" s="1529" customFormat="1" ht="13.9">
      <c r="A33" s="1557" t="str">
        <f t="shared" si="3"/>
        <v>n</v>
      </c>
      <c r="B33" s="1557"/>
      <c r="C33" s="146" t="str">
        <f>'DATA GPC'!$E$42</f>
        <v>--</v>
      </c>
      <c r="D33" s="359" t="str">
        <f>'DATA GPC'!$P$151</f>
        <v>--</v>
      </c>
      <c r="E33" s="613"/>
      <c r="F33" s="1364" t="str">
        <f>'DATA GPC'!K993</f>
        <v>--</v>
      </c>
      <c r="G33" s="1364" t="str">
        <f>'DATA GPC'!L993</f>
        <v>--</v>
      </c>
      <c r="H33" s="1364" t="str">
        <f>'DATA GPC'!M993</f>
        <v>--</v>
      </c>
      <c r="I33" s="1364" t="str">
        <f>'DATA GPC'!N993</f>
        <v>--</v>
      </c>
      <c r="J33" s="1364" t="str">
        <f>'DATA GPC'!O993</f>
        <v>--</v>
      </c>
      <c r="K33" s="1364" t="str">
        <f>'DATA GPC'!P993</f>
        <v>--</v>
      </c>
      <c r="L33" s="1364"/>
      <c r="M33" s="1364" t="str">
        <f t="shared" si="4"/>
        <v>--</v>
      </c>
      <c r="N33" s="1364" t="str">
        <f t="shared" si="5"/>
        <v>--</v>
      </c>
      <c r="O33" s="351"/>
      <c r="Q33" s="1565"/>
    </row>
    <row r="34" spans="1:36" s="1529" customFormat="1" ht="13.9">
      <c r="A34" s="1557" t="str">
        <f t="shared" si="3"/>
        <v>n</v>
      </c>
      <c r="B34" s="1557"/>
      <c r="C34" s="146" t="str">
        <f>'DATA GPC'!$E$43</f>
        <v>--</v>
      </c>
      <c r="D34" s="359" t="str">
        <f>'DATA GPC'!$P$152</f>
        <v>--</v>
      </c>
      <c r="E34" s="613"/>
      <c r="F34" s="1364" t="str">
        <f>'DATA GPC'!K994</f>
        <v>--</v>
      </c>
      <c r="G34" s="1364" t="str">
        <f>'DATA GPC'!L994</f>
        <v>--</v>
      </c>
      <c r="H34" s="1364" t="str">
        <f>'DATA GPC'!M994</f>
        <v>--</v>
      </c>
      <c r="I34" s="1364" t="str">
        <f>'DATA GPC'!N994</f>
        <v>--</v>
      </c>
      <c r="J34" s="1364" t="str">
        <f>'DATA GPC'!O994</f>
        <v>--</v>
      </c>
      <c r="K34" s="1364" t="str">
        <f>'DATA GPC'!P994</f>
        <v>--</v>
      </c>
      <c r="L34" s="1364"/>
      <c r="M34" s="1364" t="str">
        <f t="shared" si="4"/>
        <v>--</v>
      </c>
      <c r="N34" s="1364" t="str">
        <f t="shared" si="5"/>
        <v>--</v>
      </c>
      <c r="O34" s="351"/>
      <c r="Q34" s="1565"/>
    </row>
    <row r="35" spans="1:36" s="346" customFormat="1" ht="13.9">
      <c r="A35" s="1557" t="str">
        <f t="shared" si="3"/>
        <v>n</v>
      </c>
      <c r="B35" s="1557"/>
      <c r="C35" s="146" t="str">
        <f>'DATA GPC'!$E$44</f>
        <v>--</v>
      </c>
      <c r="D35" s="359" t="str">
        <f>'DATA GPC'!$P$153</f>
        <v>--</v>
      </c>
      <c r="E35" s="613"/>
      <c r="F35" s="1364" t="str">
        <f>'DATA GPC'!K995</f>
        <v>--</v>
      </c>
      <c r="G35" s="1364" t="str">
        <f>'DATA GPC'!L995</f>
        <v>--</v>
      </c>
      <c r="H35" s="1364" t="str">
        <f>'DATA GPC'!M995</f>
        <v>--</v>
      </c>
      <c r="I35" s="1364" t="str">
        <f>'DATA GPC'!N995</f>
        <v>--</v>
      </c>
      <c r="J35" s="1364" t="str">
        <f>'DATA GPC'!O995</f>
        <v>--</v>
      </c>
      <c r="K35" s="1364" t="str">
        <f>'DATA GPC'!P995</f>
        <v>--</v>
      </c>
      <c r="L35" s="1364"/>
      <c r="M35" s="1364" t="str">
        <f t="shared" si="4"/>
        <v>--</v>
      </c>
      <c r="N35" s="1364" t="str">
        <f t="shared" si="5"/>
        <v>--</v>
      </c>
      <c r="O35" s="351"/>
      <c r="P35" s="1529"/>
      <c r="Q35" s="1565"/>
      <c r="R35" s="1529"/>
      <c r="S35" s="1529"/>
      <c r="T35" s="1529"/>
      <c r="U35" s="1529"/>
      <c r="V35" s="1529"/>
      <c r="W35" s="1529"/>
      <c r="X35" s="1529"/>
      <c r="Y35" s="1529"/>
      <c r="Z35" s="1529"/>
      <c r="AA35" s="1529"/>
      <c r="AB35" s="1529"/>
      <c r="AC35" s="1529"/>
      <c r="AD35" s="1529"/>
      <c r="AE35" s="1529"/>
      <c r="AF35" s="1529"/>
      <c r="AG35" s="1529"/>
      <c r="AH35" s="1529"/>
      <c r="AI35" s="1529"/>
      <c r="AJ35" s="1529"/>
    </row>
    <row r="36" spans="1:36" s="346" customFormat="1" ht="13.9">
      <c r="A36" s="1557"/>
      <c r="B36" s="1557"/>
      <c r="C36" s="1542"/>
      <c r="D36" s="1542"/>
      <c r="E36" s="665"/>
      <c r="F36" s="1542"/>
      <c r="G36" s="1542"/>
      <c r="H36" s="1542"/>
      <c r="I36" s="1542"/>
      <c r="J36" s="1542"/>
      <c r="K36" s="1542"/>
      <c r="L36" s="1542"/>
      <c r="M36" s="503"/>
      <c r="N36" s="351" t="s">
        <v>1667</v>
      </c>
      <c r="O36" s="352"/>
      <c r="P36" s="1529"/>
      <c r="Q36" s="1565"/>
      <c r="R36" s="1529"/>
      <c r="S36" s="1529"/>
      <c r="T36" s="1529"/>
      <c r="U36" s="1529"/>
      <c r="V36" s="1529"/>
      <c r="W36" s="1529"/>
      <c r="X36" s="1529"/>
      <c r="Y36" s="1529"/>
      <c r="Z36" s="1529"/>
      <c r="AA36" s="1529"/>
      <c r="AB36" s="1529"/>
      <c r="AC36" s="1529"/>
      <c r="AD36" s="1529"/>
      <c r="AE36" s="1529"/>
      <c r="AF36" s="1529"/>
      <c r="AG36" s="1529"/>
      <c r="AH36" s="1529"/>
      <c r="AI36" s="1529"/>
      <c r="AJ36" s="1529"/>
    </row>
    <row r="37" spans="1:36" s="346" customFormat="1" ht="13.9">
      <c r="A37" s="1557"/>
      <c r="B37" s="1557"/>
      <c r="C37" s="1542"/>
      <c r="D37" s="1543" t="s">
        <v>1275</v>
      </c>
      <c r="E37" s="2060"/>
      <c r="F37" s="1734">
        <f t="shared" ref="F37:K37" si="6">IFERROR(MAX(F11:F35),"n/a")</f>
        <v>0</v>
      </c>
      <c r="G37" s="1734">
        <f t="shared" si="6"/>
        <v>0</v>
      </c>
      <c r="H37" s="1734">
        <f t="shared" si="6"/>
        <v>0</v>
      </c>
      <c r="I37" s="1734">
        <f t="shared" si="6"/>
        <v>0</v>
      </c>
      <c r="J37" s="1734">
        <f t="shared" si="6"/>
        <v>0</v>
      </c>
      <c r="K37" s="1734">
        <f t="shared" si="6"/>
        <v>0</v>
      </c>
      <c r="L37" s="1734"/>
      <c r="M37" s="1734">
        <f>IFERROR(MAX(M11:M35),"n/a")</f>
        <v>0</v>
      </c>
      <c r="N37" s="1734">
        <f>IFERROR(MAX(N11:N35),"n/a")</f>
        <v>0</v>
      </c>
      <c r="O37" s="2060"/>
      <c r="P37" s="1529"/>
      <c r="Q37" s="1565"/>
      <c r="R37" s="1529"/>
      <c r="S37" s="1529"/>
      <c r="T37" s="1529"/>
      <c r="U37" s="1529"/>
      <c r="V37" s="1529"/>
      <c r="W37" s="1529"/>
      <c r="X37" s="1529"/>
      <c r="Y37" s="1529"/>
      <c r="Z37" s="1529"/>
      <c r="AA37" s="1529"/>
      <c r="AB37" s="1529"/>
      <c r="AC37" s="1529"/>
      <c r="AD37" s="1529"/>
      <c r="AE37" s="1529"/>
      <c r="AF37" s="1529"/>
      <c r="AG37" s="1529"/>
      <c r="AH37" s="1529"/>
      <c r="AI37" s="1529"/>
      <c r="AJ37" s="1529"/>
    </row>
    <row r="38" spans="1:36" s="346" customFormat="1" ht="13.9">
      <c r="A38" s="1557"/>
      <c r="B38" s="1557"/>
      <c r="C38" s="1542"/>
      <c r="D38" s="1543" t="s">
        <v>1469</v>
      </c>
      <c r="E38" s="2060"/>
      <c r="F38" s="1614" t="str">
        <f t="shared" ref="F38:K38" si="7">IFERROR(QUARTILE(F11:F35,3),"n/a")</f>
        <v>n/a</v>
      </c>
      <c r="G38" s="1614" t="str">
        <f t="shared" si="7"/>
        <v>n/a</v>
      </c>
      <c r="H38" s="1614" t="str">
        <f t="shared" si="7"/>
        <v>n/a</v>
      </c>
      <c r="I38" s="1614" t="str">
        <f t="shared" si="7"/>
        <v>n/a</v>
      </c>
      <c r="J38" s="1614" t="str">
        <f t="shared" si="7"/>
        <v>n/a</v>
      </c>
      <c r="K38" s="1614" t="str">
        <f t="shared" si="7"/>
        <v>n/a</v>
      </c>
      <c r="L38" s="1614"/>
      <c r="M38" s="1614" t="str">
        <f>IFERROR(QUARTILE(M11:M35,3),"n/a")</f>
        <v>n/a</v>
      </c>
      <c r="N38" s="1614" t="str">
        <f>IFERROR(QUARTILE(N11:N35,3),"n/a")</f>
        <v>n/a</v>
      </c>
      <c r="O38" s="2060"/>
      <c r="P38" s="1529"/>
      <c r="Q38" s="1565"/>
      <c r="R38" s="1529"/>
      <c r="S38" s="1529"/>
      <c r="T38" s="1529"/>
      <c r="U38" s="1529"/>
      <c r="V38" s="1529"/>
      <c r="W38" s="1529"/>
      <c r="X38" s="1529"/>
      <c r="Y38" s="1529"/>
      <c r="Z38" s="1529"/>
      <c r="AA38" s="1529"/>
      <c r="AB38" s="1529"/>
      <c r="AC38" s="1529"/>
      <c r="AD38" s="1529"/>
      <c r="AE38" s="1529"/>
      <c r="AF38" s="1529"/>
      <c r="AG38" s="1529"/>
      <c r="AH38" s="1529"/>
      <c r="AI38" s="1529"/>
      <c r="AJ38" s="1529"/>
    </row>
    <row r="39" spans="1:36" s="346" customFormat="1" ht="13.9">
      <c r="A39" s="1557"/>
      <c r="B39" s="1557"/>
      <c r="C39" s="1542"/>
      <c r="D39" s="1543" t="s">
        <v>1157</v>
      </c>
      <c r="E39" s="2060"/>
      <c r="F39" s="1614" t="str">
        <f t="shared" ref="F39:K39" si="8">IFERROR(AVERAGE(F11:F35),"n/a")</f>
        <v>n/a</v>
      </c>
      <c r="G39" s="1614" t="str">
        <f t="shared" si="8"/>
        <v>n/a</v>
      </c>
      <c r="H39" s="1614" t="str">
        <f t="shared" si="8"/>
        <v>n/a</v>
      </c>
      <c r="I39" s="1614" t="str">
        <f t="shared" si="8"/>
        <v>n/a</v>
      </c>
      <c r="J39" s="1614" t="str">
        <f t="shared" si="8"/>
        <v>n/a</v>
      </c>
      <c r="K39" s="1614" t="str">
        <f t="shared" si="8"/>
        <v>n/a</v>
      </c>
      <c r="L39" s="1614"/>
      <c r="M39" s="1614" t="str">
        <f>IFERROR(AVERAGE(M11:M35),"n/a")</f>
        <v>n/a</v>
      </c>
      <c r="N39" s="1614" t="str">
        <f>IFERROR(AVERAGE(N11:N35),"n/a")</f>
        <v>n/a</v>
      </c>
      <c r="O39" s="2060"/>
      <c r="P39" s="1529"/>
      <c r="Q39" s="1565"/>
      <c r="R39" s="1529"/>
      <c r="S39" s="1529"/>
      <c r="T39" s="1529"/>
      <c r="U39" s="1529"/>
      <c r="V39" s="1529"/>
      <c r="W39" s="1529"/>
      <c r="X39" s="1529"/>
      <c r="Y39" s="1529"/>
      <c r="Z39" s="1529"/>
      <c r="AA39" s="1529"/>
      <c r="AB39" s="1529"/>
      <c r="AC39" s="1529"/>
      <c r="AD39" s="1529"/>
      <c r="AE39" s="1529"/>
      <c r="AF39" s="1529"/>
      <c r="AG39" s="1529"/>
      <c r="AH39" s="1529"/>
      <c r="AI39" s="1529"/>
      <c r="AJ39" s="1529"/>
    </row>
    <row r="40" spans="1:36" s="353" customFormat="1" ht="13.9">
      <c r="A40" s="1557"/>
      <c r="B40" s="1557"/>
      <c r="C40" s="1542"/>
      <c r="D40" s="1543" t="s">
        <v>1158</v>
      </c>
      <c r="E40" s="2060"/>
      <c r="F40" s="1614" t="str">
        <f t="shared" ref="F40:K40" si="9">IFERROR(MEDIAN(F11:F35),"n/a")</f>
        <v>n/a</v>
      </c>
      <c r="G40" s="1614" t="str">
        <f t="shared" si="9"/>
        <v>n/a</v>
      </c>
      <c r="H40" s="1614" t="str">
        <f t="shared" si="9"/>
        <v>n/a</v>
      </c>
      <c r="I40" s="1614" t="str">
        <f t="shared" si="9"/>
        <v>n/a</v>
      </c>
      <c r="J40" s="1614" t="str">
        <f t="shared" si="9"/>
        <v>n/a</v>
      </c>
      <c r="K40" s="1614" t="str">
        <f t="shared" si="9"/>
        <v>n/a</v>
      </c>
      <c r="L40" s="1614"/>
      <c r="M40" s="1614" t="str">
        <f>IFERROR(MEDIAN(M11:M35),"n/a")</f>
        <v>n/a</v>
      </c>
      <c r="N40" s="1614" t="str">
        <f>IFERROR(MEDIAN(N11:N35),"n/a")</f>
        <v>n/a</v>
      </c>
      <c r="O40" s="2060"/>
      <c r="Q40" s="605"/>
    </row>
    <row r="41" spans="1:36" s="353" customFormat="1" ht="13.9">
      <c r="A41" s="1557"/>
      <c r="B41" s="1557"/>
      <c r="C41" s="1542"/>
      <c r="D41" s="1543" t="s">
        <v>1470</v>
      </c>
      <c r="E41" s="2060"/>
      <c r="F41" s="1614" t="str">
        <f t="shared" ref="F41:K41" si="10">IFERROR(QUARTILE(F11:F35,1),"n/a")</f>
        <v>n/a</v>
      </c>
      <c r="G41" s="1614" t="str">
        <f t="shared" si="10"/>
        <v>n/a</v>
      </c>
      <c r="H41" s="1614" t="str">
        <f t="shared" si="10"/>
        <v>n/a</v>
      </c>
      <c r="I41" s="1614" t="str">
        <f t="shared" si="10"/>
        <v>n/a</v>
      </c>
      <c r="J41" s="1614" t="str">
        <f t="shared" si="10"/>
        <v>n/a</v>
      </c>
      <c r="K41" s="1614" t="str">
        <f t="shared" si="10"/>
        <v>n/a</v>
      </c>
      <c r="L41" s="1614"/>
      <c r="M41" s="1614" t="str">
        <f>IFERROR(QUARTILE(M11:M35,1),"n/a")</f>
        <v>n/a</v>
      </c>
      <c r="N41" s="1614" t="str">
        <f>IFERROR(QUARTILE(N11:N35,1),"n/a")</f>
        <v>n/a</v>
      </c>
      <c r="O41" s="2060"/>
      <c r="Q41" s="605"/>
    </row>
    <row r="42" spans="1:36" s="346" customFormat="1" ht="13.9">
      <c r="A42" s="1557"/>
      <c r="B42" s="1557"/>
      <c r="C42" s="1542"/>
      <c r="D42" s="1543" t="s">
        <v>1273</v>
      </c>
      <c r="E42" s="2060"/>
      <c r="F42" s="1735">
        <f t="shared" ref="F42:K42" si="11">IFERROR(MIN(F11:F35),"n/a")</f>
        <v>0</v>
      </c>
      <c r="G42" s="1735">
        <f t="shared" si="11"/>
        <v>0</v>
      </c>
      <c r="H42" s="1735">
        <f t="shared" si="11"/>
        <v>0</v>
      </c>
      <c r="I42" s="1735">
        <f t="shared" si="11"/>
        <v>0</v>
      </c>
      <c r="J42" s="1735">
        <f t="shared" si="11"/>
        <v>0</v>
      </c>
      <c r="K42" s="1735">
        <f t="shared" si="11"/>
        <v>0</v>
      </c>
      <c r="L42" s="1735"/>
      <c r="M42" s="1735">
        <f>IFERROR(MIN(M11:M35),"n/a")</f>
        <v>0</v>
      </c>
      <c r="N42" s="1735">
        <f>IFERROR(MIN(N11:N35),"n/a")</f>
        <v>0</v>
      </c>
      <c r="O42" s="2060"/>
      <c r="P42" s="1529"/>
      <c r="Q42" s="1565"/>
      <c r="R42" s="1529"/>
      <c r="S42" s="1529"/>
      <c r="T42" s="1529"/>
      <c r="U42" s="1529"/>
      <c r="V42" s="1529"/>
      <c r="W42" s="1529"/>
      <c r="X42" s="1529"/>
      <c r="Y42" s="1529"/>
      <c r="Z42" s="1529"/>
      <c r="AA42" s="1529"/>
      <c r="AB42" s="1529"/>
      <c r="AC42" s="1529"/>
      <c r="AD42" s="1529"/>
      <c r="AE42" s="1529"/>
      <c r="AF42" s="1529"/>
      <c r="AG42" s="1529"/>
      <c r="AH42" s="1529"/>
      <c r="AI42" s="1529"/>
      <c r="AJ42" s="1529"/>
    </row>
    <row r="43" spans="1:36" s="1529" customFormat="1" ht="13.9">
      <c r="A43" s="1557"/>
      <c r="B43" s="1557"/>
      <c r="C43" s="1831" t="s">
        <v>1471</v>
      </c>
      <c r="D43" s="1543"/>
      <c r="E43" s="2060"/>
      <c r="F43" s="1556"/>
      <c r="G43" s="1556"/>
      <c r="H43" s="1556"/>
      <c r="I43" s="1556"/>
      <c r="J43" s="1556"/>
      <c r="K43" s="1556"/>
      <c r="L43" s="1556"/>
      <c r="M43" s="1556"/>
      <c r="N43" s="1556"/>
      <c r="O43" s="2060"/>
      <c r="Q43" s="1565"/>
    </row>
    <row r="44" spans="1:36" s="1529" customFormat="1" ht="13.9">
      <c r="A44" s="1557"/>
      <c r="B44" s="1557"/>
      <c r="C44" s="1542" t="str">
        <f>ClientName</f>
        <v/>
      </c>
      <c r="D44" s="359">
        <f>LFQLTM</f>
        <v>42643</v>
      </c>
      <c r="E44" s="2060"/>
      <c r="F44" s="1556" t="str">
        <f>'BAL SHEET Hist Input'!F60</f>
        <v>n/a</v>
      </c>
      <c r="G44" s="1556" t="str">
        <f>'BAL SHEET Hist Input'!G60</f>
        <v>n/a</v>
      </c>
      <c r="H44" s="1556" t="str">
        <f>'BAL SHEET Hist Input'!H60</f>
        <v>n/a</v>
      </c>
      <c r="I44" s="1556" t="str">
        <f>'BAL SHEET Hist Input'!I60</f>
        <v>n/a</v>
      </c>
      <c r="J44" s="1556" t="str">
        <f>'BAL SHEET Hist Input'!J60</f>
        <v>n/a</v>
      </c>
      <c r="K44" s="1556" t="str">
        <f>'BAL SHEET Hist Input'!K60</f>
        <v>n/a</v>
      </c>
      <c r="L44" s="1556"/>
      <c r="M44" s="1364" t="str">
        <f>IFERROR(AVERAGE(H44:J44),"--")</f>
        <v>--</v>
      </c>
      <c r="N44" s="1364" t="str">
        <f>IFERROR(AVERAGE(F44:J44),"--")</f>
        <v>--</v>
      </c>
      <c r="O44" s="2060"/>
      <c r="Q44" s="1565"/>
    </row>
    <row r="45" spans="1:36" s="1529" customFormat="1" ht="13.9">
      <c r="A45" s="1557"/>
      <c r="B45" s="1557"/>
      <c r="C45" s="1542"/>
      <c r="D45" s="1543"/>
      <c r="E45" s="2060"/>
      <c r="F45" s="1556"/>
      <c r="G45" s="1556"/>
      <c r="H45" s="1556"/>
      <c r="I45" s="1556"/>
      <c r="J45" s="1556"/>
      <c r="K45" s="1556"/>
      <c r="L45" s="1556"/>
      <c r="M45" s="1556"/>
      <c r="N45" s="1556"/>
      <c r="O45" s="2060"/>
      <c r="Q45" s="1565"/>
    </row>
    <row r="46" spans="1:36" s="1529" customFormat="1" ht="13.9">
      <c r="A46" s="1557"/>
      <c r="B46" s="1557"/>
      <c r="C46" s="1542" t="s">
        <v>1668</v>
      </c>
      <c r="D46" s="1543"/>
      <c r="E46" s="2060"/>
      <c r="F46" s="1556"/>
      <c r="G46" s="1556"/>
      <c r="H46" s="1556"/>
      <c r="I46" s="1556"/>
      <c r="J46" s="1556"/>
      <c r="K46" s="1556"/>
      <c r="L46" s="1556"/>
      <c r="M46" s="1556"/>
      <c r="N46" s="1556"/>
      <c r="O46" s="2060"/>
      <c r="Q46" s="1565"/>
    </row>
    <row r="47" spans="1:36" s="346" customFormat="1" ht="13.9">
      <c r="A47" s="1557"/>
      <c r="B47" s="1557"/>
      <c r="C47" s="1529" t="s">
        <v>1402</v>
      </c>
      <c r="D47" s="354"/>
      <c r="E47" s="619"/>
      <c r="F47" s="1529"/>
      <c r="G47" s="1529"/>
      <c r="H47" s="1529"/>
      <c r="I47" s="1529"/>
      <c r="J47" s="1529"/>
      <c r="K47" s="1529"/>
      <c r="L47" s="1529"/>
      <c r="M47" s="1529"/>
      <c r="N47" s="1529"/>
      <c r="O47" s="2060"/>
      <c r="P47" s="1529"/>
      <c r="Q47" s="1565"/>
      <c r="R47" s="1529"/>
      <c r="S47" s="1529"/>
      <c r="T47" s="1529"/>
      <c r="U47" s="1529"/>
      <c r="V47" s="1525"/>
      <c r="W47" s="1525"/>
      <c r="X47" s="1525"/>
      <c r="Y47" s="1525"/>
      <c r="Z47" s="1525"/>
      <c r="AA47" s="1525"/>
      <c r="AB47" s="1525"/>
      <c r="AC47" s="1525"/>
      <c r="AD47" s="1525"/>
      <c r="AE47" s="1525"/>
      <c r="AF47" s="1525"/>
      <c r="AG47" s="1525"/>
      <c r="AH47" s="1525"/>
      <c r="AI47" s="1525"/>
      <c r="AJ47" s="1525"/>
    </row>
    <row r="48" spans="1:36" s="1529" customFormat="1" ht="13.9">
      <c r="A48" s="1557"/>
      <c r="B48" s="1557"/>
      <c r="D48" s="354"/>
      <c r="E48" s="619"/>
      <c r="O48" s="2060"/>
      <c r="Q48" s="1565"/>
      <c r="V48" s="1525"/>
      <c r="W48" s="1525"/>
      <c r="X48" s="1525"/>
      <c r="Y48" s="1525"/>
      <c r="Z48" s="1525"/>
      <c r="AA48" s="1525"/>
      <c r="AB48" s="1525"/>
      <c r="AC48" s="1525"/>
      <c r="AD48" s="1525"/>
      <c r="AE48" s="1525"/>
      <c r="AF48" s="1525"/>
      <c r="AG48" s="1525"/>
      <c r="AH48" s="1525"/>
      <c r="AI48" s="1525"/>
      <c r="AJ48" s="1525"/>
    </row>
    <row r="49" spans="1:36" ht="13.9">
      <c r="A49" s="1557"/>
      <c r="B49" s="1557"/>
      <c r="C49" s="1529" t="str">
        <f>DraftFooter</f>
        <v>Draft and preliminary. All data subject to change upon completion of additional analysis</v>
      </c>
      <c r="D49" s="356"/>
      <c r="E49" s="691"/>
      <c r="F49" s="356"/>
      <c r="G49" s="356"/>
      <c r="H49" s="356"/>
      <c r="I49" s="356"/>
      <c r="J49" s="356"/>
      <c r="K49" s="1529"/>
      <c r="L49" s="1529"/>
      <c r="M49" s="356"/>
      <c r="N49" s="357"/>
      <c r="O49" s="358"/>
      <c r="P49" s="1525"/>
      <c r="Q49" s="1557"/>
      <c r="R49" s="1530"/>
      <c r="S49" s="1530"/>
      <c r="T49" s="1530"/>
      <c r="U49" s="1530"/>
      <c r="V49" s="1525"/>
      <c r="W49" s="1525"/>
      <c r="X49" s="1525"/>
      <c r="Y49" s="1525"/>
      <c r="Z49" s="1525"/>
      <c r="AA49" s="1525"/>
      <c r="AB49" s="1525"/>
      <c r="AC49" s="1525"/>
      <c r="AD49" s="1525"/>
      <c r="AE49" s="1525"/>
      <c r="AF49" s="1525"/>
      <c r="AG49" s="1525"/>
      <c r="AH49" s="1525"/>
      <c r="AI49" s="1525"/>
      <c r="AJ49" s="1525"/>
    </row>
    <row r="50" spans="1:36" ht="12" customHeight="1">
      <c r="A50" s="1557" t="s">
        <v>17</v>
      </c>
      <c r="B50" s="592"/>
      <c r="C50" s="592"/>
      <c r="D50" s="592"/>
      <c r="E50" s="685"/>
      <c r="F50" s="592"/>
      <c r="G50" s="592"/>
      <c r="H50" s="592"/>
      <c r="I50" s="592"/>
      <c r="J50" s="592"/>
      <c r="K50" s="1565"/>
      <c r="L50" s="1565"/>
      <c r="M50" s="592"/>
      <c r="N50" s="592"/>
      <c r="O50" s="592"/>
      <c r="P50" s="596" t="s">
        <v>18</v>
      </c>
      <c r="Q50" s="1557"/>
      <c r="R50" s="1530"/>
      <c r="S50" s="1530"/>
      <c r="T50" s="1530"/>
      <c r="U50" s="1530"/>
      <c r="V50" s="1525"/>
      <c r="W50" s="1525"/>
      <c r="X50" s="1525"/>
      <c r="Y50" s="1525"/>
      <c r="Z50" s="1525"/>
      <c r="AA50" s="1525"/>
      <c r="AB50" s="1525"/>
      <c r="AC50" s="1525"/>
      <c r="AD50" s="1525"/>
      <c r="AE50" s="1525"/>
      <c r="AF50" s="1525"/>
      <c r="AG50" s="1525"/>
      <c r="AH50" s="1525"/>
      <c r="AI50" s="1525"/>
      <c r="AJ50" s="1525"/>
    </row>
    <row r="51" spans="1:36" ht="17.45">
      <c r="A51" s="1557"/>
      <c r="B51" s="649">
        <f>SUMPRODUCT(--ISERROR($C$1:P100))+COUNTIF($C$1:P100,Fail)</f>
        <v>0</v>
      </c>
      <c r="C51" s="1372" t="str">
        <f>START!$C$1</f>
        <v>Client Name</v>
      </c>
      <c r="D51" s="852"/>
      <c r="E51" s="852"/>
      <c r="F51" s="852"/>
      <c r="G51" s="852"/>
      <c r="H51" s="852"/>
      <c r="I51" s="852"/>
      <c r="J51" s="852"/>
      <c r="K51" s="1525"/>
      <c r="L51" s="1525"/>
      <c r="M51" s="852"/>
      <c r="N51" s="852"/>
      <c r="O51" s="1525"/>
      <c r="P51" s="389" t="str">
        <f>$P$1&amp;".a"</f>
        <v>Exhibit 2.a</v>
      </c>
      <c r="Q51" s="1557"/>
      <c r="R51" s="1530"/>
      <c r="S51" s="1530"/>
      <c r="T51" s="1530"/>
      <c r="U51" s="1530"/>
      <c r="V51" s="1530"/>
      <c r="W51" s="1530"/>
      <c r="X51" s="1530"/>
      <c r="Y51" s="1530"/>
      <c r="Z51" s="1530"/>
      <c r="AA51" s="1530"/>
      <c r="AB51" s="1530"/>
      <c r="AC51" s="1530"/>
      <c r="AD51" s="1530"/>
      <c r="AE51" s="1530"/>
      <c r="AF51" s="1530"/>
      <c r="AG51" s="1530"/>
      <c r="AH51" s="1530"/>
      <c r="AI51" s="1530"/>
      <c r="AJ51" s="1530"/>
    </row>
    <row r="52" spans="1:36" ht="17.45">
      <c r="A52" s="1557"/>
      <c r="B52" s="649"/>
      <c r="C52" s="1372" t="str">
        <f>START!$C$2</f>
        <v xml:space="preserve">Please enter project description in START worksheet cell G13 </v>
      </c>
      <c r="D52" s="852"/>
      <c r="E52" s="852"/>
      <c r="F52" s="852"/>
      <c r="G52" s="852"/>
      <c r="H52" s="852"/>
      <c r="I52" s="852"/>
      <c r="J52" s="852"/>
      <c r="K52" s="1525"/>
      <c r="L52" s="1525"/>
      <c r="M52" s="852"/>
      <c r="N52" s="852"/>
      <c r="O52" s="1525"/>
      <c r="P52" s="389"/>
      <c r="Q52" s="1557"/>
      <c r="R52" s="1530"/>
      <c r="S52" s="1530"/>
      <c r="T52" s="1530"/>
      <c r="U52" s="1530"/>
      <c r="V52" s="1530"/>
      <c r="W52" s="1530"/>
      <c r="X52" s="1530"/>
      <c r="Y52" s="1530"/>
      <c r="Z52" s="1530"/>
      <c r="AA52" s="1530"/>
      <c r="AB52" s="1530"/>
      <c r="AC52" s="1530"/>
      <c r="AD52" s="1530"/>
      <c r="AE52" s="1530"/>
      <c r="AF52" s="1530"/>
      <c r="AG52" s="1530"/>
      <c r="AH52" s="1530"/>
      <c r="AI52" s="1530"/>
      <c r="AJ52" s="1530"/>
    </row>
    <row r="53" spans="1:36" ht="17.45">
      <c r="A53" s="1557"/>
      <c r="B53" s="1557"/>
      <c r="C53" s="839" t="s">
        <v>1669</v>
      </c>
      <c r="D53" s="1526"/>
      <c r="E53" s="1526"/>
      <c r="F53" s="1526"/>
      <c r="G53" s="1526"/>
      <c r="H53" s="1526"/>
      <c r="I53" s="1526"/>
      <c r="J53" s="1526"/>
      <c r="K53" s="1526"/>
      <c r="L53" s="1526"/>
      <c r="M53" s="1526"/>
      <c r="N53" s="1526"/>
      <c r="O53" s="1526"/>
      <c r="P53" s="1525"/>
      <c r="Q53" s="1557"/>
      <c r="R53" s="1530"/>
      <c r="S53" s="1530"/>
      <c r="T53" s="1530"/>
      <c r="U53" s="1530"/>
      <c r="V53" s="1530"/>
      <c r="W53" s="1530"/>
      <c r="X53" s="1530"/>
      <c r="Y53" s="1530"/>
      <c r="Z53" s="1530"/>
      <c r="AA53" s="1530"/>
      <c r="AB53" s="1530"/>
      <c r="AC53" s="1530"/>
      <c r="AD53" s="1530"/>
      <c r="AE53" s="1530"/>
      <c r="AF53" s="1530"/>
      <c r="AG53" s="1530"/>
      <c r="AH53" s="1530"/>
      <c r="AI53" s="1530"/>
      <c r="AJ53" s="1530"/>
    </row>
    <row r="54" spans="1:36" ht="18" customHeight="1">
      <c r="A54" s="1557"/>
      <c r="B54" s="1557"/>
      <c r="C54" s="840" t="str">
        <f>ValDateHeading</f>
        <v>Estimation of value as of 28 February 2017</v>
      </c>
      <c r="D54" s="1526"/>
      <c r="E54" s="1526"/>
      <c r="F54" s="1526"/>
      <c r="G54" s="1526"/>
      <c r="H54" s="1526"/>
      <c r="I54" s="1526"/>
      <c r="J54" s="1526"/>
      <c r="K54" s="1526"/>
      <c r="L54" s="1526"/>
      <c r="M54" s="1526"/>
      <c r="N54" s="1526"/>
      <c r="O54" s="1526"/>
      <c r="P54" s="1525"/>
      <c r="Q54" s="1557"/>
      <c r="R54" s="1530"/>
      <c r="S54" s="1530"/>
      <c r="T54" s="1530"/>
      <c r="U54" s="1530"/>
      <c r="V54" s="1530"/>
      <c r="W54" s="1530"/>
      <c r="X54" s="1530"/>
      <c r="Y54" s="1530"/>
      <c r="Z54" s="1530"/>
      <c r="AA54" s="1530"/>
      <c r="AB54" s="1530"/>
      <c r="AC54" s="1530"/>
      <c r="AD54" s="1530"/>
      <c r="AE54" s="1530"/>
      <c r="AF54" s="1530"/>
      <c r="AG54" s="1530"/>
      <c r="AH54" s="1530"/>
      <c r="AI54" s="1530"/>
      <c r="AJ54" s="1530"/>
    </row>
    <row r="55" spans="1:36" ht="18" customHeight="1">
      <c r="A55" s="1419"/>
      <c r="B55" s="1557"/>
      <c r="C55" s="2060"/>
      <c r="D55" s="1526"/>
      <c r="E55" s="1526"/>
      <c r="F55" s="1526"/>
      <c r="G55" s="1526"/>
      <c r="H55" s="1526"/>
      <c r="I55" s="1526"/>
      <c r="J55" s="1526"/>
      <c r="K55" s="341"/>
      <c r="L55" s="341"/>
      <c r="M55" s="1526"/>
      <c r="N55" s="1526"/>
      <c r="O55" s="1526"/>
      <c r="P55" s="1525"/>
      <c r="Q55" s="1557"/>
      <c r="R55" s="1530"/>
      <c r="S55" s="1530"/>
      <c r="T55" s="1530"/>
      <c r="U55" s="1530"/>
      <c r="V55" s="1530"/>
      <c r="W55" s="1530"/>
      <c r="X55" s="1530"/>
      <c r="Y55" s="1530"/>
      <c r="Z55" s="1530"/>
      <c r="AA55" s="1530"/>
      <c r="AB55" s="1530"/>
      <c r="AC55" s="1530"/>
      <c r="AD55" s="1530"/>
      <c r="AE55" s="1530"/>
      <c r="AF55" s="1530"/>
      <c r="AG55" s="1530"/>
      <c r="AH55" s="1530"/>
      <c r="AI55" s="1530"/>
      <c r="AJ55" s="1530"/>
    </row>
    <row r="56" spans="1:36" ht="13.9">
      <c r="A56" s="1413" t="str">
        <f>IF(MasterCheck,"Please check the "&amp;'Error Check'!$G$8,"")</f>
        <v/>
      </c>
      <c r="B56" s="1424"/>
      <c r="C56" s="1511"/>
      <c r="D56" s="341"/>
      <c r="E56" s="341"/>
      <c r="F56" s="341"/>
      <c r="G56" s="341"/>
      <c r="H56" s="341"/>
      <c r="I56" s="341"/>
      <c r="J56" s="341"/>
      <c r="K56" s="341"/>
      <c r="L56" s="341"/>
      <c r="M56" s="341"/>
      <c r="N56" s="341"/>
      <c r="O56" s="341"/>
      <c r="P56" s="1525"/>
      <c r="Q56" s="1557"/>
      <c r="R56" s="1530"/>
      <c r="S56" s="1530"/>
      <c r="T56" s="1530"/>
      <c r="U56" s="1530"/>
      <c r="V56" s="1530"/>
      <c r="W56" s="1530"/>
      <c r="X56" s="1530"/>
      <c r="Y56" s="1530"/>
      <c r="Z56" s="1530"/>
      <c r="AA56" s="1530"/>
      <c r="AB56" s="1530"/>
      <c r="AC56" s="1530"/>
      <c r="AD56" s="1530"/>
      <c r="AE56" s="1530"/>
      <c r="AF56" s="1530"/>
      <c r="AG56" s="1530"/>
      <c r="AH56" s="1530"/>
      <c r="AI56" s="1530"/>
      <c r="AJ56" s="1530"/>
    </row>
    <row r="57" spans="1:36" ht="13.9">
      <c r="A57" s="1557"/>
      <c r="B57" s="1557"/>
      <c r="C57" s="343"/>
      <c r="D57" s="343"/>
      <c r="E57" s="344"/>
      <c r="F57" s="345"/>
      <c r="G57" s="345"/>
      <c r="H57" s="345"/>
      <c r="I57" s="345"/>
      <c r="J57" s="345"/>
      <c r="K57" s="345"/>
      <c r="L57" s="345"/>
      <c r="M57" s="345"/>
      <c r="N57" s="345"/>
      <c r="O57" s="345"/>
      <c r="P57" s="1529"/>
      <c r="Q57" s="1557"/>
      <c r="R57" s="1530"/>
      <c r="S57" s="1530"/>
      <c r="T57" s="1530"/>
      <c r="U57" s="1530"/>
      <c r="V57" s="1530"/>
      <c r="W57" s="1530"/>
      <c r="X57" s="1530"/>
      <c r="Y57" s="1530"/>
      <c r="Z57" s="1530"/>
      <c r="AA57" s="1530"/>
      <c r="AB57" s="1530"/>
      <c r="AC57" s="1530"/>
      <c r="AD57" s="1530"/>
      <c r="AE57" s="1530"/>
      <c r="AF57" s="1530"/>
      <c r="AG57" s="1530"/>
      <c r="AH57" s="1530"/>
      <c r="AI57" s="1530"/>
      <c r="AJ57" s="1530"/>
    </row>
    <row r="58" spans="1:36" ht="13.9">
      <c r="A58" s="1557"/>
      <c r="B58" s="1557"/>
      <c r="C58" s="1268"/>
      <c r="D58" s="1268"/>
      <c r="E58" s="1268"/>
      <c r="F58" s="1168"/>
      <c r="G58" s="1168"/>
      <c r="H58" s="1168"/>
      <c r="I58" s="1168"/>
      <c r="J58" s="1168"/>
      <c r="K58" s="1168"/>
      <c r="L58" s="1168"/>
      <c r="M58" s="1168" t="s">
        <v>1457</v>
      </c>
      <c r="N58" s="1168" t="s">
        <v>1456</v>
      </c>
      <c r="O58" s="345"/>
      <c r="P58" s="347"/>
      <c r="Q58" s="604"/>
      <c r="R58" s="1530"/>
      <c r="S58" s="1530"/>
      <c r="T58" s="1530"/>
      <c r="U58" s="1530"/>
      <c r="V58" s="1530"/>
      <c r="W58" s="1530"/>
      <c r="X58" s="1530"/>
      <c r="Y58" s="1530"/>
      <c r="Z58" s="1530"/>
      <c r="AA58" s="1530"/>
      <c r="AB58" s="1530"/>
      <c r="AC58" s="1530"/>
      <c r="AD58" s="1530"/>
      <c r="AE58" s="1530"/>
      <c r="AF58" s="1530"/>
      <c r="AG58" s="1530"/>
      <c r="AH58" s="1530"/>
      <c r="AI58" s="1530"/>
      <c r="AJ58" s="1530"/>
    </row>
    <row r="59" spans="1:36" ht="13.9">
      <c r="A59" s="1557"/>
      <c r="B59" s="1557"/>
      <c r="C59" s="1278"/>
      <c r="D59" s="1270" t="s">
        <v>1475</v>
      </c>
      <c r="E59" s="1271"/>
      <c r="F59" s="1272" t="s">
        <v>700</v>
      </c>
      <c r="G59" s="1272" t="s">
        <v>701</v>
      </c>
      <c r="H59" s="1272" t="s">
        <v>702</v>
      </c>
      <c r="I59" s="1272" t="s">
        <v>703</v>
      </c>
      <c r="J59" s="1272" t="s">
        <v>704</v>
      </c>
      <c r="K59" s="1272" t="s">
        <v>705</v>
      </c>
      <c r="L59" s="1272"/>
      <c r="M59" s="1272" t="s">
        <v>932</v>
      </c>
      <c r="N59" s="1272" t="s">
        <v>932</v>
      </c>
      <c r="O59" s="345"/>
      <c r="P59" s="348"/>
      <c r="Q59" s="1565"/>
      <c r="R59" s="1530"/>
      <c r="S59" s="1530"/>
      <c r="T59" s="1530"/>
      <c r="U59" s="1530"/>
      <c r="V59" s="1530"/>
      <c r="W59" s="1530"/>
      <c r="X59" s="1530"/>
      <c r="Y59" s="1530"/>
      <c r="Z59" s="1530"/>
      <c r="AA59" s="1530"/>
      <c r="AB59" s="1530"/>
      <c r="AC59" s="1530"/>
      <c r="AD59" s="1530"/>
      <c r="AE59" s="1530"/>
      <c r="AF59" s="1530"/>
      <c r="AG59" s="1530"/>
      <c r="AH59" s="1530"/>
      <c r="AI59" s="1530"/>
      <c r="AJ59" s="1530"/>
    </row>
    <row r="60" spans="1:36" s="1530" customFormat="1" ht="13.9">
      <c r="A60" s="1557"/>
      <c r="B60" s="1557"/>
      <c r="C60" s="1831" t="s">
        <v>1256</v>
      </c>
      <c r="D60" s="1760"/>
      <c r="E60" s="1830"/>
      <c r="F60" s="738"/>
      <c r="G60" s="738"/>
      <c r="H60" s="738"/>
      <c r="I60" s="738"/>
      <c r="J60" s="738"/>
      <c r="K60" s="738"/>
      <c r="L60" s="738"/>
      <c r="M60" s="738"/>
      <c r="N60" s="738"/>
      <c r="O60" s="345"/>
      <c r="P60" s="348"/>
      <c r="Q60" s="1565"/>
    </row>
    <row r="61" spans="1:36" ht="13.9">
      <c r="A61" s="1557" t="str">
        <f t="shared" ref="A61:A85" si="12">IF(C61="--","n","")</f>
        <v>n</v>
      </c>
      <c r="B61" s="1557"/>
      <c r="C61" s="146" t="str">
        <f>'DATA GPC'!$E$20</f>
        <v>--</v>
      </c>
      <c r="D61" s="359" t="str">
        <f>'DATA GPC'!$P$129</f>
        <v>--</v>
      </c>
      <c r="E61" s="359"/>
      <c r="F61" s="1825" t="str">
        <f>IFERROR('DATA GPC'!K847/'DATA GPC'!K566*'DATA GPC'!K$156,"--")</f>
        <v>--</v>
      </c>
      <c r="G61" s="1825" t="str">
        <f>IFERROR('DATA GPC'!L847/'DATA GPC'!L566*'DATA GPC'!L$156,"--")</f>
        <v>--</v>
      </c>
      <c r="H61" s="1825" t="str">
        <f>IFERROR('DATA GPC'!M847/'DATA GPC'!M566*'DATA GPC'!M$156,"--")</f>
        <v>--</v>
      </c>
      <c r="I61" s="1825" t="str">
        <f>IFERROR('DATA GPC'!N847/'DATA GPC'!N566*'DATA GPC'!N$156,"--")</f>
        <v>--</v>
      </c>
      <c r="J61" s="1825" t="str">
        <f>IFERROR('DATA GPC'!O847/'DATA GPC'!O566*'DATA GPC'!O$156,"--")</f>
        <v>--</v>
      </c>
      <c r="K61" s="1825" t="str">
        <f>IFERROR('DATA GPC'!P847/'DATA GPC'!P566*'DATA GPC'!P$156,"--")</f>
        <v>--</v>
      </c>
      <c r="L61" s="1364"/>
      <c r="M61" s="1825" t="str">
        <f>IFERROR(AVERAGE(H61:J61),"--")</f>
        <v>--</v>
      </c>
      <c r="N61" s="1825" t="str">
        <f>IFERROR(AVERAGE(F61:J61),"--")</f>
        <v>--</v>
      </c>
      <c r="O61" s="351"/>
      <c r="P61" s="1529"/>
      <c r="Q61" s="1565"/>
      <c r="R61" s="1530"/>
      <c r="S61" s="1530"/>
      <c r="T61" s="1530"/>
      <c r="U61" s="1530"/>
      <c r="V61" s="1530"/>
      <c r="W61" s="1530"/>
      <c r="X61" s="1530"/>
      <c r="Y61" s="1530"/>
      <c r="Z61" s="1530"/>
      <c r="AA61" s="1530"/>
      <c r="AB61" s="1530"/>
      <c r="AC61" s="1530"/>
      <c r="AD61" s="1530"/>
      <c r="AE61" s="1530"/>
      <c r="AF61" s="1530"/>
      <c r="AG61" s="1530"/>
      <c r="AH61" s="1530"/>
      <c r="AI61" s="1530"/>
      <c r="AJ61" s="1530"/>
    </row>
    <row r="62" spans="1:36" ht="13.9">
      <c r="A62" s="1557" t="str">
        <f t="shared" si="12"/>
        <v>n</v>
      </c>
      <c r="B62" s="1557"/>
      <c r="C62" s="146" t="str">
        <f>'DATA GPC'!$E$21</f>
        <v>--</v>
      </c>
      <c r="D62" s="359" t="str">
        <f>'DATA GPC'!$P$130</f>
        <v>--</v>
      </c>
      <c r="E62" s="359"/>
      <c r="F62" s="1825" t="str">
        <f>IFERROR('DATA GPC'!K848/'DATA GPC'!K567*'DATA GPC'!K$156,"--")</f>
        <v>--</v>
      </c>
      <c r="G62" s="1825" t="str">
        <f>IFERROR('DATA GPC'!L848/'DATA GPC'!L567*'DATA GPC'!L$156,"--")</f>
        <v>--</v>
      </c>
      <c r="H62" s="1825" t="str">
        <f>IFERROR('DATA GPC'!M848/'DATA GPC'!M567*'DATA GPC'!M$156,"--")</f>
        <v>--</v>
      </c>
      <c r="I62" s="1825" t="str">
        <f>IFERROR('DATA GPC'!N848/'DATA GPC'!N567*'DATA GPC'!N$156,"--")</f>
        <v>--</v>
      </c>
      <c r="J62" s="1825" t="str">
        <f>IFERROR('DATA GPC'!O848/'DATA GPC'!O567*'DATA GPC'!O$156,"--")</f>
        <v>--</v>
      </c>
      <c r="K62" s="1825" t="str">
        <f>IFERROR('DATA GPC'!P848/'DATA GPC'!P567*'DATA GPC'!P$156,"--")</f>
        <v>--</v>
      </c>
      <c r="L62" s="1364"/>
      <c r="M62" s="1825" t="str">
        <f t="shared" ref="M62:M85" si="13">IFERROR(AVERAGE(H62:J62),"--")</f>
        <v>--</v>
      </c>
      <c r="N62" s="1825" t="str">
        <f t="shared" ref="N62:N85" si="14">IFERROR(AVERAGE(F62:J62),"--")</f>
        <v>--</v>
      </c>
      <c r="O62" s="351"/>
      <c r="P62" s="1529"/>
      <c r="Q62" s="1565"/>
      <c r="R62" s="1530"/>
      <c r="S62" s="1530"/>
      <c r="T62" s="1530"/>
      <c r="U62" s="1530"/>
      <c r="V62" s="1530"/>
      <c r="W62" s="1530"/>
      <c r="X62" s="1530"/>
      <c r="Y62" s="1530"/>
      <c r="Z62" s="1530"/>
      <c r="AA62" s="1530"/>
      <c r="AB62" s="1530"/>
      <c r="AC62" s="1530"/>
      <c r="AD62" s="1530"/>
      <c r="AE62" s="1530"/>
      <c r="AF62" s="1530"/>
      <c r="AG62" s="1530"/>
      <c r="AH62" s="1530"/>
      <c r="AI62" s="1530"/>
      <c r="AJ62" s="1530"/>
    </row>
    <row r="63" spans="1:36" ht="13.9">
      <c r="A63" s="1557" t="str">
        <f t="shared" si="12"/>
        <v>n</v>
      </c>
      <c r="B63" s="1557"/>
      <c r="C63" s="146" t="str">
        <f>'DATA GPC'!$E$22</f>
        <v>--</v>
      </c>
      <c r="D63" s="359" t="str">
        <f>'DATA GPC'!$P$131</f>
        <v>--</v>
      </c>
      <c r="E63" s="359"/>
      <c r="F63" s="1825" t="str">
        <f>IFERROR('DATA GPC'!K849/'DATA GPC'!K568*'DATA GPC'!K$156,"--")</f>
        <v>--</v>
      </c>
      <c r="G63" s="1825" t="str">
        <f>IFERROR('DATA GPC'!L849/'DATA GPC'!L568*'DATA GPC'!L$156,"--")</f>
        <v>--</v>
      </c>
      <c r="H63" s="1825" t="str">
        <f>IFERROR('DATA GPC'!M849/'DATA GPC'!M568*'DATA GPC'!M$156,"--")</f>
        <v>--</v>
      </c>
      <c r="I63" s="1825" t="str">
        <f>IFERROR('DATA GPC'!N849/'DATA GPC'!N568*'DATA GPC'!N$156,"--")</f>
        <v>--</v>
      </c>
      <c r="J63" s="1825" t="str">
        <f>IFERROR('DATA GPC'!O849/'DATA GPC'!O568*'DATA GPC'!O$156,"--")</f>
        <v>--</v>
      </c>
      <c r="K63" s="1825" t="str">
        <f>IFERROR('DATA GPC'!P849/'DATA GPC'!P568*'DATA GPC'!P$156,"--")</f>
        <v>--</v>
      </c>
      <c r="L63" s="1364"/>
      <c r="M63" s="1825" t="str">
        <f t="shared" si="13"/>
        <v>--</v>
      </c>
      <c r="N63" s="1825" t="str">
        <f t="shared" si="14"/>
        <v>--</v>
      </c>
      <c r="O63" s="351"/>
      <c r="P63" s="1529"/>
      <c r="Q63" s="1565"/>
      <c r="R63" s="1530"/>
      <c r="S63" s="1530"/>
      <c r="T63" s="1530"/>
      <c r="U63" s="1530"/>
      <c r="V63" s="1530"/>
      <c r="W63" s="1530"/>
      <c r="X63" s="1530"/>
      <c r="Y63" s="1530"/>
      <c r="Z63" s="1530"/>
      <c r="AA63" s="1530"/>
      <c r="AB63" s="1530"/>
      <c r="AC63" s="1530"/>
      <c r="AD63" s="1530"/>
      <c r="AE63" s="1530"/>
      <c r="AF63" s="1530"/>
      <c r="AG63" s="1530"/>
      <c r="AH63" s="1530"/>
      <c r="AI63" s="1530"/>
      <c r="AJ63" s="1530"/>
    </row>
    <row r="64" spans="1:36" ht="13.9">
      <c r="A64" s="1557" t="str">
        <f t="shared" si="12"/>
        <v>n</v>
      </c>
      <c r="B64" s="1557"/>
      <c r="C64" s="146" t="str">
        <f>'DATA GPC'!$E$23</f>
        <v>--</v>
      </c>
      <c r="D64" s="359" t="str">
        <f>'DATA GPC'!$P$132</f>
        <v>--</v>
      </c>
      <c r="E64" s="359"/>
      <c r="F64" s="1825" t="str">
        <f>IFERROR('DATA GPC'!K850/'DATA GPC'!K569*'DATA GPC'!K$156,"--")</f>
        <v>--</v>
      </c>
      <c r="G64" s="1825" t="str">
        <f>IFERROR('DATA GPC'!L850/'DATA GPC'!L569*'DATA GPC'!L$156,"--")</f>
        <v>--</v>
      </c>
      <c r="H64" s="1825" t="str">
        <f>IFERROR('DATA GPC'!M850/'DATA GPC'!M569*'DATA GPC'!M$156,"--")</f>
        <v>--</v>
      </c>
      <c r="I64" s="1825" t="str">
        <f>IFERROR('DATA GPC'!N850/'DATA GPC'!N569*'DATA GPC'!N$156,"--")</f>
        <v>--</v>
      </c>
      <c r="J64" s="1825" t="str">
        <f>IFERROR('DATA GPC'!O850/'DATA GPC'!O569*'DATA GPC'!O$156,"--")</f>
        <v>--</v>
      </c>
      <c r="K64" s="1825" t="str">
        <f>IFERROR('DATA GPC'!P850/'DATA GPC'!P569*'DATA GPC'!P$156,"--")</f>
        <v>--</v>
      </c>
      <c r="L64" s="1364"/>
      <c r="M64" s="1825" t="str">
        <f t="shared" si="13"/>
        <v>--</v>
      </c>
      <c r="N64" s="1825" t="str">
        <f t="shared" si="14"/>
        <v>--</v>
      </c>
      <c r="O64" s="351"/>
      <c r="P64" s="1529"/>
      <c r="Q64" s="1565"/>
      <c r="R64" s="1530"/>
      <c r="S64" s="1530"/>
      <c r="T64" s="1530"/>
      <c r="U64" s="1530"/>
      <c r="V64" s="1530"/>
      <c r="W64" s="1530"/>
      <c r="X64" s="1530"/>
      <c r="Y64" s="1530"/>
      <c r="Z64" s="1530"/>
      <c r="AA64" s="1530"/>
      <c r="AB64" s="1530"/>
      <c r="AC64" s="1530"/>
      <c r="AD64" s="1530"/>
      <c r="AE64" s="1530"/>
      <c r="AF64" s="1530"/>
      <c r="AG64" s="1530"/>
      <c r="AH64" s="1530"/>
      <c r="AI64" s="1530"/>
      <c r="AJ64" s="1530"/>
    </row>
    <row r="65" spans="1:17" ht="13.9">
      <c r="A65" s="1557" t="str">
        <f t="shared" si="12"/>
        <v>n</v>
      </c>
      <c r="B65" s="1557"/>
      <c r="C65" s="146" t="str">
        <f>'DATA GPC'!$E$24</f>
        <v>--</v>
      </c>
      <c r="D65" s="359" t="str">
        <f>'DATA GPC'!$P$133</f>
        <v>--</v>
      </c>
      <c r="E65" s="613"/>
      <c r="F65" s="1825" t="str">
        <f>IFERROR('DATA GPC'!K851/'DATA GPC'!K570*'DATA GPC'!K$156,"--")</f>
        <v>--</v>
      </c>
      <c r="G65" s="1825" t="str">
        <f>IFERROR('DATA GPC'!L851/'DATA GPC'!L570*'DATA GPC'!L$156,"--")</f>
        <v>--</v>
      </c>
      <c r="H65" s="1825" t="str">
        <f>IFERROR('DATA GPC'!M851/'DATA GPC'!M570*'DATA GPC'!M$156,"--")</f>
        <v>--</v>
      </c>
      <c r="I65" s="1825" t="str">
        <f>IFERROR('DATA GPC'!N851/'DATA GPC'!N570*'DATA GPC'!N$156,"--")</f>
        <v>--</v>
      </c>
      <c r="J65" s="1825" t="str">
        <f>IFERROR('DATA GPC'!O851/'DATA GPC'!O570*'DATA GPC'!O$156,"--")</f>
        <v>--</v>
      </c>
      <c r="K65" s="1825" t="str">
        <f>IFERROR('DATA GPC'!P851/'DATA GPC'!P570*'DATA GPC'!P$156,"--")</f>
        <v>--</v>
      </c>
      <c r="L65" s="1364"/>
      <c r="M65" s="1825" t="str">
        <f t="shared" si="13"/>
        <v>--</v>
      </c>
      <c r="N65" s="1825" t="str">
        <f t="shared" si="14"/>
        <v>--</v>
      </c>
      <c r="O65" s="351"/>
      <c r="P65" s="1529"/>
      <c r="Q65" s="1565"/>
    </row>
    <row r="66" spans="1:17" ht="13.9">
      <c r="A66" s="1557" t="str">
        <f t="shared" si="12"/>
        <v>n</v>
      </c>
      <c r="B66" s="1557"/>
      <c r="C66" s="146" t="str">
        <f>'DATA GPC'!$E$25</f>
        <v>--</v>
      </c>
      <c r="D66" s="359" t="str">
        <f>'DATA GPC'!$P$134</f>
        <v>--</v>
      </c>
      <c r="E66" s="613"/>
      <c r="F66" s="1825" t="str">
        <f>IFERROR('DATA GPC'!K852/'DATA GPC'!K571*'DATA GPC'!K$156,"--")</f>
        <v>--</v>
      </c>
      <c r="G66" s="1825" t="str">
        <f>IFERROR('DATA GPC'!L852/'DATA GPC'!L571*'DATA GPC'!L$156,"--")</f>
        <v>--</v>
      </c>
      <c r="H66" s="1825" t="str">
        <f>IFERROR('DATA GPC'!M852/'DATA GPC'!M571*'DATA GPC'!M$156,"--")</f>
        <v>--</v>
      </c>
      <c r="I66" s="1825" t="str">
        <f>IFERROR('DATA GPC'!N852/'DATA GPC'!N571*'DATA GPC'!N$156,"--")</f>
        <v>--</v>
      </c>
      <c r="J66" s="1825" t="str">
        <f>IFERROR('DATA GPC'!O852/'DATA GPC'!O571*'DATA GPC'!O$156,"--")</f>
        <v>--</v>
      </c>
      <c r="K66" s="1825" t="str">
        <f>IFERROR('DATA GPC'!P852/'DATA GPC'!P571*'DATA GPC'!P$156,"--")</f>
        <v>--</v>
      </c>
      <c r="L66" s="1364"/>
      <c r="M66" s="1825" t="str">
        <f t="shared" si="13"/>
        <v>--</v>
      </c>
      <c r="N66" s="1825" t="str">
        <f t="shared" si="14"/>
        <v>--</v>
      </c>
      <c r="O66" s="351"/>
      <c r="P66" s="1529"/>
      <c r="Q66" s="1565"/>
    </row>
    <row r="67" spans="1:17" ht="13.9">
      <c r="A67" s="1557" t="str">
        <f t="shared" si="12"/>
        <v>n</v>
      </c>
      <c r="B67" s="1557"/>
      <c r="C67" s="146" t="str">
        <f>'DATA GPC'!$E$26</f>
        <v>--</v>
      </c>
      <c r="D67" s="359" t="str">
        <f>'DATA GPC'!$P$135</f>
        <v>--</v>
      </c>
      <c r="E67" s="613"/>
      <c r="F67" s="1825" t="str">
        <f>IFERROR('DATA GPC'!K853/'DATA GPC'!K572*'DATA GPC'!K$156,"--")</f>
        <v>--</v>
      </c>
      <c r="G67" s="1825" t="str">
        <f>IFERROR('DATA GPC'!L853/'DATA GPC'!L572*'DATA GPC'!L$156,"--")</f>
        <v>--</v>
      </c>
      <c r="H67" s="1825" t="str">
        <f>IFERROR('DATA GPC'!M853/'DATA GPC'!M572*'DATA GPC'!M$156,"--")</f>
        <v>--</v>
      </c>
      <c r="I67" s="1825" t="str">
        <f>IFERROR('DATA GPC'!N853/'DATA GPC'!N572*'DATA GPC'!N$156,"--")</f>
        <v>--</v>
      </c>
      <c r="J67" s="1825" t="str">
        <f>IFERROR('DATA GPC'!O853/'DATA GPC'!O572*'DATA GPC'!O$156,"--")</f>
        <v>--</v>
      </c>
      <c r="K67" s="1825" t="str">
        <f>IFERROR('DATA GPC'!P853/'DATA GPC'!P572*'DATA GPC'!P$156,"--")</f>
        <v>--</v>
      </c>
      <c r="L67" s="1364"/>
      <c r="M67" s="1825" t="str">
        <f t="shared" si="13"/>
        <v>--</v>
      </c>
      <c r="N67" s="1825" t="str">
        <f t="shared" si="14"/>
        <v>--</v>
      </c>
      <c r="O67" s="351"/>
      <c r="P67" s="1529"/>
      <c r="Q67" s="1565"/>
    </row>
    <row r="68" spans="1:17" ht="13.9">
      <c r="A68" s="1557" t="str">
        <f t="shared" si="12"/>
        <v>n</v>
      </c>
      <c r="B68" s="1557"/>
      <c r="C68" s="146" t="str">
        <f>'DATA GPC'!$E$27</f>
        <v>--</v>
      </c>
      <c r="D68" s="359" t="str">
        <f>'DATA GPC'!$P$136</f>
        <v>--</v>
      </c>
      <c r="E68" s="613"/>
      <c r="F68" s="1825" t="str">
        <f>IFERROR('DATA GPC'!K854/'DATA GPC'!K573*'DATA GPC'!K$156,"--")</f>
        <v>--</v>
      </c>
      <c r="G68" s="1825" t="str">
        <f>IFERROR('DATA GPC'!L854/'DATA GPC'!L573*'DATA GPC'!L$156,"--")</f>
        <v>--</v>
      </c>
      <c r="H68" s="1825" t="str">
        <f>IFERROR('DATA GPC'!M854/'DATA GPC'!M573*'DATA GPC'!M$156,"--")</f>
        <v>--</v>
      </c>
      <c r="I68" s="1825" t="str">
        <f>IFERROR('DATA GPC'!N854/'DATA GPC'!N573*'DATA GPC'!N$156,"--")</f>
        <v>--</v>
      </c>
      <c r="J68" s="1825" t="str">
        <f>IFERROR('DATA GPC'!O854/'DATA GPC'!O573*'DATA GPC'!O$156,"--")</f>
        <v>--</v>
      </c>
      <c r="K68" s="1825" t="str">
        <f>IFERROR('DATA GPC'!P854/'DATA GPC'!P573*'DATA GPC'!P$156,"--")</f>
        <v>--</v>
      </c>
      <c r="L68" s="1364"/>
      <c r="M68" s="1825" t="str">
        <f t="shared" si="13"/>
        <v>--</v>
      </c>
      <c r="N68" s="1825" t="str">
        <f t="shared" si="14"/>
        <v>--</v>
      </c>
      <c r="O68" s="351"/>
      <c r="P68" s="1529"/>
      <c r="Q68" s="1565"/>
    </row>
    <row r="69" spans="1:17" ht="13.9">
      <c r="A69" s="1557" t="str">
        <f t="shared" si="12"/>
        <v>n</v>
      </c>
      <c r="B69" s="1557"/>
      <c r="C69" s="146" t="str">
        <f>'DATA GPC'!$E$28</f>
        <v>--</v>
      </c>
      <c r="D69" s="359" t="str">
        <f>'DATA GPC'!$P$137</f>
        <v>--</v>
      </c>
      <c r="E69" s="613"/>
      <c r="F69" s="1825" t="str">
        <f>IFERROR('DATA GPC'!K855/'DATA GPC'!K574*'DATA GPC'!K$156,"--")</f>
        <v>--</v>
      </c>
      <c r="G69" s="1825" t="str">
        <f>IFERROR('DATA GPC'!L855/'DATA GPC'!L574*'DATA GPC'!L$156,"--")</f>
        <v>--</v>
      </c>
      <c r="H69" s="1825" t="str">
        <f>IFERROR('DATA GPC'!M855/'DATA GPC'!M574*'DATA GPC'!M$156,"--")</f>
        <v>--</v>
      </c>
      <c r="I69" s="1825" t="str">
        <f>IFERROR('DATA GPC'!N855/'DATA GPC'!N574*'DATA GPC'!N$156,"--")</f>
        <v>--</v>
      </c>
      <c r="J69" s="1825" t="str">
        <f>IFERROR('DATA GPC'!O855/'DATA GPC'!O574*'DATA GPC'!O$156,"--")</f>
        <v>--</v>
      </c>
      <c r="K69" s="1825" t="str">
        <f>IFERROR('DATA GPC'!P855/'DATA GPC'!P574*'DATA GPC'!P$156,"--")</f>
        <v>--</v>
      </c>
      <c r="L69" s="1364"/>
      <c r="M69" s="1825" t="str">
        <f t="shared" si="13"/>
        <v>--</v>
      </c>
      <c r="N69" s="1825" t="str">
        <f t="shared" si="14"/>
        <v>--</v>
      </c>
      <c r="O69" s="351"/>
      <c r="P69" s="1529"/>
      <c r="Q69" s="1565"/>
    </row>
    <row r="70" spans="1:17" ht="13.9">
      <c r="A70" s="1557" t="str">
        <f t="shared" si="12"/>
        <v>n</v>
      </c>
      <c r="B70" s="1557"/>
      <c r="C70" s="146" t="str">
        <f>'DATA GPC'!$E$29</f>
        <v>--</v>
      </c>
      <c r="D70" s="359" t="str">
        <f>'DATA GPC'!$P$138</f>
        <v>--</v>
      </c>
      <c r="E70" s="613"/>
      <c r="F70" s="1825" t="str">
        <f>IFERROR('DATA GPC'!K856/'DATA GPC'!K575*'DATA GPC'!K$156,"--")</f>
        <v>--</v>
      </c>
      <c r="G70" s="1825" t="str">
        <f>IFERROR('DATA GPC'!L856/'DATA GPC'!L575*'DATA GPC'!L$156,"--")</f>
        <v>--</v>
      </c>
      <c r="H70" s="1825" t="str">
        <f>IFERROR('DATA GPC'!M856/'DATA GPC'!M575*'DATA GPC'!M$156,"--")</f>
        <v>--</v>
      </c>
      <c r="I70" s="1825" t="str">
        <f>IFERROR('DATA GPC'!N856/'DATA GPC'!N575*'DATA GPC'!N$156,"--")</f>
        <v>--</v>
      </c>
      <c r="J70" s="1825" t="str">
        <f>IFERROR('DATA GPC'!O856/'DATA GPC'!O575*'DATA GPC'!O$156,"--")</f>
        <v>--</v>
      </c>
      <c r="K70" s="1825" t="str">
        <f>IFERROR('DATA GPC'!P856/'DATA GPC'!P575*'DATA GPC'!P$156,"--")</f>
        <v>--</v>
      </c>
      <c r="L70" s="1364"/>
      <c r="M70" s="1825" t="str">
        <f t="shared" si="13"/>
        <v>--</v>
      </c>
      <c r="N70" s="1825" t="str">
        <f t="shared" si="14"/>
        <v>--</v>
      </c>
      <c r="O70" s="351"/>
      <c r="P70" s="1529"/>
      <c r="Q70" s="1565"/>
    </row>
    <row r="71" spans="1:17" ht="13.9">
      <c r="A71" s="1557" t="str">
        <f t="shared" si="12"/>
        <v>n</v>
      </c>
      <c r="B71" s="1557"/>
      <c r="C71" s="146" t="str">
        <f>'DATA GPC'!$E$30</f>
        <v>--</v>
      </c>
      <c r="D71" s="359" t="str">
        <f>'DATA GPC'!$P$139</f>
        <v>--</v>
      </c>
      <c r="E71" s="613"/>
      <c r="F71" s="1825" t="str">
        <f>IFERROR('DATA GPC'!K857/'DATA GPC'!K576*'DATA GPC'!K$156,"--")</f>
        <v>--</v>
      </c>
      <c r="G71" s="1825" t="str">
        <f>IFERROR('DATA GPC'!L857/'DATA GPC'!L576*'DATA GPC'!L$156,"--")</f>
        <v>--</v>
      </c>
      <c r="H71" s="1825" t="str">
        <f>IFERROR('DATA GPC'!M857/'DATA GPC'!M576*'DATA GPC'!M$156,"--")</f>
        <v>--</v>
      </c>
      <c r="I71" s="1825" t="str">
        <f>IFERROR('DATA GPC'!N857/'DATA GPC'!N576*'DATA GPC'!N$156,"--")</f>
        <v>--</v>
      </c>
      <c r="J71" s="1825" t="str">
        <f>IFERROR('DATA GPC'!O857/'DATA GPC'!O576*'DATA GPC'!O$156,"--")</f>
        <v>--</v>
      </c>
      <c r="K71" s="1825" t="str">
        <f>IFERROR('DATA GPC'!P857/'DATA GPC'!P576*'DATA GPC'!P$156,"--")</f>
        <v>--</v>
      </c>
      <c r="L71" s="1364"/>
      <c r="M71" s="1825" t="str">
        <f t="shared" si="13"/>
        <v>--</v>
      </c>
      <c r="N71" s="1825" t="str">
        <f t="shared" si="14"/>
        <v>--</v>
      </c>
      <c r="O71" s="351"/>
      <c r="P71" s="1529"/>
      <c r="Q71" s="1565"/>
    </row>
    <row r="72" spans="1:17" ht="13.9">
      <c r="A72" s="1557" t="str">
        <f t="shared" si="12"/>
        <v>n</v>
      </c>
      <c r="B72" s="1557"/>
      <c r="C72" s="146" t="str">
        <f>'DATA GPC'!$E$31</f>
        <v>--</v>
      </c>
      <c r="D72" s="359" t="str">
        <f>'DATA GPC'!$P$140</f>
        <v>--</v>
      </c>
      <c r="E72" s="677"/>
      <c r="F72" s="1825" t="str">
        <f>IFERROR('DATA GPC'!K858/'DATA GPC'!K577*'DATA GPC'!K$156,"--")</f>
        <v>--</v>
      </c>
      <c r="G72" s="1825" t="str">
        <f>IFERROR('DATA GPC'!L858/'DATA GPC'!L577*'DATA GPC'!L$156,"--")</f>
        <v>--</v>
      </c>
      <c r="H72" s="1825" t="str">
        <f>IFERROR('DATA GPC'!M858/'DATA GPC'!M577*'DATA GPC'!M$156,"--")</f>
        <v>--</v>
      </c>
      <c r="I72" s="1825" t="str">
        <f>IFERROR('DATA GPC'!N858/'DATA GPC'!N577*'DATA GPC'!N$156,"--")</f>
        <v>--</v>
      </c>
      <c r="J72" s="1825" t="str">
        <f>IFERROR('DATA GPC'!O858/'DATA GPC'!O577*'DATA GPC'!O$156,"--")</f>
        <v>--</v>
      </c>
      <c r="K72" s="1825" t="str">
        <f>IFERROR('DATA GPC'!P858/'DATA GPC'!P577*'DATA GPC'!P$156,"--")</f>
        <v>--</v>
      </c>
      <c r="L72" s="1364"/>
      <c r="M72" s="1825" t="str">
        <f t="shared" si="13"/>
        <v>--</v>
      </c>
      <c r="N72" s="1825" t="str">
        <f t="shared" si="14"/>
        <v>--</v>
      </c>
      <c r="O72" s="351"/>
      <c r="P72" s="1529"/>
      <c r="Q72" s="1565"/>
    </row>
    <row r="73" spans="1:17" ht="13.9">
      <c r="A73" s="1557" t="str">
        <f t="shared" si="12"/>
        <v>n</v>
      </c>
      <c r="B73" s="1557"/>
      <c r="C73" s="146" t="str">
        <f>'DATA GPC'!$E$32</f>
        <v>--</v>
      </c>
      <c r="D73" s="359" t="str">
        <f>'DATA GPC'!$P$141</f>
        <v>--</v>
      </c>
      <c r="E73" s="613"/>
      <c r="F73" s="1825" t="str">
        <f>IFERROR('DATA GPC'!K859/'DATA GPC'!K578*'DATA GPC'!K$156,"--")</f>
        <v>--</v>
      </c>
      <c r="G73" s="1825" t="str">
        <f>IFERROR('DATA GPC'!L859/'DATA GPC'!L578*'DATA GPC'!L$156,"--")</f>
        <v>--</v>
      </c>
      <c r="H73" s="1825" t="str">
        <f>IFERROR('DATA GPC'!M859/'DATA GPC'!M578*'DATA GPC'!M$156,"--")</f>
        <v>--</v>
      </c>
      <c r="I73" s="1825" t="str">
        <f>IFERROR('DATA GPC'!N859/'DATA GPC'!N578*'DATA GPC'!N$156,"--")</f>
        <v>--</v>
      </c>
      <c r="J73" s="1825" t="str">
        <f>IFERROR('DATA GPC'!O859/'DATA GPC'!O578*'DATA GPC'!O$156,"--")</f>
        <v>--</v>
      </c>
      <c r="K73" s="1825" t="str">
        <f>IFERROR('DATA GPC'!P859/'DATA GPC'!P578*'DATA GPC'!P$156,"--")</f>
        <v>--</v>
      </c>
      <c r="L73" s="1364"/>
      <c r="M73" s="1825" t="str">
        <f t="shared" si="13"/>
        <v>--</v>
      </c>
      <c r="N73" s="1825" t="str">
        <f t="shared" si="14"/>
        <v>--</v>
      </c>
      <c r="O73" s="351"/>
      <c r="P73" s="1529"/>
      <c r="Q73" s="1565"/>
    </row>
    <row r="74" spans="1:17" ht="13.9">
      <c r="A74" s="1557" t="str">
        <f t="shared" si="12"/>
        <v>n</v>
      </c>
      <c r="B74" s="1557"/>
      <c r="C74" s="146" t="str">
        <f>'DATA GPC'!$E$33</f>
        <v>--</v>
      </c>
      <c r="D74" s="359" t="str">
        <f>'DATA GPC'!$P$142</f>
        <v>--</v>
      </c>
      <c r="E74" s="613"/>
      <c r="F74" s="1825" t="str">
        <f>IFERROR('DATA GPC'!K860/'DATA GPC'!K579*'DATA GPC'!K$156,"--")</f>
        <v>--</v>
      </c>
      <c r="G74" s="1825" t="str">
        <f>IFERROR('DATA GPC'!L860/'DATA GPC'!L579*'DATA GPC'!L$156,"--")</f>
        <v>--</v>
      </c>
      <c r="H74" s="1825" t="str">
        <f>IFERROR('DATA GPC'!M860/'DATA GPC'!M579*'DATA GPC'!M$156,"--")</f>
        <v>--</v>
      </c>
      <c r="I74" s="1825" t="str">
        <f>IFERROR('DATA GPC'!N860/'DATA GPC'!N579*'DATA GPC'!N$156,"--")</f>
        <v>--</v>
      </c>
      <c r="J74" s="1825" t="str">
        <f>IFERROR('DATA GPC'!O860/'DATA GPC'!O579*'DATA GPC'!O$156,"--")</f>
        <v>--</v>
      </c>
      <c r="K74" s="1825" t="str">
        <f>IFERROR('DATA GPC'!P860/'DATA GPC'!P579*'DATA GPC'!P$156,"--")</f>
        <v>--</v>
      </c>
      <c r="L74" s="1364"/>
      <c r="M74" s="1825" t="str">
        <f t="shared" si="13"/>
        <v>--</v>
      </c>
      <c r="N74" s="1825" t="str">
        <f t="shared" si="14"/>
        <v>--</v>
      </c>
      <c r="O74" s="351"/>
      <c r="P74" s="1529"/>
      <c r="Q74" s="1565"/>
    </row>
    <row r="75" spans="1:17" ht="13.9">
      <c r="A75" s="1557" t="str">
        <f t="shared" si="12"/>
        <v>n</v>
      </c>
      <c r="B75" s="1557"/>
      <c r="C75" s="146" t="str">
        <f>'DATA GPC'!$E$34</f>
        <v>--</v>
      </c>
      <c r="D75" s="359" t="str">
        <f>'DATA GPC'!$P$143</f>
        <v>--</v>
      </c>
      <c r="E75" s="613"/>
      <c r="F75" s="1825" t="str">
        <f>IFERROR('DATA GPC'!K861/'DATA GPC'!K580*'DATA GPC'!K$156,"--")</f>
        <v>--</v>
      </c>
      <c r="G75" s="1825" t="str">
        <f>IFERROR('DATA GPC'!L861/'DATA GPC'!L580*'DATA GPC'!L$156,"--")</f>
        <v>--</v>
      </c>
      <c r="H75" s="1825" t="str">
        <f>IFERROR('DATA GPC'!M861/'DATA GPC'!M580*'DATA GPC'!M$156,"--")</f>
        <v>--</v>
      </c>
      <c r="I75" s="1825" t="str">
        <f>IFERROR('DATA GPC'!N861/'DATA GPC'!N580*'DATA GPC'!N$156,"--")</f>
        <v>--</v>
      </c>
      <c r="J75" s="1825" t="str">
        <f>IFERROR('DATA GPC'!O861/'DATA GPC'!O580*'DATA GPC'!O$156,"--")</f>
        <v>--</v>
      </c>
      <c r="K75" s="1825" t="str">
        <f>IFERROR('DATA GPC'!P861/'DATA GPC'!P580*'DATA GPC'!P$156,"--")</f>
        <v>--</v>
      </c>
      <c r="L75" s="1364"/>
      <c r="M75" s="1825" t="str">
        <f t="shared" si="13"/>
        <v>--</v>
      </c>
      <c r="N75" s="1825" t="str">
        <f t="shared" si="14"/>
        <v>--</v>
      </c>
      <c r="O75" s="351"/>
      <c r="P75" s="1529"/>
      <c r="Q75" s="1565"/>
    </row>
    <row r="76" spans="1:17" ht="13.9">
      <c r="A76" s="1557" t="str">
        <f t="shared" si="12"/>
        <v>n</v>
      </c>
      <c r="B76" s="1557"/>
      <c r="C76" s="146" t="str">
        <f>'DATA GPC'!$E$35</f>
        <v>--</v>
      </c>
      <c r="D76" s="359" t="str">
        <f>'DATA GPC'!$P$144</f>
        <v>--</v>
      </c>
      <c r="E76" s="613"/>
      <c r="F76" s="1825" t="str">
        <f>IFERROR('DATA GPC'!K862/'DATA GPC'!K581*'DATA GPC'!K$156,"--")</f>
        <v>--</v>
      </c>
      <c r="G76" s="1825" t="str">
        <f>IFERROR('DATA GPC'!L862/'DATA GPC'!L581*'DATA GPC'!L$156,"--")</f>
        <v>--</v>
      </c>
      <c r="H76" s="1825" t="str">
        <f>IFERROR('DATA GPC'!M862/'DATA GPC'!M581*'DATA GPC'!M$156,"--")</f>
        <v>--</v>
      </c>
      <c r="I76" s="1825" t="str">
        <f>IFERROR('DATA GPC'!N862/'DATA GPC'!N581*'DATA GPC'!N$156,"--")</f>
        <v>--</v>
      </c>
      <c r="J76" s="1825" t="str">
        <f>IFERROR('DATA GPC'!O862/'DATA GPC'!O581*'DATA GPC'!O$156,"--")</f>
        <v>--</v>
      </c>
      <c r="K76" s="1825" t="str">
        <f>IFERROR('DATA GPC'!P862/'DATA GPC'!P581*'DATA GPC'!P$156,"--")</f>
        <v>--</v>
      </c>
      <c r="L76" s="1364"/>
      <c r="M76" s="1825" t="str">
        <f t="shared" si="13"/>
        <v>--</v>
      </c>
      <c r="N76" s="1825" t="str">
        <f t="shared" si="14"/>
        <v>--</v>
      </c>
      <c r="O76" s="351"/>
      <c r="P76" s="1529"/>
      <c r="Q76" s="1565"/>
    </row>
    <row r="77" spans="1:17" ht="13.9">
      <c r="A77" s="1557" t="str">
        <f t="shared" si="12"/>
        <v>n</v>
      </c>
      <c r="B77" s="1557"/>
      <c r="C77" s="146" t="str">
        <f>'DATA GPC'!$E$36</f>
        <v>--</v>
      </c>
      <c r="D77" s="359" t="str">
        <f>'DATA GPC'!$P$145</f>
        <v>--</v>
      </c>
      <c r="E77" s="613"/>
      <c r="F77" s="1825" t="str">
        <f>IFERROR('DATA GPC'!K863/'DATA GPC'!K582*'DATA GPC'!K$156,"--")</f>
        <v>--</v>
      </c>
      <c r="G77" s="1825" t="str">
        <f>IFERROR('DATA GPC'!L863/'DATA GPC'!L582*'DATA GPC'!L$156,"--")</f>
        <v>--</v>
      </c>
      <c r="H77" s="1825" t="str">
        <f>IFERROR('DATA GPC'!M863/'DATA GPC'!M582*'DATA GPC'!M$156,"--")</f>
        <v>--</v>
      </c>
      <c r="I77" s="1825" t="str">
        <f>IFERROR('DATA GPC'!N863/'DATA GPC'!N582*'DATA GPC'!N$156,"--")</f>
        <v>--</v>
      </c>
      <c r="J77" s="1825" t="str">
        <f>IFERROR('DATA GPC'!O863/'DATA GPC'!O582*'DATA GPC'!O$156,"--")</f>
        <v>--</v>
      </c>
      <c r="K77" s="1825" t="str">
        <f>IFERROR('DATA GPC'!P863/'DATA GPC'!P582*'DATA GPC'!P$156,"--")</f>
        <v>--</v>
      </c>
      <c r="L77" s="1364"/>
      <c r="M77" s="1825" t="str">
        <f t="shared" si="13"/>
        <v>--</v>
      </c>
      <c r="N77" s="1825" t="str">
        <f t="shared" si="14"/>
        <v>--</v>
      </c>
      <c r="O77" s="351"/>
      <c r="P77" s="1529"/>
      <c r="Q77" s="1565"/>
    </row>
    <row r="78" spans="1:17" ht="13.9">
      <c r="A78" s="1557" t="str">
        <f t="shared" si="12"/>
        <v>n</v>
      </c>
      <c r="B78" s="1557"/>
      <c r="C78" s="146" t="str">
        <f>'DATA GPC'!$E$37</f>
        <v>--</v>
      </c>
      <c r="D78" s="359" t="str">
        <f>'DATA GPC'!$P$146</f>
        <v>--</v>
      </c>
      <c r="E78" s="613"/>
      <c r="F78" s="1825" t="str">
        <f>IFERROR('DATA GPC'!K864/'DATA GPC'!K583*'DATA GPC'!K$156,"--")</f>
        <v>--</v>
      </c>
      <c r="G78" s="1825" t="str">
        <f>IFERROR('DATA GPC'!L864/'DATA GPC'!L583*'DATA GPC'!L$156,"--")</f>
        <v>--</v>
      </c>
      <c r="H78" s="1825" t="str">
        <f>IFERROR('DATA GPC'!M864/'DATA GPC'!M583*'DATA GPC'!M$156,"--")</f>
        <v>--</v>
      </c>
      <c r="I78" s="1825" t="str">
        <f>IFERROR('DATA GPC'!N864/'DATA GPC'!N583*'DATA GPC'!N$156,"--")</f>
        <v>--</v>
      </c>
      <c r="J78" s="1825" t="str">
        <f>IFERROR('DATA GPC'!O864/'DATA GPC'!O583*'DATA GPC'!O$156,"--")</f>
        <v>--</v>
      </c>
      <c r="K78" s="1825" t="str">
        <f>IFERROR('DATA GPC'!P864/'DATA GPC'!P583*'DATA GPC'!P$156,"--")</f>
        <v>--</v>
      </c>
      <c r="L78" s="1364"/>
      <c r="M78" s="1825" t="str">
        <f t="shared" si="13"/>
        <v>--</v>
      </c>
      <c r="N78" s="1825" t="str">
        <f t="shared" si="14"/>
        <v>--</v>
      </c>
      <c r="O78" s="351"/>
      <c r="P78" s="1529"/>
      <c r="Q78" s="1565"/>
    </row>
    <row r="79" spans="1:17" ht="13.9">
      <c r="A79" s="1557" t="str">
        <f t="shared" si="12"/>
        <v>n</v>
      </c>
      <c r="B79" s="1557"/>
      <c r="C79" s="146" t="str">
        <f>'DATA GPC'!$E$38</f>
        <v>--</v>
      </c>
      <c r="D79" s="359" t="str">
        <f>'DATA GPC'!$P$147</f>
        <v>--</v>
      </c>
      <c r="E79" s="613"/>
      <c r="F79" s="1825" t="str">
        <f>IFERROR('DATA GPC'!K865/'DATA GPC'!K584*'DATA GPC'!K$156,"--")</f>
        <v>--</v>
      </c>
      <c r="G79" s="1825" t="str">
        <f>IFERROR('DATA GPC'!L865/'DATA GPC'!L584*'DATA GPC'!L$156,"--")</f>
        <v>--</v>
      </c>
      <c r="H79" s="1825" t="str">
        <f>IFERROR('DATA GPC'!M865/'DATA GPC'!M584*'DATA GPC'!M$156,"--")</f>
        <v>--</v>
      </c>
      <c r="I79" s="1825" t="str">
        <f>IFERROR('DATA GPC'!N865/'DATA GPC'!N584*'DATA GPC'!N$156,"--")</f>
        <v>--</v>
      </c>
      <c r="J79" s="1825" t="str">
        <f>IFERROR('DATA GPC'!O865/'DATA GPC'!O584*'DATA GPC'!O$156,"--")</f>
        <v>--</v>
      </c>
      <c r="K79" s="1825" t="str">
        <f>IFERROR('DATA GPC'!P865/'DATA GPC'!P584*'DATA GPC'!P$156,"--")</f>
        <v>--</v>
      </c>
      <c r="L79" s="1364"/>
      <c r="M79" s="1825" t="str">
        <f t="shared" si="13"/>
        <v>--</v>
      </c>
      <c r="N79" s="1825" t="str">
        <f t="shared" si="14"/>
        <v>--</v>
      </c>
      <c r="O79" s="351"/>
      <c r="P79" s="1529"/>
      <c r="Q79" s="1565"/>
    </row>
    <row r="80" spans="1:17" ht="13.9">
      <c r="A80" s="1557" t="str">
        <f t="shared" si="12"/>
        <v>n</v>
      </c>
      <c r="B80" s="1557"/>
      <c r="C80" s="146" t="str">
        <f>'DATA GPC'!$E$39</f>
        <v>--</v>
      </c>
      <c r="D80" s="359" t="str">
        <f>'DATA GPC'!$P$148</f>
        <v>--</v>
      </c>
      <c r="E80" s="613"/>
      <c r="F80" s="1825" t="str">
        <f>IFERROR('DATA GPC'!K866/'DATA GPC'!K585*'DATA GPC'!K$156,"--")</f>
        <v>--</v>
      </c>
      <c r="G80" s="1825" t="str">
        <f>IFERROR('DATA GPC'!L866/'DATA GPC'!L585*'DATA GPC'!L$156,"--")</f>
        <v>--</v>
      </c>
      <c r="H80" s="1825" t="str">
        <f>IFERROR('DATA GPC'!M866/'DATA GPC'!M585*'DATA GPC'!M$156,"--")</f>
        <v>--</v>
      </c>
      <c r="I80" s="1825" t="str">
        <f>IFERROR('DATA GPC'!N866/'DATA GPC'!N585*'DATA GPC'!N$156,"--")</f>
        <v>--</v>
      </c>
      <c r="J80" s="1825" t="str">
        <f>IFERROR('DATA GPC'!O866/'DATA GPC'!O585*'DATA GPC'!O$156,"--")</f>
        <v>--</v>
      </c>
      <c r="K80" s="1825" t="str">
        <f>IFERROR('DATA GPC'!P866/'DATA GPC'!P585*'DATA GPC'!P$156,"--")</f>
        <v>--</v>
      </c>
      <c r="L80" s="1364"/>
      <c r="M80" s="1825" t="str">
        <f t="shared" si="13"/>
        <v>--</v>
      </c>
      <c r="N80" s="1825" t="str">
        <f t="shared" si="14"/>
        <v>--</v>
      </c>
      <c r="O80" s="351"/>
      <c r="P80" s="1529"/>
      <c r="Q80" s="1565"/>
    </row>
    <row r="81" spans="1:17" ht="13.9">
      <c r="A81" s="1557" t="str">
        <f t="shared" si="12"/>
        <v>n</v>
      </c>
      <c r="B81" s="1557"/>
      <c r="C81" s="146" t="str">
        <f>'DATA GPC'!$E$40</f>
        <v>--</v>
      </c>
      <c r="D81" s="359" t="str">
        <f>'DATA GPC'!$P$149</f>
        <v>--</v>
      </c>
      <c r="E81" s="613"/>
      <c r="F81" s="1825" t="str">
        <f>IFERROR('DATA GPC'!K867/'DATA GPC'!K586*'DATA GPC'!K$156,"--")</f>
        <v>--</v>
      </c>
      <c r="G81" s="1825" t="str">
        <f>IFERROR('DATA GPC'!L867/'DATA GPC'!L586*'DATA GPC'!L$156,"--")</f>
        <v>--</v>
      </c>
      <c r="H81" s="1825" t="str">
        <f>IFERROR('DATA GPC'!M867/'DATA GPC'!M586*'DATA GPC'!M$156,"--")</f>
        <v>--</v>
      </c>
      <c r="I81" s="1825" t="str">
        <f>IFERROR('DATA GPC'!N867/'DATA GPC'!N586*'DATA GPC'!N$156,"--")</f>
        <v>--</v>
      </c>
      <c r="J81" s="1825" t="str">
        <f>IFERROR('DATA GPC'!O867/'DATA GPC'!O586*'DATA GPC'!O$156,"--")</f>
        <v>--</v>
      </c>
      <c r="K81" s="1825" t="str">
        <f>IFERROR('DATA GPC'!P867/'DATA GPC'!P586*'DATA GPC'!P$156,"--")</f>
        <v>--</v>
      </c>
      <c r="L81" s="1364"/>
      <c r="M81" s="1825" t="str">
        <f t="shared" si="13"/>
        <v>--</v>
      </c>
      <c r="N81" s="1825" t="str">
        <f t="shared" si="14"/>
        <v>--</v>
      </c>
      <c r="O81" s="351"/>
      <c r="P81" s="1529"/>
      <c r="Q81" s="1565"/>
    </row>
    <row r="82" spans="1:17" ht="13.9">
      <c r="A82" s="1557" t="str">
        <f t="shared" si="12"/>
        <v>n</v>
      </c>
      <c r="B82" s="1557"/>
      <c r="C82" s="146" t="str">
        <f>'DATA GPC'!$E$41</f>
        <v>--</v>
      </c>
      <c r="D82" s="359" t="str">
        <f>'DATA GPC'!$P$150</f>
        <v>--</v>
      </c>
      <c r="E82" s="613"/>
      <c r="F82" s="1825" t="str">
        <f>IFERROR('DATA GPC'!K868/'DATA GPC'!K587*'DATA GPC'!K$156,"--")</f>
        <v>--</v>
      </c>
      <c r="G82" s="1825" t="str">
        <f>IFERROR('DATA GPC'!L868/'DATA GPC'!L587*'DATA GPC'!L$156,"--")</f>
        <v>--</v>
      </c>
      <c r="H82" s="1825" t="str">
        <f>IFERROR('DATA GPC'!M868/'DATA GPC'!M587*'DATA GPC'!M$156,"--")</f>
        <v>--</v>
      </c>
      <c r="I82" s="1825" t="str">
        <f>IFERROR('DATA GPC'!N868/'DATA GPC'!N587*'DATA GPC'!N$156,"--")</f>
        <v>--</v>
      </c>
      <c r="J82" s="1825" t="str">
        <f>IFERROR('DATA GPC'!O868/'DATA GPC'!O587*'DATA GPC'!O$156,"--")</f>
        <v>--</v>
      </c>
      <c r="K82" s="1825" t="str">
        <f>IFERROR('DATA GPC'!P868/'DATA GPC'!P587*'DATA GPC'!P$156,"--")</f>
        <v>--</v>
      </c>
      <c r="L82" s="1364"/>
      <c r="M82" s="1825" t="str">
        <f t="shared" si="13"/>
        <v>--</v>
      </c>
      <c r="N82" s="1825" t="str">
        <f t="shared" si="14"/>
        <v>--</v>
      </c>
      <c r="O82" s="351"/>
      <c r="P82" s="1529"/>
      <c r="Q82" s="1565"/>
    </row>
    <row r="83" spans="1:17" ht="13.9">
      <c r="A83" s="1557" t="str">
        <f t="shared" si="12"/>
        <v>n</v>
      </c>
      <c r="B83" s="1557"/>
      <c r="C83" s="146" t="str">
        <f>'DATA GPC'!$E$42</f>
        <v>--</v>
      </c>
      <c r="D83" s="359" t="str">
        <f>'DATA GPC'!$P$151</f>
        <v>--</v>
      </c>
      <c r="E83" s="613"/>
      <c r="F83" s="1825" t="str">
        <f>IFERROR('DATA GPC'!K869/'DATA GPC'!K588*'DATA GPC'!K$156,"--")</f>
        <v>--</v>
      </c>
      <c r="G83" s="1825" t="str">
        <f>IFERROR('DATA GPC'!L869/'DATA GPC'!L588*'DATA GPC'!L$156,"--")</f>
        <v>--</v>
      </c>
      <c r="H83" s="1825" t="str">
        <f>IFERROR('DATA GPC'!M869/'DATA GPC'!M588*'DATA GPC'!M$156,"--")</f>
        <v>--</v>
      </c>
      <c r="I83" s="1825" t="str">
        <f>IFERROR('DATA GPC'!N869/'DATA GPC'!N588*'DATA GPC'!N$156,"--")</f>
        <v>--</v>
      </c>
      <c r="J83" s="1825" t="str">
        <f>IFERROR('DATA GPC'!O869/'DATA GPC'!O588*'DATA GPC'!O$156,"--")</f>
        <v>--</v>
      </c>
      <c r="K83" s="1825" t="str">
        <f>IFERROR('DATA GPC'!P869/'DATA GPC'!P588*'DATA GPC'!P$156,"--")</f>
        <v>--</v>
      </c>
      <c r="L83" s="1364"/>
      <c r="M83" s="1825" t="str">
        <f t="shared" si="13"/>
        <v>--</v>
      </c>
      <c r="N83" s="1825" t="str">
        <f t="shared" si="14"/>
        <v>--</v>
      </c>
      <c r="O83" s="351"/>
      <c r="P83" s="1529"/>
      <c r="Q83" s="1565"/>
    </row>
    <row r="84" spans="1:17" ht="13.9">
      <c r="A84" s="1557" t="str">
        <f t="shared" si="12"/>
        <v>n</v>
      </c>
      <c r="B84" s="1557"/>
      <c r="C84" s="146" t="str">
        <f>'DATA GPC'!$E$43</f>
        <v>--</v>
      </c>
      <c r="D84" s="359" t="str">
        <f>'DATA GPC'!$P$152</f>
        <v>--</v>
      </c>
      <c r="E84" s="613"/>
      <c r="F84" s="1825" t="str">
        <f>IFERROR('DATA GPC'!K870/'DATA GPC'!K589*'DATA GPC'!K$156,"--")</f>
        <v>--</v>
      </c>
      <c r="G84" s="1825" t="str">
        <f>IFERROR('DATA GPC'!L870/'DATA GPC'!L589*'DATA GPC'!L$156,"--")</f>
        <v>--</v>
      </c>
      <c r="H84" s="1825" t="str">
        <f>IFERROR('DATA GPC'!M870/'DATA GPC'!M589*'DATA GPC'!M$156,"--")</f>
        <v>--</v>
      </c>
      <c r="I84" s="1825" t="str">
        <f>IFERROR('DATA GPC'!N870/'DATA GPC'!N589*'DATA GPC'!N$156,"--")</f>
        <v>--</v>
      </c>
      <c r="J84" s="1825" t="str">
        <f>IFERROR('DATA GPC'!O870/'DATA GPC'!O589*'DATA GPC'!O$156,"--")</f>
        <v>--</v>
      </c>
      <c r="K84" s="1825" t="str">
        <f>IFERROR('DATA GPC'!P870/'DATA GPC'!P589*'DATA GPC'!P$156,"--")</f>
        <v>--</v>
      </c>
      <c r="L84" s="1364"/>
      <c r="M84" s="1825" t="str">
        <f t="shared" si="13"/>
        <v>--</v>
      </c>
      <c r="N84" s="1825" t="str">
        <f t="shared" si="14"/>
        <v>--</v>
      </c>
      <c r="O84" s="351"/>
      <c r="P84" s="1529"/>
      <c r="Q84" s="1565"/>
    </row>
    <row r="85" spans="1:17" ht="13.9">
      <c r="A85" s="1557" t="str">
        <f t="shared" si="12"/>
        <v>n</v>
      </c>
      <c r="B85" s="1557"/>
      <c r="C85" s="146" t="str">
        <f>'DATA GPC'!$E$44</f>
        <v>--</v>
      </c>
      <c r="D85" s="359" t="str">
        <f>'DATA GPC'!$P$153</f>
        <v>--</v>
      </c>
      <c r="E85" s="613"/>
      <c r="F85" s="1825" t="str">
        <f>IFERROR('DATA GPC'!K871/'DATA GPC'!K590*'DATA GPC'!K$156,"--")</f>
        <v>--</v>
      </c>
      <c r="G85" s="1825" t="str">
        <f>IFERROR('DATA GPC'!L871/'DATA GPC'!L590*'DATA GPC'!L$156,"--")</f>
        <v>--</v>
      </c>
      <c r="H85" s="1825" t="str">
        <f>IFERROR('DATA GPC'!M871/'DATA GPC'!M590*'DATA GPC'!M$156,"--")</f>
        <v>--</v>
      </c>
      <c r="I85" s="1825" t="str">
        <f>IFERROR('DATA GPC'!N871/'DATA GPC'!N590*'DATA GPC'!N$156,"--")</f>
        <v>--</v>
      </c>
      <c r="J85" s="1825" t="str">
        <f>IFERROR('DATA GPC'!O871/'DATA GPC'!O590*'DATA GPC'!O$156,"--")</f>
        <v>--</v>
      </c>
      <c r="K85" s="1825" t="str">
        <f>IFERROR('DATA GPC'!P871/'DATA GPC'!P590*'DATA GPC'!P$156,"--")</f>
        <v>--</v>
      </c>
      <c r="L85" s="1364"/>
      <c r="M85" s="1825" t="str">
        <f t="shared" si="13"/>
        <v>--</v>
      </c>
      <c r="N85" s="1825" t="str">
        <f t="shared" si="14"/>
        <v>--</v>
      </c>
      <c r="O85" s="351"/>
      <c r="P85" s="1529"/>
      <c r="Q85" s="1565"/>
    </row>
    <row r="86" spans="1:17" ht="13.9">
      <c r="A86" s="1557"/>
      <c r="B86" s="1557"/>
      <c r="C86" s="1542"/>
      <c r="D86" s="1542"/>
      <c r="E86" s="665"/>
      <c r="F86" s="1542"/>
      <c r="G86" s="1542"/>
      <c r="H86" s="1542"/>
      <c r="I86" s="1542"/>
      <c r="J86" s="1542"/>
      <c r="K86" s="1542"/>
      <c r="L86" s="1542"/>
      <c r="M86" s="503"/>
      <c r="N86" s="351" t="s">
        <v>1667</v>
      </c>
      <c r="O86" s="352"/>
      <c r="P86" s="1529"/>
      <c r="Q86" s="1565"/>
    </row>
    <row r="87" spans="1:17" ht="13.9">
      <c r="A87" s="1557"/>
      <c r="B87" s="1557"/>
      <c r="C87" s="1542"/>
      <c r="D87" s="1543" t="s">
        <v>1275</v>
      </c>
      <c r="E87" s="2060"/>
      <c r="F87" s="1826">
        <f t="shared" ref="F87:K87" si="15">IFERROR(MAX(F61:F85),"n/a")</f>
        <v>0</v>
      </c>
      <c r="G87" s="1826">
        <f t="shared" si="15"/>
        <v>0</v>
      </c>
      <c r="H87" s="1826">
        <f t="shared" si="15"/>
        <v>0</v>
      </c>
      <c r="I87" s="1826">
        <f t="shared" si="15"/>
        <v>0</v>
      </c>
      <c r="J87" s="1826">
        <f t="shared" si="15"/>
        <v>0</v>
      </c>
      <c r="K87" s="1826">
        <f t="shared" si="15"/>
        <v>0</v>
      </c>
      <c r="L87" s="1826"/>
      <c r="M87" s="1826">
        <f>IFERROR(MAX(M61:M85),"n/a")</f>
        <v>0</v>
      </c>
      <c r="N87" s="1826">
        <f>IFERROR(MAX(N61:N85),"n/a")</f>
        <v>0</v>
      </c>
      <c r="O87" s="2060"/>
      <c r="P87" s="1529"/>
      <c r="Q87" s="1565"/>
    </row>
    <row r="88" spans="1:17" ht="13.9">
      <c r="A88" s="1557"/>
      <c r="B88" s="1557"/>
      <c r="C88" s="1542"/>
      <c r="D88" s="1543" t="s">
        <v>1469</v>
      </c>
      <c r="E88" s="2060"/>
      <c r="F88" s="1827" t="str">
        <f t="shared" ref="F88:K88" si="16">IFERROR(QUARTILE(F61:F85,3),"n/a")</f>
        <v>n/a</v>
      </c>
      <c r="G88" s="1827" t="str">
        <f t="shared" si="16"/>
        <v>n/a</v>
      </c>
      <c r="H88" s="1827" t="str">
        <f t="shared" si="16"/>
        <v>n/a</v>
      </c>
      <c r="I88" s="1827" t="str">
        <f t="shared" si="16"/>
        <v>n/a</v>
      </c>
      <c r="J88" s="1827" t="str">
        <f t="shared" si="16"/>
        <v>n/a</v>
      </c>
      <c r="K88" s="1827" t="str">
        <f t="shared" si="16"/>
        <v>n/a</v>
      </c>
      <c r="L88" s="1827"/>
      <c r="M88" s="1827" t="str">
        <f>IFERROR(QUARTILE(M61:M85,3),"n/a")</f>
        <v>n/a</v>
      </c>
      <c r="N88" s="1827" t="str">
        <f>IFERROR(QUARTILE(N61:N85,3),"n/a")</f>
        <v>n/a</v>
      </c>
      <c r="O88" s="2060"/>
      <c r="P88" s="1529"/>
      <c r="Q88" s="1565"/>
    </row>
    <row r="89" spans="1:17" ht="13.9">
      <c r="A89" s="1557"/>
      <c r="B89" s="1557"/>
      <c r="C89" s="1542"/>
      <c r="D89" s="1543" t="s">
        <v>1157</v>
      </c>
      <c r="E89" s="2060"/>
      <c r="F89" s="1827" t="str">
        <f t="shared" ref="F89:K89" si="17">IFERROR(AVERAGE(F61:F85),"n/a")</f>
        <v>n/a</v>
      </c>
      <c r="G89" s="1827" t="str">
        <f t="shared" si="17"/>
        <v>n/a</v>
      </c>
      <c r="H89" s="1827" t="str">
        <f t="shared" si="17"/>
        <v>n/a</v>
      </c>
      <c r="I89" s="1827" t="str">
        <f t="shared" si="17"/>
        <v>n/a</v>
      </c>
      <c r="J89" s="1827" t="str">
        <f t="shared" si="17"/>
        <v>n/a</v>
      </c>
      <c r="K89" s="1827" t="str">
        <f t="shared" si="17"/>
        <v>n/a</v>
      </c>
      <c r="L89" s="1827"/>
      <c r="M89" s="1827" t="str">
        <f>IFERROR(AVERAGE(M61:M85),"n/a")</f>
        <v>n/a</v>
      </c>
      <c r="N89" s="1827" t="str">
        <f>IFERROR(AVERAGE(N61:N85),"n/a")</f>
        <v>n/a</v>
      </c>
      <c r="O89" s="2060"/>
      <c r="P89" s="1529"/>
      <c r="Q89" s="1565"/>
    </row>
    <row r="90" spans="1:17" ht="13.9">
      <c r="A90" s="1557"/>
      <c r="B90" s="1557"/>
      <c r="C90" s="1542"/>
      <c r="D90" s="1543" t="s">
        <v>1158</v>
      </c>
      <c r="E90" s="2060"/>
      <c r="F90" s="1827" t="str">
        <f t="shared" ref="F90:K90" si="18">IFERROR(MEDIAN(F61:F85),"n/a")</f>
        <v>n/a</v>
      </c>
      <c r="G90" s="1827" t="str">
        <f t="shared" si="18"/>
        <v>n/a</v>
      </c>
      <c r="H90" s="1827" t="str">
        <f t="shared" si="18"/>
        <v>n/a</v>
      </c>
      <c r="I90" s="1827" t="str">
        <f t="shared" si="18"/>
        <v>n/a</v>
      </c>
      <c r="J90" s="1827" t="str">
        <f t="shared" si="18"/>
        <v>n/a</v>
      </c>
      <c r="K90" s="1827" t="str">
        <f t="shared" si="18"/>
        <v>n/a</v>
      </c>
      <c r="L90" s="1827"/>
      <c r="M90" s="1827" t="str">
        <f>IFERROR(MEDIAN(M61:M85),"n/a")</f>
        <v>n/a</v>
      </c>
      <c r="N90" s="1827" t="str">
        <f>IFERROR(MEDIAN(N61:N85),"n/a")</f>
        <v>n/a</v>
      </c>
      <c r="O90" s="2060"/>
      <c r="P90" s="353"/>
      <c r="Q90" s="605"/>
    </row>
    <row r="91" spans="1:17" ht="13.9">
      <c r="A91" s="1557"/>
      <c r="B91" s="1557"/>
      <c r="C91" s="1542"/>
      <c r="D91" s="1543" t="s">
        <v>1470</v>
      </c>
      <c r="E91" s="2060"/>
      <c r="F91" s="1827" t="str">
        <f t="shared" ref="F91:K91" si="19">IFERROR(QUARTILE(F61:F85,1),"n/a")</f>
        <v>n/a</v>
      </c>
      <c r="G91" s="1827" t="str">
        <f t="shared" si="19"/>
        <v>n/a</v>
      </c>
      <c r="H91" s="1827" t="str">
        <f t="shared" si="19"/>
        <v>n/a</v>
      </c>
      <c r="I91" s="1827" t="str">
        <f t="shared" si="19"/>
        <v>n/a</v>
      </c>
      <c r="J91" s="1827" t="str">
        <f t="shared" si="19"/>
        <v>n/a</v>
      </c>
      <c r="K91" s="1827" t="str">
        <f t="shared" si="19"/>
        <v>n/a</v>
      </c>
      <c r="L91" s="1827"/>
      <c r="M91" s="1827" t="str">
        <f>IFERROR(QUARTILE(M61:M85,1),"n/a")</f>
        <v>n/a</v>
      </c>
      <c r="N91" s="1827" t="str">
        <f>IFERROR(QUARTILE(N61:N85,1),"n/a")</f>
        <v>n/a</v>
      </c>
      <c r="O91" s="2060"/>
      <c r="P91" s="353"/>
      <c r="Q91" s="605"/>
    </row>
    <row r="92" spans="1:17" ht="13.9">
      <c r="A92" s="1557"/>
      <c r="B92" s="1557"/>
      <c r="C92" s="1542"/>
      <c r="D92" s="1543" t="s">
        <v>1273</v>
      </c>
      <c r="E92" s="2060"/>
      <c r="F92" s="1828">
        <f t="shared" ref="F92:K92" si="20">IFERROR(MIN(F61:F85),"n/a")</f>
        <v>0</v>
      </c>
      <c r="G92" s="1828">
        <f t="shared" si="20"/>
        <v>0</v>
      </c>
      <c r="H92" s="1828">
        <f t="shared" si="20"/>
        <v>0</v>
      </c>
      <c r="I92" s="1828">
        <f t="shared" si="20"/>
        <v>0</v>
      </c>
      <c r="J92" s="1828">
        <f t="shared" si="20"/>
        <v>0</v>
      </c>
      <c r="K92" s="1828">
        <f t="shared" si="20"/>
        <v>0</v>
      </c>
      <c r="L92" s="1828"/>
      <c r="M92" s="1828">
        <f>IFERROR(MIN(M61:M85),"n/a")</f>
        <v>0</v>
      </c>
      <c r="N92" s="1828">
        <f>IFERROR(MIN(N61:N85),"n/a")</f>
        <v>0</v>
      </c>
      <c r="O92" s="2060"/>
      <c r="P92" s="1529"/>
      <c r="Q92" s="1565"/>
    </row>
    <row r="93" spans="1:17" ht="13.9">
      <c r="A93" s="1557"/>
      <c r="B93" s="1557"/>
      <c r="C93" s="1831" t="s">
        <v>1471</v>
      </c>
      <c r="D93" s="1543"/>
      <c r="E93" s="2060"/>
      <c r="F93" s="1556"/>
      <c r="G93" s="1556"/>
      <c r="H93" s="1556"/>
      <c r="I93" s="1556"/>
      <c r="J93" s="1556"/>
      <c r="K93" s="1556"/>
      <c r="L93" s="1556"/>
      <c r="M93" s="1556"/>
      <c r="N93" s="1556"/>
      <c r="O93" s="2060"/>
      <c r="P93" s="1529"/>
      <c r="Q93" s="1565"/>
    </row>
    <row r="94" spans="1:17" ht="13.9">
      <c r="A94" s="1557"/>
      <c r="B94" s="1557"/>
      <c r="C94" s="1542" t="str">
        <f>ClientName</f>
        <v/>
      </c>
      <c r="D94" s="359">
        <f>LFQLTM</f>
        <v>42643</v>
      </c>
      <c r="E94" s="2060"/>
      <c r="F94" s="1825" t="str">
        <f>IFERROR('DATA GPC'!K846/'DATA GPC'!K565*'DATA GPC'!K$156,"--")</f>
        <v>--</v>
      </c>
      <c r="G94" s="1825" t="str">
        <f>IFERROR('DATA GPC'!L846/'DATA GPC'!L565*'DATA GPC'!L$156,"--")</f>
        <v>--</v>
      </c>
      <c r="H94" s="1825" t="str">
        <f>IFERROR('DATA GPC'!M846/'DATA GPC'!M565*'DATA GPC'!M$156,"--")</f>
        <v>--</v>
      </c>
      <c r="I94" s="1825" t="str">
        <f>IFERROR('DATA GPC'!N846/'DATA GPC'!N565*'DATA GPC'!N$156,"--")</f>
        <v>--</v>
      </c>
      <c r="J94" s="1825" t="str">
        <f>IFERROR('DATA GPC'!O846/'DATA GPC'!O565*'DATA GPC'!O$156,"--")</f>
        <v>--</v>
      </c>
      <c r="K94" s="1825" t="str">
        <f>IFERROR('DATA GPC'!P846/'DATA GPC'!P565*'DATA GPC'!P$156,"--")</f>
        <v>--</v>
      </c>
      <c r="L94" s="1556"/>
      <c r="M94" s="1825" t="str">
        <f>IFERROR(AVERAGE(H94:J94),"--")</f>
        <v>--</v>
      </c>
      <c r="N94" s="1825" t="str">
        <f>IFERROR(AVERAGE(F94:J94),"--")</f>
        <v>--</v>
      </c>
      <c r="O94" s="2060"/>
      <c r="P94" s="1529"/>
      <c r="Q94" s="1565"/>
    </row>
    <row r="95" spans="1:17" ht="13.9">
      <c r="A95" s="1557"/>
      <c r="B95" s="1557"/>
      <c r="C95" s="1542"/>
      <c r="D95" s="1543"/>
      <c r="E95" s="2060"/>
      <c r="F95" s="1556"/>
      <c r="G95" s="1556"/>
      <c r="H95" s="1556"/>
      <c r="I95" s="1556"/>
      <c r="J95" s="1556"/>
      <c r="K95" s="1556"/>
      <c r="L95" s="1556"/>
      <c r="M95" s="1556"/>
      <c r="N95" s="1556"/>
      <c r="O95" s="2060"/>
      <c r="P95" s="1529"/>
      <c r="Q95" s="1565"/>
    </row>
    <row r="96" spans="1:17" ht="13.9">
      <c r="A96" s="1557"/>
      <c r="B96" s="1557"/>
      <c r="C96" s="1542" t="s">
        <v>1668</v>
      </c>
      <c r="D96" s="1543"/>
      <c r="E96" s="2060"/>
      <c r="F96" s="1556"/>
      <c r="G96" s="1556"/>
      <c r="H96" s="1556"/>
      <c r="I96" s="1556"/>
      <c r="J96" s="1556"/>
      <c r="K96" s="1556"/>
      <c r="L96" s="1556"/>
      <c r="M96" s="1556"/>
      <c r="N96" s="1556"/>
      <c r="O96" s="2060"/>
      <c r="P96" s="1529"/>
      <c r="Q96" s="1565"/>
    </row>
    <row r="97" spans="1:17" ht="13.9">
      <c r="A97" s="1557"/>
      <c r="B97" s="1557"/>
      <c r="C97" s="1529" t="s">
        <v>1402</v>
      </c>
      <c r="D97" s="354"/>
      <c r="E97" s="619"/>
      <c r="F97" s="1529"/>
      <c r="G97" s="1529"/>
      <c r="H97" s="1529"/>
      <c r="I97" s="1529"/>
      <c r="J97" s="1529"/>
      <c r="K97" s="1529"/>
      <c r="L97" s="1529"/>
      <c r="M97" s="1529"/>
      <c r="N97" s="1529"/>
      <c r="O97" s="2060"/>
      <c r="P97" s="1529"/>
      <c r="Q97" s="1565"/>
    </row>
    <row r="98" spans="1:17" ht="13.9">
      <c r="A98" s="1557"/>
      <c r="B98" s="1557"/>
      <c r="C98" s="1529"/>
      <c r="D98" s="354"/>
      <c r="E98" s="619"/>
      <c r="F98" s="1529"/>
      <c r="G98" s="1529"/>
      <c r="H98" s="1529"/>
      <c r="I98" s="1529"/>
      <c r="J98" s="1529"/>
      <c r="K98" s="1529"/>
      <c r="L98" s="1529"/>
      <c r="M98" s="1529"/>
      <c r="N98" s="1529"/>
      <c r="O98" s="2060"/>
      <c r="P98" s="1529"/>
      <c r="Q98" s="1565"/>
    </row>
    <row r="99" spans="1:17" ht="12" customHeight="1">
      <c r="A99" s="1557"/>
      <c r="B99" s="1557"/>
      <c r="C99" s="1529" t="str">
        <f>DraftFooter</f>
        <v>Draft and preliminary. All data subject to change upon completion of additional analysis</v>
      </c>
      <c r="D99" s="356"/>
      <c r="E99" s="691"/>
      <c r="F99" s="356"/>
      <c r="G99" s="356"/>
      <c r="H99" s="356"/>
      <c r="I99" s="356"/>
      <c r="J99" s="356"/>
      <c r="K99" s="1529"/>
      <c r="L99" s="1529"/>
      <c r="M99" s="356"/>
      <c r="N99" s="357"/>
      <c r="O99" s="358"/>
      <c r="P99" s="1525"/>
      <c r="Q99" s="1557"/>
    </row>
    <row r="100" spans="1:17" ht="12" customHeight="1">
      <c r="A100" s="1557" t="s">
        <v>17</v>
      </c>
      <c r="B100" s="592"/>
      <c r="C100" s="592"/>
      <c r="D100" s="592"/>
      <c r="E100" s="685"/>
      <c r="F100" s="592"/>
      <c r="G100" s="592"/>
      <c r="H100" s="592"/>
      <c r="I100" s="592"/>
      <c r="J100" s="592"/>
      <c r="K100" s="1565"/>
      <c r="L100" s="1565"/>
      <c r="M100" s="592"/>
      <c r="N100" s="592"/>
      <c r="O100" s="592"/>
      <c r="P100" s="596" t="s">
        <v>18</v>
      </c>
      <c r="Q100" s="1557"/>
    </row>
    <row r="101" spans="1:17" ht="17.45">
      <c r="A101" s="1557"/>
      <c r="B101" s="649">
        <f>SUMPRODUCT(--ISERROR($C$1:P150))+COUNTIF($C$1:P150,Fail)</f>
        <v>0</v>
      </c>
      <c r="C101" s="1372" t="str">
        <f>START!$C$1</f>
        <v>Client Name</v>
      </c>
      <c r="D101" s="852"/>
      <c r="E101" s="852"/>
      <c r="F101" s="852"/>
      <c r="G101" s="852"/>
      <c r="H101" s="852"/>
      <c r="I101" s="852"/>
      <c r="J101" s="852"/>
      <c r="K101" s="1525"/>
      <c r="L101" s="1525"/>
      <c r="M101" s="852"/>
      <c r="N101" s="852"/>
      <c r="O101" s="1525"/>
      <c r="P101" s="389" t="str">
        <f>$P$1&amp;".b"</f>
        <v>Exhibit 2.b</v>
      </c>
      <c r="Q101" s="1557"/>
    </row>
    <row r="102" spans="1:17" ht="17.45">
      <c r="A102" s="1557"/>
      <c r="B102" s="649"/>
      <c r="C102" s="1372" t="str">
        <f>START!$C$2</f>
        <v xml:space="preserve">Please enter project description in START worksheet cell G13 </v>
      </c>
      <c r="D102" s="852"/>
      <c r="E102" s="852"/>
      <c r="F102" s="852"/>
      <c r="G102" s="852"/>
      <c r="H102" s="852"/>
      <c r="I102" s="852"/>
      <c r="J102" s="852"/>
      <c r="K102" s="1525"/>
      <c r="L102" s="1525"/>
      <c r="M102" s="852"/>
      <c r="N102" s="852"/>
      <c r="O102" s="1525"/>
      <c r="P102" s="389"/>
      <c r="Q102" s="1557"/>
    </row>
    <row r="103" spans="1:17" ht="17.45">
      <c r="A103" s="1557"/>
      <c r="B103" s="1557"/>
      <c r="C103" s="839" t="s">
        <v>1670</v>
      </c>
      <c r="D103" s="1526"/>
      <c r="E103" s="1526"/>
      <c r="F103" s="1526"/>
      <c r="G103" s="1526"/>
      <c r="H103" s="1526"/>
      <c r="I103" s="1526"/>
      <c r="J103" s="1526"/>
      <c r="K103" s="1526"/>
      <c r="L103" s="1526"/>
      <c r="M103" s="1526"/>
      <c r="N103" s="1526"/>
      <c r="O103" s="1526"/>
      <c r="P103" s="1525"/>
      <c r="Q103" s="1557"/>
    </row>
    <row r="104" spans="1:17" ht="18" customHeight="1">
      <c r="A104" s="1557"/>
      <c r="B104" s="1557"/>
      <c r="C104" s="840" t="str">
        <f>ValDateHeading</f>
        <v>Estimation of value as of 28 February 2017</v>
      </c>
      <c r="D104" s="1526"/>
      <c r="E104" s="1526"/>
      <c r="F104" s="1526"/>
      <c r="G104" s="1526"/>
      <c r="H104" s="1526"/>
      <c r="I104" s="1526"/>
      <c r="J104" s="1526"/>
      <c r="K104" s="1526"/>
      <c r="L104" s="1526"/>
      <c r="M104" s="1526"/>
      <c r="N104" s="1526"/>
      <c r="O104" s="1526"/>
      <c r="P104" s="1525"/>
      <c r="Q104" s="1557"/>
    </row>
    <row r="105" spans="1:17" ht="18" customHeight="1">
      <c r="A105" s="1419"/>
      <c r="B105" s="1557"/>
      <c r="C105" s="2060"/>
      <c r="D105" s="1526"/>
      <c r="E105" s="1526"/>
      <c r="F105" s="1526"/>
      <c r="G105" s="1526"/>
      <c r="H105" s="1526"/>
      <c r="I105" s="1526"/>
      <c r="J105" s="1526"/>
      <c r="K105" s="341"/>
      <c r="L105" s="341"/>
      <c r="M105" s="1526"/>
      <c r="N105" s="1526"/>
      <c r="O105" s="1526"/>
      <c r="P105" s="1525"/>
      <c r="Q105" s="1557"/>
    </row>
    <row r="106" spans="1:17" ht="13.9">
      <c r="A106" s="1413" t="str">
        <f>IF(MasterCheck,"Please check the "&amp;'Error Check'!$G$8,"")</f>
        <v/>
      </c>
      <c r="B106" s="1424"/>
      <c r="C106" s="1511"/>
      <c r="D106" s="341"/>
      <c r="E106" s="341"/>
      <c r="F106" s="341"/>
      <c r="G106" s="341"/>
      <c r="H106" s="341"/>
      <c r="I106" s="341"/>
      <c r="J106" s="341"/>
      <c r="K106" s="341"/>
      <c r="L106" s="341"/>
      <c r="M106" s="341"/>
      <c r="N106" s="341"/>
      <c r="O106" s="341"/>
      <c r="P106" s="1525"/>
      <c r="Q106" s="1557"/>
    </row>
    <row r="107" spans="1:17" ht="13.9">
      <c r="A107" s="1557"/>
      <c r="B107" s="1557"/>
      <c r="C107" s="343"/>
      <c r="D107" s="343"/>
      <c r="E107" s="344"/>
      <c r="F107" s="345"/>
      <c r="G107" s="345"/>
      <c r="H107" s="345"/>
      <c r="I107" s="345"/>
      <c r="J107" s="345"/>
      <c r="K107" s="345"/>
      <c r="L107" s="345"/>
      <c r="M107" s="345"/>
      <c r="N107" s="345"/>
      <c r="O107" s="345"/>
      <c r="P107" s="1529"/>
      <c r="Q107" s="1557"/>
    </row>
    <row r="108" spans="1:17" ht="13.9">
      <c r="A108" s="1557"/>
      <c r="B108" s="1557"/>
      <c r="C108" s="1268"/>
      <c r="D108" s="1268"/>
      <c r="E108" s="1268"/>
      <c r="F108" s="1168"/>
      <c r="G108" s="1168"/>
      <c r="H108" s="1168"/>
      <c r="I108" s="1168"/>
      <c r="J108" s="1168"/>
      <c r="K108" s="1168"/>
      <c r="L108" s="1168"/>
      <c r="M108" s="1168" t="s">
        <v>1457</v>
      </c>
      <c r="N108" s="1168" t="s">
        <v>1456</v>
      </c>
      <c r="O108" s="345"/>
      <c r="P108" s="347"/>
      <c r="Q108" s="604"/>
    </row>
    <row r="109" spans="1:17" ht="13.9">
      <c r="A109" s="1557"/>
      <c r="B109" s="1557"/>
      <c r="C109" s="1278"/>
      <c r="D109" s="1270" t="s">
        <v>1475</v>
      </c>
      <c r="E109" s="1271"/>
      <c r="F109" s="1272" t="s">
        <v>700</v>
      </c>
      <c r="G109" s="1272" t="s">
        <v>701</v>
      </c>
      <c r="H109" s="1272" t="s">
        <v>702</v>
      </c>
      <c r="I109" s="1272" t="s">
        <v>703</v>
      </c>
      <c r="J109" s="1272" t="s">
        <v>704</v>
      </c>
      <c r="K109" s="1272" t="s">
        <v>705</v>
      </c>
      <c r="L109" s="1272"/>
      <c r="M109" s="1272" t="s">
        <v>932</v>
      </c>
      <c r="N109" s="1272" t="s">
        <v>932</v>
      </c>
      <c r="O109" s="345"/>
      <c r="P109" s="348"/>
      <c r="Q109" s="1565"/>
    </row>
    <row r="110" spans="1:17" s="1530" customFormat="1" ht="13.9">
      <c r="A110" s="1557"/>
      <c r="B110" s="1557"/>
      <c r="C110" s="1831" t="s">
        <v>1256</v>
      </c>
      <c r="D110" s="1760"/>
      <c r="E110" s="1830"/>
      <c r="F110" s="738"/>
      <c r="G110" s="738"/>
      <c r="H110" s="738"/>
      <c r="I110" s="738"/>
      <c r="J110" s="738"/>
      <c r="K110" s="738"/>
      <c r="L110" s="738"/>
      <c r="M110" s="738"/>
      <c r="N110" s="738"/>
      <c r="O110" s="345"/>
      <c r="P110" s="348"/>
      <c r="Q110" s="1565"/>
    </row>
    <row r="111" spans="1:17" ht="13.9">
      <c r="A111" s="1557" t="str">
        <f t="shared" ref="A111:A135" si="21">IF(C111="--","n","")</f>
        <v>n</v>
      </c>
      <c r="B111" s="1557"/>
      <c r="C111" s="146" t="str">
        <f>'DATA GPC'!$E$20</f>
        <v>--</v>
      </c>
      <c r="D111" s="359" t="str">
        <f>'DATA GPC'!$P$129</f>
        <v>--</v>
      </c>
      <c r="E111" s="359"/>
      <c r="F111" s="1825" t="str">
        <f>IFERROR('DATA GPC'!K878/'DATA GPC'!K597*'DATA GPC'!K$156,"--")</f>
        <v>--</v>
      </c>
      <c r="G111" s="1825" t="str">
        <f>IFERROR('DATA GPC'!L878/'DATA GPC'!L597*'DATA GPC'!L$156,"--")</f>
        <v>--</v>
      </c>
      <c r="H111" s="1825" t="str">
        <f>IFERROR('DATA GPC'!M878/'DATA GPC'!M597*'DATA GPC'!M$156,"--")</f>
        <v>--</v>
      </c>
      <c r="I111" s="1825" t="str">
        <f>IFERROR('DATA GPC'!N878/'DATA GPC'!N597*'DATA GPC'!N$156,"--")</f>
        <v>--</v>
      </c>
      <c r="J111" s="1825" t="str">
        <f>IFERROR('DATA GPC'!O878/'DATA GPC'!O597*'DATA GPC'!O$156,"--")</f>
        <v>--</v>
      </c>
      <c r="K111" s="1825" t="str">
        <f>IFERROR('DATA GPC'!P878/'DATA GPC'!P597*'DATA GPC'!P$156,"--")</f>
        <v>--</v>
      </c>
      <c r="L111" s="1364"/>
      <c r="M111" s="1825" t="str">
        <f t="shared" ref="M111:M135" si="22">IFERROR(AVERAGE(H111:J111),"--")</f>
        <v>--</v>
      </c>
      <c r="N111" s="1825" t="str">
        <f>IFERROR(AVERAGE(F111:J111),"--")</f>
        <v>--</v>
      </c>
      <c r="O111" s="351"/>
      <c r="P111" s="1529"/>
      <c r="Q111" s="1565"/>
    </row>
    <row r="112" spans="1:17" ht="13.9">
      <c r="A112" s="1557" t="str">
        <f t="shared" si="21"/>
        <v>n</v>
      </c>
      <c r="B112" s="1557"/>
      <c r="C112" s="146" t="str">
        <f>'DATA GPC'!$E$21</f>
        <v>--</v>
      </c>
      <c r="D112" s="359" t="str">
        <f>'DATA GPC'!$P$130</f>
        <v>--</v>
      </c>
      <c r="E112" s="359"/>
      <c r="F112" s="1825" t="str">
        <f>IFERROR('DATA GPC'!K879/'DATA GPC'!K598*'DATA GPC'!K$156,"--")</f>
        <v>--</v>
      </c>
      <c r="G112" s="1825" t="str">
        <f>IFERROR('DATA GPC'!L879/'DATA GPC'!L598*'DATA GPC'!L$156,"--")</f>
        <v>--</v>
      </c>
      <c r="H112" s="1825" t="str">
        <f>IFERROR('DATA GPC'!M879/'DATA GPC'!M598*'DATA GPC'!M$156,"--")</f>
        <v>--</v>
      </c>
      <c r="I112" s="1825" t="str">
        <f>IFERROR('DATA GPC'!N879/'DATA GPC'!N598*'DATA GPC'!N$156,"--")</f>
        <v>--</v>
      </c>
      <c r="J112" s="1825" t="str">
        <f>IFERROR('DATA GPC'!O879/'DATA GPC'!O598*'DATA GPC'!O$156,"--")</f>
        <v>--</v>
      </c>
      <c r="K112" s="1825" t="str">
        <f>IFERROR('DATA GPC'!P879/'DATA GPC'!P598*'DATA GPC'!P$156,"--")</f>
        <v>--</v>
      </c>
      <c r="L112" s="1364"/>
      <c r="M112" s="1825" t="str">
        <f t="shared" si="22"/>
        <v>--</v>
      </c>
      <c r="N112" s="1825" t="str">
        <f t="shared" ref="N112:N135" si="23">IFERROR(AVERAGE(F112:J112),"--")</f>
        <v>--</v>
      </c>
      <c r="O112" s="351"/>
      <c r="P112" s="1529"/>
      <c r="Q112" s="1565"/>
    </row>
    <row r="113" spans="1:17" ht="13.9">
      <c r="A113" s="1557" t="str">
        <f t="shared" si="21"/>
        <v>n</v>
      </c>
      <c r="B113" s="1557"/>
      <c r="C113" s="146" t="str">
        <f>'DATA GPC'!$E$22</f>
        <v>--</v>
      </c>
      <c r="D113" s="359" t="str">
        <f>'DATA GPC'!$P$131</f>
        <v>--</v>
      </c>
      <c r="E113" s="359"/>
      <c r="F113" s="1825" t="str">
        <f>IFERROR('DATA GPC'!K880/'DATA GPC'!K599*'DATA GPC'!K$156,"--")</f>
        <v>--</v>
      </c>
      <c r="G113" s="1825" t="str">
        <f>IFERROR('DATA GPC'!L880/'DATA GPC'!L599*'DATA GPC'!L$156,"--")</f>
        <v>--</v>
      </c>
      <c r="H113" s="1825" t="str">
        <f>IFERROR('DATA GPC'!M880/'DATA GPC'!M599*'DATA GPC'!M$156,"--")</f>
        <v>--</v>
      </c>
      <c r="I113" s="1825" t="str">
        <f>IFERROR('DATA GPC'!N880/'DATA GPC'!N599*'DATA GPC'!N$156,"--")</f>
        <v>--</v>
      </c>
      <c r="J113" s="1825" t="str">
        <f>IFERROR('DATA GPC'!O880/'DATA GPC'!O599*'DATA GPC'!O$156,"--")</f>
        <v>--</v>
      </c>
      <c r="K113" s="1825" t="str">
        <f>IFERROR('DATA GPC'!P880/'DATA GPC'!P599*'DATA GPC'!P$156,"--")</f>
        <v>--</v>
      </c>
      <c r="L113" s="1364"/>
      <c r="M113" s="1825" t="str">
        <f t="shared" si="22"/>
        <v>--</v>
      </c>
      <c r="N113" s="1825" t="str">
        <f t="shared" si="23"/>
        <v>--</v>
      </c>
      <c r="O113" s="351"/>
      <c r="P113" s="1529"/>
      <c r="Q113" s="1565"/>
    </row>
    <row r="114" spans="1:17" ht="13.9">
      <c r="A114" s="1557" t="str">
        <f t="shared" si="21"/>
        <v>n</v>
      </c>
      <c r="B114" s="1557"/>
      <c r="C114" s="146" t="str">
        <f>'DATA GPC'!$E$23</f>
        <v>--</v>
      </c>
      <c r="D114" s="359" t="str">
        <f>'DATA GPC'!$P$132</f>
        <v>--</v>
      </c>
      <c r="E114" s="359"/>
      <c r="F114" s="1825" t="str">
        <f>IFERROR('DATA GPC'!K881/'DATA GPC'!K600*'DATA GPC'!K$156,"--")</f>
        <v>--</v>
      </c>
      <c r="G114" s="1825" t="str">
        <f>IFERROR('DATA GPC'!L881/'DATA GPC'!L600*'DATA GPC'!L$156,"--")</f>
        <v>--</v>
      </c>
      <c r="H114" s="1825" t="str">
        <f>IFERROR('DATA GPC'!M881/'DATA GPC'!M600*'DATA GPC'!M$156,"--")</f>
        <v>--</v>
      </c>
      <c r="I114" s="1825" t="str">
        <f>IFERROR('DATA GPC'!N881/'DATA GPC'!N600*'DATA GPC'!N$156,"--")</f>
        <v>--</v>
      </c>
      <c r="J114" s="1825" t="str">
        <f>IFERROR('DATA GPC'!O881/'DATA GPC'!O600*'DATA GPC'!O$156,"--")</f>
        <v>--</v>
      </c>
      <c r="K114" s="1825" t="str">
        <f>IFERROR('DATA GPC'!P881/'DATA GPC'!P600*'DATA GPC'!P$156,"--")</f>
        <v>--</v>
      </c>
      <c r="L114" s="1364"/>
      <c r="M114" s="1825" t="str">
        <f t="shared" si="22"/>
        <v>--</v>
      </c>
      <c r="N114" s="1825" t="str">
        <f t="shared" si="23"/>
        <v>--</v>
      </c>
      <c r="O114" s="351"/>
      <c r="P114" s="1529"/>
      <c r="Q114" s="1565"/>
    </row>
    <row r="115" spans="1:17" ht="13.9">
      <c r="A115" s="1557" t="str">
        <f t="shared" si="21"/>
        <v>n</v>
      </c>
      <c r="B115" s="1557"/>
      <c r="C115" s="146" t="str">
        <f>'DATA GPC'!$E$24</f>
        <v>--</v>
      </c>
      <c r="D115" s="359" t="str">
        <f>'DATA GPC'!$P$133</f>
        <v>--</v>
      </c>
      <c r="E115" s="613"/>
      <c r="F115" s="1825" t="str">
        <f>IFERROR('DATA GPC'!K882/'DATA GPC'!K601*'DATA GPC'!K$156,"--")</f>
        <v>--</v>
      </c>
      <c r="G115" s="1825" t="str">
        <f>IFERROR('DATA GPC'!L882/'DATA GPC'!L601*'DATA GPC'!L$156,"--")</f>
        <v>--</v>
      </c>
      <c r="H115" s="1825" t="str">
        <f>IFERROR('DATA GPC'!M882/'DATA GPC'!M601*'DATA GPC'!M$156,"--")</f>
        <v>--</v>
      </c>
      <c r="I115" s="1825" t="str">
        <f>IFERROR('DATA GPC'!N882/'DATA GPC'!N601*'DATA GPC'!N$156,"--")</f>
        <v>--</v>
      </c>
      <c r="J115" s="1825" t="str">
        <f>IFERROR('DATA GPC'!O882/'DATA GPC'!O601*'DATA GPC'!O$156,"--")</f>
        <v>--</v>
      </c>
      <c r="K115" s="1825" t="str">
        <f>IFERROR('DATA GPC'!P882/'DATA GPC'!P601*'DATA GPC'!P$156,"--")</f>
        <v>--</v>
      </c>
      <c r="L115" s="1364"/>
      <c r="M115" s="1825" t="str">
        <f t="shared" si="22"/>
        <v>--</v>
      </c>
      <c r="N115" s="1825" t="str">
        <f t="shared" si="23"/>
        <v>--</v>
      </c>
      <c r="O115" s="351"/>
      <c r="P115" s="1529"/>
      <c r="Q115" s="1565"/>
    </row>
    <row r="116" spans="1:17" ht="13.9">
      <c r="A116" s="1557" t="str">
        <f t="shared" si="21"/>
        <v>n</v>
      </c>
      <c r="B116" s="1557"/>
      <c r="C116" s="146" t="str">
        <f>'DATA GPC'!$E$25</f>
        <v>--</v>
      </c>
      <c r="D116" s="359" t="str">
        <f>'DATA GPC'!$P$134</f>
        <v>--</v>
      </c>
      <c r="E116" s="613"/>
      <c r="F116" s="1825" t="str">
        <f>IFERROR('DATA GPC'!K883/'DATA GPC'!K602*'DATA GPC'!K$156,"--")</f>
        <v>--</v>
      </c>
      <c r="G116" s="1825" t="str">
        <f>IFERROR('DATA GPC'!L883/'DATA GPC'!L602*'DATA GPC'!L$156,"--")</f>
        <v>--</v>
      </c>
      <c r="H116" s="1825" t="str">
        <f>IFERROR('DATA GPC'!M883/'DATA GPC'!M602*'DATA GPC'!M$156,"--")</f>
        <v>--</v>
      </c>
      <c r="I116" s="1825" t="str">
        <f>IFERROR('DATA GPC'!N883/'DATA GPC'!N602*'DATA GPC'!N$156,"--")</f>
        <v>--</v>
      </c>
      <c r="J116" s="1825" t="str">
        <f>IFERROR('DATA GPC'!O883/'DATA GPC'!O602*'DATA GPC'!O$156,"--")</f>
        <v>--</v>
      </c>
      <c r="K116" s="1825" t="str">
        <f>IFERROR('DATA GPC'!P883/'DATA GPC'!P602*'DATA GPC'!P$156,"--")</f>
        <v>--</v>
      </c>
      <c r="L116" s="1364"/>
      <c r="M116" s="1825" t="str">
        <f t="shared" si="22"/>
        <v>--</v>
      </c>
      <c r="N116" s="1825" t="str">
        <f t="shared" si="23"/>
        <v>--</v>
      </c>
      <c r="O116" s="351"/>
      <c r="P116" s="1529"/>
      <c r="Q116" s="1565"/>
    </row>
    <row r="117" spans="1:17" ht="13.9">
      <c r="A117" s="1557" t="str">
        <f t="shared" si="21"/>
        <v>n</v>
      </c>
      <c r="B117" s="1557"/>
      <c r="C117" s="146" t="str">
        <f>'DATA GPC'!$E$26</f>
        <v>--</v>
      </c>
      <c r="D117" s="359" t="str">
        <f>'DATA GPC'!$P$135</f>
        <v>--</v>
      </c>
      <c r="E117" s="613"/>
      <c r="F117" s="1825" t="str">
        <f>IFERROR('DATA GPC'!K884/'DATA GPC'!K603*'DATA GPC'!K$156,"--")</f>
        <v>--</v>
      </c>
      <c r="G117" s="1825" t="str">
        <f>IFERROR('DATA GPC'!L884/'DATA GPC'!L603*'DATA GPC'!L$156,"--")</f>
        <v>--</v>
      </c>
      <c r="H117" s="1825" t="str">
        <f>IFERROR('DATA GPC'!M884/'DATA GPC'!M603*'DATA GPC'!M$156,"--")</f>
        <v>--</v>
      </c>
      <c r="I117" s="1825" t="str">
        <f>IFERROR('DATA GPC'!N884/'DATA GPC'!N603*'DATA GPC'!N$156,"--")</f>
        <v>--</v>
      </c>
      <c r="J117" s="1825" t="str">
        <f>IFERROR('DATA GPC'!O884/'DATA GPC'!O603*'DATA GPC'!O$156,"--")</f>
        <v>--</v>
      </c>
      <c r="K117" s="1825" t="str">
        <f>IFERROR('DATA GPC'!P884/'DATA GPC'!P603*'DATA GPC'!P$156,"--")</f>
        <v>--</v>
      </c>
      <c r="L117" s="1364"/>
      <c r="M117" s="1825" t="str">
        <f t="shared" si="22"/>
        <v>--</v>
      </c>
      <c r="N117" s="1825" t="str">
        <f t="shared" si="23"/>
        <v>--</v>
      </c>
      <c r="O117" s="351"/>
      <c r="P117" s="1529"/>
      <c r="Q117" s="1565"/>
    </row>
    <row r="118" spans="1:17" ht="13.9">
      <c r="A118" s="1557" t="str">
        <f t="shared" si="21"/>
        <v>n</v>
      </c>
      <c r="B118" s="1557"/>
      <c r="C118" s="146" t="str">
        <f>'DATA GPC'!$E$27</f>
        <v>--</v>
      </c>
      <c r="D118" s="359" t="str">
        <f>'DATA GPC'!$P$136</f>
        <v>--</v>
      </c>
      <c r="E118" s="613"/>
      <c r="F118" s="1825" t="str">
        <f>IFERROR('DATA GPC'!K885/'DATA GPC'!K604*'DATA GPC'!K$156,"--")</f>
        <v>--</v>
      </c>
      <c r="G118" s="1825" t="str">
        <f>IFERROR('DATA GPC'!L885/'DATA GPC'!L604*'DATA GPC'!L$156,"--")</f>
        <v>--</v>
      </c>
      <c r="H118" s="1825" t="str">
        <f>IFERROR('DATA GPC'!M885/'DATA GPC'!M604*'DATA GPC'!M$156,"--")</f>
        <v>--</v>
      </c>
      <c r="I118" s="1825" t="str">
        <f>IFERROR('DATA GPC'!N885/'DATA GPC'!N604*'DATA GPC'!N$156,"--")</f>
        <v>--</v>
      </c>
      <c r="J118" s="1825" t="str">
        <f>IFERROR('DATA GPC'!O885/'DATA GPC'!O604*'DATA GPC'!O$156,"--")</f>
        <v>--</v>
      </c>
      <c r="K118" s="1825" t="str">
        <f>IFERROR('DATA GPC'!P885/'DATA GPC'!P604*'DATA GPC'!P$156,"--")</f>
        <v>--</v>
      </c>
      <c r="L118" s="1364"/>
      <c r="M118" s="1825" t="str">
        <f t="shared" si="22"/>
        <v>--</v>
      </c>
      <c r="N118" s="1825" t="str">
        <f t="shared" si="23"/>
        <v>--</v>
      </c>
      <c r="O118" s="351"/>
      <c r="P118" s="1529"/>
      <c r="Q118" s="1565"/>
    </row>
    <row r="119" spans="1:17" ht="13.9">
      <c r="A119" s="1557" t="str">
        <f t="shared" si="21"/>
        <v>n</v>
      </c>
      <c r="B119" s="1557"/>
      <c r="C119" s="146" t="str">
        <f>'DATA GPC'!$E$28</f>
        <v>--</v>
      </c>
      <c r="D119" s="359" t="str">
        <f>'DATA GPC'!$P$137</f>
        <v>--</v>
      </c>
      <c r="E119" s="613"/>
      <c r="F119" s="1825" t="str">
        <f>IFERROR('DATA GPC'!K886/'DATA GPC'!K605*'DATA GPC'!K$156,"--")</f>
        <v>--</v>
      </c>
      <c r="G119" s="1825" t="str">
        <f>IFERROR('DATA GPC'!L886/'DATA GPC'!L605*'DATA GPC'!L$156,"--")</f>
        <v>--</v>
      </c>
      <c r="H119" s="1825" t="str">
        <f>IFERROR('DATA GPC'!M886/'DATA GPC'!M605*'DATA GPC'!M$156,"--")</f>
        <v>--</v>
      </c>
      <c r="I119" s="1825" t="str">
        <f>IFERROR('DATA GPC'!N886/'DATA GPC'!N605*'DATA GPC'!N$156,"--")</f>
        <v>--</v>
      </c>
      <c r="J119" s="1825" t="str">
        <f>IFERROR('DATA GPC'!O886/'DATA GPC'!O605*'DATA GPC'!O$156,"--")</f>
        <v>--</v>
      </c>
      <c r="K119" s="1825" t="str">
        <f>IFERROR('DATA GPC'!P886/'DATA GPC'!P605*'DATA GPC'!P$156,"--")</f>
        <v>--</v>
      </c>
      <c r="L119" s="1364"/>
      <c r="M119" s="1825" t="str">
        <f t="shared" si="22"/>
        <v>--</v>
      </c>
      <c r="N119" s="1825" t="str">
        <f t="shared" si="23"/>
        <v>--</v>
      </c>
      <c r="O119" s="351"/>
      <c r="P119" s="1529"/>
      <c r="Q119" s="1565"/>
    </row>
    <row r="120" spans="1:17" ht="13.9">
      <c r="A120" s="1557" t="str">
        <f t="shared" si="21"/>
        <v>n</v>
      </c>
      <c r="B120" s="1557"/>
      <c r="C120" s="146" t="str">
        <f>'DATA GPC'!$E$29</f>
        <v>--</v>
      </c>
      <c r="D120" s="359" t="str">
        <f>'DATA GPC'!$P$138</f>
        <v>--</v>
      </c>
      <c r="E120" s="613"/>
      <c r="F120" s="1825" t="str">
        <f>IFERROR('DATA GPC'!K887/'DATA GPC'!K606*'DATA GPC'!K$156,"--")</f>
        <v>--</v>
      </c>
      <c r="G120" s="1825" t="str">
        <f>IFERROR('DATA GPC'!L887/'DATA GPC'!L606*'DATA GPC'!L$156,"--")</f>
        <v>--</v>
      </c>
      <c r="H120" s="1825" t="str">
        <f>IFERROR('DATA GPC'!M887/'DATA GPC'!M606*'DATA GPC'!M$156,"--")</f>
        <v>--</v>
      </c>
      <c r="I120" s="1825" t="str">
        <f>IFERROR('DATA GPC'!N887/'DATA GPC'!N606*'DATA GPC'!N$156,"--")</f>
        <v>--</v>
      </c>
      <c r="J120" s="1825" t="str">
        <f>IFERROR('DATA GPC'!O887/'DATA GPC'!O606*'DATA GPC'!O$156,"--")</f>
        <v>--</v>
      </c>
      <c r="K120" s="1825" t="str">
        <f>IFERROR('DATA GPC'!P887/'DATA GPC'!P606*'DATA GPC'!P$156,"--")</f>
        <v>--</v>
      </c>
      <c r="L120" s="1364"/>
      <c r="M120" s="1825" t="str">
        <f t="shared" si="22"/>
        <v>--</v>
      </c>
      <c r="N120" s="1825" t="str">
        <f t="shared" si="23"/>
        <v>--</v>
      </c>
      <c r="O120" s="351"/>
      <c r="P120" s="1529"/>
      <c r="Q120" s="1565"/>
    </row>
    <row r="121" spans="1:17" ht="13.9">
      <c r="A121" s="1557" t="str">
        <f t="shared" si="21"/>
        <v>n</v>
      </c>
      <c r="B121" s="1557"/>
      <c r="C121" s="146" t="str">
        <f>'DATA GPC'!$E$30</f>
        <v>--</v>
      </c>
      <c r="D121" s="359" t="str">
        <f>'DATA GPC'!$P$139</f>
        <v>--</v>
      </c>
      <c r="E121" s="613"/>
      <c r="F121" s="1825" t="str">
        <f>IFERROR('DATA GPC'!K888/'DATA GPC'!K607*'DATA GPC'!K$156,"--")</f>
        <v>--</v>
      </c>
      <c r="G121" s="1825" t="str">
        <f>IFERROR('DATA GPC'!L888/'DATA GPC'!L607*'DATA GPC'!L$156,"--")</f>
        <v>--</v>
      </c>
      <c r="H121" s="1825" t="str">
        <f>IFERROR('DATA GPC'!M888/'DATA GPC'!M607*'DATA GPC'!M$156,"--")</f>
        <v>--</v>
      </c>
      <c r="I121" s="1825" t="str">
        <f>IFERROR('DATA GPC'!N888/'DATA GPC'!N607*'DATA GPC'!N$156,"--")</f>
        <v>--</v>
      </c>
      <c r="J121" s="1825" t="str">
        <f>IFERROR('DATA GPC'!O888/'DATA GPC'!O607*'DATA GPC'!O$156,"--")</f>
        <v>--</v>
      </c>
      <c r="K121" s="1825" t="str">
        <f>IFERROR('DATA GPC'!P888/'DATA GPC'!P607*'DATA GPC'!P$156,"--")</f>
        <v>--</v>
      </c>
      <c r="L121" s="1364"/>
      <c r="M121" s="1825" t="str">
        <f t="shared" si="22"/>
        <v>--</v>
      </c>
      <c r="N121" s="1825" t="str">
        <f t="shared" si="23"/>
        <v>--</v>
      </c>
      <c r="O121" s="351"/>
      <c r="P121" s="1529"/>
      <c r="Q121" s="1565"/>
    </row>
    <row r="122" spans="1:17" ht="13.9">
      <c r="A122" s="1557" t="str">
        <f t="shared" si="21"/>
        <v>n</v>
      </c>
      <c r="B122" s="1557"/>
      <c r="C122" s="146" t="str">
        <f>'DATA GPC'!$E$31</f>
        <v>--</v>
      </c>
      <c r="D122" s="359" t="str">
        <f>'DATA GPC'!$P$140</f>
        <v>--</v>
      </c>
      <c r="E122" s="677"/>
      <c r="F122" s="1825" t="str">
        <f>IFERROR('DATA GPC'!K889/'DATA GPC'!K608*'DATA GPC'!K$156,"--")</f>
        <v>--</v>
      </c>
      <c r="G122" s="1825" t="str">
        <f>IFERROR('DATA GPC'!L889/'DATA GPC'!L608*'DATA GPC'!L$156,"--")</f>
        <v>--</v>
      </c>
      <c r="H122" s="1825" t="str">
        <f>IFERROR('DATA GPC'!M889/'DATA GPC'!M608*'DATA GPC'!M$156,"--")</f>
        <v>--</v>
      </c>
      <c r="I122" s="1825" t="str">
        <f>IFERROR('DATA GPC'!N889/'DATA GPC'!N608*'DATA GPC'!N$156,"--")</f>
        <v>--</v>
      </c>
      <c r="J122" s="1825" t="str">
        <f>IFERROR('DATA GPC'!O889/'DATA GPC'!O608*'DATA GPC'!O$156,"--")</f>
        <v>--</v>
      </c>
      <c r="K122" s="1825" t="str">
        <f>IFERROR('DATA GPC'!P889/'DATA GPC'!P608*'DATA GPC'!P$156,"--")</f>
        <v>--</v>
      </c>
      <c r="L122" s="1364"/>
      <c r="M122" s="1825" t="str">
        <f t="shared" si="22"/>
        <v>--</v>
      </c>
      <c r="N122" s="1825" t="str">
        <f t="shared" si="23"/>
        <v>--</v>
      </c>
      <c r="O122" s="351"/>
      <c r="P122" s="1529"/>
      <c r="Q122" s="1565"/>
    </row>
    <row r="123" spans="1:17" ht="13.9">
      <c r="A123" s="1557" t="str">
        <f t="shared" si="21"/>
        <v>n</v>
      </c>
      <c r="B123" s="1557"/>
      <c r="C123" s="146" t="str">
        <f>'DATA GPC'!$E$32</f>
        <v>--</v>
      </c>
      <c r="D123" s="359" t="str">
        <f>'DATA GPC'!$P$141</f>
        <v>--</v>
      </c>
      <c r="E123" s="613"/>
      <c r="F123" s="1825" t="str">
        <f>IFERROR('DATA GPC'!K890/'DATA GPC'!K609*'DATA GPC'!K$156,"--")</f>
        <v>--</v>
      </c>
      <c r="G123" s="1825" t="str">
        <f>IFERROR('DATA GPC'!L890/'DATA GPC'!L609*'DATA GPC'!L$156,"--")</f>
        <v>--</v>
      </c>
      <c r="H123" s="1825" t="str">
        <f>IFERROR('DATA GPC'!M890/'DATA GPC'!M609*'DATA GPC'!M$156,"--")</f>
        <v>--</v>
      </c>
      <c r="I123" s="1825" t="str">
        <f>IFERROR('DATA GPC'!N890/'DATA GPC'!N609*'DATA GPC'!N$156,"--")</f>
        <v>--</v>
      </c>
      <c r="J123" s="1825" t="str">
        <f>IFERROR('DATA GPC'!O890/'DATA GPC'!O609*'DATA GPC'!O$156,"--")</f>
        <v>--</v>
      </c>
      <c r="K123" s="1825" t="str">
        <f>IFERROR('DATA GPC'!P890/'DATA GPC'!P609*'DATA GPC'!P$156,"--")</f>
        <v>--</v>
      </c>
      <c r="L123" s="1364"/>
      <c r="M123" s="1825" t="str">
        <f t="shared" si="22"/>
        <v>--</v>
      </c>
      <c r="N123" s="1825" t="str">
        <f t="shared" si="23"/>
        <v>--</v>
      </c>
      <c r="O123" s="351"/>
      <c r="P123" s="1529"/>
      <c r="Q123" s="1565"/>
    </row>
    <row r="124" spans="1:17" ht="13.9">
      <c r="A124" s="1557" t="str">
        <f t="shared" si="21"/>
        <v>n</v>
      </c>
      <c r="B124" s="1557"/>
      <c r="C124" s="146" t="str">
        <f>'DATA GPC'!$E$33</f>
        <v>--</v>
      </c>
      <c r="D124" s="359" t="str">
        <f>'DATA GPC'!$P$142</f>
        <v>--</v>
      </c>
      <c r="E124" s="613"/>
      <c r="F124" s="1825" t="str">
        <f>IFERROR('DATA GPC'!K891/'DATA GPC'!K610*'DATA GPC'!K$156,"--")</f>
        <v>--</v>
      </c>
      <c r="G124" s="1825" t="str">
        <f>IFERROR('DATA GPC'!L891/'DATA GPC'!L610*'DATA GPC'!L$156,"--")</f>
        <v>--</v>
      </c>
      <c r="H124" s="1825" t="str">
        <f>IFERROR('DATA GPC'!M891/'DATA GPC'!M610*'DATA GPC'!M$156,"--")</f>
        <v>--</v>
      </c>
      <c r="I124" s="1825" t="str">
        <f>IFERROR('DATA GPC'!N891/'DATA GPC'!N610*'DATA GPC'!N$156,"--")</f>
        <v>--</v>
      </c>
      <c r="J124" s="1825" t="str">
        <f>IFERROR('DATA GPC'!O891/'DATA GPC'!O610*'DATA GPC'!O$156,"--")</f>
        <v>--</v>
      </c>
      <c r="K124" s="1825" t="str">
        <f>IFERROR('DATA GPC'!P891/'DATA GPC'!P610*'DATA GPC'!P$156,"--")</f>
        <v>--</v>
      </c>
      <c r="L124" s="1364"/>
      <c r="M124" s="1825" t="str">
        <f t="shared" si="22"/>
        <v>--</v>
      </c>
      <c r="N124" s="1825" t="str">
        <f t="shared" si="23"/>
        <v>--</v>
      </c>
      <c r="O124" s="351"/>
      <c r="P124" s="1529"/>
      <c r="Q124" s="1565"/>
    </row>
    <row r="125" spans="1:17" ht="13.9">
      <c r="A125" s="1557" t="str">
        <f t="shared" si="21"/>
        <v>n</v>
      </c>
      <c r="B125" s="1557"/>
      <c r="C125" s="146" t="str">
        <f>'DATA GPC'!$E$34</f>
        <v>--</v>
      </c>
      <c r="D125" s="359" t="str">
        <f>'DATA GPC'!$P$143</f>
        <v>--</v>
      </c>
      <c r="E125" s="613"/>
      <c r="F125" s="1825" t="str">
        <f>IFERROR('DATA GPC'!K892/'DATA GPC'!K611*'DATA GPC'!K$156,"--")</f>
        <v>--</v>
      </c>
      <c r="G125" s="1825" t="str">
        <f>IFERROR('DATA GPC'!L892/'DATA GPC'!L611*'DATA GPC'!L$156,"--")</f>
        <v>--</v>
      </c>
      <c r="H125" s="1825" t="str">
        <f>IFERROR('DATA GPC'!M892/'DATA GPC'!M611*'DATA GPC'!M$156,"--")</f>
        <v>--</v>
      </c>
      <c r="I125" s="1825" t="str">
        <f>IFERROR('DATA GPC'!N892/'DATA GPC'!N611*'DATA GPC'!N$156,"--")</f>
        <v>--</v>
      </c>
      <c r="J125" s="1825" t="str">
        <f>IFERROR('DATA GPC'!O892/'DATA GPC'!O611*'DATA GPC'!O$156,"--")</f>
        <v>--</v>
      </c>
      <c r="K125" s="1825" t="str">
        <f>IFERROR('DATA GPC'!P892/'DATA GPC'!P611*'DATA GPC'!P$156,"--")</f>
        <v>--</v>
      </c>
      <c r="L125" s="1364"/>
      <c r="M125" s="1825" t="str">
        <f t="shared" si="22"/>
        <v>--</v>
      </c>
      <c r="N125" s="1825" t="str">
        <f t="shared" si="23"/>
        <v>--</v>
      </c>
      <c r="O125" s="351"/>
      <c r="P125" s="1529"/>
      <c r="Q125" s="1565"/>
    </row>
    <row r="126" spans="1:17" ht="13.9">
      <c r="A126" s="1557" t="str">
        <f t="shared" si="21"/>
        <v>n</v>
      </c>
      <c r="B126" s="1557"/>
      <c r="C126" s="146" t="str">
        <f>'DATA GPC'!$E$35</f>
        <v>--</v>
      </c>
      <c r="D126" s="359" t="str">
        <f>'DATA GPC'!$P$144</f>
        <v>--</v>
      </c>
      <c r="E126" s="613"/>
      <c r="F126" s="1825" t="str">
        <f>IFERROR('DATA GPC'!K893/'DATA GPC'!K612*'DATA GPC'!K$156,"--")</f>
        <v>--</v>
      </c>
      <c r="G126" s="1825" t="str">
        <f>IFERROR('DATA GPC'!L893/'DATA GPC'!L612*'DATA GPC'!L$156,"--")</f>
        <v>--</v>
      </c>
      <c r="H126" s="1825" t="str">
        <f>IFERROR('DATA GPC'!M893/'DATA GPC'!M612*'DATA GPC'!M$156,"--")</f>
        <v>--</v>
      </c>
      <c r="I126" s="1825" t="str">
        <f>IFERROR('DATA GPC'!N893/'DATA GPC'!N612*'DATA GPC'!N$156,"--")</f>
        <v>--</v>
      </c>
      <c r="J126" s="1825" t="str">
        <f>IFERROR('DATA GPC'!O893/'DATA GPC'!O612*'DATA GPC'!O$156,"--")</f>
        <v>--</v>
      </c>
      <c r="K126" s="1825" t="str">
        <f>IFERROR('DATA GPC'!P893/'DATA GPC'!P612*'DATA GPC'!P$156,"--")</f>
        <v>--</v>
      </c>
      <c r="L126" s="1364"/>
      <c r="M126" s="1825" t="str">
        <f t="shared" si="22"/>
        <v>--</v>
      </c>
      <c r="N126" s="1825" t="str">
        <f t="shared" si="23"/>
        <v>--</v>
      </c>
      <c r="O126" s="351"/>
      <c r="P126" s="1529"/>
      <c r="Q126" s="1565"/>
    </row>
    <row r="127" spans="1:17" ht="13.9">
      <c r="A127" s="1557" t="str">
        <f t="shared" si="21"/>
        <v>n</v>
      </c>
      <c r="B127" s="1557"/>
      <c r="C127" s="146" t="str">
        <f>'DATA GPC'!$E$36</f>
        <v>--</v>
      </c>
      <c r="D127" s="359" t="str">
        <f>'DATA GPC'!$P$145</f>
        <v>--</v>
      </c>
      <c r="E127" s="613"/>
      <c r="F127" s="1825" t="str">
        <f>IFERROR('DATA GPC'!K894/'DATA GPC'!K613*'DATA GPC'!K$156,"--")</f>
        <v>--</v>
      </c>
      <c r="G127" s="1825" t="str">
        <f>IFERROR('DATA GPC'!L894/'DATA GPC'!L613*'DATA GPC'!L$156,"--")</f>
        <v>--</v>
      </c>
      <c r="H127" s="1825" t="str">
        <f>IFERROR('DATA GPC'!M894/'DATA GPC'!M613*'DATA GPC'!M$156,"--")</f>
        <v>--</v>
      </c>
      <c r="I127" s="1825" t="str">
        <f>IFERROR('DATA GPC'!N894/'DATA GPC'!N613*'DATA GPC'!N$156,"--")</f>
        <v>--</v>
      </c>
      <c r="J127" s="1825" t="str">
        <f>IFERROR('DATA GPC'!O894/'DATA GPC'!O613*'DATA GPC'!O$156,"--")</f>
        <v>--</v>
      </c>
      <c r="K127" s="1825" t="str">
        <f>IFERROR('DATA GPC'!P894/'DATA GPC'!P613*'DATA GPC'!P$156,"--")</f>
        <v>--</v>
      </c>
      <c r="L127" s="1364"/>
      <c r="M127" s="1825" t="str">
        <f t="shared" si="22"/>
        <v>--</v>
      </c>
      <c r="N127" s="1825" t="str">
        <f t="shared" si="23"/>
        <v>--</v>
      </c>
      <c r="O127" s="351"/>
      <c r="P127" s="1529"/>
      <c r="Q127" s="1565"/>
    </row>
    <row r="128" spans="1:17" ht="13.9">
      <c r="A128" s="1557" t="str">
        <f t="shared" si="21"/>
        <v>n</v>
      </c>
      <c r="B128" s="1557"/>
      <c r="C128" s="146" t="str">
        <f>'DATA GPC'!$E$37</f>
        <v>--</v>
      </c>
      <c r="D128" s="359" t="str">
        <f>'DATA GPC'!$P$146</f>
        <v>--</v>
      </c>
      <c r="E128" s="613"/>
      <c r="F128" s="1825" t="str">
        <f>IFERROR('DATA GPC'!K895/'DATA GPC'!K614*'DATA GPC'!K$156,"--")</f>
        <v>--</v>
      </c>
      <c r="G128" s="1825" t="str">
        <f>IFERROR('DATA GPC'!L895/'DATA GPC'!L614*'DATA GPC'!L$156,"--")</f>
        <v>--</v>
      </c>
      <c r="H128" s="1825" t="str">
        <f>IFERROR('DATA GPC'!M895/'DATA GPC'!M614*'DATA GPC'!M$156,"--")</f>
        <v>--</v>
      </c>
      <c r="I128" s="1825" t="str">
        <f>IFERROR('DATA GPC'!N895/'DATA GPC'!N614*'DATA GPC'!N$156,"--")</f>
        <v>--</v>
      </c>
      <c r="J128" s="1825" t="str">
        <f>IFERROR('DATA GPC'!O895/'DATA GPC'!O614*'DATA GPC'!O$156,"--")</f>
        <v>--</v>
      </c>
      <c r="K128" s="1825" t="str">
        <f>IFERROR('DATA GPC'!P895/'DATA GPC'!P614*'DATA GPC'!P$156,"--")</f>
        <v>--</v>
      </c>
      <c r="L128" s="1364"/>
      <c r="M128" s="1825" t="str">
        <f t="shared" si="22"/>
        <v>--</v>
      </c>
      <c r="N128" s="1825" t="str">
        <f t="shared" si="23"/>
        <v>--</v>
      </c>
      <c r="O128" s="351"/>
      <c r="P128" s="1529"/>
      <c r="Q128" s="1565"/>
    </row>
    <row r="129" spans="1:17" ht="13.9">
      <c r="A129" s="1557" t="str">
        <f t="shared" si="21"/>
        <v>n</v>
      </c>
      <c r="B129" s="1557"/>
      <c r="C129" s="146" t="str">
        <f>'DATA GPC'!$E$38</f>
        <v>--</v>
      </c>
      <c r="D129" s="359" t="str">
        <f>'DATA GPC'!$P$147</f>
        <v>--</v>
      </c>
      <c r="E129" s="613"/>
      <c r="F129" s="1825" t="str">
        <f>IFERROR('DATA GPC'!K896/'DATA GPC'!K615*'DATA GPC'!K$156,"--")</f>
        <v>--</v>
      </c>
      <c r="G129" s="1825" t="str">
        <f>IFERROR('DATA GPC'!L896/'DATA GPC'!L615*'DATA GPC'!L$156,"--")</f>
        <v>--</v>
      </c>
      <c r="H129" s="1825" t="str">
        <f>IFERROR('DATA GPC'!M896/'DATA GPC'!M615*'DATA GPC'!M$156,"--")</f>
        <v>--</v>
      </c>
      <c r="I129" s="1825" t="str">
        <f>IFERROR('DATA GPC'!N896/'DATA GPC'!N615*'DATA GPC'!N$156,"--")</f>
        <v>--</v>
      </c>
      <c r="J129" s="1825" t="str">
        <f>IFERROR('DATA GPC'!O896/'DATA GPC'!O615*'DATA GPC'!O$156,"--")</f>
        <v>--</v>
      </c>
      <c r="K129" s="1825" t="str">
        <f>IFERROR('DATA GPC'!P896/'DATA GPC'!P615*'DATA GPC'!P$156,"--")</f>
        <v>--</v>
      </c>
      <c r="L129" s="1364"/>
      <c r="M129" s="1825" t="str">
        <f t="shared" si="22"/>
        <v>--</v>
      </c>
      <c r="N129" s="1825" t="str">
        <f t="shared" si="23"/>
        <v>--</v>
      </c>
      <c r="O129" s="351"/>
      <c r="P129" s="1529"/>
      <c r="Q129" s="1565"/>
    </row>
    <row r="130" spans="1:17" ht="13.9">
      <c r="A130" s="1557" t="str">
        <f t="shared" si="21"/>
        <v>n</v>
      </c>
      <c r="B130" s="1557"/>
      <c r="C130" s="146" t="str">
        <f>'DATA GPC'!$E$39</f>
        <v>--</v>
      </c>
      <c r="D130" s="359" t="str">
        <f>'DATA GPC'!$P$148</f>
        <v>--</v>
      </c>
      <c r="E130" s="613"/>
      <c r="F130" s="1825" t="str">
        <f>IFERROR('DATA GPC'!K897/'DATA GPC'!K616*'DATA GPC'!K$156,"--")</f>
        <v>--</v>
      </c>
      <c r="G130" s="1825" t="str">
        <f>IFERROR('DATA GPC'!L897/'DATA GPC'!L616*'DATA GPC'!L$156,"--")</f>
        <v>--</v>
      </c>
      <c r="H130" s="1825" t="str">
        <f>IFERROR('DATA GPC'!M897/'DATA GPC'!M616*'DATA GPC'!M$156,"--")</f>
        <v>--</v>
      </c>
      <c r="I130" s="1825" t="str">
        <f>IFERROR('DATA GPC'!N897/'DATA GPC'!N616*'DATA GPC'!N$156,"--")</f>
        <v>--</v>
      </c>
      <c r="J130" s="1825" t="str">
        <f>IFERROR('DATA GPC'!O897/'DATA GPC'!O616*'DATA GPC'!O$156,"--")</f>
        <v>--</v>
      </c>
      <c r="K130" s="1825" t="str">
        <f>IFERROR('DATA GPC'!P897/'DATA GPC'!P616*'DATA GPC'!P$156,"--")</f>
        <v>--</v>
      </c>
      <c r="L130" s="1364"/>
      <c r="M130" s="1825" t="str">
        <f t="shared" si="22"/>
        <v>--</v>
      </c>
      <c r="N130" s="1825" t="str">
        <f t="shared" si="23"/>
        <v>--</v>
      </c>
      <c r="O130" s="351"/>
      <c r="P130" s="1529"/>
      <c r="Q130" s="1565"/>
    </row>
    <row r="131" spans="1:17" ht="13.9">
      <c r="A131" s="1557" t="str">
        <f t="shared" si="21"/>
        <v>n</v>
      </c>
      <c r="B131" s="1557"/>
      <c r="C131" s="146" t="str">
        <f>'DATA GPC'!$E$40</f>
        <v>--</v>
      </c>
      <c r="D131" s="359" t="str">
        <f>'DATA GPC'!$P$149</f>
        <v>--</v>
      </c>
      <c r="E131" s="613"/>
      <c r="F131" s="1825" t="str">
        <f>IFERROR('DATA GPC'!K898/'DATA GPC'!K617*'DATA GPC'!K$156,"--")</f>
        <v>--</v>
      </c>
      <c r="G131" s="1825" t="str">
        <f>IFERROR('DATA GPC'!L898/'DATA GPC'!L617*'DATA GPC'!L$156,"--")</f>
        <v>--</v>
      </c>
      <c r="H131" s="1825" t="str">
        <f>IFERROR('DATA GPC'!M898/'DATA GPC'!M617*'DATA GPC'!M$156,"--")</f>
        <v>--</v>
      </c>
      <c r="I131" s="1825" t="str">
        <f>IFERROR('DATA GPC'!N898/'DATA GPC'!N617*'DATA GPC'!N$156,"--")</f>
        <v>--</v>
      </c>
      <c r="J131" s="1825" t="str">
        <f>IFERROR('DATA GPC'!O898/'DATA GPC'!O617*'DATA GPC'!O$156,"--")</f>
        <v>--</v>
      </c>
      <c r="K131" s="1825" t="str">
        <f>IFERROR('DATA GPC'!P898/'DATA GPC'!P617*'DATA GPC'!P$156,"--")</f>
        <v>--</v>
      </c>
      <c r="L131" s="1364"/>
      <c r="M131" s="1825" t="str">
        <f t="shared" si="22"/>
        <v>--</v>
      </c>
      <c r="N131" s="1825" t="str">
        <f t="shared" si="23"/>
        <v>--</v>
      </c>
      <c r="O131" s="351"/>
      <c r="P131" s="1529"/>
      <c r="Q131" s="1565"/>
    </row>
    <row r="132" spans="1:17" ht="13.9">
      <c r="A132" s="1557" t="str">
        <f t="shared" si="21"/>
        <v>n</v>
      </c>
      <c r="B132" s="1557"/>
      <c r="C132" s="146" t="str">
        <f>'DATA GPC'!$E$41</f>
        <v>--</v>
      </c>
      <c r="D132" s="359" t="str">
        <f>'DATA GPC'!$P$150</f>
        <v>--</v>
      </c>
      <c r="E132" s="613"/>
      <c r="F132" s="1825" t="str">
        <f>IFERROR('DATA GPC'!K899/'DATA GPC'!K618*'DATA GPC'!K$156,"--")</f>
        <v>--</v>
      </c>
      <c r="G132" s="1825" t="str">
        <f>IFERROR('DATA GPC'!L899/'DATA GPC'!L618*'DATA GPC'!L$156,"--")</f>
        <v>--</v>
      </c>
      <c r="H132" s="1825" t="str">
        <f>IFERROR('DATA GPC'!M899/'DATA GPC'!M618*'DATA GPC'!M$156,"--")</f>
        <v>--</v>
      </c>
      <c r="I132" s="1825" t="str">
        <f>IFERROR('DATA GPC'!N899/'DATA GPC'!N618*'DATA GPC'!N$156,"--")</f>
        <v>--</v>
      </c>
      <c r="J132" s="1825" t="str">
        <f>IFERROR('DATA GPC'!O899/'DATA GPC'!O618*'DATA GPC'!O$156,"--")</f>
        <v>--</v>
      </c>
      <c r="K132" s="1825" t="str">
        <f>IFERROR('DATA GPC'!P899/'DATA GPC'!P618*'DATA GPC'!P$156,"--")</f>
        <v>--</v>
      </c>
      <c r="L132" s="1364"/>
      <c r="M132" s="1825" t="str">
        <f t="shared" si="22"/>
        <v>--</v>
      </c>
      <c r="N132" s="1825" t="str">
        <f t="shared" si="23"/>
        <v>--</v>
      </c>
      <c r="O132" s="351"/>
      <c r="P132" s="1529"/>
      <c r="Q132" s="1565"/>
    </row>
    <row r="133" spans="1:17" ht="13.9">
      <c r="A133" s="1557" t="str">
        <f t="shared" si="21"/>
        <v>n</v>
      </c>
      <c r="B133" s="1557"/>
      <c r="C133" s="146" t="str">
        <f>'DATA GPC'!$E$42</f>
        <v>--</v>
      </c>
      <c r="D133" s="359" t="str">
        <f>'DATA GPC'!$P$151</f>
        <v>--</v>
      </c>
      <c r="E133" s="613"/>
      <c r="F133" s="1825" t="str">
        <f>IFERROR('DATA GPC'!K900/'DATA GPC'!K619*'DATA GPC'!K$156,"--")</f>
        <v>--</v>
      </c>
      <c r="G133" s="1825" t="str">
        <f>IFERROR('DATA GPC'!L900/'DATA GPC'!L619*'DATA GPC'!L$156,"--")</f>
        <v>--</v>
      </c>
      <c r="H133" s="1825" t="str">
        <f>IFERROR('DATA GPC'!M900/'DATA GPC'!M619*'DATA GPC'!M$156,"--")</f>
        <v>--</v>
      </c>
      <c r="I133" s="1825" t="str">
        <f>IFERROR('DATA GPC'!N900/'DATA GPC'!N619*'DATA GPC'!N$156,"--")</f>
        <v>--</v>
      </c>
      <c r="J133" s="1825" t="str">
        <f>IFERROR('DATA GPC'!O900/'DATA GPC'!O619*'DATA GPC'!O$156,"--")</f>
        <v>--</v>
      </c>
      <c r="K133" s="1825" t="str">
        <f>IFERROR('DATA GPC'!P900/'DATA GPC'!P619*'DATA GPC'!P$156,"--")</f>
        <v>--</v>
      </c>
      <c r="L133" s="1364"/>
      <c r="M133" s="1825" t="str">
        <f t="shared" si="22"/>
        <v>--</v>
      </c>
      <c r="N133" s="1825" t="str">
        <f t="shared" si="23"/>
        <v>--</v>
      </c>
      <c r="O133" s="351"/>
      <c r="P133" s="1529"/>
      <c r="Q133" s="1565"/>
    </row>
    <row r="134" spans="1:17" ht="13.9">
      <c r="A134" s="1557" t="str">
        <f t="shared" si="21"/>
        <v>n</v>
      </c>
      <c r="B134" s="1557"/>
      <c r="C134" s="146" t="str">
        <f>'DATA GPC'!$E$43</f>
        <v>--</v>
      </c>
      <c r="D134" s="359" t="str">
        <f>'DATA GPC'!$P$152</f>
        <v>--</v>
      </c>
      <c r="E134" s="613"/>
      <c r="F134" s="1825" t="str">
        <f>IFERROR('DATA GPC'!K901/'DATA GPC'!K620*'DATA GPC'!K$156,"--")</f>
        <v>--</v>
      </c>
      <c r="G134" s="1825" t="str">
        <f>IFERROR('DATA GPC'!L901/'DATA GPC'!L620*'DATA GPC'!L$156,"--")</f>
        <v>--</v>
      </c>
      <c r="H134" s="1825" t="str">
        <f>IFERROR('DATA GPC'!M901/'DATA GPC'!M620*'DATA GPC'!M$156,"--")</f>
        <v>--</v>
      </c>
      <c r="I134" s="1825" t="str">
        <f>IFERROR('DATA GPC'!N901/'DATA GPC'!N620*'DATA GPC'!N$156,"--")</f>
        <v>--</v>
      </c>
      <c r="J134" s="1825" t="str">
        <f>IFERROR('DATA GPC'!O901/'DATA GPC'!O620*'DATA GPC'!O$156,"--")</f>
        <v>--</v>
      </c>
      <c r="K134" s="1825" t="str">
        <f>IFERROR('DATA GPC'!P901/'DATA GPC'!P620*'DATA GPC'!P$156,"--")</f>
        <v>--</v>
      </c>
      <c r="L134" s="1364"/>
      <c r="M134" s="1825" t="str">
        <f t="shared" si="22"/>
        <v>--</v>
      </c>
      <c r="N134" s="1825" t="str">
        <f t="shared" si="23"/>
        <v>--</v>
      </c>
      <c r="O134" s="351"/>
      <c r="P134" s="1529"/>
      <c r="Q134" s="1565"/>
    </row>
    <row r="135" spans="1:17" ht="13.9">
      <c r="A135" s="1557" t="str">
        <f t="shared" si="21"/>
        <v>n</v>
      </c>
      <c r="B135" s="1557"/>
      <c r="C135" s="146" t="str">
        <f>'DATA GPC'!$E$44</f>
        <v>--</v>
      </c>
      <c r="D135" s="359" t="str">
        <f>'DATA GPC'!$P$153</f>
        <v>--</v>
      </c>
      <c r="E135" s="613"/>
      <c r="F135" s="1825" t="str">
        <f>IFERROR('DATA GPC'!K902/'DATA GPC'!K621*'DATA GPC'!K$156,"--")</f>
        <v>--</v>
      </c>
      <c r="G135" s="1825" t="str">
        <f>IFERROR('DATA GPC'!L902/'DATA GPC'!L621*'DATA GPC'!L$156,"--")</f>
        <v>--</v>
      </c>
      <c r="H135" s="1825" t="str">
        <f>IFERROR('DATA GPC'!M902/'DATA GPC'!M621*'DATA GPC'!M$156,"--")</f>
        <v>--</v>
      </c>
      <c r="I135" s="1825" t="str">
        <f>IFERROR('DATA GPC'!N902/'DATA GPC'!N621*'DATA GPC'!N$156,"--")</f>
        <v>--</v>
      </c>
      <c r="J135" s="1825" t="str">
        <f>IFERROR('DATA GPC'!O902/'DATA GPC'!O621*'DATA GPC'!O$156,"--")</f>
        <v>--</v>
      </c>
      <c r="K135" s="1825" t="str">
        <f>IFERROR('DATA GPC'!P902/'DATA GPC'!P621*'DATA GPC'!P$156,"--")</f>
        <v>--</v>
      </c>
      <c r="L135" s="1364"/>
      <c r="M135" s="1825" t="str">
        <f t="shared" si="22"/>
        <v>--</v>
      </c>
      <c r="N135" s="1825" t="str">
        <f t="shared" si="23"/>
        <v>--</v>
      </c>
      <c r="O135" s="351"/>
      <c r="P135" s="1529"/>
      <c r="Q135" s="1565"/>
    </row>
    <row r="136" spans="1:17" ht="13.9">
      <c r="A136" s="1557"/>
      <c r="B136" s="1557"/>
      <c r="C136" s="1542"/>
      <c r="D136" s="1542"/>
      <c r="E136" s="665"/>
      <c r="F136" s="1542"/>
      <c r="G136" s="1542"/>
      <c r="H136" s="1542"/>
      <c r="I136" s="1542"/>
      <c r="J136" s="1542"/>
      <c r="K136" s="1542"/>
      <c r="L136" s="1542"/>
      <c r="M136" s="503"/>
      <c r="N136" s="351" t="s">
        <v>1667</v>
      </c>
      <c r="O136" s="352"/>
      <c r="P136" s="1529"/>
      <c r="Q136" s="1565"/>
    </row>
    <row r="137" spans="1:17" ht="13.9">
      <c r="A137" s="1557"/>
      <c r="B137" s="1557"/>
      <c r="C137" s="1542"/>
      <c r="D137" s="1543" t="s">
        <v>1275</v>
      </c>
      <c r="E137" s="2060"/>
      <c r="F137" s="1826">
        <f t="shared" ref="F137:K137" si="24">IFERROR(MAX(F111:F135),"n/a")</f>
        <v>0</v>
      </c>
      <c r="G137" s="1826">
        <f t="shared" si="24"/>
        <v>0</v>
      </c>
      <c r="H137" s="1826">
        <f t="shared" si="24"/>
        <v>0</v>
      </c>
      <c r="I137" s="1826">
        <f t="shared" si="24"/>
        <v>0</v>
      </c>
      <c r="J137" s="1826">
        <f t="shared" si="24"/>
        <v>0</v>
      </c>
      <c r="K137" s="1826">
        <f t="shared" si="24"/>
        <v>0</v>
      </c>
      <c r="L137" s="1826"/>
      <c r="M137" s="1826">
        <f>IFERROR(MAX(M111:M135),"n/a")</f>
        <v>0</v>
      </c>
      <c r="N137" s="1826">
        <f>IFERROR(MAX(N111:N135),"n/a")</f>
        <v>0</v>
      </c>
      <c r="O137" s="2060"/>
      <c r="P137" s="1529"/>
      <c r="Q137" s="1565"/>
    </row>
    <row r="138" spans="1:17" ht="13.9">
      <c r="A138" s="1557"/>
      <c r="B138" s="1557"/>
      <c r="C138" s="1542"/>
      <c r="D138" s="1543" t="s">
        <v>1469</v>
      </c>
      <c r="E138" s="2060"/>
      <c r="F138" s="1827" t="str">
        <f t="shared" ref="F138:K138" si="25">IFERROR(QUARTILE(F111:F135,3),"n/a")</f>
        <v>n/a</v>
      </c>
      <c r="G138" s="1827" t="str">
        <f t="shared" si="25"/>
        <v>n/a</v>
      </c>
      <c r="H138" s="1827" t="str">
        <f t="shared" si="25"/>
        <v>n/a</v>
      </c>
      <c r="I138" s="1827" t="str">
        <f t="shared" si="25"/>
        <v>n/a</v>
      </c>
      <c r="J138" s="1827" t="str">
        <f t="shared" si="25"/>
        <v>n/a</v>
      </c>
      <c r="K138" s="1827" t="str">
        <f t="shared" si="25"/>
        <v>n/a</v>
      </c>
      <c r="L138" s="1827"/>
      <c r="M138" s="1827" t="str">
        <f>IFERROR(QUARTILE(M111:M135,3),"n/a")</f>
        <v>n/a</v>
      </c>
      <c r="N138" s="1827" t="str">
        <f>IFERROR(QUARTILE(N111:N135,3),"n/a")</f>
        <v>n/a</v>
      </c>
      <c r="O138" s="2060"/>
      <c r="P138" s="1529"/>
      <c r="Q138" s="1565"/>
    </row>
    <row r="139" spans="1:17" ht="13.9">
      <c r="A139" s="1557"/>
      <c r="B139" s="1557"/>
      <c r="C139" s="1542"/>
      <c r="D139" s="1543" t="s">
        <v>1157</v>
      </c>
      <c r="E139" s="2060"/>
      <c r="F139" s="1827" t="str">
        <f t="shared" ref="F139:K139" si="26">IFERROR(AVERAGE(F111:F135),"n/a")</f>
        <v>n/a</v>
      </c>
      <c r="G139" s="1827" t="str">
        <f t="shared" si="26"/>
        <v>n/a</v>
      </c>
      <c r="H139" s="1827" t="str">
        <f t="shared" si="26"/>
        <v>n/a</v>
      </c>
      <c r="I139" s="1827" t="str">
        <f t="shared" si="26"/>
        <v>n/a</v>
      </c>
      <c r="J139" s="1827" t="str">
        <f t="shared" si="26"/>
        <v>n/a</v>
      </c>
      <c r="K139" s="1827" t="str">
        <f t="shared" si="26"/>
        <v>n/a</v>
      </c>
      <c r="L139" s="1827"/>
      <c r="M139" s="1827" t="str">
        <f>IFERROR(AVERAGE(M111:M135),"n/a")</f>
        <v>n/a</v>
      </c>
      <c r="N139" s="1827" t="str">
        <f>IFERROR(AVERAGE(N111:N135),"n/a")</f>
        <v>n/a</v>
      </c>
      <c r="O139" s="2060"/>
      <c r="P139" s="1529"/>
      <c r="Q139" s="1565"/>
    </row>
    <row r="140" spans="1:17" ht="13.9">
      <c r="A140" s="1557"/>
      <c r="B140" s="1557"/>
      <c r="C140" s="1542"/>
      <c r="D140" s="1543" t="s">
        <v>1158</v>
      </c>
      <c r="E140" s="2060"/>
      <c r="F140" s="1827" t="str">
        <f t="shared" ref="F140:K140" si="27">IFERROR(MEDIAN(F111:F135),"n/a")</f>
        <v>n/a</v>
      </c>
      <c r="G140" s="1827" t="str">
        <f t="shared" si="27"/>
        <v>n/a</v>
      </c>
      <c r="H140" s="1827" t="str">
        <f t="shared" si="27"/>
        <v>n/a</v>
      </c>
      <c r="I140" s="1827" t="str">
        <f t="shared" si="27"/>
        <v>n/a</v>
      </c>
      <c r="J140" s="1827" t="str">
        <f t="shared" si="27"/>
        <v>n/a</v>
      </c>
      <c r="K140" s="1827" t="str">
        <f t="shared" si="27"/>
        <v>n/a</v>
      </c>
      <c r="L140" s="1827"/>
      <c r="M140" s="1827" t="str">
        <f>IFERROR(MEDIAN(M111:M135),"n/a")</f>
        <v>n/a</v>
      </c>
      <c r="N140" s="1827" t="str">
        <f>IFERROR(MEDIAN(N111:N135),"n/a")</f>
        <v>n/a</v>
      </c>
      <c r="O140" s="2060"/>
      <c r="P140" s="353"/>
      <c r="Q140" s="605"/>
    </row>
    <row r="141" spans="1:17" ht="13.9">
      <c r="A141" s="1557"/>
      <c r="B141" s="1557"/>
      <c r="C141" s="1542"/>
      <c r="D141" s="1543" t="s">
        <v>1470</v>
      </c>
      <c r="E141" s="2060"/>
      <c r="F141" s="1827" t="str">
        <f t="shared" ref="F141:K141" si="28">IFERROR(QUARTILE(F111:F135,1),"n/a")</f>
        <v>n/a</v>
      </c>
      <c r="G141" s="1827" t="str">
        <f t="shared" si="28"/>
        <v>n/a</v>
      </c>
      <c r="H141" s="1827" t="str">
        <f t="shared" si="28"/>
        <v>n/a</v>
      </c>
      <c r="I141" s="1827" t="str">
        <f t="shared" si="28"/>
        <v>n/a</v>
      </c>
      <c r="J141" s="1827" t="str">
        <f t="shared" si="28"/>
        <v>n/a</v>
      </c>
      <c r="K141" s="1827" t="str">
        <f t="shared" si="28"/>
        <v>n/a</v>
      </c>
      <c r="L141" s="1827"/>
      <c r="M141" s="1827" t="str">
        <f>IFERROR(QUARTILE(M111:M135,1),"n/a")</f>
        <v>n/a</v>
      </c>
      <c r="N141" s="1827" t="str">
        <f>IFERROR(QUARTILE(N111:N135,1),"n/a")</f>
        <v>n/a</v>
      </c>
      <c r="O141" s="2060"/>
      <c r="P141" s="353"/>
      <c r="Q141" s="605"/>
    </row>
    <row r="142" spans="1:17" ht="13.9">
      <c r="A142" s="1557"/>
      <c r="B142" s="1557"/>
      <c r="C142" s="1542"/>
      <c r="D142" s="1543" t="s">
        <v>1273</v>
      </c>
      <c r="E142" s="2060"/>
      <c r="F142" s="1828">
        <f t="shared" ref="F142:K142" si="29">IFERROR(MIN(F111:F135),"n/a")</f>
        <v>0</v>
      </c>
      <c r="G142" s="1828">
        <f t="shared" si="29"/>
        <v>0</v>
      </c>
      <c r="H142" s="1828">
        <f t="shared" si="29"/>
        <v>0</v>
      </c>
      <c r="I142" s="1828">
        <f t="shared" si="29"/>
        <v>0</v>
      </c>
      <c r="J142" s="1828">
        <f t="shared" si="29"/>
        <v>0</v>
      </c>
      <c r="K142" s="1828">
        <f t="shared" si="29"/>
        <v>0</v>
      </c>
      <c r="L142" s="1828"/>
      <c r="M142" s="1828">
        <f>IFERROR(MIN(M111:M135),"n/a")</f>
        <v>0</v>
      </c>
      <c r="N142" s="1828">
        <f>IFERROR(MIN(N111:N135),"n/a")</f>
        <v>0</v>
      </c>
      <c r="O142" s="2060"/>
      <c r="P142" s="1529"/>
      <c r="Q142" s="1565"/>
    </row>
    <row r="143" spans="1:17" ht="13.9">
      <c r="A143" s="1557"/>
      <c r="B143" s="1557"/>
      <c r="C143" s="1831" t="s">
        <v>1471</v>
      </c>
      <c r="D143" s="1543"/>
      <c r="E143" s="2060"/>
      <c r="F143" s="1556"/>
      <c r="G143" s="1556"/>
      <c r="H143" s="1556"/>
      <c r="I143" s="1556"/>
      <c r="J143" s="1556"/>
      <c r="K143" s="1556"/>
      <c r="L143" s="1556"/>
      <c r="M143" s="1556"/>
      <c r="N143" s="1556"/>
      <c r="O143" s="2060"/>
      <c r="P143" s="1529"/>
      <c r="Q143" s="1565"/>
    </row>
    <row r="144" spans="1:17" ht="13.9">
      <c r="A144" s="1557"/>
      <c r="B144" s="1557"/>
      <c r="C144" s="1542" t="str">
        <f>ClientName</f>
        <v/>
      </c>
      <c r="D144" s="359">
        <f>LFQLTM</f>
        <v>42643</v>
      </c>
      <c r="E144" s="2060"/>
      <c r="F144" s="1825" t="str">
        <f>IFERROR('DATA GPC'!K877/'DATA GPC'!K565*'DATA GPC'!K$156,"--")</f>
        <v>--</v>
      </c>
      <c r="G144" s="1825" t="str">
        <f>IFERROR('DATA GPC'!L877/'DATA GPC'!L565*'DATA GPC'!L$156,"--")</f>
        <v>--</v>
      </c>
      <c r="H144" s="1825" t="str">
        <f>IFERROR('DATA GPC'!M877/'DATA GPC'!M565*'DATA GPC'!M$156,"--")</f>
        <v>--</v>
      </c>
      <c r="I144" s="1825" t="str">
        <f>IFERROR('DATA GPC'!N877/'DATA GPC'!N565*'DATA GPC'!N$156,"--")</f>
        <v>--</v>
      </c>
      <c r="J144" s="1825" t="str">
        <f>IFERROR('DATA GPC'!O877/'DATA GPC'!O565*'DATA GPC'!O$156,"--")</f>
        <v>--</v>
      </c>
      <c r="K144" s="1825" t="str">
        <f>IFERROR('DATA GPC'!P877/'DATA GPC'!P565*'DATA GPC'!P$156,"--")</f>
        <v>--</v>
      </c>
      <c r="L144" s="1556"/>
      <c r="M144" s="1825" t="str">
        <f>IFERROR(AVERAGE(H144:J144),"--")</f>
        <v>--</v>
      </c>
      <c r="N144" s="1825" t="str">
        <f>IFERROR(AVERAGE(F144:J144),"--")</f>
        <v>--</v>
      </c>
      <c r="O144" s="2060"/>
      <c r="P144" s="1529"/>
      <c r="Q144" s="1565"/>
    </row>
    <row r="145" spans="1:17" ht="13.9">
      <c r="A145" s="1557"/>
      <c r="B145" s="1557"/>
      <c r="C145" s="1542"/>
      <c r="D145" s="1543"/>
      <c r="E145" s="2060"/>
      <c r="F145" s="1556"/>
      <c r="G145" s="1556"/>
      <c r="H145" s="1556"/>
      <c r="I145" s="1556"/>
      <c r="J145" s="1556"/>
      <c r="K145" s="1556"/>
      <c r="L145" s="1556"/>
      <c r="M145" s="1556"/>
      <c r="N145" s="1556"/>
      <c r="O145" s="2060"/>
      <c r="P145" s="1529"/>
      <c r="Q145" s="1565"/>
    </row>
    <row r="146" spans="1:17" ht="13.9">
      <c r="A146" s="1557"/>
      <c r="B146" s="1557"/>
      <c r="C146" s="1542" t="s">
        <v>1668</v>
      </c>
      <c r="D146" s="1543"/>
      <c r="E146" s="2060"/>
      <c r="F146" s="1556"/>
      <c r="G146" s="1556"/>
      <c r="H146" s="1556"/>
      <c r="I146" s="1556"/>
      <c r="J146" s="1556"/>
      <c r="K146" s="1556"/>
      <c r="L146" s="1556"/>
      <c r="M146" s="1556"/>
      <c r="N146" s="1556"/>
      <c r="O146" s="2060"/>
      <c r="P146" s="1529"/>
      <c r="Q146" s="1565"/>
    </row>
    <row r="147" spans="1:17" ht="13.9">
      <c r="A147" s="1557"/>
      <c r="B147" s="1557"/>
      <c r="C147" s="1529" t="s">
        <v>1402</v>
      </c>
      <c r="D147" s="354"/>
      <c r="E147" s="619"/>
      <c r="F147" s="1529"/>
      <c r="G147" s="1529"/>
      <c r="H147" s="1529"/>
      <c r="I147" s="1529"/>
      <c r="J147" s="1529"/>
      <c r="K147" s="1529"/>
      <c r="L147" s="1529"/>
      <c r="M147" s="1529"/>
      <c r="N147" s="1529"/>
      <c r="O147" s="2060"/>
      <c r="P147" s="1529"/>
      <c r="Q147" s="1565"/>
    </row>
    <row r="148" spans="1:17" ht="13.9">
      <c r="A148" s="1557"/>
      <c r="B148" s="1557"/>
      <c r="C148" s="1529"/>
      <c r="D148" s="354"/>
      <c r="E148" s="619"/>
      <c r="F148" s="1529"/>
      <c r="G148" s="1529"/>
      <c r="H148" s="1529"/>
      <c r="I148" s="1529"/>
      <c r="J148" s="1529"/>
      <c r="K148" s="1529"/>
      <c r="L148" s="1529"/>
      <c r="M148" s="1529"/>
      <c r="N148" s="1529"/>
      <c r="O148" s="2060"/>
      <c r="P148" s="1529"/>
      <c r="Q148" s="1565"/>
    </row>
    <row r="149" spans="1:17" ht="13.9">
      <c r="A149" s="1557"/>
      <c r="B149" s="1557"/>
      <c r="C149" s="1529" t="str">
        <f>DraftFooter</f>
        <v>Draft and preliminary. All data subject to change upon completion of additional analysis</v>
      </c>
      <c r="D149" s="356"/>
      <c r="E149" s="691"/>
      <c r="F149" s="356"/>
      <c r="G149" s="356"/>
      <c r="H149" s="356"/>
      <c r="I149" s="356"/>
      <c r="J149" s="356"/>
      <c r="K149" s="1529"/>
      <c r="L149" s="1529"/>
      <c r="M149" s="356"/>
      <c r="N149" s="357"/>
      <c r="O149" s="358"/>
      <c r="P149" s="1525"/>
      <c r="Q149" s="1557"/>
    </row>
    <row r="150" spans="1:17" ht="13.9">
      <c r="A150" s="1557" t="s">
        <v>17</v>
      </c>
      <c r="B150" s="592"/>
      <c r="C150" s="592"/>
      <c r="D150" s="592"/>
      <c r="E150" s="685"/>
      <c r="F150" s="592"/>
      <c r="G150" s="592"/>
      <c r="H150" s="592"/>
      <c r="I150" s="592"/>
      <c r="J150" s="592"/>
      <c r="K150" s="1565"/>
      <c r="L150" s="1565"/>
      <c r="M150" s="592"/>
      <c r="N150" s="592"/>
      <c r="O150" s="592"/>
      <c r="P150" s="596" t="s">
        <v>18</v>
      </c>
      <c r="Q150" s="1557"/>
    </row>
    <row r="151" spans="1:17" ht="17.45">
      <c r="A151" s="1557"/>
      <c r="B151" s="649">
        <f>SUMPRODUCT(--ISERROR($C$1:P200))+COUNTIF($C$1:P200,Fail)</f>
        <v>0</v>
      </c>
      <c r="C151" s="1372" t="str">
        <f>START!$C$1</f>
        <v>Client Name</v>
      </c>
      <c r="D151" s="852"/>
      <c r="E151" s="852"/>
      <c r="F151" s="852"/>
      <c r="G151" s="852"/>
      <c r="H151" s="852"/>
      <c r="I151" s="852"/>
      <c r="J151" s="852"/>
      <c r="K151" s="1525"/>
      <c r="L151" s="1525"/>
      <c r="M151" s="852"/>
      <c r="N151" s="852"/>
      <c r="O151" s="1525"/>
      <c r="P151" s="389" t="str">
        <f>$P$1&amp;".c"</f>
        <v>Exhibit 2.c</v>
      </c>
      <c r="Q151" s="1557"/>
    </row>
    <row r="152" spans="1:17" ht="17.45">
      <c r="A152" s="1557"/>
      <c r="B152" s="649"/>
      <c r="C152" s="1372" t="str">
        <f>START!$C$2</f>
        <v xml:space="preserve">Please enter project description in START worksheet cell G13 </v>
      </c>
      <c r="D152" s="852"/>
      <c r="E152" s="852"/>
      <c r="F152" s="852"/>
      <c r="G152" s="852"/>
      <c r="H152" s="852"/>
      <c r="I152" s="852"/>
      <c r="J152" s="852"/>
      <c r="K152" s="1525"/>
      <c r="L152" s="1525"/>
      <c r="M152" s="852"/>
      <c r="N152" s="852"/>
      <c r="O152" s="1525"/>
      <c r="P152" s="389"/>
      <c r="Q152" s="1557"/>
    </row>
    <row r="153" spans="1:17" ht="17.45">
      <c r="A153" s="1557"/>
      <c r="B153" s="1557"/>
      <c r="C153" s="839" t="s">
        <v>1671</v>
      </c>
      <c r="D153" s="1526"/>
      <c r="E153" s="1526"/>
      <c r="F153" s="1526"/>
      <c r="G153" s="1526"/>
      <c r="H153" s="1526"/>
      <c r="I153" s="1526"/>
      <c r="J153" s="1526"/>
      <c r="K153" s="1526"/>
      <c r="L153" s="1526"/>
      <c r="M153" s="1526"/>
      <c r="N153" s="1526"/>
      <c r="O153" s="1526"/>
      <c r="P153" s="1525"/>
      <c r="Q153" s="1557"/>
    </row>
    <row r="154" spans="1:17" ht="18" customHeight="1">
      <c r="A154" s="1557"/>
      <c r="B154" s="1557"/>
      <c r="C154" s="840" t="str">
        <f>ValDateHeading</f>
        <v>Estimation of value as of 28 February 2017</v>
      </c>
      <c r="D154" s="1526"/>
      <c r="E154" s="1526"/>
      <c r="F154" s="1526"/>
      <c r="G154" s="1526"/>
      <c r="H154" s="1526"/>
      <c r="I154" s="1526"/>
      <c r="J154" s="1526"/>
      <c r="K154" s="1526"/>
      <c r="L154" s="1526"/>
      <c r="M154" s="1526"/>
      <c r="N154" s="1526"/>
      <c r="O154" s="1526"/>
      <c r="P154" s="1525"/>
      <c r="Q154" s="1557"/>
    </row>
    <row r="155" spans="1:17" ht="18" customHeight="1">
      <c r="A155" s="1419"/>
      <c r="B155" s="1557"/>
      <c r="C155" s="2060"/>
      <c r="D155" s="1526"/>
      <c r="E155" s="1526"/>
      <c r="F155" s="1526"/>
      <c r="G155" s="1526"/>
      <c r="H155" s="1526"/>
      <c r="I155" s="1526"/>
      <c r="J155" s="1526"/>
      <c r="K155" s="341"/>
      <c r="L155" s="341"/>
      <c r="M155" s="1526"/>
      <c r="N155" s="1526"/>
      <c r="O155" s="1526"/>
      <c r="P155" s="1525"/>
      <c r="Q155" s="1557"/>
    </row>
    <row r="156" spans="1:17" ht="13.9">
      <c r="A156" s="1413" t="str">
        <f>IF(MasterCheck,"Please check the "&amp;'Error Check'!$G$8,"")</f>
        <v/>
      </c>
      <c r="B156" s="1424"/>
      <c r="C156" s="1511"/>
      <c r="D156" s="341"/>
      <c r="E156" s="341"/>
      <c r="F156" s="341"/>
      <c r="G156" s="341"/>
      <c r="H156" s="341"/>
      <c r="I156" s="341"/>
      <c r="J156" s="341"/>
      <c r="K156" s="341"/>
      <c r="L156" s="341"/>
      <c r="M156" s="341"/>
      <c r="N156" s="341"/>
      <c r="O156" s="341"/>
      <c r="P156" s="1525"/>
      <c r="Q156" s="1557"/>
    </row>
    <row r="157" spans="1:17" ht="13.9">
      <c r="A157" s="1557"/>
      <c r="B157" s="1557"/>
      <c r="C157" s="343"/>
      <c r="D157" s="343"/>
      <c r="E157" s="344"/>
      <c r="F157" s="345"/>
      <c r="G157" s="345"/>
      <c r="H157" s="345"/>
      <c r="I157" s="345"/>
      <c r="J157" s="345"/>
      <c r="K157" s="345"/>
      <c r="L157" s="345"/>
      <c r="M157" s="345"/>
      <c r="N157" s="345"/>
      <c r="O157" s="345"/>
      <c r="P157" s="1529"/>
      <c r="Q157" s="1557"/>
    </row>
    <row r="158" spans="1:17" ht="13.9">
      <c r="A158" s="1557"/>
      <c r="B158" s="1557"/>
      <c r="C158" s="1268"/>
      <c r="D158" s="1268"/>
      <c r="E158" s="1268"/>
      <c r="F158" s="1168"/>
      <c r="G158" s="1168"/>
      <c r="H158" s="1168"/>
      <c r="I158" s="1168"/>
      <c r="J158" s="1168"/>
      <c r="K158" s="1168"/>
      <c r="L158" s="1168"/>
      <c r="M158" s="1168" t="s">
        <v>1457</v>
      </c>
      <c r="N158" s="1168" t="s">
        <v>1456</v>
      </c>
      <c r="O158" s="345"/>
      <c r="P158" s="347"/>
      <c r="Q158" s="604"/>
    </row>
    <row r="159" spans="1:17" ht="13.9">
      <c r="A159" s="1557"/>
      <c r="B159" s="1557"/>
      <c r="C159" s="1278"/>
      <c r="D159" s="1270" t="s">
        <v>1475</v>
      </c>
      <c r="E159" s="1271"/>
      <c r="F159" s="1272" t="s">
        <v>700</v>
      </c>
      <c r="G159" s="1272" t="s">
        <v>701</v>
      </c>
      <c r="H159" s="1272" t="s">
        <v>702</v>
      </c>
      <c r="I159" s="1272" t="s">
        <v>703</v>
      </c>
      <c r="J159" s="1272" t="s">
        <v>704</v>
      </c>
      <c r="K159" s="1272" t="s">
        <v>705</v>
      </c>
      <c r="L159" s="1272"/>
      <c r="M159" s="1272" t="s">
        <v>932</v>
      </c>
      <c r="N159" s="1272" t="s">
        <v>932</v>
      </c>
      <c r="O159" s="345"/>
      <c r="P159" s="348"/>
      <c r="Q159" s="1565"/>
    </row>
    <row r="160" spans="1:17" s="1530" customFormat="1" ht="13.9">
      <c r="A160" s="1557"/>
      <c r="B160" s="1557"/>
      <c r="C160" s="1831" t="s">
        <v>1256</v>
      </c>
      <c r="D160" s="1760"/>
      <c r="E160" s="1830"/>
      <c r="F160" s="738"/>
      <c r="G160" s="738"/>
      <c r="H160" s="738"/>
      <c r="I160" s="738"/>
      <c r="J160" s="738"/>
      <c r="K160" s="738"/>
      <c r="L160" s="738"/>
      <c r="M160" s="738"/>
      <c r="N160" s="738"/>
      <c r="O160" s="345"/>
      <c r="P160" s="348"/>
      <c r="Q160" s="1565"/>
    </row>
    <row r="161" spans="1:17" ht="13.9">
      <c r="A161" s="1557" t="str">
        <f t="shared" ref="A161:A185" si="30">IF(C161="--","n","")</f>
        <v>n</v>
      </c>
      <c r="B161" s="1557"/>
      <c r="C161" s="146" t="str">
        <f>'DATA GPC'!$E$20</f>
        <v>--</v>
      </c>
      <c r="D161" s="359" t="str">
        <f>'DATA GPC'!$P$129</f>
        <v>--</v>
      </c>
      <c r="E161" s="359"/>
      <c r="F161" s="1825" t="str">
        <f>IFERROR('DATA GPC'!K909/'DATA GPC'!K597*'DATA GPC'!K$156,"--")</f>
        <v>--</v>
      </c>
      <c r="G161" s="1825" t="str">
        <f>IFERROR('DATA GPC'!L909/'DATA GPC'!L597*'DATA GPC'!L$156,"--")</f>
        <v>--</v>
      </c>
      <c r="H161" s="1825" t="str">
        <f>IFERROR('DATA GPC'!M909/'DATA GPC'!M597*'DATA GPC'!M$156,"--")</f>
        <v>--</v>
      </c>
      <c r="I161" s="1825" t="str">
        <f>IFERROR('DATA GPC'!N909/'DATA GPC'!N597*'DATA GPC'!N$156,"--")</f>
        <v>--</v>
      </c>
      <c r="J161" s="1825" t="str">
        <f>IFERROR('DATA GPC'!O909/'DATA GPC'!O597*'DATA GPC'!O$156,"--")</f>
        <v>--</v>
      </c>
      <c r="K161" s="1825" t="str">
        <f>IFERROR('DATA GPC'!P909/'DATA GPC'!P597*'DATA GPC'!P$156,"--")</f>
        <v>--</v>
      </c>
      <c r="L161" s="1364"/>
      <c r="M161" s="1825" t="str">
        <f t="shared" ref="M161:M185" si="31">IFERROR(AVERAGE(H161:J161),"--")</f>
        <v>--</v>
      </c>
      <c r="N161" s="1825" t="str">
        <f>IFERROR(AVERAGE(F161:J161),"--")</f>
        <v>--</v>
      </c>
      <c r="O161" s="351"/>
      <c r="P161" s="1529"/>
      <c r="Q161" s="1565"/>
    </row>
    <row r="162" spans="1:17" ht="13.9">
      <c r="A162" s="1557" t="str">
        <f t="shared" si="30"/>
        <v>n</v>
      </c>
      <c r="B162" s="1557"/>
      <c r="C162" s="146" t="str">
        <f>'DATA GPC'!$E$21</f>
        <v>--</v>
      </c>
      <c r="D162" s="359" t="str">
        <f>'DATA GPC'!$P$130</f>
        <v>--</v>
      </c>
      <c r="E162" s="359"/>
      <c r="F162" s="1825" t="str">
        <f>IFERROR('DATA GPC'!K910/'DATA GPC'!K598*'DATA GPC'!K$156,"--")</f>
        <v>--</v>
      </c>
      <c r="G162" s="1825" t="str">
        <f>IFERROR('DATA GPC'!L910/'DATA GPC'!L598*'DATA GPC'!L$156,"--")</f>
        <v>--</v>
      </c>
      <c r="H162" s="1825" t="str">
        <f>IFERROR('DATA GPC'!M910/'DATA GPC'!M598*'DATA GPC'!M$156,"--")</f>
        <v>--</v>
      </c>
      <c r="I162" s="1825" t="str">
        <f>IFERROR('DATA GPC'!N910/'DATA GPC'!N598*'DATA GPC'!N$156,"--")</f>
        <v>--</v>
      </c>
      <c r="J162" s="1825" t="str">
        <f>IFERROR('DATA GPC'!O910/'DATA GPC'!O598*'DATA GPC'!O$156,"--")</f>
        <v>--</v>
      </c>
      <c r="K162" s="1825" t="str">
        <f>IFERROR('DATA GPC'!P910/'DATA GPC'!P598*'DATA GPC'!P$156,"--")</f>
        <v>--</v>
      </c>
      <c r="L162" s="1364"/>
      <c r="M162" s="1825" t="str">
        <f t="shared" si="31"/>
        <v>--</v>
      </c>
      <c r="N162" s="1825" t="str">
        <f t="shared" ref="N162:N185" si="32">IFERROR(AVERAGE(F162:J162),"--")</f>
        <v>--</v>
      </c>
      <c r="O162" s="351"/>
      <c r="P162" s="1529"/>
      <c r="Q162" s="1565"/>
    </row>
    <row r="163" spans="1:17" ht="13.9">
      <c r="A163" s="1557" t="str">
        <f t="shared" si="30"/>
        <v>n</v>
      </c>
      <c r="B163" s="1557"/>
      <c r="C163" s="146" t="str">
        <f>'DATA GPC'!$E$22</f>
        <v>--</v>
      </c>
      <c r="D163" s="359" t="str">
        <f>'DATA GPC'!$P$131</f>
        <v>--</v>
      </c>
      <c r="E163" s="359"/>
      <c r="F163" s="1825" t="str">
        <f>IFERROR('DATA GPC'!K911/'DATA GPC'!K599*'DATA GPC'!K$156,"--")</f>
        <v>--</v>
      </c>
      <c r="G163" s="1825" t="str">
        <f>IFERROR('DATA GPC'!L911/'DATA GPC'!L599*'DATA GPC'!L$156,"--")</f>
        <v>--</v>
      </c>
      <c r="H163" s="1825" t="str">
        <f>IFERROR('DATA GPC'!M911/'DATA GPC'!M599*'DATA GPC'!M$156,"--")</f>
        <v>--</v>
      </c>
      <c r="I163" s="1825" t="str">
        <f>IFERROR('DATA GPC'!N911/'DATA GPC'!N599*'DATA GPC'!N$156,"--")</f>
        <v>--</v>
      </c>
      <c r="J163" s="1825" t="str">
        <f>IFERROR('DATA GPC'!O911/'DATA GPC'!O599*'DATA GPC'!O$156,"--")</f>
        <v>--</v>
      </c>
      <c r="K163" s="1825" t="str">
        <f>IFERROR('DATA GPC'!P911/'DATA GPC'!P599*'DATA GPC'!P$156,"--")</f>
        <v>--</v>
      </c>
      <c r="L163" s="1364"/>
      <c r="M163" s="1825" t="str">
        <f t="shared" si="31"/>
        <v>--</v>
      </c>
      <c r="N163" s="1825" t="str">
        <f t="shared" si="32"/>
        <v>--</v>
      </c>
      <c r="O163" s="351"/>
      <c r="P163" s="1529"/>
      <c r="Q163" s="1565"/>
    </row>
    <row r="164" spans="1:17" ht="13.9">
      <c r="A164" s="1557" t="str">
        <f t="shared" si="30"/>
        <v>n</v>
      </c>
      <c r="B164" s="1557"/>
      <c r="C164" s="146" t="str">
        <f>'DATA GPC'!$E$23</f>
        <v>--</v>
      </c>
      <c r="D164" s="359" t="str">
        <f>'DATA GPC'!$P$132</f>
        <v>--</v>
      </c>
      <c r="E164" s="359"/>
      <c r="F164" s="1825" t="str">
        <f>IFERROR('DATA GPC'!K912/'DATA GPC'!K600*'DATA GPC'!K$156,"--")</f>
        <v>--</v>
      </c>
      <c r="G164" s="1825" t="str">
        <f>IFERROR('DATA GPC'!L912/'DATA GPC'!L600*'DATA GPC'!L$156,"--")</f>
        <v>--</v>
      </c>
      <c r="H164" s="1825" t="str">
        <f>IFERROR('DATA GPC'!M912/'DATA GPC'!M600*'DATA GPC'!M$156,"--")</f>
        <v>--</v>
      </c>
      <c r="I164" s="1825" t="str">
        <f>IFERROR('DATA GPC'!N912/'DATA GPC'!N600*'DATA GPC'!N$156,"--")</f>
        <v>--</v>
      </c>
      <c r="J164" s="1825" t="str">
        <f>IFERROR('DATA GPC'!O912/'DATA GPC'!O600*'DATA GPC'!O$156,"--")</f>
        <v>--</v>
      </c>
      <c r="K164" s="1825" t="str">
        <f>IFERROR('DATA GPC'!P912/'DATA GPC'!P600*'DATA GPC'!P$156,"--")</f>
        <v>--</v>
      </c>
      <c r="L164" s="1364"/>
      <c r="M164" s="1825" t="str">
        <f t="shared" si="31"/>
        <v>--</v>
      </c>
      <c r="N164" s="1825" t="str">
        <f t="shared" si="32"/>
        <v>--</v>
      </c>
      <c r="O164" s="351"/>
      <c r="P164" s="1529"/>
      <c r="Q164" s="1565"/>
    </row>
    <row r="165" spans="1:17" ht="13.9">
      <c r="A165" s="1557" t="str">
        <f t="shared" si="30"/>
        <v>n</v>
      </c>
      <c r="B165" s="1557"/>
      <c r="C165" s="146" t="str">
        <f>'DATA GPC'!$E$24</f>
        <v>--</v>
      </c>
      <c r="D165" s="359" t="str">
        <f>'DATA GPC'!$P$133</f>
        <v>--</v>
      </c>
      <c r="E165" s="613"/>
      <c r="F165" s="1825" t="str">
        <f>IFERROR('DATA GPC'!K913/'DATA GPC'!K601*'DATA GPC'!K$156,"--")</f>
        <v>--</v>
      </c>
      <c r="G165" s="1825" t="str">
        <f>IFERROR('DATA GPC'!L913/'DATA GPC'!L601*'DATA GPC'!L$156,"--")</f>
        <v>--</v>
      </c>
      <c r="H165" s="1825" t="str">
        <f>IFERROR('DATA GPC'!M913/'DATA GPC'!M601*'DATA GPC'!M$156,"--")</f>
        <v>--</v>
      </c>
      <c r="I165" s="1825" t="str">
        <f>IFERROR('DATA GPC'!N913/'DATA GPC'!N601*'DATA GPC'!N$156,"--")</f>
        <v>--</v>
      </c>
      <c r="J165" s="1825" t="str">
        <f>IFERROR('DATA GPC'!O913/'DATA GPC'!O601*'DATA GPC'!O$156,"--")</f>
        <v>--</v>
      </c>
      <c r="K165" s="1825" t="str">
        <f>IFERROR('DATA GPC'!P913/'DATA GPC'!P601*'DATA GPC'!P$156,"--")</f>
        <v>--</v>
      </c>
      <c r="L165" s="1364"/>
      <c r="M165" s="1825" t="str">
        <f t="shared" si="31"/>
        <v>--</v>
      </c>
      <c r="N165" s="1825" t="str">
        <f t="shared" si="32"/>
        <v>--</v>
      </c>
      <c r="O165" s="351"/>
      <c r="P165" s="1529"/>
      <c r="Q165" s="1565"/>
    </row>
    <row r="166" spans="1:17" ht="13.9">
      <c r="A166" s="1557" t="str">
        <f t="shared" si="30"/>
        <v>n</v>
      </c>
      <c r="B166" s="1557"/>
      <c r="C166" s="146" t="str">
        <f>'DATA GPC'!$E$25</f>
        <v>--</v>
      </c>
      <c r="D166" s="359" t="str">
        <f>'DATA GPC'!$P$134</f>
        <v>--</v>
      </c>
      <c r="E166" s="613"/>
      <c r="F166" s="1825" t="str">
        <f>IFERROR('DATA GPC'!K914/'DATA GPC'!K602*'DATA GPC'!K$156,"--")</f>
        <v>--</v>
      </c>
      <c r="G166" s="1825" t="str">
        <f>IFERROR('DATA GPC'!L914/'DATA GPC'!L602*'DATA GPC'!L$156,"--")</f>
        <v>--</v>
      </c>
      <c r="H166" s="1825" t="str">
        <f>IFERROR('DATA GPC'!M914/'DATA GPC'!M602*'DATA GPC'!M$156,"--")</f>
        <v>--</v>
      </c>
      <c r="I166" s="1825" t="str">
        <f>IFERROR('DATA GPC'!N914/'DATA GPC'!N602*'DATA GPC'!N$156,"--")</f>
        <v>--</v>
      </c>
      <c r="J166" s="1825" t="str">
        <f>IFERROR('DATA GPC'!O914/'DATA GPC'!O602*'DATA GPC'!O$156,"--")</f>
        <v>--</v>
      </c>
      <c r="K166" s="1825" t="str">
        <f>IFERROR('DATA GPC'!P914/'DATA GPC'!P602*'DATA GPC'!P$156,"--")</f>
        <v>--</v>
      </c>
      <c r="L166" s="1364"/>
      <c r="M166" s="1825" t="str">
        <f t="shared" si="31"/>
        <v>--</v>
      </c>
      <c r="N166" s="1825" t="str">
        <f t="shared" si="32"/>
        <v>--</v>
      </c>
      <c r="O166" s="351"/>
      <c r="P166" s="1529"/>
      <c r="Q166" s="1565"/>
    </row>
    <row r="167" spans="1:17" ht="13.9">
      <c r="A167" s="1557" t="str">
        <f t="shared" si="30"/>
        <v>n</v>
      </c>
      <c r="B167" s="1557"/>
      <c r="C167" s="146" t="str">
        <f>'DATA GPC'!$E$26</f>
        <v>--</v>
      </c>
      <c r="D167" s="359" t="str">
        <f>'DATA GPC'!$P$135</f>
        <v>--</v>
      </c>
      <c r="E167" s="613"/>
      <c r="F167" s="1825" t="str">
        <f>IFERROR('DATA GPC'!K915/'DATA GPC'!K603*'DATA GPC'!K$156,"--")</f>
        <v>--</v>
      </c>
      <c r="G167" s="1825" t="str">
        <f>IFERROR('DATA GPC'!L915/'DATA GPC'!L603*'DATA GPC'!L$156,"--")</f>
        <v>--</v>
      </c>
      <c r="H167" s="1825" t="str">
        <f>IFERROR('DATA GPC'!M915/'DATA GPC'!M603*'DATA GPC'!M$156,"--")</f>
        <v>--</v>
      </c>
      <c r="I167" s="1825" t="str">
        <f>IFERROR('DATA GPC'!N915/'DATA GPC'!N603*'DATA GPC'!N$156,"--")</f>
        <v>--</v>
      </c>
      <c r="J167" s="1825" t="str">
        <f>IFERROR('DATA GPC'!O915/'DATA GPC'!O603*'DATA GPC'!O$156,"--")</f>
        <v>--</v>
      </c>
      <c r="K167" s="1825" t="str">
        <f>IFERROR('DATA GPC'!P915/'DATA GPC'!P603*'DATA GPC'!P$156,"--")</f>
        <v>--</v>
      </c>
      <c r="L167" s="1364"/>
      <c r="M167" s="1825" t="str">
        <f t="shared" si="31"/>
        <v>--</v>
      </c>
      <c r="N167" s="1825" t="str">
        <f t="shared" si="32"/>
        <v>--</v>
      </c>
      <c r="O167" s="351"/>
      <c r="P167" s="1529"/>
      <c r="Q167" s="1565"/>
    </row>
    <row r="168" spans="1:17" ht="13.9">
      <c r="A168" s="1557" t="str">
        <f t="shared" si="30"/>
        <v>n</v>
      </c>
      <c r="B168" s="1557"/>
      <c r="C168" s="146" t="str">
        <f>'DATA GPC'!$E$27</f>
        <v>--</v>
      </c>
      <c r="D168" s="359" t="str">
        <f>'DATA GPC'!$P$136</f>
        <v>--</v>
      </c>
      <c r="E168" s="613"/>
      <c r="F168" s="1825" t="str">
        <f>IFERROR('DATA GPC'!K916/'DATA GPC'!K604*'DATA GPC'!K$156,"--")</f>
        <v>--</v>
      </c>
      <c r="G168" s="1825" t="str">
        <f>IFERROR('DATA GPC'!L916/'DATA GPC'!L604*'DATA GPC'!L$156,"--")</f>
        <v>--</v>
      </c>
      <c r="H168" s="1825" t="str">
        <f>IFERROR('DATA GPC'!M916/'DATA GPC'!M604*'DATA GPC'!M$156,"--")</f>
        <v>--</v>
      </c>
      <c r="I168" s="1825" t="str">
        <f>IFERROR('DATA GPC'!N916/'DATA GPC'!N604*'DATA GPC'!N$156,"--")</f>
        <v>--</v>
      </c>
      <c r="J168" s="1825" t="str">
        <f>IFERROR('DATA GPC'!O916/'DATA GPC'!O604*'DATA GPC'!O$156,"--")</f>
        <v>--</v>
      </c>
      <c r="K168" s="1825" t="str">
        <f>IFERROR('DATA GPC'!P916/'DATA GPC'!P604*'DATA GPC'!P$156,"--")</f>
        <v>--</v>
      </c>
      <c r="L168" s="1364"/>
      <c r="M168" s="1825" t="str">
        <f t="shared" si="31"/>
        <v>--</v>
      </c>
      <c r="N168" s="1825" t="str">
        <f t="shared" si="32"/>
        <v>--</v>
      </c>
      <c r="O168" s="351"/>
      <c r="P168" s="1529"/>
      <c r="Q168" s="1565"/>
    </row>
    <row r="169" spans="1:17" ht="13.9">
      <c r="A169" s="1557" t="str">
        <f t="shared" si="30"/>
        <v>n</v>
      </c>
      <c r="B169" s="1557"/>
      <c r="C169" s="146" t="str">
        <f>'DATA GPC'!$E$28</f>
        <v>--</v>
      </c>
      <c r="D169" s="359" t="str">
        <f>'DATA GPC'!$P$137</f>
        <v>--</v>
      </c>
      <c r="E169" s="613"/>
      <c r="F169" s="1825" t="str">
        <f>IFERROR('DATA GPC'!K917/'DATA GPC'!K605*'DATA GPC'!K$156,"--")</f>
        <v>--</v>
      </c>
      <c r="G169" s="1825" t="str">
        <f>IFERROR('DATA GPC'!L917/'DATA GPC'!L605*'DATA GPC'!L$156,"--")</f>
        <v>--</v>
      </c>
      <c r="H169" s="1825" t="str">
        <f>IFERROR('DATA GPC'!M917/'DATA GPC'!M605*'DATA GPC'!M$156,"--")</f>
        <v>--</v>
      </c>
      <c r="I169" s="1825" t="str">
        <f>IFERROR('DATA GPC'!N917/'DATA GPC'!N605*'DATA GPC'!N$156,"--")</f>
        <v>--</v>
      </c>
      <c r="J169" s="1825" t="str">
        <f>IFERROR('DATA GPC'!O917/'DATA GPC'!O605*'DATA GPC'!O$156,"--")</f>
        <v>--</v>
      </c>
      <c r="K169" s="1825" t="str">
        <f>IFERROR('DATA GPC'!P917/'DATA GPC'!P605*'DATA GPC'!P$156,"--")</f>
        <v>--</v>
      </c>
      <c r="L169" s="1364"/>
      <c r="M169" s="1825" t="str">
        <f t="shared" si="31"/>
        <v>--</v>
      </c>
      <c r="N169" s="1825" t="str">
        <f t="shared" si="32"/>
        <v>--</v>
      </c>
      <c r="O169" s="351"/>
      <c r="P169" s="1529"/>
      <c r="Q169" s="1565"/>
    </row>
    <row r="170" spans="1:17" ht="13.9">
      <c r="A170" s="1557" t="str">
        <f t="shared" si="30"/>
        <v>n</v>
      </c>
      <c r="B170" s="1557"/>
      <c r="C170" s="146" t="str">
        <f>'DATA GPC'!$E$29</f>
        <v>--</v>
      </c>
      <c r="D170" s="359" t="str">
        <f>'DATA GPC'!$P$138</f>
        <v>--</v>
      </c>
      <c r="E170" s="613"/>
      <c r="F170" s="1825" t="str">
        <f>IFERROR('DATA GPC'!K918/'DATA GPC'!K606*'DATA GPC'!K$156,"--")</f>
        <v>--</v>
      </c>
      <c r="G170" s="1825" t="str">
        <f>IFERROR('DATA GPC'!L918/'DATA GPC'!L606*'DATA GPC'!L$156,"--")</f>
        <v>--</v>
      </c>
      <c r="H170" s="1825" t="str">
        <f>IFERROR('DATA GPC'!M918/'DATA GPC'!M606*'DATA GPC'!M$156,"--")</f>
        <v>--</v>
      </c>
      <c r="I170" s="1825" t="str">
        <f>IFERROR('DATA GPC'!N918/'DATA GPC'!N606*'DATA GPC'!N$156,"--")</f>
        <v>--</v>
      </c>
      <c r="J170" s="1825" t="str">
        <f>IFERROR('DATA GPC'!O918/'DATA GPC'!O606*'DATA GPC'!O$156,"--")</f>
        <v>--</v>
      </c>
      <c r="K170" s="1825" t="str">
        <f>IFERROR('DATA GPC'!P918/'DATA GPC'!P606*'DATA GPC'!P$156,"--")</f>
        <v>--</v>
      </c>
      <c r="L170" s="1364"/>
      <c r="M170" s="1825" t="str">
        <f t="shared" si="31"/>
        <v>--</v>
      </c>
      <c r="N170" s="1825" t="str">
        <f t="shared" si="32"/>
        <v>--</v>
      </c>
      <c r="O170" s="351"/>
      <c r="P170" s="1529"/>
      <c r="Q170" s="1565"/>
    </row>
    <row r="171" spans="1:17" ht="13.9">
      <c r="A171" s="1557" t="str">
        <f t="shared" si="30"/>
        <v>n</v>
      </c>
      <c r="B171" s="1557"/>
      <c r="C171" s="146" t="str">
        <f>'DATA GPC'!$E$30</f>
        <v>--</v>
      </c>
      <c r="D171" s="359" t="str">
        <f>'DATA GPC'!$P$139</f>
        <v>--</v>
      </c>
      <c r="E171" s="613"/>
      <c r="F171" s="1825" t="str">
        <f>IFERROR('DATA GPC'!K919/'DATA GPC'!K607*'DATA GPC'!K$156,"--")</f>
        <v>--</v>
      </c>
      <c r="G171" s="1825" t="str">
        <f>IFERROR('DATA GPC'!L919/'DATA GPC'!L607*'DATA GPC'!L$156,"--")</f>
        <v>--</v>
      </c>
      <c r="H171" s="1825" t="str">
        <f>IFERROR('DATA GPC'!M919/'DATA GPC'!M607*'DATA GPC'!M$156,"--")</f>
        <v>--</v>
      </c>
      <c r="I171" s="1825" t="str">
        <f>IFERROR('DATA GPC'!N919/'DATA GPC'!N607*'DATA GPC'!N$156,"--")</f>
        <v>--</v>
      </c>
      <c r="J171" s="1825" t="str">
        <f>IFERROR('DATA GPC'!O919/'DATA GPC'!O607*'DATA GPC'!O$156,"--")</f>
        <v>--</v>
      </c>
      <c r="K171" s="1825" t="str">
        <f>IFERROR('DATA GPC'!P919/'DATA GPC'!P607*'DATA GPC'!P$156,"--")</f>
        <v>--</v>
      </c>
      <c r="L171" s="1364"/>
      <c r="M171" s="1825" t="str">
        <f t="shared" si="31"/>
        <v>--</v>
      </c>
      <c r="N171" s="1825" t="str">
        <f t="shared" si="32"/>
        <v>--</v>
      </c>
      <c r="O171" s="351"/>
      <c r="P171" s="1529"/>
      <c r="Q171" s="1565"/>
    </row>
    <row r="172" spans="1:17" ht="13.9">
      <c r="A172" s="1557" t="str">
        <f t="shared" si="30"/>
        <v>n</v>
      </c>
      <c r="B172" s="1557"/>
      <c r="C172" s="146" t="str">
        <f>'DATA GPC'!$E$31</f>
        <v>--</v>
      </c>
      <c r="D172" s="359" t="str">
        <f>'DATA GPC'!$P$140</f>
        <v>--</v>
      </c>
      <c r="E172" s="677"/>
      <c r="F172" s="1825" t="str">
        <f>IFERROR('DATA GPC'!K920/'DATA GPC'!K608*'DATA GPC'!K$156,"--")</f>
        <v>--</v>
      </c>
      <c r="G172" s="1825" t="str">
        <f>IFERROR('DATA GPC'!L920/'DATA GPC'!L608*'DATA GPC'!L$156,"--")</f>
        <v>--</v>
      </c>
      <c r="H172" s="1825" t="str">
        <f>IFERROR('DATA GPC'!M920/'DATA GPC'!M608*'DATA GPC'!M$156,"--")</f>
        <v>--</v>
      </c>
      <c r="I172" s="1825" t="str">
        <f>IFERROR('DATA GPC'!N920/'DATA GPC'!N608*'DATA GPC'!N$156,"--")</f>
        <v>--</v>
      </c>
      <c r="J172" s="1825" t="str">
        <f>IFERROR('DATA GPC'!O920/'DATA GPC'!O608*'DATA GPC'!O$156,"--")</f>
        <v>--</v>
      </c>
      <c r="K172" s="1825" t="str">
        <f>IFERROR('DATA GPC'!P920/'DATA GPC'!P608*'DATA GPC'!P$156,"--")</f>
        <v>--</v>
      </c>
      <c r="L172" s="1364"/>
      <c r="M172" s="1825" t="str">
        <f t="shared" si="31"/>
        <v>--</v>
      </c>
      <c r="N172" s="1825" t="str">
        <f t="shared" si="32"/>
        <v>--</v>
      </c>
      <c r="O172" s="351"/>
      <c r="P172" s="1529"/>
      <c r="Q172" s="1565"/>
    </row>
    <row r="173" spans="1:17" ht="13.9">
      <c r="A173" s="1557" t="str">
        <f t="shared" si="30"/>
        <v>n</v>
      </c>
      <c r="B173" s="1557"/>
      <c r="C173" s="146" t="str">
        <f>'DATA GPC'!$E$32</f>
        <v>--</v>
      </c>
      <c r="D173" s="359" t="str">
        <f>'DATA GPC'!$P$141</f>
        <v>--</v>
      </c>
      <c r="E173" s="613"/>
      <c r="F173" s="1825" t="str">
        <f>IFERROR('DATA GPC'!K921/'DATA GPC'!K609*'DATA GPC'!K$156,"--")</f>
        <v>--</v>
      </c>
      <c r="G173" s="1825" t="str">
        <f>IFERROR('DATA GPC'!L921/'DATA GPC'!L609*'DATA GPC'!L$156,"--")</f>
        <v>--</v>
      </c>
      <c r="H173" s="1825" t="str">
        <f>IFERROR('DATA GPC'!M921/'DATA GPC'!M609*'DATA GPC'!M$156,"--")</f>
        <v>--</v>
      </c>
      <c r="I173" s="1825" t="str">
        <f>IFERROR('DATA GPC'!N921/'DATA GPC'!N609*'DATA GPC'!N$156,"--")</f>
        <v>--</v>
      </c>
      <c r="J173" s="1825" t="str">
        <f>IFERROR('DATA GPC'!O921/'DATA GPC'!O609*'DATA GPC'!O$156,"--")</f>
        <v>--</v>
      </c>
      <c r="K173" s="1825" t="str">
        <f>IFERROR('DATA GPC'!P921/'DATA GPC'!P609*'DATA GPC'!P$156,"--")</f>
        <v>--</v>
      </c>
      <c r="L173" s="1364"/>
      <c r="M173" s="1825" t="str">
        <f t="shared" si="31"/>
        <v>--</v>
      </c>
      <c r="N173" s="1825" t="str">
        <f t="shared" si="32"/>
        <v>--</v>
      </c>
      <c r="O173" s="351"/>
      <c r="P173" s="1529"/>
      <c r="Q173" s="1565"/>
    </row>
    <row r="174" spans="1:17" ht="13.9">
      <c r="A174" s="1557" t="str">
        <f t="shared" si="30"/>
        <v>n</v>
      </c>
      <c r="B174" s="1557"/>
      <c r="C174" s="146" t="str">
        <f>'DATA GPC'!$E$33</f>
        <v>--</v>
      </c>
      <c r="D174" s="359" t="str">
        <f>'DATA GPC'!$P$142</f>
        <v>--</v>
      </c>
      <c r="E174" s="613"/>
      <c r="F174" s="1825" t="str">
        <f>IFERROR('DATA GPC'!K922/'DATA GPC'!K610*'DATA GPC'!K$156,"--")</f>
        <v>--</v>
      </c>
      <c r="G174" s="1825" t="str">
        <f>IFERROR('DATA GPC'!L922/'DATA GPC'!L610*'DATA GPC'!L$156,"--")</f>
        <v>--</v>
      </c>
      <c r="H174" s="1825" t="str">
        <f>IFERROR('DATA GPC'!M922/'DATA GPC'!M610*'DATA GPC'!M$156,"--")</f>
        <v>--</v>
      </c>
      <c r="I174" s="1825" t="str">
        <f>IFERROR('DATA GPC'!N922/'DATA GPC'!N610*'DATA GPC'!N$156,"--")</f>
        <v>--</v>
      </c>
      <c r="J174" s="1825" t="str">
        <f>IFERROR('DATA GPC'!O922/'DATA GPC'!O610*'DATA GPC'!O$156,"--")</f>
        <v>--</v>
      </c>
      <c r="K174" s="1825" t="str">
        <f>IFERROR('DATA GPC'!P922/'DATA GPC'!P610*'DATA GPC'!P$156,"--")</f>
        <v>--</v>
      </c>
      <c r="L174" s="1364"/>
      <c r="M174" s="1825" t="str">
        <f t="shared" si="31"/>
        <v>--</v>
      </c>
      <c r="N174" s="1825" t="str">
        <f t="shared" si="32"/>
        <v>--</v>
      </c>
      <c r="O174" s="351"/>
      <c r="P174" s="1529"/>
      <c r="Q174" s="1565"/>
    </row>
    <row r="175" spans="1:17" ht="13.9">
      <c r="A175" s="1557" t="str">
        <f t="shared" si="30"/>
        <v>n</v>
      </c>
      <c r="B175" s="1557"/>
      <c r="C175" s="146" t="str">
        <f>'DATA GPC'!$E$34</f>
        <v>--</v>
      </c>
      <c r="D175" s="359" t="str">
        <f>'DATA GPC'!$P$143</f>
        <v>--</v>
      </c>
      <c r="E175" s="613"/>
      <c r="F175" s="1825" t="str">
        <f>IFERROR('DATA GPC'!K923/'DATA GPC'!K611*'DATA GPC'!K$156,"--")</f>
        <v>--</v>
      </c>
      <c r="G175" s="1825" t="str">
        <f>IFERROR('DATA GPC'!L923/'DATA GPC'!L611*'DATA GPC'!L$156,"--")</f>
        <v>--</v>
      </c>
      <c r="H175" s="1825" t="str">
        <f>IFERROR('DATA GPC'!M923/'DATA GPC'!M611*'DATA GPC'!M$156,"--")</f>
        <v>--</v>
      </c>
      <c r="I175" s="1825" t="str">
        <f>IFERROR('DATA GPC'!N923/'DATA GPC'!N611*'DATA GPC'!N$156,"--")</f>
        <v>--</v>
      </c>
      <c r="J175" s="1825" t="str">
        <f>IFERROR('DATA GPC'!O923/'DATA GPC'!O611*'DATA GPC'!O$156,"--")</f>
        <v>--</v>
      </c>
      <c r="K175" s="1825" t="str">
        <f>IFERROR('DATA GPC'!P923/'DATA GPC'!P611*'DATA GPC'!P$156,"--")</f>
        <v>--</v>
      </c>
      <c r="L175" s="1364"/>
      <c r="M175" s="1825" t="str">
        <f t="shared" si="31"/>
        <v>--</v>
      </c>
      <c r="N175" s="1825" t="str">
        <f t="shared" si="32"/>
        <v>--</v>
      </c>
      <c r="O175" s="351"/>
      <c r="P175" s="1529"/>
      <c r="Q175" s="1565"/>
    </row>
    <row r="176" spans="1:17" ht="13.9">
      <c r="A176" s="1557" t="str">
        <f t="shared" si="30"/>
        <v>n</v>
      </c>
      <c r="B176" s="1557"/>
      <c r="C176" s="146" t="str">
        <f>'DATA GPC'!$E$35</f>
        <v>--</v>
      </c>
      <c r="D176" s="359" t="str">
        <f>'DATA GPC'!$P$144</f>
        <v>--</v>
      </c>
      <c r="E176" s="613"/>
      <c r="F176" s="1825" t="str">
        <f>IFERROR('DATA GPC'!K924/'DATA GPC'!K612*'DATA GPC'!K$156,"--")</f>
        <v>--</v>
      </c>
      <c r="G176" s="1825" t="str">
        <f>IFERROR('DATA GPC'!L924/'DATA GPC'!L612*'DATA GPC'!L$156,"--")</f>
        <v>--</v>
      </c>
      <c r="H176" s="1825" t="str">
        <f>IFERROR('DATA GPC'!M924/'DATA GPC'!M612*'DATA GPC'!M$156,"--")</f>
        <v>--</v>
      </c>
      <c r="I176" s="1825" t="str">
        <f>IFERROR('DATA GPC'!N924/'DATA GPC'!N612*'DATA GPC'!N$156,"--")</f>
        <v>--</v>
      </c>
      <c r="J176" s="1825" t="str">
        <f>IFERROR('DATA GPC'!O924/'DATA GPC'!O612*'DATA GPC'!O$156,"--")</f>
        <v>--</v>
      </c>
      <c r="K176" s="1825" t="str">
        <f>IFERROR('DATA GPC'!P924/'DATA GPC'!P612*'DATA GPC'!P$156,"--")</f>
        <v>--</v>
      </c>
      <c r="L176" s="1364"/>
      <c r="M176" s="1825" t="str">
        <f t="shared" si="31"/>
        <v>--</v>
      </c>
      <c r="N176" s="1825" t="str">
        <f t="shared" si="32"/>
        <v>--</v>
      </c>
      <c r="O176" s="351"/>
      <c r="P176" s="1529"/>
      <c r="Q176" s="1565"/>
    </row>
    <row r="177" spans="1:17" ht="13.9">
      <c r="A177" s="1557" t="str">
        <f t="shared" si="30"/>
        <v>n</v>
      </c>
      <c r="B177" s="1557"/>
      <c r="C177" s="146" t="str">
        <f>'DATA GPC'!$E$36</f>
        <v>--</v>
      </c>
      <c r="D177" s="359" t="str">
        <f>'DATA GPC'!$P$145</f>
        <v>--</v>
      </c>
      <c r="E177" s="613"/>
      <c r="F177" s="1825" t="str">
        <f>IFERROR('DATA GPC'!K925/'DATA GPC'!K613*'DATA GPC'!K$156,"--")</f>
        <v>--</v>
      </c>
      <c r="G177" s="1825" t="str">
        <f>IFERROR('DATA GPC'!L925/'DATA GPC'!L613*'DATA GPC'!L$156,"--")</f>
        <v>--</v>
      </c>
      <c r="H177" s="1825" t="str">
        <f>IFERROR('DATA GPC'!M925/'DATA GPC'!M613*'DATA GPC'!M$156,"--")</f>
        <v>--</v>
      </c>
      <c r="I177" s="1825" t="str">
        <f>IFERROR('DATA GPC'!N925/'DATA GPC'!N613*'DATA GPC'!N$156,"--")</f>
        <v>--</v>
      </c>
      <c r="J177" s="1825" t="str">
        <f>IFERROR('DATA GPC'!O925/'DATA GPC'!O613*'DATA GPC'!O$156,"--")</f>
        <v>--</v>
      </c>
      <c r="K177" s="1825" t="str">
        <f>IFERROR('DATA GPC'!P925/'DATA GPC'!P613*'DATA GPC'!P$156,"--")</f>
        <v>--</v>
      </c>
      <c r="L177" s="1364"/>
      <c r="M177" s="1825" t="str">
        <f t="shared" si="31"/>
        <v>--</v>
      </c>
      <c r="N177" s="1825" t="str">
        <f t="shared" si="32"/>
        <v>--</v>
      </c>
      <c r="O177" s="351"/>
      <c r="P177" s="1529"/>
      <c r="Q177" s="1565"/>
    </row>
    <row r="178" spans="1:17" ht="13.9">
      <c r="A178" s="1557" t="str">
        <f t="shared" si="30"/>
        <v>n</v>
      </c>
      <c r="B178" s="1557"/>
      <c r="C178" s="146" t="str">
        <f>'DATA GPC'!$E$37</f>
        <v>--</v>
      </c>
      <c r="D178" s="359" t="str">
        <f>'DATA GPC'!$P$146</f>
        <v>--</v>
      </c>
      <c r="E178" s="613"/>
      <c r="F178" s="1825" t="str">
        <f>IFERROR('DATA GPC'!K926/'DATA GPC'!K614*'DATA GPC'!K$156,"--")</f>
        <v>--</v>
      </c>
      <c r="G178" s="1825" t="str">
        <f>IFERROR('DATA GPC'!L926/'DATA GPC'!L614*'DATA GPC'!L$156,"--")</f>
        <v>--</v>
      </c>
      <c r="H178" s="1825" t="str">
        <f>IFERROR('DATA GPC'!M926/'DATA GPC'!M614*'DATA GPC'!M$156,"--")</f>
        <v>--</v>
      </c>
      <c r="I178" s="1825" t="str">
        <f>IFERROR('DATA GPC'!N926/'DATA GPC'!N614*'DATA GPC'!N$156,"--")</f>
        <v>--</v>
      </c>
      <c r="J178" s="1825" t="str">
        <f>IFERROR('DATA GPC'!O926/'DATA GPC'!O614*'DATA GPC'!O$156,"--")</f>
        <v>--</v>
      </c>
      <c r="K178" s="1825" t="str">
        <f>IFERROR('DATA GPC'!P926/'DATA GPC'!P614*'DATA GPC'!P$156,"--")</f>
        <v>--</v>
      </c>
      <c r="L178" s="1364"/>
      <c r="M178" s="1825" t="str">
        <f t="shared" si="31"/>
        <v>--</v>
      </c>
      <c r="N178" s="1825" t="str">
        <f t="shared" si="32"/>
        <v>--</v>
      </c>
      <c r="O178" s="351"/>
      <c r="P178" s="1529"/>
      <c r="Q178" s="1565"/>
    </row>
    <row r="179" spans="1:17" ht="13.9">
      <c r="A179" s="1557" t="str">
        <f t="shared" si="30"/>
        <v>n</v>
      </c>
      <c r="B179" s="1557"/>
      <c r="C179" s="146" t="str">
        <f>'DATA GPC'!$E$38</f>
        <v>--</v>
      </c>
      <c r="D179" s="359" t="str">
        <f>'DATA GPC'!$P$147</f>
        <v>--</v>
      </c>
      <c r="E179" s="613"/>
      <c r="F179" s="1825" t="str">
        <f>IFERROR('DATA GPC'!K927/'DATA GPC'!K615*'DATA GPC'!K$156,"--")</f>
        <v>--</v>
      </c>
      <c r="G179" s="1825" t="str">
        <f>IFERROR('DATA GPC'!L927/'DATA GPC'!L615*'DATA GPC'!L$156,"--")</f>
        <v>--</v>
      </c>
      <c r="H179" s="1825" t="str">
        <f>IFERROR('DATA GPC'!M927/'DATA GPC'!M615*'DATA GPC'!M$156,"--")</f>
        <v>--</v>
      </c>
      <c r="I179" s="1825" t="str">
        <f>IFERROR('DATA GPC'!N927/'DATA GPC'!N615*'DATA GPC'!N$156,"--")</f>
        <v>--</v>
      </c>
      <c r="J179" s="1825" t="str">
        <f>IFERROR('DATA GPC'!O927/'DATA GPC'!O615*'DATA GPC'!O$156,"--")</f>
        <v>--</v>
      </c>
      <c r="K179" s="1825" t="str">
        <f>IFERROR('DATA GPC'!P927/'DATA GPC'!P615*'DATA GPC'!P$156,"--")</f>
        <v>--</v>
      </c>
      <c r="L179" s="1364"/>
      <c r="M179" s="1825" t="str">
        <f t="shared" si="31"/>
        <v>--</v>
      </c>
      <c r="N179" s="1825" t="str">
        <f t="shared" si="32"/>
        <v>--</v>
      </c>
      <c r="O179" s="351"/>
      <c r="P179" s="1529"/>
      <c r="Q179" s="1565"/>
    </row>
    <row r="180" spans="1:17" ht="13.9">
      <c r="A180" s="1557" t="str">
        <f t="shared" si="30"/>
        <v>n</v>
      </c>
      <c r="B180" s="1557"/>
      <c r="C180" s="146" t="str">
        <f>'DATA GPC'!$E$39</f>
        <v>--</v>
      </c>
      <c r="D180" s="359" t="str">
        <f>'DATA GPC'!$P$148</f>
        <v>--</v>
      </c>
      <c r="E180" s="613"/>
      <c r="F180" s="1825" t="str">
        <f>IFERROR('DATA GPC'!K928/'DATA GPC'!K616*'DATA GPC'!K$156,"--")</f>
        <v>--</v>
      </c>
      <c r="G180" s="1825" t="str">
        <f>IFERROR('DATA GPC'!L928/'DATA GPC'!L616*'DATA GPC'!L$156,"--")</f>
        <v>--</v>
      </c>
      <c r="H180" s="1825" t="str">
        <f>IFERROR('DATA GPC'!M928/'DATA GPC'!M616*'DATA GPC'!M$156,"--")</f>
        <v>--</v>
      </c>
      <c r="I180" s="1825" t="str">
        <f>IFERROR('DATA GPC'!N928/'DATA GPC'!N616*'DATA GPC'!N$156,"--")</f>
        <v>--</v>
      </c>
      <c r="J180" s="1825" t="str">
        <f>IFERROR('DATA GPC'!O928/'DATA GPC'!O616*'DATA GPC'!O$156,"--")</f>
        <v>--</v>
      </c>
      <c r="K180" s="1825" t="str">
        <f>IFERROR('DATA GPC'!P928/'DATA GPC'!P616*'DATA GPC'!P$156,"--")</f>
        <v>--</v>
      </c>
      <c r="L180" s="1364"/>
      <c r="M180" s="1825" t="str">
        <f t="shared" si="31"/>
        <v>--</v>
      </c>
      <c r="N180" s="1825" t="str">
        <f t="shared" si="32"/>
        <v>--</v>
      </c>
      <c r="O180" s="351"/>
      <c r="P180" s="1529"/>
      <c r="Q180" s="1565"/>
    </row>
    <row r="181" spans="1:17" ht="13.9">
      <c r="A181" s="1557" t="str">
        <f t="shared" si="30"/>
        <v>n</v>
      </c>
      <c r="B181" s="1557"/>
      <c r="C181" s="146" t="str">
        <f>'DATA GPC'!$E$40</f>
        <v>--</v>
      </c>
      <c r="D181" s="359" t="str">
        <f>'DATA GPC'!$P$149</f>
        <v>--</v>
      </c>
      <c r="E181" s="613"/>
      <c r="F181" s="1825" t="str">
        <f>IFERROR('DATA GPC'!K929/'DATA GPC'!K617*'DATA GPC'!K$156,"--")</f>
        <v>--</v>
      </c>
      <c r="G181" s="1825" t="str">
        <f>IFERROR('DATA GPC'!L929/'DATA GPC'!L617*'DATA GPC'!L$156,"--")</f>
        <v>--</v>
      </c>
      <c r="H181" s="1825" t="str">
        <f>IFERROR('DATA GPC'!M929/'DATA GPC'!M617*'DATA GPC'!M$156,"--")</f>
        <v>--</v>
      </c>
      <c r="I181" s="1825" t="str">
        <f>IFERROR('DATA GPC'!N929/'DATA GPC'!N617*'DATA GPC'!N$156,"--")</f>
        <v>--</v>
      </c>
      <c r="J181" s="1825" t="str">
        <f>IFERROR('DATA GPC'!O929/'DATA GPC'!O617*'DATA GPC'!O$156,"--")</f>
        <v>--</v>
      </c>
      <c r="K181" s="1825" t="str">
        <f>IFERROR('DATA GPC'!P929/'DATA GPC'!P617*'DATA GPC'!P$156,"--")</f>
        <v>--</v>
      </c>
      <c r="L181" s="1364"/>
      <c r="M181" s="1825" t="str">
        <f t="shared" si="31"/>
        <v>--</v>
      </c>
      <c r="N181" s="1825" t="str">
        <f t="shared" si="32"/>
        <v>--</v>
      </c>
      <c r="O181" s="351"/>
      <c r="P181" s="1529"/>
      <c r="Q181" s="1565"/>
    </row>
    <row r="182" spans="1:17" ht="13.9">
      <c r="A182" s="1557" t="str">
        <f t="shared" si="30"/>
        <v>n</v>
      </c>
      <c r="B182" s="1557"/>
      <c r="C182" s="146" t="str">
        <f>'DATA GPC'!$E$41</f>
        <v>--</v>
      </c>
      <c r="D182" s="359" t="str">
        <f>'DATA GPC'!$P$150</f>
        <v>--</v>
      </c>
      <c r="E182" s="613"/>
      <c r="F182" s="1825" t="str">
        <f>IFERROR('DATA GPC'!K930/'DATA GPC'!K618*'DATA GPC'!K$156,"--")</f>
        <v>--</v>
      </c>
      <c r="G182" s="1825" t="str">
        <f>IFERROR('DATA GPC'!L930/'DATA GPC'!L618*'DATA GPC'!L$156,"--")</f>
        <v>--</v>
      </c>
      <c r="H182" s="1825" t="str">
        <f>IFERROR('DATA GPC'!M930/'DATA GPC'!M618*'DATA GPC'!M$156,"--")</f>
        <v>--</v>
      </c>
      <c r="I182" s="1825" t="str">
        <f>IFERROR('DATA GPC'!N930/'DATA GPC'!N618*'DATA GPC'!N$156,"--")</f>
        <v>--</v>
      </c>
      <c r="J182" s="1825" t="str">
        <f>IFERROR('DATA GPC'!O930/'DATA GPC'!O618*'DATA GPC'!O$156,"--")</f>
        <v>--</v>
      </c>
      <c r="K182" s="1825" t="str">
        <f>IFERROR('DATA GPC'!P930/'DATA GPC'!P618*'DATA GPC'!P$156,"--")</f>
        <v>--</v>
      </c>
      <c r="L182" s="1364"/>
      <c r="M182" s="1825" t="str">
        <f t="shared" si="31"/>
        <v>--</v>
      </c>
      <c r="N182" s="1825" t="str">
        <f t="shared" si="32"/>
        <v>--</v>
      </c>
      <c r="O182" s="351"/>
      <c r="P182" s="1529"/>
      <c r="Q182" s="1565"/>
    </row>
    <row r="183" spans="1:17" ht="13.9">
      <c r="A183" s="1557" t="str">
        <f t="shared" si="30"/>
        <v>n</v>
      </c>
      <c r="B183" s="1557"/>
      <c r="C183" s="146" t="str">
        <f>'DATA GPC'!$E$42</f>
        <v>--</v>
      </c>
      <c r="D183" s="359" t="str">
        <f>'DATA GPC'!$P$151</f>
        <v>--</v>
      </c>
      <c r="E183" s="613"/>
      <c r="F183" s="1825" t="str">
        <f>IFERROR('DATA GPC'!K931/'DATA GPC'!K619*'DATA GPC'!K$156,"--")</f>
        <v>--</v>
      </c>
      <c r="G183" s="1825" t="str">
        <f>IFERROR('DATA GPC'!L931/'DATA GPC'!L619*'DATA GPC'!L$156,"--")</f>
        <v>--</v>
      </c>
      <c r="H183" s="1825" t="str">
        <f>IFERROR('DATA GPC'!M931/'DATA GPC'!M619*'DATA GPC'!M$156,"--")</f>
        <v>--</v>
      </c>
      <c r="I183" s="1825" t="str">
        <f>IFERROR('DATA GPC'!N931/'DATA GPC'!N619*'DATA GPC'!N$156,"--")</f>
        <v>--</v>
      </c>
      <c r="J183" s="1825" t="str">
        <f>IFERROR('DATA GPC'!O931/'DATA GPC'!O619*'DATA GPC'!O$156,"--")</f>
        <v>--</v>
      </c>
      <c r="K183" s="1825" t="str">
        <f>IFERROR('DATA GPC'!P931/'DATA GPC'!P619*'DATA GPC'!P$156,"--")</f>
        <v>--</v>
      </c>
      <c r="L183" s="1364"/>
      <c r="M183" s="1825" t="str">
        <f t="shared" si="31"/>
        <v>--</v>
      </c>
      <c r="N183" s="1825" t="str">
        <f t="shared" si="32"/>
        <v>--</v>
      </c>
      <c r="O183" s="351"/>
      <c r="P183" s="1529"/>
      <c r="Q183" s="1565"/>
    </row>
    <row r="184" spans="1:17" ht="13.9">
      <c r="A184" s="1557" t="str">
        <f t="shared" si="30"/>
        <v>n</v>
      </c>
      <c r="B184" s="1557"/>
      <c r="C184" s="146" t="str">
        <f>'DATA GPC'!$E$43</f>
        <v>--</v>
      </c>
      <c r="D184" s="359" t="str">
        <f>'DATA GPC'!$P$152</f>
        <v>--</v>
      </c>
      <c r="E184" s="613"/>
      <c r="F184" s="1825" t="str">
        <f>IFERROR('DATA GPC'!K932/'DATA GPC'!K620*'DATA GPC'!K$156,"--")</f>
        <v>--</v>
      </c>
      <c r="G184" s="1825" t="str">
        <f>IFERROR('DATA GPC'!L932/'DATA GPC'!L620*'DATA GPC'!L$156,"--")</f>
        <v>--</v>
      </c>
      <c r="H184" s="1825" t="str">
        <f>IFERROR('DATA GPC'!M932/'DATA GPC'!M620*'DATA GPC'!M$156,"--")</f>
        <v>--</v>
      </c>
      <c r="I184" s="1825" t="str">
        <f>IFERROR('DATA GPC'!N932/'DATA GPC'!N620*'DATA GPC'!N$156,"--")</f>
        <v>--</v>
      </c>
      <c r="J184" s="1825" t="str">
        <f>IFERROR('DATA GPC'!O932/'DATA GPC'!O620*'DATA GPC'!O$156,"--")</f>
        <v>--</v>
      </c>
      <c r="K184" s="1825" t="str">
        <f>IFERROR('DATA GPC'!P932/'DATA GPC'!P620*'DATA GPC'!P$156,"--")</f>
        <v>--</v>
      </c>
      <c r="L184" s="1364"/>
      <c r="M184" s="1825" t="str">
        <f t="shared" si="31"/>
        <v>--</v>
      </c>
      <c r="N184" s="1825" t="str">
        <f t="shared" si="32"/>
        <v>--</v>
      </c>
      <c r="O184" s="351"/>
      <c r="P184" s="1529"/>
      <c r="Q184" s="1565"/>
    </row>
    <row r="185" spans="1:17" ht="13.9">
      <c r="A185" s="1557" t="str">
        <f t="shared" si="30"/>
        <v>n</v>
      </c>
      <c r="B185" s="1557"/>
      <c r="C185" s="146" t="str">
        <f>'DATA GPC'!$E$44</f>
        <v>--</v>
      </c>
      <c r="D185" s="359" t="str">
        <f>'DATA GPC'!$P$153</f>
        <v>--</v>
      </c>
      <c r="E185" s="613"/>
      <c r="F185" s="1825" t="str">
        <f>IFERROR('DATA GPC'!K933/'DATA GPC'!K621*'DATA GPC'!K$156,"--")</f>
        <v>--</v>
      </c>
      <c r="G185" s="1825" t="str">
        <f>IFERROR('DATA GPC'!L933/'DATA GPC'!L621*'DATA GPC'!L$156,"--")</f>
        <v>--</v>
      </c>
      <c r="H185" s="1825" t="str">
        <f>IFERROR('DATA GPC'!M933/'DATA GPC'!M621*'DATA GPC'!M$156,"--")</f>
        <v>--</v>
      </c>
      <c r="I185" s="1825" t="str">
        <f>IFERROR('DATA GPC'!N933/'DATA GPC'!N621*'DATA GPC'!N$156,"--")</f>
        <v>--</v>
      </c>
      <c r="J185" s="1825" t="str">
        <f>IFERROR('DATA GPC'!O933/'DATA GPC'!O621*'DATA GPC'!O$156,"--")</f>
        <v>--</v>
      </c>
      <c r="K185" s="1825" t="str">
        <f>IFERROR('DATA GPC'!P933/'DATA GPC'!P621*'DATA GPC'!P$156,"--")</f>
        <v>--</v>
      </c>
      <c r="L185" s="1364"/>
      <c r="M185" s="1825" t="str">
        <f t="shared" si="31"/>
        <v>--</v>
      </c>
      <c r="N185" s="1825" t="str">
        <f t="shared" si="32"/>
        <v>--</v>
      </c>
      <c r="O185" s="351"/>
      <c r="P185" s="1529"/>
      <c r="Q185" s="1565"/>
    </row>
    <row r="186" spans="1:17" ht="13.9">
      <c r="A186" s="1557"/>
      <c r="B186" s="1557"/>
      <c r="C186" s="1542"/>
      <c r="D186" s="1542"/>
      <c r="E186" s="665"/>
      <c r="F186" s="1542"/>
      <c r="G186" s="1542"/>
      <c r="H186" s="1542"/>
      <c r="I186" s="1542"/>
      <c r="J186" s="1542"/>
      <c r="K186" s="1542"/>
      <c r="L186" s="1542"/>
      <c r="M186" s="503"/>
      <c r="N186" s="351" t="s">
        <v>1667</v>
      </c>
      <c r="O186" s="352"/>
      <c r="P186" s="1529"/>
      <c r="Q186" s="1565"/>
    </row>
    <row r="187" spans="1:17" ht="13.9">
      <c r="A187" s="1557"/>
      <c r="B187" s="1557"/>
      <c r="C187" s="1542"/>
      <c r="D187" s="1543" t="s">
        <v>1275</v>
      </c>
      <c r="E187" s="2060"/>
      <c r="F187" s="1826">
        <f t="shared" ref="F187:K187" si="33">IFERROR(MAX(F161:F185),"n/a")</f>
        <v>0</v>
      </c>
      <c r="G187" s="1826">
        <f t="shared" si="33"/>
        <v>0</v>
      </c>
      <c r="H187" s="1826">
        <f t="shared" si="33"/>
        <v>0</v>
      </c>
      <c r="I187" s="1826">
        <f t="shared" si="33"/>
        <v>0</v>
      </c>
      <c r="J187" s="1826">
        <f t="shared" si="33"/>
        <v>0</v>
      </c>
      <c r="K187" s="1826">
        <f t="shared" si="33"/>
        <v>0</v>
      </c>
      <c r="L187" s="1826"/>
      <c r="M187" s="1826">
        <f>IFERROR(MAX(M161:M185),"n/a")</f>
        <v>0</v>
      </c>
      <c r="N187" s="1826">
        <f>IFERROR(MAX(N161:N185),"n/a")</f>
        <v>0</v>
      </c>
      <c r="O187" s="2060"/>
      <c r="P187" s="1529"/>
      <c r="Q187" s="1565"/>
    </row>
    <row r="188" spans="1:17" ht="13.9">
      <c r="A188" s="1557"/>
      <c r="B188" s="1557"/>
      <c r="C188" s="1542"/>
      <c r="D188" s="1543" t="s">
        <v>1469</v>
      </c>
      <c r="E188" s="2060"/>
      <c r="F188" s="1827" t="str">
        <f t="shared" ref="F188:K188" si="34">IFERROR(QUARTILE(F161:F185,3),"n/a")</f>
        <v>n/a</v>
      </c>
      <c r="G188" s="1827" t="str">
        <f t="shared" si="34"/>
        <v>n/a</v>
      </c>
      <c r="H188" s="1827" t="str">
        <f t="shared" si="34"/>
        <v>n/a</v>
      </c>
      <c r="I188" s="1827" t="str">
        <f t="shared" si="34"/>
        <v>n/a</v>
      </c>
      <c r="J188" s="1827" t="str">
        <f t="shared" si="34"/>
        <v>n/a</v>
      </c>
      <c r="K188" s="1827" t="str">
        <f t="shared" si="34"/>
        <v>n/a</v>
      </c>
      <c r="L188" s="1827"/>
      <c r="M188" s="1827" t="str">
        <f>IFERROR(QUARTILE(M161:M185,3),"n/a")</f>
        <v>n/a</v>
      </c>
      <c r="N188" s="1827" t="str">
        <f>IFERROR(QUARTILE(N161:N185,3),"n/a")</f>
        <v>n/a</v>
      </c>
      <c r="O188" s="2060"/>
      <c r="P188" s="1529"/>
      <c r="Q188" s="1565"/>
    </row>
    <row r="189" spans="1:17" ht="13.9">
      <c r="A189" s="1557"/>
      <c r="B189" s="1557"/>
      <c r="C189" s="1542"/>
      <c r="D189" s="1543" t="s">
        <v>1157</v>
      </c>
      <c r="E189" s="2060"/>
      <c r="F189" s="1827" t="str">
        <f t="shared" ref="F189:K189" si="35">IFERROR(AVERAGE(F161:F185),"n/a")</f>
        <v>n/a</v>
      </c>
      <c r="G189" s="1827" t="str">
        <f t="shared" si="35"/>
        <v>n/a</v>
      </c>
      <c r="H189" s="1827" t="str">
        <f t="shared" si="35"/>
        <v>n/a</v>
      </c>
      <c r="I189" s="1827" t="str">
        <f t="shared" si="35"/>
        <v>n/a</v>
      </c>
      <c r="J189" s="1827" t="str">
        <f t="shared" si="35"/>
        <v>n/a</v>
      </c>
      <c r="K189" s="1827" t="str">
        <f t="shared" si="35"/>
        <v>n/a</v>
      </c>
      <c r="L189" s="1827"/>
      <c r="M189" s="1827" t="str">
        <f>IFERROR(AVERAGE(M161:M185),"n/a")</f>
        <v>n/a</v>
      </c>
      <c r="N189" s="1827" t="str">
        <f>IFERROR(AVERAGE(N161:N185),"n/a")</f>
        <v>n/a</v>
      </c>
      <c r="O189" s="2060"/>
      <c r="P189" s="1529"/>
      <c r="Q189" s="1565"/>
    </row>
    <row r="190" spans="1:17" ht="13.9">
      <c r="A190" s="1557"/>
      <c r="B190" s="1557"/>
      <c r="C190" s="1542"/>
      <c r="D190" s="1543" t="s">
        <v>1158</v>
      </c>
      <c r="E190" s="2060"/>
      <c r="F190" s="1827" t="str">
        <f t="shared" ref="F190:K190" si="36">IFERROR(MEDIAN(F161:F185),"n/a")</f>
        <v>n/a</v>
      </c>
      <c r="G190" s="1827" t="str">
        <f t="shared" si="36"/>
        <v>n/a</v>
      </c>
      <c r="H190" s="1827" t="str">
        <f t="shared" si="36"/>
        <v>n/a</v>
      </c>
      <c r="I190" s="1827" t="str">
        <f t="shared" si="36"/>
        <v>n/a</v>
      </c>
      <c r="J190" s="1827" t="str">
        <f t="shared" si="36"/>
        <v>n/a</v>
      </c>
      <c r="K190" s="1827" t="str">
        <f t="shared" si="36"/>
        <v>n/a</v>
      </c>
      <c r="L190" s="1827"/>
      <c r="M190" s="1827" t="str">
        <f>IFERROR(MEDIAN(M161:M185),"n/a")</f>
        <v>n/a</v>
      </c>
      <c r="N190" s="1827" t="str">
        <f>IFERROR(MEDIAN(N161:N185),"n/a")</f>
        <v>n/a</v>
      </c>
      <c r="O190" s="2060"/>
      <c r="P190" s="353"/>
      <c r="Q190" s="605"/>
    </row>
    <row r="191" spans="1:17" ht="13.9">
      <c r="A191" s="1557"/>
      <c r="B191" s="1557"/>
      <c r="C191" s="1542"/>
      <c r="D191" s="1543" t="s">
        <v>1470</v>
      </c>
      <c r="E191" s="2060"/>
      <c r="F191" s="1827" t="str">
        <f t="shared" ref="F191:K191" si="37">IFERROR(QUARTILE(F161:F185,1),"n/a")</f>
        <v>n/a</v>
      </c>
      <c r="G191" s="1827" t="str">
        <f t="shared" si="37"/>
        <v>n/a</v>
      </c>
      <c r="H191" s="1827" t="str">
        <f t="shared" si="37"/>
        <v>n/a</v>
      </c>
      <c r="I191" s="1827" t="str">
        <f t="shared" si="37"/>
        <v>n/a</v>
      </c>
      <c r="J191" s="1827" t="str">
        <f t="shared" si="37"/>
        <v>n/a</v>
      </c>
      <c r="K191" s="1827" t="str">
        <f t="shared" si="37"/>
        <v>n/a</v>
      </c>
      <c r="L191" s="1827"/>
      <c r="M191" s="1827" t="str">
        <f>IFERROR(QUARTILE(M161:M185,1),"n/a")</f>
        <v>n/a</v>
      </c>
      <c r="N191" s="1827" t="str">
        <f>IFERROR(QUARTILE(N161:N185,1),"n/a")</f>
        <v>n/a</v>
      </c>
      <c r="O191" s="2060"/>
      <c r="P191" s="353"/>
      <c r="Q191" s="605"/>
    </row>
    <row r="192" spans="1:17" ht="13.9">
      <c r="A192" s="1557"/>
      <c r="B192" s="1557"/>
      <c r="C192" s="1542"/>
      <c r="D192" s="1543" t="s">
        <v>1273</v>
      </c>
      <c r="E192" s="2060"/>
      <c r="F192" s="1828">
        <f t="shared" ref="F192:K192" si="38">IFERROR(MIN(F161:F185),"n/a")</f>
        <v>0</v>
      </c>
      <c r="G192" s="1828">
        <f t="shared" si="38"/>
        <v>0</v>
      </c>
      <c r="H192" s="1828">
        <f t="shared" si="38"/>
        <v>0</v>
      </c>
      <c r="I192" s="1828">
        <f t="shared" si="38"/>
        <v>0</v>
      </c>
      <c r="J192" s="1828">
        <f t="shared" si="38"/>
        <v>0</v>
      </c>
      <c r="K192" s="1828">
        <f t="shared" si="38"/>
        <v>0</v>
      </c>
      <c r="L192" s="1828"/>
      <c r="M192" s="1828">
        <f>IFERROR(MIN(M161:M185),"n/a")</f>
        <v>0</v>
      </c>
      <c r="N192" s="1828">
        <f>IFERROR(MIN(N161:N185),"n/a")</f>
        <v>0</v>
      </c>
      <c r="O192" s="2060"/>
      <c r="P192" s="1529"/>
      <c r="Q192" s="1565"/>
    </row>
    <row r="193" spans="1:17" ht="13.9">
      <c r="A193" s="1557"/>
      <c r="B193" s="1557"/>
      <c r="C193" s="1831" t="s">
        <v>1471</v>
      </c>
      <c r="D193" s="1543"/>
      <c r="E193" s="2060"/>
      <c r="F193" s="1556"/>
      <c r="G193" s="1556"/>
      <c r="H193" s="1556"/>
      <c r="I193" s="1556"/>
      <c r="J193" s="1556"/>
      <c r="K193" s="1556"/>
      <c r="L193" s="1556"/>
      <c r="M193" s="1556"/>
      <c r="N193" s="1556"/>
      <c r="O193" s="2060"/>
      <c r="P193" s="1529"/>
      <c r="Q193" s="1565"/>
    </row>
    <row r="194" spans="1:17" ht="13.9">
      <c r="A194" s="1557"/>
      <c r="B194" s="1557"/>
      <c r="C194" s="1542" t="str">
        <f>ClientName</f>
        <v/>
      </c>
      <c r="D194" s="359">
        <f>LFQLTM</f>
        <v>42643</v>
      </c>
      <c r="E194" s="2060"/>
      <c r="F194" s="1825" t="str">
        <f>IFERROR('DATA GPC'!K908/'DATA GPC'!K565*'DATA GPC'!K$156,"--")</f>
        <v>--</v>
      </c>
      <c r="G194" s="1825" t="str">
        <f>IFERROR('DATA GPC'!L908/'DATA GPC'!L565*'DATA GPC'!L$156,"--")</f>
        <v>--</v>
      </c>
      <c r="H194" s="1825" t="str">
        <f>IFERROR('DATA GPC'!M908/'DATA GPC'!M565*'DATA GPC'!M$156,"--")</f>
        <v>--</v>
      </c>
      <c r="I194" s="1825" t="str">
        <f>IFERROR('DATA GPC'!N908/'DATA GPC'!N565*'DATA GPC'!N$156,"--")</f>
        <v>--</v>
      </c>
      <c r="J194" s="1825" t="str">
        <f>IFERROR('DATA GPC'!O908/'DATA GPC'!O565*'DATA GPC'!O$156,"--")</f>
        <v>--</v>
      </c>
      <c r="K194" s="1825" t="str">
        <f>IFERROR('DATA GPC'!P908/'DATA GPC'!P565*'DATA GPC'!P$156,"--")</f>
        <v>--</v>
      </c>
      <c r="L194" s="1556"/>
      <c r="M194" s="1825" t="str">
        <f>IFERROR(AVERAGE(H194:J194),"--")</f>
        <v>--</v>
      </c>
      <c r="N194" s="1825" t="str">
        <f>IFERROR(AVERAGE(F194:J194),"--")</f>
        <v>--</v>
      </c>
      <c r="O194" s="2060"/>
      <c r="P194" s="1529"/>
      <c r="Q194" s="1565"/>
    </row>
    <row r="195" spans="1:17" ht="13.9">
      <c r="A195" s="1557"/>
      <c r="B195" s="1557"/>
      <c r="C195" s="1542"/>
      <c r="D195" s="1543"/>
      <c r="E195" s="2060"/>
      <c r="F195" s="1556"/>
      <c r="G195" s="1556"/>
      <c r="H195" s="1556"/>
      <c r="I195" s="1556"/>
      <c r="J195" s="1556"/>
      <c r="K195" s="1556"/>
      <c r="L195" s="1556"/>
      <c r="M195" s="1556"/>
      <c r="N195" s="1556"/>
      <c r="O195" s="2060"/>
      <c r="P195" s="1529"/>
      <c r="Q195" s="1565"/>
    </row>
    <row r="196" spans="1:17" ht="13.9">
      <c r="A196" s="1557"/>
      <c r="B196" s="1557"/>
      <c r="C196" s="1542" t="s">
        <v>1668</v>
      </c>
      <c r="D196" s="1543"/>
      <c r="E196" s="2060"/>
      <c r="F196" s="1556"/>
      <c r="G196" s="1556"/>
      <c r="H196" s="1556"/>
      <c r="I196" s="1556"/>
      <c r="J196" s="1556"/>
      <c r="K196" s="1556"/>
      <c r="L196" s="1556"/>
      <c r="M196" s="1556"/>
      <c r="N196" s="1556"/>
      <c r="O196" s="2060"/>
      <c r="P196" s="1529"/>
      <c r="Q196" s="1565"/>
    </row>
    <row r="197" spans="1:17" ht="13.9">
      <c r="A197" s="1557"/>
      <c r="B197" s="1557"/>
      <c r="C197" s="1529" t="s">
        <v>1402</v>
      </c>
      <c r="D197" s="354"/>
      <c r="E197" s="619"/>
      <c r="F197" s="1529"/>
      <c r="G197" s="1529"/>
      <c r="H197" s="1529"/>
      <c r="I197" s="1529"/>
      <c r="J197" s="1529"/>
      <c r="K197" s="1529"/>
      <c r="L197" s="1529"/>
      <c r="M197" s="1529"/>
      <c r="N197" s="1529"/>
      <c r="O197" s="2060"/>
      <c r="P197" s="1529"/>
      <c r="Q197" s="1565"/>
    </row>
    <row r="198" spans="1:17" ht="13.9">
      <c r="A198" s="1557"/>
      <c r="B198" s="1557"/>
      <c r="C198" s="1529"/>
      <c r="D198" s="354"/>
      <c r="E198" s="619"/>
      <c r="F198" s="1529"/>
      <c r="G198" s="1529"/>
      <c r="H198" s="1529"/>
      <c r="I198" s="1529"/>
      <c r="J198" s="1529"/>
      <c r="K198" s="1529"/>
      <c r="L198" s="1529"/>
      <c r="M198" s="1529"/>
      <c r="N198" s="1529"/>
      <c r="O198" s="2060"/>
      <c r="P198" s="1529"/>
      <c r="Q198" s="1565"/>
    </row>
    <row r="199" spans="1:17" ht="13.9">
      <c r="A199" s="1557"/>
      <c r="B199" s="1557"/>
      <c r="C199" s="1529" t="str">
        <f>DraftFooter</f>
        <v>Draft and preliminary. All data subject to change upon completion of additional analysis</v>
      </c>
      <c r="D199" s="356"/>
      <c r="E199" s="691"/>
      <c r="F199" s="356"/>
      <c r="G199" s="356"/>
      <c r="H199" s="356"/>
      <c r="I199" s="356"/>
      <c r="J199" s="356"/>
      <c r="K199" s="1529"/>
      <c r="L199" s="1529"/>
      <c r="M199" s="356"/>
      <c r="N199" s="357"/>
      <c r="O199" s="358"/>
      <c r="P199" s="1525"/>
      <c r="Q199" s="1557"/>
    </row>
    <row r="200" spans="1:17" ht="12" customHeight="1">
      <c r="A200" s="1557" t="s">
        <v>17</v>
      </c>
      <c r="B200" s="592"/>
      <c r="C200" s="592"/>
      <c r="D200" s="592"/>
      <c r="E200" s="685"/>
      <c r="F200" s="592"/>
      <c r="G200" s="592"/>
      <c r="H200" s="592"/>
      <c r="I200" s="592"/>
      <c r="J200" s="592"/>
      <c r="K200" s="1565"/>
      <c r="L200" s="1565"/>
      <c r="M200" s="592"/>
      <c r="N200" s="592"/>
      <c r="O200" s="592"/>
      <c r="P200" s="596" t="s">
        <v>18</v>
      </c>
      <c r="Q200" s="1557"/>
    </row>
  </sheetData>
  <autoFilter ref="A1:A246"/>
  <conditionalFormatting sqref="B1:B2">
    <cfRule type="cellIs" dxfId="139" priority="17" operator="notEqual">
      <formula>0</formula>
    </cfRule>
  </conditionalFormatting>
  <conditionalFormatting sqref="A6">
    <cfRule type="expression" dxfId="138" priority="16">
      <formula>AND(MasterCheck&gt;0,RedAlertY=TRUE)</formula>
    </cfRule>
  </conditionalFormatting>
  <conditionalFormatting sqref="F37:N42">
    <cfRule type="expression" dxfId="137" priority="14">
      <formula>(F37&lt;F$44)</formula>
    </cfRule>
  </conditionalFormatting>
  <conditionalFormatting sqref="B51:B52">
    <cfRule type="cellIs" dxfId="136" priority="12" operator="notEqual">
      <formula>0</formula>
    </cfRule>
  </conditionalFormatting>
  <conditionalFormatting sqref="A56">
    <cfRule type="expression" dxfId="135" priority="11">
      <formula>AND(MasterCheck&gt;0,RedAlertY=TRUE)</formula>
    </cfRule>
  </conditionalFormatting>
  <conditionalFormatting sqref="B101:B102">
    <cfRule type="cellIs" dxfId="134" priority="9" operator="notEqual">
      <formula>0</formula>
    </cfRule>
  </conditionalFormatting>
  <conditionalFormatting sqref="A106">
    <cfRule type="expression" dxfId="133" priority="8">
      <formula>AND(MasterCheck&gt;0,RedAlertY=TRUE)</formula>
    </cfRule>
  </conditionalFormatting>
  <conditionalFormatting sqref="B151:B152">
    <cfRule type="cellIs" dxfId="132" priority="6" operator="notEqual">
      <formula>0</formula>
    </cfRule>
  </conditionalFormatting>
  <conditionalFormatting sqref="A156">
    <cfRule type="expression" dxfId="131" priority="5">
      <formula>AND(MasterCheck&gt;0,RedAlertY=TRUE)</formula>
    </cfRule>
  </conditionalFormatting>
  <conditionalFormatting sqref="F87:N92">
    <cfRule type="expression" dxfId="130" priority="3">
      <formula>(F87&lt;F$94)</formula>
    </cfRule>
  </conditionalFormatting>
  <conditionalFormatting sqref="F137:N142">
    <cfRule type="expression" dxfId="129" priority="2">
      <formula>(F137&lt;F$144)</formula>
    </cfRule>
  </conditionalFormatting>
  <conditionalFormatting sqref="F187:N192">
    <cfRule type="expression" dxfId="128" priority="1">
      <formula>(F187&lt;F$194)</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4" manualBreakCount="4">
    <brk id="50" max="16383" man="1"/>
    <brk id="100" min="2" max="15" man="1"/>
    <brk id="150" min="2" max="15" man="1"/>
    <brk id="246"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ACCGuidelineCos">
    <tabColor rgb="FF99FF66"/>
    <pageSetUpPr autoPageBreaks="0"/>
  </sheetPr>
  <dimension ref="A1:AZ92"/>
  <sheetViews>
    <sheetView showGridLines="0" zoomScale="85" zoomScaleNormal="85" zoomScaleSheetLayoutView="90" workbookViewId="0"/>
  </sheetViews>
  <sheetFormatPr defaultColWidth="9.33203125" defaultRowHeight="12" customHeight="1"/>
  <cols>
    <col min="1" max="1" width="2.83203125" style="335" customWidth="1"/>
    <col min="2" max="2" width="3.83203125" style="335" customWidth="1"/>
    <col min="3" max="3" width="35.6640625" style="330" customWidth="1"/>
    <col min="4" max="4" width="12" style="291" customWidth="1"/>
    <col min="5" max="6" width="12" style="1530" customWidth="1"/>
    <col min="7" max="16" width="12" style="291" customWidth="1"/>
    <col min="17" max="18" width="12" style="335" customWidth="1"/>
    <col min="19" max="19" width="3.83203125" style="291" customWidth="1"/>
    <col min="20" max="20" width="3.5" style="335" customWidth="1"/>
    <col min="21" max="21" width="8.83203125" style="291" customWidth="1"/>
    <col min="22" max="22" width="27.6640625" style="330" customWidth="1"/>
    <col min="23" max="23" width="13" style="291" customWidth="1"/>
    <col min="24" max="33" width="8" style="291" customWidth="1"/>
    <col min="34" max="52" width="8" style="1530" customWidth="1"/>
    <col min="53" max="16384" width="9.33203125" style="291"/>
  </cols>
  <sheetData>
    <row r="1" spans="1:52" ht="18" customHeight="1">
      <c r="A1" s="1510"/>
      <c r="B1" s="649">
        <f ca="1">SUMPRODUCT(--ISERROR($C$1:T87))+COUNTIF($C$1:T87,Fail)</f>
        <v>0</v>
      </c>
      <c r="C1" s="1372" t="str">
        <f>START!$C$1</f>
        <v>Client Name</v>
      </c>
      <c r="D1" s="852"/>
      <c r="E1" s="852"/>
      <c r="F1" s="852"/>
      <c r="G1" s="1525"/>
      <c r="H1" s="1525"/>
      <c r="I1" s="1525"/>
      <c r="J1" s="1525"/>
      <c r="K1" s="1525"/>
      <c r="L1" s="1525"/>
      <c r="M1" s="1525"/>
      <c r="N1" s="1525"/>
      <c r="O1" s="1525"/>
      <c r="P1" s="1525"/>
      <c r="Q1" s="1525"/>
      <c r="R1" s="1525"/>
      <c r="S1" s="367"/>
      <c r="T1" s="389" t="s">
        <v>1672</v>
      </c>
      <c r="U1" s="1510"/>
      <c r="V1" s="1530"/>
      <c r="W1" s="1530"/>
      <c r="X1" s="1530"/>
      <c r="Y1" s="1530"/>
      <c r="Z1" s="1530"/>
      <c r="AA1" s="1530"/>
      <c r="AB1" s="1530"/>
      <c r="AC1" s="1530"/>
      <c r="AD1" s="1530"/>
      <c r="AE1" s="1530"/>
      <c r="AF1" s="1530"/>
      <c r="AG1" s="1530"/>
    </row>
    <row r="2" spans="1:52" s="335" customFormat="1" ht="18" customHeight="1">
      <c r="A2" s="1510"/>
      <c r="B2" s="649"/>
      <c r="C2" s="1372" t="str">
        <f>START!$C$2</f>
        <v xml:space="preserve">Please enter project description in START worksheet cell G13 </v>
      </c>
      <c r="D2" s="852"/>
      <c r="E2" s="852"/>
      <c r="F2" s="852"/>
      <c r="G2" s="1525"/>
      <c r="H2" s="1525"/>
      <c r="I2" s="1525"/>
      <c r="J2" s="1525"/>
      <c r="K2" s="1525"/>
      <c r="L2" s="1525"/>
      <c r="M2" s="1525"/>
      <c r="N2" s="1525"/>
      <c r="O2" s="1525"/>
      <c r="P2" s="1525"/>
      <c r="Q2" s="1525"/>
      <c r="R2" s="1525"/>
      <c r="S2" s="367"/>
      <c r="T2" s="389"/>
      <c r="U2" s="1510"/>
      <c r="V2" s="1530"/>
      <c r="W2" s="1530"/>
      <c r="X2" s="1530"/>
      <c r="Y2" s="1530"/>
      <c r="Z2" s="1530"/>
      <c r="AA2" s="1530"/>
      <c r="AB2" s="1530"/>
      <c r="AC2" s="1530"/>
      <c r="AD2" s="1530"/>
      <c r="AE2" s="1530"/>
      <c r="AF2" s="1530"/>
      <c r="AG2" s="1530"/>
      <c r="AH2" s="1530"/>
      <c r="AI2" s="1530"/>
      <c r="AJ2" s="1530"/>
      <c r="AK2" s="1530"/>
      <c r="AL2" s="1530"/>
      <c r="AM2" s="1530"/>
      <c r="AN2" s="1530"/>
      <c r="AO2" s="1530"/>
      <c r="AP2" s="1530"/>
      <c r="AQ2" s="1530"/>
      <c r="AR2" s="1530"/>
      <c r="AS2" s="1530"/>
      <c r="AT2" s="1530"/>
      <c r="AU2" s="1530"/>
      <c r="AV2" s="1530"/>
      <c r="AW2" s="1530"/>
      <c r="AX2" s="1530"/>
      <c r="AY2" s="1530"/>
      <c r="AZ2" s="1530"/>
    </row>
    <row r="3" spans="1:52" ht="18" customHeight="1">
      <c r="A3" s="1510"/>
      <c r="B3" s="1510"/>
      <c r="C3" s="839" t="s">
        <v>1673</v>
      </c>
      <c r="D3" s="1526"/>
      <c r="E3" s="1526"/>
      <c r="F3" s="1526"/>
      <c r="G3" s="1526"/>
      <c r="H3" s="1526"/>
      <c r="I3" s="1526"/>
      <c r="J3" s="1526"/>
      <c r="K3" s="1526"/>
      <c r="L3" s="1526"/>
      <c r="M3" s="1526"/>
      <c r="N3" s="1525"/>
      <c r="O3" s="1525"/>
      <c r="P3" s="1525"/>
      <c r="Q3" s="1525"/>
      <c r="R3" s="1525"/>
      <c r="S3" s="1525"/>
      <c r="T3" s="1525"/>
      <c r="U3" s="1510"/>
      <c r="V3" s="1530"/>
      <c r="W3" s="1530"/>
      <c r="X3" s="1530"/>
      <c r="Y3" s="1530"/>
      <c r="Z3" s="1530"/>
      <c r="AA3" s="1530"/>
      <c r="AB3" s="1530"/>
      <c r="AC3" s="1530"/>
      <c r="AD3" s="1530"/>
      <c r="AE3" s="1530"/>
      <c r="AF3" s="1530"/>
      <c r="AG3" s="1530"/>
    </row>
    <row r="4" spans="1:52" ht="18" customHeight="1">
      <c r="A4" s="1510"/>
      <c r="B4" s="1510"/>
      <c r="C4" s="840" t="str">
        <f>ValDateHeading</f>
        <v>Estimation of value as of 28 February 2017</v>
      </c>
      <c r="D4" s="1526"/>
      <c r="E4" s="1526"/>
      <c r="F4" s="1526"/>
      <c r="G4" s="1526"/>
      <c r="H4" s="1526"/>
      <c r="I4" s="1526"/>
      <c r="J4" s="1526"/>
      <c r="K4" s="1526"/>
      <c r="L4" s="1526"/>
      <c r="M4" s="1526"/>
      <c r="N4" s="1525"/>
      <c r="O4" s="1525"/>
      <c r="P4" s="1525"/>
      <c r="Q4" s="1525"/>
      <c r="R4" s="1525"/>
      <c r="S4" s="1525"/>
      <c r="T4" s="1525"/>
      <c r="U4" s="1510"/>
      <c r="V4" s="1530"/>
      <c r="W4" s="1530"/>
      <c r="X4" s="1530"/>
      <c r="Y4" s="1530"/>
      <c r="Z4" s="1530"/>
      <c r="AA4" s="1530"/>
      <c r="AB4" s="1530"/>
      <c r="AC4" s="1530"/>
      <c r="AD4" s="1530"/>
      <c r="AE4" s="1530"/>
      <c r="AF4" s="1530"/>
      <c r="AG4" s="1530"/>
    </row>
    <row r="5" spans="1:52" ht="18" customHeight="1">
      <c r="A5" s="1417"/>
      <c r="B5" s="1510"/>
      <c r="C5" s="340"/>
      <c r="D5" s="1526"/>
      <c r="E5" s="1526"/>
      <c r="F5" s="1526"/>
      <c r="G5" s="1526"/>
      <c r="H5" s="1526"/>
      <c r="I5" s="1526"/>
      <c r="J5" s="341"/>
      <c r="K5" s="1525"/>
      <c r="L5" s="1525"/>
      <c r="M5" s="1525"/>
      <c r="N5" s="1525"/>
      <c r="O5" s="1525"/>
      <c r="P5" s="1525"/>
      <c r="Q5" s="1525"/>
      <c r="R5" s="1525"/>
      <c r="S5" s="1525"/>
      <c r="T5" s="1525"/>
      <c r="U5" s="1510"/>
      <c r="V5" s="1530"/>
      <c r="W5" s="1530"/>
      <c r="X5" s="1530"/>
      <c r="Y5" s="1530"/>
      <c r="Z5" s="1530"/>
      <c r="AA5" s="1530"/>
      <c r="AB5" s="1530"/>
      <c r="AC5" s="1530"/>
      <c r="AD5" s="1530"/>
      <c r="AE5" s="1530"/>
      <c r="AF5" s="1530"/>
      <c r="AG5" s="1530"/>
    </row>
    <row r="6" spans="1:52" s="335" customFormat="1" ht="13.9">
      <c r="A6" s="1413" t="str">
        <f>IF(MasterCheck,"Please check the "&amp;'Error Check'!$G$8,"")</f>
        <v/>
      </c>
      <c r="B6" s="1424"/>
      <c r="C6" s="1511"/>
      <c r="D6" s="1526"/>
      <c r="E6" s="1526"/>
      <c r="F6" s="1526"/>
      <c r="G6" s="1526"/>
      <c r="H6" s="1526"/>
      <c r="I6" s="1526"/>
      <c r="J6" s="341"/>
      <c r="K6" s="1525"/>
      <c r="L6" s="1525"/>
      <c r="M6" s="1525"/>
      <c r="N6" s="1525"/>
      <c r="O6" s="1525"/>
      <c r="P6" s="1525"/>
      <c r="Q6" s="1525"/>
      <c r="R6" s="1525"/>
      <c r="S6" s="1525"/>
      <c r="T6" s="1525"/>
      <c r="U6" s="1510"/>
      <c r="V6" s="1530"/>
      <c r="W6" s="1530"/>
      <c r="X6" s="1530"/>
      <c r="Y6" s="1530"/>
      <c r="Z6" s="1530"/>
      <c r="AA6" s="1530"/>
      <c r="AB6" s="1530"/>
      <c r="AC6" s="1530"/>
      <c r="AD6" s="1530"/>
      <c r="AE6" s="1530"/>
      <c r="AF6" s="1530"/>
      <c r="AG6" s="1530"/>
      <c r="AH6" s="1530"/>
      <c r="AI6" s="1530"/>
      <c r="AJ6" s="1530"/>
      <c r="AK6" s="1530"/>
      <c r="AL6" s="1530"/>
      <c r="AM6" s="1530"/>
      <c r="AN6" s="1530"/>
      <c r="AO6" s="1530"/>
      <c r="AP6" s="1530"/>
      <c r="AQ6" s="1530"/>
      <c r="AR6" s="1530"/>
      <c r="AS6" s="1530"/>
      <c r="AT6" s="1530"/>
      <c r="AU6" s="1530"/>
      <c r="AV6" s="1530"/>
      <c r="AW6" s="1530"/>
      <c r="AX6" s="1530"/>
      <c r="AY6" s="1530"/>
      <c r="AZ6" s="1530"/>
    </row>
    <row r="7" spans="1:52" ht="11.25" customHeight="1">
      <c r="A7" s="1510"/>
      <c r="B7" s="1510"/>
      <c r="C7" s="1274"/>
      <c r="D7" s="1187"/>
      <c r="E7" s="1187"/>
      <c r="F7" s="1187"/>
      <c r="G7" s="1187"/>
      <c r="H7" s="1187"/>
      <c r="I7" s="1187"/>
      <c r="J7" s="1187"/>
      <c r="K7" s="1187"/>
      <c r="L7" s="1187"/>
      <c r="M7" s="1187" t="s">
        <v>1236</v>
      </c>
      <c r="N7" s="1187" t="s">
        <v>851</v>
      </c>
      <c r="O7" s="1187"/>
      <c r="P7" s="1187"/>
      <c r="Q7" s="1785"/>
      <c r="R7" s="1785"/>
      <c r="S7" s="1525"/>
      <c r="T7" s="1525"/>
      <c r="U7" s="1510"/>
      <c r="V7" s="1530"/>
      <c r="W7" s="1530"/>
      <c r="X7" s="1530"/>
      <c r="Y7" s="1530"/>
      <c r="Z7" s="1530"/>
      <c r="AA7" s="1530"/>
      <c r="AB7" s="1530"/>
      <c r="AC7" s="1530"/>
      <c r="AD7" s="1530"/>
      <c r="AE7" s="1530"/>
      <c r="AF7" s="1530"/>
      <c r="AG7" s="1530"/>
    </row>
    <row r="8" spans="1:52" ht="13.9">
      <c r="A8" s="1510"/>
      <c r="B8" s="1510"/>
      <c r="C8" s="1529"/>
      <c r="D8" s="731"/>
      <c r="E8" s="731"/>
      <c r="F8" s="731"/>
      <c r="G8" s="731"/>
      <c r="H8" s="731" t="s">
        <v>1674</v>
      </c>
      <c r="I8" s="731"/>
      <c r="J8" s="731"/>
      <c r="K8" s="731"/>
      <c r="L8" s="731"/>
      <c r="M8" s="731" t="s">
        <v>1181</v>
      </c>
      <c r="N8" s="731" t="s">
        <v>1675</v>
      </c>
      <c r="O8" s="731" t="s">
        <v>851</v>
      </c>
      <c r="P8" s="731" t="s">
        <v>1676</v>
      </c>
      <c r="Q8" s="1553"/>
      <c r="R8" s="1553"/>
      <c r="S8" s="1527"/>
      <c r="T8" s="1527"/>
      <c r="U8" s="1510"/>
      <c r="V8" s="1530"/>
      <c r="W8" s="1530"/>
      <c r="X8" s="1530"/>
      <c r="Y8" s="1530"/>
      <c r="Z8" s="1530"/>
      <c r="AA8" s="1530"/>
      <c r="AB8" s="1530"/>
      <c r="AC8" s="1530"/>
      <c r="AD8" s="1530"/>
      <c r="AE8" s="1530"/>
      <c r="AF8" s="1530"/>
      <c r="AG8" s="1530"/>
    </row>
    <row r="9" spans="1:52" ht="13.9">
      <c r="A9" s="1510"/>
      <c r="B9" s="1510"/>
      <c r="C9" s="437"/>
      <c r="D9" s="727" t="s">
        <v>125</v>
      </c>
      <c r="E9" s="727"/>
      <c r="F9" s="727" t="s">
        <v>1677</v>
      </c>
      <c r="G9" s="731" t="s">
        <v>1236</v>
      </c>
      <c r="H9" s="731" t="s">
        <v>1181</v>
      </c>
      <c r="I9" s="731" t="s">
        <v>1678</v>
      </c>
      <c r="J9" s="731" t="s">
        <v>1679</v>
      </c>
      <c r="K9" s="731" t="s">
        <v>1680</v>
      </c>
      <c r="L9" s="731" t="s">
        <v>1681</v>
      </c>
      <c r="M9" s="731" t="s">
        <v>1682</v>
      </c>
      <c r="N9" s="731" t="s">
        <v>1682</v>
      </c>
      <c r="O9" s="731" t="s">
        <v>1683</v>
      </c>
      <c r="P9" s="731" t="s">
        <v>1186</v>
      </c>
      <c r="Q9" s="1553"/>
      <c r="R9" s="1553"/>
      <c r="S9" s="1527"/>
      <c r="T9" s="1527"/>
      <c r="U9" s="1510"/>
      <c r="V9" s="1530"/>
      <c r="W9" s="1530"/>
      <c r="X9" s="1530"/>
      <c r="Y9" s="1530"/>
      <c r="Z9" s="1530"/>
      <c r="AA9" s="1530"/>
      <c r="AB9" s="1530"/>
      <c r="AC9" s="1530"/>
      <c r="AD9" s="1530"/>
      <c r="AE9" s="1530"/>
      <c r="AF9" s="1530"/>
      <c r="AG9" s="1530"/>
    </row>
    <row r="10" spans="1:52" ht="13.9">
      <c r="A10" s="1510"/>
      <c r="B10" s="1510"/>
      <c r="C10" s="1275"/>
      <c r="D10" s="1275" t="s">
        <v>1684</v>
      </c>
      <c r="E10" s="1275" t="s">
        <v>167</v>
      </c>
      <c r="F10" s="1275" t="s">
        <v>1685</v>
      </c>
      <c r="G10" s="1266" t="s">
        <v>1686</v>
      </c>
      <c r="H10" s="1266" t="s">
        <v>1186</v>
      </c>
      <c r="I10" s="1266" t="s">
        <v>1148</v>
      </c>
      <c r="J10" s="1276" t="s">
        <v>1184</v>
      </c>
      <c r="K10" s="1276" t="s">
        <v>1687</v>
      </c>
      <c r="L10" s="1266" t="s">
        <v>1184</v>
      </c>
      <c r="M10" s="1276" t="s">
        <v>1688</v>
      </c>
      <c r="N10" s="1276" t="s">
        <v>1689</v>
      </c>
      <c r="O10" s="1266" t="s">
        <v>1690</v>
      </c>
      <c r="P10" s="1266" t="s">
        <v>1259</v>
      </c>
      <c r="Q10" s="441"/>
      <c r="R10" s="441"/>
      <c r="S10" s="1527"/>
      <c r="T10" s="1527"/>
      <c r="U10" s="1510"/>
      <c r="V10" s="1530"/>
      <c r="W10" s="1530"/>
      <c r="X10" s="1530"/>
      <c r="Y10" s="1530"/>
      <c r="Z10" s="1530"/>
      <c r="AA10" s="1530"/>
      <c r="AB10" s="1530"/>
      <c r="AC10" s="1530"/>
      <c r="AD10" s="1530"/>
      <c r="AE10" s="1530"/>
      <c r="AF10" s="1530"/>
      <c r="AG10" s="1530"/>
    </row>
    <row r="11" spans="1:52" s="1530" customFormat="1" ht="13.9">
      <c r="A11" s="1510"/>
      <c r="B11" s="1510"/>
      <c r="C11" s="1835" t="s">
        <v>1256</v>
      </c>
      <c r="D11" s="727"/>
      <c r="E11" s="727"/>
      <c r="F11" s="727"/>
      <c r="G11" s="731"/>
      <c r="H11" s="731"/>
      <c r="I11" s="731"/>
      <c r="J11" s="1834"/>
      <c r="K11" s="1834"/>
      <c r="L11" s="731"/>
      <c r="M11" s="1834"/>
      <c r="N11" s="1834"/>
      <c r="O11" s="731"/>
      <c r="P11" s="731"/>
      <c r="Q11" s="441"/>
      <c r="R11" s="441"/>
      <c r="S11" s="1527"/>
      <c r="T11" s="1527"/>
      <c r="U11" s="1510"/>
    </row>
    <row r="12" spans="1:52" ht="13.9">
      <c r="A12" s="1510" t="str">
        <f t="shared" ref="A12:A21" si="0">IF(G12="--","n","")</f>
        <v>n</v>
      </c>
      <c r="B12" s="1510"/>
      <c r="C12" s="173" t="str">
        <f>'DATA GPC'!E20</f>
        <v>--</v>
      </c>
      <c r="D12" s="1530" t="str">
        <f>'WACC and TIC Inputs'!G129&amp;""</f>
        <v>--</v>
      </c>
      <c r="E12" s="1530" t="str">
        <f>'DATA GPC'!H129</f>
        <v>--</v>
      </c>
      <c r="F12" s="1626" t="str">
        <f>IF(C12="--","--",IFERROR(_xll.ciqfunctions.udf.CIQ(D12,"IQ_MARKETCAP",Valuation_date,E12)*Scale,"n/a"))</f>
        <v>--</v>
      </c>
      <c r="G12" s="1965" t="str">
        <f>WACC!G13</f>
        <v>--</v>
      </c>
      <c r="H12" s="1364" t="str">
        <f>IF(ISNUMBER('WACC and TIC Inputs'!J49),'WACC and TIC Inputs'!J49,"")</f>
        <v/>
      </c>
      <c r="I12" s="1364" t="str">
        <f>'WACC and TIC Inputs'!P49</f>
        <v>--</v>
      </c>
      <c r="J12" s="1965" t="str">
        <f>IF(C12="--","",IFERROR(WACC!N13,"n/a"))</f>
        <v/>
      </c>
      <c r="K12" s="1364" t="str">
        <f t="shared" ref="K12:K36" si="1">IF($C12="--","",RFRate)</f>
        <v/>
      </c>
      <c r="L12" s="1965" t="str">
        <f>IF($C12="--","",IFERROR(J12*(1+WACC!$G$47*(1-IF(ReleverTaxRate="Y",WACC!$O$45,0))),"n/a"))</f>
        <v/>
      </c>
      <c r="M12" s="1364" t="str">
        <f>IF($C12="--","",WACC!$G$45)</f>
        <v/>
      </c>
      <c r="N12" s="1364" t="str">
        <f>IF($C12="--","",WACC!$G$50)</f>
        <v/>
      </c>
      <c r="O12" s="1364" t="str">
        <f>IF(C12="--","--",VLOOKUP(F12,'WACC and TIC Inputs'!$G$253:$M$263,6,TRUE))</f>
        <v>--</v>
      </c>
      <c r="P12" s="1364" t="str">
        <f t="shared" ref="P12:P21" si="2">IF(C12="--","",IFERROR(K12+(L12*M12)+N12+O12,"n/a"))</f>
        <v/>
      </c>
      <c r="Q12" s="440"/>
      <c r="R12" s="440"/>
      <c r="S12" s="1527"/>
      <c r="T12" s="1527"/>
      <c r="U12" s="1510"/>
      <c r="V12" s="1530"/>
      <c r="W12" s="1530"/>
      <c r="X12" s="1530"/>
      <c r="Y12" s="1530"/>
      <c r="Z12" s="1530"/>
      <c r="AA12" s="1530"/>
      <c r="AB12" s="1530"/>
      <c r="AC12" s="1530"/>
      <c r="AD12" s="1530"/>
      <c r="AE12" s="1530"/>
      <c r="AF12" s="1530"/>
      <c r="AG12" s="1530"/>
    </row>
    <row r="13" spans="1:52" ht="12" customHeight="1">
      <c r="A13" s="1510" t="str">
        <f t="shared" si="0"/>
        <v>n</v>
      </c>
      <c r="B13" s="1510"/>
      <c r="C13" s="173" t="str">
        <f>'DATA GPC'!E21</f>
        <v>--</v>
      </c>
      <c r="D13" s="1530" t="str">
        <f>'WACC and TIC Inputs'!G130&amp;""</f>
        <v>--</v>
      </c>
      <c r="E13" s="1530" t="str">
        <f>'DATA GPC'!H130</f>
        <v>--</v>
      </c>
      <c r="F13" s="1626" t="str">
        <f>IF(C13="--","--",IFERROR(_xll.ciqfunctions.udf.CIQ(D13,"IQ_MARKETCAP",Valuation_date,E13)*Scale,"n/a"))</f>
        <v>--</v>
      </c>
      <c r="G13" s="1965" t="str">
        <f>WACC!G14</f>
        <v>--</v>
      </c>
      <c r="H13" s="1364" t="str">
        <f>IF(ISNUMBER('WACC and TIC Inputs'!J50),'WACC and TIC Inputs'!J50,"")</f>
        <v/>
      </c>
      <c r="I13" s="1364" t="str">
        <f>'WACC and TIC Inputs'!P50</f>
        <v>--</v>
      </c>
      <c r="J13" s="1965" t="str">
        <f>IF(C13="--","",IFERROR(WACC!N14,"n/a"))</f>
        <v/>
      </c>
      <c r="K13" s="1364" t="str">
        <f t="shared" si="1"/>
        <v/>
      </c>
      <c r="L13" s="1965" t="str">
        <f>IF($C13="--","",IFERROR(J13*(1+WACC!$G$47*(1-IF(ReleverTaxRate="Y",WACC!$O$45,0))),"n/a"))</f>
        <v/>
      </c>
      <c r="M13" s="1364" t="str">
        <f>IF($C13="--","",WACC!$G$45)</f>
        <v/>
      </c>
      <c r="N13" s="1364" t="str">
        <f>IF($C13="--","",WACC!$G$50)</f>
        <v/>
      </c>
      <c r="O13" s="1364" t="str">
        <f>IF(C13="--","--",VLOOKUP(F13,'WACC and TIC Inputs'!$G$253:$M$263,6,TRUE))</f>
        <v>--</v>
      </c>
      <c r="P13" s="1364" t="str">
        <f t="shared" si="2"/>
        <v/>
      </c>
      <c r="Q13" s="440"/>
      <c r="R13" s="440"/>
      <c r="S13" s="1527"/>
      <c r="T13" s="1527"/>
      <c r="U13" s="1510"/>
      <c r="V13" s="1530"/>
      <c r="W13" s="1530"/>
      <c r="X13" s="1530"/>
      <c r="Y13" s="1530"/>
      <c r="Z13" s="1530"/>
      <c r="AA13" s="1530"/>
      <c r="AB13" s="1530"/>
      <c r="AC13" s="1530"/>
      <c r="AD13" s="1530"/>
      <c r="AE13" s="1530"/>
      <c r="AF13" s="1530"/>
      <c r="AG13" s="1530"/>
    </row>
    <row r="14" spans="1:52" ht="12" customHeight="1">
      <c r="A14" s="1510" t="str">
        <f t="shared" si="0"/>
        <v>n</v>
      </c>
      <c r="B14" s="1510"/>
      <c r="C14" s="173" t="str">
        <f>'DATA GPC'!E22</f>
        <v>--</v>
      </c>
      <c r="D14" s="1530" t="str">
        <f>'WACC and TIC Inputs'!G131&amp;""</f>
        <v>--</v>
      </c>
      <c r="E14" s="1530" t="str">
        <f>'DATA GPC'!H131</f>
        <v>--</v>
      </c>
      <c r="F14" s="1626" t="str">
        <f>IF(C14="--","--",IFERROR(_xll.ciqfunctions.udf.CIQ(D14,"IQ_MARKETCAP",Valuation_date,E14)*Scale,"n/a"))</f>
        <v>--</v>
      </c>
      <c r="G14" s="1965" t="str">
        <f>WACC!G15</f>
        <v>--</v>
      </c>
      <c r="H14" s="1364" t="str">
        <f>IF(ISNUMBER('WACC and TIC Inputs'!J51),'WACC and TIC Inputs'!J51,"")</f>
        <v/>
      </c>
      <c r="I14" s="1364" t="str">
        <f>'WACC and TIC Inputs'!P51</f>
        <v>--</v>
      </c>
      <c r="J14" s="1965" t="str">
        <f>IF(C14="--","",IFERROR(WACC!N15,"n/a"))</f>
        <v/>
      </c>
      <c r="K14" s="1364" t="str">
        <f t="shared" si="1"/>
        <v/>
      </c>
      <c r="L14" s="1965" t="str">
        <f>IF($C14="--","",IFERROR(J14*(1+WACC!$G$47*(1-IF(ReleverTaxRate="Y",WACC!$O$45,0))),"n/a"))</f>
        <v/>
      </c>
      <c r="M14" s="1364" t="str">
        <f>IF($C14="--","",WACC!$G$45)</f>
        <v/>
      </c>
      <c r="N14" s="1364" t="str">
        <f>IF($C14="--","",WACC!$G$50)</f>
        <v/>
      </c>
      <c r="O14" s="1364" t="str">
        <f>IF(C14="--","--",VLOOKUP(F14,'WACC and TIC Inputs'!$G$253:$M$263,6,TRUE))</f>
        <v>--</v>
      </c>
      <c r="P14" s="1364" t="str">
        <f t="shared" si="2"/>
        <v/>
      </c>
      <c r="Q14" s="440"/>
      <c r="R14" s="440"/>
      <c r="S14" s="1527"/>
      <c r="T14" s="1527"/>
      <c r="U14" s="1510"/>
      <c r="V14" s="1530"/>
      <c r="W14" s="1530"/>
      <c r="X14" s="1530"/>
      <c r="Y14" s="1530"/>
      <c r="Z14" s="1530"/>
      <c r="AA14" s="1530"/>
      <c r="AB14" s="1530"/>
      <c r="AC14" s="1530"/>
      <c r="AD14" s="1530"/>
      <c r="AE14" s="1530"/>
      <c r="AF14" s="1530"/>
      <c r="AG14" s="1530"/>
    </row>
    <row r="15" spans="1:52" ht="12" customHeight="1">
      <c r="A15" s="1510" t="str">
        <f t="shared" si="0"/>
        <v>n</v>
      </c>
      <c r="B15" s="1510"/>
      <c r="C15" s="173" t="str">
        <f>'DATA GPC'!E23</f>
        <v>--</v>
      </c>
      <c r="D15" s="1530" t="str">
        <f>'WACC and TIC Inputs'!G132&amp;""</f>
        <v>--</v>
      </c>
      <c r="E15" s="1530" t="str">
        <f>'DATA GPC'!H132</f>
        <v>--</v>
      </c>
      <c r="F15" s="1626" t="str">
        <f>IF(C15="--","--",IFERROR(_xll.ciqfunctions.udf.CIQ(D15,"IQ_MARKETCAP",Valuation_date,E15)*Scale,"n/a"))</f>
        <v>--</v>
      </c>
      <c r="G15" s="1965" t="str">
        <f>WACC!G16</f>
        <v>--</v>
      </c>
      <c r="H15" s="1364" t="str">
        <f>IF(ISNUMBER('WACC and TIC Inputs'!J52),'WACC and TIC Inputs'!J52,"")</f>
        <v/>
      </c>
      <c r="I15" s="1364" t="str">
        <f>'WACC and TIC Inputs'!P52</f>
        <v>--</v>
      </c>
      <c r="J15" s="1965" t="str">
        <f>IF(C15="--","",IFERROR(WACC!N16,"n/a"))</f>
        <v/>
      </c>
      <c r="K15" s="1364" t="str">
        <f t="shared" si="1"/>
        <v/>
      </c>
      <c r="L15" s="1965" t="str">
        <f>IF($C15="--","",IFERROR(J15*(1+WACC!$G$47*(1-IF(ReleverTaxRate="Y",WACC!$O$45,0))),"n/a"))</f>
        <v/>
      </c>
      <c r="M15" s="1364" t="str">
        <f>IF($C15="--","",WACC!$G$45)</f>
        <v/>
      </c>
      <c r="N15" s="1364" t="str">
        <f>IF($C15="--","",WACC!$G$50)</f>
        <v/>
      </c>
      <c r="O15" s="1364" t="str">
        <f>IF(C15="--","--",VLOOKUP(F15,'WACC and TIC Inputs'!$G$253:$M$263,6,TRUE))</f>
        <v>--</v>
      </c>
      <c r="P15" s="1364" t="str">
        <f t="shared" si="2"/>
        <v/>
      </c>
      <c r="Q15" s="440"/>
      <c r="R15" s="440"/>
      <c r="S15" s="1527"/>
      <c r="T15" s="1527"/>
      <c r="U15" s="1510"/>
      <c r="V15" s="1530"/>
      <c r="W15" s="1530"/>
      <c r="X15" s="1530"/>
      <c r="Y15" s="1530"/>
      <c r="Z15" s="1530"/>
      <c r="AA15" s="1530"/>
      <c r="AB15" s="1530"/>
      <c r="AC15" s="1530"/>
      <c r="AD15" s="1530"/>
      <c r="AE15" s="1530"/>
      <c r="AF15" s="1530"/>
      <c r="AG15" s="1530"/>
    </row>
    <row r="16" spans="1:52" ht="12" customHeight="1">
      <c r="A16" s="1510" t="str">
        <f t="shared" si="0"/>
        <v>n</v>
      </c>
      <c r="B16" s="1510"/>
      <c r="C16" s="173" t="str">
        <f>'DATA GPC'!E24</f>
        <v>--</v>
      </c>
      <c r="D16" s="1530" t="str">
        <f>'WACC and TIC Inputs'!G133&amp;""</f>
        <v>--</v>
      </c>
      <c r="E16" s="1530" t="str">
        <f>'DATA GPC'!H133</f>
        <v>--</v>
      </c>
      <c r="F16" s="1626" t="str">
        <f>IF(C16="--","--",IFERROR(_xll.ciqfunctions.udf.CIQ(D16,"IQ_MARKETCAP",Valuation_date,E16)*Scale,"n/a"))</f>
        <v>--</v>
      </c>
      <c r="G16" s="1965" t="str">
        <f>WACC!G17</f>
        <v>--</v>
      </c>
      <c r="H16" s="1364" t="str">
        <f>IF(ISNUMBER('WACC and TIC Inputs'!J53),'WACC and TIC Inputs'!J53,"")</f>
        <v/>
      </c>
      <c r="I16" s="1364" t="str">
        <f>'WACC and TIC Inputs'!P53</f>
        <v>--</v>
      </c>
      <c r="J16" s="1965" t="str">
        <f>IF(C16="--","",IFERROR(WACC!N17,"n/a"))</f>
        <v/>
      </c>
      <c r="K16" s="1364" t="str">
        <f t="shared" si="1"/>
        <v/>
      </c>
      <c r="L16" s="1965" t="str">
        <f>IF($C16="--","",IFERROR(J16*(1+WACC!$G$47*(1-IF(ReleverTaxRate="Y",WACC!$O$45,0))),"n/a"))</f>
        <v/>
      </c>
      <c r="M16" s="1364" t="str">
        <f>IF($C16="--","",WACC!$G$45)</f>
        <v/>
      </c>
      <c r="N16" s="1364" t="str">
        <f>IF($C16="--","",WACC!$G$50)</f>
        <v/>
      </c>
      <c r="O16" s="1364" t="str">
        <f>IF(C16="--","--",VLOOKUP(F16,'WACC and TIC Inputs'!$G$253:$M$263,6,TRUE))</f>
        <v>--</v>
      </c>
      <c r="P16" s="1364" t="str">
        <f t="shared" si="2"/>
        <v/>
      </c>
      <c r="Q16" s="440"/>
      <c r="R16" s="440"/>
      <c r="S16" s="1527"/>
      <c r="T16" s="1527"/>
      <c r="U16" s="1510"/>
      <c r="V16" s="1530"/>
      <c r="W16" s="1530"/>
      <c r="X16" s="1530"/>
      <c r="Y16" s="1530"/>
      <c r="Z16" s="1530"/>
      <c r="AA16" s="1530"/>
      <c r="AB16" s="1530"/>
      <c r="AC16" s="1530"/>
      <c r="AD16" s="1530"/>
      <c r="AE16" s="1530"/>
      <c r="AF16" s="1530"/>
      <c r="AG16" s="1530"/>
    </row>
    <row r="17" spans="1:52" ht="12" customHeight="1">
      <c r="A17" s="1510" t="str">
        <f t="shared" si="0"/>
        <v>n</v>
      </c>
      <c r="B17" s="1510"/>
      <c r="C17" s="173" t="str">
        <f>'DATA GPC'!E25</f>
        <v>--</v>
      </c>
      <c r="D17" s="1530" t="str">
        <f>'WACC and TIC Inputs'!G134&amp;""</f>
        <v>--</v>
      </c>
      <c r="E17" s="1530" t="str">
        <f>'DATA GPC'!H134</f>
        <v>--</v>
      </c>
      <c r="F17" s="1626" t="str">
        <f>IF(C17="--","--",IFERROR(_xll.ciqfunctions.udf.CIQ(D17,"IQ_MARKETCAP",Valuation_date,E17)*Scale,"n/a"))</f>
        <v>--</v>
      </c>
      <c r="G17" s="1965" t="str">
        <f>WACC!G18</f>
        <v>--</v>
      </c>
      <c r="H17" s="1364" t="str">
        <f>IF(ISNUMBER('WACC and TIC Inputs'!J54),'WACC and TIC Inputs'!J54,"")</f>
        <v/>
      </c>
      <c r="I17" s="1364" t="str">
        <f>'WACC and TIC Inputs'!P54</f>
        <v>--</v>
      </c>
      <c r="J17" s="1965" t="str">
        <f>IF(C17="--","",IFERROR(WACC!N18,"n/a"))</f>
        <v/>
      </c>
      <c r="K17" s="1364" t="str">
        <f t="shared" si="1"/>
        <v/>
      </c>
      <c r="L17" s="1965" t="str">
        <f>IF($C17="--","",IFERROR(J17*(1+WACC!$G$47*(1-IF(ReleverTaxRate="Y",WACC!$O$45,0))),"n/a"))</f>
        <v/>
      </c>
      <c r="M17" s="1364" t="str">
        <f>IF($C17="--","",WACC!$G$45)</f>
        <v/>
      </c>
      <c r="N17" s="1364" t="str">
        <f>IF($C17="--","",WACC!$G$50)</f>
        <v/>
      </c>
      <c r="O17" s="1364" t="str">
        <f>IF(C17="--","--",VLOOKUP(F17,'WACC and TIC Inputs'!$G$253:$M$263,6,TRUE))</f>
        <v>--</v>
      </c>
      <c r="P17" s="1364" t="str">
        <f t="shared" si="2"/>
        <v/>
      </c>
      <c r="Q17" s="440"/>
      <c r="R17" s="440"/>
      <c r="S17" s="1527"/>
      <c r="T17" s="1527"/>
      <c r="U17" s="1510"/>
      <c r="V17" s="1530"/>
      <c r="W17" s="1530"/>
      <c r="X17" s="1530"/>
      <c r="Y17" s="1530"/>
      <c r="Z17" s="1530"/>
      <c r="AA17" s="1530"/>
      <c r="AB17" s="1530"/>
      <c r="AC17" s="1530"/>
      <c r="AD17" s="1530"/>
      <c r="AE17" s="1530"/>
      <c r="AF17" s="1530"/>
      <c r="AG17" s="1530"/>
    </row>
    <row r="18" spans="1:52" ht="12" customHeight="1">
      <c r="A18" s="1510" t="str">
        <f t="shared" si="0"/>
        <v>n</v>
      </c>
      <c r="B18" s="1510"/>
      <c r="C18" s="173" t="str">
        <f>'DATA GPC'!E26</f>
        <v>--</v>
      </c>
      <c r="D18" s="1530" t="str">
        <f>'WACC and TIC Inputs'!G135&amp;""</f>
        <v>--</v>
      </c>
      <c r="E18" s="1530" t="str">
        <f>'DATA GPC'!H135</f>
        <v>--</v>
      </c>
      <c r="F18" s="1626" t="str">
        <f>IF(C18="--","--",IFERROR(_xll.ciqfunctions.udf.CIQ(D18,"IQ_MARKETCAP",Valuation_date,E18)*Scale,"n/a"))</f>
        <v>--</v>
      </c>
      <c r="G18" s="1965" t="str">
        <f>WACC!G19</f>
        <v>--</v>
      </c>
      <c r="H18" s="1364" t="str">
        <f>IF(ISNUMBER('WACC and TIC Inputs'!J55),'WACC and TIC Inputs'!J55,"")</f>
        <v/>
      </c>
      <c r="I18" s="1364" t="str">
        <f>'WACC and TIC Inputs'!P55</f>
        <v>--</v>
      </c>
      <c r="J18" s="1965" t="str">
        <f>IF(C18="--","",IFERROR(WACC!N19,"n/a"))</f>
        <v/>
      </c>
      <c r="K18" s="1364" t="str">
        <f t="shared" si="1"/>
        <v/>
      </c>
      <c r="L18" s="1965" t="str">
        <f>IF($C18="--","",IFERROR(J18*(1+WACC!$G$47*(1-IF(ReleverTaxRate="Y",WACC!$O$45,0))),"n/a"))</f>
        <v/>
      </c>
      <c r="M18" s="1364" t="str">
        <f>IF($C18="--","",WACC!$G$45)</f>
        <v/>
      </c>
      <c r="N18" s="1364" t="str">
        <f>IF($C18="--","",WACC!$G$50)</f>
        <v/>
      </c>
      <c r="O18" s="1364" t="str">
        <f>IF(C18="--","--",VLOOKUP(F18,'WACC and TIC Inputs'!$G$253:$M$263,6,TRUE))</f>
        <v>--</v>
      </c>
      <c r="P18" s="1364" t="str">
        <f t="shared" si="2"/>
        <v/>
      </c>
      <c r="Q18" s="440"/>
      <c r="R18" s="440"/>
      <c r="S18" s="1527"/>
      <c r="T18" s="1527"/>
      <c r="U18" s="1510"/>
      <c r="V18" s="1530"/>
      <c r="W18" s="1530"/>
      <c r="X18" s="1530"/>
      <c r="Y18" s="1530"/>
      <c r="Z18" s="1530"/>
      <c r="AA18" s="1530"/>
      <c r="AB18" s="1530"/>
      <c r="AC18" s="1530"/>
      <c r="AD18" s="1530"/>
      <c r="AE18" s="1530"/>
      <c r="AF18" s="1530"/>
      <c r="AG18" s="1530"/>
    </row>
    <row r="19" spans="1:52" ht="12" customHeight="1">
      <c r="A19" s="1510" t="str">
        <f t="shared" si="0"/>
        <v>n</v>
      </c>
      <c r="B19" s="1510"/>
      <c r="C19" s="173" t="str">
        <f>'DATA GPC'!E27</f>
        <v>--</v>
      </c>
      <c r="D19" s="1530" t="str">
        <f>'WACC and TIC Inputs'!G136&amp;""</f>
        <v>--</v>
      </c>
      <c r="E19" s="1530" t="str">
        <f>'DATA GPC'!H136</f>
        <v>--</v>
      </c>
      <c r="F19" s="1626" t="str">
        <f>IF(C19="--","--",IFERROR(_xll.ciqfunctions.udf.CIQ(D19,"IQ_MARKETCAP",Valuation_date,E19)*Scale,"n/a"))</f>
        <v>--</v>
      </c>
      <c r="G19" s="1965" t="str">
        <f>WACC!G20</f>
        <v>--</v>
      </c>
      <c r="H19" s="1364" t="str">
        <f>IF(ISNUMBER('WACC and TIC Inputs'!J56),'WACC and TIC Inputs'!J56,"")</f>
        <v/>
      </c>
      <c r="I19" s="1364" t="str">
        <f>'WACC and TIC Inputs'!P56</f>
        <v>--</v>
      </c>
      <c r="J19" s="1965" t="str">
        <f>IF(C19="--","",IFERROR(WACC!N20,"n/a"))</f>
        <v/>
      </c>
      <c r="K19" s="1364" t="str">
        <f t="shared" si="1"/>
        <v/>
      </c>
      <c r="L19" s="1965" t="str">
        <f>IF($C19="--","",IFERROR(J19*(1+WACC!$G$47*(1-IF(ReleverTaxRate="Y",WACC!$O$45,0))),"n/a"))</f>
        <v/>
      </c>
      <c r="M19" s="1364" t="str">
        <f>IF($C19="--","",WACC!$G$45)</f>
        <v/>
      </c>
      <c r="N19" s="1364" t="str">
        <f>IF($C19="--","",WACC!$G$50)</f>
        <v/>
      </c>
      <c r="O19" s="1364" t="str">
        <f>IF(C19="--","--",VLOOKUP(F19,'WACC and TIC Inputs'!$G$253:$M$263,6,TRUE))</f>
        <v>--</v>
      </c>
      <c r="P19" s="1364" t="str">
        <f t="shared" si="2"/>
        <v/>
      </c>
      <c r="Q19" s="440"/>
      <c r="R19" s="440"/>
      <c r="S19" s="1527"/>
      <c r="T19" s="1527"/>
      <c r="U19" s="1510"/>
      <c r="V19" s="1530"/>
      <c r="W19" s="1530"/>
      <c r="X19" s="1530"/>
      <c r="Y19" s="1530"/>
      <c r="Z19" s="1530"/>
      <c r="AA19" s="1530"/>
      <c r="AB19" s="1530"/>
      <c r="AC19" s="1530"/>
      <c r="AD19" s="1530"/>
      <c r="AE19" s="1530"/>
      <c r="AF19" s="1530"/>
      <c r="AG19" s="1530"/>
    </row>
    <row r="20" spans="1:52" ht="12" customHeight="1">
      <c r="A20" s="1510" t="str">
        <f t="shared" si="0"/>
        <v>n</v>
      </c>
      <c r="B20" s="1510"/>
      <c r="C20" s="173" t="str">
        <f>'DATA GPC'!E28</f>
        <v>--</v>
      </c>
      <c r="D20" s="1530" t="str">
        <f>'WACC and TIC Inputs'!G137&amp;""</f>
        <v>--</v>
      </c>
      <c r="E20" s="1530" t="str">
        <f>'DATA GPC'!H137</f>
        <v>--</v>
      </c>
      <c r="F20" s="1626" t="str">
        <f>IF(C20="--","--",IFERROR(_xll.ciqfunctions.udf.CIQ(D20,"IQ_MARKETCAP",Valuation_date,E20)*Scale,"n/a"))</f>
        <v>--</v>
      </c>
      <c r="G20" s="1965" t="str">
        <f>WACC!G21</f>
        <v>--</v>
      </c>
      <c r="H20" s="1364" t="str">
        <f>IF(ISNUMBER('WACC and TIC Inputs'!J57),'WACC and TIC Inputs'!J57,"")</f>
        <v/>
      </c>
      <c r="I20" s="1364" t="str">
        <f>'WACC and TIC Inputs'!P57</f>
        <v>--</v>
      </c>
      <c r="J20" s="1965" t="str">
        <f>IF(C20="--","",IFERROR(WACC!N21,"n/a"))</f>
        <v/>
      </c>
      <c r="K20" s="1364" t="str">
        <f t="shared" si="1"/>
        <v/>
      </c>
      <c r="L20" s="1965" t="str">
        <f>IF($C20="--","",IFERROR(J20*(1+WACC!$G$47*(1-IF(ReleverTaxRate="Y",WACC!$O$45,0))),"n/a"))</f>
        <v/>
      </c>
      <c r="M20" s="1364" t="str">
        <f>IF($C20="--","",WACC!$G$45)</f>
        <v/>
      </c>
      <c r="N20" s="1364" t="str">
        <f>IF($C20="--","",WACC!$G$50)</f>
        <v/>
      </c>
      <c r="O20" s="1364" t="str">
        <f>IF(C20="--","--",VLOOKUP(F20,'WACC and TIC Inputs'!$G$253:$M$263,6,TRUE))</f>
        <v>--</v>
      </c>
      <c r="P20" s="1364" t="str">
        <f t="shared" si="2"/>
        <v/>
      </c>
      <c r="Q20" s="440"/>
      <c r="R20" s="440"/>
      <c r="S20" s="1527"/>
      <c r="T20" s="1527"/>
      <c r="U20" s="1510"/>
      <c r="V20" s="1530"/>
      <c r="W20" s="1530"/>
      <c r="X20" s="1530"/>
      <c r="Y20" s="1530"/>
      <c r="Z20" s="1530"/>
      <c r="AA20" s="1530"/>
      <c r="AB20" s="1530"/>
      <c r="AC20" s="1530"/>
      <c r="AD20" s="1530"/>
      <c r="AE20" s="1530"/>
      <c r="AF20" s="1530"/>
      <c r="AG20" s="1530"/>
    </row>
    <row r="21" spans="1:52" s="335" customFormat="1" ht="12" customHeight="1">
      <c r="A21" s="1510" t="str">
        <f t="shared" si="0"/>
        <v>n</v>
      </c>
      <c r="B21" s="1510"/>
      <c r="C21" s="173" t="str">
        <f>'DATA GPC'!E29</f>
        <v>--</v>
      </c>
      <c r="D21" s="1530" t="str">
        <f>'WACC and TIC Inputs'!G138&amp;""</f>
        <v>--</v>
      </c>
      <c r="E21" s="1530" t="str">
        <f>'DATA GPC'!H138</f>
        <v>--</v>
      </c>
      <c r="F21" s="1626" t="str">
        <f>IF(C21="--","--",IFERROR(_xll.ciqfunctions.udf.CIQ(D21,"IQ_MARKETCAP",Valuation_date,E21)*Scale,"n/a"))</f>
        <v>--</v>
      </c>
      <c r="G21" s="1965" t="str">
        <f>WACC!G22</f>
        <v>--</v>
      </c>
      <c r="H21" s="1364" t="str">
        <f>IF(ISNUMBER('WACC and TIC Inputs'!J58),'WACC and TIC Inputs'!J58,"")</f>
        <v/>
      </c>
      <c r="I21" s="1364" t="str">
        <f>'WACC and TIC Inputs'!P58</f>
        <v>--</v>
      </c>
      <c r="J21" s="1965" t="str">
        <f>IF(C21="--","",IFERROR(WACC!N22,"n/a"))</f>
        <v/>
      </c>
      <c r="K21" s="1364" t="str">
        <f t="shared" si="1"/>
        <v/>
      </c>
      <c r="L21" s="1965" t="str">
        <f>IF($C21="--","",IFERROR(J21*(1+WACC!$G$47*(1-IF(ReleverTaxRate="Y",WACC!$O$45,0))),"n/a"))</f>
        <v/>
      </c>
      <c r="M21" s="1364" t="str">
        <f>IF($C21="--","",WACC!$G$45)</f>
        <v/>
      </c>
      <c r="N21" s="1364" t="str">
        <f>IF($C21="--","",WACC!$G$50)</f>
        <v/>
      </c>
      <c r="O21" s="1364" t="str">
        <f>IF(C21="--","--",VLOOKUP(F21,'WACC and TIC Inputs'!$G$253:$M$263,6,TRUE))</f>
        <v>--</v>
      </c>
      <c r="P21" s="1364" t="str">
        <f t="shared" si="2"/>
        <v/>
      </c>
      <c r="Q21" s="440"/>
      <c r="R21" s="440"/>
      <c r="S21" s="1527"/>
      <c r="T21" s="1527"/>
      <c r="U21" s="1510"/>
      <c r="V21" s="1530"/>
      <c r="W21" s="1530"/>
      <c r="X21" s="1530"/>
      <c r="Y21" s="1530"/>
      <c r="Z21" s="1530"/>
      <c r="AA21" s="1530"/>
      <c r="AB21" s="1530"/>
      <c r="AC21" s="1530"/>
      <c r="AD21" s="1530"/>
      <c r="AE21" s="1530"/>
      <c r="AF21" s="1530"/>
      <c r="AG21" s="1530"/>
      <c r="AH21" s="1530"/>
      <c r="AI21" s="1530"/>
      <c r="AJ21" s="1530"/>
      <c r="AK21" s="1530"/>
      <c r="AL21" s="1530"/>
      <c r="AM21" s="1530"/>
      <c r="AN21" s="1530"/>
      <c r="AO21" s="1530"/>
      <c r="AP21" s="1530"/>
      <c r="AQ21" s="1530"/>
      <c r="AR21" s="1530"/>
      <c r="AS21" s="1530"/>
      <c r="AT21" s="1530"/>
      <c r="AU21" s="1530"/>
      <c r="AV21" s="1530"/>
      <c r="AW21" s="1530"/>
      <c r="AX21" s="1530"/>
      <c r="AY21" s="1530"/>
      <c r="AZ21" s="1530"/>
    </row>
    <row r="22" spans="1:52" s="335" customFormat="1" ht="12" customHeight="1">
      <c r="A22" s="1510" t="str">
        <f>IF(G22="--","n","")</f>
        <v>n</v>
      </c>
      <c r="B22" s="1510"/>
      <c r="C22" s="173" t="str">
        <f>'DATA GPC'!E30</f>
        <v>--</v>
      </c>
      <c r="D22" s="1530" t="str">
        <f>'WACC and TIC Inputs'!G139&amp;""</f>
        <v>--</v>
      </c>
      <c r="E22" s="1530" t="str">
        <f>'DATA GPC'!H139</f>
        <v>--</v>
      </c>
      <c r="F22" s="1626" t="str">
        <f>IF(C22="--","--",IFERROR(_xll.ciqfunctions.udf.CIQ(D22,"IQ_MARKETCAP",Valuation_date,E22)*Scale,"n/a"))</f>
        <v>--</v>
      </c>
      <c r="G22" s="1965" t="str">
        <f>WACC!G23</f>
        <v>--</v>
      </c>
      <c r="H22" s="1364" t="str">
        <f>IF(ISNUMBER('WACC and TIC Inputs'!J59),'WACC and TIC Inputs'!J59,"")</f>
        <v/>
      </c>
      <c r="I22" s="1364" t="str">
        <f>'WACC and TIC Inputs'!P59</f>
        <v>--</v>
      </c>
      <c r="J22" s="1965" t="str">
        <f>IF(C22="--","",IFERROR(WACC!N23,"n/a"))</f>
        <v/>
      </c>
      <c r="K22" s="1364" t="str">
        <f t="shared" si="1"/>
        <v/>
      </c>
      <c r="L22" s="1965" t="str">
        <f>IF($C22="--","",IFERROR(J22*(1+WACC!$G$47*(1-IF(ReleverTaxRate="Y",WACC!$O$45,0))),"n/a"))</f>
        <v/>
      </c>
      <c r="M22" s="1364" t="str">
        <f>IF($C22="--","",WACC!$G$45)</f>
        <v/>
      </c>
      <c r="N22" s="1364" t="str">
        <f>IF($C22="--","",WACC!$G$50)</f>
        <v/>
      </c>
      <c r="O22" s="1364" t="str">
        <f>IF(C22="--","--",VLOOKUP(F22,'WACC and TIC Inputs'!$G$253:$M$263,6,TRUE))</f>
        <v>--</v>
      </c>
      <c r="P22" s="1364" t="str">
        <f t="shared" ref="P22:P36" si="3">IF(C22="--","",IFERROR(K22+(L22*M22)+N22+O22,"n/a"))</f>
        <v/>
      </c>
      <c r="Q22" s="440"/>
      <c r="R22" s="440"/>
      <c r="S22" s="1527"/>
      <c r="T22" s="1527"/>
      <c r="U22" s="1510"/>
      <c r="V22" s="1530"/>
      <c r="W22" s="1530"/>
      <c r="X22" s="1530"/>
      <c r="Y22" s="1530"/>
      <c r="Z22" s="1530"/>
      <c r="AA22" s="1530"/>
      <c r="AB22" s="1530"/>
      <c r="AC22" s="1530"/>
      <c r="AD22" s="1530"/>
      <c r="AE22" s="1530"/>
      <c r="AF22" s="1530"/>
      <c r="AG22" s="1530"/>
      <c r="AH22" s="1530"/>
      <c r="AI22" s="1530"/>
      <c r="AJ22" s="1530"/>
      <c r="AK22" s="1530"/>
      <c r="AL22" s="1530"/>
      <c r="AM22" s="1530"/>
      <c r="AN22" s="1530"/>
      <c r="AO22" s="1530"/>
      <c r="AP22" s="1530"/>
      <c r="AQ22" s="1530"/>
      <c r="AR22" s="1530"/>
      <c r="AS22" s="1530"/>
      <c r="AT22" s="1530"/>
      <c r="AU22" s="1530"/>
      <c r="AV22" s="1530"/>
      <c r="AW22" s="1530"/>
      <c r="AX22" s="1530"/>
      <c r="AY22" s="1530"/>
      <c r="AZ22" s="1530"/>
    </row>
    <row r="23" spans="1:52" s="335" customFormat="1" ht="12" customHeight="1">
      <c r="A23" s="1510" t="str">
        <f t="shared" ref="A23:A36" si="4">IF(G23="--","n","")</f>
        <v>n</v>
      </c>
      <c r="B23" s="1510"/>
      <c r="C23" s="173" t="str">
        <f>'DATA GPC'!E31</f>
        <v>--</v>
      </c>
      <c r="D23" s="1530" t="str">
        <f>'WACC and TIC Inputs'!G140&amp;""</f>
        <v>--</v>
      </c>
      <c r="E23" s="1530" t="str">
        <f>'DATA GPC'!H140</f>
        <v>--</v>
      </c>
      <c r="F23" s="1626" t="str">
        <f>IF(C23="--","--",IFERROR(_xll.ciqfunctions.udf.CIQ(D23,"IQ_MARKETCAP",Valuation_date,E23)*Scale,"n/a"))</f>
        <v>--</v>
      </c>
      <c r="G23" s="1965" t="str">
        <f>WACC!G24</f>
        <v>--</v>
      </c>
      <c r="H23" s="1364" t="str">
        <f>IF(ISNUMBER('WACC and TIC Inputs'!J60),'WACC and TIC Inputs'!J60,"")</f>
        <v/>
      </c>
      <c r="I23" s="1364" t="str">
        <f>'WACC and TIC Inputs'!P60</f>
        <v>--</v>
      </c>
      <c r="J23" s="1965" t="str">
        <f>IF(C23="--","",IFERROR(WACC!N24,"n/a"))</f>
        <v/>
      </c>
      <c r="K23" s="1364" t="str">
        <f t="shared" si="1"/>
        <v/>
      </c>
      <c r="L23" s="1965" t="str">
        <f>IF($C23="--","",IFERROR(J23*(1+WACC!$G$47*(1-IF(ReleverTaxRate="Y",WACC!$O$45,0))),"n/a"))</f>
        <v/>
      </c>
      <c r="M23" s="1364" t="str">
        <f>IF($C23="--","",WACC!$G$45)</f>
        <v/>
      </c>
      <c r="N23" s="1364" t="str">
        <f>IF($C23="--","",WACC!$G$50)</f>
        <v/>
      </c>
      <c r="O23" s="1364" t="str">
        <f>IF(C23="--","--",VLOOKUP(F23,'WACC and TIC Inputs'!$G$253:$M$263,6,TRUE))</f>
        <v>--</v>
      </c>
      <c r="P23" s="1364" t="str">
        <f t="shared" si="3"/>
        <v/>
      </c>
      <c r="Q23" s="440"/>
      <c r="R23" s="440"/>
      <c r="S23" s="1527"/>
      <c r="T23" s="1527"/>
      <c r="U23" s="1510"/>
      <c r="V23" s="1530"/>
      <c r="W23" s="1530"/>
      <c r="X23" s="1530"/>
      <c r="Y23" s="1530"/>
      <c r="Z23" s="1530"/>
      <c r="AA23" s="1530"/>
      <c r="AB23" s="1530"/>
      <c r="AC23" s="1530"/>
      <c r="AD23" s="1530"/>
      <c r="AE23" s="1530"/>
      <c r="AF23" s="1530"/>
      <c r="AG23" s="1530"/>
      <c r="AH23" s="1530"/>
      <c r="AI23" s="1530"/>
      <c r="AJ23" s="1530"/>
      <c r="AK23" s="1530"/>
      <c r="AL23" s="1530"/>
      <c r="AM23" s="1530"/>
      <c r="AN23" s="1530"/>
      <c r="AO23" s="1530"/>
      <c r="AP23" s="1530"/>
      <c r="AQ23" s="1530"/>
      <c r="AR23" s="1530"/>
      <c r="AS23" s="1530"/>
      <c r="AT23" s="1530"/>
      <c r="AU23" s="1530"/>
      <c r="AV23" s="1530"/>
      <c r="AW23" s="1530"/>
      <c r="AX23" s="1530"/>
      <c r="AY23" s="1530"/>
      <c r="AZ23" s="1530"/>
    </row>
    <row r="24" spans="1:52" s="335" customFormat="1" ht="12" customHeight="1">
      <c r="A24" s="1510" t="str">
        <f t="shared" si="4"/>
        <v>n</v>
      </c>
      <c r="B24" s="1510"/>
      <c r="C24" s="173" t="str">
        <f>'DATA GPC'!E32</f>
        <v>--</v>
      </c>
      <c r="D24" s="1530" t="str">
        <f>'WACC and TIC Inputs'!G141&amp;""</f>
        <v>--</v>
      </c>
      <c r="E24" s="1530" t="str">
        <f>'DATA GPC'!H141</f>
        <v>--</v>
      </c>
      <c r="F24" s="1626" t="str">
        <f>IF(C24="--","--",IFERROR(_xll.ciqfunctions.udf.CIQ(D24,"IQ_MARKETCAP",Valuation_date,E24)*Scale,"n/a"))</f>
        <v>--</v>
      </c>
      <c r="G24" s="1965" t="str">
        <f>WACC!G25</f>
        <v>--</v>
      </c>
      <c r="H24" s="1364" t="str">
        <f>IF(ISNUMBER('WACC and TIC Inputs'!J61),'WACC and TIC Inputs'!J61,"")</f>
        <v/>
      </c>
      <c r="I24" s="1364" t="str">
        <f>'WACC and TIC Inputs'!P61</f>
        <v>--</v>
      </c>
      <c r="J24" s="1965" t="str">
        <f>IF(C24="--","",IFERROR(WACC!N25,"n/a"))</f>
        <v/>
      </c>
      <c r="K24" s="1364" t="str">
        <f t="shared" si="1"/>
        <v/>
      </c>
      <c r="L24" s="1965" t="str">
        <f>IF($C24="--","",IFERROR(J24*(1+WACC!$G$47*(1-IF(ReleverTaxRate="Y",WACC!$O$45,0))),"n/a"))</f>
        <v/>
      </c>
      <c r="M24" s="1364" t="str">
        <f>IF($C24="--","",WACC!$G$45)</f>
        <v/>
      </c>
      <c r="N24" s="1364" t="str">
        <f>IF($C24="--","",WACC!$G$50)</f>
        <v/>
      </c>
      <c r="O24" s="1364" t="str">
        <f>IF(C24="--","--",VLOOKUP(F24,'WACC and TIC Inputs'!$G$253:$M$263,6,TRUE))</f>
        <v>--</v>
      </c>
      <c r="P24" s="1364" t="str">
        <f t="shared" si="3"/>
        <v/>
      </c>
      <c r="Q24" s="440"/>
      <c r="R24" s="440"/>
      <c r="S24" s="1527"/>
      <c r="T24" s="1527"/>
      <c r="U24" s="1510"/>
      <c r="V24" s="1530"/>
      <c r="W24" s="1530"/>
      <c r="X24" s="1530"/>
      <c r="Y24" s="1530"/>
      <c r="Z24" s="1530"/>
      <c r="AA24" s="1530"/>
      <c r="AB24" s="1530"/>
      <c r="AC24" s="1530"/>
      <c r="AD24" s="1530"/>
      <c r="AE24" s="1530"/>
      <c r="AF24" s="1530"/>
      <c r="AG24" s="1530"/>
      <c r="AH24" s="1530"/>
      <c r="AI24" s="1530"/>
      <c r="AJ24" s="1530"/>
      <c r="AK24" s="1530"/>
      <c r="AL24" s="1530"/>
      <c r="AM24" s="1530"/>
      <c r="AN24" s="1530"/>
      <c r="AO24" s="1530"/>
      <c r="AP24" s="1530"/>
      <c r="AQ24" s="1530"/>
      <c r="AR24" s="1530"/>
      <c r="AS24" s="1530"/>
      <c r="AT24" s="1530"/>
      <c r="AU24" s="1530"/>
      <c r="AV24" s="1530"/>
      <c r="AW24" s="1530"/>
      <c r="AX24" s="1530"/>
      <c r="AY24" s="1530"/>
      <c r="AZ24" s="1530"/>
    </row>
    <row r="25" spans="1:52" s="335" customFormat="1" ht="12" customHeight="1">
      <c r="A25" s="1510" t="str">
        <f t="shared" si="4"/>
        <v>n</v>
      </c>
      <c r="B25" s="1510"/>
      <c r="C25" s="173" t="str">
        <f>'DATA GPC'!E33</f>
        <v>--</v>
      </c>
      <c r="D25" s="1530" t="str">
        <f>'WACC and TIC Inputs'!G142&amp;""</f>
        <v>--</v>
      </c>
      <c r="E25" s="1530" t="str">
        <f>'DATA GPC'!H142</f>
        <v>--</v>
      </c>
      <c r="F25" s="1626" t="str">
        <f>IF(C25="--","--",IFERROR(_xll.ciqfunctions.udf.CIQ(D25,"IQ_MARKETCAP",Valuation_date,E25)*Scale,"n/a"))</f>
        <v>--</v>
      </c>
      <c r="G25" s="1965" t="str">
        <f>WACC!G26</f>
        <v>--</v>
      </c>
      <c r="H25" s="1364" t="str">
        <f>IF(ISNUMBER('WACC and TIC Inputs'!J62),'WACC and TIC Inputs'!J62,"")</f>
        <v/>
      </c>
      <c r="I25" s="1364" t="str">
        <f>'WACC and TIC Inputs'!P62</f>
        <v>--</v>
      </c>
      <c r="J25" s="1965" t="str">
        <f>IF(C25="--","",IFERROR(WACC!N26,"n/a"))</f>
        <v/>
      </c>
      <c r="K25" s="1364" t="str">
        <f t="shared" si="1"/>
        <v/>
      </c>
      <c r="L25" s="1965" t="str">
        <f>IF($C25="--","",IFERROR(J25*(1+WACC!$G$47*(1-IF(ReleverTaxRate="Y",WACC!$O$45,0))),"n/a"))</f>
        <v/>
      </c>
      <c r="M25" s="1364" t="str">
        <f>IF($C25="--","",WACC!$G$45)</f>
        <v/>
      </c>
      <c r="N25" s="1364" t="str">
        <f>IF($C25="--","",WACC!$G$50)</f>
        <v/>
      </c>
      <c r="O25" s="1364" t="str">
        <f>IF(C25="--","--",VLOOKUP(F25,'WACC and TIC Inputs'!$G$253:$M$263,6,TRUE))</f>
        <v>--</v>
      </c>
      <c r="P25" s="1364" t="str">
        <f t="shared" si="3"/>
        <v/>
      </c>
      <c r="Q25" s="440"/>
      <c r="R25" s="440"/>
      <c r="S25" s="1527"/>
      <c r="T25" s="1527"/>
      <c r="U25" s="1510"/>
      <c r="V25" s="1530"/>
      <c r="W25" s="1530"/>
      <c r="X25" s="1530"/>
      <c r="Y25" s="1530"/>
      <c r="Z25" s="1530"/>
      <c r="AA25" s="1530"/>
      <c r="AB25" s="1530"/>
      <c r="AC25" s="1530"/>
      <c r="AD25" s="1530"/>
      <c r="AE25" s="1530"/>
      <c r="AF25" s="1530"/>
      <c r="AG25" s="1530"/>
      <c r="AH25" s="1530"/>
      <c r="AI25" s="1530"/>
      <c r="AJ25" s="1530"/>
      <c r="AK25" s="1530"/>
      <c r="AL25" s="1530"/>
      <c r="AM25" s="1530"/>
      <c r="AN25" s="1530"/>
      <c r="AO25" s="1530"/>
      <c r="AP25" s="1530"/>
      <c r="AQ25" s="1530"/>
      <c r="AR25" s="1530"/>
      <c r="AS25" s="1530"/>
      <c r="AT25" s="1530"/>
      <c r="AU25" s="1530"/>
      <c r="AV25" s="1530"/>
      <c r="AW25" s="1530"/>
      <c r="AX25" s="1530"/>
      <c r="AY25" s="1530"/>
      <c r="AZ25" s="1530"/>
    </row>
    <row r="26" spans="1:52" s="1530" customFormat="1" ht="12" customHeight="1">
      <c r="A26" s="1510" t="str">
        <f t="shared" si="4"/>
        <v>n</v>
      </c>
      <c r="B26" s="1510"/>
      <c r="C26" s="173" t="str">
        <f>'DATA GPC'!E34</f>
        <v>--</v>
      </c>
      <c r="D26" s="1530" t="str">
        <f>'WACC and TIC Inputs'!G143&amp;""</f>
        <v>--</v>
      </c>
      <c r="E26" s="1530" t="str">
        <f>'DATA GPC'!H143</f>
        <v>--</v>
      </c>
      <c r="F26" s="1626" t="str">
        <f>IF(C26="--","--",IFERROR(_xll.ciqfunctions.udf.CIQ(D26,"IQ_MARKETCAP",Valuation_date,E26)*Scale,"n/a"))</f>
        <v>--</v>
      </c>
      <c r="G26" s="1965" t="str">
        <f>WACC!G27</f>
        <v>--</v>
      </c>
      <c r="H26" s="1364" t="str">
        <f>IF(ISNUMBER('WACC and TIC Inputs'!J63),'WACC and TIC Inputs'!J63,"")</f>
        <v/>
      </c>
      <c r="I26" s="1364" t="str">
        <f>'WACC and TIC Inputs'!P63</f>
        <v>--</v>
      </c>
      <c r="J26" s="1965" t="str">
        <f>IF(C26="--","",IFERROR(WACC!N27,"n/a"))</f>
        <v/>
      </c>
      <c r="K26" s="1364" t="str">
        <f t="shared" si="1"/>
        <v/>
      </c>
      <c r="L26" s="1965" t="str">
        <f>IF($C26="--","",IFERROR(J26*(1+WACC!$G$47*(1-IF(ReleverTaxRate="Y",WACC!$O$45,0))),"n/a"))</f>
        <v/>
      </c>
      <c r="M26" s="1364" t="str">
        <f>IF($C26="--","",WACC!$G$45)</f>
        <v/>
      </c>
      <c r="N26" s="1364" t="str">
        <f>IF($C26="--","",WACC!$G$50)</f>
        <v/>
      </c>
      <c r="O26" s="1364" t="str">
        <f>IF(C26="--","--",VLOOKUP(F26,'WACC and TIC Inputs'!$G$253:$M$263,6,TRUE))</f>
        <v>--</v>
      </c>
      <c r="P26" s="1364" t="str">
        <f t="shared" si="3"/>
        <v/>
      </c>
      <c r="Q26" s="440"/>
      <c r="R26" s="440"/>
      <c r="S26" s="1527"/>
      <c r="T26" s="1527"/>
      <c r="U26" s="1510"/>
    </row>
    <row r="27" spans="1:52" s="1530" customFormat="1" ht="12" customHeight="1">
      <c r="A27" s="1510" t="str">
        <f t="shared" si="4"/>
        <v>n</v>
      </c>
      <c r="B27" s="1510"/>
      <c r="C27" s="173" t="str">
        <f>'DATA GPC'!E35</f>
        <v>--</v>
      </c>
      <c r="D27" s="1530" t="str">
        <f>'WACC and TIC Inputs'!G144&amp;""</f>
        <v>--</v>
      </c>
      <c r="E27" s="1530" t="str">
        <f>'DATA GPC'!H144</f>
        <v>--</v>
      </c>
      <c r="F27" s="1626" t="str">
        <f>IF(C27="--","--",IFERROR(_xll.ciqfunctions.udf.CIQ(D27,"IQ_MARKETCAP",Valuation_date,E27)*Scale,"n/a"))</f>
        <v>--</v>
      </c>
      <c r="G27" s="1965" t="str">
        <f>WACC!G28</f>
        <v>--</v>
      </c>
      <c r="H27" s="1364" t="str">
        <f>IF(ISNUMBER('WACC and TIC Inputs'!J64),'WACC and TIC Inputs'!J64,"")</f>
        <v/>
      </c>
      <c r="I27" s="1364" t="str">
        <f>'WACC and TIC Inputs'!P64</f>
        <v>--</v>
      </c>
      <c r="J27" s="1965" t="str">
        <f>IF(C27="--","",IFERROR(WACC!N28,"n/a"))</f>
        <v/>
      </c>
      <c r="K27" s="1364" t="str">
        <f t="shared" si="1"/>
        <v/>
      </c>
      <c r="L27" s="1965" t="str">
        <f>IF($C27="--","",IFERROR(J27*(1+WACC!$G$47*(1-IF(ReleverTaxRate="Y",WACC!$O$45,0))),"n/a"))</f>
        <v/>
      </c>
      <c r="M27" s="1364" t="str">
        <f>IF($C27="--","",WACC!$G$45)</f>
        <v/>
      </c>
      <c r="N27" s="1364" t="str">
        <f>IF($C27="--","",WACC!$G$50)</f>
        <v/>
      </c>
      <c r="O27" s="1364" t="str">
        <f>IF(C27="--","--",VLOOKUP(F27,'WACC and TIC Inputs'!$G$253:$M$263,6,TRUE))</f>
        <v>--</v>
      </c>
      <c r="P27" s="1364" t="str">
        <f t="shared" si="3"/>
        <v/>
      </c>
      <c r="Q27" s="440"/>
      <c r="R27" s="440"/>
      <c r="S27" s="1527"/>
      <c r="T27" s="1527"/>
      <c r="U27" s="1510"/>
    </row>
    <row r="28" spans="1:52" s="1530" customFormat="1" ht="12" customHeight="1">
      <c r="A28" s="1510" t="str">
        <f t="shared" si="4"/>
        <v>n</v>
      </c>
      <c r="B28" s="1510"/>
      <c r="C28" s="173" t="str">
        <f>'DATA GPC'!E36</f>
        <v>--</v>
      </c>
      <c r="D28" s="1530" t="str">
        <f>'WACC and TIC Inputs'!G145&amp;""</f>
        <v>--</v>
      </c>
      <c r="E28" s="1530" t="str">
        <f>'DATA GPC'!H145</f>
        <v>--</v>
      </c>
      <c r="F28" s="1626" t="str">
        <f>IF(C28="--","--",IFERROR(_xll.ciqfunctions.udf.CIQ(D28,"IQ_MARKETCAP",Valuation_date,E28)*Scale,"n/a"))</f>
        <v>--</v>
      </c>
      <c r="G28" s="1965" t="str">
        <f>WACC!G29</f>
        <v>--</v>
      </c>
      <c r="H28" s="1364" t="str">
        <f>IF(ISNUMBER('WACC and TIC Inputs'!J65),'WACC and TIC Inputs'!J65,"")</f>
        <v/>
      </c>
      <c r="I28" s="1364" t="str">
        <f>'WACC and TIC Inputs'!P65</f>
        <v>--</v>
      </c>
      <c r="J28" s="1965" t="str">
        <f>IF(C28="--","",IFERROR(WACC!N29,"n/a"))</f>
        <v/>
      </c>
      <c r="K28" s="1364" t="str">
        <f t="shared" si="1"/>
        <v/>
      </c>
      <c r="L28" s="1965" t="str">
        <f>IF($C28="--","",IFERROR(J28*(1+WACC!$G$47*(1-IF(ReleverTaxRate="Y",WACC!$O$45,0))),"n/a"))</f>
        <v/>
      </c>
      <c r="M28" s="1364" t="str">
        <f>IF($C28="--","",WACC!$G$45)</f>
        <v/>
      </c>
      <c r="N28" s="1364" t="str">
        <f>IF($C28="--","",WACC!$G$50)</f>
        <v/>
      </c>
      <c r="O28" s="1364" t="str">
        <f>IF(C28="--","--",VLOOKUP(F28,'WACC and TIC Inputs'!$G$253:$M$263,6,TRUE))</f>
        <v>--</v>
      </c>
      <c r="P28" s="1364" t="str">
        <f t="shared" si="3"/>
        <v/>
      </c>
      <c r="Q28" s="440"/>
      <c r="R28" s="440"/>
      <c r="S28" s="1527"/>
      <c r="T28" s="1527"/>
      <c r="U28" s="1510"/>
    </row>
    <row r="29" spans="1:52" s="1530" customFormat="1" ht="12" customHeight="1">
      <c r="A29" s="1510" t="str">
        <f t="shared" si="4"/>
        <v>n</v>
      </c>
      <c r="B29" s="1510"/>
      <c r="C29" s="173" t="str">
        <f>'DATA GPC'!E37</f>
        <v>--</v>
      </c>
      <c r="D29" s="1530" t="str">
        <f>'WACC and TIC Inputs'!G146&amp;""</f>
        <v>--</v>
      </c>
      <c r="E29" s="1530" t="str">
        <f>'DATA GPC'!H146</f>
        <v>--</v>
      </c>
      <c r="F29" s="1626" t="str">
        <f>IF(C29="--","--",IFERROR(_xll.ciqfunctions.udf.CIQ(D29,"IQ_MARKETCAP",Valuation_date,E29)*Scale,"n/a"))</f>
        <v>--</v>
      </c>
      <c r="G29" s="1965" t="str">
        <f>WACC!G30</f>
        <v>--</v>
      </c>
      <c r="H29" s="1364" t="str">
        <f>IF(ISNUMBER('WACC and TIC Inputs'!J66),'WACC and TIC Inputs'!J66,"")</f>
        <v/>
      </c>
      <c r="I29" s="1364" t="str">
        <f>'WACC and TIC Inputs'!P66</f>
        <v>--</v>
      </c>
      <c r="J29" s="1965" t="str">
        <f>IF(C29="--","",IFERROR(WACC!N30,"n/a"))</f>
        <v/>
      </c>
      <c r="K29" s="1364" t="str">
        <f t="shared" si="1"/>
        <v/>
      </c>
      <c r="L29" s="1965" t="str">
        <f>IF($C29="--","",IFERROR(J29*(1+WACC!$G$47*(1-IF(ReleverTaxRate="Y",WACC!$O$45,0))),"n/a"))</f>
        <v/>
      </c>
      <c r="M29" s="1364" t="str">
        <f>IF($C29="--","",WACC!$G$45)</f>
        <v/>
      </c>
      <c r="N29" s="1364" t="str">
        <f>IF($C29="--","",WACC!$G$50)</f>
        <v/>
      </c>
      <c r="O29" s="1364" t="str">
        <f>IF(C29="--","--",VLOOKUP(F29,'WACC and TIC Inputs'!$G$253:$M$263,6,TRUE))</f>
        <v>--</v>
      </c>
      <c r="P29" s="1364" t="str">
        <f t="shared" si="3"/>
        <v/>
      </c>
      <c r="Q29" s="440"/>
      <c r="R29" s="440"/>
      <c r="S29" s="1527"/>
      <c r="T29" s="1527"/>
      <c r="U29" s="1510"/>
    </row>
    <row r="30" spans="1:52" s="1530" customFormat="1" ht="12" customHeight="1">
      <c r="A30" s="1510" t="str">
        <f t="shared" si="4"/>
        <v>n</v>
      </c>
      <c r="B30" s="1510"/>
      <c r="C30" s="173" t="str">
        <f>'DATA GPC'!E38</f>
        <v>--</v>
      </c>
      <c r="D30" s="1530" t="str">
        <f>'WACC and TIC Inputs'!G147&amp;""</f>
        <v>--</v>
      </c>
      <c r="E30" s="1530" t="str">
        <f>'DATA GPC'!H147</f>
        <v>--</v>
      </c>
      <c r="F30" s="1626" t="str">
        <f>IF(C30="--","--",IFERROR(_xll.ciqfunctions.udf.CIQ(D30,"IQ_MARKETCAP",Valuation_date,E30)*Scale,"n/a"))</f>
        <v>--</v>
      </c>
      <c r="G30" s="1965" t="str">
        <f>WACC!G31</f>
        <v>--</v>
      </c>
      <c r="H30" s="1364" t="str">
        <f>IF(ISNUMBER('WACC and TIC Inputs'!J67),'WACC and TIC Inputs'!J67,"")</f>
        <v/>
      </c>
      <c r="I30" s="1364" t="str">
        <f>'WACC and TIC Inputs'!P67</f>
        <v>--</v>
      </c>
      <c r="J30" s="1965" t="str">
        <f>IF(C30="--","",IFERROR(WACC!N31,"n/a"))</f>
        <v/>
      </c>
      <c r="K30" s="1364" t="str">
        <f t="shared" si="1"/>
        <v/>
      </c>
      <c r="L30" s="1965" t="str">
        <f>IF($C30="--","",IFERROR(J30*(1+WACC!$G$47*(1-IF(ReleverTaxRate="Y",WACC!$O$45,0))),"n/a"))</f>
        <v/>
      </c>
      <c r="M30" s="1364" t="str">
        <f>IF($C30="--","",WACC!$G$45)</f>
        <v/>
      </c>
      <c r="N30" s="1364" t="str">
        <f>IF($C30="--","",WACC!$G$50)</f>
        <v/>
      </c>
      <c r="O30" s="1364" t="str">
        <f>IF(C30="--","--",VLOOKUP(F30,'WACC and TIC Inputs'!$G$253:$M$263,6,TRUE))</f>
        <v>--</v>
      </c>
      <c r="P30" s="1364" t="str">
        <f t="shared" si="3"/>
        <v/>
      </c>
      <c r="Q30" s="440"/>
      <c r="R30" s="440"/>
      <c r="S30" s="1527"/>
      <c r="T30" s="1527"/>
      <c r="U30" s="1510"/>
    </row>
    <row r="31" spans="1:52" s="1530" customFormat="1" ht="12" customHeight="1">
      <c r="A31" s="1510" t="str">
        <f t="shared" si="4"/>
        <v>n</v>
      </c>
      <c r="B31" s="1510"/>
      <c r="C31" s="173" t="str">
        <f>'DATA GPC'!E39</f>
        <v>--</v>
      </c>
      <c r="D31" s="1530" t="str">
        <f>'WACC and TIC Inputs'!G148&amp;""</f>
        <v>--</v>
      </c>
      <c r="E31" s="1530" t="str">
        <f>'DATA GPC'!H148</f>
        <v>--</v>
      </c>
      <c r="F31" s="1626" t="str">
        <f>IF(C31="--","--",IFERROR(_xll.ciqfunctions.udf.CIQ(D31,"IQ_MARKETCAP",Valuation_date,E31)*Scale,"n/a"))</f>
        <v>--</v>
      </c>
      <c r="G31" s="1965" t="str">
        <f>WACC!G32</f>
        <v>--</v>
      </c>
      <c r="H31" s="1364" t="str">
        <f>IF(ISNUMBER('WACC and TIC Inputs'!J68),'WACC and TIC Inputs'!J68,"")</f>
        <v/>
      </c>
      <c r="I31" s="1364" t="str">
        <f>'WACC and TIC Inputs'!P68</f>
        <v>--</v>
      </c>
      <c r="J31" s="1965" t="str">
        <f>IF(C31="--","",IFERROR(WACC!N32,"n/a"))</f>
        <v/>
      </c>
      <c r="K31" s="1364" t="str">
        <f t="shared" si="1"/>
        <v/>
      </c>
      <c r="L31" s="1965" t="str">
        <f>IF($C31="--","",IFERROR(J31*(1+WACC!$G$47*(1-IF(ReleverTaxRate="Y",WACC!$O$45,0))),"n/a"))</f>
        <v/>
      </c>
      <c r="M31" s="1364" t="str">
        <f>IF($C31="--","",WACC!$G$45)</f>
        <v/>
      </c>
      <c r="N31" s="1364" t="str">
        <f>IF($C31="--","",WACC!$G$50)</f>
        <v/>
      </c>
      <c r="O31" s="1364" t="str">
        <f>IF(C31="--","--",VLOOKUP(F31,'WACC and TIC Inputs'!$G$253:$M$263,6,TRUE))</f>
        <v>--</v>
      </c>
      <c r="P31" s="1364" t="str">
        <f t="shared" si="3"/>
        <v/>
      </c>
      <c r="Q31" s="440"/>
      <c r="R31" s="440"/>
      <c r="S31" s="1527"/>
      <c r="T31" s="1527"/>
      <c r="U31" s="1510"/>
    </row>
    <row r="32" spans="1:52" s="1530" customFormat="1" ht="12" customHeight="1">
      <c r="A32" s="1510" t="str">
        <f t="shared" si="4"/>
        <v>n</v>
      </c>
      <c r="B32" s="1510"/>
      <c r="C32" s="173" t="str">
        <f>'DATA GPC'!E40</f>
        <v>--</v>
      </c>
      <c r="D32" s="1530" t="str">
        <f>'WACC and TIC Inputs'!G149&amp;""</f>
        <v>--</v>
      </c>
      <c r="E32" s="1530" t="str">
        <f>'DATA GPC'!H149</f>
        <v>--</v>
      </c>
      <c r="F32" s="1626" t="str">
        <f>IF(C32="--","--",IFERROR(_xll.ciqfunctions.udf.CIQ(D32,"IQ_MARKETCAP",Valuation_date,E32)*Scale,"n/a"))</f>
        <v>--</v>
      </c>
      <c r="G32" s="1965" t="str">
        <f>WACC!G33</f>
        <v>--</v>
      </c>
      <c r="H32" s="1364" t="str">
        <f>IF(ISNUMBER('WACC and TIC Inputs'!J69),'WACC and TIC Inputs'!J69,"")</f>
        <v/>
      </c>
      <c r="I32" s="1364" t="str">
        <f>'WACC and TIC Inputs'!P69</f>
        <v>--</v>
      </c>
      <c r="J32" s="1965" t="str">
        <f>IF(C32="--","",IFERROR(WACC!N33,"n/a"))</f>
        <v/>
      </c>
      <c r="K32" s="1364" t="str">
        <f t="shared" si="1"/>
        <v/>
      </c>
      <c r="L32" s="1965" t="str">
        <f>IF($C32="--","",IFERROR(J32*(1+WACC!$G$47*(1-IF(ReleverTaxRate="Y",WACC!$O$45,0))),"n/a"))</f>
        <v/>
      </c>
      <c r="M32" s="1364" t="str">
        <f>IF($C32="--","",WACC!$G$45)</f>
        <v/>
      </c>
      <c r="N32" s="1364" t="str">
        <f>IF($C32="--","",WACC!$G$50)</f>
        <v/>
      </c>
      <c r="O32" s="1364" t="str">
        <f>IF(C32="--","--",VLOOKUP(F32,'WACC and TIC Inputs'!$G$253:$M$263,6,TRUE))</f>
        <v>--</v>
      </c>
      <c r="P32" s="1364" t="str">
        <f t="shared" si="3"/>
        <v/>
      </c>
      <c r="Q32" s="440"/>
      <c r="R32" s="440"/>
      <c r="S32" s="1527"/>
      <c r="T32" s="1527"/>
      <c r="U32" s="1510"/>
    </row>
    <row r="33" spans="1:21" s="1530" customFormat="1" ht="12" customHeight="1">
      <c r="A33" s="1510" t="str">
        <f t="shared" si="4"/>
        <v>n</v>
      </c>
      <c r="B33" s="1510"/>
      <c r="C33" s="173" t="str">
        <f>'DATA GPC'!E41</f>
        <v>--</v>
      </c>
      <c r="D33" s="1530" t="str">
        <f>'WACC and TIC Inputs'!G150&amp;""</f>
        <v>--</v>
      </c>
      <c r="E33" s="1530" t="str">
        <f>'DATA GPC'!H150</f>
        <v>--</v>
      </c>
      <c r="F33" s="1626" t="str">
        <f>IF(C33="--","--",IFERROR(_xll.ciqfunctions.udf.CIQ(D33,"IQ_MARKETCAP",Valuation_date,E33)*Scale,"n/a"))</f>
        <v>--</v>
      </c>
      <c r="G33" s="1965" t="str">
        <f>WACC!G34</f>
        <v>--</v>
      </c>
      <c r="H33" s="1364" t="str">
        <f>IF(ISNUMBER('WACC and TIC Inputs'!J70),'WACC and TIC Inputs'!J70,"")</f>
        <v/>
      </c>
      <c r="I33" s="1364" t="str">
        <f>'WACC and TIC Inputs'!P70</f>
        <v>--</v>
      </c>
      <c r="J33" s="1965" t="str">
        <f>IF(C33="--","",IFERROR(WACC!N34,"n/a"))</f>
        <v/>
      </c>
      <c r="K33" s="1364" t="str">
        <f t="shared" si="1"/>
        <v/>
      </c>
      <c r="L33" s="1965" t="str">
        <f>IF($C33="--","",IFERROR(J33*(1+WACC!$G$47*(1-IF(ReleverTaxRate="Y",WACC!$O$45,0))),"n/a"))</f>
        <v/>
      </c>
      <c r="M33" s="1364" t="str">
        <f>IF($C33="--","",WACC!$G$45)</f>
        <v/>
      </c>
      <c r="N33" s="1364" t="str">
        <f>IF($C33="--","",WACC!$G$50)</f>
        <v/>
      </c>
      <c r="O33" s="1364" t="str">
        <f>IF(C33="--","--",VLOOKUP(F33,'WACC and TIC Inputs'!$G$253:$M$263,6,TRUE))</f>
        <v>--</v>
      </c>
      <c r="P33" s="1364" t="str">
        <f t="shared" si="3"/>
        <v/>
      </c>
      <c r="Q33" s="440"/>
      <c r="R33" s="440"/>
      <c r="S33" s="1527"/>
      <c r="T33" s="1527"/>
      <c r="U33" s="1510"/>
    </row>
    <row r="34" spans="1:21" s="1530" customFormat="1" ht="12" customHeight="1">
      <c r="A34" s="1510" t="str">
        <f t="shared" si="4"/>
        <v>n</v>
      </c>
      <c r="B34" s="1510"/>
      <c r="C34" s="173" t="str">
        <f>'DATA GPC'!E42</f>
        <v>--</v>
      </c>
      <c r="D34" s="1530" t="str">
        <f>'WACC and TIC Inputs'!G151&amp;""</f>
        <v>--</v>
      </c>
      <c r="E34" s="1530" t="str">
        <f>'DATA GPC'!H151</f>
        <v>--</v>
      </c>
      <c r="F34" s="1626" t="str">
        <f>IF(C34="--","--",IFERROR(_xll.ciqfunctions.udf.CIQ(D34,"IQ_MARKETCAP",Valuation_date,E34)*Scale,"n/a"))</f>
        <v>--</v>
      </c>
      <c r="G34" s="1965" t="str">
        <f>WACC!G35</f>
        <v>--</v>
      </c>
      <c r="H34" s="1364" t="str">
        <f>IF(ISNUMBER('WACC and TIC Inputs'!J71),'WACC and TIC Inputs'!J71,"")</f>
        <v/>
      </c>
      <c r="I34" s="1364" t="str">
        <f>'WACC and TIC Inputs'!P71</f>
        <v>--</v>
      </c>
      <c r="J34" s="1965" t="str">
        <f>IF(C34="--","",IFERROR(WACC!N35,"n/a"))</f>
        <v/>
      </c>
      <c r="K34" s="1364" t="str">
        <f t="shared" si="1"/>
        <v/>
      </c>
      <c r="L34" s="1965" t="str">
        <f>IF($C34="--","",IFERROR(J34*(1+WACC!$G$47*(1-IF(ReleverTaxRate="Y",WACC!$O$45,0))),"n/a"))</f>
        <v/>
      </c>
      <c r="M34" s="1364" t="str">
        <f>IF($C34="--","",WACC!$G$45)</f>
        <v/>
      </c>
      <c r="N34" s="1364" t="str">
        <f>IF($C34="--","",WACC!$G$50)</f>
        <v/>
      </c>
      <c r="O34" s="1364" t="str">
        <f>IF(C34="--","--",VLOOKUP(F34,'WACC and TIC Inputs'!$G$253:$M$263,6,TRUE))</f>
        <v>--</v>
      </c>
      <c r="P34" s="1364" t="str">
        <f t="shared" si="3"/>
        <v/>
      </c>
      <c r="Q34" s="440"/>
      <c r="R34" s="440"/>
      <c r="S34" s="1527"/>
      <c r="T34" s="1527"/>
      <c r="U34" s="1510"/>
    </row>
    <row r="35" spans="1:21" s="1530" customFormat="1" ht="12" customHeight="1">
      <c r="A35" s="1510" t="str">
        <f t="shared" si="4"/>
        <v>n</v>
      </c>
      <c r="B35" s="1510"/>
      <c r="C35" s="173" t="str">
        <f>'DATA GPC'!E43</f>
        <v>--</v>
      </c>
      <c r="D35" s="1530" t="str">
        <f>'WACC and TIC Inputs'!G152&amp;""</f>
        <v>--</v>
      </c>
      <c r="E35" s="1530" t="str">
        <f>'DATA GPC'!H152</f>
        <v>--</v>
      </c>
      <c r="F35" s="1626" t="str">
        <f>IF(C35="--","--",IFERROR(_xll.ciqfunctions.udf.CIQ(D35,"IQ_MARKETCAP",Valuation_date,E35)*Scale,"n/a"))</f>
        <v>--</v>
      </c>
      <c r="G35" s="1965" t="str">
        <f>WACC!G36</f>
        <v>--</v>
      </c>
      <c r="H35" s="1364" t="str">
        <f>IF(ISNUMBER('WACC and TIC Inputs'!J72),'WACC and TIC Inputs'!J72,"")</f>
        <v/>
      </c>
      <c r="I35" s="1364" t="str">
        <f>'WACC and TIC Inputs'!P72</f>
        <v>--</v>
      </c>
      <c r="J35" s="1965" t="str">
        <f>IF(C35="--","",IFERROR(WACC!N36,"n/a"))</f>
        <v/>
      </c>
      <c r="K35" s="1364" t="str">
        <f t="shared" si="1"/>
        <v/>
      </c>
      <c r="L35" s="1965" t="str">
        <f>IF($C35="--","",IFERROR(J35*(1+WACC!$G$47*(1-IF(ReleverTaxRate="Y",WACC!$O$45,0))),"n/a"))</f>
        <v/>
      </c>
      <c r="M35" s="1364" t="str">
        <f>IF($C35="--","",WACC!$G$45)</f>
        <v/>
      </c>
      <c r="N35" s="1364" t="str">
        <f>IF($C35="--","",WACC!$G$50)</f>
        <v/>
      </c>
      <c r="O35" s="1364" t="str">
        <f>IF(C35="--","--",VLOOKUP(F35,'WACC and TIC Inputs'!$G$253:$M$263,6,TRUE))</f>
        <v>--</v>
      </c>
      <c r="P35" s="1364" t="str">
        <f t="shared" si="3"/>
        <v/>
      </c>
      <c r="Q35" s="440"/>
      <c r="R35" s="440"/>
      <c r="S35" s="1527"/>
      <c r="T35" s="1527"/>
      <c r="U35" s="1510"/>
    </row>
    <row r="36" spans="1:21" ht="12" customHeight="1">
      <c r="A36" s="1510" t="str">
        <f t="shared" si="4"/>
        <v>n</v>
      </c>
      <c r="B36" s="1510"/>
      <c r="C36" s="173" t="str">
        <f>'DATA GPC'!E44</f>
        <v>--</v>
      </c>
      <c r="D36" s="1530" t="str">
        <f>'WACC and TIC Inputs'!G153&amp;""</f>
        <v>--</v>
      </c>
      <c r="E36" s="1530" t="str">
        <f>'DATA GPC'!H153</f>
        <v>--</v>
      </c>
      <c r="F36" s="1626" t="str">
        <f>IF(C36="--","--",IFERROR(_xll.ciqfunctions.udf.CIQ(D36,"IQ_MARKETCAP",Valuation_date,E36)*Scale,"n/a"))</f>
        <v>--</v>
      </c>
      <c r="G36" s="1626" t="str">
        <f>WACC!G37</f>
        <v>--</v>
      </c>
      <c r="H36" s="1364" t="str">
        <f>IF(ISNUMBER('WACC and TIC Inputs'!J73),'WACC and TIC Inputs'!J73,"")</f>
        <v/>
      </c>
      <c r="I36" s="1364" t="str">
        <f>'WACC and TIC Inputs'!P73</f>
        <v>--</v>
      </c>
      <c r="J36" s="1965" t="str">
        <f>IF(C36="--","",IFERROR(WACC!N37,"n/a"))</f>
        <v/>
      </c>
      <c r="K36" s="1364" t="str">
        <f t="shared" si="1"/>
        <v/>
      </c>
      <c r="L36" s="1965" t="str">
        <f>IF($C36="--","",IFERROR(J36*(1+WACC!$G$47*(1-IF(ReleverTaxRate="Y",WACC!$O$45,0))),"n/a"))</f>
        <v/>
      </c>
      <c r="M36" s="1364" t="str">
        <f>IF($C36="--","",WACC!$G$45)</f>
        <v/>
      </c>
      <c r="N36" s="1364" t="str">
        <f>IF($C36="--","",WACC!$G$50)</f>
        <v/>
      </c>
      <c r="O36" s="1364" t="str">
        <f>IF(C36="--","--",VLOOKUP(F36,'WACC and TIC Inputs'!$G$253:$M$263,6,TRUE))</f>
        <v>--</v>
      </c>
      <c r="P36" s="1364" t="str">
        <f t="shared" si="3"/>
        <v/>
      </c>
      <c r="Q36" s="440"/>
      <c r="R36" s="440"/>
      <c r="S36" s="1527"/>
      <c r="T36" s="1527"/>
      <c r="U36" s="1510"/>
    </row>
    <row r="37" spans="1:21" ht="12" customHeight="1">
      <c r="A37" s="1510"/>
      <c r="B37" s="1510"/>
      <c r="C37" s="1530"/>
      <c r="D37" s="1530"/>
      <c r="G37" s="1568"/>
      <c r="H37" s="1785"/>
      <c r="I37" s="2073"/>
      <c r="J37" s="1530"/>
      <c r="K37" s="1369"/>
      <c r="L37" s="1530"/>
      <c r="M37" s="1369"/>
      <c r="N37" s="1369"/>
      <c r="O37" s="1530"/>
      <c r="P37" s="1369"/>
      <c r="Q37" s="1530"/>
      <c r="R37" s="1530"/>
      <c r="S37" s="1527"/>
      <c r="T37" s="1527"/>
      <c r="U37" s="1510"/>
    </row>
    <row r="38" spans="1:21" s="1530" customFormat="1" ht="12" customHeight="1">
      <c r="A38" s="1510"/>
      <c r="B38" s="1510"/>
      <c r="D38" s="2060"/>
      <c r="F38" s="1785" t="s">
        <v>1275</v>
      </c>
      <c r="G38" s="1750" t="str">
        <f>IFERROR(QUARTILE(G12:G36,4),"n/a")</f>
        <v>n/a</v>
      </c>
      <c r="H38" s="1755" t="str">
        <f t="shared" ref="H38:P38" si="5">IFERROR(QUARTILE(H12:H36,4),"n/a")</f>
        <v>n/a</v>
      </c>
      <c r="I38" s="1755" t="str">
        <f t="shared" si="5"/>
        <v>n/a</v>
      </c>
      <c r="J38" s="1750" t="str">
        <f t="shared" si="5"/>
        <v>n/a</v>
      </c>
      <c r="K38" s="1755" t="str">
        <f t="shared" si="5"/>
        <v>n/a</v>
      </c>
      <c r="L38" s="1966" t="str">
        <f t="shared" si="5"/>
        <v>n/a</v>
      </c>
      <c r="M38" s="1755" t="str">
        <f t="shared" si="5"/>
        <v>n/a</v>
      </c>
      <c r="N38" s="1755" t="str">
        <f t="shared" si="5"/>
        <v>n/a</v>
      </c>
      <c r="O38" s="1755" t="str">
        <f t="shared" si="5"/>
        <v>n/a</v>
      </c>
      <c r="P38" s="1755" t="str">
        <f t="shared" si="5"/>
        <v>n/a</v>
      </c>
      <c r="S38" s="1527"/>
      <c r="T38" s="1527"/>
      <c r="U38" s="1510"/>
    </row>
    <row r="39" spans="1:21" s="1530" customFormat="1" ht="12" customHeight="1">
      <c r="A39" s="1510"/>
      <c r="B39" s="1510"/>
      <c r="D39" s="2060"/>
      <c r="F39" s="1785" t="s">
        <v>1469</v>
      </c>
      <c r="G39" s="1748" t="str">
        <f>IFERROR(QUARTILE(G12:G36,3),"n/a")</f>
        <v>n/a</v>
      </c>
      <c r="H39" s="1364" t="str">
        <f t="shared" ref="H39:P39" si="6">IFERROR(QUARTILE(H12:H36,3),"n/a")</f>
        <v>n/a</v>
      </c>
      <c r="I39" s="1364" t="str">
        <f t="shared" si="6"/>
        <v>n/a</v>
      </c>
      <c r="J39" s="1748" t="str">
        <f t="shared" si="6"/>
        <v>n/a</v>
      </c>
      <c r="K39" s="1364" t="str">
        <f t="shared" si="6"/>
        <v>n/a</v>
      </c>
      <c r="L39" s="1871" t="str">
        <f t="shared" si="6"/>
        <v>n/a</v>
      </c>
      <c r="M39" s="1364" t="str">
        <f t="shared" si="6"/>
        <v>n/a</v>
      </c>
      <c r="N39" s="1364" t="str">
        <f t="shared" si="6"/>
        <v>n/a</v>
      </c>
      <c r="O39" s="1364" t="str">
        <f t="shared" si="6"/>
        <v>n/a</v>
      </c>
      <c r="P39" s="1364" t="str">
        <f t="shared" si="6"/>
        <v>n/a</v>
      </c>
      <c r="S39" s="1527"/>
      <c r="T39" s="1527"/>
      <c r="U39" s="1510"/>
    </row>
    <row r="40" spans="1:21" ht="12" customHeight="1">
      <c r="A40" s="1510"/>
      <c r="B40" s="1510"/>
      <c r="C40" s="1530"/>
      <c r="D40" s="2060"/>
      <c r="F40" s="1785" t="s">
        <v>1157</v>
      </c>
      <c r="G40" s="1748" t="str">
        <f t="shared" ref="G40:P40" si="7">IFERROR(AVERAGE(G12:G36),"n/a")</f>
        <v>n/a</v>
      </c>
      <c r="H40" s="1364" t="str">
        <f t="shared" si="7"/>
        <v>n/a</v>
      </c>
      <c r="I40" s="1364" t="str">
        <f t="shared" si="7"/>
        <v>n/a</v>
      </c>
      <c r="J40" s="1748" t="str">
        <f t="shared" si="7"/>
        <v>n/a</v>
      </c>
      <c r="K40" s="1364" t="str">
        <f t="shared" si="7"/>
        <v>n/a</v>
      </c>
      <c r="L40" s="1871" t="str">
        <f t="shared" si="7"/>
        <v>n/a</v>
      </c>
      <c r="M40" s="1364" t="str">
        <f t="shared" si="7"/>
        <v>n/a</v>
      </c>
      <c r="N40" s="1364" t="str">
        <f t="shared" si="7"/>
        <v>n/a</v>
      </c>
      <c r="O40" s="1364" t="str">
        <f t="shared" si="7"/>
        <v>n/a</v>
      </c>
      <c r="P40" s="1364" t="str">
        <f t="shared" si="7"/>
        <v>n/a</v>
      </c>
      <c r="Q40" s="805"/>
      <c r="R40" s="442"/>
      <c r="S40" s="1527"/>
      <c r="T40" s="1527"/>
      <c r="U40" s="1510"/>
    </row>
    <row r="41" spans="1:21" s="1530" customFormat="1" ht="12" customHeight="1">
      <c r="A41" s="1510"/>
      <c r="B41" s="1510"/>
      <c r="D41" s="2060"/>
      <c r="F41" s="1785" t="s">
        <v>1158</v>
      </c>
      <c r="G41" s="1748" t="str">
        <f>IFERROR(QUARTILE(G12:G36,2),"n/a")</f>
        <v>n/a</v>
      </c>
      <c r="H41" s="1364" t="str">
        <f t="shared" ref="H41:P41" si="8">IFERROR(QUARTILE(H12:H36,2),"n/a")</f>
        <v>n/a</v>
      </c>
      <c r="I41" s="1364" t="str">
        <f t="shared" si="8"/>
        <v>n/a</v>
      </c>
      <c r="J41" s="1748" t="str">
        <f t="shared" si="8"/>
        <v>n/a</v>
      </c>
      <c r="K41" s="1364" t="str">
        <f t="shared" si="8"/>
        <v>n/a</v>
      </c>
      <c r="L41" s="1871" t="str">
        <f t="shared" si="8"/>
        <v>n/a</v>
      </c>
      <c r="M41" s="1364" t="str">
        <f t="shared" si="8"/>
        <v>n/a</v>
      </c>
      <c r="N41" s="1364" t="str">
        <f t="shared" si="8"/>
        <v>n/a</v>
      </c>
      <c r="O41" s="1364" t="str">
        <f t="shared" si="8"/>
        <v>n/a</v>
      </c>
      <c r="P41" s="1364" t="str">
        <f t="shared" si="8"/>
        <v>n/a</v>
      </c>
      <c r="S41" s="1527"/>
      <c r="T41" s="1527"/>
      <c r="U41" s="1510"/>
    </row>
    <row r="42" spans="1:21" s="1530" customFormat="1" ht="12" customHeight="1">
      <c r="A42" s="1510"/>
      <c r="B42" s="1510"/>
      <c r="D42" s="2060"/>
      <c r="F42" s="1785" t="s">
        <v>1470</v>
      </c>
      <c r="G42" s="1748" t="str">
        <f>IFERROR(QUARTILE(G12:G36,1),"n/a")</f>
        <v>n/a</v>
      </c>
      <c r="H42" s="1364" t="str">
        <f t="shared" ref="H42:P42" si="9">IFERROR(QUARTILE(H12:H36,1),"n/a")</f>
        <v>n/a</v>
      </c>
      <c r="I42" s="1364" t="str">
        <f t="shared" si="9"/>
        <v>n/a</v>
      </c>
      <c r="J42" s="1748" t="str">
        <f t="shared" si="9"/>
        <v>n/a</v>
      </c>
      <c r="K42" s="1364" t="str">
        <f t="shared" si="9"/>
        <v>n/a</v>
      </c>
      <c r="L42" s="1871" t="str">
        <f t="shared" si="9"/>
        <v>n/a</v>
      </c>
      <c r="M42" s="1364" t="str">
        <f t="shared" si="9"/>
        <v>n/a</v>
      </c>
      <c r="N42" s="1364" t="str">
        <f t="shared" si="9"/>
        <v>n/a</v>
      </c>
      <c r="O42" s="1364" t="str">
        <f t="shared" si="9"/>
        <v>n/a</v>
      </c>
      <c r="P42" s="1364" t="str">
        <f t="shared" si="9"/>
        <v>n/a</v>
      </c>
      <c r="S42" s="1527"/>
      <c r="T42" s="1527"/>
      <c r="U42" s="1510"/>
    </row>
    <row r="43" spans="1:21" s="1530" customFormat="1" ht="12" customHeight="1">
      <c r="A43" s="1510"/>
      <c r="B43" s="1510"/>
      <c r="D43" s="2060"/>
      <c r="F43" s="1785" t="s">
        <v>1273</v>
      </c>
      <c r="G43" s="1748" t="str">
        <f>IFERROR(QUARTILE(G12:G36,0),"n/a")</f>
        <v>n/a</v>
      </c>
      <c r="H43" s="1364" t="str">
        <f t="shared" ref="H43:P43" si="10">IFERROR(QUARTILE(H12:H36,0),"n/a")</f>
        <v>n/a</v>
      </c>
      <c r="I43" s="1364" t="str">
        <f t="shared" si="10"/>
        <v>n/a</v>
      </c>
      <c r="J43" s="1748" t="str">
        <f t="shared" si="10"/>
        <v>n/a</v>
      </c>
      <c r="K43" s="1364" t="str">
        <f t="shared" si="10"/>
        <v>n/a</v>
      </c>
      <c r="L43" s="1871" t="str">
        <f t="shared" si="10"/>
        <v>n/a</v>
      </c>
      <c r="M43" s="1364" t="str">
        <f t="shared" si="10"/>
        <v>n/a</v>
      </c>
      <c r="N43" s="1364" t="str">
        <f t="shared" si="10"/>
        <v>n/a</v>
      </c>
      <c r="O43" s="1364" t="str">
        <f t="shared" si="10"/>
        <v>n/a</v>
      </c>
      <c r="P43" s="1364" t="str">
        <f t="shared" si="10"/>
        <v>n/a</v>
      </c>
      <c r="S43" s="1527"/>
      <c r="T43" s="1527"/>
      <c r="U43" s="1510"/>
    </row>
    <row r="44" spans="1:21" s="1530" customFormat="1" ht="12" customHeight="1">
      <c r="A44" s="1510"/>
      <c r="B44" s="1510"/>
      <c r="C44" s="1747"/>
      <c r="D44" s="1529"/>
      <c r="E44" s="1529"/>
      <c r="F44" s="2060"/>
      <c r="G44" s="1749"/>
      <c r="H44" s="1751"/>
      <c r="I44" s="1752"/>
      <c r="J44" s="1751"/>
      <c r="K44" s="1753"/>
      <c r="L44" s="1751"/>
      <c r="M44" s="1753"/>
      <c r="N44" s="1753"/>
      <c r="O44" s="1753"/>
      <c r="P44" s="1754"/>
      <c r="Q44" s="805"/>
      <c r="R44" s="442"/>
      <c r="S44" s="1527"/>
      <c r="T44" s="1527"/>
      <c r="U44" s="1510"/>
    </row>
    <row r="45" spans="1:21" ht="12" customHeight="1">
      <c r="A45" s="1510"/>
      <c r="B45" s="1510"/>
      <c r="C45" s="1530"/>
      <c r="D45" s="1785"/>
      <c r="E45" s="1785"/>
      <c r="F45" s="1785"/>
      <c r="G45" s="692"/>
      <c r="H45" s="1785"/>
      <c r="I45" s="1785"/>
      <c r="J45" s="1785"/>
      <c r="K45" s="1785"/>
      <c r="L45" s="1785"/>
      <c r="M45" s="2060"/>
      <c r="N45" s="2060"/>
      <c r="O45" s="2060"/>
      <c r="P45" s="2060"/>
      <c r="Q45" s="2060"/>
      <c r="R45" s="2060"/>
      <c r="S45" s="1527"/>
      <c r="T45" s="1527"/>
      <c r="U45" s="1510"/>
    </row>
    <row r="46" spans="1:21" ht="12" customHeight="1">
      <c r="A46" s="1510"/>
      <c r="B46" s="1510"/>
      <c r="C46" s="1274"/>
      <c r="D46" s="1274"/>
      <c r="E46" s="1274"/>
      <c r="F46" s="1274"/>
      <c r="G46" s="1187" t="s">
        <v>1234</v>
      </c>
      <c r="H46" s="1187" t="s">
        <v>1691</v>
      </c>
      <c r="I46" s="1187"/>
      <c r="J46" s="1187"/>
      <c r="K46" s="1187"/>
      <c r="L46" s="1187"/>
      <c r="M46" s="1187"/>
      <c r="N46" s="2060"/>
      <c r="O46" s="1530"/>
      <c r="P46" s="1530"/>
      <c r="Q46" s="1530"/>
      <c r="R46" s="1530"/>
      <c r="S46" s="1530"/>
      <c r="T46" s="447"/>
      <c r="U46" s="1510"/>
    </row>
    <row r="47" spans="1:21" ht="12" customHeight="1">
      <c r="A47" s="1510"/>
      <c r="B47" s="1510"/>
      <c r="C47" s="1529"/>
      <c r="D47" s="727" t="s">
        <v>125</v>
      </c>
      <c r="E47" s="727"/>
      <c r="F47" s="727"/>
      <c r="G47" s="731" t="s">
        <v>1692</v>
      </c>
      <c r="H47" s="731" t="s">
        <v>1693</v>
      </c>
      <c r="I47" s="731"/>
      <c r="J47" s="731" t="s">
        <v>1676</v>
      </c>
      <c r="K47" s="731"/>
      <c r="L47" s="731" t="s">
        <v>1676</v>
      </c>
      <c r="M47" s="731"/>
      <c r="N47" s="2060"/>
      <c r="O47" s="1530"/>
      <c r="P47" s="1530"/>
      <c r="Q47" s="1530"/>
      <c r="R47" s="1530"/>
      <c r="S47" s="1530"/>
      <c r="T47" s="448"/>
      <c r="U47" s="1510"/>
    </row>
    <row r="48" spans="1:21" ht="12" customHeight="1">
      <c r="A48" s="1510"/>
      <c r="B48" s="1510"/>
      <c r="C48" s="1836"/>
      <c r="D48" s="1275" t="s">
        <v>1684</v>
      </c>
      <c r="E48" s="1275"/>
      <c r="F48" s="1275"/>
      <c r="G48" s="1266" t="s">
        <v>1377</v>
      </c>
      <c r="H48" s="1266" t="s">
        <v>1185</v>
      </c>
      <c r="I48" s="1266" t="s">
        <v>1694</v>
      </c>
      <c r="J48" s="1266" t="s">
        <v>1185</v>
      </c>
      <c r="K48" s="1266" t="s">
        <v>1695</v>
      </c>
      <c r="L48" s="1266" t="s">
        <v>1186</v>
      </c>
      <c r="M48" s="1266" t="s">
        <v>771</v>
      </c>
      <c r="N48" s="2060"/>
      <c r="O48" s="1530"/>
      <c r="P48" s="1530"/>
      <c r="Q48" s="1530"/>
      <c r="R48" s="1530"/>
      <c r="S48" s="1530"/>
      <c r="T48" s="438"/>
      <c r="U48" s="1510"/>
    </row>
    <row r="49" spans="1:52" s="1530" customFormat="1" ht="12" customHeight="1">
      <c r="A49" s="1510"/>
      <c r="B49" s="1510"/>
      <c r="C49" s="1835" t="s">
        <v>1256</v>
      </c>
      <c r="D49" s="727"/>
      <c r="E49" s="727"/>
      <c r="F49" s="727"/>
      <c r="G49" s="731"/>
      <c r="H49" s="731"/>
      <c r="I49" s="731"/>
      <c r="J49" s="731"/>
      <c r="K49" s="731"/>
      <c r="L49" s="731"/>
      <c r="M49" s="731"/>
      <c r="N49" s="2060"/>
      <c r="T49" s="438"/>
      <c r="U49" s="1510"/>
    </row>
    <row r="50" spans="1:52" ht="12" customHeight="1">
      <c r="A50" s="1510" t="str">
        <f t="shared" ref="A50:A74" si="11">A12</f>
        <v>n</v>
      </c>
      <c r="B50" s="1510"/>
      <c r="C50" s="1530" t="str">
        <f t="shared" ref="C50:D74" si="12">C12</f>
        <v>--</v>
      </c>
      <c r="D50" s="1530" t="str">
        <f t="shared" si="12"/>
        <v>--</v>
      </c>
      <c r="G50" s="1369" t="str">
        <f>IF($C50="--","",WACC!$O$42)</f>
        <v/>
      </c>
      <c r="H50" s="1364" t="str">
        <f t="shared" ref="H50:H74" si="13">IF($C50="--","",G50*(1-I12))</f>
        <v/>
      </c>
      <c r="I50" s="1364" t="str">
        <f t="shared" ref="I50:I74" si="14">IFERROR(H12/(1+H12),"")</f>
        <v/>
      </c>
      <c r="J50" s="1364" t="str">
        <f>IF($C50="--","",(H50*I50))</f>
        <v/>
      </c>
      <c r="K50" s="1364" t="str">
        <f>IF($C50="--","",1-I50)</f>
        <v/>
      </c>
      <c r="L50" s="1364" t="str">
        <f t="shared" ref="L50:L74" si="15">IF($C50="--","",IFERROR(P12*K50,"n/a"))</f>
        <v/>
      </c>
      <c r="M50" s="1364" t="str">
        <f>IF(C50="--","",IFERROR(J50+L50,"n/a"))</f>
        <v/>
      </c>
      <c r="N50" s="2060"/>
      <c r="O50" s="1530"/>
      <c r="P50" s="1530"/>
      <c r="Q50" s="1530"/>
      <c r="R50" s="1530"/>
      <c r="S50" s="1530"/>
      <c r="T50" s="438"/>
      <c r="U50" s="1510"/>
      <c r="V50" s="1530"/>
      <c r="W50" s="1530"/>
      <c r="X50" s="1530"/>
      <c r="Y50" s="1530"/>
      <c r="Z50" s="1530"/>
      <c r="AA50" s="1530"/>
      <c r="AB50" s="1530"/>
      <c r="AC50" s="1530"/>
      <c r="AD50" s="1530"/>
      <c r="AE50" s="1530"/>
      <c r="AF50" s="1530"/>
      <c r="AG50" s="1530"/>
    </row>
    <row r="51" spans="1:52" ht="12" customHeight="1">
      <c r="A51" s="1510" t="str">
        <f t="shared" si="11"/>
        <v>n</v>
      </c>
      <c r="B51" s="1510"/>
      <c r="C51" s="1530" t="str">
        <f t="shared" si="12"/>
        <v>--</v>
      </c>
      <c r="D51" s="1530" t="str">
        <f t="shared" si="12"/>
        <v>--</v>
      </c>
      <c r="G51" s="1369" t="str">
        <f>IF($C51="--","",WACC!$O$42)</f>
        <v/>
      </c>
      <c r="H51" s="1364" t="str">
        <f t="shared" si="13"/>
        <v/>
      </c>
      <c r="I51" s="1364" t="str">
        <f t="shared" si="14"/>
        <v/>
      </c>
      <c r="J51" s="1364" t="str">
        <f t="shared" ref="J51:J63" si="16">IF($C51="--","",(H51*I51))</f>
        <v/>
      </c>
      <c r="K51" s="1364" t="str">
        <f t="shared" ref="K51:K63" si="17">IF($C51="--","",1-I51)</f>
        <v/>
      </c>
      <c r="L51" s="1364" t="str">
        <f t="shared" si="15"/>
        <v/>
      </c>
      <c r="M51" s="1364" t="str">
        <f t="shared" ref="M51:M63" si="18">IF(C51="--","",IFERROR(J51+L51,"n/a"))</f>
        <v/>
      </c>
      <c r="N51" s="2060"/>
      <c r="O51" s="1530"/>
      <c r="P51" s="1530"/>
      <c r="Q51" s="1530"/>
      <c r="R51" s="1530"/>
      <c r="S51" s="1530"/>
      <c r="T51" s="438"/>
      <c r="U51" s="1510"/>
      <c r="V51" s="1530"/>
      <c r="W51" s="1530"/>
      <c r="X51" s="1530"/>
      <c r="Y51" s="1530"/>
      <c r="Z51" s="1530"/>
      <c r="AA51" s="1530"/>
      <c r="AB51" s="1530"/>
      <c r="AC51" s="1530"/>
      <c r="AD51" s="1530"/>
      <c r="AE51" s="1530"/>
      <c r="AF51" s="1530"/>
      <c r="AG51" s="1530"/>
    </row>
    <row r="52" spans="1:52" ht="12" customHeight="1">
      <c r="A52" s="1510" t="str">
        <f t="shared" si="11"/>
        <v>n</v>
      </c>
      <c r="B52" s="1510"/>
      <c r="C52" s="1530" t="str">
        <f t="shared" si="12"/>
        <v>--</v>
      </c>
      <c r="D52" s="1530" t="str">
        <f t="shared" si="12"/>
        <v>--</v>
      </c>
      <c r="G52" s="1369" t="str">
        <f>IF($C52="--","",WACC!$O$42)</f>
        <v/>
      </c>
      <c r="H52" s="1364" t="str">
        <f t="shared" si="13"/>
        <v/>
      </c>
      <c r="I52" s="1364" t="str">
        <f t="shared" si="14"/>
        <v/>
      </c>
      <c r="J52" s="1364" t="str">
        <f t="shared" si="16"/>
        <v/>
      </c>
      <c r="K52" s="1364" t="str">
        <f t="shared" si="17"/>
        <v/>
      </c>
      <c r="L52" s="1364" t="str">
        <f t="shared" si="15"/>
        <v/>
      </c>
      <c r="M52" s="1364" t="str">
        <f t="shared" si="18"/>
        <v/>
      </c>
      <c r="N52" s="2060"/>
      <c r="O52" s="1530"/>
      <c r="P52" s="1530"/>
      <c r="Q52" s="1530"/>
      <c r="R52" s="1530"/>
      <c r="S52" s="1530"/>
      <c r="T52" s="438"/>
      <c r="U52" s="1510"/>
      <c r="V52" s="1530"/>
      <c r="W52" s="1530"/>
      <c r="X52" s="1530"/>
      <c r="Y52" s="1530"/>
      <c r="Z52" s="1530"/>
      <c r="AA52" s="1530"/>
      <c r="AB52" s="1530"/>
      <c r="AC52" s="1530"/>
      <c r="AD52" s="1530"/>
      <c r="AE52" s="1530"/>
      <c r="AF52" s="1530"/>
      <c r="AG52" s="1530"/>
    </row>
    <row r="53" spans="1:52" ht="12" customHeight="1">
      <c r="A53" s="1510" t="str">
        <f t="shared" si="11"/>
        <v>n</v>
      </c>
      <c r="B53" s="1510"/>
      <c r="C53" s="1530" t="str">
        <f t="shared" si="12"/>
        <v>--</v>
      </c>
      <c r="D53" s="1530" t="str">
        <f t="shared" si="12"/>
        <v>--</v>
      </c>
      <c r="G53" s="1369" t="str">
        <f>IF($C53="--","",WACC!$O$42)</f>
        <v/>
      </c>
      <c r="H53" s="1364" t="str">
        <f t="shared" si="13"/>
        <v/>
      </c>
      <c r="I53" s="1364" t="str">
        <f t="shared" si="14"/>
        <v/>
      </c>
      <c r="J53" s="1364" t="str">
        <f t="shared" si="16"/>
        <v/>
      </c>
      <c r="K53" s="1364" t="str">
        <f t="shared" si="17"/>
        <v/>
      </c>
      <c r="L53" s="1364" t="str">
        <f t="shared" si="15"/>
        <v/>
      </c>
      <c r="M53" s="1364" t="str">
        <f t="shared" si="18"/>
        <v/>
      </c>
      <c r="N53" s="2060"/>
      <c r="O53" s="1530"/>
      <c r="P53" s="1530"/>
      <c r="Q53" s="1530"/>
      <c r="R53" s="1530"/>
      <c r="S53" s="1530"/>
      <c r="T53" s="438"/>
      <c r="U53" s="1510"/>
      <c r="V53" s="1530"/>
      <c r="W53" s="1530"/>
      <c r="X53" s="1530"/>
      <c r="Y53" s="1530"/>
      <c r="Z53" s="1530"/>
      <c r="AA53" s="1530"/>
      <c r="AB53" s="1530"/>
      <c r="AC53" s="1530"/>
      <c r="AD53" s="1530"/>
      <c r="AE53" s="1530"/>
      <c r="AF53" s="1530"/>
      <c r="AG53" s="1530"/>
    </row>
    <row r="54" spans="1:52" ht="12" customHeight="1">
      <c r="A54" s="1510" t="str">
        <f t="shared" si="11"/>
        <v>n</v>
      </c>
      <c r="B54" s="1510"/>
      <c r="C54" s="1530" t="str">
        <f t="shared" si="12"/>
        <v>--</v>
      </c>
      <c r="D54" s="1530" t="str">
        <f t="shared" si="12"/>
        <v>--</v>
      </c>
      <c r="G54" s="1369" t="str">
        <f>IF($C54="--","",WACC!$O$42)</f>
        <v/>
      </c>
      <c r="H54" s="1364" t="str">
        <f t="shared" si="13"/>
        <v/>
      </c>
      <c r="I54" s="1364" t="str">
        <f t="shared" si="14"/>
        <v/>
      </c>
      <c r="J54" s="1364" t="str">
        <f t="shared" si="16"/>
        <v/>
      </c>
      <c r="K54" s="1364" t="str">
        <f t="shared" si="17"/>
        <v/>
      </c>
      <c r="L54" s="1364" t="str">
        <f t="shared" si="15"/>
        <v/>
      </c>
      <c r="M54" s="1364" t="str">
        <f t="shared" si="18"/>
        <v/>
      </c>
      <c r="N54" s="2060"/>
      <c r="O54" s="1530"/>
      <c r="P54" s="1530"/>
      <c r="Q54" s="1530"/>
      <c r="R54" s="1530"/>
      <c r="S54" s="1530"/>
      <c r="T54" s="438"/>
      <c r="U54" s="1510"/>
      <c r="V54" s="1530"/>
      <c r="W54" s="1530"/>
      <c r="X54" s="1530"/>
      <c r="Y54" s="1530"/>
      <c r="Z54" s="1530"/>
      <c r="AA54" s="1530"/>
      <c r="AB54" s="1530"/>
      <c r="AC54" s="1530"/>
      <c r="AD54" s="1530"/>
      <c r="AE54" s="1530"/>
      <c r="AF54" s="1530"/>
      <c r="AG54" s="1530"/>
    </row>
    <row r="55" spans="1:52" ht="12" customHeight="1">
      <c r="A55" s="1510" t="str">
        <f t="shared" si="11"/>
        <v>n</v>
      </c>
      <c r="B55" s="1510"/>
      <c r="C55" s="1530" t="str">
        <f t="shared" si="12"/>
        <v>--</v>
      </c>
      <c r="D55" s="1530" t="str">
        <f t="shared" si="12"/>
        <v>--</v>
      </c>
      <c r="G55" s="1369" t="str">
        <f>IF($C55="--","",WACC!$O$42)</f>
        <v/>
      </c>
      <c r="H55" s="1364" t="str">
        <f t="shared" si="13"/>
        <v/>
      </c>
      <c r="I55" s="1364" t="str">
        <f t="shared" si="14"/>
        <v/>
      </c>
      <c r="J55" s="1364" t="str">
        <f t="shared" si="16"/>
        <v/>
      </c>
      <c r="K55" s="1364" t="str">
        <f t="shared" si="17"/>
        <v/>
      </c>
      <c r="L55" s="1364" t="str">
        <f t="shared" si="15"/>
        <v/>
      </c>
      <c r="M55" s="1364" t="str">
        <f t="shared" si="18"/>
        <v/>
      </c>
      <c r="N55" s="2060"/>
      <c r="O55" s="1530"/>
      <c r="P55" s="1530"/>
      <c r="Q55" s="1530"/>
      <c r="R55" s="1530"/>
      <c r="S55" s="1530"/>
      <c r="T55" s="438"/>
      <c r="U55" s="1510"/>
      <c r="V55" s="1530"/>
      <c r="W55" s="1530"/>
      <c r="X55" s="1530"/>
      <c r="Y55" s="1530"/>
      <c r="Z55" s="1530"/>
      <c r="AA55" s="1530"/>
      <c r="AB55" s="1530"/>
      <c r="AC55" s="1530"/>
      <c r="AD55" s="1530"/>
      <c r="AE55" s="1530"/>
      <c r="AF55" s="1530"/>
      <c r="AG55" s="1530"/>
    </row>
    <row r="56" spans="1:52" ht="12" customHeight="1">
      <c r="A56" s="1510" t="str">
        <f t="shared" si="11"/>
        <v>n</v>
      </c>
      <c r="B56" s="1510"/>
      <c r="C56" s="1530" t="str">
        <f t="shared" si="12"/>
        <v>--</v>
      </c>
      <c r="D56" s="1530" t="str">
        <f t="shared" si="12"/>
        <v>--</v>
      </c>
      <c r="G56" s="1369" t="str">
        <f>IF($C56="--","",WACC!$O$42)</f>
        <v/>
      </c>
      <c r="H56" s="1364" t="str">
        <f t="shared" si="13"/>
        <v/>
      </c>
      <c r="I56" s="1364" t="str">
        <f t="shared" si="14"/>
        <v/>
      </c>
      <c r="J56" s="1364" t="str">
        <f t="shared" si="16"/>
        <v/>
      </c>
      <c r="K56" s="1364" t="str">
        <f t="shared" si="17"/>
        <v/>
      </c>
      <c r="L56" s="1364" t="str">
        <f t="shared" si="15"/>
        <v/>
      </c>
      <c r="M56" s="1364" t="str">
        <f t="shared" si="18"/>
        <v/>
      </c>
      <c r="N56" s="2060"/>
      <c r="O56" s="1530"/>
      <c r="P56" s="1530"/>
      <c r="Q56" s="1530"/>
      <c r="R56" s="1530"/>
      <c r="S56" s="1530"/>
      <c r="T56" s="438"/>
      <c r="U56" s="1510"/>
      <c r="V56" s="1530"/>
      <c r="W56" s="1530"/>
      <c r="X56" s="1530"/>
      <c r="Y56" s="1530"/>
      <c r="Z56" s="1530"/>
      <c r="AA56" s="1530"/>
      <c r="AB56" s="1530"/>
      <c r="AC56" s="1530"/>
      <c r="AD56" s="1530"/>
      <c r="AE56" s="1530"/>
      <c r="AF56" s="1530"/>
      <c r="AG56" s="1530"/>
    </row>
    <row r="57" spans="1:52" ht="12" customHeight="1">
      <c r="A57" s="1510" t="str">
        <f t="shared" si="11"/>
        <v>n</v>
      </c>
      <c r="B57" s="1510"/>
      <c r="C57" s="1530" t="str">
        <f t="shared" si="12"/>
        <v>--</v>
      </c>
      <c r="D57" s="1530" t="str">
        <f t="shared" si="12"/>
        <v>--</v>
      </c>
      <c r="G57" s="1369" t="str">
        <f>IF($C57="--","",WACC!$O$42)</f>
        <v/>
      </c>
      <c r="H57" s="1364" t="str">
        <f t="shared" si="13"/>
        <v/>
      </c>
      <c r="I57" s="1364" t="str">
        <f t="shared" si="14"/>
        <v/>
      </c>
      <c r="J57" s="1364" t="str">
        <f t="shared" si="16"/>
        <v/>
      </c>
      <c r="K57" s="1364" t="str">
        <f t="shared" si="17"/>
        <v/>
      </c>
      <c r="L57" s="1364" t="str">
        <f t="shared" si="15"/>
        <v/>
      </c>
      <c r="M57" s="1364" t="str">
        <f t="shared" si="18"/>
        <v/>
      </c>
      <c r="N57" s="2060"/>
      <c r="O57" s="1530"/>
      <c r="P57" s="1530"/>
      <c r="Q57" s="1530"/>
      <c r="R57" s="1530"/>
      <c r="S57" s="1530"/>
      <c r="T57" s="438"/>
      <c r="U57" s="1510"/>
      <c r="V57" s="1530"/>
      <c r="W57" s="1530"/>
      <c r="X57" s="1530"/>
      <c r="Y57" s="1530"/>
      <c r="Z57" s="1530"/>
      <c r="AA57" s="1530"/>
      <c r="AB57" s="1530"/>
      <c r="AC57" s="1530"/>
      <c r="AD57" s="1530"/>
      <c r="AE57" s="1530"/>
      <c r="AF57" s="1530"/>
      <c r="AG57" s="1530"/>
    </row>
    <row r="58" spans="1:52" ht="12" customHeight="1">
      <c r="A58" s="1510" t="str">
        <f t="shared" si="11"/>
        <v>n</v>
      </c>
      <c r="B58" s="1510"/>
      <c r="C58" s="1530" t="str">
        <f t="shared" si="12"/>
        <v>--</v>
      </c>
      <c r="D58" s="1530" t="str">
        <f t="shared" si="12"/>
        <v>--</v>
      </c>
      <c r="G58" s="1369" t="str">
        <f>IF($C58="--","",WACC!$O$42)</f>
        <v/>
      </c>
      <c r="H58" s="1364" t="str">
        <f t="shared" si="13"/>
        <v/>
      </c>
      <c r="I58" s="1364" t="str">
        <f t="shared" si="14"/>
        <v/>
      </c>
      <c r="J58" s="1364" t="str">
        <f t="shared" si="16"/>
        <v/>
      </c>
      <c r="K58" s="1364" t="str">
        <f t="shared" si="17"/>
        <v/>
      </c>
      <c r="L58" s="1364" t="str">
        <f t="shared" si="15"/>
        <v/>
      </c>
      <c r="M58" s="1364" t="str">
        <f t="shared" si="18"/>
        <v/>
      </c>
      <c r="N58" s="2060"/>
      <c r="O58" s="1530"/>
      <c r="P58" s="1530"/>
      <c r="Q58" s="1530"/>
      <c r="R58" s="1530"/>
      <c r="S58" s="1530"/>
      <c r="T58" s="438"/>
      <c r="U58" s="1510"/>
      <c r="V58" s="1530"/>
      <c r="W58" s="1530"/>
      <c r="X58" s="1530"/>
      <c r="Y58" s="1530"/>
      <c r="Z58" s="1530"/>
      <c r="AA58" s="1530"/>
      <c r="AB58" s="1530"/>
      <c r="AC58" s="1530"/>
      <c r="AD58" s="1530"/>
      <c r="AE58" s="1530"/>
      <c r="AF58" s="1530"/>
      <c r="AG58" s="1530"/>
    </row>
    <row r="59" spans="1:52" s="335" customFormat="1" ht="12" customHeight="1">
      <c r="A59" s="1510" t="str">
        <f t="shared" si="11"/>
        <v>n</v>
      </c>
      <c r="B59" s="1510"/>
      <c r="C59" s="1530" t="str">
        <f t="shared" si="12"/>
        <v>--</v>
      </c>
      <c r="D59" s="1530" t="str">
        <f t="shared" si="12"/>
        <v>--</v>
      </c>
      <c r="E59" s="1530"/>
      <c r="F59" s="1530"/>
      <c r="G59" s="1369" t="str">
        <f>IF($C59="--","",WACC!$O$42)</f>
        <v/>
      </c>
      <c r="H59" s="1364" t="str">
        <f t="shared" si="13"/>
        <v/>
      </c>
      <c r="I59" s="1364" t="str">
        <f t="shared" si="14"/>
        <v/>
      </c>
      <c r="J59" s="1364" t="str">
        <f t="shared" si="16"/>
        <v/>
      </c>
      <c r="K59" s="1364" t="str">
        <f t="shared" si="17"/>
        <v/>
      </c>
      <c r="L59" s="1364" t="str">
        <f t="shared" si="15"/>
        <v/>
      </c>
      <c r="M59" s="1364" t="str">
        <f t="shared" si="18"/>
        <v/>
      </c>
      <c r="N59" s="2060"/>
      <c r="O59" s="1530"/>
      <c r="P59" s="1530"/>
      <c r="Q59" s="1530"/>
      <c r="R59" s="1530"/>
      <c r="S59" s="1530"/>
      <c r="T59" s="439"/>
      <c r="U59" s="1510"/>
      <c r="V59" s="1530"/>
      <c r="W59" s="1530"/>
      <c r="X59" s="1530"/>
      <c r="Y59" s="1530"/>
      <c r="Z59" s="1530"/>
      <c r="AA59" s="1530"/>
      <c r="AB59" s="1530"/>
      <c r="AC59" s="1530"/>
      <c r="AD59" s="1530"/>
      <c r="AE59" s="1530"/>
      <c r="AF59" s="1530"/>
      <c r="AG59" s="1530"/>
      <c r="AH59" s="1530"/>
      <c r="AI59" s="1530"/>
      <c r="AJ59" s="1530"/>
      <c r="AK59" s="1530"/>
      <c r="AL59" s="1530"/>
      <c r="AM59" s="1530"/>
      <c r="AN59" s="1530"/>
      <c r="AO59" s="1530"/>
      <c r="AP59" s="1530"/>
      <c r="AQ59" s="1530"/>
      <c r="AR59" s="1530"/>
      <c r="AS59" s="1530"/>
      <c r="AT59" s="1530"/>
      <c r="AU59" s="1530"/>
      <c r="AV59" s="1530"/>
      <c r="AW59" s="1530"/>
      <c r="AX59" s="1530"/>
      <c r="AY59" s="1530"/>
      <c r="AZ59" s="1530"/>
    </row>
    <row r="60" spans="1:52" s="335" customFormat="1" ht="12" customHeight="1">
      <c r="A60" s="1510" t="str">
        <f t="shared" si="11"/>
        <v>n</v>
      </c>
      <c r="B60" s="1510"/>
      <c r="C60" s="1530" t="str">
        <f t="shared" si="12"/>
        <v>--</v>
      </c>
      <c r="D60" s="1530" t="str">
        <f t="shared" si="12"/>
        <v>--</v>
      </c>
      <c r="E60" s="1530"/>
      <c r="F60" s="1530"/>
      <c r="G60" s="1369" t="str">
        <f>IF($C60="--","",WACC!$O$42)</f>
        <v/>
      </c>
      <c r="H60" s="1364" t="str">
        <f t="shared" si="13"/>
        <v/>
      </c>
      <c r="I60" s="1364" t="str">
        <f t="shared" si="14"/>
        <v/>
      </c>
      <c r="J60" s="1364" t="str">
        <f t="shared" si="16"/>
        <v/>
      </c>
      <c r="K60" s="1364" t="str">
        <f t="shared" si="17"/>
        <v/>
      </c>
      <c r="L60" s="1364" t="str">
        <f t="shared" si="15"/>
        <v/>
      </c>
      <c r="M60" s="1364" t="str">
        <f t="shared" si="18"/>
        <v/>
      </c>
      <c r="N60" s="2060"/>
      <c r="O60" s="1530"/>
      <c r="P60" s="1530"/>
      <c r="Q60" s="1530"/>
      <c r="R60" s="1530"/>
      <c r="S60" s="1530"/>
      <c r="T60" s="1530"/>
      <c r="U60" s="1510"/>
      <c r="V60" s="1530"/>
      <c r="W60" s="1530"/>
      <c r="X60" s="1530"/>
      <c r="Y60" s="1530"/>
      <c r="Z60" s="1530"/>
      <c r="AA60" s="1530"/>
      <c r="AB60" s="1530"/>
      <c r="AC60" s="1530"/>
      <c r="AD60" s="1530"/>
      <c r="AE60" s="1530"/>
      <c r="AF60" s="1530"/>
      <c r="AG60" s="1530"/>
      <c r="AH60" s="1530"/>
      <c r="AI60" s="1530"/>
      <c r="AJ60" s="1530"/>
      <c r="AK60" s="1530"/>
      <c r="AL60" s="1530"/>
      <c r="AM60" s="1530"/>
      <c r="AN60" s="1530"/>
      <c r="AO60" s="1530"/>
      <c r="AP60" s="1530"/>
      <c r="AQ60" s="1530"/>
      <c r="AR60" s="1530"/>
      <c r="AS60" s="1530"/>
      <c r="AT60" s="1530"/>
      <c r="AU60" s="1530"/>
      <c r="AV60" s="1530"/>
      <c r="AW60" s="1530"/>
      <c r="AX60" s="1530"/>
      <c r="AY60" s="1530"/>
      <c r="AZ60" s="1530"/>
    </row>
    <row r="61" spans="1:52" s="335" customFormat="1" ht="12" customHeight="1">
      <c r="A61" s="1510" t="str">
        <f t="shared" si="11"/>
        <v>n</v>
      </c>
      <c r="B61" s="1510"/>
      <c r="C61" s="1530" t="str">
        <f t="shared" si="12"/>
        <v>--</v>
      </c>
      <c r="D61" s="1530" t="str">
        <f t="shared" si="12"/>
        <v>--</v>
      </c>
      <c r="E61" s="1530"/>
      <c r="F61" s="1530"/>
      <c r="G61" s="1369" t="str">
        <f>IF($C61="--","",WACC!$O$42)</f>
        <v/>
      </c>
      <c r="H61" s="1364" t="str">
        <f t="shared" si="13"/>
        <v/>
      </c>
      <c r="I61" s="1364" t="str">
        <f t="shared" si="14"/>
        <v/>
      </c>
      <c r="J61" s="1364" t="str">
        <f t="shared" si="16"/>
        <v/>
      </c>
      <c r="K61" s="1364" t="str">
        <f t="shared" si="17"/>
        <v/>
      </c>
      <c r="L61" s="1364" t="str">
        <f t="shared" si="15"/>
        <v/>
      </c>
      <c r="M61" s="1364" t="str">
        <f t="shared" si="18"/>
        <v/>
      </c>
      <c r="N61" s="2060"/>
      <c r="O61" s="1530"/>
      <c r="P61" s="1530"/>
      <c r="Q61" s="1530"/>
      <c r="R61" s="1530"/>
      <c r="S61" s="1530"/>
      <c r="T61" s="442"/>
      <c r="U61" s="1510"/>
      <c r="V61" s="1530"/>
      <c r="W61" s="1530"/>
      <c r="X61" s="1530"/>
      <c r="Y61" s="1530"/>
      <c r="Z61" s="1530"/>
      <c r="AA61" s="1530"/>
      <c r="AB61" s="1530"/>
      <c r="AC61" s="1530"/>
      <c r="AD61" s="1530"/>
      <c r="AE61" s="1530"/>
      <c r="AF61" s="1530"/>
      <c r="AG61" s="1530"/>
      <c r="AH61" s="1530"/>
      <c r="AI61" s="1530"/>
      <c r="AJ61" s="1530"/>
      <c r="AK61" s="1530"/>
      <c r="AL61" s="1530"/>
      <c r="AM61" s="1530"/>
      <c r="AN61" s="1530"/>
      <c r="AO61" s="1530"/>
      <c r="AP61" s="1530"/>
      <c r="AQ61" s="1530"/>
      <c r="AR61" s="1530"/>
      <c r="AS61" s="1530"/>
      <c r="AT61" s="1530"/>
      <c r="AU61" s="1530"/>
      <c r="AV61" s="1530"/>
      <c r="AW61" s="1530"/>
      <c r="AX61" s="1530"/>
      <c r="AY61" s="1530"/>
      <c r="AZ61" s="1530"/>
    </row>
    <row r="62" spans="1:52" s="335" customFormat="1" ht="12" customHeight="1">
      <c r="A62" s="1510" t="str">
        <f t="shared" si="11"/>
        <v>n</v>
      </c>
      <c r="B62" s="1510"/>
      <c r="C62" s="1530" t="str">
        <f t="shared" si="12"/>
        <v>--</v>
      </c>
      <c r="D62" s="1530" t="str">
        <f t="shared" si="12"/>
        <v>--</v>
      </c>
      <c r="E62" s="1530"/>
      <c r="F62" s="1530"/>
      <c r="G62" s="1369" t="str">
        <f>IF($C62="--","",WACC!$O$42)</f>
        <v/>
      </c>
      <c r="H62" s="1364" t="str">
        <f t="shared" si="13"/>
        <v/>
      </c>
      <c r="I62" s="1364" t="str">
        <f t="shared" si="14"/>
        <v/>
      </c>
      <c r="J62" s="1364" t="str">
        <f t="shared" si="16"/>
        <v/>
      </c>
      <c r="K62" s="1364" t="str">
        <f t="shared" si="17"/>
        <v/>
      </c>
      <c r="L62" s="1364" t="str">
        <f t="shared" si="15"/>
        <v/>
      </c>
      <c r="M62" s="1364" t="str">
        <f t="shared" si="18"/>
        <v/>
      </c>
      <c r="N62" s="2060"/>
      <c r="O62" s="1530"/>
      <c r="P62" s="1530"/>
      <c r="Q62" s="1530"/>
      <c r="R62" s="1530"/>
      <c r="S62" s="1530"/>
      <c r="T62" s="442"/>
      <c r="U62" s="1510"/>
      <c r="V62" s="1530"/>
      <c r="W62" s="1530"/>
      <c r="X62" s="1530"/>
      <c r="Y62" s="1530"/>
      <c r="Z62" s="1530"/>
      <c r="AA62" s="1530"/>
      <c r="AB62" s="1530"/>
      <c r="AC62" s="1530"/>
      <c r="AD62" s="1530"/>
      <c r="AE62" s="1530"/>
      <c r="AF62" s="1530"/>
      <c r="AG62" s="1530"/>
      <c r="AH62" s="1530"/>
      <c r="AI62" s="1530"/>
      <c r="AJ62" s="1530"/>
      <c r="AK62" s="1530"/>
      <c r="AL62" s="1530"/>
      <c r="AM62" s="1530"/>
      <c r="AN62" s="1530"/>
      <c r="AO62" s="1530"/>
      <c r="AP62" s="1530"/>
      <c r="AQ62" s="1530"/>
      <c r="AR62" s="1530"/>
      <c r="AS62" s="1530"/>
      <c r="AT62" s="1530"/>
      <c r="AU62" s="1530"/>
      <c r="AV62" s="1530"/>
      <c r="AW62" s="1530"/>
      <c r="AX62" s="1530"/>
      <c r="AY62" s="1530"/>
      <c r="AZ62" s="1530"/>
    </row>
    <row r="63" spans="1:52" s="335" customFormat="1" ht="12" customHeight="1">
      <c r="A63" s="1510" t="str">
        <f t="shared" si="11"/>
        <v>n</v>
      </c>
      <c r="B63" s="1510"/>
      <c r="C63" s="1530" t="str">
        <f t="shared" si="12"/>
        <v>--</v>
      </c>
      <c r="D63" s="1530" t="str">
        <f t="shared" si="12"/>
        <v>--</v>
      </c>
      <c r="E63" s="1530"/>
      <c r="F63" s="1530"/>
      <c r="G63" s="1369" t="str">
        <f>IF($C63="--","",WACC!$O$42)</f>
        <v/>
      </c>
      <c r="H63" s="1364" t="str">
        <f t="shared" si="13"/>
        <v/>
      </c>
      <c r="I63" s="1364" t="str">
        <f t="shared" si="14"/>
        <v/>
      </c>
      <c r="J63" s="1364" t="str">
        <f t="shared" si="16"/>
        <v/>
      </c>
      <c r="K63" s="1364" t="str">
        <f t="shared" si="17"/>
        <v/>
      </c>
      <c r="L63" s="1364" t="str">
        <f t="shared" si="15"/>
        <v/>
      </c>
      <c r="M63" s="1364" t="str">
        <f t="shared" si="18"/>
        <v/>
      </c>
      <c r="N63" s="2060"/>
      <c r="O63" s="1530"/>
      <c r="P63" s="1530"/>
      <c r="Q63" s="1530"/>
      <c r="R63" s="1530"/>
      <c r="S63" s="1530"/>
      <c r="T63" s="1527"/>
      <c r="U63" s="1510"/>
      <c r="V63" s="1530"/>
      <c r="W63" s="1530"/>
      <c r="X63" s="1530"/>
      <c r="Y63" s="1530"/>
      <c r="Z63" s="1530"/>
      <c r="AA63" s="1530"/>
      <c r="AB63" s="1530"/>
      <c r="AC63" s="1530"/>
      <c r="AD63" s="1530"/>
      <c r="AE63" s="1530"/>
      <c r="AF63" s="1530"/>
      <c r="AG63" s="1530"/>
      <c r="AH63" s="1530"/>
      <c r="AI63" s="1530"/>
      <c r="AJ63" s="1530"/>
      <c r="AK63" s="1530"/>
      <c r="AL63" s="1530"/>
      <c r="AM63" s="1530"/>
      <c r="AN63" s="1530"/>
      <c r="AO63" s="1530"/>
      <c r="AP63" s="1530"/>
      <c r="AQ63" s="1530"/>
      <c r="AR63" s="1530"/>
      <c r="AS63" s="1530"/>
      <c r="AT63" s="1530"/>
      <c r="AU63" s="1530"/>
      <c r="AV63" s="1530"/>
      <c r="AW63" s="1530"/>
      <c r="AX63" s="1530"/>
      <c r="AY63" s="1530"/>
      <c r="AZ63" s="1530"/>
    </row>
    <row r="64" spans="1:52" s="1530" customFormat="1" ht="12" customHeight="1">
      <c r="A64" s="1510" t="str">
        <f t="shared" si="11"/>
        <v>n</v>
      </c>
      <c r="B64" s="1510"/>
      <c r="C64" s="1530" t="str">
        <f t="shared" si="12"/>
        <v>--</v>
      </c>
      <c r="D64" s="1530" t="str">
        <f t="shared" si="12"/>
        <v>--</v>
      </c>
      <c r="G64" s="1369" t="str">
        <f>IF($C64="--","",WACC!$O$42)</f>
        <v/>
      </c>
      <c r="H64" s="1364" t="str">
        <f t="shared" si="13"/>
        <v/>
      </c>
      <c r="I64" s="1364" t="str">
        <f t="shared" si="14"/>
        <v/>
      </c>
      <c r="J64" s="1364" t="str">
        <f t="shared" ref="J64:J74" si="19">IF($C64="--","",(H64*I64))</f>
        <v/>
      </c>
      <c r="K64" s="1364" t="str">
        <f t="shared" ref="K64:K74" si="20">IF($C64="--","",1-I64)</f>
        <v/>
      </c>
      <c r="L64" s="1364" t="str">
        <f t="shared" si="15"/>
        <v/>
      </c>
      <c r="M64" s="1364" t="str">
        <f t="shared" ref="M64:M74" si="21">IF(C64="--","",IFERROR(J64+L64,"n/a"))</f>
        <v/>
      </c>
      <c r="N64" s="2060"/>
      <c r="T64" s="1527"/>
      <c r="U64" s="1510"/>
    </row>
    <row r="65" spans="1:21" s="1530" customFormat="1" ht="12" customHeight="1">
      <c r="A65" s="1510" t="str">
        <f t="shared" si="11"/>
        <v>n</v>
      </c>
      <c r="B65" s="1510"/>
      <c r="C65" s="1530" t="str">
        <f t="shared" si="12"/>
        <v>--</v>
      </c>
      <c r="D65" s="1530" t="str">
        <f t="shared" si="12"/>
        <v>--</v>
      </c>
      <c r="G65" s="1369" t="str">
        <f>IF($C65="--","",WACC!$O$42)</f>
        <v/>
      </c>
      <c r="H65" s="1364" t="str">
        <f t="shared" si="13"/>
        <v/>
      </c>
      <c r="I65" s="1364" t="str">
        <f t="shared" si="14"/>
        <v/>
      </c>
      <c r="J65" s="1364" t="str">
        <f t="shared" si="19"/>
        <v/>
      </c>
      <c r="K65" s="1364" t="str">
        <f t="shared" si="20"/>
        <v/>
      </c>
      <c r="L65" s="1364" t="str">
        <f t="shared" si="15"/>
        <v/>
      </c>
      <c r="M65" s="1364" t="str">
        <f t="shared" si="21"/>
        <v/>
      </c>
      <c r="N65" s="2060"/>
      <c r="T65" s="1527"/>
      <c r="U65" s="1510"/>
    </row>
    <row r="66" spans="1:21" s="1530" customFormat="1" ht="12" customHeight="1">
      <c r="A66" s="1510" t="str">
        <f t="shared" si="11"/>
        <v>n</v>
      </c>
      <c r="B66" s="1510"/>
      <c r="C66" s="1530" t="str">
        <f t="shared" si="12"/>
        <v>--</v>
      </c>
      <c r="D66" s="1530" t="str">
        <f t="shared" si="12"/>
        <v>--</v>
      </c>
      <c r="G66" s="1369" t="str">
        <f>IF($C66="--","",WACC!$O$42)</f>
        <v/>
      </c>
      <c r="H66" s="1364" t="str">
        <f t="shared" si="13"/>
        <v/>
      </c>
      <c r="I66" s="1364" t="str">
        <f t="shared" si="14"/>
        <v/>
      </c>
      <c r="J66" s="1364" t="str">
        <f t="shared" si="19"/>
        <v/>
      </c>
      <c r="K66" s="1364" t="str">
        <f t="shared" si="20"/>
        <v/>
      </c>
      <c r="L66" s="1364" t="str">
        <f t="shared" si="15"/>
        <v/>
      </c>
      <c r="M66" s="1364" t="str">
        <f t="shared" si="21"/>
        <v/>
      </c>
      <c r="N66" s="2060"/>
      <c r="T66" s="1527"/>
      <c r="U66" s="1510"/>
    </row>
    <row r="67" spans="1:21" s="1530" customFormat="1" ht="12" customHeight="1">
      <c r="A67" s="1510" t="str">
        <f t="shared" si="11"/>
        <v>n</v>
      </c>
      <c r="B67" s="1510"/>
      <c r="C67" s="1530" t="str">
        <f t="shared" si="12"/>
        <v>--</v>
      </c>
      <c r="D67" s="1530" t="str">
        <f t="shared" si="12"/>
        <v>--</v>
      </c>
      <c r="G67" s="1369" t="str">
        <f>IF($C67="--","",WACC!$O$42)</f>
        <v/>
      </c>
      <c r="H67" s="1364" t="str">
        <f t="shared" si="13"/>
        <v/>
      </c>
      <c r="I67" s="1364" t="str">
        <f t="shared" si="14"/>
        <v/>
      </c>
      <c r="J67" s="1364" t="str">
        <f t="shared" si="19"/>
        <v/>
      </c>
      <c r="K67" s="1364" t="str">
        <f t="shared" si="20"/>
        <v/>
      </c>
      <c r="L67" s="1364" t="str">
        <f t="shared" si="15"/>
        <v/>
      </c>
      <c r="M67" s="1364" t="str">
        <f t="shared" si="21"/>
        <v/>
      </c>
      <c r="N67" s="2060"/>
      <c r="T67" s="1527"/>
      <c r="U67" s="1510"/>
    </row>
    <row r="68" spans="1:21" s="1530" customFormat="1" ht="12" customHeight="1">
      <c r="A68" s="1510" t="str">
        <f t="shared" si="11"/>
        <v>n</v>
      </c>
      <c r="B68" s="1510"/>
      <c r="C68" s="1530" t="str">
        <f t="shared" si="12"/>
        <v>--</v>
      </c>
      <c r="D68" s="1530" t="str">
        <f t="shared" si="12"/>
        <v>--</v>
      </c>
      <c r="G68" s="1369" t="str">
        <f>IF($C68="--","",WACC!$O$42)</f>
        <v/>
      </c>
      <c r="H68" s="1364" t="str">
        <f t="shared" si="13"/>
        <v/>
      </c>
      <c r="I68" s="1364" t="str">
        <f t="shared" si="14"/>
        <v/>
      </c>
      <c r="J68" s="1364" t="str">
        <f t="shared" si="19"/>
        <v/>
      </c>
      <c r="K68" s="1364" t="str">
        <f t="shared" si="20"/>
        <v/>
      </c>
      <c r="L68" s="1364" t="str">
        <f t="shared" si="15"/>
        <v/>
      </c>
      <c r="M68" s="1364" t="str">
        <f t="shared" si="21"/>
        <v/>
      </c>
      <c r="N68" s="2060"/>
      <c r="T68" s="1527"/>
      <c r="U68" s="1510"/>
    </row>
    <row r="69" spans="1:21" s="1530" customFormat="1" ht="12" customHeight="1">
      <c r="A69" s="1510" t="str">
        <f t="shared" si="11"/>
        <v>n</v>
      </c>
      <c r="B69" s="1510"/>
      <c r="C69" s="1530" t="str">
        <f t="shared" si="12"/>
        <v>--</v>
      </c>
      <c r="D69" s="1530" t="str">
        <f t="shared" si="12"/>
        <v>--</v>
      </c>
      <c r="G69" s="1369" t="str">
        <f>IF($C69="--","",WACC!$O$42)</f>
        <v/>
      </c>
      <c r="H69" s="1364" t="str">
        <f t="shared" si="13"/>
        <v/>
      </c>
      <c r="I69" s="1364" t="str">
        <f t="shared" si="14"/>
        <v/>
      </c>
      <c r="J69" s="1364" t="str">
        <f t="shared" si="19"/>
        <v/>
      </c>
      <c r="K69" s="1364" t="str">
        <f t="shared" si="20"/>
        <v/>
      </c>
      <c r="L69" s="1364" t="str">
        <f t="shared" si="15"/>
        <v/>
      </c>
      <c r="M69" s="1364" t="str">
        <f t="shared" si="21"/>
        <v/>
      </c>
      <c r="N69" s="2060"/>
      <c r="T69" s="1527"/>
      <c r="U69" s="1510"/>
    </row>
    <row r="70" spans="1:21" s="1530" customFormat="1" ht="12" customHeight="1">
      <c r="A70" s="1510" t="str">
        <f t="shared" si="11"/>
        <v>n</v>
      </c>
      <c r="B70" s="1510"/>
      <c r="C70" s="1530" t="str">
        <f t="shared" si="12"/>
        <v>--</v>
      </c>
      <c r="D70" s="1530" t="str">
        <f t="shared" si="12"/>
        <v>--</v>
      </c>
      <c r="G70" s="1369" t="str">
        <f>IF($C70="--","",WACC!$O$42)</f>
        <v/>
      </c>
      <c r="H70" s="1364" t="str">
        <f t="shared" si="13"/>
        <v/>
      </c>
      <c r="I70" s="1364" t="str">
        <f t="shared" si="14"/>
        <v/>
      </c>
      <c r="J70" s="1364" t="str">
        <f t="shared" si="19"/>
        <v/>
      </c>
      <c r="K70" s="1364" t="str">
        <f t="shared" si="20"/>
        <v/>
      </c>
      <c r="L70" s="1364" t="str">
        <f t="shared" si="15"/>
        <v/>
      </c>
      <c r="M70" s="1364" t="str">
        <f t="shared" si="21"/>
        <v/>
      </c>
      <c r="N70" s="2060"/>
      <c r="T70" s="1527"/>
      <c r="U70" s="1510"/>
    </row>
    <row r="71" spans="1:21" s="1530" customFormat="1" ht="12" customHeight="1">
      <c r="A71" s="1510" t="str">
        <f t="shared" si="11"/>
        <v>n</v>
      </c>
      <c r="B71" s="1510"/>
      <c r="C71" s="1530" t="str">
        <f t="shared" si="12"/>
        <v>--</v>
      </c>
      <c r="D71" s="1530" t="str">
        <f t="shared" si="12"/>
        <v>--</v>
      </c>
      <c r="G71" s="1369" t="str">
        <f>IF($C71="--","",WACC!$O$42)</f>
        <v/>
      </c>
      <c r="H71" s="1364" t="str">
        <f t="shared" si="13"/>
        <v/>
      </c>
      <c r="I71" s="1364" t="str">
        <f t="shared" si="14"/>
        <v/>
      </c>
      <c r="J71" s="1364" t="str">
        <f t="shared" si="19"/>
        <v/>
      </c>
      <c r="K71" s="1364" t="str">
        <f t="shared" si="20"/>
        <v/>
      </c>
      <c r="L71" s="1364" t="str">
        <f t="shared" si="15"/>
        <v/>
      </c>
      <c r="M71" s="1364" t="str">
        <f t="shared" si="21"/>
        <v/>
      </c>
      <c r="N71" s="2060"/>
      <c r="T71" s="1527"/>
      <c r="U71" s="1510"/>
    </row>
    <row r="72" spans="1:21" s="1530" customFormat="1" ht="12" customHeight="1">
      <c r="A72" s="1510" t="str">
        <f t="shared" si="11"/>
        <v>n</v>
      </c>
      <c r="B72" s="1510"/>
      <c r="C72" s="1530" t="str">
        <f t="shared" si="12"/>
        <v>--</v>
      </c>
      <c r="D72" s="1530" t="str">
        <f t="shared" si="12"/>
        <v>--</v>
      </c>
      <c r="G72" s="1369" t="str">
        <f>IF($C72="--","",WACC!$O$42)</f>
        <v/>
      </c>
      <c r="H72" s="1364" t="str">
        <f t="shared" si="13"/>
        <v/>
      </c>
      <c r="I72" s="1364" t="str">
        <f t="shared" si="14"/>
        <v/>
      </c>
      <c r="J72" s="1364" t="str">
        <f t="shared" si="19"/>
        <v/>
      </c>
      <c r="K72" s="1364" t="str">
        <f t="shared" si="20"/>
        <v/>
      </c>
      <c r="L72" s="1364" t="str">
        <f t="shared" si="15"/>
        <v/>
      </c>
      <c r="M72" s="1364" t="str">
        <f t="shared" si="21"/>
        <v/>
      </c>
      <c r="N72" s="2060"/>
      <c r="T72" s="1527"/>
      <c r="U72" s="1510"/>
    </row>
    <row r="73" spans="1:21" s="1530" customFormat="1" ht="12" customHeight="1">
      <c r="A73" s="1510" t="str">
        <f t="shared" si="11"/>
        <v>n</v>
      </c>
      <c r="B73" s="1510"/>
      <c r="C73" s="1530" t="str">
        <f t="shared" si="12"/>
        <v>--</v>
      </c>
      <c r="D73" s="1530" t="str">
        <f t="shared" si="12"/>
        <v>--</v>
      </c>
      <c r="G73" s="1369" t="str">
        <f>IF($C73="--","",WACC!$O$42)</f>
        <v/>
      </c>
      <c r="H73" s="1364" t="str">
        <f t="shared" si="13"/>
        <v/>
      </c>
      <c r="I73" s="1364" t="str">
        <f t="shared" si="14"/>
        <v/>
      </c>
      <c r="J73" s="1364" t="str">
        <f t="shared" si="19"/>
        <v/>
      </c>
      <c r="K73" s="1364" t="str">
        <f t="shared" si="20"/>
        <v/>
      </c>
      <c r="L73" s="1364" t="str">
        <f t="shared" si="15"/>
        <v/>
      </c>
      <c r="M73" s="1364" t="str">
        <f t="shared" si="21"/>
        <v/>
      </c>
      <c r="N73" s="2060"/>
      <c r="T73" s="1527"/>
      <c r="U73" s="1510"/>
    </row>
    <row r="74" spans="1:21" ht="12" customHeight="1">
      <c r="A74" s="1510" t="str">
        <f t="shared" si="11"/>
        <v>n</v>
      </c>
      <c r="B74" s="1510"/>
      <c r="C74" s="1530" t="str">
        <f t="shared" si="12"/>
        <v>--</v>
      </c>
      <c r="D74" s="1530" t="str">
        <f t="shared" si="12"/>
        <v>--</v>
      </c>
      <c r="F74" s="2060"/>
      <c r="G74" s="1369" t="str">
        <f>IF($C74="--","",WACC!$O$42)</f>
        <v/>
      </c>
      <c r="H74" s="1364" t="str">
        <f t="shared" si="13"/>
        <v/>
      </c>
      <c r="I74" s="1364" t="str">
        <f t="shared" si="14"/>
        <v/>
      </c>
      <c r="J74" s="1364" t="str">
        <f t="shared" si="19"/>
        <v/>
      </c>
      <c r="K74" s="1364" t="str">
        <f t="shared" si="20"/>
        <v/>
      </c>
      <c r="L74" s="1364" t="str">
        <f t="shared" si="15"/>
        <v/>
      </c>
      <c r="M74" s="1364" t="str">
        <f t="shared" si="21"/>
        <v/>
      </c>
      <c r="N74" s="2060"/>
      <c r="O74" s="1530"/>
      <c r="P74" s="1530"/>
      <c r="Q74" s="1530"/>
      <c r="R74" s="1530"/>
      <c r="S74" s="1530"/>
      <c r="T74" s="1527"/>
      <c r="U74" s="1510"/>
    </row>
    <row r="75" spans="1:21" ht="12" customHeight="1">
      <c r="A75" s="1510"/>
      <c r="B75" s="1510"/>
      <c r="C75" s="1530"/>
      <c r="D75" s="1530"/>
      <c r="F75" s="2060"/>
      <c r="G75" s="670"/>
      <c r="H75" s="1364"/>
      <c r="I75" s="1530"/>
      <c r="J75" s="1530"/>
      <c r="K75" s="1530"/>
      <c r="L75" s="1530"/>
      <c r="M75" s="2073"/>
      <c r="N75" s="2060"/>
      <c r="O75" s="1530"/>
      <c r="P75" s="1530"/>
      <c r="Q75" s="1530"/>
      <c r="R75" s="1530"/>
      <c r="S75" s="1530"/>
      <c r="T75" s="1527"/>
      <c r="U75" s="1510"/>
    </row>
    <row r="76" spans="1:21" s="1530" customFormat="1" ht="12" customHeight="1">
      <c r="A76" s="1510"/>
      <c r="B76" s="1510"/>
      <c r="D76" s="2060"/>
      <c r="E76" s="2060"/>
      <c r="F76" s="1785" t="s">
        <v>1275</v>
      </c>
      <c r="G76" s="1756" t="str">
        <f>IFERROR(QUARTILE(G50:G74,4),"n/a")</f>
        <v>n/a</v>
      </c>
      <c r="H76" s="1755" t="str">
        <f t="shared" ref="H76:M76" si="22">IFERROR(QUARTILE(H50:H74,4),"n/a")</f>
        <v>n/a</v>
      </c>
      <c r="I76" s="1755" t="str">
        <f t="shared" si="22"/>
        <v>n/a</v>
      </c>
      <c r="J76" s="1755" t="str">
        <f t="shared" si="22"/>
        <v>n/a</v>
      </c>
      <c r="K76" s="1755" t="str">
        <f t="shared" si="22"/>
        <v>n/a</v>
      </c>
      <c r="L76" s="1755" t="str">
        <f t="shared" si="22"/>
        <v>n/a</v>
      </c>
      <c r="M76" s="1755" t="str">
        <f t="shared" si="22"/>
        <v>n/a</v>
      </c>
      <c r="N76" s="2060"/>
      <c r="T76" s="1527"/>
      <c r="U76" s="1510"/>
    </row>
    <row r="77" spans="1:21" s="1530" customFormat="1" ht="12" customHeight="1">
      <c r="A77" s="1510"/>
      <c r="B77" s="1510"/>
      <c r="D77" s="2060"/>
      <c r="E77" s="2060"/>
      <c r="F77" s="1785" t="s">
        <v>1469</v>
      </c>
      <c r="G77" s="1722" t="str">
        <f>IFERROR(QUARTILE(G50:G74,3),"n/a")</f>
        <v>n/a</v>
      </c>
      <c r="H77" s="1614" t="str">
        <f t="shared" ref="H77:M77" si="23">IFERROR(QUARTILE(H50:H74,3),"n/a")</f>
        <v>n/a</v>
      </c>
      <c r="I77" s="1614" t="str">
        <f t="shared" si="23"/>
        <v>n/a</v>
      </c>
      <c r="J77" s="1614" t="str">
        <f t="shared" si="23"/>
        <v>n/a</v>
      </c>
      <c r="K77" s="1614" t="str">
        <f t="shared" si="23"/>
        <v>n/a</v>
      </c>
      <c r="L77" s="1614" t="str">
        <f t="shared" si="23"/>
        <v>n/a</v>
      </c>
      <c r="M77" s="1614" t="str">
        <f t="shared" si="23"/>
        <v>n/a</v>
      </c>
      <c r="N77" s="2060"/>
      <c r="T77" s="1527"/>
      <c r="U77" s="1510"/>
    </row>
    <row r="78" spans="1:21" s="1530" customFormat="1" ht="12" customHeight="1">
      <c r="A78" s="1510"/>
      <c r="B78" s="1510"/>
      <c r="D78" s="2060"/>
      <c r="E78" s="2060"/>
      <c r="F78" s="1785" t="s">
        <v>1157</v>
      </c>
      <c r="G78" s="1722" t="str">
        <f t="shared" ref="G78:M78" si="24">IFERROR(AVERAGE(G50:G74),"n/a")</f>
        <v>n/a</v>
      </c>
      <c r="H78" s="1614" t="str">
        <f t="shared" si="24"/>
        <v>n/a</v>
      </c>
      <c r="I78" s="1614" t="str">
        <f t="shared" si="24"/>
        <v>n/a</v>
      </c>
      <c r="J78" s="1614" t="str">
        <f t="shared" si="24"/>
        <v>n/a</v>
      </c>
      <c r="K78" s="1614" t="str">
        <f t="shared" si="24"/>
        <v>n/a</v>
      </c>
      <c r="L78" s="1614" t="str">
        <f t="shared" si="24"/>
        <v>n/a</v>
      </c>
      <c r="M78" s="1614" t="str">
        <f t="shared" si="24"/>
        <v>n/a</v>
      </c>
      <c r="N78" s="2060"/>
      <c r="T78" s="1527"/>
      <c r="U78" s="1510"/>
    </row>
    <row r="79" spans="1:21" s="1530" customFormat="1" ht="12" customHeight="1">
      <c r="A79" s="1510"/>
      <c r="B79" s="1510"/>
      <c r="D79" s="2060"/>
      <c r="E79" s="2060"/>
      <c r="F79" s="1785" t="s">
        <v>1158</v>
      </c>
      <c r="G79" s="1722" t="str">
        <f>IFERROR(QUARTILE(G50:G74,2),"n/a")</f>
        <v>n/a</v>
      </c>
      <c r="H79" s="1614" t="str">
        <f t="shared" ref="H79:M79" si="25">IFERROR(QUARTILE(H50:H74,2),"n/a")</f>
        <v>n/a</v>
      </c>
      <c r="I79" s="1614" t="str">
        <f t="shared" si="25"/>
        <v>n/a</v>
      </c>
      <c r="J79" s="1614" t="str">
        <f t="shared" si="25"/>
        <v>n/a</v>
      </c>
      <c r="K79" s="1614" t="str">
        <f t="shared" si="25"/>
        <v>n/a</v>
      </c>
      <c r="L79" s="1614" t="str">
        <f t="shared" si="25"/>
        <v>n/a</v>
      </c>
      <c r="M79" s="1614" t="str">
        <f t="shared" si="25"/>
        <v>n/a</v>
      </c>
      <c r="N79" s="2060"/>
      <c r="T79" s="1527"/>
      <c r="U79" s="1510"/>
    </row>
    <row r="80" spans="1:21" s="1530" customFormat="1" ht="12" customHeight="1">
      <c r="A80" s="1510"/>
      <c r="B80" s="1510"/>
      <c r="D80" s="2060"/>
      <c r="E80" s="2060"/>
      <c r="F80" s="1785" t="s">
        <v>1470</v>
      </c>
      <c r="G80" s="1722" t="str">
        <f>IFERROR(QUARTILE(G50:G74,1),"n/a")</f>
        <v>n/a</v>
      </c>
      <c r="H80" s="1614" t="str">
        <f t="shared" ref="H80:M80" si="26">IFERROR(QUARTILE(H50:H74,1),"n/a")</f>
        <v>n/a</v>
      </c>
      <c r="I80" s="1614" t="str">
        <f t="shared" si="26"/>
        <v>n/a</v>
      </c>
      <c r="J80" s="1614" t="str">
        <f t="shared" si="26"/>
        <v>n/a</v>
      </c>
      <c r="K80" s="1614" t="str">
        <f t="shared" si="26"/>
        <v>n/a</v>
      </c>
      <c r="L80" s="1614" t="str">
        <f t="shared" si="26"/>
        <v>n/a</v>
      </c>
      <c r="M80" s="1614" t="str">
        <f t="shared" si="26"/>
        <v>n/a</v>
      </c>
      <c r="N80" s="2060"/>
      <c r="T80" s="1527"/>
      <c r="U80" s="1510"/>
    </row>
    <row r="81" spans="1:52" s="1530" customFormat="1" ht="12" customHeight="1">
      <c r="A81" s="1510"/>
      <c r="B81" s="1510"/>
      <c r="D81" s="2060"/>
      <c r="E81" s="2060"/>
      <c r="F81" s="1785" t="s">
        <v>1273</v>
      </c>
      <c r="G81" s="1757" t="str">
        <f>IFERROR(QUARTILE(G50:G74,0),"n/a")</f>
        <v>n/a</v>
      </c>
      <c r="H81" s="1758" t="str">
        <f t="shared" ref="H81:M81" si="27">IFERROR(QUARTILE(H50:H74,0),"n/a")</f>
        <v>n/a</v>
      </c>
      <c r="I81" s="1758" t="str">
        <f t="shared" si="27"/>
        <v>n/a</v>
      </c>
      <c r="J81" s="1758" t="str">
        <f t="shared" si="27"/>
        <v>n/a</v>
      </c>
      <c r="K81" s="1758" t="str">
        <f t="shared" si="27"/>
        <v>n/a</v>
      </c>
      <c r="L81" s="1758" t="str">
        <f t="shared" si="27"/>
        <v>n/a</v>
      </c>
      <c r="M81" s="1758" t="str">
        <f t="shared" si="27"/>
        <v>n/a</v>
      </c>
      <c r="N81" s="2060"/>
      <c r="T81" s="1527"/>
      <c r="U81" s="1510"/>
    </row>
    <row r="82" spans="1:52" ht="12" customHeight="1">
      <c r="A82" s="1510"/>
      <c r="B82" s="1510"/>
      <c r="C82" s="1530"/>
      <c r="D82" s="1530"/>
      <c r="F82" s="2060"/>
      <c r="G82" s="670"/>
      <c r="H82" s="1530"/>
      <c r="I82" s="1530"/>
      <c r="J82" s="1530"/>
      <c r="K82" s="1530"/>
      <c r="L82" s="1530"/>
      <c r="M82" s="2060"/>
      <c r="N82" s="2060"/>
      <c r="O82" s="2060"/>
      <c r="P82" s="2060"/>
      <c r="Q82" s="2060"/>
      <c r="R82" s="2060"/>
      <c r="S82" s="1527"/>
      <c r="T82" s="1527"/>
      <c r="U82" s="1510"/>
      <c r="V82" s="1530"/>
      <c r="W82" s="1530"/>
      <c r="X82" s="1530"/>
      <c r="Y82" s="1530"/>
      <c r="Z82" s="1530"/>
      <c r="AA82" s="1530"/>
      <c r="AB82" s="1530"/>
      <c r="AC82" s="1530"/>
      <c r="AD82" s="1530"/>
      <c r="AE82" s="1530"/>
      <c r="AF82" s="1530"/>
      <c r="AG82" s="1530"/>
    </row>
    <row r="83" spans="1:52" s="1530" customFormat="1" ht="12" customHeight="1">
      <c r="A83" s="1510"/>
      <c r="B83" s="1510"/>
      <c r="C83" s="1530" t="s">
        <v>1696</v>
      </c>
      <c r="G83" s="670"/>
      <c r="M83" s="2060"/>
      <c r="N83" s="2060"/>
      <c r="O83" s="2060"/>
      <c r="P83" s="2060"/>
      <c r="Q83" s="2060"/>
      <c r="R83" s="2060"/>
      <c r="S83" s="1527"/>
      <c r="T83" s="1527"/>
      <c r="U83" s="1510"/>
    </row>
    <row r="84" spans="1:52" s="335" customFormat="1" ht="12" customHeight="1">
      <c r="A84" s="1510"/>
      <c r="B84" s="1510"/>
      <c r="C84" s="1545" t="s">
        <v>1402</v>
      </c>
      <c r="D84" s="1530"/>
      <c r="E84" s="1530"/>
      <c r="F84" s="1530"/>
      <c r="G84" s="670"/>
      <c r="H84" s="1530"/>
      <c r="I84" s="1530"/>
      <c r="J84" s="1530"/>
      <c r="K84" s="1530"/>
      <c r="L84" s="1530"/>
      <c r="M84" s="2060"/>
      <c r="N84" s="2060"/>
      <c r="O84" s="2060"/>
      <c r="P84" s="2060"/>
      <c r="Q84" s="2060"/>
      <c r="R84" s="2060"/>
      <c r="S84" s="1527"/>
      <c r="T84" s="1527"/>
      <c r="U84" s="1510"/>
      <c r="V84" s="1530"/>
      <c r="W84" s="1530"/>
      <c r="X84" s="1530"/>
      <c r="Y84" s="1530"/>
      <c r="Z84" s="1530"/>
      <c r="AA84" s="1530"/>
      <c r="AB84" s="1530"/>
      <c r="AC84" s="1530"/>
      <c r="AD84" s="1530"/>
      <c r="AE84" s="1530"/>
      <c r="AF84" s="1530"/>
      <c r="AG84" s="1530"/>
      <c r="AH84" s="1530"/>
      <c r="AI84" s="1530"/>
      <c r="AJ84" s="1530"/>
      <c r="AK84" s="1530"/>
      <c r="AL84" s="1530"/>
      <c r="AM84" s="1530"/>
      <c r="AN84" s="1530"/>
      <c r="AO84" s="1530"/>
      <c r="AP84" s="1530"/>
      <c r="AQ84" s="1530"/>
      <c r="AR84" s="1530"/>
      <c r="AS84" s="1530"/>
      <c r="AT84" s="1530"/>
      <c r="AU84" s="1530"/>
      <c r="AV84" s="1530"/>
      <c r="AW84" s="1530"/>
      <c r="AX84" s="1530"/>
      <c r="AY84" s="1530"/>
      <c r="AZ84" s="1530"/>
    </row>
    <row r="85" spans="1:52" s="1530" customFormat="1" ht="12" customHeight="1">
      <c r="A85" s="1510"/>
      <c r="B85" s="1510"/>
      <c r="C85" s="1545"/>
      <c r="G85" s="670"/>
      <c r="M85" s="2060"/>
      <c r="N85" s="2060"/>
      <c r="O85" s="2060"/>
      <c r="P85" s="2060"/>
      <c r="Q85" s="2060"/>
      <c r="R85" s="2060"/>
      <c r="S85" s="1527"/>
      <c r="T85" s="1527"/>
      <c r="U85" s="1510"/>
    </row>
    <row r="86" spans="1:52" ht="12" customHeight="1">
      <c r="A86" s="1510"/>
      <c r="B86" s="1510"/>
      <c r="C86" s="2060" t="str">
        <f ca="1">FootnoteDRAFT</f>
        <v>Run date: 05-August-2018  02:34 PM.   DRAFT document. All data subject to change upon completion of additional analysis.</v>
      </c>
      <c r="D86" s="2060"/>
      <c r="E86" s="2060"/>
      <c r="F86" s="2060"/>
      <c r="G86" s="1578"/>
      <c r="H86" s="2060"/>
      <c r="I86" s="2060"/>
      <c r="J86" s="2060"/>
      <c r="K86" s="2060"/>
      <c r="L86" s="2060"/>
      <c r="M86" s="2060"/>
      <c r="N86" s="2060"/>
      <c r="O86" s="2060"/>
      <c r="P86" s="2060"/>
      <c r="Q86" s="2060"/>
      <c r="R86" s="2060"/>
      <c r="S86" s="1527"/>
      <c r="T86" s="1527"/>
      <c r="U86" s="1510"/>
      <c r="V86" s="1530"/>
      <c r="W86" s="1530"/>
      <c r="X86" s="1530"/>
      <c r="Y86" s="1530"/>
      <c r="Z86" s="1530"/>
      <c r="AA86" s="1530"/>
      <c r="AB86" s="1530"/>
      <c r="AC86" s="1530"/>
      <c r="AD86" s="1530"/>
      <c r="AE86" s="1530"/>
      <c r="AF86" s="1530"/>
      <c r="AG86" s="1530"/>
    </row>
    <row r="87" spans="1:52" s="335" customFormat="1" ht="12" customHeight="1">
      <c r="A87" s="1510" t="s">
        <v>17</v>
      </c>
      <c r="B87" s="1510"/>
      <c r="C87" s="1510"/>
      <c r="D87" s="1510"/>
      <c r="E87" s="1510"/>
      <c r="F87" s="1510"/>
      <c r="G87" s="701"/>
      <c r="H87" s="1510"/>
      <c r="I87" s="1510"/>
      <c r="J87" s="1510"/>
      <c r="K87" s="1510"/>
      <c r="L87" s="1510"/>
      <c r="M87" s="1510"/>
      <c r="N87" s="1510"/>
      <c r="O87" s="1510"/>
      <c r="P87" s="1510"/>
      <c r="Q87" s="1510"/>
      <c r="R87" s="1510"/>
      <c r="S87" s="1510"/>
      <c r="T87" s="1546" t="s">
        <v>18</v>
      </c>
      <c r="U87" s="1510"/>
      <c r="V87" s="1530"/>
      <c r="W87" s="1530"/>
      <c r="X87" s="1530"/>
      <c r="Y87" s="1530"/>
      <c r="Z87" s="1530"/>
      <c r="AA87" s="1530"/>
      <c r="AB87" s="1530"/>
      <c r="AC87" s="1530"/>
      <c r="AD87" s="1530"/>
      <c r="AE87" s="1530"/>
      <c r="AF87" s="1530"/>
      <c r="AG87" s="1530"/>
      <c r="AH87" s="1530"/>
      <c r="AI87" s="1530"/>
      <c r="AJ87" s="1530"/>
      <c r="AK87" s="1530"/>
      <c r="AL87" s="1530"/>
      <c r="AM87" s="1530"/>
      <c r="AN87" s="1530"/>
      <c r="AO87" s="1530"/>
      <c r="AP87" s="1530"/>
      <c r="AQ87" s="1530"/>
      <c r="AR87" s="1530"/>
      <c r="AS87" s="1530"/>
      <c r="AT87" s="1530"/>
      <c r="AU87" s="1530"/>
      <c r="AV87" s="1530"/>
      <c r="AW87" s="1530"/>
      <c r="AX87" s="1530"/>
      <c r="AY87" s="1530"/>
      <c r="AZ87" s="1530"/>
    </row>
    <row r="88" spans="1:52" ht="13.9">
      <c r="A88" s="1510"/>
      <c r="B88" s="1510"/>
      <c r="C88" s="1510"/>
      <c r="D88" s="1510"/>
      <c r="E88" s="1510"/>
      <c r="F88" s="1510"/>
      <c r="G88" s="701"/>
      <c r="H88" s="1510"/>
      <c r="I88" s="1510"/>
      <c r="J88" s="1510"/>
      <c r="K88" s="1510"/>
      <c r="L88" s="1510"/>
      <c r="M88" s="1510"/>
      <c r="N88" s="1510"/>
      <c r="O88" s="1510"/>
      <c r="P88" s="1510"/>
      <c r="Q88" s="1510"/>
      <c r="R88" s="1510"/>
      <c r="S88" s="1510"/>
      <c r="T88" s="1510"/>
      <c r="U88" s="1510"/>
      <c r="V88" s="2060"/>
      <c r="W88" s="2060"/>
      <c r="X88" s="1530"/>
      <c r="Y88" s="1530"/>
      <c r="Z88" s="1530"/>
      <c r="AA88" s="1530"/>
      <c r="AB88" s="1530"/>
      <c r="AC88" s="1530"/>
      <c r="AD88" s="1530"/>
      <c r="AE88" s="1530"/>
      <c r="AF88" s="1530"/>
      <c r="AG88" s="1530"/>
    </row>
    <row r="89" spans="1:52" ht="13.9">
      <c r="A89" s="2060"/>
      <c r="B89" s="2060"/>
      <c r="C89" s="2060"/>
      <c r="D89" s="2060"/>
      <c r="E89" s="2060"/>
      <c r="F89" s="2060"/>
      <c r="G89" s="1578"/>
      <c r="H89" s="2060"/>
      <c r="I89" s="2060"/>
      <c r="J89" s="2060"/>
      <c r="K89" s="2060"/>
      <c r="L89" s="2060"/>
      <c r="M89" s="2060"/>
      <c r="N89" s="2060"/>
      <c r="O89" s="2060"/>
      <c r="P89" s="2060"/>
      <c r="Q89" s="2060"/>
      <c r="R89" s="2060"/>
      <c r="S89" s="2060"/>
      <c r="T89" s="2060"/>
      <c r="U89" s="2060"/>
      <c r="V89" s="2060"/>
      <c r="W89" s="2060"/>
      <c r="X89" s="1530"/>
      <c r="Y89" s="1530"/>
      <c r="Z89" s="1530"/>
      <c r="AA89" s="1530"/>
      <c r="AB89" s="1530"/>
      <c r="AC89" s="1530"/>
      <c r="AD89" s="1530"/>
      <c r="AE89" s="1530"/>
      <c r="AF89" s="1530"/>
      <c r="AG89" s="1530"/>
    </row>
    <row r="90" spans="1:52" ht="13.9">
      <c r="A90" s="2060"/>
      <c r="B90" s="2060"/>
      <c r="C90" s="2060"/>
      <c r="D90" s="2060"/>
      <c r="E90" s="2060"/>
      <c r="F90" s="2060"/>
      <c r="G90" s="1578"/>
      <c r="H90" s="2060"/>
      <c r="I90" s="2060"/>
      <c r="J90" s="2060"/>
      <c r="K90" s="2060"/>
      <c r="L90" s="2060"/>
      <c r="M90" s="2060"/>
      <c r="N90" s="2060"/>
      <c r="O90" s="2060"/>
      <c r="P90" s="2060"/>
      <c r="Q90" s="2060"/>
      <c r="R90" s="2060"/>
      <c r="S90" s="2060"/>
      <c r="T90" s="2060"/>
      <c r="U90" s="2060"/>
      <c r="V90" s="2060"/>
      <c r="W90" s="2060"/>
      <c r="X90" s="1530"/>
      <c r="Y90" s="1530"/>
      <c r="Z90" s="1530"/>
      <c r="AA90" s="1530"/>
      <c r="AB90" s="1530"/>
      <c r="AC90" s="1530"/>
      <c r="AD90" s="1530"/>
      <c r="AE90" s="1530"/>
      <c r="AF90" s="1530"/>
      <c r="AG90" s="1530"/>
    </row>
    <row r="91" spans="1:52" ht="12" customHeight="1">
      <c r="A91" s="2060"/>
      <c r="B91" s="2060"/>
      <c r="C91" s="2060"/>
      <c r="D91" s="2060"/>
      <c r="E91" s="2060"/>
      <c r="F91" s="2060"/>
      <c r="G91" s="1578"/>
      <c r="H91" s="2060"/>
      <c r="I91" s="2060"/>
      <c r="J91" s="2060"/>
      <c r="K91" s="2060"/>
      <c r="L91" s="2060"/>
      <c r="M91" s="2060"/>
      <c r="N91" s="2060"/>
      <c r="O91" s="2060"/>
      <c r="P91" s="2060"/>
      <c r="Q91" s="2060"/>
      <c r="R91" s="2060"/>
      <c r="S91" s="2060"/>
      <c r="T91" s="2060"/>
      <c r="U91" s="2060"/>
      <c r="V91" s="2060"/>
      <c r="W91" s="2060"/>
      <c r="X91" s="1530"/>
      <c r="Y91" s="1530"/>
      <c r="Z91" s="1530"/>
      <c r="AA91" s="1530"/>
      <c r="AB91" s="1530"/>
      <c r="AC91" s="1530"/>
      <c r="AD91" s="1530"/>
      <c r="AE91" s="1530"/>
      <c r="AF91" s="1530"/>
      <c r="AG91" s="1530"/>
    </row>
    <row r="92" spans="1:52" ht="12" customHeight="1">
      <c r="A92" s="2060"/>
      <c r="B92" s="2060"/>
      <c r="C92" s="2060"/>
      <c r="D92" s="2060"/>
      <c r="E92" s="2060"/>
      <c r="F92" s="2060"/>
      <c r="G92" s="1578"/>
      <c r="H92" s="2060"/>
      <c r="I92" s="2060"/>
      <c r="J92" s="2060"/>
      <c r="K92" s="2060"/>
      <c r="L92" s="2060"/>
      <c r="M92" s="2060"/>
      <c r="N92" s="2060"/>
      <c r="O92" s="2060"/>
      <c r="P92" s="2060"/>
      <c r="Q92" s="2060"/>
      <c r="R92" s="2060"/>
      <c r="S92" s="2060"/>
      <c r="T92" s="2060"/>
      <c r="U92" s="2060"/>
      <c r="V92" s="2060"/>
      <c r="W92" s="2060"/>
      <c r="X92" s="1530"/>
      <c r="Y92" s="1530"/>
      <c r="Z92" s="1530"/>
      <c r="AA92" s="1530"/>
      <c r="AB92" s="1530"/>
      <c r="AC92" s="1530"/>
      <c r="AD92" s="1530"/>
      <c r="AE92" s="1530"/>
      <c r="AF92" s="1530"/>
      <c r="AG92" s="1530"/>
    </row>
  </sheetData>
  <autoFilter ref="A1:A92"/>
  <conditionalFormatting sqref="B1:B2">
    <cfRule type="cellIs" dxfId="127" priority="2" operator="notEqual">
      <formula>0</formula>
    </cfRule>
  </conditionalFormatting>
  <conditionalFormatting sqref="A6">
    <cfRule type="expression" dxfId="126"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87"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egmentInformation">
    <tabColor rgb="FF99FF66"/>
    <pageSetUpPr autoPageBreaks="0"/>
  </sheetPr>
  <dimension ref="A1:Z891"/>
  <sheetViews>
    <sheetView showGridLines="0" zoomScale="85" zoomScaleNormal="85" zoomScaleSheetLayoutView="80" workbookViewId="0">
      <selection activeCell="D536" sqref="D536"/>
    </sheetView>
  </sheetViews>
  <sheetFormatPr defaultColWidth="9.33203125" defaultRowHeight="13.9"/>
  <cols>
    <col min="1" max="1" width="2.83203125" style="149" customWidth="1"/>
    <col min="2" max="2" width="3.83203125" style="149" customWidth="1"/>
    <col min="3" max="3" width="5.6640625" style="149" customWidth="1"/>
    <col min="4" max="4" width="42.33203125" style="149" customWidth="1"/>
    <col min="5" max="7" width="15.83203125" style="149" customWidth="1"/>
    <col min="8" max="8" width="14.1640625" style="188" customWidth="1"/>
    <col min="9" max="9" width="95.5" style="188" customWidth="1"/>
    <col min="10" max="10" width="6.5" style="149" customWidth="1"/>
    <col min="11" max="11" width="8.83203125" style="149" customWidth="1"/>
    <col min="12" max="12" width="16.33203125" style="149" customWidth="1"/>
    <col min="13" max="13" width="15.5" style="149" customWidth="1"/>
    <col min="14" max="14" width="9.33203125" style="149"/>
    <col min="16" max="16384" width="9.33203125" style="149"/>
  </cols>
  <sheetData>
    <row r="1" spans="1:23" ht="18" customHeight="1">
      <c r="A1" s="1518"/>
      <c r="B1" s="649">
        <f ca="1">SUMPRODUCT(--ISERROR($C$1:J867))+COUNTIF($C$1:J867,Fail)</f>
        <v>2400</v>
      </c>
      <c r="C1" s="1372" t="str">
        <f>START!$C$1</f>
        <v>Client Name</v>
      </c>
      <c r="D1" s="172"/>
      <c r="E1" s="172"/>
      <c r="F1" s="172"/>
      <c r="G1" s="172"/>
      <c r="H1" s="172"/>
      <c r="I1" s="1522"/>
      <c r="J1" s="389" t="s">
        <v>1697</v>
      </c>
      <c r="K1" s="1509"/>
      <c r="L1" s="1508"/>
      <c r="M1" s="1508"/>
      <c r="N1" s="1508"/>
      <c r="O1" s="2060"/>
      <c r="P1" s="1508"/>
      <c r="Q1" s="1508"/>
      <c r="R1" s="1508"/>
      <c r="S1" s="1508" t="s">
        <v>1698</v>
      </c>
      <c r="T1" s="1508"/>
      <c r="U1" s="1508"/>
      <c r="V1" s="1508"/>
      <c r="W1" s="1508"/>
    </row>
    <row r="2" spans="1:23" s="282" customFormat="1" ht="18" customHeight="1">
      <c r="A2" s="1518"/>
      <c r="B2" s="649"/>
      <c r="C2" s="1372" t="str">
        <f>START!$C$2</f>
        <v xml:space="preserve">Please enter project description in START worksheet cell G13 </v>
      </c>
      <c r="D2" s="172"/>
      <c r="E2" s="172"/>
      <c r="F2" s="172"/>
      <c r="G2" s="172"/>
      <c r="H2" s="172"/>
      <c r="I2" s="1522"/>
      <c r="J2" s="389"/>
      <c r="K2" s="1509"/>
      <c r="L2" s="1508"/>
      <c r="M2" s="1508"/>
      <c r="N2" s="1508"/>
      <c r="O2" s="2060"/>
      <c r="P2" s="1508"/>
      <c r="Q2" s="1508"/>
      <c r="R2" s="1508"/>
      <c r="S2" s="1508"/>
      <c r="T2" s="1508"/>
      <c r="U2" s="1508"/>
      <c r="V2" s="1508"/>
      <c r="W2" s="1508"/>
    </row>
    <row r="3" spans="1:23" ht="18" customHeight="1">
      <c r="A3" s="1518"/>
      <c r="B3" s="1518"/>
      <c r="C3" s="839" t="s">
        <v>1699</v>
      </c>
      <c r="D3" s="172"/>
      <c r="E3" s="172"/>
      <c r="F3" s="172"/>
      <c r="G3" s="172"/>
      <c r="H3" s="172"/>
      <c r="I3" s="1522"/>
      <c r="J3" s="187"/>
      <c r="K3" s="1509"/>
      <c r="L3" s="1508"/>
      <c r="M3" s="1508"/>
      <c r="N3" s="1508"/>
      <c r="O3" s="2060"/>
      <c r="P3" s="1508"/>
      <c r="Q3" s="1508"/>
      <c r="R3" s="1508"/>
      <c r="S3" s="1508"/>
      <c r="T3" s="1508"/>
      <c r="U3" s="1508"/>
      <c r="V3" s="1508"/>
      <c r="W3" s="1508"/>
    </row>
    <row r="4" spans="1:23" ht="18" customHeight="1">
      <c r="A4" s="1518"/>
      <c r="B4" s="1518"/>
      <c r="C4" s="366" t="str">
        <f>"(" &amp;F9&amp;" in "&amp;ScaleInput&amp;")"</f>
        <v>(USD in Millions)</v>
      </c>
      <c r="D4" s="1508"/>
      <c r="E4" s="170"/>
      <c r="F4" s="170"/>
      <c r="G4" s="170"/>
      <c r="H4" s="170"/>
      <c r="I4" s="1521"/>
      <c r="J4" s="1508"/>
      <c r="K4" s="1509"/>
      <c r="L4" s="1508"/>
      <c r="M4" s="1508"/>
      <c r="N4" s="1508"/>
      <c r="O4" s="2060"/>
      <c r="P4" s="1508"/>
      <c r="Q4" s="1508"/>
      <c r="R4" s="1508"/>
      <c r="S4" s="1508"/>
      <c r="T4" s="1508"/>
      <c r="U4" s="1508"/>
      <c r="V4" s="1508"/>
      <c r="W4" s="1508"/>
    </row>
    <row r="5" spans="1:23" ht="14.45">
      <c r="A5" s="1418"/>
      <c r="B5" s="1518"/>
      <c r="C5" s="366"/>
      <c r="D5" s="1508"/>
      <c r="E5" s="172"/>
      <c r="F5" s="172"/>
      <c r="G5" s="172"/>
      <c r="H5" s="172"/>
      <c r="I5" s="1522"/>
      <c r="J5" s="1508"/>
      <c r="K5" s="1509"/>
      <c r="L5" s="1508"/>
      <c r="M5" s="1508"/>
      <c r="N5" s="1508"/>
      <c r="O5" s="2060"/>
      <c r="P5" s="1508"/>
      <c r="Q5" s="1508"/>
      <c r="R5" s="1508"/>
      <c r="S5" s="1508"/>
      <c r="T5" s="1508"/>
      <c r="U5" s="1508"/>
      <c r="V5" s="1508"/>
      <c r="W5" s="1508"/>
    </row>
    <row r="6" spans="1:23">
      <c r="A6" s="1518"/>
      <c r="B6" s="1518"/>
      <c r="C6" s="1506"/>
      <c r="D6" s="1506"/>
      <c r="E6" s="1506"/>
      <c r="F6" s="172"/>
      <c r="G6" s="1506"/>
      <c r="H6" s="1506"/>
      <c r="I6" s="1548"/>
      <c r="J6" s="1506"/>
      <c r="K6" s="1509"/>
      <c r="L6" s="1508"/>
      <c r="M6" s="1508"/>
      <c r="N6" s="1508"/>
      <c r="O6" s="2060"/>
      <c r="P6" s="1508"/>
      <c r="Q6" s="1508"/>
      <c r="R6" s="1508"/>
      <c r="S6" s="1508"/>
      <c r="T6" s="1508"/>
      <c r="U6" s="1508"/>
      <c r="V6" s="1508"/>
      <c r="W6" s="1508"/>
    </row>
    <row r="7" spans="1:23">
      <c r="A7" s="1518"/>
      <c r="B7" s="1518"/>
      <c r="C7" s="653">
        <v>0</v>
      </c>
      <c r="D7" s="414" t="str">
        <f>IF(D9=0,"n/a",IFERROR(_xll.ciqfunctions.udf.CIQ(D9,"IQ_COMPANY_NAME"),"n/a"))</f>
        <v>n/a</v>
      </c>
      <c r="E7" s="1538"/>
      <c r="F7" s="1538"/>
      <c r="G7" s="1538"/>
      <c r="H7" s="1538"/>
      <c r="I7" s="1571"/>
      <c r="J7" s="1538"/>
      <c r="K7" s="1509"/>
      <c r="L7" s="1508"/>
      <c r="M7" s="1508"/>
      <c r="N7" s="1508"/>
      <c r="O7" s="2060"/>
      <c r="P7" s="1508"/>
      <c r="Q7" s="1508"/>
      <c r="R7" s="1508"/>
      <c r="S7" s="1508"/>
      <c r="T7" s="1508"/>
      <c r="U7" s="1508"/>
      <c r="V7" s="1508"/>
      <c r="W7" s="1508"/>
    </row>
    <row r="8" spans="1:23">
      <c r="A8" s="1518"/>
      <c r="B8" s="1518"/>
      <c r="C8" s="1572"/>
      <c r="D8" s="2246" t="s">
        <v>134</v>
      </c>
      <c r="E8" s="2246" t="str">
        <f>IF(H9="LFY","Year ended","Period ended")</f>
        <v>Period ended</v>
      </c>
      <c r="F8" s="2247" t="s">
        <v>167</v>
      </c>
      <c r="G8" s="2247" t="s">
        <v>1700</v>
      </c>
      <c r="H8" s="2248">
        <f>INDEX($W$9:$W$14,MATCH(H9,PeriodList,0))</f>
        <v>2000</v>
      </c>
      <c r="I8" s="1571"/>
      <c r="J8" s="217"/>
      <c r="K8" s="1509"/>
      <c r="L8" s="1508"/>
      <c r="M8" s="1508"/>
      <c r="N8" s="1508"/>
      <c r="O8" s="2060"/>
      <c r="P8" s="1508"/>
      <c r="Q8" s="1508"/>
      <c r="R8" s="1508"/>
      <c r="S8" s="1508"/>
      <c r="T8" s="1508"/>
      <c r="U8" s="1508"/>
      <c r="V8" s="1508"/>
      <c r="W8" s="1508"/>
    </row>
    <row r="9" spans="1:23" s="185" customFormat="1">
      <c r="A9" s="1518"/>
      <c r="B9" s="1518"/>
      <c r="C9" s="654"/>
      <c r="D9" s="2249">
        <f>SubjCoID</f>
        <v>0</v>
      </c>
      <c r="E9" s="2250">
        <f>IF($D9="","",IFERROR(_xll.ciqfunctions.udf.CIQ($D9,"IQ_PERIODDATE",H8,Valuation_date),"n/a"))</f>
        <v>0</v>
      </c>
      <c r="F9" s="2251" t="str">
        <f>IFERROR(IF(C7=0,SubjOutputCurrencyCode,IF(D9="","",IF(OutputCurrency="Filing",_xll.ciqfunctions.udf.CIQ($D9,"IQ_FILING_CURRENCY",500,Valuation_date,ReportType,DataMode)))),OutputCurrency)</f>
        <v>USD</v>
      </c>
      <c r="G9" s="2252">
        <f>IF(D7="","",_xll.ciqfunctions.udf.CIQ(D9,"IQ_TOTAL_REV", H8, Valuation_date,ReportType,DataMode,F9,FXMode))</f>
        <v>0</v>
      </c>
      <c r="H9" s="2253" t="s">
        <v>1701</v>
      </c>
      <c r="I9" s="1573"/>
      <c r="J9" s="392"/>
      <c r="K9" s="1509"/>
      <c r="O9" s="2060"/>
      <c r="V9" s="194" t="s">
        <v>1701</v>
      </c>
      <c r="W9" s="275">
        <v>2000</v>
      </c>
    </row>
    <row r="10" spans="1:23">
      <c r="A10" s="1518"/>
      <c r="B10" s="1518"/>
      <c r="C10" s="654"/>
      <c r="D10" s="1538"/>
      <c r="E10" s="1538"/>
      <c r="F10" s="1538"/>
      <c r="G10" s="1538"/>
      <c r="H10" s="1538"/>
      <c r="I10" s="1571"/>
      <c r="J10" s="655"/>
      <c r="K10" s="1509"/>
      <c r="L10" s="1508"/>
      <c r="M10" s="1508"/>
      <c r="N10" s="1508"/>
      <c r="O10" s="2060"/>
      <c r="P10" s="1508"/>
      <c r="Q10" s="1508"/>
      <c r="R10" s="1508"/>
      <c r="S10" s="1508"/>
      <c r="T10" s="1508"/>
      <c r="U10" s="1508"/>
      <c r="V10" s="191" t="s">
        <v>704</v>
      </c>
      <c r="W10" s="276">
        <v>1000</v>
      </c>
    </row>
    <row r="11" spans="1:23">
      <c r="A11" s="1518"/>
      <c r="B11" s="1518"/>
      <c r="C11" s="654"/>
      <c r="D11" s="741"/>
      <c r="E11" s="744">
        <f>IF(D9="","",_xll.ciqfunctions.udf.CIQ(D9,"IQ_PERIODDATE",H8-IF(LEFT(H9,3)="LFY",1,4),Valuation_date))</f>
        <v>0</v>
      </c>
      <c r="F11" s="742">
        <f>IF(D9="","",_xll.ciqfunctions.udf.CIQ(D9,"IQ_PERIODDATE",H8,Valuation_date))</f>
        <v>0</v>
      </c>
      <c r="G11" s="741"/>
      <c r="H11" s="743" t="s">
        <v>1702</v>
      </c>
      <c r="I11" s="1587"/>
      <c r="J11" s="655"/>
      <c r="K11" s="1509"/>
      <c r="L11" s="1508"/>
      <c r="M11" s="1508"/>
      <c r="N11" s="1508"/>
      <c r="O11" s="2060"/>
      <c r="P11" s="1508"/>
      <c r="Q11" s="1508"/>
      <c r="R11" s="1508"/>
      <c r="S11" s="1508"/>
      <c r="T11" s="1508"/>
      <c r="U11" s="1508"/>
      <c r="V11" s="191" t="s">
        <v>703</v>
      </c>
      <c r="W11" s="276">
        <v>999</v>
      </c>
    </row>
    <row r="12" spans="1:23">
      <c r="A12" s="1518"/>
      <c r="B12" s="1518"/>
      <c r="C12" s="654"/>
      <c r="D12" s="2254" t="s">
        <v>1703</v>
      </c>
      <c r="E12" s="2255" t="s">
        <v>1458</v>
      </c>
      <c r="F12" s="2255" t="s">
        <v>1458</v>
      </c>
      <c r="G12" s="2255" t="s">
        <v>1704</v>
      </c>
      <c r="H12" s="2255" t="s">
        <v>1705</v>
      </c>
      <c r="I12" s="2256" t="s">
        <v>1706</v>
      </c>
      <c r="J12" s="1574"/>
      <c r="K12" s="1509"/>
      <c r="L12" s="2060"/>
      <c r="M12" s="2060"/>
      <c r="N12" s="1508"/>
      <c r="O12" s="2060"/>
      <c r="P12" s="1508"/>
      <c r="Q12" s="1508"/>
      <c r="R12" s="1508"/>
      <c r="S12" s="1508"/>
      <c r="T12" s="1508"/>
      <c r="U12" s="1508"/>
      <c r="V12" s="191" t="s">
        <v>702</v>
      </c>
      <c r="W12" s="276">
        <v>998</v>
      </c>
    </row>
    <row r="13" spans="1:23" s="151" customFormat="1">
      <c r="A13" s="1518" t="str">
        <f t="shared" ref="A13:A23" si="0">IF(D13="","n","")</f>
        <v>n</v>
      </c>
      <c r="B13" s="1518"/>
      <c r="C13" s="654">
        <v>1</v>
      </c>
      <c r="D13" s="656" t="str">
        <f>IF(D7="","",IF(ISNUMBER(_xll.ciqfunctions.udf.CIQ(D9,"IQ_BUS_SEG_NAME", H8, Valuation_date, , , , , $C13)),"",_xll.ciqfunctions.udf.CIQ(D9,"IQ_BUS_SEG_NAME", H8, Valuation_date, , , , , $C13)))</f>
        <v/>
      </c>
      <c r="E13" s="1514" t="str">
        <f>IF(D7="","",IF(D13="","",_xll.ciqfunctions.udf.CIQ(D9,"IQ_BUS_SEG_REV", H8-1, Valuation_date, ReportType,DataMode, F9,FXMode, C13)*Scale))</f>
        <v/>
      </c>
      <c r="F13" s="1514" t="str">
        <f>IF(D7="","",IF(D13="","",_xll.ciqfunctions.udf.CIQ(D9,"IQ_BUS_SEG_REV", H8, Valuation_date, ReportType,DataMode, F9,FXMode, $C13)*Scale))</f>
        <v/>
      </c>
      <c r="G13" s="1575" t="str">
        <f>IF(D13="","",IFERROR(F13/F28,"n/a"))</f>
        <v/>
      </c>
      <c r="H13" s="1575" t="str">
        <f>IF(D13="","",IFERROR(F13/E13-1,"n/a"))</f>
        <v/>
      </c>
      <c r="I13" s="1576" t="str">
        <f>IF(D7="","",IF(D13="","",_xll.ciqfunctions.udf.CIQ(D9,"IQ_BUS_SEG_DESCRIPTION", H8, Valuation_date, , , , , $C13)))</f>
        <v/>
      </c>
      <c r="J13" s="393"/>
      <c r="K13" s="1509"/>
      <c r="L13" s="2060"/>
      <c r="M13" s="2060"/>
      <c r="O13" s="2060"/>
      <c r="V13" s="191" t="s">
        <v>701</v>
      </c>
      <c r="W13" s="276">
        <v>997</v>
      </c>
    </row>
    <row r="14" spans="1:23">
      <c r="A14" s="1518" t="str">
        <f t="shared" si="0"/>
        <v>n</v>
      </c>
      <c r="B14" s="1518"/>
      <c r="C14" s="654">
        <v>2</v>
      </c>
      <c r="D14" s="656" t="str">
        <f>IF(D7="","",IF(ISNUMBER(_xll.ciqfunctions.udf.CIQ(D9,"IQ_BUS_SEG_NAME", H8, Valuation_date, , , , , $C14)),"",_xll.ciqfunctions.udf.CIQ(D9,"IQ_BUS_SEG_NAME", H8, Valuation_date, , , , , $C14)))</f>
        <v/>
      </c>
      <c r="E14" s="1579" t="str">
        <f>IF(D7="","",IF(D14="","",_xll.ciqfunctions.udf.CIQ(D9,"IQ_BUS_SEG_REV", H8-1, Valuation_date, ReportType,DataMode, F9,FXMode, C14)*Scale))</f>
        <v/>
      </c>
      <c r="F14" s="1514" t="str">
        <f>IF(D7="","",IF(D14="","",_xll.ciqfunctions.udf.CIQ(D9,"IQ_BUS_SEG_REV", H8, Valuation_date, ReportType,DataMode, F9,FXMode, $C14)*Scale))</f>
        <v/>
      </c>
      <c r="G14" s="1575" t="str">
        <f>IF(D14="","",IFERROR(F14/F28,"n/a"))</f>
        <v/>
      </c>
      <c r="H14" s="1575" t="str">
        <f t="shared" ref="H14:H27" si="1">IF(D14="","",IFERROR(F14/E14-1,"n/a"))</f>
        <v/>
      </c>
      <c r="I14" s="1576" t="str">
        <f>IF(D7="","",IF(D14="","",_xll.ciqfunctions.udf.CIQ(D9,"IQ_BUS_SEG_DESCRIPTION", H8, Valuation_date, , , , , $C14)))</f>
        <v/>
      </c>
      <c r="J14" s="393"/>
      <c r="K14" s="1509"/>
      <c r="L14" s="2060"/>
      <c r="M14" s="2060"/>
      <c r="N14" s="1508"/>
      <c r="O14" s="2060"/>
      <c r="P14" s="1508"/>
      <c r="Q14" s="1508"/>
      <c r="R14" s="1508"/>
      <c r="S14" s="1508"/>
      <c r="T14" s="1508"/>
      <c r="U14" s="1508"/>
      <c r="V14" s="191" t="s">
        <v>700</v>
      </c>
      <c r="W14" s="276">
        <v>996</v>
      </c>
    </row>
    <row r="15" spans="1:23">
      <c r="A15" s="1518" t="str">
        <f t="shared" si="0"/>
        <v>n</v>
      </c>
      <c r="B15" s="1518"/>
      <c r="C15" s="654">
        <v>3</v>
      </c>
      <c r="D15" s="656" t="str">
        <f>IF(D7="","",IF(ISNUMBER(_xll.ciqfunctions.udf.CIQ(D9,"IQ_BUS_SEG_NAME", H8, Valuation_date, , , , , $C15)),"",_xll.ciqfunctions.udf.CIQ(D9,"IQ_BUS_SEG_NAME", H8, Valuation_date, , , , , $C15)))</f>
        <v/>
      </c>
      <c r="E15" s="1579" t="str">
        <f>IF(D7="","",IF(D15="","",_xll.ciqfunctions.udf.CIQ(D9,"IQ_BUS_SEG_REV", H8-1, Valuation_date, ReportType,DataMode, F9,FXMode, C15)*Scale))</f>
        <v/>
      </c>
      <c r="F15" s="1514" t="str">
        <f>IF(D7="","",IF(D15="","",_xll.ciqfunctions.udf.CIQ(D9,"IQ_BUS_SEG_REV", H8, Valuation_date, ReportType,DataMode, F9,FXMode, $C15)*Scale))</f>
        <v/>
      </c>
      <c r="G15" s="1575" t="str">
        <f>IF(D15="","",IFERROR(F15/F28,"n/a"))</f>
        <v/>
      </c>
      <c r="H15" s="1575" t="str">
        <f t="shared" si="1"/>
        <v/>
      </c>
      <c r="I15" s="1576" t="str">
        <f>IF(D7="","",IF(D15="","",_xll.ciqfunctions.udf.CIQ(D9,"IQ_BUS_SEG_DESCRIPTION", H8, Valuation_date, , , , , $C15)))</f>
        <v/>
      </c>
      <c r="J15" s="393"/>
      <c r="K15" s="1509"/>
      <c r="L15" s="2060"/>
      <c r="M15" s="2060"/>
      <c r="N15" s="1508"/>
      <c r="O15" s="2060"/>
      <c r="P15" s="1508"/>
      <c r="Q15" s="1508"/>
      <c r="R15" s="1508"/>
      <c r="S15" s="1508"/>
      <c r="T15" s="1508"/>
      <c r="U15" s="1508"/>
      <c r="V15" s="1508"/>
      <c r="W15" s="1508"/>
    </row>
    <row r="16" spans="1:23">
      <c r="A16" s="1518" t="str">
        <f t="shared" si="0"/>
        <v>n</v>
      </c>
      <c r="B16" s="1518"/>
      <c r="C16" s="654">
        <v>4</v>
      </c>
      <c r="D16" s="656" t="str">
        <f>IF(D7="","",IF(ISNUMBER(_xll.ciqfunctions.udf.CIQ(D9,"IQ_BUS_SEG_NAME", H8, Valuation_date, , , , , $C16)),"",_xll.ciqfunctions.udf.CIQ(D9,"IQ_BUS_SEG_NAME", H8, Valuation_date, , , , , $C16)))</f>
        <v/>
      </c>
      <c r="E16" s="1579" t="str">
        <f>IF(D7="","",IF(D16="","",_xll.ciqfunctions.udf.CIQ(D9,"IQ_BUS_SEG_REV", H8-1, Valuation_date, ReportType,DataMode, F9,FXMode, C16)*Scale))</f>
        <v/>
      </c>
      <c r="F16" s="1514" t="str">
        <f>IF(D7="","",IF(D16="","",_xll.ciqfunctions.udf.CIQ(D9,"IQ_BUS_SEG_REV", H8, Valuation_date, ReportType,DataMode, F9,FXMode, $C16)*Scale))</f>
        <v/>
      </c>
      <c r="G16" s="1575" t="str">
        <f>IF(D16="","",IFERROR(F16/F28,"n/a"))</f>
        <v/>
      </c>
      <c r="H16" s="1575" t="str">
        <f t="shared" si="1"/>
        <v/>
      </c>
      <c r="I16" s="1576" t="str">
        <f>IF(D7="","",IF(D16="","",_xll.ciqfunctions.udf.CIQ(D9,"IQ_BUS_SEG_DESCRIPTION", H8, Valuation_date, , , , , $C16)))</f>
        <v/>
      </c>
      <c r="J16" s="393"/>
      <c r="K16" s="1509"/>
      <c r="L16" s="2060"/>
      <c r="M16" s="2060"/>
      <c r="N16" s="1508"/>
      <c r="O16" s="2060"/>
      <c r="P16" s="1508"/>
      <c r="Q16" s="1508"/>
      <c r="R16" s="1508"/>
      <c r="S16" s="1508"/>
      <c r="T16" s="1508"/>
      <c r="U16" s="1508"/>
      <c r="V16" s="1508"/>
      <c r="W16" s="1508"/>
    </row>
    <row r="17" spans="1:15">
      <c r="A17" s="1518" t="str">
        <f t="shared" si="0"/>
        <v>n</v>
      </c>
      <c r="B17" s="1518"/>
      <c r="C17" s="654">
        <v>5</v>
      </c>
      <c r="D17" s="656" t="str">
        <f>IF(D7="","",IF(ISNUMBER(_xll.ciqfunctions.udf.CIQ(D9,"IQ_BUS_SEG_NAME", H8, Valuation_date, , , , , $C17)),"",_xll.ciqfunctions.udf.CIQ(D9,"IQ_BUS_SEG_NAME", H8, Valuation_date, , , , , $C17)))</f>
        <v/>
      </c>
      <c r="E17" s="1579" t="str">
        <f>IF(D7="","",IF(D17="","",_xll.ciqfunctions.udf.CIQ(D9,"IQ_BUS_SEG_REV", H8-1, Valuation_date, ReportType,DataMode, F9,FXMode, C17)*Scale))</f>
        <v/>
      </c>
      <c r="F17" s="1514" t="str">
        <f>IF(D7="","",IF(D17="","",_xll.ciqfunctions.udf.CIQ(D9,"IQ_BUS_SEG_REV", H8, Valuation_date, ReportType,DataMode, F9,FXMode, $C17)*Scale))</f>
        <v/>
      </c>
      <c r="G17" s="1575" t="str">
        <f>IF(D17="","",IFERROR(F17/F28,"n/a"))</f>
        <v/>
      </c>
      <c r="H17" s="1575" t="str">
        <f t="shared" si="1"/>
        <v/>
      </c>
      <c r="I17" s="1576" t="str">
        <f>IF(D7="","",IF(D17="","",_xll.ciqfunctions.udf.CIQ(D9,"IQ_BUS_SEG_DESCRIPTION", H8, Valuation_date, , , , , $C17)))</f>
        <v/>
      </c>
      <c r="J17" s="657"/>
      <c r="K17" s="1509"/>
      <c r="L17" s="2060"/>
      <c r="M17" s="2060"/>
      <c r="N17" s="1508"/>
      <c r="O17" s="2060"/>
    </row>
    <row r="18" spans="1:15">
      <c r="A18" s="1518" t="str">
        <f t="shared" si="0"/>
        <v>n</v>
      </c>
      <c r="B18" s="1518"/>
      <c r="C18" s="654">
        <v>6</v>
      </c>
      <c r="D18" s="656" t="str">
        <f>IF(D7="","",IF(ISNUMBER(_xll.ciqfunctions.udf.CIQ(D9,"IQ_BUS_SEG_NAME", H8, Valuation_date, , , , , $C18)),"",_xll.ciqfunctions.udf.CIQ(D9,"IQ_BUS_SEG_NAME", H8, Valuation_date, , , , , $C18)))</f>
        <v/>
      </c>
      <c r="E18" s="1579" t="str">
        <f>IF(D7="","",IF(D18="","",_xll.ciqfunctions.udf.CIQ(D9,"IQ_BUS_SEG_REV", H8-1, Valuation_date, ReportType,DataMode, F9,FXMode, C18)*Scale))</f>
        <v/>
      </c>
      <c r="F18" s="1514" t="str">
        <f>IF(D7="","",IF(D18="","",_xll.ciqfunctions.udf.CIQ(D9,"IQ_BUS_SEG_REV", H8, Valuation_date, ReportType,DataMode, F9,FXMode, $C18)*Scale))</f>
        <v/>
      </c>
      <c r="G18" s="1575" t="str">
        <f>IF(D18="","",IFERROR(F18/F28,"n/a"))</f>
        <v/>
      </c>
      <c r="H18" s="1575" t="str">
        <f t="shared" si="1"/>
        <v/>
      </c>
      <c r="I18" s="1576" t="str">
        <f>IF(D7="","",IF(D18="","",_xll.ciqfunctions.udf.CIQ(D9,"IQ_BUS_SEG_DESCRIPTION", H8, Valuation_date, , , , , $C18)))</f>
        <v/>
      </c>
      <c r="J18" s="657"/>
      <c r="K18" s="1509"/>
      <c r="L18" s="2060"/>
      <c r="M18" s="2060"/>
      <c r="N18" s="1508"/>
      <c r="O18" s="2060"/>
    </row>
    <row r="19" spans="1:15">
      <c r="A19" s="1518" t="str">
        <f t="shared" si="0"/>
        <v>n</v>
      </c>
      <c r="B19" s="1518"/>
      <c r="C19" s="654">
        <v>7</v>
      </c>
      <c r="D19" s="656" t="str">
        <f>IF(D7="","",IF(ISNUMBER(_xll.ciqfunctions.udf.CIQ(D9,"IQ_BUS_SEG_NAME", H8, Valuation_date, , , , , $C19)),"",_xll.ciqfunctions.udf.CIQ(D9,"IQ_BUS_SEG_NAME", H8, Valuation_date, , , , , $C19)))</f>
        <v/>
      </c>
      <c r="E19" s="1579" t="str">
        <f>IF(D7="","",IF(D19="","",_xll.ciqfunctions.udf.CIQ(D9,"IQ_BUS_SEG_REV", H8-1, Valuation_date, ReportType,DataMode, F9,FXMode, C19)*Scale))</f>
        <v/>
      </c>
      <c r="F19" s="1514" t="str">
        <f>IF(D7="","",IF(D19="","",_xll.ciqfunctions.udf.CIQ(D9,"IQ_BUS_SEG_REV", H8, Valuation_date, ReportType,DataMode, F9,FXMode, $C19)*Scale))</f>
        <v/>
      </c>
      <c r="G19" s="1575" t="str">
        <f>IF(D19="","",IFERROR(F19/F28,"n/a"))</f>
        <v/>
      </c>
      <c r="H19" s="1575" t="str">
        <f t="shared" si="1"/>
        <v/>
      </c>
      <c r="I19" s="1576" t="str">
        <f>IF(D7="","",IF(D19="","",_xll.ciqfunctions.udf.CIQ(D9,"IQ_BUS_SEG_DESCRIPTION", H8, Valuation_date, , , , , $C19)))</f>
        <v/>
      </c>
      <c r="J19" s="655"/>
      <c r="K19" s="1509"/>
      <c r="L19" s="2060"/>
      <c r="M19" s="2060"/>
      <c r="N19" s="1508"/>
      <c r="O19" s="2060"/>
    </row>
    <row r="20" spans="1:15">
      <c r="A20" s="1518" t="str">
        <f t="shared" si="0"/>
        <v>n</v>
      </c>
      <c r="B20" s="1518"/>
      <c r="C20" s="654">
        <v>8</v>
      </c>
      <c r="D20" s="656" t="str">
        <f>IF(D7="","",IF(ISNUMBER(_xll.ciqfunctions.udf.CIQ(D9,"IQ_BUS_SEG_NAME", H8, Valuation_date, , , , , $C20)),"",_xll.ciqfunctions.udf.CIQ(D9,"IQ_BUS_SEG_NAME", H8, Valuation_date, , , , , $C20)))</f>
        <v/>
      </c>
      <c r="E20" s="1579" t="str">
        <f>IF(D7="","",IF(D20="","",_xll.ciqfunctions.udf.CIQ(D9,"IQ_BUS_SEG_REV", H8-1, Valuation_date, ReportType,DataMode, F9,FXMode, C20)*Scale))</f>
        <v/>
      </c>
      <c r="F20" s="1514" t="str">
        <f>IF(D7="","",IF(D20="","",_xll.ciqfunctions.udf.CIQ(D9,"IQ_BUS_SEG_REV", H8, Valuation_date, ReportType,DataMode, F9,FXMode, $C20)*Scale))</f>
        <v/>
      </c>
      <c r="G20" s="1575" t="str">
        <f>IF(D20="","",IFERROR(F20/F28,"n/a"))</f>
        <v/>
      </c>
      <c r="H20" s="1575" t="str">
        <f t="shared" si="1"/>
        <v/>
      </c>
      <c r="I20" s="1576" t="str">
        <f>IF(D7="","",IF(D20="","",_xll.ciqfunctions.udf.CIQ(D9,"IQ_BUS_SEG_DESCRIPTION", H8, Valuation_date, , , , , $C20)))</f>
        <v/>
      </c>
      <c r="J20" s="1574"/>
      <c r="K20" s="1509"/>
      <c r="L20" s="2060"/>
      <c r="M20" s="2060"/>
      <c r="N20" s="1508"/>
      <c r="O20" s="2060"/>
    </row>
    <row r="21" spans="1:15">
      <c r="A21" s="1518" t="str">
        <f t="shared" si="0"/>
        <v>n</v>
      </c>
      <c r="B21" s="1518"/>
      <c r="C21" s="654">
        <v>9</v>
      </c>
      <c r="D21" s="656" t="str">
        <f>IF(D7="","",IF(ISNUMBER(_xll.ciqfunctions.udf.CIQ(D9,"IQ_BUS_SEG_NAME", H8, Valuation_date, , , , , $C21)),"",_xll.ciqfunctions.udf.CIQ(D9,"IQ_BUS_SEG_NAME", H8, Valuation_date, , , , , $C21)))</f>
        <v/>
      </c>
      <c r="E21" s="674" t="str">
        <f>IF(D7="","",IF(D21="","",_xll.ciqfunctions.udf.CIQ(D9,"IQ_BUS_SEG_REV", H8-1, Valuation_date, ReportType,DataMode, F9,FXMode, C21)*Scale))</f>
        <v/>
      </c>
      <c r="F21" s="1514" t="str">
        <f>IF(D7="","",IF(D21="","",_xll.ciqfunctions.udf.CIQ(D9,"IQ_BUS_SEG_REV", H8, Valuation_date, ReportType,DataMode, F9,FXMode, $C21)*Scale))</f>
        <v/>
      </c>
      <c r="G21" s="1575" t="str">
        <f>IF(D21="","",IFERROR(F21/F28,"n/a"))</f>
        <v/>
      </c>
      <c r="H21" s="1575" t="str">
        <f t="shared" si="1"/>
        <v/>
      </c>
      <c r="I21" s="1576" t="str">
        <f>IF(D7="","",IF(D21="","",_xll.ciqfunctions.udf.CIQ(D9,"IQ_BUS_SEG_DESCRIPTION", H8, Valuation_date, , , , , $C21)))</f>
        <v/>
      </c>
      <c r="J21" s="1574"/>
      <c r="K21" s="1509"/>
      <c r="L21" s="2060"/>
      <c r="M21" s="2060"/>
      <c r="N21" s="1508"/>
      <c r="O21" s="2060"/>
    </row>
    <row r="22" spans="1:15" s="151" customFormat="1">
      <c r="A22" s="1518" t="str">
        <f t="shared" si="0"/>
        <v>n</v>
      </c>
      <c r="B22" s="1518"/>
      <c r="C22" s="654">
        <v>10</v>
      </c>
      <c r="D22" s="656" t="str">
        <f>IF(D7="","",IF(ISNUMBER(_xll.ciqfunctions.udf.CIQ(D9,"IQ_BUS_SEG_NAME", H8, Valuation_date, , , , , $C22)),"",_xll.ciqfunctions.udf.CIQ(D9,"IQ_BUS_SEG_NAME", H8, Valuation_date, , , , , $C22)))</f>
        <v/>
      </c>
      <c r="E22" s="1579" t="str">
        <f>IF(D7="","",IF(D22="","",_xll.ciqfunctions.udf.CIQ(D9,"IQ_BUS_SEG_REV", H8-1, Valuation_date, ReportType,DataMode, F9,FXMode, C22)*Scale))</f>
        <v/>
      </c>
      <c r="F22" s="1514" t="str">
        <f>IF(D7="","",IF(D22="","",_xll.ciqfunctions.udf.CIQ(D9,"IQ_BUS_SEG_REV", H8, Valuation_date, ReportType,DataMode, F9,FXMode, $C22)*Scale))</f>
        <v/>
      </c>
      <c r="G22" s="1575" t="str">
        <f>IF(D22="","",IFERROR(F22/F28,"n/a"))</f>
        <v/>
      </c>
      <c r="H22" s="1575" t="str">
        <f t="shared" si="1"/>
        <v/>
      </c>
      <c r="I22" s="1576" t="str">
        <f>IF(D7="","",IF(D22="","",_xll.ciqfunctions.udf.CIQ(D9,"IQ_BUS_SEG_DESCRIPTION", H8, Valuation_date, , , , , $C22)))</f>
        <v/>
      </c>
      <c r="J22" s="393"/>
      <c r="K22" s="1509"/>
      <c r="L22" s="2060"/>
      <c r="M22" s="2060"/>
      <c r="O22" s="2060"/>
    </row>
    <row r="23" spans="1:15">
      <c r="A23" s="1518" t="str">
        <f t="shared" si="0"/>
        <v>n</v>
      </c>
      <c r="B23" s="1518"/>
      <c r="C23" s="654">
        <v>11</v>
      </c>
      <c r="D23" s="656" t="str">
        <f>IF(D7="","",IF(ISNUMBER(_xll.ciqfunctions.udf.CIQ(D9,"IQ_BUS_SEG_NAME", H8, Valuation_date, , , , , $C23)),"",_xll.ciqfunctions.udf.CIQ(D9,"IQ_BUS_SEG_NAME", H8, Valuation_date, , , , , $C23)))</f>
        <v/>
      </c>
      <c r="E23" s="1579" t="str">
        <f>IF(D7="","",IF(D23="","",_xll.ciqfunctions.udf.CIQ(D9,"IQ_BUS_SEG_REV", H8-1, Valuation_date, ReportType,DataMode, F9,FXMode, C23)*Scale))</f>
        <v/>
      </c>
      <c r="F23" s="1514" t="str">
        <f>IF(D7="","",IF(D23="","",_xll.ciqfunctions.udf.CIQ(D9,"IQ_BUS_SEG_REV", H8, Valuation_date, ReportType,DataMode, F9,FXMode, $C23)*Scale))</f>
        <v/>
      </c>
      <c r="G23" s="1575" t="str">
        <f>IF(D23="","",IFERROR(F23/F28,"n/a"))</f>
        <v/>
      </c>
      <c r="H23" s="1575" t="str">
        <f t="shared" si="1"/>
        <v/>
      </c>
      <c r="I23" s="1576" t="str">
        <f>IF(D7="","",IF(D23="","",_xll.ciqfunctions.udf.CIQ(D9,"IQ_BUS_SEG_DESCRIPTION", H8, Valuation_date, , , , , $C23)))</f>
        <v/>
      </c>
      <c r="J23" s="1574"/>
      <c r="K23" s="1509"/>
      <c r="L23" s="2060"/>
      <c r="M23" s="2060"/>
      <c r="N23" s="1508"/>
      <c r="O23" s="2060"/>
    </row>
    <row r="24" spans="1:15">
      <c r="A24" s="1518" t="s">
        <v>17</v>
      </c>
      <c r="B24" s="1518"/>
      <c r="C24" s="654">
        <v>12</v>
      </c>
      <c r="D24" s="656" t="str">
        <f>IF(D7="","",IF(ISNUMBER(_xll.ciqfunctions.udf.CIQ(D9,"IQ_BUS_SEG_NAME", H8, Valuation_date, , , , , $C24)),"",_xll.ciqfunctions.udf.CIQ(D9,"IQ_BUS_SEG_NAME", H8, Valuation_date, , , , , $C24)))</f>
        <v/>
      </c>
      <c r="E24" s="1579" t="str">
        <f>IF(D7="","",IF(D24="","",_xll.ciqfunctions.udf.CIQ(D9,"IQ_BUS_SEG_REV", H8-1, Valuation_date, ReportType,DataMode, F9,FXMode, C24)*Scale))</f>
        <v/>
      </c>
      <c r="F24" s="1514" t="str">
        <f>IF(D7="","",IF(D24="","",_xll.ciqfunctions.udf.CIQ(D9,"IQ_BUS_SEG_REV", H8, Valuation_date, ReportType,DataMode, F9,FXMode, $C24)*Scale))</f>
        <v/>
      </c>
      <c r="G24" s="1575" t="str">
        <f>IF(D24="","",IFERROR(F24/F28,"n/a"))</f>
        <v/>
      </c>
      <c r="H24" s="1575" t="str">
        <f t="shared" si="1"/>
        <v/>
      </c>
      <c r="I24" s="1576" t="str">
        <f>IF(D7="","",IF(D24="","",_xll.ciqfunctions.udf.CIQ(D9,"IQ_BUS_SEG_DESCRIPTION", H8, Valuation_date, , , , , $C24)))</f>
        <v/>
      </c>
      <c r="J24" s="1574"/>
      <c r="K24" s="1509"/>
      <c r="L24" s="2060"/>
      <c r="M24" s="2060"/>
      <c r="N24" s="1508"/>
      <c r="O24" s="2060"/>
    </row>
    <row r="25" spans="1:15">
      <c r="A25" s="1518" t="s">
        <v>17</v>
      </c>
      <c r="B25" s="1518"/>
      <c r="C25" s="654">
        <v>13</v>
      </c>
      <c r="D25" s="656" t="str">
        <f>IF(D7="","",IF(ISNUMBER(_xll.ciqfunctions.udf.CIQ(D9,"IQ_BUS_SEG_NAME", H8, Valuation_date, , , , , $C25)),"",_xll.ciqfunctions.udf.CIQ(D9,"IQ_BUS_SEG_NAME", H8, Valuation_date, , , , , $C25)))</f>
        <v/>
      </c>
      <c r="E25" s="1579" t="str">
        <f>IF(D7="","",IF(D25="","",_xll.ciqfunctions.udf.CIQ(D9,"IQ_BUS_SEG_REV", H8-1, Valuation_date, ReportType,DataMode, F9,FXMode, C25)*Scale))</f>
        <v/>
      </c>
      <c r="F25" s="1514" t="str">
        <f>IF(D7="","",IF(D25="","",_xll.ciqfunctions.udf.CIQ(D9,"IQ_BUS_SEG_REV", H8, Valuation_date, ReportType,DataMode, F9,FXMode, $C25)*Scale))</f>
        <v/>
      </c>
      <c r="G25" s="1575" t="str">
        <f>IF(D25="","",IFERROR(F25/F28,"n/a"))</f>
        <v/>
      </c>
      <c r="H25" s="1575" t="str">
        <f t="shared" si="1"/>
        <v/>
      </c>
      <c r="I25" s="1576" t="str">
        <f>IF(D7="","",IF(D25="","",_xll.ciqfunctions.udf.CIQ(D9,"IQ_BUS_SEG_DESCRIPTION", H8, Valuation_date, , , , , $C25)))</f>
        <v/>
      </c>
      <c r="J25" s="1574"/>
      <c r="K25" s="1509"/>
      <c r="L25" s="2060"/>
      <c r="M25" s="2060"/>
      <c r="N25" s="1508"/>
      <c r="O25" s="2060"/>
    </row>
    <row r="26" spans="1:15">
      <c r="A26" s="1518" t="s">
        <v>17</v>
      </c>
      <c r="B26" s="1518"/>
      <c r="C26" s="654">
        <v>14</v>
      </c>
      <c r="D26" s="656" t="str">
        <f>IF(D7="","",IF(ISNUMBER(_xll.ciqfunctions.udf.CIQ(D9,"IQ_BUS_SEG_NAME", H8, Valuation_date, , , , , $C26)),"",_xll.ciqfunctions.udf.CIQ(D9,"IQ_BUS_SEG_NAME", H8, Valuation_date, , , , , $C26)))</f>
        <v/>
      </c>
      <c r="E26" s="1579" t="str">
        <f>IF(D7="","",IF(D26="","",_xll.ciqfunctions.udf.CIQ(D9,"IQ_BUS_SEG_REV", H8-1, Valuation_date, ReportType,DataMode, F9,FXMode, C26)*Scale))</f>
        <v/>
      </c>
      <c r="F26" s="1514" t="str">
        <f>IF(D7="","",IF(D26="","",_xll.ciqfunctions.udf.CIQ(D9,"IQ_BUS_SEG_REV", H8, Valuation_date, ReportType,DataMode, F9,FXMode, $C26)*Scale))</f>
        <v/>
      </c>
      <c r="G26" s="1575" t="str">
        <f>IF(D26="","",IFERROR(F26/F28,"n/a"))</f>
        <v/>
      </c>
      <c r="H26" s="1575" t="str">
        <f t="shared" si="1"/>
        <v/>
      </c>
      <c r="I26" s="1576" t="str">
        <f>IF(D7="","",IF(D26="","",_xll.ciqfunctions.udf.CIQ(D9,"IQ_BUS_SEG_DESCRIPTION", H8, Valuation_date, , , , , $C26)))</f>
        <v/>
      </c>
      <c r="J26" s="1574"/>
      <c r="K26" s="1509"/>
      <c r="L26" s="2060"/>
      <c r="M26" s="2060"/>
      <c r="N26" s="1508"/>
      <c r="O26" s="2060"/>
    </row>
    <row r="27" spans="1:15">
      <c r="A27" s="1518" t="s">
        <v>17</v>
      </c>
      <c r="B27" s="1518"/>
      <c r="C27" s="654">
        <v>15</v>
      </c>
      <c r="D27" s="656" t="str">
        <f>IF(D7="","",IF(ISNUMBER(_xll.ciqfunctions.udf.CIQ(D9,"IQ_BUS_SEG_NAME", H8, Valuation_date, , , , , $C27)),"",_xll.ciqfunctions.udf.CIQ(D9,"IQ_BUS_SEG_NAME", H8, Valuation_date, , , , , $C27)))</f>
        <v/>
      </c>
      <c r="E27" s="1579" t="str">
        <f>IF(D7="","",IF(D27="","",_xll.ciqfunctions.udf.CIQ(D9,"IQ_BUS_SEG_REV", H8-1, Valuation_date, ReportType,DataMode, F9,FXMode, C27)*Scale))</f>
        <v/>
      </c>
      <c r="F27" s="1514" t="str">
        <f>IF(D7="","",IF(D27="","",_xll.ciqfunctions.udf.CIQ(D9,"IQ_BUS_SEG_REV", H8, Valuation_date, ReportType,DataMode, F9,FXMode, $C27)*Scale))</f>
        <v/>
      </c>
      <c r="G27" s="1575" t="str">
        <f>IF(D27="","",IFERROR(F27/F28,"n/a"))</f>
        <v/>
      </c>
      <c r="H27" s="1575" t="str">
        <f t="shared" si="1"/>
        <v/>
      </c>
      <c r="I27" s="1576" t="str">
        <f>IF(D7="","",IF(D27="","",_xll.ciqfunctions.udf.CIQ(D9,"IQ_BUS_SEG_DESCRIPTION", H8, Valuation_date, , , , , $C27)))</f>
        <v/>
      </c>
      <c r="J27" s="1574"/>
      <c r="K27" s="1509"/>
      <c r="L27" s="2060"/>
      <c r="M27" s="2060"/>
      <c r="N27" s="1508"/>
      <c r="O27" s="2060"/>
    </row>
    <row r="28" spans="1:15" ht="14.45" thickBot="1">
      <c r="A28" s="1518"/>
      <c r="B28" s="1518"/>
      <c r="C28" s="1572"/>
      <c r="D28" s="658" t="s">
        <v>1248</v>
      </c>
      <c r="E28" s="690">
        <f>SUM(E13:E27)</f>
        <v>0</v>
      </c>
      <c r="F28" s="658">
        <f>SUM(F13:F27)</f>
        <v>0</v>
      </c>
      <c r="G28" s="2257">
        <f>SUM(G13:G27)</f>
        <v>0</v>
      </c>
      <c r="H28" s="2257" t="str">
        <f>IF(D28="","",IFERROR(F28/E28-1,"n/a"))</f>
        <v>n/a</v>
      </c>
      <c r="I28" s="1571"/>
      <c r="J28" s="1574"/>
      <c r="K28" s="1509"/>
      <c r="L28" s="2060"/>
      <c r="M28" s="2060"/>
      <c r="N28" s="1508"/>
      <c r="O28" s="2060"/>
    </row>
    <row r="29" spans="1:15">
      <c r="A29" s="1518"/>
      <c r="B29" s="1518"/>
      <c r="C29" s="1572"/>
      <c r="D29" s="1514"/>
      <c r="E29" s="1579"/>
      <c r="F29" s="1575"/>
      <c r="G29" s="1514"/>
      <c r="H29" s="1575"/>
      <c r="I29" s="1571"/>
      <c r="J29" s="1574"/>
      <c r="K29" s="1509"/>
      <c r="L29" s="2060"/>
      <c r="M29" s="2060"/>
      <c r="N29" s="1508"/>
      <c r="O29" s="2060"/>
    </row>
    <row r="30" spans="1:15" s="1508" customFormat="1">
      <c r="A30" s="1518"/>
      <c r="B30" s="1518"/>
      <c r="C30" s="1572"/>
      <c r="D30" s="1514" t="s">
        <v>1707</v>
      </c>
      <c r="E30" s="1579"/>
      <c r="F30" s="1575"/>
      <c r="G30" s="1514"/>
      <c r="H30" s="1575"/>
      <c r="I30" s="1571"/>
      <c r="J30" s="1574"/>
      <c r="K30" s="1509"/>
      <c r="L30" s="2060"/>
      <c r="M30" s="2060"/>
      <c r="O30" s="2060"/>
    </row>
    <row r="31" spans="1:15">
      <c r="A31" s="1518"/>
      <c r="B31" s="1518"/>
      <c r="C31" s="1572"/>
      <c r="D31" s="1514" t="s">
        <v>1402</v>
      </c>
      <c r="E31" s="1579"/>
      <c r="F31" s="1575"/>
      <c r="G31" s="1514"/>
      <c r="H31" s="1575"/>
      <c r="I31" s="1571"/>
      <c r="J31" s="1574"/>
      <c r="K31" s="1509"/>
      <c r="L31" s="2060"/>
      <c r="M31" s="2060"/>
      <c r="N31" s="1508"/>
      <c r="O31" s="2060"/>
    </row>
    <row r="32" spans="1:15">
      <c r="A32" s="1518"/>
      <c r="B32" s="1518"/>
      <c r="C32" s="1572"/>
      <c r="D32" s="1538"/>
      <c r="E32" s="614"/>
      <c r="F32" s="1538"/>
      <c r="G32" s="1538"/>
      <c r="H32" s="1538"/>
      <c r="I32" s="1571"/>
      <c r="J32" s="1574"/>
      <c r="K32" s="1509"/>
      <c r="L32" s="2060"/>
      <c r="M32" s="2060"/>
      <c r="N32" s="1508"/>
      <c r="O32" s="2060"/>
    </row>
    <row r="33" spans="1:26" s="178" customFormat="1" ht="13.5" customHeight="1">
      <c r="A33" s="1510"/>
      <c r="B33" s="1510"/>
      <c r="C33" s="387"/>
      <c r="D33" s="1513" t="str">
        <f ca="1">FootnoteDRAFT</f>
        <v>Run date: 05-August-2018  02:34 PM.   DRAFT document. All data subject to change upon completion of additional analysis.</v>
      </c>
      <c r="E33" s="1567"/>
      <c r="F33" s="373"/>
      <c r="G33" s="1513"/>
      <c r="H33" s="1513"/>
      <c r="I33" s="1562"/>
      <c r="J33" s="1512"/>
      <c r="K33" s="1509"/>
      <c r="L33" s="2060"/>
      <c r="M33" s="2060"/>
      <c r="N33" s="2060"/>
      <c r="O33" s="2060"/>
      <c r="P33" s="2060"/>
      <c r="Q33" s="2060"/>
      <c r="R33" s="2060"/>
      <c r="S33" s="2060"/>
      <c r="T33" s="2060"/>
      <c r="U33" s="2060"/>
      <c r="V33" s="2060"/>
      <c r="W33" s="2060"/>
      <c r="X33" s="2060"/>
      <c r="Y33" s="2060"/>
      <c r="Z33" s="2060"/>
    </row>
    <row r="34" spans="1:26" s="178" customFormat="1">
      <c r="A34" s="1510" t="s">
        <v>17</v>
      </c>
      <c r="B34" s="1510"/>
      <c r="C34" s="1510"/>
      <c r="D34" s="1510"/>
      <c r="E34" s="683"/>
      <c r="F34" s="1510"/>
      <c r="G34" s="1510"/>
      <c r="H34" s="1510"/>
      <c r="I34" s="1547"/>
      <c r="J34" s="1546" t="str">
        <f ca="1">IF(D42="","Page end","Continue")</f>
        <v>Continue</v>
      </c>
      <c r="K34" s="1510"/>
      <c r="L34" s="2060"/>
      <c r="M34" s="2060"/>
      <c r="N34" s="2060"/>
      <c r="O34" s="2060"/>
      <c r="P34" s="2060"/>
      <c r="Q34" s="2060"/>
      <c r="R34" s="2060"/>
      <c r="S34" s="2060"/>
      <c r="T34" s="2060"/>
      <c r="U34" s="2060"/>
      <c r="V34" s="2060"/>
      <c r="W34" s="2060"/>
      <c r="X34" s="2060"/>
      <c r="Y34" s="2060"/>
      <c r="Z34" s="2060"/>
    </row>
    <row r="35" spans="1:26" ht="18" customHeight="1">
      <c r="A35" s="1518"/>
      <c r="B35" s="1518"/>
      <c r="C35" s="292" t="str">
        <f ca="1">D40</f>
        <v>n/a</v>
      </c>
      <c r="D35" s="172"/>
      <c r="E35" s="674"/>
      <c r="F35" s="172"/>
      <c r="G35" s="172"/>
      <c r="H35" s="172"/>
      <c r="I35" s="1522"/>
      <c r="J35" s="389" t="str">
        <f>$J$1&amp;"."&amp;C40&amp;""</f>
        <v>Workpaper 6.1</v>
      </c>
      <c r="K35" s="1509"/>
      <c r="L35" s="1508"/>
      <c r="M35" s="1508"/>
      <c r="N35" s="1508"/>
      <c r="O35" s="2060"/>
      <c r="P35" s="1508"/>
      <c r="Q35" s="1508"/>
      <c r="R35" s="1508"/>
      <c r="S35" s="1508"/>
      <c r="T35" s="1508"/>
      <c r="U35" s="1508"/>
      <c r="V35" s="1508"/>
      <c r="W35" s="1508"/>
      <c r="X35" s="1508"/>
      <c r="Y35" s="1508"/>
      <c r="Z35" s="1508"/>
    </row>
    <row r="36" spans="1:26" ht="18" customHeight="1">
      <c r="A36" s="1518"/>
      <c r="B36" s="1518"/>
      <c r="C36" s="839" t="s">
        <v>1699</v>
      </c>
      <c r="D36" s="172"/>
      <c r="E36" s="699"/>
      <c r="F36" s="172"/>
      <c r="G36" s="172"/>
      <c r="H36" s="172"/>
      <c r="I36" s="1522"/>
      <c r="J36" s="187"/>
      <c r="K36" s="1509"/>
      <c r="L36" s="1508"/>
      <c r="M36" s="1508"/>
      <c r="N36" s="1508"/>
      <c r="O36" s="2060"/>
      <c r="P36" s="1508"/>
      <c r="Q36" s="1508"/>
      <c r="R36" s="1508"/>
      <c r="S36" s="1508"/>
      <c r="T36" s="1508"/>
      <c r="U36" s="1508"/>
      <c r="V36" s="1508"/>
      <c r="W36" s="1508"/>
      <c r="X36" s="1508"/>
      <c r="Y36" s="1508"/>
      <c r="Z36" s="1508"/>
    </row>
    <row r="37" spans="1:26" ht="18" customHeight="1">
      <c r="A37" s="1518"/>
      <c r="B37" s="1518"/>
      <c r="C37" s="366" t="str">
        <f ca="1">"(" &amp;F42&amp;" in "&amp;ScaleInput&amp;")"</f>
        <v>(USD in Millions)</v>
      </c>
      <c r="D37" s="1508"/>
      <c r="E37" s="702"/>
      <c r="F37" s="170"/>
      <c r="G37" s="170"/>
      <c r="H37" s="170"/>
      <c r="I37" s="1521"/>
      <c r="J37" s="1508"/>
      <c r="K37" s="1509"/>
      <c r="L37" s="1508"/>
      <c r="M37" s="1508"/>
      <c r="N37" s="1508"/>
      <c r="O37" s="2060"/>
      <c r="P37" s="1508"/>
      <c r="Q37" s="1508"/>
      <c r="R37" s="1508"/>
      <c r="S37" s="1508"/>
      <c r="T37" s="1508"/>
      <c r="U37" s="1508"/>
      <c r="V37" s="1508"/>
      <c r="W37" s="1508"/>
      <c r="X37" s="1508"/>
      <c r="Y37" s="1508"/>
      <c r="Z37" s="1508"/>
    </row>
    <row r="38" spans="1:26" ht="18" customHeight="1">
      <c r="A38" s="1518"/>
      <c r="B38" s="1518"/>
      <c r="C38" s="366"/>
      <c r="D38" s="1508"/>
      <c r="E38" s="699"/>
      <c r="F38" s="172"/>
      <c r="G38" s="172"/>
      <c r="H38" s="172"/>
      <c r="I38" s="1522"/>
      <c r="J38" s="1508"/>
      <c r="K38" s="1509"/>
      <c r="L38" s="1508"/>
      <c r="M38" s="1508"/>
      <c r="N38" s="1508"/>
      <c r="O38" s="2060"/>
      <c r="P38" s="1508"/>
      <c r="Q38" s="1508"/>
      <c r="R38" s="1508"/>
      <c r="S38" s="1508"/>
      <c r="T38" s="1508"/>
      <c r="U38" s="1508"/>
      <c r="V38" s="1508"/>
      <c r="W38" s="1508"/>
      <c r="X38" s="1508"/>
      <c r="Y38" s="1508"/>
      <c r="Z38" s="1508"/>
    </row>
    <row r="39" spans="1:26">
      <c r="A39" s="1518"/>
      <c r="B39" s="1518"/>
      <c r="C39" s="225"/>
      <c r="D39" s="1508"/>
      <c r="E39" s="614"/>
      <c r="F39" s="1508"/>
      <c r="G39" s="1508"/>
      <c r="H39" s="1508"/>
      <c r="I39" s="1515"/>
      <c r="J39" s="1508"/>
      <c r="K39" s="1509"/>
      <c r="L39" s="1508"/>
      <c r="M39" s="1508"/>
      <c r="N39" s="1508"/>
      <c r="O39" s="2060"/>
      <c r="P39" s="1508"/>
      <c r="Q39" s="1508"/>
      <c r="R39" s="1508"/>
      <c r="S39" s="1508"/>
      <c r="T39" s="1508"/>
      <c r="U39" s="1508"/>
      <c r="V39" s="1508"/>
      <c r="W39" s="1508"/>
      <c r="X39" s="1508"/>
      <c r="Y39" s="1508"/>
      <c r="Z39" s="1508"/>
    </row>
    <row r="40" spans="1:26">
      <c r="A40" s="1518"/>
      <c r="B40" s="1518"/>
      <c r="C40" s="653">
        <v>1</v>
      </c>
      <c r="D40" s="179" t="str">
        <f ca="1">IF(D42=0,"n/a",IFERROR(_xll.ciqfunctions.udf.CIQ(D42,"IQ_COMPANY_NAME"),"n/a"))</f>
        <v>n/a</v>
      </c>
      <c r="E40" s="614"/>
      <c r="F40" s="1538"/>
      <c r="G40" s="1538"/>
      <c r="H40" s="1538"/>
      <c r="I40" s="1571"/>
      <c r="J40" s="1538"/>
      <c r="K40" s="1509"/>
      <c r="L40" s="1508"/>
      <c r="M40" s="1508"/>
      <c r="N40" s="1508"/>
      <c r="O40" s="2060"/>
      <c r="P40" s="1508"/>
      <c r="Q40" s="1508"/>
      <c r="R40" s="1508"/>
      <c r="S40" s="1508"/>
      <c r="T40" s="1508"/>
      <c r="U40" s="1508"/>
      <c r="V40" s="1508"/>
      <c r="W40" s="1508"/>
      <c r="X40" s="1508"/>
      <c r="Y40" s="1508"/>
      <c r="Z40" s="1508"/>
    </row>
    <row r="41" spans="1:26">
      <c r="A41" s="1518"/>
      <c r="B41" s="1518"/>
      <c r="C41" s="1572"/>
      <c r="D41" s="2258" t="s">
        <v>134</v>
      </c>
      <c r="E41" s="2259" t="s">
        <v>1708</v>
      </c>
      <c r="F41" s="2247" t="s">
        <v>167</v>
      </c>
      <c r="G41" s="2247" t="s">
        <v>1700</v>
      </c>
      <c r="H41" s="2248">
        <f>INDEX($W$9:$W$14,MATCH(H42,PeriodList,0))</f>
        <v>2000</v>
      </c>
      <c r="I41" s="1571"/>
      <c r="J41" s="217"/>
      <c r="K41" s="1509"/>
      <c r="L41" s="1508"/>
      <c r="M41" s="1508"/>
      <c r="N41" s="1508"/>
      <c r="O41" s="2060"/>
      <c r="P41" s="1508"/>
      <c r="Q41" s="1508"/>
      <c r="R41" s="1508"/>
      <c r="S41" s="1508"/>
      <c r="T41" s="1508"/>
      <c r="U41" s="1508"/>
      <c r="V41" s="1508"/>
      <c r="W41" s="1508"/>
      <c r="X41" s="1508"/>
      <c r="Y41" s="1508"/>
      <c r="Z41" s="1508"/>
    </row>
    <row r="42" spans="1:26" s="185" customFormat="1">
      <c r="A42" s="1518"/>
      <c r="B42" s="1518"/>
      <c r="C42" s="654"/>
      <c r="D42" s="2249">
        <f ca="1">OFFSET(GCIdentifierTop,C40,0)</f>
        <v>0</v>
      </c>
      <c r="E42" s="2250" t="str">
        <f ca="1">IF($D42="","",IFERROR(_xll.ciqfunctions.udf.CIQ($D42,"IQ_PERIODDATE",H41,Valuation_date),"n/a"))</f>
        <v>n/a</v>
      </c>
      <c r="F42" s="2251" t="str">
        <f ca="1">IFERROR(IF(C40=0,SubjOutputCurrencyCode,IF(D42="","",IF(OutputCurrency="Filing",_xll.ciqfunctions.udf.CIQ($D42,"IQ_FILING_CURRENCY",500,Valuation_date,ReportType,DataMode),OutputCurrency))),OutputCurrency)</f>
        <v>USD</v>
      </c>
      <c r="G42" s="2252" t="e">
        <f ca="1">IF(D40="","",_xll.ciqfunctions.udf.CIQ(D42,"IQ_TOTAL_REV", H41, Valuation_date,ReportType,DataMode,F42,FXMode))</f>
        <v>#NAME?</v>
      </c>
      <c r="H42" s="2260" t="str">
        <f>$H$9</f>
        <v>LTM/LFQ</v>
      </c>
      <c r="I42" s="1573"/>
      <c r="J42" s="392"/>
      <c r="K42" s="1509"/>
      <c r="O42" s="2060"/>
    </row>
    <row r="43" spans="1:26">
      <c r="A43" s="1518"/>
      <c r="B43" s="1518"/>
      <c r="C43" s="654"/>
      <c r="D43" s="1538"/>
      <c r="E43" s="614"/>
      <c r="F43" s="1538"/>
      <c r="G43" s="1538"/>
      <c r="H43" s="1538"/>
      <c r="I43" s="1571"/>
      <c r="J43" s="655"/>
      <c r="K43" s="1509"/>
      <c r="L43" s="1508"/>
      <c r="M43" s="1508"/>
      <c r="N43" s="1508"/>
      <c r="O43" s="2060"/>
      <c r="P43" s="1508"/>
      <c r="Q43" s="1508"/>
      <c r="R43" s="1508"/>
      <c r="S43" s="1508"/>
      <c r="T43" s="1508"/>
      <c r="U43" s="1508"/>
      <c r="V43" s="1508"/>
      <c r="W43" s="1508"/>
      <c r="X43" s="1508"/>
      <c r="Y43" s="1508"/>
      <c r="Z43" s="1508"/>
    </row>
    <row r="44" spans="1:26">
      <c r="A44" s="1518"/>
      <c r="B44" s="1518"/>
      <c r="C44" s="654"/>
      <c r="D44" s="741"/>
      <c r="E44" s="744" t="e">
        <f ca="1">IF(D42="",Valuation_date,_xll.ciqfunctions.udf.CIQ(D42,"IQ_PERIODDATE",H41-IF(LEFT(H42,3)="LFY",1,4),Valuation_date))</f>
        <v>#NAME?</v>
      </c>
      <c r="F44" s="742" t="e">
        <f ca="1">IF(D42="",Valuation_date,_xll.ciqfunctions.udf.CIQ(D42,"IQ_PERIODDATE",H41,Valuation_date))</f>
        <v>#NAME?</v>
      </c>
      <c r="G44" s="741"/>
      <c r="H44" s="743" t="s">
        <v>1702</v>
      </c>
      <c r="I44" s="1587"/>
      <c r="J44" s="655"/>
      <c r="K44" s="1509"/>
      <c r="L44" s="1508"/>
      <c r="M44" s="2060"/>
      <c r="N44" s="1508"/>
      <c r="O44" s="2060"/>
      <c r="P44" s="1508"/>
      <c r="Q44" s="1508"/>
      <c r="R44" s="1508"/>
      <c r="S44" s="1508"/>
      <c r="T44" s="1508"/>
      <c r="U44" s="1508"/>
      <c r="V44" s="1508"/>
      <c r="W44" s="1508"/>
      <c r="X44" s="1508"/>
      <c r="Y44" s="1508"/>
      <c r="Z44" s="1508"/>
    </row>
    <row r="45" spans="1:26" s="151" customFormat="1">
      <c r="A45" s="1518"/>
      <c r="B45" s="1518"/>
      <c r="C45" s="654"/>
      <c r="D45" s="2254" t="s">
        <v>1703</v>
      </c>
      <c r="E45" s="2261" t="s">
        <v>1458</v>
      </c>
      <c r="F45" s="2255" t="s">
        <v>1458</v>
      </c>
      <c r="G45" s="2255" t="s">
        <v>1704</v>
      </c>
      <c r="H45" s="2255" t="s">
        <v>1705</v>
      </c>
      <c r="I45" s="2256" t="s">
        <v>1706</v>
      </c>
      <c r="J45" s="1574"/>
      <c r="K45" s="1509"/>
      <c r="L45" s="2060"/>
      <c r="M45" s="2060"/>
      <c r="O45" s="2060"/>
    </row>
    <row r="46" spans="1:26">
      <c r="A46" s="1518" t="e">
        <f t="shared" ref="A46:A58" ca="1" si="2">IF(D46="","n","")</f>
        <v>#NAME?</v>
      </c>
      <c r="B46" s="1518"/>
      <c r="C46" s="654">
        <v>1</v>
      </c>
      <c r="D46" s="656" t="e">
        <f ca="1">IF(D40="","",IF(ISNUMBER(_xll.ciqfunctions.udf.CIQ(D42,"IQ_BUS_SEG_NAME", H41, Valuation_date, , , , , $C46)),"",_xll.ciqfunctions.udf.CIQ(D42,"IQ_BUS_SEG_NAME", H41, Valuation_date, , , , , $C46)))</f>
        <v>#NAME?</v>
      </c>
      <c r="E46" s="1579" t="e">
        <f ca="1">IF(D40="","",IF(D46="","",_xll.ciqfunctions.udf.CIQ(D42,"IQ_BUS_SEG_REV", H41-1, Valuation_date, ReportType,DataMode, F42,FXMode, C46)*Scale))</f>
        <v>#NAME?</v>
      </c>
      <c r="F46" s="1514" t="e">
        <f ca="1">IF(D40="","",IF(D46="","",_xll.ciqfunctions.udf.CIQ(D42,"IQ_BUS_SEG_REV", H41, Valuation_date, ReportType,DataMode, F42,FXMode, $C46)*Scale))</f>
        <v>#NAME?</v>
      </c>
      <c r="G46" s="1575" t="e">
        <f ca="1">IF(D46="","",IFERROR(F46/F61,"n/a"))</f>
        <v>#NAME?</v>
      </c>
      <c r="H46" s="1575" t="e">
        <f ca="1">IF(D46="","",IFERROR(F46/E46-1,"n/a"))</f>
        <v>#NAME?</v>
      </c>
      <c r="I46" s="1576" t="e">
        <f ca="1">IF(D40="","",IF(D46="","",_xll.ciqfunctions.udf.CIQ(D42,"IQ_BUS_SEG_DESCRIPTION", H41, Valuation_date, , , , , $C46)))</f>
        <v>#NAME?</v>
      </c>
      <c r="J46" s="393"/>
      <c r="K46" s="1509"/>
      <c r="L46" s="2060"/>
      <c r="M46" s="2060"/>
      <c r="N46" s="1508"/>
      <c r="O46" s="2060"/>
      <c r="P46" s="1508"/>
      <c r="Q46" s="1508"/>
      <c r="R46" s="1508"/>
      <c r="S46" s="1508"/>
      <c r="T46" s="1508"/>
      <c r="U46" s="1508"/>
      <c r="V46" s="1508"/>
      <c r="W46" s="1508"/>
      <c r="X46" s="1508"/>
      <c r="Y46" s="1508"/>
      <c r="Z46" s="1508"/>
    </row>
    <row r="47" spans="1:26">
      <c r="A47" s="1518" t="e">
        <f t="shared" ca="1" si="2"/>
        <v>#NAME?</v>
      </c>
      <c r="B47" s="1518"/>
      <c r="C47" s="654">
        <v>2</v>
      </c>
      <c r="D47" s="656" t="e">
        <f ca="1">IF(D40="","",IF(ISNUMBER(_xll.ciqfunctions.udf.CIQ(D42,"IQ_BUS_SEG_NAME", H41, Valuation_date, , , , , $C47)),"",_xll.ciqfunctions.udf.CIQ(D42,"IQ_BUS_SEG_NAME", H41, Valuation_date, , , , , $C47)))</f>
        <v>#NAME?</v>
      </c>
      <c r="E47" s="1579" t="e">
        <f ca="1">IF(D40="","",IF(D47="","",_xll.ciqfunctions.udf.CIQ(D42,"IQ_BUS_SEG_REV", H41-1, Valuation_date, ReportType,DataMode, F42,FXMode, C47)*Scale))</f>
        <v>#NAME?</v>
      </c>
      <c r="F47" s="1514" t="e">
        <f ca="1">IF(D40="","",IF(D47="","",_xll.ciqfunctions.udf.CIQ(D42,"IQ_BUS_SEG_REV", H41, Valuation_date, ReportType,DataMode, F42,FXMode, $C47)*Scale))</f>
        <v>#NAME?</v>
      </c>
      <c r="G47" s="1575" t="e">
        <f ca="1">IF(D47="","",IFERROR(F47/F61,"n/a"))</f>
        <v>#NAME?</v>
      </c>
      <c r="H47" s="1575" t="e">
        <f t="shared" ref="H47:H60" ca="1" si="3">IF(D47="","",IFERROR(F47/E47-1,"n/a"))</f>
        <v>#NAME?</v>
      </c>
      <c r="I47" s="1576" t="e">
        <f ca="1">IF(D40="","",IF(D47="","",_xll.ciqfunctions.udf.CIQ(D42,"IQ_BUS_SEG_DESCRIPTION", H41, Valuation_date, , , , , $C47)))</f>
        <v>#NAME?</v>
      </c>
      <c r="J47" s="393"/>
      <c r="K47" s="1509"/>
      <c r="L47" s="2060"/>
      <c r="M47" s="2060"/>
      <c r="N47" s="1508"/>
      <c r="O47" s="2060"/>
      <c r="P47" s="1508"/>
      <c r="Q47" s="1508"/>
      <c r="R47" s="1508"/>
      <c r="S47" s="1508"/>
      <c r="T47" s="1508"/>
      <c r="U47" s="1508"/>
      <c r="V47" s="1508"/>
      <c r="W47" s="1508"/>
      <c r="X47" s="1508"/>
      <c r="Y47" s="1508"/>
      <c r="Z47" s="1508"/>
    </row>
    <row r="48" spans="1:26">
      <c r="A48" s="1518" t="e">
        <f t="shared" ca="1" si="2"/>
        <v>#NAME?</v>
      </c>
      <c r="B48" s="1518"/>
      <c r="C48" s="654">
        <v>3</v>
      </c>
      <c r="D48" s="656" t="e">
        <f ca="1">IF(D40="","",IF(ISNUMBER(_xll.ciqfunctions.udf.CIQ(D42,"IQ_BUS_SEG_NAME", H41, Valuation_date, , , , , $C48)),"",_xll.ciqfunctions.udf.CIQ(D42,"IQ_BUS_SEG_NAME", H41, Valuation_date, , , , , $C48)))</f>
        <v>#NAME?</v>
      </c>
      <c r="E48" s="1579" t="e">
        <f ca="1">IF(D40="","",IF(D48="","",_xll.ciqfunctions.udf.CIQ(D42,"IQ_BUS_SEG_REV", H41-1, Valuation_date, ReportType,DataMode, F42,FXMode, C48)*Scale))</f>
        <v>#NAME?</v>
      </c>
      <c r="F48" s="1514" t="e">
        <f ca="1">IF(D40="","",IF(D48="","",_xll.ciqfunctions.udf.CIQ(D42,"IQ_BUS_SEG_REV", H41, Valuation_date, ReportType,DataMode, F42,FXMode, $C48)*Scale))</f>
        <v>#NAME?</v>
      </c>
      <c r="G48" s="1575" t="e">
        <f ca="1">IF(D48="","",IFERROR(F48/F61,"n/a"))</f>
        <v>#NAME?</v>
      </c>
      <c r="H48" s="1575" t="e">
        <f t="shared" ca="1" si="3"/>
        <v>#NAME?</v>
      </c>
      <c r="I48" s="1576" t="e">
        <f ca="1">IF(D40="","",IF(D48="","",_xll.ciqfunctions.udf.CIQ(D42,"IQ_BUS_SEG_DESCRIPTION", H41, Valuation_date, , , , , $C48)))</f>
        <v>#NAME?</v>
      </c>
      <c r="J48" s="393"/>
      <c r="K48" s="1509"/>
      <c r="L48" s="2060"/>
      <c r="M48" s="2060"/>
      <c r="N48" s="1508"/>
      <c r="O48" s="2060"/>
      <c r="P48" s="1508"/>
      <c r="Q48" s="1508"/>
      <c r="R48" s="1508"/>
      <c r="S48" s="1508"/>
      <c r="T48" s="1508"/>
      <c r="U48" s="1508"/>
      <c r="V48" s="1508"/>
      <c r="W48" s="1508"/>
      <c r="X48" s="1508"/>
      <c r="Y48" s="1508"/>
      <c r="Z48" s="1508"/>
    </row>
    <row r="49" spans="1:15">
      <c r="A49" s="1518" t="e">
        <f t="shared" ca="1" si="2"/>
        <v>#NAME?</v>
      </c>
      <c r="B49" s="1518"/>
      <c r="C49" s="654">
        <v>4</v>
      </c>
      <c r="D49" s="656" t="e">
        <f ca="1">IF(D40="","",IF(ISNUMBER(_xll.ciqfunctions.udf.CIQ(D42,"IQ_BUS_SEG_NAME", H41, Valuation_date, , , , , $C49)),"",_xll.ciqfunctions.udf.CIQ(D42,"IQ_BUS_SEG_NAME", H41, Valuation_date, , , , , $C49)))</f>
        <v>#NAME?</v>
      </c>
      <c r="E49" s="1569" t="e">
        <f ca="1">IF(D40="","",IF(D49="","",_xll.ciqfunctions.udf.CIQ(D42,"IQ_BUS_SEG_REV", H41-1, Valuation_date, ReportType,DataMode, F42,FXMode, C49)*Scale))</f>
        <v>#NAME?</v>
      </c>
      <c r="F49" s="1514" t="e">
        <f ca="1">IF(D40="","",IF(D49="","",_xll.ciqfunctions.udf.CIQ(D42,"IQ_BUS_SEG_REV", H41, Valuation_date, ReportType,DataMode, F42,FXMode, $C49)*Scale))</f>
        <v>#NAME?</v>
      </c>
      <c r="G49" s="1575" t="e">
        <f ca="1">IF(D49="","",IFERROR(F49/F61,"n/a"))</f>
        <v>#NAME?</v>
      </c>
      <c r="H49" s="1575" t="e">
        <f t="shared" ca="1" si="3"/>
        <v>#NAME?</v>
      </c>
      <c r="I49" s="1576" t="e">
        <f ca="1">IF(D40="","",IF(D49="","",_xll.ciqfunctions.udf.CIQ(D42,"IQ_BUS_SEG_DESCRIPTION", H41, Valuation_date, , , , , $C49)))</f>
        <v>#NAME?</v>
      </c>
      <c r="J49" s="393"/>
      <c r="K49" s="1509"/>
      <c r="L49" s="2060"/>
      <c r="M49" s="2060"/>
      <c r="N49" s="1508"/>
      <c r="O49" s="2060"/>
    </row>
    <row r="50" spans="1:15">
      <c r="A50" s="1518" t="e">
        <f t="shared" ca="1" si="2"/>
        <v>#NAME?</v>
      </c>
      <c r="B50" s="1518"/>
      <c r="C50" s="654">
        <v>5</v>
      </c>
      <c r="D50" s="656" t="e">
        <f ca="1">IF(D40="","",IF(ISNUMBER(_xll.ciqfunctions.udf.CIQ(D42,"IQ_BUS_SEG_NAME", H41, Valuation_date, , , , , $C50)),"",_xll.ciqfunctions.udf.CIQ(D42,"IQ_BUS_SEG_NAME", H41, Valuation_date, , , , , $C50)))</f>
        <v>#NAME?</v>
      </c>
      <c r="E50" s="1569" t="e">
        <f ca="1">IF(D40="","",IF(D50="","",_xll.ciqfunctions.udf.CIQ(D42,"IQ_BUS_SEG_REV", H41-1, Valuation_date, ReportType,DataMode, F42,FXMode, C50)*Scale))</f>
        <v>#NAME?</v>
      </c>
      <c r="F50" s="1514" t="e">
        <f ca="1">IF(D40="","",IF(D50="","",_xll.ciqfunctions.udf.CIQ(D42,"IQ_BUS_SEG_REV", H41, Valuation_date, ReportType,DataMode, F42,FXMode, $C50)*Scale))</f>
        <v>#NAME?</v>
      </c>
      <c r="G50" s="1575" t="e">
        <f ca="1">IF(D50="","",IFERROR(F50/F61,"n/a"))</f>
        <v>#NAME?</v>
      </c>
      <c r="H50" s="1575" t="e">
        <f t="shared" ca="1" si="3"/>
        <v>#NAME?</v>
      </c>
      <c r="I50" s="1576" t="e">
        <f ca="1">IF(D40="","",IF(D50="","",_xll.ciqfunctions.udf.CIQ(D42,"IQ_BUS_SEG_DESCRIPTION", H41, Valuation_date, , , , , $C50)))</f>
        <v>#NAME?</v>
      </c>
      <c r="J50" s="657"/>
      <c r="K50" s="1509"/>
      <c r="L50" s="2060"/>
      <c r="M50" s="2060"/>
      <c r="N50" s="1508"/>
      <c r="O50" s="2060"/>
    </row>
    <row r="51" spans="1:15">
      <c r="A51" s="1518" t="e">
        <f t="shared" ca="1" si="2"/>
        <v>#NAME?</v>
      </c>
      <c r="B51" s="1518"/>
      <c r="C51" s="654">
        <v>6</v>
      </c>
      <c r="D51" s="656" t="e">
        <f ca="1">IF(D40="","",IF(ISNUMBER(_xll.ciqfunctions.udf.CIQ(D42,"IQ_BUS_SEG_NAME", H41, Valuation_date, , , , , $C51)),"",_xll.ciqfunctions.udf.CIQ(D42,"IQ_BUS_SEG_NAME", H41, Valuation_date, , , , , $C51)))</f>
        <v>#NAME?</v>
      </c>
      <c r="E51" s="1569" t="e">
        <f ca="1">IF(D40="","",IF(D51="","",_xll.ciqfunctions.udf.CIQ(D42,"IQ_BUS_SEG_REV", H41-1, Valuation_date, ReportType,DataMode, F42,FXMode, C51)*Scale))</f>
        <v>#NAME?</v>
      </c>
      <c r="F51" s="1514" t="e">
        <f ca="1">IF(D40="","",IF(D51="","",_xll.ciqfunctions.udf.CIQ(D42,"IQ_BUS_SEG_REV", H41, Valuation_date, ReportType,DataMode, F42,FXMode, $C51)*Scale))</f>
        <v>#NAME?</v>
      </c>
      <c r="G51" s="1575" t="e">
        <f ca="1">IF(D51="","",IFERROR(F51/F61,"n/a"))</f>
        <v>#NAME?</v>
      </c>
      <c r="H51" s="1575" t="e">
        <f t="shared" ca="1" si="3"/>
        <v>#NAME?</v>
      </c>
      <c r="I51" s="1576" t="e">
        <f ca="1">IF(D40="","",IF(D51="","",_xll.ciqfunctions.udf.CIQ(D42,"IQ_BUS_SEG_DESCRIPTION", H41, Valuation_date, , , , , $C51)))</f>
        <v>#NAME?</v>
      </c>
      <c r="J51" s="657"/>
      <c r="K51" s="1509"/>
      <c r="L51" s="2060"/>
      <c r="M51" s="2060"/>
      <c r="N51" s="1508"/>
      <c r="O51" s="2060"/>
    </row>
    <row r="52" spans="1:15">
      <c r="A52" s="1518" t="e">
        <f t="shared" ca="1" si="2"/>
        <v>#NAME?</v>
      </c>
      <c r="B52" s="1518"/>
      <c r="C52" s="654">
        <v>7</v>
      </c>
      <c r="D52" s="656" t="e">
        <f ca="1">IF(D40="","",IF(ISNUMBER(_xll.ciqfunctions.udf.CIQ(D42,"IQ_BUS_SEG_NAME", H41, Valuation_date, , , , , $C52)),"",_xll.ciqfunctions.udf.CIQ(D42,"IQ_BUS_SEG_NAME", H41, Valuation_date, , , , , $C52)))</f>
        <v>#NAME?</v>
      </c>
      <c r="E52" s="1569" t="e">
        <f ca="1">IF(D40="","",IF(D52="","",_xll.ciqfunctions.udf.CIQ(D42,"IQ_BUS_SEG_REV", H41-1, Valuation_date, ReportType,DataMode, F42,FXMode, C52)*Scale))</f>
        <v>#NAME?</v>
      </c>
      <c r="F52" s="1514" t="e">
        <f ca="1">IF(D40="","",IF(D52="","",_xll.ciqfunctions.udf.CIQ(D42,"IQ_BUS_SEG_REV", H41, Valuation_date, ReportType,DataMode, F42,FXMode, $C52)*Scale))</f>
        <v>#NAME?</v>
      </c>
      <c r="G52" s="1575" t="e">
        <f ca="1">IF(D52="","",IFERROR(F52/F61,"n/a"))</f>
        <v>#NAME?</v>
      </c>
      <c r="H52" s="1575" t="e">
        <f t="shared" ca="1" si="3"/>
        <v>#NAME?</v>
      </c>
      <c r="I52" s="1576" t="e">
        <f ca="1">IF(D40="","",IF(D52="","",_xll.ciqfunctions.udf.CIQ(D42,"IQ_BUS_SEG_DESCRIPTION", H41, Valuation_date, , , , , $C52)))</f>
        <v>#NAME?</v>
      </c>
      <c r="J52" s="655"/>
      <c r="K52" s="1509"/>
      <c r="L52" s="2060"/>
      <c r="M52" s="2060"/>
      <c r="N52" s="1508"/>
      <c r="O52" s="2060"/>
    </row>
    <row r="53" spans="1:15">
      <c r="A53" s="1518" t="e">
        <f t="shared" ca="1" si="2"/>
        <v>#NAME?</v>
      </c>
      <c r="B53" s="1518"/>
      <c r="C53" s="654">
        <v>8</v>
      </c>
      <c r="D53" s="656" t="e">
        <f ca="1">IF(D40="","",IF(ISNUMBER(_xll.ciqfunctions.udf.CIQ(D42,"IQ_BUS_SEG_NAME", H41, Valuation_date, , , , , $C53)),"",_xll.ciqfunctions.udf.CIQ(D42,"IQ_BUS_SEG_NAME", H41, Valuation_date, , , , , $C53)))</f>
        <v>#NAME?</v>
      </c>
      <c r="E53" s="1569" t="e">
        <f ca="1">IF(D40="","",IF(D53="","",_xll.ciqfunctions.udf.CIQ(D42,"IQ_BUS_SEG_REV", H41-1, Valuation_date, ReportType,DataMode, F42,FXMode, C53)*Scale))</f>
        <v>#NAME?</v>
      </c>
      <c r="F53" s="1514" t="e">
        <f ca="1">IF(D40="","",IF(D53="","",_xll.ciqfunctions.udf.CIQ(D42,"IQ_BUS_SEG_REV", H41, Valuation_date, ReportType,DataMode, F42,FXMode, $C53)*Scale))</f>
        <v>#NAME?</v>
      </c>
      <c r="G53" s="1575" t="e">
        <f ca="1">IF(D53="","",IFERROR(F53/F61,"n/a"))</f>
        <v>#NAME?</v>
      </c>
      <c r="H53" s="1575" t="e">
        <f t="shared" ca="1" si="3"/>
        <v>#NAME?</v>
      </c>
      <c r="I53" s="1576" t="e">
        <f ca="1">IF(D40="","",IF(D53="","",_xll.ciqfunctions.udf.CIQ(D42,"IQ_BUS_SEG_DESCRIPTION", H41, Valuation_date, , , , , $C53)))</f>
        <v>#NAME?</v>
      </c>
      <c r="J53" s="1574"/>
      <c r="K53" s="1509"/>
      <c r="L53" s="2060"/>
      <c r="M53" s="2060"/>
      <c r="N53" s="1508"/>
      <c r="O53" s="2060"/>
    </row>
    <row r="54" spans="1:15" s="151" customFormat="1">
      <c r="A54" s="1518" t="e">
        <f t="shared" ca="1" si="2"/>
        <v>#NAME?</v>
      </c>
      <c r="B54" s="1518"/>
      <c r="C54" s="654">
        <v>9</v>
      </c>
      <c r="D54" s="656" t="e">
        <f ca="1">IF(D40="","",IF(ISNUMBER(_xll.ciqfunctions.udf.CIQ(D42,"IQ_BUS_SEG_NAME", H41, Valuation_date, , , , , $C54)),"",_xll.ciqfunctions.udf.CIQ(D42,"IQ_BUS_SEG_NAME", H41, Valuation_date, , , , , $C54)))</f>
        <v>#NAME?</v>
      </c>
      <c r="E54" s="1569" t="e">
        <f ca="1">IF(D40="","",IF(D54="","",_xll.ciqfunctions.udf.CIQ(D42,"IQ_BUS_SEG_REV", H41-1, Valuation_date, ReportType,DataMode, F42,FXMode, C54)*Scale))</f>
        <v>#NAME?</v>
      </c>
      <c r="F54" s="1514" t="e">
        <f ca="1">IF(D40="","",IF(D54="","",_xll.ciqfunctions.udf.CIQ(D42,"IQ_BUS_SEG_REV", H41, Valuation_date, ReportType,DataMode, F42,FXMode, $C54)*Scale))</f>
        <v>#NAME?</v>
      </c>
      <c r="G54" s="1575" t="e">
        <f ca="1">IF(D54="","",IFERROR(F54/F61,"n/a"))</f>
        <v>#NAME?</v>
      </c>
      <c r="H54" s="1575" t="e">
        <f t="shared" ca="1" si="3"/>
        <v>#NAME?</v>
      </c>
      <c r="I54" s="1576" t="e">
        <f ca="1">IF(D40="","",IF(D54="","",_xll.ciqfunctions.udf.CIQ(D42,"IQ_BUS_SEG_DESCRIPTION", H41, Valuation_date, , , , , $C54)))</f>
        <v>#NAME?</v>
      </c>
      <c r="J54" s="1574"/>
      <c r="K54" s="1509"/>
      <c r="L54" s="2060"/>
      <c r="M54" s="2060"/>
      <c r="O54" s="2060"/>
    </row>
    <row r="55" spans="1:15">
      <c r="A55" s="1518" t="e">
        <f t="shared" ca="1" si="2"/>
        <v>#NAME?</v>
      </c>
      <c r="B55" s="1518"/>
      <c r="C55" s="654">
        <v>10</v>
      </c>
      <c r="D55" s="656" t="e">
        <f ca="1">IF(D40="","",IF(ISNUMBER(_xll.ciqfunctions.udf.CIQ(D42,"IQ_BUS_SEG_NAME", H41, Valuation_date, , , , , $C55)),"",_xll.ciqfunctions.udf.CIQ(D42,"IQ_BUS_SEG_NAME", H41, Valuation_date, , , , , $C55)))</f>
        <v>#NAME?</v>
      </c>
      <c r="E55" s="1569" t="e">
        <f ca="1">IF(D40="","",IF(D55="","",_xll.ciqfunctions.udf.CIQ(D42,"IQ_BUS_SEG_REV", H41-1, Valuation_date, ReportType,DataMode, F42,FXMode, C55)*Scale))</f>
        <v>#NAME?</v>
      </c>
      <c r="F55" s="1514" t="e">
        <f ca="1">IF(D40="","",IF(D55="","",_xll.ciqfunctions.udf.CIQ(D42,"IQ_BUS_SEG_REV", H41, Valuation_date, ReportType,DataMode, F42,FXMode, $C55)*Scale))</f>
        <v>#NAME?</v>
      </c>
      <c r="G55" s="1575" t="e">
        <f ca="1">IF(D55="","",IFERROR(F55/F61,"n/a"))</f>
        <v>#NAME?</v>
      </c>
      <c r="H55" s="1575" t="e">
        <f t="shared" ca="1" si="3"/>
        <v>#NAME?</v>
      </c>
      <c r="I55" s="1576" t="e">
        <f ca="1">IF(D41="","",IF(D55="","",_xll.ciqfunctions.udf.CIQ(D43,"IQ_BUS_SEG_DESCRIPTION", H42, Valuation_date, , , , , $C55)))</f>
        <v>#NAME?</v>
      </c>
      <c r="J55" s="393"/>
      <c r="K55" s="1509"/>
      <c r="L55" s="2060"/>
      <c r="M55" s="2060"/>
      <c r="N55" s="1508"/>
      <c r="O55" s="2060"/>
    </row>
    <row r="56" spans="1:15">
      <c r="A56" s="1518" t="e">
        <f t="shared" ca="1" si="2"/>
        <v>#NAME?</v>
      </c>
      <c r="B56" s="1518"/>
      <c r="C56" s="654">
        <v>11</v>
      </c>
      <c r="D56" s="656" t="e">
        <f ca="1">IF(D40="","",IF(ISNUMBER(_xll.ciqfunctions.udf.CIQ(D42,"IQ_BUS_SEG_NAME", H41, Valuation_date, , , , , $C56)),"",_xll.ciqfunctions.udf.CIQ(D42,"IQ_BUS_SEG_NAME", H41, Valuation_date, , , , , $C56)))</f>
        <v>#NAME?</v>
      </c>
      <c r="E56" s="1569" t="e">
        <f ca="1">IF(D40="","",IF(D56="","",_xll.ciqfunctions.udf.CIQ(D42,"IQ_BUS_SEG_REV", H41-1, Valuation_date, ReportType,DataMode, F42,FXMode, C56)*Scale))</f>
        <v>#NAME?</v>
      </c>
      <c r="F56" s="1514" t="e">
        <f ca="1">IF(D40="","",IF(D56="","",_xll.ciqfunctions.udf.CIQ(D42,"IQ_BUS_SEG_REV", H41, Valuation_date, ReportType,DataMode, F42,FXMode, $C56)*Scale))</f>
        <v>#NAME?</v>
      </c>
      <c r="G56" s="1575" t="e">
        <f ca="1">IF(D56="","",IFERROR(F56/F61,"n/a"))</f>
        <v>#NAME?</v>
      </c>
      <c r="H56" s="1575" t="e">
        <f t="shared" ca="1" si="3"/>
        <v>#NAME?</v>
      </c>
      <c r="I56" s="1576" t="e">
        <f ca="1">IF(D40="","",IF(D56="","",_xll.ciqfunctions.udf.CIQ(D42,"IQ_BUS_SEG_DESCRIPTION", H41, Valuation_date, , , , , $C56)))</f>
        <v>#NAME?</v>
      </c>
      <c r="J56" s="1574"/>
      <c r="K56" s="1509"/>
      <c r="L56" s="2060"/>
      <c r="M56" s="2060"/>
      <c r="N56" s="1508"/>
      <c r="O56" s="2060"/>
    </row>
    <row r="57" spans="1:15">
      <c r="A57" s="1518" t="e">
        <f t="shared" ca="1" si="2"/>
        <v>#NAME?</v>
      </c>
      <c r="B57" s="1518"/>
      <c r="C57" s="654">
        <v>12</v>
      </c>
      <c r="D57" s="656" t="e">
        <f ca="1">IF(D40="","",IF(ISNUMBER(_xll.ciqfunctions.udf.CIQ(D42,"IQ_BUS_SEG_NAME", H41, Valuation_date, , , , , $C57)),"",_xll.ciqfunctions.udf.CIQ(D42,"IQ_BUS_SEG_NAME", H41, Valuation_date, , , , , $C57)))</f>
        <v>#NAME?</v>
      </c>
      <c r="E57" s="1569" t="e">
        <f ca="1">IF(D40="","",IF(D57="","",_xll.ciqfunctions.udf.CIQ(D42,"IQ_BUS_SEG_REV", H41-1, Valuation_date, ReportType,DataMode, F42,FXMode, C57)*Scale))</f>
        <v>#NAME?</v>
      </c>
      <c r="F57" s="1514" t="e">
        <f ca="1">IF(D40="","",IF(D57="","",_xll.ciqfunctions.udf.CIQ(D42,"IQ_BUS_SEG_REV", H41, Valuation_date, ReportType,DataMode, F42,FXMode, $C57)*Scale))</f>
        <v>#NAME?</v>
      </c>
      <c r="G57" s="1575" t="e">
        <f ca="1">IF(D57="","",IFERROR(F57/F61,"n/a"))</f>
        <v>#NAME?</v>
      </c>
      <c r="H57" s="1575" t="e">
        <f t="shared" ca="1" si="3"/>
        <v>#NAME?</v>
      </c>
      <c r="I57" s="1576" t="e">
        <f ca="1">IF(D40="","",IF(D57="","",_xll.ciqfunctions.udf.CIQ(D42,"IQ_BUS_SEG_DESCRIPTION", H41, Valuation_date, , , , , $C57)))</f>
        <v>#NAME?</v>
      </c>
      <c r="J57" s="1574"/>
      <c r="K57" s="1509"/>
      <c r="L57" s="2060"/>
      <c r="M57" s="2060"/>
      <c r="N57" s="1508"/>
      <c r="O57" s="2060"/>
    </row>
    <row r="58" spans="1:15">
      <c r="A58" s="1518" t="e">
        <f t="shared" ca="1" si="2"/>
        <v>#NAME?</v>
      </c>
      <c r="B58" s="1518"/>
      <c r="C58" s="654">
        <v>13</v>
      </c>
      <c r="D58" s="656" t="e">
        <f ca="1">IF(D40="","",IF(ISNUMBER(_xll.ciqfunctions.udf.CIQ(D42,"IQ_BUS_SEG_NAME", H41, Valuation_date, , , , , $C58)),"",_xll.ciqfunctions.udf.CIQ(D42,"IQ_BUS_SEG_NAME", H41, Valuation_date, , , , , $C58)))</f>
        <v>#NAME?</v>
      </c>
      <c r="E58" s="1569" t="e">
        <f ca="1">IF(D40="","",IF(D58="","",_xll.ciqfunctions.udf.CIQ(D42,"IQ_BUS_SEG_REV", H41-1, Valuation_date, ReportType,DataMode, F42,FXMode, C58)*Scale))</f>
        <v>#NAME?</v>
      </c>
      <c r="F58" s="1514" t="e">
        <f ca="1">IF(D40="","",IF(D58="","",_xll.ciqfunctions.udf.CIQ(D42,"IQ_BUS_SEG_REV", H41, Valuation_date, ReportType,DataMode, F42,FXMode, $C58)*Scale))</f>
        <v>#NAME?</v>
      </c>
      <c r="G58" s="1575" t="e">
        <f ca="1">IF(D58="","",IFERROR(F58/F61,"n/a"))</f>
        <v>#NAME?</v>
      </c>
      <c r="H58" s="1575" t="e">
        <f t="shared" ca="1" si="3"/>
        <v>#NAME?</v>
      </c>
      <c r="I58" s="1576" t="e">
        <f ca="1">IF(D40="","",IF(D58="","",_xll.ciqfunctions.udf.CIQ(D42,"IQ_BUS_SEG_DESCRIPTION", H41, Valuation_date, , , , , $C58)))</f>
        <v>#NAME?</v>
      </c>
      <c r="J58" s="1574"/>
      <c r="K58" s="1509"/>
      <c r="L58" s="2060"/>
      <c r="M58" s="2060"/>
      <c r="N58" s="1508"/>
      <c r="O58" s="2060"/>
    </row>
    <row r="59" spans="1:15">
      <c r="A59" s="1518" t="e">
        <f ca="1">IF(D59="","n","")</f>
        <v>#NAME?</v>
      </c>
      <c r="B59" s="1518"/>
      <c r="C59" s="654">
        <v>14</v>
      </c>
      <c r="D59" s="656" t="e">
        <f ca="1">IF(D40="","",IF(ISNUMBER(_xll.ciqfunctions.udf.CIQ(D42,"IQ_BUS_SEG_NAME", H41, Valuation_date, , , , , $C59)),"",_xll.ciqfunctions.udf.CIQ(D42,"IQ_BUS_SEG_NAME", H41, Valuation_date, , , , , $C59)))</f>
        <v>#NAME?</v>
      </c>
      <c r="E59" s="1569" t="e">
        <f ca="1">IF(D40="","",IF(D59="","",_xll.ciqfunctions.udf.CIQ(D42,"IQ_BUS_SEG_REV", H41-1, Valuation_date, ReportType,DataMode, F42,FXMode, C59)*Scale))</f>
        <v>#NAME?</v>
      </c>
      <c r="F59" s="1514" t="e">
        <f ca="1">IF(D40="","",IF(D59="","",_xll.ciqfunctions.udf.CIQ(D42,"IQ_BUS_SEG_REV", H41, Valuation_date, ReportType,DataMode, F42,FXMode, $C59)*Scale))</f>
        <v>#NAME?</v>
      </c>
      <c r="G59" s="1575" t="e">
        <f ca="1">IF(D59="","",IFERROR(F59/F61,"n/a"))</f>
        <v>#NAME?</v>
      </c>
      <c r="H59" s="1575" t="e">
        <f t="shared" ca="1" si="3"/>
        <v>#NAME?</v>
      </c>
      <c r="I59" s="1576" t="e">
        <f ca="1">IF(D40="","",IF(D59="","",_xll.ciqfunctions.udf.CIQ(D42,"IQ_BUS_SEG_DESCRIPTION", H41, Valuation_date, , , , , $C59)))</f>
        <v>#NAME?</v>
      </c>
      <c r="J59" s="1574"/>
      <c r="K59" s="1509"/>
      <c r="L59" s="2060"/>
      <c r="M59" s="2060"/>
      <c r="N59" s="1508"/>
      <c r="O59" s="2060"/>
    </row>
    <row r="60" spans="1:15">
      <c r="A60" s="1518" t="e">
        <f ca="1">IF(D60="","n","")</f>
        <v>#NAME?</v>
      </c>
      <c r="B60" s="1518"/>
      <c r="C60" s="654">
        <v>15</v>
      </c>
      <c r="D60" s="656" t="e">
        <f ca="1">IF(D40="","",IF(ISNUMBER(_xll.ciqfunctions.udf.CIQ(D42,"IQ_BUS_SEG_NAME", H41, Valuation_date, , , , , $C60)),"",_xll.ciqfunctions.udf.CIQ(D42,"IQ_BUS_SEG_NAME", H41, Valuation_date, , , , , $C60)))</f>
        <v>#NAME?</v>
      </c>
      <c r="E60" s="1569" t="e">
        <f ca="1">IF(D40="","",IF(D60="","",_xll.ciqfunctions.udf.CIQ(D42,"IQ_BUS_SEG_REV", H41-1, Valuation_date, ReportType,DataMode, F42,FXMode, C60)*Scale))</f>
        <v>#NAME?</v>
      </c>
      <c r="F60" s="1514" t="e">
        <f ca="1">IF(D40="","",IF(D60="","",_xll.ciqfunctions.udf.CIQ(D42,"IQ_BUS_SEG_REV", H41, Valuation_date, ReportType,DataMode, F42,FXMode, $C60)*Scale))</f>
        <v>#NAME?</v>
      </c>
      <c r="G60" s="1575" t="e">
        <f ca="1">IF(D60="","",IFERROR(F60/F61,"n/a"))</f>
        <v>#NAME?</v>
      </c>
      <c r="H60" s="1575" t="e">
        <f t="shared" ca="1" si="3"/>
        <v>#NAME?</v>
      </c>
      <c r="I60" s="1576" t="e">
        <f ca="1">IF(D40="","",IF(D60="","",_xll.ciqfunctions.udf.CIQ(D42,"IQ_BUS_SEG_DESCRIPTION", H41, Valuation_date, , , , , $C60)))</f>
        <v>#NAME?</v>
      </c>
      <c r="J60" s="1574"/>
      <c r="K60" s="1509"/>
      <c r="L60" s="2060"/>
      <c r="M60" s="2060"/>
      <c r="N60" s="1508"/>
      <c r="O60" s="2060"/>
    </row>
    <row r="61" spans="1:15" ht="14.45" thickBot="1">
      <c r="A61" s="1518"/>
      <c r="B61" s="1518"/>
      <c r="C61" s="1572"/>
      <c r="D61" s="658" t="s">
        <v>1248</v>
      </c>
      <c r="E61" s="967" t="e">
        <f ca="1">SUM(E46:E60)</f>
        <v>#NAME?</v>
      </c>
      <c r="F61" s="658" t="e">
        <f ca="1">SUM(F46:F60)</f>
        <v>#NAME?</v>
      </c>
      <c r="G61" s="2257" t="e">
        <f ca="1">SUM(G46:G60)</f>
        <v>#NAME?</v>
      </c>
      <c r="H61" s="2257" t="str">
        <f ca="1">IF(D61="","",IFERROR(F61/E61-1,"n/a"))</f>
        <v>n/a</v>
      </c>
      <c r="I61" s="1571"/>
      <c r="J61" s="1574"/>
      <c r="K61" s="1509"/>
      <c r="L61" s="2060"/>
      <c r="M61" s="2060"/>
      <c r="N61" s="1508"/>
      <c r="O61" s="2060"/>
    </row>
    <row r="62" spans="1:15">
      <c r="A62" s="1518"/>
      <c r="B62" s="1518"/>
      <c r="C62" s="1572"/>
      <c r="D62" s="1514"/>
      <c r="E62" s="674"/>
      <c r="F62" s="1575"/>
      <c r="G62" s="1514"/>
      <c r="H62" s="1575"/>
      <c r="I62" s="1571"/>
      <c r="J62" s="1574"/>
      <c r="K62" s="1509"/>
      <c r="L62" s="2060"/>
      <c r="M62" s="2060"/>
      <c r="N62" s="1508"/>
      <c r="O62" s="2060"/>
    </row>
    <row r="63" spans="1:15" s="1508" customFormat="1">
      <c r="A63" s="1518"/>
      <c r="B63" s="1518"/>
      <c r="C63" s="1572"/>
      <c r="D63" s="1514" t="s">
        <v>1707</v>
      </c>
      <c r="E63" s="1579"/>
      <c r="F63" s="1575"/>
      <c r="G63" s="1514"/>
      <c r="H63" s="1575"/>
      <c r="I63" s="1571"/>
      <c r="J63" s="1574"/>
      <c r="K63" s="1509"/>
      <c r="L63" s="2060"/>
      <c r="M63" s="2060"/>
      <c r="O63" s="2060"/>
    </row>
    <row r="64" spans="1:15">
      <c r="A64" s="1518"/>
      <c r="B64" s="1518"/>
      <c r="C64" s="1572"/>
      <c r="D64" s="1514" t="s">
        <v>1402</v>
      </c>
      <c r="E64" s="674"/>
      <c r="F64" s="1575"/>
      <c r="G64" s="1514"/>
      <c r="H64" s="1575"/>
      <c r="I64" s="1571"/>
      <c r="J64" s="1574"/>
      <c r="K64" s="1509"/>
      <c r="L64" s="2060"/>
      <c r="M64" s="2060"/>
      <c r="N64" s="1508"/>
      <c r="O64" s="2060"/>
    </row>
    <row r="65" spans="1:26">
      <c r="A65" s="1518"/>
      <c r="B65" s="1518"/>
      <c r="C65" s="1572"/>
      <c r="D65" s="1538"/>
      <c r="E65" s="614"/>
      <c r="F65" s="1538"/>
      <c r="G65" s="1538"/>
      <c r="H65" s="1538"/>
      <c r="I65" s="1571"/>
      <c r="J65" s="1538"/>
      <c r="K65" s="1509"/>
      <c r="L65" s="2060"/>
      <c r="M65" s="2060"/>
      <c r="N65" s="2060"/>
      <c r="O65" s="2060"/>
      <c r="P65" s="2060"/>
      <c r="Q65" s="2060"/>
      <c r="R65" s="2060"/>
      <c r="S65" s="2060"/>
      <c r="T65" s="1508"/>
      <c r="U65" s="1508"/>
      <c r="V65" s="1508"/>
      <c r="W65" s="1508"/>
      <c r="X65" s="1508"/>
      <c r="Y65" s="1508"/>
      <c r="Z65" s="1508"/>
    </row>
    <row r="66" spans="1:26" s="178" customFormat="1" ht="13.5" customHeight="1">
      <c r="A66" s="1510"/>
      <c r="B66" s="1510"/>
      <c r="C66" s="387"/>
      <c r="D66" s="1513" t="str">
        <f ca="1">FootnoteDRAFT</f>
        <v>Run date: 05-August-2018  02:34 PM.   DRAFT document. All data subject to change upon completion of additional analysis.</v>
      </c>
      <c r="E66" s="1567"/>
      <c r="F66" s="373"/>
      <c r="G66" s="1513"/>
      <c r="H66" s="1513"/>
      <c r="I66" s="1562"/>
      <c r="J66" s="1512"/>
      <c r="K66" s="1509"/>
      <c r="L66" s="2060"/>
      <c r="M66" s="2060"/>
      <c r="N66" s="2060"/>
      <c r="O66" s="2060"/>
      <c r="P66" s="2060"/>
      <c r="Q66" s="2060"/>
      <c r="R66" s="2060"/>
      <c r="S66" s="2060"/>
      <c r="T66" s="2060"/>
      <c r="U66" s="2060"/>
      <c r="V66" s="2060"/>
      <c r="W66" s="2060"/>
      <c r="X66" s="2060"/>
      <c r="Y66" s="2060"/>
      <c r="Z66" s="2060"/>
    </row>
    <row r="67" spans="1:26" s="178" customFormat="1">
      <c r="A67" s="1510" t="s">
        <v>17</v>
      </c>
      <c r="B67" s="1510"/>
      <c r="C67" s="1510"/>
      <c r="D67" s="1510"/>
      <c r="E67" s="683"/>
      <c r="F67" s="1510"/>
      <c r="G67" s="1510"/>
      <c r="H67" s="1510"/>
      <c r="I67" s="1547"/>
      <c r="J67" s="1546" t="str">
        <f ca="1">IF(D75="","Page end","Continue")</f>
        <v>Continue</v>
      </c>
      <c r="K67" s="1510"/>
      <c r="L67" s="2060"/>
      <c r="M67" s="2060"/>
      <c r="N67" s="2060"/>
      <c r="O67" s="2060"/>
      <c r="P67" s="2060"/>
      <c r="Q67" s="2060"/>
      <c r="R67" s="2060"/>
      <c r="S67" s="2060"/>
      <c r="T67" s="2060"/>
      <c r="U67" s="2060"/>
      <c r="V67" s="2060"/>
      <c r="W67" s="2060"/>
      <c r="X67" s="2060"/>
      <c r="Y67" s="2060"/>
      <c r="Z67" s="2060"/>
    </row>
    <row r="68" spans="1:26" ht="18" customHeight="1">
      <c r="A68" s="1518"/>
      <c r="B68" s="1518"/>
      <c r="C68" s="292" t="str">
        <f ca="1">D73</f>
        <v>n/a</v>
      </c>
      <c r="D68" s="172"/>
      <c r="E68" s="674"/>
      <c r="F68" s="172"/>
      <c r="G68" s="172"/>
      <c r="H68" s="172"/>
      <c r="I68" s="1522"/>
      <c r="J68" s="389" t="str">
        <f>$J$1&amp;"."&amp;C73&amp;""</f>
        <v>Workpaper 6.2</v>
      </c>
      <c r="K68" s="1509"/>
      <c r="L68" s="1508"/>
      <c r="M68" s="2060"/>
      <c r="N68" s="1508"/>
      <c r="O68" s="2060"/>
      <c r="P68" s="1508"/>
      <c r="Q68" s="1508"/>
      <c r="R68" s="1508"/>
      <c r="S68" s="1508"/>
      <c r="T68" s="1508"/>
      <c r="U68" s="1508"/>
      <c r="V68" s="1508"/>
      <c r="W68" s="1508"/>
      <c r="X68" s="1508"/>
      <c r="Y68" s="1508"/>
      <c r="Z68" s="1508"/>
    </row>
    <row r="69" spans="1:26" ht="18" customHeight="1">
      <c r="A69" s="1518"/>
      <c r="B69" s="1518"/>
      <c r="C69" s="839" t="s">
        <v>1699</v>
      </c>
      <c r="D69" s="172"/>
      <c r="E69" s="674"/>
      <c r="F69" s="172"/>
      <c r="G69" s="172"/>
      <c r="H69" s="172"/>
      <c r="I69" s="1522"/>
      <c r="J69" s="187"/>
      <c r="K69" s="1509"/>
      <c r="L69" s="1508"/>
      <c r="M69" s="2060"/>
      <c r="N69" s="1508"/>
      <c r="O69" s="2060"/>
      <c r="P69" s="1508"/>
      <c r="Q69" s="1508"/>
      <c r="R69" s="1508"/>
      <c r="S69" s="1508"/>
      <c r="T69" s="1508"/>
      <c r="U69" s="1508"/>
      <c r="V69" s="1508"/>
      <c r="W69" s="1508"/>
      <c r="X69" s="1508"/>
      <c r="Y69" s="1508"/>
      <c r="Z69" s="1508"/>
    </row>
    <row r="70" spans="1:26" ht="18" customHeight="1">
      <c r="A70" s="1518"/>
      <c r="B70" s="1518"/>
      <c r="C70" s="366" t="str">
        <f ca="1">"(" &amp;F75&amp;" in "&amp;ScaleInput&amp;")"</f>
        <v>(USD in Millions)</v>
      </c>
      <c r="D70" s="1508"/>
      <c r="E70" s="170"/>
      <c r="F70" s="170"/>
      <c r="G70" s="170"/>
      <c r="H70" s="170"/>
      <c r="I70" s="1521"/>
      <c r="J70" s="1508"/>
      <c r="K70" s="1509"/>
      <c r="L70" s="1508"/>
      <c r="M70" s="2060"/>
      <c r="N70" s="1508"/>
      <c r="O70" s="2060"/>
      <c r="P70" s="1508"/>
      <c r="Q70" s="1508"/>
      <c r="R70" s="1508"/>
      <c r="S70" s="1508"/>
      <c r="T70" s="1508"/>
      <c r="U70" s="1508"/>
      <c r="V70" s="1508"/>
      <c r="W70" s="1508"/>
      <c r="X70" s="1508"/>
      <c r="Y70" s="1508"/>
      <c r="Z70" s="1508"/>
    </row>
    <row r="71" spans="1:26" ht="18" customHeight="1">
      <c r="A71" s="1518"/>
      <c r="B71" s="1518"/>
      <c r="C71" s="366"/>
      <c r="D71" s="1508"/>
      <c r="E71" s="172"/>
      <c r="F71" s="172"/>
      <c r="G71" s="172"/>
      <c r="H71" s="172"/>
      <c r="I71" s="1522"/>
      <c r="J71" s="1508"/>
      <c r="K71" s="1509"/>
      <c r="L71" s="1508"/>
      <c r="M71" s="2060"/>
      <c r="N71" s="1508"/>
      <c r="O71" s="2060"/>
      <c r="P71" s="1508"/>
      <c r="Q71" s="1508"/>
      <c r="R71" s="1508"/>
      <c r="S71" s="1508"/>
      <c r="T71" s="1508"/>
      <c r="U71" s="1508"/>
      <c r="V71" s="1508"/>
      <c r="W71" s="1508"/>
      <c r="X71" s="1508"/>
      <c r="Y71" s="1508"/>
      <c r="Z71" s="1508"/>
    </row>
    <row r="72" spans="1:26">
      <c r="A72" s="1518"/>
      <c r="B72" s="1518"/>
      <c r="C72" s="225"/>
      <c r="D72" s="1508"/>
      <c r="E72" s="1508"/>
      <c r="F72" s="1508"/>
      <c r="G72" s="1508"/>
      <c r="H72" s="1508"/>
      <c r="I72" s="1515"/>
      <c r="J72" s="1508"/>
      <c r="K72" s="1509"/>
      <c r="L72" s="1508"/>
      <c r="M72" s="2060"/>
      <c r="N72" s="1508"/>
      <c r="O72" s="2060"/>
      <c r="P72" s="1508"/>
      <c r="Q72" s="1508"/>
      <c r="R72" s="1508"/>
      <c r="S72" s="1508"/>
      <c r="T72" s="1508"/>
      <c r="U72" s="1508"/>
      <c r="V72" s="1508"/>
      <c r="W72" s="1508"/>
      <c r="X72" s="1508"/>
      <c r="Y72" s="1508"/>
      <c r="Z72" s="1508"/>
    </row>
    <row r="73" spans="1:26">
      <c r="A73" s="1518"/>
      <c r="B73" s="1518"/>
      <c r="C73" s="653">
        <v>2</v>
      </c>
      <c r="D73" s="179" t="str">
        <f ca="1">IF(D75=0,"n/a",IFERROR(_xll.ciqfunctions.udf.CIQ(D75,"IQ_COMPANY_NAME"),"n/a"))</f>
        <v>n/a</v>
      </c>
      <c r="E73" s="1538"/>
      <c r="F73" s="1538"/>
      <c r="G73" s="1538"/>
      <c r="H73" s="1538"/>
      <c r="I73" s="1571"/>
      <c r="J73" s="1538"/>
      <c r="K73" s="1509"/>
      <c r="L73" s="1508"/>
      <c r="M73" s="2060"/>
      <c r="N73" s="1508"/>
      <c r="O73" s="2060"/>
      <c r="P73" s="1508"/>
      <c r="Q73" s="1508"/>
      <c r="R73" s="1508"/>
      <c r="S73" s="1508"/>
      <c r="T73" s="1508"/>
      <c r="U73" s="1508"/>
      <c r="V73" s="1508"/>
      <c r="W73" s="1508"/>
      <c r="X73" s="1508"/>
      <c r="Y73" s="1508"/>
      <c r="Z73" s="1508"/>
    </row>
    <row r="74" spans="1:26">
      <c r="A74" s="1518"/>
      <c r="B74" s="1518"/>
      <c r="C74" s="1572"/>
      <c r="D74" s="2258" t="s">
        <v>134</v>
      </c>
      <c r="E74" s="2246" t="s">
        <v>1708</v>
      </c>
      <c r="F74" s="2247" t="s">
        <v>167</v>
      </c>
      <c r="G74" s="2247" t="s">
        <v>1700</v>
      </c>
      <c r="H74" s="2248">
        <f>INDEX($W$9:$W$14,MATCH(H75,PeriodList,0))</f>
        <v>2000</v>
      </c>
      <c r="I74" s="1571"/>
      <c r="J74" s="217"/>
      <c r="K74" s="1509"/>
      <c r="L74" s="1508"/>
      <c r="M74" s="2060"/>
      <c r="N74" s="1508"/>
      <c r="O74" s="2060"/>
      <c r="P74" s="1508"/>
      <c r="Q74" s="1508"/>
      <c r="R74" s="1508"/>
      <c r="S74" s="1508"/>
      <c r="T74" s="1508"/>
      <c r="U74" s="1508"/>
      <c r="V74" s="1508"/>
      <c r="W74" s="1508"/>
      <c r="X74" s="1508"/>
      <c r="Y74" s="1508"/>
      <c r="Z74" s="1508"/>
    </row>
    <row r="75" spans="1:26" s="185" customFormat="1">
      <c r="A75" s="1518"/>
      <c r="B75" s="1518"/>
      <c r="C75" s="654"/>
      <c r="D75" s="2249">
        <f ca="1">OFFSET(GCIdentifierTop,C73,0)</f>
        <v>0</v>
      </c>
      <c r="E75" s="2250" t="str">
        <f ca="1">IF($D75="","",IFERROR(_xll.ciqfunctions.udf.CIQ($D75,"IQ_PERIODDATE",H74,Valuation_date),"n/a"))</f>
        <v>n/a</v>
      </c>
      <c r="F75" s="2251" t="str">
        <f ca="1">IFERROR(IF(C73=0,SubjOutputCurrencyCode,IF(D75="","",IF(OutputCurrency="Filing",_xll.ciqfunctions.udf.CIQ($D75,"IQ_FILING_CURRENCY",500,Valuation_date,ReportType,DataMode),OutputCurrency))),OutputCurrency)</f>
        <v>USD</v>
      </c>
      <c r="G75" s="2252" t="e">
        <f ca="1">IF(D73="","",_xll.ciqfunctions.udf.CIQ(D75,"IQ_TOTAL_REV", H74, Valuation_date,ReportType,DataMode,F75,FXMode))</f>
        <v>#NAME?</v>
      </c>
      <c r="H75" s="2260" t="str">
        <f>$H$9</f>
        <v>LTM/LFQ</v>
      </c>
      <c r="I75" s="1573"/>
      <c r="J75" s="392"/>
      <c r="K75" s="1509"/>
      <c r="M75" s="2060"/>
      <c r="O75" s="2060"/>
    </row>
    <row r="76" spans="1:26">
      <c r="A76" s="1518"/>
      <c r="B76" s="1518"/>
      <c r="C76" s="654"/>
      <c r="D76" s="1538"/>
      <c r="E76" s="1538"/>
      <c r="F76" s="1538"/>
      <c r="G76" s="1538"/>
      <c r="H76" s="1538"/>
      <c r="I76" s="1571"/>
      <c r="J76" s="655"/>
      <c r="K76" s="1509"/>
      <c r="L76" s="1508"/>
      <c r="M76" s="2060"/>
      <c r="N76" s="1508"/>
      <c r="O76" s="2060"/>
      <c r="P76" s="1508"/>
      <c r="Q76" s="1508"/>
      <c r="R76" s="1508"/>
      <c r="S76" s="1508"/>
      <c r="T76" s="1508"/>
      <c r="U76" s="1508"/>
      <c r="V76" s="1508"/>
      <c r="W76" s="1508"/>
      <c r="X76" s="1508"/>
      <c r="Y76" s="1508"/>
      <c r="Z76" s="1508"/>
    </row>
    <row r="77" spans="1:26">
      <c r="A77" s="1518"/>
      <c r="B77" s="1518"/>
      <c r="C77" s="654"/>
      <c r="D77" s="741"/>
      <c r="E77" s="744" t="e">
        <f ca="1">IF(D75="",Valuation_date,_xll.ciqfunctions.udf.CIQ(D75,"IQ_PERIODDATE",H74-IF(LEFT(H75,3)="LFY",1,4),Valuation_date))</f>
        <v>#NAME?</v>
      </c>
      <c r="F77" s="742" t="e">
        <f ca="1">IF(D75="",Valuation_date,_xll.ciqfunctions.udf.CIQ(D75,"IQ_PERIODDATE",H74,Valuation_date))</f>
        <v>#NAME?</v>
      </c>
      <c r="G77" s="741"/>
      <c r="H77" s="743" t="s">
        <v>1702</v>
      </c>
      <c r="I77" s="1587"/>
      <c r="J77" s="655"/>
      <c r="K77" s="1509"/>
      <c r="L77" s="1508"/>
      <c r="M77" s="2060"/>
      <c r="N77" s="1508"/>
      <c r="O77" s="2060"/>
      <c r="P77" s="1508"/>
      <c r="Q77" s="1508"/>
      <c r="R77" s="1508"/>
      <c r="S77" s="1508"/>
      <c r="T77" s="1508"/>
      <c r="U77" s="1508"/>
      <c r="V77" s="1508"/>
      <c r="W77" s="1508"/>
      <c r="X77" s="1508"/>
      <c r="Y77" s="1508"/>
      <c r="Z77" s="1508"/>
    </row>
    <row r="78" spans="1:26" s="151" customFormat="1">
      <c r="A78" s="1518"/>
      <c r="B78" s="1518"/>
      <c r="C78" s="654"/>
      <c r="D78" s="2254" t="s">
        <v>1703</v>
      </c>
      <c r="E78" s="2255" t="s">
        <v>1458</v>
      </c>
      <c r="F78" s="2255" t="s">
        <v>1458</v>
      </c>
      <c r="G78" s="2255" t="s">
        <v>1704</v>
      </c>
      <c r="H78" s="2255" t="s">
        <v>1705</v>
      </c>
      <c r="I78" s="2256" t="s">
        <v>1706</v>
      </c>
      <c r="J78" s="1574"/>
      <c r="K78" s="1509"/>
      <c r="L78" s="2060"/>
      <c r="M78" s="2060"/>
      <c r="O78" s="2060"/>
    </row>
    <row r="79" spans="1:26">
      <c r="A79" s="1518" t="e">
        <f t="shared" ref="A79:A91" ca="1" si="4">IF(D79="","n","")</f>
        <v>#NAME?</v>
      </c>
      <c r="B79" s="1518"/>
      <c r="C79" s="654">
        <v>1</v>
      </c>
      <c r="D79" s="656" t="e">
        <f ca="1">IF(D73="","",IF(ISNUMBER(_xll.ciqfunctions.udf.CIQ(D75,"IQ_BUS_SEG_NAME", H74, Valuation_date, , , , , $C79)),"",_xll.ciqfunctions.udf.CIQ(D75,"IQ_BUS_SEG_NAME", H74, Valuation_date, , , , , $C79)))</f>
        <v>#NAME?</v>
      </c>
      <c r="E79" s="1514" t="e">
        <f ca="1">IF(D73="","",IF(D79="","",_xll.ciqfunctions.udf.CIQ(D75,"IQ_BUS_SEG_REV", H74-1, Valuation_date, ReportType,DataMode, F75,FXMode, C79)*Scale))</f>
        <v>#NAME?</v>
      </c>
      <c r="F79" s="1514" t="e">
        <f ca="1">IF(D73="","",IF(D79="","",_xll.ciqfunctions.udf.CIQ(D75,"IQ_BUS_SEG_REV", H74, Valuation_date, ReportType,DataMode, F75,FXMode, $C79)*Scale))</f>
        <v>#NAME?</v>
      </c>
      <c r="G79" s="1575" t="e">
        <f ca="1">IF(D79="","",IFERROR(F79/F94,"n/a"))</f>
        <v>#NAME?</v>
      </c>
      <c r="H79" s="1575" t="e">
        <f ca="1">IF(D79="","",IFERROR(F79/E79-1,"n/a"))</f>
        <v>#NAME?</v>
      </c>
      <c r="I79" s="1576" t="e">
        <f ca="1">IF(D73="","",IF(D79="","",_xll.ciqfunctions.udf.CIQ(D75,"IQ_BUS_SEG_DESCRIPTION", H74, Valuation_date, , , , , $C79)))</f>
        <v>#NAME?</v>
      </c>
      <c r="J79" s="393"/>
      <c r="K79" s="1509"/>
      <c r="L79" s="2060"/>
      <c r="M79" s="2060"/>
      <c r="N79" s="1508"/>
      <c r="O79" s="2060"/>
      <c r="P79" s="1508"/>
      <c r="Q79" s="1508"/>
      <c r="R79" s="1508"/>
      <c r="S79" s="1508"/>
      <c r="T79" s="1508"/>
      <c r="U79" s="1508"/>
      <c r="V79" s="1508"/>
      <c r="W79" s="1508"/>
      <c r="X79" s="1508"/>
      <c r="Y79" s="1508"/>
      <c r="Z79" s="1508"/>
    </row>
    <row r="80" spans="1:26">
      <c r="A80" s="1518" t="e">
        <f t="shared" ca="1" si="4"/>
        <v>#NAME?</v>
      </c>
      <c r="B80" s="1518"/>
      <c r="C80" s="654">
        <v>2</v>
      </c>
      <c r="D80" s="656" t="e">
        <f ca="1">IF(D73="","",IF(ISNUMBER(_xll.ciqfunctions.udf.CIQ(D75,"IQ_BUS_SEG_NAME", H74, Valuation_date, , , , , $C80)),"",_xll.ciqfunctions.udf.CIQ(D75,"IQ_BUS_SEG_NAME", H74, Valuation_date, , , , , $C80)))</f>
        <v>#NAME?</v>
      </c>
      <c r="E80" s="1514" t="e">
        <f ca="1">IF(D73="","",IF(D80="","",_xll.ciqfunctions.udf.CIQ(D75,"IQ_BUS_SEG_REV", H74-1, Valuation_date, ReportType,DataMode, F75,FXMode, C80)*Scale))</f>
        <v>#NAME?</v>
      </c>
      <c r="F80" s="1514" t="e">
        <f ca="1">IF(D73="","",IF(D80="","",_xll.ciqfunctions.udf.CIQ(D75,"IQ_BUS_SEG_REV", H74, Valuation_date, ReportType,DataMode, F75,FXMode, $C80)*Scale))</f>
        <v>#NAME?</v>
      </c>
      <c r="G80" s="1575" t="e">
        <f ca="1">IF(D80="","",IFERROR(F80/F94,"n/a"))</f>
        <v>#NAME?</v>
      </c>
      <c r="H80" s="1575" t="e">
        <f t="shared" ref="H80:H93" ca="1" si="5">IF(D80="","",IFERROR(F80/E80-1,"n/a"))</f>
        <v>#NAME?</v>
      </c>
      <c r="I80" s="1576" t="e">
        <f ca="1">IF(D73="","",IF(D80="","",_xll.ciqfunctions.udf.CIQ(D75,"IQ_BUS_SEG_DESCRIPTION", H74, Valuation_date, , , , , $C80)))</f>
        <v>#NAME?</v>
      </c>
      <c r="J80" s="393"/>
      <c r="K80" s="1509"/>
      <c r="L80" s="2060"/>
      <c r="M80" s="2060"/>
      <c r="N80" s="1508"/>
      <c r="O80" s="2060"/>
      <c r="P80" s="1508"/>
      <c r="Q80" s="1508"/>
      <c r="R80" s="1508"/>
      <c r="S80" s="1508"/>
      <c r="T80" s="1508"/>
      <c r="U80" s="1508"/>
      <c r="V80" s="1508"/>
      <c r="W80" s="1508"/>
      <c r="X80" s="1508"/>
      <c r="Y80" s="1508"/>
      <c r="Z80" s="1508"/>
    </row>
    <row r="81" spans="1:15">
      <c r="A81" s="1518" t="e">
        <f t="shared" ca="1" si="4"/>
        <v>#NAME?</v>
      </c>
      <c r="B81" s="1518"/>
      <c r="C81" s="654">
        <v>3</v>
      </c>
      <c r="D81" s="656" t="e">
        <f ca="1">IF(D73="","",IF(ISNUMBER(_xll.ciqfunctions.udf.CIQ(D75,"IQ_BUS_SEG_NAME", H74, Valuation_date, , , , , $C81)),"",_xll.ciqfunctions.udf.CIQ(D75,"IQ_BUS_SEG_NAME", H74, Valuation_date, , , , , $C81)))</f>
        <v>#NAME?</v>
      </c>
      <c r="E81" s="1514" t="e">
        <f ca="1">IF(D73="","",IF(D81="","",_xll.ciqfunctions.udf.CIQ(D75,"IQ_BUS_SEG_REV", H74-1, Valuation_date, ReportType,DataMode, F75,FXMode, C81)*Scale))</f>
        <v>#NAME?</v>
      </c>
      <c r="F81" s="1514" t="e">
        <f ca="1">IF(D73="","",IF(D81="","",_xll.ciqfunctions.udf.CIQ(D75,"IQ_BUS_SEG_REV", H74, Valuation_date, ReportType,DataMode, F75,FXMode, $C81)*Scale))</f>
        <v>#NAME?</v>
      </c>
      <c r="G81" s="1575" t="e">
        <f ca="1">IF(D81="","",IFERROR(F81/F94,"n/a"))</f>
        <v>#NAME?</v>
      </c>
      <c r="H81" s="1575" t="e">
        <f t="shared" ca="1" si="5"/>
        <v>#NAME?</v>
      </c>
      <c r="I81" s="1576" t="e">
        <f ca="1">IF(D73="","",IF(D81="","",_xll.ciqfunctions.udf.CIQ(D75,"IQ_BUS_SEG_DESCRIPTION", H74, Valuation_date, , , , , $C81)))</f>
        <v>#NAME?</v>
      </c>
      <c r="J81" s="393"/>
      <c r="K81" s="1509"/>
      <c r="L81" s="2060"/>
      <c r="M81" s="2060"/>
      <c r="N81" s="1508"/>
      <c r="O81" s="2060"/>
    </row>
    <row r="82" spans="1:15">
      <c r="A82" s="1518" t="e">
        <f t="shared" ca="1" si="4"/>
        <v>#NAME?</v>
      </c>
      <c r="B82" s="1518"/>
      <c r="C82" s="654">
        <v>4</v>
      </c>
      <c r="D82" s="656" t="e">
        <f ca="1">IF(D73="","",IF(ISNUMBER(_xll.ciqfunctions.udf.CIQ(D75,"IQ_BUS_SEG_NAME", H74, Valuation_date, , , , , $C82)),"",_xll.ciqfunctions.udf.CIQ(D75,"IQ_BUS_SEG_NAME", H74, Valuation_date, , , , , $C82)))</f>
        <v>#NAME?</v>
      </c>
      <c r="E82" s="1514" t="e">
        <f ca="1">IF(D73="","",IF(D82="","",_xll.ciqfunctions.udf.CIQ(D75,"IQ_BUS_SEG_REV", H74-1, Valuation_date, ReportType,DataMode, F75,FXMode, C82)*Scale))</f>
        <v>#NAME?</v>
      </c>
      <c r="F82" s="1514" t="e">
        <f ca="1">IF(D73="","",IF(D82="","",_xll.ciqfunctions.udf.CIQ(D75,"IQ_BUS_SEG_REV", H74, Valuation_date, ReportType,DataMode, F75,FXMode, $C82)*Scale))</f>
        <v>#NAME?</v>
      </c>
      <c r="G82" s="1575" t="e">
        <f ca="1">IF(D82="","",IFERROR(F82/F94,"n/a"))</f>
        <v>#NAME?</v>
      </c>
      <c r="H82" s="1575" t="e">
        <f t="shared" ca="1" si="5"/>
        <v>#NAME?</v>
      </c>
      <c r="I82" s="1576" t="e">
        <f ca="1">IF(D73="","",IF(D82="","",_xll.ciqfunctions.udf.CIQ(D75,"IQ_BUS_SEG_DESCRIPTION", H74, Valuation_date, , , , , $C82)))</f>
        <v>#NAME?</v>
      </c>
      <c r="J82" s="393"/>
      <c r="K82" s="1509"/>
      <c r="L82" s="2060"/>
      <c r="M82" s="2060"/>
      <c r="N82" s="1508"/>
      <c r="O82" s="2060"/>
    </row>
    <row r="83" spans="1:15">
      <c r="A83" s="1518" t="e">
        <f t="shared" ca="1" si="4"/>
        <v>#NAME?</v>
      </c>
      <c r="B83" s="1518"/>
      <c r="C83" s="654">
        <v>5</v>
      </c>
      <c r="D83" s="656" t="e">
        <f ca="1">IF(D73="","",IF(ISNUMBER(_xll.ciqfunctions.udf.CIQ(D75,"IQ_BUS_SEG_NAME", H74, Valuation_date, , , , , $C83)),"",_xll.ciqfunctions.udf.CIQ(D75,"IQ_BUS_SEG_NAME", H74, Valuation_date, , , , , $C83)))</f>
        <v>#NAME?</v>
      </c>
      <c r="E83" s="1514" t="e">
        <f ca="1">IF(D73="","",IF(D83="","",_xll.ciqfunctions.udf.CIQ(D75,"IQ_BUS_SEG_REV", H74-1, Valuation_date, ReportType,DataMode, F75,FXMode, C83)*Scale))</f>
        <v>#NAME?</v>
      </c>
      <c r="F83" s="1514" t="e">
        <f ca="1">IF(D73="","",IF(D83="","",_xll.ciqfunctions.udf.CIQ(D75,"IQ_BUS_SEG_REV", H74, Valuation_date, ReportType,DataMode, F75,FXMode, $C83)*Scale))</f>
        <v>#NAME?</v>
      </c>
      <c r="G83" s="1575" t="e">
        <f ca="1">IF(D83="","",IFERROR(F83/F94,"n/a"))</f>
        <v>#NAME?</v>
      </c>
      <c r="H83" s="1575" t="e">
        <f t="shared" ca="1" si="5"/>
        <v>#NAME?</v>
      </c>
      <c r="I83" s="1576" t="e">
        <f ca="1">IF(D73="","",IF(D83="","",_xll.ciqfunctions.udf.CIQ(D75,"IQ_BUS_SEG_DESCRIPTION", H74, Valuation_date, , , , , $C83)))</f>
        <v>#NAME?</v>
      </c>
      <c r="J83" s="657"/>
      <c r="K83" s="1509"/>
      <c r="L83" s="2060"/>
      <c r="M83" s="2060"/>
      <c r="N83" s="1508"/>
      <c r="O83" s="2060"/>
    </row>
    <row r="84" spans="1:15">
      <c r="A84" s="1518" t="e">
        <f t="shared" ca="1" si="4"/>
        <v>#NAME?</v>
      </c>
      <c r="B84" s="1518"/>
      <c r="C84" s="654">
        <v>6</v>
      </c>
      <c r="D84" s="656" t="e">
        <f ca="1">IF(D73="","",IF(ISNUMBER(_xll.ciqfunctions.udf.CIQ(D75,"IQ_BUS_SEG_NAME", H74, Valuation_date, , , , , $C84)),"",_xll.ciqfunctions.udf.CIQ(D75,"IQ_BUS_SEG_NAME", H74, Valuation_date, , , , , $C84)))</f>
        <v>#NAME?</v>
      </c>
      <c r="E84" s="1514" t="e">
        <f ca="1">IF(D73="","",IF(D84="","",_xll.ciqfunctions.udf.CIQ(D75,"IQ_BUS_SEG_REV", H74-1, Valuation_date, ReportType,DataMode, F75,FXMode, C84)*Scale))</f>
        <v>#NAME?</v>
      </c>
      <c r="F84" s="1514" t="e">
        <f ca="1">IF(D73="","",IF(D84="","",_xll.ciqfunctions.udf.CIQ(D75,"IQ_BUS_SEG_REV", H74, Valuation_date, ReportType,DataMode, F75,FXMode, $C84)*Scale))</f>
        <v>#NAME?</v>
      </c>
      <c r="G84" s="1575" t="e">
        <f ca="1">IF(D84="","",IFERROR(F84/F94,"n/a"))</f>
        <v>#NAME?</v>
      </c>
      <c r="H84" s="1575" t="e">
        <f t="shared" ca="1" si="5"/>
        <v>#NAME?</v>
      </c>
      <c r="I84" s="1576" t="e">
        <f ca="1">IF(D73="","",IF(D84="","",_xll.ciqfunctions.udf.CIQ(D75,"IQ_BUS_SEG_DESCRIPTION", H74, Valuation_date, , , , , $C84)))</f>
        <v>#NAME?</v>
      </c>
      <c r="J84" s="657"/>
      <c r="K84" s="1509"/>
      <c r="L84" s="2060"/>
      <c r="M84" s="2060"/>
      <c r="N84" s="1508"/>
      <c r="O84" s="2060"/>
    </row>
    <row r="85" spans="1:15">
      <c r="A85" s="1518" t="e">
        <f t="shared" ca="1" si="4"/>
        <v>#NAME?</v>
      </c>
      <c r="B85" s="1518"/>
      <c r="C85" s="654">
        <v>7</v>
      </c>
      <c r="D85" s="656" t="e">
        <f ca="1">IF(D73="","",IF(ISNUMBER(_xll.ciqfunctions.udf.CIQ(D75,"IQ_BUS_SEG_NAME", H74, Valuation_date, , , , , $C85)),"",_xll.ciqfunctions.udf.CIQ(D75,"IQ_BUS_SEG_NAME", H74, Valuation_date, , , , , $C85)))</f>
        <v>#NAME?</v>
      </c>
      <c r="E85" s="1514" t="e">
        <f ca="1">IF(D73="","",IF(D85="","",_xll.ciqfunctions.udf.CIQ(D75,"IQ_BUS_SEG_REV", H74-1, Valuation_date, ReportType,DataMode, F75,FXMode, C85)*Scale))</f>
        <v>#NAME?</v>
      </c>
      <c r="F85" s="1514" t="e">
        <f ca="1">IF(D73="","",IF(D85="","",_xll.ciqfunctions.udf.CIQ(D75,"IQ_BUS_SEG_REV", H74, Valuation_date, ReportType,DataMode, F75,FXMode, $C85)*Scale))</f>
        <v>#NAME?</v>
      </c>
      <c r="G85" s="1575" t="e">
        <f ca="1">IF(D85="","",IFERROR(F85/F94,"n/a"))</f>
        <v>#NAME?</v>
      </c>
      <c r="H85" s="1575" t="e">
        <f t="shared" ca="1" si="5"/>
        <v>#NAME?</v>
      </c>
      <c r="I85" s="1576" t="e">
        <f ca="1">IF(D73="","",IF(D85="","",_xll.ciqfunctions.udf.CIQ(D75,"IQ_BUS_SEG_DESCRIPTION", H74, Valuation_date, , , , , $C85)))</f>
        <v>#NAME?</v>
      </c>
      <c r="J85" s="655"/>
      <c r="K85" s="1509"/>
      <c r="L85" s="2060"/>
      <c r="M85" s="2060"/>
      <c r="N85" s="1508"/>
      <c r="O85" s="2060"/>
    </row>
    <row r="86" spans="1:15">
      <c r="A86" s="1518" t="e">
        <f t="shared" ca="1" si="4"/>
        <v>#NAME?</v>
      </c>
      <c r="B86" s="1518"/>
      <c r="C86" s="654">
        <v>8</v>
      </c>
      <c r="D86" s="656" t="e">
        <f ca="1">IF(D73="","",IF(ISNUMBER(_xll.ciqfunctions.udf.CIQ(D75,"IQ_BUS_SEG_NAME", H74, Valuation_date, , , , , $C86)),"",_xll.ciqfunctions.udf.CIQ(D75,"IQ_BUS_SEG_NAME", H74, Valuation_date, , , , , $C86)))</f>
        <v>#NAME?</v>
      </c>
      <c r="E86" s="1514" t="e">
        <f ca="1">IF(D73="","",IF(D86="","",_xll.ciqfunctions.udf.CIQ(D75,"IQ_BUS_SEG_REV", H74-1, Valuation_date, ReportType,DataMode, F75,FXMode, C86)*Scale))</f>
        <v>#NAME?</v>
      </c>
      <c r="F86" s="1514" t="e">
        <f ca="1">IF(D73="","",IF(D86="","",_xll.ciqfunctions.udf.CIQ(D75,"IQ_BUS_SEG_REV", H74, Valuation_date, ReportType,DataMode, F75,FXMode, $C86)*Scale))</f>
        <v>#NAME?</v>
      </c>
      <c r="G86" s="1575" t="e">
        <f ca="1">IF(D86="","",IFERROR(F86/F94,"n/a"))</f>
        <v>#NAME?</v>
      </c>
      <c r="H86" s="1575" t="e">
        <f t="shared" ca="1" si="5"/>
        <v>#NAME?</v>
      </c>
      <c r="I86" s="1576" t="e">
        <f ca="1">IF(D73="","",IF(D86="","",_xll.ciqfunctions.udf.CIQ(D75,"IQ_BUS_SEG_DESCRIPTION", H74, Valuation_date, , , , , $C86)))</f>
        <v>#NAME?</v>
      </c>
      <c r="J86" s="1574"/>
      <c r="K86" s="1509"/>
      <c r="L86" s="2060"/>
      <c r="M86" s="2060"/>
      <c r="N86" s="1508"/>
      <c r="O86" s="2060"/>
    </row>
    <row r="87" spans="1:15" s="151" customFormat="1">
      <c r="A87" s="1518" t="e">
        <f t="shared" ca="1" si="4"/>
        <v>#NAME?</v>
      </c>
      <c r="B87" s="1518"/>
      <c r="C87" s="654">
        <v>9</v>
      </c>
      <c r="D87" s="656" t="e">
        <f ca="1">IF(D73="","",IF(ISNUMBER(_xll.ciqfunctions.udf.CIQ(D75,"IQ_BUS_SEG_NAME", H74, Valuation_date, , , , , $C87)),"",_xll.ciqfunctions.udf.CIQ(D75,"IQ_BUS_SEG_NAME", H74, Valuation_date, , , , , $C87)))</f>
        <v>#NAME?</v>
      </c>
      <c r="E87" s="1514" t="e">
        <f ca="1">IF(D73="","",IF(D87="","",_xll.ciqfunctions.udf.CIQ(D75,"IQ_BUS_SEG_REV", H74-1, Valuation_date, ReportType,DataMode, F75,FXMode, C87)*Scale))</f>
        <v>#NAME?</v>
      </c>
      <c r="F87" s="1514" t="e">
        <f ca="1">IF(D73="","",IF(D87="","",_xll.ciqfunctions.udf.CIQ(D75,"IQ_BUS_SEG_REV", H74, Valuation_date, ReportType,DataMode, F75,FXMode, $C87)*Scale))</f>
        <v>#NAME?</v>
      </c>
      <c r="G87" s="1575" t="e">
        <f ca="1">IF(D87="","",IFERROR(F87/F94,"n/a"))</f>
        <v>#NAME?</v>
      </c>
      <c r="H87" s="1575" t="e">
        <f t="shared" ca="1" si="5"/>
        <v>#NAME?</v>
      </c>
      <c r="I87" s="1576" t="e">
        <f ca="1">IF(D73="","",IF(D87="","",_xll.ciqfunctions.udf.CIQ(D75,"IQ_BUS_SEG_DESCRIPTION", H74, Valuation_date, , , , , $C87)))</f>
        <v>#NAME?</v>
      </c>
      <c r="J87" s="1574"/>
      <c r="K87" s="1509"/>
      <c r="L87" s="2060"/>
      <c r="M87" s="2060"/>
      <c r="O87" s="2060"/>
    </row>
    <row r="88" spans="1:15">
      <c r="A88" s="1518" t="e">
        <f t="shared" ca="1" si="4"/>
        <v>#NAME?</v>
      </c>
      <c r="B88" s="1518"/>
      <c r="C88" s="654">
        <v>10</v>
      </c>
      <c r="D88" s="656" t="e">
        <f ca="1">IF(D73="","",IF(ISNUMBER(_xll.ciqfunctions.udf.CIQ(D75,"IQ_BUS_SEG_NAME", H74, Valuation_date, , , , , $C88)),"",_xll.ciqfunctions.udf.CIQ(D75,"IQ_BUS_SEG_NAME", H74, Valuation_date, , , , , $C88)))</f>
        <v>#NAME?</v>
      </c>
      <c r="E88" s="1514" t="e">
        <f ca="1">IF(D73="","",IF(D88="","",_xll.ciqfunctions.udf.CIQ(D75,"IQ_BUS_SEG_REV", H74-1, Valuation_date, ReportType,DataMode, F75,FXMode, C88)*Scale))</f>
        <v>#NAME?</v>
      </c>
      <c r="F88" s="1514" t="e">
        <f ca="1">IF(D73="","",IF(D88="","",_xll.ciqfunctions.udf.CIQ(D75,"IQ_BUS_SEG_REV", H74, Valuation_date, ReportType,DataMode, F75,FXMode, $C88)*Scale))</f>
        <v>#NAME?</v>
      </c>
      <c r="G88" s="1575" t="e">
        <f ca="1">IF(D88="","",IFERROR(F88/F94,"n/a"))</f>
        <v>#NAME?</v>
      </c>
      <c r="H88" s="1575" t="e">
        <f t="shared" ca="1" si="5"/>
        <v>#NAME?</v>
      </c>
      <c r="I88" s="1576" t="e">
        <f ca="1">IF(D73="","",IF(D88="","",_xll.ciqfunctions.udf.CIQ(D75,"IQ_BUS_SEG_DESCRIPTION", H74, Valuation_date, , , , , $C88)))</f>
        <v>#NAME?</v>
      </c>
      <c r="J88" s="393"/>
      <c r="K88" s="1509"/>
      <c r="L88" s="2060"/>
      <c r="M88" s="2060"/>
      <c r="N88" s="1508"/>
      <c r="O88" s="2060"/>
    </row>
    <row r="89" spans="1:15">
      <c r="A89" s="1518" t="e">
        <f t="shared" ca="1" si="4"/>
        <v>#NAME?</v>
      </c>
      <c r="B89" s="1518"/>
      <c r="C89" s="654">
        <v>11</v>
      </c>
      <c r="D89" s="656" t="e">
        <f ca="1">IF(D73="","",IF(ISNUMBER(_xll.ciqfunctions.udf.CIQ(D75,"IQ_BUS_SEG_NAME", H74, Valuation_date, , , , , $C89)),"",_xll.ciqfunctions.udf.CIQ(D75,"IQ_BUS_SEG_NAME", H74, Valuation_date, , , , , $C89)))</f>
        <v>#NAME?</v>
      </c>
      <c r="E89" s="1514" t="e">
        <f ca="1">IF(D73="","",IF(D89="","",_xll.ciqfunctions.udf.CIQ(D75,"IQ_BUS_SEG_REV", H74-1, Valuation_date, ReportType,DataMode, F75,FXMode, C89)*Scale))</f>
        <v>#NAME?</v>
      </c>
      <c r="F89" s="1514" t="e">
        <f ca="1">IF(D73="","",IF(D89="","",_xll.ciqfunctions.udf.CIQ(D75,"IQ_BUS_SEG_REV", H74, Valuation_date, ReportType,DataMode, F75,FXMode, $C89)*Scale))</f>
        <v>#NAME?</v>
      </c>
      <c r="G89" s="1575" t="e">
        <f ca="1">IF(D89="","",IFERROR(F89/F94,"n/a"))</f>
        <v>#NAME?</v>
      </c>
      <c r="H89" s="1575" t="e">
        <f t="shared" ca="1" si="5"/>
        <v>#NAME?</v>
      </c>
      <c r="I89" s="1576" t="e">
        <f ca="1">IF(D73="","",IF(D89="","",_xll.ciqfunctions.udf.CIQ(D75,"IQ_BUS_SEG_DESCRIPTION", H74, Valuation_date, , , , , $C89)))</f>
        <v>#NAME?</v>
      </c>
      <c r="J89" s="1574"/>
      <c r="K89" s="1509"/>
      <c r="L89" s="2060"/>
      <c r="M89" s="2060"/>
      <c r="N89" s="1508"/>
      <c r="O89" s="2060"/>
    </row>
    <row r="90" spans="1:15">
      <c r="A90" s="1518" t="e">
        <f t="shared" ca="1" si="4"/>
        <v>#NAME?</v>
      </c>
      <c r="B90" s="1518"/>
      <c r="C90" s="654">
        <v>12</v>
      </c>
      <c r="D90" s="656" t="e">
        <f ca="1">IF(D73="","",IF(ISNUMBER(_xll.ciqfunctions.udf.CIQ(D75,"IQ_BUS_SEG_NAME", H74, Valuation_date, , , , , $C90)),"",_xll.ciqfunctions.udf.CIQ(D75,"IQ_BUS_SEG_NAME", H74, Valuation_date, , , , , $C90)))</f>
        <v>#NAME?</v>
      </c>
      <c r="E90" s="1514" t="e">
        <f ca="1">IF(D73="","",IF(D90="","",_xll.ciqfunctions.udf.CIQ(D75,"IQ_BUS_SEG_REV", H74-1, Valuation_date, ReportType,DataMode, F75,FXMode, C90)*Scale))</f>
        <v>#NAME?</v>
      </c>
      <c r="F90" s="1514" t="e">
        <f ca="1">IF(D73="","",IF(D90="","",_xll.ciqfunctions.udf.CIQ(D75,"IQ_BUS_SEG_REV", H74, Valuation_date, ReportType,DataMode, F75,FXMode, $C90)*Scale))</f>
        <v>#NAME?</v>
      </c>
      <c r="G90" s="1575" t="e">
        <f ca="1">IF(D90="","",IFERROR(F90/F94,"n/a"))</f>
        <v>#NAME?</v>
      </c>
      <c r="H90" s="1575" t="e">
        <f t="shared" ca="1" si="5"/>
        <v>#NAME?</v>
      </c>
      <c r="I90" s="1576" t="e">
        <f ca="1">IF(D73="","",IF(D90="","",_xll.ciqfunctions.udf.CIQ(D75,"IQ_BUS_SEG_DESCRIPTION", H74, Valuation_date, , , , , $C90)))</f>
        <v>#NAME?</v>
      </c>
      <c r="J90" s="1574"/>
      <c r="K90" s="1509"/>
      <c r="L90" s="2060"/>
      <c r="M90" s="2060"/>
      <c r="N90" s="1508"/>
      <c r="O90" s="2060"/>
    </row>
    <row r="91" spans="1:15">
      <c r="A91" s="1518" t="e">
        <f t="shared" ca="1" si="4"/>
        <v>#NAME?</v>
      </c>
      <c r="B91" s="1518"/>
      <c r="C91" s="654">
        <v>13</v>
      </c>
      <c r="D91" s="656" t="e">
        <f ca="1">IF(D73="","",IF(ISNUMBER(_xll.ciqfunctions.udf.CIQ(D75,"IQ_BUS_SEG_NAME", H74, Valuation_date, , , , , $C91)),"",_xll.ciqfunctions.udf.CIQ(D75,"IQ_BUS_SEG_NAME", H74, Valuation_date, , , , , $C91)))</f>
        <v>#NAME?</v>
      </c>
      <c r="E91" s="1514" t="e">
        <f ca="1">IF(D73="","",IF(D91="","",_xll.ciqfunctions.udf.CIQ(D75,"IQ_BUS_SEG_REV", H74-1, Valuation_date, ReportType,DataMode, F75,FXMode, C91)*Scale))</f>
        <v>#NAME?</v>
      </c>
      <c r="F91" s="1514" t="e">
        <f ca="1">IF(D73="","",IF(D91="","",_xll.ciqfunctions.udf.CIQ(D75,"IQ_BUS_SEG_REV", H74, Valuation_date, ReportType,DataMode, F75,FXMode, $C91)*Scale))</f>
        <v>#NAME?</v>
      </c>
      <c r="G91" s="1575" t="e">
        <f ca="1">IF(D91="","",IFERROR(F91/F94,"n/a"))</f>
        <v>#NAME?</v>
      </c>
      <c r="H91" s="1575" t="e">
        <f t="shared" ca="1" si="5"/>
        <v>#NAME?</v>
      </c>
      <c r="I91" s="1576" t="e">
        <f ca="1">IF(D73="","",IF(D91="","",_xll.ciqfunctions.udf.CIQ(D75,"IQ_BUS_SEG_DESCRIPTION", H74, Valuation_date, , , , , $C91)))</f>
        <v>#NAME?</v>
      </c>
      <c r="J91" s="1574"/>
      <c r="K91" s="1509"/>
      <c r="L91" s="2060"/>
      <c r="M91" s="2060"/>
      <c r="N91" s="1508"/>
      <c r="O91" s="2060"/>
    </row>
    <row r="92" spans="1:15">
      <c r="A92" s="1518" t="e">
        <f ca="1">IF(D92="","n","")</f>
        <v>#NAME?</v>
      </c>
      <c r="B92" s="1518"/>
      <c r="C92" s="654">
        <v>14</v>
      </c>
      <c r="D92" s="656" t="e">
        <f ca="1">IF(D73="","",IF(ISNUMBER(_xll.ciqfunctions.udf.CIQ(D75,"IQ_BUS_SEG_NAME", H74, Valuation_date, , , , , $C92)),"",_xll.ciqfunctions.udf.CIQ(D75,"IQ_BUS_SEG_NAME", H74, Valuation_date, , , , , $C92)))</f>
        <v>#NAME?</v>
      </c>
      <c r="E92" s="1514" t="e">
        <f ca="1">IF(D73="","",IF(D92="","",_xll.ciqfunctions.udf.CIQ(D75,"IQ_BUS_SEG_REV", H74-1, Valuation_date, ReportType,DataMode, F75,FXMode, C92)*Scale))</f>
        <v>#NAME?</v>
      </c>
      <c r="F92" s="1514" t="e">
        <f ca="1">IF(D73="","",IF(D92="","",_xll.ciqfunctions.udf.CIQ(D75,"IQ_BUS_SEG_REV", H74, Valuation_date, ReportType,DataMode, F75,FXMode, $C92)*Scale))</f>
        <v>#NAME?</v>
      </c>
      <c r="G92" s="1575" t="e">
        <f ca="1">IF(D92="","",IFERROR(F92/F94,"n/a"))</f>
        <v>#NAME?</v>
      </c>
      <c r="H92" s="1575" t="e">
        <f t="shared" ca="1" si="5"/>
        <v>#NAME?</v>
      </c>
      <c r="I92" s="1576" t="e">
        <f ca="1">IF(D73="","",IF(D92="","",_xll.ciqfunctions.udf.CIQ(D75,"IQ_BUS_SEG_DESCRIPTION", H74, Valuation_date, , , , , $C92)))</f>
        <v>#NAME?</v>
      </c>
      <c r="J92" s="1574"/>
      <c r="K92" s="1509"/>
      <c r="L92" s="2060"/>
      <c r="M92" s="2060"/>
      <c r="N92" s="1508"/>
      <c r="O92" s="2060"/>
    </row>
    <row r="93" spans="1:15">
      <c r="A93" s="1518" t="e">
        <f ca="1">IF(D93="","n","")</f>
        <v>#NAME?</v>
      </c>
      <c r="B93" s="1518"/>
      <c r="C93" s="654">
        <v>15</v>
      </c>
      <c r="D93" s="656" t="e">
        <f ca="1">IF(D73="","",IF(ISNUMBER(_xll.ciqfunctions.udf.CIQ(D75,"IQ_BUS_SEG_NAME", H74, Valuation_date, , , , , $C93)),"",_xll.ciqfunctions.udf.CIQ(D75,"IQ_BUS_SEG_NAME", H74, Valuation_date, , , , , $C93)))</f>
        <v>#NAME?</v>
      </c>
      <c r="E93" s="1514" t="e">
        <f ca="1">IF(D73="","",IF(D93="","",_xll.ciqfunctions.udf.CIQ(D75,"IQ_BUS_SEG_REV", H74-1, Valuation_date, ReportType,DataMode, F75,FXMode, C93)*Scale))</f>
        <v>#NAME?</v>
      </c>
      <c r="F93" s="1514" t="e">
        <f ca="1">IF(D73="","",IF(D93="","",_xll.ciqfunctions.udf.CIQ(D75,"IQ_BUS_SEG_REV", H74, Valuation_date, ReportType,DataMode, F75,FXMode, $C93)*Scale))</f>
        <v>#NAME?</v>
      </c>
      <c r="G93" s="1575" t="e">
        <f ca="1">IF(D93="","",IFERROR(F93/F94,"n/a"))</f>
        <v>#NAME?</v>
      </c>
      <c r="H93" s="1575" t="e">
        <f t="shared" ca="1" si="5"/>
        <v>#NAME?</v>
      </c>
      <c r="I93" s="1576" t="e">
        <f ca="1">IF(D73="","",IF(D93="","",_xll.ciqfunctions.udf.CIQ(D75,"IQ_BUS_SEG_DESCRIPTION", H74, Valuation_date, , , , , $C93)))</f>
        <v>#NAME?</v>
      </c>
      <c r="J93" s="1574"/>
      <c r="K93" s="1509"/>
      <c r="L93" s="2060"/>
      <c r="M93" s="2060"/>
      <c r="N93" s="1508"/>
      <c r="O93" s="2060"/>
    </row>
    <row r="94" spans="1:15" ht="14.45" thickBot="1">
      <c r="A94" s="1518"/>
      <c r="B94" s="1518"/>
      <c r="C94" s="1572"/>
      <c r="D94" s="658" t="s">
        <v>1248</v>
      </c>
      <c r="E94" s="658" t="e">
        <f ca="1">SUM(E79:E93)</f>
        <v>#NAME?</v>
      </c>
      <c r="F94" s="658" t="e">
        <f ca="1">SUM(F79:F93)</f>
        <v>#NAME?</v>
      </c>
      <c r="G94" s="2257" t="e">
        <f ca="1">SUM(G79:G93)</f>
        <v>#NAME?</v>
      </c>
      <c r="H94" s="2257" t="str">
        <f ca="1">IF(D94="","",IFERROR(F94/E94-1,"n/a"))</f>
        <v>n/a</v>
      </c>
      <c r="I94" s="1571"/>
      <c r="J94" s="1574"/>
      <c r="K94" s="1509"/>
      <c r="L94" s="2060"/>
      <c r="M94" s="2060"/>
      <c r="N94" s="1508"/>
      <c r="O94" s="2060"/>
    </row>
    <row r="95" spans="1:15">
      <c r="A95" s="1518"/>
      <c r="B95" s="1518"/>
      <c r="C95" s="1572"/>
      <c r="D95" s="1538"/>
      <c r="E95" s="1538"/>
      <c r="F95" s="1538"/>
      <c r="G95" s="1538"/>
      <c r="H95" s="1538"/>
      <c r="I95" s="1571"/>
      <c r="J95" s="1574"/>
      <c r="K95" s="1509"/>
      <c r="L95" s="1508"/>
      <c r="M95" s="2060"/>
      <c r="N95" s="1508"/>
      <c r="O95" s="2060"/>
    </row>
    <row r="96" spans="1:15" s="1508" customFormat="1">
      <c r="A96" s="1518"/>
      <c r="B96" s="1518"/>
      <c r="C96" s="1572"/>
      <c r="D96" s="1514" t="s">
        <v>1707</v>
      </c>
      <c r="E96" s="1579"/>
      <c r="F96" s="1575"/>
      <c r="G96" s="1514"/>
      <c r="H96" s="1575"/>
      <c r="I96" s="1571"/>
      <c r="J96" s="1574"/>
      <c r="K96" s="1509"/>
      <c r="L96" s="2060"/>
      <c r="M96" s="2060"/>
      <c r="O96" s="2060"/>
    </row>
    <row r="97" spans="1:26">
      <c r="A97" s="1518"/>
      <c r="B97" s="1518"/>
      <c r="C97" s="1572"/>
      <c r="D97" s="1514" t="s">
        <v>1402</v>
      </c>
      <c r="E97" s="1538"/>
      <c r="F97" s="1538"/>
      <c r="G97" s="1538"/>
      <c r="H97" s="1538"/>
      <c r="I97" s="1571"/>
      <c r="J97" s="1574"/>
      <c r="K97" s="1509"/>
      <c r="L97" s="1508"/>
      <c r="M97" s="2060"/>
      <c r="N97" s="1508"/>
      <c r="O97" s="2060"/>
      <c r="P97" s="1508"/>
      <c r="Q97" s="1508"/>
      <c r="R97" s="1508"/>
      <c r="S97" s="1508"/>
      <c r="T97" s="1508"/>
      <c r="U97" s="1508"/>
      <c r="V97" s="1508"/>
      <c r="W97" s="1508"/>
      <c r="X97" s="1508"/>
      <c r="Y97" s="1508"/>
      <c r="Z97" s="1508"/>
    </row>
    <row r="98" spans="1:26">
      <c r="A98" s="1518"/>
      <c r="B98" s="1518"/>
      <c r="C98" s="1572"/>
      <c r="D98" s="1538"/>
      <c r="E98" s="1538"/>
      <c r="F98" s="1538"/>
      <c r="G98" s="1538"/>
      <c r="H98" s="1538"/>
      <c r="I98" s="1571"/>
      <c r="J98" s="1538"/>
      <c r="K98" s="1509"/>
      <c r="L98" s="2060"/>
      <c r="M98" s="2060"/>
      <c r="N98" s="2060"/>
      <c r="O98" s="2060"/>
      <c r="P98" s="2060"/>
      <c r="Q98" s="2060"/>
      <c r="R98" s="2060"/>
      <c r="S98" s="2060"/>
      <c r="T98" s="1508"/>
      <c r="U98" s="1508"/>
      <c r="V98" s="1508"/>
      <c r="W98" s="1508"/>
      <c r="X98" s="1508"/>
      <c r="Y98" s="1508"/>
      <c r="Z98" s="1508"/>
    </row>
    <row r="99" spans="1:26" s="178" customFormat="1" ht="13.5" customHeight="1">
      <c r="A99" s="1510"/>
      <c r="B99" s="1510"/>
      <c r="C99" s="387"/>
      <c r="D99" s="1513" t="str">
        <f ca="1">FootnoteDRAFT</f>
        <v>Run date: 05-August-2018  02:34 PM.   DRAFT document. All data subject to change upon completion of additional analysis.</v>
      </c>
      <c r="E99" s="1513"/>
      <c r="F99" s="373"/>
      <c r="G99" s="1513"/>
      <c r="H99" s="1513"/>
      <c r="I99" s="1562"/>
      <c r="J99" s="1512"/>
      <c r="K99" s="1509"/>
      <c r="L99" s="2060"/>
      <c r="M99" s="2060"/>
      <c r="N99" s="2060"/>
      <c r="O99" s="2060"/>
      <c r="P99" s="2060"/>
      <c r="Q99" s="2060"/>
      <c r="R99" s="2060"/>
      <c r="S99" s="2060"/>
      <c r="T99" s="2060"/>
      <c r="U99" s="2060"/>
      <c r="V99" s="2060"/>
      <c r="W99" s="2060"/>
      <c r="X99" s="2060"/>
      <c r="Y99" s="2060"/>
      <c r="Z99" s="2060"/>
    </row>
    <row r="100" spans="1:26" s="178" customFormat="1">
      <c r="A100" s="1510" t="s">
        <v>17</v>
      </c>
      <c r="B100" s="1510"/>
      <c r="C100" s="1510"/>
      <c r="D100" s="1510"/>
      <c r="E100" s="683"/>
      <c r="F100" s="1510"/>
      <c r="G100" s="1510"/>
      <c r="H100" s="1510"/>
      <c r="I100" s="1547"/>
      <c r="J100" s="1546" t="str">
        <f ca="1">IF(D108="","Page end","Continue")</f>
        <v>Continue</v>
      </c>
      <c r="K100" s="1510"/>
      <c r="L100" s="2060"/>
      <c r="M100" s="2060"/>
      <c r="N100" s="2060"/>
      <c r="O100" s="2060"/>
      <c r="P100" s="2060"/>
      <c r="Q100" s="2060"/>
      <c r="R100" s="2060"/>
      <c r="S100" s="2060"/>
      <c r="T100" s="2060"/>
      <c r="U100" s="2060"/>
      <c r="V100" s="2060"/>
      <c r="W100" s="2060"/>
      <c r="X100" s="2060"/>
      <c r="Y100" s="2060"/>
      <c r="Z100" s="2060"/>
    </row>
    <row r="101" spans="1:26" ht="18" customHeight="1">
      <c r="A101" s="1518"/>
      <c r="B101" s="1518"/>
      <c r="C101" s="292" t="str">
        <f ca="1">D106</f>
        <v>n/a</v>
      </c>
      <c r="D101" s="172"/>
      <c r="E101" s="674"/>
      <c r="F101" s="172"/>
      <c r="G101" s="172"/>
      <c r="H101" s="172"/>
      <c r="I101" s="1522"/>
      <c r="J101" s="389" t="str">
        <f>$J$1&amp;"."&amp;C106&amp;""</f>
        <v>Workpaper 6.3</v>
      </c>
      <c r="K101" s="1509"/>
      <c r="L101" s="1508"/>
      <c r="M101" s="1508"/>
      <c r="N101" s="1508"/>
      <c r="O101" s="2060"/>
      <c r="P101" s="1508"/>
      <c r="Q101" s="1508"/>
      <c r="R101" s="1508"/>
      <c r="S101" s="1508"/>
      <c r="T101" s="1508"/>
      <c r="U101" s="1508"/>
      <c r="V101" s="1508"/>
      <c r="W101" s="1508"/>
      <c r="X101" s="1508"/>
      <c r="Y101" s="1508"/>
      <c r="Z101" s="1508"/>
    </row>
    <row r="102" spans="1:26" ht="18" customHeight="1">
      <c r="A102" s="1518"/>
      <c r="B102" s="1518"/>
      <c r="C102" s="839" t="s">
        <v>1699</v>
      </c>
      <c r="D102" s="172"/>
      <c r="E102" s="172"/>
      <c r="F102" s="172"/>
      <c r="G102" s="172"/>
      <c r="H102" s="172"/>
      <c r="I102" s="1522"/>
      <c r="J102" s="187"/>
      <c r="K102" s="1509"/>
      <c r="L102" s="1508"/>
      <c r="M102" s="1508"/>
      <c r="N102" s="1508"/>
      <c r="O102" s="2060"/>
      <c r="P102" s="1508"/>
      <c r="Q102" s="1508"/>
      <c r="R102" s="1508"/>
      <c r="S102" s="1508"/>
      <c r="T102" s="1508"/>
      <c r="U102" s="1508"/>
      <c r="V102" s="1508"/>
      <c r="W102" s="1508"/>
      <c r="X102" s="1508"/>
      <c r="Y102" s="1508"/>
      <c r="Z102" s="1508"/>
    </row>
    <row r="103" spans="1:26" ht="18" customHeight="1">
      <c r="A103" s="1518"/>
      <c r="B103" s="1518"/>
      <c r="C103" s="366" t="str">
        <f ca="1">"(" &amp;F108&amp;" in "&amp;ScaleInput&amp;")"</f>
        <v>(USD in Millions)</v>
      </c>
      <c r="D103" s="1508"/>
      <c r="E103" s="170"/>
      <c r="F103" s="170"/>
      <c r="G103" s="170"/>
      <c r="H103" s="170"/>
      <c r="I103" s="1521"/>
      <c r="J103" s="1508"/>
      <c r="K103" s="1509"/>
      <c r="L103" s="1508"/>
      <c r="M103" s="1508"/>
      <c r="N103" s="1508"/>
      <c r="O103" s="2060"/>
      <c r="P103" s="1508"/>
      <c r="Q103" s="1508"/>
      <c r="R103" s="1508"/>
      <c r="S103" s="1508"/>
      <c r="T103" s="1508"/>
      <c r="U103" s="1508"/>
      <c r="V103" s="1508"/>
      <c r="W103" s="1508"/>
      <c r="X103" s="1508"/>
      <c r="Y103" s="1508"/>
      <c r="Z103" s="1508"/>
    </row>
    <row r="104" spans="1:26" ht="18" customHeight="1">
      <c r="A104" s="1518"/>
      <c r="B104" s="1518"/>
      <c r="C104" s="366"/>
      <c r="D104" s="1508"/>
      <c r="E104" s="172"/>
      <c r="F104" s="172"/>
      <c r="G104" s="172"/>
      <c r="H104" s="172"/>
      <c r="I104" s="1522"/>
      <c r="J104" s="1508"/>
      <c r="K104" s="1509"/>
      <c r="L104" s="1508"/>
      <c r="M104" s="1508"/>
      <c r="N104" s="1508"/>
      <c r="O104" s="2060"/>
      <c r="P104" s="1508"/>
      <c r="Q104" s="1508"/>
      <c r="R104" s="1508"/>
      <c r="S104" s="1508"/>
      <c r="T104" s="1508"/>
      <c r="U104" s="1508"/>
      <c r="V104" s="1508"/>
      <c r="W104" s="1508"/>
      <c r="X104" s="1508"/>
      <c r="Y104" s="1508"/>
      <c r="Z104" s="1508"/>
    </row>
    <row r="105" spans="1:26">
      <c r="A105" s="1518"/>
      <c r="B105" s="1518"/>
      <c r="C105" s="1511"/>
      <c r="D105" s="1508"/>
      <c r="E105" s="172"/>
      <c r="F105" s="172"/>
      <c r="G105" s="172"/>
      <c r="H105" s="172"/>
      <c r="I105" s="1522"/>
      <c r="J105" s="1508"/>
      <c r="K105" s="1509"/>
      <c r="L105" s="1508"/>
      <c r="M105" s="1508"/>
      <c r="N105" s="1508"/>
      <c r="O105" s="2060"/>
      <c r="P105" s="1508"/>
      <c r="Q105" s="1508"/>
      <c r="R105" s="1508"/>
      <c r="S105" s="1508"/>
      <c r="T105" s="1508"/>
      <c r="U105" s="1508"/>
      <c r="V105" s="1508"/>
      <c r="W105" s="1508"/>
      <c r="X105" s="1508"/>
      <c r="Y105" s="1508"/>
      <c r="Z105" s="1508"/>
    </row>
    <row r="106" spans="1:26">
      <c r="A106" s="1518"/>
      <c r="B106" s="1518"/>
      <c r="C106" s="653">
        <v>3</v>
      </c>
      <c r="D106" s="179" t="str">
        <f ca="1">IF(D108=0,"n/a",IFERROR(_xll.ciqfunctions.udf.CIQ(D108,"IQ_COMPANY_NAME"),"n/a"))</f>
        <v>n/a</v>
      </c>
      <c r="E106" s="1538"/>
      <c r="F106" s="1538"/>
      <c r="G106" s="1538"/>
      <c r="H106" s="1538"/>
      <c r="I106" s="1571"/>
      <c r="J106" s="1538"/>
      <c r="K106" s="1509"/>
      <c r="L106" s="1508"/>
      <c r="M106" s="2060"/>
      <c r="N106" s="1508"/>
      <c r="O106" s="2060"/>
      <c r="P106" s="1508"/>
      <c r="Q106" s="1508"/>
      <c r="R106" s="1508"/>
      <c r="S106" s="1508"/>
      <c r="T106" s="1508"/>
      <c r="U106" s="1508"/>
      <c r="V106" s="1508"/>
      <c r="W106" s="1508"/>
      <c r="X106" s="1508"/>
      <c r="Y106" s="1508"/>
      <c r="Z106" s="1508"/>
    </row>
    <row r="107" spans="1:26">
      <c r="A107" s="1518"/>
      <c r="B107" s="1518"/>
      <c r="C107" s="1572"/>
      <c r="D107" s="2258" t="s">
        <v>134</v>
      </c>
      <c r="E107" s="2246" t="s">
        <v>1708</v>
      </c>
      <c r="F107" s="2247" t="s">
        <v>167</v>
      </c>
      <c r="G107" s="2247" t="s">
        <v>1700</v>
      </c>
      <c r="H107" s="2248">
        <f>INDEX($W$9:$W$14,MATCH(H108,PeriodList,0))</f>
        <v>2000</v>
      </c>
      <c r="I107" s="1571"/>
      <c r="J107" s="217"/>
      <c r="K107" s="1509"/>
      <c r="L107" s="1508"/>
      <c r="M107" s="2060"/>
      <c r="N107" s="1508"/>
      <c r="O107" s="2060"/>
      <c r="P107" s="1508"/>
      <c r="Q107" s="1508"/>
      <c r="R107" s="1508"/>
      <c r="S107" s="1508"/>
      <c r="T107" s="1508"/>
      <c r="U107" s="1508"/>
      <c r="V107" s="1508"/>
      <c r="W107" s="1508"/>
      <c r="X107" s="1508"/>
      <c r="Y107" s="1508"/>
      <c r="Z107" s="1508"/>
    </row>
    <row r="108" spans="1:26" s="185" customFormat="1">
      <c r="A108" s="1518"/>
      <c r="B108" s="1518"/>
      <c r="C108" s="654"/>
      <c r="D108" s="2249">
        <f ca="1">OFFSET(GCIdentifierTop,C106,0)</f>
        <v>0</v>
      </c>
      <c r="E108" s="2250" t="str">
        <f ca="1">IF($D108="","",IFERROR(_xll.ciqfunctions.udf.CIQ($D108,"IQ_PERIODDATE",H107,Valuation_date),"n/a"))</f>
        <v>n/a</v>
      </c>
      <c r="F108" s="2251" t="str">
        <f ca="1">IFERROR(IF(C106=0,SubjOutputCurrencyCode,IF(D108="","",IF(OutputCurrency="Filing",_xll.ciqfunctions.udf.CIQ($D108,"IQ_FILING_CURRENCY",500,Valuation_date,ReportType,DataMode),OutputCurrency))),OutputCurrency)</f>
        <v>USD</v>
      </c>
      <c r="G108" s="2252" t="e">
        <f ca="1">IF(D106="","",_xll.ciqfunctions.udf.CIQ(D108,"IQ_TOTAL_REV", H107, Valuation_date,ReportType,DataMode,F108,FXMode))</f>
        <v>#NAME?</v>
      </c>
      <c r="H108" s="2260" t="str">
        <f>$H$9</f>
        <v>LTM/LFQ</v>
      </c>
      <c r="I108" s="1573"/>
      <c r="J108" s="392"/>
      <c r="K108" s="1509"/>
      <c r="M108" s="2060"/>
      <c r="O108" s="2060"/>
    </row>
    <row r="109" spans="1:26">
      <c r="A109" s="1518"/>
      <c r="B109" s="1518"/>
      <c r="C109" s="654"/>
      <c r="D109" s="1538"/>
      <c r="E109" s="1538"/>
      <c r="F109" s="1538"/>
      <c r="G109" s="1538"/>
      <c r="H109" s="1538"/>
      <c r="I109" s="1571"/>
      <c r="J109" s="655"/>
      <c r="K109" s="1509"/>
      <c r="L109" s="1508"/>
      <c r="M109" s="2060"/>
      <c r="N109" s="1508"/>
      <c r="O109" s="2060"/>
      <c r="P109" s="1508"/>
      <c r="Q109" s="1508"/>
      <c r="R109" s="1508"/>
      <c r="S109" s="1508"/>
      <c r="T109" s="1508"/>
      <c r="U109" s="1508"/>
      <c r="V109" s="1508"/>
      <c r="W109" s="1508"/>
      <c r="X109" s="1508"/>
      <c r="Y109" s="1508"/>
      <c r="Z109" s="1508"/>
    </row>
    <row r="110" spans="1:26">
      <c r="A110" s="1518"/>
      <c r="B110" s="1518"/>
      <c r="C110" s="654"/>
      <c r="D110" s="741"/>
      <c r="E110" s="744" t="e">
        <f ca="1">IF(D108="",Valuation_date,_xll.ciqfunctions.udf.CIQ(D108,"IQ_PERIODDATE",H107-IF(LEFT(H108,3)="LFY",1,4),Valuation_date))</f>
        <v>#NAME?</v>
      </c>
      <c r="F110" s="742" t="e">
        <f ca="1">IF(D108="",Valuation_date,_xll.ciqfunctions.udf.CIQ(D108,"IQ_PERIODDATE",H107,Valuation_date))</f>
        <v>#NAME?</v>
      </c>
      <c r="G110" s="741"/>
      <c r="H110" s="743" t="s">
        <v>1702</v>
      </c>
      <c r="I110" s="1587"/>
      <c r="J110" s="655"/>
      <c r="K110" s="1509"/>
      <c r="L110" s="1508"/>
      <c r="M110" s="2060"/>
      <c r="N110" s="1508"/>
      <c r="O110" s="2060"/>
      <c r="P110" s="1508"/>
      <c r="Q110" s="1508"/>
      <c r="R110" s="1508"/>
      <c r="S110" s="1508"/>
      <c r="T110" s="1508"/>
      <c r="U110" s="1508"/>
      <c r="V110" s="1508"/>
      <c r="W110" s="1508"/>
      <c r="X110" s="1508"/>
      <c r="Y110" s="1508"/>
      <c r="Z110" s="1508"/>
    </row>
    <row r="111" spans="1:26" s="151" customFormat="1">
      <c r="A111" s="1518"/>
      <c r="B111" s="1518"/>
      <c r="C111" s="654"/>
      <c r="D111" s="2254" t="s">
        <v>1703</v>
      </c>
      <c r="E111" s="2255" t="s">
        <v>1458</v>
      </c>
      <c r="F111" s="2255" t="s">
        <v>1458</v>
      </c>
      <c r="G111" s="2255" t="s">
        <v>1704</v>
      </c>
      <c r="H111" s="2255" t="s">
        <v>1705</v>
      </c>
      <c r="I111" s="2256" t="s">
        <v>1706</v>
      </c>
      <c r="J111" s="1574"/>
      <c r="K111" s="1509"/>
      <c r="L111" s="2060"/>
      <c r="M111" s="2060"/>
      <c r="O111" s="2060"/>
    </row>
    <row r="112" spans="1:26">
      <c r="A112" s="1518" t="e">
        <f t="shared" ref="A112:A124" ca="1" si="6">IF(D112="","n","")</f>
        <v>#NAME?</v>
      </c>
      <c r="B112" s="1518"/>
      <c r="C112" s="654">
        <v>1</v>
      </c>
      <c r="D112" s="656" t="e">
        <f ca="1">IF(D106="","",IF(ISNUMBER(_xll.ciqfunctions.udf.CIQ(D108,"IQ_BUS_SEG_NAME", H107, Valuation_date, , , , , $C112)),"",_xll.ciqfunctions.udf.CIQ(D108,"IQ_BUS_SEG_NAME", H107, Valuation_date, , , , , $C112)))</f>
        <v>#NAME?</v>
      </c>
      <c r="E112" s="1514" t="e">
        <f ca="1">IF(D106="","",IF(D112="","",_xll.ciqfunctions.udf.CIQ(D108,"IQ_BUS_SEG_REV", H107-1, Valuation_date, ReportType,DataMode, F108,FXMode, C112)*Scale))</f>
        <v>#NAME?</v>
      </c>
      <c r="F112" s="1514" t="e">
        <f ca="1">IF(D106="","",IF(D112="","",_xll.ciqfunctions.udf.CIQ(D108,"IQ_BUS_SEG_REV", H107, Valuation_date, ReportType,DataMode, F108,FXMode, $C112)*Scale))</f>
        <v>#NAME?</v>
      </c>
      <c r="G112" s="1575" t="e">
        <f ca="1">IF(D112="","",IFERROR(F112/F127,"n/a"))</f>
        <v>#NAME?</v>
      </c>
      <c r="H112" s="1575" t="e">
        <f ca="1">IF(D112="","",IFERROR(F112/E112-1,"n/a"))</f>
        <v>#NAME?</v>
      </c>
      <c r="I112" s="1576" t="e">
        <f ca="1">IF(D106="","",IF(D112="","",_xll.ciqfunctions.udf.CIQ(D108,"IQ_BUS_SEG_DESCRIPTION", H107, Valuation_date, , , , , $C112)))</f>
        <v>#NAME?</v>
      </c>
      <c r="J112" s="393"/>
      <c r="K112" s="1509"/>
      <c r="L112" s="2060"/>
      <c r="M112" s="2060"/>
      <c r="N112" s="1508"/>
      <c r="O112" s="2060"/>
      <c r="P112" s="1508"/>
      <c r="Q112" s="1508"/>
      <c r="R112" s="1508"/>
      <c r="S112" s="1508"/>
      <c r="T112" s="1508"/>
      <c r="U112" s="1508"/>
      <c r="V112" s="1508"/>
      <c r="W112" s="1508"/>
      <c r="X112" s="1508"/>
      <c r="Y112" s="1508"/>
      <c r="Z112" s="1508"/>
    </row>
    <row r="113" spans="1:15">
      <c r="A113" s="1518" t="e">
        <f t="shared" ca="1" si="6"/>
        <v>#NAME?</v>
      </c>
      <c r="B113" s="1518"/>
      <c r="C113" s="654">
        <v>2</v>
      </c>
      <c r="D113" s="656" t="e">
        <f ca="1">IF(D106="","",IF(ISNUMBER(_xll.ciqfunctions.udf.CIQ(D108,"IQ_BUS_SEG_NAME", H107, Valuation_date, , , , , $C113)),"",_xll.ciqfunctions.udf.CIQ(D108,"IQ_BUS_SEG_NAME", H107, Valuation_date, , , , , $C113)))</f>
        <v>#NAME?</v>
      </c>
      <c r="E113" s="1514" t="e">
        <f ca="1">IF(D106="","",IF(D113="","",_xll.ciqfunctions.udf.CIQ(D108,"IQ_BUS_SEG_REV", H107-1, Valuation_date, ReportType,DataMode, F108,FXMode, C113)*Scale))</f>
        <v>#NAME?</v>
      </c>
      <c r="F113" s="1514" t="e">
        <f ca="1">IF(D106="","",IF(D113="","",_xll.ciqfunctions.udf.CIQ(D108,"IQ_BUS_SEG_REV", H107, Valuation_date, ReportType,DataMode, F108,FXMode, $C113)*Scale))</f>
        <v>#NAME?</v>
      </c>
      <c r="G113" s="1575" t="e">
        <f ca="1">IF(D113="","",IFERROR(F113/F127,"n/a"))</f>
        <v>#NAME?</v>
      </c>
      <c r="H113" s="1575" t="e">
        <f t="shared" ref="H113:H126" ca="1" si="7">IF(D113="","",IFERROR(F113/E113-1,"n/a"))</f>
        <v>#NAME?</v>
      </c>
      <c r="I113" s="1576" t="e">
        <f ca="1">IF(D106="","",IF(D113="","",_xll.ciqfunctions.udf.CIQ(D108,"IQ_BUS_SEG_DESCRIPTION", H107, Valuation_date, , , , , $C113)))</f>
        <v>#NAME?</v>
      </c>
      <c r="J113" s="393"/>
      <c r="K113" s="1509"/>
      <c r="L113" s="2060"/>
      <c r="M113" s="2060"/>
      <c r="N113" s="1508"/>
      <c r="O113" s="2060"/>
    </row>
    <row r="114" spans="1:15">
      <c r="A114" s="1518" t="e">
        <f t="shared" ca="1" si="6"/>
        <v>#NAME?</v>
      </c>
      <c r="B114" s="1518"/>
      <c r="C114" s="654">
        <v>3</v>
      </c>
      <c r="D114" s="656" t="e">
        <f ca="1">IF(D106="","",IF(ISNUMBER(_xll.ciqfunctions.udf.CIQ(D108,"IQ_BUS_SEG_NAME", H107, Valuation_date, , , , , $C114)),"",_xll.ciqfunctions.udf.CIQ(D108,"IQ_BUS_SEG_NAME", H107, Valuation_date, , , , , $C114)))</f>
        <v>#NAME?</v>
      </c>
      <c r="E114" s="1514" t="e">
        <f ca="1">IF(D106="","",IF(D114="","",_xll.ciqfunctions.udf.CIQ(D108,"IQ_BUS_SEG_REV", H107-1, Valuation_date, ReportType,DataMode, F108,FXMode, C114)*Scale))</f>
        <v>#NAME?</v>
      </c>
      <c r="F114" s="1514" t="e">
        <f ca="1">IF(D106="","",IF(D114="","",_xll.ciqfunctions.udf.CIQ(D108,"IQ_BUS_SEG_REV", H107, Valuation_date, ReportType,DataMode, F108,FXMode, $C114)*Scale))</f>
        <v>#NAME?</v>
      </c>
      <c r="G114" s="1575" t="e">
        <f ca="1">IF(D114="","",IFERROR(F114/F127,"n/a"))</f>
        <v>#NAME?</v>
      </c>
      <c r="H114" s="1575" t="e">
        <f t="shared" ca="1" si="7"/>
        <v>#NAME?</v>
      </c>
      <c r="I114" s="1576" t="e">
        <f ca="1">IF(D106="","",IF(D114="","",_xll.ciqfunctions.udf.CIQ(D108,"IQ_BUS_SEG_DESCRIPTION", H107, Valuation_date, , , , , $C114)))</f>
        <v>#NAME?</v>
      </c>
      <c r="J114" s="393"/>
      <c r="K114" s="1509"/>
      <c r="L114" s="2060"/>
      <c r="M114" s="2060"/>
      <c r="N114" s="1508"/>
      <c r="O114" s="2060"/>
    </row>
    <row r="115" spans="1:15">
      <c r="A115" s="1518" t="e">
        <f t="shared" ca="1" si="6"/>
        <v>#NAME?</v>
      </c>
      <c r="B115" s="1518"/>
      <c r="C115" s="654">
        <v>4</v>
      </c>
      <c r="D115" s="656" t="e">
        <f ca="1">IF(D106="","",IF(ISNUMBER(_xll.ciqfunctions.udf.CIQ(D108,"IQ_BUS_SEG_NAME", H107, Valuation_date, , , , , $C115)),"",_xll.ciqfunctions.udf.CIQ(D108,"IQ_BUS_SEG_NAME", H107, Valuation_date, , , , , $C115)))</f>
        <v>#NAME?</v>
      </c>
      <c r="E115" s="1514" t="e">
        <f ca="1">IF(D106="","",IF(D115="","",_xll.ciqfunctions.udf.CIQ(D108,"IQ_BUS_SEG_REV", H107-1, Valuation_date, ReportType,DataMode, F108,FXMode, C115)*Scale))</f>
        <v>#NAME?</v>
      </c>
      <c r="F115" s="1514" t="e">
        <f ca="1">IF(D106="","",IF(D115="","",_xll.ciqfunctions.udf.CIQ(D108,"IQ_BUS_SEG_REV", H107, Valuation_date, ReportType,DataMode, F108,FXMode, $C115)*Scale))</f>
        <v>#NAME?</v>
      </c>
      <c r="G115" s="1575" t="e">
        <f ca="1">IF(D115="","",IFERROR(F115/F127,"n/a"))</f>
        <v>#NAME?</v>
      </c>
      <c r="H115" s="1575" t="e">
        <f t="shared" ca="1" si="7"/>
        <v>#NAME?</v>
      </c>
      <c r="I115" s="1576" t="e">
        <f ca="1">IF(D106="","",IF(D115="","",_xll.ciqfunctions.udf.CIQ(D108,"IQ_BUS_SEG_DESCRIPTION", H107, Valuation_date, , , , , $C115)))</f>
        <v>#NAME?</v>
      </c>
      <c r="J115" s="393"/>
      <c r="K115" s="1509"/>
      <c r="L115" s="2060"/>
      <c r="M115" s="2060"/>
      <c r="N115" s="1508"/>
      <c r="O115" s="2060"/>
    </row>
    <row r="116" spans="1:15">
      <c r="A116" s="1518" t="e">
        <f t="shared" ca="1" si="6"/>
        <v>#NAME?</v>
      </c>
      <c r="B116" s="1518"/>
      <c r="C116" s="654">
        <v>5</v>
      </c>
      <c r="D116" s="656" t="e">
        <f ca="1">IF(D106="","",IF(ISNUMBER(_xll.ciqfunctions.udf.CIQ(D108,"IQ_BUS_SEG_NAME", H107, Valuation_date, , , , , $C116)),"",_xll.ciqfunctions.udf.CIQ(D108,"IQ_BUS_SEG_NAME", H107, Valuation_date, , , , , $C116)))</f>
        <v>#NAME?</v>
      </c>
      <c r="E116" s="1514" t="e">
        <f ca="1">IF(D106="","",IF(D116="","",_xll.ciqfunctions.udf.CIQ(D108,"IQ_BUS_SEG_REV", H107-1, Valuation_date, ReportType,DataMode, F108,FXMode, C116)*Scale))</f>
        <v>#NAME?</v>
      </c>
      <c r="F116" s="1514" t="e">
        <f ca="1">IF(D106="","",IF(D116="","",_xll.ciqfunctions.udf.CIQ(D108,"IQ_BUS_SEG_REV", H107, Valuation_date, ReportType,DataMode, F108,FXMode, $C116)*Scale))</f>
        <v>#NAME?</v>
      </c>
      <c r="G116" s="1575" t="e">
        <f ca="1">IF(D116="","",IFERROR(F116/F127,"n/a"))</f>
        <v>#NAME?</v>
      </c>
      <c r="H116" s="1575" t="e">
        <f t="shared" ca="1" si="7"/>
        <v>#NAME?</v>
      </c>
      <c r="I116" s="1576" t="e">
        <f ca="1">IF(D106="","",IF(D116="","",_xll.ciqfunctions.udf.CIQ(D108,"IQ_BUS_SEG_DESCRIPTION", H107, Valuation_date, , , , , $C116)))</f>
        <v>#NAME?</v>
      </c>
      <c r="J116" s="657"/>
      <c r="K116" s="1509"/>
      <c r="L116" s="2060"/>
      <c r="M116" s="2060"/>
      <c r="N116" s="1508"/>
      <c r="O116" s="2060"/>
    </row>
    <row r="117" spans="1:15">
      <c r="A117" s="1518" t="e">
        <f t="shared" ca="1" si="6"/>
        <v>#NAME?</v>
      </c>
      <c r="B117" s="1518"/>
      <c r="C117" s="654">
        <v>6</v>
      </c>
      <c r="D117" s="656" t="e">
        <f ca="1">IF(D106="","",IF(ISNUMBER(_xll.ciqfunctions.udf.CIQ(D108,"IQ_BUS_SEG_NAME", H107, Valuation_date, , , , , $C117)),"",_xll.ciqfunctions.udf.CIQ(D108,"IQ_BUS_SEG_NAME", H107, Valuation_date, , , , , $C117)))</f>
        <v>#NAME?</v>
      </c>
      <c r="E117" s="1514" t="e">
        <f ca="1">IF(D106="","",IF(D117="","",_xll.ciqfunctions.udf.CIQ(D108,"IQ_BUS_SEG_REV", H107-1, Valuation_date, ReportType,DataMode, F108,FXMode, C117)*Scale))</f>
        <v>#NAME?</v>
      </c>
      <c r="F117" s="1514" t="e">
        <f ca="1">IF(D106="","",IF(D117="","",_xll.ciqfunctions.udf.CIQ(D108,"IQ_BUS_SEG_REV", H107, Valuation_date, ReportType,DataMode, F108,FXMode, $C117)*Scale))</f>
        <v>#NAME?</v>
      </c>
      <c r="G117" s="1575" t="e">
        <f ca="1">IF(D117="","",IFERROR(F117/F127,"n/a"))</f>
        <v>#NAME?</v>
      </c>
      <c r="H117" s="1575" t="e">
        <f t="shared" ca="1" si="7"/>
        <v>#NAME?</v>
      </c>
      <c r="I117" s="1576" t="e">
        <f ca="1">IF(D106="","",IF(D117="","",_xll.ciqfunctions.udf.CIQ(D108,"IQ_BUS_SEG_DESCRIPTION", H107, Valuation_date, , , , , $C117)))</f>
        <v>#NAME?</v>
      </c>
      <c r="J117" s="657"/>
      <c r="K117" s="1509"/>
      <c r="L117" s="2060"/>
      <c r="M117" s="2060"/>
      <c r="N117" s="1508"/>
      <c r="O117" s="2060"/>
    </row>
    <row r="118" spans="1:15">
      <c r="A118" s="1518" t="e">
        <f t="shared" ca="1" si="6"/>
        <v>#NAME?</v>
      </c>
      <c r="B118" s="1518"/>
      <c r="C118" s="654">
        <v>7</v>
      </c>
      <c r="D118" s="656" t="e">
        <f ca="1">IF(D106="","",IF(ISNUMBER(_xll.ciqfunctions.udf.CIQ(D108,"IQ_BUS_SEG_NAME", H107, Valuation_date, , , , , $C118)),"",_xll.ciqfunctions.udf.CIQ(D108,"IQ_BUS_SEG_NAME", H107, Valuation_date, , , , , $C118)))</f>
        <v>#NAME?</v>
      </c>
      <c r="E118" s="1514" t="e">
        <f ca="1">IF(D106="","",IF(D118="","",_xll.ciqfunctions.udf.CIQ(D108,"IQ_BUS_SEG_REV", H107-1, Valuation_date, ReportType,DataMode, F108,FXMode, C118)*Scale))</f>
        <v>#NAME?</v>
      </c>
      <c r="F118" s="1514" t="e">
        <f ca="1">IF(D106="","",IF(D118="","",_xll.ciqfunctions.udf.CIQ(D108,"IQ_BUS_SEG_REV", H107, Valuation_date, ReportType,DataMode, F108,FXMode, $C118)*Scale))</f>
        <v>#NAME?</v>
      </c>
      <c r="G118" s="1575" t="e">
        <f ca="1">IF(D118="","",IFERROR(F118/F127,"n/a"))</f>
        <v>#NAME?</v>
      </c>
      <c r="H118" s="1575" t="e">
        <f t="shared" ca="1" si="7"/>
        <v>#NAME?</v>
      </c>
      <c r="I118" s="1576" t="e">
        <f ca="1">IF(D106="","",IF(D118="","",_xll.ciqfunctions.udf.CIQ(D108,"IQ_BUS_SEG_DESCRIPTION", H107, Valuation_date, , , , , $C118)))</f>
        <v>#NAME?</v>
      </c>
      <c r="J118" s="655"/>
      <c r="K118" s="1509"/>
      <c r="L118" s="2060"/>
      <c r="M118" s="2060"/>
      <c r="N118" s="1508"/>
      <c r="O118" s="2060"/>
    </row>
    <row r="119" spans="1:15">
      <c r="A119" s="1518" t="e">
        <f t="shared" ca="1" si="6"/>
        <v>#NAME?</v>
      </c>
      <c r="B119" s="1518"/>
      <c r="C119" s="654">
        <v>8</v>
      </c>
      <c r="D119" s="656" t="e">
        <f ca="1">IF(D106="","",IF(ISNUMBER(_xll.ciqfunctions.udf.CIQ(D108,"IQ_BUS_SEG_NAME", H107, Valuation_date, , , , , $C119)),"",_xll.ciqfunctions.udf.CIQ(D108,"IQ_BUS_SEG_NAME", H107, Valuation_date, , , , , $C119)))</f>
        <v>#NAME?</v>
      </c>
      <c r="E119" s="1514" t="e">
        <f ca="1">IF(D106="","",IF(D119="","",_xll.ciqfunctions.udf.CIQ(D108,"IQ_BUS_SEG_REV", H107-1, Valuation_date, ReportType,DataMode, F108,FXMode, C119)*Scale))</f>
        <v>#NAME?</v>
      </c>
      <c r="F119" s="1514" t="e">
        <f ca="1">IF(D106="","",IF(D119="","",_xll.ciqfunctions.udf.CIQ(D108,"IQ_BUS_SEG_REV", H107, Valuation_date, ReportType,DataMode, F108,FXMode, $C119)*Scale))</f>
        <v>#NAME?</v>
      </c>
      <c r="G119" s="1575" t="e">
        <f ca="1">IF(D119="","",IFERROR(F119/F127,"n/a"))</f>
        <v>#NAME?</v>
      </c>
      <c r="H119" s="1575" t="e">
        <f t="shared" ca="1" si="7"/>
        <v>#NAME?</v>
      </c>
      <c r="I119" s="1576" t="e">
        <f ca="1">IF(D106="","",IF(D119="","",_xll.ciqfunctions.udf.CIQ(D108,"IQ_BUS_SEG_DESCRIPTION", H107, Valuation_date, , , , , $C119)))</f>
        <v>#NAME?</v>
      </c>
      <c r="J119" s="1574"/>
      <c r="K119" s="1509"/>
      <c r="L119" s="2060"/>
      <c r="M119" s="2060"/>
      <c r="N119" s="1508"/>
      <c r="O119" s="2060"/>
    </row>
    <row r="120" spans="1:15" s="151" customFormat="1">
      <c r="A120" s="1518" t="e">
        <f t="shared" ca="1" si="6"/>
        <v>#NAME?</v>
      </c>
      <c r="B120" s="1518"/>
      <c r="C120" s="654">
        <v>9</v>
      </c>
      <c r="D120" s="656" t="e">
        <f ca="1">IF(D106="","",IF(ISNUMBER(_xll.ciqfunctions.udf.CIQ(D108,"IQ_BUS_SEG_NAME", H107, Valuation_date, , , , , $C120)),"",_xll.ciqfunctions.udf.CIQ(D108,"IQ_BUS_SEG_NAME", H107, Valuation_date, , , , , $C120)))</f>
        <v>#NAME?</v>
      </c>
      <c r="E120" s="1514" t="e">
        <f ca="1">IF(D106="","",IF(D120="","",_xll.ciqfunctions.udf.CIQ(D108,"IQ_BUS_SEG_REV", H107-1, Valuation_date, ReportType,DataMode, F108,FXMode, C120)*Scale))</f>
        <v>#NAME?</v>
      </c>
      <c r="F120" s="1514" t="e">
        <f ca="1">IF(D106="","",IF(D120="","",_xll.ciqfunctions.udf.CIQ(D108,"IQ_BUS_SEG_REV", H107, Valuation_date, ReportType,DataMode, F108,FXMode, $C120)*Scale))</f>
        <v>#NAME?</v>
      </c>
      <c r="G120" s="1575" t="e">
        <f ca="1">IF(D120="","",IFERROR(F120/F127,"n/a"))</f>
        <v>#NAME?</v>
      </c>
      <c r="H120" s="1575" t="e">
        <f t="shared" ca="1" si="7"/>
        <v>#NAME?</v>
      </c>
      <c r="I120" s="1576" t="e">
        <f ca="1">IF(D106="","",IF(D120="","",_xll.ciqfunctions.udf.CIQ(D108,"IQ_BUS_SEG_DESCRIPTION", H107, Valuation_date, , , , , $C120)))</f>
        <v>#NAME?</v>
      </c>
      <c r="J120" s="1574"/>
      <c r="K120" s="1509"/>
      <c r="L120" s="2060"/>
      <c r="M120" s="2060"/>
      <c r="O120" s="2060"/>
    </row>
    <row r="121" spans="1:15">
      <c r="A121" s="1518" t="e">
        <f t="shared" ca="1" si="6"/>
        <v>#NAME?</v>
      </c>
      <c r="B121" s="1518"/>
      <c r="C121" s="654">
        <v>10</v>
      </c>
      <c r="D121" s="656" t="e">
        <f ca="1">IF(D106="","",IF(ISNUMBER(_xll.ciqfunctions.udf.CIQ(D108,"IQ_BUS_SEG_NAME", H107, Valuation_date, , , , , $C121)),"",_xll.ciqfunctions.udf.CIQ(D108,"IQ_BUS_SEG_NAME", H107, Valuation_date, , , , , $C121)))</f>
        <v>#NAME?</v>
      </c>
      <c r="E121" s="1514" t="e">
        <f ca="1">IF(D106="","",IF(D121="","",_xll.ciqfunctions.udf.CIQ(D108,"IQ_BUS_SEG_REV", H107-1, Valuation_date, ReportType,DataMode, F108,FXMode, C121)*Scale))</f>
        <v>#NAME?</v>
      </c>
      <c r="F121" s="1514" t="e">
        <f ca="1">IF(D106="","",IF(D121="","",_xll.ciqfunctions.udf.CIQ(D108,"IQ_BUS_SEG_REV", H107, Valuation_date, ReportType,DataMode, F108,FXMode, $C121)*Scale))</f>
        <v>#NAME?</v>
      </c>
      <c r="G121" s="1575" t="e">
        <f ca="1">IF(D121="","",IFERROR(F121/F127,"n/a"))</f>
        <v>#NAME?</v>
      </c>
      <c r="H121" s="1575" t="e">
        <f t="shared" ca="1" si="7"/>
        <v>#NAME?</v>
      </c>
      <c r="I121" s="1576" t="e">
        <f ca="1">IF(D106="","",IF(D121="","",_xll.ciqfunctions.udf.CIQ(D108,"IQ_BUS_SEG_DESCRIPTION", H107, Valuation_date, , , , , $C121)))</f>
        <v>#NAME?</v>
      </c>
      <c r="J121" s="393"/>
      <c r="K121" s="1509"/>
      <c r="L121" s="2060"/>
      <c r="M121" s="2060"/>
      <c r="N121" s="1508"/>
      <c r="O121" s="2060"/>
    </row>
    <row r="122" spans="1:15">
      <c r="A122" s="1518" t="e">
        <f t="shared" ca="1" si="6"/>
        <v>#NAME?</v>
      </c>
      <c r="B122" s="1518"/>
      <c r="C122" s="654">
        <v>11</v>
      </c>
      <c r="D122" s="656" t="e">
        <f ca="1">IF(D106="","",IF(ISNUMBER(_xll.ciqfunctions.udf.CIQ(D108,"IQ_BUS_SEG_NAME", H107, Valuation_date, , , , , $C122)),"",_xll.ciqfunctions.udf.CIQ(D108,"IQ_BUS_SEG_NAME", H107, Valuation_date, , , , , $C122)))</f>
        <v>#NAME?</v>
      </c>
      <c r="E122" s="1514" t="e">
        <f ca="1">IF(D106="","",IF(D122="","",_xll.ciqfunctions.udf.CIQ(D108,"IQ_BUS_SEG_REV", H107-1, Valuation_date, ReportType,DataMode, F108,FXMode, C122)*Scale))</f>
        <v>#NAME?</v>
      </c>
      <c r="F122" s="1514" t="e">
        <f ca="1">IF(D106="","",IF(D122="","",_xll.ciqfunctions.udf.CIQ(D108,"IQ_BUS_SEG_REV", H107, Valuation_date, ReportType,DataMode, F108,FXMode, $C122)*Scale))</f>
        <v>#NAME?</v>
      </c>
      <c r="G122" s="1575" t="e">
        <f ca="1">IF(D122="","",IFERROR(F122/F127,"n/a"))</f>
        <v>#NAME?</v>
      </c>
      <c r="H122" s="1575" t="e">
        <f t="shared" ca="1" si="7"/>
        <v>#NAME?</v>
      </c>
      <c r="I122" s="1576" t="e">
        <f ca="1">IF(D106="","",IF(D122="","",_xll.ciqfunctions.udf.CIQ(D108,"IQ_BUS_SEG_DESCRIPTION", H107, Valuation_date, , , , , $C122)))</f>
        <v>#NAME?</v>
      </c>
      <c r="J122" s="1574"/>
      <c r="K122" s="1509"/>
      <c r="L122" s="2060"/>
      <c r="M122" s="2060"/>
      <c r="N122" s="1508"/>
      <c r="O122" s="2060"/>
    </row>
    <row r="123" spans="1:15">
      <c r="A123" s="1518" t="e">
        <f t="shared" ca="1" si="6"/>
        <v>#NAME?</v>
      </c>
      <c r="B123" s="1518"/>
      <c r="C123" s="654">
        <v>12</v>
      </c>
      <c r="D123" s="656" t="e">
        <f ca="1">IF(D106="","",IF(ISNUMBER(_xll.ciqfunctions.udf.CIQ(D108,"IQ_BUS_SEG_NAME", H107, Valuation_date, , , , , $C123)),"",_xll.ciqfunctions.udf.CIQ(D108,"IQ_BUS_SEG_NAME", H107, Valuation_date, , , , , $C123)))</f>
        <v>#NAME?</v>
      </c>
      <c r="E123" s="1514" t="e">
        <f ca="1">IF(D106="","",IF(D123="","",_xll.ciqfunctions.udf.CIQ(D108,"IQ_BUS_SEG_REV", H107-1, Valuation_date, ReportType,DataMode, F108,FXMode, C123)*Scale))</f>
        <v>#NAME?</v>
      </c>
      <c r="F123" s="1514" t="e">
        <f ca="1">IF(D106="","",IF(D123="","",_xll.ciqfunctions.udf.CIQ(D108,"IQ_BUS_SEG_REV", H107, Valuation_date, ReportType,DataMode, F108,FXMode, $C123)*Scale))</f>
        <v>#NAME?</v>
      </c>
      <c r="G123" s="1575" t="e">
        <f ca="1">IF(D123="","",IFERROR(F123/F127,"n/a"))</f>
        <v>#NAME?</v>
      </c>
      <c r="H123" s="1575" t="e">
        <f t="shared" ca="1" si="7"/>
        <v>#NAME?</v>
      </c>
      <c r="I123" s="1576" t="e">
        <f ca="1">IF(D106="","",IF(D123="","",_xll.ciqfunctions.udf.CIQ(D108,"IQ_BUS_SEG_DESCRIPTION", H107, Valuation_date, , , , , $C123)))</f>
        <v>#NAME?</v>
      </c>
      <c r="J123" s="1574"/>
      <c r="K123" s="1509"/>
      <c r="L123" s="2060"/>
      <c r="M123" s="2060"/>
      <c r="N123" s="1508"/>
      <c r="O123" s="2060"/>
    </row>
    <row r="124" spans="1:15">
      <c r="A124" s="1518" t="e">
        <f t="shared" ca="1" si="6"/>
        <v>#NAME?</v>
      </c>
      <c r="B124" s="1518"/>
      <c r="C124" s="654">
        <v>13</v>
      </c>
      <c r="D124" s="656" t="e">
        <f ca="1">IF(D106="","",IF(ISNUMBER(_xll.ciqfunctions.udf.CIQ(D108,"IQ_BUS_SEG_NAME", H107, Valuation_date, , , , , $C124)),"",_xll.ciqfunctions.udf.CIQ(D108,"IQ_BUS_SEG_NAME", H107, Valuation_date, , , , , $C124)))</f>
        <v>#NAME?</v>
      </c>
      <c r="E124" s="1514" t="e">
        <f ca="1">IF(D106="","",IF(D124="","",_xll.ciqfunctions.udf.CIQ(D108,"IQ_BUS_SEG_REV", H107-1, Valuation_date, ReportType,DataMode, F108,FXMode, C124)*Scale))</f>
        <v>#NAME?</v>
      </c>
      <c r="F124" s="1514" t="e">
        <f ca="1">IF(D106="","",IF(D124="","",_xll.ciqfunctions.udf.CIQ(D108,"IQ_BUS_SEG_REV", H107, Valuation_date, ReportType,DataMode, F108,FXMode, $C124)*Scale))</f>
        <v>#NAME?</v>
      </c>
      <c r="G124" s="1575" t="e">
        <f ca="1">IF(D124="","",IFERROR(F124/F127,"n/a"))</f>
        <v>#NAME?</v>
      </c>
      <c r="H124" s="1575" t="e">
        <f t="shared" ca="1" si="7"/>
        <v>#NAME?</v>
      </c>
      <c r="I124" s="1576" t="e">
        <f ca="1">IF(D106="","",IF(D124="","",_xll.ciqfunctions.udf.CIQ(D108,"IQ_BUS_SEG_DESCRIPTION", H107, Valuation_date, , , , , $C124)))</f>
        <v>#NAME?</v>
      </c>
      <c r="J124" s="1574"/>
      <c r="K124" s="1509"/>
      <c r="L124" s="2060"/>
      <c r="M124" s="2060"/>
      <c r="N124" s="1508"/>
      <c r="O124" s="2060"/>
    </row>
    <row r="125" spans="1:15">
      <c r="A125" s="1518" t="e">
        <f ca="1">IF(D125="","n","")</f>
        <v>#NAME?</v>
      </c>
      <c r="B125" s="1518"/>
      <c r="C125" s="654">
        <v>14</v>
      </c>
      <c r="D125" s="656" t="e">
        <f ca="1">IF(D106="","",IF(ISNUMBER(_xll.ciqfunctions.udf.CIQ(D108,"IQ_BUS_SEG_NAME", H107, Valuation_date, , , , , $C125)),"",_xll.ciqfunctions.udf.CIQ(D108,"IQ_BUS_SEG_NAME", H107, Valuation_date, , , , , $C125)))</f>
        <v>#NAME?</v>
      </c>
      <c r="E125" s="1514" t="e">
        <f ca="1">IF(D106="","",IF(D125="","",_xll.ciqfunctions.udf.CIQ(D108,"IQ_BUS_SEG_REV", H107-1, Valuation_date, ReportType,DataMode, F108,FXMode, C125)*Scale))</f>
        <v>#NAME?</v>
      </c>
      <c r="F125" s="1514" t="e">
        <f ca="1">IF(D106="","",IF(D125="","",_xll.ciqfunctions.udf.CIQ(D108,"IQ_BUS_SEG_REV", H107, Valuation_date, ReportType,DataMode, F108,FXMode, $C125)*Scale))</f>
        <v>#NAME?</v>
      </c>
      <c r="G125" s="1575" t="e">
        <f ca="1">IF(D125="","",IFERROR(F125/F127,"n/a"))</f>
        <v>#NAME?</v>
      </c>
      <c r="H125" s="1575" t="e">
        <f t="shared" ca="1" si="7"/>
        <v>#NAME?</v>
      </c>
      <c r="I125" s="1576" t="e">
        <f ca="1">IF(D106="","",IF(D125="","",_xll.ciqfunctions.udf.CIQ(D108,"IQ_BUS_SEG_DESCRIPTION", H107, Valuation_date, , , , , $C125)))</f>
        <v>#NAME?</v>
      </c>
      <c r="J125" s="1574"/>
      <c r="K125" s="1509"/>
      <c r="L125" s="2060"/>
      <c r="M125" s="2060"/>
      <c r="N125" s="1508"/>
      <c r="O125" s="2060"/>
    </row>
    <row r="126" spans="1:15">
      <c r="A126" s="1518" t="e">
        <f ca="1">IF(D126="","n","")</f>
        <v>#NAME?</v>
      </c>
      <c r="B126" s="1518"/>
      <c r="C126" s="654">
        <v>15</v>
      </c>
      <c r="D126" s="656" t="e">
        <f ca="1">IF(D106="","",IF(ISNUMBER(_xll.ciqfunctions.udf.CIQ(D108,"IQ_BUS_SEG_NAME", H107, Valuation_date, , , , , $C126)),"",_xll.ciqfunctions.udf.CIQ(D108,"IQ_BUS_SEG_NAME", H107, Valuation_date, , , , , $C126)))</f>
        <v>#NAME?</v>
      </c>
      <c r="E126" s="1514" t="e">
        <f ca="1">IF(D106="","",IF(D126="","",_xll.ciqfunctions.udf.CIQ(D108,"IQ_BUS_SEG_REV", H107-1, Valuation_date, ReportType,DataMode, F108,FXMode, C126)*Scale))</f>
        <v>#NAME?</v>
      </c>
      <c r="F126" s="1514" t="e">
        <f ca="1">IF(D106="","",IF(D126="","",_xll.ciqfunctions.udf.CIQ(D108,"IQ_BUS_SEG_REV", H107, Valuation_date, ReportType,DataMode, F108,FXMode, $C126)*Scale))</f>
        <v>#NAME?</v>
      </c>
      <c r="G126" s="1575" t="e">
        <f ca="1">IF(D126="","",IFERROR(F126/F127,"n/a"))</f>
        <v>#NAME?</v>
      </c>
      <c r="H126" s="1575" t="e">
        <f t="shared" ca="1" si="7"/>
        <v>#NAME?</v>
      </c>
      <c r="I126" s="1576" t="e">
        <f ca="1">IF(D106="","",IF(D126="","",_xll.ciqfunctions.udf.CIQ(D108,"IQ_BUS_SEG_DESCRIPTION", H107, Valuation_date, , , , , $C126)))</f>
        <v>#NAME?</v>
      </c>
      <c r="J126" s="1574"/>
      <c r="K126" s="1509"/>
      <c r="L126" s="2060"/>
      <c r="M126" s="2060"/>
      <c r="N126" s="1508"/>
      <c r="O126" s="2060"/>
    </row>
    <row r="127" spans="1:15" ht="14.45" thickBot="1">
      <c r="A127" s="1518"/>
      <c r="B127" s="1518"/>
      <c r="C127" s="1572"/>
      <c r="D127" s="658" t="s">
        <v>1248</v>
      </c>
      <c r="E127" s="658" t="e">
        <f ca="1">SUM(E112:E126)</f>
        <v>#NAME?</v>
      </c>
      <c r="F127" s="658" t="e">
        <f ca="1">SUM(F112:F126)</f>
        <v>#NAME?</v>
      </c>
      <c r="G127" s="2257" t="e">
        <f ca="1">SUM(G112:G126)</f>
        <v>#NAME?</v>
      </c>
      <c r="H127" s="2257" t="str">
        <f ca="1">IF(D127="","",IFERROR(F127/E127-1,"n/a"))</f>
        <v>n/a</v>
      </c>
      <c r="I127" s="1571"/>
      <c r="J127" s="1574"/>
      <c r="K127" s="1509"/>
      <c r="L127" s="2060"/>
      <c r="M127" s="2060"/>
      <c r="N127" s="1508"/>
      <c r="O127" s="2060"/>
    </row>
    <row r="128" spans="1:15">
      <c r="A128" s="1518"/>
      <c r="B128" s="1518"/>
      <c r="C128" s="1572"/>
      <c r="D128" s="1514"/>
      <c r="E128" s="1514"/>
      <c r="F128" s="1575"/>
      <c r="G128" s="1514"/>
      <c r="H128" s="1575"/>
      <c r="I128" s="1571"/>
      <c r="J128" s="1574"/>
      <c r="K128" s="1509"/>
      <c r="L128" s="2060"/>
      <c r="M128" s="2060"/>
      <c r="N128" s="1508"/>
      <c r="O128" s="2060"/>
    </row>
    <row r="129" spans="1:26" s="1508" customFormat="1">
      <c r="A129" s="1518"/>
      <c r="B129" s="1518"/>
      <c r="C129" s="1572"/>
      <c r="D129" s="1514" t="s">
        <v>1707</v>
      </c>
      <c r="E129" s="1579"/>
      <c r="F129" s="1575"/>
      <c r="G129" s="1514"/>
      <c r="H129" s="1575"/>
      <c r="I129" s="1571"/>
      <c r="J129" s="1574"/>
      <c r="K129" s="1509"/>
      <c r="L129" s="2060"/>
      <c r="M129" s="2060"/>
      <c r="O129" s="2060"/>
    </row>
    <row r="130" spans="1:26">
      <c r="A130" s="1518"/>
      <c r="B130" s="1518"/>
      <c r="C130" s="1572"/>
      <c r="D130" s="1514" t="s">
        <v>1402</v>
      </c>
      <c r="E130" s="1514"/>
      <c r="F130" s="1575"/>
      <c r="G130" s="1514"/>
      <c r="H130" s="1575"/>
      <c r="I130" s="1571"/>
      <c r="J130" s="1574"/>
      <c r="K130" s="1509"/>
      <c r="L130" s="2060"/>
      <c r="M130" s="2060"/>
      <c r="N130" s="1508"/>
      <c r="O130" s="2060"/>
      <c r="P130" s="1508"/>
      <c r="Q130" s="1508"/>
      <c r="R130" s="1508"/>
      <c r="S130" s="1508"/>
      <c r="T130" s="1508"/>
      <c r="U130" s="1508"/>
      <c r="V130" s="1508"/>
      <c r="W130" s="1508"/>
      <c r="X130" s="1508"/>
      <c r="Y130" s="1508"/>
      <c r="Z130" s="1508"/>
    </row>
    <row r="131" spans="1:26">
      <c r="A131" s="1518"/>
      <c r="B131" s="1518"/>
      <c r="C131" s="1572"/>
      <c r="D131" s="1538"/>
      <c r="E131" s="1538"/>
      <c r="F131" s="1538"/>
      <c r="G131" s="1538"/>
      <c r="H131" s="1538"/>
      <c r="I131" s="1571"/>
      <c r="J131" s="1538"/>
      <c r="K131" s="1509"/>
      <c r="L131" s="2060"/>
      <c r="M131" s="2060"/>
      <c r="N131" s="2060"/>
      <c r="O131" s="2060"/>
      <c r="P131" s="2060"/>
      <c r="Q131" s="2060"/>
      <c r="R131" s="2060"/>
      <c r="S131" s="2060"/>
      <c r="T131" s="1508"/>
      <c r="U131" s="1508"/>
      <c r="V131" s="1508"/>
      <c r="W131" s="1508"/>
      <c r="X131" s="1508"/>
      <c r="Y131" s="1508"/>
      <c r="Z131" s="1508"/>
    </row>
    <row r="132" spans="1:26" s="178" customFormat="1" ht="13.5" customHeight="1">
      <c r="A132" s="1510"/>
      <c r="B132" s="1510"/>
      <c r="C132" s="387"/>
      <c r="D132" s="1513" t="str">
        <f ca="1">FootnoteDRAFT</f>
        <v>Run date: 05-August-2018  02:34 PM.   DRAFT document. All data subject to change upon completion of additional analysis.</v>
      </c>
      <c r="E132" s="1513"/>
      <c r="F132" s="373"/>
      <c r="G132" s="1513"/>
      <c r="H132" s="1513"/>
      <c r="I132" s="1562"/>
      <c r="J132" s="1512"/>
      <c r="K132" s="1509"/>
      <c r="L132" s="2060"/>
      <c r="M132" s="2060"/>
      <c r="N132" s="2060"/>
      <c r="O132" s="2060"/>
      <c r="P132" s="2060"/>
      <c r="Q132" s="2060"/>
      <c r="R132" s="2060"/>
      <c r="S132" s="2060"/>
      <c r="T132" s="2060"/>
      <c r="U132" s="2060"/>
      <c r="V132" s="2060"/>
      <c r="W132" s="2060"/>
      <c r="X132" s="2060"/>
      <c r="Y132" s="2060"/>
      <c r="Z132" s="2060"/>
    </row>
    <row r="133" spans="1:26" s="178" customFormat="1">
      <c r="A133" s="1510" t="s">
        <v>17</v>
      </c>
      <c r="B133" s="1510"/>
      <c r="C133" s="1510"/>
      <c r="D133" s="1510"/>
      <c r="E133" s="683"/>
      <c r="F133" s="1510"/>
      <c r="G133" s="1510"/>
      <c r="H133" s="1510"/>
      <c r="I133" s="1547"/>
      <c r="J133" s="1546" t="str">
        <f ca="1">IF(D141="","Page end","Continue")</f>
        <v>Continue</v>
      </c>
      <c r="K133" s="1510"/>
      <c r="L133" s="2060"/>
      <c r="M133" s="2060"/>
      <c r="N133" s="2060"/>
      <c r="O133" s="2060"/>
      <c r="P133" s="2060"/>
      <c r="Q133" s="2060"/>
      <c r="R133" s="2060"/>
      <c r="S133" s="2060"/>
      <c r="T133" s="2060"/>
      <c r="U133" s="2060"/>
      <c r="V133" s="2060"/>
      <c r="W133" s="2060"/>
      <c r="X133" s="2060"/>
      <c r="Y133" s="2060"/>
      <c r="Z133" s="2060"/>
    </row>
    <row r="134" spans="1:26" ht="18" customHeight="1">
      <c r="A134" s="1518"/>
      <c r="B134" s="1518"/>
      <c r="C134" s="292" t="str">
        <f ca="1">D139</f>
        <v>n/a</v>
      </c>
      <c r="D134" s="172"/>
      <c r="E134" s="674"/>
      <c r="F134" s="172"/>
      <c r="G134" s="172"/>
      <c r="H134" s="172"/>
      <c r="I134" s="1522"/>
      <c r="J134" s="389" t="str">
        <f>$J$1&amp;"."&amp;C139&amp;""</f>
        <v>Workpaper 6.4</v>
      </c>
      <c r="K134" s="1509"/>
      <c r="L134" s="1508"/>
      <c r="M134" s="2060"/>
      <c r="N134" s="1508"/>
      <c r="O134" s="2060"/>
      <c r="P134" s="1508"/>
      <c r="Q134" s="1508"/>
      <c r="R134" s="1508"/>
      <c r="S134" s="1508"/>
      <c r="T134" s="1508"/>
      <c r="U134" s="1508"/>
      <c r="V134" s="1508"/>
      <c r="W134" s="1508"/>
      <c r="X134" s="1508"/>
      <c r="Y134" s="1508"/>
      <c r="Z134" s="1508"/>
    </row>
    <row r="135" spans="1:26" ht="18" customHeight="1">
      <c r="A135" s="1518"/>
      <c r="B135" s="1518"/>
      <c r="C135" s="839" t="s">
        <v>1699</v>
      </c>
      <c r="D135" s="172"/>
      <c r="E135" s="172"/>
      <c r="F135" s="172"/>
      <c r="G135" s="172"/>
      <c r="H135" s="172"/>
      <c r="I135" s="1522"/>
      <c r="J135" s="187"/>
      <c r="K135" s="1509"/>
      <c r="L135" s="1508"/>
      <c r="M135" s="2060"/>
      <c r="N135" s="1508"/>
      <c r="O135" s="2060"/>
      <c r="P135" s="1508"/>
      <c r="Q135" s="1508"/>
      <c r="R135" s="1508"/>
      <c r="S135" s="1508"/>
      <c r="T135" s="1508"/>
      <c r="U135" s="1508"/>
      <c r="V135" s="1508"/>
      <c r="W135" s="1508"/>
      <c r="X135" s="1508"/>
      <c r="Y135" s="1508"/>
      <c r="Z135" s="1508"/>
    </row>
    <row r="136" spans="1:26" ht="18" customHeight="1">
      <c r="A136" s="1518"/>
      <c r="B136" s="1518"/>
      <c r="C136" s="366" t="str">
        <f ca="1">"(" &amp;F141&amp;" in "&amp;ScaleInput&amp;")"</f>
        <v>(USD in Millions)</v>
      </c>
      <c r="D136" s="1508"/>
      <c r="E136" s="170"/>
      <c r="F136" s="170"/>
      <c r="G136" s="170"/>
      <c r="H136" s="170"/>
      <c r="I136" s="1521"/>
      <c r="J136" s="1508"/>
      <c r="K136" s="1509"/>
      <c r="L136" s="1508"/>
      <c r="M136" s="2060"/>
      <c r="N136" s="1508"/>
      <c r="O136" s="2060"/>
      <c r="P136" s="1508"/>
      <c r="Q136" s="1508"/>
      <c r="R136" s="1508"/>
      <c r="S136" s="1508"/>
      <c r="T136" s="1508"/>
      <c r="U136" s="1508"/>
      <c r="V136" s="1508"/>
      <c r="W136" s="1508"/>
      <c r="X136" s="1508"/>
      <c r="Y136" s="1508"/>
      <c r="Z136" s="1508"/>
    </row>
    <row r="137" spans="1:26" ht="18" customHeight="1">
      <c r="A137" s="1518"/>
      <c r="B137" s="1518"/>
      <c r="C137" s="366"/>
      <c r="D137" s="1508"/>
      <c r="E137" s="172"/>
      <c r="F137" s="172"/>
      <c r="G137" s="172"/>
      <c r="H137" s="172"/>
      <c r="I137" s="1522"/>
      <c r="J137" s="1508"/>
      <c r="K137" s="1509"/>
      <c r="L137" s="1508"/>
      <c r="M137" s="2060"/>
      <c r="N137" s="1508"/>
      <c r="O137" s="2060"/>
      <c r="P137" s="1508"/>
      <c r="Q137" s="1508"/>
      <c r="R137" s="1508"/>
      <c r="S137" s="1508"/>
      <c r="T137" s="1508"/>
      <c r="U137" s="1508"/>
      <c r="V137" s="1508"/>
      <c r="W137" s="1508"/>
      <c r="X137" s="1508"/>
      <c r="Y137" s="1508"/>
      <c r="Z137" s="1508"/>
    </row>
    <row r="138" spans="1:26">
      <c r="A138" s="1518"/>
      <c r="B138" s="1518"/>
      <c r="C138" s="225"/>
      <c r="D138" s="1508"/>
      <c r="E138" s="1508"/>
      <c r="F138" s="1508"/>
      <c r="G138" s="1508"/>
      <c r="H138" s="1508"/>
      <c r="I138" s="1515"/>
      <c r="J138" s="1508"/>
      <c r="K138" s="1509"/>
      <c r="L138" s="1508"/>
      <c r="M138" s="2060"/>
      <c r="N138" s="1508"/>
      <c r="O138" s="2060"/>
      <c r="P138" s="1508"/>
      <c r="Q138" s="1508"/>
      <c r="R138" s="1508"/>
      <c r="S138" s="1508"/>
      <c r="T138" s="1508"/>
      <c r="U138" s="1508"/>
      <c r="V138" s="1508"/>
      <c r="W138" s="1508"/>
      <c r="X138" s="1508"/>
      <c r="Y138" s="1508"/>
      <c r="Z138" s="1508"/>
    </row>
    <row r="139" spans="1:26">
      <c r="A139" s="1518"/>
      <c r="B139" s="1518"/>
      <c r="C139" s="653">
        <v>4</v>
      </c>
      <c r="D139" s="179" t="str">
        <f ca="1">IF(D141=0,"n/a",IFERROR(_xll.ciqfunctions.udf.CIQ(D141,"IQ_COMPANY_NAME"),"n/a"))</f>
        <v>n/a</v>
      </c>
      <c r="E139" s="1538"/>
      <c r="F139" s="1538"/>
      <c r="G139" s="1538"/>
      <c r="H139" s="1538"/>
      <c r="I139" s="1571"/>
      <c r="J139" s="1538"/>
      <c r="K139" s="1509"/>
      <c r="L139" s="1508"/>
      <c r="M139" s="2060"/>
      <c r="N139" s="1508"/>
      <c r="O139" s="2060"/>
      <c r="P139" s="1508"/>
      <c r="Q139" s="1508"/>
      <c r="R139" s="1508"/>
      <c r="S139" s="1508"/>
      <c r="T139" s="1508"/>
      <c r="U139" s="1508"/>
      <c r="V139" s="1508"/>
      <c r="W139" s="1508"/>
      <c r="X139" s="1508"/>
      <c r="Y139" s="1508"/>
      <c r="Z139" s="1508"/>
    </row>
    <row r="140" spans="1:26">
      <c r="A140" s="1518"/>
      <c r="B140" s="1518"/>
      <c r="C140" s="1572"/>
      <c r="D140" s="2258" t="s">
        <v>134</v>
      </c>
      <c r="E140" s="2246" t="s">
        <v>1708</v>
      </c>
      <c r="F140" s="2247" t="s">
        <v>167</v>
      </c>
      <c r="G140" s="2247" t="s">
        <v>1700</v>
      </c>
      <c r="H140" s="2248">
        <f>INDEX($W$9:$W$14,MATCH(H141,PeriodList,0))</f>
        <v>2000</v>
      </c>
      <c r="I140" s="1571"/>
      <c r="J140" s="217"/>
      <c r="K140" s="1509"/>
      <c r="L140" s="1508"/>
      <c r="M140" s="2060"/>
      <c r="N140" s="1508"/>
      <c r="O140" s="2060"/>
      <c r="P140" s="1508"/>
      <c r="Q140" s="1508"/>
      <c r="R140" s="1508"/>
      <c r="S140" s="1508"/>
      <c r="T140" s="1508"/>
      <c r="U140" s="1508"/>
      <c r="V140" s="1508"/>
      <c r="W140" s="1508"/>
      <c r="X140" s="1508"/>
      <c r="Y140" s="1508"/>
      <c r="Z140" s="1508"/>
    </row>
    <row r="141" spans="1:26" s="185" customFormat="1">
      <c r="A141" s="1518"/>
      <c r="B141" s="1518"/>
      <c r="C141" s="654"/>
      <c r="D141" s="2249">
        <f ca="1">OFFSET(GCIdentifierTop,C139,0)</f>
        <v>0</v>
      </c>
      <c r="E141" s="2250" t="str">
        <f ca="1">IF($D141="","",IFERROR(_xll.ciqfunctions.udf.CIQ($D141,"IQ_PERIODDATE",H140,Valuation_date),"n/a"))</f>
        <v>n/a</v>
      </c>
      <c r="F141" s="2251" t="str">
        <f ca="1">IFERROR(IF(C139=0,SubjOutputCurrencyCode,IF(D141="","",IF(OutputCurrency="Filing",_xll.ciqfunctions.udf.CIQ($D141,"IQ_FILING_CURRENCY",500,Valuation_date,ReportType,DataMode),OutputCurrency))),OutputCurrency)</f>
        <v>USD</v>
      </c>
      <c r="G141" s="2252" t="e">
        <f ca="1">IF(D139="","",_xll.ciqfunctions.udf.CIQ(D141,"IQ_TOTAL_REV", H140, Valuation_date,ReportType,DataMode,F141,FXMode))</f>
        <v>#NAME?</v>
      </c>
      <c r="H141" s="2260" t="str">
        <f>$H$9</f>
        <v>LTM/LFQ</v>
      </c>
      <c r="I141" s="1573"/>
      <c r="J141" s="392"/>
      <c r="K141" s="1509"/>
      <c r="M141" s="2060"/>
      <c r="O141" s="2060"/>
    </row>
    <row r="142" spans="1:26">
      <c r="A142" s="1518"/>
      <c r="B142" s="1518"/>
      <c r="C142" s="654"/>
      <c r="D142" s="1538"/>
      <c r="E142" s="1538"/>
      <c r="F142" s="1538"/>
      <c r="G142" s="1538"/>
      <c r="H142" s="1538"/>
      <c r="I142" s="1571"/>
      <c r="J142" s="655"/>
      <c r="K142" s="1509"/>
      <c r="L142" s="1508"/>
      <c r="M142" s="2060"/>
      <c r="N142" s="1508"/>
      <c r="O142" s="2060"/>
      <c r="P142" s="1508"/>
      <c r="Q142" s="1508"/>
      <c r="R142" s="1508"/>
      <c r="S142" s="1508"/>
      <c r="T142" s="1508"/>
      <c r="U142" s="1508"/>
      <c r="V142" s="1508"/>
      <c r="W142" s="1508"/>
      <c r="X142" s="1508"/>
      <c r="Y142" s="1508"/>
      <c r="Z142" s="1508"/>
    </row>
    <row r="143" spans="1:26">
      <c r="A143" s="1518"/>
      <c r="B143" s="1518"/>
      <c r="C143" s="654"/>
      <c r="D143" s="741"/>
      <c r="E143" s="744" t="e">
        <f ca="1">IF(D141="",Valuation_date,_xll.ciqfunctions.udf.CIQ(D141,"IQ_PERIODDATE",H140-IF(LEFT(H141,3)="LFY",1,4),Valuation_date))</f>
        <v>#NAME?</v>
      </c>
      <c r="F143" s="742" t="e">
        <f ca="1">IF(D141="",Valuation_date,_xll.ciqfunctions.udf.CIQ(D141,"IQ_PERIODDATE",H140,Valuation_date))</f>
        <v>#NAME?</v>
      </c>
      <c r="G143" s="741"/>
      <c r="H143" s="743" t="s">
        <v>1702</v>
      </c>
      <c r="I143" s="1587"/>
      <c r="J143" s="655"/>
      <c r="K143" s="1509"/>
      <c r="L143" s="1508"/>
      <c r="M143" s="2060"/>
      <c r="N143" s="1508"/>
      <c r="O143" s="2060"/>
      <c r="P143" s="1508"/>
      <c r="Q143" s="1508"/>
      <c r="R143" s="1508"/>
      <c r="S143" s="1508"/>
      <c r="T143" s="1508"/>
      <c r="U143" s="1508"/>
      <c r="V143" s="1508"/>
      <c r="W143" s="1508"/>
      <c r="X143" s="1508"/>
      <c r="Y143" s="1508"/>
      <c r="Z143" s="1508"/>
    </row>
    <row r="144" spans="1:26" s="151" customFormat="1">
      <c r="A144" s="1518"/>
      <c r="B144" s="1518"/>
      <c r="C144" s="654"/>
      <c r="D144" s="2254" t="s">
        <v>1703</v>
      </c>
      <c r="E144" s="2255" t="s">
        <v>1458</v>
      </c>
      <c r="F144" s="2255" t="s">
        <v>1458</v>
      </c>
      <c r="G144" s="2255" t="s">
        <v>1704</v>
      </c>
      <c r="H144" s="2255" t="s">
        <v>1705</v>
      </c>
      <c r="I144" s="2256" t="s">
        <v>1706</v>
      </c>
      <c r="J144" s="1574"/>
      <c r="K144" s="1509"/>
      <c r="L144" s="2060"/>
      <c r="M144" s="2060"/>
      <c r="O144" s="2060"/>
    </row>
    <row r="145" spans="1:15">
      <c r="A145" s="1518" t="e">
        <f t="shared" ref="A145:A157" ca="1" si="8">IF(D145="","n","")</f>
        <v>#NAME?</v>
      </c>
      <c r="B145" s="1518"/>
      <c r="C145" s="654">
        <v>1</v>
      </c>
      <c r="D145" s="656" t="e">
        <f ca="1">IF(D139="","",IF(ISNUMBER(_xll.ciqfunctions.udf.CIQ(D141,"IQ_BUS_SEG_NAME", H140, Valuation_date, , , , , $C145)),"",_xll.ciqfunctions.udf.CIQ(D141,"IQ_BUS_SEG_NAME", H140, Valuation_date, , , , , $C145)))</f>
        <v>#NAME?</v>
      </c>
      <c r="E145" s="1514" t="e">
        <f ca="1">IF(D139="","",IF(D145="","",_xll.ciqfunctions.udf.CIQ(D141,"IQ_BUS_SEG_REV", H140-1, Valuation_date, ReportType,DataMode, F141,FXMode, C145)*Scale))</f>
        <v>#NAME?</v>
      </c>
      <c r="F145" s="1514" t="e">
        <f ca="1">IF(D139="","",IF(D145="","",_xll.ciqfunctions.udf.CIQ(D141,"IQ_BUS_SEG_REV", H140, Valuation_date, ReportType,DataMode, F141,FXMode, $C145)*Scale))</f>
        <v>#NAME?</v>
      </c>
      <c r="G145" s="1575" t="e">
        <f ca="1">IF(D145="","",IFERROR(F145/F160,"n/a"))</f>
        <v>#NAME?</v>
      </c>
      <c r="H145" s="1575" t="e">
        <f ca="1">IF(D145="","",IFERROR(F145/E145-1,"n/a"))</f>
        <v>#NAME?</v>
      </c>
      <c r="I145" s="1576" t="e">
        <f ca="1">IF(D139="","",IF(D145="","",_xll.ciqfunctions.udf.CIQ(D141,"IQ_BUS_SEG_DESCRIPTION", H140, Valuation_date, , , , , $C145)))</f>
        <v>#NAME?</v>
      </c>
      <c r="J145" s="393"/>
      <c r="K145" s="1509"/>
      <c r="L145" s="2060"/>
      <c r="M145" s="2060"/>
      <c r="N145" s="1508"/>
      <c r="O145" s="2060"/>
    </row>
    <row r="146" spans="1:15">
      <c r="A146" s="1518" t="e">
        <f t="shared" ca="1" si="8"/>
        <v>#NAME?</v>
      </c>
      <c r="B146" s="1518"/>
      <c r="C146" s="654">
        <v>2</v>
      </c>
      <c r="D146" s="656" t="e">
        <f ca="1">IF(D139="","",IF(ISNUMBER(_xll.ciqfunctions.udf.CIQ(D141,"IQ_BUS_SEG_NAME", H140, Valuation_date, , , , , $C146)),"",_xll.ciqfunctions.udf.CIQ(D141,"IQ_BUS_SEG_NAME", H140, Valuation_date, , , , , $C146)))</f>
        <v>#NAME?</v>
      </c>
      <c r="E146" s="1514" t="e">
        <f ca="1">IF(D139="","",IF(D146="","",_xll.ciqfunctions.udf.CIQ(D141,"IQ_BUS_SEG_REV", H140-1, Valuation_date, ReportType,DataMode, F141,FXMode, C146)*Scale))</f>
        <v>#NAME?</v>
      </c>
      <c r="F146" s="1514" t="e">
        <f ca="1">IF(D139="","",IF(D146="","",_xll.ciqfunctions.udf.CIQ(D141,"IQ_BUS_SEG_REV", H140, Valuation_date, ReportType,DataMode, F141,FXMode, $C146)*Scale))</f>
        <v>#NAME?</v>
      </c>
      <c r="G146" s="1575" t="e">
        <f ca="1">IF(D146="","",IFERROR(F146/F160,"n/a"))</f>
        <v>#NAME?</v>
      </c>
      <c r="H146" s="1575" t="e">
        <f t="shared" ref="H146:H159" ca="1" si="9">IF(D146="","",IFERROR(F146/E146-1,"n/a"))</f>
        <v>#NAME?</v>
      </c>
      <c r="I146" s="1576" t="e">
        <f ca="1">IF(D139="","",IF(D146="","",_xll.ciqfunctions.udf.CIQ(D141,"IQ_BUS_SEG_DESCRIPTION", H140, Valuation_date, , , , , $C146)))</f>
        <v>#NAME?</v>
      </c>
      <c r="J146" s="393"/>
      <c r="K146" s="1509"/>
      <c r="L146" s="2060"/>
      <c r="M146" s="2060"/>
      <c r="N146" s="1508"/>
      <c r="O146" s="2060"/>
    </row>
    <row r="147" spans="1:15">
      <c r="A147" s="1518" t="e">
        <f t="shared" ca="1" si="8"/>
        <v>#NAME?</v>
      </c>
      <c r="B147" s="1518"/>
      <c r="C147" s="654">
        <v>3</v>
      </c>
      <c r="D147" s="656" t="e">
        <f ca="1">IF(D139="","",IF(ISNUMBER(_xll.ciqfunctions.udf.CIQ(D141,"IQ_BUS_SEG_NAME", H140, Valuation_date, , , , , $C147)),"",_xll.ciqfunctions.udf.CIQ(D141,"IQ_BUS_SEG_NAME", H140, Valuation_date, , , , , $C147)))</f>
        <v>#NAME?</v>
      </c>
      <c r="E147" s="1514" t="e">
        <f ca="1">IF(D139="","",IF(D147="","",_xll.ciqfunctions.udf.CIQ(D141,"IQ_BUS_SEG_REV", H140-1, Valuation_date, ReportType,DataMode, F141,FXMode, C147)*Scale))</f>
        <v>#NAME?</v>
      </c>
      <c r="F147" s="1514" t="e">
        <f ca="1">IF(D139="","",IF(D147="","",_xll.ciqfunctions.udf.CIQ(D141,"IQ_BUS_SEG_REV", H140, Valuation_date, ReportType,DataMode, F141,FXMode, $C147)*Scale))</f>
        <v>#NAME?</v>
      </c>
      <c r="G147" s="1575" t="e">
        <f ca="1">IF(D147="","",IFERROR(F147/F160,"n/a"))</f>
        <v>#NAME?</v>
      </c>
      <c r="H147" s="1575" t="e">
        <f t="shared" ca="1" si="9"/>
        <v>#NAME?</v>
      </c>
      <c r="I147" s="1576" t="e">
        <f ca="1">IF(D139="","",IF(D147="","",_xll.ciqfunctions.udf.CIQ(D141,"IQ_BUS_SEG_DESCRIPTION", H140, Valuation_date, , , , , $C147)))</f>
        <v>#NAME?</v>
      </c>
      <c r="J147" s="393"/>
      <c r="K147" s="1509"/>
      <c r="L147" s="2060"/>
      <c r="M147" s="2060"/>
      <c r="N147" s="1508"/>
      <c r="O147" s="2060"/>
    </row>
    <row r="148" spans="1:15">
      <c r="A148" s="1518" t="e">
        <f t="shared" ca="1" si="8"/>
        <v>#NAME?</v>
      </c>
      <c r="B148" s="1518"/>
      <c r="C148" s="654">
        <v>4</v>
      </c>
      <c r="D148" s="656" t="e">
        <f ca="1">IF(D139="","",IF(ISNUMBER(_xll.ciqfunctions.udf.CIQ(D141,"IQ_BUS_SEG_NAME", H140, Valuation_date, , , , , $C148)),"",_xll.ciqfunctions.udf.CIQ(D141,"IQ_BUS_SEG_NAME", H140, Valuation_date, , , , , $C148)))</f>
        <v>#NAME?</v>
      </c>
      <c r="E148" s="1514" t="e">
        <f ca="1">IF(D139="","",IF(D148="","",_xll.ciqfunctions.udf.CIQ(D141,"IQ_BUS_SEG_REV", H140-1, Valuation_date, ReportType,DataMode, F141,FXMode, C148)*Scale))</f>
        <v>#NAME?</v>
      </c>
      <c r="F148" s="1514" t="e">
        <f ca="1">IF(D139="","",IF(D148="","",_xll.ciqfunctions.udf.CIQ(D141,"IQ_BUS_SEG_REV", H140, Valuation_date, ReportType,DataMode, F141,FXMode, $C148)*Scale))</f>
        <v>#NAME?</v>
      </c>
      <c r="G148" s="1575" t="e">
        <f ca="1">IF(D148="","",IFERROR(F148/F160,"n/a"))</f>
        <v>#NAME?</v>
      </c>
      <c r="H148" s="1575" t="e">
        <f t="shared" ca="1" si="9"/>
        <v>#NAME?</v>
      </c>
      <c r="I148" s="1576" t="e">
        <f ca="1">IF(D139="","",IF(D148="","",_xll.ciqfunctions.udf.CIQ(D141,"IQ_BUS_SEG_DESCRIPTION", H140, Valuation_date, , , , , $C148)))</f>
        <v>#NAME?</v>
      </c>
      <c r="J148" s="393"/>
      <c r="K148" s="1509"/>
      <c r="L148" s="2060"/>
      <c r="M148" s="2060"/>
      <c r="N148" s="1508"/>
      <c r="O148" s="2060"/>
    </row>
    <row r="149" spans="1:15">
      <c r="A149" s="1518" t="e">
        <f t="shared" ca="1" si="8"/>
        <v>#NAME?</v>
      </c>
      <c r="B149" s="1518"/>
      <c r="C149" s="654">
        <v>5</v>
      </c>
      <c r="D149" s="656" t="e">
        <f ca="1">IF(D139="","",IF(ISNUMBER(_xll.ciqfunctions.udf.CIQ(D141,"IQ_BUS_SEG_NAME", H140, Valuation_date, , , , , $C149)),"",_xll.ciqfunctions.udf.CIQ(D141,"IQ_BUS_SEG_NAME", H140, Valuation_date, , , , , $C149)))</f>
        <v>#NAME?</v>
      </c>
      <c r="E149" s="1514" t="e">
        <f ca="1">IF(D139="","",IF(D149="","",_xll.ciqfunctions.udf.CIQ(D141,"IQ_BUS_SEG_REV", H140-1, Valuation_date, ReportType,DataMode, F141,FXMode, C149)*Scale))</f>
        <v>#NAME?</v>
      </c>
      <c r="F149" s="1514" t="e">
        <f ca="1">IF(D139="","",IF(D149="","",_xll.ciqfunctions.udf.CIQ(D141,"IQ_BUS_SEG_REV", H140, Valuation_date, ReportType,DataMode, F141,FXMode, $C149)*Scale))</f>
        <v>#NAME?</v>
      </c>
      <c r="G149" s="1575" t="e">
        <f ca="1">IF(D149="","",IFERROR(F149/F160,"n/a"))</f>
        <v>#NAME?</v>
      </c>
      <c r="H149" s="1575" t="e">
        <f t="shared" ca="1" si="9"/>
        <v>#NAME?</v>
      </c>
      <c r="I149" s="1576" t="e">
        <f ca="1">IF(D139="","",IF(D149="","",_xll.ciqfunctions.udf.CIQ(D141,"IQ_BUS_SEG_DESCRIPTION", H140, Valuation_date, , , , , $C149)))</f>
        <v>#NAME?</v>
      </c>
      <c r="J149" s="657"/>
      <c r="K149" s="1509"/>
      <c r="L149" s="2060"/>
      <c r="M149" s="2060"/>
      <c r="N149" s="1508"/>
      <c r="O149" s="2060"/>
    </row>
    <row r="150" spans="1:15">
      <c r="A150" s="1518" t="e">
        <f t="shared" ca="1" si="8"/>
        <v>#NAME?</v>
      </c>
      <c r="B150" s="1518"/>
      <c r="C150" s="654">
        <v>6</v>
      </c>
      <c r="D150" s="656" t="e">
        <f ca="1">IF(D139="","",IF(ISNUMBER(_xll.ciqfunctions.udf.CIQ(D141,"IQ_BUS_SEG_NAME", H140, Valuation_date, , , , , $C150)),"",_xll.ciqfunctions.udf.CIQ(D141,"IQ_BUS_SEG_NAME", H140, Valuation_date, , , , , $C150)))</f>
        <v>#NAME?</v>
      </c>
      <c r="E150" s="1514" t="e">
        <f ca="1">IF(D139="","",IF(D150="","",_xll.ciqfunctions.udf.CIQ(D141,"IQ_BUS_SEG_REV", H140-1, Valuation_date, ReportType,DataMode, F141,FXMode, C150)*Scale))</f>
        <v>#NAME?</v>
      </c>
      <c r="F150" s="1514" t="e">
        <f ca="1">IF(D139="","",IF(D150="","",_xll.ciqfunctions.udf.CIQ(D141,"IQ_BUS_SEG_REV", H140, Valuation_date, ReportType,DataMode, F141,FXMode, $C150)*Scale))</f>
        <v>#NAME?</v>
      </c>
      <c r="G150" s="1575" t="e">
        <f ca="1">IF(D150="","",IFERROR(F150/F160,"n/a"))</f>
        <v>#NAME?</v>
      </c>
      <c r="H150" s="1575" t="e">
        <f t="shared" ca="1" si="9"/>
        <v>#NAME?</v>
      </c>
      <c r="I150" s="1576" t="e">
        <f ca="1">IF(D139="","",IF(D150="","",_xll.ciqfunctions.udf.CIQ(D141,"IQ_BUS_SEG_DESCRIPTION", H140, Valuation_date, , , , , $C150)))</f>
        <v>#NAME?</v>
      </c>
      <c r="J150" s="657"/>
      <c r="K150" s="1509"/>
      <c r="L150" s="2060"/>
      <c r="M150" s="2060"/>
      <c r="N150" s="1508"/>
      <c r="O150" s="2060"/>
    </row>
    <row r="151" spans="1:15">
      <c r="A151" s="1518" t="e">
        <f t="shared" ca="1" si="8"/>
        <v>#NAME?</v>
      </c>
      <c r="B151" s="1518"/>
      <c r="C151" s="654">
        <v>7</v>
      </c>
      <c r="D151" s="656" t="e">
        <f ca="1">IF(D139="","",IF(ISNUMBER(_xll.ciqfunctions.udf.CIQ(D141,"IQ_BUS_SEG_NAME", H140, Valuation_date, , , , , $C151)),"",_xll.ciqfunctions.udf.CIQ(D141,"IQ_BUS_SEG_NAME", H140, Valuation_date, , , , , $C151)))</f>
        <v>#NAME?</v>
      </c>
      <c r="E151" s="1514" t="e">
        <f ca="1">IF(D139="","",IF(D151="","",_xll.ciqfunctions.udf.CIQ(D141,"IQ_BUS_SEG_REV", H140-1, Valuation_date, ReportType,DataMode, F141,FXMode, C151)*Scale))</f>
        <v>#NAME?</v>
      </c>
      <c r="F151" s="1514" t="e">
        <f ca="1">IF(D139="","",IF(D151="","",_xll.ciqfunctions.udf.CIQ(D141,"IQ_BUS_SEG_REV", H140, Valuation_date, ReportType,DataMode, F141,FXMode, $C151)*Scale))</f>
        <v>#NAME?</v>
      </c>
      <c r="G151" s="1575" t="e">
        <f ca="1">IF(D151="","",IFERROR(F151/F160,"n/a"))</f>
        <v>#NAME?</v>
      </c>
      <c r="H151" s="1575" t="e">
        <f t="shared" ca="1" si="9"/>
        <v>#NAME?</v>
      </c>
      <c r="I151" s="1576" t="e">
        <f ca="1">IF(D139="","",IF(D151="","",_xll.ciqfunctions.udf.CIQ(D141,"IQ_BUS_SEG_DESCRIPTION", H140, Valuation_date, , , , , $C151)))</f>
        <v>#NAME?</v>
      </c>
      <c r="J151" s="655"/>
      <c r="K151" s="1509"/>
      <c r="L151" s="2060"/>
      <c r="M151" s="2060"/>
      <c r="N151" s="1508"/>
      <c r="O151" s="2060"/>
    </row>
    <row r="152" spans="1:15">
      <c r="A152" s="1518" t="e">
        <f t="shared" ca="1" si="8"/>
        <v>#NAME?</v>
      </c>
      <c r="B152" s="1518"/>
      <c r="C152" s="654">
        <v>8</v>
      </c>
      <c r="D152" s="656" t="e">
        <f ca="1">IF(D139="","",IF(ISNUMBER(_xll.ciqfunctions.udf.CIQ(D141,"IQ_BUS_SEG_NAME", H140, Valuation_date, , , , , $C152)),"",_xll.ciqfunctions.udf.CIQ(D141,"IQ_BUS_SEG_NAME", H140, Valuation_date, , , , , $C152)))</f>
        <v>#NAME?</v>
      </c>
      <c r="E152" s="1514" t="e">
        <f ca="1">IF(D139="","",IF(D152="","",_xll.ciqfunctions.udf.CIQ(D141,"IQ_BUS_SEG_REV", H140-1, Valuation_date, ReportType,DataMode, F141,FXMode, C152)*Scale))</f>
        <v>#NAME?</v>
      </c>
      <c r="F152" s="1514" t="e">
        <f ca="1">IF(D139="","",IF(D152="","",_xll.ciqfunctions.udf.CIQ(D141,"IQ_BUS_SEG_REV", H140, Valuation_date, ReportType,DataMode, F141,FXMode, $C152)*Scale))</f>
        <v>#NAME?</v>
      </c>
      <c r="G152" s="1575" t="e">
        <f ca="1">IF(D152="","",IFERROR(F152/F160,"n/a"))</f>
        <v>#NAME?</v>
      </c>
      <c r="H152" s="1575" t="e">
        <f t="shared" ca="1" si="9"/>
        <v>#NAME?</v>
      </c>
      <c r="I152" s="1576" t="e">
        <f ca="1">IF(D139="","",IF(D152="","",_xll.ciqfunctions.udf.CIQ(D141,"IQ_BUS_SEG_DESCRIPTION", H140, Valuation_date, , , , , $C152)))</f>
        <v>#NAME?</v>
      </c>
      <c r="J152" s="1574"/>
      <c r="K152" s="1509"/>
      <c r="L152" s="2060"/>
      <c r="M152" s="2060"/>
      <c r="N152" s="1508"/>
      <c r="O152" s="2060"/>
    </row>
    <row r="153" spans="1:15" s="151" customFormat="1">
      <c r="A153" s="1518" t="e">
        <f t="shared" ca="1" si="8"/>
        <v>#NAME?</v>
      </c>
      <c r="B153" s="1518"/>
      <c r="C153" s="654">
        <v>9</v>
      </c>
      <c r="D153" s="656" t="e">
        <f ca="1">IF(D139="","",IF(ISNUMBER(_xll.ciqfunctions.udf.CIQ(D141,"IQ_BUS_SEG_NAME", H140, Valuation_date, , , , , $C153)),"",_xll.ciqfunctions.udf.CIQ(D141,"IQ_BUS_SEG_NAME", H140, Valuation_date, , , , , $C153)))</f>
        <v>#NAME?</v>
      </c>
      <c r="E153" s="1514" t="e">
        <f ca="1">IF(D139="","",IF(D153="","",_xll.ciqfunctions.udf.CIQ(D141,"IQ_BUS_SEG_REV", H140-1, Valuation_date, ReportType,DataMode, F141,FXMode, C153)*Scale))</f>
        <v>#NAME?</v>
      </c>
      <c r="F153" s="1514" t="e">
        <f ca="1">IF(D139="","",IF(D153="","",_xll.ciqfunctions.udf.CIQ(D141,"IQ_BUS_SEG_REV", H140, Valuation_date, ReportType,DataMode, F141,FXMode, $C153)*Scale))</f>
        <v>#NAME?</v>
      </c>
      <c r="G153" s="1575" t="e">
        <f ca="1">IF(D153="","",IFERROR(F153/F160,"n/a"))</f>
        <v>#NAME?</v>
      </c>
      <c r="H153" s="1575" t="e">
        <f t="shared" ca="1" si="9"/>
        <v>#NAME?</v>
      </c>
      <c r="I153" s="1576" t="e">
        <f ca="1">IF(D139="","",IF(D153="","",_xll.ciqfunctions.udf.CIQ(D141,"IQ_BUS_SEG_DESCRIPTION", H140, Valuation_date, , , , , $C153)))</f>
        <v>#NAME?</v>
      </c>
      <c r="J153" s="1574"/>
      <c r="K153" s="1509"/>
      <c r="L153" s="2060"/>
      <c r="M153" s="2060"/>
      <c r="O153" s="2060"/>
    </row>
    <row r="154" spans="1:15">
      <c r="A154" s="1518" t="e">
        <f t="shared" ca="1" si="8"/>
        <v>#NAME?</v>
      </c>
      <c r="B154" s="1518"/>
      <c r="C154" s="654">
        <v>10</v>
      </c>
      <c r="D154" s="656" t="e">
        <f ca="1">IF(D139="","",IF(ISNUMBER(_xll.ciqfunctions.udf.CIQ(D141,"IQ_BUS_SEG_NAME", H140, Valuation_date, , , , , $C154)),"",_xll.ciqfunctions.udf.CIQ(D141,"IQ_BUS_SEG_NAME", H140, Valuation_date, , , , , $C154)))</f>
        <v>#NAME?</v>
      </c>
      <c r="E154" s="1514" t="e">
        <f ca="1">IF(D139="","",IF(D154="","",_xll.ciqfunctions.udf.CIQ(D141,"IQ_BUS_SEG_REV", H140-1, Valuation_date, ReportType,DataMode, F141,FXMode, C154)*Scale))</f>
        <v>#NAME?</v>
      </c>
      <c r="F154" s="1514" t="e">
        <f ca="1">IF(D139="","",IF(D154="","",_xll.ciqfunctions.udf.CIQ(D141,"IQ_BUS_SEG_REV", H140, Valuation_date, ReportType,DataMode, F141,FXMode, $C154)*Scale))</f>
        <v>#NAME?</v>
      </c>
      <c r="G154" s="1575" t="e">
        <f ca="1">IF(D154="","",IFERROR(F154/F160,"n/a"))</f>
        <v>#NAME?</v>
      </c>
      <c r="H154" s="1575" t="e">
        <f t="shared" ca="1" si="9"/>
        <v>#NAME?</v>
      </c>
      <c r="I154" s="1576" t="e">
        <f ca="1">IF(D139="","",IF(D154="","",_xll.ciqfunctions.udf.CIQ(D141,"IQ_BUS_SEG_DESCRIPTION", H140, Valuation_date, , , , , $C154)))</f>
        <v>#NAME?</v>
      </c>
      <c r="J154" s="393"/>
      <c r="K154" s="1509"/>
      <c r="L154" s="2060"/>
      <c r="M154" s="2060"/>
      <c r="N154" s="1508"/>
      <c r="O154" s="2060"/>
    </row>
    <row r="155" spans="1:15">
      <c r="A155" s="1518" t="e">
        <f t="shared" ca="1" si="8"/>
        <v>#NAME?</v>
      </c>
      <c r="B155" s="1518"/>
      <c r="C155" s="654">
        <v>11</v>
      </c>
      <c r="D155" s="656" t="e">
        <f ca="1">IF(D139="","",IF(ISNUMBER(_xll.ciqfunctions.udf.CIQ(D141,"IQ_BUS_SEG_NAME", H140, Valuation_date, , , , , $C155)),"",_xll.ciqfunctions.udf.CIQ(D141,"IQ_BUS_SEG_NAME", H140, Valuation_date, , , , , $C155)))</f>
        <v>#NAME?</v>
      </c>
      <c r="E155" s="1514" t="e">
        <f ca="1">IF(D139="","",IF(D155="","",_xll.ciqfunctions.udf.CIQ(D141,"IQ_BUS_SEG_REV", H140-1, Valuation_date, ReportType,DataMode, F141,FXMode, C155)*Scale))</f>
        <v>#NAME?</v>
      </c>
      <c r="F155" s="1514" t="e">
        <f ca="1">IF(D139="","",IF(D155="","",_xll.ciqfunctions.udf.CIQ(D141,"IQ_BUS_SEG_REV", H140, Valuation_date, ReportType,DataMode, F141,FXMode, $C155)*Scale))</f>
        <v>#NAME?</v>
      </c>
      <c r="G155" s="1575" t="e">
        <f ca="1">IF(D155="","",IFERROR(F155/F160,"n/a"))</f>
        <v>#NAME?</v>
      </c>
      <c r="H155" s="1575" t="e">
        <f t="shared" ca="1" si="9"/>
        <v>#NAME?</v>
      </c>
      <c r="I155" s="1576" t="e">
        <f ca="1">IF(D139="","",IF(D155="","",_xll.ciqfunctions.udf.CIQ(D141,"IQ_BUS_SEG_DESCRIPTION", H140, Valuation_date, , , , , $C155)))</f>
        <v>#NAME?</v>
      </c>
      <c r="J155" s="1574"/>
      <c r="K155" s="1509"/>
      <c r="L155" s="2060"/>
      <c r="M155" s="2060"/>
      <c r="N155" s="1508"/>
      <c r="O155" s="2060"/>
    </row>
    <row r="156" spans="1:15">
      <c r="A156" s="1518" t="e">
        <f t="shared" ca="1" si="8"/>
        <v>#NAME?</v>
      </c>
      <c r="B156" s="1518"/>
      <c r="C156" s="654">
        <v>12</v>
      </c>
      <c r="D156" s="656" t="e">
        <f ca="1">IF(D139="","",IF(ISNUMBER(_xll.ciqfunctions.udf.CIQ(D141,"IQ_BUS_SEG_NAME", H140, Valuation_date, , , , , $C156)),"",_xll.ciqfunctions.udf.CIQ(D141,"IQ_BUS_SEG_NAME", H140, Valuation_date, , , , , $C156)))</f>
        <v>#NAME?</v>
      </c>
      <c r="E156" s="1514" t="e">
        <f ca="1">IF(D139="","",IF(D156="","",_xll.ciqfunctions.udf.CIQ(D141,"IQ_BUS_SEG_REV", H140-1, Valuation_date, ReportType,DataMode, F141,FXMode, C156)*Scale))</f>
        <v>#NAME?</v>
      </c>
      <c r="F156" s="1514" t="e">
        <f ca="1">IF(D139="","",IF(D156="","",_xll.ciqfunctions.udf.CIQ(D141,"IQ_BUS_SEG_REV", H140, Valuation_date, ReportType,DataMode, F141,FXMode, $C156)*Scale))</f>
        <v>#NAME?</v>
      </c>
      <c r="G156" s="1575" t="e">
        <f ca="1">IF(D156="","",IFERROR(F156/F160,"n/a"))</f>
        <v>#NAME?</v>
      </c>
      <c r="H156" s="1575" t="e">
        <f t="shared" ca="1" si="9"/>
        <v>#NAME?</v>
      </c>
      <c r="I156" s="1576" t="e">
        <f ca="1">IF(D139="","",IF(D156="","",_xll.ciqfunctions.udf.CIQ(D141,"IQ_BUS_SEG_DESCRIPTION", H140, Valuation_date, , , , , $C156)))</f>
        <v>#NAME?</v>
      </c>
      <c r="J156" s="1574"/>
      <c r="K156" s="1509"/>
      <c r="L156" s="2060"/>
      <c r="M156" s="2060"/>
      <c r="N156" s="1508"/>
      <c r="O156" s="2060"/>
    </row>
    <row r="157" spans="1:15">
      <c r="A157" s="1518" t="e">
        <f t="shared" ca="1" si="8"/>
        <v>#NAME?</v>
      </c>
      <c r="B157" s="1518"/>
      <c r="C157" s="654">
        <v>13</v>
      </c>
      <c r="D157" s="656" t="e">
        <f ca="1">IF(D139="","",IF(ISNUMBER(_xll.ciqfunctions.udf.CIQ(D141,"IQ_BUS_SEG_NAME", H140, Valuation_date, , , , , $C157)),"",_xll.ciqfunctions.udf.CIQ(D141,"IQ_BUS_SEG_NAME", H140, Valuation_date, , , , , $C157)))</f>
        <v>#NAME?</v>
      </c>
      <c r="E157" s="1514" t="e">
        <f ca="1">IF(D139="","",IF(D157="","",_xll.ciqfunctions.udf.CIQ(D141,"IQ_BUS_SEG_REV", H140-1, Valuation_date, ReportType,DataMode, F141,FXMode, C157)*Scale))</f>
        <v>#NAME?</v>
      </c>
      <c r="F157" s="1514" t="e">
        <f ca="1">IF(D139="","",IF(D157="","",_xll.ciqfunctions.udf.CIQ(D141,"IQ_BUS_SEG_REV", H140, Valuation_date, ReportType,DataMode, F141,FXMode, $C157)*Scale))</f>
        <v>#NAME?</v>
      </c>
      <c r="G157" s="1575" t="e">
        <f ca="1">IF(D157="","",IFERROR(F157/F160,"n/a"))</f>
        <v>#NAME?</v>
      </c>
      <c r="H157" s="1575" t="e">
        <f t="shared" ca="1" si="9"/>
        <v>#NAME?</v>
      </c>
      <c r="I157" s="1576" t="e">
        <f ca="1">IF(D139="","",IF(D157="","",_xll.ciqfunctions.udf.CIQ(D141,"IQ_BUS_SEG_DESCRIPTION", H140, Valuation_date, , , , , $C157)))</f>
        <v>#NAME?</v>
      </c>
      <c r="J157" s="1574"/>
      <c r="K157" s="1509"/>
      <c r="L157" s="2060"/>
      <c r="M157" s="2060"/>
      <c r="N157" s="1508"/>
      <c r="O157" s="2060"/>
    </row>
    <row r="158" spans="1:15">
      <c r="A158" s="1518" t="e">
        <f ca="1">IF(D158="","n","")</f>
        <v>#NAME?</v>
      </c>
      <c r="B158" s="1518"/>
      <c r="C158" s="654">
        <v>14</v>
      </c>
      <c r="D158" s="656" t="e">
        <f ca="1">IF(D139="","",IF(ISNUMBER(_xll.ciqfunctions.udf.CIQ(D141,"IQ_BUS_SEG_NAME", H140, Valuation_date, , , , , $C158)),"",_xll.ciqfunctions.udf.CIQ(D141,"IQ_BUS_SEG_NAME", H140, Valuation_date, , , , , $C158)))</f>
        <v>#NAME?</v>
      </c>
      <c r="E158" s="1514" t="e">
        <f ca="1">IF(D139="","",IF(D158="","",_xll.ciqfunctions.udf.CIQ(D141,"IQ_BUS_SEG_REV", H140-1, Valuation_date, ReportType,DataMode, F141,FXMode, C158)*Scale))</f>
        <v>#NAME?</v>
      </c>
      <c r="F158" s="1514" t="e">
        <f ca="1">IF(D139="","",IF(D158="","",_xll.ciqfunctions.udf.CIQ(D141,"IQ_BUS_SEG_REV", H140, Valuation_date, ReportType,DataMode, F141,FXMode, $C158)*Scale))</f>
        <v>#NAME?</v>
      </c>
      <c r="G158" s="1575" t="e">
        <f ca="1">IF(D158="","",IFERROR(F158/F160,"n/a"))</f>
        <v>#NAME?</v>
      </c>
      <c r="H158" s="1575" t="e">
        <f t="shared" ca="1" si="9"/>
        <v>#NAME?</v>
      </c>
      <c r="I158" s="1576" t="e">
        <f ca="1">IF(D139="","",IF(D158="","",_xll.ciqfunctions.udf.CIQ(D141,"IQ_BUS_SEG_DESCRIPTION", H140, Valuation_date, , , , , $C158)))</f>
        <v>#NAME?</v>
      </c>
      <c r="J158" s="1574"/>
      <c r="K158" s="1509"/>
      <c r="L158" s="2060"/>
      <c r="M158" s="2060"/>
      <c r="N158" s="1508"/>
      <c r="O158" s="2060"/>
    </row>
    <row r="159" spans="1:15">
      <c r="A159" s="1518" t="e">
        <f ca="1">IF(D159="","n","")</f>
        <v>#NAME?</v>
      </c>
      <c r="B159" s="1518"/>
      <c r="C159" s="654">
        <v>15</v>
      </c>
      <c r="D159" s="656" t="e">
        <f ca="1">IF(D139="","",IF(ISNUMBER(_xll.ciqfunctions.udf.CIQ(D141,"IQ_BUS_SEG_NAME", H140, Valuation_date, , , , , $C159)),"",_xll.ciqfunctions.udf.CIQ(D141,"IQ_BUS_SEG_NAME", H140, Valuation_date, , , , , $C159)))</f>
        <v>#NAME?</v>
      </c>
      <c r="E159" s="1514" t="e">
        <f ca="1">IF(D139="","",IF(D159="","",_xll.ciqfunctions.udf.CIQ(D141,"IQ_BUS_SEG_REV", H140-1, Valuation_date, ReportType,DataMode, F141,FXMode, C159)*Scale))</f>
        <v>#NAME?</v>
      </c>
      <c r="F159" s="1514" t="e">
        <f ca="1">IF(D139="","",IF(D159="","",_xll.ciqfunctions.udf.CIQ(D141,"IQ_BUS_SEG_REV", H140, Valuation_date, ReportType,DataMode, F141,FXMode, $C159)*Scale))</f>
        <v>#NAME?</v>
      </c>
      <c r="G159" s="1575" t="e">
        <f ca="1">IF(D159="","",IFERROR(F159/F160,"n/a"))</f>
        <v>#NAME?</v>
      </c>
      <c r="H159" s="1575" t="e">
        <f t="shared" ca="1" si="9"/>
        <v>#NAME?</v>
      </c>
      <c r="I159" s="1576" t="e">
        <f ca="1">IF(D139="","",IF(D159="","",_xll.ciqfunctions.udf.CIQ(D141,"IQ_BUS_SEG_DESCRIPTION", H140, Valuation_date, , , , , $C159)))</f>
        <v>#NAME?</v>
      </c>
      <c r="J159" s="1574"/>
      <c r="K159" s="1509"/>
      <c r="L159" s="2060"/>
      <c r="M159" s="2060"/>
      <c r="N159" s="1508"/>
      <c r="O159" s="2060"/>
    </row>
    <row r="160" spans="1:15" ht="14.45" thickBot="1">
      <c r="A160" s="1518"/>
      <c r="B160" s="1518"/>
      <c r="C160" s="1572"/>
      <c r="D160" s="658" t="s">
        <v>1248</v>
      </c>
      <c r="E160" s="658" t="e">
        <f ca="1">SUM(E145:E159)</f>
        <v>#NAME?</v>
      </c>
      <c r="F160" s="658" t="e">
        <f ca="1">SUM(F145:F159)</f>
        <v>#NAME?</v>
      </c>
      <c r="G160" s="2257" t="e">
        <f ca="1">SUM(G145:G159)</f>
        <v>#NAME?</v>
      </c>
      <c r="H160" s="2257" t="str">
        <f ca="1">IF(D160="","",IFERROR(F160/E160-1,"n/a"))</f>
        <v>n/a</v>
      </c>
      <c r="I160" s="1571"/>
      <c r="J160" s="1574"/>
      <c r="K160" s="1509"/>
      <c r="L160" s="2060"/>
      <c r="M160" s="2060"/>
      <c r="N160" s="1508"/>
      <c r="O160" s="2060"/>
    </row>
    <row r="161" spans="1:26">
      <c r="A161" s="1518"/>
      <c r="B161" s="1518"/>
      <c r="C161" s="1572"/>
      <c r="D161" s="1538"/>
      <c r="E161" s="1538"/>
      <c r="F161" s="1538"/>
      <c r="G161" s="1538"/>
      <c r="H161" s="1538"/>
      <c r="I161" s="1571"/>
      <c r="J161" s="1574"/>
      <c r="K161" s="1509"/>
      <c r="L161" s="1508"/>
      <c r="M161" s="2060"/>
      <c r="N161" s="1508"/>
      <c r="O161" s="2060"/>
      <c r="P161" s="1508"/>
      <c r="Q161" s="1508"/>
      <c r="R161" s="1508"/>
      <c r="S161" s="1508"/>
      <c r="T161" s="1508"/>
      <c r="U161" s="1508"/>
      <c r="V161" s="1508"/>
      <c r="W161" s="1508"/>
      <c r="X161" s="1508"/>
      <c r="Y161" s="1508"/>
      <c r="Z161" s="1508"/>
    </row>
    <row r="162" spans="1:26" s="1508" customFormat="1">
      <c r="A162" s="1518"/>
      <c r="B162" s="1518"/>
      <c r="C162" s="1572"/>
      <c r="D162" s="1514" t="s">
        <v>1707</v>
      </c>
      <c r="E162" s="1579"/>
      <c r="F162" s="1575"/>
      <c r="G162" s="1514"/>
      <c r="H162" s="1575"/>
      <c r="I162" s="1571"/>
      <c r="J162" s="1574"/>
      <c r="K162" s="1509"/>
      <c r="L162" s="2060"/>
      <c r="M162" s="2060"/>
      <c r="O162" s="2060"/>
    </row>
    <row r="163" spans="1:26">
      <c r="A163" s="1518"/>
      <c r="B163" s="1518"/>
      <c r="C163" s="1572"/>
      <c r="D163" s="1514" t="s">
        <v>1402</v>
      </c>
      <c r="E163" s="1538"/>
      <c r="F163" s="1538"/>
      <c r="G163" s="1538"/>
      <c r="H163" s="1538"/>
      <c r="I163" s="1571"/>
      <c r="J163" s="1574"/>
      <c r="K163" s="1509"/>
      <c r="L163" s="1508"/>
      <c r="M163" s="2060"/>
      <c r="N163" s="1508"/>
      <c r="O163" s="2060"/>
      <c r="P163" s="1508"/>
      <c r="Q163" s="1508"/>
      <c r="R163" s="1508"/>
      <c r="S163" s="1508"/>
      <c r="T163" s="1508"/>
      <c r="U163" s="1508"/>
      <c r="V163" s="1508"/>
      <c r="W163" s="1508"/>
      <c r="X163" s="1508"/>
      <c r="Y163" s="1508"/>
      <c r="Z163" s="1508"/>
    </row>
    <row r="164" spans="1:26">
      <c r="A164" s="1518"/>
      <c r="B164" s="1518"/>
      <c r="C164" s="1572"/>
      <c r="D164" s="1538"/>
      <c r="E164" s="1538"/>
      <c r="F164" s="1538"/>
      <c r="G164" s="1538"/>
      <c r="H164" s="1538"/>
      <c r="I164" s="1571"/>
      <c r="J164" s="1538"/>
      <c r="K164" s="1509"/>
      <c r="L164" s="2060"/>
      <c r="M164" s="2060"/>
      <c r="N164" s="2060"/>
      <c r="O164" s="2060"/>
      <c r="P164" s="2060"/>
      <c r="Q164" s="2060"/>
      <c r="R164" s="2060"/>
      <c r="S164" s="2060"/>
      <c r="T164" s="1508"/>
      <c r="U164" s="1508"/>
      <c r="V164" s="1508"/>
      <c r="W164" s="1508"/>
      <c r="X164" s="1508"/>
      <c r="Y164" s="1508"/>
      <c r="Z164" s="1508"/>
    </row>
    <row r="165" spans="1:26" s="178" customFormat="1" ht="13.5" customHeight="1">
      <c r="A165" s="1510"/>
      <c r="B165" s="1510"/>
      <c r="C165" s="387"/>
      <c r="D165" s="1513" t="str">
        <f ca="1">FootnoteDRAFT</f>
        <v>Run date: 05-August-2018  02:34 PM.   DRAFT document. All data subject to change upon completion of additional analysis.</v>
      </c>
      <c r="E165" s="1513"/>
      <c r="F165" s="373"/>
      <c r="G165" s="1513"/>
      <c r="H165" s="1513"/>
      <c r="I165" s="1562"/>
      <c r="J165" s="1512"/>
      <c r="K165" s="1509"/>
      <c r="L165" s="2060"/>
      <c r="M165" s="2060"/>
      <c r="N165" s="2060"/>
      <c r="O165" s="2060"/>
      <c r="P165" s="2060"/>
      <c r="Q165" s="2060"/>
      <c r="R165" s="2060"/>
      <c r="S165" s="2060"/>
      <c r="T165" s="2060"/>
      <c r="U165" s="2060"/>
      <c r="V165" s="2060"/>
      <c r="W165" s="2060"/>
      <c r="X165" s="2060"/>
      <c r="Y165" s="2060"/>
      <c r="Z165" s="2060"/>
    </row>
    <row r="166" spans="1:26" s="178" customFormat="1">
      <c r="A166" s="1510" t="s">
        <v>17</v>
      </c>
      <c r="B166" s="1510"/>
      <c r="C166" s="1510"/>
      <c r="D166" s="1510"/>
      <c r="E166" s="683"/>
      <c r="F166" s="1510"/>
      <c r="G166" s="1510"/>
      <c r="H166" s="1510"/>
      <c r="I166" s="1547"/>
      <c r="J166" s="1546" t="str">
        <f ca="1">IF(D174="","Page end","Continue")</f>
        <v>Continue</v>
      </c>
      <c r="K166" s="1510"/>
      <c r="L166" s="2060"/>
      <c r="M166" s="2060"/>
      <c r="N166" s="2060"/>
      <c r="O166" s="2060"/>
      <c r="P166" s="2060"/>
      <c r="Q166" s="2060"/>
      <c r="R166" s="2060"/>
      <c r="S166" s="2060"/>
      <c r="T166" s="2060"/>
      <c r="U166" s="2060"/>
      <c r="V166" s="2060"/>
      <c r="W166" s="2060"/>
      <c r="X166" s="2060"/>
      <c r="Y166" s="2060"/>
      <c r="Z166" s="2060"/>
    </row>
    <row r="167" spans="1:26" ht="18" customHeight="1">
      <c r="A167" s="1518"/>
      <c r="B167" s="1518"/>
      <c r="C167" s="292" t="str">
        <f ca="1">D172</f>
        <v>n/a</v>
      </c>
      <c r="D167" s="172"/>
      <c r="E167" s="674"/>
      <c r="F167" s="172"/>
      <c r="G167" s="172"/>
      <c r="H167" s="172"/>
      <c r="I167" s="1522"/>
      <c r="J167" s="389" t="str">
        <f>$J$1&amp;"."&amp;C172&amp;""</f>
        <v>Workpaper 6.5</v>
      </c>
      <c r="K167" s="1509"/>
      <c r="L167" s="1508"/>
      <c r="M167" s="1508"/>
      <c r="N167" s="1508"/>
      <c r="O167" s="2060"/>
      <c r="P167" s="1508"/>
      <c r="Q167" s="1508"/>
      <c r="R167" s="1508"/>
      <c r="S167" s="1508"/>
      <c r="T167" s="1508"/>
      <c r="U167" s="1508"/>
      <c r="V167" s="1508"/>
      <c r="W167" s="1508"/>
      <c r="X167" s="1508"/>
      <c r="Y167" s="1508"/>
      <c r="Z167" s="1508"/>
    </row>
    <row r="168" spans="1:26" ht="18" customHeight="1">
      <c r="A168" s="1518"/>
      <c r="B168" s="1518"/>
      <c r="C168" s="839" t="s">
        <v>1699</v>
      </c>
      <c r="D168" s="172"/>
      <c r="E168" s="172"/>
      <c r="F168" s="172"/>
      <c r="G168" s="172"/>
      <c r="H168" s="172"/>
      <c r="I168" s="1522"/>
      <c r="J168" s="187"/>
      <c r="K168" s="1509"/>
      <c r="L168" s="1508"/>
      <c r="M168" s="1508"/>
      <c r="N168" s="1508"/>
      <c r="O168" s="2060"/>
      <c r="P168" s="1508"/>
      <c r="Q168" s="1508"/>
      <c r="R168" s="1508"/>
      <c r="S168" s="1508"/>
      <c r="T168" s="1508"/>
      <c r="U168" s="1508"/>
      <c r="V168" s="1508"/>
      <c r="W168" s="1508"/>
      <c r="X168" s="1508"/>
      <c r="Y168" s="1508"/>
      <c r="Z168" s="1508"/>
    </row>
    <row r="169" spans="1:26" ht="18" customHeight="1">
      <c r="A169" s="1518"/>
      <c r="B169" s="1518"/>
      <c r="C169" s="366" t="str">
        <f ca="1">"(" &amp;F174&amp;" in "&amp;ScaleInput&amp;")"</f>
        <v>(USD in Millions)</v>
      </c>
      <c r="D169" s="1508"/>
      <c r="E169" s="170"/>
      <c r="F169" s="170"/>
      <c r="G169" s="170"/>
      <c r="H169" s="170"/>
      <c r="I169" s="1521"/>
      <c r="J169" s="1508"/>
      <c r="K169" s="1509"/>
      <c r="L169" s="1508"/>
      <c r="M169" s="1508"/>
      <c r="N169" s="1508"/>
      <c r="O169" s="2060"/>
      <c r="P169" s="1508"/>
      <c r="Q169" s="1508"/>
      <c r="R169" s="1508"/>
      <c r="S169" s="1508"/>
      <c r="T169" s="1508"/>
      <c r="U169" s="1508"/>
      <c r="V169" s="1508"/>
      <c r="W169" s="1508"/>
      <c r="X169" s="1508"/>
      <c r="Y169" s="1508"/>
      <c r="Z169" s="1508"/>
    </row>
    <row r="170" spans="1:26" ht="18" customHeight="1">
      <c r="A170" s="1518"/>
      <c r="B170" s="1518"/>
      <c r="C170" s="366"/>
      <c r="D170" s="1508"/>
      <c r="E170" s="172"/>
      <c r="F170" s="172"/>
      <c r="G170" s="172"/>
      <c r="H170" s="172"/>
      <c r="I170" s="1522"/>
      <c r="J170" s="1508"/>
      <c r="K170" s="1509"/>
      <c r="L170" s="1508"/>
      <c r="M170" s="1508"/>
      <c r="N170" s="1508"/>
      <c r="O170" s="2060"/>
      <c r="P170" s="1508"/>
      <c r="Q170" s="1508"/>
      <c r="R170" s="1508"/>
      <c r="S170" s="1508"/>
      <c r="T170" s="1508"/>
      <c r="U170" s="1508"/>
      <c r="V170" s="1508"/>
      <c r="W170" s="1508"/>
      <c r="X170" s="1508"/>
      <c r="Y170" s="1508"/>
      <c r="Z170" s="1508"/>
    </row>
    <row r="171" spans="1:26">
      <c r="A171" s="1518"/>
      <c r="B171" s="1518"/>
      <c r="C171" s="1511"/>
      <c r="D171" s="1508"/>
      <c r="E171" s="172"/>
      <c r="F171" s="172"/>
      <c r="G171" s="172"/>
      <c r="H171" s="172"/>
      <c r="I171" s="1522"/>
      <c r="J171" s="1508"/>
      <c r="K171" s="1509"/>
      <c r="L171" s="1508"/>
      <c r="M171" s="1508"/>
      <c r="N171" s="1508"/>
      <c r="O171" s="2060"/>
      <c r="P171" s="1508"/>
      <c r="Q171" s="1508"/>
      <c r="R171" s="1508"/>
      <c r="S171" s="1508"/>
      <c r="T171" s="1508"/>
      <c r="U171" s="1508"/>
      <c r="V171" s="1508"/>
      <c r="W171" s="1508"/>
      <c r="X171" s="1508"/>
      <c r="Y171" s="1508"/>
      <c r="Z171" s="1508"/>
    </row>
    <row r="172" spans="1:26">
      <c r="A172" s="1518"/>
      <c r="B172" s="1518"/>
      <c r="C172" s="653">
        <v>5</v>
      </c>
      <c r="D172" s="179" t="str">
        <f ca="1">IF(D174=0,"n/a",IFERROR(_xll.ciqfunctions.udf.CIQ(D174,"IQ_COMPANY_NAME"),"n/a"))</f>
        <v>n/a</v>
      </c>
      <c r="E172" s="1538"/>
      <c r="F172" s="1538"/>
      <c r="G172" s="1538"/>
      <c r="H172" s="1538"/>
      <c r="I172" s="1571"/>
      <c r="J172" s="1538"/>
      <c r="K172" s="1509"/>
      <c r="L172" s="1508"/>
      <c r="M172" s="2060"/>
      <c r="N172" s="1508"/>
      <c r="O172" s="2060"/>
      <c r="P172" s="1508"/>
      <c r="Q172" s="1508"/>
      <c r="R172" s="1508"/>
      <c r="S172" s="1508"/>
      <c r="T172" s="1508"/>
      <c r="U172" s="1508"/>
      <c r="V172" s="1508"/>
      <c r="W172" s="1508"/>
      <c r="X172" s="1508"/>
      <c r="Y172" s="1508"/>
      <c r="Z172" s="1508"/>
    </row>
    <row r="173" spans="1:26">
      <c r="A173" s="1518"/>
      <c r="B173" s="1518"/>
      <c r="C173" s="1572"/>
      <c r="D173" s="2258" t="s">
        <v>134</v>
      </c>
      <c r="E173" s="2246" t="s">
        <v>1708</v>
      </c>
      <c r="F173" s="2247" t="s">
        <v>167</v>
      </c>
      <c r="G173" s="2247" t="s">
        <v>1700</v>
      </c>
      <c r="H173" s="2248">
        <f>INDEX($W$9:$W$14,MATCH(H174,PeriodList,0))</f>
        <v>2000</v>
      </c>
      <c r="I173" s="1571"/>
      <c r="J173" s="217"/>
      <c r="K173" s="1509"/>
      <c r="L173" s="1508"/>
      <c r="M173" s="2060"/>
      <c r="N173" s="1508"/>
      <c r="O173" s="2060"/>
      <c r="P173" s="1508"/>
      <c r="Q173" s="1508"/>
      <c r="R173" s="1508"/>
      <c r="S173" s="1508"/>
      <c r="T173" s="1508"/>
      <c r="U173" s="1508"/>
      <c r="V173" s="1508"/>
      <c r="W173" s="1508"/>
      <c r="X173" s="1508"/>
      <c r="Y173" s="1508"/>
      <c r="Z173" s="1508"/>
    </row>
    <row r="174" spans="1:26" s="185" customFormat="1">
      <c r="A174" s="1518"/>
      <c r="B174" s="1518"/>
      <c r="C174" s="654"/>
      <c r="D174" s="2249">
        <f ca="1">OFFSET(GCIdentifierTop,C172,0)</f>
        <v>0</v>
      </c>
      <c r="E174" s="2250" t="str">
        <f ca="1">IF($D174="","",IFERROR(_xll.ciqfunctions.udf.CIQ($D174,"IQ_PERIODDATE",H173,Valuation_date),"n/a"))</f>
        <v>n/a</v>
      </c>
      <c r="F174" s="2251" t="str">
        <f ca="1">IFERROR(IF(C172=0,SubjOutputCurrencyCode,IF(D174="","",IF(OutputCurrency="Filing",_xll.ciqfunctions.udf.CIQ($D174,"IQ_FILING_CURRENCY",500,Valuation_date,ReportType,DataMode),OutputCurrency))),OutputCurrency)</f>
        <v>USD</v>
      </c>
      <c r="G174" s="2252" t="e">
        <f ca="1">IF(D172="","",_xll.ciqfunctions.udf.CIQ(D174,"IQ_TOTAL_REV", H173, Valuation_date,ReportType,DataMode,F174,FXMode))</f>
        <v>#NAME?</v>
      </c>
      <c r="H174" s="2260" t="str">
        <f>$H$9</f>
        <v>LTM/LFQ</v>
      </c>
      <c r="I174" s="1573"/>
      <c r="J174" s="392"/>
      <c r="K174" s="1509"/>
      <c r="M174" s="2060"/>
      <c r="O174" s="2060"/>
    </row>
    <row r="175" spans="1:26">
      <c r="A175" s="1518"/>
      <c r="B175" s="1518"/>
      <c r="C175" s="654"/>
      <c r="D175" s="1538"/>
      <c r="E175" s="1538"/>
      <c r="F175" s="1538"/>
      <c r="G175" s="1538"/>
      <c r="H175" s="1538"/>
      <c r="I175" s="1571"/>
      <c r="J175" s="655"/>
      <c r="K175" s="1509"/>
      <c r="L175" s="1508"/>
      <c r="M175" s="2060"/>
      <c r="N175" s="1508"/>
      <c r="O175" s="2060"/>
      <c r="P175" s="1508"/>
      <c r="Q175" s="1508"/>
      <c r="R175" s="1508"/>
      <c r="S175" s="1508"/>
      <c r="T175" s="1508"/>
      <c r="U175" s="1508"/>
      <c r="V175" s="1508"/>
      <c r="W175" s="1508"/>
      <c r="X175" s="1508"/>
      <c r="Y175" s="1508"/>
      <c r="Z175" s="1508"/>
    </row>
    <row r="176" spans="1:26">
      <c r="A176" s="1518"/>
      <c r="B176" s="1518"/>
      <c r="C176" s="654"/>
      <c r="D176" s="741"/>
      <c r="E176" s="744" t="e">
        <f ca="1">IF(D174="",Valuation_date,_xll.ciqfunctions.udf.CIQ(D174,"IQ_PERIODDATE",H173-IF(LEFT(H174,3)="LFY",1,4),Valuation_date))</f>
        <v>#NAME?</v>
      </c>
      <c r="F176" s="742" t="e">
        <f ca="1">IF(D174="",Valuation_date,_xll.ciqfunctions.udf.CIQ(D174,"IQ_PERIODDATE",H173,Valuation_date))</f>
        <v>#NAME?</v>
      </c>
      <c r="G176" s="741"/>
      <c r="H176" s="743" t="s">
        <v>1702</v>
      </c>
      <c r="I176" s="1587"/>
      <c r="J176" s="655"/>
      <c r="K176" s="1509"/>
      <c r="L176" s="1508"/>
      <c r="M176" s="2060"/>
      <c r="N176" s="1508"/>
      <c r="O176" s="2060"/>
      <c r="P176" s="1508"/>
      <c r="Q176" s="1508"/>
      <c r="R176" s="1508"/>
      <c r="S176" s="1508"/>
      <c r="T176" s="1508"/>
      <c r="U176" s="1508"/>
      <c r="V176" s="1508"/>
      <c r="W176" s="1508"/>
      <c r="X176" s="1508"/>
      <c r="Y176" s="1508"/>
      <c r="Z176" s="1508"/>
    </row>
    <row r="177" spans="1:15" s="151" customFormat="1">
      <c r="A177" s="1518"/>
      <c r="B177" s="1518"/>
      <c r="C177" s="654"/>
      <c r="D177" s="2254" t="s">
        <v>1703</v>
      </c>
      <c r="E177" s="2255" t="s">
        <v>1458</v>
      </c>
      <c r="F177" s="2255" t="s">
        <v>1458</v>
      </c>
      <c r="G177" s="2255" t="s">
        <v>1704</v>
      </c>
      <c r="H177" s="2255" t="s">
        <v>1705</v>
      </c>
      <c r="I177" s="2256" t="s">
        <v>1706</v>
      </c>
      <c r="J177" s="1574"/>
      <c r="K177" s="1509"/>
      <c r="L177" s="2060"/>
      <c r="M177" s="2060"/>
      <c r="O177" s="2060"/>
    </row>
    <row r="178" spans="1:15">
      <c r="A178" s="1518" t="e">
        <f t="shared" ref="A178:A190" ca="1" si="10">IF(D178="","n","")</f>
        <v>#NAME?</v>
      </c>
      <c r="B178" s="1518"/>
      <c r="C178" s="654">
        <v>1</v>
      </c>
      <c r="D178" s="656" t="e">
        <f ca="1">IF(D172="","",IF(ISNUMBER(_xll.ciqfunctions.udf.CIQ(D174,"IQ_BUS_SEG_NAME", H173, Valuation_date, , , , , $C178)),"",_xll.ciqfunctions.udf.CIQ(D174,"IQ_BUS_SEG_NAME", H173, Valuation_date, , , , , $C178)))</f>
        <v>#NAME?</v>
      </c>
      <c r="E178" s="1514" t="e">
        <f ca="1">IF(D172="","",IF(D178="","",_xll.ciqfunctions.udf.CIQ(D174,"IQ_BUS_SEG_REV", H173-1, Valuation_date, ReportType,DataMode, F174,FXMode, C178)*Scale))</f>
        <v>#NAME?</v>
      </c>
      <c r="F178" s="1514" t="e">
        <f ca="1">IF(D172="","",IF(D178="","",_xll.ciqfunctions.udf.CIQ(D174,"IQ_BUS_SEG_REV", H173, Valuation_date, ReportType,DataMode, F174,FXMode, $C178)*Scale))</f>
        <v>#NAME?</v>
      </c>
      <c r="G178" s="1575" t="e">
        <f ca="1">IF(D178="","",IFERROR(F178/F193,"n/a"))</f>
        <v>#NAME?</v>
      </c>
      <c r="H178" s="1575" t="e">
        <f ca="1">IF(D178="","",IFERROR(F178/E178-1,"n/a"))</f>
        <v>#NAME?</v>
      </c>
      <c r="I178" s="1576" t="e">
        <f ca="1">IF(D172="","",IF(D178="","",_xll.ciqfunctions.udf.CIQ(D174,"IQ_BUS_SEG_DESCRIPTION", H173, Valuation_date, , , , , $C178)))</f>
        <v>#NAME?</v>
      </c>
      <c r="J178" s="393"/>
      <c r="K178" s="1509"/>
      <c r="L178" s="2060"/>
      <c r="M178" s="2060"/>
      <c r="N178" s="1508"/>
      <c r="O178" s="2060"/>
    </row>
    <row r="179" spans="1:15">
      <c r="A179" s="1518" t="e">
        <f t="shared" ca="1" si="10"/>
        <v>#NAME?</v>
      </c>
      <c r="B179" s="1518"/>
      <c r="C179" s="654">
        <v>2</v>
      </c>
      <c r="D179" s="656" t="e">
        <f ca="1">IF(D172="","",IF(ISNUMBER(_xll.ciqfunctions.udf.CIQ(D174,"IQ_BUS_SEG_NAME", H173, Valuation_date, , , , , $C179)),"",_xll.ciqfunctions.udf.CIQ(D174,"IQ_BUS_SEG_NAME", H173, Valuation_date, , , , , $C179)))</f>
        <v>#NAME?</v>
      </c>
      <c r="E179" s="1514" t="e">
        <f ca="1">IF(D172="","",IF(D179="","",_xll.ciqfunctions.udf.CIQ(D174,"IQ_BUS_SEG_REV", H173-1, Valuation_date, ReportType,DataMode, F174,FXMode, C179)*Scale))</f>
        <v>#NAME?</v>
      </c>
      <c r="F179" s="1514" t="e">
        <f ca="1">IF(D172="","",IF(D179="","",_xll.ciqfunctions.udf.CIQ(D174,"IQ_BUS_SEG_REV", H173, Valuation_date, ReportType,DataMode, F174,FXMode, $C179)*Scale))</f>
        <v>#NAME?</v>
      </c>
      <c r="G179" s="1575" t="e">
        <f ca="1">IF(D179="","",IFERROR(F179/F193,"n/a"))</f>
        <v>#NAME?</v>
      </c>
      <c r="H179" s="1575" t="e">
        <f t="shared" ref="H179:H192" ca="1" si="11">IF(D179="","",IFERROR(F179/E179-1,"n/a"))</f>
        <v>#NAME?</v>
      </c>
      <c r="I179" s="1576" t="e">
        <f ca="1">IF(D172="","",IF(D179="","",_xll.ciqfunctions.udf.CIQ(D174,"IQ_BUS_SEG_DESCRIPTION", H173, Valuation_date, , , , , $C179)))</f>
        <v>#NAME?</v>
      </c>
      <c r="J179" s="393"/>
      <c r="K179" s="1509"/>
      <c r="L179" s="2060"/>
      <c r="M179" s="2060"/>
      <c r="N179" s="1508"/>
      <c r="O179" s="2060"/>
    </row>
    <row r="180" spans="1:15">
      <c r="A180" s="1518" t="e">
        <f t="shared" ca="1" si="10"/>
        <v>#NAME?</v>
      </c>
      <c r="B180" s="1518"/>
      <c r="C180" s="654">
        <v>3</v>
      </c>
      <c r="D180" s="656" t="e">
        <f ca="1">IF(D172="","",IF(ISNUMBER(_xll.ciqfunctions.udf.CIQ(D174,"IQ_BUS_SEG_NAME", H173, Valuation_date, , , , , $C180)),"",_xll.ciqfunctions.udf.CIQ(D174,"IQ_BUS_SEG_NAME", H173, Valuation_date, , , , , $C180)))</f>
        <v>#NAME?</v>
      </c>
      <c r="E180" s="1514" t="e">
        <f ca="1">IF(D172="","",IF(D180="","",_xll.ciqfunctions.udf.CIQ(D174,"IQ_BUS_SEG_REV", H173-1, Valuation_date, ReportType,DataMode, F174,FXMode, C180)*Scale))</f>
        <v>#NAME?</v>
      </c>
      <c r="F180" s="1514" t="e">
        <f ca="1">IF(D172="","",IF(D180="","",_xll.ciqfunctions.udf.CIQ(D174,"IQ_BUS_SEG_REV", H173, Valuation_date, ReportType,DataMode, F174,FXMode, $C180)*Scale))</f>
        <v>#NAME?</v>
      </c>
      <c r="G180" s="1575" t="e">
        <f ca="1">IF(D180="","",IFERROR(F180/F193,"n/a"))</f>
        <v>#NAME?</v>
      </c>
      <c r="H180" s="1575" t="e">
        <f t="shared" ca="1" si="11"/>
        <v>#NAME?</v>
      </c>
      <c r="I180" s="1576" t="e">
        <f ca="1">IF(D172="","",IF(D180="","",_xll.ciqfunctions.udf.CIQ(D174,"IQ_BUS_SEG_DESCRIPTION", H173, Valuation_date, , , , , $C180)))</f>
        <v>#NAME?</v>
      </c>
      <c r="J180" s="393"/>
      <c r="K180" s="1509"/>
      <c r="L180" s="2060"/>
      <c r="M180" s="2060"/>
      <c r="N180" s="1508"/>
      <c r="O180" s="2060"/>
    </row>
    <row r="181" spans="1:15">
      <c r="A181" s="1518" t="e">
        <f t="shared" ca="1" si="10"/>
        <v>#NAME?</v>
      </c>
      <c r="B181" s="1518"/>
      <c r="C181" s="654">
        <v>4</v>
      </c>
      <c r="D181" s="656" t="e">
        <f ca="1">IF(D172="","",IF(ISNUMBER(_xll.ciqfunctions.udf.CIQ(D174,"IQ_BUS_SEG_NAME", H173, Valuation_date, , , , , $C181)),"",_xll.ciqfunctions.udf.CIQ(D174,"IQ_BUS_SEG_NAME", H173, Valuation_date, , , , , $C181)))</f>
        <v>#NAME?</v>
      </c>
      <c r="E181" s="1514" t="e">
        <f ca="1">IF(D172="","",IF(D181="","",_xll.ciqfunctions.udf.CIQ(D174,"IQ_BUS_SEG_REV", H173-1, Valuation_date, ReportType,DataMode, F174,FXMode, C181)*Scale))</f>
        <v>#NAME?</v>
      </c>
      <c r="F181" s="1514" t="e">
        <f ca="1">IF(D172="","",IF(D181="","",_xll.ciqfunctions.udf.CIQ(D174,"IQ_BUS_SEG_REV", H173, Valuation_date, ReportType,DataMode, F174,FXMode, $C181)*Scale))</f>
        <v>#NAME?</v>
      </c>
      <c r="G181" s="1575" t="e">
        <f ca="1">IF(D181="","",IFERROR(F181/F193,"n/a"))</f>
        <v>#NAME?</v>
      </c>
      <c r="H181" s="1575" t="e">
        <f t="shared" ca="1" si="11"/>
        <v>#NAME?</v>
      </c>
      <c r="I181" s="1576" t="e">
        <f ca="1">IF(D172="","",IF(D181="","",_xll.ciqfunctions.udf.CIQ(D174,"IQ_BUS_SEG_DESCRIPTION", H173, Valuation_date, , , , , $C181)))</f>
        <v>#NAME?</v>
      </c>
      <c r="J181" s="393"/>
      <c r="K181" s="1509"/>
      <c r="L181" s="2060"/>
      <c r="M181" s="2060"/>
      <c r="N181" s="1508"/>
      <c r="O181" s="2060"/>
    </row>
    <row r="182" spans="1:15">
      <c r="A182" s="1518" t="e">
        <f t="shared" ca="1" si="10"/>
        <v>#NAME?</v>
      </c>
      <c r="B182" s="1518"/>
      <c r="C182" s="654">
        <v>5</v>
      </c>
      <c r="D182" s="656" t="e">
        <f ca="1">IF(D172="","",IF(ISNUMBER(_xll.ciqfunctions.udf.CIQ(D174,"IQ_BUS_SEG_NAME", H173, Valuation_date, , , , , $C182)),"",_xll.ciqfunctions.udf.CIQ(D174,"IQ_BUS_SEG_NAME", H173, Valuation_date, , , , , $C182)))</f>
        <v>#NAME?</v>
      </c>
      <c r="E182" s="1514" t="e">
        <f ca="1">IF(D172="","",IF(D182="","",_xll.ciqfunctions.udf.CIQ(D174,"IQ_BUS_SEG_REV", H173-1, Valuation_date, ReportType,DataMode, F174,FXMode, C182)*Scale))</f>
        <v>#NAME?</v>
      </c>
      <c r="F182" s="1514" t="e">
        <f ca="1">IF(D172="","",IF(D182="","",_xll.ciqfunctions.udf.CIQ(D174,"IQ_BUS_SEG_REV", H173, Valuation_date, ReportType,DataMode, F174,FXMode, $C182)*Scale))</f>
        <v>#NAME?</v>
      </c>
      <c r="G182" s="1575" t="e">
        <f ca="1">IF(D182="","",IFERROR(F182/F193,"n/a"))</f>
        <v>#NAME?</v>
      </c>
      <c r="H182" s="1575" t="e">
        <f t="shared" ca="1" si="11"/>
        <v>#NAME?</v>
      </c>
      <c r="I182" s="1576" t="e">
        <f ca="1">IF(D172="","",IF(D182="","",_xll.ciqfunctions.udf.CIQ(D174,"IQ_BUS_SEG_DESCRIPTION", H173, Valuation_date, , , , , $C182)))</f>
        <v>#NAME?</v>
      </c>
      <c r="J182" s="657"/>
      <c r="K182" s="1509"/>
      <c r="L182" s="2060"/>
      <c r="M182" s="2060"/>
      <c r="N182" s="1508"/>
      <c r="O182" s="2060"/>
    </row>
    <row r="183" spans="1:15">
      <c r="A183" s="1518" t="e">
        <f t="shared" ca="1" si="10"/>
        <v>#NAME?</v>
      </c>
      <c r="B183" s="1518"/>
      <c r="C183" s="654">
        <v>6</v>
      </c>
      <c r="D183" s="656" t="e">
        <f ca="1">IF(D172="","",IF(ISNUMBER(_xll.ciqfunctions.udf.CIQ(D174,"IQ_BUS_SEG_NAME", H173, Valuation_date, , , , , $C183)),"",_xll.ciqfunctions.udf.CIQ(D174,"IQ_BUS_SEG_NAME", H173, Valuation_date, , , , , $C183)))</f>
        <v>#NAME?</v>
      </c>
      <c r="E183" s="1514" t="e">
        <f ca="1">IF(D172="","",IF(D183="","",_xll.ciqfunctions.udf.CIQ(D174,"IQ_BUS_SEG_REV", H173-1, Valuation_date, ReportType,DataMode, F174,FXMode, C183)*Scale))</f>
        <v>#NAME?</v>
      </c>
      <c r="F183" s="1514" t="e">
        <f ca="1">IF(D172="","",IF(D183="","",_xll.ciqfunctions.udf.CIQ(D174,"IQ_BUS_SEG_REV", H173, Valuation_date, ReportType,DataMode, F174,FXMode, $C183)*Scale))</f>
        <v>#NAME?</v>
      </c>
      <c r="G183" s="1575" t="e">
        <f ca="1">IF(D183="","",IFERROR(F183/F193,"n/a"))</f>
        <v>#NAME?</v>
      </c>
      <c r="H183" s="1575" t="e">
        <f t="shared" ca="1" si="11"/>
        <v>#NAME?</v>
      </c>
      <c r="I183" s="1576" t="e">
        <f ca="1">IF(D172="","",IF(D183="","",_xll.ciqfunctions.udf.CIQ(D174,"IQ_BUS_SEG_DESCRIPTION", H173, Valuation_date, , , , , $C183)))</f>
        <v>#NAME?</v>
      </c>
      <c r="J183" s="657"/>
      <c r="K183" s="1509"/>
      <c r="L183" s="2060"/>
      <c r="M183" s="2060"/>
      <c r="N183" s="1508"/>
      <c r="O183" s="2060"/>
    </row>
    <row r="184" spans="1:15">
      <c r="A184" s="1518" t="e">
        <f t="shared" ca="1" si="10"/>
        <v>#NAME?</v>
      </c>
      <c r="B184" s="1518"/>
      <c r="C184" s="654">
        <v>7</v>
      </c>
      <c r="D184" s="656" t="e">
        <f ca="1">IF(D172="","",IF(ISNUMBER(_xll.ciqfunctions.udf.CIQ(D174,"IQ_BUS_SEG_NAME", H173, Valuation_date, , , , , $C184)),"",_xll.ciqfunctions.udf.CIQ(D174,"IQ_BUS_SEG_NAME", H173, Valuation_date, , , , , $C184)))</f>
        <v>#NAME?</v>
      </c>
      <c r="E184" s="1514" t="e">
        <f ca="1">IF(D172="","",IF(D184="","",_xll.ciqfunctions.udf.CIQ(D174,"IQ_BUS_SEG_REV", H173-1, Valuation_date, ReportType,DataMode, F174,FXMode, C184)*Scale))</f>
        <v>#NAME?</v>
      </c>
      <c r="F184" s="1514" t="e">
        <f ca="1">IF(D172="","",IF(D184="","",_xll.ciqfunctions.udf.CIQ(D174,"IQ_BUS_SEG_REV", H173, Valuation_date, ReportType,DataMode, F174,FXMode, $C184)*Scale))</f>
        <v>#NAME?</v>
      </c>
      <c r="G184" s="1575" t="e">
        <f ca="1">IF(D184="","",IFERROR(F184/F193,"n/a"))</f>
        <v>#NAME?</v>
      </c>
      <c r="H184" s="1575" t="e">
        <f t="shared" ca="1" si="11"/>
        <v>#NAME?</v>
      </c>
      <c r="I184" s="1576" t="e">
        <f ca="1">IF(D172="","",IF(D184="","",_xll.ciqfunctions.udf.CIQ(D174,"IQ_BUS_SEG_DESCRIPTION", H173, Valuation_date, , , , , $C184)))</f>
        <v>#NAME?</v>
      </c>
      <c r="J184" s="655"/>
      <c r="K184" s="1509"/>
      <c r="L184" s="2060"/>
      <c r="M184" s="2060"/>
      <c r="N184" s="1508"/>
      <c r="O184" s="2060"/>
    </row>
    <row r="185" spans="1:15">
      <c r="A185" s="1518" t="e">
        <f t="shared" ca="1" si="10"/>
        <v>#NAME?</v>
      </c>
      <c r="B185" s="1518"/>
      <c r="C185" s="654">
        <v>8</v>
      </c>
      <c r="D185" s="656" t="e">
        <f ca="1">IF(D172="","",IF(ISNUMBER(_xll.ciqfunctions.udf.CIQ(D174,"IQ_BUS_SEG_NAME", H173, Valuation_date, , , , , $C185)),"",_xll.ciqfunctions.udf.CIQ(D174,"IQ_BUS_SEG_NAME", H173, Valuation_date, , , , , $C185)))</f>
        <v>#NAME?</v>
      </c>
      <c r="E185" s="1514" t="e">
        <f ca="1">IF(D172="","",IF(D185="","",_xll.ciqfunctions.udf.CIQ(D174,"IQ_BUS_SEG_REV", H173-1, Valuation_date, ReportType,DataMode, F174,FXMode, C185)*Scale))</f>
        <v>#NAME?</v>
      </c>
      <c r="F185" s="1514" t="e">
        <f ca="1">IF(D172="","",IF(D185="","",_xll.ciqfunctions.udf.CIQ(D174,"IQ_BUS_SEG_REV", H173, Valuation_date, ReportType,DataMode, F174,FXMode, $C185)*Scale))</f>
        <v>#NAME?</v>
      </c>
      <c r="G185" s="1575" t="e">
        <f ca="1">IF(D185="","",IFERROR(F185/F193,"n/a"))</f>
        <v>#NAME?</v>
      </c>
      <c r="H185" s="1575" t="e">
        <f t="shared" ca="1" si="11"/>
        <v>#NAME?</v>
      </c>
      <c r="I185" s="1576" t="e">
        <f ca="1">IF(D172="","",IF(D185="","",_xll.ciqfunctions.udf.CIQ(D174,"IQ_BUS_SEG_DESCRIPTION", H173, Valuation_date, , , , , $C185)))</f>
        <v>#NAME?</v>
      </c>
      <c r="J185" s="1574"/>
      <c r="K185" s="1509"/>
      <c r="L185" s="2060"/>
      <c r="M185" s="2060"/>
      <c r="N185" s="1508"/>
      <c r="O185" s="2060"/>
    </row>
    <row r="186" spans="1:15" s="151" customFormat="1">
      <c r="A186" s="1518" t="e">
        <f t="shared" ca="1" si="10"/>
        <v>#NAME?</v>
      </c>
      <c r="B186" s="1518"/>
      <c r="C186" s="654">
        <v>9</v>
      </c>
      <c r="D186" s="656" t="e">
        <f ca="1">IF(D172="","",IF(ISNUMBER(_xll.ciqfunctions.udf.CIQ(D174,"IQ_BUS_SEG_NAME", H173, Valuation_date, , , , , $C186)),"",_xll.ciqfunctions.udf.CIQ(D174,"IQ_BUS_SEG_NAME", H173, Valuation_date, , , , , $C186)))</f>
        <v>#NAME?</v>
      </c>
      <c r="E186" s="1514" t="e">
        <f ca="1">IF(D172="","",IF(D186="","",_xll.ciqfunctions.udf.CIQ(D174,"IQ_BUS_SEG_REV", H173-1, Valuation_date, ReportType,DataMode, F174,FXMode, C186)*Scale))</f>
        <v>#NAME?</v>
      </c>
      <c r="F186" s="1514" t="e">
        <f ca="1">IF(D172="","",IF(D186="","",_xll.ciqfunctions.udf.CIQ(D174,"IQ_BUS_SEG_REV", H173, Valuation_date, ReportType,DataMode, F174,FXMode, $C186)*Scale))</f>
        <v>#NAME?</v>
      </c>
      <c r="G186" s="1575" t="e">
        <f ca="1">IF(D186="","",IFERROR(F186/F193,"n/a"))</f>
        <v>#NAME?</v>
      </c>
      <c r="H186" s="1575" t="e">
        <f t="shared" ca="1" si="11"/>
        <v>#NAME?</v>
      </c>
      <c r="I186" s="1576" t="e">
        <f ca="1">IF(D172="","",IF(D186="","",_xll.ciqfunctions.udf.CIQ(D174,"IQ_BUS_SEG_DESCRIPTION", H173, Valuation_date, , , , , $C186)))</f>
        <v>#NAME?</v>
      </c>
      <c r="J186" s="1574"/>
      <c r="K186" s="1509"/>
      <c r="L186" s="2060"/>
      <c r="M186" s="2060"/>
      <c r="O186" s="2060"/>
    </row>
    <row r="187" spans="1:15">
      <c r="A187" s="1518" t="e">
        <f t="shared" ca="1" si="10"/>
        <v>#NAME?</v>
      </c>
      <c r="B187" s="1518"/>
      <c r="C187" s="654">
        <v>10</v>
      </c>
      <c r="D187" s="656" t="e">
        <f ca="1">IF(D172="","",IF(ISNUMBER(_xll.ciqfunctions.udf.CIQ(D174,"IQ_BUS_SEG_NAME", H173, Valuation_date, , , , , $C187)),"",_xll.ciqfunctions.udf.CIQ(D174,"IQ_BUS_SEG_NAME", H173, Valuation_date, , , , , $C187)))</f>
        <v>#NAME?</v>
      </c>
      <c r="E187" s="1514" t="e">
        <f ca="1">IF(D172="","",IF(D187="","",_xll.ciqfunctions.udf.CIQ(D174,"IQ_BUS_SEG_REV", H173-1, Valuation_date, ReportType,DataMode, F174,FXMode, C187)*Scale))</f>
        <v>#NAME?</v>
      </c>
      <c r="F187" s="1514" t="e">
        <f ca="1">IF(D172="","",IF(D187="","",_xll.ciqfunctions.udf.CIQ(D174,"IQ_BUS_SEG_REV", H173, Valuation_date, ReportType,DataMode, F174,FXMode, $C187)*Scale))</f>
        <v>#NAME?</v>
      </c>
      <c r="G187" s="1575" t="e">
        <f ca="1">IF(D187="","",IFERROR(F187/F193,"n/a"))</f>
        <v>#NAME?</v>
      </c>
      <c r="H187" s="1575" t="e">
        <f t="shared" ca="1" si="11"/>
        <v>#NAME?</v>
      </c>
      <c r="I187" s="1576" t="e">
        <f ca="1">IF(D172="","",IF(D187="","",_xll.ciqfunctions.udf.CIQ(D174,"IQ_BUS_SEG_DESCRIPTION", H173, Valuation_date, , , , , $C187)))</f>
        <v>#NAME?</v>
      </c>
      <c r="J187" s="393"/>
      <c r="K187" s="1509"/>
      <c r="L187" s="2060"/>
      <c r="M187" s="2060"/>
      <c r="N187" s="1508"/>
      <c r="O187" s="2060"/>
    </row>
    <row r="188" spans="1:15">
      <c r="A188" s="1518" t="e">
        <f t="shared" ca="1" si="10"/>
        <v>#NAME?</v>
      </c>
      <c r="B188" s="1518"/>
      <c r="C188" s="654">
        <v>11</v>
      </c>
      <c r="D188" s="656" t="e">
        <f ca="1">IF(D172="","",IF(ISNUMBER(_xll.ciqfunctions.udf.CIQ(D174,"IQ_BUS_SEG_NAME", H173, Valuation_date, , , , , $C188)),"",_xll.ciqfunctions.udf.CIQ(D174,"IQ_BUS_SEG_NAME", H173, Valuation_date, , , , , $C188)))</f>
        <v>#NAME?</v>
      </c>
      <c r="E188" s="1514" t="e">
        <f ca="1">IF(D172="","",IF(D188="","",_xll.ciqfunctions.udf.CIQ(D174,"IQ_BUS_SEG_REV", H173-1, Valuation_date, ReportType,DataMode, F174,FXMode, C188)*Scale))</f>
        <v>#NAME?</v>
      </c>
      <c r="F188" s="1514" t="e">
        <f ca="1">IF(D172="","",IF(D188="","",_xll.ciqfunctions.udf.CIQ(D174,"IQ_BUS_SEG_REV", H173, Valuation_date, ReportType,DataMode, F174,FXMode, $C188)*Scale))</f>
        <v>#NAME?</v>
      </c>
      <c r="G188" s="1575" t="e">
        <f ca="1">IF(D188="","",IFERROR(F188/F193,"n/a"))</f>
        <v>#NAME?</v>
      </c>
      <c r="H188" s="1575" t="e">
        <f t="shared" ca="1" si="11"/>
        <v>#NAME?</v>
      </c>
      <c r="I188" s="1576" t="e">
        <f ca="1">IF(D172="","",IF(D188="","",_xll.ciqfunctions.udf.CIQ(D174,"IQ_BUS_SEG_DESCRIPTION", H173, Valuation_date, , , , , $C188)))</f>
        <v>#NAME?</v>
      </c>
      <c r="J188" s="1574"/>
      <c r="K188" s="1509"/>
      <c r="L188" s="2060"/>
      <c r="M188" s="2060"/>
      <c r="N188" s="1508"/>
      <c r="O188" s="2060"/>
    </row>
    <row r="189" spans="1:15">
      <c r="A189" s="1518" t="e">
        <f t="shared" ca="1" si="10"/>
        <v>#NAME?</v>
      </c>
      <c r="B189" s="1518"/>
      <c r="C189" s="654">
        <v>12</v>
      </c>
      <c r="D189" s="656" t="e">
        <f ca="1">IF(D172="","",IF(ISNUMBER(_xll.ciqfunctions.udf.CIQ(D174,"IQ_BUS_SEG_NAME", H173, Valuation_date, , , , , $C189)),"",_xll.ciqfunctions.udf.CIQ(D174,"IQ_BUS_SEG_NAME", H173, Valuation_date, , , , , $C189)))</f>
        <v>#NAME?</v>
      </c>
      <c r="E189" s="1514" t="e">
        <f ca="1">IF(D172="","",IF(D189="","",_xll.ciqfunctions.udf.CIQ(D174,"IQ_BUS_SEG_REV", H173-1, Valuation_date, ReportType,DataMode, F174,FXMode, C189)*Scale))</f>
        <v>#NAME?</v>
      </c>
      <c r="F189" s="1514" t="e">
        <f ca="1">IF(D172="","",IF(D189="","",_xll.ciqfunctions.udf.CIQ(D174,"IQ_BUS_SEG_REV", H173, Valuation_date, ReportType,DataMode, F174,FXMode, $C189)*Scale))</f>
        <v>#NAME?</v>
      </c>
      <c r="G189" s="1575" t="e">
        <f ca="1">IF(D189="","",IFERROR(F189/F193,"n/a"))</f>
        <v>#NAME?</v>
      </c>
      <c r="H189" s="1575" t="e">
        <f t="shared" ca="1" si="11"/>
        <v>#NAME?</v>
      </c>
      <c r="I189" s="1576" t="e">
        <f ca="1">IF(D172="","",IF(D189="","",_xll.ciqfunctions.udf.CIQ(D174,"IQ_BUS_SEG_DESCRIPTION", H173, Valuation_date, , , , , $C189)))</f>
        <v>#NAME?</v>
      </c>
      <c r="J189" s="1574"/>
      <c r="K189" s="1509"/>
      <c r="L189" s="2060"/>
      <c r="M189" s="2060"/>
      <c r="N189" s="1508"/>
      <c r="O189" s="2060"/>
    </row>
    <row r="190" spans="1:15">
      <c r="A190" s="1518" t="e">
        <f t="shared" ca="1" si="10"/>
        <v>#NAME?</v>
      </c>
      <c r="B190" s="1518"/>
      <c r="C190" s="654">
        <v>13</v>
      </c>
      <c r="D190" s="656" t="e">
        <f ca="1">IF(D172="","",IF(ISNUMBER(_xll.ciqfunctions.udf.CIQ(D174,"IQ_BUS_SEG_NAME", H173, Valuation_date, , , , , $C190)),"",_xll.ciqfunctions.udf.CIQ(D174,"IQ_BUS_SEG_NAME", H173, Valuation_date, , , , , $C190)))</f>
        <v>#NAME?</v>
      </c>
      <c r="E190" s="1514" t="e">
        <f ca="1">IF(D172="","",IF(D190="","",_xll.ciqfunctions.udf.CIQ(D174,"IQ_BUS_SEG_REV", H173-1, Valuation_date, ReportType,DataMode, F174,FXMode, C190)*Scale))</f>
        <v>#NAME?</v>
      </c>
      <c r="F190" s="1514" t="e">
        <f ca="1">IF(D172="","",IF(D190="","",_xll.ciqfunctions.udf.CIQ(D174,"IQ_BUS_SEG_REV", H173, Valuation_date, ReportType,DataMode, F174,FXMode, $C190)*Scale))</f>
        <v>#NAME?</v>
      </c>
      <c r="G190" s="1575" t="e">
        <f ca="1">IF(D190="","",IFERROR(F190/F193,"n/a"))</f>
        <v>#NAME?</v>
      </c>
      <c r="H190" s="1575" t="e">
        <f t="shared" ca="1" si="11"/>
        <v>#NAME?</v>
      </c>
      <c r="I190" s="1576" t="e">
        <f ca="1">IF(D172="","",IF(D190="","",_xll.ciqfunctions.udf.CIQ(D174,"IQ_BUS_SEG_DESCRIPTION", H173, Valuation_date, , , , , $C190)))</f>
        <v>#NAME?</v>
      </c>
      <c r="J190" s="1574"/>
      <c r="K190" s="1509"/>
      <c r="L190" s="2060"/>
      <c r="M190" s="2060"/>
      <c r="N190" s="1508"/>
      <c r="O190" s="2060"/>
    </row>
    <row r="191" spans="1:15">
      <c r="A191" s="1518" t="e">
        <f ca="1">IF(D191="","n","")</f>
        <v>#NAME?</v>
      </c>
      <c r="B191" s="1518"/>
      <c r="C191" s="654">
        <v>14</v>
      </c>
      <c r="D191" s="656" t="e">
        <f ca="1">IF(D172="","",IF(ISNUMBER(_xll.ciqfunctions.udf.CIQ(D174,"IQ_BUS_SEG_NAME", H173, Valuation_date, , , , , $C191)),"",_xll.ciqfunctions.udf.CIQ(D174,"IQ_BUS_SEG_NAME", H173, Valuation_date, , , , , $C191)))</f>
        <v>#NAME?</v>
      </c>
      <c r="E191" s="1514" t="e">
        <f ca="1">IF(D172="","",IF(D191="","",_xll.ciqfunctions.udf.CIQ(D174,"IQ_BUS_SEG_REV", H173-1, Valuation_date, ReportType,DataMode, F174,FXMode, C191)*Scale))</f>
        <v>#NAME?</v>
      </c>
      <c r="F191" s="1514" t="e">
        <f ca="1">IF(D172="","",IF(D191="","",_xll.ciqfunctions.udf.CIQ(D174,"IQ_BUS_SEG_REV", H173, Valuation_date, ReportType,DataMode, F174,FXMode, $C191)*Scale))</f>
        <v>#NAME?</v>
      </c>
      <c r="G191" s="1575" t="e">
        <f ca="1">IF(D191="","",IFERROR(F191/F193,"n/a"))</f>
        <v>#NAME?</v>
      </c>
      <c r="H191" s="1575" t="e">
        <f t="shared" ca="1" si="11"/>
        <v>#NAME?</v>
      </c>
      <c r="I191" s="1576" t="e">
        <f ca="1">IF(D172="","",IF(D191="","",_xll.ciqfunctions.udf.CIQ(D174,"IQ_BUS_SEG_DESCRIPTION", H173, Valuation_date, , , , , $C191)))</f>
        <v>#NAME?</v>
      </c>
      <c r="J191" s="1574"/>
      <c r="K191" s="1509"/>
      <c r="L191" s="2060"/>
      <c r="M191" s="2060"/>
      <c r="N191" s="1508"/>
      <c r="O191" s="2060"/>
    </row>
    <row r="192" spans="1:15">
      <c r="A192" s="1518" t="e">
        <f ca="1">IF(D192="","n","")</f>
        <v>#NAME?</v>
      </c>
      <c r="B192" s="1518"/>
      <c r="C192" s="654">
        <v>15</v>
      </c>
      <c r="D192" s="656" t="e">
        <f ca="1">IF(D172="","",IF(ISNUMBER(_xll.ciqfunctions.udf.CIQ(D174,"IQ_BUS_SEG_NAME", H173, Valuation_date, , , , , $C192)),"",_xll.ciqfunctions.udf.CIQ(D174,"IQ_BUS_SEG_NAME", H173, Valuation_date, , , , , $C192)))</f>
        <v>#NAME?</v>
      </c>
      <c r="E192" s="1514" t="e">
        <f ca="1">IF(D172="","",IF(D192="","",_xll.ciqfunctions.udf.CIQ(D174,"IQ_BUS_SEG_REV", H173-1, Valuation_date, ReportType,DataMode, F174,FXMode, C192)*Scale))</f>
        <v>#NAME?</v>
      </c>
      <c r="F192" s="1514" t="e">
        <f ca="1">IF(D172="","",IF(D192="","",_xll.ciqfunctions.udf.CIQ(D174,"IQ_BUS_SEG_REV", H173, Valuation_date, ReportType,DataMode, F174,FXMode, $C192)*Scale))</f>
        <v>#NAME?</v>
      </c>
      <c r="G192" s="1575" t="e">
        <f ca="1">IF(D192="","",IFERROR(F192/F193,"n/a"))</f>
        <v>#NAME?</v>
      </c>
      <c r="H192" s="1575" t="e">
        <f t="shared" ca="1" si="11"/>
        <v>#NAME?</v>
      </c>
      <c r="I192" s="1576" t="e">
        <f ca="1">IF(D172="","",IF(D192="","",_xll.ciqfunctions.udf.CIQ(D174,"IQ_BUS_SEG_DESCRIPTION", H173, Valuation_date, , , , , $C192)))</f>
        <v>#NAME?</v>
      </c>
      <c r="J192" s="1574"/>
      <c r="K192" s="1509"/>
      <c r="L192" s="2060"/>
      <c r="M192" s="2060"/>
      <c r="N192" s="1508"/>
      <c r="O192" s="2060"/>
    </row>
    <row r="193" spans="1:26" ht="14.45" thickBot="1">
      <c r="A193" s="1518"/>
      <c r="B193" s="1518"/>
      <c r="C193" s="1572"/>
      <c r="D193" s="658" t="s">
        <v>1248</v>
      </c>
      <c r="E193" s="658" t="e">
        <f ca="1">SUM(E178:E192)</f>
        <v>#NAME?</v>
      </c>
      <c r="F193" s="658" t="e">
        <f ca="1">SUM(F178:F192)</f>
        <v>#NAME?</v>
      </c>
      <c r="G193" s="2257" t="e">
        <f ca="1">SUM(G178:G192)</f>
        <v>#NAME?</v>
      </c>
      <c r="H193" s="2257" t="str">
        <f ca="1">IF(D193="","",IFERROR(F193/E193-1,"n/a"))</f>
        <v>n/a</v>
      </c>
      <c r="I193" s="1571"/>
      <c r="J193" s="1574"/>
      <c r="K193" s="1509"/>
      <c r="L193" s="2060"/>
      <c r="M193" s="2060"/>
      <c r="N193" s="1508"/>
      <c r="O193" s="2060"/>
      <c r="P193" s="1508"/>
      <c r="Q193" s="1508"/>
      <c r="R193" s="1508"/>
      <c r="S193" s="1508"/>
      <c r="T193" s="1508"/>
      <c r="U193" s="1508"/>
      <c r="V193" s="1508"/>
      <c r="W193" s="1508"/>
      <c r="X193" s="1508"/>
      <c r="Y193" s="1508"/>
      <c r="Z193" s="1508"/>
    </row>
    <row r="194" spans="1:26">
      <c r="A194" s="1518"/>
      <c r="B194" s="1518"/>
      <c r="C194" s="1572"/>
      <c r="D194" s="1514"/>
      <c r="E194" s="1514"/>
      <c r="F194" s="1575"/>
      <c r="G194" s="1514"/>
      <c r="H194" s="1575"/>
      <c r="I194" s="1571"/>
      <c r="J194" s="1574"/>
      <c r="K194" s="1509"/>
      <c r="L194" s="2060"/>
      <c r="M194" s="2060"/>
      <c r="N194" s="1508"/>
      <c r="O194" s="2060"/>
      <c r="P194" s="1508"/>
      <c r="Q194" s="1508"/>
      <c r="R194" s="1508"/>
      <c r="S194" s="1508"/>
      <c r="T194" s="1508"/>
      <c r="U194" s="1508"/>
      <c r="V194" s="1508"/>
      <c r="W194" s="1508"/>
      <c r="X194" s="1508"/>
      <c r="Y194" s="1508"/>
      <c r="Z194" s="1508"/>
    </row>
    <row r="195" spans="1:26" s="1508" customFormat="1">
      <c r="A195" s="1518"/>
      <c r="B195" s="1518"/>
      <c r="C195" s="1572"/>
      <c r="D195" s="1514" t="s">
        <v>1707</v>
      </c>
      <c r="E195" s="1579"/>
      <c r="F195" s="1575"/>
      <c r="G195" s="1514"/>
      <c r="H195" s="1575"/>
      <c r="I195" s="1571"/>
      <c r="J195" s="1574"/>
      <c r="K195" s="1509"/>
      <c r="L195" s="2060"/>
      <c r="M195" s="2060"/>
      <c r="O195" s="2060"/>
    </row>
    <row r="196" spans="1:26">
      <c r="A196" s="1518"/>
      <c r="B196" s="1518"/>
      <c r="C196" s="1572"/>
      <c r="D196" s="1514" t="s">
        <v>1402</v>
      </c>
      <c r="E196" s="1514"/>
      <c r="F196" s="1575"/>
      <c r="G196" s="1514"/>
      <c r="H196" s="1575"/>
      <c r="I196" s="1571"/>
      <c r="J196" s="1574"/>
      <c r="K196" s="1509"/>
      <c r="L196" s="2060"/>
      <c r="M196" s="2060"/>
      <c r="N196" s="1508"/>
      <c r="O196" s="2060"/>
      <c r="P196" s="1508"/>
      <c r="Q196" s="1508"/>
      <c r="R196" s="1508"/>
      <c r="S196" s="1508"/>
      <c r="T196" s="1508"/>
      <c r="U196" s="1508"/>
      <c r="V196" s="1508"/>
      <c r="W196" s="1508"/>
      <c r="X196" s="1508"/>
      <c r="Y196" s="1508"/>
      <c r="Z196" s="1508"/>
    </row>
    <row r="197" spans="1:26">
      <c r="A197" s="1518"/>
      <c r="B197" s="1518"/>
      <c r="C197" s="1572"/>
      <c r="D197" s="1538"/>
      <c r="E197" s="1538"/>
      <c r="F197" s="1538"/>
      <c r="G197" s="1538"/>
      <c r="H197" s="1538"/>
      <c r="I197" s="1571"/>
      <c r="J197" s="1538"/>
      <c r="K197" s="1509"/>
      <c r="L197" s="2060"/>
      <c r="M197" s="2060"/>
      <c r="N197" s="2060"/>
      <c r="O197" s="2060"/>
      <c r="P197" s="2060"/>
      <c r="Q197" s="2060"/>
      <c r="R197" s="2060"/>
      <c r="S197" s="2060"/>
      <c r="T197" s="1508"/>
      <c r="U197" s="1508"/>
      <c r="V197" s="1508"/>
      <c r="W197" s="1508"/>
      <c r="X197" s="1508"/>
      <c r="Y197" s="1508"/>
      <c r="Z197" s="1508"/>
    </row>
    <row r="198" spans="1:26" s="178" customFormat="1" ht="13.5" customHeight="1">
      <c r="A198" s="1510"/>
      <c r="B198" s="1510"/>
      <c r="C198" s="387"/>
      <c r="D198" s="1513" t="str">
        <f ca="1">FootnoteDRAFT</f>
        <v>Run date: 05-August-2018  02:34 PM.   DRAFT document. All data subject to change upon completion of additional analysis.</v>
      </c>
      <c r="E198" s="1513"/>
      <c r="F198" s="373"/>
      <c r="G198" s="1513"/>
      <c r="H198" s="1513"/>
      <c r="I198" s="1562"/>
      <c r="J198" s="1512"/>
      <c r="K198" s="1509"/>
      <c r="L198" s="2060"/>
      <c r="M198" s="2060"/>
      <c r="N198" s="2060"/>
      <c r="O198" s="2060"/>
      <c r="P198" s="2060"/>
      <c r="Q198" s="2060"/>
      <c r="R198" s="2060"/>
      <c r="S198" s="2060"/>
      <c r="T198" s="2060"/>
      <c r="U198" s="2060"/>
      <c r="V198" s="2060"/>
      <c r="W198" s="2060"/>
      <c r="X198" s="2060"/>
      <c r="Y198" s="2060"/>
      <c r="Z198" s="2060"/>
    </row>
    <row r="199" spans="1:26" s="178" customFormat="1">
      <c r="A199" s="1510" t="s">
        <v>17</v>
      </c>
      <c r="B199" s="1510"/>
      <c r="C199" s="1510"/>
      <c r="D199" s="1510"/>
      <c r="E199" s="683"/>
      <c r="F199" s="1510"/>
      <c r="G199" s="1510"/>
      <c r="H199" s="1510"/>
      <c r="I199" s="1547"/>
      <c r="J199" s="1546" t="str">
        <f ca="1">IF(D207="","Page end","Continue")</f>
        <v>Continue</v>
      </c>
      <c r="K199" s="1510"/>
      <c r="L199" s="2060"/>
      <c r="M199" s="2060"/>
      <c r="N199" s="2060"/>
      <c r="O199" s="2060"/>
      <c r="P199" s="2060"/>
      <c r="Q199" s="2060"/>
      <c r="R199" s="2060"/>
      <c r="S199" s="2060"/>
      <c r="T199" s="2060"/>
      <c r="U199" s="2060"/>
      <c r="V199" s="2060"/>
      <c r="W199" s="2060"/>
      <c r="X199" s="2060"/>
      <c r="Y199" s="2060"/>
      <c r="Z199" s="2060"/>
    </row>
    <row r="200" spans="1:26" ht="18" customHeight="1">
      <c r="A200" s="1518"/>
      <c r="B200" s="1518"/>
      <c r="C200" s="292" t="str">
        <f ca="1">D205</f>
        <v>n/a</v>
      </c>
      <c r="D200" s="172"/>
      <c r="E200" s="674"/>
      <c r="F200" s="172"/>
      <c r="G200" s="172"/>
      <c r="H200" s="172"/>
      <c r="I200" s="1522"/>
      <c r="J200" s="389" t="str">
        <f>$J$1&amp;"."&amp;C205&amp;""</f>
        <v>Workpaper 6.6</v>
      </c>
      <c r="K200" s="1509"/>
      <c r="L200" s="1508"/>
      <c r="M200" s="2060"/>
      <c r="N200" s="1508"/>
      <c r="O200" s="2060"/>
      <c r="P200" s="1508"/>
      <c r="Q200" s="1508"/>
      <c r="R200" s="1508"/>
      <c r="S200" s="1508"/>
      <c r="T200" s="1508"/>
      <c r="U200" s="1508"/>
      <c r="V200" s="1508"/>
      <c r="W200" s="1508"/>
      <c r="X200" s="1508"/>
      <c r="Y200" s="1508"/>
      <c r="Z200" s="1508"/>
    </row>
    <row r="201" spans="1:26" ht="18" customHeight="1">
      <c r="A201" s="1518"/>
      <c r="B201" s="1518"/>
      <c r="C201" s="839" t="s">
        <v>1699</v>
      </c>
      <c r="D201" s="172"/>
      <c r="E201" s="172"/>
      <c r="F201" s="172"/>
      <c r="G201" s="172"/>
      <c r="H201" s="172"/>
      <c r="I201" s="1522"/>
      <c r="J201" s="187"/>
      <c r="K201" s="1509"/>
      <c r="L201" s="1508"/>
      <c r="M201" s="2060"/>
      <c r="N201" s="1508"/>
      <c r="O201" s="2060"/>
      <c r="P201" s="1508"/>
      <c r="Q201" s="1508"/>
      <c r="R201" s="1508"/>
      <c r="S201" s="1508"/>
      <c r="T201" s="1508"/>
      <c r="U201" s="1508"/>
      <c r="V201" s="1508"/>
      <c r="W201" s="1508"/>
      <c r="X201" s="1508"/>
      <c r="Y201" s="1508"/>
      <c r="Z201" s="1508"/>
    </row>
    <row r="202" spans="1:26" ht="18" customHeight="1">
      <c r="A202" s="1518"/>
      <c r="B202" s="1518"/>
      <c r="C202" s="366" t="str">
        <f ca="1">"(" &amp;F207&amp;" in "&amp;ScaleInput&amp;")"</f>
        <v>(USD in Millions)</v>
      </c>
      <c r="D202" s="1508"/>
      <c r="E202" s="170"/>
      <c r="F202" s="170"/>
      <c r="G202" s="170"/>
      <c r="H202" s="170"/>
      <c r="I202" s="1521"/>
      <c r="J202" s="1508"/>
      <c r="K202" s="1509"/>
      <c r="L202" s="1508"/>
      <c r="M202" s="2060"/>
      <c r="N202" s="1508"/>
      <c r="O202" s="2060"/>
      <c r="P202" s="1508"/>
      <c r="Q202" s="1508"/>
      <c r="R202" s="1508"/>
      <c r="S202" s="1508"/>
      <c r="T202" s="1508"/>
      <c r="U202" s="1508"/>
      <c r="V202" s="1508"/>
      <c r="W202" s="1508"/>
      <c r="X202" s="1508"/>
      <c r="Y202" s="1508"/>
      <c r="Z202" s="1508"/>
    </row>
    <row r="203" spans="1:26" ht="18" customHeight="1">
      <c r="A203" s="1518"/>
      <c r="B203" s="1518"/>
      <c r="C203" s="366"/>
      <c r="D203" s="1508"/>
      <c r="E203" s="172"/>
      <c r="F203" s="172"/>
      <c r="G203" s="172"/>
      <c r="H203" s="172"/>
      <c r="I203" s="1522"/>
      <c r="J203" s="1508"/>
      <c r="K203" s="1509"/>
      <c r="L203" s="1508"/>
      <c r="M203" s="2060"/>
      <c r="N203" s="1508"/>
      <c r="O203" s="2060"/>
      <c r="P203" s="1508"/>
      <c r="Q203" s="1508"/>
      <c r="R203" s="1508"/>
      <c r="S203" s="1508"/>
      <c r="T203" s="1508"/>
      <c r="U203" s="1508"/>
      <c r="V203" s="1508"/>
      <c r="W203" s="1508"/>
      <c r="X203" s="1508"/>
      <c r="Y203" s="1508"/>
      <c r="Z203" s="1508"/>
    </row>
    <row r="204" spans="1:26">
      <c r="A204" s="1518"/>
      <c r="B204" s="1518"/>
      <c r="C204" s="225"/>
      <c r="D204" s="1508"/>
      <c r="E204" s="1508"/>
      <c r="F204" s="1508"/>
      <c r="G204" s="1508"/>
      <c r="H204" s="1508"/>
      <c r="I204" s="1515"/>
      <c r="J204" s="1508"/>
      <c r="K204" s="1509"/>
      <c r="L204" s="1508"/>
      <c r="M204" s="2060"/>
      <c r="N204" s="1508"/>
      <c r="O204" s="2060"/>
      <c r="P204" s="1508"/>
      <c r="Q204" s="1508"/>
      <c r="R204" s="1508"/>
      <c r="S204" s="1508"/>
      <c r="T204" s="1508"/>
      <c r="U204" s="1508"/>
      <c r="V204" s="1508"/>
      <c r="W204" s="1508"/>
      <c r="X204" s="1508"/>
      <c r="Y204" s="1508"/>
      <c r="Z204" s="1508"/>
    </row>
    <row r="205" spans="1:26">
      <c r="A205" s="1518"/>
      <c r="B205" s="1518"/>
      <c r="C205" s="653">
        <v>6</v>
      </c>
      <c r="D205" s="179" t="str">
        <f ca="1">IF(D207=0,"n/a",IFERROR(_xll.ciqfunctions.udf.CIQ(D207,"IQ_COMPANY_NAME"),"n/a"))</f>
        <v>n/a</v>
      </c>
      <c r="E205" s="1538"/>
      <c r="F205" s="1538"/>
      <c r="G205" s="1538"/>
      <c r="H205" s="1538"/>
      <c r="I205" s="1571"/>
      <c r="J205" s="1538"/>
      <c r="K205" s="1509"/>
      <c r="L205" s="1508"/>
      <c r="M205" s="2060"/>
      <c r="N205" s="1508"/>
      <c r="O205" s="2060"/>
      <c r="P205" s="1508"/>
      <c r="Q205" s="1508"/>
      <c r="R205" s="1508"/>
      <c r="S205" s="1508"/>
      <c r="T205" s="1508"/>
      <c r="U205" s="1508"/>
      <c r="V205" s="1508"/>
      <c r="W205" s="1508"/>
      <c r="X205" s="1508"/>
      <c r="Y205" s="1508"/>
      <c r="Z205" s="1508"/>
    </row>
    <row r="206" spans="1:26">
      <c r="A206" s="1518"/>
      <c r="B206" s="1518"/>
      <c r="C206" s="1572"/>
      <c r="D206" s="2258" t="s">
        <v>134</v>
      </c>
      <c r="E206" s="2246" t="s">
        <v>1708</v>
      </c>
      <c r="F206" s="2247" t="s">
        <v>167</v>
      </c>
      <c r="G206" s="2247" t="s">
        <v>1700</v>
      </c>
      <c r="H206" s="2248">
        <f>INDEX($W$9:$W$14,MATCH(H207,PeriodList,0))</f>
        <v>2000</v>
      </c>
      <c r="I206" s="1571"/>
      <c r="J206" s="217"/>
      <c r="K206" s="1509"/>
      <c r="L206" s="1508"/>
      <c r="M206" s="2060"/>
      <c r="N206" s="1508"/>
      <c r="O206" s="2060"/>
      <c r="P206" s="1508"/>
      <c r="Q206" s="1508"/>
      <c r="R206" s="1508"/>
      <c r="S206" s="1508"/>
      <c r="T206" s="1508"/>
      <c r="U206" s="1508"/>
      <c r="V206" s="1508"/>
      <c r="W206" s="1508"/>
      <c r="X206" s="1508"/>
      <c r="Y206" s="1508"/>
      <c r="Z206" s="1508"/>
    </row>
    <row r="207" spans="1:26" s="185" customFormat="1">
      <c r="A207" s="1518"/>
      <c r="B207" s="1518"/>
      <c r="C207" s="654"/>
      <c r="D207" s="2249">
        <f ca="1">OFFSET(GCIdentifierTop,C205,0)</f>
        <v>0</v>
      </c>
      <c r="E207" s="2250" t="str">
        <f ca="1">IF($D207="","",IFERROR(_xll.ciqfunctions.udf.CIQ($D207,"IQ_PERIODDATE",H206,Valuation_date),"n/a"))</f>
        <v>n/a</v>
      </c>
      <c r="F207" s="2251" t="str">
        <f ca="1">IFERROR(IF(C205=0,SubjOutputCurrencyCode,IF(D207="","",IF(OutputCurrency="Filing",_xll.ciqfunctions.udf.CIQ($D207,"IQ_FILING_CURRENCY",500,Valuation_date,ReportType,DataMode),OutputCurrency))),OutputCurrency)</f>
        <v>USD</v>
      </c>
      <c r="G207" s="2252" t="e">
        <f ca="1">IF(D205="","",_xll.ciqfunctions.udf.CIQ(D207,"IQ_TOTAL_REV", H206, Valuation_date,ReportType,DataMode,F207,FXMode))</f>
        <v>#NAME?</v>
      </c>
      <c r="H207" s="2260" t="str">
        <f>$H$9</f>
        <v>LTM/LFQ</v>
      </c>
      <c r="I207" s="1573"/>
      <c r="J207" s="392"/>
      <c r="K207" s="1509"/>
      <c r="M207" s="2060"/>
      <c r="O207" s="2060"/>
    </row>
    <row r="208" spans="1:26">
      <c r="A208" s="1518"/>
      <c r="B208" s="1518"/>
      <c r="C208" s="654"/>
      <c r="D208" s="1538"/>
      <c r="E208" s="1538"/>
      <c r="F208" s="1538"/>
      <c r="G208" s="1538"/>
      <c r="H208" s="1538"/>
      <c r="I208" s="1571"/>
      <c r="J208" s="655"/>
      <c r="K208" s="1509"/>
      <c r="L208" s="1508"/>
      <c r="M208" s="2060"/>
      <c r="N208" s="1508"/>
      <c r="O208" s="2060"/>
      <c r="P208" s="1508"/>
      <c r="Q208" s="1508"/>
      <c r="R208" s="1508"/>
      <c r="S208" s="1508"/>
      <c r="T208" s="1508"/>
      <c r="U208" s="1508"/>
      <c r="V208" s="1508"/>
      <c r="W208" s="1508"/>
      <c r="X208" s="1508"/>
      <c r="Y208" s="1508"/>
      <c r="Z208" s="1508"/>
    </row>
    <row r="209" spans="1:15">
      <c r="A209" s="1518"/>
      <c r="B209" s="1518"/>
      <c r="C209" s="654"/>
      <c r="D209" s="741"/>
      <c r="E209" s="744" t="e">
        <f ca="1">IF(D207="",Valuation_date,_xll.ciqfunctions.udf.CIQ(D207,"IQ_PERIODDATE",H206-IF(LEFT(H207,3)="LFY",1,4),Valuation_date))</f>
        <v>#NAME?</v>
      </c>
      <c r="F209" s="742" t="e">
        <f ca="1">IF(D207="",Valuation_date,_xll.ciqfunctions.udf.CIQ(D207,"IQ_PERIODDATE",H206,Valuation_date))</f>
        <v>#NAME?</v>
      </c>
      <c r="G209" s="741"/>
      <c r="H209" s="743" t="s">
        <v>1702</v>
      </c>
      <c r="I209" s="1587"/>
      <c r="J209" s="655"/>
      <c r="K209" s="1509"/>
      <c r="L209" s="1508"/>
      <c r="M209" s="2060"/>
      <c r="N209" s="1508"/>
      <c r="O209" s="2060"/>
    </row>
    <row r="210" spans="1:15" s="151" customFormat="1">
      <c r="A210" s="1518"/>
      <c r="B210" s="1518"/>
      <c r="C210" s="654"/>
      <c r="D210" s="2254" t="s">
        <v>1703</v>
      </c>
      <c r="E210" s="2255" t="s">
        <v>1458</v>
      </c>
      <c r="F210" s="2255" t="s">
        <v>1458</v>
      </c>
      <c r="G210" s="2255" t="s">
        <v>1704</v>
      </c>
      <c r="H210" s="2255" t="s">
        <v>1705</v>
      </c>
      <c r="I210" s="2256" t="s">
        <v>1706</v>
      </c>
      <c r="J210" s="1574"/>
      <c r="K210" s="1509"/>
      <c r="L210" s="2060"/>
      <c r="M210" s="2060"/>
      <c r="O210" s="2060"/>
    </row>
    <row r="211" spans="1:15">
      <c r="A211" s="1518" t="e">
        <f t="shared" ref="A211:A223" ca="1" si="12">IF(D211="","n","")</f>
        <v>#NAME?</v>
      </c>
      <c r="B211" s="1518"/>
      <c r="C211" s="654">
        <v>1</v>
      </c>
      <c r="D211" s="656" t="e">
        <f ca="1">IF(D205="","",IF(ISNUMBER(_xll.ciqfunctions.udf.CIQ(D207,"IQ_BUS_SEG_NAME", H206, Valuation_date, , , , , $C211)),"",_xll.ciqfunctions.udf.CIQ(D207,"IQ_BUS_SEG_NAME", H206, Valuation_date, , , , , $C211)))</f>
        <v>#NAME?</v>
      </c>
      <c r="E211" s="1514" t="e">
        <f ca="1">IF(D205="","",IF(D211="","",_xll.ciqfunctions.udf.CIQ(D207,"IQ_BUS_SEG_REV", H206-1, Valuation_date, ReportType,DataMode, F207,FXMode, C211)*Scale))</f>
        <v>#NAME?</v>
      </c>
      <c r="F211" s="1514" t="e">
        <f ca="1">IF(D205="","",IF(D211="","",_xll.ciqfunctions.udf.CIQ(D207,"IQ_BUS_SEG_REV", H206, Valuation_date, ReportType,DataMode, F207,FXMode, $C211)*Scale))</f>
        <v>#NAME?</v>
      </c>
      <c r="G211" s="1575" t="e">
        <f ca="1">IF(D211="","",IFERROR(F211/F226,"n/a"))</f>
        <v>#NAME?</v>
      </c>
      <c r="H211" s="1575" t="e">
        <f ca="1">IF(D211="","",IFERROR(F211/E211-1,"n/a"))</f>
        <v>#NAME?</v>
      </c>
      <c r="I211" s="1576" t="e">
        <f ca="1">IF(D205="","",IF(D211="","",_xll.ciqfunctions.udf.CIQ(D207,"IQ_BUS_SEG_DESCRIPTION", H206, Valuation_date, , , , , $C211)))</f>
        <v>#NAME?</v>
      </c>
      <c r="J211" s="393"/>
      <c r="K211" s="1509"/>
      <c r="L211" s="2060"/>
      <c r="M211" s="2060"/>
      <c r="N211" s="1508"/>
      <c r="O211" s="2060"/>
    </row>
    <row r="212" spans="1:15">
      <c r="A212" s="1518" t="e">
        <f t="shared" ca="1" si="12"/>
        <v>#NAME?</v>
      </c>
      <c r="B212" s="1518"/>
      <c r="C212" s="654">
        <v>2</v>
      </c>
      <c r="D212" s="656" t="e">
        <f ca="1">IF(D205="","",IF(ISNUMBER(_xll.ciqfunctions.udf.CIQ(D207,"IQ_BUS_SEG_NAME", H206, Valuation_date, , , , , $C212)),"",_xll.ciqfunctions.udf.CIQ(D207,"IQ_BUS_SEG_NAME", H206, Valuation_date, , , , , $C212)))</f>
        <v>#NAME?</v>
      </c>
      <c r="E212" s="1514" t="e">
        <f ca="1">IF(D205="","",IF(D212="","",_xll.ciqfunctions.udf.CIQ(D207,"IQ_BUS_SEG_REV", H206-1, Valuation_date, ReportType,DataMode, F207,FXMode, C212)*Scale))</f>
        <v>#NAME?</v>
      </c>
      <c r="F212" s="1514" t="e">
        <f ca="1">IF(D205="","",IF(D212="","",_xll.ciqfunctions.udf.CIQ(D207,"IQ_BUS_SEG_REV", H206, Valuation_date, ReportType,DataMode, F207,FXMode, $C212)*Scale))</f>
        <v>#NAME?</v>
      </c>
      <c r="G212" s="1575" t="e">
        <f ca="1">IF(D212="","",IFERROR(F212/F226,"n/a"))</f>
        <v>#NAME?</v>
      </c>
      <c r="H212" s="1575" t="e">
        <f t="shared" ref="H212:H225" ca="1" si="13">IF(D212="","",IFERROR(F212/E212-1,"n/a"))</f>
        <v>#NAME?</v>
      </c>
      <c r="I212" s="1576" t="e">
        <f ca="1">IF(D205="","",IF(D212="","",_xll.ciqfunctions.udf.CIQ(D207,"IQ_BUS_SEG_DESCRIPTION", H206, Valuation_date, , , , , $C212)))</f>
        <v>#NAME?</v>
      </c>
      <c r="J212" s="393"/>
      <c r="K212" s="1509"/>
      <c r="L212" s="2060"/>
      <c r="M212" s="2060"/>
      <c r="N212" s="1508"/>
      <c r="O212" s="2060"/>
    </row>
    <row r="213" spans="1:15">
      <c r="A213" s="1518" t="e">
        <f t="shared" ca="1" si="12"/>
        <v>#NAME?</v>
      </c>
      <c r="B213" s="1518"/>
      <c r="C213" s="654">
        <v>3</v>
      </c>
      <c r="D213" s="656" t="e">
        <f ca="1">IF(D205="","",IF(ISNUMBER(_xll.ciqfunctions.udf.CIQ(D207,"IQ_BUS_SEG_NAME", H206, Valuation_date, , , , , $C213)),"",_xll.ciqfunctions.udf.CIQ(D207,"IQ_BUS_SEG_NAME", H206, Valuation_date, , , , , $C213)))</f>
        <v>#NAME?</v>
      </c>
      <c r="E213" s="1514" t="e">
        <f ca="1">IF(D205="","",IF(D213="","",_xll.ciqfunctions.udf.CIQ(D207,"IQ_BUS_SEG_REV", H206-1, Valuation_date, ReportType,DataMode, F207,FXMode, C213)*Scale))</f>
        <v>#NAME?</v>
      </c>
      <c r="F213" s="1514" t="e">
        <f ca="1">IF(D205="","",IF(D213="","",_xll.ciqfunctions.udf.CIQ(D207,"IQ_BUS_SEG_REV", H206, Valuation_date, ReportType,DataMode, F207,FXMode, $C213)*Scale))</f>
        <v>#NAME?</v>
      </c>
      <c r="G213" s="1575" t="e">
        <f ca="1">IF(D213="","",IFERROR(F213/F226,"n/a"))</f>
        <v>#NAME?</v>
      </c>
      <c r="H213" s="1575" t="e">
        <f t="shared" ca="1" si="13"/>
        <v>#NAME?</v>
      </c>
      <c r="I213" s="1576" t="e">
        <f ca="1">IF(D205="","",IF(D213="","",_xll.ciqfunctions.udf.CIQ(D207,"IQ_BUS_SEG_DESCRIPTION", H206, Valuation_date, , , , , $C213)))</f>
        <v>#NAME?</v>
      </c>
      <c r="J213" s="393"/>
      <c r="K213" s="1509"/>
      <c r="L213" s="2060"/>
      <c r="M213" s="2060"/>
      <c r="N213" s="1508"/>
      <c r="O213" s="2060"/>
    </row>
    <row r="214" spans="1:15">
      <c r="A214" s="1518" t="e">
        <f t="shared" ca="1" si="12"/>
        <v>#NAME?</v>
      </c>
      <c r="B214" s="1518"/>
      <c r="C214" s="654">
        <v>4</v>
      </c>
      <c r="D214" s="656" t="e">
        <f ca="1">IF(D205="","",IF(ISNUMBER(_xll.ciqfunctions.udf.CIQ(D207,"IQ_BUS_SEG_NAME", H206, Valuation_date, , , , , $C214)),"",_xll.ciqfunctions.udf.CIQ(D207,"IQ_BUS_SEG_NAME", H206, Valuation_date, , , , , $C214)))</f>
        <v>#NAME?</v>
      </c>
      <c r="E214" s="1514" t="e">
        <f ca="1">IF(D205="","",IF(D214="","",_xll.ciqfunctions.udf.CIQ(D207,"IQ_BUS_SEG_REV", H206-1, Valuation_date, ReportType,DataMode, F207,FXMode, C214)*Scale))</f>
        <v>#NAME?</v>
      </c>
      <c r="F214" s="1514" t="e">
        <f ca="1">IF(D205="","",IF(D214="","",_xll.ciqfunctions.udf.CIQ(D207,"IQ_BUS_SEG_REV", H206, Valuation_date, ReportType,DataMode, F207,FXMode, $C214)*Scale))</f>
        <v>#NAME?</v>
      </c>
      <c r="G214" s="1575" t="e">
        <f ca="1">IF(D214="","",IFERROR(F214/F226,"n/a"))</f>
        <v>#NAME?</v>
      </c>
      <c r="H214" s="1575" t="e">
        <f t="shared" ca="1" si="13"/>
        <v>#NAME?</v>
      </c>
      <c r="I214" s="1576" t="e">
        <f ca="1">IF(D205="","",IF(D214="","",_xll.ciqfunctions.udf.CIQ(D207,"IQ_BUS_SEG_DESCRIPTION", H206, Valuation_date, , , , , $C214)))</f>
        <v>#NAME?</v>
      </c>
      <c r="J214" s="393"/>
      <c r="K214" s="1509"/>
      <c r="L214" s="2060"/>
      <c r="M214" s="2060"/>
      <c r="N214" s="1508"/>
      <c r="O214" s="2060"/>
    </row>
    <row r="215" spans="1:15">
      <c r="A215" s="1518" t="e">
        <f t="shared" ca="1" si="12"/>
        <v>#NAME?</v>
      </c>
      <c r="B215" s="1518"/>
      <c r="C215" s="654">
        <v>5</v>
      </c>
      <c r="D215" s="656" t="e">
        <f ca="1">IF(D205="","",IF(ISNUMBER(_xll.ciqfunctions.udf.CIQ(D207,"IQ_BUS_SEG_NAME", H206, Valuation_date, , , , , $C215)),"",_xll.ciqfunctions.udf.CIQ(D207,"IQ_BUS_SEG_NAME", H206, Valuation_date, , , , , $C215)))</f>
        <v>#NAME?</v>
      </c>
      <c r="E215" s="1514" t="e">
        <f ca="1">IF(D205="","",IF(D215="","",_xll.ciqfunctions.udf.CIQ(D207,"IQ_BUS_SEG_REV", H206-1, Valuation_date, ReportType,DataMode, F207,FXMode, C215)*Scale))</f>
        <v>#NAME?</v>
      </c>
      <c r="F215" s="1514" t="e">
        <f ca="1">IF(D205="","",IF(D215="","",_xll.ciqfunctions.udf.CIQ(D207,"IQ_BUS_SEG_REV", H206, Valuation_date, ReportType,DataMode, F207,FXMode, $C215)*Scale))</f>
        <v>#NAME?</v>
      </c>
      <c r="G215" s="1575" t="e">
        <f ca="1">IF(D215="","",IFERROR(F215/F226,"n/a"))</f>
        <v>#NAME?</v>
      </c>
      <c r="H215" s="1575" t="e">
        <f t="shared" ca="1" si="13"/>
        <v>#NAME?</v>
      </c>
      <c r="I215" s="1576" t="e">
        <f ca="1">IF(D205="","",IF(D215="","",_xll.ciqfunctions.udf.CIQ(D207,"IQ_BUS_SEG_DESCRIPTION", H206, Valuation_date, , , , , $C215)))</f>
        <v>#NAME?</v>
      </c>
      <c r="J215" s="657"/>
      <c r="K215" s="1509"/>
      <c r="L215" s="2060"/>
      <c r="M215" s="2060"/>
      <c r="N215" s="1508"/>
      <c r="O215" s="2060"/>
    </row>
    <row r="216" spans="1:15">
      <c r="A216" s="1518" t="e">
        <f t="shared" ca="1" si="12"/>
        <v>#NAME?</v>
      </c>
      <c r="B216" s="1518"/>
      <c r="C216" s="654">
        <v>6</v>
      </c>
      <c r="D216" s="656" t="e">
        <f ca="1">IF(D205="","",IF(ISNUMBER(_xll.ciqfunctions.udf.CIQ(D207,"IQ_BUS_SEG_NAME", H206, Valuation_date, , , , , $C216)),"",_xll.ciqfunctions.udf.CIQ(D207,"IQ_BUS_SEG_NAME", H206, Valuation_date, , , , , $C216)))</f>
        <v>#NAME?</v>
      </c>
      <c r="E216" s="1514" t="e">
        <f ca="1">IF(D205="","",IF(D216="","",_xll.ciqfunctions.udf.CIQ(D207,"IQ_BUS_SEG_REV", H206-1, Valuation_date, ReportType,DataMode, F207,FXMode, C216)*Scale))</f>
        <v>#NAME?</v>
      </c>
      <c r="F216" s="1514" t="e">
        <f ca="1">IF(D205="","",IF(D216="","",_xll.ciqfunctions.udf.CIQ(D207,"IQ_BUS_SEG_REV", H206, Valuation_date, ReportType,DataMode, F207,FXMode, $C216)*Scale))</f>
        <v>#NAME?</v>
      </c>
      <c r="G216" s="1575" t="e">
        <f ca="1">IF(D216="","",IFERROR(F216/F226,"n/a"))</f>
        <v>#NAME?</v>
      </c>
      <c r="H216" s="1575" t="e">
        <f t="shared" ca="1" si="13"/>
        <v>#NAME?</v>
      </c>
      <c r="I216" s="1576" t="e">
        <f ca="1">IF(D205="","",IF(D216="","",_xll.ciqfunctions.udf.CIQ(D207,"IQ_BUS_SEG_DESCRIPTION", H206, Valuation_date, , , , , $C216)))</f>
        <v>#NAME?</v>
      </c>
      <c r="J216" s="657"/>
      <c r="K216" s="1509"/>
      <c r="L216" s="2060"/>
      <c r="M216" s="2060"/>
      <c r="N216" s="1508"/>
      <c r="O216" s="2060"/>
    </row>
    <row r="217" spans="1:15">
      <c r="A217" s="1518" t="e">
        <f t="shared" ca="1" si="12"/>
        <v>#NAME?</v>
      </c>
      <c r="B217" s="1518"/>
      <c r="C217" s="654">
        <v>7</v>
      </c>
      <c r="D217" s="656" t="e">
        <f ca="1">IF(D205="","",IF(ISNUMBER(_xll.ciqfunctions.udf.CIQ(D207,"IQ_BUS_SEG_NAME", H206, Valuation_date, , , , , $C217)),"",_xll.ciqfunctions.udf.CIQ(D207,"IQ_BUS_SEG_NAME", H206, Valuation_date, , , , , $C217)))</f>
        <v>#NAME?</v>
      </c>
      <c r="E217" s="1514" t="e">
        <f ca="1">IF(D205="","",IF(D217="","",_xll.ciqfunctions.udf.CIQ(D207,"IQ_BUS_SEG_REV", H206-1, Valuation_date, ReportType,DataMode, F207,FXMode, C217)*Scale))</f>
        <v>#NAME?</v>
      </c>
      <c r="F217" s="1514" t="e">
        <f ca="1">IF(D205="","",IF(D217="","",_xll.ciqfunctions.udf.CIQ(D207,"IQ_BUS_SEG_REV", H206, Valuation_date, ReportType,DataMode, F207,FXMode, $C217)*Scale))</f>
        <v>#NAME?</v>
      </c>
      <c r="G217" s="1575" t="e">
        <f ca="1">IF(D217="","",IFERROR(F217/F226,"n/a"))</f>
        <v>#NAME?</v>
      </c>
      <c r="H217" s="1575" t="e">
        <f t="shared" ca="1" si="13"/>
        <v>#NAME?</v>
      </c>
      <c r="I217" s="1576" t="e">
        <f ca="1">IF(D205="","",IF(D217="","",_xll.ciqfunctions.udf.CIQ(D207,"IQ_BUS_SEG_DESCRIPTION", H206, Valuation_date, , , , , $C217)))</f>
        <v>#NAME?</v>
      </c>
      <c r="J217" s="655"/>
      <c r="K217" s="1509"/>
      <c r="L217" s="2060"/>
      <c r="M217" s="2060"/>
      <c r="N217" s="1508"/>
      <c r="O217" s="2060"/>
    </row>
    <row r="218" spans="1:15">
      <c r="A218" s="1518" t="e">
        <f t="shared" ca="1" si="12"/>
        <v>#NAME?</v>
      </c>
      <c r="B218" s="1518"/>
      <c r="C218" s="654">
        <v>8</v>
      </c>
      <c r="D218" s="656" t="e">
        <f ca="1">IF(D205="","",IF(ISNUMBER(_xll.ciqfunctions.udf.CIQ(D207,"IQ_BUS_SEG_NAME", H206, Valuation_date, , , , , $C218)),"",_xll.ciqfunctions.udf.CIQ(D207,"IQ_BUS_SEG_NAME", H206, Valuation_date, , , , , $C218)))</f>
        <v>#NAME?</v>
      </c>
      <c r="E218" s="1514" t="e">
        <f ca="1">IF(D205="","",IF(D218="","",_xll.ciqfunctions.udf.CIQ(D207,"IQ_BUS_SEG_REV", H206-1, Valuation_date, ReportType,DataMode, F207,FXMode, C218)*Scale))</f>
        <v>#NAME?</v>
      </c>
      <c r="F218" s="1514" t="e">
        <f ca="1">IF(D205="","",IF(D218="","",_xll.ciqfunctions.udf.CIQ(D207,"IQ_BUS_SEG_REV", H206, Valuation_date, ReportType,DataMode, F207,FXMode, $C218)*Scale))</f>
        <v>#NAME?</v>
      </c>
      <c r="G218" s="1575" t="e">
        <f ca="1">IF(D218="","",IFERROR(F218/F226,"n/a"))</f>
        <v>#NAME?</v>
      </c>
      <c r="H218" s="1575" t="e">
        <f t="shared" ca="1" si="13"/>
        <v>#NAME?</v>
      </c>
      <c r="I218" s="1576" t="e">
        <f ca="1">IF(D205="","",IF(D218="","",_xll.ciqfunctions.udf.CIQ(D207,"IQ_BUS_SEG_DESCRIPTION", H206, Valuation_date, , , , , $C218)))</f>
        <v>#NAME?</v>
      </c>
      <c r="J218" s="1574"/>
      <c r="K218" s="1509"/>
      <c r="L218" s="2060"/>
      <c r="M218" s="2060"/>
      <c r="N218" s="1508"/>
      <c r="O218" s="2060"/>
    </row>
    <row r="219" spans="1:15" s="151" customFormat="1">
      <c r="A219" s="1518" t="e">
        <f t="shared" ca="1" si="12"/>
        <v>#NAME?</v>
      </c>
      <c r="B219" s="1518"/>
      <c r="C219" s="654">
        <v>9</v>
      </c>
      <c r="D219" s="656" t="e">
        <f ca="1">IF(D205="","",IF(ISNUMBER(_xll.ciqfunctions.udf.CIQ(D207,"IQ_BUS_SEG_NAME", H206, Valuation_date, , , , , $C219)),"",_xll.ciqfunctions.udf.CIQ(D207,"IQ_BUS_SEG_NAME", H206, Valuation_date, , , , , $C219)))</f>
        <v>#NAME?</v>
      </c>
      <c r="E219" s="1514" t="e">
        <f ca="1">IF(D205="","",IF(D219="","",_xll.ciqfunctions.udf.CIQ(D207,"IQ_BUS_SEG_REV", H206-1, Valuation_date, ReportType,DataMode, F207,FXMode, C219)*Scale))</f>
        <v>#NAME?</v>
      </c>
      <c r="F219" s="1514" t="e">
        <f ca="1">IF(D205="","",IF(D219="","",_xll.ciqfunctions.udf.CIQ(D207,"IQ_BUS_SEG_REV", H206, Valuation_date, ReportType,DataMode, F207,FXMode, $C219)*Scale))</f>
        <v>#NAME?</v>
      </c>
      <c r="G219" s="1575" t="e">
        <f ca="1">IF(D219="","",IFERROR(F219/F226,"n/a"))</f>
        <v>#NAME?</v>
      </c>
      <c r="H219" s="1575" t="e">
        <f t="shared" ca="1" si="13"/>
        <v>#NAME?</v>
      </c>
      <c r="I219" s="1576" t="e">
        <f ca="1">IF(D205="","",IF(D219="","",_xll.ciqfunctions.udf.CIQ(D207,"IQ_BUS_SEG_DESCRIPTION", H206, Valuation_date, , , , , $C219)))</f>
        <v>#NAME?</v>
      </c>
      <c r="J219" s="1574"/>
      <c r="K219" s="1509"/>
      <c r="L219" s="2060"/>
      <c r="M219" s="2060"/>
      <c r="O219" s="2060"/>
    </row>
    <row r="220" spans="1:15">
      <c r="A220" s="1518" t="e">
        <f t="shared" ca="1" si="12"/>
        <v>#NAME?</v>
      </c>
      <c r="B220" s="1518"/>
      <c r="C220" s="654">
        <v>10</v>
      </c>
      <c r="D220" s="656" t="e">
        <f ca="1">IF(D205="","",IF(ISNUMBER(_xll.ciqfunctions.udf.CIQ(D207,"IQ_BUS_SEG_NAME", H206, Valuation_date, , , , , $C220)),"",_xll.ciqfunctions.udf.CIQ(D207,"IQ_BUS_SEG_NAME", H206, Valuation_date, , , , , $C220)))</f>
        <v>#NAME?</v>
      </c>
      <c r="E220" s="1514" t="e">
        <f ca="1">IF(D205="","",IF(D220="","",_xll.ciqfunctions.udf.CIQ(D207,"IQ_BUS_SEG_REV", H206-1, Valuation_date, ReportType,DataMode, F207,FXMode, C220)*Scale))</f>
        <v>#NAME?</v>
      </c>
      <c r="F220" s="1514" t="e">
        <f ca="1">IF(D205="","",IF(D220="","",_xll.ciqfunctions.udf.CIQ(D207,"IQ_BUS_SEG_REV", H206, Valuation_date, ReportType,DataMode, F207,FXMode, $C220)*Scale))</f>
        <v>#NAME?</v>
      </c>
      <c r="G220" s="1575" t="e">
        <f ca="1">IF(D220="","",IFERROR(F220/F226,"n/a"))</f>
        <v>#NAME?</v>
      </c>
      <c r="H220" s="1575" t="e">
        <f t="shared" ca="1" si="13"/>
        <v>#NAME?</v>
      </c>
      <c r="I220" s="1576" t="e">
        <f ca="1">IF(D205="","",IF(D220="","",_xll.ciqfunctions.udf.CIQ(D207,"IQ_BUS_SEG_DESCRIPTION", H206, Valuation_date, , , , , $C220)))</f>
        <v>#NAME?</v>
      </c>
      <c r="J220" s="393"/>
      <c r="K220" s="1509"/>
      <c r="L220" s="2060"/>
      <c r="M220" s="2060"/>
      <c r="N220" s="1508"/>
      <c r="O220" s="2060"/>
    </row>
    <row r="221" spans="1:15">
      <c r="A221" s="1518" t="e">
        <f t="shared" ca="1" si="12"/>
        <v>#NAME?</v>
      </c>
      <c r="B221" s="1518"/>
      <c r="C221" s="654">
        <v>11</v>
      </c>
      <c r="D221" s="656" t="e">
        <f ca="1">IF(D205="","",IF(ISNUMBER(_xll.ciqfunctions.udf.CIQ(D207,"IQ_BUS_SEG_NAME", H206, Valuation_date, , , , , $C221)),"",_xll.ciqfunctions.udf.CIQ(D207,"IQ_BUS_SEG_NAME", H206, Valuation_date, , , , , $C221)))</f>
        <v>#NAME?</v>
      </c>
      <c r="E221" s="1514" t="e">
        <f ca="1">IF(D205="","",IF(D221="","",_xll.ciqfunctions.udf.CIQ(D207,"IQ_BUS_SEG_REV", H206-1, Valuation_date, ReportType,DataMode, F207,FXMode, C221)*Scale))</f>
        <v>#NAME?</v>
      </c>
      <c r="F221" s="1514" t="e">
        <f ca="1">IF(D205="","",IF(D221="","",_xll.ciqfunctions.udf.CIQ(D207,"IQ_BUS_SEG_REV", H206, Valuation_date, ReportType,DataMode, F207,FXMode, $C221)*Scale))</f>
        <v>#NAME?</v>
      </c>
      <c r="G221" s="1575" t="e">
        <f ca="1">IF(D221="","",IFERROR(F221/F226,"n/a"))</f>
        <v>#NAME?</v>
      </c>
      <c r="H221" s="1575" t="e">
        <f t="shared" ca="1" si="13"/>
        <v>#NAME?</v>
      </c>
      <c r="I221" s="1576" t="e">
        <f ca="1">IF(D205="","",IF(D221="","",_xll.ciqfunctions.udf.CIQ(D207,"IQ_BUS_SEG_DESCRIPTION", H206, Valuation_date, , , , , $C221)))</f>
        <v>#NAME?</v>
      </c>
      <c r="J221" s="1574"/>
      <c r="K221" s="1509"/>
      <c r="L221" s="2060"/>
      <c r="M221" s="2060"/>
      <c r="N221" s="1508"/>
      <c r="O221" s="2060"/>
    </row>
    <row r="222" spans="1:15">
      <c r="A222" s="1518" t="e">
        <f t="shared" ca="1" si="12"/>
        <v>#NAME?</v>
      </c>
      <c r="B222" s="1518"/>
      <c r="C222" s="654">
        <v>12</v>
      </c>
      <c r="D222" s="656" t="e">
        <f ca="1">IF(D205="","",IF(ISNUMBER(_xll.ciqfunctions.udf.CIQ(D207,"IQ_BUS_SEG_NAME", H206, Valuation_date, , , , , $C222)),"",_xll.ciqfunctions.udf.CIQ(D207,"IQ_BUS_SEG_NAME", H206, Valuation_date, , , , , $C222)))</f>
        <v>#NAME?</v>
      </c>
      <c r="E222" s="1514" t="e">
        <f ca="1">IF(D205="","",IF(D222="","",_xll.ciqfunctions.udf.CIQ(D207,"IQ_BUS_SEG_REV", H206-1, Valuation_date, ReportType,DataMode, F207,FXMode, C222)*Scale))</f>
        <v>#NAME?</v>
      </c>
      <c r="F222" s="1514" t="e">
        <f ca="1">IF(D205="","",IF(D222="","",_xll.ciqfunctions.udf.CIQ(D207,"IQ_BUS_SEG_REV", H206, Valuation_date, ReportType,DataMode, F207,FXMode, $C222)*Scale))</f>
        <v>#NAME?</v>
      </c>
      <c r="G222" s="1575" t="e">
        <f ca="1">IF(D222="","",IFERROR(F222/F226,"n/a"))</f>
        <v>#NAME?</v>
      </c>
      <c r="H222" s="1575" t="e">
        <f t="shared" ca="1" si="13"/>
        <v>#NAME?</v>
      </c>
      <c r="I222" s="1576" t="e">
        <f ca="1">IF(D205="","",IF(D222="","",_xll.ciqfunctions.udf.CIQ(D207,"IQ_BUS_SEG_DESCRIPTION", H206, Valuation_date, , , , , $C222)))</f>
        <v>#NAME?</v>
      </c>
      <c r="J222" s="1574"/>
      <c r="K222" s="1509"/>
      <c r="L222" s="2060"/>
      <c r="M222" s="2060"/>
      <c r="N222" s="1508"/>
      <c r="O222" s="2060"/>
    </row>
    <row r="223" spans="1:15">
      <c r="A223" s="1518" t="e">
        <f t="shared" ca="1" si="12"/>
        <v>#NAME?</v>
      </c>
      <c r="B223" s="1518"/>
      <c r="C223" s="654">
        <v>13</v>
      </c>
      <c r="D223" s="656" t="e">
        <f ca="1">IF(D205="","",IF(ISNUMBER(_xll.ciqfunctions.udf.CIQ(D207,"IQ_BUS_SEG_NAME", H206, Valuation_date, , , , , $C223)),"",_xll.ciqfunctions.udf.CIQ(D207,"IQ_BUS_SEG_NAME", H206, Valuation_date, , , , , $C223)))</f>
        <v>#NAME?</v>
      </c>
      <c r="E223" s="1514" t="e">
        <f ca="1">IF(D205="","",IF(D223="","",_xll.ciqfunctions.udf.CIQ(D207,"IQ_BUS_SEG_REV", H206-1, Valuation_date, ReportType,DataMode, F207,FXMode, C223)*Scale))</f>
        <v>#NAME?</v>
      </c>
      <c r="F223" s="1514" t="e">
        <f ca="1">IF(D205="","",IF(D223="","",_xll.ciqfunctions.udf.CIQ(D207,"IQ_BUS_SEG_REV", H206, Valuation_date, ReportType,DataMode, F207,FXMode, $C223)*Scale))</f>
        <v>#NAME?</v>
      </c>
      <c r="G223" s="1575" t="e">
        <f ca="1">IF(D223="","",IFERROR(F223/F226,"n/a"))</f>
        <v>#NAME?</v>
      </c>
      <c r="H223" s="1575" t="e">
        <f t="shared" ca="1" si="13"/>
        <v>#NAME?</v>
      </c>
      <c r="I223" s="1576" t="e">
        <f ca="1">IF(D205="","",IF(D223="","",_xll.ciqfunctions.udf.CIQ(D207,"IQ_BUS_SEG_DESCRIPTION", H206, Valuation_date, , , , , $C223)))</f>
        <v>#NAME?</v>
      </c>
      <c r="J223" s="1574"/>
      <c r="K223" s="1509"/>
      <c r="L223" s="2060"/>
      <c r="M223" s="2060"/>
      <c r="N223" s="1508"/>
      <c r="O223" s="2060"/>
    </row>
    <row r="224" spans="1:15">
      <c r="A224" s="1518" t="e">
        <f ca="1">IF(D224="","n","")</f>
        <v>#NAME?</v>
      </c>
      <c r="B224" s="1518"/>
      <c r="C224" s="654">
        <v>14</v>
      </c>
      <c r="D224" s="656" t="e">
        <f ca="1">IF(D205="","",IF(ISNUMBER(_xll.ciqfunctions.udf.CIQ(D207,"IQ_BUS_SEG_NAME", H206, Valuation_date, , , , , $C224)),"",_xll.ciqfunctions.udf.CIQ(D207,"IQ_BUS_SEG_NAME", H206, Valuation_date, , , , , $C224)))</f>
        <v>#NAME?</v>
      </c>
      <c r="E224" s="1514" t="e">
        <f ca="1">IF(D205="","",IF(D224="","",_xll.ciqfunctions.udf.CIQ(D207,"IQ_BUS_SEG_REV", H206-1, Valuation_date, ReportType,DataMode, F207,FXMode, C224)*Scale))</f>
        <v>#NAME?</v>
      </c>
      <c r="F224" s="1514" t="e">
        <f ca="1">IF(D205="","",IF(D224="","",_xll.ciqfunctions.udf.CIQ(D207,"IQ_BUS_SEG_REV", H206, Valuation_date, ReportType,DataMode, F207,FXMode, $C224)*Scale))</f>
        <v>#NAME?</v>
      </c>
      <c r="G224" s="1575" t="e">
        <f ca="1">IF(D224="","",IFERROR(F224/F226,"n/a"))</f>
        <v>#NAME?</v>
      </c>
      <c r="H224" s="1575" t="e">
        <f t="shared" ca="1" si="13"/>
        <v>#NAME?</v>
      </c>
      <c r="I224" s="1576" t="e">
        <f ca="1">IF(D205="","",IF(D224="","",_xll.ciqfunctions.udf.CIQ(D207,"IQ_BUS_SEG_DESCRIPTION", H206, Valuation_date, , , , , $C224)))</f>
        <v>#NAME?</v>
      </c>
      <c r="J224" s="1574"/>
      <c r="K224" s="1509"/>
      <c r="L224" s="2060"/>
      <c r="M224" s="2060"/>
      <c r="N224" s="1508"/>
      <c r="O224" s="2060"/>
    </row>
    <row r="225" spans="1:26">
      <c r="A225" s="1518" t="e">
        <f ca="1">IF(D225="","n","")</f>
        <v>#NAME?</v>
      </c>
      <c r="B225" s="1518"/>
      <c r="C225" s="654">
        <v>15</v>
      </c>
      <c r="D225" s="656" t="e">
        <f ca="1">IF(D205="","",IF(ISNUMBER(_xll.ciqfunctions.udf.CIQ(D207,"IQ_BUS_SEG_NAME", H206, Valuation_date, , , , , $C225)),"",_xll.ciqfunctions.udf.CIQ(D207,"IQ_BUS_SEG_NAME", H206, Valuation_date, , , , , $C225)))</f>
        <v>#NAME?</v>
      </c>
      <c r="E225" s="1514" t="e">
        <f ca="1">IF(D205="","",IF(D225="","",_xll.ciqfunctions.udf.CIQ(D207,"IQ_BUS_SEG_REV", H206-1, Valuation_date, ReportType,DataMode, F207,FXMode, C225)*Scale))</f>
        <v>#NAME?</v>
      </c>
      <c r="F225" s="1514" t="e">
        <f ca="1">IF(D205="","",IF(D225="","",_xll.ciqfunctions.udf.CIQ(D207,"IQ_BUS_SEG_REV", H206, Valuation_date, ReportType,DataMode, F207,FXMode, $C225)*Scale))</f>
        <v>#NAME?</v>
      </c>
      <c r="G225" s="1575" t="e">
        <f ca="1">IF(D225="","",IFERROR(F225/F226,"n/a"))</f>
        <v>#NAME?</v>
      </c>
      <c r="H225" s="1575" t="e">
        <f t="shared" ca="1" si="13"/>
        <v>#NAME?</v>
      </c>
      <c r="I225" s="1576" t="e">
        <f ca="1">IF(D205="","",IF(D225="","",_xll.ciqfunctions.udf.CIQ(D207,"IQ_BUS_SEG_DESCRIPTION", H206, Valuation_date, , , , , $C225)))</f>
        <v>#NAME?</v>
      </c>
      <c r="J225" s="1574"/>
      <c r="K225" s="1509"/>
      <c r="L225" s="2060"/>
      <c r="M225" s="2060"/>
      <c r="N225" s="1508"/>
      <c r="O225" s="2060"/>
      <c r="P225" s="1508"/>
      <c r="Q225" s="1508"/>
      <c r="R225" s="1508"/>
      <c r="S225" s="1508"/>
      <c r="T225" s="1508"/>
      <c r="U225" s="1508"/>
      <c r="V225" s="1508"/>
      <c r="W225" s="1508"/>
      <c r="X225" s="1508"/>
      <c r="Y225" s="1508"/>
      <c r="Z225" s="1508"/>
    </row>
    <row r="226" spans="1:26" ht="14.45" thickBot="1">
      <c r="A226" s="1518"/>
      <c r="B226" s="1518"/>
      <c r="C226" s="1572"/>
      <c r="D226" s="658" t="s">
        <v>1248</v>
      </c>
      <c r="E226" s="658" t="e">
        <f ca="1">SUM(E211:E225)</f>
        <v>#NAME?</v>
      </c>
      <c r="F226" s="658" t="e">
        <f ca="1">SUM(F211:F225)</f>
        <v>#NAME?</v>
      </c>
      <c r="G226" s="2257" t="e">
        <f ca="1">SUM(G211:G225)</f>
        <v>#NAME?</v>
      </c>
      <c r="H226" s="2257" t="str">
        <f ca="1">IF(D226="","",IFERROR(F226/E226-1,"n/a"))</f>
        <v>n/a</v>
      </c>
      <c r="I226" s="1571"/>
      <c r="J226" s="1574"/>
      <c r="K226" s="1509"/>
      <c r="L226" s="2060"/>
      <c r="M226" s="2060"/>
      <c r="N226" s="1508"/>
      <c r="O226" s="2060"/>
      <c r="P226" s="1508"/>
      <c r="Q226" s="1508"/>
      <c r="R226" s="1508"/>
      <c r="S226" s="1508"/>
      <c r="T226" s="1508"/>
      <c r="U226" s="1508"/>
      <c r="V226" s="1508"/>
      <c r="W226" s="1508"/>
      <c r="X226" s="1508"/>
      <c r="Y226" s="1508"/>
      <c r="Z226" s="1508"/>
    </row>
    <row r="227" spans="1:26">
      <c r="A227" s="1518"/>
      <c r="B227" s="1518"/>
      <c r="C227" s="1572"/>
      <c r="D227" s="1514"/>
      <c r="E227" s="1514"/>
      <c r="F227" s="1575"/>
      <c r="G227" s="1514"/>
      <c r="H227" s="1575"/>
      <c r="I227" s="1571"/>
      <c r="J227" s="1574"/>
      <c r="K227" s="1509"/>
      <c r="L227" s="2060"/>
      <c r="M227" s="2060"/>
      <c r="N227" s="1508"/>
      <c r="O227" s="2060"/>
      <c r="P227" s="1508"/>
      <c r="Q227" s="1508"/>
      <c r="R227" s="1508"/>
      <c r="S227" s="1508"/>
      <c r="T227" s="1508"/>
      <c r="U227" s="1508"/>
      <c r="V227" s="1508"/>
      <c r="W227" s="1508"/>
      <c r="X227" s="1508"/>
      <c r="Y227" s="1508"/>
      <c r="Z227" s="1508"/>
    </row>
    <row r="228" spans="1:26" s="1508" customFormat="1">
      <c r="A228" s="1518"/>
      <c r="B228" s="1518"/>
      <c r="C228" s="1572"/>
      <c r="D228" s="1514" t="s">
        <v>1707</v>
      </c>
      <c r="E228" s="1579"/>
      <c r="F228" s="1575"/>
      <c r="G228" s="1514"/>
      <c r="H228" s="1575"/>
      <c r="I228" s="1571"/>
      <c r="J228" s="1574"/>
      <c r="K228" s="1509"/>
      <c r="L228" s="2060"/>
      <c r="M228" s="2060"/>
      <c r="O228" s="2060"/>
    </row>
    <row r="229" spans="1:26">
      <c r="A229" s="1518"/>
      <c r="B229" s="1518"/>
      <c r="C229" s="1572"/>
      <c r="D229" s="1514" t="s">
        <v>1402</v>
      </c>
      <c r="E229" s="1514"/>
      <c r="F229" s="1575"/>
      <c r="G229" s="1514"/>
      <c r="H229" s="1575"/>
      <c r="I229" s="1571"/>
      <c r="J229" s="1574"/>
      <c r="K229" s="1509"/>
      <c r="L229" s="2060"/>
      <c r="M229" s="2060"/>
      <c r="N229" s="1508"/>
      <c r="O229" s="2060"/>
      <c r="P229" s="1508"/>
      <c r="Q229" s="1508"/>
      <c r="R229" s="1508"/>
      <c r="S229" s="1508"/>
      <c r="T229" s="1508"/>
      <c r="U229" s="1508"/>
      <c r="V229" s="1508"/>
      <c r="W229" s="1508"/>
      <c r="X229" s="1508"/>
      <c r="Y229" s="1508"/>
      <c r="Z229" s="1508"/>
    </row>
    <row r="230" spans="1:26">
      <c r="A230" s="1518"/>
      <c r="B230" s="1518"/>
      <c r="C230" s="1572"/>
      <c r="D230" s="1538"/>
      <c r="E230" s="1538"/>
      <c r="F230" s="1538"/>
      <c r="G230" s="1538"/>
      <c r="H230" s="1538"/>
      <c r="I230" s="1571"/>
      <c r="J230" s="1538"/>
      <c r="K230" s="1509"/>
      <c r="L230" s="2060"/>
      <c r="M230" s="2060"/>
      <c r="N230" s="2060"/>
      <c r="O230" s="2060"/>
      <c r="P230" s="2060"/>
      <c r="Q230" s="2060"/>
      <c r="R230" s="2060"/>
      <c r="S230" s="2060"/>
      <c r="T230" s="1508"/>
      <c r="U230" s="1508"/>
      <c r="V230" s="1508"/>
      <c r="W230" s="1508"/>
      <c r="X230" s="1508"/>
      <c r="Y230" s="1508"/>
      <c r="Z230" s="1508"/>
    </row>
    <row r="231" spans="1:26" s="178" customFormat="1" ht="13.5" customHeight="1">
      <c r="A231" s="1510"/>
      <c r="B231" s="1510"/>
      <c r="C231" s="387"/>
      <c r="D231" s="1513" t="str">
        <f ca="1">FootnoteDRAFT</f>
        <v>Run date: 05-August-2018  02:34 PM.   DRAFT document. All data subject to change upon completion of additional analysis.</v>
      </c>
      <c r="E231" s="1513"/>
      <c r="F231" s="373"/>
      <c r="G231" s="1513"/>
      <c r="H231" s="1513"/>
      <c r="I231" s="1562"/>
      <c r="J231" s="1512"/>
      <c r="K231" s="1509"/>
      <c r="L231" s="2060"/>
      <c r="M231" s="2060"/>
      <c r="N231" s="2060"/>
      <c r="O231" s="2060"/>
      <c r="P231" s="2060"/>
      <c r="Q231" s="2060"/>
      <c r="R231" s="2060"/>
      <c r="S231" s="2060"/>
      <c r="T231" s="2060"/>
      <c r="U231" s="2060"/>
      <c r="V231" s="2060"/>
      <c r="W231" s="2060"/>
      <c r="X231" s="2060"/>
      <c r="Y231" s="2060"/>
      <c r="Z231" s="2060"/>
    </row>
    <row r="232" spans="1:26" s="178" customFormat="1">
      <c r="A232" s="1510" t="s">
        <v>17</v>
      </c>
      <c r="B232" s="1510"/>
      <c r="C232" s="1510"/>
      <c r="D232" s="1510"/>
      <c r="E232" s="683"/>
      <c r="F232" s="1510"/>
      <c r="G232" s="1510"/>
      <c r="H232" s="1510"/>
      <c r="I232" s="1547"/>
      <c r="J232" s="1546" t="str">
        <f ca="1">IF(D240="","Page end","Continue")</f>
        <v>Continue</v>
      </c>
      <c r="K232" s="1510"/>
      <c r="L232" s="2060"/>
      <c r="M232" s="2060"/>
      <c r="N232" s="2060"/>
      <c r="O232" s="2060"/>
      <c r="P232" s="2060"/>
      <c r="Q232" s="2060"/>
      <c r="R232" s="2060"/>
      <c r="S232" s="2060"/>
      <c r="T232" s="2060"/>
      <c r="U232" s="2060"/>
      <c r="V232" s="2060"/>
      <c r="W232" s="2060"/>
      <c r="X232" s="2060"/>
      <c r="Y232" s="2060"/>
      <c r="Z232" s="2060"/>
    </row>
    <row r="233" spans="1:26" ht="18" customHeight="1">
      <c r="A233" s="1518"/>
      <c r="B233" s="1518"/>
      <c r="C233" s="292" t="str">
        <f ca="1">D238</f>
        <v>n/a</v>
      </c>
      <c r="D233" s="172"/>
      <c r="E233" s="674"/>
      <c r="F233" s="172"/>
      <c r="G233" s="172"/>
      <c r="H233" s="172"/>
      <c r="I233" s="1522"/>
      <c r="J233" s="389" t="str">
        <f>$J$1&amp;"."&amp;C238&amp;""</f>
        <v>Workpaper 6.7</v>
      </c>
      <c r="K233" s="1509"/>
      <c r="L233" s="1508"/>
      <c r="M233" s="1508"/>
      <c r="N233" s="1508"/>
      <c r="O233" s="2060"/>
      <c r="P233" s="1508"/>
      <c r="Q233" s="1508"/>
      <c r="R233" s="1508"/>
      <c r="S233" s="1508"/>
      <c r="T233" s="1508"/>
      <c r="U233" s="1508"/>
      <c r="V233" s="1508"/>
      <c r="W233" s="1508"/>
      <c r="X233" s="1508"/>
      <c r="Y233" s="1508"/>
      <c r="Z233" s="1508"/>
    </row>
    <row r="234" spans="1:26" ht="18" customHeight="1">
      <c r="A234" s="1518"/>
      <c r="B234" s="1518"/>
      <c r="C234" s="839" t="s">
        <v>1699</v>
      </c>
      <c r="D234" s="172"/>
      <c r="E234" s="172"/>
      <c r="F234" s="172"/>
      <c r="G234" s="172"/>
      <c r="H234" s="172"/>
      <c r="I234" s="1522"/>
      <c r="J234" s="389"/>
      <c r="K234" s="1509"/>
      <c r="L234" s="1508"/>
      <c r="M234" s="1508"/>
      <c r="N234" s="1508"/>
      <c r="O234" s="2060"/>
      <c r="P234" s="1508"/>
      <c r="Q234" s="1508"/>
      <c r="R234" s="1508"/>
      <c r="S234" s="1508"/>
      <c r="T234" s="1508"/>
      <c r="U234" s="1508"/>
      <c r="V234" s="1508"/>
      <c r="W234" s="1508"/>
      <c r="X234" s="1508"/>
      <c r="Y234" s="1508"/>
      <c r="Z234" s="1508"/>
    </row>
    <row r="235" spans="1:26" ht="18" customHeight="1">
      <c r="A235" s="1518"/>
      <c r="B235" s="1518"/>
      <c r="C235" s="366" t="str">
        <f ca="1">"(" &amp;F240&amp;" in "&amp;ScaleInput&amp;")"</f>
        <v>(USD in Millions)</v>
      </c>
      <c r="D235" s="1508"/>
      <c r="E235" s="170"/>
      <c r="F235" s="170"/>
      <c r="G235" s="170"/>
      <c r="H235" s="170"/>
      <c r="I235" s="1521"/>
      <c r="J235" s="1508"/>
      <c r="K235" s="1509"/>
      <c r="L235" s="1508"/>
      <c r="M235" s="1508"/>
      <c r="N235" s="1508"/>
      <c r="O235" s="2060"/>
      <c r="P235" s="1508"/>
      <c r="Q235" s="1508"/>
      <c r="R235" s="1508"/>
      <c r="S235" s="1508"/>
      <c r="T235" s="1508"/>
      <c r="U235" s="1508"/>
      <c r="V235" s="1508"/>
      <c r="W235" s="1508"/>
      <c r="X235" s="1508"/>
      <c r="Y235" s="1508"/>
      <c r="Z235" s="1508"/>
    </row>
    <row r="236" spans="1:26" ht="18" customHeight="1">
      <c r="A236" s="1518"/>
      <c r="B236" s="1518"/>
      <c r="C236" s="366"/>
      <c r="D236" s="1508"/>
      <c r="E236" s="172"/>
      <c r="F236" s="172"/>
      <c r="G236" s="172"/>
      <c r="H236" s="172"/>
      <c r="I236" s="1522"/>
      <c r="J236" s="1508"/>
      <c r="K236" s="1509"/>
      <c r="L236" s="1508"/>
      <c r="M236" s="1508"/>
      <c r="N236" s="1508"/>
      <c r="O236" s="2060"/>
      <c r="P236" s="1508"/>
      <c r="Q236" s="1508"/>
      <c r="R236" s="1508"/>
      <c r="S236" s="1508"/>
      <c r="T236" s="1508"/>
      <c r="U236" s="1508"/>
      <c r="V236" s="1508"/>
      <c r="W236" s="1508"/>
      <c r="X236" s="1508"/>
      <c r="Y236" s="1508"/>
      <c r="Z236" s="1508"/>
    </row>
    <row r="237" spans="1:26">
      <c r="A237" s="1518"/>
      <c r="B237" s="1518"/>
      <c r="C237" s="1511"/>
      <c r="D237" s="1508"/>
      <c r="E237" s="172"/>
      <c r="F237" s="172"/>
      <c r="G237" s="172"/>
      <c r="H237" s="172"/>
      <c r="I237" s="1522"/>
      <c r="J237" s="1508"/>
      <c r="K237" s="1509"/>
      <c r="L237" s="1508"/>
      <c r="M237" s="1508"/>
      <c r="N237" s="1508"/>
      <c r="O237" s="2060"/>
      <c r="P237" s="1508"/>
      <c r="Q237" s="1508"/>
      <c r="R237" s="1508"/>
      <c r="S237" s="1508"/>
      <c r="T237" s="1508"/>
      <c r="U237" s="1508"/>
      <c r="V237" s="1508"/>
      <c r="W237" s="1508"/>
      <c r="X237" s="1508"/>
      <c r="Y237" s="1508"/>
      <c r="Z237" s="1508"/>
    </row>
    <row r="238" spans="1:26">
      <c r="A238" s="1518"/>
      <c r="B238" s="1518"/>
      <c r="C238" s="653">
        <v>7</v>
      </c>
      <c r="D238" s="179" t="str">
        <f ca="1">IF(D240=0,"n/a",IFERROR(_xll.ciqfunctions.udf.CIQ(D240,"IQ_COMPANY_NAME"),"n/a"))</f>
        <v>n/a</v>
      </c>
      <c r="E238" s="1538"/>
      <c r="F238" s="1538"/>
      <c r="G238" s="1538"/>
      <c r="H238" s="1538"/>
      <c r="I238" s="1571"/>
      <c r="J238" s="1538"/>
      <c r="K238" s="1509"/>
      <c r="L238" s="1508"/>
      <c r="M238" s="2060"/>
      <c r="N238" s="1508"/>
      <c r="O238" s="2060"/>
      <c r="P238" s="1508"/>
      <c r="Q238" s="1508"/>
      <c r="R238" s="1508"/>
      <c r="S238" s="1508"/>
      <c r="T238" s="1508"/>
      <c r="U238" s="1508"/>
      <c r="V238" s="1508"/>
      <c r="W238" s="1508"/>
      <c r="X238" s="1508"/>
      <c r="Y238" s="1508"/>
      <c r="Z238" s="1508"/>
    </row>
    <row r="239" spans="1:26">
      <c r="A239" s="1518"/>
      <c r="B239" s="1518"/>
      <c r="C239" s="1572"/>
      <c r="D239" s="2258" t="s">
        <v>134</v>
      </c>
      <c r="E239" s="2246" t="s">
        <v>1708</v>
      </c>
      <c r="F239" s="2247" t="s">
        <v>167</v>
      </c>
      <c r="G239" s="2247" t="s">
        <v>1700</v>
      </c>
      <c r="H239" s="2248">
        <f>INDEX($W$9:$W$14,MATCH(H240,PeriodList,0))</f>
        <v>2000</v>
      </c>
      <c r="I239" s="1571"/>
      <c r="J239" s="217"/>
      <c r="K239" s="1509"/>
      <c r="L239" s="1508"/>
      <c r="M239" s="2060"/>
      <c r="N239" s="1508"/>
      <c r="O239" s="2060"/>
      <c r="P239" s="1508"/>
      <c r="Q239" s="1508"/>
      <c r="R239" s="1508"/>
      <c r="S239" s="1508"/>
      <c r="T239" s="1508"/>
      <c r="U239" s="1508"/>
      <c r="V239" s="1508"/>
      <c r="W239" s="1508"/>
      <c r="X239" s="1508"/>
      <c r="Y239" s="1508"/>
      <c r="Z239" s="1508"/>
    </row>
    <row r="240" spans="1:26" s="185" customFormat="1">
      <c r="A240" s="1518"/>
      <c r="B240" s="1518"/>
      <c r="C240" s="654"/>
      <c r="D240" s="2249">
        <f ca="1">OFFSET(GCIdentifierTop,C238,0)</f>
        <v>0</v>
      </c>
      <c r="E240" s="2250" t="str">
        <f ca="1">IF($D240="","",IFERROR(_xll.ciqfunctions.udf.CIQ($D240,"IQ_PERIODDATE",H239,Valuation_date),"n/a"))</f>
        <v>n/a</v>
      </c>
      <c r="F240" s="2251" t="str">
        <f ca="1">IFERROR(IF(C238=0,SubjOutputCurrencyCode,IF(D240="","",IF(OutputCurrency="Filing",_xll.ciqfunctions.udf.CIQ($D240,"IQ_FILING_CURRENCY",500,Valuation_date,ReportType,DataMode),OutputCurrency))),OutputCurrency)</f>
        <v>USD</v>
      </c>
      <c r="G240" s="2252" t="e">
        <f ca="1">IF(D238="","",_xll.ciqfunctions.udf.CIQ(D240,"IQ_TOTAL_REV", H239, Valuation_date,ReportType,DataMode,F240,FXMode))</f>
        <v>#NAME?</v>
      </c>
      <c r="H240" s="2260" t="str">
        <f>$H$9</f>
        <v>LTM/LFQ</v>
      </c>
      <c r="I240" s="1573"/>
      <c r="J240" s="392"/>
      <c r="K240" s="1509"/>
      <c r="M240" s="2060"/>
      <c r="O240" s="2060"/>
    </row>
    <row r="241" spans="1:15">
      <c r="A241" s="1518"/>
      <c r="B241" s="1518"/>
      <c r="C241" s="654"/>
      <c r="D241" s="1538"/>
      <c r="E241" s="1538"/>
      <c r="F241" s="1538"/>
      <c r="G241" s="1538"/>
      <c r="H241" s="1538"/>
      <c r="I241" s="1571"/>
      <c r="J241" s="655"/>
      <c r="K241" s="1509"/>
      <c r="L241" s="1508"/>
      <c r="M241" s="2060"/>
      <c r="N241" s="1508"/>
      <c r="O241" s="2060"/>
    </row>
    <row r="242" spans="1:15">
      <c r="A242" s="1518"/>
      <c r="B242" s="1518"/>
      <c r="C242" s="654"/>
      <c r="D242" s="741"/>
      <c r="E242" s="744" t="e">
        <f ca="1">IF(D240="",Valuation_date,_xll.ciqfunctions.udf.CIQ(D240,"IQ_PERIODDATE",H239-IF(LEFT(H240,3)="LFY",1,4),Valuation_date))</f>
        <v>#NAME?</v>
      </c>
      <c r="F242" s="742" t="e">
        <f ca="1">IF(D240="",Valuation_date,_xll.ciqfunctions.udf.CIQ(D240,"IQ_PERIODDATE",H239,Valuation_date))</f>
        <v>#NAME?</v>
      </c>
      <c r="G242" s="741"/>
      <c r="H242" s="743" t="s">
        <v>1702</v>
      </c>
      <c r="I242" s="1587"/>
      <c r="J242" s="655"/>
      <c r="K242" s="1509"/>
      <c r="L242" s="1508"/>
      <c r="M242" s="2060"/>
      <c r="N242" s="1508"/>
      <c r="O242" s="2060"/>
    </row>
    <row r="243" spans="1:15" s="151" customFormat="1">
      <c r="A243" s="1518"/>
      <c r="B243" s="1518"/>
      <c r="C243" s="654"/>
      <c r="D243" s="2254" t="s">
        <v>1703</v>
      </c>
      <c r="E243" s="2255" t="s">
        <v>1458</v>
      </c>
      <c r="F243" s="2255" t="s">
        <v>1458</v>
      </c>
      <c r="G243" s="2255" t="s">
        <v>1704</v>
      </c>
      <c r="H243" s="2255" t="s">
        <v>1705</v>
      </c>
      <c r="I243" s="2256" t="s">
        <v>1706</v>
      </c>
      <c r="J243" s="1574"/>
      <c r="K243" s="1509"/>
      <c r="L243" s="2060"/>
      <c r="M243" s="2060"/>
      <c r="O243" s="2060"/>
    </row>
    <row r="244" spans="1:15">
      <c r="A244" s="1518" t="e">
        <f t="shared" ref="A244:A256" ca="1" si="14">IF(D244="","n","")</f>
        <v>#NAME?</v>
      </c>
      <c r="B244" s="1518"/>
      <c r="C244" s="654">
        <v>1</v>
      </c>
      <c r="D244" s="656" t="e">
        <f ca="1">IF(D238="","",IF(ISNUMBER(_xll.ciqfunctions.udf.CIQ(D240,"IQ_BUS_SEG_NAME", H239, Valuation_date, , , , , $C244)),"",_xll.ciqfunctions.udf.CIQ(D240,"IQ_BUS_SEG_NAME", H239, Valuation_date, , , , , $C244)))</f>
        <v>#NAME?</v>
      </c>
      <c r="E244" s="1514" t="e">
        <f ca="1">IF(D238="","",IF(D244="","",_xll.ciqfunctions.udf.CIQ(D240,"IQ_BUS_SEG_REV", H239-1, Valuation_date, ReportType,DataMode, F240,FXMode, C244)*Scale))</f>
        <v>#NAME?</v>
      </c>
      <c r="F244" s="1514" t="e">
        <f ca="1">IF(D238="","",IF(D244="","",_xll.ciqfunctions.udf.CIQ(D240,"IQ_BUS_SEG_REV", H239, Valuation_date, ReportType,DataMode, F240,FXMode, $C244)*Scale))</f>
        <v>#NAME?</v>
      </c>
      <c r="G244" s="1575" t="e">
        <f ca="1">IF(D244="","",IFERROR(F244/F259,"n/a"))</f>
        <v>#NAME?</v>
      </c>
      <c r="H244" s="1575" t="e">
        <f ca="1">IF(D244="","",IFERROR(F244/E244-1,"n/a"))</f>
        <v>#NAME?</v>
      </c>
      <c r="I244" s="1576" t="e">
        <f ca="1">IF(D238="","",IF(D244="","",_xll.ciqfunctions.udf.CIQ(D240,"IQ_BUS_SEG_DESCRIPTION", H239, Valuation_date, , , , , $C244)))</f>
        <v>#NAME?</v>
      </c>
      <c r="J244" s="393"/>
      <c r="K244" s="1509"/>
      <c r="L244" s="2060"/>
      <c r="M244" s="2060"/>
      <c r="N244" s="1508"/>
      <c r="O244" s="2060"/>
    </row>
    <row r="245" spans="1:15">
      <c r="A245" s="1518" t="e">
        <f t="shared" ca="1" si="14"/>
        <v>#NAME?</v>
      </c>
      <c r="B245" s="1518"/>
      <c r="C245" s="654">
        <v>2</v>
      </c>
      <c r="D245" s="656" t="e">
        <f ca="1">IF(D238="","",IF(ISNUMBER(_xll.ciqfunctions.udf.CIQ(D240,"IQ_BUS_SEG_NAME", H239, Valuation_date, , , , , $C245)),"",_xll.ciqfunctions.udf.CIQ(D240,"IQ_BUS_SEG_NAME", H239, Valuation_date, , , , , $C245)))</f>
        <v>#NAME?</v>
      </c>
      <c r="E245" s="1514" t="e">
        <f ca="1">IF(D238="","",IF(D245="","",_xll.ciqfunctions.udf.CIQ(D240,"IQ_BUS_SEG_REV", H239-1, Valuation_date, ReportType,DataMode, F240,FXMode, C245)*Scale))</f>
        <v>#NAME?</v>
      </c>
      <c r="F245" s="1514" t="e">
        <f ca="1">IF(D238="","",IF(D245="","",_xll.ciqfunctions.udf.CIQ(D240,"IQ_BUS_SEG_REV", H239, Valuation_date, ReportType,DataMode, F240,FXMode, $C245)*Scale))</f>
        <v>#NAME?</v>
      </c>
      <c r="G245" s="1575" t="e">
        <f ca="1">IF(D245="","",IFERROR(F245/F259,"n/a"))</f>
        <v>#NAME?</v>
      </c>
      <c r="H245" s="1575" t="e">
        <f t="shared" ref="H245:H258" ca="1" si="15">IF(D245="","",IFERROR(F245/E245-1,"n/a"))</f>
        <v>#NAME?</v>
      </c>
      <c r="I245" s="1576" t="e">
        <f ca="1">IF(D238="","",IF(D245="","",_xll.ciqfunctions.udf.CIQ(D240,"IQ_BUS_SEG_DESCRIPTION", H239, Valuation_date, , , , , $C245)))</f>
        <v>#NAME?</v>
      </c>
      <c r="J245" s="393"/>
      <c r="K245" s="1509"/>
      <c r="L245" s="2060"/>
      <c r="M245" s="2060"/>
      <c r="N245" s="1508"/>
      <c r="O245" s="2060"/>
    </row>
    <row r="246" spans="1:15">
      <c r="A246" s="1518" t="e">
        <f t="shared" ca="1" si="14"/>
        <v>#NAME?</v>
      </c>
      <c r="B246" s="1518"/>
      <c r="C246" s="654">
        <v>3</v>
      </c>
      <c r="D246" s="656" t="e">
        <f ca="1">IF(D238="","",IF(ISNUMBER(_xll.ciqfunctions.udf.CIQ(D240,"IQ_BUS_SEG_NAME", H239, Valuation_date, , , , , $C246)),"",_xll.ciqfunctions.udf.CIQ(D240,"IQ_BUS_SEG_NAME", H239, Valuation_date, , , , , $C246)))</f>
        <v>#NAME?</v>
      </c>
      <c r="E246" s="1514" t="e">
        <f ca="1">IF(D238="","",IF(D246="","",_xll.ciqfunctions.udf.CIQ(D240,"IQ_BUS_SEG_REV", H239-1, Valuation_date, ReportType,DataMode, F240,FXMode, C246)*Scale))</f>
        <v>#NAME?</v>
      </c>
      <c r="F246" s="1514" t="e">
        <f ca="1">IF(D238="","",IF(D246="","",_xll.ciqfunctions.udf.CIQ(D240,"IQ_BUS_SEG_REV", H239, Valuation_date, ReportType,DataMode, F240,FXMode, $C246)*Scale))</f>
        <v>#NAME?</v>
      </c>
      <c r="G246" s="1575" t="e">
        <f ca="1">IF(D246="","",IFERROR(F246/F259,"n/a"))</f>
        <v>#NAME?</v>
      </c>
      <c r="H246" s="1575" t="e">
        <f t="shared" ca="1" si="15"/>
        <v>#NAME?</v>
      </c>
      <c r="I246" s="1576" t="e">
        <f ca="1">IF(D238="","",IF(D246="","",_xll.ciqfunctions.udf.CIQ(D240,"IQ_BUS_SEG_DESCRIPTION", H239, Valuation_date, , , , , $C246)))</f>
        <v>#NAME?</v>
      </c>
      <c r="J246" s="393"/>
      <c r="K246" s="1509"/>
      <c r="L246" s="2060"/>
      <c r="M246" s="2060"/>
      <c r="N246" s="1508"/>
      <c r="O246" s="2060"/>
    </row>
    <row r="247" spans="1:15">
      <c r="A247" s="1518" t="e">
        <f t="shared" ca="1" si="14"/>
        <v>#NAME?</v>
      </c>
      <c r="B247" s="1518"/>
      <c r="C247" s="654">
        <v>4</v>
      </c>
      <c r="D247" s="656" t="e">
        <f ca="1">IF(D238="","",IF(ISNUMBER(_xll.ciqfunctions.udf.CIQ(D240,"IQ_BUS_SEG_NAME", H239, Valuation_date, , , , , $C247)),"",_xll.ciqfunctions.udf.CIQ(D240,"IQ_BUS_SEG_NAME", H239, Valuation_date, , , , , $C247)))</f>
        <v>#NAME?</v>
      </c>
      <c r="E247" s="1514" t="e">
        <f ca="1">IF(D238="","",IF(D247="","",_xll.ciqfunctions.udf.CIQ(D240,"IQ_BUS_SEG_REV", H239-1, Valuation_date, ReportType,DataMode, F240,FXMode, C247)*Scale))</f>
        <v>#NAME?</v>
      </c>
      <c r="F247" s="1514" t="e">
        <f ca="1">IF(D238="","",IF(D247="","",_xll.ciqfunctions.udf.CIQ(D240,"IQ_BUS_SEG_REV", H239, Valuation_date, ReportType,DataMode, F240,FXMode, $C247)*Scale))</f>
        <v>#NAME?</v>
      </c>
      <c r="G247" s="1575" t="e">
        <f ca="1">IF(D247="","",IFERROR(F247/F259,"n/a"))</f>
        <v>#NAME?</v>
      </c>
      <c r="H247" s="1575" t="e">
        <f t="shared" ca="1" si="15"/>
        <v>#NAME?</v>
      </c>
      <c r="I247" s="1576" t="e">
        <f ca="1">IF(D238="","",IF(D247="","",_xll.ciqfunctions.udf.CIQ(D240,"IQ_BUS_SEG_DESCRIPTION", H239, Valuation_date, , , , , $C247)))</f>
        <v>#NAME?</v>
      </c>
      <c r="J247" s="393"/>
      <c r="K247" s="1509"/>
      <c r="L247" s="2060"/>
      <c r="M247" s="2060"/>
      <c r="N247" s="1508"/>
      <c r="O247" s="2060"/>
    </row>
    <row r="248" spans="1:15">
      <c r="A248" s="1518" t="e">
        <f t="shared" ca="1" si="14"/>
        <v>#NAME?</v>
      </c>
      <c r="B248" s="1518"/>
      <c r="C248" s="654">
        <v>5</v>
      </c>
      <c r="D248" s="656" t="e">
        <f ca="1">IF(D238="","",IF(ISNUMBER(_xll.ciqfunctions.udf.CIQ(D240,"IQ_BUS_SEG_NAME", H239, Valuation_date, , , , , $C248)),"",_xll.ciqfunctions.udf.CIQ(D240,"IQ_BUS_SEG_NAME", H239, Valuation_date, , , , , $C248)))</f>
        <v>#NAME?</v>
      </c>
      <c r="E248" s="1514" t="e">
        <f ca="1">IF(D238="","",IF(D248="","",_xll.ciqfunctions.udf.CIQ(D240,"IQ_BUS_SEG_REV", H239-1, Valuation_date, ReportType,DataMode, F240,FXMode, C248)*Scale))</f>
        <v>#NAME?</v>
      </c>
      <c r="F248" s="1514" t="e">
        <f ca="1">IF(D238="","",IF(D248="","",_xll.ciqfunctions.udf.CIQ(D240,"IQ_BUS_SEG_REV", H239, Valuation_date, ReportType,DataMode, F240,FXMode, $C248)*Scale))</f>
        <v>#NAME?</v>
      </c>
      <c r="G248" s="1575" t="e">
        <f ca="1">IF(D248="","",IFERROR(F248/F259,"n/a"))</f>
        <v>#NAME?</v>
      </c>
      <c r="H248" s="1575" t="e">
        <f t="shared" ca="1" si="15"/>
        <v>#NAME?</v>
      </c>
      <c r="I248" s="1576" t="e">
        <f ca="1">IF(D238="","",IF(D248="","",_xll.ciqfunctions.udf.CIQ(D240,"IQ_BUS_SEG_DESCRIPTION", H239, Valuation_date, , , , , $C248)))</f>
        <v>#NAME?</v>
      </c>
      <c r="J248" s="657"/>
      <c r="K248" s="1509"/>
      <c r="L248" s="2060"/>
      <c r="M248" s="2060"/>
      <c r="N248" s="1508"/>
      <c r="O248" s="2060"/>
    </row>
    <row r="249" spans="1:15">
      <c r="A249" s="1518" t="e">
        <f t="shared" ca="1" si="14"/>
        <v>#NAME?</v>
      </c>
      <c r="B249" s="1518"/>
      <c r="C249" s="654">
        <v>6</v>
      </c>
      <c r="D249" s="656" t="e">
        <f ca="1">IF(D238="","",IF(ISNUMBER(_xll.ciqfunctions.udf.CIQ(D240,"IQ_BUS_SEG_NAME", H239, Valuation_date, , , , , $C249)),"",_xll.ciqfunctions.udf.CIQ(D240,"IQ_BUS_SEG_NAME", H239, Valuation_date, , , , , $C249)))</f>
        <v>#NAME?</v>
      </c>
      <c r="E249" s="1514" t="e">
        <f ca="1">IF(D238="","",IF(D249="","",_xll.ciqfunctions.udf.CIQ(D240,"IQ_BUS_SEG_REV", H239-1, Valuation_date, ReportType,DataMode, F240,FXMode, C249)*Scale))</f>
        <v>#NAME?</v>
      </c>
      <c r="F249" s="1514" t="e">
        <f ca="1">IF(D238="","",IF(D249="","",_xll.ciqfunctions.udf.CIQ(D240,"IQ_BUS_SEG_REV", H239, Valuation_date, ReportType,DataMode, F240,FXMode, $C249)*Scale))</f>
        <v>#NAME?</v>
      </c>
      <c r="G249" s="1575" t="e">
        <f ca="1">IF(D249="","",IFERROR(F249/F259,"n/a"))</f>
        <v>#NAME?</v>
      </c>
      <c r="H249" s="1575" t="e">
        <f t="shared" ca="1" si="15"/>
        <v>#NAME?</v>
      </c>
      <c r="I249" s="1576" t="e">
        <f ca="1">IF(D238="","",IF(D249="","",_xll.ciqfunctions.udf.CIQ(D240,"IQ_BUS_SEG_DESCRIPTION", H239, Valuation_date, , , , , $C249)))</f>
        <v>#NAME?</v>
      </c>
      <c r="J249" s="657"/>
      <c r="K249" s="1509"/>
      <c r="L249" s="2060"/>
      <c r="M249" s="2060"/>
      <c r="N249" s="1508"/>
      <c r="O249" s="2060"/>
    </row>
    <row r="250" spans="1:15">
      <c r="A250" s="1518" t="e">
        <f t="shared" ca="1" si="14"/>
        <v>#NAME?</v>
      </c>
      <c r="B250" s="1518"/>
      <c r="C250" s="654">
        <v>7</v>
      </c>
      <c r="D250" s="656" t="e">
        <f ca="1">IF(D238="","",IF(ISNUMBER(_xll.ciqfunctions.udf.CIQ(D240,"IQ_BUS_SEG_NAME", H239, Valuation_date, , , , , $C250)),"",_xll.ciqfunctions.udf.CIQ(D240,"IQ_BUS_SEG_NAME", H239, Valuation_date, , , , , $C250)))</f>
        <v>#NAME?</v>
      </c>
      <c r="E250" s="1514" t="e">
        <f ca="1">IF(D238="","",IF(D250="","",_xll.ciqfunctions.udf.CIQ(D240,"IQ_BUS_SEG_REV", H239-1, Valuation_date, ReportType,DataMode, F240,FXMode, C250)*Scale))</f>
        <v>#NAME?</v>
      </c>
      <c r="F250" s="1514" t="e">
        <f ca="1">IF(D238="","",IF(D250="","",_xll.ciqfunctions.udf.CIQ(D240,"IQ_BUS_SEG_REV", H239, Valuation_date, ReportType,DataMode, F240,FXMode, $C250)*Scale))</f>
        <v>#NAME?</v>
      </c>
      <c r="G250" s="1575" t="e">
        <f ca="1">IF(D250="","",IFERROR(F250/F259,"n/a"))</f>
        <v>#NAME?</v>
      </c>
      <c r="H250" s="1575" t="e">
        <f t="shared" ca="1" si="15"/>
        <v>#NAME?</v>
      </c>
      <c r="I250" s="1576" t="e">
        <f ca="1">IF(D238="","",IF(D250="","",_xll.ciqfunctions.udf.CIQ(D240,"IQ_BUS_SEG_DESCRIPTION", H239, Valuation_date, , , , , $C250)))</f>
        <v>#NAME?</v>
      </c>
      <c r="J250" s="655"/>
      <c r="K250" s="1509"/>
      <c r="L250" s="2060"/>
      <c r="M250" s="2060"/>
      <c r="N250" s="1508"/>
      <c r="O250" s="2060"/>
    </row>
    <row r="251" spans="1:15">
      <c r="A251" s="1518" t="e">
        <f t="shared" ca="1" si="14"/>
        <v>#NAME?</v>
      </c>
      <c r="B251" s="1518"/>
      <c r="C251" s="654">
        <v>8</v>
      </c>
      <c r="D251" s="656" t="e">
        <f ca="1">IF(D238="","",IF(ISNUMBER(_xll.ciqfunctions.udf.CIQ(D240,"IQ_BUS_SEG_NAME", H239, Valuation_date, , , , , $C251)),"",_xll.ciqfunctions.udf.CIQ(D240,"IQ_BUS_SEG_NAME", H239, Valuation_date, , , , , $C251)))</f>
        <v>#NAME?</v>
      </c>
      <c r="E251" s="1514" t="e">
        <f ca="1">IF(D238="","",IF(D251="","",_xll.ciqfunctions.udf.CIQ(D240,"IQ_BUS_SEG_REV", H239-1, Valuation_date, ReportType,DataMode, F240,FXMode, C251)*Scale))</f>
        <v>#NAME?</v>
      </c>
      <c r="F251" s="1514" t="e">
        <f ca="1">IF(D238="","",IF(D251="","",_xll.ciqfunctions.udf.CIQ(D240,"IQ_BUS_SEG_REV", H239, Valuation_date, ReportType,DataMode, F240,FXMode, $C251)*Scale))</f>
        <v>#NAME?</v>
      </c>
      <c r="G251" s="1575" t="e">
        <f ca="1">IF(D251="","",IFERROR(F251/F259,"n/a"))</f>
        <v>#NAME?</v>
      </c>
      <c r="H251" s="1575" t="e">
        <f t="shared" ca="1" si="15"/>
        <v>#NAME?</v>
      </c>
      <c r="I251" s="1576" t="e">
        <f ca="1">IF(D238="","",IF(D251="","",_xll.ciqfunctions.udf.CIQ(D240,"IQ_BUS_SEG_DESCRIPTION", H239, Valuation_date, , , , , $C251)))</f>
        <v>#NAME?</v>
      </c>
      <c r="J251" s="1574"/>
      <c r="K251" s="1509"/>
      <c r="L251" s="2060"/>
      <c r="M251" s="2060"/>
      <c r="N251" s="1508"/>
      <c r="O251" s="2060"/>
    </row>
    <row r="252" spans="1:15" s="151" customFormat="1">
      <c r="A252" s="1518" t="e">
        <f t="shared" ca="1" si="14"/>
        <v>#NAME?</v>
      </c>
      <c r="B252" s="1518"/>
      <c r="C252" s="654">
        <v>9</v>
      </c>
      <c r="D252" s="656" t="e">
        <f ca="1">IF(D238="","",IF(ISNUMBER(_xll.ciqfunctions.udf.CIQ(D240,"IQ_BUS_SEG_NAME", H239, Valuation_date, , , , , $C252)),"",_xll.ciqfunctions.udf.CIQ(D240,"IQ_BUS_SEG_NAME", H239, Valuation_date, , , , , $C252)))</f>
        <v>#NAME?</v>
      </c>
      <c r="E252" s="1514" t="e">
        <f ca="1">IF(D238="","",IF(D252="","",_xll.ciqfunctions.udf.CIQ(D240,"IQ_BUS_SEG_REV", H239-1, Valuation_date, ReportType,DataMode, F240,FXMode, C252)*Scale))</f>
        <v>#NAME?</v>
      </c>
      <c r="F252" s="1514" t="e">
        <f ca="1">IF(D238="","",IF(D252="","",_xll.ciqfunctions.udf.CIQ(D240,"IQ_BUS_SEG_REV", H239, Valuation_date, ReportType,DataMode, F240,FXMode, $C252)*Scale))</f>
        <v>#NAME?</v>
      </c>
      <c r="G252" s="1575" t="e">
        <f ca="1">IF(D252="","",IFERROR(F252/F259,"n/a"))</f>
        <v>#NAME?</v>
      </c>
      <c r="H252" s="1575" t="e">
        <f t="shared" ca="1" si="15"/>
        <v>#NAME?</v>
      </c>
      <c r="I252" s="1576" t="e">
        <f ca="1">IF(D238="","",IF(D252="","",_xll.ciqfunctions.udf.CIQ(D240,"IQ_BUS_SEG_DESCRIPTION", H239, Valuation_date, , , , , $C252)))</f>
        <v>#NAME?</v>
      </c>
      <c r="J252" s="1574"/>
      <c r="K252" s="1509"/>
      <c r="L252" s="2060"/>
      <c r="M252" s="2060"/>
      <c r="O252" s="2060"/>
    </row>
    <row r="253" spans="1:15">
      <c r="A253" s="1518" t="e">
        <f t="shared" ca="1" si="14"/>
        <v>#NAME?</v>
      </c>
      <c r="B253" s="1518"/>
      <c r="C253" s="654">
        <v>10</v>
      </c>
      <c r="D253" s="656" t="e">
        <f ca="1">IF(D238="","",IF(ISNUMBER(_xll.ciqfunctions.udf.CIQ(D240,"IQ_BUS_SEG_NAME", H239, Valuation_date, , , , , $C253)),"",_xll.ciqfunctions.udf.CIQ(D240,"IQ_BUS_SEG_NAME", H239, Valuation_date, , , , , $C253)))</f>
        <v>#NAME?</v>
      </c>
      <c r="E253" s="1514" t="e">
        <f ca="1">IF(D238="","",IF(D253="","",_xll.ciqfunctions.udf.CIQ(D240,"IQ_BUS_SEG_REV", H239-1, Valuation_date, ReportType,DataMode, F240,FXMode, C253)*Scale))</f>
        <v>#NAME?</v>
      </c>
      <c r="F253" s="1514" t="e">
        <f ca="1">IF(D238="","",IF(D253="","",_xll.ciqfunctions.udf.CIQ(D240,"IQ_BUS_SEG_REV", H239, Valuation_date, ReportType,DataMode, F240,FXMode, $C253)*Scale))</f>
        <v>#NAME?</v>
      </c>
      <c r="G253" s="1575" t="e">
        <f ca="1">IF(D253="","",IFERROR(F253/F259,"n/a"))</f>
        <v>#NAME?</v>
      </c>
      <c r="H253" s="1575" t="e">
        <f t="shared" ca="1" si="15"/>
        <v>#NAME?</v>
      </c>
      <c r="I253" s="1576" t="e">
        <f ca="1">IF(D238="","",IF(D253="","",_xll.ciqfunctions.udf.CIQ(D240,"IQ_BUS_SEG_DESCRIPTION", H239, Valuation_date, , , , , $C253)))</f>
        <v>#NAME?</v>
      </c>
      <c r="J253" s="393"/>
      <c r="K253" s="1509"/>
      <c r="L253" s="2060"/>
      <c r="M253" s="2060"/>
      <c r="N253" s="1508"/>
      <c r="O253" s="2060"/>
    </row>
    <row r="254" spans="1:15">
      <c r="A254" s="1518" t="e">
        <f t="shared" ca="1" si="14"/>
        <v>#NAME?</v>
      </c>
      <c r="B254" s="1518"/>
      <c r="C254" s="654">
        <v>11</v>
      </c>
      <c r="D254" s="656" t="e">
        <f ca="1">IF(D238="","",IF(ISNUMBER(_xll.ciqfunctions.udf.CIQ(D240,"IQ_BUS_SEG_NAME", H239, Valuation_date, , , , , $C254)),"",_xll.ciqfunctions.udf.CIQ(D240,"IQ_BUS_SEG_NAME", H239, Valuation_date, , , , , $C254)))</f>
        <v>#NAME?</v>
      </c>
      <c r="E254" s="1514" t="e">
        <f ca="1">IF(D238="","",IF(D254="","",_xll.ciqfunctions.udf.CIQ(D240,"IQ_BUS_SEG_REV", H239-1, Valuation_date, ReportType,DataMode, F240,FXMode, C254)*Scale))</f>
        <v>#NAME?</v>
      </c>
      <c r="F254" s="1514" t="e">
        <f ca="1">IF(D238="","",IF(D254="","",_xll.ciqfunctions.udf.CIQ(D240,"IQ_BUS_SEG_REV", H239, Valuation_date, ReportType,DataMode, F240,FXMode, $C254)*Scale))</f>
        <v>#NAME?</v>
      </c>
      <c r="G254" s="1575" t="e">
        <f ca="1">IF(D254="","",IFERROR(F254/F259,"n/a"))</f>
        <v>#NAME?</v>
      </c>
      <c r="H254" s="1575" t="e">
        <f t="shared" ca="1" si="15"/>
        <v>#NAME?</v>
      </c>
      <c r="I254" s="1576" t="e">
        <f ca="1">IF(D238="","",IF(D254="","",_xll.ciqfunctions.udf.CIQ(D240,"IQ_BUS_SEG_DESCRIPTION", H239, Valuation_date, , , , , $C254)))</f>
        <v>#NAME?</v>
      </c>
      <c r="J254" s="1574"/>
      <c r="K254" s="1509"/>
      <c r="L254" s="2060"/>
      <c r="M254" s="2060"/>
      <c r="N254" s="1508"/>
      <c r="O254" s="2060"/>
    </row>
    <row r="255" spans="1:15">
      <c r="A255" s="1518" t="e">
        <f t="shared" ca="1" si="14"/>
        <v>#NAME?</v>
      </c>
      <c r="B255" s="1518"/>
      <c r="C255" s="654">
        <v>12</v>
      </c>
      <c r="D255" s="656" t="e">
        <f ca="1">IF(D238="","",IF(ISNUMBER(_xll.ciqfunctions.udf.CIQ(D240,"IQ_BUS_SEG_NAME", H239, Valuation_date, , , , , $C255)),"",_xll.ciqfunctions.udf.CIQ(D240,"IQ_BUS_SEG_NAME", H239, Valuation_date, , , , , $C255)))</f>
        <v>#NAME?</v>
      </c>
      <c r="E255" s="1514" t="e">
        <f ca="1">IF(D238="","",IF(D255="","",_xll.ciqfunctions.udf.CIQ(D240,"IQ_BUS_SEG_REV", H239-1, Valuation_date, ReportType,DataMode, F240,FXMode, C255)*Scale))</f>
        <v>#NAME?</v>
      </c>
      <c r="F255" s="1514" t="e">
        <f ca="1">IF(D238="","",IF(D255="","",_xll.ciqfunctions.udf.CIQ(D240,"IQ_BUS_SEG_REV", H239, Valuation_date, ReportType,DataMode, F240,FXMode, $C255)*Scale))</f>
        <v>#NAME?</v>
      </c>
      <c r="G255" s="1575" t="e">
        <f ca="1">IF(D255="","",IFERROR(F255/F259,"n/a"))</f>
        <v>#NAME?</v>
      </c>
      <c r="H255" s="1575" t="e">
        <f t="shared" ca="1" si="15"/>
        <v>#NAME?</v>
      </c>
      <c r="I255" s="1576" t="e">
        <f ca="1">IF(D238="","",IF(D255="","",_xll.ciqfunctions.udf.CIQ(D240,"IQ_BUS_SEG_DESCRIPTION", H239, Valuation_date, , , , , $C255)))</f>
        <v>#NAME?</v>
      </c>
      <c r="J255" s="1574"/>
      <c r="K255" s="1509"/>
      <c r="L255" s="2060"/>
      <c r="M255" s="2060"/>
      <c r="N255" s="1508"/>
      <c r="O255" s="2060"/>
    </row>
    <row r="256" spans="1:15">
      <c r="A256" s="1518" t="e">
        <f t="shared" ca="1" si="14"/>
        <v>#NAME?</v>
      </c>
      <c r="B256" s="1518"/>
      <c r="C256" s="654">
        <v>13</v>
      </c>
      <c r="D256" s="656" t="e">
        <f ca="1">IF(D238="","",IF(ISNUMBER(_xll.ciqfunctions.udf.CIQ(D240,"IQ_BUS_SEG_NAME", H239, Valuation_date, , , , , $C256)),"",_xll.ciqfunctions.udf.CIQ(D240,"IQ_BUS_SEG_NAME", H239, Valuation_date, , , , , $C256)))</f>
        <v>#NAME?</v>
      </c>
      <c r="E256" s="1514" t="e">
        <f ca="1">IF(D238="","",IF(D256="","",_xll.ciqfunctions.udf.CIQ(D240,"IQ_BUS_SEG_REV", H239-1, Valuation_date, ReportType,DataMode, F240,FXMode, C256)*Scale))</f>
        <v>#NAME?</v>
      </c>
      <c r="F256" s="1514" t="e">
        <f ca="1">IF(D238="","",IF(D256="","",_xll.ciqfunctions.udf.CIQ(D240,"IQ_BUS_SEG_REV", H239, Valuation_date, ReportType,DataMode, F240,FXMode, $C256)*Scale))</f>
        <v>#NAME?</v>
      </c>
      <c r="G256" s="1575" t="e">
        <f ca="1">IF(D256="","",IFERROR(F256/F259,"n/a"))</f>
        <v>#NAME?</v>
      </c>
      <c r="H256" s="1575" t="e">
        <f t="shared" ca="1" si="15"/>
        <v>#NAME?</v>
      </c>
      <c r="I256" s="1576" t="e">
        <f ca="1">IF(D238="","",IF(D256="","",_xll.ciqfunctions.udf.CIQ(D240,"IQ_BUS_SEG_DESCRIPTION", H239, Valuation_date, , , , , $C256)))</f>
        <v>#NAME?</v>
      </c>
      <c r="J256" s="1574"/>
      <c r="K256" s="1509"/>
      <c r="L256" s="2060"/>
      <c r="M256" s="2060"/>
      <c r="N256" s="1508"/>
      <c r="O256" s="2060"/>
    </row>
    <row r="257" spans="1:26">
      <c r="A257" s="1518" t="e">
        <f ca="1">IF(D257="","n","")</f>
        <v>#NAME?</v>
      </c>
      <c r="B257" s="1518"/>
      <c r="C257" s="654">
        <v>14</v>
      </c>
      <c r="D257" s="656" t="e">
        <f ca="1">IF(D238="","",IF(ISNUMBER(_xll.ciqfunctions.udf.CIQ(D240,"IQ_BUS_SEG_NAME", H239, Valuation_date, , , , , $C257)),"",_xll.ciqfunctions.udf.CIQ(D240,"IQ_BUS_SEG_NAME", H239, Valuation_date, , , , , $C257)))</f>
        <v>#NAME?</v>
      </c>
      <c r="E257" s="1514" t="e">
        <f ca="1">IF(D238="","",IF(D257="","",_xll.ciqfunctions.udf.CIQ(D240,"IQ_BUS_SEG_REV", H239-1, Valuation_date, ReportType,DataMode, F240,FXMode, C257)*Scale))</f>
        <v>#NAME?</v>
      </c>
      <c r="F257" s="1514" t="e">
        <f ca="1">IF(D238="","",IF(D257="","",_xll.ciqfunctions.udf.CIQ(D240,"IQ_BUS_SEG_REV", H239, Valuation_date, ReportType,DataMode, F240,FXMode, $C257)*Scale))</f>
        <v>#NAME?</v>
      </c>
      <c r="G257" s="1575" t="e">
        <f ca="1">IF(D257="","",IFERROR(F257/F259,"n/a"))</f>
        <v>#NAME?</v>
      </c>
      <c r="H257" s="1575" t="e">
        <f t="shared" ca="1" si="15"/>
        <v>#NAME?</v>
      </c>
      <c r="I257" s="1576" t="e">
        <f ca="1">IF(D238="","",IF(D257="","",_xll.ciqfunctions.udf.CIQ(D240,"IQ_BUS_SEG_DESCRIPTION", H239, Valuation_date, , , , , $C257)))</f>
        <v>#NAME?</v>
      </c>
      <c r="J257" s="1574"/>
      <c r="K257" s="1509"/>
      <c r="L257" s="2060"/>
      <c r="M257" s="2060"/>
      <c r="N257" s="1508"/>
      <c r="O257" s="2060"/>
      <c r="P257" s="1508"/>
      <c r="Q257" s="1508"/>
      <c r="R257" s="1508"/>
      <c r="S257" s="1508"/>
      <c r="T257" s="1508"/>
      <c r="U257" s="1508"/>
      <c r="V257" s="1508"/>
      <c r="W257" s="1508"/>
      <c r="X257" s="1508"/>
      <c r="Y257" s="1508"/>
      <c r="Z257" s="1508"/>
    </row>
    <row r="258" spans="1:26">
      <c r="A258" s="1518" t="e">
        <f ca="1">IF(D258="","n","")</f>
        <v>#NAME?</v>
      </c>
      <c r="B258" s="1518"/>
      <c r="C258" s="654">
        <v>15</v>
      </c>
      <c r="D258" s="656" t="e">
        <f ca="1">IF(D238="","",IF(ISNUMBER(_xll.ciqfunctions.udf.CIQ(D240,"IQ_BUS_SEG_NAME", H239, Valuation_date, , , , , $C258)),"",_xll.ciqfunctions.udf.CIQ(D240,"IQ_BUS_SEG_NAME", H239, Valuation_date, , , , , $C258)))</f>
        <v>#NAME?</v>
      </c>
      <c r="E258" s="1514" t="e">
        <f ca="1">IF(D238="","",IF(D258="","",_xll.ciqfunctions.udf.CIQ(D240,"IQ_BUS_SEG_REV", H239-1, Valuation_date, ReportType,DataMode, F240,FXMode, C258)*Scale))</f>
        <v>#NAME?</v>
      </c>
      <c r="F258" s="1514" t="e">
        <f ca="1">IF(D238="","",IF(D258="","",_xll.ciqfunctions.udf.CIQ(D240,"IQ_BUS_SEG_REV", H239, Valuation_date, ReportType,DataMode, F240,FXMode, $C258)*Scale))</f>
        <v>#NAME?</v>
      </c>
      <c r="G258" s="1575" t="e">
        <f ca="1">IF(D258="","",IFERROR(F258/F259,"n/a"))</f>
        <v>#NAME?</v>
      </c>
      <c r="H258" s="1575" t="e">
        <f t="shared" ca="1" si="15"/>
        <v>#NAME?</v>
      </c>
      <c r="I258" s="1576" t="e">
        <f ca="1">IF(D238="","",IF(D258="","",_xll.ciqfunctions.udf.CIQ(D240,"IQ_BUS_SEG_DESCRIPTION", H239, Valuation_date, , , , , $C258)))</f>
        <v>#NAME?</v>
      </c>
      <c r="J258" s="1574"/>
      <c r="K258" s="1509"/>
      <c r="L258" s="2060"/>
      <c r="M258" s="2060"/>
      <c r="N258" s="1508"/>
      <c r="O258" s="2060"/>
      <c r="P258" s="1508"/>
      <c r="Q258" s="1508"/>
      <c r="R258" s="1508"/>
      <c r="S258" s="1508"/>
      <c r="T258" s="1508"/>
      <c r="U258" s="1508"/>
      <c r="V258" s="1508"/>
      <c r="W258" s="1508"/>
      <c r="X258" s="1508"/>
      <c r="Y258" s="1508"/>
      <c r="Z258" s="1508"/>
    </row>
    <row r="259" spans="1:26" ht="14.45" thickBot="1">
      <c r="A259" s="1518"/>
      <c r="B259" s="1518"/>
      <c r="C259" s="1572"/>
      <c r="D259" s="658" t="s">
        <v>1248</v>
      </c>
      <c r="E259" s="658" t="e">
        <f ca="1">SUM(E244:E258)</f>
        <v>#NAME?</v>
      </c>
      <c r="F259" s="658" t="e">
        <f ca="1">SUM(F244:F258)</f>
        <v>#NAME?</v>
      </c>
      <c r="G259" s="2257" t="e">
        <f ca="1">SUM(G244:G258)</f>
        <v>#NAME?</v>
      </c>
      <c r="H259" s="2257" t="str">
        <f ca="1">IF(D259="","",IFERROR(F259/E259-1,"n/a"))</f>
        <v>n/a</v>
      </c>
      <c r="I259" s="1571"/>
      <c r="J259" s="1574"/>
      <c r="K259" s="1509"/>
      <c r="L259" s="2060"/>
      <c r="M259" s="2060"/>
      <c r="N259" s="1508"/>
      <c r="O259" s="2060"/>
      <c r="P259" s="1508"/>
      <c r="Q259" s="1508"/>
      <c r="R259" s="1508"/>
      <c r="S259" s="1508"/>
      <c r="T259" s="1508"/>
      <c r="U259" s="1508"/>
      <c r="V259" s="1508"/>
      <c r="W259" s="1508"/>
      <c r="X259" s="1508"/>
      <c r="Y259" s="1508"/>
      <c r="Z259" s="1508"/>
    </row>
    <row r="260" spans="1:26">
      <c r="A260" s="1518"/>
      <c r="B260" s="1518"/>
      <c r="C260" s="1572"/>
      <c r="D260" s="1514"/>
      <c r="E260" s="1514"/>
      <c r="F260" s="1575"/>
      <c r="G260" s="1514"/>
      <c r="H260" s="1575"/>
      <c r="I260" s="1571"/>
      <c r="J260" s="1574"/>
      <c r="K260" s="1509"/>
      <c r="L260" s="2060"/>
      <c r="M260" s="2060"/>
      <c r="N260" s="1508"/>
      <c r="O260" s="2060"/>
      <c r="P260" s="1508"/>
      <c r="Q260" s="1508"/>
      <c r="R260" s="1508"/>
      <c r="S260" s="1508"/>
      <c r="T260" s="1508"/>
      <c r="U260" s="1508"/>
      <c r="V260" s="1508"/>
      <c r="W260" s="1508"/>
      <c r="X260" s="1508"/>
      <c r="Y260" s="1508"/>
      <c r="Z260" s="1508"/>
    </row>
    <row r="261" spans="1:26" s="1508" customFormat="1">
      <c r="A261" s="1518"/>
      <c r="B261" s="1518"/>
      <c r="C261" s="1572"/>
      <c r="D261" s="1514" t="s">
        <v>1707</v>
      </c>
      <c r="E261" s="1579"/>
      <c r="F261" s="1575"/>
      <c r="G261" s="1514"/>
      <c r="H261" s="1575"/>
      <c r="I261" s="1571"/>
      <c r="J261" s="1574"/>
      <c r="K261" s="1509"/>
      <c r="L261" s="2060"/>
      <c r="M261" s="2060"/>
      <c r="O261" s="2060"/>
    </row>
    <row r="262" spans="1:26">
      <c r="A262" s="1518"/>
      <c r="B262" s="1518"/>
      <c r="C262" s="1572"/>
      <c r="D262" s="1514" t="s">
        <v>1402</v>
      </c>
      <c r="E262" s="1514"/>
      <c r="F262" s="1575"/>
      <c r="G262" s="1514"/>
      <c r="H262" s="1575"/>
      <c r="I262" s="1571"/>
      <c r="J262" s="1574"/>
      <c r="K262" s="1509"/>
      <c r="L262" s="2060"/>
      <c r="M262" s="2060"/>
      <c r="N262" s="1508"/>
      <c r="O262" s="2060"/>
      <c r="P262" s="1508"/>
      <c r="Q262" s="1508"/>
      <c r="R262" s="1508"/>
      <c r="S262" s="1508"/>
      <c r="T262" s="1508"/>
      <c r="U262" s="1508"/>
      <c r="V262" s="1508"/>
      <c r="W262" s="1508"/>
      <c r="X262" s="1508"/>
      <c r="Y262" s="1508"/>
      <c r="Z262" s="1508"/>
    </row>
    <row r="263" spans="1:26">
      <c r="A263" s="1518"/>
      <c r="B263" s="1518"/>
      <c r="C263" s="1572"/>
      <c r="D263" s="1538"/>
      <c r="E263" s="1538"/>
      <c r="F263" s="1538"/>
      <c r="G263" s="1538"/>
      <c r="H263" s="1538"/>
      <c r="I263" s="1571"/>
      <c r="J263" s="1538"/>
      <c r="K263" s="1509"/>
      <c r="L263" s="2060"/>
      <c r="M263" s="2060"/>
      <c r="N263" s="2060"/>
      <c r="O263" s="2060"/>
      <c r="P263" s="2060"/>
      <c r="Q263" s="2060"/>
      <c r="R263" s="2060"/>
      <c r="S263" s="2060"/>
      <c r="T263" s="1508"/>
      <c r="U263" s="1508"/>
      <c r="V263" s="1508"/>
      <c r="W263" s="1508"/>
      <c r="X263" s="1508"/>
      <c r="Y263" s="1508"/>
      <c r="Z263" s="1508"/>
    </row>
    <row r="264" spans="1:26" s="178" customFormat="1" ht="13.5" customHeight="1">
      <c r="A264" s="1510"/>
      <c r="B264" s="1510"/>
      <c r="C264" s="387"/>
      <c r="D264" s="1513" t="str">
        <f ca="1">FootnoteDRAFT</f>
        <v>Run date: 05-August-2018  02:34 PM.   DRAFT document. All data subject to change upon completion of additional analysis.</v>
      </c>
      <c r="E264" s="1513"/>
      <c r="F264" s="373"/>
      <c r="G264" s="1513"/>
      <c r="H264" s="1513"/>
      <c r="I264" s="1562"/>
      <c r="J264" s="1512"/>
      <c r="K264" s="1509"/>
      <c r="L264" s="2060"/>
      <c r="M264" s="2060"/>
      <c r="N264" s="2060"/>
      <c r="O264" s="2060"/>
      <c r="P264" s="2060"/>
      <c r="Q264" s="2060"/>
      <c r="R264" s="2060"/>
      <c r="S264" s="2060"/>
      <c r="T264" s="2060"/>
      <c r="U264" s="2060"/>
      <c r="V264" s="2060"/>
      <c r="W264" s="2060"/>
      <c r="X264" s="2060"/>
      <c r="Y264" s="2060"/>
      <c r="Z264" s="2060"/>
    </row>
    <row r="265" spans="1:26" s="178" customFormat="1">
      <c r="A265" s="1510" t="s">
        <v>17</v>
      </c>
      <c r="B265" s="1510"/>
      <c r="C265" s="1510"/>
      <c r="D265" s="1510"/>
      <c r="E265" s="683"/>
      <c r="F265" s="1510"/>
      <c r="G265" s="1510"/>
      <c r="H265" s="1510"/>
      <c r="I265" s="1547"/>
      <c r="J265" s="1546" t="str">
        <f ca="1">IF(D273="","Page end","Continue")</f>
        <v>Continue</v>
      </c>
      <c r="K265" s="1510"/>
      <c r="L265" s="2060"/>
      <c r="M265" s="2060"/>
      <c r="N265" s="2060"/>
      <c r="O265" s="2060"/>
      <c r="P265" s="2060"/>
      <c r="Q265" s="2060"/>
      <c r="R265" s="2060"/>
      <c r="S265" s="2060"/>
      <c r="T265" s="2060"/>
      <c r="U265" s="2060"/>
      <c r="V265" s="2060"/>
      <c r="W265" s="2060"/>
      <c r="X265" s="2060"/>
      <c r="Y265" s="2060"/>
      <c r="Z265" s="2060"/>
    </row>
    <row r="266" spans="1:26" ht="18" customHeight="1">
      <c r="A266" s="1518"/>
      <c r="B266" s="1518"/>
      <c r="C266" s="292" t="str">
        <f ca="1">D271</f>
        <v>n/a</v>
      </c>
      <c r="D266" s="172"/>
      <c r="E266" s="674"/>
      <c r="F266" s="172"/>
      <c r="G266" s="172"/>
      <c r="H266" s="172"/>
      <c r="I266" s="1522"/>
      <c r="J266" s="389" t="str">
        <f>$J$1&amp;"."&amp;C271&amp;""</f>
        <v>Workpaper 6.8</v>
      </c>
      <c r="K266" s="1509"/>
      <c r="L266" s="1508"/>
      <c r="M266" s="2060"/>
      <c r="N266" s="1508"/>
      <c r="O266" s="2060"/>
      <c r="P266" s="1508"/>
      <c r="Q266" s="1508"/>
      <c r="R266" s="1508"/>
      <c r="S266" s="1508"/>
      <c r="T266" s="1508"/>
      <c r="U266" s="1508"/>
      <c r="V266" s="1508"/>
      <c r="W266" s="1508"/>
      <c r="X266" s="1508"/>
      <c r="Y266" s="1508"/>
      <c r="Z266" s="1508"/>
    </row>
    <row r="267" spans="1:26" ht="18" customHeight="1">
      <c r="A267" s="1518"/>
      <c r="B267" s="1518"/>
      <c r="C267" s="839" t="s">
        <v>1699</v>
      </c>
      <c r="D267" s="172"/>
      <c r="E267" s="172"/>
      <c r="F267" s="172"/>
      <c r="G267" s="172"/>
      <c r="H267" s="172"/>
      <c r="I267" s="1522"/>
      <c r="J267" s="187"/>
      <c r="K267" s="1509"/>
      <c r="L267" s="1508"/>
      <c r="M267" s="2060"/>
      <c r="N267" s="1508"/>
      <c r="O267" s="2060"/>
      <c r="P267" s="1508"/>
      <c r="Q267" s="1508"/>
      <c r="R267" s="1508"/>
      <c r="S267" s="1508"/>
      <c r="T267" s="1508"/>
      <c r="U267" s="1508"/>
      <c r="V267" s="1508"/>
      <c r="W267" s="1508"/>
      <c r="X267" s="1508"/>
      <c r="Y267" s="1508"/>
      <c r="Z267" s="1508"/>
    </row>
    <row r="268" spans="1:26" ht="18" customHeight="1">
      <c r="A268" s="1518"/>
      <c r="B268" s="1518"/>
      <c r="C268" s="366" t="str">
        <f ca="1">"(" &amp;F273&amp;" in "&amp;ScaleInput&amp;")"</f>
        <v>(USD in Millions)</v>
      </c>
      <c r="D268" s="1508"/>
      <c r="E268" s="170"/>
      <c r="F268" s="170"/>
      <c r="G268" s="170"/>
      <c r="H268" s="170"/>
      <c r="I268" s="1521"/>
      <c r="J268" s="1508"/>
      <c r="K268" s="1509"/>
      <c r="L268" s="1508"/>
      <c r="M268" s="2060"/>
      <c r="N268" s="1508"/>
      <c r="O268" s="2060"/>
      <c r="P268" s="1508"/>
      <c r="Q268" s="1508"/>
      <c r="R268" s="1508"/>
      <c r="S268" s="1508"/>
      <c r="T268" s="1508"/>
      <c r="U268" s="1508"/>
      <c r="V268" s="1508"/>
      <c r="W268" s="1508"/>
      <c r="X268" s="1508"/>
      <c r="Y268" s="1508"/>
      <c r="Z268" s="1508"/>
    </row>
    <row r="269" spans="1:26" ht="18" customHeight="1">
      <c r="A269" s="1518"/>
      <c r="B269" s="1518"/>
      <c r="C269" s="366"/>
      <c r="D269" s="1508"/>
      <c r="E269" s="172"/>
      <c r="F269" s="172"/>
      <c r="G269" s="172"/>
      <c r="H269" s="172"/>
      <c r="I269" s="1522"/>
      <c r="J269" s="1508"/>
      <c r="K269" s="1509"/>
      <c r="L269" s="1508"/>
      <c r="M269" s="2060"/>
      <c r="N269" s="1508"/>
      <c r="O269" s="2060"/>
      <c r="P269" s="1508"/>
      <c r="Q269" s="1508"/>
      <c r="R269" s="1508"/>
      <c r="S269" s="1508"/>
      <c r="T269" s="1508"/>
      <c r="U269" s="1508"/>
      <c r="V269" s="1508"/>
      <c r="W269" s="1508"/>
      <c r="X269" s="1508"/>
      <c r="Y269" s="1508"/>
      <c r="Z269" s="1508"/>
    </row>
    <row r="270" spans="1:26">
      <c r="A270" s="1518"/>
      <c r="B270" s="1518"/>
      <c r="C270" s="225"/>
      <c r="D270" s="1508"/>
      <c r="E270" s="1508"/>
      <c r="F270" s="1508"/>
      <c r="G270" s="1508"/>
      <c r="H270" s="1508"/>
      <c r="I270" s="1515"/>
      <c r="J270" s="1508"/>
      <c r="K270" s="1509"/>
      <c r="L270" s="1508"/>
      <c r="M270" s="2060"/>
      <c r="N270" s="1508"/>
      <c r="O270" s="2060"/>
      <c r="P270" s="1508"/>
      <c r="Q270" s="1508"/>
      <c r="R270" s="1508"/>
      <c r="S270" s="1508"/>
      <c r="T270" s="1508"/>
      <c r="U270" s="1508"/>
      <c r="V270" s="1508"/>
      <c r="W270" s="1508"/>
      <c r="X270" s="1508"/>
      <c r="Y270" s="1508"/>
      <c r="Z270" s="1508"/>
    </row>
    <row r="271" spans="1:26">
      <c r="A271" s="1518"/>
      <c r="B271" s="659"/>
      <c r="C271" s="653">
        <v>8</v>
      </c>
      <c r="D271" s="179" t="str">
        <f ca="1">IF(D273=0,"n/a",IFERROR(_xll.ciqfunctions.udf.CIQ(D273,"IQ_COMPANY_NAME"),"n/a"))</f>
        <v>n/a</v>
      </c>
      <c r="E271" s="1538"/>
      <c r="F271" s="1538"/>
      <c r="G271" s="1538"/>
      <c r="H271" s="1538"/>
      <c r="I271" s="1571"/>
      <c r="J271" s="1538"/>
      <c r="K271" s="1509"/>
      <c r="L271" s="1508"/>
      <c r="M271" s="2060"/>
      <c r="N271" s="1508"/>
      <c r="O271" s="2060"/>
      <c r="P271" s="1508"/>
      <c r="Q271" s="1508"/>
      <c r="R271" s="1508"/>
      <c r="S271" s="1508"/>
      <c r="T271" s="1508"/>
      <c r="U271" s="1508"/>
      <c r="V271" s="1508"/>
      <c r="W271" s="1508"/>
      <c r="X271" s="1508"/>
      <c r="Y271" s="1508"/>
      <c r="Z271" s="1508"/>
    </row>
    <row r="272" spans="1:26">
      <c r="A272" s="1518"/>
      <c r="B272" s="659"/>
      <c r="C272" s="1572"/>
      <c r="D272" s="2258" t="s">
        <v>134</v>
      </c>
      <c r="E272" s="2246" t="s">
        <v>1708</v>
      </c>
      <c r="F272" s="2247" t="s">
        <v>167</v>
      </c>
      <c r="G272" s="2247" t="s">
        <v>1700</v>
      </c>
      <c r="H272" s="2248">
        <f>INDEX($W$9:$W$14,MATCH(H273,PeriodList,0))</f>
        <v>2000</v>
      </c>
      <c r="I272" s="1571"/>
      <c r="J272" s="217"/>
      <c r="K272" s="1509"/>
      <c r="L272" s="1508"/>
      <c r="M272" s="2060"/>
      <c r="N272" s="1508"/>
      <c r="O272" s="2060"/>
      <c r="P272" s="1508"/>
      <c r="Q272" s="1508"/>
      <c r="R272" s="1508"/>
      <c r="S272" s="1508"/>
      <c r="T272" s="1508"/>
      <c r="U272" s="1508"/>
      <c r="V272" s="1508"/>
      <c r="W272" s="1508"/>
      <c r="X272" s="1508"/>
      <c r="Y272" s="1508"/>
      <c r="Z272" s="1508"/>
    </row>
    <row r="273" spans="1:15" s="185" customFormat="1">
      <c r="A273" s="1518"/>
      <c r="B273" s="659"/>
      <c r="C273" s="654"/>
      <c r="D273" s="2249">
        <f ca="1">OFFSET(GCIdentifierTop,C271,0)</f>
        <v>0</v>
      </c>
      <c r="E273" s="2250" t="str">
        <f ca="1">IF($D273="","",IFERROR(_xll.ciqfunctions.udf.CIQ($D273,"IQ_PERIODDATE",H272,Valuation_date),"n/a"))</f>
        <v>n/a</v>
      </c>
      <c r="F273" s="2251" t="str">
        <f ca="1">IFERROR(IF(C271=0,SubjOutputCurrencyCode,IF(D273="","",IF(OutputCurrency="Filing",_xll.ciqfunctions.udf.CIQ($D273,"IQ_FILING_CURRENCY",500,Valuation_date,ReportType,DataMode),OutputCurrency))),OutputCurrency)</f>
        <v>USD</v>
      </c>
      <c r="G273" s="2252" t="e">
        <f ca="1">IF(D271="","",_xll.ciqfunctions.udf.CIQ(D273,"IQ_TOTAL_REV", H272, Valuation_date,ReportType,DataMode,F273,FXMode))</f>
        <v>#NAME?</v>
      </c>
      <c r="H273" s="2260" t="str">
        <f>$H$9</f>
        <v>LTM/LFQ</v>
      </c>
      <c r="I273" s="1573"/>
      <c r="J273" s="392"/>
      <c r="K273" s="1509"/>
      <c r="M273" s="2060"/>
      <c r="O273" s="2060"/>
    </row>
    <row r="274" spans="1:15">
      <c r="A274" s="1518"/>
      <c r="B274" s="659"/>
      <c r="C274" s="654"/>
      <c r="D274" s="1538"/>
      <c r="E274" s="1538"/>
      <c r="F274" s="1538"/>
      <c r="G274" s="1538"/>
      <c r="H274" s="1538"/>
      <c r="I274" s="1571"/>
      <c r="J274" s="655"/>
      <c r="K274" s="1509"/>
      <c r="L274" s="1508"/>
      <c r="M274" s="2060"/>
      <c r="N274" s="1508"/>
      <c r="O274" s="2060"/>
    </row>
    <row r="275" spans="1:15">
      <c r="A275" s="1518"/>
      <c r="B275" s="659"/>
      <c r="C275" s="654"/>
      <c r="D275" s="741"/>
      <c r="E275" s="744" t="e">
        <f ca="1">IF(D273="",Valuation_date,_xll.ciqfunctions.udf.CIQ(D273,"IQ_PERIODDATE",H272-IF(LEFT(H273,3)="LFY",1,4),Valuation_date))</f>
        <v>#NAME?</v>
      </c>
      <c r="F275" s="742" t="e">
        <f ca="1">IF(D273="",Valuation_date,_xll.ciqfunctions.udf.CIQ(D273,"IQ_PERIODDATE",H272,Valuation_date))</f>
        <v>#NAME?</v>
      </c>
      <c r="G275" s="741"/>
      <c r="H275" s="743" t="s">
        <v>1702</v>
      </c>
      <c r="I275" s="1587"/>
      <c r="J275" s="655"/>
      <c r="K275" s="1509"/>
      <c r="L275" s="1508"/>
      <c r="M275" s="2060"/>
      <c r="N275" s="1508"/>
      <c r="O275" s="2060"/>
    </row>
    <row r="276" spans="1:15" s="151" customFormat="1">
      <c r="A276" s="1518"/>
      <c r="B276" s="659"/>
      <c r="C276" s="654"/>
      <c r="D276" s="2254" t="s">
        <v>1703</v>
      </c>
      <c r="E276" s="2255" t="s">
        <v>1458</v>
      </c>
      <c r="F276" s="2255" t="s">
        <v>1458</v>
      </c>
      <c r="G276" s="2255" t="s">
        <v>1704</v>
      </c>
      <c r="H276" s="2255" t="s">
        <v>1705</v>
      </c>
      <c r="I276" s="2256" t="s">
        <v>1706</v>
      </c>
      <c r="J276" s="1574"/>
      <c r="K276" s="1509"/>
      <c r="L276" s="2060"/>
      <c r="M276" s="2060"/>
      <c r="O276" s="2060"/>
    </row>
    <row r="277" spans="1:15">
      <c r="A277" s="1518" t="e">
        <f t="shared" ref="A277:A289" ca="1" si="16">IF(D277="","n","")</f>
        <v>#NAME?</v>
      </c>
      <c r="B277" s="659"/>
      <c r="C277" s="654">
        <v>1</v>
      </c>
      <c r="D277" s="656" t="e">
        <f ca="1">IF(D271="","",IF(ISNUMBER(_xll.ciqfunctions.udf.CIQ(D273,"IQ_BUS_SEG_NAME", H272, Valuation_date, , , , , $C277)),"",_xll.ciqfunctions.udf.CIQ(D273,"IQ_BUS_SEG_NAME", H272, Valuation_date, , , , , $C277)))</f>
        <v>#NAME?</v>
      </c>
      <c r="E277" s="1514" t="e">
        <f ca="1">IF(D271="","",IF(D277="","",_xll.ciqfunctions.udf.CIQ(D273,"IQ_BUS_SEG_REV", H272-1, Valuation_date, ReportType,DataMode, F273,FXMode, C277)*Scale))</f>
        <v>#NAME?</v>
      </c>
      <c r="F277" s="1514" t="e">
        <f ca="1">IF(D271="","",IF(D277="","",_xll.ciqfunctions.udf.CIQ(D273,"IQ_BUS_SEG_REV", H272, Valuation_date, ReportType,DataMode, F273,FXMode, $C277)*Scale))</f>
        <v>#NAME?</v>
      </c>
      <c r="G277" s="1575" t="e">
        <f ca="1">IF(D277="","",IFERROR(F277/F292,"n/a"))</f>
        <v>#NAME?</v>
      </c>
      <c r="H277" s="1575" t="e">
        <f ca="1">IF(D277="","",IFERROR(F277/E277-1,"n/a"))</f>
        <v>#NAME?</v>
      </c>
      <c r="I277" s="1576" t="e">
        <f ca="1">IF(D271="","",IF(D277="","",_xll.ciqfunctions.udf.CIQ(D273,"IQ_BUS_SEG_DESCRIPTION", H272, Valuation_date, , , , , $C277)))</f>
        <v>#NAME?</v>
      </c>
      <c r="J277" s="393"/>
      <c r="K277" s="1509"/>
      <c r="L277" s="2060"/>
      <c r="M277" s="2060"/>
      <c r="N277" s="1508"/>
      <c r="O277" s="2060"/>
    </row>
    <row r="278" spans="1:15">
      <c r="A278" s="1518" t="e">
        <f t="shared" ca="1" si="16"/>
        <v>#NAME?</v>
      </c>
      <c r="B278" s="659"/>
      <c r="C278" s="654">
        <v>2</v>
      </c>
      <c r="D278" s="656" t="e">
        <f ca="1">IF(D271="","",IF(ISNUMBER(_xll.ciqfunctions.udf.CIQ(D273,"IQ_BUS_SEG_NAME", H272, Valuation_date, , , , , $C278)),"",_xll.ciqfunctions.udf.CIQ(D273,"IQ_BUS_SEG_NAME", H272, Valuation_date, , , , , $C278)))</f>
        <v>#NAME?</v>
      </c>
      <c r="E278" s="1514" t="e">
        <f ca="1">IF(D271="","",IF(D278="","",_xll.ciqfunctions.udf.CIQ(D273,"IQ_BUS_SEG_REV", H272-1, Valuation_date, ReportType,DataMode, F273,FXMode, C278)*Scale))</f>
        <v>#NAME?</v>
      </c>
      <c r="F278" s="1514" t="e">
        <f ca="1">IF(D271="","",IF(D278="","",_xll.ciqfunctions.udf.CIQ(D273,"IQ_BUS_SEG_REV", H272, Valuation_date, ReportType,DataMode, F273,FXMode, $C278)*Scale))</f>
        <v>#NAME?</v>
      </c>
      <c r="G278" s="1575" t="e">
        <f ca="1">IF(D278="","",IFERROR(F278/F292,"n/a"))</f>
        <v>#NAME?</v>
      </c>
      <c r="H278" s="1575" t="e">
        <f t="shared" ref="H278:H291" ca="1" si="17">IF(D278="","",IFERROR(F278/E278-1,"n/a"))</f>
        <v>#NAME?</v>
      </c>
      <c r="I278" s="1576" t="e">
        <f ca="1">IF(D271="","",IF(D278="","",_xll.ciqfunctions.udf.CIQ(D273,"IQ_BUS_SEG_DESCRIPTION", H272, Valuation_date, , , , , $C278)))</f>
        <v>#NAME?</v>
      </c>
      <c r="J278" s="393"/>
      <c r="K278" s="1509"/>
      <c r="L278" s="2060"/>
      <c r="M278" s="2060"/>
      <c r="N278" s="1508"/>
      <c r="O278" s="2060"/>
    </row>
    <row r="279" spans="1:15">
      <c r="A279" s="1518" t="e">
        <f t="shared" ca="1" si="16"/>
        <v>#NAME?</v>
      </c>
      <c r="B279" s="659"/>
      <c r="C279" s="654">
        <v>3</v>
      </c>
      <c r="D279" s="656" t="e">
        <f ca="1">IF(D271="","",IF(ISNUMBER(_xll.ciqfunctions.udf.CIQ(D273,"IQ_BUS_SEG_NAME", H272, Valuation_date, , , , , $C279)),"",_xll.ciqfunctions.udf.CIQ(D273,"IQ_BUS_SEG_NAME", H272, Valuation_date, , , , , $C279)))</f>
        <v>#NAME?</v>
      </c>
      <c r="E279" s="1514" t="e">
        <f ca="1">IF(D271="","",IF(D279="","",_xll.ciqfunctions.udf.CIQ(D273,"IQ_BUS_SEG_REV", H272-1, Valuation_date, ReportType,DataMode, F273,FXMode, C279)*Scale))</f>
        <v>#NAME?</v>
      </c>
      <c r="F279" s="1514" t="e">
        <f ca="1">IF(D271="","",IF(D279="","",_xll.ciqfunctions.udf.CIQ(D273,"IQ_BUS_SEG_REV", H272, Valuation_date, ReportType,DataMode, F273,FXMode, $C279)*Scale))</f>
        <v>#NAME?</v>
      </c>
      <c r="G279" s="1575" t="e">
        <f ca="1">IF(D279="","",IFERROR(F279/F292,"n/a"))</f>
        <v>#NAME?</v>
      </c>
      <c r="H279" s="1575" t="e">
        <f t="shared" ca="1" si="17"/>
        <v>#NAME?</v>
      </c>
      <c r="I279" s="1576" t="e">
        <f ca="1">IF(D271="","",IF(D279="","",_xll.ciqfunctions.udf.CIQ(D273,"IQ_BUS_SEG_DESCRIPTION", H272, Valuation_date, , , , , $C279)))</f>
        <v>#NAME?</v>
      </c>
      <c r="J279" s="393"/>
      <c r="K279" s="1509"/>
      <c r="L279" s="2060"/>
      <c r="M279" s="2060"/>
      <c r="N279" s="1508"/>
      <c r="O279" s="2060"/>
    </row>
    <row r="280" spans="1:15">
      <c r="A280" s="1518" t="e">
        <f t="shared" ca="1" si="16"/>
        <v>#NAME?</v>
      </c>
      <c r="B280" s="659"/>
      <c r="C280" s="654">
        <v>4</v>
      </c>
      <c r="D280" s="656" t="e">
        <f ca="1">IF(D271="","",IF(ISNUMBER(_xll.ciqfunctions.udf.CIQ(D273,"IQ_BUS_SEG_NAME", H272, Valuation_date, , , , , $C280)),"",_xll.ciqfunctions.udf.CIQ(D273,"IQ_BUS_SEG_NAME", H272, Valuation_date, , , , , $C280)))</f>
        <v>#NAME?</v>
      </c>
      <c r="E280" s="1514" t="e">
        <f ca="1">IF(D271="","",IF(D280="","",_xll.ciqfunctions.udf.CIQ(D273,"IQ_BUS_SEG_REV", H272-1, Valuation_date, ReportType,DataMode, F273,FXMode, C280)*Scale))</f>
        <v>#NAME?</v>
      </c>
      <c r="F280" s="1514" t="e">
        <f ca="1">IF(D271="","",IF(D280="","",_xll.ciqfunctions.udf.CIQ(D273,"IQ_BUS_SEG_REV", H272, Valuation_date, ReportType,DataMode, F273,FXMode, $C280)*Scale))</f>
        <v>#NAME?</v>
      </c>
      <c r="G280" s="1575" t="e">
        <f ca="1">IF(D280="","",IFERROR(F280/F292,"n/a"))</f>
        <v>#NAME?</v>
      </c>
      <c r="H280" s="1575" t="e">
        <f t="shared" ca="1" si="17"/>
        <v>#NAME?</v>
      </c>
      <c r="I280" s="1576" t="e">
        <f ca="1">IF(D271="","",IF(D280="","",_xll.ciqfunctions.udf.CIQ(D273,"IQ_BUS_SEG_DESCRIPTION", H272, Valuation_date, , , , , $C280)))</f>
        <v>#NAME?</v>
      </c>
      <c r="J280" s="393"/>
      <c r="K280" s="1509"/>
      <c r="L280" s="2060"/>
      <c r="M280" s="2060"/>
      <c r="N280" s="1508"/>
      <c r="O280" s="2060"/>
    </row>
    <row r="281" spans="1:15">
      <c r="A281" s="1518" t="e">
        <f t="shared" ca="1" si="16"/>
        <v>#NAME?</v>
      </c>
      <c r="B281" s="659"/>
      <c r="C281" s="654">
        <v>5</v>
      </c>
      <c r="D281" s="656" t="e">
        <f ca="1">IF(D271="","",IF(ISNUMBER(_xll.ciqfunctions.udf.CIQ(D273,"IQ_BUS_SEG_NAME", H272, Valuation_date, , , , , $C281)),"",_xll.ciqfunctions.udf.CIQ(D273,"IQ_BUS_SEG_NAME", H272, Valuation_date, , , , , $C281)))</f>
        <v>#NAME?</v>
      </c>
      <c r="E281" s="1514" t="e">
        <f ca="1">IF(D271="","",IF(D281="","",_xll.ciqfunctions.udf.CIQ(D273,"IQ_BUS_SEG_REV", H272-1, Valuation_date, ReportType,DataMode, F273,FXMode, C281)*Scale))</f>
        <v>#NAME?</v>
      </c>
      <c r="F281" s="1514" t="e">
        <f ca="1">IF(D271="","",IF(D281="","",_xll.ciqfunctions.udf.CIQ(D273,"IQ_BUS_SEG_REV", H272, Valuation_date, ReportType,DataMode, F273,FXMode, $C281)*Scale))</f>
        <v>#NAME?</v>
      </c>
      <c r="G281" s="1575" t="e">
        <f ca="1">IF(D281="","",IFERROR(F281/F292,"n/a"))</f>
        <v>#NAME?</v>
      </c>
      <c r="H281" s="1575" t="e">
        <f t="shared" ca="1" si="17"/>
        <v>#NAME?</v>
      </c>
      <c r="I281" s="1576" t="e">
        <f ca="1">IF(D271="","",IF(D281="","",_xll.ciqfunctions.udf.CIQ(D273,"IQ_BUS_SEG_DESCRIPTION", H272, Valuation_date, , , , , $C281)))</f>
        <v>#NAME?</v>
      </c>
      <c r="J281" s="657"/>
      <c r="K281" s="1509"/>
      <c r="L281" s="2060"/>
      <c r="M281" s="2060"/>
      <c r="N281" s="1508"/>
      <c r="O281" s="2060"/>
    </row>
    <row r="282" spans="1:15">
      <c r="A282" s="1518" t="e">
        <f t="shared" ca="1" si="16"/>
        <v>#NAME?</v>
      </c>
      <c r="B282" s="659"/>
      <c r="C282" s="654">
        <v>6</v>
      </c>
      <c r="D282" s="656" t="e">
        <f ca="1">IF(D271="","",IF(ISNUMBER(_xll.ciqfunctions.udf.CIQ(D273,"IQ_BUS_SEG_NAME", H272, Valuation_date, , , , , $C282)),"",_xll.ciqfunctions.udf.CIQ(D273,"IQ_BUS_SEG_NAME", H272, Valuation_date, , , , , $C282)))</f>
        <v>#NAME?</v>
      </c>
      <c r="E282" s="1514" t="e">
        <f ca="1">IF(D271="","",IF(D282="","",_xll.ciqfunctions.udf.CIQ(D273,"IQ_BUS_SEG_REV", H272-1, Valuation_date, ReportType,DataMode, F273,FXMode, C282)*Scale))</f>
        <v>#NAME?</v>
      </c>
      <c r="F282" s="1514" t="e">
        <f ca="1">IF(D271="","",IF(D282="","",_xll.ciqfunctions.udf.CIQ(D273,"IQ_BUS_SEG_REV", H272, Valuation_date, ReportType,DataMode, F273,FXMode, $C282)*Scale))</f>
        <v>#NAME?</v>
      </c>
      <c r="G282" s="1575" t="e">
        <f ca="1">IF(D282="","",IFERROR(F282/F292,"n/a"))</f>
        <v>#NAME?</v>
      </c>
      <c r="H282" s="1575" t="e">
        <f t="shared" ca="1" si="17"/>
        <v>#NAME?</v>
      </c>
      <c r="I282" s="1576" t="e">
        <f ca="1">IF(D271="","",IF(D282="","",_xll.ciqfunctions.udf.CIQ(D273,"IQ_BUS_SEG_DESCRIPTION", H272, Valuation_date, , , , , $C282)))</f>
        <v>#NAME?</v>
      </c>
      <c r="J282" s="657"/>
      <c r="K282" s="1509"/>
      <c r="L282" s="2060"/>
      <c r="M282" s="2060"/>
      <c r="N282" s="1508"/>
      <c r="O282" s="2060"/>
    </row>
    <row r="283" spans="1:15">
      <c r="A283" s="1518" t="e">
        <f t="shared" ca="1" si="16"/>
        <v>#NAME?</v>
      </c>
      <c r="B283" s="659"/>
      <c r="C283" s="654">
        <v>7</v>
      </c>
      <c r="D283" s="656" t="e">
        <f ca="1">IF(D271="","",IF(ISNUMBER(_xll.ciqfunctions.udf.CIQ(D273,"IQ_BUS_SEG_NAME", H272, Valuation_date, , , , , $C283)),"",_xll.ciqfunctions.udf.CIQ(D273,"IQ_BUS_SEG_NAME", H272, Valuation_date, , , , , $C283)))</f>
        <v>#NAME?</v>
      </c>
      <c r="E283" s="1514" t="e">
        <f ca="1">IF(D271="","",IF(D283="","",_xll.ciqfunctions.udf.CIQ(D273,"IQ_BUS_SEG_REV", H272-1, Valuation_date, ReportType,DataMode, F273,FXMode, C283)*Scale))</f>
        <v>#NAME?</v>
      </c>
      <c r="F283" s="1514" t="e">
        <f ca="1">IF(D271="","",IF(D283="","",_xll.ciqfunctions.udf.CIQ(D273,"IQ_BUS_SEG_REV", H272, Valuation_date, ReportType,DataMode, F273,FXMode, $C283)*Scale))</f>
        <v>#NAME?</v>
      </c>
      <c r="G283" s="1575" t="e">
        <f ca="1">IF(D283="","",IFERROR(F283/F292,"n/a"))</f>
        <v>#NAME?</v>
      </c>
      <c r="H283" s="1575" t="e">
        <f t="shared" ca="1" si="17"/>
        <v>#NAME?</v>
      </c>
      <c r="I283" s="1576" t="e">
        <f ca="1">IF(D271="","",IF(D283="","",_xll.ciqfunctions.udf.CIQ(D273,"IQ_BUS_SEG_DESCRIPTION", H272, Valuation_date, , , , , $C283)))</f>
        <v>#NAME?</v>
      </c>
      <c r="J283" s="655"/>
      <c r="K283" s="1509"/>
      <c r="L283" s="2060"/>
      <c r="M283" s="2060"/>
      <c r="N283" s="1508"/>
      <c r="O283" s="2060"/>
    </row>
    <row r="284" spans="1:15">
      <c r="A284" s="1518" t="e">
        <f t="shared" ca="1" si="16"/>
        <v>#NAME?</v>
      </c>
      <c r="B284" s="659"/>
      <c r="C284" s="654">
        <v>8</v>
      </c>
      <c r="D284" s="656" t="e">
        <f ca="1">IF(D271="","",IF(ISNUMBER(_xll.ciqfunctions.udf.CIQ(D273,"IQ_BUS_SEG_NAME", H272, Valuation_date, , , , , $C284)),"",_xll.ciqfunctions.udf.CIQ(D273,"IQ_BUS_SEG_NAME", H272, Valuation_date, , , , , $C284)))</f>
        <v>#NAME?</v>
      </c>
      <c r="E284" s="1514" t="e">
        <f ca="1">IF(D271="","",IF(D284="","",_xll.ciqfunctions.udf.CIQ(D273,"IQ_BUS_SEG_REV", H272-1, Valuation_date, ReportType,DataMode, F273,FXMode, C284)*Scale))</f>
        <v>#NAME?</v>
      </c>
      <c r="F284" s="1514" t="e">
        <f ca="1">IF(D271="","",IF(D284="","",_xll.ciqfunctions.udf.CIQ(D273,"IQ_BUS_SEG_REV", H272, Valuation_date, ReportType,DataMode, F273,FXMode, $C284)*Scale))</f>
        <v>#NAME?</v>
      </c>
      <c r="G284" s="1575" t="e">
        <f ca="1">IF(D284="","",IFERROR(F284/F292,"n/a"))</f>
        <v>#NAME?</v>
      </c>
      <c r="H284" s="1575" t="e">
        <f t="shared" ca="1" si="17"/>
        <v>#NAME?</v>
      </c>
      <c r="I284" s="1576" t="e">
        <f ca="1">IF(D271="","",IF(D284="","",_xll.ciqfunctions.udf.CIQ(D273,"IQ_BUS_SEG_DESCRIPTION", H272, Valuation_date, , , , , $C284)))</f>
        <v>#NAME?</v>
      </c>
      <c r="J284" s="1574"/>
      <c r="K284" s="1509"/>
      <c r="L284" s="2060"/>
      <c r="M284" s="2060"/>
      <c r="N284" s="1508"/>
      <c r="O284" s="2060"/>
    </row>
    <row r="285" spans="1:15" s="151" customFormat="1">
      <c r="A285" s="1518" t="e">
        <f t="shared" ca="1" si="16"/>
        <v>#NAME?</v>
      </c>
      <c r="B285" s="659"/>
      <c r="C285" s="654">
        <v>9</v>
      </c>
      <c r="D285" s="656" t="e">
        <f ca="1">IF(D271="","",IF(ISNUMBER(_xll.ciqfunctions.udf.CIQ(D273,"IQ_BUS_SEG_NAME", H272, Valuation_date, , , , , $C285)),"",_xll.ciqfunctions.udf.CIQ(D273,"IQ_BUS_SEG_NAME", H272, Valuation_date, , , , , $C285)))</f>
        <v>#NAME?</v>
      </c>
      <c r="E285" s="1514" t="e">
        <f ca="1">IF(D271="","",IF(D285="","",_xll.ciqfunctions.udf.CIQ(D273,"IQ_BUS_SEG_REV", H272-1, Valuation_date, ReportType,DataMode, F273,FXMode, C285)*Scale))</f>
        <v>#NAME?</v>
      </c>
      <c r="F285" s="1514" t="e">
        <f ca="1">IF(D271="","",IF(D285="","",_xll.ciqfunctions.udf.CIQ(D273,"IQ_BUS_SEG_REV", H272, Valuation_date, ReportType,DataMode, F273,FXMode, $C285)*Scale))</f>
        <v>#NAME?</v>
      </c>
      <c r="G285" s="1575" t="e">
        <f ca="1">IF(D285="","",IFERROR(F285/F292,"n/a"))</f>
        <v>#NAME?</v>
      </c>
      <c r="H285" s="1575" t="e">
        <f t="shared" ca="1" si="17"/>
        <v>#NAME?</v>
      </c>
      <c r="I285" s="1576" t="e">
        <f ca="1">IF(D271="","",IF(D285="","",_xll.ciqfunctions.udf.CIQ(D273,"IQ_BUS_SEG_DESCRIPTION", H272, Valuation_date, , , , , $C285)))</f>
        <v>#NAME?</v>
      </c>
      <c r="J285" s="1574"/>
      <c r="K285" s="1509"/>
      <c r="L285" s="2060"/>
      <c r="M285" s="2060"/>
      <c r="O285" s="2060"/>
    </row>
    <row r="286" spans="1:15">
      <c r="A286" s="1518" t="e">
        <f t="shared" ca="1" si="16"/>
        <v>#NAME?</v>
      </c>
      <c r="B286" s="659"/>
      <c r="C286" s="654">
        <v>10</v>
      </c>
      <c r="D286" s="656" t="e">
        <f ca="1">IF(D271="","",IF(ISNUMBER(_xll.ciqfunctions.udf.CIQ(D273,"IQ_BUS_SEG_NAME", H272, Valuation_date, , , , , $C286)),"",_xll.ciqfunctions.udf.CIQ(D273,"IQ_BUS_SEG_NAME", H272, Valuation_date, , , , , $C286)))</f>
        <v>#NAME?</v>
      </c>
      <c r="E286" s="1514" t="e">
        <f ca="1">IF(D271="","",IF(D286="","",_xll.ciqfunctions.udf.CIQ(D273,"IQ_BUS_SEG_REV", H272-1, Valuation_date, ReportType,DataMode, F273,FXMode, C286)*Scale))</f>
        <v>#NAME?</v>
      </c>
      <c r="F286" s="1514" t="e">
        <f ca="1">IF(D271="","",IF(D286="","",_xll.ciqfunctions.udf.CIQ(D273,"IQ_BUS_SEG_REV", H272, Valuation_date, ReportType,DataMode, F273,FXMode, $C286)*Scale))</f>
        <v>#NAME?</v>
      </c>
      <c r="G286" s="1575" t="e">
        <f ca="1">IF(D286="","",IFERROR(F286/F292,"n/a"))</f>
        <v>#NAME?</v>
      </c>
      <c r="H286" s="1575" t="e">
        <f t="shared" ca="1" si="17"/>
        <v>#NAME?</v>
      </c>
      <c r="I286" s="1576" t="e">
        <f ca="1">IF(D271="","",IF(D286="","",_xll.ciqfunctions.udf.CIQ(D273,"IQ_BUS_SEG_DESCRIPTION", H272, Valuation_date, , , , , $C286)))</f>
        <v>#NAME?</v>
      </c>
      <c r="J286" s="393"/>
      <c r="K286" s="1509"/>
      <c r="L286" s="2060"/>
      <c r="M286" s="2060"/>
      <c r="N286" s="1508"/>
      <c r="O286" s="2060"/>
    </row>
    <row r="287" spans="1:15">
      <c r="A287" s="1518" t="e">
        <f t="shared" ca="1" si="16"/>
        <v>#NAME?</v>
      </c>
      <c r="B287" s="659"/>
      <c r="C287" s="654">
        <v>11</v>
      </c>
      <c r="D287" s="656" t="e">
        <f ca="1">IF(D271="","",IF(ISNUMBER(_xll.ciqfunctions.udf.CIQ(D273,"IQ_BUS_SEG_NAME", H272, Valuation_date, , , , , $C287)),"",_xll.ciqfunctions.udf.CIQ(D273,"IQ_BUS_SEG_NAME", H272, Valuation_date, , , , , $C287)))</f>
        <v>#NAME?</v>
      </c>
      <c r="E287" s="1514" t="e">
        <f ca="1">IF(D271="","",IF(D287="","",_xll.ciqfunctions.udf.CIQ(D273,"IQ_BUS_SEG_REV", H272-1, Valuation_date, ReportType,DataMode, F273,FXMode, C287)*Scale))</f>
        <v>#NAME?</v>
      </c>
      <c r="F287" s="1514" t="e">
        <f ca="1">IF(D271="","",IF(D287="","",_xll.ciqfunctions.udf.CIQ(D273,"IQ_BUS_SEG_REV", H272, Valuation_date, ReportType,DataMode, F273,FXMode, $C287)*Scale))</f>
        <v>#NAME?</v>
      </c>
      <c r="G287" s="1575" t="e">
        <f ca="1">IF(D287="","",IFERROR(F287/F292,"n/a"))</f>
        <v>#NAME?</v>
      </c>
      <c r="H287" s="1575" t="e">
        <f t="shared" ca="1" si="17"/>
        <v>#NAME?</v>
      </c>
      <c r="I287" s="1576" t="e">
        <f ca="1">IF(D271="","",IF(D287="","",_xll.ciqfunctions.udf.CIQ(D273,"IQ_BUS_SEG_DESCRIPTION", H272, Valuation_date, , , , , $C287)))</f>
        <v>#NAME?</v>
      </c>
      <c r="J287" s="1574"/>
      <c r="K287" s="1509"/>
      <c r="L287" s="2060"/>
      <c r="M287" s="2060"/>
      <c r="N287" s="1508"/>
      <c r="O287" s="2060"/>
    </row>
    <row r="288" spans="1:15">
      <c r="A288" s="1518" t="e">
        <f t="shared" ca="1" si="16"/>
        <v>#NAME?</v>
      </c>
      <c r="B288" s="659"/>
      <c r="C288" s="654">
        <v>12</v>
      </c>
      <c r="D288" s="656" t="e">
        <f ca="1">IF(D271="","",IF(ISNUMBER(_xll.ciqfunctions.udf.CIQ(D273,"IQ_BUS_SEG_NAME", H272, Valuation_date, , , , , $C288)),"",_xll.ciqfunctions.udf.CIQ(D273,"IQ_BUS_SEG_NAME", H272, Valuation_date, , , , , $C288)))</f>
        <v>#NAME?</v>
      </c>
      <c r="E288" s="1514" t="e">
        <f ca="1">IF(D271="","",IF(D288="","",_xll.ciqfunctions.udf.CIQ(D273,"IQ_BUS_SEG_REV", H272-1, Valuation_date, ReportType,DataMode, F273,FXMode, C288)*Scale))</f>
        <v>#NAME?</v>
      </c>
      <c r="F288" s="1514" t="e">
        <f ca="1">IF(D271="","",IF(D288="","",_xll.ciqfunctions.udf.CIQ(D273,"IQ_BUS_SEG_REV", H272, Valuation_date, ReportType,DataMode, F273,FXMode, $C288)*Scale))</f>
        <v>#NAME?</v>
      </c>
      <c r="G288" s="1575" t="e">
        <f ca="1">IF(D288="","",IFERROR(F288/F292,"n/a"))</f>
        <v>#NAME?</v>
      </c>
      <c r="H288" s="1575" t="e">
        <f t="shared" ca="1" si="17"/>
        <v>#NAME?</v>
      </c>
      <c r="I288" s="1576" t="e">
        <f ca="1">IF(D271="","",IF(D288="","",_xll.ciqfunctions.udf.CIQ(D273,"IQ_BUS_SEG_DESCRIPTION", H272, Valuation_date, , , , , $C288)))</f>
        <v>#NAME?</v>
      </c>
      <c r="J288" s="1574"/>
      <c r="K288" s="1509"/>
      <c r="L288" s="2060"/>
      <c r="M288" s="2060"/>
      <c r="N288" s="1508"/>
      <c r="O288" s="2060"/>
    </row>
    <row r="289" spans="1:26">
      <c r="A289" s="1518" t="e">
        <f t="shared" ca="1" si="16"/>
        <v>#NAME?</v>
      </c>
      <c r="B289" s="659"/>
      <c r="C289" s="654">
        <v>13</v>
      </c>
      <c r="D289" s="656" t="e">
        <f ca="1">IF(D271="","",IF(ISNUMBER(_xll.ciqfunctions.udf.CIQ(D273,"IQ_BUS_SEG_NAME", H272, Valuation_date, , , , , $C289)),"",_xll.ciqfunctions.udf.CIQ(D273,"IQ_BUS_SEG_NAME", H272, Valuation_date, , , , , $C289)))</f>
        <v>#NAME?</v>
      </c>
      <c r="E289" s="1514" t="e">
        <f ca="1">IF(D271="","",IF(D289="","",_xll.ciqfunctions.udf.CIQ(D273,"IQ_BUS_SEG_REV", H272-1, Valuation_date, ReportType,DataMode, F273,FXMode, C289)*Scale))</f>
        <v>#NAME?</v>
      </c>
      <c r="F289" s="1514" t="e">
        <f ca="1">IF(D271="","",IF(D289="","",_xll.ciqfunctions.udf.CIQ(D273,"IQ_BUS_SEG_REV", H272, Valuation_date, ReportType,DataMode, F273,FXMode, $C289)*Scale))</f>
        <v>#NAME?</v>
      </c>
      <c r="G289" s="1575" t="e">
        <f ca="1">IF(D289="","",IFERROR(F289/F292,"n/a"))</f>
        <v>#NAME?</v>
      </c>
      <c r="H289" s="1575" t="e">
        <f t="shared" ca="1" si="17"/>
        <v>#NAME?</v>
      </c>
      <c r="I289" s="1576" t="e">
        <f ca="1">IF(D271="","",IF(D289="","",_xll.ciqfunctions.udf.CIQ(D273,"IQ_BUS_SEG_DESCRIPTION", H272, Valuation_date, , , , , $C289)))</f>
        <v>#NAME?</v>
      </c>
      <c r="J289" s="1574"/>
      <c r="K289" s="1509"/>
      <c r="L289" s="2060"/>
      <c r="M289" s="2060"/>
      <c r="N289" s="1508"/>
      <c r="O289" s="2060"/>
      <c r="P289" s="1508"/>
      <c r="Q289" s="1508"/>
      <c r="R289" s="1508"/>
      <c r="S289" s="1508"/>
      <c r="T289" s="1508"/>
      <c r="U289" s="1508"/>
      <c r="V289" s="1508"/>
      <c r="W289" s="1508"/>
      <c r="X289" s="1508"/>
      <c r="Y289" s="1508"/>
      <c r="Z289" s="1508"/>
    </row>
    <row r="290" spans="1:26">
      <c r="A290" s="1518" t="e">
        <f ca="1">IF(D290="","n","")</f>
        <v>#NAME?</v>
      </c>
      <c r="B290" s="659"/>
      <c r="C290" s="654">
        <v>14</v>
      </c>
      <c r="D290" s="656" t="e">
        <f ca="1">IF(D271="","",IF(ISNUMBER(_xll.ciqfunctions.udf.CIQ(D273,"IQ_BUS_SEG_NAME", H272, Valuation_date, , , , , $C290)),"",_xll.ciqfunctions.udf.CIQ(D273,"IQ_BUS_SEG_NAME", H272, Valuation_date, , , , , $C290)))</f>
        <v>#NAME?</v>
      </c>
      <c r="E290" s="1514" t="e">
        <f ca="1">IF(D271="","",IF(D290="","",_xll.ciqfunctions.udf.CIQ(D273,"IQ_BUS_SEG_REV", H272-1, Valuation_date, ReportType,DataMode, F273,FXMode, C290)*Scale))</f>
        <v>#NAME?</v>
      </c>
      <c r="F290" s="1514" t="e">
        <f ca="1">IF(D271="","",IF(D290="","",_xll.ciqfunctions.udf.CIQ(D273,"IQ_BUS_SEG_REV", H272, Valuation_date, ReportType,DataMode, F273,FXMode, $C290)*Scale))</f>
        <v>#NAME?</v>
      </c>
      <c r="G290" s="1575" t="e">
        <f ca="1">IF(D290="","",IFERROR(F290/F292,"n/a"))</f>
        <v>#NAME?</v>
      </c>
      <c r="H290" s="1575" t="e">
        <f t="shared" ca="1" si="17"/>
        <v>#NAME?</v>
      </c>
      <c r="I290" s="1576" t="e">
        <f ca="1">IF(D271="","",IF(D290="","",_xll.ciqfunctions.udf.CIQ(D273,"IQ_BUS_SEG_DESCRIPTION", H272, Valuation_date, , , , , $C290)))</f>
        <v>#NAME?</v>
      </c>
      <c r="J290" s="1574"/>
      <c r="K290" s="1509"/>
      <c r="L290" s="2060"/>
      <c r="M290" s="2060"/>
      <c r="N290" s="1508"/>
      <c r="O290" s="2060"/>
      <c r="P290" s="1508"/>
      <c r="Q290" s="1508"/>
      <c r="R290" s="1508"/>
      <c r="S290" s="1508"/>
      <c r="T290" s="1508"/>
      <c r="U290" s="1508"/>
      <c r="V290" s="1508"/>
      <c r="W290" s="1508"/>
      <c r="X290" s="1508"/>
      <c r="Y290" s="1508"/>
      <c r="Z290" s="1508"/>
    </row>
    <row r="291" spans="1:26">
      <c r="A291" s="1518" t="e">
        <f ca="1">IF(D291="","n","")</f>
        <v>#NAME?</v>
      </c>
      <c r="B291" s="659"/>
      <c r="C291" s="654">
        <v>15</v>
      </c>
      <c r="D291" s="656" t="e">
        <f ca="1">IF(D271="","",IF(ISNUMBER(_xll.ciqfunctions.udf.CIQ(D273,"IQ_BUS_SEG_NAME", H272, Valuation_date, , , , , $C291)),"",_xll.ciqfunctions.udf.CIQ(D273,"IQ_BUS_SEG_NAME", H272, Valuation_date, , , , , $C291)))</f>
        <v>#NAME?</v>
      </c>
      <c r="E291" s="1514" t="e">
        <f ca="1">IF(D271="","",IF(D291="","",_xll.ciqfunctions.udf.CIQ(D273,"IQ_BUS_SEG_REV", H272-1, Valuation_date, ReportType,DataMode, F273,FXMode, C291)*Scale))</f>
        <v>#NAME?</v>
      </c>
      <c r="F291" s="1514" t="e">
        <f ca="1">IF(D271="","",IF(D291="","",_xll.ciqfunctions.udf.CIQ(D273,"IQ_BUS_SEG_REV", H272, Valuation_date, ReportType,DataMode, F273,FXMode, $C291)*Scale))</f>
        <v>#NAME?</v>
      </c>
      <c r="G291" s="1575" t="e">
        <f ca="1">IF(D291="","",IFERROR(F291/F292,"n/a"))</f>
        <v>#NAME?</v>
      </c>
      <c r="H291" s="1575" t="e">
        <f t="shared" ca="1" si="17"/>
        <v>#NAME?</v>
      </c>
      <c r="I291" s="1576" t="e">
        <f ca="1">IF(D271="","",IF(D291="","",_xll.ciqfunctions.udf.CIQ(D273,"IQ_BUS_SEG_DESCRIPTION", H272, Valuation_date, , , , , $C291)))</f>
        <v>#NAME?</v>
      </c>
      <c r="J291" s="1574"/>
      <c r="K291" s="1509"/>
      <c r="L291" s="2060"/>
      <c r="M291" s="2060"/>
      <c r="N291" s="1508"/>
      <c r="O291" s="2060"/>
      <c r="P291" s="1508"/>
      <c r="Q291" s="1508"/>
      <c r="R291" s="1508"/>
      <c r="S291" s="1508"/>
      <c r="T291" s="1508"/>
      <c r="U291" s="1508"/>
      <c r="V291" s="1508"/>
      <c r="W291" s="1508"/>
      <c r="X291" s="1508"/>
      <c r="Y291" s="1508"/>
      <c r="Z291" s="1508"/>
    </row>
    <row r="292" spans="1:26" ht="14.45" thickBot="1">
      <c r="A292" s="1518"/>
      <c r="B292" s="659"/>
      <c r="C292" s="1572"/>
      <c r="D292" s="658" t="s">
        <v>1248</v>
      </c>
      <c r="E292" s="658" t="e">
        <f ca="1">SUM(E277:E291)</f>
        <v>#NAME?</v>
      </c>
      <c r="F292" s="658" t="e">
        <f ca="1">SUM(F277:F291)</f>
        <v>#NAME?</v>
      </c>
      <c r="G292" s="2257" t="e">
        <f ca="1">SUM(G277:G291)</f>
        <v>#NAME?</v>
      </c>
      <c r="H292" s="2257" t="str">
        <f ca="1">IF(D292="","",IFERROR(F292/E292-1,"n/a"))</f>
        <v>n/a</v>
      </c>
      <c r="I292" s="1571"/>
      <c r="J292" s="1574"/>
      <c r="K292" s="1509"/>
      <c r="L292" s="2060"/>
      <c r="M292" s="2060"/>
      <c r="N292" s="1508"/>
      <c r="O292" s="2060"/>
      <c r="P292" s="1508"/>
      <c r="Q292" s="1508"/>
      <c r="R292" s="1508"/>
      <c r="S292" s="1508"/>
      <c r="T292" s="1508"/>
      <c r="U292" s="1508"/>
      <c r="V292" s="1508"/>
      <c r="W292" s="1508"/>
      <c r="X292" s="1508"/>
      <c r="Y292" s="1508"/>
      <c r="Z292" s="1508"/>
    </row>
    <row r="293" spans="1:26">
      <c r="A293" s="1518"/>
      <c r="B293" s="659"/>
      <c r="C293" s="1572"/>
      <c r="D293" s="1514"/>
      <c r="E293" s="1514"/>
      <c r="F293" s="1575"/>
      <c r="G293" s="1514"/>
      <c r="H293" s="1575"/>
      <c r="I293" s="1571"/>
      <c r="J293" s="1574"/>
      <c r="K293" s="1509"/>
      <c r="L293" s="2060"/>
      <c r="M293" s="2060"/>
      <c r="N293" s="1508"/>
      <c r="O293" s="2060"/>
      <c r="P293" s="1508"/>
      <c r="Q293" s="1508"/>
      <c r="R293" s="1508"/>
      <c r="S293" s="1508"/>
      <c r="T293" s="1508"/>
      <c r="U293" s="1508"/>
      <c r="V293" s="1508"/>
      <c r="W293" s="1508"/>
      <c r="X293" s="1508"/>
      <c r="Y293" s="1508"/>
      <c r="Z293" s="1508"/>
    </row>
    <row r="294" spans="1:26" s="1508" customFormat="1">
      <c r="A294" s="1518"/>
      <c r="B294" s="1518"/>
      <c r="C294" s="1572"/>
      <c r="D294" s="1514" t="s">
        <v>1707</v>
      </c>
      <c r="E294" s="1579"/>
      <c r="F294" s="1575"/>
      <c r="G294" s="1514"/>
      <c r="H294" s="1575"/>
      <c r="I294" s="1571"/>
      <c r="J294" s="1574"/>
      <c r="K294" s="1509"/>
      <c r="L294" s="2060"/>
      <c r="M294" s="2060"/>
      <c r="O294" s="2060"/>
    </row>
    <row r="295" spans="1:26">
      <c r="A295" s="1518"/>
      <c r="B295" s="659"/>
      <c r="C295" s="1572"/>
      <c r="D295" s="1514" t="s">
        <v>1402</v>
      </c>
      <c r="E295" s="1514"/>
      <c r="F295" s="1575"/>
      <c r="G295" s="1514"/>
      <c r="H295" s="1575"/>
      <c r="I295" s="1571"/>
      <c r="J295" s="1574"/>
      <c r="K295" s="1509"/>
      <c r="L295" s="2060"/>
      <c r="M295" s="2060"/>
      <c r="N295" s="1508"/>
      <c r="O295" s="2060"/>
      <c r="P295" s="1508"/>
      <c r="Q295" s="1508"/>
      <c r="R295" s="1508"/>
      <c r="S295" s="1508"/>
      <c r="T295" s="1508"/>
      <c r="U295" s="1508"/>
      <c r="V295" s="1508"/>
      <c r="W295" s="1508"/>
      <c r="X295" s="1508"/>
      <c r="Y295" s="1508"/>
      <c r="Z295" s="1508"/>
    </row>
    <row r="296" spans="1:26">
      <c r="A296" s="1518"/>
      <c r="B296" s="659"/>
      <c r="C296" s="1572"/>
      <c r="D296" s="1538"/>
      <c r="E296" s="1538"/>
      <c r="F296" s="1538"/>
      <c r="G296" s="1538"/>
      <c r="H296" s="1538"/>
      <c r="I296" s="1571"/>
      <c r="J296" s="1538"/>
      <c r="K296" s="1509"/>
      <c r="L296" s="2060"/>
      <c r="M296" s="2060"/>
      <c r="N296" s="2060"/>
      <c r="O296" s="2060"/>
      <c r="P296" s="2060"/>
      <c r="Q296" s="2060"/>
      <c r="R296" s="2060"/>
      <c r="S296" s="2060"/>
      <c r="T296" s="1508"/>
      <c r="U296" s="1508"/>
      <c r="V296" s="1508"/>
      <c r="W296" s="1508"/>
      <c r="X296" s="1508"/>
      <c r="Y296" s="1508"/>
      <c r="Z296" s="1508"/>
    </row>
    <row r="297" spans="1:26" s="178" customFormat="1" ht="13.5" customHeight="1">
      <c r="A297" s="1510"/>
      <c r="B297" s="1552"/>
      <c r="C297" s="387"/>
      <c r="D297" s="1513" t="str">
        <f ca="1">FootnoteDRAFT</f>
        <v>Run date: 05-August-2018  02:34 PM.   DRAFT document. All data subject to change upon completion of additional analysis.</v>
      </c>
      <c r="E297" s="1513"/>
      <c r="F297" s="373"/>
      <c r="G297" s="1513"/>
      <c r="H297" s="1513"/>
      <c r="I297" s="1562"/>
      <c r="J297" s="1512"/>
      <c r="K297" s="1509"/>
      <c r="L297" s="2060"/>
      <c r="M297" s="2060"/>
      <c r="N297" s="2060"/>
      <c r="O297" s="2060"/>
      <c r="P297" s="2060"/>
      <c r="Q297" s="2060"/>
      <c r="R297" s="2060"/>
      <c r="S297" s="2060"/>
      <c r="T297" s="2060"/>
      <c r="U297" s="2060"/>
      <c r="V297" s="2060"/>
      <c r="W297" s="2060"/>
      <c r="X297" s="2060"/>
      <c r="Y297" s="2060"/>
      <c r="Z297" s="2060"/>
    </row>
    <row r="298" spans="1:26" s="178" customFormat="1">
      <c r="A298" s="1510" t="s">
        <v>17</v>
      </c>
      <c r="B298" s="1510"/>
      <c r="C298" s="1510"/>
      <c r="D298" s="1510"/>
      <c r="E298" s="683"/>
      <c r="F298" s="1510"/>
      <c r="G298" s="1510"/>
      <c r="H298" s="1510"/>
      <c r="I298" s="1547"/>
      <c r="J298" s="1546" t="str">
        <f ca="1">IF(D306="","Page end","Continue")</f>
        <v>Continue</v>
      </c>
      <c r="K298" s="1510"/>
      <c r="L298" s="2060"/>
      <c r="M298" s="2060"/>
      <c r="N298" s="2060"/>
      <c r="O298" s="2060"/>
      <c r="P298" s="2060"/>
      <c r="Q298" s="2060"/>
      <c r="R298" s="2060"/>
      <c r="S298" s="2060"/>
      <c r="T298" s="2060"/>
      <c r="U298" s="2060"/>
      <c r="V298" s="2060"/>
      <c r="W298" s="2060"/>
      <c r="X298" s="2060"/>
      <c r="Y298" s="2060"/>
      <c r="Z298" s="2060"/>
    </row>
    <row r="299" spans="1:26" ht="18" customHeight="1">
      <c r="A299" s="1518"/>
      <c r="B299" s="1518"/>
      <c r="C299" s="292" t="str">
        <f ca="1">D304</f>
        <v>n/a</v>
      </c>
      <c r="D299" s="172"/>
      <c r="E299" s="674"/>
      <c r="F299" s="172"/>
      <c r="G299" s="172"/>
      <c r="H299" s="172"/>
      <c r="I299" s="1522"/>
      <c r="J299" s="389" t="str">
        <f>$J$1&amp;"."&amp;C304&amp;""</f>
        <v>Workpaper 6.9</v>
      </c>
      <c r="K299" s="1509"/>
      <c r="L299" s="1508"/>
      <c r="M299" s="1508"/>
      <c r="N299" s="1508"/>
      <c r="O299" s="2060"/>
      <c r="P299" s="1508"/>
      <c r="Q299" s="1508"/>
      <c r="R299" s="1508"/>
      <c r="S299" s="1508"/>
      <c r="T299" s="1508"/>
      <c r="U299" s="1508"/>
      <c r="V299" s="1508"/>
      <c r="W299" s="1508"/>
      <c r="X299" s="1508"/>
      <c r="Y299" s="1508"/>
      <c r="Z299" s="1508"/>
    </row>
    <row r="300" spans="1:26" ht="18" customHeight="1">
      <c r="A300" s="1518"/>
      <c r="B300" s="1518"/>
      <c r="C300" s="839" t="s">
        <v>1699</v>
      </c>
      <c r="D300" s="172"/>
      <c r="E300" s="172"/>
      <c r="F300" s="172"/>
      <c r="G300" s="172"/>
      <c r="H300" s="172"/>
      <c r="I300" s="1522"/>
      <c r="J300" s="187"/>
      <c r="K300" s="1509"/>
      <c r="L300" s="1508"/>
      <c r="M300" s="1508"/>
      <c r="N300" s="1508"/>
      <c r="O300" s="2060"/>
      <c r="P300" s="1508"/>
      <c r="Q300" s="1508"/>
      <c r="R300" s="1508"/>
      <c r="S300" s="1508"/>
      <c r="T300" s="1508"/>
      <c r="U300" s="1508"/>
      <c r="V300" s="1508"/>
      <c r="W300" s="1508"/>
      <c r="X300" s="1508"/>
      <c r="Y300" s="1508"/>
      <c r="Z300" s="1508"/>
    </row>
    <row r="301" spans="1:26" ht="18" customHeight="1">
      <c r="A301" s="1518"/>
      <c r="B301" s="1518"/>
      <c r="C301" s="366" t="str">
        <f ca="1">"(" &amp;F306&amp;" in "&amp;ScaleInput&amp;")"</f>
        <v>(USD in Millions)</v>
      </c>
      <c r="D301" s="1508"/>
      <c r="E301" s="170"/>
      <c r="F301" s="170"/>
      <c r="G301" s="170"/>
      <c r="H301" s="170"/>
      <c r="I301" s="1521"/>
      <c r="J301" s="1508"/>
      <c r="K301" s="1509"/>
      <c r="L301" s="1508"/>
      <c r="M301" s="1508"/>
      <c r="N301" s="1508"/>
      <c r="O301" s="2060"/>
      <c r="P301" s="1508"/>
      <c r="Q301" s="1508"/>
      <c r="R301" s="1508"/>
      <c r="S301" s="1508"/>
      <c r="T301" s="1508"/>
      <c r="U301" s="1508"/>
      <c r="V301" s="1508"/>
      <c r="W301" s="1508"/>
      <c r="X301" s="1508"/>
      <c r="Y301" s="1508"/>
      <c r="Z301" s="1508"/>
    </row>
    <row r="302" spans="1:26" ht="18" customHeight="1">
      <c r="A302" s="1518"/>
      <c r="B302" s="1518"/>
      <c r="C302" s="366"/>
      <c r="D302" s="1508"/>
      <c r="E302" s="172"/>
      <c r="F302" s="172"/>
      <c r="G302" s="172"/>
      <c r="H302" s="172"/>
      <c r="I302" s="1522"/>
      <c r="J302" s="1508"/>
      <c r="K302" s="1509"/>
      <c r="L302" s="1508"/>
      <c r="M302" s="1508"/>
      <c r="N302" s="1508"/>
      <c r="O302" s="2060"/>
      <c r="P302" s="1508"/>
      <c r="Q302" s="1508"/>
      <c r="R302" s="1508"/>
      <c r="S302" s="1508"/>
      <c r="T302" s="1508"/>
      <c r="U302" s="1508"/>
      <c r="V302" s="1508"/>
      <c r="W302" s="1508"/>
      <c r="X302" s="1508"/>
      <c r="Y302" s="1508"/>
      <c r="Z302" s="1508"/>
    </row>
    <row r="303" spans="1:26">
      <c r="A303" s="1518"/>
      <c r="B303" s="1518"/>
      <c r="C303" s="1511"/>
      <c r="D303" s="1508"/>
      <c r="E303" s="172"/>
      <c r="F303" s="172"/>
      <c r="G303" s="172"/>
      <c r="H303" s="172"/>
      <c r="I303" s="1522"/>
      <c r="J303" s="1508"/>
      <c r="K303" s="1509"/>
      <c r="L303" s="1508"/>
      <c r="M303" s="1508"/>
      <c r="N303" s="1508"/>
      <c r="O303" s="2060"/>
      <c r="P303" s="1508"/>
      <c r="Q303" s="1508"/>
      <c r="R303" s="1508"/>
      <c r="S303" s="1508"/>
      <c r="T303" s="1508"/>
      <c r="U303" s="1508"/>
      <c r="V303" s="1508"/>
      <c r="W303" s="1508"/>
      <c r="X303" s="1508"/>
      <c r="Y303" s="1508"/>
      <c r="Z303" s="1508"/>
    </row>
    <row r="304" spans="1:26">
      <c r="A304" s="1518"/>
      <c r="B304" s="1518"/>
      <c r="C304" s="653">
        <v>9</v>
      </c>
      <c r="D304" s="179" t="str">
        <f ca="1">IF(D306=0,"n/a",IFERROR(_xll.ciqfunctions.udf.CIQ(D306,"IQ_COMPANY_NAME"),"n/a"))</f>
        <v>n/a</v>
      </c>
      <c r="E304" s="1538"/>
      <c r="F304" s="1538"/>
      <c r="G304" s="1538"/>
      <c r="H304" s="1538"/>
      <c r="I304" s="1571"/>
      <c r="J304" s="1538"/>
      <c r="K304" s="1509"/>
      <c r="L304" s="1508"/>
      <c r="M304" s="2060"/>
      <c r="N304" s="1508"/>
      <c r="O304" s="2060"/>
      <c r="P304" s="1508"/>
      <c r="Q304" s="1508"/>
      <c r="R304" s="1508"/>
      <c r="S304" s="1508"/>
      <c r="T304" s="1508"/>
      <c r="U304" s="1508"/>
      <c r="V304" s="1508"/>
      <c r="W304" s="1508"/>
      <c r="X304" s="1508"/>
      <c r="Y304" s="1508"/>
      <c r="Z304" s="1508"/>
    </row>
    <row r="305" spans="1:15">
      <c r="A305" s="1518"/>
      <c r="B305" s="1518"/>
      <c r="C305" s="1572"/>
      <c r="D305" s="2258" t="s">
        <v>134</v>
      </c>
      <c r="E305" s="2246" t="s">
        <v>1708</v>
      </c>
      <c r="F305" s="2247" t="s">
        <v>167</v>
      </c>
      <c r="G305" s="2247" t="s">
        <v>1700</v>
      </c>
      <c r="H305" s="2248">
        <f>INDEX($W$9:$W$14,MATCH(H306,PeriodList,0))</f>
        <v>2000</v>
      </c>
      <c r="I305" s="1571"/>
      <c r="J305" s="217"/>
      <c r="K305" s="1509"/>
      <c r="L305" s="1508"/>
      <c r="M305" s="2060"/>
      <c r="N305" s="1508"/>
      <c r="O305" s="2060"/>
    </row>
    <row r="306" spans="1:15" s="185" customFormat="1">
      <c r="A306" s="1518"/>
      <c r="B306" s="1518"/>
      <c r="C306" s="654"/>
      <c r="D306" s="2249">
        <f ca="1">OFFSET(GCIdentifierTop,C304,0)</f>
        <v>0</v>
      </c>
      <c r="E306" s="2250" t="str">
        <f ca="1">IF($D306="","",IFERROR(_xll.ciqfunctions.udf.CIQ($D306,"IQ_PERIODDATE",H305,Valuation_date),"n/a"))</f>
        <v>n/a</v>
      </c>
      <c r="F306" s="2251" t="str">
        <f ca="1">IFERROR(IF(C304=0,SubjOutputCurrencyCode,IF(D306="","",IF(OutputCurrency="Filing",_xll.ciqfunctions.udf.CIQ($D306,"IQ_FILING_CURRENCY",500,Valuation_date,ReportType,DataMode),OutputCurrency))),OutputCurrency)</f>
        <v>USD</v>
      </c>
      <c r="G306" s="2252" t="e">
        <f ca="1">IF(D304="","",_xll.ciqfunctions.udf.CIQ(D306,"IQ_TOTAL_REV", H305, Valuation_date,ReportType,DataMode,F306,FXMode))</f>
        <v>#NAME?</v>
      </c>
      <c r="H306" s="2260" t="str">
        <f>$H$9</f>
        <v>LTM/LFQ</v>
      </c>
      <c r="I306" s="1573"/>
      <c r="J306" s="392"/>
      <c r="K306" s="1509"/>
      <c r="M306" s="2060"/>
      <c r="O306" s="2060"/>
    </row>
    <row r="307" spans="1:15">
      <c r="A307" s="1518"/>
      <c r="B307" s="1518"/>
      <c r="C307" s="654"/>
      <c r="D307" s="1538"/>
      <c r="E307" s="1538"/>
      <c r="F307" s="1538"/>
      <c r="G307" s="1538"/>
      <c r="H307" s="1538"/>
      <c r="I307" s="1571"/>
      <c r="J307" s="655"/>
      <c r="K307" s="1509"/>
      <c r="L307" s="1508"/>
      <c r="M307" s="2060"/>
      <c r="N307" s="1508"/>
      <c r="O307" s="2060"/>
    </row>
    <row r="308" spans="1:15">
      <c r="A308" s="1518"/>
      <c r="B308" s="1518"/>
      <c r="C308" s="654"/>
      <c r="D308" s="741"/>
      <c r="E308" s="744" t="e">
        <f ca="1">IF(D306="",Valuation_date,_xll.ciqfunctions.udf.CIQ(D306,"IQ_PERIODDATE",H305-IF(LEFT(H306,3)="LFY",1,4),Valuation_date))</f>
        <v>#NAME?</v>
      </c>
      <c r="F308" s="742" t="e">
        <f ca="1">IF(D306="",Valuation_date,_xll.ciqfunctions.udf.CIQ(D306,"IQ_PERIODDATE",H305,Valuation_date))</f>
        <v>#NAME?</v>
      </c>
      <c r="G308" s="741"/>
      <c r="H308" s="743" t="s">
        <v>1702</v>
      </c>
      <c r="I308" s="1587"/>
      <c r="J308" s="655"/>
      <c r="K308" s="1509"/>
      <c r="L308" s="1508"/>
      <c r="M308" s="2060"/>
      <c r="N308" s="1508"/>
      <c r="O308" s="2060"/>
    </row>
    <row r="309" spans="1:15" s="151" customFormat="1">
      <c r="A309" s="1518"/>
      <c r="B309" s="1518"/>
      <c r="C309" s="654"/>
      <c r="D309" s="2254" t="s">
        <v>1703</v>
      </c>
      <c r="E309" s="2255" t="s">
        <v>1458</v>
      </c>
      <c r="F309" s="2255" t="s">
        <v>1458</v>
      </c>
      <c r="G309" s="2255" t="s">
        <v>1704</v>
      </c>
      <c r="H309" s="2255" t="s">
        <v>1705</v>
      </c>
      <c r="I309" s="2256" t="s">
        <v>1706</v>
      </c>
      <c r="J309" s="1574"/>
      <c r="K309" s="1509"/>
      <c r="L309" s="2060"/>
      <c r="M309" s="2060"/>
      <c r="O309" s="2060"/>
    </row>
    <row r="310" spans="1:15">
      <c r="A310" s="1518" t="e">
        <f t="shared" ref="A310:A322" ca="1" si="18">IF(D310="","n","")</f>
        <v>#NAME?</v>
      </c>
      <c r="B310" s="1518"/>
      <c r="C310" s="654">
        <v>1</v>
      </c>
      <c r="D310" s="656" t="e">
        <f ca="1">IF(D304="","",IF(ISNUMBER(_xll.ciqfunctions.udf.CIQ(D306,"IQ_BUS_SEG_NAME", H305, Valuation_date, , , , , $C310)),"",_xll.ciqfunctions.udf.CIQ(D306,"IQ_BUS_SEG_NAME", H305, Valuation_date, , , , , $C310)))</f>
        <v>#NAME?</v>
      </c>
      <c r="E310" s="1514" t="e">
        <f ca="1">IF(D304="","",IF(D310="","",_xll.ciqfunctions.udf.CIQ(D306,"IQ_BUS_SEG_REV", H305-1, Valuation_date, ReportType,DataMode, F306,FXMode, C310)*Scale))</f>
        <v>#NAME?</v>
      </c>
      <c r="F310" s="1514" t="e">
        <f ca="1">IF(D304="","",IF(D310="","",_xll.ciqfunctions.udf.CIQ(D306,"IQ_BUS_SEG_REV", H305, Valuation_date, ReportType,DataMode, F306,FXMode, $C310)*Scale))</f>
        <v>#NAME?</v>
      </c>
      <c r="G310" s="1575" t="e">
        <f ca="1">IF(D310="","",IFERROR(F310/F325,"n/a"))</f>
        <v>#NAME?</v>
      </c>
      <c r="H310" s="1575" t="e">
        <f ca="1">IF(D310="","",IFERROR(F310/E310-1,"n/a"))</f>
        <v>#NAME?</v>
      </c>
      <c r="I310" s="1576" t="e">
        <f ca="1">IF(D304="","",IF(D310="","",_xll.ciqfunctions.udf.CIQ(D306,"IQ_BUS_SEG_DESCRIPTION", H305, Valuation_date, , , , , $C310)))</f>
        <v>#NAME?</v>
      </c>
      <c r="J310" s="393"/>
      <c r="K310" s="1509"/>
      <c r="L310" s="2060"/>
      <c r="M310" s="2060"/>
      <c r="N310" s="1508"/>
      <c r="O310" s="2060"/>
    </row>
    <row r="311" spans="1:15">
      <c r="A311" s="1518" t="e">
        <f t="shared" ca="1" si="18"/>
        <v>#NAME?</v>
      </c>
      <c r="B311" s="1518"/>
      <c r="C311" s="654">
        <v>2</v>
      </c>
      <c r="D311" s="656" t="e">
        <f ca="1">IF(D304="","",IF(ISNUMBER(_xll.ciqfunctions.udf.CIQ(D306,"IQ_BUS_SEG_NAME", H305, Valuation_date, , , , , $C311)),"",_xll.ciqfunctions.udf.CIQ(D306,"IQ_BUS_SEG_NAME", H305, Valuation_date, , , , , $C311)))</f>
        <v>#NAME?</v>
      </c>
      <c r="E311" s="1514" t="e">
        <f ca="1">IF(D304="","",IF(D311="","",_xll.ciqfunctions.udf.CIQ(D306,"IQ_BUS_SEG_REV", H305-1, Valuation_date, ReportType,DataMode, F306,FXMode, C311)*Scale))</f>
        <v>#NAME?</v>
      </c>
      <c r="F311" s="1514" t="e">
        <f ca="1">IF(D304="","",IF(D311="","",_xll.ciqfunctions.udf.CIQ(D306,"IQ_BUS_SEG_REV", H305, Valuation_date, ReportType,DataMode, F306,FXMode, $C311)*Scale))</f>
        <v>#NAME?</v>
      </c>
      <c r="G311" s="1575" t="e">
        <f ca="1">IF(D311="","",IFERROR(F311/F325,"n/a"))</f>
        <v>#NAME?</v>
      </c>
      <c r="H311" s="1575" t="e">
        <f t="shared" ref="H311:H324" ca="1" si="19">IF(D311="","",IFERROR(F311/E311-1,"n/a"))</f>
        <v>#NAME?</v>
      </c>
      <c r="I311" s="1576" t="e">
        <f ca="1">IF(D304="","",IF(D311="","",_xll.ciqfunctions.udf.CIQ(D306,"IQ_BUS_SEG_DESCRIPTION", H305, Valuation_date, , , , , $C311)))</f>
        <v>#NAME?</v>
      </c>
      <c r="J311" s="393"/>
      <c r="K311" s="1509"/>
      <c r="L311" s="2060"/>
      <c r="M311" s="2060"/>
      <c r="N311" s="1508"/>
      <c r="O311" s="2060"/>
    </row>
    <row r="312" spans="1:15">
      <c r="A312" s="1518" t="e">
        <f t="shared" ca="1" si="18"/>
        <v>#NAME?</v>
      </c>
      <c r="B312" s="1518"/>
      <c r="C312" s="654">
        <v>3</v>
      </c>
      <c r="D312" s="656" t="e">
        <f ca="1">IF(D304="","",IF(ISNUMBER(_xll.ciqfunctions.udf.CIQ(D306,"IQ_BUS_SEG_NAME", H305, Valuation_date, , , , , $C312)),"",_xll.ciqfunctions.udf.CIQ(D306,"IQ_BUS_SEG_NAME", H305, Valuation_date, , , , , $C312)))</f>
        <v>#NAME?</v>
      </c>
      <c r="E312" s="1514" t="e">
        <f ca="1">IF(D304="","",IF(D312="","",_xll.ciqfunctions.udf.CIQ(D306,"IQ_BUS_SEG_REV", H305-1, Valuation_date, ReportType,DataMode, F306,FXMode, C312)*Scale))</f>
        <v>#NAME?</v>
      </c>
      <c r="F312" s="1514" t="e">
        <f ca="1">IF(D304="","",IF(D312="","",_xll.ciqfunctions.udf.CIQ(D306,"IQ_BUS_SEG_REV", H305, Valuation_date, ReportType,DataMode, F306,FXMode, $C312)*Scale))</f>
        <v>#NAME?</v>
      </c>
      <c r="G312" s="1575" t="e">
        <f ca="1">IF(D312="","",IFERROR(F312/F325,"n/a"))</f>
        <v>#NAME?</v>
      </c>
      <c r="H312" s="1575" t="e">
        <f t="shared" ca="1" si="19"/>
        <v>#NAME?</v>
      </c>
      <c r="I312" s="1576" t="e">
        <f ca="1">IF(D304="","",IF(D312="","",_xll.ciqfunctions.udf.CIQ(D306,"IQ_BUS_SEG_DESCRIPTION", H305, Valuation_date, , , , , $C312)))</f>
        <v>#NAME?</v>
      </c>
      <c r="J312" s="393"/>
      <c r="K312" s="1509"/>
      <c r="L312" s="2060"/>
      <c r="M312" s="2060"/>
      <c r="N312" s="1508"/>
      <c r="O312" s="2060"/>
    </row>
    <row r="313" spans="1:15">
      <c r="A313" s="1518" t="e">
        <f t="shared" ca="1" si="18"/>
        <v>#NAME?</v>
      </c>
      <c r="B313" s="1518"/>
      <c r="C313" s="654">
        <v>4</v>
      </c>
      <c r="D313" s="656" t="e">
        <f ca="1">IF(D304="","",IF(ISNUMBER(_xll.ciqfunctions.udf.CIQ(D306,"IQ_BUS_SEG_NAME", H305, Valuation_date, , , , , $C313)),"",_xll.ciqfunctions.udf.CIQ(D306,"IQ_BUS_SEG_NAME", H305, Valuation_date, , , , , $C313)))</f>
        <v>#NAME?</v>
      </c>
      <c r="E313" s="1514" t="e">
        <f ca="1">IF(D304="","",IF(D313="","",_xll.ciqfunctions.udf.CIQ(D306,"IQ_BUS_SEG_REV", H305-1, Valuation_date, ReportType,DataMode, F306,FXMode, C313)*Scale))</f>
        <v>#NAME?</v>
      </c>
      <c r="F313" s="1514" t="e">
        <f ca="1">IF(D304="","",IF(D313="","",_xll.ciqfunctions.udf.CIQ(D306,"IQ_BUS_SEG_REV", H305, Valuation_date, ReportType,DataMode, F306,FXMode, $C313)*Scale))</f>
        <v>#NAME?</v>
      </c>
      <c r="G313" s="1575" t="e">
        <f ca="1">IF(D313="","",IFERROR(F313/F325,"n/a"))</f>
        <v>#NAME?</v>
      </c>
      <c r="H313" s="1575" t="e">
        <f t="shared" ca="1" si="19"/>
        <v>#NAME?</v>
      </c>
      <c r="I313" s="1576" t="e">
        <f ca="1">IF(D304="","",IF(D313="","",_xll.ciqfunctions.udf.CIQ(D306,"IQ_BUS_SEG_DESCRIPTION", H305, Valuation_date, , , , , $C313)))</f>
        <v>#NAME?</v>
      </c>
      <c r="J313" s="393"/>
      <c r="K313" s="1509"/>
      <c r="L313" s="2060"/>
      <c r="M313" s="2060"/>
      <c r="N313" s="1508"/>
      <c r="O313" s="2060"/>
    </row>
    <row r="314" spans="1:15">
      <c r="A314" s="1518" t="e">
        <f t="shared" ca="1" si="18"/>
        <v>#NAME?</v>
      </c>
      <c r="B314" s="1518"/>
      <c r="C314" s="654">
        <v>5</v>
      </c>
      <c r="D314" s="656" t="e">
        <f ca="1">IF(D304="","",IF(ISNUMBER(_xll.ciqfunctions.udf.CIQ(D306,"IQ_BUS_SEG_NAME", H305, Valuation_date, , , , , $C314)),"",_xll.ciqfunctions.udf.CIQ(D306,"IQ_BUS_SEG_NAME", H305, Valuation_date, , , , , $C314)))</f>
        <v>#NAME?</v>
      </c>
      <c r="E314" s="1514" t="e">
        <f ca="1">IF(D304="","",IF(D314="","",_xll.ciqfunctions.udf.CIQ(D306,"IQ_BUS_SEG_REV", H305-1, Valuation_date, ReportType,DataMode, F306,FXMode, C314)*Scale))</f>
        <v>#NAME?</v>
      </c>
      <c r="F314" s="1514" t="e">
        <f ca="1">IF(D304="","",IF(D314="","",_xll.ciqfunctions.udf.CIQ(D306,"IQ_BUS_SEG_REV", H305, Valuation_date, ReportType,DataMode, F306,FXMode, $C314)*Scale))</f>
        <v>#NAME?</v>
      </c>
      <c r="G314" s="1575" t="e">
        <f ca="1">IF(D314="","",IFERROR(F314/F325,"n/a"))</f>
        <v>#NAME?</v>
      </c>
      <c r="H314" s="1575" t="e">
        <f t="shared" ca="1" si="19"/>
        <v>#NAME?</v>
      </c>
      <c r="I314" s="1576" t="e">
        <f ca="1">IF(D304="","",IF(D314="","",_xll.ciqfunctions.udf.CIQ(D306,"IQ_BUS_SEG_DESCRIPTION", H305, Valuation_date, , , , , $C314)))</f>
        <v>#NAME?</v>
      </c>
      <c r="J314" s="657"/>
      <c r="K314" s="1509"/>
      <c r="L314" s="2060"/>
      <c r="M314" s="2060"/>
      <c r="N314" s="1508"/>
      <c r="O314" s="2060"/>
    </row>
    <row r="315" spans="1:15">
      <c r="A315" s="1518" t="e">
        <f t="shared" ca="1" si="18"/>
        <v>#NAME?</v>
      </c>
      <c r="B315" s="1518"/>
      <c r="C315" s="654">
        <v>6</v>
      </c>
      <c r="D315" s="656" t="e">
        <f ca="1">IF(D304="","",IF(ISNUMBER(_xll.ciqfunctions.udf.CIQ(D306,"IQ_BUS_SEG_NAME", H305, Valuation_date, , , , , $C315)),"",_xll.ciqfunctions.udf.CIQ(D306,"IQ_BUS_SEG_NAME", H305, Valuation_date, , , , , $C315)))</f>
        <v>#NAME?</v>
      </c>
      <c r="E315" s="1514" t="e">
        <f ca="1">IF(D304="","",IF(D315="","",_xll.ciqfunctions.udf.CIQ(D306,"IQ_BUS_SEG_REV", H305-1, Valuation_date, ReportType,DataMode, F306,FXMode, C315)*Scale))</f>
        <v>#NAME?</v>
      </c>
      <c r="F315" s="1514" t="e">
        <f ca="1">IF(D304="","",IF(D315="","",_xll.ciqfunctions.udf.CIQ(D306,"IQ_BUS_SEG_REV", H305, Valuation_date, ReportType,DataMode, F306,FXMode, $C315)*Scale))</f>
        <v>#NAME?</v>
      </c>
      <c r="G315" s="1575" t="e">
        <f ca="1">IF(D315="","",IFERROR(F315/F325,"n/a"))</f>
        <v>#NAME?</v>
      </c>
      <c r="H315" s="1575" t="e">
        <f t="shared" ca="1" si="19"/>
        <v>#NAME?</v>
      </c>
      <c r="I315" s="1576" t="e">
        <f ca="1">IF(D304="","",IF(D315="","",_xll.ciqfunctions.udf.CIQ(D306,"IQ_BUS_SEG_DESCRIPTION", H305, Valuation_date, , , , , $C315)))</f>
        <v>#NAME?</v>
      </c>
      <c r="J315" s="657"/>
      <c r="K315" s="1509"/>
      <c r="L315" s="2060"/>
      <c r="M315" s="2060"/>
      <c r="N315" s="1508"/>
      <c r="O315" s="2060"/>
    </row>
    <row r="316" spans="1:15">
      <c r="A316" s="1518" t="e">
        <f t="shared" ca="1" si="18"/>
        <v>#NAME?</v>
      </c>
      <c r="B316" s="1518"/>
      <c r="C316" s="654">
        <v>7</v>
      </c>
      <c r="D316" s="656" t="e">
        <f ca="1">IF(D304="","",IF(ISNUMBER(_xll.ciqfunctions.udf.CIQ(D306,"IQ_BUS_SEG_NAME", H305, Valuation_date, , , , , $C316)),"",_xll.ciqfunctions.udf.CIQ(D306,"IQ_BUS_SEG_NAME", H305, Valuation_date, , , , , $C316)))</f>
        <v>#NAME?</v>
      </c>
      <c r="E316" s="1514" t="e">
        <f ca="1">IF(D304="","",IF(D316="","",_xll.ciqfunctions.udf.CIQ(D306,"IQ_BUS_SEG_REV", H305-1, Valuation_date, ReportType,DataMode, F306,FXMode, C316)*Scale))</f>
        <v>#NAME?</v>
      </c>
      <c r="F316" s="1514" t="e">
        <f ca="1">IF(D304="","",IF(D316="","",_xll.ciqfunctions.udf.CIQ(D306,"IQ_BUS_SEG_REV", H305, Valuation_date, ReportType,DataMode, F306,FXMode, $C316)*Scale))</f>
        <v>#NAME?</v>
      </c>
      <c r="G316" s="1575" t="e">
        <f ca="1">IF(D316="","",IFERROR(F316/F325,"n/a"))</f>
        <v>#NAME?</v>
      </c>
      <c r="H316" s="1575" t="e">
        <f t="shared" ca="1" si="19"/>
        <v>#NAME?</v>
      </c>
      <c r="I316" s="1576" t="e">
        <f ca="1">IF(D304="","",IF(D316="","",_xll.ciqfunctions.udf.CIQ(D306,"IQ_BUS_SEG_DESCRIPTION", H305, Valuation_date, , , , , $C316)))</f>
        <v>#NAME?</v>
      </c>
      <c r="J316" s="655"/>
      <c r="K316" s="1509"/>
      <c r="L316" s="2060"/>
      <c r="M316" s="2060"/>
      <c r="N316" s="1508"/>
      <c r="O316" s="2060"/>
    </row>
    <row r="317" spans="1:15">
      <c r="A317" s="1518" t="e">
        <f t="shared" ca="1" si="18"/>
        <v>#NAME?</v>
      </c>
      <c r="B317" s="1518"/>
      <c r="C317" s="654">
        <v>8</v>
      </c>
      <c r="D317" s="656" t="e">
        <f ca="1">IF(D304="","",IF(ISNUMBER(_xll.ciqfunctions.udf.CIQ(D306,"IQ_BUS_SEG_NAME", H305, Valuation_date, , , , , $C317)),"",_xll.ciqfunctions.udf.CIQ(D306,"IQ_BUS_SEG_NAME", H305, Valuation_date, , , , , $C317)))</f>
        <v>#NAME?</v>
      </c>
      <c r="E317" s="1514" t="e">
        <f ca="1">IF(D304="","",IF(D317="","",_xll.ciqfunctions.udf.CIQ(D306,"IQ_BUS_SEG_REV", H305-1, Valuation_date, ReportType,DataMode, F306,FXMode, C317)*Scale))</f>
        <v>#NAME?</v>
      </c>
      <c r="F317" s="1514" t="e">
        <f ca="1">IF(D304="","",IF(D317="","",_xll.ciqfunctions.udf.CIQ(D306,"IQ_BUS_SEG_REV", H305, Valuation_date, ReportType,DataMode, F306,FXMode, $C317)*Scale))</f>
        <v>#NAME?</v>
      </c>
      <c r="G317" s="1575" t="e">
        <f ca="1">IF(D317="","",IFERROR(F317/F325,"n/a"))</f>
        <v>#NAME?</v>
      </c>
      <c r="H317" s="1575" t="e">
        <f t="shared" ca="1" si="19"/>
        <v>#NAME?</v>
      </c>
      <c r="I317" s="1576" t="e">
        <f ca="1">IF(D304="","",IF(D317="","",_xll.ciqfunctions.udf.CIQ(D306,"IQ_BUS_SEG_DESCRIPTION", H305, Valuation_date, , , , , $C317)))</f>
        <v>#NAME?</v>
      </c>
      <c r="J317" s="1574"/>
      <c r="K317" s="1509"/>
      <c r="L317" s="2060"/>
      <c r="M317" s="2060"/>
      <c r="N317" s="1508"/>
      <c r="O317" s="2060"/>
    </row>
    <row r="318" spans="1:15" s="151" customFormat="1">
      <c r="A318" s="1518" t="e">
        <f t="shared" ca="1" si="18"/>
        <v>#NAME?</v>
      </c>
      <c r="B318" s="1518"/>
      <c r="C318" s="654">
        <v>9</v>
      </c>
      <c r="D318" s="656" t="e">
        <f ca="1">IF(D304="","",IF(ISNUMBER(_xll.ciqfunctions.udf.CIQ(D306,"IQ_BUS_SEG_NAME", H305, Valuation_date, , , , , $C318)),"",_xll.ciqfunctions.udf.CIQ(D306,"IQ_BUS_SEG_NAME", H305, Valuation_date, , , , , $C318)))</f>
        <v>#NAME?</v>
      </c>
      <c r="E318" s="1514" t="e">
        <f ca="1">IF(D304="","",IF(D318="","",_xll.ciqfunctions.udf.CIQ(D306,"IQ_BUS_SEG_REV", H305-1, Valuation_date, ReportType,DataMode, F306,FXMode, C318)*Scale))</f>
        <v>#NAME?</v>
      </c>
      <c r="F318" s="1514" t="e">
        <f ca="1">IF(D304="","",IF(D318="","",_xll.ciqfunctions.udf.CIQ(D306,"IQ_BUS_SEG_REV", H305, Valuation_date, ReportType,DataMode, F306,FXMode, $C318)*Scale))</f>
        <v>#NAME?</v>
      </c>
      <c r="G318" s="1575" t="e">
        <f ca="1">IF(D318="","",IFERROR(F318/F325,"n/a"))</f>
        <v>#NAME?</v>
      </c>
      <c r="H318" s="1575" t="e">
        <f t="shared" ca="1" si="19"/>
        <v>#NAME?</v>
      </c>
      <c r="I318" s="1576" t="e">
        <f ca="1">IF(D304="","",IF(D318="","",_xll.ciqfunctions.udf.CIQ(D306,"IQ_BUS_SEG_DESCRIPTION", H305, Valuation_date, , , , , $C318)))</f>
        <v>#NAME?</v>
      </c>
      <c r="J318" s="1574"/>
      <c r="K318" s="1509"/>
      <c r="L318" s="2060"/>
      <c r="M318" s="2060"/>
      <c r="O318" s="2060"/>
    </row>
    <row r="319" spans="1:15">
      <c r="A319" s="1518" t="e">
        <f t="shared" ca="1" si="18"/>
        <v>#NAME?</v>
      </c>
      <c r="B319" s="1518"/>
      <c r="C319" s="654">
        <v>10</v>
      </c>
      <c r="D319" s="656" t="e">
        <f ca="1">IF(D304="","",IF(ISNUMBER(_xll.ciqfunctions.udf.CIQ(D306,"IQ_BUS_SEG_NAME", H305, Valuation_date, , , , , $C319)),"",_xll.ciqfunctions.udf.CIQ(D306,"IQ_BUS_SEG_NAME", H305, Valuation_date, , , , , $C319)))</f>
        <v>#NAME?</v>
      </c>
      <c r="E319" s="1514" t="e">
        <f ca="1">IF(D304="","",IF(D319="","",_xll.ciqfunctions.udf.CIQ(D306,"IQ_BUS_SEG_REV", H305-1, Valuation_date, ReportType,DataMode, F306,FXMode, C319)*Scale))</f>
        <v>#NAME?</v>
      </c>
      <c r="F319" s="1514" t="e">
        <f ca="1">IF(D304="","",IF(D319="","",_xll.ciqfunctions.udf.CIQ(D306,"IQ_BUS_SEG_REV", H305, Valuation_date, ReportType,DataMode, F306,FXMode, $C319)*Scale))</f>
        <v>#NAME?</v>
      </c>
      <c r="G319" s="1575" t="e">
        <f ca="1">IF(D319="","",IFERROR(F319/F325,"n/a"))</f>
        <v>#NAME?</v>
      </c>
      <c r="H319" s="1575" t="e">
        <f t="shared" ca="1" si="19"/>
        <v>#NAME?</v>
      </c>
      <c r="I319" s="1576" t="e">
        <f ca="1">IF(D304="","",IF(D319="","",_xll.ciqfunctions.udf.CIQ(D306,"IQ_BUS_SEG_DESCRIPTION", H305, Valuation_date, , , , , $C319)))</f>
        <v>#NAME?</v>
      </c>
      <c r="J319" s="393"/>
      <c r="K319" s="1509"/>
      <c r="L319" s="2060"/>
      <c r="M319" s="2060"/>
      <c r="N319" s="1508"/>
      <c r="O319" s="2060"/>
    </row>
    <row r="320" spans="1:15">
      <c r="A320" s="1518" t="e">
        <f t="shared" ca="1" si="18"/>
        <v>#NAME?</v>
      </c>
      <c r="B320" s="1518"/>
      <c r="C320" s="654">
        <v>11</v>
      </c>
      <c r="D320" s="656" t="e">
        <f ca="1">IF(D304="","",IF(ISNUMBER(_xll.ciqfunctions.udf.CIQ(D306,"IQ_BUS_SEG_NAME", H305, Valuation_date, , , , , $C320)),"",_xll.ciqfunctions.udf.CIQ(D306,"IQ_BUS_SEG_NAME", H305, Valuation_date, , , , , $C320)))</f>
        <v>#NAME?</v>
      </c>
      <c r="E320" s="1514" t="e">
        <f ca="1">IF(D304="","",IF(D320="","",_xll.ciqfunctions.udf.CIQ(D306,"IQ_BUS_SEG_REV", H305-1, Valuation_date, ReportType,DataMode, F306,FXMode, C320)*Scale))</f>
        <v>#NAME?</v>
      </c>
      <c r="F320" s="1514" t="e">
        <f ca="1">IF(D304="","",IF(D320="","",_xll.ciqfunctions.udf.CIQ(D306,"IQ_BUS_SEG_REV", H305, Valuation_date, ReportType,DataMode, F306,FXMode, $C320)*Scale))</f>
        <v>#NAME?</v>
      </c>
      <c r="G320" s="1575" t="e">
        <f ca="1">IF(D320="","",IFERROR(F320/F325,"n/a"))</f>
        <v>#NAME?</v>
      </c>
      <c r="H320" s="1575" t="e">
        <f t="shared" ca="1" si="19"/>
        <v>#NAME?</v>
      </c>
      <c r="I320" s="1576" t="e">
        <f ca="1">IF(D304="","",IF(D320="","",_xll.ciqfunctions.udf.CIQ(D306,"IQ_BUS_SEG_DESCRIPTION", H305, Valuation_date, , , , , $C320)))</f>
        <v>#NAME?</v>
      </c>
      <c r="J320" s="1574"/>
      <c r="K320" s="1509"/>
      <c r="L320" s="2060"/>
      <c r="M320" s="2060"/>
      <c r="N320" s="1508"/>
      <c r="O320" s="2060"/>
    </row>
    <row r="321" spans="1:26">
      <c r="A321" s="1518" t="e">
        <f t="shared" ca="1" si="18"/>
        <v>#NAME?</v>
      </c>
      <c r="B321" s="1518"/>
      <c r="C321" s="654">
        <v>12</v>
      </c>
      <c r="D321" s="656" t="e">
        <f ca="1">IF(D304="","",IF(ISNUMBER(_xll.ciqfunctions.udf.CIQ(D306,"IQ_BUS_SEG_NAME", H305, Valuation_date, , , , , $C321)),"",_xll.ciqfunctions.udf.CIQ(D306,"IQ_BUS_SEG_NAME", H305, Valuation_date, , , , , $C321)))</f>
        <v>#NAME?</v>
      </c>
      <c r="E321" s="1514" t="e">
        <f ca="1">IF(D304="","",IF(D321="","",_xll.ciqfunctions.udf.CIQ(D306,"IQ_BUS_SEG_REV", H305-1, Valuation_date, ReportType,DataMode, F306,FXMode, C321)*Scale))</f>
        <v>#NAME?</v>
      </c>
      <c r="F321" s="1514" t="e">
        <f ca="1">IF(D304="","",IF(D321="","",_xll.ciqfunctions.udf.CIQ(D306,"IQ_BUS_SEG_REV", H305, Valuation_date, ReportType,DataMode, F306,FXMode, $C321)*Scale))</f>
        <v>#NAME?</v>
      </c>
      <c r="G321" s="1575" t="e">
        <f ca="1">IF(D321="","",IFERROR(F321/F325,"n/a"))</f>
        <v>#NAME?</v>
      </c>
      <c r="H321" s="1575" t="e">
        <f t="shared" ca="1" si="19"/>
        <v>#NAME?</v>
      </c>
      <c r="I321" s="1576" t="e">
        <f ca="1">IF(D304="","",IF(D321="","",_xll.ciqfunctions.udf.CIQ(D306,"IQ_BUS_SEG_DESCRIPTION", H305, Valuation_date, , , , , $C321)))</f>
        <v>#NAME?</v>
      </c>
      <c r="J321" s="1574"/>
      <c r="K321" s="1509"/>
      <c r="L321" s="2060"/>
      <c r="M321" s="2060"/>
      <c r="N321" s="1508"/>
      <c r="O321" s="2060"/>
      <c r="P321" s="1508"/>
      <c r="Q321" s="1508"/>
      <c r="R321" s="1508"/>
      <c r="S321" s="1508"/>
      <c r="T321" s="1508"/>
      <c r="U321" s="1508"/>
      <c r="V321" s="1508"/>
      <c r="W321" s="1508"/>
      <c r="X321" s="1508"/>
      <c r="Y321" s="1508"/>
      <c r="Z321" s="1508"/>
    </row>
    <row r="322" spans="1:26">
      <c r="A322" s="1518" t="e">
        <f t="shared" ca="1" si="18"/>
        <v>#NAME?</v>
      </c>
      <c r="B322" s="1518"/>
      <c r="C322" s="654">
        <v>13</v>
      </c>
      <c r="D322" s="656" t="e">
        <f ca="1">IF(D304="","",IF(ISNUMBER(_xll.ciqfunctions.udf.CIQ(D306,"IQ_BUS_SEG_NAME", H305, Valuation_date, , , , , $C322)),"",_xll.ciqfunctions.udf.CIQ(D306,"IQ_BUS_SEG_NAME", H305, Valuation_date, , , , , $C322)))</f>
        <v>#NAME?</v>
      </c>
      <c r="E322" s="1514" t="e">
        <f ca="1">IF(D304="","",IF(D322="","",_xll.ciqfunctions.udf.CIQ(D306,"IQ_BUS_SEG_REV", H305-1, Valuation_date, ReportType,DataMode, F306,FXMode, C322)*Scale))</f>
        <v>#NAME?</v>
      </c>
      <c r="F322" s="1514" t="e">
        <f ca="1">IF(D304="","",IF(D322="","",_xll.ciqfunctions.udf.CIQ(D306,"IQ_BUS_SEG_REV", H305, Valuation_date, ReportType,DataMode, F306,FXMode, $C322)*Scale))</f>
        <v>#NAME?</v>
      </c>
      <c r="G322" s="1575" t="e">
        <f ca="1">IF(D322="","",IFERROR(F322/F325,"n/a"))</f>
        <v>#NAME?</v>
      </c>
      <c r="H322" s="1575" t="e">
        <f t="shared" ca="1" si="19"/>
        <v>#NAME?</v>
      </c>
      <c r="I322" s="1576" t="e">
        <f ca="1">IF(D304="","",IF(D322="","",_xll.ciqfunctions.udf.CIQ(D306,"IQ_BUS_SEG_DESCRIPTION", H305, Valuation_date, , , , , $C322)))</f>
        <v>#NAME?</v>
      </c>
      <c r="J322" s="1574"/>
      <c r="K322" s="1509"/>
      <c r="L322" s="2060"/>
      <c r="M322" s="2060"/>
      <c r="N322" s="1508"/>
      <c r="O322" s="2060"/>
      <c r="P322" s="1508"/>
      <c r="Q322" s="1508"/>
      <c r="R322" s="1508"/>
      <c r="S322" s="1508"/>
      <c r="T322" s="1508"/>
      <c r="U322" s="1508"/>
      <c r="V322" s="1508"/>
      <c r="W322" s="1508"/>
      <c r="X322" s="1508"/>
      <c r="Y322" s="1508"/>
      <c r="Z322" s="1508"/>
    </row>
    <row r="323" spans="1:26">
      <c r="A323" s="1518" t="e">
        <f ca="1">IF(D323="","n","")</f>
        <v>#NAME?</v>
      </c>
      <c r="B323" s="1518"/>
      <c r="C323" s="654">
        <v>14</v>
      </c>
      <c r="D323" s="656" t="e">
        <f ca="1">IF(D304="","",IF(ISNUMBER(_xll.ciqfunctions.udf.CIQ(D306,"IQ_BUS_SEG_NAME", H305, Valuation_date, , , , , $C323)),"",_xll.ciqfunctions.udf.CIQ(D306,"IQ_BUS_SEG_NAME", H305, Valuation_date, , , , , $C323)))</f>
        <v>#NAME?</v>
      </c>
      <c r="E323" s="1514" t="e">
        <f ca="1">IF(D304="","",IF(D323="","",_xll.ciqfunctions.udf.CIQ(D306,"IQ_BUS_SEG_REV", H305-1, Valuation_date, ReportType,DataMode, F306,FXMode, C323)*Scale))</f>
        <v>#NAME?</v>
      </c>
      <c r="F323" s="1514" t="e">
        <f ca="1">IF(D304="","",IF(D323="","",_xll.ciqfunctions.udf.CIQ(D306,"IQ_BUS_SEG_REV", H305, Valuation_date, ReportType,DataMode, F306,FXMode, $C323)*Scale))</f>
        <v>#NAME?</v>
      </c>
      <c r="G323" s="1575" t="e">
        <f ca="1">IF(D323="","",IFERROR(F323/F325,"n/a"))</f>
        <v>#NAME?</v>
      </c>
      <c r="H323" s="1575" t="e">
        <f t="shared" ca="1" si="19"/>
        <v>#NAME?</v>
      </c>
      <c r="I323" s="1576" t="e">
        <f ca="1">IF(D304="","",IF(D323="","",_xll.ciqfunctions.udf.CIQ(D306,"IQ_BUS_SEG_DESCRIPTION", H305, Valuation_date, , , , , $C323)))</f>
        <v>#NAME?</v>
      </c>
      <c r="J323" s="1574"/>
      <c r="K323" s="1509"/>
      <c r="L323" s="2060"/>
      <c r="M323" s="2060"/>
      <c r="N323" s="1508"/>
      <c r="O323" s="2060"/>
      <c r="P323" s="1508"/>
      <c r="Q323" s="1508"/>
      <c r="R323" s="1508"/>
      <c r="S323" s="1508"/>
      <c r="T323" s="1508"/>
      <c r="U323" s="1508"/>
      <c r="V323" s="1508"/>
      <c r="W323" s="1508"/>
      <c r="X323" s="1508"/>
      <c r="Y323" s="1508"/>
      <c r="Z323" s="1508"/>
    </row>
    <row r="324" spans="1:26">
      <c r="A324" s="1518" t="e">
        <f ca="1">IF(D324="","n","")</f>
        <v>#NAME?</v>
      </c>
      <c r="B324" s="1518"/>
      <c r="C324" s="654">
        <v>15</v>
      </c>
      <c r="D324" s="656" t="e">
        <f ca="1">IF(D304="","",IF(ISNUMBER(_xll.ciqfunctions.udf.CIQ(D306,"IQ_BUS_SEG_NAME", H305, Valuation_date, , , , , $C324)),"",_xll.ciqfunctions.udf.CIQ(D306,"IQ_BUS_SEG_NAME", H305, Valuation_date, , , , , $C324)))</f>
        <v>#NAME?</v>
      </c>
      <c r="E324" s="1514" t="e">
        <f ca="1">IF(D304="","",IF(D324="","",_xll.ciqfunctions.udf.CIQ(D306,"IQ_BUS_SEG_REV", H305-1, Valuation_date, ReportType,DataMode, F306,FXMode, C324)*Scale))</f>
        <v>#NAME?</v>
      </c>
      <c r="F324" s="1514" t="e">
        <f ca="1">IF(D304="","",IF(D324="","",_xll.ciqfunctions.udf.CIQ(D306,"IQ_BUS_SEG_REV", H305, Valuation_date, ReportType,DataMode, F306,FXMode, $C324)*Scale))</f>
        <v>#NAME?</v>
      </c>
      <c r="G324" s="1575" t="e">
        <f ca="1">IF(D324="","",IFERROR(F324/F325,"n/a"))</f>
        <v>#NAME?</v>
      </c>
      <c r="H324" s="1575" t="e">
        <f t="shared" ca="1" si="19"/>
        <v>#NAME?</v>
      </c>
      <c r="I324" s="1576" t="e">
        <f ca="1">IF(D304="","",IF(D324="","",_xll.ciqfunctions.udf.CIQ(D306,"IQ_BUS_SEG_DESCRIPTION", H305, Valuation_date, , , , , $C324)))</f>
        <v>#NAME?</v>
      </c>
      <c r="J324" s="1574"/>
      <c r="K324" s="1509"/>
      <c r="L324" s="2060"/>
      <c r="M324" s="2060"/>
      <c r="N324" s="1508"/>
      <c r="O324" s="2060"/>
      <c r="P324" s="1508"/>
      <c r="Q324" s="1508"/>
      <c r="R324" s="1508"/>
      <c r="S324" s="1508"/>
      <c r="T324" s="1508"/>
      <c r="U324" s="1508"/>
      <c r="V324" s="1508"/>
      <c r="W324" s="1508"/>
      <c r="X324" s="1508"/>
      <c r="Y324" s="1508"/>
      <c r="Z324" s="1508"/>
    </row>
    <row r="325" spans="1:26" ht="14.45" thickBot="1">
      <c r="A325" s="1518"/>
      <c r="B325" s="1518"/>
      <c r="C325" s="1572"/>
      <c r="D325" s="658" t="s">
        <v>1248</v>
      </c>
      <c r="E325" s="658" t="e">
        <f ca="1">SUM(E310:E324)</f>
        <v>#NAME?</v>
      </c>
      <c r="F325" s="658" t="e">
        <f ca="1">SUM(F310:F324)</f>
        <v>#NAME?</v>
      </c>
      <c r="G325" s="2257" t="e">
        <f ca="1">SUM(G310:G324)</f>
        <v>#NAME?</v>
      </c>
      <c r="H325" s="2257" t="str">
        <f ca="1">IF(D325="","",IFERROR(F325/E325-1,"n/a"))</f>
        <v>n/a</v>
      </c>
      <c r="I325" s="1571"/>
      <c r="J325" s="1574"/>
      <c r="K325" s="1509"/>
      <c r="L325" s="2060"/>
      <c r="M325" s="2060"/>
      <c r="N325" s="1508"/>
      <c r="O325" s="2060"/>
      <c r="P325" s="1508"/>
      <c r="Q325" s="1508"/>
      <c r="R325" s="1508"/>
      <c r="S325" s="1508"/>
      <c r="T325" s="1508"/>
      <c r="U325" s="1508"/>
      <c r="V325" s="1508"/>
      <c r="W325" s="1508"/>
      <c r="X325" s="1508"/>
      <c r="Y325" s="1508"/>
      <c r="Z325" s="1508"/>
    </row>
    <row r="326" spans="1:26">
      <c r="A326" s="1518"/>
      <c r="B326" s="1518"/>
      <c r="C326" s="1572"/>
      <c r="D326" s="1514"/>
      <c r="E326" s="1514"/>
      <c r="F326" s="1575"/>
      <c r="G326" s="1514"/>
      <c r="H326" s="1575"/>
      <c r="I326" s="1571"/>
      <c r="J326" s="1574"/>
      <c r="K326" s="1509"/>
      <c r="L326" s="2060"/>
      <c r="M326" s="2060"/>
      <c r="N326" s="1508"/>
      <c r="O326" s="2060"/>
      <c r="P326" s="1508"/>
      <c r="Q326" s="1508"/>
      <c r="R326" s="1508"/>
      <c r="S326" s="1508"/>
      <c r="T326" s="1508"/>
      <c r="U326" s="1508"/>
      <c r="V326" s="1508"/>
      <c r="W326" s="1508"/>
      <c r="X326" s="1508"/>
      <c r="Y326" s="1508"/>
      <c r="Z326" s="1508"/>
    </row>
    <row r="327" spans="1:26" s="1508" customFormat="1">
      <c r="A327" s="1518"/>
      <c r="B327" s="1518"/>
      <c r="C327" s="1572"/>
      <c r="D327" s="1514" t="s">
        <v>1707</v>
      </c>
      <c r="E327" s="1579"/>
      <c r="F327" s="1575"/>
      <c r="G327" s="1514"/>
      <c r="H327" s="1575"/>
      <c r="I327" s="1571"/>
      <c r="J327" s="1574"/>
      <c r="K327" s="1509"/>
      <c r="L327" s="2060"/>
      <c r="M327" s="2060"/>
      <c r="O327" s="2060"/>
    </row>
    <row r="328" spans="1:26">
      <c r="A328" s="1518"/>
      <c r="B328" s="1518"/>
      <c r="C328" s="1572"/>
      <c r="D328" s="1514" t="s">
        <v>1402</v>
      </c>
      <c r="E328" s="1514"/>
      <c r="F328" s="1575"/>
      <c r="G328" s="1514"/>
      <c r="H328" s="1575"/>
      <c r="I328" s="1571"/>
      <c r="J328" s="1574"/>
      <c r="K328" s="1509"/>
      <c r="L328" s="2060"/>
      <c r="M328" s="2060"/>
      <c r="N328" s="1508"/>
      <c r="O328" s="2060"/>
      <c r="P328" s="1508"/>
      <c r="Q328" s="1508"/>
      <c r="R328" s="1508"/>
      <c r="S328" s="1508"/>
      <c r="T328" s="1508"/>
      <c r="U328" s="1508"/>
      <c r="V328" s="1508"/>
      <c r="W328" s="1508"/>
      <c r="X328" s="1508"/>
      <c r="Y328" s="1508"/>
      <c r="Z328" s="1508"/>
    </row>
    <row r="329" spans="1:26">
      <c r="A329" s="1518"/>
      <c r="B329" s="1518"/>
      <c r="C329" s="1572"/>
      <c r="D329" s="1538"/>
      <c r="E329" s="1538"/>
      <c r="F329" s="1538"/>
      <c r="G329" s="1538"/>
      <c r="H329" s="1538"/>
      <c r="I329" s="1571"/>
      <c r="J329" s="1538"/>
      <c r="K329" s="1509"/>
      <c r="L329" s="2060"/>
      <c r="M329" s="2060"/>
      <c r="N329" s="2060"/>
      <c r="O329" s="2060"/>
      <c r="P329" s="2060"/>
      <c r="Q329" s="2060"/>
      <c r="R329" s="2060"/>
      <c r="S329" s="2060"/>
      <c r="T329" s="1508"/>
      <c r="U329" s="1508"/>
      <c r="V329" s="1508"/>
      <c r="W329" s="1508"/>
      <c r="X329" s="1508"/>
      <c r="Y329" s="1508"/>
      <c r="Z329" s="1508"/>
    </row>
    <row r="330" spans="1:26" s="178" customFormat="1" ht="13.5" customHeight="1">
      <c r="A330" s="1510"/>
      <c r="B330" s="1510"/>
      <c r="C330" s="387"/>
      <c r="D330" s="1513" t="str">
        <f ca="1">FootnoteDRAFT</f>
        <v>Run date: 05-August-2018  02:34 PM.   DRAFT document. All data subject to change upon completion of additional analysis.</v>
      </c>
      <c r="E330" s="1513"/>
      <c r="F330" s="373"/>
      <c r="G330" s="1513"/>
      <c r="H330" s="1513"/>
      <c r="I330" s="1562"/>
      <c r="J330" s="1512"/>
      <c r="K330" s="1509"/>
      <c r="L330" s="2060"/>
      <c r="M330" s="2060"/>
      <c r="N330" s="2060"/>
      <c r="O330" s="2060"/>
      <c r="P330" s="2060"/>
      <c r="Q330" s="2060"/>
      <c r="R330" s="2060"/>
      <c r="S330" s="2060"/>
      <c r="T330" s="2060"/>
      <c r="U330" s="2060"/>
      <c r="V330" s="2060"/>
      <c r="W330" s="2060"/>
      <c r="X330" s="2060"/>
      <c r="Y330" s="2060"/>
      <c r="Z330" s="2060"/>
    </row>
    <row r="331" spans="1:26" s="178" customFormat="1">
      <c r="A331" s="1510" t="s">
        <v>17</v>
      </c>
      <c r="B331" s="1510"/>
      <c r="C331" s="1510"/>
      <c r="D331" s="1510"/>
      <c r="E331" s="683"/>
      <c r="F331" s="1510"/>
      <c r="G331" s="1510"/>
      <c r="H331" s="1510"/>
      <c r="I331" s="1547"/>
      <c r="J331" s="1546" t="str">
        <f ca="1">IF(D339="","Page end","Continue")</f>
        <v>Continue</v>
      </c>
      <c r="K331" s="1510"/>
      <c r="L331" s="2060"/>
      <c r="M331" s="2060"/>
      <c r="N331" s="2060"/>
      <c r="O331" s="2060"/>
      <c r="P331" s="2060"/>
      <c r="Q331" s="2060"/>
      <c r="R331" s="2060"/>
      <c r="S331" s="2060"/>
      <c r="T331" s="2060"/>
      <c r="U331" s="2060"/>
      <c r="V331" s="2060"/>
      <c r="W331" s="2060"/>
      <c r="X331" s="2060"/>
      <c r="Y331" s="2060"/>
      <c r="Z331" s="2060"/>
    </row>
    <row r="332" spans="1:26" ht="18" customHeight="1">
      <c r="A332" s="1518"/>
      <c r="B332" s="1518"/>
      <c r="C332" s="292" t="str">
        <f ca="1">D337</f>
        <v>n/a</v>
      </c>
      <c r="D332" s="172"/>
      <c r="E332" s="674"/>
      <c r="F332" s="172"/>
      <c r="G332" s="172"/>
      <c r="H332" s="172"/>
      <c r="I332" s="1522"/>
      <c r="J332" s="389" t="str">
        <f>$J$1&amp;"."&amp;C337&amp;""</f>
        <v>Workpaper 6.10</v>
      </c>
      <c r="K332" s="1509"/>
      <c r="L332" s="2060"/>
      <c r="M332" s="2060"/>
      <c r="N332" s="2060"/>
      <c r="O332" s="2060"/>
      <c r="P332" s="2060"/>
      <c r="Q332" s="2060"/>
      <c r="R332" s="2060"/>
      <c r="S332" s="2060"/>
      <c r="T332" s="2060"/>
      <c r="U332" s="1508"/>
      <c r="V332" s="1508"/>
      <c r="W332" s="1508"/>
      <c r="X332" s="1508"/>
      <c r="Y332" s="1508"/>
      <c r="Z332" s="1508"/>
    </row>
    <row r="333" spans="1:26" ht="18" customHeight="1">
      <c r="A333" s="1518"/>
      <c r="B333" s="1518"/>
      <c r="C333" s="839" t="s">
        <v>1699</v>
      </c>
      <c r="D333" s="172"/>
      <c r="E333" s="172"/>
      <c r="F333" s="172"/>
      <c r="G333" s="172"/>
      <c r="H333" s="172"/>
      <c r="I333" s="1522"/>
      <c r="J333" s="187"/>
      <c r="K333" s="1509"/>
      <c r="L333" s="2060"/>
      <c r="M333" s="2060"/>
      <c r="N333" s="2060"/>
      <c r="O333" s="2060"/>
      <c r="P333" s="2060"/>
      <c r="Q333" s="2060"/>
      <c r="R333" s="2060"/>
      <c r="S333" s="2060"/>
      <c r="T333" s="2060"/>
      <c r="U333" s="1508"/>
      <c r="V333" s="1508"/>
      <c r="W333" s="1508"/>
      <c r="X333" s="1508"/>
      <c r="Y333" s="1508"/>
      <c r="Z333" s="1508"/>
    </row>
    <row r="334" spans="1:26" ht="18" customHeight="1">
      <c r="A334" s="1518"/>
      <c r="B334" s="1518"/>
      <c r="C334" s="366" t="str">
        <f ca="1">"(" &amp;F339&amp;" in "&amp;ScaleInput&amp;")"</f>
        <v>(USD in Millions)</v>
      </c>
      <c r="D334" s="1508"/>
      <c r="E334" s="170"/>
      <c r="F334" s="170"/>
      <c r="G334" s="170"/>
      <c r="H334" s="170"/>
      <c r="I334" s="1521"/>
      <c r="J334" s="1508"/>
      <c r="K334" s="1509"/>
      <c r="L334" s="2060"/>
      <c r="M334" s="2060"/>
      <c r="N334" s="2060"/>
      <c r="O334" s="2060"/>
      <c r="P334" s="2060"/>
      <c r="Q334" s="2060"/>
      <c r="R334" s="2060"/>
      <c r="S334" s="2060"/>
      <c r="T334" s="2060"/>
      <c r="U334" s="1508"/>
      <c r="V334" s="1508"/>
      <c r="W334" s="1508"/>
      <c r="X334" s="1508"/>
      <c r="Y334" s="1508"/>
      <c r="Z334" s="1508"/>
    </row>
    <row r="335" spans="1:26" ht="18" customHeight="1">
      <c r="A335" s="1518"/>
      <c r="B335" s="1518"/>
      <c r="C335" s="366"/>
      <c r="D335" s="1508"/>
      <c r="E335" s="172"/>
      <c r="F335" s="172"/>
      <c r="G335" s="172"/>
      <c r="H335" s="172"/>
      <c r="I335" s="1522"/>
      <c r="J335" s="1508"/>
      <c r="K335" s="1509"/>
      <c r="L335" s="1508"/>
      <c r="M335" s="1508"/>
      <c r="N335" s="1508"/>
      <c r="O335" s="2060"/>
      <c r="P335" s="1508"/>
      <c r="Q335" s="1508"/>
      <c r="R335" s="1508"/>
      <c r="S335" s="1508"/>
      <c r="T335" s="1508"/>
      <c r="U335" s="1508"/>
      <c r="V335" s="1508"/>
      <c r="W335" s="1508"/>
      <c r="X335" s="1508"/>
      <c r="Y335" s="1508"/>
      <c r="Z335" s="1508"/>
    </row>
    <row r="336" spans="1:26">
      <c r="A336" s="1518"/>
      <c r="B336" s="1518"/>
      <c r="C336" s="1511"/>
      <c r="D336" s="1508"/>
      <c r="E336" s="172"/>
      <c r="F336" s="172"/>
      <c r="G336" s="172"/>
      <c r="H336" s="172"/>
      <c r="I336" s="1522"/>
      <c r="J336" s="1508"/>
      <c r="K336" s="1509"/>
      <c r="L336" s="1508"/>
      <c r="M336" s="1508"/>
      <c r="N336" s="1508"/>
      <c r="O336" s="2060"/>
      <c r="P336" s="1508"/>
      <c r="Q336" s="1508"/>
      <c r="R336" s="1508"/>
      <c r="S336" s="1508"/>
      <c r="T336" s="1508"/>
      <c r="U336" s="1508"/>
      <c r="V336" s="1508"/>
      <c r="W336" s="1508"/>
      <c r="X336" s="1508"/>
      <c r="Y336" s="1508"/>
      <c r="Z336" s="1508"/>
    </row>
    <row r="337" spans="1:11">
      <c r="A337" s="1518"/>
      <c r="B337" s="1518"/>
      <c r="C337" s="226">
        <v>10</v>
      </c>
      <c r="D337" s="179" t="str">
        <f ca="1">IF(D339=0,"n/a",IFERROR(_xll.ciqfunctions.udf.CIQ(D339,"IQ_COMPANY_NAME"),"n/a"))</f>
        <v>n/a</v>
      </c>
      <c r="E337" s="1508"/>
      <c r="F337" s="1508"/>
      <c r="G337" s="1508"/>
      <c r="H337" s="1508"/>
      <c r="I337" s="1515"/>
      <c r="J337" s="1508"/>
      <c r="K337" s="1509"/>
    </row>
    <row r="338" spans="1:11">
      <c r="A338" s="1518"/>
      <c r="B338" s="1518"/>
      <c r="C338" s="225"/>
      <c r="D338" s="2258" t="s">
        <v>134</v>
      </c>
      <c r="E338" s="2258" t="s">
        <v>1708</v>
      </c>
      <c r="F338" s="2262" t="s">
        <v>167</v>
      </c>
      <c r="G338" s="2262" t="s">
        <v>1700</v>
      </c>
      <c r="H338" s="2263">
        <f>INDEX($W$9:$W$14,MATCH(H339,PeriodList,0))</f>
        <v>2000</v>
      </c>
      <c r="I338" s="1515"/>
      <c r="J338" s="201"/>
      <c r="K338" s="1509"/>
    </row>
    <row r="339" spans="1:11">
      <c r="A339" s="1518"/>
      <c r="B339" s="1518"/>
      <c r="C339" s="227"/>
      <c r="D339" s="2249">
        <f ca="1">OFFSET(GCIdentifierTop,C337,0)</f>
        <v>0</v>
      </c>
      <c r="E339" s="2250" t="str">
        <f ca="1">IF($D339="","",IFERROR(_xll.ciqfunctions.udf.CIQ($D339,"IQ_PERIODDATE",H338,Valuation_date),"n/a"))</f>
        <v>n/a</v>
      </c>
      <c r="F339" s="2251" t="str">
        <f ca="1">IFERROR(IF(C337=0,SubjOutputCurrencyCode,IF(D339="","",IF(OutputCurrency="Filing",_xll.ciqfunctions.udf.CIQ($D339,"IQ_FILING_CURRENCY",500,Valuation_date,ReportType,DataMode),OutputCurrency))),OutputCurrency)</f>
        <v>USD</v>
      </c>
      <c r="G339" s="2264" t="e">
        <f ca="1">IF(D337="","",_xll.ciqfunctions.udf.CIQ(D339,"IQ_TOTAL_REV", H338, Valuation_date,ReportType,DataMode,F339,FXMode))</f>
        <v>#NAME?</v>
      </c>
      <c r="H339" s="2265" t="str">
        <f>$H$9</f>
        <v>LTM/LFQ</v>
      </c>
      <c r="I339" s="1523"/>
      <c r="J339" s="174"/>
      <c r="K339" s="1509"/>
    </row>
    <row r="340" spans="1:11">
      <c r="A340" s="1518"/>
      <c r="B340" s="1518"/>
      <c r="C340" s="227"/>
      <c r="D340" s="1508"/>
      <c r="E340" s="1508"/>
      <c r="F340" s="1508"/>
      <c r="G340" s="1508"/>
      <c r="H340" s="1508"/>
      <c r="I340" s="1515"/>
      <c r="J340" s="221"/>
      <c r="K340" s="1509"/>
    </row>
    <row r="341" spans="1:11">
      <c r="A341" s="1518"/>
      <c r="B341" s="1518"/>
      <c r="C341" s="227"/>
      <c r="D341" s="741"/>
      <c r="E341" s="744" t="e">
        <f ca="1">IF(D339="",Valuation_date,_xll.ciqfunctions.udf.CIQ(D339,"IQ_PERIODDATE",H338-IF(LEFT(H339,3)="LFY",1,4),Valuation_date))</f>
        <v>#NAME?</v>
      </c>
      <c r="F341" s="742" t="e">
        <f ca="1">IF(D339="",Valuation_date,_xll.ciqfunctions.udf.CIQ(D339,"IQ_PERIODDATE",H338,Valuation_date))</f>
        <v>#NAME?</v>
      </c>
      <c r="G341" s="741"/>
      <c r="H341" s="743" t="s">
        <v>1702</v>
      </c>
      <c r="I341" s="1587"/>
      <c r="J341" s="221"/>
      <c r="K341" s="1509"/>
    </row>
    <row r="342" spans="1:11">
      <c r="A342" s="1518"/>
      <c r="B342" s="1518"/>
      <c r="C342" s="227"/>
      <c r="D342" s="2254" t="s">
        <v>1703</v>
      </c>
      <c r="E342" s="2255" t="s">
        <v>1458</v>
      </c>
      <c r="F342" s="2255" t="s">
        <v>1458</v>
      </c>
      <c r="G342" s="2255" t="s">
        <v>1704</v>
      </c>
      <c r="H342" s="2255" t="s">
        <v>1705</v>
      </c>
      <c r="I342" s="2256" t="s">
        <v>1706</v>
      </c>
      <c r="J342" s="222"/>
      <c r="K342" s="1509"/>
    </row>
    <row r="343" spans="1:11">
      <c r="A343" s="1518" t="e">
        <f t="shared" ref="A343:A355" ca="1" si="20">IF(D343="","n","")</f>
        <v>#NAME?</v>
      </c>
      <c r="B343" s="1518"/>
      <c r="C343" s="227">
        <v>1</v>
      </c>
      <c r="D343" s="223" t="e">
        <f ca="1">IF(D337="","",IF(ISNUMBER(_xll.ciqfunctions.udf.CIQ(D339,"IQ_BUS_SEG_NAME", H338, Valuation_date, , , , , $C343)),"",_xll.ciqfunctions.udf.CIQ(D339,"IQ_BUS_SEG_NAME", H338, Valuation_date, , , , , $C343)))</f>
        <v>#NAME?</v>
      </c>
      <c r="E343" s="187" t="e">
        <f ca="1">IF(D337="","",IF(D343="","",_xll.ciqfunctions.udf.CIQ(D339,"IQ_BUS_SEG_REV", H338-1, Valuation_date, ReportType,DataMode, F339,FXMode, C343)*Scale))</f>
        <v>#NAME?</v>
      </c>
      <c r="F343" s="187" t="e">
        <f ca="1">IF(D337="","",IF(D343="","",_xll.ciqfunctions.udf.CIQ(D339,"IQ_BUS_SEG_REV", H338, Valuation_date, ReportType,DataMode, F339,FXMode, $C343)*Scale))</f>
        <v>#NAME?</v>
      </c>
      <c r="G343" s="274" t="e">
        <f ca="1">IF(D343="","",IFERROR(F343/F358,"n/a"))</f>
        <v>#NAME?</v>
      </c>
      <c r="H343" s="274" t="e">
        <f ca="1">IF(D343="","",IFERROR(F343/E343-1,"n/a"))</f>
        <v>#NAME?</v>
      </c>
      <c r="I343" s="1524" t="e">
        <f ca="1">IF(D337="","",IF(D343="","",_xll.ciqfunctions.udf.CIQ(D339,"IQ_BUS_SEG_DESCRIPTION", H338, Valuation_date, , , , , $C343)))</f>
        <v>#NAME?</v>
      </c>
      <c r="J343" s="175"/>
      <c r="K343" s="1509"/>
    </row>
    <row r="344" spans="1:11">
      <c r="A344" s="1518" t="e">
        <f t="shared" ca="1" si="20"/>
        <v>#NAME?</v>
      </c>
      <c r="B344" s="1518"/>
      <c r="C344" s="227">
        <v>2</v>
      </c>
      <c r="D344" s="223" t="e">
        <f ca="1">IF(D337="","",IF(ISNUMBER(_xll.ciqfunctions.udf.CIQ(D339,"IQ_BUS_SEG_NAME", H338, Valuation_date, , , , , $C344)),"",_xll.ciqfunctions.udf.CIQ(D339,"IQ_BUS_SEG_NAME", H338, Valuation_date, , , , , $C344)))</f>
        <v>#NAME?</v>
      </c>
      <c r="E344" s="187" t="e">
        <f ca="1">IF(D337="","",IF(D344="","",_xll.ciqfunctions.udf.CIQ(D339,"IQ_BUS_SEG_REV", H338-1, Valuation_date, ReportType,DataMode, F339,FXMode, C344)*Scale))</f>
        <v>#NAME?</v>
      </c>
      <c r="F344" s="187" t="e">
        <f ca="1">IF(D337="","",IF(D344="","",_xll.ciqfunctions.udf.CIQ(D339,"IQ_BUS_SEG_REV", H338, Valuation_date, ReportType,DataMode, F339,FXMode, $C344)*Scale))</f>
        <v>#NAME?</v>
      </c>
      <c r="G344" s="274" t="e">
        <f ca="1">IF(D344="","",IFERROR(F344/F358,"n/a"))</f>
        <v>#NAME?</v>
      </c>
      <c r="H344" s="274" t="e">
        <f t="shared" ref="H344:H357" ca="1" si="21">IF(D344="","",IFERROR(F344/E344-1,"n/a"))</f>
        <v>#NAME?</v>
      </c>
      <c r="I344" s="1524" t="e">
        <f ca="1">IF(D337="","",IF(D344="","",_xll.ciqfunctions.udf.CIQ(D339,"IQ_BUS_SEG_DESCRIPTION", H338, Valuation_date, , , , , $C344)))</f>
        <v>#NAME?</v>
      </c>
      <c r="J344" s="175"/>
      <c r="K344" s="1509"/>
    </row>
    <row r="345" spans="1:11">
      <c r="A345" s="1518" t="e">
        <f t="shared" ca="1" si="20"/>
        <v>#NAME?</v>
      </c>
      <c r="B345" s="1518"/>
      <c r="C345" s="227">
        <v>3</v>
      </c>
      <c r="D345" s="223" t="e">
        <f ca="1">IF(D337="","",IF(ISNUMBER(_xll.ciqfunctions.udf.CIQ(D339,"IQ_BUS_SEG_NAME", H338, Valuation_date, , , , , $C345)),"",_xll.ciqfunctions.udf.CIQ(D339,"IQ_BUS_SEG_NAME", H338, Valuation_date, , , , , $C345)))</f>
        <v>#NAME?</v>
      </c>
      <c r="E345" s="187" t="e">
        <f ca="1">IF(D337="","",IF(D345="","",_xll.ciqfunctions.udf.CIQ(D339,"IQ_BUS_SEG_REV", H338-1, Valuation_date, ReportType,DataMode, F339,FXMode, C345)*Scale))</f>
        <v>#NAME?</v>
      </c>
      <c r="F345" s="187" t="e">
        <f ca="1">IF(D337="","",IF(D345="","",_xll.ciqfunctions.udf.CIQ(D339,"IQ_BUS_SEG_REV", H338, Valuation_date, ReportType,DataMode, F339,FXMode, $C345)*Scale))</f>
        <v>#NAME?</v>
      </c>
      <c r="G345" s="274" t="e">
        <f ca="1">IF(D345="","",IFERROR(F345/F358,"n/a"))</f>
        <v>#NAME?</v>
      </c>
      <c r="H345" s="274" t="e">
        <f t="shared" ca="1" si="21"/>
        <v>#NAME?</v>
      </c>
      <c r="I345" s="1524" t="e">
        <f ca="1">IF(D337="","",IF(D345="","",_xll.ciqfunctions.udf.CIQ(D339,"IQ_BUS_SEG_DESCRIPTION", H338, Valuation_date, , , , , $C345)))</f>
        <v>#NAME?</v>
      </c>
      <c r="J345" s="175"/>
      <c r="K345" s="1509"/>
    </row>
    <row r="346" spans="1:11">
      <c r="A346" s="1518" t="e">
        <f t="shared" ca="1" si="20"/>
        <v>#NAME?</v>
      </c>
      <c r="B346" s="1518"/>
      <c r="C346" s="227">
        <v>4</v>
      </c>
      <c r="D346" s="223" t="e">
        <f ca="1">IF(D337="","",IF(ISNUMBER(_xll.ciqfunctions.udf.CIQ(D339,"IQ_BUS_SEG_NAME", H338, Valuation_date, , , , , $C346)),"",_xll.ciqfunctions.udf.CIQ(D339,"IQ_BUS_SEG_NAME", H338, Valuation_date, , , , , $C346)))</f>
        <v>#NAME?</v>
      </c>
      <c r="E346" s="187" t="e">
        <f ca="1">IF(D337="","",IF(D346="","",_xll.ciqfunctions.udf.CIQ(D339,"IQ_BUS_SEG_REV", H338-1, Valuation_date, ReportType,DataMode, F339,FXMode, C346)*Scale))</f>
        <v>#NAME?</v>
      </c>
      <c r="F346" s="187" t="e">
        <f ca="1">IF(D337="","",IF(D346="","",_xll.ciqfunctions.udf.CIQ(D339,"IQ_BUS_SEG_REV", H338, Valuation_date, ReportType,DataMode, F339,FXMode, $C346)*Scale))</f>
        <v>#NAME?</v>
      </c>
      <c r="G346" s="274" t="e">
        <f ca="1">IF(D346="","",IFERROR(F346/F358,"n/a"))</f>
        <v>#NAME?</v>
      </c>
      <c r="H346" s="274" t="e">
        <f t="shared" ca="1" si="21"/>
        <v>#NAME?</v>
      </c>
      <c r="I346" s="1524" t="e">
        <f ca="1">IF(D337="","",IF(D346="","",_xll.ciqfunctions.udf.CIQ(D339,"IQ_BUS_SEG_DESCRIPTION", H338, Valuation_date, , , , , $C346)))</f>
        <v>#NAME?</v>
      </c>
      <c r="J346" s="175"/>
      <c r="K346" s="1509"/>
    </row>
    <row r="347" spans="1:11">
      <c r="A347" s="1518" t="e">
        <f t="shared" ca="1" si="20"/>
        <v>#NAME?</v>
      </c>
      <c r="B347" s="1518"/>
      <c r="C347" s="227">
        <v>5</v>
      </c>
      <c r="D347" s="223" t="e">
        <f ca="1">IF(D337="","",IF(ISNUMBER(_xll.ciqfunctions.udf.CIQ(D339,"IQ_BUS_SEG_NAME", H338, Valuation_date, , , , , $C347)),"",_xll.ciqfunctions.udf.CIQ(D339,"IQ_BUS_SEG_NAME", H338, Valuation_date, , , , , $C347)))</f>
        <v>#NAME?</v>
      </c>
      <c r="E347" s="187" t="e">
        <f ca="1">IF(D337="","",IF(D347="","",_xll.ciqfunctions.udf.CIQ(D339,"IQ_BUS_SEG_REV", H338-1, Valuation_date, ReportType,DataMode, F339,FXMode, C347)*Scale))</f>
        <v>#NAME?</v>
      </c>
      <c r="F347" s="187" t="e">
        <f ca="1">IF(D337="","",IF(D347="","",_xll.ciqfunctions.udf.CIQ(D339,"IQ_BUS_SEG_REV", H338, Valuation_date, ReportType,DataMode, F339,FXMode, $C347)*Scale))</f>
        <v>#NAME?</v>
      </c>
      <c r="G347" s="274" t="e">
        <f ca="1">IF(D347="","",IFERROR(F347/F358,"n/a"))</f>
        <v>#NAME?</v>
      </c>
      <c r="H347" s="274" t="e">
        <f t="shared" ca="1" si="21"/>
        <v>#NAME?</v>
      </c>
      <c r="I347" s="1524" t="e">
        <f ca="1">IF(D337="","",IF(D347="","",_xll.ciqfunctions.udf.CIQ(D339,"IQ_BUS_SEG_DESCRIPTION", H338, Valuation_date, , , , , $C347)))</f>
        <v>#NAME?</v>
      </c>
      <c r="J347" s="224"/>
      <c r="K347" s="1509"/>
    </row>
    <row r="348" spans="1:11">
      <c r="A348" s="1518" t="e">
        <f t="shared" ca="1" si="20"/>
        <v>#NAME?</v>
      </c>
      <c r="B348" s="1518"/>
      <c r="C348" s="227">
        <v>6</v>
      </c>
      <c r="D348" s="223" t="e">
        <f ca="1">IF(D337="","",IF(ISNUMBER(_xll.ciqfunctions.udf.CIQ(D339,"IQ_BUS_SEG_NAME", H338, Valuation_date, , , , , $C348)),"",_xll.ciqfunctions.udf.CIQ(D339,"IQ_BUS_SEG_NAME", H338, Valuation_date, , , , , $C348)))</f>
        <v>#NAME?</v>
      </c>
      <c r="E348" s="187" t="e">
        <f ca="1">IF(D337="","",IF(D348="","",_xll.ciqfunctions.udf.CIQ(D339,"IQ_BUS_SEG_REV", H338-1, Valuation_date, ReportType,DataMode, F339,FXMode, C348)*Scale))</f>
        <v>#NAME?</v>
      </c>
      <c r="F348" s="187" t="e">
        <f ca="1">IF(D337="","",IF(D348="","",_xll.ciqfunctions.udf.CIQ(D339,"IQ_BUS_SEG_REV", H338, Valuation_date, ReportType,DataMode, F339,FXMode, $C348)*Scale))</f>
        <v>#NAME?</v>
      </c>
      <c r="G348" s="274" t="e">
        <f ca="1">IF(D348="","",IFERROR(F348/F358,"n/a"))</f>
        <v>#NAME?</v>
      </c>
      <c r="H348" s="274" t="e">
        <f t="shared" ca="1" si="21"/>
        <v>#NAME?</v>
      </c>
      <c r="I348" s="1524" t="e">
        <f ca="1">IF(D337="","",IF(D348="","",_xll.ciqfunctions.udf.CIQ(D339,"IQ_BUS_SEG_DESCRIPTION", H338, Valuation_date, , , , , $C348)))</f>
        <v>#NAME?</v>
      </c>
      <c r="J348" s="224"/>
      <c r="K348" s="1509"/>
    </row>
    <row r="349" spans="1:11">
      <c r="A349" s="1518" t="e">
        <f t="shared" ca="1" si="20"/>
        <v>#NAME?</v>
      </c>
      <c r="B349" s="1518"/>
      <c r="C349" s="227">
        <v>7</v>
      </c>
      <c r="D349" s="223" t="e">
        <f ca="1">IF(D337="","",IF(ISNUMBER(_xll.ciqfunctions.udf.CIQ(D339,"IQ_BUS_SEG_NAME", H338, Valuation_date, , , , , $C349)),"",_xll.ciqfunctions.udf.CIQ(D339,"IQ_BUS_SEG_NAME", H338, Valuation_date, , , , , $C349)))</f>
        <v>#NAME?</v>
      </c>
      <c r="E349" s="187" t="e">
        <f ca="1">IF(D337="","",IF(D349="","",_xll.ciqfunctions.udf.CIQ(D339,"IQ_BUS_SEG_REV", H338-1, Valuation_date, ReportType,DataMode, F339,FXMode, C349)*Scale))</f>
        <v>#NAME?</v>
      </c>
      <c r="F349" s="187" t="e">
        <f ca="1">IF(D337="","",IF(D349="","",_xll.ciqfunctions.udf.CIQ(D339,"IQ_BUS_SEG_REV", H338, Valuation_date, ReportType,DataMode, F339,FXMode, $C349)*Scale))</f>
        <v>#NAME?</v>
      </c>
      <c r="G349" s="274" t="e">
        <f ca="1">IF(D349="","",IFERROR(F349/F358,"n/a"))</f>
        <v>#NAME?</v>
      </c>
      <c r="H349" s="274" t="e">
        <f t="shared" ca="1" si="21"/>
        <v>#NAME?</v>
      </c>
      <c r="I349" s="1524" t="e">
        <f ca="1">IF(D337="","",IF(D349="","",_xll.ciqfunctions.udf.CIQ(D339,"IQ_BUS_SEG_DESCRIPTION", H338, Valuation_date, , , , , $C349)))</f>
        <v>#NAME?</v>
      </c>
      <c r="J349" s="221"/>
      <c r="K349" s="1509"/>
    </row>
    <row r="350" spans="1:11">
      <c r="A350" s="1518" t="e">
        <f t="shared" ca="1" si="20"/>
        <v>#NAME?</v>
      </c>
      <c r="B350" s="1518"/>
      <c r="C350" s="227">
        <v>8</v>
      </c>
      <c r="D350" s="223" t="e">
        <f ca="1">IF(D337="","",IF(ISNUMBER(_xll.ciqfunctions.udf.CIQ(D339,"IQ_BUS_SEG_NAME", H338, Valuation_date, , , , , $C350)),"",_xll.ciqfunctions.udf.CIQ(D339,"IQ_BUS_SEG_NAME", H338, Valuation_date, , , , , $C350)))</f>
        <v>#NAME?</v>
      </c>
      <c r="E350" s="187" t="e">
        <f ca="1">IF(D337="","",IF(D350="","",_xll.ciqfunctions.udf.CIQ(D339,"IQ_BUS_SEG_REV", H338-1, Valuation_date, ReportType,DataMode, F339,FXMode, C350)*Scale))</f>
        <v>#NAME?</v>
      </c>
      <c r="F350" s="187" t="e">
        <f ca="1">IF(D337="","",IF(D350="","",_xll.ciqfunctions.udf.CIQ(D339,"IQ_BUS_SEG_REV", H338, Valuation_date, ReportType,DataMode, F339,FXMode, $C350)*Scale))</f>
        <v>#NAME?</v>
      </c>
      <c r="G350" s="274" t="e">
        <f ca="1">IF(D350="","",IFERROR(F350/F358,"n/a"))</f>
        <v>#NAME?</v>
      </c>
      <c r="H350" s="274" t="e">
        <f t="shared" ca="1" si="21"/>
        <v>#NAME?</v>
      </c>
      <c r="I350" s="1524" t="e">
        <f ca="1">IF(D337="","",IF(D350="","",_xll.ciqfunctions.udf.CIQ(D339,"IQ_BUS_SEG_DESCRIPTION", H338, Valuation_date, , , , , $C350)))</f>
        <v>#NAME?</v>
      </c>
      <c r="J350" s="222"/>
      <c r="K350" s="1509"/>
    </row>
    <row r="351" spans="1:11">
      <c r="A351" s="1518" t="e">
        <f t="shared" ca="1" si="20"/>
        <v>#NAME?</v>
      </c>
      <c r="B351" s="1518"/>
      <c r="C351" s="227">
        <v>9</v>
      </c>
      <c r="D351" s="223" t="e">
        <f ca="1">IF(D337="","",IF(ISNUMBER(_xll.ciqfunctions.udf.CIQ(D339,"IQ_BUS_SEG_NAME", H338, Valuation_date, , , , , $C351)),"",_xll.ciqfunctions.udf.CIQ(D339,"IQ_BUS_SEG_NAME", H338, Valuation_date, , , , , $C351)))</f>
        <v>#NAME?</v>
      </c>
      <c r="E351" s="187" t="e">
        <f ca="1">IF(D337="","",IF(D351="","",_xll.ciqfunctions.udf.CIQ(D339,"IQ_BUS_SEG_REV", H338-1, Valuation_date, ReportType,DataMode, F339,FXMode, C351)*Scale))</f>
        <v>#NAME?</v>
      </c>
      <c r="F351" s="187" t="e">
        <f ca="1">IF(D337="","",IF(D351="","",_xll.ciqfunctions.udf.CIQ(D339,"IQ_BUS_SEG_REV", H338, Valuation_date, ReportType,DataMode, F339,FXMode, $C351)*Scale))</f>
        <v>#NAME?</v>
      </c>
      <c r="G351" s="274" t="e">
        <f ca="1">IF(D351="","",IFERROR(F351/F358,"n/a"))</f>
        <v>#NAME?</v>
      </c>
      <c r="H351" s="274" t="e">
        <f t="shared" ca="1" si="21"/>
        <v>#NAME?</v>
      </c>
      <c r="I351" s="1524" t="e">
        <f ca="1">IF(D337="","",IF(D351="","",_xll.ciqfunctions.udf.CIQ(D339,"IQ_BUS_SEG_DESCRIPTION", H338, Valuation_date, , , , , $C351)))</f>
        <v>#NAME?</v>
      </c>
      <c r="J351" s="222"/>
      <c r="K351" s="1509"/>
    </row>
    <row r="352" spans="1:11">
      <c r="A352" s="1518" t="e">
        <f t="shared" ca="1" si="20"/>
        <v>#NAME?</v>
      </c>
      <c r="B352" s="1518"/>
      <c r="C352" s="227">
        <v>10</v>
      </c>
      <c r="D352" s="223" t="e">
        <f ca="1">IF(D337="","",IF(ISNUMBER(_xll.ciqfunctions.udf.CIQ(D339,"IQ_BUS_SEG_NAME", H338, Valuation_date, , , , , $C352)),"",_xll.ciqfunctions.udf.CIQ(D339,"IQ_BUS_SEG_NAME", H338, Valuation_date, , , , , $C352)))</f>
        <v>#NAME?</v>
      </c>
      <c r="E352" s="187" t="e">
        <f ca="1">IF(D337="","",IF(D352="","",_xll.ciqfunctions.udf.CIQ(D339,"IQ_BUS_SEG_REV", H338-1, Valuation_date, ReportType,DataMode, F339,FXMode, C352)*Scale))</f>
        <v>#NAME?</v>
      </c>
      <c r="F352" s="187" t="e">
        <f ca="1">IF(D337="","",IF(D352="","",_xll.ciqfunctions.udf.CIQ(D339,"IQ_BUS_SEG_REV", H338, Valuation_date, ReportType,DataMode, F339,FXMode, $C352)*Scale))</f>
        <v>#NAME?</v>
      </c>
      <c r="G352" s="274" t="e">
        <f ca="1">IF(D352="","",IFERROR(F352/F358,"n/a"))</f>
        <v>#NAME?</v>
      </c>
      <c r="H352" s="274" t="e">
        <f t="shared" ca="1" si="21"/>
        <v>#NAME?</v>
      </c>
      <c r="I352" s="1524" t="e">
        <f ca="1">IF(D337="","",IF(D352="","",_xll.ciqfunctions.udf.CIQ(D339,"IQ_BUS_SEG_DESCRIPTION", H338, Valuation_date, , , , , $C352)))</f>
        <v>#NAME?</v>
      </c>
      <c r="J352" s="175"/>
      <c r="K352" s="1509"/>
    </row>
    <row r="353" spans="1:26">
      <c r="A353" s="1518" t="e">
        <f t="shared" ca="1" si="20"/>
        <v>#NAME?</v>
      </c>
      <c r="B353" s="1518"/>
      <c r="C353" s="227">
        <v>11</v>
      </c>
      <c r="D353" s="223" t="e">
        <f ca="1">IF(D337="","",IF(ISNUMBER(_xll.ciqfunctions.udf.CIQ(D339,"IQ_BUS_SEG_NAME", H338, Valuation_date, , , , , $C353)),"",_xll.ciqfunctions.udf.CIQ(D339,"IQ_BUS_SEG_NAME", H338, Valuation_date, , , , , $C353)))</f>
        <v>#NAME?</v>
      </c>
      <c r="E353" s="187" t="e">
        <f ca="1">IF(D337="","",IF(D353="","",_xll.ciqfunctions.udf.CIQ(D339,"IQ_BUS_SEG_REV", H338-1, Valuation_date, ReportType,DataMode, F339,FXMode, C353)*Scale))</f>
        <v>#NAME?</v>
      </c>
      <c r="F353" s="187" t="e">
        <f ca="1">IF(D337="","",IF(D353="","",_xll.ciqfunctions.udf.CIQ(D339,"IQ_BUS_SEG_REV", H338, Valuation_date, ReportType,DataMode, F339,FXMode, $C353)*Scale))</f>
        <v>#NAME?</v>
      </c>
      <c r="G353" s="274" t="e">
        <f ca="1">IF(D353="","",IFERROR(F353/F358,"n/a"))</f>
        <v>#NAME?</v>
      </c>
      <c r="H353" s="274" t="e">
        <f t="shared" ca="1" si="21"/>
        <v>#NAME?</v>
      </c>
      <c r="I353" s="1524" t="e">
        <f ca="1">IF(D337="","",IF(D353="","",_xll.ciqfunctions.udf.CIQ(D339,"IQ_BUS_SEG_DESCRIPTION", H338, Valuation_date, , , , , $C353)))</f>
        <v>#NAME?</v>
      </c>
      <c r="J353" s="222"/>
      <c r="K353" s="1509"/>
      <c r="L353" s="1508"/>
      <c r="M353" s="1508"/>
      <c r="N353" s="1508"/>
      <c r="O353" s="2060"/>
      <c r="P353" s="1508"/>
      <c r="Q353" s="1508"/>
      <c r="R353" s="1508"/>
      <c r="S353" s="1508"/>
      <c r="T353" s="1508"/>
      <c r="U353" s="1508"/>
      <c r="V353" s="1508"/>
      <c r="W353" s="1508"/>
      <c r="X353" s="1508"/>
      <c r="Y353" s="1508"/>
      <c r="Z353" s="1508"/>
    </row>
    <row r="354" spans="1:26">
      <c r="A354" s="1518" t="e">
        <f t="shared" ca="1" si="20"/>
        <v>#NAME?</v>
      </c>
      <c r="B354" s="1518"/>
      <c r="C354" s="227">
        <v>12</v>
      </c>
      <c r="D354" s="223" t="e">
        <f ca="1">IF(D337="","",IF(ISNUMBER(_xll.ciqfunctions.udf.CIQ(D339,"IQ_BUS_SEG_NAME", H338, Valuation_date, , , , , $C354)),"",_xll.ciqfunctions.udf.CIQ(D339,"IQ_BUS_SEG_NAME", H338, Valuation_date, , , , , $C354)))</f>
        <v>#NAME?</v>
      </c>
      <c r="E354" s="187" t="e">
        <f ca="1">IF(D337="","",IF(D354="","",_xll.ciqfunctions.udf.CIQ(D339,"IQ_BUS_SEG_REV", H338-1, Valuation_date, ReportType,DataMode, F339,FXMode, C354)*Scale))</f>
        <v>#NAME?</v>
      </c>
      <c r="F354" s="187" t="e">
        <f ca="1">IF(D337="","",IF(D354="","",_xll.ciqfunctions.udf.CIQ(D339,"IQ_BUS_SEG_REV", H338, Valuation_date, ReportType,DataMode, F339,FXMode, $C354)*Scale))</f>
        <v>#NAME?</v>
      </c>
      <c r="G354" s="274" t="e">
        <f ca="1">IF(D354="","",IFERROR(F354/F358,"n/a"))</f>
        <v>#NAME?</v>
      </c>
      <c r="H354" s="274" t="e">
        <f t="shared" ca="1" si="21"/>
        <v>#NAME?</v>
      </c>
      <c r="I354" s="1524" t="e">
        <f ca="1">IF(D337="","",IF(D354="","",_xll.ciqfunctions.udf.CIQ(D339,"IQ_BUS_SEG_DESCRIPTION", H338, Valuation_date, , , , , $C354)))</f>
        <v>#NAME?</v>
      </c>
      <c r="J354" s="222"/>
      <c r="K354" s="1509"/>
      <c r="L354" s="1508"/>
      <c r="M354" s="1508"/>
      <c r="N354" s="1508"/>
      <c r="O354" s="2060"/>
      <c r="P354" s="1508"/>
      <c r="Q354" s="1508"/>
      <c r="R354" s="1508"/>
      <c r="S354" s="1508"/>
      <c r="T354" s="1508"/>
      <c r="U354" s="1508"/>
      <c r="V354" s="1508"/>
      <c r="W354" s="1508"/>
      <c r="X354" s="1508"/>
      <c r="Y354" s="1508"/>
      <c r="Z354" s="1508"/>
    </row>
    <row r="355" spans="1:26">
      <c r="A355" s="1518" t="e">
        <f t="shared" ca="1" si="20"/>
        <v>#NAME?</v>
      </c>
      <c r="B355" s="1518"/>
      <c r="C355" s="227">
        <v>13</v>
      </c>
      <c r="D355" s="223" t="e">
        <f ca="1">IF(D337="","",IF(ISNUMBER(_xll.ciqfunctions.udf.CIQ(D339,"IQ_BUS_SEG_NAME", H338, Valuation_date, , , , , $C355)),"",_xll.ciqfunctions.udf.CIQ(D339,"IQ_BUS_SEG_NAME", H338, Valuation_date, , , , , $C355)))</f>
        <v>#NAME?</v>
      </c>
      <c r="E355" s="187" t="e">
        <f ca="1">IF(D337="","",IF(D355="","",_xll.ciqfunctions.udf.CIQ(D339,"IQ_BUS_SEG_REV", H338-1, Valuation_date, ReportType,DataMode, F339,FXMode, C355)*Scale))</f>
        <v>#NAME?</v>
      </c>
      <c r="F355" s="187" t="e">
        <f ca="1">IF(D337="","",IF(D355="","",_xll.ciqfunctions.udf.CIQ(D339,"IQ_BUS_SEG_REV", H338, Valuation_date, ReportType,DataMode, F339,FXMode, $C355)*Scale))</f>
        <v>#NAME?</v>
      </c>
      <c r="G355" s="274" t="e">
        <f ca="1">IF(D355="","",IFERROR(F355/F358,"n/a"))</f>
        <v>#NAME?</v>
      </c>
      <c r="H355" s="274" t="e">
        <f t="shared" ca="1" si="21"/>
        <v>#NAME?</v>
      </c>
      <c r="I355" s="1524" t="e">
        <f ca="1">IF(D337="","",IF(D355="","",_xll.ciqfunctions.udf.CIQ(D339,"IQ_BUS_SEG_DESCRIPTION", H338, Valuation_date, , , , , $C355)))</f>
        <v>#NAME?</v>
      </c>
      <c r="J355" s="222"/>
      <c r="K355" s="1509"/>
      <c r="L355" s="1508"/>
      <c r="M355" s="1508"/>
      <c r="N355" s="1508"/>
      <c r="O355" s="2060"/>
      <c r="P355" s="1508"/>
      <c r="Q355" s="1508"/>
      <c r="R355" s="1508"/>
      <c r="S355" s="1508"/>
      <c r="T355" s="1508"/>
      <c r="U355" s="1508"/>
      <c r="V355" s="1508"/>
      <c r="W355" s="1508"/>
      <c r="X355" s="1508"/>
      <c r="Y355" s="1508"/>
      <c r="Z355" s="1508"/>
    </row>
    <row r="356" spans="1:26">
      <c r="A356" s="1518" t="e">
        <f ca="1">IF(D356="","n","")</f>
        <v>#NAME?</v>
      </c>
      <c r="B356" s="1518"/>
      <c r="C356" s="227">
        <v>14</v>
      </c>
      <c r="D356" s="223" t="e">
        <f ca="1">IF(D337="","",IF(ISNUMBER(_xll.ciqfunctions.udf.CIQ(D339,"IQ_BUS_SEG_NAME", H338, Valuation_date, , , , , $C356)),"",_xll.ciqfunctions.udf.CIQ(D339,"IQ_BUS_SEG_NAME", H338, Valuation_date, , , , , $C356)))</f>
        <v>#NAME?</v>
      </c>
      <c r="E356" s="187" t="e">
        <f ca="1">IF(D337="","",IF(D356="","",_xll.ciqfunctions.udf.CIQ(D339,"IQ_BUS_SEG_REV", H338-1, Valuation_date, ReportType,DataMode, F339,FXMode, C356)*Scale))</f>
        <v>#NAME?</v>
      </c>
      <c r="F356" s="187" t="e">
        <f ca="1">IF(D337="","",IF(D356="","",_xll.ciqfunctions.udf.CIQ(D339,"IQ_BUS_SEG_REV", H338, Valuation_date, ReportType,DataMode, F339,FXMode, $C356)*Scale))</f>
        <v>#NAME?</v>
      </c>
      <c r="G356" s="274" t="e">
        <f ca="1">IF(D356="","",IFERROR(F356/F358,"n/a"))</f>
        <v>#NAME?</v>
      </c>
      <c r="H356" s="274" t="e">
        <f t="shared" ca="1" si="21"/>
        <v>#NAME?</v>
      </c>
      <c r="I356" s="1524" t="e">
        <f ca="1">IF(D337="","",IF(D356="","",_xll.ciqfunctions.udf.CIQ(D339,"IQ_BUS_SEG_DESCRIPTION", H338, Valuation_date, , , , , $C356)))</f>
        <v>#NAME?</v>
      </c>
      <c r="J356" s="222"/>
      <c r="K356" s="1509"/>
      <c r="L356" s="1508"/>
      <c r="M356" s="1508"/>
      <c r="N356" s="1508"/>
      <c r="O356" s="2060"/>
      <c r="P356" s="1508"/>
      <c r="Q356" s="1508"/>
      <c r="R356" s="1508"/>
      <c r="S356" s="1508"/>
      <c r="T356" s="1508"/>
      <c r="U356" s="1508"/>
      <c r="V356" s="1508"/>
      <c r="W356" s="1508"/>
      <c r="X356" s="1508"/>
      <c r="Y356" s="1508"/>
      <c r="Z356" s="1508"/>
    </row>
    <row r="357" spans="1:26">
      <c r="A357" s="1518" t="e">
        <f ca="1">IF(D357="","n","")</f>
        <v>#NAME?</v>
      </c>
      <c r="B357" s="1518"/>
      <c r="C357" s="227">
        <v>15</v>
      </c>
      <c r="D357" s="223" t="e">
        <f ca="1">IF(D337="","",IF(ISNUMBER(_xll.ciqfunctions.udf.CIQ(D339,"IQ_BUS_SEG_NAME", H338, Valuation_date, , , , , $C357)),"",_xll.ciqfunctions.udf.CIQ(D339,"IQ_BUS_SEG_NAME", H338, Valuation_date, , , , , $C357)))</f>
        <v>#NAME?</v>
      </c>
      <c r="E357" s="187" t="e">
        <f ca="1">IF(D337="","",IF(D357="","",_xll.ciqfunctions.udf.CIQ(D339,"IQ_BUS_SEG_REV", H338-1, Valuation_date, ReportType,DataMode, F339,FXMode, C357)*Scale))</f>
        <v>#NAME?</v>
      </c>
      <c r="F357" s="187" t="e">
        <f ca="1">IF(D337="","",IF(D357="","",_xll.ciqfunctions.udf.CIQ(D339,"IQ_BUS_SEG_REV", H338, Valuation_date, ReportType,DataMode, F339,FXMode, $C357)*Scale))</f>
        <v>#NAME?</v>
      </c>
      <c r="G357" s="274" t="e">
        <f ca="1">IF(D357="","",IFERROR(F357/F358,"n/a"))</f>
        <v>#NAME?</v>
      </c>
      <c r="H357" s="274" t="e">
        <f t="shared" ca="1" si="21"/>
        <v>#NAME?</v>
      </c>
      <c r="I357" s="1524" t="e">
        <f ca="1">IF(D337="","",IF(D357="","",_xll.ciqfunctions.udf.CIQ(D339,"IQ_BUS_SEG_DESCRIPTION", H338, Valuation_date, , , , , $C357)))</f>
        <v>#NAME?</v>
      </c>
      <c r="J357" s="222"/>
      <c r="K357" s="1509"/>
      <c r="L357" s="1508"/>
      <c r="M357" s="1508"/>
      <c r="N357" s="1508"/>
      <c r="O357" s="2060"/>
      <c r="P357" s="1508"/>
      <c r="Q357" s="1508"/>
      <c r="R357" s="1508"/>
      <c r="S357" s="1508"/>
      <c r="T357" s="1508"/>
      <c r="U357" s="1508"/>
      <c r="V357" s="1508"/>
      <c r="W357" s="1508"/>
      <c r="X357" s="1508"/>
      <c r="Y357" s="1508"/>
      <c r="Z357" s="1508"/>
    </row>
    <row r="358" spans="1:26" ht="14.45" thickBot="1">
      <c r="A358" s="1518"/>
      <c r="B358" s="1518"/>
      <c r="C358" s="225"/>
      <c r="D358" s="220" t="s">
        <v>1248</v>
      </c>
      <c r="E358" s="220" t="e">
        <f ca="1">SUM(E343:E357)</f>
        <v>#NAME?</v>
      </c>
      <c r="F358" s="220" t="e">
        <f ca="1">SUM(F343:F357)</f>
        <v>#NAME?</v>
      </c>
      <c r="G358" s="2266" t="e">
        <f ca="1">SUM(G343:G357)</f>
        <v>#NAME?</v>
      </c>
      <c r="H358" s="2266" t="str">
        <f ca="1">IF(D358="","",IFERROR(F358/E358-1,"n/a"))</f>
        <v>n/a</v>
      </c>
      <c r="I358" s="1515"/>
      <c r="J358" s="222"/>
      <c r="K358" s="1509"/>
      <c r="L358" s="1508"/>
      <c r="M358" s="1508"/>
      <c r="N358" s="1508"/>
      <c r="O358" s="2060"/>
      <c r="P358" s="1508"/>
      <c r="Q358" s="1508"/>
      <c r="R358" s="1508"/>
      <c r="S358" s="1508"/>
      <c r="T358" s="1508"/>
      <c r="U358" s="1508"/>
      <c r="V358" s="1508"/>
      <c r="W358" s="1508"/>
      <c r="X358" s="1508"/>
      <c r="Y358" s="1508"/>
      <c r="Z358" s="1508"/>
    </row>
    <row r="359" spans="1:26">
      <c r="A359" s="1518"/>
      <c r="B359" s="1518"/>
      <c r="C359" s="225"/>
      <c r="D359" s="187"/>
      <c r="E359" s="187"/>
      <c r="F359" s="274"/>
      <c r="G359" s="187"/>
      <c r="H359" s="274"/>
      <c r="I359" s="1515"/>
      <c r="J359" s="222"/>
      <c r="K359" s="1509"/>
      <c r="L359" s="1508"/>
      <c r="M359" s="1508"/>
      <c r="N359" s="1508"/>
      <c r="O359" s="2060"/>
      <c r="P359" s="1508"/>
      <c r="Q359" s="1508"/>
      <c r="R359" s="1508"/>
      <c r="S359" s="1508"/>
      <c r="T359" s="1508"/>
      <c r="U359" s="1508"/>
      <c r="V359" s="1508"/>
      <c r="W359" s="1508"/>
      <c r="X359" s="1508"/>
      <c r="Y359" s="1508"/>
      <c r="Z359" s="1508"/>
    </row>
    <row r="360" spans="1:26" s="1508" customFormat="1">
      <c r="A360" s="1518"/>
      <c r="B360" s="1518"/>
      <c r="C360" s="1572"/>
      <c r="D360" s="1514" t="s">
        <v>1707</v>
      </c>
      <c r="E360" s="1579"/>
      <c r="F360" s="1575"/>
      <c r="G360" s="1514"/>
      <c r="H360" s="1575"/>
      <c r="I360" s="1571"/>
      <c r="J360" s="1574"/>
      <c r="K360" s="1509"/>
      <c r="L360" s="2060"/>
      <c r="M360" s="2060"/>
      <c r="O360" s="2060"/>
    </row>
    <row r="361" spans="1:26">
      <c r="A361" s="1518"/>
      <c r="B361" s="1518"/>
      <c r="C361" s="225"/>
      <c r="D361" s="1514" t="s">
        <v>1402</v>
      </c>
      <c r="E361" s="187"/>
      <c r="F361" s="274"/>
      <c r="G361" s="187"/>
      <c r="H361" s="274"/>
      <c r="I361" s="1515"/>
      <c r="J361" s="222"/>
      <c r="K361" s="1509"/>
      <c r="L361" s="1508"/>
      <c r="M361" s="1508"/>
      <c r="N361" s="1508"/>
      <c r="O361" s="2060"/>
      <c r="P361" s="1508"/>
      <c r="Q361" s="1508"/>
      <c r="R361" s="1508"/>
      <c r="S361" s="1508"/>
      <c r="T361" s="1508"/>
      <c r="U361" s="1508"/>
      <c r="V361" s="1508"/>
      <c r="W361" s="1508"/>
      <c r="X361" s="1508"/>
      <c r="Y361" s="1508"/>
      <c r="Z361" s="1508"/>
    </row>
    <row r="362" spans="1:26">
      <c r="A362" s="1518"/>
      <c r="B362" s="1518"/>
      <c r="C362" s="225"/>
      <c r="D362" s="1508"/>
      <c r="E362" s="1508"/>
      <c r="F362" s="1508"/>
      <c r="G362" s="1508"/>
      <c r="H362" s="1508"/>
      <c r="I362" s="1515"/>
      <c r="J362" s="1508"/>
      <c r="K362" s="1509"/>
      <c r="L362" s="2060"/>
      <c r="M362" s="2060"/>
      <c r="N362" s="2060"/>
      <c r="O362" s="2060"/>
      <c r="P362" s="2060"/>
      <c r="Q362" s="2060"/>
      <c r="R362" s="2060"/>
      <c r="S362" s="2060"/>
      <c r="T362" s="1508"/>
      <c r="U362" s="1508"/>
      <c r="V362" s="1508"/>
      <c r="W362" s="1508"/>
      <c r="X362" s="1508"/>
      <c r="Y362" s="1508"/>
      <c r="Z362" s="1508"/>
    </row>
    <row r="363" spans="1:26" s="178" customFormat="1" ht="13.5" customHeight="1">
      <c r="A363" s="1510"/>
      <c r="B363" s="1510"/>
      <c r="C363" s="327"/>
      <c r="D363" s="1513" t="str">
        <f ca="1">FootnoteDRAFT</f>
        <v>Run date: 05-August-2018  02:34 PM.   DRAFT document. All data subject to change upon completion of additional analysis.</v>
      </c>
      <c r="E363" s="1506"/>
      <c r="F363" s="176"/>
      <c r="G363" s="1513"/>
      <c r="H363" s="1513"/>
      <c r="I363" s="1562"/>
      <c r="J363" s="1512"/>
      <c r="K363" s="1509"/>
      <c r="L363" s="2060"/>
      <c r="M363" s="2060"/>
      <c r="N363" s="2060"/>
      <c r="O363" s="2060"/>
      <c r="P363" s="2060"/>
      <c r="Q363" s="2060"/>
      <c r="R363" s="2060"/>
      <c r="S363" s="2060"/>
      <c r="T363" s="2060"/>
      <c r="U363" s="2060"/>
      <c r="V363" s="2060"/>
      <c r="W363" s="2060"/>
      <c r="X363" s="2060"/>
      <c r="Y363" s="2060"/>
      <c r="Z363" s="2060"/>
    </row>
    <row r="364" spans="1:26" s="178" customFormat="1">
      <c r="A364" s="1510" t="s">
        <v>17</v>
      </c>
      <c r="B364" s="1510"/>
      <c r="C364" s="1510"/>
      <c r="D364" s="1510"/>
      <c r="E364" s="683"/>
      <c r="F364" s="1510"/>
      <c r="G364" s="1510"/>
      <c r="H364" s="1510"/>
      <c r="I364" s="1547"/>
      <c r="J364" s="1546" t="str">
        <f ca="1">IF(D372="","Page end","Continue")</f>
        <v>Continue</v>
      </c>
      <c r="K364" s="1510"/>
      <c r="L364" s="2060"/>
      <c r="M364" s="2060"/>
      <c r="N364" s="2060"/>
      <c r="O364" s="2060"/>
      <c r="P364" s="2060"/>
      <c r="Q364" s="2060"/>
      <c r="R364" s="2060"/>
      <c r="S364" s="2060"/>
      <c r="T364" s="2060"/>
      <c r="U364" s="2060"/>
      <c r="V364" s="2060"/>
      <c r="W364" s="2060"/>
      <c r="X364" s="2060"/>
      <c r="Y364" s="2060"/>
      <c r="Z364" s="2060"/>
    </row>
    <row r="365" spans="1:26" ht="18" customHeight="1">
      <c r="A365" s="1518"/>
      <c r="B365" s="1518"/>
      <c r="C365" s="292" t="str">
        <f ca="1">D370</f>
        <v>n/a</v>
      </c>
      <c r="D365" s="172"/>
      <c r="E365" s="674"/>
      <c r="F365" s="172"/>
      <c r="G365" s="172"/>
      <c r="H365" s="172"/>
      <c r="I365" s="1522"/>
      <c r="J365" s="389" t="str">
        <f>$J$1&amp;"."&amp;C370&amp;""</f>
        <v>Workpaper 6.11</v>
      </c>
      <c r="K365" s="1509"/>
      <c r="L365" s="1508"/>
      <c r="M365" s="1508"/>
      <c r="N365" s="1508"/>
      <c r="O365" s="2060"/>
      <c r="P365" s="1508"/>
      <c r="Q365" s="1508"/>
      <c r="R365" s="1508"/>
      <c r="S365" s="1508"/>
      <c r="T365" s="1508"/>
      <c r="U365" s="1508"/>
      <c r="V365" s="1508"/>
      <c r="W365" s="1508"/>
      <c r="X365" s="1508"/>
      <c r="Y365" s="1508"/>
      <c r="Z365" s="1508"/>
    </row>
    <row r="366" spans="1:26" ht="18" customHeight="1">
      <c r="A366" s="1518"/>
      <c r="B366" s="1518"/>
      <c r="C366" s="839" t="s">
        <v>1699</v>
      </c>
      <c r="D366" s="172"/>
      <c r="E366" s="172"/>
      <c r="F366" s="172"/>
      <c r="G366" s="172"/>
      <c r="H366" s="172"/>
      <c r="I366" s="1522"/>
      <c r="J366" s="187"/>
      <c r="K366" s="1509"/>
      <c r="L366" s="1508"/>
      <c r="M366" s="1508"/>
      <c r="N366" s="1508"/>
      <c r="O366" s="2060"/>
      <c r="P366" s="1508"/>
      <c r="Q366" s="1508"/>
      <c r="R366" s="1508"/>
      <c r="S366" s="1508"/>
      <c r="T366" s="1508"/>
      <c r="U366" s="1508"/>
      <c r="V366" s="1508"/>
      <c r="W366" s="1508"/>
      <c r="X366" s="1508"/>
      <c r="Y366" s="1508"/>
      <c r="Z366" s="1508"/>
    </row>
    <row r="367" spans="1:26" ht="18" customHeight="1">
      <c r="A367" s="1518"/>
      <c r="B367" s="1518"/>
      <c r="C367" s="366" t="str">
        <f ca="1">"(" &amp;F372&amp;" in "&amp;ScaleInput&amp;")"</f>
        <v>(USD in Millions)</v>
      </c>
      <c r="D367" s="1508"/>
      <c r="E367" s="170"/>
      <c r="F367" s="170"/>
      <c r="G367" s="170"/>
      <c r="H367" s="170"/>
      <c r="I367" s="1521"/>
      <c r="J367" s="1508"/>
      <c r="K367" s="1509"/>
      <c r="L367" s="1508"/>
      <c r="M367" s="1508"/>
      <c r="N367" s="1508"/>
      <c r="O367" s="2060"/>
      <c r="P367" s="1508"/>
      <c r="Q367" s="1508"/>
      <c r="R367" s="1508"/>
      <c r="S367" s="1508"/>
      <c r="T367" s="1508"/>
      <c r="U367" s="1508"/>
      <c r="V367" s="1508"/>
      <c r="W367" s="1508"/>
      <c r="X367" s="1508"/>
      <c r="Y367" s="1508"/>
      <c r="Z367" s="1508"/>
    </row>
    <row r="368" spans="1:26" ht="18" customHeight="1">
      <c r="A368" s="1518"/>
      <c r="B368" s="1518"/>
      <c r="C368" s="366"/>
      <c r="D368" s="1508"/>
      <c r="E368" s="172"/>
      <c r="F368" s="172"/>
      <c r="G368" s="172"/>
      <c r="H368" s="172"/>
      <c r="I368" s="1522"/>
      <c r="J368" s="1508"/>
      <c r="K368" s="1509"/>
      <c r="L368" s="1508"/>
      <c r="M368" s="1508"/>
      <c r="N368" s="1508"/>
      <c r="O368" s="2060"/>
      <c r="P368" s="1508"/>
      <c r="Q368" s="1508"/>
      <c r="R368" s="1508"/>
      <c r="S368" s="1508"/>
      <c r="T368" s="1508"/>
      <c r="U368" s="1508"/>
      <c r="V368" s="1508"/>
      <c r="W368" s="1508"/>
      <c r="X368" s="1508"/>
      <c r="Y368" s="1508"/>
      <c r="Z368" s="1508"/>
    </row>
    <row r="369" spans="1:11">
      <c r="A369" s="1518"/>
      <c r="B369" s="1518"/>
      <c r="C369" s="1511"/>
      <c r="D369" s="1508"/>
      <c r="E369" s="172"/>
      <c r="F369" s="172"/>
      <c r="G369" s="172"/>
      <c r="H369" s="172"/>
      <c r="I369" s="1522"/>
      <c r="J369" s="1508"/>
      <c r="K369" s="1509"/>
    </row>
    <row r="370" spans="1:11">
      <c r="A370" s="1518"/>
      <c r="B370" s="1518"/>
      <c r="C370" s="226">
        <v>11</v>
      </c>
      <c r="D370" s="179" t="str">
        <f ca="1">IF(D372=0,"n/a",IFERROR(_xll.ciqfunctions.udf.CIQ(D372,"IQ_COMPANY_NAME"),"n/a"))</f>
        <v>n/a</v>
      </c>
      <c r="E370" s="1508"/>
      <c r="F370" s="1508"/>
      <c r="G370" s="1508"/>
      <c r="H370" s="1508"/>
      <c r="I370" s="1515"/>
      <c r="J370" s="1508"/>
      <c r="K370" s="1509"/>
    </row>
    <row r="371" spans="1:11">
      <c r="A371" s="1518"/>
      <c r="B371" s="1518"/>
      <c r="C371" s="225"/>
      <c r="D371" s="2258" t="s">
        <v>134</v>
      </c>
      <c r="E371" s="2258" t="s">
        <v>1708</v>
      </c>
      <c r="F371" s="2262" t="s">
        <v>167</v>
      </c>
      <c r="G371" s="2262" t="s">
        <v>1700</v>
      </c>
      <c r="H371" s="2263">
        <f>INDEX($W$9:$W$14,MATCH(H372,PeriodList,0))</f>
        <v>2000</v>
      </c>
      <c r="I371" s="1515"/>
      <c r="J371" s="201"/>
      <c r="K371" s="1509"/>
    </row>
    <row r="372" spans="1:11">
      <c r="A372" s="1518"/>
      <c r="B372" s="1518"/>
      <c r="C372" s="227"/>
      <c r="D372" s="2249">
        <f ca="1">OFFSET(GCIdentifierTop,C370,0)</f>
        <v>0</v>
      </c>
      <c r="E372" s="2250" t="str">
        <f ca="1">IF($D372="","",IFERROR(_xll.ciqfunctions.udf.CIQ($D372,"IQ_PERIODDATE",H371,Valuation_date),"n/a"))</f>
        <v>n/a</v>
      </c>
      <c r="F372" s="2251" t="str">
        <f ca="1">IFERROR(IF(C370=0,SubjOutputCurrencyCode,IF(D372="","",IF(OutputCurrency="Filing",_xll.ciqfunctions.udf.CIQ($D372,"IQ_FILING_CURRENCY",500,Valuation_date,ReportType,DataMode),OutputCurrency))),OutputCurrency)</f>
        <v>USD</v>
      </c>
      <c r="G372" s="2264" t="e">
        <f ca="1">IF(D370="","",_xll.ciqfunctions.udf.CIQ(D372,"IQ_TOTAL_REV", H371, Valuation_date,ReportType,DataMode,F372,FXMode))</f>
        <v>#NAME?</v>
      </c>
      <c r="H372" s="2265" t="str">
        <f>$H$9</f>
        <v>LTM/LFQ</v>
      </c>
      <c r="I372" s="1523"/>
      <c r="J372" s="174"/>
      <c r="K372" s="1509"/>
    </row>
    <row r="373" spans="1:11">
      <c r="A373" s="1518"/>
      <c r="B373" s="1518"/>
      <c r="C373" s="227"/>
      <c r="D373" s="1508"/>
      <c r="E373" s="1508"/>
      <c r="F373" s="2251"/>
      <c r="G373" s="1508"/>
      <c r="H373" s="1508"/>
      <c r="I373" s="1515"/>
      <c r="J373" s="221"/>
      <c r="K373" s="1509"/>
    </row>
    <row r="374" spans="1:11">
      <c r="A374" s="1518"/>
      <c r="B374" s="1518"/>
      <c r="C374" s="227"/>
      <c r="D374" s="741"/>
      <c r="E374" s="744" t="e">
        <f ca="1">IF(D372="",Valuation_date,_xll.ciqfunctions.udf.CIQ(D372,"IQ_PERIODDATE",H371-IF(LEFT(H372,3)="LFY",1,4),Valuation_date))</f>
        <v>#NAME?</v>
      </c>
      <c r="F374" s="742" t="e">
        <f ca="1">IF(D372="",Valuation_date,_xll.ciqfunctions.udf.CIQ(D372,"IQ_PERIODDATE",H371,Valuation_date))</f>
        <v>#NAME?</v>
      </c>
      <c r="G374" s="741"/>
      <c r="H374" s="743" t="s">
        <v>1702</v>
      </c>
      <c r="I374" s="1587"/>
      <c r="J374" s="221"/>
      <c r="K374" s="1509"/>
    </row>
    <row r="375" spans="1:11">
      <c r="A375" s="1518"/>
      <c r="B375" s="1518"/>
      <c r="C375" s="227"/>
      <c r="D375" s="2254" t="s">
        <v>1703</v>
      </c>
      <c r="E375" s="2255" t="s">
        <v>1458</v>
      </c>
      <c r="F375" s="2255" t="s">
        <v>1458</v>
      </c>
      <c r="G375" s="2255" t="s">
        <v>1704</v>
      </c>
      <c r="H375" s="2255" t="s">
        <v>1705</v>
      </c>
      <c r="I375" s="2256" t="s">
        <v>1706</v>
      </c>
      <c r="J375" s="222"/>
      <c r="K375" s="1509"/>
    </row>
    <row r="376" spans="1:11">
      <c r="A376" s="1518" t="e">
        <f t="shared" ref="A376:A388" ca="1" si="22">IF(D376="","n","")</f>
        <v>#NAME?</v>
      </c>
      <c r="B376" s="1518"/>
      <c r="C376" s="227">
        <v>1</v>
      </c>
      <c r="D376" s="223" t="e">
        <f ca="1">IF(D370="","",IF(ISNUMBER(_xll.ciqfunctions.udf.CIQ(D372,"IQ_BUS_SEG_NAME", H371, Valuation_date, , , , , $C376)),"",_xll.ciqfunctions.udf.CIQ(D372,"IQ_BUS_SEG_NAME", H371, Valuation_date, , , , , $C376)))</f>
        <v>#NAME?</v>
      </c>
      <c r="E376" s="187" t="e">
        <f ca="1">IF(D370="","",IF(D376="","",_xll.ciqfunctions.udf.CIQ(D372,"IQ_BUS_SEG_REV", H371-1, Valuation_date, ReportType,DataMode, F372,FXMode, C376)*Scale))</f>
        <v>#NAME?</v>
      </c>
      <c r="F376" s="187" t="e">
        <f ca="1">IF(D370="","",IF(D376="","",_xll.ciqfunctions.udf.CIQ(D372,"IQ_BUS_SEG_REV", H371, Valuation_date, ReportType,DataMode, F372,FXMode, $C376)*Scale))</f>
        <v>#NAME?</v>
      </c>
      <c r="G376" s="274" t="e">
        <f ca="1">IF(D376="","",IFERROR(F376/F391,"n/a"))</f>
        <v>#NAME?</v>
      </c>
      <c r="H376" s="274" t="e">
        <f ca="1">IF(D376="","",IFERROR(F376/E376-1,"n/a"))</f>
        <v>#NAME?</v>
      </c>
      <c r="I376" s="1524" t="e">
        <f ca="1">IF(D370="","",IF(D376="","",_xll.ciqfunctions.udf.CIQ(D372,"IQ_BUS_SEG_DESCRIPTION", H371, Valuation_date, , , , , $C376)))</f>
        <v>#NAME?</v>
      </c>
      <c r="J376" s="175"/>
      <c r="K376" s="1509"/>
    </row>
    <row r="377" spans="1:11">
      <c r="A377" s="1518" t="e">
        <f t="shared" ca="1" si="22"/>
        <v>#NAME?</v>
      </c>
      <c r="B377" s="1518"/>
      <c r="C377" s="227">
        <v>2</v>
      </c>
      <c r="D377" s="223" t="e">
        <f ca="1">IF(D370="","",IF(ISNUMBER(_xll.ciqfunctions.udf.CIQ(D372,"IQ_BUS_SEG_NAME", H371, Valuation_date, , , , , $C377)),"",_xll.ciqfunctions.udf.CIQ(D372,"IQ_BUS_SEG_NAME", H371, Valuation_date, , , , , $C377)))</f>
        <v>#NAME?</v>
      </c>
      <c r="E377" s="187" t="e">
        <f ca="1">IF(D370="","",IF(D377="","",_xll.ciqfunctions.udf.CIQ(D372,"IQ_BUS_SEG_REV", H371-1, Valuation_date, ReportType,DataMode, F372,FXMode, C377)*Scale))</f>
        <v>#NAME?</v>
      </c>
      <c r="F377" s="187" t="e">
        <f ca="1">IF(D370="","",IF(D377="","",_xll.ciqfunctions.udf.CIQ(D372,"IQ_BUS_SEG_REV", H371, Valuation_date, ReportType,DataMode, F372,FXMode, $C377)*Scale))</f>
        <v>#NAME?</v>
      </c>
      <c r="G377" s="274" t="e">
        <f ca="1">IF(D377="","",IFERROR(F377/F391,"n/a"))</f>
        <v>#NAME?</v>
      </c>
      <c r="H377" s="274" t="e">
        <f t="shared" ref="H377:H390" ca="1" si="23">IF(D377="","",IFERROR(F377/E377-1,"n/a"))</f>
        <v>#NAME?</v>
      </c>
      <c r="I377" s="1524" t="e">
        <f ca="1">IF(D370="","",IF(D377="","",_xll.ciqfunctions.udf.CIQ(D372,"IQ_BUS_SEG_DESCRIPTION", H371, Valuation_date, , , , , $C377)))</f>
        <v>#NAME?</v>
      </c>
      <c r="J377" s="175"/>
      <c r="K377" s="1509"/>
    </row>
    <row r="378" spans="1:11">
      <c r="A378" s="1518" t="e">
        <f t="shared" ca="1" si="22"/>
        <v>#NAME?</v>
      </c>
      <c r="B378" s="1518"/>
      <c r="C378" s="227">
        <v>3</v>
      </c>
      <c r="D378" s="223" t="e">
        <f ca="1">IF(D370="","",IF(ISNUMBER(_xll.ciqfunctions.udf.CIQ(D372,"IQ_BUS_SEG_NAME", H371, Valuation_date, , , , , $C378)),"",_xll.ciqfunctions.udf.CIQ(D372,"IQ_BUS_SEG_NAME", H371, Valuation_date, , , , , $C378)))</f>
        <v>#NAME?</v>
      </c>
      <c r="E378" s="187" t="e">
        <f ca="1">IF(D370="","",IF(D378="","",_xll.ciqfunctions.udf.CIQ(D372,"IQ_BUS_SEG_REV", H371-1, Valuation_date, ReportType,DataMode, F372,FXMode, C378)*Scale))</f>
        <v>#NAME?</v>
      </c>
      <c r="F378" s="187" t="e">
        <f ca="1">IF(D370="","",IF(D378="","",_xll.ciqfunctions.udf.CIQ(D372,"IQ_BUS_SEG_REV", H371, Valuation_date, ReportType,DataMode, F372,FXMode, $C378)*Scale))</f>
        <v>#NAME?</v>
      </c>
      <c r="G378" s="274" t="e">
        <f ca="1">IF(D378="","",IFERROR(F378/F391,"n/a"))</f>
        <v>#NAME?</v>
      </c>
      <c r="H378" s="274" t="e">
        <f t="shared" ca="1" si="23"/>
        <v>#NAME?</v>
      </c>
      <c r="I378" s="1524" t="e">
        <f ca="1">IF(D370="","",IF(D378="","",_xll.ciqfunctions.udf.CIQ(D372,"IQ_BUS_SEG_DESCRIPTION", H371, Valuation_date, , , , , $C378)))</f>
        <v>#NAME?</v>
      </c>
      <c r="J378" s="175"/>
      <c r="K378" s="1509"/>
    </row>
    <row r="379" spans="1:11">
      <c r="A379" s="1518" t="e">
        <f t="shared" ca="1" si="22"/>
        <v>#NAME?</v>
      </c>
      <c r="B379" s="1518"/>
      <c r="C379" s="227">
        <v>4</v>
      </c>
      <c r="D379" s="223" t="e">
        <f ca="1">IF(D370="","",IF(ISNUMBER(_xll.ciqfunctions.udf.CIQ(D372,"IQ_BUS_SEG_NAME", H371, Valuation_date, , , , , $C379)),"",_xll.ciqfunctions.udf.CIQ(D372,"IQ_BUS_SEG_NAME", H371, Valuation_date, , , , , $C379)))</f>
        <v>#NAME?</v>
      </c>
      <c r="E379" s="187" t="e">
        <f ca="1">IF(D370="","",IF(D379="","",_xll.ciqfunctions.udf.CIQ(D372,"IQ_BUS_SEG_REV", H371-1, Valuation_date, ReportType,DataMode, F372,FXMode, C379)*Scale))</f>
        <v>#NAME?</v>
      </c>
      <c r="F379" s="187" t="e">
        <f ca="1">IF(D370="","",IF(D379="","",_xll.ciqfunctions.udf.CIQ(D372,"IQ_BUS_SEG_REV", H371, Valuation_date, ReportType,DataMode, F372,FXMode, $C379)*Scale))</f>
        <v>#NAME?</v>
      </c>
      <c r="G379" s="274" t="e">
        <f ca="1">IF(D379="","",IFERROR(F379/F391,"n/a"))</f>
        <v>#NAME?</v>
      </c>
      <c r="H379" s="274" t="e">
        <f t="shared" ca="1" si="23"/>
        <v>#NAME?</v>
      </c>
      <c r="I379" s="1524" t="e">
        <f ca="1">IF(D370="","",IF(D379="","",_xll.ciqfunctions.udf.CIQ(D372,"IQ_BUS_SEG_DESCRIPTION", H371, Valuation_date, , , , , $C379)))</f>
        <v>#NAME?</v>
      </c>
      <c r="J379" s="175"/>
      <c r="K379" s="1509"/>
    </row>
    <row r="380" spans="1:11">
      <c r="A380" s="1518" t="e">
        <f t="shared" ca="1" si="22"/>
        <v>#NAME?</v>
      </c>
      <c r="B380" s="1518"/>
      <c r="C380" s="227">
        <v>5</v>
      </c>
      <c r="D380" s="223" t="e">
        <f ca="1">IF(D370="","",IF(ISNUMBER(_xll.ciqfunctions.udf.CIQ(D372,"IQ_BUS_SEG_NAME", H371, Valuation_date, , , , , $C380)),"",_xll.ciqfunctions.udf.CIQ(D372,"IQ_BUS_SEG_NAME", H371, Valuation_date, , , , , $C380)))</f>
        <v>#NAME?</v>
      </c>
      <c r="E380" s="187" t="e">
        <f ca="1">IF(D370="","",IF(D380="","",_xll.ciqfunctions.udf.CIQ(D372,"IQ_BUS_SEG_REV", H371-1, Valuation_date, ReportType,DataMode, F372,FXMode, C380)*Scale))</f>
        <v>#NAME?</v>
      </c>
      <c r="F380" s="187" t="e">
        <f ca="1">IF(D370="","",IF(D380="","",_xll.ciqfunctions.udf.CIQ(D372,"IQ_BUS_SEG_REV", H371, Valuation_date, ReportType,DataMode, F372,FXMode, $C380)*Scale))</f>
        <v>#NAME?</v>
      </c>
      <c r="G380" s="274" t="e">
        <f ca="1">IF(D380="","",IFERROR(F380/F391,"n/a"))</f>
        <v>#NAME?</v>
      </c>
      <c r="H380" s="274" t="e">
        <f t="shared" ca="1" si="23"/>
        <v>#NAME?</v>
      </c>
      <c r="I380" s="1524" t="e">
        <f ca="1">IF(D370="","",IF(D380="","",_xll.ciqfunctions.udf.CIQ(D372,"IQ_BUS_SEG_DESCRIPTION", H371, Valuation_date, , , , , $C380)))</f>
        <v>#NAME?</v>
      </c>
      <c r="J380" s="224"/>
      <c r="K380" s="1509"/>
    </row>
    <row r="381" spans="1:11">
      <c r="A381" s="1518" t="e">
        <f t="shared" ca="1" si="22"/>
        <v>#NAME?</v>
      </c>
      <c r="B381" s="1518"/>
      <c r="C381" s="227">
        <v>6</v>
      </c>
      <c r="D381" s="223" t="e">
        <f ca="1">IF(D370="","",IF(ISNUMBER(_xll.ciqfunctions.udf.CIQ(D372,"IQ_BUS_SEG_NAME", H371, Valuation_date, , , , , $C381)),"",_xll.ciqfunctions.udf.CIQ(D372,"IQ_BUS_SEG_NAME", H371, Valuation_date, , , , , $C381)))</f>
        <v>#NAME?</v>
      </c>
      <c r="E381" s="187" t="e">
        <f ca="1">IF(D370="","",IF(D381="","",_xll.ciqfunctions.udf.CIQ(D372,"IQ_BUS_SEG_REV", H371-1, Valuation_date, ReportType,DataMode, F372,FXMode, C381)*Scale))</f>
        <v>#NAME?</v>
      </c>
      <c r="F381" s="187" t="e">
        <f ca="1">IF(D370="","",IF(D381="","",_xll.ciqfunctions.udf.CIQ(D372,"IQ_BUS_SEG_REV", H371, Valuation_date, ReportType,DataMode, F372,FXMode, $C381)*Scale))</f>
        <v>#NAME?</v>
      </c>
      <c r="G381" s="274" t="e">
        <f ca="1">IF(D381="","",IFERROR(F381/F391,"n/a"))</f>
        <v>#NAME?</v>
      </c>
      <c r="H381" s="274" t="e">
        <f t="shared" ca="1" si="23"/>
        <v>#NAME?</v>
      </c>
      <c r="I381" s="1524" t="e">
        <f ca="1">IF(D370="","",IF(D381="","",_xll.ciqfunctions.udf.CIQ(D372,"IQ_BUS_SEG_DESCRIPTION", H371, Valuation_date, , , , , $C381)))</f>
        <v>#NAME?</v>
      </c>
      <c r="J381" s="224"/>
      <c r="K381" s="1509"/>
    </row>
    <row r="382" spans="1:11">
      <c r="A382" s="1518" t="e">
        <f t="shared" ca="1" si="22"/>
        <v>#NAME?</v>
      </c>
      <c r="B382" s="1518"/>
      <c r="C382" s="227">
        <v>7</v>
      </c>
      <c r="D382" s="223" t="e">
        <f ca="1">IF(D370="","",IF(ISNUMBER(_xll.ciqfunctions.udf.CIQ(D372,"IQ_BUS_SEG_NAME", H371, Valuation_date, , , , , $C382)),"",_xll.ciqfunctions.udf.CIQ(D372,"IQ_BUS_SEG_NAME", H371, Valuation_date, , , , , $C382)))</f>
        <v>#NAME?</v>
      </c>
      <c r="E382" s="187" t="e">
        <f ca="1">IF(D370="","",IF(D382="","",_xll.ciqfunctions.udf.CIQ(D372,"IQ_BUS_SEG_REV", H371-1, Valuation_date, ReportType,DataMode, F372,FXMode, C382)*Scale))</f>
        <v>#NAME?</v>
      </c>
      <c r="F382" s="187" t="e">
        <f ca="1">IF(D370="","",IF(D382="","",_xll.ciqfunctions.udf.CIQ(D372,"IQ_BUS_SEG_REV", H371, Valuation_date, ReportType,DataMode, F372,FXMode, $C382)*Scale))</f>
        <v>#NAME?</v>
      </c>
      <c r="G382" s="274" t="e">
        <f ca="1">IF(D382="","",IFERROR(F382/F391,"n/a"))</f>
        <v>#NAME?</v>
      </c>
      <c r="H382" s="274" t="e">
        <f t="shared" ca="1" si="23"/>
        <v>#NAME?</v>
      </c>
      <c r="I382" s="1524" t="e">
        <f ca="1">IF(D370="","",IF(D382="","",_xll.ciqfunctions.udf.CIQ(D372,"IQ_BUS_SEG_DESCRIPTION", H371, Valuation_date, , , , , $C382)))</f>
        <v>#NAME?</v>
      </c>
      <c r="J382" s="221"/>
      <c r="K382" s="1509"/>
    </row>
    <row r="383" spans="1:11">
      <c r="A383" s="1518" t="e">
        <f t="shared" ca="1" si="22"/>
        <v>#NAME?</v>
      </c>
      <c r="B383" s="1518"/>
      <c r="C383" s="227">
        <v>8</v>
      </c>
      <c r="D383" s="223" t="e">
        <f ca="1">IF(D370="","",IF(ISNUMBER(_xll.ciqfunctions.udf.CIQ(D372,"IQ_BUS_SEG_NAME", H371, Valuation_date, , , , , $C383)),"",_xll.ciqfunctions.udf.CIQ(D372,"IQ_BUS_SEG_NAME", H371, Valuation_date, , , , , $C383)))</f>
        <v>#NAME?</v>
      </c>
      <c r="E383" s="187" t="e">
        <f ca="1">IF(D370="","",IF(D383="","",_xll.ciqfunctions.udf.CIQ(D372,"IQ_BUS_SEG_REV", H371-1, Valuation_date, ReportType,DataMode, F372,FXMode, C383)*Scale))</f>
        <v>#NAME?</v>
      </c>
      <c r="F383" s="187" t="e">
        <f ca="1">IF(D370="","",IF(D383="","",_xll.ciqfunctions.udf.CIQ(D372,"IQ_BUS_SEG_REV", H371, Valuation_date, ReportType,DataMode, F372,FXMode, $C383)*Scale))</f>
        <v>#NAME?</v>
      </c>
      <c r="G383" s="274" t="e">
        <f ca="1">IF(D383="","",IFERROR(F383/F391,"n/a"))</f>
        <v>#NAME?</v>
      </c>
      <c r="H383" s="274" t="e">
        <f t="shared" ca="1" si="23"/>
        <v>#NAME?</v>
      </c>
      <c r="I383" s="1524" t="e">
        <f ca="1">IF(D370="","",IF(D383="","",_xll.ciqfunctions.udf.CIQ(D372,"IQ_BUS_SEG_DESCRIPTION", H371, Valuation_date, , , , , $C383)))</f>
        <v>#NAME?</v>
      </c>
      <c r="J383" s="222"/>
      <c r="K383" s="1509"/>
    </row>
    <row r="384" spans="1:11">
      <c r="A384" s="1518" t="e">
        <f t="shared" ca="1" si="22"/>
        <v>#NAME?</v>
      </c>
      <c r="B384" s="1518"/>
      <c r="C384" s="227">
        <v>9</v>
      </c>
      <c r="D384" s="223" t="e">
        <f ca="1">IF(D370="","",IF(ISNUMBER(_xll.ciqfunctions.udf.CIQ(D372,"IQ_BUS_SEG_NAME", H371, Valuation_date, , , , , $C384)),"",_xll.ciqfunctions.udf.CIQ(D372,"IQ_BUS_SEG_NAME", H371, Valuation_date, , , , , $C384)))</f>
        <v>#NAME?</v>
      </c>
      <c r="E384" s="187" t="e">
        <f ca="1">IF(D370="","",IF(D384="","",_xll.ciqfunctions.udf.CIQ(D372,"IQ_BUS_SEG_REV", H371-1, Valuation_date, ReportType,DataMode, F372,FXMode, C384)*Scale))</f>
        <v>#NAME?</v>
      </c>
      <c r="F384" s="187" t="e">
        <f ca="1">IF(D370="","",IF(D384="","",_xll.ciqfunctions.udf.CIQ(D372,"IQ_BUS_SEG_REV", H371, Valuation_date, ReportType,DataMode, F372,FXMode, $C384)*Scale))</f>
        <v>#NAME?</v>
      </c>
      <c r="G384" s="274" t="e">
        <f ca="1">IF(D384="","",IFERROR(F384/F391,"n/a"))</f>
        <v>#NAME?</v>
      </c>
      <c r="H384" s="274" t="e">
        <f t="shared" ca="1" si="23"/>
        <v>#NAME?</v>
      </c>
      <c r="I384" s="1524" t="e">
        <f ca="1">IF(D370="","",IF(D384="","",_xll.ciqfunctions.udf.CIQ(D372,"IQ_BUS_SEG_DESCRIPTION", H371, Valuation_date, , , , , $C384)))</f>
        <v>#NAME?</v>
      </c>
      <c r="J384" s="222"/>
      <c r="K384" s="1509"/>
    </row>
    <row r="385" spans="1:26">
      <c r="A385" s="1518" t="e">
        <f t="shared" ca="1" si="22"/>
        <v>#NAME?</v>
      </c>
      <c r="B385" s="1518"/>
      <c r="C385" s="227">
        <v>10</v>
      </c>
      <c r="D385" s="223" t="e">
        <f ca="1">IF(D370="","",IF(ISNUMBER(_xll.ciqfunctions.udf.CIQ(D372,"IQ_BUS_SEG_NAME", H371, Valuation_date, , , , , $C385)),"",_xll.ciqfunctions.udf.CIQ(D372,"IQ_BUS_SEG_NAME", H371, Valuation_date, , , , , $C385)))</f>
        <v>#NAME?</v>
      </c>
      <c r="E385" s="187" t="e">
        <f ca="1">IF(D370="","",IF(D385="","",_xll.ciqfunctions.udf.CIQ(D372,"IQ_BUS_SEG_REV", H371-1, Valuation_date, ReportType,DataMode, F372,FXMode, C385)*Scale))</f>
        <v>#NAME?</v>
      </c>
      <c r="F385" s="187" t="e">
        <f ca="1">IF(D370="","",IF(D385="","",_xll.ciqfunctions.udf.CIQ(D372,"IQ_BUS_SEG_REV", H371, Valuation_date, ReportType,DataMode, F372,FXMode, $C385)*Scale))</f>
        <v>#NAME?</v>
      </c>
      <c r="G385" s="274" t="e">
        <f ca="1">IF(D385="","",IFERROR(F385/F391,"n/a"))</f>
        <v>#NAME?</v>
      </c>
      <c r="H385" s="274" t="e">
        <f t="shared" ca="1" si="23"/>
        <v>#NAME?</v>
      </c>
      <c r="I385" s="1524" t="e">
        <f ca="1">IF(D370="","",IF(D385="","",_xll.ciqfunctions.udf.CIQ(D372,"IQ_BUS_SEG_DESCRIPTION", H371, Valuation_date, , , , , $C385)))</f>
        <v>#NAME?</v>
      </c>
      <c r="J385" s="175"/>
      <c r="K385" s="1509"/>
      <c r="L385" s="1508"/>
      <c r="M385" s="1508"/>
      <c r="N385" s="1508"/>
      <c r="O385" s="2060"/>
      <c r="P385" s="1508"/>
      <c r="Q385" s="1508"/>
      <c r="R385" s="1508"/>
      <c r="S385" s="1508"/>
      <c r="T385" s="1508"/>
      <c r="U385" s="1508"/>
      <c r="V385" s="1508"/>
      <c r="W385" s="1508"/>
      <c r="X385" s="1508"/>
      <c r="Y385" s="1508"/>
      <c r="Z385" s="1508"/>
    </row>
    <row r="386" spans="1:26">
      <c r="A386" s="1518" t="e">
        <f t="shared" ca="1" si="22"/>
        <v>#NAME?</v>
      </c>
      <c r="B386" s="1518"/>
      <c r="C386" s="227">
        <v>11</v>
      </c>
      <c r="D386" s="223" t="e">
        <f ca="1">IF(D370="","",IF(ISNUMBER(_xll.ciqfunctions.udf.CIQ(D372,"IQ_BUS_SEG_NAME", H371, Valuation_date, , , , , $C386)),"",_xll.ciqfunctions.udf.CIQ(D372,"IQ_BUS_SEG_NAME", H371, Valuation_date, , , , , $C386)))</f>
        <v>#NAME?</v>
      </c>
      <c r="E386" s="187" t="e">
        <f ca="1">IF(D370="","",IF(D386="","",_xll.ciqfunctions.udf.CIQ(D372,"IQ_BUS_SEG_REV", H371-1, Valuation_date, ReportType,DataMode, F372,FXMode, C386)*Scale))</f>
        <v>#NAME?</v>
      </c>
      <c r="F386" s="187" t="e">
        <f ca="1">IF(D370="","",IF(D386="","",_xll.ciqfunctions.udf.CIQ(D372,"IQ_BUS_SEG_REV", H371, Valuation_date, ReportType,DataMode, F372,FXMode, $C386)*Scale))</f>
        <v>#NAME?</v>
      </c>
      <c r="G386" s="274" t="e">
        <f ca="1">IF(D386="","",IFERROR(F386/F391,"n/a"))</f>
        <v>#NAME?</v>
      </c>
      <c r="H386" s="274" t="e">
        <f t="shared" ca="1" si="23"/>
        <v>#NAME?</v>
      </c>
      <c r="I386" s="1524" t="e">
        <f ca="1">IF(D370="","",IF(D386="","",_xll.ciqfunctions.udf.CIQ(D372,"IQ_BUS_SEG_DESCRIPTION", H371, Valuation_date, , , , , $C386)))</f>
        <v>#NAME?</v>
      </c>
      <c r="J386" s="222"/>
      <c r="K386" s="1509"/>
      <c r="L386" s="1508"/>
      <c r="M386" s="1508"/>
      <c r="N386" s="1508"/>
      <c r="O386" s="2060"/>
      <c r="P386" s="1508"/>
      <c r="Q386" s="1508"/>
      <c r="R386" s="1508"/>
      <c r="S386" s="1508"/>
      <c r="T386" s="1508"/>
      <c r="U386" s="1508"/>
      <c r="V386" s="1508"/>
      <c r="W386" s="1508"/>
      <c r="X386" s="1508"/>
      <c r="Y386" s="1508"/>
      <c r="Z386" s="1508"/>
    </row>
    <row r="387" spans="1:26">
      <c r="A387" s="1518" t="e">
        <f t="shared" ca="1" si="22"/>
        <v>#NAME?</v>
      </c>
      <c r="B387" s="1518"/>
      <c r="C387" s="227">
        <v>12</v>
      </c>
      <c r="D387" s="223" t="e">
        <f ca="1">IF(D370="","",IF(ISNUMBER(_xll.ciqfunctions.udf.CIQ(D372,"IQ_BUS_SEG_NAME", H371, Valuation_date, , , , , $C387)),"",_xll.ciqfunctions.udf.CIQ(D372,"IQ_BUS_SEG_NAME", H371, Valuation_date, , , , , $C387)))</f>
        <v>#NAME?</v>
      </c>
      <c r="E387" s="187" t="e">
        <f ca="1">IF(D370="","",IF(D387="","",_xll.ciqfunctions.udf.CIQ(D372,"IQ_BUS_SEG_REV", H371-1, Valuation_date, ReportType,DataMode, F372,FXMode, C387)*Scale))</f>
        <v>#NAME?</v>
      </c>
      <c r="F387" s="187" t="e">
        <f ca="1">IF(D370="","",IF(D387="","",_xll.ciqfunctions.udf.CIQ(D372,"IQ_BUS_SEG_REV", H371, Valuation_date, ReportType,DataMode, F372,FXMode, $C387)*Scale))</f>
        <v>#NAME?</v>
      </c>
      <c r="G387" s="274" t="e">
        <f ca="1">IF(D387="","",IFERROR(F387/F391,"n/a"))</f>
        <v>#NAME?</v>
      </c>
      <c r="H387" s="274" t="e">
        <f t="shared" ca="1" si="23"/>
        <v>#NAME?</v>
      </c>
      <c r="I387" s="1524" t="e">
        <f ca="1">IF(D370="","",IF(D387="","",_xll.ciqfunctions.udf.CIQ(D372,"IQ_BUS_SEG_DESCRIPTION", H371, Valuation_date, , , , , $C387)))</f>
        <v>#NAME?</v>
      </c>
      <c r="J387" s="222"/>
      <c r="K387" s="1509"/>
      <c r="L387" s="1508"/>
      <c r="M387" s="1508"/>
      <c r="N387" s="1508"/>
      <c r="O387" s="2060"/>
      <c r="P387" s="1508"/>
      <c r="Q387" s="1508"/>
      <c r="R387" s="1508"/>
      <c r="S387" s="1508"/>
      <c r="T387" s="1508"/>
      <c r="U387" s="1508"/>
      <c r="V387" s="1508"/>
      <c r="W387" s="1508"/>
      <c r="X387" s="1508"/>
      <c r="Y387" s="1508"/>
      <c r="Z387" s="1508"/>
    </row>
    <row r="388" spans="1:26">
      <c r="A388" s="1518" t="e">
        <f t="shared" ca="1" si="22"/>
        <v>#NAME?</v>
      </c>
      <c r="B388" s="1518"/>
      <c r="C388" s="227">
        <v>13</v>
      </c>
      <c r="D388" s="223" t="e">
        <f ca="1">IF(D370="","",IF(ISNUMBER(_xll.ciqfunctions.udf.CIQ(D372,"IQ_BUS_SEG_NAME", H371, Valuation_date, , , , , $C388)),"",_xll.ciqfunctions.udf.CIQ(D372,"IQ_BUS_SEG_NAME", H371, Valuation_date, , , , , $C388)))</f>
        <v>#NAME?</v>
      </c>
      <c r="E388" s="187" t="e">
        <f ca="1">IF(D370="","",IF(D388="","",_xll.ciqfunctions.udf.CIQ(D372,"IQ_BUS_SEG_REV", H371-1, Valuation_date, ReportType,DataMode, F372,FXMode, C388)*Scale))</f>
        <v>#NAME?</v>
      </c>
      <c r="F388" s="187" t="e">
        <f ca="1">IF(D370="","",IF(D388="","",_xll.ciqfunctions.udf.CIQ(D372,"IQ_BUS_SEG_REV", H371, Valuation_date, ReportType,DataMode, F372,FXMode, $C388)*Scale))</f>
        <v>#NAME?</v>
      </c>
      <c r="G388" s="274" t="e">
        <f ca="1">IF(D388="","",IFERROR(F388/F391,"n/a"))</f>
        <v>#NAME?</v>
      </c>
      <c r="H388" s="274" t="e">
        <f t="shared" ca="1" si="23"/>
        <v>#NAME?</v>
      </c>
      <c r="I388" s="1524" t="e">
        <f ca="1">IF(D370="","",IF(D388="","",_xll.ciqfunctions.udf.CIQ(D372,"IQ_BUS_SEG_DESCRIPTION", H371, Valuation_date, , , , , $C388)))</f>
        <v>#NAME?</v>
      </c>
      <c r="J388" s="222"/>
      <c r="K388" s="1509"/>
      <c r="L388" s="1508"/>
      <c r="M388" s="1508"/>
      <c r="N388" s="1508"/>
      <c r="O388" s="2060"/>
      <c r="P388" s="1508"/>
      <c r="Q388" s="1508"/>
      <c r="R388" s="1508"/>
      <c r="S388" s="1508"/>
      <c r="T388" s="1508"/>
      <c r="U388" s="1508"/>
      <c r="V388" s="1508"/>
      <c r="W388" s="1508"/>
      <c r="X388" s="1508"/>
      <c r="Y388" s="1508"/>
      <c r="Z388" s="1508"/>
    </row>
    <row r="389" spans="1:26">
      <c r="A389" s="1518" t="e">
        <f ca="1">IF(D389="","n","")</f>
        <v>#NAME?</v>
      </c>
      <c r="B389" s="1518"/>
      <c r="C389" s="227">
        <v>14</v>
      </c>
      <c r="D389" s="223" t="e">
        <f ca="1">IF(D370="","",IF(ISNUMBER(_xll.ciqfunctions.udf.CIQ(D372,"IQ_BUS_SEG_NAME", H371, Valuation_date, , , , , $C389)),"",_xll.ciqfunctions.udf.CIQ(D372,"IQ_BUS_SEG_NAME", H371, Valuation_date, , , , , $C389)))</f>
        <v>#NAME?</v>
      </c>
      <c r="E389" s="187" t="e">
        <f ca="1">IF(D370="","",IF(D389="","",_xll.ciqfunctions.udf.CIQ(D372,"IQ_BUS_SEG_REV", H371-1, Valuation_date, ReportType,DataMode, F372,FXMode, C389)*Scale))</f>
        <v>#NAME?</v>
      </c>
      <c r="F389" s="187" t="e">
        <f ca="1">IF(D370="","",IF(D389="","",_xll.ciqfunctions.udf.CIQ(D372,"IQ_BUS_SEG_REV", H371, Valuation_date, ReportType,DataMode, F372,FXMode, $C389)*Scale))</f>
        <v>#NAME?</v>
      </c>
      <c r="G389" s="274" t="e">
        <f ca="1">IF(D389="","",IFERROR(F389/F391,"n/a"))</f>
        <v>#NAME?</v>
      </c>
      <c r="H389" s="274" t="e">
        <f t="shared" ca="1" si="23"/>
        <v>#NAME?</v>
      </c>
      <c r="I389" s="1524" t="e">
        <f ca="1">IF(D370="","",IF(D389="","",_xll.ciqfunctions.udf.CIQ(D372,"IQ_BUS_SEG_DESCRIPTION", H371, Valuation_date, , , , , $C389)))</f>
        <v>#NAME?</v>
      </c>
      <c r="J389" s="222"/>
      <c r="K389" s="1509"/>
      <c r="L389" s="1508"/>
      <c r="M389" s="1508"/>
      <c r="N389" s="1508"/>
      <c r="O389" s="2060"/>
      <c r="P389" s="1508"/>
      <c r="Q389" s="1508"/>
      <c r="R389" s="1508"/>
      <c r="S389" s="1508"/>
      <c r="T389" s="1508"/>
      <c r="U389" s="1508"/>
      <c r="V389" s="1508"/>
      <c r="W389" s="1508"/>
      <c r="X389" s="1508"/>
      <c r="Y389" s="1508"/>
      <c r="Z389" s="1508"/>
    </row>
    <row r="390" spans="1:26">
      <c r="A390" s="1518" t="e">
        <f ca="1">IF(D390="","n","")</f>
        <v>#NAME?</v>
      </c>
      <c r="B390" s="1518"/>
      <c r="C390" s="227">
        <v>15</v>
      </c>
      <c r="D390" s="223" t="e">
        <f ca="1">IF(D370="","",IF(ISNUMBER(_xll.ciqfunctions.udf.CIQ(D372,"IQ_BUS_SEG_NAME", H371, Valuation_date, , , , , $C390)),"",_xll.ciqfunctions.udf.CIQ(D372,"IQ_BUS_SEG_NAME", H371, Valuation_date, , , , , $C390)))</f>
        <v>#NAME?</v>
      </c>
      <c r="E390" s="187" t="e">
        <f ca="1">IF(D370="","",IF(D390="","",_xll.ciqfunctions.udf.CIQ(D372,"IQ_BUS_SEG_REV", H371-1, Valuation_date, ReportType,DataMode, F372,FXMode, C390)*Scale))</f>
        <v>#NAME?</v>
      </c>
      <c r="F390" s="187" t="e">
        <f ca="1">IF(D370="","",IF(D390="","",_xll.ciqfunctions.udf.CIQ(D372,"IQ_BUS_SEG_REV", H371, Valuation_date, ReportType,DataMode, F372,FXMode, $C390)*Scale))</f>
        <v>#NAME?</v>
      </c>
      <c r="G390" s="274" t="e">
        <f ca="1">IF(D390="","",IFERROR(F390/F391,"n/a"))</f>
        <v>#NAME?</v>
      </c>
      <c r="H390" s="274" t="e">
        <f t="shared" ca="1" si="23"/>
        <v>#NAME?</v>
      </c>
      <c r="I390" s="1524" t="e">
        <f ca="1">IF(D370="","",IF(D390="","",_xll.ciqfunctions.udf.CIQ(D372,"IQ_BUS_SEG_DESCRIPTION", H371, Valuation_date, , , , , $C390)))</f>
        <v>#NAME?</v>
      </c>
      <c r="J390" s="222"/>
      <c r="K390" s="1509"/>
      <c r="L390" s="1508"/>
      <c r="M390" s="1508"/>
      <c r="N390" s="1508"/>
      <c r="O390" s="2060"/>
      <c r="P390" s="1508"/>
      <c r="Q390" s="1508"/>
      <c r="R390" s="1508"/>
      <c r="S390" s="1508"/>
      <c r="T390" s="1508"/>
      <c r="U390" s="1508"/>
      <c r="V390" s="1508"/>
      <c r="W390" s="1508"/>
      <c r="X390" s="1508"/>
      <c r="Y390" s="1508"/>
      <c r="Z390" s="1508"/>
    </row>
    <row r="391" spans="1:26" ht="14.45" thickBot="1">
      <c r="A391" s="1518"/>
      <c r="B391" s="1518"/>
      <c r="C391" s="225"/>
      <c r="D391" s="220" t="s">
        <v>1248</v>
      </c>
      <c r="E391" s="220" t="e">
        <f ca="1">SUM(E376:E390)</f>
        <v>#NAME?</v>
      </c>
      <c r="F391" s="220" t="e">
        <f ca="1">SUM(F376:F390)</f>
        <v>#NAME?</v>
      </c>
      <c r="G391" s="2266" t="e">
        <f ca="1">SUM(G376:G390)</f>
        <v>#NAME?</v>
      </c>
      <c r="H391" s="2266" t="str">
        <f ca="1">IF(D391="","",IFERROR(F391/E391-1,"n/a"))</f>
        <v>n/a</v>
      </c>
      <c r="I391" s="1515"/>
      <c r="J391" s="222"/>
      <c r="K391" s="1509"/>
      <c r="L391" s="1508"/>
      <c r="M391" s="1508"/>
      <c r="N391" s="1508"/>
      <c r="O391" s="2060"/>
      <c r="P391" s="1508"/>
      <c r="Q391" s="1508"/>
      <c r="R391" s="1508"/>
      <c r="S391" s="1508"/>
      <c r="T391" s="1508"/>
      <c r="U391" s="1508"/>
      <c r="V391" s="1508"/>
      <c r="W391" s="1508"/>
      <c r="X391" s="1508"/>
      <c r="Y391" s="1508"/>
      <c r="Z391" s="1508"/>
    </row>
    <row r="392" spans="1:26">
      <c r="A392" s="1518"/>
      <c r="B392" s="1518"/>
      <c r="C392" s="225"/>
      <c r="D392" s="187"/>
      <c r="E392" s="187"/>
      <c r="F392" s="274"/>
      <c r="G392" s="187"/>
      <c r="H392" s="274"/>
      <c r="I392" s="1515"/>
      <c r="J392" s="222"/>
      <c r="K392" s="1509"/>
      <c r="L392" s="1508"/>
      <c r="M392" s="1508"/>
      <c r="N392" s="1508"/>
      <c r="O392" s="2060"/>
      <c r="P392" s="1508"/>
      <c r="Q392" s="1508"/>
      <c r="R392" s="1508"/>
      <c r="S392" s="1508"/>
      <c r="T392" s="1508"/>
      <c r="U392" s="1508"/>
      <c r="V392" s="1508"/>
      <c r="W392" s="1508"/>
      <c r="X392" s="1508"/>
      <c r="Y392" s="1508"/>
      <c r="Z392" s="1508"/>
    </row>
    <row r="393" spans="1:26" s="1508" customFormat="1">
      <c r="A393" s="1518"/>
      <c r="B393" s="1518"/>
      <c r="C393" s="1572"/>
      <c r="D393" s="1514" t="s">
        <v>1707</v>
      </c>
      <c r="E393" s="1579"/>
      <c r="F393" s="1575"/>
      <c r="G393" s="1514"/>
      <c r="H393" s="1575"/>
      <c r="I393" s="1571"/>
      <c r="J393" s="1574"/>
      <c r="K393" s="1509"/>
      <c r="L393" s="2060"/>
      <c r="M393" s="2060"/>
      <c r="O393" s="2060"/>
    </row>
    <row r="394" spans="1:26">
      <c r="A394" s="1518"/>
      <c r="B394" s="1518"/>
      <c r="C394" s="225"/>
      <c r="D394" s="1514" t="s">
        <v>1402</v>
      </c>
      <c r="E394" s="187"/>
      <c r="F394" s="274"/>
      <c r="G394" s="187"/>
      <c r="H394" s="274"/>
      <c r="I394" s="1515"/>
      <c r="J394" s="222"/>
      <c r="K394" s="1509"/>
      <c r="L394" s="1508"/>
      <c r="M394" s="1508"/>
      <c r="N394" s="1508"/>
      <c r="O394" s="2060"/>
      <c r="P394" s="1508"/>
      <c r="Q394" s="1508"/>
      <c r="R394" s="1508"/>
      <c r="S394" s="1508"/>
      <c r="T394" s="1508"/>
      <c r="U394" s="1508"/>
      <c r="V394" s="1508"/>
      <c r="W394" s="1508"/>
      <c r="X394" s="1508"/>
      <c r="Y394" s="1508"/>
      <c r="Z394" s="1508"/>
    </row>
    <row r="395" spans="1:26">
      <c r="A395" s="1518"/>
      <c r="B395" s="1518"/>
      <c r="C395" s="225"/>
      <c r="D395" s="1508"/>
      <c r="E395" s="1508"/>
      <c r="F395" s="1508"/>
      <c r="G395" s="1508"/>
      <c r="H395" s="1508"/>
      <c r="I395" s="1515"/>
      <c r="J395" s="1508"/>
      <c r="K395" s="1509"/>
      <c r="L395" s="2060"/>
      <c r="M395" s="2060"/>
      <c r="N395" s="2060"/>
      <c r="O395" s="2060"/>
      <c r="P395" s="2060"/>
      <c r="Q395" s="2060"/>
      <c r="R395" s="2060"/>
      <c r="S395" s="2060"/>
      <c r="T395" s="1508"/>
      <c r="U395" s="1508"/>
      <c r="V395" s="1508"/>
      <c r="W395" s="1508"/>
      <c r="X395" s="1508"/>
      <c r="Y395" s="1508"/>
      <c r="Z395" s="1508"/>
    </row>
    <row r="396" spans="1:26" s="178" customFormat="1" ht="13.5" customHeight="1">
      <c r="A396" s="1510"/>
      <c r="B396" s="1510"/>
      <c r="C396" s="327"/>
      <c r="D396" s="1513" t="str">
        <f ca="1">FootnoteDRAFT</f>
        <v>Run date: 05-August-2018  02:34 PM.   DRAFT document. All data subject to change upon completion of additional analysis.</v>
      </c>
      <c r="E396" s="1506"/>
      <c r="F396" s="176"/>
      <c r="G396" s="1513"/>
      <c r="H396" s="1513"/>
      <c r="I396" s="1562"/>
      <c r="J396" s="1512"/>
      <c r="K396" s="1509"/>
      <c r="L396" s="2060"/>
      <c r="M396" s="2060"/>
      <c r="N396" s="2060"/>
      <c r="O396" s="2060"/>
      <c r="P396" s="2060"/>
      <c r="Q396" s="2060"/>
      <c r="R396" s="2060"/>
      <c r="S396" s="2060"/>
      <c r="T396" s="2060"/>
      <c r="U396" s="2060"/>
      <c r="V396" s="2060"/>
      <c r="W396" s="2060"/>
      <c r="X396" s="2060"/>
      <c r="Y396" s="2060"/>
      <c r="Z396" s="2060"/>
    </row>
    <row r="397" spans="1:26" s="178" customFormat="1">
      <c r="A397" s="1510" t="s">
        <v>17</v>
      </c>
      <c r="B397" s="1510"/>
      <c r="C397" s="1510"/>
      <c r="D397" s="1510"/>
      <c r="E397" s="683"/>
      <c r="F397" s="1510"/>
      <c r="G397" s="1510"/>
      <c r="H397" s="1510"/>
      <c r="I397" s="1547"/>
      <c r="J397" s="1546" t="str">
        <f ca="1">IF(D405="","Page end","Continue")</f>
        <v>Continue</v>
      </c>
      <c r="K397" s="1510"/>
      <c r="L397" s="2060"/>
      <c r="M397" s="2060"/>
      <c r="N397" s="2060"/>
      <c r="O397" s="2060"/>
      <c r="P397" s="2060"/>
      <c r="Q397" s="2060"/>
      <c r="R397" s="2060"/>
      <c r="S397" s="2060"/>
      <c r="T397" s="2060"/>
      <c r="U397" s="2060"/>
      <c r="V397" s="2060"/>
      <c r="W397" s="2060"/>
      <c r="X397" s="2060"/>
      <c r="Y397" s="2060"/>
      <c r="Z397" s="2060"/>
    </row>
    <row r="398" spans="1:26" ht="18" customHeight="1">
      <c r="A398" s="1518"/>
      <c r="B398" s="1518"/>
      <c r="C398" s="292" t="str">
        <f ca="1">D403</f>
        <v>n/a</v>
      </c>
      <c r="D398" s="172"/>
      <c r="E398" s="674"/>
      <c r="F398" s="172"/>
      <c r="G398" s="172"/>
      <c r="H398" s="172"/>
      <c r="I398" s="1522"/>
      <c r="J398" s="389" t="str">
        <f>$J$1&amp;"."&amp;C403&amp;""</f>
        <v>Workpaper 6.12</v>
      </c>
      <c r="K398" s="1509"/>
      <c r="L398" s="1508"/>
      <c r="M398" s="1508"/>
      <c r="N398" s="1508"/>
      <c r="O398" s="2060"/>
      <c r="P398" s="1508"/>
      <c r="Q398" s="1508"/>
      <c r="R398" s="1508"/>
      <c r="S398" s="1508"/>
      <c r="T398" s="1508"/>
      <c r="U398" s="1508"/>
      <c r="V398" s="1508"/>
      <c r="W398" s="1508"/>
      <c r="X398" s="1508"/>
      <c r="Y398" s="1508"/>
      <c r="Z398" s="1508"/>
    </row>
    <row r="399" spans="1:26" ht="18" customHeight="1">
      <c r="A399" s="1518"/>
      <c r="B399" s="1518"/>
      <c r="C399" s="839" t="s">
        <v>1699</v>
      </c>
      <c r="D399" s="172"/>
      <c r="E399" s="172"/>
      <c r="F399" s="172"/>
      <c r="G399" s="172"/>
      <c r="H399" s="172"/>
      <c r="I399" s="1522"/>
      <c r="J399" s="187"/>
      <c r="K399" s="1509"/>
      <c r="L399" s="1508"/>
      <c r="M399" s="1508"/>
      <c r="N399" s="1508"/>
      <c r="O399" s="2060"/>
      <c r="P399" s="1508"/>
      <c r="Q399" s="1508"/>
      <c r="R399" s="1508"/>
      <c r="S399" s="1508"/>
      <c r="T399" s="1508"/>
      <c r="U399" s="1508"/>
      <c r="V399" s="1508"/>
      <c r="W399" s="1508"/>
      <c r="X399" s="1508"/>
      <c r="Y399" s="1508"/>
      <c r="Z399" s="1508"/>
    </row>
    <row r="400" spans="1:26" ht="18" customHeight="1">
      <c r="A400" s="1518"/>
      <c r="B400" s="1518"/>
      <c r="C400" s="366" t="str">
        <f ca="1">"(" &amp;F405&amp;" in "&amp;ScaleInput&amp;")"</f>
        <v>(USD in Millions)</v>
      </c>
      <c r="D400" s="1508"/>
      <c r="E400" s="170"/>
      <c r="F400" s="170"/>
      <c r="G400" s="170"/>
      <c r="H400" s="170"/>
      <c r="I400" s="1521"/>
      <c r="J400" s="1508"/>
      <c r="K400" s="1509"/>
      <c r="L400" s="1508"/>
      <c r="M400" s="1508"/>
      <c r="N400" s="1508"/>
      <c r="O400" s="2060"/>
      <c r="P400" s="1508"/>
      <c r="Q400" s="1508"/>
      <c r="R400" s="1508"/>
      <c r="S400" s="1508"/>
      <c r="T400" s="1508"/>
      <c r="U400" s="1508"/>
      <c r="V400" s="1508"/>
      <c r="W400" s="1508"/>
      <c r="X400" s="1508"/>
      <c r="Y400" s="1508"/>
      <c r="Z400" s="1508"/>
    </row>
    <row r="401" spans="1:11" ht="18" customHeight="1">
      <c r="A401" s="1518"/>
      <c r="B401" s="1518"/>
      <c r="C401" s="366"/>
      <c r="D401" s="1508"/>
      <c r="E401" s="172"/>
      <c r="F401" s="172"/>
      <c r="G401" s="172"/>
      <c r="H401" s="172"/>
      <c r="I401" s="1522"/>
      <c r="J401" s="1508"/>
      <c r="K401" s="1509"/>
    </row>
    <row r="402" spans="1:11">
      <c r="A402" s="1518"/>
      <c r="B402" s="1518"/>
      <c r="C402" s="1511"/>
      <c r="D402" s="1508"/>
      <c r="E402" s="172"/>
      <c r="F402" s="172"/>
      <c r="G402" s="172"/>
      <c r="H402" s="172"/>
      <c r="I402" s="1522"/>
      <c r="J402" s="1508"/>
      <c r="K402" s="1509"/>
    </row>
    <row r="403" spans="1:11">
      <c r="A403" s="1518"/>
      <c r="B403" s="1518"/>
      <c r="C403" s="226">
        <v>12</v>
      </c>
      <c r="D403" s="179" t="str">
        <f ca="1">IF(D405=0,"n/a",IFERROR(_xll.ciqfunctions.udf.CIQ(D405,"IQ_COMPANY_NAME"),"n/a"))</f>
        <v>n/a</v>
      </c>
      <c r="E403" s="1508"/>
      <c r="F403" s="1508"/>
      <c r="G403" s="1508"/>
      <c r="H403" s="1508"/>
      <c r="I403" s="1515"/>
      <c r="J403" s="1508"/>
      <c r="K403" s="1509"/>
    </row>
    <row r="404" spans="1:11">
      <c r="A404" s="1518"/>
      <c r="B404" s="1518"/>
      <c r="C404" s="225"/>
      <c r="D404" s="2258" t="s">
        <v>134</v>
      </c>
      <c r="E404" s="2258" t="s">
        <v>1708</v>
      </c>
      <c r="F404" s="2262" t="s">
        <v>167</v>
      </c>
      <c r="G404" s="2262" t="s">
        <v>1700</v>
      </c>
      <c r="H404" s="2263">
        <f>INDEX($W$9:$W$14,MATCH(H405,PeriodList,0))</f>
        <v>2000</v>
      </c>
      <c r="I404" s="1515"/>
      <c r="J404" s="201"/>
      <c r="K404" s="1509"/>
    </row>
    <row r="405" spans="1:11">
      <c r="A405" s="1518"/>
      <c r="B405" s="1518"/>
      <c r="C405" s="227"/>
      <c r="D405" s="2249">
        <f ca="1">OFFSET(GCIdentifierTop,C403,0)</f>
        <v>0</v>
      </c>
      <c r="E405" s="2250" t="str">
        <f ca="1">IF($D405="","",IFERROR(_xll.ciqfunctions.udf.CIQ($D405,"IQ_PERIODDATE",H404,Valuation_date),"n/a"))</f>
        <v>n/a</v>
      </c>
      <c r="F405" s="2251" t="str">
        <f ca="1">IFERROR(IF(C403=0,SubjOutputCurrencyCode,IF(D405="","",IF(OutputCurrency="Filing",_xll.ciqfunctions.udf.CIQ($D405,"IQ_FILING_CURRENCY",500,Valuation_date,ReportType,DataMode),OutputCurrency))),OutputCurrency)</f>
        <v>USD</v>
      </c>
      <c r="G405" s="2264" t="e">
        <f ca="1">IF(D403="","",_xll.ciqfunctions.udf.CIQ(D405,"IQ_TOTAL_REV", H404, Valuation_date,ReportType,DataMode,F405,FXMode))</f>
        <v>#NAME?</v>
      </c>
      <c r="H405" s="2265" t="str">
        <f>$H$9</f>
        <v>LTM/LFQ</v>
      </c>
      <c r="I405" s="1523"/>
      <c r="J405" s="174"/>
      <c r="K405" s="1509"/>
    </row>
    <row r="406" spans="1:11">
      <c r="A406" s="1518"/>
      <c r="B406" s="1518"/>
      <c r="C406" s="227"/>
      <c r="D406" s="1508"/>
      <c r="E406" s="1508"/>
      <c r="F406" s="1508"/>
      <c r="G406" s="1508"/>
      <c r="H406" s="1508"/>
      <c r="I406" s="1515"/>
      <c r="J406" s="221"/>
      <c r="K406" s="1509"/>
    </row>
    <row r="407" spans="1:11">
      <c r="A407" s="1518"/>
      <c r="B407" s="1518"/>
      <c r="C407" s="227"/>
      <c r="D407" s="741"/>
      <c r="E407" s="744" t="e">
        <f ca="1">IF(D405="",Valuation_date,_xll.ciqfunctions.udf.CIQ(D405,"IQ_PERIODDATE",H404-IF(LEFT(H405,3)="LFY",1,4),Valuation_date))</f>
        <v>#NAME?</v>
      </c>
      <c r="F407" s="742" t="e">
        <f ca="1">IF(D405="",Valuation_date,_xll.ciqfunctions.udf.CIQ(D405,"IQ_PERIODDATE",H404,Valuation_date))</f>
        <v>#NAME?</v>
      </c>
      <c r="G407" s="741"/>
      <c r="H407" s="743" t="s">
        <v>1702</v>
      </c>
      <c r="I407" s="1587"/>
      <c r="J407" s="221"/>
      <c r="K407" s="1509"/>
    </row>
    <row r="408" spans="1:11">
      <c r="A408" s="1518"/>
      <c r="B408" s="1518"/>
      <c r="C408" s="227"/>
      <c r="D408" s="2254" t="s">
        <v>1703</v>
      </c>
      <c r="E408" s="2255" t="s">
        <v>1458</v>
      </c>
      <c r="F408" s="2255" t="s">
        <v>1458</v>
      </c>
      <c r="G408" s="2255" t="s">
        <v>1704</v>
      </c>
      <c r="H408" s="2255" t="s">
        <v>1705</v>
      </c>
      <c r="I408" s="2256" t="s">
        <v>1706</v>
      </c>
      <c r="J408" s="222"/>
      <c r="K408" s="1509"/>
    </row>
    <row r="409" spans="1:11">
      <c r="A409" s="1518" t="e">
        <f t="shared" ref="A409:A421" ca="1" si="24">IF(D409="","n","")</f>
        <v>#NAME?</v>
      </c>
      <c r="B409" s="1518"/>
      <c r="C409" s="227">
        <v>1</v>
      </c>
      <c r="D409" s="223" t="e">
        <f ca="1">IF(D403="","",IF(ISNUMBER(_xll.ciqfunctions.udf.CIQ(D405,"IQ_BUS_SEG_NAME", H404, Valuation_date, , , , , $C409)),"",_xll.ciqfunctions.udf.CIQ(D405,"IQ_BUS_SEG_NAME", H404, Valuation_date, , , , , $C409)))</f>
        <v>#NAME?</v>
      </c>
      <c r="E409" s="187" t="e">
        <f ca="1">IF(D403="","",IF(D409="","",_xll.ciqfunctions.udf.CIQ(D405,"IQ_BUS_SEG_REV", H404-1, Valuation_date, ReportType,DataMode, F405,FXMode, C409)*Scale))</f>
        <v>#NAME?</v>
      </c>
      <c r="F409" s="187" t="e">
        <f ca="1">IF(D403="","",IF(D409="","",_xll.ciqfunctions.udf.CIQ(D405,"IQ_BUS_SEG_REV", H404, Valuation_date, ReportType,DataMode, F405,FXMode, $C409)*Scale))</f>
        <v>#NAME?</v>
      </c>
      <c r="G409" s="274" t="e">
        <f ca="1">IF(D409="","",IFERROR(F409/F424,"n/a"))</f>
        <v>#NAME?</v>
      </c>
      <c r="H409" s="274" t="e">
        <f ca="1">IF(D409="","",IFERROR(F409/E409-1,"n/a"))</f>
        <v>#NAME?</v>
      </c>
      <c r="I409" s="1524" t="e">
        <f ca="1">IF(D403="","",IF(D409="","",_xll.ciqfunctions.udf.CIQ(D405,"IQ_BUS_SEG_DESCRIPTION", H404, Valuation_date, , , , , $C409)))</f>
        <v>#NAME?</v>
      </c>
      <c r="J409" s="175"/>
      <c r="K409" s="1509"/>
    </row>
    <row r="410" spans="1:11">
      <c r="A410" s="1518" t="e">
        <f t="shared" ca="1" si="24"/>
        <v>#NAME?</v>
      </c>
      <c r="B410" s="1518"/>
      <c r="C410" s="227">
        <v>2</v>
      </c>
      <c r="D410" s="223" t="e">
        <f ca="1">IF(D403="","",IF(ISNUMBER(_xll.ciqfunctions.udf.CIQ(D405,"IQ_BUS_SEG_NAME", H404, Valuation_date, , , , , $C410)),"",_xll.ciqfunctions.udf.CIQ(D405,"IQ_BUS_SEG_NAME", H404, Valuation_date, , , , , $C410)))</f>
        <v>#NAME?</v>
      </c>
      <c r="E410" s="187" t="e">
        <f ca="1">IF(D403="","",IF(D410="","",_xll.ciqfunctions.udf.CIQ(D405,"IQ_BUS_SEG_REV", H404-1, Valuation_date, ReportType,DataMode, F405,FXMode, C410)*Scale))</f>
        <v>#NAME?</v>
      </c>
      <c r="F410" s="187" t="e">
        <f ca="1">IF(D403="","",IF(D410="","",_xll.ciqfunctions.udf.CIQ(D405,"IQ_BUS_SEG_REV", H404, Valuation_date, ReportType,DataMode, F405,FXMode, $C410)*Scale))</f>
        <v>#NAME?</v>
      </c>
      <c r="G410" s="274" t="e">
        <f ca="1">IF(D410="","",IFERROR(F410/F424,"n/a"))</f>
        <v>#NAME?</v>
      </c>
      <c r="H410" s="274" t="e">
        <f t="shared" ref="H410:H423" ca="1" si="25">IF(D410="","",IFERROR(F410/E410-1,"n/a"))</f>
        <v>#NAME?</v>
      </c>
      <c r="I410" s="1524" t="e">
        <f ca="1">IF(D403="","",IF(D410="","",_xll.ciqfunctions.udf.CIQ(D405,"IQ_BUS_SEG_DESCRIPTION", H404, Valuation_date, , , , , $C410)))</f>
        <v>#NAME?</v>
      </c>
      <c r="J410" s="175"/>
      <c r="K410" s="1509"/>
    </row>
    <row r="411" spans="1:11">
      <c r="A411" s="1518" t="e">
        <f t="shared" ca="1" si="24"/>
        <v>#NAME?</v>
      </c>
      <c r="B411" s="1518"/>
      <c r="C411" s="227">
        <v>3</v>
      </c>
      <c r="D411" s="223" t="e">
        <f ca="1">IF(D403="","",IF(ISNUMBER(_xll.ciqfunctions.udf.CIQ(D405,"IQ_BUS_SEG_NAME", H404, Valuation_date, , , , , $C411)),"",_xll.ciqfunctions.udf.CIQ(D405,"IQ_BUS_SEG_NAME", H404, Valuation_date, , , , , $C411)))</f>
        <v>#NAME?</v>
      </c>
      <c r="E411" s="187" t="e">
        <f ca="1">IF(D403="","",IF(D411="","",_xll.ciqfunctions.udf.CIQ(D405,"IQ_BUS_SEG_REV", H404-1, Valuation_date, ReportType,DataMode, F405,FXMode, C411)*Scale))</f>
        <v>#NAME?</v>
      </c>
      <c r="F411" s="187" t="e">
        <f ca="1">IF(D403="","",IF(D411="","",_xll.ciqfunctions.udf.CIQ(D405,"IQ_BUS_SEG_REV", H404, Valuation_date, ReportType,DataMode, F405,FXMode, $C411)*Scale))</f>
        <v>#NAME?</v>
      </c>
      <c r="G411" s="274" t="e">
        <f ca="1">IF(D411="","",IFERROR(F411/F424,"n/a"))</f>
        <v>#NAME?</v>
      </c>
      <c r="H411" s="274" t="e">
        <f t="shared" ca="1" si="25"/>
        <v>#NAME?</v>
      </c>
      <c r="I411" s="1524" t="e">
        <f ca="1">IF(D403="","",IF(D411="","",_xll.ciqfunctions.udf.CIQ(D405,"IQ_BUS_SEG_DESCRIPTION", H404, Valuation_date, , , , , $C411)))</f>
        <v>#NAME?</v>
      </c>
      <c r="J411" s="175"/>
      <c r="K411" s="1509"/>
    </row>
    <row r="412" spans="1:11">
      <c r="A412" s="1518" t="e">
        <f t="shared" ca="1" si="24"/>
        <v>#NAME?</v>
      </c>
      <c r="B412" s="1518"/>
      <c r="C412" s="227">
        <v>4</v>
      </c>
      <c r="D412" s="223" t="e">
        <f ca="1">IF(D403="","",IF(ISNUMBER(_xll.ciqfunctions.udf.CIQ(D405,"IQ_BUS_SEG_NAME", H404, Valuation_date, , , , , $C412)),"",_xll.ciqfunctions.udf.CIQ(D405,"IQ_BUS_SEG_NAME", H404, Valuation_date, , , , , $C412)))</f>
        <v>#NAME?</v>
      </c>
      <c r="E412" s="187" t="e">
        <f ca="1">IF(D403="","",IF(D412="","",_xll.ciqfunctions.udf.CIQ(D405,"IQ_BUS_SEG_REV", H404-1, Valuation_date, ReportType,DataMode, F405,FXMode, C412)*Scale))</f>
        <v>#NAME?</v>
      </c>
      <c r="F412" s="187" t="e">
        <f ca="1">IF(D403="","",IF(D412="","",_xll.ciqfunctions.udf.CIQ(D405,"IQ_BUS_SEG_REV", H404, Valuation_date, ReportType,DataMode, F405,FXMode, $C412)*Scale))</f>
        <v>#NAME?</v>
      </c>
      <c r="G412" s="274" t="e">
        <f ca="1">IF(D412="","",IFERROR(F412/F424,"n/a"))</f>
        <v>#NAME?</v>
      </c>
      <c r="H412" s="274" t="e">
        <f t="shared" ca="1" si="25"/>
        <v>#NAME?</v>
      </c>
      <c r="I412" s="1524" t="e">
        <f ca="1">IF(D403="","",IF(D412="","",_xll.ciqfunctions.udf.CIQ(D405,"IQ_BUS_SEG_DESCRIPTION", H404, Valuation_date, , , , , $C412)))</f>
        <v>#NAME?</v>
      </c>
      <c r="J412" s="175"/>
      <c r="K412" s="1509"/>
    </row>
    <row r="413" spans="1:11">
      <c r="A413" s="1518" t="e">
        <f t="shared" ca="1" si="24"/>
        <v>#NAME?</v>
      </c>
      <c r="B413" s="1518"/>
      <c r="C413" s="227">
        <v>5</v>
      </c>
      <c r="D413" s="223" t="e">
        <f ca="1">IF(D403="","",IF(ISNUMBER(_xll.ciqfunctions.udf.CIQ(D405,"IQ_BUS_SEG_NAME", H404, Valuation_date, , , , , $C413)),"",_xll.ciqfunctions.udf.CIQ(D405,"IQ_BUS_SEG_NAME", H404, Valuation_date, , , , , $C413)))</f>
        <v>#NAME?</v>
      </c>
      <c r="E413" s="187" t="e">
        <f ca="1">IF(D403="","",IF(D413="","",_xll.ciqfunctions.udf.CIQ(D405,"IQ_BUS_SEG_REV", H404-1, Valuation_date, ReportType,DataMode, F405,FXMode, C413)*Scale))</f>
        <v>#NAME?</v>
      </c>
      <c r="F413" s="187" t="e">
        <f ca="1">IF(D403="","",IF(D413="","",_xll.ciqfunctions.udf.CIQ(D405,"IQ_BUS_SEG_REV", H404, Valuation_date, ReportType,DataMode, F405,FXMode, $C413)*Scale))</f>
        <v>#NAME?</v>
      </c>
      <c r="G413" s="274" t="e">
        <f ca="1">IF(D413="","",IFERROR(F413/F424,"n/a"))</f>
        <v>#NAME?</v>
      </c>
      <c r="H413" s="274" t="e">
        <f t="shared" ca="1" si="25"/>
        <v>#NAME?</v>
      </c>
      <c r="I413" s="1524" t="e">
        <f ca="1">IF(D403="","",IF(D413="","",_xll.ciqfunctions.udf.CIQ(D405,"IQ_BUS_SEG_DESCRIPTION", H404, Valuation_date, , , , , $C413)))</f>
        <v>#NAME?</v>
      </c>
      <c r="J413" s="224"/>
      <c r="K413" s="1509"/>
    </row>
    <row r="414" spans="1:11">
      <c r="A414" s="1518" t="e">
        <f t="shared" ca="1" si="24"/>
        <v>#NAME?</v>
      </c>
      <c r="B414" s="1518"/>
      <c r="C414" s="227">
        <v>6</v>
      </c>
      <c r="D414" s="223" t="e">
        <f ca="1">IF(D403="","",IF(ISNUMBER(_xll.ciqfunctions.udf.CIQ(D405,"IQ_BUS_SEG_NAME", H404, Valuation_date, , , , , $C414)),"",_xll.ciqfunctions.udf.CIQ(D405,"IQ_BUS_SEG_NAME", H404, Valuation_date, , , , , $C414)))</f>
        <v>#NAME?</v>
      </c>
      <c r="E414" s="187" t="e">
        <f ca="1">IF(D403="","",IF(D414="","",_xll.ciqfunctions.udf.CIQ(D405,"IQ_BUS_SEG_REV", H404-1, Valuation_date, ReportType,DataMode, F405,FXMode, C414)*Scale))</f>
        <v>#NAME?</v>
      </c>
      <c r="F414" s="187" t="e">
        <f ca="1">IF(D403="","",IF(D414="","",_xll.ciqfunctions.udf.CIQ(D405,"IQ_BUS_SEG_REV", H404, Valuation_date, ReportType,DataMode, F405,FXMode, $C414)*Scale))</f>
        <v>#NAME?</v>
      </c>
      <c r="G414" s="274" t="e">
        <f ca="1">IF(D414="","",IFERROR(F414/F424,"n/a"))</f>
        <v>#NAME?</v>
      </c>
      <c r="H414" s="274" t="e">
        <f t="shared" ca="1" si="25"/>
        <v>#NAME?</v>
      </c>
      <c r="I414" s="1524" t="e">
        <f ca="1">IF(D403="","",IF(D414="","",_xll.ciqfunctions.udf.CIQ(D405,"IQ_BUS_SEG_DESCRIPTION", H404, Valuation_date, , , , , $C414)))</f>
        <v>#NAME?</v>
      </c>
      <c r="J414" s="224"/>
      <c r="K414" s="1509"/>
    </row>
    <row r="415" spans="1:11">
      <c r="A415" s="1518" t="e">
        <f t="shared" ca="1" si="24"/>
        <v>#NAME?</v>
      </c>
      <c r="B415" s="1518"/>
      <c r="C415" s="227">
        <v>7</v>
      </c>
      <c r="D415" s="223" t="e">
        <f ca="1">IF(D403="","",IF(ISNUMBER(_xll.ciqfunctions.udf.CIQ(D405,"IQ_BUS_SEG_NAME", H404, Valuation_date, , , , , $C415)),"",_xll.ciqfunctions.udf.CIQ(D405,"IQ_BUS_SEG_NAME", H404, Valuation_date, , , , , $C415)))</f>
        <v>#NAME?</v>
      </c>
      <c r="E415" s="187" t="e">
        <f ca="1">IF(D403="","",IF(D415="","",_xll.ciqfunctions.udf.CIQ(D405,"IQ_BUS_SEG_REV", H404-1, Valuation_date, ReportType,DataMode, F405,FXMode, C415)*Scale))</f>
        <v>#NAME?</v>
      </c>
      <c r="F415" s="187" t="e">
        <f ca="1">IF(D403="","",IF(D415="","",_xll.ciqfunctions.udf.CIQ(D405,"IQ_BUS_SEG_REV", H404, Valuation_date, ReportType,DataMode, F405,FXMode, $C415)*Scale))</f>
        <v>#NAME?</v>
      </c>
      <c r="G415" s="274" t="e">
        <f ca="1">IF(D415="","",IFERROR(F415/F424,"n/a"))</f>
        <v>#NAME?</v>
      </c>
      <c r="H415" s="274" t="e">
        <f t="shared" ca="1" si="25"/>
        <v>#NAME?</v>
      </c>
      <c r="I415" s="1524" t="e">
        <f ca="1">IF(D403="","",IF(D415="","",_xll.ciqfunctions.udf.CIQ(D405,"IQ_BUS_SEG_DESCRIPTION", H404, Valuation_date, , , , , $C415)))</f>
        <v>#NAME?</v>
      </c>
      <c r="J415" s="221"/>
      <c r="K415" s="1509"/>
    </row>
    <row r="416" spans="1:11">
      <c r="A416" s="1518" t="e">
        <f t="shared" ca="1" si="24"/>
        <v>#NAME?</v>
      </c>
      <c r="B416" s="1518"/>
      <c r="C416" s="227">
        <v>8</v>
      </c>
      <c r="D416" s="223" t="e">
        <f ca="1">IF(D403="","",IF(ISNUMBER(_xll.ciqfunctions.udf.CIQ(D405,"IQ_BUS_SEG_NAME", H404, Valuation_date, , , , , $C416)),"",_xll.ciqfunctions.udf.CIQ(D405,"IQ_BUS_SEG_NAME", H404, Valuation_date, , , , , $C416)))</f>
        <v>#NAME?</v>
      </c>
      <c r="E416" s="187" t="e">
        <f ca="1">IF(D403="","",IF(D416="","",_xll.ciqfunctions.udf.CIQ(D405,"IQ_BUS_SEG_REV", H404-1, Valuation_date, ReportType,DataMode, F405,FXMode, C416)*Scale))</f>
        <v>#NAME?</v>
      </c>
      <c r="F416" s="187" t="e">
        <f ca="1">IF(D403="","",IF(D416="","",_xll.ciqfunctions.udf.CIQ(D405,"IQ_BUS_SEG_REV", H404, Valuation_date, ReportType,DataMode, F405,FXMode, $C416)*Scale))</f>
        <v>#NAME?</v>
      </c>
      <c r="G416" s="274" t="e">
        <f ca="1">IF(D416="","",IFERROR(F416/F424,"n/a"))</f>
        <v>#NAME?</v>
      </c>
      <c r="H416" s="274" t="e">
        <f t="shared" ca="1" si="25"/>
        <v>#NAME?</v>
      </c>
      <c r="I416" s="1524" t="e">
        <f ca="1">IF(D403="","",IF(D416="","",_xll.ciqfunctions.udf.CIQ(D405,"IQ_BUS_SEG_DESCRIPTION", H404, Valuation_date, , , , , $C416)))</f>
        <v>#NAME?</v>
      </c>
      <c r="J416" s="222"/>
      <c r="K416" s="1509"/>
    </row>
    <row r="417" spans="1:26">
      <c r="A417" s="1518" t="e">
        <f t="shared" ca="1" si="24"/>
        <v>#NAME?</v>
      </c>
      <c r="B417" s="1518"/>
      <c r="C417" s="227">
        <v>9</v>
      </c>
      <c r="D417" s="223" t="e">
        <f ca="1">IF(D403="","",IF(ISNUMBER(_xll.ciqfunctions.udf.CIQ(D405,"IQ_BUS_SEG_NAME", H404, Valuation_date, , , , , $C417)),"",_xll.ciqfunctions.udf.CIQ(D405,"IQ_BUS_SEG_NAME", H404, Valuation_date, , , , , $C417)))</f>
        <v>#NAME?</v>
      </c>
      <c r="E417" s="187" t="e">
        <f ca="1">IF(D403="","",IF(D417="","",_xll.ciqfunctions.udf.CIQ(D405,"IQ_BUS_SEG_REV", H404-1, Valuation_date, ReportType,DataMode, F405,FXMode, C417)*Scale))</f>
        <v>#NAME?</v>
      </c>
      <c r="F417" s="187" t="e">
        <f ca="1">IF(D403="","",IF(D417="","",_xll.ciqfunctions.udf.CIQ(D405,"IQ_BUS_SEG_REV", H404, Valuation_date, ReportType,DataMode, F405,FXMode, $C417)*Scale))</f>
        <v>#NAME?</v>
      </c>
      <c r="G417" s="274" t="e">
        <f ca="1">IF(D417="","",IFERROR(F417/F424,"n/a"))</f>
        <v>#NAME?</v>
      </c>
      <c r="H417" s="274" t="e">
        <f t="shared" ca="1" si="25"/>
        <v>#NAME?</v>
      </c>
      <c r="I417" s="1524" t="e">
        <f ca="1">IF(D403="","",IF(D417="","",_xll.ciqfunctions.udf.CIQ(D405,"IQ_BUS_SEG_DESCRIPTION", H404, Valuation_date, , , , , $C417)))</f>
        <v>#NAME?</v>
      </c>
      <c r="J417" s="222"/>
      <c r="K417" s="1509"/>
      <c r="L417" s="1508"/>
      <c r="M417" s="1508"/>
      <c r="N417" s="1508"/>
      <c r="O417" s="2060"/>
      <c r="P417" s="1508"/>
      <c r="Q417" s="1508"/>
      <c r="R417" s="1508"/>
      <c r="S417" s="1508"/>
      <c r="T417" s="1508"/>
      <c r="U417" s="1508"/>
      <c r="V417" s="1508"/>
      <c r="W417" s="1508"/>
      <c r="X417" s="1508"/>
      <c r="Y417" s="1508"/>
      <c r="Z417" s="1508"/>
    </row>
    <row r="418" spans="1:26">
      <c r="A418" s="1518" t="e">
        <f t="shared" ca="1" si="24"/>
        <v>#NAME?</v>
      </c>
      <c r="B418" s="1518"/>
      <c r="C418" s="227">
        <v>10</v>
      </c>
      <c r="D418" s="223" t="e">
        <f ca="1">IF(D403="","",IF(ISNUMBER(_xll.ciqfunctions.udf.CIQ(D405,"IQ_BUS_SEG_NAME", H404, Valuation_date, , , , , $C418)),"",_xll.ciqfunctions.udf.CIQ(D405,"IQ_BUS_SEG_NAME", H404, Valuation_date, , , , , $C418)))</f>
        <v>#NAME?</v>
      </c>
      <c r="E418" s="187" t="e">
        <f ca="1">IF(D403="","",IF(D418="","",_xll.ciqfunctions.udf.CIQ(D405,"IQ_BUS_SEG_REV", H404-1, Valuation_date, ReportType,DataMode, F405,FXMode, C418)*Scale))</f>
        <v>#NAME?</v>
      </c>
      <c r="F418" s="187" t="e">
        <f ca="1">IF(D403="","",IF(D418="","",_xll.ciqfunctions.udf.CIQ(D405,"IQ_BUS_SEG_REV", H404, Valuation_date, ReportType,DataMode, F405,FXMode, $C418)*Scale))</f>
        <v>#NAME?</v>
      </c>
      <c r="G418" s="274" t="e">
        <f ca="1">IF(D418="","",IFERROR(F418/F424,"n/a"))</f>
        <v>#NAME?</v>
      </c>
      <c r="H418" s="274" t="e">
        <f t="shared" ca="1" si="25"/>
        <v>#NAME?</v>
      </c>
      <c r="I418" s="1524" t="e">
        <f ca="1">IF(D403="","",IF(D418="","",_xll.ciqfunctions.udf.CIQ(D405,"IQ_BUS_SEG_DESCRIPTION", H404, Valuation_date, , , , , $C418)))</f>
        <v>#NAME?</v>
      </c>
      <c r="J418" s="175"/>
      <c r="K418" s="1509"/>
      <c r="L418" s="1508"/>
      <c r="M418" s="1508"/>
      <c r="N418" s="1508"/>
      <c r="O418" s="2060"/>
      <c r="P418" s="1508"/>
      <c r="Q418" s="1508"/>
      <c r="R418" s="1508"/>
      <c r="S418" s="1508"/>
      <c r="T418" s="1508"/>
      <c r="U418" s="1508"/>
      <c r="V418" s="1508"/>
      <c r="W418" s="1508"/>
      <c r="X418" s="1508"/>
      <c r="Y418" s="1508"/>
      <c r="Z418" s="1508"/>
    </row>
    <row r="419" spans="1:26">
      <c r="A419" s="1518" t="e">
        <f t="shared" ca="1" si="24"/>
        <v>#NAME?</v>
      </c>
      <c r="B419" s="1518"/>
      <c r="C419" s="227">
        <v>11</v>
      </c>
      <c r="D419" s="223" t="e">
        <f ca="1">IF(D403="","",IF(ISNUMBER(_xll.ciqfunctions.udf.CIQ(D405,"IQ_BUS_SEG_NAME", H404, Valuation_date, , , , , $C419)),"",_xll.ciqfunctions.udf.CIQ(D405,"IQ_BUS_SEG_NAME", H404, Valuation_date, , , , , $C419)))</f>
        <v>#NAME?</v>
      </c>
      <c r="E419" s="187" t="e">
        <f ca="1">IF(D403="","",IF(D419="","",_xll.ciqfunctions.udf.CIQ(D405,"IQ_BUS_SEG_REV", H404-1, Valuation_date, ReportType,DataMode, F405,FXMode, C419)*Scale))</f>
        <v>#NAME?</v>
      </c>
      <c r="F419" s="187" t="e">
        <f ca="1">IF(D403="","",IF(D419="","",_xll.ciqfunctions.udf.CIQ(D405,"IQ_BUS_SEG_REV", H404, Valuation_date, ReportType,DataMode, F405,FXMode, $C419)*Scale))</f>
        <v>#NAME?</v>
      </c>
      <c r="G419" s="274" t="e">
        <f ca="1">IF(D419="","",IFERROR(F419/F424,"n/a"))</f>
        <v>#NAME?</v>
      </c>
      <c r="H419" s="274" t="e">
        <f t="shared" ca="1" si="25"/>
        <v>#NAME?</v>
      </c>
      <c r="I419" s="1524" t="e">
        <f ca="1">IF(D403="","",IF(D419="","",_xll.ciqfunctions.udf.CIQ(D405,"IQ_BUS_SEG_DESCRIPTION", H404, Valuation_date, , , , , $C419)))</f>
        <v>#NAME?</v>
      </c>
      <c r="J419" s="222"/>
      <c r="K419" s="1509"/>
      <c r="L419" s="1508"/>
      <c r="M419" s="1508"/>
      <c r="N419" s="1508"/>
      <c r="O419" s="2060"/>
      <c r="P419" s="1508"/>
      <c r="Q419" s="1508"/>
      <c r="R419" s="1508"/>
      <c r="S419" s="1508"/>
      <c r="T419" s="1508"/>
      <c r="U419" s="1508"/>
      <c r="V419" s="1508"/>
      <c r="W419" s="1508"/>
      <c r="X419" s="1508"/>
      <c r="Y419" s="1508"/>
      <c r="Z419" s="1508"/>
    </row>
    <row r="420" spans="1:26">
      <c r="A420" s="1518" t="e">
        <f t="shared" ca="1" si="24"/>
        <v>#NAME?</v>
      </c>
      <c r="B420" s="1518"/>
      <c r="C420" s="227">
        <v>12</v>
      </c>
      <c r="D420" s="223" t="e">
        <f ca="1">IF(D403="","",IF(ISNUMBER(_xll.ciqfunctions.udf.CIQ(D405,"IQ_BUS_SEG_NAME", H404, Valuation_date, , , , , $C420)),"",_xll.ciqfunctions.udf.CIQ(D405,"IQ_BUS_SEG_NAME", H404, Valuation_date, , , , , $C420)))</f>
        <v>#NAME?</v>
      </c>
      <c r="E420" s="187" t="e">
        <f ca="1">IF(D403="","",IF(D420="","",_xll.ciqfunctions.udf.CIQ(D405,"IQ_BUS_SEG_REV", H404-1, Valuation_date, ReportType,DataMode, F405,FXMode, C420)*Scale))</f>
        <v>#NAME?</v>
      </c>
      <c r="F420" s="187" t="e">
        <f ca="1">IF(D403="","",IF(D420="","",_xll.ciqfunctions.udf.CIQ(D405,"IQ_BUS_SEG_REV", H404, Valuation_date, ReportType,DataMode, F405,FXMode, $C420)*Scale))</f>
        <v>#NAME?</v>
      </c>
      <c r="G420" s="274" t="e">
        <f ca="1">IF(D420="","",IFERROR(F420/F424,"n/a"))</f>
        <v>#NAME?</v>
      </c>
      <c r="H420" s="274" t="e">
        <f t="shared" ca="1" si="25"/>
        <v>#NAME?</v>
      </c>
      <c r="I420" s="1524" t="e">
        <f ca="1">IF(D403="","",IF(D420="","",_xll.ciqfunctions.udf.CIQ(D405,"IQ_BUS_SEG_DESCRIPTION", H404, Valuation_date, , , , , $C420)))</f>
        <v>#NAME?</v>
      </c>
      <c r="J420" s="222"/>
      <c r="K420" s="1509"/>
      <c r="L420" s="1508"/>
      <c r="M420" s="1508"/>
      <c r="N420" s="1508"/>
      <c r="O420" s="2060"/>
      <c r="P420" s="1508"/>
      <c r="Q420" s="1508"/>
      <c r="R420" s="1508"/>
      <c r="S420" s="1508"/>
      <c r="T420" s="1508"/>
      <c r="U420" s="1508"/>
      <c r="V420" s="1508"/>
      <c r="W420" s="1508"/>
      <c r="X420" s="1508"/>
      <c r="Y420" s="1508"/>
      <c r="Z420" s="1508"/>
    </row>
    <row r="421" spans="1:26">
      <c r="A421" s="1518" t="e">
        <f t="shared" ca="1" si="24"/>
        <v>#NAME?</v>
      </c>
      <c r="B421" s="1518"/>
      <c r="C421" s="227">
        <v>13</v>
      </c>
      <c r="D421" s="223" t="e">
        <f ca="1">IF(D403="","",IF(ISNUMBER(_xll.ciqfunctions.udf.CIQ(D405,"IQ_BUS_SEG_NAME", H404, Valuation_date, , , , , $C421)),"",_xll.ciqfunctions.udf.CIQ(D405,"IQ_BUS_SEG_NAME", H404, Valuation_date, , , , , $C421)))</f>
        <v>#NAME?</v>
      </c>
      <c r="E421" s="187" t="e">
        <f ca="1">IF(D403="","",IF(D421="","",_xll.ciqfunctions.udf.CIQ(D405,"IQ_BUS_SEG_REV", H404-1, Valuation_date, ReportType,DataMode, F405,FXMode, C421)*Scale))</f>
        <v>#NAME?</v>
      </c>
      <c r="F421" s="187" t="e">
        <f ca="1">IF(D403="","",IF(D421="","",_xll.ciqfunctions.udf.CIQ(D405,"IQ_BUS_SEG_REV", H404, Valuation_date, ReportType,DataMode, F405,FXMode, $C421)*Scale))</f>
        <v>#NAME?</v>
      </c>
      <c r="G421" s="274" t="e">
        <f ca="1">IF(D421="","",IFERROR(F421/F424,"n/a"))</f>
        <v>#NAME?</v>
      </c>
      <c r="H421" s="274" t="e">
        <f t="shared" ca="1" si="25"/>
        <v>#NAME?</v>
      </c>
      <c r="I421" s="1524" t="e">
        <f ca="1">IF(D403="","",IF(D421="","",_xll.ciqfunctions.udf.CIQ(D405,"IQ_BUS_SEG_DESCRIPTION", H404, Valuation_date, , , , , $C421)))</f>
        <v>#NAME?</v>
      </c>
      <c r="J421" s="222"/>
      <c r="K421" s="1509"/>
      <c r="L421" s="1508"/>
      <c r="M421" s="1508"/>
      <c r="N421" s="1508"/>
      <c r="O421" s="2060"/>
      <c r="P421" s="1508"/>
      <c r="Q421" s="1508"/>
      <c r="R421" s="1508"/>
      <c r="S421" s="1508"/>
      <c r="T421" s="1508"/>
      <c r="U421" s="1508"/>
      <c r="V421" s="1508"/>
      <c r="W421" s="1508"/>
      <c r="X421" s="1508"/>
      <c r="Y421" s="1508"/>
      <c r="Z421" s="1508"/>
    </row>
    <row r="422" spans="1:26">
      <c r="A422" s="1518" t="e">
        <f ca="1">IF(D422="","n","")</f>
        <v>#NAME?</v>
      </c>
      <c r="B422" s="1518"/>
      <c r="C422" s="227">
        <v>14</v>
      </c>
      <c r="D422" s="223" t="e">
        <f ca="1">IF(D403="","",IF(ISNUMBER(_xll.ciqfunctions.udf.CIQ(D405,"IQ_BUS_SEG_NAME", H404, Valuation_date, , , , , $C422)),"",_xll.ciqfunctions.udf.CIQ(D405,"IQ_BUS_SEG_NAME", H404, Valuation_date, , , , , $C422)))</f>
        <v>#NAME?</v>
      </c>
      <c r="E422" s="187" t="e">
        <f ca="1">IF(D403="","",IF(D422="","",_xll.ciqfunctions.udf.CIQ(D405,"IQ_BUS_SEG_REV", H404-1, Valuation_date, ReportType,DataMode, F405,FXMode, C422)*Scale))</f>
        <v>#NAME?</v>
      </c>
      <c r="F422" s="187" t="e">
        <f ca="1">IF(D403="","",IF(D422="","",_xll.ciqfunctions.udf.CIQ(D405,"IQ_BUS_SEG_REV", H404, Valuation_date, ReportType,DataMode, F405,FXMode, $C422)*Scale))</f>
        <v>#NAME?</v>
      </c>
      <c r="G422" s="274" t="e">
        <f ca="1">IF(D422="","",IFERROR(F422/F424,"n/a"))</f>
        <v>#NAME?</v>
      </c>
      <c r="H422" s="274" t="e">
        <f t="shared" ca="1" si="25"/>
        <v>#NAME?</v>
      </c>
      <c r="I422" s="1524" t="e">
        <f ca="1">IF(D403="","",IF(D422="","",_xll.ciqfunctions.udf.CIQ(D405,"IQ_BUS_SEG_DESCRIPTION", H404, Valuation_date, , , , , $C422)))</f>
        <v>#NAME?</v>
      </c>
      <c r="J422" s="222"/>
      <c r="K422" s="1509"/>
      <c r="L422" s="1508"/>
      <c r="M422" s="1508"/>
      <c r="N422" s="1508"/>
      <c r="O422" s="2060"/>
      <c r="P422" s="1508"/>
      <c r="Q422" s="1508"/>
      <c r="R422" s="1508"/>
      <c r="S422" s="1508"/>
      <c r="T422" s="1508"/>
      <c r="U422" s="1508"/>
      <c r="V422" s="1508"/>
      <c r="W422" s="1508"/>
      <c r="X422" s="1508"/>
      <c r="Y422" s="1508"/>
      <c r="Z422" s="1508"/>
    </row>
    <row r="423" spans="1:26">
      <c r="A423" s="1518" t="e">
        <f ca="1">IF(D423="","n","")</f>
        <v>#NAME?</v>
      </c>
      <c r="B423" s="1518"/>
      <c r="C423" s="227">
        <v>15</v>
      </c>
      <c r="D423" s="223" t="e">
        <f ca="1">IF(D403="","",IF(ISNUMBER(_xll.ciqfunctions.udf.CIQ(D405,"IQ_BUS_SEG_NAME", H404, Valuation_date, , , , , $C423)),"",_xll.ciqfunctions.udf.CIQ(D405,"IQ_BUS_SEG_NAME", H404, Valuation_date, , , , , $C423)))</f>
        <v>#NAME?</v>
      </c>
      <c r="E423" s="187" t="e">
        <f ca="1">IF(D403="","",IF(D423="","",_xll.ciqfunctions.udf.CIQ(D405,"IQ_BUS_SEG_REV", H404-1, Valuation_date, ReportType,DataMode, F405,FXMode, C423)*Scale))</f>
        <v>#NAME?</v>
      </c>
      <c r="F423" s="187" t="e">
        <f ca="1">IF(D403="","",IF(D423="","",_xll.ciqfunctions.udf.CIQ(D405,"IQ_BUS_SEG_REV", H404, Valuation_date, ReportType,DataMode, F405,FXMode, $C423)*Scale))</f>
        <v>#NAME?</v>
      </c>
      <c r="G423" s="274" t="e">
        <f ca="1">IF(D423="","",IFERROR(F423/F424,"n/a"))</f>
        <v>#NAME?</v>
      </c>
      <c r="H423" s="274" t="e">
        <f t="shared" ca="1" si="25"/>
        <v>#NAME?</v>
      </c>
      <c r="I423" s="1524" t="e">
        <f ca="1">IF(D403="","",IF(D423="","",_xll.ciqfunctions.udf.CIQ(D405,"IQ_BUS_SEG_DESCRIPTION", H404, Valuation_date, , , , , $C423)))</f>
        <v>#NAME?</v>
      </c>
      <c r="J423" s="222"/>
      <c r="K423" s="1509"/>
      <c r="L423" s="1508"/>
      <c r="M423" s="1508"/>
      <c r="N423" s="1508"/>
      <c r="O423" s="2060"/>
      <c r="P423" s="1508"/>
      <c r="Q423" s="1508"/>
      <c r="R423" s="1508"/>
      <c r="S423" s="1508"/>
      <c r="T423" s="1508"/>
      <c r="U423" s="1508"/>
      <c r="V423" s="1508"/>
      <c r="W423" s="1508"/>
      <c r="X423" s="1508"/>
      <c r="Y423" s="1508"/>
      <c r="Z423" s="1508"/>
    </row>
    <row r="424" spans="1:26" ht="14.45" thickBot="1">
      <c r="A424" s="1518"/>
      <c r="B424" s="1518"/>
      <c r="C424" s="225"/>
      <c r="D424" s="220" t="s">
        <v>1248</v>
      </c>
      <c r="E424" s="220" t="e">
        <f ca="1">SUM(E409:E423)</f>
        <v>#NAME?</v>
      </c>
      <c r="F424" s="220" t="e">
        <f ca="1">SUM(F409:F423)</f>
        <v>#NAME?</v>
      </c>
      <c r="G424" s="2266" t="e">
        <f ca="1">SUM(G409:G423)</f>
        <v>#NAME?</v>
      </c>
      <c r="H424" s="2266" t="str">
        <f ca="1">IF(D424="","",IFERROR(F424/E424-1,"n/a"))</f>
        <v>n/a</v>
      </c>
      <c r="I424" s="1515"/>
      <c r="J424" s="222"/>
      <c r="K424" s="1509"/>
      <c r="L424" s="1508"/>
      <c r="M424" s="1508"/>
      <c r="N424" s="1508"/>
      <c r="O424" s="2060"/>
      <c r="P424" s="1508"/>
      <c r="Q424" s="1508"/>
      <c r="R424" s="1508"/>
      <c r="S424" s="1508"/>
      <c r="T424" s="1508"/>
      <c r="U424" s="1508"/>
      <c r="V424" s="1508"/>
      <c r="W424" s="1508"/>
      <c r="X424" s="1508"/>
      <c r="Y424" s="1508"/>
      <c r="Z424" s="1508"/>
    </row>
    <row r="425" spans="1:26">
      <c r="A425" s="1518"/>
      <c r="B425" s="1518"/>
      <c r="C425" s="225"/>
      <c r="D425" s="187"/>
      <c r="E425" s="187"/>
      <c r="F425" s="274"/>
      <c r="G425" s="187"/>
      <c r="H425" s="274"/>
      <c r="I425" s="1515"/>
      <c r="J425" s="222"/>
      <c r="K425" s="1509"/>
      <c r="L425" s="1508"/>
      <c r="M425" s="1508"/>
      <c r="N425" s="1508"/>
      <c r="O425" s="2060"/>
      <c r="P425" s="1508"/>
      <c r="Q425" s="1508"/>
      <c r="R425" s="1508"/>
      <c r="S425" s="1508"/>
      <c r="T425" s="1508"/>
      <c r="U425" s="1508"/>
      <c r="V425" s="1508"/>
      <c r="W425" s="1508"/>
      <c r="X425" s="1508"/>
      <c r="Y425" s="1508"/>
      <c r="Z425" s="1508"/>
    </row>
    <row r="426" spans="1:26" s="1508" customFormat="1">
      <c r="A426" s="1518"/>
      <c r="B426" s="1518"/>
      <c r="C426" s="1572"/>
      <c r="D426" s="1514" t="s">
        <v>1707</v>
      </c>
      <c r="E426" s="1579"/>
      <c r="F426" s="1575"/>
      <c r="G426" s="1514"/>
      <c r="H426" s="1575"/>
      <c r="I426" s="1571"/>
      <c r="J426" s="1574"/>
      <c r="K426" s="1509"/>
      <c r="L426" s="2060"/>
      <c r="M426" s="2060"/>
      <c r="O426" s="2060"/>
    </row>
    <row r="427" spans="1:26">
      <c r="A427" s="1518"/>
      <c r="B427" s="1518"/>
      <c r="C427" s="225"/>
      <c r="D427" s="1514" t="s">
        <v>1402</v>
      </c>
      <c r="E427" s="187"/>
      <c r="F427" s="274"/>
      <c r="G427" s="187"/>
      <c r="H427" s="274"/>
      <c r="I427" s="1515"/>
      <c r="J427" s="222"/>
      <c r="K427" s="1509"/>
      <c r="L427" s="1508"/>
      <c r="M427" s="1508"/>
      <c r="N427" s="1508"/>
      <c r="O427" s="2060"/>
      <c r="P427" s="1508"/>
      <c r="Q427" s="1508"/>
      <c r="R427" s="1508"/>
      <c r="S427" s="1508"/>
      <c r="T427" s="1508"/>
      <c r="U427" s="1508"/>
      <c r="V427" s="1508"/>
      <c r="W427" s="1508"/>
      <c r="X427" s="1508"/>
      <c r="Y427" s="1508"/>
      <c r="Z427" s="1508"/>
    </row>
    <row r="428" spans="1:26">
      <c r="A428" s="1518"/>
      <c r="B428" s="1518"/>
      <c r="C428" s="225"/>
      <c r="D428" s="1508"/>
      <c r="E428" s="1508"/>
      <c r="F428" s="1508"/>
      <c r="G428" s="1508"/>
      <c r="H428" s="1508"/>
      <c r="I428" s="1515"/>
      <c r="J428" s="1508"/>
      <c r="K428" s="1509"/>
      <c r="L428" s="2060"/>
      <c r="M428" s="2060"/>
      <c r="N428" s="2060"/>
      <c r="O428" s="2060"/>
      <c r="P428" s="2060"/>
      <c r="Q428" s="2060"/>
      <c r="R428" s="2060"/>
      <c r="S428" s="2060"/>
      <c r="T428" s="1508"/>
      <c r="U428" s="1508"/>
      <c r="V428" s="1508"/>
      <c r="W428" s="1508"/>
      <c r="X428" s="1508"/>
      <c r="Y428" s="1508"/>
      <c r="Z428" s="1508"/>
    </row>
    <row r="429" spans="1:26" s="178" customFormat="1" ht="13.5" customHeight="1">
      <c r="A429" s="1510"/>
      <c r="B429" s="1510"/>
      <c r="C429" s="327"/>
      <c r="D429" s="1513" t="str">
        <f ca="1">FootnoteDRAFT</f>
        <v>Run date: 05-August-2018  02:34 PM.   DRAFT document. All data subject to change upon completion of additional analysis.</v>
      </c>
      <c r="E429" s="1506"/>
      <c r="F429" s="176"/>
      <c r="G429" s="1513"/>
      <c r="H429" s="1513"/>
      <c r="I429" s="1562"/>
      <c r="J429" s="1512"/>
      <c r="K429" s="1509"/>
      <c r="L429" s="2060"/>
      <c r="M429" s="2060"/>
      <c r="N429" s="2060"/>
      <c r="O429" s="2060"/>
      <c r="P429" s="2060"/>
      <c r="Q429" s="2060"/>
      <c r="R429" s="2060"/>
      <c r="S429" s="2060"/>
      <c r="T429" s="2060"/>
      <c r="U429" s="2060"/>
      <c r="V429" s="2060"/>
      <c r="W429" s="2060"/>
      <c r="X429" s="2060"/>
      <c r="Y429" s="2060"/>
      <c r="Z429" s="2060"/>
    </row>
    <row r="430" spans="1:26" s="178" customFormat="1">
      <c r="A430" s="1510" t="s">
        <v>17</v>
      </c>
      <c r="B430" s="1510"/>
      <c r="C430" s="1510"/>
      <c r="D430" s="1510"/>
      <c r="E430" s="683"/>
      <c r="F430" s="1510"/>
      <c r="G430" s="1510"/>
      <c r="H430" s="1510"/>
      <c r="I430" s="1547"/>
      <c r="J430" s="1546" t="str">
        <f ca="1">IF(D438="","Page end","Continue")</f>
        <v>Continue</v>
      </c>
      <c r="K430" s="1510"/>
      <c r="L430" s="2060"/>
      <c r="M430" s="2060"/>
      <c r="N430" s="2060"/>
      <c r="O430" s="2060"/>
      <c r="P430" s="2060"/>
      <c r="Q430" s="2060"/>
      <c r="R430" s="2060"/>
      <c r="S430" s="2060"/>
      <c r="T430" s="2060"/>
      <c r="U430" s="2060"/>
      <c r="V430" s="2060"/>
      <c r="W430" s="2060"/>
      <c r="X430" s="2060"/>
      <c r="Y430" s="2060"/>
      <c r="Z430" s="2060"/>
    </row>
    <row r="431" spans="1:26" ht="18" customHeight="1">
      <c r="A431" s="1518"/>
      <c r="B431" s="1518"/>
      <c r="C431" s="292" t="str">
        <f ca="1">D436</f>
        <v>n/a</v>
      </c>
      <c r="D431" s="172"/>
      <c r="E431" s="674"/>
      <c r="F431" s="172"/>
      <c r="G431" s="172"/>
      <c r="H431" s="172"/>
      <c r="I431" s="1522"/>
      <c r="J431" s="389" t="str">
        <f>$J$1&amp;"."&amp;C436&amp;""</f>
        <v>Workpaper 6.13</v>
      </c>
      <c r="K431" s="1509"/>
      <c r="L431" s="1508"/>
      <c r="M431" s="1508"/>
      <c r="N431" s="1508"/>
      <c r="O431" s="2060"/>
      <c r="P431" s="1508"/>
      <c r="Q431" s="1508"/>
      <c r="R431" s="1508"/>
      <c r="S431" s="1508"/>
      <c r="T431" s="1508"/>
      <c r="U431" s="1508"/>
      <c r="V431" s="1508"/>
      <c r="W431" s="1508"/>
      <c r="X431" s="1508"/>
      <c r="Y431" s="1508"/>
      <c r="Z431" s="1508"/>
    </row>
    <row r="432" spans="1:26" ht="18" customHeight="1">
      <c r="A432" s="1518"/>
      <c r="B432" s="1518"/>
      <c r="C432" s="839" t="s">
        <v>1699</v>
      </c>
      <c r="D432" s="172"/>
      <c r="E432" s="172"/>
      <c r="F432" s="172"/>
      <c r="G432" s="172"/>
      <c r="H432" s="172"/>
      <c r="I432" s="1522"/>
      <c r="J432" s="187"/>
      <c r="K432" s="1509"/>
      <c r="L432" s="1508"/>
      <c r="M432" s="1508"/>
      <c r="N432" s="1508"/>
      <c r="O432" s="2060"/>
      <c r="P432" s="1508"/>
      <c r="Q432" s="1508"/>
      <c r="R432" s="1508"/>
      <c r="S432" s="1508"/>
      <c r="T432" s="1508"/>
      <c r="U432" s="1508"/>
      <c r="V432" s="1508"/>
      <c r="W432" s="1508"/>
      <c r="X432" s="1508"/>
      <c r="Y432" s="1508"/>
      <c r="Z432" s="1508"/>
    </row>
    <row r="433" spans="1:11" ht="18" customHeight="1">
      <c r="A433" s="1518"/>
      <c r="B433" s="1518"/>
      <c r="C433" s="366" t="str">
        <f ca="1">"(" &amp;F438&amp;" in "&amp;ScaleInput&amp;")"</f>
        <v>(USD in Millions)</v>
      </c>
      <c r="D433" s="1508"/>
      <c r="E433" s="170"/>
      <c r="F433" s="170"/>
      <c r="G433" s="170"/>
      <c r="H433" s="170"/>
      <c r="I433" s="1521"/>
      <c r="J433" s="1508"/>
      <c r="K433" s="1509"/>
    </row>
    <row r="434" spans="1:11" ht="18" customHeight="1">
      <c r="A434" s="1518"/>
      <c r="B434" s="1518"/>
      <c r="C434" s="366"/>
      <c r="D434" s="1508"/>
      <c r="E434" s="172"/>
      <c r="F434" s="172"/>
      <c r="G434" s="172"/>
      <c r="H434" s="172"/>
      <c r="I434" s="1522"/>
      <c r="J434" s="1508"/>
      <c r="K434" s="1509"/>
    </row>
    <row r="435" spans="1:11">
      <c r="A435" s="1518"/>
      <c r="B435" s="1518"/>
      <c r="C435" s="1511"/>
      <c r="D435" s="1508"/>
      <c r="E435" s="172"/>
      <c r="F435" s="172"/>
      <c r="G435" s="172"/>
      <c r="H435" s="172"/>
      <c r="I435" s="1522"/>
      <c r="J435" s="1508"/>
      <c r="K435" s="1509"/>
    </row>
    <row r="436" spans="1:11">
      <c r="A436" s="1518"/>
      <c r="B436" s="1518"/>
      <c r="C436" s="226">
        <v>13</v>
      </c>
      <c r="D436" s="179" t="str">
        <f ca="1">IF(D438=0,"n/a",IFERROR(_xll.ciqfunctions.udf.CIQ(D438,"IQ_COMPANY_NAME"),"n/a"))</f>
        <v>n/a</v>
      </c>
      <c r="E436" s="1508"/>
      <c r="F436" s="1508"/>
      <c r="G436" s="1508"/>
      <c r="H436" s="1508"/>
      <c r="I436" s="1515"/>
      <c r="J436" s="1508"/>
      <c r="K436" s="1509"/>
    </row>
    <row r="437" spans="1:11">
      <c r="A437" s="1518"/>
      <c r="B437" s="1518"/>
      <c r="C437" s="225"/>
      <c r="D437" s="2258" t="s">
        <v>134</v>
      </c>
      <c r="E437" s="2258" t="s">
        <v>1708</v>
      </c>
      <c r="F437" s="2262" t="s">
        <v>167</v>
      </c>
      <c r="G437" s="2262" t="s">
        <v>1700</v>
      </c>
      <c r="H437" s="2263">
        <f>INDEX($W$9:$W$14,MATCH(H438,PeriodList,0))</f>
        <v>2000</v>
      </c>
      <c r="I437" s="1515"/>
      <c r="J437" s="201"/>
      <c r="K437" s="1509"/>
    </row>
    <row r="438" spans="1:11">
      <c r="A438" s="1518"/>
      <c r="B438" s="1518"/>
      <c r="C438" s="227"/>
      <c r="D438" s="2249">
        <f ca="1">OFFSET(GCIdentifierTop,C436,0)</f>
        <v>0</v>
      </c>
      <c r="E438" s="2250" t="str">
        <f ca="1">IF($D438="","",IFERROR(_xll.ciqfunctions.udf.CIQ($D438,"IQ_PERIODDATE",H437,Valuation_date),"n/a"))</f>
        <v>n/a</v>
      </c>
      <c r="F438" s="2251" t="str">
        <f ca="1">IFERROR(IF(C436=0,SubjOutputCurrencyCode,IF(D438="","",IF(OutputCurrency="Filing",_xll.ciqfunctions.udf.CIQ($D438,"IQ_FILING_CURRENCY",500,Valuation_date,ReportType,DataMode),OutputCurrency))),OutputCurrency)</f>
        <v>USD</v>
      </c>
      <c r="G438" s="2264" t="e">
        <f ca="1">IF(D436="","",_xll.ciqfunctions.udf.CIQ(D438,"IQ_TOTAL_REV", H437, Valuation_date,ReportType,DataMode,F438,FXMode))</f>
        <v>#NAME?</v>
      </c>
      <c r="H438" s="2265" t="str">
        <f>$H$9</f>
        <v>LTM/LFQ</v>
      </c>
      <c r="I438" s="1523"/>
      <c r="J438" s="174"/>
      <c r="K438" s="1509"/>
    </row>
    <row r="439" spans="1:11">
      <c r="A439" s="1518"/>
      <c r="B439" s="1518"/>
      <c r="C439" s="227"/>
      <c r="D439" s="1508"/>
      <c r="E439" s="1508"/>
      <c r="F439" s="1508"/>
      <c r="G439" s="1508"/>
      <c r="H439" s="1508"/>
      <c r="I439" s="1515"/>
      <c r="J439" s="221"/>
      <c r="K439" s="1509"/>
    </row>
    <row r="440" spans="1:11">
      <c r="A440" s="1518"/>
      <c r="B440" s="1518"/>
      <c r="C440" s="227"/>
      <c r="D440" s="741"/>
      <c r="E440" s="744" t="e">
        <f ca="1">IF(D438="",Valuation_date,_xll.ciqfunctions.udf.CIQ(D438,"IQ_PERIODDATE",H437-IF(LEFT(H438,3)="LFY",1,4),Valuation_date))</f>
        <v>#NAME?</v>
      </c>
      <c r="F440" s="742" t="e">
        <f ca="1">IF(D438="",Valuation_date,_xll.ciqfunctions.udf.CIQ(D438,"IQ_PERIODDATE",H437,Valuation_date))</f>
        <v>#NAME?</v>
      </c>
      <c r="G440" s="741"/>
      <c r="H440" s="743" t="s">
        <v>1702</v>
      </c>
      <c r="I440" s="1587"/>
      <c r="J440" s="221"/>
      <c r="K440" s="1509"/>
    </row>
    <row r="441" spans="1:11">
      <c r="A441" s="1518"/>
      <c r="B441" s="1518"/>
      <c r="C441" s="227"/>
      <c r="D441" s="2254" t="s">
        <v>1703</v>
      </c>
      <c r="E441" s="2255" t="s">
        <v>1458</v>
      </c>
      <c r="F441" s="2255" t="s">
        <v>1458</v>
      </c>
      <c r="G441" s="2255" t="s">
        <v>1704</v>
      </c>
      <c r="H441" s="2255" t="s">
        <v>1705</v>
      </c>
      <c r="I441" s="2256" t="s">
        <v>1706</v>
      </c>
      <c r="J441" s="222"/>
      <c r="K441" s="1509"/>
    </row>
    <row r="442" spans="1:11">
      <c r="A442" s="1518" t="e">
        <f t="shared" ref="A442:A454" ca="1" si="26">IF(D442="","n","")</f>
        <v>#NAME?</v>
      </c>
      <c r="B442" s="1518"/>
      <c r="C442" s="227">
        <v>1</v>
      </c>
      <c r="D442" s="223" t="e">
        <f ca="1">IF(D436="","",IF(ISNUMBER(_xll.ciqfunctions.udf.CIQ(D438,"IQ_BUS_SEG_NAME", H437, Valuation_date, , , , , $C442)),"",_xll.ciqfunctions.udf.CIQ(D438,"IQ_BUS_SEG_NAME", H437, Valuation_date, , , , , $C442)))</f>
        <v>#NAME?</v>
      </c>
      <c r="E442" s="187" t="e">
        <f ca="1">IF(D436="","",IF(D442="","",_xll.ciqfunctions.udf.CIQ(D438,"IQ_BUS_SEG_REV", H437-1, Valuation_date, ReportType,DataMode, F438,FXMode, C442)*Scale))</f>
        <v>#NAME?</v>
      </c>
      <c r="F442" s="187" t="e">
        <f ca="1">IF(D436="","",IF(D442="","",_xll.ciqfunctions.udf.CIQ(D438,"IQ_BUS_SEG_REV", H437, Valuation_date, ReportType,DataMode, F438,FXMode, $C442)*Scale))</f>
        <v>#NAME?</v>
      </c>
      <c r="G442" s="274" t="e">
        <f ca="1">IF(D442="","",IFERROR(F442/F457,"n/a"))</f>
        <v>#NAME?</v>
      </c>
      <c r="H442" s="274" t="e">
        <f ca="1">IF(D442="","",IFERROR(F442/E442-1,"n/a"))</f>
        <v>#NAME?</v>
      </c>
      <c r="I442" s="1524" t="e">
        <f ca="1">IF(D436="","",IF(D442="","",_xll.ciqfunctions.udf.CIQ(D438,"IQ_BUS_SEG_DESCRIPTION", H437, Valuation_date, , , , , $C442)))</f>
        <v>#NAME?</v>
      </c>
      <c r="J442" s="175"/>
      <c r="K442" s="1509"/>
    </row>
    <row r="443" spans="1:11">
      <c r="A443" s="1518" t="e">
        <f t="shared" ca="1" si="26"/>
        <v>#NAME?</v>
      </c>
      <c r="B443" s="1518"/>
      <c r="C443" s="227">
        <v>2</v>
      </c>
      <c r="D443" s="223" t="e">
        <f ca="1">IF(D436="","",IF(ISNUMBER(_xll.ciqfunctions.udf.CIQ(D438,"IQ_BUS_SEG_NAME", H437, Valuation_date, , , , , $C443)),"",_xll.ciqfunctions.udf.CIQ(D438,"IQ_BUS_SEG_NAME", H437, Valuation_date, , , , , $C443)))</f>
        <v>#NAME?</v>
      </c>
      <c r="E443" s="187" t="e">
        <f ca="1">IF(D436="","",IF(D443="","",_xll.ciqfunctions.udf.CIQ(D438,"IQ_BUS_SEG_REV", H437-1, Valuation_date, ReportType,DataMode, F438,FXMode, C443)*Scale))</f>
        <v>#NAME?</v>
      </c>
      <c r="F443" s="187" t="e">
        <f ca="1">IF(D436="","",IF(D443="","",_xll.ciqfunctions.udf.CIQ(D438,"IQ_BUS_SEG_REV", H437, Valuation_date, ReportType,DataMode, F438,FXMode, $C443)*Scale))</f>
        <v>#NAME?</v>
      </c>
      <c r="G443" s="274" t="e">
        <f ca="1">IF(D443="","",IFERROR(F443/F457,"n/a"))</f>
        <v>#NAME?</v>
      </c>
      <c r="H443" s="274" t="e">
        <f t="shared" ref="H443:H456" ca="1" si="27">IF(D443="","",IFERROR(F443/E443-1,"n/a"))</f>
        <v>#NAME?</v>
      </c>
      <c r="I443" s="1524" t="e">
        <f ca="1">IF(D436="","",IF(D443="","",_xll.ciqfunctions.udf.CIQ(D438,"IQ_BUS_SEG_DESCRIPTION", H437, Valuation_date, , , , , $C443)))</f>
        <v>#NAME?</v>
      </c>
      <c r="J443" s="175"/>
      <c r="K443" s="1509"/>
    </row>
    <row r="444" spans="1:11">
      <c r="A444" s="1518" t="e">
        <f t="shared" ca="1" si="26"/>
        <v>#NAME?</v>
      </c>
      <c r="B444" s="1518"/>
      <c r="C444" s="227">
        <v>3</v>
      </c>
      <c r="D444" s="223" t="e">
        <f ca="1">IF(D436="","",IF(ISNUMBER(_xll.ciqfunctions.udf.CIQ(D438,"IQ_BUS_SEG_NAME", H437, Valuation_date, , , , , $C444)),"",_xll.ciqfunctions.udf.CIQ(D438,"IQ_BUS_SEG_NAME", H437, Valuation_date, , , , , $C444)))</f>
        <v>#NAME?</v>
      </c>
      <c r="E444" s="187" t="e">
        <f ca="1">IF(D436="","",IF(D444="","",_xll.ciqfunctions.udf.CIQ(D438,"IQ_BUS_SEG_REV", H437-1, Valuation_date, ReportType,DataMode, F438,FXMode, C444)*Scale))</f>
        <v>#NAME?</v>
      </c>
      <c r="F444" s="187" t="e">
        <f ca="1">IF(D436="","",IF(D444="","",_xll.ciqfunctions.udf.CIQ(D438,"IQ_BUS_SEG_REV", H437, Valuation_date, ReportType,DataMode, F438,FXMode, $C444)*Scale))</f>
        <v>#NAME?</v>
      </c>
      <c r="G444" s="274" t="e">
        <f ca="1">IF(D444="","",IFERROR(F444/F457,"n/a"))</f>
        <v>#NAME?</v>
      </c>
      <c r="H444" s="274" t="e">
        <f t="shared" ca="1" si="27"/>
        <v>#NAME?</v>
      </c>
      <c r="I444" s="1524" t="e">
        <f ca="1">IF(D436="","",IF(D444="","",_xll.ciqfunctions.udf.CIQ(D438,"IQ_BUS_SEG_DESCRIPTION", H437, Valuation_date, , , , , $C444)))</f>
        <v>#NAME?</v>
      </c>
      <c r="J444" s="175"/>
      <c r="K444" s="1509"/>
    </row>
    <row r="445" spans="1:11">
      <c r="A445" s="1518" t="e">
        <f t="shared" ca="1" si="26"/>
        <v>#NAME?</v>
      </c>
      <c r="B445" s="1518"/>
      <c r="C445" s="227">
        <v>4</v>
      </c>
      <c r="D445" s="223" t="e">
        <f ca="1">IF(D436="","",IF(ISNUMBER(_xll.ciqfunctions.udf.CIQ(D438,"IQ_BUS_SEG_NAME", H437, Valuation_date, , , , , $C445)),"",_xll.ciqfunctions.udf.CIQ(D438,"IQ_BUS_SEG_NAME", H437, Valuation_date, , , , , $C445)))</f>
        <v>#NAME?</v>
      </c>
      <c r="E445" s="187" t="e">
        <f ca="1">IF(D436="","",IF(D445="","",_xll.ciqfunctions.udf.CIQ(D438,"IQ_BUS_SEG_REV", H437-1, Valuation_date, ReportType,DataMode, F438,FXMode, C445)*Scale))</f>
        <v>#NAME?</v>
      </c>
      <c r="F445" s="187" t="e">
        <f ca="1">IF(D436="","",IF(D445="","",_xll.ciqfunctions.udf.CIQ(D438,"IQ_BUS_SEG_REV", H437, Valuation_date, ReportType,DataMode, F438,FXMode, $C445)*Scale))</f>
        <v>#NAME?</v>
      </c>
      <c r="G445" s="274" t="e">
        <f ca="1">IF(D445="","",IFERROR(F445/F457,"n/a"))</f>
        <v>#NAME?</v>
      </c>
      <c r="H445" s="274" t="e">
        <f t="shared" ca="1" si="27"/>
        <v>#NAME?</v>
      </c>
      <c r="I445" s="1524" t="e">
        <f ca="1">IF(D436="","",IF(D445="","",_xll.ciqfunctions.udf.CIQ(D438,"IQ_BUS_SEG_DESCRIPTION", H437, Valuation_date, , , , , $C445)))</f>
        <v>#NAME?</v>
      </c>
      <c r="J445" s="175"/>
      <c r="K445" s="1509"/>
    </row>
    <row r="446" spans="1:11">
      <c r="A446" s="1518" t="e">
        <f t="shared" ca="1" si="26"/>
        <v>#NAME?</v>
      </c>
      <c r="B446" s="1518"/>
      <c r="C446" s="227">
        <v>5</v>
      </c>
      <c r="D446" s="223" t="e">
        <f ca="1">IF(D436="","",IF(ISNUMBER(_xll.ciqfunctions.udf.CIQ(D438,"IQ_BUS_SEG_NAME", H437, Valuation_date, , , , , $C446)),"",_xll.ciqfunctions.udf.CIQ(D438,"IQ_BUS_SEG_NAME", H437, Valuation_date, , , , , $C446)))</f>
        <v>#NAME?</v>
      </c>
      <c r="E446" s="187" t="e">
        <f ca="1">IF(D436="","",IF(D446="","",_xll.ciqfunctions.udf.CIQ(D438,"IQ_BUS_SEG_REV", H437-1, Valuation_date, ReportType,DataMode, F438,FXMode, C446)*Scale))</f>
        <v>#NAME?</v>
      </c>
      <c r="F446" s="187" t="e">
        <f ca="1">IF(D436="","",IF(D446="","",_xll.ciqfunctions.udf.CIQ(D438,"IQ_BUS_SEG_REV", H437, Valuation_date, ReportType,DataMode, F438,FXMode, $C446)*Scale))</f>
        <v>#NAME?</v>
      </c>
      <c r="G446" s="274" t="e">
        <f ca="1">IF(D446="","",IFERROR(F446/F457,"n/a"))</f>
        <v>#NAME?</v>
      </c>
      <c r="H446" s="274" t="e">
        <f t="shared" ca="1" si="27"/>
        <v>#NAME?</v>
      </c>
      <c r="I446" s="1524" t="e">
        <f ca="1">IF(D436="","",IF(D446="","",_xll.ciqfunctions.udf.CIQ(D438,"IQ_BUS_SEG_DESCRIPTION", H437, Valuation_date, , , , , $C446)))</f>
        <v>#NAME?</v>
      </c>
      <c r="J446" s="224"/>
      <c r="K446" s="1509"/>
    </row>
    <row r="447" spans="1:11">
      <c r="A447" s="1518" t="e">
        <f t="shared" ca="1" si="26"/>
        <v>#NAME?</v>
      </c>
      <c r="B447" s="1518"/>
      <c r="C447" s="227">
        <v>6</v>
      </c>
      <c r="D447" s="223" t="e">
        <f ca="1">IF(D436="","",IF(ISNUMBER(_xll.ciqfunctions.udf.CIQ(D438,"IQ_BUS_SEG_NAME", H437, Valuation_date, , , , , $C447)),"",_xll.ciqfunctions.udf.CIQ(D438,"IQ_BUS_SEG_NAME", H437, Valuation_date, , , , , $C447)))</f>
        <v>#NAME?</v>
      </c>
      <c r="E447" s="187" t="e">
        <f ca="1">IF(D436="","",IF(D447="","",_xll.ciqfunctions.udf.CIQ(D438,"IQ_BUS_SEG_REV", H437-1, Valuation_date, ReportType,DataMode, F438,FXMode, C447)*Scale))</f>
        <v>#NAME?</v>
      </c>
      <c r="F447" s="187" t="e">
        <f ca="1">IF(D436="","",IF(D447="","",_xll.ciqfunctions.udf.CIQ(D438,"IQ_BUS_SEG_REV", H437, Valuation_date, ReportType,DataMode, F438,FXMode, $C447)*Scale))</f>
        <v>#NAME?</v>
      </c>
      <c r="G447" s="274" t="e">
        <f ca="1">IF(D447="","",IFERROR(F447/F457,"n/a"))</f>
        <v>#NAME?</v>
      </c>
      <c r="H447" s="274" t="e">
        <f t="shared" ca="1" si="27"/>
        <v>#NAME?</v>
      </c>
      <c r="I447" s="1524" t="e">
        <f ca="1">IF(D436="","",IF(D447="","",_xll.ciqfunctions.udf.CIQ(D438,"IQ_BUS_SEG_DESCRIPTION", H437, Valuation_date, , , , , $C447)))</f>
        <v>#NAME?</v>
      </c>
      <c r="J447" s="224"/>
      <c r="K447" s="1509"/>
    </row>
    <row r="448" spans="1:11">
      <c r="A448" s="1518" t="e">
        <f t="shared" ca="1" si="26"/>
        <v>#NAME?</v>
      </c>
      <c r="B448" s="1518"/>
      <c r="C448" s="227">
        <v>7</v>
      </c>
      <c r="D448" s="223" t="e">
        <f ca="1">IF(D436="","",IF(ISNUMBER(_xll.ciqfunctions.udf.CIQ(D438,"IQ_BUS_SEG_NAME", H437, Valuation_date, , , , , $C448)),"",_xll.ciqfunctions.udf.CIQ(D438,"IQ_BUS_SEG_NAME", H437, Valuation_date, , , , , $C448)))</f>
        <v>#NAME?</v>
      </c>
      <c r="E448" s="187" t="e">
        <f ca="1">IF(D436="","",IF(D448="","",_xll.ciqfunctions.udf.CIQ(D438,"IQ_BUS_SEG_REV", H437-1, Valuation_date, ReportType,DataMode, F438,FXMode, C448)*Scale))</f>
        <v>#NAME?</v>
      </c>
      <c r="F448" s="187" t="e">
        <f ca="1">IF(D436="","",IF(D448="","",_xll.ciqfunctions.udf.CIQ(D438,"IQ_BUS_SEG_REV", H437, Valuation_date, ReportType,DataMode, F438,FXMode, $C448)*Scale))</f>
        <v>#NAME?</v>
      </c>
      <c r="G448" s="274" t="e">
        <f ca="1">IF(D448="","",IFERROR(F448/F457,"n/a"))</f>
        <v>#NAME?</v>
      </c>
      <c r="H448" s="274" t="e">
        <f t="shared" ca="1" si="27"/>
        <v>#NAME?</v>
      </c>
      <c r="I448" s="1524" t="e">
        <f ca="1">IF(D436="","",IF(D448="","",_xll.ciqfunctions.udf.CIQ(D438,"IQ_BUS_SEG_DESCRIPTION", H437, Valuation_date, , , , , $C448)))</f>
        <v>#NAME?</v>
      </c>
      <c r="J448" s="221"/>
      <c r="K448" s="1509"/>
    </row>
    <row r="449" spans="1:26">
      <c r="A449" s="1518" t="e">
        <f t="shared" ca="1" si="26"/>
        <v>#NAME?</v>
      </c>
      <c r="B449" s="1518"/>
      <c r="C449" s="227">
        <v>8</v>
      </c>
      <c r="D449" s="223" t="e">
        <f ca="1">IF(D436="","",IF(ISNUMBER(_xll.ciqfunctions.udf.CIQ(D438,"IQ_BUS_SEG_NAME", H437, Valuation_date, , , , , $C449)),"",_xll.ciqfunctions.udf.CIQ(D438,"IQ_BUS_SEG_NAME", H437, Valuation_date, , , , , $C449)))</f>
        <v>#NAME?</v>
      </c>
      <c r="E449" s="187" t="e">
        <f ca="1">IF(D436="","",IF(D449="","",_xll.ciqfunctions.udf.CIQ(D438,"IQ_BUS_SEG_REV", H437-1, Valuation_date, ReportType,DataMode, F438,FXMode, C449)*Scale))</f>
        <v>#NAME?</v>
      </c>
      <c r="F449" s="187" t="e">
        <f ca="1">IF(D436="","",IF(D449="","",_xll.ciqfunctions.udf.CIQ(D438,"IQ_BUS_SEG_REV", H437, Valuation_date, ReportType,DataMode, F438,FXMode, $C449)*Scale))</f>
        <v>#NAME?</v>
      </c>
      <c r="G449" s="274" t="e">
        <f ca="1">IF(D449="","",IFERROR(F449/F457,"n/a"))</f>
        <v>#NAME?</v>
      </c>
      <c r="H449" s="274" t="e">
        <f t="shared" ca="1" si="27"/>
        <v>#NAME?</v>
      </c>
      <c r="I449" s="1524" t="e">
        <f ca="1">IF(D436="","",IF(D449="","",_xll.ciqfunctions.udf.CIQ(D438,"IQ_BUS_SEG_DESCRIPTION", H437, Valuation_date, , , , , $C449)))</f>
        <v>#NAME?</v>
      </c>
      <c r="J449" s="222"/>
      <c r="K449" s="1509"/>
      <c r="L449" s="1508"/>
      <c r="M449" s="1508"/>
      <c r="N449" s="1508"/>
      <c r="O449" s="2060"/>
      <c r="P449" s="1508"/>
      <c r="Q449" s="1508"/>
      <c r="R449" s="1508"/>
      <c r="S449" s="1508"/>
      <c r="T449" s="1508"/>
      <c r="U449" s="1508"/>
      <c r="V449" s="1508"/>
      <c r="W449" s="1508"/>
      <c r="X449" s="1508"/>
      <c r="Y449" s="1508"/>
      <c r="Z449" s="1508"/>
    </row>
    <row r="450" spans="1:26">
      <c r="A450" s="1518" t="e">
        <f t="shared" ca="1" si="26"/>
        <v>#NAME?</v>
      </c>
      <c r="B450" s="1518"/>
      <c r="C450" s="227">
        <v>9</v>
      </c>
      <c r="D450" s="223" t="e">
        <f ca="1">IF(D436="","",IF(ISNUMBER(_xll.ciqfunctions.udf.CIQ(D438,"IQ_BUS_SEG_NAME", H437, Valuation_date, , , , , $C450)),"",_xll.ciqfunctions.udf.CIQ(D438,"IQ_BUS_SEG_NAME", H437, Valuation_date, , , , , $C450)))</f>
        <v>#NAME?</v>
      </c>
      <c r="E450" s="187" t="e">
        <f ca="1">IF(D436="","",IF(D450="","",_xll.ciqfunctions.udf.CIQ(D438,"IQ_BUS_SEG_REV", H437-1, Valuation_date, ReportType,DataMode, F438,FXMode, C450)*Scale))</f>
        <v>#NAME?</v>
      </c>
      <c r="F450" s="187" t="e">
        <f ca="1">IF(D436="","",IF(D450="","",_xll.ciqfunctions.udf.CIQ(D438,"IQ_BUS_SEG_REV", H437, Valuation_date, ReportType,DataMode, F438,FXMode, $C450)*Scale))</f>
        <v>#NAME?</v>
      </c>
      <c r="G450" s="274" t="e">
        <f ca="1">IF(D450="","",IFERROR(F450/F457,"n/a"))</f>
        <v>#NAME?</v>
      </c>
      <c r="H450" s="274" t="e">
        <f t="shared" ca="1" si="27"/>
        <v>#NAME?</v>
      </c>
      <c r="I450" s="1524" t="e">
        <f ca="1">IF(D436="","",IF(D450="","",_xll.ciqfunctions.udf.CIQ(D438,"IQ_BUS_SEG_DESCRIPTION", H437, Valuation_date, , , , , $C450)))</f>
        <v>#NAME?</v>
      </c>
      <c r="J450" s="222"/>
      <c r="K450" s="1509"/>
      <c r="L450" s="1508"/>
      <c r="M450" s="1508"/>
      <c r="N450" s="1508"/>
      <c r="O450" s="2060"/>
      <c r="P450" s="1508"/>
      <c r="Q450" s="1508"/>
      <c r="R450" s="1508"/>
      <c r="S450" s="1508"/>
      <c r="T450" s="1508"/>
      <c r="U450" s="1508"/>
      <c r="V450" s="1508"/>
      <c r="W450" s="1508"/>
      <c r="X450" s="1508"/>
      <c r="Y450" s="1508"/>
      <c r="Z450" s="1508"/>
    </row>
    <row r="451" spans="1:26">
      <c r="A451" s="1518" t="e">
        <f t="shared" ca="1" si="26"/>
        <v>#NAME?</v>
      </c>
      <c r="B451" s="1518"/>
      <c r="C451" s="227">
        <v>10</v>
      </c>
      <c r="D451" s="223" t="e">
        <f ca="1">IF(D436="","",IF(ISNUMBER(_xll.ciqfunctions.udf.CIQ(D438,"IQ_BUS_SEG_NAME", H437, Valuation_date, , , , , $C451)),"",_xll.ciqfunctions.udf.CIQ(D438,"IQ_BUS_SEG_NAME", H437, Valuation_date, , , , , $C451)))</f>
        <v>#NAME?</v>
      </c>
      <c r="E451" s="187" t="e">
        <f ca="1">IF(D436="","",IF(D451="","",_xll.ciqfunctions.udf.CIQ(D438,"IQ_BUS_SEG_REV", H437-1, Valuation_date, ReportType,DataMode, F438,FXMode, C451)*Scale))</f>
        <v>#NAME?</v>
      </c>
      <c r="F451" s="187" t="e">
        <f ca="1">IF(D436="","",IF(D451="","",_xll.ciqfunctions.udf.CIQ(D438,"IQ_BUS_SEG_REV", H437, Valuation_date, ReportType,DataMode, F438,FXMode, $C451)*Scale))</f>
        <v>#NAME?</v>
      </c>
      <c r="G451" s="274" t="e">
        <f ca="1">IF(D451="","",IFERROR(F451/F457,"n/a"))</f>
        <v>#NAME?</v>
      </c>
      <c r="H451" s="274" t="e">
        <f t="shared" ca="1" si="27"/>
        <v>#NAME?</v>
      </c>
      <c r="I451" s="1524" t="e">
        <f ca="1">IF(D436="","",IF(D451="","",_xll.ciqfunctions.udf.CIQ(D438,"IQ_BUS_SEG_DESCRIPTION", H437, Valuation_date, , , , , $C451)))</f>
        <v>#NAME?</v>
      </c>
      <c r="J451" s="175"/>
      <c r="K451" s="1509"/>
      <c r="L451" s="1508"/>
      <c r="M451" s="1508"/>
      <c r="N451" s="1508"/>
      <c r="O451" s="2060"/>
      <c r="P451" s="1508"/>
      <c r="Q451" s="1508"/>
      <c r="R451" s="1508"/>
      <c r="S451" s="1508"/>
      <c r="T451" s="1508"/>
      <c r="U451" s="1508"/>
      <c r="V451" s="1508"/>
      <c r="W451" s="1508"/>
      <c r="X451" s="1508"/>
      <c r="Y451" s="1508"/>
      <c r="Z451" s="1508"/>
    </row>
    <row r="452" spans="1:26">
      <c r="A452" s="1518" t="e">
        <f t="shared" ca="1" si="26"/>
        <v>#NAME?</v>
      </c>
      <c r="B452" s="1518"/>
      <c r="C452" s="227">
        <v>11</v>
      </c>
      <c r="D452" s="223" t="e">
        <f ca="1">IF(D436="","",IF(ISNUMBER(_xll.ciqfunctions.udf.CIQ(D438,"IQ_BUS_SEG_NAME", H437, Valuation_date, , , , , $C452)),"",_xll.ciqfunctions.udf.CIQ(D438,"IQ_BUS_SEG_NAME", H437, Valuation_date, , , , , $C452)))</f>
        <v>#NAME?</v>
      </c>
      <c r="E452" s="187" t="e">
        <f ca="1">IF(D436="","",IF(D452="","",_xll.ciqfunctions.udf.CIQ(D438,"IQ_BUS_SEG_REV", H437-1, Valuation_date, ReportType,DataMode, F438,FXMode, C452)*Scale))</f>
        <v>#NAME?</v>
      </c>
      <c r="F452" s="187" t="e">
        <f ca="1">IF(D436="","",IF(D452="","",_xll.ciqfunctions.udf.CIQ(D438,"IQ_BUS_SEG_REV", H437, Valuation_date, ReportType,DataMode, F438,FXMode, $C452)*Scale))</f>
        <v>#NAME?</v>
      </c>
      <c r="G452" s="274" t="e">
        <f ca="1">IF(D452="","",IFERROR(F452/F457,"n/a"))</f>
        <v>#NAME?</v>
      </c>
      <c r="H452" s="274" t="e">
        <f t="shared" ca="1" si="27"/>
        <v>#NAME?</v>
      </c>
      <c r="I452" s="1524" t="e">
        <f ca="1">IF(D436="","",IF(D452="","",_xll.ciqfunctions.udf.CIQ(D438,"IQ_BUS_SEG_DESCRIPTION", H437, Valuation_date, , , , , $C452)))</f>
        <v>#NAME?</v>
      </c>
      <c r="J452" s="222"/>
      <c r="K452" s="1509"/>
      <c r="L452" s="1508"/>
      <c r="M452" s="1508"/>
      <c r="N452" s="1508"/>
      <c r="O452" s="2060"/>
      <c r="P452" s="1508"/>
      <c r="Q452" s="1508"/>
      <c r="R452" s="1508"/>
      <c r="S452" s="1508"/>
      <c r="T452" s="1508"/>
      <c r="U452" s="1508"/>
      <c r="V452" s="1508"/>
      <c r="W452" s="1508"/>
      <c r="X452" s="1508"/>
      <c r="Y452" s="1508"/>
      <c r="Z452" s="1508"/>
    </row>
    <row r="453" spans="1:26">
      <c r="A453" s="1518" t="e">
        <f t="shared" ca="1" si="26"/>
        <v>#NAME?</v>
      </c>
      <c r="B453" s="1518"/>
      <c r="C453" s="227">
        <v>12</v>
      </c>
      <c r="D453" s="223" t="e">
        <f ca="1">IF(D436="","",IF(ISNUMBER(_xll.ciqfunctions.udf.CIQ(D438,"IQ_BUS_SEG_NAME", H437, Valuation_date, , , , , $C453)),"",_xll.ciqfunctions.udf.CIQ(D438,"IQ_BUS_SEG_NAME", H437, Valuation_date, , , , , $C453)))</f>
        <v>#NAME?</v>
      </c>
      <c r="E453" s="187" t="e">
        <f ca="1">IF(D436="","",IF(D453="","",_xll.ciqfunctions.udf.CIQ(D438,"IQ_BUS_SEG_REV", H437-1, Valuation_date, ReportType,DataMode, F438,FXMode, C453)*Scale))</f>
        <v>#NAME?</v>
      </c>
      <c r="F453" s="187" t="e">
        <f ca="1">IF(D436="","",IF(D453="","",_xll.ciqfunctions.udf.CIQ(D438,"IQ_BUS_SEG_REV", H437, Valuation_date, ReportType,DataMode, F438,FXMode, $C453)*Scale))</f>
        <v>#NAME?</v>
      </c>
      <c r="G453" s="274" t="e">
        <f ca="1">IF(D453="","",IFERROR(F453/F457,"n/a"))</f>
        <v>#NAME?</v>
      </c>
      <c r="H453" s="274" t="e">
        <f t="shared" ca="1" si="27"/>
        <v>#NAME?</v>
      </c>
      <c r="I453" s="1524" t="e">
        <f ca="1">IF(D436="","",IF(D453="","",_xll.ciqfunctions.udf.CIQ(D438,"IQ_BUS_SEG_DESCRIPTION", H437, Valuation_date, , , , , $C453)))</f>
        <v>#NAME?</v>
      </c>
      <c r="J453" s="222"/>
      <c r="K453" s="1509"/>
      <c r="L453" s="1508"/>
      <c r="M453" s="1508"/>
      <c r="N453" s="1508"/>
      <c r="O453" s="2060"/>
      <c r="P453" s="1508"/>
      <c r="Q453" s="1508"/>
      <c r="R453" s="1508"/>
      <c r="S453" s="1508"/>
      <c r="T453" s="1508"/>
      <c r="U453" s="1508"/>
      <c r="V453" s="1508"/>
      <c r="W453" s="1508"/>
      <c r="X453" s="1508"/>
      <c r="Y453" s="1508"/>
      <c r="Z453" s="1508"/>
    </row>
    <row r="454" spans="1:26">
      <c r="A454" s="1518" t="e">
        <f t="shared" ca="1" si="26"/>
        <v>#NAME?</v>
      </c>
      <c r="B454" s="1518"/>
      <c r="C454" s="227">
        <v>13</v>
      </c>
      <c r="D454" s="223" t="e">
        <f ca="1">IF(D436="","",IF(ISNUMBER(_xll.ciqfunctions.udf.CIQ(D438,"IQ_BUS_SEG_NAME", H437, Valuation_date, , , , , $C454)),"",_xll.ciqfunctions.udf.CIQ(D438,"IQ_BUS_SEG_NAME", H437, Valuation_date, , , , , $C454)))</f>
        <v>#NAME?</v>
      </c>
      <c r="E454" s="187" t="e">
        <f ca="1">IF(D436="","",IF(D454="","",_xll.ciqfunctions.udf.CIQ(D438,"IQ_BUS_SEG_REV", H437-1, Valuation_date, ReportType,DataMode, F438,FXMode, C454)*Scale))</f>
        <v>#NAME?</v>
      </c>
      <c r="F454" s="187" t="e">
        <f ca="1">IF(D436="","",IF(D454="","",_xll.ciqfunctions.udf.CIQ(D438,"IQ_BUS_SEG_REV", H437, Valuation_date, ReportType,DataMode, F438,FXMode, $C454)*Scale))</f>
        <v>#NAME?</v>
      </c>
      <c r="G454" s="274" t="e">
        <f ca="1">IF(D454="","",IFERROR(F454/F457,"n/a"))</f>
        <v>#NAME?</v>
      </c>
      <c r="H454" s="274" t="e">
        <f t="shared" ca="1" si="27"/>
        <v>#NAME?</v>
      </c>
      <c r="I454" s="1524" t="e">
        <f ca="1">IF(D436="","",IF(D454="","",_xll.ciqfunctions.udf.CIQ(D438,"IQ_BUS_SEG_DESCRIPTION", H437, Valuation_date, , , , , $C454)))</f>
        <v>#NAME?</v>
      </c>
      <c r="J454" s="222"/>
      <c r="K454" s="1509"/>
      <c r="L454" s="1508"/>
      <c r="M454" s="1508"/>
      <c r="N454" s="1508"/>
      <c r="O454" s="2060"/>
      <c r="P454" s="1508"/>
      <c r="Q454" s="1508"/>
      <c r="R454" s="1508"/>
      <c r="S454" s="1508"/>
      <c r="T454" s="1508"/>
      <c r="U454" s="1508"/>
      <c r="V454" s="1508"/>
      <c r="W454" s="1508"/>
      <c r="X454" s="1508"/>
      <c r="Y454" s="1508"/>
      <c r="Z454" s="1508"/>
    </row>
    <row r="455" spans="1:26">
      <c r="A455" s="1518" t="e">
        <f ca="1">IF(D455="","n","")</f>
        <v>#NAME?</v>
      </c>
      <c r="B455" s="1518"/>
      <c r="C455" s="227">
        <v>14</v>
      </c>
      <c r="D455" s="223" t="e">
        <f ca="1">IF(D436="","",IF(ISNUMBER(_xll.ciqfunctions.udf.CIQ(D438,"IQ_BUS_SEG_NAME", H437, Valuation_date, , , , , $C455)),"",_xll.ciqfunctions.udf.CIQ(D438,"IQ_BUS_SEG_NAME", H437, Valuation_date, , , , , $C455)))</f>
        <v>#NAME?</v>
      </c>
      <c r="E455" s="187" t="e">
        <f ca="1">IF(D436="","",IF(D455="","",_xll.ciqfunctions.udf.CIQ(D438,"IQ_BUS_SEG_REV", H437-1, Valuation_date, ReportType,DataMode, F438,FXMode, C455)*Scale))</f>
        <v>#NAME?</v>
      </c>
      <c r="F455" s="187" t="e">
        <f ca="1">IF(D436="","",IF(D455="","",_xll.ciqfunctions.udf.CIQ(D438,"IQ_BUS_SEG_REV", H437, Valuation_date, ReportType,DataMode, F438,FXMode, $C455)*Scale))</f>
        <v>#NAME?</v>
      </c>
      <c r="G455" s="274" t="e">
        <f ca="1">IF(D455="","",IFERROR(F455/F457,"n/a"))</f>
        <v>#NAME?</v>
      </c>
      <c r="H455" s="274" t="e">
        <f t="shared" ca="1" si="27"/>
        <v>#NAME?</v>
      </c>
      <c r="I455" s="1524" t="e">
        <f ca="1">IF(D436="","",IF(D455="","",_xll.ciqfunctions.udf.CIQ(D438,"IQ_BUS_SEG_DESCRIPTION", H437, Valuation_date, , , , , $C455)))</f>
        <v>#NAME?</v>
      </c>
      <c r="J455" s="222"/>
      <c r="K455" s="1509"/>
      <c r="L455" s="1508"/>
      <c r="M455" s="1508"/>
      <c r="N455" s="1508"/>
      <c r="O455" s="2060"/>
      <c r="P455" s="1508"/>
      <c r="Q455" s="1508"/>
      <c r="R455" s="1508"/>
      <c r="S455" s="1508"/>
      <c r="T455" s="1508"/>
      <c r="U455" s="1508"/>
      <c r="V455" s="1508"/>
      <c r="W455" s="1508"/>
      <c r="X455" s="1508"/>
      <c r="Y455" s="1508"/>
      <c r="Z455" s="1508"/>
    </row>
    <row r="456" spans="1:26">
      <c r="A456" s="1518" t="e">
        <f ca="1">IF(D456="","n","")</f>
        <v>#NAME?</v>
      </c>
      <c r="B456" s="1518"/>
      <c r="C456" s="227">
        <v>15</v>
      </c>
      <c r="D456" s="223" t="e">
        <f ca="1">IF(D436="","",IF(ISNUMBER(_xll.ciqfunctions.udf.CIQ(D438,"IQ_BUS_SEG_NAME", H437, Valuation_date, , , , , $C456)),"",_xll.ciqfunctions.udf.CIQ(D438,"IQ_BUS_SEG_NAME", H437, Valuation_date, , , , , $C456)))</f>
        <v>#NAME?</v>
      </c>
      <c r="E456" s="187" t="e">
        <f ca="1">IF(D436="","",IF(D456="","",_xll.ciqfunctions.udf.CIQ(D438,"IQ_BUS_SEG_REV", H437-1, Valuation_date, ReportType,DataMode, F438,FXMode, C456)*Scale))</f>
        <v>#NAME?</v>
      </c>
      <c r="F456" s="187" t="e">
        <f ca="1">IF(D436="","",IF(D456="","",_xll.ciqfunctions.udf.CIQ(D438,"IQ_BUS_SEG_REV", H437, Valuation_date, ReportType,DataMode, F438,FXMode, $C456)*Scale))</f>
        <v>#NAME?</v>
      </c>
      <c r="G456" s="274" t="e">
        <f ca="1">IF(D456="","",IFERROR(F456/F457,"n/a"))</f>
        <v>#NAME?</v>
      </c>
      <c r="H456" s="274" t="e">
        <f t="shared" ca="1" si="27"/>
        <v>#NAME?</v>
      </c>
      <c r="I456" s="1524" t="e">
        <f ca="1">IF(D436="","",IF(D456="","",_xll.ciqfunctions.udf.CIQ(D438,"IQ_BUS_SEG_DESCRIPTION", H437, Valuation_date, , , , , $C456)))</f>
        <v>#NAME?</v>
      </c>
      <c r="J456" s="222"/>
      <c r="K456" s="1509"/>
      <c r="L456" s="1508"/>
      <c r="M456" s="1508"/>
      <c r="N456" s="1508"/>
      <c r="O456" s="2060"/>
      <c r="P456" s="1508"/>
      <c r="Q456" s="1508"/>
      <c r="R456" s="1508"/>
      <c r="S456" s="1508"/>
      <c r="T456" s="1508"/>
      <c r="U456" s="1508"/>
      <c r="V456" s="1508"/>
      <c r="W456" s="1508"/>
      <c r="X456" s="1508"/>
      <c r="Y456" s="1508"/>
      <c r="Z456" s="1508"/>
    </row>
    <row r="457" spans="1:26" ht="14.45" thickBot="1">
      <c r="A457" s="1518"/>
      <c r="B457" s="1518"/>
      <c r="C457" s="225"/>
      <c r="D457" s="220" t="s">
        <v>1248</v>
      </c>
      <c r="E457" s="220" t="e">
        <f ca="1">SUM(E442:E456)</f>
        <v>#NAME?</v>
      </c>
      <c r="F457" s="220" t="e">
        <f ca="1">SUM(F442:F456)</f>
        <v>#NAME?</v>
      </c>
      <c r="G457" s="2266" t="e">
        <f ca="1">SUM(G442:G456)</f>
        <v>#NAME?</v>
      </c>
      <c r="H457" s="2266" t="str">
        <f ca="1">IF(D457="","",IFERROR(F457/E457-1,"n/a"))</f>
        <v>n/a</v>
      </c>
      <c r="I457" s="1515"/>
      <c r="J457" s="222"/>
      <c r="K457" s="1509"/>
      <c r="L457" s="1508"/>
      <c r="M457" s="1508"/>
      <c r="N457" s="1508"/>
      <c r="O457" s="2060"/>
      <c r="P457" s="1508"/>
      <c r="Q457" s="1508"/>
      <c r="R457" s="1508"/>
      <c r="S457" s="1508"/>
      <c r="T457" s="1508"/>
      <c r="U457" s="1508"/>
      <c r="V457" s="1508"/>
      <c r="W457" s="1508"/>
      <c r="X457" s="1508"/>
      <c r="Y457" s="1508"/>
      <c r="Z457" s="1508"/>
    </row>
    <row r="458" spans="1:26">
      <c r="A458" s="1518"/>
      <c r="B458" s="1518"/>
      <c r="C458" s="225"/>
      <c r="D458" s="187"/>
      <c r="E458" s="187"/>
      <c r="F458" s="274"/>
      <c r="G458" s="187"/>
      <c r="H458" s="274"/>
      <c r="I458" s="1515"/>
      <c r="J458" s="222"/>
      <c r="K458" s="1509"/>
      <c r="L458" s="1508"/>
      <c r="M458" s="1508"/>
      <c r="N458" s="1508"/>
      <c r="O458" s="2060"/>
      <c r="P458" s="1508"/>
      <c r="Q458" s="1508"/>
      <c r="R458" s="1508"/>
      <c r="S458" s="1508"/>
      <c r="T458" s="1508"/>
      <c r="U458" s="1508"/>
      <c r="V458" s="1508"/>
      <c r="W458" s="1508"/>
      <c r="X458" s="1508"/>
      <c r="Y458" s="1508"/>
      <c r="Z458" s="1508"/>
    </row>
    <row r="459" spans="1:26" s="1508" customFormat="1">
      <c r="A459" s="1518"/>
      <c r="B459" s="1518"/>
      <c r="C459" s="1572"/>
      <c r="D459" s="1514" t="s">
        <v>1707</v>
      </c>
      <c r="E459" s="1579"/>
      <c r="F459" s="1575"/>
      <c r="G459" s="1514"/>
      <c r="H459" s="1575"/>
      <c r="I459" s="1571"/>
      <c r="J459" s="1574"/>
      <c r="K459" s="1509"/>
      <c r="L459" s="2060"/>
      <c r="M459" s="2060"/>
      <c r="O459" s="2060"/>
    </row>
    <row r="460" spans="1:26">
      <c r="A460" s="1518"/>
      <c r="B460" s="1518"/>
      <c r="C460" s="225"/>
      <c r="D460" s="1514" t="s">
        <v>1402</v>
      </c>
      <c r="E460" s="187"/>
      <c r="F460" s="274"/>
      <c r="G460" s="187"/>
      <c r="H460" s="274"/>
      <c r="I460" s="1515"/>
      <c r="J460" s="222"/>
      <c r="K460" s="1509"/>
      <c r="L460" s="1508"/>
      <c r="M460" s="1508"/>
      <c r="N460" s="1508"/>
      <c r="O460" s="2060"/>
      <c r="P460" s="1508"/>
      <c r="Q460" s="1508"/>
      <c r="R460" s="1508"/>
      <c r="S460" s="1508"/>
      <c r="T460" s="1508"/>
      <c r="U460" s="1508"/>
      <c r="V460" s="1508"/>
      <c r="W460" s="1508"/>
      <c r="X460" s="1508"/>
      <c r="Y460" s="1508"/>
      <c r="Z460" s="1508"/>
    </row>
    <row r="461" spans="1:26">
      <c r="A461" s="1518"/>
      <c r="B461" s="1518"/>
      <c r="C461" s="225"/>
      <c r="D461" s="1508"/>
      <c r="E461" s="1508"/>
      <c r="F461" s="1508"/>
      <c r="G461" s="1508"/>
      <c r="H461" s="1508"/>
      <c r="I461" s="1515"/>
      <c r="J461" s="1508"/>
      <c r="K461" s="1509"/>
      <c r="L461" s="2060"/>
      <c r="M461" s="2060"/>
      <c r="N461" s="2060"/>
      <c r="O461" s="2060"/>
      <c r="P461" s="2060"/>
      <c r="Q461" s="2060"/>
      <c r="R461" s="2060"/>
      <c r="S461" s="2060"/>
      <c r="T461" s="1508"/>
      <c r="U461" s="1508"/>
      <c r="V461" s="1508"/>
      <c r="W461" s="1508"/>
      <c r="X461" s="1508"/>
      <c r="Y461" s="1508"/>
      <c r="Z461" s="1508"/>
    </row>
    <row r="462" spans="1:26" s="178" customFormat="1" ht="13.5" customHeight="1">
      <c r="A462" s="1510"/>
      <c r="B462" s="1510"/>
      <c r="C462" s="327"/>
      <c r="D462" s="1513" t="str">
        <f ca="1">FootnoteDRAFT</f>
        <v>Run date: 05-August-2018  02:34 PM.   DRAFT document. All data subject to change upon completion of additional analysis.</v>
      </c>
      <c r="E462" s="1506"/>
      <c r="F462" s="176"/>
      <c r="G462" s="1513"/>
      <c r="H462" s="1513"/>
      <c r="I462" s="1562"/>
      <c r="J462" s="1512"/>
      <c r="K462" s="1509"/>
      <c r="L462" s="2060"/>
      <c r="M462" s="2060"/>
      <c r="N462" s="2060"/>
      <c r="O462" s="2060"/>
      <c r="P462" s="2060"/>
      <c r="Q462" s="2060"/>
      <c r="R462" s="2060"/>
      <c r="S462" s="2060"/>
      <c r="T462" s="2060"/>
      <c r="U462" s="2060"/>
      <c r="V462" s="2060"/>
      <c r="W462" s="2060"/>
      <c r="X462" s="2060"/>
      <c r="Y462" s="2060"/>
      <c r="Z462" s="2060"/>
    </row>
    <row r="463" spans="1:26" s="178" customFormat="1">
      <c r="A463" s="1510" t="s">
        <v>17</v>
      </c>
      <c r="B463" s="1510"/>
      <c r="C463" s="1510"/>
      <c r="D463" s="1510"/>
      <c r="E463" s="683"/>
      <c r="F463" s="1510"/>
      <c r="G463" s="1510"/>
      <c r="H463" s="1510"/>
      <c r="I463" s="1547"/>
      <c r="J463" s="1546" t="str">
        <f ca="1">IF(D471="","Page end","Continue")</f>
        <v>Continue</v>
      </c>
      <c r="K463" s="1510"/>
      <c r="L463" s="2060"/>
      <c r="M463" s="2060"/>
      <c r="N463" s="2060"/>
      <c r="O463" s="2060"/>
      <c r="P463" s="2060"/>
      <c r="Q463" s="2060"/>
      <c r="R463" s="2060"/>
      <c r="S463" s="2060"/>
      <c r="T463" s="2060"/>
      <c r="U463" s="2060"/>
      <c r="V463" s="2060"/>
      <c r="W463" s="2060"/>
      <c r="X463" s="2060"/>
      <c r="Y463" s="2060"/>
      <c r="Z463" s="2060"/>
    </row>
    <row r="464" spans="1:26" ht="18" customHeight="1">
      <c r="A464" s="1518"/>
      <c r="B464" s="1518"/>
      <c r="C464" s="292" t="str">
        <f ca="1">D469</f>
        <v>n/a</v>
      </c>
      <c r="D464" s="172"/>
      <c r="E464" s="674"/>
      <c r="F464" s="172"/>
      <c r="G464" s="172"/>
      <c r="H464" s="172"/>
      <c r="I464" s="1522"/>
      <c r="J464" s="389" t="str">
        <f>$J$1&amp;"."&amp;C469&amp;""</f>
        <v>Workpaper 6.14</v>
      </c>
      <c r="K464" s="1509"/>
      <c r="L464" s="1508"/>
      <c r="M464" s="1508"/>
      <c r="N464" s="1508"/>
      <c r="O464" s="2060"/>
      <c r="P464" s="1508"/>
      <c r="Q464" s="1508"/>
      <c r="R464" s="1508"/>
      <c r="S464" s="1508"/>
      <c r="T464" s="1508"/>
      <c r="U464" s="1508"/>
      <c r="V464" s="1508"/>
      <c r="W464" s="1508"/>
      <c r="X464" s="1508"/>
      <c r="Y464" s="1508"/>
      <c r="Z464" s="1508"/>
    </row>
    <row r="465" spans="1:11" ht="18" customHeight="1">
      <c r="A465" s="1518"/>
      <c r="B465" s="1518"/>
      <c r="C465" s="839" t="s">
        <v>1699</v>
      </c>
      <c r="D465" s="172"/>
      <c r="E465" s="172"/>
      <c r="F465" s="172"/>
      <c r="G465" s="172"/>
      <c r="H465" s="172"/>
      <c r="I465" s="1522"/>
      <c r="J465" s="187"/>
      <c r="K465" s="1509"/>
    </row>
    <row r="466" spans="1:11" ht="18" customHeight="1">
      <c r="A466" s="1518"/>
      <c r="B466" s="1518"/>
      <c r="C466" s="366" t="str">
        <f ca="1">"(" &amp;F471&amp;" in "&amp;ScaleInput&amp;")"</f>
        <v>(USD in Millions)</v>
      </c>
      <c r="D466" s="1508"/>
      <c r="E466" s="170"/>
      <c r="F466" s="170"/>
      <c r="G466" s="170"/>
      <c r="H466" s="170"/>
      <c r="I466" s="1521"/>
      <c r="J466" s="1508"/>
      <c r="K466" s="1509"/>
    </row>
    <row r="467" spans="1:11" ht="18" customHeight="1">
      <c r="A467" s="1518"/>
      <c r="B467" s="1518"/>
      <c r="C467" s="366"/>
      <c r="D467" s="1508"/>
      <c r="E467" s="172"/>
      <c r="F467" s="172"/>
      <c r="G467" s="172"/>
      <c r="H467" s="172"/>
      <c r="I467" s="1522"/>
      <c r="J467" s="1508"/>
      <c r="K467" s="1509"/>
    </row>
    <row r="468" spans="1:11">
      <c r="A468" s="1518"/>
      <c r="B468" s="1518"/>
      <c r="C468" s="1511"/>
      <c r="D468" s="1508"/>
      <c r="E468" s="172"/>
      <c r="F468" s="172"/>
      <c r="G468" s="172"/>
      <c r="H468" s="172"/>
      <c r="I468" s="1522"/>
      <c r="J468" s="1508"/>
      <c r="K468" s="1509"/>
    </row>
    <row r="469" spans="1:11">
      <c r="A469" s="1518"/>
      <c r="B469" s="1518"/>
      <c r="C469" s="226">
        <v>14</v>
      </c>
      <c r="D469" s="179" t="str">
        <f ca="1">IF(D471=0,"n/a",IFERROR(_xll.ciqfunctions.udf.CIQ(D471,"IQ_COMPANY_NAME"),"n/a"))</f>
        <v>n/a</v>
      </c>
      <c r="E469" s="1508"/>
      <c r="F469" s="1508"/>
      <c r="G469" s="1508"/>
      <c r="H469" s="1508"/>
      <c r="I469" s="1515"/>
      <c r="J469" s="1508"/>
      <c r="K469" s="1509"/>
    </row>
    <row r="470" spans="1:11">
      <c r="A470" s="1518"/>
      <c r="B470" s="1518"/>
      <c r="C470" s="225"/>
      <c r="D470" s="2258" t="s">
        <v>134</v>
      </c>
      <c r="E470" s="2258" t="s">
        <v>1708</v>
      </c>
      <c r="F470" s="2262" t="s">
        <v>167</v>
      </c>
      <c r="G470" s="2262" t="s">
        <v>1700</v>
      </c>
      <c r="H470" s="2263">
        <f>INDEX($W$9:$W$14,MATCH(H471,PeriodList,0))</f>
        <v>2000</v>
      </c>
      <c r="I470" s="1515"/>
      <c r="J470" s="201"/>
      <c r="K470" s="1509"/>
    </row>
    <row r="471" spans="1:11">
      <c r="A471" s="1518"/>
      <c r="B471" s="1518"/>
      <c r="C471" s="227"/>
      <c r="D471" s="2249">
        <f ca="1">OFFSET(GCIdentifierTop,C469,0)</f>
        <v>0</v>
      </c>
      <c r="E471" s="2250" t="str">
        <f ca="1">IF($D471="","",IFERROR(_xll.ciqfunctions.udf.CIQ($D471,"IQ_PERIODDATE",H470,Valuation_date),"n/a"))</f>
        <v>n/a</v>
      </c>
      <c r="F471" s="2251" t="str">
        <f ca="1">IFERROR(IF(C469=0,SubjOutputCurrencyCode,IF(D471="","",IF(OutputCurrency="Filing",_xll.ciqfunctions.udf.CIQ($D471,"IQ_FILING_CURRENCY",500,Valuation_date,ReportType,DataMode),OutputCurrency))),OutputCurrency)</f>
        <v>USD</v>
      </c>
      <c r="G471" s="2264" t="e">
        <f ca="1">IF(D469="","",_xll.ciqfunctions.udf.CIQ(D471,"IQ_TOTAL_REV", H470, Valuation_date,ReportType,DataMode,F471,FXMode))</f>
        <v>#NAME?</v>
      </c>
      <c r="H471" s="2265" t="str">
        <f>$H$9</f>
        <v>LTM/LFQ</v>
      </c>
      <c r="I471" s="1523"/>
      <c r="J471" s="174"/>
      <c r="K471" s="1509"/>
    </row>
    <row r="472" spans="1:11">
      <c r="A472" s="1518"/>
      <c r="B472" s="1518"/>
      <c r="C472" s="227"/>
      <c r="D472" s="1508"/>
      <c r="E472" s="1508"/>
      <c r="F472" s="1508"/>
      <c r="G472" s="1508"/>
      <c r="H472" s="1508"/>
      <c r="I472" s="1515"/>
      <c r="J472" s="221"/>
      <c r="K472" s="1509"/>
    </row>
    <row r="473" spans="1:11">
      <c r="A473" s="1518"/>
      <c r="B473" s="1518"/>
      <c r="C473" s="227"/>
      <c r="D473" s="741"/>
      <c r="E473" s="744" t="e">
        <f ca="1">IF(D471="",Valuation_date,_xll.ciqfunctions.udf.CIQ(D471,"IQ_PERIODDATE",H470-IF(LEFT(H471,3)="LFY",1,4),Valuation_date))</f>
        <v>#NAME?</v>
      </c>
      <c r="F473" s="742" t="e">
        <f ca="1">IF(D471="",Valuation_date,_xll.ciqfunctions.udf.CIQ(D471,"IQ_PERIODDATE",H470,Valuation_date))</f>
        <v>#NAME?</v>
      </c>
      <c r="G473" s="741"/>
      <c r="H473" s="743" t="s">
        <v>1702</v>
      </c>
      <c r="I473" s="1587"/>
      <c r="J473" s="221"/>
      <c r="K473" s="1509"/>
    </row>
    <row r="474" spans="1:11">
      <c r="A474" s="1518"/>
      <c r="B474" s="1518"/>
      <c r="C474" s="227"/>
      <c r="D474" s="2254" t="s">
        <v>1703</v>
      </c>
      <c r="E474" s="2255" t="s">
        <v>1458</v>
      </c>
      <c r="F474" s="2255" t="s">
        <v>1458</v>
      </c>
      <c r="G474" s="2255" t="s">
        <v>1704</v>
      </c>
      <c r="H474" s="2255" t="s">
        <v>1705</v>
      </c>
      <c r="I474" s="2256" t="s">
        <v>1706</v>
      </c>
      <c r="J474" s="222"/>
      <c r="K474" s="1509"/>
    </row>
    <row r="475" spans="1:11">
      <c r="A475" s="1518" t="e">
        <f t="shared" ref="A475:A487" ca="1" si="28">IF(D475="","n","")</f>
        <v>#NAME?</v>
      </c>
      <c r="B475" s="1518"/>
      <c r="C475" s="227">
        <v>1</v>
      </c>
      <c r="D475" s="223" t="e">
        <f ca="1">IF(D469="","",IF(ISNUMBER(_xll.ciqfunctions.udf.CIQ(D471,"IQ_BUS_SEG_NAME", H470, Valuation_date, , , , , $C475)),"",_xll.ciqfunctions.udf.CIQ(D471,"IQ_BUS_SEG_NAME", H470, Valuation_date, , , , , $C475)))</f>
        <v>#NAME?</v>
      </c>
      <c r="E475" s="187" t="e">
        <f ca="1">IF(D469="","",IF(D475="","",_xll.ciqfunctions.udf.CIQ(D471,"IQ_BUS_SEG_REV", H470-1, Valuation_date, ReportType,DataMode, F471,FXMode, C475)*Scale))</f>
        <v>#NAME?</v>
      </c>
      <c r="F475" s="187" t="e">
        <f ca="1">IF(D469="","",IF(D475="","",_xll.ciqfunctions.udf.CIQ(D471,"IQ_BUS_SEG_REV", H470, Valuation_date, ReportType,DataMode, F471,FXMode, $C475)*Scale))</f>
        <v>#NAME?</v>
      </c>
      <c r="G475" s="274" t="e">
        <f ca="1">IF(D475="","",IFERROR(F475/F490,"n/a"))</f>
        <v>#NAME?</v>
      </c>
      <c r="H475" s="274" t="e">
        <f ca="1">IF(D475="","",IFERROR(F475/E475-1,"n/a"))</f>
        <v>#NAME?</v>
      </c>
      <c r="I475" s="1524" t="e">
        <f ca="1">IF(D469="","",IF(D475="","",_xll.ciqfunctions.udf.CIQ(D471,"IQ_BUS_SEG_DESCRIPTION", H470, Valuation_date, , , , , $C475)))</f>
        <v>#NAME?</v>
      </c>
      <c r="J475" s="175"/>
      <c r="K475" s="1509"/>
    </row>
    <row r="476" spans="1:11">
      <c r="A476" s="1518" t="e">
        <f t="shared" ca="1" si="28"/>
        <v>#NAME?</v>
      </c>
      <c r="B476" s="1518"/>
      <c r="C476" s="227">
        <v>2</v>
      </c>
      <c r="D476" s="223" t="e">
        <f ca="1">IF(D469="","",IF(ISNUMBER(_xll.ciqfunctions.udf.CIQ(D471,"IQ_BUS_SEG_NAME", H470, Valuation_date, , , , , $C476)),"",_xll.ciqfunctions.udf.CIQ(D471,"IQ_BUS_SEG_NAME", H470, Valuation_date, , , , , $C476)))</f>
        <v>#NAME?</v>
      </c>
      <c r="E476" s="187" t="e">
        <f ca="1">IF(D469="","",IF(D476="","",_xll.ciqfunctions.udf.CIQ(D471,"IQ_BUS_SEG_REV", H470-1, Valuation_date, ReportType,DataMode, F471,FXMode, C476)*Scale))</f>
        <v>#NAME?</v>
      </c>
      <c r="F476" s="187" t="e">
        <f ca="1">IF(D469="","",IF(D476="","",_xll.ciqfunctions.udf.CIQ(D471,"IQ_BUS_SEG_REV", H470, Valuation_date, ReportType,DataMode, F471,FXMode, $C476)*Scale))</f>
        <v>#NAME?</v>
      </c>
      <c r="G476" s="274" t="e">
        <f ca="1">IF(D476="","",IFERROR(F476/F490,"n/a"))</f>
        <v>#NAME?</v>
      </c>
      <c r="H476" s="274" t="e">
        <f t="shared" ref="H476:H489" ca="1" si="29">IF(D476="","",IFERROR(F476/E476-1,"n/a"))</f>
        <v>#NAME?</v>
      </c>
      <c r="I476" s="1524" t="e">
        <f ca="1">IF(D469="","",IF(D476="","",_xll.ciqfunctions.udf.CIQ(D471,"IQ_BUS_SEG_DESCRIPTION", H470, Valuation_date, , , , , $C476)))</f>
        <v>#NAME?</v>
      </c>
      <c r="J476" s="175"/>
      <c r="K476" s="1509"/>
    </row>
    <row r="477" spans="1:11">
      <c r="A477" s="1518" t="e">
        <f t="shared" ca="1" si="28"/>
        <v>#NAME?</v>
      </c>
      <c r="B477" s="1518"/>
      <c r="C477" s="227">
        <v>3</v>
      </c>
      <c r="D477" s="223" t="e">
        <f ca="1">IF(D469="","",IF(ISNUMBER(_xll.ciqfunctions.udf.CIQ(D471,"IQ_BUS_SEG_NAME", H470, Valuation_date, , , , , $C477)),"",_xll.ciqfunctions.udf.CIQ(D471,"IQ_BUS_SEG_NAME", H470, Valuation_date, , , , , $C477)))</f>
        <v>#NAME?</v>
      </c>
      <c r="E477" s="187" t="e">
        <f ca="1">IF(D469="","",IF(D477="","",_xll.ciqfunctions.udf.CIQ(D471,"IQ_BUS_SEG_REV", H470-1, Valuation_date, ReportType,DataMode, F471,FXMode, C477)*Scale))</f>
        <v>#NAME?</v>
      </c>
      <c r="F477" s="187" t="e">
        <f ca="1">IF(D469="","",IF(D477="","",_xll.ciqfunctions.udf.CIQ(D471,"IQ_BUS_SEG_REV", H470, Valuation_date, ReportType,DataMode, F471,FXMode, $C477)*Scale))</f>
        <v>#NAME?</v>
      </c>
      <c r="G477" s="274" t="e">
        <f ca="1">IF(D477="","",IFERROR(F477/F490,"n/a"))</f>
        <v>#NAME?</v>
      </c>
      <c r="H477" s="274" t="e">
        <f t="shared" ca="1" si="29"/>
        <v>#NAME?</v>
      </c>
      <c r="I477" s="1524" t="e">
        <f ca="1">IF(D469="","",IF(D477="","",_xll.ciqfunctions.udf.CIQ(D471,"IQ_BUS_SEG_DESCRIPTION", H470, Valuation_date, , , , , $C477)))</f>
        <v>#NAME?</v>
      </c>
      <c r="J477" s="175"/>
      <c r="K477" s="1509"/>
    </row>
    <row r="478" spans="1:11">
      <c r="A478" s="1518" t="e">
        <f t="shared" ca="1" si="28"/>
        <v>#NAME?</v>
      </c>
      <c r="B478" s="1518"/>
      <c r="C478" s="227">
        <v>4</v>
      </c>
      <c r="D478" s="223" t="e">
        <f ca="1">IF(D469="","",IF(ISNUMBER(_xll.ciqfunctions.udf.CIQ(D471,"IQ_BUS_SEG_NAME", H470, Valuation_date, , , , , $C478)),"",_xll.ciqfunctions.udf.CIQ(D471,"IQ_BUS_SEG_NAME", H470, Valuation_date, , , , , $C478)))</f>
        <v>#NAME?</v>
      </c>
      <c r="E478" s="187" t="e">
        <f ca="1">IF(D469="","",IF(D478="","",_xll.ciqfunctions.udf.CIQ(D471,"IQ_BUS_SEG_REV", H470-1, Valuation_date, ReportType,DataMode, F471,FXMode, C478)*Scale))</f>
        <v>#NAME?</v>
      </c>
      <c r="F478" s="187" t="e">
        <f ca="1">IF(D469="","",IF(D478="","",_xll.ciqfunctions.udf.CIQ(D471,"IQ_BUS_SEG_REV", H470, Valuation_date, ReportType,DataMode, F471,FXMode, $C478)*Scale))</f>
        <v>#NAME?</v>
      </c>
      <c r="G478" s="274" t="e">
        <f ca="1">IF(D478="","",IFERROR(F478/F490,"n/a"))</f>
        <v>#NAME?</v>
      </c>
      <c r="H478" s="274" t="e">
        <f t="shared" ca="1" si="29"/>
        <v>#NAME?</v>
      </c>
      <c r="I478" s="1524" t="e">
        <f ca="1">IF(D469="","",IF(D478="","",_xll.ciqfunctions.udf.CIQ(D471,"IQ_BUS_SEG_DESCRIPTION", H470, Valuation_date, , , , , $C478)))</f>
        <v>#NAME?</v>
      </c>
      <c r="J478" s="175"/>
      <c r="K478" s="1509"/>
    </row>
    <row r="479" spans="1:11">
      <c r="A479" s="1518" t="e">
        <f t="shared" ca="1" si="28"/>
        <v>#NAME?</v>
      </c>
      <c r="B479" s="1518"/>
      <c r="C479" s="227">
        <v>5</v>
      </c>
      <c r="D479" s="223" t="e">
        <f ca="1">IF(D469="","",IF(ISNUMBER(_xll.ciqfunctions.udf.CIQ(D471,"IQ_BUS_SEG_NAME", H470, Valuation_date, , , , , $C479)),"",_xll.ciqfunctions.udf.CIQ(D471,"IQ_BUS_SEG_NAME", H470, Valuation_date, , , , , $C479)))</f>
        <v>#NAME?</v>
      </c>
      <c r="E479" s="187" t="e">
        <f ca="1">IF(D469="","",IF(D479="","",_xll.ciqfunctions.udf.CIQ(D471,"IQ_BUS_SEG_REV", H470-1, Valuation_date, ReportType,DataMode, F471,FXMode, C479)*Scale))</f>
        <v>#NAME?</v>
      </c>
      <c r="F479" s="187" t="e">
        <f ca="1">IF(D469="","",IF(D479="","",_xll.ciqfunctions.udf.CIQ(D471,"IQ_BUS_SEG_REV", H470, Valuation_date, ReportType,DataMode, F471,FXMode, $C479)*Scale))</f>
        <v>#NAME?</v>
      </c>
      <c r="G479" s="274" t="e">
        <f ca="1">IF(D479="","",IFERROR(F479/F490,"n/a"))</f>
        <v>#NAME?</v>
      </c>
      <c r="H479" s="274" t="e">
        <f t="shared" ca="1" si="29"/>
        <v>#NAME?</v>
      </c>
      <c r="I479" s="1524" t="e">
        <f ca="1">IF(D469="","",IF(D479="","",_xll.ciqfunctions.udf.CIQ(D471,"IQ_BUS_SEG_DESCRIPTION", H470, Valuation_date, , , , , $C479)))</f>
        <v>#NAME?</v>
      </c>
      <c r="J479" s="224"/>
      <c r="K479" s="1509"/>
    </row>
    <row r="480" spans="1:11">
      <c r="A480" s="1518" t="e">
        <f t="shared" ca="1" si="28"/>
        <v>#NAME?</v>
      </c>
      <c r="B480" s="1518"/>
      <c r="C480" s="227">
        <v>6</v>
      </c>
      <c r="D480" s="223" t="e">
        <f ca="1">IF(D469="","",IF(ISNUMBER(_xll.ciqfunctions.udf.CIQ(D471,"IQ_BUS_SEG_NAME", H470, Valuation_date, , , , , $C480)),"",_xll.ciqfunctions.udf.CIQ(D471,"IQ_BUS_SEG_NAME", H470, Valuation_date, , , , , $C480)))</f>
        <v>#NAME?</v>
      </c>
      <c r="E480" s="187" t="e">
        <f ca="1">IF(D469="","",IF(D480="","",_xll.ciqfunctions.udf.CIQ(D471,"IQ_BUS_SEG_REV", H470-1, Valuation_date, ReportType,DataMode, F471,FXMode, C480)*Scale))</f>
        <v>#NAME?</v>
      </c>
      <c r="F480" s="187" t="e">
        <f ca="1">IF(D469="","",IF(D480="","",_xll.ciqfunctions.udf.CIQ(D471,"IQ_BUS_SEG_REV", H470, Valuation_date, ReportType,DataMode, F471,FXMode, $C480)*Scale))</f>
        <v>#NAME?</v>
      </c>
      <c r="G480" s="274" t="e">
        <f ca="1">IF(D480="","",IFERROR(F480/F490,"n/a"))</f>
        <v>#NAME?</v>
      </c>
      <c r="H480" s="274" t="e">
        <f t="shared" ca="1" si="29"/>
        <v>#NAME?</v>
      </c>
      <c r="I480" s="1524" t="e">
        <f ca="1">IF(D469="","",IF(D480="","",_xll.ciqfunctions.udf.CIQ(D471,"IQ_BUS_SEG_DESCRIPTION", H470, Valuation_date, , , , , $C480)))</f>
        <v>#NAME?</v>
      </c>
      <c r="J480" s="224"/>
      <c r="K480" s="1509"/>
    </row>
    <row r="481" spans="1:26">
      <c r="A481" s="1518" t="e">
        <f t="shared" ca="1" si="28"/>
        <v>#NAME?</v>
      </c>
      <c r="B481" s="1518"/>
      <c r="C481" s="227">
        <v>7</v>
      </c>
      <c r="D481" s="223" t="e">
        <f ca="1">IF(D469="","",IF(ISNUMBER(_xll.ciqfunctions.udf.CIQ(D471,"IQ_BUS_SEG_NAME", H470, Valuation_date, , , , , $C481)),"",_xll.ciqfunctions.udf.CIQ(D471,"IQ_BUS_SEG_NAME", H470, Valuation_date, , , , , $C481)))</f>
        <v>#NAME?</v>
      </c>
      <c r="E481" s="187" t="e">
        <f ca="1">IF(D469="","",IF(D481="","",_xll.ciqfunctions.udf.CIQ(D471,"IQ_BUS_SEG_REV", H470-1, Valuation_date, ReportType,DataMode, F471,FXMode, C481)*Scale))</f>
        <v>#NAME?</v>
      </c>
      <c r="F481" s="187" t="e">
        <f ca="1">IF(D469="","",IF(D481="","",_xll.ciqfunctions.udf.CIQ(D471,"IQ_BUS_SEG_REV", H470, Valuation_date, ReportType,DataMode, F471,FXMode, $C481)*Scale))</f>
        <v>#NAME?</v>
      </c>
      <c r="G481" s="274" t="e">
        <f ca="1">IF(D481="","",IFERROR(F481/F490,"n/a"))</f>
        <v>#NAME?</v>
      </c>
      <c r="H481" s="274" t="e">
        <f t="shared" ca="1" si="29"/>
        <v>#NAME?</v>
      </c>
      <c r="I481" s="1524" t="e">
        <f ca="1">IF(D469="","",IF(D481="","",_xll.ciqfunctions.udf.CIQ(D471,"IQ_BUS_SEG_DESCRIPTION", H470, Valuation_date, , , , , $C481)))</f>
        <v>#NAME?</v>
      </c>
      <c r="J481" s="221"/>
      <c r="K481" s="1509"/>
      <c r="L481" s="1508"/>
      <c r="M481" s="1508"/>
      <c r="N481" s="1508"/>
      <c r="O481" s="2060"/>
      <c r="P481" s="1508"/>
      <c r="Q481" s="1508"/>
      <c r="R481" s="1508"/>
      <c r="S481" s="1508"/>
      <c r="T481" s="1508"/>
      <c r="U481" s="1508"/>
      <c r="V481" s="1508"/>
      <c r="W481" s="1508"/>
      <c r="X481" s="1508"/>
      <c r="Y481" s="1508"/>
      <c r="Z481" s="1508"/>
    </row>
    <row r="482" spans="1:26">
      <c r="A482" s="1518" t="e">
        <f t="shared" ca="1" si="28"/>
        <v>#NAME?</v>
      </c>
      <c r="B482" s="1518"/>
      <c r="C482" s="227">
        <v>8</v>
      </c>
      <c r="D482" s="223" t="e">
        <f ca="1">IF(D469="","",IF(ISNUMBER(_xll.ciqfunctions.udf.CIQ(D471,"IQ_BUS_SEG_NAME", H470, Valuation_date, , , , , $C482)),"",_xll.ciqfunctions.udf.CIQ(D471,"IQ_BUS_SEG_NAME", H470, Valuation_date, , , , , $C482)))</f>
        <v>#NAME?</v>
      </c>
      <c r="E482" s="187" t="e">
        <f ca="1">IF(D469="","",IF(D482="","",_xll.ciqfunctions.udf.CIQ(D471,"IQ_BUS_SEG_REV", H470-1, Valuation_date, ReportType,DataMode, F471,FXMode, C482)*Scale))</f>
        <v>#NAME?</v>
      </c>
      <c r="F482" s="187" t="e">
        <f ca="1">IF(D469="","",IF(D482="","",_xll.ciqfunctions.udf.CIQ(D471,"IQ_BUS_SEG_REV", H470, Valuation_date, ReportType,DataMode, F471,FXMode, $C482)*Scale))</f>
        <v>#NAME?</v>
      </c>
      <c r="G482" s="274" t="e">
        <f ca="1">IF(D482="","",IFERROR(F482/F490,"n/a"))</f>
        <v>#NAME?</v>
      </c>
      <c r="H482" s="274" t="e">
        <f t="shared" ca="1" si="29"/>
        <v>#NAME?</v>
      </c>
      <c r="I482" s="1524" t="e">
        <f ca="1">IF(D469="","",IF(D482="","",_xll.ciqfunctions.udf.CIQ(D471,"IQ_BUS_SEG_DESCRIPTION", H470, Valuation_date, , , , , $C482)))</f>
        <v>#NAME?</v>
      </c>
      <c r="J482" s="222"/>
      <c r="K482" s="1509"/>
      <c r="L482" s="1508"/>
      <c r="M482" s="1508"/>
      <c r="N482" s="1508"/>
      <c r="O482" s="2060"/>
      <c r="P482" s="1508"/>
      <c r="Q482" s="1508"/>
      <c r="R482" s="1508"/>
      <c r="S482" s="1508"/>
      <c r="T482" s="1508"/>
      <c r="U482" s="1508"/>
      <c r="V482" s="1508"/>
      <c r="W482" s="1508"/>
      <c r="X482" s="1508"/>
      <c r="Y482" s="1508"/>
      <c r="Z482" s="1508"/>
    </row>
    <row r="483" spans="1:26">
      <c r="A483" s="1518" t="e">
        <f t="shared" ca="1" si="28"/>
        <v>#NAME?</v>
      </c>
      <c r="B483" s="1518"/>
      <c r="C483" s="227">
        <v>9</v>
      </c>
      <c r="D483" s="223" t="e">
        <f ca="1">IF(D469="","",IF(ISNUMBER(_xll.ciqfunctions.udf.CIQ(D471,"IQ_BUS_SEG_NAME", H470, Valuation_date, , , , , $C483)),"",_xll.ciqfunctions.udf.CIQ(D471,"IQ_BUS_SEG_NAME", H470, Valuation_date, , , , , $C483)))</f>
        <v>#NAME?</v>
      </c>
      <c r="E483" s="187" t="e">
        <f ca="1">IF(D469="","",IF(D483="","",_xll.ciqfunctions.udf.CIQ(D471,"IQ_BUS_SEG_REV", H470-1, Valuation_date, ReportType,DataMode, F471,FXMode, C483)*Scale))</f>
        <v>#NAME?</v>
      </c>
      <c r="F483" s="187" t="e">
        <f ca="1">IF(D469="","",IF(D483="","",_xll.ciqfunctions.udf.CIQ(D471,"IQ_BUS_SEG_REV", H470, Valuation_date, ReportType,DataMode, F471,FXMode, $C483)*Scale))</f>
        <v>#NAME?</v>
      </c>
      <c r="G483" s="274" t="e">
        <f ca="1">IF(D483="","",IFERROR(F483/F490,"n/a"))</f>
        <v>#NAME?</v>
      </c>
      <c r="H483" s="274" t="e">
        <f t="shared" ca="1" si="29"/>
        <v>#NAME?</v>
      </c>
      <c r="I483" s="1524" t="e">
        <f ca="1">IF(D469="","",IF(D483="","",_xll.ciqfunctions.udf.CIQ(D471,"IQ_BUS_SEG_DESCRIPTION", H470, Valuation_date, , , , , $C483)))</f>
        <v>#NAME?</v>
      </c>
      <c r="J483" s="222"/>
      <c r="K483" s="1509"/>
      <c r="L483" s="1508"/>
      <c r="M483" s="1508"/>
      <c r="N483" s="1508"/>
      <c r="O483" s="2060"/>
      <c r="P483" s="1508"/>
      <c r="Q483" s="1508"/>
      <c r="R483" s="1508"/>
      <c r="S483" s="1508"/>
      <c r="T483" s="1508"/>
      <c r="U483" s="1508"/>
      <c r="V483" s="1508"/>
      <c r="W483" s="1508"/>
      <c r="X483" s="1508"/>
      <c r="Y483" s="1508"/>
      <c r="Z483" s="1508"/>
    </row>
    <row r="484" spans="1:26">
      <c r="A484" s="1518" t="e">
        <f t="shared" ca="1" si="28"/>
        <v>#NAME?</v>
      </c>
      <c r="B484" s="1518"/>
      <c r="C484" s="227">
        <v>10</v>
      </c>
      <c r="D484" s="223" t="e">
        <f ca="1">IF(D469="","",IF(ISNUMBER(_xll.ciqfunctions.udf.CIQ(D471,"IQ_BUS_SEG_NAME", H470, Valuation_date, , , , , $C484)),"",_xll.ciqfunctions.udf.CIQ(D471,"IQ_BUS_SEG_NAME", H470, Valuation_date, , , , , $C484)))</f>
        <v>#NAME?</v>
      </c>
      <c r="E484" s="187" t="e">
        <f ca="1">IF(D469="","",IF(D484="","",_xll.ciqfunctions.udf.CIQ(D471,"IQ_BUS_SEG_REV", H470-1, Valuation_date, ReportType,DataMode, F471,FXMode, C484)*Scale))</f>
        <v>#NAME?</v>
      </c>
      <c r="F484" s="187" t="e">
        <f ca="1">IF(D469="","",IF(D484="","",_xll.ciqfunctions.udf.CIQ(D471,"IQ_BUS_SEG_REV", H470, Valuation_date, ReportType,DataMode, F471,FXMode, $C484)*Scale))</f>
        <v>#NAME?</v>
      </c>
      <c r="G484" s="274" t="e">
        <f ca="1">IF(D484="","",IFERROR(F484/F490,"n/a"))</f>
        <v>#NAME?</v>
      </c>
      <c r="H484" s="274" t="e">
        <f t="shared" ca="1" si="29"/>
        <v>#NAME?</v>
      </c>
      <c r="I484" s="1524" t="e">
        <f ca="1">IF(D469="","",IF(D484="","",_xll.ciqfunctions.udf.CIQ(D471,"IQ_BUS_SEG_DESCRIPTION", H470, Valuation_date, , , , , $C484)))</f>
        <v>#NAME?</v>
      </c>
      <c r="J484" s="175"/>
      <c r="K484" s="1509"/>
      <c r="L484" s="1508"/>
      <c r="M484" s="1508"/>
      <c r="N484" s="1508"/>
      <c r="O484" s="2060"/>
      <c r="P484" s="1508"/>
      <c r="Q484" s="1508"/>
      <c r="R484" s="1508"/>
      <c r="S484" s="1508"/>
      <c r="T484" s="1508"/>
      <c r="U484" s="1508"/>
      <c r="V484" s="1508"/>
      <c r="W484" s="1508"/>
      <c r="X484" s="1508"/>
      <c r="Y484" s="1508"/>
      <c r="Z484" s="1508"/>
    </row>
    <row r="485" spans="1:26">
      <c r="A485" s="1518" t="e">
        <f t="shared" ca="1" si="28"/>
        <v>#NAME?</v>
      </c>
      <c r="B485" s="1518"/>
      <c r="C485" s="227">
        <v>11</v>
      </c>
      <c r="D485" s="223" t="e">
        <f ca="1">IF(D469="","",IF(ISNUMBER(_xll.ciqfunctions.udf.CIQ(D471,"IQ_BUS_SEG_NAME", H470, Valuation_date, , , , , $C485)),"",_xll.ciqfunctions.udf.CIQ(D471,"IQ_BUS_SEG_NAME", H470, Valuation_date, , , , , $C485)))</f>
        <v>#NAME?</v>
      </c>
      <c r="E485" s="187" t="e">
        <f ca="1">IF(D469="","",IF(D485="","",_xll.ciqfunctions.udf.CIQ(D471,"IQ_BUS_SEG_REV", H470-1, Valuation_date, ReportType,DataMode, F471,FXMode, C485)*Scale))</f>
        <v>#NAME?</v>
      </c>
      <c r="F485" s="187" t="e">
        <f ca="1">IF(D469="","",IF(D485="","",_xll.ciqfunctions.udf.CIQ(D471,"IQ_BUS_SEG_REV", H470, Valuation_date, ReportType,DataMode, F471,FXMode, $C485)*Scale))</f>
        <v>#NAME?</v>
      </c>
      <c r="G485" s="274" t="e">
        <f ca="1">IF(D485="","",IFERROR(F485/F490,"n/a"))</f>
        <v>#NAME?</v>
      </c>
      <c r="H485" s="274" t="e">
        <f t="shared" ca="1" si="29"/>
        <v>#NAME?</v>
      </c>
      <c r="I485" s="1524" t="e">
        <f ca="1">IF(D469="","",IF(D485="","",_xll.ciqfunctions.udf.CIQ(D471,"IQ_BUS_SEG_DESCRIPTION", H470, Valuation_date, , , , , $C485)))</f>
        <v>#NAME?</v>
      </c>
      <c r="J485" s="222"/>
      <c r="K485" s="1509"/>
      <c r="L485" s="1508"/>
      <c r="M485" s="1508"/>
      <c r="N485" s="1508"/>
      <c r="O485" s="2060"/>
      <c r="P485" s="1508"/>
      <c r="Q485" s="1508"/>
      <c r="R485" s="1508"/>
      <c r="S485" s="1508"/>
      <c r="T485" s="1508"/>
      <c r="U485" s="1508"/>
      <c r="V485" s="1508"/>
      <c r="W485" s="1508"/>
      <c r="X485" s="1508"/>
      <c r="Y485" s="1508"/>
      <c r="Z485" s="1508"/>
    </row>
    <row r="486" spans="1:26">
      <c r="A486" s="1518" t="e">
        <f t="shared" ca="1" si="28"/>
        <v>#NAME?</v>
      </c>
      <c r="B486" s="1518"/>
      <c r="C486" s="227">
        <v>12</v>
      </c>
      <c r="D486" s="223" t="e">
        <f ca="1">IF(D469="","",IF(ISNUMBER(_xll.ciqfunctions.udf.CIQ(D471,"IQ_BUS_SEG_NAME", H470, Valuation_date, , , , , $C486)),"",_xll.ciqfunctions.udf.CIQ(D471,"IQ_BUS_SEG_NAME", H470, Valuation_date, , , , , $C486)))</f>
        <v>#NAME?</v>
      </c>
      <c r="E486" s="187" t="e">
        <f ca="1">IF(D469="","",IF(D486="","",_xll.ciqfunctions.udf.CIQ(D471,"IQ_BUS_SEG_REV", H470-1, Valuation_date, ReportType,DataMode, F471,FXMode, C486)*Scale))</f>
        <v>#NAME?</v>
      </c>
      <c r="F486" s="187" t="e">
        <f ca="1">IF(D469="","",IF(D486="","",_xll.ciqfunctions.udf.CIQ(D471,"IQ_BUS_SEG_REV", H470, Valuation_date, ReportType,DataMode, F471,FXMode, $C486)*Scale))</f>
        <v>#NAME?</v>
      </c>
      <c r="G486" s="274" t="e">
        <f ca="1">IF(D486="","",IFERROR(F486/F490,"n/a"))</f>
        <v>#NAME?</v>
      </c>
      <c r="H486" s="274" t="e">
        <f t="shared" ca="1" si="29"/>
        <v>#NAME?</v>
      </c>
      <c r="I486" s="1524" t="e">
        <f ca="1">IF(D469="","",IF(D486="","",_xll.ciqfunctions.udf.CIQ(D471,"IQ_BUS_SEG_DESCRIPTION", H470, Valuation_date, , , , , $C486)))</f>
        <v>#NAME?</v>
      </c>
      <c r="J486" s="222"/>
      <c r="K486" s="1509"/>
      <c r="L486" s="1508"/>
      <c r="M486" s="1508"/>
      <c r="N486" s="1508"/>
      <c r="O486" s="2060"/>
      <c r="P486" s="1508"/>
      <c r="Q486" s="1508"/>
      <c r="R486" s="1508"/>
      <c r="S486" s="1508"/>
      <c r="T486" s="1508"/>
      <c r="U486" s="1508"/>
      <c r="V486" s="1508"/>
      <c r="W486" s="1508"/>
      <c r="X486" s="1508"/>
      <c r="Y486" s="1508"/>
      <c r="Z486" s="1508"/>
    </row>
    <row r="487" spans="1:26">
      <c r="A487" s="1518" t="e">
        <f t="shared" ca="1" si="28"/>
        <v>#NAME?</v>
      </c>
      <c r="B487" s="1518"/>
      <c r="C487" s="227">
        <v>13</v>
      </c>
      <c r="D487" s="223" t="e">
        <f ca="1">IF(D469="","",IF(ISNUMBER(_xll.ciqfunctions.udf.CIQ(D471,"IQ_BUS_SEG_NAME", H470, Valuation_date, , , , , $C487)),"",_xll.ciqfunctions.udf.CIQ(D471,"IQ_BUS_SEG_NAME", H470, Valuation_date, , , , , $C487)))</f>
        <v>#NAME?</v>
      </c>
      <c r="E487" s="187" t="e">
        <f ca="1">IF(D469="","",IF(D487="","",_xll.ciqfunctions.udf.CIQ(D471,"IQ_BUS_SEG_REV", H470-1, Valuation_date, ReportType,DataMode, F471,FXMode, C487)*Scale))</f>
        <v>#NAME?</v>
      </c>
      <c r="F487" s="187" t="e">
        <f ca="1">IF(D469="","",IF(D487="","",_xll.ciqfunctions.udf.CIQ(D471,"IQ_BUS_SEG_REV", H470, Valuation_date, ReportType,DataMode, F471,FXMode, $C487)*Scale))</f>
        <v>#NAME?</v>
      </c>
      <c r="G487" s="274" t="e">
        <f ca="1">IF(D487="","",IFERROR(F487/F490,"n/a"))</f>
        <v>#NAME?</v>
      </c>
      <c r="H487" s="274" t="e">
        <f t="shared" ca="1" si="29"/>
        <v>#NAME?</v>
      </c>
      <c r="I487" s="1524" t="e">
        <f ca="1">IF(D469="","",IF(D487="","",_xll.ciqfunctions.udf.CIQ(D471,"IQ_BUS_SEG_DESCRIPTION", H470, Valuation_date, , , , , $C487)))</f>
        <v>#NAME?</v>
      </c>
      <c r="J487" s="222"/>
      <c r="K487" s="1509"/>
      <c r="L487" s="1508"/>
      <c r="M487" s="1508"/>
      <c r="N487" s="1508"/>
      <c r="O487" s="2060"/>
      <c r="P487" s="1508"/>
      <c r="Q487" s="1508"/>
      <c r="R487" s="1508"/>
      <c r="S487" s="1508"/>
      <c r="T487" s="1508"/>
      <c r="U487" s="1508"/>
      <c r="V487" s="1508"/>
      <c r="W487" s="1508"/>
      <c r="X487" s="1508"/>
      <c r="Y487" s="1508"/>
      <c r="Z487" s="1508"/>
    </row>
    <row r="488" spans="1:26">
      <c r="A488" s="1518" t="e">
        <f ca="1">IF(D488="","n","")</f>
        <v>#NAME?</v>
      </c>
      <c r="B488" s="1518"/>
      <c r="C488" s="227">
        <v>14</v>
      </c>
      <c r="D488" s="223" t="e">
        <f ca="1">IF(D469="","",IF(ISNUMBER(_xll.ciqfunctions.udf.CIQ(D471,"IQ_BUS_SEG_NAME", H470, Valuation_date, , , , , $C488)),"",_xll.ciqfunctions.udf.CIQ(D471,"IQ_BUS_SEG_NAME", H470, Valuation_date, , , , , $C488)))</f>
        <v>#NAME?</v>
      </c>
      <c r="E488" s="187" t="e">
        <f ca="1">IF(D469="","",IF(D488="","",_xll.ciqfunctions.udf.CIQ(D471,"IQ_BUS_SEG_REV", H470-1, Valuation_date, ReportType,DataMode, F471,FXMode, C488)*Scale))</f>
        <v>#NAME?</v>
      </c>
      <c r="F488" s="187" t="e">
        <f ca="1">IF(D469="","",IF(D488="","",_xll.ciqfunctions.udf.CIQ(D471,"IQ_BUS_SEG_REV", H470, Valuation_date, ReportType,DataMode, F471,FXMode, $C488)*Scale))</f>
        <v>#NAME?</v>
      </c>
      <c r="G488" s="274" t="e">
        <f ca="1">IF(D488="","",IFERROR(F488/F490,"n/a"))</f>
        <v>#NAME?</v>
      </c>
      <c r="H488" s="274" t="e">
        <f t="shared" ca="1" si="29"/>
        <v>#NAME?</v>
      </c>
      <c r="I488" s="1524" t="e">
        <f ca="1">IF(D469="","",IF(D488="","",_xll.ciqfunctions.udf.CIQ(D471,"IQ_BUS_SEG_DESCRIPTION", H470, Valuation_date, , , , , $C488)))</f>
        <v>#NAME?</v>
      </c>
      <c r="J488" s="222"/>
      <c r="K488" s="1509"/>
      <c r="L488" s="1508"/>
      <c r="M488" s="1508"/>
      <c r="N488" s="1508"/>
      <c r="O488" s="2060"/>
      <c r="P488" s="1508"/>
      <c r="Q488" s="1508"/>
      <c r="R488" s="1508"/>
      <c r="S488" s="1508"/>
      <c r="T488" s="1508"/>
      <c r="U488" s="1508"/>
      <c r="V488" s="1508"/>
      <c r="W488" s="1508"/>
      <c r="X488" s="1508"/>
      <c r="Y488" s="1508"/>
      <c r="Z488" s="1508"/>
    </row>
    <row r="489" spans="1:26">
      <c r="A489" s="1518" t="e">
        <f ca="1">IF(D489="","n","")</f>
        <v>#NAME?</v>
      </c>
      <c r="B489" s="1518"/>
      <c r="C489" s="227">
        <v>15</v>
      </c>
      <c r="D489" s="223" t="e">
        <f ca="1">IF(D469="","",IF(ISNUMBER(_xll.ciqfunctions.udf.CIQ(D471,"IQ_BUS_SEG_NAME", H470, Valuation_date, , , , , $C489)),"",_xll.ciqfunctions.udf.CIQ(D471,"IQ_BUS_SEG_NAME", H470, Valuation_date, , , , , $C489)))</f>
        <v>#NAME?</v>
      </c>
      <c r="E489" s="187" t="e">
        <f ca="1">IF(D469="","",IF(D489="","",_xll.ciqfunctions.udf.CIQ(D471,"IQ_BUS_SEG_REV", H470-1, Valuation_date, ReportType,DataMode, F471,FXMode, C489)*Scale))</f>
        <v>#NAME?</v>
      </c>
      <c r="F489" s="187" t="e">
        <f ca="1">IF(D469="","",IF(D489="","",_xll.ciqfunctions.udf.CIQ(D471,"IQ_BUS_SEG_REV", H470, Valuation_date, ReportType,DataMode, F471,FXMode, $C489)*Scale))</f>
        <v>#NAME?</v>
      </c>
      <c r="G489" s="274" t="e">
        <f ca="1">IF(D489="","",IFERROR(F489/F490,"n/a"))</f>
        <v>#NAME?</v>
      </c>
      <c r="H489" s="274" t="e">
        <f t="shared" ca="1" si="29"/>
        <v>#NAME?</v>
      </c>
      <c r="I489" s="1524" t="e">
        <f ca="1">IF(D469="","",IF(D489="","",_xll.ciqfunctions.udf.CIQ(D471,"IQ_BUS_SEG_DESCRIPTION", H470, Valuation_date, , , , , $C489)))</f>
        <v>#NAME?</v>
      </c>
      <c r="J489" s="222"/>
      <c r="K489" s="1509"/>
      <c r="L489" s="1508"/>
      <c r="M489" s="1508"/>
      <c r="N489" s="1508"/>
      <c r="O489" s="2060"/>
      <c r="P489" s="1508"/>
      <c r="Q489" s="1508"/>
      <c r="R489" s="1508"/>
      <c r="S489" s="1508"/>
      <c r="T489" s="1508"/>
      <c r="U489" s="1508"/>
      <c r="V489" s="1508"/>
      <c r="W489" s="1508"/>
      <c r="X489" s="1508"/>
      <c r="Y489" s="1508"/>
      <c r="Z489" s="1508"/>
    </row>
    <row r="490" spans="1:26" ht="14.45" thickBot="1">
      <c r="A490" s="1518"/>
      <c r="B490" s="1518"/>
      <c r="C490" s="225"/>
      <c r="D490" s="220" t="s">
        <v>1248</v>
      </c>
      <c r="E490" s="220" t="e">
        <f ca="1">SUM(E475:E489)</f>
        <v>#NAME?</v>
      </c>
      <c r="F490" s="220" t="e">
        <f ca="1">SUM(F475:F489)</f>
        <v>#NAME?</v>
      </c>
      <c r="G490" s="2266" t="e">
        <f ca="1">SUM(G475:G489)</f>
        <v>#NAME?</v>
      </c>
      <c r="H490" s="2266" t="str">
        <f ca="1">IF(D490="","",IFERROR(F490/E490-1,"n/a"))</f>
        <v>n/a</v>
      </c>
      <c r="I490" s="1515"/>
      <c r="J490" s="222"/>
      <c r="K490" s="1509"/>
      <c r="L490" s="1508"/>
      <c r="M490" s="1508"/>
      <c r="N490" s="1508"/>
      <c r="O490" s="2060"/>
      <c r="P490" s="1508"/>
      <c r="Q490" s="1508"/>
      <c r="R490" s="1508"/>
      <c r="S490" s="1508"/>
      <c r="T490" s="1508"/>
      <c r="U490" s="1508"/>
      <c r="V490" s="1508"/>
      <c r="W490" s="1508"/>
      <c r="X490" s="1508"/>
      <c r="Y490" s="1508"/>
      <c r="Z490" s="1508"/>
    </row>
    <row r="491" spans="1:26">
      <c r="A491" s="1518"/>
      <c r="B491" s="1518"/>
      <c r="C491" s="225"/>
      <c r="D491" s="187"/>
      <c r="E491" s="187"/>
      <c r="F491" s="274"/>
      <c r="G491" s="187"/>
      <c r="H491" s="274"/>
      <c r="I491" s="1515"/>
      <c r="J491" s="222"/>
      <c r="K491" s="1509"/>
      <c r="L491" s="1508"/>
      <c r="M491" s="1508"/>
      <c r="N491" s="1508"/>
      <c r="O491" s="2060"/>
      <c r="P491" s="1508"/>
      <c r="Q491" s="1508"/>
      <c r="R491" s="1508"/>
      <c r="S491" s="1508"/>
      <c r="T491" s="1508"/>
      <c r="U491" s="1508"/>
      <c r="V491" s="1508"/>
      <c r="W491" s="1508"/>
      <c r="X491" s="1508"/>
      <c r="Y491" s="1508"/>
      <c r="Z491" s="1508"/>
    </row>
    <row r="492" spans="1:26" s="1508" customFormat="1">
      <c r="A492" s="1518"/>
      <c r="B492" s="1518"/>
      <c r="C492" s="1572"/>
      <c r="D492" s="1514" t="s">
        <v>1707</v>
      </c>
      <c r="E492" s="1579"/>
      <c r="F492" s="1575"/>
      <c r="G492" s="1514"/>
      <c r="H492" s="1575"/>
      <c r="I492" s="1571"/>
      <c r="J492" s="1574"/>
      <c r="K492" s="1509"/>
      <c r="L492" s="2060"/>
      <c r="M492" s="2060"/>
      <c r="O492" s="2060"/>
    </row>
    <row r="493" spans="1:26">
      <c r="A493" s="1518"/>
      <c r="B493" s="1518"/>
      <c r="C493" s="225"/>
      <c r="D493" s="1514" t="s">
        <v>1402</v>
      </c>
      <c r="E493" s="187"/>
      <c r="F493" s="274"/>
      <c r="G493" s="187"/>
      <c r="H493" s="274"/>
      <c r="I493" s="1515"/>
      <c r="J493" s="222"/>
      <c r="K493" s="1509"/>
      <c r="L493" s="1508"/>
      <c r="M493" s="1508"/>
      <c r="N493" s="1508"/>
      <c r="O493" s="2060"/>
      <c r="P493" s="1508"/>
      <c r="Q493" s="1508"/>
      <c r="R493" s="1508"/>
      <c r="S493" s="1508"/>
      <c r="T493" s="1508"/>
      <c r="U493" s="1508"/>
      <c r="V493" s="1508"/>
      <c r="W493" s="1508"/>
      <c r="X493" s="1508"/>
      <c r="Y493" s="1508"/>
      <c r="Z493" s="1508"/>
    </row>
    <row r="494" spans="1:26">
      <c r="A494" s="1518"/>
      <c r="B494" s="1518"/>
      <c r="C494" s="225"/>
      <c r="D494" s="1508"/>
      <c r="E494" s="1508"/>
      <c r="F494" s="1508"/>
      <c r="G494" s="1508"/>
      <c r="H494" s="1508"/>
      <c r="I494" s="1515"/>
      <c r="J494" s="1508"/>
      <c r="K494" s="1509"/>
      <c r="L494" s="2060"/>
      <c r="M494" s="2060"/>
      <c r="N494" s="2060"/>
      <c r="O494" s="2060"/>
      <c r="P494" s="2060"/>
      <c r="Q494" s="2060"/>
      <c r="R494" s="2060"/>
      <c r="S494" s="2060"/>
      <c r="T494" s="1508"/>
      <c r="U494" s="1508"/>
      <c r="V494" s="1508"/>
      <c r="W494" s="1508"/>
      <c r="X494" s="1508"/>
      <c r="Y494" s="1508"/>
      <c r="Z494" s="1508"/>
    </row>
    <row r="495" spans="1:26" s="178" customFormat="1" ht="13.5" customHeight="1">
      <c r="A495" s="1510"/>
      <c r="B495" s="1510"/>
      <c r="C495" s="327"/>
      <c r="D495" s="1513" t="str">
        <f ca="1">FootnoteDRAFT</f>
        <v>Run date: 05-August-2018  02:34 PM.   DRAFT document. All data subject to change upon completion of additional analysis.</v>
      </c>
      <c r="E495" s="1506"/>
      <c r="F495" s="176"/>
      <c r="G495" s="1513"/>
      <c r="H495" s="1513"/>
      <c r="I495" s="1562"/>
      <c r="J495" s="1512"/>
      <c r="K495" s="1509"/>
      <c r="L495" s="2060"/>
      <c r="M495" s="2060"/>
      <c r="N495" s="2060"/>
      <c r="O495" s="2060"/>
      <c r="P495" s="2060"/>
      <c r="Q495" s="2060"/>
      <c r="R495" s="2060"/>
      <c r="S495" s="2060"/>
      <c r="T495" s="2060"/>
      <c r="U495" s="2060"/>
      <c r="V495" s="2060"/>
      <c r="W495" s="2060"/>
      <c r="X495" s="2060"/>
      <c r="Y495" s="2060"/>
      <c r="Z495" s="2060"/>
    </row>
    <row r="496" spans="1:26" s="178" customFormat="1">
      <c r="A496" s="1510" t="s">
        <v>17</v>
      </c>
      <c r="B496" s="1510"/>
      <c r="C496" s="1510"/>
      <c r="D496" s="1510"/>
      <c r="E496" s="683"/>
      <c r="F496" s="1510"/>
      <c r="G496" s="1510"/>
      <c r="H496" s="1510"/>
      <c r="I496" s="1547"/>
      <c r="J496" s="1546" t="str">
        <f ca="1">IF(D504="","Page end","Continue")</f>
        <v>Continue</v>
      </c>
      <c r="K496" s="1510"/>
      <c r="L496" s="2060"/>
      <c r="M496" s="2060"/>
      <c r="N496" s="2060"/>
      <c r="O496" s="2060"/>
      <c r="P496" s="2060"/>
      <c r="Q496" s="2060"/>
      <c r="R496" s="2060"/>
      <c r="S496" s="2060"/>
      <c r="T496" s="2060"/>
      <c r="U496" s="2060"/>
      <c r="V496" s="2060"/>
      <c r="W496" s="2060"/>
      <c r="X496" s="2060"/>
      <c r="Y496" s="2060"/>
      <c r="Z496" s="2060"/>
    </row>
    <row r="497" spans="1:11" ht="18" customHeight="1">
      <c r="A497" s="1518"/>
      <c r="B497" s="1518"/>
      <c r="C497" s="292" t="str">
        <f ca="1">D502</f>
        <v>n/a</v>
      </c>
      <c r="D497" s="172"/>
      <c r="E497" s="674"/>
      <c r="F497" s="172"/>
      <c r="G497" s="172"/>
      <c r="H497" s="172"/>
      <c r="I497" s="1522"/>
      <c r="J497" s="389" t="str">
        <f>$J$1&amp;"."&amp;C502&amp;""</f>
        <v>Workpaper 6.15</v>
      </c>
      <c r="K497" s="1509"/>
    </row>
    <row r="498" spans="1:11" ht="18" customHeight="1">
      <c r="A498" s="1518"/>
      <c r="B498" s="1518"/>
      <c r="C498" s="839" t="s">
        <v>1699</v>
      </c>
      <c r="D498" s="172"/>
      <c r="E498" s="172"/>
      <c r="F498" s="172"/>
      <c r="G498" s="172"/>
      <c r="H498" s="172"/>
      <c r="I498" s="1522"/>
      <c r="J498" s="187"/>
      <c r="K498" s="1509"/>
    </row>
    <row r="499" spans="1:11" ht="18" customHeight="1">
      <c r="A499" s="1518"/>
      <c r="B499" s="1518"/>
      <c r="C499" s="366" t="str">
        <f ca="1">"(" &amp;F504&amp;" in "&amp;ScaleInput&amp;")"</f>
        <v>(USD in Millions)</v>
      </c>
      <c r="D499" s="1508"/>
      <c r="E499" s="170"/>
      <c r="F499" s="170"/>
      <c r="G499" s="170"/>
      <c r="H499" s="170"/>
      <c r="I499" s="1521"/>
      <c r="J499" s="1508"/>
      <c r="K499" s="1509"/>
    </row>
    <row r="500" spans="1:11" ht="18" customHeight="1">
      <c r="A500" s="1518"/>
      <c r="B500" s="1518"/>
      <c r="C500" s="366"/>
      <c r="D500" s="1508"/>
      <c r="E500" s="172"/>
      <c r="F500" s="172"/>
      <c r="G500" s="172"/>
      <c r="H500" s="172"/>
      <c r="I500" s="1522"/>
      <c r="J500" s="1508"/>
      <c r="K500" s="1509"/>
    </row>
    <row r="501" spans="1:11">
      <c r="A501" s="1518"/>
      <c r="B501" s="1518"/>
      <c r="C501" s="1511"/>
      <c r="D501" s="1508"/>
      <c r="E501" s="172"/>
      <c r="F501" s="172"/>
      <c r="G501" s="172"/>
      <c r="H501" s="172"/>
      <c r="I501" s="1522"/>
      <c r="J501" s="1508"/>
      <c r="K501" s="1509"/>
    </row>
    <row r="502" spans="1:11">
      <c r="A502" s="1518"/>
      <c r="B502" s="1518"/>
      <c r="C502" s="226">
        <v>15</v>
      </c>
      <c r="D502" s="179" t="str">
        <f ca="1">IF(D504=0,"n/a",IFERROR(_xll.ciqfunctions.udf.CIQ(D504,"IQ_COMPANY_NAME"),"n/a"))</f>
        <v>n/a</v>
      </c>
      <c r="E502" s="1508"/>
      <c r="F502" s="1508"/>
      <c r="G502" s="1508"/>
      <c r="H502" s="1508"/>
      <c r="I502" s="1515"/>
      <c r="J502" s="1508"/>
      <c r="K502" s="1509"/>
    </row>
    <row r="503" spans="1:11">
      <c r="A503" s="1518"/>
      <c r="B503" s="1518"/>
      <c r="C503" s="225"/>
      <c r="D503" s="2258" t="s">
        <v>134</v>
      </c>
      <c r="E503" s="2258" t="s">
        <v>1708</v>
      </c>
      <c r="F503" s="2262" t="s">
        <v>167</v>
      </c>
      <c r="G503" s="2262" t="s">
        <v>1700</v>
      </c>
      <c r="H503" s="2263">
        <f>INDEX($W$9:$W$14,MATCH(H504,PeriodList,0))</f>
        <v>2000</v>
      </c>
      <c r="I503" s="1515"/>
      <c r="J503" s="201"/>
      <c r="K503" s="1509"/>
    </row>
    <row r="504" spans="1:11">
      <c r="A504" s="1518"/>
      <c r="B504" s="1518"/>
      <c r="C504" s="227"/>
      <c r="D504" s="2249">
        <f ca="1">OFFSET(GCIdentifierTop,C502,0)</f>
        <v>0</v>
      </c>
      <c r="E504" s="2250" t="str">
        <f ca="1">IF($D504="","",IFERROR(_xll.ciqfunctions.udf.CIQ($D504,"IQ_PERIODDATE",H503,Valuation_date),"n/a"))</f>
        <v>n/a</v>
      </c>
      <c r="F504" s="2251" t="str">
        <f ca="1">IFERROR(IF(C502=0,SubjOutputCurrencyCode,IF(D504="","",IF(OutputCurrency="Filing",_xll.ciqfunctions.udf.CIQ($D504,"IQ_FILING_CURRENCY",500,Valuation_date,ReportType,DataMode),OutputCurrency))),OutputCurrency)</f>
        <v>USD</v>
      </c>
      <c r="G504" s="2264" t="e">
        <f ca="1">IF(D502="","",_xll.ciqfunctions.udf.CIQ(D504,"IQ_TOTAL_REV", H503, Valuation_date,ReportType,DataMode,F504,FXMode))</f>
        <v>#NAME?</v>
      </c>
      <c r="H504" s="2265" t="str">
        <f>$H$9</f>
        <v>LTM/LFQ</v>
      </c>
      <c r="I504" s="1523"/>
      <c r="J504" s="174"/>
      <c r="K504" s="1509"/>
    </row>
    <row r="505" spans="1:11">
      <c r="A505" s="1518"/>
      <c r="B505" s="1518"/>
      <c r="C505" s="227"/>
      <c r="D505" s="1508"/>
      <c r="E505" s="1508"/>
      <c r="F505" s="1508"/>
      <c r="G505" s="1508"/>
      <c r="H505" s="1508"/>
      <c r="I505" s="1515"/>
      <c r="J505" s="221"/>
      <c r="K505" s="1509"/>
    </row>
    <row r="506" spans="1:11">
      <c r="A506" s="1518"/>
      <c r="B506" s="1518"/>
      <c r="C506" s="227"/>
      <c r="D506" s="741"/>
      <c r="E506" s="744" t="e">
        <f ca="1">IF(D504="",Valuation_date,_xll.ciqfunctions.udf.CIQ(D504,"IQ_PERIODDATE",H503-IF(LEFT(H504,3)="LFY",1,4),Valuation_date))</f>
        <v>#NAME?</v>
      </c>
      <c r="F506" s="742" t="e">
        <f ca="1">IF(D504="",Valuation_date,_xll.ciqfunctions.udf.CIQ(D504,"IQ_PERIODDATE",H503,Valuation_date))</f>
        <v>#NAME?</v>
      </c>
      <c r="G506" s="741"/>
      <c r="H506" s="743" t="s">
        <v>1702</v>
      </c>
      <c r="I506" s="1587"/>
      <c r="J506" s="221"/>
      <c r="K506" s="1509"/>
    </row>
    <row r="507" spans="1:11">
      <c r="A507" s="1518"/>
      <c r="B507" s="1518"/>
      <c r="C507" s="227"/>
      <c r="D507" s="2254" t="s">
        <v>1703</v>
      </c>
      <c r="E507" s="2255" t="s">
        <v>1458</v>
      </c>
      <c r="F507" s="2255" t="s">
        <v>1458</v>
      </c>
      <c r="G507" s="2255" t="s">
        <v>1704</v>
      </c>
      <c r="H507" s="2255" t="s">
        <v>1705</v>
      </c>
      <c r="I507" s="2256" t="s">
        <v>1706</v>
      </c>
      <c r="J507" s="222"/>
      <c r="K507" s="1509"/>
    </row>
    <row r="508" spans="1:11">
      <c r="A508" s="1518" t="e">
        <f t="shared" ref="A508:A520" ca="1" si="30">IF(D508="","n","")</f>
        <v>#NAME?</v>
      </c>
      <c r="B508" s="1518"/>
      <c r="C508" s="227">
        <v>1</v>
      </c>
      <c r="D508" s="223" t="e">
        <f ca="1">IF(D502="","",IF(ISNUMBER(_xll.ciqfunctions.udf.CIQ(D504,"IQ_BUS_SEG_NAME", H503, Valuation_date, , , , , $C508)),"",_xll.ciqfunctions.udf.CIQ(D504,"IQ_BUS_SEG_NAME", H503, Valuation_date, , , , , $C508)))</f>
        <v>#NAME?</v>
      </c>
      <c r="E508" s="187" t="e">
        <f ca="1">IF(D502="","",IF(D508="","",_xll.ciqfunctions.udf.CIQ(D504,"IQ_BUS_SEG_REV", H503-1, Valuation_date, ReportType,DataMode, F504,FXMode, C508)*Scale))</f>
        <v>#NAME?</v>
      </c>
      <c r="F508" s="187" t="e">
        <f ca="1">IF(D502="","",IF(D508="","",_xll.ciqfunctions.udf.CIQ(D504,"IQ_BUS_SEG_REV", H503, Valuation_date, ReportType,DataMode, F504,FXMode, $C508)*Scale))</f>
        <v>#NAME?</v>
      </c>
      <c r="G508" s="274" t="e">
        <f ca="1">IF(D508="","",IFERROR(F508/F523,"n/a"))</f>
        <v>#NAME?</v>
      </c>
      <c r="H508" s="274" t="e">
        <f ca="1">IF(D508="","",IFERROR(F508/E508-1,"n/a"))</f>
        <v>#NAME?</v>
      </c>
      <c r="I508" s="1524" t="e">
        <f ca="1">IF(D502="","",IF(D508="","",_xll.ciqfunctions.udf.CIQ(D504,"IQ_BUS_SEG_DESCRIPTION", H503, Valuation_date, , , , , $C508)))</f>
        <v>#NAME?</v>
      </c>
      <c r="J508" s="175"/>
      <c r="K508" s="1509"/>
    </row>
    <row r="509" spans="1:11">
      <c r="A509" s="1518" t="e">
        <f t="shared" ca="1" si="30"/>
        <v>#NAME?</v>
      </c>
      <c r="B509" s="1518"/>
      <c r="C509" s="227">
        <v>2</v>
      </c>
      <c r="D509" s="223" t="e">
        <f ca="1">IF(D502="","",IF(ISNUMBER(_xll.ciqfunctions.udf.CIQ(D504,"IQ_BUS_SEG_NAME", H503, Valuation_date, , , , , $C509)),"",_xll.ciqfunctions.udf.CIQ(D504,"IQ_BUS_SEG_NAME", H503, Valuation_date, , , , , $C509)))</f>
        <v>#NAME?</v>
      </c>
      <c r="E509" s="187" t="e">
        <f ca="1">IF(D502="","",IF(D509="","",_xll.ciqfunctions.udf.CIQ(D504,"IQ_BUS_SEG_REV", H503-1, Valuation_date, ReportType,DataMode, F504,FXMode, C509)*Scale))</f>
        <v>#NAME?</v>
      </c>
      <c r="F509" s="187" t="e">
        <f ca="1">IF(D502="","",IF(D509="","",_xll.ciqfunctions.udf.CIQ(D504,"IQ_BUS_SEG_REV", H503, Valuation_date, ReportType,DataMode, F504,FXMode, $C509)*Scale))</f>
        <v>#NAME?</v>
      </c>
      <c r="G509" s="274" t="e">
        <f ca="1">IF(D509="","",IFERROR(F509/F523,"n/a"))</f>
        <v>#NAME?</v>
      </c>
      <c r="H509" s="274" t="e">
        <f t="shared" ref="H509:H522" ca="1" si="31">IF(D509="","",IFERROR(F509/E509-1,"n/a"))</f>
        <v>#NAME?</v>
      </c>
      <c r="I509" s="1524" t="e">
        <f ca="1">IF(D502="","",IF(D509="","",_xll.ciqfunctions.udf.CIQ(D504,"IQ_BUS_SEG_DESCRIPTION", H503, Valuation_date, , , , , $C509)))</f>
        <v>#NAME?</v>
      </c>
      <c r="J509" s="175"/>
      <c r="K509" s="1509"/>
    </row>
    <row r="510" spans="1:11">
      <c r="A510" s="1518" t="e">
        <f t="shared" ca="1" si="30"/>
        <v>#NAME?</v>
      </c>
      <c r="B510" s="1518"/>
      <c r="C510" s="227">
        <v>3</v>
      </c>
      <c r="D510" s="223" t="e">
        <f ca="1">IF(D502="","",IF(ISNUMBER(_xll.ciqfunctions.udf.CIQ(D504,"IQ_BUS_SEG_NAME", H503, Valuation_date, , , , , $C510)),"",_xll.ciqfunctions.udf.CIQ(D504,"IQ_BUS_SEG_NAME", H503, Valuation_date, , , , , $C510)))</f>
        <v>#NAME?</v>
      </c>
      <c r="E510" s="187" t="e">
        <f ca="1">IF(D502="","",IF(D510="","",_xll.ciqfunctions.udf.CIQ(D504,"IQ_BUS_SEG_REV", H503-1, Valuation_date, ReportType,DataMode, F504,FXMode, C510)*Scale))</f>
        <v>#NAME?</v>
      </c>
      <c r="F510" s="187" t="e">
        <f ca="1">IF(D502="","",IF(D510="","",_xll.ciqfunctions.udf.CIQ(D504,"IQ_BUS_SEG_REV", H503, Valuation_date, ReportType,DataMode, F504,FXMode, $C510)*Scale))</f>
        <v>#NAME?</v>
      </c>
      <c r="G510" s="274" t="e">
        <f ca="1">IF(D510="","",IFERROR(F510/F523,"n/a"))</f>
        <v>#NAME?</v>
      </c>
      <c r="H510" s="274" t="e">
        <f t="shared" ca="1" si="31"/>
        <v>#NAME?</v>
      </c>
      <c r="I510" s="1524" t="e">
        <f ca="1">IF(D502="","",IF(D510="","",_xll.ciqfunctions.udf.CIQ(D504,"IQ_BUS_SEG_DESCRIPTION", H503, Valuation_date, , , , , $C510)))</f>
        <v>#NAME?</v>
      </c>
      <c r="J510" s="175"/>
      <c r="K510" s="1509"/>
    </row>
    <row r="511" spans="1:11">
      <c r="A511" s="1518" t="e">
        <f t="shared" ca="1" si="30"/>
        <v>#NAME?</v>
      </c>
      <c r="B511" s="1518"/>
      <c r="C511" s="227">
        <v>4</v>
      </c>
      <c r="D511" s="223" t="e">
        <f ca="1">IF(D502="","",IF(ISNUMBER(_xll.ciqfunctions.udf.CIQ(D504,"IQ_BUS_SEG_NAME", H503, Valuation_date, , , , , $C511)),"",_xll.ciqfunctions.udf.CIQ(D504,"IQ_BUS_SEG_NAME", H503, Valuation_date, , , , , $C511)))</f>
        <v>#NAME?</v>
      </c>
      <c r="E511" s="187" t="e">
        <f ca="1">IF(D502="","",IF(D511="","",_xll.ciqfunctions.udf.CIQ(D504,"IQ_BUS_SEG_REV", H503-1, Valuation_date, ReportType,DataMode, F504,FXMode, C511)*Scale))</f>
        <v>#NAME?</v>
      </c>
      <c r="F511" s="187" t="e">
        <f ca="1">IF(D502="","",IF(D511="","",_xll.ciqfunctions.udf.CIQ(D504,"IQ_BUS_SEG_REV", H503, Valuation_date, ReportType,DataMode, F504,FXMode, $C511)*Scale))</f>
        <v>#NAME?</v>
      </c>
      <c r="G511" s="274" t="e">
        <f ca="1">IF(D511="","",IFERROR(F511/F523,"n/a"))</f>
        <v>#NAME?</v>
      </c>
      <c r="H511" s="274" t="e">
        <f t="shared" ca="1" si="31"/>
        <v>#NAME?</v>
      </c>
      <c r="I511" s="1524" t="e">
        <f ca="1">IF(D502="","",IF(D511="","",_xll.ciqfunctions.udf.CIQ(D504,"IQ_BUS_SEG_DESCRIPTION", H503, Valuation_date, , , , , $C511)))</f>
        <v>#NAME?</v>
      </c>
      <c r="J511" s="175"/>
      <c r="K511" s="1509"/>
    </row>
    <row r="512" spans="1:11">
      <c r="A512" s="1518" t="e">
        <f t="shared" ca="1" si="30"/>
        <v>#NAME?</v>
      </c>
      <c r="B512" s="1518"/>
      <c r="C512" s="227">
        <v>5</v>
      </c>
      <c r="D512" s="223" t="e">
        <f ca="1">IF(D502="","",IF(ISNUMBER(_xll.ciqfunctions.udf.CIQ(D504,"IQ_BUS_SEG_NAME", H503, Valuation_date, , , , , $C512)),"",_xll.ciqfunctions.udf.CIQ(D504,"IQ_BUS_SEG_NAME", H503, Valuation_date, , , , , $C512)))</f>
        <v>#NAME?</v>
      </c>
      <c r="E512" s="187" t="e">
        <f ca="1">IF(D502="","",IF(D512="","",_xll.ciqfunctions.udf.CIQ(D504,"IQ_BUS_SEG_REV", H503-1, Valuation_date, ReportType,DataMode, F504,FXMode, C512)*Scale))</f>
        <v>#NAME?</v>
      </c>
      <c r="F512" s="187" t="e">
        <f ca="1">IF(D502="","",IF(D512="","",_xll.ciqfunctions.udf.CIQ(D504,"IQ_BUS_SEG_REV", H503, Valuation_date, ReportType,DataMode, F504,FXMode, $C512)*Scale))</f>
        <v>#NAME?</v>
      </c>
      <c r="G512" s="274" t="e">
        <f ca="1">IF(D512="","",IFERROR(F512/F523,"n/a"))</f>
        <v>#NAME?</v>
      </c>
      <c r="H512" s="274" t="e">
        <f t="shared" ca="1" si="31"/>
        <v>#NAME?</v>
      </c>
      <c r="I512" s="1524" t="e">
        <f ca="1">IF(D502="","",IF(D512="","",_xll.ciqfunctions.udf.CIQ(D504,"IQ_BUS_SEG_DESCRIPTION", H503, Valuation_date, , , , , $C512)))</f>
        <v>#NAME?</v>
      </c>
      <c r="J512" s="224"/>
      <c r="K512" s="1509"/>
    </row>
    <row r="513" spans="1:26">
      <c r="A513" s="1518" t="e">
        <f t="shared" ca="1" si="30"/>
        <v>#NAME?</v>
      </c>
      <c r="B513" s="1518"/>
      <c r="C513" s="227">
        <v>6</v>
      </c>
      <c r="D513" s="223" t="e">
        <f ca="1">IF(D502="","",IF(ISNUMBER(_xll.ciqfunctions.udf.CIQ(D504,"IQ_BUS_SEG_NAME", H503, Valuation_date, , , , , $C513)),"",_xll.ciqfunctions.udf.CIQ(D504,"IQ_BUS_SEG_NAME", H503, Valuation_date, , , , , $C513)))</f>
        <v>#NAME?</v>
      </c>
      <c r="E513" s="187" t="e">
        <f ca="1">IF(D502="","",IF(D513="","",_xll.ciqfunctions.udf.CIQ(D504,"IQ_BUS_SEG_REV", H503-1, Valuation_date, ReportType,DataMode, F504,FXMode, C513)*Scale))</f>
        <v>#NAME?</v>
      </c>
      <c r="F513" s="187" t="e">
        <f ca="1">IF(D502="","",IF(D513="","",_xll.ciqfunctions.udf.CIQ(D504,"IQ_BUS_SEG_REV", H503, Valuation_date, ReportType,DataMode, F504,FXMode, $C513)*Scale))</f>
        <v>#NAME?</v>
      </c>
      <c r="G513" s="274" t="e">
        <f ca="1">IF(D513="","",IFERROR(F513/F523,"n/a"))</f>
        <v>#NAME?</v>
      </c>
      <c r="H513" s="274" t="e">
        <f t="shared" ca="1" si="31"/>
        <v>#NAME?</v>
      </c>
      <c r="I513" s="1524" t="e">
        <f ca="1">IF(D502="","",IF(D513="","",_xll.ciqfunctions.udf.CIQ(D504,"IQ_BUS_SEG_DESCRIPTION", H503, Valuation_date, , , , , $C513)))</f>
        <v>#NAME?</v>
      </c>
      <c r="J513" s="224"/>
      <c r="K513" s="1509"/>
      <c r="L513" s="1508"/>
      <c r="M513" s="1508"/>
      <c r="N513" s="1508"/>
      <c r="O513" s="2060"/>
      <c r="P513" s="1508"/>
      <c r="Q513" s="1508"/>
      <c r="R513" s="1508"/>
      <c r="S513" s="1508"/>
      <c r="T513" s="1508"/>
      <c r="U513" s="1508"/>
      <c r="V513" s="1508"/>
      <c r="W513" s="1508"/>
      <c r="X513" s="1508"/>
      <c r="Y513" s="1508"/>
      <c r="Z513" s="1508"/>
    </row>
    <row r="514" spans="1:26">
      <c r="A514" s="1518" t="e">
        <f t="shared" ca="1" si="30"/>
        <v>#NAME?</v>
      </c>
      <c r="B514" s="1518"/>
      <c r="C514" s="227">
        <v>7</v>
      </c>
      <c r="D514" s="223" t="e">
        <f ca="1">IF(D502="","",IF(ISNUMBER(_xll.ciqfunctions.udf.CIQ(D504,"IQ_BUS_SEG_NAME", H503, Valuation_date, , , , , $C514)),"",_xll.ciqfunctions.udf.CIQ(D504,"IQ_BUS_SEG_NAME", H503, Valuation_date, , , , , $C514)))</f>
        <v>#NAME?</v>
      </c>
      <c r="E514" s="187" t="e">
        <f ca="1">IF(D502="","",IF(D514="","",_xll.ciqfunctions.udf.CIQ(D504,"IQ_BUS_SEG_REV", H503-1, Valuation_date, ReportType,DataMode, F504,FXMode, C514)*Scale))</f>
        <v>#NAME?</v>
      </c>
      <c r="F514" s="187" t="e">
        <f ca="1">IF(D502="","",IF(D514="","",_xll.ciqfunctions.udf.CIQ(D504,"IQ_BUS_SEG_REV", H503, Valuation_date, ReportType,DataMode, F504,FXMode, $C514)*Scale))</f>
        <v>#NAME?</v>
      </c>
      <c r="G514" s="274" t="e">
        <f ca="1">IF(D514="","",IFERROR(F514/F523,"n/a"))</f>
        <v>#NAME?</v>
      </c>
      <c r="H514" s="274" t="e">
        <f t="shared" ca="1" si="31"/>
        <v>#NAME?</v>
      </c>
      <c r="I514" s="1524" t="e">
        <f ca="1">IF(D502="","",IF(D514="","",_xll.ciqfunctions.udf.CIQ(D504,"IQ_BUS_SEG_DESCRIPTION", H503, Valuation_date, , , , , $C514)))</f>
        <v>#NAME?</v>
      </c>
      <c r="J514" s="221"/>
      <c r="K514" s="1509"/>
      <c r="L514" s="1508"/>
      <c r="M514" s="1508"/>
      <c r="N514" s="1508"/>
      <c r="O514" s="2060"/>
      <c r="P514" s="1508"/>
      <c r="Q514" s="1508"/>
      <c r="R514" s="1508"/>
      <c r="S514" s="1508"/>
      <c r="T514" s="1508"/>
      <c r="U514" s="1508"/>
      <c r="V514" s="1508"/>
      <c r="W514" s="1508"/>
      <c r="X514" s="1508"/>
      <c r="Y514" s="1508"/>
      <c r="Z514" s="1508"/>
    </row>
    <row r="515" spans="1:26">
      <c r="A515" s="1518" t="e">
        <f t="shared" ca="1" si="30"/>
        <v>#NAME?</v>
      </c>
      <c r="B515" s="1518"/>
      <c r="C515" s="227">
        <v>8</v>
      </c>
      <c r="D515" s="223" t="e">
        <f ca="1">IF(D502="","",IF(ISNUMBER(_xll.ciqfunctions.udf.CIQ(D504,"IQ_BUS_SEG_NAME", H503, Valuation_date, , , , , $C515)),"",_xll.ciqfunctions.udf.CIQ(D504,"IQ_BUS_SEG_NAME", H503, Valuation_date, , , , , $C515)))</f>
        <v>#NAME?</v>
      </c>
      <c r="E515" s="187" t="e">
        <f ca="1">IF(D502="","",IF(D515="","",_xll.ciqfunctions.udf.CIQ(D504,"IQ_BUS_SEG_REV", H503-1, Valuation_date, ReportType,DataMode, F504,FXMode, C515)*Scale))</f>
        <v>#NAME?</v>
      </c>
      <c r="F515" s="187" t="e">
        <f ca="1">IF(D502="","",IF(D515="","",_xll.ciqfunctions.udf.CIQ(D504,"IQ_BUS_SEG_REV", H503, Valuation_date, ReportType,DataMode, F504,FXMode, $C515)*Scale))</f>
        <v>#NAME?</v>
      </c>
      <c r="G515" s="274" t="e">
        <f ca="1">IF(D515="","",IFERROR(F515/F523,"n/a"))</f>
        <v>#NAME?</v>
      </c>
      <c r="H515" s="274" t="e">
        <f t="shared" ca="1" si="31"/>
        <v>#NAME?</v>
      </c>
      <c r="I515" s="1524" t="e">
        <f ca="1">IF(D502="","",IF(D515="","",_xll.ciqfunctions.udf.CIQ(D504,"IQ_BUS_SEG_DESCRIPTION", H503, Valuation_date, , , , , $C515)))</f>
        <v>#NAME?</v>
      </c>
      <c r="J515" s="222"/>
      <c r="K515" s="1509"/>
      <c r="L515" s="1508"/>
      <c r="M515" s="1508"/>
      <c r="N515" s="1508"/>
      <c r="O515" s="2060"/>
      <c r="P515" s="1508"/>
      <c r="Q515" s="1508"/>
      <c r="R515" s="1508"/>
      <c r="S515" s="1508"/>
      <c r="T515" s="1508"/>
      <c r="U515" s="1508"/>
      <c r="V515" s="1508"/>
      <c r="W515" s="1508"/>
      <c r="X515" s="1508"/>
      <c r="Y515" s="1508"/>
      <c r="Z515" s="1508"/>
    </row>
    <row r="516" spans="1:26">
      <c r="A516" s="1518" t="e">
        <f t="shared" ca="1" si="30"/>
        <v>#NAME?</v>
      </c>
      <c r="B516" s="1518"/>
      <c r="C516" s="227">
        <v>9</v>
      </c>
      <c r="D516" s="223" t="e">
        <f ca="1">IF(D502="","",IF(ISNUMBER(_xll.ciqfunctions.udf.CIQ(D504,"IQ_BUS_SEG_NAME", H503, Valuation_date, , , , , $C516)),"",_xll.ciqfunctions.udf.CIQ(D504,"IQ_BUS_SEG_NAME", H503, Valuation_date, , , , , $C516)))</f>
        <v>#NAME?</v>
      </c>
      <c r="E516" s="187" t="e">
        <f ca="1">IF(D502="","",IF(D516="","",_xll.ciqfunctions.udf.CIQ(D504,"IQ_BUS_SEG_REV", H503-1, Valuation_date, ReportType,DataMode, F504,FXMode, C516)*Scale))</f>
        <v>#NAME?</v>
      </c>
      <c r="F516" s="187" t="e">
        <f ca="1">IF(D502="","",IF(D516="","",_xll.ciqfunctions.udf.CIQ(D504,"IQ_BUS_SEG_REV", H503, Valuation_date, ReportType,DataMode, F504,FXMode, $C516)*Scale))</f>
        <v>#NAME?</v>
      </c>
      <c r="G516" s="274" t="e">
        <f ca="1">IF(D516="","",IFERROR(F516/F523,"n/a"))</f>
        <v>#NAME?</v>
      </c>
      <c r="H516" s="274" t="e">
        <f t="shared" ca="1" si="31"/>
        <v>#NAME?</v>
      </c>
      <c r="I516" s="1524" t="e">
        <f ca="1">IF(D502="","",IF(D516="","",_xll.ciqfunctions.udf.CIQ(D504,"IQ_BUS_SEG_DESCRIPTION", H503, Valuation_date, , , , , $C516)))</f>
        <v>#NAME?</v>
      </c>
      <c r="J516" s="222"/>
      <c r="K516" s="1509"/>
      <c r="L516" s="1508"/>
      <c r="M516" s="1508"/>
      <c r="N516" s="1508"/>
      <c r="O516" s="2060"/>
      <c r="P516" s="1508"/>
      <c r="Q516" s="1508"/>
      <c r="R516" s="1508"/>
      <c r="S516" s="1508"/>
      <c r="T516" s="1508"/>
      <c r="U516" s="1508"/>
      <c r="V516" s="1508"/>
      <c r="W516" s="1508"/>
      <c r="X516" s="1508"/>
      <c r="Y516" s="1508"/>
      <c r="Z516" s="1508"/>
    </row>
    <row r="517" spans="1:26">
      <c r="A517" s="1518" t="e">
        <f t="shared" ca="1" si="30"/>
        <v>#NAME?</v>
      </c>
      <c r="B517" s="1518"/>
      <c r="C517" s="227">
        <v>10</v>
      </c>
      <c r="D517" s="223" t="e">
        <f ca="1">IF(D502="","",IF(ISNUMBER(_xll.ciqfunctions.udf.CIQ(D504,"IQ_BUS_SEG_NAME", H503, Valuation_date, , , , , $C517)),"",_xll.ciqfunctions.udf.CIQ(D504,"IQ_BUS_SEG_NAME", H503, Valuation_date, , , , , $C517)))</f>
        <v>#NAME?</v>
      </c>
      <c r="E517" s="187" t="e">
        <f ca="1">IF(D502="","",IF(D517="","",_xll.ciqfunctions.udf.CIQ(D504,"IQ_BUS_SEG_REV", H503-1, Valuation_date, ReportType,DataMode, F504,FXMode, C517)*Scale))</f>
        <v>#NAME?</v>
      </c>
      <c r="F517" s="187" t="e">
        <f ca="1">IF(D502="","",IF(D517="","",_xll.ciqfunctions.udf.CIQ(D504,"IQ_BUS_SEG_REV", H503, Valuation_date, ReportType,DataMode, F504,FXMode, $C517)*Scale))</f>
        <v>#NAME?</v>
      </c>
      <c r="G517" s="274" t="e">
        <f ca="1">IF(D517="","",IFERROR(F517/F523,"n/a"))</f>
        <v>#NAME?</v>
      </c>
      <c r="H517" s="284" t="e">
        <f t="shared" ca="1" si="31"/>
        <v>#NAME?</v>
      </c>
      <c r="I517" s="1524" t="e">
        <f ca="1">IF(D502="","",IF(D517="","",_xll.ciqfunctions.udf.CIQ(D504,"IQ_BUS_SEG_DESCRIPTION", H503, Valuation_date, , , , , $C517)))</f>
        <v>#NAME?</v>
      </c>
      <c r="J517" s="175"/>
      <c r="K517" s="1509"/>
      <c r="L517" s="1508"/>
      <c r="M517" s="1508"/>
      <c r="N517" s="1508"/>
      <c r="O517" s="2060"/>
      <c r="P517" s="1508"/>
      <c r="Q517" s="1508"/>
      <c r="R517" s="1508"/>
      <c r="S517" s="1508"/>
      <c r="T517" s="1508"/>
      <c r="U517" s="1508"/>
      <c r="V517" s="1508"/>
      <c r="W517" s="1508"/>
      <c r="X517" s="1508"/>
      <c r="Y517" s="1508"/>
      <c r="Z517" s="1508"/>
    </row>
    <row r="518" spans="1:26">
      <c r="A518" s="1518" t="e">
        <f t="shared" ca="1" si="30"/>
        <v>#NAME?</v>
      </c>
      <c r="B518" s="1518"/>
      <c r="C518" s="227">
        <v>11</v>
      </c>
      <c r="D518" s="223" t="e">
        <f ca="1">IF(D502="","",IF(ISNUMBER(_xll.ciqfunctions.udf.CIQ(D504,"IQ_BUS_SEG_NAME", H503, Valuation_date, , , , , $C518)),"",_xll.ciqfunctions.udf.CIQ(D504,"IQ_BUS_SEG_NAME", H503, Valuation_date, , , , , $C518)))</f>
        <v>#NAME?</v>
      </c>
      <c r="E518" s="187" t="e">
        <f ca="1">IF(D502="","",IF(D518="","",_xll.ciqfunctions.udf.CIQ(D504,"IQ_BUS_SEG_REV", H503-1, Valuation_date, ReportType,DataMode, F504,FXMode, C518)*Scale))</f>
        <v>#NAME?</v>
      </c>
      <c r="F518" s="187" t="e">
        <f ca="1">IF(D502="","",IF(D518="","",_xll.ciqfunctions.udf.CIQ(D504,"IQ_BUS_SEG_REV", H503, Valuation_date, ReportType,DataMode, F504,FXMode, $C518)*Scale))</f>
        <v>#NAME?</v>
      </c>
      <c r="G518" s="274" t="e">
        <f ca="1">IF(D518="","",IFERROR(F518/F523,"n/a"))</f>
        <v>#NAME?</v>
      </c>
      <c r="H518" s="284" t="e">
        <f t="shared" ca="1" si="31"/>
        <v>#NAME?</v>
      </c>
      <c r="I518" s="1524" t="e">
        <f ca="1">IF(D502="","",IF(D518="","",_xll.ciqfunctions.udf.CIQ(D504,"IQ_BUS_SEG_DESCRIPTION", H503, Valuation_date, , , , , $C518)))</f>
        <v>#NAME?</v>
      </c>
      <c r="J518" s="222"/>
      <c r="K518" s="1509"/>
      <c r="L518" s="1508"/>
      <c r="M518" s="1508"/>
      <c r="N518" s="1508"/>
      <c r="O518" s="2060"/>
      <c r="P518" s="1508"/>
      <c r="Q518" s="1508"/>
      <c r="R518" s="1508"/>
      <c r="S518" s="1508"/>
      <c r="T518" s="1508"/>
      <c r="U518" s="1508"/>
      <c r="V518" s="1508"/>
      <c r="W518" s="1508"/>
      <c r="X518" s="1508"/>
      <c r="Y518" s="1508"/>
      <c r="Z518" s="1508"/>
    </row>
    <row r="519" spans="1:26">
      <c r="A519" s="1518" t="e">
        <f t="shared" ca="1" si="30"/>
        <v>#NAME?</v>
      </c>
      <c r="B519" s="1518"/>
      <c r="C519" s="227">
        <v>12</v>
      </c>
      <c r="D519" s="223" t="e">
        <f ca="1">IF(D502="","",IF(ISNUMBER(_xll.ciqfunctions.udf.CIQ(D504,"IQ_BUS_SEG_NAME", H503, Valuation_date, , , , , $C519)),"",_xll.ciqfunctions.udf.CIQ(D504,"IQ_BUS_SEG_NAME", H503, Valuation_date, , , , , $C519)))</f>
        <v>#NAME?</v>
      </c>
      <c r="E519" s="187" t="e">
        <f ca="1">IF(D502="","",IF(D519="","",_xll.ciqfunctions.udf.CIQ(D504,"IQ_BUS_SEG_REV", H503-1, Valuation_date, ReportType,DataMode, F504,FXMode, C519)*Scale))</f>
        <v>#NAME?</v>
      </c>
      <c r="F519" s="187" t="e">
        <f ca="1">IF(D502="","",IF(D519="","",_xll.ciqfunctions.udf.CIQ(D504,"IQ_BUS_SEG_REV", H503, Valuation_date, ReportType,DataMode, F504,FXMode, $C519)*Scale))</f>
        <v>#NAME?</v>
      </c>
      <c r="G519" s="274" t="e">
        <f ca="1">IF(D519="","",IFERROR(F519/F523,"n/a"))</f>
        <v>#NAME?</v>
      </c>
      <c r="H519" s="284" t="e">
        <f t="shared" ca="1" si="31"/>
        <v>#NAME?</v>
      </c>
      <c r="I519" s="1524" t="e">
        <f ca="1">IF(D502="","",IF(D519="","",_xll.ciqfunctions.udf.CIQ(D504,"IQ_BUS_SEG_DESCRIPTION", H503, Valuation_date, , , , , $C519)))</f>
        <v>#NAME?</v>
      </c>
      <c r="J519" s="222"/>
      <c r="K519" s="1509"/>
      <c r="L519" s="1508"/>
      <c r="M519" s="1508"/>
      <c r="N519" s="1508"/>
      <c r="O519" s="2060"/>
      <c r="P519" s="1508"/>
      <c r="Q519" s="1508"/>
      <c r="R519" s="1508"/>
      <c r="S519" s="1508"/>
      <c r="T519" s="1508"/>
      <c r="U519" s="1508"/>
      <c r="V519" s="1508"/>
      <c r="W519" s="1508"/>
      <c r="X519" s="1508"/>
      <c r="Y519" s="1508"/>
      <c r="Z519" s="1508"/>
    </row>
    <row r="520" spans="1:26">
      <c r="A520" s="1518" t="e">
        <f t="shared" ca="1" si="30"/>
        <v>#NAME?</v>
      </c>
      <c r="B520" s="1518"/>
      <c r="C520" s="227">
        <v>13</v>
      </c>
      <c r="D520" s="223" t="e">
        <f ca="1">IF(D502="","",IF(ISNUMBER(_xll.ciqfunctions.udf.CIQ(D504,"IQ_BUS_SEG_NAME", H503, Valuation_date, , , , , $C520)),"",_xll.ciqfunctions.udf.CIQ(D504,"IQ_BUS_SEG_NAME", H503, Valuation_date, , , , , $C520)))</f>
        <v>#NAME?</v>
      </c>
      <c r="E520" s="187" t="e">
        <f ca="1">IF(D502="","",IF(D520="","",_xll.ciqfunctions.udf.CIQ(D504,"IQ_BUS_SEG_REV", H503-1, Valuation_date, ReportType,DataMode, F504,FXMode, C520)*Scale))</f>
        <v>#NAME?</v>
      </c>
      <c r="F520" s="187" t="e">
        <f ca="1">IF(D502="","",IF(D520="","",_xll.ciqfunctions.udf.CIQ(D504,"IQ_BUS_SEG_REV", H503, Valuation_date, ReportType,DataMode, F504,FXMode, $C520)*Scale))</f>
        <v>#NAME?</v>
      </c>
      <c r="G520" s="274" t="e">
        <f ca="1">IF(D520="","",IFERROR(F520/F523,"n/a"))</f>
        <v>#NAME?</v>
      </c>
      <c r="H520" s="284" t="e">
        <f t="shared" ca="1" si="31"/>
        <v>#NAME?</v>
      </c>
      <c r="I520" s="1524" t="e">
        <f ca="1">IF(D502="","",IF(D520="","",_xll.ciqfunctions.udf.CIQ(D504,"IQ_BUS_SEG_DESCRIPTION", H503, Valuation_date, , , , , $C520)))</f>
        <v>#NAME?</v>
      </c>
      <c r="J520" s="222"/>
      <c r="K520" s="1509"/>
      <c r="L520" s="1508"/>
      <c r="M520" s="1508"/>
      <c r="N520" s="1508"/>
      <c r="O520" s="2060"/>
      <c r="P520" s="1508"/>
      <c r="Q520" s="1508"/>
      <c r="R520" s="1508"/>
      <c r="S520" s="1508"/>
      <c r="T520" s="1508"/>
      <c r="U520" s="1508"/>
      <c r="V520" s="1508"/>
      <c r="W520" s="1508"/>
      <c r="X520" s="1508"/>
      <c r="Y520" s="1508"/>
      <c r="Z520" s="1508"/>
    </row>
    <row r="521" spans="1:26">
      <c r="A521" s="1518" t="e">
        <f ca="1">IF(D521="","n","")</f>
        <v>#NAME?</v>
      </c>
      <c r="B521" s="1518"/>
      <c r="C521" s="227">
        <v>14</v>
      </c>
      <c r="D521" s="223" t="e">
        <f ca="1">IF(D502="","",IF(ISNUMBER(_xll.ciqfunctions.udf.CIQ(D504,"IQ_BUS_SEG_NAME", H503, Valuation_date, , , , , $C521)),"",_xll.ciqfunctions.udf.CIQ(D504,"IQ_BUS_SEG_NAME", H503, Valuation_date, , , , , $C521)))</f>
        <v>#NAME?</v>
      </c>
      <c r="E521" s="187" t="e">
        <f ca="1">IF(D502="","",IF(D521="","",_xll.ciqfunctions.udf.CIQ(D504,"IQ_BUS_SEG_REV", H503-1, Valuation_date, ReportType,DataMode, F504,FXMode, C521)*Scale))</f>
        <v>#NAME?</v>
      </c>
      <c r="F521" s="187" t="e">
        <f ca="1">IF(D502="","",IF(D521="","",_xll.ciqfunctions.udf.CIQ(D504,"IQ_BUS_SEG_REV", H503, Valuation_date, ReportType,DataMode, F504,FXMode, $C521)*Scale))</f>
        <v>#NAME?</v>
      </c>
      <c r="G521" s="274" t="e">
        <f ca="1">IF(D521="","",IFERROR(F521/F523,"n/a"))</f>
        <v>#NAME?</v>
      </c>
      <c r="H521" s="284" t="e">
        <f t="shared" ca="1" si="31"/>
        <v>#NAME?</v>
      </c>
      <c r="I521" s="1524" t="e">
        <f ca="1">IF(D502="","",IF(D521="","",_xll.ciqfunctions.udf.CIQ(D504,"IQ_BUS_SEG_DESCRIPTION", H503, Valuation_date, , , , , $C521)))</f>
        <v>#NAME?</v>
      </c>
      <c r="J521" s="222"/>
      <c r="K521" s="1509"/>
      <c r="L521" s="1508"/>
      <c r="M521" s="1508"/>
      <c r="N521" s="1508"/>
      <c r="O521" s="2060"/>
      <c r="P521" s="1508"/>
      <c r="Q521" s="1508"/>
      <c r="R521" s="1508"/>
      <c r="S521" s="1508"/>
      <c r="T521" s="1508"/>
      <c r="U521" s="1508"/>
      <c r="V521" s="1508"/>
      <c r="W521" s="1508"/>
      <c r="X521" s="1508"/>
      <c r="Y521" s="1508"/>
      <c r="Z521" s="1508"/>
    </row>
    <row r="522" spans="1:26">
      <c r="A522" s="1518" t="e">
        <f ca="1">IF(D522="","n","")</f>
        <v>#NAME?</v>
      </c>
      <c r="B522" s="1518"/>
      <c r="C522" s="227">
        <v>15</v>
      </c>
      <c r="D522" s="223" t="e">
        <f ca="1">IF(D502="","",IF(ISNUMBER(_xll.ciqfunctions.udf.CIQ(D504,"IQ_BUS_SEG_NAME", H503, Valuation_date, , , , , $C522)),"",_xll.ciqfunctions.udf.CIQ(D504,"IQ_BUS_SEG_NAME", H503, Valuation_date, , , , , $C522)))</f>
        <v>#NAME?</v>
      </c>
      <c r="E522" s="187" t="e">
        <f ca="1">IF(D502="","",IF(D522="","",_xll.ciqfunctions.udf.CIQ(D504,"IQ_BUS_SEG_REV", H503-1, Valuation_date, ReportType,DataMode, F504,FXMode, C522)*Scale))</f>
        <v>#NAME?</v>
      </c>
      <c r="F522" s="187" t="e">
        <f ca="1">IF(D502="","",IF(D522="","",_xll.ciqfunctions.udf.CIQ(D504,"IQ_BUS_SEG_REV", H503, Valuation_date, ReportType,DataMode, F504,FXMode, $C522)*Scale))</f>
        <v>#NAME?</v>
      </c>
      <c r="G522" s="274" t="e">
        <f ca="1">IF(D522="","",IFERROR(F522/F523,"n/a"))</f>
        <v>#NAME?</v>
      </c>
      <c r="H522" s="284" t="e">
        <f t="shared" ca="1" si="31"/>
        <v>#NAME?</v>
      </c>
      <c r="I522" s="1524" t="e">
        <f ca="1">IF(D502="","",IF(D522="","",_xll.ciqfunctions.udf.CIQ(D504,"IQ_BUS_SEG_DESCRIPTION", H503, Valuation_date, , , , , $C522)))</f>
        <v>#NAME?</v>
      </c>
      <c r="J522" s="222"/>
      <c r="K522" s="1509"/>
      <c r="L522" s="1508"/>
      <c r="M522" s="1508"/>
      <c r="N522" s="1508"/>
      <c r="O522" s="2060"/>
      <c r="P522" s="1508"/>
      <c r="Q522" s="1508"/>
      <c r="R522" s="1508"/>
      <c r="S522" s="1508"/>
      <c r="T522" s="1508"/>
      <c r="U522" s="1508"/>
      <c r="V522" s="1508"/>
      <c r="W522" s="1508"/>
      <c r="X522" s="1508"/>
      <c r="Y522" s="1508"/>
      <c r="Z522" s="1508"/>
    </row>
    <row r="523" spans="1:26" ht="14.45" thickBot="1">
      <c r="A523" s="1518"/>
      <c r="B523" s="1518"/>
      <c r="C523" s="225"/>
      <c r="D523" s="220" t="s">
        <v>1248</v>
      </c>
      <c r="E523" s="220" t="e">
        <f ca="1">SUM(E508:E522)</f>
        <v>#NAME?</v>
      </c>
      <c r="F523" s="220" t="e">
        <f ca="1">SUM(F508:F522)</f>
        <v>#NAME?</v>
      </c>
      <c r="G523" s="2266" t="e">
        <f ca="1">SUM(G508:G522)</f>
        <v>#NAME?</v>
      </c>
      <c r="H523" s="2267" t="str">
        <f ca="1">IF(D523="","",IFERROR(F523/E523-1,"n/a"))</f>
        <v>n/a</v>
      </c>
      <c r="I523" s="1515"/>
      <c r="J523" s="222"/>
      <c r="K523" s="1509"/>
      <c r="L523" s="1508"/>
      <c r="M523" s="1508"/>
      <c r="N523" s="1508"/>
      <c r="O523" s="2060"/>
      <c r="P523" s="1508"/>
      <c r="Q523" s="1508"/>
      <c r="R523" s="1508"/>
      <c r="S523" s="1508"/>
      <c r="T523" s="1508"/>
      <c r="U523" s="1508"/>
      <c r="V523" s="1508"/>
      <c r="W523" s="1508"/>
      <c r="X523" s="1508"/>
      <c r="Y523" s="1508"/>
      <c r="Z523" s="1508"/>
    </row>
    <row r="524" spans="1:26">
      <c r="A524" s="1518"/>
      <c r="B524" s="1518"/>
      <c r="C524" s="225"/>
      <c r="D524" s="187"/>
      <c r="E524" s="187"/>
      <c r="F524" s="274"/>
      <c r="G524" s="187"/>
      <c r="H524" s="284"/>
      <c r="I524" s="1515"/>
      <c r="J524" s="222"/>
      <c r="K524" s="1509"/>
      <c r="L524" s="1508"/>
      <c r="M524" s="1508"/>
      <c r="N524" s="1508"/>
      <c r="O524" s="2060"/>
      <c r="P524" s="1508"/>
      <c r="Q524" s="1508"/>
      <c r="R524" s="1508"/>
      <c r="S524" s="1508"/>
      <c r="T524" s="1508"/>
      <c r="U524" s="1508"/>
      <c r="V524" s="1508"/>
      <c r="W524" s="1508"/>
      <c r="X524" s="1508"/>
      <c r="Y524" s="1508"/>
      <c r="Z524" s="1508"/>
    </row>
    <row r="525" spans="1:26" s="1508" customFormat="1">
      <c r="A525" s="1518"/>
      <c r="B525" s="1518"/>
      <c r="C525" s="1572"/>
      <c r="D525" s="1514" t="s">
        <v>1707</v>
      </c>
      <c r="E525" s="1579"/>
      <c r="F525" s="1575"/>
      <c r="G525" s="1514"/>
      <c r="H525" s="1575"/>
      <c r="I525" s="1571"/>
      <c r="J525" s="1574"/>
      <c r="K525" s="1509"/>
      <c r="L525" s="2060"/>
      <c r="M525" s="2060"/>
      <c r="O525" s="2060"/>
    </row>
    <row r="526" spans="1:26">
      <c r="A526" s="1518"/>
      <c r="B526" s="1518"/>
      <c r="C526" s="225"/>
      <c r="D526" s="1514" t="s">
        <v>1402</v>
      </c>
      <c r="E526" s="187"/>
      <c r="F526" s="274"/>
      <c r="G526" s="187"/>
      <c r="H526" s="284"/>
      <c r="I526" s="1515"/>
      <c r="J526" s="222"/>
      <c r="K526" s="1509"/>
      <c r="L526" s="1508"/>
      <c r="M526" s="1508"/>
      <c r="N526" s="1508"/>
      <c r="O526" s="2060"/>
      <c r="P526" s="1508"/>
      <c r="Q526" s="1508"/>
      <c r="R526" s="1508"/>
      <c r="S526" s="1508"/>
      <c r="T526" s="1508"/>
      <c r="U526" s="1508"/>
      <c r="V526" s="1508"/>
      <c r="W526" s="1508"/>
      <c r="X526" s="1508"/>
      <c r="Y526" s="1508"/>
      <c r="Z526" s="1508"/>
    </row>
    <row r="527" spans="1:26">
      <c r="A527" s="1518"/>
      <c r="B527" s="1518"/>
      <c r="C527" s="225"/>
      <c r="D527" s="1508"/>
      <c r="E527" s="1508"/>
      <c r="F527" s="1508"/>
      <c r="G527" s="1508"/>
      <c r="H527" s="1515"/>
      <c r="I527" s="1515"/>
      <c r="J527" s="1508"/>
      <c r="K527" s="1509"/>
      <c r="L527" s="2060"/>
      <c r="M527" s="2060"/>
      <c r="N527" s="2060"/>
      <c r="O527" s="2060"/>
      <c r="P527" s="2060"/>
      <c r="Q527" s="2060"/>
      <c r="R527" s="2060"/>
      <c r="S527" s="2060"/>
      <c r="T527" s="1508"/>
      <c r="U527" s="1508"/>
      <c r="V527" s="1508"/>
      <c r="W527" s="1508"/>
      <c r="X527" s="1508"/>
      <c r="Y527" s="1508"/>
      <c r="Z527" s="1508"/>
    </row>
    <row r="528" spans="1:26" s="178" customFormat="1" ht="13.5" customHeight="1">
      <c r="A528" s="1510"/>
      <c r="B528" s="1510"/>
      <c r="C528" s="327"/>
      <c r="D528" s="1513" t="str">
        <f ca="1">FootnoteDRAFT</f>
        <v>Run date: 05-August-2018  02:34 PM.   DRAFT document. All data subject to change upon completion of additional analysis.</v>
      </c>
      <c r="E528" s="1506"/>
      <c r="F528" s="176"/>
      <c r="G528" s="1513"/>
      <c r="H528" s="368"/>
      <c r="I528" s="1512"/>
      <c r="J528" s="1512"/>
      <c r="K528" s="1509"/>
      <c r="L528" s="2060"/>
      <c r="M528" s="2060"/>
      <c r="N528" s="2060"/>
      <c r="O528" s="2060"/>
      <c r="P528" s="2060"/>
      <c r="Q528" s="2060"/>
      <c r="R528" s="2060"/>
      <c r="S528" s="2060"/>
      <c r="T528" s="2060"/>
      <c r="U528" s="2060"/>
      <c r="V528" s="2060"/>
      <c r="W528" s="2060"/>
      <c r="X528" s="2060"/>
      <c r="Y528" s="2060"/>
      <c r="Z528" s="2060"/>
    </row>
    <row r="529" spans="1:26" s="178" customFormat="1">
      <c r="A529" s="1510" t="s">
        <v>17</v>
      </c>
      <c r="B529" s="1510"/>
      <c r="C529" s="1510"/>
      <c r="D529" s="1510"/>
      <c r="E529" s="683"/>
      <c r="F529" s="1510"/>
      <c r="G529" s="1510"/>
      <c r="H529" s="1510"/>
      <c r="I529" s="1547"/>
      <c r="J529" s="1546" t="str">
        <f ca="1">IF(D537="","Page end","Continue")</f>
        <v>Continue</v>
      </c>
      <c r="K529" s="1510"/>
      <c r="L529" s="2060"/>
      <c r="M529" s="2060"/>
      <c r="N529" s="2060"/>
      <c r="O529" s="2060"/>
      <c r="P529" s="2060"/>
      <c r="Q529" s="2060"/>
      <c r="R529" s="2060"/>
      <c r="S529" s="2060"/>
      <c r="T529" s="2060"/>
      <c r="U529" s="2060"/>
      <c r="V529" s="2060"/>
      <c r="W529" s="2060"/>
      <c r="X529" s="2060"/>
      <c r="Y529" s="2060"/>
      <c r="Z529" s="2060"/>
    </row>
    <row r="530" spans="1:26" s="1508" customFormat="1" ht="18" customHeight="1">
      <c r="A530" s="1518"/>
      <c r="B530" s="1518"/>
      <c r="C530" s="292" t="str">
        <f ca="1">D535</f>
        <v>n/a</v>
      </c>
      <c r="D530" s="172"/>
      <c r="E530" s="674"/>
      <c r="F530" s="172"/>
      <c r="G530" s="172"/>
      <c r="H530" s="172"/>
      <c r="I530" s="1522"/>
      <c r="J530" s="389" t="str">
        <f>$J$1&amp;"."&amp;C535&amp;""</f>
        <v>Workpaper 6.16</v>
      </c>
      <c r="K530" s="1509"/>
      <c r="O530" s="2060"/>
    </row>
    <row r="531" spans="1:26" s="1508" customFormat="1" ht="18" customHeight="1">
      <c r="A531" s="1518"/>
      <c r="B531" s="1518"/>
      <c r="C531" s="839" t="s">
        <v>1699</v>
      </c>
      <c r="D531" s="172"/>
      <c r="E531" s="172"/>
      <c r="F531" s="172"/>
      <c r="G531" s="172"/>
      <c r="H531" s="172"/>
      <c r="I531" s="1522"/>
      <c r="J531" s="187"/>
      <c r="K531" s="1509"/>
      <c r="O531" s="2060"/>
    </row>
    <row r="532" spans="1:26" s="1508" customFormat="1" ht="18" customHeight="1">
      <c r="A532" s="1518"/>
      <c r="B532" s="1518"/>
      <c r="C532" s="366" t="str">
        <f ca="1">"(" &amp;F537&amp;" in "&amp;ScaleInput&amp;")"</f>
        <v>(USD in Millions)</v>
      </c>
      <c r="E532" s="170"/>
      <c r="F532" s="170"/>
      <c r="G532" s="170"/>
      <c r="H532" s="170"/>
      <c r="I532" s="1521"/>
      <c r="K532" s="1509"/>
      <c r="O532" s="2060"/>
    </row>
    <row r="533" spans="1:26" s="1508" customFormat="1" ht="18" customHeight="1">
      <c r="A533" s="1518"/>
      <c r="B533" s="1518"/>
      <c r="C533" s="366"/>
      <c r="E533" s="172"/>
      <c r="F533" s="172"/>
      <c r="G533" s="172"/>
      <c r="H533" s="172"/>
      <c r="I533" s="1522"/>
      <c r="K533" s="1509"/>
      <c r="O533" s="2060"/>
    </row>
    <row r="534" spans="1:26" s="1508" customFormat="1">
      <c r="A534" s="1518"/>
      <c r="B534" s="1518"/>
      <c r="C534" s="1511"/>
      <c r="E534" s="172"/>
      <c r="F534" s="172"/>
      <c r="G534" s="172"/>
      <c r="H534" s="172"/>
      <c r="I534" s="1522"/>
      <c r="K534" s="1509"/>
      <c r="O534" s="2060"/>
    </row>
    <row r="535" spans="1:26" s="1508" customFormat="1">
      <c r="A535" s="1518"/>
      <c r="B535" s="1518"/>
      <c r="C535" s="226">
        <f>C502+1</f>
        <v>16</v>
      </c>
      <c r="D535" s="179" t="str">
        <f ca="1">IF(D537=0,"n/a",IFERROR(_xll.ciqfunctions.udf.CIQ(D537,"IQ_COMPANY_NAME"),"n/a"))</f>
        <v>n/a</v>
      </c>
      <c r="I535" s="1515"/>
      <c r="K535" s="1509"/>
      <c r="O535" s="2060"/>
    </row>
    <row r="536" spans="1:26" s="1508" customFormat="1">
      <c r="A536" s="1518"/>
      <c r="B536" s="1518"/>
      <c r="C536" s="225"/>
      <c r="D536" s="2258" t="s">
        <v>134</v>
      </c>
      <c r="E536" s="2258" t="s">
        <v>1708</v>
      </c>
      <c r="F536" s="2262" t="s">
        <v>167</v>
      </c>
      <c r="G536" s="2262" t="s">
        <v>1700</v>
      </c>
      <c r="H536" s="2263">
        <f>INDEX($W$9:$W$14,MATCH(H537,PeriodList,0))</f>
        <v>2000</v>
      </c>
      <c r="I536" s="1515"/>
      <c r="J536" s="201"/>
      <c r="K536" s="1509"/>
      <c r="O536" s="2060"/>
    </row>
    <row r="537" spans="1:26" s="1508" customFormat="1">
      <c r="A537" s="1518"/>
      <c r="B537" s="1518"/>
      <c r="C537" s="227"/>
      <c r="D537" s="2249">
        <f ca="1">OFFSET(GCIdentifierTop,C535,0)</f>
        <v>0</v>
      </c>
      <c r="E537" s="2250" t="str">
        <f ca="1">IF($D537="","",IFERROR(_xll.ciqfunctions.udf.CIQ($D537,"IQ_PERIODDATE",H536,Valuation_date),"n/a"))</f>
        <v>n/a</v>
      </c>
      <c r="F537" s="2251" t="str">
        <f ca="1">IFERROR(IF(C535=0,SubjOutputCurrencyCode,IF(D537="","",IF(OutputCurrency="Filing",_xll.ciqfunctions.udf.CIQ($D537,"IQ_FILING_CURRENCY",500,Valuation_date,ReportType,DataMode),OutputCurrency))),OutputCurrency)</f>
        <v>USD</v>
      </c>
      <c r="G537" s="2264" t="e">
        <f ca="1">IF(D535="","",_xll.ciqfunctions.udf.CIQ(D537,"IQ_TOTAL_REV", H536, Valuation_date,ReportType,DataMode,F537,FXMode))</f>
        <v>#NAME?</v>
      </c>
      <c r="H537" s="2265" t="str">
        <f>$H$9</f>
        <v>LTM/LFQ</v>
      </c>
      <c r="I537" s="1523"/>
      <c r="J537" s="174"/>
      <c r="K537" s="1509"/>
      <c r="O537" s="2060"/>
    </row>
    <row r="538" spans="1:26" s="1508" customFormat="1">
      <c r="A538" s="1518"/>
      <c r="B538" s="1518"/>
      <c r="C538" s="227"/>
      <c r="I538" s="1515"/>
      <c r="J538" s="221"/>
      <c r="K538" s="1509"/>
      <c r="O538" s="2060"/>
    </row>
    <row r="539" spans="1:26" s="1508" customFormat="1">
      <c r="A539" s="1518"/>
      <c r="B539" s="1518"/>
      <c r="C539" s="227"/>
      <c r="D539" s="741"/>
      <c r="E539" s="744" t="e">
        <f ca="1">IF(D537="",Valuation_date,_xll.ciqfunctions.udf.CIQ(D537,"IQ_PERIODDATE",H536-IF(LEFT(H537,3)="LFY",1,4),Valuation_date))</f>
        <v>#NAME?</v>
      </c>
      <c r="F539" s="742" t="e">
        <f ca="1">IF(D537="",Valuation_date,_xll.ciqfunctions.udf.CIQ(D537,"IQ_PERIODDATE",H536,Valuation_date))</f>
        <v>#NAME?</v>
      </c>
      <c r="G539" s="741"/>
      <c r="H539" s="743" t="s">
        <v>1702</v>
      </c>
      <c r="I539" s="1587"/>
      <c r="J539" s="221"/>
      <c r="K539" s="1509"/>
      <c r="O539" s="2060"/>
    </row>
    <row r="540" spans="1:26" s="1508" customFormat="1">
      <c r="A540" s="1518"/>
      <c r="B540" s="1518"/>
      <c r="C540" s="227"/>
      <c r="D540" s="2254" t="s">
        <v>1703</v>
      </c>
      <c r="E540" s="2255" t="s">
        <v>1458</v>
      </c>
      <c r="F540" s="2255" t="s">
        <v>1458</v>
      </c>
      <c r="G540" s="2255" t="s">
        <v>1704</v>
      </c>
      <c r="H540" s="2255" t="s">
        <v>1705</v>
      </c>
      <c r="I540" s="2256" t="s">
        <v>1706</v>
      </c>
      <c r="J540" s="222"/>
      <c r="K540" s="1509"/>
      <c r="O540" s="2060"/>
    </row>
    <row r="541" spans="1:26" s="1508" customFormat="1">
      <c r="A541" s="1518" t="e">
        <f t="shared" ref="A541:A553" ca="1" si="32">IF(D541="","n","")</f>
        <v>#NAME?</v>
      </c>
      <c r="B541" s="1518"/>
      <c r="C541" s="227">
        <v>1</v>
      </c>
      <c r="D541" s="223" t="e">
        <f ca="1">IF(D535="","",IF(ISNUMBER(_xll.ciqfunctions.udf.CIQ(D537,"IQ_BUS_SEG_NAME", H536, Valuation_date, , , , , $C541)),"",_xll.ciqfunctions.udf.CIQ(D537,"IQ_BUS_SEG_NAME", H536, Valuation_date, , , , , $C541)))</f>
        <v>#NAME?</v>
      </c>
      <c r="E541" s="187" t="e">
        <f ca="1">IF(D535="","",IF(D541="","",_xll.ciqfunctions.udf.CIQ(D537,"IQ_BUS_SEG_REV", H536-1, Valuation_date, ReportType,DataMode, F537,FXMode, C541)*Scale))</f>
        <v>#NAME?</v>
      </c>
      <c r="F541" s="187" t="e">
        <f ca="1">IF(D535="","",IF(D541="","",_xll.ciqfunctions.udf.CIQ(D537,"IQ_BUS_SEG_REV", H536, Valuation_date, ReportType,DataMode, F537,FXMode, $C541)*Scale))</f>
        <v>#NAME?</v>
      </c>
      <c r="G541" s="274" t="e">
        <f ca="1">IF(D541="","",IFERROR(F541/F556,"n/a"))</f>
        <v>#NAME?</v>
      </c>
      <c r="H541" s="274" t="e">
        <f ca="1">IF(D541="","",IFERROR(F541/E541-1,"n/a"))</f>
        <v>#NAME?</v>
      </c>
      <c r="I541" s="1524" t="e">
        <f ca="1">IF(D535="","",IF(D541="","",_xll.ciqfunctions.udf.CIQ(D537,"IQ_BUS_SEG_DESCRIPTION", H536, Valuation_date, , , , , $C541)))</f>
        <v>#NAME?</v>
      </c>
      <c r="J541" s="175"/>
      <c r="K541" s="1509"/>
      <c r="O541" s="2060"/>
    </row>
    <row r="542" spans="1:26" s="1508" customFormat="1">
      <c r="A542" s="1518" t="e">
        <f t="shared" ca="1" si="32"/>
        <v>#NAME?</v>
      </c>
      <c r="B542" s="1518"/>
      <c r="C542" s="227">
        <v>2</v>
      </c>
      <c r="D542" s="223" t="e">
        <f ca="1">IF(D535="","",IF(ISNUMBER(_xll.ciqfunctions.udf.CIQ(D537,"IQ_BUS_SEG_NAME", H536, Valuation_date, , , , , $C542)),"",_xll.ciqfunctions.udf.CIQ(D537,"IQ_BUS_SEG_NAME", H536, Valuation_date, , , , , $C542)))</f>
        <v>#NAME?</v>
      </c>
      <c r="E542" s="187" t="e">
        <f ca="1">IF(D535="","",IF(D542="","",_xll.ciqfunctions.udf.CIQ(D537,"IQ_BUS_SEG_REV", H536-1, Valuation_date, ReportType,DataMode, F537,FXMode, C542)*Scale))</f>
        <v>#NAME?</v>
      </c>
      <c r="F542" s="187" t="e">
        <f ca="1">IF(D535="","",IF(D542="","",_xll.ciqfunctions.udf.CIQ(D537,"IQ_BUS_SEG_REV", H536, Valuation_date, ReportType,DataMode, F537,FXMode, $C542)*Scale))</f>
        <v>#NAME?</v>
      </c>
      <c r="G542" s="274" t="e">
        <f ca="1">IF(D542="","",IFERROR(F542/F556,"n/a"))</f>
        <v>#NAME?</v>
      </c>
      <c r="H542" s="274" t="e">
        <f t="shared" ref="H542:H555" ca="1" si="33">IF(D542="","",IFERROR(F542/E542-1,"n/a"))</f>
        <v>#NAME?</v>
      </c>
      <c r="I542" s="1524" t="e">
        <f ca="1">IF(D535="","",IF(D542="","",_xll.ciqfunctions.udf.CIQ(D537,"IQ_BUS_SEG_DESCRIPTION", H536, Valuation_date, , , , , $C542)))</f>
        <v>#NAME?</v>
      </c>
      <c r="J542" s="175"/>
      <c r="K542" s="1509"/>
      <c r="O542" s="2060"/>
    </row>
    <row r="543" spans="1:26" s="1508" customFormat="1">
      <c r="A543" s="1518" t="e">
        <f t="shared" ca="1" si="32"/>
        <v>#NAME?</v>
      </c>
      <c r="B543" s="1518"/>
      <c r="C543" s="227">
        <v>3</v>
      </c>
      <c r="D543" s="223" t="e">
        <f ca="1">IF(D535="","",IF(ISNUMBER(_xll.ciqfunctions.udf.CIQ(D537,"IQ_BUS_SEG_NAME", H536, Valuation_date, , , , , $C543)),"",_xll.ciqfunctions.udf.CIQ(D537,"IQ_BUS_SEG_NAME", H536, Valuation_date, , , , , $C543)))</f>
        <v>#NAME?</v>
      </c>
      <c r="E543" s="187" t="e">
        <f ca="1">IF(D535="","",IF(D543="","",_xll.ciqfunctions.udf.CIQ(D537,"IQ_BUS_SEG_REV", H536-1, Valuation_date, ReportType,DataMode, F537,FXMode, C543)*Scale))</f>
        <v>#NAME?</v>
      </c>
      <c r="F543" s="187" t="e">
        <f ca="1">IF(D535="","",IF(D543="","",_xll.ciqfunctions.udf.CIQ(D537,"IQ_BUS_SEG_REV", H536, Valuation_date, ReportType,DataMode, F537,FXMode, $C543)*Scale))</f>
        <v>#NAME?</v>
      </c>
      <c r="G543" s="274" t="e">
        <f ca="1">IF(D543="","",IFERROR(F543/F556,"n/a"))</f>
        <v>#NAME?</v>
      </c>
      <c r="H543" s="274" t="e">
        <f t="shared" ca="1" si="33"/>
        <v>#NAME?</v>
      </c>
      <c r="I543" s="1524" t="e">
        <f ca="1">IF(D535="","",IF(D543="","",_xll.ciqfunctions.udf.CIQ(D537,"IQ_BUS_SEG_DESCRIPTION", H536, Valuation_date, , , , , $C543)))</f>
        <v>#NAME?</v>
      </c>
      <c r="J543" s="175"/>
      <c r="K543" s="1509"/>
      <c r="O543" s="2060"/>
    </row>
    <row r="544" spans="1:26" s="1508" customFormat="1">
      <c r="A544" s="1518" t="e">
        <f t="shared" ca="1" si="32"/>
        <v>#NAME?</v>
      </c>
      <c r="B544" s="1518"/>
      <c r="C544" s="227">
        <v>4</v>
      </c>
      <c r="D544" s="223" t="e">
        <f ca="1">IF(D535="","",IF(ISNUMBER(_xll.ciqfunctions.udf.CIQ(D537,"IQ_BUS_SEG_NAME", H536, Valuation_date, , , , , $C544)),"",_xll.ciqfunctions.udf.CIQ(D537,"IQ_BUS_SEG_NAME", H536, Valuation_date, , , , , $C544)))</f>
        <v>#NAME?</v>
      </c>
      <c r="E544" s="187" t="e">
        <f ca="1">IF(D535="","",IF(D544="","",_xll.ciqfunctions.udf.CIQ(D537,"IQ_BUS_SEG_REV", H536-1, Valuation_date, ReportType,DataMode, F537,FXMode, C544)*Scale))</f>
        <v>#NAME?</v>
      </c>
      <c r="F544" s="187" t="e">
        <f ca="1">IF(D535="","",IF(D544="","",_xll.ciqfunctions.udf.CIQ(D537,"IQ_BUS_SEG_REV", H536, Valuation_date, ReportType,DataMode, F537,FXMode, $C544)*Scale))</f>
        <v>#NAME?</v>
      </c>
      <c r="G544" s="274" t="e">
        <f ca="1">IF(D544="","",IFERROR(F544/F556,"n/a"))</f>
        <v>#NAME?</v>
      </c>
      <c r="H544" s="274" t="e">
        <f t="shared" ca="1" si="33"/>
        <v>#NAME?</v>
      </c>
      <c r="I544" s="1524" t="e">
        <f ca="1">IF(D535="","",IF(D544="","",_xll.ciqfunctions.udf.CIQ(D537,"IQ_BUS_SEG_DESCRIPTION", H536, Valuation_date, , , , , $C544)))</f>
        <v>#NAME?</v>
      </c>
      <c r="J544" s="175"/>
      <c r="K544" s="1509"/>
      <c r="O544" s="2060"/>
    </row>
    <row r="545" spans="1:19" s="1508" customFormat="1">
      <c r="A545" s="1518" t="e">
        <f t="shared" ca="1" si="32"/>
        <v>#NAME?</v>
      </c>
      <c r="B545" s="1518"/>
      <c r="C545" s="227">
        <v>5</v>
      </c>
      <c r="D545" s="223" t="e">
        <f ca="1">IF(D535="","",IF(ISNUMBER(_xll.ciqfunctions.udf.CIQ(D537,"IQ_BUS_SEG_NAME", H536, Valuation_date, , , , , $C545)),"",_xll.ciqfunctions.udf.CIQ(D537,"IQ_BUS_SEG_NAME", H536, Valuation_date, , , , , $C545)))</f>
        <v>#NAME?</v>
      </c>
      <c r="E545" s="187" t="e">
        <f ca="1">IF(D535="","",IF(D545="","",_xll.ciqfunctions.udf.CIQ(D537,"IQ_BUS_SEG_REV", H536-1, Valuation_date, ReportType,DataMode, F537,FXMode, C545)*Scale))</f>
        <v>#NAME?</v>
      </c>
      <c r="F545" s="187" t="e">
        <f ca="1">IF(D535="","",IF(D545="","",_xll.ciqfunctions.udf.CIQ(D537,"IQ_BUS_SEG_REV", H536, Valuation_date, ReportType,DataMode, F537,FXMode, $C545)*Scale))</f>
        <v>#NAME?</v>
      </c>
      <c r="G545" s="274" t="e">
        <f ca="1">IF(D545="","",IFERROR(F545/F556,"n/a"))</f>
        <v>#NAME?</v>
      </c>
      <c r="H545" s="274" t="e">
        <f t="shared" ca="1" si="33"/>
        <v>#NAME?</v>
      </c>
      <c r="I545" s="1524" t="e">
        <f ca="1">IF(D535="","",IF(D545="","",_xll.ciqfunctions.udf.CIQ(D537,"IQ_BUS_SEG_DESCRIPTION", H536, Valuation_date, , , , , $C545)))</f>
        <v>#NAME?</v>
      </c>
      <c r="J545" s="224"/>
      <c r="K545" s="1509"/>
      <c r="O545" s="2060"/>
    </row>
    <row r="546" spans="1:19" s="1508" customFormat="1">
      <c r="A546" s="1518" t="e">
        <f t="shared" ca="1" si="32"/>
        <v>#NAME?</v>
      </c>
      <c r="B546" s="1518"/>
      <c r="C546" s="227">
        <v>6</v>
      </c>
      <c r="D546" s="223" t="e">
        <f ca="1">IF(D535="","",IF(ISNUMBER(_xll.ciqfunctions.udf.CIQ(D537,"IQ_BUS_SEG_NAME", H536, Valuation_date, , , , , $C546)),"",_xll.ciqfunctions.udf.CIQ(D537,"IQ_BUS_SEG_NAME", H536, Valuation_date, , , , , $C546)))</f>
        <v>#NAME?</v>
      </c>
      <c r="E546" s="187" t="e">
        <f ca="1">IF(D535="","",IF(D546="","",_xll.ciqfunctions.udf.CIQ(D537,"IQ_BUS_SEG_REV", H536-1, Valuation_date, ReportType,DataMode, F537,FXMode, C546)*Scale))</f>
        <v>#NAME?</v>
      </c>
      <c r="F546" s="187" t="e">
        <f ca="1">IF(D535="","",IF(D546="","",_xll.ciqfunctions.udf.CIQ(D537,"IQ_BUS_SEG_REV", H536, Valuation_date, ReportType,DataMode, F537,FXMode, $C546)*Scale))</f>
        <v>#NAME?</v>
      </c>
      <c r="G546" s="274" t="e">
        <f ca="1">IF(D546="","",IFERROR(F546/F556,"n/a"))</f>
        <v>#NAME?</v>
      </c>
      <c r="H546" s="274" t="e">
        <f t="shared" ca="1" si="33"/>
        <v>#NAME?</v>
      </c>
      <c r="I546" s="1524" t="e">
        <f ca="1">IF(D535="","",IF(D546="","",_xll.ciqfunctions.udf.CIQ(D537,"IQ_BUS_SEG_DESCRIPTION", H536, Valuation_date, , , , , $C546)))</f>
        <v>#NAME?</v>
      </c>
      <c r="J546" s="224"/>
      <c r="K546" s="1509"/>
      <c r="O546" s="2060"/>
    </row>
    <row r="547" spans="1:19" s="1508" customFormat="1">
      <c r="A547" s="1518" t="e">
        <f t="shared" ca="1" si="32"/>
        <v>#NAME?</v>
      </c>
      <c r="B547" s="1518"/>
      <c r="C547" s="227">
        <v>7</v>
      </c>
      <c r="D547" s="223" t="e">
        <f ca="1">IF(D535="","",IF(ISNUMBER(_xll.ciqfunctions.udf.CIQ(D537,"IQ_BUS_SEG_NAME", H536, Valuation_date, , , , , $C547)),"",_xll.ciqfunctions.udf.CIQ(D537,"IQ_BUS_SEG_NAME", H536, Valuation_date, , , , , $C547)))</f>
        <v>#NAME?</v>
      </c>
      <c r="E547" s="187" t="e">
        <f ca="1">IF(D535="","",IF(D547="","",_xll.ciqfunctions.udf.CIQ(D537,"IQ_BUS_SEG_REV", H536-1, Valuation_date, ReportType,DataMode, F537,FXMode, C547)*Scale))</f>
        <v>#NAME?</v>
      </c>
      <c r="F547" s="187" t="e">
        <f ca="1">IF(D535="","",IF(D547="","",_xll.ciqfunctions.udf.CIQ(D537,"IQ_BUS_SEG_REV", H536, Valuation_date, ReportType,DataMode, F537,FXMode, $C547)*Scale))</f>
        <v>#NAME?</v>
      </c>
      <c r="G547" s="274" t="e">
        <f ca="1">IF(D547="","",IFERROR(F547/F556,"n/a"))</f>
        <v>#NAME?</v>
      </c>
      <c r="H547" s="274" t="e">
        <f t="shared" ca="1" si="33"/>
        <v>#NAME?</v>
      </c>
      <c r="I547" s="1524" t="e">
        <f ca="1">IF(D535="","",IF(D547="","",_xll.ciqfunctions.udf.CIQ(D537,"IQ_BUS_SEG_DESCRIPTION", H536, Valuation_date, , , , , $C547)))</f>
        <v>#NAME?</v>
      </c>
      <c r="J547" s="221"/>
      <c r="K547" s="1509"/>
      <c r="O547" s="2060"/>
    </row>
    <row r="548" spans="1:19" s="1508" customFormat="1">
      <c r="A548" s="1518" t="e">
        <f t="shared" ca="1" si="32"/>
        <v>#NAME?</v>
      </c>
      <c r="B548" s="1518"/>
      <c r="C548" s="227">
        <v>8</v>
      </c>
      <c r="D548" s="223" t="e">
        <f ca="1">IF(D535="","",IF(ISNUMBER(_xll.ciqfunctions.udf.CIQ(D537,"IQ_BUS_SEG_NAME", H536, Valuation_date, , , , , $C548)),"",_xll.ciqfunctions.udf.CIQ(D537,"IQ_BUS_SEG_NAME", H536, Valuation_date, , , , , $C548)))</f>
        <v>#NAME?</v>
      </c>
      <c r="E548" s="187" t="e">
        <f ca="1">IF(D535="","",IF(D548="","",_xll.ciqfunctions.udf.CIQ(D537,"IQ_BUS_SEG_REV", H536-1, Valuation_date, ReportType,DataMode, F537,FXMode, C548)*Scale))</f>
        <v>#NAME?</v>
      </c>
      <c r="F548" s="187" t="e">
        <f ca="1">IF(D535="","",IF(D548="","",_xll.ciqfunctions.udf.CIQ(D537,"IQ_BUS_SEG_REV", H536, Valuation_date, ReportType,DataMode, F537,FXMode, $C548)*Scale))</f>
        <v>#NAME?</v>
      </c>
      <c r="G548" s="274" t="e">
        <f ca="1">IF(D548="","",IFERROR(F548/F556,"n/a"))</f>
        <v>#NAME?</v>
      </c>
      <c r="H548" s="274" t="e">
        <f t="shared" ca="1" si="33"/>
        <v>#NAME?</v>
      </c>
      <c r="I548" s="1524" t="e">
        <f ca="1">IF(D535="","",IF(D548="","",_xll.ciqfunctions.udf.CIQ(D537,"IQ_BUS_SEG_DESCRIPTION", H536, Valuation_date, , , , , $C548)))</f>
        <v>#NAME?</v>
      </c>
      <c r="J548" s="222"/>
      <c r="K548" s="1509"/>
      <c r="O548" s="2060"/>
    </row>
    <row r="549" spans="1:19" s="1508" customFormat="1">
      <c r="A549" s="1518" t="e">
        <f t="shared" ca="1" si="32"/>
        <v>#NAME?</v>
      </c>
      <c r="B549" s="1518"/>
      <c r="C549" s="227">
        <v>9</v>
      </c>
      <c r="D549" s="223" t="e">
        <f ca="1">IF(D535="","",IF(ISNUMBER(_xll.ciqfunctions.udf.CIQ(D537,"IQ_BUS_SEG_NAME", H536, Valuation_date, , , , , $C549)),"",_xll.ciqfunctions.udf.CIQ(D537,"IQ_BUS_SEG_NAME", H536, Valuation_date, , , , , $C549)))</f>
        <v>#NAME?</v>
      </c>
      <c r="E549" s="187" t="e">
        <f ca="1">IF(D535="","",IF(D549="","",_xll.ciqfunctions.udf.CIQ(D537,"IQ_BUS_SEG_REV", H536-1, Valuation_date, ReportType,DataMode, F537,FXMode, C549)*Scale))</f>
        <v>#NAME?</v>
      </c>
      <c r="F549" s="187" t="e">
        <f ca="1">IF(D535="","",IF(D549="","",_xll.ciqfunctions.udf.CIQ(D537,"IQ_BUS_SEG_REV", H536, Valuation_date, ReportType,DataMode, F537,FXMode, $C549)*Scale))</f>
        <v>#NAME?</v>
      </c>
      <c r="G549" s="274" t="e">
        <f ca="1">IF(D549="","",IFERROR(F549/F556,"n/a"))</f>
        <v>#NAME?</v>
      </c>
      <c r="H549" s="274" t="e">
        <f t="shared" ca="1" si="33"/>
        <v>#NAME?</v>
      </c>
      <c r="I549" s="1524" t="e">
        <f ca="1">IF(D535="","",IF(D549="","",_xll.ciqfunctions.udf.CIQ(D537,"IQ_BUS_SEG_DESCRIPTION", H536, Valuation_date, , , , , $C549)))</f>
        <v>#NAME?</v>
      </c>
      <c r="J549" s="222"/>
      <c r="K549" s="1509"/>
      <c r="O549" s="2060"/>
    </row>
    <row r="550" spans="1:19" s="1508" customFormat="1">
      <c r="A550" s="1518" t="e">
        <f t="shared" ca="1" si="32"/>
        <v>#NAME?</v>
      </c>
      <c r="B550" s="1518"/>
      <c r="C550" s="227">
        <v>10</v>
      </c>
      <c r="D550" s="223" t="e">
        <f ca="1">IF(D535="","",IF(ISNUMBER(_xll.ciqfunctions.udf.CIQ(D537,"IQ_BUS_SEG_NAME", H536, Valuation_date, , , , , $C550)),"",_xll.ciqfunctions.udf.CIQ(D537,"IQ_BUS_SEG_NAME", H536, Valuation_date, , , , , $C550)))</f>
        <v>#NAME?</v>
      </c>
      <c r="E550" s="187" t="e">
        <f ca="1">IF(D535="","",IF(D550="","",_xll.ciqfunctions.udf.CIQ(D537,"IQ_BUS_SEG_REV", H536-1, Valuation_date, ReportType,DataMode, F537,FXMode, C550)*Scale))</f>
        <v>#NAME?</v>
      </c>
      <c r="F550" s="187" t="e">
        <f ca="1">IF(D535="","",IF(D550="","",_xll.ciqfunctions.udf.CIQ(D537,"IQ_BUS_SEG_REV", H536, Valuation_date, ReportType,DataMode, F537,FXMode, $C550)*Scale))</f>
        <v>#NAME?</v>
      </c>
      <c r="G550" s="274" t="e">
        <f ca="1">IF(D550="","",IFERROR(F550/F556,"n/a"))</f>
        <v>#NAME?</v>
      </c>
      <c r="H550" s="284" t="e">
        <f t="shared" ca="1" si="33"/>
        <v>#NAME?</v>
      </c>
      <c r="I550" s="1524" t="e">
        <f ca="1">IF(D535="","",IF(D550="","",_xll.ciqfunctions.udf.CIQ(D537,"IQ_BUS_SEG_DESCRIPTION", H536, Valuation_date, , , , , $C550)))</f>
        <v>#NAME?</v>
      </c>
      <c r="J550" s="175"/>
      <c r="K550" s="1509"/>
      <c r="O550" s="2060"/>
    </row>
    <row r="551" spans="1:19" s="1508" customFormat="1">
      <c r="A551" s="1518" t="e">
        <f t="shared" ca="1" si="32"/>
        <v>#NAME?</v>
      </c>
      <c r="B551" s="1518"/>
      <c r="C551" s="227">
        <v>11</v>
      </c>
      <c r="D551" s="223" t="e">
        <f ca="1">IF(D535="","",IF(ISNUMBER(_xll.ciqfunctions.udf.CIQ(D537,"IQ_BUS_SEG_NAME", H536, Valuation_date, , , , , $C551)),"",_xll.ciqfunctions.udf.CIQ(D537,"IQ_BUS_SEG_NAME", H536, Valuation_date, , , , , $C551)))</f>
        <v>#NAME?</v>
      </c>
      <c r="E551" s="187" t="e">
        <f ca="1">IF(D535="","",IF(D551="","",_xll.ciqfunctions.udf.CIQ(D537,"IQ_BUS_SEG_REV", H536-1, Valuation_date, ReportType,DataMode, F537,FXMode, C551)*Scale))</f>
        <v>#NAME?</v>
      </c>
      <c r="F551" s="187" t="e">
        <f ca="1">IF(D535="","",IF(D551="","",_xll.ciqfunctions.udf.CIQ(D537,"IQ_BUS_SEG_REV", H536, Valuation_date, ReportType,DataMode, F537,FXMode, $C551)*Scale))</f>
        <v>#NAME?</v>
      </c>
      <c r="G551" s="274" t="e">
        <f ca="1">IF(D551="","",IFERROR(F551/F556,"n/a"))</f>
        <v>#NAME?</v>
      </c>
      <c r="H551" s="284" t="e">
        <f t="shared" ca="1" si="33"/>
        <v>#NAME?</v>
      </c>
      <c r="I551" s="1524" t="e">
        <f ca="1">IF(D535="","",IF(D551="","",_xll.ciqfunctions.udf.CIQ(D537,"IQ_BUS_SEG_DESCRIPTION", H536, Valuation_date, , , , , $C551)))</f>
        <v>#NAME?</v>
      </c>
      <c r="J551" s="222"/>
      <c r="K551" s="1509"/>
      <c r="O551" s="2060"/>
    </row>
    <row r="552" spans="1:19" s="1508" customFormat="1">
      <c r="A552" s="1518" t="e">
        <f t="shared" ca="1" si="32"/>
        <v>#NAME?</v>
      </c>
      <c r="B552" s="1518"/>
      <c r="C552" s="227">
        <v>12</v>
      </c>
      <c r="D552" s="223" t="e">
        <f ca="1">IF(D535="","",IF(ISNUMBER(_xll.ciqfunctions.udf.CIQ(D537,"IQ_BUS_SEG_NAME", H536, Valuation_date, , , , , $C552)),"",_xll.ciqfunctions.udf.CIQ(D537,"IQ_BUS_SEG_NAME", H536, Valuation_date, , , , , $C552)))</f>
        <v>#NAME?</v>
      </c>
      <c r="E552" s="187" t="e">
        <f ca="1">IF(D535="","",IF(D552="","",_xll.ciqfunctions.udf.CIQ(D537,"IQ_BUS_SEG_REV", H536-1, Valuation_date, ReportType,DataMode, F537,FXMode, C552)*Scale))</f>
        <v>#NAME?</v>
      </c>
      <c r="F552" s="187" t="e">
        <f ca="1">IF(D535="","",IF(D552="","",_xll.ciqfunctions.udf.CIQ(D537,"IQ_BUS_SEG_REV", H536, Valuation_date, ReportType,DataMode, F537,FXMode, $C552)*Scale))</f>
        <v>#NAME?</v>
      </c>
      <c r="G552" s="274" t="e">
        <f ca="1">IF(D552="","",IFERROR(F552/F556,"n/a"))</f>
        <v>#NAME?</v>
      </c>
      <c r="H552" s="284" t="e">
        <f t="shared" ca="1" si="33"/>
        <v>#NAME?</v>
      </c>
      <c r="I552" s="1524" t="e">
        <f ca="1">IF(D535="","",IF(D552="","",_xll.ciqfunctions.udf.CIQ(D537,"IQ_BUS_SEG_DESCRIPTION", H536, Valuation_date, , , , , $C552)))</f>
        <v>#NAME?</v>
      </c>
      <c r="J552" s="222"/>
      <c r="K552" s="1509"/>
      <c r="O552" s="2060"/>
    </row>
    <row r="553" spans="1:19" s="1508" customFormat="1">
      <c r="A553" s="1518" t="e">
        <f t="shared" ca="1" si="32"/>
        <v>#NAME?</v>
      </c>
      <c r="B553" s="1518"/>
      <c r="C553" s="227">
        <v>13</v>
      </c>
      <c r="D553" s="223" t="e">
        <f ca="1">IF(D535="","",IF(ISNUMBER(_xll.ciqfunctions.udf.CIQ(D537,"IQ_BUS_SEG_NAME", H536, Valuation_date, , , , , $C553)),"",_xll.ciqfunctions.udf.CIQ(D537,"IQ_BUS_SEG_NAME", H536, Valuation_date, , , , , $C553)))</f>
        <v>#NAME?</v>
      </c>
      <c r="E553" s="187" t="e">
        <f ca="1">IF(D535="","",IF(D553="","",_xll.ciqfunctions.udf.CIQ(D537,"IQ_BUS_SEG_REV", H536-1, Valuation_date, ReportType,DataMode, F537,FXMode, C553)*Scale))</f>
        <v>#NAME?</v>
      </c>
      <c r="F553" s="187" t="e">
        <f ca="1">IF(D535="","",IF(D553="","",_xll.ciqfunctions.udf.CIQ(D537,"IQ_BUS_SEG_REV", H536, Valuation_date, ReportType,DataMode, F537,FXMode, $C553)*Scale))</f>
        <v>#NAME?</v>
      </c>
      <c r="G553" s="274" t="e">
        <f ca="1">IF(D553="","",IFERROR(F553/F556,"n/a"))</f>
        <v>#NAME?</v>
      </c>
      <c r="H553" s="284" t="e">
        <f t="shared" ca="1" si="33"/>
        <v>#NAME?</v>
      </c>
      <c r="I553" s="1524" t="e">
        <f ca="1">IF(D535="","",IF(D553="","",_xll.ciqfunctions.udf.CIQ(D537,"IQ_BUS_SEG_DESCRIPTION", H536, Valuation_date, , , , , $C553)))</f>
        <v>#NAME?</v>
      </c>
      <c r="J553" s="222"/>
      <c r="K553" s="1509"/>
      <c r="O553" s="2060"/>
    </row>
    <row r="554" spans="1:19" s="1508" customFormat="1">
      <c r="A554" s="1518" t="e">
        <f ca="1">IF(D554="","n","")</f>
        <v>#NAME?</v>
      </c>
      <c r="B554" s="1518"/>
      <c r="C554" s="227">
        <v>14</v>
      </c>
      <c r="D554" s="223" t="e">
        <f ca="1">IF(D535="","",IF(ISNUMBER(_xll.ciqfunctions.udf.CIQ(D537,"IQ_BUS_SEG_NAME", H536, Valuation_date, , , , , $C554)),"",_xll.ciqfunctions.udf.CIQ(D537,"IQ_BUS_SEG_NAME", H536, Valuation_date, , , , , $C554)))</f>
        <v>#NAME?</v>
      </c>
      <c r="E554" s="187" t="e">
        <f ca="1">IF(D535="","",IF(D554="","",_xll.ciqfunctions.udf.CIQ(D537,"IQ_BUS_SEG_REV", H536-1, Valuation_date, ReportType,DataMode, F537,FXMode, C554)*Scale))</f>
        <v>#NAME?</v>
      </c>
      <c r="F554" s="187" t="e">
        <f ca="1">IF(D535="","",IF(D554="","",_xll.ciqfunctions.udf.CIQ(D537,"IQ_BUS_SEG_REV", H536, Valuation_date, ReportType,DataMode, F537,FXMode, $C554)*Scale))</f>
        <v>#NAME?</v>
      </c>
      <c r="G554" s="274" t="e">
        <f ca="1">IF(D554="","",IFERROR(F554/F556,"n/a"))</f>
        <v>#NAME?</v>
      </c>
      <c r="H554" s="284" t="e">
        <f t="shared" ca="1" si="33"/>
        <v>#NAME?</v>
      </c>
      <c r="I554" s="1524" t="e">
        <f ca="1">IF(D535="","",IF(D554="","",_xll.ciqfunctions.udf.CIQ(D537,"IQ_BUS_SEG_DESCRIPTION", H536, Valuation_date, , , , , $C554)))</f>
        <v>#NAME?</v>
      </c>
      <c r="J554" s="222"/>
      <c r="K554" s="1509"/>
      <c r="O554" s="2060"/>
    </row>
    <row r="555" spans="1:19" s="1508" customFormat="1">
      <c r="A555" s="1518" t="e">
        <f ca="1">IF(D555="","n","")</f>
        <v>#NAME?</v>
      </c>
      <c r="B555" s="1518"/>
      <c r="C555" s="227">
        <v>15</v>
      </c>
      <c r="D555" s="223" t="e">
        <f ca="1">IF(D535="","",IF(ISNUMBER(_xll.ciqfunctions.udf.CIQ(D537,"IQ_BUS_SEG_NAME", H536, Valuation_date, , , , , $C555)),"",_xll.ciqfunctions.udf.CIQ(D537,"IQ_BUS_SEG_NAME", H536, Valuation_date, , , , , $C555)))</f>
        <v>#NAME?</v>
      </c>
      <c r="E555" s="187" t="e">
        <f ca="1">IF(D535="","",IF(D555="","",_xll.ciqfunctions.udf.CIQ(D537,"IQ_BUS_SEG_REV", H536-1, Valuation_date, ReportType,DataMode, F537,FXMode, C555)*Scale))</f>
        <v>#NAME?</v>
      </c>
      <c r="F555" s="187" t="e">
        <f ca="1">IF(D535="","",IF(D555="","",_xll.ciqfunctions.udf.CIQ(D537,"IQ_BUS_SEG_REV", H536, Valuation_date, ReportType,DataMode, F537,FXMode, $C555)*Scale))</f>
        <v>#NAME?</v>
      </c>
      <c r="G555" s="274" t="e">
        <f ca="1">IF(D555="","",IFERROR(F555/F556,"n/a"))</f>
        <v>#NAME?</v>
      </c>
      <c r="H555" s="284" t="e">
        <f t="shared" ca="1" si="33"/>
        <v>#NAME?</v>
      </c>
      <c r="I555" s="1524" t="e">
        <f ca="1">IF(D535="","",IF(D555="","",_xll.ciqfunctions.udf.CIQ(D537,"IQ_BUS_SEG_DESCRIPTION", H536, Valuation_date, , , , , $C555)))</f>
        <v>#NAME?</v>
      </c>
      <c r="J555" s="222"/>
      <c r="K555" s="1509"/>
      <c r="O555" s="2060"/>
    </row>
    <row r="556" spans="1:19" s="1508" customFormat="1" ht="14.45" thickBot="1">
      <c r="A556" s="1518"/>
      <c r="B556" s="1518"/>
      <c r="C556" s="225"/>
      <c r="D556" s="220" t="s">
        <v>1248</v>
      </c>
      <c r="E556" s="220" t="e">
        <f ca="1">SUM(E541:E555)</f>
        <v>#NAME?</v>
      </c>
      <c r="F556" s="220" t="e">
        <f ca="1">SUM(F541:F555)</f>
        <v>#NAME?</v>
      </c>
      <c r="G556" s="2266" t="e">
        <f ca="1">SUM(G541:G555)</f>
        <v>#NAME?</v>
      </c>
      <c r="H556" s="2267" t="str">
        <f ca="1">IF(D556="","",IFERROR(F556/E556-1,"n/a"))</f>
        <v>n/a</v>
      </c>
      <c r="I556" s="1515"/>
      <c r="J556" s="222"/>
      <c r="K556" s="1509"/>
      <c r="O556" s="2060"/>
    </row>
    <row r="557" spans="1:19" s="1508" customFormat="1">
      <c r="A557" s="1518"/>
      <c r="B557" s="1518"/>
      <c r="C557" s="225"/>
      <c r="D557" s="187"/>
      <c r="E557" s="187"/>
      <c r="F557" s="274"/>
      <c r="G557" s="187"/>
      <c r="H557" s="284"/>
      <c r="I557" s="1515"/>
      <c r="J557" s="222"/>
      <c r="K557" s="1509"/>
      <c r="O557" s="2060"/>
    </row>
    <row r="558" spans="1:19" s="1508" customFormat="1">
      <c r="A558" s="1518"/>
      <c r="B558" s="1518"/>
      <c r="C558" s="1572"/>
      <c r="D558" s="1514" t="s">
        <v>1707</v>
      </c>
      <c r="E558" s="1579"/>
      <c r="F558" s="1575"/>
      <c r="G558" s="1514"/>
      <c r="H558" s="1575"/>
      <c r="I558" s="1571"/>
      <c r="J558" s="1574"/>
      <c r="K558" s="1509"/>
      <c r="L558" s="2060"/>
      <c r="M558" s="2060"/>
      <c r="O558" s="2060"/>
    </row>
    <row r="559" spans="1:19" s="1508" customFormat="1">
      <c r="A559" s="1518"/>
      <c r="B559" s="1518"/>
      <c r="C559" s="225"/>
      <c r="D559" s="1514" t="s">
        <v>1402</v>
      </c>
      <c r="E559" s="187"/>
      <c r="F559" s="274"/>
      <c r="G559" s="187"/>
      <c r="H559" s="284"/>
      <c r="I559" s="1515"/>
      <c r="J559" s="222"/>
      <c r="K559" s="1509"/>
      <c r="O559" s="2060"/>
    </row>
    <row r="560" spans="1:19" s="1508" customFormat="1">
      <c r="A560" s="1518"/>
      <c r="B560" s="1518"/>
      <c r="C560" s="225"/>
      <c r="H560" s="1515"/>
      <c r="I560" s="1515"/>
      <c r="K560" s="1509"/>
      <c r="L560" s="2060"/>
      <c r="M560" s="2060"/>
      <c r="N560" s="2060"/>
      <c r="O560" s="2060"/>
      <c r="P560" s="2060"/>
      <c r="Q560" s="2060"/>
      <c r="R560" s="2060"/>
      <c r="S560" s="2060"/>
    </row>
    <row r="561" spans="1:26" s="1506" customFormat="1" ht="13.5" customHeight="1">
      <c r="A561" s="1510"/>
      <c r="B561" s="1510"/>
      <c r="C561" s="327"/>
      <c r="D561" s="1513" t="str">
        <f ca="1">FootnoteDRAFT</f>
        <v>Run date: 05-August-2018  02:34 PM.   DRAFT document. All data subject to change upon completion of additional analysis.</v>
      </c>
      <c r="F561" s="176"/>
      <c r="G561" s="1513"/>
      <c r="H561" s="368"/>
      <c r="I561" s="1512"/>
      <c r="J561" s="1512"/>
      <c r="K561" s="1509"/>
      <c r="L561" s="2060"/>
      <c r="M561" s="2060"/>
      <c r="N561" s="2060"/>
      <c r="O561" s="2060"/>
      <c r="P561" s="2060"/>
      <c r="Q561" s="2060"/>
      <c r="R561" s="2060"/>
      <c r="S561" s="2060"/>
      <c r="T561" s="2060"/>
      <c r="U561" s="2060"/>
      <c r="V561" s="2060"/>
      <c r="W561" s="2060"/>
      <c r="X561" s="2060"/>
      <c r="Y561" s="2060"/>
      <c r="Z561" s="2060"/>
    </row>
    <row r="562" spans="1:26" s="1506" customFormat="1">
      <c r="A562" s="1510" t="s">
        <v>17</v>
      </c>
      <c r="B562" s="1510"/>
      <c r="C562" s="1510"/>
      <c r="D562" s="1510"/>
      <c r="E562" s="683"/>
      <c r="F562" s="1510"/>
      <c r="G562" s="1510"/>
      <c r="H562" s="1510"/>
      <c r="I562" s="1547"/>
      <c r="J562" s="1546" t="str">
        <f ca="1">IF(D570="","Page end","Continue")</f>
        <v>Continue</v>
      </c>
      <c r="K562" s="1510"/>
      <c r="L562" s="2060"/>
      <c r="M562" s="2060"/>
      <c r="N562" s="2060"/>
      <c r="O562" s="2060"/>
      <c r="P562" s="2060"/>
      <c r="Q562" s="2060"/>
      <c r="R562" s="2060"/>
      <c r="S562" s="2060"/>
      <c r="T562" s="2060"/>
      <c r="U562" s="2060"/>
      <c r="V562" s="2060"/>
      <c r="W562" s="2060"/>
      <c r="X562" s="2060"/>
      <c r="Y562" s="2060"/>
      <c r="Z562" s="2060"/>
    </row>
    <row r="563" spans="1:26" ht="17.45">
      <c r="A563" s="1518"/>
      <c r="B563" s="1518"/>
      <c r="C563" s="292" t="str">
        <f ca="1">D568</f>
        <v>n/a</v>
      </c>
      <c r="D563" s="172"/>
      <c r="E563" s="674"/>
      <c r="F563" s="172"/>
      <c r="G563" s="172"/>
      <c r="H563" s="172"/>
      <c r="I563" s="1522"/>
      <c r="J563" s="389" t="str">
        <f>$J$1&amp;"."&amp;C568&amp;""</f>
        <v>Workpaper 6.17</v>
      </c>
      <c r="K563" s="1509"/>
      <c r="L563" s="1508"/>
      <c r="M563" s="1508"/>
      <c r="N563" s="1508"/>
      <c r="O563" s="2060"/>
      <c r="P563" s="1508"/>
      <c r="Q563" s="1508"/>
      <c r="R563" s="1508"/>
      <c r="S563" s="1508"/>
      <c r="T563" s="1508"/>
      <c r="U563" s="1508"/>
      <c r="V563" s="1508"/>
      <c r="W563" s="1508"/>
      <c r="X563" s="1508"/>
      <c r="Y563" s="1508"/>
      <c r="Z563" s="1508"/>
    </row>
    <row r="564" spans="1:26" ht="17.45">
      <c r="A564" s="1518"/>
      <c r="B564" s="1518"/>
      <c r="C564" s="839" t="s">
        <v>1699</v>
      </c>
      <c r="D564" s="172"/>
      <c r="E564" s="172"/>
      <c r="F564" s="172"/>
      <c r="G564" s="172"/>
      <c r="H564" s="172"/>
      <c r="I564" s="1522"/>
      <c r="J564" s="187"/>
      <c r="K564" s="1509"/>
      <c r="L564" s="1508"/>
      <c r="M564" s="1508"/>
      <c r="N564" s="1508"/>
      <c r="O564" s="2060"/>
      <c r="P564" s="1508"/>
      <c r="Q564" s="1508"/>
      <c r="R564" s="1508"/>
      <c r="S564" s="1508"/>
      <c r="T564" s="1508"/>
      <c r="U564" s="1508"/>
      <c r="V564" s="1508"/>
      <c r="W564" s="1508"/>
      <c r="X564" s="1508"/>
      <c r="Y564" s="1508"/>
      <c r="Z564" s="1508"/>
    </row>
    <row r="565" spans="1:26" ht="14.45">
      <c r="A565" s="1518"/>
      <c r="B565" s="1518"/>
      <c r="C565" s="366" t="str">
        <f ca="1">"(" &amp;F570&amp;" in "&amp;ScaleInput&amp;")"</f>
        <v>(USD in Millions)</v>
      </c>
      <c r="D565" s="1508"/>
      <c r="E565" s="170"/>
      <c r="F565" s="170"/>
      <c r="G565" s="170"/>
      <c r="H565" s="170"/>
      <c r="I565" s="1521"/>
      <c r="J565" s="1508"/>
      <c r="K565" s="1509"/>
      <c r="L565" s="1508"/>
      <c r="M565" s="1508"/>
      <c r="N565" s="1508"/>
      <c r="O565" s="2060"/>
      <c r="P565" s="1508"/>
      <c r="Q565" s="1508"/>
      <c r="R565" s="1508"/>
      <c r="S565" s="1508"/>
      <c r="T565" s="1508"/>
      <c r="U565" s="1508"/>
      <c r="V565" s="1508"/>
      <c r="W565" s="1508"/>
      <c r="X565" s="1508"/>
      <c r="Y565" s="1508"/>
      <c r="Z565" s="1508"/>
    </row>
    <row r="566" spans="1:26" ht="14.45">
      <c r="A566" s="1518"/>
      <c r="B566" s="1518"/>
      <c r="C566" s="366"/>
      <c r="D566" s="1508"/>
      <c r="E566" s="172"/>
      <c r="F566" s="172"/>
      <c r="G566" s="172"/>
      <c r="H566" s="172"/>
      <c r="I566" s="1522"/>
      <c r="J566" s="1508"/>
      <c r="K566" s="1509"/>
      <c r="L566" s="1508"/>
      <c r="M566" s="1508"/>
      <c r="N566" s="1508"/>
      <c r="O566" s="2060"/>
      <c r="P566" s="1508"/>
      <c r="Q566" s="1508"/>
      <c r="R566" s="1508"/>
      <c r="S566" s="1508"/>
      <c r="T566" s="1508"/>
      <c r="U566" s="1508"/>
      <c r="V566" s="1508"/>
      <c r="W566" s="1508"/>
      <c r="X566" s="1508"/>
      <c r="Y566" s="1508"/>
      <c r="Z566" s="1508"/>
    </row>
    <row r="567" spans="1:26">
      <c r="A567" s="1518"/>
      <c r="B567" s="1518"/>
      <c r="C567" s="1511"/>
      <c r="D567" s="1508"/>
      <c r="E567" s="172"/>
      <c r="F567" s="172"/>
      <c r="G567" s="172"/>
      <c r="H567" s="172"/>
      <c r="I567" s="1522"/>
      <c r="J567" s="1508"/>
      <c r="K567" s="1509"/>
      <c r="L567" s="1508"/>
      <c r="M567" s="1508"/>
      <c r="N567" s="1508"/>
      <c r="O567" s="2060"/>
      <c r="P567" s="1508"/>
      <c r="Q567" s="1508"/>
      <c r="R567" s="1508"/>
      <c r="S567" s="1508"/>
      <c r="T567" s="1508"/>
      <c r="U567" s="1508"/>
      <c r="V567" s="1508"/>
      <c r="W567" s="1508"/>
      <c r="X567" s="1508"/>
      <c r="Y567" s="1508"/>
      <c r="Z567" s="1508"/>
    </row>
    <row r="568" spans="1:26">
      <c r="A568" s="1518"/>
      <c r="B568" s="1518"/>
      <c r="C568" s="226">
        <f>C535+1</f>
        <v>17</v>
      </c>
      <c r="D568" s="179" t="str">
        <f ca="1">IF(D570=0,"n/a",IFERROR(_xll.ciqfunctions.udf.CIQ(D570,"IQ_COMPANY_NAME"),"n/a"))</f>
        <v>n/a</v>
      </c>
      <c r="E568" s="1508"/>
      <c r="F568" s="1508"/>
      <c r="G568" s="1508"/>
      <c r="H568" s="1508"/>
      <c r="I568" s="1515"/>
      <c r="J568" s="1508"/>
      <c r="K568" s="1509"/>
      <c r="L568" s="1508"/>
      <c r="M568" s="1508"/>
      <c r="N568" s="1508"/>
      <c r="O568" s="2060"/>
      <c r="P568" s="1508"/>
      <c r="Q568" s="1508"/>
      <c r="R568" s="1508"/>
      <c r="S568" s="1508"/>
      <c r="T568" s="1508"/>
      <c r="U568" s="1508"/>
      <c r="V568" s="1508"/>
      <c r="W568" s="1508"/>
      <c r="X568" s="1508"/>
      <c r="Y568" s="1508"/>
      <c r="Z568" s="1508"/>
    </row>
    <row r="569" spans="1:26">
      <c r="A569" s="1518"/>
      <c r="B569" s="1518"/>
      <c r="C569" s="225"/>
      <c r="D569" s="2258" t="s">
        <v>134</v>
      </c>
      <c r="E569" s="2258" t="s">
        <v>1708</v>
      </c>
      <c r="F569" s="2262" t="s">
        <v>167</v>
      </c>
      <c r="G569" s="2262" t="s">
        <v>1700</v>
      </c>
      <c r="H569" s="2263">
        <f>INDEX($W$9:$W$14,MATCH(H570,PeriodList,0))</f>
        <v>2000</v>
      </c>
      <c r="I569" s="1515"/>
      <c r="J569" s="201"/>
      <c r="K569" s="1509"/>
      <c r="L569" s="1508"/>
      <c r="M569" s="1508"/>
      <c r="N569" s="1508"/>
      <c r="O569" s="2060"/>
      <c r="P569" s="1508"/>
      <c r="Q569" s="1508"/>
      <c r="R569" s="1508"/>
      <c r="S569" s="1508"/>
      <c r="T569" s="1508"/>
      <c r="U569" s="1508"/>
      <c r="V569" s="1508"/>
      <c r="W569" s="1508"/>
      <c r="X569" s="1508"/>
      <c r="Y569" s="1508"/>
      <c r="Z569" s="1508"/>
    </row>
    <row r="570" spans="1:26">
      <c r="A570" s="1518"/>
      <c r="B570" s="1518"/>
      <c r="C570" s="227"/>
      <c r="D570" s="2249">
        <f ca="1">OFFSET(GCIdentifierTop,C568,0)</f>
        <v>0</v>
      </c>
      <c r="E570" s="2250" t="str">
        <f ca="1">IF($D570="","",IFERROR(_xll.ciqfunctions.udf.CIQ($D570,"IQ_PERIODDATE",H569,Valuation_date),"n/a"))</f>
        <v>n/a</v>
      </c>
      <c r="F570" s="2251" t="str">
        <f ca="1">IFERROR(IF(C568=0,SubjOutputCurrencyCode,IF(D570="","",IF(OutputCurrency="Filing",_xll.ciqfunctions.udf.CIQ($D570,"IQ_FILING_CURRENCY",500,Valuation_date,ReportType,DataMode),OutputCurrency))),OutputCurrency)</f>
        <v>USD</v>
      </c>
      <c r="G570" s="2264" t="e">
        <f ca="1">IF(D568="","",_xll.ciqfunctions.udf.CIQ(D570,"IQ_TOTAL_REV", H569, Valuation_date,ReportType,DataMode,F570,FXMode))</f>
        <v>#NAME?</v>
      </c>
      <c r="H570" s="2265" t="str">
        <f>$H$9</f>
        <v>LTM/LFQ</v>
      </c>
      <c r="I570" s="1523"/>
      <c r="J570" s="174"/>
      <c r="K570" s="1509"/>
      <c r="L570" s="1508"/>
      <c r="M570" s="1508"/>
      <c r="N570" s="1508"/>
      <c r="O570" s="2060"/>
      <c r="P570" s="1508"/>
      <c r="Q570" s="1508"/>
      <c r="R570" s="1508"/>
      <c r="S570" s="1508"/>
      <c r="T570" s="1508"/>
      <c r="U570" s="1508"/>
      <c r="V570" s="1508"/>
      <c r="W570" s="1508"/>
      <c r="X570" s="1508"/>
      <c r="Y570" s="1508"/>
      <c r="Z570" s="1508"/>
    </row>
    <row r="571" spans="1:26">
      <c r="A571" s="1518"/>
      <c r="B571" s="1518"/>
      <c r="C571" s="227"/>
      <c r="D571" s="1508"/>
      <c r="E571" s="1508"/>
      <c r="F571" s="1508"/>
      <c r="G571" s="1508"/>
      <c r="H571" s="1508"/>
      <c r="I571" s="1515"/>
      <c r="J571" s="221"/>
      <c r="K571" s="1509"/>
      <c r="L571" s="1508"/>
      <c r="M571" s="1508"/>
      <c r="N571" s="1508"/>
      <c r="O571" s="2060"/>
      <c r="P571" s="1508"/>
      <c r="Q571" s="1508"/>
      <c r="R571" s="1508"/>
      <c r="S571" s="1508"/>
      <c r="T571" s="1508"/>
      <c r="U571" s="1508"/>
      <c r="V571" s="1508"/>
      <c r="W571" s="1508"/>
      <c r="X571" s="1508"/>
      <c r="Y571" s="1508"/>
      <c r="Z571" s="1508"/>
    </row>
    <row r="572" spans="1:26">
      <c r="A572" s="1518"/>
      <c r="B572" s="1518"/>
      <c r="C572" s="227"/>
      <c r="D572" s="741"/>
      <c r="E572" s="744" t="e">
        <f ca="1">IF(D570="",Valuation_date,_xll.ciqfunctions.udf.CIQ(D570,"IQ_PERIODDATE",H569-IF(LEFT(H570,3)="LFY",1,4),Valuation_date))</f>
        <v>#NAME?</v>
      </c>
      <c r="F572" s="742" t="e">
        <f ca="1">IF(D570="",Valuation_date,_xll.ciqfunctions.udf.CIQ(D570,"IQ_PERIODDATE",H569,Valuation_date))</f>
        <v>#NAME?</v>
      </c>
      <c r="G572" s="741"/>
      <c r="H572" s="743" t="s">
        <v>1702</v>
      </c>
      <c r="I572" s="1587"/>
      <c r="J572" s="221"/>
      <c r="K572" s="1509"/>
      <c r="L572" s="1508"/>
      <c r="M572" s="1508"/>
      <c r="N572" s="1508"/>
      <c r="O572" s="2060"/>
      <c r="P572" s="1508"/>
      <c r="Q572" s="1508"/>
      <c r="R572" s="1508"/>
      <c r="S572" s="1508"/>
      <c r="T572" s="1508"/>
      <c r="U572" s="1508"/>
      <c r="V572" s="1508"/>
      <c r="W572" s="1508"/>
      <c r="X572" s="1508"/>
      <c r="Y572" s="1508"/>
      <c r="Z572" s="1508"/>
    </row>
    <row r="573" spans="1:26">
      <c r="A573" s="1518"/>
      <c r="B573" s="1518"/>
      <c r="C573" s="227"/>
      <c r="D573" s="2254" t="s">
        <v>1703</v>
      </c>
      <c r="E573" s="2255" t="s">
        <v>1458</v>
      </c>
      <c r="F573" s="2255" t="s">
        <v>1458</v>
      </c>
      <c r="G573" s="2255" t="s">
        <v>1704</v>
      </c>
      <c r="H573" s="2255" t="s">
        <v>1705</v>
      </c>
      <c r="I573" s="2256" t="s">
        <v>1706</v>
      </c>
      <c r="J573" s="222"/>
      <c r="K573" s="1509"/>
      <c r="L573" s="1508"/>
      <c r="M573" s="1508"/>
      <c r="N573" s="1508"/>
      <c r="O573" s="2060"/>
      <c r="P573" s="1508"/>
      <c r="Q573" s="1508"/>
      <c r="R573" s="1508"/>
      <c r="S573" s="1508"/>
      <c r="T573" s="1508"/>
      <c r="U573" s="1508"/>
      <c r="V573" s="1508"/>
      <c r="W573" s="1508"/>
      <c r="X573" s="1508"/>
      <c r="Y573" s="1508"/>
      <c r="Z573" s="1508"/>
    </row>
    <row r="574" spans="1:26">
      <c r="A574" s="1518" t="e">
        <f t="shared" ref="A574:A586" ca="1" si="34">IF(D574="","n","")</f>
        <v>#NAME?</v>
      </c>
      <c r="B574" s="1518"/>
      <c r="C574" s="227">
        <v>1</v>
      </c>
      <c r="D574" s="223" t="e">
        <f ca="1">IF(D568="","",IF(ISNUMBER(_xll.ciqfunctions.udf.CIQ(D570,"IQ_BUS_SEG_NAME", H569, Valuation_date, , , , , $C574)),"",_xll.ciqfunctions.udf.CIQ(D570,"IQ_BUS_SEG_NAME", H569, Valuation_date, , , , , $C574)))</f>
        <v>#NAME?</v>
      </c>
      <c r="E574" s="187" t="e">
        <f ca="1">IF(D568="","",IF(D574="","",_xll.ciqfunctions.udf.CIQ(D570,"IQ_BUS_SEG_REV", H569-1, Valuation_date, ReportType,DataMode, F570,FXMode, C574)*Scale))</f>
        <v>#NAME?</v>
      </c>
      <c r="F574" s="187" t="e">
        <f ca="1">IF(D568="","",IF(D574="","",_xll.ciqfunctions.udf.CIQ(D570,"IQ_BUS_SEG_REV", H569, Valuation_date, ReportType,DataMode, F570,FXMode, $C574)*Scale))</f>
        <v>#NAME?</v>
      </c>
      <c r="G574" s="274" t="e">
        <f ca="1">IF(D574="","",IFERROR(F574/F589,"n/a"))</f>
        <v>#NAME?</v>
      </c>
      <c r="H574" s="274" t="e">
        <f ca="1">IF(D574="","",IFERROR(F574/E574-1,"n/a"))</f>
        <v>#NAME?</v>
      </c>
      <c r="I574" s="1524" t="e">
        <f ca="1">IF(D568="","",IF(D574="","",_xll.ciqfunctions.udf.CIQ(D570,"IQ_BUS_SEG_DESCRIPTION", H569, Valuation_date, , , , , $C574)))</f>
        <v>#NAME?</v>
      </c>
      <c r="J574" s="175"/>
      <c r="K574" s="1509"/>
      <c r="L574" s="1508"/>
      <c r="M574" s="1508"/>
      <c r="N574" s="1508"/>
      <c r="O574" s="2060"/>
      <c r="P574" s="1508"/>
      <c r="Q574" s="1508"/>
      <c r="R574" s="1508"/>
      <c r="S574" s="1508"/>
      <c r="T574" s="1508"/>
      <c r="U574" s="1508"/>
      <c r="V574" s="1508"/>
      <c r="W574" s="1508"/>
      <c r="X574" s="1508"/>
      <c r="Y574" s="1508"/>
      <c r="Z574" s="1508"/>
    </row>
    <row r="575" spans="1:26">
      <c r="A575" s="1518" t="e">
        <f t="shared" ca="1" si="34"/>
        <v>#NAME?</v>
      </c>
      <c r="B575" s="1518"/>
      <c r="C575" s="227">
        <v>2</v>
      </c>
      <c r="D575" s="223" t="e">
        <f ca="1">IF(D568="","",IF(ISNUMBER(_xll.ciqfunctions.udf.CIQ(D570,"IQ_BUS_SEG_NAME", H569, Valuation_date, , , , , $C575)),"",_xll.ciqfunctions.udf.CIQ(D570,"IQ_BUS_SEG_NAME", H569, Valuation_date, , , , , $C575)))</f>
        <v>#NAME?</v>
      </c>
      <c r="E575" s="187" t="e">
        <f ca="1">IF(D568="","",IF(D575="","",_xll.ciqfunctions.udf.CIQ(D570,"IQ_BUS_SEG_REV", H569-1, Valuation_date, ReportType,DataMode, F570,FXMode, C575)*Scale))</f>
        <v>#NAME?</v>
      </c>
      <c r="F575" s="187" t="e">
        <f ca="1">IF(D568="","",IF(D575="","",_xll.ciqfunctions.udf.CIQ(D570,"IQ_BUS_SEG_REV", H569, Valuation_date, ReportType,DataMode, F570,FXMode, $C575)*Scale))</f>
        <v>#NAME?</v>
      </c>
      <c r="G575" s="274" t="e">
        <f ca="1">IF(D575="","",IFERROR(F575/F589,"n/a"))</f>
        <v>#NAME?</v>
      </c>
      <c r="H575" s="274" t="e">
        <f t="shared" ref="H575:H588" ca="1" si="35">IF(D575="","",IFERROR(F575/E575-1,"n/a"))</f>
        <v>#NAME?</v>
      </c>
      <c r="I575" s="1524" t="e">
        <f ca="1">IF(D568="","",IF(D575="","",_xll.ciqfunctions.udf.CIQ(D570,"IQ_BUS_SEG_DESCRIPTION", H569, Valuation_date, , , , , $C575)))</f>
        <v>#NAME?</v>
      </c>
      <c r="J575" s="175"/>
      <c r="K575" s="1509"/>
      <c r="L575" s="1508"/>
      <c r="M575" s="1508"/>
      <c r="N575" s="1508"/>
      <c r="O575" s="2060"/>
      <c r="P575" s="1508"/>
      <c r="Q575" s="1508"/>
      <c r="R575" s="1508"/>
      <c r="S575" s="1508"/>
      <c r="T575" s="1508"/>
      <c r="U575" s="1508"/>
      <c r="V575" s="1508"/>
      <c r="W575" s="1508"/>
      <c r="X575" s="1508"/>
      <c r="Y575" s="1508"/>
      <c r="Z575" s="1508"/>
    </row>
    <row r="576" spans="1:26">
      <c r="A576" s="1518" t="e">
        <f t="shared" ca="1" si="34"/>
        <v>#NAME?</v>
      </c>
      <c r="B576" s="1518"/>
      <c r="C576" s="227">
        <v>3</v>
      </c>
      <c r="D576" s="223" t="e">
        <f ca="1">IF(D568="","",IF(ISNUMBER(_xll.ciqfunctions.udf.CIQ(D570,"IQ_BUS_SEG_NAME", H569, Valuation_date, , , , , $C576)),"",_xll.ciqfunctions.udf.CIQ(D570,"IQ_BUS_SEG_NAME", H569, Valuation_date, , , , , $C576)))</f>
        <v>#NAME?</v>
      </c>
      <c r="E576" s="187" t="e">
        <f ca="1">IF(D568="","",IF(D576="","",_xll.ciqfunctions.udf.CIQ(D570,"IQ_BUS_SEG_REV", H569-1, Valuation_date, ReportType,DataMode, F570,FXMode, C576)*Scale))</f>
        <v>#NAME?</v>
      </c>
      <c r="F576" s="187" t="e">
        <f ca="1">IF(D568="","",IF(D576="","",_xll.ciqfunctions.udf.CIQ(D570,"IQ_BUS_SEG_REV", H569, Valuation_date, ReportType,DataMode, F570,FXMode, $C576)*Scale))</f>
        <v>#NAME?</v>
      </c>
      <c r="G576" s="274" t="e">
        <f ca="1">IF(D576="","",IFERROR(F576/F589,"n/a"))</f>
        <v>#NAME?</v>
      </c>
      <c r="H576" s="274" t="e">
        <f t="shared" ca="1" si="35"/>
        <v>#NAME?</v>
      </c>
      <c r="I576" s="1524" t="e">
        <f ca="1">IF(D568="","",IF(D576="","",_xll.ciqfunctions.udf.CIQ(D570,"IQ_BUS_SEG_DESCRIPTION", H569, Valuation_date, , , , , $C576)))</f>
        <v>#NAME?</v>
      </c>
      <c r="J576" s="175"/>
      <c r="K576" s="1509"/>
      <c r="L576" s="1508"/>
      <c r="M576" s="1508"/>
      <c r="N576" s="1508"/>
      <c r="O576" s="2060"/>
      <c r="P576" s="1508"/>
      <c r="Q576" s="1508"/>
      <c r="R576" s="1508"/>
      <c r="S576" s="1508"/>
      <c r="T576" s="1508"/>
      <c r="U576" s="1508"/>
      <c r="V576" s="1508"/>
      <c r="W576" s="1508"/>
      <c r="X576" s="1508"/>
      <c r="Y576" s="1508"/>
      <c r="Z576" s="1508"/>
    </row>
    <row r="577" spans="1:13">
      <c r="A577" s="1518" t="e">
        <f t="shared" ca="1" si="34"/>
        <v>#NAME?</v>
      </c>
      <c r="B577" s="1518"/>
      <c r="C577" s="227">
        <v>4</v>
      </c>
      <c r="D577" s="223" t="e">
        <f ca="1">IF(D568="","",IF(ISNUMBER(_xll.ciqfunctions.udf.CIQ(D570,"IQ_BUS_SEG_NAME", H569, Valuation_date, , , , , $C577)),"",_xll.ciqfunctions.udf.CIQ(D570,"IQ_BUS_SEG_NAME", H569, Valuation_date, , , , , $C577)))</f>
        <v>#NAME?</v>
      </c>
      <c r="E577" s="187" t="e">
        <f ca="1">IF(D568="","",IF(D577="","",_xll.ciqfunctions.udf.CIQ(D570,"IQ_BUS_SEG_REV", H569-1, Valuation_date, ReportType,DataMode, F570,FXMode, C577)*Scale))</f>
        <v>#NAME?</v>
      </c>
      <c r="F577" s="187" t="e">
        <f ca="1">IF(D568="","",IF(D577="","",_xll.ciqfunctions.udf.CIQ(D570,"IQ_BUS_SEG_REV", H569, Valuation_date, ReportType,DataMode, F570,FXMode, $C577)*Scale))</f>
        <v>#NAME?</v>
      </c>
      <c r="G577" s="274" t="e">
        <f ca="1">IF(D577="","",IFERROR(F577/F589,"n/a"))</f>
        <v>#NAME?</v>
      </c>
      <c r="H577" s="274" t="e">
        <f t="shared" ca="1" si="35"/>
        <v>#NAME?</v>
      </c>
      <c r="I577" s="1524" t="e">
        <f ca="1">IF(D568="","",IF(D577="","",_xll.ciqfunctions.udf.CIQ(D570,"IQ_BUS_SEG_DESCRIPTION", H569, Valuation_date, , , , , $C577)))</f>
        <v>#NAME?</v>
      </c>
      <c r="J577" s="175"/>
      <c r="K577" s="1509"/>
      <c r="L577" s="1508"/>
      <c r="M577" s="1508"/>
    </row>
    <row r="578" spans="1:13">
      <c r="A578" s="1518" t="e">
        <f t="shared" ca="1" si="34"/>
        <v>#NAME?</v>
      </c>
      <c r="B578" s="1518"/>
      <c r="C578" s="227">
        <v>5</v>
      </c>
      <c r="D578" s="223" t="e">
        <f ca="1">IF(D568="","",IF(ISNUMBER(_xll.ciqfunctions.udf.CIQ(D570,"IQ_BUS_SEG_NAME", H569, Valuation_date, , , , , $C578)),"",_xll.ciqfunctions.udf.CIQ(D570,"IQ_BUS_SEG_NAME", H569, Valuation_date, , , , , $C578)))</f>
        <v>#NAME?</v>
      </c>
      <c r="E578" s="187" t="e">
        <f ca="1">IF(D568="","",IF(D578="","",_xll.ciqfunctions.udf.CIQ(D570,"IQ_BUS_SEG_REV", H569-1, Valuation_date, ReportType,DataMode, F570,FXMode, C578)*Scale))</f>
        <v>#NAME?</v>
      </c>
      <c r="F578" s="187" t="e">
        <f ca="1">IF(D568="","",IF(D578="","",_xll.ciqfunctions.udf.CIQ(D570,"IQ_BUS_SEG_REV", H569, Valuation_date, ReportType,DataMode, F570,FXMode, $C578)*Scale))</f>
        <v>#NAME?</v>
      </c>
      <c r="G578" s="274" t="e">
        <f ca="1">IF(D578="","",IFERROR(F578/F589,"n/a"))</f>
        <v>#NAME?</v>
      </c>
      <c r="H578" s="274" t="e">
        <f t="shared" ca="1" si="35"/>
        <v>#NAME?</v>
      </c>
      <c r="I578" s="1524" t="e">
        <f ca="1">IF(D568="","",IF(D578="","",_xll.ciqfunctions.udf.CIQ(D570,"IQ_BUS_SEG_DESCRIPTION", H569, Valuation_date, , , , , $C578)))</f>
        <v>#NAME?</v>
      </c>
      <c r="J578" s="224"/>
      <c r="K578" s="1509"/>
      <c r="L578" s="1508"/>
      <c r="M578" s="1508"/>
    </row>
    <row r="579" spans="1:13">
      <c r="A579" s="1518" t="e">
        <f t="shared" ca="1" si="34"/>
        <v>#NAME?</v>
      </c>
      <c r="B579" s="1518"/>
      <c r="C579" s="227">
        <v>6</v>
      </c>
      <c r="D579" s="223" t="e">
        <f ca="1">IF(D568="","",IF(ISNUMBER(_xll.ciqfunctions.udf.CIQ(D570,"IQ_BUS_SEG_NAME", H569, Valuation_date, , , , , $C579)),"",_xll.ciqfunctions.udf.CIQ(D570,"IQ_BUS_SEG_NAME", H569, Valuation_date, , , , , $C579)))</f>
        <v>#NAME?</v>
      </c>
      <c r="E579" s="187" t="e">
        <f ca="1">IF(D568="","",IF(D579="","",_xll.ciqfunctions.udf.CIQ(D570,"IQ_BUS_SEG_REV", H569-1, Valuation_date, ReportType,DataMode, F570,FXMode, C579)*Scale))</f>
        <v>#NAME?</v>
      </c>
      <c r="F579" s="187" t="e">
        <f ca="1">IF(D568="","",IF(D579="","",_xll.ciqfunctions.udf.CIQ(D570,"IQ_BUS_SEG_REV", H569, Valuation_date, ReportType,DataMode, F570,FXMode, $C579)*Scale))</f>
        <v>#NAME?</v>
      </c>
      <c r="G579" s="274" t="e">
        <f ca="1">IF(D579="","",IFERROR(F579/F589,"n/a"))</f>
        <v>#NAME?</v>
      </c>
      <c r="H579" s="274" t="e">
        <f t="shared" ca="1" si="35"/>
        <v>#NAME?</v>
      </c>
      <c r="I579" s="1524" t="e">
        <f ca="1">IF(D568="","",IF(D579="","",_xll.ciqfunctions.udf.CIQ(D570,"IQ_BUS_SEG_DESCRIPTION", H569, Valuation_date, , , , , $C579)))</f>
        <v>#NAME?</v>
      </c>
      <c r="J579" s="224"/>
      <c r="K579" s="1509"/>
      <c r="L579" s="1508"/>
      <c r="M579" s="1508"/>
    </row>
    <row r="580" spans="1:13">
      <c r="A580" s="1518" t="e">
        <f t="shared" ca="1" si="34"/>
        <v>#NAME?</v>
      </c>
      <c r="B580" s="1518"/>
      <c r="C580" s="227">
        <v>7</v>
      </c>
      <c r="D580" s="223" t="e">
        <f ca="1">IF(D568="","",IF(ISNUMBER(_xll.ciqfunctions.udf.CIQ(D570,"IQ_BUS_SEG_NAME", H569, Valuation_date, , , , , $C580)),"",_xll.ciqfunctions.udf.CIQ(D570,"IQ_BUS_SEG_NAME", H569, Valuation_date, , , , , $C580)))</f>
        <v>#NAME?</v>
      </c>
      <c r="E580" s="187" t="e">
        <f ca="1">IF(D568="","",IF(D580="","",_xll.ciqfunctions.udf.CIQ(D570,"IQ_BUS_SEG_REV", H569-1, Valuation_date, ReportType,DataMode, F570,FXMode, C580)*Scale))</f>
        <v>#NAME?</v>
      </c>
      <c r="F580" s="187" t="e">
        <f ca="1">IF(D568="","",IF(D580="","",_xll.ciqfunctions.udf.CIQ(D570,"IQ_BUS_SEG_REV", H569, Valuation_date, ReportType,DataMode, F570,FXMode, $C580)*Scale))</f>
        <v>#NAME?</v>
      </c>
      <c r="G580" s="274" t="e">
        <f ca="1">IF(D580="","",IFERROR(F580/F589,"n/a"))</f>
        <v>#NAME?</v>
      </c>
      <c r="H580" s="274" t="e">
        <f t="shared" ca="1" si="35"/>
        <v>#NAME?</v>
      </c>
      <c r="I580" s="1524" t="e">
        <f ca="1">IF(D568="","",IF(D580="","",_xll.ciqfunctions.udf.CIQ(D570,"IQ_BUS_SEG_DESCRIPTION", H569, Valuation_date, , , , , $C580)))</f>
        <v>#NAME?</v>
      </c>
      <c r="J580" s="221"/>
      <c r="K580" s="1509"/>
      <c r="L580" s="1508"/>
      <c r="M580" s="1508"/>
    </row>
    <row r="581" spans="1:13">
      <c r="A581" s="1518" t="e">
        <f t="shared" ca="1" si="34"/>
        <v>#NAME?</v>
      </c>
      <c r="B581" s="1518"/>
      <c r="C581" s="227">
        <v>8</v>
      </c>
      <c r="D581" s="223" t="e">
        <f ca="1">IF(D568="","",IF(ISNUMBER(_xll.ciqfunctions.udf.CIQ(D570,"IQ_BUS_SEG_NAME", H569, Valuation_date, , , , , $C581)),"",_xll.ciqfunctions.udf.CIQ(D570,"IQ_BUS_SEG_NAME", H569, Valuation_date, , , , , $C581)))</f>
        <v>#NAME?</v>
      </c>
      <c r="E581" s="187" t="e">
        <f ca="1">IF(D568="","",IF(D581="","",_xll.ciqfunctions.udf.CIQ(D570,"IQ_BUS_SEG_REV", H569-1, Valuation_date, ReportType,DataMode, F570,FXMode, C581)*Scale))</f>
        <v>#NAME?</v>
      </c>
      <c r="F581" s="187" t="e">
        <f ca="1">IF(D568="","",IF(D581="","",_xll.ciqfunctions.udf.CIQ(D570,"IQ_BUS_SEG_REV", H569, Valuation_date, ReportType,DataMode, F570,FXMode, $C581)*Scale))</f>
        <v>#NAME?</v>
      </c>
      <c r="G581" s="274" t="e">
        <f ca="1">IF(D581="","",IFERROR(F581/F589,"n/a"))</f>
        <v>#NAME?</v>
      </c>
      <c r="H581" s="274" t="e">
        <f t="shared" ca="1" si="35"/>
        <v>#NAME?</v>
      </c>
      <c r="I581" s="1524" t="e">
        <f ca="1">IF(D568="","",IF(D581="","",_xll.ciqfunctions.udf.CIQ(D570,"IQ_BUS_SEG_DESCRIPTION", H569, Valuation_date, , , , , $C581)))</f>
        <v>#NAME?</v>
      </c>
      <c r="J581" s="222"/>
      <c r="K581" s="1509"/>
      <c r="L581" s="1508"/>
      <c r="M581" s="1508"/>
    </row>
    <row r="582" spans="1:13">
      <c r="A582" s="1518" t="e">
        <f t="shared" ca="1" si="34"/>
        <v>#NAME?</v>
      </c>
      <c r="B582" s="1518"/>
      <c r="C582" s="227">
        <v>9</v>
      </c>
      <c r="D582" s="223" t="e">
        <f ca="1">IF(D568="","",IF(ISNUMBER(_xll.ciqfunctions.udf.CIQ(D570,"IQ_BUS_SEG_NAME", H569, Valuation_date, , , , , $C582)),"",_xll.ciqfunctions.udf.CIQ(D570,"IQ_BUS_SEG_NAME", H569, Valuation_date, , , , , $C582)))</f>
        <v>#NAME?</v>
      </c>
      <c r="E582" s="187" t="e">
        <f ca="1">IF(D568="","",IF(D582="","",_xll.ciqfunctions.udf.CIQ(D570,"IQ_BUS_SEG_REV", H569-1, Valuation_date, ReportType,DataMode, F570,FXMode, C582)*Scale))</f>
        <v>#NAME?</v>
      </c>
      <c r="F582" s="187" t="e">
        <f ca="1">IF(D568="","",IF(D582="","",_xll.ciqfunctions.udf.CIQ(D570,"IQ_BUS_SEG_REV", H569, Valuation_date, ReportType,DataMode, F570,FXMode, $C582)*Scale))</f>
        <v>#NAME?</v>
      </c>
      <c r="G582" s="274" t="e">
        <f ca="1">IF(D582="","",IFERROR(F582/F589,"n/a"))</f>
        <v>#NAME?</v>
      </c>
      <c r="H582" s="274" t="e">
        <f t="shared" ca="1" si="35"/>
        <v>#NAME?</v>
      </c>
      <c r="I582" s="1524" t="e">
        <f ca="1">IF(D568="","",IF(D582="","",_xll.ciqfunctions.udf.CIQ(D570,"IQ_BUS_SEG_DESCRIPTION", H569, Valuation_date, , , , , $C582)))</f>
        <v>#NAME?</v>
      </c>
      <c r="J582" s="222"/>
      <c r="K582" s="1509"/>
      <c r="L582" s="1508"/>
      <c r="M582" s="1508"/>
    </row>
    <row r="583" spans="1:13">
      <c r="A583" s="1518" t="e">
        <f t="shared" ca="1" si="34"/>
        <v>#NAME?</v>
      </c>
      <c r="B583" s="1518"/>
      <c r="C583" s="227">
        <v>10</v>
      </c>
      <c r="D583" s="223" t="e">
        <f ca="1">IF(D568="","",IF(ISNUMBER(_xll.ciqfunctions.udf.CIQ(D570,"IQ_BUS_SEG_NAME", H569, Valuation_date, , , , , $C583)),"",_xll.ciqfunctions.udf.CIQ(D570,"IQ_BUS_SEG_NAME", H569, Valuation_date, , , , , $C583)))</f>
        <v>#NAME?</v>
      </c>
      <c r="E583" s="187" t="e">
        <f ca="1">IF(D568="","",IF(D583="","",_xll.ciqfunctions.udf.CIQ(D570,"IQ_BUS_SEG_REV", H569-1, Valuation_date, ReportType,DataMode, F570,FXMode, C583)*Scale))</f>
        <v>#NAME?</v>
      </c>
      <c r="F583" s="187" t="e">
        <f ca="1">IF(D568="","",IF(D583="","",_xll.ciqfunctions.udf.CIQ(D570,"IQ_BUS_SEG_REV", H569, Valuation_date, ReportType,DataMode, F570,FXMode, $C583)*Scale))</f>
        <v>#NAME?</v>
      </c>
      <c r="G583" s="274" t="e">
        <f ca="1">IF(D583="","",IFERROR(F583/F589,"n/a"))</f>
        <v>#NAME?</v>
      </c>
      <c r="H583" s="284" t="e">
        <f t="shared" ca="1" si="35"/>
        <v>#NAME?</v>
      </c>
      <c r="I583" s="1524" t="e">
        <f ca="1">IF(D568="","",IF(D583="","",_xll.ciqfunctions.udf.CIQ(D570,"IQ_BUS_SEG_DESCRIPTION", H569, Valuation_date, , , , , $C583)))</f>
        <v>#NAME?</v>
      </c>
      <c r="J583" s="175"/>
      <c r="K583" s="1509"/>
      <c r="L583" s="1508"/>
      <c r="M583" s="1508"/>
    </row>
    <row r="584" spans="1:13">
      <c r="A584" s="1518" t="e">
        <f t="shared" ca="1" si="34"/>
        <v>#NAME?</v>
      </c>
      <c r="B584" s="1518"/>
      <c r="C584" s="227">
        <v>11</v>
      </c>
      <c r="D584" s="223" t="e">
        <f ca="1">IF(D568="","",IF(ISNUMBER(_xll.ciqfunctions.udf.CIQ(D570,"IQ_BUS_SEG_NAME", H569, Valuation_date, , , , , $C584)),"",_xll.ciqfunctions.udf.CIQ(D570,"IQ_BUS_SEG_NAME", H569, Valuation_date, , , , , $C584)))</f>
        <v>#NAME?</v>
      </c>
      <c r="E584" s="187" t="e">
        <f ca="1">IF(D568="","",IF(D584="","",_xll.ciqfunctions.udf.CIQ(D570,"IQ_BUS_SEG_REV", H569-1, Valuation_date, ReportType,DataMode, F570,FXMode, C584)*Scale))</f>
        <v>#NAME?</v>
      </c>
      <c r="F584" s="187" t="e">
        <f ca="1">IF(D568="","",IF(D584="","",_xll.ciqfunctions.udf.CIQ(D570,"IQ_BUS_SEG_REV", H569, Valuation_date, ReportType,DataMode, F570,FXMode, $C584)*Scale))</f>
        <v>#NAME?</v>
      </c>
      <c r="G584" s="274" t="e">
        <f ca="1">IF(D584="","",IFERROR(F584/F589,"n/a"))</f>
        <v>#NAME?</v>
      </c>
      <c r="H584" s="284" t="e">
        <f t="shared" ca="1" si="35"/>
        <v>#NAME?</v>
      </c>
      <c r="I584" s="1524" t="e">
        <f ca="1">IF(D568="","",IF(D584="","",_xll.ciqfunctions.udf.CIQ(D570,"IQ_BUS_SEG_DESCRIPTION", H569, Valuation_date, , , , , $C584)))</f>
        <v>#NAME?</v>
      </c>
      <c r="J584" s="222"/>
      <c r="K584" s="1509"/>
      <c r="L584" s="1508"/>
      <c r="M584" s="1508"/>
    </row>
    <row r="585" spans="1:13">
      <c r="A585" s="1518" t="e">
        <f t="shared" ca="1" si="34"/>
        <v>#NAME?</v>
      </c>
      <c r="B585" s="1518"/>
      <c r="C585" s="227">
        <v>12</v>
      </c>
      <c r="D585" s="223" t="e">
        <f ca="1">IF(D568="","",IF(ISNUMBER(_xll.ciqfunctions.udf.CIQ(D570,"IQ_BUS_SEG_NAME", H569, Valuation_date, , , , , $C585)),"",_xll.ciqfunctions.udf.CIQ(D570,"IQ_BUS_SEG_NAME", H569, Valuation_date, , , , , $C585)))</f>
        <v>#NAME?</v>
      </c>
      <c r="E585" s="187" t="e">
        <f ca="1">IF(D568="","",IF(D585="","",_xll.ciqfunctions.udf.CIQ(D570,"IQ_BUS_SEG_REV", H569-1, Valuation_date, ReportType,DataMode, F570,FXMode, C585)*Scale))</f>
        <v>#NAME?</v>
      </c>
      <c r="F585" s="187" t="e">
        <f ca="1">IF(D568="","",IF(D585="","",_xll.ciqfunctions.udf.CIQ(D570,"IQ_BUS_SEG_REV", H569, Valuation_date, ReportType,DataMode, F570,FXMode, $C585)*Scale))</f>
        <v>#NAME?</v>
      </c>
      <c r="G585" s="274" t="e">
        <f ca="1">IF(D585="","",IFERROR(F585/F589,"n/a"))</f>
        <v>#NAME?</v>
      </c>
      <c r="H585" s="284" t="e">
        <f t="shared" ca="1" si="35"/>
        <v>#NAME?</v>
      </c>
      <c r="I585" s="1524" t="e">
        <f ca="1">IF(D568="","",IF(D585="","",_xll.ciqfunctions.udf.CIQ(D570,"IQ_BUS_SEG_DESCRIPTION", H569, Valuation_date, , , , , $C585)))</f>
        <v>#NAME?</v>
      </c>
      <c r="J585" s="222"/>
      <c r="K585" s="1509"/>
      <c r="L585" s="1508"/>
      <c r="M585" s="1508"/>
    </row>
    <row r="586" spans="1:13">
      <c r="A586" s="1518" t="e">
        <f t="shared" ca="1" si="34"/>
        <v>#NAME?</v>
      </c>
      <c r="B586" s="1518"/>
      <c r="C586" s="227">
        <v>13</v>
      </c>
      <c r="D586" s="223" t="e">
        <f ca="1">IF(D568="","",IF(ISNUMBER(_xll.ciqfunctions.udf.CIQ(D570,"IQ_BUS_SEG_NAME", H569, Valuation_date, , , , , $C586)),"",_xll.ciqfunctions.udf.CIQ(D570,"IQ_BUS_SEG_NAME", H569, Valuation_date, , , , , $C586)))</f>
        <v>#NAME?</v>
      </c>
      <c r="E586" s="187" t="e">
        <f ca="1">IF(D568="","",IF(D586="","",_xll.ciqfunctions.udf.CIQ(D570,"IQ_BUS_SEG_REV", H569-1, Valuation_date, ReportType,DataMode, F570,FXMode, C586)*Scale))</f>
        <v>#NAME?</v>
      </c>
      <c r="F586" s="187" t="e">
        <f ca="1">IF(D568="","",IF(D586="","",_xll.ciqfunctions.udf.CIQ(D570,"IQ_BUS_SEG_REV", H569, Valuation_date, ReportType,DataMode, F570,FXMode, $C586)*Scale))</f>
        <v>#NAME?</v>
      </c>
      <c r="G586" s="274" t="e">
        <f ca="1">IF(D586="","",IFERROR(F586/F589,"n/a"))</f>
        <v>#NAME?</v>
      </c>
      <c r="H586" s="284" t="e">
        <f t="shared" ca="1" si="35"/>
        <v>#NAME?</v>
      </c>
      <c r="I586" s="1524" t="e">
        <f ca="1">IF(D568="","",IF(D586="","",_xll.ciqfunctions.udf.CIQ(D570,"IQ_BUS_SEG_DESCRIPTION", H569, Valuation_date, , , , , $C586)))</f>
        <v>#NAME?</v>
      </c>
      <c r="J586" s="222"/>
      <c r="K586" s="1509"/>
      <c r="L586" s="1508"/>
      <c r="M586" s="1508"/>
    </row>
    <row r="587" spans="1:13">
      <c r="A587" s="1518" t="e">
        <f ca="1">IF(D587="","n","")</f>
        <v>#NAME?</v>
      </c>
      <c r="B587" s="1518"/>
      <c r="C587" s="227">
        <v>14</v>
      </c>
      <c r="D587" s="223" t="e">
        <f ca="1">IF(D568="","",IF(ISNUMBER(_xll.ciqfunctions.udf.CIQ(D570,"IQ_BUS_SEG_NAME", H569, Valuation_date, , , , , $C587)),"",_xll.ciqfunctions.udf.CIQ(D570,"IQ_BUS_SEG_NAME", H569, Valuation_date, , , , , $C587)))</f>
        <v>#NAME?</v>
      </c>
      <c r="E587" s="187" t="e">
        <f ca="1">IF(D568="","",IF(D587="","",_xll.ciqfunctions.udf.CIQ(D570,"IQ_BUS_SEG_REV", H569-1, Valuation_date, ReportType,DataMode, F570,FXMode, C587)*Scale))</f>
        <v>#NAME?</v>
      </c>
      <c r="F587" s="187" t="e">
        <f ca="1">IF(D568="","",IF(D587="","",_xll.ciqfunctions.udf.CIQ(D570,"IQ_BUS_SEG_REV", H569, Valuation_date, ReportType,DataMode, F570,FXMode, $C587)*Scale))</f>
        <v>#NAME?</v>
      </c>
      <c r="G587" s="274" t="e">
        <f ca="1">IF(D587="","",IFERROR(F587/F589,"n/a"))</f>
        <v>#NAME?</v>
      </c>
      <c r="H587" s="284" t="e">
        <f t="shared" ca="1" si="35"/>
        <v>#NAME?</v>
      </c>
      <c r="I587" s="1524" t="e">
        <f ca="1">IF(D568="","",IF(D587="","",_xll.ciqfunctions.udf.CIQ(D570,"IQ_BUS_SEG_DESCRIPTION", H569, Valuation_date, , , , , $C587)))</f>
        <v>#NAME?</v>
      </c>
      <c r="J587" s="222"/>
      <c r="K587" s="1509"/>
      <c r="L587" s="1508"/>
      <c r="M587" s="1508"/>
    </row>
    <row r="588" spans="1:13">
      <c r="A588" s="1518" t="e">
        <f ca="1">IF(D588="","n","")</f>
        <v>#NAME?</v>
      </c>
      <c r="B588" s="1518"/>
      <c r="C588" s="227">
        <v>15</v>
      </c>
      <c r="D588" s="223" t="e">
        <f ca="1">IF(D568="","",IF(ISNUMBER(_xll.ciqfunctions.udf.CIQ(D570,"IQ_BUS_SEG_NAME", H569, Valuation_date, , , , , $C588)),"",_xll.ciqfunctions.udf.CIQ(D570,"IQ_BUS_SEG_NAME", H569, Valuation_date, , , , , $C588)))</f>
        <v>#NAME?</v>
      </c>
      <c r="E588" s="187" t="e">
        <f ca="1">IF(D568="","",IF(D588="","",_xll.ciqfunctions.udf.CIQ(D570,"IQ_BUS_SEG_REV", H569-1, Valuation_date, ReportType,DataMode, F570,FXMode, C588)*Scale))</f>
        <v>#NAME?</v>
      </c>
      <c r="F588" s="187" t="e">
        <f ca="1">IF(D568="","",IF(D588="","",_xll.ciqfunctions.udf.CIQ(D570,"IQ_BUS_SEG_REV", H569, Valuation_date, ReportType,DataMode, F570,FXMode, $C588)*Scale))</f>
        <v>#NAME?</v>
      </c>
      <c r="G588" s="274" t="e">
        <f ca="1">IF(D588="","",IFERROR(F588/F589,"n/a"))</f>
        <v>#NAME?</v>
      </c>
      <c r="H588" s="284" t="e">
        <f t="shared" ca="1" si="35"/>
        <v>#NAME?</v>
      </c>
      <c r="I588" s="1524" t="e">
        <f ca="1">IF(D568="","",IF(D588="","",_xll.ciqfunctions.udf.CIQ(D570,"IQ_BUS_SEG_DESCRIPTION", H569, Valuation_date, , , , , $C588)))</f>
        <v>#NAME?</v>
      </c>
      <c r="J588" s="222"/>
      <c r="K588" s="1509"/>
      <c r="L588" s="1508"/>
      <c r="M588" s="1508"/>
    </row>
    <row r="589" spans="1:13" ht="14.45" thickBot="1">
      <c r="A589" s="1518"/>
      <c r="B589" s="1518"/>
      <c r="C589" s="225"/>
      <c r="D589" s="220" t="s">
        <v>1248</v>
      </c>
      <c r="E589" s="220" t="e">
        <f ca="1">SUM(E574:E588)</f>
        <v>#NAME?</v>
      </c>
      <c r="F589" s="220" t="e">
        <f ca="1">SUM(F574:F588)</f>
        <v>#NAME?</v>
      </c>
      <c r="G589" s="2266" t="e">
        <f ca="1">SUM(G574:G588)</f>
        <v>#NAME?</v>
      </c>
      <c r="H589" s="2267" t="str">
        <f ca="1">IF(D589="","",IFERROR(F589/E589-1,"n/a"))</f>
        <v>n/a</v>
      </c>
      <c r="I589" s="1515"/>
      <c r="J589" s="222"/>
      <c r="K589" s="1509"/>
      <c r="L589" s="1508"/>
      <c r="M589" s="1508"/>
    </row>
    <row r="590" spans="1:13">
      <c r="A590" s="1518"/>
      <c r="B590" s="1518"/>
      <c r="C590" s="225"/>
      <c r="D590" s="187"/>
      <c r="E590" s="187"/>
      <c r="F590" s="274"/>
      <c r="G590" s="187"/>
      <c r="H590" s="284"/>
      <c r="I590" s="1515"/>
      <c r="J590" s="222"/>
      <c r="K590" s="1509"/>
      <c r="L590" s="1508"/>
      <c r="M590" s="1508"/>
    </row>
    <row r="591" spans="1:13">
      <c r="A591" s="1518"/>
      <c r="B591" s="1518"/>
      <c r="C591" s="1572"/>
      <c r="D591" s="1514" t="s">
        <v>1707</v>
      </c>
      <c r="E591" s="1579"/>
      <c r="F591" s="1575"/>
      <c r="G591" s="1514"/>
      <c r="H591" s="1575"/>
      <c r="I591" s="1571"/>
      <c r="J591" s="1574"/>
      <c r="K591" s="1509"/>
      <c r="L591" s="2060"/>
      <c r="M591" s="2060"/>
    </row>
    <row r="592" spans="1:13">
      <c r="A592" s="1518"/>
      <c r="B592" s="1518"/>
      <c r="C592" s="225"/>
      <c r="D592" s="1514" t="s">
        <v>1402</v>
      </c>
      <c r="E592" s="187"/>
      <c r="F592" s="274"/>
      <c r="G592" s="187"/>
      <c r="H592" s="284"/>
      <c r="I592" s="1515"/>
      <c r="J592" s="222"/>
      <c r="K592" s="1509"/>
      <c r="L592" s="1508"/>
      <c r="M592" s="1508"/>
    </row>
    <row r="593" spans="1:13">
      <c r="A593" s="1518"/>
      <c r="B593" s="1518"/>
      <c r="C593" s="225"/>
      <c r="D593" s="1508"/>
      <c r="E593" s="1508"/>
      <c r="F593" s="1508"/>
      <c r="G593" s="1508"/>
      <c r="H593" s="1515"/>
      <c r="I593" s="1515"/>
      <c r="J593" s="1508"/>
      <c r="K593" s="1509"/>
      <c r="L593" s="2060"/>
      <c r="M593" s="2060"/>
    </row>
    <row r="594" spans="1:13">
      <c r="A594" s="1510"/>
      <c r="B594" s="1510"/>
      <c r="C594" s="327"/>
      <c r="D594" s="1513" t="str">
        <f ca="1">FootnoteDRAFT</f>
        <v>Run date: 05-August-2018  02:34 PM.   DRAFT document. All data subject to change upon completion of additional analysis.</v>
      </c>
      <c r="E594" s="1506"/>
      <c r="F594" s="176"/>
      <c r="G594" s="1513"/>
      <c r="H594" s="368"/>
      <c r="I594" s="1512"/>
      <c r="J594" s="1512"/>
      <c r="K594" s="1509"/>
      <c r="L594" s="2060"/>
      <c r="M594" s="2060"/>
    </row>
    <row r="595" spans="1:13">
      <c r="A595" s="1510" t="s">
        <v>17</v>
      </c>
      <c r="B595" s="1510"/>
      <c r="C595" s="1510"/>
      <c r="D595" s="1510"/>
      <c r="E595" s="683"/>
      <c r="F595" s="1510"/>
      <c r="G595" s="1510"/>
      <c r="H595" s="1510"/>
      <c r="I595" s="1547"/>
      <c r="J595" s="1546" t="str">
        <f ca="1">IF(D603="","Page end","Continue")</f>
        <v>Continue</v>
      </c>
      <c r="K595" s="1510"/>
      <c r="L595" s="2060"/>
      <c r="M595" s="2060"/>
    </row>
    <row r="596" spans="1:13" ht="17.45">
      <c r="A596" s="1518"/>
      <c r="B596" s="1518"/>
      <c r="C596" s="292" t="str">
        <f ca="1">D601</f>
        <v>n/a</v>
      </c>
      <c r="D596" s="172"/>
      <c r="E596" s="674"/>
      <c r="F596" s="172"/>
      <c r="G596" s="172"/>
      <c r="H596" s="172"/>
      <c r="I596" s="1522"/>
      <c r="J596" s="389" t="str">
        <f>$J$1&amp;"."&amp;C601&amp;""</f>
        <v>Workpaper 6.18</v>
      </c>
      <c r="K596" s="1509"/>
      <c r="L596" s="1508"/>
      <c r="M596" s="1508"/>
    </row>
    <row r="597" spans="1:13" ht="17.45">
      <c r="A597" s="1518"/>
      <c r="B597" s="1518"/>
      <c r="C597" s="839" t="s">
        <v>1699</v>
      </c>
      <c r="D597" s="172"/>
      <c r="E597" s="172"/>
      <c r="F597" s="172"/>
      <c r="G597" s="172"/>
      <c r="H597" s="172"/>
      <c r="I597" s="1522"/>
      <c r="J597" s="187"/>
      <c r="K597" s="1509"/>
      <c r="L597" s="1508"/>
      <c r="M597" s="1508"/>
    </row>
    <row r="598" spans="1:13" ht="14.45">
      <c r="A598" s="1518"/>
      <c r="B598" s="1518"/>
      <c r="C598" s="366" t="str">
        <f ca="1">"(" &amp;F603&amp;" in "&amp;ScaleInput&amp;")"</f>
        <v>(USD in Millions)</v>
      </c>
      <c r="D598" s="1508"/>
      <c r="E598" s="170"/>
      <c r="F598" s="170"/>
      <c r="G598" s="170"/>
      <c r="H598" s="170"/>
      <c r="I598" s="1521"/>
      <c r="J598" s="1508"/>
      <c r="K598" s="1509"/>
      <c r="L598" s="1508"/>
      <c r="M598" s="1508"/>
    </row>
    <row r="599" spans="1:13" ht="14.45">
      <c r="A599" s="1518"/>
      <c r="B599" s="1518"/>
      <c r="C599" s="366"/>
      <c r="D599" s="1508"/>
      <c r="E599" s="172"/>
      <c r="F599" s="172"/>
      <c r="G599" s="172"/>
      <c r="H599" s="172"/>
      <c r="I599" s="1522"/>
      <c r="J599" s="1508"/>
      <c r="K599" s="1509"/>
      <c r="L599" s="1508"/>
      <c r="M599" s="1508"/>
    </row>
    <row r="600" spans="1:13">
      <c r="A600" s="1518"/>
      <c r="B600" s="1518"/>
      <c r="C600" s="1511"/>
      <c r="D600" s="1508"/>
      <c r="E600" s="172"/>
      <c r="F600" s="172"/>
      <c r="G600" s="172"/>
      <c r="H600" s="172"/>
      <c r="I600" s="1522"/>
      <c r="J600" s="1508"/>
      <c r="K600" s="1509"/>
      <c r="L600" s="1508"/>
      <c r="M600" s="1508"/>
    </row>
    <row r="601" spans="1:13">
      <c r="A601" s="1518"/>
      <c r="B601" s="1518"/>
      <c r="C601" s="226">
        <f>C568+1</f>
        <v>18</v>
      </c>
      <c r="D601" s="179" t="str">
        <f ca="1">IF(D603=0,"n/a",IFERROR(_xll.ciqfunctions.udf.CIQ(D603,"IQ_COMPANY_NAME"),"n/a"))</f>
        <v>n/a</v>
      </c>
      <c r="E601" s="1508"/>
      <c r="F601" s="1508"/>
      <c r="G601" s="1508"/>
      <c r="H601" s="1508"/>
      <c r="I601" s="1515"/>
      <c r="J601" s="1508"/>
      <c r="K601" s="1509"/>
      <c r="L601" s="1508"/>
      <c r="M601" s="1508"/>
    </row>
    <row r="602" spans="1:13">
      <c r="A602" s="1518"/>
      <c r="B602" s="1518"/>
      <c r="C602" s="225"/>
      <c r="D602" s="2258" t="s">
        <v>134</v>
      </c>
      <c r="E602" s="2258" t="s">
        <v>1708</v>
      </c>
      <c r="F602" s="2262" t="s">
        <v>167</v>
      </c>
      <c r="G602" s="2262" t="s">
        <v>1700</v>
      </c>
      <c r="H602" s="2263">
        <f>INDEX($W$9:$W$14,MATCH(H603,PeriodList,0))</f>
        <v>2000</v>
      </c>
      <c r="I602" s="1515"/>
      <c r="J602" s="201"/>
      <c r="K602" s="1509"/>
      <c r="L602" s="1508"/>
      <c r="M602" s="1508"/>
    </row>
    <row r="603" spans="1:13">
      <c r="A603" s="1518"/>
      <c r="B603" s="1518"/>
      <c r="C603" s="227"/>
      <c r="D603" s="2249">
        <f ca="1">OFFSET(GCIdentifierTop,C601,0)</f>
        <v>0</v>
      </c>
      <c r="E603" s="2250" t="str">
        <f ca="1">IF($D603="","",IFERROR(_xll.ciqfunctions.udf.CIQ($D603,"IQ_PERIODDATE",H602,Valuation_date),"n/a"))</f>
        <v>n/a</v>
      </c>
      <c r="F603" s="2251" t="str">
        <f ca="1">IFERROR(IF(C601=0,SubjOutputCurrencyCode,IF(D603="","",IF(OutputCurrency="Filing",_xll.ciqfunctions.udf.CIQ($D603,"IQ_FILING_CURRENCY",500,Valuation_date,ReportType,DataMode),OutputCurrency))),OutputCurrency)</f>
        <v>USD</v>
      </c>
      <c r="G603" s="2264" t="e">
        <f ca="1">IF(D601="","",_xll.ciqfunctions.udf.CIQ(D603,"IQ_TOTAL_REV", H602, Valuation_date,ReportType,DataMode,F603,FXMode))</f>
        <v>#NAME?</v>
      </c>
      <c r="H603" s="2265" t="str">
        <f>$H$9</f>
        <v>LTM/LFQ</v>
      </c>
      <c r="I603" s="1523"/>
      <c r="J603" s="174"/>
      <c r="K603" s="1509"/>
      <c r="L603" s="1508"/>
      <c r="M603" s="1508"/>
    </row>
    <row r="604" spans="1:13">
      <c r="A604" s="1518"/>
      <c r="B604" s="1518"/>
      <c r="C604" s="227"/>
      <c r="D604" s="1508"/>
      <c r="E604" s="1508"/>
      <c r="F604" s="1508"/>
      <c r="G604" s="1508"/>
      <c r="H604" s="1508"/>
      <c r="I604" s="1515"/>
      <c r="J604" s="221"/>
      <c r="K604" s="1509"/>
      <c r="L604" s="1508"/>
      <c r="M604" s="1508"/>
    </row>
    <row r="605" spans="1:13">
      <c r="A605" s="1518"/>
      <c r="B605" s="1518"/>
      <c r="C605" s="227"/>
      <c r="D605" s="741"/>
      <c r="E605" s="744" t="e">
        <f ca="1">IF(D603="",Valuation_date,_xll.ciqfunctions.udf.CIQ(D603,"IQ_PERIODDATE",H602-IF(LEFT(H603,3)="LFY",1,4),Valuation_date))</f>
        <v>#NAME?</v>
      </c>
      <c r="F605" s="742" t="e">
        <f ca="1">IF(D603="",Valuation_date,_xll.ciqfunctions.udf.CIQ(D603,"IQ_PERIODDATE",H602,Valuation_date))</f>
        <v>#NAME?</v>
      </c>
      <c r="G605" s="741"/>
      <c r="H605" s="743" t="s">
        <v>1702</v>
      </c>
      <c r="I605" s="1587"/>
      <c r="J605" s="221"/>
      <c r="K605" s="1509"/>
      <c r="L605" s="1508"/>
      <c r="M605" s="1508"/>
    </row>
    <row r="606" spans="1:13">
      <c r="A606" s="1518"/>
      <c r="B606" s="1518"/>
      <c r="C606" s="227"/>
      <c r="D606" s="2254" t="s">
        <v>1703</v>
      </c>
      <c r="E606" s="2255" t="s">
        <v>1458</v>
      </c>
      <c r="F606" s="2255" t="s">
        <v>1458</v>
      </c>
      <c r="G606" s="2255" t="s">
        <v>1704</v>
      </c>
      <c r="H606" s="2255" t="s">
        <v>1705</v>
      </c>
      <c r="I606" s="2256" t="s">
        <v>1706</v>
      </c>
      <c r="J606" s="222"/>
      <c r="K606" s="1509"/>
      <c r="L606" s="1508"/>
      <c r="M606" s="1508"/>
    </row>
    <row r="607" spans="1:13">
      <c r="A607" s="1518" t="e">
        <f t="shared" ref="A607:A619" ca="1" si="36">IF(D607="","n","")</f>
        <v>#NAME?</v>
      </c>
      <c r="B607" s="1518"/>
      <c r="C607" s="227">
        <v>1</v>
      </c>
      <c r="D607" s="223" t="e">
        <f ca="1">IF(D601="","",IF(ISNUMBER(_xll.ciqfunctions.udf.CIQ(D603,"IQ_BUS_SEG_NAME", H602, Valuation_date, , , , , $C607)),"",_xll.ciqfunctions.udf.CIQ(D603,"IQ_BUS_SEG_NAME", H602, Valuation_date, , , , , $C607)))</f>
        <v>#NAME?</v>
      </c>
      <c r="E607" s="187" t="e">
        <f ca="1">IF(D601="","",IF(D607="","",_xll.ciqfunctions.udf.CIQ(D603,"IQ_BUS_SEG_REV", H602-1, Valuation_date, ReportType,DataMode, F603,FXMode, C607)*Scale))</f>
        <v>#NAME?</v>
      </c>
      <c r="F607" s="187" t="e">
        <f ca="1">IF(D601="","",IF(D607="","",_xll.ciqfunctions.udf.CIQ(D603,"IQ_BUS_SEG_REV", H602, Valuation_date, ReportType,DataMode, F603,FXMode, $C607)*Scale))</f>
        <v>#NAME?</v>
      </c>
      <c r="G607" s="274" t="e">
        <f ca="1">IF(D607="","",IFERROR(F607/F622,"n/a"))</f>
        <v>#NAME?</v>
      </c>
      <c r="H607" s="274" t="e">
        <f ca="1">IF(D607="","",IFERROR(F607/E607-1,"n/a"))</f>
        <v>#NAME?</v>
      </c>
      <c r="I607" s="1524" t="e">
        <f ca="1">IF(D601="","",IF(D607="","",_xll.ciqfunctions.udf.CIQ(D603,"IQ_BUS_SEG_DESCRIPTION", H602, Valuation_date, , , , , $C607)))</f>
        <v>#NAME?</v>
      </c>
      <c r="J607" s="175"/>
      <c r="K607" s="1509"/>
      <c r="L607" s="1508"/>
      <c r="M607" s="1508"/>
    </row>
    <row r="608" spans="1:13">
      <c r="A608" s="1518" t="e">
        <f t="shared" ca="1" si="36"/>
        <v>#NAME?</v>
      </c>
      <c r="B608" s="1518"/>
      <c r="C608" s="227">
        <v>2</v>
      </c>
      <c r="D608" s="223" t="e">
        <f ca="1">IF(D601="","",IF(ISNUMBER(_xll.ciqfunctions.udf.CIQ(D603,"IQ_BUS_SEG_NAME", H602, Valuation_date, , , , , $C608)),"",_xll.ciqfunctions.udf.CIQ(D603,"IQ_BUS_SEG_NAME", H602, Valuation_date, , , , , $C608)))</f>
        <v>#NAME?</v>
      </c>
      <c r="E608" s="187" t="e">
        <f ca="1">IF(D601="","",IF(D608="","",_xll.ciqfunctions.udf.CIQ(D603,"IQ_BUS_SEG_REV", H602-1, Valuation_date, ReportType,DataMode, F603,FXMode, C608)*Scale))</f>
        <v>#NAME?</v>
      </c>
      <c r="F608" s="187" t="e">
        <f ca="1">IF(D601="","",IF(D608="","",_xll.ciqfunctions.udf.CIQ(D603,"IQ_BUS_SEG_REV", H602, Valuation_date, ReportType,DataMode, F603,FXMode, $C608)*Scale))</f>
        <v>#NAME?</v>
      </c>
      <c r="G608" s="274" t="e">
        <f ca="1">IF(D608="","",IFERROR(F608/F622,"n/a"))</f>
        <v>#NAME?</v>
      </c>
      <c r="H608" s="274" t="e">
        <f t="shared" ref="H608:H621" ca="1" si="37">IF(D608="","",IFERROR(F608/E608-1,"n/a"))</f>
        <v>#NAME?</v>
      </c>
      <c r="I608" s="1524" t="e">
        <f ca="1">IF(D601="","",IF(D608="","",_xll.ciqfunctions.udf.CIQ(D603,"IQ_BUS_SEG_DESCRIPTION", H602, Valuation_date, , , , , $C608)))</f>
        <v>#NAME?</v>
      </c>
      <c r="J608" s="175"/>
      <c r="K608" s="1509"/>
      <c r="L608" s="1508"/>
      <c r="M608" s="1508"/>
    </row>
    <row r="609" spans="1:13">
      <c r="A609" s="1518" t="e">
        <f t="shared" ca="1" si="36"/>
        <v>#NAME?</v>
      </c>
      <c r="B609" s="1518"/>
      <c r="C609" s="227">
        <v>3</v>
      </c>
      <c r="D609" s="223" t="e">
        <f ca="1">IF(D601="","",IF(ISNUMBER(_xll.ciqfunctions.udf.CIQ(D603,"IQ_BUS_SEG_NAME", H602, Valuation_date, , , , , $C609)),"",_xll.ciqfunctions.udf.CIQ(D603,"IQ_BUS_SEG_NAME", H602, Valuation_date, , , , , $C609)))</f>
        <v>#NAME?</v>
      </c>
      <c r="E609" s="187" t="e">
        <f ca="1">IF(D601="","",IF(D609="","",_xll.ciqfunctions.udf.CIQ(D603,"IQ_BUS_SEG_REV", H602-1, Valuation_date, ReportType,DataMode, F603,FXMode, C609)*Scale))</f>
        <v>#NAME?</v>
      </c>
      <c r="F609" s="187" t="e">
        <f ca="1">IF(D601="","",IF(D609="","",_xll.ciqfunctions.udf.CIQ(D603,"IQ_BUS_SEG_REV", H602, Valuation_date, ReportType,DataMode, F603,FXMode, $C609)*Scale))</f>
        <v>#NAME?</v>
      </c>
      <c r="G609" s="274" t="e">
        <f ca="1">IF(D609="","",IFERROR(F609/F622,"n/a"))</f>
        <v>#NAME?</v>
      </c>
      <c r="H609" s="274" t="e">
        <f t="shared" ca="1" si="37"/>
        <v>#NAME?</v>
      </c>
      <c r="I609" s="1524" t="e">
        <f ca="1">IF(D601="","",IF(D609="","",_xll.ciqfunctions.udf.CIQ(D603,"IQ_BUS_SEG_DESCRIPTION", H602, Valuation_date, , , , , $C609)))</f>
        <v>#NAME?</v>
      </c>
      <c r="J609" s="175"/>
      <c r="K609" s="1509"/>
      <c r="L609" s="1508"/>
      <c r="M609" s="1508"/>
    </row>
    <row r="610" spans="1:13">
      <c r="A610" s="1518" t="e">
        <f t="shared" ca="1" si="36"/>
        <v>#NAME?</v>
      </c>
      <c r="B610" s="1518"/>
      <c r="C610" s="227">
        <v>4</v>
      </c>
      <c r="D610" s="223" t="e">
        <f ca="1">IF(D601="","",IF(ISNUMBER(_xll.ciqfunctions.udf.CIQ(D603,"IQ_BUS_SEG_NAME", H602, Valuation_date, , , , , $C610)),"",_xll.ciqfunctions.udf.CIQ(D603,"IQ_BUS_SEG_NAME", H602, Valuation_date, , , , , $C610)))</f>
        <v>#NAME?</v>
      </c>
      <c r="E610" s="187" t="e">
        <f ca="1">IF(D601="","",IF(D610="","",_xll.ciqfunctions.udf.CIQ(D603,"IQ_BUS_SEG_REV", H602-1, Valuation_date, ReportType,DataMode, F603,FXMode, C610)*Scale))</f>
        <v>#NAME?</v>
      </c>
      <c r="F610" s="187" t="e">
        <f ca="1">IF(D601="","",IF(D610="","",_xll.ciqfunctions.udf.CIQ(D603,"IQ_BUS_SEG_REV", H602, Valuation_date, ReportType,DataMode, F603,FXMode, $C610)*Scale))</f>
        <v>#NAME?</v>
      </c>
      <c r="G610" s="274" t="e">
        <f ca="1">IF(D610="","",IFERROR(F610/F622,"n/a"))</f>
        <v>#NAME?</v>
      </c>
      <c r="H610" s="274" t="e">
        <f t="shared" ca="1" si="37"/>
        <v>#NAME?</v>
      </c>
      <c r="I610" s="1524" t="e">
        <f ca="1">IF(D601="","",IF(D610="","",_xll.ciqfunctions.udf.CIQ(D603,"IQ_BUS_SEG_DESCRIPTION", H602, Valuation_date, , , , , $C610)))</f>
        <v>#NAME?</v>
      </c>
      <c r="J610" s="175"/>
      <c r="K610" s="1509"/>
      <c r="L610" s="1508"/>
      <c r="M610" s="1508"/>
    </row>
    <row r="611" spans="1:13">
      <c r="A611" s="1518" t="e">
        <f t="shared" ca="1" si="36"/>
        <v>#NAME?</v>
      </c>
      <c r="B611" s="1518"/>
      <c r="C611" s="227">
        <v>5</v>
      </c>
      <c r="D611" s="223" t="e">
        <f ca="1">IF(D601="","",IF(ISNUMBER(_xll.ciqfunctions.udf.CIQ(D603,"IQ_BUS_SEG_NAME", H602, Valuation_date, , , , , $C611)),"",_xll.ciqfunctions.udf.CIQ(D603,"IQ_BUS_SEG_NAME", H602, Valuation_date, , , , , $C611)))</f>
        <v>#NAME?</v>
      </c>
      <c r="E611" s="187" t="e">
        <f ca="1">IF(D601="","",IF(D611="","",_xll.ciqfunctions.udf.CIQ(D603,"IQ_BUS_SEG_REV", H602-1, Valuation_date, ReportType,DataMode, F603,FXMode, C611)*Scale))</f>
        <v>#NAME?</v>
      </c>
      <c r="F611" s="187" t="e">
        <f ca="1">IF(D601="","",IF(D611="","",_xll.ciqfunctions.udf.CIQ(D603,"IQ_BUS_SEG_REV", H602, Valuation_date, ReportType,DataMode, F603,FXMode, $C611)*Scale))</f>
        <v>#NAME?</v>
      </c>
      <c r="G611" s="274" t="e">
        <f ca="1">IF(D611="","",IFERROR(F611/F622,"n/a"))</f>
        <v>#NAME?</v>
      </c>
      <c r="H611" s="274" t="e">
        <f t="shared" ca="1" si="37"/>
        <v>#NAME?</v>
      </c>
      <c r="I611" s="1524" t="e">
        <f ca="1">IF(D601="","",IF(D611="","",_xll.ciqfunctions.udf.CIQ(D603,"IQ_BUS_SEG_DESCRIPTION", H602, Valuation_date, , , , , $C611)))</f>
        <v>#NAME?</v>
      </c>
      <c r="J611" s="224"/>
      <c r="K611" s="1509"/>
      <c r="L611" s="1508"/>
      <c r="M611" s="1508"/>
    </row>
    <row r="612" spans="1:13">
      <c r="A612" s="1518" t="e">
        <f t="shared" ca="1" si="36"/>
        <v>#NAME?</v>
      </c>
      <c r="B612" s="1518"/>
      <c r="C612" s="227">
        <v>6</v>
      </c>
      <c r="D612" s="223" t="e">
        <f ca="1">IF(D601="","",IF(ISNUMBER(_xll.ciqfunctions.udf.CIQ(D603,"IQ_BUS_SEG_NAME", H602, Valuation_date, , , , , $C612)),"",_xll.ciqfunctions.udf.CIQ(D603,"IQ_BUS_SEG_NAME", H602, Valuation_date, , , , , $C612)))</f>
        <v>#NAME?</v>
      </c>
      <c r="E612" s="187" t="e">
        <f ca="1">IF(D601="","",IF(D612="","",_xll.ciqfunctions.udf.CIQ(D603,"IQ_BUS_SEG_REV", H602-1, Valuation_date, ReportType,DataMode, F603,FXMode, C612)*Scale))</f>
        <v>#NAME?</v>
      </c>
      <c r="F612" s="187" t="e">
        <f ca="1">IF(D601="","",IF(D612="","",_xll.ciqfunctions.udf.CIQ(D603,"IQ_BUS_SEG_REV", H602, Valuation_date, ReportType,DataMode, F603,FXMode, $C612)*Scale))</f>
        <v>#NAME?</v>
      </c>
      <c r="G612" s="274" t="e">
        <f ca="1">IF(D612="","",IFERROR(F612/F622,"n/a"))</f>
        <v>#NAME?</v>
      </c>
      <c r="H612" s="274" t="e">
        <f t="shared" ca="1" si="37"/>
        <v>#NAME?</v>
      </c>
      <c r="I612" s="1524" t="e">
        <f ca="1">IF(D601="","",IF(D612="","",_xll.ciqfunctions.udf.CIQ(D603,"IQ_BUS_SEG_DESCRIPTION", H602, Valuation_date, , , , , $C612)))</f>
        <v>#NAME?</v>
      </c>
      <c r="J612" s="224"/>
      <c r="K612" s="1509"/>
      <c r="L612" s="1508"/>
      <c r="M612" s="1508"/>
    </row>
    <row r="613" spans="1:13">
      <c r="A613" s="1518" t="e">
        <f t="shared" ca="1" si="36"/>
        <v>#NAME?</v>
      </c>
      <c r="B613" s="1518"/>
      <c r="C613" s="227">
        <v>7</v>
      </c>
      <c r="D613" s="223" t="e">
        <f ca="1">IF(D601="","",IF(ISNUMBER(_xll.ciqfunctions.udf.CIQ(D603,"IQ_BUS_SEG_NAME", H602, Valuation_date, , , , , $C613)),"",_xll.ciqfunctions.udf.CIQ(D603,"IQ_BUS_SEG_NAME", H602, Valuation_date, , , , , $C613)))</f>
        <v>#NAME?</v>
      </c>
      <c r="E613" s="187" t="e">
        <f ca="1">IF(D601="","",IF(D613="","",_xll.ciqfunctions.udf.CIQ(D603,"IQ_BUS_SEG_REV", H602-1, Valuation_date, ReportType,DataMode, F603,FXMode, C613)*Scale))</f>
        <v>#NAME?</v>
      </c>
      <c r="F613" s="187" t="e">
        <f ca="1">IF(D601="","",IF(D613="","",_xll.ciqfunctions.udf.CIQ(D603,"IQ_BUS_SEG_REV", H602, Valuation_date, ReportType,DataMode, F603,FXMode, $C613)*Scale))</f>
        <v>#NAME?</v>
      </c>
      <c r="G613" s="274" t="e">
        <f ca="1">IF(D613="","",IFERROR(F613/F622,"n/a"))</f>
        <v>#NAME?</v>
      </c>
      <c r="H613" s="274" t="e">
        <f t="shared" ca="1" si="37"/>
        <v>#NAME?</v>
      </c>
      <c r="I613" s="1524" t="e">
        <f ca="1">IF(D601="","",IF(D613="","",_xll.ciqfunctions.udf.CIQ(D603,"IQ_BUS_SEG_DESCRIPTION", H602, Valuation_date, , , , , $C613)))</f>
        <v>#NAME?</v>
      </c>
      <c r="J613" s="221"/>
      <c r="K613" s="1509"/>
      <c r="L613" s="1508"/>
      <c r="M613" s="1508"/>
    </row>
    <row r="614" spans="1:13">
      <c r="A614" s="1518" t="e">
        <f t="shared" ca="1" si="36"/>
        <v>#NAME?</v>
      </c>
      <c r="B614" s="1518"/>
      <c r="C614" s="227">
        <v>8</v>
      </c>
      <c r="D614" s="223" t="e">
        <f ca="1">IF(D601="","",IF(ISNUMBER(_xll.ciqfunctions.udf.CIQ(D603,"IQ_BUS_SEG_NAME", H602, Valuation_date, , , , , $C614)),"",_xll.ciqfunctions.udf.CIQ(D603,"IQ_BUS_SEG_NAME", H602, Valuation_date, , , , , $C614)))</f>
        <v>#NAME?</v>
      </c>
      <c r="E614" s="187" t="e">
        <f ca="1">IF(D601="","",IF(D614="","",_xll.ciqfunctions.udf.CIQ(D603,"IQ_BUS_SEG_REV", H602-1, Valuation_date, ReportType,DataMode, F603,FXMode, C614)*Scale))</f>
        <v>#NAME?</v>
      </c>
      <c r="F614" s="187" t="e">
        <f ca="1">IF(D601="","",IF(D614="","",_xll.ciqfunctions.udf.CIQ(D603,"IQ_BUS_SEG_REV", H602, Valuation_date, ReportType,DataMode, F603,FXMode, $C614)*Scale))</f>
        <v>#NAME?</v>
      </c>
      <c r="G614" s="274" t="e">
        <f ca="1">IF(D614="","",IFERROR(F614/F622,"n/a"))</f>
        <v>#NAME?</v>
      </c>
      <c r="H614" s="274" t="e">
        <f t="shared" ca="1" si="37"/>
        <v>#NAME?</v>
      </c>
      <c r="I614" s="1524" t="e">
        <f ca="1">IF(D601="","",IF(D614="","",_xll.ciqfunctions.udf.CIQ(D603,"IQ_BUS_SEG_DESCRIPTION", H602, Valuation_date, , , , , $C614)))</f>
        <v>#NAME?</v>
      </c>
      <c r="J614" s="222"/>
      <c r="K614" s="1509"/>
      <c r="L614" s="1508"/>
      <c r="M614" s="1508"/>
    </row>
    <row r="615" spans="1:13">
      <c r="A615" s="1518" t="e">
        <f t="shared" ca="1" si="36"/>
        <v>#NAME?</v>
      </c>
      <c r="B615" s="1518"/>
      <c r="C615" s="227">
        <v>9</v>
      </c>
      <c r="D615" s="223" t="e">
        <f ca="1">IF(D601="","",IF(ISNUMBER(_xll.ciqfunctions.udf.CIQ(D603,"IQ_BUS_SEG_NAME", H602, Valuation_date, , , , , $C615)),"",_xll.ciqfunctions.udf.CIQ(D603,"IQ_BUS_SEG_NAME", H602, Valuation_date, , , , , $C615)))</f>
        <v>#NAME?</v>
      </c>
      <c r="E615" s="187" t="e">
        <f ca="1">IF(D601="","",IF(D615="","",_xll.ciqfunctions.udf.CIQ(D603,"IQ_BUS_SEG_REV", H602-1, Valuation_date, ReportType,DataMode, F603,FXMode, C615)*Scale))</f>
        <v>#NAME?</v>
      </c>
      <c r="F615" s="187" t="e">
        <f ca="1">IF(D601="","",IF(D615="","",_xll.ciqfunctions.udf.CIQ(D603,"IQ_BUS_SEG_REV", H602, Valuation_date, ReportType,DataMode, F603,FXMode, $C615)*Scale))</f>
        <v>#NAME?</v>
      </c>
      <c r="G615" s="274" t="e">
        <f ca="1">IF(D615="","",IFERROR(F615/F622,"n/a"))</f>
        <v>#NAME?</v>
      </c>
      <c r="H615" s="274" t="e">
        <f t="shared" ca="1" si="37"/>
        <v>#NAME?</v>
      </c>
      <c r="I615" s="1524" t="e">
        <f ca="1">IF(D601="","",IF(D615="","",_xll.ciqfunctions.udf.CIQ(D603,"IQ_BUS_SEG_DESCRIPTION", H602, Valuation_date, , , , , $C615)))</f>
        <v>#NAME?</v>
      </c>
      <c r="J615" s="222"/>
      <c r="K615" s="1509"/>
      <c r="L615" s="1508"/>
      <c r="M615" s="1508"/>
    </row>
    <row r="616" spans="1:13">
      <c r="A616" s="1518" t="e">
        <f t="shared" ca="1" si="36"/>
        <v>#NAME?</v>
      </c>
      <c r="B616" s="1518"/>
      <c r="C616" s="227">
        <v>10</v>
      </c>
      <c r="D616" s="223" t="e">
        <f ca="1">IF(D601="","",IF(ISNUMBER(_xll.ciqfunctions.udf.CIQ(D603,"IQ_BUS_SEG_NAME", H602, Valuation_date, , , , , $C616)),"",_xll.ciqfunctions.udf.CIQ(D603,"IQ_BUS_SEG_NAME", H602, Valuation_date, , , , , $C616)))</f>
        <v>#NAME?</v>
      </c>
      <c r="E616" s="187" t="e">
        <f ca="1">IF(D601="","",IF(D616="","",_xll.ciqfunctions.udf.CIQ(D603,"IQ_BUS_SEG_REV", H602-1, Valuation_date, ReportType,DataMode, F603,FXMode, C616)*Scale))</f>
        <v>#NAME?</v>
      </c>
      <c r="F616" s="187" t="e">
        <f ca="1">IF(D601="","",IF(D616="","",_xll.ciqfunctions.udf.CIQ(D603,"IQ_BUS_SEG_REV", H602, Valuation_date, ReportType,DataMode, F603,FXMode, $C616)*Scale))</f>
        <v>#NAME?</v>
      </c>
      <c r="G616" s="274" t="e">
        <f ca="1">IF(D616="","",IFERROR(F616/F622,"n/a"))</f>
        <v>#NAME?</v>
      </c>
      <c r="H616" s="284" t="e">
        <f t="shared" ca="1" si="37"/>
        <v>#NAME?</v>
      </c>
      <c r="I616" s="1524" t="e">
        <f ca="1">IF(D601="","",IF(D616="","",_xll.ciqfunctions.udf.CIQ(D603,"IQ_BUS_SEG_DESCRIPTION", H602, Valuation_date, , , , , $C616)))</f>
        <v>#NAME?</v>
      </c>
      <c r="J616" s="175"/>
      <c r="K616" s="1509"/>
      <c r="L616" s="1508"/>
      <c r="M616" s="1508"/>
    </row>
    <row r="617" spans="1:13">
      <c r="A617" s="1518" t="e">
        <f t="shared" ca="1" si="36"/>
        <v>#NAME?</v>
      </c>
      <c r="B617" s="1518"/>
      <c r="C617" s="227">
        <v>11</v>
      </c>
      <c r="D617" s="223" t="e">
        <f ca="1">IF(D601="","",IF(ISNUMBER(_xll.ciqfunctions.udf.CIQ(D603,"IQ_BUS_SEG_NAME", H602, Valuation_date, , , , , $C617)),"",_xll.ciqfunctions.udf.CIQ(D603,"IQ_BUS_SEG_NAME", H602, Valuation_date, , , , , $C617)))</f>
        <v>#NAME?</v>
      </c>
      <c r="E617" s="187" t="e">
        <f ca="1">IF(D601="","",IF(D617="","",_xll.ciqfunctions.udf.CIQ(D603,"IQ_BUS_SEG_REV", H602-1, Valuation_date, ReportType,DataMode, F603,FXMode, C617)*Scale))</f>
        <v>#NAME?</v>
      </c>
      <c r="F617" s="187" t="e">
        <f ca="1">IF(D601="","",IF(D617="","",_xll.ciqfunctions.udf.CIQ(D603,"IQ_BUS_SEG_REV", H602, Valuation_date, ReportType,DataMode, F603,FXMode, $C617)*Scale))</f>
        <v>#NAME?</v>
      </c>
      <c r="G617" s="274" t="e">
        <f ca="1">IF(D617="","",IFERROR(F617/F622,"n/a"))</f>
        <v>#NAME?</v>
      </c>
      <c r="H617" s="284" t="e">
        <f t="shared" ca="1" si="37"/>
        <v>#NAME?</v>
      </c>
      <c r="I617" s="1524" t="e">
        <f ca="1">IF(D601="","",IF(D617="","",_xll.ciqfunctions.udf.CIQ(D603,"IQ_BUS_SEG_DESCRIPTION", H602, Valuation_date, , , , , $C617)))</f>
        <v>#NAME?</v>
      </c>
      <c r="J617" s="222"/>
      <c r="K617" s="1509"/>
      <c r="L617" s="1508"/>
      <c r="M617" s="1508"/>
    </row>
    <row r="618" spans="1:13">
      <c r="A618" s="1518" t="e">
        <f t="shared" ca="1" si="36"/>
        <v>#NAME?</v>
      </c>
      <c r="B618" s="1518"/>
      <c r="C618" s="227">
        <v>12</v>
      </c>
      <c r="D618" s="223" t="e">
        <f ca="1">IF(D601="","",IF(ISNUMBER(_xll.ciqfunctions.udf.CIQ(D603,"IQ_BUS_SEG_NAME", H602, Valuation_date, , , , , $C618)),"",_xll.ciqfunctions.udf.CIQ(D603,"IQ_BUS_SEG_NAME", H602, Valuation_date, , , , , $C618)))</f>
        <v>#NAME?</v>
      </c>
      <c r="E618" s="187" t="e">
        <f ca="1">IF(D601="","",IF(D618="","",_xll.ciqfunctions.udf.CIQ(D603,"IQ_BUS_SEG_REV", H602-1, Valuation_date, ReportType,DataMode, F603,FXMode, C618)*Scale))</f>
        <v>#NAME?</v>
      </c>
      <c r="F618" s="187" t="e">
        <f ca="1">IF(D601="","",IF(D618="","",_xll.ciqfunctions.udf.CIQ(D603,"IQ_BUS_SEG_REV", H602, Valuation_date, ReportType,DataMode, F603,FXMode, $C618)*Scale))</f>
        <v>#NAME?</v>
      </c>
      <c r="G618" s="274" t="e">
        <f ca="1">IF(D618="","",IFERROR(F618/F622,"n/a"))</f>
        <v>#NAME?</v>
      </c>
      <c r="H618" s="284" t="e">
        <f t="shared" ca="1" si="37"/>
        <v>#NAME?</v>
      </c>
      <c r="I618" s="1524" t="e">
        <f ca="1">IF(D601="","",IF(D618="","",_xll.ciqfunctions.udf.CIQ(D603,"IQ_BUS_SEG_DESCRIPTION", H602, Valuation_date, , , , , $C618)))</f>
        <v>#NAME?</v>
      </c>
      <c r="J618" s="222"/>
      <c r="K618" s="1509"/>
      <c r="L618" s="1508"/>
      <c r="M618" s="1508"/>
    </row>
    <row r="619" spans="1:13">
      <c r="A619" s="1518" t="e">
        <f t="shared" ca="1" si="36"/>
        <v>#NAME?</v>
      </c>
      <c r="B619" s="1518"/>
      <c r="C619" s="227">
        <v>13</v>
      </c>
      <c r="D619" s="223" t="e">
        <f ca="1">IF(D601="","",IF(ISNUMBER(_xll.ciqfunctions.udf.CIQ(D603,"IQ_BUS_SEG_NAME", H602, Valuation_date, , , , , $C619)),"",_xll.ciqfunctions.udf.CIQ(D603,"IQ_BUS_SEG_NAME", H602, Valuation_date, , , , , $C619)))</f>
        <v>#NAME?</v>
      </c>
      <c r="E619" s="187" t="e">
        <f ca="1">IF(D601="","",IF(D619="","",_xll.ciqfunctions.udf.CIQ(D603,"IQ_BUS_SEG_REV", H602-1, Valuation_date, ReportType,DataMode, F603,FXMode, C619)*Scale))</f>
        <v>#NAME?</v>
      </c>
      <c r="F619" s="187" t="e">
        <f ca="1">IF(D601="","",IF(D619="","",_xll.ciqfunctions.udf.CIQ(D603,"IQ_BUS_SEG_REV", H602, Valuation_date, ReportType,DataMode, F603,FXMode, $C619)*Scale))</f>
        <v>#NAME?</v>
      </c>
      <c r="G619" s="274" t="e">
        <f ca="1">IF(D619="","",IFERROR(F619/F622,"n/a"))</f>
        <v>#NAME?</v>
      </c>
      <c r="H619" s="284" t="e">
        <f t="shared" ca="1" si="37"/>
        <v>#NAME?</v>
      </c>
      <c r="I619" s="1524" t="e">
        <f ca="1">IF(D601="","",IF(D619="","",_xll.ciqfunctions.udf.CIQ(D603,"IQ_BUS_SEG_DESCRIPTION", H602, Valuation_date, , , , , $C619)))</f>
        <v>#NAME?</v>
      </c>
      <c r="J619" s="222"/>
      <c r="K619" s="1509"/>
      <c r="L619" s="1508"/>
      <c r="M619" s="1508"/>
    </row>
    <row r="620" spans="1:13">
      <c r="A620" s="1518" t="e">
        <f ca="1">IF(D620="","n","")</f>
        <v>#NAME?</v>
      </c>
      <c r="B620" s="1518"/>
      <c r="C620" s="227">
        <v>14</v>
      </c>
      <c r="D620" s="223" t="e">
        <f ca="1">IF(D601="","",IF(ISNUMBER(_xll.ciqfunctions.udf.CIQ(D603,"IQ_BUS_SEG_NAME", H602, Valuation_date, , , , , $C620)),"",_xll.ciqfunctions.udf.CIQ(D603,"IQ_BUS_SEG_NAME", H602, Valuation_date, , , , , $C620)))</f>
        <v>#NAME?</v>
      </c>
      <c r="E620" s="187" t="e">
        <f ca="1">IF(D601="","",IF(D620="","",_xll.ciqfunctions.udf.CIQ(D603,"IQ_BUS_SEG_REV", H602-1, Valuation_date, ReportType,DataMode, F603,FXMode, C620)*Scale))</f>
        <v>#NAME?</v>
      </c>
      <c r="F620" s="187" t="e">
        <f ca="1">IF(D601="","",IF(D620="","",_xll.ciqfunctions.udf.CIQ(D603,"IQ_BUS_SEG_REV", H602, Valuation_date, ReportType,DataMode, F603,FXMode, $C620)*Scale))</f>
        <v>#NAME?</v>
      </c>
      <c r="G620" s="274" t="e">
        <f ca="1">IF(D620="","",IFERROR(F620/F622,"n/a"))</f>
        <v>#NAME?</v>
      </c>
      <c r="H620" s="284" t="e">
        <f t="shared" ca="1" si="37"/>
        <v>#NAME?</v>
      </c>
      <c r="I620" s="1524" t="e">
        <f ca="1">IF(D601="","",IF(D620="","",_xll.ciqfunctions.udf.CIQ(D603,"IQ_BUS_SEG_DESCRIPTION", H602, Valuation_date, , , , , $C620)))</f>
        <v>#NAME?</v>
      </c>
      <c r="J620" s="222"/>
      <c r="K620" s="1509"/>
      <c r="L620" s="1508"/>
      <c r="M620" s="1508"/>
    </row>
    <row r="621" spans="1:13">
      <c r="A621" s="1518" t="e">
        <f ca="1">IF(D621="","n","")</f>
        <v>#NAME?</v>
      </c>
      <c r="B621" s="1518"/>
      <c r="C621" s="227">
        <v>15</v>
      </c>
      <c r="D621" s="223" t="e">
        <f ca="1">IF(D601="","",IF(ISNUMBER(_xll.ciqfunctions.udf.CIQ(D603,"IQ_BUS_SEG_NAME", H602, Valuation_date, , , , , $C621)),"",_xll.ciqfunctions.udf.CIQ(D603,"IQ_BUS_SEG_NAME", H602, Valuation_date, , , , , $C621)))</f>
        <v>#NAME?</v>
      </c>
      <c r="E621" s="187" t="e">
        <f ca="1">IF(D601="","",IF(D621="","",_xll.ciqfunctions.udf.CIQ(D603,"IQ_BUS_SEG_REV", H602-1, Valuation_date, ReportType,DataMode, F603,FXMode, C621)*Scale))</f>
        <v>#NAME?</v>
      </c>
      <c r="F621" s="187" t="e">
        <f ca="1">IF(D601="","",IF(D621="","",_xll.ciqfunctions.udf.CIQ(D603,"IQ_BUS_SEG_REV", H602, Valuation_date, ReportType,DataMode, F603,FXMode, $C621)*Scale))</f>
        <v>#NAME?</v>
      </c>
      <c r="G621" s="274" t="e">
        <f ca="1">IF(D621="","",IFERROR(F621/F622,"n/a"))</f>
        <v>#NAME?</v>
      </c>
      <c r="H621" s="284" t="e">
        <f t="shared" ca="1" si="37"/>
        <v>#NAME?</v>
      </c>
      <c r="I621" s="1524" t="e">
        <f ca="1">IF(D601="","",IF(D621="","",_xll.ciqfunctions.udf.CIQ(D603,"IQ_BUS_SEG_DESCRIPTION", H602, Valuation_date, , , , , $C621)))</f>
        <v>#NAME?</v>
      </c>
      <c r="J621" s="222"/>
      <c r="K621" s="1509"/>
      <c r="L621" s="1508"/>
      <c r="M621" s="1508"/>
    </row>
    <row r="622" spans="1:13" ht="14.45" thickBot="1">
      <c r="A622" s="1518"/>
      <c r="B622" s="1518"/>
      <c r="C622" s="225"/>
      <c r="D622" s="220" t="s">
        <v>1248</v>
      </c>
      <c r="E622" s="220" t="e">
        <f ca="1">SUM(E607:E621)</f>
        <v>#NAME?</v>
      </c>
      <c r="F622" s="220" t="e">
        <f ca="1">SUM(F607:F621)</f>
        <v>#NAME?</v>
      </c>
      <c r="G622" s="2266" t="e">
        <f ca="1">SUM(G607:G621)</f>
        <v>#NAME?</v>
      </c>
      <c r="H622" s="2267" t="str">
        <f ca="1">IF(D622="","",IFERROR(F622/E622-1,"n/a"))</f>
        <v>n/a</v>
      </c>
      <c r="I622" s="1515"/>
      <c r="J622" s="222"/>
      <c r="K622" s="1509"/>
      <c r="L622" s="1508"/>
      <c r="M622" s="1508"/>
    </row>
    <row r="623" spans="1:13">
      <c r="A623" s="1518"/>
      <c r="B623" s="1518"/>
      <c r="C623" s="225"/>
      <c r="D623" s="187"/>
      <c r="E623" s="187"/>
      <c r="F623" s="274"/>
      <c r="G623" s="187"/>
      <c r="H623" s="284"/>
      <c r="I623" s="1515"/>
      <c r="J623" s="222"/>
      <c r="K623" s="1509"/>
      <c r="L623" s="1508"/>
      <c r="M623" s="1508"/>
    </row>
    <row r="624" spans="1:13">
      <c r="A624" s="1518"/>
      <c r="B624" s="1518"/>
      <c r="C624" s="1572"/>
      <c r="D624" s="1514" t="s">
        <v>1707</v>
      </c>
      <c r="E624" s="1579"/>
      <c r="F624" s="1575"/>
      <c r="G624" s="1514"/>
      <c r="H624" s="1575"/>
      <c r="I624" s="1571"/>
      <c r="J624" s="1574"/>
      <c r="K624" s="1509"/>
      <c r="L624" s="2060"/>
      <c r="M624" s="2060"/>
    </row>
    <row r="625" spans="1:15">
      <c r="A625" s="1518"/>
      <c r="B625" s="1518"/>
      <c r="C625" s="225"/>
      <c r="D625" s="1514" t="s">
        <v>1402</v>
      </c>
      <c r="E625" s="187"/>
      <c r="F625" s="274"/>
      <c r="G625" s="187"/>
      <c r="H625" s="284"/>
      <c r="I625" s="1515"/>
      <c r="J625" s="222"/>
      <c r="K625" s="1509"/>
      <c r="L625" s="1508"/>
      <c r="M625" s="1508"/>
      <c r="N625" s="1508"/>
      <c r="O625" s="2060"/>
    </row>
    <row r="626" spans="1:15">
      <c r="A626" s="1518"/>
      <c r="B626" s="1518"/>
      <c r="C626" s="225"/>
      <c r="D626" s="1508"/>
      <c r="E626" s="1508"/>
      <c r="F626" s="1508"/>
      <c r="G626" s="1508"/>
      <c r="H626" s="1515"/>
      <c r="I626" s="1515"/>
      <c r="J626" s="1508"/>
      <c r="K626" s="1509"/>
      <c r="L626" s="2060"/>
      <c r="M626" s="2060"/>
      <c r="N626" s="1508"/>
      <c r="O626" s="2060"/>
    </row>
    <row r="627" spans="1:15">
      <c r="A627" s="1510"/>
      <c r="B627" s="1510"/>
      <c r="C627" s="327"/>
      <c r="D627" s="1513" t="str">
        <f ca="1">FootnoteDRAFT</f>
        <v>Run date: 05-August-2018  02:34 PM.   DRAFT document. All data subject to change upon completion of additional analysis.</v>
      </c>
      <c r="E627" s="1506"/>
      <c r="F627" s="176"/>
      <c r="G627" s="1513"/>
      <c r="H627" s="368"/>
      <c r="I627" s="1512"/>
      <c r="J627" s="1512"/>
      <c r="K627" s="1509"/>
      <c r="L627" s="2060"/>
      <c r="M627" s="2060"/>
      <c r="N627" s="1508"/>
      <c r="O627" s="2060"/>
    </row>
    <row r="628" spans="1:15">
      <c r="A628" s="1510" t="s">
        <v>17</v>
      </c>
      <c r="B628" s="1510"/>
      <c r="C628" s="1510"/>
      <c r="D628" s="1510"/>
      <c r="E628" s="683"/>
      <c r="F628" s="1510"/>
      <c r="G628" s="1510"/>
      <c r="H628" s="1510"/>
      <c r="I628" s="1547"/>
      <c r="J628" s="1546" t="str">
        <f ca="1">IF(D636="","Page end","Continue")</f>
        <v>Continue</v>
      </c>
      <c r="K628" s="1510"/>
      <c r="L628" s="2060"/>
      <c r="M628" s="2060"/>
      <c r="N628" s="1508"/>
      <c r="O628" s="2060"/>
    </row>
    <row r="629" spans="1:15" s="1508" customFormat="1" ht="17.45">
      <c r="A629" s="1518"/>
      <c r="B629" s="1518"/>
      <c r="C629" s="292" t="str">
        <f ca="1">D634</f>
        <v>n/a</v>
      </c>
      <c r="D629" s="172"/>
      <c r="E629" s="674"/>
      <c r="F629" s="172"/>
      <c r="G629" s="172"/>
      <c r="H629" s="172"/>
      <c r="I629" s="1522"/>
      <c r="J629" s="389" t="str">
        <f>$J$1&amp;"."&amp;C634&amp;""</f>
        <v>Workpaper 6.19</v>
      </c>
      <c r="K629" s="1509"/>
      <c r="O629" s="2060"/>
    </row>
    <row r="630" spans="1:15" s="1508" customFormat="1" ht="17.45">
      <c r="A630" s="1518"/>
      <c r="B630" s="1518"/>
      <c r="C630" s="839" t="s">
        <v>1699</v>
      </c>
      <c r="D630" s="172"/>
      <c r="E630" s="172"/>
      <c r="F630" s="172"/>
      <c r="G630" s="172"/>
      <c r="H630" s="172"/>
      <c r="I630" s="1522"/>
      <c r="J630" s="187"/>
      <c r="K630" s="1509"/>
      <c r="O630" s="2060"/>
    </row>
    <row r="631" spans="1:15" s="1508" customFormat="1" ht="14.45">
      <c r="A631" s="1518"/>
      <c r="B631" s="1518"/>
      <c r="C631" s="366" t="str">
        <f ca="1">"(" &amp;F636&amp;" in "&amp;ScaleInput&amp;")"</f>
        <v>(USD in Millions)</v>
      </c>
      <c r="E631" s="170"/>
      <c r="F631" s="170"/>
      <c r="G631" s="170"/>
      <c r="H631" s="170"/>
      <c r="I631" s="1521"/>
      <c r="K631" s="1509"/>
      <c r="O631" s="2060"/>
    </row>
    <row r="632" spans="1:15" s="1508" customFormat="1" ht="14.45">
      <c r="A632" s="1518"/>
      <c r="B632" s="1518"/>
      <c r="C632" s="366"/>
      <c r="E632" s="172"/>
      <c r="F632" s="172"/>
      <c r="G632" s="172"/>
      <c r="H632" s="172"/>
      <c r="I632" s="1522"/>
      <c r="K632" s="1509"/>
      <c r="O632" s="2060"/>
    </row>
    <row r="633" spans="1:15" s="1508" customFormat="1">
      <c r="A633" s="1518"/>
      <c r="B633" s="1518"/>
      <c r="C633" s="1511"/>
      <c r="E633" s="172"/>
      <c r="F633" s="172"/>
      <c r="G633" s="172"/>
      <c r="H633" s="172"/>
      <c r="I633" s="1522"/>
      <c r="K633" s="1509"/>
      <c r="O633" s="2060"/>
    </row>
    <row r="634" spans="1:15" s="1508" customFormat="1">
      <c r="A634" s="1518"/>
      <c r="B634" s="1518"/>
      <c r="C634" s="226">
        <f>C601+1</f>
        <v>19</v>
      </c>
      <c r="D634" s="179" t="str">
        <f ca="1">IF(D636=0,"n/a",IFERROR(_xll.ciqfunctions.udf.CIQ(D636,"IQ_COMPANY_NAME"),"n/a"))</f>
        <v>n/a</v>
      </c>
      <c r="I634" s="1515"/>
      <c r="K634" s="1509"/>
      <c r="O634" s="2060"/>
    </row>
    <row r="635" spans="1:15" s="1508" customFormat="1">
      <c r="A635" s="1518"/>
      <c r="B635" s="1518"/>
      <c r="C635" s="225"/>
      <c r="D635" s="2258" t="s">
        <v>134</v>
      </c>
      <c r="E635" s="2258" t="s">
        <v>1708</v>
      </c>
      <c r="F635" s="2262" t="s">
        <v>167</v>
      </c>
      <c r="G635" s="2262" t="s">
        <v>1700</v>
      </c>
      <c r="H635" s="2263">
        <f>INDEX($W$9:$W$14,MATCH(H636,PeriodList,0))</f>
        <v>2000</v>
      </c>
      <c r="I635" s="1515"/>
      <c r="J635" s="201"/>
      <c r="K635" s="1509"/>
      <c r="O635" s="2060"/>
    </row>
    <row r="636" spans="1:15" s="1508" customFormat="1">
      <c r="A636" s="1518"/>
      <c r="B636" s="1518"/>
      <c r="C636" s="227"/>
      <c r="D636" s="2249">
        <f ca="1">OFFSET(GCIdentifierTop,C634,0)</f>
        <v>0</v>
      </c>
      <c r="E636" s="2250" t="str">
        <f ca="1">IF($D636="","",IFERROR(_xll.ciqfunctions.udf.CIQ($D636,"IQ_PERIODDATE",H635,Valuation_date),"n/a"))</f>
        <v>n/a</v>
      </c>
      <c r="F636" s="2251" t="str">
        <f ca="1">IFERROR(IF(C634=0,SubjOutputCurrencyCode,IF(D636="","",IF(OutputCurrency="Filing",_xll.ciqfunctions.udf.CIQ($D636,"IQ_FILING_CURRENCY",500,Valuation_date,ReportType,DataMode),OutputCurrency))),OutputCurrency)</f>
        <v>USD</v>
      </c>
      <c r="G636" s="2264" t="e">
        <f ca="1">IF(D634="","",_xll.ciqfunctions.udf.CIQ(D636,"IQ_TOTAL_REV", H635, Valuation_date,ReportType,DataMode,F636,FXMode))</f>
        <v>#NAME?</v>
      </c>
      <c r="H636" s="2265" t="str">
        <f>$H$9</f>
        <v>LTM/LFQ</v>
      </c>
      <c r="I636" s="1523"/>
      <c r="J636" s="174"/>
      <c r="K636" s="1509"/>
      <c r="O636" s="2060"/>
    </row>
    <row r="637" spans="1:15" s="1508" customFormat="1">
      <c r="A637" s="1518"/>
      <c r="B637" s="1518"/>
      <c r="C637" s="227"/>
      <c r="I637" s="1515"/>
      <c r="J637" s="221"/>
      <c r="K637" s="1509"/>
      <c r="O637" s="2060"/>
    </row>
    <row r="638" spans="1:15" s="1508" customFormat="1">
      <c r="A638" s="1518"/>
      <c r="B638" s="1518"/>
      <c r="C638" s="227"/>
      <c r="D638" s="741"/>
      <c r="E638" s="744" t="e">
        <f ca="1">IF(D636="",Valuation_date,_xll.ciqfunctions.udf.CIQ(D636,"IQ_PERIODDATE",H635-IF(LEFT(H636,3)="LFY",1,4),Valuation_date))</f>
        <v>#NAME?</v>
      </c>
      <c r="F638" s="742" t="e">
        <f ca="1">IF(D636="",Valuation_date,_xll.ciqfunctions.udf.CIQ(D636,"IQ_PERIODDATE",H635,Valuation_date))</f>
        <v>#NAME?</v>
      </c>
      <c r="G638" s="741"/>
      <c r="H638" s="743" t="s">
        <v>1702</v>
      </c>
      <c r="I638" s="1587"/>
      <c r="J638" s="221"/>
      <c r="K638" s="1509"/>
      <c r="O638" s="2060"/>
    </row>
    <row r="639" spans="1:15" s="1508" customFormat="1">
      <c r="A639" s="1518"/>
      <c r="B639" s="1518"/>
      <c r="C639" s="227"/>
      <c r="D639" s="2254" t="s">
        <v>1703</v>
      </c>
      <c r="E639" s="2255" t="s">
        <v>1458</v>
      </c>
      <c r="F639" s="2255" t="s">
        <v>1458</v>
      </c>
      <c r="G639" s="2255" t="s">
        <v>1704</v>
      </c>
      <c r="H639" s="2255" t="s">
        <v>1705</v>
      </c>
      <c r="I639" s="2256" t="s">
        <v>1706</v>
      </c>
      <c r="J639" s="222"/>
      <c r="K639" s="1509"/>
      <c r="O639" s="2060"/>
    </row>
    <row r="640" spans="1:15" s="1508" customFormat="1">
      <c r="A640" s="1518" t="e">
        <f t="shared" ref="A640:A652" ca="1" si="38">IF(D640="","n","")</f>
        <v>#NAME?</v>
      </c>
      <c r="B640" s="1518"/>
      <c r="C640" s="227">
        <v>1</v>
      </c>
      <c r="D640" s="223" t="e">
        <f ca="1">IF(D634="","",IF(ISNUMBER(_xll.ciqfunctions.udf.CIQ(D636,"IQ_BUS_SEG_NAME", H635, Valuation_date, , , , , $C640)),"",_xll.ciqfunctions.udf.CIQ(D636,"IQ_BUS_SEG_NAME", H635, Valuation_date, , , , , $C640)))</f>
        <v>#NAME?</v>
      </c>
      <c r="E640" s="187" t="e">
        <f ca="1">IF(D634="","",IF(D640="","",_xll.ciqfunctions.udf.CIQ(D636,"IQ_BUS_SEG_REV", H635-1, Valuation_date, ReportType,DataMode, F636,FXMode, C640)*Scale))</f>
        <v>#NAME?</v>
      </c>
      <c r="F640" s="187" t="e">
        <f ca="1">IF(D634="","",IF(D640="","",_xll.ciqfunctions.udf.CIQ(D636,"IQ_BUS_SEG_REV", H635, Valuation_date, ReportType,DataMode, F636,FXMode, $C640)*Scale))</f>
        <v>#NAME?</v>
      </c>
      <c r="G640" s="274" t="e">
        <f ca="1">IF(D640="","",IFERROR(F640/F655,"n/a"))</f>
        <v>#NAME?</v>
      </c>
      <c r="H640" s="274" t="e">
        <f ca="1">IF(D640="","",IFERROR(F640/E640-1,"n/a"))</f>
        <v>#NAME?</v>
      </c>
      <c r="I640" s="1524" t="e">
        <f ca="1">IF(D634="","",IF(D640="","",_xll.ciqfunctions.udf.CIQ(D636,"IQ_BUS_SEG_DESCRIPTION", H635, Valuation_date, , , , , $C640)))</f>
        <v>#NAME?</v>
      </c>
      <c r="J640" s="175"/>
      <c r="K640" s="1509"/>
      <c r="O640" s="2060"/>
    </row>
    <row r="641" spans="1:15" s="1508" customFormat="1">
      <c r="A641" s="1518" t="e">
        <f t="shared" ca="1" si="38"/>
        <v>#NAME?</v>
      </c>
      <c r="B641" s="1518"/>
      <c r="C641" s="227">
        <v>2</v>
      </c>
      <c r="D641" s="223" t="e">
        <f ca="1">IF(D634="","",IF(ISNUMBER(_xll.ciqfunctions.udf.CIQ(D636,"IQ_BUS_SEG_NAME", H635, Valuation_date, , , , , $C641)),"",_xll.ciqfunctions.udf.CIQ(D636,"IQ_BUS_SEG_NAME", H635, Valuation_date, , , , , $C641)))</f>
        <v>#NAME?</v>
      </c>
      <c r="E641" s="187" t="e">
        <f ca="1">IF(D634="","",IF(D641="","",_xll.ciqfunctions.udf.CIQ(D636,"IQ_BUS_SEG_REV", H635-1, Valuation_date, ReportType,DataMode, F636,FXMode, C641)*Scale))</f>
        <v>#NAME?</v>
      </c>
      <c r="F641" s="187" t="e">
        <f ca="1">IF(D634="","",IF(D641="","",_xll.ciqfunctions.udf.CIQ(D636,"IQ_BUS_SEG_REV", H635, Valuation_date, ReportType,DataMode, F636,FXMode, $C641)*Scale))</f>
        <v>#NAME?</v>
      </c>
      <c r="G641" s="274" t="e">
        <f ca="1">IF(D641="","",IFERROR(F641/F655,"n/a"))</f>
        <v>#NAME?</v>
      </c>
      <c r="H641" s="274" t="e">
        <f t="shared" ref="H641:H654" ca="1" si="39">IF(D641="","",IFERROR(F641/E641-1,"n/a"))</f>
        <v>#NAME?</v>
      </c>
      <c r="I641" s="1524" t="e">
        <f ca="1">IF(D634="","",IF(D641="","",_xll.ciqfunctions.udf.CIQ(D636,"IQ_BUS_SEG_DESCRIPTION", H635, Valuation_date, , , , , $C641)))</f>
        <v>#NAME?</v>
      </c>
      <c r="J641" s="175"/>
      <c r="K641" s="1509"/>
      <c r="O641" s="2060"/>
    </row>
    <row r="642" spans="1:15" s="1508" customFormat="1">
      <c r="A642" s="1518" t="e">
        <f t="shared" ca="1" si="38"/>
        <v>#NAME?</v>
      </c>
      <c r="B642" s="1518"/>
      <c r="C642" s="227">
        <v>3</v>
      </c>
      <c r="D642" s="223" t="e">
        <f ca="1">IF(D634="","",IF(ISNUMBER(_xll.ciqfunctions.udf.CIQ(D636,"IQ_BUS_SEG_NAME", H635, Valuation_date, , , , , $C642)),"",_xll.ciqfunctions.udf.CIQ(D636,"IQ_BUS_SEG_NAME", H635, Valuation_date, , , , , $C642)))</f>
        <v>#NAME?</v>
      </c>
      <c r="E642" s="187" t="e">
        <f ca="1">IF(D634="","",IF(D642="","",_xll.ciqfunctions.udf.CIQ(D636,"IQ_BUS_SEG_REV", H635-1, Valuation_date, ReportType,DataMode, F636,FXMode, C642)*Scale))</f>
        <v>#NAME?</v>
      </c>
      <c r="F642" s="187" t="e">
        <f ca="1">IF(D634="","",IF(D642="","",_xll.ciqfunctions.udf.CIQ(D636,"IQ_BUS_SEG_REV", H635, Valuation_date, ReportType,DataMode, F636,FXMode, $C642)*Scale))</f>
        <v>#NAME?</v>
      </c>
      <c r="G642" s="274" t="e">
        <f ca="1">IF(D642="","",IFERROR(F642/F655,"n/a"))</f>
        <v>#NAME?</v>
      </c>
      <c r="H642" s="274" t="e">
        <f t="shared" ca="1" si="39"/>
        <v>#NAME?</v>
      </c>
      <c r="I642" s="1524" t="e">
        <f ca="1">IF(D634="","",IF(D642="","",_xll.ciqfunctions.udf.CIQ(D636,"IQ_BUS_SEG_DESCRIPTION", H635, Valuation_date, , , , , $C642)))</f>
        <v>#NAME?</v>
      </c>
      <c r="J642" s="175"/>
      <c r="K642" s="1509"/>
      <c r="O642" s="2060"/>
    </row>
    <row r="643" spans="1:15" s="1508" customFormat="1">
      <c r="A643" s="1518" t="e">
        <f t="shared" ca="1" si="38"/>
        <v>#NAME?</v>
      </c>
      <c r="B643" s="1518"/>
      <c r="C643" s="227">
        <v>4</v>
      </c>
      <c r="D643" s="223" t="e">
        <f ca="1">IF(D634="","",IF(ISNUMBER(_xll.ciqfunctions.udf.CIQ(D636,"IQ_BUS_SEG_NAME", H635, Valuation_date, , , , , $C643)),"",_xll.ciqfunctions.udf.CIQ(D636,"IQ_BUS_SEG_NAME", H635, Valuation_date, , , , , $C643)))</f>
        <v>#NAME?</v>
      </c>
      <c r="E643" s="187" t="e">
        <f ca="1">IF(D634="","",IF(D643="","",_xll.ciqfunctions.udf.CIQ(D636,"IQ_BUS_SEG_REV", H635-1, Valuation_date, ReportType,DataMode, F636,FXMode, C643)*Scale))</f>
        <v>#NAME?</v>
      </c>
      <c r="F643" s="187" t="e">
        <f ca="1">IF(D634="","",IF(D643="","",_xll.ciqfunctions.udf.CIQ(D636,"IQ_BUS_SEG_REV", H635, Valuation_date, ReportType,DataMode, F636,FXMode, $C643)*Scale))</f>
        <v>#NAME?</v>
      </c>
      <c r="G643" s="274" t="e">
        <f ca="1">IF(D643="","",IFERROR(F643/F655,"n/a"))</f>
        <v>#NAME?</v>
      </c>
      <c r="H643" s="274" t="e">
        <f t="shared" ca="1" si="39"/>
        <v>#NAME?</v>
      </c>
      <c r="I643" s="1524" t="e">
        <f ca="1">IF(D634="","",IF(D643="","",_xll.ciqfunctions.udf.CIQ(D636,"IQ_BUS_SEG_DESCRIPTION", H635, Valuation_date, , , , , $C643)))</f>
        <v>#NAME?</v>
      </c>
      <c r="J643" s="175"/>
      <c r="K643" s="1509"/>
      <c r="O643" s="2060"/>
    </row>
    <row r="644" spans="1:15" s="1508" customFormat="1">
      <c r="A644" s="1518" t="e">
        <f t="shared" ca="1" si="38"/>
        <v>#NAME?</v>
      </c>
      <c r="B644" s="1518"/>
      <c r="C644" s="227">
        <v>5</v>
      </c>
      <c r="D644" s="223" t="e">
        <f ca="1">IF(D634="","",IF(ISNUMBER(_xll.ciqfunctions.udf.CIQ(D636,"IQ_BUS_SEG_NAME", H635, Valuation_date, , , , , $C644)),"",_xll.ciqfunctions.udf.CIQ(D636,"IQ_BUS_SEG_NAME", H635, Valuation_date, , , , , $C644)))</f>
        <v>#NAME?</v>
      </c>
      <c r="E644" s="187" t="e">
        <f ca="1">IF(D634="","",IF(D644="","",_xll.ciqfunctions.udf.CIQ(D636,"IQ_BUS_SEG_REV", H635-1, Valuation_date, ReportType,DataMode, F636,FXMode, C644)*Scale))</f>
        <v>#NAME?</v>
      </c>
      <c r="F644" s="187" t="e">
        <f ca="1">IF(D634="","",IF(D644="","",_xll.ciqfunctions.udf.CIQ(D636,"IQ_BUS_SEG_REV", H635, Valuation_date, ReportType,DataMode, F636,FXMode, $C644)*Scale))</f>
        <v>#NAME?</v>
      </c>
      <c r="G644" s="274" t="e">
        <f ca="1">IF(D644="","",IFERROR(F644/F655,"n/a"))</f>
        <v>#NAME?</v>
      </c>
      <c r="H644" s="274" t="e">
        <f t="shared" ca="1" si="39"/>
        <v>#NAME?</v>
      </c>
      <c r="I644" s="1524" t="e">
        <f ca="1">IF(D634="","",IF(D644="","",_xll.ciqfunctions.udf.CIQ(D636,"IQ_BUS_SEG_DESCRIPTION", H635, Valuation_date, , , , , $C644)))</f>
        <v>#NAME?</v>
      </c>
      <c r="J644" s="224"/>
      <c r="K644" s="1509"/>
      <c r="O644" s="2060"/>
    </row>
    <row r="645" spans="1:15" s="1508" customFormat="1">
      <c r="A645" s="1518" t="e">
        <f t="shared" ca="1" si="38"/>
        <v>#NAME?</v>
      </c>
      <c r="B645" s="1518"/>
      <c r="C645" s="227">
        <v>6</v>
      </c>
      <c r="D645" s="223" t="e">
        <f ca="1">IF(D634="","",IF(ISNUMBER(_xll.ciqfunctions.udf.CIQ(D636,"IQ_BUS_SEG_NAME", H635, Valuation_date, , , , , $C645)),"",_xll.ciqfunctions.udf.CIQ(D636,"IQ_BUS_SEG_NAME", H635, Valuation_date, , , , , $C645)))</f>
        <v>#NAME?</v>
      </c>
      <c r="E645" s="187" t="e">
        <f ca="1">IF(D634="","",IF(D645="","",_xll.ciqfunctions.udf.CIQ(D636,"IQ_BUS_SEG_REV", H635-1, Valuation_date, ReportType,DataMode, F636,FXMode, C645)*Scale))</f>
        <v>#NAME?</v>
      </c>
      <c r="F645" s="187" t="e">
        <f ca="1">IF(D634="","",IF(D645="","",_xll.ciqfunctions.udf.CIQ(D636,"IQ_BUS_SEG_REV", H635, Valuation_date, ReportType,DataMode, F636,FXMode, $C645)*Scale))</f>
        <v>#NAME?</v>
      </c>
      <c r="G645" s="274" t="e">
        <f ca="1">IF(D645="","",IFERROR(F645/F655,"n/a"))</f>
        <v>#NAME?</v>
      </c>
      <c r="H645" s="274" t="e">
        <f t="shared" ca="1" si="39"/>
        <v>#NAME?</v>
      </c>
      <c r="I645" s="1524" t="e">
        <f ca="1">IF(D634="","",IF(D645="","",_xll.ciqfunctions.udf.CIQ(D636,"IQ_BUS_SEG_DESCRIPTION", H635, Valuation_date, , , , , $C645)))</f>
        <v>#NAME?</v>
      </c>
      <c r="J645" s="224"/>
      <c r="K645" s="1509"/>
      <c r="O645" s="2060"/>
    </row>
    <row r="646" spans="1:15" s="1508" customFormat="1">
      <c r="A646" s="1518" t="e">
        <f t="shared" ca="1" si="38"/>
        <v>#NAME?</v>
      </c>
      <c r="B646" s="1518"/>
      <c r="C646" s="227">
        <v>7</v>
      </c>
      <c r="D646" s="223" t="e">
        <f ca="1">IF(D634="","",IF(ISNUMBER(_xll.ciqfunctions.udf.CIQ(D636,"IQ_BUS_SEG_NAME", H635, Valuation_date, , , , , $C646)),"",_xll.ciqfunctions.udf.CIQ(D636,"IQ_BUS_SEG_NAME", H635, Valuation_date, , , , , $C646)))</f>
        <v>#NAME?</v>
      </c>
      <c r="E646" s="187" t="e">
        <f ca="1">IF(D634="","",IF(D646="","",_xll.ciqfunctions.udf.CIQ(D636,"IQ_BUS_SEG_REV", H635-1, Valuation_date, ReportType,DataMode, F636,FXMode, C646)*Scale))</f>
        <v>#NAME?</v>
      </c>
      <c r="F646" s="187" t="e">
        <f ca="1">IF(D634="","",IF(D646="","",_xll.ciqfunctions.udf.CIQ(D636,"IQ_BUS_SEG_REV", H635, Valuation_date, ReportType,DataMode, F636,FXMode, $C646)*Scale))</f>
        <v>#NAME?</v>
      </c>
      <c r="G646" s="274" t="e">
        <f ca="1">IF(D646="","",IFERROR(F646/F655,"n/a"))</f>
        <v>#NAME?</v>
      </c>
      <c r="H646" s="274" t="e">
        <f t="shared" ca="1" si="39"/>
        <v>#NAME?</v>
      </c>
      <c r="I646" s="1524" t="e">
        <f ca="1">IF(D634="","",IF(D646="","",_xll.ciqfunctions.udf.CIQ(D636,"IQ_BUS_SEG_DESCRIPTION", H635, Valuation_date, , , , , $C646)))</f>
        <v>#NAME?</v>
      </c>
      <c r="J646" s="221"/>
      <c r="K646" s="1509"/>
      <c r="O646" s="2060"/>
    </row>
    <row r="647" spans="1:15" s="1508" customFormat="1">
      <c r="A647" s="1518" t="e">
        <f t="shared" ca="1" si="38"/>
        <v>#NAME?</v>
      </c>
      <c r="B647" s="1518"/>
      <c r="C647" s="227">
        <v>8</v>
      </c>
      <c r="D647" s="223" t="e">
        <f ca="1">IF(D634="","",IF(ISNUMBER(_xll.ciqfunctions.udf.CIQ(D636,"IQ_BUS_SEG_NAME", H635, Valuation_date, , , , , $C647)),"",_xll.ciqfunctions.udf.CIQ(D636,"IQ_BUS_SEG_NAME", H635, Valuation_date, , , , , $C647)))</f>
        <v>#NAME?</v>
      </c>
      <c r="E647" s="187" t="e">
        <f ca="1">IF(D634="","",IF(D647="","",_xll.ciqfunctions.udf.CIQ(D636,"IQ_BUS_SEG_REV", H635-1, Valuation_date, ReportType,DataMode, F636,FXMode, C647)*Scale))</f>
        <v>#NAME?</v>
      </c>
      <c r="F647" s="187" t="e">
        <f ca="1">IF(D634="","",IF(D647="","",_xll.ciqfunctions.udf.CIQ(D636,"IQ_BUS_SEG_REV", H635, Valuation_date, ReportType,DataMode, F636,FXMode, $C647)*Scale))</f>
        <v>#NAME?</v>
      </c>
      <c r="G647" s="274" t="e">
        <f ca="1">IF(D647="","",IFERROR(F647/F655,"n/a"))</f>
        <v>#NAME?</v>
      </c>
      <c r="H647" s="274" t="e">
        <f t="shared" ca="1" si="39"/>
        <v>#NAME?</v>
      </c>
      <c r="I647" s="1524" t="e">
        <f ca="1">IF(D634="","",IF(D647="","",_xll.ciqfunctions.udf.CIQ(D636,"IQ_BUS_SEG_DESCRIPTION", H635, Valuation_date, , , , , $C647)))</f>
        <v>#NAME?</v>
      </c>
      <c r="J647" s="222"/>
      <c r="K647" s="1509"/>
      <c r="O647" s="2060"/>
    </row>
    <row r="648" spans="1:15" s="1508" customFormat="1">
      <c r="A648" s="1518" t="e">
        <f t="shared" ca="1" si="38"/>
        <v>#NAME?</v>
      </c>
      <c r="B648" s="1518"/>
      <c r="C648" s="227">
        <v>9</v>
      </c>
      <c r="D648" s="223" t="e">
        <f ca="1">IF(D634="","",IF(ISNUMBER(_xll.ciqfunctions.udf.CIQ(D636,"IQ_BUS_SEG_NAME", H635, Valuation_date, , , , , $C648)),"",_xll.ciqfunctions.udf.CIQ(D636,"IQ_BUS_SEG_NAME", H635, Valuation_date, , , , , $C648)))</f>
        <v>#NAME?</v>
      </c>
      <c r="E648" s="187" t="e">
        <f ca="1">IF(D634="","",IF(D648="","",_xll.ciqfunctions.udf.CIQ(D636,"IQ_BUS_SEG_REV", H635-1, Valuation_date, ReportType,DataMode, F636,FXMode, C648)*Scale))</f>
        <v>#NAME?</v>
      </c>
      <c r="F648" s="187" t="e">
        <f ca="1">IF(D634="","",IF(D648="","",_xll.ciqfunctions.udf.CIQ(D636,"IQ_BUS_SEG_REV", H635, Valuation_date, ReportType,DataMode, F636,FXMode, $C648)*Scale))</f>
        <v>#NAME?</v>
      </c>
      <c r="G648" s="274" t="e">
        <f ca="1">IF(D648="","",IFERROR(F648/F655,"n/a"))</f>
        <v>#NAME?</v>
      </c>
      <c r="H648" s="274" t="e">
        <f t="shared" ca="1" si="39"/>
        <v>#NAME?</v>
      </c>
      <c r="I648" s="1524" t="e">
        <f ca="1">IF(D634="","",IF(D648="","",_xll.ciqfunctions.udf.CIQ(D636,"IQ_BUS_SEG_DESCRIPTION", H635, Valuation_date, , , , , $C648)))</f>
        <v>#NAME?</v>
      </c>
      <c r="J648" s="222"/>
      <c r="K648" s="1509"/>
      <c r="O648" s="2060"/>
    </row>
    <row r="649" spans="1:15" s="1508" customFormat="1">
      <c r="A649" s="1518" t="e">
        <f t="shared" ca="1" si="38"/>
        <v>#NAME?</v>
      </c>
      <c r="B649" s="1518"/>
      <c r="C649" s="227">
        <v>10</v>
      </c>
      <c r="D649" s="223" t="e">
        <f ca="1">IF(D634="","",IF(ISNUMBER(_xll.ciqfunctions.udf.CIQ(D636,"IQ_BUS_SEG_NAME", H635, Valuation_date, , , , , $C649)),"",_xll.ciqfunctions.udf.CIQ(D636,"IQ_BUS_SEG_NAME", H635, Valuation_date, , , , , $C649)))</f>
        <v>#NAME?</v>
      </c>
      <c r="E649" s="187" t="e">
        <f ca="1">IF(D634="","",IF(D649="","",_xll.ciqfunctions.udf.CIQ(D636,"IQ_BUS_SEG_REV", H635-1, Valuation_date, ReportType,DataMode, F636,FXMode, C649)*Scale))</f>
        <v>#NAME?</v>
      </c>
      <c r="F649" s="187" t="e">
        <f ca="1">IF(D634="","",IF(D649="","",_xll.ciqfunctions.udf.CIQ(D636,"IQ_BUS_SEG_REV", H635, Valuation_date, ReportType,DataMode, F636,FXMode, $C649)*Scale))</f>
        <v>#NAME?</v>
      </c>
      <c r="G649" s="274" t="e">
        <f ca="1">IF(D649="","",IFERROR(F649/F655,"n/a"))</f>
        <v>#NAME?</v>
      </c>
      <c r="H649" s="284" t="e">
        <f t="shared" ca="1" si="39"/>
        <v>#NAME?</v>
      </c>
      <c r="I649" s="1524" t="e">
        <f ca="1">IF(D634="","",IF(D649="","",_xll.ciqfunctions.udf.CIQ(D636,"IQ_BUS_SEG_DESCRIPTION", H635, Valuation_date, , , , , $C649)))</f>
        <v>#NAME?</v>
      </c>
      <c r="J649" s="175"/>
      <c r="K649" s="1509"/>
      <c r="O649" s="2060"/>
    </row>
    <row r="650" spans="1:15" s="1508" customFormat="1">
      <c r="A650" s="1518" t="e">
        <f t="shared" ca="1" si="38"/>
        <v>#NAME?</v>
      </c>
      <c r="B650" s="1518"/>
      <c r="C650" s="227">
        <v>11</v>
      </c>
      <c r="D650" s="223" t="e">
        <f ca="1">IF(D634="","",IF(ISNUMBER(_xll.ciqfunctions.udf.CIQ(D636,"IQ_BUS_SEG_NAME", H635, Valuation_date, , , , , $C650)),"",_xll.ciqfunctions.udf.CIQ(D636,"IQ_BUS_SEG_NAME", H635, Valuation_date, , , , , $C650)))</f>
        <v>#NAME?</v>
      </c>
      <c r="E650" s="187" t="e">
        <f ca="1">IF(D634="","",IF(D650="","",_xll.ciqfunctions.udf.CIQ(D636,"IQ_BUS_SEG_REV", H635-1, Valuation_date, ReportType,DataMode, F636,FXMode, C650)*Scale))</f>
        <v>#NAME?</v>
      </c>
      <c r="F650" s="187" t="e">
        <f ca="1">IF(D634="","",IF(D650="","",_xll.ciqfunctions.udf.CIQ(D636,"IQ_BUS_SEG_REV", H635, Valuation_date, ReportType,DataMode, F636,FXMode, $C650)*Scale))</f>
        <v>#NAME?</v>
      </c>
      <c r="G650" s="274" t="e">
        <f ca="1">IF(D650="","",IFERROR(F650/F655,"n/a"))</f>
        <v>#NAME?</v>
      </c>
      <c r="H650" s="284" t="e">
        <f t="shared" ca="1" si="39"/>
        <v>#NAME?</v>
      </c>
      <c r="I650" s="1524" t="e">
        <f ca="1">IF(D634="","",IF(D650="","",_xll.ciqfunctions.udf.CIQ(D636,"IQ_BUS_SEG_DESCRIPTION", H635, Valuation_date, , , , , $C650)))</f>
        <v>#NAME?</v>
      </c>
      <c r="J650" s="222"/>
      <c r="K650" s="1509"/>
      <c r="O650" s="2060"/>
    </row>
    <row r="651" spans="1:15" s="1508" customFormat="1">
      <c r="A651" s="1518" t="e">
        <f t="shared" ca="1" si="38"/>
        <v>#NAME?</v>
      </c>
      <c r="B651" s="1518"/>
      <c r="C651" s="227">
        <v>12</v>
      </c>
      <c r="D651" s="223" t="e">
        <f ca="1">IF(D634="","",IF(ISNUMBER(_xll.ciqfunctions.udf.CIQ(D636,"IQ_BUS_SEG_NAME", H635, Valuation_date, , , , , $C651)),"",_xll.ciqfunctions.udf.CIQ(D636,"IQ_BUS_SEG_NAME", H635, Valuation_date, , , , , $C651)))</f>
        <v>#NAME?</v>
      </c>
      <c r="E651" s="187" t="e">
        <f ca="1">IF(D634="","",IF(D651="","",_xll.ciqfunctions.udf.CIQ(D636,"IQ_BUS_SEG_REV", H635-1, Valuation_date, ReportType,DataMode, F636,FXMode, C651)*Scale))</f>
        <v>#NAME?</v>
      </c>
      <c r="F651" s="187" t="e">
        <f ca="1">IF(D634="","",IF(D651="","",_xll.ciqfunctions.udf.CIQ(D636,"IQ_BUS_SEG_REV", H635, Valuation_date, ReportType,DataMode, F636,FXMode, $C651)*Scale))</f>
        <v>#NAME?</v>
      </c>
      <c r="G651" s="274" t="e">
        <f ca="1">IF(D651="","",IFERROR(F651/F655,"n/a"))</f>
        <v>#NAME?</v>
      </c>
      <c r="H651" s="284" t="e">
        <f t="shared" ca="1" si="39"/>
        <v>#NAME?</v>
      </c>
      <c r="I651" s="1524" t="e">
        <f ca="1">IF(D634="","",IF(D651="","",_xll.ciqfunctions.udf.CIQ(D636,"IQ_BUS_SEG_DESCRIPTION", H635, Valuation_date, , , , , $C651)))</f>
        <v>#NAME?</v>
      </c>
      <c r="J651" s="222"/>
      <c r="K651" s="1509"/>
      <c r="O651" s="2060"/>
    </row>
    <row r="652" spans="1:15" s="1508" customFormat="1">
      <c r="A652" s="1518" t="e">
        <f t="shared" ca="1" si="38"/>
        <v>#NAME?</v>
      </c>
      <c r="B652" s="1518"/>
      <c r="C652" s="227">
        <v>13</v>
      </c>
      <c r="D652" s="223" t="e">
        <f ca="1">IF(D634="","",IF(ISNUMBER(_xll.ciqfunctions.udf.CIQ(D636,"IQ_BUS_SEG_NAME", H635, Valuation_date, , , , , $C652)),"",_xll.ciqfunctions.udf.CIQ(D636,"IQ_BUS_SEG_NAME", H635, Valuation_date, , , , , $C652)))</f>
        <v>#NAME?</v>
      </c>
      <c r="E652" s="187" t="e">
        <f ca="1">IF(D634="","",IF(D652="","",_xll.ciqfunctions.udf.CIQ(D636,"IQ_BUS_SEG_REV", H635-1, Valuation_date, ReportType,DataMode, F636,FXMode, C652)*Scale))</f>
        <v>#NAME?</v>
      </c>
      <c r="F652" s="187" t="e">
        <f ca="1">IF(D634="","",IF(D652="","",_xll.ciqfunctions.udf.CIQ(D636,"IQ_BUS_SEG_REV", H635, Valuation_date, ReportType,DataMode, F636,FXMode, $C652)*Scale))</f>
        <v>#NAME?</v>
      </c>
      <c r="G652" s="274" t="e">
        <f ca="1">IF(D652="","",IFERROR(F652/F655,"n/a"))</f>
        <v>#NAME?</v>
      </c>
      <c r="H652" s="284" t="e">
        <f t="shared" ca="1" si="39"/>
        <v>#NAME?</v>
      </c>
      <c r="I652" s="1524" t="e">
        <f ca="1">IF(D634="","",IF(D652="","",_xll.ciqfunctions.udf.CIQ(D636,"IQ_BUS_SEG_DESCRIPTION", H635, Valuation_date, , , , , $C652)))</f>
        <v>#NAME?</v>
      </c>
      <c r="J652" s="222"/>
      <c r="K652" s="1509"/>
      <c r="O652" s="2060"/>
    </row>
    <row r="653" spans="1:15" s="1508" customFormat="1">
      <c r="A653" s="1518" t="e">
        <f ca="1">IF(D653="","n","")</f>
        <v>#NAME?</v>
      </c>
      <c r="B653" s="1518"/>
      <c r="C653" s="227">
        <v>14</v>
      </c>
      <c r="D653" s="223" t="e">
        <f ca="1">IF(D634="","",IF(ISNUMBER(_xll.ciqfunctions.udf.CIQ(D636,"IQ_BUS_SEG_NAME", H635, Valuation_date, , , , , $C653)),"",_xll.ciqfunctions.udf.CIQ(D636,"IQ_BUS_SEG_NAME", H635, Valuation_date, , , , , $C653)))</f>
        <v>#NAME?</v>
      </c>
      <c r="E653" s="187" t="e">
        <f ca="1">IF(D634="","",IF(D653="","",_xll.ciqfunctions.udf.CIQ(D636,"IQ_BUS_SEG_REV", H635-1, Valuation_date, ReportType,DataMode, F636,FXMode, C653)*Scale))</f>
        <v>#NAME?</v>
      </c>
      <c r="F653" s="187" t="e">
        <f ca="1">IF(D634="","",IF(D653="","",_xll.ciqfunctions.udf.CIQ(D636,"IQ_BUS_SEG_REV", H635, Valuation_date, ReportType,DataMode, F636,FXMode, $C653)*Scale))</f>
        <v>#NAME?</v>
      </c>
      <c r="G653" s="274" t="e">
        <f ca="1">IF(D653="","",IFERROR(F653/F655,"n/a"))</f>
        <v>#NAME?</v>
      </c>
      <c r="H653" s="284" t="e">
        <f t="shared" ca="1" si="39"/>
        <v>#NAME?</v>
      </c>
      <c r="I653" s="1524" t="e">
        <f ca="1">IF(D634="","",IF(D653="","",_xll.ciqfunctions.udf.CIQ(D636,"IQ_BUS_SEG_DESCRIPTION", H635, Valuation_date, , , , , $C653)))</f>
        <v>#NAME?</v>
      </c>
      <c r="J653" s="222"/>
      <c r="K653" s="1509"/>
      <c r="O653" s="2060"/>
    </row>
    <row r="654" spans="1:15" s="1508" customFormat="1">
      <c r="A654" s="1518" t="e">
        <f ca="1">IF(D654="","n","")</f>
        <v>#NAME?</v>
      </c>
      <c r="B654" s="1518"/>
      <c r="C654" s="227">
        <v>15</v>
      </c>
      <c r="D654" s="223" t="e">
        <f ca="1">IF(D634="","",IF(ISNUMBER(_xll.ciqfunctions.udf.CIQ(D636,"IQ_BUS_SEG_NAME", H635, Valuation_date, , , , , $C654)),"",_xll.ciqfunctions.udf.CIQ(D636,"IQ_BUS_SEG_NAME", H635, Valuation_date, , , , , $C654)))</f>
        <v>#NAME?</v>
      </c>
      <c r="E654" s="187" t="e">
        <f ca="1">IF(D634="","",IF(D654="","",_xll.ciqfunctions.udf.CIQ(D636,"IQ_BUS_SEG_REV", H635-1, Valuation_date, ReportType,DataMode, F636,FXMode, C654)*Scale))</f>
        <v>#NAME?</v>
      </c>
      <c r="F654" s="187" t="e">
        <f ca="1">IF(D634="","",IF(D654="","",_xll.ciqfunctions.udf.CIQ(D636,"IQ_BUS_SEG_REV", H635, Valuation_date, ReportType,DataMode, F636,FXMode, $C654)*Scale))</f>
        <v>#NAME?</v>
      </c>
      <c r="G654" s="274" t="e">
        <f ca="1">IF(D654="","",IFERROR(F654/F655,"n/a"))</f>
        <v>#NAME?</v>
      </c>
      <c r="H654" s="284" t="e">
        <f t="shared" ca="1" si="39"/>
        <v>#NAME?</v>
      </c>
      <c r="I654" s="1524" t="e">
        <f ca="1">IF(D634="","",IF(D654="","",_xll.ciqfunctions.udf.CIQ(D636,"IQ_BUS_SEG_DESCRIPTION", H635, Valuation_date, , , , , $C654)))</f>
        <v>#NAME?</v>
      </c>
      <c r="J654" s="222"/>
      <c r="K654" s="1509"/>
      <c r="O654" s="2060"/>
    </row>
    <row r="655" spans="1:15" s="1508" customFormat="1" ht="14.45" thickBot="1">
      <c r="A655" s="1518"/>
      <c r="B655" s="1518"/>
      <c r="C655" s="225"/>
      <c r="D655" s="220" t="s">
        <v>1248</v>
      </c>
      <c r="E655" s="220" t="e">
        <f ca="1">SUM(E640:E654)</f>
        <v>#NAME?</v>
      </c>
      <c r="F655" s="220" t="e">
        <f ca="1">SUM(F640:F654)</f>
        <v>#NAME?</v>
      </c>
      <c r="G655" s="2266" t="e">
        <f ca="1">SUM(G640:G654)</f>
        <v>#NAME?</v>
      </c>
      <c r="H655" s="2267" t="str">
        <f ca="1">IF(D655="","",IFERROR(F655/E655-1,"n/a"))</f>
        <v>n/a</v>
      </c>
      <c r="I655" s="1515"/>
      <c r="J655" s="222"/>
      <c r="K655" s="1509"/>
      <c r="O655" s="2060"/>
    </row>
    <row r="656" spans="1:15" s="1508" customFormat="1">
      <c r="A656" s="1518"/>
      <c r="B656" s="1518"/>
      <c r="C656" s="225"/>
      <c r="D656" s="187"/>
      <c r="E656" s="187"/>
      <c r="F656" s="274"/>
      <c r="G656" s="187"/>
      <c r="H656" s="284"/>
      <c r="I656" s="1515"/>
      <c r="J656" s="222"/>
      <c r="K656" s="1509"/>
      <c r="O656" s="2060"/>
    </row>
    <row r="657" spans="1:15" s="1508" customFormat="1">
      <c r="A657" s="1518"/>
      <c r="B657" s="1518"/>
      <c r="C657" s="1572"/>
      <c r="D657" s="1514" t="s">
        <v>1707</v>
      </c>
      <c r="E657" s="1579"/>
      <c r="F657" s="1575"/>
      <c r="G657" s="1514"/>
      <c r="H657" s="1575"/>
      <c r="I657" s="1571"/>
      <c r="J657" s="1574"/>
      <c r="K657" s="1509"/>
      <c r="L657" s="2060"/>
      <c r="M657" s="2060"/>
      <c r="O657" s="2060"/>
    </row>
    <row r="658" spans="1:15" s="1508" customFormat="1">
      <c r="A658" s="1518"/>
      <c r="B658" s="1518"/>
      <c r="C658" s="225"/>
      <c r="D658" s="1514" t="s">
        <v>1402</v>
      </c>
      <c r="E658" s="187"/>
      <c r="F658" s="274"/>
      <c r="G658" s="187"/>
      <c r="H658" s="284"/>
      <c r="I658" s="1515"/>
      <c r="J658" s="222"/>
      <c r="K658" s="1509"/>
      <c r="O658" s="2060"/>
    </row>
    <row r="659" spans="1:15" s="1508" customFormat="1">
      <c r="A659" s="1518"/>
      <c r="B659" s="1518"/>
      <c r="C659" s="225"/>
      <c r="H659" s="1515"/>
      <c r="I659" s="1515"/>
      <c r="K659" s="1509"/>
      <c r="L659" s="2060"/>
      <c r="M659" s="2060"/>
      <c r="O659" s="2060"/>
    </row>
    <row r="660" spans="1:15" s="1508" customFormat="1">
      <c r="A660" s="1510"/>
      <c r="B660" s="1510"/>
      <c r="C660" s="327"/>
      <c r="D660" s="1513" t="str">
        <f ca="1">FootnoteDRAFT</f>
        <v>Run date: 05-August-2018  02:34 PM.   DRAFT document. All data subject to change upon completion of additional analysis.</v>
      </c>
      <c r="E660" s="1506"/>
      <c r="F660" s="176"/>
      <c r="G660" s="1513"/>
      <c r="H660" s="368"/>
      <c r="I660" s="1512"/>
      <c r="J660" s="1512"/>
      <c r="K660" s="1509"/>
      <c r="L660" s="2060"/>
      <c r="M660" s="2060"/>
      <c r="O660" s="2060"/>
    </row>
    <row r="661" spans="1:15" s="1508" customFormat="1">
      <c r="A661" s="1510" t="s">
        <v>17</v>
      </c>
      <c r="B661" s="1510"/>
      <c r="C661" s="1510"/>
      <c r="D661" s="1510"/>
      <c r="E661" s="683"/>
      <c r="F661" s="1510"/>
      <c r="G661" s="1510"/>
      <c r="H661" s="1510"/>
      <c r="I661" s="1547"/>
      <c r="J661" s="1546" t="str">
        <f ca="1">IF(D669="","Page end","Continue")</f>
        <v>Continue</v>
      </c>
      <c r="K661" s="1510"/>
      <c r="L661" s="2060"/>
      <c r="M661" s="2060"/>
      <c r="O661" s="2060"/>
    </row>
    <row r="662" spans="1:15" s="1508" customFormat="1" ht="17.45">
      <c r="A662" s="1518"/>
      <c r="B662" s="1518"/>
      <c r="C662" s="292" t="str">
        <f ca="1">D667</f>
        <v>n/a</v>
      </c>
      <c r="D662" s="172"/>
      <c r="E662" s="674"/>
      <c r="F662" s="172"/>
      <c r="G662" s="172"/>
      <c r="H662" s="172"/>
      <c r="I662" s="1522"/>
      <c r="J662" s="389" t="str">
        <f>$J$1&amp;"."&amp;C667&amp;""</f>
        <v>Workpaper 6.20</v>
      </c>
      <c r="K662" s="1509"/>
      <c r="O662" s="2060"/>
    </row>
    <row r="663" spans="1:15" s="1508" customFormat="1" ht="17.45">
      <c r="A663" s="1518"/>
      <c r="B663" s="1518"/>
      <c r="C663" s="839" t="s">
        <v>1699</v>
      </c>
      <c r="D663" s="172"/>
      <c r="E663" s="172"/>
      <c r="F663" s="172"/>
      <c r="G663" s="172"/>
      <c r="H663" s="172"/>
      <c r="I663" s="1522"/>
      <c r="J663" s="187"/>
      <c r="K663" s="1509"/>
      <c r="O663" s="2060"/>
    </row>
    <row r="664" spans="1:15" s="1508" customFormat="1" ht="14.45">
      <c r="A664" s="1518"/>
      <c r="B664" s="1518"/>
      <c r="C664" s="366" t="str">
        <f ca="1">"(" &amp;F669&amp;" in "&amp;ScaleInput&amp;")"</f>
        <v>(USD in Millions)</v>
      </c>
      <c r="E664" s="170"/>
      <c r="F664" s="170"/>
      <c r="G664" s="170"/>
      <c r="H664" s="170"/>
      <c r="I664" s="1521"/>
      <c r="K664" s="1509"/>
      <c r="O664" s="2060"/>
    </row>
    <row r="665" spans="1:15" s="1508" customFormat="1" ht="14.45">
      <c r="A665" s="1518"/>
      <c r="B665" s="1518"/>
      <c r="C665" s="366"/>
      <c r="E665" s="172"/>
      <c r="F665" s="172"/>
      <c r="G665" s="172"/>
      <c r="H665" s="172"/>
      <c r="I665" s="1522"/>
      <c r="K665" s="1509"/>
      <c r="O665" s="2060"/>
    </row>
    <row r="666" spans="1:15" s="1508" customFormat="1">
      <c r="A666" s="1518"/>
      <c r="B666" s="1518"/>
      <c r="C666" s="1511"/>
      <c r="E666" s="172"/>
      <c r="F666" s="172"/>
      <c r="G666" s="172"/>
      <c r="H666" s="172"/>
      <c r="I666" s="1522"/>
      <c r="K666" s="1509"/>
      <c r="O666" s="2060"/>
    </row>
    <row r="667" spans="1:15" s="1508" customFormat="1">
      <c r="A667" s="1518"/>
      <c r="B667" s="1518"/>
      <c r="C667" s="226">
        <f>C634+1</f>
        <v>20</v>
      </c>
      <c r="D667" s="179" t="str">
        <f ca="1">IF(D669=0,"n/a",IFERROR(_xll.ciqfunctions.udf.CIQ(D669,"IQ_COMPANY_NAME"),"n/a"))</f>
        <v>n/a</v>
      </c>
      <c r="I667" s="1515"/>
      <c r="K667" s="1509"/>
      <c r="O667" s="2060"/>
    </row>
    <row r="668" spans="1:15" s="1508" customFormat="1">
      <c r="A668" s="1518"/>
      <c r="B668" s="1518"/>
      <c r="C668" s="225"/>
      <c r="D668" s="2258" t="s">
        <v>134</v>
      </c>
      <c r="E668" s="2258" t="s">
        <v>1708</v>
      </c>
      <c r="F668" s="2262" t="s">
        <v>167</v>
      </c>
      <c r="G668" s="2262" t="s">
        <v>1700</v>
      </c>
      <c r="H668" s="2263">
        <f>INDEX($W$9:$W$14,MATCH(H669,PeriodList,0))</f>
        <v>2000</v>
      </c>
      <c r="I668" s="1515"/>
      <c r="J668" s="201"/>
      <c r="K668" s="1509"/>
      <c r="O668" s="2060"/>
    </row>
    <row r="669" spans="1:15" s="1508" customFormat="1">
      <c r="A669" s="1518"/>
      <c r="B669" s="1518"/>
      <c r="C669" s="227"/>
      <c r="D669" s="2249">
        <f ca="1">OFFSET(GCIdentifierTop,C667,0)</f>
        <v>0</v>
      </c>
      <c r="E669" s="2250" t="str">
        <f ca="1">IF($D669="","",IFERROR(_xll.ciqfunctions.udf.CIQ($D669,"IQ_PERIODDATE",H668,Valuation_date),"n/a"))</f>
        <v>n/a</v>
      </c>
      <c r="F669" s="2251" t="str">
        <f ca="1">IFERROR(IF(C667=0,SubjOutputCurrencyCode,IF(D669="","",IF(OutputCurrency="Filing",_xll.ciqfunctions.udf.CIQ($D669,"IQ_FILING_CURRENCY",500,Valuation_date,ReportType,DataMode),OutputCurrency))),OutputCurrency)</f>
        <v>USD</v>
      </c>
      <c r="G669" s="2264" t="e">
        <f ca="1">IF(D667="","",_xll.ciqfunctions.udf.CIQ(D669,"IQ_TOTAL_REV", H668, Valuation_date,ReportType,DataMode,F669,FXMode))</f>
        <v>#NAME?</v>
      </c>
      <c r="H669" s="2265" t="str">
        <f>$H$9</f>
        <v>LTM/LFQ</v>
      </c>
      <c r="I669" s="1523"/>
      <c r="J669" s="174"/>
      <c r="K669" s="1509"/>
      <c r="O669" s="2060"/>
    </row>
    <row r="670" spans="1:15" s="1508" customFormat="1">
      <c r="A670" s="1518"/>
      <c r="B670" s="1518"/>
      <c r="C670" s="227"/>
      <c r="I670" s="1515"/>
      <c r="J670" s="221"/>
      <c r="K670" s="1509"/>
      <c r="O670" s="2060"/>
    </row>
    <row r="671" spans="1:15" s="1508" customFormat="1">
      <c r="A671" s="1518"/>
      <c r="B671" s="1518"/>
      <c r="C671" s="227"/>
      <c r="D671" s="741"/>
      <c r="E671" s="744" t="e">
        <f ca="1">IF(D669="",Valuation_date,_xll.ciqfunctions.udf.CIQ(D669,"IQ_PERIODDATE",H668-IF(LEFT(H669,3)="LFY",1,4),Valuation_date))</f>
        <v>#NAME?</v>
      </c>
      <c r="F671" s="742" t="e">
        <f ca="1">IF(D669="",Valuation_date,_xll.ciqfunctions.udf.CIQ(D669,"IQ_PERIODDATE",H668,Valuation_date))</f>
        <v>#NAME?</v>
      </c>
      <c r="G671" s="741"/>
      <c r="H671" s="743" t="s">
        <v>1702</v>
      </c>
      <c r="I671" s="1587"/>
      <c r="J671" s="221"/>
      <c r="K671" s="1509"/>
      <c r="O671" s="2060"/>
    </row>
    <row r="672" spans="1:15" s="1508" customFormat="1">
      <c r="A672" s="1518"/>
      <c r="B672" s="1518"/>
      <c r="C672" s="227"/>
      <c r="D672" s="2254" t="s">
        <v>1703</v>
      </c>
      <c r="E672" s="2255" t="s">
        <v>1458</v>
      </c>
      <c r="F672" s="2255" t="s">
        <v>1458</v>
      </c>
      <c r="G672" s="2255" t="s">
        <v>1704</v>
      </c>
      <c r="H672" s="2255" t="s">
        <v>1705</v>
      </c>
      <c r="I672" s="2256" t="s">
        <v>1706</v>
      </c>
      <c r="J672" s="222"/>
      <c r="K672" s="1509"/>
      <c r="O672" s="2060"/>
    </row>
    <row r="673" spans="1:15" s="1508" customFormat="1">
      <c r="A673" s="1518" t="e">
        <f t="shared" ref="A673:A685" ca="1" si="40">IF(D673="","n","")</f>
        <v>#NAME?</v>
      </c>
      <c r="B673" s="1518"/>
      <c r="C673" s="227">
        <v>1</v>
      </c>
      <c r="D673" s="223" t="e">
        <f ca="1">IF(D667="","",IF(ISNUMBER(_xll.ciqfunctions.udf.CIQ(D669,"IQ_BUS_SEG_NAME", H668, Valuation_date, , , , , $C673)),"",_xll.ciqfunctions.udf.CIQ(D669,"IQ_BUS_SEG_NAME", H668, Valuation_date, , , , , $C673)))</f>
        <v>#NAME?</v>
      </c>
      <c r="E673" s="187" t="e">
        <f ca="1">IF(D667="","",IF(D673="","",_xll.ciqfunctions.udf.CIQ(D669,"IQ_BUS_SEG_REV", H668-1, Valuation_date, ReportType,DataMode, F669,FXMode, C673)*Scale))</f>
        <v>#NAME?</v>
      </c>
      <c r="F673" s="187" t="e">
        <f ca="1">IF(D667="","",IF(D673="","",_xll.ciqfunctions.udf.CIQ(D669,"IQ_BUS_SEG_REV", H668, Valuation_date, ReportType,DataMode, F669,FXMode, $C673)*Scale))</f>
        <v>#NAME?</v>
      </c>
      <c r="G673" s="274" t="e">
        <f ca="1">IF(D673="","",IFERROR(F673/F688,"n/a"))</f>
        <v>#NAME?</v>
      </c>
      <c r="H673" s="274" t="e">
        <f ca="1">IF(D673="","",IFERROR(F673/E673-1,"n/a"))</f>
        <v>#NAME?</v>
      </c>
      <c r="I673" s="1524" t="e">
        <f ca="1">IF(D667="","",IF(D673="","",_xll.ciqfunctions.udf.CIQ(D669,"IQ_BUS_SEG_DESCRIPTION", H668, Valuation_date, , , , , $C673)))</f>
        <v>#NAME?</v>
      </c>
      <c r="J673" s="175"/>
      <c r="K673" s="1509"/>
      <c r="O673" s="2060"/>
    </row>
    <row r="674" spans="1:15" s="1508" customFormat="1">
      <c r="A674" s="1518" t="e">
        <f t="shared" ca="1" si="40"/>
        <v>#NAME?</v>
      </c>
      <c r="B674" s="1518"/>
      <c r="C674" s="227">
        <v>2</v>
      </c>
      <c r="D674" s="223" t="e">
        <f ca="1">IF(D667="","",IF(ISNUMBER(_xll.ciqfunctions.udf.CIQ(D669,"IQ_BUS_SEG_NAME", H668, Valuation_date, , , , , $C674)),"",_xll.ciqfunctions.udf.CIQ(D669,"IQ_BUS_SEG_NAME", H668, Valuation_date, , , , , $C674)))</f>
        <v>#NAME?</v>
      </c>
      <c r="E674" s="187" t="e">
        <f ca="1">IF(D667="","",IF(D674="","",_xll.ciqfunctions.udf.CIQ(D669,"IQ_BUS_SEG_REV", H668-1, Valuation_date, ReportType,DataMode, F669,FXMode, C674)*Scale))</f>
        <v>#NAME?</v>
      </c>
      <c r="F674" s="187" t="e">
        <f ca="1">IF(D667="","",IF(D674="","",_xll.ciqfunctions.udf.CIQ(D669,"IQ_BUS_SEG_REV", H668, Valuation_date, ReportType,DataMode, F669,FXMode, $C674)*Scale))</f>
        <v>#NAME?</v>
      </c>
      <c r="G674" s="274" t="e">
        <f ca="1">IF(D674="","",IFERROR(F674/F688,"n/a"))</f>
        <v>#NAME?</v>
      </c>
      <c r="H674" s="274" t="e">
        <f t="shared" ref="H674:H687" ca="1" si="41">IF(D674="","",IFERROR(F674/E674-1,"n/a"))</f>
        <v>#NAME?</v>
      </c>
      <c r="I674" s="1524" t="e">
        <f ca="1">IF(D667="","",IF(D674="","",_xll.ciqfunctions.udf.CIQ(D669,"IQ_BUS_SEG_DESCRIPTION", H668, Valuation_date, , , , , $C674)))</f>
        <v>#NAME?</v>
      </c>
      <c r="J674" s="175"/>
      <c r="K674" s="1509"/>
      <c r="O674" s="2060"/>
    </row>
    <row r="675" spans="1:15" s="1508" customFormat="1">
      <c r="A675" s="1518" t="e">
        <f t="shared" ca="1" si="40"/>
        <v>#NAME?</v>
      </c>
      <c r="B675" s="1518"/>
      <c r="C675" s="227">
        <v>3</v>
      </c>
      <c r="D675" s="223" t="e">
        <f ca="1">IF(D667="","",IF(ISNUMBER(_xll.ciqfunctions.udf.CIQ(D669,"IQ_BUS_SEG_NAME", H668, Valuation_date, , , , , $C675)),"",_xll.ciqfunctions.udf.CIQ(D669,"IQ_BUS_SEG_NAME", H668, Valuation_date, , , , , $C675)))</f>
        <v>#NAME?</v>
      </c>
      <c r="E675" s="187" t="e">
        <f ca="1">IF(D667="","",IF(D675="","",_xll.ciqfunctions.udf.CIQ(D669,"IQ_BUS_SEG_REV", H668-1, Valuation_date, ReportType,DataMode, F669,FXMode, C675)*Scale))</f>
        <v>#NAME?</v>
      </c>
      <c r="F675" s="187" t="e">
        <f ca="1">IF(D667="","",IF(D675="","",_xll.ciqfunctions.udf.CIQ(D669,"IQ_BUS_SEG_REV", H668, Valuation_date, ReportType,DataMode, F669,FXMode, $C675)*Scale))</f>
        <v>#NAME?</v>
      </c>
      <c r="G675" s="274" t="e">
        <f ca="1">IF(D675="","",IFERROR(F675/F688,"n/a"))</f>
        <v>#NAME?</v>
      </c>
      <c r="H675" s="274" t="e">
        <f t="shared" ca="1" si="41"/>
        <v>#NAME?</v>
      </c>
      <c r="I675" s="1524" t="e">
        <f ca="1">IF(D667="","",IF(D675="","",_xll.ciqfunctions.udf.CIQ(D669,"IQ_BUS_SEG_DESCRIPTION", H668, Valuation_date, , , , , $C675)))</f>
        <v>#NAME?</v>
      </c>
      <c r="J675" s="175"/>
      <c r="K675" s="1509"/>
      <c r="O675" s="2060"/>
    </row>
    <row r="676" spans="1:15" s="1508" customFormat="1">
      <c r="A676" s="1518" t="e">
        <f t="shared" ca="1" si="40"/>
        <v>#NAME?</v>
      </c>
      <c r="B676" s="1518"/>
      <c r="C676" s="227">
        <v>4</v>
      </c>
      <c r="D676" s="223" t="e">
        <f ca="1">IF(D667="","",IF(ISNUMBER(_xll.ciqfunctions.udf.CIQ(D669,"IQ_BUS_SEG_NAME", H668, Valuation_date, , , , , $C676)),"",_xll.ciqfunctions.udf.CIQ(D669,"IQ_BUS_SEG_NAME", H668, Valuation_date, , , , , $C676)))</f>
        <v>#NAME?</v>
      </c>
      <c r="E676" s="187" t="e">
        <f ca="1">IF(D667="","",IF(D676="","",_xll.ciqfunctions.udf.CIQ(D669,"IQ_BUS_SEG_REV", H668-1, Valuation_date, ReportType,DataMode, F669,FXMode, C676)*Scale))</f>
        <v>#NAME?</v>
      </c>
      <c r="F676" s="187" t="e">
        <f ca="1">IF(D667="","",IF(D676="","",_xll.ciqfunctions.udf.CIQ(D669,"IQ_BUS_SEG_REV", H668, Valuation_date, ReportType,DataMode, F669,FXMode, $C676)*Scale))</f>
        <v>#NAME?</v>
      </c>
      <c r="G676" s="274" t="e">
        <f ca="1">IF(D676="","",IFERROR(F676/F688,"n/a"))</f>
        <v>#NAME?</v>
      </c>
      <c r="H676" s="274" t="e">
        <f t="shared" ca="1" si="41"/>
        <v>#NAME?</v>
      </c>
      <c r="I676" s="1524" t="e">
        <f ca="1">IF(D667="","",IF(D676="","",_xll.ciqfunctions.udf.CIQ(D669,"IQ_BUS_SEG_DESCRIPTION", H668, Valuation_date, , , , , $C676)))</f>
        <v>#NAME?</v>
      </c>
      <c r="J676" s="175"/>
      <c r="K676" s="1509"/>
      <c r="O676" s="2060"/>
    </row>
    <row r="677" spans="1:15" s="1508" customFormat="1">
      <c r="A677" s="1518" t="e">
        <f t="shared" ca="1" si="40"/>
        <v>#NAME?</v>
      </c>
      <c r="B677" s="1518"/>
      <c r="C677" s="227">
        <v>5</v>
      </c>
      <c r="D677" s="223" t="e">
        <f ca="1">IF(D667="","",IF(ISNUMBER(_xll.ciqfunctions.udf.CIQ(D669,"IQ_BUS_SEG_NAME", H668, Valuation_date, , , , , $C677)),"",_xll.ciqfunctions.udf.CIQ(D669,"IQ_BUS_SEG_NAME", H668, Valuation_date, , , , , $C677)))</f>
        <v>#NAME?</v>
      </c>
      <c r="E677" s="187" t="e">
        <f ca="1">IF(D667="","",IF(D677="","",_xll.ciqfunctions.udf.CIQ(D669,"IQ_BUS_SEG_REV", H668-1, Valuation_date, ReportType,DataMode, F669,FXMode, C677)*Scale))</f>
        <v>#NAME?</v>
      </c>
      <c r="F677" s="187" t="e">
        <f ca="1">IF(D667="","",IF(D677="","",_xll.ciqfunctions.udf.CIQ(D669,"IQ_BUS_SEG_REV", H668, Valuation_date, ReportType,DataMode, F669,FXMode, $C677)*Scale))</f>
        <v>#NAME?</v>
      </c>
      <c r="G677" s="274" t="e">
        <f ca="1">IF(D677="","",IFERROR(F677/F688,"n/a"))</f>
        <v>#NAME?</v>
      </c>
      <c r="H677" s="274" t="e">
        <f t="shared" ca="1" si="41"/>
        <v>#NAME?</v>
      </c>
      <c r="I677" s="1524" t="e">
        <f ca="1">IF(D667="","",IF(D677="","",_xll.ciqfunctions.udf.CIQ(D669,"IQ_BUS_SEG_DESCRIPTION", H668, Valuation_date, , , , , $C677)))</f>
        <v>#NAME?</v>
      </c>
      <c r="J677" s="224"/>
      <c r="K677" s="1509"/>
      <c r="O677" s="2060"/>
    </row>
    <row r="678" spans="1:15" s="1508" customFormat="1">
      <c r="A678" s="1518" t="e">
        <f t="shared" ca="1" si="40"/>
        <v>#NAME?</v>
      </c>
      <c r="B678" s="1518"/>
      <c r="C678" s="227">
        <v>6</v>
      </c>
      <c r="D678" s="223" t="e">
        <f ca="1">IF(D667="","",IF(ISNUMBER(_xll.ciqfunctions.udf.CIQ(D669,"IQ_BUS_SEG_NAME", H668, Valuation_date, , , , , $C678)),"",_xll.ciqfunctions.udf.CIQ(D669,"IQ_BUS_SEG_NAME", H668, Valuation_date, , , , , $C678)))</f>
        <v>#NAME?</v>
      </c>
      <c r="E678" s="187" t="e">
        <f ca="1">IF(D667="","",IF(D678="","",_xll.ciqfunctions.udf.CIQ(D669,"IQ_BUS_SEG_REV", H668-1, Valuation_date, ReportType,DataMode, F669,FXMode, C678)*Scale))</f>
        <v>#NAME?</v>
      </c>
      <c r="F678" s="187" t="e">
        <f ca="1">IF(D667="","",IF(D678="","",_xll.ciqfunctions.udf.CIQ(D669,"IQ_BUS_SEG_REV", H668, Valuation_date, ReportType,DataMode, F669,FXMode, $C678)*Scale))</f>
        <v>#NAME?</v>
      </c>
      <c r="G678" s="274" t="e">
        <f ca="1">IF(D678="","",IFERROR(F678/F688,"n/a"))</f>
        <v>#NAME?</v>
      </c>
      <c r="H678" s="274" t="e">
        <f t="shared" ca="1" si="41"/>
        <v>#NAME?</v>
      </c>
      <c r="I678" s="1524" t="e">
        <f ca="1">IF(D667="","",IF(D678="","",_xll.ciqfunctions.udf.CIQ(D669,"IQ_BUS_SEG_DESCRIPTION", H668, Valuation_date, , , , , $C678)))</f>
        <v>#NAME?</v>
      </c>
      <c r="J678" s="224"/>
      <c r="K678" s="1509"/>
      <c r="O678" s="2060"/>
    </row>
    <row r="679" spans="1:15" s="1508" customFormat="1">
      <c r="A679" s="1518" t="e">
        <f t="shared" ca="1" si="40"/>
        <v>#NAME?</v>
      </c>
      <c r="B679" s="1518"/>
      <c r="C679" s="227">
        <v>7</v>
      </c>
      <c r="D679" s="223" t="e">
        <f ca="1">IF(D667="","",IF(ISNUMBER(_xll.ciqfunctions.udf.CIQ(D669,"IQ_BUS_SEG_NAME", H668, Valuation_date, , , , , $C679)),"",_xll.ciqfunctions.udf.CIQ(D669,"IQ_BUS_SEG_NAME", H668, Valuation_date, , , , , $C679)))</f>
        <v>#NAME?</v>
      </c>
      <c r="E679" s="187" t="e">
        <f ca="1">IF(D667="","",IF(D679="","",_xll.ciqfunctions.udf.CIQ(D669,"IQ_BUS_SEG_REV", H668-1, Valuation_date, ReportType,DataMode, F669,FXMode, C679)*Scale))</f>
        <v>#NAME?</v>
      </c>
      <c r="F679" s="187" t="e">
        <f ca="1">IF(D667="","",IF(D679="","",_xll.ciqfunctions.udf.CIQ(D669,"IQ_BUS_SEG_REV", H668, Valuation_date, ReportType,DataMode, F669,FXMode, $C679)*Scale))</f>
        <v>#NAME?</v>
      </c>
      <c r="G679" s="274" t="e">
        <f ca="1">IF(D679="","",IFERROR(F679/F688,"n/a"))</f>
        <v>#NAME?</v>
      </c>
      <c r="H679" s="274" t="e">
        <f t="shared" ca="1" si="41"/>
        <v>#NAME?</v>
      </c>
      <c r="I679" s="1524" t="e">
        <f ca="1">IF(D667="","",IF(D679="","",_xll.ciqfunctions.udf.CIQ(D669,"IQ_BUS_SEG_DESCRIPTION", H668, Valuation_date, , , , , $C679)))</f>
        <v>#NAME?</v>
      </c>
      <c r="J679" s="221"/>
      <c r="K679" s="1509"/>
      <c r="O679" s="2060"/>
    </row>
    <row r="680" spans="1:15" s="1508" customFormat="1">
      <c r="A680" s="1518" t="e">
        <f t="shared" ca="1" si="40"/>
        <v>#NAME?</v>
      </c>
      <c r="B680" s="1518"/>
      <c r="C680" s="227">
        <v>8</v>
      </c>
      <c r="D680" s="223" t="e">
        <f ca="1">IF(D667="","",IF(ISNUMBER(_xll.ciqfunctions.udf.CIQ(D669,"IQ_BUS_SEG_NAME", H668, Valuation_date, , , , , $C680)),"",_xll.ciqfunctions.udf.CIQ(D669,"IQ_BUS_SEG_NAME", H668, Valuation_date, , , , , $C680)))</f>
        <v>#NAME?</v>
      </c>
      <c r="E680" s="187" t="e">
        <f ca="1">IF(D667="","",IF(D680="","",_xll.ciqfunctions.udf.CIQ(D669,"IQ_BUS_SEG_REV", H668-1, Valuation_date, ReportType,DataMode, F669,FXMode, C680)*Scale))</f>
        <v>#NAME?</v>
      </c>
      <c r="F680" s="187" t="e">
        <f ca="1">IF(D667="","",IF(D680="","",_xll.ciqfunctions.udf.CIQ(D669,"IQ_BUS_SEG_REV", H668, Valuation_date, ReportType,DataMode, F669,FXMode, $C680)*Scale))</f>
        <v>#NAME?</v>
      </c>
      <c r="G680" s="274" t="e">
        <f ca="1">IF(D680="","",IFERROR(F680/F688,"n/a"))</f>
        <v>#NAME?</v>
      </c>
      <c r="H680" s="274" t="e">
        <f t="shared" ca="1" si="41"/>
        <v>#NAME?</v>
      </c>
      <c r="I680" s="1524" t="e">
        <f ca="1">IF(D667="","",IF(D680="","",_xll.ciqfunctions.udf.CIQ(D669,"IQ_BUS_SEG_DESCRIPTION", H668, Valuation_date, , , , , $C680)))</f>
        <v>#NAME?</v>
      </c>
      <c r="J680" s="222"/>
      <c r="K680" s="1509"/>
      <c r="O680" s="2060"/>
    </row>
    <row r="681" spans="1:15" s="1508" customFormat="1">
      <c r="A681" s="1518" t="e">
        <f t="shared" ca="1" si="40"/>
        <v>#NAME?</v>
      </c>
      <c r="B681" s="1518"/>
      <c r="C681" s="227">
        <v>9</v>
      </c>
      <c r="D681" s="223" t="e">
        <f ca="1">IF(D667="","",IF(ISNUMBER(_xll.ciqfunctions.udf.CIQ(D669,"IQ_BUS_SEG_NAME", H668, Valuation_date, , , , , $C681)),"",_xll.ciqfunctions.udf.CIQ(D669,"IQ_BUS_SEG_NAME", H668, Valuation_date, , , , , $C681)))</f>
        <v>#NAME?</v>
      </c>
      <c r="E681" s="187" t="e">
        <f ca="1">IF(D667="","",IF(D681="","",_xll.ciqfunctions.udf.CIQ(D669,"IQ_BUS_SEG_REV", H668-1, Valuation_date, ReportType,DataMode, F669,FXMode, C681)*Scale))</f>
        <v>#NAME?</v>
      </c>
      <c r="F681" s="187" t="e">
        <f ca="1">IF(D667="","",IF(D681="","",_xll.ciqfunctions.udf.CIQ(D669,"IQ_BUS_SEG_REV", H668, Valuation_date, ReportType,DataMode, F669,FXMode, $C681)*Scale))</f>
        <v>#NAME?</v>
      </c>
      <c r="G681" s="274" t="e">
        <f ca="1">IF(D681="","",IFERROR(F681/F688,"n/a"))</f>
        <v>#NAME?</v>
      </c>
      <c r="H681" s="274" t="e">
        <f t="shared" ca="1" si="41"/>
        <v>#NAME?</v>
      </c>
      <c r="I681" s="1524" t="e">
        <f ca="1">IF(D667="","",IF(D681="","",_xll.ciqfunctions.udf.CIQ(D669,"IQ_BUS_SEG_DESCRIPTION", H668, Valuation_date, , , , , $C681)))</f>
        <v>#NAME?</v>
      </c>
      <c r="J681" s="222"/>
      <c r="K681" s="1509"/>
      <c r="O681" s="2060"/>
    </row>
    <row r="682" spans="1:15" s="1508" customFormat="1">
      <c r="A682" s="1518" t="e">
        <f t="shared" ca="1" si="40"/>
        <v>#NAME?</v>
      </c>
      <c r="B682" s="1518"/>
      <c r="C682" s="227">
        <v>10</v>
      </c>
      <c r="D682" s="223" t="e">
        <f ca="1">IF(D667="","",IF(ISNUMBER(_xll.ciqfunctions.udf.CIQ(D669,"IQ_BUS_SEG_NAME", H668, Valuation_date, , , , , $C682)),"",_xll.ciqfunctions.udf.CIQ(D669,"IQ_BUS_SEG_NAME", H668, Valuation_date, , , , , $C682)))</f>
        <v>#NAME?</v>
      </c>
      <c r="E682" s="187" t="e">
        <f ca="1">IF(D667="","",IF(D682="","",_xll.ciqfunctions.udf.CIQ(D669,"IQ_BUS_SEG_REV", H668-1, Valuation_date, ReportType,DataMode, F669,FXMode, C682)*Scale))</f>
        <v>#NAME?</v>
      </c>
      <c r="F682" s="187" t="e">
        <f ca="1">IF(D667="","",IF(D682="","",_xll.ciqfunctions.udf.CIQ(D669,"IQ_BUS_SEG_REV", H668, Valuation_date, ReportType,DataMode, F669,FXMode, $C682)*Scale))</f>
        <v>#NAME?</v>
      </c>
      <c r="G682" s="274" t="e">
        <f ca="1">IF(D682="","",IFERROR(F682/F688,"n/a"))</f>
        <v>#NAME?</v>
      </c>
      <c r="H682" s="284" t="e">
        <f t="shared" ca="1" si="41"/>
        <v>#NAME?</v>
      </c>
      <c r="I682" s="1524" t="e">
        <f ca="1">IF(D667="","",IF(D682="","",_xll.ciqfunctions.udf.CIQ(D669,"IQ_BUS_SEG_DESCRIPTION", H668, Valuation_date, , , , , $C682)))</f>
        <v>#NAME?</v>
      </c>
      <c r="J682" s="175"/>
      <c r="K682" s="1509"/>
      <c r="O682" s="2060"/>
    </row>
    <row r="683" spans="1:15" s="1508" customFormat="1">
      <c r="A683" s="1518" t="e">
        <f t="shared" ca="1" si="40"/>
        <v>#NAME?</v>
      </c>
      <c r="B683" s="1518"/>
      <c r="C683" s="227">
        <v>11</v>
      </c>
      <c r="D683" s="223" t="e">
        <f ca="1">IF(D667="","",IF(ISNUMBER(_xll.ciqfunctions.udf.CIQ(D669,"IQ_BUS_SEG_NAME", H668, Valuation_date, , , , , $C683)),"",_xll.ciqfunctions.udf.CIQ(D669,"IQ_BUS_SEG_NAME", H668, Valuation_date, , , , , $C683)))</f>
        <v>#NAME?</v>
      </c>
      <c r="E683" s="187" t="e">
        <f ca="1">IF(D667="","",IF(D683="","",_xll.ciqfunctions.udf.CIQ(D669,"IQ_BUS_SEG_REV", H668-1, Valuation_date, ReportType,DataMode, F669,FXMode, C683)*Scale))</f>
        <v>#NAME?</v>
      </c>
      <c r="F683" s="187" t="e">
        <f ca="1">IF(D667="","",IF(D683="","",_xll.ciqfunctions.udf.CIQ(D669,"IQ_BUS_SEG_REV", H668, Valuation_date, ReportType,DataMode, F669,FXMode, $C683)*Scale))</f>
        <v>#NAME?</v>
      </c>
      <c r="G683" s="274" t="e">
        <f ca="1">IF(D683="","",IFERROR(F683/F688,"n/a"))</f>
        <v>#NAME?</v>
      </c>
      <c r="H683" s="284" t="e">
        <f t="shared" ca="1" si="41"/>
        <v>#NAME?</v>
      </c>
      <c r="I683" s="1524" t="e">
        <f ca="1">IF(D667="","",IF(D683="","",_xll.ciqfunctions.udf.CIQ(D669,"IQ_BUS_SEG_DESCRIPTION", H668, Valuation_date, , , , , $C683)))</f>
        <v>#NAME?</v>
      </c>
      <c r="J683" s="222"/>
      <c r="K683" s="1509"/>
      <c r="O683" s="2060"/>
    </row>
    <row r="684" spans="1:15" s="1508" customFormat="1">
      <c r="A684" s="1518" t="e">
        <f t="shared" ca="1" si="40"/>
        <v>#NAME?</v>
      </c>
      <c r="B684" s="1518"/>
      <c r="C684" s="227">
        <v>12</v>
      </c>
      <c r="D684" s="223" t="e">
        <f ca="1">IF(D667="","",IF(ISNUMBER(_xll.ciqfunctions.udf.CIQ(D669,"IQ_BUS_SEG_NAME", H668, Valuation_date, , , , , $C684)),"",_xll.ciqfunctions.udf.CIQ(D669,"IQ_BUS_SEG_NAME", H668, Valuation_date, , , , , $C684)))</f>
        <v>#NAME?</v>
      </c>
      <c r="E684" s="187" t="e">
        <f ca="1">IF(D667="","",IF(D684="","",_xll.ciqfunctions.udf.CIQ(D669,"IQ_BUS_SEG_REV", H668-1, Valuation_date, ReportType,DataMode, F669,FXMode, C684)*Scale))</f>
        <v>#NAME?</v>
      </c>
      <c r="F684" s="187" t="e">
        <f ca="1">IF(D667="","",IF(D684="","",_xll.ciqfunctions.udf.CIQ(D669,"IQ_BUS_SEG_REV", H668, Valuation_date, ReportType,DataMode, F669,FXMode, $C684)*Scale))</f>
        <v>#NAME?</v>
      </c>
      <c r="G684" s="274" t="e">
        <f ca="1">IF(D684="","",IFERROR(F684/F688,"n/a"))</f>
        <v>#NAME?</v>
      </c>
      <c r="H684" s="284" t="e">
        <f t="shared" ca="1" si="41"/>
        <v>#NAME?</v>
      </c>
      <c r="I684" s="1524" t="e">
        <f ca="1">IF(D667="","",IF(D684="","",_xll.ciqfunctions.udf.CIQ(D669,"IQ_BUS_SEG_DESCRIPTION", H668, Valuation_date, , , , , $C684)))</f>
        <v>#NAME?</v>
      </c>
      <c r="J684" s="222"/>
      <c r="K684" s="1509"/>
      <c r="O684" s="2060"/>
    </row>
    <row r="685" spans="1:15" s="1508" customFormat="1">
      <c r="A685" s="1518" t="e">
        <f t="shared" ca="1" si="40"/>
        <v>#NAME?</v>
      </c>
      <c r="B685" s="1518"/>
      <c r="C685" s="227">
        <v>13</v>
      </c>
      <c r="D685" s="223" t="e">
        <f ca="1">IF(D667="","",IF(ISNUMBER(_xll.ciqfunctions.udf.CIQ(D669,"IQ_BUS_SEG_NAME", H668, Valuation_date, , , , , $C685)),"",_xll.ciqfunctions.udf.CIQ(D669,"IQ_BUS_SEG_NAME", H668, Valuation_date, , , , , $C685)))</f>
        <v>#NAME?</v>
      </c>
      <c r="E685" s="187" t="e">
        <f ca="1">IF(D667="","",IF(D685="","",_xll.ciqfunctions.udf.CIQ(D669,"IQ_BUS_SEG_REV", H668-1, Valuation_date, ReportType,DataMode, F669,FXMode, C685)*Scale))</f>
        <v>#NAME?</v>
      </c>
      <c r="F685" s="187" t="e">
        <f ca="1">IF(D667="","",IF(D685="","",_xll.ciqfunctions.udf.CIQ(D669,"IQ_BUS_SEG_REV", H668, Valuation_date, ReportType,DataMode, F669,FXMode, $C685)*Scale))</f>
        <v>#NAME?</v>
      </c>
      <c r="G685" s="274" t="e">
        <f ca="1">IF(D685="","",IFERROR(F685/F688,"n/a"))</f>
        <v>#NAME?</v>
      </c>
      <c r="H685" s="284" t="e">
        <f t="shared" ca="1" si="41"/>
        <v>#NAME?</v>
      </c>
      <c r="I685" s="1524" t="e">
        <f ca="1">IF(D667="","",IF(D685="","",_xll.ciqfunctions.udf.CIQ(D669,"IQ_BUS_SEG_DESCRIPTION", H668, Valuation_date, , , , , $C685)))</f>
        <v>#NAME?</v>
      </c>
      <c r="J685" s="222"/>
      <c r="K685" s="1509"/>
      <c r="O685" s="2060"/>
    </row>
    <row r="686" spans="1:15" s="1508" customFormat="1">
      <c r="A686" s="1518" t="e">
        <f ca="1">IF(D686="","n","")</f>
        <v>#NAME?</v>
      </c>
      <c r="B686" s="1518"/>
      <c r="C686" s="227">
        <v>14</v>
      </c>
      <c r="D686" s="223" t="e">
        <f ca="1">IF(D667="","",IF(ISNUMBER(_xll.ciqfunctions.udf.CIQ(D669,"IQ_BUS_SEG_NAME", H668, Valuation_date, , , , , $C686)),"",_xll.ciqfunctions.udf.CIQ(D669,"IQ_BUS_SEG_NAME", H668, Valuation_date, , , , , $C686)))</f>
        <v>#NAME?</v>
      </c>
      <c r="E686" s="187" t="e">
        <f ca="1">IF(D667="","",IF(D686="","",_xll.ciqfunctions.udf.CIQ(D669,"IQ_BUS_SEG_REV", H668-1, Valuation_date, ReportType,DataMode, F669,FXMode, C686)*Scale))</f>
        <v>#NAME?</v>
      </c>
      <c r="F686" s="187" t="e">
        <f ca="1">IF(D667="","",IF(D686="","",_xll.ciqfunctions.udf.CIQ(D669,"IQ_BUS_SEG_REV", H668, Valuation_date, ReportType,DataMode, F669,FXMode, $C686)*Scale))</f>
        <v>#NAME?</v>
      </c>
      <c r="G686" s="274" t="e">
        <f ca="1">IF(D686="","",IFERROR(F686/F688,"n/a"))</f>
        <v>#NAME?</v>
      </c>
      <c r="H686" s="284" t="e">
        <f t="shared" ca="1" si="41"/>
        <v>#NAME?</v>
      </c>
      <c r="I686" s="1524" t="e">
        <f ca="1">IF(D667="","",IF(D686="","",_xll.ciqfunctions.udf.CIQ(D669,"IQ_BUS_SEG_DESCRIPTION", H668, Valuation_date, , , , , $C686)))</f>
        <v>#NAME?</v>
      </c>
      <c r="J686" s="222"/>
      <c r="K686" s="1509"/>
      <c r="O686" s="2060"/>
    </row>
    <row r="687" spans="1:15" s="1508" customFormat="1">
      <c r="A687" s="1518" t="e">
        <f ca="1">IF(D687="","n","")</f>
        <v>#NAME?</v>
      </c>
      <c r="B687" s="1518"/>
      <c r="C687" s="227">
        <v>15</v>
      </c>
      <c r="D687" s="223" t="e">
        <f ca="1">IF(D667="","",IF(ISNUMBER(_xll.ciqfunctions.udf.CIQ(D669,"IQ_BUS_SEG_NAME", H668, Valuation_date, , , , , $C687)),"",_xll.ciqfunctions.udf.CIQ(D669,"IQ_BUS_SEG_NAME", H668, Valuation_date, , , , , $C687)))</f>
        <v>#NAME?</v>
      </c>
      <c r="E687" s="187" t="e">
        <f ca="1">IF(D667="","",IF(D687="","",_xll.ciqfunctions.udf.CIQ(D669,"IQ_BUS_SEG_REV", H668-1, Valuation_date, ReportType,DataMode, F669,FXMode, C687)*Scale))</f>
        <v>#NAME?</v>
      </c>
      <c r="F687" s="187" t="e">
        <f ca="1">IF(D667="","",IF(D687="","",_xll.ciqfunctions.udf.CIQ(D669,"IQ_BUS_SEG_REV", H668, Valuation_date, ReportType,DataMode, F669,FXMode, $C687)*Scale))</f>
        <v>#NAME?</v>
      </c>
      <c r="G687" s="274" t="e">
        <f ca="1">IF(D687="","",IFERROR(F687/F688,"n/a"))</f>
        <v>#NAME?</v>
      </c>
      <c r="H687" s="284" t="e">
        <f t="shared" ca="1" si="41"/>
        <v>#NAME?</v>
      </c>
      <c r="I687" s="1524" t="e">
        <f ca="1">IF(D667="","",IF(D687="","",_xll.ciqfunctions.udf.CIQ(D669,"IQ_BUS_SEG_DESCRIPTION", H668, Valuation_date, , , , , $C687)))</f>
        <v>#NAME?</v>
      </c>
      <c r="J687" s="222"/>
      <c r="K687" s="1509"/>
      <c r="O687" s="2060"/>
    </row>
    <row r="688" spans="1:15" s="1508" customFormat="1" ht="14.45" thickBot="1">
      <c r="A688" s="1518"/>
      <c r="B688" s="1518"/>
      <c r="C688" s="225"/>
      <c r="D688" s="220" t="s">
        <v>1248</v>
      </c>
      <c r="E688" s="220" t="e">
        <f ca="1">SUM(E673:E687)</f>
        <v>#NAME?</v>
      </c>
      <c r="F688" s="220" t="e">
        <f ca="1">SUM(F673:F687)</f>
        <v>#NAME?</v>
      </c>
      <c r="G688" s="2266" t="e">
        <f ca="1">SUM(G673:G687)</f>
        <v>#NAME?</v>
      </c>
      <c r="H688" s="2267" t="str">
        <f ca="1">IF(D688="","",IFERROR(F688/E688-1,"n/a"))</f>
        <v>n/a</v>
      </c>
      <c r="I688" s="1515"/>
      <c r="J688" s="222"/>
      <c r="K688" s="1509"/>
      <c r="O688" s="2060"/>
    </row>
    <row r="689" spans="1:15" s="1508" customFormat="1">
      <c r="A689" s="1518"/>
      <c r="B689" s="1518"/>
      <c r="C689" s="225"/>
      <c r="D689" s="187"/>
      <c r="E689" s="187"/>
      <c r="F689" s="274"/>
      <c r="G689" s="187"/>
      <c r="H689" s="284"/>
      <c r="I689" s="1515"/>
      <c r="J689" s="222"/>
      <c r="K689" s="1509"/>
      <c r="O689" s="2060"/>
    </row>
    <row r="690" spans="1:15" s="1508" customFormat="1">
      <c r="A690" s="1518"/>
      <c r="B690" s="1518"/>
      <c r="C690" s="1572"/>
      <c r="D690" s="1514" t="s">
        <v>1707</v>
      </c>
      <c r="E690" s="1579"/>
      <c r="F690" s="1575"/>
      <c r="G690" s="1514"/>
      <c r="H690" s="1575"/>
      <c r="I690" s="1571"/>
      <c r="J690" s="1574"/>
      <c r="K690" s="1509"/>
      <c r="L690" s="2060"/>
      <c r="M690" s="2060"/>
      <c r="O690" s="2060"/>
    </row>
    <row r="691" spans="1:15" s="1508" customFormat="1">
      <c r="A691" s="1518"/>
      <c r="B691" s="1518"/>
      <c r="C691" s="225"/>
      <c r="D691" s="1514" t="s">
        <v>1402</v>
      </c>
      <c r="E691" s="187"/>
      <c r="F691" s="274"/>
      <c r="G691" s="187"/>
      <c r="H691" s="284"/>
      <c r="I691" s="1515"/>
      <c r="J691" s="222"/>
      <c r="K691" s="1509"/>
      <c r="O691" s="2060"/>
    </row>
    <row r="692" spans="1:15" s="1508" customFormat="1">
      <c r="A692" s="1518"/>
      <c r="B692" s="1518"/>
      <c r="C692" s="225"/>
      <c r="H692" s="1515"/>
      <c r="I692" s="1515"/>
      <c r="K692" s="1509"/>
      <c r="L692" s="2060"/>
      <c r="M692" s="2060"/>
      <c r="O692" s="2060"/>
    </row>
    <row r="693" spans="1:15" s="1508" customFormat="1">
      <c r="A693" s="1510"/>
      <c r="B693" s="1510"/>
      <c r="C693" s="327"/>
      <c r="D693" s="1513" t="str">
        <f ca="1">FootnoteDRAFT</f>
        <v>Run date: 05-August-2018  02:34 PM.   DRAFT document. All data subject to change upon completion of additional analysis.</v>
      </c>
      <c r="E693" s="1506"/>
      <c r="F693" s="176"/>
      <c r="G693" s="1513"/>
      <c r="H693" s="368"/>
      <c r="I693" s="1512"/>
      <c r="J693" s="1512"/>
      <c r="K693" s="1509"/>
      <c r="L693" s="2060"/>
      <c r="M693" s="2060"/>
      <c r="O693" s="2060"/>
    </row>
    <row r="694" spans="1:15" s="1508" customFormat="1">
      <c r="A694" s="1510" t="s">
        <v>17</v>
      </c>
      <c r="B694" s="1510"/>
      <c r="C694" s="1510"/>
      <c r="D694" s="1510"/>
      <c r="E694" s="683"/>
      <c r="F694" s="1510"/>
      <c r="G694" s="1510"/>
      <c r="H694" s="1510"/>
      <c r="I694" s="1547"/>
      <c r="J694" s="1546" t="str">
        <f ca="1">IF(D702="","Page end","Continue")</f>
        <v>Continue</v>
      </c>
      <c r="K694" s="1510"/>
      <c r="L694" s="2060"/>
      <c r="M694" s="2060"/>
      <c r="O694" s="2060"/>
    </row>
    <row r="695" spans="1:15" s="1508" customFormat="1" ht="17.45">
      <c r="A695" s="1518"/>
      <c r="B695" s="1518"/>
      <c r="C695" s="292" t="str">
        <f ca="1">D700</f>
        <v>n/a</v>
      </c>
      <c r="D695" s="172"/>
      <c r="E695" s="674"/>
      <c r="F695" s="172"/>
      <c r="G695" s="172"/>
      <c r="H695" s="172"/>
      <c r="I695" s="1522"/>
      <c r="J695" s="389" t="str">
        <f>$J$1&amp;"."&amp;C700&amp;""</f>
        <v>Workpaper 6.21</v>
      </c>
      <c r="K695" s="1509"/>
      <c r="O695" s="2060"/>
    </row>
    <row r="696" spans="1:15" s="1508" customFormat="1" ht="17.45">
      <c r="A696" s="1518"/>
      <c r="B696" s="1518"/>
      <c r="C696" s="839" t="s">
        <v>1699</v>
      </c>
      <c r="D696" s="172"/>
      <c r="E696" s="172"/>
      <c r="F696" s="172"/>
      <c r="G696" s="172"/>
      <c r="H696" s="172"/>
      <c r="I696" s="1522"/>
      <c r="J696" s="187"/>
      <c r="K696" s="1509"/>
      <c r="O696" s="2060"/>
    </row>
    <row r="697" spans="1:15" s="1508" customFormat="1" ht="14.45">
      <c r="A697" s="1518"/>
      <c r="B697" s="1518"/>
      <c r="C697" s="366" t="str">
        <f ca="1">"(" &amp;F702&amp;" in "&amp;ScaleInput&amp;")"</f>
        <v>(USD in Millions)</v>
      </c>
      <c r="E697" s="170"/>
      <c r="F697" s="170"/>
      <c r="G697" s="170"/>
      <c r="H697" s="170"/>
      <c r="I697" s="1521"/>
      <c r="K697" s="1509"/>
      <c r="O697" s="2060"/>
    </row>
    <row r="698" spans="1:15" s="1508" customFormat="1" ht="14.45">
      <c r="A698" s="1518"/>
      <c r="B698" s="1518"/>
      <c r="C698" s="366"/>
      <c r="E698" s="172"/>
      <c r="F698" s="172"/>
      <c r="G698" s="172"/>
      <c r="H698" s="172"/>
      <c r="I698" s="1522"/>
      <c r="K698" s="1509"/>
      <c r="O698" s="2060"/>
    </row>
    <row r="699" spans="1:15" s="1508" customFormat="1">
      <c r="A699" s="1518"/>
      <c r="B699" s="1518"/>
      <c r="C699" s="1511"/>
      <c r="E699" s="172"/>
      <c r="F699" s="172"/>
      <c r="G699" s="172"/>
      <c r="H699" s="172"/>
      <c r="I699" s="1522"/>
      <c r="K699" s="1509"/>
      <c r="O699" s="2060"/>
    </row>
    <row r="700" spans="1:15" s="1508" customFormat="1">
      <c r="A700" s="1518"/>
      <c r="B700" s="1518"/>
      <c r="C700" s="226">
        <f>C667+1</f>
        <v>21</v>
      </c>
      <c r="D700" s="179" t="str">
        <f ca="1">IF(D702=0,"n/a",IFERROR(_xll.ciqfunctions.udf.CIQ(D702,"IQ_COMPANY_NAME"),"n/a"))</f>
        <v>n/a</v>
      </c>
      <c r="I700" s="1515"/>
      <c r="K700" s="1509"/>
      <c r="O700" s="2060"/>
    </row>
    <row r="701" spans="1:15" s="1508" customFormat="1">
      <c r="A701" s="1518"/>
      <c r="B701" s="1518"/>
      <c r="C701" s="225"/>
      <c r="D701" s="2258" t="s">
        <v>134</v>
      </c>
      <c r="E701" s="2258" t="s">
        <v>1708</v>
      </c>
      <c r="F701" s="2262" t="s">
        <v>167</v>
      </c>
      <c r="G701" s="2262" t="s">
        <v>1700</v>
      </c>
      <c r="H701" s="2263">
        <f>INDEX($W$9:$W$14,MATCH(H702,PeriodList,0))</f>
        <v>2000</v>
      </c>
      <c r="I701" s="1515"/>
      <c r="J701" s="201"/>
      <c r="K701" s="1509"/>
      <c r="O701" s="2060"/>
    </row>
    <row r="702" spans="1:15" s="1508" customFormat="1">
      <c r="A702" s="1518"/>
      <c r="B702" s="1518"/>
      <c r="C702" s="227"/>
      <c r="D702" s="2249">
        <f ca="1">OFFSET(GCIdentifierTop,C700,0)</f>
        <v>0</v>
      </c>
      <c r="E702" s="2250" t="str">
        <f ca="1">IF($D702="","",IFERROR(_xll.ciqfunctions.udf.CIQ($D702,"IQ_PERIODDATE",H701,Valuation_date),"n/a"))</f>
        <v>n/a</v>
      </c>
      <c r="F702" s="2251" t="str">
        <f ca="1">IFERROR(IF(C700=0,SubjOutputCurrencyCode,IF(D702="","",IF(OutputCurrency="Filing",_xll.ciqfunctions.udf.CIQ($D702,"IQ_FILING_CURRENCY",500,Valuation_date,ReportType,DataMode),OutputCurrency))),OutputCurrency)</f>
        <v>USD</v>
      </c>
      <c r="G702" s="2264" t="e">
        <f ca="1">IF(D700="","",_xll.ciqfunctions.udf.CIQ(D702,"IQ_TOTAL_REV", H701, Valuation_date,ReportType,DataMode,F702,FXMode))</f>
        <v>#NAME?</v>
      </c>
      <c r="H702" s="2265" t="str">
        <f>$H$9</f>
        <v>LTM/LFQ</v>
      </c>
      <c r="I702" s="1523"/>
      <c r="J702" s="174"/>
      <c r="K702" s="1509"/>
      <c r="O702" s="2060"/>
    </row>
    <row r="703" spans="1:15" s="1508" customFormat="1">
      <c r="A703" s="1518"/>
      <c r="B703" s="1518"/>
      <c r="C703" s="227"/>
      <c r="I703" s="1515"/>
      <c r="J703" s="221"/>
      <c r="K703" s="1509"/>
      <c r="O703" s="2060"/>
    </row>
    <row r="704" spans="1:15" s="1508" customFormat="1">
      <c r="A704" s="1518"/>
      <c r="B704" s="1518"/>
      <c r="C704" s="227"/>
      <c r="D704" s="741"/>
      <c r="E704" s="744" t="e">
        <f ca="1">IF(D702="",Valuation_date,_xll.ciqfunctions.udf.CIQ(D702,"IQ_PERIODDATE",H701-IF(LEFT(H702,3)="LFY",1,4),Valuation_date))</f>
        <v>#NAME?</v>
      </c>
      <c r="F704" s="742" t="e">
        <f ca="1">IF(D702="",Valuation_date,_xll.ciqfunctions.udf.CIQ(D702,"IQ_PERIODDATE",H701,Valuation_date))</f>
        <v>#NAME?</v>
      </c>
      <c r="G704" s="741"/>
      <c r="H704" s="743" t="s">
        <v>1702</v>
      </c>
      <c r="I704" s="1587"/>
      <c r="J704" s="221"/>
      <c r="K704" s="1509"/>
      <c r="O704" s="2060"/>
    </row>
    <row r="705" spans="1:15" s="1508" customFormat="1">
      <c r="A705" s="1518"/>
      <c r="B705" s="1518"/>
      <c r="C705" s="227"/>
      <c r="D705" s="2254" t="s">
        <v>1703</v>
      </c>
      <c r="E705" s="2255" t="s">
        <v>1458</v>
      </c>
      <c r="F705" s="2255" t="s">
        <v>1458</v>
      </c>
      <c r="G705" s="2255" t="s">
        <v>1704</v>
      </c>
      <c r="H705" s="2255" t="s">
        <v>1705</v>
      </c>
      <c r="I705" s="2256" t="s">
        <v>1706</v>
      </c>
      <c r="J705" s="222"/>
      <c r="K705" s="1509"/>
      <c r="O705" s="2060"/>
    </row>
    <row r="706" spans="1:15" s="1508" customFormat="1">
      <c r="A706" s="1518" t="e">
        <f t="shared" ref="A706:A718" ca="1" si="42">IF(D706="","n","")</f>
        <v>#NAME?</v>
      </c>
      <c r="B706" s="1518"/>
      <c r="C706" s="227">
        <v>1</v>
      </c>
      <c r="D706" s="223" t="e">
        <f ca="1">IF(D700="","",IF(ISNUMBER(_xll.ciqfunctions.udf.CIQ(D702,"IQ_BUS_SEG_NAME", H701, Valuation_date, , , , , $C706)),"",_xll.ciqfunctions.udf.CIQ(D702,"IQ_BUS_SEG_NAME", H701, Valuation_date, , , , , $C706)))</f>
        <v>#NAME?</v>
      </c>
      <c r="E706" s="187" t="e">
        <f ca="1">IF(D700="","",IF(D706="","",_xll.ciqfunctions.udf.CIQ(D702,"IQ_BUS_SEG_REV", H701-1, Valuation_date, ReportType,DataMode, F702,FXMode, C706)*Scale))</f>
        <v>#NAME?</v>
      </c>
      <c r="F706" s="187" t="e">
        <f ca="1">IF(D700="","",IF(D706="","",_xll.ciqfunctions.udf.CIQ(D702,"IQ_BUS_SEG_REV", H701, Valuation_date, ReportType,DataMode, F702,FXMode, $C706)*Scale))</f>
        <v>#NAME?</v>
      </c>
      <c r="G706" s="274" t="e">
        <f ca="1">IF(D706="","",IFERROR(F706/F721,"n/a"))</f>
        <v>#NAME?</v>
      </c>
      <c r="H706" s="274" t="e">
        <f ca="1">IF(D706="","",IFERROR(F706/E706-1,"n/a"))</f>
        <v>#NAME?</v>
      </c>
      <c r="I706" s="1524" t="e">
        <f ca="1">IF(D700="","",IF(D706="","",_xll.ciqfunctions.udf.CIQ(D702,"IQ_BUS_SEG_DESCRIPTION", H701, Valuation_date, , , , , $C706)))</f>
        <v>#NAME?</v>
      </c>
      <c r="J706" s="175"/>
      <c r="K706" s="1509"/>
      <c r="O706" s="2060"/>
    </row>
    <row r="707" spans="1:15" s="1508" customFormat="1">
      <c r="A707" s="1518" t="e">
        <f t="shared" ca="1" si="42"/>
        <v>#NAME?</v>
      </c>
      <c r="B707" s="1518"/>
      <c r="C707" s="227">
        <v>2</v>
      </c>
      <c r="D707" s="223" t="e">
        <f ca="1">IF(D700="","",IF(ISNUMBER(_xll.ciqfunctions.udf.CIQ(D702,"IQ_BUS_SEG_NAME", H701, Valuation_date, , , , , $C707)),"",_xll.ciqfunctions.udf.CIQ(D702,"IQ_BUS_SEG_NAME", H701, Valuation_date, , , , , $C707)))</f>
        <v>#NAME?</v>
      </c>
      <c r="E707" s="187" t="e">
        <f ca="1">IF(D700="","",IF(D707="","",_xll.ciqfunctions.udf.CIQ(D702,"IQ_BUS_SEG_REV", H701-1, Valuation_date, ReportType,DataMode, F702,FXMode, C707)*Scale))</f>
        <v>#NAME?</v>
      </c>
      <c r="F707" s="187" t="e">
        <f ca="1">IF(D700="","",IF(D707="","",_xll.ciqfunctions.udf.CIQ(D702,"IQ_BUS_SEG_REV", H701, Valuation_date, ReportType,DataMode, F702,FXMode, $C707)*Scale))</f>
        <v>#NAME?</v>
      </c>
      <c r="G707" s="274" t="e">
        <f ca="1">IF(D707="","",IFERROR(F707/F721,"n/a"))</f>
        <v>#NAME?</v>
      </c>
      <c r="H707" s="274" t="e">
        <f t="shared" ref="H707:H720" ca="1" si="43">IF(D707="","",IFERROR(F707/E707-1,"n/a"))</f>
        <v>#NAME?</v>
      </c>
      <c r="I707" s="1524" t="e">
        <f ca="1">IF(D700="","",IF(D707="","",_xll.ciqfunctions.udf.CIQ(D702,"IQ_BUS_SEG_DESCRIPTION", H701, Valuation_date, , , , , $C707)))</f>
        <v>#NAME?</v>
      </c>
      <c r="J707" s="175"/>
      <c r="K707" s="1509"/>
      <c r="O707" s="2060"/>
    </row>
    <row r="708" spans="1:15" s="1508" customFormat="1">
      <c r="A708" s="1518" t="e">
        <f t="shared" ca="1" si="42"/>
        <v>#NAME?</v>
      </c>
      <c r="B708" s="1518"/>
      <c r="C708" s="227">
        <v>3</v>
      </c>
      <c r="D708" s="223" t="e">
        <f ca="1">IF(D700="","",IF(ISNUMBER(_xll.ciqfunctions.udf.CIQ(D702,"IQ_BUS_SEG_NAME", H701, Valuation_date, , , , , $C708)),"",_xll.ciqfunctions.udf.CIQ(D702,"IQ_BUS_SEG_NAME", H701, Valuation_date, , , , , $C708)))</f>
        <v>#NAME?</v>
      </c>
      <c r="E708" s="187" t="e">
        <f ca="1">IF(D700="","",IF(D708="","",_xll.ciqfunctions.udf.CIQ(D702,"IQ_BUS_SEG_REV", H701-1, Valuation_date, ReportType,DataMode, F702,FXMode, C708)*Scale))</f>
        <v>#NAME?</v>
      </c>
      <c r="F708" s="187" t="e">
        <f ca="1">IF(D700="","",IF(D708="","",_xll.ciqfunctions.udf.CIQ(D702,"IQ_BUS_SEG_REV", H701, Valuation_date, ReportType,DataMode, F702,FXMode, $C708)*Scale))</f>
        <v>#NAME?</v>
      </c>
      <c r="G708" s="274" t="e">
        <f ca="1">IF(D708="","",IFERROR(F708/F721,"n/a"))</f>
        <v>#NAME?</v>
      </c>
      <c r="H708" s="274" t="e">
        <f t="shared" ca="1" si="43"/>
        <v>#NAME?</v>
      </c>
      <c r="I708" s="1524" t="e">
        <f ca="1">IF(D700="","",IF(D708="","",_xll.ciqfunctions.udf.CIQ(D702,"IQ_BUS_SEG_DESCRIPTION", H701, Valuation_date, , , , , $C708)))</f>
        <v>#NAME?</v>
      </c>
      <c r="J708" s="175"/>
      <c r="K708" s="1509"/>
      <c r="O708" s="2060"/>
    </row>
    <row r="709" spans="1:15" s="1508" customFormat="1">
      <c r="A709" s="1518" t="e">
        <f t="shared" ca="1" si="42"/>
        <v>#NAME?</v>
      </c>
      <c r="B709" s="1518"/>
      <c r="C709" s="227">
        <v>4</v>
      </c>
      <c r="D709" s="223" t="e">
        <f ca="1">IF(D700="","",IF(ISNUMBER(_xll.ciqfunctions.udf.CIQ(D702,"IQ_BUS_SEG_NAME", H701, Valuation_date, , , , , $C709)),"",_xll.ciqfunctions.udf.CIQ(D702,"IQ_BUS_SEG_NAME", H701, Valuation_date, , , , , $C709)))</f>
        <v>#NAME?</v>
      </c>
      <c r="E709" s="187" t="e">
        <f ca="1">IF(D700="","",IF(D709="","",_xll.ciqfunctions.udf.CIQ(D702,"IQ_BUS_SEG_REV", H701-1, Valuation_date, ReportType,DataMode, F702,FXMode, C709)*Scale))</f>
        <v>#NAME?</v>
      </c>
      <c r="F709" s="187" t="e">
        <f ca="1">IF(D700="","",IF(D709="","",_xll.ciqfunctions.udf.CIQ(D702,"IQ_BUS_SEG_REV", H701, Valuation_date, ReportType,DataMode, F702,FXMode, $C709)*Scale))</f>
        <v>#NAME?</v>
      </c>
      <c r="G709" s="274" t="e">
        <f ca="1">IF(D709="","",IFERROR(F709/F721,"n/a"))</f>
        <v>#NAME?</v>
      </c>
      <c r="H709" s="274" t="e">
        <f t="shared" ca="1" si="43"/>
        <v>#NAME?</v>
      </c>
      <c r="I709" s="1524" t="e">
        <f ca="1">IF(D700="","",IF(D709="","",_xll.ciqfunctions.udf.CIQ(D702,"IQ_BUS_SEG_DESCRIPTION", H701, Valuation_date, , , , , $C709)))</f>
        <v>#NAME?</v>
      </c>
      <c r="J709" s="175"/>
      <c r="K709" s="1509"/>
      <c r="O709" s="2060"/>
    </row>
    <row r="710" spans="1:15" s="1508" customFormat="1">
      <c r="A710" s="1518" t="e">
        <f t="shared" ca="1" si="42"/>
        <v>#NAME?</v>
      </c>
      <c r="B710" s="1518"/>
      <c r="C710" s="227">
        <v>5</v>
      </c>
      <c r="D710" s="223" t="e">
        <f ca="1">IF(D700="","",IF(ISNUMBER(_xll.ciqfunctions.udf.CIQ(D702,"IQ_BUS_SEG_NAME", H701, Valuation_date, , , , , $C710)),"",_xll.ciqfunctions.udf.CIQ(D702,"IQ_BUS_SEG_NAME", H701, Valuation_date, , , , , $C710)))</f>
        <v>#NAME?</v>
      </c>
      <c r="E710" s="187" t="e">
        <f ca="1">IF(D700="","",IF(D710="","",_xll.ciqfunctions.udf.CIQ(D702,"IQ_BUS_SEG_REV", H701-1, Valuation_date, ReportType,DataMode, F702,FXMode, C710)*Scale))</f>
        <v>#NAME?</v>
      </c>
      <c r="F710" s="187" t="e">
        <f ca="1">IF(D700="","",IF(D710="","",_xll.ciqfunctions.udf.CIQ(D702,"IQ_BUS_SEG_REV", H701, Valuation_date, ReportType,DataMode, F702,FXMode, $C710)*Scale))</f>
        <v>#NAME?</v>
      </c>
      <c r="G710" s="274" t="e">
        <f ca="1">IF(D710="","",IFERROR(F710/F721,"n/a"))</f>
        <v>#NAME?</v>
      </c>
      <c r="H710" s="274" t="e">
        <f t="shared" ca="1" si="43"/>
        <v>#NAME?</v>
      </c>
      <c r="I710" s="1524" t="e">
        <f ca="1">IF(D700="","",IF(D710="","",_xll.ciqfunctions.udf.CIQ(D702,"IQ_BUS_SEG_DESCRIPTION", H701, Valuation_date, , , , , $C710)))</f>
        <v>#NAME?</v>
      </c>
      <c r="J710" s="224"/>
      <c r="K710" s="1509"/>
      <c r="O710" s="2060"/>
    </row>
    <row r="711" spans="1:15" s="1508" customFormat="1">
      <c r="A711" s="1518" t="e">
        <f t="shared" ca="1" si="42"/>
        <v>#NAME?</v>
      </c>
      <c r="B711" s="1518"/>
      <c r="C711" s="227">
        <v>6</v>
      </c>
      <c r="D711" s="223" t="e">
        <f ca="1">IF(D700="","",IF(ISNUMBER(_xll.ciqfunctions.udf.CIQ(D702,"IQ_BUS_SEG_NAME", H701, Valuation_date, , , , , $C711)),"",_xll.ciqfunctions.udf.CIQ(D702,"IQ_BUS_SEG_NAME", H701, Valuation_date, , , , , $C711)))</f>
        <v>#NAME?</v>
      </c>
      <c r="E711" s="187" t="e">
        <f ca="1">IF(D700="","",IF(D711="","",_xll.ciqfunctions.udf.CIQ(D702,"IQ_BUS_SEG_REV", H701-1, Valuation_date, ReportType,DataMode, F702,FXMode, C711)*Scale))</f>
        <v>#NAME?</v>
      </c>
      <c r="F711" s="187" t="e">
        <f ca="1">IF(D700="","",IF(D711="","",_xll.ciqfunctions.udf.CIQ(D702,"IQ_BUS_SEG_REV", H701, Valuation_date, ReportType,DataMode, F702,FXMode, $C711)*Scale))</f>
        <v>#NAME?</v>
      </c>
      <c r="G711" s="274" t="e">
        <f ca="1">IF(D711="","",IFERROR(F711/F721,"n/a"))</f>
        <v>#NAME?</v>
      </c>
      <c r="H711" s="274" t="e">
        <f t="shared" ca="1" si="43"/>
        <v>#NAME?</v>
      </c>
      <c r="I711" s="1524" t="e">
        <f ca="1">IF(D700="","",IF(D711="","",_xll.ciqfunctions.udf.CIQ(D702,"IQ_BUS_SEG_DESCRIPTION", H701, Valuation_date, , , , , $C711)))</f>
        <v>#NAME?</v>
      </c>
      <c r="J711" s="224"/>
      <c r="K711" s="1509"/>
      <c r="O711" s="2060"/>
    </row>
    <row r="712" spans="1:15" s="1508" customFormat="1">
      <c r="A712" s="1518" t="e">
        <f t="shared" ca="1" si="42"/>
        <v>#NAME?</v>
      </c>
      <c r="B712" s="1518"/>
      <c r="C712" s="227">
        <v>7</v>
      </c>
      <c r="D712" s="223" t="e">
        <f ca="1">IF(D700="","",IF(ISNUMBER(_xll.ciqfunctions.udf.CIQ(D702,"IQ_BUS_SEG_NAME", H701, Valuation_date, , , , , $C712)),"",_xll.ciqfunctions.udf.CIQ(D702,"IQ_BUS_SEG_NAME", H701, Valuation_date, , , , , $C712)))</f>
        <v>#NAME?</v>
      </c>
      <c r="E712" s="187" t="e">
        <f ca="1">IF(D700="","",IF(D712="","",_xll.ciqfunctions.udf.CIQ(D702,"IQ_BUS_SEG_REV", H701-1, Valuation_date, ReportType,DataMode, F702,FXMode, C712)*Scale))</f>
        <v>#NAME?</v>
      </c>
      <c r="F712" s="187" t="e">
        <f ca="1">IF(D700="","",IF(D712="","",_xll.ciqfunctions.udf.CIQ(D702,"IQ_BUS_SEG_REV", H701, Valuation_date, ReportType,DataMode, F702,FXMode, $C712)*Scale))</f>
        <v>#NAME?</v>
      </c>
      <c r="G712" s="274" t="e">
        <f ca="1">IF(D712="","",IFERROR(F712/F721,"n/a"))</f>
        <v>#NAME?</v>
      </c>
      <c r="H712" s="274" t="e">
        <f t="shared" ca="1" si="43"/>
        <v>#NAME?</v>
      </c>
      <c r="I712" s="1524" t="e">
        <f ca="1">IF(D700="","",IF(D712="","",_xll.ciqfunctions.udf.CIQ(D702,"IQ_BUS_SEG_DESCRIPTION", H701, Valuation_date, , , , , $C712)))</f>
        <v>#NAME?</v>
      </c>
      <c r="J712" s="221"/>
      <c r="K712" s="1509"/>
      <c r="O712" s="2060"/>
    </row>
    <row r="713" spans="1:15" s="1508" customFormat="1">
      <c r="A713" s="1518" t="e">
        <f t="shared" ca="1" si="42"/>
        <v>#NAME?</v>
      </c>
      <c r="B713" s="1518"/>
      <c r="C713" s="227">
        <v>8</v>
      </c>
      <c r="D713" s="223" t="e">
        <f ca="1">IF(D700="","",IF(ISNUMBER(_xll.ciqfunctions.udf.CIQ(D702,"IQ_BUS_SEG_NAME", H701, Valuation_date, , , , , $C713)),"",_xll.ciqfunctions.udf.CIQ(D702,"IQ_BUS_SEG_NAME", H701, Valuation_date, , , , , $C713)))</f>
        <v>#NAME?</v>
      </c>
      <c r="E713" s="187" t="e">
        <f ca="1">IF(D700="","",IF(D713="","",_xll.ciqfunctions.udf.CIQ(D702,"IQ_BUS_SEG_REV", H701-1, Valuation_date, ReportType,DataMode, F702,FXMode, C713)*Scale))</f>
        <v>#NAME?</v>
      </c>
      <c r="F713" s="187" t="e">
        <f ca="1">IF(D700="","",IF(D713="","",_xll.ciqfunctions.udf.CIQ(D702,"IQ_BUS_SEG_REV", H701, Valuation_date, ReportType,DataMode, F702,FXMode, $C713)*Scale))</f>
        <v>#NAME?</v>
      </c>
      <c r="G713" s="274" t="e">
        <f ca="1">IF(D713="","",IFERROR(F713/F721,"n/a"))</f>
        <v>#NAME?</v>
      </c>
      <c r="H713" s="274" t="e">
        <f t="shared" ca="1" si="43"/>
        <v>#NAME?</v>
      </c>
      <c r="I713" s="1524" t="e">
        <f ca="1">IF(D700="","",IF(D713="","",_xll.ciqfunctions.udf.CIQ(D702,"IQ_BUS_SEG_DESCRIPTION", H701, Valuation_date, , , , , $C713)))</f>
        <v>#NAME?</v>
      </c>
      <c r="J713" s="222"/>
      <c r="K713" s="1509"/>
      <c r="O713" s="2060"/>
    </row>
    <row r="714" spans="1:15" s="1508" customFormat="1">
      <c r="A714" s="1518" t="e">
        <f t="shared" ca="1" si="42"/>
        <v>#NAME?</v>
      </c>
      <c r="B714" s="1518"/>
      <c r="C714" s="227">
        <v>9</v>
      </c>
      <c r="D714" s="223" t="e">
        <f ca="1">IF(D700="","",IF(ISNUMBER(_xll.ciqfunctions.udf.CIQ(D702,"IQ_BUS_SEG_NAME", H701, Valuation_date, , , , , $C714)),"",_xll.ciqfunctions.udf.CIQ(D702,"IQ_BUS_SEG_NAME", H701, Valuation_date, , , , , $C714)))</f>
        <v>#NAME?</v>
      </c>
      <c r="E714" s="187" t="e">
        <f ca="1">IF(D700="","",IF(D714="","",_xll.ciqfunctions.udf.CIQ(D702,"IQ_BUS_SEG_REV", H701-1, Valuation_date, ReportType,DataMode, F702,FXMode, C714)*Scale))</f>
        <v>#NAME?</v>
      </c>
      <c r="F714" s="187" t="e">
        <f ca="1">IF(D700="","",IF(D714="","",_xll.ciqfunctions.udf.CIQ(D702,"IQ_BUS_SEG_REV", H701, Valuation_date, ReportType,DataMode, F702,FXMode, $C714)*Scale))</f>
        <v>#NAME?</v>
      </c>
      <c r="G714" s="274" t="e">
        <f ca="1">IF(D714="","",IFERROR(F714/F721,"n/a"))</f>
        <v>#NAME?</v>
      </c>
      <c r="H714" s="274" t="e">
        <f t="shared" ca="1" si="43"/>
        <v>#NAME?</v>
      </c>
      <c r="I714" s="1524" t="e">
        <f ca="1">IF(D700="","",IF(D714="","",_xll.ciqfunctions.udf.CIQ(D702,"IQ_BUS_SEG_DESCRIPTION", H701, Valuation_date, , , , , $C714)))</f>
        <v>#NAME?</v>
      </c>
      <c r="J714" s="222"/>
      <c r="K714" s="1509"/>
      <c r="O714" s="2060"/>
    </row>
    <row r="715" spans="1:15" s="1508" customFormat="1">
      <c r="A715" s="1518" t="e">
        <f t="shared" ca="1" si="42"/>
        <v>#NAME?</v>
      </c>
      <c r="B715" s="1518"/>
      <c r="C715" s="227">
        <v>10</v>
      </c>
      <c r="D715" s="223" t="e">
        <f ca="1">IF(D700="","",IF(ISNUMBER(_xll.ciqfunctions.udf.CIQ(D702,"IQ_BUS_SEG_NAME", H701, Valuation_date, , , , , $C715)),"",_xll.ciqfunctions.udf.CIQ(D702,"IQ_BUS_SEG_NAME", H701, Valuation_date, , , , , $C715)))</f>
        <v>#NAME?</v>
      </c>
      <c r="E715" s="187" t="e">
        <f ca="1">IF(D700="","",IF(D715="","",_xll.ciqfunctions.udf.CIQ(D702,"IQ_BUS_SEG_REV", H701-1, Valuation_date, ReportType,DataMode, F702,FXMode, C715)*Scale))</f>
        <v>#NAME?</v>
      </c>
      <c r="F715" s="187" t="e">
        <f ca="1">IF(D700="","",IF(D715="","",_xll.ciqfunctions.udf.CIQ(D702,"IQ_BUS_SEG_REV", H701, Valuation_date, ReportType,DataMode, F702,FXMode, $C715)*Scale))</f>
        <v>#NAME?</v>
      </c>
      <c r="G715" s="274" t="e">
        <f ca="1">IF(D715="","",IFERROR(F715/F721,"n/a"))</f>
        <v>#NAME?</v>
      </c>
      <c r="H715" s="284" t="e">
        <f t="shared" ca="1" si="43"/>
        <v>#NAME?</v>
      </c>
      <c r="I715" s="1524" t="e">
        <f ca="1">IF(D700="","",IF(D715="","",_xll.ciqfunctions.udf.CIQ(D702,"IQ_BUS_SEG_DESCRIPTION", H701, Valuation_date, , , , , $C715)))</f>
        <v>#NAME?</v>
      </c>
      <c r="J715" s="175"/>
      <c r="K715" s="1509"/>
      <c r="O715" s="2060"/>
    </row>
    <row r="716" spans="1:15" s="1508" customFormat="1">
      <c r="A716" s="1518" t="e">
        <f t="shared" ca="1" si="42"/>
        <v>#NAME?</v>
      </c>
      <c r="B716" s="1518"/>
      <c r="C716" s="227">
        <v>11</v>
      </c>
      <c r="D716" s="223" t="e">
        <f ca="1">IF(D700="","",IF(ISNUMBER(_xll.ciqfunctions.udf.CIQ(D702,"IQ_BUS_SEG_NAME", H701, Valuation_date, , , , , $C716)),"",_xll.ciqfunctions.udf.CIQ(D702,"IQ_BUS_SEG_NAME", H701, Valuation_date, , , , , $C716)))</f>
        <v>#NAME?</v>
      </c>
      <c r="E716" s="187" t="e">
        <f ca="1">IF(D700="","",IF(D716="","",_xll.ciqfunctions.udf.CIQ(D702,"IQ_BUS_SEG_REV", H701-1, Valuation_date, ReportType,DataMode, F702,FXMode, C716)*Scale))</f>
        <v>#NAME?</v>
      </c>
      <c r="F716" s="187" t="e">
        <f ca="1">IF(D700="","",IF(D716="","",_xll.ciqfunctions.udf.CIQ(D702,"IQ_BUS_SEG_REV", H701, Valuation_date, ReportType,DataMode, F702,FXMode, $C716)*Scale))</f>
        <v>#NAME?</v>
      </c>
      <c r="G716" s="274" t="e">
        <f ca="1">IF(D716="","",IFERROR(F716/F721,"n/a"))</f>
        <v>#NAME?</v>
      </c>
      <c r="H716" s="284" t="e">
        <f t="shared" ca="1" si="43"/>
        <v>#NAME?</v>
      </c>
      <c r="I716" s="1524" t="e">
        <f ca="1">IF(D700="","",IF(D716="","",_xll.ciqfunctions.udf.CIQ(D702,"IQ_BUS_SEG_DESCRIPTION", H701, Valuation_date, , , , , $C716)))</f>
        <v>#NAME?</v>
      </c>
      <c r="J716" s="222"/>
      <c r="K716" s="1509"/>
      <c r="O716" s="2060"/>
    </row>
    <row r="717" spans="1:15" s="1508" customFormat="1">
      <c r="A717" s="1518" t="e">
        <f t="shared" ca="1" si="42"/>
        <v>#NAME?</v>
      </c>
      <c r="B717" s="1518"/>
      <c r="C717" s="227">
        <v>12</v>
      </c>
      <c r="D717" s="223" t="e">
        <f ca="1">IF(D700="","",IF(ISNUMBER(_xll.ciqfunctions.udf.CIQ(D702,"IQ_BUS_SEG_NAME", H701, Valuation_date, , , , , $C717)),"",_xll.ciqfunctions.udf.CIQ(D702,"IQ_BUS_SEG_NAME", H701, Valuation_date, , , , , $C717)))</f>
        <v>#NAME?</v>
      </c>
      <c r="E717" s="187" t="e">
        <f ca="1">IF(D700="","",IF(D717="","",_xll.ciqfunctions.udf.CIQ(D702,"IQ_BUS_SEG_REV", H701-1, Valuation_date, ReportType,DataMode, F702,FXMode, C717)*Scale))</f>
        <v>#NAME?</v>
      </c>
      <c r="F717" s="187" t="e">
        <f ca="1">IF(D700="","",IF(D717="","",_xll.ciqfunctions.udf.CIQ(D702,"IQ_BUS_SEG_REV", H701, Valuation_date, ReportType,DataMode, F702,FXMode, $C717)*Scale))</f>
        <v>#NAME?</v>
      </c>
      <c r="G717" s="274" t="e">
        <f ca="1">IF(D717="","",IFERROR(F717/F721,"n/a"))</f>
        <v>#NAME?</v>
      </c>
      <c r="H717" s="284" t="e">
        <f t="shared" ca="1" si="43"/>
        <v>#NAME?</v>
      </c>
      <c r="I717" s="1524" t="e">
        <f ca="1">IF(D700="","",IF(D717="","",_xll.ciqfunctions.udf.CIQ(D702,"IQ_BUS_SEG_DESCRIPTION", H701, Valuation_date, , , , , $C717)))</f>
        <v>#NAME?</v>
      </c>
      <c r="J717" s="222"/>
      <c r="K717" s="1509"/>
      <c r="O717" s="2060"/>
    </row>
    <row r="718" spans="1:15" s="1508" customFormat="1">
      <c r="A718" s="1518" t="e">
        <f t="shared" ca="1" si="42"/>
        <v>#NAME?</v>
      </c>
      <c r="B718" s="1518"/>
      <c r="C718" s="227">
        <v>13</v>
      </c>
      <c r="D718" s="223" t="e">
        <f ca="1">IF(D700="","",IF(ISNUMBER(_xll.ciqfunctions.udf.CIQ(D702,"IQ_BUS_SEG_NAME", H701, Valuation_date, , , , , $C718)),"",_xll.ciqfunctions.udf.CIQ(D702,"IQ_BUS_SEG_NAME", H701, Valuation_date, , , , , $C718)))</f>
        <v>#NAME?</v>
      </c>
      <c r="E718" s="187" t="e">
        <f ca="1">IF(D700="","",IF(D718="","",_xll.ciqfunctions.udf.CIQ(D702,"IQ_BUS_SEG_REV", H701-1, Valuation_date, ReportType,DataMode, F702,FXMode, C718)*Scale))</f>
        <v>#NAME?</v>
      </c>
      <c r="F718" s="187" t="e">
        <f ca="1">IF(D700="","",IF(D718="","",_xll.ciqfunctions.udf.CIQ(D702,"IQ_BUS_SEG_REV", H701, Valuation_date, ReportType,DataMode, F702,FXMode, $C718)*Scale))</f>
        <v>#NAME?</v>
      </c>
      <c r="G718" s="274" t="e">
        <f ca="1">IF(D718="","",IFERROR(F718/F721,"n/a"))</f>
        <v>#NAME?</v>
      </c>
      <c r="H718" s="284" t="e">
        <f t="shared" ca="1" si="43"/>
        <v>#NAME?</v>
      </c>
      <c r="I718" s="1524" t="e">
        <f ca="1">IF(D700="","",IF(D718="","",_xll.ciqfunctions.udf.CIQ(D702,"IQ_BUS_SEG_DESCRIPTION", H701, Valuation_date, , , , , $C718)))</f>
        <v>#NAME?</v>
      </c>
      <c r="J718" s="222"/>
      <c r="K718" s="1509"/>
      <c r="O718" s="2060"/>
    </row>
    <row r="719" spans="1:15" s="1508" customFormat="1">
      <c r="A719" s="1518" t="e">
        <f ca="1">IF(D719="","n","")</f>
        <v>#NAME?</v>
      </c>
      <c r="B719" s="1518"/>
      <c r="C719" s="227">
        <v>14</v>
      </c>
      <c r="D719" s="223" t="e">
        <f ca="1">IF(D700="","",IF(ISNUMBER(_xll.ciqfunctions.udf.CIQ(D702,"IQ_BUS_SEG_NAME", H701, Valuation_date, , , , , $C719)),"",_xll.ciqfunctions.udf.CIQ(D702,"IQ_BUS_SEG_NAME", H701, Valuation_date, , , , , $C719)))</f>
        <v>#NAME?</v>
      </c>
      <c r="E719" s="187" t="e">
        <f ca="1">IF(D700="","",IF(D719="","",_xll.ciqfunctions.udf.CIQ(D702,"IQ_BUS_SEG_REV", H701-1, Valuation_date, ReportType,DataMode, F702,FXMode, C719)*Scale))</f>
        <v>#NAME?</v>
      </c>
      <c r="F719" s="187" t="e">
        <f ca="1">IF(D700="","",IF(D719="","",_xll.ciqfunctions.udf.CIQ(D702,"IQ_BUS_SEG_REV", H701, Valuation_date, ReportType,DataMode, F702,FXMode, $C719)*Scale))</f>
        <v>#NAME?</v>
      </c>
      <c r="G719" s="274" t="e">
        <f ca="1">IF(D719="","",IFERROR(F719/F721,"n/a"))</f>
        <v>#NAME?</v>
      </c>
      <c r="H719" s="284" t="e">
        <f t="shared" ca="1" si="43"/>
        <v>#NAME?</v>
      </c>
      <c r="I719" s="1524" t="e">
        <f ca="1">IF(D700="","",IF(D719="","",_xll.ciqfunctions.udf.CIQ(D702,"IQ_BUS_SEG_DESCRIPTION", H701, Valuation_date, , , , , $C719)))</f>
        <v>#NAME?</v>
      </c>
      <c r="J719" s="222"/>
      <c r="K719" s="1509"/>
      <c r="O719" s="2060"/>
    </row>
    <row r="720" spans="1:15" s="1508" customFormat="1">
      <c r="A720" s="1518" t="e">
        <f ca="1">IF(D720="","n","")</f>
        <v>#NAME?</v>
      </c>
      <c r="B720" s="1518"/>
      <c r="C720" s="227">
        <v>15</v>
      </c>
      <c r="D720" s="223" t="e">
        <f ca="1">IF(D700="","",IF(ISNUMBER(_xll.ciqfunctions.udf.CIQ(D702,"IQ_BUS_SEG_NAME", H701, Valuation_date, , , , , $C720)),"",_xll.ciqfunctions.udf.CIQ(D702,"IQ_BUS_SEG_NAME", H701, Valuation_date, , , , , $C720)))</f>
        <v>#NAME?</v>
      </c>
      <c r="E720" s="187" t="e">
        <f ca="1">IF(D700="","",IF(D720="","",_xll.ciqfunctions.udf.CIQ(D702,"IQ_BUS_SEG_REV", H701-1, Valuation_date, ReportType,DataMode, F702,FXMode, C720)*Scale))</f>
        <v>#NAME?</v>
      </c>
      <c r="F720" s="187" t="e">
        <f ca="1">IF(D700="","",IF(D720="","",_xll.ciqfunctions.udf.CIQ(D702,"IQ_BUS_SEG_REV", H701, Valuation_date, ReportType,DataMode, F702,FXMode, $C720)*Scale))</f>
        <v>#NAME?</v>
      </c>
      <c r="G720" s="274" t="e">
        <f ca="1">IF(D720="","",IFERROR(F720/F721,"n/a"))</f>
        <v>#NAME?</v>
      </c>
      <c r="H720" s="284" t="e">
        <f t="shared" ca="1" si="43"/>
        <v>#NAME?</v>
      </c>
      <c r="I720" s="1524" t="e">
        <f ca="1">IF(D700="","",IF(D720="","",_xll.ciqfunctions.udf.CIQ(D702,"IQ_BUS_SEG_DESCRIPTION", H701, Valuation_date, , , , , $C720)))</f>
        <v>#NAME?</v>
      </c>
      <c r="J720" s="222"/>
      <c r="K720" s="1509"/>
      <c r="O720" s="2060"/>
    </row>
    <row r="721" spans="1:15" s="1508" customFormat="1" ht="14.45" thickBot="1">
      <c r="A721" s="1518"/>
      <c r="B721" s="1518"/>
      <c r="C721" s="225"/>
      <c r="D721" s="220" t="s">
        <v>1248</v>
      </c>
      <c r="E721" s="220" t="e">
        <f ca="1">SUM(E706:E720)</f>
        <v>#NAME?</v>
      </c>
      <c r="F721" s="220" t="e">
        <f ca="1">SUM(F706:F720)</f>
        <v>#NAME?</v>
      </c>
      <c r="G721" s="2266" t="e">
        <f ca="1">SUM(G706:G720)</f>
        <v>#NAME?</v>
      </c>
      <c r="H721" s="2267" t="str">
        <f ca="1">IF(D721="","",IFERROR(F721/E721-1,"n/a"))</f>
        <v>n/a</v>
      </c>
      <c r="I721" s="1515"/>
      <c r="J721" s="222"/>
      <c r="K721" s="1509"/>
      <c r="O721" s="2060"/>
    </row>
    <row r="722" spans="1:15" s="1508" customFormat="1">
      <c r="A722" s="1518"/>
      <c r="B722" s="1518"/>
      <c r="C722" s="225"/>
      <c r="D722" s="187"/>
      <c r="E722" s="187"/>
      <c r="F722" s="274"/>
      <c r="G722" s="187"/>
      <c r="H722" s="284"/>
      <c r="I722" s="1515"/>
      <c r="J722" s="222"/>
      <c r="K722" s="1509"/>
      <c r="O722" s="2060"/>
    </row>
    <row r="723" spans="1:15" s="1508" customFormat="1">
      <c r="A723" s="1518"/>
      <c r="B723" s="1518"/>
      <c r="C723" s="1572"/>
      <c r="D723" s="1514" t="s">
        <v>1707</v>
      </c>
      <c r="E723" s="1579"/>
      <c r="F723" s="1575"/>
      <c r="G723" s="1514"/>
      <c r="H723" s="1575"/>
      <c r="I723" s="1571"/>
      <c r="J723" s="1574"/>
      <c r="K723" s="1509"/>
      <c r="L723" s="2060"/>
      <c r="M723" s="2060"/>
      <c r="O723" s="2060"/>
    </row>
    <row r="724" spans="1:15" s="1508" customFormat="1">
      <c r="A724" s="1518"/>
      <c r="B724" s="1518"/>
      <c r="C724" s="225"/>
      <c r="D724" s="1514" t="s">
        <v>1402</v>
      </c>
      <c r="E724" s="187"/>
      <c r="F724" s="274"/>
      <c r="G724" s="187"/>
      <c r="H724" s="284"/>
      <c r="I724" s="1515"/>
      <c r="J724" s="222"/>
      <c r="K724" s="1509"/>
      <c r="O724" s="2060"/>
    </row>
    <row r="725" spans="1:15" s="1508" customFormat="1">
      <c r="A725" s="1518"/>
      <c r="B725" s="1518"/>
      <c r="C725" s="225"/>
      <c r="H725" s="1515"/>
      <c r="I725" s="1515"/>
      <c r="K725" s="1509"/>
      <c r="L725" s="2060"/>
      <c r="M725" s="2060"/>
      <c r="O725" s="2060"/>
    </row>
    <row r="726" spans="1:15" s="1508" customFormat="1">
      <c r="A726" s="1510"/>
      <c r="B726" s="1510"/>
      <c r="C726" s="327"/>
      <c r="D726" s="1513" t="str">
        <f ca="1">FootnoteDRAFT</f>
        <v>Run date: 05-August-2018  02:34 PM.   DRAFT document. All data subject to change upon completion of additional analysis.</v>
      </c>
      <c r="E726" s="1506"/>
      <c r="F726" s="176"/>
      <c r="G726" s="1513"/>
      <c r="H726" s="368"/>
      <c r="I726" s="1512"/>
      <c r="J726" s="1512"/>
      <c r="K726" s="1509"/>
      <c r="L726" s="2060"/>
      <c r="M726" s="2060"/>
      <c r="O726" s="2060"/>
    </row>
    <row r="727" spans="1:15" s="1508" customFormat="1">
      <c r="A727" s="1510" t="s">
        <v>17</v>
      </c>
      <c r="B727" s="1510"/>
      <c r="C727" s="1510"/>
      <c r="D727" s="1510"/>
      <c r="E727" s="683"/>
      <c r="F727" s="1510"/>
      <c r="G727" s="1510"/>
      <c r="H727" s="1510"/>
      <c r="I727" s="1547"/>
      <c r="J727" s="1546" t="str">
        <f ca="1">IF(D735="","Page end","Continue")</f>
        <v>Continue</v>
      </c>
      <c r="K727" s="1510"/>
      <c r="L727" s="2060"/>
      <c r="M727" s="2060"/>
      <c r="O727" s="2060"/>
    </row>
    <row r="728" spans="1:15" s="1508" customFormat="1" ht="17.45">
      <c r="A728" s="1518"/>
      <c r="B728" s="1518"/>
      <c r="C728" s="292" t="str">
        <f ca="1">D733</f>
        <v>n/a</v>
      </c>
      <c r="D728" s="172"/>
      <c r="E728" s="674"/>
      <c r="F728" s="172"/>
      <c r="G728" s="172"/>
      <c r="H728" s="172"/>
      <c r="I728" s="1522"/>
      <c r="J728" s="389" t="str">
        <f>$J$1&amp;"."&amp;C733&amp;""</f>
        <v>Workpaper 6.22</v>
      </c>
      <c r="K728" s="1509"/>
      <c r="O728" s="2060"/>
    </row>
    <row r="729" spans="1:15" s="1508" customFormat="1" ht="17.45">
      <c r="A729" s="1518"/>
      <c r="B729" s="1518"/>
      <c r="C729" s="839" t="s">
        <v>1699</v>
      </c>
      <c r="D729" s="172"/>
      <c r="E729" s="172"/>
      <c r="F729" s="172"/>
      <c r="G729" s="172"/>
      <c r="H729" s="172"/>
      <c r="I729" s="1522"/>
      <c r="J729" s="187"/>
      <c r="K729" s="1509"/>
      <c r="O729" s="2060"/>
    </row>
    <row r="730" spans="1:15" s="1508" customFormat="1" ht="14.45">
      <c r="A730" s="1518"/>
      <c r="B730" s="1518"/>
      <c r="C730" s="366" t="str">
        <f ca="1">"(" &amp;F735&amp;" in "&amp;ScaleInput&amp;")"</f>
        <v>(USD in Millions)</v>
      </c>
      <c r="E730" s="170"/>
      <c r="F730" s="170"/>
      <c r="G730" s="170"/>
      <c r="H730" s="170"/>
      <c r="I730" s="1521"/>
      <c r="K730" s="1509"/>
      <c r="O730" s="2060"/>
    </row>
    <row r="731" spans="1:15" s="1508" customFormat="1" ht="14.45">
      <c r="A731" s="1518"/>
      <c r="B731" s="1518"/>
      <c r="C731" s="366"/>
      <c r="E731" s="172"/>
      <c r="F731" s="172"/>
      <c r="G731" s="172"/>
      <c r="H731" s="172"/>
      <c r="I731" s="1522"/>
      <c r="K731" s="1509"/>
      <c r="O731" s="2060"/>
    </row>
    <row r="732" spans="1:15" s="1508" customFormat="1">
      <c r="A732" s="1518"/>
      <c r="B732" s="1518"/>
      <c r="C732" s="1511"/>
      <c r="E732" s="172"/>
      <c r="F732" s="172"/>
      <c r="G732" s="172"/>
      <c r="H732" s="172"/>
      <c r="I732" s="1522"/>
      <c r="K732" s="1509"/>
      <c r="O732" s="2060"/>
    </row>
    <row r="733" spans="1:15" s="1508" customFormat="1">
      <c r="A733" s="1518"/>
      <c r="B733" s="1518"/>
      <c r="C733" s="226">
        <f>C700+1</f>
        <v>22</v>
      </c>
      <c r="D733" s="179" t="str">
        <f ca="1">IF(D735=0,"n/a",IFERROR(_xll.ciqfunctions.udf.CIQ(D735,"IQ_COMPANY_NAME"),"n/a"))</f>
        <v>n/a</v>
      </c>
      <c r="I733" s="1515"/>
      <c r="K733" s="1509"/>
      <c r="O733" s="2060"/>
    </row>
    <row r="734" spans="1:15" s="1508" customFormat="1">
      <c r="A734" s="1518"/>
      <c r="B734" s="1518"/>
      <c r="C734" s="225"/>
      <c r="D734" s="2258" t="s">
        <v>134</v>
      </c>
      <c r="E734" s="2258" t="s">
        <v>1708</v>
      </c>
      <c r="F734" s="2262" t="s">
        <v>167</v>
      </c>
      <c r="G734" s="2262" t="s">
        <v>1700</v>
      </c>
      <c r="H734" s="2263">
        <f>INDEX($W$9:$W$14,MATCH(H735,PeriodList,0))</f>
        <v>2000</v>
      </c>
      <c r="I734" s="1515"/>
      <c r="J734" s="201"/>
      <c r="K734" s="1509"/>
      <c r="O734" s="2060"/>
    </row>
    <row r="735" spans="1:15" s="1508" customFormat="1">
      <c r="A735" s="1518"/>
      <c r="B735" s="1518"/>
      <c r="C735" s="227"/>
      <c r="D735" s="2249">
        <f ca="1">OFFSET(GCIdentifierTop,C733,0)</f>
        <v>0</v>
      </c>
      <c r="E735" s="2250" t="str">
        <f ca="1">IF($D735="","",IFERROR(_xll.ciqfunctions.udf.CIQ($D735,"IQ_PERIODDATE",H734,Valuation_date),"n/a"))</f>
        <v>n/a</v>
      </c>
      <c r="F735" s="2251" t="str">
        <f ca="1">IFERROR(IF(C733=0,SubjOutputCurrencyCode,IF(D735="","",IF(OutputCurrency="Filing",_xll.ciqfunctions.udf.CIQ($D735,"IQ_FILING_CURRENCY",500,Valuation_date,ReportType,DataMode),OutputCurrency))),OutputCurrency)</f>
        <v>USD</v>
      </c>
      <c r="G735" s="2264" t="e">
        <f ca="1">IF(D733="","",_xll.ciqfunctions.udf.CIQ(D735,"IQ_TOTAL_REV", H734, Valuation_date,ReportType,DataMode,F735,FXMode))</f>
        <v>#NAME?</v>
      </c>
      <c r="H735" s="2265" t="str">
        <f>$H$9</f>
        <v>LTM/LFQ</v>
      </c>
      <c r="I735" s="1523"/>
      <c r="J735" s="174"/>
      <c r="K735" s="1509"/>
      <c r="O735" s="2060"/>
    </row>
    <row r="736" spans="1:15" s="1508" customFormat="1">
      <c r="A736" s="1518"/>
      <c r="B736" s="1518"/>
      <c r="C736" s="227"/>
      <c r="I736" s="1515"/>
      <c r="J736" s="221"/>
      <c r="K736" s="1509"/>
      <c r="O736" s="2060"/>
    </row>
    <row r="737" spans="1:15" s="1508" customFormat="1">
      <c r="A737" s="1518"/>
      <c r="B737" s="1518"/>
      <c r="C737" s="227"/>
      <c r="D737" s="741"/>
      <c r="E737" s="744" t="e">
        <f ca="1">IF(D735="",Valuation_date,_xll.ciqfunctions.udf.CIQ(D735,"IQ_PERIODDATE",H734-IF(LEFT(H735,3)="LFY",1,4),Valuation_date))</f>
        <v>#NAME?</v>
      </c>
      <c r="F737" s="742" t="e">
        <f ca="1">IF(D735="",Valuation_date,_xll.ciqfunctions.udf.CIQ(D735,"IQ_PERIODDATE",H734,Valuation_date))</f>
        <v>#NAME?</v>
      </c>
      <c r="G737" s="741"/>
      <c r="H737" s="743" t="s">
        <v>1702</v>
      </c>
      <c r="I737" s="1587"/>
      <c r="J737" s="221"/>
      <c r="K737" s="1509"/>
      <c r="O737" s="2060"/>
    </row>
    <row r="738" spans="1:15" s="1508" customFormat="1">
      <c r="A738" s="1518"/>
      <c r="B738" s="1518"/>
      <c r="C738" s="227"/>
      <c r="D738" s="2254" t="s">
        <v>1703</v>
      </c>
      <c r="E738" s="2255" t="s">
        <v>1458</v>
      </c>
      <c r="F738" s="2255" t="s">
        <v>1458</v>
      </c>
      <c r="G738" s="2255" t="s">
        <v>1704</v>
      </c>
      <c r="H738" s="2255" t="s">
        <v>1705</v>
      </c>
      <c r="I738" s="2256" t="s">
        <v>1706</v>
      </c>
      <c r="J738" s="222"/>
      <c r="K738" s="1509"/>
      <c r="O738" s="2060"/>
    </row>
    <row r="739" spans="1:15" s="1508" customFormat="1">
      <c r="A739" s="1518" t="e">
        <f t="shared" ref="A739:A751" ca="1" si="44">IF(D739="","n","")</f>
        <v>#NAME?</v>
      </c>
      <c r="B739" s="1518"/>
      <c r="C739" s="227">
        <v>1</v>
      </c>
      <c r="D739" s="223" t="e">
        <f ca="1">IF(D733="","",IF(ISNUMBER(_xll.ciqfunctions.udf.CIQ(D735,"IQ_BUS_SEG_NAME", H734, Valuation_date, , , , , $C739)),"",_xll.ciqfunctions.udf.CIQ(D735,"IQ_BUS_SEG_NAME", H734, Valuation_date, , , , , $C739)))</f>
        <v>#NAME?</v>
      </c>
      <c r="E739" s="187" t="e">
        <f ca="1">IF(D733="","",IF(D739="","",_xll.ciqfunctions.udf.CIQ(D735,"IQ_BUS_SEG_REV", H734-1, Valuation_date, ReportType,DataMode, F735,FXMode, C739)*Scale))</f>
        <v>#NAME?</v>
      </c>
      <c r="F739" s="187" t="e">
        <f ca="1">IF(D733="","",IF(D739="","",_xll.ciqfunctions.udf.CIQ(D735,"IQ_BUS_SEG_REV", H734, Valuation_date, ReportType,DataMode, F735,FXMode, $C739)*Scale))</f>
        <v>#NAME?</v>
      </c>
      <c r="G739" s="274" t="e">
        <f ca="1">IF(D739="","",IFERROR(F739/F754,"n/a"))</f>
        <v>#NAME?</v>
      </c>
      <c r="H739" s="274" t="e">
        <f ca="1">IF(D739="","",IFERROR(F739/E739-1,"n/a"))</f>
        <v>#NAME?</v>
      </c>
      <c r="I739" s="1524" t="e">
        <f ca="1">IF(D733="","",IF(D739="","",_xll.ciqfunctions.udf.CIQ(D735,"IQ_BUS_SEG_DESCRIPTION", H734, Valuation_date, , , , , $C739)))</f>
        <v>#NAME?</v>
      </c>
      <c r="J739" s="175"/>
      <c r="K739" s="1509"/>
      <c r="O739" s="2060"/>
    </row>
    <row r="740" spans="1:15" s="1508" customFormat="1">
      <c r="A740" s="1518" t="e">
        <f t="shared" ca="1" si="44"/>
        <v>#NAME?</v>
      </c>
      <c r="B740" s="1518"/>
      <c r="C740" s="227">
        <v>2</v>
      </c>
      <c r="D740" s="223" t="e">
        <f ca="1">IF(D733="","",IF(ISNUMBER(_xll.ciqfunctions.udf.CIQ(D735,"IQ_BUS_SEG_NAME", H734, Valuation_date, , , , , $C740)),"",_xll.ciqfunctions.udf.CIQ(D735,"IQ_BUS_SEG_NAME", H734, Valuation_date, , , , , $C740)))</f>
        <v>#NAME?</v>
      </c>
      <c r="E740" s="187" t="e">
        <f ca="1">IF(D733="","",IF(D740="","",_xll.ciqfunctions.udf.CIQ(D735,"IQ_BUS_SEG_REV", H734-1, Valuation_date, ReportType,DataMode, F735,FXMode, C740)*Scale))</f>
        <v>#NAME?</v>
      </c>
      <c r="F740" s="187" t="e">
        <f ca="1">IF(D733="","",IF(D740="","",_xll.ciqfunctions.udf.CIQ(D735,"IQ_BUS_SEG_REV", H734, Valuation_date, ReportType,DataMode, F735,FXMode, $C740)*Scale))</f>
        <v>#NAME?</v>
      </c>
      <c r="G740" s="274" t="e">
        <f ca="1">IF(D740="","",IFERROR(F740/F754,"n/a"))</f>
        <v>#NAME?</v>
      </c>
      <c r="H740" s="274" t="e">
        <f t="shared" ref="H740:H753" ca="1" si="45">IF(D740="","",IFERROR(F740/E740-1,"n/a"))</f>
        <v>#NAME?</v>
      </c>
      <c r="I740" s="1524" t="e">
        <f ca="1">IF(D733="","",IF(D740="","",_xll.ciqfunctions.udf.CIQ(D735,"IQ_BUS_SEG_DESCRIPTION", H734, Valuation_date, , , , , $C740)))</f>
        <v>#NAME?</v>
      </c>
      <c r="J740" s="175"/>
      <c r="K740" s="1509"/>
      <c r="O740" s="2060"/>
    </row>
    <row r="741" spans="1:15" s="1508" customFormat="1">
      <c r="A741" s="1518" t="e">
        <f t="shared" ca="1" si="44"/>
        <v>#NAME?</v>
      </c>
      <c r="B741" s="1518"/>
      <c r="C741" s="227">
        <v>3</v>
      </c>
      <c r="D741" s="223" t="e">
        <f ca="1">IF(D733="","",IF(ISNUMBER(_xll.ciqfunctions.udf.CIQ(D735,"IQ_BUS_SEG_NAME", H734, Valuation_date, , , , , $C741)),"",_xll.ciqfunctions.udf.CIQ(D735,"IQ_BUS_SEG_NAME", H734, Valuation_date, , , , , $C741)))</f>
        <v>#NAME?</v>
      </c>
      <c r="E741" s="187" t="e">
        <f ca="1">IF(D733="","",IF(D741="","",_xll.ciqfunctions.udf.CIQ(D735,"IQ_BUS_SEG_REV", H734-1, Valuation_date, ReportType,DataMode, F735,FXMode, C741)*Scale))</f>
        <v>#NAME?</v>
      </c>
      <c r="F741" s="187" t="e">
        <f ca="1">IF(D733="","",IF(D741="","",_xll.ciqfunctions.udf.CIQ(D735,"IQ_BUS_SEG_REV", H734, Valuation_date, ReportType,DataMode, F735,FXMode, $C741)*Scale))</f>
        <v>#NAME?</v>
      </c>
      <c r="G741" s="274" t="e">
        <f ca="1">IF(D741="","",IFERROR(F741/F754,"n/a"))</f>
        <v>#NAME?</v>
      </c>
      <c r="H741" s="274" t="e">
        <f t="shared" ca="1" si="45"/>
        <v>#NAME?</v>
      </c>
      <c r="I741" s="1524" t="e">
        <f ca="1">IF(D733="","",IF(D741="","",_xll.ciqfunctions.udf.CIQ(D735,"IQ_BUS_SEG_DESCRIPTION", H734, Valuation_date, , , , , $C741)))</f>
        <v>#NAME?</v>
      </c>
      <c r="J741" s="175"/>
      <c r="K741" s="1509"/>
      <c r="O741" s="2060"/>
    </row>
    <row r="742" spans="1:15" s="1508" customFormat="1">
      <c r="A742" s="1518" t="e">
        <f t="shared" ca="1" si="44"/>
        <v>#NAME?</v>
      </c>
      <c r="B742" s="1518"/>
      <c r="C742" s="227">
        <v>4</v>
      </c>
      <c r="D742" s="223" t="e">
        <f ca="1">IF(D733="","",IF(ISNUMBER(_xll.ciqfunctions.udf.CIQ(D735,"IQ_BUS_SEG_NAME", H734, Valuation_date, , , , , $C742)),"",_xll.ciqfunctions.udf.CIQ(D735,"IQ_BUS_SEG_NAME", H734, Valuation_date, , , , , $C742)))</f>
        <v>#NAME?</v>
      </c>
      <c r="E742" s="187" t="e">
        <f ca="1">IF(D733="","",IF(D742="","",_xll.ciqfunctions.udf.CIQ(D735,"IQ_BUS_SEG_REV", H734-1, Valuation_date, ReportType,DataMode, F735,FXMode, C742)*Scale))</f>
        <v>#NAME?</v>
      </c>
      <c r="F742" s="187" t="e">
        <f ca="1">IF(D733="","",IF(D742="","",_xll.ciqfunctions.udf.CIQ(D735,"IQ_BUS_SEG_REV", H734, Valuation_date, ReportType,DataMode, F735,FXMode, $C742)*Scale))</f>
        <v>#NAME?</v>
      </c>
      <c r="G742" s="274" t="e">
        <f ca="1">IF(D742="","",IFERROR(F742/F754,"n/a"))</f>
        <v>#NAME?</v>
      </c>
      <c r="H742" s="274" t="e">
        <f t="shared" ca="1" si="45"/>
        <v>#NAME?</v>
      </c>
      <c r="I742" s="1524" t="e">
        <f ca="1">IF(D733="","",IF(D742="","",_xll.ciqfunctions.udf.CIQ(D735,"IQ_BUS_SEG_DESCRIPTION", H734, Valuation_date, , , , , $C742)))</f>
        <v>#NAME?</v>
      </c>
      <c r="J742" s="175"/>
      <c r="K742" s="1509"/>
      <c r="O742" s="2060"/>
    </row>
    <row r="743" spans="1:15" s="1508" customFormat="1">
      <c r="A743" s="1518" t="e">
        <f t="shared" ca="1" si="44"/>
        <v>#NAME?</v>
      </c>
      <c r="B743" s="1518"/>
      <c r="C743" s="227">
        <v>5</v>
      </c>
      <c r="D743" s="223" t="e">
        <f ca="1">IF(D733="","",IF(ISNUMBER(_xll.ciqfunctions.udf.CIQ(D735,"IQ_BUS_SEG_NAME", H734, Valuation_date, , , , , $C743)),"",_xll.ciqfunctions.udf.CIQ(D735,"IQ_BUS_SEG_NAME", H734, Valuation_date, , , , , $C743)))</f>
        <v>#NAME?</v>
      </c>
      <c r="E743" s="187" t="e">
        <f ca="1">IF(D733="","",IF(D743="","",_xll.ciqfunctions.udf.CIQ(D735,"IQ_BUS_SEG_REV", H734-1, Valuation_date, ReportType,DataMode, F735,FXMode, C743)*Scale))</f>
        <v>#NAME?</v>
      </c>
      <c r="F743" s="187" t="e">
        <f ca="1">IF(D733="","",IF(D743="","",_xll.ciqfunctions.udf.CIQ(D735,"IQ_BUS_SEG_REV", H734, Valuation_date, ReportType,DataMode, F735,FXMode, $C743)*Scale))</f>
        <v>#NAME?</v>
      </c>
      <c r="G743" s="274" t="e">
        <f ca="1">IF(D743="","",IFERROR(F743/F754,"n/a"))</f>
        <v>#NAME?</v>
      </c>
      <c r="H743" s="274" t="e">
        <f t="shared" ca="1" si="45"/>
        <v>#NAME?</v>
      </c>
      <c r="I743" s="1524" t="e">
        <f ca="1">IF(D733="","",IF(D743="","",_xll.ciqfunctions.udf.CIQ(D735,"IQ_BUS_SEG_DESCRIPTION", H734, Valuation_date, , , , , $C743)))</f>
        <v>#NAME?</v>
      </c>
      <c r="J743" s="224"/>
      <c r="K743" s="1509"/>
      <c r="O743" s="2060"/>
    </row>
    <row r="744" spans="1:15" s="1508" customFormat="1">
      <c r="A744" s="1518" t="e">
        <f t="shared" ca="1" si="44"/>
        <v>#NAME?</v>
      </c>
      <c r="B744" s="1518"/>
      <c r="C744" s="227">
        <v>6</v>
      </c>
      <c r="D744" s="223" t="e">
        <f ca="1">IF(D733="","",IF(ISNUMBER(_xll.ciqfunctions.udf.CIQ(D735,"IQ_BUS_SEG_NAME", H734, Valuation_date, , , , , $C744)),"",_xll.ciqfunctions.udf.CIQ(D735,"IQ_BUS_SEG_NAME", H734, Valuation_date, , , , , $C744)))</f>
        <v>#NAME?</v>
      </c>
      <c r="E744" s="187" t="e">
        <f ca="1">IF(D733="","",IF(D744="","",_xll.ciqfunctions.udf.CIQ(D735,"IQ_BUS_SEG_REV", H734-1, Valuation_date, ReportType,DataMode, F735,FXMode, C744)*Scale))</f>
        <v>#NAME?</v>
      </c>
      <c r="F744" s="187" t="e">
        <f ca="1">IF(D733="","",IF(D744="","",_xll.ciqfunctions.udf.CIQ(D735,"IQ_BUS_SEG_REV", H734, Valuation_date, ReportType,DataMode, F735,FXMode, $C744)*Scale))</f>
        <v>#NAME?</v>
      </c>
      <c r="G744" s="274" t="e">
        <f ca="1">IF(D744="","",IFERROR(F744/F754,"n/a"))</f>
        <v>#NAME?</v>
      </c>
      <c r="H744" s="274" t="e">
        <f t="shared" ca="1" si="45"/>
        <v>#NAME?</v>
      </c>
      <c r="I744" s="1524" t="e">
        <f ca="1">IF(D733="","",IF(D744="","",_xll.ciqfunctions.udf.CIQ(D735,"IQ_BUS_SEG_DESCRIPTION", H734, Valuation_date, , , , , $C744)))</f>
        <v>#NAME?</v>
      </c>
      <c r="J744" s="224"/>
      <c r="K744" s="1509"/>
      <c r="O744" s="2060"/>
    </row>
    <row r="745" spans="1:15" s="1508" customFormat="1">
      <c r="A745" s="1518" t="e">
        <f t="shared" ca="1" si="44"/>
        <v>#NAME?</v>
      </c>
      <c r="B745" s="1518"/>
      <c r="C745" s="227">
        <v>7</v>
      </c>
      <c r="D745" s="223" t="e">
        <f ca="1">IF(D733="","",IF(ISNUMBER(_xll.ciqfunctions.udf.CIQ(D735,"IQ_BUS_SEG_NAME", H734, Valuation_date, , , , , $C745)),"",_xll.ciqfunctions.udf.CIQ(D735,"IQ_BUS_SEG_NAME", H734, Valuation_date, , , , , $C745)))</f>
        <v>#NAME?</v>
      </c>
      <c r="E745" s="187" t="e">
        <f ca="1">IF(D733="","",IF(D745="","",_xll.ciqfunctions.udf.CIQ(D735,"IQ_BUS_SEG_REV", H734-1, Valuation_date, ReportType,DataMode, F735,FXMode, C745)*Scale))</f>
        <v>#NAME?</v>
      </c>
      <c r="F745" s="187" t="e">
        <f ca="1">IF(D733="","",IF(D745="","",_xll.ciqfunctions.udf.CIQ(D735,"IQ_BUS_SEG_REV", H734, Valuation_date, ReportType,DataMode, F735,FXMode, $C745)*Scale))</f>
        <v>#NAME?</v>
      </c>
      <c r="G745" s="274" t="e">
        <f ca="1">IF(D745="","",IFERROR(F745/F754,"n/a"))</f>
        <v>#NAME?</v>
      </c>
      <c r="H745" s="274" t="e">
        <f t="shared" ca="1" si="45"/>
        <v>#NAME?</v>
      </c>
      <c r="I745" s="1524" t="e">
        <f ca="1">IF(D733="","",IF(D745="","",_xll.ciqfunctions.udf.CIQ(D735,"IQ_BUS_SEG_DESCRIPTION", H734, Valuation_date, , , , , $C745)))</f>
        <v>#NAME?</v>
      </c>
      <c r="J745" s="221"/>
      <c r="K745" s="1509"/>
      <c r="O745" s="2060"/>
    </row>
    <row r="746" spans="1:15" s="1508" customFormat="1">
      <c r="A746" s="1518" t="e">
        <f t="shared" ca="1" si="44"/>
        <v>#NAME?</v>
      </c>
      <c r="B746" s="1518"/>
      <c r="C746" s="227">
        <v>8</v>
      </c>
      <c r="D746" s="223" t="e">
        <f ca="1">IF(D733="","",IF(ISNUMBER(_xll.ciqfunctions.udf.CIQ(D735,"IQ_BUS_SEG_NAME", H734, Valuation_date, , , , , $C746)),"",_xll.ciqfunctions.udf.CIQ(D735,"IQ_BUS_SEG_NAME", H734, Valuation_date, , , , , $C746)))</f>
        <v>#NAME?</v>
      </c>
      <c r="E746" s="187" t="e">
        <f ca="1">IF(D733="","",IF(D746="","",_xll.ciqfunctions.udf.CIQ(D735,"IQ_BUS_SEG_REV", H734-1, Valuation_date, ReportType,DataMode, F735,FXMode, C746)*Scale))</f>
        <v>#NAME?</v>
      </c>
      <c r="F746" s="187" t="e">
        <f ca="1">IF(D733="","",IF(D746="","",_xll.ciqfunctions.udf.CIQ(D735,"IQ_BUS_SEG_REV", H734, Valuation_date, ReportType,DataMode, F735,FXMode, $C746)*Scale))</f>
        <v>#NAME?</v>
      </c>
      <c r="G746" s="274" t="e">
        <f ca="1">IF(D746="","",IFERROR(F746/F754,"n/a"))</f>
        <v>#NAME?</v>
      </c>
      <c r="H746" s="274" t="e">
        <f t="shared" ca="1" si="45"/>
        <v>#NAME?</v>
      </c>
      <c r="I746" s="1524" t="e">
        <f ca="1">IF(D733="","",IF(D746="","",_xll.ciqfunctions.udf.CIQ(D735,"IQ_BUS_SEG_DESCRIPTION", H734, Valuation_date, , , , , $C746)))</f>
        <v>#NAME?</v>
      </c>
      <c r="J746" s="222"/>
      <c r="K746" s="1509"/>
      <c r="O746" s="2060"/>
    </row>
    <row r="747" spans="1:15" s="1508" customFormat="1">
      <c r="A747" s="1518" t="e">
        <f t="shared" ca="1" si="44"/>
        <v>#NAME?</v>
      </c>
      <c r="B747" s="1518"/>
      <c r="C747" s="227">
        <v>9</v>
      </c>
      <c r="D747" s="223" t="e">
        <f ca="1">IF(D733="","",IF(ISNUMBER(_xll.ciqfunctions.udf.CIQ(D735,"IQ_BUS_SEG_NAME", H734, Valuation_date, , , , , $C747)),"",_xll.ciqfunctions.udf.CIQ(D735,"IQ_BUS_SEG_NAME", H734, Valuation_date, , , , , $C747)))</f>
        <v>#NAME?</v>
      </c>
      <c r="E747" s="187" t="e">
        <f ca="1">IF(D733="","",IF(D747="","",_xll.ciqfunctions.udf.CIQ(D735,"IQ_BUS_SEG_REV", H734-1, Valuation_date, ReportType,DataMode, F735,FXMode, C747)*Scale))</f>
        <v>#NAME?</v>
      </c>
      <c r="F747" s="187" t="e">
        <f ca="1">IF(D733="","",IF(D747="","",_xll.ciqfunctions.udf.CIQ(D735,"IQ_BUS_SEG_REV", H734, Valuation_date, ReportType,DataMode, F735,FXMode, $C747)*Scale))</f>
        <v>#NAME?</v>
      </c>
      <c r="G747" s="274" t="e">
        <f ca="1">IF(D747="","",IFERROR(F747/F754,"n/a"))</f>
        <v>#NAME?</v>
      </c>
      <c r="H747" s="274" t="e">
        <f t="shared" ca="1" si="45"/>
        <v>#NAME?</v>
      </c>
      <c r="I747" s="1524" t="e">
        <f ca="1">IF(D733="","",IF(D747="","",_xll.ciqfunctions.udf.CIQ(D735,"IQ_BUS_SEG_DESCRIPTION", H734, Valuation_date, , , , , $C747)))</f>
        <v>#NAME?</v>
      </c>
      <c r="J747" s="222"/>
      <c r="K747" s="1509"/>
      <c r="O747" s="2060"/>
    </row>
    <row r="748" spans="1:15" s="1508" customFormat="1">
      <c r="A748" s="1518" t="e">
        <f t="shared" ca="1" si="44"/>
        <v>#NAME?</v>
      </c>
      <c r="B748" s="1518"/>
      <c r="C748" s="227">
        <v>10</v>
      </c>
      <c r="D748" s="223" t="e">
        <f ca="1">IF(D733="","",IF(ISNUMBER(_xll.ciqfunctions.udf.CIQ(D735,"IQ_BUS_SEG_NAME", H734, Valuation_date, , , , , $C748)),"",_xll.ciqfunctions.udf.CIQ(D735,"IQ_BUS_SEG_NAME", H734, Valuation_date, , , , , $C748)))</f>
        <v>#NAME?</v>
      </c>
      <c r="E748" s="187" t="e">
        <f ca="1">IF(D733="","",IF(D748="","",_xll.ciqfunctions.udf.CIQ(D735,"IQ_BUS_SEG_REV", H734-1, Valuation_date, ReportType,DataMode, F735,FXMode, C748)*Scale))</f>
        <v>#NAME?</v>
      </c>
      <c r="F748" s="187" t="e">
        <f ca="1">IF(D733="","",IF(D748="","",_xll.ciqfunctions.udf.CIQ(D735,"IQ_BUS_SEG_REV", H734, Valuation_date, ReportType,DataMode, F735,FXMode, $C748)*Scale))</f>
        <v>#NAME?</v>
      </c>
      <c r="G748" s="274" t="e">
        <f ca="1">IF(D748="","",IFERROR(F748/F754,"n/a"))</f>
        <v>#NAME?</v>
      </c>
      <c r="H748" s="284" t="e">
        <f t="shared" ca="1" si="45"/>
        <v>#NAME?</v>
      </c>
      <c r="I748" s="1524" t="e">
        <f ca="1">IF(D733="","",IF(D748="","",_xll.ciqfunctions.udf.CIQ(D735,"IQ_BUS_SEG_DESCRIPTION", H734, Valuation_date, , , , , $C748)))</f>
        <v>#NAME?</v>
      </c>
      <c r="J748" s="175"/>
      <c r="K748" s="1509"/>
      <c r="O748" s="2060"/>
    </row>
    <row r="749" spans="1:15" s="1508" customFormat="1">
      <c r="A749" s="1518" t="e">
        <f t="shared" ca="1" si="44"/>
        <v>#NAME?</v>
      </c>
      <c r="B749" s="1518"/>
      <c r="C749" s="227">
        <v>11</v>
      </c>
      <c r="D749" s="223" t="e">
        <f ca="1">IF(D733="","",IF(ISNUMBER(_xll.ciqfunctions.udf.CIQ(D735,"IQ_BUS_SEG_NAME", H734, Valuation_date, , , , , $C749)),"",_xll.ciqfunctions.udf.CIQ(D735,"IQ_BUS_SEG_NAME", H734, Valuation_date, , , , , $C749)))</f>
        <v>#NAME?</v>
      </c>
      <c r="E749" s="187" t="e">
        <f ca="1">IF(D733="","",IF(D749="","",_xll.ciqfunctions.udf.CIQ(D735,"IQ_BUS_SEG_REV", H734-1, Valuation_date, ReportType,DataMode, F735,FXMode, C749)*Scale))</f>
        <v>#NAME?</v>
      </c>
      <c r="F749" s="187" t="e">
        <f ca="1">IF(D733="","",IF(D749="","",_xll.ciqfunctions.udf.CIQ(D735,"IQ_BUS_SEG_REV", H734, Valuation_date, ReportType,DataMode, F735,FXMode, $C749)*Scale))</f>
        <v>#NAME?</v>
      </c>
      <c r="G749" s="274" t="e">
        <f ca="1">IF(D749="","",IFERROR(F749/F754,"n/a"))</f>
        <v>#NAME?</v>
      </c>
      <c r="H749" s="284" t="e">
        <f t="shared" ca="1" si="45"/>
        <v>#NAME?</v>
      </c>
      <c r="I749" s="1524" t="e">
        <f ca="1">IF(D733="","",IF(D749="","",_xll.ciqfunctions.udf.CIQ(D735,"IQ_BUS_SEG_DESCRIPTION", H734, Valuation_date, , , , , $C749)))</f>
        <v>#NAME?</v>
      </c>
      <c r="J749" s="222"/>
      <c r="K749" s="1509"/>
      <c r="O749" s="2060"/>
    </row>
    <row r="750" spans="1:15" s="1508" customFormat="1">
      <c r="A750" s="1518" t="e">
        <f t="shared" ca="1" si="44"/>
        <v>#NAME?</v>
      </c>
      <c r="B750" s="1518"/>
      <c r="C750" s="227">
        <v>12</v>
      </c>
      <c r="D750" s="223" t="e">
        <f ca="1">IF(D733="","",IF(ISNUMBER(_xll.ciqfunctions.udf.CIQ(D735,"IQ_BUS_SEG_NAME", H734, Valuation_date, , , , , $C750)),"",_xll.ciqfunctions.udf.CIQ(D735,"IQ_BUS_SEG_NAME", H734, Valuation_date, , , , , $C750)))</f>
        <v>#NAME?</v>
      </c>
      <c r="E750" s="187" t="e">
        <f ca="1">IF(D733="","",IF(D750="","",_xll.ciqfunctions.udf.CIQ(D735,"IQ_BUS_SEG_REV", H734-1, Valuation_date, ReportType,DataMode, F735,FXMode, C750)*Scale))</f>
        <v>#NAME?</v>
      </c>
      <c r="F750" s="187" t="e">
        <f ca="1">IF(D733="","",IF(D750="","",_xll.ciqfunctions.udf.CIQ(D735,"IQ_BUS_SEG_REV", H734, Valuation_date, ReportType,DataMode, F735,FXMode, $C750)*Scale))</f>
        <v>#NAME?</v>
      </c>
      <c r="G750" s="274" t="e">
        <f ca="1">IF(D750="","",IFERROR(F750/F754,"n/a"))</f>
        <v>#NAME?</v>
      </c>
      <c r="H750" s="284" t="e">
        <f t="shared" ca="1" si="45"/>
        <v>#NAME?</v>
      </c>
      <c r="I750" s="1524" t="e">
        <f ca="1">IF(D733="","",IF(D750="","",_xll.ciqfunctions.udf.CIQ(D735,"IQ_BUS_SEG_DESCRIPTION", H734, Valuation_date, , , , , $C750)))</f>
        <v>#NAME?</v>
      </c>
      <c r="J750" s="222"/>
      <c r="K750" s="1509"/>
      <c r="O750" s="2060"/>
    </row>
    <row r="751" spans="1:15" s="1508" customFormat="1">
      <c r="A751" s="1518" t="e">
        <f t="shared" ca="1" si="44"/>
        <v>#NAME?</v>
      </c>
      <c r="B751" s="1518"/>
      <c r="C751" s="227">
        <v>13</v>
      </c>
      <c r="D751" s="223" t="e">
        <f ca="1">IF(D733="","",IF(ISNUMBER(_xll.ciqfunctions.udf.CIQ(D735,"IQ_BUS_SEG_NAME", H734, Valuation_date, , , , , $C751)),"",_xll.ciqfunctions.udf.CIQ(D735,"IQ_BUS_SEG_NAME", H734, Valuation_date, , , , , $C751)))</f>
        <v>#NAME?</v>
      </c>
      <c r="E751" s="187" t="e">
        <f ca="1">IF(D733="","",IF(D751="","",_xll.ciqfunctions.udf.CIQ(D735,"IQ_BUS_SEG_REV", H734-1, Valuation_date, ReportType,DataMode, F735,FXMode, C751)*Scale))</f>
        <v>#NAME?</v>
      </c>
      <c r="F751" s="187" t="e">
        <f ca="1">IF(D733="","",IF(D751="","",_xll.ciqfunctions.udf.CIQ(D735,"IQ_BUS_SEG_REV", H734, Valuation_date, ReportType,DataMode, F735,FXMode, $C751)*Scale))</f>
        <v>#NAME?</v>
      </c>
      <c r="G751" s="274" t="e">
        <f ca="1">IF(D751="","",IFERROR(F751/F754,"n/a"))</f>
        <v>#NAME?</v>
      </c>
      <c r="H751" s="284" t="e">
        <f t="shared" ca="1" si="45"/>
        <v>#NAME?</v>
      </c>
      <c r="I751" s="1524" t="e">
        <f ca="1">IF(D733="","",IF(D751="","",_xll.ciqfunctions.udf.CIQ(D735,"IQ_BUS_SEG_DESCRIPTION", H734, Valuation_date, , , , , $C751)))</f>
        <v>#NAME?</v>
      </c>
      <c r="J751" s="222"/>
      <c r="K751" s="1509"/>
      <c r="O751" s="2060"/>
    </row>
    <row r="752" spans="1:15" s="1508" customFormat="1">
      <c r="A752" s="1518" t="e">
        <f ca="1">IF(D752="","n","")</f>
        <v>#NAME?</v>
      </c>
      <c r="B752" s="1518"/>
      <c r="C752" s="227">
        <v>14</v>
      </c>
      <c r="D752" s="223" t="e">
        <f ca="1">IF(D733="","",IF(ISNUMBER(_xll.ciqfunctions.udf.CIQ(D735,"IQ_BUS_SEG_NAME", H734, Valuation_date, , , , , $C752)),"",_xll.ciqfunctions.udf.CIQ(D735,"IQ_BUS_SEG_NAME", H734, Valuation_date, , , , , $C752)))</f>
        <v>#NAME?</v>
      </c>
      <c r="E752" s="187" t="e">
        <f ca="1">IF(D733="","",IF(D752="","",_xll.ciqfunctions.udf.CIQ(D735,"IQ_BUS_SEG_REV", H734-1, Valuation_date, ReportType,DataMode, F735,FXMode, C752)*Scale))</f>
        <v>#NAME?</v>
      </c>
      <c r="F752" s="187" t="e">
        <f ca="1">IF(D733="","",IF(D752="","",_xll.ciqfunctions.udf.CIQ(D735,"IQ_BUS_SEG_REV", H734, Valuation_date, ReportType,DataMode, F735,FXMode, $C752)*Scale))</f>
        <v>#NAME?</v>
      </c>
      <c r="G752" s="274" t="e">
        <f ca="1">IF(D752="","",IFERROR(F752/F754,"n/a"))</f>
        <v>#NAME?</v>
      </c>
      <c r="H752" s="284" t="e">
        <f t="shared" ca="1" si="45"/>
        <v>#NAME?</v>
      </c>
      <c r="I752" s="1524" t="e">
        <f ca="1">IF(D733="","",IF(D752="","",_xll.ciqfunctions.udf.CIQ(D735,"IQ_BUS_SEG_DESCRIPTION", H734, Valuation_date, , , , , $C752)))</f>
        <v>#NAME?</v>
      </c>
      <c r="J752" s="222"/>
      <c r="K752" s="1509"/>
      <c r="O752" s="2060"/>
    </row>
    <row r="753" spans="1:15" s="1508" customFormat="1">
      <c r="A753" s="1518" t="e">
        <f ca="1">IF(D753="","n","")</f>
        <v>#NAME?</v>
      </c>
      <c r="B753" s="1518"/>
      <c r="C753" s="227">
        <v>15</v>
      </c>
      <c r="D753" s="223" t="e">
        <f ca="1">IF(D733="","",IF(ISNUMBER(_xll.ciqfunctions.udf.CIQ(D735,"IQ_BUS_SEG_NAME", H734, Valuation_date, , , , , $C753)),"",_xll.ciqfunctions.udf.CIQ(D735,"IQ_BUS_SEG_NAME", H734, Valuation_date, , , , , $C753)))</f>
        <v>#NAME?</v>
      </c>
      <c r="E753" s="187" t="e">
        <f ca="1">IF(D733="","",IF(D753="","",_xll.ciqfunctions.udf.CIQ(D735,"IQ_BUS_SEG_REV", H734-1, Valuation_date, ReportType,DataMode, F735,FXMode, C753)*Scale))</f>
        <v>#NAME?</v>
      </c>
      <c r="F753" s="187" t="e">
        <f ca="1">IF(D733="","",IF(D753="","",_xll.ciqfunctions.udf.CIQ(D735,"IQ_BUS_SEG_REV", H734, Valuation_date, ReportType,DataMode, F735,FXMode, $C753)*Scale))</f>
        <v>#NAME?</v>
      </c>
      <c r="G753" s="274" t="e">
        <f ca="1">IF(D753="","",IFERROR(F753/F754,"n/a"))</f>
        <v>#NAME?</v>
      </c>
      <c r="H753" s="284" t="e">
        <f t="shared" ca="1" si="45"/>
        <v>#NAME?</v>
      </c>
      <c r="I753" s="1524" t="e">
        <f ca="1">IF(D733="","",IF(D753="","",_xll.ciqfunctions.udf.CIQ(D735,"IQ_BUS_SEG_DESCRIPTION", H734, Valuation_date, , , , , $C753)))</f>
        <v>#NAME?</v>
      </c>
      <c r="J753" s="222"/>
      <c r="K753" s="1509"/>
      <c r="O753" s="2060"/>
    </row>
    <row r="754" spans="1:15" s="1508" customFormat="1" ht="14.45" thickBot="1">
      <c r="A754" s="1518"/>
      <c r="B754" s="1518"/>
      <c r="C754" s="225"/>
      <c r="D754" s="220" t="s">
        <v>1248</v>
      </c>
      <c r="E754" s="220" t="e">
        <f ca="1">SUM(E739:E753)</f>
        <v>#NAME?</v>
      </c>
      <c r="F754" s="220" t="e">
        <f ca="1">SUM(F739:F753)</f>
        <v>#NAME?</v>
      </c>
      <c r="G754" s="2266" t="e">
        <f ca="1">SUM(G739:G753)</f>
        <v>#NAME?</v>
      </c>
      <c r="H754" s="2267" t="str">
        <f ca="1">IF(D754="","",IFERROR(F754/E754-1,"n/a"))</f>
        <v>n/a</v>
      </c>
      <c r="I754" s="1515"/>
      <c r="J754" s="222"/>
      <c r="K754" s="1509"/>
      <c r="O754" s="2060"/>
    </row>
    <row r="755" spans="1:15" s="1508" customFormat="1">
      <c r="A755" s="1518"/>
      <c r="B755" s="1518"/>
      <c r="C755" s="225"/>
      <c r="D755" s="187"/>
      <c r="E755" s="187"/>
      <c r="F755" s="274"/>
      <c r="G755" s="187"/>
      <c r="H755" s="284"/>
      <c r="I755" s="1515"/>
      <c r="J755" s="222"/>
      <c r="K755" s="1509"/>
      <c r="O755" s="2060"/>
    </row>
    <row r="756" spans="1:15" s="1508" customFormat="1">
      <c r="A756" s="1518"/>
      <c r="B756" s="1518"/>
      <c r="C756" s="1572"/>
      <c r="D756" s="1514" t="s">
        <v>1707</v>
      </c>
      <c r="E756" s="1579"/>
      <c r="F756" s="1575"/>
      <c r="G756" s="1514"/>
      <c r="H756" s="1575"/>
      <c r="I756" s="1571"/>
      <c r="J756" s="1574"/>
      <c r="K756" s="1509"/>
      <c r="L756" s="2060"/>
      <c r="M756" s="2060"/>
      <c r="O756" s="2060"/>
    </row>
    <row r="757" spans="1:15" s="1508" customFormat="1">
      <c r="A757" s="1518"/>
      <c r="B757" s="1518"/>
      <c r="C757" s="225"/>
      <c r="D757" s="1514" t="s">
        <v>1402</v>
      </c>
      <c r="E757" s="187"/>
      <c r="F757" s="274"/>
      <c r="G757" s="187"/>
      <c r="H757" s="284"/>
      <c r="I757" s="1515"/>
      <c r="J757" s="222"/>
      <c r="K757" s="1509"/>
      <c r="O757" s="2060"/>
    </row>
    <row r="758" spans="1:15" s="1508" customFormat="1">
      <c r="A758" s="1518"/>
      <c r="B758" s="1518"/>
      <c r="C758" s="225"/>
      <c r="H758" s="1515"/>
      <c r="I758" s="1515"/>
      <c r="K758" s="1509"/>
      <c r="L758" s="2060"/>
      <c r="M758" s="2060"/>
      <c r="O758" s="2060"/>
    </row>
    <row r="759" spans="1:15" s="1508" customFormat="1">
      <c r="A759" s="1510"/>
      <c r="B759" s="1510"/>
      <c r="C759" s="327"/>
      <c r="D759" s="1513" t="str">
        <f ca="1">FootnoteDRAFT</f>
        <v>Run date: 05-August-2018  02:34 PM.   DRAFT document. All data subject to change upon completion of additional analysis.</v>
      </c>
      <c r="E759" s="1506"/>
      <c r="F759" s="176"/>
      <c r="G759" s="1513"/>
      <c r="H759" s="368"/>
      <c r="I759" s="1512"/>
      <c r="J759" s="1512"/>
      <c r="K759" s="1509"/>
      <c r="L759" s="2060"/>
      <c r="M759" s="2060"/>
      <c r="O759" s="2060"/>
    </row>
    <row r="760" spans="1:15" s="1508" customFormat="1">
      <c r="A760" s="1510" t="s">
        <v>17</v>
      </c>
      <c r="B760" s="1510"/>
      <c r="C760" s="1510"/>
      <c r="D760" s="1510"/>
      <c r="E760" s="683"/>
      <c r="F760" s="1510"/>
      <c r="G760" s="1510"/>
      <c r="H760" s="1510"/>
      <c r="I760" s="1547"/>
      <c r="J760" s="1546" t="str">
        <f ca="1">IF(D768="","Page end","Continue")</f>
        <v>Continue</v>
      </c>
      <c r="K760" s="1510"/>
      <c r="L760" s="2060"/>
      <c r="M760" s="2060"/>
      <c r="O760" s="2060"/>
    </row>
    <row r="761" spans="1:15" s="1508" customFormat="1" ht="17.45">
      <c r="A761" s="1518"/>
      <c r="B761" s="1518"/>
      <c r="C761" s="292" t="str">
        <f ca="1">D766</f>
        <v>n/a</v>
      </c>
      <c r="D761" s="172"/>
      <c r="E761" s="674"/>
      <c r="F761" s="172"/>
      <c r="G761" s="172"/>
      <c r="H761" s="172"/>
      <c r="I761" s="1522"/>
      <c r="J761" s="389" t="str">
        <f>$J$1&amp;"."&amp;C766&amp;""</f>
        <v>Workpaper 6.23</v>
      </c>
      <c r="K761" s="1509"/>
      <c r="O761" s="2060"/>
    </row>
    <row r="762" spans="1:15" s="1508" customFormat="1" ht="17.45">
      <c r="A762" s="1518"/>
      <c r="B762" s="1518"/>
      <c r="C762" s="839" t="s">
        <v>1699</v>
      </c>
      <c r="D762" s="172"/>
      <c r="E762" s="172"/>
      <c r="F762" s="172"/>
      <c r="G762" s="172"/>
      <c r="H762" s="172"/>
      <c r="I762" s="1522"/>
      <c r="J762" s="187"/>
      <c r="K762" s="1509"/>
      <c r="O762" s="2060"/>
    </row>
    <row r="763" spans="1:15" s="1508" customFormat="1" ht="14.45">
      <c r="A763" s="1518"/>
      <c r="B763" s="1518"/>
      <c r="C763" s="366" t="str">
        <f ca="1">"(" &amp;F768&amp;" in "&amp;ScaleInput&amp;")"</f>
        <v>(USD in Millions)</v>
      </c>
      <c r="E763" s="170"/>
      <c r="F763" s="170"/>
      <c r="G763" s="170"/>
      <c r="H763" s="170"/>
      <c r="I763" s="1521"/>
      <c r="K763" s="1509"/>
      <c r="O763" s="2060"/>
    </row>
    <row r="764" spans="1:15" s="1508" customFormat="1" ht="14.45">
      <c r="A764" s="1518"/>
      <c r="B764" s="1518"/>
      <c r="C764" s="366"/>
      <c r="E764" s="172"/>
      <c r="F764" s="172"/>
      <c r="G764" s="172"/>
      <c r="H764" s="172"/>
      <c r="I764" s="1522"/>
      <c r="K764" s="1509"/>
      <c r="O764" s="2060"/>
    </row>
    <row r="765" spans="1:15" s="1508" customFormat="1">
      <c r="A765" s="1518"/>
      <c r="B765" s="1518"/>
      <c r="C765" s="1511"/>
      <c r="E765" s="172"/>
      <c r="F765" s="172"/>
      <c r="G765" s="172"/>
      <c r="H765" s="172"/>
      <c r="I765" s="1522"/>
      <c r="K765" s="1509"/>
      <c r="O765" s="2060"/>
    </row>
    <row r="766" spans="1:15" s="1508" customFormat="1">
      <c r="A766" s="1518"/>
      <c r="B766" s="1518"/>
      <c r="C766" s="226">
        <f>C733+1</f>
        <v>23</v>
      </c>
      <c r="D766" s="179" t="str">
        <f ca="1">IF(D768=0,"n/a",IFERROR(_xll.ciqfunctions.udf.CIQ(D768,"IQ_COMPANY_NAME"),"n/a"))</f>
        <v>n/a</v>
      </c>
      <c r="I766" s="1515"/>
      <c r="K766" s="1509"/>
      <c r="O766" s="2060"/>
    </row>
    <row r="767" spans="1:15" s="1508" customFormat="1">
      <c r="A767" s="1518"/>
      <c r="B767" s="1518"/>
      <c r="C767" s="225"/>
      <c r="D767" s="2258" t="s">
        <v>134</v>
      </c>
      <c r="E767" s="2258" t="s">
        <v>1708</v>
      </c>
      <c r="F767" s="2262" t="s">
        <v>167</v>
      </c>
      <c r="G767" s="2262" t="s">
        <v>1700</v>
      </c>
      <c r="H767" s="2263">
        <f>INDEX($W$9:$W$14,MATCH(H768,PeriodList,0))</f>
        <v>2000</v>
      </c>
      <c r="I767" s="1515"/>
      <c r="J767" s="201"/>
      <c r="K767" s="1509"/>
      <c r="O767" s="2060"/>
    </row>
    <row r="768" spans="1:15" s="1508" customFormat="1">
      <c r="A768" s="1518"/>
      <c r="B768" s="1518"/>
      <c r="C768" s="227"/>
      <c r="D768" s="2249">
        <f ca="1">OFFSET(GCIdentifierTop,C766,0)</f>
        <v>0</v>
      </c>
      <c r="E768" s="2250" t="str">
        <f ca="1">IF($D768="","",IFERROR(_xll.ciqfunctions.udf.CIQ($D768,"IQ_PERIODDATE",H767,Valuation_date),"n/a"))</f>
        <v>n/a</v>
      </c>
      <c r="F768" s="2251" t="str">
        <f ca="1">IFERROR(IF(C766=0,SubjOutputCurrencyCode,IF(D768="","",IF(OutputCurrency="Filing",_xll.ciqfunctions.udf.CIQ($D768,"IQ_FILING_CURRENCY",500,Valuation_date,ReportType,DataMode),OutputCurrency))),OutputCurrency)</f>
        <v>USD</v>
      </c>
      <c r="G768" s="2264" t="e">
        <f ca="1">IF(D766="","",_xll.ciqfunctions.udf.CIQ(D768,"IQ_TOTAL_REV", H767, Valuation_date,ReportType,DataMode,F768,FXMode))</f>
        <v>#NAME?</v>
      </c>
      <c r="H768" s="2265" t="str">
        <f>$H$9</f>
        <v>LTM/LFQ</v>
      </c>
      <c r="I768" s="1523"/>
      <c r="J768" s="174"/>
      <c r="K768" s="1509"/>
      <c r="O768" s="2060"/>
    </row>
    <row r="769" spans="1:15" s="1508" customFormat="1">
      <c r="A769" s="1518"/>
      <c r="B769" s="1518"/>
      <c r="C769" s="227"/>
      <c r="I769" s="1515"/>
      <c r="J769" s="221"/>
      <c r="K769" s="1509"/>
      <c r="O769" s="2060"/>
    </row>
    <row r="770" spans="1:15" s="1508" customFormat="1">
      <c r="A770" s="1518"/>
      <c r="B770" s="1518"/>
      <c r="C770" s="227"/>
      <c r="D770" s="741"/>
      <c r="E770" s="744" t="e">
        <f ca="1">IF(D768="",Valuation_date,_xll.ciqfunctions.udf.CIQ(D768,"IQ_PERIODDATE",H767-IF(LEFT(H768,3)="LFY",1,4),Valuation_date))</f>
        <v>#NAME?</v>
      </c>
      <c r="F770" s="742" t="e">
        <f ca="1">IF(D768="",Valuation_date,_xll.ciqfunctions.udf.CIQ(D768,"IQ_PERIODDATE",H767,Valuation_date))</f>
        <v>#NAME?</v>
      </c>
      <c r="G770" s="741"/>
      <c r="H770" s="743" t="s">
        <v>1702</v>
      </c>
      <c r="I770" s="1587"/>
      <c r="J770" s="221"/>
      <c r="K770" s="1509"/>
      <c r="O770" s="2060"/>
    </row>
    <row r="771" spans="1:15" s="1508" customFormat="1">
      <c r="A771" s="1518"/>
      <c r="B771" s="1518"/>
      <c r="C771" s="227"/>
      <c r="D771" s="2254" t="s">
        <v>1703</v>
      </c>
      <c r="E771" s="2255" t="s">
        <v>1458</v>
      </c>
      <c r="F771" s="2255" t="s">
        <v>1458</v>
      </c>
      <c r="G771" s="2255" t="s">
        <v>1704</v>
      </c>
      <c r="H771" s="2255" t="s">
        <v>1705</v>
      </c>
      <c r="I771" s="2256" t="s">
        <v>1706</v>
      </c>
      <c r="J771" s="222"/>
      <c r="K771" s="1509"/>
      <c r="O771" s="2060"/>
    </row>
    <row r="772" spans="1:15" s="1508" customFormat="1">
      <c r="A772" s="1518" t="e">
        <f t="shared" ref="A772:A784" ca="1" si="46">IF(D772="","n","")</f>
        <v>#NAME?</v>
      </c>
      <c r="B772" s="1518"/>
      <c r="C772" s="227">
        <v>1</v>
      </c>
      <c r="D772" s="223" t="e">
        <f ca="1">IF(D766="","",IF(ISNUMBER(_xll.ciqfunctions.udf.CIQ(D768,"IQ_BUS_SEG_NAME", H767, Valuation_date, , , , , $C772)),"",_xll.ciqfunctions.udf.CIQ(D768,"IQ_BUS_SEG_NAME", H767, Valuation_date, , , , , $C772)))</f>
        <v>#NAME?</v>
      </c>
      <c r="E772" s="187" t="e">
        <f ca="1">IF(D766="","",IF(D772="","",_xll.ciqfunctions.udf.CIQ(D768,"IQ_BUS_SEG_REV", H767-1, Valuation_date, ReportType,DataMode, F768,FXMode, C772)*Scale))</f>
        <v>#NAME?</v>
      </c>
      <c r="F772" s="187" t="e">
        <f ca="1">IF(D766="","",IF(D772="","",_xll.ciqfunctions.udf.CIQ(D768,"IQ_BUS_SEG_REV", H767, Valuation_date, ReportType,DataMode, F768,FXMode, $C772)*Scale))</f>
        <v>#NAME?</v>
      </c>
      <c r="G772" s="274" t="e">
        <f ca="1">IF(D772="","",IFERROR(F772/F787,"n/a"))</f>
        <v>#NAME?</v>
      </c>
      <c r="H772" s="274" t="e">
        <f ca="1">IF(D772="","",IFERROR(F772/E772-1,"n/a"))</f>
        <v>#NAME?</v>
      </c>
      <c r="I772" s="1524" t="e">
        <f ca="1">IF(D766="","",IF(D772="","",_xll.ciqfunctions.udf.CIQ(D768,"IQ_BUS_SEG_DESCRIPTION", H767, Valuation_date, , , , , $C772)))</f>
        <v>#NAME?</v>
      </c>
      <c r="J772" s="175"/>
      <c r="K772" s="1509"/>
      <c r="O772" s="2060"/>
    </row>
    <row r="773" spans="1:15" s="1508" customFormat="1">
      <c r="A773" s="1518" t="e">
        <f t="shared" ca="1" si="46"/>
        <v>#NAME?</v>
      </c>
      <c r="B773" s="1518"/>
      <c r="C773" s="227">
        <v>2</v>
      </c>
      <c r="D773" s="223" t="e">
        <f ca="1">IF(D766="","",IF(ISNUMBER(_xll.ciqfunctions.udf.CIQ(D768,"IQ_BUS_SEG_NAME", H767, Valuation_date, , , , , $C773)),"",_xll.ciqfunctions.udf.CIQ(D768,"IQ_BUS_SEG_NAME", H767, Valuation_date, , , , , $C773)))</f>
        <v>#NAME?</v>
      </c>
      <c r="E773" s="187" t="e">
        <f ca="1">IF(D766="","",IF(D773="","",_xll.ciqfunctions.udf.CIQ(D768,"IQ_BUS_SEG_REV", H767-1, Valuation_date, ReportType,DataMode, F768,FXMode, C773)*Scale))</f>
        <v>#NAME?</v>
      </c>
      <c r="F773" s="187" t="e">
        <f ca="1">IF(D766="","",IF(D773="","",_xll.ciqfunctions.udf.CIQ(D768,"IQ_BUS_SEG_REV", H767, Valuation_date, ReportType,DataMode, F768,FXMode, $C773)*Scale))</f>
        <v>#NAME?</v>
      </c>
      <c r="G773" s="274" t="e">
        <f ca="1">IF(D773="","",IFERROR(F773/F787,"n/a"))</f>
        <v>#NAME?</v>
      </c>
      <c r="H773" s="274" t="e">
        <f t="shared" ref="H773:H786" ca="1" si="47">IF(D773="","",IFERROR(F773/E773-1,"n/a"))</f>
        <v>#NAME?</v>
      </c>
      <c r="I773" s="1524" t="e">
        <f ca="1">IF(D766="","",IF(D773="","",_xll.ciqfunctions.udf.CIQ(D768,"IQ_BUS_SEG_DESCRIPTION", H767, Valuation_date, , , , , $C773)))</f>
        <v>#NAME?</v>
      </c>
      <c r="J773" s="175"/>
      <c r="K773" s="1509"/>
      <c r="O773" s="2060"/>
    </row>
    <row r="774" spans="1:15" s="1508" customFormat="1">
      <c r="A774" s="1518" t="e">
        <f t="shared" ca="1" si="46"/>
        <v>#NAME?</v>
      </c>
      <c r="B774" s="1518"/>
      <c r="C774" s="227">
        <v>3</v>
      </c>
      <c r="D774" s="223" t="e">
        <f ca="1">IF(D766="","",IF(ISNUMBER(_xll.ciqfunctions.udf.CIQ(D768,"IQ_BUS_SEG_NAME", H767, Valuation_date, , , , , $C774)),"",_xll.ciqfunctions.udf.CIQ(D768,"IQ_BUS_SEG_NAME", H767, Valuation_date, , , , , $C774)))</f>
        <v>#NAME?</v>
      </c>
      <c r="E774" s="187" t="e">
        <f ca="1">IF(D766="","",IF(D774="","",_xll.ciqfunctions.udf.CIQ(D768,"IQ_BUS_SEG_REV", H767-1, Valuation_date, ReportType,DataMode, F768,FXMode, C774)*Scale))</f>
        <v>#NAME?</v>
      </c>
      <c r="F774" s="187" t="e">
        <f ca="1">IF(D766="","",IF(D774="","",_xll.ciqfunctions.udf.CIQ(D768,"IQ_BUS_SEG_REV", H767, Valuation_date, ReportType,DataMode, F768,FXMode, $C774)*Scale))</f>
        <v>#NAME?</v>
      </c>
      <c r="G774" s="274" t="e">
        <f ca="1">IF(D774="","",IFERROR(F774/F787,"n/a"))</f>
        <v>#NAME?</v>
      </c>
      <c r="H774" s="274" t="e">
        <f t="shared" ca="1" si="47"/>
        <v>#NAME?</v>
      </c>
      <c r="I774" s="1524" t="e">
        <f ca="1">IF(D766="","",IF(D774="","",_xll.ciqfunctions.udf.CIQ(D768,"IQ_BUS_SEG_DESCRIPTION", H767, Valuation_date, , , , , $C774)))</f>
        <v>#NAME?</v>
      </c>
      <c r="J774" s="175"/>
      <c r="K774" s="1509"/>
      <c r="O774" s="2060"/>
    </row>
    <row r="775" spans="1:15" s="1508" customFormat="1">
      <c r="A775" s="1518" t="e">
        <f t="shared" ca="1" si="46"/>
        <v>#NAME?</v>
      </c>
      <c r="B775" s="1518"/>
      <c r="C775" s="227">
        <v>4</v>
      </c>
      <c r="D775" s="223" t="e">
        <f ca="1">IF(D766="","",IF(ISNUMBER(_xll.ciqfunctions.udf.CIQ(D768,"IQ_BUS_SEG_NAME", H767, Valuation_date, , , , , $C775)),"",_xll.ciqfunctions.udf.CIQ(D768,"IQ_BUS_SEG_NAME", H767, Valuation_date, , , , , $C775)))</f>
        <v>#NAME?</v>
      </c>
      <c r="E775" s="187" t="e">
        <f ca="1">IF(D766="","",IF(D775="","",_xll.ciqfunctions.udf.CIQ(D768,"IQ_BUS_SEG_REV", H767-1, Valuation_date, ReportType,DataMode, F768,FXMode, C775)*Scale))</f>
        <v>#NAME?</v>
      </c>
      <c r="F775" s="187" t="e">
        <f ca="1">IF(D766="","",IF(D775="","",_xll.ciqfunctions.udf.CIQ(D768,"IQ_BUS_SEG_REV", H767, Valuation_date, ReportType,DataMode, F768,FXMode, $C775)*Scale))</f>
        <v>#NAME?</v>
      </c>
      <c r="G775" s="274" t="e">
        <f ca="1">IF(D775="","",IFERROR(F775/F787,"n/a"))</f>
        <v>#NAME?</v>
      </c>
      <c r="H775" s="274" t="e">
        <f t="shared" ca="1" si="47"/>
        <v>#NAME?</v>
      </c>
      <c r="I775" s="1524" t="e">
        <f ca="1">IF(D766="","",IF(D775="","",_xll.ciqfunctions.udf.CIQ(D768,"IQ_BUS_SEG_DESCRIPTION", H767, Valuation_date, , , , , $C775)))</f>
        <v>#NAME?</v>
      </c>
      <c r="J775" s="175"/>
      <c r="K775" s="1509"/>
      <c r="O775" s="2060"/>
    </row>
    <row r="776" spans="1:15" s="1508" customFormat="1">
      <c r="A776" s="1518" t="e">
        <f t="shared" ca="1" si="46"/>
        <v>#NAME?</v>
      </c>
      <c r="B776" s="1518"/>
      <c r="C776" s="227">
        <v>5</v>
      </c>
      <c r="D776" s="223" t="e">
        <f ca="1">IF(D766="","",IF(ISNUMBER(_xll.ciqfunctions.udf.CIQ(D768,"IQ_BUS_SEG_NAME", H767, Valuation_date, , , , , $C776)),"",_xll.ciqfunctions.udf.CIQ(D768,"IQ_BUS_SEG_NAME", H767, Valuation_date, , , , , $C776)))</f>
        <v>#NAME?</v>
      </c>
      <c r="E776" s="187" t="e">
        <f ca="1">IF(D766="","",IF(D776="","",_xll.ciqfunctions.udf.CIQ(D768,"IQ_BUS_SEG_REV", H767-1, Valuation_date, ReportType,DataMode, F768,FXMode, C776)*Scale))</f>
        <v>#NAME?</v>
      </c>
      <c r="F776" s="187" t="e">
        <f ca="1">IF(D766="","",IF(D776="","",_xll.ciqfunctions.udf.CIQ(D768,"IQ_BUS_SEG_REV", H767, Valuation_date, ReportType,DataMode, F768,FXMode, $C776)*Scale))</f>
        <v>#NAME?</v>
      </c>
      <c r="G776" s="274" t="e">
        <f ca="1">IF(D776="","",IFERROR(F776/F787,"n/a"))</f>
        <v>#NAME?</v>
      </c>
      <c r="H776" s="274" t="e">
        <f t="shared" ca="1" si="47"/>
        <v>#NAME?</v>
      </c>
      <c r="I776" s="1524" t="e">
        <f ca="1">IF(D766="","",IF(D776="","",_xll.ciqfunctions.udf.CIQ(D768,"IQ_BUS_SEG_DESCRIPTION", H767, Valuation_date, , , , , $C776)))</f>
        <v>#NAME?</v>
      </c>
      <c r="J776" s="224"/>
      <c r="K776" s="1509"/>
      <c r="O776" s="2060"/>
    </row>
    <row r="777" spans="1:15" s="1508" customFormat="1">
      <c r="A777" s="1518" t="e">
        <f t="shared" ca="1" si="46"/>
        <v>#NAME?</v>
      </c>
      <c r="B777" s="1518"/>
      <c r="C777" s="227">
        <v>6</v>
      </c>
      <c r="D777" s="223" t="e">
        <f ca="1">IF(D766="","",IF(ISNUMBER(_xll.ciqfunctions.udf.CIQ(D768,"IQ_BUS_SEG_NAME", H767, Valuation_date, , , , , $C777)),"",_xll.ciqfunctions.udf.CIQ(D768,"IQ_BUS_SEG_NAME", H767, Valuation_date, , , , , $C777)))</f>
        <v>#NAME?</v>
      </c>
      <c r="E777" s="187" t="e">
        <f ca="1">IF(D766="","",IF(D777="","",_xll.ciqfunctions.udf.CIQ(D768,"IQ_BUS_SEG_REV", H767-1, Valuation_date, ReportType,DataMode, F768,FXMode, C777)*Scale))</f>
        <v>#NAME?</v>
      </c>
      <c r="F777" s="187" t="e">
        <f ca="1">IF(D766="","",IF(D777="","",_xll.ciqfunctions.udf.CIQ(D768,"IQ_BUS_SEG_REV", H767, Valuation_date, ReportType,DataMode, F768,FXMode, $C777)*Scale))</f>
        <v>#NAME?</v>
      </c>
      <c r="G777" s="274" t="e">
        <f ca="1">IF(D777="","",IFERROR(F777/F787,"n/a"))</f>
        <v>#NAME?</v>
      </c>
      <c r="H777" s="274" t="e">
        <f t="shared" ca="1" si="47"/>
        <v>#NAME?</v>
      </c>
      <c r="I777" s="1524" t="e">
        <f ca="1">IF(D766="","",IF(D777="","",_xll.ciqfunctions.udf.CIQ(D768,"IQ_BUS_SEG_DESCRIPTION", H767, Valuation_date, , , , , $C777)))</f>
        <v>#NAME?</v>
      </c>
      <c r="J777" s="224"/>
      <c r="K777" s="1509"/>
      <c r="O777" s="2060"/>
    </row>
    <row r="778" spans="1:15" s="1508" customFormat="1">
      <c r="A778" s="1518" t="e">
        <f t="shared" ca="1" si="46"/>
        <v>#NAME?</v>
      </c>
      <c r="B778" s="1518"/>
      <c r="C778" s="227">
        <v>7</v>
      </c>
      <c r="D778" s="223" t="e">
        <f ca="1">IF(D766="","",IF(ISNUMBER(_xll.ciqfunctions.udf.CIQ(D768,"IQ_BUS_SEG_NAME", H767, Valuation_date, , , , , $C778)),"",_xll.ciqfunctions.udf.CIQ(D768,"IQ_BUS_SEG_NAME", H767, Valuation_date, , , , , $C778)))</f>
        <v>#NAME?</v>
      </c>
      <c r="E778" s="187" t="e">
        <f ca="1">IF(D766="","",IF(D778="","",_xll.ciqfunctions.udf.CIQ(D768,"IQ_BUS_SEG_REV", H767-1, Valuation_date, ReportType,DataMode, F768,FXMode, C778)*Scale))</f>
        <v>#NAME?</v>
      </c>
      <c r="F778" s="187" t="e">
        <f ca="1">IF(D766="","",IF(D778="","",_xll.ciqfunctions.udf.CIQ(D768,"IQ_BUS_SEG_REV", H767, Valuation_date, ReportType,DataMode, F768,FXMode, $C778)*Scale))</f>
        <v>#NAME?</v>
      </c>
      <c r="G778" s="274" t="e">
        <f ca="1">IF(D778="","",IFERROR(F778/F787,"n/a"))</f>
        <v>#NAME?</v>
      </c>
      <c r="H778" s="274" t="e">
        <f t="shared" ca="1" si="47"/>
        <v>#NAME?</v>
      </c>
      <c r="I778" s="1524" t="e">
        <f ca="1">IF(D766="","",IF(D778="","",_xll.ciqfunctions.udf.CIQ(D768,"IQ_BUS_SEG_DESCRIPTION", H767, Valuation_date, , , , , $C778)))</f>
        <v>#NAME?</v>
      </c>
      <c r="J778" s="221"/>
      <c r="K778" s="1509"/>
      <c r="O778" s="2060"/>
    </row>
    <row r="779" spans="1:15" s="1508" customFormat="1">
      <c r="A779" s="1518" t="e">
        <f t="shared" ca="1" si="46"/>
        <v>#NAME?</v>
      </c>
      <c r="B779" s="1518"/>
      <c r="C779" s="227">
        <v>8</v>
      </c>
      <c r="D779" s="223" t="e">
        <f ca="1">IF(D766="","",IF(ISNUMBER(_xll.ciqfunctions.udf.CIQ(D768,"IQ_BUS_SEG_NAME", H767, Valuation_date, , , , , $C779)),"",_xll.ciqfunctions.udf.CIQ(D768,"IQ_BUS_SEG_NAME", H767, Valuation_date, , , , , $C779)))</f>
        <v>#NAME?</v>
      </c>
      <c r="E779" s="187" t="e">
        <f ca="1">IF(D766="","",IF(D779="","",_xll.ciqfunctions.udf.CIQ(D768,"IQ_BUS_SEG_REV", H767-1, Valuation_date, ReportType,DataMode, F768,FXMode, C779)*Scale))</f>
        <v>#NAME?</v>
      </c>
      <c r="F779" s="187" t="e">
        <f ca="1">IF(D766="","",IF(D779="","",_xll.ciqfunctions.udf.CIQ(D768,"IQ_BUS_SEG_REV", H767, Valuation_date, ReportType,DataMode, F768,FXMode, $C779)*Scale))</f>
        <v>#NAME?</v>
      </c>
      <c r="G779" s="274" t="e">
        <f ca="1">IF(D779="","",IFERROR(F779/F787,"n/a"))</f>
        <v>#NAME?</v>
      </c>
      <c r="H779" s="274" t="e">
        <f t="shared" ca="1" si="47"/>
        <v>#NAME?</v>
      </c>
      <c r="I779" s="1524" t="e">
        <f ca="1">IF(D766="","",IF(D779="","",_xll.ciqfunctions.udf.CIQ(D768,"IQ_BUS_SEG_DESCRIPTION", H767, Valuation_date, , , , , $C779)))</f>
        <v>#NAME?</v>
      </c>
      <c r="J779" s="222"/>
      <c r="K779" s="1509"/>
      <c r="O779" s="2060"/>
    </row>
    <row r="780" spans="1:15" s="1508" customFormat="1">
      <c r="A780" s="1518" t="e">
        <f t="shared" ca="1" si="46"/>
        <v>#NAME?</v>
      </c>
      <c r="B780" s="1518"/>
      <c r="C780" s="227">
        <v>9</v>
      </c>
      <c r="D780" s="223" t="e">
        <f ca="1">IF(D766="","",IF(ISNUMBER(_xll.ciqfunctions.udf.CIQ(D768,"IQ_BUS_SEG_NAME", H767, Valuation_date, , , , , $C780)),"",_xll.ciqfunctions.udf.CIQ(D768,"IQ_BUS_SEG_NAME", H767, Valuation_date, , , , , $C780)))</f>
        <v>#NAME?</v>
      </c>
      <c r="E780" s="187" t="e">
        <f ca="1">IF(D766="","",IF(D780="","",_xll.ciqfunctions.udf.CIQ(D768,"IQ_BUS_SEG_REV", H767-1, Valuation_date, ReportType,DataMode, F768,FXMode, C780)*Scale))</f>
        <v>#NAME?</v>
      </c>
      <c r="F780" s="187" t="e">
        <f ca="1">IF(D766="","",IF(D780="","",_xll.ciqfunctions.udf.CIQ(D768,"IQ_BUS_SEG_REV", H767, Valuation_date, ReportType,DataMode, F768,FXMode, $C780)*Scale))</f>
        <v>#NAME?</v>
      </c>
      <c r="G780" s="274" t="e">
        <f ca="1">IF(D780="","",IFERROR(F780/F787,"n/a"))</f>
        <v>#NAME?</v>
      </c>
      <c r="H780" s="274" t="e">
        <f t="shared" ca="1" si="47"/>
        <v>#NAME?</v>
      </c>
      <c r="I780" s="1524" t="e">
        <f ca="1">IF(D766="","",IF(D780="","",_xll.ciqfunctions.udf.CIQ(D768,"IQ_BUS_SEG_DESCRIPTION", H767, Valuation_date, , , , , $C780)))</f>
        <v>#NAME?</v>
      </c>
      <c r="J780" s="222"/>
      <c r="K780" s="1509"/>
      <c r="O780" s="2060"/>
    </row>
    <row r="781" spans="1:15" s="1508" customFormat="1">
      <c r="A781" s="1518" t="e">
        <f t="shared" ca="1" si="46"/>
        <v>#NAME?</v>
      </c>
      <c r="B781" s="1518"/>
      <c r="C781" s="227">
        <v>10</v>
      </c>
      <c r="D781" s="223" t="e">
        <f ca="1">IF(D766="","",IF(ISNUMBER(_xll.ciqfunctions.udf.CIQ(D768,"IQ_BUS_SEG_NAME", H767, Valuation_date, , , , , $C781)),"",_xll.ciqfunctions.udf.CIQ(D768,"IQ_BUS_SEG_NAME", H767, Valuation_date, , , , , $C781)))</f>
        <v>#NAME?</v>
      </c>
      <c r="E781" s="187" t="e">
        <f ca="1">IF(D766="","",IF(D781="","",_xll.ciqfunctions.udf.CIQ(D768,"IQ_BUS_SEG_REV", H767-1, Valuation_date, ReportType,DataMode, F768,FXMode, C781)*Scale))</f>
        <v>#NAME?</v>
      </c>
      <c r="F781" s="187" t="e">
        <f ca="1">IF(D766="","",IF(D781="","",_xll.ciqfunctions.udf.CIQ(D768,"IQ_BUS_SEG_REV", H767, Valuation_date, ReportType,DataMode, F768,FXMode, $C781)*Scale))</f>
        <v>#NAME?</v>
      </c>
      <c r="G781" s="274" t="e">
        <f ca="1">IF(D781="","",IFERROR(F781/F787,"n/a"))</f>
        <v>#NAME?</v>
      </c>
      <c r="H781" s="284" t="e">
        <f t="shared" ca="1" si="47"/>
        <v>#NAME?</v>
      </c>
      <c r="I781" s="1524" t="e">
        <f ca="1">IF(D766="","",IF(D781="","",_xll.ciqfunctions.udf.CIQ(D768,"IQ_BUS_SEG_DESCRIPTION", H767, Valuation_date, , , , , $C781)))</f>
        <v>#NAME?</v>
      </c>
      <c r="J781" s="175"/>
      <c r="K781" s="1509"/>
      <c r="O781" s="2060"/>
    </row>
    <row r="782" spans="1:15" s="1508" customFormat="1">
      <c r="A782" s="1518" t="e">
        <f t="shared" ca="1" si="46"/>
        <v>#NAME?</v>
      </c>
      <c r="B782" s="1518"/>
      <c r="C782" s="227">
        <v>11</v>
      </c>
      <c r="D782" s="223" t="e">
        <f ca="1">IF(D766="","",IF(ISNUMBER(_xll.ciqfunctions.udf.CIQ(D768,"IQ_BUS_SEG_NAME", H767, Valuation_date, , , , , $C782)),"",_xll.ciqfunctions.udf.CIQ(D768,"IQ_BUS_SEG_NAME", H767, Valuation_date, , , , , $C782)))</f>
        <v>#NAME?</v>
      </c>
      <c r="E782" s="187" t="e">
        <f ca="1">IF(D766="","",IF(D782="","",_xll.ciqfunctions.udf.CIQ(D768,"IQ_BUS_SEG_REV", H767-1, Valuation_date, ReportType,DataMode, F768,FXMode, C782)*Scale))</f>
        <v>#NAME?</v>
      </c>
      <c r="F782" s="187" t="e">
        <f ca="1">IF(D766="","",IF(D782="","",_xll.ciqfunctions.udf.CIQ(D768,"IQ_BUS_SEG_REV", H767, Valuation_date, ReportType,DataMode, F768,FXMode, $C782)*Scale))</f>
        <v>#NAME?</v>
      </c>
      <c r="G782" s="274" t="e">
        <f ca="1">IF(D782="","",IFERROR(F782/F787,"n/a"))</f>
        <v>#NAME?</v>
      </c>
      <c r="H782" s="284" t="e">
        <f t="shared" ca="1" si="47"/>
        <v>#NAME?</v>
      </c>
      <c r="I782" s="1524" t="e">
        <f ca="1">IF(D766="","",IF(D782="","",_xll.ciqfunctions.udf.CIQ(D768,"IQ_BUS_SEG_DESCRIPTION", H767, Valuation_date, , , , , $C782)))</f>
        <v>#NAME?</v>
      </c>
      <c r="J782" s="222"/>
      <c r="K782" s="1509"/>
      <c r="O782" s="2060"/>
    </row>
    <row r="783" spans="1:15" s="1508" customFormat="1">
      <c r="A783" s="1518" t="e">
        <f t="shared" ca="1" si="46"/>
        <v>#NAME?</v>
      </c>
      <c r="B783" s="1518"/>
      <c r="C783" s="227">
        <v>12</v>
      </c>
      <c r="D783" s="223" t="e">
        <f ca="1">IF(D766="","",IF(ISNUMBER(_xll.ciqfunctions.udf.CIQ(D768,"IQ_BUS_SEG_NAME", H767, Valuation_date, , , , , $C783)),"",_xll.ciqfunctions.udf.CIQ(D768,"IQ_BUS_SEG_NAME", H767, Valuation_date, , , , , $C783)))</f>
        <v>#NAME?</v>
      </c>
      <c r="E783" s="187" t="e">
        <f ca="1">IF(D766="","",IF(D783="","",_xll.ciqfunctions.udf.CIQ(D768,"IQ_BUS_SEG_REV", H767-1, Valuation_date, ReportType,DataMode, F768,FXMode, C783)*Scale))</f>
        <v>#NAME?</v>
      </c>
      <c r="F783" s="187" t="e">
        <f ca="1">IF(D766="","",IF(D783="","",_xll.ciqfunctions.udf.CIQ(D768,"IQ_BUS_SEG_REV", H767, Valuation_date, ReportType,DataMode, F768,FXMode, $C783)*Scale))</f>
        <v>#NAME?</v>
      </c>
      <c r="G783" s="274" t="e">
        <f ca="1">IF(D783="","",IFERROR(F783/F787,"n/a"))</f>
        <v>#NAME?</v>
      </c>
      <c r="H783" s="284" t="e">
        <f t="shared" ca="1" si="47"/>
        <v>#NAME?</v>
      </c>
      <c r="I783" s="1524" t="e">
        <f ca="1">IF(D766="","",IF(D783="","",_xll.ciqfunctions.udf.CIQ(D768,"IQ_BUS_SEG_DESCRIPTION", H767, Valuation_date, , , , , $C783)))</f>
        <v>#NAME?</v>
      </c>
      <c r="J783" s="222"/>
      <c r="K783" s="1509"/>
      <c r="O783" s="2060"/>
    </row>
    <row r="784" spans="1:15" s="1508" customFormat="1">
      <c r="A784" s="1518" t="e">
        <f t="shared" ca="1" si="46"/>
        <v>#NAME?</v>
      </c>
      <c r="B784" s="1518"/>
      <c r="C784" s="227">
        <v>13</v>
      </c>
      <c r="D784" s="223" t="e">
        <f ca="1">IF(D766="","",IF(ISNUMBER(_xll.ciqfunctions.udf.CIQ(D768,"IQ_BUS_SEG_NAME", H767, Valuation_date, , , , , $C784)),"",_xll.ciqfunctions.udf.CIQ(D768,"IQ_BUS_SEG_NAME", H767, Valuation_date, , , , , $C784)))</f>
        <v>#NAME?</v>
      </c>
      <c r="E784" s="187" t="e">
        <f ca="1">IF(D766="","",IF(D784="","",_xll.ciqfunctions.udf.CIQ(D768,"IQ_BUS_SEG_REV", H767-1, Valuation_date, ReportType,DataMode, F768,FXMode, C784)*Scale))</f>
        <v>#NAME?</v>
      </c>
      <c r="F784" s="187" t="e">
        <f ca="1">IF(D766="","",IF(D784="","",_xll.ciqfunctions.udf.CIQ(D768,"IQ_BUS_SEG_REV", H767, Valuation_date, ReportType,DataMode, F768,FXMode, $C784)*Scale))</f>
        <v>#NAME?</v>
      </c>
      <c r="G784" s="274" t="e">
        <f ca="1">IF(D784="","",IFERROR(F784/F787,"n/a"))</f>
        <v>#NAME?</v>
      </c>
      <c r="H784" s="284" t="e">
        <f t="shared" ca="1" si="47"/>
        <v>#NAME?</v>
      </c>
      <c r="I784" s="1524" t="e">
        <f ca="1">IF(D766="","",IF(D784="","",_xll.ciqfunctions.udf.CIQ(D768,"IQ_BUS_SEG_DESCRIPTION", H767, Valuation_date, , , , , $C784)))</f>
        <v>#NAME?</v>
      </c>
      <c r="J784" s="222"/>
      <c r="K784" s="1509"/>
      <c r="O784" s="2060"/>
    </row>
    <row r="785" spans="1:15" s="1508" customFormat="1">
      <c r="A785" s="1518" t="e">
        <f ca="1">IF(D785="","n","")</f>
        <v>#NAME?</v>
      </c>
      <c r="B785" s="1518"/>
      <c r="C785" s="227">
        <v>14</v>
      </c>
      <c r="D785" s="223" t="e">
        <f ca="1">IF(D766="","",IF(ISNUMBER(_xll.ciqfunctions.udf.CIQ(D768,"IQ_BUS_SEG_NAME", H767, Valuation_date, , , , , $C785)),"",_xll.ciqfunctions.udf.CIQ(D768,"IQ_BUS_SEG_NAME", H767, Valuation_date, , , , , $C785)))</f>
        <v>#NAME?</v>
      </c>
      <c r="E785" s="187" t="e">
        <f ca="1">IF(D766="","",IF(D785="","",_xll.ciqfunctions.udf.CIQ(D768,"IQ_BUS_SEG_REV", H767-1, Valuation_date, ReportType,DataMode, F768,FXMode, C785)*Scale))</f>
        <v>#NAME?</v>
      </c>
      <c r="F785" s="187" t="e">
        <f ca="1">IF(D766="","",IF(D785="","",_xll.ciqfunctions.udf.CIQ(D768,"IQ_BUS_SEG_REV", H767, Valuation_date, ReportType,DataMode, F768,FXMode, $C785)*Scale))</f>
        <v>#NAME?</v>
      </c>
      <c r="G785" s="274" t="e">
        <f ca="1">IF(D785="","",IFERROR(F785/F787,"n/a"))</f>
        <v>#NAME?</v>
      </c>
      <c r="H785" s="284" t="e">
        <f t="shared" ca="1" si="47"/>
        <v>#NAME?</v>
      </c>
      <c r="I785" s="1524" t="e">
        <f ca="1">IF(D766="","",IF(D785="","",_xll.ciqfunctions.udf.CIQ(D768,"IQ_BUS_SEG_DESCRIPTION", H767, Valuation_date, , , , , $C785)))</f>
        <v>#NAME?</v>
      </c>
      <c r="J785" s="222"/>
      <c r="K785" s="1509"/>
      <c r="O785" s="2060"/>
    </row>
    <row r="786" spans="1:15" s="1508" customFormat="1">
      <c r="A786" s="1518" t="e">
        <f ca="1">IF(D786="","n","")</f>
        <v>#NAME?</v>
      </c>
      <c r="B786" s="1518"/>
      <c r="C786" s="227">
        <v>15</v>
      </c>
      <c r="D786" s="223" t="e">
        <f ca="1">IF(D766="","",IF(ISNUMBER(_xll.ciqfunctions.udf.CIQ(D768,"IQ_BUS_SEG_NAME", H767, Valuation_date, , , , , $C786)),"",_xll.ciqfunctions.udf.CIQ(D768,"IQ_BUS_SEG_NAME", H767, Valuation_date, , , , , $C786)))</f>
        <v>#NAME?</v>
      </c>
      <c r="E786" s="187" t="e">
        <f ca="1">IF(D766="","",IF(D786="","",_xll.ciqfunctions.udf.CIQ(D768,"IQ_BUS_SEG_REV", H767-1, Valuation_date, ReportType,DataMode, F768,FXMode, C786)*Scale))</f>
        <v>#NAME?</v>
      </c>
      <c r="F786" s="187" t="e">
        <f ca="1">IF(D766="","",IF(D786="","",_xll.ciqfunctions.udf.CIQ(D768,"IQ_BUS_SEG_REV", H767, Valuation_date, ReportType,DataMode, F768,FXMode, $C786)*Scale))</f>
        <v>#NAME?</v>
      </c>
      <c r="G786" s="274" t="e">
        <f ca="1">IF(D786="","",IFERROR(F786/F787,"n/a"))</f>
        <v>#NAME?</v>
      </c>
      <c r="H786" s="284" t="e">
        <f t="shared" ca="1" si="47"/>
        <v>#NAME?</v>
      </c>
      <c r="I786" s="1524" t="e">
        <f ca="1">IF(D766="","",IF(D786="","",_xll.ciqfunctions.udf.CIQ(D768,"IQ_BUS_SEG_DESCRIPTION", H767, Valuation_date, , , , , $C786)))</f>
        <v>#NAME?</v>
      </c>
      <c r="J786" s="222"/>
      <c r="K786" s="1509"/>
      <c r="O786" s="2060"/>
    </row>
    <row r="787" spans="1:15" s="1508" customFormat="1" ht="14.45" thickBot="1">
      <c r="A787" s="1518"/>
      <c r="B787" s="1518"/>
      <c r="C787" s="225"/>
      <c r="D787" s="220" t="s">
        <v>1248</v>
      </c>
      <c r="E787" s="220" t="e">
        <f ca="1">SUM(E772:E786)</f>
        <v>#NAME?</v>
      </c>
      <c r="F787" s="220" t="e">
        <f ca="1">SUM(F772:F786)</f>
        <v>#NAME?</v>
      </c>
      <c r="G787" s="2266" t="e">
        <f ca="1">SUM(G772:G786)</f>
        <v>#NAME?</v>
      </c>
      <c r="H787" s="2267" t="str">
        <f ca="1">IF(D787="","",IFERROR(F787/E787-1,"n/a"))</f>
        <v>n/a</v>
      </c>
      <c r="I787" s="1515"/>
      <c r="J787" s="222"/>
      <c r="K787" s="1509"/>
      <c r="O787" s="2060"/>
    </row>
    <row r="788" spans="1:15" s="1508" customFormat="1">
      <c r="A788" s="1518"/>
      <c r="B788" s="1518"/>
      <c r="C788" s="225"/>
      <c r="D788" s="187"/>
      <c r="E788" s="187"/>
      <c r="F788" s="274"/>
      <c r="G788" s="187"/>
      <c r="H788" s="284"/>
      <c r="I788" s="1515"/>
      <c r="J788" s="222"/>
      <c r="K788" s="1509"/>
      <c r="O788" s="2060"/>
    </row>
    <row r="789" spans="1:15" s="1508" customFormat="1">
      <c r="A789" s="1518"/>
      <c r="B789" s="1518"/>
      <c r="C789" s="1572"/>
      <c r="D789" s="1514" t="s">
        <v>1707</v>
      </c>
      <c r="E789" s="1579"/>
      <c r="F789" s="1575"/>
      <c r="G789" s="1514"/>
      <c r="H789" s="1575"/>
      <c r="I789" s="1571"/>
      <c r="J789" s="1574"/>
      <c r="K789" s="1509"/>
      <c r="L789" s="2060"/>
      <c r="M789" s="2060"/>
      <c r="O789" s="2060"/>
    </row>
    <row r="790" spans="1:15" s="1508" customFormat="1">
      <c r="A790" s="1518"/>
      <c r="B790" s="1518"/>
      <c r="C790" s="225"/>
      <c r="D790" s="1514" t="s">
        <v>1402</v>
      </c>
      <c r="E790" s="187"/>
      <c r="F790" s="274"/>
      <c r="G790" s="187"/>
      <c r="H790" s="284"/>
      <c r="I790" s="1515"/>
      <c r="J790" s="222"/>
      <c r="K790" s="1509"/>
      <c r="O790" s="2060"/>
    </row>
    <row r="791" spans="1:15" s="1508" customFormat="1">
      <c r="A791" s="1518"/>
      <c r="B791" s="1518"/>
      <c r="C791" s="225"/>
      <c r="H791" s="1515"/>
      <c r="I791" s="1515"/>
      <c r="K791" s="1509"/>
      <c r="L791" s="2060"/>
      <c r="M791" s="2060"/>
      <c r="O791" s="2060"/>
    </row>
    <row r="792" spans="1:15" s="1508" customFormat="1">
      <c r="A792" s="1510"/>
      <c r="B792" s="1510"/>
      <c r="C792" s="327"/>
      <c r="D792" s="1513" t="str">
        <f ca="1">FootnoteDRAFT</f>
        <v>Run date: 05-August-2018  02:34 PM.   DRAFT document. All data subject to change upon completion of additional analysis.</v>
      </c>
      <c r="E792" s="1506"/>
      <c r="F792" s="176"/>
      <c r="G792" s="1513"/>
      <c r="H792" s="368"/>
      <c r="I792" s="1512"/>
      <c r="J792" s="1512"/>
      <c r="K792" s="1509"/>
      <c r="L792" s="2060"/>
      <c r="M792" s="2060"/>
      <c r="O792" s="2060"/>
    </row>
    <row r="793" spans="1:15" s="1508" customFormat="1">
      <c r="A793" s="1510" t="s">
        <v>17</v>
      </c>
      <c r="B793" s="1510"/>
      <c r="C793" s="1510"/>
      <c r="D793" s="1510"/>
      <c r="E793" s="683"/>
      <c r="F793" s="1510"/>
      <c r="G793" s="1510"/>
      <c r="H793" s="1510"/>
      <c r="I793" s="1547"/>
      <c r="J793" s="1546" t="str">
        <f ca="1">IF(D801="","Page end","Continue")</f>
        <v>Continue</v>
      </c>
      <c r="K793" s="1510"/>
      <c r="L793" s="2060"/>
      <c r="M793" s="2060"/>
      <c r="O793" s="2060"/>
    </row>
    <row r="794" spans="1:15" s="1508" customFormat="1" ht="17.45">
      <c r="A794" s="1518"/>
      <c r="B794" s="1518"/>
      <c r="C794" s="292" t="str">
        <f ca="1">D799</f>
        <v>n/a</v>
      </c>
      <c r="D794" s="172"/>
      <c r="E794" s="674"/>
      <c r="F794" s="172"/>
      <c r="G794" s="172"/>
      <c r="H794" s="172"/>
      <c r="I794" s="1522"/>
      <c r="J794" s="389" t="str">
        <f>$J$1&amp;"."&amp;C799&amp;""</f>
        <v>Workpaper 6.24</v>
      </c>
      <c r="K794" s="1509"/>
      <c r="O794" s="2060"/>
    </row>
    <row r="795" spans="1:15" s="1508" customFormat="1" ht="17.45">
      <c r="A795" s="1518"/>
      <c r="B795" s="1518"/>
      <c r="C795" s="839" t="s">
        <v>1699</v>
      </c>
      <c r="D795" s="172"/>
      <c r="E795" s="172"/>
      <c r="F795" s="172"/>
      <c r="G795" s="172"/>
      <c r="H795" s="172"/>
      <c r="I795" s="1522"/>
      <c r="J795" s="187"/>
      <c r="K795" s="1509"/>
      <c r="O795" s="2060"/>
    </row>
    <row r="796" spans="1:15" s="1508" customFormat="1" ht="14.45">
      <c r="A796" s="1518"/>
      <c r="B796" s="1518"/>
      <c r="C796" s="366" t="str">
        <f ca="1">"(" &amp;F801&amp;" in "&amp;ScaleInput&amp;")"</f>
        <v>(USD in Millions)</v>
      </c>
      <c r="E796" s="170"/>
      <c r="F796" s="170"/>
      <c r="G796" s="170"/>
      <c r="H796" s="170"/>
      <c r="I796" s="1521"/>
      <c r="K796" s="1509"/>
      <c r="O796" s="2060"/>
    </row>
    <row r="797" spans="1:15" s="1508" customFormat="1" ht="14.45">
      <c r="A797" s="1518"/>
      <c r="B797" s="1518"/>
      <c r="C797" s="366"/>
      <c r="E797" s="172"/>
      <c r="F797" s="172"/>
      <c r="G797" s="172"/>
      <c r="H797" s="172"/>
      <c r="I797" s="1522"/>
      <c r="K797" s="1509"/>
      <c r="O797" s="2060"/>
    </row>
    <row r="798" spans="1:15" s="1508" customFormat="1">
      <c r="A798" s="1518"/>
      <c r="B798" s="1518"/>
      <c r="C798" s="1511"/>
      <c r="E798" s="172"/>
      <c r="F798" s="172"/>
      <c r="G798" s="172"/>
      <c r="H798" s="172"/>
      <c r="I798" s="1522"/>
      <c r="K798" s="1509"/>
      <c r="O798" s="2060"/>
    </row>
    <row r="799" spans="1:15" s="1508" customFormat="1">
      <c r="A799" s="1518"/>
      <c r="B799" s="1518"/>
      <c r="C799" s="226">
        <f>C766+1</f>
        <v>24</v>
      </c>
      <c r="D799" s="179" t="str">
        <f ca="1">IF(D801=0,"n/a",IFERROR(_xll.ciqfunctions.udf.CIQ(D801,"IQ_COMPANY_NAME"),"n/a"))</f>
        <v>n/a</v>
      </c>
      <c r="I799" s="1515"/>
      <c r="K799" s="1509"/>
      <c r="O799" s="2060"/>
    </row>
    <row r="800" spans="1:15" s="1508" customFormat="1">
      <c r="A800" s="1518"/>
      <c r="B800" s="1518"/>
      <c r="C800" s="225"/>
      <c r="D800" s="2258" t="s">
        <v>134</v>
      </c>
      <c r="E800" s="2258" t="s">
        <v>1708</v>
      </c>
      <c r="F800" s="2262" t="s">
        <v>167</v>
      </c>
      <c r="G800" s="2262" t="s">
        <v>1700</v>
      </c>
      <c r="H800" s="2263">
        <f>INDEX($W$9:$W$14,MATCH(H801,PeriodList,0))</f>
        <v>2000</v>
      </c>
      <c r="I800" s="1515"/>
      <c r="J800" s="201"/>
      <c r="K800" s="1509"/>
      <c r="O800" s="2060"/>
    </row>
    <row r="801" spans="1:15" s="1508" customFormat="1">
      <c r="A801" s="1518"/>
      <c r="B801" s="1518"/>
      <c r="C801" s="227"/>
      <c r="D801" s="2249">
        <f ca="1">OFFSET(GCIdentifierTop,C799,0)</f>
        <v>0</v>
      </c>
      <c r="E801" s="2250" t="str">
        <f ca="1">IF($D801="","",IFERROR(_xll.ciqfunctions.udf.CIQ($D801,"IQ_PERIODDATE",H800,Valuation_date),"n/a"))</f>
        <v>n/a</v>
      </c>
      <c r="F801" s="2251" t="str">
        <f ca="1">IFERROR(IF(C799=0,SubjOutputCurrencyCode,IF(D801="","",IF(OutputCurrency="Filing",_xll.ciqfunctions.udf.CIQ($D801,"IQ_FILING_CURRENCY",500,Valuation_date,ReportType,DataMode),OutputCurrency))),OutputCurrency)</f>
        <v>USD</v>
      </c>
      <c r="G801" s="2264" t="e">
        <f ca="1">IF(D799="","",_xll.ciqfunctions.udf.CIQ(D801,"IQ_TOTAL_REV", H800, Valuation_date,ReportType,DataMode,F801,FXMode))</f>
        <v>#NAME?</v>
      </c>
      <c r="H801" s="2265" t="str">
        <f>$H$9</f>
        <v>LTM/LFQ</v>
      </c>
      <c r="I801" s="1523"/>
      <c r="J801" s="174"/>
      <c r="K801" s="1509"/>
      <c r="O801" s="2060"/>
    </row>
    <row r="802" spans="1:15" s="1508" customFormat="1">
      <c r="A802" s="1518"/>
      <c r="B802" s="1518"/>
      <c r="C802" s="227"/>
      <c r="I802" s="1515"/>
      <c r="J802" s="221"/>
      <c r="K802" s="1509"/>
      <c r="O802" s="2060"/>
    </row>
    <row r="803" spans="1:15" s="1508" customFormat="1">
      <c r="A803" s="1518"/>
      <c r="B803" s="1518"/>
      <c r="C803" s="227"/>
      <c r="D803" s="741"/>
      <c r="E803" s="744" t="e">
        <f ca="1">IF(D801="",Valuation_date,_xll.ciqfunctions.udf.CIQ(D801,"IQ_PERIODDATE",H800-IF(LEFT(H801,3)="LFY",1,4),Valuation_date))</f>
        <v>#NAME?</v>
      </c>
      <c r="F803" s="742" t="e">
        <f ca="1">IF(D801="",Valuation_date,_xll.ciqfunctions.udf.CIQ(D801,"IQ_PERIODDATE",H800,Valuation_date))</f>
        <v>#NAME?</v>
      </c>
      <c r="G803" s="741"/>
      <c r="H803" s="743" t="s">
        <v>1702</v>
      </c>
      <c r="I803" s="1587"/>
      <c r="J803" s="221"/>
      <c r="K803" s="1509"/>
      <c r="O803" s="2060"/>
    </row>
    <row r="804" spans="1:15" s="1508" customFormat="1">
      <c r="A804" s="1518"/>
      <c r="B804" s="1518"/>
      <c r="C804" s="227"/>
      <c r="D804" s="2254" t="s">
        <v>1703</v>
      </c>
      <c r="E804" s="2255" t="s">
        <v>1458</v>
      </c>
      <c r="F804" s="2255" t="s">
        <v>1458</v>
      </c>
      <c r="G804" s="2255" t="s">
        <v>1704</v>
      </c>
      <c r="H804" s="2255" t="s">
        <v>1705</v>
      </c>
      <c r="I804" s="2256" t="s">
        <v>1706</v>
      </c>
      <c r="J804" s="222"/>
      <c r="K804" s="1509"/>
      <c r="O804" s="2060"/>
    </row>
    <row r="805" spans="1:15" s="1508" customFormat="1">
      <c r="A805" s="1518" t="e">
        <f t="shared" ref="A805:A817" ca="1" si="48">IF(D805="","n","")</f>
        <v>#NAME?</v>
      </c>
      <c r="B805" s="1518"/>
      <c r="C805" s="227">
        <v>1</v>
      </c>
      <c r="D805" s="223" t="e">
        <f ca="1">IF(D799="","",IF(ISNUMBER(_xll.ciqfunctions.udf.CIQ(D801,"IQ_BUS_SEG_NAME", H800, Valuation_date, , , , , $C805)),"",_xll.ciqfunctions.udf.CIQ(D801,"IQ_BUS_SEG_NAME", H800, Valuation_date, , , , , $C805)))</f>
        <v>#NAME?</v>
      </c>
      <c r="E805" s="187" t="e">
        <f ca="1">IF(D799="","",IF(D805="","",_xll.ciqfunctions.udf.CIQ(D801,"IQ_BUS_SEG_REV", H800-1, Valuation_date, ReportType,DataMode, F801,FXMode, C805)*Scale))</f>
        <v>#NAME?</v>
      </c>
      <c r="F805" s="187" t="e">
        <f ca="1">IF(D799="","",IF(D805="","",_xll.ciqfunctions.udf.CIQ(D801,"IQ_BUS_SEG_REV", H800, Valuation_date, ReportType,DataMode, F801,FXMode, $C805)*Scale))</f>
        <v>#NAME?</v>
      </c>
      <c r="G805" s="274" t="e">
        <f ca="1">IF(D805="","",IFERROR(F805/F820,"n/a"))</f>
        <v>#NAME?</v>
      </c>
      <c r="H805" s="274" t="e">
        <f ca="1">IF(D805="","",IFERROR(F805/E805-1,"n/a"))</f>
        <v>#NAME?</v>
      </c>
      <c r="I805" s="1524" t="e">
        <f ca="1">IF(D799="","",IF(D805="","",_xll.ciqfunctions.udf.CIQ(D801,"IQ_BUS_SEG_DESCRIPTION", H800, Valuation_date, , , , , $C805)))</f>
        <v>#NAME?</v>
      </c>
      <c r="J805" s="175"/>
      <c r="K805" s="1509"/>
      <c r="O805" s="2060"/>
    </row>
    <row r="806" spans="1:15" s="1508" customFormat="1">
      <c r="A806" s="1518" t="e">
        <f t="shared" ca="1" si="48"/>
        <v>#NAME?</v>
      </c>
      <c r="B806" s="1518"/>
      <c r="C806" s="227">
        <v>2</v>
      </c>
      <c r="D806" s="223" t="e">
        <f ca="1">IF(D799="","",IF(ISNUMBER(_xll.ciqfunctions.udf.CIQ(D801,"IQ_BUS_SEG_NAME", H800, Valuation_date, , , , , $C806)),"",_xll.ciqfunctions.udf.CIQ(D801,"IQ_BUS_SEG_NAME", H800, Valuation_date, , , , , $C806)))</f>
        <v>#NAME?</v>
      </c>
      <c r="E806" s="187" t="e">
        <f ca="1">IF(D799="","",IF(D806="","",_xll.ciqfunctions.udf.CIQ(D801,"IQ_BUS_SEG_REV", H800-1, Valuation_date, ReportType,DataMode, F801,FXMode, C806)*Scale))</f>
        <v>#NAME?</v>
      </c>
      <c r="F806" s="187" t="e">
        <f ca="1">IF(D799="","",IF(D806="","",_xll.ciqfunctions.udf.CIQ(D801,"IQ_BUS_SEG_REV", H800, Valuation_date, ReportType,DataMode, F801,FXMode, $C806)*Scale))</f>
        <v>#NAME?</v>
      </c>
      <c r="G806" s="274" t="e">
        <f ca="1">IF(D806="","",IFERROR(F806/F820,"n/a"))</f>
        <v>#NAME?</v>
      </c>
      <c r="H806" s="274" t="e">
        <f t="shared" ref="H806:H819" ca="1" si="49">IF(D806="","",IFERROR(F806/E806-1,"n/a"))</f>
        <v>#NAME?</v>
      </c>
      <c r="I806" s="1524" t="e">
        <f ca="1">IF(D799="","",IF(D806="","",_xll.ciqfunctions.udf.CIQ(D801,"IQ_BUS_SEG_DESCRIPTION", H800, Valuation_date, , , , , $C806)))</f>
        <v>#NAME?</v>
      </c>
      <c r="J806" s="175"/>
      <c r="K806" s="1509"/>
      <c r="O806" s="2060"/>
    </row>
    <row r="807" spans="1:15" s="1508" customFormat="1">
      <c r="A807" s="1518" t="e">
        <f t="shared" ca="1" si="48"/>
        <v>#NAME?</v>
      </c>
      <c r="B807" s="1518"/>
      <c r="C807" s="227">
        <v>3</v>
      </c>
      <c r="D807" s="223" t="e">
        <f ca="1">IF(D799="","",IF(ISNUMBER(_xll.ciqfunctions.udf.CIQ(D801,"IQ_BUS_SEG_NAME", H800, Valuation_date, , , , , $C807)),"",_xll.ciqfunctions.udf.CIQ(D801,"IQ_BUS_SEG_NAME", H800, Valuation_date, , , , , $C807)))</f>
        <v>#NAME?</v>
      </c>
      <c r="E807" s="187" t="e">
        <f ca="1">IF(D799="","",IF(D807="","",_xll.ciqfunctions.udf.CIQ(D801,"IQ_BUS_SEG_REV", H800-1, Valuation_date, ReportType,DataMode, F801,FXMode, C807)*Scale))</f>
        <v>#NAME?</v>
      </c>
      <c r="F807" s="187" t="e">
        <f ca="1">IF(D799="","",IF(D807="","",_xll.ciqfunctions.udf.CIQ(D801,"IQ_BUS_SEG_REV", H800, Valuation_date, ReportType,DataMode, F801,FXMode, $C807)*Scale))</f>
        <v>#NAME?</v>
      </c>
      <c r="G807" s="274" t="e">
        <f ca="1">IF(D807="","",IFERROR(F807/F820,"n/a"))</f>
        <v>#NAME?</v>
      </c>
      <c r="H807" s="274" t="e">
        <f t="shared" ca="1" si="49"/>
        <v>#NAME?</v>
      </c>
      <c r="I807" s="1524" t="e">
        <f ca="1">IF(D799="","",IF(D807="","",_xll.ciqfunctions.udf.CIQ(D801,"IQ_BUS_SEG_DESCRIPTION", H800, Valuation_date, , , , , $C807)))</f>
        <v>#NAME?</v>
      </c>
      <c r="J807" s="175"/>
      <c r="K807" s="1509"/>
      <c r="O807" s="2060"/>
    </row>
    <row r="808" spans="1:15" s="1508" customFormat="1">
      <c r="A808" s="1518" t="e">
        <f t="shared" ca="1" si="48"/>
        <v>#NAME?</v>
      </c>
      <c r="B808" s="1518"/>
      <c r="C808" s="227">
        <v>4</v>
      </c>
      <c r="D808" s="223" t="e">
        <f ca="1">IF(D799="","",IF(ISNUMBER(_xll.ciqfunctions.udf.CIQ(D801,"IQ_BUS_SEG_NAME", H800, Valuation_date, , , , , $C808)),"",_xll.ciqfunctions.udf.CIQ(D801,"IQ_BUS_SEG_NAME", H800, Valuation_date, , , , , $C808)))</f>
        <v>#NAME?</v>
      </c>
      <c r="E808" s="187" t="e">
        <f ca="1">IF(D799="","",IF(D808="","",_xll.ciqfunctions.udf.CIQ(D801,"IQ_BUS_SEG_REV", H800-1, Valuation_date, ReportType,DataMode, F801,FXMode, C808)*Scale))</f>
        <v>#NAME?</v>
      </c>
      <c r="F808" s="187" t="e">
        <f ca="1">IF(D799="","",IF(D808="","",_xll.ciqfunctions.udf.CIQ(D801,"IQ_BUS_SEG_REV", H800, Valuation_date, ReportType,DataMode, F801,FXMode, $C808)*Scale))</f>
        <v>#NAME?</v>
      </c>
      <c r="G808" s="274" t="e">
        <f ca="1">IF(D808="","",IFERROR(F808/F820,"n/a"))</f>
        <v>#NAME?</v>
      </c>
      <c r="H808" s="274" t="e">
        <f t="shared" ca="1" si="49"/>
        <v>#NAME?</v>
      </c>
      <c r="I808" s="1524" t="e">
        <f ca="1">IF(D799="","",IF(D808="","",_xll.ciqfunctions.udf.CIQ(D801,"IQ_BUS_SEG_DESCRIPTION", H800, Valuation_date, , , , , $C808)))</f>
        <v>#NAME?</v>
      </c>
      <c r="J808" s="175"/>
      <c r="K808" s="1509"/>
      <c r="O808" s="2060"/>
    </row>
    <row r="809" spans="1:15" s="1508" customFormat="1">
      <c r="A809" s="1518" t="e">
        <f t="shared" ca="1" si="48"/>
        <v>#NAME?</v>
      </c>
      <c r="B809" s="1518"/>
      <c r="C809" s="227">
        <v>5</v>
      </c>
      <c r="D809" s="223" t="e">
        <f ca="1">IF(D799="","",IF(ISNUMBER(_xll.ciqfunctions.udf.CIQ(D801,"IQ_BUS_SEG_NAME", H800, Valuation_date, , , , , $C809)),"",_xll.ciqfunctions.udf.CIQ(D801,"IQ_BUS_SEG_NAME", H800, Valuation_date, , , , , $C809)))</f>
        <v>#NAME?</v>
      </c>
      <c r="E809" s="187" t="e">
        <f ca="1">IF(D799="","",IF(D809="","",_xll.ciqfunctions.udf.CIQ(D801,"IQ_BUS_SEG_REV", H800-1, Valuation_date, ReportType,DataMode, F801,FXMode, C809)*Scale))</f>
        <v>#NAME?</v>
      </c>
      <c r="F809" s="187" t="e">
        <f ca="1">IF(D799="","",IF(D809="","",_xll.ciqfunctions.udf.CIQ(D801,"IQ_BUS_SEG_REV", H800, Valuation_date, ReportType,DataMode, F801,FXMode, $C809)*Scale))</f>
        <v>#NAME?</v>
      </c>
      <c r="G809" s="274" t="e">
        <f ca="1">IF(D809="","",IFERROR(F809/F820,"n/a"))</f>
        <v>#NAME?</v>
      </c>
      <c r="H809" s="274" t="e">
        <f t="shared" ca="1" si="49"/>
        <v>#NAME?</v>
      </c>
      <c r="I809" s="1524" t="e">
        <f ca="1">IF(D799="","",IF(D809="","",_xll.ciqfunctions.udf.CIQ(D801,"IQ_BUS_SEG_DESCRIPTION", H800, Valuation_date, , , , , $C809)))</f>
        <v>#NAME?</v>
      </c>
      <c r="J809" s="224"/>
      <c r="K809" s="1509"/>
      <c r="O809" s="2060"/>
    </row>
    <row r="810" spans="1:15" s="1508" customFormat="1">
      <c r="A810" s="1518" t="e">
        <f t="shared" ca="1" si="48"/>
        <v>#NAME?</v>
      </c>
      <c r="B810" s="1518"/>
      <c r="C810" s="227">
        <v>6</v>
      </c>
      <c r="D810" s="223" t="e">
        <f ca="1">IF(D799="","",IF(ISNUMBER(_xll.ciqfunctions.udf.CIQ(D801,"IQ_BUS_SEG_NAME", H800, Valuation_date, , , , , $C810)),"",_xll.ciqfunctions.udf.CIQ(D801,"IQ_BUS_SEG_NAME", H800, Valuation_date, , , , , $C810)))</f>
        <v>#NAME?</v>
      </c>
      <c r="E810" s="187" t="e">
        <f ca="1">IF(D799="","",IF(D810="","",_xll.ciqfunctions.udf.CIQ(D801,"IQ_BUS_SEG_REV", H800-1, Valuation_date, ReportType,DataMode, F801,FXMode, C810)*Scale))</f>
        <v>#NAME?</v>
      </c>
      <c r="F810" s="187" t="e">
        <f ca="1">IF(D799="","",IF(D810="","",_xll.ciqfunctions.udf.CIQ(D801,"IQ_BUS_SEG_REV", H800, Valuation_date, ReportType,DataMode, F801,FXMode, $C810)*Scale))</f>
        <v>#NAME?</v>
      </c>
      <c r="G810" s="274" t="e">
        <f ca="1">IF(D810="","",IFERROR(F810/F820,"n/a"))</f>
        <v>#NAME?</v>
      </c>
      <c r="H810" s="274" t="e">
        <f t="shared" ca="1" si="49"/>
        <v>#NAME?</v>
      </c>
      <c r="I810" s="1524" t="e">
        <f ca="1">IF(D799="","",IF(D810="","",_xll.ciqfunctions.udf.CIQ(D801,"IQ_BUS_SEG_DESCRIPTION", H800, Valuation_date, , , , , $C810)))</f>
        <v>#NAME?</v>
      </c>
      <c r="J810" s="224"/>
      <c r="K810" s="1509"/>
      <c r="O810" s="2060"/>
    </row>
    <row r="811" spans="1:15" s="1508" customFormat="1">
      <c r="A811" s="1518" t="e">
        <f t="shared" ca="1" si="48"/>
        <v>#NAME?</v>
      </c>
      <c r="B811" s="1518"/>
      <c r="C811" s="227">
        <v>7</v>
      </c>
      <c r="D811" s="223" t="e">
        <f ca="1">IF(D799="","",IF(ISNUMBER(_xll.ciqfunctions.udf.CIQ(D801,"IQ_BUS_SEG_NAME", H800, Valuation_date, , , , , $C811)),"",_xll.ciqfunctions.udf.CIQ(D801,"IQ_BUS_SEG_NAME", H800, Valuation_date, , , , , $C811)))</f>
        <v>#NAME?</v>
      </c>
      <c r="E811" s="187" t="e">
        <f ca="1">IF(D799="","",IF(D811="","",_xll.ciqfunctions.udf.CIQ(D801,"IQ_BUS_SEG_REV", H800-1, Valuation_date, ReportType,DataMode, F801,FXMode, C811)*Scale))</f>
        <v>#NAME?</v>
      </c>
      <c r="F811" s="187" t="e">
        <f ca="1">IF(D799="","",IF(D811="","",_xll.ciqfunctions.udf.CIQ(D801,"IQ_BUS_SEG_REV", H800, Valuation_date, ReportType,DataMode, F801,FXMode, $C811)*Scale))</f>
        <v>#NAME?</v>
      </c>
      <c r="G811" s="274" t="e">
        <f ca="1">IF(D811="","",IFERROR(F811/F820,"n/a"))</f>
        <v>#NAME?</v>
      </c>
      <c r="H811" s="274" t="e">
        <f t="shared" ca="1" si="49"/>
        <v>#NAME?</v>
      </c>
      <c r="I811" s="1524" t="e">
        <f ca="1">IF(D799="","",IF(D811="","",_xll.ciqfunctions.udf.CIQ(D801,"IQ_BUS_SEG_DESCRIPTION", H800, Valuation_date, , , , , $C811)))</f>
        <v>#NAME?</v>
      </c>
      <c r="J811" s="221"/>
      <c r="K811" s="1509"/>
      <c r="O811" s="2060"/>
    </row>
    <row r="812" spans="1:15" s="1508" customFormat="1">
      <c r="A812" s="1518" t="e">
        <f t="shared" ca="1" si="48"/>
        <v>#NAME?</v>
      </c>
      <c r="B812" s="1518"/>
      <c r="C812" s="227">
        <v>8</v>
      </c>
      <c r="D812" s="223" t="e">
        <f ca="1">IF(D799="","",IF(ISNUMBER(_xll.ciqfunctions.udf.CIQ(D801,"IQ_BUS_SEG_NAME", H800, Valuation_date, , , , , $C812)),"",_xll.ciqfunctions.udf.CIQ(D801,"IQ_BUS_SEG_NAME", H800, Valuation_date, , , , , $C812)))</f>
        <v>#NAME?</v>
      </c>
      <c r="E812" s="187" t="e">
        <f ca="1">IF(D799="","",IF(D812="","",_xll.ciqfunctions.udf.CIQ(D801,"IQ_BUS_SEG_REV", H800-1, Valuation_date, ReportType,DataMode, F801,FXMode, C812)*Scale))</f>
        <v>#NAME?</v>
      </c>
      <c r="F812" s="187" t="e">
        <f ca="1">IF(D799="","",IF(D812="","",_xll.ciqfunctions.udf.CIQ(D801,"IQ_BUS_SEG_REV", H800, Valuation_date, ReportType,DataMode, F801,FXMode, $C812)*Scale))</f>
        <v>#NAME?</v>
      </c>
      <c r="G812" s="274" t="e">
        <f ca="1">IF(D812="","",IFERROR(F812/F820,"n/a"))</f>
        <v>#NAME?</v>
      </c>
      <c r="H812" s="274" t="e">
        <f t="shared" ca="1" si="49"/>
        <v>#NAME?</v>
      </c>
      <c r="I812" s="1524" t="e">
        <f ca="1">IF(D799="","",IF(D812="","",_xll.ciqfunctions.udf.CIQ(D801,"IQ_BUS_SEG_DESCRIPTION", H800, Valuation_date, , , , , $C812)))</f>
        <v>#NAME?</v>
      </c>
      <c r="J812" s="222"/>
      <c r="K812" s="1509"/>
      <c r="O812" s="2060"/>
    </row>
    <row r="813" spans="1:15" s="1508" customFormat="1">
      <c r="A813" s="1518" t="e">
        <f t="shared" ca="1" si="48"/>
        <v>#NAME?</v>
      </c>
      <c r="B813" s="1518"/>
      <c r="C813" s="227">
        <v>9</v>
      </c>
      <c r="D813" s="223" t="e">
        <f ca="1">IF(D799="","",IF(ISNUMBER(_xll.ciqfunctions.udf.CIQ(D801,"IQ_BUS_SEG_NAME", H800, Valuation_date, , , , , $C813)),"",_xll.ciqfunctions.udf.CIQ(D801,"IQ_BUS_SEG_NAME", H800, Valuation_date, , , , , $C813)))</f>
        <v>#NAME?</v>
      </c>
      <c r="E813" s="187" t="e">
        <f ca="1">IF(D799="","",IF(D813="","",_xll.ciqfunctions.udf.CIQ(D801,"IQ_BUS_SEG_REV", H800-1, Valuation_date, ReportType,DataMode, F801,FXMode, C813)*Scale))</f>
        <v>#NAME?</v>
      </c>
      <c r="F813" s="187" t="e">
        <f ca="1">IF(D799="","",IF(D813="","",_xll.ciqfunctions.udf.CIQ(D801,"IQ_BUS_SEG_REV", H800, Valuation_date, ReportType,DataMode, F801,FXMode, $C813)*Scale))</f>
        <v>#NAME?</v>
      </c>
      <c r="G813" s="274" t="e">
        <f ca="1">IF(D813="","",IFERROR(F813/F820,"n/a"))</f>
        <v>#NAME?</v>
      </c>
      <c r="H813" s="274" t="e">
        <f t="shared" ca="1" si="49"/>
        <v>#NAME?</v>
      </c>
      <c r="I813" s="1524" t="e">
        <f ca="1">IF(D799="","",IF(D813="","",_xll.ciqfunctions.udf.CIQ(D801,"IQ_BUS_SEG_DESCRIPTION", H800, Valuation_date, , , , , $C813)))</f>
        <v>#NAME?</v>
      </c>
      <c r="J813" s="222"/>
      <c r="K813" s="1509"/>
      <c r="O813" s="2060"/>
    </row>
    <row r="814" spans="1:15" s="1508" customFormat="1">
      <c r="A814" s="1518" t="e">
        <f t="shared" ca="1" si="48"/>
        <v>#NAME?</v>
      </c>
      <c r="B814" s="1518"/>
      <c r="C814" s="227">
        <v>10</v>
      </c>
      <c r="D814" s="223" t="e">
        <f ca="1">IF(D799="","",IF(ISNUMBER(_xll.ciqfunctions.udf.CIQ(D801,"IQ_BUS_SEG_NAME", H800, Valuation_date, , , , , $C814)),"",_xll.ciqfunctions.udf.CIQ(D801,"IQ_BUS_SEG_NAME", H800, Valuation_date, , , , , $C814)))</f>
        <v>#NAME?</v>
      </c>
      <c r="E814" s="187" t="e">
        <f ca="1">IF(D799="","",IF(D814="","",_xll.ciqfunctions.udf.CIQ(D801,"IQ_BUS_SEG_REV", H800-1, Valuation_date, ReportType,DataMode, F801,FXMode, C814)*Scale))</f>
        <v>#NAME?</v>
      </c>
      <c r="F814" s="187" t="e">
        <f ca="1">IF(D799="","",IF(D814="","",_xll.ciqfunctions.udf.CIQ(D801,"IQ_BUS_SEG_REV", H800, Valuation_date, ReportType,DataMode, F801,FXMode, $C814)*Scale))</f>
        <v>#NAME?</v>
      </c>
      <c r="G814" s="274" t="e">
        <f ca="1">IF(D814="","",IFERROR(F814/F820,"n/a"))</f>
        <v>#NAME?</v>
      </c>
      <c r="H814" s="284" t="e">
        <f t="shared" ca="1" si="49"/>
        <v>#NAME?</v>
      </c>
      <c r="I814" s="1524" t="e">
        <f ca="1">IF(D799="","",IF(D814="","",_xll.ciqfunctions.udf.CIQ(D801,"IQ_BUS_SEG_DESCRIPTION", H800, Valuation_date, , , , , $C814)))</f>
        <v>#NAME?</v>
      </c>
      <c r="J814" s="175"/>
      <c r="K814" s="1509"/>
      <c r="O814" s="2060"/>
    </row>
    <row r="815" spans="1:15" s="1508" customFormat="1">
      <c r="A815" s="1518" t="e">
        <f t="shared" ca="1" si="48"/>
        <v>#NAME?</v>
      </c>
      <c r="B815" s="1518"/>
      <c r="C815" s="227">
        <v>11</v>
      </c>
      <c r="D815" s="223" t="e">
        <f ca="1">IF(D799="","",IF(ISNUMBER(_xll.ciqfunctions.udf.CIQ(D801,"IQ_BUS_SEG_NAME", H800, Valuation_date, , , , , $C815)),"",_xll.ciqfunctions.udf.CIQ(D801,"IQ_BUS_SEG_NAME", H800, Valuation_date, , , , , $C815)))</f>
        <v>#NAME?</v>
      </c>
      <c r="E815" s="187" t="e">
        <f ca="1">IF(D799="","",IF(D815="","",_xll.ciqfunctions.udf.CIQ(D801,"IQ_BUS_SEG_REV", H800-1, Valuation_date, ReportType,DataMode, F801,FXMode, C815)*Scale))</f>
        <v>#NAME?</v>
      </c>
      <c r="F815" s="187" t="e">
        <f ca="1">IF(D799="","",IF(D815="","",_xll.ciqfunctions.udf.CIQ(D801,"IQ_BUS_SEG_REV", H800, Valuation_date, ReportType,DataMode, F801,FXMode, $C815)*Scale))</f>
        <v>#NAME?</v>
      </c>
      <c r="G815" s="274" t="e">
        <f ca="1">IF(D815="","",IFERROR(F815/F820,"n/a"))</f>
        <v>#NAME?</v>
      </c>
      <c r="H815" s="284" t="e">
        <f t="shared" ca="1" si="49"/>
        <v>#NAME?</v>
      </c>
      <c r="I815" s="1524" t="e">
        <f ca="1">IF(D799="","",IF(D815="","",_xll.ciqfunctions.udf.CIQ(D801,"IQ_BUS_SEG_DESCRIPTION", H800, Valuation_date, , , , , $C815)))</f>
        <v>#NAME?</v>
      </c>
      <c r="J815" s="222"/>
      <c r="K815" s="1509"/>
      <c r="O815" s="2060"/>
    </row>
    <row r="816" spans="1:15" s="1508" customFormat="1">
      <c r="A816" s="1518" t="e">
        <f t="shared" ca="1" si="48"/>
        <v>#NAME?</v>
      </c>
      <c r="B816" s="1518"/>
      <c r="C816" s="227">
        <v>12</v>
      </c>
      <c r="D816" s="223" t="e">
        <f ca="1">IF(D799="","",IF(ISNUMBER(_xll.ciqfunctions.udf.CIQ(D801,"IQ_BUS_SEG_NAME", H800, Valuation_date, , , , , $C816)),"",_xll.ciqfunctions.udf.CIQ(D801,"IQ_BUS_SEG_NAME", H800, Valuation_date, , , , , $C816)))</f>
        <v>#NAME?</v>
      </c>
      <c r="E816" s="187" t="e">
        <f ca="1">IF(D799="","",IF(D816="","",_xll.ciqfunctions.udf.CIQ(D801,"IQ_BUS_SEG_REV", H800-1, Valuation_date, ReportType,DataMode, F801,FXMode, C816)*Scale))</f>
        <v>#NAME?</v>
      </c>
      <c r="F816" s="187" t="e">
        <f ca="1">IF(D799="","",IF(D816="","",_xll.ciqfunctions.udf.CIQ(D801,"IQ_BUS_SEG_REV", H800, Valuation_date, ReportType,DataMode, F801,FXMode, $C816)*Scale))</f>
        <v>#NAME?</v>
      </c>
      <c r="G816" s="274" t="e">
        <f ca="1">IF(D816="","",IFERROR(F816/F820,"n/a"))</f>
        <v>#NAME?</v>
      </c>
      <c r="H816" s="284" t="e">
        <f t="shared" ca="1" si="49"/>
        <v>#NAME?</v>
      </c>
      <c r="I816" s="1524" t="e">
        <f ca="1">IF(D799="","",IF(D816="","",_xll.ciqfunctions.udf.CIQ(D801,"IQ_BUS_SEG_DESCRIPTION", H800, Valuation_date, , , , , $C816)))</f>
        <v>#NAME?</v>
      </c>
      <c r="J816" s="222"/>
      <c r="K816" s="1509"/>
      <c r="O816" s="2060"/>
    </row>
    <row r="817" spans="1:15" s="1508" customFormat="1">
      <c r="A817" s="1518" t="e">
        <f t="shared" ca="1" si="48"/>
        <v>#NAME?</v>
      </c>
      <c r="B817" s="1518"/>
      <c r="C817" s="227">
        <v>13</v>
      </c>
      <c r="D817" s="223" t="e">
        <f ca="1">IF(D799="","",IF(ISNUMBER(_xll.ciqfunctions.udf.CIQ(D801,"IQ_BUS_SEG_NAME", H800, Valuation_date, , , , , $C817)),"",_xll.ciqfunctions.udf.CIQ(D801,"IQ_BUS_SEG_NAME", H800, Valuation_date, , , , , $C817)))</f>
        <v>#NAME?</v>
      </c>
      <c r="E817" s="187" t="e">
        <f ca="1">IF(D799="","",IF(D817="","",_xll.ciqfunctions.udf.CIQ(D801,"IQ_BUS_SEG_REV", H800-1, Valuation_date, ReportType,DataMode, F801,FXMode, C817)*Scale))</f>
        <v>#NAME?</v>
      </c>
      <c r="F817" s="187" t="e">
        <f ca="1">IF(D799="","",IF(D817="","",_xll.ciqfunctions.udf.CIQ(D801,"IQ_BUS_SEG_REV", H800, Valuation_date, ReportType,DataMode, F801,FXMode, $C817)*Scale))</f>
        <v>#NAME?</v>
      </c>
      <c r="G817" s="274" t="e">
        <f ca="1">IF(D817="","",IFERROR(F817/F820,"n/a"))</f>
        <v>#NAME?</v>
      </c>
      <c r="H817" s="284" t="e">
        <f t="shared" ca="1" si="49"/>
        <v>#NAME?</v>
      </c>
      <c r="I817" s="1524" t="e">
        <f ca="1">IF(D799="","",IF(D817="","",_xll.ciqfunctions.udf.CIQ(D801,"IQ_BUS_SEG_DESCRIPTION", H800, Valuation_date, , , , , $C817)))</f>
        <v>#NAME?</v>
      </c>
      <c r="J817" s="222"/>
      <c r="K817" s="1509"/>
      <c r="O817" s="2060"/>
    </row>
    <row r="818" spans="1:15" s="1508" customFormat="1">
      <c r="A818" s="1518" t="e">
        <f ca="1">IF(D818="","n","")</f>
        <v>#NAME?</v>
      </c>
      <c r="B818" s="1518"/>
      <c r="C818" s="227">
        <v>14</v>
      </c>
      <c r="D818" s="223" t="e">
        <f ca="1">IF(D799="","",IF(ISNUMBER(_xll.ciqfunctions.udf.CIQ(D801,"IQ_BUS_SEG_NAME", H800, Valuation_date, , , , , $C818)),"",_xll.ciqfunctions.udf.CIQ(D801,"IQ_BUS_SEG_NAME", H800, Valuation_date, , , , , $C818)))</f>
        <v>#NAME?</v>
      </c>
      <c r="E818" s="187" t="e">
        <f ca="1">IF(D799="","",IF(D818="","",_xll.ciqfunctions.udf.CIQ(D801,"IQ_BUS_SEG_REV", H800-1, Valuation_date, ReportType,DataMode, F801,FXMode, C818)*Scale))</f>
        <v>#NAME?</v>
      </c>
      <c r="F818" s="187" t="e">
        <f ca="1">IF(D799="","",IF(D818="","",_xll.ciqfunctions.udf.CIQ(D801,"IQ_BUS_SEG_REV", H800, Valuation_date, ReportType,DataMode, F801,FXMode, $C818)*Scale))</f>
        <v>#NAME?</v>
      </c>
      <c r="G818" s="274" t="e">
        <f ca="1">IF(D818="","",IFERROR(F818/F820,"n/a"))</f>
        <v>#NAME?</v>
      </c>
      <c r="H818" s="284" t="e">
        <f t="shared" ca="1" si="49"/>
        <v>#NAME?</v>
      </c>
      <c r="I818" s="1524" t="e">
        <f ca="1">IF(D799="","",IF(D818="","",_xll.ciqfunctions.udf.CIQ(D801,"IQ_BUS_SEG_DESCRIPTION", H800, Valuation_date, , , , , $C818)))</f>
        <v>#NAME?</v>
      </c>
      <c r="J818" s="222"/>
      <c r="K818" s="1509"/>
      <c r="O818" s="2060"/>
    </row>
    <row r="819" spans="1:15" s="1508" customFormat="1">
      <c r="A819" s="1518" t="e">
        <f ca="1">IF(D819="","n","")</f>
        <v>#NAME?</v>
      </c>
      <c r="B819" s="1518"/>
      <c r="C819" s="227">
        <v>15</v>
      </c>
      <c r="D819" s="223" t="e">
        <f ca="1">IF(D799="","",IF(ISNUMBER(_xll.ciqfunctions.udf.CIQ(D801,"IQ_BUS_SEG_NAME", H800, Valuation_date, , , , , $C819)),"",_xll.ciqfunctions.udf.CIQ(D801,"IQ_BUS_SEG_NAME", H800, Valuation_date, , , , , $C819)))</f>
        <v>#NAME?</v>
      </c>
      <c r="E819" s="187" t="e">
        <f ca="1">IF(D799="","",IF(D819="","",_xll.ciqfunctions.udf.CIQ(D801,"IQ_BUS_SEG_REV", H800-1, Valuation_date, ReportType,DataMode, F801,FXMode, C819)*Scale))</f>
        <v>#NAME?</v>
      </c>
      <c r="F819" s="187" t="e">
        <f ca="1">IF(D799="","",IF(D819="","",_xll.ciqfunctions.udf.CIQ(D801,"IQ_BUS_SEG_REV", H800, Valuation_date, ReportType,DataMode, F801,FXMode, $C819)*Scale))</f>
        <v>#NAME?</v>
      </c>
      <c r="G819" s="274" t="e">
        <f ca="1">IF(D819="","",IFERROR(F819/F820,"n/a"))</f>
        <v>#NAME?</v>
      </c>
      <c r="H819" s="284" t="e">
        <f t="shared" ca="1" si="49"/>
        <v>#NAME?</v>
      </c>
      <c r="I819" s="1524" t="e">
        <f ca="1">IF(D799="","",IF(D819="","",_xll.ciqfunctions.udf.CIQ(D801,"IQ_BUS_SEG_DESCRIPTION", H800, Valuation_date, , , , , $C819)))</f>
        <v>#NAME?</v>
      </c>
      <c r="J819" s="222"/>
      <c r="K819" s="1509"/>
      <c r="O819" s="2060"/>
    </row>
    <row r="820" spans="1:15" s="1508" customFormat="1" ht="14.45" thickBot="1">
      <c r="A820" s="1518"/>
      <c r="B820" s="1518"/>
      <c r="C820" s="225"/>
      <c r="D820" s="220" t="s">
        <v>1248</v>
      </c>
      <c r="E820" s="220" t="e">
        <f ca="1">SUM(E805:E819)</f>
        <v>#NAME?</v>
      </c>
      <c r="F820" s="220" t="e">
        <f ca="1">SUM(F805:F819)</f>
        <v>#NAME?</v>
      </c>
      <c r="G820" s="2266" t="e">
        <f ca="1">SUM(G805:G819)</f>
        <v>#NAME?</v>
      </c>
      <c r="H820" s="2267" t="str">
        <f ca="1">IF(D820="","",IFERROR(F820/E820-1,"n/a"))</f>
        <v>n/a</v>
      </c>
      <c r="I820" s="1515"/>
      <c r="J820" s="222"/>
      <c r="K820" s="1509"/>
      <c r="O820" s="2060"/>
    </row>
    <row r="821" spans="1:15" s="1508" customFormat="1">
      <c r="A821" s="1518"/>
      <c r="B821" s="1518"/>
      <c r="C821" s="225"/>
      <c r="D821" s="187"/>
      <c r="E821" s="187"/>
      <c r="F821" s="274"/>
      <c r="G821" s="187"/>
      <c r="H821" s="284"/>
      <c r="I821" s="1515"/>
      <c r="J821" s="222"/>
      <c r="K821" s="1509"/>
      <c r="O821" s="2060"/>
    </row>
    <row r="822" spans="1:15" s="1508" customFormat="1">
      <c r="A822" s="1518"/>
      <c r="B822" s="1518"/>
      <c r="C822" s="1572"/>
      <c r="D822" s="1514" t="s">
        <v>1707</v>
      </c>
      <c r="E822" s="1579"/>
      <c r="F822" s="1575"/>
      <c r="G822" s="1514"/>
      <c r="H822" s="1575"/>
      <c r="I822" s="1571"/>
      <c r="J822" s="1574"/>
      <c r="K822" s="1509"/>
      <c r="L822" s="2060"/>
      <c r="M822" s="2060"/>
      <c r="O822" s="2060"/>
    </row>
    <row r="823" spans="1:15" s="1508" customFormat="1">
      <c r="A823" s="1518"/>
      <c r="B823" s="1518"/>
      <c r="C823" s="225"/>
      <c r="D823" s="1514" t="s">
        <v>1402</v>
      </c>
      <c r="E823" s="187"/>
      <c r="F823" s="274"/>
      <c r="G823" s="187"/>
      <c r="H823" s="284"/>
      <c r="I823" s="1515"/>
      <c r="J823" s="222"/>
      <c r="K823" s="1509"/>
      <c r="O823" s="2060"/>
    </row>
    <row r="824" spans="1:15" s="1508" customFormat="1">
      <c r="A824" s="1518"/>
      <c r="B824" s="1518"/>
      <c r="C824" s="225"/>
      <c r="H824" s="1515"/>
      <c r="I824" s="1515"/>
      <c r="K824" s="1509"/>
      <c r="L824" s="2060"/>
      <c r="M824" s="2060"/>
      <c r="O824" s="2060"/>
    </row>
    <row r="825" spans="1:15" s="1508" customFormat="1">
      <c r="A825" s="1510"/>
      <c r="B825" s="1510"/>
      <c r="C825" s="327"/>
      <c r="D825" s="1513" t="str">
        <f ca="1">FootnoteDRAFT</f>
        <v>Run date: 05-August-2018  02:34 PM.   DRAFT document. All data subject to change upon completion of additional analysis.</v>
      </c>
      <c r="E825" s="1506"/>
      <c r="F825" s="176"/>
      <c r="G825" s="1513"/>
      <c r="H825" s="368"/>
      <c r="I825" s="1512"/>
      <c r="J825" s="1512"/>
      <c r="K825" s="1509"/>
      <c r="L825" s="2060"/>
      <c r="M825" s="2060"/>
      <c r="O825" s="2060"/>
    </row>
    <row r="826" spans="1:15" s="1508" customFormat="1">
      <c r="A826" s="1510" t="s">
        <v>17</v>
      </c>
      <c r="B826" s="1510"/>
      <c r="C826" s="1510"/>
      <c r="D826" s="1510"/>
      <c r="E826" s="683"/>
      <c r="F826" s="1510"/>
      <c r="G826" s="1510"/>
      <c r="H826" s="1510"/>
      <c r="I826" s="1547"/>
      <c r="J826" s="1546" t="str">
        <f ca="1">IF(D834="","Page end","Continue")</f>
        <v>Continue</v>
      </c>
      <c r="K826" s="1510"/>
      <c r="L826" s="2060"/>
      <c r="M826" s="2060"/>
      <c r="O826" s="2060"/>
    </row>
    <row r="827" spans="1:15" s="1508" customFormat="1" ht="17.45">
      <c r="A827" s="1518"/>
      <c r="B827" s="1518"/>
      <c r="C827" s="292" t="str">
        <f ca="1">D832</f>
        <v>n/a</v>
      </c>
      <c r="D827" s="172"/>
      <c r="E827" s="674"/>
      <c r="F827" s="172"/>
      <c r="G827" s="172"/>
      <c r="H827" s="172"/>
      <c r="I827" s="1522"/>
      <c r="J827" s="389" t="str">
        <f>$J$1&amp;"."&amp;C832&amp;""</f>
        <v>Workpaper 6.25</v>
      </c>
      <c r="K827" s="1509"/>
      <c r="O827" s="2060"/>
    </row>
    <row r="828" spans="1:15" s="1508" customFormat="1" ht="17.45">
      <c r="A828" s="1518"/>
      <c r="B828" s="1518"/>
      <c r="C828" s="839" t="s">
        <v>1699</v>
      </c>
      <c r="D828" s="172"/>
      <c r="E828" s="172"/>
      <c r="F828" s="172"/>
      <c r="G828" s="172"/>
      <c r="H828" s="172"/>
      <c r="I828" s="1522"/>
      <c r="J828" s="187"/>
      <c r="K828" s="1509"/>
      <c r="O828" s="2060"/>
    </row>
    <row r="829" spans="1:15" s="1508" customFormat="1" ht="14.45">
      <c r="A829" s="1518"/>
      <c r="B829" s="1518"/>
      <c r="C829" s="366" t="str">
        <f ca="1">"(" &amp;F834&amp;" in "&amp;ScaleInput&amp;")"</f>
        <v>(USD in Millions)</v>
      </c>
      <c r="E829" s="170"/>
      <c r="F829" s="170"/>
      <c r="G829" s="170"/>
      <c r="H829" s="170"/>
      <c r="I829" s="1521"/>
      <c r="K829" s="1509"/>
      <c r="O829" s="2060"/>
    </row>
    <row r="830" spans="1:15" s="1508" customFormat="1" ht="14.45">
      <c r="A830" s="1518"/>
      <c r="B830" s="1518"/>
      <c r="C830" s="366"/>
      <c r="E830" s="172"/>
      <c r="F830" s="172"/>
      <c r="G830" s="172"/>
      <c r="H830" s="172"/>
      <c r="I830" s="1522"/>
      <c r="K830" s="1509"/>
      <c r="O830" s="2060"/>
    </row>
    <row r="831" spans="1:15" s="1508" customFormat="1">
      <c r="A831" s="1518"/>
      <c r="B831" s="1518"/>
      <c r="C831" s="1511"/>
      <c r="E831" s="172"/>
      <c r="F831" s="172"/>
      <c r="G831" s="172"/>
      <c r="H831" s="172"/>
      <c r="I831" s="1522"/>
      <c r="K831" s="1509"/>
      <c r="O831" s="2060"/>
    </row>
    <row r="832" spans="1:15" s="1508" customFormat="1">
      <c r="A832" s="1518"/>
      <c r="B832" s="1518"/>
      <c r="C832" s="226">
        <f>C799+1</f>
        <v>25</v>
      </c>
      <c r="D832" s="179" t="str">
        <f ca="1">IF(D834=0,"n/a",IFERROR(_xll.ciqfunctions.udf.CIQ(D834,"IQ_COMPANY_NAME"),"n/a"))</f>
        <v>n/a</v>
      </c>
      <c r="I832" s="1515"/>
      <c r="K832" s="1509"/>
      <c r="O832" s="2060"/>
    </row>
    <row r="833" spans="1:15" s="1508" customFormat="1">
      <c r="A833" s="1518"/>
      <c r="B833" s="1518"/>
      <c r="C833" s="225"/>
      <c r="D833" s="2258" t="s">
        <v>134</v>
      </c>
      <c r="E833" s="2258" t="s">
        <v>1708</v>
      </c>
      <c r="F833" s="2262" t="s">
        <v>167</v>
      </c>
      <c r="G833" s="2262" t="s">
        <v>1700</v>
      </c>
      <c r="H833" s="2263">
        <f>INDEX($W$9:$W$14,MATCH(H834,PeriodList,0))</f>
        <v>2000</v>
      </c>
      <c r="I833" s="1515"/>
      <c r="J833" s="201"/>
      <c r="K833" s="1509"/>
      <c r="O833" s="2060"/>
    </row>
    <row r="834" spans="1:15" s="1508" customFormat="1">
      <c r="A834" s="1518"/>
      <c r="B834" s="1518"/>
      <c r="C834" s="227"/>
      <c r="D834" s="2249">
        <f ca="1">OFFSET(GCIdentifierTop,C832,0)</f>
        <v>0</v>
      </c>
      <c r="E834" s="2250" t="str">
        <f ca="1">IF($D834="","",IFERROR(_xll.ciqfunctions.udf.CIQ($D834,"IQ_PERIODDATE",H833,Valuation_date),"n/a"))</f>
        <v>n/a</v>
      </c>
      <c r="F834" s="2251" t="str">
        <f ca="1">IFERROR(IF(C832=0,SubjOutputCurrencyCode,IF(D834="","",IF(OutputCurrency="Filing",_xll.ciqfunctions.udf.CIQ($D834,"IQ_FILING_CURRENCY",500,Valuation_date,ReportType,DataMode),OutputCurrency))),OutputCurrency)</f>
        <v>USD</v>
      </c>
      <c r="G834" s="2264" t="e">
        <f ca="1">IF(D832="","",_xll.ciqfunctions.udf.CIQ(D834,"IQ_TOTAL_REV", H833, Valuation_date,ReportType,DataMode,F834,FXMode))</f>
        <v>#NAME?</v>
      </c>
      <c r="H834" s="2265" t="str">
        <f>$H$9</f>
        <v>LTM/LFQ</v>
      </c>
      <c r="I834" s="1523"/>
      <c r="J834" s="174"/>
      <c r="K834" s="1509"/>
      <c r="O834" s="2060"/>
    </row>
    <row r="835" spans="1:15" s="1508" customFormat="1">
      <c r="A835" s="1518"/>
      <c r="B835" s="1518"/>
      <c r="C835" s="227"/>
      <c r="I835" s="1515"/>
      <c r="J835" s="221"/>
      <c r="K835" s="1509"/>
      <c r="O835" s="2060"/>
    </row>
    <row r="836" spans="1:15" s="1508" customFormat="1">
      <c r="A836" s="1518"/>
      <c r="B836" s="1518"/>
      <c r="C836" s="227"/>
      <c r="D836" s="741"/>
      <c r="E836" s="744" t="e">
        <f ca="1">IF(D834="",Valuation_date,_xll.ciqfunctions.udf.CIQ(D834,"IQ_PERIODDATE",H833-IF(LEFT(H834,3)="LFY",1,4),Valuation_date))</f>
        <v>#NAME?</v>
      </c>
      <c r="F836" s="742" t="e">
        <f ca="1">IF(D834="",Valuation_date,_xll.ciqfunctions.udf.CIQ(D834,"IQ_PERIODDATE",H833,Valuation_date))</f>
        <v>#NAME?</v>
      </c>
      <c r="G836" s="741"/>
      <c r="H836" s="743" t="s">
        <v>1702</v>
      </c>
      <c r="I836" s="1587"/>
      <c r="J836" s="221"/>
      <c r="K836" s="1509"/>
      <c r="O836" s="2060"/>
    </row>
    <row r="837" spans="1:15" s="1508" customFormat="1">
      <c r="A837" s="1518"/>
      <c r="B837" s="1518"/>
      <c r="C837" s="227"/>
      <c r="D837" s="2254" t="s">
        <v>1703</v>
      </c>
      <c r="E837" s="2255" t="s">
        <v>1458</v>
      </c>
      <c r="F837" s="2255" t="s">
        <v>1458</v>
      </c>
      <c r="G837" s="2255" t="s">
        <v>1704</v>
      </c>
      <c r="H837" s="2255" t="s">
        <v>1705</v>
      </c>
      <c r="I837" s="2256" t="s">
        <v>1706</v>
      </c>
      <c r="J837" s="222"/>
      <c r="K837" s="1509"/>
      <c r="O837" s="2060"/>
    </row>
    <row r="838" spans="1:15" s="1508" customFormat="1">
      <c r="A838" s="1518" t="e">
        <f t="shared" ref="A838:A850" ca="1" si="50">IF(D838="","n","")</f>
        <v>#NAME?</v>
      </c>
      <c r="B838" s="1518"/>
      <c r="C838" s="227">
        <v>1</v>
      </c>
      <c r="D838" s="223" t="e">
        <f ca="1">IF(D832="","",IF(ISNUMBER(_xll.ciqfunctions.udf.CIQ(D834,"IQ_BUS_SEG_NAME", H833, Valuation_date, , , , , $C838)),"",_xll.ciqfunctions.udf.CIQ(D834,"IQ_BUS_SEG_NAME", H833, Valuation_date, , , , , $C838)))</f>
        <v>#NAME?</v>
      </c>
      <c r="E838" s="187" t="e">
        <f ca="1">IF(D832="","",IF(D838="","",_xll.ciqfunctions.udf.CIQ(D834,"IQ_BUS_SEG_REV", H833-1, Valuation_date, ReportType,DataMode, F834,FXMode, C838)*Scale))</f>
        <v>#NAME?</v>
      </c>
      <c r="F838" s="187" t="e">
        <f ca="1">IF(D832="","",IF(D838="","",_xll.ciqfunctions.udf.CIQ(D834,"IQ_BUS_SEG_REV", H833, Valuation_date, ReportType,DataMode, F834,FXMode, $C838)*Scale))</f>
        <v>#NAME?</v>
      </c>
      <c r="G838" s="274" t="e">
        <f ca="1">IF(D838="","",IFERROR(F838/F853,"n/a"))</f>
        <v>#NAME?</v>
      </c>
      <c r="H838" s="274" t="e">
        <f ca="1">IF(D838="","",IFERROR(F838/E838-1,"n/a"))</f>
        <v>#NAME?</v>
      </c>
      <c r="I838" s="1524" t="e">
        <f ca="1">IF(D832="","",IF(D838="","",_xll.ciqfunctions.udf.CIQ(D834,"IQ_BUS_SEG_DESCRIPTION", H833, Valuation_date, , , , , $C838)))</f>
        <v>#NAME?</v>
      </c>
      <c r="J838" s="175"/>
      <c r="K838" s="1509"/>
      <c r="O838" s="2060"/>
    </row>
    <row r="839" spans="1:15" s="1508" customFormat="1">
      <c r="A839" s="1518" t="e">
        <f t="shared" ca="1" si="50"/>
        <v>#NAME?</v>
      </c>
      <c r="B839" s="1518"/>
      <c r="C839" s="227">
        <v>2</v>
      </c>
      <c r="D839" s="223" t="e">
        <f ca="1">IF(D832="","",IF(ISNUMBER(_xll.ciqfunctions.udf.CIQ(D834,"IQ_BUS_SEG_NAME", H833, Valuation_date, , , , , $C839)),"",_xll.ciqfunctions.udf.CIQ(D834,"IQ_BUS_SEG_NAME", H833, Valuation_date, , , , , $C839)))</f>
        <v>#NAME?</v>
      </c>
      <c r="E839" s="187" t="e">
        <f ca="1">IF(D832="","",IF(D839="","",_xll.ciqfunctions.udf.CIQ(D834,"IQ_BUS_SEG_REV", H833-1, Valuation_date, ReportType,DataMode, F834,FXMode, C839)*Scale))</f>
        <v>#NAME?</v>
      </c>
      <c r="F839" s="187" t="e">
        <f ca="1">IF(D832="","",IF(D839="","",_xll.ciqfunctions.udf.CIQ(D834,"IQ_BUS_SEG_REV", H833, Valuation_date, ReportType,DataMode, F834,FXMode, $C839)*Scale))</f>
        <v>#NAME?</v>
      </c>
      <c r="G839" s="274" t="e">
        <f ca="1">IF(D839="","",IFERROR(F839/F853,"n/a"))</f>
        <v>#NAME?</v>
      </c>
      <c r="H839" s="274" t="e">
        <f t="shared" ref="H839:H852" ca="1" si="51">IF(D839="","",IFERROR(F839/E839-1,"n/a"))</f>
        <v>#NAME?</v>
      </c>
      <c r="I839" s="1524" t="e">
        <f ca="1">IF(D832="","",IF(D839="","",_xll.ciqfunctions.udf.CIQ(D834,"IQ_BUS_SEG_DESCRIPTION", H833, Valuation_date, , , , , $C839)))</f>
        <v>#NAME?</v>
      </c>
      <c r="J839" s="175"/>
      <c r="K839" s="1509"/>
      <c r="O839" s="2060"/>
    </row>
    <row r="840" spans="1:15" s="1508" customFormat="1">
      <c r="A840" s="1518" t="e">
        <f t="shared" ca="1" si="50"/>
        <v>#NAME?</v>
      </c>
      <c r="B840" s="1518"/>
      <c r="C840" s="227">
        <v>3</v>
      </c>
      <c r="D840" s="223" t="e">
        <f ca="1">IF(D832="","",IF(ISNUMBER(_xll.ciqfunctions.udf.CIQ(D834,"IQ_BUS_SEG_NAME", H833, Valuation_date, , , , , $C840)),"",_xll.ciqfunctions.udf.CIQ(D834,"IQ_BUS_SEG_NAME", H833, Valuation_date, , , , , $C840)))</f>
        <v>#NAME?</v>
      </c>
      <c r="E840" s="187" t="e">
        <f ca="1">IF(D832="","",IF(D840="","",_xll.ciqfunctions.udf.CIQ(D834,"IQ_BUS_SEG_REV", H833-1, Valuation_date, ReportType,DataMode, F834,FXMode, C840)*Scale))</f>
        <v>#NAME?</v>
      </c>
      <c r="F840" s="187" t="e">
        <f ca="1">IF(D832="","",IF(D840="","",_xll.ciqfunctions.udf.CIQ(D834,"IQ_BUS_SEG_REV", H833, Valuation_date, ReportType,DataMode, F834,FXMode, $C840)*Scale))</f>
        <v>#NAME?</v>
      </c>
      <c r="G840" s="274" t="e">
        <f ca="1">IF(D840="","",IFERROR(F840/F853,"n/a"))</f>
        <v>#NAME?</v>
      </c>
      <c r="H840" s="274" t="e">
        <f t="shared" ca="1" si="51"/>
        <v>#NAME?</v>
      </c>
      <c r="I840" s="1524" t="e">
        <f ca="1">IF(D832="","",IF(D840="","",_xll.ciqfunctions.udf.CIQ(D834,"IQ_BUS_SEG_DESCRIPTION", H833, Valuation_date, , , , , $C840)))</f>
        <v>#NAME?</v>
      </c>
      <c r="J840" s="175"/>
      <c r="K840" s="1509"/>
      <c r="O840" s="2060"/>
    </row>
    <row r="841" spans="1:15" s="1508" customFormat="1">
      <c r="A841" s="1518" t="e">
        <f t="shared" ca="1" si="50"/>
        <v>#NAME?</v>
      </c>
      <c r="B841" s="1518"/>
      <c r="C841" s="227">
        <v>4</v>
      </c>
      <c r="D841" s="223" t="e">
        <f ca="1">IF(D832="","",IF(ISNUMBER(_xll.ciqfunctions.udf.CIQ(D834,"IQ_BUS_SEG_NAME", H833, Valuation_date, , , , , $C841)),"",_xll.ciqfunctions.udf.CIQ(D834,"IQ_BUS_SEG_NAME", H833, Valuation_date, , , , , $C841)))</f>
        <v>#NAME?</v>
      </c>
      <c r="E841" s="187" t="e">
        <f ca="1">IF(D832="","",IF(D841="","",_xll.ciqfunctions.udf.CIQ(D834,"IQ_BUS_SEG_REV", H833-1, Valuation_date, ReportType,DataMode, F834,FXMode, C841)*Scale))</f>
        <v>#NAME?</v>
      </c>
      <c r="F841" s="187" t="e">
        <f ca="1">IF(D832="","",IF(D841="","",_xll.ciqfunctions.udf.CIQ(D834,"IQ_BUS_SEG_REV", H833, Valuation_date, ReportType,DataMode, F834,FXMode, $C841)*Scale))</f>
        <v>#NAME?</v>
      </c>
      <c r="G841" s="274" t="e">
        <f ca="1">IF(D841="","",IFERROR(F841/F853,"n/a"))</f>
        <v>#NAME?</v>
      </c>
      <c r="H841" s="274" t="e">
        <f t="shared" ca="1" si="51"/>
        <v>#NAME?</v>
      </c>
      <c r="I841" s="1524" t="e">
        <f ca="1">IF(D832="","",IF(D841="","",_xll.ciqfunctions.udf.CIQ(D834,"IQ_BUS_SEG_DESCRIPTION", H833, Valuation_date, , , , , $C841)))</f>
        <v>#NAME?</v>
      </c>
      <c r="J841" s="175"/>
      <c r="K841" s="1509"/>
      <c r="O841" s="2060"/>
    </row>
    <row r="842" spans="1:15" s="1508" customFormat="1">
      <c r="A842" s="1518" t="e">
        <f t="shared" ca="1" si="50"/>
        <v>#NAME?</v>
      </c>
      <c r="B842" s="1518"/>
      <c r="C842" s="227">
        <v>5</v>
      </c>
      <c r="D842" s="223" t="e">
        <f ca="1">IF(D832="","",IF(ISNUMBER(_xll.ciqfunctions.udf.CIQ(D834,"IQ_BUS_SEG_NAME", H833, Valuation_date, , , , , $C842)),"",_xll.ciqfunctions.udf.CIQ(D834,"IQ_BUS_SEG_NAME", H833, Valuation_date, , , , , $C842)))</f>
        <v>#NAME?</v>
      </c>
      <c r="E842" s="187" t="e">
        <f ca="1">IF(D832="","",IF(D842="","",_xll.ciqfunctions.udf.CIQ(D834,"IQ_BUS_SEG_REV", H833-1, Valuation_date, ReportType,DataMode, F834,FXMode, C842)*Scale))</f>
        <v>#NAME?</v>
      </c>
      <c r="F842" s="187" t="e">
        <f ca="1">IF(D832="","",IF(D842="","",_xll.ciqfunctions.udf.CIQ(D834,"IQ_BUS_SEG_REV", H833, Valuation_date, ReportType,DataMode, F834,FXMode, $C842)*Scale))</f>
        <v>#NAME?</v>
      </c>
      <c r="G842" s="274" t="e">
        <f ca="1">IF(D842="","",IFERROR(F842/F853,"n/a"))</f>
        <v>#NAME?</v>
      </c>
      <c r="H842" s="274" t="e">
        <f t="shared" ca="1" si="51"/>
        <v>#NAME?</v>
      </c>
      <c r="I842" s="1524" t="e">
        <f ca="1">IF(D832="","",IF(D842="","",_xll.ciqfunctions.udf.CIQ(D834,"IQ_BUS_SEG_DESCRIPTION", H833, Valuation_date, , , , , $C842)))</f>
        <v>#NAME?</v>
      </c>
      <c r="J842" s="224"/>
      <c r="K842" s="1509"/>
      <c r="O842" s="2060"/>
    </row>
    <row r="843" spans="1:15" s="1508" customFormat="1">
      <c r="A843" s="1518" t="e">
        <f t="shared" ca="1" si="50"/>
        <v>#NAME?</v>
      </c>
      <c r="B843" s="1518"/>
      <c r="C843" s="227">
        <v>6</v>
      </c>
      <c r="D843" s="223" t="e">
        <f ca="1">IF(D832="","",IF(ISNUMBER(_xll.ciqfunctions.udf.CIQ(D834,"IQ_BUS_SEG_NAME", H833, Valuation_date, , , , , $C843)),"",_xll.ciqfunctions.udf.CIQ(D834,"IQ_BUS_SEG_NAME", H833, Valuation_date, , , , , $C843)))</f>
        <v>#NAME?</v>
      </c>
      <c r="E843" s="187" t="e">
        <f ca="1">IF(D832="","",IF(D843="","",_xll.ciqfunctions.udf.CIQ(D834,"IQ_BUS_SEG_REV", H833-1, Valuation_date, ReportType,DataMode, F834,FXMode, C843)*Scale))</f>
        <v>#NAME?</v>
      </c>
      <c r="F843" s="187" t="e">
        <f ca="1">IF(D832="","",IF(D843="","",_xll.ciqfunctions.udf.CIQ(D834,"IQ_BUS_SEG_REV", H833, Valuation_date, ReportType,DataMode, F834,FXMode, $C843)*Scale))</f>
        <v>#NAME?</v>
      </c>
      <c r="G843" s="274" t="e">
        <f ca="1">IF(D843="","",IFERROR(F843/F853,"n/a"))</f>
        <v>#NAME?</v>
      </c>
      <c r="H843" s="274" t="e">
        <f t="shared" ca="1" si="51"/>
        <v>#NAME?</v>
      </c>
      <c r="I843" s="1524" t="e">
        <f ca="1">IF(D832="","",IF(D843="","",_xll.ciqfunctions.udf.CIQ(D834,"IQ_BUS_SEG_DESCRIPTION", H833, Valuation_date, , , , , $C843)))</f>
        <v>#NAME?</v>
      </c>
      <c r="J843" s="224"/>
      <c r="K843" s="1509"/>
      <c r="O843" s="2060"/>
    </row>
    <row r="844" spans="1:15" s="1508" customFormat="1">
      <c r="A844" s="1518" t="e">
        <f t="shared" ca="1" si="50"/>
        <v>#NAME?</v>
      </c>
      <c r="B844" s="1518"/>
      <c r="C844" s="227">
        <v>7</v>
      </c>
      <c r="D844" s="223" t="e">
        <f ca="1">IF(D832="","",IF(ISNUMBER(_xll.ciqfunctions.udf.CIQ(D834,"IQ_BUS_SEG_NAME", H833, Valuation_date, , , , , $C844)),"",_xll.ciqfunctions.udf.CIQ(D834,"IQ_BUS_SEG_NAME", H833, Valuation_date, , , , , $C844)))</f>
        <v>#NAME?</v>
      </c>
      <c r="E844" s="187" t="e">
        <f ca="1">IF(D832="","",IF(D844="","",_xll.ciqfunctions.udf.CIQ(D834,"IQ_BUS_SEG_REV", H833-1, Valuation_date, ReportType,DataMode, F834,FXMode, C844)*Scale))</f>
        <v>#NAME?</v>
      </c>
      <c r="F844" s="187" t="e">
        <f ca="1">IF(D832="","",IF(D844="","",_xll.ciqfunctions.udf.CIQ(D834,"IQ_BUS_SEG_REV", H833, Valuation_date, ReportType,DataMode, F834,FXMode, $C844)*Scale))</f>
        <v>#NAME?</v>
      </c>
      <c r="G844" s="274" t="e">
        <f ca="1">IF(D844="","",IFERROR(F844/F853,"n/a"))</f>
        <v>#NAME?</v>
      </c>
      <c r="H844" s="274" t="e">
        <f t="shared" ca="1" si="51"/>
        <v>#NAME?</v>
      </c>
      <c r="I844" s="1524" t="e">
        <f ca="1">IF(D832="","",IF(D844="","",_xll.ciqfunctions.udf.CIQ(D834,"IQ_BUS_SEG_DESCRIPTION", H833, Valuation_date, , , , , $C844)))</f>
        <v>#NAME?</v>
      </c>
      <c r="J844" s="221"/>
      <c r="K844" s="1509"/>
      <c r="O844" s="2060"/>
    </row>
    <row r="845" spans="1:15" s="1508" customFormat="1">
      <c r="A845" s="1518" t="e">
        <f t="shared" ca="1" si="50"/>
        <v>#NAME?</v>
      </c>
      <c r="B845" s="1518"/>
      <c r="C845" s="227">
        <v>8</v>
      </c>
      <c r="D845" s="223" t="e">
        <f ca="1">IF(D832="","",IF(ISNUMBER(_xll.ciqfunctions.udf.CIQ(D834,"IQ_BUS_SEG_NAME", H833, Valuation_date, , , , , $C845)),"",_xll.ciqfunctions.udf.CIQ(D834,"IQ_BUS_SEG_NAME", H833, Valuation_date, , , , , $C845)))</f>
        <v>#NAME?</v>
      </c>
      <c r="E845" s="187" t="e">
        <f ca="1">IF(D832="","",IF(D845="","",_xll.ciqfunctions.udf.CIQ(D834,"IQ_BUS_SEG_REV", H833-1, Valuation_date, ReportType,DataMode, F834,FXMode, C845)*Scale))</f>
        <v>#NAME?</v>
      </c>
      <c r="F845" s="187" t="e">
        <f ca="1">IF(D832="","",IF(D845="","",_xll.ciqfunctions.udf.CIQ(D834,"IQ_BUS_SEG_REV", H833, Valuation_date, ReportType,DataMode, F834,FXMode, $C845)*Scale))</f>
        <v>#NAME?</v>
      </c>
      <c r="G845" s="274" t="e">
        <f ca="1">IF(D845="","",IFERROR(F845/F853,"n/a"))</f>
        <v>#NAME?</v>
      </c>
      <c r="H845" s="274" t="e">
        <f t="shared" ca="1" si="51"/>
        <v>#NAME?</v>
      </c>
      <c r="I845" s="1524" t="e">
        <f ca="1">IF(D832="","",IF(D845="","",_xll.ciqfunctions.udf.CIQ(D834,"IQ_BUS_SEG_DESCRIPTION", H833, Valuation_date, , , , , $C845)))</f>
        <v>#NAME?</v>
      </c>
      <c r="J845" s="222"/>
      <c r="K845" s="1509"/>
      <c r="O845" s="2060"/>
    </row>
    <row r="846" spans="1:15" s="1508" customFormat="1">
      <c r="A846" s="1518" t="e">
        <f t="shared" ca="1" si="50"/>
        <v>#NAME?</v>
      </c>
      <c r="B846" s="1518"/>
      <c r="C846" s="227">
        <v>9</v>
      </c>
      <c r="D846" s="223" t="e">
        <f ca="1">IF(D832="","",IF(ISNUMBER(_xll.ciqfunctions.udf.CIQ(D834,"IQ_BUS_SEG_NAME", H833, Valuation_date, , , , , $C846)),"",_xll.ciqfunctions.udf.CIQ(D834,"IQ_BUS_SEG_NAME", H833, Valuation_date, , , , , $C846)))</f>
        <v>#NAME?</v>
      </c>
      <c r="E846" s="187" t="e">
        <f ca="1">IF(D832="","",IF(D846="","",_xll.ciqfunctions.udf.CIQ(D834,"IQ_BUS_SEG_REV", H833-1, Valuation_date, ReportType,DataMode, F834,FXMode, C846)*Scale))</f>
        <v>#NAME?</v>
      </c>
      <c r="F846" s="187" t="e">
        <f ca="1">IF(D832="","",IF(D846="","",_xll.ciqfunctions.udf.CIQ(D834,"IQ_BUS_SEG_REV", H833, Valuation_date, ReportType,DataMode, F834,FXMode, $C846)*Scale))</f>
        <v>#NAME?</v>
      </c>
      <c r="G846" s="274" t="e">
        <f ca="1">IF(D846="","",IFERROR(F846/F853,"n/a"))</f>
        <v>#NAME?</v>
      </c>
      <c r="H846" s="274" t="e">
        <f t="shared" ca="1" si="51"/>
        <v>#NAME?</v>
      </c>
      <c r="I846" s="1524" t="e">
        <f ca="1">IF(D832="","",IF(D846="","",_xll.ciqfunctions.udf.CIQ(D834,"IQ_BUS_SEG_DESCRIPTION", H833, Valuation_date, , , , , $C846)))</f>
        <v>#NAME?</v>
      </c>
      <c r="J846" s="222"/>
      <c r="K846" s="1509"/>
      <c r="O846" s="2060"/>
    </row>
    <row r="847" spans="1:15" s="1508" customFormat="1">
      <c r="A847" s="1518" t="e">
        <f t="shared" ca="1" si="50"/>
        <v>#NAME?</v>
      </c>
      <c r="B847" s="1518"/>
      <c r="C847" s="227">
        <v>10</v>
      </c>
      <c r="D847" s="223" t="e">
        <f ca="1">IF(D832="","",IF(ISNUMBER(_xll.ciqfunctions.udf.CIQ(D834,"IQ_BUS_SEG_NAME", H833, Valuation_date, , , , , $C847)),"",_xll.ciqfunctions.udf.CIQ(D834,"IQ_BUS_SEG_NAME", H833, Valuation_date, , , , , $C847)))</f>
        <v>#NAME?</v>
      </c>
      <c r="E847" s="187" t="e">
        <f ca="1">IF(D832="","",IF(D847="","",_xll.ciqfunctions.udf.CIQ(D834,"IQ_BUS_SEG_REV", H833-1, Valuation_date, ReportType,DataMode, F834,FXMode, C847)*Scale))</f>
        <v>#NAME?</v>
      </c>
      <c r="F847" s="187" t="e">
        <f ca="1">IF(D832="","",IF(D847="","",_xll.ciqfunctions.udf.CIQ(D834,"IQ_BUS_SEG_REV", H833, Valuation_date, ReportType,DataMode, F834,FXMode, $C847)*Scale))</f>
        <v>#NAME?</v>
      </c>
      <c r="G847" s="274" t="e">
        <f ca="1">IF(D847="","",IFERROR(F847/F853,"n/a"))</f>
        <v>#NAME?</v>
      </c>
      <c r="H847" s="284" t="e">
        <f t="shared" ca="1" si="51"/>
        <v>#NAME?</v>
      </c>
      <c r="I847" s="1524" t="e">
        <f ca="1">IF(D832="","",IF(D847="","",_xll.ciqfunctions.udf.CIQ(D834,"IQ_BUS_SEG_DESCRIPTION", H833, Valuation_date, , , , , $C847)))</f>
        <v>#NAME?</v>
      </c>
      <c r="J847" s="175"/>
      <c r="K847" s="1509"/>
      <c r="O847" s="2060"/>
    </row>
    <row r="848" spans="1:15" s="1508" customFormat="1">
      <c r="A848" s="1518" t="e">
        <f t="shared" ca="1" si="50"/>
        <v>#NAME?</v>
      </c>
      <c r="B848" s="1518"/>
      <c r="C848" s="227">
        <v>11</v>
      </c>
      <c r="D848" s="223" t="e">
        <f ca="1">IF(D832="","",IF(ISNUMBER(_xll.ciqfunctions.udf.CIQ(D834,"IQ_BUS_SEG_NAME", H833, Valuation_date, , , , , $C848)),"",_xll.ciqfunctions.udf.CIQ(D834,"IQ_BUS_SEG_NAME", H833, Valuation_date, , , , , $C848)))</f>
        <v>#NAME?</v>
      </c>
      <c r="E848" s="187" t="e">
        <f ca="1">IF(D832="","",IF(D848="","",_xll.ciqfunctions.udf.CIQ(D834,"IQ_BUS_SEG_REV", H833-1, Valuation_date, ReportType,DataMode, F834,FXMode, C848)*Scale))</f>
        <v>#NAME?</v>
      </c>
      <c r="F848" s="187" t="e">
        <f ca="1">IF(D832="","",IF(D848="","",_xll.ciqfunctions.udf.CIQ(D834,"IQ_BUS_SEG_REV", H833, Valuation_date, ReportType,DataMode, F834,FXMode, $C848)*Scale))</f>
        <v>#NAME?</v>
      </c>
      <c r="G848" s="274" t="e">
        <f ca="1">IF(D848="","",IFERROR(F848/F853,"n/a"))</f>
        <v>#NAME?</v>
      </c>
      <c r="H848" s="284" t="e">
        <f t="shared" ca="1" si="51"/>
        <v>#NAME?</v>
      </c>
      <c r="I848" s="1524" t="e">
        <f ca="1">IF(D832="","",IF(D848="","",_xll.ciqfunctions.udf.CIQ(D834,"IQ_BUS_SEG_DESCRIPTION", H833, Valuation_date, , , , , $C848)))</f>
        <v>#NAME?</v>
      </c>
      <c r="J848" s="222"/>
      <c r="K848" s="1509"/>
      <c r="O848" s="2060"/>
    </row>
    <row r="849" spans="1:15" s="1508" customFormat="1">
      <c r="A849" s="1518" t="e">
        <f t="shared" ca="1" si="50"/>
        <v>#NAME?</v>
      </c>
      <c r="B849" s="1518"/>
      <c r="C849" s="227">
        <v>12</v>
      </c>
      <c r="D849" s="223" t="e">
        <f ca="1">IF(D832="","",IF(ISNUMBER(_xll.ciqfunctions.udf.CIQ(D834,"IQ_BUS_SEG_NAME", H833, Valuation_date, , , , , $C849)),"",_xll.ciqfunctions.udf.CIQ(D834,"IQ_BUS_SEG_NAME", H833, Valuation_date, , , , , $C849)))</f>
        <v>#NAME?</v>
      </c>
      <c r="E849" s="187" t="e">
        <f ca="1">IF(D832="","",IF(D849="","",_xll.ciqfunctions.udf.CIQ(D834,"IQ_BUS_SEG_REV", H833-1, Valuation_date, ReportType,DataMode, F834,FXMode, C849)*Scale))</f>
        <v>#NAME?</v>
      </c>
      <c r="F849" s="187" t="e">
        <f ca="1">IF(D832="","",IF(D849="","",_xll.ciqfunctions.udf.CIQ(D834,"IQ_BUS_SEG_REV", H833, Valuation_date, ReportType,DataMode, F834,FXMode, $C849)*Scale))</f>
        <v>#NAME?</v>
      </c>
      <c r="G849" s="274" t="e">
        <f ca="1">IF(D849="","",IFERROR(F849/F853,"n/a"))</f>
        <v>#NAME?</v>
      </c>
      <c r="H849" s="284" t="e">
        <f t="shared" ca="1" si="51"/>
        <v>#NAME?</v>
      </c>
      <c r="I849" s="1524" t="e">
        <f ca="1">IF(D832="","",IF(D849="","",_xll.ciqfunctions.udf.CIQ(D834,"IQ_BUS_SEG_DESCRIPTION", H833, Valuation_date, , , , , $C849)))</f>
        <v>#NAME?</v>
      </c>
      <c r="J849" s="222"/>
      <c r="K849" s="1509"/>
      <c r="O849" s="2060"/>
    </row>
    <row r="850" spans="1:15" s="1508" customFormat="1">
      <c r="A850" s="1518" t="e">
        <f t="shared" ca="1" si="50"/>
        <v>#NAME?</v>
      </c>
      <c r="B850" s="1518"/>
      <c r="C850" s="227">
        <v>13</v>
      </c>
      <c r="D850" s="223" t="e">
        <f ca="1">IF(D832="","",IF(ISNUMBER(_xll.ciqfunctions.udf.CIQ(D834,"IQ_BUS_SEG_NAME", H833, Valuation_date, , , , , $C850)),"",_xll.ciqfunctions.udf.CIQ(D834,"IQ_BUS_SEG_NAME", H833, Valuation_date, , , , , $C850)))</f>
        <v>#NAME?</v>
      </c>
      <c r="E850" s="187" t="e">
        <f ca="1">IF(D832="","",IF(D850="","",_xll.ciqfunctions.udf.CIQ(D834,"IQ_BUS_SEG_REV", H833-1, Valuation_date, ReportType,DataMode, F834,FXMode, C850)*Scale))</f>
        <v>#NAME?</v>
      </c>
      <c r="F850" s="187" t="e">
        <f ca="1">IF(D832="","",IF(D850="","",_xll.ciqfunctions.udf.CIQ(D834,"IQ_BUS_SEG_REV", H833, Valuation_date, ReportType,DataMode, F834,FXMode, $C850)*Scale))</f>
        <v>#NAME?</v>
      </c>
      <c r="G850" s="274" t="e">
        <f ca="1">IF(D850="","",IFERROR(F850/F853,"n/a"))</f>
        <v>#NAME?</v>
      </c>
      <c r="H850" s="284" t="e">
        <f t="shared" ca="1" si="51"/>
        <v>#NAME?</v>
      </c>
      <c r="I850" s="1524" t="e">
        <f ca="1">IF(D832="","",IF(D850="","",_xll.ciqfunctions.udf.CIQ(D834,"IQ_BUS_SEG_DESCRIPTION", H833, Valuation_date, , , , , $C850)))</f>
        <v>#NAME?</v>
      </c>
      <c r="J850" s="222"/>
      <c r="K850" s="1509"/>
      <c r="O850" s="2060"/>
    </row>
    <row r="851" spans="1:15" s="1508" customFormat="1">
      <c r="A851" s="1518" t="e">
        <f ca="1">IF(D851="","n","")</f>
        <v>#NAME?</v>
      </c>
      <c r="B851" s="1518"/>
      <c r="C851" s="227">
        <v>14</v>
      </c>
      <c r="D851" s="223" t="e">
        <f ca="1">IF(D832="","",IF(ISNUMBER(_xll.ciqfunctions.udf.CIQ(D834,"IQ_BUS_SEG_NAME", H833, Valuation_date, , , , , $C851)),"",_xll.ciqfunctions.udf.CIQ(D834,"IQ_BUS_SEG_NAME", H833, Valuation_date, , , , , $C851)))</f>
        <v>#NAME?</v>
      </c>
      <c r="E851" s="187" t="e">
        <f ca="1">IF(D832="","",IF(D851="","",_xll.ciqfunctions.udf.CIQ(D834,"IQ_BUS_SEG_REV", H833-1, Valuation_date, ReportType,DataMode, F834,FXMode, C851)*Scale))</f>
        <v>#NAME?</v>
      </c>
      <c r="F851" s="187" t="e">
        <f ca="1">IF(D832="","",IF(D851="","",_xll.ciqfunctions.udf.CIQ(D834,"IQ_BUS_SEG_REV", H833, Valuation_date, ReportType,DataMode, F834,FXMode, $C851)*Scale))</f>
        <v>#NAME?</v>
      </c>
      <c r="G851" s="274" t="e">
        <f ca="1">IF(D851="","",IFERROR(F851/F853,"n/a"))</f>
        <v>#NAME?</v>
      </c>
      <c r="H851" s="284" t="e">
        <f t="shared" ca="1" si="51"/>
        <v>#NAME?</v>
      </c>
      <c r="I851" s="1524" t="e">
        <f ca="1">IF(D832="","",IF(D851="","",_xll.ciqfunctions.udf.CIQ(D834,"IQ_BUS_SEG_DESCRIPTION", H833, Valuation_date, , , , , $C851)))</f>
        <v>#NAME?</v>
      </c>
      <c r="J851" s="222"/>
      <c r="K851" s="1509"/>
      <c r="O851" s="2060"/>
    </row>
    <row r="852" spans="1:15" s="1508" customFormat="1">
      <c r="A852" s="1518" t="e">
        <f ca="1">IF(D852="","n","")</f>
        <v>#NAME?</v>
      </c>
      <c r="B852" s="1518"/>
      <c r="C852" s="227">
        <v>15</v>
      </c>
      <c r="D852" s="223" t="e">
        <f ca="1">IF(D832="","",IF(ISNUMBER(_xll.ciqfunctions.udf.CIQ(D834,"IQ_BUS_SEG_NAME", H833, Valuation_date, , , , , $C852)),"",_xll.ciqfunctions.udf.CIQ(D834,"IQ_BUS_SEG_NAME", H833, Valuation_date, , , , , $C852)))</f>
        <v>#NAME?</v>
      </c>
      <c r="E852" s="187" t="e">
        <f ca="1">IF(D832="","",IF(D852="","",_xll.ciqfunctions.udf.CIQ(D834,"IQ_BUS_SEG_REV", H833-1, Valuation_date, ReportType,DataMode, F834,FXMode, C852)*Scale))</f>
        <v>#NAME?</v>
      </c>
      <c r="F852" s="187" t="e">
        <f ca="1">IF(D832="","",IF(D852="","",_xll.ciqfunctions.udf.CIQ(D834,"IQ_BUS_SEG_REV", H833, Valuation_date, ReportType,DataMode, F834,FXMode, $C852)*Scale))</f>
        <v>#NAME?</v>
      </c>
      <c r="G852" s="274" t="e">
        <f ca="1">IF(D852="","",IFERROR(F852/F853,"n/a"))</f>
        <v>#NAME?</v>
      </c>
      <c r="H852" s="284" t="e">
        <f t="shared" ca="1" si="51"/>
        <v>#NAME?</v>
      </c>
      <c r="I852" s="1524" t="e">
        <f ca="1">IF(D832="","",IF(D852="","",_xll.ciqfunctions.udf.CIQ(D834,"IQ_BUS_SEG_DESCRIPTION", H833, Valuation_date, , , , , $C852)))</f>
        <v>#NAME?</v>
      </c>
      <c r="J852" s="222"/>
      <c r="K852" s="1509"/>
      <c r="O852" s="2060"/>
    </row>
    <row r="853" spans="1:15" s="1508" customFormat="1" ht="14.45" thickBot="1">
      <c r="A853" s="1518"/>
      <c r="B853" s="1518"/>
      <c r="C853" s="225"/>
      <c r="D853" s="220" t="s">
        <v>1248</v>
      </c>
      <c r="E853" s="220" t="e">
        <f ca="1">SUM(E838:E852)</f>
        <v>#NAME?</v>
      </c>
      <c r="F853" s="220" t="e">
        <f ca="1">SUM(F838:F852)</f>
        <v>#NAME?</v>
      </c>
      <c r="G853" s="2266" t="e">
        <f ca="1">SUM(G838:G852)</f>
        <v>#NAME?</v>
      </c>
      <c r="H853" s="2267" t="str">
        <f ca="1">IF(D853="","",IFERROR(F853/E853-1,"n/a"))</f>
        <v>n/a</v>
      </c>
      <c r="I853" s="1515"/>
      <c r="J853" s="222"/>
      <c r="K853" s="1509"/>
      <c r="O853" s="2060"/>
    </row>
    <row r="854" spans="1:15" s="1508" customFormat="1">
      <c r="A854" s="1518"/>
      <c r="B854" s="1518"/>
      <c r="C854" s="225"/>
      <c r="D854" s="187"/>
      <c r="E854" s="187"/>
      <c r="F854" s="274"/>
      <c r="G854" s="187"/>
      <c r="H854" s="284"/>
      <c r="I854" s="1515"/>
      <c r="J854" s="222"/>
      <c r="K854" s="1509"/>
      <c r="O854" s="2060"/>
    </row>
    <row r="855" spans="1:15" s="1508" customFormat="1">
      <c r="A855" s="1518"/>
      <c r="B855" s="1518"/>
      <c r="C855" s="1572"/>
      <c r="D855" s="1514" t="s">
        <v>1707</v>
      </c>
      <c r="E855" s="1579"/>
      <c r="F855" s="1575"/>
      <c r="G855" s="1514"/>
      <c r="H855" s="1575"/>
      <c r="I855" s="1571"/>
      <c r="J855" s="1574"/>
      <c r="K855" s="1509"/>
      <c r="L855" s="2060"/>
      <c r="M855" s="2060"/>
      <c r="O855" s="2060"/>
    </row>
    <row r="856" spans="1:15" s="1508" customFormat="1">
      <c r="A856" s="1518"/>
      <c r="B856" s="1518"/>
      <c r="C856" s="225"/>
      <c r="D856" s="1514" t="s">
        <v>1402</v>
      </c>
      <c r="E856" s="187"/>
      <c r="F856" s="274"/>
      <c r="G856" s="187"/>
      <c r="H856" s="284"/>
      <c r="I856" s="1515"/>
      <c r="J856" s="222"/>
      <c r="K856" s="1509"/>
      <c r="O856" s="2060"/>
    </row>
    <row r="857" spans="1:15" s="1508" customFormat="1">
      <c r="A857" s="1518"/>
      <c r="B857" s="1518"/>
      <c r="C857" s="225"/>
      <c r="H857" s="1515"/>
      <c r="I857" s="1515"/>
      <c r="K857" s="1509"/>
      <c r="L857" s="2060"/>
      <c r="M857" s="2060"/>
      <c r="O857" s="2060"/>
    </row>
    <row r="858" spans="1:15" s="1508" customFormat="1">
      <c r="A858" s="1510"/>
      <c r="B858" s="1510"/>
      <c r="C858" s="327"/>
      <c r="D858" s="1513" t="str">
        <f ca="1">FootnoteDRAFT</f>
        <v>Run date: 05-August-2018  02:34 PM.   DRAFT document. All data subject to change upon completion of additional analysis.</v>
      </c>
      <c r="E858" s="1506"/>
      <c r="F858" s="176"/>
      <c r="G858" s="1513"/>
      <c r="H858" s="368"/>
      <c r="I858" s="1512"/>
      <c r="J858" s="1512"/>
      <c r="K858" s="1509"/>
      <c r="L858" s="2060"/>
      <c r="M858" s="2060"/>
      <c r="O858" s="2060"/>
    </row>
    <row r="859" spans="1:15" s="1508" customFormat="1">
      <c r="A859" s="1510" t="s">
        <v>17</v>
      </c>
      <c r="B859" s="1510"/>
      <c r="C859" s="1510"/>
      <c r="D859" s="1510"/>
      <c r="E859" s="683"/>
      <c r="F859" s="1510"/>
      <c r="G859" s="1510"/>
      <c r="H859" s="1510"/>
      <c r="I859" s="1547"/>
      <c r="J859" s="1546" t="s">
        <v>18</v>
      </c>
      <c r="K859" s="1510"/>
      <c r="L859" s="2060"/>
      <c r="M859" s="2060"/>
      <c r="O859" s="2060"/>
    </row>
    <row r="860" spans="1:15">
      <c r="A860" s="2060"/>
      <c r="B860" s="2060"/>
      <c r="C860" s="2060"/>
      <c r="D860" s="2060"/>
      <c r="E860" s="2060"/>
      <c r="F860" s="2060"/>
      <c r="G860" s="2060"/>
      <c r="H860" s="2060"/>
      <c r="I860" s="2060"/>
      <c r="J860" s="2060"/>
      <c r="K860" s="2060"/>
      <c r="L860" s="1508"/>
      <c r="M860" s="1508"/>
      <c r="N860" s="1508"/>
      <c r="O860" s="2060"/>
    </row>
    <row r="861" spans="1:15">
      <c r="A861" s="2060"/>
      <c r="B861" s="2060"/>
      <c r="C861" s="2060"/>
      <c r="D861" s="2060"/>
      <c r="E861" s="2060"/>
      <c r="F861" s="2060"/>
      <c r="G861" s="2060"/>
      <c r="H861" s="1500"/>
      <c r="I861" s="2060"/>
      <c r="J861" s="2060"/>
      <c r="K861" s="2060"/>
      <c r="L861" s="1508"/>
      <c r="M861" s="1508"/>
      <c r="N861" s="1508"/>
      <c r="O861" s="2060"/>
    </row>
    <row r="862" spans="1:15">
      <c r="A862" s="2060"/>
      <c r="B862" s="2060"/>
      <c r="C862" s="2060"/>
      <c r="D862" s="2060"/>
      <c r="E862" s="2060"/>
      <c r="F862" s="2060"/>
      <c r="G862" s="2060"/>
      <c r="H862" s="1500"/>
      <c r="I862" s="2060"/>
      <c r="J862" s="2060"/>
      <c r="K862" s="2060"/>
      <c r="L862" s="1508"/>
      <c r="M862" s="1508"/>
      <c r="N862" s="1508"/>
      <c r="O862" s="2060"/>
    </row>
    <row r="863" spans="1:15">
      <c r="A863" s="2060"/>
      <c r="B863" s="2060"/>
      <c r="C863" s="2060"/>
      <c r="D863" s="2060"/>
      <c r="E863" s="2060"/>
      <c r="F863" s="2060"/>
      <c r="G863" s="2060"/>
      <c r="H863" s="1500"/>
      <c r="I863" s="2060"/>
      <c r="J863" s="2060"/>
      <c r="K863" s="2060"/>
      <c r="L863" s="1508"/>
      <c r="M863" s="1508"/>
      <c r="N863" s="1508"/>
      <c r="O863" s="2060"/>
    </row>
    <row r="864" spans="1:15">
      <c r="A864" s="2060"/>
      <c r="B864" s="2060"/>
      <c r="C864" s="2060"/>
      <c r="D864" s="2060"/>
      <c r="E864" s="2060"/>
      <c r="F864" s="2060"/>
      <c r="G864" s="2060"/>
      <c r="H864" s="1500"/>
      <c r="I864" s="2060"/>
      <c r="J864" s="2060"/>
      <c r="K864" s="2060"/>
      <c r="L864" s="1508"/>
      <c r="M864" s="1508"/>
      <c r="N864" s="1508"/>
      <c r="O864" s="2060"/>
    </row>
    <row r="865" spans="1:11">
      <c r="A865" s="2060"/>
      <c r="B865" s="2060"/>
      <c r="C865" s="2060"/>
      <c r="D865" s="2060"/>
      <c r="E865" s="2060"/>
      <c r="F865" s="2060"/>
      <c r="G865" s="2060"/>
      <c r="H865" s="1500"/>
      <c r="I865" s="2060"/>
      <c r="J865" s="2060"/>
      <c r="K865" s="2060"/>
    </row>
    <row r="866" spans="1:11">
      <c r="A866" s="2060"/>
      <c r="B866" s="2060"/>
      <c r="C866" s="2060"/>
      <c r="D866" s="2060"/>
      <c r="E866" s="2060"/>
      <c r="F866" s="2060"/>
      <c r="G866" s="2060"/>
      <c r="H866" s="1500"/>
      <c r="I866" s="2060"/>
      <c r="J866" s="2060"/>
      <c r="K866" s="2060"/>
    </row>
    <row r="867" spans="1:11">
      <c r="A867" s="2060"/>
      <c r="B867" s="2060"/>
      <c r="C867" s="2060"/>
      <c r="D867" s="2060"/>
      <c r="E867" s="2060"/>
      <c r="F867" s="2060"/>
      <c r="G867" s="2060"/>
      <c r="H867" s="1500"/>
      <c r="I867" s="2060"/>
      <c r="J867" s="2060"/>
      <c r="K867" s="2060"/>
    </row>
    <row r="868" spans="1:11">
      <c r="A868" s="2060"/>
      <c r="B868" s="2060"/>
      <c r="C868" s="2060"/>
      <c r="D868" s="2060"/>
      <c r="E868" s="2060"/>
      <c r="F868" s="2060"/>
      <c r="G868" s="2060"/>
      <c r="H868" s="1500"/>
      <c r="I868" s="2060"/>
      <c r="J868" s="2060"/>
      <c r="K868" s="2060"/>
    </row>
    <row r="869" spans="1:11">
      <c r="A869" s="2060"/>
      <c r="B869" s="2060"/>
      <c r="C869" s="2060"/>
      <c r="D869" s="2060"/>
      <c r="E869" s="2060"/>
      <c r="F869" s="2060"/>
      <c r="G869" s="2060"/>
      <c r="H869" s="1500"/>
      <c r="I869" s="2060"/>
      <c r="J869" s="2060"/>
      <c r="K869" s="2060"/>
    </row>
    <row r="870" spans="1:11">
      <c r="A870" s="2060"/>
      <c r="B870" s="2060"/>
      <c r="C870" s="2060"/>
      <c r="D870" s="2060"/>
      <c r="E870" s="2060"/>
      <c r="F870" s="2060"/>
      <c r="G870" s="2060"/>
      <c r="H870" s="1500"/>
      <c r="I870" s="2060"/>
      <c r="J870" s="2060"/>
      <c r="K870" s="2060"/>
    </row>
    <row r="871" spans="1:11">
      <c r="A871" s="2060"/>
      <c r="B871" s="2060"/>
      <c r="C871" s="2060"/>
      <c r="D871" s="2060"/>
      <c r="E871" s="2060"/>
      <c r="F871" s="2060"/>
      <c r="G871" s="2060"/>
      <c r="H871" s="1500"/>
      <c r="I871" s="2060"/>
      <c r="J871" s="2060"/>
      <c r="K871" s="2060"/>
    </row>
    <row r="872" spans="1:11">
      <c r="A872" s="2060"/>
      <c r="B872" s="2060"/>
      <c r="C872" s="2060"/>
      <c r="D872" s="2060"/>
      <c r="E872" s="2060"/>
      <c r="F872" s="2060"/>
      <c r="G872" s="2060"/>
      <c r="H872" s="1500"/>
      <c r="I872" s="2060"/>
      <c r="J872" s="2060"/>
      <c r="K872" s="2060"/>
    </row>
    <row r="873" spans="1:11">
      <c r="A873" s="2060"/>
      <c r="B873" s="2060"/>
      <c r="C873" s="2060"/>
      <c r="D873" s="2060"/>
      <c r="E873" s="2060"/>
      <c r="F873" s="2060"/>
      <c r="G873" s="2060"/>
      <c r="H873" s="1500"/>
      <c r="I873" s="2060"/>
      <c r="J873" s="2060"/>
      <c r="K873" s="2060"/>
    </row>
    <row r="874" spans="1:11">
      <c r="A874" s="2060"/>
      <c r="B874" s="2060"/>
      <c r="C874" s="2060"/>
      <c r="D874" s="2060"/>
      <c r="E874" s="2060"/>
      <c r="F874" s="2060"/>
      <c r="G874" s="2060"/>
      <c r="H874" s="1500"/>
      <c r="I874" s="2060"/>
      <c r="J874" s="2060"/>
      <c r="K874" s="2060"/>
    </row>
    <row r="875" spans="1:11">
      <c r="A875" s="2060"/>
      <c r="B875" s="2060"/>
      <c r="C875" s="2060"/>
      <c r="D875" s="2060"/>
      <c r="E875" s="2060"/>
      <c r="F875" s="2060"/>
      <c r="G875" s="2060"/>
      <c r="H875" s="1500"/>
      <c r="I875" s="2060"/>
      <c r="J875" s="2060"/>
      <c r="K875" s="2060"/>
    </row>
    <row r="876" spans="1:11">
      <c r="A876" s="2060"/>
      <c r="B876" s="2060"/>
      <c r="C876" s="2060"/>
      <c r="D876" s="2060"/>
      <c r="E876" s="2060"/>
      <c r="F876" s="2060"/>
      <c r="G876" s="2060"/>
      <c r="H876" s="1500"/>
      <c r="I876" s="2060"/>
      <c r="J876" s="2060"/>
      <c r="K876" s="2060"/>
    </row>
    <row r="877" spans="1:11">
      <c r="A877" s="2060"/>
      <c r="B877" s="2060"/>
      <c r="C877" s="2060"/>
      <c r="D877" s="2060"/>
      <c r="E877" s="2060"/>
      <c r="F877" s="2060"/>
      <c r="G877" s="2060"/>
      <c r="H877" s="1500"/>
      <c r="I877" s="2060"/>
      <c r="J877" s="2060"/>
      <c r="K877" s="2060"/>
    </row>
    <row r="878" spans="1:11">
      <c r="A878" s="2060"/>
      <c r="B878" s="2060"/>
      <c r="C878" s="2060"/>
      <c r="D878" s="2060"/>
      <c r="E878" s="2060"/>
      <c r="F878" s="2060"/>
      <c r="G878" s="2060"/>
      <c r="H878" s="1500"/>
      <c r="I878" s="2060"/>
      <c r="J878" s="2060"/>
      <c r="K878" s="2060"/>
    </row>
    <row r="879" spans="1:11">
      <c r="A879" s="2060"/>
      <c r="B879" s="2060"/>
      <c r="C879" s="2060"/>
      <c r="D879" s="2060"/>
      <c r="E879" s="2060"/>
      <c r="F879" s="2060"/>
      <c r="G879" s="2060"/>
      <c r="H879" s="1500"/>
      <c r="I879" s="2060"/>
      <c r="J879" s="2060"/>
      <c r="K879" s="2060"/>
    </row>
    <row r="880" spans="1:11">
      <c r="A880" s="2060"/>
      <c r="B880" s="2060"/>
      <c r="C880" s="2060"/>
      <c r="D880" s="2060"/>
      <c r="E880" s="2060"/>
      <c r="F880" s="2060"/>
      <c r="G880" s="2060"/>
      <c r="H880" s="1500"/>
      <c r="I880" s="2060"/>
      <c r="J880" s="2060"/>
      <c r="K880" s="2060"/>
    </row>
    <row r="881" spans="1:11">
      <c r="A881" s="2060"/>
      <c r="B881" s="2060"/>
      <c r="C881" s="2060"/>
      <c r="D881" s="2060"/>
      <c r="E881" s="2060"/>
      <c r="F881" s="2060"/>
      <c r="G881" s="2060"/>
      <c r="H881" s="1500"/>
      <c r="I881" s="2060"/>
      <c r="J881" s="2060"/>
      <c r="K881" s="2060"/>
    </row>
    <row r="882" spans="1:11">
      <c r="A882" s="2060"/>
      <c r="B882" s="2060"/>
      <c r="C882" s="2060"/>
      <c r="D882" s="2060"/>
      <c r="E882" s="2060"/>
      <c r="F882" s="2060"/>
      <c r="G882" s="2060"/>
      <c r="H882" s="1500"/>
      <c r="I882" s="2060"/>
      <c r="J882" s="2060"/>
      <c r="K882" s="2060"/>
    </row>
    <row r="883" spans="1:11">
      <c r="A883" s="2060"/>
      <c r="B883" s="2060"/>
      <c r="C883" s="2060"/>
      <c r="D883" s="2060"/>
      <c r="E883" s="2060"/>
      <c r="F883" s="2060"/>
      <c r="G883" s="2060"/>
      <c r="H883" s="1500"/>
      <c r="I883" s="2060"/>
      <c r="J883" s="2060"/>
      <c r="K883" s="2060"/>
    </row>
    <row r="884" spans="1:11">
      <c r="A884" s="2060"/>
      <c r="B884" s="2060"/>
      <c r="C884" s="2060"/>
      <c r="D884" s="2060"/>
      <c r="E884" s="2060"/>
      <c r="F884" s="2060"/>
      <c r="G884" s="2060"/>
      <c r="H884" s="1500"/>
      <c r="I884" s="2060"/>
      <c r="J884" s="2060"/>
      <c r="K884" s="2060"/>
    </row>
    <row r="885" spans="1:11">
      <c r="A885" s="2060"/>
      <c r="B885" s="2060"/>
      <c r="C885" s="2060"/>
      <c r="D885" s="2060"/>
      <c r="E885" s="2060"/>
      <c r="F885" s="2060"/>
      <c r="G885" s="2060"/>
      <c r="H885" s="1500"/>
      <c r="I885" s="2060"/>
      <c r="J885" s="2060"/>
      <c r="K885" s="2060"/>
    </row>
    <row r="886" spans="1:11">
      <c r="A886" s="2060"/>
      <c r="B886" s="2060"/>
      <c r="C886" s="2060"/>
      <c r="D886" s="2060"/>
      <c r="E886" s="2060"/>
      <c r="F886" s="2060"/>
      <c r="G886" s="2060"/>
      <c r="H886" s="1500"/>
      <c r="I886" s="2060"/>
      <c r="J886" s="2060"/>
      <c r="K886" s="2060"/>
    </row>
    <row r="887" spans="1:11">
      <c r="A887" s="2060"/>
      <c r="B887" s="2060"/>
      <c r="C887" s="2060"/>
      <c r="D887" s="2060"/>
      <c r="E887" s="2060"/>
      <c r="F887" s="2060"/>
      <c r="G887" s="2060"/>
      <c r="H887" s="1500"/>
      <c r="I887" s="2060"/>
      <c r="J887" s="2060"/>
      <c r="K887" s="2060"/>
    </row>
    <row r="888" spans="1:11">
      <c r="A888" s="2060"/>
      <c r="B888" s="2060"/>
      <c r="C888" s="2060"/>
      <c r="D888" s="2060"/>
      <c r="E888" s="2060"/>
      <c r="F888" s="2060"/>
      <c r="G888" s="2060"/>
      <c r="H888" s="1500"/>
      <c r="I888" s="2060"/>
      <c r="J888" s="2060"/>
      <c r="K888" s="2060"/>
    </row>
    <row r="889" spans="1:11">
      <c r="A889" s="2060"/>
      <c r="B889" s="2060"/>
      <c r="C889" s="2060"/>
      <c r="D889" s="2060"/>
      <c r="E889" s="2060"/>
      <c r="F889" s="2060"/>
      <c r="G889" s="2060"/>
      <c r="H889" s="1500"/>
      <c r="I889" s="2060"/>
      <c r="J889" s="2060"/>
      <c r="K889" s="2060"/>
    </row>
    <row r="890" spans="1:11">
      <c r="A890" s="2060"/>
      <c r="B890" s="2060"/>
      <c r="C890" s="2060"/>
      <c r="D890" s="2060"/>
      <c r="E890" s="2060"/>
      <c r="F890" s="2060"/>
      <c r="G890" s="2060"/>
      <c r="H890" s="1500"/>
      <c r="I890" s="2060"/>
      <c r="J890" s="2060"/>
      <c r="K890" s="2060"/>
    </row>
    <row r="891" spans="1:11">
      <c r="A891" s="2060"/>
      <c r="B891" s="2060"/>
      <c r="C891" s="2060"/>
      <c r="D891" s="2060"/>
      <c r="E891" s="2060"/>
      <c r="F891" s="2060"/>
      <c r="G891" s="2060"/>
      <c r="H891" s="1500"/>
      <c r="I891" s="2060"/>
      <c r="J891" s="2060"/>
      <c r="K891" s="2060"/>
    </row>
  </sheetData>
  <autoFilter ref="A1:A870"/>
  <conditionalFormatting sqref="H8">
    <cfRule type="cellIs" dxfId="125" priority="97" operator="equal">
      <formula>"N"</formula>
    </cfRule>
  </conditionalFormatting>
  <conditionalFormatting sqref="H41">
    <cfRule type="cellIs" dxfId="124" priority="66" operator="equal">
      <formula>"N"</formula>
    </cfRule>
  </conditionalFormatting>
  <conditionalFormatting sqref="H42">
    <cfRule type="cellIs" dxfId="123" priority="65" operator="equal">
      <formula>"N"</formula>
    </cfRule>
  </conditionalFormatting>
  <conditionalFormatting sqref="H9">
    <cfRule type="cellIs" dxfId="122" priority="85" operator="equal">
      <formula>"N"</formula>
    </cfRule>
  </conditionalFormatting>
  <conditionalFormatting sqref="H74">
    <cfRule type="cellIs" dxfId="121" priority="64" operator="equal">
      <formula>"N"</formula>
    </cfRule>
  </conditionalFormatting>
  <conditionalFormatting sqref="H107">
    <cfRule type="cellIs" dxfId="120" priority="48" operator="equal">
      <formula>"N"</formula>
    </cfRule>
  </conditionalFormatting>
  <conditionalFormatting sqref="H140">
    <cfRule type="cellIs" dxfId="119" priority="60" operator="equal">
      <formula>"N"</formula>
    </cfRule>
  </conditionalFormatting>
  <conditionalFormatting sqref="H338">
    <cfRule type="cellIs" dxfId="118" priority="47" operator="equal">
      <formula>"N"</formula>
    </cfRule>
  </conditionalFormatting>
  <conditionalFormatting sqref="H173">
    <cfRule type="cellIs" dxfId="117" priority="58" operator="equal">
      <formula>"N"</formula>
    </cfRule>
  </conditionalFormatting>
  <conditionalFormatting sqref="H206">
    <cfRule type="cellIs" dxfId="116" priority="56" operator="equal">
      <formula>"N"</formula>
    </cfRule>
  </conditionalFormatting>
  <conditionalFormatting sqref="H371">
    <cfRule type="cellIs" dxfId="115" priority="45" operator="equal">
      <formula>"N"</formula>
    </cfRule>
  </conditionalFormatting>
  <conditionalFormatting sqref="H239">
    <cfRule type="cellIs" dxfId="114" priority="54" operator="equal">
      <formula>"N"</formula>
    </cfRule>
  </conditionalFormatting>
  <conditionalFormatting sqref="H272">
    <cfRule type="cellIs" dxfId="113" priority="52" operator="equal">
      <formula>"N"</formula>
    </cfRule>
  </conditionalFormatting>
  <conditionalFormatting sqref="H404">
    <cfRule type="cellIs" dxfId="112" priority="43" operator="equal">
      <formula>"N"</formula>
    </cfRule>
  </conditionalFormatting>
  <conditionalFormatting sqref="H305">
    <cfRule type="cellIs" dxfId="111" priority="50" operator="equal">
      <formula>"N"</formula>
    </cfRule>
  </conditionalFormatting>
  <conditionalFormatting sqref="H470">
    <cfRule type="cellIs" dxfId="110" priority="39" operator="equal">
      <formula>"N"</formula>
    </cfRule>
  </conditionalFormatting>
  <conditionalFormatting sqref="H437">
    <cfRule type="cellIs" dxfId="109" priority="41" operator="equal">
      <formula>"N"</formula>
    </cfRule>
  </conditionalFormatting>
  <conditionalFormatting sqref="H503">
    <cfRule type="cellIs" dxfId="108" priority="37" operator="equal">
      <formula>"N"</formula>
    </cfRule>
  </conditionalFormatting>
  <conditionalFormatting sqref="H75">
    <cfRule type="cellIs" dxfId="107" priority="35" operator="equal">
      <formula>"N"</formula>
    </cfRule>
  </conditionalFormatting>
  <conditionalFormatting sqref="H108">
    <cfRule type="cellIs" dxfId="106" priority="34" operator="equal">
      <formula>"N"</formula>
    </cfRule>
  </conditionalFormatting>
  <conditionalFormatting sqref="H141">
    <cfRule type="cellIs" dxfId="105" priority="33" operator="equal">
      <formula>"N"</formula>
    </cfRule>
  </conditionalFormatting>
  <conditionalFormatting sqref="H174">
    <cfRule type="cellIs" dxfId="104" priority="32" operator="equal">
      <formula>"N"</formula>
    </cfRule>
  </conditionalFormatting>
  <conditionalFormatting sqref="H207">
    <cfRule type="cellIs" dxfId="103" priority="31" operator="equal">
      <formula>"N"</formula>
    </cfRule>
  </conditionalFormatting>
  <conditionalFormatting sqref="H240">
    <cfRule type="cellIs" dxfId="102" priority="30" operator="equal">
      <formula>"N"</formula>
    </cfRule>
  </conditionalFormatting>
  <conditionalFormatting sqref="H273">
    <cfRule type="cellIs" dxfId="101" priority="29" operator="equal">
      <formula>"N"</formula>
    </cfRule>
  </conditionalFormatting>
  <conditionalFormatting sqref="H306">
    <cfRule type="cellIs" dxfId="100" priority="28" operator="equal">
      <formula>"N"</formula>
    </cfRule>
  </conditionalFormatting>
  <conditionalFormatting sqref="H339">
    <cfRule type="cellIs" dxfId="99" priority="27" operator="equal">
      <formula>"N"</formula>
    </cfRule>
  </conditionalFormatting>
  <conditionalFormatting sqref="H372">
    <cfRule type="cellIs" dxfId="98" priority="26" operator="equal">
      <formula>"N"</formula>
    </cfRule>
  </conditionalFormatting>
  <conditionalFormatting sqref="H405">
    <cfRule type="cellIs" dxfId="97" priority="25" operator="equal">
      <formula>"N"</formula>
    </cfRule>
  </conditionalFormatting>
  <conditionalFormatting sqref="H438">
    <cfRule type="cellIs" dxfId="96" priority="24" operator="equal">
      <formula>"N"</formula>
    </cfRule>
  </conditionalFormatting>
  <conditionalFormatting sqref="H471">
    <cfRule type="cellIs" dxfId="95" priority="23" operator="equal">
      <formula>"N"</formula>
    </cfRule>
  </conditionalFormatting>
  <conditionalFormatting sqref="H504">
    <cfRule type="cellIs" dxfId="94" priority="22" operator="equal">
      <formula>"N"</formula>
    </cfRule>
  </conditionalFormatting>
  <conditionalFormatting sqref="B1:B2">
    <cfRule type="cellIs" dxfId="93" priority="21" operator="notEqual">
      <formula>0</formula>
    </cfRule>
  </conditionalFormatting>
  <conditionalFormatting sqref="H536">
    <cfRule type="cellIs" dxfId="92" priority="20" operator="equal">
      <formula>"N"</formula>
    </cfRule>
  </conditionalFormatting>
  <conditionalFormatting sqref="H537">
    <cfRule type="cellIs" dxfId="91" priority="19" operator="equal">
      <formula>"N"</formula>
    </cfRule>
  </conditionalFormatting>
  <conditionalFormatting sqref="H569">
    <cfRule type="cellIs" dxfId="90" priority="18" operator="equal">
      <formula>"N"</formula>
    </cfRule>
  </conditionalFormatting>
  <conditionalFormatting sqref="H570">
    <cfRule type="cellIs" dxfId="89" priority="17" operator="equal">
      <formula>"N"</formula>
    </cfRule>
  </conditionalFormatting>
  <conditionalFormatting sqref="H602">
    <cfRule type="cellIs" dxfId="88" priority="16" operator="equal">
      <formula>"N"</formula>
    </cfRule>
  </conditionalFormatting>
  <conditionalFormatting sqref="H603">
    <cfRule type="cellIs" dxfId="87" priority="15" operator="equal">
      <formula>"N"</formula>
    </cfRule>
  </conditionalFormatting>
  <conditionalFormatting sqref="H635">
    <cfRule type="cellIs" dxfId="86" priority="14" operator="equal">
      <formula>"N"</formula>
    </cfRule>
  </conditionalFormatting>
  <conditionalFormatting sqref="H636">
    <cfRule type="cellIs" dxfId="85" priority="13" operator="equal">
      <formula>"N"</formula>
    </cfRule>
  </conditionalFormatting>
  <conditionalFormatting sqref="H668">
    <cfRule type="cellIs" dxfId="84" priority="12" operator="equal">
      <formula>"N"</formula>
    </cfRule>
  </conditionalFormatting>
  <conditionalFormatting sqref="H669">
    <cfRule type="cellIs" dxfId="83" priority="11" operator="equal">
      <formula>"N"</formula>
    </cfRule>
  </conditionalFormatting>
  <conditionalFormatting sqref="H701">
    <cfRule type="cellIs" dxfId="82" priority="10" operator="equal">
      <formula>"N"</formula>
    </cfRule>
  </conditionalFormatting>
  <conditionalFormatting sqref="H702">
    <cfRule type="cellIs" dxfId="81" priority="9" operator="equal">
      <formula>"N"</formula>
    </cfRule>
  </conditionalFormatting>
  <conditionalFormatting sqref="H734">
    <cfRule type="cellIs" dxfId="80" priority="8" operator="equal">
      <formula>"N"</formula>
    </cfRule>
  </conditionalFormatting>
  <conditionalFormatting sqref="H735">
    <cfRule type="cellIs" dxfId="79" priority="7" operator="equal">
      <formula>"N"</formula>
    </cfRule>
  </conditionalFormatting>
  <conditionalFormatting sqref="H767">
    <cfRule type="cellIs" dxfId="78" priority="6" operator="equal">
      <formula>"N"</formula>
    </cfRule>
  </conditionalFormatting>
  <conditionalFormatting sqref="H768">
    <cfRule type="cellIs" dxfId="77" priority="5" operator="equal">
      <formula>"N"</formula>
    </cfRule>
  </conditionalFormatting>
  <conditionalFormatting sqref="H800">
    <cfRule type="cellIs" dxfId="76" priority="4" operator="equal">
      <formula>"N"</formula>
    </cfRule>
  </conditionalFormatting>
  <conditionalFormatting sqref="H801">
    <cfRule type="cellIs" dxfId="75" priority="3" operator="equal">
      <formula>"N"</formula>
    </cfRule>
  </conditionalFormatting>
  <conditionalFormatting sqref="H833">
    <cfRule type="cellIs" dxfId="74" priority="2" operator="equal">
      <formula>"N"</formula>
    </cfRule>
  </conditionalFormatting>
  <conditionalFormatting sqref="H834">
    <cfRule type="cellIs" dxfId="73" priority="1" operator="equal">
      <formula>"N"</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26" manualBreakCount="26">
    <brk id="34" max="16383" man="1"/>
    <brk id="67" max="16383" man="1"/>
    <brk id="100" max="16383" man="1"/>
    <brk id="133" max="16383" man="1"/>
    <brk id="166" max="16383" man="1"/>
    <brk id="199" max="16383" man="1"/>
    <brk id="232" max="16383" man="1"/>
    <brk id="265" max="16383" man="1"/>
    <brk id="298" max="16383" man="1"/>
    <brk id="331" max="16383" man="1"/>
    <brk id="364" max="16383" man="1"/>
    <brk id="397" max="16383" man="1"/>
    <brk id="430" max="16383" man="1"/>
    <brk id="463" max="16383" man="1"/>
    <brk id="496" max="16383" man="1"/>
    <brk id="529" max="16383" man="1"/>
    <brk id="562" max="16383" man="1"/>
    <brk id="595" max="16383" man="1"/>
    <brk id="628" max="16383" man="1"/>
    <brk id="661" max="16383" man="1"/>
    <brk id="694" max="16383" man="1"/>
    <brk id="727" max="16383" man="1"/>
    <brk id="760" max="16383" man="1"/>
    <brk id="793" max="16383" man="1"/>
    <brk id="826" max="16383" man="1"/>
    <brk id="859"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lineDescriptions">
    <tabColor rgb="FF99FF66"/>
    <pageSetUpPr autoPageBreaks="0"/>
  </sheetPr>
  <dimension ref="A1:S497"/>
  <sheetViews>
    <sheetView showGridLines="0" zoomScale="85" zoomScaleNormal="85" zoomScaleSheetLayoutView="85" workbookViewId="0"/>
  </sheetViews>
  <sheetFormatPr defaultColWidth="9.33203125" defaultRowHeight="12" customHeight="1"/>
  <cols>
    <col min="1" max="1" width="4.6640625" style="334" customWidth="1"/>
    <col min="2" max="2" width="3.83203125" style="334" customWidth="1"/>
    <col min="3" max="3" width="40.33203125" style="334" customWidth="1"/>
    <col min="4" max="4" width="155.33203125" style="334" customWidth="1"/>
    <col min="5" max="5" width="11.83203125" style="334" customWidth="1"/>
    <col min="6" max="6" width="8.83203125" style="334" customWidth="1"/>
    <col min="7" max="7" width="12.33203125" style="334" customWidth="1"/>
    <col min="8" max="8" width="16.6640625" style="334" customWidth="1"/>
    <col min="9" max="16384" width="9.33203125" style="334"/>
  </cols>
  <sheetData>
    <row r="1" spans="1:19" ht="18" customHeight="1">
      <c r="A1" s="1510" t="str">
        <f>IF(COUNTIF(A10:A69,"y"),"y","n")</f>
        <v>n</v>
      </c>
      <c r="B1" s="649">
        <f>SUMPRODUCT(--ISERROR($C$1:E213))+COUNTIF($C$1:E213,Fail)</f>
        <v>0</v>
      </c>
      <c r="C1" s="1372" t="str">
        <f>START!$C$1</f>
        <v>Client Name</v>
      </c>
      <c r="D1" s="292"/>
      <c r="E1" s="389" t="s">
        <v>1709</v>
      </c>
      <c r="F1" s="1546"/>
      <c r="G1" s="1525"/>
      <c r="H1" s="1525"/>
      <c r="I1" s="1525"/>
      <c r="J1" s="1525"/>
      <c r="K1" s="1525"/>
      <c r="L1" s="1525"/>
      <c r="M1" s="1525"/>
      <c r="N1" s="1525"/>
      <c r="O1" s="1525"/>
      <c r="P1" s="1525"/>
      <c r="Q1" s="1525"/>
      <c r="R1" s="1525"/>
      <c r="S1" s="1525" t="s">
        <v>1710</v>
      </c>
    </row>
    <row r="2" spans="1:19" s="1027" customFormat="1" ht="18" customHeight="1">
      <c r="A2" s="1510" t="str">
        <f>A1</f>
        <v>n</v>
      </c>
      <c r="B2" s="649"/>
      <c r="C2" s="1372" t="str">
        <f>START!$C$2</f>
        <v xml:space="preserve">Please enter project description in START worksheet cell G13 </v>
      </c>
      <c r="D2" s="292"/>
      <c r="E2" s="389"/>
      <c r="F2" s="1546"/>
      <c r="G2" s="1525"/>
      <c r="H2" s="1525"/>
      <c r="I2" s="1525"/>
      <c r="J2" s="1525"/>
      <c r="K2" s="1525"/>
      <c r="L2" s="1525"/>
      <c r="M2" s="1525"/>
      <c r="N2" s="1525"/>
      <c r="O2" s="1525"/>
      <c r="P2" s="1525"/>
      <c r="Q2" s="1525"/>
      <c r="R2" s="1525"/>
      <c r="S2" s="1525"/>
    </row>
    <row r="3" spans="1:19" ht="18" customHeight="1">
      <c r="A3" s="1510" t="str">
        <f>A1</f>
        <v>n</v>
      </c>
      <c r="B3" s="1510"/>
      <c r="C3" s="839" t="s">
        <v>1711</v>
      </c>
      <c r="D3" s="369"/>
      <c r="E3" s="1525"/>
      <c r="F3" s="1546"/>
      <c r="G3" s="1525"/>
      <c r="H3" s="1525"/>
      <c r="I3" s="1525"/>
      <c r="J3" s="1525"/>
      <c r="K3" s="1525"/>
      <c r="L3" s="1525"/>
      <c r="M3" s="1525"/>
      <c r="N3" s="1525"/>
      <c r="O3" s="1525"/>
      <c r="P3" s="1525"/>
      <c r="Q3" s="1525"/>
      <c r="R3" s="1525"/>
      <c r="S3" s="1525"/>
    </row>
    <row r="4" spans="1:19" ht="18" customHeight="1">
      <c r="A4" s="1510" t="str">
        <f>A1</f>
        <v>n</v>
      </c>
      <c r="B4" s="1510"/>
      <c r="C4" s="840" t="str">
        <f>"Valuation as of "&amp; TEXT(Valuation_date,"d mmmm yyyy")</f>
        <v>Valuation as of 28 February 2017</v>
      </c>
      <c r="D4" s="2062"/>
      <c r="E4" s="1525"/>
      <c r="F4" s="1546"/>
      <c r="G4" s="1525"/>
      <c r="H4" s="1525"/>
      <c r="I4" s="1525"/>
      <c r="J4" s="1525"/>
      <c r="K4" s="1525"/>
      <c r="L4" s="1525"/>
      <c r="M4" s="1525"/>
      <c r="N4" s="1525"/>
      <c r="O4" s="1525"/>
      <c r="P4" s="1525"/>
      <c r="Q4" s="1525"/>
      <c r="R4" s="1525"/>
      <c r="S4" s="1525"/>
    </row>
    <row r="5" spans="1:19" ht="18" customHeight="1">
      <c r="A5" s="1510" t="str">
        <f>A1</f>
        <v>n</v>
      </c>
      <c r="B5" s="1510"/>
      <c r="C5" s="366"/>
      <c r="D5" s="366"/>
      <c r="E5" s="1525"/>
      <c r="F5" s="1546"/>
      <c r="G5" s="1525"/>
      <c r="H5" s="1525"/>
      <c r="I5" s="1525"/>
      <c r="J5" s="1525"/>
      <c r="K5" s="1525"/>
      <c r="L5" s="1525"/>
      <c r="M5" s="1525"/>
      <c r="N5" s="1525"/>
      <c r="O5" s="1525"/>
      <c r="P5" s="1525"/>
      <c r="Q5" s="1525"/>
      <c r="R5" s="1525"/>
      <c r="S5" s="1525"/>
    </row>
    <row r="6" spans="1:19" ht="13.9">
      <c r="A6" s="1510" t="str">
        <f>A1</f>
        <v>n</v>
      </c>
      <c r="B6" s="1510"/>
      <c r="C6" s="340"/>
      <c r="D6" s="1526"/>
      <c r="E6" s="1525"/>
      <c r="F6" s="1546"/>
      <c r="G6" s="1525"/>
      <c r="H6" s="1525"/>
      <c r="I6" s="1525"/>
      <c r="J6" s="1525"/>
      <c r="K6" s="1525"/>
      <c r="L6" s="1525"/>
      <c r="M6" s="1525"/>
      <c r="N6" s="1525"/>
      <c r="O6" s="1525"/>
      <c r="P6" s="1525"/>
      <c r="Q6" s="1525"/>
      <c r="R6" s="1525"/>
      <c r="S6" s="1525"/>
    </row>
    <row r="7" spans="1:19" s="336" customFormat="1" ht="24.75" customHeight="1">
      <c r="A7" s="1510" t="str">
        <f>A1</f>
        <v>n</v>
      </c>
      <c r="B7" s="1510"/>
      <c r="C7" s="342"/>
      <c r="D7" s="341"/>
      <c r="E7" s="2060"/>
      <c r="F7" s="1546"/>
      <c r="G7" s="1527"/>
      <c r="H7" s="1527"/>
      <c r="I7" s="1527"/>
      <c r="J7" s="1527"/>
      <c r="K7" s="1527"/>
      <c r="L7" s="1527"/>
      <c r="M7" s="1527"/>
      <c r="N7" s="1527"/>
      <c r="O7" s="1527"/>
      <c r="P7" s="1527"/>
      <c r="Q7" s="1527"/>
      <c r="R7" s="1527"/>
      <c r="S7" s="1527"/>
    </row>
    <row r="8" spans="1:19" s="336" customFormat="1" ht="12.75" customHeight="1">
      <c r="A8" s="1510" t="str">
        <f>A1</f>
        <v>n</v>
      </c>
      <c r="B8" s="1510"/>
      <c r="C8" s="1297" t="s">
        <v>1712</v>
      </c>
      <c r="D8" s="1298" t="s">
        <v>1713</v>
      </c>
      <c r="E8" s="404"/>
      <c r="F8" s="1546"/>
      <c r="G8" s="1527"/>
      <c r="H8" s="1527"/>
      <c r="I8" s="1527"/>
      <c r="J8" s="1527"/>
      <c r="K8" s="1527"/>
      <c r="L8" s="1527"/>
      <c r="M8" s="1527"/>
      <c r="N8" s="1527"/>
      <c r="O8" s="1527"/>
      <c r="P8" s="1527"/>
      <c r="Q8" s="1527"/>
      <c r="R8" s="1527"/>
      <c r="S8" s="1527"/>
    </row>
    <row r="9" spans="1:19" s="1527" customFormat="1" ht="12.75" customHeight="1">
      <c r="A9" s="1510" t="str">
        <f>A1</f>
        <v>n</v>
      </c>
      <c r="B9" s="1510"/>
      <c r="C9" s="756"/>
      <c r="D9" s="1817"/>
      <c r="E9" s="631"/>
      <c r="F9" s="1546"/>
    </row>
    <row r="10" spans="1:19" s="336" customFormat="1" ht="13.9">
      <c r="A10" s="1510" t="str">
        <f>IF(AND(C10&lt;&gt;"",ISBLANK(D10)),"y",IF(D10="","n",""))</f>
        <v>n</v>
      </c>
      <c r="B10" s="1510"/>
      <c r="C10" s="468" t="str">
        <f>Settings!$L$105</f>
        <v/>
      </c>
      <c r="D10" s="2060" t="str">
        <f>_xll.ciqfunctions.udf.CIQSPLIT(K10,I10,J10)</f>
        <v/>
      </c>
      <c r="E10" s="2060"/>
      <c r="F10" s="1546"/>
      <c r="G10" s="1527"/>
      <c r="H10" s="484" t="str">
        <f>Settings!$M$105</f>
        <v/>
      </c>
      <c r="I10" s="2060">
        <v>1</v>
      </c>
      <c r="J10" s="126">
        <v>170</v>
      </c>
      <c r="K10" s="388" t="str">
        <f>IF(H10="","",_xll.ciqfunctions.udf.CIQ(H10,"IQ_Business_Description"))</f>
        <v/>
      </c>
      <c r="L10" s="1527"/>
      <c r="M10" s="1527"/>
      <c r="N10" s="1527"/>
      <c r="O10" s="1527"/>
      <c r="P10" s="1527"/>
      <c r="Q10" s="1527"/>
      <c r="R10" s="1527"/>
      <c r="S10" s="1527"/>
    </row>
    <row r="11" spans="1:19" s="336" customFormat="1" ht="13.9">
      <c r="A11" s="1510" t="str">
        <f>IF(AND(C10&lt;&gt;"",ISBLANK(D11)),"y",IF(D11="","n",""))</f>
        <v>n</v>
      </c>
      <c r="B11" s="1510"/>
      <c r="C11" s="468"/>
      <c r="D11" s="2060" t="str">
        <f>_xll.ciqfunctions.udf.CIQSPLIT(K10,I11,J10)</f>
        <v/>
      </c>
      <c r="E11" s="2060"/>
      <c r="F11" s="1546"/>
      <c r="G11" s="1527"/>
      <c r="H11" s="484"/>
      <c r="I11" s="2060">
        <v>2</v>
      </c>
      <c r="J11" s="126"/>
      <c r="K11" s="388"/>
      <c r="L11" s="1527"/>
      <c r="M11" s="1527"/>
      <c r="N11" s="1527"/>
      <c r="O11" s="1527"/>
      <c r="P11" s="1527"/>
      <c r="Q11" s="1527"/>
      <c r="R11" s="1527"/>
      <c r="S11" s="1527"/>
    </row>
    <row r="12" spans="1:19" s="336" customFormat="1" ht="13.9">
      <c r="A12" s="1510" t="str">
        <f>IF(AND(C10&lt;&gt;"",ISBLANK(D12)),"y",IF(D12="","n",""))</f>
        <v>n</v>
      </c>
      <c r="B12" s="1510"/>
      <c r="C12" s="468"/>
      <c r="D12" s="2060" t="str">
        <f>_xll.ciqfunctions.udf.CIQSPLIT(K10,I12,J10)</f>
        <v/>
      </c>
      <c r="E12" s="2060"/>
      <c r="F12" s="1546"/>
      <c r="G12" s="1527"/>
      <c r="H12" s="484"/>
      <c r="I12" s="2060">
        <v>3</v>
      </c>
      <c r="J12" s="126"/>
      <c r="K12" s="388"/>
      <c r="L12" s="1527"/>
      <c r="M12" s="1527"/>
      <c r="N12" s="1527"/>
      <c r="O12" s="1527"/>
      <c r="P12" s="1527"/>
      <c r="Q12" s="1527"/>
      <c r="R12" s="1527"/>
      <c r="S12" s="1527"/>
    </row>
    <row r="13" spans="1:19" s="336" customFormat="1" ht="13.9">
      <c r="A13" s="1510" t="str">
        <f>IF(AND(C10&lt;&gt;"",ISBLANK(D13)),"y",IF(D13="","n",""))</f>
        <v>n</v>
      </c>
      <c r="B13" s="1510"/>
      <c r="C13" s="468"/>
      <c r="D13" s="2060" t="str">
        <f>_xll.ciqfunctions.udf.CIQSPLIT(K10,I13,J10)</f>
        <v/>
      </c>
      <c r="E13" s="2060"/>
      <c r="F13" s="1546"/>
      <c r="G13" s="1527"/>
      <c r="H13" s="484"/>
      <c r="I13" s="2060">
        <v>4</v>
      </c>
      <c r="J13" s="126"/>
      <c r="K13" s="388"/>
      <c r="L13" s="1527"/>
      <c r="M13" s="1527"/>
      <c r="N13" s="1527"/>
      <c r="O13" s="1527"/>
      <c r="P13" s="1527"/>
      <c r="Q13" s="1527"/>
      <c r="R13" s="1527"/>
      <c r="S13" s="1527"/>
    </row>
    <row r="14" spans="1:19" s="336" customFormat="1" ht="13.9">
      <c r="A14" s="1510" t="str">
        <f>IF(AND(C10&lt;&gt;"",ISBLANK(D14)),"y",IF(D14="","n",""))</f>
        <v>n</v>
      </c>
      <c r="B14" s="1510"/>
      <c r="C14" s="468"/>
      <c r="D14" s="2060" t="str">
        <f>_xll.ciqfunctions.udf.CIQSPLIT(K10,I14,J10)</f>
        <v/>
      </c>
      <c r="E14" s="2060"/>
      <c r="F14" s="1546"/>
      <c r="G14" s="1527"/>
      <c r="H14" s="484"/>
      <c r="I14" s="2060">
        <v>5</v>
      </c>
      <c r="J14" s="126"/>
      <c r="K14" s="388"/>
      <c r="L14" s="1527"/>
      <c r="M14" s="1527"/>
      <c r="N14" s="1527"/>
      <c r="O14" s="1527"/>
      <c r="P14" s="1527"/>
      <c r="Q14" s="1527"/>
      <c r="R14" s="1527"/>
      <c r="S14" s="1527"/>
    </row>
    <row r="15" spans="1:19" s="336" customFormat="1" ht="13.9">
      <c r="A15" s="1510" t="str">
        <f>IF(AND(C10&lt;&gt;"",ISBLANK(D15)),"y",IF(D15="","n",""))</f>
        <v>n</v>
      </c>
      <c r="B15" s="1510"/>
      <c r="C15" s="468"/>
      <c r="D15" s="2060" t="str">
        <f>_xll.ciqfunctions.udf.CIQSPLIT(K10,I15,J10)</f>
        <v/>
      </c>
      <c r="E15" s="1505"/>
      <c r="F15" s="1546"/>
      <c r="G15" s="1527"/>
      <c r="H15" s="484"/>
      <c r="I15" s="2060">
        <v>6</v>
      </c>
      <c r="J15" s="126"/>
      <c r="K15" s="388"/>
      <c r="L15" s="1527"/>
      <c r="M15" s="1527"/>
      <c r="N15" s="1527"/>
      <c r="O15" s="1527"/>
      <c r="P15" s="1527"/>
      <c r="Q15" s="1527"/>
      <c r="R15" s="1527"/>
      <c r="S15" s="1527"/>
    </row>
    <row r="16" spans="1:19" s="336" customFormat="1" ht="13.9">
      <c r="A16" s="1510" t="str">
        <f>IF(AND(C10&lt;&gt;"",ISBLANK(D16)),"y",IF(D16="","n",""))</f>
        <v>n</v>
      </c>
      <c r="B16" s="1510"/>
      <c r="C16" s="468"/>
      <c r="D16" s="2060" t="str">
        <f>_xll.ciqfunctions.udf.CIQSPLIT(K10,I16,J10)</f>
        <v/>
      </c>
      <c r="E16" s="1505"/>
      <c r="F16" s="1546"/>
      <c r="G16" s="1527"/>
      <c r="H16" s="484"/>
      <c r="I16" s="2060">
        <v>7</v>
      </c>
      <c r="J16" s="126"/>
      <c r="K16" s="388"/>
      <c r="L16" s="1527"/>
      <c r="M16" s="1527"/>
      <c r="N16" s="1527"/>
      <c r="O16" s="1527"/>
      <c r="P16" s="1527"/>
      <c r="Q16" s="1527"/>
      <c r="R16" s="1527"/>
      <c r="S16" s="1527"/>
    </row>
    <row r="17" spans="1:11" s="336" customFormat="1" ht="13.9">
      <c r="A17" s="1510" t="str">
        <f>IF(AND(C10&lt;&gt;"",ISBLANK(D17)),"y",IF(D17="","n",""))</f>
        <v>n</v>
      </c>
      <c r="B17" s="1510"/>
      <c r="C17" s="468"/>
      <c r="D17" s="2060" t="str">
        <f>_xll.ciqfunctions.udf.CIQSPLIT(K10,I17,J10)</f>
        <v/>
      </c>
      <c r="E17" s="1505"/>
      <c r="F17" s="1546"/>
      <c r="G17" s="1527"/>
      <c r="H17" s="484"/>
      <c r="I17" s="2060">
        <v>8</v>
      </c>
      <c r="J17" s="126"/>
      <c r="K17" s="388"/>
    </row>
    <row r="18" spans="1:11" s="336" customFormat="1" ht="13.9">
      <c r="A18" s="1510" t="str">
        <f>IF(AND(C10&lt;&gt;"",ISBLANK(D18)),"y",IF(D18="","n",""))</f>
        <v>n</v>
      </c>
      <c r="B18" s="1510"/>
      <c r="C18" s="468"/>
      <c r="D18" s="2060" t="str">
        <f>_xll.ciqfunctions.udf.CIQSPLIT(K10,I18,J10)</f>
        <v/>
      </c>
      <c r="E18" s="1505"/>
      <c r="F18" s="1546"/>
      <c r="G18" s="1527"/>
      <c r="H18" s="484"/>
      <c r="I18" s="2060">
        <v>9</v>
      </c>
      <c r="J18" s="126"/>
      <c r="K18" s="388"/>
    </row>
    <row r="19" spans="1:11" s="336" customFormat="1" ht="13.9">
      <c r="A19" s="1510" t="str">
        <f>IF(AND(C10&lt;&gt;"",ISBLANK(D19)),"y",IF(D19="","n",""))</f>
        <v>n</v>
      </c>
      <c r="B19" s="1510"/>
      <c r="C19" s="468"/>
      <c r="D19" s="2060" t="str">
        <f>_xll.ciqfunctions.udf.CIQSPLIT(K10,I19,J10)</f>
        <v/>
      </c>
      <c r="E19" s="1505"/>
      <c r="F19" s="1546"/>
      <c r="G19" s="1527"/>
      <c r="H19" s="484"/>
      <c r="I19" s="2060">
        <v>10</v>
      </c>
      <c r="J19" s="126"/>
      <c r="K19" s="388"/>
    </row>
    <row r="20" spans="1:11" s="336" customFormat="1" ht="13.9">
      <c r="A20" s="1510" t="str">
        <f>IF(AND(C10&lt;&gt;"",ISBLANK(D20)),"y",IF(D20="","n",""))</f>
        <v>n</v>
      </c>
      <c r="B20" s="1510"/>
      <c r="C20" s="468"/>
      <c r="D20" s="2060" t="str">
        <f>_xll.ciqfunctions.udf.CIQSPLIT(K10,I20,J10)</f>
        <v/>
      </c>
      <c r="E20" s="1505"/>
      <c r="F20" s="1546"/>
      <c r="G20" s="1527"/>
      <c r="H20" s="484"/>
      <c r="I20" s="2060">
        <v>11</v>
      </c>
      <c r="J20" s="126"/>
      <c r="K20" s="388"/>
    </row>
    <row r="21" spans="1:11" s="336" customFormat="1" ht="13.9">
      <c r="A21" s="1510" t="str">
        <f>IF(AND(C10&lt;&gt;"",ISBLANK(D21)),"y",IF(D21="","n",""))</f>
        <v>n</v>
      </c>
      <c r="B21" s="1510"/>
      <c r="C21" s="468"/>
      <c r="D21" s="2060" t="str">
        <f>_xll.ciqfunctions.udf.CIQSPLIT(K10,I21,J10)</f>
        <v/>
      </c>
      <c r="E21" s="1505"/>
      <c r="F21" s="1546"/>
      <c r="G21" s="1527"/>
      <c r="H21" s="484"/>
      <c r="I21" s="2060">
        <v>12</v>
      </c>
      <c r="J21" s="126"/>
      <c r="K21" s="388"/>
    </row>
    <row r="22" spans="1:11" s="336" customFormat="1" ht="13.9">
      <c r="A22" s="1510" t="str">
        <f>IF(AND(C10&lt;&gt;"",ISBLANK(D22)),"y",IF(D22="","n",""))</f>
        <v>n</v>
      </c>
      <c r="B22" s="1510"/>
      <c r="C22" s="468"/>
      <c r="D22" s="2060" t="str">
        <f>_xll.ciqfunctions.udf.CIQSPLIT(K10,I22,J10)</f>
        <v/>
      </c>
      <c r="E22" s="1578"/>
      <c r="F22" s="1546"/>
      <c r="G22" s="1527"/>
      <c r="H22" s="484"/>
      <c r="I22" s="2060">
        <v>13</v>
      </c>
      <c r="J22" s="126"/>
      <c r="K22" s="388"/>
    </row>
    <row r="23" spans="1:11" s="336" customFormat="1" ht="13.9">
      <c r="A23" s="1510" t="str">
        <f>IF(AND(C10&lt;&gt;"",ISBLANK(D23)),"y",IF(D23="","n",""))</f>
        <v>n</v>
      </c>
      <c r="B23" s="1510"/>
      <c r="C23" s="468"/>
      <c r="D23" s="2060" t="str">
        <f>_xll.ciqfunctions.udf.CIQSPLIT(K10,I23,J10)</f>
        <v/>
      </c>
      <c r="E23" s="1505"/>
      <c r="F23" s="1546"/>
      <c r="G23" s="1527"/>
      <c r="H23" s="484"/>
      <c r="I23" s="2060">
        <v>14</v>
      </c>
      <c r="J23" s="126"/>
      <c r="K23" s="388"/>
    </row>
    <row r="24" spans="1:11" s="336" customFormat="1" ht="13.9">
      <c r="A24" s="1510" t="str">
        <f>IF(AND(C10&lt;&gt;"",ISBLANK(D24)),"y",IF(D24="","n",""))</f>
        <v>n</v>
      </c>
      <c r="B24" s="1510"/>
      <c r="C24" s="468"/>
      <c r="D24" s="468"/>
      <c r="E24" s="1505"/>
      <c r="F24" s="1546"/>
      <c r="G24" s="1527"/>
      <c r="H24" s="484"/>
      <c r="I24" s="2060"/>
      <c r="J24" s="126"/>
      <c r="K24" s="388"/>
    </row>
    <row r="25" spans="1:11" s="336" customFormat="1" ht="13.9">
      <c r="A25" s="1510" t="str">
        <f>IF(AND(C25&lt;&gt;"",ISBLANK(D25)),"y",IF(D25="","n",""))</f>
        <v>n</v>
      </c>
      <c r="B25" s="1510"/>
      <c r="C25" s="468" t="str">
        <f>Settings!$L$106</f>
        <v/>
      </c>
      <c r="D25" s="2060" t="str">
        <f>_xll.ciqfunctions.udf.CIQSPLIT(K25,I25,J25)</f>
        <v/>
      </c>
      <c r="E25" s="1505"/>
      <c r="F25" s="1546"/>
      <c r="G25" s="1527"/>
      <c r="H25" s="484" t="str">
        <f>Settings!$M$106</f>
        <v/>
      </c>
      <c r="I25" s="2060">
        <v>1</v>
      </c>
      <c r="J25" s="126">
        <v>170</v>
      </c>
      <c r="K25" s="388" t="str">
        <f>IF(H25="","",_xll.ciqfunctions.udf.CIQ(H25,"IQ_Business_Description"))</f>
        <v/>
      </c>
    </row>
    <row r="26" spans="1:11" s="336" customFormat="1" ht="13.9">
      <c r="A26" s="1510" t="str">
        <f>IF(AND(C25&lt;&gt;"",ISBLANK(D26)),"y",IF(D26="","n",""))</f>
        <v>n</v>
      </c>
      <c r="B26" s="1510"/>
      <c r="C26" s="468"/>
      <c r="D26" s="2060" t="str">
        <f>_xll.ciqfunctions.udf.CIQSPLIT(K25,I26,J25)</f>
        <v/>
      </c>
      <c r="E26" s="1505"/>
      <c r="F26" s="1546"/>
      <c r="G26" s="1527"/>
      <c r="H26" s="484"/>
      <c r="I26" s="2060">
        <v>2</v>
      </c>
      <c r="J26" s="126"/>
      <c r="K26" s="388"/>
    </row>
    <row r="27" spans="1:11" s="336" customFormat="1" ht="13.9">
      <c r="A27" s="1510" t="str">
        <f>IF(AND(C25&lt;&gt;"",ISBLANK(D27)),"y",IF(D27="","n",""))</f>
        <v>n</v>
      </c>
      <c r="B27" s="1510"/>
      <c r="C27" s="468"/>
      <c r="D27" s="2060" t="str">
        <f>_xll.ciqfunctions.udf.CIQSPLIT(K25,I27,J25)</f>
        <v/>
      </c>
      <c r="E27" s="1505"/>
      <c r="F27" s="1546"/>
      <c r="G27" s="1527"/>
      <c r="H27" s="484"/>
      <c r="I27" s="2060">
        <v>3</v>
      </c>
      <c r="J27" s="126"/>
      <c r="K27" s="388"/>
    </row>
    <row r="28" spans="1:11" s="336" customFormat="1" ht="13.9">
      <c r="A28" s="1510" t="str">
        <f>IF(AND(C25&lt;&gt;"",ISBLANK(D28)),"y",IF(D28="","n",""))</f>
        <v>n</v>
      </c>
      <c r="B28" s="1510"/>
      <c r="C28" s="468"/>
      <c r="D28" s="2060" t="str">
        <f>_xll.ciqfunctions.udf.CIQSPLIT(K25,I28,J25)</f>
        <v/>
      </c>
      <c r="E28" s="1505"/>
      <c r="F28" s="1546"/>
      <c r="G28" s="1527"/>
      <c r="H28" s="484"/>
      <c r="I28" s="2060">
        <v>4</v>
      </c>
      <c r="J28" s="126"/>
      <c r="K28" s="388"/>
    </row>
    <row r="29" spans="1:11" s="336" customFormat="1" ht="13.9">
      <c r="A29" s="1510" t="str">
        <f>IF(AND(C25&lt;&gt;"",ISBLANK(D29)),"y",IF(D29="","n",""))</f>
        <v>n</v>
      </c>
      <c r="B29" s="1510"/>
      <c r="C29" s="468"/>
      <c r="D29" s="2060" t="str">
        <f>_xll.ciqfunctions.udf.CIQSPLIT(K25,I29,J25)</f>
        <v/>
      </c>
      <c r="E29" s="1578"/>
      <c r="F29" s="1546"/>
      <c r="G29" s="1527"/>
      <c r="H29" s="484"/>
      <c r="I29" s="2060">
        <v>5</v>
      </c>
      <c r="J29" s="126"/>
      <c r="K29" s="388"/>
    </row>
    <row r="30" spans="1:11" s="336" customFormat="1" ht="13.9">
      <c r="A30" s="1510" t="str">
        <f>IF(AND(C25&lt;&gt;"",ISBLANK(D30)),"y",IF(D30="","n",""))</f>
        <v>n</v>
      </c>
      <c r="B30" s="1510"/>
      <c r="C30" s="468"/>
      <c r="D30" s="2060" t="str">
        <f>_xll.ciqfunctions.udf.CIQSPLIT(K25,I30,J25)</f>
        <v/>
      </c>
      <c r="E30" s="1505"/>
      <c r="F30" s="1546"/>
      <c r="G30" s="1527"/>
      <c r="H30" s="484"/>
      <c r="I30" s="2060">
        <v>6</v>
      </c>
      <c r="J30" s="126"/>
      <c r="K30" s="388"/>
    </row>
    <row r="31" spans="1:11" s="336" customFormat="1" ht="13.9">
      <c r="A31" s="1510" t="str">
        <f>IF(AND(C25&lt;&gt;"",ISBLANK(D31)),"y",IF(D31="","n",""))</f>
        <v>n</v>
      </c>
      <c r="B31" s="1510"/>
      <c r="C31" s="468"/>
      <c r="D31" s="2060" t="str">
        <f>_xll.ciqfunctions.udf.CIQSPLIT(K25,I31,J25)</f>
        <v/>
      </c>
      <c r="E31" s="1505"/>
      <c r="F31" s="1546"/>
      <c r="G31" s="1527"/>
      <c r="H31" s="484"/>
      <c r="I31" s="2060">
        <v>7</v>
      </c>
      <c r="J31" s="126"/>
      <c r="K31" s="388"/>
    </row>
    <row r="32" spans="1:11" ht="13.9">
      <c r="A32" s="1510" t="str">
        <f>IF(AND(C25&lt;&gt;"",ISBLANK(D32)),"y",IF(D32="","n",""))</f>
        <v>n</v>
      </c>
      <c r="B32" s="1510"/>
      <c r="C32" s="468"/>
      <c r="D32" s="2060" t="str">
        <f>_xll.ciqfunctions.udf.CIQSPLIT(K25,I32,J25)</f>
        <v/>
      </c>
      <c r="E32" s="1505"/>
      <c r="F32" s="1546"/>
      <c r="G32" s="1525"/>
      <c r="H32" s="484"/>
      <c r="I32" s="2060">
        <v>8</v>
      </c>
      <c r="J32" s="126"/>
      <c r="K32" s="388"/>
    </row>
    <row r="33" spans="1:15" ht="12" customHeight="1">
      <c r="A33" s="1510" t="str">
        <f>IF(AND(C25&lt;&gt;"",ISBLANK(D33)),"y",IF(D33="","n",""))</f>
        <v>n</v>
      </c>
      <c r="B33" s="1510"/>
      <c r="C33" s="468"/>
      <c r="D33" s="2060" t="str">
        <f>_xll.ciqfunctions.udf.CIQSPLIT(K25,I33,J25)</f>
        <v/>
      </c>
      <c r="E33" s="1505"/>
      <c r="F33" s="1546"/>
      <c r="G33" s="1525"/>
      <c r="H33" s="484"/>
      <c r="I33" s="2060">
        <v>9</v>
      </c>
      <c r="J33" s="126"/>
      <c r="K33" s="388"/>
      <c r="L33" s="1525"/>
      <c r="M33" s="1525"/>
      <c r="N33" s="1525"/>
      <c r="O33" s="1525"/>
    </row>
    <row r="34" spans="1:15" ht="12" customHeight="1">
      <c r="A34" s="1510" t="str">
        <f>IF(AND(C25&lt;&gt;"",ISBLANK(D34)),"y",IF(D34="","n",""))</f>
        <v>n</v>
      </c>
      <c r="B34" s="1510"/>
      <c r="C34" s="468"/>
      <c r="D34" s="2060" t="str">
        <f>_xll.ciqfunctions.udf.CIQSPLIT(K25,I34,J25)</f>
        <v/>
      </c>
      <c r="E34" s="1505"/>
      <c r="F34" s="1546"/>
      <c r="G34" s="1525"/>
      <c r="H34" s="484"/>
      <c r="I34" s="2060">
        <v>10</v>
      </c>
      <c r="J34" s="126"/>
      <c r="K34" s="388"/>
      <c r="L34" s="1525"/>
      <c r="M34" s="1525"/>
      <c r="N34" s="1525"/>
      <c r="O34" s="1525"/>
    </row>
    <row r="35" spans="1:15" ht="13.9">
      <c r="A35" s="1510" t="str">
        <f>IF(AND(C25&lt;&gt;"",ISBLANK(D35)),"y",IF(D35="","n",""))</f>
        <v>n</v>
      </c>
      <c r="B35" s="1510"/>
      <c r="C35" s="468"/>
      <c r="D35" s="2060" t="str">
        <f>_xll.ciqfunctions.udf.CIQSPLIT(K25,I35,J25)</f>
        <v/>
      </c>
      <c r="E35" s="1578"/>
      <c r="F35" s="1546"/>
      <c r="G35" s="1525"/>
      <c r="H35" s="484"/>
      <c r="I35" s="2060">
        <v>11</v>
      </c>
      <c r="J35" s="126"/>
      <c r="K35" s="388"/>
      <c r="L35" s="1525"/>
      <c r="M35" s="1525"/>
      <c r="N35" s="1525"/>
      <c r="O35" s="1525"/>
    </row>
    <row r="36" spans="1:15" ht="13.9">
      <c r="A36" s="1510" t="str">
        <f>IF(AND(C25&lt;&gt;"",ISBLANK(D36)),"y",IF(D36="","n",""))</f>
        <v>n</v>
      </c>
      <c r="B36" s="1510"/>
      <c r="C36" s="468"/>
      <c r="D36" s="2060" t="str">
        <f>_xll.ciqfunctions.udf.CIQSPLIT(K25,I36,J25)</f>
        <v/>
      </c>
      <c r="E36" s="1505"/>
      <c r="F36" s="1546"/>
      <c r="G36" s="1525"/>
      <c r="H36" s="484"/>
      <c r="I36" s="2060">
        <v>12</v>
      </c>
      <c r="J36" s="126"/>
      <c r="K36" s="388"/>
      <c r="L36" s="1525"/>
      <c r="M36" s="1525"/>
      <c r="N36" s="1525"/>
      <c r="O36" s="1525"/>
    </row>
    <row r="37" spans="1:15" ht="12" customHeight="1">
      <c r="A37" s="1510" t="str">
        <f>IF(AND(C25&lt;&gt;"",ISBLANK(D37)),"y",IF(D37="","n",""))</f>
        <v>n</v>
      </c>
      <c r="B37" s="1510"/>
      <c r="C37" s="468"/>
      <c r="D37" s="2060" t="str">
        <f>_xll.ciqfunctions.udf.CIQSPLIT(K25,I37,J25)</f>
        <v/>
      </c>
      <c r="E37" s="1505"/>
      <c r="F37" s="1546"/>
      <c r="G37" s="1525"/>
      <c r="H37" s="484"/>
      <c r="I37" s="2060">
        <v>13</v>
      </c>
      <c r="J37" s="126"/>
      <c r="K37" s="388"/>
      <c r="L37" s="1525"/>
      <c r="M37" s="1525"/>
      <c r="N37" s="1525"/>
      <c r="O37" s="1525"/>
    </row>
    <row r="38" spans="1:15" ht="12" customHeight="1">
      <c r="A38" s="1510" t="str">
        <f>IF(AND(C25&lt;&gt;"",ISBLANK(D38)),"y",IF(D38="","n",""))</f>
        <v>n</v>
      </c>
      <c r="B38" s="1510"/>
      <c r="C38" s="468"/>
      <c r="D38" s="2060" t="str">
        <f>_xll.ciqfunctions.udf.CIQSPLIT(K25,I38,J25)</f>
        <v/>
      </c>
      <c r="E38" s="1505"/>
      <c r="F38" s="1546"/>
      <c r="G38" s="1525"/>
      <c r="H38" s="484"/>
      <c r="I38" s="2060">
        <v>14</v>
      </c>
      <c r="J38" s="126"/>
      <c r="K38" s="388"/>
      <c r="L38" s="1525"/>
      <c r="M38" s="1525"/>
      <c r="N38" s="1525"/>
      <c r="O38" s="1525"/>
    </row>
    <row r="39" spans="1:15" ht="12" customHeight="1">
      <c r="A39" s="1510" t="str">
        <f>IF(AND(C25&lt;&gt;"",ISBLANK(D39)),"y",IF(D39="","n",""))</f>
        <v>n</v>
      </c>
      <c r="B39" s="1510"/>
      <c r="C39" s="468"/>
      <c r="D39" s="468"/>
      <c r="E39" s="1505"/>
      <c r="F39" s="1546"/>
      <c r="G39" s="1525"/>
      <c r="H39" s="1525"/>
      <c r="I39" s="1525"/>
      <c r="J39" s="1525"/>
      <c r="K39" s="1525"/>
      <c r="L39" s="1525"/>
      <c r="M39" s="1525"/>
      <c r="N39" s="1525"/>
      <c r="O39" s="1525"/>
    </row>
    <row r="40" spans="1:15" ht="12" customHeight="1">
      <c r="A40" s="1510" t="str">
        <f>IF(AND(C40&lt;&gt;"",ISBLANK(D40)),"y",IF(D40="","n",""))</f>
        <v>n</v>
      </c>
      <c r="B40" s="1510"/>
      <c r="C40" s="468" t="str">
        <f>Settings!$L$107</f>
        <v/>
      </c>
      <c r="D40" s="2060" t="str">
        <f>_xll.ciqfunctions.udf.CIQSPLIT(K40,I40,J40)</f>
        <v/>
      </c>
      <c r="E40" s="1505"/>
      <c r="F40" s="1546"/>
      <c r="G40" s="1527"/>
      <c r="H40" s="484" t="str">
        <f>Settings!$M$107</f>
        <v/>
      </c>
      <c r="I40" s="2060">
        <v>1</v>
      </c>
      <c r="J40" s="126">
        <v>170</v>
      </c>
      <c r="K40" s="388" t="str">
        <f>IF(H40="","",_xll.ciqfunctions.udf.CIQ(H40,"IQ_Business_Description"))</f>
        <v/>
      </c>
      <c r="L40" s="1527"/>
      <c r="M40" s="1527"/>
      <c r="N40" s="1527"/>
      <c r="O40" s="1527"/>
    </row>
    <row r="41" spans="1:15" ht="12.75" customHeight="1">
      <c r="A41" s="1510" t="str">
        <f>IF(AND(C40&lt;&gt;"",ISBLANK(D41)),"y",IF(D41="","n",""))</f>
        <v>n</v>
      </c>
      <c r="B41" s="1510"/>
      <c r="C41" s="468"/>
      <c r="D41" s="2060" t="str">
        <f>_xll.ciqfunctions.udf.CIQSPLIT(K40,I41,J40)</f>
        <v/>
      </c>
      <c r="E41" s="1505"/>
      <c r="F41" s="1546"/>
      <c r="G41" s="1527"/>
      <c r="H41" s="484"/>
      <c r="I41" s="2060">
        <v>2</v>
      </c>
      <c r="J41" s="126"/>
      <c r="K41" s="388"/>
      <c r="L41" s="1527"/>
      <c r="M41" s="1527"/>
      <c r="N41" s="1527"/>
      <c r="O41" s="1527"/>
    </row>
    <row r="42" spans="1:15" ht="13.9">
      <c r="A42" s="1510" t="str">
        <f>IF(AND(C40&lt;&gt;"",ISBLANK(D42)),"y",IF(D42="","n",""))</f>
        <v>n</v>
      </c>
      <c r="B42" s="1510"/>
      <c r="C42" s="468"/>
      <c r="D42" s="2060" t="str">
        <f>_xll.ciqfunctions.udf.CIQSPLIT(K40,I42,J40)</f>
        <v/>
      </c>
      <c r="E42" s="1505"/>
      <c r="F42" s="1546"/>
      <c r="G42" s="1527"/>
      <c r="H42" s="484"/>
      <c r="I42" s="2060">
        <v>3</v>
      </c>
      <c r="J42" s="126"/>
      <c r="K42" s="388"/>
      <c r="L42" s="1527"/>
      <c r="M42" s="1527"/>
      <c r="N42" s="1527"/>
      <c r="O42" s="1527"/>
    </row>
    <row r="43" spans="1:15" ht="13.9">
      <c r="A43" s="1510" t="str">
        <f>IF(AND(C40&lt;&gt;"",ISBLANK(D43)),"y",IF(D43="","n",""))</f>
        <v>n</v>
      </c>
      <c r="B43" s="1510"/>
      <c r="C43" s="468"/>
      <c r="D43" s="2060" t="str">
        <f>_xll.ciqfunctions.udf.CIQSPLIT(K40,I43,J40)</f>
        <v/>
      </c>
      <c r="E43" s="1505"/>
      <c r="F43" s="1546"/>
      <c r="G43" s="1527"/>
      <c r="H43" s="484"/>
      <c r="I43" s="2060">
        <v>4</v>
      </c>
      <c r="J43" s="126"/>
      <c r="K43" s="388"/>
      <c r="L43" s="1527"/>
      <c r="M43" s="1527"/>
      <c r="N43" s="1527"/>
      <c r="O43" s="1527"/>
    </row>
    <row r="44" spans="1:15" ht="13.9">
      <c r="A44" s="1510" t="str">
        <f>IF(AND(C40&lt;&gt;"",ISBLANK(D44)),"y",IF(D44="","n",""))</f>
        <v>n</v>
      </c>
      <c r="B44" s="1510"/>
      <c r="C44" s="468"/>
      <c r="D44" s="2060" t="str">
        <f>_xll.ciqfunctions.udf.CIQSPLIT(K40,I44,J40)</f>
        <v/>
      </c>
      <c r="E44" s="1505"/>
      <c r="F44" s="1546"/>
      <c r="G44" s="1527"/>
      <c r="H44" s="484"/>
      <c r="I44" s="2060">
        <v>5</v>
      </c>
      <c r="J44" s="126"/>
      <c r="K44" s="388"/>
      <c r="L44" s="1527"/>
      <c r="M44" s="1527"/>
      <c r="N44" s="1527"/>
      <c r="O44" s="1527"/>
    </row>
    <row r="45" spans="1:15" ht="13.9">
      <c r="A45" s="1510" t="str">
        <f>IF(AND(C40&lt;&gt;"",ISBLANK(D45)),"y",IF(D45="","n",""))</f>
        <v>n</v>
      </c>
      <c r="B45" s="1510"/>
      <c r="C45" s="468"/>
      <c r="D45" s="2060" t="str">
        <f>_xll.ciqfunctions.udf.CIQSPLIT(K40,I45,J40)</f>
        <v/>
      </c>
      <c r="E45" s="1505"/>
      <c r="F45" s="1546"/>
      <c r="G45" s="1527"/>
      <c r="H45" s="484"/>
      <c r="I45" s="2060">
        <v>6</v>
      </c>
      <c r="J45" s="126"/>
      <c r="K45" s="388"/>
      <c r="L45" s="1527"/>
      <c r="M45" s="1527"/>
      <c r="N45" s="1527"/>
      <c r="O45" s="1527"/>
    </row>
    <row r="46" spans="1:15" ht="13.9">
      <c r="A46" s="1510" t="str">
        <f>IF(AND(C40&lt;&gt;"",ISBLANK(D46)),"y",IF(D46="","n",""))</f>
        <v>n</v>
      </c>
      <c r="B46" s="1510"/>
      <c r="C46" s="468"/>
      <c r="D46" s="2060" t="str">
        <f>_xll.ciqfunctions.udf.CIQSPLIT(K40,I46,J40)</f>
        <v/>
      </c>
      <c r="E46" s="1505"/>
      <c r="F46" s="1546"/>
      <c r="G46" s="1527"/>
      <c r="H46" s="484"/>
      <c r="I46" s="2060">
        <v>7</v>
      </c>
      <c r="J46" s="126"/>
      <c r="K46" s="388"/>
      <c r="L46" s="1527"/>
      <c r="M46" s="1527"/>
      <c r="N46" s="1527"/>
      <c r="O46" s="1527"/>
    </row>
    <row r="47" spans="1:15" ht="13.9">
      <c r="A47" s="1510" t="str">
        <f>IF(AND(C40&lt;&gt;"",ISBLANK(D47)),"y",IF(D47="","n",""))</f>
        <v>n</v>
      </c>
      <c r="B47" s="1510"/>
      <c r="C47" s="468"/>
      <c r="D47" s="2060" t="str">
        <f>_xll.ciqfunctions.udf.CIQSPLIT(K40,I47,J40)</f>
        <v/>
      </c>
      <c r="E47" s="1505"/>
      <c r="F47" s="1546"/>
      <c r="G47" s="1525"/>
      <c r="H47" s="484"/>
      <c r="I47" s="2060">
        <v>8</v>
      </c>
      <c r="J47" s="126"/>
      <c r="K47" s="388"/>
      <c r="L47" s="1525"/>
      <c r="M47" s="1525"/>
      <c r="N47" s="1525"/>
      <c r="O47" s="1525"/>
    </row>
    <row r="48" spans="1:15" ht="12" customHeight="1">
      <c r="A48" s="1510" t="str">
        <f>IF(AND(C40&lt;&gt;"",ISBLANK(D48)),"y",IF(D48="","n",""))</f>
        <v>n</v>
      </c>
      <c r="B48" s="1510"/>
      <c r="C48" s="468"/>
      <c r="D48" s="2060" t="str">
        <f>_xll.ciqfunctions.udf.CIQSPLIT(K40,I48,J40)</f>
        <v/>
      </c>
      <c r="E48" s="1505"/>
      <c r="F48" s="1546"/>
      <c r="G48" s="1525"/>
      <c r="H48" s="484"/>
      <c r="I48" s="2060">
        <v>9</v>
      </c>
      <c r="J48" s="126"/>
      <c r="K48" s="388"/>
      <c r="L48" s="1525"/>
      <c r="M48" s="1525"/>
      <c r="N48" s="1525"/>
      <c r="O48" s="1525"/>
    </row>
    <row r="49" spans="1:13" ht="12" customHeight="1">
      <c r="A49" s="1510" t="str">
        <f>IF(AND(C40&lt;&gt;"",ISBLANK(D49)),"y",IF(D49="","n",""))</f>
        <v>n</v>
      </c>
      <c r="B49" s="1510"/>
      <c r="C49" s="468"/>
      <c r="D49" s="2060" t="str">
        <f>_xll.ciqfunctions.udf.CIQSPLIT(K40,I49,J40)</f>
        <v/>
      </c>
      <c r="E49" s="1578"/>
      <c r="F49" s="1546"/>
      <c r="G49" s="1525"/>
      <c r="H49" s="484"/>
      <c r="I49" s="2060">
        <v>10</v>
      </c>
      <c r="J49" s="126"/>
      <c r="K49" s="388"/>
      <c r="L49" s="1525"/>
      <c r="M49" s="1525"/>
    </row>
    <row r="50" spans="1:13" ht="12" customHeight="1">
      <c r="A50" s="1510" t="str">
        <f>IF(AND(C40&lt;&gt;"",ISBLANK(D50)),"y",IF(D50="","n",""))</f>
        <v>n</v>
      </c>
      <c r="B50" s="1510"/>
      <c r="C50" s="468"/>
      <c r="D50" s="2060" t="str">
        <f>_xll.ciqfunctions.udf.CIQSPLIT(K40,I50,J40)</f>
        <v/>
      </c>
      <c r="E50" s="1578"/>
      <c r="F50" s="1546"/>
      <c r="G50" s="1525"/>
      <c r="H50" s="484"/>
      <c r="I50" s="2060">
        <v>11</v>
      </c>
      <c r="J50" s="126"/>
      <c r="K50" s="388"/>
      <c r="L50" s="1525"/>
      <c r="M50" s="1525"/>
    </row>
    <row r="51" spans="1:13" ht="12" customHeight="1">
      <c r="A51" s="1510" t="str">
        <f>IF(AND(C40&lt;&gt;"",ISBLANK(D51)),"y",IF(D51="","n",""))</f>
        <v>n</v>
      </c>
      <c r="B51" s="1510"/>
      <c r="C51" s="468"/>
      <c r="D51" s="2060" t="str">
        <f>_xll.ciqfunctions.udf.CIQSPLIT(K40,I51,J40)</f>
        <v/>
      </c>
      <c r="E51" s="1578"/>
      <c r="F51" s="1546"/>
      <c r="G51" s="1525"/>
      <c r="H51" s="484"/>
      <c r="I51" s="2060">
        <v>12</v>
      </c>
      <c r="J51" s="126"/>
      <c r="K51" s="388"/>
      <c r="L51" s="1525"/>
      <c r="M51" s="1525"/>
    </row>
    <row r="52" spans="1:13" ht="12" customHeight="1">
      <c r="A52" s="1510" t="str">
        <f>IF(AND(C40&lt;&gt;"",ISBLANK(D52)),"y",IF(D52="","n",""))</f>
        <v>n</v>
      </c>
      <c r="B52" s="1510"/>
      <c r="C52" s="468"/>
      <c r="D52" s="2060" t="str">
        <f>_xll.ciqfunctions.udf.CIQSPLIT(K40,I52,J40)</f>
        <v/>
      </c>
      <c r="E52" s="1578"/>
      <c r="F52" s="1546"/>
      <c r="G52" s="1525"/>
      <c r="H52" s="484"/>
      <c r="I52" s="2060">
        <v>13</v>
      </c>
      <c r="J52" s="126"/>
      <c r="K52" s="388"/>
      <c r="L52" s="1525"/>
      <c r="M52" s="1525"/>
    </row>
    <row r="53" spans="1:13" ht="12" customHeight="1">
      <c r="A53" s="1510" t="str">
        <f>IF(AND(C40&lt;&gt;"",ISBLANK(D53)),"y",IF(D53="","n",""))</f>
        <v>n</v>
      </c>
      <c r="B53" s="1510"/>
      <c r="C53" s="468"/>
      <c r="D53" s="2060" t="str">
        <f>_xll.ciqfunctions.udf.CIQSPLIT(K40,I53,J40)</f>
        <v/>
      </c>
      <c r="E53" s="1578"/>
      <c r="F53" s="1546"/>
      <c r="G53" s="1525"/>
      <c r="H53" s="484"/>
      <c r="I53" s="2060">
        <v>14</v>
      </c>
      <c r="J53" s="126"/>
      <c r="K53" s="388"/>
      <c r="L53" s="1525"/>
      <c r="M53" s="1525"/>
    </row>
    <row r="54" spans="1:13" ht="12" customHeight="1">
      <c r="A54" s="1510" t="str">
        <f>IF(AND(C40&lt;&gt;"",ISBLANK(D54)),"y",IF(D54="","n",""))</f>
        <v>n</v>
      </c>
      <c r="B54" s="1510"/>
      <c r="C54" s="468"/>
      <c r="D54" s="468"/>
      <c r="E54" s="1578"/>
      <c r="F54" s="1546"/>
      <c r="G54" s="1525"/>
      <c r="H54" s="1525"/>
      <c r="I54" s="1525"/>
      <c r="J54" s="1525"/>
      <c r="K54" s="1525"/>
      <c r="L54" s="1525"/>
      <c r="M54" s="1525"/>
    </row>
    <row r="55" spans="1:13" ht="12" customHeight="1">
      <c r="A55" s="1510" t="str">
        <f>IF(AND(C55&lt;&gt;"",ISBLANK(D55)),"y",IF(D55="","n",""))</f>
        <v>n</v>
      </c>
      <c r="B55" s="1510"/>
      <c r="C55" s="468" t="str">
        <f>Settings!$L$108</f>
        <v/>
      </c>
      <c r="D55" s="2060" t="str">
        <f>_xll.ciqfunctions.udf.CIQSPLIT(K55,I55,J55)</f>
        <v/>
      </c>
      <c r="E55" s="1578"/>
      <c r="F55" s="1546"/>
      <c r="G55" s="1527"/>
      <c r="H55" s="484" t="str">
        <f>Settings!$M$108</f>
        <v/>
      </c>
      <c r="I55" s="2060">
        <v>1</v>
      </c>
      <c r="J55" s="126">
        <v>170</v>
      </c>
      <c r="K55" s="388" t="str">
        <f>IF(H55="","",_xll.ciqfunctions.udf.CIQ(H55,"IQ_Business_Description"))</f>
        <v/>
      </c>
      <c r="L55" s="1527"/>
      <c r="M55" s="1527"/>
    </row>
    <row r="56" spans="1:13" ht="12" customHeight="1">
      <c r="A56" s="1510" t="str">
        <f>IF(AND(C55&lt;&gt;"",ISBLANK(D56)),"y",IF(D56="","n",""))</f>
        <v>n</v>
      </c>
      <c r="B56" s="1510"/>
      <c r="C56" s="468"/>
      <c r="D56" s="2060" t="str">
        <f>_xll.ciqfunctions.udf.CIQSPLIT(K55,I56,J55)</f>
        <v/>
      </c>
      <c r="E56" s="1578"/>
      <c r="F56" s="1546"/>
      <c r="G56" s="1527"/>
      <c r="H56" s="484"/>
      <c r="I56" s="2060">
        <v>2</v>
      </c>
      <c r="J56" s="126"/>
      <c r="K56" s="388"/>
      <c r="L56" s="1527"/>
      <c r="M56" s="1527"/>
    </row>
    <row r="57" spans="1:13" ht="12" customHeight="1">
      <c r="A57" s="1510" t="str">
        <f>IF(AND(C55&lt;&gt;"",ISBLANK(D57)),"y",IF(D57="","n",""))</f>
        <v>n</v>
      </c>
      <c r="B57" s="1510"/>
      <c r="C57" s="468"/>
      <c r="D57" s="2060" t="str">
        <f>_xll.ciqfunctions.udf.CIQSPLIT(K55,I57,J55)</f>
        <v/>
      </c>
      <c r="E57" s="1578"/>
      <c r="F57" s="1546"/>
      <c r="G57" s="1527"/>
      <c r="H57" s="484"/>
      <c r="I57" s="2060">
        <v>3</v>
      </c>
      <c r="J57" s="126"/>
      <c r="K57" s="388"/>
      <c r="L57" s="1527"/>
      <c r="M57" s="1527"/>
    </row>
    <row r="58" spans="1:13" ht="12" customHeight="1">
      <c r="A58" s="1510" t="str">
        <f>IF(AND(C55&lt;&gt;"",ISBLANK(D58)),"y",IF(D58="","n",""))</f>
        <v>n</v>
      </c>
      <c r="B58" s="1510"/>
      <c r="C58" s="468"/>
      <c r="D58" s="2060" t="str">
        <f>_xll.ciqfunctions.udf.CIQSPLIT(K55,I58,J55)</f>
        <v/>
      </c>
      <c r="E58" s="1578"/>
      <c r="F58" s="1546"/>
      <c r="G58" s="1527"/>
      <c r="H58" s="484"/>
      <c r="I58" s="2060">
        <v>4</v>
      </c>
      <c r="J58" s="126"/>
      <c r="K58" s="388"/>
      <c r="L58" s="1527"/>
      <c r="M58" s="1527"/>
    </row>
    <row r="59" spans="1:13" ht="12" customHeight="1">
      <c r="A59" s="1510" t="str">
        <f>IF(AND(C55&lt;&gt;"",ISBLANK(D59)),"y",IF(D59="","n",""))</f>
        <v>n</v>
      </c>
      <c r="B59" s="1510"/>
      <c r="C59" s="468"/>
      <c r="D59" s="2060" t="str">
        <f>_xll.ciqfunctions.udf.CIQSPLIT(K55,I59,J55)</f>
        <v/>
      </c>
      <c r="E59" s="1578"/>
      <c r="F59" s="1546"/>
      <c r="G59" s="1527"/>
      <c r="H59" s="484"/>
      <c r="I59" s="2060">
        <v>5</v>
      </c>
      <c r="J59" s="126"/>
      <c r="K59" s="388"/>
      <c r="L59" s="1527"/>
      <c r="M59" s="1527"/>
    </row>
    <row r="60" spans="1:13" ht="12" customHeight="1">
      <c r="A60" s="1510" t="str">
        <f>IF(AND(C55&lt;&gt;"",ISBLANK(D60)),"y",IF(D60="","n",""))</f>
        <v>n</v>
      </c>
      <c r="B60" s="1510"/>
      <c r="C60" s="468"/>
      <c r="D60" s="2060" t="str">
        <f>_xll.ciqfunctions.udf.CIQSPLIT(K55,I60,J55)</f>
        <v/>
      </c>
      <c r="E60" s="1578"/>
      <c r="F60" s="1546"/>
      <c r="G60" s="1527"/>
      <c r="H60" s="484"/>
      <c r="I60" s="2060">
        <v>6</v>
      </c>
      <c r="J60" s="126"/>
      <c r="K60" s="388"/>
      <c r="L60" s="1527"/>
      <c r="M60" s="1527"/>
    </row>
    <row r="61" spans="1:13" ht="12" customHeight="1">
      <c r="A61" s="1510" t="str">
        <f>IF(AND(C55&lt;&gt;"",ISBLANK(D61)),"y",IF(D61="","n",""))</f>
        <v>n</v>
      </c>
      <c r="B61" s="1510"/>
      <c r="C61" s="468"/>
      <c r="D61" s="2060" t="str">
        <f>_xll.ciqfunctions.udf.CIQSPLIT(K55,I61,J55)</f>
        <v/>
      </c>
      <c r="E61" s="1578"/>
      <c r="F61" s="1546"/>
      <c r="G61" s="1527"/>
      <c r="H61" s="484"/>
      <c r="I61" s="2060">
        <v>7</v>
      </c>
      <c r="J61" s="126"/>
      <c r="K61" s="388"/>
      <c r="L61" s="1527"/>
      <c r="M61" s="1527"/>
    </row>
    <row r="62" spans="1:13" ht="12" customHeight="1">
      <c r="A62" s="1510" t="str">
        <f>IF(AND(C55&lt;&gt;"",ISBLANK(D62)),"y",IF(D62="","n",""))</f>
        <v>n</v>
      </c>
      <c r="B62" s="1510"/>
      <c r="C62" s="468"/>
      <c r="D62" s="2060" t="str">
        <f>_xll.ciqfunctions.udf.CIQSPLIT(K55,I62,J55)</f>
        <v/>
      </c>
      <c r="E62" s="1578"/>
      <c r="F62" s="1546"/>
      <c r="G62" s="1525"/>
      <c r="H62" s="484"/>
      <c r="I62" s="2060">
        <v>8</v>
      </c>
      <c r="J62" s="126"/>
      <c r="K62" s="388"/>
      <c r="L62" s="1525"/>
      <c r="M62" s="1525"/>
    </row>
    <row r="63" spans="1:13" ht="12" customHeight="1">
      <c r="A63" s="1510" t="str">
        <f>IF(AND(C55&lt;&gt;"",ISBLANK(D63)),"y",IF(D63="","n",""))</f>
        <v>n</v>
      </c>
      <c r="B63" s="1510"/>
      <c r="C63" s="468"/>
      <c r="D63" s="2060" t="str">
        <f>_xll.ciqfunctions.udf.CIQSPLIT(K55,I63,J55)</f>
        <v/>
      </c>
      <c r="E63" s="1578"/>
      <c r="F63" s="1546"/>
      <c r="G63" s="1525"/>
      <c r="H63" s="484"/>
      <c r="I63" s="2060">
        <v>9</v>
      </c>
      <c r="J63" s="126"/>
      <c r="K63" s="388"/>
      <c r="L63" s="1525"/>
      <c r="M63" s="1525"/>
    </row>
    <row r="64" spans="1:13" ht="12" customHeight="1">
      <c r="A64" s="1510" t="str">
        <f>IF(AND(C55&lt;&gt;"",ISBLANK(D64)),"y",IF(D64="","n",""))</f>
        <v>n</v>
      </c>
      <c r="B64" s="1510"/>
      <c r="C64" s="468"/>
      <c r="D64" s="2060" t="str">
        <f>_xll.ciqfunctions.udf.CIQSPLIT(K55,I64,J55)</f>
        <v/>
      </c>
      <c r="E64" s="1505"/>
      <c r="F64" s="1546"/>
      <c r="G64" s="1525"/>
      <c r="H64" s="484"/>
      <c r="I64" s="2060">
        <v>10</v>
      </c>
      <c r="J64" s="126"/>
      <c r="K64" s="388"/>
      <c r="L64" s="1525"/>
      <c r="M64" s="1525"/>
    </row>
    <row r="65" spans="1:11" ht="12" customHeight="1">
      <c r="A65" s="1510" t="str">
        <f>IF(AND(C55&lt;&gt;"",ISBLANK(D65)),"y",IF(D65="","n",""))</f>
        <v>n</v>
      </c>
      <c r="B65" s="1510"/>
      <c r="C65" s="468"/>
      <c r="D65" s="2060" t="str">
        <f>_xll.ciqfunctions.udf.CIQSPLIT(K55,I65,J55)</f>
        <v/>
      </c>
      <c r="E65" s="1505"/>
      <c r="F65" s="1546"/>
      <c r="G65" s="1525"/>
      <c r="H65" s="484"/>
      <c r="I65" s="2060">
        <v>11</v>
      </c>
      <c r="J65" s="126"/>
      <c r="K65" s="388"/>
    </row>
    <row r="66" spans="1:11" ht="12" customHeight="1">
      <c r="A66" s="1510" t="str">
        <f>IF(AND(C55&lt;&gt;"",ISBLANK(D66)),"y",IF(D66="","n",""))</f>
        <v>n</v>
      </c>
      <c r="B66" s="1510"/>
      <c r="C66" s="468"/>
      <c r="D66" s="2060" t="str">
        <f>_xll.ciqfunctions.udf.CIQSPLIT(K55,I66,J55)</f>
        <v/>
      </c>
      <c r="E66" s="1578"/>
      <c r="F66" s="1546"/>
      <c r="G66" s="1525"/>
      <c r="H66" s="484"/>
      <c r="I66" s="2060">
        <v>12</v>
      </c>
      <c r="J66" s="126"/>
      <c r="K66" s="388"/>
    </row>
    <row r="67" spans="1:11" ht="12" customHeight="1">
      <c r="A67" s="1510" t="str">
        <f>IF(AND(C55&lt;&gt;"",ISBLANK(D67)),"y",IF(D67="","n",""))</f>
        <v>n</v>
      </c>
      <c r="B67" s="1510"/>
      <c r="C67" s="468"/>
      <c r="D67" s="2060" t="str">
        <f>_xll.ciqfunctions.udf.CIQSPLIT(K55,I67,J55)</f>
        <v/>
      </c>
      <c r="E67" s="1578"/>
      <c r="F67" s="1546"/>
      <c r="G67" s="1525"/>
      <c r="H67" s="484"/>
      <c r="I67" s="2060">
        <v>13</v>
      </c>
      <c r="J67" s="126"/>
      <c r="K67" s="388"/>
    </row>
    <row r="68" spans="1:11" ht="12" customHeight="1">
      <c r="A68" s="1510" t="str">
        <f>IF(AND(C55&lt;&gt;"",ISBLANK(D68)),"y",IF(D68="","n",""))</f>
        <v>n</v>
      </c>
      <c r="B68" s="1510"/>
      <c r="C68" s="468"/>
      <c r="D68" s="2060" t="str">
        <f>_xll.ciqfunctions.udf.CIQSPLIT(K55,I68,J55)</f>
        <v/>
      </c>
      <c r="E68" s="1578"/>
      <c r="F68" s="1546"/>
      <c r="G68" s="1525"/>
      <c r="H68" s="484"/>
      <c r="I68" s="2060">
        <v>14</v>
      </c>
      <c r="J68" s="126"/>
      <c r="K68" s="388"/>
    </row>
    <row r="69" spans="1:11" ht="12" customHeight="1">
      <c r="A69" s="1510" t="str">
        <f>IF(AND(C55&lt;&gt;"",ISBLANK(D69)),"y",IF(D69="","n",""))</f>
        <v>n</v>
      </c>
      <c r="B69" s="1510"/>
      <c r="C69" s="468"/>
      <c r="D69" s="468"/>
      <c r="E69" s="468"/>
      <c r="F69" s="1546"/>
      <c r="G69" s="1525"/>
      <c r="H69" s="1525"/>
      <c r="I69" s="1525"/>
      <c r="J69" s="1525"/>
      <c r="K69" s="1525"/>
    </row>
    <row r="70" spans="1:11" ht="12" customHeight="1">
      <c r="A70" s="1557" t="str">
        <f>A1</f>
        <v>n</v>
      </c>
      <c r="B70" s="1510"/>
      <c r="C70" s="529" t="s">
        <v>1402</v>
      </c>
      <c r="D70" s="607"/>
      <c r="E70" s="607"/>
      <c r="F70" s="1546"/>
      <c r="G70" s="1525"/>
      <c r="H70" s="1525"/>
      <c r="I70" s="1525"/>
      <c r="J70" s="1525"/>
      <c r="K70" s="1525"/>
    </row>
    <row r="71" spans="1:11" ht="12" customHeight="1">
      <c r="A71" s="1510" t="s">
        <v>17</v>
      </c>
      <c r="B71" s="1510"/>
      <c r="C71" s="1557"/>
      <c r="D71" s="1557"/>
      <c r="E71" s="1546" t="str">
        <f>IF(A72="y","Continue","Page end")</f>
        <v>Page end</v>
      </c>
      <c r="F71" s="1510"/>
      <c r="G71" s="1525"/>
      <c r="H71" s="1525"/>
      <c r="I71" s="1525"/>
      <c r="J71" s="1525"/>
      <c r="K71" s="1525"/>
    </row>
    <row r="72" spans="1:11" ht="18" customHeight="1">
      <c r="A72" s="1510" t="str">
        <f>IF(COUNTIF(A81:A140,"y"),"y","n")</f>
        <v>n</v>
      </c>
      <c r="B72" s="1557"/>
      <c r="C72" s="838" t="str">
        <f>ClientName</f>
        <v/>
      </c>
      <c r="D72" s="292"/>
      <c r="E72" s="389" t="str">
        <f>$E$1&amp;" (contd.)"</f>
        <v>Workpaper 7 (contd.)</v>
      </c>
      <c r="F72" s="1557"/>
      <c r="G72" s="1525"/>
      <c r="H72" s="1525"/>
      <c r="I72" s="1525"/>
      <c r="J72" s="1525"/>
      <c r="K72" s="1525"/>
    </row>
    <row r="73" spans="1:11" ht="18" customHeight="1">
      <c r="A73" s="1510" t="str">
        <f>A72</f>
        <v>n</v>
      </c>
      <c r="B73" s="1557"/>
      <c r="C73" s="838" t="str">
        <f>CoNameHeading</f>
        <v>Client Name</v>
      </c>
      <c r="D73" s="369"/>
      <c r="E73" s="1525"/>
      <c r="F73" s="1557"/>
      <c r="G73" s="1525"/>
      <c r="H73" s="1525"/>
      <c r="I73" s="1525"/>
      <c r="J73" s="1525"/>
      <c r="K73" s="1525"/>
    </row>
    <row r="74" spans="1:11" s="1027" customFormat="1" ht="18" customHeight="1">
      <c r="A74" s="1510" t="str">
        <f>A72</f>
        <v>n</v>
      </c>
      <c r="B74" s="1557"/>
      <c r="C74" s="839" t="s">
        <v>1711</v>
      </c>
      <c r="D74" s="369"/>
      <c r="E74" s="1525"/>
      <c r="F74" s="1557"/>
      <c r="G74" s="1525"/>
      <c r="H74" s="1525"/>
      <c r="I74" s="1525"/>
      <c r="J74" s="1525"/>
      <c r="K74" s="1525"/>
    </row>
    <row r="75" spans="1:11" ht="18" customHeight="1">
      <c r="A75" s="1510" t="str">
        <f>A72</f>
        <v>n</v>
      </c>
      <c r="B75" s="1557"/>
      <c r="C75" s="840" t="str">
        <f>"Valuation as of "&amp; TEXT(Valuation_date,"d mmmm yyyy")</f>
        <v>Valuation as of 28 February 2017</v>
      </c>
      <c r="D75" s="2062"/>
      <c r="E75" s="1525"/>
      <c r="F75" s="1557"/>
      <c r="G75" s="1525"/>
      <c r="H75" s="1525"/>
      <c r="I75" s="1525"/>
      <c r="J75" s="1525"/>
      <c r="K75" s="1525"/>
    </row>
    <row r="76" spans="1:11" ht="12" customHeight="1">
      <c r="A76" s="1510" t="str">
        <f>A72</f>
        <v>n</v>
      </c>
      <c r="B76" s="1557"/>
      <c r="C76" s="840"/>
      <c r="D76" s="366"/>
      <c r="E76" s="1525"/>
      <c r="F76" s="1557"/>
      <c r="G76" s="1525"/>
      <c r="H76" s="1525"/>
      <c r="I76" s="1525"/>
      <c r="J76" s="1525"/>
      <c r="K76" s="1525"/>
    </row>
    <row r="77" spans="1:11" ht="12" customHeight="1">
      <c r="A77" s="1510" t="str">
        <f>A72</f>
        <v>n</v>
      </c>
      <c r="B77" s="1557"/>
      <c r="C77" s="340"/>
      <c r="D77" s="1526"/>
      <c r="E77" s="1525"/>
      <c r="F77" s="1557"/>
      <c r="G77" s="1525"/>
      <c r="H77" s="1525"/>
      <c r="I77" s="1525"/>
      <c r="J77" s="1525"/>
      <c r="K77" s="1525"/>
    </row>
    <row r="78" spans="1:11" ht="12" customHeight="1">
      <c r="A78" s="1510" t="str">
        <f>A72</f>
        <v>n</v>
      </c>
      <c r="B78" s="1557"/>
      <c r="C78" s="342"/>
      <c r="D78" s="341"/>
      <c r="E78" s="1525"/>
      <c r="F78" s="1557"/>
      <c r="G78" s="1525"/>
      <c r="H78" s="1525"/>
      <c r="I78" s="1525"/>
      <c r="J78" s="1525"/>
      <c r="K78" s="1525"/>
    </row>
    <row r="79" spans="1:11" ht="12" customHeight="1">
      <c r="A79" s="1510" t="str">
        <f>A72</f>
        <v>n</v>
      </c>
      <c r="B79" s="1557"/>
      <c r="C79" s="1299" t="s">
        <v>1712</v>
      </c>
      <c r="D79" s="1300" t="s">
        <v>1713</v>
      </c>
      <c r="E79" s="404"/>
      <c r="F79" s="1557"/>
      <c r="G79" s="1525"/>
      <c r="H79" s="1525"/>
      <c r="I79" s="1525"/>
      <c r="J79" s="1525"/>
      <c r="K79" s="1525"/>
    </row>
    <row r="80" spans="1:11" s="1525" customFormat="1" ht="12" customHeight="1">
      <c r="A80" s="1510" t="str">
        <f>A72</f>
        <v>n</v>
      </c>
      <c r="B80" s="1557"/>
      <c r="C80" s="1818"/>
      <c r="D80" s="607"/>
      <c r="E80" s="631"/>
      <c r="F80" s="1557"/>
    </row>
    <row r="81" spans="1:11" s="336" customFormat="1" ht="13.9">
      <c r="A81" s="1510" t="str">
        <f>IF(AND(C81&lt;&gt;"",ISBLANK(D81)),"y",IF(D81="","n",""))</f>
        <v>n</v>
      </c>
      <c r="B81" s="1510"/>
      <c r="C81" s="468" t="str">
        <f>Settings!$L$109</f>
        <v/>
      </c>
      <c r="D81" s="2060" t="str">
        <f>_xll.ciqfunctions.udf.CIQSPLIT(K81,I81,J81)</f>
        <v/>
      </c>
      <c r="E81" s="2060"/>
      <c r="F81" s="1546"/>
      <c r="G81" s="1527"/>
      <c r="H81" s="484" t="str">
        <f>Settings!$M$109</f>
        <v/>
      </c>
      <c r="I81" s="2060">
        <v>1</v>
      </c>
      <c r="J81" s="126">
        <v>170</v>
      </c>
      <c r="K81" s="388" t="str">
        <f>IF(H81="","",_xll.ciqfunctions.udf.CIQ(H81,"IQ_Business_Description"))</f>
        <v/>
      </c>
    </row>
    <row r="82" spans="1:11" s="336" customFormat="1" ht="13.9">
      <c r="A82" s="1510" t="str">
        <f>IF(AND(C81&lt;&gt;"",ISBLANK(D82)),"y",IF(D82="","n",""))</f>
        <v>n</v>
      </c>
      <c r="B82" s="1510"/>
      <c r="C82" s="468"/>
      <c r="D82" s="2060" t="str">
        <f>_xll.ciqfunctions.udf.CIQSPLIT(K81,I82,J81)</f>
        <v/>
      </c>
      <c r="E82" s="2060"/>
      <c r="F82" s="1546"/>
      <c r="G82" s="1527"/>
      <c r="H82" s="484"/>
      <c r="I82" s="2060">
        <v>2</v>
      </c>
      <c r="J82" s="126"/>
      <c r="K82" s="388"/>
    </row>
    <row r="83" spans="1:11" s="336" customFormat="1" ht="13.9">
      <c r="A83" s="1510" t="str">
        <f>IF(AND(C81&lt;&gt;"",ISBLANK(D83)),"y",IF(D83="","n",""))</f>
        <v>n</v>
      </c>
      <c r="B83" s="1510"/>
      <c r="C83" s="468"/>
      <c r="D83" s="2060" t="str">
        <f>_xll.ciqfunctions.udf.CIQSPLIT(K81,I83,J81)</f>
        <v/>
      </c>
      <c r="E83" s="2060"/>
      <c r="F83" s="1546"/>
      <c r="G83" s="1527"/>
      <c r="H83" s="484"/>
      <c r="I83" s="2060">
        <v>3</v>
      </c>
      <c r="J83" s="126"/>
      <c r="K83" s="388"/>
    </row>
    <row r="84" spans="1:11" s="336" customFormat="1" ht="13.9">
      <c r="A84" s="1510" t="str">
        <f>IF(AND(C81&lt;&gt;"",ISBLANK(D84)),"y",IF(D84="","n",""))</f>
        <v>n</v>
      </c>
      <c r="B84" s="1510"/>
      <c r="C84" s="468"/>
      <c r="D84" s="2060" t="str">
        <f>_xll.ciqfunctions.udf.CIQSPLIT(K81,I84,J81)</f>
        <v/>
      </c>
      <c r="E84" s="2060"/>
      <c r="F84" s="1546"/>
      <c r="G84" s="1527"/>
      <c r="H84" s="484"/>
      <c r="I84" s="2060">
        <v>4</v>
      </c>
      <c r="J84" s="126"/>
      <c r="K84" s="388"/>
    </row>
    <row r="85" spans="1:11" s="336" customFormat="1" ht="13.9">
      <c r="A85" s="1510" t="str">
        <f>IF(AND(C81&lt;&gt;"",ISBLANK(D85)),"y",IF(D85="","n",""))</f>
        <v>n</v>
      </c>
      <c r="B85" s="1510"/>
      <c r="C85" s="468"/>
      <c r="D85" s="2060" t="str">
        <f>_xll.ciqfunctions.udf.CIQSPLIT(K81,I85,J81)</f>
        <v/>
      </c>
      <c r="E85" s="2060"/>
      <c r="F85" s="1546"/>
      <c r="G85" s="1527"/>
      <c r="H85" s="484"/>
      <c r="I85" s="2060">
        <v>5</v>
      </c>
      <c r="J85" s="126"/>
      <c r="K85" s="388"/>
    </row>
    <row r="86" spans="1:11" s="336" customFormat="1" ht="13.9">
      <c r="A86" s="1510" t="str">
        <f>IF(AND(C81&lt;&gt;"",ISBLANK(D86)),"y",IF(D86="","n",""))</f>
        <v>n</v>
      </c>
      <c r="B86" s="1510"/>
      <c r="C86" s="468"/>
      <c r="D86" s="2060" t="str">
        <f>_xll.ciqfunctions.udf.CIQSPLIT(K81,I86,J81)</f>
        <v/>
      </c>
      <c r="E86" s="2060"/>
      <c r="F86" s="1546"/>
      <c r="G86" s="1527"/>
      <c r="H86" s="484"/>
      <c r="I86" s="2060">
        <v>6</v>
      </c>
      <c r="J86" s="126"/>
      <c r="K86" s="388"/>
    </row>
    <row r="87" spans="1:11" s="336" customFormat="1" ht="13.9">
      <c r="A87" s="1510" t="str">
        <f>IF(AND(C81&lt;&gt;"",ISBLANK(D87)),"y",IF(D87="","n",""))</f>
        <v>n</v>
      </c>
      <c r="B87" s="1510"/>
      <c r="C87" s="468"/>
      <c r="D87" s="2060" t="str">
        <f>_xll.ciqfunctions.udf.CIQSPLIT(K81,I87,J81)</f>
        <v/>
      </c>
      <c r="E87" s="2060"/>
      <c r="F87" s="1546"/>
      <c r="G87" s="1527"/>
      <c r="H87" s="484"/>
      <c r="I87" s="2060">
        <v>7</v>
      </c>
      <c r="J87" s="126"/>
      <c r="K87" s="388"/>
    </row>
    <row r="88" spans="1:11" s="336" customFormat="1" ht="13.9">
      <c r="A88" s="1510" t="str">
        <f>IF(AND(C81&lt;&gt;"",ISBLANK(D88)),"y",IF(D88="","n",""))</f>
        <v>n</v>
      </c>
      <c r="B88" s="1510"/>
      <c r="C88" s="468"/>
      <c r="D88" s="2060" t="str">
        <f>_xll.ciqfunctions.udf.CIQSPLIT(K81,I88,J81)</f>
        <v/>
      </c>
      <c r="E88" s="2060"/>
      <c r="F88" s="1546"/>
      <c r="G88" s="1527"/>
      <c r="H88" s="484"/>
      <c r="I88" s="2060">
        <v>8</v>
      </c>
      <c r="J88" s="126"/>
      <c r="K88" s="388"/>
    </row>
    <row r="89" spans="1:11" s="336" customFormat="1" ht="13.9">
      <c r="A89" s="1510" t="str">
        <f>IF(AND(C81&lt;&gt;"",ISBLANK(D89)),"y",IF(D89="","n",""))</f>
        <v>n</v>
      </c>
      <c r="B89" s="1510"/>
      <c r="C89" s="468"/>
      <c r="D89" s="2060" t="str">
        <f>_xll.ciqfunctions.udf.CIQSPLIT(K81,I89,J81)</f>
        <v/>
      </c>
      <c r="E89" s="2060"/>
      <c r="F89" s="1546"/>
      <c r="G89" s="1527"/>
      <c r="H89" s="484"/>
      <c r="I89" s="2060">
        <v>9</v>
      </c>
      <c r="J89" s="126"/>
      <c r="K89" s="388"/>
    </row>
    <row r="90" spans="1:11" s="336" customFormat="1" ht="13.9">
      <c r="A90" s="1510" t="str">
        <f>IF(AND(C81&lt;&gt;"",ISBLANK(D90)),"y",IF(D90="","n",""))</f>
        <v>n</v>
      </c>
      <c r="B90" s="1510"/>
      <c r="C90" s="468"/>
      <c r="D90" s="2060" t="str">
        <f>_xll.ciqfunctions.udf.CIQSPLIT(K81,I90,J81)</f>
        <v/>
      </c>
      <c r="E90" s="2060"/>
      <c r="F90" s="1546"/>
      <c r="G90" s="1527"/>
      <c r="H90" s="484"/>
      <c r="I90" s="2060">
        <v>10</v>
      </c>
      <c r="J90" s="126"/>
      <c r="K90" s="388"/>
    </row>
    <row r="91" spans="1:11" s="336" customFormat="1" ht="13.9">
      <c r="A91" s="1510" t="str">
        <f>IF(AND(C81&lt;&gt;"",ISBLANK(D91)),"y",IF(D91="","n",""))</f>
        <v>n</v>
      </c>
      <c r="B91" s="1510"/>
      <c r="C91" s="468"/>
      <c r="D91" s="2060" t="str">
        <f>_xll.ciqfunctions.udf.CIQSPLIT(K81,I91,J81)</f>
        <v/>
      </c>
      <c r="E91" s="2060"/>
      <c r="F91" s="1546"/>
      <c r="G91" s="1527"/>
      <c r="H91" s="484"/>
      <c r="I91" s="2060">
        <v>11</v>
      </c>
      <c r="J91" s="126"/>
      <c r="K91" s="388"/>
    </row>
    <row r="92" spans="1:11" s="336" customFormat="1" ht="13.9">
      <c r="A92" s="1510" t="str">
        <f>IF(AND(C81&lt;&gt;"",ISBLANK(D92)),"y",IF(D92="","n",""))</f>
        <v>n</v>
      </c>
      <c r="B92" s="1510"/>
      <c r="C92" s="468"/>
      <c r="D92" s="2060" t="str">
        <f>_xll.ciqfunctions.udf.CIQSPLIT(K81,I92,J81)</f>
        <v/>
      </c>
      <c r="E92" s="2060"/>
      <c r="F92" s="1546"/>
      <c r="G92" s="1527"/>
      <c r="H92" s="484"/>
      <c r="I92" s="2060">
        <v>12</v>
      </c>
      <c r="J92" s="126"/>
      <c r="K92" s="388"/>
    </row>
    <row r="93" spans="1:11" s="336" customFormat="1" ht="13.9">
      <c r="A93" s="1510" t="str">
        <f>IF(AND(C81&lt;&gt;"",ISBLANK(D93)),"y",IF(D93="","n",""))</f>
        <v>n</v>
      </c>
      <c r="B93" s="1510"/>
      <c r="C93" s="468"/>
      <c r="D93" s="2060" t="str">
        <f>_xll.ciqfunctions.udf.CIQSPLIT(K81,I93,J81)</f>
        <v/>
      </c>
      <c r="E93" s="2060"/>
      <c r="F93" s="1546"/>
      <c r="G93" s="1527"/>
      <c r="H93" s="484"/>
      <c r="I93" s="2060">
        <v>13</v>
      </c>
      <c r="J93" s="126"/>
      <c r="K93" s="388"/>
    </row>
    <row r="94" spans="1:11" s="336" customFormat="1" ht="13.9">
      <c r="A94" s="1510" t="str">
        <f>IF(AND(C81&lt;&gt;"",ISBLANK(D94)),"y",IF(D94="","n",""))</f>
        <v>n</v>
      </c>
      <c r="B94" s="1510"/>
      <c r="C94" s="468"/>
      <c r="D94" s="2060" t="str">
        <f>_xll.ciqfunctions.udf.CIQSPLIT(K81,I94,J81)</f>
        <v/>
      </c>
      <c r="E94" s="2060"/>
      <c r="F94" s="1546"/>
      <c r="G94" s="1527"/>
      <c r="H94" s="484"/>
      <c r="I94" s="2060">
        <v>14</v>
      </c>
      <c r="J94" s="126"/>
      <c r="K94" s="388"/>
    </row>
    <row r="95" spans="1:11" s="336" customFormat="1" ht="13.9">
      <c r="A95" s="1510" t="str">
        <f>IF(AND(C81&lt;&gt;"",ISBLANK(D95)),"y",IF(D95="","n",""))</f>
        <v>n</v>
      </c>
      <c r="B95" s="1510"/>
      <c r="C95" s="468"/>
      <c r="D95" s="468"/>
      <c r="E95" s="2060"/>
      <c r="F95" s="1546"/>
      <c r="G95" s="1527"/>
      <c r="H95" s="484"/>
      <c r="I95" s="2060"/>
      <c r="J95" s="126"/>
      <c r="K95" s="388"/>
    </row>
    <row r="96" spans="1:11" s="336" customFormat="1" ht="13.9">
      <c r="A96" s="1510" t="str">
        <f>IF(AND(C96&lt;&gt;"",ISBLANK(D96)),"y",IF(D96="","n",""))</f>
        <v>n</v>
      </c>
      <c r="B96" s="1510"/>
      <c r="C96" s="468" t="str">
        <f>Settings!$L$110</f>
        <v/>
      </c>
      <c r="D96" s="2060" t="str">
        <f>_xll.ciqfunctions.udf.CIQSPLIT(K96,I96,J96)</f>
        <v/>
      </c>
      <c r="E96" s="2060"/>
      <c r="F96" s="1546"/>
      <c r="G96" s="1527"/>
      <c r="H96" s="484" t="str">
        <f>Settings!$M$110</f>
        <v/>
      </c>
      <c r="I96" s="2060">
        <v>1</v>
      </c>
      <c r="J96" s="126">
        <v>170</v>
      </c>
      <c r="K96" s="388" t="str">
        <f>IF(H96="","",_xll.ciqfunctions.udf.CIQ(H96,"IQ_Business_Description"))</f>
        <v/>
      </c>
    </row>
    <row r="97" spans="1:15" s="336" customFormat="1" ht="13.9">
      <c r="A97" s="1510" t="str">
        <f>IF(AND(C96&lt;&gt;"",ISBLANK(D97)),"y",IF(D97="","n",""))</f>
        <v>n</v>
      </c>
      <c r="B97" s="1510"/>
      <c r="C97" s="468"/>
      <c r="D97" s="2060" t="str">
        <f>_xll.ciqfunctions.udf.CIQSPLIT(K96,I97,J96)</f>
        <v/>
      </c>
      <c r="E97" s="2060"/>
      <c r="F97" s="1546"/>
      <c r="G97" s="1527"/>
      <c r="H97" s="484"/>
      <c r="I97" s="2060">
        <v>2</v>
      </c>
      <c r="J97" s="126"/>
      <c r="K97" s="388"/>
      <c r="L97" s="1527"/>
      <c r="M97" s="1527"/>
      <c r="N97" s="1527"/>
      <c r="O97" s="1527"/>
    </row>
    <row r="98" spans="1:15" s="336" customFormat="1" ht="13.9">
      <c r="A98" s="1510" t="str">
        <f>IF(AND(C96&lt;&gt;"",ISBLANK(D98)),"y",IF(D98="","n",""))</f>
        <v>n</v>
      </c>
      <c r="B98" s="1510"/>
      <c r="C98" s="468"/>
      <c r="D98" s="2060" t="str">
        <f>_xll.ciqfunctions.udf.CIQSPLIT(K96,I98,J96)</f>
        <v/>
      </c>
      <c r="E98" s="2060"/>
      <c r="F98" s="1546"/>
      <c r="G98" s="1527"/>
      <c r="H98" s="484"/>
      <c r="I98" s="2060">
        <v>3</v>
      </c>
      <c r="J98" s="126"/>
      <c r="K98" s="388"/>
      <c r="L98" s="1527"/>
      <c r="M98" s="1527"/>
      <c r="N98" s="1527"/>
      <c r="O98" s="1527"/>
    </row>
    <row r="99" spans="1:15" s="336" customFormat="1" ht="13.9">
      <c r="A99" s="1510" t="str">
        <f>IF(AND(C96&lt;&gt;"",ISBLANK(D99)),"y",IF(D99="","n",""))</f>
        <v>n</v>
      </c>
      <c r="B99" s="1510"/>
      <c r="C99" s="468"/>
      <c r="D99" s="2060" t="str">
        <f>_xll.ciqfunctions.udf.CIQSPLIT(K96,I99,J96)</f>
        <v/>
      </c>
      <c r="E99" s="2060"/>
      <c r="F99" s="1546"/>
      <c r="G99" s="1527"/>
      <c r="H99" s="484"/>
      <c r="I99" s="2060">
        <v>4</v>
      </c>
      <c r="J99" s="126"/>
      <c r="K99" s="388"/>
      <c r="L99" s="1527"/>
      <c r="M99" s="1527"/>
      <c r="N99" s="1527"/>
      <c r="O99" s="1527"/>
    </row>
    <row r="100" spans="1:15" s="336" customFormat="1" ht="13.9">
      <c r="A100" s="1510" t="str">
        <f>IF(AND(C96&lt;&gt;"",ISBLANK(D100)),"y",IF(D100="","n",""))</f>
        <v>n</v>
      </c>
      <c r="B100" s="1510"/>
      <c r="C100" s="468"/>
      <c r="D100" s="2060" t="str">
        <f>_xll.ciqfunctions.udf.CIQSPLIT(K96,I100,J96)</f>
        <v/>
      </c>
      <c r="E100" s="2060"/>
      <c r="F100" s="1546"/>
      <c r="G100" s="1527"/>
      <c r="H100" s="484"/>
      <c r="I100" s="2060">
        <v>5</v>
      </c>
      <c r="J100" s="126"/>
      <c r="K100" s="388"/>
      <c r="L100" s="1527"/>
      <c r="M100" s="1527"/>
      <c r="N100" s="1527"/>
      <c r="O100" s="1527"/>
    </row>
    <row r="101" spans="1:15" s="336" customFormat="1" ht="13.9">
      <c r="A101" s="1510" t="str">
        <f>IF(AND(C96&lt;&gt;"",ISBLANK(D101)),"y",IF(D101="","n",""))</f>
        <v>n</v>
      </c>
      <c r="B101" s="1510"/>
      <c r="C101" s="468"/>
      <c r="D101" s="2060" t="str">
        <f>_xll.ciqfunctions.udf.CIQSPLIT(K96,I101,J96)</f>
        <v/>
      </c>
      <c r="E101" s="2060"/>
      <c r="F101" s="1546"/>
      <c r="G101" s="1527"/>
      <c r="H101" s="484"/>
      <c r="I101" s="2060">
        <v>6</v>
      </c>
      <c r="J101" s="126"/>
      <c r="K101" s="388"/>
      <c r="L101" s="1527"/>
      <c r="M101" s="1527"/>
      <c r="N101" s="1527"/>
      <c r="O101" s="1527"/>
    </row>
    <row r="102" spans="1:15" s="336" customFormat="1" ht="13.9">
      <c r="A102" s="1510" t="str">
        <f>IF(AND(C96&lt;&gt;"",ISBLANK(D102)),"y",IF(D102="","n",""))</f>
        <v>n</v>
      </c>
      <c r="B102" s="1510"/>
      <c r="C102" s="468"/>
      <c r="D102" s="2060" t="str">
        <f>_xll.ciqfunctions.udf.CIQSPLIT(K96,I102,J96)</f>
        <v/>
      </c>
      <c r="E102" s="2060"/>
      <c r="F102" s="1546"/>
      <c r="G102" s="1527"/>
      <c r="H102" s="484"/>
      <c r="I102" s="2060">
        <v>7</v>
      </c>
      <c r="J102" s="126"/>
      <c r="K102" s="388"/>
      <c r="L102" s="1527"/>
      <c r="M102" s="1527"/>
      <c r="N102" s="1527"/>
      <c r="O102" s="1527"/>
    </row>
    <row r="103" spans="1:15" ht="13.9">
      <c r="A103" s="1510" t="str">
        <f>IF(AND(C96&lt;&gt;"",ISBLANK(D103)),"y",IF(D103="","n",""))</f>
        <v>n</v>
      </c>
      <c r="B103" s="1510"/>
      <c r="C103" s="468"/>
      <c r="D103" s="2060" t="str">
        <f>_xll.ciqfunctions.udf.CIQSPLIT(K96,I103,J96)</f>
        <v/>
      </c>
      <c r="E103" s="2060"/>
      <c r="F103" s="1546"/>
      <c r="G103" s="1525"/>
      <c r="H103" s="484"/>
      <c r="I103" s="2060">
        <v>8</v>
      </c>
      <c r="J103" s="126"/>
      <c r="K103" s="388"/>
      <c r="L103" s="1525"/>
      <c r="M103" s="1525"/>
      <c r="N103" s="1525"/>
      <c r="O103" s="1525"/>
    </row>
    <row r="104" spans="1:15" ht="12" customHeight="1">
      <c r="A104" s="1510" t="str">
        <f>IF(AND(C96&lt;&gt;"",ISBLANK(D104)),"y",IF(D104="","n",""))</f>
        <v>n</v>
      </c>
      <c r="B104" s="1510"/>
      <c r="C104" s="468"/>
      <c r="D104" s="2060" t="str">
        <f>_xll.ciqfunctions.udf.CIQSPLIT(K96,I104,J96)</f>
        <v/>
      </c>
      <c r="E104" s="2060"/>
      <c r="F104" s="1546"/>
      <c r="G104" s="1525"/>
      <c r="H104" s="484"/>
      <c r="I104" s="2060">
        <v>9</v>
      </c>
      <c r="J104" s="126"/>
      <c r="K104" s="388"/>
      <c r="L104" s="1525"/>
      <c r="M104" s="1525"/>
      <c r="N104" s="1525"/>
      <c r="O104" s="1525"/>
    </row>
    <row r="105" spans="1:15" ht="12" customHeight="1">
      <c r="A105" s="1510" t="str">
        <f>IF(AND(C96&lt;&gt;"",ISBLANK(D105)),"y",IF(D105="","n",""))</f>
        <v>n</v>
      </c>
      <c r="B105" s="1510"/>
      <c r="C105" s="468"/>
      <c r="D105" s="2060" t="str">
        <f>_xll.ciqfunctions.udf.CIQSPLIT(K96,I105,J96)</f>
        <v/>
      </c>
      <c r="E105" s="2060"/>
      <c r="F105" s="1546"/>
      <c r="G105" s="1525"/>
      <c r="H105" s="484"/>
      <c r="I105" s="2060">
        <v>10</v>
      </c>
      <c r="J105" s="126"/>
      <c r="K105" s="388"/>
      <c r="L105" s="1525"/>
      <c r="M105" s="1525"/>
      <c r="N105" s="1525"/>
      <c r="O105" s="1525"/>
    </row>
    <row r="106" spans="1:15" ht="13.9">
      <c r="A106" s="1510" t="str">
        <f>IF(AND(C96&lt;&gt;"",ISBLANK(D106)),"y",IF(D106="","n",""))</f>
        <v>n</v>
      </c>
      <c r="B106" s="1510"/>
      <c r="C106" s="468"/>
      <c r="D106" s="2060" t="str">
        <f>_xll.ciqfunctions.udf.CIQSPLIT(K96,I106,J96)</f>
        <v/>
      </c>
      <c r="E106" s="2060"/>
      <c r="F106" s="1546"/>
      <c r="G106" s="1525"/>
      <c r="H106" s="484"/>
      <c r="I106" s="2060">
        <v>11</v>
      </c>
      <c r="J106" s="126"/>
      <c r="K106" s="388"/>
      <c r="L106" s="1525"/>
      <c r="M106" s="1525"/>
      <c r="N106" s="1525"/>
      <c r="O106" s="1525"/>
    </row>
    <row r="107" spans="1:15" ht="13.9">
      <c r="A107" s="1510" t="str">
        <f>IF(AND(C96&lt;&gt;"",ISBLANK(D107)),"y",IF(D107="","n",""))</f>
        <v>n</v>
      </c>
      <c r="B107" s="1510"/>
      <c r="C107" s="468"/>
      <c r="D107" s="2060" t="str">
        <f>_xll.ciqfunctions.udf.CIQSPLIT(K96,I107,J96)</f>
        <v/>
      </c>
      <c r="E107" s="2060"/>
      <c r="F107" s="1546"/>
      <c r="G107" s="1525"/>
      <c r="H107" s="484"/>
      <c r="I107" s="2060">
        <v>12</v>
      </c>
      <c r="J107" s="126"/>
      <c r="K107" s="388"/>
      <c r="L107" s="1525"/>
      <c r="M107" s="1525"/>
      <c r="N107" s="1525"/>
      <c r="O107" s="1525"/>
    </row>
    <row r="108" spans="1:15" ht="12" customHeight="1">
      <c r="A108" s="1510" t="str">
        <f>IF(AND(C96&lt;&gt;"",ISBLANK(D108)),"y",IF(D108="","n",""))</f>
        <v>n</v>
      </c>
      <c r="B108" s="1510"/>
      <c r="C108" s="468"/>
      <c r="D108" s="2060" t="str">
        <f>_xll.ciqfunctions.udf.CIQSPLIT(K96,I108,J96)</f>
        <v/>
      </c>
      <c r="E108" s="2060"/>
      <c r="F108" s="1546"/>
      <c r="G108" s="1525"/>
      <c r="H108" s="484"/>
      <c r="I108" s="2060">
        <v>13</v>
      </c>
      <c r="J108" s="126"/>
      <c r="K108" s="388"/>
      <c r="L108" s="1525"/>
      <c r="M108" s="1525"/>
      <c r="N108" s="1525"/>
      <c r="O108" s="1525"/>
    </row>
    <row r="109" spans="1:15" ht="12" customHeight="1">
      <c r="A109" s="1510" t="str">
        <f>IF(AND(C96&lt;&gt;"",ISBLANK(D109)),"y",IF(D109="","n",""))</f>
        <v>n</v>
      </c>
      <c r="B109" s="1510"/>
      <c r="C109" s="468"/>
      <c r="D109" s="2060" t="str">
        <f>_xll.ciqfunctions.udf.CIQSPLIT(K96,I109,J96)</f>
        <v/>
      </c>
      <c r="E109" s="2060"/>
      <c r="F109" s="1546"/>
      <c r="G109" s="1525"/>
      <c r="H109" s="484"/>
      <c r="I109" s="2060">
        <v>14</v>
      </c>
      <c r="J109" s="126"/>
      <c r="K109" s="388"/>
      <c r="L109" s="1525"/>
      <c r="M109" s="1525"/>
      <c r="N109" s="1525"/>
      <c r="O109" s="1525"/>
    </row>
    <row r="110" spans="1:15" ht="12" customHeight="1">
      <c r="A110" s="1510" t="str">
        <f>IF(AND(C96&lt;&gt;"",ISBLANK(D110)),"y",IF(D110="","n",""))</f>
        <v>n</v>
      </c>
      <c r="B110" s="1510"/>
      <c r="C110" s="468"/>
      <c r="D110" s="468"/>
      <c r="E110" s="2060"/>
      <c r="F110" s="1546"/>
      <c r="G110" s="1525"/>
      <c r="H110" s="1525"/>
      <c r="I110" s="1525"/>
      <c r="J110" s="1525"/>
      <c r="K110" s="1525"/>
      <c r="L110" s="1525"/>
      <c r="M110" s="1525"/>
      <c r="N110" s="1525"/>
      <c r="O110" s="1525"/>
    </row>
    <row r="111" spans="1:15" ht="12" customHeight="1">
      <c r="A111" s="1510" t="str">
        <f>IF(AND(C111&lt;&gt;"",ISBLANK(D111)),"y",IF(D111="","n",""))</f>
        <v>n</v>
      </c>
      <c r="B111" s="1510"/>
      <c r="C111" s="468" t="str">
        <f>Settings!$L$111</f>
        <v/>
      </c>
      <c r="D111" s="2060" t="str">
        <f>_xll.ciqfunctions.udf.CIQSPLIT(K111,I111,J111)</f>
        <v/>
      </c>
      <c r="E111" s="2060"/>
      <c r="F111" s="1546"/>
      <c r="G111" s="1527"/>
      <c r="H111" s="484" t="str">
        <f>Settings!$M$111</f>
        <v/>
      </c>
      <c r="I111" s="2060">
        <v>1</v>
      </c>
      <c r="J111" s="126">
        <v>170</v>
      </c>
      <c r="K111" s="388" t="str">
        <f>IF(H111="","",_xll.ciqfunctions.udf.CIQ(H111,"IQ_Business_Description"))</f>
        <v/>
      </c>
      <c r="L111" s="1527"/>
      <c r="M111" s="1527"/>
      <c r="N111" s="1527"/>
      <c r="O111" s="1527"/>
    </row>
    <row r="112" spans="1:15" ht="12.75" customHeight="1">
      <c r="A112" s="1510" t="str">
        <f>IF(AND(C111&lt;&gt;"",ISBLANK(D112)),"y",IF(D112="","n",""))</f>
        <v>n</v>
      </c>
      <c r="B112" s="1510"/>
      <c r="C112" s="468"/>
      <c r="D112" s="2060" t="str">
        <f>_xll.ciqfunctions.udf.CIQSPLIT(K111,I112,J111)</f>
        <v/>
      </c>
      <c r="E112" s="2060"/>
      <c r="F112" s="1546"/>
      <c r="G112" s="1527"/>
      <c r="H112" s="484"/>
      <c r="I112" s="2060">
        <v>2</v>
      </c>
      <c r="J112" s="126"/>
      <c r="K112" s="388"/>
      <c r="L112" s="1527"/>
      <c r="M112" s="1527"/>
      <c r="N112" s="1527"/>
      <c r="O112" s="1527"/>
    </row>
    <row r="113" spans="1:15" ht="13.9">
      <c r="A113" s="1510" t="str">
        <f>IF(AND(C111&lt;&gt;"",ISBLANK(D113)),"y",IF(D113="","n",""))</f>
        <v>n</v>
      </c>
      <c r="B113" s="1510"/>
      <c r="C113" s="468"/>
      <c r="D113" s="2060" t="str">
        <f>_xll.ciqfunctions.udf.CIQSPLIT(K111,I113,J111)</f>
        <v/>
      </c>
      <c r="E113" s="2060"/>
      <c r="F113" s="1546"/>
      <c r="G113" s="1527"/>
      <c r="H113" s="484"/>
      <c r="I113" s="2060">
        <v>3</v>
      </c>
      <c r="J113" s="126"/>
      <c r="K113" s="388"/>
      <c r="L113" s="1527"/>
      <c r="M113" s="1527"/>
      <c r="N113" s="1527"/>
      <c r="O113" s="1527"/>
    </row>
    <row r="114" spans="1:15" ht="13.9">
      <c r="A114" s="1510" t="str">
        <f>IF(AND(C111&lt;&gt;"",ISBLANK(D114)),"y",IF(D114="","n",""))</f>
        <v>n</v>
      </c>
      <c r="B114" s="1510"/>
      <c r="C114" s="468"/>
      <c r="D114" s="2060" t="str">
        <f>_xll.ciqfunctions.udf.CIQSPLIT(K111,I114,J111)</f>
        <v/>
      </c>
      <c r="E114" s="2060"/>
      <c r="F114" s="1546"/>
      <c r="G114" s="1527"/>
      <c r="H114" s="484"/>
      <c r="I114" s="2060">
        <v>4</v>
      </c>
      <c r="J114" s="126"/>
      <c r="K114" s="388"/>
      <c r="L114" s="1527"/>
      <c r="M114" s="1527"/>
      <c r="N114" s="1527"/>
      <c r="O114" s="1527"/>
    </row>
    <row r="115" spans="1:15" ht="13.9">
      <c r="A115" s="1510" t="str">
        <f>IF(AND(C111&lt;&gt;"",ISBLANK(D115)),"y",IF(D115="","n",""))</f>
        <v>n</v>
      </c>
      <c r="B115" s="1510"/>
      <c r="C115" s="468"/>
      <c r="D115" s="2060" t="str">
        <f>_xll.ciqfunctions.udf.CIQSPLIT(K111,I115,J111)</f>
        <v/>
      </c>
      <c r="E115" s="2060"/>
      <c r="F115" s="1546"/>
      <c r="G115" s="1527"/>
      <c r="H115" s="484"/>
      <c r="I115" s="2060">
        <v>5</v>
      </c>
      <c r="J115" s="126"/>
      <c r="K115" s="388"/>
      <c r="L115" s="1527"/>
      <c r="M115" s="1527"/>
      <c r="N115" s="1527"/>
      <c r="O115" s="1527"/>
    </row>
    <row r="116" spans="1:15" ht="13.9">
      <c r="A116" s="1510" t="str">
        <f>IF(AND(C111&lt;&gt;"",ISBLANK(D116)),"y",IF(D116="","n",""))</f>
        <v>n</v>
      </c>
      <c r="B116" s="1510"/>
      <c r="C116" s="468"/>
      <c r="D116" s="2060" t="str">
        <f>_xll.ciqfunctions.udf.CIQSPLIT(K111,I116,J111)</f>
        <v/>
      </c>
      <c r="E116" s="2060"/>
      <c r="F116" s="1546"/>
      <c r="G116" s="1527"/>
      <c r="H116" s="484"/>
      <c r="I116" s="2060">
        <v>6</v>
      </c>
      <c r="J116" s="126"/>
      <c r="K116" s="388"/>
      <c r="L116" s="1527"/>
      <c r="M116" s="1527"/>
      <c r="N116" s="1527"/>
      <c r="O116" s="1527"/>
    </row>
    <row r="117" spans="1:15" ht="13.9">
      <c r="A117" s="1510" t="str">
        <f>IF(AND(C111&lt;&gt;"",ISBLANK(D117)),"y",IF(D117="","n",""))</f>
        <v>n</v>
      </c>
      <c r="B117" s="1510"/>
      <c r="C117" s="468"/>
      <c r="D117" s="2060" t="str">
        <f>_xll.ciqfunctions.udf.CIQSPLIT(K111,I117,J111)</f>
        <v/>
      </c>
      <c r="E117" s="2060"/>
      <c r="F117" s="1546"/>
      <c r="G117" s="1527"/>
      <c r="H117" s="484"/>
      <c r="I117" s="2060">
        <v>7</v>
      </c>
      <c r="J117" s="126"/>
      <c r="K117" s="388"/>
      <c r="L117" s="1527"/>
      <c r="M117" s="1527"/>
      <c r="N117" s="1527"/>
      <c r="O117" s="1527"/>
    </row>
    <row r="118" spans="1:15" ht="13.9">
      <c r="A118" s="1510" t="str">
        <f>IF(AND(C111&lt;&gt;"",ISBLANK(D118)),"y",IF(D118="","n",""))</f>
        <v>n</v>
      </c>
      <c r="B118" s="1510"/>
      <c r="C118" s="468"/>
      <c r="D118" s="2060" t="str">
        <f>_xll.ciqfunctions.udf.CIQSPLIT(K111,I118,J111)</f>
        <v/>
      </c>
      <c r="E118" s="2060"/>
      <c r="F118" s="1546"/>
      <c r="G118" s="1525"/>
      <c r="H118" s="484"/>
      <c r="I118" s="2060">
        <v>8</v>
      </c>
      <c r="J118" s="126"/>
      <c r="K118" s="388"/>
      <c r="L118" s="1525"/>
      <c r="M118" s="1525"/>
      <c r="N118" s="1525"/>
      <c r="O118" s="1525"/>
    </row>
    <row r="119" spans="1:15" ht="12" customHeight="1">
      <c r="A119" s="1510" t="str">
        <f>IF(AND(C111&lt;&gt;"",ISBLANK(D119)),"y",IF(D119="","n",""))</f>
        <v>n</v>
      </c>
      <c r="B119" s="1510"/>
      <c r="C119" s="468"/>
      <c r="D119" s="2060" t="str">
        <f>_xll.ciqfunctions.udf.CIQSPLIT(K111,I119,J111)</f>
        <v/>
      </c>
      <c r="E119" s="2060"/>
      <c r="F119" s="1546"/>
      <c r="G119" s="1525"/>
      <c r="H119" s="484"/>
      <c r="I119" s="2060">
        <v>9</v>
      </c>
      <c r="J119" s="126"/>
      <c r="K119" s="388"/>
      <c r="L119" s="1525"/>
      <c r="M119" s="1525"/>
      <c r="N119" s="1525"/>
      <c r="O119" s="1525"/>
    </row>
    <row r="120" spans="1:15" ht="12" customHeight="1">
      <c r="A120" s="1510" t="str">
        <f>IF(AND(C111&lt;&gt;"",ISBLANK(D120)),"y",IF(D120="","n",""))</f>
        <v>n</v>
      </c>
      <c r="B120" s="1510"/>
      <c r="C120" s="468"/>
      <c r="D120" s="2060" t="str">
        <f>_xll.ciqfunctions.udf.CIQSPLIT(K111,I120,J111)</f>
        <v/>
      </c>
      <c r="E120" s="2060"/>
      <c r="F120" s="1546"/>
      <c r="G120" s="1525"/>
      <c r="H120" s="484"/>
      <c r="I120" s="2060">
        <v>10</v>
      </c>
      <c r="J120" s="126"/>
      <c r="K120" s="388"/>
      <c r="L120" s="1525"/>
      <c r="M120" s="1525"/>
      <c r="N120" s="1525"/>
      <c r="O120" s="1525"/>
    </row>
    <row r="121" spans="1:15" ht="12" customHeight="1">
      <c r="A121" s="1510" t="str">
        <f>IF(AND(C111&lt;&gt;"",ISBLANK(D121)),"y",IF(D121="","n",""))</f>
        <v>n</v>
      </c>
      <c r="B121" s="1510"/>
      <c r="C121" s="468"/>
      <c r="D121" s="2060" t="str">
        <f>_xll.ciqfunctions.udf.CIQSPLIT(K111,I121,J111)</f>
        <v/>
      </c>
      <c r="E121" s="2060"/>
      <c r="F121" s="1546"/>
      <c r="G121" s="1525"/>
      <c r="H121" s="484"/>
      <c r="I121" s="2060">
        <v>11</v>
      </c>
      <c r="J121" s="126"/>
      <c r="K121" s="388"/>
      <c r="L121" s="1525"/>
      <c r="M121" s="1525"/>
      <c r="N121" s="1525"/>
      <c r="O121" s="1525"/>
    </row>
    <row r="122" spans="1:15" ht="12" customHeight="1">
      <c r="A122" s="1510" t="str">
        <f>IF(AND(C111&lt;&gt;"",ISBLANK(D122)),"y",IF(D122="","n",""))</f>
        <v>n</v>
      </c>
      <c r="B122" s="1510"/>
      <c r="C122" s="468"/>
      <c r="D122" s="2060" t="str">
        <f>_xll.ciqfunctions.udf.CIQSPLIT(K111,I122,J111)</f>
        <v/>
      </c>
      <c r="E122" s="2060"/>
      <c r="F122" s="1546"/>
      <c r="G122" s="1525"/>
      <c r="H122" s="484"/>
      <c r="I122" s="2060">
        <v>12</v>
      </c>
      <c r="J122" s="126"/>
      <c r="K122" s="388"/>
      <c r="L122" s="1525"/>
      <c r="M122" s="1525"/>
      <c r="N122" s="1525"/>
      <c r="O122" s="1525"/>
    </row>
    <row r="123" spans="1:15" ht="12" customHeight="1">
      <c r="A123" s="1510" t="str">
        <f>IF(AND(C111&lt;&gt;"",ISBLANK(D123)),"y",IF(D123="","n",""))</f>
        <v>n</v>
      </c>
      <c r="B123" s="1510"/>
      <c r="C123" s="468"/>
      <c r="D123" s="2060" t="str">
        <f>_xll.ciqfunctions.udf.CIQSPLIT(K111,I123,J111)</f>
        <v/>
      </c>
      <c r="E123" s="2060"/>
      <c r="F123" s="1546"/>
      <c r="G123" s="1525"/>
      <c r="H123" s="484"/>
      <c r="I123" s="2060">
        <v>13</v>
      </c>
      <c r="J123" s="126"/>
      <c r="K123" s="388"/>
      <c r="L123" s="1525"/>
      <c r="M123" s="1525"/>
      <c r="N123" s="1525"/>
      <c r="O123" s="1525"/>
    </row>
    <row r="124" spans="1:15" ht="12" customHeight="1">
      <c r="A124" s="1510" t="str">
        <f>IF(AND(C111&lt;&gt;"",ISBLANK(D124)),"y",IF(D124="","n",""))</f>
        <v>n</v>
      </c>
      <c r="B124" s="1510"/>
      <c r="C124" s="468"/>
      <c r="D124" s="2060" t="str">
        <f>_xll.ciqfunctions.udf.CIQSPLIT(K111,I124,J111)</f>
        <v/>
      </c>
      <c r="E124" s="2060"/>
      <c r="F124" s="1546"/>
      <c r="G124" s="1525"/>
      <c r="H124" s="484"/>
      <c r="I124" s="2060">
        <v>14</v>
      </c>
      <c r="J124" s="126"/>
      <c r="K124" s="388"/>
      <c r="L124" s="1525"/>
      <c r="M124" s="1525"/>
      <c r="N124" s="1525"/>
      <c r="O124" s="1525"/>
    </row>
    <row r="125" spans="1:15" ht="12" customHeight="1">
      <c r="A125" s="1510" t="str">
        <f>IF(AND(C111&lt;&gt;"",ISBLANK(D125)),"y",IF(D125="","n",""))</f>
        <v>n</v>
      </c>
      <c r="B125" s="1510"/>
      <c r="C125" s="468"/>
      <c r="D125" s="468"/>
      <c r="E125" s="2060"/>
      <c r="F125" s="1546"/>
      <c r="G125" s="1525"/>
      <c r="H125" s="1525"/>
      <c r="I125" s="1525"/>
      <c r="J125" s="1525"/>
      <c r="K125" s="1525"/>
      <c r="L125" s="1525"/>
      <c r="M125" s="1525"/>
      <c r="N125" s="1525"/>
      <c r="O125" s="1525"/>
    </row>
    <row r="126" spans="1:15" ht="12" customHeight="1">
      <c r="A126" s="1510" t="str">
        <f>IF(AND(C126&lt;&gt;"",ISBLANK(D126)),"y",IF(D126="","n",""))</f>
        <v>n</v>
      </c>
      <c r="B126" s="1510"/>
      <c r="C126" s="468" t="str">
        <f>Settings!$L$112</f>
        <v/>
      </c>
      <c r="D126" s="2060" t="str">
        <f>_xll.ciqfunctions.udf.CIQSPLIT(K126,I126,J126)</f>
        <v/>
      </c>
      <c r="E126" s="2060"/>
      <c r="F126" s="1546"/>
      <c r="G126" s="1527"/>
      <c r="H126" s="484" t="str">
        <f>Settings!$M$112</f>
        <v/>
      </c>
      <c r="I126" s="2060">
        <v>1</v>
      </c>
      <c r="J126" s="126">
        <v>170</v>
      </c>
      <c r="K126" s="388" t="str">
        <f>IF(H126="","",_xll.ciqfunctions.udf.CIQ(H126,"IQ_Business_Description"))</f>
        <v/>
      </c>
      <c r="L126" s="1527"/>
      <c r="M126" s="1527"/>
      <c r="N126" s="1525"/>
      <c r="O126" s="1525"/>
    </row>
    <row r="127" spans="1:15" ht="12" customHeight="1">
      <c r="A127" s="1510" t="str">
        <f>IF(AND(C126&lt;&gt;"",ISBLANK(D127)),"y",IF(D127="","n",""))</f>
        <v>n</v>
      </c>
      <c r="B127" s="1510"/>
      <c r="C127" s="468"/>
      <c r="D127" s="2060" t="str">
        <f>_xll.ciqfunctions.udf.CIQSPLIT(K126,I127,J126)</f>
        <v/>
      </c>
      <c r="E127" s="2060"/>
      <c r="F127" s="1546"/>
      <c r="G127" s="1527"/>
      <c r="H127" s="484"/>
      <c r="I127" s="2060">
        <v>2</v>
      </c>
      <c r="J127" s="126"/>
      <c r="K127" s="388"/>
      <c r="L127" s="1527"/>
      <c r="M127" s="1527"/>
      <c r="N127" s="1525"/>
      <c r="O127" s="1525"/>
    </row>
    <row r="128" spans="1:15" ht="12" customHeight="1">
      <c r="A128" s="1510" t="str">
        <f>IF(AND(C126&lt;&gt;"",ISBLANK(D128)),"y",IF(D128="","n",""))</f>
        <v>n</v>
      </c>
      <c r="B128" s="1510"/>
      <c r="C128" s="468"/>
      <c r="D128" s="2060" t="str">
        <f>_xll.ciqfunctions.udf.CIQSPLIT(K126,I128,J126)</f>
        <v/>
      </c>
      <c r="E128" s="2060"/>
      <c r="F128" s="1546"/>
      <c r="G128" s="1527"/>
      <c r="H128" s="484"/>
      <c r="I128" s="2060">
        <v>3</v>
      </c>
      <c r="J128" s="126"/>
      <c r="K128" s="388"/>
      <c r="L128" s="1527"/>
      <c r="M128" s="1527"/>
      <c r="N128" s="1525"/>
      <c r="O128" s="1525"/>
    </row>
    <row r="129" spans="1:13" ht="12" customHeight="1">
      <c r="A129" s="1510" t="str">
        <f>IF(AND(C126&lt;&gt;"",ISBLANK(D129)),"y",IF(D129="","n",""))</f>
        <v>n</v>
      </c>
      <c r="B129" s="1510"/>
      <c r="C129" s="468"/>
      <c r="D129" s="2060" t="str">
        <f>_xll.ciqfunctions.udf.CIQSPLIT(K126,I129,J126)</f>
        <v/>
      </c>
      <c r="E129" s="2060"/>
      <c r="F129" s="1546"/>
      <c r="G129" s="1527"/>
      <c r="H129" s="484"/>
      <c r="I129" s="2060">
        <v>4</v>
      </c>
      <c r="J129" s="126"/>
      <c r="K129" s="388"/>
      <c r="L129" s="1527"/>
      <c r="M129" s="1527"/>
    </row>
    <row r="130" spans="1:13" ht="12" customHeight="1">
      <c r="A130" s="1510" t="str">
        <f>IF(AND(C126&lt;&gt;"",ISBLANK(D130)),"y",IF(D130="","n",""))</f>
        <v>n</v>
      </c>
      <c r="B130" s="1510"/>
      <c r="C130" s="468"/>
      <c r="D130" s="2060" t="str">
        <f>_xll.ciqfunctions.udf.CIQSPLIT(K126,I130,J126)</f>
        <v/>
      </c>
      <c r="E130" s="2060"/>
      <c r="F130" s="1546"/>
      <c r="G130" s="1527"/>
      <c r="H130" s="484"/>
      <c r="I130" s="2060">
        <v>5</v>
      </c>
      <c r="J130" s="126"/>
      <c r="K130" s="388"/>
      <c r="L130" s="1527"/>
      <c r="M130" s="1527"/>
    </row>
    <row r="131" spans="1:13" ht="12" customHeight="1">
      <c r="A131" s="1510" t="str">
        <f>IF(AND(C126&lt;&gt;"",ISBLANK(D131)),"y",IF(D131="","n",""))</f>
        <v>n</v>
      </c>
      <c r="B131" s="1510"/>
      <c r="C131" s="468"/>
      <c r="D131" s="2060" t="str">
        <f>_xll.ciqfunctions.udf.CIQSPLIT(K126,I131,J126)</f>
        <v/>
      </c>
      <c r="E131" s="2060"/>
      <c r="F131" s="1546"/>
      <c r="G131" s="1527"/>
      <c r="H131" s="484"/>
      <c r="I131" s="2060">
        <v>6</v>
      </c>
      <c r="J131" s="126"/>
      <c r="K131" s="388"/>
      <c r="L131" s="1527"/>
      <c r="M131" s="1527"/>
    </row>
    <row r="132" spans="1:13" ht="12" customHeight="1">
      <c r="A132" s="1510" t="str">
        <f>IF(AND(C126&lt;&gt;"",ISBLANK(D132)),"y",IF(D132="","n",""))</f>
        <v>n</v>
      </c>
      <c r="B132" s="1510"/>
      <c r="C132" s="468"/>
      <c r="D132" s="2060" t="str">
        <f>_xll.ciqfunctions.udf.CIQSPLIT(K126,I132,J126)</f>
        <v/>
      </c>
      <c r="E132" s="2060"/>
      <c r="F132" s="1546"/>
      <c r="G132" s="1527"/>
      <c r="H132" s="484"/>
      <c r="I132" s="2060">
        <v>7</v>
      </c>
      <c r="J132" s="126"/>
      <c r="K132" s="388"/>
      <c r="L132" s="1527"/>
      <c r="M132" s="1527"/>
    </row>
    <row r="133" spans="1:13" ht="12" customHeight="1">
      <c r="A133" s="1510" t="str">
        <f>IF(AND(C126&lt;&gt;"",ISBLANK(D133)),"y",IF(D133="","n",""))</f>
        <v>n</v>
      </c>
      <c r="B133" s="1510"/>
      <c r="C133" s="468"/>
      <c r="D133" s="2060" t="str">
        <f>_xll.ciqfunctions.udf.CIQSPLIT(K126,I133,J126)</f>
        <v/>
      </c>
      <c r="E133" s="2060"/>
      <c r="F133" s="1546"/>
      <c r="G133" s="1525"/>
      <c r="H133" s="484"/>
      <c r="I133" s="2060">
        <v>8</v>
      </c>
      <c r="J133" s="126"/>
      <c r="K133" s="388"/>
      <c r="L133" s="1525"/>
      <c r="M133" s="1525"/>
    </row>
    <row r="134" spans="1:13" ht="12" customHeight="1">
      <c r="A134" s="1510" t="str">
        <f>IF(AND(C126&lt;&gt;"",ISBLANK(D134)),"y",IF(D134="","n",""))</f>
        <v>n</v>
      </c>
      <c r="B134" s="1510"/>
      <c r="C134" s="468"/>
      <c r="D134" s="2060" t="str">
        <f>_xll.ciqfunctions.udf.CIQSPLIT(K126,I134,J126)</f>
        <v/>
      </c>
      <c r="E134" s="2060"/>
      <c r="F134" s="1546"/>
      <c r="G134" s="1525"/>
      <c r="H134" s="484"/>
      <c r="I134" s="2060">
        <v>9</v>
      </c>
      <c r="J134" s="126"/>
      <c r="K134" s="388"/>
      <c r="L134" s="1525"/>
      <c r="M134" s="1525"/>
    </row>
    <row r="135" spans="1:13" ht="12" customHeight="1">
      <c r="A135" s="1510" t="str">
        <f>IF(AND(C126&lt;&gt;"",ISBLANK(D135)),"y",IF(D135="","n",""))</f>
        <v>n</v>
      </c>
      <c r="B135" s="1510"/>
      <c r="C135" s="468"/>
      <c r="D135" s="2060" t="str">
        <f>_xll.ciqfunctions.udf.CIQSPLIT(K126,I135,J126)</f>
        <v/>
      </c>
      <c r="E135" s="2060"/>
      <c r="F135" s="1546"/>
      <c r="G135" s="1525"/>
      <c r="H135" s="484"/>
      <c r="I135" s="2060">
        <v>10</v>
      </c>
      <c r="J135" s="126"/>
      <c r="K135" s="388"/>
      <c r="L135" s="1525"/>
      <c r="M135" s="1525"/>
    </row>
    <row r="136" spans="1:13" ht="12" customHeight="1">
      <c r="A136" s="1510" t="str">
        <f>IF(AND(C126&lt;&gt;"",ISBLANK(D136)),"y",IF(D136="","n",""))</f>
        <v>n</v>
      </c>
      <c r="B136" s="1510"/>
      <c r="C136" s="468"/>
      <c r="D136" s="2060" t="str">
        <f>_xll.ciqfunctions.udf.CIQSPLIT(K126,I136,J126)</f>
        <v/>
      </c>
      <c r="E136" s="2060"/>
      <c r="F136" s="1546"/>
      <c r="G136" s="1525"/>
      <c r="H136" s="484"/>
      <c r="I136" s="2060">
        <v>11</v>
      </c>
      <c r="J136" s="126"/>
      <c r="K136" s="388"/>
      <c r="L136" s="1525"/>
      <c r="M136" s="1525"/>
    </row>
    <row r="137" spans="1:13" ht="12" customHeight="1">
      <c r="A137" s="1510" t="str">
        <f>IF(AND(C126&lt;&gt;"",ISBLANK(D137)),"y",IF(D137="","n",""))</f>
        <v>n</v>
      </c>
      <c r="B137" s="1510"/>
      <c r="C137" s="468"/>
      <c r="D137" s="2060" t="str">
        <f>_xll.ciqfunctions.udf.CIQSPLIT(K126,I137,J126)</f>
        <v/>
      </c>
      <c r="E137" s="2060"/>
      <c r="F137" s="1546"/>
      <c r="G137" s="1525"/>
      <c r="H137" s="484"/>
      <c r="I137" s="2060">
        <v>12</v>
      </c>
      <c r="J137" s="126"/>
      <c r="K137" s="388"/>
      <c r="L137" s="1525"/>
      <c r="M137" s="1525"/>
    </row>
    <row r="138" spans="1:13" ht="12" customHeight="1">
      <c r="A138" s="1510" t="str">
        <f>IF(AND(C126&lt;&gt;"",ISBLANK(D138)),"y",IF(D138="","n",""))</f>
        <v>n</v>
      </c>
      <c r="B138" s="1510"/>
      <c r="C138" s="468"/>
      <c r="D138" s="2060" t="str">
        <f>_xll.ciqfunctions.udf.CIQSPLIT(K126,I138,J126)</f>
        <v/>
      </c>
      <c r="E138" s="2060"/>
      <c r="F138" s="1546"/>
      <c r="G138" s="1525"/>
      <c r="H138" s="484"/>
      <c r="I138" s="2060">
        <v>13</v>
      </c>
      <c r="J138" s="126"/>
      <c r="K138" s="388"/>
      <c r="L138" s="1525"/>
      <c r="M138" s="1525"/>
    </row>
    <row r="139" spans="1:13" ht="12" customHeight="1">
      <c r="A139" s="1510" t="str">
        <f>IF(AND(C126&lt;&gt;"",ISBLANK(D139)),"y",IF(D139="","n",""))</f>
        <v>n</v>
      </c>
      <c r="B139" s="1510"/>
      <c r="C139" s="468"/>
      <c r="D139" s="2060" t="str">
        <f>_xll.ciqfunctions.udf.CIQSPLIT(K126,I139,J126)</f>
        <v/>
      </c>
      <c r="E139" s="2060"/>
      <c r="F139" s="1546"/>
      <c r="G139" s="1525"/>
      <c r="H139" s="484"/>
      <c r="I139" s="2060">
        <v>14</v>
      </c>
      <c r="J139" s="126"/>
      <c r="K139" s="388"/>
      <c r="L139" s="1525"/>
      <c r="M139" s="1525"/>
    </row>
    <row r="140" spans="1:13" ht="12" customHeight="1">
      <c r="A140" s="1510" t="str">
        <f>IF(AND(C126&lt;&gt;"",ISBLANK(D140)),"y",IF(D140="","n",""))</f>
        <v>n</v>
      </c>
      <c r="B140" s="1510"/>
      <c r="C140" s="468"/>
      <c r="D140" s="468"/>
      <c r="E140" s="468"/>
      <c r="F140" s="1546"/>
      <c r="G140" s="1525"/>
      <c r="H140" s="1525"/>
      <c r="I140" s="1525"/>
      <c r="J140" s="1525"/>
      <c r="K140" s="1525"/>
      <c r="L140" s="1525"/>
      <c r="M140" s="1525"/>
    </row>
    <row r="141" spans="1:13" ht="12" customHeight="1">
      <c r="A141" s="1557" t="str">
        <f>A72</f>
        <v>n</v>
      </c>
      <c r="B141" s="1557"/>
      <c r="C141" s="529" t="s">
        <v>1402</v>
      </c>
      <c r="D141" s="607"/>
      <c r="E141" s="607"/>
      <c r="F141" s="1557"/>
      <c r="G141" s="1525"/>
      <c r="H141" s="1525"/>
      <c r="I141" s="1525"/>
      <c r="J141" s="1525"/>
      <c r="K141" s="1525"/>
      <c r="L141" s="1525"/>
      <c r="M141" s="1525"/>
    </row>
    <row r="142" spans="1:13" ht="12" customHeight="1">
      <c r="A142" s="1510" t="s">
        <v>17</v>
      </c>
      <c r="B142" s="1510"/>
      <c r="C142" s="1557"/>
      <c r="D142" s="1557"/>
      <c r="E142" s="1546" t="str">
        <f>IF(A143="y","Continue","Page end")</f>
        <v>Page end</v>
      </c>
      <c r="F142" s="1510"/>
      <c r="G142" s="1525"/>
      <c r="H142" s="1525"/>
      <c r="I142" s="1525"/>
      <c r="J142" s="1525"/>
      <c r="K142" s="1525"/>
      <c r="L142" s="1525"/>
      <c r="M142" s="1525"/>
    </row>
    <row r="143" spans="1:13" ht="18" customHeight="1">
      <c r="A143" s="1510" t="str">
        <f>IF(COUNTIF(A152:A211,"y"),"y","n")</f>
        <v>n</v>
      </c>
      <c r="B143" s="1557"/>
      <c r="C143" s="838" t="str">
        <f>ClientName</f>
        <v/>
      </c>
      <c r="D143" s="292"/>
      <c r="E143" s="389" t="str">
        <f>$E$1&amp;" (contd.)"</f>
        <v>Workpaper 7 (contd.)</v>
      </c>
      <c r="F143" s="1557"/>
      <c r="G143" s="1525"/>
      <c r="H143" s="1525"/>
      <c r="I143" s="1525"/>
      <c r="J143" s="1525"/>
      <c r="K143" s="1525"/>
      <c r="L143" s="1525"/>
      <c r="M143" s="1525"/>
    </row>
    <row r="144" spans="1:13" ht="18" customHeight="1">
      <c r="A144" s="1510" t="str">
        <f>A143</f>
        <v>n</v>
      </c>
      <c r="B144" s="1557"/>
      <c r="C144" s="838" t="str">
        <f>CoNameHeading</f>
        <v>Client Name</v>
      </c>
      <c r="D144" s="369"/>
      <c r="E144" s="1525"/>
      <c r="F144" s="1557"/>
      <c r="G144" s="1525"/>
      <c r="H144" s="1525"/>
      <c r="I144" s="1525"/>
      <c r="J144" s="1525"/>
      <c r="K144" s="1525"/>
      <c r="L144" s="1525"/>
      <c r="M144" s="1525"/>
    </row>
    <row r="145" spans="1:11" s="1027" customFormat="1" ht="18" customHeight="1">
      <c r="A145" s="1510" t="str">
        <f>A143</f>
        <v>n</v>
      </c>
      <c r="B145" s="1557"/>
      <c r="C145" s="839" t="s">
        <v>1711</v>
      </c>
      <c r="D145" s="369"/>
      <c r="E145" s="1525"/>
      <c r="F145" s="1557"/>
      <c r="G145" s="1525"/>
      <c r="H145" s="1525"/>
      <c r="I145" s="1525"/>
      <c r="J145" s="1525"/>
      <c r="K145" s="1525"/>
    </row>
    <row r="146" spans="1:11" ht="18" customHeight="1">
      <c r="A146" s="1510" t="str">
        <f>A143</f>
        <v>n</v>
      </c>
      <c r="B146" s="1557"/>
      <c r="C146" s="840" t="str">
        <f>"Valuation as of "&amp; TEXT(Valuation_date,"d mmmm yyyy")</f>
        <v>Valuation as of 28 February 2017</v>
      </c>
      <c r="D146" s="2062"/>
      <c r="E146" s="1525"/>
      <c r="F146" s="1557"/>
      <c r="G146" s="1525"/>
      <c r="H146" s="1525"/>
      <c r="I146" s="1525"/>
      <c r="J146" s="1525"/>
      <c r="K146" s="1525"/>
    </row>
    <row r="147" spans="1:11" ht="12" customHeight="1">
      <c r="A147" s="1510" t="str">
        <f>A143</f>
        <v>n</v>
      </c>
      <c r="B147" s="1557"/>
      <c r="C147" s="366"/>
      <c r="D147" s="366"/>
      <c r="E147" s="1525"/>
      <c r="F147" s="1557"/>
      <c r="G147" s="1525"/>
      <c r="H147" s="1525"/>
      <c r="I147" s="1525"/>
      <c r="J147" s="1525"/>
      <c r="K147" s="1525"/>
    </row>
    <row r="148" spans="1:11" ht="12" customHeight="1">
      <c r="A148" s="1510" t="str">
        <f>A143</f>
        <v>n</v>
      </c>
      <c r="B148" s="1557"/>
      <c r="C148" s="340"/>
      <c r="D148" s="1526"/>
      <c r="E148" s="1525"/>
      <c r="F148" s="1557"/>
      <c r="G148" s="1525"/>
      <c r="H148" s="1525"/>
      <c r="I148" s="1525"/>
      <c r="J148" s="1525"/>
      <c r="K148" s="1525"/>
    </row>
    <row r="149" spans="1:11" ht="12" customHeight="1">
      <c r="A149" s="1510" t="str">
        <f>A143</f>
        <v>n</v>
      </c>
      <c r="B149" s="1557"/>
      <c r="C149" s="342"/>
      <c r="D149" s="341"/>
      <c r="E149" s="1525"/>
      <c r="F149" s="1557"/>
      <c r="G149" s="1525"/>
      <c r="H149" s="1525"/>
      <c r="I149" s="1525"/>
      <c r="J149" s="1525"/>
      <c r="K149" s="1525"/>
    </row>
    <row r="150" spans="1:11" ht="12" customHeight="1">
      <c r="A150" s="1510" t="str">
        <f>A143</f>
        <v>n</v>
      </c>
      <c r="B150" s="1557"/>
      <c r="C150" s="1299" t="s">
        <v>1712</v>
      </c>
      <c r="D150" s="1300" t="s">
        <v>1713</v>
      </c>
      <c r="E150" s="404"/>
      <c r="F150" s="1557"/>
      <c r="G150" s="1525"/>
      <c r="H150" s="1525"/>
      <c r="I150" s="1525"/>
      <c r="J150" s="1525"/>
      <c r="K150" s="1525"/>
    </row>
    <row r="151" spans="1:11" s="1525" customFormat="1" ht="12" customHeight="1">
      <c r="A151" s="1510" t="str">
        <f>A143</f>
        <v>n</v>
      </c>
      <c r="B151" s="1557"/>
      <c r="C151" s="1818"/>
      <c r="D151" s="607"/>
      <c r="E151" s="631"/>
      <c r="F151" s="1557"/>
    </row>
    <row r="152" spans="1:11" s="336" customFormat="1" ht="13.9">
      <c r="A152" s="1510" t="str">
        <f>IF(AND(C152&lt;&gt;"",ISBLANK(D152)),"y",IF(D152="","n",""))</f>
        <v>n</v>
      </c>
      <c r="B152" s="1510"/>
      <c r="C152" s="468" t="str">
        <f>Settings!$L$113</f>
        <v/>
      </c>
      <c r="D152" s="2060" t="str">
        <f>_xll.ciqfunctions.udf.CIQSPLIT(K152,I152,J152)</f>
        <v/>
      </c>
      <c r="E152" s="2060"/>
      <c r="F152" s="1546"/>
      <c r="G152" s="1527"/>
      <c r="H152" s="485" t="str">
        <f>Settings!$M$113</f>
        <v/>
      </c>
      <c r="I152" s="2060">
        <v>1</v>
      </c>
      <c r="J152" s="126">
        <v>170</v>
      </c>
      <c r="K152" s="388" t="str">
        <f>IF(H152="","",_xll.ciqfunctions.udf.CIQ(H152,"IQ_Business_Description"))</f>
        <v/>
      </c>
    </row>
    <row r="153" spans="1:11" s="336" customFormat="1" ht="13.9">
      <c r="A153" s="1510" t="str">
        <f>IF(AND(C152&lt;&gt;"",ISBLANK(D153)),"y",IF(D153="","n",""))</f>
        <v>n</v>
      </c>
      <c r="B153" s="1510"/>
      <c r="C153" s="468"/>
      <c r="D153" s="2060" t="str">
        <f>_xll.ciqfunctions.udf.CIQSPLIT(K152,I153,J152)</f>
        <v/>
      </c>
      <c r="E153" s="2060"/>
      <c r="F153" s="1546"/>
      <c r="G153" s="1527"/>
      <c r="H153" s="484"/>
      <c r="I153" s="2060">
        <v>2</v>
      </c>
      <c r="J153" s="126"/>
      <c r="K153" s="388"/>
    </row>
    <row r="154" spans="1:11" s="336" customFormat="1" ht="13.9">
      <c r="A154" s="1510" t="str">
        <f>IF(AND(C152&lt;&gt;"",ISBLANK(D154)),"y",IF(D154="","n",""))</f>
        <v>n</v>
      </c>
      <c r="B154" s="1510"/>
      <c r="C154" s="468"/>
      <c r="D154" s="2060" t="str">
        <f>_xll.ciqfunctions.udf.CIQSPLIT(K152,I154,J152)</f>
        <v/>
      </c>
      <c r="E154" s="2060"/>
      <c r="F154" s="1546"/>
      <c r="G154" s="1527"/>
      <c r="H154" s="484"/>
      <c r="I154" s="2060">
        <v>3</v>
      </c>
      <c r="J154" s="126"/>
      <c r="K154" s="388"/>
    </row>
    <row r="155" spans="1:11" s="336" customFormat="1" ht="13.9">
      <c r="A155" s="1510" t="str">
        <f>IF(AND(C152&lt;&gt;"",ISBLANK(D155)),"y",IF(D155="","n",""))</f>
        <v>n</v>
      </c>
      <c r="B155" s="1510"/>
      <c r="C155" s="468"/>
      <c r="D155" s="2060" t="str">
        <f>_xll.ciqfunctions.udf.CIQSPLIT(K152,I155,J152)</f>
        <v/>
      </c>
      <c r="E155" s="2060"/>
      <c r="F155" s="1546"/>
      <c r="G155" s="1527"/>
      <c r="H155" s="484"/>
      <c r="I155" s="2060">
        <v>4</v>
      </c>
      <c r="J155" s="126"/>
      <c r="K155" s="388"/>
    </row>
    <row r="156" spans="1:11" s="336" customFormat="1" ht="13.9">
      <c r="A156" s="1510" t="str">
        <f>IF(AND(C152&lt;&gt;"",ISBLANK(D156)),"y",IF(D156="","n",""))</f>
        <v>n</v>
      </c>
      <c r="B156" s="1510"/>
      <c r="C156" s="468"/>
      <c r="D156" s="2060" t="str">
        <f>_xll.ciqfunctions.udf.CIQSPLIT(K152,I156,J152)</f>
        <v/>
      </c>
      <c r="E156" s="2060"/>
      <c r="F156" s="1546"/>
      <c r="G156" s="1527"/>
      <c r="H156" s="484"/>
      <c r="I156" s="2060">
        <v>5</v>
      </c>
      <c r="J156" s="126"/>
      <c r="K156" s="388"/>
    </row>
    <row r="157" spans="1:11" s="336" customFormat="1" ht="13.9">
      <c r="A157" s="1510" t="str">
        <f>IF(AND(C152&lt;&gt;"",ISBLANK(D157)),"y",IF(D157="","n",""))</f>
        <v>n</v>
      </c>
      <c r="B157" s="1510"/>
      <c r="C157" s="468"/>
      <c r="D157" s="2060" t="str">
        <f>_xll.ciqfunctions.udf.CIQSPLIT(K152,I157,J152)</f>
        <v/>
      </c>
      <c r="E157" s="2060"/>
      <c r="F157" s="1546"/>
      <c r="G157" s="1527"/>
      <c r="H157" s="484"/>
      <c r="I157" s="2060">
        <v>6</v>
      </c>
      <c r="J157" s="126"/>
      <c r="K157" s="388"/>
    </row>
    <row r="158" spans="1:11" s="336" customFormat="1" ht="13.9">
      <c r="A158" s="1510" t="str">
        <f>IF(AND(C152&lt;&gt;"",ISBLANK(D158)),"y",IF(D158="","n",""))</f>
        <v>n</v>
      </c>
      <c r="B158" s="1510"/>
      <c r="C158" s="468"/>
      <c r="D158" s="2060" t="str">
        <f>_xll.ciqfunctions.udf.CIQSPLIT(K152,I158,J152)</f>
        <v/>
      </c>
      <c r="E158" s="2060"/>
      <c r="F158" s="1546"/>
      <c r="G158" s="1527"/>
      <c r="H158" s="484"/>
      <c r="I158" s="2060">
        <v>7</v>
      </c>
      <c r="J158" s="126"/>
      <c r="K158" s="388"/>
    </row>
    <row r="159" spans="1:11" s="336" customFormat="1" ht="13.9">
      <c r="A159" s="1510" t="str">
        <f>IF(AND(C152&lt;&gt;"",ISBLANK(D159)),"y",IF(D159="","n",""))</f>
        <v>n</v>
      </c>
      <c r="B159" s="1510"/>
      <c r="C159" s="468"/>
      <c r="D159" s="2060" t="str">
        <f>_xll.ciqfunctions.udf.CIQSPLIT(K152,I159,J152)</f>
        <v/>
      </c>
      <c r="E159" s="2060"/>
      <c r="F159" s="1546"/>
      <c r="G159" s="1527"/>
      <c r="H159" s="484"/>
      <c r="I159" s="2060">
        <v>8</v>
      </c>
      <c r="J159" s="126"/>
      <c r="K159" s="388"/>
    </row>
    <row r="160" spans="1:11" s="336" customFormat="1" ht="13.9">
      <c r="A160" s="1510" t="str">
        <f>IF(AND(C152&lt;&gt;"",ISBLANK(D160)),"y",IF(D160="","n",""))</f>
        <v>n</v>
      </c>
      <c r="B160" s="1510"/>
      <c r="C160" s="468"/>
      <c r="D160" s="2060" t="str">
        <f>_xll.ciqfunctions.udf.CIQSPLIT(K152,I160,J152)</f>
        <v/>
      </c>
      <c r="E160" s="2060"/>
      <c r="F160" s="1546"/>
      <c r="G160" s="1527"/>
      <c r="H160" s="484"/>
      <c r="I160" s="2060">
        <v>9</v>
      </c>
      <c r="J160" s="126"/>
      <c r="K160" s="388"/>
    </row>
    <row r="161" spans="1:11" s="336" customFormat="1" ht="13.9">
      <c r="A161" s="1510" t="str">
        <f>IF(AND(C152&lt;&gt;"",ISBLANK(D161)),"y",IF(D161="","n",""))</f>
        <v>n</v>
      </c>
      <c r="B161" s="1510"/>
      <c r="C161" s="468"/>
      <c r="D161" s="2060" t="str">
        <f>_xll.ciqfunctions.udf.CIQSPLIT(K152,I161,J152)</f>
        <v/>
      </c>
      <c r="E161" s="2060"/>
      <c r="F161" s="1546"/>
      <c r="G161" s="1527"/>
      <c r="H161" s="484"/>
      <c r="I161" s="2060">
        <v>10</v>
      </c>
      <c r="J161" s="126"/>
      <c r="K161" s="388"/>
    </row>
    <row r="162" spans="1:11" s="336" customFormat="1" ht="13.9">
      <c r="A162" s="1510" t="str">
        <f>IF(AND(C152&lt;&gt;"",ISBLANK(D162)),"y",IF(D162="","n",""))</f>
        <v>n</v>
      </c>
      <c r="B162" s="1510"/>
      <c r="C162" s="468"/>
      <c r="D162" s="2060" t="str">
        <f>_xll.ciqfunctions.udf.CIQSPLIT(K152,I162,J152)</f>
        <v/>
      </c>
      <c r="E162" s="2060"/>
      <c r="F162" s="1546"/>
      <c r="G162" s="1527"/>
      <c r="H162" s="484"/>
      <c r="I162" s="2060">
        <v>11</v>
      </c>
      <c r="J162" s="126"/>
      <c r="K162" s="388"/>
    </row>
    <row r="163" spans="1:11" s="336" customFormat="1" ht="13.9">
      <c r="A163" s="1510" t="str">
        <f>IF(AND(C152&lt;&gt;"",ISBLANK(D163)),"y",IF(D163="","n",""))</f>
        <v>n</v>
      </c>
      <c r="B163" s="1510"/>
      <c r="C163" s="468"/>
      <c r="D163" s="2060" t="str">
        <f>_xll.ciqfunctions.udf.CIQSPLIT(K152,I163,J152)</f>
        <v/>
      </c>
      <c r="E163" s="2060"/>
      <c r="F163" s="1546"/>
      <c r="G163" s="1527"/>
      <c r="H163" s="484"/>
      <c r="I163" s="2060">
        <v>12</v>
      </c>
      <c r="J163" s="126"/>
      <c r="K163" s="388"/>
    </row>
    <row r="164" spans="1:11" s="336" customFormat="1" ht="13.9">
      <c r="A164" s="1510" t="str">
        <f>IF(AND(C152&lt;&gt;"",ISBLANK(D164)),"y",IF(D164="","n",""))</f>
        <v>n</v>
      </c>
      <c r="B164" s="1510"/>
      <c r="C164" s="468"/>
      <c r="D164" s="2060" t="str">
        <f>_xll.ciqfunctions.udf.CIQSPLIT(K152,I164,J152)</f>
        <v/>
      </c>
      <c r="E164" s="2060"/>
      <c r="F164" s="1546"/>
      <c r="G164" s="1527"/>
      <c r="H164" s="484"/>
      <c r="I164" s="2060">
        <v>13</v>
      </c>
      <c r="J164" s="126"/>
      <c r="K164" s="388"/>
    </row>
    <row r="165" spans="1:11" s="336" customFormat="1" ht="13.9">
      <c r="A165" s="1510" t="str">
        <f>IF(AND(C152&lt;&gt;"",ISBLANK(D165)),"y",IF(D165="","n",""))</f>
        <v>n</v>
      </c>
      <c r="B165" s="1510"/>
      <c r="C165" s="468"/>
      <c r="D165" s="2060" t="str">
        <f>_xll.ciqfunctions.udf.CIQSPLIT(K152,I165,J152)</f>
        <v/>
      </c>
      <c r="E165" s="2060"/>
      <c r="F165" s="1546"/>
      <c r="G165" s="1527"/>
      <c r="H165" s="484"/>
      <c r="I165" s="2060">
        <v>14</v>
      </c>
      <c r="J165" s="126"/>
      <c r="K165" s="388"/>
    </row>
    <row r="166" spans="1:11" s="336" customFormat="1" ht="13.9">
      <c r="A166" s="1510" t="str">
        <f>IF(AND(C152&lt;&gt;"",ISBLANK(D166)),"y",IF(D166="","n",""))</f>
        <v>n</v>
      </c>
      <c r="B166" s="1510"/>
      <c r="C166" s="468"/>
      <c r="D166" s="468"/>
      <c r="E166" s="2060"/>
      <c r="F166" s="1546"/>
      <c r="G166" s="1527"/>
      <c r="H166" s="484"/>
      <c r="I166" s="2060"/>
      <c r="J166" s="126"/>
      <c r="K166" s="388"/>
    </row>
    <row r="167" spans="1:11" s="336" customFormat="1" ht="13.9">
      <c r="A167" s="1510" t="str">
        <f>IF(AND(C167&lt;&gt;"",ISBLANK(D167)),"y",IF(D167="","n",""))</f>
        <v>n</v>
      </c>
      <c r="B167" s="1510"/>
      <c r="C167" s="468" t="str">
        <f>Settings!$L$114</f>
        <v/>
      </c>
      <c r="D167" s="2060" t="str">
        <f>_xll.ciqfunctions.udf.CIQSPLIT(K167,I167,J167)</f>
        <v/>
      </c>
      <c r="E167" s="2060"/>
      <c r="F167" s="1546"/>
      <c r="G167" s="1527"/>
      <c r="H167" s="485" t="str">
        <f>Settings!$M$114</f>
        <v/>
      </c>
      <c r="I167" s="2060">
        <v>1</v>
      </c>
      <c r="J167" s="126">
        <v>170</v>
      </c>
      <c r="K167" s="388" t="str">
        <f>IF(H167="","",_xll.ciqfunctions.udf.CIQ(H167,"IQ_Business_Description"))</f>
        <v/>
      </c>
    </row>
    <row r="168" spans="1:11" s="336" customFormat="1" ht="13.9">
      <c r="A168" s="1510" t="str">
        <f>IF(AND(C167&lt;&gt;"",ISBLANK(D168)),"y",IF(D168="","n",""))</f>
        <v>n</v>
      </c>
      <c r="B168" s="1510"/>
      <c r="C168" s="468"/>
      <c r="D168" s="2060" t="str">
        <f>_xll.ciqfunctions.udf.CIQSPLIT(K167,I168,J167)</f>
        <v/>
      </c>
      <c r="E168" s="2060"/>
      <c r="F168" s="1546"/>
      <c r="G168" s="1527"/>
      <c r="H168" s="484"/>
      <c r="I168" s="2060">
        <v>2</v>
      </c>
      <c r="J168" s="126"/>
      <c r="K168" s="388"/>
    </row>
    <row r="169" spans="1:11" s="336" customFormat="1" ht="13.9">
      <c r="A169" s="1510" t="str">
        <f>IF(AND(C167&lt;&gt;"",ISBLANK(D169)),"y",IF(D169="","n",""))</f>
        <v>n</v>
      </c>
      <c r="B169" s="1510"/>
      <c r="C169" s="468"/>
      <c r="D169" s="2060" t="str">
        <f>_xll.ciqfunctions.udf.CIQSPLIT(K167,I169,J167)</f>
        <v/>
      </c>
      <c r="E169" s="2060"/>
      <c r="F169" s="1546"/>
      <c r="G169" s="1527"/>
      <c r="H169" s="484"/>
      <c r="I169" s="2060">
        <v>3</v>
      </c>
      <c r="J169" s="126"/>
      <c r="K169" s="388"/>
    </row>
    <row r="170" spans="1:11" s="336" customFormat="1" ht="13.9">
      <c r="A170" s="1510" t="str">
        <f>IF(AND(C167&lt;&gt;"",ISBLANK(D170)),"y",IF(D170="","n",""))</f>
        <v>n</v>
      </c>
      <c r="B170" s="1510"/>
      <c r="C170" s="468"/>
      <c r="D170" s="2060" t="str">
        <f>_xll.ciqfunctions.udf.CIQSPLIT(K167,I170,J167)</f>
        <v/>
      </c>
      <c r="E170" s="2060"/>
      <c r="F170" s="1546"/>
      <c r="G170" s="1527"/>
      <c r="H170" s="484"/>
      <c r="I170" s="2060">
        <v>4</v>
      </c>
      <c r="J170" s="126"/>
      <c r="K170" s="388"/>
    </row>
    <row r="171" spans="1:11" s="336" customFormat="1" ht="13.9">
      <c r="A171" s="1510" t="str">
        <f>IF(AND(C167&lt;&gt;"",ISBLANK(D171)),"y",IF(D171="","n",""))</f>
        <v>n</v>
      </c>
      <c r="B171" s="1510"/>
      <c r="C171" s="468"/>
      <c r="D171" s="2060" t="str">
        <f>_xll.ciqfunctions.udf.CIQSPLIT(K167,I171,J167)</f>
        <v/>
      </c>
      <c r="E171" s="2060"/>
      <c r="F171" s="1546"/>
      <c r="G171" s="1527"/>
      <c r="H171" s="484"/>
      <c r="I171" s="2060">
        <v>5</v>
      </c>
      <c r="J171" s="126"/>
      <c r="K171" s="388"/>
    </row>
    <row r="172" spans="1:11" s="336" customFormat="1" ht="13.9">
      <c r="A172" s="1510" t="str">
        <f>IF(AND(C167&lt;&gt;"",ISBLANK(D172)),"y",IF(D172="","n",""))</f>
        <v>n</v>
      </c>
      <c r="B172" s="1510"/>
      <c r="C172" s="468"/>
      <c r="D172" s="2060" t="str">
        <f>_xll.ciqfunctions.udf.CIQSPLIT(K167,I172,J167)</f>
        <v/>
      </c>
      <c r="E172" s="2060"/>
      <c r="F172" s="1546"/>
      <c r="G172" s="1527"/>
      <c r="H172" s="484"/>
      <c r="I172" s="2060">
        <v>6</v>
      </c>
      <c r="J172" s="126"/>
      <c r="K172" s="388"/>
    </row>
    <row r="173" spans="1:11" s="336" customFormat="1" ht="13.9">
      <c r="A173" s="1510" t="str">
        <f>IF(AND(C167&lt;&gt;"",ISBLANK(D173)),"y",IF(D173="","n",""))</f>
        <v>n</v>
      </c>
      <c r="B173" s="1510"/>
      <c r="C173" s="468"/>
      <c r="D173" s="2060" t="str">
        <f>_xll.ciqfunctions.udf.CIQSPLIT(K167,I173,J167)</f>
        <v/>
      </c>
      <c r="E173" s="2060"/>
      <c r="F173" s="1546"/>
      <c r="G173" s="1527"/>
      <c r="H173" s="484"/>
      <c r="I173" s="2060">
        <v>7</v>
      </c>
      <c r="J173" s="126"/>
      <c r="K173" s="388"/>
    </row>
    <row r="174" spans="1:11" ht="13.9">
      <c r="A174" s="1510" t="str">
        <f>IF(AND(C167&lt;&gt;"",ISBLANK(D174)),"y",IF(D174="","n",""))</f>
        <v>n</v>
      </c>
      <c r="B174" s="1510"/>
      <c r="C174" s="468"/>
      <c r="D174" s="2060" t="str">
        <f>_xll.ciqfunctions.udf.CIQSPLIT(K167,I174,J167)</f>
        <v/>
      </c>
      <c r="E174" s="2060"/>
      <c r="F174" s="1546"/>
      <c r="G174" s="1525"/>
      <c r="H174" s="484"/>
      <c r="I174" s="2060">
        <v>8</v>
      </c>
      <c r="J174" s="126"/>
      <c r="K174" s="388"/>
    </row>
    <row r="175" spans="1:11" ht="12" customHeight="1">
      <c r="A175" s="1510" t="str">
        <f>IF(AND(C167&lt;&gt;"",ISBLANK(D175)),"y",IF(D175="","n",""))</f>
        <v>n</v>
      </c>
      <c r="B175" s="1510"/>
      <c r="C175" s="468"/>
      <c r="D175" s="2060" t="str">
        <f>_xll.ciqfunctions.udf.CIQSPLIT(K167,I175,J167)</f>
        <v/>
      </c>
      <c r="E175" s="2060"/>
      <c r="F175" s="1546"/>
      <c r="G175" s="1525"/>
      <c r="H175" s="484"/>
      <c r="I175" s="2060">
        <v>9</v>
      </c>
      <c r="J175" s="126"/>
      <c r="K175" s="388"/>
    </row>
    <row r="176" spans="1:11" ht="12" customHeight="1">
      <c r="A176" s="1510" t="str">
        <f>IF(AND(C167&lt;&gt;"",ISBLANK(D176)),"y",IF(D176="","n",""))</f>
        <v>n</v>
      </c>
      <c r="B176" s="1510"/>
      <c r="C176" s="468"/>
      <c r="D176" s="2060" t="str">
        <f>_xll.ciqfunctions.udf.CIQSPLIT(K167,I176,J167)</f>
        <v/>
      </c>
      <c r="E176" s="2060"/>
      <c r="F176" s="1546"/>
      <c r="G176" s="1525"/>
      <c r="H176" s="484"/>
      <c r="I176" s="2060">
        <v>10</v>
      </c>
      <c r="J176" s="126"/>
      <c r="K176" s="388"/>
    </row>
    <row r="177" spans="1:15" ht="13.9">
      <c r="A177" s="1510" t="str">
        <f>IF(AND(C167&lt;&gt;"",ISBLANK(D177)),"y",IF(D177="","n",""))</f>
        <v>n</v>
      </c>
      <c r="B177" s="1510"/>
      <c r="C177" s="468"/>
      <c r="D177" s="2060" t="str">
        <f>_xll.ciqfunctions.udf.CIQSPLIT(K167,I177,J167)</f>
        <v/>
      </c>
      <c r="E177" s="2060"/>
      <c r="F177" s="1546"/>
      <c r="G177" s="1525"/>
      <c r="H177" s="484"/>
      <c r="I177" s="2060">
        <v>11</v>
      </c>
      <c r="J177" s="126"/>
      <c r="K177" s="388"/>
      <c r="L177" s="1525"/>
      <c r="M177" s="1525"/>
      <c r="N177" s="1525"/>
      <c r="O177" s="1525"/>
    </row>
    <row r="178" spans="1:15" ht="13.9">
      <c r="A178" s="1510" t="str">
        <f>IF(AND(C167&lt;&gt;"",ISBLANK(D178)),"y",IF(D178="","n",""))</f>
        <v>n</v>
      </c>
      <c r="B178" s="1510"/>
      <c r="C178" s="468"/>
      <c r="D178" s="2060" t="str">
        <f>_xll.ciqfunctions.udf.CIQSPLIT(K167,I178,J167)</f>
        <v/>
      </c>
      <c r="E178" s="2060"/>
      <c r="F178" s="1546"/>
      <c r="G178" s="1525"/>
      <c r="H178" s="484"/>
      <c r="I178" s="2060">
        <v>12</v>
      </c>
      <c r="J178" s="126"/>
      <c r="K178" s="388"/>
      <c r="L178" s="1525"/>
      <c r="M178" s="1525"/>
      <c r="N178" s="1525"/>
      <c r="O178" s="1525"/>
    </row>
    <row r="179" spans="1:15" ht="12" customHeight="1">
      <c r="A179" s="1510" t="str">
        <f>IF(AND(C167&lt;&gt;"",ISBLANK(D179)),"y",IF(D179="","n",""))</f>
        <v>n</v>
      </c>
      <c r="B179" s="1510"/>
      <c r="C179" s="468"/>
      <c r="D179" s="2060" t="str">
        <f>_xll.ciqfunctions.udf.CIQSPLIT(K167,I179,J167)</f>
        <v/>
      </c>
      <c r="E179" s="2060"/>
      <c r="F179" s="1546"/>
      <c r="G179" s="1525"/>
      <c r="H179" s="484"/>
      <c r="I179" s="2060">
        <v>13</v>
      </c>
      <c r="J179" s="126"/>
      <c r="K179" s="388"/>
      <c r="L179" s="1525"/>
      <c r="M179" s="1525"/>
      <c r="N179" s="1525"/>
      <c r="O179" s="1525"/>
    </row>
    <row r="180" spans="1:15" ht="12" customHeight="1">
      <c r="A180" s="1510" t="str">
        <f>IF(AND(C167&lt;&gt;"",ISBLANK(D180)),"y",IF(D180="","n",""))</f>
        <v>n</v>
      </c>
      <c r="B180" s="1510"/>
      <c r="C180" s="468"/>
      <c r="D180" s="2060" t="str">
        <f>_xll.ciqfunctions.udf.CIQSPLIT(K167,I180,J167)</f>
        <v/>
      </c>
      <c r="E180" s="2060"/>
      <c r="F180" s="1546"/>
      <c r="G180" s="1525"/>
      <c r="H180" s="484"/>
      <c r="I180" s="2060">
        <v>14</v>
      </c>
      <c r="J180" s="126"/>
      <c r="K180" s="388"/>
      <c r="L180" s="1525"/>
      <c r="M180" s="1525"/>
      <c r="N180" s="1525"/>
      <c r="O180" s="1525"/>
    </row>
    <row r="181" spans="1:15" ht="12" customHeight="1">
      <c r="A181" s="1510" t="str">
        <f>IF(AND(C167&lt;&gt;"",ISBLANK(D181)),"y",IF(D181="","n",""))</f>
        <v>n</v>
      </c>
      <c r="B181" s="1510"/>
      <c r="C181" s="468"/>
      <c r="D181" s="468"/>
      <c r="E181" s="2060"/>
      <c r="F181" s="1546"/>
      <c r="G181" s="1525"/>
      <c r="H181" s="1525"/>
      <c r="I181" s="1525"/>
      <c r="J181" s="1525"/>
      <c r="K181" s="1525"/>
      <c r="L181" s="1525"/>
      <c r="M181" s="1525"/>
      <c r="N181" s="1525"/>
      <c r="O181" s="1525"/>
    </row>
    <row r="182" spans="1:15" ht="12" customHeight="1">
      <c r="A182" s="1510" t="str">
        <f>IF(AND(C182&lt;&gt;"",ISBLANK(D182)),"y",IF(D182="","n",""))</f>
        <v>n</v>
      </c>
      <c r="B182" s="1510"/>
      <c r="C182" s="468" t="str">
        <f>Settings!$L$115</f>
        <v/>
      </c>
      <c r="D182" s="2060" t="str">
        <f>_xll.ciqfunctions.udf.CIQSPLIT(K182,I182,J182)</f>
        <v/>
      </c>
      <c r="E182" s="2060"/>
      <c r="F182" s="1546"/>
      <c r="G182" s="1527"/>
      <c r="H182" s="485" t="str">
        <f>Settings!$M$115</f>
        <v/>
      </c>
      <c r="I182" s="2060">
        <v>1</v>
      </c>
      <c r="J182" s="126">
        <v>170</v>
      </c>
      <c r="K182" s="388" t="str">
        <f>IF(H182="","",_xll.ciqfunctions.udf.CIQ(H182,"IQ_Business_Description"))</f>
        <v/>
      </c>
      <c r="L182" s="1527"/>
      <c r="M182" s="1527"/>
      <c r="N182" s="1527"/>
      <c r="O182" s="1527"/>
    </row>
    <row r="183" spans="1:15" ht="12.75" customHeight="1">
      <c r="A183" s="1510" t="str">
        <f>IF(AND(C182&lt;&gt;"",ISBLANK(D183)),"y",IF(D183="","n",""))</f>
        <v>n</v>
      </c>
      <c r="B183" s="1510"/>
      <c r="C183" s="468"/>
      <c r="D183" s="2060" t="str">
        <f>_xll.ciqfunctions.udf.CIQSPLIT(K182,I183,J182)</f>
        <v/>
      </c>
      <c r="E183" s="2060"/>
      <c r="F183" s="1546"/>
      <c r="G183" s="1527"/>
      <c r="H183" s="484"/>
      <c r="I183" s="2060">
        <v>2</v>
      </c>
      <c r="J183" s="126"/>
      <c r="K183" s="388"/>
      <c r="L183" s="1527"/>
      <c r="M183" s="1527"/>
      <c r="N183" s="1527"/>
      <c r="O183" s="1527"/>
    </row>
    <row r="184" spans="1:15" ht="13.9">
      <c r="A184" s="1510" t="str">
        <f>IF(AND(C182&lt;&gt;"",ISBLANK(D184)),"y",IF(D184="","n",""))</f>
        <v>n</v>
      </c>
      <c r="B184" s="1510"/>
      <c r="C184" s="468"/>
      <c r="D184" s="2060" t="str">
        <f>_xll.ciqfunctions.udf.CIQSPLIT(K182,I184,J182)</f>
        <v/>
      </c>
      <c r="E184" s="2060"/>
      <c r="F184" s="1546"/>
      <c r="G184" s="1527"/>
      <c r="H184" s="484"/>
      <c r="I184" s="2060">
        <v>3</v>
      </c>
      <c r="J184" s="126"/>
      <c r="K184" s="388"/>
      <c r="L184" s="1527"/>
      <c r="M184" s="1527"/>
      <c r="N184" s="1527"/>
      <c r="O184" s="1527"/>
    </row>
    <row r="185" spans="1:15" ht="13.9">
      <c r="A185" s="1510" t="str">
        <f>IF(AND(C182&lt;&gt;"",ISBLANK(D185)),"y",IF(D185="","n",""))</f>
        <v>n</v>
      </c>
      <c r="B185" s="1510"/>
      <c r="C185" s="468"/>
      <c r="D185" s="2060" t="str">
        <f>_xll.ciqfunctions.udf.CIQSPLIT(K182,I185,J182)</f>
        <v/>
      </c>
      <c r="E185" s="2060"/>
      <c r="F185" s="1546"/>
      <c r="G185" s="1527"/>
      <c r="H185" s="484"/>
      <c r="I185" s="2060">
        <v>4</v>
      </c>
      <c r="J185" s="126"/>
      <c r="K185" s="388"/>
      <c r="L185" s="1527"/>
      <c r="M185" s="1527"/>
      <c r="N185" s="1527"/>
      <c r="O185" s="1527"/>
    </row>
    <row r="186" spans="1:15" ht="13.9">
      <c r="A186" s="1510" t="str">
        <f>IF(AND(C182&lt;&gt;"",ISBLANK(D186)),"y",IF(D186="","n",""))</f>
        <v>n</v>
      </c>
      <c r="B186" s="1510"/>
      <c r="C186" s="468"/>
      <c r="D186" s="2060" t="str">
        <f>_xll.ciqfunctions.udf.CIQSPLIT(K182,I186,J182)</f>
        <v/>
      </c>
      <c r="E186" s="2060"/>
      <c r="F186" s="1546"/>
      <c r="G186" s="1527"/>
      <c r="H186" s="484"/>
      <c r="I186" s="2060">
        <v>5</v>
      </c>
      <c r="J186" s="126"/>
      <c r="K186" s="388"/>
      <c r="L186" s="1527"/>
      <c r="M186" s="1527"/>
      <c r="N186" s="1527"/>
      <c r="O186" s="1527"/>
    </row>
    <row r="187" spans="1:15" ht="13.9">
      <c r="A187" s="1510" t="str">
        <f>IF(AND(C182&lt;&gt;"",ISBLANK(D187)),"y",IF(D187="","n",""))</f>
        <v>n</v>
      </c>
      <c r="B187" s="1510"/>
      <c r="C187" s="468"/>
      <c r="D187" s="2060" t="str">
        <f>_xll.ciqfunctions.udf.CIQSPLIT(K182,I187,J182)</f>
        <v/>
      </c>
      <c r="E187" s="2060"/>
      <c r="F187" s="1546"/>
      <c r="G187" s="1527"/>
      <c r="H187" s="484"/>
      <c r="I187" s="2060">
        <v>6</v>
      </c>
      <c r="J187" s="126"/>
      <c r="K187" s="388"/>
      <c r="L187" s="1527"/>
      <c r="M187" s="1527"/>
      <c r="N187" s="1527"/>
      <c r="O187" s="1527"/>
    </row>
    <row r="188" spans="1:15" ht="13.9">
      <c r="A188" s="1510" t="str">
        <f>IF(AND(C182&lt;&gt;"",ISBLANK(D188)),"y",IF(D188="","n",""))</f>
        <v>n</v>
      </c>
      <c r="B188" s="1510"/>
      <c r="C188" s="468"/>
      <c r="D188" s="2060" t="str">
        <f>_xll.ciqfunctions.udf.CIQSPLIT(K182,I188,J182)</f>
        <v/>
      </c>
      <c r="E188" s="2060"/>
      <c r="F188" s="1546"/>
      <c r="G188" s="1527"/>
      <c r="H188" s="484"/>
      <c r="I188" s="2060">
        <v>7</v>
      </c>
      <c r="J188" s="126"/>
      <c r="K188" s="388"/>
      <c r="L188" s="1527"/>
      <c r="M188" s="1527"/>
      <c r="N188" s="1527"/>
      <c r="O188" s="1527"/>
    </row>
    <row r="189" spans="1:15" ht="13.9">
      <c r="A189" s="1510" t="str">
        <f>IF(AND(C182&lt;&gt;"",ISBLANK(D189)),"y",IF(D189="","n",""))</f>
        <v>n</v>
      </c>
      <c r="B189" s="1510"/>
      <c r="C189" s="468"/>
      <c r="D189" s="2060" t="str">
        <f>_xll.ciqfunctions.udf.CIQSPLIT(K182,I189,J182)</f>
        <v/>
      </c>
      <c r="E189" s="2060"/>
      <c r="F189" s="1546"/>
      <c r="G189" s="1525"/>
      <c r="H189" s="484"/>
      <c r="I189" s="2060">
        <v>8</v>
      </c>
      <c r="J189" s="126"/>
      <c r="K189" s="388"/>
      <c r="L189" s="1525"/>
      <c r="M189" s="1525"/>
      <c r="N189" s="1525"/>
      <c r="O189" s="1525"/>
    </row>
    <row r="190" spans="1:15" ht="12" customHeight="1">
      <c r="A190" s="1510" t="str">
        <f>IF(AND(C182&lt;&gt;"",ISBLANK(D190)),"y",IF(D190="","n",""))</f>
        <v>n</v>
      </c>
      <c r="B190" s="1510"/>
      <c r="C190" s="468"/>
      <c r="D190" s="2060" t="str">
        <f>_xll.ciqfunctions.udf.CIQSPLIT(K182,I190,J182)</f>
        <v/>
      </c>
      <c r="E190" s="2060"/>
      <c r="F190" s="1546"/>
      <c r="G190" s="1525"/>
      <c r="H190" s="484"/>
      <c r="I190" s="2060">
        <v>9</v>
      </c>
      <c r="J190" s="126"/>
      <c r="K190" s="388"/>
      <c r="L190" s="1525"/>
      <c r="M190" s="1525"/>
      <c r="N190" s="1525"/>
      <c r="O190" s="1525"/>
    </row>
    <row r="191" spans="1:15" ht="12" customHeight="1">
      <c r="A191" s="1510" t="str">
        <f>IF(AND(C182&lt;&gt;"",ISBLANK(D191)),"y",IF(D191="","n",""))</f>
        <v>n</v>
      </c>
      <c r="B191" s="1510"/>
      <c r="C191" s="468"/>
      <c r="D191" s="2060" t="str">
        <f>_xll.ciqfunctions.udf.CIQSPLIT(K182,I191,J182)</f>
        <v/>
      </c>
      <c r="E191" s="2060"/>
      <c r="F191" s="1546"/>
      <c r="G191" s="1525"/>
      <c r="H191" s="484"/>
      <c r="I191" s="2060">
        <v>10</v>
      </c>
      <c r="J191" s="126"/>
      <c r="K191" s="388"/>
      <c r="L191" s="1525"/>
      <c r="M191" s="1525"/>
      <c r="N191" s="1525"/>
      <c r="O191" s="1525"/>
    </row>
    <row r="192" spans="1:15" ht="12" customHeight="1">
      <c r="A192" s="1510" t="str">
        <f>IF(AND(C182&lt;&gt;"",ISBLANK(D192)),"y",IF(D192="","n",""))</f>
        <v>n</v>
      </c>
      <c r="B192" s="1510"/>
      <c r="C192" s="468"/>
      <c r="D192" s="2060" t="str">
        <f>_xll.ciqfunctions.udf.CIQSPLIT(K182,I192,J182)</f>
        <v/>
      </c>
      <c r="E192" s="2060"/>
      <c r="F192" s="1546"/>
      <c r="G192" s="1525"/>
      <c r="H192" s="484"/>
      <c r="I192" s="2060">
        <v>11</v>
      </c>
      <c r="J192" s="126"/>
      <c r="K192" s="388"/>
      <c r="L192" s="1525"/>
      <c r="M192" s="1525"/>
      <c r="N192" s="1525"/>
      <c r="O192" s="1525"/>
    </row>
    <row r="193" spans="1:13" ht="12" customHeight="1">
      <c r="A193" s="1510" t="str">
        <f>IF(AND(C182&lt;&gt;"",ISBLANK(D193)),"y",IF(D193="","n",""))</f>
        <v>n</v>
      </c>
      <c r="B193" s="1510"/>
      <c r="C193" s="468"/>
      <c r="D193" s="2060" t="str">
        <f>_xll.ciqfunctions.udf.CIQSPLIT(K182,I193,J182)</f>
        <v/>
      </c>
      <c r="E193" s="2060"/>
      <c r="F193" s="1546"/>
      <c r="G193" s="1525"/>
      <c r="H193" s="484"/>
      <c r="I193" s="2060">
        <v>12</v>
      </c>
      <c r="J193" s="126"/>
      <c r="K193" s="388"/>
      <c r="L193" s="1525"/>
      <c r="M193" s="1525"/>
    </row>
    <row r="194" spans="1:13" ht="12" customHeight="1">
      <c r="A194" s="1510" t="str">
        <f>IF(AND(C182&lt;&gt;"",ISBLANK(D194)),"y",IF(D194="","n",""))</f>
        <v>n</v>
      </c>
      <c r="B194" s="1510"/>
      <c r="C194" s="468"/>
      <c r="D194" s="2060" t="str">
        <f>_xll.ciqfunctions.udf.CIQSPLIT(K182,I194,J182)</f>
        <v/>
      </c>
      <c r="E194" s="2060"/>
      <c r="F194" s="1546"/>
      <c r="G194" s="1525"/>
      <c r="H194" s="484"/>
      <c r="I194" s="2060">
        <v>13</v>
      </c>
      <c r="J194" s="126"/>
      <c r="K194" s="388"/>
      <c r="L194" s="1525"/>
      <c r="M194" s="1525"/>
    </row>
    <row r="195" spans="1:13" ht="12" customHeight="1">
      <c r="A195" s="1510" t="str">
        <f>IF(AND(C182&lt;&gt;"",ISBLANK(D195)),"y",IF(D195="","n",""))</f>
        <v>n</v>
      </c>
      <c r="B195" s="1510"/>
      <c r="C195" s="468"/>
      <c r="D195" s="2060" t="str">
        <f>_xll.ciqfunctions.udf.CIQSPLIT(K182,I195,J182)</f>
        <v/>
      </c>
      <c r="E195" s="2060"/>
      <c r="F195" s="1546"/>
      <c r="G195" s="1525"/>
      <c r="H195" s="484"/>
      <c r="I195" s="2060">
        <v>14</v>
      </c>
      <c r="J195" s="126"/>
      <c r="K195" s="388"/>
      <c r="L195" s="1525"/>
      <c r="M195" s="1525"/>
    </row>
    <row r="196" spans="1:13" ht="12" customHeight="1">
      <c r="A196" s="1510" t="str">
        <f>IF(AND(C182&lt;&gt;"",ISBLANK(D196)),"y",IF(D196="","n",""))</f>
        <v>n</v>
      </c>
      <c r="B196" s="1510"/>
      <c r="C196" s="468"/>
      <c r="D196" s="468"/>
      <c r="E196" s="2060"/>
      <c r="F196" s="1546"/>
      <c r="G196" s="1525"/>
      <c r="H196" s="1525"/>
      <c r="I196" s="1525"/>
      <c r="J196" s="1525"/>
      <c r="K196" s="1525"/>
      <c r="L196" s="1525"/>
      <c r="M196" s="1525"/>
    </row>
    <row r="197" spans="1:13" ht="12" customHeight="1">
      <c r="A197" s="1510" t="str">
        <f>IF(AND(C197&lt;&gt;"",ISBLANK(D197)),"y",IF(D197="","n",""))</f>
        <v>n</v>
      </c>
      <c r="B197" s="1510"/>
      <c r="C197" s="468" t="str">
        <f>Settings!$L$116</f>
        <v/>
      </c>
      <c r="D197" s="2060" t="str">
        <f>_xll.ciqfunctions.udf.CIQSPLIT(K197,I197,J197)</f>
        <v/>
      </c>
      <c r="E197" s="2060"/>
      <c r="F197" s="1546"/>
      <c r="G197" s="1527"/>
      <c r="H197" s="485" t="str">
        <f>Settings!$M$116</f>
        <v/>
      </c>
      <c r="I197" s="2060">
        <v>1</v>
      </c>
      <c r="J197" s="126">
        <v>170</v>
      </c>
      <c r="K197" s="388" t="str">
        <f>IF(H197="","",_xll.ciqfunctions.udf.CIQ(H197,"IQ_Business_Description"))</f>
        <v/>
      </c>
      <c r="L197" s="1527"/>
      <c r="M197" s="1527"/>
    </row>
    <row r="198" spans="1:13" ht="12" customHeight="1">
      <c r="A198" s="1510" t="str">
        <f>IF(AND(C197&lt;&gt;"",ISBLANK(D198)),"y",IF(D198="","n",""))</f>
        <v>n</v>
      </c>
      <c r="B198" s="1510"/>
      <c r="C198" s="468"/>
      <c r="D198" s="2060" t="str">
        <f>_xll.ciqfunctions.udf.CIQSPLIT(K197,I198,J197)</f>
        <v/>
      </c>
      <c r="E198" s="2060"/>
      <c r="F198" s="1546"/>
      <c r="G198" s="1527"/>
      <c r="H198" s="484"/>
      <c r="I198" s="2060">
        <v>2</v>
      </c>
      <c r="J198" s="126"/>
      <c r="K198" s="388"/>
      <c r="L198" s="1527"/>
      <c r="M198" s="1527"/>
    </row>
    <row r="199" spans="1:13" ht="12" customHeight="1">
      <c r="A199" s="1510" t="str">
        <f>IF(AND(C197&lt;&gt;"",ISBLANK(D199)),"y",IF(D199="","n",""))</f>
        <v>n</v>
      </c>
      <c r="B199" s="1510"/>
      <c r="C199" s="468"/>
      <c r="D199" s="2060" t="str">
        <f>_xll.ciqfunctions.udf.CIQSPLIT(K197,I199,J197)</f>
        <v/>
      </c>
      <c r="E199" s="2060"/>
      <c r="F199" s="1546"/>
      <c r="G199" s="1527"/>
      <c r="H199" s="484"/>
      <c r="I199" s="2060">
        <v>3</v>
      </c>
      <c r="J199" s="126"/>
      <c r="K199" s="388"/>
      <c r="L199" s="1527"/>
      <c r="M199" s="1527"/>
    </row>
    <row r="200" spans="1:13" ht="12" customHeight="1">
      <c r="A200" s="1510" t="str">
        <f>IF(AND(C197&lt;&gt;"",ISBLANK(D200)),"y",IF(D200="","n",""))</f>
        <v>n</v>
      </c>
      <c r="B200" s="1510"/>
      <c r="C200" s="468"/>
      <c r="D200" s="2060" t="str">
        <f>_xll.ciqfunctions.udf.CIQSPLIT(K197,I200,J197)</f>
        <v/>
      </c>
      <c r="E200" s="2060"/>
      <c r="F200" s="1546"/>
      <c r="G200" s="1527"/>
      <c r="H200" s="484"/>
      <c r="I200" s="2060">
        <v>4</v>
      </c>
      <c r="J200" s="126"/>
      <c r="K200" s="388"/>
      <c r="L200" s="1527"/>
      <c r="M200" s="1527"/>
    </row>
    <row r="201" spans="1:13" ht="12" customHeight="1">
      <c r="A201" s="1510" t="str">
        <f>IF(AND(C197&lt;&gt;"",ISBLANK(D201)),"y",IF(D201="","n",""))</f>
        <v>n</v>
      </c>
      <c r="B201" s="1510"/>
      <c r="C201" s="468"/>
      <c r="D201" s="2060" t="str">
        <f>_xll.ciqfunctions.udf.CIQSPLIT(K197,I201,J197)</f>
        <v/>
      </c>
      <c r="E201" s="2060"/>
      <c r="F201" s="1546"/>
      <c r="G201" s="1527"/>
      <c r="H201" s="484"/>
      <c r="I201" s="2060">
        <v>5</v>
      </c>
      <c r="J201" s="126"/>
      <c r="K201" s="388"/>
      <c r="L201" s="1527"/>
      <c r="M201" s="1527"/>
    </row>
    <row r="202" spans="1:13" ht="12" customHeight="1">
      <c r="A202" s="1510" t="str">
        <f>IF(AND(C197&lt;&gt;"",ISBLANK(D202)),"y",IF(D202="","n",""))</f>
        <v>n</v>
      </c>
      <c r="B202" s="1510"/>
      <c r="C202" s="468"/>
      <c r="D202" s="2060" t="str">
        <f>_xll.ciqfunctions.udf.CIQSPLIT(K197,I202,J197)</f>
        <v/>
      </c>
      <c r="E202" s="2060"/>
      <c r="F202" s="1546"/>
      <c r="G202" s="1527"/>
      <c r="H202" s="484"/>
      <c r="I202" s="2060">
        <v>6</v>
      </c>
      <c r="J202" s="126"/>
      <c r="K202" s="388"/>
      <c r="L202" s="1527"/>
      <c r="M202" s="1527"/>
    </row>
    <row r="203" spans="1:13" ht="12" customHeight="1">
      <c r="A203" s="1510" t="str">
        <f>IF(AND(C197&lt;&gt;"",ISBLANK(D203)),"y",IF(D203="","n",""))</f>
        <v>n</v>
      </c>
      <c r="B203" s="1510"/>
      <c r="C203" s="468"/>
      <c r="D203" s="2060" t="str">
        <f>_xll.ciqfunctions.udf.CIQSPLIT(K197,I203,J197)</f>
        <v/>
      </c>
      <c r="E203" s="2060"/>
      <c r="F203" s="1546"/>
      <c r="G203" s="1527"/>
      <c r="H203" s="484"/>
      <c r="I203" s="2060">
        <v>7</v>
      </c>
      <c r="J203" s="126"/>
      <c r="K203" s="388"/>
      <c r="L203" s="1527"/>
      <c r="M203" s="1527"/>
    </row>
    <row r="204" spans="1:13" ht="12" customHeight="1">
      <c r="A204" s="1510" t="str">
        <f>IF(AND(C197&lt;&gt;"",ISBLANK(D204)),"y",IF(D204="","n",""))</f>
        <v>n</v>
      </c>
      <c r="B204" s="1510"/>
      <c r="C204" s="468"/>
      <c r="D204" s="2060" t="str">
        <f>_xll.ciqfunctions.udf.CIQSPLIT(K197,I204,J197)</f>
        <v/>
      </c>
      <c r="E204" s="2060"/>
      <c r="F204" s="1546"/>
      <c r="G204" s="1525"/>
      <c r="H204" s="484"/>
      <c r="I204" s="2060">
        <v>8</v>
      </c>
      <c r="J204" s="126"/>
      <c r="K204" s="388"/>
      <c r="L204" s="1525"/>
      <c r="M204" s="1525"/>
    </row>
    <row r="205" spans="1:13" ht="12" customHeight="1">
      <c r="A205" s="1510" t="str">
        <f>IF(AND(C197&lt;&gt;"",ISBLANK(D205)),"y",IF(D205="","n",""))</f>
        <v>n</v>
      </c>
      <c r="B205" s="1510"/>
      <c r="C205" s="468"/>
      <c r="D205" s="2060" t="str">
        <f>_xll.ciqfunctions.udf.CIQSPLIT(K197,I205,J197)</f>
        <v/>
      </c>
      <c r="E205" s="2060"/>
      <c r="F205" s="1546"/>
      <c r="G205" s="1525"/>
      <c r="H205" s="484"/>
      <c r="I205" s="2060">
        <v>9</v>
      </c>
      <c r="J205" s="126"/>
      <c r="K205" s="388"/>
      <c r="L205" s="1525"/>
      <c r="M205" s="1525"/>
    </row>
    <row r="206" spans="1:13" ht="12" customHeight="1">
      <c r="A206" s="1510" t="str">
        <f>IF(AND(C197&lt;&gt;"",ISBLANK(D206)),"y",IF(D206="","n",""))</f>
        <v>n</v>
      </c>
      <c r="B206" s="1510"/>
      <c r="C206" s="468"/>
      <c r="D206" s="2060" t="str">
        <f>_xll.ciqfunctions.udf.CIQSPLIT(K197,I206,J197)</f>
        <v/>
      </c>
      <c r="E206" s="2060"/>
      <c r="F206" s="1546"/>
      <c r="G206" s="1525"/>
      <c r="H206" s="484"/>
      <c r="I206" s="2060">
        <v>10</v>
      </c>
      <c r="J206" s="126"/>
      <c r="K206" s="388"/>
      <c r="L206" s="1525"/>
      <c r="M206" s="1525"/>
    </row>
    <row r="207" spans="1:13" ht="12" customHeight="1">
      <c r="A207" s="1510" t="str">
        <f>IF(AND(C197&lt;&gt;"",ISBLANK(D207)),"y",IF(D207="","n",""))</f>
        <v>n</v>
      </c>
      <c r="B207" s="1510"/>
      <c r="C207" s="468"/>
      <c r="D207" s="2060" t="str">
        <f>_xll.ciqfunctions.udf.CIQSPLIT(K197,I207,J197)</f>
        <v/>
      </c>
      <c r="E207" s="2060"/>
      <c r="F207" s="1546"/>
      <c r="G207" s="1525"/>
      <c r="H207" s="484"/>
      <c r="I207" s="2060">
        <v>11</v>
      </c>
      <c r="J207" s="126"/>
      <c r="K207" s="388"/>
      <c r="L207" s="1525"/>
      <c r="M207" s="1525"/>
    </row>
    <row r="208" spans="1:13" ht="12" customHeight="1">
      <c r="A208" s="1510" t="str">
        <f>IF(AND(C197&lt;&gt;"",ISBLANK(D208)),"y",IF(D208="","n",""))</f>
        <v>n</v>
      </c>
      <c r="B208" s="1510"/>
      <c r="C208" s="468"/>
      <c r="D208" s="2060" t="str">
        <f>_xll.ciqfunctions.udf.CIQSPLIT(K197,I208,J197)</f>
        <v/>
      </c>
      <c r="E208" s="2060"/>
      <c r="F208" s="1546"/>
      <c r="G208" s="1525"/>
      <c r="H208" s="484"/>
      <c r="I208" s="2060">
        <v>12</v>
      </c>
      <c r="J208" s="126"/>
      <c r="K208" s="388"/>
      <c r="L208" s="1525"/>
      <c r="M208" s="1525"/>
    </row>
    <row r="209" spans="1:11" ht="12" customHeight="1">
      <c r="A209" s="1510" t="str">
        <f>IF(AND(C197&lt;&gt;"",ISBLANK(D209)),"y",IF(D209="","n",""))</f>
        <v>n</v>
      </c>
      <c r="B209" s="1510"/>
      <c r="C209" s="468"/>
      <c r="D209" s="2060" t="str">
        <f>_xll.ciqfunctions.udf.CIQSPLIT(K197,I209,J197)</f>
        <v/>
      </c>
      <c r="E209" s="2060"/>
      <c r="F209" s="1546"/>
      <c r="G209" s="1525"/>
      <c r="H209" s="484"/>
      <c r="I209" s="2060">
        <v>13</v>
      </c>
      <c r="J209" s="126"/>
      <c r="K209" s="388"/>
    </row>
    <row r="210" spans="1:11" ht="12" customHeight="1">
      <c r="A210" s="1510" t="str">
        <f>IF(AND(C197&lt;&gt;"",ISBLANK(D210)),"y",IF(D210="","n",""))</f>
        <v>n</v>
      </c>
      <c r="B210" s="1510"/>
      <c r="C210" s="468"/>
      <c r="D210" s="2060" t="str">
        <f>_xll.ciqfunctions.udf.CIQSPLIT(K197,I210,J197)</f>
        <v/>
      </c>
      <c r="E210" s="2060"/>
      <c r="F210" s="1546"/>
      <c r="G210" s="1525"/>
      <c r="H210" s="484"/>
      <c r="I210" s="2060">
        <v>14</v>
      </c>
      <c r="J210" s="126"/>
      <c r="K210" s="388"/>
    </row>
    <row r="211" spans="1:11" ht="12" customHeight="1">
      <c r="A211" s="1510" t="str">
        <f>IF(AND(C197&lt;&gt;"",ISBLANK(D211)),"y",IF(D211="","n",""))</f>
        <v>n</v>
      </c>
      <c r="B211" s="1510"/>
      <c r="C211" s="468"/>
      <c r="D211" s="468"/>
      <c r="E211" s="468"/>
      <c r="F211" s="1546"/>
      <c r="G211" s="1525"/>
      <c r="H211" s="1525"/>
      <c r="I211" s="1525"/>
      <c r="J211" s="1525"/>
      <c r="K211" s="1525"/>
    </row>
    <row r="212" spans="1:11" ht="12" customHeight="1">
      <c r="A212" s="1557" t="str">
        <f>A143</f>
        <v>n</v>
      </c>
      <c r="B212" s="1557"/>
      <c r="C212" s="529" t="s">
        <v>1402</v>
      </c>
      <c r="D212" s="607"/>
      <c r="E212" s="607"/>
      <c r="F212" s="1557"/>
      <c r="G212" s="1525"/>
      <c r="H212" s="1525"/>
      <c r="I212" s="1525"/>
      <c r="J212" s="1525"/>
      <c r="K212" s="1525"/>
    </row>
    <row r="213" spans="1:11" ht="12" customHeight="1">
      <c r="A213" s="1510" t="s">
        <v>17</v>
      </c>
      <c r="B213" s="1510"/>
      <c r="C213" s="1557"/>
      <c r="D213" s="1557"/>
      <c r="E213" s="1546" t="str">
        <f>IF(A214="y","Continue","Page end")</f>
        <v>Page end</v>
      </c>
      <c r="F213" s="1510"/>
      <c r="G213" s="1525"/>
      <c r="H213" s="1525"/>
      <c r="I213" s="1525"/>
      <c r="J213" s="1525"/>
      <c r="K213" s="1525"/>
    </row>
    <row r="214" spans="1:11" s="1525" customFormat="1" ht="18" customHeight="1">
      <c r="A214" s="1510" t="str">
        <f>IF(COUNTIF(A223:A282,"y"),"y","n")</f>
        <v>n</v>
      </c>
      <c r="B214" s="1557"/>
      <c r="C214" s="838" t="str">
        <f>ClientName</f>
        <v/>
      </c>
      <c r="D214" s="292"/>
      <c r="E214" s="389" t="str">
        <f>$E$1&amp;" (contd.)"</f>
        <v>Workpaper 7 (contd.)</v>
      </c>
      <c r="F214" s="1557"/>
    </row>
    <row r="215" spans="1:11" s="1525" customFormat="1" ht="18" customHeight="1">
      <c r="A215" s="1510" t="str">
        <f>A214</f>
        <v>n</v>
      </c>
      <c r="B215" s="1557"/>
      <c r="C215" s="838" t="str">
        <f>CoNameHeading</f>
        <v>Client Name</v>
      </c>
      <c r="D215" s="369"/>
      <c r="F215" s="1557"/>
    </row>
    <row r="216" spans="1:11" s="1525" customFormat="1" ht="18" customHeight="1">
      <c r="A216" s="1510" t="str">
        <f>A214</f>
        <v>n</v>
      </c>
      <c r="B216" s="1557"/>
      <c r="C216" s="839" t="s">
        <v>1711</v>
      </c>
      <c r="D216" s="369"/>
      <c r="F216" s="1557"/>
    </row>
    <row r="217" spans="1:11" s="1525" customFormat="1" ht="18" customHeight="1">
      <c r="A217" s="1510" t="str">
        <f>A214</f>
        <v>n</v>
      </c>
      <c r="B217" s="1557"/>
      <c r="C217" s="840" t="str">
        <f>"Valuation as of "&amp; TEXT(Valuation_date,"d mmmm yyyy")</f>
        <v>Valuation as of 28 February 2017</v>
      </c>
      <c r="D217" s="2062"/>
      <c r="F217" s="1557"/>
    </row>
    <row r="218" spans="1:11" s="1525" customFormat="1" ht="12" customHeight="1">
      <c r="A218" s="1510" t="str">
        <f>A214</f>
        <v>n</v>
      </c>
      <c r="B218" s="1557"/>
      <c r="C218" s="366"/>
      <c r="D218" s="366"/>
      <c r="F218" s="1557"/>
    </row>
    <row r="219" spans="1:11" s="1525" customFormat="1" ht="12" customHeight="1">
      <c r="A219" s="1510" t="str">
        <f>A214</f>
        <v>n</v>
      </c>
      <c r="B219" s="1557"/>
      <c r="C219" s="340"/>
      <c r="D219" s="1526"/>
      <c r="F219" s="1557"/>
    </row>
    <row r="220" spans="1:11" s="1525" customFormat="1" ht="12" customHeight="1">
      <c r="A220" s="1510" t="str">
        <f>A214</f>
        <v>n</v>
      </c>
      <c r="B220" s="1557"/>
      <c r="C220" s="342"/>
      <c r="D220" s="341"/>
      <c r="F220" s="1557"/>
    </row>
    <row r="221" spans="1:11" s="1525" customFormat="1" ht="12" customHeight="1">
      <c r="A221" s="1510" t="str">
        <f>A214</f>
        <v>n</v>
      </c>
      <c r="B221" s="1557"/>
      <c r="C221" s="1299" t="s">
        <v>1712</v>
      </c>
      <c r="D221" s="1300" t="s">
        <v>1713</v>
      </c>
      <c r="E221" s="404"/>
      <c r="F221" s="1557"/>
    </row>
    <row r="222" spans="1:11" s="1525" customFormat="1" ht="12" customHeight="1">
      <c r="A222" s="1510" t="str">
        <f>A214</f>
        <v>n</v>
      </c>
      <c r="B222" s="1557"/>
      <c r="C222" s="1818"/>
      <c r="D222" s="607"/>
      <c r="E222" s="631"/>
      <c r="F222" s="1557"/>
    </row>
    <row r="223" spans="1:11" s="1527" customFormat="1" ht="13.9">
      <c r="A223" s="1510" t="str">
        <f>IF(AND(C223&lt;&gt;"",ISBLANK(D223)),"y",IF(D223="","n",""))</f>
        <v>n</v>
      </c>
      <c r="B223" s="1510"/>
      <c r="C223" s="468" t="str">
        <f>Settings!$L$117</f>
        <v/>
      </c>
      <c r="D223" s="2060" t="str">
        <f>_xll.ciqfunctions.udf.CIQSPLIT(K223,I223,J223)</f>
        <v/>
      </c>
      <c r="E223" s="2060"/>
      <c r="F223" s="1546"/>
      <c r="H223" s="485" t="str">
        <f>Settings!$M$117</f>
        <v/>
      </c>
      <c r="I223" s="2060">
        <v>1</v>
      </c>
      <c r="J223" s="126">
        <v>170</v>
      </c>
      <c r="K223" s="388" t="str">
        <f>IF(H223="","",_xll.ciqfunctions.udf.CIQ(H223,"IQ_Business_Description"))</f>
        <v/>
      </c>
    </row>
    <row r="224" spans="1:11" s="1527" customFormat="1" ht="13.9">
      <c r="A224" s="1510" t="str">
        <f>IF(AND(C223&lt;&gt;"",ISBLANK(D224)),"y",IF(D224="","n",""))</f>
        <v>n</v>
      </c>
      <c r="B224" s="1510"/>
      <c r="C224" s="468"/>
      <c r="D224" s="2060" t="str">
        <f>_xll.ciqfunctions.udf.CIQSPLIT(K223,I224,J223)</f>
        <v/>
      </c>
      <c r="E224" s="2060"/>
      <c r="F224" s="1546"/>
      <c r="H224" s="484"/>
      <c r="I224" s="2060">
        <v>2</v>
      </c>
      <c r="J224" s="126"/>
      <c r="K224" s="388"/>
    </row>
    <row r="225" spans="1:11" s="1527" customFormat="1" ht="13.9">
      <c r="A225" s="1510" t="str">
        <f>IF(AND(C223&lt;&gt;"",ISBLANK(D225)),"y",IF(D225="","n",""))</f>
        <v>n</v>
      </c>
      <c r="B225" s="1510"/>
      <c r="C225" s="468"/>
      <c r="D225" s="2060" t="str">
        <f>_xll.ciqfunctions.udf.CIQSPLIT(K223,I225,J223)</f>
        <v/>
      </c>
      <c r="E225" s="2060"/>
      <c r="F225" s="1546"/>
      <c r="H225" s="484"/>
      <c r="I225" s="2060">
        <v>3</v>
      </c>
      <c r="J225" s="126"/>
      <c r="K225" s="388"/>
    </row>
    <row r="226" spans="1:11" s="1527" customFormat="1" ht="13.9">
      <c r="A226" s="1510" t="str">
        <f>IF(AND(C223&lt;&gt;"",ISBLANK(D226)),"y",IF(D226="","n",""))</f>
        <v>n</v>
      </c>
      <c r="B226" s="1510"/>
      <c r="C226" s="468"/>
      <c r="D226" s="2060" t="str">
        <f>_xll.ciqfunctions.udf.CIQSPLIT(K223,I226,J223)</f>
        <v/>
      </c>
      <c r="E226" s="2060"/>
      <c r="F226" s="1546"/>
      <c r="H226" s="484"/>
      <c r="I226" s="2060">
        <v>4</v>
      </c>
      <c r="J226" s="126"/>
      <c r="K226" s="388"/>
    </row>
    <row r="227" spans="1:11" s="1527" customFormat="1" ht="13.9">
      <c r="A227" s="1510" t="str">
        <f>IF(AND(C223&lt;&gt;"",ISBLANK(D227)),"y",IF(D227="","n",""))</f>
        <v>n</v>
      </c>
      <c r="B227" s="1510"/>
      <c r="C227" s="468"/>
      <c r="D227" s="2060" t="str">
        <f>_xll.ciqfunctions.udf.CIQSPLIT(K223,I227,J223)</f>
        <v/>
      </c>
      <c r="E227" s="2060"/>
      <c r="F227" s="1546"/>
      <c r="H227" s="484"/>
      <c r="I227" s="2060">
        <v>5</v>
      </c>
      <c r="J227" s="126"/>
      <c r="K227" s="388"/>
    </row>
    <row r="228" spans="1:11" s="1527" customFormat="1" ht="13.9">
      <c r="A228" s="1510" t="str">
        <f>IF(AND(C223&lt;&gt;"",ISBLANK(D228)),"y",IF(D228="","n",""))</f>
        <v>n</v>
      </c>
      <c r="B228" s="1510"/>
      <c r="C228" s="468"/>
      <c r="D228" s="2060" t="str">
        <f>_xll.ciqfunctions.udf.CIQSPLIT(K223,I228,J223)</f>
        <v/>
      </c>
      <c r="E228" s="2060"/>
      <c r="F228" s="1546"/>
      <c r="H228" s="484"/>
      <c r="I228" s="2060">
        <v>6</v>
      </c>
      <c r="J228" s="126"/>
      <c r="K228" s="388"/>
    </row>
    <row r="229" spans="1:11" s="1527" customFormat="1" ht="13.9">
      <c r="A229" s="1510" t="str">
        <f>IF(AND(C223&lt;&gt;"",ISBLANK(D229)),"y",IF(D229="","n",""))</f>
        <v>n</v>
      </c>
      <c r="B229" s="1510"/>
      <c r="C229" s="468"/>
      <c r="D229" s="2060" t="str">
        <f>_xll.ciqfunctions.udf.CIQSPLIT(K223,I229,J223)</f>
        <v/>
      </c>
      <c r="E229" s="2060"/>
      <c r="F229" s="1546"/>
      <c r="H229" s="484"/>
      <c r="I229" s="2060">
        <v>7</v>
      </c>
      <c r="J229" s="126"/>
      <c r="K229" s="388"/>
    </row>
    <row r="230" spans="1:11" s="1527" customFormat="1" ht="13.9">
      <c r="A230" s="1510" t="str">
        <f>IF(AND(C223&lt;&gt;"",ISBLANK(D230)),"y",IF(D230="","n",""))</f>
        <v>n</v>
      </c>
      <c r="B230" s="1510"/>
      <c r="C230" s="468"/>
      <c r="D230" s="2060" t="str">
        <f>_xll.ciqfunctions.udf.CIQSPLIT(K223,I230,J223)</f>
        <v/>
      </c>
      <c r="E230" s="2060"/>
      <c r="F230" s="1546"/>
      <c r="H230" s="484"/>
      <c r="I230" s="2060">
        <v>8</v>
      </c>
      <c r="J230" s="126"/>
      <c r="K230" s="388"/>
    </row>
    <row r="231" spans="1:11" s="1527" customFormat="1" ht="13.9">
      <c r="A231" s="1510" t="str">
        <f>IF(AND(C223&lt;&gt;"",ISBLANK(D231)),"y",IF(D231="","n",""))</f>
        <v>n</v>
      </c>
      <c r="B231" s="1510"/>
      <c r="C231" s="468"/>
      <c r="D231" s="2060" t="str">
        <f>_xll.ciqfunctions.udf.CIQSPLIT(K223,I231,J223)</f>
        <v/>
      </c>
      <c r="E231" s="2060"/>
      <c r="F231" s="1546"/>
      <c r="H231" s="484"/>
      <c r="I231" s="2060">
        <v>9</v>
      </c>
      <c r="J231" s="126"/>
      <c r="K231" s="388"/>
    </row>
    <row r="232" spans="1:11" s="1527" customFormat="1" ht="13.9">
      <c r="A232" s="1510" t="str">
        <f>IF(AND(C223&lt;&gt;"",ISBLANK(D232)),"y",IF(D232="","n",""))</f>
        <v>n</v>
      </c>
      <c r="B232" s="1510"/>
      <c r="C232" s="468"/>
      <c r="D232" s="2060" t="str">
        <f>_xll.ciqfunctions.udf.CIQSPLIT(K223,I232,J223)</f>
        <v/>
      </c>
      <c r="E232" s="2060"/>
      <c r="F232" s="1546"/>
      <c r="H232" s="484"/>
      <c r="I232" s="2060">
        <v>10</v>
      </c>
      <c r="J232" s="126"/>
      <c r="K232" s="388"/>
    </row>
    <row r="233" spans="1:11" s="1527" customFormat="1" ht="13.9">
      <c r="A233" s="1510" t="str">
        <f>IF(AND(C223&lt;&gt;"",ISBLANK(D233)),"y",IF(D233="","n",""))</f>
        <v>n</v>
      </c>
      <c r="B233" s="1510"/>
      <c r="C233" s="468"/>
      <c r="D233" s="2060" t="str">
        <f>_xll.ciqfunctions.udf.CIQSPLIT(K223,I233,J223)</f>
        <v/>
      </c>
      <c r="E233" s="2060"/>
      <c r="F233" s="1546"/>
      <c r="H233" s="484"/>
      <c r="I233" s="2060">
        <v>11</v>
      </c>
      <c r="J233" s="126"/>
      <c r="K233" s="388"/>
    </row>
    <row r="234" spans="1:11" s="1527" customFormat="1" ht="13.9">
      <c r="A234" s="1510" t="str">
        <f>IF(AND(C223&lt;&gt;"",ISBLANK(D234)),"y",IF(D234="","n",""))</f>
        <v>n</v>
      </c>
      <c r="B234" s="1510"/>
      <c r="C234" s="468"/>
      <c r="D234" s="2060" t="str">
        <f>_xll.ciqfunctions.udf.CIQSPLIT(K223,I234,J223)</f>
        <v/>
      </c>
      <c r="E234" s="2060"/>
      <c r="F234" s="1546"/>
      <c r="H234" s="484"/>
      <c r="I234" s="2060">
        <v>12</v>
      </c>
      <c r="J234" s="126"/>
      <c r="K234" s="388"/>
    </row>
    <row r="235" spans="1:11" s="1527" customFormat="1" ht="13.9">
      <c r="A235" s="1510" t="str">
        <f>IF(AND(C223&lt;&gt;"",ISBLANK(D235)),"y",IF(D235="","n",""))</f>
        <v>n</v>
      </c>
      <c r="B235" s="1510"/>
      <c r="C235" s="468"/>
      <c r="D235" s="2060" t="str">
        <f>_xll.ciqfunctions.udf.CIQSPLIT(K223,I235,J223)</f>
        <v/>
      </c>
      <c r="E235" s="2060"/>
      <c r="F235" s="1546"/>
      <c r="H235" s="484"/>
      <c r="I235" s="2060">
        <v>13</v>
      </c>
      <c r="J235" s="126"/>
      <c r="K235" s="388"/>
    </row>
    <row r="236" spans="1:11" s="1527" customFormat="1" ht="13.9">
      <c r="A236" s="1510" t="str">
        <f>IF(AND(C223&lt;&gt;"",ISBLANK(D236)),"y",IF(D236="","n",""))</f>
        <v>n</v>
      </c>
      <c r="B236" s="1510"/>
      <c r="C236" s="468"/>
      <c r="D236" s="2060" t="str">
        <f>_xll.ciqfunctions.udf.CIQSPLIT(K223,I236,J223)</f>
        <v/>
      </c>
      <c r="E236" s="2060"/>
      <c r="F236" s="1546"/>
      <c r="H236" s="484"/>
      <c r="I236" s="2060">
        <v>14</v>
      </c>
      <c r="J236" s="126"/>
      <c r="K236" s="388"/>
    </row>
    <row r="237" spans="1:11" s="1527" customFormat="1" ht="13.9">
      <c r="A237" s="1510" t="str">
        <f>IF(AND(C223&lt;&gt;"",ISBLANK(D237)),"y",IF(D237="","n",""))</f>
        <v>n</v>
      </c>
      <c r="B237" s="1510"/>
      <c r="C237" s="468"/>
      <c r="D237" s="468"/>
      <c r="E237" s="2060"/>
      <c r="F237" s="1546"/>
      <c r="H237" s="484"/>
      <c r="I237" s="2060"/>
      <c r="J237" s="126"/>
      <c r="K237" s="388"/>
    </row>
    <row r="238" spans="1:11" s="1527" customFormat="1" ht="13.9">
      <c r="A238" s="1510" t="str">
        <f>IF(AND(C238&lt;&gt;"",ISBLANK(D238)),"y",IF(D238="","n",""))</f>
        <v>n</v>
      </c>
      <c r="B238" s="1510"/>
      <c r="C238" s="468" t="str">
        <f>Settings!$L$118</f>
        <v/>
      </c>
      <c r="D238" s="2060" t="str">
        <f>_xll.ciqfunctions.udf.CIQSPLIT(K238,I238,J238)</f>
        <v/>
      </c>
      <c r="E238" s="2060"/>
      <c r="F238" s="1546"/>
      <c r="H238" s="485" t="str">
        <f>Settings!$M$118</f>
        <v/>
      </c>
      <c r="I238" s="2060">
        <v>1</v>
      </c>
      <c r="J238" s="126">
        <v>170</v>
      </c>
      <c r="K238" s="388" t="str">
        <f>IF(H238="","",_xll.ciqfunctions.udf.CIQ(H238,"IQ_Business_Description"))</f>
        <v/>
      </c>
    </row>
    <row r="239" spans="1:11" s="1527" customFormat="1" ht="13.9">
      <c r="A239" s="1510" t="str">
        <f>IF(AND(C238&lt;&gt;"",ISBLANK(D239)),"y",IF(D239="","n",""))</f>
        <v>n</v>
      </c>
      <c r="B239" s="1510"/>
      <c r="C239" s="468"/>
      <c r="D239" s="2060" t="str">
        <f>_xll.ciqfunctions.udf.CIQSPLIT(K238,I239,J238)</f>
        <v/>
      </c>
      <c r="E239" s="2060"/>
      <c r="F239" s="1546"/>
      <c r="H239" s="484"/>
      <c r="I239" s="2060">
        <v>2</v>
      </c>
      <c r="J239" s="126"/>
      <c r="K239" s="388"/>
    </row>
    <row r="240" spans="1:11" s="1527" customFormat="1" ht="13.9">
      <c r="A240" s="1510" t="str">
        <f>IF(AND(C238&lt;&gt;"",ISBLANK(D240)),"y",IF(D240="","n",""))</f>
        <v>n</v>
      </c>
      <c r="B240" s="1510"/>
      <c r="C240" s="468"/>
      <c r="D240" s="2060" t="str">
        <f>_xll.ciqfunctions.udf.CIQSPLIT(K238,I240,J238)</f>
        <v/>
      </c>
      <c r="E240" s="2060"/>
      <c r="F240" s="1546"/>
      <c r="H240" s="484"/>
      <c r="I240" s="2060">
        <v>3</v>
      </c>
      <c r="J240" s="126"/>
      <c r="K240" s="388"/>
    </row>
    <row r="241" spans="1:15" s="1527" customFormat="1" ht="13.9">
      <c r="A241" s="1510" t="str">
        <f>IF(AND(C238&lt;&gt;"",ISBLANK(D241)),"y",IF(D241="","n",""))</f>
        <v>n</v>
      </c>
      <c r="B241" s="1510"/>
      <c r="C241" s="468"/>
      <c r="D241" s="2060" t="str">
        <f>_xll.ciqfunctions.udf.CIQSPLIT(K238,I241,J238)</f>
        <v/>
      </c>
      <c r="E241" s="2060"/>
      <c r="F241" s="1546"/>
      <c r="H241" s="484"/>
      <c r="I241" s="2060">
        <v>4</v>
      </c>
      <c r="J241" s="126"/>
      <c r="K241" s="388"/>
    </row>
    <row r="242" spans="1:15" s="1527" customFormat="1" ht="13.9">
      <c r="A242" s="1510" t="str">
        <f>IF(AND(C238&lt;&gt;"",ISBLANK(D242)),"y",IF(D242="","n",""))</f>
        <v>n</v>
      </c>
      <c r="B242" s="1510"/>
      <c r="C242" s="468"/>
      <c r="D242" s="2060" t="str">
        <f>_xll.ciqfunctions.udf.CIQSPLIT(K238,I242,J238)</f>
        <v/>
      </c>
      <c r="E242" s="2060"/>
      <c r="F242" s="1546"/>
      <c r="H242" s="484"/>
      <c r="I242" s="2060">
        <v>5</v>
      </c>
      <c r="J242" s="126"/>
      <c r="K242" s="388"/>
    </row>
    <row r="243" spans="1:15" s="1527" customFormat="1" ht="13.9">
      <c r="A243" s="1510" t="str">
        <f>IF(AND(C238&lt;&gt;"",ISBLANK(D243)),"y",IF(D243="","n",""))</f>
        <v>n</v>
      </c>
      <c r="B243" s="1510"/>
      <c r="C243" s="468"/>
      <c r="D243" s="2060" t="str">
        <f>_xll.ciqfunctions.udf.CIQSPLIT(K238,I243,J238)</f>
        <v/>
      </c>
      <c r="E243" s="2060"/>
      <c r="F243" s="1546"/>
      <c r="H243" s="484"/>
      <c r="I243" s="2060">
        <v>6</v>
      </c>
      <c r="J243" s="126"/>
      <c r="K243" s="388"/>
    </row>
    <row r="244" spans="1:15" s="1527" customFormat="1" ht="13.9">
      <c r="A244" s="1510" t="str">
        <f>IF(AND(C238&lt;&gt;"",ISBLANK(D244)),"y",IF(D244="","n",""))</f>
        <v>n</v>
      </c>
      <c r="B244" s="1510"/>
      <c r="C244" s="468"/>
      <c r="D244" s="2060" t="str">
        <f>_xll.ciqfunctions.udf.CIQSPLIT(K238,I244,J238)</f>
        <v/>
      </c>
      <c r="E244" s="2060"/>
      <c r="F244" s="1546"/>
      <c r="H244" s="484"/>
      <c r="I244" s="2060">
        <v>7</v>
      </c>
      <c r="J244" s="126"/>
      <c r="K244" s="388"/>
    </row>
    <row r="245" spans="1:15" s="1525" customFormat="1" ht="13.9">
      <c r="A245" s="1510" t="str">
        <f>IF(AND(C238&lt;&gt;"",ISBLANK(D245)),"y",IF(D245="","n",""))</f>
        <v>n</v>
      </c>
      <c r="B245" s="1510"/>
      <c r="C245" s="468"/>
      <c r="D245" s="2060" t="str">
        <f>_xll.ciqfunctions.udf.CIQSPLIT(K238,I245,J238)</f>
        <v/>
      </c>
      <c r="E245" s="2060"/>
      <c r="F245" s="1546"/>
      <c r="H245" s="484"/>
      <c r="I245" s="2060">
        <v>8</v>
      </c>
      <c r="J245" s="126"/>
      <c r="K245" s="388"/>
    </row>
    <row r="246" spans="1:15" s="1525" customFormat="1" ht="12" customHeight="1">
      <c r="A246" s="1510" t="str">
        <f>IF(AND(C238&lt;&gt;"",ISBLANK(D246)),"y",IF(D246="","n",""))</f>
        <v>n</v>
      </c>
      <c r="B246" s="1510"/>
      <c r="C246" s="468"/>
      <c r="D246" s="2060" t="str">
        <f>_xll.ciqfunctions.udf.CIQSPLIT(K238,I246,J238)</f>
        <v/>
      </c>
      <c r="E246" s="2060"/>
      <c r="F246" s="1546"/>
      <c r="H246" s="484"/>
      <c r="I246" s="2060">
        <v>9</v>
      </c>
      <c r="J246" s="126"/>
      <c r="K246" s="388"/>
    </row>
    <row r="247" spans="1:15" s="1525" customFormat="1" ht="12" customHeight="1">
      <c r="A247" s="1510" t="str">
        <f>IF(AND(C238&lt;&gt;"",ISBLANK(D247)),"y",IF(D247="","n",""))</f>
        <v>n</v>
      </c>
      <c r="B247" s="1510"/>
      <c r="C247" s="468"/>
      <c r="D247" s="2060" t="str">
        <f>_xll.ciqfunctions.udf.CIQSPLIT(K238,I247,J238)</f>
        <v/>
      </c>
      <c r="E247" s="2060"/>
      <c r="F247" s="1546"/>
      <c r="H247" s="484"/>
      <c r="I247" s="2060">
        <v>10</v>
      </c>
      <c r="J247" s="126"/>
      <c r="K247" s="388"/>
    </row>
    <row r="248" spans="1:15" s="1525" customFormat="1" ht="13.9">
      <c r="A248" s="1510" t="str">
        <f>IF(AND(C238&lt;&gt;"",ISBLANK(D248)),"y",IF(D248="","n",""))</f>
        <v>n</v>
      </c>
      <c r="B248" s="1510"/>
      <c r="C248" s="468"/>
      <c r="D248" s="2060" t="str">
        <f>_xll.ciqfunctions.udf.CIQSPLIT(K238,I248,J238)</f>
        <v/>
      </c>
      <c r="E248" s="2060"/>
      <c r="F248" s="1546"/>
      <c r="H248" s="484"/>
      <c r="I248" s="2060">
        <v>11</v>
      </c>
      <c r="J248" s="126"/>
      <c r="K248" s="388"/>
    </row>
    <row r="249" spans="1:15" s="1525" customFormat="1" ht="13.9">
      <c r="A249" s="1510" t="str">
        <f>IF(AND(C238&lt;&gt;"",ISBLANK(D249)),"y",IF(D249="","n",""))</f>
        <v>n</v>
      </c>
      <c r="B249" s="1510"/>
      <c r="C249" s="468"/>
      <c r="D249" s="2060" t="str">
        <f>_xll.ciqfunctions.udf.CIQSPLIT(K238,I249,J238)</f>
        <v/>
      </c>
      <c r="E249" s="2060"/>
      <c r="F249" s="1546"/>
      <c r="H249" s="484"/>
      <c r="I249" s="2060">
        <v>12</v>
      </c>
      <c r="J249" s="126"/>
      <c r="K249" s="388"/>
    </row>
    <row r="250" spans="1:15" s="1525" customFormat="1" ht="12" customHeight="1">
      <c r="A250" s="1510" t="str">
        <f>IF(AND(C238&lt;&gt;"",ISBLANK(D250)),"y",IF(D250="","n",""))</f>
        <v>n</v>
      </c>
      <c r="B250" s="1510"/>
      <c r="C250" s="468"/>
      <c r="D250" s="2060" t="str">
        <f>_xll.ciqfunctions.udf.CIQSPLIT(K238,I250,J238)</f>
        <v/>
      </c>
      <c r="E250" s="2060"/>
      <c r="F250" s="1546"/>
      <c r="H250" s="484"/>
      <c r="I250" s="2060">
        <v>13</v>
      </c>
      <c r="J250" s="126"/>
      <c r="K250" s="388"/>
    </row>
    <row r="251" spans="1:15" s="1525" customFormat="1" ht="12" customHeight="1">
      <c r="A251" s="1510" t="str">
        <f>IF(AND(C238&lt;&gt;"",ISBLANK(D251)),"y",IF(D251="","n",""))</f>
        <v>n</v>
      </c>
      <c r="B251" s="1510"/>
      <c r="C251" s="468"/>
      <c r="D251" s="2060" t="str">
        <f>_xll.ciqfunctions.udf.CIQSPLIT(K238,I251,J238)</f>
        <v/>
      </c>
      <c r="E251" s="2060"/>
      <c r="F251" s="1546"/>
      <c r="H251" s="484"/>
      <c r="I251" s="2060">
        <v>14</v>
      </c>
      <c r="J251" s="126"/>
      <c r="K251" s="388"/>
    </row>
    <row r="252" spans="1:15" s="1525" customFormat="1" ht="12" customHeight="1">
      <c r="A252" s="1510" t="str">
        <f>IF(AND(C238&lt;&gt;"",ISBLANK(D252)),"y",IF(D252="","n",""))</f>
        <v>n</v>
      </c>
      <c r="B252" s="1510"/>
      <c r="C252" s="468"/>
      <c r="D252" s="468"/>
      <c r="E252" s="2060"/>
      <c r="F252" s="1546"/>
    </row>
    <row r="253" spans="1:15" s="1525" customFormat="1" ht="12" customHeight="1">
      <c r="A253" s="1510" t="str">
        <f>IF(AND(C253&lt;&gt;"",ISBLANK(D253)),"y",IF(D253="","n",""))</f>
        <v>n</v>
      </c>
      <c r="B253" s="1510"/>
      <c r="C253" s="468" t="str">
        <f>Settings!$L$119</f>
        <v/>
      </c>
      <c r="D253" s="2060" t="str">
        <f>_xll.ciqfunctions.udf.CIQSPLIT(K253,I253,J253)</f>
        <v/>
      </c>
      <c r="E253" s="2060"/>
      <c r="F253" s="1546"/>
      <c r="G253" s="1527"/>
      <c r="H253" s="485" t="str">
        <f>Settings!$M$119</f>
        <v/>
      </c>
      <c r="I253" s="2060">
        <v>1</v>
      </c>
      <c r="J253" s="126">
        <v>170</v>
      </c>
      <c r="K253" s="388" t="str">
        <f>IF(H253="","",_xll.ciqfunctions.udf.CIQ(H253,"IQ_Business_Description"))</f>
        <v/>
      </c>
      <c r="L253" s="1527"/>
      <c r="M253" s="1527"/>
      <c r="N253" s="1527"/>
      <c r="O253" s="1527"/>
    </row>
    <row r="254" spans="1:15" s="1525" customFormat="1" ht="12.75" customHeight="1">
      <c r="A254" s="1510" t="str">
        <f>IF(AND(C253&lt;&gt;"",ISBLANK(D254)),"y",IF(D254="","n",""))</f>
        <v>n</v>
      </c>
      <c r="B254" s="1510"/>
      <c r="C254" s="468"/>
      <c r="D254" s="2060" t="str">
        <f>_xll.ciqfunctions.udf.CIQSPLIT(K253,I254,J253)</f>
        <v/>
      </c>
      <c r="E254" s="2060"/>
      <c r="F254" s="1546"/>
      <c r="G254" s="1527"/>
      <c r="H254" s="484"/>
      <c r="I254" s="2060">
        <v>2</v>
      </c>
      <c r="J254" s="126"/>
      <c r="K254" s="388"/>
      <c r="L254" s="1527"/>
      <c r="M254" s="1527"/>
      <c r="N254" s="1527"/>
      <c r="O254" s="1527"/>
    </row>
    <row r="255" spans="1:15" s="1525" customFormat="1" ht="13.9">
      <c r="A255" s="1510" t="str">
        <f>IF(AND(C253&lt;&gt;"",ISBLANK(D255)),"y",IF(D255="","n",""))</f>
        <v>n</v>
      </c>
      <c r="B255" s="1510"/>
      <c r="C255" s="468"/>
      <c r="D255" s="2060" t="str">
        <f>_xll.ciqfunctions.udf.CIQSPLIT(K253,I255,J253)</f>
        <v/>
      </c>
      <c r="E255" s="2060"/>
      <c r="F255" s="1546"/>
      <c r="G255" s="1527"/>
      <c r="H255" s="484"/>
      <c r="I255" s="2060">
        <v>3</v>
      </c>
      <c r="J255" s="126"/>
      <c r="K255" s="388"/>
      <c r="L255" s="1527"/>
      <c r="M255" s="1527"/>
      <c r="N255" s="1527"/>
      <c r="O255" s="1527"/>
    </row>
    <row r="256" spans="1:15" s="1525" customFormat="1" ht="13.9">
      <c r="A256" s="1510" t="str">
        <f>IF(AND(C253&lt;&gt;"",ISBLANK(D256)),"y",IF(D256="","n",""))</f>
        <v>n</v>
      </c>
      <c r="B256" s="1510"/>
      <c r="C256" s="468"/>
      <c r="D256" s="2060" t="str">
        <f>_xll.ciqfunctions.udf.CIQSPLIT(K253,I256,J253)</f>
        <v/>
      </c>
      <c r="E256" s="2060"/>
      <c r="F256" s="1546"/>
      <c r="G256" s="1527"/>
      <c r="H256" s="484"/>
      <c r="I256" s="2060">
        <v>4</v>
      </c>
      <c r="J256" s="126"/>
      <c r="K256" s="388"/>
      <c r="L256" s="1527"/>
      <c r="M256" s="1527"/>
      <c r="N256" s="1527"/>
      <c r="O256" s="1527"/>
    </row>
    <row r="257" spans="1:15" s="1525" customFormat="1" ht="13.9">
      <c r="A257" s="1510" t="str">
        <f>IF(AND(C253&lt;&gt;"",ISBLANK(D257)),"y",IF(D257="","n",""))</f>
        <v>n</v>
      </c>
      <c r="B257" s="1510"/>
      <c r="C257" s="468"/>
      <c r="D257" s="2060" t="str">
        <f>_xll.ciqfunctions.udf.CIQSPLIT(K253,I257,J253)</f>
        <v/>
      </c>
      <c r="E257" s="2060"/>
      <c r="F257" s="1546"/>
      <c r="G257" s="1527"/>
      <c r="H257" s="484"/>
      <c r="I257" s="2060">
        <v>5</v>
      </c>
      <c r="J257" s="126"/>
      <c r="K257" s="388"/>
      <c r="L257" s="1527"/>
      <c r="M257" s="1527"/>
      <c r="N257" s="1527"/>
      <c r="O257" s="1527"/>
    </row>
    <row r="258" spans="1:15" s="1525" customFormat="1" ht="13.9">
      <c r="A258" s="1510" t="str">
        <f>IF(AND(C253&lt;&gt;"",ISBLANK(D258)),"y",IF(D258="","n",""))</f>
        <v>n</v>
      </c>
      <c r="B258" s="1510"/>
      <c r="C258" s="468"/>
      <c r="D258" s="2060" t="str">
        <f>_xll.ciqfunctions.udf.CIQSPLIT(K253,I258,J253)</f>
        <v/>
      </c>
      <c r="E258" s="2060"/>
      <c r="F258" s="1546"/>
      <c r="G258" s="1527"/>
      <c r="H258" s="484"/>
      <c r="I258" s="2060">
        <v>6</v>
      </c>
      <c r="J258" s="126"/>
      <c r="K258" s="388"/>
      <c r="L258" s="1527"/>
      <c r="M258" s="1527"/>
      <c r="N258" s="1527"/>
      <c r="O258" s="1527"/>
    </row>
    <row r="259" spans="1:15" s="1525" customFormat="1" ht="13.9">
      <c r="A259" s="1510" t="str">
        <f>IF(AND(C253&lt;&gt;"",ISBLANK(D259)),"y",IF(D259="","n",""))</f>
        <v>n</v>
      </c>
      <c r="B259" s="1510"/>
      <c r="C259" s="468"/>
      <c r="D259" s="2060" t="str">
        <f>_xll.ciqfunctions.udf.CIQSPLIT(K253,I259,J253)</f>
        <v/>
      </c>
      <c r="E259" s="2060"/>
      <c r="F259" s="1546"/>
      <c r="G259" s="1527"/>
      <c r="H259" s="484"/>
      <c r="I259" s="2060">
        <v>7</v>
      </c>
      <c r="J259" s="126"/>
      <c r="K259" s="388"/>
      <c r="L259" s="1527"/>
      <c r="M259" s="1527"/>
      <c r="N259" s="1527"/>
      <c r="O259" s="1527"/>
    </row>
    <row r="260" spans="1:15" s="1525" customFormat="1" ht="13.9">
      <c r="A260" s="1510" t="str">
        <f>IF(AND(C253&lt;&gt;"",ISBLANK(D260)),"y",IF(D260="","n",""))</f>
        <v>n</v>
      </c>
      <c r="B260" s="1510"/>
      <c r="C260" s="468"/>
      <c r="D260" s="2060" t="str">
        <f>_xll.ciqfunctions.udf.CIQSPLIT(K253,I260,J253)</f>
        <v/>
      </c>
      <c r="E260" s="2060"/>
      <c r="F260" s="1546"/>
      <c r="H260" s="484"/>
      <c r="I260" s="2060">
        <v>8</v>
      </c>
      <c r="J260" s="126"/>
      <c r="K260" s="388"/>
    </row>
    <row r="261" spans="1:15" s="1525" customFormat="1" ht="12" customHeight="1">
      <c r="A261" s="1510" t="str">
        <f>IF(AND(C253&lt;&gt;"",ISBLANK(D261)),"y",IF(D261="","n",""))</f>
        <v>n</v>
      </c>
      <c r="B261" s="1510"/>
      <c r="C261" s="468"/>
      <c r="D261" s="2060" t="str">
        <f>_xll.ciqfunctions.udf.CIQSPLIT(K253,I261,J253)</f>
        <v/>
      </c>
      <c r="E261" s="2060"/>
      <c r="F261" s="1546"/>
      <c r="H261" s="484"/>
      <c r="I261" s="2060">
        <v>9</v>
      </c>
      <c r="J261" s="126"/>
      <c r="K261" s="388"/>
    </row>
    <row r="262" spans="1:15" s="1525" customFormat="1" ht="12" customHeight="1">
      <c r="A262" s="1510" t="str">
        <f>IF(AND(C253&lt;&gt;"",ISBLANK(D262)),"y",IF(D262="","n",""))</f>
        <v>n</v>
      </c>
      <c r="B262" s="1510"/>
      <c r="C262" s="468"/>
      <c r="D262" s="2060" t="str">
        <f>_xll.ciqfunctions.udf.CIQSPLIT(K253,I262,J253)</f>
        <v/>
      </c>
      <c r="E262" s="2060"/>
      <c r="F262" s="1546"/>
      <c r="H262" s="484"/>
      <c r="I262" s="2060">
        <v>10</v>
      </c>
      <c r="J262" s="126"/>
      <c r="K262" s="388"/>
    </row>
    <row r="263" spans="1:15" s="1525" customFormat="1" ht="12" customHeight="1">
      <c r="A263" s="1510" t="str">
        <f>IF(AND(C253&lt;&gt;"",ISBLANK(D263)),"y",IF(D263="","n",""))</f>
        <v>n</v>
      </c>
      <c r="B263" s="1510"/>
      <c r="C263" s="468"/>
      <c r="D263" s="2060" t="str">
        <f>_xll.ciqfunctions.udf.CIQSPLIT(K253,I263,J253)</f>
        <v/>
      </c>
      <c r="E263" s="2060"/>
      <c r="F263" s="1546"/>
      <c r="H263" s="484"/>
      <c r="I263" s="2060">
        <v>11</v>
      </c>
      <c r="J263" s="126"/>
      <c r="K263" s="388"/>
    </row>
    <row r="264" spans="1:15" s="1525" customFormat="1" ht="12" customHeight="1">
      <c r="A264" s="1510" t="str">
        <f>IF(AND(C253&lt;&gt;"",ISBLANK(D264)),"y",IF(D264="","n",""))</f>
        <v>n</v>
      </c>
      <c r="B264" s="1510"/>
      <c r="C264" s="468"/>
      <c r="D264" s="2060" t="str">
        <f>_xll.ciqfunctions.udf.CIQSPLIT(K253,I264,J253)</f>
        <v/>
      </c>
      <c r="E264" s="2060"/>
      <c r="F264" s="1546"/>
      <c r="H264" s="484"/>
      <c r="I264" s="2060">
        <v>12</v>
      </c>
      <c r="J264" s="126"/>
      <c r="K264" s="388"/>
    </row>
    <row r="265" spans="1:15" s="1525" customFormat="1" ht="12" customHeight="1">
      <c r="A265" s="1510" t="str">
        <f>IF(AND(C253&lt;&gt;"",ISBLANK(D265)),"y",IF(D265="","n",""))</f>
        <v>n</v>
      </c>
      <c r="B265" s="1510"/>
      <c r="C265" s="468"/>
      <c r="D265" s="2060" t="str">
        <f>_xll.ciqfunctions.udf.CIQSPLIT(K253,I265,J253)</f>
        <v/>
      </c>
      <c r="E265" s="2060"/>
      <c r="F265" s="1546"/>
      <c r="H265" s="484"/>
      <c r="I265" s="2060">
        <v>13</v>
      </c>
      <c r="J265" s="126"/>
      <c r="K265" s="388"/>
    </row>
    <row r="266" spans="1:15" s="1525" customFormat="1" ht="12" customHeight="1">
      <c r="A266" s="1510" t="str">
        <f>IF(AND(C253&lt;&gt;"",ISBLANK(D266)),"y",IF(D266="","n",""))</f>
        <v>n</v>
      </c>
      <c r="B266" s="1510"/>
      <c r="C266" s="468"/>
      <c r="D266" s="2060" t="str">
        <f>_xll.ciqfunctions.udf.CIQSPLIT(K253,I266,J253)</f>
        <v/>
      </c>
      <c r="E266" s="2060"/>
      <c r="F266" s="1546"/>
      <c r="H266" s="484"/>
      <c r="I266" s="2060">
        <v>14</v>
      </c>
      <c r="J266" s="126"/>
      <c r="K266" s="388"/>
    </row>
    <row r="267" spans="1:15" s="1525" customFormat="1" ht="12" customHeight="1">
      <c r="A267" s="1510" t="str">
        <f>IF(AND(C253&lt;&gt;"",ISBLANK(D267)),"y",IF(D267="","n",""))</f>
        <v>n</v>
      </c>
      <c r="B267" s="1510"/>
      <c r="C267" s="468"/>
      <c r="D267" s="468"/>
      <c r="E267" s="2060"/>
      <c r="F267" s="1546"/>
    </row>
    <row r="268" spans="1:15" s="1525" customFormat="1" ht="12" customHeight="1">
      <c r="A268" s="1510" t="str">
        <f>IF(AND(C268&lt;&gt;"",ISBLANK(D268)),"y",IF(D268="","n",""))</f>
        <v>n</v>
      </c>
      <c r="B268" s="1510"/>
      <c r="C268" s="468" t="str">
        <f>Settings!$L$120</f>
        <v/>
      </c>
      <c r="D268" s="2060" t="str">
        <f>_xll.ciqfunctions.udf.CIQSPLIT(K268,I268,J268)</f>
        <v/>
      </c>
      <c r="E268" s="2060"/>
      <c r="F268" s="1546"/>
      <c r="G268" s="1527"/>
      <c r="H268" s="485" t="str">
        <f>Settings!$M$120</f>
        <v/>
      </c>
      <c r="I268" s="2060">
        <v>1</v>
      </c>
      <c r="J268" s="126">
        <v>170</v>
      </c>
      <c r="K268" s="388" t="str">
        <f>IF(H268="","",_xll.ciqfunctions.udf.CIQ(H268,"IQ_Business_Description"))</f>
        <v/>
      </c>
      <c r="L268" s="1527"/>
      <c r="M268" s="1527"/>
    </row>
    <row r="269" spans="1:15" s="1525" customFormat="1" ht="12" customHeight="1">
      <c r="A269" s="1510" t="str">
        <f>IF(AND(C268&lt;&gt;"",ISBLANK(D269)),"y",IF(D269="","n",""))</f>
        <v>n</v>
      </c>
      <c r="B269" s="1510"/>
      <c r="C269" s="468"/>
      <c r="D269" s="2060" t="str">
        <f>_xll.ciqfunctions.udf.CIQSPLIT(K268,I269,J268)</f>
        <v/>
      </c>
      <c r="E269" s="2060"/>
      <c r="F269" s="1546"/>
      <c r="G269" s="1527"/>
      <c r="H269" s="484"/>
      <c r="I269" s="2060">
        <v>2</v>
      </c>
      <c r="J269" s="126"/>
      <c r="K269" s="388"/>
      <c r="L269" s="1527"/>
      <c r="M269" s="1527"/>
    </row>
    <row r="270" spans="1:15" s="1525" customFormat="1" ht="12" customHeight="1">
      <c r="A270" s="1510" t="str">
        <f>IF(AND(C268&lt;&gt;"",ISBLANK(D270)),"y",IF(D270="","n",""))</f>
        <v>n</v>
      </c>
      <c r="B270" s="1510"/>
      <c r="C270" s="468"/>
      <c r="D270" s="2060" t="str">
        <f>_xll.ciqfunctions.udf.CIQSPLIT(K268,I270,J268)</f>
        <v/>
      </c>
      <c r="E270" s="2060"/>
      <c r="F270" s="1546"/>
      <c r="G270" s="1527"/>
      <c r="H270" s="484"/>
      <c r="I270" s="2060">
        <v>3</v>
      </c>
      <c r="J270" s="126"/>
      <c r="K270" s="388"/>
      <c r="L270" s="1527"/>
      <c r="M270" s="1527"/>
    </row>
    <row r="271" spans="1:15" s="1525" customFormat="1" ht="12" customHeight="1">
      <c r="A271" s="1510" t="str">
        <f>IF(AND(C268&lt;&gt;"",ISBLANK(D271)),"y",IF(D271="","n",""))</f>
        <v>n</v>
      </c>
      <c r="B271" s="1510"/>
      <c r="C271" s="468"/>
      <c r="D271" s="2060" t="str">
        <f>_xll.ciqfunctions.udf.CIQSPLIT(K268,I271,J268)</f>
        <v/>
      </c>
      <c r="E271" s="2060"/>
      <c r="F271" s="1546"/>
      <c r="G271" s="1527"/>
      <c r="H271" s="484"/>
      <c r="I271" s="2060">
        <v>4</v>
      </c>
      <c r="J271" s="126"/>
      <c r="K271" s="388"/>
      <c r="L271" s="1527"/>
      <c r="M271" s="1527"/>
    </row>
    <row r="272" spans="1:15" s="1525" customFormat="1" ht="12" customHeight="1">
      <c r="A272" s="1510" t="str">
        <f>IF(AND(C268&lt;&gt;"",ISBLANK(D272)),"y",IF(D272="","n",""))</f>
        <v>n</v>
      </c>
      <c r="B272" s="1510"/>
      <c r="C272" s="468"/>
      <c r="D272" s="2060" t="str">
        <f>_xll.ciqfunctions.udf.CIQSPLIT(K268,I272,J268)</f>
        <v/>
      </c>
      <c r="E272" s="2060"/>
      <c r="F272" s="1546"/>
      <c r="G272" s="1527"/>
      <c r="H272" s="484"/>
      <c r="I272" s="2060">
        <v>5</v>
      </c>
      <c r="J272" s="126"/>
      <c r="K272" s="388"/>
      <c r="L272" s="1527"/>
      <c r="M272" s="1527"/>
    </row>
    <row r="273" spans="1:13" s="1525" customFormat="1" ht="12" customHeight="1">
      <c r="A273" s="1510" t="str">
        <f>IF(AND(C268&lt;&gt;"",ISBLANK(D273)),"y",IF(D273="","n",""))</f>
        <v>n</v>
      </c>
      <c r="B273" s="1510"/>
      <c r="C273" s="468"/>
      <c r="D273" s="2060" t="str">
        <f>_xll.ciqfunctions.udf.CIQSPLIT(K268,I273,J268)</f>
        <v/>
      </c>
      <c r="E273" s="2060"/>
      <c r="F273" s="1546"/>
      <c r="G273" s="1527"/>
      <c r="H273" s="484"/>
      <c r="I273" s="2060">
        <v>6</v>
      </c>
      <c r="J273" s="126"/>
      <c r="K273" s="388"/>
      <c r="L273" s="1527"/>
      <c r="M273" s="1527"/>
    </row>
    <row r="274" spans="1:13" s="1525" customFormat="1" ht="12" customHeight="1">
      <c r="A274" s="1510" t="str">
        <f>IF(AND(C268&lt;&gt;"",ISBLANK(D274)),"y",IF(D274="","n",""))</f>
        <v>n</v>
      </c>
      <c r="B274" s="1510"/>
      <c r="C274" s="468"/>
      <c r="D274" s="2060" t="str">
        <f>_xll.ciqfunctions.udf.CIQSPLIT(K268,I274,J268)</f>
        <v/>
      </c>
      <c r="E274" s="2060"/>
      <c r="F274" s="1546"/>
      <c r="G274" s="1527"/>
      <c r="H274" s="484"/>
      <c r="I274" s="2060">
        <v>7</v>
      </c>
      <c r="J274" s="126"/>
      <c r="K274" s="388"/>
      <c r="L274" s="1527"/>
      <c r="M274" s="1527"/>
    </row>
    <row r="275" spans="1:13" s="1525" customFormat="1" ht="12" customHeight="1">
      <c r="A275" s="1510" t="str">
        <f>IF(AND(C268&lt;&gt;"",ISBLANK(D275)),"y",IF(D275="","n",""))</f>
        <v>n</v>
      </c>
      <c r="B275" s="1510"/>
      <c r="C275" s="468"/>
      <c r="D275" s="2060" t="str">
        <f>_xll.ciqfunctions.udf.CIQSPLIT(K268,I275,J268)</f>
        <v/>
      </c>
      <c r="E275" s="2060"/>
      <c r="F275" s="1546"/>
      <c r="H275" s="484"/>
      <c r="I275" s="2060">
        <v>8</v>
      </c>
      <c r="J275" s="126"/>
      <c r="K275" s="388"/>
    </row>
    <row r="276" spans="1:13" s="1525" customFormat="1" ht="12" customHeight="1">
      <c r="A276" s="1510" t="str">
        <f>IF(AND(C268&lt;&gt;"",ISBLANK(D276)),"y",IF(D276="","n",""))</f>
        <v>n</v>
      </c>
      <c r="B276" s="1510"/>
      <c r="C276" s="468"/>
      <c r="D276" s="2060" t="str">
        <f>_xll.ciqfunctions.udf.CIQSPLIT(K268,I276,J268)</f>
        <v/>
      </c>
      <c r="E276" s="2060"/>
      <c r="F276" s="1546"/>
      <c r="H276" s="484"/>
      <c r="I276" s="2060">
        <v>9</v>
      </c>
      <c r="J276" s="126"/>
      <c r="K276" s="388"/>
    </row>
    <row r="277" spans="1:13" s="1525" customFormat="1" ht="12" customHeight="1">
      <c r="A277" s="1510" t="str">
        <f>IF(AND(C268&lt;&gt;"",ISBLANK(D277)),"y",IF(D277="","n",""))</f>
        <v>n</v>
      </c>
      <c r="B277" s="1510"/>
      <c r="C277" s="468"/>
      <c r="D277" s="2060" t="str">
        <f>_xll.ciqfunctions.udf.CIQSPLIT(K268,I277,J268)</f>
        <v/>
      </c>
      <c r="E277" s="2060"/>
      <c r="F277" s="1546"/>
      <c r="H277" s="484"/>
      <c r="I277" s="2060">
        <v>10</v>
      </c>
      <c r="J277" s="126"/>
      <c r="K277" s="388"/>
    </row>
    <row r="278" spans="1:13" s="1525" customFormat="1" ht="12" customHeight="1">
      <c r="A278" s="1510" t="str">
        <f>IF(AND(C268&lt;&gt;"",ISBLANK(D278)),"y",IF(D278="","n",""))</f>
        <v>n</v>
      </c>
      <c r="B278" s="1510"/>
      <c r="C278" s="468"/>
      <c r="D278" s="2060" t="str">
        <f>_xll.ciqfunctions.udf.CIQSPLIT(K268,I278,J268)</f>
        <v/>
      </c>
      <c r="E278" s="2060"/>
      <c r="F278" s="1546"/>
      <c r="H278" s="484"/>
      <c r="I278" s="2060">
        <v>11</v>
      </c>
      <c r="J278" s="126"/>
      <c r="K278" s="388"/>
    </row>
    <row r="279" spans="1:13" s="1525" customFormat="1" ht="12" customHeight="1">
      <c r="A279" s="1510" t="str">
        <f>IF(AND(C268&lt;&gt;"",ISBLANK(D279)),"y",IF(D279="","n",""))</f>
        <v>n</v>
      </c>
      <c r="B279" s="1510"/>
      <c r="C279" s="468"/>
      <c r="D279" s="2060" t="str">
        <f>_xll.ciqfunctions.udf.CIQSPLIT(K268,I279,J268)</f>
        <v/>
      </c>
      <c r="E279" s="2060"/>
      <c r="F279" s="1546"/>
      <c r="H279" s="484"/>
      <c r="I279" s="2060">
        <v>12</v>
      </c>
      <c r="J279" s="126"/>
      <c r="K279" s="388"/>
    </row>
    <row r="280" spans="1:13" s="1525" customFormat="1" ht="12" customHeight="1">
      <c r="A280" s="1510" t="str">
        <f>IF(AND(C268&lt;&gt;"",ISBLANK(D280)),"y",IF(D280="","n",""))</f>
        <v>n</v>
      </c>
      <c r="B280" s="1510"/>
      <c r="C280" s="468"/>
      <c r="D280" s="2060" t="str">
        <f>_xll.ciqfunctions.udf.CIQSPLIT(K268,I280,J268)</f>
        <v/>
      </c>
      <c r="E280" s="2060"/>
      <c r="F280" s="1546"/>
      <c r="H280" s="484"/>
      <c r="I280" s="2060">
        <v>13</v>
      </c>
      <c r="J280" s="126"/>
      <c r="K280" s="388"/>
    </row>
    <row r="281" spans="1:13" s="1525" customFormat="1" ht="12" customHeight="1">
      <c r="A281" s="1510" t="str">
        <f>IF(AND(C268&lt;&gt;"",ISBLANK(D281)),"y",IF(D281="","n",""))</f>
        <v>n</v>
      </c>
      <c r="B281" s="1510"/>
      <c r="C281" s="468"/>
      <c r="D281" s="2060" t="str">
        <f>_xll.ciqfunctions.udf.CIQSPLIT(K268,I281,J268)</f>
        <v/>
      </c>
      <c r="E281" s="2060"/>
      <c r="F281" s="1546"/>
      <c r="H281" s="484"/>
      <c r="I281" s="2060">
        <v>14</v>
      </c>
      <c r="J281" s="126"/>
      <c r="K281" s="388"/>
    </row>
    <row r="282" spans="1:13" s="1525" customFormat="1" ht="12" customHeight="1">
      <c r="A282" s="1510" t="str">
        <f>IF(AND(C268&lt;&gt;"",ISBLANK(D282)),"y",IF(D282="","n",""))</f>
        <v>n</v>
      </c>
      <c r="B282" s="1510"/>
      <c r="C282" s="468"/>
      <c r="D282" s="468"/>
      <c r="E282" s="468"/>
      <c r="F282" s="1546"/>
    </row>
    <row r="283" spans="1:13" s="1525" customFormat="1" ht="12" customHeight="1">
      <c r="A283" s="1557" t="str">
        <f>A214</f>
        <v>n</v>
      </c>
      <c r="B283" s="1557"/>
      <c r="C283" s="529" t="s">
        <v>1402</v>
      </c>
      <c r="D283" s="607"/>
      <c r="E283" s="607"/>
      <c r="F283" s="1557"/>
    </row>
    <row r="284" spans="1:13" s="1525" customFormat="1" ht="12" customHeight="1">
      <c r="A284" s="1510" t="s">
        <v>17</v>
      </c>
      <c r="B284" s="1510"/>
      <c r="C284" s="1557"/>
      <c r="D284" s="1557"/>
      <c r="E284" s="1546" t="str">
        <f>IF(A285="y","Continue","Page end")</f>
        <v>Page end</v>
      </c>
      <c r="F284" s="1510"/>
    </row>
    <row r="285" spans="1:13" s="1525" customFormat="1" ht="18" customHeight="1">
      <c r="A285" s="1510" t="str">
        <f>IF(COUNTIF(A294:A353,"y"),"y","n")</f>
        <v>n</v>
      </c>
      <c r="B285" s="1557"/>
      <c r="C285" s="838" t="str">
        <f>ClientName</f>
        <v/>
      </c>
      <c r="D285" s="292"/>
      <c r="E285" s="389" t="str">
        <f>$E$1&amp;" (contd.)"</f>
        <v>Workpaper 7 (contd.)</v>
      </c>
      <c r="F285" s="1557"/>
    </row>
    <row r="286" spans="1:13" s="1525" customFormat="1" ht="18" customHeight="1">
      <c r="A286" s="1510" t="str">
        <f>A285</f>
        <v>n</v>
      </c>
      <c r="B286" s="1557"/>
      <c r="C286" s="838" t="str">
        <f>CoNameHeading</f>
        <v>Client Name</v>
      </c>
      <c r="D286" s="369"/>
      <c r="F286" s="1557"/>
    </row>
    <row r="287" spans="1:13" s="1525" customFormat="1" ht="18" customHeight="1">
      <c r="A287" s="1510" t="str">
        <f>A285</f>
        <v>n</v>
      </c>
      <c r="B287" s="1557"/>
      <c r="C287" s="839" t="s">
        <v>1711</v>
      </c>
      <c r="D287" s="369"/>
      <c r="F287" s="1557"/>
    </row>
    <row r="288" spans="1:13" s="1525" customFormat="1" ht="18" customHeight="1">
      <c r="A288" s="1510" t="str">
        <f>A285</f>
        <v>n</v>
      </c>
      <c r="B288" s="1557"/>
      <c r="C288" s="840" t="str">
        <f>"Valuation as of "&amp; TEXT(Valuation_date,"d mmmm yyyy")</f>
        <v>Valuation as of 28 February 2017</v>
      </c>
      <c r="D288" s="2062"/>
      <c r="F288" s="1557"/>
    </row>
    <row r="289" spans="1:11" s="1525" customFormat="1" ht="12" customHeight="1">
      <c r="A289" s="1510" t="str">
        <f>A285</f>
        <v>n</v>
      </c>
      <c r="B289" s="1557"/>
      <c r="C289" s="366"/>
      <c r="D289" s="366"/>
      <c r="F289" s="1557"/>
    </row>
    <row r="290" spans="1:11" s="1525" customFormat="1" ht="12" customHeight="1">
      <c r="A290" s="1510" t="str">
        <f>A285</f>
        <v>n</v>
      </c>
      <c r="B290" s="1557"/>
      <c r="C290" s="340"/>
      <c r="D290" s="1526"/>
      <c r="F290" s="1557"/>
    </row>
    <row r="291" spans="1:11" s="1525" customFormat="1" ht="12" customHeight="1">
      <c r="A291" s="1510" t="str">
        <f>A285</f>
        <v>n</v>
      </c>
      <c r="B291" s="1557"/>
      <c r="C291" s="342"/>
      <c r="D291" s="341"/>
      <c r="F291" s="1557"/>
    </row>
    <row r="292" spans="1:11" s="1525" customFormat="1" ht="12" customHeight="1">
      <c r="A292" s="1510" t="str">
        <f>A285</f>
        <v>n</v>
      </c>
      <c r="B292" s="1557"/>
      <c r="C292" s="1299" t="s">
        <v>1712</v>
      </c>
      <c r="D292" s="1300" t="s">
        <v>1713</v>
      </c>
      <c r="E292" s="404"/>
      <c r="F292" s="1557"/>
    </row>
    <row r="293" spans="1:11" s="1525" customFormat="1" ht="12" customHeight="1">
      <c r="A293" s="1510" t="str">
        <f>A285</f>
        <v>n</v>
      </c>
      <c r="B293" s="1557"/>
      <c r="C293" s="1818"/>
      <c r="D293" s="607"/>
      <c r="E293" s="631"/>
      <c r="F293" s="1557"/>
    </row>
    <row r="294" spans="1:11" s="1527" customFormat="1" ht="13.9">
      <c r="A294" s="1510" t="str">
        <f>IF(AND(C294&lt;&gt;"",ISBLANK(D294)),"y",IF(D294="","n",""))</f>
        <v>n</v>
      </c>
      <c r="B294" s="1510"/>
      <c r="C294" s="468" t="str">
        <f>Settings!$L$121</f>
        <v/>
      </c>
      <c r="D294" s="2060" t="str">
        <f>_xll.ciqfunctions.udf.CIQSPLIT(K294,I294,J294)</f>
        <v/>
      </c>
      <c r="E294" s="2060"/>
      <c r="F294" s="1546"/>
      <c r="H294" s="485" t="str">
        <f>Settings!$M$121</f>
        <v/>
      </c>
      <c r="I294" s="2060">
        <v>1</v>
      </c>
      <c r="J294" s="126">
        <v>170</v>
      </c>
      <c r="K294" s="388" t="str">
        <f>IF(H294="","",_xll.ciqfunctions.udf.CIQ(H294,"IQ_Business_Description"))</f>
        <v/>
      </c>
    </row>
    <row r="295" spans="1:11" s="1527" customFormat="1" ht="13.9">
      <c r="A295" s="1510" t="str">
        <f>IF(AND(C294&lt;&gt;"",ISBLANK(D295)),"y",IF(D295="","n",""))</f>
        <v>n</v>
      </c>
      <c r="B295" s="1510"/>
      <c r="C295" s="468"/>
      <c r="D295" s="2060" t="str">
        <f>_xll.ciqfunctions.udf.CIQSPLIT(K294,I295,J294)</f>
        <v/>
      </c>
      <c r="E295" s="2060"/>
      <c r="F295" s="1546"/>
      <c r="H295" s="484"/>
      <c r="I295" s="2060">
        <v>2</v>
      </c>
      <c r="J295" s="126"/>
      <c r="K295" s="388"/>
    </row>
    <row r="296" spans="1:11" s="1527" customFormat="1" ht="13.9">
      <c r="A296" s="1510" t="str">
        <f>IF(AND(C294&lt;&gt;"",ISBLANK(D296)),"y",IF(D296="","n",""))</f>
        <v>n</v>
      </c>
      <c r="B296" s="1510"/>
      <c r="C296" s="468"/>
      <c r="D296" s="2060" t="str">
        <f>_xll.ciqfunctions.udf.CIQSPLIT(K294,I296,J294)</f>
        <v/>
      </c>
      <c r="E296" s="2060"/>
      <c r="F296" s="1546"/>
      <c r="H296" s="484"/>
      <c r="I296" s="2060">
        <v>3</v>
      </c>
      <c r="J296" s="126"/>
      <c r="K296" s="388"/>
    </row>
    <row r="297" spans="1:11" s="1527" customFormat="1" ht="13.9">
      <c r="A297" s="1510" t="str">
        <f>IF(AND(C294&lt;&gt;"",ISBLANK(D297)),"y",IF(D297="","n",""))</f>
        <v>n</v>
      </c>
      <c r="B297" s="1510"/>
      <c r="C297" s="468"/>
      <c r="D297" s="2060" t="str">
        <f>_xll.ciqfunctions.udf.CIQSPLIT(K294,I297,J294)</f>
        <v/>
      </c>
      <c r="E297" s="2060"/>
      <c r="F297" s="1546"/>
      <c r="H297" s="484"/>
      <c r="I297" s="2060">
        <v>4</v>
      </c>
      <c r="J297" s="126"/>
      <c r="K297" s="388"/>
    </row>
    <row r="298" spans="1:11" s="1527" customFormat="1" ht="13.9">
      <c r="A298" s="1510" t="str">
        <f>IF(AND(C294&lt;&gt;"",ISBLANK(D298)),"y",IF(D298="","n",""))</f>
        <v>n</v>
      </c>
      <c r="B298" s="1510"/>
      <c r="C298" s="468"/>
      <c r="D298" s="2060" t="str">
        <f>_xll.ciqfunctions.udf.CIQSPLIT(K294,I298,J294)</f>
        <v/>
      </c>
      <c r="E298" s="2060"/>
      <c r="F298" s="1546"/>
      <c r="H298" s="484"/>
      <c r="I298" s="2060">
        <v>5</v>
      </c>
      <c r="J298" s="126"/>
      <c r="K298" s="388"/>
    </row>
    <row r="299" spans="1:11" s="1527" customFormat="1" ht="13.9">
      <c r="A299" s="1510" t="str">
        <f>IF(AND(C294&lt;&gt;"",ISBLANK(D299)),"y",IF(D299="","n",""))</f>
        <v>n</v>
      </c>
      <c r="B299" s="1510"/>
      <c r="C299" s="468"/>
      <c r="D299" s="2060" t="str">
        <f>_xll.ciqfunctions.udf.CIQSPLIT(K294,I299,J294)</f>
        <v/>
      </c>
      <c r="E299" s="2060"/>
      <c r="F299" s="1546"/>
      <c r="H299" s="484"/>
      <c r="I299" s="2060">
        <v>6</v>
      </c>
      <c r="J299" s="126"/>
      <c r="K299" s="388"/>
    </row>
    <row r="300" spans="1:11" s="1527" customFormat="1" ht="13.9">
      <c r="A300" s="1510" t="str">
        <f>IF(AND(C294&lt;&gt;"",ISBLANK(D300)),"y",IF(D300="","n",""))</f>
        <v>n</v>
      </c>
      <c r="B300" s="1510"/>
      <c r="C300" s="468"/>
      <c r="D300" s="2060" t="str">
        <f>_xll.ciqfunctions.udf.CIQSPLIT(K294,I300,J294)</f>
        <v/>
      </c>
      <c r="E300" s="2060"/>
      <c r="F300" s="1546"/>
      <c r="H300" s="484"/>
      <c r="I300" s="2060">
        <v>7</v>
      </c>
      <c r="J300" s="126"/>
      <c r="K300" s="388"/>
    </row>
    <row r="301" spans="1:11" s="1527" customFormat="1" ht="13.9">
      <c r="A301" s="1510" t="str">
        <f>IF(AND(C294&lt;&gt;"",ISBLANK(D301)),"y",IF(D301="","n",""))</f>
        <v>n</v>
      </c>
      <c r="B301" s="1510"/>
      <c r="C301" s="468"/>
      <c r="D301" s="2060" t="str">
        <f>_xll.ciqfunctions.udf.CIQSPLIT(K294,I301,J294)</f>
        <v/>
      </c>
      <c r="E301" s="2060"/>
      <c r="F301" s="1546"/>
      <c r="H301" s="484"/>
      <c r="I301" s="2060">
        <v>8</v>
      </c>
      <c r="J301" s="126"/>
      <c r="K301" s="388"/>
    </row>
    <row r="302" spans="1:11" s="1527" customFormat="1" ht="13.9">
      <c r="A302" s="1510" t="str">
        <f>IF(AND(C294&lt;&gt;"",ISBLANK(D302)),"y",IF(D302="","n",""))</f>
        <v>n</v>
      </c>
      <c r="B302" s="1510"/>
      <c r="C302" s="468"/>
      <c r="D302" s="2060" t="str">
        <f>_xll.ciqfunctions.udf.CIQSPLIT(K294,I302,J294)</f>
        <v/>
      </c>
      <c r="E302" s="2060"/>
      <c r="F302" s="1546"/>
      <c r="H302" s="484"/>
      <c r="I302" s="2060">
        <v>9</v>
      </c>
      <c r="J302" s="126"/>
      <c r="K302" s="388"/>
    </row>
    <row r="303" spans="1:11" s="1527" customFormat="1" ht="13.9">
      <c r="A303" s="1510" t="str">
        <f>IF(AND(C294&lt;&gt;"",ISBLANK(D303)),"y",IF(D303="","n",""))</f>
        <v>n</v>
      </c>
      <c r="B303" s="1510"/>
      <c r="C303" s="468"/>
      <c r="D303" s="2060" t="str">
        <f>_xll.ciqfunctions.udf.CIQSPLIT(K294,I303,J294)</f>
        <v/>
      </c>
      <c r="E303" s="2060"/>
      <c r="F303" s="1546"/>
      <c r="H303" s="484"/>
      <c r="I303" s="2060">
        <v>10</v>
      </c>
      <c r="J303" s="126"/>
      <c r="K303" s="388"/>
    </row>
    <row r="304" spans="1:11" s="1527" customFormat="1" ht="13.9">
      <c r="A304" s="1510" t="str">
        <f>IF(AND(C294&lt;&gt;"",ISBLANK(D304)),"y",IF(D304="","n",""))</f>
        <v>n</v>
      </c>
      <c r="B304" s="1510"/>
      <c r="C304" s="468"/>
      <c r="D304" s="2060" t="str">
        <f>_xll.ciqfunctions.udf.CIQSPLIT(K294,I304,J294)</f>
        <v/>
      </c>
      <c r="E304" s="2060"/>
      <c r="F304" s="1546"/>
      <c r="H304" s="484"/>
      <c r="I304" s="2060">
        <v>11</v>
      </c>
      <c r="J304" s="126"/>
      <c r="K304" s="388"/>
    </row>
    <row r="305" spans="1:11" s="1527" customFormat="1" ht="13.9">
      <c r="A305" s="1510" t="str">
        <f>IF(AND(C294&lt;&gt;"",ISBLANK(D305)),"y",IF(D305="","n",""))</f>
        <v>n</v>
      </c>
      <c r="B305" s="1510"/>
      <c r="C305" s="468"/>
      <c r="D305" s="2060" t="str">
        <f>_xll.ciqfunctions.udf.CIQSPLIT(K294,I305,J294)</f>
        <v/>
      </c>
      <c r="E305" s="2060"/>
      <c r="F305" s="1546"/>
      <c r="H305" s="484"/>
      <c r="I305" s="2060">
        <v>12</v>
      </c>
      <c r="J305" s="126"/>
      <c r="K305" s="388"/>
    </row>
    <row r="306" spans="1:11" s="1527" customFormat="1" ht="13.9">
      <c r="A306" s="1510" t="str">
        <f>IF(AND(C294&lt;&gt;"",ISBLANK(D306)),"y",IF(D306="","n",""))</f>
        <v>n</v>
      </c>
      <c r="B306" s="1510"/>
      <c r="C306" s="468"/>
      <c r="D306" s="2060" t="str">
        <f>_xll.ciqfunctions.udf.CIQSPLIT(K294,I306,J294)</f>
        <v/>
      </c>
      <c r="E306" s="2060"/>
      <c r="F306" s="1546"/>
      <c r="H306" s="484"/>
      <c r="I306" s="2060">
        <v>13</v>
      </c>
      <c r="J306" s="126"/>
      <c r="K306" s="388"/>
    </row>
    <row r="307" spans="1:11" s="1527" customFormat="1" ht="13.9">
      <c r="A307" s="1510" t="str">
        <f>IF(AND(C294&lt;&gt;"",ISBLANK(D307)),"y",IF(D307="","n",""))</f>
        <v>n</v>
      </c>
      <c r="B307" s="1510"/>
      <c r="C307" s="468"/>
      <c r="D307" s="2060" t="str">
        <f>_xll.ciqfunctions.udf.CIQSPLIT(K294,I307,J294)</f>
        <v/>
      </c>
      <c r="E307" s="2060"/>
      <c r="F307" s="1546"/>
      <c r="H307" s="484"/>
      <c r="I307" s="2060">
        <v>14</v>
      </c>
      <c r="J307" s="126"/>
      <c r="K307" s="388"/>
    </row>
    <row r="308" spans="1:11" s="1527" customFormat="1" ht="13.9">
      <c r="A308" s="1510" t="str">
        <f>IF(AND(C294&lt;&gt;"",ISBLANK(D308)),"y",IF(D308="","n",""))</f>
        <v>n</v>
      </c>
      <c r="B308" s="1510"/>
      <c r="C308" s="468"/>
      <c r="D308" s="468"/>
      <c r="E308" s="2060"/>
      <c r="F308" s="1546"/>
      <c r="H308" s="484"/>
      <c r="I308" s="2060"/>
      <c r="J308" s="126"/>
      <c r="K308" s="388"/>
    </row>
    <row r="309" spans="1:11" s="1527" customFormat="1" ht="13.9">
      <c r="A309" s="1510" t="str">
        <f>IF(AND(C309&lt;&gt;"",ISBLANK(D309)),"y",IF(D309="","n",""))</f>
        <v>n</v>
      </c>
      <c r="B309" s="1510"/>
      <c r="C309" s="468" t="str">
        <f>Settings!$L$122</f>
        <v/>
      </c>
      <c r="D309" s="2060" t="str">
        <f>_xll.ciqfunctions.udf.CIQSPLIT(K309,I309,J309)</f>
        <v/>
      </c>
      <c r="E309" s="2060"/>
      <c r="F309" s="1546"/>
      <c r="H309" s="485" t="str">
        <f>Settings!$M$122</f>
        <v/>
      </c>
      <c r="I309" s="2060">
        <v>1</v>
      </c>
      <c r="J309" s="126">
        <v>170</v>
      </c>
      <c r="K309" s="388" t="str">
        <f>IF(H309="","",_xll.ciqfunctions.udf.CIQ(H309,"IQ_Business_Description"))</f>
        <v/>
      </c>
    </row>
    <row r="310" spans="1:11" s="1527" customFormat="1" ht="13.9">
      <c r="A310" s="1510" t="str">
        <f>IF(AND(C309&lt;&gt;"",ISBLANK(D310)),"y",IF(D310="","n",""))</f>
        <v>n</v>
      </c>
      <c r="B310" s="1510"/>
      <c r="C310" s="468"/>
      <c r="D310" s="2060" t="str">
        <f>_xll.ciqfunctions.udf.CIQSPLIT(K309,I310,J309)</f>
        <v/>
      </c>
      <c r="E310" s="2060"/>
      <c r="F310" s="1546"/>
      <c r="H310" s="484"/>
      <c r="I310" s="2060">
        <v>2</v>
      </c>
      <c r="J310" s="126"/>
      <c r="K310" s="388"/>
    </row>
    <row r="311" spans="1:11" s="1527" customFormat="1" ht="13.9">
      <c r="A311" s="1510" t="str">
        <f>IF(AND(C309&lt;&gt;"",ISBLANK(D311)),"y",IF(D311="","n",""))</f>
        <v>n</v>
      </c>
      <c r="B311" s="1510"/>
      <c r="C311" s="468"/>
      <c r="D311" s="2060" t="str">
        <f>_xll.ciqfunctions.udf.CIQSPLIT(K309,I311,J309)</f>
        <v/>
      </c>
      <c r="E311" s="2060"/>
      <c r="F311" s="1546"/>
      <c r="H311" s="484"/>
      <c r="I311" s="2060">
        <v>3</v>
      </c>
      <c r="J311" s="126"/>
      <c r="K311" s="388"/>
    </row>
    <row r="312" spans="1:11" s="1527" customFormat="1" ht="13.9">
      <c r="A312" s="1510" t="str">
        <f>IF(AND(C309&lt;&gt;"",ISBLANK(D312)),"y",IF(D312="","n",""))</f>
        <v>n</v>
      </c>
      <c r="B312" s="1510"/>
      <c r="C312" s="468"/>
      <c r="D312" s="2060" t="str">
        <f>_xll.ciqfunctions.udf.CIQSPLIT(K309,I312,J309)</f>
        <v/>
      </c>
      <c r="E312" s="2060"/>
      <c r="F312" s="1546"/>
      <c r="H312" s="484"/>
      <c r="I312" s="2060">
        <v>4</v>
      </c>
      <c r="J312" s="126"/>
      <c r="K312" s="388"/>
    </row>
    <row r="313" spans="1:11" s="1527" customFormat="1" ht="13.9">
      <c r="A313" s="1510" t="str">
        <f>IF(AND(C309&lt;&gt;"",ISBLANK(D313)),"y",IF(D313="","n",""))</f>
        <v>n</v>
      </c>
      <c r="B313" s="1510"/>
      <c r="C313" s="468"/>
      <c r="D313" s="2060" t="str">
        <f>_xll.ciqfunctions.udf.CIQSPLIT(K309,I313,J309)</f>
        <v/>
      </c>
      <c r="E313" s="2060"/>
      <c r="F313" s="1546"/>
      <c r="H313" s="484"/>
      <c r="I313" s="2060">
        <v>5</v>
      </c>
      <c r="J313" s="126"/>
      <c r="K313" s="388"/>
    </row>
    <row r="314" spans="1:11" s="1527" customFormat="1" ht="13.9">
      <c r="A314" s="1510" t="str">
        <f>IF(AND(C309&lt;&gt;"",ISBLANK(D314)),"y",IF(D314="","n",""))</f>
        <v>n</v>
      </c>
      <c r="B314" s="1510"/>
      <c r="C314" s="468"/>
      <c r="D314" s="2060" t="str">
        <f>_xll.ciqfunctions.udf.CIQSPLIT(K309,I314,J309)</f>
        <v/>
      </c>
      <c r="E314" s="2060"/>
      <c r="F314" s="1546"/>
      <c r="H314" s="484"/>
      <c r="I314" s="2060">
        <v>6</v>
      </c>
      <c r="J314" s="126"/>
      <c r="K314" s="388"/>
    </row>
    <row r="315" spans="1:11" s="1527" customFormat="1" ht="13.9">
      <c r="A315" s="1510" t="str">
        <f>IF(AND(C309&lt;&gt;"",ISBLANK(D315)),"y",IF(D315="","n",""))</f>
        <v>n</v>
      </c>
      <c r="B315" s="1510"/>
      <c r="C315" s="468"/>
      <c r="D315" s="2060" t="str">
        <f>_xll.ciqfunctions.udf.CIQSPLIT(K309,I315,J309)</f>
        <v/>
      </c>
      <c r="E315" s="2060"/>
      <c r="F315" s="1546"/>
      <c r="H315" s="484"/>
      <c r="I315" s="2060">
        <v>7</v>
      </c>
      <c r="J315" s="126"/>
      <c r="K315" s="388"/>
    </row>
    <row r="316" spans="1:11" s="1525" customFormat="1" ht="13.9">
      <c r="A316" s="1510" t="str">
        <f>IF(AND(C309&lt;&gt;"",ISBLANK(D316)),"y",IF(D316="","n",""))</f>
        <v>n</v>
      </c>
      <c r="B316" s="1510"/>
      <c r="C316" s="468"/>
      <c r="D316" s="2060" t="str">
        <f>_xll.ciqfunctions.udf.CIQSPLIT(K309,I316,J309)</f>
        <v/>
      </c>
      <c r="E316" s="2060"/>
      <c r="F316" s="1546"/>
      <c r="H316" s="484"/>
      <c r="I316" s="2060">
        <v>8</v>
      </c>
      <c r="J316" s="126"/>
      <c r="K316" s="388"/>
    </row>
    <row r="317" spans="1:11" s="1525" customFormat="1" ht="12" customHeight="1">
      <c r="A317" s="1510" t="str">
        <f>IF(AND(C309&lt;&gt;"",ISBLANK(D317)),"y",IF(D317="","n",""))</f>
        <v>n</v>
      </c>
      <c r="B317" s="1510"/>
      <c r="C317" s="468"/>
      <c r="D317" s="2060" t="str">
        <f>_xll.ciqfunctions.udf.CIQSPLIT(K309,I317,J309)</f>
        <v/>
      </c>
      <c r="E317" s="2060"/>
      <c r="F317" s="1546"/>
      <c r="H317" s="484"/>
      <c r="I317" s="2060">
        <v>9</v>
      </c>
      <c r="J317" s="126"/>
      <c r="K317" s="388"/>
    </row>
    <row r="318" spans="1:11" s="1525" customFormat="1" ht="12" customHeight="1">
      <c r="A318" s="1510" t="str">
        <f>IF(AND(C309&lt;&gt;"",ISBLANK(D318)),"y",IF(D318="","n",""))</f>
        <v>n</v>
      </c>
      <c r="B318" s="1510"/>
      <c r="C318" s="468"/>
      <c r="D318" s="2060" t="str">
        <f>_xll.ciqfunctions.udf.CIQSPLIT(K309,I318,J309)</f>
        <v/>
      </c>
      <c r="E318" s="2060"/>
      <c r="F318" s="1546"/>
      <c r="H318" s="484"/>
      <c r="I318" s="2060">
        <v>10</v>
      </c>
      <c r="J318" s="126"/>
      <c r="K318" s="388"/>
    </row>
    <row r="319" spans="1:11" s="1525" customFormat="1" ht="13.9">
      <c r="A319" s="1510" t="str">
        <f>IF(AND(C309&lt;&gt;"",ISBLANK(D319)),"y",IF(D319="","n",""))</f>
        <v>n</v>
      </c>
      <c r="B319" s="1510"/>
      <c r="C319" s="468"/>
      <c r="D319" s="2060" t="str">
        <f>_xll.ciqfunctions.udf.CIQSPLIT(K309,I319,J309)</f>
        <v/>
      </c>
      <c r="E319" s="2060"/>
      <c r="F319" s="1546"/>
      <c r="H319" s="484"/>
      <c r="I319" s="2060">
        <v>11</v>
      </c>
      <c r="J319" s="126"/>
      <c r="K319" s="388"/>
    </row>
    <row r="320" spans="1:11" s="1525" customFormat="1" ht="13.9">
      <c r="A320" s="1510" t="str">
        <f>IF(AND(C309&lt;&gt;"",ISBLANK(D320)),"y",IF(D320="","n",""))</f>
        <v>n</v>
      </c>
      <c r="B320" s="1510"/>
      <c r="C320" s="468"/>
      <c r="D320" s="2060" t="str">
        <f>_xll.ciqfunctions.udf.CIQSPLIT(K309,I320,J309)</f>
        <v/>
      </c>
      <c r="E320" s="2060"/>
      <c r="F320" s="1546"/>
      <c r="H320" s="484"/>
      <c r="I320" s="2060">
        <v>12</v>
      </c>
      <c r="J320" s="126"/>
      <c r="K320" s="388"/>
    </row>
    <row r="321" spans="1:15" s="1525" customFormat="1" ht="12" customHeight="1">
      <c r="A321" s="1510" t="str">
        <f>IF(AND(C309&lt;&gt;"",ISBLANK(D321)),"y",IF(D321="","n",""))</f>
        <v>n</v>
      </c>
      <c r="B321" s="1510"/>
      <c r="C321" s="468"/>
      <c r="D321" s="2060" t="str">
        <f>_xll.ciqfunctions.udf.CIQSPLIT(K309,I321,J309)</f>
        <v/>
      </c>
      <c r="E321" s="2060"/>
      <c r="F321" s="1546"/>
      <c r="H321" s="484"/>
      <c r="I321" s="2060">
        <v>13</v>
      </c>
      <c r="J321" s="126"/>
      <c r="K321" s="388"/>
    </row>
    <row r="322" spans="1:15" s="1525" customFormat="1" ht="12" customHeight="1">
      <c r="A322" s="1510" t="str">
        <f>IF(AND(C309&lt;&gt;"",ISBLANK(D322)),"y",IF(D322="","n",""))</f>
        <v>n</v>
      </c>
      <c r="B322" s="1510"/>
      <c r="C322" s="468"/>
      <c r="D322" s="2060" t="str">
        <f>_xll.ciqfunctions.udf.CIQSPLIT(K309,I322,J309)</f>
        <v/>
      </c>
      <c r="E322" s="2060"/>
      <c r="F322" s="1546"/>
      <c r="H322" s="484"/>
      <c r="I322" s="2060">
        <v>14</v>
      </c>
      <c r="J322" s="126"/>
      <c r="K322" s="388"/>
    </row>
    <row r="323" spans="1:15" s="1525" customFormat="1" ht="12" customHeight="1">
      <c r="A323" s="1510" t="str">
        <f>IF(AND(C309&lt;&gt;"",ISBLANK(D323)),"y",IF(D323="","n",""))</f>
        <v>n</v>
      </c>
      <c r="B323" s="1510"/>
      <c r="C323" s="468"/>
      <c r="D323" s="468"/>
      <c r="E323" s="2060"/>
      <c r="F323" s="1546"/>
    </row>
    <row r="324" spans="1:15" s="1525" customFormat="1" ht="12" customHeight="1">
      <c r="A324" s="1510" t="str">
        <f>IF(AND(C324&lt;&gt;"",ISBLANK(D324)),"y",IF(D324="","n",""))</f>
        <v>n</v>
      </c>
      <c r="B324" s="1510"/>
      <c r="C324" s="468" t="str">
        <f>Settings!$L$123</f>
        <v/>
      </c>
      <c r="D324" s="2060" t="str">
        <f>_xll.ciqfunctions.udf.CIQSPLIT(K324,I324,J324)</f>
        <v/>
      </c>
      <c r="E324" s="2060"/>
      <c r="F324" s="1546"/>
      <c r="G324" s="1527"/>
      <c r="H324" s="485" t="str">
        <f>Settings!$M$123</f>
        <v/>
      </c>
      <c r="I324" s="2060">
        <v>1</v>
      </c>
      <c r="J324" s="126">
        <v>170</v>
      </c>
      <c r="K324" s="388" t="str">
        <f>IF(H324="","",_xll.ciqfunctions.udf.CIQ(H324,"IQ_Business_Description"))</f>
        <v/>
      </c>
      <c r="L324" s="1527"/>
      <c r="M324" s="1527"/>
      <c r="N324" s="1527"/>
      <c r="O324" s="1527"/>
    </row>
    <row r="325" spans="1:15" s="1525" customFormat="1" ht="12.75" customHeight="1">
      <c r="A325" s="1510" t="str">
        <f>IF(AND(C324&lt;&gt;"",ISBLANK(D325)),"y",IF(D325="","n",""))</f>
        <v>n</v>
      </c>
      <c r="B325" s="1510"/>
      <c r="C325" s="468"/>
      <c r="D325" s="2060" t="str">
        <f>_xll.ciqfunctions.udf.CIQSPLIT(K324,I325,J324)</f>
        <v/>
      </c>
      <c r="E325" s="2060"/>
      <c r="F325" s="1546"/>
      <c r="G325" s="1527"/>
      <c r="H325" s="484"/>
      <c r="I325" s="2060">
        <v>2</v>
      </c>
      <c r="J325" s="126"/>
      <c r="K325" s="388"/>
      <c r="L325" s="1527"/>
      <c r="M325" s="1527"/>
      <c r="N325" s="1527"/>
      <c r="O325" s="1527"/>
    </row>
    <row r="326" spans="1:15" s="1525" customFormat="1" ht="13.9">
      <c r="A326" s="1510" t="str">
        <f>IF(AND(C324&lt;&gt;"",ISBLANK(D326)),"y",IF(D326="","n",""))</f>
        <v>n</v>
      </c>
      <c r="B326" s="1510"/>
      <c r="C326" s="468"/>
      <c r="D326" s="2060" t="str">
        <f>_xll.ciqfunctions.udf.CIQSPLIT(K324,I326,J324)</f>
        <v/>
      </c>
      <c r="E326" s="2060"/>
      <c r="F326" s="1546"/>
      <c r="G326" s="1527"/>
      <c r="H326" s="484"/>
      <c r="I326" s="2060">
        <v>3</v>
      </c>
      <c r="J326" s="126"/>
      <c r="K326" s="388"/>
      <c r="L326" s="1527"/>
      <c r="M326" s="1527"/>
      <c r="N326" s="1527"/>
      <c r="O326" s="1527"/>
    </row>
    <row r="327" spans="1:15" s="1525" customFormat="1" ht="13.9">
      <c r="A327" s="1510" t="str">
        <f>IF(AND(C324&lt;&gt;"",ISBLANK(D327)),"y",IF(D327="","n",""))</f>
        <v>n</v>
      </c>
      <c r="B327" s="1510"/>
      <c r="C327" s="468"/>
      <c r="D327" s="2060" t="str">
        <f>_xll.ciqfunctions.udf.CIQSPLIT(K324,I327,J324)</f>
        <v/>
      </c>
      <c r="E327" s="2060"/>
      <c r="F327" s="1546"/>
      <c r="G327" s="1527"/>
      <c r="H327" s="484"/>
      <c r="I327" s="2060">
        <v>4</v>
      </c>
      <c r="J327" s="126"/>
      <c r="K327" s="388"/>
      <c r="L327" s="1527"/>
      <c r="M327" s="1527"/>
      <c r="N327" s="1527"/>
      <c r="O327" s="1527"/>
    </row>
    <row r="328" spans="1:15" s="1525" customFormat="1" ht="13.9">
      <c r="A328" s="1510" t="str">
        <f>IF(AND(C324&lt;&gt;"",ISBLANK(D328)),"y",IF(D328="","n",""))</f>
        <v>n</v>
      </c>
      <c r="B328" s="1510"/>
      <c r="C328" s="468"/>
      <c r="D328" s="2060" t="str">
        <f>_xll.ciqfunctions.udf.CIQSPLIT(K324,I328,J324)</f>
        <v/>
      </c>
      <c r="E328" s="2060"/>
      <c r="F328" s="1546"/>
      <c r="G328" s="1527"/>
      <c r="H328" s="484"/>
      <c r="I328" s="2060">
        <v>5</v>
      </c>
      <c r="J328" s="126"/>
      <c r="K328" s="388"/>
      <c r="L328" s="1527"/>
      <c r="M328" s="1527"/>
      <c r="N328" s="1527"/>
      <c r="O328" s="1527"/>
    </row>
    <row r="329" spans="1:15" s="1525" customFormat="1" ht="13.9">
      <c r="A329" s="1510" t="str">
        <f>IF(AND(C324&lt;&gt;"",ISBLANK(D329)),"y",IF(D329="","n",""))</f>
        <v>n</v>
      </c>
      <c r="B329" s="1510"/>
      <c r="C329" s="468"/>
      <c r="D329" s="2060" t="str">
        <f>_xll.ciqfunctions.udf.CIQSPLIT(K324,I329,J324)</f>
        <v/>
      </c>
      <c r="E329" s="2060"/>
      <c r="F329" s="1546"/>
      <c r="G329" s="1527"/>
      <c r="H329" s="484"/>
      <c r="I329" s="2060">
        <v>6</v>
      </c>
      <c r="J329" s="126"/>
      <c r="K329" s="388"/>
      <c r="L329" s="1527"/>
      <c r="M329" s="1527"/>
      <c r="N329" s="1527"/>
      <c r="O329" s="1527"/>
    </row>
    <row r="330" spans="1:15" s="1525" customFormat="1" ht="13.9">
      <c r="A330" s="1510" t="str">
        <f>IF(AND(C324&lt;&gt;"",ISBLANK(D330)),"y",IF(D330="","n",""))</f>
        <v>n</v>
      </c>
      <c r="B330" s="1510"/>
      <c r="C330" s="468"/>
      <c r="D330" s="2060" t="str">
        <f>_xll.ciqfunctions.udf.CIQSPLIT(K324,I330,J324)</f>
        <v/>
      </c>
      <c r="E330" s="2060"/>
      <c r="F330" s="1546"/>
      <c r="G330" s="1527"/>
      <c r="H330" s="484"/>
      <c r="I330" s="2060">
        <v>7</v>
      </c>
      <c r="J330" s="126"/>
      <c r="K330" s="388"/>
      <c r="L330" s="1527"/>
      <c r="M330" s="1527"/>
      <c r="N330" s="1527"/>
      <c r="O330" s="1527"/>
    </row>
    <row r="331" spans="1:15" s="1525" customFormat="1" ht="13.9">
      <c r="A331" s="1510" t="str">
        <f>IF(AND(C324&lt;&gt;"",ISBLANK(D331)),"y",IF(D331="","n",""))</f>
        <v>n</v>
      </c>
      <c r="B331" s="1510"/>
      <c r="C331" s="468"/>
      <c r="D331" s="2060" t="str">
        <f>_xll.ciqfunctions.udf.CIQSPLIT(K324,I331,J324)</f>
        <v/>
      </c>
      <c r="E331" s="2060"/>
      <c r="F331" s="1546"/>
      <c r="H331" s="484"/>
      <c r="I331" s="2060">
        <v>8</v>
      </c>
      <c r="J331" s="126"/>
      <c r="K331" s="388"/>
    </row>
    <row r="332" spans="1:15" s="1525" customFormat="1" ht="12" customHeight="1">
      <c r="A332" s="1510" t="str">
        <f>IF(AND(C324&lt;&gt;"",ISBLANK(D332)),"y",IF(D332="","n",""))</f>
        <v>n</v>
      </c>
      <c r="B332" s="1510"/>
      <c r="C332" s="468"/>
      <c r="D332" s="2060" t="str">
        <f>_xll.ciqfunctions.udf.CIQSPLIT(K324,I332,J324)</f>
        <v/>
      </c>
      <c r="E332" s="2060"/>
      <c r="F332" s="1546"/>
      <c r="H332" s="484"/>
      <c r="I332" s="2060">
        <v>9</v>
      </c>
      <c r="J332" s="126"/>
      <c r="K332" s="388"/>
    </row>
    <row r="333" spans="1:15" s="1525" customFormat="1" ht="12" customHeight="1">
      <c r="A333" s="1510" t="str">
        <f>IF(AND(C324&lt;&gt;"",ISBLANK(D333)),"y",IF(D333="","n",""))</f>
        <v>n</v>
      </c>
      <c r="B333" s="1510"/>
      <c r="C333" s="468"/>
      <c r="D333" s="2060" t="str">
        <f>_xll.ciqfunctions.udf.CIQSPLIT(K324,I333,J324)</f>
        <v/>
      </c>
      <c r="E333" s="2060"/>
      <c r="F333" s="1546"/>
      <c r="H333" s="484"/>
      <c r="I333" s="2060">
        <v>10</v>
      </c>
      <c r="J333" s="126"/>
      <c r="K333" s="388"/>
    </row>
    <row r="334" spans="1:15" s="1525" customFormat="1" ht="12" customHeight="1">
      <c r="A334" s="1510" t="str">
        <f>IF(AND(C324&lt;&gt;"",ISBLANK(D334)),"y",IF(D334="","n",""))</f>
        <v>n</v>
      </c>
      <c r="B334" s="1510"/>
      <c r="C334" s="468"/>
      <c r="D334" s="2060" t="str">
        <f>_xll.ciqfunctions.udf.CIQSPLIT(K324,I334,J324)</f>
        <v/>
      </c>
      <c r="E334" s="2060"/>
      <c r="F334" s="1546"/>
      <c r="H334" s="484"/>
      <c r="I334" s="2060">
        <v>11</v>
      </c>
      <c r="J334" s="126"/>
      <c r="K334" s="388"/>
    </row>
    <row r="335" spans="1:15" s="1525" customFormat="1" ht="12" customHeight="1">
      <c r="A335" s="1510" t="str">
        <f>IF(AND(C324&lt;&gt;"",ISBLANK(D335)),"y",IF(D335="","n",""))</f>
        <v>n</v>
      </c>
      <c r="B335" s="1510"/>
      <c r="C335" s="468"/>
      <c r="D335" s="2060" t="str">
        <f>_xll.ciqfunctions.udf.CIQSPLIT(K324,I335,J324)</f>
        <v/>
      </c>
      <c r="E335" s="2060"/>
      <c r="F335" s="1546"/>
      <c r="H335" s="484"/>
      <c r="I335" s="2060">
        <v>12</v>
      </c>
      <c r="J335" s="126"/>
      <c r="K335" s="388"/>
    </row>
    <row r="336" spans="1:15" s="1525" customFormat="1" ht="12" customHeight="1">
      <c r="A336" s="1510" t="str">
        <f>IF(AND(C324&lt;&gt;"",ISBLANK(D336)),"y",IF(D336="","n",""))</f>
        <v>n</v>
      </c>
      <c r="B336" s="1510"/>
      <c r="C336" s="468"/>
      <c r="D336" s="2060" t="str">
        <f>_xll.ciqfunctions.udf.CIQSPLIT(K324,I336,J324)</f>
        <v/>
      </c>
      <c r="E336" s="2060"/>
      <c r="F336" s="1546"/>
      <c r="H336" s="484"/>
      <c r="I336" s="2060">
        <v>13</v>
      </c>
      <c r="J336" s="126"/>
      <c r="K336" s="388"/>
    </row>
    <row r="337" spans="1:13" s="1525" customFormat="1" ht="12" customHeight="1">
      <c r="A337" s="1510" t="str">
        <f>IF(AND(C324&lt;&gt;"",ISBLANK(D337)),"y",IF(D337="","n",""))</f>
        <v>n</v>
      </c>
      <c r="B337" s="1510"/>
      <c r="C337" s="468"/>
      <c r="D337" s="2060" t="str">
        <f>_xll.ciqfunctions.udf.CIQSPLIT(K324,I337,J324)</f>
        <v/>
      </c>
      <c r="E337" s="2060"/>
      <c r="F337" s="1546"/>
      <c r="H337" s="484"/>
      <c r="I337" s="2060">
        <v>14</v>
      </c>
      <c r="J337" s="126"/>
      <c r="K337" s="388"/>
    </row>
    <row r="338" spans="1:13" s="1525" customFormat="1" ht="12" customHeight="1">
      <c r="A338" s="1510" t="str">
        <f>IF(AND(C324&lt;&gt;"",ISBLANK(D338)),"y",IF(D338="","n",""))</f>
        <v>n</v>
      </c>
      <c r="B338" s="1510"/>
      <c r="C338" s="468"/>
      <c r="D338" s="468"/>
      <c r="E338" s="2060"/>
      <c r="F338" s="1546"/>
    </row>
    <row r="339" spans="1:13" s="1525" customFormat="1" ht="12" customHeight="1">
      <c r="A339" s="1510" t="str">
        <f>IF(AND(C339&lt;&gt;"",ISBLANK(D339)),"y",IF(D339="","n",""))</f>
        <v>n</v>
      </c>
      <c r="B339" s="1510"/>
      <c r="C339" s="468" t="str">
        <f>Settings!$L$124</f>
        <v/>
      </c>
      <c r="D339" s="2060" t="str">
        <f>_xll.ciqfunctions.udf.CIQSPLIT(K339,I339,J339)</f>
        <v/>
      </c>
      <c r="E339" s="2060"/>
      <c r="F339" s="1546"/>
      <c r="G339" s="1527"/>
      <c r="H339" s="485" t="str">
        <f>Settings!$M$124</f>
        <v/>
      </c>
      <c r="I339" s="2060">
        <v>1</v>
      </c>
      <c r="J339" s="126">
        <v>170</v>
      </c>
      <c r="K339" s="388" t="str">
        <f>IF(H339="","",_xll.ciqfunctions.udf.CIQ(H339,"IQ_Business_Description"))</f>
        <v/>
      </c>
      <c r="L339" s="1527"/>
      <c r="M339" s="1527"/>
    </row>
    <row r="340" spans="1:13" s="1525" customFormat="1" ht="12" customHeight="1">
      <c r="A340" s="1510" t="str">
        <f>IF(AND(C339&lt;&gt;"",ISBLANK(D340)),"y",IF(D340="","n",""))</f>
        <v>n</v>
      </c>
      <c r="B340" s="1510"/>
      <c r="C340" s="468"/>
      <c r="D340" s="2060" t="str">
        <f>_xll.ciqfunctions.udf.CIQSPLIT(K339,I340,J339)</f>
        <v/>
      </c>
      <c r="E340" s="2060"/>
      <c r="F340" s="1546"/>
      <c r="G340" s="1527"/>
      <c r="H340" s="484"/>
      <c r="I340" s="2060">
        <v>2</v>
      </c>
      <c r="J340" s="126"/>
      <c r="K340" s="388"/>
      <c r="L340" s="1527"/>
      <c r="M340" s="1527"/>
    </row>
    <row r="341" spans="1:13" s="1525" customFormat="1" ht="12" customHeight="1">
      <c r="A341" s="1510" t="str">
        <f>IF(AND(C339&lt;&gt;"",ISBLANK(D341)),"y",IF(D341="","n",""))</f>
        <v>n</v>
      </c>
      <c r="B341" s="1510"/>
      <c r="C341" s="468"/>
      <c r="D341" s="2060" t="str">
        <f>_xll.ciqfunctions.udf.CIQSPLIT(K339,I341,J339)</f>
        <v/>
      </c>
      <c r="E341" s="2060"/>
      <c r="F341" s="1546"/>
      <c r="G341" s="1527"/>
      <c r="H341" s="484"/>
      <c r="I341" s="2060">
        <v>3</v>
      </c>
      <c r="J341" s="126"/>
      <c r="K341" s="388"/>
      <c r="L341" s="1527"/>
      <c r="M341" s="1527"/>
    </row>
    <row r="342" spans="1:13" s="1525" customFormat="1" ht="12" customHeight="1">
      <c r="A342" s="1510" t="str">
        <f>IF(AND(C339&lt;&gt;"",ISBLANK(D342)),"y",IF(D342="","n",""))</f>
        <v>n</v>
      </c>
      <c r="B342" s="1510"/>
      <c r="C342" s="468"/>
      <c r="D342" s="2060" t="str">
        <f>_xll.ciqfunctions.udf.CIQSPLIT(K339,I342,J339)</f>
        <v/>
      </c>
      <c r="E342" s="2060"/>
      <c r="F342" s="1546"/>
      <c r="G342" s="1527"/>
      <c r="H342" s="484"/>
      <c r="I342" s="2060">
        <v>4</v>
      </c>
      <c r="J342" s="126"/>
      <c r="K342" s="388"/>
      <c r="L342" s="1527"/>
      <c r="M342" s="1527"/>
    </row>
    <row r="343" spans="1:13" s="1525" customFormat="1" ht="12" customHeight="1">
      <c r="A343" s="1510" t="str">
        <f>IF(AND(C339&lt;&gt;"",ISBLANK(D343)),"y",IF(D343="","n",""))</f>
        <v>n</v>
      </c>
      <c r="B343" s="1510"/>
      <c r="C343" s="468"/>
      <c r="D343" s="2060" t="str">
        <f>_xll.ciqfunctions.udf.CIQSPLIT(K339,I343,J339)</f>
        <v/>
      </c>
      <c r="E343" s="2060"/>
      <c r="F343" s="1546"/>
      <c r="G343" s="1527"/>
      <c r="H343" s="484"/>
      <c r="I343" s="2060">
        <v>5</v>
      </c>
      <c r="J343" s="126"/>
      <c r="K343" s="388"/>
      <c r="L343" s="1527"/>
      <c r="M343" s="1527"/>
    </row>
    <row r="344" spans="1:13" s="1525" customFormat="1" ht="12" customHeight="1">
      <c r="A344" s="1510" t="str">
        <f>IF(AND(C339&lt;&gt;"",ISBLANK(D344)),"y",IF(D344="","n",""))</f>
        <v>n</v>
      </c>
      <c r="B344" s="1510"/>
      <c r="C344" s="468"/>
      <c r="D344" s="2060" t="str">
        <f>_xll.ciqfunctions.udf.CIQSPLIT(K339,I344,J339)</f>
        <v/>
      </c>
      <c r="E344" s="2060"/>
      <c r="F344" s="1546"/>
      <c r="G344" s="1527"/>
      <c r="H344" s="484"/>
      <c r="I344" s="2060">
        <v>6</v>
      </c>
      <c r="J344" s="126"/>
      <c r="K344" s="388"/>
      <c r="L344" s="1527"/>
      <c r="M344" s="1527"/>
    </row>
    <row r="345" spans="1:13" s="1525" customFormat="1" ht="12" customHeight="1">
      <c r="A345" s="1510" t="str">
        <f>IF(AND(C339&lt;&gt;"",ISBLANK(D345)),"y",IF(D345="","n",""))</f>
        <v>n</v>
      </c>
      <c r="B345" s="1510"/>
      <c r="C345" s="468"/>
      <c r="D345" s="2060" t="str">
        <f>_xll.ciqfunctions.udf.CIQSPLIT(K339,I345,J339)</f>
        <v/>
      </c>
      <c r="E345" s="2060"/>
      <c r="F345" s="1546"/>
      <c r="G345" s="1527"/>
      <c r="H345" s="484"/>
      <c r="I345" s="2060">
        <v>7</v>
      </c>
      <c r="J345" s="126"/>
      <c r="K345" s="388"/>
      <c r="L345" s="1527"/>
      <c r="M345" s="1527"/>
    </row>
    <row r="346" spans="1:13" s="1525" customFormat="1" ht="12" customHeight="1">
      <c r="A346" s="1510" t="str">
        <f>IF(AND(C339&lt;&gt;"",ISBLANK(D346)),"y",IF(D346="","n",""))</f>
        <v>n</v>
      </c>
      <c r="B346" s="1510"/>
      <c r="C346" s="468"/>
      <c r="D346" s="2060" t="str">
        <f>_xll.ciqfunctions.udf.CIQSPLIT(K339,I346,J339)</f>
        <v/>
      </c>
      <c r="E346" s="2060"/>
      <c r="F346" s="1546"/>
      <c r="H346" s="484"/>
      <c r="I346" s="2060">
        <v>8</v>
      </c>
      <c r="J346" s="126"/>
      <c r="K346" s="388"/>
    </row>
    <row r="347" spans="1:13" s="1525" customFormat="1" ht="12" customHeight="1">
      <c r="A347" s="1510" t="str">
        <f>IF(AND(C339&lt;&gt;"",ISBLANK(D347)),"y",IF(D347="","n",""))</f>
        <v>n</v>
      </c>
      <c r="B347" s="1510"/>
      <c r="C347" s="468"/>
      <c r="D347" s="2060" t="str">
        <f>_xll.ciqfunctions.udf.CIQSPLIT(K339,I347,J339)</f>
        <v/>
      </c>
      <c r="E347" s="2060"/>
      <c r="F347" s="1546"/>
      <c r="H347" s="484"/>
      <c r="I347" s="2060">
        <v>9</v>
      </c>
      <c r="J347" s="126"/>
      <c r="K347" s="388"/>
    </row>
    <row r="348" spans="1:13" s="1525" customFormat="1" ht="12" customHeight="1">
      <c r="A348" s="1510" t="str">
        <f>IF(AND(C339&lt;&gt;"",ISBLANK(D348)),"y",IF(D348="","n",""))</f>
        <v>n</v>
      </c>
      <c r="B348" s="1510"/>
      <c r="C348" s="468"/>
      <c r="D348" s="2060" t="str">
        <f>_xll.ciqfunctions.udf.CIQSPLIT(K339,I348,J339)</f>
        <v/>
      </c>
      <c r="E348" s="2060"/>
      <c r="F348" s="1546"/>
      <c r="H348" s="484"/>
      <c r="I348" s="2060">
        <v>10</v>
      </c>
      <c r="J348" s="126"/>
      <c r="K348" s="388"/>
    </row>
    <row r="349" spans="1:13" s="1525" customFormat="1" ht="12" customHeight="1">
      <c r="A349" s="1510" t="str">
        <f>IF(AND(C339&lt;&gt;"",ISBLANK(D349)),"y",IF(D349="","n",""))</f>
        <v>n</v>
      </c>
      <c r="B349" s="1510"/>
      <c r="C349" s="468"/>
      <c r="D349" s="2060" t="str">
        <f>_xll.ciqfunctions.udf.CIQSPLIT(K339,I349,J339)</f>
        <v/>
      </c>
      <c r="E349" s="2060"/>
      <c r="F349" s="1546"/>
      <c r="H349" s="484"/>
      <c r="I349" s="2060">
        <v>11</v>
      </c>
      <c r="J349" s="126"/>
      <c r="K349" s="388"/>
    </row>
    <row r="350" spans="1:13" s="1525" customFormat="1" ht="12" customHeight="1">
      <c r="A350" s="1510" t="str">
        <f>IF(AND(C339&lt;&gt;"",ISBLANK(D350)),"y",IF(D350="","n",""))</f>
        <v>n</v>
      </c>
      <c r="B350" s="1510"/>
      <c r="C350" s="468"/>
      <c r="D350" s="2060" t="str">
        <f>_xll.ciqfunctions.udf.CIQSPLIT(K339,I350,J339)</f>
        <v/>
      </c>
      <c r="E350" s="2060"/>
      <c r="F350" s="1546"/>
      <c r="H350" s="484"/>
      <c r="I350" s="2060">
        <v>12</v>
      </c>
      <c r="J350" s="126"/>
      <c r="K350" s="388"/>
    </row>
    <row r="351" spans="1:13" s="1525" customFormat="1" ht="12" customHeight="1">
      <c r="A351" s="1510" t="str">
        <f>IF(AND(C339&lt;&gt;"",ISBLANK(D351)),"y",IF(D351="","n",""))</f>
        <v>n</v>
      </c>
      <c r="B351" s="1510"/>
      <c r="C351" s="468"/>
      <c r="D351" s="2060" t="str">
        <f>_xll.ciqfunctions.udf.CIQSPLIT(K339,I351,J339)</f>
        <v/>
      </c>
      <c r="E351" s="2060"/>
      <c r="F351" s="1546"/>
      <c r="H351" s="484"/>
      <c r="I351" s="2060">
        <v>13</v>
      </c>
      <c r="J351" s="126"/>
      <c r="K351" s="388"/>
    </row>
    <row r="352" spans="1:13" s="1525" customFormat="1" ht="12" customHeight="1">
      <c r="A352" s="1510" t="str">
        <f>IF(AND(C339&lt;&gt;"",ISBLANK(D352)),"y",IF(D352="","n",""))</f>
        <v>n</v>
      </c>
      <c r="B352" s="1510"/>
      <c r="C352" s="468"/>
      <c r="D352" s="2060" t="str">
        <f>_xll.ciqfunctions.udf.CIQSPLIT(K339,I352,J339)</f>
        <v/>
      </c>
      <c r="E352" s="2060"/>
      <c r="F352" s="1546"/>
      <c r="H352" s="484"/>
      <c r="I352" s="2060">
        <v>14</v>
      </c>
      <c r="J352" s="126"/>
      <c r="K352" s="388"/>
    </row>
    <row r="353" spans="1:11" s="1525" customFormat="1" ht="12" customHeight="1">
      <c r="A353" s="1510" t="str">
        <f>IF(AND(C339&lt;&gt;"",ISBLANK(D353)),"y",IF(D353="","n",""))</f>
        <v>n</v>
      </c>
      <c r="B353" s="1510"/>
      <c r="C353" s="468"/>
      <c r="D353" s="468"/>
      <c r="E353" s="468"/>
      <c r="F353" s="1546"/>
    </row>
    <row r="354" spans="1:11" s="1525" customFormat="1" ht="12" customHeight="1">
      <c r="A354" s="1557" t="str">
        <f>A285</f>
        <v>n</v>
      </c>
      <c r="B354" s="1557"/>
      <c r="C354" s="529" t="s">
        <v>1402</v>
      </c>
      <c r="D354" s="607"/>
      <c r="E354" s="607"/>
      <c r="F354" s="1557"/>
    </row>
    <row r="355" spans="1:11" s="1525" customFormat="1" ht="12" customHeight="1">
      <c r="A355" s="1510" t="s">
        <v>17</v>
      </c>
      <c r="B355" s="1510"/>
      <c r="C355" s="1557"/>
      <c r="D355" s="1557"/>
      <c r="E355" s="1546" t="str">
        <f>IF(A356="y","Continue","Page end")</f>
        <v>Page end</v>
      </c>
      <c r="F355" s="1510"/>
    </row>
    <row r="356" spans="1:11" s="1525" customFormat="1" ht="18" customHeight="1">
      <c r="A356" s="1510" t="str">
        <f>IF(COUNTIF(A365:A424,"y"),"y","n")</f>
        <v>n</v>
      </c>
      <c r="B356" s="1557"/>
      <c r="C356" s="838" t="str">
        <f>ClientName</f>
        <v/>
      </c>
      <c r="D356" s="292"/>
      <c r="E356" s="389" t="str">
        <f>$E$1&amp;" (contd.)"</f>
        <v>Workpaper 7 (contd.)</v>
      </c>
      <c r="F356" s="1557"/>
    </row>
    <row r="357" spans="1:11" s="1525" customFormat="1" ht="18" customHeight="1">
      <c r="A357" s="1510" t="str">
        <f>A356</f>
        <v>n</v>
      </c>
      <c r="B357" s="1557"/>
      <c r="C357" s="838" t="str">
        <f>CoNameHeading</f>
        <v>Client Name</v>
      </c>
      <c r="D357" s="369"/>
      <c r="F357" s="1557"/>
    </row>
    <row r="358" spans="1:11" s="1525" customFormat="1" ht="18" customHeight="1">
      <c r="A358" s="1510" t="str">
        <f>A356</f>
        <v>n</v>
      </c>
      <c r="B358" s="1557"/>
      <c r="C358" s="839" t="s">
        <v>1711</v>
      </c>
      <c r="D358" s="369"/>
      <c r="F358" s="1557"/>
    </row>
    <row r="359" spans="1:11" s="1525" customFormat="1" ht="18" customHeight="1">
      <c r="A359" s="1510" t="str">
        <f>A356</f>
        <v>n</v>
      </c>
      <c r="B359" s="1557"/>
      <c r="C359" s="840" t="str">
        <f>"Valuation as of "&amp; TEXT(Valuation_date,"d mmmm yyyy")</f>
        <v>Valuation as of 28 February 2017</v>
      </c>
      <c r="D359" s="2062"/>
      <c r="F359" s="1557"/>
    </row>
    <row r="360" spans="1:11" s="1525" customFormat="1" ht="12" customHeight="1">
      <c r="A360" s="1510" t="str">
        <f>A356</f>
        <v>n</v>
      </c>
      <c r="B360" s="1557"/>
      <c r="C360" s="366"/>
      <c r="D360" s="366"/>
      <c r="F360" s="1557"/>
    </row>
    <row r="361" spans="1:11" s="1525" customFormat="1" ht="12" customHeight="1">
      <c r="A361" s="1510" t="str">
        <f>A356</f>
        <v>n</v>
      </c>
      <c r="B361" s="1557"/>
      <c r="C361" s="340"/>
      <c r="D361" s="1526"/>
      <c r="F361" s="1557"/>
    </row>
    <row r="362" spans="1:11" s="1525" customFormat="1" ht="12" customHeight="1">
      <c r="A362" s="1510" t="str">
        <f>A356</f>
        <v>n</v>
      </c>
      <c r="B362" s="1557"/>
      <c r="C362" s="342"/>
      <c r="D362" s="341"/>
      <c r="F362" s="1557"/>
    </row>
    <row r="363" spans="1:11" s="1525" customFormat="1" ht="12" customHeight="1">
      <c r="A363" s="1510" t="str">
        <f>A356</f>
        <v>n</v>
      </c>
      <c r="B363" s="1557"/>
      <c r="C363" s="1299" t="s">
        <v>1712</v>
      </c>
      <c r="D363" s="1300" t="s">
        <v>1713</v>
      </c>
      <c r="E363" s="404"/>
      <c r="F363" s="1557"/>
    </row>
    <row r="364" spans="1:11" s="1525" customFormat="1" ht="12" customHeight="1">
      <c r="A364" s="1510" t="str">
        <f>A356</f>
        <v>n</v>
      </c>
      <c r="B364" s="1557"/>
      <c r="C364" s="1818"/>
      <c r="D364" s="607"/>
      <c r="E364" s="631"/>
      <c r="F364" s="1557"/>
    </row>
    <row r="365" spans="1:11" s="1527" customFormat="1" ht="13.9">
      <c r="A365" s="1510" t="str">
        <f>IF(AND(C365&lt;&gt;"",ISBLANK(D365)),"y",IF(D365="","n",""))</f>
        <v>n</v>
      </c>
      <c r="B365" s="1510"/>
      <c r="C365" s="468" t="str">
        <f>Settings!$L$125</f>
        <v/>
      </c>
      <c r="D365" s="2060" t="str">
        <f>_xll.ciqfunctions.udf.CIQSPLIT(K365,I365,J365)</f>
        <v/>
      </c>
      <c r="E365" s="2060"/>
      <c r="F365" s="1546"/>
      <c r="H365" s="485" t="str">
        <f>Settings!$M$125</f>
        <v/>
      </c>
      <c r="I365" s="2060">
        <v>1</v>
      </c>
      <c r="J365" s="126">
        <v>170</v>
      </c>
      <c r="K365" s="388" t="str">
        <f>IF(H365="","",_xll.ciqfunctions.udf.CIQ(H365,"IQ_Business_Description"))</f>
        <v/>
      </c>
    </row>
    <row r="366" spans="1:11" s="1527" customFormat="1" ht="13.9">
      <c r="A366" s="1510" t="str">
        <f>IF(AND(C365&lt;&gt;"",ISBLANK(D366)),"y",IF(D366="","n",""))</f>
        <v>n</v>
      </c>
      <c r="B366" s="1510"/>
      <c r="C366" s="468"/>
      <c r="D366" s="2060" t="str">
        <f>_xll.ciqfunctions.udf.CIQSPLIT(K365,I366,J365)</f>
        <v/>
      </c>
      <c r="E366" s="2060"/>
      <c r="F366" s="1546"/>
      <c r="H366" s="484"/>
      <c r="I366" s="2060">
        <v>2</v>
      </c>
      <c r="J366" s="126"/>
      <c r="K366" s="388"/>
    </row>
    <row r="367" spans="1:11" s="1527" customFormat="1" ht="13.9">
      <c r="A367" s="1510" t="str">
        <f>IF(AND(C365&lt;&gt;"",ISBLANK(D367)),"y",IF(D367="","n",""))</f>
        <v>n</v>
      </c>
      <c r="B367" s="1510"/>
      <c r="C367" s="468"/>
      <c r="D367" s="2060" t="str">
        <f>_xll.ciqfunctions.udf.CIQSPLIT(K365,I367,J365)</f>
        <v/>
      </c>
      <c r="E367" s="2060"/>
      <c r="F367" s="1546"/>
      <c r="H367" s="484"/>
      <c r="I367" s="2060">
        <v>3</v>
      </c>
      <c r="J367" s="126"/>
      <c r="K367" s="388"/>
    </row>
    <row r="368" spans="1:11" s="1527" customFormat="1" ht="13.9">
      <c r="A368" s="1510" t="str">
        <f>IF(AND(C365&lt;&gt;"",ISBLANK(D368)),"y",IF(D368="","n",""))</f>
        <v>n</v>
      </c>
      <c r="B368" s="1510"/>
      <c r="C368" s="468"/>
      <c r="D368" s="2060" t="str">
        <f>_xll.ciqfunctions.udf.CIQSPLIT(K365,I368,J365)</f>
        <v/>
      </c>
      <c r="E368" s="2060"/>
      <c r="F368" s="1546"/>
      <c r="H368" s="484"/>
      <c r="I368" s="2060">
        <v>4</v>
      </c>
      <c r="J368" s="126"/>
      <c r="K368" s="388"/>
    </row>
    <row r="369" spans="1:11" s="1527" customFormat="1" ht="13.9">
      <c r="A369" s="1510" t="str">
        <f>IF(AND(C365&lt;&gt;"",ISBLANK(D369)),"y",IF(D369="","n",""))</f>
        <v>n</v>
      </c>
      <c r="B369" s="1510"/>
      <c r="C369" s="468"/>
      <c r="D369" s="2060" t="str">
        <f>_xll.ciqfunctions.udf.CIQSPLIT(K365,I369,J365)</f>
        <v/>
      </c>
      <c r="E369" s="2060"/>
      <c r="F369" s="1546"/>
      <c r="H369" s="484"/>
      <c r="I369" s="2060">
        <v>5</v>
      </c>
      <c r="J369" s="126"/>
      <c r="K369" s="388"/>
    </row>
    <row r="370" spans="1:11" s="1527" customFormat="1" ht="13.9">
      <c r="A370" s="1510" t="str">
        <f>IF(AND(C365&lt;&gt;"",ISBLANK(D370)),"y",IF(D370="","n",""))</f>
        <v>n</v>
      </c>
      <c r="B370" s="1510"/>
      <c r="C370" s="468"/>
      <c r="D370" s="2060" t="str">
        <f>_xll.ciqfunctions.udf.CIQSPLIT(K365,I370,J365)</f>
        <v/>
      </c>
      <c r="E370" s="2060"/>
      <c r="F370" s="1546"/>
      <c r="H370" s="484"/>
      <c r="I370" s="2060">
        <v>6</v>
      </c>
      <c r="J370" s="126"/>
      <c r="K370" s="388"/>
    </row>
    <row r="371" spans="1:11" s="1527" customFormat="1" ht="13.9">
      <c r="A371" s="1510" t="str">
        <f>IF(AND(C365&lt;&gt;"",ISBLANK(D371)),"y",IF(D371="","n",""))</f>
        <v>n</v>
      </c>
      <c r="B371" s="1510"/>
      <c r="C371" s="468"/>
      <c r="D371" s="2060" t="str">
        <f>_xll.ciqfunctions.udf.CIQSPLIT(K365,I371,J365)</f>
        <v/>
      </c>
      <c r="E371" s="2060"/>
      <c r="F371" s="1546"/>
      <c r="H371" s="484"/>
      <c r="I371" s="2060">
        <v>7</v>
      </c>
      <c r="J371" s="126"/>
      <c r="K371" s="388"/>
    </row>
    <row r="372" spans="1:11" s="1527" customFormat="1" ht="13.9">
      <c r="A372" s="1510" t="str">
        <f>IF(AND(C365&lt;&gt;"",ISBLANK(D372)),"y",IF(D372="","n",""))</f>
        <v>n</v>
      </c>
      <c r="B372" s="1510"/>
      <c r="C372" s="468"/>
      <c r="D372" s="2060" t="str">
        <f>_xll.ciqfunctions.udf.CIQSPLIT(K365,I372,J365)</f>
        <v/>
      </c>
      <c r="E372" s="2060"/>
      <c r="F372" s="1546"/>
      <c r="H372" s="484"/>
      <c r="I372" s="2060">
        <v>8</v>
      </c>
      <c r="J372" s="126"/>
      <c r="K372" s="388"/>
    </row>
    <row r="373" spans="1:11" s="1527" customFormat="1" ht="13.9">
      <c r="A373" s="1510" t="str">
        <f>IF(AND(C365&lt;&gt;"",ISBLANK(D373)),"y",IF(D373="","n",""))</f>
        <v>n</v>
      </c>
      <c r="B373" s="1510"/>
      <c r="C373" s="468"/>
      <c r="D373" s="2060" t="str">
        <f>_xll.ciqfunctions.udf.CIQSPLIT(K365,I373,J365)</f>
        <v/>
      </c>
      <c r="E373" s="2060"/>
      <c r="F373" s="1546"/>
      <c r="H373" s="484"/>
      <c r="I373" s="2060">
        <v>9</v>
      </c>
      <c r="J373" s="126"/>
      <c r="K373" s="388"/>
    </row>
    <row r="374" spans="1:11" s="1527" customFormat="1" ht="13.9">
      <c r="A374" s="1510" t="str">
        <f>IF(AND(C365&lt;&gt;"",ISBLANK(D374)),"y",IF(D374="","n",""))</f>
        <v>n</v>
      </c>
      <c r="B374" s="1510"/>
      <c r="C374" s="468"/>
      <c r="D374" s="2060" t="str">
        <f>_xll.ciqfunctions.udf.CIQSPLIT(K365,I374,J365)</f>
        <v/>
      </c>
      <c r="E374" s="2060"/>
      <c r="F374" s="1546"/>
      <c r="H374" s="484"/>
      <c r="I374" s="2060">
        <v>10</v>
      </c>
      <c r="J374" s="126"/>
      <c r="K374" s="388"/>
    </row>
    <row r="375" spans="1:11" s="1527" customFormat="1" ht="13.9">
      <c r="A375" s="1510" t="str">
        <f>IF(AND(C365&lt;&gt;"",ISBLANK(D375)),"y",IF(D375="","n",""))</f>
        <v>n</v>
      </c>
      <c r="B375" s="1510"/>
      <c r="C375" s="468"/>
      <c r="D375" s="2060" t="str">
        <f>_xll.ciqfunctions.udf.CIQSPLIT(K365,I375,J365)</f>
        <v/>
      </c>
      <c r="E375" s="2060"/>
      <c r="F375" s="1546"/>
      <c r="H375" s="484"/>
      <c r="I375" s="2060">
        <v>11</v>
      </c>
      <c r="J375" s="126"/>
      <c r="K375" s="388"/>
    </row>
    <row r="376" spans="1:11" s="1527" customFormat="1" ht="13.9">
      <c r="A376" s="1510" t="str">
        <f>IF(AND(C365&lt;&gt;"",ISBLANK(D376)),"y",IF(D376="","n",""))</f>
        <v>n</v>
      </c>
      <c r="B376" s="1510"/>
      <c r="C376" s="468"/>
      <c r="D376" s="2060" t="str">
        <f>_xll.ciqfunctions.udf.CIQSPLIT(K365,I376,J365)</f>
        <v/>
      </c>
      <c r="E376" s="2060"/>
      <c r="F376" s="1546"/>
      <c r="H376" s="484"/>
      <c r="I376" s="2060">
        <v>12</v>
      </c>
      <c r="J376" s="126"/>
      <c r="K376" s="388"/>
    </row>
    <row r="377" spans="1:11" s="1527" customFormat="1" ht="13.9">
      <c r="A377" s="1510" t="str">
        <f>IF(AND(C365&lt;&gt;"",ISBLANK(D377)),"y",IF(D377="","n",""))</f>
        <v>n</v>
      </c>
      <c r="B377" s="1510"/>
      <c r="C377" s="468"/>
      <c r="D377" s="2060" t="str">
        <f>_xll.ciqfunctions.udf.CIQSPLIT(K365,I377,J365)</f>
        <v/>
      </c>
      <c r="E377" s="2060"/>
      <c r="F377" s="1546"/>
      <c r="H377" s="484"/>
      <c r="I377" s="2060">
        <v>13</v>
      </c>
      <c r="J377" s="126"/>
      <c r="K377" s="388"/>
    </row>
    <row r="378" spans="1:11" s="1527" customFormat="1" ht="13.9">
      <c r="A378" s="1510" t="str">
        <f>IF(AND(C365&lt;&gt;"",ISBLANK(D378)),"y",IF(D378="","n",""))</f>
        <v>n</v>
      </c>
      <c r="B378" s="1510"/>
      <c r="C378" s="468"/>
      <c r="D378" s="2060" t="str">
        <f>_xll.ciqfunctions.udf.CIQSPLIT(K365,I378,J365)</f>
        <v/>
      </c>
      <c r="E378" s="2060"/>
      <c r="F378" s="1546"/>
      <c r="H378" s="484"/>
      <c r="I378" s="2060">
        <v>14</v>
      </c>
      <c r="J378" s="126"/>
      <c r="K378" s="388"/>
    </row>
    <row r="379" spans="1:11" s="1527" customFormat="1" ht="13.9">
      <c r="A379" s="1510" t="str">
        <f>IF(AND(C365&lt;&gt;"",ISBLANK(D379)),"y",IF(D379="","n",""))</f>
        <v>n</v>
      </c>
      <c r="B379" s="1510"/>
      <c r="C379" s="468"/>
      <c r="D379" s="468"/>
      <c r="E379" s="2060"/>
      <c r="F379" s="1546"/>
      <c r="H379" s="484"/>
      <c r="I379" s="2060"/>
      <c r="J379" s="126"/>
      <c r="K379" s="388"/>
    </row>
    <row r="380" spans="1:11" s="1527" customFormat="1" ht="13.9">
      <c r="A380" s="1510" t="str">
        <f>IF(AND(C380&lt;&gt;"",ISBLANK(D380)),"y",IF(D380="","n",""))</f>
        <v>n</v>
      </c>
      <c r="B380" s="1510"/>
      <c r="C380" s="468" t="str">
        <f>Settings!$L$126</f>
        <v/>
      </c>
      <c r="D380" s="2060" t="str">
        <f>_xll.ciqfunctions.udf.CIQSPLIT(K380,I380,J380)</f>
        <v/>
      </c>
      <c r="E380" s="2060"/>
      <c r="F380" s="1546"/>
      <c r="H380" s="485" t="str">
        <f>Settings!$M$126</f>
        <v/>
      </c>
      <c r="I380" s="2060">
        <v>1</v>
      </c>
      <c r="J380" s="126">
        <v>170</v>
      </c>
      <c r="K380" s="388" t="str">
        <f>IF(H380="","",_xll.ciqfunctions.udf.CIQ(H380,"IQ_Business_Description"))</f>
        <v/>
      </c>
    </row>
    <row r="381" spans="1:11" s="1527" customFormat="1" ht="13.9">
      <c r="A381" s="1510" t="str">
        <f>IF(AND(C380&lt;&gt;"",ISBLANK(D381)),"y",IF(D381="","n",""))</f>
        <v>n</v>
      </c>
      <c r="B381" s="1510"/>
      <c r="C381" s="468"/>
      <c r="D381" s="2060" t="str">
        <f>_xll.ciqfunctions.udf.CIQSPLIT(K380,I381,J380)</f>
        <v/>
      </c>
      <c r="E381" s="2060"/>
      <c r="F381" s="1546"/>
      <c r="H381" s="484"/>
      <c r="I381" s="2060">
        <v>2</v>
      </c>
      <c r="J381" s="126"/>
      <c r="K381" s="388"/>
    </row>
    <row r="382" spans="1:11" s="1527" customFormat="1" ht="13.9">
      <c r="A382" s="1510" t="str">
        <f>IF(AND(C380&lt;&gt;"",ISBLANK(D382)),"y",IF(D382="","n",""))</f>
        <v>n</v>
      </c>
      <c r="B382" s="1510"/>
      <c r="C382" s="468"/>
      <c r="D382" s="2060" t="str">
        <f>_xll.ciqfunctions.udf.CIQSPLIT(K380,I382,J380)</f>
        <v/>
      </c>
      <c r="E382" s="2060"/>
      <c r="F382" s="1546"/>
      <c r="H382" s="484"/>
      <c r="I382" s="2060">
        <v>3</v>
      </c>
      <c r="J382" s="126"/>
      <c r="K382" s="388"/>
    </row>
    <row r="383" spans="1:11" s="1527" customFormat="1" ht="13.9">
      <c r="A383" s="1510" t="str">
        <f>IF(AND(C380&lt;&gt;"",ISBLANK(D383)),"y",IF(D383="","n",""))</f>
        <v>n</v>
      </c>
      <c r="B383" s="1510"/>
      <c r="C383" s="468"/>
      <c r="D383" s="2060" t="str">
        <f>_xll.ciqfunctions.udf.CIQSPLIT(K380,I383,J380)</f>
        <v/>
      </c>
      <c r="E383" s="2060"/>
      <c r="F383" s="1546"/>
      <c r="H383" s="484"/>
      <c r="I383" s="2060">
        <v>4</v>
      </c>
      <c r="J383" s="126"/>
      <c r="K383" s="388"/>
    </row>
    <row r="384" spans="1:11" s="1527" customFormat="1" ht="13.9">
      <c r="A384" s="1510" t="str">
        <f>IF(AND(C380&lt;&gt;"",ISBLANK(D384)),"y",IF(D384="","n",""))</f>
        <v>n</v>
      </c>
      <c r="B384" s="1510"/>
      <c r="C384" s="468"/>
      <c r="D384" s="2060" t="str">
        <f>_xll.ciqfunctions.udf.CIQSPLIT(K380,I384,J380)</f>
        <v/>
      </c>
      <c r="E384" s="2060"/>
      <c r="F384" s="1546"/>
      <c r="H384" s="484"/>
      <c r="I384" s="2060">
        <v>5</v>
      </c>
      <c r="J384" s="126"/>
      <c r="K384" s="388"/>
    </row>
    <row r="385" spans="1:15" s="1527" customFormat="1" ht="13.9">
      <c r="A385" s="1510" t="str">
        <f>IF(AND(C380&lt;&gt;"",ISBLANK(D385)),"y",IF(D385="","n",""))</f>
        <v>n</v>
      </c>
      <c r="B385" s="1510"/>
      <c r="C385" s="468"/>
      <c r="D385" s="2060" t="str">
        <f>_xll.ciqfunctions.udf.CIQSPLIT(K380,I385,J380)</f>
        <v/>
      </c>
      <c r="E385" s="2060"/>
      <c r="F385" s="1546"/>
      <c r="H385" s="484"/>
      <c r="I385" s="2060">
        <v>6</v>
      </c>
      <c r="J385" s="126"/>
      <c r="K385" s="388"/>
    </row>
    <row r="386" spans="1:15" s="1527" customFormat="1" ht="13.9">
      <c r="A386" s="1510" t="str">
        <f>IF(AND(C380&lt;&gt;"",ISBLANK(D386)),"y",IF(D386="","n",""))</f>
        <v>n</v>
      </c>
      <c r="B386" s="1510"/>
      <c r="C386" s="468"/>
      <c r="D386" s="2060" t="str">
        <f>_xll.ciqfunctions.udf.CIQSPLIT(K380,I386,J380)</f>
        <v/>
      </c>
      <c r="E386" s="2060"/>
      <c r="F386" s="1546"/>
      <c r="H386" s="484"/>
      <c r="I386" s="2060">
        <v>7</v>
      </c>
      <c r="J386" s="126"/>
      <c r="K386" s="388"/>
    </row>
    <row r="387" spans="1:15" s="1525" customFormat="1" ht="13.9">
      <c r="A387" s="1510" t="str">
        <f>IF(AND(C380&lt;&gt;"",ISBLANK(D387)),"y",IF(D387="","n",""))</f>
        <v>n</v>
      </c>
      <c r="B387" s="1510"/>
      <c r="C387" s="468"/>
      <c r="D387" s="2060" t="str">
        <f>_xll.ciqfunctions.udf.CIQSPLIT(K380,I387,J380)</f>
        <v/>
      </c>
      <c r="E387" s="2060"/>
      <c r="F387" s="1546"/>
      <c r="H387" s="484"/>
      <c r="I387" s="2060">
        <v>8</v>
      </c>
      <c r="J387" s="126"/>
      <c r="K387" s="388"/>
    </row>
    <row r="388" spans="1:15" s="1525" customFormat="1" ht="12" customHeight="1">
      <c r="A388" s="1510" t="str">
        <f>IF(AND(C380&lt;&gt;"",ISBLANK(D388)),"y",IF(D388="","n",""))</f>
        <v>n</v>
      </c>
      <c r="B388" s="1510"/>
      <c r="C388" s="468"/>
      <c r="D388" s="2060" t="str">
        <f>_xll.ciqfunctions.udf.CIQSPLIT(K380,I388,J380)</f>
        <v/>
      </c>
      <c r="E388" s="2060"/>
      <c r="F388" s="1546"/>
      <c r="H388" s="484"/>
      <c r="I388" s="2060">
        <v>9</v>
      </c>
      <c r="J388" s="126"/>
      <c r="K388" s="388"/>
    </row>
    <row r="389" spans="1:15" s="1525" customFormat="1" ht="12" customHeight="1">
      <c r="A389" s="1510" t="str">
        <f>IF(AND(C380&lt;&gt;"",ISBLANK(D389)),"y",IF(D389="","n",""))</f>
        <v>n</v>
      </c>
      <c r="B389" s="1510"/>
      <c r="C389" s="468"/>
      <c r="D389" s="2060" t="str">
        <f>_xll.ciqfunctions.udf.CIQSPLIT(K380,I389,J380)</f>
        <v/>
      </c>
      <c r="E389" s="2060"/>
      <c r="F389" s="1546"/>
      <c r="H389" s="484"/>
      <c r="I389" s="2060">
        <v>10</v>
      </c>
      <c r="J389" s="126"/>
      <c r="K389" s="388"/>
    </row>
    <row r="390" spans="1:15" s="1525" customFormat="1" ht="13.9">
      <c r="A390" s="1510" t="str">
        <f>IF(AND(C380&lt;&gt;"",ISBLANK(D390)),"y",IF(D390="","n",""))</f>
        <v>n</v>
      </c>
      <c r="B390" s="1510"/>
      <c r="C390" s="468"/>
      <c r="D390" s="2060" t="str">
        <f>_xll.ciqfunctions.udf.CIQSPLIT(K380,I390,J380)</f>
        <v/>
      </c>
      <c r="E390" s="2060"/>
      <c r="F390" s="1546"/>
      <c r="H390" s="484"/>
      <c r="I390" s="2060">
        <v>11</v>
      </c>
      <c r="J390" s="126"/>
      <c r="K390" s="388"/>
    </row>
    <row r="391" spans="1:15" s="1525" customFormat="1" ht="13.9">
      <c r="A391" s="1510" t="str">
        <f>IF(AND(C380&lt;&gt;"",ISBLANK(D391)),"y",IF(D391="","n",""))</f>
        <v>n</v>
      </c>
      <c r="B391" s="1510"/>
      <c r="C391" s="468"/>
      <c r="D391" s="2060" t="str">
        <f>_xll.ciqfunctions.udf.CIQSPLIT(K380,I391,J380)</f>
        <v/>
      </c>
      <c r="E391" s="2060"/>
      <c r="F391" s="1546"/>
      <c r="H391" s="484"/>
      <c r="I391" s="2060">
        <v>12</v>
      </c>
      <c r="J391" s="126"/>
      <c r="K391" s="388"/>
    </row>
    <row r="392" spans="1:15" s="1525" customFormat="1" ht="12" customHeight="1">
      <c r="A392" s="1510" t="str">
        <f>IF(AND(C380&lt;&gt;"",ISBLANK(D392)),"y",IF(D392="","n",""))</f>
        <v>n</v>
      </c>
      <c r="B392" s="1510"/>
      <c r="C392" s="468"/>
      <c r="D392" s="2060" t="str">
        <f>_xll.ciqfunctions.udf.CIQSPLIT(K380,I392,J380)</f>
        <v/>
      </c>
      <c r="E392" s="2060"/>
      <c r="F392" s="1546"/>
      <c r="H392" s="484"/>
      <c r="I392" s="2060">
        <v>13</v>
      </c>
      <c r="J392" s="126"/>
      <c r="K392" s="388"/>
    </row>
    <row r="393" spans="1:15" s="1525" customFormat="1" ht="12" customHeight="1">
      <c r="A393" s="1510" t="str">
        <f>IF(AND(C380&lt;&gt;"",ISBLANK(D393)),"y",IF(D393="","n",""))</f>
        <v>n</v>
      </c>
      <c r="B393" s="1510"/>
      <c r="C393" s="468"/>
      <c r="D393" s="2060" t="str">
        <f>_xll.ciqfunctions.udf.CIQSPLIT(K380,I393,J380)</f>
        <v/>
      </c>
      <c r="E393" s="2060"/>
      <c r="F393" s="1546"/>
      <c r="H393" s="484"/>
      <c r="I393" s="2060">
        <v>14</v>
      </c>
      <c r="J393" s="126"/>
      <c r="K393" s="388"/>
    </row>
    <row r="394" spans="1:15" s="1525" customFormat="1" ht="12" customHeight="1">
      <c r="A394" s="1510" t="str">
        <f>IF(AND(C380&lt;&gt;"",ISBLANK(D394)),"y",IF(D394="","n",""))</f>
        <v>n</v>
      </c>
      <c r="B394" s="1510"/>
      <c r="C394" s="468"/>
      <c r="D394" s="468"/>
      <c r="E394" s="2060"/>
      <c r="F394" s="1546"/>
    </row>
    <row r="395" spans="1:15" s="1525" customFormat="1" ht="12" customHeight="1">
      <c r="A395" s="1510" t="str">
        <f>IF(AND(C395&lt;&gt;"",ISBLANK(D395)),"y",IF(D395="","n",""))</f>
        <v>n</v>
      </c>
      <c r="B395" s="1510"/>
      <c r="C395" s="468" t="str">
        <f>Settings!$L$127</f>
        <v/>
      </c>
      <c r="D395" s="2060" t="str">
        <f>_xll.ciqfunctions.udf.CIQSPLIT(K395,I395,J395)</f>
        <v/>
      </c>
      <c r="E395" s="2060"/>
      <c r="F395" s="1546"/>
      <c r="G395" s="1527"/>
      <c r="H395" s="485" t="str">
        <f>Settings!$M$127</f>
        <v/>
      </c>
      <c r="I395" s="2060">
        <v>1</v>
      </c>
      <c r="J395" s="126">
        <v>170</v>
      </c>
      <c r="K395" s="388" t="str">
        <f>IF(H395="","",_xll.ciqfunctions.udf.CIQ(H395,"IQ_Business_Description"))</f>
        <v/>
      </c>
      <c r="L395" s="1527"/>
      <c r="M395" s="1527"/>
      <c r="N395" s="1527"/>
      <c r="O395" s="1527"/>
    </row>
    <row r="396" spans="1:15" s="1525" customFormat="1" ht="12.75" customHeight="1">
      <c r="A396" s="1510" t="str">
        <f>IF(AND(C395&lt;&gt;"",ISBLANK(D396)),"y",IF(D396="","n",""))</f>
        <v>n</v>
      </c>
      <c r="B396" s="1510"/>
      <c r="C396" s="468"/>
      <c r="D396" s="2060" t="str">
        <f>_xll.ciqfunctions.udf.CIQSPLIT(K395,I396,J395)</f>
        <v/>
      </c>
      <c r="E396" s="2060"/>
      <c r="F396" s="1546"/>
      <c r="G396" s="1527"/>
      <c r="H396" s="484"/>
      <c r="I396" s="2060">
        <v>2</v>
      </c>
      <c r="J396" s="126"/>
      <c r="K396" s="388"/>
      <c r="L396" s="1527"/>
      <c r="M396" s="1527"/>
      <c r="N396" s="1527"/>
      <c r="O396" s="1527"/>
    </row>
    <row r="397" spans="1:15" s="1525" customFormat="1" ht="13.9">
      <c r="A397" s="1510" t="str">
        <f>IF(AND(C395&lt;&gt;"",ISBLANK(D397)),"y",IF(D397="","n",""))</f>
        <v>n</v>
      </c>
      <c r="B397" s="1510"/>
      <c r="C397" s="468"/>
      <c r="D397" s="2060" t="str">
        <f>_xll.ciqfunctions.udf.CIQSPLIT(K395,I397,J395)</f>
        <v/>
      </c>
      <c r="E397" s="2060"/>
      <c r="F397" s="1546"/>
      <c r="G397" s="1527"/>
      <c r="H397" s="484"/>
      <c r="I397" s="2060">
        <v>3</v>
      </c>
      <c r="J397" s="126"/>
      <c r="K397" s="388"/>
      <c r="L397" s="1527"/>
      <c r="M397" s="1527"/>
      <c r="N397" s="1527"/>
      <c r="O397" s="1527"/>
    </row>
    <row r="398" spans="1:15" s="1525" customFormat="1" ht="13.9">
      <c r="A398" s="1510" t="str">
        <f>IF(AND(C395&lt;&gt;"",ISBLANK(D398)),"y",IF(D398="","n",""))</f>
        <v>n</v>
      </c>
      <c r="B398" s="1510"/>
      <c r="C398" s="468"/>
      <c r="D398" s="2060" t="str">
        <f>_xll.ciqfunctions.udf.CIQSPLIT(K395,I398,J395)</f>
        <v/>
      </c>
      <c r="E398" s="2060"/>
      <c r="F398" s="1546"/>
      <c r="G398" s="1527"/>
      <c r="H398" s="484"/>
      <c r="I398" s="2060">
        <v>4</v>
      </c>
      <c r="J398" s="126"/>
      <c r="K398" s="388"/>
      <c r="L398" s="1527"/>
      <c r="M398" s="1527"/>
      <c r="N398" s="1527"/>
      <c r="O398" s="1527"/>
    </row>
    <row r="399" spans="1:15" s="1525" customFormat="1" ht="13.9">
      <c r="A399" s="1510" t="str">
        <f>IF(AND(C395&lt;&gt;"",ISBLANK(D399)),"y",IF(D399="","n",""))</f>
        <v>n</v>
      </c>
      <c r="B399" s="1510"/>
      <c r="C399" s="468"/>
      <c r="D399" s="2060" t="str">
        <f>_xll.ciqfunctions.udf.CIQSPLIT(K395,I399,J395)</f>
        <v/>
      </c>
      <c r="E399" s="2060"/>
      <c r="F399" s="1546"/>
      <c r="G399" s="1527"/>
      <c r="H399" s="484"/>
      <c r="I399" s="2060">
        <v>5</v>
      </c>
      <c r="J399" s="126"/>
      <c r="K399" s="388"/>
      <c r="L399" s="1527"/>
      <c r="M399" s="1527"/>
      <c r="N399" s="1527"/>
      <c r="O399" s="1527"/>
    </row>
    <row r="400" spans="1:15" s="1525" customFormat="1" ht="13.9">
      <c r="A400" s="1510" t="str">
        <f>IF(AND(C395&lt;&gt;"",ISBLANK(D400)),"y",IF(D400="","n",""))</f>
        <v>n</v>
      </c>
      <c r="B400" s="1510"/>
      <c r="C400" s="468"/>
      <c r="D400" s="2060" t="str">
        <f>_xll.ciqfunctions.udf.CIQSPLIT(K395,I400,J395)</f>
        <v/>
      </c>
      <c r="E400" s="2060"/>
      <c r="F400" s="1546"/>
      <c r="G400" s="1527"/>
      <c r="H400" s="484"/>
      <c r="I400" s="2060">
        <v>6</v>
      </c>
      <c r="J400" s="126"/>
      <c r="K400" s="388"/>
      <c r="L400" s="1527"/>
      <c r="M400" s="1527"/>
      <c r="N400" s="1527"/>
      <c r="O400" s="1527"/>
    </row>
    <row r="401" spans="1:15" s="1525" customFormat="1" ht="13.9">
      <c r="A401" s="1510" t="str">
        <f>IF(AND(C395&lt;&gt;"",ISBLANK(D401)),"y",IF(D401="","n",""))</f>
        <v>n</v>
      </c>
      <c r="B401" s="1510"/>
      <c r="C401" s="468"/>
      <c r="D401" s="2060" t="str">
        <f>_xll.ciqfunctions.udf.CIQSPLIT(K395,I401,J395)</f>
        <v/>
      </c>
      <c r="E401" s="2060"/>
      <c r="F401" s="1546"/>
      <c r="G401" s="1527"/>
      <c r="H401" s="484"/>
      <c r="I401" s="2060">
        <v>7</v>
      </c>
      <c r="J401" s="126"/>
      <c r="K401" s="388"/>
      <c r="L401" s="1527"/>
      <c r="M401" s="1527"/>
      <c r="N401" s="1527"/>
      <c r="O401" s="1527"/>
    </row>
    <row r="402" spans="1:15" s="1525" customFormat="1" ht="13.9">
      <c r="A402" s="1510" t="str">
        <f>IF(AND(C395&lt;&gt;"",ISBLANK(D402)),"y",IF(D402="","n",""))</f>
        <v>n</v>
      </c>
      <c r="B402" s="1510"/>
      <c r="C402" s="468"/>
      <c r="D402" s="2060" t="str">
        <f>_xll.ciqfunctions.udf.CIQSPLIT(K395,I402,J395)</f>
        <v/>
      </c>
      <c r="E402" s="2060"/>
      <c r="F402" s="1546"/>
      <c r="H402" s="484"/>
      <c r="I402" s="2060">
        <v>8</v>
      </c>
      <c r="J402" s="126"/>
      <c r="K402" s="388"/>
    </row>
    <row r="403" spans="1:15" s="1525" customFormat="1" ht="12" customHeight="1">
      <c r="A403" s="1510" t="str">
        <f>IF(AND(C395&lt;&gt;"",ISBLANK(D403)),"y",IF(D403="","n",""))</f>
        <v>n</v>
      </c>
      <c r="B403" s="1510"/>
      <c r="C403" s="468"/>
      <c r="D403" s="2060" t="str">
        <f>_xll.ciqfunctions.udf.CIQSPLIT(K395,I403,J395)</f>
        <v/>
      </c>
      <c r="E403" s="2060"/>
      <c r="F403" s="1546"/>
      <c r="H403" s="484"/>
      <c r="I403" s="2060">
        <v>9</v>
      </c>
      <c r="J403" s="126"/>
      <c r="K403" s="388"/>
    </row>
    <row r="404" spans="1:15" s="1525" customFormat="1" ht="12" customHeight="1">
      <c r="A404" s="1510" t="str">
        <f>IF(AND(C395&lt;&gt;"",ISBLANK(D404)),"y",IF(D404="","n",""))</f>
        <v>n</v>
      </c>
      <c r="B404" s="1510"/>
      <c r="C404" s="468"/>
      <c r="D404" s="2060" t="str">
        <f>_xll.ciqfunctions.udf.CIQSPLIT(K395,I404,J395)</f>
        <v/>
      </c>
      <c r="E404" s="2060"/>
      <c r="F404" s="1546"/>
      <c r="H404" s="484"/>
      <c r="I404" s="2060">
        <v>10</v>
      </c>
      <c r="J404" s="126"/>
      <c r="K404" s="388"/>
    </row>
    <row r="405" spans="1:15" s="1525" customFormat="1" ht="12" customHeight="1">
      <c r="A405" s="1510" t="str">
        <f>IF(AND(C395&lt;&gt;"",ISBLANK(D405)),"y",IF(D405="","n",""))</f>
        <v>n</v>
      </c>
      <c r="B405" s="1510"/>
      <c r="C405" s="468"/>
      <c r="D405" s="2060" t="str">
        <f>_xll.ciqfunctions.udf.CIQSPLIT(K395,I405,J395)</f>
        <v/>
      </c>
      <c r="E405" s="2060"/>
      <c r="F405" s="1546"/>
      <c r="H405" s="484"/>
      <c r="I405" s="2060">
        <v>11</v>
      </c>
      <c r="J405" s="126"/>
      <c r="K405" s="388"/>
    </row>
    <row r="406" spans="1:15" s="1525" customFormat="1" ht="12" customHeight="1">
      <c r="A406" s="1510" t="str">
        <f>IF(AND(C395&lt;&gt;"",ISBLANK(D406)),"y",IF(D406="","n",""))</f>
        <v>n</v>
      </c>
      <c r="B406" s="1510"/>
      <c r="C406" s="468"/>
      <c r="D406" s="2060" t="str">
        <f>_xll.ciqfunctions.udf.CIQSPLIT(K395,I406,J395)</f>
        <v/>
      </c>
      <c r="E406" s="2060"/>
      <c r="F406" s="1546"/>
      <c r="H406" s="484"/>
      <c r="I406" s="2060">
        <v>12</v>
      </c>
      <c r="J406" s="126"/>
      <c r="K406" s="388"/>
    </row>
    <row r="407" spans="1:15" s="1525" customFormat="1" ht="12" customHeight="1">
      <c r="A407" s="1510" t="str">
        <f>IF(AND(C395&lt;&gt;"",ISBLANK(D407)),"y",IF(D407="","n",""))</f>
        <v>n</v>
      </c>
      <c r="B407" s="1510"/>
      <c r="C407" s="468"/>
      <c r="D407" s="2060" t="str">
        <f>_xll.ciqfunctions.udf.CIQSPLIT(K395,I407,J395)</f>
        <v/>
      </c>
      <c r="E407" s="2060"/>
      <c r="F407" s="1546"/>
      <c r="H407" s="484"/>
      <c r="I407" s="2060">
        <v>13</v>
      </c>
      <c r="J407" s="126"/>
      <c r="K407" s="388"/>
    </row>
    <row r="408" spans="1:15" s="1525" customFormat="1" ht="12" customHeight="1">
      <c r="A408" s="1510" t="str">
        <f>IF(AND(C395&lt;&gt;"",ISBLANK(D408)),"y",IF(D408="","n",""))</f>
        <v>n</v>
      </c>
      <c r="B408" s="1510"/>
      <c r="C408" s="468"/>
      <c r="D408" s="2060" t="str">
        <f>_xll.ciqfunctions.udf.CIQSPLIT(K395,I408,J395)</f>
        <v/>
      </c>
      <c r="E408" s="2060"/>
      <c r="F408" s="1546"/>
      <c r="H408" s="484"/>
      <c r="I408" s="2060">
        <v>14</v>
      </c>
      <c r="J408" s="126"/>
      <c r="K408" s="388"/>
    </row>
    <row r="409" spans="1:15" s="1525" customFormat="1" ht="12" customHeight="1">
      <c r="A409" s="1510" t="str">
        <f>IF(AND(C395&lt;&gt;"",ISBLANK(D409)),"y",IF(D409="","n",""))</f>
        <v>n</v>
      </c>
      <c r="B409" s="1510"/>
      <c r="C409" s="468"/>
      <c r="D409" s="468"/>
      <c r="E409" s="2060"/>
      <c r="F409" s="1546"/>
    </row>
    <row r="410" spans="1:15" s="1525" customFormat="1" ht="12" customHeight="1">
      <c r="A410" s="1510" t="str">
        <f>IF(AND(C410&lt;&gt;"",ISBLANK(D410)),"y",IF(D410="","n",""))</f>
        <v>n</v>
      </c>
      <c r="B410" s="1510"/>
      <c r="C410" s="468" t="str">
        <f>Settings!$L$128</f>
        <v/>
      </c>
      <c r="D410" s="2060" t="str">
        <f>_xll.ciqfunctions.udf.CIQSPLIT(K410,I410,J410)</f>
        <v/>
      </c>
      <c r="E410" s="2060"/>
      <c r="F410" s="1546"/>
      <c r="G410" s="1527"/>
      <c r="H410" s="485" t="str">
        <f>Settings!$M$128</f>
        <v/>
      </c>
      <c r="I410" s="2060">
        <v>1</v>
      </c>
      <c r="J410" s="126">
        <v>170</v>
      </c>
      <c r="K410" s="388" t="str">
        <f>IF(H410="","",_xll.ciqfunctions.udf.CIQ(H410,"IQ_Business_Description"))</f>
        <v/>
      </c>
      <c r="L410" s="1527"/>
      <c r="M410" s="1527"/>
    </row>
    <row r="411" spans="1:15" s="1525" customFormat="1" ht="12" customHeight="1">
      <c r="A411" s="1510" t="str">
        <f>IF(AND(C410&lt;&gt;"",ISBLANK(D411)),"y",IF(D411="","n",""))</f>
        <v>n</v>
      </c>
      <c r="B411" s="1510"/>
      <c r="C411" s="468"/>
      <c r="D411" s="2060" t="str">
        <f>_xll.ciqfunctions.udf.CIQSPLIT(K410,I411,J410)</f>
        <v/>
      </c>
      <c r="E411" s="2060"/>
      <c r="F411" s="1546"/>
      <c r="G411" s="1527"/>
      <c r="H411" s="484"/>
      <c r="I411" s="2060">
        <v>2</v>
      </c>
      <c r="J411" s="126"/>
      <c r="K411" s="388"/>
      <c r="L411" s="1527"/>
      <c r="M411" s="1527"/>
    </row>
    <row r="412" spans="1:15" s="1525" customFormat="1" ht="12" customHeight="1">
      <c r="A412" s="1510" t="str">
        <f>IF(AND(C410&lt;&gt;"",ISBLANK(D412)),"y",IF(D412="","n",""))</f>
        <v>n</v>
      </c>
      <c r="B412" s="1510"/>
      <c r="C412" s="468"/>
      <c r="D412" s="2060" t="str">
        <f>_xll.ciqfunctions.udf.CIQSPLIT(K410,I412,J410)</f>
        <v/>
      </c>
      <c r="E412" s="2060"/>
      <c r="F412" s="1546"/>
      <c r="G412" s="1527"/>
      <c r="H412" s="484"/>
      <c r="I412" s="2060">
        <v>3</v>
      </c>
      <c r="J412" s="126"/>
      <c r="K412" s="388"/>
      <c r="L412" s="1527"/>
      <c r="M412" s="1527"/>
    </row>
    <row r="413" spans="1:15" s="1525" customFormat="1" ht="12" customHeight="1">
      <c r="A413" s="1510" t="str">
        <f>IF(AND(C410&lt;&gt;"",ISBLANK(D413)),"y",IF(D413="","n",""))</f>
        <v>n</v>
      </c>
      <c r="B413" s="1510"/>
      <c r="C413" s="468"/>
      <c r="D413" s="2060" t="str">
        <f>_xll.ciqfunctions.udf.CIQSPLIT(K410,I413,J410)</f>
        <v/>
      </c>
      <c r="E413" s="2060"/>
      <c r="F413" s="1546"/>
      <c r="G413" s="1527"/>
      <c r="H413" s="484"/>
      <c r="I413" s="2060">
        <v>4</v>
      </c>
      <c r="J413" s="126"/>
      <c r="K413" s="388"/>
      <c r="L413" s="1527"/>
      <c r="M413" s="1527"/>
    </row>
    <row r="414" spans="1:15" s="1525" customFormat="1" ht="12" customHeight="1">
      <c r="A414" s="1510" t="str">
        <f>IF(AND(C410&lt;&gt;"",ISBLANK(D414)),"y",IF(D414="","n",""))</f>
        <v>n</v>
      </c>
      <c r="B414" s="1510"/>
      <c r="C414" s="468"/>
      <c r="D414" s="2060" t="str">
        <f>_xll.ciqfunctions.udf.CIQSPLIT(K410,I414,J410)</f>
        <v/>
      </c>
      <c r="E414" s="2060"/>
      <c r="F414" s="1546"/>
      <c r="G414" s="1527"/>
      <c r="H414" s="484"/>
      <c r="I414" s="2060">
        <v>5</v>
      </c>
      <c r="J414" s="126"/>
      <c r="K414" s="388"/>
      <c r="L414" s="1527"/>
      <c r="M414" s="1527"/>
    </row>
    <row r="415" spans="1:15" s="1525" customFormat="1" ht="12" customHeight="1">
      <c r="A415" s="1510" t="str">
        <f>IF(AND(C410&lt;&gt;"",ISBLANK(D415)),"y",IF(D415="","n",""))</f>
        <v>n</v>
      </c>
      <c r="B415" s="1510"/>
      <c r="C415" s="468"/>
      <c r="D415" s="2060" t="str">
        <f>_xll.ciqfunctions.udf.CIQSPLIT(K410,I415,J410)</f>
        <v/>
      </c>
      <c r="E415" s="2060"/>
      <c r="F415" s="1546"/>
      <c r="G415" s="1527"/>
      <c r="H415" s="484"/>
      <c r="I415" s="2060">
        <v>6</v>
      </c>
      <c r="J415" s="126"/>
      <c r="K415" s="388"/>
      <c r="L415" s="1527"/>
      <c r="M415" s="1527"/>
    </row>
    <row r="416" spans="1:15" s="1525" customFormat="1" ht="12" customHeight="1">
      <c r="A416" s="1510" t="str">
        <f>IF(AND(C410&lt;&gt;"",ISBLANK(D416)),"y",IF(D416="","n",""))</f>
        <v>n</v>
      </c>
      <c r="B416" s="1510"/>
      <c r="C416" s="468"/>
      <c r="D416" s="2060" t="str">
        <f>_xll.ciqfunctions.udf.CIQSPLIT(K410,I416,J410)</f>
        <v/>
      </c>
      <c r="E416" s="2060"/>
      <c r="F416" s="1546"/>
      <c r="G416" s="1527"/>
      <c r="H416" s="484"/>
      <c r="I416" s="2060">
        <v>7</v>
      </c>
      <c r="J416" s="126"/>
      <c r="K416" s="388"/>
      <c r="L416" s="1527"/>
      <c r="M416" s="1527"/>
    </row>
    <row r="417" spans="1:11" s="1525" customFormat="1" ht="12" customHeight="1">
      <c r="A417" s="1510" t="str">
        <f>IF(AND(C410&lt;&gt;"",ISBLANK(D417)),"y",IF(D417="","n",""))</f>
        <v>n</v>
      </c>
      <c r="B417" s="1510"/>
      <c r="C417" s="468"/>
      <c r="D417" s="2060" t="str">
        <f>_xll.ciqfunctions.udf.CIQSPLIT(K410,I417,J410)</f>
        <v/>
      </c>
      <c r="E417" s="2060"/>
      <c r="F417" s="1546"/>
      <c r="H417" s="484"/>
      <c r="I417" s="2060">
        <v>8</v>
      </c>
      <c r="J417" s="126"/>
      <c r="K417" s="388"/>
    </row>
    <row r="418" spans="1:11" s="1525" customFormat="1" ht="12" customHeight="1">
      <c r="A418" s="1510" t="str">
        <f>IF(AND(C410&lt;&gt;"",ISBLANK(D418)),"y",IF(D418="","n",""))</f>
        <v>n</v>
      </c>
      <c r="B418" s="1510"/>
      <c r="C418" s="468"/>
      <c r="D418" s="2060" t="str">
        <f>_xll.ciqfunctions.udf.CIQSPLIT(K410,I418,J410)</f>
        <v/>
      </c>
      <c r="E418" s="2060"/>
      <c r="F418" s="1546"/>
      <c r="H418" s="484"/>
      <c r="I418" s="2060">
        <v>9</v>
      </c>
      <c r="J418" s="126"/>
      <c r="K418" s="388"/>
    </row>
    <row r="419" spans="1:11" s="1525" customFormat="1" ht="12" customHeight="1">
      <c r="A419" s="1510" t="str">
        <f>IF(AND(C410&lt;&gt;"",ISBLANK(D419)),"y",IF(D419="","n",""))</f>
        <v>n</v>
      </c>
      <c r="B419" s="1510"/>
      <c r="C419" s="468"/>
      <c r="D419" s="2060" t="str">
        <f>_xll.ciqfunctions.udf.CIQSPLIT(K410,I419,J410)</f>
        <v/>
      </c>
      <c r="E419" s="2060"/>
      <c r="F419" s="1546"/>
      <c r="H419" s="484"/>
      <c r="I419" s="2060">
        <v>10</v>
      </c>
      <c r="J419" s="126"/>
      <c r="K419" s="388"/>
    </row>
    <row r="420" spans="1:11" s="1525" customFormat="1" ht="12" customHeight="1">
      <c r="A420" s="1510" t="str">
        <f>IF(AND(C410&lt;&gt;"",ISBLANK(D420)),"y",IF(D420="","n",""))</f>
        <v>n</v>
      </c>
      <c r="B420" s="1510"/>
      <c r="C420" s="468"/>
      <c r="D420" s="2060" t="str">
        <f>_xll.ciqfunctions.udf.CIQSPLIT(K410,I420,J410)</f>
        <v/>
      </c>
      <c r="E420" s="2060"/>
      <c r="F420" s="1546"/>
      <c r="H420" s="484"/>
      <c r="I420" s="2060">
        <v>11</v>
      </c>
      <c r="J420" s="126"/>
      <c r="K420" s="388"/>
    </row>
    <row r="421" spans="1:11" s="1525" customFormat="1" ht="12" customHeight="1">
      <c r="A421" s="1510" t="str">
        <f>IF(AND(C410&lt;&gt;"",ISBLANK(D421)),"y",IF(D421="","n",""))</f>
        <v>n</v>
      </c>
      <c r="B421" s="1510"/>
      <c r="C421" s="468"/>
      <c r="D421" s="2060" t="str">
        <f>_xll.ciqfunctions.udf.CIQSPLIT(K410,I421,J410)</f>
        <v/>
      </c>
      <c r="E421" s="2060"/>
      <c r="F421" s="1546"/>
      <c r="H421" s="484"/>
      <c r="I421" s="2060">
        <v>12</v>
      </c>
      <c r="J421" s="126"/>
      <c r="K421" s="388"/>
    </row>
    <row r="422" spans="1:11" s="1525" customFormat="1" ht="12" customHeight="1">
      <c r="A422" s="1510" t="str">
        <f>IF(AND(C410&lt;&gt;"",ISBLANK(D422)),"y",IF(D422="","n",""))</f>
        <v>n</v>
      </c>
      <c r="B422" s="1510"/>
      <c r="C422" s="468"/>
      <c r="D422" s="2060" t="str">
        <f>_xll.ciqfunctions.udf.CIQSPLIT(K410,I422,J410)</f>
        <v/>
      </c>
      <c r="E422" s="2060"/>
      <c r="F422" s="1546"/>
      <c r="H422" s="484"/>
      <c r="I422" s="2060">
        <v>13</v>
      </c>
      <c r="J422" s="126"/>
      <c r="K422" s="388"/>
    </row>
    <row r="423" spans="1:11" s="1525" customFormat="1" ht="12" customHeight="1">
      <c r="A423" s="1510" t="str">
        <f>IF(AND(C410&lt;&gt;"",ISBLANK(D423)),"y",IF(D423="","n",""))</f>
        <v>n</v>
      </c>
      <c r="B423" s="1510"/>
      <c r="C423" s="468"/>
      <c r="D423" s="2060" t="str">
        <f>_xll.ciqfunctions.udf.CIQSPLIT(K410,I423,J410)</f>
        <v/>
      </c>
      <c r="E423" s="2060"/>
      <c r="F423" s="1546"/>
      <c r="H423" s="484"/>
      <c r="I423" s="2060">
        <v>14</v>
      </c>
      <c r="J423" s="126"/>
      <c r="K423" s="388"/>
    </row>
    <row r="424" spans="1:11" s="1525" customFormat="1" ht="12" customHeight="1">
      <c r="A424" s="1510" t="str">
        <f>IF(AND(C410&lt;&gt;"",ISBLANK(D424)),"y",IF(D424="","n",""))</f>
        <v>n</v>
      </c>
      <c r="B424" s="1510"/>
      <c r="C424" s="468"/>
      <c r="D424" s="468"/>
      <c r="E424" s="468"/>
      <c r="F424" s="1546"/>
    </row>
    <row r="425" spans="1:11" s="1525" customFormat="1" ht="12" customHeight="1">
      <c r="A425" s="1557" t="str">
        <f>A356</f>
        <v>n</v>
      </c>
      <c r="B425" s="1557"/>
      <c r="C425" s="529" t="s">
        <v>1402</v>
      </c>
      <c r="D425" s="607"/>
      <c r="E425" s="607"/>
      <c r="F425" s="1557"/>
    </row>
    <row r="426" spans="1:11" s="1525" customFormat="1" ht="12" customHeight="1">
      <c r="A426" s="1510" t="s">
        <v>17</v>
      </c>
      <c r="B426" s="1510"/>
      <c r="C426" s="1557"/>
      <c r="D426" s="1557"/>
      <c r="E426" s="1546" t="str">
        <f>IF(A427="y","Continue","Page end")</f>
        <v>Page end</v>
      </c>
      <c r="F426" s="1510"/>
    </row>
    <row r="427" spans="1:11" s="1525" customFormat="1" ht="18" customHeight="1">
      <c r="A427" s="1510" t="str">
        <f>IF(COUNTIF(A436:A495,"y"),"y","n")</f>
        <v>n</v>
      </c>
      <c r="B427" s="1557"/>
      <c r="C427" s="838" t="str">
        <f>ClientName</f>
        <v/>
      </c>
      <c r="D427" s="292"/>
      <c r="E427" s="389" t="str">
        <f>$E$1&amp;" (contd.)"</f>
        <v>Workpaper 7 (contd.)</v>
      </c>
      <c r="F427" s="1557"/>
    </row>
    <row r="428" spans="1:11" s="1525" customFormat="1" ht="18" customHeight="1">
      <c r="A428" s="1510" t="str">
        <f>A427</f>
        <v>n</v>
      </c>
      <c r="B428" s="1557"/>
      <c r="C428" s="838" t="str">
        <f>CoNameHeading</f>
        <v>Client Name</v>
      </c>
      <c r="D428" s="369"/>
      <c r="F428" s="1557"/>
    </row>
    <row r="429" spans="1:11" s="1525" customFormat="1" ht="18" customHeight="1">
      <c r="A429" s="1510" t="str">
        <f>A427</f>
        <v>n</v>
      </c>
      <c r="B429" s="1557"/>
      <c r="C429" s="839" t="s">
        <v>1711</v>
      </c>
      <c r="D429" s="369"/>
      <c r="F429" s="1557"/>
    </row>
    <row r="430" spans="1:11" s="1525" customFormat="1" ht="18" customHeight="1">
      <c r="A430" s="1510" t="str">
        <f>A427</f>
        <v>n</v>
      </c>
      <c r="B430" s="1557"/>
      <c r="C430" s="840" t="str">
        <f>"Valuation as of "&amp; TEXT(Valuation_date,"d mmmm yyyy")</f>
        <v>Valuation as of 28 February 2017</v>
      </c>
      <c r="D430" s="2062"/>
      <c r="F430" s="1557"/>
    </row>
    <row r="431" spans="1:11" s="1525" customFormat="1" ht="12" customHeight="1">
      <c r="A431" s="1510" t="str">
        <f>A427</f>
        <v>n</v>
      </c>
      <c r="B431" s="1557"/>
      <c r="C431" s="366"/>
      <c r="D431" s="366"/>
      <c r="F431" s="1557"/>
    </row>
    <row r="432" spans="1:11" s="1525" customFormat="1" ht="12" customHeight="1">
      <c r="A432" s="1510" t="str">
        <f>A427</f>
        <v>n</v>
      </c>
      <c r="B432" s="1557"/>
      <c r="C432" s="340"/>
      <c r="D432" s="1526"/>
      <c r="F432" s="1557"/>
    </row>
    <row r="433" spans="1:11" s="1525" customFormat="1" ht="12" customHeight="1">
      <c r="A433" s="1510" t="str">
        <f>A427</f>
        <v>n</v>
      </c>
      <c r="B433" s="1557"/>
      <c r="C433" s="342"/>
      <c r="D433" s="341"/>
      <c r="F433" s="1557"/>
    </row>
    <row r="434" spans="1:11" s="1525" customFormat="1" ht="12" customHeight="1">
      <c r="A434" s="1510" t="str">
        <f>A427</f>
        <v>n</v>
      </c>
      <c r="B434" s="1557"/>
      <c r="C434" s="1299" t="s">
        <v>1712</v>
      </c>
      <c r="D434" s="1300" t="s">
        <v>1713</v>
      </c>
      <c r="E434" s="404"/>
      <c r="F434" s="1557"/>
    </row>
    <row r="435" spans="1:11" s="1525" customFormat="1" ht="12" customHeight="1">
      <c r="A435" s="1510" t="str">
        <f>A427</f>
        <v>n</v>
      </c>
      <c r="B435" s="1557"/>
      <c r="C435" s="1818"/>
      <c r="D435" s="607"/>
      <c r="E435" s="631"/>
      <c r="F435" s="1557"/>
    </row>
    <row r="436" spans="1:11" s="1527" customFormat="1" ht="13.9">
      <c r="A436" s="1510" t="str">
        <f>IF(AND(C436&lt;&gt;"",ISBLANK(D436)),"y",IF(D436="","n",""))</f>
        <v>n</v>
      </c>
      <c r="B436" s="1510"/>
      <c r="C436" s="468" t="str">
        <f>Settings!$L$129</f>
        <v/>
      </c>
      <c r="D436" s="2060" t="str">
        <f>_xll.ciqfunctions.udf.CIQSPLIT(K436,I436,J436)</f>
        <v/>
      </c>
      <c r="E436" s="2060"/>
      <c r="F436" s="1546"/>
      <c r="H436" s="485" t="str">
        <f>Settings!$M$129</f>
        <v/>
      </c>
      <c r="I436" s="2060">
        <v>1</v>
      </c>
      <c r="J436" s="126">
        <v>170</v>
      </c>
      <c r="K436" s="388" t="str">
        <f>IF(H436="","",_xll.ciqfunctions.udf.CIQ(H436,"IQ_Business_Description"))</f>
        <v/>
      </c>
    </row>
    <row r="437" spans="1:11" s="1527" customFormat="1" ht="13.9">
      <c r="A437" s="1510" t="str">
        <f>IF(AND(C436&lt;&gt;"",ISBLANK(D437)),"y",IF(D437="","n",""))</f>
        <v>n</v>
      </c>
      <c r="B437" s="1510"/>
      <c r="C437" s="468"/>
      <c r="D437" s="2060" t="str">
        <f>_xll.ciqfunctions.udf.CIQSPLIT(K436,I437,J436)</f>
        <v/>
      </c>
      <c r="E437" s="2060"/>
      <c r="F437" s="1546"/>
      <c r="H437" s="484"/>
      <c r="I437" s="2060">
        <v>2</v>
      </c>
      <c r="J437" s="126"/>
      <c r="K437" s="388"/>
    </row>
    <row r="438" spans="1:11" s="1527" customFormat="1" ht="13.9">
      <c r="A438" s="1510" t="str">
        <f>IF(AND(C436&lt;&gt;"",ISBLANK(D438)),"y",IF(D438="","n",""))</f>
        <v>n</v>
      </c>
      <c r="B438" s="1510"/>
      <c r="C438" s="468"/>
      <c r="D438" s="2060" t="str">
        <f>_xll.ciqfunctions.udf.CIQSPLIT(K436,I438,J436)</f>
        <v/>
      </c>
      <c r="E438" s="2060"/>
      <c r="F438" s="1546"/>
      <c r="H438" s="484"/>
      <c r="I438" s="2060">
        <v>3</v>
      </c>
      <c r="J438" s="126"/>
      <c r="K438" s="388"/>
    </row>
    <row r="439" spans="1:11" s="1527" customFormat="1" ht="13.9">
      <c r="A439" s="1510" t="str">
        <f>IF(AND(C436&lt;&gt;"",ISBLANK(D439)),"y",IF(D439="","n",""))</f>
        <v>n</v>
      </c>
      <c r="B439" s="1510"/>
      <c r="C439" s="468"/>
      <c r="D439" s="2060" t="str">
        <f>_xll.ciqfunctions.udf.CIQSPLIT(K436,I439,J436)</f>
        <v/>
      </c>
      <c r="E439" s="2060"/>
      <c r="F439" s="1546"/>
      <c r="H439" s="484"/>
      <c r="I439" s="2060">
        <v>4</v>
      </c>
      <c r="J439" s="126"/>
      <c r="K439" s="388"/>
    </row>
    <row r="440" spans="1:11" s="1527" customFormat="1" ht="13.9">
      <c r="A440" s="1510" t="str">
        <f>IF(AND(C436&lt;&gt;"",ISBLANK(D440)),"y",IF(D440="","n",""))</f>
        <v>n</v>
      </c>
      <c r="B440" s="1510"/>
      <c r="C440" s="468"/>
      <c r="D440" s="2060" t="str">
        <f>_xll.ciqfunctions.udf.CIQSPLIT(K436,I440,J436)</f>
        <v/>
      </c>
      <c r="E440" s="2060"/>
      <c r="F440" s="1546"/>
      <c r="H440" s="484"/>
      <c r="I440" s="2060">
        <v>5</v>
      </c>
      <c r="J440" s="126"/>
      <c r="K440" s="388"/>
    </row>
    <row r="441" spans="1:11" s="1527" customFormat="1" ht="13.9">
      <c r="A441" s="1510" t="str">
        <f>IF(AND(C436&lt;&gt;"",ISBLANK(D441)),"y",IF(D441="","n",""))</f>
        <v>n</v>
      </c>
      <c r="B441" s="1510"/>
      <c r="C441" s="468"/>
      <c r="D441" s="2060" t="str">
        <f>_xll.ciqfunctions.udf.CIQSPLIT(K436,I441,J436)</f>
        <v/>
      </c>
      <c r="E441" s="2060"/>
      <c r="F441" s="1546"/>
      <c r="H441" s="484"/>
      <c r="I441" s="2060">
        <v>6</v>
      </c>
      <c r="J441" s="126"/>
      <c r="K441" s="388"/>
    </row>
    <row r="442" spans="1:11" s="1527" customFormat="1" ht="13.9">
      <c r="A442" s="1510" t="str">
        <f>IF(AND(C436&lt;&gt;"",ISBLANK(D442)),"y",IF(D442="","n",""))</f>
        <v>n</v>
      </c>
      <c r="B442" s="1510"/>
      <c r="C442" s="468"/>
      <c r="D442" s="2060" t="str">
        <f>_xll.ciqfunctions.udf.CIQSPLIT(K436,I442,J436)</f>
        <v/>
      </c>
      <c r="E442" s="2060"/>
      <c r="F442" s="1546"/>
      <c r="H442" s="484"/>
      <c r="I442" s="2060">
        <v>7</v>
      </c>
      <c r="J442" s="126"/>
      <c r="K442" s="388"/>
    </row>
    <row r="443" spans="1:11" s="1527" customFormat="1" ht="13.9">
      <c r="A443" s="1510" t="str">
        <f>IF(AND(C436&lt;&gt;"",ISBLANK(D443)),"y",IF(D443="","n",""))</f>
        <v>n</v>
      </c>
      <c r="B443" s="1510"/>
      <c r="C443" s="468"/>
      <c r="D443" s="2060" t="str">
        <f>_xll.ciqfunctions.udf.CIQSPLIT(K436,I443,J436)</f>
        <v/>
      </c>
      <c r="E443" s="2060"/>
      <c r="F443" s="1546"/>
      <c r="H443" s="484"/>
      <c r="I443" s="2060">
        <v>8</v>
      </c>
      <c r="J443" s="126"/>
      <c r="K443" s="388"/>
    </row>
    <row r="444" spans="1:11" s="1527" customFormat="1" ht="13.9">
      <c r="A444" s="1510" t="str">
        <f>IF(AND(C436&lt;&gt;"",ISBLANK(D444)),"y",IF(D444="","n",""))</f>
        <v>n</v>
      </c>
      <c r="B444" s="1510"/>
      <c r="C444" s="468"/>
      <c r="D444" s="2060" t="str">
        <f>_xll.ciqfunctions.udf.CIQSPLIT(K436,I444,J436)</f>
        <v/>
      </c>
      <c r="E444" s="2060"/>
      <c r="F444" s="1546"/>
      <c r="H444" s="484"/>
      <c r="I444" s="2060">
        <v>9</v>
      </c>
      <c r="J444" s="126"/>
      <c r="K444" s="388"/>
    </row>
    <row r="445" spans="1:11" s="1527" customFormat="1" ht="13.9">
      <c r="A445" s="1510" t="str">
        <f>IF(AND(C436&lt;&gt;"",ISBLANK(D445)),"y",IF(D445="","n",""))</f>
        <v>n</v>
      </c>
      <c r="B445" s="1510"/>
      <c r="C445" s="468"/>
      <c r="D445" s="2060" t="str">
        <f>_xll.ciqfunctions.udf.CIQSPLIT(K436,I445,J436)</f>
        <v/>
      </c>
      <c r="E445" s="2060"/>
      <c r="F445" s="1546"/>
      <c r="H445" s="484"/>
      <c r="I445" s="2060">
        <v>10</v>
      </c>
      <c r="J445" s="126"/>
      <c r="K445" s="388"/>
    </row>
    <row r="446" spans="1:11" s="1527" customFormat="1" ht="13.9">
      <c r="A446" s="1510" t="str">
        <f>IF(AND(C436&lt;&gt;"",ISBLANK(D446)),"y",IF(D446="","n",""))</f>
        <v>n</v>
      </c>
      <c r="B446" s="1510"/>
      <c r="C446" s="468"/>
      <c r="D446" s="2060" t="str">
        <f>_xll.ciqfunctions.udf.CIQSPLIT(K436,I446,J436)</f>
        <v/>
      </c>
      <c r="E446" s="2060"/>
      <c r="F446" s="1546"/>
      <c r="H446" s="484"/>
      <c r="I446" s="2060">
        <v>11</v>
      </c>
      <c r="J446" s="126"/>
      <c r="K446" s="388"/>
    </row>
    <row r="447" spans="1:11" s="1527" customFormat="1" ht="13.9">
      <c r="A447" s="1510" t="str">
        <f>IF(AND(C436&lt;&gt;"",ISBLANK(D447)),"y",IF(D447="","n",""))</f>
        <v>n</v>
      </c>
      <c r="B447" s="1510"/>
      <c r="C447" s="468"/>
      <c r="D447" s="2060" t="str">
        <f>_xll.ciqfunctions.udf.CIQSPLIT(K436,I447,J436)</f>
        <v/>
      </c>
      <c r="E447" s="2060"/>
      <c r="F447" s="1546"/>
      <c r="H447" s="484"/>
      <c r="I447" s="2060">
        <v>12</v>
      </c>
      <c r="J447" s="126"/>
      <c r="K447" s="388"/>
    </row>
    <row r="448" spans="1:11" s="1527" customFormat="1" ht="13.9">
      <c r="A448" s="1510" t="str">
        <f>IF(AND(C436&lt;&gt;"",ISBLANK(D448)),"y",IF(D448="","n",""))</f>
        <v>n</v>
      </c>
      <c r="B448" s="1510"/>
      <c r="C448" s="468"/>
      <c r="D448" s="2060" t="str">
        <f>_xll.ciqfunctions.udf.CIQSPLIT(K436,I448,J436)</f>
        <v/>
      </c>
      <c r="E448" s="2060"/>
      <c r="F448" s="1546"/>
      <c r="H448" s="484"/>
      <c r="I448" s="2060">
        <v>13</v>
      </c>
      <c r="J448" s="126"/>
      <c r="K448" s="388"/>
    </row>
    <row r="449" spans="1:11" s="1527" customFormat="1" ht="13.9">
      <c r="A449" s="1510" t="str">
        <f>IF(AND(C436&lt;&gt;"",ISBLANK(D449)),"y",IF(D449="","n",""))</f>
        <v>n</v>
      </c>
      <c r="B449" s="1510"/>
      <c r="C449" s="468"/>
      <c r="D449" s="2060" t="str">
        <f>_xll.ciqfunctions.udf.CIQSPLIT(K436,I449,J436)</f>
        <v/>
      </c>
      <c r="E449" s="2060"/>
      <c r="F449" s="1546"/>
      <c r="H449" s="484"/>
      <c r="I449" s="2060">
        <v>14</v>
      </c>
      <c r="J449" s="126"/>
      <c r="K449" s="388"/>
    </row>
    <row r="450" spans="1:11" s="1527" customFormat="1" ht="13.9">
      <c r="A450" s="1510" t="str">
        <f>IF(AND(C436&lt;&gt;"",ISBLANK(D450)),"y",IF(D450="","n",""))</f>
        <v>n</v>
      </c>
      <c r="B450" s="1510"/>
      <c r="C450" s="468"/>
      <c r="D450" s="468"/>
      <c r="E450" s="2060"/>
      <c r="F450" s="1546"/>
      <c r="H450" s="484"/>
      <c r="I450" s="2060"/>
      <c r="J450" s="126"/>
      <c r="K450" s="388"/>
    </row>
    <row r="451" spans="1:11" s="1527" customFormat="1" ht="13.9">
      <c r="A451" s="1510" t="str">
        <f>IF(AND(C451&lt;&gt;"",ISBLANK(D451)),"y",IF(D451="","n",""))</f>
        <v>n</v>
      </c>
      <c r="B451" s="1510"/>
      <c r="C451" s="468"/>
      <c r="D451" s="2060" t="str">
        <f>_xll.ciqfunctions.udf.CIQSPLIT(K451,I451,J451)</f>
        <v/>
      </c>
      <c r="E451" s="2060"/>
      <c r="F451" s="1546"/>
      <c r="H451" s="485"/>
      <c r="I451" s="2060">
        <v>1</v>
      </c>
      <c r="J451" s="126">
        <v>170</v>
      </c>
      <c r="K451" s="388" t="str">
        <f>IF(H451="","",_xll.ciqfunctions.udf.CIQ(H451,"IQ_Business_Description"))</f>
        <v/>
      </c>
    </row>
    <row r="452" spans="1:11" s="1527" customFormat="1" ht="13.9">
      <c r="A452" s="1510" t="str">
        <f>IF(AND(C451&lt;&gt;"",ISBLANK(D452)),"y",IF(D452="","n",""))</f>
        <v>n</v>
      </c>
      <c r="B452" s="1510"/>
      <c r="C452" s="468"/>
      <c r="D452" s="2060" t="str">
        <f>_xll.ciqfunctions.udf.CIQSPLIT(K451,I452,J451)</f>
        <v/>
      </c>
      <c r="E452" s="2060"/>
      <c r="F452" s="1546"/>
      <c r="H452" s="484"/>
      <c r="I452" s="2060">
        <v>2</v>
      </c>
      <c r="J452" s="126"/>
      <c r="K452" s="388"/>
    </row>
    <row r="453" spans="1:11" s="1527" customFormat="1" ht="13.9">
      <c r="A453" s="1510" t="str">
        <f>IF(AND(C451&lt;&gt;"",ISBLANK(D453)),"y",IF(D453="","n",""))</f>
        <v>n</v>
      </c>
      <c r="B453" s="1510"/>
      <c r="C453" s="468"/>
      <c r="D453" s="2060" t="str">
        <f>_xll.ciqfunctions.udf.CIQSPLIT(K451,I453,J451)</f>
        <v/>
      </c>
      <c r="E453" s="2060"/>
      <c r="F453" s="1546"/>
      <c r="H453" s="484"/>
      <c r="I453" s="2060">
        <v>3</v>
      </c>
      <c r="J453" s="126"/>
      <c r="K453" s="388"/>
    </row>
    <row r="454" spans="1:11" s="1527" customFormat="1" ht="13.9">
      <c r="A454" s="1510" t="str">
        <f>IF(AND(C451&lt;&gt;"",ISBLANK(D454)),"y",IF(D454="","n",""))</f>
        <v>n</v>
      </c>
      <c r="B454" s="1510"/>
      <c r="C454" s="468"/>
      <c r="D454" s="2060" t="str">
        <f>_xll.ciqfunctions.udf.CIQSPLIT(K451,I454,J451)</f>
        <v/>
      </c>
      <c r="E454" s="2060"/>
      <c r="F454" s="1546"/>
      <c r="H454" s="484"/>
      <c r="I454" s="2060">
        <v>4</v>
      </c>
      <c r="J454" s="126"/>
      <c r="K454" s="388"/>
    </row>
    <row r="455" spans="1:11" s="1527" customFormat="1" ht="13.9">
      <c r="A455" s="1510" t="str">
        <f>IF(AND(C451&lt;&gt;"",ISBLANK(D455)),"y",IF(D455="","n",""))</f>
        <v>n</v>
      </c>
      <c r="B455" s="1510"/>
      <c r="C455" s="468"/>
      <c r="D455" s="2060" t="str">
        <f>_xll.ciqfunctions.udf.CIQSPLIT(K451,I455,J451)</f>
        <v/>
      </c>
      <c r="E455" s="2060"/>
      <c r="F455" s="1546"/>
      <c r="H455" s="484"/>
      <c r="I455" s="2060">
        <v>5</v>
      </c>
      <c r="J455" s="126"/>
      <c r="K455" s="388"/>
    </row>
    <row r="456" spans="1:11" s="1527" customFormat="1" ht="13.9">
      <c r="A456" s="1510" t="str">
        <f>IF(AND(C451&lt;&gt;"",ISBLANK(D456)),"y",IF(D456="","n",""))</f>
        <v>n</v>
      </c>
      <c r="B456" s="1510"/>
      <c r="C456" s="468"/>
      <c r="D456" s="2060" t="str">
        <f>_xll.ciqfunctions.udf.CIQSPLIT(K451,I456,J451)</f>
        <v/>
      </c>
      <c r="E456" s="2060"/>
      <c r="F456" s="1546"/>
      <c r="H456" s="484"/>
      <c r="I456" s="2060">
        <v>6</v>
      </c>
      <c r="J456" s="126"/>
      <c r="K456" s="388"/>
    </row>
    <row r="457" spans="1:11" s="1527" customFormat="1" ht="13.9">
      <c r="A457" s="1510" t="str">
        <f>IF(AND(C451&lt;&gt;"",ISBLANK(D457)),"y",IF(D457="","n",""))</f>
        <v>n</v>
      </c>
      <c r="B457" s="1510"/>
      <c r="C457" s="468"/>
      <c r="D457" s="2060" t="str">
        <f>_xll.ciqfunctions.udf.CIQSPLIT(K451,I457,J451)</f>
        <v/>
      </c>
      <c r="E457" s="2060"/>
      <c r="F457" s="1546"/>
      <c r="H457" s="484"/>
      <c r="I457" s="2060">
        <v>7</v>
      </c>
      <c r="J457" s="126"/>
      <c r="K457" s="388"/>
    </row>
    <row r="458" spans="1:11" s="1525" customFormat="1" ht="13.9">
      <c r="A458" s="1510" t="str">
        <f>IF(AND(C451&lt;&gt;"",ISBLANK(D458)),"y",IF(D458="","n",""))</f>
        <v>n</v>
      </c>
      <c r="B458" s="1510"/>
      <c r="C458" s="468"/>
      <c r="D458" s="2060" t="str">
        <f>_xll.ciqfunctions.udf.CIQSPLIT(K451,I458,J451)</f>
        <v/>
      </c>
      <c r="E458" s="2060"/>
      <c r="F458" s="1546"/>
      <c r="H458" s="484"/>
      <c r="I458" s="2060">
        <v>8</v>
      </c>
      <c r="J458" s="126"/>
      <c r="K458" s="388"/>
    </row>
    <row r="459" spans="1:11" s="1525" customFormat="1" ht="12" customHeight="1">
      <c r="A459" s="1510" t="str">
        <f>IF(AND(C451&lt;&gt;"",ISBLANK(D459)),"y",IF(D459="","n",""))</f>
        <v>n</v>
      </c>
      <c r="B459" s="1510"/>
      <c r="C459" s="468"/>
      <c r="D459" s="2060" t="str">
        <f>_xll.ciqfunctions.udf.CIQSPLIT(K451,I459,J451)</f>
        <v/>
      </c>
      <c r="E459" s="2060"/>
      <c r="F459" s="1546"/>
      <c r="H459" s="484"/>
      <c r="I459" s="2060">
        <v>9</v>
      </c>
      <c r="J459" s="126"/>
      <c r="K459" s="388"/>
    </row>
    <row r="460" spans="1:11" s="1525" customFormat="1" ht="12" customHeight="1">
      <c r="A460" s="1510" t="str">
        <f>IF(AND(C451&lt;&gt;"",ISBLANK(D460)),"y",IF(D460="","n",""))</f>
        <v>n</v>
      </c>
      <c r="B460" s="1510"/>
      <c r="C460" s="468"/>
      <c r="D460" s="2060" t="str">
        <f>_xll.ciqfunctions.udf.CIQSPLIT(K451,I460,J451)</f>
        <v/>
      </c>
      <c r="E460" s="2060"/>
      <c r="F460" s="1546"/>
      <c r="H460" s="484"/>
      <c r="I460" s="2060">
        <v>10</v>
      </c>
      <c r="J460" s="126"/>
      <c r="K460" s="388"/>
    </row>
    <row r="461" spans="1:11" s="1525" customFormat="1" ht="13.9">
      <c r="A461" s="1510" t="str">
        <f>IF(AND(C451&lt;&gt;"",ISBLANK(D461)),"y",IF(D461="","n",""))</f>
        <v>n</v>
      </c>
      <c r="B461" s="1510"/>
      <c r="C461" s="468"/>
      <c r="D461" s="2060" t="str">
        <f>_xll.ciqfunctions.udf.CIQSPLIT(K451,I461,J451)</f>
        <v/>
      </c>
      <c r="E461" s="2060"/>
      <c r="F461" s="1546"/>
      <c r="H461" s="484"/>
      <c r="I461" s="2060">
        <v>11</v>
      </c>
      <c r="J461" s="126"/>
      <c r="K461" s="388"/>
    </row>
    <row r="462" spans="1:11" s="1525" customFormat="1" ht="13.9">
      <c r="A462" s="1510" t="str">
        <f>IF(AND(C451&lt;&gt;"",ISBLANK(D462)),"y",IF(D462="","n",""))</f>
        <v>n</v>
      </c>
      <c r="B462" s="1510"/>
      <c r="C462" s="468"/>
      <c r="D462" s="2060" t="str">
        <f>_xll.ciqfunctions.udf.CIQSPLIT(K451,I462,J451)</f>
        <v/>
      </c>
      <c r="E462" s="2060"/>
      <c r="F462" s="1546"/>
      <c r="H462" s="484"/>
      <c r="I462" s="2060">
        <v>12</v>
      </c>
      <c r="J462" s="126"/>
      <c r="K462" s="388"/>
    </row>
    <row r="463" spans="1:11" s="1525" customFormat="1" ht="12" customHeight="1">
      <c r="A463" s="1510" t="str">
        <f>IF(AND(C451&lt;&gt;"",ISBLANK(D463)),"y",IF(D463="","n",""))</f>
        <v>n</v>
      </c>
      <c r="B463" s="1510"/>
      <c r="C463" s="468"/>
      <c r="D463" s="2060" t="str">
        <f>_xll.ciqfunctions.udf.CIQSPLIT(K451,I463,J451)</f>
        <v/>
      </c>
      <c r="E463" s="2060"/>
      <c r="F463" s="1546"/>
      <c r="H463" s="484"/>
      <c r="I463" s="2060">
        <v>13</v>
      </c>
      <c r="J463" s="126"/>
      <c r="K463" s="388"/>
    </row>
    <row r="464" spans="1:11" s="1525" customFormat="1" ht="12" customHeight="1">
      <c r="A464" s="1510" t="str">
        <f>IF(AND(C451&lt;&gt;"",ISBLANK(D464)),"y",IF(D464="","n",""))</f>
        <v>n</v>
      </c>
      <c r="B464" s="1510"/>
      <c r="C464" s="468"/>
      <c r="D464" s="2060" t="str">
        <f>_xll.ciqfunctions.udf.CIQSPLIT(K451,I464,J451)</f>
        <v/>
      </c>
      <c r="E464" s="2060"/>
      <c r="F464" s="1546"/>
      <c r="H464" s="484"/>
      <c r="I464" s="2060">
        <v>14</v>
      </c>
      <c r="J464" s="126"/>
      <c r="K464" s="388"/>
    </row>
    <row r="465" spans="1:15" s="1525" customFormat="1" ht="12" customHeight="1">
      <c r="A465" s="1510" t="str">
        <f>IF(AND(C451&lt;&gt;"",ISBLANK(D465)),"y",IF(D465="","n",""))</f>
        <v>n</v>
      </c>
      <c r="B465" s="1510"/>
      <c r="C465" s="468"/>
      <c r="D465" s="468"/>
      <c r="E465" s="2060"/>
      <c r="F465" s="1546"/>
    </row>
    <row r="466" spans="1:15" s="1525" customFormat="1" ht="12" customHeight="1">
      <c r="A466" s="1510" t="str">
        <f>IF(AND(C466&lt;&gt;"",ISBLANK(D466)),"y",IF(D466="","n",""))</f>
        <v>n</v>
      </c>
      <c r="B466" s="1510"/>
      <c r="C466" s="468"/>
      <c r="D466" s="2060" t="str">
        <f>_xll.ciqfunctions.udf.CIQSPLIT(K466,I466,J466)</f>
        <v/>
      </c>
      <c r="E466" s="2060"/>
      <c r="F466" s="1546"/>
      <c r="G466" s="1527"/>
      <c r="H466" s="485"/>
      <c r="I466" s="2060">
        <v>1</v>
      </c>
      <c r="J466" s="126">
        <v>170</v>
      </c>
      <c r="K466" s="388" t="str">
        <f>IF(H466="","",_xll.ciqfunctions.udf.CIQ(H466,"IQ_Business_Description"))</f>
        <v/>
      </c>
      <c r="L466" s="1527"/>
      <c r="M466" s="1527"/>
      <c r="N466" s="1527"/>
      <c r="O466" s="1527"/>
    </row>
    <row r="467" spans="1:15" s="1525" customFormat="1" ht="12.75" customHeight="1">
      <c r="A467" s="1510" t="str">
        <f>IF(AND(C466&lt;&gt;"",ISBLANK(D467)),"y",IF(D467="","n",""))</f>
        <v>n</v>
      </c>
      <c r="B467" s="1510"/>
      <c r="C467" s="468"/>
      <c r="D467" s="2060" t="str">
        <f>_xll.ciqfunctions.udf.CIQSPLIT(K466,I467,J466)</f>
        <v/>
      </c>
      <c r="E467" s="2060"/>
      <c r="F467" s="1546"/>
      <c r="G467" s="1527"/>
      <c r="H467" s="484"/>
      <c r="I467" s="2060">
        <v>2</v>
      </c>
      <c r="J467" s="126"/>
      <c r="K467" s="388"/>
      <c r="L467" s="1527"/>
      <c r="M467" s="1527"/>
      <c r="N467" s="1527"/>
      <c r="O467" s="1527"/>
    </row>
    <row r="468" spans="1:15" s="1525" customFormat="1" ht="13.9">
      <c r="A468" s="1510" t="str">
        <f>IF(AND(C466&lt;&gt;"",ISBLANK(D468)),"y",IF(D468="","n",""))</f>
        <v>n</v>
      </c>
      <c r="B468" s="1510"/>
      <c r="C468" s="468"/>
      <c r="D468" s="2060" t="str">
        <f>_xll.ciqfunctions.udf.CIQSPLIT(K466,I468,J466)</f>
        <v/>
      </c>
      <c r="E468" s="2060"/>
      <c r="F468" s="1546"/>
      <c r="G468" s="1527"/>
      <c r="H468" s="484"/>
      <c r="I468" s="2060">
        <v>3</v>
      </c>
      <c r="J468" s="126"/>
      <c r="K468" s="388"/>
      <c r="L468" s="1527"/>
      <c r="M468" s="1527"/>
      <c r="N468" s="1527"/>
      <c r="O468" s="1527"/>
    </row>
    <row r="469" spans="1:15" s="1525" customFormat="1" ht="13.9">
      <c r="A469" s="1510" t="str">
        <f>IF(AND(C466&lt;&gt;"",ISBLANK(D469)),"y",IF(D469="","n",""))</f>
        <v>n</v>
      </c>
      <c r="B469" s="1510"/>
      <c r="C469" s="468"/>
      <c r="D469" s="2060" t="str">
        <f>_xll.ciqfunctions.udf.CIQSPLIT(K466,I469,J466)</f>
        <v/>
      </c>
      <c r="E469" s="2060"/>
      <c r="F469" s="1546"/>
      <c r="G469" s="1527"/>
      <c r="H469" s="484"/>
      <c r="I469" s="2060">
        <v>4</v>
      </c>
      <c r="J469" s="126"/>
      <c r="K469" s="388"/>
      <c r="L469" s="1527"/>
      <c r="M469" s="1527"/>
      <c r="N469" s="1527"/>
      <c r="O469" s="1527"/>
    </row>
    <row r="470" spans="1:15" s="1525" customFormat="1" ht="13.9">
      <c r="A470" s="1510" t="str">
        <f>IF(AND(C466&lt;&gt;"",ISBLANK(D470)),"y",IF(D470="","n",""))</f>
        <v>n</v>
      </c>
      <c r="B470" s="1510"/>
      <c r="C470" s="468"/>
      <c r="D470" s="2060" t="str">
        <f>_xll.ciqfunctions.udf.CIQSPLIT(K466,I470,J466)</f>
        <v/>
      </c>
      <c r="E470" s="2060"/>
      <c r="F470" s="1546"/>
      <c r="G470" s="1527"/>
      <c r="H470" s="484"/>
      <c r="I470" s="2060">
        <v>5</v>
      </c>
      <c r="J470" s="126"/>
      <c r="K470" s="388"/>
      <c r="L470" s="1527"/>
      <c r="M470" s="1527"/>
      <c r="N470" s="1527"/>
      <c r="O470" s="1527"/>
    </row>
    <row r="471" spans="1:15" s="1525" customFormat="1" ht="13.9">
      <c r="A471" s="1510" t="str">
        <f>IF(AND(C466&lt;&gt;"",ISBLANK(D471)),"y",IF(D471="","n",""))</f>
        <v>n</v>
      </c>
      <c r="B471" s="1510"/>
      <c r="C471" s="468"/>
      <c r="D471" s="2060" t="str">
        <f>_xll.ciqfunctions.udf.CIQSPLIT(K466,I471,J466)</f>
        <v/>
      </c>
      <c r="E471" s="2060"/>
      <c r="F471" s="1546"/>
      <c r="G471" s="1527"/>
      <c r="H471" s="484"/>
      <c r="I471" s="2060">
        <v>6</v>
      </c>
      <c r="J471" s="126"/>
      <c r="K471" s="388"/>
      <c r="L471" s="1527"/>
      <c r="M471" s="1527"/>
      <c r="N471" s="1527"/>
      <c r="O471" s="1527"/>
    </row>
    <row r="472" spans="1:15" s="1525" customFormat="1" ht="13.9">
      <c r="A472" s="1510" t="str">
        <f>IF(AND(C466&lt;&gt;"",ISBLANK(D472)),"y",IF(D472="","n",""))</f>
        <v>n</v>
      </c>
      <c r="B472" s="1510"/>
      <c r="C472" s="468"/>
      <c r="D472" s="2060" t="str">
        <f>_xll.ciqfunctions.udf.CIQSPLIT(K466,I472,J466)</f>
        <v/>
      </c>
      <c r="E472" s="2060"/>
      <c r="F472" s="1546"/>
      <c r="G472" s="1527"/>
      <c r="H472" s="484"/>
      <c r="I472" s="2060">
        <v>7</v>
      </c>
      <c r="J472" s="126"/>
      <c r="K472" s="388"/>
      <c r="L472" s="1527"/>
      <c r="M472" s="1527"/>
      <c r="N472" s="1527"/>
      <c r="O472" s="1527"/>
    </row>
    <row r="473" spans="1:15" s="1525" customFormat="1" ht="13.9">
      <c r="A473" s="1510" t="str">
        <f>IF(AND(C466&lt;&gt;"",ISBLANK(D473)),"y",IF(D473="","n",""))</f>
        <v>n</v>
      </c>
      <c r="B473" s="1510"/>
      <c r="C473" s="468"/>
      <c r="D473" s="2060" t="str">
        <f>_xll.ciqfunctions.udf.CIQSPLIT(K466,I473,J466)</f>
        <v/>
      </c>
      <c r="E473" s="2060"/>
      <c r="F473" s="1546"/>
      <c r="H473" s="484"/>
      <c r="I473" s="2060">
        <v>8</v>
      </c>
      <c r="J473" s="126"/>
      <c r="K473" s="388"/>
    </row>
    <row r="474" spans="1:15" s="1525" customFormat="1" ht="12" customHeight="1">
      <c r="A474" s="1510" t="str">
        <f>IF(AND(C466&lt;&gt;"",ISBLANK(D474)),"y",IF(D474="","n",""))</f>
        <v>n</v>
      </c>
      <c r="B474" s="1510"/>
      <c r="C474" s="468"/>
      <c r="D474" s="2060" t="str">
        <f>_xll.ciqfunctions.udf.CIQSPLIT(K466,I474,J466)</f>
        <v/>
      </c>
      <c r="E474" s="2060"/>
      <c r="F474" s="1546"/>
      <c r="H474" s="484"/>
      <c r="I474" s="2060">
        <v>9</v>
      </c>
      <c r="J474" s="126"/>
      <c r="K474" s="388"/>
    </row>
    <row r="475" spans="1:15" s="1525" customFormat="1" ht="12" customHeight="1">
      <c r="A475" s="1510" t="str">
        <f>IF(AND(C466&lt;&gt;"",ISBLANK(D475)),"y",IF(D475="","n",""))</f>
        <v>n</v>
      </c>
      <c r="B475" s="1510"/>
      <c r="C475" s="468"/>
      <c r="D475" s="2060" t="str">
        <f>_xll.ciqfunctions.udf.CIQSPLIT(K466,I475,J466)</f>
        <v/>
      </c>
      <c r="E475" s="2060"/>
      <c r="F475" s="1546"/>
      <c r="H475" s="484"/>
      <c r="I475" s="2060">
        <v>10</v>
      </c>
      <c r="J475" s="126"/>
      <c r="K475" s="388"/>
    </row>
    <row r="476" spans="1:15" s="1525" customFormat="1" ht="12" customHeight="1">
      <c r="A476" s="1510" t="str">
        <f>IF(AND(C466&lt;&gt;"",ISBLANK(D476)),"y",IF(D476="","n",""))</f>
        <v>n</v>
      </c>
      <c r="B476" s="1510"/>
      <c r="C476" s="468"/>
      <c r="D476" s="2060" t="str">
        <f>_xll.ciqfunctions.udf.CIQSPLIT(K466,I476,J466)</f>
        <v/>
      </c>
      <c r="E476" s="2060"/>
      <c r="F476" s="1546"/>
      <c r="H476" s="484"/>
      <c r="I476" s="2060">
        <v>11</v>
      </c>
      <c r="J476" s="126"/>
      <c r="K476" s="388"/>
    </row>
    <row r="477" spans="1:15" s="1525" customFormat="1" ht="12" customHeight="1">
      <c r="A477" s="1510" t="str">
        <f>IF(AND(C466&lt;&gt;"",ISBLANK(D477)),"y",IF(D477="","n",""))</f>
        <v>n</v>
      </c>
      <c r="B477" s="1510"/>
      <c r="C477" s="468"/>
      <c r="D477" s="2060" t="str">
        <f>_xll.ciqfunctions.udf.CIQSPLIT(K466,I477,J466)</f>
        <v/>
      </c>
      <c r="E477" s="2060"/>
      <c r="F477" s="1546"/>
      <c r="H477" s="484"/>
      <c r="I477" s="2060">
        <v>12</v>
      </c>
      <c r="J477" s="126"/>
      <c r="K477" s="388"/>
    </row>
    <row r="478" spans="1:15" s="1525" customFormat="1" ht="12" customHeight="1">
      <c r="A478" s="1510" t="str">
        <f>IF(AND(C466&lt;&gt;"",ISBLANK(D478)),"y",IF(D478="","n",""))</f>
        <v>n</v>
      </c>
      <c r="B478" s="1510"/>
      <c r="C478" s="468"/>
      <c r="D478" s="2060" t="str">
        <f>_xll.ciqfunctions.udf.CIQSPLIT(K466,I478,J466)</f>
        <v/>
      </c>
      <c r="E478" s="2060"/>
      <c r="F478" s="1546"/>
      <c r="H478" s="484"/>
      <c r="I478" s="2060">
        <v>13</v>
      </c>
      <c r="J478" s="126"/>
      <c r="K478" s="388"/>
    </row>
    <row r="479" spans="1:15" s="1525" customFormat="1" ht="12" customHeight="1">
      <c r="A479" s="1510" t="str">
        <f>IF(AND(C466&lt;&gt;"",ISBLANK(D479)),"y",IF(D479="","n",""))</f>
        <v>n</v>
      </c>
      <c r="B479" s="1510"/>
      <c r="C479" s="468"/>
      <c r="D479" s="2060" t="str">
        <f>_xll.ciqfunctions.udf.CIQSPLIT(K466,I479,J466)</f>
        <v/>
      </c>
      <c r="E479" s="2060"/>
      <c r="F479" s="1546"/>
      <c r="H479" s="484"/>
      <c r="I479" s="2060">
        <v>14</v>
      </c>
      <c r="J479" s="126"/>
      <c r="K479" s="388"/>
    </row>
    <row r="480" spans="1:15" s="1525" customFormat="1" ht="12" customHeight="1">
      <c r="A480" s="1510" t="str">
        <f>IF(AND(C466&lt;&gt;"",ISBLANK(D480)),"y",IF(D480="","n",""))</f>
        <v>n</v>
      </c>
      <c r="B480" s="1510"/>
      <c r="C480" s="468"/>
      <c r="D480" s="468"/>
      <c r="E480" s="2060"/>
      <c r="F480" s="1546"/>
    </row>
    <row r="481" spans="1:13" s="1525" customFormat="1" ht="12" customHeight="1">
      <c r="A481" s="1510" t="str">
        <f>IF(AND(C481&lt;&gt;"",ISBLANK(D481)),"y",IF(D481="","n",""))</f>
        <v>n</v>
      </c>
      <c r="B481" s="1510"/>
      <c r="C481" s="468"/>
      <c r="D481" s="2060" t="str">
        <f>_xll.ciqfunctions.udf.CIQSPLIT(K481,I481,J481)</f>
        <v/>
      </c>
      <c r="E481" s="2060"/>
      <c r="F481" s="1546"/>
      <c r="G481" s="1527"/>
      <c r="H481" s="485"/>
      <c r="I481" s="2060">
        <v>1</v>
      </c>
      <c r="J481" s="126">
        <v>170</v>
      </c>
      <c r="K481" s="388" t="str">
        <f>IF(H481="","",_xll.ciqfunctions.udf.CIQ(H481,"IQ_Business_Description"))</f>
        <v/>
      </c>
      <c r="L481" s="1527"/>
      <c r="M481" s="1527"/>
    </row>
    <row r="482" spans="1:13" s="1525" customFormat="1" ht="12" customHeight="1">
      <c r="A482" s="1510" t="str">
        <f>IF(AND(C481&lt;&gt;"",ISBLANK(D482)),"y",IF(D482="","n",""))</f>
        <v>n</v>
      </c>
      <c r="B482" s="1510"/>
      <c r="C482" s="468"/>
      <c r="D482" s="2060" t="str">
        <f>_xll.ciqfunctions.udf.CIQSPLIT(K481,I482,J481)</f>
        <v/>
      </c>
      <c r="E482" s="2060"/>
      <c r="F482" s="1546"/>
      <c r="G482" s="1527"/>
      <c r="H482" s="484"/>
      <c r="I482" s="2060">
        <v>2</v>
      </c>
      <c r="J482" s="126"/>
      <c r="K482" s="388"/>
      <c r="L482" s="1527"/>
      <c r="M482" s="1527"/>
    </row>
    <row r="483" spans="1:13" s="1525" customFormat="1" ht="12" customHeight="1">
      <c r="A483" s="1510" t="str">
        <f>IF(AND(C481&lt;&gt;"",ISBLANK(D483)),"y",IF(D483="","n",""))</f>
        <v>n</v>
      </c>
      <c r="B483" s="1510"/>
      <c r="C483" s="468"/>
      <c r="D483" s="2060" t="str">
        <f>_xll.ciqfunctions.udf.CIQSPLIT(K481,I483,J481)</f>
        <v/>
      </c>
      <c r="E483" s="2060"/>
      <c r="F483" s="1546"/>
      <c r="G483" s="1527"/>
      <c r="H483" s="484"/>
      <c r="I483" s="2060">
        <v>3</v>
      </c>
      <c r="J483" s="126"/>
      <c r="K483" s="388"/>
      <c r="L483" s="1527"/>
      <c r="M483" s="1527"/>
    </row>
    <row r="484" spans="1:13" s="1525" customFormat="1" ht="12" customHeight="1">
      <c r="A484" s="1510" t="str">
        <f>IF(AND(C481&lt;&gt;"",ISBLANK(D484)),"y",IF(D484="","n",""))</f>
        <v>n</v>
      </c>
      <c r="B484" s="1510"/>
      <c r="C484" s="468"/>
      <c r="D484" s="2060" t="str">
        <f>_xll.ciqfunctions.udf.CIQSPLIT(K481,I484,J481)</f>
        <v/>
      </c>
      <c r="E484" s="2060"/>
      <c r="F484" s="1546"/>
      <c r="G484" s="1527"/>
      <c r="H484" s="484"/>
      <c r="I484" s="2060">
        <v>4</v>
      </c>
      <c r="J484" s="126"/>
      <c r="K484" s="388"/>
      <c r="L484" s="1527"/>
      <c r="M484" s="1527"/>
    </row>
    <row r="485" spans="1:13" s="1525" customFormat="1" ht="12" customHeight="1">
      <c r="A485" s="1510" t="str">
        <f>IF(AND(C481&lt;&gt;"",ISBLANK(D485)),"y",IF(D485="","n",""))</f>
        <v>n</v>
      </c>
      <c r="B485" s="1510"/>
      <c r="C485" s="468"/>
      <c r="D485" s="2060" t="str">
        <f>_xll.ciqfunctions.udf.CIQSPLIT(K481,I485,J481)</f>
        <v/>
      </c>
      <c r="E485" s="2060"/>
      <c r="F485" s="1546"/>
      <c r="G485" s="1527"/>
      <c r="H485" s="484"/>
      <c r="I485" s="2060">
        <v>5</v>
      </c>
      <c r="J485" s="126"/>
      <c r="K485" s="388"/>
      <c r="L485" s="1527"/>
      <c r="M485" s="1527"/>
    </row>
    <row r="486" spans="1:13" s="1525" customFormat="1" ht="12" customHeight="1">
      <c r="A486" s="1510" t="str">
        <f>IF(AND(C481&lt;&gt;"",ISBLANK(D486)),"y",IF(D486="","n",""))</f>
        <v>n</v>
      </c>
      <c r="B486" s="1510"/>
      <c r="C486" s="468"/>
      <c r="D486" s="2060" t="str">
        <f>_xll.ciqfunctions.udf.CIQSPLIT(K481,I486,J481)</f>
        <v/>
      </c>
      <c r="E486" s="2060"/>
      <c r="F486" s="1546"/>
      <c r="G486" s="1527"/>
      <c r="H486" s="484"/>
      <c r="I486" s="2060">
        <v>6</v>
      </c>
      <c r="J486" s="126"/>
      <c r="K486" s="388"/>
      <c r="L486" s="1527"/>
      <c r="M486" s="1527"/>
    </row>
    <row r="487" spans="1:13" s="1525" customFormat="1" ht="12" customHeight="1">
      <c r="A487" s="1510" t="str">
        <f>IF(AND(C481&lt;&gt;"",ISBLANK(D487)),"y",IF(D487="","n",""))</f>
        <v>n</v>
      </c>
      <c r="B487" s="1510"/>
      <c r="C487" s="468"/>
      <c r="D487" s="2060" t="str">
        <f>_xll.ciqfunctions.udf.CIQSPLIT(K481,I487,J481)</f>
        <v/>
      </c>
      <c r="E487" s="2060"/>
      <c r="F487" s="1546"/>
      <c r="G487" s="1527"/>
      <c r="H487" s="484"/>
      <c r="I487" s="2060">
        <v>7</v>
      </c>
      <c r="J487" s="126"/>
      <c r="K487" s="388"/>
      <c r="L487" s="1527"/>
      <c r="M487" s="1527"/>
    </row>
    <row r="488" spans="1:13" s="1525" customFormat="1" ht="12" customHeight="1">
      <c r="A488" s="1510" t="str">
        <f>IF(AND(C481&lt;&gt;"",ISBLANK(D488)),"y",IF(D488="","n",""))</f>
        <v>n</v>
      </c>
      <c r="B488" s="1510"/>
      <c r="C488" s="468"/>
      <c r="D488" s="2060" t="str">
        <f>_xll.ciqfunctions.udf.CIQSPLIT(K481,I488,J481)</f>
        <v/>
      </c>
      <c r="E488" s="2060"/>
      <c r="F488" s="1546"/>
      <c r="H488" s="484"/>
      <c r="I488" s="2060">
        <v>8</v>
      </c>
      <c r="J488" s="126"/>
      <c r="K488" s="388"/>
    </row>
    <row r="489" spans="1:13" s="1525" customFormat="1" ht="12" customHeight="1">
      <c r="A489" s="1510" t="str">
        <f>IF(AND(C481&lt;&gt;"",ISBLANK(D489)),"y",IF(D489="","n",""))</f>
        <v>n</v>
      </c>
      <c r="B489" s="1510"/>
      <c r="C489" s="468"/>
      <c r="D489" s="2060" t="str">
        <f>_xll.ciqfunctions.udf.CIQSPLIT(K481,I489,J481)</f>
        <v/>
      </c>
      <c r="E489" s="2060"/>
      <c r="F489" s="1546"/>
      <c r="H489" s="484"/>
      <c r="I489" s="2060">
        <v>9</v>
      </c>
      <c r="J489" s="126"/>
      <c r="K489" s="388"/>
    </row>
    <row r="490" spans="1:13" s="1525" customFormat="1" ht="12" customHeight="1">
      <c r="A490" s="1510" t="str">
        <f>IF(AND(C481&lt;&gt;"",ISBLANK(D490)),"y",IF(D490="","n",""))</f>
        <v>n</v>
      </c>
      <c r="B490" s="1510"/>
      <c r="C490" s="468"/>
      <c r="D490" s="2060" t="str">
        <f>_xll.ciqfunctions.udf.CIQSPLIT(K481,I490,J481)</f>
        <v/>
      </c>
      <c r="E490" s="2060"/>
      <c r="F490" s="1546"/>
      <c r="H490" s="484"/>
      <c r="I490" s="2060">
        <v>10</v>
      </c>
      <c r="J490" s="126"/>
      <c r="K490" s="388"/>
    </row>
    <row r="491" spans="1:13" s="1525" customFormat="1" ht="12" customHeight="1">
      <c r="A491" s="1510" t="str">
        <f>IF(AND(C481&lt;&gt;"",ISBLANK(D491)),"y",IF(D491="","n",""))</f>
        <v>n</v>
      </c>
      <c r="B491" s="1510"/>
      <c r="C491" s="468"/>
      <c r="D491" s="2060" t="str">
        <f>_xll.ciqfunctions.udf.CIQSPLIT(K481,I491,J481)</f>
        <v/>
      </c>
      <c r="E491" s="2060"/>
      <c r="F491" s="1546"/>
      <c r="H491" s="484"/>
      <c r="I491" s="2060">
        <v>11</v>
      </c>
      <c r="J491" s="126"/>
      <c r="K491" s="388"/>
    </row>
    <row r="492" spans="1:13" s="1525" customFormat="1" ht="12" customHeight="1">
      <c r="A492" s="1510" t="str">
        <f>IF(AND(C481&lt;&gt;"",ISBLANK(D492)),"y",IF(D492="","n",""))</f>
        <v>n</v>
      </c>
      <c r="B492" s="1510"/>
      <c r="C492" s="468"/>
      <c r="D492" s="2060" t="str">
        <f>_xll.ciqfunctions.udf.CIQSPLIT(K481,I492,J481)</f>
        <v/>
      </c>
      <c r="E492" s="2060"/>
      <c r="F492" s="1546"/>
      <c r="H492" s="484"/>
      <c r="I492" s="2060">
        <v>12</v>
      </c>
      <c r="J492" s="126"/>
      <c r="K492" s="388"/>
    </row>
    <row r="493" spans="1:13" s="1525" customFormat="1" ht="12" customHeight="1">
      <c r="A493" s="1510" t="str">
        <f>IF(AND(C481&lt;&gt;"",ISBLANK(D493)),"y",IF(D493="","n",""))</f>
        <v>n</v>
      </c>
      <c r="B493" s="1510"/>
      <c r="C493" s="468"/>
      <c r="D493" s="2060" t="str">
        <f>_xll.ciqfunctions.udf.CIQSPLIT(K481,I493,J481)</f>
        <v/>
      </c>
      <c r="E493" s="2060"/>
      <c r="F493" s="1546"/>
      <c r="H493" s="484"/>
      <c r="I493" s="2060">
        <v>13</v>
      </c>
      <c r="J493" s="126"/>
      <c r="K493" s="388"/>
    </row>
    <row r="494" spans="1:13" s="1525" customFormat="1" ht="12" customHeight="1">
      <c r="A494" s="1510" t="str">
        <f>IF(AND(C481&lt;&gt;"",ISBLANK(D494)),"y",IF(D494="","n",""))</f>
        <v>n</v>
      </c>
      <c r="B494" s="1510"/>
      <c r="C494" s="468"/>
      <c r="D494" s="2060" t="str">
        <f>_xll.ciqfunctions.udf.CIQSPLIT(K481,I494,J481)</f>
        <v/>
      </c>
      <c r="E494" s="2060"/>
      <c r="F494" s="1546"/>
      <c r="H494" s="484"/>
      <c r="I494" s="2060">
        <v>14</v>
      </c>
      <c r="J494" s="126"/>
      <c r="K494" s="388"/>
    </row>
    <row r="495" spans="1:13" s="1525" customFormat="1" ht="12" customHeight="1">
      <c r="A495" s="1510" t="str">
        <f>IF(AND(C481&lt;&gt;"",ISBLANK(D495)),"y",IF(D495="","n",""))</f>
        <v>n</v>
      </c>
      <c r="B495" s="1510"/>
      <c r="C495" s="468"/>
      <c r="D495" s="468"/>
      <c r="E495" s="468"/>
      <c r="F495" s="1546"/>
    </row>
    <row r="496" spans="1:13" s="1525" customFormat="1" ht="12" customHeight="1">
      <c r="A496" s="1557" t="str">
        <f>A427</f>
        <v>n</v>
      </c>
      <c r="B496" s="1557"/>
      <c r="C496" s="529" t="s">
        <v>1402</v>
      </c>
      <c r="D496" s="607"/>
      <c r="E496" s="607"/>
      <c r="F496" s="1557"/>
    </row>
    <row r="497" spans="1:6" s="1525" customFormat="1" ht="12" customHeight="1">
      <c r="A497" s="1510" t="s">
        <v>17</v>
      </c>
      <c r="B497" s="1510"/>
      <c r="C497" s="1557"/>
      <c r="D497" s="1557"/>
      <c r="E497" s="1546" t="s">
        <v>18</v>
      </c>
      <c r="F497" s="1510"/>
    </row>
  </sheetData>
  <autoFilter ref="A1:A497"/>
  <conditionalFormatting sqref="B1:B2">
    <cfRule type="cellIs" dxfId="72" priority="1" operator="notEqual">
      <formula>0</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7" manualBreakCount="7">
    <brk id="71" max="16383" man="1"/>
    <brk id="142" max="16383" man="1"/>
    <brk id="213" max="16383" man="1"/>
    <brk id="284" max="16383" man="1"/>
    <brk id="355" max="16383" man="1"/>
    <brk id="426" max="16383" man="1"/>
    <brk id="497"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nking">
    <tabColor rgb="FF99FF66"/>
    <pageSetUpPr autoPageBreaks="0"/>
  </sheetPr>
  <dimension ref="A1:X244"/>
  <sheetViews>
    <sheetView showGridLines="0" zoomScale="85" zoomScaleNormal="85" zoomScaleSheetLayoutView="100" workbookViewId="0"/>
  </sheetViews>
  <sheetFormatPr defaultColWidth="16.5" defaultRowHeight="12" customHeight="1"/>
  <cols>
    <col min="1" max="1" width="2.83203125" style="335" customWidth="1"/>
    <col min="2" max="2" width="3.83203125" style="335" customWidth="1"/>
    <col min="3" max="3" width="4.83203125" style="335" customWidth="1"/>
    <col min="4" max="5" width="8" style="335" customWidth="1"/>
    <col min="6" max="6" width="16.5" style="335"/>
    <col min="7" max="16" width="16.5" style="335" customWidth="1"/>
    <col min="17" max="17" width="15.1640625" style="335" customWidth="1"/>
    <col min="18" max="28" width="16.5" style="335" customWidth="1"/>
    <col min="29" max="16384" width="16.5" style="335"/>
  </cols>
  <sheetData>
    <row r="1" spans="1:24" ht="18" customHeight="1">
      <c r="A1" s="2060"/>
      <c r="B1" s="649">
        <f>SUMPRODUCT(--ISERROR($C$1:Q6))+COUNTIF($C$1:Q6,Fail)</f>
        <v>0</v>
      </c>
      <c r="C1" s="1372" t="str">
        <f>START!$C$1</f>
        <v>Client Name</v>
      </c>
      <c r="D1" s="852"/>
      <c r="E1" s="852"/>
      <c r="F1" s="945"/>
      <c r="G1" s="852"/>
      <c r="H1" s="852"/>
      <c r="I1" s="852"/>
      <c r="J1" s="852"/>
      <c r="K1" s="1525"/>
      <c r="L1" s="1525"/>
      <c r="M1" s="852"/>
      <c r="N1" s="852"/>
      <c r="O1" s="1525"/>
      <c r="P1" s="1525"/>
      <c r="Q1" s="389" t="s">
        <v>1714</v>
      </c>
      <c r="R1" s="1557"/>
      <c r="S1" s="1530"/>
      <c r="T1" s="1530"/>
      <c r="U1" s="1530"/>
      <c r="V1" s="1530"/>
      <c r="W1" s="1525"/>
      <c r="X1" s="1525"/>
    </row>
    <row r="2" spans="1:24" ht="18" customHeight="1">
      <c r="A2" s="2060"/>
      <c r="B2" s="649"/>
      <c r="C2" s="1372" t="str">
        <f>START!$C$2</f>
        <v xml:space="preserve">Please enter project description in START worksheet cell G13 </v>
      </c>
      <c r="D2" s="852"/>
      <c r="E2" s="852"/>
      <c r="F2" s="945"/>
      <c r="G2" s="852"/>
      <c r="H2" s="852"/>
      <c r="I2" s="852"/>
      <c r="J2" s="852"/>
      <c r="K2" s="1525"/>
      <c r="L2" s="1525"/>
      <c r="M2" s="852"/>
      <c r="N2" s="852"/>
      <c r="O2" s="1525"/>
      <c r="P2" s="1525"/>
      <c r="Q2" s="389"/>
      <c r="R2" s="1557"/>
      <c r="S2" s="1530"/>
      <c r="T2" s="1530"/>
      <c r="U2" s="1530"/>
      <c r="V2" s="1530"/>
      <c r="W2" s="1525"/>
      <c r="X2" s="1525"/>
    </row>
    <row r="3" spans="1:24" ht="18" customHeight="1">
      <c r="A3" s="1557"/>
      <c r="B3" s="1557"/>
      <c r="C3" s="839" t="s">
        <v>1715</v>
      </c>
      <c r="D3" s="1526"/>
      <c r="E3" s="1526"/>
      <c r="F3" s="1526"/>
      <c r="G3" s="1526"/>
      <c r="H3" s="1526"/>
      <c r="I3" s="1526"/>
      <c r="J3" s="1526"/>
      <c r="K3" s="1525"/>
      <c r="L3" s="1525"/>
      <c r="M3" s="1526"/>
      <c r="N3" s="1526"/>
      <c r="O3" s="1526"/>
      <c r="P3" s="1526"/>
      <c r="Q3" s="1525"/>
      <c r="R3" s="1557"/>
      <c r="S3" s="1530"/>
      <c r="T3" s="1530"/>
      <c r="U3" s="1530"/>
      <c r="V3" s="1530"/>
      <c r="W3" s="1525"/>
      <c r="X3" s="1525"/>
    </row>
    <row r="4" spans="1:24" ht="18" customHeight="1">
      <c r="A4" s="1557"/>
      <c r="B4" s="1557"/>
      <c r="C4" s="840" t="str">
        <f>ValDateHeading</f>
        <v>Estimation of value as of 28 February 2017</v>
      </c>
      <c r="D4" s="1526"/>
      <c r="E4" s="1526"/>
      <c r="F4" s="1526"/>
      <c r="G4" s="1526"/>
      <c r="H4" s="1526"/>
      <c r="I4" s="1526"/>
      <c r="J4" s="1526"/>
      <c r="K4" s="1526"/>
      <c r="L4" s="1526"/>
      <c r="M4" s="1526"/>
      <c r="N4" s="1526"/>
      <c r="O4" s="1526"/>
      <c r="P4" s="1526"/>
      <c r="Q4" s="1525"/>
      <c r="R4" s="1557"/>
      <c r="S4" s="1530"/>
      <c r="T4" s="1530"/>
      <c r="U4" s="1530"/>
      <c r="V4" s="1530"/>
      <c r="W4" s="1525"/>
      <c r="X4" s="1525"/>
    </row>
    <row r="5" spans="1:24" ht="18" customHeight="1">
      <c r="A5" s="1419"/>
      <c r="B5" s="1557"/>
      <c r="C5" s="2060" t="str">
        <f>SubjCurrencyHeading</f>
        <v>(USD in Millions)</v>
      </c>
      <c r="D5" s="1526"/>
      <c r="E5" s="1526"/>
      <c r="F5" s="1526"/>
      <c r="G5" s="1526"/>
      <c r="H5" s="1526"/>
      <c r="I5" s="1526"/>
      <c r="J5" s="1526"/>
      <c r="K5" s="1526"/>
      <c r="L5" s="1526"/>
      <c r="M5" s="1526"/>
      <c r="N5" s="1526"/>
      <c r="O5" s="1526"/>
      <c r="P5" s="1526"/>
      <c r="Q5" s="1525"/>
      <c r="R5" s="1557"/>
      <c r="S5" s="1530"/>
      <c r="T5" s="1530"/>
      <c r="U5" s="1530"/>
      <c r="V5" s="1530"/>
      <c r="W5" s="1525"/>
      <c r="X5" s="1525"/>
    </row>
    <row r="6" spans="1:24" ht="13.9">
      <c r="A6" s="1557" t="s">
        <v>17</v>
      </c>
      <c r="B6" s="1557"/>
      <c r="C6" s="2060"/>
      <c r="D6" s="1526"/>
      <c r="E6" s="1526"/>
      <c r="F6" s="1526"/>
      <c r="G6" s="1526"/>
      <c r="H6" s="90" t="s">
        <v>1716</v>
      </c>
      <c r="I6" s="2268" t="s">
        <v>1717</v>
      </c>
      <c r="J6" s="90" t="s">
        <v>1718</v>
      </c>
      <c r="K6" s="2268" t="s">
        <v>705</v>
      </c>
      <c r="L6" s="341"/>
      <c r="M6" s="1526"/>
      <c r="N6" s="1526"/>
      <c r="O6" s="1526"/>
      <c r="P6" s="1526"/>
      <c r="Q6" s="1525"/>
      <c r="R6" s="1557"/>
      <c r="S6" s="1530"/>
      <c r="T6" s="1530"/>
      <c r="U6" s="1530"/>
      <c r="V6" s="1530"/>
      <c r="W6" s="1525"/>
      <c r="X6" s="1525"/>
    </row>
    <row r="7" spans="1:24" s="646" customFormat="1" ht="18">
      <c r="A7" s="1557"/>
      <c r="B7" s="1557"/>
      <c r="C7" s="798"/>
      <c r="D7" s="1485" t="s">
        <v>1719</v>
      </c>
      <c r="E7" s="937"/>
      <c r="F7" s="798"/>
      <c r="G7" s="938"/>
      <c r="H7" s="800"/>
      <c r="I7" s="800"/>
      <c r="J7" s="800"/>
      <c r="K7" s="800"/>
      <c r="L7" s="800"/>
      <c r="M7" s="800"/>
      <c r="N7" s="800"/>
      <c r="O7" s="800"/>
      <c r="P7" s="800"/>
      <c r="Q7" s="2073"/>
      <c r="R7" s="1557"/>
      <c r="S7" s="2060"/>
      <c r="T7" s="2060"/>
      <c r="U7" s="2060"/>
      <c r="V7" s="2060"/>
      <c r="W7" s="2060"/>
      <c r="X7" s="2060"/>
    </row>
    <row r="8" spans="1:24" s="646" customFormat="1" ht="13.9">
      <c r="A8" s="1557"/>
      <c r="B8" s="1557"/>
      <c r="C8" s="1502"/>
      <c r="D8" s="2060" t="s">
        <v>1720</v>
      </c>
      <c r="E8" s="1578"/>
      <c r="F8" s="2060"/>
      <c r="G8" s="2060"/>
      <c r="H8" s="2060"/>
      <c r="I8" s="2060"/>
      <c r="J8" s="2060"/>
      <c r="K8" s="2060"/>
      <c r="L8" s="2060"/>
      <c r="M8" s="2060"/>
      <c r="N8" s="2060"/>
      <c r="O8" s="2060"/>
      <c r="P8" s="2060"/>
      <c r="Q8" s="2060"/>
      <c r="R8" s="1557"/>
      <c r="S8" s="2060"/>
      <c r="T8" s="2060"/>
      <c r="U8" s="2060"/>
      <c r="V8" s="2060"/>
      <c r="W8" s="2060"/>
      <c r="X8" s="2060"/>
    </row>
    <row r="9" spans="1:24" s="646" customFormat="1" ht="13.9">
      <c r="A9" s="1557"/>
      <c r="B9" s="1557"/>
      <c r="C9" s="1502"/>
      <c r="D9" s="2060"/>
      <c r="E9" s="1578"/>
      <c r="F9" s="2060"/>
      <c r="G9" s="2060"/>
      <c r="H9" s="2060"/>
      <c r="I9" s="920"/>
      <c r="J9" s="2060"/>
      <c r="K9" s="920"/>
      <c r="L9" s="2060"/>
      <c r="M9" s="2060"/>
      <c r="N9" s="2060"/>
      <c r="O9" s="2060"/>
      <c r="P9" s="2060"/>
      <c r="Q9" s="2060"/>
      <c r="R9" s="1557"/>
      <c r="S9" s="2060"/>
      <c r="T9" s="2060"/>
      <c r="U9" s="2060"/>
      <c r="V9" s="2060"/>
      <c r="W9" s="2060"/>
      <c r="X9" s="2060"/>
    </row>
    <row r="10" spans="1:24" s="646" customFormat="1" ht="13.9">
      <c r="A10" s="1557"/>
      <c r="B10" s="1557"/>
      <c r="C10" s="1502"/>
      <c r="D10" s="779"/>
      <c r="E10" s="946">
        <v>1.01</v>
      </c>
      <c r="F10" s="1061" t="s">
        <v>463</v>
      </c>
      <c r="G10" s="1061"/>
      <c r="H10" s="1061"/>
      <c r="I10" s="946">
        <v>1.02</v>
      </c>
      <c r="J10" s="1061" t="s">
        <v>247</v>
      </c>
      <c r="K10" s="1062"/>
      <c r="L10" s="1061"/>
      <c r="M10" s="946">
        <v>1.03</v>
      </c>
      <c r="N10" s="1063" t="s">
        <v>211</v>
      </c>
      <c r="O10" s="1061"/>
      <c r="P10" s="1061"/>
      <c r="Q10" s="2060"/>
      <c r="R10" s="1557"/>
      <c r="S10" s="2060"/>
      <c r="T10" s="2060"/>
      <c r="U10" s="2060"/>
      <c r="V10" s="2060"/>
      <c r="W10" s="2060"/>
      <c r="X10" s="2060"/>
    </row>
    <row r="11" spans="1:24" s="646" customFormat="1" ht="13.9">
      <c r="A11" s="1557"/>
      <c r="B11" s="1557"/>
      <c r="C11" s="1502"/>
      <c r="D11" s="2060"/>
      <c r="E11" s="972"/>
      <c r="F11" s="909">
        <f>MATCH(F10,'DATA GPC'!$F$1:$F$2263,0)</f>
        <v>564</v>
      </c>
      <c r="G11" s="909"/>
      <c r="H11" s="911" t="str">
        <f>$K$6</f>
        <v>LTM</v>
      </c>
      <c r="I11" s="920"/>
      <c r="J11" s="909">
        <f>MATCH(J10,'DATA GPC'!$F$1:$F$2263,0)</f>
        <v>626</v>
      </c>
      <c r="K11" s="934"/>
      <c r="L11" s="911" t="str">
        <f>$K$6</f>
        <v>LTM</v>
      </c>
      <c r="M11" s="2060"/>
      <c r="N11" s="909">
        <f>MATCH(N10,'DATA GPC'!$F$1:$F$2263,0)</f>
        <v>657</v>
      </c>
      <c r="O11" s="910"/>
      <c r="P11" s="911" t="str">
        <f>$K$6</f>
        <v>LTM</v>
      </c>
      <c r="Q11" s="2060"/>
      <c r="R11" s="1557"/>
      <c r="S11" s="2060"/>
      <c r="T11" s="2060"/>
      <c r="U11" s="2060"/>
      <c r="V11" s="2060"/>
      <c r="W11" s="2060"/>
      <c r="X11" s="2060"/>
    </row>
    <row r="12" spans="1:24" s="646" customFormat="1" ht="13.9">
      <c r="A12" s="1557" t="str">
        <f t="shared" ref="A12:A37" ca="1" si="0">IF(F12="--","n","")</f>
        <v>n</v>
      </c>
      <c r="B12" s="1557"/>
      <c r="C12" s="1502"/>
      <c r="D12" s="920"/>
      <c r="E12" s="949" t="str">
        <f t="shared" ref="E12:E25" ca="1" si="1">IFERROR(IF(F12=ClientName,"*",""),"")</f>
        <v/>
      </c>
      <c r="F12" s="1650" t="str">
        <f t="shared" ref="F12:F26" ca="1" si="2">IFERROR(INDEX(F$135:F$160,MATCH(E135,H$135:H$160,0)),"--")</f>
        <v>--</v>
      </c>
      <c r="G12" s="1555"/>
      <c r="H12" s="947" t="str">
        <f t="shared" ref="H12:H26" ca="1" si="3">IFERROR(INDEX(G$135:G$160,MATCH($E135,H$135:H$160,0)),"--")</f>
        <v>--</v>
      </c>
      <c r="I12" s="949" t="str">
        <f t="shared" ref="I12:I25" ca="1" si="4">IFERROR(IF(J12=ClientName,"*",""),"")</f>
        <v/>
      </c>
      <c r="J12" s="912" t="str">
        <f t="shared" ref="J12:J26" ca="1" si="5">IFERROR(INDEX(J$135:J$160,MATCH(I135,L$135:L$160,0)),"--")</f>
        <v>--</v>
      </c>
      <c r="K12" s="1555"/>
      <c r="L12" s="947" t="str">
        <f t="shared" ref="L12:L26" ca="1" si="6">IFERROR(INDEX(K$135:K$160,MATCH($E135,L$135:L$160,0)),"--")</f>
        <v>--</v>
      </c>
      <c r="M12" s="949" t="str">
        <f t="shared" ref="M12:M25" ca="1" si="7">IFERROR(IF(N12=ClientName,"*",""),"")</f>
        <v/>
      </c>
      <c r="N12" s="912" t="str">
        <f t="shared" ref="N12:N26" ca="1" si="8">IFERROR(INDEX(N$135:N$160,MATCH(M135,P$135:P$160,0)),"--")</f>
        <v>--</v>
      </c>
      <c r="O12" s="1555"/>
      <c r="P12" s="947" t="str">
        <f t="shared" ref="P12:P26" ca="1" si="9">IFERROR(INDEX(O$135:O$160,MATCH($E135,P$135:P$160,0)),"--")</f>
        <v>--</v>
      </c>
      <c r="Q12" s="2060"/>
      <c r="R12" s="1557"/>
      <c r="S12" s="2060"/>
      <c r="T12" s="43">
        <v>1</v>
      </c>
      <c r="U12" s="43" t="s">
        <v>705</v>
      </c>
      <c r="V12" s="2060"/>
      <c r="W12" s="2060"/>
      <c r="X12" s="2060"/>
    </row>
    <row r="13" spans="1:24" s="646" customFormat="1" ht="13.9">
      <c r="A13" s="1557" t="str">
        <f t="shared" ca="1" si="0"/>
        <v>n</v>
      </c>
      <c r="B13" s="1557"/>
      <c r="C13" s="1502"/>
      <c r="D13" s="920"/>
      <c r="E13" s="949" t="str">
        <f t="shared" ca="1" si="1"/>
        <v/>
      </c>
      <c r="F13" s="1650" t="str">
        <f t="shared" ca="1" si="2"/>
        <v>--</v>
      </c>
      <c r="G13" s="1555"/>
      <c r="H13" s="947" t="str">
        <f t="shared" ca="1" si="3"/>
        <v>--</v>
      </c>
      <c r="I13" s="949" t="str">
        <f t="shared" ca="1" si="4"/>
        <v/>
      </c>
      <c r="J13" s="912" t="str">
        <f t="shared" ca="1" si="5"/>
        <v>--</v>
      </c>
      <c r="K13" s="1555"/>
      <c r="L13" s="947" t="str">
        <f t="shared" ca="1" si="6"/>
        <v>--</v>
      </c>
      <c r="M13" s="949" t="str">
        <f t="shared" ca="1" si="7"/>
        <v/>
      </c>
      <c r="N13" s="912" t="str">
        <f t="shared" ca="1" si="8"/>
        <v>--</v>
      </c>
      <c r="O13" s="1555"/>
      <c r="P13" s="947" t="str">
        <f t="shared" ca="1" si="9"/>
        <v>--</v>
      </c>
      <c r="Q13" s="2060"/>
      <c r="R13" s="1557"/>
      <c r="S13" s="2060"/>
      <c r="T13" s="43">
        <v>2</v>
      </c>
      <c r="U13" s="43" t="s">
        <v>704</v>
      </c>
      <c r="V13" s="2060"/>
      <c r="W13" s="2060"/>
      <c r="X13" s="2060"/>
    </row>
    <row r="14" spans="1:24" s="646" customFormat="1" ht="13.9">
      <c r="A14" s="1557" t="str">
        <f t="shared" ca="1" si="0"/>
        <v>n</v>
      </c>
      <c r="B14" s="1557"/>
      <c r="C14" s="1502"/>
      <c r="D14" s="920"/>
      <c r="E14" s="949" t="str">
        <f t="shared" ca="1" si="1"/>
        <v/>
      </c>
      <c r="F14" s="1650" t="str">
        <f t="shared" ca="1" si="2"/>
        <v>--</v>
      </c>
      <c r="G14" s="1555"/>
      <c r="H14" s="947" t="str">
        <f t="shared" ca="1" si="3"/>
        <v>--</v>
      </c>
      <c r="I14" s="949" t="str">
        <f t="shared" ca="1" si="4"/>
        <v/>
      </c>
      <c r="J14" s="912" t="str">
        <f t="shared" ca="1" si="5"/>
        <v>--</v>
      </c>
      <c r="K14" s="1555"/>
      <c r="L14" s="947" t="str">
        <f t="shared" ca="1" si="6"/>
        <v>--</v>
      </c>
      <c r="M14" s="949" t="str">
        <f t="shared" ca="1" si="7"/>
        <v/>
      </c>
      <c r="N14" s="912" t="str">
        <f t="shared" ca="1" si="8"/>
        <v>--</v>
      </c>
      <c r="O14" s="1555"/>
      <c r="P14" s="947" t="str">
        <f t="shared" ca="1" si="9"/>
        <v>--</v>
      </c>
      <c r="Q14" s="2060"/>
      <c r="R14" s="1557"/>
      <c r="S14" s="2060"/>
      <c r="T14" s="43">
        <v>3</v>
      </c>
      <c r="U14" s="43" t="s">
        <v>1721</v>
      </c>
      <c r="V14" s="2060"/>
      <c r="W14" s="2060"/>
      <c r="X14" s="2060"/>
    </row>
    <row r="15" spans="1:24" s="646" customFormat="1" ht="13.9">
      <c r="A15" s="1557" t="str">
        <f t="shared" ca="1" si="0"/>
        <v>n</v>
      </c>
      <c r="B15" s="1557"/>
      <c r="C15" s="1502"/>
      <c r="D15" s="920"/>
      <c r="E15" s="949" t="str">
        <f t="shared" ca="1" si="1"/>
        <v/>
      </c>
      <c r="F15" s="1650" t="str">
        <f t="shared" ca="1" si="2"/>
        <v>--</v>
      </c>
      <c r="G15" s="1555"/>
      <c r="H15" s="947" t="str">
        <f t="shared" ca="1" si="3"/>
        <v>--</v>
      </c>
      <c r="I15" s="949" t="str">
        <f t="shared" ca="1" si="4"/>
        <v/>
      </c>
      <c r="J15" s="912" t="str">
        <f t="shared" ca="1" si="5"/>
        <v>--</v>
      </c>
      <c r="K15" s="1555"/>
      <c r="L15" s="947" t="str">
        <f t="shared" ca="1" si="6"/>
        <v>--</v>
      </c>
      <c r="M15" s="949" t="str">
        <f t="shared" ca="1" si="7"/>
        <v/>
      </c>
      <c r="N15" s="912" t="str">
        <f t="shared" ca="1" si="8"/>
        <v>--</v>
      </c>
      <c r="O15" s="1555"/>
      <c r="P15" s="947" t="str">
        <f t="shared" ca="1" si="9"/>
        <v>--</v>
      </c>
      <c r="Q15" s="2060"/>
      <c r="R15" s="1557"/>
      <c r="S15" s="2060"/>
      <c r="T15" s="43">
        <v>4</v>
      </c>
      <c r="U15" s="43" t="s">
        <v>1722</v>
      </c>
      <c r="V15" s="2060"/>
      <c r="W15" s="2060"/>
      <c r="X15" s="2060"/>
    </row>
    <row r="16" spans="1:24" s="646" customFormat="1" ht="13.9">
      <c r="A16" s="1557" t="str">
        <f t="shared" ca="1" si="0"/>
        <v>n</v>
      </c>
      <c r="B16" s="1557"/>
      <c r="C16" s="1502"/>
      <c r="D16" s="920"/>
      <c r="E16" s="949" t="str">
        <f t="shared" ca="1" si="1"/>
        <v/>
      </c>
      <c r="F16" s="1650" t="str">
        <f t="shared" ca="1" si="2"/>
        <v>--</v>
      </c>
      <c r="G16" s="1555"/>
      <c r="H16" s="947" t="str">
        <f t="shared" ca="1" si="3"/>
        <v>--</v>
      </c>
      <c r="I16" s="949" t="str">
        <f t="shared" ca="1" si="4"/>
        <v/>
      </c>
      <c r="J16" s="912" t="str">
        <f t="shared" ca="1" si="5"/>
        <v>--</v>
      </c>
      <c r="K16" s="1555"/>
      <c r="L16" s="947" t="str">
        <f t="shared" ca="1" si="6"/>
        <v>--</v>
      </c>
      <c r="M16" s="949" t="str">
        <f t="shared" ca="1" si="7"/>
        <v/>
      </c>
      <c r="N16" s="912" t="str">
        <f t="shared" ca="1" si="8"/>
        <v>--</v>
      </c>
      <c r="O16" s="1555"/>
      <c r="P16" s="947" t="str">
        <f t="shared" ca="1" si="9"/>
        <v>--</v>
      </c>
      <c r="Q16" s="2060"/>
      <c r="R16" s="1557"/>
      <c r="S16" s="2060"/>
      <c r="T16" s="43">
        <v>5</v>
      </c>
      <c r="U16" s="43" t="s">
        <v>1723</v>
      </c>
      <c r="V16" s="2060"/>
      <c r="W16" s="2060"/>
      <c r="X16" s="2060"/>
    </row>
    <row r="17" spans="1:24" s="646" customFormat="1" ht="13.9">
      <c r="A17" s="1557" t="str">
        <f t="shared" ca="1" si="0"/>
        <v>n</v>
      </c>
      <c r="B17" s="1557"/>
      <c r="C17" s="1502"/>
      <c r="D17" s="920"/>
      <c r="E17" s="949" t="str">
        <f t="shared" ca="1" si="1"/>
        <v/>
      </c>
      <c r="F17" s="1650" t="str">
        <f t="shared" ca="1" si="2"/>
        <v>--</v>
      </c>
      <c r="G17" s="1555"/>
      <c r="H17" s="947" t="str">
        <f t="shared" ca="1" si="3"/>
        <v>--</v>
      </c>
      <c r="I17" s="949" t="str">
        <f t="shared" ca="1" si="4"/>
        <v/>
      </c>
      <c r="J17" s="912" t="str">
        <f t="shared" ca="1" si="5"/>
        <v>--</v>
      </c>
      <c r="K17" s="1555"/>
      <c r="L17" s="947" t="str">
        <f t="shared" ca="1" si="6"/>
        <v>--</v>
      </c>
      <c r="M17" s="949" t="str">
        <f t="shared" ca="1" si="7"/>
        <v/>
      </c>
      <c r="N17" s="912" t="str">
        <f t="shared" ca="1" si="8"/>
        <v>--</v>
      </c>
      <c r="O17" s="1555"/>
      <c r="P17" s="947" t="str">
        <f t="shared" ca="1" si="9"/>
        <v>--</v>
      </c>
      <c r="Q17" s="2060"/>
      <c r="R17" s="1557"/>
      <c r="S17" s="2060"/>
      <c r="T17" s="43">
        <v>6</v>
      </c>
      <c r="U17" s="43" t="s">
        <v>1724</v>
      </c>
      <c r="V17" s="2060"/>
      <c r="W17" s="2060"/>
      <c r="X17" s="2060"/>
    </row>
    <row r="18" spans="1:24" s="646" customFormat="1" ht="13.9">
      <c r="A18" s="1557" t="str">
        <f t="shared" ca="1" si="0"/>
        <v>n</v>
      </c>
      <c r="B18" s="1557"/>
      <c r="C18" s="1502"/>
      <c r="D18" s="920"/>
      <c r="E18" s="949" t="str">
        <f t="shared" ca="1" si="1"/>
        <v/>
      </c>
      <c r="F18" s="1650" t="str">
        <f t="shared" ca="1" si="2"/>
        <v>--</v>
      </c>
      <c r="G18" s="1555"/>
      <c r="H18" s="947" t="str">
        <f t="shared" ca="1" si="3"/>
        <v>--</v>
      </c>
      <c r="I18" s="949" t="str">
        <f t="shared" ca="1" si="4"/>
        <v/>
      </c>
      <c r="J18" s="912" t="str">
        <f t="shared" ca="1" si="5"/>
        <v>--</v>
      </c>
      <c r="K18" s="1555"/>
      <c r="L18" s="947" t="str">
        <f t="shared" ca="1" si="6"/>
        <v>--</v>
      </c>
      <c r="M18" s="949" t="str">
        <f t="shared" ca="1" si="7"/>
        <v/>
      </c>
      <c r="N18" s="912" t="str">
        <f t="shared" ca="1" si="8"/>
        <v>--</v>
      </c>
      <c r="O18" s="1555"/>
      <c r="P18" s="947" t="str">
        <f t="shared" ca="1" si="9"/>
        <v>--</v>
      </c>
      <c r="Q18" s="2060"/>
      <c r="R18" s="1557"/>
      <c r="S18" s="2060"/>
      <c r="T18" s="43">
        <v>7</v>
      </c>
      <c r="U18" s="43" t="s">
        <v>703</v>
      </c>
      <c r="V18" s="2060"/>
      <c r="W18" s="2060"/>
      <c r="X18" s="2060"/>
    </row>
    <row r="19" spans="1:24" s="646" customFormat="1" ht="13.9">
      <c r="A19" s="1557" t="str">
        <f t="shared" ca="1" si="0"/>
        <v>n</v>
      </c>
      <c r="B19" s="1557"/>
      <c r="C19" s="1502"/>
      <c r="D19" s="920"/>
      <c r="E19" s="949" t="str">
        <f t="shared" ca="1" si="1"/>
        <v/>
      </c>
      <c r="F19" s="1650" t="str">
        <f t="shared" ca="1" si="2"/>
        <v>--</v>
      </c>
      <c r="G19" s="1555"/>
      <c r="H19" s="947" t="str">
        <f t="shared" ca="1" si="3"/>
        <v>--</v>
      </c>
      <c r="I19" s="949" t="str">
        <f t="shared" ca="1" si="4"/>
        <v/>
      </c>
      <c r="J19" s="912" t="str">
        <f t="shared" ca="1" si="5"/>
        <v>--</v>
      </c>
      <c r="K19" s="1555"/>
      <c r="L19" s="947" t="str">
        <f t="shared" ca="1" si="6"/>
        <v>--</v>
      </c>
      <c r="M19" s="949" t="str">
        <f t="shared" ca="1" si="7"/>
        <v/>
      </c>
      <c r="N19" s="912" t="str">
        <f t="shared" ca="1" si="8"/>
        <v>--</v>
      </c>
      <c r="O19" s="1555"/>
      <c r="P19" s="947" t="str">
        <f t="shared" ca="1" si="9"/>
        <v>--</v>
      </c>
      <c r="Q19" s="2060"/>
      <c r="R19" s="1557"/>
      <c r="S19" s="2060"/>
      <c r="T19" s="43">
        <v>8</v>
      </c>
      <c r="U19" s="43" t="s">
        <v>702</v>
      </c>
      <c r="V19" s="2060"/>
      <c r="W19" s="2060"/>
      <c r="X19" s="2060"/>
    </row>
    <row r="20" spans="1:24" s="646" customFormat="1" ht="13.9">
      <c r="A20" s="1557" t="str">
        <f t="shared" ca="1" si="0"/>
        <v>n</v>
      </c>
      <c r="B20" s="1557"/>
      <c r="C20" s="1502"/>
      <c r="D20" s="920"/>
      <c r="E20" s="949" t="str">
        <f t="shared" ca="1" si="1"/>
        <v/>
      </c>
      <c r="F20" s="1650" t="str">
        <f t="shared" ca="1" si="2"/>
        <v>--</v>
      </c>
      <c r="G20" s="1555"/>
      <c r="H20" s="947" t="str">
        <f t="shared" ca="1" si="3"/>
        <v>--</v>
      </c>
      <c r="I20" s="949" t="str">
        <f t="shared" ca="1" si="4"/>
        <v/>
      </c>
      <c r="J20" s="912" t="str">
        <f t="shared" ca="1" si="5"/>
        <v>--</v>
      </c>
      <c r="K20" s="1555"/>
      <c r="L20" s="947" t="str">
        <f t="shared" ca="1" si="6"/>
        <v>--</v>
      </c>
      <c r="M20" s="949" t="str">
        <f t="shared" ca="1" si="7"/>
        <v/>
      </c>
      <c r="N20" s="912" t="str">
        <f t="shared" ca="1" si="8"/>
        <v>--</v>
      </c>
      <c r="O20" s="1555"/>
      <c r="P20" s="947" t="str">
        <f t="shared" ca="1" si="9"/>
        <v>--</v>
      </c>
      <c r="Q20" s="2060"/>
      <c r="R20" s="1557"/>
      <c r="S20" s="2060"/>
      <c r="T20" s="43">
        <v>9</v>
      </c>
      <c r="U20" s="43" t="s">
        <v>701</v>
      </c>
      <c r="V20" s="2060"/>
      <c r="W20" s="2060"/>
      <c r="X20" s="2060"/>
    </row>
    <row r="21" spans="1:24" s="646" customFormat="1" ht="13.9">
      <c r="A21" s="1557" t="str">
        <f t="shared" ca="1" si="0"/>
        <v>n</v>
      </c>
      <c r="B21" s="1557"/>
      <c r="C21" s="1502"/>
      <c r="D21" s="920"/>
      <c r="E21" s="949" t="str">
        <f t="shared" ca="1" si="1"/>
        <v/>
      </c>
      <c r="F21" s="1650" t="str">
        <f t="shared" ca="1" si="2"/>
        <v>--</v>
      </c>
      <c r="G21" s="912"/>
      <c r="H21" s="947" t="str">
        <f t="shared" ca="1" si="3"/>
        <v>--</v>
      </c>
      <c r="I21" s="949" t="str">
        <f t="shared" ca="1" si="4"/>
        <v/>
      </c>
      <c r="J21" s="912" t="str">
        <f t="shared" ca="1" si="5"/>
        <v>--</v>
      </c>
      <c r="K21" s="912"/>
      <c r="L21" s="947" t="str">
        <f t="shared" ca="1" si="6"/>
        <v>--</v>
      </c>
      <c r="M21" s="949" t="str">
        <f t="shared" ca="1" si="7"/>
        <v/>
      </c>
      <c r="N21" s="912" t="str">
        <f t="shared" ca="1" si="8"/>
        <v>--</v>
      </c>
      <c r="O21" s="912"/>
      <c r="P21" s="947" t="str">
        <f t="shared" ca="1" si="9"/>
        <v>--</v>
      </c>
      <c r="Q21" s="2060"/>
      <c r="R21" s="1557"/>
      <c r="S21" s="2060"/>
      <c r="T21" s="43">
        <v>10</v>
      </c>
      <c r="U21" s="43" t="s">
        <v>700</v>
      </c>
      <c r="V21" s="2060"/>
      <c r="W21" s="2060"/>
      <c r="X21" s="2060"/>
    </row>
    <row r="22" spans="1:24" s="646" customFormat="1" ht="13.9">
      <c r="A22" s="1557" t="str">
        <f t="shared" ca="1" si="0"/>
        <v>n</v>
      </c>
      <c r="B22" s="1557"/>
      <c r="C22" s="1502"/>
      <c r="D22" s="920"/>
      <c r="E22" s="949" t="str">
        <f t="shared" ca="1" si="1"/>
        <v/>
      </c>
      <c r="F22" s="1650" t="str">
        <f t="shared" ca="1" si="2"/>
        <v>--</v>
      </c>
      <c r="G22" s="1555"/>
      <c r="H22" s="947" t="str">
        <f t="shared" ca="1" si="3"/>
        <v>--</v>
      </c>
      <c r="I22" s="949" t="str">
        <f t="shared" ca="1" si="4"/>
        <v/>
      </c>
      <c r="J22" s="912" t="str">
        <f t="shared" ca="1" si="5"/>
        <v>--</v>
      </c>
      <c r="K22" s="1555"/>
      <c r="L22" s="947" t="str">
        <f t="shared" ca="1" si="6"/>
        <v>--</v>
      </c>
      <c r="M22" s="949" t="str">
        <f t="shared" ca="1" si="7"/>
        <v/>
      </c>
      <c r="N22" s="912" t="str">
        <f t="shared" ca="1" si="8"/>
        <v>--</v>
      </c>
      <c r="O22" s="1555"/>
      <c r="P22" s="947" t="str">
        <f t="shared" ca="1" si="9"/>
        <v>--</v>
      </c>
      <c r="Q22" s="2060"/>
      <c r="R22" s="1557"/>
      <c r="S22" s="2060"/>
      <c r="T22" s="43">
        <v>11</v>
      </c>
      <c r="U22" s="43" t="s">
        <v>699</v>
      </c>
      <c r="V22" s="2060"/>
      <c r="W22" s="2060"/>
      <c r="X22" s="2060"/>
    </row>
    <row r="23" spans="1:24" s="646" customFormat="1" ht="13.9">
      <c r="A23" s="1557" t="str">
        <f t="shared" ca="1" si="0"/>
        <v>n</v>
      </c>
      <c r="B23" s="1557"/>
      <c r="C23" s="1502"/>
      <c r="D23" s="920"/>
      <c r="E23" s="949" t="str">
        <f t="shared" ca="1" si="1"/>
        <v/>
      </c>
      <c r="F23" s="1650" t="str">
        <f t="shared" ca="1" si="2"/>
        <v>--</v>
      </c>
      <c r="G23" s="913"/>
      <c r="H23" s="947" t="str">
        <f t="shared" ca="1" si="3"/>
        <v>--</v>
      </c>
      <c r="I23" s="949" t="str">
        <f t="shared" ca="1" si="4"/>
        <v/>
      </c>
      <c r="J23" s="912" t="str">
        <f t="shared" ca="1" si="5"/>
        <v>--</v>
      </c>
      <c r="K23" s="913"/>
      <c r="L23" s="947" t="str">
        <f t="shared" ca="1" si="6"/>
        <v>--</v>
      </c>
      <c r="M23" s="949" t="str">
        <f t="shared" ca="1" si="7"/>
        <v/>
      </c>
      <c r="N23" s="912" t="str">
        <f t="shared" ca="1" si="8"/>
        <v>--</v>
      </c>
      <c r="O23" s="913"/>
      <c r="P23" s="947" t="str">
        <f t="shared" ca="1" si="9"/>
        <v>--</v>
      </c>
      <c r="Q23" s="2060"/>
      <c r="R23" s="1557"/>
      <c r="S23" s="2060"/>
      <c r="T23" s="43">
        <v>12</v>
      </c>
      <c r="U23" s="43"/>
      <c r="V23" s="2060"/>
      <c r="W23" s="2060"/>
      <c r="X23" s="2060"/>
    </row>
    <row r="24" spans="1:24" s="646" customFormat="1" ht="13.9">
      <c r="A24" s="1557" t="str">
        <f t="shared" ca="1" si="0"/>
        <v>n</v>
      </c>
      <c r="B24" s="1557"/>
      <c r="C24" s="1502"/>
      <c r="D24" s="920"/>
      <c r="E24" s="949" t="str">
        <f t="shared" ca="1" si="1"/>
        <v/>
      </c>
      <c r="F24" s="1650" t="str">
        <f t="shared" ca="1" si="2"/>
        <v>--</v>
      </c>
      <c r="G24" s="913"/>
      <c r="H24" s="947" t="str">
        <f t="shared" ca="1" si="3"/>
        <v>--</v>
      </c>
      <c r="I24" s="949" t="str">
        <f t="shared" ca="1" si="4"/>
        <v/>
      </c>
      <c r="J24" s="912" t="str">
        <f t="shared" ca="1" si="5"/>
        <v>--</v>
      </c>
      <c r="K24" s="913"/>
      <c r="L24" s="947" t="str">
        <f t="shared" ca="1" si="6"/>
        <v>--</v>
      </c>
      <c r="M24" s="949" t="str">
        <f t="shared" ca="1" si="7"/>
        <v/>
      </c>
      <c r="N24" s="912" t="str">
        <f t="shared" ca="1" si="8"/>
        <v>--</v>
      </c>
      <c r="O24" s="913"/>
      <c r="P24" s="947" t="str">
        <f t="shared" ca="1" si="9"/>
        <v>--</v>
      </c>
      <c r="Q24" s="2060"/>
      <c r="R24" s="1557"/>
      <c r="S24" s="2060"/>
      <c r="T24" s="43">
        <v>13</v>
      </c>
      <c r="U24" s="43"/>
      <c r="V24" s="2060"/>
      <c r="W24" s="2060"/>
      <c r="X24" s="2060"/>
    </row>
    <row r="25" spans="1:24" s="646" customFormat="1" ht="13.9">
      <c r="A25" s="1557" t="str">
        <f t="shared" ca="1" si="0"/>
        <v>n</v>
      </c>
      <c r="B25" s="1557"/>
      <c r="C25" s="1502"/>
      <c r="D25" s="920"/>
      <c r="E25" s="949" t="str">
        <f t="shared" ca="1" si="1"/>
        <v/>
      </c>
      <c r="F25" s="1650" t="str">
        <f t="shared" ca="1" si="2"/>
        <v>--</v>
      </c>
      <c r="G25" s="913"/>
      <c r="H25" s="947" t="str">
        <f t="shared" ca="1" si="3"/>
        <v>--</v>
      </c>
      <c r="I25" s="949" t="str">
        <f t="shared" ca="1" si="4"/>
        <v/>
      </c>
      <c r="J25" s="912" t="str">
        <f t="shared" ca="1" si="5"/>
        <v>--</v>
      </c>
      <c r="K25" s="913"/>
      <c r="L25" s="947" t="str">
        <f t="shared" ca="1" si="6"/>
        <v>--</v>
      </c>
      <c r="M25" s="949" t="str">
        <f t="shared" ca="1" si="7"/>
        <v/>
      </c>
      <c r="N25" s="912" t="str">
        <f t="shared" ca="1" si="8"/>
        <v>--</v>
      </c>
      <c r="O25" s="913"/>
      <c r="P25" s="947" t="str">
        <f t="shared" ca="1" si="9"/>
        <v>--</v>
      </c>
      <c r="Q25" s="2060"/>
      <c r="R25" s="1557"/>
      <c r="S25" s="2060"/>
      <c r="T25" s="43">
        <v>14</v>
      </c>
      <c r="U25" s="43"/>
      <c r="V25" s="2060"/>
      <c r="W25" s="2060"/>
      <c r="X25" s="2060"/>
    </row>
    <row r="26" spans="1:24" s="646" customFormat="1" ht="13.9">
      <c r="A26" s="1557" t="str">
        <f t="shared" ca="1" si="0"/>
        <v>n</v>
      </c>
      <c r="B26" s="1557"/>
      <c r="C26" s="1502"/>
      <c r="D26" s="920"/>
      <c r="E26" s="949"/>
      <c r="F26" s="1650" t="str">
        <f t="shared" ca="1" si="2"/>
        <v>--</v>
      </c>
      <c r="G26" s="913"/>
      <c r="H26" s="947" t="str">
        <f t="shared" ca="1" si="3"/>
        <v>--</v>
      </c>
      <c r="I26" s="949"/>
      <c r="J26" s="912" t="str">
        <f t="shared" ca="1" si="5"/>
        <v>--</v>
      </c>
      <c r="K26" s="913"/>
      <c r="L26" s="947" t="str">
        <f t="shared" ca="1" si="6"/>
        <v>--</v>
      </c>
      <c r="M26" s="949"/>
      <c r="N26" s="912" t="str">
        <f t="shared" ca="1" si="8"/>
        <v>--</v>
      </c>
      <c r="O26" s="913"/>
      <c r="P26" s="947" t="str">
        <f t="shared" ca="1" si="9"/>
        <v>--</v>
      </c>
      <c r="Q26" s="2060"/>
      <c r="R26" s="1557"/>
      <c r="S26" s="2060"/>
      <c r="T26" s="43">
        <v>15</v>
      </c>
      <c r="U26" s="43"/>
      <c r="V26" s="2060"/>
      <c r="W26" s="2060"/>
      <c r="X26" s="2060"/>
    </row>
    <row r="27" spans="1:24" s="1499" customFormat="1" ht="13.9">
      <c r="A27" s="1557" t="str">
        <f t="shared" ca="1" si="0"/>
        <v>n</v>
      </c>
      <c r="B27" s="1557"/>
      <c r="C27" s="1502"/>
      <c r="D27" s="920"/>
      <c r="E27" s="949"/>
      <c r="F27" s="1650" t="str">
        <f t="shared" ref="F27:F37" ca="1" si="10">IFERROR(INDEX(F$135:F$160,MATCH(E150,H$135:H$160,0)),"--")</f>
        <v>--</v>
      </c>
      <c r="G27" s="913"/>
      <c r="H27" s="947" t="str">
        <f t="shared" ref="H27:H37" ca="1" si="11">IFERROR(INDEX(G$135:G$160,MATCH($E150,H$135:H$160,0)),"--")</f>
        <v>--</v>
      </c>
      <c r="I27" s="949"/>
      <c r="J27" s="912" t="str">
        <f t="shared" ref="J27:J37" ca="1" si="12">IFERROR(INDEX(J$135:J$160,MATCH(I150,L$135:L$160,0)),"--")</f>
        <v>--</v>
      </c>
      <c r="K27" s="913"/>
      <c r="L27" s="947" t="str">
        <f t="shared" ref="L27:L37" ca="1" si="13">IFERROR(INDEX(K$135:K$160,MATCH($E150,L$135:L$160,0)),"--")</f>
        <v>--</v>
      </c>
      <c r="M27" s="949"/>
      <c r="N27" s="912" t="str">
        <f t="shared" ref="N27:N37" ca="1" si="14">IFERROR(INDEX(N$135:N$160,MATCH(M150,P$135:P$160,0)),"--")</f>
        <v>--</v>
      </c>
      <c r="O27" s="913"/>
      <c r="P27" s="947" t="str">
        <f t="shared" ref="P27:P37" ca="1" si="15">IFERROR(INDEX(O$135:O$160,MATCH($E150,P$135:P$160,0)),"--")</f>
        <v>--</v>
      </c>
      <c r="Q27" s="2060"/>
      <c r="R27" s="1557"/>
      <c r="S27" s="2060"/>
      <c r="T27" s="43">
        <v>16</v>
      </c>
      <c r="U27" s="43"/>
      <c r="V27" s="2060"/>
      <c r="W27" s="2060"/>
      <c r="X27" s="2060"/>
    </row>
    <row r="28" spans="1:24" s="1499" customFormat="1" ht="13.9">
      <c r="A28" s="1557" t="str">
        <f t="shared" ca="1" si="0"/>
        <v>n</v>
      </c>
      <c r="B28" s="1557"/>
      <c r="C28" s="1502"/>
      <c r="D28" s="920"/>
      <c r="E28" s="949"/>
      <c r="F28" s="1650" t="str">
        <f t="shared" ca="1" si="10"/>
        <v>--</v>
      </c>
      <c r="G28" s="913"/>
      <c r="H28" s="947" t="str">
        <f t="shared" ca="1" si="11"/>
        <v>--</v>
      </c>
      <c r="I28" s="949"/>
      <c r="J28" s="912" t="str">
        <f t="shared" ca="1" si="12"/>
        <v>--</v>
      </c>
      <c r="K28" s="913"/>
      <c r="L28" s="947" t="str">
        <f t="shared" ca="1" si="13"/>
        <v>--</v>
      </c>
      <c r="M28" s="949"/>
      <c r="N28" s="912" t="str">
        <f t="shared" ca="1" si="14"/>
        <v>--</v>
      </c>
      <c r="O28" s="913"/>
      <c r="P28" s="947" t="str">
        <f t="shared" ca="1" si="15"/>
        <v>--</v>
      </c>
      <c r="Q28" s="2060"/>
      <c r="R28" s="1557"/>
      <c r="S28" s="2060"/>
      <c r="T28" s="43">
        <v>17</v>
      </c>
      <c r="U28" s="43"/>
      <c r="V28" s="2060"/>
      <c r="W28" s="2060"/>
      <c r="X28" s="2060"/>
    </row>
    <row r="29" spans="1:24" s="1499" customFormat="1" ht="13.9">
      <c r="A29" s="1557" t="str">
        <f t="shared" ca="1" si="0"/>
        <v>n</v>
      </c>
      <c r="B29" s="1557"/>
      <c r="C29" s="1502"/>
      <c r="D29" s="920"/>
      <c r="E29" s="949"/>
      <c r="F29" s="1650" t="str">
        <f t="shared" ca="1" si="10"/>
        <v>--</v>
      </c>
      <c r="G29" s="913"/>
      <c r="H29" s="947" t="str">
        <f t="shared" ca="1" si="11"/>
        <v>--</v>
      </c>
      <c r="I29" s="949"/>
      <c r="J29" s="912" t="str">
        <f t="shared" ca="1" si="12"/>
        <v>--</v>
      </c>
      <c r="K29" s="913"/>
      <c r="L29" s="947" t="str">
        <f t="shared" ca="1" si="13"/>
        <v>--</v>
      </c>
      <c r="M29" s="949"/>
      <c r="N29" s="912" t="str">
        <f t="shared" ca="1" si="14"/>
        <v>--</v>
      </c>
      <c r="O29" s="913"/>
      <c r="P29" s="947" t="str">
        <f t="shared" ca="1" si="15"/>
        <v>--</v>
      </c>
      <c r="Q29" s="2060"/>
      <c r="R29" s="1557"/>
      <c r="S29" s="2060"/>
      <c r="T29" s="43">
        <v>18</v>
      </c>
      <c r="U29" s="43"/>
      <c r="V29" s="2060"/>
      <c r="W29" s="2060"/>
      <c r="X29" s="2060"/>
    </row>
    <row r="30" spans="1:24" s="1499" customFormat="1" ht="13.9">
      <c r="A30" s="1557" t="str">
        <f t="shared" ca="1" si="0"/>
        <v>n</v>
      </c>
      <c r="B30" s="1557"/>
      <c r="C30" s="1502"/>
      <c r="D30" s="920"/>
      <c r="E30" s="949"/>
      <c r="F30" s="1650" t="str">
        <f t="shared" ca="1" si="10"/>
        <v>--</v>
      </c>
      <c r="G30" s="913"/>
      <c r="H30" s="947" t="str">
        <f t="shared" ca="1" si="11"/>
        <v>--</v>
      </c>
      <c r="I30" s="949"/>
      <c r="J30" s="912" t="str">
        <f t="shared" ca="1" si="12"/>
        <v>--</v>
      </c>
      <c r="K30" s="913"/>
      <c r="L30" s="947" t="str">
        <f t="shared" ca="1" si="13"/>
        <v>--</v>
      </c>
      <c r="M30" s="949"/>
      <c r="N30" s="912" t="str">
        <f t="shared" ca="1" si="14"/>
        <v>--</v>
      </c>
      <c r="O30" s="913"/>
      <c r="P30" s="947" t="str">
        <f t="shared" ca="1" si="15"/>
        <v>--</v>
      </c>
      <c r="Q30" s="2060"/>
      <c r="R30" s="1557"/>
      <c r="S30" s="2060"/>
      <c r="T30" s="43">
        <v>19</v>
      </c>
      <c r="U30" s="43"/>
      <c r="V30" s="2060"/>
      <c r="W30" s="2060"/>
      <c r="X30" s="2060"/>
    </row>
    <row r="31" spans="1:24" s="1499" customFormat="1" ht="13.9">
      <c r="A31" s="1557" t="str">
        <f t="shared" ca="1" si="0"/>
        <v>n</v>
      </c>
      <c r="B31" s="1557"/>
      <c r="C31" s="1502"/>
      <c r="D31" s="920"/>
      <c r="E31" s="949"/>
      <c r="F31" s="1650" t="str">
        <f t="shared" ca="1" si="10"/>
        <v>--</v>
      </c>
      <c r="G31" s="913"/>
      <c r="H31" s="947" t="str">
        <f t="shared" ca="1" si="11"/>
        <v>--</v>
      </c>
      <c r="I31" s="949"/>
      <c r="J31" s="912" t="str">
        <f t="shared" ca="1" si="12"/>
        <v>--</v>
      </c>
      <c r="K31" s="913"/>
      <c r="L31" s="947" t="str">
        <f t="shared" ca="1" si="13"/>
        <v>--</v>
      </c>
      <c r="M31" s="949"/>
      <c r="N31" s="912" t="str">
        <f t="shared" ca="1" si="14"/>
        <v>--</v>
      </c>
      <c r="O31" s="913"/>
      <c r="P31" s="947" t="str">
        <f t="shared" ca="1" si="15"/>
        <v>--</v>
      </c>
      <c r="Q31" s="2060"/>
      <c r="R31" s="1557"/>
      <c r="S31" s="2060"/>
      <c r="T31" s="43">
        <v>20</v>
      </c>
      <c r="U31" s="43"/>
      <c r="V31" s="2060"/>
      <c r="W31" s="2060"/>
      <c r="X31" s="2060"/>
    </row>
    <row r="32" spans="1:24" s="1499" customFormat="1" ht="13.9">
      <c r="A32" s="1557" t="str">
        <f t="shared" ca="1" si="0"/>
        <v>n</v>
      </c>
      <c r="B32" s="1557"/>
      <c r="C32" s="1502"/>
      <c r="D32" s="920"/>
      <c r="E32" s="949"/>
      <c r="F32" s="1650" t="str">
        <f t="shared" ca="1" si="10"/>
        <v>--</v>
      </c>
      <c r="G32" s="913"/>
      <c r="H32" s="947" t="str">
        <f t="shared" ca="1" si="11"/>
        <v>--</v>
      </c>
      <c r="I32" s="949"/>
      <c r="J32" s="912" t="str">
        <f t="shared" ca="1" si="12"/>
        <v>--</v>
      </c>
      <c r="K32" s="913"/>
      <c r="L32" s="947" t="str">
        <f t="shared" ca="1" si="13"/>
        <v>--</v>
      </c>
      <c r="M32" s="949"/>
      <c r="N32" s="912" t="str">
        <f t="shared" ca="1" si="14"/>
        <v>--</v>
      </c>
      <c r="O32" s="913"/>
      <c r="P32" s="947" t="str">
        <f t="shared" ca="1" si="15"/>
        <v>--</v>
      </c>
      <c r="Q32" s="2060"/>
      <c r="R32" s="1557"/>
      <c r="S32" s="2060"/>
      <c r="T32" s="43">
        <v>21</v>
      </c>
      <c r="U32" s="43"/>
      <c r="V32" s="2060"/>
      <c r="W32" s="2060"/>
      <c r="X32" s="2060"/>
    </row>
    <row r="33" spans="1:24" s="1499" customFormat="1" ht="13.9">
      <c r="A33" s="1557" t="str">
        <f t="shared" ca="1" si="0"/>
        <v>n</v>
      </c>
      <c r="B33" s="1557"/>
      <c r="C33" s="1502"/>
      <c r="D33" s="920"/>
      <c r="E33" s="949"/>
      <c r="F33" s="1650" t="str">
        <f t="shared" ca="1" si="10"/>
        <v>--</v>
      </c>
      <c r="G33" s="913"/>
      <c r="H33" s="947" t="str">
        <f t="shared" ca="1" si="11"/>
        <v>--</v>
      </c>
      <c r="I33" s="949"/>
      <c r="J33" s="912" t="str">
        <f t="shared" ca="1" si="12"/>
        <v>--</v>
      </c>
      <c r="K33" s="913"/>
      <c r="L33" s="947" t="str">
        <f t="shared" ca="1" si="13"/>
        <v>--</v>
      </c>
      <c r="M33" s="949"/>
      <c r="N33" s="912" t="str">
        <f t="shared" ca="1" si="14"/>
        <v>--</v>
      </c>
      <c r="O33" s="913"/>
      <c r="P33" s="947" t="str">
        <f t="shared" ca="1" si="15"/>
        <v>--</v>
      </c>
      <c r="Q33" s="2060"/>
      <c r="R33" s="1557"/>
      <c r="S33" s="2060"/>
      <c r="T33" s="43">
        <v>22</v>
      </c>
      <c r="U33" s="43"/>
      <c r="V33" s="2060"/>
      <c r="W33" s="2060"/>
      <c r="X33" s="2060"/>
    </row>
    <row r="34" spans="1:24" s="1499" customFormat="1" ht="13.9">
      <c r="A34" s="1557" t="str">
        <f t="shared" ca="1" si="0"/>
        <v>n</v>
      </c>
      <c r="B34" s="1557"/>
      <c r="C34" s="1502"/>
      <c r="D34" s="920"/>
      <c r="E34" s="949"/>
      <c r="F34" s="1650" t="str">
        <f t="shared" ca="1" si="10"/>
        <v>--</v>
      </c>
      <c r="G34" s="913"/>
      <c r="H34" s="947" t="str">
        <f t="shared" ca="1" si="11"/>
        <v>--</v>
      </c>
      <c r="I34" s="949"/>
      <c r="J34" s="912" t="str">
        <f t="shared" ca="1" si="12"/>
        <v>--</v>
      </c>
      <c r="K34" s="913"/>
      <c r="L34" s="947" t="str">
        <f t="shared" ca="1" si="13"/>
        <v>--</v>
      </c>
      <c r="M34" s="949"/>
      <c r="N34" s="912" t="str">
        <f t="shared" ca="1" si="14"/>
        <v>--</v>
      </c>
      <c r="O34" s="913"/>
      <c r="P34" s="947" t="str">
        <f t="shared" ca="1" si="15"/>
        <v>--</v>
      </c>
      <c r="Q34" s="2060"/>
      <c r="R34" s="1557"/>
      <c r="S34" s="2060"/>
      <c r="T34" s="43">
        <v>23</v>
      </c>
      <c r="U34" s="43"/>
      <c r="V34" s="2060"/>
      <c r="W34" s="2060"/>
      <c r="X34" s="2060"/>
    </row>
    <row r="35" spans="1:24" s="1499" customFormat="1" ht="13.9">
      <c r="A35" s="1557" t="str">
        <f t="shared" ca="1" si="0"/>
        <v>n</v>
      </c>
      <c r="B35" s="1557"/>
      <c r="C35" s="1502"/>
      <c r="D35" s="920"/>
      <c r="E35" s="949"/>
      <c r="F35" s="1650" t="str">
        <f t="shared" ca="1" si="10"/>
        <v>--</v>
      </c>
      <c r="G35" s="913"/>
      <c r="H35" s="947" t="str">
        <f t="shared" ca="1" si="11"/>
        <v>--</v>
      </c>
      <c r="I35" s="949"/>
      <c r="J35" s="912" t="str">
        <f t="shared" ca="1" si="12"/>
        <v>--</v>
      </c>
      <c r="K35" s="913"/>
      <c r="L35" s="947" t="str">
        <f t="shared" ca="1" si="13"/>
        <v>--</v>
      </c>
      <c r="M35" s="949"/>
      <c r="N35" s="912" t="str">
        <f t="shared" ca="1" si="14"/>
        <v>--</v>
      </c>
      <c r="O35" s="913"/>
      <c r="P35" s="947" t="str">
        <f t="shared" ca="1" si="15"/>
        <v>--</v>
      </c>
      <c r="Q35" s="2060"/>
      <c r="R35" s="1557"/>
      <c r="S35" s="2060"/>
      <c r="T35" s="43">
        <v>24</v>
      </c>
      <c r="U35" s="43"/>
      <c r="V35" s="2060"/>
      <c r="W35" s="2060"/>
      <c r="X35" s="2060"/>
    </row>
    <row r="36" spans="1:24" s="1499" customFormat="1" ht="13.9">
      <c r="A36" s="1557" t="str">
        <f t="shared" ca="1" si="0"/>
        <v>n</v>
      </c>
      <c r="B36" s="1557"/>
      <c r="C36" s="1502"/>
      <c r="D36" s="920"/>
      <c r="E36" s="949"/>
      <c r="F36" s="1650" t="str">
        <f t="shared" ca="1" si="10"/>
        <v>--</v>
      </c>
      <c r="G36" s="913"/>
      <c r="H36" s="947" t="str">
        <f t="shared" ca="1" si="11"/>
        <v>--</v>
      </c>
      <c r="I36" s="949"/>
      <c r="J36" s="912" t="str">
        <f t="shared" ca="1" si="12"/>
        <v>--</v>
      </c>
      <c r="K36" s="913"/>
      <c r="L36" s="947" t="str">
        <f t="shared" ca="1" si="13"/>
        <v>--</v>
      </c>
      <c r="M36" s="949"/>
      <c r="N36" s="912" t="str">
        <f t="shared" ca="1" si="14"/>
        <v>--</v>
      </c>
      <c r="O36" s="913"/>
      <c r="P36" s="947" t="str">
        <f t="shared" ca="1" si="15"/>
        <v>--</v>
      </c>
      <c r="Q36" s="2060"/>
      <c r="R36" s="1557"/>
      <c r="S36" s="2060"/>
      <c r="T36" s="43">
        <v>25</v>
      </c>
      <c r="U36" s="43"/>
      <c r="V36" s="2060"/>
      <c r="W36" s="2060"/>
      <c r="X36" s="2060"/>
    </row>
    <row r="37" spans="1:24" s="646" customFormat="1" ht="13.9">
      <c r="A37" s="1557" t="str">
        <f t="shared" ca="1" si="0"/>
        <v>n</v>
      </c>
      <c r="B37" s="1557"/>
      <c r="C37" s="1502"/>
      <c r="D37" s="920"/>
      <c r="E37" s="949" t="str">
        <f ca="1">IFERROR(IF(F37=ClientName,"*",""),"")</f>
        <v/>
      </c>
      <c r="F37" s="1650" t="str">
        <f t="shared" ca="1" si="10"/>
        <v>--</v>
      </c>
      <c r="G37" s="913"/>
      <c r="H37" s="947" t="str">
        <f t="shared" ca="1" si="11"/>
        <v>--</v>
      </c>
      <c r="I37" s="949"/>
      <c r="J37" s="912" t="str">
        <f t="shared" ca="1" si="12"/>
        <v>--</v>
      </c>
      <c r="K37" s="913"/>
      <c r="L37" s="947" t="str">
        <f t="shared" ca="1" si="13"/>
        <v>--</v>
      </c>
      <c r="M37" s="949"/>
      <c r="N37" s="912" t="str">
        <f t="shared" ca="1" si="14"/>
        <v>--</v>
      </c>
      <c r="O37" s="913"/>
      <c r="P37" s="947" t="str">
        <f t="shared" ca="1" si="15"/>
        <v>--</v>
      </c>
      <c r="Q37" s="2060"/>
      <c r="R37" s="1557"/>
      <c r="S37" s="2060"/>
      <c r="T37" s="43">
        <v>26</v>
      </c>
      <c r="U37" s="43"/>
      <c r="V37" s="2060"/>
      <c r="W37" s="2060"/>
      <c r="X37" s="2060"/>
    </row>
    <row r="38" spans="1:24" s="646" customFormat="1" ht="13.9">
      <c r="A38" s="1557"/>
      <c r="B38" s="1557"/>
      <c r="C38" s="1502"/>
      <c r="D38" s="920"/>
      <c r="E38" s="920"/>
      <c r="F38" s="1651"/>
      <c r="G38" s="913" t="s">
        <v>1158</v>
      </c>
      <c r="H38" s="948" t="str">
        <f t="array" aca="1" ref="H38" ca="1">IFERROR(MEDIAN(IF(F12:F37&lt;&gt;ClientName,H12:H37)),"n/a")</f>
        <v>n/a</v>
      </c>
      <c r="I38" s="920"/>
      <c r="J38" s="2060"/>
      <c r="K38" s="913" t="s">
        <v>1158</v>
      </c>
      <c r="L38" s="949" t="str">
        <f t="array" aca="1" ref="L38" ca="1">IFERROR(MEDIAN(IF(J12:J37&lt;&gt;ClientName,L12:L37)),"n/a")</f>
        <v>n/a</v>
      </c>
      <c r="M38" s="920"/>
      <c r="N38" s="2060"/>
      <c r="O38" s="913" t="s">
        <v>1158</v>
      </c>
      <c r="P38" s="949" t="str">
        <f t="array" aca="1" ref="P38" ca="1">IFERROR(MEDIAN(IF(N12:N37&lt;&gt;ClientName,P12:P37)),"n/a")</f>
        <v>n/a</v>
      </c>
      <c r="Q38" s="2060"/>
      <c r="R38" s="1557"/>
      <c r="S38" s="2060"/>
      <c r="T38" s="43"/>
      <c r="U38" s="43"/>
      <c r="V38" s="2060"/>
      <c r="W38" s="2060"/>
      <c r="X38" s="2060"/>
    </row>
    <row r="39" spans="1:24" s="646" customFormat="1" ht="13.9">
      <c r="A39" s="1557"/>
      <c r="B39" s="1557"/>
      <c r="C39" s="1502"/>
      <c r="D39" s="2060"/>
      <c r="E39" s="2060"/>
      <c r="F39" s="2060"/>
      <c r="G39" s="914"/>
      <c r="H39" s="915"/>
      <c r="I39" s="2060"/>
      <c r="J39" s="2060"/>
      <c r="K39" s="914"/>
      <c r="L39" s="915"/>
      <c r="M39" s="2060"/>
      <c r="N39" s="2060"/>
      <c r="O39" s="914"/>
      <c r="P39" s="916"/>
      <c r="Q39" s="2060"/>
      <c r="R39" s="1557"/>
      <c r="S39" s="2060"/>
      <c r="T39" s="43"/>
      <c r="U39" s="43"/>
      <c r="V39" s="2060"/>
      <c r="W39" s="2060"/>
      <c r="X39" s="2060"/>
    </row>
    <row r="40" spans="1:24" s="646" customFormat="1" ht="13.9">
      <c r="A40" s="1557"/>
      <c r="B40" s="1557"/>
      <c r="C40" s="1502"/>
      <c r="D40" s="2060"/>
      <c r="E40" s="2060"/>
      <c r="F40" s="2060"/>
      <c r="G40" s="914"/>
      <c r="H40" s="915"/>
      <c r="I40" s="2060"/>
      <c r="J40" s="2060"/>
      <c r="K40" s="914"/>
      <c r="L40" s="917"/>
      <c r="M40" s="2060"/>
      <c r="N40" s="2060"/>
      <c r="O40" s="914"/>
      <c r="P40" s="917"/>
      <c r="Q40" s="2060"/>
      <c r="R40" s="1557"/>
      <c r="S40" s="2060"/>
      <c r="T40" s="43"/>
      <c r="U40" s="43"/>
      <c r="V40" s="2060"/>
      <c r="W40" s="2060"/>
      <c r="X40" s="2060"/>
    </row>
    <row r="41" spans="1:24" s="646" customFormat="1" ht="13.9">
      <c r="A41" s="1557"/>
      <c r="B41" s="1557"/>
      <c r="C41" s="1502"/>
      <c r="D41" s="779"/>
      <c r="E41" s="946">
        <v>1.04</v>
      </c>
      <c r="F41" s="1063" t="s">
        <v>466</v>
      </c>
      <c r="G41" s="1061"/>
      <c r="H41" s="1061"/>
      <c r="I41" s="946">
        <v>1.05</v>
      </c>
      <c r="J41" s="1063" t="s">
        <v>258</v>
      </c>
      <c r="K41" s="1061"/>
      <c r="L41" s="1061"/>
      <c r="M41" s="946">
        <v>1.06</v>
      </c>
      <c r="N41" s="1061" t="s">
        <v>226</v>
      </c>
      <c r="O41" s="1061"/>
      <c r="P41" s="1061"/>
      <c r="Q41" s="2060"/>
      <c r="R41" s="1557"/>
      <c r="S41" s="2060"/>
      <c r="T41" s="43"/>
      <c r="U41" s="43"/>
      <c r="V41" s="2060"/>
      <c r="W41" s="2060"/>
      <c r="X41" s="2060"/>
    </row>
    <row r="42" spans="1:24" s="646" customFormat="1" ht="13.9">
      <c r="A42" s="1557"/>
      <c r="B42" s="1557"/>
      <c r="C42" s="1502"/>
      <c r="D42" s="2060"/>
      <c r="E42" s="921"/>
      <c r="F42" s="909">
        <f>MATCH(F41,'DATA GPC'!$F$1:$F$2263,0)</f>
        <v>1124</v>
      </c>
      <c r="G42" s="910"/>
      <c r="H42" s="911" t="str">
        <f>$K$6</f>
        <v>LTM</v>
      </c>
      <c r="I42" s="921"/>
      <c r="J42" s="909">
        <f>MATCH(J41,'DATA GPC'!$F$1:$F$2263,0)</f>
        <v>1155</v>
      </c>
      <c r="K42" s="910"/>
      <c r="L42" s="911" t="str">
        <f>$K$6</f>
        <v>LTM</v>
      </c>
      <c r="M42" s="921"/>
      <c r="N42" s="909">
        <f>MATCH(N41,'DATA GPC'!$F$1:$F$2263,0)</f>
        <v>1186</v>
      </c>
      <c r="O42" s="910"/>
      <c r="P42" s="911" t="str">
        <f>$K$6</f>
        <v>LTM</v>
      </c>
      <c r="Q42" s="2060"/>
      <c r="R42" s="1557"/>
      <c r="S42" s="2060"/>
      <c r="T42" s="43"/>
      <c r="U42" s="43"/>
      <c r="V42" s="2060"/>
      <c r="W42" s="2060"/>
      <c r="X42" s="2060"/>
    </row>
    <row r="43" spans="1:24" s="646" customFormat="1" ht="13.9">
      <c r="A43" s="1557" t="str">
        <f t="shared" ref="A43:A57" ca="1" si="16">IF(F43="--","n","")</f>
        <v>n</v>
      </c>
      <c r="B43" s="1557"/>
      <c r="C43" s="1502"/>
      <c r="D43" s="2060"/>
      <c r="E43" s="949" t="str">
        <f t="shared" ref="E43:E56" ca="1" si="17">IFERROR(IF(F43=ClientName,"*",""),"")</f>
        <v/>
      </c>
      <c r="F43" s="912" t="str">
        <f t="shared" ref="F43:F57" ca="1" si="18">IFERROR(INDEX(F$165:F$190,MATCH(E165,H$165:H$190,0)),"--")</f>
        <v>--</v>
      </c>
      <c r="G43" s="1555"/>
      <c r="H43" s="935" t="str">
        <f t="shared" ref="H43:H57" ca="1" si="19">IFERROR(INDEX(G$165:G$190,MATCH(E165,H$165:H$190,0)),"--")</f>
        <v>--</v>
      </c>
      <c r="I43" s="453" t="str">
        <f t="shared" ref="I43:I57" ca="1" si="20">IFERROR(IF(J43=ClientName,"*",""),"")</f>
        <v/>
      </c>
      <c r="J43" s="912" t="str">
        <f t="shared" ref="J43:J57" ca="1" si="21">IFERROR(INDEX(J$165:J$190,MATCH(I165,L$165:L$190,0)),"--")</f>
        <v>--</v>
      </c>
      <c r="K43" s="1555"/>
      <c r="L43" s="935" t="str">
        <f t="shared" ref="L43:L57" ca="1" si="22">IFERROR(INDEX(K$165:K$190,MATCH(I165,L$165:L$190,0)),"--")</f>
        <v>--</v>
      </c>
      <c r="M43" s="453" t="str">
        <f t="shared" ref="M43:M57" ca="1" si="23">IFERROR(IF(N43=ClientName,"*",""),"")</f>
        <v/>
      </c>
      <c r="N43" s="912" t="str">
        <f t="shared" ref="N43:N57" ca="1" si="24">IFERROR(INDEX(N$165:N$190,MATCH(M165,P$165:P$190,0)),"--")</f>
        <v>--</v>
      </c>
      <c r="O43" s="1555"/>
      <c r="P43" s="935" t="str">
        <f t="shared" ref="P43:P57" ca="1" si="25">IFERROR(INDEX(O$165:O$190,MATCH(M165,P$165:P$190,0)),"--")</f>
        <v>--</v>
      </c>
      <c r="Q43" s="2060"/>
      <c r="R43" s="1557"/>
      <c r="S43" s="2060"/>
      <c r="T43" s="43">
        <v>1</v>
      </c>
      <c r="U43" s="43"/>
      <c r="V43" s="2060"/>
      <c r="W43" s="2060"/>
      <c r="X43" s="2060"/>
    </row>
    <row r="44" spans="1:24" s="646" customFormat="1" ht="13.9">
      <c r="A44" s="1557" t="str">
        <f t="shared" ca="1" si="16"/>
        <v>n</v>
      </c>
      <c r="B44" s="1557"/>
      <c r="C44" s="1502"/>
      <c r="D44" s="2060"/>
      <c r="E44" s="949" t="str">
        <f t="shared" ca="1" si="17"/>
        <v/>
      </c>
      <c r="F44" s="912" t="str">
        <f t="shared" ca="1" si="18"/>
        <v>--</v>
      </c>
      <c r="G44" s="1555"/>
      <c r="H44" s="935" t="str">
        <f t="shared" ca="1" si="19"/>
        <v>--</v>
      </c>
      <c r="I44" s="453" t="str">
        <f t="shared" ca="1" si="20"/>
        <v/>
      </c>
      <c r="J44" s="912" t="str">
        <f t="shared" ca="1" si="21"/>
        <v>--</v>
      </c>
      <c r="K44" s="1555"/>
      <c r="L44" s="935" t="str">
        <f t="shared" ca="1" si="22"/>
        <v>--</v>
      </c>
      <c r="M44" s="453" t="str">
        <f t="shared" ca="1" si="23"/>
        <v/>
      </c>
      <c r="N44" s="912" t="str">
        <f t="shared" ca="1" si="24"/>
        <v>--</v>
      </c>
      <c r="O44" s="1555"/>
      <c r="P44" s="935" t="str">
        <f t="shared" ca="1" si="25"/>
        <v>--</v>
      </c>
      <c r="Q44" s="2060"/>
      <c r="R44" s="1557"/>
      <c r="S44" s="2060"/>
      <c r="T44" s="43">
        <v>2</v>
      </c>
      <c r="U44" s="43"/>
      <c r="V44" s="2060"/>
      <c r="W44" s="2060"/>
      <c r="X44" s="2060"/>
    </row>
    <row r="45" spans="1:24" s="646" customFormat="1" ht="13.9">
      <c r="A45" s="1557" t="str">
        <f t="shared" ca="1" si="16"/>
        <v>n</v>
      </c>
      <c r="B45" s="1557"/>
      <c r="C45" s="1502"/>
      <c r="D45" s="2060"/>
      <c r="E45" s="949" t="str">
        <f t="shared" ca="1" si="17"/>
        <v/>
      </c>
      <c r="F45" s="912" t="str">
        <f t="shared" ca="1" si="18"/>
        <v>--</v>
      </c>
      <c r="G45" s="1555"/>
      <c r="H45" s="935" t="str">
        <f t="shared" ca="1" si="19"/>
        <v>--</v>
      </c>
      <c r="I45" s="453" t="str">
        <f t="shared" ca="1" si="20"/>
        <v/>
      </c>
      <c r="J45" s="912" t="str">
        <f t="shared" ca="1" si="21"/>
        <v>--</v>
      </c>
      <c r="K45" s="1555"/>
      <c r="L45" s="935" t="str">
        <f t="shared" ca="1" si="22"/>
        <v>--</v>
      </c>
      <c r="M45" s="453" t="str">
        <f t="shared" ca="1" si="23"/>
        <v/>
      </c>
      <c r="N45" s="912" t="str">
        <f t="shared" ca="1" si="24"/>
        <v>--</v>
      </c>
      <c r="O45" s="1555"/>
      <c r="P45" s="935" t="str">
        <f t="shared" ca="1" si="25"/>
        <v>--</v>
      </c>
      <c r="Q45" s="2060"/>
      <c r="R45" s="1557"/>
      <c r="S45" s="2060"/>
      <c r="T45" s="43">
        <v>3</v>
      </c>
      <c r="U45" s="43"/>
      <c r="V45" s="2060"/>
      <c r="W45" s="2060"/>
      <c r="X45" s="2060"/>
    </row>
    <row r="46" spans="1:24" s="646" customFormat="1" ht="13.9">
      <c r="A46" s="1557" t="str">
        <f t="shared" ca="1" si="16"/>
        <v>n</v>
      </c>
      <c r="B46" s="1557"/>
      <c r="C46" s="1502"/>
      <c r="D46" s="2060"/>
      <c r="E46" s="949" t="str">
        <f t="shared" ca="1" si="17"/>
        <v/>
      </c>
      <c r="F46" s="912" t="str">
        <f t="shared" ca="1" si="18"/>
        <v>--</v>
      </c>
      <c r="G46" s="1555"/>
      <c r="H46" s="935" t="str">
        <f t="shared" ca="1" si="19"/>
        <v>--</v>
      </c>
      <c r="I46" s="453" t="str">
        <f t="shared" ca="1" si="20"/>
        <v/>
      </c>
      <c r="J46" s="912" t="str">
        <f t="shared" ca="1" si="21"/>
        <v>--</v>
      </c>
      <c r="K46" s="1555"/>
      <c r="L46" s="935" t="str">
        <f t="shared" ca="1" si="22"/>
        <v>--</v>
      </c>
      <c r="M46" s="453" t="str">
        <f t="shared" ca="1" si="23"/>
        <v/>
      </c>
      <c r="N46" s="912" t="str">
        <f t="shared" ca="1" si="24"/>
        <v>--</v>
      </c>
      <c r="O46" s="1555"/>
      <c r="P46" s="935" t="str">
        <f t="shared" ca="1" si="25"/>
        <v>--</v>
      </c>
      <c r="Q46" s="2060"/>
      <c r="R46" s="1557"/>
      <c r="S46" s="2060"/>
      <c r="T46" s="43">
        <v>4</v>
      </c>
      <c r="U46" s="43"/>
      <c r="V46" s="2060"/>
      <c r="W46" s="2060"/>
      <c r="X46" s="2060"/>
    </row>
    <row r="47" spans="1:24" s="646" customFormat="1" ht="13.9">
      <c r="A47" s="1557" t="str">
        <f t="shared" ca="1" si="16"/>
        <v>n</v>
      </c>
      <c r="B47" s="1557"/>
      <c r="C47" s="1502"/>
      <c r="D47" s="2060"/>
      <c r="E47" s="949" t="str">
        <f t="shared" ca="1" si="17"/>
        <v/>
      </c>
      <c r="F47" s="912" t="str">
        <f t="shared" ca="1" si="18"/>
        <v>--</v>
      </c>
      <c r="G47" s="1555"/>
      <c r="H47" s="935" t="str">
        <f t="shared" ca="1" si="19"/>
        <v>--</v>
      </c>
      <c r="I47" s="453" t="str">
        <f t="shared" ca="1" si="20"/>
        <v/>
      </c>
      <c r="J47" s="912" t="str">
        <f t="shared" ca="1" si="21"/>
        <v>--</v>
      </c>
      <c r="K47" s="1555"/>
      <c r="L47" s="935" t="str">
        <f t="shared" ca="1" si="22"/>
        <v>--</v>
      </c>
      <c r="M47" s="453" t="str">
        <f t="shared" ca="1" si="23"/>
        <v/>
      </c>
      <c r="N47" s="912" t="str">
        <f t="shared" ca="1" si="24"/>
        <v>--</v>
      </c>
      <c r="O47" s="1555"/>
      <c r="P47" s="935" t="str">
        <f t="shared" ca="1" si="25"/>
        <v>--</v>
      </c>
      <c r="Q47" s="2060"/>
      <c r="R47" s="1557"/>
      <c r="S47" s="2060"/>
      <c r="T47" s="43">
        <v>5</v>
      </c>
      <c r="U47" s="43"/>
      <c r="V47" s="2060"/>
      <c r="W47" s="2060"/>
      <c r="X47" s="2060"/>
    </row>
    <row r="48" spans="1:24" s="646" customFormat="1" ht="13.9">
      <c r="A48" s="1557" t="str">
        <f t="shared" ca="1" si="16"/>
        <v>n</v>
      </c>
      <c r="B48" s="1557"/>
      <c r="C48" s="1502"/>
      <c r="D48" s="2060"/>
      <c r="E48" s="949" t="str">
        <f t="shared" ca="1" si="17"/>
        <v/>
      </c>
      <c r="F48" s="912" t="str">
        <f t="shared" ca="1" si="18"/>
        <v>--</v>
      </c>
      <c r="G48" s="1555"/>
      <c r="H48" s="935" t="str">
        <f t="shared" ca="1" si="19"/>
        <v>--</v>
      </c>
      <c r="I48" s="453" t="str">
        <f t="shared" ca="1" si="20"/>
        <v/>
      </c>
      <c r="J48" s="912" t="str">
        <f t="shared" ca="1" si="21"/>
        <v>--</v>
      </c>
      <c r="K48" s="1555"/>
      <c r="L48" s="935" t="str">
        <f t="shared" ca="1" si="22"/>
        <v>--</v>
      </c>
      <c r="M48" s="453" t="str">
        <f t="shared" ca="1" si="23"/>
        <v/>
      </c>
      <c r="N48" s="912" t="str">
        <f t="shared" ca="1" si="24"/>
        <v>--</v>
      </c>
      <c r="O48" s="1555"/>
      <c r="P48" s="935" t="str">
        <f t="shared" ca="1" si="25"/>
        <v>--</v>
      </c>
      <c r="Q48" s="2060"/>
      <c r="R48" s="1557"/>
      <c r="S48" s="2060"/>
      <c r="T48" s="43">
        <v>6</v>
      </c>
      <c r="U48" s="43"/>
      <c r="V48" s="2060"/>
      <c r="W48" s="2060"/>
      <c r="X48" s="2060"/>
    </row>
    <row r="49" spans="1:24" s="646" customFormat="1" ht="13.9">
      <c r="A49" s="1557" t="str">
        <f t="shared" ca="1" si="16"/>
        <v>n</v>
      </c>
      <c r="B49" s="1557"/>
      <c r="C49" s="1502"/>
      <c r="D49" s="2060"/>
      <c r="E49" s="949" t="str">
        <f t="shared" ca="1" si="17"/>
        <v/>
      </c>
      <c r="F49" s="912" t="str">
        <f t="shared" ca="1" si="18"/>
        <v>--</v>
      </c>
      <c r="G49" s="1555"/>
      <c r="H49" s="935" t="str">
        <f t="shared" ca="1" si="19"/>
        <v>--</v>
      </c>
      <c r="I49" s="453" t="str">
        <f t="shared" ca="1" si="20"/>
        <v/>
      </c>
      <c r="J49" s="912" t="str">
        <f t="shared" ca="1" si="21"/>
        <v>--</v>
      </c>
      <c r="K49" s="1555"/>
      <c r="L49" s="935" t="str">
        <f t="shared" ca="1" si="22"/>
        <v>--</v>
      </c>
      <c r="M49" s="453" t="str">
        <f t="shared" ca="1" si="23"/>
        <v/>
      </c>
      <c r="N49" s="912" t="str">
        <f t="shared" ca="1" si="24"/>
        <v>--</v>
      </c>
      <c r="O49" s="1555"/>
      <c r="P49" s="935" t="str">
        <f t="shared" ca="1" si="25"/>
        <v>--</v>
      </c>
      <c r="Q49" s="2060"/>
      <c r="R49" s="1557"/>
      <c r="S49" s="2060"/>
      <c r="T49" s="43">
        <v>7</v>
      </c>
      <c r="U49" s="43"/>
      <c r="V49" s="2060"/>
      <c r="W49" s="2060"/>
      <c r="X49" s="2060"/>
    </row>
    <row r="50" spans="1:24" s="646" customFormat="1" ht="13.9">
      <c r="A50" s="1557" t="str">
        <f t="shared" ca="1" si="16"/>
        <v>n</v>
      </c>
      <c r="B50" s="1557"/>
      <c r="C50" s="1502"/>
      <c r="D50" s="2060"/>
      <c r="E50" s="949" t="str">
        <f t="shared" ca="1" si="17"/>
        <v/>
      </c>
      <c r="F50" s="912" t="str">
        <f t="shared" ca="1" si="18"/>
        <v>--</v>
      </c>
      <c r="G50" s="1555"/>
      <c r="H50" s="935" t="str">
        <f t="shared" ca="1" si="19"/>
        <v>--</v>
      </c>
      <c r="I50" s="453" t="str">
        <f t="shared" ca="1" si="20"/>
        <v/>
      </c>
      <c r="J50" s="912" t="str">
        <f t="shared" ca="1" si="21"/>
        <v>--</v>
      </c>
      <c r="K50" s="1555"/>
      <c r="L50" s="935" t="str">
        <f t="shared" ca="1" si="22"/>
        <v>--</v>
      </c>
      <c r="M50" s="453" t="str">
        <f t="shared" ca="1" si="23"/>
        <v/>
      </c>
      <c r="N50" s="912" t="str">
        <f t="shared" ca="1" si="24"/>
        <v>--</v>
      </c>
      <c r="O50" s="1555"/>
      <c r="P50" s="935" t="str">
        <f t="shared" ca="1" si="25"/>
        <v>--</v>
      </c>
      <c r="Q50" s="2060"/>
      <c r="R50" s="1557"/>
      <c r="S50" s="2060"/>
      <c r="T50" s="43">
        <v>8</v>
      </c>
      <c r="U50" s="43"/>
      <c r="V50" s="2060"/>
      <c r="W50" s="2060"/>
      <c r="X50" s="2060"/>
    </row>
    <row r="51" spans="1:24" s="646" customFormat="1" ht="13.9">
      <c r="A51" s="1557" t="str">
        <f t="shared" ca="1" si="16"/>
        <v>n</v>
      </c>
      <c r="B51" s="1557"/>
      <c r="C51" s="1502"/>
      <c r="D51" s="2060"/>
      <c r="E51" s="949" t="str">
        <f t="shared" ca="1" si="17"/>
        <v/>
      </c>
      <c r="F51" s="912" t="str">
        <f t="shared" ca="1" si="18"/>
        <v>--</v>
      </c>
      <c r="G51" s="1555"/>
      <c r="H51" s="935" t="str">
        <f t="shared" ca="1" si="19"/>
        <v>--</v>
      </c>
      <c r="I51" s="453" t="str">
        <f t="shared" ca="1" si="20"/>
        <v/>
      </c>
      <c r="J51" s="912" t="str">
        <f t="shared" ca="1" si="21"/>
        <v>--</v>
      </c>
      <c r="K51" s="1555"/>
      <c r="L51" s="935" t="str">
        <f t="shared" ca="1" si="22"/>
        <v>--</v>
      </c>
      <c r="M51" s="453" t="str">
        <f t="shared" ca="1" si="23"/>
        <v/>
      </c>
      <c r="N51" s="912" t="str">
        <f t="shared" ca="1" si="24"/>
        <v>--</v>
      </c>
      <c r="O51" s="1555"/>
      <c r="P51" s="935" t="str">
        <f t="shared" ca="1" si="25"/>
        <v>--</v>
      </c>
      <c r="Q51" s="2060"/>
      <c r="R51" s="1557"/>
      <c r="S51" s="2060"/>
      <c r="T51" s="43">
        <v>9</v>
      </c>
      <c r="U51" s="43"/>
      <c r="V51" s="2060"/>
      <c r="W51" s="2060"/>
      <c r="X51" s="2060"/>
    </row>
    <row r="52" spans="1:24" s="646" customFormat="1" ht="13.9">
      <c r="A52" s="1557" t="str">
        <f t="shared" ca="1" si="16"/>
        <v>n</v>
      </c>
      <c r="B52" s="1557"/>
      <c r="C52" s="1502"/>
      <c r="D52" s="2060"/>
      <c r="E52" s="949" t="str">
        <f t="shared" ca="1" si="17"/>
        <v/>
      </c>
      <c r="F52" s="912" t="str">
        <f t="shared" ca="1" si="18"/>
        <v>--</v>
      </c>
      <c r="G52" s="912"/>
      <c r="H52" s="935" t="str">
        <f t="shared" ca="1" si="19"/>
        <v>--</v>
      </c>
      <c r="I52" s="453" t="str">
        <f t="shared" ca="1" si="20"/>
        <v/>
      </c>
      <c r="J52" s="912" t="str">
        <f t="shared" ca="1" si="21"/>
        <v>--</v>
      </c>
      <c r="K52" s="912"/>
      <c r="L52" s="935" t="str">
        <f t="shared" ca="1" si="22"/>
        <v>--</v>
      </c>
      <c r="M52" s="453" t="str">
        <f t="shared" ca="1" si="23"/>
        <v/>
      </c>
      <c r="N52" s="912" t="str">
        <f t="shared" ca="1" si="24"/>
        <v>--</v>
      </c>
      <c r="O52" s="912"/>
      <c r="P52" s="935" t="str">
        <f t="shared" ca="1" si="25"/>
        <v>--</v>
      </c>
      <c r="Q52" s="2060"/>
      <c r="R52" s="1557"/>
      <c r="S52" s="2060"/>
      <c r="T52" s="43">
        <v>10</v>
      </c>
      <c r="U52" s="43"/>
      <c r="V52" s="2060"/>
      <c r="W52" s="2060"/>
      <c r="X52" s="2060"/>
    </row>
    <row r="53" spans="1:24" s="646" customFormat="1" ht="13.9">
      <c r="A53" s="1557" t="str">
        <f t="shared" ca="1" si="16"/>
        <v>n</v>
      </c>
      <c r="B53" s="1557"/>
      <c r="C53" s="1502"/>
      <c r="D53" s="2060"/>
      <c r="E53" s="949" t="str">
        <f t="shared" ca="1" si="17"/>
        <v/>
      </c>
      <c r="F53" s="912" t="str">
        <f t="shared" ca="1" si="18"/>
        <v>--</v>
      </c>
      <c r="G53" s="1555"/>
      <c r="H53" s="935" t="str">
        <f t="shared" ca="1" si="19"/>
        <v>--</v>
      </c>
      <c r="I53" s="453" t="str">
        <f t="shared" ca="1" si="20"/>
        <v/>
      </c>
      <c r="J53" s="912" t="str">
        <f t="shared" ca="1" si="21"/>
        <v>--</v>
      </c>
      <c r="K53" s="1555"/>
      <c r="L53" s="935" t="str">
        <f t="shared" ca="1" si="22"/>
        <v>--</v>
      </c>
      <c r="M53" s="453" t="str">
        <f t="shared" ca="1" si="23"/>
        <v/>
      </c>
      <c r="N53" s="912" t="str">
        <f t="shared" ca="1" si="24"/>
        <v>--</v>
      </c>
      <c r="O53" s="1555"/>
      <c r="P53" s="935" t="str">
        <f t="shared" ca="1" si="25"/>
        <v>--</v>
      </c>
      <c r="Q53" s="2060"/>
      <c r="R53" s="1557"/>
      <c r="S53" s="2060"/>
      <c r="T53" s="43">
        <v>11</v>
      </c>
      <c r="U53" s="43"/>
      <c r="V53" s="2060"/>
      <c r="W53" s="2060"/>
      <c r="X53" s="2060"/>
    </row>
    <row r="54" spans="1:24" s="646" customFormat="1" ht="13.9">
      <c r="A54" s="1557" t="str">
        <f t="shared" ca="1" si="16"/>
        <v>n</v>
      </c>
      <c r="B54" s="1557"/>
      <c r="C54" s="1502"/>
      <c r="D54" s="2060"/>
      <c r="E54" s="949" t="str">
        <f t="shared" ca="1" si="17"/>
        <v/>
      </c>
      <c r="F54" s="912" t="str">
        <f t="shared" ca="1" si="18"/>
        <v>--</v>
      </c>
      <c r="G54" s="913"/>
      <c r="H54" s="935" t="str">
        <f t="shared" ca="1" si="19"/>
        <v>--</v>
      </c>
      <c r="I54" s="453" t="str">
        <f t="shared" ca="1" si="20"/>
        <v/>
      </c>
      <c r="J54" s="912" t="str">
        <f t="shared" ca="1" si="21"/>
        <v>--</v>
      </c>
      <c r="K54" s="913"/>
      <c r="L54" s="935" t="str">
        <f t="shared" ca="1" si="22"/>
        <v>--</v>
      </c>
      <c r="M54" s="453" t="str">
        <f t="shared" ca="1" si="23"/>
        <v/>
      </c>
      <c r="N54" s="912" t="str">
        <f t="shared" ca="1" si="24"/>
        <v>--</v>
      </c>
      <c r="O54" s="913"/>
      <c r="P54" s="935" t="str">
        <f t="shared" ca="1" si="25"/>
        <v>--</v>
      </c>
      <c r="Q54" s="2060"/>
      <c r="R54" s="1557"/>
      <c r="S54" s="2060"/>
      <c r="T54" s="43">
        <v>12</v>
      </c>
      <c r="U54" s="43"/>
      <c r="V54" s="2060"/>
      <c r="W54" s="2060"/>
      <c r="X54" s="2060"/>
    </row>
    <row r="55" spans="1:24" s="646" customFormat="1" ht="13.9">
      <c r="A55" s="1557" t="str">
        <f t="shared" ca="1" si="16"/>
        <v>n</v>
      </c>
      <c r="B55" s="1557"/>
      <c r="C55" s="1502"/>
      <c r="D55" s="2060"/>
      <c r="E55" s="949" t="str">
        <f t="shared" ca="1" si="17"/>
        <v/>
      </c>
      <c r="F55" s="912" t="str">
        <f t="shared" ca="1" si="18"/>
        <v>--</v>
      </c>
      <c r="G55" s="913"/>
      <c r="H55" s="935" t="str">
        <f t="shared" ca="1" si="19"/>
        <v>--</v>
      </c>
      <c r="I55" s="453" t="str">
        <f t="shared" ca="1" si="20"/>
        <v/>
      </c>
      <c r="J55" s="912" t="str">
        <f t="shared" ca="1" si="21"/>
        <v>--</v>
      </c>
      <c r="K55" s="913"/>
      <c r="L55" s="935" t="str">
        <f t="shared" ca="1" si="22"/>
        <v>--</v>
      </c>
      <c r="M55" s="453" t="str">
        <f t="shared" ca="1" si="23"/>
        <v/>
      </c>
      <c r="N55" s="912" t="str">
        <f t="shared" ca="1" si="24"/>
        <v>--</v>
      </c>
      <c r="O55" s="913"/>
      <c r="P55" s="935" t="str">
        <f t="shared" ca="1" si="25"/>
        <v>--</v>
      </c>
      <c r="Q55" s="2060"/>
      <c r="R55" s="1557"/>
      <c r="S55" s="2060"/>
      <c r="T55" s="43">
        <v>13</v>
      </c>
      <c r="U55" s="43"/>
      <c r="V55" s="2060"/>
      <c r="W55" s="2060"/>
      <c r="X55" s="2060"/>
    </row>
    <row r="56" spans="1:24" s="646" customFormat="1" ht="13.9">
      <c r="A56" s="1557" t="str">
        <f t="shared" ca="1" si="16"/>
        <v>n</v>
      </c>
      <c r="B56" s="1557"/>
      <c r="C56" s="1502"/>
      <c r="D56" s="2060"/>
      <c r="E56" s="949" t="str">
        <f t="shared" ca="1" si="17"/>
        <v/>
      </c>
      <c r="F56" s="912" t="str">
        <f t="shared" ca="1" si="18"/>
        <v>--</v>
      </c>
      <c r="G56" s="913"/>
      <c r="H56" s="935" t="str">
        <f t="shared" ca="1" si="19"/>
        <v>--</v>
      </c>
      <c r="I56" s="453" t="str">
        <f t="shared" ca="1" si="20"/>
        <v/>
      </c>
      <c r="J56" s="912" t="str">
        <f t="shared" ca="1" si="21"/>
        <v>--</v>
      </c>
      <c r="K56" s="913"/>
      <c r="L56" s="935" t="str">
        <f t="shared" ca="1" si="22"/>
        <v>--</v>
      </c>
      <c r="M56" s="453" t="str">
        <f t="shared" ca="1" si="23"/>
        <v/>
      </c>
      <c r="N56" s="912" t="str">
        <f t="shared" ca="1" si="24"/>
        <v>--</v>
      </c>
      <c r="O56" s="913"/>
      <c r="P56" s="935" t="str">
        <f t="shared" ca="1" si="25"/>
        <v>--</v>
      </c>
      <c r="Q56" s="2060"/>
      <c r="R56" s="1557"/>
      <c r="S56" s="2060"/>
      <c r="T56" s="43">
        <v>14</v>
      </c>
      <c r="U56" s="43"/>
      <c r="V56" s="2060"/>
      <c r="W56" s="2060"/>
      <c r="X56" s="2060"/>
    </row>
    <row r="57" spans="1:24" s="646" customFormat="1" ht="13.9">
      <c r="A57" s="1557" t="str">
        <f t="shared" ca="1" si="16"/>
        <v>n</v>
      </c>
      <c r="B57" s="1557"/>
      <c r="C57" s="1502"/>
      <c r="D57" s="2060"/>
      <c r="E57" s="949"/>
      <c r="F57" s="912" t="str">
        <f t="shared" ca="1" si="18"/>
        <v>--</v>
      </c>
      <c r="G57" s="913"/>
      <c r="H57" s="935" t="str">
        <f t="shared" ca="1" si="19"/>
        <v>--</v>
      </c>
      <c r="I57" s="453" t="str">
        <f t="shared" ca="1" si="20"/>
        <v/>
      </c>
      <c r="J57" s="912" t="str">
        <f t="shared" ca="1" si="21"/>
        <v>--</v>
      </c>
      <c r="K57" s="913"/>
      <c r="L57" s="935" t="str">
        <f t="shared" ca="1" si="22"/>
        <v>--</v>
      </c>
      <c r="M57" s="453" t="str">
        <f t="shared" ca="1" si="23"/>
        <v/>
      </c>
      <c r="N57" s="912" t="str">
        <f t="shared" ca="1" si="24"/>
        <v>--</v>
      </c>
      <c r="O57" s="913"/>
      <c r="P57" s="935" t="str">
        <f t="shared" ca="1" si="25"/>
        <v>--</v>
      </c>
      <c r="Q57" s="2060"/>
      <c r="R57" s="1557"/>
      <c r="S57" s="2060"/>
      <c r="T57" s="43">
        <v>15</v>
      </c>
      <c r="U57" s="43"/>
      <c r="V57" s="2060"/>
      <c r="W57" s="2060"/>
      <c r="X57" s="2060"/>
    </row>
    <row r="58" spans="1:24" s="1499" customFormat="1" ht="13.9">
      <c r="A58" s="1557" t="str">
        <f t="shared" ref="A58:A68" ca="1" si="26">IF(F58="--","n","")</f>
        <v>n</v>
      </c>
      <c r="B58" s="1557"/>
      <c r="C58" s="1502"/>
      <c r="D58" s="2060"/>
      <c r="E58" s="949"/>
      <c r="F58" s="912" t="str">
        <f t="shared" ref="F58:F68" ca="1" si="27">IFERROR(INDEX(F$165:F$190,MATCH(E180,H$165:H$190,0)),"--")</f>
        <v>--</v>
      </c>
      <c r="G58" s="913"/>
      <c r="H58" s="935" t="str">
        <f t="shared" ref="H58:H68" ca="1" si="28">IFERROR(INDEX(G$165:G$190,MATCH(E180,H$165:H$190,0)),"--")</f>
        <v>--</v>
      </c>
      <c r="I58" s="453" t="str">
        <f t="shared" ref="I58:I68" ca="1" si="29">IFERROR(IF(J58=ClientName,"*",""),"")</f>
        <v/>
      </c>
      <c r="J58" s="912" t="str">
        <f t="shared" ref="J58:J68" ca="1" si="30">IFERROR(INDEX(J$165:J$190,MATCH(I180,L$165:L$190,0)),"--")</f>
        <v>--</v>
      </c>
      <c r="K58" s="913"/>
      <c r="L58" s="935" t="str">
        <f t="shared" ref="L58:L68" ca="1" si="31">IFERROR(INDEX(K$165:K$190,MATCH(I180,L$165:L$190,0)),"--")</f>
        <v>--</v>
      </c>
      <c r="M58" s="453" t="str">
        <f t="shared" ref="M58:M68" ca="1" si="32">IFERROR(IF(N58=ClientName,"*",""),"")</f>
        <v/>
      </c>
      <c r="N58" s="912" t="str">
        <f t="shared" ref="N58:N68" ca="1" si="33">IFERROR(INDEX(N$165:N$190,MATCH(M180,P$165:P$190,0)),"--")</f>
        <v>--</v>
      </c>
      <c r="O58" s="913"/>
      <c r="P58" s="935" t="str">
        <f t="shared" ref="P58:P68" ca="1" si="34">IFERROR(INDEX(O$165:O$190,MATCH(M180,P$165:P$190,0)),"--")</f>
        <v>--</v>
      </c>
      <c r="Q58" s="2060"/>
      <c r="R58" s="1557"/>
      <c r="S58" s="2060"/>
      <c r="T58" s="43">
        <v>16</v>
      </c>
      <c r="U58" s="43"/>
      <c r="V58" s="2060"/>
      <c r="W58" s="2060"/>
      <c r="X58" s="2060"/>
    </row>
    <row r="59" spans="1:24" s="1499" customFormat="1" ht="13.9">
      <c r="A59" s="1557" t="str">
        <f t="shared" ca="1" si="26"/>
        <v>n</v>
      </c>
      <c r="B59" s="1557"/>
      <c r="C59" s="1502"/>
      <c r="D59" s="2060"/>
      <c r="E59" s="949"/>
      <c r="F59" s="912" t="str">
        <f t="shared" ca="1" si="27"/>
        <v>--</v>
      </c>
      <c r="G59" s="913"/>
      <c r="H59" s="935" t="str">
        <f t="shared" ca="1" si="28"/>
        <v>--</v>
      </c>
      <c r="I59" s="453" t="str">
        <f t="shared" ca="1" si="29"/>
        <v/>
      </c>
      <c r="J59" s="912" t="str">
        <f t="shared" ca="1" si="30"/>
        <v>--</v>
      </c>
      <c r="K59" s="913"/>
      <c r="L59" s="935" t="str">
        <f t="shared" ca="1" si="31"/>
        <v>--</v>
      </c>
      <c r="M59" s="453" t="str">
        <f t="shared" ca="1" si="32"/>
        <v/>
      </c>
      <c r="N59" s="912" t="str">
        <f t="shared" ca="1" si="33"/>
        <v>--</v>
      </c>
      <c r="O59" s="913"/>
      <c r="P59" s="935" t="str">
        <f t="shared" ca="1" si="34"/>
        <v>--</v>
      </c>
      <c r="Q59" s="2060"/>
      <c r="R59" s="1557"/>
      <c r="S59" s="2060"/>
      <c r="T59" s="43">
        <v>17</v>
      </c>
      <c r="U59" s="43"/>
      <c r="V59" s="2060"/>
      <c r="W59" s="2060"/>
      <c r="X59" s="2060"/>
    </row>
    <row r="60" spans="1:24" s="1499" customFormat="1" ht="13.9">
      <c r="A60" s="1557" t="str">
        <f t="shared" ca="1" si="26"/>
        <v>n</v>
      </c>
      <c r="B60" s="1557"/>
      <c r="C60" s="1502"/>
      <c r="D60" s="2060"/>
      <c r="E60" s="949"/>
      <c r="F60" s="912" t="str">
        <f t="shared" ca="1" si="27"/>
        <v>--</v>
      </c>
      <c r="G60" s="913"/>
      <c r="H60" s="935" t="str">
        <f t="shared" ca="1" si="28"/>
        <v>--</v>
      </c>
      <c r="I60" s="453" t="str">
        <f t="shared" ca="1" si="29"/>
        <v/>
      </c>
      <c r="J60" s="912" t="str">
        <f t="shared" ca="1" si="30"/>
        <v>--</v>
      </c>
      <c r="K60" s="913"/>
      <c r="L60" s="935" t="str">
        <f t="shared" ca="1" si="31"/>
        <v>--</v>
      </c>
      <c r="M60" s="453" t="str">
        <f t="shared" ca="1" si="32"/>
        <v/>
      </c>
      <c r="N60" s="912" t="str">
        <f t="shared" ca="1" si="33"/>
        <v>--</v>
      </c>
      <c r="O60" s="913"/>
      <c r="P60" s="935" t="str">
        <f t="shared" ca="1" si="34"/>
        <v>--</v>
      </c>
      <c r="Q60" s="2060"/>
      <c r="R60" s="1557"/>
      <c r="S60" s="2060"/>
      <c r="T60" s="43">
        <v>18</v>
      </c>
      <c r="U60" s="43"/>
      <c r="V60" s="2060"/>
      <c r="W60" s="2060"/>
      <c r="X60" s="2060"/>
    </row>
    <row r="61" spans="1:24" s="1499" customFormat="1" ht="13.9">
      <c r="A61" s="1557" t="str">
        <f t="shared" ca="1" si="26"/>
        <v>n</v>
      </c>
      <c r="B61" s="1557"/>
      <c r="C61" s="1502"/>
      <c r="D61" s="2060"/>
      <c r="E61" s="949"/>
      <c r="F61" s="912" t="str">
        <f t="shared" ca="1" si="27"/>
        <v>--</v>
      </c>
      <c r="G61" s="913"/>
      <c r="H61" s="935" t="str">
        <f t="shared" ca="1" si="28"/>
        <v>--</v>
      </c>
      <c r="I61" s="453" t="str">
        <f t="shared" ca="1" si="29"/>
        <v/>
      </c>
      <c r="J61" s="912" t="str">
        <f t="shared" ca="1" si="30"/>
        <v>--</v>
      </c>
      <c r="K61" s="913"/>
      <c r="L61" s="935" t="str">
        <f t="shared" ca="1" si="31"/>
        <v>--</v>
      </c>
      <c r="M61" s="453" t="str">
        <f t="shared" ca="1" si="32"/>
        <v/>
      </c>
      <c r="N61" s="912" t="str">
        <f t="shared" ca="1" si="33"/>
        <v>--</v>
      </c>
      <c r="O61" s="913"/>
      <c r="P61" s="935" t="str">
        <f t="shared" ca="1" si="34"/>
        <v>--</v>
      </c>
      <c r="Q61" s="2060"/>
      <c r="R61" s="1557"/>
      <c r="S61" s="2060"/>
      <c r="T61" s="43">
        <v>19</v>
      </c>
      <c r="U61" s="43"/>
      <c r="V61" s="2060"/>
      <c r="W61" s="2060"/>
      <c r="X61" s="2060"/>
    </row>
    <row r="62" spans="1:24" s="1499" customFormat="1" ht="13.9">
      <c r="A62" s="1557" t="str">
        <f t="shared" ca="1" si="26"/>
        <v>n</v>
      </c>
      <c r="B62" s="1557"/>
      <c r="C62" s="1502"/>
      <c r="D62" s="2060"/>
      <c r="E62" s="949"/>
      <c r="F62" s="912" t="str">
        <f t="shared" ca="1" si="27"/>
        <v>--</v>
      </c>
      <c r="G62" s="913"/>
      <c r="H62" s="935" t="str">
        <f t="shared" ca="1" si="28"/>
        <v>--</v>
      </c>
      <c r="I62" s="453" t="str">
        <f t="shared" ca="1" si="29"/>
        <v/>
      </c>
      <c r="J62" s="912" t="str">
        <f t="shared" ca="1" si="30"/>
        <v>--</v>
      </c>
      <c r="K62" s="913"/>
      <c r="L62" s="935" t="str">
        <f t="shared" ca="1" si="31"/>
        <v>--</v>
      </c>
      <c r="M62" s="453" t="str">
        <f t="shared" ca="1" si="32"/>
        <v/>
      </c>
      <c r="N62" s="912" t="str">
        <f t="shared" ca="1" si="33"/>
        <v>--</v>
      </c>
      <c r="O62" s="913"/>
      <c r="P62" s="935" t="str">
        <f t="shared" ca="1" si="34"/>
        <v>--</v>
      </c>
      <c r="Q62" s="2060"/>
      <c r="R62" s="1557"/>
      <c r="S62" s="2060"/>
      <c r="T62" s="43">
        <v>20</v>
      </c>
      <c r="U62" s="43"/>
      <c r="V62" s="2060"/>
      <c r="W62" s="2060"/>
      <c r="X62" s="2060"/>
    </row>
    <row r="63" spans="1:24" s="1499" customFormat="1" ht="13.9">
      <c r="A63" s="1557" t="str">
        <f t="shared" ca="1" si="26"/>
        <v>n</v>
      </c>
      <c r="B63" s="1557"/>
      <c r="C63" s="1502"/>
      <c r="D63" s="2060"/>
      <c r="E63" s="949"/>
      <c r="F63" s="912" t="str">
        <f t="shared" ca="1" si="27"/>
        <v>--</v>
      </c>
      <c r="G63" s="913"/>
      <c r="H63" s="935" t="str">
        <f t="shared" ca="1" si="28"/>
        <v>--</v>
      </c>
      <c r="I63" s="453" t="str">
        <f t="shared" ca="1" si="29"/>
        <v/>
      </c>
      <c r="J63" s="912" t="str">
        <f t="shared" ca="1" si="30"/>
        <v>--</v>
      </c>
      <c r="K63" s="913"/>
      <c r="L63" s="935" t="str">
        <f t="shared" ca="1" si="31"/>
        <v>--</v>
      </c>
      <c r="M63" s="453" t="str">
        <f t="shared" ca="1" si="32"/>
        <v/>
      </c>
      <c r="N63" s="912" t="str">
        <f t="shared" ca="1" si="33"/>
        <v>--</v>
      </c>
      <c r="O63" s="913"/>
      <c r="P63" s="935" t="str">
        <f t="shared" ca="1" si="34"/>
        <v>--</v>
      </c>
      <c r="Q63" s="2060"/>
      <c r="R63" s="1557"/>
      <c r="S63" s="2060"/>
      <c r="T63" s="43">
        <v>21</v>
      </c>
      <c r="U63" s="43"/>
      <c r="V63" s="2060"/>
      <c r="W63" s="2060"/>
      <c r="X63" s="2060"/>
    </row>
    <row r="64" spans="1:24" s="1499" customFormat="1" ht="13.9">
      <c r="A64" s="1557" t="str">
        <f t="shared" ca="1" si="26"/>
        <v>n</v>
      </c>
      <c r="B64" s="1557"/>
      <c r="C64" s="1502"/>
      <c r="D64" s="2060"/>
      <c r="E64" s="949"/>
      <c r="F64" s="912" t="str">
        <f t="shared" ca="1" si="27"/>
        <v>--</v>
      </c>
      <c r="G64" s="913"/>
      <c r="H64" s="935" t="str">
        <f t="shared" ca="1" si="28"/>
        <v>--</v>
      </c>
      <c r="I64" s="453" t="str">
        <f t="shared" ca="1" si="29"/>
        <v/>
      </c>
      <c r="J64" s="912" t="str">
        <f t="shared" ca="1" si="30"/>
        <v>--</v>
      </c>
      <c r="K64" s="913"/>
      <c r="L64" s="935" t="str">
        <f t="shared" ca="1" si="31"/>
        <v>--</v>
      </c>
      <c r="M64" s="453" t="str">
        <f t="shared" ca="1" si="32"/>
        <v/>
      </c>
      <c r="N64" s="912" t="str">
        <f t="shared" ca="1" si="33"/>
        <v>--</v>
      </c>
      <c r="O64" s="913"/>
      <c r="P64" s="935" t="str">
        <f t="shared" ca="1" si="34"/>
        <v>--</v>
      </c>
      <c r="Q64" s="2060"/>
      <c r="R64" s="1557"/>
      <c r="S64" s="2060"/>
      <c r="T64" s="43">
        <v>22</v>
      </c>
      <c r="U64" s="43"/>
      <c r="V64" s="2060"/>
      <c r="W64" s="2060"/>
      <c r="X64" s="2060"/>
    </row>
    <row r="65" spans="1:24" s="1499" customFormat="1" ht="13.9">
      <c r="A65" s="1557" t="str">
        <f t="shared" ca="1" si="26"/>
        <v>n</v>
      </c>
      <c r="B65" s="1557"/>
      <c r="C65" s="1502"/>
      <c r="D65" s="2060"/>
      <c r="E65" s="949"/>
      <c r="F65" s="912" t="str">
        <f t="shared" ca="1" si="27"/>
        <v>--</v>
      </c>
      <c r="G65" s="913"/>
      <c r="H65" s="935" t="str">
        <f t="shared" ca="1" si="28"/>
        <v>--</v>
      </c>
      <c r="I65" s="453" t="str">
        <f t="shared" ca="1" si="29"/>
        <v/>
      </c>
      <c r="J65" s="912" t="str">
        <f t="shared" ca="1" si="30"/>
        <v>--</v>
      </c>
      <c r="K65" s="913"/>
      <c r="L65" s="935" t="str">
        <f t="shared" ca="1" si="31"/>
        <v>--</v>
      </c>
      <c r="M65" s="453" t="str">
        <f t="shared" ca="1" si="32"/>
        <v/>
      </c>
      <c r="N65" s="912" t="str">
        <f t="shared" ca="1" si="33"/>
        <v>--</v>
      </c>
      <c r="O65" s="913"/>
      <c r="P65" s="935" t="str">
        <f t="shared" ca="1" si="34"/>
        <v>--</v>
      </c>
      <c r="Q65" s="2060"/>
      <c r="R65" s="1557"/>
      <c r="S65" s="2060"/>
      <c r="T65" s="43">
        <v>23</v>
      </c>
      <c r="U65" s="43"/>
      <c r="V65" s="2060"/>
      <c r="W65" s="2060"/>
      <c r="X65" s="2060"/>
    </row>
    <row r="66" spans="1:24" s="1499" customFormat="1" ht="13.9">
      <c r="A66" s="1557" t="str">
        <f t="shared" ca="1" si="26"/>
        <v>n</v>
      </c>
      <c r="B66" s="1557"/>
      <c r="C66" s="1502"/>
      <c r="D66" s="2060"/>
      <c r="E66" s="949"/>
      <c r="F66" s="912" t="str">
        <f t="shared" ca="1" si="27"/>
        <v>--</v>
      </c>
      <c r="G66" s="913"/>
      <c r="H66" s="935" t="str">
        <f t="shared" ca="1" si="28"/>
        <v>--</v>
      </c>
      <c r="I66" s="453" t="str">
        <f t="shared" ca="1" si="29"/>
        <v/>
      </c>
      <c r="J66" s="912" t="str">
        <f t="shared" ca="1" si="30"/>
        <v>--</v>
      </c>
      <c r="K66" s="913"/>
      <c r="L66" s="935" t="str">
        <f t="shared" ca="1" si="31"/>
        <v>--</v>
      </c>
      <c r="M66" s="453" t="str">
        <f t="shared" ca="1" si="32"/>
        <v/>
      </c>
      <c r="N66" s="912" t="str">
        <f t="shared" ca="1" si="33"/>
        <v>--</v>
      </c>
      <c r="O66" s="913"/>
      <c r="P66" s="935" t="str">
        <f t="shared" ca="1" si="34"/>
        <v>--</v>
      </c>
      <c r="Q66" s="2060"/>
      <c r="R66" s="1557"/>
      <c r="S66" s="2060"/>
      <c r="T66" s="43">
        <v>24</v>
      </c>
      <c r="U66" s="43"/>
      <c r="V66" s="2060"/>
      <c r="W66" s="2060"/>
      <c r="X66" s="2060"/>
    </row>
    <row r="67" spans="1:24" s="1499" customFormat="1" ht="13.9">
      <c r="A67" s="1557" t="str">
        <f t="shared" ca="1" si="26"/>
        <v>n</v>
      </c>
      <c r="B67" s="1557"/>
      <c r="C67" s="1502"/>
      <c r="D67" s="2060"/>
      <c r="E67" s="949"/>
      <c r="F67" s="912" t="str">
        <f t="shared" ca="1" si="27"/>
        <v>--</v>
      </c>
      <c r="G67" s="913"/>
      <c r="H67" s="935" t="str">
        <f t="shared" ca="1" si="28"/>
        <v>--</v>
      </c>
      <c r="I67" s="453" t="str">
        <f t="shared" ca="1" si="29"/>
        <v/>
      </c>
      <c r="J67" s="912" t="str">
        <f t="shared" ca="1" si="30"/>
        <v>--</v>
      </c>
      <c r="K67" s="913"/>
      <c r="L67" s="935" t="str">
        <f t="shared" ca="1" si="31"/>
        <v>--</v>
      </c>
      <c r="M67" s="453" t="str">
        <f t="shared" ca="1" si="32"/>
        <v/>
      </c>
      <c r="N67" s="912" t="str">
        <f t="shared" ca="1" si="33"/>
        <v>--</v>
      </c>
      <c r="O67" s="913"/>
      <c r="P67" s="935" t="str">
        <f t="shared" ca="1" si="34"/>
        <v>--</v>
      </c>
      <c r="Q67" s="2060"/>
      <c r="R67" s="1557"/>
      <c r="S67" s="2060"/>
      <c r="T67" s="43">
        <v>25</v>
      </c>
      <c r="U67" s="43"/>
      <c r="V67" s="2060"/>
      <c r="W67" s="2060"/>
      <c r="X67" s="2060"/>
    </row>
    <row r="68" spans="1:24" s="646" customFormat="1" ht="13.9">
      <c r="A68" s="1557" t="str">
        <f t="shared" ca="1" si="26"/>
        <v>n</v>
      </c>
      <c r="B68" s="1557"/>
      <c r="C68" s="1502"/>
      <c r="D68" s="2060"/>
      <c r="E68" s="949"/>
      <c r="F68" s="912" t="str">
        <f t="shared" ca="1" si="27"/>
        <v>--</v>
      </c>
      <c r="G68" s="913"/>
      <c r="H68" s="935" t="str">
        <f t="shared" ca="1" si="28"/>
        <v>--</v>
      </c>
      <c r="I68" s="453" t="str">
        <f t="shared" ca="1" si="29"/>
        <v/>
      </c>
      <c r="J68" s="912" t="str">
        <f t="shared" ca="1" si="30"/>
        <v>--</v>
      </c>
      <c r="K68" s="913"/>
      <c r="L68" s="935" t="str">
        <f t="shared" ca="1" si="31"/>
        <v>--</v>
      </c>
      <c r="M68" s="453" t="str">
        <f t="shared" ca="1" si="32"/>
        <v/>
      </c>
      <c r="N68" s="912" t="str">
        <f t="shared" ca="1" si="33"/>
        <v>--</v>
      </c>
      <c r="O68" s="913"/>
      <c r="P68" s="935" t="str">
        <f t="shared" ca="1" si="34"/>
        <v>--</v>
      </c>
      <c r="Q68" s="2060"/>
      <c r="R68" s="1557"/>
      <c r="S68" s="2060"/>
      <c r="T68" s="43">
        <v>26</v>
      </c>
      <c r="U68" s="43"/>
      <c r="V68" s="2060"/>
      <c r="W68" s="2060"/>
      <c r="X68" s="2060"/>
    </row>
    <row r="69" spans="1:24" s="646" customFormat="1" ht="13.9">
      <c r="A69" s="1557"/>
      <c r="B69" s="1557"/>
      <c r="C69" s="1502"/>
      <c r="D69" s="2060"/>
      <c r="E69" s="920"/>
      <c r="F69" s="2060"/>
      <c r="G69" s="913" t="s">
        <v>1158</v>
      </c>
      <c r="H69" s="936" t="str">
        <f t="array" aca="1" ref="H69" ca="1">IFERROR(MEDIAN(IF(F43:F68&lt;&gt;ClientName,H43:H68)),"n/a")</f>
        <v>n/a</v>
      </c>
      <c r="I69" s="2060"/>
      <c r="J69" s="2060"/>
      <c r="K69" s="913" t="s">
        <v>1158</v>
      </c>
      <c r="L69" s="936" t="str">
        <f t="array" aca="1" ref="L69" ca="1">IFERROR(MEDIAN(IF(J43:J68&lt;&gt;ClientName,L43:L68)),"n/a")</f>
        <v>n/a</v>
      </c>
      <c r="M69" s="2060"/>
      <c r="N69" s="2060"/>
      <c r="O69" s="913" t="s">
        <v>1158</v>
      </c>
      <c r="P69" s="936" t="str">
        <f t="array" aca="1" ref="P69" ca="1">IFERROR(MEDIAN(IF(N43:N68&lt;&gt;ClientName,P43:P68)),"n/a")</f>
        <v>n/a</v>
      </c>
      <c r="Q69" s="2060"/>
      <c r="R69" s="1557"/>
      <c r="S69" s="2060"/>
      <c r="T69" s="43"/>
      <c r="U69" s="43"/>
      <c r="V69" s="2060"/>
      <c r="W69" s="2060"/>
      <c r="X69" s="2060"/>
    </row>
    <row r="70" spans="1:24" s="646" customFormat="1" ht="13.9">
      <c r="A70" s="1557"/>
      <c r="B70" s="1557"/>
      <c r="C70" s="1502"/>
      <c r="D70" s="2060"/>
      <c r="E70" s="2060"/>
      <c r="F70" s="2060"/>
      <c r="G70" s="914"/>
      <c r="H70" s="920"/>
      <c r="I70" s="2060"/>
      <c r="J70" s="2060"/>
      <c r="K70" s="914"/>
      <c r="L70" s="918"/>
      <c r="M70" s="2060"/>
      <c r="N70" s="2060"/>
      <c r="O70" s="914"/>
      <c r="P70" s="919"/>
      <c r="Q70" s="2060"/>
      <c r="R70" s="1557"/>
      <c r="S70" s="2060"/>
      <c r="T70" s="43"/>
      <c r="U70" s="43"/>
      <c r="V70" s="2060"/>
      <c r="W70" s="2060"/>
      <c r="X70" s="2060"/>
    </row>
    <row r="71" spans="1:24" s="646" customFormat="1" ht="13.9">
      <c r="A71" s="1557"/>
      <c r="B71" s="1557"/>
      <c r="C71" s="1502"/>
      <c r="D71" s="2060"/>
      <c r="E71" s="2060"/>
      <c r="F71" s="2060"/>
      <c r="G71" s="914"/>
      <c r="H71" s="920"/>
      <c r="I71" s="2060"/>
      <c r="J71" s="2060"/>
      <c r="K71" s="914"/>
      <c r="L71" s="918"/>
      <c r="M71" s="2060"/>
      <c r="N71" s="2060"/>
      <c r="O71" s="914"/>
      <c r="P71" s="919"/>
      <c r="Q71" s="2060"/>
      <c r="R71" s="1557"/>
      <c r="S71" s="2060"/>
      <c r="T71" s="43"/>
      <c r="U71" s="43"/>
      <c r="V71" s="2060"/>
      <c r="W71" s="2060"/>
      <c r="X71" s="2060"/>
    </row>
    <row r="72" spans="1:24" s="646" customFormat="1" ht="13.9">
      <c r="A72" s="1557"/>
      <c r="B72" s="1557"/>
      <c r="C72" s="1502"/>
      <c r="D72" s="779"/>
      <c r="E72" s="946">
        <v>1.07</v>
      </c>
      <c r="F72" s="1061" t="s">
        <v>313</v>
      </c>
      <c r="G72" s="1061"/>
      <c r="H72" s="1061"/>
      <c r="I72" s="946">
        <v>1.08</v>
      </c>
      <c r="J72" s="1061" t="s">
        <v>278</v>
      </c>
      <c r="K72" s="1061"/>
      <c r="L72" s="1061"/>
      <c r="M72" s="946">
        <v>1.0900000000000001</v>
      </c>
      <c r="N72" s="1061" t="s">
        <v>240</v>
      </c>
      <c r="O72" s="1061"/>
      <c r="P72" s="1061"/>
      <c r="Q72" s="2060"/>
      <c r="R72" s="1557"/>
      <c r="S72" s="2060"/>
      <c r="T72" s="43"/>
      <c r="U72" s="43"/>
      <c r="V72" s="2060"/>
      <c r="W72" s="2060"/>
      <c r="X72" s="2060"/>
    </row>
    <row r="73" spans="1:24" s="646" customFormat="1" ht="13.9">
      <c r="A73" s="1557"/>
      <c r="B73" s="1557"/>
      <c r="C73" s="1502"/>
      <c r="D73" s="2060"/>
      <c r="E73" s="972"/>
      <c r="F73" s="909">
        <f>MATCH(F72,'DATA GPC'!$F$1:$F$2263,0)</f>
        <v>160</v>
      </c>
      <c r="G73" s="910"/>
      <c r="H73" s="911" t="str">
        <f>$K$6</f>
        <v>LTM</v>
      </c>
      <c r="I73" s="972"/>
      <c r="J73" s="909">
        <f>MATCH(J72,'DATA GPC'!$F$1:$F$2263,0)</f>
        <v>1217</v>
      </c>
      <c r="K73" s="910"/>
      <c r="L73" s="911" t="str">
        <f>$K$6</f>
        <v>LTM</v>
      </c>
      <c r="M73" s="972"/>
      <c r="N73" s="909">
        <f>MATCH(N72,'DATA GPC'!$F$1:$F$2263,0)</f>
        <v>1248</v>
      </c>
      <c r="O73" s="910"/>
      <c r="P73" s="911" t="str">
        <f>$K$6</f>
        <v>LTM</v>
      </c>
      <c r="Q73" s="2060"/>
      <c r="R73" s="1557"/>
      <c r="S73" s="2060"/>
      <c r="T73" s="43"/>
      <c r="U73" s="43"/>
      <c r="V73" s="2060"/>
      <c r="W73" s="2060"/>
      <c r="X73" s="2060"/>
    </row>
    <row r="74" spans="1:24" s="646" customFormat="1" ht="13.9">
      <c r="A74" s="1557" t="str">
        <f t="shared" ref="A74:A87" ca="1" si="35">IF(F74="--","n","")</f>
        <v>n</v>
      </c>
      <c r="B74" s="1557"/>
      <c r="C74" s="1502"/>
      <c r="D74" s="2060"/>
      <c r="E74" s="949" t="str">
        <f t="shared" ref="E74:E87" ca="1" si="36">IFERROR(IF(F74=ClientName,"*",""),"")</f>
        <v/>
      </c>
      <c r="F74" s="912" t="str">
        <f t="shared" ref="F74:F87" ca="1" si="37">IFERROR(INDEX(F$195:F$220,MATCH(E195,H$195:H$220,0)),"--")</f>
        <v>--</v>
      </c>
      <c r="G74" s="1555"/>
      <c r="H74" s="947" t="str">
        <f t="shared" ref="H74:H87" ca="1" si="38">IFERROR(INDEX(G$195:G$220,MATCH(E195,H$195:H$220,0)),"--")</f>
        <v>--</v>
      </c>
      <c r="I74" s="453" t="str">
        <f t="shared" ref="I74:I87" ca="1" si="39">IFERROR(IF(J74=ClientName,"*",""),"")</f>
        <v/>
      </c>
      <c r="J74" s="912" t="str">
        <f t="shared" ref="J74:J87" ca="1" si="40">IFERROR(INDEX(J$195:J$220,MATCH(I195,L$195:L$220,0)),"--")</f>
        <v>--</v>
      </c>
      <c r="K74" s="1555"/>
      <c r="L74" s="935" t="str">
        <f t="shared" ref="L74:L87" ca="1" si="41">IFERROR(INDEX(K$195:K$220,MATCH(I195,L$195:L$220,0)),"--")</f>
        <v>--</v>
      </c>
      <c r="M74" s="453" t="str">
        <f t="shared" ref="M74:M87" ca="1" si="42">IFERROR(IF(N74=ClientName,"*",""),"")</f>
        <v/>
      </c>
      <c r="N74" s="912" t="str">
        <f t="shared" ref="N74:N87" ca="1" si="43">IFERROR(INDEX(N$195:N$220,MATCH(M195,P$195:P$220,0)),"--")</f>
        <v>--</v>
      </c>
      <c r="O74" s="1555"/>
      <c r="P74" s="935" t="str">
        <f t="shared" ref="P74:P87" ca="1" si="44">IFERROR(INDEX(O$195:O$220,MATCH(M195,P$195:P$220,0)),"--")</f>
        <v>--</v>
      </c>
      <c r="Q74" s="2060"/>
      <c r="R74" s="1557"/>
      <c r="S74" s="2060"/>
      <c r="T74" s="43">
        <v>1</v>
      </c>
      <c r="U74" s="43"/>
      <c r="V74" s="2060"/>
      <c r="W74" s="2060"/>
      <c r="X74" s="2060"/>
    </row>
    <row r="75" spans="1:24" s="646" customFormat="1" ht="13.9">
      <c r="A75" s="1557" t="str">
        <f t="shared" ca="1" si="35"/>
        <v>n</v>
      </c>
      <c r="B75" s="1557"/>
      <c r="C75" s="1502"/>
      <c r="D75" s="2060"/>
      <c r="E75" s="949" t="str">
        <f t="shared" ca="1" si="36"/>
        <v/>
      </c>
      <c r="F75" s="912" t="str">
        <f t="shared" ca="1" si="37"/>
        <v>--</v>
      </c>
      <c r="G75" s="1555"/>
      <c r="H75" s="947" t="str">
        <f t="shared" ca="1" si="38"/>
        <v>--</v>
      </c>
      <c r="I75" s="453" t="str">
        <f t="shared" ca="1" si="39"/>
        <v/>
      </c>
      <c r="J75" s="912" t="str">
        <f t="shared" ca="1" si="40"/>
        <v>--</v>
      </c>
      <c r="K75" s="1555"/>
      <c r="L75" s="935" t="str">
        <f t="shared" ca="1" si="41"/>
        <v>--</v>
      </c>
      <c r="M75" s="453" t="str">
        <f t="shared" ca="1" si="42"/>
        <v/>
      </c>
      <c r="N75" s="912" t="str">
        <f t="shared" ca="1" si="43"/>
        <v>--</v>
      </c>
      <c r="O75" s="1555"/>
      <c r="P75" s="935" t="str">
        <f t="shared" ca="1" si="44"/>
        <v>--</v>
      </c>
      <c r="Q75" s="2060"/>
      <c r="R75" s="1557"/>
      <c r="S75" s="2060"/>
      <c r="T75" s="43">
        <v>2</v>
      </c>
      <c r="U75" s="43"/>
      <c r="V75" s="2060"/>
      <c r="W75" s="2060"/>
      <c r="X75" s="2060"/>
    </row>
    <row r="76" spans="1:24" s="646" customFormat="1" ht="13.9">
      <c r="A76" s="1557" t="str">
        <f t="shared" ca="1" si="35"/>
        <v>n</v>
      </c>
      <c r="B76" s="1557"/>
      <c r="C76" s="1502"/>
      <c r="D76" s="2060"/>
      <c r="E76" s="949" t="str">
        <f t="shared" ca="1" si="36"/>
        <v/>
      </c>
      <c r="F76" s="912" t="str">
        <f t="shared" ca="1" si="37"/>
        <v>--</v>
      </c>
      <c r="G76" s="1555"/>
      <c r="H76" s="947" t="str">
        <f t="shared" ca="1" si="38"/>
        <v>--</v>
      </c>
      <c r="I76" s="453" t="str">
        <f t="shared" ca="1" si="39"/>
        <v/>
      </c>
      <c r="J76" s="912" t="str">
        <f t="shared" ca="1" si="40"/>
        <v>--</v>
      </c>
      <c r="K76" s="1555"/>
      <c r="L76" s="935" t="str">
        <f t="shared" ca="1" si="41"/>
        <v>--</v>
      </c>
      <c r="M76" s="453" t="str">
        <f t="shared" ca="1" si="42"/>
        <v/>
      </c>
      <c r="N76" s="912" t="str">
        <f t="shared" ca="1" si="43"/>
        <v>--</v>
      </c>
      <c r="O76" s="1555"/>
      <c r="P76" s="935" t="str">
        <f t="shared" ca="1" si="44"/>
        <v>--</v>
      </c>
      <c r="Q76" s="2060"/>
      <c r="R76" s="1557"/>
      <c r="S76" s="2060"/>
      <c r="T76" s="43">
        <v>3</v>
      </c>
      <c r="U76" s="43"/>
      <c r="V76" s="2060"/>
      <c r="W76" s="2060"/>
      <c r="X76" s="2060"/>
    </row>
    <row r="77" spans="1:24" s="646" customFormat="1" ht="13.9">
      <c r="A77" s="1557" t="str">
        <f t="shared" ca="1" si="35"/>
        <v>n</v>
      </c>
      <c r="B77" s="1557"/>
      <c r="C77" s="1502"/>
      <c r="D77" s="2060"/>
      <c r="E77" s="949" t="str">
        <f t="shared" ca="1" si="36"/>
        <v/>
      </c>
      <c r="F77" s="912" t="str">
        <f t="shared" ca="1" si="37"/>
        <v>--</v>
      </c>
      <c r="G77" s="1555"/>
      <c r="H77" s="947" t="str">
        <f t="shared" ca="1" si="38"/>
        <v>--</v>
      </c>
      <c r="I77" s="453" t="str">
        <f t="shared" ca="1" si="39"/>
        <v/>
      </c>
      <c r="J77" s="912" t="str">
        <f t="shared" ca="1" si="40"/>
        <v>--</v>
      </c>
      <c r="K77" s="1555"/>
      <c r="L77" s="935" t="str">
        <f t="shared" ca="1" si="41"/>
        <v>--</v>
      </c>
      <c r="M77" s="453" t="str">
        <f t="shared" ca="1" si="42"/>
        <v/>
      </c>
      <c r="N77" s="912" t="str">
        <f t="shared" ca="1" si="43"/>
        <v>--</v>
      </c>
      <c r="O77" s="1555"/>
      <c r="P77" s="935" t="str">
        <f t="shared" ca="1" si="44"/>
        <v>--</v>
      </c>
      <c r="Q77" s="2060"/>
      <c r="R77" s="1557"/>
      <c r="S77" s="2060"/>
      <c r="T77" s="43">
        <v>4</v>
      </c>
      <c r="U77" s="43"/>
      <c r="V77" s="2060"/>
      <c r="W77" s="2060"/>
      <c r="X77" s="2060"/>
    </row>
    <row r="78" spans="1:24" s="646" customFormat="1" ht="13.9">
      <c r="A78" s="1557" t="str">
        <f t="shared" ca="1" si="35"/>
        <v>n</v>
      </c>
      <c r="B78" s="1557"/>
      <c r="C78" s="1502"/>
      <c r="D78" s="2060"/>
      <c r="E78" s="949" t="str">
        <f t="shared" ca="1" si="36"/>
        <v/>
      </c>
      <c r="F78" s="912" t="str">
        <f t="shared" ca="1" si="37"/>
        <v>--</v>
      </c>
      <c r="G78" s="1555"/>
      <c r="H78" s="947" t="str">
        <f t="shared" ca="1" si="38"/>
        <v>--</v>
      </c>
      <c r="I78" s="453" t="str">
        <f t="shared" ca="1" si="39"/>
        <v/>
      </c>
      <c r="J78" s="912" t="str">
        <f t="shared" ca="1" si="40"/>
        <v>--</v>
      </c>
      <c r="K78" s="1555"/>
      <c r="L78" s="935" t="str">
        <f t="shared" ca="1" si="41"/>
        <v>--</v>
      </c>
      <c r="M78" s="453" t="str">
        <f t="shared" ca="1" si="42"/>
        <v/>
      </c>
      <c r="N78" s="912" t="str">
        <f t="shared" ca="1" si="43"/>
        <v>--</v>
      </c>
      <c r="O78" s="1555"/>
      <c r="P78" s="935" t="str">
        <f t="shared" ca="1" si="44"/>
        <v>--</v>
      </c>
      <c r="Q78" s="2060"/>
      <c r="R78" s="1557"/>
      <c r="S78" s="2060"/>
      <c r="T78" s="43">
        <v>5</v>
      </c>
      <c r="U78" s="43"/>
      <c r="V78" s="2060"/>
      <c r="W78" s="2060"/>
      <c r="X78" s="2060"/>
    </row>
    <row r="79" spans="1:24" s="646" customFormat="1" ht="13.9">
      <c r="A79" s="1557" t="str">
        <f t="shared" ca="1" si="35"/>
        <v>n</v>
      </c>
      <c r="B79" s="1557"/>
      <c r="C79" s="1502"/>
      <c r="D79" s="2060"/>
      <c r="E79" s="949" t="str">
        <f t="shared" ca="1" si="36"/>
        <v/>
      </c>
      <c r="F79" s="912" t="str">
        <f t="shared" ca="1" si="37"/>
        <v>--</v>
      </c>
      <c r="G79" s="1555"/>
      <c r="H79" s="947" t="str">
        <f t="shared" ca="1" si="38"/>
        <v>--</v>
      </c>
      <c r="I79" s="453" t="str">
        <f t="shared" ca="1" si="39"/>
        <v/>
      </c>
      <c r="J79" s="912" t="str">
        <f t="shared" ca="1" si="40"/>
        <v>--</v>
      </c>
      <c r="K79" s="1555"/>
      <c r="L79" s="935" t="str">
        <f t="shared" ca="1" si="41"/>
        <v>--</v>
      </c>
      <c r="M79" s="453" t="str">
        <f t="shared" ca="1" si="42"/>
        <v/>
      </c>
      <c r="N79" s="912" t="str">
        <f t="shared" ca="1" si="43"/>
        <v>--</v>
      </c>
      <c r="O79" s="1555"/>
      <c r="P79" s="935" t="str">
        <f t="shared" ca="1" si="44"/>
        <v>--</v>
      </c>
      <c r="Q79" s="2060"/>
      <c r="R79" s="1557"/>
      <c r="S79" s="2060"/>
      <c r="T79" s="43">
        <v>6</v>
      </c>
      <c r="U79" s="43"/>
      <c r="V79" s="2060"/>
      <c r="W79" s="2060"/>
      <c r="X79" s="2060"/>
    </row>
    <row r="80" spans="1:24" s="646" customFormat="1" ht="13.9">
      <c r="A80" s="1557" t="str">
        <f t="shared" ca="1" si="35"/>
        <v>n</v>
      </c>
      <c r="B80" s="1557"/>
      <c r="C80" s="1502"/>
      <c r="D80" s="2060"/>
      <c r="E80" s="949" t="str">
        <f t="shared" ca="1" si="36"/>
        <v/>
      </c>
      <c r="F80" s="912" t="str">
        <f t="shared" ca="1" si="37"/>
        <v>--</v>
      </c>
      <c r="G80" s="1555"/>
      <c r="H80" s="947" t="str">
        <f t="shared" ca="1" si="38"/>
        <v>--</v>
      </c>
      <c r="I80" s="453" t="str">
        <f t="shared" ca="1" si="39"/>
        <v/>
      </c>
      <c r="J80" s="912" t="str">
        <f t="shared" ca="1" si="40"/>
        <v>--</v>
      </c>
      <c r="K80" s="1555"/>
      <c r="L80" s="935" t="str">
        <f t="shared" ca="1" si="41"/>
        <v>--</v>
      </c>
      <c r="M80" s="453" t="str">
        <f t="shared" ca="1" si="42"/>
        <v/>
      </c>
      <c r="N80" s="912" t="str">
        <f t="shared" ca="1" si="43"/>
        <v>--</v>
      </c>
      <c r="O80" s="1555"/>
      <c r="P80" s="935" t="str">
        <f t="shared" ca="1" si="44"/>
        <v>--</v>
      </c>
      <c r="Q80" s="2060"/>
      <c r="R80" s="1557"/>
      <c r="S80" s="2060"/>
      <c r="T80" s="43">
        <v>7</v>
      </c>
      <c r="U80" s="43"/>
      <c r="V80" s="2060"/>
      <c r="W80" s="2060"/>
      <c r="X80" s="2060"/>
    </row>
    <row r="81" spans="1:24" s="646" customFormat="1" ht="13.9">
      <c r="A81" s="1557" t="str">
        <f t="shared" ca="1" si="35"/>
        <v>n</v>
      </c>
      <c r="B81" s="1557"/>
      <c r="C81" s="1502"/>
      <c r="D81" s="2060"/>
      <c r="E81" s="949" t="str">
        <f t="shared" ca="1" si="36"/>
        <v/>
      </c>
      <c r="F81" s="912" t="str">
        <f t="shared" ca="1" si="37"/>
        <v>--</v>
      </c>
      <c r="G81" s="1555"/>
      <c r="H81" s="947" t="str">
        <f t="shared" ca="1" si="38"/>
        <v>--</v>
      </c>
      <c r="I81" s="453" t="str">
        <f t="shared" ca="1" si="39"/>
        <v/>
      </c>
      <c r="J81" s="912" t="str">
        <f t="shared" ca="1" si="40"/>
        <v>--</v>
      </c>
      <c r="K81" s="1555"/>
      <c r="L81" s="935" t="str">
        <f t="shared" ca="1" si="41"/>
        <v>--</v>
      </c>
      <c r="M81" s="453" t="str">
        <f t="shared" ca="1" si="42"/>
        <v/>
      </c>
      <c r="N81" s="912" t="str">
        <f t="shared" ca="1" si="43"/>
        <v>--</v>
      </c>
      <c r="O81" s="1555"/>
      <c r="P81" s="935" t="str">
        <f t="shared" ca="1" si="44"/>
        <v>--</v>
      </c>
      <c r="Q81" s="2060"/>
      <c r="R81" s="1557"/>
      <c r="S81" s="2060"/>
      <c r="T81" s="43">
        <v>8</v>
      </c>
      <c r="U81" s="43"/>
      <c r="V81" s="2060"/>
      <c r="W81" s="2060"/>
      <c r="X81" s="2060"/>
    </row>
    <row r="82" spans="1:24" s="646" customFormat="1" ht="13.9">
      <c r="A82" s="1557" t="str">
        <f t="shared" ca="1" si="35"/>
        <v>n</v>
      </c>
      <c r="B82" s="1557"/>
      <c r="C82" s="1502"/>
      <c r="D82" s="2060"/>
      <c r="E82" s="949" t="str">
        <f t="shared" ca="1" si="36"/>
        <v/>
      </c>
      <c r="F82" s="912" t="str">
        <f t="shared" ca="1" si="37"/>
        <v>--</v>
      </c>
      <c r="G82" s="1555"/>
      <c r="H82" s="947" t="str">
        <f t="shared" ca="1" si="38"/>
        <v>--</v>
      </c>
      <c r="I82" s="453" t="str">
        <f t="shared" ca="1" si="39"/>
        <v/>
      </c>
      <c r="J82" s="912" t="str">
        <f t="shared" ca="1" si="40"/>
        <v>--</v>
      </c>
      <c r="K82" s="1555"/>
      <c r="L82" s="935" t="str">
        <f t="shared" ca="1" si="41"/>
        <v>--</v>
      </c>
      <c r="M82" s="453" t="str">
        <f t="shared" ca="1" si="42"/>
        <v/>
      </c>
      <c r="N82" s="912" t="str">
        <f t="shared" ca="1" si="43"/>
        <v>--</v>
      </c>
      <c r="O82" s="1555"/>
      <c r="P82" s="935" t="str">
        <f t="shared" ca="1" si="44"/>
        <v>--</v>
      </c>
      <c r="Q82" s="2060"/>
      <c r="R82" s="1557"/>
      <c r="S82" s="2060"/>
      <c r="T82" s="43">
        <v>9</v>
      </c>
      <c r="U82" s="43"/>
      <c r="V82" s="2060"/>
      <c r="W82" s="2060"/>
      <c r="X82" s="2060"/>
    </row>
    <row r="83" spans="1:24" s="646" customFormat="1" ht="13.9">
      <c r="A83" s="1557" t="str">
        <f t="shared" ca="1" si="35"/>
        <v>n</v>
      </c>
      <c r="B83" s="1557"/>
      <c r="C83" s="1502"/>
      <c r="D83" s="2060"/>
      <c r="E83" s="949" t="str">
        <f t="shared" ca="1" si="36"/>
        <v/>
      </c>
      <c r="F83" s="912" t="str">
        <f t="shared" ca="1" si="37"/>
        <v>--</v>
      </c>
      <c r="G83" s="912"/>
      <c r="H83" s="947" t="str">
        <f t="shared" ca="1" si="38"/>
        <v>--</v>
      </c>
      <c r="I83" s="453" t="str">
        <f t="shared" ca="1" si="39"/>
        <v/>
      </c>
      <c r="J83" s="912" t="str">
        <f t="shared" ca="1" si="40"/>
        <v>--</v>
      </c>
      <c r="K83" s="912"/>
      <c r="L83" s="935" t="str">
        <f t="shared" ca="1" si="41"/>
        <v>--</v>
      </c>
      <c r="M83" s="453" t="str">
        <f t="shared" ca="1" si="42"/>
        <v/>
      </c>
      <c r="N83" s="912" t="str">
        <f t="shared" ca="1" si="43"/>
        <v>--</v>
      </c>
      <c r="O83" s="912"/>
      <c r="P83" s="935" t="str">
        <f t="shared" ca="1" si="44"/>
        <v>--</v>
      </c>
      <c r="Q83" s="2060"/>
      <c r="R83" s="1557"/>
      <c r="S83" s="2060"/>
      <c r="T83" s="43">
        <v>10</v>
      </c>
      <c r="U83" s="43"/>
      <c r="V83" s="2060"/>
      <c r="W83" s="2060"/>
      <c r="X83" s="2060"/>
    </row>
    <row r="84" spans="1:24" s="646" customFormat="1" ht="13.9">
      <c r="A84" s="1557" t="str">
        <f t="shared" ca="1" si="35"/>
        <v>n</v>
      </c>
      <c r="B84" s="1557"/>
      <c r="C84" s="1502"/>
      <c r="D84" s="2060"/>
      <c r="E84" s="949" t="str">
        <f t="shared" ca="1" si="36"/>
        <v/>
      </c>
      <c r="F84" s="912" t="str">
        <f t="shared" ca="1" si="37"/>
        <v>--</v>
      </c>
      <c r="G84" s="1555"/>
      <c r="H84" s="947" t="str">
        <f t="shared" ca="1" si="38"/>
        <v>--</v>
      </c>
      <c r="I84" s="453" t="str">
        <f t="shared" ca="1" si="39"/>
        <v/>
      </c>
      <c r="J84" s="912" t="str">
        <f t="shared" ca="1" si="40"/>
        <v>--</v>
      </c>
      <c r="K84" s="1555"/>
      <c r="L84" s="935" t="str">
        <f t="shared" ca="1" si="41"/>
        <v>--</v>
      </c>
      <c r="M84" s="453" t="str">
        <f t="shared" ca="1" si="42"/>
        <v/>
      </c>
      <c r="N84" s="912" t="str">
        <f t="shared" ca="1" si="43"/>
        <v>--</v>
      </c>
      <c r="O84" s="1555"/>
      <c r="P84" s="935" t="str">
        <f t="shared" ca="1" si="44"/>
        <v>--</v>
      </c>
      <c r="Q84" s="2060"/>
      <c r="R84" s="1557"/>
      <c r="S84" s="2060"/>
      <c r="T84" s="43">
        <v>11</v>
      </c>
      <c r="U84" s="43"/>
      <c r="V84" s="2060"/>
      <c r="W84" s="2060"/>
      <c r="X84" s="2060"/>
    </row>
    <row r="85" spans="1:24" s="646" customFormat="1" ht="13.9">
      <c r="A85" s="1557" t="str">
        <f t="shared" ca="1" si="35"/>
        <v>n</v>
      </c>
      <c r="B85" s="1557"/>
      <c r="C85" s="1502"/>
      <c r="D85" s="2060"/>
      <c r="E85" s="949" t="str">
        <f t="shared" ca="1" si="36"/>
        <v/>
      </c>
      <c r="F85" s="912" t="str">
        <f t="shared" ca="1" si="37"/>
        <v>--</v>
      </c>
      <c r="G85" s="913"/>
      <c r="H85" s="947" t="str">
        <f t="shared" ca="1" si="38"/>
        <v>--</v>
      </c>
      <c r="I85" s="453" t="str">
        <f t="shared" ca="1" si="39"/>
        <v/>
      </c>
      <c r="J85" s="912" t="str">
        <f t="shared" ca="1" si="40"/>
        <v>--</v>
      </c>
      <c r="K85" s="913"/>
      <c r="L85" s="935" t="str">
        <f t="shared" ca="1" si="41"/>
        <v>--</v>
      </c>
      <c r="M85" s="453" t="str">
        <f t="shared" ca="1" si="42"/>
        <v/>
      </c>
      <c r="N85" s="912" t="str">
        <f t="shared" ca="1" si="43"/>
        <v>--</v>
      </c>
      <c r="O85" s="913"/>
      <c r="P85" s="935" t="str">
        <f t="shared" ca="1" si="44"/>
        <v>--</v>
      </c>
      <c r="Q85" s="2060"/>
      <c r="R85" s="1557"/>
      <c r="S85" s="2060"/>
      <c r="T85" s="43">
        <v>12</v>
      </c>
      <c r="U85" s="43"/>
      <c r="V85" s="2060"/>
      <c r="W85" s="2060"/>
      <c r="X85" s="2060"/>
    </row>
    <row r="86" spans="1:24" s="646" customFormat="1" ht="13.9">
      <c r="A86" s="1557" t="str">
        <f t="shared" ca="1" si="35"/>
        <v>n</v>
      </c>
      <c r="B86" s="1557"/>
      <c r="C86" s="1502"/>
      <c r="D86" s="2060"/>
      <c r="E86" s="949" t="str">
        <f t="shared" ca="1" si="36"/>
        <v/>
      </c>
      <c r="F86" s="912" t="str">
        <f t="shared" ca="1" si="37"/>
        <v>--</v>
      </c>
      <c r="G86" s="913"/>
      <c r="H86" s="947" t="str">
        <f t="shared" ca="1" si="38"/>
        <v>--</v>
      </c>
      <c r="I86" s="453" t="str">
        <f t="shared" ca="1" si="39"/>
        <v/>
      </c>
      <c r="J86" s="912" t="str">
        <f t="shared" ca="1" si="40"/>
        <v>--</v>
      </c>
      <c r="K86" s="913"/>
      <c r="L86" s="935" t="str">
        <f t="shared" ca="1" si="41"/>
        <v>--</v>
      </c>
      <c r="M86" s="453" t="str">
        <f t="shared" ca="1" si="42"/>
        <v/>
      </c>
      <c r="N86" s="912" t="str">
        <f t="shared" ca="1" si="43"/>
        <v>--</v>
      </c>
      <c r="O86" s="913"/>
      <c r="P86" s="935" t="str">
        <f t="shared" ca="1" si="44"/>
        <v>--</v>
      </c>
      <c r="Q86" s="2060"/>
      <c r="R86" s="1557"/>
      <c r="S86" s="2060"/>
      <c r="T86" s="43">
        <v>13</v>
      </c>
      <c r="U86" s="43"/>
      <c r="V86" s="2060"/>
      <c r="W86" s="2060"/>
      <c r="X86" s="2060"/>
    </row>
    <row r="87" spans="1:24" s="646" customFormat="1" ht="13.9">
      <c r="A87" s="1557" t="str">
        <f t="shared" ca="1" si="35"/>
        <v>n</v>
      </c>
      <c r="B87" s="1557"/>
      <c r="C87" s="1502"/>
      <c r="D87" s="2060"/>
      <c r="E87" s="949" t="str">
        <f t="shared" ca="1" si="36"/>
        <v/>
      </c>
      <c r="F87" s="912" t="str">
        <f t="shared" ca="1" si="37"/>
        <v>--</v>
      </c>
      <c r="G87" s="913"/>
      <c r="H87" s="947" t="str">
        <f t="shared" ca="1" si="38"/>
        <v>--</v>
      </c>
      <c r="I87" s="453" t="str">
        <f t="shared" ca="1" si="39"/>
        <v/>
      </c>
      <c r="J87" s="912" t="str">
        <f t="shared" ca="1" si="40"/>
        <v>--</v>
      </c>
      <c r="K87" s="913"/>
      <c r="L87" s="935" t="str">
        <f t="shared" ca="1" si="41"/>
        <v>--</v>
      </c>
      <c r="M87" s="453" t="str">
        <f t="shared" ca="1" si="42"/>
        <v/>
      </c>
      <c r="N87" s="912" t="str">
        <f t="shared" ca="1" si="43"/>
        <v>--</v>
      </c>
      <c r="O87" s="913"/>
      <c r="P87" s="935" t="str">
        <f t="shared" ca="1" si="44"/>
        <v>--</v>
      </c>
      <c r="Q87" s="2060"/>
      <c r="R87" s="1557"/>
      <c r="S87" s="2060"/>
      <c r="T87" s="43">
        <v>14</v>
      </c>
      <c r="U87" s="43"/>
      <c r="V87" s="2060"/>
      <c r="W87" s="2060"/>
      <c r="X87" s="2060"/>
    </row>
    <row r="88" spans="1:24" s="646" customFormat="1" ht="13.9">
      <c r="A88" s="1557" t="str">
        <f t="shared" ref="A88:A99" ca="1" si="45">IF(F88="--","n","")</f>
        <v>n</v>
      </c>
      <c r="B88" s="1557"/>
      <c r="C88" s="1502"/>
      <c r="D88" s="2060"/>
      <c r="E88" s="949" t="str">
        <f t="shared" ref="E88:E99" ca="1" si="46">IFERROR(IF(F88=ClientName,"*",""),"")</f>
        <v/>
      </c>
      <c r="F88" s="912" t="str">
        <f t="shared" ref="F88:F99" ca="1" si="47">IFERROR(INDEX(F$195:F$220,MATCH(E209,H$195:H$220,0)),"--")</f>
        <v>--</v>
      </c>
      <c r="G88" s="913"/>
      <c r="H88" s="947" t="str">
        <f t="shared" ref="H88:H99" ca="1" si="48">IFERROR(INDEX(G$195:G$220,MATCH(E209,H$195:H$220,0)),"--")</f>
        <v>--</v>
      </c>
      <c r="I88" s="453" t="str">
        <f t="shared" ref="I88:I99" ca="1" si="49">IFERROR(IF(J88=ClientName,"*",""),"")</f>
        <v/>
      </c>
      <c r="J88" s="912" t="str">
        <f t="shared" ref="J88:J99" ca="1" si="50">IFERROR(INDEX(J$195:J$220,MATCH(I209,L$195:L$220,0)),"--")</f>
        <v>--</v>
      </c>
      <c r="K88" s="913"/>
      <c r="L88" s="935" t="str">
        <f t="shared" ref="L88:L99" ca="1" si="51">IFERROR(INDEX(K$195:K$220,MATCH(I209,L$195:L$220,0)),"--")</f>
        <v>--</v>
      </c>
      <c r="M88" s="453" t="str">
        <f t="shared" ref="M88:M99" ca="1" si="52">IFERROR(IF(N88=ClientName,"*",""),"")</f>
        <v/>
      </c>
      <c r="N88" s="912" t="str">
        <f t="shared" ref="N88:N99" ca="1" si="53">IFERROR(INDEX(N$195:N$220,MATCH(M209,P$195:P$220,0)),"--")</f>
        <v>--</v>
      </c>
      <c r="O88" s="913"/>
      <c r="P88" s="935" t="str">
        <f t="shared" ref="P88:P99" ca="1" si="54">IFERROR(INDEX(O$195:O$220,MATCH(M209,P$195:P$220,0)),"--")</f>
        <v>--</v>
      </c>
      <c r="Q88" s="2060"/>
      <c r="R88" s="1557"/>
      <c r="S88" s="2060"/>
      <c r="T88" s="43">
        <v>15</v>
      </c>
      <c r="U88" s="43"/>
      <c r="V88" s="2060"/>
      <c r="W88" s="2060"/>
      <c r="X88" s="2060"/>
    </row>
    <row r="89" spans="1:24" s="1499" customFormat="1" ht="13.9">
      <c r="A89" s="1557" t="str">
        <f t="shared" ca="1" si="45"/>
        <v>n</v>
      </c>
      <c r="B89" s="1557"/>
      <c r="C89" s="1502"/>
      <c r="D89" s="2060"/>
      <c r="E89" s="949" t="str">
        <f t="shared" ca="1" si="46"/>
        <v/>
      </c>
      <c r="F89" s="912" t="str">
        <f t="shared" ca="1" si="47"/>
        <v>--</v>
      </c>
      <c r="G89" s="913"/>
      <c r="H89" s="947" t="str">
        <f t="shared" ca="1" si="48"/>
        <v>--</v>
      </c>
      <c r="I89" s="453" t="str">
        <f t="shared" ca="1" si="49"/>
        <v/>
      </c>
      <c r="J89" s="912" t="str">
        <f t="shared" ca="1" si="50"/>
        <v>--</v>
      </c>
      <c r="K89" s="913"/>
      <c r="L89" s="935" t="str">
        <f t="shared" ca="1" si="51"/>
        <v>--</v>
      </c>
      <c r="M89" s="453" t="str">
        <f t="shared" ca="1" si="52"/>
        <v/>
      </c>
      <c r="N89" s="912" t="str">
        <f t="shared" ca="1" si="53"/>
        <v>--</v>
      </c>
      <c r="O89" s="913"/>
      <c r="P89" s="935" t="str">
        <f t="shared" ca="1" si="54"/>
        <v>--</v>
      </c>
      <c r="Q89" s="2060"/>
      <c r="R89" s="1557"/>
      <c r="S89" s="2060"/>
      <c r="T89" s="43">
        <v>16</v>
      </c>
      <c r="U89" s="43"/>
      <c r="V89" s="2060"/>
      <c r="W89" s="2060"/>
      <c r="X89" s="2060"/>
    </row>
    <row r="90" spans="1:24" s="1499" customFormat="1" ht="13.9">
      <c r="A90" s="1557" t="str">
        <f t="shared" ca="1" si="45"/>
        <v>n</v>
      </c>
      <c r="B90" s="1557"/>
      <c r="C90" s="1502"/>
      <c r="D90" s="2060"/>
      <c r="E90" s="949" t="str">
        <f t="shared" ca="1" si="46"/>
        <v/>
      </c>
      <c r="F90" s="912" t="str">
        <f t="shared" ca="1" si="47"/>
        <v>--</v>
      </c>
      <c r="G90" s="913"/>
      <c r="H90" s="947" t="str">
        <f t="shared" ca="1" si="48"/>
        <v>--</v>
      </c>
      <c r="I90" s="453" t="str">
        <f t="shared" ca="1" si="49"/>
        <v/>
      </c>
      <c r="J90" s="912" t="str">
        <f t="shared" ca="1" si="50"/>
        <v>--</v>
      </c>
      <c r="K90" s="913"/>
      <c r="L90" s="935" t="str">
        <f t="shared" ca="1" si="51"/>
        <v>--</v>
      </c>
      <c r="M90" s="453" t="str">
        <f t="shared" ca="1" si="52"/>
        <v/>
      </c>
      <c r="N90" s="912" t="str">
        <f t="shared" ca="1" si="53"/>
        <v>--</v>
      </c>
      <c r="O90" s="913"/>
      <c r="P90" s="935" t="str">
        <f t="shared" ca="1" si="54"/>
        <v>--</v>
      </c>
      <c r="Q90" s="2060"/>
      <c r="R90" s="1557"/>
      <c r="S90" s="2060"/>
      <c r="T90" s="43">
        <v>17</v>
      </c>
      <c r="U90" s="43"/>
      <c r="V90" s="2060"/>
      <c r="W90" s="2060"/>
      <c r="X90" s="2060"/>
    </row>
    <row r="91" spans="1:24" s="1499" customFormat="1" ht="13.9">
      <c r="A91" s="1557" t="str">
        <f t="shared" ca="1" si="45"/>
        <v>n</v>
      </c>
      <c r="B91" s="1557"/>
      <c r="C91" s="1502"/>
      <c r="D91" s="2060"/>
      <c r="E91" s="949" t="str">
        <f t="shared" ca="1" si="46"/>
        <v/>
      </c>
      <c r="F91" s="912" t="str">
        <f t="shared" ca="1" si="47"/>
        <v>--</v>
      </c>
      <c r="G91" s="913"/>
      <c r="H91" s="947" t="str">
        <f t="shared" ca="1" si="48"/>
        <v>--</v>
      </c>
      <c r="I91" s="453" t="str">
        <f t="shared" ca="1" si="49"/>
        <v/>
      </c>
      <c r="J91" s="912" t="str">
        <f t="shared" ca="1" si="50"/>
        <v>--</v>
      </c>
      <c r="K91" s="913"/>
      <c r="L91" s="935" t="str">
        <f t="shared" ca="1" si="51"/>
        <v>--</v>
      </c>
      <c r="M91" s="453" t="str">
        <f t="shared" ca="1" si="52"/>
        <v/>
      </c>
      <c r="N91" s="912" t="str">
        <f t="shared" ca="1" si="53"/>
        <v>--</v>
      </c>
      <c r="O91" s="913"/>
      <c r="P91" s="935" t="str">
        <f t="shared" ca="1" si="54"/>
        <v>--</v>
      </c>
      <c r="Q91" s="2060"/>
      <c r="R91" s="1557"/>
      <c r="S91" s="2060"/>
      <c r="T91" s="43">
        <v>18</v>
      </c>
      <c r="U91" s="43"/>
      <c r="V91" s="2060"/>
      <c r="W91" s="2060"/>
      <c r="X91" s="2060"/>
    </row>
    <row r="92" spans="1:24" s="1499" customFormat="1" ht="13.9">
      <c r="A92" s="1557" t="str">
        <f t="shared" ca="1" si="45"/>
        <v>n</v>
      </c>
      <c r="B92" s="1557"/>
      <c r="C92" s="1502"/>
      <c r="D92" s="2060"/>
      <c r="E92" s="949" t="str">
        <f t="shared" ca="1" si="46"/>
        <v/>
      </c>
      <c r="F92" s="912" t="str">
        <f t="shared" ca="1" si="47"/>
        <v>--</v>
      </c>
      <c r="G92" s="913"/>
      <c r="H92" s="947" t="str">
        <f t="shared" ca="1" si="48"/>
        <v>--</v>
      </c>
      <c r="I92" s="453" t="str">
        <f t="shared" ca="1" si="49"/>
        <v/>
      </c>
      <c r="J92" s="912" t="str">
        <f t="shared" ca="1" si="50"/>
        <v>--</v>
      </c>
      <c r="K92" s="913"/>
      <c r="L92" s="935" t="str">
        <f t="shared" ca="1" si="51"/>
        <v>--</v>
      </c>
      <c r="M92" s="453" t="str">
        <f t="shared" ca="1" si="52"/>
        <v/>
      </c>
      <c r="N92" s="912" t="str">
        <f t="shared" ca="1" si="53"/>
        <v>--</v>
      </c>
      <c r="O92" s="913"/>
      <c r="P92" s="935" t="str">
        <f t="shared" ca="1" si="54"/>
        <v>--</v>
      </c>
      <c r="Q92" s="2060"/>
      <c r="R92" s="1557"/>
      <c r="S92" s="2060"/>
      <c r="T92" s="43">
        <v>19</v>
      </c>
      <c r="U92" s="43"/>
      <c r="V92" s="2060"/>
      <c r="W92" s="2060"/>
      <c r="X92" s="2060"/>
    </row>
    <row r="93" spans="1:24" s="1499" customFormat="1" ht="13.9">
      <c r="A93" s="1557" t="str">
        <f t="shared" ca="1" si="45"/>
        <v>n</v>
      </c>
      <c r="B93" s="1557"/>
      <c r="C93" s="1502"/>
      <c r="D93" s="2060"/>
      <c r="E93" s="949" t="str">
        <f t="shared" ca="1" si="46"/>
        <v/>
      </c>
      <c r="F93" s="912" t="str">
        <f t="shared" ca="1" si="47"/>
        <v>--</v>
      </c>
      <c r="G93" s="913"/>
      <c r="H93" s="947" t="str">
        <f t="shared" ca="1" si="48"/>
        <v>--</v>
      </c>
      <c r="I93" s="453" t="str">
        <f t="shared" ca="1" si="49"/>
        <v/>
      </c>
      <c r="J93" s="912" t="str">
        <f t="shared" ca="1" si="50"/>
        <v>--</v>
      </c>
      <c r="K93" s="913"/>
      <c r="L93" s="935" t="str">
        <f t="shared" ca="1" si="51"/>
        <v>--</v>
      </c>
      <c r="M93" s="453" t="str">
        <f t="shared" ca="1" si="52"/>
        <v/>
      </c>
      <c r="N93" s="912" t="str">
        <f t="shared" ca="1" si="53"/>
        <v>--</v>
      </c>
      <c r="O93" s="913"/>
      <c r="P93" s="935" t="str">
        <f t="shared" ca="1" si="54"/>
        <v>--</v>
      </c>
      <c r="Q93" s="2060"/>
      <c r="R93" s="1557"/>
      <c r="S93" s="2060"/>
      <c r="T93" s="43">
        <v>20</v>
      </c>
      <c r="U93" s="43"/>
      <c r="V93" s="2060"/>
      <c r="W93" s="2060"/>
      <c r="X93" s="2060"/>
    </row>
    <row r="94" spans="1:24" s="1499" customFormat="1" ht="13.9">
      <c r="A94" s="1557" t="str">
        <f t="shared" ca="1" si="45"/>
        <v>n</v>
      </c>
      <c r="B94" s="1557"/>
      <c r="C94" s="1502"/>
      <c r="D94" s="2060"/>
      <c r="E94" s="949" t="str">
        <f t="shared" ca="1" si="46"/>
        <v/>
      </c>
      <c r="F94" s="912" t="str">
        <f t="shared" ca="1" si="47"/>
        <v>--</v>
      </c>
      <c r="G94" s="913"/>
      <c r="H94" s="947" t="str">
        <f t="shared" ca="1" si="48"/>
        <v>--</v>
      </c>
      <c r="I94" s="453" t="str">
        <f t="shared" ca="1" si="49"/>
        <v/>
      </c>
      <c r="J94" s="912" t="str">
        <f t="shared" ca="1" si="50"/>
        <v>--</v>
      </c>
      <c r="K94" s="913"/>
      <c r="L94" s="935" t="str">
        <f t="shared" ca="1" si="51"/>
        <v>--</v>
      </c>
      <c r="M94" s="453" t="str">
        <f t="shared" ca="1" si="52"/>
        <v/>
      </c>
      <c r="N94" s="912" t="str">
        <f t="shared" ca="1" si="53"/>
        <v>--</v>
      </c>
      <c r="O94" s="913"/>
      <c r="P94" s="935" t="str">
        <f t="shared" ca="1" si="54"/>
        <v>--</v>
      </c>
      <c r="Q94" s="2060"/>
      <c r="R94" s="1557"/>
      <c r="S94" s="2060"/>
      <c r="T94" s="43">
        <v>21</v>
      </c>
      <c r="U94" s="43"/>
      <c r="V94" s="2060"/>
      <c r="W94" s="2060"/>
      <c r="X94" s="2060"/>
    </row>
    <row r="95" spans="1:24" s="1499" customFormat="1" ht="13.9">
      <c r="A95" s="1557" t="str">
        <f t="shared" ca="1" si="45"/>
        <v>n</v>
      </c>
      <c r="B95" s="1557"/>
      <c r="C95" s="1502"/>
      <c r="D95" s="2060"/>
      <c r="E95" s="949" t="str">
        <f t="shared" ca="1" si="46"/>
        <v/>
      </c>
      <c r="F95" s="912" t="str">
        <f t="shared" ca="1" si="47"/>
        <v>--</v>
      </c>
      <c r="G95" s="913"/>
      <c r="H95" s="947" t="str">
        <f t="shared" ca="1" si="48"/>
        <v>--</v>
      </c>
      <c r="I95" s="453" t="str">
        <f t="shared" ca="1" si="49"/>
        <v/>
      </c>
      <c r="J95" s="912" t="str">
        <f t="shared" ca="1" si="50"/>
        <v>--</v>
      </c>
      <c r="K95" s="913"/>
      <c r="L95" s="935" t="str">
        <f t="shared" ca="1" si="51"/>
        <v>--</v>
      </c>
      <c r="M95" s="453" t="str">
        <f t="shared" ca="1" si="52"/>
        <v/>
      </c>
      <c r="N95" s="912" t="str">
        <f t="shared" ca="1" si="53"/>
        <v>--</v>
      </c>
      <c r="O95" s="913"/>
      <c r="P95" s="935" t="str">
        <f t="shared" ca="1" si="54"/>
        <v>--</v>
      </c>
      <c r="Q95" s="2060"/>
      <c r="R95" s="1557"/>
      <c r="S95" s="2060"/>
      <c r="T95" s="43">
        <v>22</v>
      </c>
      <c r="U95" s="43"/>
      <c r="V95" s="2060"/>
      <c r="W95" s="2060"/>
      <c r="X95" s="2060"/>
    </row>
    <row r="96" spans="1:24" s="1499" customFormat="1" ht="13.9">
      <c r="A96" s="1557" t="str">
        <f t="shared" ca="1" si="45"/>
        <v>n</v>
      </c>
      <c r="B96" s="1557"/>
      <c r="C96" s="1502"/>
      <c r="D96" s="2060"/>
      <c r="E96" s="949" t="str">
        <f t="shared" ca="1" si="46"/>
        <v/>
      </c>
      <c r="F96" s="912" t="str">
        <f t="shared" ca="1" si="47"/>
        <v>--</v>
      </c>
      <c r="G96" s="913"/>
      <c r="H96" s="947" t="str">
        <f t="shared" ca="1" si="48"/>
        <v>--</v>
      </c>
      <c r="I96" s="453" t="str">
        <f t="shared" ca="1" si="49"/>
        <v/>
      </c>
      <c r="J96" s="912" t="str">
        <f t="shared" ca="1" si="50"/>
        <v>--</v>
      </c>
      <c r="K96" s="913"/>
      <c r="L96" s="935" t="str">
        <f t="shared" ca="1" si="51"/>
        <v>--</v>
      </c>
      <c r="M96" s="453" t="str">
        <f t="shared" ca="1" si="52"/>
        <v/>
      </c>
      <c r="N96" s="912" t="str">
        <f t="shared" ca="1" si="53"/>
        <v>--</v>
      </c>
      <c r="O96" s="913"/>
      <c r="P96" s="935" t="str">
        <f t="shared" ca="1" si="54"/>
        <v>--</v>
      </c>
      <c r="Q96" s="2060"/>
      <c r="R96" s="1557"/>
      <c r="S96" s="2060"/>
      <c r="T96" s="43">
        <v>23</v>
      </c>
      <c r="U96" s="43"/>
      <c r="V96" s="2060"/>
      <c r="W96" s="2060"/>
      <c r="X96" s="2060"/>
    </row>
    <row r="97" spans="1:24" s="1499" customFormat="1" ht="13.9">
      <c r="A97" s="1557" t="str">
        <f t="shared" ca="1" si="45"/>
        <v>n</v>
      </c>
      <c r="B97" s="1557"/>
      <c r="C97" s="1502"/>
      <c r="D97" s="2060"/>
      <c r="E97" s="949" t="str">
        <f t="shared" ca="1" si="46"/>
        <v/>
      </c>
      <c r="F97" s="912" t="str">
        <f t="shared" ca="1" si="47"/>
        <v>--</v>
      </c>
      <c r="G97" s="913"/>
      <c r="H97" s="947" t="str">
        <f t="shared" ca="1" si="48"/>
        <v>--</v>
      </c>
      <c r="I97" s="453" t="str">
        <f t="shared" ca="1" si="49"/>
        <v/>
      </c>
      <c r="J97" s="912" t="str">
        <f t="shared" ca="1" si="50"/>
        <v>--</v>
      </c>
      <c r="K97" s="913"/>
      <c r="L97" s="935" t="str">
        <f t="shared" ca="1" si="51"/>
        <v>--</v>
      </c>
      <c r="M97" s="453" t="str">
        <f t="shared" ca="1" si="52"/>
        <v/>
      </c>
      <c r="N97" s="912" t="str">
        <f t="shared" ca="1" si="53"/>
        <v>--</v>
      </c>
      <c r="O97" s="913"/>
      <c r="P97" s="935" t="str">
        <f t="shared" ca="1" si="54"/>
        <v>--</v>
      </c>
      <c r="Q97" s="2060"/>
      <c r="R97" s="1557"/>
      <c r="S97" s="2060"/>
      <c r="T97" s="43">
        <v>24</v>
      </c>
      <c r="U97" s="43"/>
      <c r="V97" s="2060"/>
      <c r="W97" s="2060"/>
      <c r="X97" s="2060"/>
    </row>
    <row r="98" spans="1:24" s="1499" customFormat="1" ht="13.9">
      <c r="A98" s="1557" t="str">
        <f t="shared" ca="1" si="45"/>
        <v>n</v>
      </c>
      <c r="B98" s="1557"/>
      <c r="C98" s="1502"/>
      <c r="D98" s="2060"/>
      <c r="E98" s="949" t="str">
        <f t="shared" ca="1" si="46"/>
        <v/>
      </c>
      <c r="F98" s="912" t="str">
        <f t="shared" ca="1" si="47"/>
        <v>--</v>
      </c>
      <c r="G98" s="913"/>
      <c r="H98" s="947" t="str">
        <f t="shared" ca="1" si="48"/>
        <v>--</v>
      </c>
      <c r="I98" s="453" t="str">
        <f t="shared" ca="1" si="49"/>
        <v/>
      </c>
      <c r="J98" s="912" t="str">
        <f t="shared" ca="1" si="50"/>
        <v>--</v>
      </c>
      <c r="K98" s="913"/>
      <c r="L98" s="935" t="str">
        <f t="shared" ca="1" si="51"/>
        <v>--</v>
      </c>
      <c r="M98" s="453" t="str">
        <f t="shared" ca="1" si="52"/>
        <v/>
      </c>
      <c r="N98" s="912" t="str">
        <f t="shared" ca="1" si="53"/>
        <v>--</v>
      </c>
      <c r="O98" s="913"/>
      <c r="P98" s="935" t="str">
        <f t="shared" ca="1" si="54"/>
        <v>--</v>
      </c>
      <c r="Q98" s="2060"/>
      <c r="R98" s="1557"/>
      <c r="S98" s="2060"/>
      <c r="T98" s="43">
        <v>25</v>
      </c>
      <c r="U98" s="43"/>
      <c r="V98" s="2060"/>
      <c r="W98" s="2060"/>
      <c r="X98" s="2060"/>
    </row>
    <row r="99" spans="1:24" s="646" customFormat="1" ht="13.9">
      <c r="A99" s="1557" t="str">
        <f t="shared" ca="1" si="45"/>
        <v>n</v>
      </c>
      <c r="B99" s="1557"/>
      <c r="C99" s="1502"/>
      <c r="D99" s="2060"/>
      <c r="E99" s="949" t="str">
        <f t="shared" ca="1" si="46"/>
        <v/>
      </c>
      <c r="F99" s="912" t="str">
        <f t="shared" ca="1" si="47"/>
        <v>--</v>
      </c>
      <c r="G99" s="913"/>
      <c r="H99" s="947" t="str">
        <f t="shared" ca="1" si="48"/>
        <v>--</v>
      </c>
      <c r="I99" s="453" t="str">
        <f t="shared" ca="1" si="49"/>
        <v/>
      </c>
      <c r="J99" s="912" t="str">
        <f t="shared" ca="1" si="50"/>
        <v>--</v>
      </c>
      <c r="K99" s="913"/>
      <c r="L99" s="935" t="str">
        <f t="shared" ca="1" si="51"/>
        <v>--</v>
      </c>
      <c r="M99" s="453" t="str">
        <f t="shared" ca="1" si="52"/>
        <v/>
      </c>
      <c r="N99" s="912" t="str">
        <f t="shared" ca="1" si="53"/>
        <v>--</v>
      </c>
      <c r="O99" s="913"/>
      <c r="P99" s="935" t="str">
        <f t="shared" ca="1" si="54"/>
        <v>--</v>
      </c>
      <c r="Q99" s="2060"/>
      <c r="R99" s="1557"/>
      <c r="S99" s="2060"/>
      <c r="T99" s="43">
        <v>26</v>
      </c>
      <c r="U99" s="43"/>
      <c r="V99" s="2060"/>
      <c r="W99" s="2060"/>
      <c r="X99" s="2060"/>
    </row>
    <row r="100" spans="1:24" s="646" customFormat="1" ht="13.9">
      <c r="A100" s="1557"/>
      <c r="B100" s="1557"/>
      <c r="C100" s="1502"/>
      <c r="D100" s="2060"/>
      <c r="E100" s="920"/>
      <c r="F100" s="2060"/>
      <c r="G100" s="913" t="s">
        <v>1158</v>
      </c>
      <c r="H100" s="949" t="str">
        <f t="array" aca="1" ref="H100" ca="1">IFERROR(MEDIAN(IF(F74:F99&lt;&gt;ClientName,H74:H99)),"n/a")</f>
        <v>n/a</v>
      </c>
      <c r="I100" s="2060"/>
      <c r="J100" s="2060"/>
      <c r="K100" s="913" t="s">
        <v>1158</v>
      </c>
      <c r="L100" s="936" t="str">
        <f t="array" aca="1" ref="L100" ca="1">IFERROR(MEDIAN(IF(J74:J99&lt;&gt;ClientName,L74:L99)),"n/a")</f>
        <v>n/a</v>
      </c>
      <c r="M100" s="2060"/>
      <c r="N100" s="2060"/>
      <c r="O100" s="913" t="s">
        <v>1158</v>
      </c>
      <c r="P100" s="936" t="str">
        <f t="array" aca="1" ref="P100" ca="1">IFERROR(MEDIAN(IF(N74:N99&lt;&gt;ClientName,P74:P99)),"n/a")</f>
        <v>n/a</v>
      </c>
      <c r="Q100" s="2060"/>
      <c r="R100" s="1557"/>
      <c r="S100" s="2060"/>
      <c r="T100" s="43"/>
      <c r="U100" s="43"/>
      <c r="V100" s="2060"/>
      <c r="W100" s="2060"/>
      <c r="X100" s="2060"/>
    </row>
    <row r="101" spans="1:24" s="646" customFormat="1" ht="13.9">
      <c r="A101" s="1557"/>
      <c r="B101" s="1557"/>
      <c r="C101" s="1502"/>
      <c r="D101" s="2060"/>
      <c r="E101" s="1578"/>
      <c r="F101" s="2060"/>
      <c r="G101" s="2060"/>
      <c r="H101" s="2060"/>
      <c r="I101" s="2060"/>
      <c r="J101" s="2060"/>
      <c r="K101" s="2060"/>
      <c r="L101" s="2060"/>
      <c r="M101" s="2060"/>
      <c r="N101" s="2060"/>
      <c r="O101" s="2060"/>
      <c r="P101" s="2060"/>
      <c r="Q101" s="2060"/>
      <c r="R101" s="1557"/>
      <c r="S101" s="2060"/>
      <c r="T101" s="2060"/>
      <c r="U101" s="2060"/>
      <c r="V101" s="2060"/>
      <c r="W101" s="2060"/>
      <c r="X101" s="2060"/>
    </row>
    <row r="102" spans="1:24" s="1499" customFormat="1" ht="13.9">
      <c r="A102" s="1557"/>
      <c r="B102" s="1557"/>
      <c r="C102" s="1502"/>
      <c r="D102" s="2060" t="str">
        <f>"LFY=Last fiscal year; LTM=Last twelve months; EBITDA=Earnings before interest and taxes, depreciation and amortization; EBIT=Earnings before interest and taxes; "&amp;EVorTIC&amp;"="&amp;EVorTICFull</f>
        <v>LFY=Last fiscal year; LTM=Last twelve months; EBITDA=Earnings before interest and taxes, depreciation and amortization; EBIT=Earnings before interest and taxes; TIC=Total invested capital</v>
      </c>
      <c r="E102" s="1578"/>
      <c r="F102" s="2060"/>
      <c r="G102" s="2060"/>
      <c r="H102" s="2060"/>
      <c r="I102" s="2060"/>
      <c r="J102" s="2060"/>
      <c r="K102" s="2060"/>
      <c r="L102" s="2060"/>
      <c r="M102" s="2060"/>
      <c r="N102" s="2060"/>
      <c r="O102" s="2060"/>
      <c r="P102" s="2060"/>
      <c r="Q102" s="2060"/>
      <c r="R102" s="1557"/>
      <c r="S102" s="2060"/>
      <c r="T102" s="2060"/>
      <c r="U102" s="2060"/>
      <c r="V102" s="2060"/>
      <c r="W102" s="2060"/>
      <c r="X102" s="2060"/>
    </row>
    <row r="103" spans="1:24" s="1499" customFormat="1" ht="13.9">
      <c r="A103" s="1557"/>
      <c r="B103" s="1557"/>
      <c r="C103" s="1502"/>
      <c r="D103" s="2060" t="s">
        <v>1402</v>
      </c>
      <c r="E103" s="1578"/>
      <c r="F103" s="2060"/>
      <c r="G103" s="2060"/>
      <c r="H103" s="2060"/>
      <c r="I103" s="2060"/>
      <c r="J103" s="2060"/>
      <c r="K103" s="2060"/>
      <c r="L103" s="2060"/>
      <c r="M103" s="2060"/>
      <c r="N103" s="2060"/>
      <c r="O103" s="2060"/>
      <c r="P103" s="2060"/>
      <c r="Q103" s="2060"/>
      <c r="R103" s="1557"/>
      <c r="S103" s="2060"/>
      <c r="T103" s="2060"/>
      <c r="U103" s="2060"/>
      <c r="V103" s="2060"/>
      <c r="W103" s="2060"/>
      <c r="X103" s="2060"/>
    </row>
    <row r="104" spans="1:24" s="1499" customFormat="1" ht="13.9">
      <c r="A104" s="1557"/>
      <c r="B104" s="1557"/>
      <c r="C104" s="1502"/>
      <c r="D104" s="2060"/>
      <c r="E104" s="1578"/>
      <c r="F104" s="2060"/>
      <c r="G104" s="2060"/>
      <c r="H104" s="2060"/>
      <c r="I104" s="2060"/>
      <c r="J104" s="2060"/>
      <c r="K104" s="2060"/>
      <c r="L104" s="2060"/>
      <c r="M104" s="2060"/>
      <c r="N104" s="2060"/>
      <c r="O104" s="2060"/>
      <c r="P104" s="2060"/>
      <c r="Q104" s="2060"/>
      <c r="R104" s="1557"/>
      <c r="S104" s="2060"/>
      <c r="T104" s="2060"/>
      <c r="U104" s="2060"/>
      <c r="V104" s="2060"/>
      <c r="W104" s="2060"/>
      <c r="X104" s="2060"/>
    </row>
    <row r="105" spans="1:24" s="1499" customFormat="1" ht="13.9">
      <c r="A105" s="1557"/>
      <c r="B105" s="1557"/>
      <c r="C105" s="1502"/>
      <c r="D105" s="2060" t="str">
        <f ca="1">FootnoteDRAFT</f>
        <v>Run date: 05-August-2018  02:34 PM.   DRAFT document. All data subject to change upon completion of additional analysis.</v>
      </c>
      <c r="E105" s="1578"/>
      <c r="F105" s="2060"/>
      <c r="G105" s="2060"/>
      <c r="H105" s="2060"/>
      <c r="I105" s="2060"/>
      <c r="J105" s="2060"/>
      <c r="K105" s="2060"/>
      <c r="L105" s="2060"/>
      <c r="M105" s="2060"/>
      <c r="N105" s="2060"/>
      <c r="O105" s="2060"/>
      <c r="P105" s="2060"/>
      <c r="Q105" s="2060"/>
      <c r="R105" s="1557"/>
      <c r="S105" s="2060"/>
      <c r="T105" s="2060"/>
      <c r="U105" s="2060"/>
      <c r="V105" s="2060"/>
      <c r="W105" s="2060"/>
      <c r="X105" s="2060"/>
    </row>
    <row r="106" spans="1:24" ht="12" customHeight="1">
      <c r="A106" s="1510" t="s">
        <v>17</v>
      </c>
      <c r="B106" s="1510"/>
      <c r="C106" s="1510"/>
      <c r="D106" s="1510"/>
      <c r="E106" s="1510"/>
      <c r="F106" s="701"/>
      <c r="G106" s="1510"/>
      <c r="H106" s="1510"/>
      <c r="I106" s="1510"/>
      <c r="J106" s="1510"/>
      <c r="K106" s="1510"/>
      <c r="L106" s="1510"/>
      <c r="M106" s="1510"/>
      <c r="N106" s="1510"/>
      <c r="O106" s="1510"/>
      <c r="P106" s="1510"/>
      <c r="Q106" s="1546" t="s">
        <v>18</v>
      </c>
      <c r="R106" s="1546"/>
      <c r="S106" s="2060"/>
      <c r="T106" s="2060"/>
      <c r="U106" s="2060"/>
      <c r="V106" s="2060"/>
      <c r="W106" s="1530"/>
      <c r="X106" s="2060"/>
    </row>
    <row r="107" spans="1:24" s="334" customFormat="1" ht="12" customHeight="1">
      <c r="A107" s="1510"/>
      <c r="B107" s="1510"/>
      <c r="C107" s="1510"/>
      <c r="D107" s="1510"/>
      <c r="E107" s="1510"/>
      <c r="F107" s="701"/>
      <c r="G107" s="1510"/>
      <c r="H107" s="1510"/>
      <c r="I107" s="1510"/>
      <c r="J107" s="1510"/>
      <c r="K107" s="1510"/>
      <c r="L107" s="1510"/>
      <c r="M107" s="1510"/>
      <c r="N107" s="1510"/>
      <c r="O107" s="1510"/>
      <c r="P107" s="1510"/>
      <c r="Q107" s="1510"/>
      <c r="R107" s="1557"/>
      <c r="S107" s="2060"/>
      <c r="T107" s="2060"/>
      <c r="U107" s="2060"/>
      <c r="V107" s="2060"/>
      <c r="W107" s="1525"/>
      <c r="X107" s="2060"/>
    </row>
    <row r="108" spans="1:24" s="646" customFormat="1" ht="12" customHeight="1">
      <c r="A108" s="2060"/>
      <c r="B108" s="2060"/>
      <c r="C108" s="2060"/>
      <c r="D108" s="2060"/>
      <c r="E108" s="2060"/>
      <c r="F108" s="2060"/>
      <c r="G108" s="2060"/>
      <c r="H108" s="2060"/>
      <c r="I108" s="2060"/>
      <c r="J108" s="2060"/>
      <c r="K108" s="2060"/>
      <c r="L108" s="2060"/>
      <c r="M108" s="2060"/>
      <c r="N108" s="2060"/>
      <c r="O108" s="2060"/>
      <c r="P108" s="2060"/>
      <c r="Q108" s="2060"/>
      <c r="R108" s="2060"/>
      <c r="S108" s="2060"/>
      <c r="T108" s="2060"/>
      <c r="U108" s="2060"/>
      <c r="V108" s="2060"/>
      <c r="W108" s="2060"/>
      <c r="X108" s="2060"/>
    </row>
    <row r="109" spans="1:24" s="646" customFormat="1" ht="12" customHeight="1">
      <c r="A109" s="2060"/>
      <c r="B109" s="2060"/>
      <c r="C109" s="2060"/>
      <c r="D109" s="2060"/>
      <c r="E109" s="2060"/>
      <c r="F109" s="939" t="s">
        <v>1725</v>
      </c>
      <c r="G109" s="940">
        <v>1</v>
      </c>
      <c r="H109" s="940">
        <v>2</v>
      </c>
      <c r="I109" s="940">
        <v>3</v>
      </c>
      <c r="J109" s="940">
        <v>4</v>
      </c>
      <c r="K109" s="940">
        <v>5</v>
      </c>
      <c r="L109" s="940">
        <v>6</v>
      </c>
      <c r="M109" s="940">
        <v>7</v>
      </c>
      <c r="N109" s="940">
        <v>8</v>
      </c>
      <c r="O109" s="940">
        <v>9</v>
      </c>
      <c r="P109" s="2060"/>
      <c r="Q109" s="2060"/>
      <c r="R109" s="2060"/>
      <c r="S109" s="2060"/>
      <c r="T109" s="2060"/>
      <c r="U109" s="2060"/>
      <c r="V109" s="2060"/>
      <c r="W109" s="2060"/>
      <c r="X109" s="2060"/>
    </row>
    <row r="110" spans="1:24" s="646" customFormat="1" ht="12" customHeight="1">
      <c r="A110" s="2060"/>
      <c r="B110" s="2060"/>
      <c r="C110" s="2060"/>
      <c r="D110" s="2060"/>
      <c r="E110" s="2060"/>
      <c r="F110" s="941" t="s">
        <v>1717</v>
      </c>
      <c r="G110" s="942" t="s">
        <v>463</v>
      </c>
      <c r="H110" s="942" t="s">
        <v>247</v>
      </c>
      <c r="I110" s="942" t="s">
        <v>211</v>
      </c>
      <c r="J110" s="942" t="s">
        <v>466</v>
      </c>
      <c r="K110" s="942" t="s">
        <v>258</v>
      </c>
      <c r="L110" s="942" t="s">
        <v>226</v>
      </c>
      <c r="M110" s="942" t="s">
        <v>313</v>
      </c>
      <c r="N110" s="942" t="s">
        <v>278</v>
      </c>
      <c r="O110" s="942" t="s">
        <v>240</v>
      </c>
      <c r="P110" s="2060"/>
      <c r="Q110" s="2060"/>
      <c r="R110" s="2060"/>
      <c r="S110" s="2060"/>
      <c r="T110" s="2060"/>
      <c r="U110" s="2060"/>
      <c r="V110" s="2060"/>
      <c r="W110" s="2060"/>
      <c r="X110" s="2060"/>
    </row>
    <row r="111" spans="1:24" s="646" customFormat="1" ht="12" customHeight="1">
      <c r="A111" s="2060"/>
      <c r="B111" s="2060"/>
      <c r="C111" s="2060"/>
      <c r="D111" s="2060"/>
      <c r="E111" s="2060"/>
      <c r="F111" s="941" t="s">
        <v>1726</v>
      </c>
      <c r="G111" s="943" t="s">
        <v>181</v>
      </c>
      <c r="H111" s="943" t="s">
        <v>313</v>
      </c>
      <c r="I111" s="943" t="s">
        <v>473</v>
      </c>
      <c r="J111" s="943" t="s">
        <v>218</v>
      </c>
      <c r="K111" s="943" t="s">
        <v>395</v>
      </c>
      <c r="L111" s="943" t="s">
        <v>490</v>
      </c>
      <c r="M111" s="943" t="s">
        <v>826</v>
      </c>
      <c r="N111" s="943" t="s">
        <v>476</v>
      </c>
      <c r="O111" s="943" t="s">
        <v>483</v>
      </c>
      <c r="P111" s="2060"/>
      <c r="Q111" s="2060"/>
      <c r="R111" s="2060"/>
      <c r="S111" s="2060"/>
      <c r="T111" s="2060"/>
      <c r="U111" s="2060"/>
      <c r="V111" s="2060"/>
      <c r="W111" s="2060"/>
      <c r="X111" s="2060"/>
    </row>
    <row r="112" spans="1:24" s="646" customFormat="1" ht="12" customHeight="1">
      <c r="A112" s="2060"/>
      <c r="B112" s="2060"/>
      <c r="C112" s="2060"/>
      <c r="D112" s="2060"/>
      <c r="E112" s="2060"/>
      <c r="F112" s="941" t="s">
        <v>1727</v>
      </c>
      <c r="G112" s="943"/>
      <c r="H112" s="943"/>
      <c r="I112" s="943"/>
      <c r="J112" s="943"/>
      <c r="K112" s="943"/>
      <c r="L112" s="943"/>
      <c r="M112" s="943"/>
      <c r="N112" s="943"/>
      <c r="O112" s="943"/>
      <c r="P112" s="2060"/>
      <c r="Q112" s="2060"/>
      <c r="R112" s="2060"/>
      <c r="S112" s="2060"/>
      <c r="T112" s="2060"/>
      <c r="U112" s="2060"/>
      <c r="V112" s="2060"/>
      <c r="W112" s="2060"/>
      <c r="X112" s="2060"/>
    </row>
    <row r="113" spans="1:24" s="646" customFormat="1" ht="12" customHeight="1">
      <c r="A113" s="2060"/>
      <c r="B113" s="2060"/>
      <c r="C113" s="2060"/>
      <c r="D113" s="2060"/>
      <c r="E113" s="2060"/>
      <c r="F113" s="941" t="s">
        <v>1728</v>
      </c>
      <c r="G113" s="1059"/>
      <c r="H113" s="943"/>
      <c r="I113" s="943"/>
      <c r="J113" s="943"/>
      <c r="K113" s="943"/>
      <c r="L113" s="943"/>
      <c r="M113" s="943"/>
      <c r="N113" s="943"/>
      <c r="O113" s="943"/>
      <c r="P113" s="2060"/>
      <c r="Q113" s="2060"/>
      <c r="R113" s="2060"/>
      <c r="S113" s="2060"/>
      <c r="T113" s="2060"/>
      <c r="U113" s="2060"/>
      <c r="V113" s="2060"/>
      <c r="W113" s="2060"/>
      <c r="X113" s="2060"/>
    </row>
    <row r="114" spans="1:24" s="646" customFormat="1" ht="12" customHeight="1">
      <c r="A114" s="2060"/>
      <c r="B114" s="2060"/>
      <c r="C114" s="2060"/>
      <c r="D114" s="2060"/>
      <c r="E114" s="2060"/>
      <c r="F114" s="939"/>
      <c r="G114" s="1057"/>
      <c r="H114" s="940"/>
      <c r="I114" s="940"/>
      <c r="J114" s="940"/>
      <c r="K114" s="940"/>
      <c r="L114" s="940"/>
      <c r="M114" s="940"/>
      <c r="N114" s="940"/>
      <c r="O114" s="940"/>
      <c r="P114" s="2060"/>
      <c r="Q114" s="2060"/>
      <c r="R114" s="2060"/>
      <c r="S114" s="2060"/>
      <c r="T114" s="2060"/>
      <c r="U114" s="2060"/>
      <c r="V114" s="2060"/>
      <c r="W114" s="2060"/>
      <c r="X114" s="2060"/>
    </row>
    <row r="115" spans="1:24" s="646" customFormat="1" ht="12" customHeight="1">
      <c r="A115" s="2060"/>
      <c r="B115" s="2060"/>
      <c r="C115" s="2060"/>
      <c r="D115" s="2060"/>
      <c r="E115" s="2060"/>
      <c r="F115" s="2060"/>
      <c r="G115" s="920"/>
      <c r="H115" s="2060"/>
      <c r="I115" s="2060"/>
      <c r="J115" s="2060"/>
      <c r="K115" s="2060"/>
      <c r="L115" s="2060"/>
      <c r="M115" s="2060"/>
      <c r="N115" s="2060"/>
      <c r="O115" s="2060"/>
      <c r="P115" s="2060"/>
      <c r="Q115" s="2060"/>
      <c r="R115" s="2060"/>
      <c r="S115" s="2060"/>
      <c r="T115" s="2060"/>
      <c r="U115" s="2060"/>
      <c r="V115" s="2060"/>
      <c r="W115" s="2060"/>
      <c r="X115" s="2060"/>
    </row>
    <row r="116" spans="1:24" s="646" customFormat="1" ht="12" customHeight="1">
      <c r="A116" s="2060"/>
      <c r="B116" s="2060"/>
      <c r="C116" s="2060"/>
      <c r="D116" s="2060"/>
      <c r="E116" s="2060"/>
      <c r="F116" s="2060"/>
      <c r="G116" s="920"/>
      <c r="H116" s="2060"/>
      <c r="I116" s="2060"/>
      <c r="J116" s="2060"/>
      <c r="K116" s="2060"/>
      <c r="L116" s="2060"/>
      <c r="M116" s="2060"/>
      <c r="N116" s="2060"/>
      <c r="O116" s="2060"/>
      <c r="P116" s="2060"/>
      <c r="Q116" s="2060"/>
      <c r="R116" s="2060"/>
      <c r="S116" s="2060"/>
      <c r="T116" s="2060"/>
      <c r="U116" s="2060"/>
      <c r="V116" s="2060"/>
      <c r="W116" s="2060"/>
      <c r="X116" s="2060"/>
    </row>
    <row r="117" spans="1:24" s="646" customFormat="1" ht="12" customHeight="1">
      <c r="A117" s="2060"/>
      <c r="B117" s="2060"/>
      <c r="C117" s="2060"/>
      <c r="D117" s="2060"/>
      <c r="E117" s="2060"/>
      <c r="F117" s="2060"/>
      <c r="G117" s="920"/>
      <c r="H117" s="2060"/>
      <c r="I117" s="2060"/>
      <c r="J117" s="2060"/>
      <c r="K117" s="2060"/>
      <c r="L117" s="2060"/>
      <c r="M117" s="2060"/>
      <c r="N117" s="2060"/>
      <c r="O117" s="2060"/>
      <c r="P117" s="2060"/>
      <c r="Q117" s="2060"/>
      <c r="R117" s="2060"/>
      <c r="S117" s="2060"/>
      <c r="T117" s="2060"/>
      <c r="U117" s="2060"/>
      <c r="V117" s="2060"/>
      <c r="W117" s="2060"/>
      <c r="X117" s="2060"/>
    </row>
    <row r="118" spans="1:24" s="646" customFormat="1" ht="12" customHeight="1">
      <c r="A118" s="2060"/>
      <c r="B118" s="2060"/>
      <c r="C118" s="2060"/>
      <c r="D118" s="2060"/>
      <c r="E118" s="2060"/>
      <c r="F118" s="2060"/>
      <c r="G118" s="920"/>
      <c r="H118" s="2060"/>
      <c r="I118" s="2060"/>
      <c r="J118" s="2060"/>
      <c r="K118" s="2060"/>
      <c r="L118" s="2060"/>
      <c r="M118" s="2060"/>
      <c r="N118" s="2060"/>
      <c r="O118" s="2060"/>
      <c r="P118" s="2060"/>
      <c r="Q118" s="2060"/>
      <c r="R118" s="2060"/>
      <c r="S118" s="2060"/>
      <c r="T118" s="2060"/>
      <c r="U118" s="2060"/>
      <c r="V118" s="2060"/>
      <c r="W118" s="2060"/>
      <c r="X118" s="2060"/>
    </row>
    <row r="119" spans="1:24" s="646" customFormat="1" ht="12" customHeight="1">
      <c r="A119" s="2060"/>
      <c r="B119" s="2060"/>
      <c r="C119" s="2060"/>
      <c r="D119" s="2060"/>
      <c r="E119" s="2060"/>
      <c r="F119" s="2060"/>
      <c r="G119" s="920"/>
      <c r="H119" s="2060"/>
      <c r="I119" s="2060"/>
      <c r="J119" s="2060" t="s">
        <v>678</v>
      </c>
      <c r="K119" s="2060"/>
      <c r="L119" s="2060"/>
      <c r="M119" s="2060"/>
      <c r="N119" s="2060"/>
      <c r="O119" s="2060"/>
      <c r="P119" s="2060"/>
      <c r="Q119" s="2060"/>
      <c r="R119" s="2060"/>
      <c r="S119" s="2060"/>
      <c r="T119" s="2060"/>
      <c r="U119" s="2060"/>
      <c r="V119" s="2060"/>
      <c r="W119" s="2060"/>
      <c r="X119" s="2060"/>
    </row>
    <row r="120" spans="1:24" s="646" customFormat="1" ht="12" customHeight="1">
      <c r="A120" s="2060"/>
      <c r="B120" s="2060"/>
      <c r="C120" s="2060"/>
      <c r="D120" s="2060"/>
      <c r="E120" s="2060"/>
      <c r="F120" s="2060"/>
      <c r="G120" s="920"/>
      <c r="H120" s="2060"/>
      <c r="I120" s="2060"/>
      <c r="J120" s="2060"/>
      <c r="K120" s="2060"/>
      <c r="L120" s="2060"/>
      <c r="M120" s="2060"/>
      <c r="N120" s="2060"/>
      <c r="O120" s="2060"/>
      <c r="P120" s="2060"/>
      <c r="Q120" s="2060"/>
      <c r="R120" s="2060"/>
      <c r="S120" s="2060"/>
      <c r="T120" s="2060"/>
      <c r="U120" s="2060"/>
      <c r="V120" s="2060"/>
      <c r="W120" s="2060"/>
      <c r="X120" s="2060"/>
    </row>
    <row r="121" spans="1:24" s="646" customFormat="1" ht="12" customHeight="1">
      <c r="A121" s="1510"/>
      <c r="B121" s="1510"/>
      <c r="C121" s="1510"/>
      <c r="D121" s="1510"/>
      <c r="E121" s="1510"/>
      <c r="F121" s="944" t="s">
        <v>1729</v>
      </c>
      <c r="G121" s="1058"/>
      <c r="H121" s="1510"/>
      <c r="I121" s="1510"/>
      <c r="J121" s="1510"/>
      <c r="K121" s="1510"/>
      <c r="L121" s="1510"/>
      <c r="M121" s="1510"/>
      <c r="N121" s="1510"/>
      <c r="O121" s="1510"/>
      <c r="P121" s="1510"/>
      <c r="Q121" s="1510"/>
      <c r="R121" s="1510"/>
      <c r="S121" s="2060"/>
      <c r="T121" s="2060"/>
      <c r="U121" s="2060"/>
      <c r="V121" s="2060"/>
      <c r="W121" s="2060"/>
      <c r="X121" s="2060"/>
    </row>
    <row r="122" spans="1:24" s="646" customFormat="1" ht="12" customHeight="1">
      <c r="A122" s="2060"/>
      <c r="B122" s="2060"/>
      <c r="C122" s="2060"/>
      <c r="D122" s="2060"/>
      <c r="E122" s="2060"/>
      <c r="F122" s="2060"/>
      <c r="G122" s="920"/>
      <c r="H122" s="2060"/>
      <c r="I122" s="2060"/>
      <c r="J122" s="2060"/>
      <c r="K122" s="2060"/>
      <c r="L122" s="2060"/>
      <c r="M122" s="2060"/>
      <c r="N122" s="2060"/>
      <c r="O122" s="2060"/>
      <c r="P122" s="2060"/>
      <c r="Q122" s="2060"/>
      <c r="R122" s="2060"/>
      <c r="S122" s="2060"/>
      <c r="T122" s="2060"/>
      <c r="U122" s="2060"/>
      <c r="V122" s="2060"/>
      <c r="W122" s="2060"/>
      <c r="X122" s="2060"/>
    </row>
    <row r="123" spans="1:24" s="646" customFormat="1" ht="12" customHeight="1">
      <c r="A123" s="2060"/>
      <c r="B123" s="2060"/>
      <c r="C123" s="2060"/>
      <c r="D123" s="2060"/>
      <c r="E123" s="2060"/>
      <c r="F123" s="2060"/>
      <c r="G123" s="920"/>
      <c r="H123" s="2060"/>
      <c r="I123" s="927" t="s">
        <v>1730</v>
      </c>
      <c r="J123" s="928" t="s">
        <v>699</v>
      </c>
      <c r="K123" s="928" t="s">
        <v>700</v>
      </c>
      <c r="L123" s="928" t="s">
        <v>701</v>
      </c>
      <c r="M123" s="928" t="s">
        <v>702</v>
      </c>
      <c r="N123" s="928" t="s">
        <v>703</v>
      </c>
      <c r="O123" s="929" t="s">
        <v>704</v>
      </c>
      <c r="P123" s="930" t="s">
        <v>705</v>
      </c>
      <c r="Q123" s="2060"/>
      <c r="R123" s="2060"/>
      <c r="S123" s="2060"/>
      <c r="T123" s="2060"/>
      <c r="U123" s="2060"/>
      <c r="V123" s="2060"/>
      <c r="W123" s="2060"/>
      <c r="X123" s="2060"/>
    </row>
    <row r="124" spans="1:24" s="646" customFormat="1" ht="12" customHeight="1">
      <c r="A124" s="2060"/>
      <c r="B124" s="2060"/>
      <c r="C124" s="2060"/>
      <c r="D124" s="2060"/>
      <c r="E124" s="2060"/>
      <c r="F124" s="2060"/>
      <c r="G124" s="920"/>
      <c r="H124" s="2060"/>
      <c r="I124" s="1004" t="s">
        <v>1731</v>
      </c>
      <c r="J124" s="1004">
        <f t="shared" ref="J124:P124" si="55">--(DataView_Period=J$123)</f>
        <v>0</v>
      </c>
      <c r="K124" s="1004">
        <f t="shared" si="55"/>
        <v>0</v>
      </c>
      <c r="L124" s="1004">
        <f t="shared" si="55"/>
        <v>0</v>
      </c>
      <c r="M124" s="1004">
        <f t="shared" si="55"/>
        <v>0</v>
      </c>
      <c r="N124" s="1004">
        <f t="shared" si="55"/>
        <v>0</v>
      </c>
      <c r="O124" s="1004">
        <f t="shared" si="55"/>
        <v>0</v>
      </c>
      <c r="P124" s="1004">
        <f t="shared" si="55"/>
        <v>1</v>
      </c>
      <c r="Q124" s="2060"/>
      <c r="R124" s="2060"/>
      <c r="S124" s="2060"/>
      <c r="T124" s="2060"/>
      <c r="U124" s="2060"/>
      <c r="V124" s="2060"/>
      <c r="W124" s="2060"/>
      <c r="X124" s="2060"/>
    </row>
    <row r="125" spans="1:24" s="646" customFormat="1" ht="12" customHeight="1">
      <c r="A125" s="2060"/>
      <c r="B125" s="2060"/>
      <c r="C125" s="2060"/>
      <c r="D125" s="2060"/>
      <c r="E125" s="2060"/>
      <c r="F125" s="2060"/>
      <c r="G125" s="920"/>
      <c r="H125" s="2060"/>
      <c r="I125" s="1004" t="s">
        <v>1721</v>
      </c>
      <c r="J125" s="1004">
        <v>0</v>
      </c>
      <c r="K125" s="1004">
        <v>0</v>
      </c>
      <c r="L125" s="1004">
        <v>0</v>
      </c>
      <c r="M125" s="931">
        <f>1/3*(DataView_Period=$I125)</f>
        <v>0</v>
      </c>
      <c r="N125" s="931">
        <f>1/3*(DataView_Period=$I125)</f>
        <v>0</v>
      </c>
      <c r="O125" s="931">
        <f>1/3*(DataView_Period=$I125)</f>
        <v>0</v>
      </c>
      <c r="P125" s="1004">
        <v>0</v>
      </c>
      <c r="Q125" s="2060"/>
      <c r="R125" s="2060"/>
      <c r="S125" s="2060"/>
      <c r="T125" s="2060"/>
      <c r="U125" s="2060"/>
      <c r="V125" s="2060"/>
      <c r="W125" s="2060"/>
      <c r="X125" s="2060"/>
    </row>
    <row r="126" spans="1:24" s="646" customFormat="1" ht="12" customHeight="1">
      <c r="A126" s="2060"/>
      <c r="B126" s="2060"/>
      <c r="C126" s="2060"/>
      <c r="D126" s="2060"/>
      <c r="E126" s="2060"/>
      <c r="F126" s="2060"/>
      <c r="G126" s="920"/>
      <c r="H126" s="2060"/>
      <c r="I126" s="1004" t="s">
        <v>1722</v>
      </c>
      <c r="J126" s="1004">
        <v>0</v>
      </c>
      <c r="K126" s="1004">
        <v>0</v>
      </c>
      <c r="L126" s="1004">
        <v>0</v>
      </c>
      <c r="M126" s="931">
        <f>1/6*(DataView_Period=$I126)</f>
        <v>0</v>
      </c>
      <c r="N126" s="931">
        <f>2/6*(DataView_Period=$I126)</f>
        <v>0</v>
      </c>
      <c r="O126" s="931">
        <f>3/6*(DataView_Period=$I126)</f>
        <v>0</v>
      </c>
      <c r="P126" s="1004">
        <v>0</v>
      </c>
      <c r="Q126" s="2060"/>
      <c r="R126" s="2060"/>
      <c r="S126" s="2060"/>
      <c r="T126" s="2060"/>
      <c r="U126" s="2060"/>
      <c r="V126" s="2060"/>
      <c r="W126" s="2060"/>
      <c r="X126" s="2060"/>
    </row>
    <row r="127" spans="1:24" s="646" customFormat="1" ht="12" customHeight="1">
      <c r="A127" s="2060"/>
      <c r="B127" s="2060"/>
      <c r="C127" s="2060"/>
      <c r="D127" s="2060"/>
      <c r="E127" s="2060"/>
      <c r="F127" s="2060"/>
      <c r="G127" s="920"/>
      <c r="H127" s="2060"/>
      <c r="I127" s="1004" t="s">
        <v>1723</v>
      </c>
      <c r="J127" s="1004">
        <v>0</v>
      </c>
      <c r="K127" s="931">
        <f>1/5*(DataView_Period=$I127)</f>
        <v>0</v>
      </c>
      <c r="L127" s="931">
        <f>1/5*(DataView_Period=$I127)</f>
        <v>0</v>
      </c>
      <c r="M127" s="931">
        <f>1/5*(DataView_Period=$I127)</f>
        <v>0</v>
      </c>
      <c r="N127" s="931">
        <f>1/5*(DataView_Period=$I127)</f>
        <v>0</v>
      </c>
      <c r="O127" s="931">
        <f>1/5*(DataView_Period=$I127)</f>
        <v>0</v>
      </c>
      <c r="P127" s="1004">
        <v>0</v>
      </c>
      <c r="Q127" s="2060"/>
      <c r="R127" s="2060"/>
      <c r="S127" s="2060"/>
      <c r="T127" s="2060"/>
      <c r="U127" s="2060"/>
      <c r="V127" s="2060"/>
      <c r="W127" s="2060"/>
      <c r="X127" s="2060"/>
    </row>
    <row r="128" spans="1:24" s="646" customFormat="1" ht="12" customHeight="1">
      <c r="A128" s="2060"/>
      <c r="B128" s="2060"/>
      <c r="C128" s="2060"/>
      <c r="D128" s="2060"/>
      <c r="E128" s="2060"/>
      <c r="F128" s="2060"/>
      <c r="G128" s="920"/>
      <c r="H128" s="2060"/>
      <c r="I128" s="1004" t="s">
        <v>1724</v>
      </c>
      <c r="J128" s="1004">
        <v>0</v>
      </c>
      <c r="K128" s="931">
        <f>1/15*(DataView_Period=$I128)</f>
        <v>0</v>
      </c>
      <c r="L128" s="931">
        <f>2/15*(DataView_Period=$I128)</f>
        <v>0</v>
      </c>
      <c r="M128" s="931">
        <f>3/15*(DataView_Period=$I128)</f>
        <v>0</v>
      </c>
      <c r="N128" s="931">
        <f>4/15*(DataView_Period=$I128)</f>
        <v>0</v>
      </c>
      <c r="O128" s="931">
        <f>5/15*(DataView_Period=$I128)</f>
        <v>0</v>
      </c>
      <c r="P128" s="1004">
        <v>0</v>
      </c>
      <c r="Q128" s="2060"/>
      <c r="R128" s="2060"/>
      <c r="S128" s="2060"/>
      <c r="T128" s="2060"/>
      <c r="U128" s="2060"/>
      <c r="V128" s="2060"/>
      <c r="W128" s="2060"/>
      <c r="X128" s="2060"/>
    </row>
    <row r="129" spans="1:24" s="646" customFormat="1" ht="12" customHeight="1">
      <c r="A129" s="2060"/>
      <c r="B129" s="2060"/>
      <c r="C129" s="2060"/>
      <c r="D129" s="2060"/>
      <c r="E129" s="2060"/>
      <c r="F129" s="2060"/>
      <c r="G129" s="920"/>
      <c r="H129" s="2060"/>
      <c r="I129" s="933" t="s">
        <v>1732</v>
      </c>
      <c r="J129" s="2269">
        <f>SUM(J124:J128)</f>
        <v>0</v>
      </c>
      <c r="K129" s="932">
        <f t="shared" ref="K129:P129" si="56">SUM(K124:K128)</f>
        <v>0</v>
      </c>
      <c r="L129" s="932">
        <f t="shared" si="56"/>
        <v>0</v>
      </c>
      <c r="M129" s="932">
        <f t="shared" si="56"/>
        <v>0</v>
      </c>
      <c r="N129" s="932">
        <f t="shared" si="56"/>
        <v>0</v>
      </c>
      <c r="O129" s="932">
        <f t="shared" si="56"/>
        <v>0</v>
      </c>
      <c r="P129" s="2270">
        <f t="shared" si="56"/>
        <v>1</v>
      </c>
      <c r="Q129" s="2060"/>
      <c r="R129" s="2060"/>
      <c r="S129" s="2060"/>
      <c r="T129" s="2060"/>
      <c r="U129" s="2060"/>
      <c r="V129" s="2060"/>
      <c r="W129" s="2060"/>
      <c r="X129" s="2060"/>
    </row>
    <row r="130" spans="1:24" s="646" customFormat="1" ht="12" customHeight="1">
      <c r="A130" s="2060"/>
      <c r="B130" s="2060"/>
      <c r="C130" s="2060"/>
      <c r="D130" s="2060"/>
      <c r="E130" s="2060"/>
      <c r="F130" s="2060"/>
      <c r="G130" s="920"/>
      <c r="H130" s="2060"/>
      <c r="I130" s="2060"/>
      <c r="J130" s="2060"/>
      <c r="K130" s="2060"/>
      <c r="L130" s="2060"/>
      <c r="M130" s="2060"/>
      <c r="N130" s="2060"/>
      <c r="O130" s="2060"/>
      <c r="P130" s="2060"/>
      <c r="Q130" s="2060"/>
      <c r="R130" s="2060"/>
      <c r="S130" s="2060"/>
      <c r="T130" s="2060"/>
      <c r="U130" s="2060"/>
      <c r="V130" s="2060"/>
      <c r="W130" s="2060"/>
      <c r="X130" s="2060"/>
    </row>
    <row r="131" spans="1:24" s="646" customFormat="1" ht="12" customHeight="1">
      <c r="A131" s="2060"/>
      <c r="B131" s="2060"/>
      <c r="C131" s="2060"/>
      <c r="D131" s="2060"/>
      <c r="E131" s="2060"/>
      <c r="F131" s="2060"/>
      <c r="G131" s="920"/>
      <c r="H131" s="2060"/>
      <c r="I131" s="2060"/>
      <c r="J131" s="2060"/>
      <c r="K131" s="2060"/>
      <c r="L131" s="2060"/>
      <c r="M131" s="2060"/>
      <c r="N131" s="2060"/>
      <c r="O131" s="2060"/>
      <c r="P131" s="2060"/>
      <c r="Q131" s="2060"/>
      <c r="R131" s="2060"/>
      <c r="S131" s="2060"/>
      <c r="T131" s="2060"/>
      <c r="U131" s="2060"/>
      <c r="V131" s="2060"/>
      <c r="W131" s="2060"/>
      <c r="X131" s="2060"/>
    </row>
    <row r="132" spans="1:24" s="646" customFormat="1" ht="12" customHeight="1">
      <c r="A132" s="2060"/>
      <c r="B132" s="2060"/>
      <c r="C132" s="2060"/>
      <c r="D132" s="2060"/>
      <c r="E132" s="2060"/>
      <c r="F132" s="1029" t="str">
        <f>F10</f>
        <v>Revenue</v>
      </c>
      <c r="G132" s="90"/>
      <c r="H132" s="2060"/>
      <c r="I132" s="2060"/>
      <c r="J132" s="1029" t="str">
        <f>J10</f>
        <v>EBITDA</v>
      </c>
      <c r="K132" s="90"/>
      <c r="L132" s="2060"/>
      <c r="M132" s="2060"/>
      <c r="N132" s="1029" t="str">
        <f>N10</f>
        <v>EBIT</v>
      </c>
      <c r="O132" s="90"/>
      <c r="P132" s="2060"/>
      <c r="Q132" s="2060"/>
      <c r="R132" s="2060"/>
      <c r="S132" s="2060"/>
      <c r="T132" s="2060"/>
      <c r="U132" s="2060"/>
      <c r="V132" s="2060"/>
      <c r="W132" s="2060"/>
      <c r="X132" s="2060"/>
    </row>
    <row r="133" spans="1:24" s="646" customFormat="1" ht="12" customHeight="1">
      <c r="A133" s="2060"/>
      <c r="B133" s="2060"/>
      <c r="C133" s="2060"/>
      <c r="D133" s="2060"/>
      <c r="E133" s="2060"/>
      <c r="F133" s="2060" t="s">
        <v>1733</v>
      </c>
      <c r="G133" s="2060">
        <f>MATCH(F132,'DATA GPC'!$F$1:$F$2263,0)</f>
        <v>564</v>
      </c>
      <c r="H133" s="521" t="str">
        <f>H11</f>
        <v>LTM</v>
      </c>
      <c r="I133" s="2060"/>
      <c r="J133" s="2060" t="s">
        <v>1733</v>
      </c>
      <c r="K133" s="2060">
        <f>MATCH(J132,'DATA GPC'!$F$1:$F$2263,0)</f>
        <v>626</v>
      </c>
      <c r="L133" s="521" t="str">
        <f>L11</f>
        <v>LTM</v>
      </c>
      <c r="M133" s="2060"/>
      <c r="N133" s="2060" t="s">
        <v>1733</v>
      </c>
      <c r="O133" s="2060">
        <f>MATCH(N132,'DATA GPC'!$F$1:$F$2263,0)</f>
        <v>657</v>
      </c>
      <c r="P133" s="521" t="str">
        <f>P11</f>
        <v>LTM</v>
      </c>
      <c r="Q133" s="2060"/>
      <c r="R133" s="2060"/>
      <c r="S133" s="2060"/>
      <c r="T133" s="2060"/>
      <c r="U133" s="2060"/>
      <c r="V133" s="2060"/>
      <c r="W133" s="2060"/>
      <c r="X133" s="2060"/>
    </row>
    <row r="134" spans="1:24" s="646" customFormat="1" ht="12" customHeight="1">
      <c r="A134" s="2060"/>
      <c r="B134" s="2060"/>
      <c r="C134" s="2060"/>
      <c r="D134" s="2060"/>
      <c r="E134" s="2060"/>
      <c r="F134" s="1029" t="s">
        <v>851</v>
      </c>
      <c r="G134" s="521" t="s">
        <v>1734</v>
      </c>
      <c r="H134" s="925" t="s">
        <v>1735</v>
      </c>
      <c r="I134" s="2060"/>
      <c r="J134" s="1029" t="s">
        <v>851</v>
      </c>
      <c r="K134" s="521" t="s">
        <v>1734</v>
      </c>
      <c r="L134" s="925" t="s">
        <v>1735</v>
      </c>
      <c r="M134" s="2060"/>
      <c r="N134" s="1029" t="s">
        <v>851</v>
      </c>
      <c r="O134" s="521" t="s">
        <v>1734</v>
      </c>
      <c r="P134" s="925" t="s">
        <v>1735</v>
      </c>
      <c r="Q134" s="2060"/>
      <c r="R134" s="2060"/>
      <c r="S134" s="2060"/>
      <c r="T134" s="2060"/>
      <c r="U134" s="2060"/>
      <c r="V134" s="2060"/>
      <c r="W134" s="2060"/>
      <c r="X134" s="2060"/>
    </row>
    <row r="135" spans="1:24" s="646" customFormat="1" ht="12" customHeight="1">
      <c r="A135" s="2060"/>
      <c r="B135" s="2060"/>
      <c r="C135" s="2060"/>
      <c r="D135" s="2060"/>
      <c r="E135" s="2060">
        <v>1</v>
      </c>
      <c r="F135" s="2060" t="str">
        <f>'DATA GPC'!$F99</f>
        <v/>
      </c>
      <c r="G135" s="959" t="str">
        <f ca="1">IF(F135="--","--",IF(SUMPRODUCT(OFFSET('DATA GPC'!$J$1,G$133+E135-1,0,1,7),DataViewFactor)=0,"n/a",SUMPRODUCT(OFFSET('DATA GPC'!$J$1,G$133+E135-1,0,1,7),DataViewFactor)))</f>
        <v>n/a</v>
      </c>
      <c r="H135" s="926">
        <f ca="1">IF($F135="--","n/a",IFERROR(RANK(G135,G$135:G$160),16-COUNTIF(G135:G$160,"--")))</f>
        <v>-9</v>
      </c>
      <c r="I135" s="2060">
        <v>1</v>
      </c>
      <c r="J135" s="2060" t="str">
        <f>'DATA GPC'!$F99</f>
        <v/>
      </c>
      <c r="K135" s="959" t="str">
        <f ca="1">IF(J135="--","--",IF(SUMPRODUCT(OFFSET('DATA GPC'!$J$1,K$133+I135-1,0,1,7),DataViewFactor)=0,"n/a",SUMPRODUCT(OFFSET('DATA GPC'!$J$1,K$133+I135-1,0,1,7),DataViewFactor)))</f>
        <v>n/a</v>
      </c>
      <c r="L135" s="926">
        <f ca="1">IF($F135="--","n/a",IFERROR(RANK(K135,K$135:K$160),16-COUNTIF(K135:K$160,"--")))</f>
        <v>-9</v>
      </c>
      <c r="M135" s="2060">
        <v>1</v>
      </c>
      <c r="N135" s="2060" t="str">
        <f>'DATA GPC'!$F99</f>
        <v/>
      </c>
      <c r="O135" s="959" t="str">
        <f ca="1">IF(N135="--","--",IF(SUMPRODUCT(OFFSET('DATA GPC'!$J$1,O$133+M135-1,0,1,7),DataViewFactor)=0,"n/a",SUMPRODUCT(OFFSET('DATA GPC'!$J$1,O$133+M135-1,0,1,7),DataViewFactor)))</f>
        <v>n/a</v>
      </c>
      <c r="P135" s="926">
        <f ca="1">IF($F135="--","n/a",IFERROR(RANK(O135,O$135:O$160),16-COUNTIF(O135:O$160,"--")))</f>
        <v>-9</v>
      </c>
      <c r="Q135" s="2060"/>
      <c r="R135" s="2060"/>
      <c r="S135" s="2060"/>
      <c r="T135" s="2060"/>
      <c r="U135" s="2060"/>
      <c r="V135" s="2060"/>
      <c r="W135" s="2060"/>
      <c r="X135" s="2060"/>
    </row>
    <row r="136" spans="1:24" s="646" customFormat="1" ht="12" customHeight="1">
      <c r="A136" s="2060"/>
      <c r="B136" s="2060"/>
      <c r="C136" s="2060"/>
      <c r="D136" s="2060"/>
      <c r="E136" s="2060">
        <v>2</v>
      </c>
      <c r="F136" s="2060" t="str">
        <f>'DATA GPC'!$F100</f>
        <v>--</v>
      </c>
      <c r="G136" s="959" t="str">
        <f ca="1">IF(F136="--","--",SUMPRODUCT(OFFSET('DATA GPC'!$J$1,G$133+E136-1,0,1,7),DataViewFactor)+(16-E136)/1000000)</f>
        <v>--</v>
      </c>
      <c r="H136" s="926" t="str">
        <f>IF($F136="--","n/a",IFERROR(RANK(G136,G$135:G$160),16-COUNTIF(G136:G$160,"--")))</f>
        <v>n/a</v>
      </c>
      <c r="I136" s="2060">
        <v>2</v>
      </c>
      <c r="J136" s="2060" t="str">
        <f>'DATA GPC'!$F100</f>
        <v>--</v>
      </c>
      <c r="K136" s="959" t="str">
        <f ca="1">IF(J136="--","--",SUMPRODUCT(OFFSET('DATA GPC'!$J$1,K$133+I136-1,0,1,7),DataViewFactor)+(16-I136)/1000000)</f>
        <v>--</v>
      </c>
      <c r="L136" s="926" t="str">
        <f>IF($F136="--","n/a",IFERROR(RANK(K136,K$135:K$160),16-COUNTIF(K136:K$160,"--")))</f>
        <v>n/a</v>
      </c>
      <c r="M136" s="2060">
        <v>2</v>
      </c>
      <c r="N136" s="2060" t="str">
        <f>'DATA GPC'!$F100</f>
        <v>--</v>
      </c>
      <c r="O136" s="959" t="str">
        <f ca="1">IF(N136="--","--",SUMPRODUCT(OFFSET('DATA GPC'!$J$1,O$133+M136-1,0,1,7),DataViewFactor)+(16-M136)/1000000)</f>
        <v>--</v>
      </c>
      <c r="P136" s="926" t="str">
        <f>IF($F136="--","n/a",IFERROR(RANK(O136,O$135:O$160),16-COUNTIF(O136:O$160,"--")))</f>
        <v>n/a</v>
      </c>
      <c r="Q136" s="2060"/>
      <c r="R136" s="2060"/>
      <c r="S136" s="2060"/>
      <c r="T136" s="2060"/>
      <c r="U136" s="2060"/>
      <c r="V136" s="2060"/>
      <c r="W136" s="2060"/>
      <c r="X136" s="2060"/>
    </row>
    <row r="137" spans="1:24" s="646" customFormat="1" ht="12" customHeight="1">
      <c r="A137" s="2060"/>
      <c r="B137" s="2060"/>
      <c r="C137" s="2060"/>
      <c r="D137" s="2060"/>
      <c r="E137" s="2060">
        <v>3</v>
      </c>
      <c r="F137" s="2060" t="str">
        <f>'DATA GPC'!$F101</f>
        <v>--</v>
      </c>
      <c r="G137" s="959" t="str">
        <f ca="1">IF(F137="--","--",SUMPRODUCT(OFFSET('DATA GPC'!$J$1,G$133+E137-1,0,1,7),DataViewFactor)+(16-E137)/1000000)</f>
        <v>--</v>
      </c>
      <c r="H137" s="926" t="str">
        <f>IF($F137="--","n/a",IFERROR(RANK(G137,G$135:G$160),16-COUNTIF(G137:G$160,"--")))</f>
        <v>n/a</v>
      </c>
      <c r="I137" s="2060">
        <v>3</v>
      </c>
      <c r="J137" s="2060" t="str">
        <f>'DATA GPC'!$F101</f>
        <v>--</v>
      </c>
      <c r="K137" s="959" t="str">
        <f ca="1">IF(J137="--","--",SUMPRODUCT(OFFSET('DATA GPC'!$J$1,K$133+I137-1,0,1,7),DataViewFactor)+(16-I137)/1000000)</f>
        <v>--</v>
      </c>
      <c r="L137" s="926" t="str">
        <f>IF($F137="--","n/a",IFERROR(RANK(K137,K$135:K$160),16-COUNTIF(K137:K$160,"--")))</f>
        <v>n/a</v>
      </c>
      <c r="M137" s="2060">
        <v>3</v>
      </c>
      <c r="N137" s="2060" t="str">
        <f>'DATA GPC'!$F101</f>
        <v>--</v>
      </c>
      <c r="O137" s="959" t="str">
        <f ca="1">IF(N137="--","--",SUMPRODUCT(OFFSET('DATA GPC'!$J$1,O$133+M137-1,0,1,7),DataViewFactor)+(16-M137)/1000000)</f>
        <v>--</v>
      </c>
      <c r="P137" s="926" t="str">
        <f>IF($F137="--","n/a",IFERROR(RANK(O137,O$135:O$160),16-COUNTIF(O137:O$160,"--")))</f>
        <v>n/a</v>
      </c>
      <c r="Q137" s="2060"/>
      <c r="R137" s="2060"/>
      <c r="S137" s="2060"/>
      <c r="T137" s="2060"/>
      <c r="U137" s="2060"/>
      <c r="V137" s="2060"/>
      <c r="W137" s="2060"/>
      <c r="X137" s="2060"/>
    </row>
    <row r="138" spans="1:24" s="646" customFormat="1" ht="12" customHeight="1">
      <c r="A138" s="2060"/>
      <c r="B138" s="2060"/>
      <c r="C138" s="2060"/>
      <c r="D138" s="2060"/>
      <c r="E138" s="2060">
        <v>4</v>
      </c>
      <c r="F138" s="2060" t="str">
        <f>'DATA GPC'!$F102</f>
        <v>--</v>
      </c>
      <c r="G138" s="959" t="str">
        <f ca="1">IF(F138="--","--",SUMPRODUCT(OFFSET('DATA GPC'!$J$1,G$133+E138-1,0,1,7),DataViewFactor)+(16-E138)/1000000)</f>
        <v>--</v>
      </c>
      <c r="H138" s="926" t="str">
        <f>IF($F138="--","n/a",IFERROR(RANK(G138,G$135:G$160),16-COUNTIF(G138:G$160,"--")))</f>
        <v>n/a</v>
      </c>
      <c r="I138" s="2060">
        <v>4</v>
      </c>
      <c r="J138" s="2060" t="str">
        <f>'DATA GPC'!$F102</f>
        <v>--</v>
      </c>
      <c r="K138" s="959" t="str">
        <f ca="1">IF(J138="--","--",SUMPRODUCT(OFFSET('DATA GPC'!$J$1,K$133+I138-1,0,1,7),DataViewFactor)+(16-I138)/1000000)</f>
        <v>--</v>
      </c>
      <c r="L138" s="926" t="str">
        <f>IF($F138="--","n/a",IFERROR(RANK(K138,K$135:K$160),16-COUNTIF(K138:K$160,"--")))</f>
        <v>n/a</v>
      </c>
      <c r="M138" s="2060">
        <v>4</v>
      </c>
      <c r="N138" s="2060" t="str">
        <f>'DATA GPC'!$F102</f>
        <v>--</v>
      </c>
      <c r="O138" s="959" t="str">
        <f ca="1">IF(N138="--","--",SUMPRODUCT(OFFSET('DATA GPC'!$J$1,O$133+M138-1,0,1,7),DataViewFactor)+(16-M138)/1000000)</f>
        <v>--</v>
      </c>
      <c r="P138" s="926" t="str">
        <f>IF($F138="--","n/a",IFERROR(RANK(O138,O$135:O$160),16-COUNTIF(O138:O$160,"--")))</f>
        <v>n/a</v>
      </c>
      <c r="Q138" s="2060"/>
      <c r="R138" s="2060"/>
      <c r="S138" s="2060"/>
      <c r="T138" s="2060"/>
      <c r="U138" s="2060"/>
      <c r="V138" s="2060"/>
      <c r="W138" s="2060"/>
      <c r="X138" s="2060"/>
    </row>
    <row r="139" spans="1:24" s="646" customFormat="1" ht="12" customHeight="1">
      <c r="A139" s="2060"/>
      <c r="B139" s="2060"/>
      <c r="C139" s="2060"/>
      <c r="D139" s="2060"/>
      <c r="E139" s="2060">
        <v>5</v>
      </c>
      <c r="F139" s="2060" t="str">
        <f>'DATA GPC'!$F103</f>
        <v>--</v>
      </c>
      <c r="G139" s="959" t="str">
        <f ca="1">IF(F139="--","--",SUMPRODUCT(OFFSET('DATA GPC'!$J$1,G$133+E139-1,0,1,7),DataViewFactor)+(16-E139)/1000000)</f>
        <v>--</v>
      </c>
      <c r="H139" s="926" t="str">
        <f>IF($F139="--","n/a",IFERROR(RANK(G139,G$135:G$160),16-COUNTIF(G139:G$160,"--")))</f>
        <v>n/a</v>
      </c>
      <c r="I139" s="2060">
        <v>5</v>
      </c>
      <c r="J139" s="2060" t="str">
        <f>'DATA GPC'!$F103</f>
        <v>--</v>
      </c>
      <c r="K139" s="959" t="str">
        <f ca="1">IF(J139="--","--",SUMPRODUCT(OFFSET('DATA GPC'!$J$1,K$133+I139-1,0,1,7),DataViewFactor)+(16-I139)/1000000)</f>
        <v>--</v>
      </c>
      <c r="L139" s="926" t="str">
        <f>IF($F139="--","n/a",IFERROR(RANK(K139,K$135:K$160),16-COUNTIF(K139:K$160,"--")))</f>
        <v>n/a</v>
      </c>
      <c r="M139" s="2060">
        <v>5</v>
      </c>
      <c r="N139" s="2060" t="str">
        <f>'DATA GPC'!$F103</f>
        <v>--</v>
      </c>
      <c r="O139" s="959" t="str">
        <f ca="1">IF(N139="--","--",SUMPRODUCT(OFFSET('DATA GPC'!$J$1,O$133+M139-1,0,1,7),DataViewFactor)+(16-M139)/1000000)</f>
        <v>--</v>
      </c>
      <c r="P139" s="926" t="str">
        <f>IF($F139="--","n/a",IFERROR(RANK(O139,O$135:O$160),16-COUNTIF(O139:O$160,"--")))</f>
        <v>n/a</v>
      </c>
      <c r="Q139" s="2060"/>
      <c r="R139" s="2060"/>
      <c r="S139" s="2060"/>
      <c r="T139" s="2060"/>
      <c r="U139" s="2060"/>
      <c r="V139" s="2060"/>
      <c r="W139" s="2060"/>
      <c r="X139" s="2060"/>
    </row>
    <row r="140" spans="1:24" s="646" customFormat="1" ht="12" customHeight="1">
      <c r="A140" s="2060"/>
      <c r="B140" s="2060"/>
      <c r="C140" s="2060"/>
      <c r="D140" s="2060"/>
      <c r="E140" s="2060">
        <v>6</v>
      </c>
      <c r="F140" s="2060" t="str">
        <f>'DATA GPC'!$F104</f>
        <v>--</v>
      </c>
      <c r="G140" s="959" t="str">
        <f ca="1">IF(F140="--","--",SUMPRODUCT(OFFSET('DATA GPC'!$J$1,G$133+E140-1,0,1,7),DataViewFactor)+(16-E140)/1000000)</f>
        <v>--</v>
      </c>
      <c r="H140" s="926" t="str">
        <f>IF($F140="--","n/a",IFERROR(RANK(G140,G$135:G$160),16-COUNTIF(G140:G$160,"--")))</f>
        <v>n/a</v>
      </c>
      <c r="I140" s="2060">
        <v>6</v>
      </c>
      <c r="J140" s="2060" t="str">
        <f>'DATA GPC'!$F104</f>
        <v>--</v>
      </c>
      <c r="K140" s="959" t="str">
        <f ca="1">IF(J140="--","--",SUMPRODUCT(OFFSET('DATA GPC'!$J$1,K$133+I140-1,0,1,7),DataViewFactor)+(16-I140)/1000000)</f>
        <v>--</v>
      </c>
      <c r="L140" s="926" t="str">
        <f>IF($F140="--","n/a",IFERROR(RANK(K140,K$135:K$160),16-COUNTIF(K140:K$160,"--")))</f>
        <v>n/a</v>
      </c>
      <c r="M140" s="2060">
        <v>6</v>
      </c>
      <c r="N140" s="2060" t="str">
        <f>'DATA GPC'!$F104</f>
        <v>--</v>
      </c>
      <c r="O140" s="959" t="str">
        <f ca="1">IF(N140="--","--",SUMPRODUCT(OFFSET('DATA GPC'!$J$1,O$133+M140-1,0,1,7),DataViewFactor)+(16-M140)/1000000)</f>
        <v>--</v>
      </c>
      <c r="P140" s="926" t="str">
        <f>IF($F140="--","n/a",IFERROR(RANK(O140,O$135:O$160),16-COUNTIF(O140:O$160,"--")))</f>
        <v>n/a</v>
      </c>
      <c r="Q140" s="2060"/>
      <c r="R140" s="2060"/>
      <c r="S140" s="2060"/>
      <c r="T140" s="2060"/>
      <c r="U140" s="2060"/>
      <c r="V140" s="2060"/>
      <c r="W140" s="2060"/>
      <c r="X140" s="2060"/>
    </row>
    <row r="141" spans="1:24" s="646" customFormat="1" ht="12" customHeight="1">
      <c r="A141" s="2060"/>
      <c r="B141" s="2060"/>
      <c r="C141" s="2060"/>
      <c r="D141" s="2060"/>
      <c r="E141" s="2060">
        <v>7</v>
      </c>
      <c r="F141" s="2060" t="str">
        <f>'DATA GPC'!$F105</f>
        <v>--</v>
      </c>
      <c r="G141" s="959" t="str">
        <f ca="1">IF(F141="--","--",SUMPRODUCT(OFFSET('DATA GPC'!$J$1,G$133+E141-1,0,1,7),DataViewFactor)+(16-E141)/1000000)</f>
        <v>--</v>
      </c>
      <c r="H141" s="926" t="str">
        <f>IF($F141="--","n/a",IFERROR(RANK(G141,G$135:G$160),16-COUNTIF(G141:G$160,"--")))</f>
        <v>n/a</v>
      </c>
      <c r="I141" s="2060">
        <v>7</v>
      </c>
      <c r="J141" s="2060" t="str">
        <f>'DATA GPC'!$F105</f>
        <v>--</v>
      </c>
      <c r="K141" s="959" t="str">
        <f ca="1">IF(J141="--","--",SUMPRODUCT(OFFSET('DATA GPC'!$J$1,K$133+I141-1,0,1,7),DataViewFactor)+(16-I141)/1000000)</f>
        <v>--</v>
      </c>
      <c r="L141" s="926" t="str">
        <f>IF($F141="--","n/a",IFERROR(RANK(K141,K$135:K$160),16-COUNTIF(K141:K$160,"--")))</f>
        <v>n/a</v>
      </c>
      <c r="M141" s="2060">
        <v>7</v>
      </c>
      <c r="N141" s="2060" t="str">
        <f>'DATA GPC'!$F105</f>
        <v>--</v>
      </c>
      <c r="O141" s="959" t="str">
        <f ca="1">IF(N141="--","--",SUMPRODUCT(OFFSET('DATA GPC'!$J$1,O$133+M141-1,0,1,7),DataViewFactor)+(16-M141)/1000000)</f>
        <v>--</v>
      </c>
      <c r="P141" s="926" t="str">
        <f>IF($F141="--","n/a",IFERROR(RANK(O141,O$135:O$160),16-COUNTIF(O141:O$160,"--")))</f>
        <v>n/a</v>
      </c>
      <c r="Q141" s="2060"/>
      <c r="R141" s="2060"/>
      <c r="S141" s="2060"/>
      <c r="T141" s="2060"/>
      <c r="U141" s="2060"/>
      <c r="V141" s="2060"/>
      <c r="W141" s="2060"/>
      <c r="X141" s="2060"/>
    </row>
    <row r="142" spans="1:24" s="646" customFormat="1" ht="12" customHeight="1">
      <c r="A142" s="2060"/>
      <c r="B142" s="2060"/>
      <c r="C142" s="2060"/>
      <c r="D142" s="2060"/>
      <c r="E142" s="2060">
        <v>8</v>
      </c>
      <c r="F142" s="2060" t="str">
        <f>'DATA GPC'!$F106</f>
        <v>--</v>
      </c>
      <c r="G142" s="959" t="str">
        <f ca="1">IF(F142="--","--",SUMPRODUCT(OFFSET('DATA GPC'!$J$1,G$133+E142-1,0,1,7),DataViewFactor)+(16-E142)/1000000)</f>
        <v>--</v>
      </c>
      <c r="H142" s="926" t="str">
        <f>IF($F142="--","n/a",IFERROR(RANK(G142,G$135:G$160),16-COUNTIF(G142:G$160,"--")))</f>
        <v>n/a</v>
      </c>
      <c r="I142" s="2060">
        <v>8</v>
      </c>
      <c r="J142" s="2060" t="str">
        <f>'DATA GPC'!$F106</f>
        <v>--</v>
      </c>
      <c r="K142" s="959" t="str">
        <f ca="1">IF(J142="--","--",SUMPRODUCT(OFFSET('DATA GPC'!$J$1,K$133+I142-1,0,1,7),DataViewFactor)+(16-I142)/1000000)</f>
        <v>--</v>
      </c>
      <c r="L142" s="926" t="str">
        <f>IF($F142="--","n/a",IFERROR(RANK(K142,K$135:K$160),16-COUNTIF(K142:K$160,"--")))</f>
        <v>n/a</v>
      </c>
      <c r="M142" s="2060">
        <v>8</v>
      </c>
      <c r="N142" s="2060" t="str">
        <f>'DATA GPC'!$F106</f>
        <v>--</v>
      </c>
      <c r="O142" s="959" t="str">
        <f ca="1">IF(N142="--","--",SUMPRODUCT(OFFSET('DATA GPC'!$J$1,O$133+M142-1,0,1,7),DataViewFactor)+(16-M142)/1000000)</f>
        <v>--</v>
      </c>
      <c r="P142" s="926" t="str">
        <f>IF($F142="--","n/a",IFERROR(RANK(O142,O$135:O$160),16-COUNTIF(O142:O$160,"--")))</f>
        <v>n/a</v>
      </c>
      <c r="Q142" s="2060"/>
      <c r="R142" s="2060"/>
      <c r="S142" s="2060"/>
      <c r="T142" s="2060"/>
      <c r="U142" s="2060"/>
      <c r="V142" s="2060"/>
      <c r="W142" s="2060"/>
      <c r="X142" s="2060"/>
    </row>
    <row r="143" spans="1:24" s="646" customFormat="1" ht="12" customHeight="1">
      <c r="A143" s="2060"/>
      <c r="B143" s="2060"/>
      <c r="C143" s="2060"/>
      <c r="D143" s="2060"/>
      <c r="E143" s="2060">
        <v>9</v>
      </c>
      <c r="F143" s="2060" t="str">
        <f>'DATA GPC'!$F107</f>
        <v>--</v>
      </c>
      <c r="G143" s="959" t="str">
        <f ca="1">IF(F143="--","--",SUMPRODUCT(OFFSET('DATA GPC'!$J$1,G$133+E143-1,0,1,7),DataViewFactor)+(16-E143)/1000000)</f>
        <v>--</v>
      </c>
      <c r="H143" s="926" t="str">
        <f>IF($F143="--","n/a",IFERROR(RANK(G143,G$135:G$160),16-COUNTIF(G143:G$160,"--")))</f>
        <v>n/a</v>
      </c>
      <c r="I143" s="2060">
        <v>9</v>
      </c>
      <c r="J143" s="2060" t="str">
        <f>'DATA GPC'!$F107</f>
        <v>--</v>
      </c>
      <c r="K143" s="959" t="str">
        <f ca="1">IF(J143="--","--",SUMPRODUCT(OFFSET('DATA GPC'!$J$1,K$133+I143-1,0,1,7),DataViewFactor)+(16-I143)/1000000)</f>
        <v>--</v>
      </c>
      <c r="L143" s="926" t="str">
        <f>IF($F143="--","n/a",IFERROR(RANK(K143,K$135:K$160),16-COUNTIF(K143:K$160,"--")))</f>
        <v>n/a</v>
      </c>
      <c r="M143" s="2060">
        <v>9</v>
      </c>
      <c r="N143" s="2060" t="str">
        <f>'DATA GPC'!$F107</f>
        <v>--</v>
      </c>
      <c r="O143" s="959" t="str">
        <f ca="1">IF(N143="--","--",SUMPRODUCT(OFFSET('DATA GPC'!$J$1,O$133+M143-1,0,1,7),DataViewFactor)+(16-M143)/1000000)</f>
        <v>--</v>
      </c>
      <c r="P143" s="926" t="str">
        <f>IF($F143="--","n/a",IFERROR(RANK(O143,O$135:O$160),16-COUNTIF(O143:O$160,"--")))</f>
        <v>n/a</v>
      </c>
      <c r="Q143" s="2060"/>
      <c r="R143" s="2060"/>
      <c r="S143" s="2060"/>
      <c r="T143" s="2060"/>
      <c r="U143" s="2060"/>
      <c r="V143" s="2060"/>
      <c r="W143" s="2060"/>
      <c r="X143" s="2060"/>
    </row>
    <row r="144" spans="1:24" s="646" customFormat="1" ht="12" customHeight="1">
      <c r="A144" s="2060"/>
      <c r="B144" s="2060"/>
      <c r="C144" s="2060"/>
      <c r="D144" s="2060"/>
      <c r="E144" s="2060">
        <v>10</v>
      </c>
      <c r="F144" s="2060" t="str">
        <f>'DATA GPC'!$F108</f>
        <v>--</v>
      </c>
      <c r="G144" s="959" t="str">
        <f ca="1">IF(F144="--","--",SUMPRODUCT(OFFSET('DATA GPC'!$J$1,G$133+E144-1,0,1,7),DataViewFactor)+(16-E144)/1000000)</f>
        <v>--</v>
      </c>
      <c r="H144" s="926" t="str">
        <f>IF($F144="--","n/a",IFERROR(RANK(G144,G$135:G$160),16-COUNTIF(G144:G$160,"--")))</f>
        <v>n/a</v>
      </c>
      <c r="I144" s="2060">
        <v>10</v>
      </c>
      <c r="J144" s="2060" t="str">
        <f>'DATA GPC'!$F108</f>
        <v>--</v>
      </c>
      <c r="K144" s="959" t="str">
        <f ca="1">IF(J144="--","--",SUMPRODUCT(OFFSET('DATA GPC'!$J$1,K$133+I144-1,0,1,7),DataViewFactor)+(16-I144)/1000000)</f>
        <v>--</v>
      </c>
      <c r="L144" s="926" t="str">
        <f>IF($F144="--","n/a",IFERROR(RANK(K144,K$135:K$160),16-COUNTIF(K144:K$160,"--")))</f>
        <v>n/a</v>
      </c>
      <c r="M144" s="2060">
        <v>10</v>
      </c>
      <c r="N144" s="2060" t="str">
        <f>'DATA GPC'!$F108</f>
        <v>--</v>
      </c>
      <c r="O144" s="959" t="str">
        <f ca="1">IF(N144="--","--",SUMPRODUCT(OFFSET('DATA GPC'!$J$1,O$133+M144-1,0,1,7),DataViewFactor)+(16-M144)/1000000)</f>
        <v>--</v>
      </c>
      <c r="P144" s="926" t="str">
        <f>IF($F144="--","n/a",IFERROR(RANK(O144,O$135:O$160),16-COUNTIF(O144:O$160,"--")))</f>
        <v>n/a</v>
      </c>
      <c r="Q144" s="2060"/>
      <c r="R144" s="2060"/>
      <c r="S144" s="2060"/>
      <c r="T144" s="2060"/>
      <c r="U144" s="2060"/>
      <c r="V144" s="2060"/>
      <c r="W144" s="2060"/>
      <c r="X144" s="2060"/>
    </row>
    <row r="145" spans="1:24" s="646" customFormat="1" ht="12" customHeight="1">
      <c r="A145" s="2060"/>
      <c r="B145" s="2060"/>
      <c r="C145" s="2060"/>
      <c r="D145" s="2060"/>
      <c r="E145" s="2060">
        <v>11</v>
      </c>
      <c r="F145" s="2060" t="str">
        <f>'DATA GPC'!$F109</f>
        <v>--</v>
      </c>
      <c r="G145" s="959" t="str">
        <f ca="1">IF(F145="--","--",SUMPRODUCT(OFFSET('DATA GPC'!$J$1,G$133+E145-1,0,1,7),DataViewFactor)+(16-E145)/1000000)</f>
        <v>--</v>
      </c>
      <c r="H145" s="926" t="str">
        <f>IF($F145="--","n/a",IFERROR(RANK(G145,G$135:G$160),16-COUNTIF(G145:G$160,"--")))</f>
        <v>n/a</v>
      </c>
      <c r="I145" s="2060">
        <v>11</v>
      </c>
      <c r="J145" s="2060" t="str">
        <f>'DATA GPC'!$F109</f>
        <v>--</v>
      </c>
      <c r="K145" s="959" t="str">
        <f ca="1">IF(J145="--","--",SUMPRODUCT(OFFSET('DATA GPC'!$J$1,K$133+I145-1,0,1,7),DataViewFactor)+(16-I145)/1000000)</f>
        <v>--</v>
      </c>
      <c r="L145" s="926" t="str">
        <f>IF($F145="--","n/a",IFERROR(RANK(K145,K$135:K$160),16-COUNTIF(K145:K$160,"--")))</f>
        <v>n/a</v>
      </c>
      <c r="M145" s="2060">
        <v>11</v>
      </c>
      <c r="N145" s="2060" t="str">
        <f>'DATA GPC'!$F109</f>
        <v>--</v>
      </c>
      <c r="O145" s="959" t="str">
        <f ca="1">IF(N145="--","--",SUMPRODUCT(OFFSET('DATA GPC'!$J$1,O$133+M145-1,0,1,7),DataViewFactor)+(16-M145)/1000000)</f>
        <v>--</v>
      </c>
      <c r="P145" s="926" t="str">
        <f>IF($F145="--","n/a",IFERROR(RANK(O145,O$135:O$160),16-COUNTIF(O145:O$160,"--")))</f>
        <v>n/a</v>
      </c>
      <c r="Q145" s="2060"/>
      <c r="R145" s="2060"/>
      <c r="S145" s="2060"/>
      <c r="T145" s="2060"/>
      <c r="U145" s="2060"/>
      <c r="V145" s="2060"/>
      <c r="W145" s="2060"/>
      <c r="X145" s="2060"/>
    </row>
    <row r="146" spans="1:24" s="646" customFormat="1" ht="12" customHeight="1">
      <c r="A146" s="2060"/>
      <c r="B146" s="2060"/>
      <c r="C146" s="2060"/>
      <c r="D146" s="2060"/>
      <c r="E146" s="2060">
        <v>12</v>
      </c>
      <c r="F146" s="2060" t="str">
        <f>'DATA GPC'!$F110</f>
        <v>--</v>
      </c>
      <c r="G146" s="959" t="str">
        <f ca="1">IF(F146="--","--",SUMPRODUCT(OFFSET('DATA GPC'!$J$1,G$133+E146-1,0,1,7),DataViewFactor)+(16-E146)/1000000)</f>
        <v>--</v>
      </c>
      <c r="H146" s="926" t="str">
        <f>IF($F146="--","n/a",IFERROR(RANK(G146,G$135:G$160),16-COUNTIF(G146:G$160,"--")))</f>
        <v>n/a</v>
      </c>
      <c r="I146" s="2060">
        <v>12</v>
      </c>
      <c r="J146" s="2060" t="str">
        <f>'DATA GPC'!$F110</f>
        <v>--</v>
      </c>
      <c r="K146" s="959" t="str">
        <f ca="1">IF(J146="--","--",SUMPRODUCT(OFFSET('DATA GPC'!$J$1,K$133+I146-1,0,1,7),DataViewFactor)+(16-I146)/1000000)</f>
        <v>--</v>
      </c>
      <c r="L146" s="926" t="str">
        <f>IF($F146="--","n/a",IFERROR(RANK(K146,K$135:K$160),16-COUNTIF(K146:K$160,"--")))</f>
        <v>n/a</v>
      </c>
      <c r="M146" s="2060">
        <v>12</v>
      </c>
      <c r="N146" s="2060" t="str">
        <f>'DATA GPC'!$F110</f>
        <v>--</v>
      </c>
      <c r="O146" s="959" t="str">
        <f ca="1">IF(N146="--","--",SUMPRODUCT(OFFSET('DATA GPC'!$J$1,O$133+M146-1,0,1,7),DataViewFactor)+(16-M146)/1000000)</f>
        <v>--</v>
      </c>
      <c r="P146" s="926" t="str">
        <f>IF($F146="--","n/a",IFERROR(RANK(O146,O$135:O$160),16-COUNTIF(O146:O$160,"--")))</f>
        <v>n/a</v>
      </c>
      <c r="Q146" s="2060"/>
      <c r="R146" s="2060"/>
      <c r="S146" s="2060"/>
      <c r="T146" s="2060"/>
      <c r="U146" s="2060"/>
      <c r="V146" s="2060"/>
      <c r="W146" s="2060"/>
      <c r="X146" s="2060"/>
    </row>
    <row r="147" spans="1:24" s="646" customFormat="1" ht="12" customHeight="1">
      <c r="A147" s="2060"/>
      <c r="B147" s="2060"/>
      <c r="C147" s="2060"/>
      <c r="D147" s="2060"/>
      <c r="E147" s="2060">
        <v>13</v>
      </c>
      <c r="F147" s="2060" t="str">
        <f>'DATA GPC'!$F111</f>
        <v>--</v>
      </c>
      <c r="G147" s="959" t="str">
        <f ca="1">IF(F147="--","--",SUMPRODUCT(OFFSET('DATA GPC'!$J$1,G$133+E147-1,0,1,7),DataViewFactor)+(16-E147)/1000000)</f>
        <v>--</v>
      </c>
      <c r="H147" s="926" t="str">
        <f>IF($F147="--","n/a",IFERROR(RANK(G147,G$135:G$160),16-COUNTIF(G147:G$160,"--")))</f>
        <v>n/a</v>
      </c>
      <c r="I147" s="2060">
        <v>13</v>
      </c>
      <c r="J147" s="2060" t="str">
        <f>'DATA GPC'!$F111</f>
        <v>--</v>
      </c>
      <c r="K147" s="959" t="str">
        <f ca="1">IF(J147="--","--",SUMPRODUCT(OFFSET('DATA GPC'!$J$1,K$133+I147-1,0,1,7),DataViewFactor)+(16-I147)/1000000)</f>
        <v>--</v>
      </c>
      <c r="L147" s="926" t="str">
        <f>IF($F147="--","n/a",IFERROR(RANK(K147,K$135:K$160),16-COUNTIF(K147:K$160,"--")))</f>
        <v>n/a</v>
      </c>
      <c r="M147" s="2060">
        <v>13</v>
      </c>
      <c r="N147" s="2060" t="str">
        <f>'DATA GPC'!$F111</f>
        <v>--</v>
      </c>
      <c r="O147" s="959" t="str">
        <f ca="1">IF(N147="--","--",SUMPRODUCT(OFFSET('DATA GPC'!$J$1,O$133+M147-1,0,1,7),DataViewFactor)+(16-M147)/1000000)</f>
        <v>--</v>
      </c>
      <c r="P147" s="926" t="str">
        <f>IF($F147="--","n/a",IFERROR(RANK(O147,O$135:O$160),16-COUNTIF(O147:O$160,"--")))</f>
        <v>n/a</v>
      </c>
      <c r="Q147" s="2060"/>
      <c r="R147" s="2060"/>
      <c r="S147" s="2060"/>
      <c r="T147" s="2060"/>
      <c r="U147" s="2060"/>
      <c r="V147" s="2060"/>
      <c r="W147" s="2060"/>
      <c r="X147" s="2060"/>
    </row>
    <row r="148" spans="1:24" s="646" customFormat="1" ht="12" customHeight="1">
      <c r="A148" s="2060"/>
      <c r="B148" s="2060"/>
      <c r="C148" s="2060"/>
      <c r="D148" s="2060"/>
      <c r="E148" s="2060">
        <v>14</v>
      </c>
      <c r="F148" s="2060" t="str">
        <f>'DATA GPC'!$F112</f>
        <v>--</v>
      </c>
      <c r="G148" s="959" t="str">
        <f ca="1">IF(F148="--","--",SUMPRODUCT(OFFSET('DATA GPC'!$J$1,G$133+E148-1,0,1,7),DataViewFactor)+(16-E148)/1000000)</f>
        <v>--</v>
      </c>
      <c r="H148" s="926" t="str">
        <f>IF($F148="--","n/a",IFERROR(RANK(G148,G$135:G$160),16-COUNTIF(G148:G$160,"--")))</f>
        <v>n/a</v>
      </c>
      <c r="I148" s="2060">
        <v>14</v>
      </c>
      <c r="J148" s="2060" t="str">
        <f>'DATA GPC'!$F112</f>
        <v>--</v>
      </c>
      <c r="K148" s="959" t="str">
        <f ca="1">IF(J148="--","--",SUMPRODUCT(OFFSET('DATA GPC'!$J$1,K$133+I148-1,0,1,7),DataViewFactor)+(16-I148)/1000000)</f>
        <v>--</v>
      </c>
      <c r="L148" s="926" t="str">
        <f>IF($F148="--","n/a",IFERROR(RANK(K148,K$135:K$160),16-COUNTIF(K148:K$160,"--")))</f>
        <v>n/a</v>
      </c>
      <c r="M148" s="2060">
        <v>14</v>
      </c>
      <c r="N148" s="2060" t="str">
        <f>'DATA GPC'!$F112</f>
        <v>--</v>
      </c>
      <c r="O148" s="959" t="str">
        <f ca="1">IF(N148="--","--",SUMPRODUCT(OFFSET('DATA GPC'!$J$1,O$133+M148-1,0,1,7),DataViewFactor)+(16-M148)/1000000)</f>
        <v>--</v>
      </c>
      <c r="P148" s="926" t="str">
        <f>IF($F148="--","n/a",IFERROR(RANK(O148,O$135:O$160),16-COUNTIF(O148:O$160,"--")))</f>
        <v>n/a</v>
      </c>
      <c r="Q148" s="2060"/>
      <c r="R148" s="2060"/>
      <c r="S148" s="2060"/>
      <c r="T148" s="2060"/>
      <c r="U148" s="2060"/>
      <c r="V148" s="2060"/>
      <c r="W148" s="2060"/>
      <c r="X148" s="2060"/>
    </row>
    <row r="149" spans="1:24" s="646" customFormat="1" ht="12" customHeight="1">
      <c r="A149" s="2060"/>
      <c r="B149" s="2060"/>
      <c r="C149" s="2060"/>
      <c r="D149" s="2060"/>
      <c r="E149" s="2060">
        <v>15</v>
      </c>
      <c r="F149" s="2060" t="str">
        <f>'DATA GPC'!$F113</f>
        <v>--</v>
      </c>
      <c r="G149" s="959" t="str">
        <f ca="1">IF(F149="--","--",SUMPRODUCT(OFFSET('DATA GPC'!$J$1,G$133+E149-1,0,1,7),DataViewFactor)+(16-E149)/1000000)</f>
        <v>--</v>
      </c>
      <c r="H149" s="926" t="str">
        <f>IF($F149="--","n/a",IFERROR(RANK(G149,G$135:G$160),16-COUNTIF(G149:G$160,"--")))</f>
        <v>n/a</v>
      </c>
      <c r="I149" s="2060">
        <v>15</v>
      </c>
      <c r="J149" s="2060" t="str">
        <f>'DATA GPC'!$F113</f>
        <v>--</v>
      </c>
      <c r="K149" s="959" t="str">
        <f ca="1">IF(J149="--","--",SUMPRODUCT(OFFSET('DATA GPC'!$J$1,K$133+I149-1,0,1,7),DataViewFactor)+(16-I149)/1000000)</f>
        <v>--</v>
      </c>
      <c r="L149" s="926" t="str">
        <f>IF($F149="--","n/a",IFERROR(RANK(K149,K$135:K$160),16-COUNTIF(K149:K$160,"--")))</f>
        <v>n/a</v>
      </c>
      <c r="M149" s="2060">
        <v>15</v>
      </c>
      <c r="N149" s="2060" t="str">
        <f>'DATA GPC'!$F113</f>
        <v>--</v>
      </c>
      <c r="O149" s="959" t="str">
        <f ca="1">IF(N149="--","--",SUMPRODUCT(OFFSET('DATA GPC'!$J$1,O$133+M149-1,0,1,7),DataViewFactor)+(16-M149)/1000000)</f>
        <v>--</v>
      </c>
      <c r="P149" s="926" t="str">
        <f>IF($F149="--","n/a",IFERROR(RANK(O149,O$135:O$160),16-COUNTIF(O149:O$160,"--")))</f>
        <v>n/a</v>
      </c>
      <c r="Q149" s="2060"/>
      <c r="R149" s="2060"/>
      <c r="S149" s="2060"/>
      <c r="T149" s="2060"/>
      <c r="U149" s="2060"/>
      <c r="V149" s="2060"/>
      <c r="W149" s="2060"/>
      <c r="X149" s="2060"/>
    </row>
    <row r="150" spans="1:24" s="1499" customFormat="1" ht="12" customHeight="1">
      <c r="A150" s="2060"/>
      <c r="B150" s="2060"/>
      <c r="C150" s="2060"/>
      <c r="D150" s="2060"/>
      <c r="E150" s="2060">
        <v>16</v>
      </c>
      <c r="F150" s="2060" t="str">
        <f>'DATA GPC'!$F114</f>
        <v>--</v>
      </c>
      <c r="G150" s="959" t="str">
        <f ca="1">IF(F150="--","--",SUMPRODUCT(OFFSET('DATA GPC'!$J$1,G$133+E150-1,0,1,7),DataViewFactor)+(16-E150)/1000000)</f>
        <v>--</v>
      </c>
      <c r="H150" s="926" t="str">
        <f>IF($F150="--","n/a",IFERROR(RANK(G150,G$135:G$160),16-COUNTIF(G150:G$160,"--")))</f>
        <v>n/a</v>
      </c>
      <c r="I150" s="2060">
        <v>16</v>
      </c>
      <c r="J150" s="2060" t="str">
        <f>'DATA GPC'!$F114</f>
        <v>--</v>
      </c>
      <c r="K150" s="959" t="str">
        <f ca="1">IF(J150="--","--",SUMPRODUCT(OFFSET('DATA GPC'!$J$1,K$133+I150-1,0,1,7),DataViewFactor)+(16-I150)/1000000)</f>
        <v>--</v>
      </c>
      <c r="L150" s="926" t="str">
        <f>IF($F150="--","n/a",IFERROR(RANK(K150,K$135:K$160),16-COUNTIF(K150:K$160,"--")))</f>
        <v>n/a</v>
      </c>
      <c r="M150" s="2060">
        <v>16</v>
      </c>
      <c r="N150" s="2060" t="str">
        <f>'DATA GPC'!$F114</f>
        <v>--</v>
      </c>
      <c r="O150" s="959" t="str">
        <f ca="1">IF(N150="--","--",SUMPRODUCT(OFFSET('DATA GPC'!$J$1,O$133+M150-1,0,1,7),DataViewFactor)+(16-M150)/1000000)</f>
        <v>--</v>
      </c>
      <c r="P150" s="926" t="str">
        <f>IF($F150="--","n/a",IFERROR(RANK(O150,O$135:O$160),16-COUNTIF(O150:O$160,"--")))</f>
        <v>n/a</v>
      </c>
      <c r="Q150" s="2060"/>
      <c r="R150" s="2060"/>
      <c r="S150" s="2060"/>
      <c r="T150" s="2060"/>
      <c r="U150" s="2060"/>
      <c r="V150" s="2060"/>
      <c r="W150" s="2060"/>
      <c r="X150" s="2060"/>
    </row>
    <row r="151" spans="1:24" s="1499" customFormat="1" ht="12" customHeight="1">
      <c r="A151" s="2060"/>
      <c r="B151" s="2060"/>
      <c r="C151" s="2060"/>
      <c r="D151" s="2060"/>
      <c r="E151" s="2060">
        <v>17</v>
      </c>
      <c r="F151" s="2060" t="str">
        <f>'DATA GPC'!$F115</f>
        <v>--</v>
      </c>
      <c r="G151" s="959" t="str">
        <f ca="1">IF(F151="--","--",SUMPRODUCT(OFFSET('DATA GPC'!$J$1,G$133+E151-1,0,1,7),DataViewFactor)+(16-E151)/1000000)</f>
        <v>--</v>
      </c>
      <c r="H151" s="926" t="str">
        <f>IF($F151="--","n/a",IFERROR(RANK(G151,G$135:G$160),16-COUNTIF(G151:G$160,"--")))</f>
        <v>n/a</v>
      </c>
      <c r="I151" s="2060">
        <v>17</v>
      </c>
      <c r="J151" s="2060" t="str">
        <f>'DATA GPC'!$F115</f>
        <v>--</v>
      </c>
      <c r="K151" s="959" t="str">
        <f ca="1">IF(J151="--","--",SUMPRODUCT(OFFSET('DATA GPC'!$J$1,K$133+I151-1,0,1,7),DataViewFactor)+(16-I151)/1000000)</f>
        <v>--</v>
      </c>
      <c r="L151" s="926" t="str">
        <f>IF($F151="--","n/a",IFERROR(RANK(K151,K$135:K$160),16-COUNTIF(K151:K$160,"--")))</f>
        <v>n/a</v>
      </c>
      <c r="M151" s="2060">
        <v>17</v>
      </c>
      <c r="N151" s="2060" t="str">
        <f>'DATA GPC'!$F115</f>
        <v>--</v>
      </c>
      <c r="O151" s="959" t="str">
        <f ca="1">IF(N151="--","--",SUMPRODUCT(OFFSET('DATA GPC'!$J$1,O$133+M151-1,0,1,7),DataViewFactor)+(16-M151)/1000000)</f>
        <v>--</v>
      </c>
      <c r="P151" s="926" t="str">
        <f>IF($F151="--","n/a",IFERROR(RANK(O151,O$135:O$160),16-COUNTIF(O151:O$160,"--")))</f>
        <v>n/a</v>
      </c>
      <c r="Q151" s="2060"/>
      <c r="R151" s="2060"/>
      <c r="S151" s="2060"/>
      <c r="T151" s="2060"/>
      <c r="U151" s="2060"/>
      <c r="V151" s="2060"/>
      <c r="W151" s="2060"/>
      <c r="X151" s="2060"/>
    </row>
    <row r="152" spans="1:24" s="1499" customFormat="1" ht="12" customHeight="1">
      <c r="A152" s="2060"/>
      <c r="B152" s="2060"/>
      <c r="C152" s="2060"/>
      <c r="D152" s="2060"/>
      <c r="E152" s="2060">
        <v>18</v>
      </c>
      <c r="F152" s="2060" t="str">
        <f>'DATA GPC'!$F116</f>
        <v>--</v>
      </c>
      <c r="G152" s="959" t="str">
        <f ca="1">IF(F152="--","--",SUMPRODUCT(OFFSET('DATA GPC'!$J$1,G$133+E152-1,0,1,7),DataViewFactor)+(16-E152)/1000000)</f>
        <v>--</v>
      </c>
      <c r="H152" s="926" t="str">
        <f>IF($F152="--","n/a",IFERROR(RANK(G152,G$135:G$160),16-COUNTIF(G152:G$160,"--")))</f>
        <v>n/a</v>
      </c>
      <c r="I152" s="2060">
        <v>18</v>
      </c>
      <c r="J152" s="2060" t="str">
        <f>'DATA GPC'!$F116</f>
        <v>--</v>
      </c>
      <c r="K152" s="959" t="str">
        <f ca="1">IF(J152="--","--",SUMPRODUCT(OFFSET('DATA GPC'!$J$1,K$133+I152-1,0,1,7),DataViewFactor)+(16-I152)/1000000)</f>
        <v>--</v>
      </c>
      <c r="L152" s="926" t="str">
        <f>IF($F152="--","n/a",IFERROR(RANK(K152,K$135:K$160),16-COUNTIF(K152:K$160,"--")))</f>
        <v>n/a</v>
      </c>
      <c r="M152" s="2060">
        <v>18</v>
      </c>
      <c r="N152" s="2060" t="str">
        <f>'DATA GPC'!$F116</f>
        <v>--</v>
      </c>
      <c r="O152" s="959" t="str">
        <f ca="1">IF(N152="--","--",SUMPRODUCT(OFFSET('DATA GPC'!$J$1,O$133+M152-1,0,1,7),DataViewFactor)+(16-M152)/1000000)</f>
        <v>--</v>
      </c>
      <c r="P152" s="926" t="str">
        <f>IF($F152="--","n/a",IFERROR(RANK(O152,O$135:O$160),16-COUNTIF(O152:O$160,"--")))</f>
        <v>n/a</v>
      </c>
      <c r="Q152" s="2060"/>
      <c r="R152" s="2060"/>
      <c r="S152" s="2060"/>
      <c r="T152" s="2060"/>
      <c r="U152" s="2060"/>
      <c r="V152" s="2060"/>
      <c r="W152" s="2060"/>
      <c r="X152" s="2060"/>
    </row>
    <row r="153" spans="1:24" s="1499" customFormat="1" ht="12" customHeight="1">
      <c r="A153" s="2060"/>
      <c r="B153" s="2060"/>
      <c r="C153" s="2060"/>
      <c r="D153" s="2060"/>
      <c r="E153" s="2060">
        <v>19</v>
      </c>
      <c r="F153" s="2060" t="str">
        <f>'DATA GPC'!$F117</f>
        <v>--</v>
      </c>
      <c r="G153" s="959" t="str">
        <f ca="1">IF(F153="--","--",SUMPRODUCT(OFFSET('DATA GPC'!$J$1,G$133+E153-1,0,1,7),DataViewFactor)+(16-E153)/1000000)</f>
        <v>--</v>
      </c>
      <c r="H153" s="926" t="str">
        <f>IF($F153="--","n/a",IFERROR(RANK(G153,G$135:G$160),16-COUNTIF(G153:G$160,"--")))</f>
        <v>n/a</v>
      </c>
      <c r="I153" s="2060">
        <v>19</v>
      </c>
      <c r="J153" s="2060" t="str">
        <f>'DATA GPC'!$F117</f>
        <v>--</v>
      </c>
      <c r="K153" s="959" t="str">
        <f ca="1">IF(J153="--","--",SUMPRODUCT(OFFSET('DATA GPC'!$J$1,K$133+I153-1,0,1,7),DataViewFactor)+(16-I153)/1000000)</f>
        <v>--</v>
      </c>
      <c r="L153" s="926" t="str">
        <f>IF($F153="--","n/a",IFERROR(RANK(K153,K$135:K$160),16-COUNTIF(K153:K$160,"--")))</f>
        <v>n/a</v>
      </c>
      <c r="M153" s="2060">
        <v>19</v>
      </c>
      <c r="N153" s="2060" t="str">
        <f>'DATA GPC'!$F117</f>
        <v>--</v>
      </c>
      <c r="O153" s="959" t="str">
        <f ca="1">IF(N153="--","--",SUMPRODUCT(OFFSET('DATA GPC'!$J$1,O$133+M153-1,0,1,7),DataViewFactor)+(16-M153)/1000000)</f>
        <v>--</v>
      </c>
      <c r="P153" s="926" t="str">
        <f>IF($F153="--","n/a",IFERROR(RANK(O153,O$135:O$160),16-COUNTIF(O153:O$160,"--")))</f>
        <v>n/a</v>
      </c>
      <c r="Q153" s="2060"/>
      <c r="R153" s="2060"/>
      <c r="S153" s="2060"/>
      <c r="T153" s="2060"/>
      <c r="U153" s="2060"/>
      <c r="V153" s="2060"/>
      <c r="W153" s="2060"/>
      <c r="X153" s="2060"/>
    </row>
    <row r="154" spans="1:24" s="1499" customFormat="1" ht="12" customHeight="1">
      <c r="A154" s="2060"/>
      <c r="B154" s="2060"/>
      <c r="C154" s="2060"/>
      <c r="D154" s="2060"/>
      <c r="E154" s="2060">
        <v>20</v>
      </c>
      <c r="F154" s="2060" t="str">
        <f>'DATA GPC'!$F118</f>
        <v>--</v>
      </c>
      <c r="G154" s="959" t="str">
        <f ca="1">IF(F154="--","--",SUMPRODUCT(OFFSET('DATA GPC'!$J$1,G$133+E154-1,0,1,7),DataViewFactor)+(16-E154)/1000000)</f>
        <v>--</v>
      </c>
      <c r="H154" s="926" t="str">
        <f>IF($F154="--","n/a",IFERROR(RANK(G154,G$135:G$160),16-COUNTIF(G154:G$160,"--")))</f>
        <v>n/a</v>
      </c>
      <c r="I154" s="2060">
        <v>20</v>
      </c>
      <c r="J154" s="2060" t="str">
        <f>'DATA GPC'!$F118</f>
        <v>--</v>
      </c>
      <c r="K154" s="959" t="str">
        <f ca="1">IF(J154="--","--",SUMPRODUCT(OFFSET('DATA GPC'!$J$1,K$133+I154-1,0,1,7),DataViewFactor)+(16-I154)/1000000)</f>
        <v>--</v>
      </c>
      <c r="L154" s="926" t="str">
        <f>IF($F154="--","n/a",IFERROR(RANK(K154,K$135:K$160),16-COUNTIF(K154:K$160,"--")))</f>
        <v>n/a</v>
      </c>
      <c r="M154" s="2060">
        <v>20</v>
      </c>
      <c r="N154" s="2060" t="str">
        <f>'DATA GPC'!$F118</f>
        <v>--</v>
      </c>
      <c r="O154" s="959" t="str">
        <f ca="1">IF(N154="--","--",SUMPRODUCT(OFFSET('DATA GPC'!$J$1,O$133+M154-1,0,1,7),DataViewFactor)+(16-M154)/1000000)</f>
        <v>--</v>
      </c>
      <c r="P154" s="926" t="str">
        <f>IF($F154="--","n/a",IFERROR(RANK(O154,O$135:O$160),16-COUNTIF(O154:O$160,"--")))</f>
        <v>n/a</v>
      </c>
      <c r="Q154" s="2060"/>
      <c r="R154" s="2060"/>
      <c r="S154" s="2060"/>
      <c r="T154" s="2060"/>
      <c r="U154" s="2060"/>
      <c r="V154" s="2060"/>
      <c r="W154" s="2060"/>
      <c r="X154" s="2060"/>
    </row>
    <row r="155" spans="1:24" s="1499" customFormat="1" ht="12" customHeight="1">
      <c r="A155" s="2060"/>
      <c r="B155" s="2060"/>
      <c r="C155" s="2060"/>
      <c r="D155" s="2060"/>
      <c r="E155" s="2060">
        <v>21</v>
      </c>
      <c r="F155" s="2060" t="str">
        <f>'DATA GPC'!$F119</f>
        <v>--</v>
      </c>
      <c r="G155" s="959" t="str">
        <f ca="1">IF(F155="--","--",SUMPRODUCT(OFFSET('DATA GPC'!$J$1,G$133+E155-1,0,1,7),DataViewFactor)+(16-E155)/1000000)</f>
        <v>--</v>
      </c>
      <c r="H155" s="926" t="str">
        <f>IF($F155="--","n/a",IFERROR(RANK(G155,G$135:G$160),16-COUNTIF(G155:G$160,"--")))</f>
        <v>n/a</v>
      </c>
      <c r="I155" s="2060">
        <v>21</v>
      </c>
      <c r="J155" s="2060" t="str">
        <f>'DATA GPC'!$F119</f>
        <v>--</v>
      </c>
      <c r="K155" s="959" t="str">
        <f ca="1">IF(J155="--","--",SUMPRODUCT(OFFSET('DATA GPC'!$J$1,K$133+I155-1,0,1,7),DataViewFactor)+(16-I155)/1000000)</f>
        <v>--</v>
      </c>
      <c r="L155" s="926" t="str">
        <f>IF($F155="--","n/a",IFERROR(RANK(K155,K$135:K$160),16-COUNTIF(K155:K$160,"--")))</f>
        <v>n/a</v>
      </c>
      <c r="M155" s="2060">
        <v>21</v>
      </c>
      <c r="N155" s="2060" t="str">
        <f>'DATA GPC'!$F119</f>
        <v>--</v>
      </c>
      <c r="O155" s="959" t="str">
        <f ca="1">IF(N155="--","--",SUMPRODUCT(OFFSET('DATA GPC'!$J$1,O$133+M155-1,0,1,7),DataViewFactor)+(16-M155)/1000000)</f>
        <v>--</v>
      </c>
      <c r="P155" s="926" t="str">
        <f>IF($F155="--","n/a",IFERROR(RANK(O155,O$135:O$160),16-COUNTIF(O155:O$160,"--")))</f>
        <v>n/a</v>
      </c>
      <c r="Q155" s="2060"/>
      <c r="R155" s="2060"/>
      <c r="S155" s="2060"/>
      <c r="T155" s="2060"/>
      <c r="U155" s="2060"/>
      <c r="V155" s="2060"/>
      <c r="W155" s="2060"/>
      <c r="X155" s="2060"/>
    </row>
    <row r="156" spans="1:24" s="1499" customFormat="1" ht="12" customHeight="1">
      <c r="A156" s="2060"/>
      <c r="B156" s="2060"/>
      <c r="C156" s="2060"/>
      <c r="D156" s="2060"/>
      <c r="E156" s="2060">
        <v>22</v>
      </c>
      <c r="F156" s="2060" t="str">
        <f>'DATA GPC'!$F120</f>
        <v>--</v>
      </c>
      <c r="G156" s="959" t="str">
        <f ca="1">IF(F156="--","--",SUMPRODUCT(OFFSET('DATA GPC'!$J$1,G$133+E156-1,0,1,7),DataViewFactor)+(16-E156)/1000000)</f>
        <v>--</v>
      </c>
      <c r="H156" s="926" t="str">
        <f>IF($F156="--","n/a",IFERROR(RANK(G156,G$135:G$160),16-COUNTIF(G156:G$160,"--")))</f>
        <v>n/a</v>
      </c>
      <c r="I156" s="2060">
        <v>22</v>
      </c>
      <c r="J156" s="2060" t="str">
        <f>'DATA GPC'!$F120</f>
        <v>--</v>
      </c>
      <c r="K156" s="959" t="str">
        <f ca="1">IF(J156="--","--",SUMPRODUCT(OFFSET('DATA GPC'!$J$1,K$133+I156-1,0,1,7),DataViewFactor)+(16-I156)/1000000)</f>
        <v>--</v>
      </c>
      <c r="L156" s="926" t="str">
        <f>IF($F156="--","n/a",IFERROR(RANK(K156,K$135:K$160),16-COUNTIF(K156:K$160,"--")))</f>
        <v>n/a</v>
      </c>
      <c r="M156" s="2060">
        <v>22</v>
      </c>
      <c r="N156" s="2060" t="str">
        <f>'DATA GPC'!$F120</f>
        <v>--</v>
      </c>
      <c r="O156" s="959" t="str">
        <f ca="1">IF(N156="--","--",SUMPRODUCT(OFFSET('DATA GPC'!$J$1,O$133+M156-1,0,1,7),DataViewFactor)+(16-M156)/1000000)</f>
        <v>--</v>
      </c>
      <c r="P156" s="926" t="str">
        <f>IF($F156="--","n/a",IFERROR(RANK(O156,O$135:O$160),16-COUNTIF(O156:O$160,"--")))</f>
        <v>n/a</v>
      </c>
      <c r="Q156" s="2060"/>
      <c r="R156" s="2060"/>
      <c r="S156" s="2060"/>
      <c r="T156" s="2060"/>
      <c r="U156" s="2060"/>
      <c r="V156" s="2060"/>
      <c r="W156" s="2060"/>
      <c r="X156" s="2060"/>
    </row>
    <row r="157" spans="1:24" s="1499" customFormat="1" ht="12" customHeight="1">
      <c r="A157" s="2060"/>
      <c r="B157" s="2060"/>
      <c r="C157" s="2060"/>
      <c r="D157" s="2060"/>
      <c r="E157" s="2060">
        <v>23</v>
      </c>
      <c r="F157" s="2060" t="str">
        <f>'DATA GPC'!$F121</f>
        <v>--</v>
      </c>
      <c r="G157" s="959" t="str">
        <f ca="1">IF(F157="--","--",SUMPRODUCT(OFFSET('DATA GPC'!$J$1,G$133+E157-1,0,1,7),DataViewFactor)+(16-E157)/1000000)</f>
        <v>--</v>
      </c>
      <c r="H157" s="926" t="str">
        <f>IF($F157="--","n/a",IFERROR(RANK(G157,G$135:G$160),16-COUNTIF(G157:G$160,"--")))</f>
        <v>n/a</v>
      </c>
      <c r="I157" s="2060">
        <v>23</v>
      </c>
      <c r="J157" s="2060" t="str">
        <f>'DATA GPC'!$F121</f>
        <v>--</v>
      </c>
      <c r="K157" s="959" t="str">
        <f ca="1">IF(J157="--","--",SUMPRODUCT(OFFSET('DATA GPC'!$J$1,K$133+I157-1,0,1,7),DataViewFactor)+(16-I157)/1000000)</f>
        <v>--</v>
      </c>
      <c r="L157" s="926" t="str">
        <f>IF($F157="--","n/a",IFERROR(RANK(K157,K$135:K$160),16-COUNTIF(K157:K$160,"--")))</f>
        <v>n/a</v>
      </c>
      <c r="M157" s="2060">
        <v>23</v>
      </c>
      <c r="N157" s="2060" t="str">
        <f>'DATA GPC'!$F121</f>
        <v>--</v>
      </c>
      <c r="O157" s="959" t="str">
        <f ca="1">IF(N157="--","--",SUMPRODUCT(OFFSET('DATA GPC'!$J$1,O$133+M157-1,0,1,7),DataViewFactor)+(16-M157)/1000000)</f>
        <v>--</v>
      </c>
      <c r="P157" s="926" t="str">
        <f>IF($F157="--","n/a",IFERROR(RANK(O157,O$135:O$160),16-COUNTIF(O157:O$160,"--")))</f>
        <v>n/a</v>
      </c>
      <c r="Q157" s="2060"/>
      <c r="R157" s="2060"/>
      <c r="S157" s="2060"/>
      <c r="T157" s="2060"/>
      <c r="U157" s="2060"/>
      <c r="V157" s="2060"/>
      <c r="W157" s="2060"/>
      <c r="X157" s="2060"/>
    </row>
    <row r="158" spans="1:24" s="1499" customFormat="1" ht="12" customHeight="1">
      <c r="A158" s="2060"/>
      <c r="B158" s="2060"/>
      <c r="C158" s="2060"/>
      <c r="D158" s="2060"/>
      <c r="E158" s="2060">
        <v>24</v>
      </c>
      <c r="F158" s="2060" t="str">
        <f>'DATA GPC'!$F122</f>
        <v>--</v>
      </c>
      <c r="G158" s="959" t="str">
        <f ca="1">IF(F158="--","--",SUMPRODUCT(OFFSET('DATA GPC'!$J$1,G$133+E158-1,0,1,7),DataViewFactor)+(16-E158)/1000000)</f>
        <v>--</v>
      </c>
      <c r="H158" s="926" t="str">
        <f>IF($F158="--","n/a",IFERROR(RANK(G158,G$135:G$160),16-COUNTIF(G158:G$160,"--")))</f>
        <v>n/a</v>
      </c>
      <c r="I158" s="2060">
        <v>24</v>
      </c>
      <c r="J158" s="2060" t="str">
        <f>'DATA GPC'!$F122</f>
        <v>--</v>
      </c>
      <c r="K158" s="959" t="str">
        <f ca="1">IF(J158="--","--",SUMPRODUCT(OFFSET('DATA GPC'!$J$1,K$133+I158-1,0,1,7),DataViewFactor)+(16-I158)/1000000)</f>
        <v>--</v>
      </c>
      <c r="L158" s="926" t="str">
        <f>IF($F158="--","n/a",IFERROR(RANK(K158,K$135:K$160),16-COUNTIF(K158:K$160,"--")))</f>
        <v>n/a</v>
      </c>
      <c r="M158" s="2060">
        <v>24</v>
      </c>
      <c r="N158" s="2060" t="str">
        <f>'DATA GPC'!$F122</f>
        <v>--</v>
      </c>
      <c r="O158" s="959" t="str">
        <f ca="1">IF(N158="--","--",SUMPRODUCT(OFFSET('DATA GPC'!$J$1,O$133+M158-1,0,1,7),DataViewFactor)+(16-M158)/1000000)</f>
        <v>--</v>
      </c>
      <c r="P158" s="926" t="str">
        <f>IF($F158="--","n/a",IFERROR(RANK(O158,O$135:O$160),16-COUNTIF(O158:O$160,"--")))</f>
        <v>n/a</v>
      </c>
      <c r="Q158" s="2060"/>
      <c r="R158" s="2060"/>
      <c r="S158" s="2060"/>
      <c r="T158" s="2060"/>
      <c r="U158" s="2060"/>
      <c r="V158" s="2060"/>
      <c r="W158" s="2060"/>
      <c r="X158" s="2060"/>
    </row>
    <row r="159" spans="1:24" s="1499" customFormat="1" ht="12" customHeight="1">
      <c r="A159" s="2060"/>
      <c r="B159" s="2060"/>
      <c r="C159" s="2060"/>
      <c r="D159" s="2060"/>
      <c r="E159" s="2060">
        <v>25</v>
      </c>
      <c r="F159" s="2060" t="str">
        <f>'DATA GPC'!$F123</f>
        <v>--</v>
      </c>
      <c r="G159" s="959" t="str">
        <f ca="1">IF(F159="--","--",SUMPRODUCT(OFFSET('DATA GPC'!$J$1,G$133+E159-1,0,1,7),DataViewFactor)+(16-E159)/1000000)</f>
        <v>--</v>
      </c>
      <c r="H159" s="926" t="str">
        <f>IF($F159="--","n/a",IFERROR(RANK(G159,G$135:G$160),16-COUNTIF(G159:G$160,"--")))</f>
        <v>n/a</v>
      </c>
      <c r="I159" s="2060">
        <v>25</v>
      </c>
      <c r="J159" s="2060" t="str">
        <f>'DATA GPC'!$F123</f>
        <v>--</v>
      </c>
      <c r="K159" s="959" t="str">
        <f ca="1">IF(J159="--","--",SUMPRODUCT(OFFSET('DATA GPC'!$J$1,K$133+I159-1,0,1,7),DataViewFactor)+(16-I159)/1000000)</f>
        <v>--</v>
      </c>
      <c r="L159" s="926" t="str">
        <f>IF($F159="--","n/a",IFERROR(RANK(K159,K$135:K$160),16-COUNTIF(K159:K$160,"--")))</f>
        <v>n/a</v>
      </c>
      <c r="M159" s="2060">
        <v>25</v>
      </c>
      <c r="N159" s="2060" t="str">
        <f>'DATA GPC'!$F123</f>
        <v>--</v>
      </c>
      <c r="O159" s="959" t="str">
        <f ca="1">IF(N159="--","--",SUMPRODUCT(OFFSET('DATA GPC'!$J$1,O$133+M159-1,0,1,7),DataViewFactor)+(16-M159)/1000000)</f>
        <v>--</v>
      </c>
      <c r="P159" s="926" t="str">
        <f>IF($F159="--","n/a",IFERROR(RANK(O159,O$135:O$160),16-COUNTIF(O159:O$160,"--")))</f>
        <v>n/a</v>
      </c>
      <c r="Q159" s="2060"/>
      <c r="R159" s="2060"/>
      <c r="S159" s="2060"/>
      <c r="T159" s="2060"/>
      <c r="U159" s="2060"/>
      <c r="V159" s="2060"/>
      <c r="W159" s="2060"/>
      <c r="X159" s="2060"/>
    </row>
    <row r="160" spans="1:24" s="646" customFormat="1" ht="12" customHeight="1">
      <c r="A160" s="2060"/>
      <c r="B160" s="2060"/>
      <c r="C160" s="2060"/>
      <c r="D160" s="2060"/>
      <c r="E160" s="2060">
        <v>26</v>
      </c>
      <c r="F160" s="2060" t="str">
        <f>'DATA GPC'!$F124</f>
        <v>--</v>
      </c>
      <c r="G160" s="959" t="str">
        <f ca="1">IF(F160="--","--",SUMPRODUCT(OFFSET('DATA GPC'!$J$1,G$133+E160-1,0,1,7),DataViewFactor)+(16-E160)/1000000)</f>
        <v>--</v>
      </c>
      <c r="H160" s="926" t="str">
        <f>IF($F160="--","n/a",IFERROR(RANK(G160,G$135:G$160),16-COUNTIF(G160:G$160,"--")))</f>
        <v>n/a</v>
      </c>
      <c r="I160" s="2060">
        <v>26</v>
      </c>
      <c r="J160" s="2060" t="str">
        <f>'DATA GPC'!$F124</f>
        <v>--</v>
      </c>
      <c r="K160" s="959" t="str">
        <f ca="1">IF(J160="--","--",SUMPRODUCT(OFFSET('DATA GPC'!$J$1,K$133+I160-1,0,1,7),DataViewFactor)+(16-I160)/1000000)</f>
        <v>--</v>
      </c>
      <c r="L160" s="926" t="str">
        <f>IF($F160="--","n/a",IFERROR(RANK(K160,K$135:K$160),16-COUNTIF(K160:K$160,"--")))</f>
        <v>n/a</v>
      </c>
      <c r="M160" s="2060">
        <v>26</v>
      </c>
      <c r="N160" s="2060" t="str">
        <f>'DATA GPC'!$F124</f>
        <v>--</v>
      </c>
      <c r="O160" s="959" t="str">
        <f ca="1">IF(N160="--","--",SUMPRODUCT(OFFSET('DATA GPC'!$J$1,O$133+M160-1,0,1,7),DataViewFactor)+(16-M160)/1000000)</f>
        <v>--</v>
      </c>
      <c r="P160" s="926" t="str">
        <f>IF($F160="--","n/a",IFERROR(RANK(O160,O$135:O$160),16-COUNTIF(O160:O$160,"--")))</f>
        <v>n/a</v>
      </c>
      <c r="Q160" s="2060"/>
      <c r="R160" s="2060"/>
      <c r="S160" s="2060"/>
      <c r="T160" s="2060"/>
      <c r="U160" s="2060"/>
      <c r="V160" s="2060"/>
      <c r="W160" s="2060"/>
      <c r="X160" s="2060"/>
    </row>
    <row r="161" spans="1:24" s="646" customFormat="1" ht="12" customHeight="1">
      <c r="A161" s="2060"/>
      <c r="B161" s="2060"/>
      <c r="C161" s="2060"/>
      <c r="D161" s="2060"/>
      <c r="E161" s="2060"/>
      <c r="F161" s="2060"/>
      <c r="G161" s="2060"/>
      <c r="H161" s="2060"/>
      <c r="I161" s="2060"/>
      <c r="J161" s="2060"/>
      <c r="K161" s="2060"/>
      <c r="L161" s="2060"/>
      <c r="M161" s="2060"/>
      <c r="N161" s="2060"/>
      <c r="O161" s="2060"/>
      <c r="P161" s="2060"/>
      <c r="Q161" s="2060"/>
      <c r="R161" s="2060"/>
      <c r="S161" s="2060"/>
      <c r="T161" s="2060"/>
      <c r="U161" s="2060"/>
      <c r="V161" s="2060"/>
      <c r="W161" s="2060"/>
      <c r="X161" s="2060"/>
    </row>
    <row r="162" spans="1:24" s="646" customFormat="1" ht="12" customHeight="1">
      <c r="A162" s="2060"/>
      <c r="B162" s="2060"/>
      <c r="C162" s="2060"/>
      <c r="D162" s="2060"/>
      <c r="E162" s="2060"/>
      <c r="F162" s="1029" t="str">
        <f>F41</f>
        <v>Revenue growth</v>
      </c>
      <c r="G162" s="90"/>
      <c r="H162" s="2060"/>
      <c r="I162" s="2060"/>
      <c r="J162" s="1029" t="str">
        <f>J41</f>
        <v>EBITDA growth</v>
      </c>
      <c r="K162" s="90"/>
      <c r="L162" s="2060"/>
      <c r="M162" s="2060"/>
      <c r="N162" s="1029" t="str">
        <f>N41</f>
        <v>EBIT growth</v>
      </c>
      <c r="O162" s="90"/>
      <c r="P162" s="2060"/>
      <c r="Q162" s="2060"/>
      <c r="R162" s="2060"/>
      <c r="S162" s="2060"/>
      <c r="T162" s="2060"/>
      <c r="U162" s="2060"/>
      <c r="V162" s="2060"/>
      <c r="W162" s="2060"/>
      <c r="X162" s="2060"/>
    </row>
    <row r="163" spans="1:24" s="646" customFormat="1" ht="12" customHeight="1">
      <c r="A163" s="2060"/>
      <c r="B163" s="2060"/>
      <c r="C163" s="2060"/>
      <c r="D163" s="2060"/>
      <c r="E163" s="2060"/>
      <c r="F163" s="2060" t="s">
        <v>1733</v>
      </c>
      <c r="G163" s="2060">
        <f>MATCH(F162,'DATA GPC'!$F$1:$F$2263,0)</f>
        <v>1124</v>
      </c>
      <c r="H163" s="521" t="str">
        <f>H42</f>
        <v>LTM</v>
      </c>
      <c r="I163" s="2060"/>
      <c r="J163" s="2060" t="s">
        <v>1733</v>
      </c>
      <c r="K163" s="2060">
        <f>MATCH(J162,'DATA GPC'!$F$1:$F$2263,0)</f>
        <v>1155</v>
      </c>
      <c r="L163" s="521" t="str">
        <f>L42</f>
        <v>LTM</v>
      </c>
      <c r="M163" s="2060"/>
      <c r="N163" s="2060" t="s">
        <v>1733</v>
      </c>
      <c r="O163" s="2060">
        <f>MATCH(N162,'DATA GPC'!$F$1:$F$2263,0)</f>
        <v>1186</v>
      </c>
      <c r="P163" s="521" t="str">
        <f>P42</f>
        <v>LTM</v>
      </c>
      <c r="Q163" s="2060"/>
      <c r="R163" s="2060"/>
      <c r="S163" s="2060"/>
      <c r="T163" s="2060"/>
      <c r="U163" s="2060"/>
      <c r="V163" s="2060"/>
      <c r="W163" s="2060"/>
      <c r="X163" s="2060"/>
    </row>
    <row r="164" spans="1:24" s="646" customFormat="1" ht="12" customHeight="1">
      <c r="A164" s="2060"/>
      <c r="B164" s="2060"/>
      <c r="C164" s="2060"/>
      <c r="D164" s="2060"/>
      <c r="E164" s="2060"/>
      <c r="F164" s="1029" t="s">
        <v>851</v>
      </c>
      <c r="G164" s="521" t="s">
        <v>1734</v>
      </c>
      <c r="H164" s="925" t="s">
        <v>1735</v>
      </c>
      <c r="I164" s="2060"/>
      <c r="J164" s="1029" t="s">
        <v>851</v>
      </c>
      <c r="K164" s="521" t="s">
        <v>1734</v>
      </c>
      <c r="L164" s="925" t="s">
        <v>1735</v>
      </c>
      <c r="M164" s="2060"/>
      <c r="N164" s="1029" t="s">
        <v>851</v>
      </c>
      <c r="O164" s="521" t="s">
        <v>1734</v>
      </c>
      <c r="P164" s="925" t="s">
        <v>1735</v>
      </c>
      <c r="Q164" s="2060"/>
      <c r="R164" s="2060"/>
      <c r="S164" s="2060"/>
      <c r="T164" s="2060"/>
      <c r="U164" s="2060"/>
      <c r="V164" s="2060"/>
      <c r="W164" s="2060"/>
      <c r="X164" s="2060"/>
    </row>
    <row r="165" spans="1:24" s="646" customFormat="1" ht="12" customHeight="1">
      <c r="A165" s="2060"/>
      <c r="B165" s="2060"/>
      <c r="C165" s="2060"/>
      <c r="D165" s="2060"/>
      <c r="E165" s="2060">
        <v>1</v>
      </c>
      <c r="F165" s="2060" t="str">
        <f>'DATA GPC'!$F99</f>
        <v/>
      </c>
      <c r="G165" s="960" t="str">
        <f ca="1">IF(F165="--","--",IF(SUMPRODUCT(OFFSET('DATA GPC'!$J$1,G$163+E165-1,0,1,7),DataViewFactor)=0,"n/a",SUMPRODUCT(OFFSET('DATA GPC'!$J$1,G$163+E165-1,0,1,7),DataViewFactor)))</f>
        <v>n/a</v>
      </c>
      <c r="H165" s="926">
        <f ca="1">IF($F165="--","n/a",IFERROR(RANK(G165,G$165:G$190),16-COUNTIF(G165:G$190,"--")))</f>
        <v>-9</v>
      </c>
      <c r="I165" s="2060">
        <v>1</v>
      </c>
      <c r="J165" s="2060" t="str">
        <f>'DATA GPC'!$F99</f>
        <v/>
      </c>
      <c r="K165" s="960" t="str">
        <f ca="1">IF(J165="--","--",IF(SUMPRODUCT(OFFSET('DATA GPC'!$J$1,K$163+I165-1,0,1,7),DataViewFactor)=0,"n/a",SUMPRODUCT(OFFSET('DATA GPC'!$J$1,K$163+I165-1,0,1,7),DataViewFactor)))</f>
        <v>n/a</v>
      </c>
      <c r="L165" s="926">
        <f ca="1">IF($F165="--","n/a",IFERROR(RANK(K165,K$165:K$190),16-COUNTIF(K165:K$190,"--")))</f>
        <v>-9</v>
      </c>
      <c r="M165" s="2060">
        <v>1</v>
      </c>
      <c r="N165" s="2060" t="str">
        <f>'DATA GPC'!$F99</f>
        <v/>
      </c>
      <c r="O165" s="960" t="str">
        <f ca="1">IF(N165="--","--",IF(SUMPRODUCT(OFFSET('DATA GPC'!$J$1,O$163+M165-1,0,1,7),DataViewFactor)=0,"n/a",SUMPRODUCT(OFFSET('DATA GPC'!$J$1,O$163+M165-1,0,1,7),DataViewFactor)))</f>
        <v>n/a</v>
      </c>
      <c r="P165" s="926">
        <f ca="1">IF($F165="--","n/a",IFERROR(RANK(O165,O$165:O$190),16-COUNTIF(O165:O$190,"--")))</f>
        <v>-9</v>
      </c>
      <c r="Q165" s="2060"/>
      <c r="R165" s="2060"/>
      <c r="S165" s="2060"/>
      <c r="T165" s="2060"/>
      <c r="U165" s="2060"/>
      <c r="V165" s="2060"/>
      <c r="W165" s="2060"/>
      <c r="X165" s="2060"/>
    </row>
    <row r="166" spans="1:24" s="646" customFormat="1" ht="12" customHeight="1">
      <c r="A166" s="2060"/>
      <c r="B166" s="2060"/>
      <c r="C166" s="2060"/>
      <c r="D166" s="2060"/>
      <c r="E166" s="2060">
        <v>2</v>
      </c>
      <c r="F166" s="2060" t="str">
        <f>'DATA GPC'!$F100</f>
        <v>--</v>
      </c>
      <c r="G166" s="960" t="str">
        <f ca="1">IF(F166="--","--",SUMPRODUCT(OFFSET('DATA GPC'!$J$1,G$163+E166-1,0,1,7),DataViewFactor)+(16-E166)/1000000)</f>
        <v>--</v>
      </c>
      <c r="H166" s="926" t="str">
        <f>IF($F166="--","n/a",IFERROR(RANK(G166,G$165:G$190),16-COUNTIF(G166:G$190,"--")))</f>
        <v>n/a</v>
      </c>
      <c r="I166" s="2060">
        <v>2</v>
      </c>
      <c r="J166" s="2060" t="str">
        <f>'DATA GPC'!$F100</f>
        <v>--</v>
      </c>
      <c r="K166" s="960" t="str">
        <f ca="1">IF(J166="--","--",SUMPRODUCT(OFFSET('DATA GPC'!$J$1,K$163+I166-1,0,1,7),DataViewFactor)+(16-I166)/1000000)</f>
        <v>--</v>
      </c>
      <c r="L166" s="926" t="str">
        <f>IF($F166="--","n/a",IFERROR(RANK(K166,K$165:K$190),16-COUNTIF(K166:K$190,"--")))</f>
        <v>n/a</v>
      </c>
      <c r="M166" s="2060">
        <v>2</v>
      </c>
      <c r="N166" s="2060" t="str">
        <f>'DATA GPC'!$F100</f>
        <v>--</v>
      </c>
      <c r="O166" s="960" t="str">
        <f ca="1">IF(N166="--","--",SUMPRODUCT(OFFSET('DATA GPC'!$J$1,O$163+M166-1,0,1,7),DataViewFactor)+(16-M166)/1000000)</f>
        <v>--</v>
      </c>
      <c r="P166" s="926" t="str">
        <f>IF($F166="--","n/a",IFERROR(RANK(O166,O$165:O$190),16-COUNTIF(O166:O$190,"--")))</f>
        <v>n/a</v>
      </c>
      <c r="Q166" s="2060"/>
      <c r="R166" s="2060"/>
      <c r="S166" s="2060"/>
      <c r="T166" s="2060"/>
      <c r="U166" s="2060"/>
      <c r="V166" s="2060"/>
      <c r="W166" s="2060"/>
      <c r="X166" s="2060"/>
    </row>
    <row r="167" spans="1:24" s="646" customFormat="1" ht="12" customHeight="1">
      <c r="A167" s="2060"/>
      <c r="B167" s="2060"/>
      <c r="C167" s="2060"/>
      <c r="D167" s="2060"/>
      <c r="E167" s="2060">
        <v>3</v>
      </c>
      <c r="F167" s="2060" t="str">
        <f>'DATA GPC'!$F101</f>
        <v>--</v>
      </c>
      <c r="G167" s="960" t="str">
        <f ca="1">IF(F167="--","--",SUMPRODUCT(OFFSET('DATA GPC'!$J$1,G$163+E167-1,0,1,7),DataViewFactor)+(16-E167)/1000000)</f>
        <v>--</v>
      </c>
      <c r="H167" s="926" t="str">
        <f>IF($F167="--","n/a",IFERROR(RANK(G167,G$165:G$190),16-COUNTIF(G167:G$190,"--")))</f>
        <v>n/a</v>
      </c>
      <c r="I167" s="2060">
        <v>3</v>
      </c>
      <c r="J167" s="2060" t="str">
        <f>'DATA GPC'!$F101</f>
        <v>--</v>
      </c>
      <c r="K167" s="960" t="str">
        <f ca="1">IF(J167="--","--",SUMPRODUCT(OFFSET('DATA GPC'!$J$1,K$163+I167-1,0,1,7),DataViewFactor)+(16-I167)/1000000)</f>
        <v>--</v>
      </c>
      <c r="L167" s="926" t="str">
        <f>IF($F167="--","n/a",IFERROR(RANK(K167,K$165:K$190),16-COUNTIF(K167:K$190,"--")))</f>
        <v>n/a</v>
      </c>
      <c r="M167" s="2060">
        <v>3</v>
      </c>
      <c r="N167" s="2060" t="str">
        <f>'DATA GPC'!$F101</f>
        <v>--</v>
      </c>
      <c r="O167" s="960" t="str">
        <f ca="1">IF(N167="--","--",SUMPRODUCT(OFFSET('DATA GPC'!$J$1,O$163+M167-1,0,1,7),DataViewFactor)+(16-M167)/1000000)</f>
        <v>--</v>
      </c>
      <c r="P167" s="926" t="str">
        <f>IF($F167="--","n/a",IFERROR(RANK(O167,O$165:O$190),16-COUNTIF(O167:O$190,"--")))</f>
        <v>n/a</v>
      </c>
      <c r="Q167" s="2060"/>
      <c r="R167" s="2060"/>
      <c r="S167" s="2060"/>
      <c r="T167" s="2060"/>
      <c r="U167" s="2060"/>
      <c r="V167" s="2060"/>
      <c r="W167" s="2060"/>
      <c r="X167" s="2060"/>
    </row>
    <row r="168" spans="1:24" s="646" customFormat="1" ht="12" customHeight="1">
      <c r="A168" s="2060"/>
      <c r="B168" s="2060"/>
      <c r="C168" s="2060"/>
      <c r="D168" s="2060"/>
      <c r="E168" s="2060">
        <v>4</v>
      </c>
      <c r="F168" s="2060" t="str">
        <f>'DATA GPC'!$F102</f>
        <v>--</v>
      </c>
      <c r="G168" s="960" t="str">
        <f ca="1">IF(F168="--","--",SUMPRODUCT(OFFSET('DATA GPC'!$J$1,G$163+E168-1,0,1,7),DataViewFactor)+(16-E168)/1000000)</f>
        <v>--</v>
      </c>
      <c r="H168" s="926" t="str">
        <f>IF($F168="--","n/a",IFERROR(RANK(G168,G$165:G$190),16-COUNTIF(G168:G$190,"--")))</f>
        <v>n/a</v>
      </c>
      <c r="I168" s="2060">
        <v>4</v>
      </c>
      <c r="J168" s="2060" t="str">
        <f>'DATA GPC'!$F102</f>
        <v>--</v>
      </c>
      <c r="K168" s="960" t="str">
        <f ca="1">IF(J168="--","--",SUMPRODUCT(OFFSET('DATA GPC'!$J$1,K$163+I168-1,0,1,7),DataViewFactor)+(16-I168)/1000000)</f>
        <v>--</v>
      </c>
      <c r="L168" s="926" t="str">
        <f>IF($F168="--","n/a",IFERROR(RANK(K168,K$165:K$190),16-COUNTIF(K168:K$190,"--")))</f>
        <v>n/a</v>
      </c>
      <c r="M168" s="2060">
        <v>4</v>
      </c>
      <c r="N168" s="2060" t="str">
        <f>'DATA GPC'!$F102</f>
        <v>--</v>
      </c>
      <c r="O168" s="960" t="str">
        <f ca="1">IF(N168="--","--",SUMPRODUCT(OFFSET('DATA GPC'!$J$1,O$163+M168-1,0,1,7),DataViewFactor)+(16-M168)/1000000)</f>
        <v>--</v>
      </c>
      <c r="P168" s="926" t="str">
        <f>IF($F168="--","n/a",IFERROR(RANK(O168,O$165:O$190),16-COUNTIF(O168:O$190,"--")))</f>
        <v>n/a</v>
      </c>
      <c r="Q168" s="2060"/>
      <c r="R168" s="2060"/>
      <c r="S168" s="2060"/>
      <c r="T168" s="2060"/>
      <c r="U168" s="2060"/>
      <c r="V168" s="2060"/>
      <c r="W168" s="2060"/>
      <c r="X168" s="2060"/>
    </row>
    <row r="169" spans="1:24" s="646" customFormat="1" ht="12" customHeight="1">
      <c r="A169" s="2060"/>
      <c r="B169" s="2060"/>
      <c r="C169" s="2060"/>
      <c r="D169" s="2060"/>
      <c r="E169" s="2060">
        <v>5</v>
      </c>
      <c r="F169" s="2060" t="str">
        <f>'DATA GPC'!$F103</f>
        <v>--</v>
      </c>
      <c r="G169" s="960" t="str">
        <f ca="1">IF(F169="--","--",SUMPRODUCT(OFFSET('DATA GPC'!$J$1,G$163+E169-1,0,1,7),DataViewFactor)+(16-E169)/1000000)</f>
        <v>--</v>
      </c>
      <c r="H169" s="926" t="str">
        <f>IF($F169="--","n/a",IFERROR(RANK(G169,G$165:G$190),16-COUNTIF(G169:G$190,"--")))</f>
        <v>n/a</v>
      </c>
      <c r="I169" s="2060">
        <v>5</v>
      </c>
      <c r="J169" s="2060" t="str">
        <f>'DATA GPC'!$F103</f>
        <v>--</v>
      </c>
      <c r="K169" s="960" t="str">
        <f ca="1">IF(J169="--","--",SUMPRODUCT(OFFSET('DATA GPC'!$J$1,K$163+I169-1,0,1,7),DataViewFactor)+(16-I169)/1000000)</f>
        <v>--</v>
      </c>
      <c r="L169" s="926" t="str">
        <f>IF($F169="--","n/a",IFERROR(RANK(K169,K$165:K$190),16-COUNTIF(K169:K$190,"--")))</f>
        <v>n/a</v>
      </c>
      <c r="M169" s="2060">
        <v>5</v>
      </c>
      <c r="N169" s="2060" t="str">
        <f>'DATA GPC'!$F103</f>
        <v>--</v>
      </c>
      <c r="O169" s="960" t="str">
        <f ca="1">IF(N169="--","--",SUMPRODUCT(OFFSET('DATA GPC'!$J$1,O$163+M169-1,0,1,7),DataViewFactor)+(16-M169)/1000000)</f>
        <v>--</v>
      </c>
      <c r="P169" s="926" t="str">
        <f>IF($F169="--","n/a",IFERROR(RANK(O169,O$165:O$190),16-COUNTIF(O169:O$190,"--")))</f>
        <v>n/a</v>
      </c>
      <c r="Q169" s="2060"/>
      <c r="R169" s="2060"/>
      <c r="S169" s="2060"/>
      <c r="T169" s="2060"/>
      <c r="U169" s="2060"/>
      <c r="V169" s="2060"/>
      <c r="W169" s="2060"/>
      <c r="X169" s="2060"/>
    </row>
    <row r="170" spans="1:24" s="646" customFormat="1" ht="12" customHeight="1">
      <c r="A170" s="2060"/>
      <c r="B170" s="2060"/>
      <c r="C170" s="2060"/>
      <c r="D170" s="2060"/>
      <c r="E170" s="2060">
        <v>6</v>
      </c>
      <c r="F170" s="2060" t="str">
        <f>'DATA GPC'!$F104</f>
        <v>--</v>
      </c>
      <c r="G170" s="960" t="str">
        <f ca="1">IF(F170="--","--",SUMPRODUCT(OFFSET('DATA GPC'!$J$1,G$163+E170-1,0,1,7),DataViewFactor)+(16-E170)/1000000)</f>
        <v>--</v>
      </c>
      <c r="H170" s="926" t="str">
        <f>IF($F170="--","n/a",IFERROR(RANK(G170,G$165:G$190),16-COUNTIF(G170:G$190,"--")))</f>
        <v>n/a</v>
      </c>
      <c r="I170" s="2060">
        <v>6</v>
      </c>
      <c r="J170" s="2060" t="str">
        <f>'DATA GPC'!$F104</f>
        <v>--</v>
      </c>
      <c r="K170" s="960" t="str">
        <f ca="1">IF(J170="--","--",SUMPRODUCT(OFFSET('DATA GPC'!$J$1,K$163+I170-1,0,1,7),DataViewFactor)+(16-I170)/1000000)</f>
        <v>--</v>
      </c>
      <c r="L170" s="926" t="str">
        <f>IF($F170="--","n/a",IFERROR(RANK(K170,K$165:K$190),16-COUNTIF(K170:K$190,"--")))</f>
        <v>n/a</v>
      </c>
      <c r="M170" s="2060">
        <v>6</v>
      </c>
      <c r="N170" s="2060" t="str">
        <f>'DATA GPC'!$F104</f>
        <v>--</v>
      </c>
      <c r="O170" s="960" t="str">
        <f ca="1">IF(N170="--","--",SUMPRODUCT(OFFSET('DATA GPC'!$J$1,O$163+M170-1,0,1,7),DataViewFactor)+(16-M170)/1000000)</f>
        <v>--</v>
      </c>
      <c r="P170" s="926" t="str">
        <f>IF($F170="--","n/a",IFERROR(RANK(O170,O$165:O$190),16-COUNTIF(O170:O$190,"--")))</f>
        <v>n/a</v>
      </c>
      <c r="Q170" s="2060"/>
      <c r="R170" s="2060"/>
      <c r="S170" s="2060"/>
      <c r="T170" s="2060"/>
      <c r="U170" s="2060"/>
      <c r="V170" s="2060"/>
      <c r="W170" s="2060"/>
      <c r="X170" s="2060"/>
    </row>
    <row r="171" spans="1:24" s="646" customFormat="1" ht="12" customHeight="1">
      <c r="A171" s="2060"/>
      <c r="B171" s="2060"/>
      <c r="C171" s="2060"/>
      <c r="D171" s="2060"/>
      <c r="E171" s="2060">
        <v>7</v>
      </c>
      <c r="F171" s="2060" t="str">
        <f>'DATA GPC'!$F105</f>
        <v>--</v>
      </c>
      <c r="G171" s="960" t="str">
        <f ca="1">IF(F171="--","--",SUMPRODUCT(OFFSET('DATA GPC'!$J$1,G$163+E171-1,0,1,7),DataViewFactor)+(16-E171)/1000000)</f>
        <v>--</v>
      </c>
      <c r="H171" s="926" t="str">
        <f>IF($F171="--","n/a",IFERROR(RANK(G171,G$165:G$190),16-COUNTIF(G171:G$190,"--")))</f>
        <v>n/a</v>
      </c>
      <c r="I171" s="2060">
        <v>7</v>
      </c>
      <c r="J171" s="2060" t="str">
        <f>'DATA GPC'!$F105</f>
        <v>--</v>
      </c>
      <c r="K171" s="960" t="str">
        <f ca="1">IF(J171="--","--",SUMPRODUCT(OFFSET('DATA GPC'!$J$1,K$163+I171-1,0,1,7),DataViewFactor)+(16-I171)/1000000)</f>
        <v>--</v>
      </c>
      <c r="L171" s="926" t="str">
        <f>IF($F171="--","n/a",IFERROR(RANK(K171,K$165:K$190),16-COUNTIF(K171:K$190,"--")))</f>
        <v>n/a</v>
      </c>
      <c r="M171" s="2060">
        <v>7</v>
      </c>
      <c r="N171" s="2060" t="str">
        <f>'DATA GPC'!$F105</f>
        <v>--</v>
      </c>
      <c r="O171" s="960" t="str">
        <f ca="1">IF(N171="--","--",SUMPRODUCT(OFFSET('DATA GPC'!$J$1,O$163+M171-1,0,1,7),DataViewFactor)+(16-M171)/1000000)</f>
        <v>--</v>
      </c>
      <c r="P171" s="926" t="str">
        <f>IF($F171="--","n/a",IFERROR(RANK(O171,O$165:O$190),16-COUNTIF(O171:O$190,"--")))</f>
        <v>n/a</v>
      </c>
      <c r="Q171" s="2060"/>
      <c r="R171" s="2060"/>
      <c r="S171" s="2060"/>
      <c r="T171" s="2060"/>
      <c r="U171" s="2060"/>
      <c r="V171" s="2060"/>
      <c r="W171" s="2060"/>
      <c r="X171" s="2060"/>
    </row>
    <row r="172" spans="1:24" s="646" customFormat="1" ht="12" customHeight="1">
      <c r="A172" s="2060"/>
      <c r="B172" s="2060"/>
      <c r="C172" s="2060"/>
      <c r="D172" s="2060"/>
      <c r="E172" s="2060">
        <v>8</v>
      </c>
      <c r="F172" s="2060" t="str">
        <f>'DATA GPC'!$F106</f>
        <v>--</v>
      </c>
      <c r="G172" s="960" t="str">
        <f ca="1">IF(F172="--","--",SUMPRODUCT(OFFSET('DATA GPC'!$J$1,G$163+E172-1,0,1,7),DataViewFactor)+(16-E172)/1000000)</f>
        <v>--</v>
      </c>
      <c r="H172" s="926" t="str">
        <f>IF($F172="--","n/a",IFERROR(RANK(G172,G$165:G$190),16-COUNTIF(G172:G$190,"--")))</f>
        <v>n/a</v>
      </c>
      <c r="I172" s="2060">
        <v>8</v>
      </c>
      <c r="J172" s="2060" t="str">
        <f>'DATA GPC'!$F106</f>
        <v>--</v>
      </c>
      <c r="K172" s="960" t="str">
        <f ca="1">IF(J172="--","--",SUMPRODUCT(OFFSET('DATA GPC'!$J$1,K$163+I172-1,0,1,7),DataViewFactor)+(16-I172)/1000000)</f>
        <v>--</v>
      </c>
      <c r="L172" s="926" t="str">
        <f>IF($F172="--","n/a",IFERROR(RANK(K172,K$165:K$190),16-COUNTIF(K172:K$190,"--")))</f>
        <v>n/a</v>
      </c>
      <c r="M172" s="2060">
        <v>8</v>
      </c>
      <c r="N172" s="2060" t="str">
        <f>'DATA GPC'!$F106</f>
        <v>--</v>
      </c>
      <c r="O172" s="960" t="str">
        <f ca="1">IF(N172="--","--",SUMPRODUCT(OFFSET('DATA GPC'!$J$1,O$163+M172-1,0,1,7),DataViewFactor)+(16-M172)/1000000)</f>
        <v>--</v>
      </c>
      <c r="P172" s="926" t="str">
        <f>IF($F172="--","n/a",IFERROR(RANK(O172,O$165:O$190),16-COUNTIF(O172:O$190,"--")))</f>
        <v>n/a</v>
      </c>
      <c r="Q172" s="2060"/>
      <c r="R172" s="2060"/>
      <c r="S172" s="2060"/>
      <c r="T172" s="2060"/>
      <c r="U172" s="2060"/>
      <c r="V172" s="2060"/>
      <c r="W172" s="2060"/>
      <c r="X172" s="2060"/>
    </row>
    <row r="173" spans="1:24" s="646" customFormat="1" ht="12" customHeight="1">
      <c r="A173" s="2060"/>
      <c r="B173" s="2060"/>
      <c r="C173" s="2060"/>
      <c r="D173" s="2060"/>
      <c r="E173" s="2060">
        <v>9</v>
      </c>
      <c r="F173" s="2060" t="str">
        <f>'DATA GPC'!$F107</f>
        <v>--</v>
      </c>
      <c r="G173" s="960" t="str">
        <f ca="1">IF(F173="--","--",SUMPRODUCT(OFFSET('DATA GPC'!$J$1,G$163+E173-1,0,1,7),DataViewFactor)+(16-E173)/1000000)</f>
        <v>--</v>
      </c>
      <c r="H173" s="926" t="str">
        <f>IF($F173="--","n/a",IFERROR(RANK(G173,G$165:G$190),16-COUNTIF(G173:G$190,"--")))</f>
        <v>n/a</v>
      </c>
      <c r="I173" s="2060">
        <v>9</v>
      </c>
      <c r="J173" s="2060" t="str">
        <f>'DATA GPC'!$F107</f>
        <v>--</v>
      </c>
      <c r="K173" s="960" t="str">
        <f ca="1">IF(J173="--","--",SUMPRODUCT(OFFSET('DATA GPC'!$J$1,K$163+I173-1,0,1,7),DataViewFactor)+(16-I173)/1000000)</f>
        <v>--</v>
      </c>
      <c r="L173" s="926" t="str">
        <f>IF($F173="--","n/a",IFERROR(RANK(K173,K$165:K$190),16-COUNTIF(K173:K$190,"--")))</f>
        <v>n/a</v>
      </c>
      <c r="M173" s="2060">
        <v>9</v>
      </c>
      <c r="N173" s="2060" t="str">
        <f>'DATA GPC'!$F107</f>
        <v>--</v>
      </c>
      <c r="O173" s="960" t="str">
        <f ca="1">IF(N173="--","--",SUMPRODUCT(OFFSET('DATA GPC'!$J$1,O$163+M173-1,0,1,7),DataViewFactor)+(16-M173)/1000000)</f>
        <v>--</v>
      </c>
      <c r="P173" s="926" t="str">
        <f>IF($F173="--","n/a",IFERROR(RANK(O173,O$165:O$190),16-COUNTIF(O173:O$190,"--")))</f>
        <v>n/a</v>
      </c>
      <c r="Q173" s="2060"/>
      <c r="R173" s="2060"/>
      <c r="S173" s="2060"/>
      <c r="T173" s="2060"/>
      <c r="U173" s="2060"/>
      <c r="V173" s="2060"/>
      <c r="W173" s="2060"/>
      <c r="X173" s="2060"/>
    </row>
    <row r="174" spans="1:24" s="646" customFormat="1" ht="12" customHeight="1">
      <c r="A174" s="2060"/>
      <c r="B174" s="2060"/>
      <c r="C174" s="2060"/>
      <c r="D174" s="2060"/>
      <c r="E174" s="2060">
        <v>10</v>
      </c>
      <c r="F174" s="2060" t="str">
        <f>'DATA GPC'!$F108</f>
        <v>--</v>
      </c>
      <c r="G174" s="960" t="str">
        <f ca="1">IF(F174="--","--",SUMPRODUCT(OFFSET('DATA GPC'!$J$1,G$163+E174-1,0,1,7),DataViewFactor)+(16-E174)/1000000)</f>
        <v>--</v>
      </c>
      <c r="H174" s="926" t="str">
        <f>IF($F174="--","n/a",IFERROR(RANK(G174,G$165:G$190),16-COUNTIF(G174:G$190,"--")))</f>
        <v>n/a</v>
      </c>
      <c r="I174" s="2060">
        <v>10</v>
      </c>
      <c r="J174" s="2060" t="str">
        <f>'DATA GPC'!$F108</f>
        <v>--</v>
      </c>
      <c r="K174" s="960" t="str">
        <f ca="1">IF(J174="--","--",SUMPRODUCT(OFFSET('DATA GPC'!$J$1,K$163+I174-1,0,1,7),DataViewFactor)+(16-I174)/1000000)</f>
        <v>--</v>
      </c>
      <c r="L174" s="926" t="str">
        <f>IF($F174="--","n/a",IFERROR(RANK(K174,K$165:K$190),16-COUNTIF(K174:K$190,"--")))</f>
        <v>n/a</v>
      </c>
      <c r="M174" s="2060">
        <v>10</v>
      </c>
      <c r="N174" s="2060" t="str">
        <f>'DATA GPC'!$F108</f>
        <v>--</v>
      </c>
      <c r="O174" s="960" t="str">
        <f ca="1">IF(N174="--","--",SUMPRODUCT(OFFSET('DATA GPC'!$J$1,O$163+M174-1,0,1,7),DataViewFactor)+(16-M174)/1000000)</f>
        <v>--</v>
      </c>
      <c r="P174" s="926" t="str">
        <f>IF($F174="--","n/a",IFERROR(RANK(O174,O$165:O$190),16-COUNTIF(O174:O$190,"--")))</f>
        <v>n/a</v>
      </c>
      <c r="Q174" s="2060"/>
      <c r="R174" s="2060"/>
      <c r="S174" s="2060"/>
      <c r="T174" s="2060"/>
      <c r="U174" s="2060"/>
      <c r="V174" s="2060"/>
      <c r="W174" s="2060"/>
      <c r="X174" s="2060"/>
    </row>
    <row r="175" spans="1:24" s="646" customFormat="1" ht="12" customHeight="1">
      <c r="A175" s="2060"/>
      <c r="B175" s="2060"/>
      <c r="C175" s="2060"/>
      <c r="D175" s="2060"/>
      <c r="E175" s="2060">
        <v>11</v>
      </c>
      <c r="F175" s="2060" t="str">
        <f>'DATA GPC'!$F109</f>
        <v>--</v>
      </c>
      <c r="G175" s="960" t="str">
        <f ca="1">IF(F175="--","--",SUMPRODUCT(OFFSET('DATA GPC'!$J$1,G$163+E175-1,0,1,7),DataViewFactor)+(16-E175)/1000000)</f>
        <v>--</v>
      </c>
      <c r="H175" s="926" t="str">
        <f>IF($F175="--","n/a",IFERROR(RANK(G175,G$165:G$190),16-COUNTIF(G175:G$190,"--")))</f>
        <v>n/a</v>
      </c>
      <c r="I175" s="2060">
        <v>11</v>
      </c>
      <c r="J175" s="2060" t="str">
        <f>'DATA GPC'!$F109</f>
        <v>--</v>
      </c>
      <c r="K175" s="960" t="str">
        <f ca="1">IF(J175="--","--",SUMPRODUCT(OFFSET('DATA GPC'!$J$1,K$163+I175-1,0,1,7),DataViewFactor)+(16-I175)/1000000)</f>
        <v>--</v>
      </c>
      <c r="L175" s="926" t="str">
        <f>IF($F175="--","n/a",IFERROR(RANK(K175,K$165:K$190),16-COUNTIF(K175:K$190,"--")))</f>
        <v>n/a</v>
      </c>
      <c r="M175" s="2060">
        <v>11</v>
      </c>
      <c r="N175" s="2060" t="str">
        <f>'DATA GPC'!$F109</f>
        <v>--</v>
      </c>
      <c r="O175" s="960" t="str">
        <f ca="1">IF(N175="--","--",SUMPRODUCT(OFFSET('DATA GPC'!$J$1,O$163+M175-1,0,1,7),DataViewFactor)+(16-M175)/1000000)</f>
        <v>--</v>
      </c>
      <c r="P175" s="926" t="str">
        <f>IF($F175="--","n/a",IFERROR(RANK(O175,O$165:O$190),16-COUNTIF(O175:O$190,"--")))</f>
        <v>n/a</v>
      </c>
      <c r="Q175" s="2060"/>
      <c r="R175" s="2060"/>
      <c r="S175" s="2060"/>
      <c r="T175" s="2060"/>
      <c r="U175" s="2060"/>
      <c r="V175" s="2060"/>
      <c r="W175" s="2060"/>
      <c r="X175" s="2060"/>
    </row>
    <row r="176" spans="1:24" s="646" customFormat="1" ht="12" customHeight="1">
      <c r="A176" s="2060"/>
      <c r="B176" s="2060"/>
      <c r="C176" s="2060"/>
      <c r="D176" s="2060"/>
      <c r="E176" s="2060">
        <v>12</v>
      </c>
      <c r="F176" s="2060" t="str">
        <f>'DATA GPC'!$F110</f>
        <v>--</v>
      </c>
      <c r="G176" s="960" t="str">
        <f ca="1">IF(F176="--","--",SUMPRODUCT(OFFSET('DATA GPC'!$J$1,G$163+E176-1,0,1,7),DataViewFactor)+(16-E176)/1000000)</f>
        <v>--</v>
      </c>
      <c r="H176" s="926" t="str">
        <f>IF($F176="--","n/a",IFERROR(RANK(G176,G$165:G$190),16-COUNTIF(G176:G$190,"--")))</f>
        <v>n/a</v>
      </c>
      <c r="I176" s="2060">
        <v>12</v>
      </c>
      <c r="J176" s="2060" t="str">
        <f>'DATA GPC'!$F110</f>
        <v>--</v>
      </c>
      <c r="K176" s="960" t="str">
        <f ca="1">IF(J176="--","--",SUMPRODUCT(OFFSET('DATA GPC'!$J$1,K$163+I176-1,0,1,7),DataViewFactor)+(16-I176)/1000000)</f>
        <v>--</v>
      </c>
      <c r="L176" s="926" t="str">
        <f>IF($F176="--","n/a",IFERROR(RANK(K176,K$165:K$190),16-COUNTIF(K176:K$190,"--")))</f>
        <v>n/a</v>
      </c>
      <c r="M176" s="2060">
        <v>12</v>
      </c>
      <c r="N176" s="2060" t="str">
        <f>'DATA GPC'!$F110</f>
        <v>--</v>
      </c>
      <c r="O176" s="960" t="str">
        <f ca="1">IF(N176="--","--",SUMPRODUCT(OFFSET('DATA GPC'!$J$1,O$163+M176-1,0,1,7),DataViewFactor)+(16-M176)/1000000)</f>
        <v>--</v>
      </c>
      <c r="P176" s="926" t="str">
        <f>IF($F176="--","n/a",IFERROR(RANK(O176,O$165:O$190),16-COUNTIF(O176:O$190,"--")))</f>
        <v>n/a</v>
      </c>
      <c r="Q176" s="2060"/>
      <c r="R176" s="2060"/>
      <c r="S176" s="2060"/>
      <c r="T176" s="2060"/>
      <c r="U176" s="2060"/>
      <c r="V176" s="2060"/>
      <c r="W176" s="2060"/>
      <c r="X176" s="2060"/>
    </row>
    <row r="177" spans="1:24" s="646" customFormat="1" ht="12" customHeight="1">
      <c r="A177" s="2060"/>
      <c r="B177" s="2060"/>
      <c r="C177" s="2060"/>
      <c r="D177" s="2060"/>
      <c r="E177" s="2060">
        <v>13</v>
      </c>
      <c r="F177" s="2060" t="str">
        <f>'DATA GPC'!$F111</f>
        <v>--</v>
      </c>
      <c r="G177" s="960" t="str">
        <f ca="1">IF(F177="--","--",SUMPRODUCT(OFFSET('DATA GPC'!$J$1,G$163+E177-1,0,1,7),DataViewFactor)+(16-E177)/1000000)</f>
        <v>--</v>
      </c>
      <c r="H177" s="926" t="str">
        <f>IF($F177="--","n/a",IFERROR(RANK(G177,G$165:G$190),16-COUNTIF(G177:G$190,"--")))</f>
        <v>n/a</v>
      </c>
      <c r="I177" s="2060">
        <v>13</v>
      </c>
      <c r="J177" s="2060" t="str">
        <f>'DATA GPC'!$F111</f>
        <v>--</v>
      </c>
      <c r="K177" s="960" t="str">
        <f ca="1">IF(J177="--","--",SUMPRODUCT(OFFSET('DATA GPC'!$J$1,K$163+I177-1,0,1,7),DataViewFactor)+(16-I177)/1000000)</f>
        <v>--</v>
      </c>
      <c r="L177" s="926" t="str">
        <f>IF($F177="--","n/a",IFERROR(RANK(K177,K$165:K$190),16-COUNTIF(K177:K$190,"--")))</f>
        <v>n/a</v>
      </c>
      <c r="M177" s="2060">
        <v>13</v>
      </c>
      <c r="N177" s="2060" t="str">
        <f>'DATA GPC'!$F111</f>
        <v>--</v>
      </c>
      <c r="O177" s="960" t="str">
        <f ca="1">IF(N177="--","--",SUMPRODUCT(OFFSET('DATA GPC'!$J$1,O$163+M177-1,0,1,7),DataViewFactor)+(16-M177)/1000000)</f>
        <v>--</v>
      </c>
      <c r="P177" s="926" t="str">
        <f>IF($F177="--","n/a",IFERROR(RANK(O177,O$165:O$190),16-COUNTIF(O177:O$190,"--")))</f>
        <v>n/a</v>
      </c>
      <c r="Q177" s="2060"/>
      <c r="R177" s="2060"/>
      <c r="S177" s="2060"/>
      <c r="T177" s="2060"/>
      <c r="U177" s="2060"/>
      <c r="V177" s="2060"/>
      <c r="W177" s="2060"/>
      <c r="X177" s="2060"/>
    </row>
    <row r="178" spans="1:24" s="646" customFormat="1" ht="12" customHeight="1">
      <c r="A178" s="2060"/>
      <c r="B178" s="2060"/>
      <c r="C178" s="2060"/>
      <c r="D178" s="2060"/>
      <c r="E178" s="2060">
        <v>14</v>
      </c>
      <c r="F178" s="2060" t="str">
        <f>'DATA GPC'!$F112</f>
        <v>--</v>
      </c>
      <c r="G178" s="960" t="str">
        <f ca="1">IF(F178="--","--",SUMPRODUCT(OFFSET('DATA GPC'!$J$1,G$163+E178-1,0,1,7),DataViewFactor)+(16-E178)/1000000)</f>
        <v>--</v>
      </c>
      <c r="H178" s="926" t="str">
        <f>IF($F178="--","n/a",IFERROR(RANK(G178,G$165:G$190),16-COUNTIF(G178:G$190,"--")))</f>
        <v>n/a</v>
      </c>
      <c r="I178" s="2060">
        <v>14</v>
      </c>
      <c r="J178" s="2060" t="str">
        <f>'DATA GPC'!$F112</f>
        <v>--</v>
      </c>
      <c r="K178" s="960" t="str">
        <f ca="1">IF(J178="--","--",SUMPRODUCT(OFFSET('DATA GPC'!$J$1,K$163+I178-1,0,1,7),DataViewFactor)+(16-I178)/1000000)</f>
        <v>--</v>
      </c>
      <c r="L178" s="926" t="str">
        <f>IF($F178="--","n/a",IFERROR(RANK(K178,K$165:K$190),16-COUNTIF(K178:K$190,"--")))</f>
        <v>n/a</v>
      </c>
      <c r="M178" s="2060">
        <v>14</v>
      </c>
      <c r="N178" s="2060" t="str">
        <f>'DATA GPC'!$F112</f>
        <v>--</v>
      </c>
      <c r="O178" s="960" t="str">
        <f ca="1">IF(N178="--","--",SUMPRODUCT(OFFSET('DATA GPC'!$J$1,O$163+M178-1,0,1,7),DataViewFactor)+(16-M178)/1000000)</f>
        <v>--</v>
      </c>
      <c r="P178" s="926" t="str">
        <f>IF($F178="--","n/a",IFERROR(RANK(O178,O$165:O$190),16-COUNTIF(O178:O$190,"--")))</f>
        <v>n/a</v>
      </c>
      <c r="Q178" s="2060"/>
      <c r="R178" s="2060"/>
      <c r="S178" s="2060"/>
      <c r="T178" s="2060"/>
      <c r="U178" s="2060"/>
      <c r="V178" s="2060"/>
      <c r="W178" s="2060"/>
      <c r="X178" s="2060"/>
    </row>
    <row r="179" spans="1:24" s="646" customFormat="1" ht="12" customHeight="1">
      <c r="A179" s="2060"/>
      <c r="B179" s="2060"/>
      <c r="C179" s="2060"/>
      <c r="D179" s="2060"/>
      <c r="E179" s="2060">
        <v>15</v>
      </c>
      <c r="F179" s="2060" t="str">
        <f>'DATA GPC'!$F113</f>
        <v>--</v>
      </c>
      <c r="G179" s="960" t="str">
        <f ca="1">IF(F179="--","--",SUMPRODUCT(OFFSET('DATA GPC'!$J$1,G$163+E179-1,0,1,7),DataViewFactor)+(16-E179)/1000000)</f>
        <v>--</v>
      </c>
      <c r="H179" s="926" t="str">
        <f>IF($F179="--","n/a",IFERROR(RANK(G179,G$165:G$190),16-COUNTIF(G179:G$190,"--")))</f>
        <v>n/a</v>
      </c>
      <c r="I179" s="2060">
        <v>15</v>
      </c>
      <c r="J179" s="2060" t="str">
        <f>'DATA GPC'!$F113</f>
        <v>--</v>
      </c>
      <c r="K179" s="960" t="str">
        <f ca="1">IF(J179="--","--",SUMPRODUCT(OFFSET('DATA GPC'!$J$1,K$163+I179-1,0,1,7),DataViewFactor)+(16-I179)/1000000)</f>
        <v>--</v>
      </c>
      <c r="L179" s="926" t="str">
        <f>IF($F179="--","n/a",IFERROR(RANK(K179,K$165:K$190),16-COUNTIF(K179:K$190,"--")))</f>
        <v>n/a</v>
      </c>
      <c r="M179" s="2060">
        <v>15</v>
      </c>
      <c r="N179" s="2060" t="str">
        <f>'DATA GPC'!$F113</f>
        <v>--</v>
      </c>
      <c r="O179" s="960" t="str">
        <f ca="1">IF(N179="--","--",SUMPRODUCT(OFFSET('DATA GPC'!$J$1,O$163+M179-1,0,1,7),DataViewFactor)+(16-M179)/1000000)</f>
        <v>--</v>
      </c>
      <c r="P179" s="926" t="str">
        <f>IF($F179="--","n/a",IFERROR(RANK(O179,O$165:O$190),16-COUNTIF(O179:O$190,"--")))</f>
        <v>n/a</v>
      </c>
      <c r="Q179" s="2060"/>
      <c r="R179" s="2060"/>
      <c r="S179" s="2060"/>
      <c r="T179" s="2060"/>
      <c r="U179" s="2060"/>
      <c r="V179" s="2060"/>
      <c r="W179" s="2060"/>
      <c r="X179" s="2060"/>
    </row>
    <row r="180" spans="1:24" s="1499" customFormat="1" ht="12" customHeight="1">
      <c r="A180" s="2060"/>
      <c r="B180" s="2060"/>
      <c r="C180" s="2060"/>
      <c r="D180" s="2060"/>
      <c r="E180" s="2060">
        <v>16</v>
      </c>
      <c r="F180" s="2060" t="str">
        <f>'DATA GPC'!$F114</f>
        <v>--</v>
      </c>
      <c r="G180" s="960" t="str">
        <f ca="1">IF(F180="--","--",SUMPRODUCT(OFFSET('DATA GPC'!$J$1,G$163+E180-1,0,1,7),DataViewFactor)+(16-E180)/1000000)</f>
        <v>--</v>
      </c>
      <c r="H180" s="926" t="str">
        <f>IF($F180="--","n/a",IFERROR(RANK(G180,G$165:G$190),16-COUNTIF(G180:G$190,"--")))</f>
        <v>n/a</v>
      </c>
      <c r="I180" s="2060">
        <v>16</v>
      </c>
      <c r="J180" s="2060" t="str">
        <f>'DATA GPC'!$F114</f>
        <v>--</v>
      </c>
      <c r="K180" s="960" t="str">
        <f ca="1">IF(J180="--","--",SUMPRODUCT(OFFSET('DATA GPC'!$J$1,K$163+I180-1,0,1,7),DataViewFactor)+(16-I180)/1000000)</f>
        <v>--</v>
      </c>
      <c r="L180" s="926" t="str">
        <f>IF($F180="--","n/a",IFERROR(RANK(K180,K$165:K$190),16-COUNTIF(K180:K$190,"--")))</f>
        <v>n/a</v>
      </c>
      <c r="M180" s="2060">
        <v>16</v>
      </c>
      <c r="N180" s="2060" t="str">
        <f>'DATA GPC'!$F114</f>
        <v>--</v>
      </c>
      <c r="O180" s="960" t="str">
        <f ca="1">IF(N180="--","--",SUMPRODUCT(OFFSET('DATA GPC'!$J$1,O$163+M180-1,0,1,7),DataViewFactor)+(16-M180)/1000000)</f>
        <v>--</v>
      </c>
      <c r="P180" s="926" t="str">
        <f>IF($F180="--","n/a",IFERROR(RANK(O180,O$165:O$190),16-COUNTIF(O180:O$190,"--")))</f>
        <v>n/a</v>
      </c>
      <c r="Q180" s="2060"/>
      <c r="R180" s="2060"/>
      <c r="S180" s="2060"/>
      <c r="T180" s="2060"/>
      <c r="U180" s="2060"/>
      <c r="V180" s="2060"/>
      <c r="W180" s="2060"/>
      <c r="X180" s="2060"/>
    </row>
    <row r="181" spans="1:24" s="1499" customFormat="1" ht="12" customHeight="1">
      <c r="A181" s="2060"/>
      <c r="B181" s="2060"/>
      <c r="C181" s="2060"/>
      <c r="D181" s="2060"/>
      <c r="E181" s="2060">
        <v>17</v>
      </c>
      <c r="F181" s="2060" t="str">
        <f>'DATA GPC'!$F115</f>
        <v>--</v>
      </c>
      <c r="G181" s="960" t="str">
        <f ca="1">IF(F181="--","--",SUMPRODUCT(OFFSET('DATA GPC'!$J$1,G$163+E181-1,0,1,7),DataViewFactor)+(16-E181)/1000000)</f>
        <v>--</v>
      </c>
      <c r="H181" s="926" t="str">
        <f>IF($F181="--","n/a",IFERROR(RANK(G181,G$165:G$190),16-COUNTIF(G181:G$190,"--")))</f>
        <v>n/a</v>
      </c>
      <c r="I181" s="2060">
        <v>17</v>
      </c>
      <c r="J181" s="2060" t="str">
        <f>'DATA GPC'!$F115</f>
        <v>--</v>
      </c>
      <c r="K181" s="960" t="str">
        <f ca="1">IF(J181="--","--",SUMPRODUCT(OFFSET('DATA GPC'!$J$1,K$163+I181-1,0,1,7),DataViewFactor)+(16-I181)/1000000)</f>
        <v>--</v>
      </c>
      <c r="L181" s="926" t="str">
        <f>IF($F181="--","n/a",IFERROR(RANK(K181,K$165:K$190),16-COUNTIF(K181:K$190,"--")))</f>
        <v>n/a</v>
      </c>
      <c r="M181" s="2060">
        <v>17</v>
      </c>
      <c r="N181" s="2060" t="str">
        <f>'DATA GPC'!$F115</f>
        <v>--</v>
      </c>
      <c r="O181" s="960" t="str">
        <f ca="1">IF(N181="--","--",SUMPRODUCT(OFFSET('DATA GPC'!$J$1,O$163+M181-1,0,1,7),DataViewFactor)+(16-M181)/1000000)</f>
        <v>--</v>
      </c>
      <c r="P181" s="926" t="str">
        <f>IF($F181="--","n/a",IFERROR(RANK(O181,O$165:O$190),16-COUNTIF(O181:O$190,"--")))</f>
        <v>n/a</v>
      </c>
      <c r="Q181" s="2060"/>
      <c r="R181" s="2060"/>
      <c r="S181" s="2060"/>
      <c r="T181" s="2060"/>
      <c r="U181" s="2060"/>
      <c r="V181" s="2060"/>
      <c r="W181" s="2060"/>
      <c r="X181" s="2060"/>
    </row>
    <row r="182" spans="1:24" s="1499" customFormat="1" ht="12" customHeight="1">
      <c r="A182" s="2060"/>
      <c r="B182" s="2060"/>
      <c r="C182" s="2060"/>
      <c r="D182" s="2060"/>
      <c r="E182" s="2060">
        <v>18</v>
      </c>
      <c r="F182" s="2060" t="str">
        <f>'DATA GPC'!$F116</f>
        <v>--</v>
      </c>
      <c r="G182" s="960" t="str">
        <f ca="1">IF(F182="--","--",SUMPRODUCT(OFFSET('DATA GPC'!$J$1,G$163+E182-1,0,1,7),DataViewFactor)+(16-E182)/1000000)</f>
        <v>--</v>
      </c>
      <c r="H182" s="926" t="str">
        <f>IF($F182="--","n/a",IFERROR(RANK(G182,G$165:G$190),16-COUNTIF(G182:G$190,"--")))</f>
        <v>n/a</v>
      </c>
      <c r="I182" s="2060">
        <v>18</v>
      </c>
      <c r="J182" s="2060" t="str">
        <f>'DATA GPC'!$F116</f>
        <v>--</v>
      </c>
      <c r="K182" s="960" t="str">
        <f ca="1">IF(J182="--","--",SUMPRODUCT(OFFSET('DATA GPC'!$J$1,K$163+I182-1,0,1,7),DataViewFactor)+(16-I182)/1000000)</f>
        <v>--</v>
      </c>
      <c r="L182" s="926" t="str">
        <f>IF($F182="--","n/a",IFERROR(RANK(K182,K$165:K$190),16-COUNTIF(K182:K$190,"--")))</f>
        <v>n/a</v>
      </c>
      <c r="M182" s="2060">
        <v>18</v>
      </c>
      <c r="N182" s="2060" t="str">
        <f>'DATA GPC'!$F116</f>
        <v>--</v>
      </c>
      <c r="O182" s="960" t="str">
        <f ca="1">IF(N182="--","--",SUMPRODUCT(OFFSET('DATA GPC'!$J$1,O$163+M182-1,0,1,7),DataViewFactor)+(16-M182)/1000000)</f>
        <v>--</v>
      </c>
      <c r="P182" s="926" t="str">
        <f>IF($F182="--","n/a",IFERROR(RANK(O182,O$165:O$190),16-COUNTIF(O182:O$190,"--")))</f>
        <v>n/a</v>
      </c>
      <c r="Q182" s="2060"/>
      <c r="R182" s="2060"/>
      <c r="S182" s="2060"/>
      <c r="T182" s="2060"/>
      <c r="U182" s="2060"/>
      <c r="V182" s="2060"/>
      <c r="W182" s="2060"/>
      <c r="X182" s="2060"/>
    </row>
    <row r="183" spans="1:24" s="1499" customFormat="1" ht="12" customHeight="1">
      <c r="A183" s="2060"/>
      <c r="B183" s="2060"/>
      <c r="C183" s="2060"/>
      <c r="D183" s="2060"/>
      <c r="E183" s="2060">
        <v>19</v>
      </c>
      <c r="F183" s="2060" t="str">
        <f>'DATA GPC'!$F117</f>
        <v>--</v>
      </c>
      <c r="G183" s="960" t="str">
        <f ca="1">IF(F183="--","--",SUMPRODUCT(OFFSET('DATA GPC'!$J$1,G$163+E183-1,0,1,7),DataViewFactor)+(16-E183)/1000000)</f>
        <v>--</v>
      </c>
      <c r="H183" s="926" t="str">
        <f>IF($F183="--","n/a",IFERROR(RANK(G183,G$165:G$190),16-COUNTIF(G183:G$190,"--")))</f>
        <v>n/a</v>
      </c>
      <c r="I183" s="2060">
        <v>19</v>
      </c>
      <c r="J183" s="2060" t="str">
        <f>'DATA GPC'!$F117</f>
        <v>--</v>
      </c>
      <c r="K183" s="960" t="str">
        <f ca="1">IF(J183="--","--",SUMPRODUCT(OFFSET('DATA GPC'!$J$1,K$163+I183-1,0,1,7),DataViewFactor)+(16-I183)/1000000)</f>
        <v>--</v>
      </c>
      <c r="L183" s="926" t="str">
        <f>IF($F183="--","n/a",IFERROR(RANK(K183,K$165:K$190),16-COUNTIF(K183:K$190,"--")))</f>
        <v>n/a</v>
      </c>
      <c r="M183" s="2060">
        <v>19</v>
      </c>
      <c r="N183" s="2060" t="str">
        <f>'DATA GPC'!$F117</f>
        <v>--</v>
      </c>
      <c r="O183" s="960" t="str">
        <f ca="1">IF(N183="--","--",SUMPRODUCT(OFFSET('DATA GPC'!$J$1,O$163+M183-1,0,1,7),DataViewFactor)+(16-M183)/1000000)</f>
        <v>--</v>
      </c>
      <c r="P183" s="926" t="str">
        <f>IF($F183="--","n/a",IFERROR(RANK(O183,O$165:O$190),16-COUNTIF(O183:O$190,"--")))</f>
        <v>n/a</v>
      </c>
      <c r="Q183" s="2060"/>
      <c r="R183" s="2060"/>
      <c r="S183" s="2060"/>
      <c r="T183" s="2060"/>
      <c r="U183" s="2060"/>
      <c r="V183" s="2060"/>
      <c r="W183" s="2060"/>
      <c r="X183" s="2060"/>
    </row>
    <row r="184" spans="1:24" s="1499" customFormat="1" ht="12" customHeight="1">
      <c r="A184" s="2060"/>
      <c r="B184" s="2060"/>
      <c r="C184" s="2060"/>
      <c r="D184" s="2060"/>
      <c r="E184" s="2060">
        <v>20</v>
      </c>
      <c r="F184" s="2060" t="str">
        <f>'DATA GPC'!$F118</f>
        <v>--</v>
      </c>
      <c r="G184" s="960" t="str">
        <f ca="1">IF(F184="--","--",SUMPRODUCT(OFFSET('DATA GPC'!$J$1,G$163+E184-1,0,1,7),DataViewFactor)+(16-E184)/1000000)</f>
        <v>--</v>
      </c>
      <c r="H184" s="926" t="str">
        <f>IF($F184="--","n/a",IFERROR(RANK(G184,G$165:G$190),16-COUNTIF(G184:G$190,"--")))</f>
        <v>n/a</v>
      </c>
      <c r="I184" s="2060">
        <v>20</v>
      </c>
      <c r="J184" s="2060" t="str">
        <f>'DATA GPC'!$F118</f>
        <v>--</v>
      </c>
      <c r="K184" s="960" t="str">
        <f ca="1">IF(J184="--","--",SUMPRODUCT(OFFSET('DATA GPC'!$J$1,K$163+I184-1,0,1,7),DataViewFactor)+(16-I184)/1000000)</f>
        <v>--</v>
      </c>
      <c r="L184" s="926" t="str">
        <f>IF($F184="--","n/a",IFERROR(RANK(K184,K$165:K$190),16-COUNTIF(K184:K$190,"--")))</f>
        <v>n/a</v>
      </c>
      <c r="M184" s="2060">
        <v>20</v>
      </c>
      <c r="N184" s="2060" t="str">
        <f>'DATA GPC'!$F118</f>
        <v>--</v>
      </c>
      <c r="O184" s="960" t="str">
        <f ca="1">IF(N184="--","--",SUMPRODUCT(OFFSET('DATA GPC'!$J$1,O$163+M184-1,0,1,7),DataViewFactor)+(16-M184)/1000000)</f>
        <v>--</v>
      </c>
      <c r="P184" s="926" t="str">
        <f>IF($F184="--","n/a",IFERROR(RANK(O184,O$165:O$190),16-COUNTIF(O184:O$190,"--")))</f>
        <v>n/a</v>
      </c>
      <c r="Q184" s="2060"/>
      <c r="R184" s="2060"/>
      <c r="S184" s="2060"/>
      <c r="T184" s="2060"/>
      <c r="U184" s="2060"/>
      <c r="V184" s="2060"/>
      <c r="W184" s="2060"/>
      <c r="X184" s="2060"/>
    </row>
    <row r="185" spans="1:24" s="1499" customFormat="1" ht="12" customHeight="1">
      <c r="A185" s="2060"/>
      <c r="B185" s="2060"/>
      <c r="C185" s="2060"/>
      <c r="D185" s="2060"/>
      <c r="E185" s="2060">
        <v>21</v>
      </c>
      <c r="F185" s="2060" t="str">
        <f>'DATA GPC'!$F119</f>
        <v>--</v>
      </c>
      <c r="G185" s="960" t="str">
        <f ca="1">IF(F185="--","--",SUMPRODUCT(OFFSET('DATA GPC'!$J$1,G$163+E185-1,0,1,7),DataViewFactor)+(16-E185)/1000000)</f>
        <v>--</v>
      </c>
      <c r="H185" s="926" t="str">
        <f>IF($F185="--","n/a",IFERROR(RANK(G185,G$165:G$190),16-COUNTIF(G185:G$190,"--")))</f>
        <v>n/a</v>
      </c>
      <c r="I185" s="2060">
        <v>21</v>
      </c>
      <c r="J185" s="2060" t="str">
        <f>'DATA GPC'!$F119</f>
        <v>--</v>
      </c>
      <c r="K185" s="960" t="str">
        <f ca="1">IF(J185="--","--",SUMPRODUCT(OFFSET('DATA GPC'!$J$1,K$163+I185-1,0,1,7),DataViewFactor)+(16-I185)/1000000)</f>
        <v>--</v>
      </c>
      <c r="L185" s="926" t="str">
        <f>IF($F185="--","n/a",IFERROR(RANK(K185,K$165:K$190),16-COUNTIF(K185:K$190,"--")))</f>
        <v>n/a</v>
      </c>
      <c r="M185" s="2060">
        <v>21</v>
      </c>
      <c r="N185" s="2060" t="str">
        <f>'DATA GPC'!$F119</f>
        <v>--</v>
      </c>
      <c r="O185" s="960" t="str">
        <f ca="1">IF(N185="--","--",SUMPRODUCT(OFFSET('DATA GPC'!$J$1,O$163+M185-1,0,1,7),DataViewFactor)+(16-M185)/1000000)</f>
        <v>--</v>
      </c>
      <c r="P185" s="926" t="str">
        <f>IF($F185="--","n/a",IFERROR(RANK(O185,O$165:O$190),16-COUNTIF(O185:O$190,"--")))</f>
        <v>n/a</v>
      </c>
      <c r="Q185" s="2060"/>
      <c r="R185" s="2060"/>
      <c r="S185" s="2060"/>
      <c r="T185" s="2060"/>
      <c r="U185" s="2060"/>
      <c r="V185" s="2060"/>
      <c r="W185" s="2060"/>
      <c r="X185" s="2060"/>
    </row>
    <row r="186" spans="1:24" s="1499" customFormat="1" ht="12" customHeight="1">
      <c r="A186" s="2060"/>
      <c r="B186" s="2060"/>
      <c r="C186" s="2060"/>
      <c r="D186" s="2060"/>
      <c r="E186" s="2060">
        <v>22</v>
      </c>
      <c r="F186" s="2060" t="str">
        <f>'DATA GPC'!$F120</f>
        <v>--</v>
      </c>
      <c r="G186" s="960" t="str">
        <f ca="1">IF(F186="--","--",SUMPRODUCT(OFFSET('DATA GPC'!$J$1,G$163+E186-1,0,1,7),DataViewFactor)+(16-E186)/1000000)</f>
        <v>--</v>
      </c>
      <c r="H186" s="926" t="str">
        <f>IF($F186="--","n/a",IFERROR(RANK(G186,G$165:G$190),16-COUNTIF(G186:G$190,"--")))</f>
        <v>n/a</v>
      </c>
      <c r="I186" s="2060">
        <v>22</v>
      </c>
      <c r="J186" s="2060" t="str">
        <f>'DATA GPC'!$F120</f>
        <v>--</v>
      </c>
      <c r="K186" s="960" t="str">
        <f ca="1">IF(J186="--","--",SUMPRODUCT(OFFSET('DATA GPC'!$J$1,K$163+I186-1,0,1,7),DataViewFactor)+(16-I186)/1000000)</f>
        <v>--</v>
      </c>
      <c r="L186" s="926" t="str">
        <f>IF($F186="--","n/a",IFERROR(RANK(K186,K$165:K$190),16-COUNTIF(K186:K$190,"--")))</f>
        <v>n/a</v>
      </c>
      <c r="M186" s="2060">
        <v>22</v>
      </c>
      <c r="N186" s="2060" t="str">
        <f>'DATA GPC'!$F120</f>
        <v>--</v>
      </c>
      <c r="O186" s="960" t="str">
        <f ca="1">IF(N186="--","--",SUMPRODUCT(OFFSET('DATA GPC'!$J$1,O$163+M186-1,0,1,7),DataViewFactor)+(16-M186)/1000000)</f>
        <v>--</v>
      </c>
      <c r="P186" s="926" t="str">
        <f>IF($F186="--","n/a",IFERROR(RANK(O186,O$165:O$190),16-COUNTIF(O186:O$190,"--")))</f>
        <v>n/a</v>
      </c>
      <c r="Q186" s="2060"/>
      <c r="R186" s="2060"/>
      <c r="S186" s="2060"/>
      <c r="T186" s="2060"/>
      <c r="U186" s="2060"/>
      <c r="V186" s="2060"/>
      <c r="W186" s="2060"/>
      <c r="X186" s="2060"/>
    </row>
    <row r="187" spans="1:24" s="1499" customFormat="1" ht="12" customHeight="1">
      <c r="A187" s="2060"/>
      <c r="B187" s="2060"/>
      <c r="C187" s="2060"/>
      <c r="D187" s="2060"/>
      <c r="E187" s="2060">
        <v>23</v>
      </c>
      <c r="F187" s="2060" t="str">
        <f>'DATA GPC'!$F121</f>
        <v>--</v>
      </c>
      <c r="G187" s="960" t="str">
        <f ca="1">IF(F187="--","--",SUMPRODUCT(OFFSET('DATA GPC'!$J$1,G$163+E187-1,0,1,7),DataViewFactor)+(16-E187)/1000000)</f>
        <v>--</v>
      </c>
      <c r="H187" s="926" t="str">
        <f>IF($F187="--","n/a",IFERROR(RANK(G187,G$165:G$190),16-COUNTIF(G187:G$190,"--")))</f>
        <v>n/a</v>
      </c>
      <c r="I187" s="2060">
        <v>23</v>
      </c>
      <c r="J187" s="2060" t="str">
        <f>'DATA GPC'!$F121</f>
        <v>--</v>
      </c>
      <c r="K187" s="960" t="str">
        <f ca="1">IF(J187="--","--",SUMPRODUCT(OFFSET('DATA GPC'!$J$1,K$163+I187-1,0,1,7),DataViewFactor)+(16-I187)/1000000)</f>
        <v>--</v>
      </c>
      <c r="L187" s="926" t="str">
        <f>IF($F187="--","n/a",IFERROR(RANK(K187,K$165:K$190),16-COUNTIF(K187:K$190,"--")))</f>
        <v>n/a</v>
      </c>
      <c r="M187" s="2060">
        <v>23</v>
      </c>
      <c r="N187" s="2060" t="str">
        <f>'DATA GPC'!$F121</f>
        <v>--</v>
      </c>
      <c r="O187" s="960" t="str">
        <f ca="1">IF(N187="--","--",SUMPRODUCT(OFFSET('DATA GPC'!$J$1,O$163+M187-1,0,1,7),DataViewFactor)+(16-M187)/1000000)</f>
        <v>--</v>
      </c>
      <c r="P187" s="926" t="str">
        <f>IF($F187="--","n/a",IFERROR(RANK(O187,O$165:O$190),16-COUNTIF(O187:O$190,"--")))</f>
        <v>n/a</v>
      </c>
      <c r="Q187" s="2060"/>
      <c r="R187" s="2060"/>
      <c r="S187" s="2060"/>
      <c r="T187" s="2060"/>
      <c r="U187" s="2060"/>
      <c r="V187" s="2060"/>
      <c r="W187" s="2060"/>
      <c r="X187" s="2060"/>
    </row>
    <row r="188" spans="1:24" s="1499" customFormat="1" ht="12" customHeight="1">
      <c r="A188" s="2060"/>
      <c r="B188" s="2060"/>
      <c r="C188" s="2060"/>
      <c r="D188" s="2060"/>
      <c r="E188" s="2060">
        <v>24</v>
      </c>
      <c r="F188" s="2060" t="str">
        <f>'DATA GPC'!$F122</f>
        <v>--</v>
      </c>
      <c r="G188" s="960" t="str">
        <f ca="1">IF(F188="--","--",SUMPRODUCT(OFFSET('DATA GPC'!$J$1,G$163+E188-1,0,1,7),DataViewFactor)+(16-E188)/1000000)</f>
        <v>--</v>
      </c>
      <c r="H188" s="926" t="str">
        <f>IF($F188="--","n/a",IFERROR(RANK(G188,G$165:G$190),16-COUNTIF(G188:G$190,"--")))</f>
        <v>n/a</v>
      </c>
      <c r="I188" s="2060">
        <v>24</v>
      </c>
      <c r="J188" s="2060" t="str">
        <f>'DATA GPC'!$F122</f>
        <v>--</v>
      </c>
      <c r="K188" s="960" t="str">
        <f ca="1">IF(J188="--","--",SUMPRODUCT(OFFSET('DATA GPC'!$J$1,K$163+I188-1,0,1,7),DataViewFactor)+(16-I188)/1000000)</f>
        <v>--</v>
      </c>
      <c r="L188" s="926" t="str">
        <f>IF($F188="--","n/a",IFERROR(RANK(K188,K$165:K$190),16-COUNTIF(K188:K$190,"--")))</f>
        <v>n/a</v>
      </c>
      <c r="M188" s="2060">
        <v>24</v>
      </c>
      <c r="N188" s="2060" t="str">
        <f>'DATA GPC'!$F122</f>
        <v>--</v>
      </c>
      <c r="O188" s="960" t="str">
        <f ca="1">IF(N188="--","--",SUMPRODUCT(OFFSET('DATA GPC'!$J$1,O$163+M188-1,0,1,7),DataViewFactor)+(16-M188)/1000000)</f>
        <v>--</v>
      </c>
      <c r="P188" s="926" t="str">
        <f>IF($F188="--","n/a",IFERROR(RANK(O188,O$165:O$190),16-COUNTIF(O188:O$190,"--")))</f>
        <v>n/a</v>
      </c>
      <c r="Q188" s="2060"/>
      <c r="R188" s="2060"/>
      <c r="S188" s="2060"/>
      <c r="T188" s="2060"/>
      <c r="U188" s="2060"/>
      <c r="V188" s="2060"/>
      <c r="W188" s="2060"/>
      <c r="X188" s="2060"/>
    </row>
    <row r="189" spans="1:24" s="1499" customFormat="1" ht="12" customHeight="1">
      <c r="A189" s="2060"/>
      <c r="B189" s="2060"/>
      <c r="C189" s="2060"/>
      <c r="D189" s="2060"/>
      <c r="E189" s="2060">
        <v>25</v>
      </c>
      <c r="F189" s="2060" t="str">
        <f>'DATA GPC'!$F123</f>
        <v>--</v>
      </c>
      <c r="G189" s="960" t="str">
        <f ca="1">IF(F189="--","--",SUMPRODUCT(OFFSET('DATA GPC'!$J$1,G$163+E189-1,0,1,7),DataViewFactor)+(16-E189)/1000000)</f>
        <v>--</v>
      </c>
      <c r="H189" s="926" t="str">
        <f>IF($F189="--","n/a",IFERROR(RANK(G189,G$165:G$190),16-COUNTIF(G189:G$190,"--")))</f>
        <v>n/a</v>
      </c>
      <c r="I189" s="2060">
        <v>25</v>
      </c>
      <c r="J189" s="2060" t="str">
        <f>'DATA GPC'!$F123</f>
        <v>--</v>
      </c>
      <c r="K189" s="960" t="str">
        <f ca="1">IF(J189="--","--",SUMPRODUCT(OFFSET('DATA GPC'!$J$1,K$163+I189-1,0,1,7),DataViewFactor)+(16-I189)/1000000)</f>
        <v>--</v>
      </c>
      <c r="L189" s="926" t="str">
        <f>IF($F189="--","n/a",IFERROR(RANK(K189,K$165:K$190),16-COUNTIF(K189:K$190,"--")))</f>
        <v>n/a</v>
      </c>
      <c r="M189" s="2060">
        <v>25</v>
      </c>
      <c r="N189" s="2060" t="str">
        <f>'DATA GPC'!$F123</f>
        <v>--</v>
      </c>
      <c r="O189" s="960" t="str">
        <f ca="1">IF(N189="--","--",SUMPRODUCT(OFFSET('DATA GPC'!$J$1,O$163+M189-1,0,1,7),DataViewFactor)+(16-M189)/1000000)</f>
        <v>--</v>
      </c>
      <c r="P189" s="926" t="str">
        <f>IF($F189="--","n/a",IFERROR(RANK(O189,O$165:O$190),16-COUNTIF(O189:O$190,"--")))</f>
        <v>n/a</v>
      </c>
      <c r="Q189" s="2060"/>
      <c r="R189" s="2060"/>
      <c r="S189" s="2060"/>
      <c r="T189" s="2060"/>
      <c r="U189" s="2060"/>
      <c r="V189" s="2060"/>
      <c r="W189" s="2060"/>
      <c r="X189" s="2060"/>
    </row>
    <row r="190" spans="1:24" s="646" customFormat="1" ht="12" customHeight="1">
      <c r="A190" s="2060"/>
      <c r="B190" s="2060"/>
      <c r="C190" s="2060"/>
      <c r="D190" s="2060"/>
      <c r="E190" s="2060">
        <v>26</v>
      </c>
      <c r="F190" s="2060" t="str">
        <f>'DATA GPC'!$F124</f>
        <v>--</v>
      </c>
      <c r="G190" s="960" t="str">
        <f ca="1">IF(F190="--","--",SUMPRODUCT(OFFSET('DATA GPC'!$J$1,G$163+E190-1,0,1,7),DataViewFactor)+(16-E190)/1000000)</f>
        <v>--</v>
      </c>
      <c r="H190" s="926" t="str">
        <f>IF($F190="--","n/a",IFERROR(RANK(G190,G$165:G$190),16-COUNTIF(G190:G$190,"--")))</f>
        <v>n/a</v>
      </c>
      <c r="I190" s="2060">
        <v>26</v>
      </c>
      <c r="J190" s="2060" t="str">
        <f>'DATA GPC'!$F124</f>
        <v>--</v>
      </c>
      <c r="K190" s="960" t="str">
        <f ca="1">IF(J190="--","--",SUMPRODUCT(OFFSET('DATA GPC'!$J$1,K$163+I190-1,0,1,7),DataViewFactor)+(16-I190)/1000000)</f>
        <v>--</v>
      </c>
      <c r="L190" s="926" t="str">
        <f>IF($F190="--","n/a",IFERROR(RANK(K190,K$165:K$190),16-COUNTIF(K190:K$190,"--")))</f>
        <v>n/a</v>
      </c>
      <c r="M190" s="2060">
        <v>26</v>
      </c>
      <c r="N190" s="2060" t="str">
        <f>'DATA GPC'!$F124</f>
        <v>--</v>
      </c>
      <c r="O190" s="960" t="str">
        <f ca="1">IF(N190="--","--",SUMPRODUCT(OFFSET('DATA GPC'!$J$1,O$163+M190-1,0,1,7),DataViewFactor)+(16-M190)/1000000)</f>
        <v>--</v>
      </c>
      <c r="P190" s="926" t="str">
        <f>IF($F190="--","n/a",IFERROR(RANK(O190,O$165:O$190),16-COUNTIF(O190:O$190,"--")))</f>
        <v>n/a</v>
      </c>
      <c r="Q190" s="2060"/>
      <c r="R190" s="2060"/>
      <c r="S190" s="2060"/>
      <c r="T190" s="2060"/>
      <c r="U190" s="2060"/>
      <c r="V190" s="2060"/>
      <c r="W190" s="2060"/>
      <c r="X190" s="2060"/>
    </row>
    <row r="191" spans="1:24" s="646" customFormat="1" ht="12" customHeight="1">
      <c r="A191" s="2060"/>
      <c r="B191" s="2060"/>
      <c r="C191" s="2060"/>
      <c r="D191" s="2060"/>
      <c r="E191" s="2060"/>
      <c r="F191" s="2060"/>
      <c r="G191" s="2060"/>
      <c r="H191" s="2060"/>
      <c r="I191" s="2060"/>
      <c r="J191" s="2060"/>
      <c r="K191" s="2060"/>
      <c r="L191" s="2060"/>
      <c r="M191" s="2060"/>
      <c r="N191" s="2060"/>
      <c r="O191" s="2060"/>
      <c r="P191" s="2060"/>
      <c r="Q191" s="2060"/>
      <c r="R191" s="2060"/>
      <c r="S191" s="2060"/>
      <c r="T191" s="2060"/>
      <c r="U191" s="2060"/>
      <c r="V191" s="2060"/>
      <c r="W191" s="2060"/>
      <c r="X191" s="2060"/>
    </row>
    <row r="192" spans="1:24" s="646" customFormat="1" ht="12" customHeight="1">
      <c r="A192" s="2060"/>
      <c r="B192" s="2060"/>
      <c r="C192" s="2060"/>
      <c r="D192" s="2060"/>
      <c r="E192" s="2060"/>
      <c r="F192" s="1029" t="str">
        <f>F72</f>
        <v>Market capital</v>
      </c>
      <c r="G192" s="90"/>
      <c r="H192" s="2060"/>
      <c r="I192" s="2060"/>
      <c r="J192" s="1029" t="str">
        <f>J72</f>
        <v>EBITDA margin</v>
      </c>
      <c r="K192" s="90"/>
      <c r="L192" s="2060"/>
      <c r="M192" s="2060"/>
      <c r="N192" s="1029" t="str">
        <f>N72</f>
        <v>EBIT margin</v>
      </c>
      <c r="O192" s="90"/>
      <c r="P192" s="2060"/>
      <c r="Q192" s="2060"/>
      <c r="R192" s="2060"/>
      <c r="S192" s="2060"/>
      <c r="T192" s="2060"/>
      <c r="U192" s="2060"/>
      <c r="V192" s="2060"/>
      <c r="W192" s="2060"/>
      <c r="X192" s="2060"/>
    </row>
    <row r="193" spans="1:24" s="646" customFormat="1" ht="12" customHeight="1">
      <c r="A193" s="2060"/>
      <c r="B193" s="2060"/>
      <c r="C193" s="2060"/>
      <c r="D193" s="2060"/>
      <c r="E193" s="2060"/>
      <c r="F193" s="2060" t="s">
        <v>1733</v>
      </c>
      <c r="G193" s="2060">
        <f>MATCH(F192,'DATA GPC'!$F$1:$F$2263,0)</f>
        <v>160</v>
      </c>
      <c r="H193" s="521" t="str">
        <f>H73</f>
        <v>LTM</v>
      </c>
      <c r="I193" s="2060"/>
      <c r="J193" s="2060" t="s">
        <v>1733</v>
      </c>
      <c r="K193" s="2060">
        <f>MATCH(J192,'DATA GPC'!$F$1:$F$2263,0)</f>
        <v>1217</v>
      </c>
      <c r="L193" s="521" t="str">
        <f>L73</f>
        <v>LTM</v>
      </c>
      <c r="M193" s="2060"/>
      <c r="N193" s="2060" t="s">
        <v>1733</v>
      </c>
      <c r="O193" s="2060">
        <f>MATCH(N192,'DATA GPC'!$F$1:$F$2263,0)</f>
        <v>1248</v>
      </c>
      <c r="P193" s="521" t="str">
        <f>P73</f>
        <v>LTM</v>
      </c>
      <c r="Q193" s="2060"/>
      <c r="R193" s="2060"/>
      <c r="S193" s="2060"/>
      <c r="T193" s="2060"/>
      <c r="U193" s="2060"/>
      <c r="V193" s="2060"/>
      <c r="W193" s="2060"/>
      <c r="X193" s="2060"/>
    </row>
    <row r="194" spans="1:24" s="646" customFormat="1" ht="12" customHeight="1">
      <c r="A194" s="2060"/>
      <c r="B194" s="2060"/>
      <c r="C194" s="2060"/>
      <c r="D194" s="2060"/>
      <c r="E194" s="2060"/>
      <c r="F194" s="1029" t="s">
        <v>851</v>
      </c>
      <c r="G194" s="521" t="s">
        <v>1734</v>
      </c>
      <c r="H194" s="925" t="s">
        <v>1735</v>
      </c>
      <c r="I194" s="2060"/>
      <c r="J194" s="1029" t="s">
        <v>851</v>
      </c>
      <c r="K194" s="521" t="s">
        <v>1734</v>
      </c>
      <c r="L194" s="925" t="s">
        <v>1735</v>
      </c>
      <c r="M194" s="2060"/>
      <c r="N194" s="1029" t="s">
        <v>851</v>
      </c>
      <c r="O194" s="521" t="s">
        <v>1734</v>
      </c>
      <c r="P194" s="925" t="s">
        <v>1735</v>
      </c>
      <c r="Q194" s="2060"/>
      <c r="R194" s="2060"/>
      <c r="S194" s="2060"/>
      <c r="T194" s="2060"/>
      <c r="U194" s="2060"/>
      <c r="V194" s="2060"/>
      <c r="W194" s="2060"/>
      <c r="X194" s="2060"/>
    </row>
    <row r="195" spans="1:24" s="646" customFormat="1" ht="12" customHeight="1">
      <c r="A195" s="2060"/>
      <c r="B195" s="2060"/>
      <c r="C195" s="2060"/>
      <c r="D195" s="2060"/>
      <c r="E195" s="2060">
        <v>1</v>
      </c>
      <c r="F195" s="2060" t="str">
        <f>'DATA GPC'!$F99</f>
        <v/>
      </c>
      <c r="G195" s="959" t="str">
        <f ca="1">IF(F195="--","--",IF(SUMPRODUCT(OFFSET('DATA GPC'!$J$1,G$193+E195-1,0,1,7),DataViewFactor)=0,"n/a",SUMPRODUCT(OFFSET('DATA GPC'!$J$1,G$193+E195-1,0,1,7),DataViewFactor)))</f>
        <v>n/a</v>
      </c>
      <c r="H195" s="926">
        <f ca="1">IF($F195="--","n/a",IFERROR(RANK(G195,G$195:G$220),16-COUNTIF(G195:G$220,"--")))</f>
        <v>-9</v>
      </c>
      <c r="I195" s="2060">
        <v>1</v>
      </c>
      <c r="J195" s="2060" t="str">
        <f>'DATA GPC'!$F99</f>
        <v/>
      </c>
      <c r="K195" s="960" t="str">
        <f ca="1">IF(J195="--","--",IF(SUMPRODUCT(OFFSET('DATA GPC'!$J$1,K$193+I195-1,0,1,7),DataViewFactor)=0,"n/a",SUMPRODUCT(OFFSET('DATA GPC'!$J$1,K$193+I195-1,0,1,7),DataViewFactor)))</f>
        <v>n/a</v>
      </c>
      <c r="L195" s="926">
        <f ca="1">IF($F195="--","n/a",IFERROR(RANK(K195,K$195:K$220),16-COUNTIF(K195:K$220,"--")))</f>
        <v>-9</v>
      </c>
      <c r="M195" s="2060">
        <v>1</v>
      </c>
      <c r="N195" s="2060" t="str">
        <f>'DATA GPC'!$F99</f>
        <v/>
      </c>
      <c r="O195" s="960" t="str">
        <f ca="1">IF(N195="--","--",IF(SUMPRODUCT(OFFSET('DATA GPC'!$J$1,O$193+M195-1,0,1,7),DataViewFactor)=0,"n/a",SUMPRODUCT(OFFSET('DATA GPC'!$J$1,O$193+M195-1,0,1,7),DataViewFactor)))</f>
        <v>n/a</v>
      </c>
      <c r="P195" s="926">
        <f ca="1">IF($F195="--","n/a",IFERROR(RANK(O195,O$195:O$220),16-COUNTIF(O195:O$220,"--")))</f>
        <v>-9</v>
      </c>
      <c r="Q195" s="2060"/>
      <c r="R195" s="2060"/>
      <c r="S195" s="2060"/>
      <c r="T195" s="2060"/>
      <c r="U195" s="2060"/>
      <c r="V195" s="2060"/>
      <c r="W195" s="2060"/>
      <c r="X195" s="2060"/>
    </row>
    <row r="196" spans="1:24" s="646" customFormat="1" ht="12" customHeight="1">
      <c r="A196" s="2060"/>
      <c r="B196" s="2060"/>
      <c r="C196" s="2060"/>
      <c r="D196" s="2060"/>
      <c r="E196" s="2060">
        <v>2</v>
      </c>
      <c r="F196" s="2060" t="str">
        <f>'DATA GPC'!$F100</f>
        <v>--</v>
      </c>
      <c r="G196" s="959" t="str">
        <f ca="1">IF(F196="--","--",SUMPRODUCT(OFFSET('DATA GPC'!$J$1,G$193+E196-1,0,1,7),DataViewFactor)+(16-E196)/1000000)</f>
        <v>--</v>
      </c>
      <c r="H196" s="926" t="str">
        <f>IF($F196="--","n/a",IFERROR(RANK(G196,G$195:G$220),16-COUNTIF(G196:G$220,"--")))</f>
        <v>n/a</v>
      </c>
      <c r="I196" s="2060">
        <v>2</v>
      </c>
      <c r="J196" s="2060" t="str">
        <f>'DATA GPC'!$F100</f>
        <v>--</v>
      </c>
      <c r="K196" s="960" t="str">
        <f ca="1">IF(J196="--","--",SUMPRODUCT(OFFSET('DATA GPC'!$J$1,K$193+I196-1,0,1,7),DataViewFactor)+(16-I196)/1000000)</f>
        <v>--</v>
      </c>
      <c r="L196" s="926" t="str">
        <f>IF($F196="--","n/a",IFERROR(RANK(K196,K$195:K$220),16-COUNTIF(K196:K$220,"--")))</f>
        <v>n/a</v>
      </c>
      <c r="M196" s="2060">
        <v>2</v>
      </c>
      <c r="N196" s="2060" t="str">
        <f>'DATA GPC'!$F100</f>
        <v>--</v>
      </c>
      <c r="O196" s="960" t="str">
        <f ca="1">IF(N196="--","--",SUMPRODUCT(OFFSET('DATA GPC'!$J$1,O$193+M196-1,0,1,7),DataViewFactor)+(16-M196)/1000000)</f>
        <v>--</v>
      </c>
      <c r="P196" s="926" t="str">
        <f>IF($F196="--","n/a",IFERROR(RANK(O196,O$195:O$220),16-COUNTIF(O196:O$220,"--")))</f>
        <v>n/a</v>
      </c>
      <c r="Q196" s="2060"/>
      <c r="R196" s="2060"/>
      <c r="S196" s="2060"/>
      <c r="T196" s="2060"/>
      <c r="U196" s="2060"/>
      <c r="V196" s="2060"/>
      <c r="W196" s="2060"/>
      <c r="X196" s="2060"/>
    </row>
    <row r="197" spans="1:24" s="646" customFormat="1" ht="12" customHeight="1">
      <c r="A197" s="2060"/>
      <c r="B197" s="2060"/>
      <c r="C197" s="2060"/>
      <c r="D197" s="2060"/>
      <c r="E197" s="2060">
        <v>3</v>
      </c>
      <c r="F197" s="2060" t="str">
        <f>'DATA GPC'!$F101</f>
        <v>--</v>
      </c>
      <c r="G197" s="959" t="str">
        <f ca="1">IF(F197="--","--",SUMPRODUCT(OFFSET('DATA GPC'!$J$1,G$193+E197-1,0,1,7),DataViewFactor)+(16-E197)/1000000)</f>
        <v>--</v>
      </c>
      <c r="H197" s="926" t="str">
        <f>IF($F197="--","n/a",IFERROR(RANK(G197,G$195:G$220),16-COUNTIF(G197:G$220,"--")))</f>
        <v>n/a</v>
      </c>
      <c r="I197" s="2060">
        <v>3</v>
      </c>
      <c r="J197" s="2060" t="str">
        <f>'DATA GPC'!$F101</f>
        <v>--</v>
      </c>
      <c r="K197" s="960" t="str">
        <f ca="1">IF(J197="--","--",SUMPRODUCT(OFFSET('DATA GPC'!$J$1,K$193+I197-1,0,1,7),DataViewFactor)+(16-I197)/1000000)</f>
        <v>--</v>
      </c>
      <c r="L197" s="926" t="str">
        <f>IF($F197="--","n/a",IFERROR(RANK(K197,K$195:K$220),16-COUNTIF(K197:K$220,"--")))</f>
        <v>n/a</v>
      </c>
      <c r="M197" s="2060">
        <v>3</v>
      </c>
      <c r="N197" s="2060" t="str">
        <f>'DATA GPC'!$F101</f>
        <v>--</v>
      </c>
      <c r="O197" s="960" t="str">
        <f ca="1">IF(N197="--","--",SUMPRODUCT(OFFSET('DATA GPC'!$J$1,O$193+M197-1,0,1,7),DataViewFactor)+(16-M197)/1000000)</f>
        <v>--</v>
      </c>
      <c r="P197" s="926" t="str">
        <f>IF($F197="--","n/a",IFERROR(RANK(O197,O$195:O$220),16-COUNTIF(O197:O$220,"--")))</f>
        <v>n/a</v>
      </c>
      <c r="Q197" s="2060"/>
      <c r="R197" s="2060"/>
      <c r="S197" s="2060"/>
      <c r="T197" s="2060"/>
      <c r="U197" s="2060"/>
      <c r="V197" s="2060"/>
      <c r="W197" s="2060"/>
      <c r="X197" s="2060"/>
    </row>
    <row r="198" spans="1:24" s="646" customFormat="1" ht="12" customHeight="1">
      <c r="A198" s="2060"/>
      <c r="B198" s="2060"/>
      <c r="C198" s="2060"/>
      <c r="D198" s="2060"/>
      <c r="E198" s="2060">
        <v>4</v>
      </c>
      <c r="F198" s="2060" t="str">
        <f>'DATA GPC'!$F102</f>
        <v>--</v>
      </c>
      <c r="G198" s="959" t="str">
        <f ca="1">IF(F198="--","--",SUMPRODUCT(OFFSET('DATA GPC'!$J$1,G$193+E198-1,0,1,7),DataViewFactor)+(16-E198)/1000000)</f>
        <v>--</v>
      </c>
      <c r="H198" s="926" t="str">
        <f>IF($F198="--","n/a",IFERROR(RANK(G198,G$195:G$220),16-COUNTIF(G198:G$220,"--")))</f>
        <v>n/a</v>
      </c>
      <c r="I198" s="2060">
        <v>4</v>
      </c>
      <c r="J198" s="2060" t="str">
        <f>'DATA GPC'!$F102</f>
        <v>--</v>
      </c>
      <c r="K198" s="960" t="str">
        <f ca="1">IF(J198="--","--",SUMPRODUCT(OFFSET('DATA GPC'!$J$1,K$193+I198-1,0,1,7),DataViewFactor)+(16-I198)/1000000)</f>
        <v>--</v>
      </c>
      <c r="L198" s="926" t="str">
        <f>IF($F198="--","n/a",IFERROR(RANK(K198,K$195:K$220),16-COUNTIF(K198:K$220,"--")))</f>
        <v>n/a</v>
      </c>
      <c r="M198" s="2060">
        <v>4</v>
      </c>
      <c r="N198" s="2060" t="str">
        <f>'DATA GPC'!$F102</f>
        <v>--</v>
      </c>
      <c r="O198" s="960" t="str">
        <f ca="1">IF(N198="--","--",SUMPRODUCT(OFFSET('DATA GPC'!$J$1,O$193+M198-1,0,1,7),DataViewFactor)+(16-M198)/1000000)</f>
        <v>--</v>
      </c>
      <c r="P198" s="926" t="str">
        <f>IF($F198="--","n/a",IFERROR(RANK(O198,O$195:O$220),16-COUNTIF(O198:O$220,"--")))</f>
        <v>n/a</v>
      </c>
      <c r="Q198" s="2060"/>
      <c r="R198" s="2060"/>
      <c r="S198" s="2060"/>
      <c r="T198" s="2060"/>
      <c r="U198" s="2060"/>
      <c r="V198" s="2060"/>
      <c r="W198" s="2060"/>
      <c r="X198" s="2060"/>
    </row>
    <row r="199" spans="1:24" s="646" customFormat="1" ht="12" customHeight="1">
      <c r="A199" s="2060"/>
      <c r="B199" s="2060"/>
      <c r="C199" s="2060"/>
      <c r="D199" s="2060"/>
      <c r="E199" s="2060">
        <v>5</v>
      </c>
      <c r="F199" s="2060" t="str">
        <f>'DATA GPC'!$F103</f>
        <v>--</v>
      </c>
      <c r="G199" s="959" t="str">
        <f ca="1">IF(F199="--","--",SUMPRODUCT(OFFSET('DATA GPC'!$J$1,G$193+E199-1,0,1,7),DataViewFactor)+(16-E199)/1000000)</f>
        <v>--</v>
      </c>
      <c r="H199" s="926" t="str">
        <f>IF($F199="--","n/a",IFERROR(RANK(G199,G$195:G$220),16-COUNTIF(G199:G$220,"--")))</f>
        <v>n/a</v>
      </c>
      <c r="I199" s="2060">
        <v>5</v>
      </c>
      <c r="J199" s="2060" t="str">
        <f>'DATA GPC'!$F103</f>
        <v>--</v>
      </c>
      <c r="K199" s="960" t="str">
        <f ca="1">IF(J199="--","--",SUMPRODUCT(OFFSET('DATA GPC'!$J$1,K$193+I199-1,0,1,7),DataViewFactor)+(16-I199)/1000000)</f>
        <v>--</v>
      </c>
      <c r="L199" s="926" t="str">
        <f>IF($F199="--","n/a",IFERROR(RANK(K199,K$195:K$220),16-COUNTIF(K199:K$220,"--")))</f>
        <v>n/a</v>
      </c>
      <c r="M199" s="2060">
        <v>5</v>
      </c>
      <c r="N199" s="2060" t="str">
        <f>'DATA GPC'!$F103</f>
        <v>--</v>
      </c>
      <c r="O199" s="960" t="str">
        <f ca="1">IF(N199="--","--",SUMPRODUCT(OFFSET('DATA GPC'!$J$1,O$193+M199-1,0,1,7),DataViewFactor)+(16-M199)/1000000)</f>
        <v>--</v>
      </c>
      <c r="P199" s="926" t="str">
        <f>IF($F199="--","n/a",IFERROR(RANK(O199,O$195:O$220),16-COUNTIF(O199:O$220,"--")))</f>
        <v>n/a</v>
      </c>
      <c r="Q199" s="2060"/>
      <c r="R199" s="2060"/>
      <c r="S199" s="2060"/>
      <c r="T199" s="2060"/>
      <c r="U199" s="2060"/>
      <c r="V199" s="2060"/>
      <c r="W199" s="2060"/>
      <c r="X199" s="2060"/>
    </row>
    <row r="200" spans="1:24" s="646" customFormat="1" ht="12" customHeight="1">
      <c r="A200" s="2060"/>
      <c r="B200" s="2060"/>
      <c r="C200" s="2060"/>
      <c r="D200" s="2060"/>
      <c r="E200" s="2060">
        <v>6</v>
      </c>
      <c r="F200" s="2060" t="str">
        <f>'DATA GPC'!$F104</f>
        <v>--</v>
      </c>
      <c r="G200" s="959" t="str">
        <f ca="1">IF(F200="--","--",SUMPRODUCT(OFFSET('DATA GPC'!$J$1,G$193+E200-1,0,1,7),DataViewFactor)+(16-E200)/1000000)</f>
        <v>--</v>
      </c>
      <c r="H200" s="926" t="str">
        <f>IF($F200="--","n/a",IFERROR(RANK(G200,G$195:G$220),16-COUNTIF(G200:G$220,"--")))</f>
        <v>n/a</v>
      </c>
      <c r="I200" s="2060">
        <v>6</v>
      </c>
      <c r="J200" s="2060" t="str">
        <f>'DATA GPC'!$F104</f>
        <v>--</v>
      </c>
      <c r="K200" s="960" t="str">
        <f ca="1">IF(J200="--","--",SUMPRODUCT(OFFSET('DATA GPC'!$J$1,K$193+I200-1,0,1,7),DataViewFactor)+(16-I200)/1000000)</f>
        <v>--</v>
      </c>
      <c r="L200" s="926" t="str">
        <f>IF($F200="--","n/a",IFERROR(RANK(K200,K$195:K$220),16-COUNTIF(K200:K$220,"--")))</f>
        <v>n/a</v>
      </c>
      <c r="M200" s="2060">
        <v>6</v>
      </c>
      <c r="N200" s="2060" t="str">
        <f>'DATA GPC'!$F104</f>
        <v>--</v>
      </c>
      <c r="O200" s="960" t="str">
        <f ca="1">IF(N200="--","--",SUMPRODUCT(OFFSET('DATA GPC'!$J$1,O$193+M200-1,0,1,7),DataViewFactor)+(16-M200)/1000000)</f>
        <v>--</v>
      </c>
      <c r="P200" s="926" t="str">
        <f>IF($F200="--","n/a",IFERROR(RANK(O200,O$195:O$220),16-COUNTIF(O200:O$220,"--")))</f>
        <v>n/a</v>
      </c>
      <c r="Q200" s="2060"/>
      <c r="R200" s="2060"/>
      <c r="S200" s="2060"/>
      <c r="T200" s="2060"/>
      <c r="U200" s="2060"/>
      <c r="V200" s="2060"/>
      <c r="W200" s="2060"/>
      <c r="X200" s="2060"/>
    </row>
    <row r="201" spans="1:24" s="646" customFormat="1" ht="12" customHeight="1">
      <c r="A201" s="2060"/>
      <c r="B201" s="2060"/>
      <c r="C201" s="2060"/>
      <c r="D201" s="2060"/>
      <c r="E201" s="2060">
        <v>7</v>
      </c>
      <c r="F201" s="2060" t="str">
        <f>'DATA GPC'!$F105</f>
        <v>--</v>
      </c>
      <c r="G201" s="959" t="str">
        <f ca="1">IF(F201="--","--",SUMPRODUCT(OFFSET('DATA GPC'!$J$1,G$193+E201-1,0,1,7),DataViewFactor)+(16-E201)/1000000)</f>
        <v>--</v>
      </c>
      <c r="H201" s="926" t="str">
        <f>IF($F201="--","n/a",IFERROR(RANK(G201,G$195:G$220),16-COUNTIF(G201:G$220,"--")))</f>
        <v>n/a</v>
      </c>
      <c r="I201" s="2060">
        <v>7</v>
      </c>
      <c r="J201" s="2060" t="str">
        <f>'DATA GPC'!$F105</f>
        <v>--</v>
      </c>
      <c r="K201" s="960" t="str">
        <f ca="1">IF(J201="--","--",SUMPRODUCT(OFFSET('DATA GPC'!$J$1,K$193+I201-1,0,1,7),DataViewFactor)+(16-I201)/1000000)</f>
        <v>--</v>
      </c>
      <c r="L201" s="926" t="str">
        <f>IF($F201="--","n/a",IFERROR(RANK(K201,K$195:K$220),16-COUNTIF(K201:K$220,"--")))</f>
        <v>n/a</v>
      </c>
      <c r="M201" s="2060">
        <v>7</v>
      </c>
      <c r="N201" s="2060" t="str">
        <f>'DATA GPC'!$F105</f>
        <v>--</v>
      </c>
      <c r="O201" s="960" t="str">
        <f ca="1">IF(N201="--","--",SUMPRODUCT(OFFSET('DATA GPC'!$J$1,O$193+M201-1,0,1,7),DataViewFactor)+(16-M201)/1000000)</f>
        <v>--</v>
      </c>
      <c r="P201" s="926" t="str">
        <f>IF($F201="--","n/a",IFERROR(RANK(O201,O$195:O$220),16-COUNTIF(O201:O$220,"--")))</f>
        <v>n/a</v>
      </c>
      <c r="Q201" s="2060"/>
      <c r="R201" s="2060"/>
      <c r="S201" s="2060"/>
      <c r="T201" s="2060"/>
      <c r="U201" s="2060"/>
      <c r="V201" s="2060"/>
      <c r="W201" s="2060"/>
      <c r="X201" s="2060"/>
    </row>
    <row r="202" spans="1:24" s="646" customFormat="1" ht="12" customHeight="1">
      <c r="A202" s="2060"/>
      <c r="B202" s="2060"/>
      <c r="C202" s="2060"/>
      <c r="D202" s="2060"/>
      <c r="E202" s="2060">
        <v>8</v>
      </c>
      <c r="F202" s="2060" t="str">
        <f>'DATA GPC'!$F106</f>
        <v>--</v>
      </c>
      <c r="G202" s="959" t="str">
        <f ca="1">IF(F202="--","--",SUMPRODUCT(OFFSET('DATA GPC'!$J$1,G$193+E202-1,0,1,7),DataViewFactor)+(16-E202)/1000000)</f>
        <v>--</v>
      </c>
      <c r="H202" s="926" t="str">
        <f>IF($F202="--","n/a",IFERROR(RANK(G202,G$195:G$220),16-COUNTIF(G202:G$220,"--")))</f>
        <v>n/a</v>
      </c>
      <c r="I202" s="2060">
        <v>8</v>
      </c>
      <c r="J202" s="2060" t="str">
        <f>'DATA GPC'!$F106</f>
        <v>--</v>
      </c>
      <c r="K202" s="960" t="str">
        <f ca="1">IF(J202="--","--",SUMPRODUCT(OFFSET('DATA GPC'!$J$1,K$193+I202-1,0,1,7),DataViewFactor)+(16-I202)/1000000)</f>
        <v>--</v>
      </c>
      <c r="L202" s="926" t="str">
        <f>IF($F202="--","n/a",IFERROR(RANK(K202,K$195:K$220),16-COUNTIF(K202:K$220,"--")))</f>
        <v>n/a</v>
      </c>
      <c r="M202" s="2060">
        <v>8</v>
      </c>
      <c r="N202" s="2060" t="str">
        <f>'DATA GPC'!$F106</f>
        <v>--</v>
      </c>
      <c r="O202" s="960" t="str">
        <f ca="1">IF(N202="--","--",SUMPRODUCT(OFFSET('DATA GPC'!$J$1,O$193+M202-1,0,1,7),DataViewFactor)+(16-M202)/1000000)</f>
        <v>--</v>
      </c>
      <c r="P202" s="926" t="str">
        <f>IF($F202="--","n/a",IFERROR(RANK(O202,O$195:O$220),16-COUNTIF(O202:O$220,"--")))</f>
        <v>n/a</v>
      </c>
      <c r="Q202" s="2060"/>
      <c r="R202" s="2060"/>
      <c r="S202" s="2060"/>
      <c r="T202" s="2060"/>
      <c r="U202" s="2060"/>
      <c r="V202" s="2060"/>
      <c r="W202" s="2060"/>
      <c r="X202" s="2060"/>
    </row>
    <row r="203" spans="1:24" s="646" customFormat="1" ht="12" customHeight="1">
      <c r="A203" s="2060"/>
      <c r="B203" s="2060"/>
      <c r="C203" s="2060"/>
      <c r="D203" s="2060"/>
      <c r="E203" s="2060">
        <v>9</v>
      </c>
      <c r="F203" s="2060" t="str">
        <f>'DATA GPC'!$F107</f>
        <v>--</v>
      </c>
      <c r="G203" s="959" t="str">
        <f ca="1">IF(F203="--","--",SUMPRODUCT(OFFSET('DATA GPC'!$J$1,G$193+E203-1,0,1,7),DataViewFactor)+(16-E203)/1000000)</f>
        <v>--</v>
      </c>
      <c r="H203" s="926" t="str">
        <f>IF($F203="--","n/a",IFERROR(RANK(G203,G$195:G$220),16-COUNTIF(G203:G$220,"--")))</f>
        <v>n/a</v>
      </c>
      <c r="I203" s="2060">
        <v>9</v>
      </c>
      <c r="J203" s="2060" t="str">
        <f>'DATA GPC'!$F107</f>
        <v>--</v>
      </c>
      <c r="K203" s="960" t="str">
        <f ca="1">IF(J203="--","--",SUMPRODUCT(OFFSET('DATA GPC'!$J$1,K$193+I203-1,0,1,7),DataViewFactor)+(16-I203)/1000000)</f>
        <v>--</v>
      </c>
      <c r="L203" s="926" t="str">
        <f>IF($F203="--","n/a",IFERROR(RANK(K203,K$195:K$220),16-COUNTIF(K203:K$220,"--")))</f>
        <v>n/a</v>
      </c>
      <c r="M203" s="2060">
        <v>9</v>
      </c>
      <c r="N203" s="2060" t="str">
        <f>'DATA GPC'!$F107</f>
        <v>--</v>
      </c>
      <c r="O203" s="960" t="str">
        <f ca="1">IF(N203="--","--",SUMPRODUCT(OFFSET('DATA GPC'!$J$1,O$193+M203-1,0,1,7),DataViewFactor)+(16-M203)/1000000)</f>
        <v>--</v>
      </c>
      <c r="P203" s="926" t="str">
        <f>IF($F203="--","n/a",IFERROR(RANK(O203,O$195:O$220),16-COUNTIF(O203:O$220,"--")))</f>
        <v>n/a</v>
      </c>
      <c r="Q203" s="2060"/>
      <c r="R203" s="2060"/>
      <c r="S203" s="2060"/>
      <c r="T203" s="2060"/>
      <c r="U203" s="2060"/>
      <c r="V203" s="2060"/>
      <c r="W203" s="2060"/>
      <c r="X203" s="2060"/>
    </row>
    <row r="204" spans="1:24" s="646" customFormat="1" ht="12" customHeight="1">
      <c r="A204" s="2060"/>
      <c r="B204" s="2060"/>
      <c r="C204" s="2060"/>
      <c r="D204" s="2060"/>
      <c r="E204" s="2060">
        <v>10</v>
      </c>
      <c r="F204" s="2060" t="str">
        <f>'DATA GPC'!$F108</f>
        <v>--</v>
      </c>
      <c r="G204" s="959" t="str">
        <f ca="1">IF(F204="--","--",SUMPRODUCT(OFFSET('DATA GPC'!$J$1,G$193+E204-1,0,1,7),DataViewFactor)+(16-E204)/1000000)</f>
        <v>--</v>
      </c>
      <c r="H204" s="926" t="str">
        <f>IF($F204="--","n/a",IFERROR(RANK(G204,G$195:G$220),16-COUNTIF(G204:G$220,"--")))</f>
        <v>n/a</v>
      </c>
      <c r="I204" s="2060">
        <v>10</v>
      </c>
      <c r="J204" s="2060" t="str">
        <f>'DATA GPC'!$F108</f>
        <v>--</v>
      </c>
      <c r="K204" s="960" t="str">
        <f ca="1">IF(J204="--","--",SUMPRODUCT(OFFSET('DATA GPC'!$J$1,K$193+I204-1,0,1,7),DataViewFactor)+(16-I204)/1000000)</f>
        <v>--</v>
      </c>
      <c r="L204" s="926" t="str">
        <f>IF($F204="--","n/a",IFERROR(RANK(K204,K$195:K$220),16-COUNTIF(K204:K$220,"--")))</f>
        <v>n/a</v>
      </c>
      <c r="M204" s="2060">
        <v>10</v>
      </c>
      <c r="N204" s="2060" t="str">
        <f>'DATA GPC'!$F108</f>
        <v>--</v>
      </c>
      <c r="O204" s="960" t="str">
        <f ca="1">IF(N204="--","--",SUMPRODUCT(OFFSET('DATA GPC'!$J$1,O$193+M204-1,0,1,7),DataViewFactor)+(16-M204)/1000000)</f>
        <v>--</v>
      </c>
      <c r="P204" s="926" t="str">
        <f>IF($F204="--","n/a",IFERROR(RANK(O204,O$195:O$220),16-COUNTIF(O204:O$220,"--")))</f>
        <v>n/a</v>
      </c>
      <c r="Q204" s="2060"/>
      <c r="R204" s="2060"/>
      <c r="S204" s="2060"/>
      <c r="T204" s="2060"/>
      <c r="U204" s="2060"/>
      <c r="V204" s="2060"/>
      <c r="W204" s="2060"/>
      <c r="X204" s="2060"/>
    </row>
    <row r="205" spans="1:24" s="646" customFormat="1" ht="12" customHeight="1">
      <c r="A205" s="2060"/>
      <c r="B205" s="2060"/>
      <c r="C205" s="2060"/>
      <c r="D205" s="2060"/>
      <c r="E205" s="2060">
        <v>11</v>
      </c>
      <c r="F205" s="2060" t="str">
        <f>'DATA GPC'!$F109</f>
        <v>--</v>
      </c>
      <c r="G205" s="959" t="str">
        <f ca="1">IF(F205="--","--",SUMPRODUCT(OFFSET('DATA GPC'!$J$1,G$193+E205-1,0,1,7),DataViewFactor)+(16-E205)/1000000)</f>
        <v>--</v>
      </c>
      <c r="H205" s="926" t="str">
        <f>IF($F205="--","n/a",IFERROR(RANK(G205,G$195:G$220),16-COUNTIF(G205:G$220,"--")))</f>
        <v>n/a</v>
      </c>
      <c r="I205" s="2060">
        <v>11</v>
      </c>
      <c r="J205" s="2060" t="str">
        <f>'DATA GPC'!$F109</f>
        <v>--</v>
      </c>
      <c r="K205" s="960" t="str">
        <f ca="1">IF(J205="--","--",SUMPRODUCT(OFFSET('DATA GPC'!$J$1,K$193+I205-1,0,1,7),DataViewFactor)+(16-I205)/1000000)</f>
        <v>--</v>
      </c>
      <c r="L205" s="926" t="str">
        <f>IF($F205="--","n/a",IFERROR(RANK(K205,K$195:K$220),16-COUNTIF(K205:K$220,"--")))</f>
        <v>n/a</v>
      </c>
      <c r="M205" s="2060">
        <v>11</v>
      </c>
      <c r="N205" s="2060" t="str">
        <f>'DATA GPC'!$F109</f>
        <v>--</v>
      </c>
      <c r="O205" s="960" t="str">
        <f ca="1">IF(N205="--","--",SUMPRODUCT(OFFSET('DATA GPC'!$J$1,O$193+M205-1,0,1,7),DataViewFactor)+(16-M205)/1000000)</f>
        <v>--</v>
      </c>
      <c r="P205" s="926" t="str">
        <f>IF($F205="--","n/a",IFERROR(RANK(O205,O$195:O$220),16-COUNTIF(O205:O$220,"--")))</f>
        <v>n/a</v>
      </c>
      <c r="Q205" s="2060"/>
      <c r="R205" s="2060"/>
      <c r="S205" s="2060"/>
      <c r="T205" s="2060"/>
      <c r="U205" s="2060"/>
      <c r="V205" s="2060"/>
      <c r="W205" s="2060"/>
      <c r="X205" s="2060"/>
    </row>
    <row r="206" spans="1:24" s="646" customFormat="1" ht="12" customHeight="1">
      <c r="A206" s="2060"/>
      <c r="B206" s="2060"/>
      <c r="C206" s="2060"/>
      <c r="D206" s="2060"/>
      <c r="E206" s="2060">
        <v>12</v>
      </c>
      <c r="F206" s="2060" t="str">
        <f>'DATA GPC'!$F110</f>
        <v>--</v>
      </c>
      <c r="G206" s="959" t="str">
        <f ca="1">IF(F206="--","--",SUMPRODUCT(OFFSET('DATA GPC'!$J$1,G$193+E206-1,0,1,7),DataViewFactor)+(16-E206)/1000000)</f>
        <v>--</v>
      </c>
      <c r="H206" s="926" t="str">
        <f>IF($F206="--","n/a",IFERROR(RANK(G206,G$195:G$220),16-COUNTIF(G206:G$220,"--")))</f>
        <v>n/a</v>
      </c>
      <c r="I206" s="2060">
        <v>12</v>
      </c>
      <c r="J206" s="2060" t="str">
        <f>'DATA GPC'!$F110</f>
        <v>--</v>
      </c>
      <c r="K206" s="960" t="str">
        <f ca="1">IF(J206="--","--",SUMPRODUCT(OFFSET('DATA GPC'!$J$1,K$193+I206-1,0,1,7),DataViewFactor)+(16-I206)/1000000)</f>
        <v>--</v>
      </c>
      <c r="L206" s="926" t="str">
        <f>IF($F206="--","n/a",IFERROR(RANK(K206,K$195:K$220),16-COUNTIF(K206:K$220,"--")))</f>
        <v>n/a</v>
      </c>
      <c r="M206" s="2060">
        <v>12</v>
      </c>
      <c r="N206" s="2060" t="str">
        <f>'DATA GPC'!$F110</f>
        <v>--</v>
      </c>
      <c r="O206" s="960" t="str">
        <f ca="1">IF(N206="--","--",SUMPRODUCT(OFFSET('DATA GPC'!$J$1,O$193+M206-1,0,1,7),DataViewFactor)+(16-M206)/1000000)</f>
        <v>--</v>
      </c>
      <c r="P206" s="926" t="str">
        <f>IF($F206="--","n/a",IFERROR(RANK(O206,O$195:O$220),16-COUNTIF(O206:O$220,"--")))</f>
        <v>n/a</v>
      </c>
      <c r="Q206" s="2060"/>
      <c r="R206" s="2060"/>
      <c r="S206" s="2060"/>
      <c r="T206" s="2060"/>
      <c r="U206" s="2060"/>
      <c r="V206" s="2060"/>
      <c r="W206" s="2060"/>
      <c r="X206" s="2060"/>
    </row>
    <row r="207" spans="1:24" s="646" customFormat="1" ht="12" customHeight="1">
      <c r="A207" s="2060"/>
      <c r="B207" s="2060"/>
      <c r="C207" s="2060"/>
      <c r="D207" s="2060"/>
      <c r="E207" s="2060">
        <v>13</v>
      </c>
      <c r="F207" s="2060" t="str">
        <f>'DATA GPC'!$F111</f>
        <v>--</v>
      </c>
      <c r="G207" s="959" t="str">
        <f ca="1">IF(F207="--","--",SUMPRODUCT(OFFSET('DATA GPC'!$J$1,G$193+E207-1,0,1,7),DataViewFactor)+(16-E207)/1000000)</f>
        <v>--</v>
      </c>
      <c r="H207" s="926" t="str">
        <f>IF($F207="--","n/a",IFERROR(RANK(G207,G$195:G$220),16-COUNTIF(G207:G$220,"--")))</f>
        <v>n/a</v>
      </c>
      <c r="I207" s="2060">
        <v>13</v>
      </c>
      <c r="J207" s="2060" t="str">
        <f>'DATA GPC'!$F111</f>
        <v>--</v>
      </c>
      <c r="K207" s="960" t="str">
        <f ca="1">IF(J207="--","--",SUMPRODUCT(OFFSET('DATA GPC'!$J$1,K$193+I207-1,0,1,7),DataViewFactor)+(16-I207)/1000000)</f>
        <v>--</v>
      </c>
      <c r="L207" s="926" t="str">
        <f>IF($F207="--","n/a",IFERROR(RANK(K207,K$195:K$220),16-COUNTIF(K207:K$220,"--")))</f>
        <v>n/a</v>
      </c>
      <c r="M207" s="2060">
        <v>13</v>
      </c>
      <c r="N207" s="2060" t="str">
        <f>'DATA GPC'!$F111</f>
        <v>--</v>
      </c>
      <c r="O207" s="960" t="str">
        <f ca="1">IF(N207="--","--",SUMPRODUCT(OFFSET('DATA GPC'!$J$1,O$193+M207-1,0,1,7),DataViewFactor)+(16-M207)/1000000)</f>
        <v>--</v>
      </c>
      <c r="P207" s="926" t="str">
        <f>IF($F207="--","n/a",IFERROR(RANK(O207,O$195:O$220),16-COUNTIF(O207:O$220,"--")))</f>
        <v>n/a</v>
      </c>
      <c r="Q207" s="2060"/>
      <c r="R207" s="2060"/>
      <c r="S207" s="2060"/>
      <c r="T207" s="2060"/>
      <c r="U207" s="2060"/>
      <c r="V207" s="2060"/>
      <c r="W207" s="2060"/>
      <c r="X207" s="2060"/>
    </row>
    <row r="208" spans="1:24" s="646" customFormat="1" ht="12" customHeight="1">
      <c r="A208" s="2060"/>
      <c r="B208" s="2060"/>
      <c r="C208" s="2060"/>
      <c r="D208" s="2060"/>
      <c r="E208" s="2060">
        <v>14</v>
      </c>
      <c r="F208" s="2060" t="str">
        <f>'DATA GPC'!$F112</f>
        <v>--</v>
      </c>
      <c r="G208" s="959" t="str">
        <f ca="1">IF(F208="--","--",SUMPRODUCT(OFFSET('DATA GPC'!$J$1,G$193+E208-1,0,1,7),DataViewFactor)+(16-E208)/1000000)</f>
        <v>--</v>
      </c>
      <c r="H208" s="926" t="str">
        <f>IF($F208="--","n/a",IFERROR(RANK(G208,G$195:G$220),16-COUNTIF(G208:G$220,"--")))</f>
        <v>n/a</v>
      </c>
      <c r="I208" s="2060">
        <v>14</v>
      </c>
      <c r="J208" s="2060" t="str">
        <f>'DATA GPC'!$F112</f>
        <v>--</v>
      </c>
      <c r="K208" s="960" t="str">
        <f ca="1">IF(J208="--","--",SUMPRODUCT(OFFSET('DATA GPC'!$J$1,K$193+I208-1,0,1,7),DataViewFactor)+(16-I208)/1000000)</f>
        <v>--</v>
      </c>
      <c r="L208" s="926" t="str">
        <f>IF($F208="--","n/a",IFERROR(RANK(K208,K$195:K$220),16-COUNTIF(K208:K$220,"--")))</f>
        <v>n/a</v>
      </c>
      <c r="M208" s="2060">
        <v>14</v>
      </c>
      <c r="N208" s="2060" t="str">
        <f>'DATA GPC'!$F112</f>
        <v>--</v>
      </c>
      <c r="O208" s="960" t="str">
        <f ca="1">IF(N208="--","--",SUMPRODUCT(OFFSET('DATA GPC'!$J$1,O$193+M208-1,0,1,7),DataViewFactor)+(16-M208)/1000000)</f>
        <v>--</v>
      </c>
      <c r="P208" s="926" t="str">
        <f>IF($F208="--","n/a",IFERROR(RANK(O208,O$195:O$220),16-COUNTIF(O208:O$220,"--")))</f>
        <v>n/a</v>
      </c>
      <c r="Q208" s="2060"/>
      <c r="R208" s="2060"/>
      <c r="S208" s="2060"/>
      <c r="T208" s="2060"/>
      <c r="U208" s="2060"/>
      <c r="V208" s="2060"/>
      <c r="W208" s="2060"/>
      <c r="X208" s="2060"/>
    </row>
    <row r="209" spans="1:24" s="646" customFormat="1" ht="12" customHeight="1">
      <c r="A209" s="2060"/>
      <c r="B209" s="2060"/>
      <c r="C209" s="2060"/>
      <c r="D209" s="2060"/>
      <c r="E209" s="2060">
        <v>15</v>
      </c>
      <c r="F209" s="2060" t="str">
        <f>'DATA GPC'!$F113</f>
        <v>--</v>
      </c>
      <c r="G209" s="959" t="str">
        <f ca="1">IF(F209="--","--",SUMPRODUCT(OFFSET('DATA GPC'!$J$1,G$193+E209-1,0,1,7),DataViewFactor)+(16-E209)/1000000)</f>
        <v>--</v>
      </c>
      <c r="H209" s="926" t="str">
        <f>IF($F209="--","n/a",IFERROR(RANK(G209,G$195:G$220),16-COUNTIF(G209:G$220,"--")))</f>
        <v>n/a</v>
      </c>
      <c r="I209" s="2060">
        <v>15</v>
      </c>
      <c r="J209" s="2060" t="str">
        <f>'DATA GPC'!$F113</f>
        <v>--</v>
      </c>
      <c r="K209" s="960" t="str">
        <f ca="1">IF(J209="--","--",SUMPRODUCT(OFFSET('DATA GPC'!$J$1,K$193+I209-1,0,1,7),DataViewFactor)+(16-I209)/1000000)</f>
        <v>--</v>
      </c>
      <c r="L209" s="926" t="str">
        <f>IF($F209="--","n/a",IFERROR(RANK(K209,K$195:K$220),16-COUNTIF(K209:K$220,"--")))</f>
        <v>n/a</v>
      </c>
      <c r="M209" s="2060">
        <v>15</v>
      </c>
      <c r="N209" s="2060" t="str">
        <f>'DATA GPC'!$F113</f>
        <v>--</v>
      </c>
      <c r="O209" s="960" t="str">
        <f ca="1">IF(N209="--","--",SUMPRODUCT(OFFSET('DATA GPC'!$J$1,O$193+M209-1,0,1,7),DataViewFactor)+(16-M209)/1000000)</f>
        <v>--</v>
      </c>
      <c r="P209" s="926" t="str">
        <f>IF($F209="--","n/a",IFERROR(RANK(O209,O$195:O$220),16-COUNTIF(O209:O$220,"--")))</f>
        <v>n/a</v>
      </c>
      <c r="Q209" s="2060"/>
      <c r="R209" s="2060"/>
      <c r="S209" s="2060"/>
      <c r="T209" s="2060"/>
      <c r="U209" s="2060"/>
      <c r="V209" s="2060"/>
      <c r="W209" s="2060"/>
      <c r="X209" s="2060"/>
    </row>
    <row r="210" spans="1:24" s="1499" customFormat="1" ht="12" customHeight="1">
      <c r="A210" s="2060"/>
      <c r="B210" s="2060"/>
      <c r="C210" s="2060"/>
      <c r="D210" s="2060"/>
      <c r="E210" s="2060">
        <v>16</v>
      </c>
      <c r="F210" s="2060" t="str">
        <f>'DATA GPC'!$F114</f>
        <v>--</v>
      </c>
      <c r="G210" s="959" t="str">
        <f ca="1">IF(F210="--","--",SUMPRODUCT(OFFSET('DATA GPC'!$J$1,G$193+E210-1,0,1,7),DataViewFactor)+(16-E210)/1000000)</f>
        <v>--</v>
      </c>
      <c r="H210" s="926" t="str">
        <f>IF($F210="--","n/a",IFERROR(RANK(G210,G$195:G$220),16-COUNTIF(G210:G$220,"--")))</f>
        <v>n/a</v>
      </c>
      <c r="I210" s="2060">
        <v>16</v>
      </c>
      <c r="J210" s="2060" t="str">
        <f>'DATA GPC'!$F114</f>
        <v>--</v>
      </c>
      <c r="K210" s="960" t="str">
        <f ca="1">IF(J210="--","--",SUMPRODUCT(OFFSET('DATA GPC'!$J$1,K$193+I210-1,0,1,7),DataViewFactor)+(16-I210)/1000000)</f>
        <v>--</v>
      </c>
      <c r="L210" s="926" t="str">
        <f>IF($F210="--","n/a",IFERROR(RANK(K210,K$195:K$220),16-COUNTIF(K210:K$220,"--")))</f>
        <v>n/a</v>
      </c>
      <c r="M210" s="2060">
        <v>16</v>
      </c>
      <c r="N210" s="2060" t="str">
        <f>'DATA GPC'!$F114</f>
        <v>--</v>
      </c>
      <c r="O210" s="960" t="str">
        <f ca="1">IF(N210="--","--",SUMPRODUCT(OFFSET('DATA GPC'!$J$1,O$193+M210-1,0,1,7),DataViewFactor)+(16-M210)/1000000)</f>
        <v>--</v>
      </c>
      <c r="P210" s="926" t="str">
        <f>IF($F210="--","n/a",IFERROR(RANK(O210,O$195:O$220),16-COUNTIF(O210:O$220,"--")))</f>
        <v>n/a</v>
      </c>
      <c r="Q210" s="2060"/>
      <c r="R210" s="2060"/>
      <c r="S210" s="2060"/>
      <c r="T210" s="2060"/>
      <c r="U210" s="2060"/>
      <c r="V210" s="2060"/>
      <c r="W210" s="2060"/>
      <c r="X210" s="2060"/>
    </row>
    <row r="211" spans="1:24" s="1499" customFormat="1" ht="12" customHeight="1">
      <c r="A211" s="2060"/>
      <c r="B211" s="2060"/>
      <c r="C211" s="2060"/>
      <c r="D211" s="2060"/>
      <c r="E211" s="2060">
        <v>17</v>
      </c>
      <c r="F211" s="2060" t="str">
        <f>'DATA GPC'!$F115</f>
        <v>--</v>
      </c>
      <c r="G211" s="959" t="str">
        <f ca="1">IF(F211="--","--",SUMPRODUCT(OFFSET('DATA GPC'!$J$1,G$193+E211-1,0,1,7),DataViewFactor)+(16-E211)/1000000)</f>
        <v>--</v>
      </c>
      <c r="H211" s="926" t="str">
        <f>IF($F211="--","n/a",IFERROR(RANK(G211,G$195:G$220),16-COUNTIF(G211:G$220,"--")))</f>
        <v>n/a</v>
      </c>
      <c r="I211" s="2060">
        <v>17</v>
      </c>
      <c r="J211" s="2060" t="str">
        <f>'DATA GPC'!$F115</f>
        <v>--</v>
      </c>
      <c r="K211" s="960" t="str">
        <f ca="1">IF(J211="--","--",SUMPRODUCT(OFFSET('DATA GPC'!$J$1,K$193+I211-1,0,1,7),DataViewFactor)+(16-I211)/1000000)</f>
        <v>--</v>
      </c>
      <c r="L211" s="926" t="str">
        <f>IF($F211="--","n/a",IFERROR(RANK(K211,K$195:K$220),16-COUNTIF(K211:K$220,"--")))</f>
        <v>n/a</v>
      </c>
      <c r="M211" s="2060">
        <v>17</v>
      </c>
      <c r="N211" s="2060" t="str">
        <f>'DATA GPC'!$F115</f>
        <v>--</v>
      </c>
      <c r="O211" s="960" t="str">
        <f ca="1">IF(N211="--","--",SUMPRODUCT(OFFSET('DATA GPC'!$J$1,O$193+M211-1,0,1,7),DataViewFactor)+(16-M211)/1000000)</f>
        <v>--</v>
      </c>
      <c r="P211" s="926" t="str">
        <f>IF($F211="--","n/a",IFERROR(RANK(O211,O$195:O$220),16-COUNTIF(O211:O$220,"--")))</f>
        <v>n/a</v>
      </c>
      <c r="Q211" s="2060"/>
      <c r="R211" s="2060"/>
      <c r="S211" s="2060"/>
      <c r="T211" s="2060"/>
      <c r="U211" s="2060"/>
      <c r="V211" s="2060"/>
      <c r="W211" s="2060"/>
      <c r="X211" s="2060"/>
    </row>
    <row r="212" spans="1:24" s="1499" customFormat="1" ht="12" customHeight="1">
      <c r="A212" s="2060"/>
      <c r="B212" s="2060"/>
      <c r="C212" s="2060"/>
      <c r="D212" s="2060"/>
      <c r="E212" s="2060">
        <v>18</v>
      </c>
      <c r="F212" s="2060" t="str">
        <f>'DATA GPC'!$F116</f>
        <v>--</v>
      </c>
      <c r="G212" s="959" t="str">
        <f ca="1">IF(F212="--","--",SUMPRODUCT(OFFSET('DATA GPC'!$J$1,G$193+E212-1,0,1,7),DataViewFactor)+(16-E212)/1000000)</f>
        <v>--</v>
      </c>
      <c r="H212" s="926" t="str">
        <f>IF($F212="--","n/a",IFERROR(RANK(G212,G$195:G$220),16-COUNTIF(G212:G$220,"--")))</f>
        <v>n/a</v>
      </c>
      <c r="I212" s="2060">
        <v>18</v>
      </c>
      <c r="J212" s="2060" t="str">
        <f>'DATA GPC'!$F116</f>
        <v>--</v>
      </c>
      <c r="K212" s="960" t="str">
        <f ca="1">IF(J212="--","--",SUMPRODUCT(OFFSET('DATA GPC'!$J$1,K$193+I212-1,0,1,7),DataViewFactor)+(16-I212)/1000000)</f>
        <v>--</v>
      </c>
      <c r="L212" s="926" t="str">
        <f>IF($F212="--","n/a",IFERROR(RANK(K212,K$195:K$220),16-COUNTIF(K212:K$220,"--")))</f>
        <v>n/a</v>
      </c>
      <c r="M212" s="2060">
        <v>18</v>
      </c>
      <c r="N212" s="2060" t="str">
        <f>'DATA GPC'!$F116</f>
        <v>--</v>
      </c>
      <c r="O212" s="960" t="str">
        <f ca="1">IF(N212="--","--",SUMPRODUCT(OFFSET('DATA GPC'!$J$1,O$193+M212-1,0,1,7),DataViewFactor)+(16-M212)/1000000)</f>
        <v>--</v>
      </c>
      <c r="P212" s="926" t="str">
        <f>IF($F212="--","n/a",IFERROR(RANK(O212,O$195:O$220),16-COUNTIF(O212:O$220,"--")))</f>
        <v>n/a</v>
      </c>
      <c r="Q212" s="2060"/>
      <c r="R212" s="2060"/>
      <c r="S212" s="2060"/>
      <c r="T212" s="2060"/>
      <c r="U212" s="2060"/>
      <c r="V212" s="2060"/>
      <c r="W212" s="2060"/>
      <c r="X212" s="2060"/>
    </row>
    <row r="213" spans="1:24" s="1499" customFormat="1" ht="12" customHeight="1">
      <c r="A213" s="2060"/>
      <c r="B213" s="2060"/>
      <c r="C213" s="2060"/>
      <c r="D213" s="2060"/>
      <c r="E213" s="2060">
        <v>19</v>
      </c>
      <c r="F213" s="2060" t="str">
        <f>'DATA GPC'!$F117</f>
        <v>--</v>
      </c>
      <c r="G213" s="959" t="str">
        <f ca="1">IF(F213="--","--",SUMPRODUCT(OFFSET('DATA GPC'!$J$1,G$193+E213-1,0,1,7),DataViewFactor)+(16-E213)/1000000)</f>
        <v>--</v>
      </c>
      <c r="H213" s="926" t="str">
        <f>IF($F213="--","n/a",IFERROR(RANK(G213,G$195:G$220),16-COUNTIF(G213:G$220,"--")))</f>
        <v>n/a</v>
      </c>
      <c r="I213" s="2060">
        <v>19</v>
      </c>
      <c r="J213" s="2060" t="str">
        <f>'DATA GPC'!$F117</f>
        <v>--</v>
      </c>
      <c r="K213" s="960" t="str">
        <f ca="1">IF(J213="--","--",SUMPRODUCT(OFFSET('DATA GPC'!$J$1,K$193+I213-1,0,1,7),DataViewFactor)+(16-I213)/1000000)</f>
        <v>--</v>
      </c>
      <c r="L213" s="926" t="str">
        <f>IF($F213="--","n/a",IFERROR(RANK(K213,K$195:K$220),16-COUNTIF(K213:K$220,"--")))</f>
        <v>n/a</v>
      </c>
      <c r="M213" s="2060">
        <v>19</v>
      </c>
      <c r="N213" s="2060" t="str">
        <f>'DATA GPC'!$F117</f>
        <v>--</v>
      </c>
      <c r="O213" s="960" t="str">
        <f ca="1">IF(N213="--","--",SUMPRODUCT(OFFSET('DATA GPC'!$J$1,O$193+M213-1,0,1,7),DataViewFactor)+(16-M213)/1000000)</f>
        <v>--</v>
      </c>
      <c r="P213" s="926" t="str">
        <f>IF($F213="--","n/a",IFERROR(RANK(O213,O$195:O$220),16-COUNTIF(O213:O$220,"--")))</f>
        <v>n/a</v>
      </c>
      <c r="Q213" s="2060"/>
      <c r="R213" s="2060"/>
      <c r="S213" s="2060"/>
      <c r="T213" s="2060"/>
      <c r="U213" s="2060"/>
      <c r="V213" s="2060"/>
      <c r="W213" s="2060"/>
      <c r="X213" s="2060"/>
    </row>
    <row r="214" spans="1:24" s="1499" customFormat="1" ht="12" customHeight="1">
      <c r="A214" s="2060"/>
      <c r="B214" s="2060"/>
      <c r="C214" s="2060"/>
      <c r="D214" s="2060"/>
      <c r="E214" s="2060">
        <v>20</v>
      </c>
      <c r="F214" s="2060" t="str">
        <f>'DATA GPC'!$F118</f>
        <v>--</v>
      </c>
      <c r="G214" s="959" t="str">
        <f ca="1">IF(F214="--","--",SUMPRODUCT(OFFSET('DATA GPC'!$J$1,G$193+E214-1,0,1,7),DataViewFactor)+(16-E214)/1000000)</f>
        <v>--</v>
      </c>
      <c r="H214" s="926" t="str">
        <f>IF($F214="--","n/a",IFERROR(RANK(G214,G$195:G$220),16-COUNTIF(G214:G$220,"--")))</f>
        <v>n/a</v>
      </c>
      <c r="I214" s="2060">
        <v>20</v>
      </c>
      <c r="J214" s="2060" t="str">
        <f>'DATA GPC'!$F118</f>
        <v>--</v>
      </c>
      <c r="K214" s="960" t="str">
        <f ca="1">IF(J214="--","--",SUMPRODUCT(OFFSET('DATA GPC'!$J$1,K$193+I214-1,0,1,7),DataViewFactor)+(16-I214)/1000000)</f>
        <v>--</v>
      </c>
      <c r="L214" s="926" t="str">
        <f>IF($F214="--","n/a",IFERROR(RANK(K214,K$195:K$220),16-COUNTIF(K214:K$220,"--")))</f>
        <v>n/a</v>
      </c>
      <c r="M214" s="2060">
        <v>20</v>
      </c>
      <c r="N214" s="2060" t="str">
        <f>'DATA GPC'!$F118</f>
        <v>--</v>
      </c>
      <c r="O214" s="960" t="str">
        <f ca="1">IF(N214="--","--",SUMPRODUCT(OFFSET('DATA GPC'!$J$1,O$193+M214-1,0,1,7),DataViewFactor)+(16-M214)/1000000)</f>
        <v>--</v>
      </c>
      <c r="P214" s="926" t="str">
        <f>IF($F214="--","n/a",IFERROR(RANK(O214,O$195:O$220),16-COUNTIF(O214:O$220,"--")))</f>
        <v>n/a</v>
      </c>
      <c r="Q214" s="2060"/>
      <c r="R214" s="2060"/>
      <c r="S214" s="2060"/>
      <c r="T214" s="2060"/>
      <c r="U214" s="2060"/>
      <c r="V214" s="2060"/>
      <c r="W214" s="2060"/>
      <c r="X214" s="2060"/>
    </row>
    <row r="215" spans="1:24" s="1499" customFormat="1" ht="12" customHeight="1">
      <c r="A215" s="2060"/>
      <c r="B215" s="2060"/>
      <c r="C215" s="2060"/>
      <c r="D215" s="2060"/>
      <c r="E215" s="2060">
        <v>21</v>
      </c>
      <c r="F215" s="2060" t="str">
        <f>'DATA GPC'!$F119</f>
        <v>--</v>
      </c>
      <c r="G215" s="959" t="str">
        <f ca="1">IF(F215="--","--",SUMPRODUCT(OFFSET('DATA GPC'!$J$1,G$193+E215-1,0,1,7),DataViewFactor)+(16-E215)/1000000)</f>
        <v>--</v>
      </c>
      <c r="H215" s="926" t="str">
        <f>IF($F215="--","n/a",IFERROR(RANK(G215,G$195:G$220),16-COUNTIF(G215:G$220,"--")))</f>
        <v>n/a</v>
      </c>
      <c r="I215" s="2060">
        <v>21</v>
      </c>
      <c r="J215" s="2060" t="str">
        <f>'DATA GPC'!$F119</f>
        <v>--</v>
      </c>
      <c r="K215" s="960" t="str">
        <f ca="1">IF(J215="--","--",SUMPRODUCT(OFFSET('DATA GPC'!$J$1,K$193+I215-1,0,1,7),DataViewFactor)+(16-I215)/1000000)</f>
        <v>--</v>
      </c>
      <c r="L215" s="926" t="str">
        <f>IF($F215="--","n/a",IFERROR(RANK(K215,K$195:K$220),16-COUNTIF(K215:K$220,"--")))</f>
        <v>n/a</v>
      </c>
      <c r="M215" s="2060">
        <v>21</v>
      </c>
      <c r="N215" s="2060" t="str">
        <f>'DATA GPC'!$F119</f>
        <v>--</v>
      </c>
      <c r="O215" s="960" t="str">
        <f ca="1">IF(N215="--","--",SUMPRODUCT(OFFSET('DATA GPC'!$J$1,O$193+M215-1,0,1,7),DataViewFactor)+(16-M215)/1000000)</f>
        <v>--</v>
      </c>
      <c r="P215" s="926" t="str">
        <f>IF($F215="--","n/a",IFERROR(RANK(O215,O$195:O$220),16-COUNTIF(O215:O$220,"--")))</f>
        <v>n/a</v>
      </c>
      <c r="Q215" s="2060"/>
      <c r="R215" s="2060"/>
      <c r="S215" s="2060"/>
      <c r="T215" s="2060"/>
      <c r="U215" s="2060"/>
      <c r="V215" s="2060"/>
      <c r="W215" s="2060"/>
      <c r="X215" s="2060"/>
    </row>
    <row r="216" spans="1:24" s="1499" customFormat="1" ht="12" customHeight="1">
      <c r="A216" s="2060"/>
      <c r="B216" s="2060"/>
      <c r="C216" s="2060"/>
      <c r="D216" s="2060"/>
      <c r="E216" s="2060">
        <v>22</v>
      </c>
      <c r="F216" s="2060" t="str">
        <f>'DATA GPC'!$F120</f>
        <v>--</v>
      </c>
      <c r="G216" s="959" t="str">
        <f ca="1">IF(F216="--","--",SUMPRODUCT(OFFSET('DATA GPC'!$J$1,G$193+E216-1,0,1,7),DataViewFactor)+(16-E216)/1000000)</f>
        <v>--</v>
      </c>
      <c r="H216" s="926" t="str">
        <f>IF($F216="--","n/a",IFERROR(RANK(G216,G$195:G$220),16-COUNTIF(G216:G$220,"--")))</f>
        <v>n/a</v>
      </c>
      <c r="I216" s="2060">
        <v>22</v>
      </c>
      <c r="J216" s="2060" t="str">
        <f>'DATA GPC'!$F120</f>
        <v>--</v>
      </c>
      <c r="K216" s="960" t="str">
        <f ca="1">IF(J216="--","--",SUMPRODUCT(OFFSET('DATA GPC'!$J$1,K$193+I216-1,0,1,7),DataViewFactor)+(16-I216)/1000000)</f>
        <v>--</v>
      </c>
      <c r="L216" s="926" t="str">
        <f>IF($F216="--","n/a",IFERROR(RANK(K216,K$195:K$220),16-COUNTIF(K216:K$220,"--")))</f>
        <v>n/a</v>
      </c>
      <c r="M216" s="2060">
        <v>22</v>
      </c>
      <c r="N216" s="2060" t="str">
        <f>'DATA GPC'!$F120</f>
        <v>--</v>
      </c>
      <c r="O216" s="960" t="str">
        <f ca="1">IF(N216="--","--",SUMPRODUCT(OFFSET('DATA GPC'!$J$1,O$193+M216-1,0,1,7),DataViewFactor)+(16-M216)/1000000)</f>
        <v>--</v>
      </c>
      <c r="P216" s="926" t="str">
        <f>IF($F216="--","n/a",IFERROR(RANK(O216,O$195:O$220),16-COUNTIF(O216:O$220,"--")))</f>
        <v>n/a</v>
      </c>
      <c r="Q216" s="2060"/>
      <c r="R216" s="2060"/>
      <c r="S216" s="2060"/>
      <c r="T216" s="2060"/>
      <c r="U216" s="2060"/>
      <c r="V216" s="2060"/>
      <c r="W216" s="2060"/>
      <c r="X216" s="2060"/>
    </row>
    <row r="217" spans="1:24" s="1499" customFormat="1" ht="12" customHeight="1">
      <c r="A217" s="2060"/>
      <c r="B217" s="2060"/>
      <c r="C217" s="2060"/>
      <c r="D217" s="2060"/>
      <c r="E217" s="2060">
        <v>23</v>
      </c>
      <c r="F217" s="2060" t="str">
        <f>'DATA GPC'!$F121</f>
        <v>--</v>
      </c>
      <c r="G217" s="959" t="str">
        <f ca="1">IF(F217="--","--",SUMPRODUCT(OFFSET('DATA GPC'!$J$1,G$193+E217-1,0,1,7),DataViewFactor)+(16-E217)/1000000)</f>
        <v>--</v>
      </c>
      <c r="H217" s="926" t="str">
        <f>IF($F217="--","n/a",IFERROR(RANK(G217,G$195:G$220),16-COUNTIF(G217:G$220,"--")))</f>
        <v>n/a</v>
      </c>
      <c r="I217" s="2060">
        <v>23</v>
      </c>
      <c r="J217" s="2060" t="str">
        <f>'DATA GPC'!$F121</f>
        <v>--</v>
      </c>
      <c r="K217" s="960" t="str">
        <f ca="1">IF(J217="--","--",SUMPRODUCT(OFFSET('DATA GPC'!$J$1,K$193+I217-1,0,1,7),DataViewFactor)+(16-I217)/1000000)</f>
        <v>--</v>
      </c>
      <c r="L217" s="926" t="str">
        <f>IF($F217="--","n/a",IFERROR(RANK(K217,K$195:K$220),16-COUNTIF(K217:K$220,"--")))</f>
        <v>n/a</v>
      </c>
      <c r="M217" s="2060">
        <v>23</v>
      </c>
      <c r="N217" s="2060" t="str">
        <f>'DATA GPC'!$F121</f>
        <v>--</v>
      </c>
      <c r="O217" s="960" t="str">
        <f ca="1">IF(N217="--","--",SUMPRODUCT(OFFSET('DATA GPC'!$J$1,O$193+M217-1,0,1,7),DataViewFactor)+(16-M217)/1000000)</f>
        <v>--</v>
      </c>
      <c r="P217" s="926" t="str">
        <f>IF($F217="--","n/a",IFERROR(RANK(O217,O$195:O$220),16-COUNTIF(O217:O$220,"--")))</f>
        <v>n/a</v>
      </c>
      <c r="Q217" s="2060"/>
      <c r="R217" s="2060"/>
      <c r="S217" s="2060"/>
      <c r="T217" s="2060"/>
      <c r="U217" s="2060"/>
      <c r="V217" s="2060"/>
      <c r="W217" s="2060"/>
      <c r="X217" s="2060"/>
    </row>
    <row r="218" spans="1:24" s="1499" customFormat="1" ht="12" customHeight="1">
      <c r="A218" s="2060"/>
      <c r="B218" s="2060"/>
      <c r="C218" s="2060"/>
      <c r="D218" s="2060"/>
      <c r="E218" s="2060">
        <v>24</v>
      </c>
      <c r="F218" s="2060" t="str">
        <f>'DATA GPC'!$F122</f>
        <v>--</v>
      </c>
      <c r="G218" s="959" t="str">
        <f ca="1">IF(F218="--","--",SUMPRODUCT(OFFSET('DATA GPC'!$J$1,G$193+E218-1,0,1,7),DataViewFactor)+(16-E218)/1000000)</f>
        <v>--</v>
      </c>
      <c r="H218" s="926" t="str">
        <f>IF($F218="--","n/a",IFERROR(RANK(G218,G$195:G$220),16-COUNTIF(G218:G$220,"--")))</f>
        <v>n/a</v>
      </c>
      <c r="I218" s="2060">
        <v>24</v>
      </c>
      <c r="J218" s="2060" t="str">
        <f>'DATA GPC'!$F122</f>
        <v>--</v>
      </c>
      <c r="K218" s="960" t="str">
        <f ca="1">IF(J218="--","--",SUMPRODUCT(OFFSET('DATA GPC'!$J$1,K$193+I218-1,0,1,7),DataViewFactor)+(16-I218)/1000000)</f>
        <v>--</v>
      </c>
      <c r="L218" s="926" t="str">
        <f>IF($F218="--","n/a",IFERROR(RANK(K218,K$195:K$220),16-COUNTIF(K218:K$220,"--")))</f>
        <v>n/a</v>
      </c>
      <c r="M218" s="2060">
        <v>24</v>
      </c>
      <c r="N218" s="2060" t="str">
        <f>'DATA GPC'!$F122</f>
        <v>--</v>
      </c>
      <c r="O218" s="960" t="str">
        <f ca="1">IF(N218="--","--",SUMPRODUCT(OFFSET('DATA GPC'!$J$1,O$193+M218-1,0,1,7),DataViewFactor)+(16-M218)/1000000)</f>
        <v>--</v>
      </c>
      <c r="P218" s="926" t="str">
        <f>IF($F218="--","n/a",IFERROR(RANK(O218,O$195:O$220),16-COUNTIF(O218:O$220,"--")))</f>
        <v>n/a</v>
      </c>
      <c r="Q218" s="2060"/>
      <c r="R218" s="2060"/>
      <c r="S218" s="2060"/>
      <c r="T218" s="2060"/>
      <c r="U218" s="2060"/>
      <c r="V218" s="2060"/>
      <c r="W218" s="2060"/>
      <c r="X218" s="2060"/>
    </row>
    <row r="219" spans="1:24" s="1499" customFormat="1" ht="12" customHeight="1">
      <c r="A219" s="2060"/>
      <c r="B219" s="2060"/>
      <c r="C219" s="2060"/>
      <c r="D219" s="2060"/>
      <c r="E219" s="2060">
        <v>25</v>
      </c>
      <c r="F219" s="2060" t="str">
        <f>'DATA GPC'!$F123</f>
        <v>--</v>
      </c>
      <c r="G219" s="959" t="str">
        <f ca="1">IF(F219="--","--",SUMPRODUCT(OFFSET('DATA GPC'!$J$1,G$193+E219-1,0,1,7),DataViewFactor)+(16-E219)/1000000)</f>
        <v>--</v>
      </c>
      <c r="H219" s="926" t="str">
        <f>IF($F219="--","n/a",IFERROR(RANK(G219,G$195:G$220),16-COUNTIF(G219:G$220,"--")))</f>
        <v>n/a</v>
      </c>
      <c r="I219" s="2060">
        <v>25</v>
      </c>
      <c r="J219" s="2060" t="str">
        <f>'DATA GPC'!$F123</f>
        <v>--</v>
      </c>
      <c r="K219" s="960" t="str">
        <f ca="1">IF(J219="--","--",SUMPRODUCT(OFFSET('DATA GPC'!$J$1,K$193+I219-1,0,1,7),DataViewFactor)+(16-I219)/1000000)</f>
        <v>--</v>
      </c>
      <c r="L219" s="926" t="str">
        <f>IF($F219="--","n/a",IFERROR(RANK(K219,K$195:K$220),16-COUNTIF(K219:K$220,"--")))</f>
        <v>n/a</v>
      </c>
      <c r="M219" s="2060">
        <v>25</v>
      </c>
      <c r="N219" s="2060" t="str">
        <f>'DATA GPC'!$F123</f>
        <v>--</v>
      </c>
      <c r="O219" s="960" t="str">
        <f ca="1">IF(N219="--","--",SUMPRODUCT(OFFSET('DATA GPC'!$J$1,O$193+M219-1,0,1,7),DataViewFactor)+(16-M219)/1000000)</f>
        <v>--</v>
      </c>
      <c r="P219" s="926" t="str">
        <f>IF($F219="--","n/a",IFERROR(RANK(O219,O$195:O$220),16-COUNTIF(O219:O$220,"--")))</f>
        <v>n/a</v>
      </c>
      <c r="Q219" s="2060"/>
      <c r="R219" s="2060"/>
      <c r="S219" s="2060"/>
      <c r="T219" s="2060"/>
      <c r="U219" s="2060"/>
      <c r="V219" s="2060"/>
      <c r="W219" s="2060"/>
      <c r="X219" s="2060"/>
    </row>
    <row r="220" spans="1:24" s="646" customFormat="1" ht="12" customHeight="1">
      <c r="A220" s="2060"/>
      <c r="B220" s="2060"/>
      <c r="C220" s="2060"/>
      <c r="D220" s="2060"/>
      <c r="E220" s="2060">
        <v>26</v>
      </c>
      <c r="F220" s="2060" t="str">
        <f>'DATA GPC'!$F124</f>
        <v>--</v>
      </c>
      <c r="G220" s="959" t="str">
        <f ca="1">IF(F220="--","--",SUMPRODUCT(OFFSET('DATA GPC'!$J$1,G$193+E220-1,0,1,7),DataViewFactor)+(16-E220)/1000000)</f>
        <v>--</v>
      </c>
      <c r="H220" s="926" t="str">
        <f>IF($F220="--","n/a",IFERROR(RANK(G220,G$195:G$220),16-COUNTIF(G220:G$220,"--")))</f>
        <v>n/a</v>
      </c>
      <c r="I220" s="2060">
        <v>26</v>
      </c>
      <c r="J220" s="2060" t="str">
        <f>'DATA GPC'!$F124</f>
        <v>--</v>
      </c>
      <c r="K220" s="960" t="str">
        <f ca="1">IF(J220="--","--",SUMPRODUCT(OFFSET('DATA GPC'!$J$1,K$193+I220-1,0,1,7),DataViewFactor)+(16-I220)/1000000)</f>
        <v>--</v>
      </c>
      <c r="L220" s="926" t="str">
        <f>IF($F220="--","n/a",IFERROR(RANK(K220,K$195:K$220),16-COUNTIF(K220:K$220,"--")))</f>
        <v>n/a</v>
      </c>
      <c r="M220" s="2060">
        <v>26</v>
      </c>
      <c r="N220" s="2060" t="str">
        <f>'DATA GPC'!$F124</f>
        <v>--</v>
      </c>
      <c r="O220" s="960" t="str">
        <f ca="1">IF(N220="--","--",SUMPRODUCT(OFFSET('DATA GPC'!$J$1,O$193+M220-1,0,1,7),DataViewFactor)+(16-M220)/1000000)</f>
        <v>--</v>
      </c>
      <c r="P220" s="926" t="str">
        <f>IF($F220="--","n/a",IFERROR(RANK(O220,O$195:O$220),16-COUNTIF(O220:O$220,"--")))</f>
        <v>n/a</v>
      </c>
      <c r="Q220" s="2060"/>
      <c r="R220" s="2060"/>
      <c r="S220" s="2060"/>
      <c r="T220" s="2060"/>
      <c r="U220" s="2060"/>
      <c r="V220" s="2060"/>
      <c r="W220" s="2060"/>
      <c r="X220" s="2060"/>
    </row>
    <row r="221" spans="1:24" s="646" customFormat="1" ht="12" customHeight="1">
      <c r="A221" s="2060"/>
      <c r="B221" s="2060"/>
      <c r="C221" s="2060"/>
      <c r="D221" s="2060"/>
      <c r="E221" s="2060"/>
      <c r="F221" s="2060"/>
      <c r="G221" s="2060"/>
      <c r="H221" s="2060"/>
      <c r="I221" s="2060"/>
      <c r="J221" s="2060"/>
      <c r="K221" s="2060"/>
      <c r="L221" s="2060"/>
      <c r="M221" s="2060"/>
      <c r="N221" s="2060"/>
      <c r="O221" s="2060"/>
      <c r="P221" s="2060"/>
      <c r="Q221" s="2060"/>
      <c r="R221" s="2060"/>
      <c r="S221" s="2060"/>
      <c r="T221" s="2060"/>
      <c r="U221" s="2060"/>
      <c r="V221" s="2060"/>
      <c r="W221" s="2060"/>
      <c r="X221" s="2060"/>
    </row>
    <row r="222" spans="1:24" s="646" customFormat="1" ht="12" customHeight="1">
      <c r="A222" s="2060"/>
      <c r="B222" s="2060"/>
      <c r="C222" s="2060"/>
      <c r="D222" s="2060"/>
      <c r="E222" s="2060"/>
      <c r="F222" s="2060"/>
      <c r="G222" s="2060"/>
      <c r="H222" s="2060"/>
      <c r="I222" s="2060"/>
      <c r="J222" s="2060"/>
      <c r="K222" s="2060"/>
      <c r="L222" s="2060"/>
      <c r="M222" s="2060"/>
      <c r="N222" s="2060"/>
      <c r="O222" s="2060"/>
      <c r="P222" s="2060"/>
      <c r="Q222" s="2060"/>
      <c r="R222" s="2060"/>
      <c r="S222" s="2060"/>
      <c r="T222" s="2060"/>
      <c r="U222" s="2060"/>
      <c r="V222" s="2060"/>
      <c r="W222" s="2060"/>
      <c r="X222" s="2060"/>
    </row>
    <row r="223" spans="1:24" s="646" customFormat="1" ht="12" customHeight="1">
      <c r="A223" s="2060"/>
      <c r="B223" s="2060"/>
      <c r="C223" s="2060"/>
      <c r="D223" s="2060"/>
      <c r="E223" s="2060"/>
      <c r="F223" s="2060"/>
      <c r="G223" s="2060"/>
      <c r="H223" s="2060"/>
      <c r="I223" s="2060"/>
      <c r="J223" s="2060"/>
      <c r="K223" s="2060"/>
      <c r="L223" s="2060"/>
      <c r="M223" s="2060"/>
      <c r="N223" s="2060"/>
      <c r="O223" s="2060"/>
      <c r="P223" s="2060"/>
      <c r="Q223" s="2060"/>
      <c r="R223" s="2060"/>
      <c r="S223" s="2060"/>
      <c r="T223" s="2060"/>
      <c r="U223" s="2060"/>
      <c r="V223" s="2060"/>
      <c r="W223" s="2060"/>
      <c r="X223" s="2060"/>
    </row>
    <row r="224" spans="1:24" s="646" customFormat="1" ht="12" customHeight="1">
      <c r="A224" s="2060"/>
      <c r="B224" s="2060"/>
      <c r="C224" s="2060"/>
      <c r="D224" s="2060"/>
      <c r="E224" s="2060"/>
      <c r="F224" s="2060"/>
      <c r="G224" s="2060"/>
      <c r="H224" s="2060"/>
      <c r="I224" s="2060"/>
      <c r="J224" s="2060"/>
      <c r="K224" s="2060"/>
      <c r="L224" s="2060"/>
      <c r="M224" s="2060"/>
      <c r="N224" s="2060"/>
      <c r="O224" s="2060"/>
      <c r="P224" s="2060"/>
      <c r="Q224" s="2060"/>
      <c r="R224" s="2060"/>
      <c r="S224" s="2060"/>
      <c r="T224" s="2060"/>
      <c r="U224" s="2060"/>
      <c r="V224" s="2060"/>
      <c r="W224" s="2060"/>
      <c r="X224" s="2060"/>
    </row>
    <row r="225" spans="1:24" s="646" customFormat="1" ht="12" customHeight="1">
      <c r="A225" s="2060"/>
      <c r="B225" s="2060"/>
      <c r="C225" s="2060"/>
      <c r="D225" s="2060"/>
      <c r="E225" s="2060"/>
      <c r="F225" s="2060"/>
      <c r="G225" s="2060"/>
      <c r="H225" s="2060"/>
      <c r="I225" s="2060"/>
      <c r="J225" s="2060"/>
      <c r="K225" s="2060"/>
      <c r="L225" s="2060"/>
      <c r="M225" s="2060"/>
      <c r="N225" s="2060"/>
      <c r="O225" s="2060"/>
      <c r="P225" s="2060"/>
      <c r="Q225" s="2060"/>
      <c r="R225" s="2060"/>
      <c r="S225" s="2060"/>
      <c r="T225" s="2060"/>
      <c r="U225" s="2060"/>
      <c r="V225" s="2060"/>
      <c r="W225" s="2060"/>
      <c r="X225" s="2060"/>
    </row>
    <row r="226" spans="1:24" s="646" customFormat="1" ht="12" customHeight="1">
      <c r="A226" s="2060"/>
      <c r="B226" s="2060"/>
      <c r="C226" s="2060"/>
      <c r="D226" s="2060"/>
      <c r="E226" s="2060"/>
      <c r="F226" s="2060"/>
      <c r="G226" s="2060"/>
      <c r="H226" s="2060"/>
      <c r="I226" s="2060"/>
      <c r="J226" s="2060"/>
      <c r="K226" s="2060"/>
      <c r="L226" s="2060"/>
      <c r="M226" s="2060"/>
      <c r="N226" s="2060"/>
      <c r="O226" s="2060"/>
      <c r="P226" s="2060"/>
      <c r="Q226" s="2060"/>
      <c r="R226" s="2060"/>
      <c r="S226" s="2060"/>
      <c r="T226" s="2060"/>
      <c r="U226" s="2060"/>
      <c r="V226" s="2060"/>
      <c r="W226" s="2060"/>
      <c r="X226" s="2060"/>
    </row>
    <row r="227" spans="1:24" s="646" customFormat="1" ht="12" customHeight="1">
      <c r="A227" s="2060"/>
      <c r="B227" s="2060"/>
      <c r="C227" s="2060"/>
      <c r="D227" s="2060"/>
      <c r="E227" s="2060"/>
      <c r="F227" s="2060"/>
      <c r="G227" s="2060"/>
      <c r="H227" s="2060"/>
      <c r="I227" s="2060"/>
      <c r="J227" s="2060"/>
      <c r="K227" s="2060"/>
      <c r="L227" s="2060"/>
      <c r="M227" s="2060"/>
      <c r="N227" s="2060"/>
      <c r="O227" s="2060"/>
      <c r="P227" s="2060"/>
      <c r="Q227" s="2060"/>
      <c r="R227" s="2060"/>
      <c r="S227" s="2060"/>
      <c r="T227" s="2060"/>
      <c r="U227" s="2060"/>
      <c r="V227" s="2060"/>
      <c r="W227" s="2060"/>
      <c r="X227" s="2060"/>
    </row>
    <row r="228" spans="1:24" s="646" customFormat="1" ht="12" customHeight="1">
      <c r="A228" s="2060"/>
      <c r="B228" s="2060"/>
      <c r="C228" s="2060"/>
      <c r="D228" s="2060"/>
      <c r="E228" s="2060"/>
      <c r="F228" s="2060"/>
      <c r="G228" s="2060"/>
      <c r="H228" s="2060"/>
      <c r="I228" s="2060"/>
      <c r="J228" s="2060"/>
      <c r="K228" s="2060"/>
      <c r="L228" s="2060"/>
      <c r="M228" s="2060"/>
      <c r="N228" s="2060"/>
      <c r="O228" s="2060"/>
      <c r="P228" s="2060"/>
      <c r="Q228" s="2060"/>
      <c r="R228" s="2060"/>
      <c r="S228" s="2060"/>
      <c r="T228" s="2060"/>
      <c r="U228" s="2060"/>
      <c r="V228" s="2060"/>
      <c r="W228" s="2060"/>
      <c r="X228" s="2060"/>
    </row>
    <row r="229" spans="1:24" s="646" customFormat="1" ht="12" customHeight="1">
      <c r="A229" s="2060"/>
      <c r="B229" s="2060"/>
      <c r="C229" s="2060"/>
      <c r="D229" s="2060"/>
      <c r="E229" s="2060"/>
      <c r="F229" s="2060"/>
      <c r="G229" s="2060"/>
      <c r="H229" s="2060"/>
      <c r="I229" s="2060"/>
      <c r="J229" s="2060"/>
      <c r="K229" s="2060"/>
      <c r="L229" s="2060"/>
      <c r="M229" s="2060"/>
      <c r="N229" s="2060"/>
      <c r="O229" s="2060"/>
      <c r="P229" s="2060"/>
      <c r="Q229" s="2060"/>
      <c r="R229" s="2060"/>
      <c r="S229" s="2060"/>
      <c r="T229" s="2060"/>
      <c r="U229" s="2060"/>
      <c r="V229" s="2060"/>
      <c r="W229" s="2060"/>
      <c r="X229" s="2060"/>
    </row>
    <row r="230" spans="1:24" s="646" customFormat="1" ht="12" customHeight="1">
      <c r="A230" s="2060"/>
      <c r="B230" s="2060"/>
      <c r="C230" s="2060"/>
      <c r="D230" s="2060"/>
      <c r="E230" s="2060"/>
      <c r="F230" s="2060"/>
      <c r="G230" s="2060"/>
      <c r="H230" s="2060"/>
      <c r="I230" s="2060"/>
      <c r="J230" s="2060"/>
      <c r="K230" s="2060"/>
      <c r="L230" s="2060"/>
      <c r="M230" s="2060"/>
      <c r="N230" s="2060"/>
      <c r="O230" s="2060"/>
      <c r="P230" s="2060"/>
      <c r="Q230" s="2060"/>
      <c r="R230" s="2060"/>
      <c r="S230" s="2060"/>
      <c r="T230" s="2060"/>
      <c r="U230" s="2060"/>
      <c r="V230" s="2060"/>
      <c r="W230" s="2060"/>
      <c r="X230" s="2060"/>
    </row>
    <row r="231" spans="1:24" s="646" customFormat="1" ht="12" customHeight="1">
      <c r="A231" s="2060"/>
      <c r="B231" s="2060"/>
      <c r="C231" s="2060"/>
      <c r="D231" s="2060"/>
      <c r="E231" s="2060"/>
      <c r="F231" s="2060"/>
      <c r="G231" s="2060"/>
      <c r="H231" s="2060"/>
      <c r="I231" s="2060"/>
      <c r="J231" s="2060"/>
      <c r="K231" s="2060"/>
      <c r="L231" s="2060"/>
      <c r="M231" s="2060"/>
      <c r="N231" s="2060"/>
      <c r="O231" s="2060"/>
      <c r="P231" s="2060"/>
      <c r="Q231" s="2060"/>
      <c r="R231" s="2060"/>
      <c r="S231" s="2060"/>
      <c r="T231" s="2060"/>
      <c r="U231" s="2060"/>
      <c r="V231" s="2060"/>
      <c r="W231" s="2060"/>
      <c r="X231" s="2060"/>
    </row>
    <row r="232" spans="1:24" s="646" customFormat="1" ht="12" customHeight="1">
      <c r="A232" s="2060"/>
      <c r="B232" s="2060"/>
      <c r="C232" s="2060"/>
      <c r="D232" s="2060"/>
      <c r="E232" s="2060"/>
      <c r="F232" s="2060"/>
      <c r="G232" s="2060"/>
      <c r="H232" s="2060"/>
      <c r="I232" s="2060"/>
      <c r="J232" s="2060"/>
      <c r="K232" s="2060"/>
      <c r="L232" s="2060"/>
      <c r="M232" s="2060"/>
      <c r="N232" s="2060"/>
      <c r="O232" s="2060"/>
      <c r="P232" s="2060"/>
      <c r="Q232" s="2060"/>
      <c r="R232" s="2060"/>
      <c r="S232" s="2060"/>
      <c r="T232" s="2060"/>
      <c r="U232" s="2060"/>
      <c r="V232" s="2060"/>
      <c r="W232" s="2060"/>
      <c r="X232" s="2060"/>
    </row>
    <row r="233" spans="1:24" s="646" customFormat="1" ht="12" customHeight="1">
      <c r="A233" s="2060"/>
      <c r="B233" s="2060"/>
      <c r="C233" s="2060"/>
      <c r="D233" s="2060"/>
      <c r="E233" s="2060"/>
      <c r="F233" s="2060"/>
      <c r="G233" s="2060"/>
      <c r="H233" s="2060"/>
      <c r="I233" s="2060"/>
      <c r="J233" s="2060"/>
      <c r="K233" s="2060"/>
      <c r="L233" s="2060"/>
      <c r="M233" s="2060"/>
      <c r="N233" s="2060"/>
      <c r="O233" s="2060"/>
      <c r="P233" s="2060"/>
      <c r="Q233" s="2060"/>
      <c r="R233" s="2060"/>
      <c r="S233" s="2060"/>
      <c r="T233" s="2060"/>
      <c r="U233" s="2060"/>
      <c r="V233" s="2060"/>
      <c r="W233" s="2060"/>
      <c r="X233" s="2060"/>
    </row>
    <row r="234" spans="1:24" s="646" customFormat="1" ht="12" customHeight="1">
      <c r="A234" s="2060"/>
      <c r="B234" s="2060"/>
      <c r="C234" s="2060"/>
      <c r="D234" s="2060"/>
      <c r="E234" s="2060"/>
      <c r="F234" s="2060"/>
      <c r="G234" s="2060"/>
      <c r="H234" s="2060"/>
      <c r="I234" s="2060"/>
      <c r="J234" s="2060"/>
      <c r="K234" s="2060"/>
      <c r="L234" s="2060"/>
      <c r="M234" s="2060"/>
      <c r="N234" s="2060"/>
      <c r="O234" s="2060"/>
      <c r="P234" s="2060"/>
      <c r="Q234" s="2060"/>
      <c r="R234" s="2060"/>
      <c r="S234" s="2060"/>
      <c r="T234" s="2060"/>
      <c r="U234" s="2060"/>
      <c r="V234" s="2060"/>
      <c r="W234" s="2060"/>
      <c r="X234" s="2060"/>
    </row>
    <row r="235" spans="1:24" s="646" customFormat="1" ht="12" customHeight="1">
      <c r="A235" s="2060"/>
      <c r="B235" s="2060"/>
      <c r="C235" s="2060"/>
      <c r="D235" s="2060"/>
      <c r="E235" s="2060"/>
      <c r="F235" s="2060"/>
      <c r="G235" s="2060"/>
      <c r="H235" s="2060"/>
      <c r="I235" s="2060"/>
      <c r="J235" s="2060"/>
      <c r="K235" s="2060"/>
      <c r="L235" s="2060"/>
      <c r="M235" s="2060"/>
      <c r="N235" s="2060"/>
      <c r="O235" s="2060"/>
      <c r="P235" s="2060"/>
      <c r="Q235" s="2060"/>
      <c r="R235" s="2060"/>
      <c r="S235" s="2060"/>
      <c r="T235" s="2060"/>
      <c r="U235" s="2060"/>
      <c r="V235" s="2060"/>
      <c r="W235" s="2060"/>
      <c r="X235" s="2060"/>
    </row>
    <row r="236" spans="1:24" s="646" customFormat="1" ht="12" customHeight="1">
      <c r="A236" s="2060"/>
      <c r="B236" s="2060"/>
      <c r="C236" s="2060"/>
      <c r="D236" s="2060"/>
      <c r="E236" s="2060"/>
      <c r="F236" s="2060"/>
      <c r="G236" s="2060"/>
      <c r="H236" s="2060"/>
      <c r="I236" s="2060"/>
      <c r="J236" s="2060"/>
      <c r="K236" s="2060"/>
      <c r="L236" s="2060"/>
      <c r="M236" s="2060"/>
      <c r="N236" s="2060"/>
      <c r="O236" s="2060"/>
      <c r="P236" s="2060"/>
      <c r="Q236" s="2060"/>
      <c r="R236" s="2060"/>
      <c r="S236" s="2060"/>
      <c r="T236" s="2060"/>
      <c r="U236" s="2060"/>
      <c r="V236" s="2060"/>
      <c r="W236" s="2060"/>
      <c r="X236" s="2060"/>
    </row>
    <row r="237" spans="1:24" s="646" customFormat="1" ht="12" customHeight="1">
      <c r="A237" s="2060"/>
      <c r="B237" s="2060"/>
      <c r="C237" s="2060"/>
      <c r="D237" s="2060"/>
      <c r="E237" s="2060"/>
      <c r="F237" s="2060"/>
      <c r="G237" s="2060"/>
      <c r="H237" s="2060"/>
      <c r="I237" s="2060"/>
      <c r="J237" s="2060"/>
      <c r="K237" s="2060"/>
      <c r="L237" s="2060"/>
      <c r="M237" s="2060"/>
      <c r="N237" s="2060"/>
      <c r="O237" s="2060"/>
      <c r="P237" s="2060"/>
      <c r="Q237" s="2060"/>
      <c r="R237" s="2060"/>
      <c r="S237" s="2060"/>
      <c r="T237" s="2060"/>
      <c r="U237" s="2060"/>
      <c r="V237" s="2060"/>
      <c r="W237" s="2060"/>
      <c r="X237" s="2060"/>
    </row>
    <row r="238" spans="1:24" s="646" customFormat="1" ht="12" customHeight="1">
      <c r="A238" s="2060"/>
      <c r="B238" s="2060"/>
      <c r="C238" s="2060"/>
      <c r="D238" s="2060"/>
      <c r="E238" s="2060"/>
      <c r="F238" s="2060"/>
      <c r="G238" s="2060"/>
      <c r="H238" s="2060"/>
      <c r="I238" s="2060"/>
      <c r="J238" s="2060"/>
      <c r="K238" s="2060"/>
      <c r="L238" s="2060"/>
      <c r="M238" s="2060"/>
      <c r="N238" s="2060"/>
      <c r="O238" s="2060"/>
      <c r="P238" s="2060"/>
      <c r="Q238" s="2060"/>
      <c r="R238" s="2060"/>
      <c r="S238" s="2060"/>
      <c r="T238" s="2060"/>
      <c r="U238" s="2060"/>
      <c r="V238" s="2060"/>
      <c r="W238" s="2060"/>
      <c r="X238" s="2060"/>
    </row>
    <row r="239" spans="1:24" s="646" customFormat="1" ht="12" customHeight="1">
      <c r="A239" s="2060"/>
      <c r="B239" s="2060"/>
      <c r="C239" s="2060"/>
      <c r="D239" s="2060"/>
      <c r="E239" s="2060"/>
      <c r="F239" s="2060"/>
      <c r="G239" s="2060"/>
      <c r="H239" s="2060"/>
      <c r="I239" s="2060"/>
      <c r="J239" s="2060"/>
      <c r="K239" s="2060"/>
      <c r="L239" s="2060"/>
      <c r="M239" s="2060"/>
      <c r="N239" s="2060"/>
      <c r="O239" s="2060"/>
      <c r="P239" s="2060"/>
      <c r="Q239" s="2060"/>
      <c r="R239" s="2060"/>
      <c r="S239" s="2060"/>
      <c r="T239" s="2060"/>
      <c r="U239" s="2060"/>
      <c r="V239" s="2060"/>
      <c r="W239" s="2060"/>
      <c r="X239" s="2060"/>
    </row>
    <row r="240" spans="1:24" s="646" customFormat="1" ht="12" customHeight="1">
      <c r="A240" s="2060"/>
      <c r="B240" s="2060"/>
      <c r="C240" s="2060"/>
      <c r="D240" s="2060"/>
      <c r="E240" s="2060"/>
      <c r="F240" s="2060"/>
      <c r="G240" s="2060"/>
      <c r="H240" s="2060"/>
      <c r="I240" s="2060"/>
      <c r="J240" s="2060"/>
      <c r="K240" s="2060"/>
      <c r="L240" s="2060"/>
      <c r="M240" s="2060"/>
      <c r="N240" s="2060"/>
      <c r="O240" s="2060"/>
      <c r="P240" s="2060"/>
      <c r="Q240" s="2060"/>
      <c r="R240" s="2060"/>
      <c r="S240" s="2060"/>
      <c r="T240" s="2060"/>
      <c r="U240" s="2060"/>
      <c r="V240" s="2060"/>
      <c r="W240" s="2060"/>
      <c r="X240" s="2060"/>
    </row>
    <row r="241" spans="1:24" s="646" customFormat="1" ht="12" customHeight="1">
      <c r="A241" s="2060"/>
      <c r="B241" s="2060"/>
      <c r="C241" s="2060"/>
      <c r="D241" s="2060"/>
      <c r="E241" s="2060"/>
      <c r="F241" s="2060"/>
      <c r="G241" s="2060"/>
      <c r="H241" s="2060"/>
      <c r="I241" s="2060"/>
      <c r="J241" s="2060"/>
      <c r="K241" s="2060"/>
      <c r="L241" s="2060"/>
      <c r="M241" s="2060"/>
      <c r="N241" s="2060"/>
      <c r="O241" s="2060"/>
      <c r="P241" s="2060"/>
      <c r="Q241" s="2060"/>
      <c r="R241" s="2060"/>
      <c r="S241" s="2060"/>
      <c r="T241" s="2060"/>
      <c r="U241" s="2060"/>
      <c r="V241" s="2060"/>
      <c r="W241" s="2060"/>
      <c r="X241" s="2060"/>
    </row>
    <row r="242" spans="1:24" s="646" customFormat="1" ht="12" customHeight="1">
      <c r="A242" s="2060"/>
      <c r="B242" s="2060"/>
      <c r="C242" s="2060"/>
      <c r="D242" s="2060"/>
      <c r="E242" s="2060"/>
      <c r="F242" s="2060"/>
      <c r="G242" s="2060"/>
      <c r="H242" s="2060"/>
      <c r="I242" s="2060"/>
      <c r="J242" s="2060"/>
      <c r="K242" s="2060"/>
      <c r="L242" s="2060"/>
      <c r="M242" s="2060"/>
      <c r="N242" s="2060"/>
      <c r="O242" s="2060"/>
      <c r="P242" s="2060"/>
      <c r="Q242" s="2060"/>
      <c r="R242" s="2060"/>
      <c r="S242" s="2060"/>
      <c r="T242" s="2060"/>
      <c r="U242" s="2060"/>
      <c r="V242" s="2060"/>
      <c r="W242" s="2060"/>
      <c r="X242" s="2060"/>
    </row>
    <row r="243" spans="1:24" s="646" customFormat="1" ht="12" customHeight="1">
      <c r="A243" s="2060"/>
      <c r="B243" s="2060"/>
      <c r="C243" s="2060"/>
      <c r="D243" s="2060"/>
      <c r="E243" s="2060"/>
      <c r="F243" s="2060"/>
      <c r="G243" s="2060"/>
      <c r="H243" s="2060"/>
      <c r="I243" s="2060"/>
      <c r="J243" s="2060"/>
      <c r="K243" s="2060"/>
      <c r="L243" s="2060"/>
      <c r="M243" s="2060"/>
      <c r="N243" s="2060"/>
      <c r="O243" s="2060"/>
      <c r="P243" s="2060"/>
      <c r="Q243" s="2060"/>
      <c r="R243" s="2060"/>
      <c r="S243" s="2060"/>
      <c r="T243" s="2060"/>
      <c r="U243" s="2060"/>
      <c r="V243" s="2060"/>
      <c r="W243" s="2060"/>
      <c r="X243" s="2060"/>
    </row>
    <row r="244" spans="1:24" s="646" customFormat="1" ht="12" customHeight="1">
      <c r="A244" s="2060"/>
      <c r="B244" s="2060"/>
      <c r="C244" s="2060"/>
      <c r="D244" s="2060"/>
      <c r="E244" s="2060"/>
      <c r="F244" s="2060"/>
      <c r="G244" s="2060"/>
      <c r="H244" s="2060"/>
      <c r="I244" s="2060"/>
      <c r="J244" s="2060"/>
      <c r="K244" s="2060"/>
      <c r="L244" s="2060"/>
      <c r="M244" s="2060"/>
      <c r="N244" s="2060"/>
      <c r="O244" s="2060"/>
      <c r="P244" s="2060"/>
      <c r="Q244" s="2060"/>
      <c r="R244" s="2060"/>
      <c r="S244" s="2060"/>
      <c r="T244" s="2060"/>
      <c r="U244" s="2060"/>
      <c r="V244" s="2060"/>
      <c r="W244" s="2060"/>
      <c r="X244" s="2060"/>
    </row>
  </sheetData>
  <autoFilter ref="A1:A244"/>
  <conditionalFormatting sqref="H43:H68">
    <cfRule type="dataBar" priority="190">
      <dataBar>
        <cfvo type="min"/>
        <cfvo type="max"/>
        <color rgb="FFFFD782"/>
      </dataBar>
    </cfRule>
  </conditionalFormatting>
  <conditionalFormatting sqref="L43:L68">
    <cfRule type="dataBar" priority="139">
      <dataBar>
        <cfvo type="min"/>
        <cfvo type="max"/>
        <color rgb="FFFFD782"/>
      </dataBar>
    </cfRule>
  </conditionalFormatting>
  <conditionalFormatting sqref="P43:P68">
    <cfRule type="dataBar" priority="184">
      <dataBar>
        <cfvo type="min"/>
        <cfvo type="max"/>
        <color rgb="FFFFD782"/>
      </dataBar>
    </cfRule>
  </conditionalFormatting>
  <conditionalFormatting sqref="H74:H99">
    <cfRule type="dataBar" priority="72">
      <dataBar>
        <cfvo type="min"/>
        <cfvo type="max"/>
        <color rgb="FF64BEFF"/>
      </dataBar>
      <extLst>
        <ext xmlns:x14="http://schemas.microsoft.com/office/spreadsheetml/2009/9/main" uri="{B025F937-C7B1-47D3-B67F-A62EFF666E3E}">
          <x14:id>{56F5A204-1639-408F-B8FB-5383BCCBCC42}</x14:id>
        </ext>
      </extLst>
    </cfRule>
    <cfRule type="dataBar" priority="145">
      <dataBar>
        <cfvo type="min"/>
        <cfvo type="max"/>
        <color rgb="FFFFD782"/>
      </dataBar>
      <extLst>
        <ext xmlns:x14="http://schemas.microsoft.com/office/spreadsheetml/2009/9/main" uri="{B025F937-C7B1-47D3-B67F-A62EFF666E3E}">
          <x14:id>{82FD773B-0EBF-4273-8A02-E2A0AE897771}</x14:id>
        </ext>
      </extLst>
    </cfRule>
    <cfRule type="dataBar" priority="157">
      <dataBar>
        <cfvo type="min"/>
        <cfvo type="max"/>
        <color rgb="FF638EC6"/>
      </dataBar>
      <extLst>
        <ext xmlns:x14="http://schemas.microsoft.com/office/spreadsheetml/2009/9/main" uri="{B025F937-C7B1-47D3-B67F-A62EFF666E3E}">
          <x14:id>{7A6EC6A5-4F37-4F8D-8426-4AF6B9392D24}</x14:id>
        </ext>
      </extLst>
    </cfRule>
    <cfRule type="dataBar" priority="173">
      <dataBar>
        <cfvo type="min"/>
        <cfvo type="max"/>
        <color rgb="FFFFD782"/>
      </dataBar>
    </cfRule>
  </conditionalFormatting>
  <conditionalFormatting sqref="L74:L99">
    <cfRule type="dataBar" priority="170">
      <dataBar>
        <cfvo type="min"/>
        <cfvo type="max"/>
        <color rgb="FFFFD782"/>
      </dataBar>
    </cfRule>
  </conditionalFormatting>
  <conditionalFormatting sqref="P74:P99">
    <cfRule type="dataBar" priority="165">
      <dataBar>
        <cfvo type="min"/>
        <cfvo type="max"/>
        <color rgb="FFFFD782"/>
      </dataBar>
    </cfRule>
  </conditionalFormatting>
  <conditionalFormatting sqref="L12:L37">
    <cfRule type="dataBar" priority="152">
      <dataBar>
        <cfvo type="min"/>
        <cfvo type="max"/>
        <color rgb="FF99FF99"/>
      </dataBar>
      <extLst>
        <ext xmlns:x14="http://schemas.microsoft.com/office/spreadsheetml/2009/9/main" uri="{B025F937-C7B1-47D3-B67F-A62EFF666E3E}">
          <x14:id>{385F8170-75CF-4DD8-8753-626F665C51D5}</x14:id>
        </ext>
      </extLst>
    </cfRule>
  </conditionalFormatting>
  <conditionalFormatting sqref="L26:L37">
    <cfRule type="dataBar" priority="155">
      <dataBar>
        <cfvo type="min"/>
        <cfvo type="max"/>
        <color rgb="FFFFD782"/>
      </dataBar>
    </cfRule>
  </conditionalFormatting>
  <conditionalFormatting sqref="P12:P37">
    <cfRule type="dataBar" priority="147">
      <dataBar>
        <cfvo type="min"/>
        <cfvo type="max"/>
        <color rgb="FF99FF99"/>
      </dataBar>
      <extLst>
        <ext xmlns:x14="http://schemas.microsoft.com/office/spreadsheetml/2009/9/main" uri="{B025F937-C7B1-47D3-B67F-A62EFF666E3E}">
          <x14:id>{C1A46532-0152-4E13-AE1A-A0CFE150916A}</x14:id>
        </ext>
      </extLst>
    </cfRule>
  </conditionalFormatting>
  <conditionalFormatting sqref="H12:H37">
    <cfRule type="dataBar" priority="135">
      <dataBar>
        <cfvo type="min"/>
        <cfvo type="max"/>
        <color rgb="FF99FF99"/>
      </dataBar>
      <extLst>
        <ext xmlns:x14="http://schemas.microsoft.com/office/spreadsheetml/2009/9/main" uri="{B025F937-C7B1-47D3-B67F-A62EFF666E3E}">
          <x14:id>{9A3F36C3-B6A4-46B8-A59C-951B6CB99F89}</x14:id>
        </ext>
      </extLst>
    </cfRule>
  </conditionalFormatting>
  <conditionalFormatting sqref="F12:F37">
    <cfRule type="expression" dxfId="71" priority="117">
      <formula>E12&lt;&gt;""</formula>
    </cfRule>
  </conditionalFormatting>
  <conditionalFormatting sqref="F26:F37">
    <cfRule type="expression" dxfId="70" priority="116">
      <formula>E26&lt;&gt;""</formula>
    </cfRule>
  </conditionalFormatting>
  <conditionalFormatting sqref="G12:G37">
    <cfRule type="expression" dxfId="69" priority="54">
      <formula>E12&lt;&gt;""</formula>
    </cfRule>
  </conditionalFormatting>
  <conditionalFormatting sqref="J12:J37">
    <cfRule type="expression" dxfId="68" priority="53">
      <formula>I12&lt;&gt;""</formula>
    </cfRule>
  </conditionalFormatting>
  <conditionalFormatting sqref="J26:J37">
    <cfRule type="expression" dxfId="67" priority="52">
      <formula>I26&lt;&gt;""</formula>
    </cfRule>
  </conditionalFormatting>
  <conditionalFormatting sqref="K12:K37">
    <cfRule type="expression" dxfId="66" priority="51">
      <formula>I12&lt;&gt;""</formula>
    </cfRule>
  </conditionalFormatting>
  <conditionalFormatting sqref="N12:N37">
    <cfRule type="expression" dxfId="65" priority="50">
      <formula>M12&lt;&gt;""</formula>
    </cfRule>
  </conditionalFormatting>
  <conditionalFormatting sqref="N26:N37">
    <cfRule type="expression" dxfId="64" priority="49">
      <formula>M26&lt;&gt;""</formula>
    </cfRule>
  </conditionalFormatting>
  <conditionalFormatting sqref="O12:O37">
    <cfRule type="expression" dxfId="63" priority="48">
      <formula>M12&lt;&gt;""</formula>
    </cfRule>
  </conditionalFormatting>
  <conditionalFormatting sqref="F43:F68">
    <cfRule type="expression" dxfId="62" priority="44">
      <formula>E43&lt;&gt;""</formula>
    </cfRule>
  </conditionalFormatting>
  <conditionalFormatting sqref="F57:F68">
    <cfRule type="expression" dxfId="61" priority="43">
      <formula>E57&lt;&gt;""</formula>
    </cfRule>
  </conditionalFormatting>
  <conditionalFormatting sqref="G43:G68">
    <cfRule type="expression" dxfId="60" priority="42">
      <formula>E43&lt;&gt;""</formula>
    </cfRule>
  </conditionalFormatting>
  <conditionalFormatting sqref="J43:J68">
    <cfRule type="expression" dxfId="59" priority="41">
      <formula>I43&lt;&gt;""</formula>
    </cfRule>
  </conditionalFormatting>
  <conditionalFormatting sqref="J57:J68">
    <cfRule type="expression" dxfId="58" priority="40">
      <formula>I57&lt;&gt;""</formula>
    </cfRule>
  </conditionalFormatting>
  <conditionalFormatting sqref="K43:K68">
    <cfRule type="expression" dxfId="57" priority="39">
      <formula>I43&lt;&gt;""</formula>
    </cfRule>
  </conditionalFormatting>
  <conditionalFormatting sqref="N43:N68">
    <cfRule type="expression" dxfId="56" priority="38">
      <formula>M43&lt;&gt;""</formula>
    </cfRule>
  </conditionalFormatting>
  <conditionalFormatting sqref="N57:N68">
    <cfRule type="expression" dxfId="55" priority="37">
      <formula>M57&lt;&gt;""</formula>
    </cfRule>
  </conditionalFormatting>
  <conditionalFormatting sqref="O43:O68">
    <cfRule type="expression" dxfId="54" priority="36">
      <formula>M43&lt;&gt;""</formula>
    </cfRule>
  </conditionalFormatting>
  <conditionalFormatting sqref="F74:F99">
    <cfRule type="expression" dxfId="53" priority="35">
      <formula>E74&lt;&gt;""</formula>
    </cfRule>
  </conditionalFormatting>
  <conditionalFormatting sqref="F88">
    <cfRule type="expression" dxfId="52" priority="34">
      <formula>E88&lt;&gt;""</formula>
    </cfRule>
  </conditionalFormatting>
  <conditionalFormatting sqref="G74:G99">
    <cfRule type="expression" dxfId="51" priority="33">
      <formula>E74&lt;&gt;""</formula>
    </cfRule>
  </conditionalFormatting>
  <conditionalFormatting sqref="J74:J99">
    <cfRule type="expression" dxfId="50" priority="32">
      <formula>I74&lt;&gt;""</formula>
    </cfRule>
  </conditionalFormatting>
  <conditionalFormatting sqref="J88">
    <cfRule type="expression" dxfId="49" priority="31">
      <formula>I88&lt;&gt;""</formula>
    </cfRule>
  </conditionalFormatting>
  <conditionalFormatting sqref="K74:K99">
    <cfRule type="expression" dxfId="48" priority="30">
      <formula>I74&lt;&gt;""</formula>
    </cfRule>
  </conditionalFormatting>
  <conditionalFormatting sqref="N74:N99">
    <cfRule type="expression" dxfId="47" priority="29">
      <formula>M74&lt;&gt;""</formula>
    </cfRule>
  </conditionalFormatting>
  <conditionalFormatting sqref="N88">
    <cfRule type="expression" dxfId="46" priority="28">
      <formula>M88&lt;&gt;""</formula>
    </cfRule>
  </conditionalFormatting>
  <conditionalFormatting sqref="O74:O99">
    <cfRule type="expression" dxfId="45" priority="27">
      <formula>M74&lt;&gt;""</formula>
    </cfRule>
  </conditionalFormatting>
  <conditionalFormatting sqref="L58:L67">
    <cfRule type="dataBar" priority="25">
      <dataBar>
        <cfvo type="min"/>
        <cfvo type="max"/>
        <color rgb="FF99FF99"/>
      </dataBar>
      <extLst>
        <ext xmlns:x14="http://schemas.microsoft.com/office/spreadsheetml/2009/9/main" uri="{B025F937-C7B1-47D3-B67F-A62EFF666E3E}">
          <x14:id>{C454075B-3A96-438A-8562-3F601003DEFB}</x14:id>
        </ext>
      </extLst>
    </cfRule>
  </conditionalFormatting>
  <conditionalFormatting sqref="L58:L67">
    <cfRule type="dataBar" priority="26">
      <dataBar>
        <cfvo type="min"/>
        <cfvo type="max"/>
        <color rgb="FFFFD782"/>
      </dataBar>
    </cfRule>
  </conditionalFormatting>
  <conditionalFormatting sqref="P58:P67">
    <cfRule type="dataBar" priority="24">
      <dataBar>
        <cfvo type="min"/>
        <cfvo type="max"/>
        <color rgb="FF99FF99"/>
      </dataBar>
      <extLst>
        <ext xmlns:x14="http://schemas.microsoft.com/office/spreadsheetml/2009/9/main" uri="{B025F937-C7B1-47D3-B67F-A62EFF666E3E}">
          <x14:id>{A2584790-3029-4687-A72D-AC0BC798340E}</x14:id>
        </ext>
      </extLst>
    </cfRule>
  </conditionalFormatting>
  <conditionalFormatting sqref="H58:H67">
    <cfRule type="dataBar" priority="23">
      <dataBar>
        <cfvo type="min"/>
        <cfvo type="max"/>
        <color rgb="FF99FF99"/>
      </dataBar>
      <extLst>
        <ext xmlns:x14="http://schemas.microsoft.com/office/spreadsheetml/2009/9/main" uri="{B025F937-C7B1-47D3-B67F-A62EFF666E3E}">
          <x14:id>{33476080-85B5-4A32-8F57-DEED616D1196}</x14:id>
        </ext>
      </extLst>
    </cfRule>
  </conditionalFormatting>
  <conditionalFormatting sqref="F58:F67">
    <cfRule type="expression" dxfId="44" priority="22">
      <formula>E58&lt;&gt;""</formula>
    </cfRule>
  </conditionalFormatting>
  <conditionalFormatting sqref="F58:F67">
    <cfRule type="expression" dxfId="43" priority="21">
      <formula>E58&lt;&gt;""</formula>
    </cfRule>
  </conditionalFormatting>
  <conditionalFormatting sqref="G58:G67">
    <cfRule type="expression" dxfId="42" priority="20">
      <formula>E58&lt;&gt;""</formula>
    </cfRule>
  </conditionalFormatting>
  <conditionalFormatting sqref="J58:J67">
    <cfRule type="expression" dxfId="41" priority="19">
      <formula>I58&lt;&gt;""</formula>
    </cfRule>
  </conditionalFormatting>
  <conditionalFormatting sqref="J58:J67">
    <cfRule type="expression" dxfId="40" priority="18">
      <formula>I58&lt;&gt;""</formula>
    </cfRule>
  </conditionalFormatting>
  <conditionalFormatting sqref="K58:K67">
    <cfRule type="expression" dxfId="39" priority="17">
      <formula>I58&lt;&gt;""</formula>
    </cfRule>
  </conditionalFormatting>
  <conditionalFormatting sqref="N58:N67">
    <cfRule type="expression" dxfId="38" priority="16">
      <formula>M58&lt;&gt;""</formula>
    </cfRule>
  </conditionalFormatting>
  <conditionalFormatting sqref="N58:N67">
    <cfRule type="expression" dxfId="37" priority="15">
      <formula>M58&lt;&gt;""</formula>
    </cfRule>
  </conditionalFormatting>
  <conditionalFormatting sqref="O58:O67">
    <cfRule type="expression" dxfId="36" priority="14">
      <formula>M58&lt;&gt;""</formula>
    </cfRule>
  </conditionalFormatting>
  <conditionalFormatting sqref="L89:L98">
    <cfRule type="dataBar" priority="12">
      <dataBar>
        <cfvo type="min"/>
        <cfvo type="max"/>
        <color rgb="FF99FF99"/>
      </dataBar>
      <extLst>
        <ext xmlns:x14="http://schemas.microsoft.com/office/spreadsheetml/2009/9/main" uri="{B025F937-C7B1-47D3-B67F-A62EFF666E3E}">
          <x14:id>{D06F4E77-7FB9-40A1-A324-CA06E7C3F922}</x14:id>
        </ext>
      </extLst>
    </cfRule>
  </conditionalFormatting>
  <conditionalFormatting sqref="L89:L98">
    <cfRule type="dataBar" priority="13">
      <dataBar>
        <cfvo type="min"/>
        <cfvo type="max"/>
        <color rgb="FFFFD782"/>
      </dataBar>
    </cfRule>
  </conditionalFormatting>
  <conditionalFormatting sqref="P89:P98">
    <cfRule type="dataBar" priority="11">
      <dataBar>
        <cfvo type="min"/>
        <cfvo type="max"/>
        <color rgb="FF99FF99"/>
      </dataBar>
      <extLst>
        <ext xmlns:x14="http://schemas.microsoft.com/office/spreadsheetml/2009/9/main" uri="{B025F937-C7B1-47D3-B67F-A62EFF666E3E}">
          <x14:id>{ACB81BD2-8842-4B9A-8012-11BE1D3CFF40}</x14:id>
        </ext>
      </extLst>
    </cfRule>
  </conditionalFormatting>
  <conditionalFormatting sqref="H89:H98">
    <cfRule type="dataBar" priority="10">
      <dataBar>
        <cfvo type="min"/>
        <cfvo type="max"/>
        <color rgb="FF99FF99"/>
      </dataBar>
      <extLst>
        <ext xmlns:x14="http://schemas.microsoft.com/office/spreadsheetml/2009/9/main" uri="{B025F937-C7B1-47D3-B67F-A62EFF666E3E}">
          <x14:id>{12665026-F631-434C-B8EE-D17C79A86E25}</x14:id>
        </ext>
      </extLst>
    </cfRule>
  </conditionalFormatting>
  <conditionalFormatting sqref="F89:F98">
    <cfRule type="expression" dxfId="35" priority="9">
      <formula>E89&lt;&gt;""</formula>
    </cfRule>
  </conditionalFormatting>
  <conditionalFormatting sqref="F89:F98">
    <cfRule type="expression" dxfId="34" priority="8">
      <formula>E89&lt;&gt;""</formula>
    </cfRule>
  </conditionalFormatting>
  <conditionalFormatting sqref="G89:G98">
    <cfRule type="expression" dxfId="33" priority="7">
      <formula>E89&lt;&gt;""</formula>
    </cfRule>
  </conditionalFormatting>
  <conditionalFormatting sqref="J89:J98">
    <cfRule type="expression" dxfId="32" priority="6">
      <formula>I89&lt;&gt;""</formula>
    </cfRule>
  </conditionalFormatting>
  <conditionalFormatting sqref="J89:J98">
    <cfRule type="expression" dxfId="31" priority="5">
      <formula>I89&lt;&gt;""</formula>
    </cfRule>
  </conditionalFormatting>
  <conditionalFormatting sqref="K89:K98">
    <cfRule type="expression" dxfId="30" priority="4">
      <formula>I89&lt;&gt;""</formula>
    </cfRule>
  </conditionalFormatting>
  <conditionalFormatting sqref="N89:N98">
    <cfRule type="expression" dxfId="29" priority="3">
      <formula>M89&lt;&gt;""</formula>
    </cfRule>
  </conditionalFormatting>
  <conditionalFormatting sqref="N89:N98">
    <cfRule type="expression" dxfId="28" priority="2">
      <formula>M89&lt;&gt;""</formula>
    </cfRule>
  </conditionalFormatting>
  <conditionalFormatting sqref="O89:O98">
    <cfRule type="expression" dxfId="27" priority="1">
      <formula>M89&lt;&gt;""</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4" manualBreakCount="4">
    <brk id="106" max="16383" man="1"/>
    <brk id="178" max="16383" man="1"/>
    <brk id="251" max="16383" man="1"/>
    <brk id="305" max="16383" man="1"/>
  </rowBreaks>
  <extLst>
    <ext xmlns:x14="http://schemas.microsoft.com/office/spreadsheetml/2009/9/main" uri="{78C0D931-6437-407d-A8EE-F0AAD7539E65}">
      <x14:conditionalFormattings>
        <x14:conditionalFormatting xmlns:xm="http://schemas.microsoft.com/office/excel/2006/main">
          <x14:cfRule type="dataBar" id="{56F5A204-1639-408F-B8FB-5383BCCBCC42}">
            <x14:dataBar minLength="0" maxLength="100" negativeBarColorSameAsPositive="1" axisPosition="none">
              <x14:cfvo type="autoMin"/>
              <x14:cfvo type="autoMax"/>
            </x14:dataBar>
          </x14:cfRule>
          <x14:cfRule type="dataBar" id="{82FD773B-0EBF-4273-8A02-E2A0AE897771}">
            <x14:dataBar minLength="0" maxLength="100" negativeBarColorSameAsPositive="1">
              <x14:cfvo type="autoMin"/>
              <x14:cfvo type="autoMax"/>
              <x14:axisColor rgb="FF000000"/>
            </x14:dataBar>
          </x14:cfRule>
          <x14:cfRule type="dataBar" id="{7A6EC6A5-4F37-4F8D-8426-4AF6B9392D24}">
            <x14:dataBar minLength="0" maxLength="100">
              <x14:cfvo type="autoMin"/>
              <x14:cfvo type="autoMax"/>
              <x14:negativeFillColor rgb="FFFF0000"/>
              <x14:axisColor rgb="FF000000"/>
            </x14:dataBar>
          </x14:cfRule>
          <xm:sqref>H74:H99</xm:sqref>
        </x14:conditionalFormatting>
        <x14:conditionalFormatting xmlns:xm="http://schemas.microsoft.com/office/excel/2006/main">
          <x14:cfRule type="dataBar" id="{385F8170-75CF-4DD8-8753-626F665C51D5}">
            <x14:dataBar minLength="0" maxLength="100">
              <x14:cfvo type="autoMin"/>
              <x14:cfvo type="autoMax"/>
              <x14:negativeFillColor rgb="FFFF0000"/>
              <x14:axisColor rgb="FF000000"/>
            </x14:dataBar>
          </x14:cfRule>
          <xm:sqref>L12:L37</xm:sqref>
        </x14:conditionalFormatting>
        <x14:conditionalFormatting xmlns:xm="http://schemas.microsoft.com/office/excel/2006/main">
          <x14:cfRule type="dataBar" id="{C1A46532-0152-4E13-AE1A-A0CFE150916A}">
            <x14:dataBar minLength="0" maxLength="100">
              <x14:cfvo type="autoMin"/>
              <x14:cfvo type="autoMax"/>
              <x14:negativeFillColor rgb="FFFF0000"/>
              <x14:axisColor rgb="FF000000"/>
            </x14:dataBar>
          </x14:cfRule>
          <xm:sqref>P12:P37</xm:sqref>
        </x14:conditionalFormatting>
        <x14:conditionalFormatting xmlns:xm="http://schemas.microsoft.com/office/excel/2006/main">
          <x14:cfRule type="dataBar" id="{9A3F36C3-B6A4-46B8-A59C-951B6CB99F89}">
            <x14:dataBar minLength="0" maxLength="100" negativeBarColorSameAsPositive="1" axisPosition="none">
              <x14:cfvo type="autoMin"/>
              <x14:cfvo type="autoMax"/>
            </x14:dataBar>
          </x14:cfRule>
          <xm:sqref>H12:H37</xm:sqref>
        </x14:conditionalFormatting>
        <x14:conditionalFormatting xmlns:xm="http://schemas.microsoft.com/office/excel/2006/main">
          <x14:cfRule type="dataBar" id="{C454075B-3A96-438A-8562-3F601003DEFB}">
            <x14:dataBar minLength="0" maxLength="100">
              <x14:cfvo type="autoMin"/>
              <x14:cfvo type="autoMax"/>
              <x14:negativeFillColor rgb="FFFF0000"/>
              <x14:axisColor rgb="FF000000"/>
            </x14:dataBar>
          </x14:cfRule>
          <xm:sqref>L58:L67</xm:sqref>
        </x14:conditionalFormatting>
        <x14:conditionalFormatting xmlns:xm="http://schemas.microsoft.com/office/excel/2006/main">
          <x14:cfRule type="dataBar" id="{A2584790-3029-4687-A72D-AC0BC798340E}">
            <x14:dataBar minLength="0" maxLength="100">
              <x14:cfvo type="autoMin"/>
              <x14:cfvo type="autoMax"/>
              <x14:negativeFillColor rgb="FFFF0000"/>
              <x14:axisColor rgb="FF000000"/>
            </x14:dataBar>
          </x14:cfRule>
          <xm:sqref>P58:P67</xm:sqref>
        </x14:conditionalFormatting>
        <x14:conditionalFormatting xmlns:xm="http://schemas.microsoft.com/office/excel/2006/main">
          <x14:cfRule type="dataBar" id="{33476080-85B5-4A32-8F57-DEED616D1196}">
            <x14:dataBar minLength="0" maxLength="100" negativeBarColorSameAsPositive="1" axisPosition="none">
              <x14:cfvo type="autoMin"/>
              <x14:cfvo type="autoMax"/>
            </x14:dataBar>
          </x14:cfRule>
          <xm:sqref>H58:H67</xm:sqref>
        </x14:conditionalFormatting>
        <x14:conditionalFormatting xmlns:xm="http://schemas.microsoft.com/office/excel/2006/main">
          <x14:cfRule type="dataBar" id="{D06F4E77-7FB9-40A1-A324-CA06E7C3F922}">
            <x14:dataBar minLength="0" maxLength="100">
              <x14:cfvo type="autoMin"/>
              <x14:cfvo type="autoMax"/>
              <x14:negativeFillColor rgb="FFFF0000"/>
              <x14:axisColor rgb="FF000000"/>
            </x14:dataBar>
          </x14:cfRule>
          <xm:sqref>L89:L98</xm:sqref>
        </x14:conditionalFormatting>
        <x14:conditionalFormatting xmlns:xm="http://schemas.microsoft.com/office/excel/2006/main">
          <x14:cfRule type="dataBar" id="{ACB81BD2-8842-4B9A-8012-11BE1D3CFF40}">
            <x14:dataBar minLength="0" maxLength="100">
              <x14:cfvo type="autoMin"/>
              <x14:cfvo type="autoMax"/>
              <x14:negativeFillColor rgb="FFFF0000"/>
              <x14:axisColor rgb="FF000000"/>
            </x14:dataBar>
          </x14:cfRule>
          <xm:sqref>P89:P98</xm:sqref>
        </x14:conditionalFormatting>
        <x14:conditionalFormatting xmlns:xm="http://schemas.microsoft.com/office/excel/2006/main">
          <x14:cfRule type="dataBar" id="{12665026-F631-434C-B8EE-D17C79A86E25}">
            <x14:dataBar minLength="0" maxLength="100" negativeBarColorSameAsPositive="1" axisPosition="none">
              <x14:cfvo type="autoMin"/>
              <x14:cfvo type="autoMax"/>
            </x14:dataBar>
          </x14:cfRule>
          <xm:sqref>H89:H98</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BITRecon">
    <tabColor rgb="FF99FF66"/>
    <pageSetUpPr autoPageBreaks="0"/>
  </sheetPr>
  <dimension ref="A1:AG158"/>
  <sheetViews>
    <sheetView showGridLines="0" zoomScale="85" zoomScaleNormal="85" zoomScaleSheetLayoutView="85" workbookViewId="0"/>
  </sheetViews>
  <sheetFormatPr defaultColWidth="9.33203125" defaultRowHeight="12.95" customHeight="1"/>
  <cols>
    <col min="1" max="1" width="3.5" style="149" customWidth="1"/>
    <col min="2" max="2" width="3.83203125" style="149" customWidth="1"/>
    <col min="3" max="3" width="39.33203125" style="149" customWidth="1"/>
    <col min="4" max="4" width="5.33203125" style="149" customWidth="1"/>
    <col min="5" max="5" width="16.5" style="149" customWidth="1"/>
    <col min="6" max="15" width="12.83203125" style="149" customWidth="1"/>
    <col min="16" max="16" width="2.33203125" style="149" customWidth="1"/>
    <col min="17" max="17" width="14.83203125" style="149" customWidth="1"/>
    <col min="18" max="18" width="11.6640625" style="149" customWidth="1"/>
    <col min="19" max="19" width="8.83203125" style="149" customWidth="1"/>
    <col min="20" max="20" width="9.33203125" style="149"/>
    <col min="21" max="23" width="9.33203125" style="282"/>
    <col min="24" max="24" width="10.1640625" style="282" customWidth="1"/>
    <col min="25" max="25" width="10" style="282" customWidth="1"/>
    <col min="26" max="26" width="9.33203125" style="282"/>
    <col min="28" max="28" width="9.33203125" style="149"/>
    <col min="29" max="29" width="22.5" style="188" customWidth="1"/>
    <col min="30" max="16384" width="9.33203125" style="149"/>
  </cols>
  <sheetData>
    <row r="1" spans="1:33" ht="18" customHeight="1">
      <c r="A1" s="1557"/>
      <c r="B1" s="649">
        <f ca="1">SUMPRODUCT(--ISERROR($C$1:R144))+COUNTIF($C$1:R144,Fail)</f>
        <v>0</v>
      </c>
      <c r="C1" s="1372" t="str">
        <f>START!$C$1</f>
        <v>Client Name</v>
      </c>
      <c r="D1" s="172"/>
      <c r="E1" s="2060"/>
      <c r="F1" s="2060"/>
      <c r="G1" s="2060"/>
      <c r="H1" s="2060"/>
      <c r="I1" s="2060"/>
      <c r="J1" s="2060"/>
      <c r="K1" s="2060"/>
      <c r="L1" s="2060"/>
      <c r="M1" s="2060"/>
      <c r="N1" s="2060"/>
      <c r="O1" s="2060"/>
      <c r="P1" s="2060"/>
      <c r="Q1" s="172"/>
      <c r="R1" s="389" t="s">
        <v>1736</v>
      </c>
      <c r="S1" s="1518"/>
      <c r="T1" s="1508"/>
      <c r="U1" s="1508"/>
      <c r="V1" s="1508"/>
      <c r="W1" s="1508"/>
      <c r="X1" s="1508"/>
      <c r="Y1" s="1508"/>
      <c r="Z1" s="1508"/>
      <c r="AA1" s="2060"/>
      <c r="AB1" s="1508"/>
      <c r="AC1" s="1515"/>
      <c r="AD1" s="1508"/>
      <c r="AE1" s="1508"/>
      <c r="AF1" s="1508"/>
      <c r="AG1" s="1508"/>
    </row>
    <row r="2" spans="1:33" s="282" customFormat="1" ht="18" customHeight="1">
      <c r="A2" s="1557"/>
      <c r="B2" s="649"/>
      <c r="C2" s="1372" t="str">
        <f>START!$C$2</f>
        <v xml:space="preserve">Please enter project description in START worksheet cell G13 </v>
      </c>
      <c r="D2" s="172"/>
      <c r="E2" s="2060"/>
      <c r="F2" s="2060"/>
      <c r="G2" s="2060"/>
      <c r="H2" s="2060"/>
      <c r="I2" s="2060"/>
      <c r="J2" s="2060"/>
      <c r="K2" s="2060"/>
      <c r="L2" s="2060"/>
      <c r="M2" s="2060"/>
      <c r="N2" s="2060"/>
      <c r="O2" s="2060"/>
      <c r="P2" s="2060"/>
      <c r="Q2" s="172"/>
      <c r="R2" s="389"/>
      <c r="S2" s="1518"/>
      <c r="T2" s="1508"/>
      <c r="U2" s="1508"/>
      <c r="V2" s="1508"/>
      <c r="W2" s="1508"/>
      <c r="X2" s="1508"/>
      <c r="Y2" s="1508"/>
      <c r="Z2" s="1508"/>
      <c r="AA2" s="2060"/>
      <c r="AB2" s="1508"/>
      <c r="AC2" s="1515"/>
      <c r="AD2" s="1508"/>
      <c r="AE2" s="1508"/>
      <c r="AF2" s="1508"/>
      <c r="AG2" s="1508"/>
    </row>
    <row r="3" spans="1:33" ht="18" customHeight="1">
      <c r="A3" s="1518"/>
      <c r="B3" s="1518"/>
      <c r="C3" s="839" t="s">
        <v>1737</v>
      </c>
      <c r="D3" s="172"/>
      <c r="E3" s="2060"/>
      <c r="F3" s="2060"/>
      <c r="G3" s="2060"/>
      <c r="H3" s="2060"/>
      <c r="I3" s="2060"/>
      <c r="J3" s="2060"/>
      <c r="K3" s="2060"/>
      <c r="L3" s="2060"/>
      <c r="M3" s="2060"/>
      <c r="N3" s="2060"/>
      <c r="O3" s="2060"/>
      <c r="P3" s="2060"/>
      <c r="Q3" s="172"/>
      <c r="R3" s="1516"/>
      <c r="S3" s="1518"/>
      <c r="T3" s="1508"/>
      <c r="U3" s="1508"/>
      <c r="V3" s="1508"/>
      <c r="W3" s="1508"/>
      <c r="X3" s="1508"/>
      <c r="Y3" s="1508"/>
      <c r="Z3" s="1508"/>
      <c r="AA3" s="2060"/>
      <c r="AB3" s="1508"/>
      <c r="AC3" s="1515"/>
      <c r="AD3" s="1508"/>
      <c r="AE3" s="1508"/>
      <c r="AF3" s="1508"/>
      <c r="AG3" s="1508"/>
    </row>
    <row r="4" spans="1:33" ht="18" customHeight="1">
      <c r="A4" s="1518"/>
      <c r="B4" s="1518"/>
      <c r="C4" s="840" t="str">
        <f>ValDateHeading</f>
        <v>Estimation of value as of 28 February 2017</v>
      </c>
      <c r="D4" s="1508"/>
      <c r="E4" s="170"/>
      <c r="F4" s="170"/>
      <c r="G4" s="196"/>
      <c r="H4" s="197"/>
      <c r="I4" s="197"/>
      <c r="J4" s="2060"/>
      <c r="K4" s="2060"/>
      <c r="L4" s="2060"/>
      <c r="M4" s="1508"/>
      <c r="N4" s="1508"/>
      <c r="O4" s="1508"/>
      <c r="P4" s="1508"/>
      <c r="Q4" s="1508"/>
      <c r="R4" s="1508"/>
      <c r="S4" s="1518"/>
      <c r="T4" s="1508"/>
      <c r="U4" s="1508"/>
      <c r="V4" s="1508"/>
      <c r="W4" s="1508"/>
      <c r="X4" s="1508"/>
      <c r="Y4" s="1508"/>
      <c r="Z4" s="1508"/>
      <c r="AA4" s="2060"/>
      <c r="AB4" s="189" t="s">
        <v>1738</v>
      </c>
      <c r="AC4" s="190" t="s">
        <v>1739</v>
      </c>
      <c r="AD4" s="191"/>
      <c r="AE4" s="192" t="s">
        <v>217</v>
      </c>
      <c r="AF4" s="191"/>
      <c r="AG4" s="191"/>
    </row>
    <row r="5" spans="1:33" ht="18" customHeight="1">
      <c r="A5" s="1418"/>
      <c r="B5" s="1518"/>
      <c r="C5" s="769" t="str">
        <f>"In filing currency "&amp;ScaleInput</f>
        <v>In filing currency Millions</v>
      </c>
      <c r="D5" s="1508"/>
      <c r="E5" s="172"/>
      <c r="F5" s="172"/>
      <c r="G5" s="172"/>
      <c r="H5" s="172"/>
      <c r="I5" s="172"/>
      <c r="J5" s="2060"/>
      <c r="K5" s="2060"/>
      <c r="L5" s="2060"/>
      <c r="M5" s="2060"/>
      <c r="N5" s="1508"/>
      <c r="O5" s="1508"/>
      <c r="P5" s="1508"/>
      <c r="Q5" s="1508"/>
      <c r="R5" s="1508"/>
      <c r="S5" s="1518"/>
      <c r="T5" s="1508"/>
      <c r="U5" s="1508"/>
      <c r="V5" s="1508"/>
      <c r="W5" s="1508"/>
      <c r="X5" s="1508"/>
      <c r="Y5" s="1508"/>
      <c r="Z5" s="1508"/>
      <c r="AA5" s="2060"/>
      <c r="AB5" s="191"/>
      <c r="AC5" s="193"/>
      <c r="AD5" s="191">
        <v>2</v>
      </c>
      <c r="AE5" s="191"/>
      <c r="AF5" s="191"/>
      <c r="AG5" s="191"/>
    </row>
    <row r="6" spans="1:33" ht="13.9">
      <c r="A6" s="1413" t="str">
        <f>IF(MasterCheck,"Please check the "&amp;'Error Check'!$G$8,"")</f>
        <v/>
      </c>
      <c r="B6" s="1424"/>
      <c r="C6" s="1511"/>
      <c r="D6" s="2060"/>
      <c r="E6" s="2060"/>
      <c r="F6" s="2060"/>
      <c r="G6" s="2060"/>
      <c r="H6" s="2060"/>
      <c r="I6" s="2060"/>
      <c r="J6" s="2060"/>
      <c r="K6" s="2060"/>
      <c r="L6" s="2060"/>
      <c r="M6" s="2060"/>
      <c r="N6" s="2060"/>
      <c r="O6" s="2060"/>
      <c r="P6" s="2060"/>
      <c r="Q6" s="2060"/>
      <c r="R6" s="2060"/>
      <c r="S6" s="1518"/>
      <c r="T6" s="1506"/>
      <c r="U6" s="1506"/>
      <c r="V6" s="1506"/>
      <c r="W6" s="1506"/>
      <c r="X6" s="1506"/>
      <c r="Y6" s="1506"/>
      <c r="Z6" s="1506"/>
      <c r="AA6" s="2060"/>
      <c r="AB6" s="180" t="s">
        <v>705</v>
      </c>
      <c r="AC6" s="191">
        <v>2</v>
      </c>
      <c r="AD6" s="191">
        <v>2</v>
      </c>
      <c r="AE6" s="191"/>
      <c r="AF6" s="191"/>
      <c r="AG6" s="191"/>
    </row>
    <row r="7" spans="1:33" s="185" customFormat="1" ht="12.75" customHeight="1">
      <c r="A7" s="601"/>
      <c r="B7" s="1518"/>
      <c r="C7" s="2060"/>
      <c r="D7" s="1506"/>
      <c r="E7" s="1506"/>
      <c r="F7" s="1506"/>
      <c r="I7" s="1506"/>
      <c r="J7" s="2060"/>
      <c r="K7" s="2060"/>
      <c r="L7" s="2060"/>
      <c r="M7" s="1506"/>
      <c r="N7" s="1506"/>
      <c r="O7" s="1506"/>
      <c r="P7" s="1506"/>
      <c r="Q7" s="1506"/>
      <c r="R7" s="1506"/>
      <c r="S7" s="1518"/>
      <c r="T7" s="1506"/>
      <c r="U7" s="1506"/>
      <c r="V7" s="1506"/>
      <c r="W7" s="1506"/>
      <c r="X7" s="1506"/>
      <c r="Y7" s="1506"/>
      <c r="Z7" s="1506"/>
      <c r="AA7" s="2060"/>
      <c r="AB7" s="180" t="s">
        <v>704</v>
      </c>
      <c r="AC7" s="191"/>
      <c r="AD7" s="207" t="str">
        <f>CHOOSE(CBoxSet,"IQ_LTM","IQ_FY")</f>
        <v>IQ_FY</v>
      </c>
      <c r="AE7" s="180" t="str">
        <f>CHOOSE(CBoxSet,"LTM","LFY")</f>
        <v>LFY</v>
      </c>
      <c r="AF7" s="180" t="str">
        <f>CHOOSE(CBoxSet,"Last twelve months","Last fiscal year")</f>
        <v>Last fiscal year</v>
      </c>
      <c r="AG7" s="191"/>
    </row>
    <row r="8" spans="1:33" s="188" customFormat="1" ht="76.5" customHeight="1">
      <c r="A8" s="601"/>
      <c r="B8" s="1518"/>
      <c r="C8" s="2156"/>
      <c r="D8" s="2172" t="str">
        <f>"Exclude in EBIT for "&amp;EVorTIC&amp;" multiples"</f>
        <v>Exclude in EBIT for TIC multiples</v>
      </c>
      <c r="E8" s="2172"/>
      <c r="F8" s="1231" t="str">
        <f>'DATA GPC'!$E$20</f>
        <v>--</v>
      </c>
      <c r="G8" s="1231" t="str">
        <f>'DATA GPC'!$E$21</f>
        <v>--</v>
      </c>
      <c r="H8" s="1231" t="str">
        <f>'DATA GPC'!$E$22</f>
        <v>--</v>
      </c>
      <c r="I8" s="1231" t="str">
        <f>'DATA GPC'!$E$23</f>
        <v>--</v>
      </c>
      <c r="J8" s="1231" t="str">
        <f>'DATA GPC'!$E$24</f>
        <v>--</v>
      </c>
      <c r="K8" s="1231" t="str">
        <f>'DATA GPC'!$E$25</f>
        <v>--</v>
      </c>
      <c r="L8" s="1231" t="str">
        <f>'DATA GPC'!$E$26</f>
        <v>--</v>
      </c>
      <c r="M8" s="1231" t="str">
        <f>'DATA GPC'!$E$27</f>
        <v>--</v>
      </c>
      <c r="N8" s="1231" t="str">
        <f>'DATA GPC'!$E$28</f>
        <v>--</v>
      </c>
      <c r="O8" s="1231" t="str">
        <f>'DATA GPC'!$E$29</f>
        <v>--</v>
      </c>
      <c r="P8" s="494"/>
      <c r="Q8" s="494"/>
      <c r="R8" s="1515"/>
      <c r="S8" s="1518"/>
      <c r="T8" s="198"/>
      <c r="U8" s="198"/>
      <c r="V8" s="198"/>
      <c r="W8" s="198"/>
      <c r="X8" s="198"/>
      <c r="Y8" s="198"/>
      <c r="Z8" s="198"/>
      <c r="AA8" s="2060"/>
      <c r="AB8" s="193"/>
      <c r="AC8" s="193"/>
      <c r="AD8" s="193"/>
      <c r="AE8" s="193"/>
      <c r="AF8" s="193"/>
      <c r="AG8" s="193"/>
    </row>
    <row r="9" spans="1:33" ht="12.75" customHeight="1">
      <c r="A9" s="1518"/>
      <c r="B9" s="1518"/>
      <c r="C9" s="2060"/>
      <c r="D9" s="1232"/>
      <c r="E9" s="1232"/>
      <c r="F9" s="1233" t="str">
        <f>'WACC and TIC Inputs'!$G$129</f>
        <v>--</v>
      </c>
      <c r="G9" s="1233" t="str">
        <f>'WACC and TIC Inputs'!$G$130</f>
        <v>--</v>
      </c>
      <c r="H9" s="1233" t="str">
        <f>'WACC and TIC Inputs'!$G$131</f>
        <v>--</v>
      </c>
      <c r="I9" s="1233" t="str">
        <f>'WACC and TIC Inputs'!$G$132</f>
        <v>--</v>
      </c>
      <c r="J9" s="1233" t="str">
        <f>'WACC and TIC Inputs'!$G$133</f>
        <v>--</v>
      </c>
      <c r="K9" s="1233" t="str">
        <f>'WACC and TIC Inputs'!$G$134</f>
        <v>--</v>
      </c>
      <c r="L9" s="1233" t="str">
        <f>'WACC and TIC Inputs'!$G$135</f>
        <v>--</v>
      </c>
      <c r="M9" s="1233" t="str">
        <f>'WACC and TIC Inputs'!$G$136</f>
        <v>--</v>
      </c>
      <c r="N9" s="1233" t="str">
        <f>'WACC and TIC Inputs'!$G$137</f>
        <v>--</v>
      </c>
      <c r="O9" s="1233" t="str">
        <f>'WACC and TIC Inputs'!$G$138</f>
        <v>--</v>
      </c>
      <c r="P9" s="1558"/>
      <c r="Q9" s="1558"/>
      <c r="R9" s="1508"/>
      <c r="S9" s="1518"/>
      <c r="T9" s="198"/>
      <c r="U9" s="198"/>
      <c r="V9" s="198"/>
      <c r="W9" s="198"/>
      <c r="X9" s="198"/>
      <c r="Y9" s="198"/>
      <c r="Z9" s="198"/>
      <c r="AA9" s="2060"/>
      <c r="AB9" s="199"/>
      <c r="AC9" s="191"/>
      <c r="AD9" s="191"/>
      <c r="AE9" s="191"/>
      <c r="AF9" s="191"/>
      <c r="AG9" s="191"/>
    </row>
    <row r="10" spans="1:33" ht="12.75" customHeight="1">
      <c r="A10" s="1518"/>
      <c r="B10" s="1518"/>
      <c r="C10" s="1234" t="s">
        <v>1740</v>
      </c>
      <c r="D10" s="1235"/>
      <c r="E10" s="1235"/>
      <c r="F10" s="1236" t="str">
        <f>IF(F8="--","--",_xll.ciqfunctions.udf.CIQ(F9,"IQ_FILING_CURRENCY",2000,Valuation_Date_GC))</f>
        <v>--</v>
      </c>
      <c r="G10" s="1236" t="str">
        <f>IF(G8="--","--",_xll.ciqfunctions.udf.CIQ(G9,"IQ_FILING_CURRENCY",2000,Valuation_Date_GC))</f>
        <v>--</v>
      </c>
      <c r="H10" s="1236" t="str">
        <f>IF(H8="--","--",_xll.ciqfunctions.udf.CIQ(H9,"IQ_FILING_CURRENCY",2000,Valuation_Date_GC))</f>
        <v>--</v>
      </c>
      <c r="I10" s="1236" t="str">
        <f>IF(I8="--","--",_xll.ciqfunctions.udf.CIQ(I9,"IQ_FILING_CURRENCY",2000,Valuation_Date_GC))</f>
        <v>--</v>
      </c>
      <c r="J10" s="1236" t="str">
        <f>IF(J8="--","--",_xll.ciqfunctions.udf.CIQ(J9,"IQ_FILING_CURRENCY",2000,Valuation_Date_GC))</f>
        <v>--</v>
      </c>
      <c r="K10" s="1236" t="str">
        <f>IF(K8="--","--",_xll.ciqfunctions.udf.CIQ(K9,"IQ_FILING_CURRENCY",2000,Valuation_Date_GC))</f>
        <v>--</v>
      </c>
      <c r="L10" s="1236" t="str">
        <f>IF(L8="--","--",_xll.ciqfunctions.udf.CIQ(L9,"IQ_FILING_CURRENCY",2000,Valuation_Date_GC))</f>
        <v>--</v>
      </c>
      <c r="M10" s="1236" t="str">
        <f>IF(M8="--","--",_xll.ciqfunctions.udf.CIQ(M9,"IQ_FILING_CURRENCY",2000,Valuation_Date_GC))</f>
        <v>--</v>
      </c>
      <c r="N10" s="1236" t="str">
        <f>IF(N8="--","--",_xll.ciqfunctions.udf.CIQ(N9,"IQ_FILING_CURRENCY",2000,Valuation_Date_GC))</f>
        <v>--</v>
      </c>
      <c r="O10" s="1236" t="str">
        <f>IF(O8="--","--",_xll.ciqfunctions.udf.CIQ(O9,"IQ_FILING_CURRENCY",2000,Valuation_Date_GC))</f>
        <v>--</v>
      </c>
      <c r="P10" s="186"/>
      <c r="Q10" s="186"/>
      <c r="R10" s="1508"/>
      <c r="S10" s="1518"/>
      <c r="T10" s="1506"/>
      <c r="U10" s="1506"/>
      <c r="V10" s="1506"/>
      <c r="W10" s="1506"/>
      <c r="X10" s="1506"/>
      <c r="Y10" s="1506"/>
      <c r="Z10" s="1506"/>
      <c r="AA10" s="2060"/>
      <c r="AB10" s="180"/>
      <c r="AC10" s="191"/>
      <c r="AD10" s="191"/>
      <c r="AE10" s="191"/>
      <c r="AF10" s="191"/>
      <c r="AG10" s="191"/>
    </row>
    <row r="11" spans="1:33" ht="12.75" customHeight="1">
      <c r="A11" s="1518"/>
      <c r="B11" s="1518"/>
      <c r="C11" s="387"/>
      <c r="D11" s="496"/>
      <c r="E11" s="496"/>
      <c r="F11" s="1564"/>
      <c r="G11" s="461"/>
      <c r="H11" s="461"/>
      <c r="I11" s="1224"/>
      <c r="J11" s="1224"/>
      <c r="K11" s="1224"/>
      <c r="L11" s="1224"/>
      <c r="M11" s="1224"/>
      <c r="N11" s="1224"/>
      <c r="O11" s="1224"/>
      <c r="P11" s="1559"/>
      <c r="Q11" s="1559"/>
      <c r="R11" s="1508"/>
      <c r="S11" s="1518"/>
      <c r="T11" s="1506"/>
      <c r="U11" s="1506"/>
      <c r="V11" s="1506"/>
      <c r="W11" s="1506"/>
      <c r="X11" s="1506"/>
      <c r="Y11" s="1506"/>
      <c r="Z11" s="1506"/>
      <c r="AA11" s="2060"/>
      <c r="AB11" s="180"/>
      <c r="AC11" s="191"/>
      <c r="AD11" s="191"/>
      <c r="AE11" s="191"/>
      <c r="AF11" s="191"/>
      <c r="AG11" s="191"/>
    </row>
    <row r="12" spans="1:33" ht="15" customHeight="1">
      <c r="A12" s="1518"/>
      <c r="B12" s="1518"/>
      <c r="C12" s="462" t="str">
        <f>"Reported earnings before tax "&amp;$AE$7</f>
        <v>Reported earnings before tax LFY</v>
      </c>
      <c r="D12" s="1538"/>
      <c r="E12" s="1538"/>
      <c r="F12" s="391" t="str">
        <f>IF(F$9="","",IFERROR((_xll.ciqfunctions.udf.CIQ(F$9,$AC12,$AD$7,Valuation_date,ReportType,DataMode,F$10,FXMode)*Scale),"--"))</f>
        <v>--</v>
      </c>
      <c r="G12" s="391" t="str">
        <f>IF(G$9="","",IFERROR((_xll.ciqfunctions.udf.CIQ(G$9,$AC12,$AD$7,Valuation_date,ReportType,DataMode,G$10,FXMode)*Scale),"--"))</f>
        <v>--</v>
      </c>
      <c r="H12" s="391" t="str">
        <f>IF(H$9="","",IFERROR((_xll.ciqfunctions.udf.CIQ(H$9,$AC12,$AD$7,Valuation_date,ReportType,DataMode,H$10,FXMode)*Scale),"--"))</f>
        <v>--</v>
      </c>
      <c r="I12" s="391" t="str">
        <f>IF(I$9="","",IFERROR((_xll.ciqfunctions.udf.CIQ(I$9,$AC12,$AD$7,Valuation_date,ReportType,DataMode,I$10,FXMode)*Scale),"--"))</f>
        <v>--</v>
      </c>
      <c r="J12" s="391" t="str">
        <f>IF(J$9="","",IFERROR((_xll.ciqfunctions.udf.CIQ(J$9,$AC12,$AD$7,Valuation_date,ReportType,DataMode,J$10,FXMode)*Scale),"--"))</f>
        <v>--</v>
      </c>
      <c r="K12" s="391" t="str">
        <f>IF(K$9="","",IFERROR((_xll.ciqfunctions.udf.CIQ(K$9,$AC12,$AD$7,Valuation_date,ReportType,DataMode,K$10,FXMode)*Scale),"--"))</f>
        <v>--</v>
      </c>
      <c r="L12" s="391" t="str">
        <f>IF(L$9="","",IFERROR((_xll.ciqfunctions.udf.CIQ(L$9,$AC12,$AD$7,Valuation_date,ReportType,DataMode,L$10,FXMode)*Scale),"--"))</f>
        <v>--</v>
      </c>
      <c r="M12" s="391" t="str">
        <f>IF(M$9="","",IFERROR((_xll.ciqfunctions.udf.CIQ(M$9,$AC12,$AD$7,Valuation_date,ReportType,DataMode,M$10,FXMode)*Scale),"--"))</f>
        <v>--</v>
      </c>
      <c r="N12" s="391" t="str">
        <f>IF(N$9="","",IFERROR((_xll.ciqfunctions.udf.CIQ(N$9,$AC12,$AD$7,Valuation_date,ReportType,DataMode,N$10,FXMode)*Scale),"--"))</f>
        <v>--</v>
      </c>
      <c r="O12" s="391" t="str">
        <f>IF(O$9="","",IFERROR((_xll.ciqfunctions.udf.CIQ(O$9,$AC12,$AD$7,Valuation_date,ReportType,DataMode,O$10,FXMode)*Scale),"--"))</f>
        <v>--</v>
      </c>
      <c r="P12" s="391"/>
      <c r="Q12" s="391"/>
      <c r="R12" s="1508"/>
      <c r="S12" s="1518"/>
      <c r="T12" s="1506"/>
      <c r="U12" s="1506"/>
      <c r="V12" s="1506"/>
      <c r="W12" s="1506"/>
      <c r="X12" s="1506"/>
      <c r="Y12" s="1506"/>
      <c r="Z12" s="1506"/>
      <c r="AA12" s="2060"/>
      <c r="AB12" s="180"/>
      <c r="AC12" s="203" t="s">
        <v>797</v>
      </c>
      <c r="AD12" s="195"/>
      <c r="AE12" s="195"/>
      <c r="AF12" s="195"/>
      <c r="AG12" s="195"/>
    </row>
    <row r="13" spans="1:33" ht="12.75" customHeight="1">
      <c r="A13" s="969" t="str">
        <f t="shared" ref="A13:A21" si="0">IF(OR(MAX(F13:O13)&gt;Tolerance,MIN(F13:O13)&lt;-Tolerance),"","n")</f>
        <v>n</v>
      </c>
      <c r="B13" s="602"/>
      <c r="C13" s="497" t="s">
        <v>1741</v>
      </c>
      <c r="D13" s="2207"/>
      <c r="E13" s="1538"/>
      <c r="F13" s="391" t="str">
        <f>IF(F$9="","",IFERROR((_xll.ciqfunctions.udf.CIQ(F$9,$AC13,$AD$7,Valuation_date,ReportType,DataMode,F$10,FXMode)*Scale),"--"))</f>
        <v>--</v>
      </c>
      <c r="G13" s="391" t="str">
        <f>IF(G$9="","",IFERROR((_xll.ciqfunctions.udf.CIQ(G$9,$AC13,$AD$7,Valuation_date,ReportType,DataMode,G$10,FXMode)*Scale),"--"))</f>
        <v>--</v>
      </c>
      <c r="H13" s="391" t="str">
        <f>IF(H$9="","",IFERROR((_xll.ciqfunctions.udf.CIQ(H$9,$AC13,$AD$7,Valuation_date,ReportType,DataMode,H$10,FXMode)*Scale),"--"))</f>
        <v>--</v>
      </c>
      <c r="I13" s="391" t="str">
        <f>IF(I$9="","",IFERROR((_xll.ciqfunctions.udf.CIQ(I$9,$AC13,$AD$7,Valuation_date,ReportType,DataMode,I$10,FXMode)*Scale),"--"))</f>
        <v>--</v>
      </c>
      <c r="J13" s="391" t="str">
        <f>IF(J$9="","",IFERROR((_xll.ciqfunctions.udf.CIQ(J$9,$AC13,$AD$7,Valuation_date,ReportType,DataMode,J$10,FXMode)*Scale),"--"))</f>
        <v>--</v>
      </c>
      <c r="K13" s="391" t="str">
        <f>IF(K$9="","",IFERROR((_xll.ciqfunctions.udf.CIQ(K$9,$AC13,$AD$7,Valuation_date,ReportType,DataMode,K$10,FXMode)*Scale),"--"))</f>
        <v>--</v>
      </c>
      <c r="L13" s="391" t="str">
        <f>IF(L$9="","",IFERROR((_xll.ciqfunctions.udf.CIQ(L$9,$AC13,$AD$7,Valuation_date,ReportType,DataMode,L$10,FXMode)*Scale),"--"))</f>
        <v>--</v>
      </c>
      <c r="M13" s="391" t="str">
        <f>IF(M$9="","",IFERROR((_xll.ciqfunctions.udf.CIQ(M$9,$AC13,$AD$7,Valuation_date,ReportType,DataMode,M$10,FXMode)*Scale),"--"))</f>
        <v>--</v>
      </c>
      <c r="N13" s="391" t="str">
        <f>IF(N$9="","",IFERROR((_xll.ciqfunctions.udf.CIQ(N$9,$AC13,$AD$7,Valuation_date,ReportType,DataMode,N$10,FXMode)*Scale),"--"))</f>
        <v>--</v>
      </c>
      <c r="O13" s="391" t="str">
        <f>IF(O$9="","",IFERROR((_xll.ciqfunctions.udf.CIQ(O$9,$AC13,$AD$7,Valuation_date,ReportType,DataMode,O$10,FXMode)*Scale),"--"))</f>
        <v>--</v>
      </c>
      <c r="P13" s="391"/>
      <c r="Q13" s="391"/>
      <c r="R13" s="1508"/>
      <c r="S13" s="1518"/>
      <c r="T13" s="1506"/>
      <c r="U13" s="1506"/>
      <c r="V13" s="1506"/>
      <c r="W13" s="1506"/>
      <c r="X13" s="1506"/>
      <c r="Y13" s="1506"/>
      <c r="Z13" s="1506"/>
      <c r="AA13" s="2060"/>
      <c r="AB13" s="180"/>
      <c r="AC13" s="204" t="s">
        <v>1742</v>
      </c>
      <c r="AD13" s="191"/>
      <c r="AE13" s="191"/>
      <c r="AF13" s="191"/>
      <c r="AG13" s="191"/>
    </row>
    <row r="14" spans="1:33" ht="12.75" customHeight="1">
      <c r="A14" s="969" t="str">
        <f t="shared" si="0"/>
        <v>n</v>
      </c>
      <c r="B14" s="602"/>
      <c r="C14" s="497" t="s">
        <v>1743</v>
      </c>
      <c r="D14" s="2207"/>
      <c r="E14" s="614"/>
      <c r="F14" s="391" t="str">
        <f>IF(F$9="","",IFERROR((_xll.ciqfunctions.udf.CIQ(F$9,$AC14,$AD$7,Valuation_date,ReportType,DataMode,F$10,FXMode)*Scale),"--"))</f>
        <v>--</v>
      </c>
      <c r="G14" s="391" t="str">
        <f>IF(G$9="","",IFERROR((_xll.ciqfunctions.udf.CIQ(G$9,$AC14,$AD$7,Valuation_date,ReportType,DataMode,G$10,FXMode)*Scale),"--"))</f>
        <v>--</v>
      </c>
      <c r="H14" s="391" t="str">
        <f>IF(H$9="","",IFERROR((_xll.ciqfunctions.udf.CIQ(H$9,$AC14,$AD$7,Valuation_date,ReportType,DataMode,H$10,FXMode)*Scale),"--"))</f>
        <v>--</v>
      </c>
      <c r="I14" s="391" t="str">
        <f>IF(I$9="","",IFERROR((_xll.ciqfunctions.udf.CIQ(I$9,$AC14,$AD$7,Valuation_date,ReportType,DataMode,I$10,FXMode)*Scale),"--"))</f>
        <v>--</v>
      </c>
      <c r="J14" s="391" t="str">
        <f>IF(J$9="","",IFERROR((_xll.ciqfunctions.udf.CIQ(J$9,$AC14,$AD$7,Valuation_date,ReportType,DataMode,J$10,FXMode)*Scale),"--"))</f>
        <v>--</v>
      </c>
      <c r="K14" s="391" t="str">
        <f>IF(K$9="","",IFERROR((_xll.ciqfunctions.udf.CIQ(K$9,$AC14,$AD$7,Valuation_date,ReportType,DataMode,K$10,FXMode)*Scale),"--"))</f>
        <v>--</v>
      </c>
      <c r="L14" s="391" t="str">
        <f>IF(L$9="","",IFERROR((_xll.ciqfunctions.udf.CIQ(L$9,$AC14,$AD$7,Valuation_date,ReportType,DataMode,L$10,FXMode)*Scale),"--"))</f>
        <v>--</v>
      </c>
      <c r="M14" s="391" t="str">
        <f>IF(M$9="","",IFERROR((_xll.ciqfunctions.udf.CIQ(M$9,$AC14,$AD$7,Valuation_date,ReportType,DataMode,M$10,FXMode)*Scale),"--"))</f>
        <v>--</v>
      </c>
      <c r="N14" s="391" t="str">
        <f>IF(N$9="","",IFERROR((_xll.ciqfunctions.udf.CIQ(N$9,$AC14,$AD$7,Valuation_date,ReportType,DataMode,N$10,FXMode)*Scale),"--"))</f>
        <v>--</v>
      </c>
      <c r="O14" s="391" t="str">
        <f>IF(O$9="","",IFERROR((_xll.ciqfunctions.udf.CIQ(O$9,$AC14,$AD$7,Valuation_date,ReportType,DataMode,O$10,FXMode)*Scale),"--"))</f>
        <v>--</v>
      </c>
      <c r="P14" s="391" t="s">
        <v>1667</v>
      </c>
      <c r="Q14" s="391"/>
      <c r="R14" s="1508"/>
      <c r="S14" s="1518"/>
      <c r="T14" s="1506"/>
      <c r="U14" s="1506"/>
      <c r="V14" s="1506"/>
      <c r="W14" s="1506"/>
      <c r="X14" s="1506"/>
      <c r="Y14" s="1506"/>
      <c r="Z14" s="1506"/>
      <c r="AA14" s="2060"/>
      <c r="AB14" s="180"/>
      <c r="AC14" s="180" t="s">
        <v>1744</v>
      </c>
      <c r="AD14" s="191"/>
      <c r="AE14" s="191"/>
      <c r="AF14" s="191"/>
      <c r="AG14" s="191"/>
    </row>
    <row r="15" spans="1:33" ht="12.75" customHeight="1">
      <c r="A15" s="969" t="str">
        <f t="shared" si="0"/>
        <v>n</v>
      </c>
      <c r="B15" s="602"/>
      <c r="C15" s="497" t="s">
        <v>1745</v>
      </c>
      <c r="D15" s="2207"/>
      <c r="E15" s="614"/>
      <c r="F15" s="391" t="str">
        <f>IF(F$9="","",IFERROR((_xll.ciqfunctions.udf.CIQ(F$9,$AC15,$AD$7,Valuation_date,ReportType,DataMode,F$10,FXMode)*Scale),"--"))</f>
        <v>--</v>
      </c>
      <c r="G15" s="391" t="str">
        <f>IF(G$9="","",IFERROR((_xll.ciqfunctions.udf.CIQ(G$9,$AC15,$AD$7,Valuation_date,ReportType,DataMode,G$10,FXMode)*Scale),"--"))</f>
        <v>--</v>
      </c>
      <c r="H15" s="391" t="str">
        <f>IF(H$9="","",IFERROR((_xll.ciqfunctions.udf.CIQ(H$9,$AC15,$AD$7,Valuation_date,ReportType,DataMode,H$10,FXMode)*Scale),"--"))</f>
        <v>--</v>
      </c>
      <c r="I15" s="391" t="str">
        <f>IF(I$9="","",IFERROR((_xll.ciqfunctions.udf.CIQ(I$9,$AC15,$AD$7,Valuation_date,ReportType,DataMode,I$10,FXMode)*Scale),"--"))</f>
        <v>--</v>
      </c>
      <c r="J15" s="391" t="str">
        <f>IF(J$9="","",IFERROR((_xll.ciqfunctions.udf.CIQ(J$9,$AC15,$AD$7,Valuation_date,ReportType,DataMode,J$10,FXMode)*Scale),"--"))</f>
        <v>--</v>
      </c>
      <c r="K15" s="391" t="str">
        <f>IF(K$9="","",IFERROR((_xll.ciqfunctions.udf.CIQ(K$9,$AC15,$AD$7,Valuation_date,ReportType,DataMode,K$10,FXMode)*Scale),"--"))</f>
        <v>--</v>
      </c>
      <c r="L15" s="391" t="str">
        <f>IF(L$9="","",IFERROR((_xll.ciqfunctions.udf.CIQ(L$9,$AC15,$AD$7,Valuation_date,ReportType,DataMode,L$10,FXMode)*Scale),"--"))</f>
        <v>--</v>
      </c>
      <c r="M15" s="391" t="str">
        <f>IF(M$9="","",IFERROR((_xll.ciqfunctions.udf.CIQ(M$9,$AC15,$AD$7,Valuation_date,ReportType,DataMode,M$10,FXMode)*Scale),"--"))</f>
        <v>--</v>
      </c>
      <c r="N15" s="391" t="str">
        <f>IF(N$9="","",IFERROR((_xll.ciqfunctions.udf.CIQ(N$9,$AC15,$AD$7,Valuation_date,ReportType,DataMode,N$10,FXMode)*Scale),"--"))</f>
        <v>--</v>
      </c>
      <c r="O15" s="391" t="str">
        <f>IF(O$9="","",IFERROR((_xll.ciqfunctions.udf.CIQ(O$9,$AC15,$AD$7,Valuation_date,ReportType,DataMode,O$10,FXMode)*Scale),"--"))</f>
        <v>--</v>
      </c>
      <c r="P15" s="391"/>
      <c r="Q15" s="391"/>
      <c r="R15" s="1508"/>
      <c r="S15" s="1518"/>
      <c r="T15" s="1506"/>
      <c r="U15" s="1506"/>
      <c r="V15" s="1506"/>
      <c r="W15" s="1506"/>
      <c r="X15" s="1506"/>
      <c r="Y15" s="1506"/>
      <c r="Z15" s="1506"/>
      <c r="AA15" s="2060"/>
      <c r="AB15" s="180"/>
      <c r="AC15" s="180" t="s">
        <v>1746</v>
      </c>
      <c r="AD15" s="191"/>
      <c r="AE15" s="191"/>
      <c r="AF15" s="191"/>
      <c r="AG15" s="191"/>
    </row>
    <row r="16" spans="1:33" ht="12.75" customHeight="1">
      <c r="A16" s="969" t="str">
        <f t="shared" si="0"/>
        <v>n</v>
      </c>
      <c r="B16" s="602"/>
      <c r="C16" s="497" t="s">
        <v>1747</v>
      </c>
      <c r="D16" s="2207"/>
      <c r="E16" s="614"/>
      <c r="F16" s="391" t="str">
        <f>IF(F$9="","",IFERROR((_xll.ciqfunctions.udf.CIQ(F$9,$AC16,$AD$7,Valuation_date,ReportType,DataMode,F$10,FXMode)*Scale),"--"))</f>
        <v>--</v>
      </c>
      <c r="G16" s="391" t="str">
        <f>IF(G$9="","",IFERROR((_xll.ciqfunctions.udf.CIQ(G$9,$AC16,$AD$7,Valuation_date,ReportType,DataMode,G$10,FXMode)*Scale),"--"))</f>
        <v>--</v>
      </c>
      <c r="H16" s="391" t="str">
        <f>IF(H$9="","",IFERROR((_xll.ciqfunctions.udf.CIQ(H$9,$AC16,$AD$7,Valuation_date,ReportType,DataMode,H$10,FXMode)*Scale),"--"))</f>
        <v>--</v>
      </c>
      <c r="I16" s="391" t="str">
        <f>IF(I$9="","",IFERROR((_xll.ciqfunctions.udf.CIQ(I$9,$AC16,$AD$7,Valuation_date,ReportType,DataMode,I$10,FXMode)*Scale),"--"))</f>
        <v>--</v>
      </c>
      <c r="J16" s="391" t="str">
        <f>IF(J$9="","",IFERROR((_xll.ciqfunctions.udf.CIQ(J$9,$AC16,$AD$7,Valuation_date,ReportType,DataMode,J$10,FXMode)*Scale),"--"))</f>
        <v>--</v>
      </c>
      <c r="K16" s="391" t="str">
        <f>IF(K$9="","",IFERROR((_xll.ciqfunctions.udf.CIQ(K$9,$AC16,$AD$7,Valuation_date,ReportType,DataMode,K$10,FXMode)*Scale),"--"))</f>
        <v>--</v>
      </c>
      <c r="L16" s="391" t="str">
        <f>IF(L$9="","",IFERROR((_xll.ciqfunctions.udf.CIQ(L$9,$AC16,$AD$7,Valuation_date,ReportType,DataMode,L$10,FXMode)*Scale),"--"))</f>
        <v>--</v>
      </c>
      <c r="M16" s="391" t="str">
        <f>IF(M$9="","",IFERROR((_xll.ciqfunctions.udf.CIQ(M$9,$AC16,$AD$7,Valuation_date,ReportType,DataMode,M$10,FXMode)*Scale),"--"))</f>
        <v>--</v>
      </c>
      <c r="N16" s="391" t="str">
        <f>IF(N$9="","",IFERROR((_xll.ciqfunctions.udf.CIQ(N$9,$AC16,$AD$7,Valuation_date,ReportType,DataMode,N$10,FXMode)*Scale),"--"))</f>
        <v>--</v>
      </c>
      <c r="O16" s="391" t="str">
        <f>IF(O$9="","",IFERROR((_xll.ciqfunctions.udf.CIQ(O$9,$AC16,$AD$7,Valuation_date,ReportType,DataMode,O$10,FXMode)*Scale),"--"))</f>
        <v>--</v>
      </c>
      <c r="P16" s="391"/>
      <c r="Q16" s="391"/>
      <c r="R16" s="1508"/>
      <c r="S16" s="1518"/>
      <c r="T16" s="1506"/>
      <c r="U16" s="1506"/>
      <c r="V16" s="1506"/>
      <c r="W16" s="1506"/>
      <c r="X16" s="1506"/>
      <c r="Y16" s="1506"/>
      <c r="Z16" s="1506"/>
      <c r="AA16" s="2060"/>
      <c r="AB16" s="180"/>
      <c r="AC16" s="180" t="s">
        <v>1748</v>
      </c>
      <c r="AD16" s="191"/>
      <c r="AE16" s="191"/>
      <c r="AF16" s="191"/>
      <c r="AG16" s="191"/>
    </row>
    <row r="17" spans="1:33" ht="12.75" customHeight="1">
      <c r="A17" s="969" t="str">
        <f t="shared" si="0"/>
        <v>n</v>
      </c>
      <c r="B17" s="602"/>
      <c r="C17" s="497" t="s">
        <v>1749</v>
      </c>
      <c r="D17" s="2207"/>
      <c r="E17" s="614"/>
      <c r="F17" s="391" t="str">
        <f>IF(F$9="","",IFERROR((_xll.ciqfunctions.udf.CIQ(F$9,$AC17,$AD$7,Valuation_date,ReportType,DataMode,F$10,FXMode)*Scale),"--"))</f>
        <v>--</v>
      </c>
      <c r="G17" s="391" t="str">
        <f>IF(G$9="","",IFERROR((_xll.ciqfunctions.udf.CIQ(G$9,$AC17,$AD$7,Valuation_date,ReportType,DataMode,G$10,FXMode)*Scale),"--"))</f>
        <v>--</v>
      </c>
      <c r="H17" s="391" t="str">
        <f>IF(H$9="","",IFERROR((_xll.ciqfunctions.udf.CIQ(H$9,$AC17,$AD$7,Valuation_date,ReportType,DataMode,H$10,FXMode)*Scale),"--"))</f>
        <v>--</v>
      </c>
      <c r="I17" s="391" t="str">
        <f>IF(I$9="","",IFERROR((_xll.ciqfunctions.udf.CIQ(I$9,$AC17,$AD$7,Valuation_date,ReportType,DataMode,I$10,FXMode)*Scale),"--"))</f>
        <v>--</v>
      </c>
      <c r="J17" s="391" t="str">
        <f>IF(J$9="","",IFERROR((_xll.ciqfunctions.udf.CIQ(J$9,$AC17,$AD$7,Valuation_date,ReportType,DataMode,J$10,FXMode)*Scale),"--"))</f>
        <v>--</v>
      </c>
      <c r="K17" s="391" t="str">
        <f>IF(K$9="","",IFERROR((_xll.ciqfunctions.udf.CIQ(K$9,$AC17,$AD$7,Valuation_date,ReportType,DataMode,K$10,FXMode)*Scale),"--"))</f>
        <v>--</v>
      </c>
      <c r="L17" s="391" t="str">
        <f>IF(L$9="","",IFERROR((_xll.ciqfunctions.udf.CIQ(L$9,$AC17,$AD$7,Valuation_date,ReportType,DataMode,L$10,FXMode)*Scale),"--"))</f>
        <v>--</v>
      </c>
      <c r="M17" s="391" t="str">
        <f>IF(M$9="","",IFERROR((_xll.ciqfunctions.udf.CIQ(M$9,$AC17,$AD$7,Valuation_date,ReportType,DataMode,M$10,FXMode)*Scale),"--"))</f>
        <v>--</v>
      </c>
      <c r="N17" s="391" t="str">
        <f>IF(N$9="","",IFERROR((_xll.ciqfunctions.udf.CIQ(N$9,$AC17,$AD$7,Valuation_date,ReportType,DataMode,N$10,FXMode)*Scale),"--"))</f>
        <v>--</v>
      </c>
      <c r="O17" s="391" t="str">
        <f>IF(O$9="","",IFERROR((_xll.ciqfunctions.udf.CIQ(O$9,$AC17,$AD$7,Valuation_date,ReportType,DataMode,O$10,FXMode)*Scale),"--"))</f>
        <v>--</v>
      </c>
      <c r="P17" s="391"/>
      <c r="Q17" s="391"/>
      <c r="R17" s="1508"/>
      <c r="S17" s="1518"/>
      <c r="T17" s="1506"/>
      <c r="U17" s="1506"/>
      <c r="V17" s="1506"/>
      <c r="W17" s="1506"/>
      <c r="X17" s="1506"/>
      <c r="Y17" s="1506"/>
      <c r="Z17" s="1506"/>
      <c r="AA17" s="2060"/>
      <c r="AB17" s="180"/>
      <c r="AC17" s="180" t="s">
        <v>1750</v>
      </c>
      <c r="AD17" s="191"/>
      <c r="AE17" s="191"/>
      <c r="AF17" s="191"/>
      <c r="AG17" s="191"/>
    </row>
    <row r="18" spans="1:33" ht="12.75" customHeight="1">
      <c r="A18" s="969" t="str">
        <f t="shared" si="0"/>
        <v>n</v>
      </c>
      <c r="B18" s="602"/>
      <c r="C18" s="497" t="s">
        <v>1751</v>
      </c>
      <c r="D18" s="2207"/>
      <c r="E18" s="614"/>
      <c r="F18" s="391" t="str">
        <f>IF(F$9="","",IFERROR((_xll.ciqfunctions.udf.CIQ(F$9,$AC18,$AD$7,Valuation_date,ReportType,DataMode,F$10,FXMode)*Scale),"--"))</f>
        <v>--</v>
      </c>
      <c r="G18" s="391" t="str">
        <f>IF(G$9="","",IFERROR((_xll.ciqfunctions.udf.CIQ(G$9,$AC18,$AD$7,Valuation_date,ReportType,DataMode,G$10,FXMode)*Scale),"--"))</f>
        <v>--</v>
      </c>
      <c r="H18" s="391" t="str">
        <f>IF(H$9="","",IFERROR((_xll.ciqfunctions.udf.CIQ(H$9,$AC18,$AD$7,Valuation_date,ReportType,DataMode,H$10,FXMode)*Scale),"--"))</f>
        <v>--</v>
      </c>
      <c r="I18" s="391" t="str">
        <f>IF(I$9="","",IFERROR((_xll.ciqfunctions.udf.CIQ(I$9,$AC18,$AD$7,Valuation_date,ReportType,DataMode,I$10,FXMode)*Scale),"--"))</f>
        <v>--</v>
      </c>
      <c r="J18" s="391" t="str">
        <f>IF(J$9="","",IFERROR((_xll.ciqfunctions.udf.CIQ(J$9,$AC18,$AD$7,Valuation_date,ReportType,DataMode,J$10,FXMode)*Scale),"--"))</f>
        <v>--</v>
      </c>
      <c r="K18" s="391" t="str">
        <f>IF(K$9="","",IFERROR((_xll.ciqfunctions.udf.CIQ(K$9,$AC18,$AD$7,Valuation_date,ReportType,DataMode,K$10,FXMode)*Scale),"--"))</f>
        <v>--</v>
      </c>
      <c r="L18" s="391" t="str">
        <f>IF(L$9="","",IFERROR((_xll.ciqfunctions.udf.CIQ(L$9,$AC18,$AD$7,Valuation_date,ReportType,DataMode,L$10,FXMode)*Scale),"--"))</f>
        <v>--</v>
      </c>
      <c r="M18" s="391" t="str">
        <f>IF(M$9="","",IFERROR((_xll.ciqfunctions.udf.CIQ(M$9,$AC18,$AD$7,Valuation_date,ReportType,DataMode,M$10,FXMode)*Scale),"--"))</f>
        <v>--</v>
      </c>
      <c r="N18" s="391" t="str">
        <f>IF(N$9="","",IFERROR((_xll.ciqfunctions.udf.CIQ(N$9,$AC18,$AD$7,Valuation_date,ReportType,DataMode,N$10,FXMode)*Scale),"--"))</f>
        <v>--</v>
      </c>
      <c r="O18" s="391" t="str">
        <f>IF(O$9="","",IFERROR((_xll.ciqfunctions.udf.CIQ(O$9,$AC18,$AD$7,Valuation_date,ReportType,DataMode,O$10,FXMode)*Scale),"--"))</f>
        <v>--</v>
      </c>
      <c r="P18" s="391"/>
      <c r="Q18" s="391"/>
      <c r="R18" s="1508"/>
      <c r="S18" s="1518"/>
      <c r="T18" s="1506"/>
      <c r="U18" s="1506"/>
      <c r="V18" s="1506"/>
      <c r="W18" s="1506"/>
      <c r="X18" s="1506"/>
      <c r="Y18" s="1506"/>
      <c r="Z18" s="1506"/>
      <c r="AA18" s="2060"/>
      <c r="AB18" s="180"/>
      <c r="AC18" s="205" t="s">
        <v>1752</v>
      </c>
      <c r="AD18" s="191"/>
      <c r="AE18" s="191"/>
      <c r="AF18" s="191"/>
      <c r="AG18" s="191"/>
    </row>
    <row r="19" spans="1:33" ht="12.75" customHeight="1">
      <c r="A19" s="969" t="str">
        <f t="shared" si="0"/>
        <v>n</v>
      </c>
      <c r="B19" s="602"/>
      <c r="C19" s="497" t="s">
        <v>1753</v>
      </c>
      <c r="D19" s="2207"/>
      <c r="E19" s="614"/>
      <c r="F19" s="391" t="str">
        <f>IF(F$9="","",IFERROR((_xll.ciqfunctions.udf.CIQ(F$9,$AC19,$AD$7,Valuation_date,ReportType,DataMode,F$10,FXMode)*Scale),"--"))</f>
        <v>--</v>
      </c>
      <c r="G19" s="391" t="str">
        <f>IF(G$9="","",IFERROR((_xll.ciqfunctions.udf.CIQ(G$9,$AC19,$AD$7,Valuation_date,ReportType,DataMode,G$10,FXMode)*Scale),"--"))</f>
        <v>--</v>
      </c>
      <c r="H19" s="391" t="str">
        <f>IF(H$9="","",IFERROR((_xll.ciqfunctions.udf.CIQ(H$9,$AC19,$AD$7,Valuation_date,ReportType,DataMode,H$10,FXMode)*Scale),"--"))</f>
        <v>--</v>
      </c>
      <c r="I19" s="391" t="str">
        <f>IF(I$9="","",IFERROR((_xll.ciqfunctions.udf.CIQ(I$9,$AC19,$AD$7,Valuation_date,ReportType,DataMode,I$10,FXMode)*Scale),"--"))</f>
        <v>--</v>
      </c>
      <c r="J19" s="391" t="str">
        <f>IF(J$9="","",IFERROR((_xll.ciqfunctions.udf.CIQ(J$9,$AC19,$AD$7,Valuation_date,ReportType,DataMode,J$10,FXMode)*Scale),"--"))</f>
        <v>--</v>
      </c>
      <c r="K19" s="391" t="str">
        <f>IF(K$9="","",IFERROR((_xll.ciqfunctions.udf.CIQ(K$9,$AC19,$AD$7,Valuation_date,ReportType,DataMode,K$10,FXMode)*Scale),"--"))</f>
        <v>--</v>
      </c>
      <c r="L19" s="391" t="str">
        <f>IF(L$9="","",IFERROR((_xll.ciqfunctions.udf.CIQ(L$9,$AC19,$AD$7,Valuation_date,ReportType,DataMode,L$10,FXMode)*Scale),"--"))</f>
        <v>--</v>
      </c>
      <c r="M19" s="391" t="str">
        <f>IF(M$9="","",IFERROR((_xll.ciqfunctions.udf.CIQ(M$9,$AC19,$AD$7,Valuation_date,ReportType,DataMode,M$10,FXMode)*Scale),"--"))</f>
        <v>--</v>
      </c>
      <c r="N19" s="391" t="str">
        <f>IF(N$9="","",IFERROR((_xll.ciqfunctions.udf.CIQ(N$9,$AC19,$AD$7,Valuation_date,ReportType,DataMode,N$10,FXMode)*Scale),"--"))</f>
        <v>--</v>
      </c>
      <c r="O19" s="391" t="str">
        <f>IF(O$9="","",IFERROR((_xll.ciqfunctions.udf.CIQ(O$9,$AC19,$AD$7,Valuation_date,ReportType,DataMode,O$10,FXMode)*Scale),"--"))</f>
        <v>--</v>
      </c>
      <c r="P19" s="391"/>
      <c r="Q19" s="391"/>
      <c r="R19" s="1508"/>
      <c r="S19" s="1518"/>
      <c r="T19" s="1506"/>
      <c r="U19" s="1506"/>
      <c r="V19" s="1506"/>
      <c r="W19" s="1506"/>
      <c r="X19" s="1506"/>
      <c r="Y19" s="1506"/>
      <c r="Z19" s="1506"/>
      <c r="AA19" s="2060"/>
      <c r="AB19" s="180"/>
      <c r="AC19" s="180" t="s">
        <v>1754</v>
      </c>
      <c r="AD19" s="191"/>
      <c r="AE19" s="191"/>
      <c r="AF19" s="191"/>
      <c r="AG19" s="191"/>
    </row>
    <row r="20" spans="1:33" ht="12.75" customHeight="1">
      <c r="A20" s="969" t="str">
        <f t="shared" si="0"/>
        <v>n</v>
      </c>
      <c r="B20" s="602"/>
      <c r="C20" s="497" t="s">
        <v>1755</v>
      </c>
      <c r="D20" s="2207"/>
      <c r="E20" s="614"/>
      <c r="F20" s="391" t="str">
        <f>IF(F$9="","",IFERROR((_xll.ciqfunctions.udf.CIQ(F$9,$AC20,$AD$7,Valuation_date,ReportType,DataMode,F$10,FXMode)*Scale),"--"))</f>
        <v>--</v>
      </c>
      <c r="G20" s="391" t="str">
        <f>IF(G$9="","",IFERROR((_xll.ciqfunctions.udf.CIQ(G$9,$AC20,$AD$7,Valuation_date,ReportType,DataMode,G$10,FXMode)*Scale),"--"))</f>
        <v>--</v>
      </c>
      <c r="H20" s="391" t="str">
        <f>IF(H$9="","",IFERROR((_xll.ciqfunctions.udf.CIQ(H$9,$AC20,$AD$7,Valuation_date,ReportType,DataMode,H$10,FXMode)*Scale),"--"))</f>
        <v>--</v>
      </c>
      <c r="I20" s="391" t="str">
        <f>IF(I$9="","",IFERROR((_xll.ciqfunctions.udf.CIQ(I$9,$AC20,$AD$7,Valuation_date,ReportType,DataMode,I$10,FXMode)*Scale),"--"))</f>
        <v>--</v>
      </c>
      <c r="J20" s="391" t="str">
        <f>IF(J$9="","",IFERROR((_xll.ciqfunctions.udf.CIQ(J$9,$AC20,$AD$7,Valuation_date,ReportType,DataMode,J$10,FXMode)*Scale),"--"))</f>
        <v>--</v>
      </c>
      <c r="K20" s="391" t="str">
        <f>IF(K$9="","",IFERROR((_xll.ciqfunctions.udf.CIQ(K$9,$AC20,$AD$7,Valuation_date,ReportType,DataMode,K$10,FXMode)*Scale),"--"))</f>
        <v>--</v>
      </c>
      <c r="L20" s="391" t="str">
        <f>IF(L$9="","",IFERROR((_xll.ciqfunctions.udf.CIQ(L$9,$AC20,$AD$7,Valuation_date,ReportType,DataMode,L$10,FXMode)*Scale),"--"))</f>
        <v>--</v>
      </c>
      <c r="M20" s="391" t="str">
        <f>IF(M$9="","",IFERROR((_xll.ciqfunctions.udf.CIQ(M$9,$AC20,$AD$7,Valuation_date,ReportType,DataMode,M$10,FXMode)*Scale),"--"))</f>
        <v>--</v>
      </c>
      <c r="N20" s="391" t="str">
        <f>IF(N$9="","",IFERROR((_xll.ciqfunctions.udf.CIQ(N$9,$AC20,$AD$7,Valuation_date,ReportType,DataMode,N$10,FXMode)*Scale),"--"))</f>
        <v>--</v>
      </c>
      <c r="O20" s="391" t="str">
        <f>IF(O$9="","",IFERROR((_xll.ciqfunctions.udf.CIQ(O$9,$AC20,$AD$7,Valuation_date,ReportType,DataMode,O$10,FXMode)*Scale),"--"))</f>
        <v>--</v>
      </c>
      <c r="P20" s="391"/>
      <c r="Q20" s="391"/>
      <c r="R20" s="1508"/>
      <c r="S20" s="1518"/>
      <c r="T20" s="1506"/>
      <c r="U20" s="1506"/>
      <c r="V20" s="1506"/>
      <c r="W20" s="1506"/>
      <c r="X20" s="1506"/>
      <c r="Y20" s="1506"/>
      <c r="Z20" s="1506"/>
      <c r="AA20" s="2060"/>
      <c r="AB20" s="180"/>
      <c r="AC20" s="180" t="s">
        <v>1756</v>
      </c>
      <c r="AD20" s="191"/>
      <c r="AE20" s="191"/>
      <c r="AF20" s="191"/>
      <c r="AG20" s="191"/>
    </row>
    <row r="21" spans="1:33" s="151" customFormat="1" ht="12.75" customHeight="1">
      <c r="A21" s="969" t="str">
        <f t="shared" si="0"/>
        <v>n</v>
      </c>
      <c r="B21" s="602"/>
      <c r="C21" s="497" t="s">
        <v>1757</v>
      </c>
      <c r="D21" s="2207"/>
      <c r="E21" s="678"/>
      <c r="F21" s="391" t="str">
        <f>IF(F$9="","",IFERROR((_xll.ciqfunctions.udf.CIQ(F$9,$AC21,$AD$7,Valuation_date,ReportType,DataMode,F$10,FXMode)*Scale),"--"))</f>
        <v>--</v>
      </c>
      <c r="G21" s="391" t="str">
        <f>IF(G$9="","",IFERROR((_xll.ciqfunctions.udf.CIQ(G$9,$AC21,$AD$7,Valuation_date,ReportType,DataMode,G$10,FXMode)*Scale),"--"))</f>
        <v>--</v>
      </c>
      <c r="H21" s="391" t="str">
        <f>IF(H$9="","",IFERROR((_xll.ciqfunctions.udf.CIQ(H$9,$AC21,$AD$7,Valuation_date,ReportType,DataMode,H$10,FXMode)*Scale),"--"))</f>
        <v>--</v>
      </c>
      <c r="I21" s="391" t="str">
        <f>IF(I$9="","",IFERROR((_xll.ciqfunctions.udf.CIQ(I$9,$AC21,$AD$7,Valuation_date,ReportType,DataMode,I$10,FXMode)*Scale),"--"))</f>
        <v>--</v>
      </c>
      <c r="J21" s="391" t="str">
        <f>IF(J$9="","",IFERROR((_xll.ciqfunctions.udf.CIQ(J$9,$AC21,$AD$7,Valuation_date,ReportType,DataMode,J$10,FXMode)*Scale),"--"))</f>
        <v>--</v>
      </c>
      <c r="K21" s="391" t="str">
        <f>IF(K$9="","",IFERROR((_xll.ciqfunctions.udf.CIQ(K$9,$AC21,$AD$7,Valuation_date,ReportType,DataMode,K$10,FXMode)*Scale),"--"))</f>
        <v>--</v>
      </c>
      <c r="L21" s="391" t="str">
        <f>IF(L$9="","",IFERROR((_xll.ciqfunctions.udf.CIQ(L$9,$AC21,$AD$7,Valuation_date,ReportType,DataMode,L$10,FXMode)*Scale),"--"))</f>
        <v>--</v>
      </c>
      <c r="M21" s="391" t="str">
        <f>IF(M$9="","",IFERROR((_xll.ciqfunctions.udf.CIQ(M$9,$AC21,$AD$7,Valuation_date,ReportType,DataMode,M$10,FXMode)*Scale),"--"))</f>
        <v>--</v>
      </c>
      <c r="N21" s="391" t="str">
        <f>IF(N$9="","",IFERROR((_xll.ciqfunctions.udf.CIQ(N$9,$AC21,$AD$7,Valuation_date,ReportType,DataMode,N$10,FXMode)*Scale),"--"))</f>
        <v>--</v>
      </c>
      <c r="O21" s="391" t="str">
        <f>IF(O$9="","",IFERROR((_xll.ciqfunctions.udf.CIQ(O$9,$AC21,$AD$7,Valuation_date,ReportType,DataMode,O$10,FXMode)*Scale),"--"))</f>
        <v>--</v>
      </c>
      <c r="P21" s="391"/>
      <c r="Q21" s="391"/>
      <c r="S21" s="1518"/>
      <c r="T21" s="1506"/>
      <c r="U21" s="1506"/>
      <c r="V21" s="1506"/>
      <c r="W21" s="1506"/>
      <c r="X21" s="1506"/>
      <c r="Y21" s="1506"/>
      <c r="Z21" s="1506"/>
      <c r="AA21" s="2060"/>
      <c r="AB21" s="180"/>
      <c r="AC21" s="205" t="s">
        <v>1758</v>
      </c>
      <c r="AD21" s="191"/>
      <c r="AE21" s="191"/>
      <c r="AF21" s="191"/>
      <c r="AG21" s="191"/>
    </row>
    <row r="22" spans="1:33" s="151" customFormat="1" ht="12.75" customHeight="1">
      <c r="A22" s="1510"/>
      <c r="B22" s="602"/>
      <c r="C22" s="1237" t="str">
        <f>"Expected adjusted earnings before tax "&amp;$AE$7</f>
        <v>Expected adjusted earnings before tax LFY</v>
      </c>
      <c r="D22" s="1238"/>
      <c r="E22" s="1239"/>
      <c r="F22" s="1240" t="str">
        <f>IFERROR(F12-SUM(F13:F21),"--")</f>
        <v>--</v>
      </c>
      <c r="G22" s="1240" t="str">
        <f>IFERROR(G12-SUM(G13:G21),"--")</f>
        <v>--</v>
      </c>
      <c r="H22" s="1240" t="str">
        <f>IFERROR(H12-SUM(H13:H21),"--")</f>
        <v>--</v>
      </c>
      <c r="I22" s="1240" t="str">
        <f t="shared" ref="I22:O22" si="1">IFERROR(I12-SUM(I13:I21),"--")</f>
        <v>--</v>
      </c>
      <c r="J22" s="1240" t="str">
        <f t="shared" si="1"/>
        <v>--</v>
      </c>
      <c r="K22" s="1240" t="str">
        <f t="shared" si="1"/>
        <v>--</v>
      </c>
      <c r="L22" s="1240" t="str">
        <f t="shared" si="1"/>
        <v>--</v>
      </c>
      <c r="M22" s="1240" t="str">
        <f t="shared" si="1"/>
        <v>--</v>
      </c>
      <c r="N22" s="1240" t="str">
        <f t="shared" si="1"/>
        <v>--</v>
      </c>
      <c r="O22" s="1240" t="str">
        <f t="shared" si="1"/>
        <v>--</v>
      </c>
      <c r="P22" s="391"/>
      <c r="Q22" s="391"/>
      <c r="S22" s="1518"/>
      <c r="T22" s="1506"/>
      <c r="U22" s="1506"/>
      <c r="V22" s="1506"/>
      <c r="W22" s="1506"/>
      <c r="X22" s="1506"/>
      <c r="Y22" s="1506"/>
      <c r="Z22" s="1506"/>
      <c r="AA22" s="2060"/>
      <c r="AB22" s="180"/>
      <c r="AC22" s="205"/>
      <c r="AD22" s="191"/>
      <c r="AE22" s="191"/>
      <c r="AF22" s="191"/>
      <c r="AG22" s="191"/>
    </row>
    <row r="23" spans="1:33" s="151" customFormat="1" ht="12.75" customHeight="1">
      <c r="A23" s="1510"/>
      <c r="B23" s="602"/>
      <c r="C23" s="497"/>
      <c r="D23" s="498"/>
      <c r="E23" s="678"/>
      <c r="F23" s="391"/>
      <c r="G23" s="391"/>
      <c r="H23" s="391"/>
      <c r="I23" s="391"/>
      <c r="J23" s="391"/>
      <c r="K23" s="391"/>
      <c r="L23" s="391"/>
      <c r="M23" s="391"/>
      <c r="N23" s="391"/>
      <c r="O23" s="391"/>
      <c r="P23" s="391"/>
      <c r="Q23" s="391"/>
      <c r="S23" s="1518"/>
      <c r="T23" s="1506"/>
      <c r="U23" s="1506"/>
      <c r="V23" s="1506"/>
      <c r="W23" s="1506"/>
      <c r="X23" s="1506"/>
      <c r="Y23" s="1506"/>
      <c r="Z23" s="1506"/>
      <c r="AA23" s="2060"/>
      <c r="AB23" s="180"/>
      <c r="AC23" s="205"/>
      <c r="AD23" s="191"/>
      <c r="AE23" s="191"/>
      <c r="AF23" s="191"/>
      <c r="AG23" s="191"/>
    </row>
    <row r="24" spans="1:33" ht="12.75" customHeight="1">
      <c r="A24" s="969"/>
      <c r="B24" s="602"/>
      <c r="C24" s="1241" t="s">
        <v>1759</v>
      </c>
      <c r="D24" s="1242"/>
      <c r="E24" s="1243"/>
      <c r="F24" s="1244" t="str">
        <f>IFERROR(ROUND(F22-F26,4),"--")</f>
        <v>--</v>
      </c>
      <c r="G24" s="1244" t="str">
        <f t="shared" ref="G24:O24" si="2">IFERROR(ROUND(G22-G26,4),"--")</f>
        <v>--</v>
      </c>
      <c r="H24" s="1244" t="str">
        <f t="shared" si="2"/>
        <v>--</v>
      </c>
      <c r="I24" s="1244" t="str">
        <f t="shared" si="2"/>
        <v>--</v>
      </c>
      <c r="J24" s="1244" t="str">
        <f t="shared" si="2"/>
        <v>--</v>
      </c>
      <c r="K24" s="1244" t="str">
        <f t="shared" si="2"/>
        <v>--</v>
      </c>
      <c r="L24" s="1244" t="str">
        <f t="shared" si="2"/>
        <v>--</v>
      </c>
      <c r="M24" s="1244" t="str">
        <f t="shared" si="2"/>
        <v>--</v>
      </c>
      <c r="N24" s="1244" t="str">
        <f t="shared" si="2"/>
        <v>--</v>
      </c>
      <c r="O24" s="1244" t="str">
        <f t="shared" si="2"/>
        <v>--</v>
      </c>
      <c r="P24" s="391"/>
      <c r="Q24" s="499"/>
      <c r="R24" s="1508"/>
      <c r="S24" s="1518"/>
      <c r="T24" s="1506"/>
      <c r="U24" s="1506"/>
      <c r="V24" s="1506"/>
      <c r="W24" s="1506"/>
      <c r="X24" s="1506"/>
      <c r="Y24" s="1506"/>
      <c r="Z24" s="1506"/>
      <c r="AA24" s="2060"/>
      <c r="AB24" s="180"/>
      <c r="AC24" s="205"/>
      <c r="AD24" s="191"/>
      <c r="AE24" s="191"/>
      <c r="AF24" s="191"/>
      <c r="AG24" s="191"/>
    </row>
    <row r="25" spans="1:33" ht="12.75" customHeight="1">
      <c r="A25" s="1510"/>
      <c r="B25" s="602"/>
      <c r="C25" s="497"/>
      <c r="D25" s="1514"/>
      <c r="E25" s="1579"/>
      <c r="F25" s="499"/>
      <c r="G25" s="499"/>
      <c r="H25" s="499"/>
      <c r="I25" s="499"/>
      <c r="J25" s="499"/>
      <c r="K25" s="499"/>
      <c r="L25" s="499"/>
      <c r="M25" s="499"/>
      <c r="N25" s="499"/>
      <c r="O25" s="499"/>
      <c r="P25" s="391"/>
      <c r="Q25" s="499"/>
      <c r="R25" s="1508"/>
      <c r="S25" s="1518"/>
      <c r="T25" s="1506"/>
      <c r="U25" s="1506"/>
      <c r="V25" s="1506"/>
      <c r="W25" s="1506"/>
      <c r="X25" s="1506"/>
      <c r="Y25" s="1506"/>
      <c r="Z25" s="1506"/>
      <c r="AA25" s="2060"/>
      <c r="AB25" s="180"/>
      <c r="AC25" s="205"/>
      <c r="AD25" s="191"/>
      <c r="AE25" s="191"/>
      <c r="AF25" s="191"/>
      <c r="AG25" s="191"/>
    </row>
    <row r="26" spans="1:33" ht="12.75" customHeight="1">
      <c r="A26" s="969" t="str">
        <f t="shared" ref="A26:A31" si="3">IF(OR(MAX(F26:O26)&gt;Tolerance,MIN(F26:O26)&lt;-Tolerance),"","n")</f>
        <v>n</v>
      </c>
      <c r="B26" s="602"/>
      <c r="C26" s="495" t="str">
        <f>"Capital IQ earnings before tax "&amp;$AE$7</f>
        <v>Capital IQ earnings before tax LFY</v>
      </c>
      <c r="D26" s="2207"/>
      <c r="E26" s="612"/>
      <c r="F26" s="500" t="str">
        <f>IF(F$9="","",IFERROR((_xll.ciqfunctions.udf.CIQ(F$9,$AC26,$AD$7,Valuation_date,ReportType,DataMode,F$10,FXMode)*Scale),"--"))</f>
        <v>--</v>
      </c>
      <c r="G26" s="500" t="str">
        <f>IF(G$9="","",IFERROR((_xll.ciqfunctions.udf.CIQ(G$9,$AC26,$AD$7,Valuation_date,ReportType,DataMode,G$10,FXMode)*Scale),"--"))</f>
        <v>--</v>
      </c>
      <c r="H26" s="500" t="str">
        <f>IF(H$9="","",IFERROR((_xll.ciqfunctions.udf.CIQ(H$9,$AC26,$AD$7,Valuation_date,ReportType,DataMode,H$10,FXMode)*Scale),"--"))</f>
        <v>--</v>
      </c>
      <c r="I26" s="500" t="str">
        <f>IF(I$9="","",IFERROR((_xll.ciqfunctions.udf.CIQ(I$9,$AC26,$AD$7,Valuation_date,ReportType,DataMode,I$10,FXMode)*Scale),"--"))</f>
        <v>--</v>
      </c>
      <c r="J26" s="500" t="str">
        <f>IF(J$9="","",IFERROR((_xll.ciqfunctions.udf.CIQ(J$9,$AC26,$AD$7,Valuation_date,ReportType,DataMode,J$10,FXMode)*Scale),"--"))</f>
        <v>--</v>
      </c>
      <c r="K26" s="500" t="str">
        <f>IF(K$9="","",IFERROR((_xll.ciqfunctions.udf.CIQ(K$9,$AC26,$AD$7,Valuation_date,ReportType,DataMode,K$10,FXMode)*Scale),"--"))</f>
        <v>--</v>
      </c>
      <c r="L26" s="500" t="str">
        <f>IF(L$9="","",IFERROR((_xll.ciqfunctions.udf.CIQ(L$9,$AC26,$AD$7,Valuation_date,ReportType,DataMode,L$10,FXMode)*Scale),"--"))</f>
        <v>--</v>
      </c>
      <c r="M26" s="500" t="str">
        <f>IF(M$9="","",IFERROR((_xll.ciqfunctions.udf.CIQ(M$9,$AC26,$AD$7,Valuation_date,ReportType,DataMode,M$10,FXMode)*Scale),"--"))</f>
        <v>--</v>
      </c>
      <c r="N26" s="500" t="str">
        <f>IF(N$9="","",IFERROR((_xll.ciqfunctions.udf.CIQ(N$9,$AC26,$AD$7,Valuation_date,ReportType,DataMode,N$10,FXMode)*Scale),"--"))</f>
        <v>--</v>
      </c>
      <c r="O26" s="500" t="str">
        <f>IF(O$9="","",IFERROR((_xll.ciqfunctions.udf.CIQ(O$9,$AC26,$AD$7,Valuation_date,ReportType,DataMode,O$10,FXMode)*Scale),"--"))</f>
        <v>--</v>
      </c>
      <c r="P26" s="391"/>
      <c r="Q26" s="500"/>
      <c r="R26" s="1508"/>
      <c r="S26" s="1518"/>
      <c r="T26" s="1506"/>
      <c r="U26" s="1506"/>
      <c r="V26" s="1506"/>
      <c r="W26" s="1506"/>
      <c r="X26" s="1506"/>
      <c r="Y26" s="1506"/>
      <c r="Z26" s="1506"/>
      <c r="AA26" s="2060"/>
      <c r="AB26" s="180"/>
      <c r="AC26" s="205" t="s">
        <v>1760</v>
      </c>
      <c r="AD26" s="191"/>
      <c r="AE26" s="191"/>
      <c r="AF26" s="191"/>
      <c r="AG26" s="191"/>
    </row>
    <row r="27" spans="1:33" ht="12.75" customHeight="1">
      <c r="A27" s="969" t="str">
        <f t="shared" si="3"/>
        <v>n</v>
      </c>
      <c r="B27" s="1518"/>
      <c r="C27" s="497" t="s">
        <v>1761</v>
      </c>
      <c r="D27" s="2207"/>
      <c r="E27" s="614"/>
      <c r="F27" s="501" t="str">
        <f>IF(F$9="","",IFERROR(-(_xll.ciqfunctions.udf.CIQ(F$9,$AC27,$AD$7,Valuation_date,ReportType,DataMode,F$10,FXMode)*Scale),"--"))</f>
        <v>--</v>
      </c>
      <c r="G27" s="501" t="str">
        <f>IF(G$9="","",IFERROR(-(_xll.ciqfunctions.udf.CIQ(G$9,$AC27,$AD$7,Valuation_date,ReportType,DataMode,G$10,FXMode)*Scale),"--"))</f>
        <v>--</v>
      </c>
      <c r="H27" s="501" t="str">
        <f>IF(H$9="","",IFERROR(-(_xll.ciqfunctions.udf.CIQ(H$9,$AC27,$AD$7,Valuation_date,ReportType,DataMode,H$10,FXMode)*Scale),"--"))</f>
        <v>--</v>
      </c>
      <c r="I27" s="501" t="str">
        <f>IF(I$9="","",IFERROR(-(_xll.ciqfunctions.udf.CIQ(I$9,$AC27,$AD$7,Valuation_date,ReportType,DataMode,I$10,FXMode)*Scale),"--"))</f>
        <v>--</v>
      </c>
      <c r="J27" s="501" t="str">
        <f>IF(J$9="","",IFERROR(-(_xll.ciqfunctions.udf.CIQ(J$9,$AC27,$AD$7,Valuation_date,ReportType,DataMode,J$10,FXMode)*Scale),"--"))</f>
        <v>--</v>
      </c>
      <c r="K27" s="501" t="str">
        <f>IF(K$9="","",IFERROR(-(_xll.ciqfunctions.udf.CIQ(K$9,$AC27,$AD$7,Valuation_date,ReportType,DataMode,K$10,FXMode)*Scale),"--"))</f>
        <v>--</v>
      </c>
      <c r="L27" s="501" t="str">
        <f>IF(L$9="","",IFERROR(-(_xll.ciqfunctions.udf.CIQ(L$9,$AC27,$AD$7,Valuation_date,ReportType,DataMode,L$10,FXMode)*Scale),"--"))</f>
        <v>--</v>
      </c>
      <c r="M27" s="501" t="str">
        <f>IF(M$9="","",IFERROR(-(_xll.ciqfunctions.udf.CIQ(M$9,$AC27,$AD$7,Valuation_date,ReportType,DataMode,M$10,FXMode)*Scale),"--"))</f>
        <v>--</v>
      </c>
      <c r="N27" s="501" t="str">
        <f>IF(N$9="","",IFERROR(-(_xll.ciqfunctions.udf.CIQ(N$9,$AC27,$AD$7,Valuation_date,ReportType,DataMode,N$10,FXMode)*Scale),"--"))</f>
        <v>--</v>
      </c>
      <c r="O27" s="501" t="str">
        <f>IF(O$9="","",IFERROR(-(_xll.ciqfunctions.udf.CIQ(O$9,$AC27,$AD$7,Valuation_date,ReportType,DataMode,O$10,FXMode)*Scale),"--"))</f>
        <v>--</v>
      </c>
      <c r="P27" s="501"/>
      <c r="Q27" s="501"/>
      <c r="R27" s="1508"/>
      <c r="S27" s="1518"/>
      <c r="T27" s="1508"/>
      <c r="U27" s="1508"/>
      <c r="V27" s="1508"/>
      <c r="W27" s="1508"/>
      <c r="X27" s="1508"/>
      <c r="Y27" s="1508"/>
      <c r="Z27" s="1508"/>
      <c r="AA27" s="2060"/>
      <c r="AB27" s="180"/>
      <c r="AC27" s="205" t="s">
        <v>1762</v>
      </c>
      <c r="AD27" s="191"/>
      <c r="AE27" s="191"/>
      <c r="AF27" s="191"/>
      <c r="AG27" s="191"/>
    </row>
    <row r="28" spans="1:33" ht="12.75" customHeight="1">
      <c r="A28" s="969" t="str">
        <f t="shared" si="3"/>
        <v>n</v>
      </c>
      <c r="B28" s="1518"/>
      <c r="C28" s="497" t="s">
        <v>1763</v>
      </c>
      <c r="D28" s="2207"/>
      <c r="E28" s="1567"/>
      <c r="F28" s="501" t="str">
        <f>IF(F$9="","",IFERROR(-(_xll.ciqfunctions.udf.CIQ(F$9,$AC28,$AD$7,Valuation_date,ReportType,DataMode,F$10,FXMode)*Scale),"--"))</f>
        <v>--</v>
      </c>
      <c r="G28" s="501" t="str">
        <f>IF(G$9="","",IFERROR(-(_xll.ciqfunctions.udf.CIQ(G$9,$AC28,$AD$7,Valuation_date,ReportType,DataMode,G$10,FXMode)*Scale),"--"))</f>
        <v>--</v>
      </c>
      <c r="H28" s="501" t="str">
        <f>IF(H$9="","",IFERROR(-(_xll.ciqfunctions.udf.CIQ(H$9,$AC28,$AD$7,Valuation_date,ReportType,DataMode,H$10,FXMode)*Scale),"--"))</f>
        <v>--</v>
      </c>
      <c r="I28" s="501" t="str">
        <f>IF(I$9="","",IFERROR(-(_xll.ciqfunctions.udf.CIQ(I$9,$AC28,$AD$7,Valuation_date,ReportType,DataMode,I$10,FXMode)*Scale),"--"))</f>
        <v>--</v>
      </c>
      <c r="J28" s="501" t="str">
        <f>IF(J$9="","",IFERROR(-(_xll.ciqfunctions.udf.CIQ(J$9,$AC28,$AD$7,Valuation_date,ReportType,DataMode,J$10,FXMode)*Scale),"--"))</f>
        <v>--</v>
      </c>
      <c r="K28" s="501" t="str">
        <f>IF(K$9="","",IFERROR(-(_xll.ciqfunctions.udf.CIQ(K$9,$AC28,$AD$7,Valuation_date,ReportType,DataMode,K$10,FXMode)*Scale),"--"))</f>
        <v>--</v>
      </c>
      <c r="L28" s="501" t="str">
        <f>IF(L$9="","",IFERROR(-(_xll.ciqfunctions.udf.CIQ(L$9,$AC28,$AD$7,Valuation_date,ReportType,DataMode,L$10,FXMode)*Scale),"--"))</f>
        <v>--</v>
      </c>
      <c r="M28" s="501" t="str">
        <f>IF(M$9="","",IFERROR(-(_xll.ciqfunctions.udf.CIQ(M$9,$AC28,$AD$7,Valuation_date,ReportType,DataMode,M$10,FXMode)*Scale),"--"))</f>
        <v>--</v>
      </c>
      <c r="N28" s="501" t="str">
        <f>IF(N$9="","",IFERROR(-(_xll.ciqfunctions.udf.CIQ(N$9,$AC28,$AD$7,Valuation_date,ReportType,DataMode,N$10,FXMode)*Scale),"--"))</f>
        <v>--</v>
      </c>
      <c r="O28" s="501" t="str">
        <f>IF(O$9="","",IFERROR(-(_xll.ciqfunctions.udf.CIQ(O$9,$AC28,$AD$7,Valuation_date,ReportType,DataMode,O$10,FXMode)*Scale),"--"))</f>
        <v>--</v>
      </c>
      <c r="P28" s="501"/>
      <c r="Q28" s="501"/>
      <c r="R28" s="1508"/>
      <c r="S28" s="1518"/>
      <c r="T28" s="1506"/>
      <c r="U28" s="1506"/>
      <c r="V28" s="1506"/>
      <c r="W28" s="1506"/>
      <c r="X28" s="1506"/>
      <c r="Y28" s="1506"/>
      <c r="Z28" s="1506"/>
      <c r="AA28" s="2060"/>
      <c r="AB28" s="180"/>
      <c r="AC28" s="205" t="s">
        <v>1764</v>
      </c>
      <c r="AD28" s="191"/>
      <c r="AE28" s="191"/>
      <c r="AF28" s="191"/>
      <c r="AG28" s="191"/>
    </row>
    <row r="29" spans="1:33" ht="12.75" customHeight="1">
      <c r="A29" s="969" t="str">
        <f t="shared" si="3"/>
        <v>n</v>
      </c>
      <c r="B29" s="1518"/>
      <c r="C29" s="497" t="s">
        <v>1765</v>
      </c>
      <c r="D29" s="2207"/>
      <c r="E29" s="612"/>
      <c r="F29" s="501" t="str">
        <f>IF(F$9="","",IFERROR(-(_xll.ciqfunctions.udf.CIQ(F$9,$AC29,$AD$7,Valuation_date,ReportType,DataMode,F$10,FXMode)*Scale),"--"))</f>
        <v>--</v>
      </c>
      <c r="G29" s="501" t="str">
        <f>IF(G$9="","",IFERROR(-(_xll.ciqfunctions.udf.CIQ(G$9,$AC29,$AD$7,Valuation_date,ReportType,DataMode,G$10,FXMode)*Scale),"--"))</f>
        <v>--</v>
      </c>
      <c r="H29" s="501" t="str">
        <f>IF(H$9="","",IFERROR(-(_xll.ciqfunctions.udf.CIQ(H$9,$AC29,$AD$7,Valuation_date,ReportType,DataMode,H$10,FXMode)*Scale),"--"))</f>
        <v>--</v>
      </c>
      <c r="I29" s="501" t="str">
        <f>IF(I$9="","",IFERROR(-(_xll.ciqfunctions.udf.CIQ(I$9,$AC29,$AD$7,Valuation_date,ReportType,DataMode,I$10,FXMode)*Scale),"--"))</f>
        <v>--</v>
      </c>
      <c r="J29" s="501" t="str">
        <f>IF(J$9="","",IFERROR(-(_xll.ciqfunctions.udf.CIQ(J$9,$AC29,$AD$7,Valuation_date,ReportType,DataMode,J$10,FXMode)*Scale),"--"))</f>
        <v>--</v>
      </c>
      <c r="K29" s="501" t="str">
        <f>IF(K$9="","",IFERROR(-(_xll.ciqfunctions.udf.CIQ(K$9,$AC29,$AD$7,Valuation_date,ReportType,DataMode,K$10,FXMode)*Scale),"--"))</f>
        <v>--</v>
      </c>
      <c r="L29" s="501" t="str">
        <f>IF(L$9="","",IFERROR(-(_xll.ciqfunctions.udf.CIQ(L$9,$AC29,$AD$7,Valuation_date,ReportType,DataMode,L$10,FXMode)*Scale),"--"))</f>
        <v>--</v>
      </c>
      <c r="M29" s="501" t="str">
        <f>IF(M$9="","",IFERROR(-(_xll.ciqfunctions.udf.CIQ(M$9,$AC29,$AD$7,Valuation_date,ReportType,DataMode,M$10,FXMode)*Scale),"--"))</f>
        <v>--</v>
      </c>
      <c r="N29" s="501" t="str">
        <f>IF(N$9="","",IFERROR(-(_xll.ciqfunctions.udf.CIQ(N$9,$AC29,$AD$7,Valuation_date,ReportType,DataMode,N$10,FXMode)*Scale),"--"))</f>
        <v>--</v>
      </c>
      <c r="O29" s="501" t="str">
        <f>IF(O$9="","",IFERROR(-(_xll.ciqfunctions.udf.CIQ(O$9,$AC29,$AD$7,Valuation_date,ReportType,DataMode,O$10,FXMode)*Scale),"--"))</f>
        <v>--</v>
      </c>
      <c r="P29" s="501"/>
      <c r="Q29" s="501"/>
      <c r="R29" s="1508"/>
      <c r="S29" s="1518"/>
      <c r="T29" s="1506"/>
      <c r="U29" s="1506"/>
      <c r="V29" s="1506"/>
      <c r="W29" s="1506"/>
      <c r="X29" s="1506"/>
      <c r="Y29" s="1506"/>
      <c r="Z29" s="1506"/>
      <c r="AA29" s="2060"/>
      <c r="AB29" s="180"/>
      <c r="AC29" s="205" t="s">
        <v>1766</v>
      </c>
      <c r="AD29" s="191"/>
      <c r="AE29" s="191"/>
      <c r="AF29" s="191"/>
      <c r="AG29" s="191"/>
    </row>
    <row r="30" spans="1:33" ht="12.75" customHeight="1">
      <c r="A30" s="969" t="str">
        <f t="shared" si="3"/>
        <v>n</v>
      </c>
      <c r="B30" s="1518"/>
      <c r="C30" s="497" t="s">
        <v>1767</v>
      </c>
      <c r="D30" s="2207"/>
      <c r="E30" s="672"/>
      <c r="F30" s="501" t="str">
        <f>IF(F$9="","",IFERROR(-(_xll.ciqfunctions.udf.CIQ(F$9,$AC30,$AD$7,Valuation_date,ReportType,DataMode,F$10,FXMode)*Scale),"--"))</f>
        <v>--</v>
      </c>
      <c r="G30" s="501" t="str">
        <f>IF(G$9="","",IFERROR(-(_xll.ciqfunctions.udf.CIQ(G$9,$AC30,$AD$7,Valuation_date,ReportType,DataMode,G$10,FXMode)*Scale),"--"))</f>
        <v>--</v>
      </c>
      <c r="H30" s="501" t="str">
        <f>IF(H$9="","",IFERROR(-(_xll.ciqfunctions.udf.CIQ(H$9,$AC30,$AD$7,Valuation_date,ReportType,DataMode,H$10,FXMode)*Scale),"--"))</f>
        <v>--</v>
      </c>
      <c r="I30" s="501" t="str">
        <f>IF(I$9="","",IFERROR(-(_xll.ciqfunctions.udf.CIQ(I$9,$AC30,$AD$7,Valuation_date,ReportType,DataMode,I$10,FXMode)*Scale),"--"))</f>
        <v>--</v>
      </c>
      <c r="J30" s="501" t="str">
        <f>IF(J$9="","",IFERROR(-(_xll.ciqfunctions.udf.CIQ(J$9,$AC30,$AD$7,Valuation_date,ReportType,DataMode,J$10,FXMode)*Scale),"--"))</f>
        <v>--</v>
      </c>
      <c r="K30" s="501" t="str">
        <f>IF(K$9="","",IFERROR(-(_xll.ciqfunctions.udf.CIQ(K$9,$AC30,$AD$7,Valuation_date,ReportType,DataMode,K$10,FXMode)*Scale),"--"))</f>
        <v>--</v>
      </c>
      <c r="L30" s="501" t="str">
        <f>IF(L$9="","",IFERROR(-(_xll.ciqfunctions.udf.CIQ(L$9,$AC30,$AD$7,Valuation_date,ReportType,DataMode,L$10,FXMode)*Scale),"--"))</f>
        <v>--</v>
      </c>
      <c r="M30" s="501" t="str">
        <f>IF(M$9="","",IFERROR(-(_xll.ciqfunctions.udf.CIQ(M$9,$AC30,$AD$7,Valuation_date,ReportType,DataMode,M$10,FXMode)*Scale),"--"))</f>
        <v>--</v>
      </c>
      <c r="N30" s="501" t="str">
        <f>IF(N$9="","",IFERROR(-(_xll.ciqfunctions.udf.CIQ(N$9,$AC30,$AD$7,Valuation_date,ReportType,DataMode,N$10,FXMode)*Scale),"--"))</f>
        <v>--</v>
      </c>
      <c r="O30" s="501" t="str">
        <f>IF(O$9="","",IFERROR(-(_xll.ciqfunctions.udf.CIQ(O$9,$AC30,$AD$7,Valuation_date,ReportType,DataMode,O$10,FXMode)*Scale),"--"))</f>
        <v>--</v>
      </c>
      <c r="P30" s="501"/>
      <c r="Q30" s="501"/>
      <c r="R30" s="1508"/>
      <c r="S30" s="1518"/>
      <c r="T30" s="1506"/>
      <c r="U30" s="1506"/>
      <c r="V30" s="1506"/>
      <c r="W30" s="1506"/>
      <c r="X30" s="1506"/>
      <c r="Y30" s="1506"/>
      <c r="Z30" s="1506"/>
      <c r="AA30" s="2060"/>
      <c r="AB30" s="180"/>
      <c r="AC30" s="205" t="s">
        <v>1768</v>
      </c>
      <c r="AD30" s="191"/>
      <c r="AE30" s="191"/>
      <c r="AF30" s="191"/>
      <c r="AG30" s="191"/>
    </row>
    <row r="31" spans="1:33" ht="12.75" customHeight="1">
      <c r="A31" s="969" t="str">
        <f t="shared" si="3"/>
        <v>n</v>
      </c>
      <c r="B31" s="1518"/>
      <c r="C31" s="1245" t="str">
        <f>"Expected adjusted EBIT "&amp;$AE$7</f>
        <v>Expected adjusted EBIT LFY</v>
      </c>
      <c r="D31" s="1246"/>
      <c r="E31" s="1247"/>
      <c r="F31" s="1248">
        <f>SUM(F26:F30)</f>
        <v>0</v>
      </c>
      <c r="G31" s="1248">
        <f t="shared" ref="G31:N31" si="4">SUM(G26:G30)</f>
        <v>0</v>
      </c>
      <c r="H31" s="1248">
        <f t="shared" si="4"/>
        <v>0</v>
      </c>
      <c r="I31" s="1248">
        <f t="shared" si="4"/>
        <v>0</v>
      </c>
      <c r="J31" s="1248">
        <f t="shared" si="4"/>
        <v>0</v>
      </c>
      <c r="K31" s="1248">
        <f>SUM(K26:K30)</f>
        <v>0</v>
      </c>
      <c r="L31" s="1248">
        <f t="shared" si="4"/>
        <v>0</v>
      </c>
      <c r="M31" s="1248">
        <f t="shared" si="4"/>
        <v>0</v>
      </c>
      <c r="N31" s="1248">
        <f t="shared" si="4"/>
        <v>0</v>
      </c>
      <c r="O31" s="1248" t="str">
        <f>IF(SUM(O26:O30),SUM(O26:O30),"--")</f>
        <v>--</v>
      </c>
      <c r="P31" s="1248"/>
      <c r="Q31" s="500"/>
      <c r="R31" s="1508"/>
      <c r="S31" s="1518"/>
      <c r="T31" s="1506"/>
      <c r="U31" s="1506"/>
      <c r="V31" s="1506"/>
      <c r="W31" s="1506"/>
      <c r="X31" s="1506"/>
      <c r="Y31" s="1506"/>
      <c r="Z31" s="1506"/>
      <c r="AA31" s="2060"/>
      <c r="AB31" s="1506"/>
      <c r="AC31" s="1515"/>
      <c r="AD31" s="1508"/>
      <c r="AE31" s="1508"/>
      <c r="AF31" s="1508"/>
      <c r="AG31" s="1508"/>
    </row>
    <row r="32" spans="1:33" ht="15.6">
      <c r="A32" s="1518"/>
      <c r="B32" s="1518"/>
      <c r="C32" s="461"/>
      <c r="D32" s="1249"/>
      <c r="E32" s="1250"/>
      <c r="F32" s="413"/>
      <c r="G32" s="1555"/>
      <c r="H32" s="1555"/>
      <c r="I32" s="1555"/>
      <c r="J32" s="1555"/>
      <c r="K32" s="1555"/>
      <c r="L32" s="1555"/>
      <c r="M32" s="1555"/>
      <c r="N32" s="1555"/>
      <c r="O32" s="1555"/>
      <c r="P32" s="1555"/>
      <c r="Q32" s="1555"/>
      <c r="R32" s="1508"/>
      <c r="S32" s="1518"/>
      <c r="T32" s="1506"/>
      <c r="U32" s="1506"/>
      <c r="V32" s="1506"/>
      <c r="W32" s="1506"/>
      <c r="X32" s="1506"/>
      <c r="Y32" s="1506"/>
      <c r="Z32" s="1506"/>
      <c r="AA32" s="2060"/>
      <c r="AB32" s="1506"/>
      <c r="AC32" s="1515"/>
      <c r="AD32" s="1508"/>
      <c r="AE32" s="1508"/>
      <c r="AF32" s="1508"/>
      <c r="AG32" s="1508"/>
    </row>
    <row r="33" spans="1:33" ht="15" customHeight="1">
      <c r="A33" s="1518"/>
      <c r="B33" s="1518"/>
      <c r="C33" s="1251" t="str">
        <f>"Capital IQ EBIT "&amp;$AE$7</f>
        <v>Capital IQ EBIT LFY</v>
      </c>
      <c r="D33" s="1252"/>
      <c r="E33" s="1253"/>
      <c r="F33" s="1254" t="str">
        <f>IFERROR(IF(F9="--","--",IFERROR(_xll.ciqfunctions.udf.CIQ(F9,"IQ_EBIT",$AD$7,Valuation_date,ReportType,DataMode,F10,FXMode)*Scale,"n/a")),"--")</f>
        <v>--</v>
      </c>
      <c r="G33" s="1254" t="str">
        <f>IFERROR(IF(G9="--","--",IFERROR(_xll.ciqfunctions.udf.CIQ(G9,"IQ_EBIT",$AD$7,Valuation_date,ReportType,DataMode,G10,FXMode)*Scale,"n/a")),"--")</f>
        <v>--</v>
      </c>
      <c r="H33" s="1254" t="str">
        <f>IFERROR(IF(H9="--","--",IFERROR(_xll.ciqfunctions.udf.CIQ(H9,"IQ_EBIT",$AD$7,Valuation_date,ReportType,DataMode,H10,FXMode)*Scale,"n/a")),"--")</f>
        <v>--</v>
      </c>
      <c r="I33" s="1254" t="str">
        <f>IFERROR(IF(I9="--","--",IFERROR(_xll.ciqfunctions.udf.CIQ(I9,"IQ_EBIT",$AD$7,Valuation_date,ReportType,DataMode,I10,FXMode)*Scale,"n/a")),"--")</f>
        <v>--</v>
      </c>
      <c r="J33" s="1254" t="str">
        <f>IFERROR(IF(J9="--","--",IFERROR(_xll.ciqfunctions.udf.CIQ(J9,"IQ_EBIT",$AD$7,Valuation_date,ReportType,DataMode,J10,FXMode)*Scale,"n/a")),"--")</f>
        <v>--</v>
      </c>
      <c r="K33" s="1254" t="str">
        <f>IFERROR(IF(K9="--","--",IFERROR(_xll.ciqfunctions.udf.CIQ(K9,"IQ_EBIT",$AD$7,Valuation_date,ReportType,DataMode,K10,FXMode)*Scale,"n/a")),"--")</f>
        <v>--</v>
      </c>
      <c r="L33" s="1254" t="str">
        <f>IFERROR(IF(L9="--","--",IFERROR(_xll.ciqfunctions.udf.CIQ(L9,"IQ_EBIT",$AD$7,Valuation_date,ReportType,DataMode,L10,FXMode)*Scale,"n/a")),"--")</f>
        <v>--</v>
      </c>
      <c r="M33" s="1254" t="str">
        <f>IFERROR(IF(M9="--","--",IFERROR(_xll.ciqfunctions.udf.CIQ(M9,"IQ_EBIT",$AD$7,Valuation_date,ReportType,DataMode,M10,FXMode)*Scale,"n/a")),"--")</f>
        <v>--</v>
      </c>
      <c r="N33" s="1254" t="str">
        <f>IFERROR(IF(N9="--","--",IFERROR(_xll.ciqfunctions.udf.CIQ(N9,"IQ_EBIT",$AD$7,Valuation_date,ReportType,DataMode,N10,FXMode)*Scale,"n/a")),"--")</f>
        <v>--</v>
      </c>
      <c r="O33" s="1254" t="str">
        <f>IFERROR(IF(O9="--","--",IFERROR(_xll.ciqfunctions.udf.CIQ(O9,"IQ_EBIT",$AD$7,Valuation_date,ReportType,DataMode,O10,FXMode)*Scale,"n/a")),"--")</f>
        <v>--</v>
      </c>
      <c r="P33" s="1255"/>
      <c r="Q33" s="255"/>
      <c r="R33" s="1508"/>
      <c r="S33" s="1518"/>
      <c r="T33" s="1506"/>
      <c r="U33" s="1506"/>
      <c r="V33" s="1506"/>
      <c r="W33" s="1506"/>
      <c r="X33" s="1506"/>
      <c r="Y33" s="1506"/>
      <c r="Z33" s="1506"/>
      <c r="AA33" s="2060"/>
      <c r="AB33" s="1506"/>
      <c r="AC33" s="1515"/>
      <c r="AD33" s="1508"/>
      <c r="AE33" s="1508"/>
      <c r="AF33" s="1508"/>
      <c r="AG33" s="1508"/>
    </row>
    <row r="34" spans="1:33" ht="12.95" customHeight="1">
      <c r="A34" s="1518"/>
      <c r="B34" s="1518"/>
      <c r="C34" s="1538"/>
      <c r="D34" s="1538"/>
      <c r="E34" s="614"/>
      <c r="F34" s="1538"/>
      <c r="G34" s="1538"/>
      <c r="H34" s="1538"/>
      <c r="I34" s="1538"/>
      <c r="J34" s="1538"/>
      <c r="K34" s="1538"/>
      <c r="L34" s="1538"/>
      <c r="M34" s="1538"/>
      <c r="N34" s="1538"/>
      <c r="O34" s="1538"/>
      <c r="P34" s="255"/>
      <c r="Q34" s="255"/>
      <c r="R34" s="1508"/>
      <c r="S34" s="1518"/>
      <c r="T34" s="1508"/>
      <c r="U34" s="1508"/>
      <c r="V34" s="1508"/>
      <c r="W34" s="1508"/>
      <c r="X34" s="1508"/>
      <c r="Y34" s="1508"/>
      <c r="Z34" s="1508"/>
      <c r="AA34" s="2060"/>
      <c r="AB34" s="1508"/>
      <c r="AC34" s="1515"/>
      <c r="AD34" s="1508"/>
      <c r="AE34" s="1508"/>
      <c r="AF34" s="1508"/>
      <c r="AG34" s="1508"/>
    </row>
    <row r="35" spans="1:33" ht="13.9">
      <c r="A35" s="1518"/>
      <c r="B35" s="1518"/>
      <c r="C35" s="1242" t="s">
        <v>1769</v>
      </c>
      <c r="D35" s="1256"/>
      <c r="E35" s="1243"/>
      <c r="F35" s="1257" t="str">
        <f t="shared" ref="F35:O35" si="5">IF(ISERROR(F31-F33),"--",ROUND(F31-F33,1))</f>
        <v>--</v>
      </c>
      <c r="G35" s="1257" t="str">
        <f t="shared" si="5"/>
        <v>--</v>
      </c>
      <c r="H35" s="1257" t="str">
        <f t="shared" si="5"/>
        <v>--</v>
      </c>
      <c r="I35" s="1257" t="str">
        <f t="shared" si="5"/>
        <v>--</v>
      </c>
      <c r="J35" s="1257" t="str">
        <f t="shared" si="5"/>
        <v>--</v>
      </c>
      <c r="K35" s="1257" t="str">
        <f t="shared" si="5"/>
        <v>--</v>
      </c>
      <c r="L35" s="1257" t="str">
        <f t="shared" si="5"/>
        <v>--</v>
      </c>
      <c r="M35" s="1257" t="str">
        <f t="shared" si="5"/>
        <v>--</v>
      </c>
      <c r="N35" s="1257" t="str">
        <f t="shared" si="5"/>
        <v>--</v>
      </c>
      <c r="O35" s="1257" t="str">
        <f t="shared" si="5"/>
        <v>--</v>
      </c>
      <c r="P35" s="1514"/>
      <c r="Q35" s="1514"/>
      <c r="R35" s="1508"/>
      <c r="S35" s="1518"/>
      <c r="T35" s="1508"/>
      <c r="U35" s="1508"/>
      <c r="V35" s="1508"/>
      <c r="W35" s="1508"/>
      <c r="X35" s="1508"/>
      <c r="Y35" s="1508"/>
      <c r="Z35" s="1508"/>
      <c r="AA35" s="2060"/>
      <c r="AB35" s="1508"/>
      <c r="AC35" s="1515"/>
      <c r="AD35" s="1508"/>
      <c r="AE35" s="1508"/>
      <c r="AF35" s="1508"/>
      <c r="AG35" s="1508"/>
    </row>
    <row r="36" spans="1:33" ht="13.9">
      <c r="A36" s="1518"/>
      <c r="B36" s="602"/>
      <c r="C36" s="1538"/>
      <c r="D36" s="1538"/>
      <c r="E36" s="672"/>
      <c r="F36" s="1538"/>
      <c r="G36" s="1559"/>
      <c r="H36" s="1538"/>
      <c r="I36" s="1538"/>
      <c r="J36" s="1538"/>
      <c r="K36" s="1538"/>
      <c r="L36" s="1538"/>
      <c r="M36" s="1538"/>
      <c r="N36" s="1538"/>
      <c r="O36" s="1538"/>
      <c r="P36" s="1538"/>
      <c r="Q36" s="1538"/>
      <c r="R36" s="1508"/>
      <c r="S36" s="1518"/>
      <c r="T36" s="1508"/>
      <c r="U36" s="1508"/>
      <c r="V36" s="1508"/>
      <c r="W36" s="1508"/>
      <c r="X36" s="1508"/>
      <c r="Y36" s="1508"/>
      <c r="Z36" s="1508"/>
      <c r="AA36" s="2060"/>
      <c r="AB36" s="1508"/>
      <c r="AC36" s="1515"/>
      <c r="AD36" s="1508"/>
      <c r="AE36" s="1508"/>
      <c r="AF36" s="1508"/>
      <c r="AG36" s="1508"/>
    </row>
    <row r="37" spans="1:33" s="1508" customFormat="1" ht="13.9">
      <c r="A37" s="1518"/>
      <c r="B37" s="602"/>
      <c r="C37" s="1538" t="s">
        <v>202</v>
      </c>
      <c r="D37" s="1538"/>
      <c r="E37" s="672"/>
      <c r="F37" s="501" t="str">
        <f>IF(F$9="","",IFERROR((_xll.ciqfunctions.udf.CIQ(F$9,$AC37,$AD$7,Valuation_date,ReportType,DataMode,F$10,FXMode)*Scale),"--"))</f>
        <v>--</v>
      </c>
      <c r="G37" s="501" t="str">
        <f>IF(G$9="","",IFERROR((_xll.ciqfunctions.udf.CIQ(G$9,$AC37,$AD$7,Valuation_date,ReportType,DataMode,G$10,FXMode)*Scale),"--"))</f>
        <v>--</v>
      </c>
      <c r="H37" s="501" t="str">
        <f>IF(H$9="","",IFERROR((_xll.ciqfunctions.udf.CIQ(H$9,$AC37,$AD$7,Valuation_date,ReportType,DataMode,H$10,FXMode)*Scale),"--"))</f>
        <v>--</v>
      </c>
      <c r="I37" s="501" t="str">
        <f>IF(I$9="","",IFERROR((_xll.ciqfunctions.udf.CIQ(I$9,$AC37,$AD$7,Valuation_date,ReportType,DataMode,I$10,FXMode)*Scale),"--"))</f>
        <v>--</v>
      </c>
      <c r="J37" s="501" t="str">
        <f>IF(J$9="","",IFERROR((_xll.ciqfunctions.udf.CIQ(J$9,$AC37,$AD$7,Valuation_date,ReportType,DataMode,J$10,FXMode)*Scale),"--"))</f>
        <v>--</v>
      </c>
      <c r="K37" s="501" t="str">
        <f>IF(K$9="","",IFERROR((_xll.ciqfunctions.udf.CIQ(K$9,$AC37,$AD$7,Valuation_date,ReportType,DataMode,K$10,FXMode)*Scale),"--"))</f>
        <v>--</v>
      </c>
      <c r="L37" s="501" t="str">
        <f>IF(L$9="","",IFERROR((_xll.ciqfunctions.udf.CIQ(L$9,$AC37,$AD$7,Valuation_date,ReportType,DataMode,L$10,FXMode)*Scale),"--"))</f>
        <v>--</v>
      </c>
      <c r="M37" s="501" t="str">
        <f>IF(M$9="","",IFERROR((_xll.ciqfunctions.udf.CIQ(M$9,$AC37,$AD$7,Valuation_date,ReportType,DataMode,M$10,FXMode)*Scale),"--"))</f>
        <v>--</v>
      </c>
      <c r="N37" s="501" t="str">
        <f>IF(N$9="","",IFERROR((_xll.ciqfunctions.udf.CIQ(N$9,$AC37,$AD$7,Valuation_date,ReportType,DataMode,N$10,FXMode)*Scale),"--"))</f>
        <v>--</v>
      </c>
      <c r="O37" s="501" t="str">
        <f>IF(O$9="","",IFERROR((_xll.ciqfunctions.udf.CIQ(O$9,$AC37,$AD$7,Valuation_date,ReportType,DataMode,O$10,FXMode)*Scale),"--"))</f>
        <v>--</v>
      </c>
      <c r="P37" s="1538"/>
      <c r="Q37" s="1538"/>
      <c r="S37" s="1518"/>
      <c r="AA37" s="2060"/>
      <c r="AB37" s="180"/>
      <c r="AC37" s="205" t="s">
        <v>811</v>
      </c>
      <c r="AD37" s="191"/>
      <c r="AE37" s="191"/>
      <c r="AF37" s="191"/>
      <c r="AG37" s="191"/>
    </row>
    <row r="38" spans="1:33" s="1508" customFormat="1" ht="13.9">
      <c r="A38" s="1518"/>
      <c r="B38" s="602"/>
      <c r="C38" s="1538" t="s">
        <v>1770</v>
      </c>
      <c r="D38" s="1538"/>
      <c r="E38" s="672"/>
      <c r="F38" s="501" t="str">
        <f>IF(F$9="","",IFERROR((_xll.ciqfunctions.udf.CIQ(F$9,$AC38,$AD$7,Valuation_date,ReportType,DataMode,F$10,FXMode)*Scale),"--"))</f>
        <v>--</v>
      </c>
      <c r="G38" s="501" t="str">
        <f>IF(G$9="","",IFERROR((_xll.ciqfunctions.udf.CIQ(G$9,$AC38,$AD$7,Valuation_date,ReportType,DataMode,G$10,FXMode)*Scale),"--"))</f>
        <v>--</v>
      </c>
      <c r="H38" s="501" t="str">
        <f>IF(H$9="","",IFERROR((_xll.ciqfunctions.udf.CIQ(H$9,$AC38,$AD$7,Valuation_date,ReportType,DataMode,H$10,FXMode)*Scale),"--"))</f>
        <v>--</v>
      </c>
      <c r="I38" s="501" t="str">
        <f>IF(I$9="","",IFERROR((_xll.ciqfunctions.udf.CIQ(I$9,$AC38,$AD$7,Valuation_date,ReportType,DataMode,I$10,FXMode)*Scale),"--"))</f>
        <v>--</v>
      </c>
      <c r="J38" s="501" t="str">
        <f>IF(J$9="","",IFERROR((_xll.ciqfunctions.udf.CIQ(J$9,$AC38,$AD$7,Valuation_date,ReportType,DataMode,J$10,FXMode)*Scale),"--"))</f>
        <v>--</v>
      </c>
      <c r="K38" s="501" t="str">
        <f>IF(K$9="","",IFERROR((_xll.ciqfunctions.udf.CIQ(K$9,$AC38,$AD$7,Valuation_date,ReportType,DataMode,K$10,FXMode)*Scale),"--"))</f>
        <v>--</v>
      </c>
      <c r="L38" s="501" t="str">
        <f>IF(L$9="","",IFERROR((_xll.ciqfunctions.udf.CIQ(L$9,$AC38,$AD$7,Valuation_date,ReportType,DataMode,L$10,FXMode)*Scale),"--"))</f>
        <v>--</v>
      </c>
      <c r="M38" s="501" t="str">
        <f>IF(M$9="","",IFERROR((_xll.ciqfunctions.udf.CIQ(M$9,$AC38,$AD$7,Valuation_date,ReportType,DataMode,M$10,FXMode)*Scale),"--"))</f>
        <v>--</v>
      </c>
      <c r="N38" s="501" t="str">
        <f>IF(N$9="","",IFERROR((_xll.ciqfunctions.udf.CIQ(N$9,$AC38,$AD$7,Valuation_date,ReportType,DataMode,N$10,FXMode)*Scale),"--"))</f>
        <v>--</v>
      </c>
      <c r="O38" s="501" t="str">
        <f>IF(O$9="","",IFERROR((_xll.ciqfunctions.udf.CIQ(O$9,$AC38,$AD$7,Valuation_date,ReportType,DataMode,O$10,FXMode)*Scale),"--"))</f>
        <v>--</v>
      </c>
      <c r="P38" s="1538"/>
      <c r="Q38" s="1538"/>
      <c r="S38" s="1518"/>
      <c r="AA38" s="2060"/>
      <c r="AB38" s="180"/>
      <c r="AC38" s="205" t="s">
        <v>906</v>
      </c>
      <c r="AD38" s="191"/>
      <c r="AE38" s="191"/>
      <c r="AF38" s="191"/>
      <c r="AG38" s="191"/>
    </row>
    <row r="39" spans="1:33" s="1508" customFormat="1" ht="13.9">
      <c r="A39" s="1518"/>
      <c r="B39" s="602"/>
      <c r="C39" s="1251" t="str">
        <f>"Capital IQ EBITDA "&amp;$AE$7</f>
        <v>Capital IQ EBITDA LFY</v>
      </c>
      <c r="D39" s="1252"/>
      <c r="E39" s="1253"/>
      <c r="F39" s="1254" t="str">
        <f>IFERROR(IF(F15="--","--",IFERROR(_xll.ciqfunctions.udf.CIQ(F$9,"IQ_EBITDA",$AD$7,Valuation_date,ReportType,DataMode,F$10,FXMode)*Scale,"n/a")),"--")</f>
        <v>--</v>
      </c>
      <c r="G39" s="1254" t="str">
        <f>IFERROR(IF(G15="--","--",IFERROR(_xll.ciqfunctions.udf.CIQ(G$9,"IQ_EBITDA",$AD$7,Valuation_date,ReportType,DataMode,G$10,FXMode)*Scale,"n/a")),"--")</f>
        <v>--</v>
      </c>
      <c r="H39" s="1254" t="str">
        <f>IFERROR(IF(H15="--","--",IFERROR(_xll.ciqfunctions.udf.CIQ(H$9,"IQ_EBITDA",$AD$7,Valuation_date,ReportType,DataMode,H$10,FXMode)*Scale,"n/a")),"--")</f>
        <v>--</v>
      </c>
      <c r="I39" s="1254" t="str">
        <f>IFERROR(IF(I15="--","--",IFERROR(_xll.ciqfunctions.udf.CIQ(I$9,"IQ_EBITDA",$AD$7,Valuation_date,ReportType,DataMode,I$10,FXMode)*Scale,"n/a")),"--")</f>
        <v>--</v>
      </c>
      <c r="J39" s="1254" t="str">
        <f>IFERROR(IF(J15="--","--",IFERROR(_xll.ciqfunctions.udf.CIQ(J$9,"IQ_EBITDA",$AD$7,Valuation_date,ReportType,DataMode,J$10,FXMode)*Scale,"n/a")),"--")</f>
        <v>--</v>
      </c>
      <c r="K39" s="1254" t="str">
        <f>IFERROR(IF(K15="--","--",IFERROR(_xll.ciqfunctions.udf.CIQ(K$9,"IQ_EBITDA",$AD$7,Valuation_date,ReportType,DataMode,K$10,FXMode)*Scale,"n/a")),"--")</f>
        <v>--</v>
      </c>
      <c r="L39" s="1254" t="str">
        <f>IFERROR(IF(L15="--","--",IFERROR(_xll.ciqfunctions.udf.CIQ(L$9,"IQ_EBITDA",$AD$7,Valuation_date,ReportType,DataMode,L$10,FXMode)*Scale,"n/a")),"--")</f>
        <v>--</v>
      </c>
      <c r="M39" s="1254" t="str">
        <f>IFERROR(IF(M15="--","--",IFERROR(_xll.ciqfunctions.udf.CIQ(M$9,"IQ_EBITDA",$AD$7,Valuation_date,ReportType,DataMode,M$10,FXMode)*Scale,"n/a")),"--")</f>
        <v>--</v>
      </c>
      <c r="N39" s="1254" t="str">
        <f>IFERROR(IF(N15="--","--",IFERROR(_xll.ciqfunctions.udf.CIQ(N$9,"IQ_EBITDA",$AD$7,Valuation_date,ReportType,DataMode,N$10,FXMode)*Scale,"n/a")),"--")</f>
        <v>--</v>
      </c>
      <c r="O39" s="1254" t="str">
        <f>IFERROR(IF(O15="--","--",IFERROR(_xll.ciqfunctions.udf.CIQ(O$9,"IQ_EBITDA",$AD$7,Valuation_date,ReportType,DataMode,O$10,FXMode)*Scale,"n/a")),"--")</f>
        <v>--</v>
      </c>
      <c r="P39" s="1538"/>
      <c r="Q39" s="1538"/>
      <c r="S39" s="1518"/>
      <c r="AA39" s="2060"/>
      <c r="AB39" s="180"/>
      <c r="AC39" s="205" t="s">
        <v>808</v>
      </c>
      <c r="AD39" s="191"/>
      <c r="AE39" s="191"/>
      <c r="AF39" s="191"/>
      <c r="AG39" s="191"/>
    </row>
    <row r="40" spans="1:33" s="1508" customFormat="1" ht="13.9">
      <c r="A40" s="1518"/>
      <c r="B40" s="602"/>
      <c r="C40" s="1538"/>
      <c r="D40" s="1538"/>
      <c r="E40" s="672"/>
      <c r="F40" s="1538"/>
      <c r="G40" s="1559"/>
      <c r="H40" s="1538"/>
      <c r="I40" s="1538"/>
      <c r="J40" s="1538"/>
      <c r="K40" s="1538"/>
      <c r="L40" s="1538"/>
      <c r="M40" s="1538"/>
      <c r="N40" s="1538"/>
      <c r="O40" s="1538"/>
      <c r="P40" s="1538"/>
      <c r="Q40" s="1538"/>
      <c r="S40" s="1518"/>
      <c r="AA40" s="2060"/>
      <c r="AC40" s="1515"/>
    </row>
    <row r="41" spans="1:33" ht="13.9">
      <c r="A41" s="1518"/>
      <c r="B41" s="1566"/>
      <c r="C41" s="1538" t="s">
        <v>1771</v>
      </c>
      <c r="D41" s="1538"/>
      <c r="E41" s="614"/>
      <c r="F41" s="1538"/>
      <c r="G41" s="1559"/>
      <c r="H41" s="1538"/>
      <c r="I41" s="1538"/>
      <c r="J41" s="1538"/>
      <c r="K41" s="1538"/>
      <c r="L41" s="1538"/>
      <c r="M41" s="1538"/>
      <c r="N41" s="1538"/>
      <c r="O41" s="1538"/>
      <c r="P41" s="1538"/>
      <c r="Q41" s="1538"/>
      <c r="R41" s="1508"/>
      <c r="S41" s="1518"/>
      <c r="T41" s="1508"/>
      <c r="U41" s="1508"/>
      <c r="V41" s="1508"/>
      <c r="W41" s="1508"/>
      <c r="X41" s="1508"/>
      <c r="Y41" s="1508"/>
      <c r="Z41" s="1508"/>
      <c r="AA41" s="2060"/>
      <c r="AB41" s="1508"/>
      <c r="AC41" s="1515"/>
      <c r="AD41" s="1508"/>
      <c r="AE41" s="1508"/>
      <c r="AF41" s="1508"/>
      <c r="AG41" s="1508"/>
    </row>
    <row r="42" spans="1:33" ht="13.9">
      <c r="A42" s="1518"/>
      <c r="B42" s="1566"/>
      <c r="C42" s="502" t="s">
        <v>1772</v>
      </c>
      <c r="D42" s="1538"/>
      <c r="E42" s="614"/>
      <c r="F42" s="1538"/>
      <c r="G42" s="1559"/>
      <c r="H42" s="1538"/>
      <c r="I42" s="1538"/>
      <c r="J42" s="1538"/>
      <c r="K42" s="1538"/>
      <c r="L42" s="1538"/>
      <c r="M42" s="1538"/>
      <c r="N42" s="1538"/>
      <c r="O42" s="1538"/>
      <c r="P42" s="1538"/>
      <c r="Q42" s="1538"/>
      <c r="R42" s="1508"/>
      <c r="S42" s="1518"/>
      <c r="T42" s="1508"/>
      <c r="U42" s="1508"/>
      <c r="V42" s="1508"/>
      <c r="W42" s="1508"/>
      <c r="X42" s="1508"/>
      <c r="Y42" s="1508"/>
      <c r="Z42" s="1508"/>
      <c r="AA42" s="2060"/>
      <c r="AB42" s="1508"/>
      <c r="AC42" s="1515"/>
      <c r="AD42" s="1508"/>
      <c r="AE42" s="1508"/>
      <c r="AF42" s="1508"/>
      <c r="AG42" s="1508"/>
    </row>
    <row r="43" spans="1:33" ht="13.9">
      <c r="A43" s="1518"/>
      <c r="B43" s="1566"/>
      <c r="C43" s="373"/>
      <c r="D43" s="1538"/>
      <c r="E43" s="1586"/>
      <c r="F43" s="1538"/>
      <c r="G43" s="1559"/>
      <c r="H43" s="1538"/>
      <c r="I43" s="1538"/>
      <c r="J43" s="1538"/>
      <c r="K43" s="1538"/>
      <c r="L43" s="1538"/>
      <c r="M43" s="1538"/>
      <c r="N43" s="1538"/>
      <c r="O43" s="1538"/>
      <c r="P43" s="1538"/>
      <c r="Q43" s="1538"/>
      <c r="R43" s="1508"/>
      <c r="S43" s="1518"/>
      <c r="T43" s="1508"/>
      <c r="U43" s="1508"/>
      <c r="V43" s="1508"/>
      <c r="W43" s="1508"/>
      <c r="X43" s="1508"/>
      <c r="Y43" s="1508"/>
      <c r="Z43" s="1508"/>
      <c r="AA43" s="2060"/>
      <c r="AB43" s="1508"/>
      <c r="AC43" s="1515"/>
      <c r="AD43" s="1508"/>
      <c r="AE43" s="1508"/>
      <c r="AF43" s="1508"/>
      <c r="AG43" s="1508"/>
    </row>
    <row r="44" spans="1:33" s="1508" customFormat="1" ht="13.9">
      <c r="A44" s="1518"/>
      <c r="B44" s="1566"/>
      <c r="C44" s="1588" t="str">
        <f>"EBIT=Earnings before interest and taxes; "&amp;$AE$7&amp;"="&amp;$AF$7</f>
        <v>EBIT=Earnings before interest and taxes; LFY=Last fiscal year</v>
      </c>
      <c r="D44" s="1538"/>
      <c r="E44" s="1586"/>
      <c r="F44" s="1538"/>
      <c r="G44" s="1559"/>
      <c r="H44" s="1538"/>
      <c r="I44" s="1538"/>
      <c r="J44" s="1538"/>
      <c r="K44" s="1538"/>
      <c r="L44" s="1538"/>
      <c r="M44" s="1538"/>
      <c r="N44" s="1538"/>
      <c r="O44" s="1538"/>
      <c r="P44" s="1538"/>
      <c r="Q44" s="1538"/>
      <c r="S44" s="1518"/>
      <c r="AA44" s="2060"/>
      <c r="AC44" s="1515"/>
    </row>
    <row r="45" spans="1:33" ht="13.9">
      <c r="A45" s="1518"/>
      <c r="B45" s="1566"/>
      <c r="C45" s="373" t="s">
        <v>1402</v>
      </c>
      <c r="D45" s="1538"/>
      <c r="E45" s="1586"/>
      <c r="F45" s="1538"/>
      <c r="G45" s="1559"/>
      <c r="H45" s="1538"/>
      <c r="I45" s="1538"/>
      <c r="J45" s="1538"/>
      <c r="K45" s="1538"/>
      <c r="L45" s="1538"/>
      <c r="M45" s="1538"/>
      <c r="N45" s="1538"/>
      <c r="O45" s="1538"/>
      <c r="P45" s="1538"/>
      <c r="Q45" s="1538"/>
      <c r="R45" s="1508"/>
      <c r="S45" s="1518"/>
      <c r="T45" s="1508"/>
      <c r="U45" s="1508"/>
      <c r="V45" s="1508"/>
      <c r="W45" s="1508"/>
      <c r="X45" s="1508"/>
      <c r="Y45" s="1508"/>
      <c r="Z45" s="1508"/>
      <c r="AA45" s="2060"/>
      <c r="AB45" s="1508"/>
      <c r="AC45" s="1515"/>
      <c r="AD45" s="1508"/>
      <c r="AE45" s="1508"/>
      <c r="AF45" s="1508"/>
      <c r="AG45" s="1508"/>
    </row>
    <row r="46" spans="1:33" s="1508" customFormat="1" ht="13.9">
      <c r="A46" s="1518"/>
      <c r="B46" s="1566"/>
      <c r="C46" s="373"/>
      <c r="D46" s="1538"/>
      <c r="E46" s="1586"/>
      <c r="F46" s="1538"/>
      <c r="G46" s="1559"/>
      <c r="H46" s="1538"/>
      <c r="I46" s="1538"/>
      <c r="J46" s="1538"/>
      <c r="K46" s="1538"/>
      <c r="L46" s="1538"/>
      <c r="M46" s="1538"/>
      <c r="N46" s="1538"/>
      <c r="O46" s="1538"/>
      <c r="P46" s="1538"/>
      <c r="Q46" s="1538"/>
      <c r="S46" s="1518"/>
      <c r="AA46" s="2060"/>
      <c r="AC46" s="1515"/>
    </row>
    <row r="47" spans="1:33" ht="13.9">
      <c r="A47" s="1518"/>
      <c r="B47" s="1566"/>
      <c r="C47" s="373" t="str">
        <f ca="1">FootnoteDRAFT</f>
        <v>Run date: 05-August-2018  02:34 PM.   DRAFT document. All data subject to change upon completion of additional analysis.</v>
      </c>
      <c r="D47" s="1538"/>
      <c r="E47" s="614"/>
      <c r="F47" s="1538"/>
      <c r="G47" s="1559"/>
      <c r="H47" s="1538"/>
      <c r="I47" s="1538"/>
      <c r="J47" s="1538"/>
      <c r="K47" s="1538"/>
      <c r="L47" s="1538"/>
      <c r="M47" s="1538"/>
      <c r="N47" s="1538"/>
      <c r="O47" s="1538"/>
      <c r="P47" s="1538"/>
      <c r="Q47" s="1538"/>
      <c r="R47" s="1508"/>
      <c r="S47" s="1518"/>
      <c r="T47" s="1508"/>
      <c r="U47" s="1508"/>
      <c r="V47" s="1508"/>
      <c r="W47" s="1508"/>
      <c r="X47" s="1508"/>
      <c r="Y47" s="1508"/>
      <c r="Z47" s="1508"/>
      <c r="AA47" s="2060"/>
      <c r="AB47" s="1508"/>
      <c r="AC47" s="1515"/>
      <c r="AD47" s="1508"/>
      <c r="AE47" s="1508"/>
      <c r="AF47" s="1508"/>
      <c r="AG47" s="1508"/>
    </row>
    <row r="48" spans="1:33" s="178" customFormat="1" ht="13.9">
      <c r="A48" s="1510" t="str">
        <f>IF(COUNTA(Compslist)&lt;=10,"N","")</f>
        <v>N</v>
      </c>
      <c r="B48" s="1510"/>
      <c r="C48" s="1510"/>
      <c r="D48" s="1510"/>
      <c r="E48" s="683"/>
      <c r="F48" s="1510"/>
      <c r="G48" s="1510"/>
      <c r="H48" s="1510"/>
      <c r="I48" s="1510"/>
      <c r="J48" s="1510"/>
      <c r="K48" s="1510"/>
      <c r="L48" s="1510"/>
      <c r="M48" s="1510"/>
      <c r="N48" s="1510"/>
      <c r="O48" s="1510"/>
      <c r="P48" s="1510"/>
      <c r="Q48" s="1510"/>
      <c r="R48" s="1546" t="str">
        <f>IF($A48="n","Page end","This page not printed")</f>
        <v>Page end</v>
      </c>
      <c r="S48" s="1510"/>
      <c r="T48" s="2060"/>
      <c r="U48" s="2060"/>
      <c r="V48" s="2060"/>
      <c r="W48" s="2060"/>
      <c r="X48" s="2060"/>
      <c r="Y48" s="2060"/>
      <c r="Z48" s="2060"/>
      <c r="AA48" s="2060"/>
      <c r="AB48" s="2060"/>
      <c r="AC48" s="2060"/>
      <c r="AD48" s="2060"/>
      <c r="AE48" s="2060"/>
      <c r="AF48" s="2060"/>
      <c r="AG48" s="1506"/>
    </row>
    <row r="49" spans="1:33" ht="18" customHeight="1">
      <c r="A49" s="1510" t="str">
        <f>IF(COUNTA('DATA GPC'!$G$30:$G$44)=0,"n","")</f>
        <v>n</v>
      </c>
      <c r="B49" s="1518"/>
      <c r="C49" s="1372" t="str">
        <f>START!$C$1</f>
        <v>Client Name</v>
      </c>
      <c r="D49" s="172"/>
      <c r="E49" s="1505"/>
      <c r="F49" s="2060"/>
      <c r="G49" s="2060"/>
      <c r="H49" s="2060"/>
      <c r="I49" s="2060"/>
      <c r="J49" s="2060"/>
      <c r="K49" s="2060"/>
      <c r="L49" s="2060"/>
      <c r="M49" s="2060"/>
      <c r="N49" s="2060"/>
      <c r="O49" s="2060"/>
      <c r="P49" s="2060"/>
      <c r="Q49" s="172"/>
      <c r="R49" s="389" t="str">
        <f>R1&amp;".a"</f>
        <v>Workpaper 9.a</v>
      </c>
      <c r="S49" s="1518"/>
      <c r="T49" s="1508"/>
      <c r="U49" s="1508"/>
      <c r="V49" s="1508"/>
      <c r="W49" s="1508"/>
      <c r="X49" s="1508"/>
      <c r="Y49" s="1508"/>
      <c r="Z49" s="1508"/>
      <c r="AA49" s="2060"/>
      <c r="AB49" s="1508"/>
      <c r="AC49" s="1515"/>
      <c r="AD49" s="1508"/>
      <c r="AE49" s="1508"/>
      <c r="AF49" s="1508"/>
      <c r="AG49" s="1508"/>
    </row>
    <row r="50" spans="1:33" s="282" customFormat="1" ht="18" customHeight="1">
      <c r="A50" s="1510" t="str">
        <f>$A$49</f>
        <v>n</v>
      </c>
      <c r="B50" s="1518"/>
      <c r="C50" s="1372" t="str">
        <f>START!$C$2</f>
        <v xml:space="preserve">Please enter project description in START worksheet cell G13 </v>
      </c>
      <c r="D50" s="172"/>
      <c r="E50" s="1505"/>
      <c r="F50" s="2060"/>
      <c r="G50" s="2060"/>
      <c r="H50" s="2060"/>
      <c r="I50" s="2060"/>
      <c r="J50" s="2060"/>
      <c r="K50" s="2060"/>
      <c r="L50" s="2060"/>
      <c r="M50" s="2060"/>
      <c r="N50" s="2060"/>
      <c r="O50" s="2060"/>
      <c r="P50" s="2060"/>
      <c r="Q50" s="172"/>
      <c r="R50" s="389"/>
      <c r="S50" s="1518"/>
      <c r="T50" s="1508"/>
      <c r="U50" s="1508"/>
      <c r="V50" s="1508"/>
      <c r="W50" s="1508"/>
      <c r="X50" s="1508"/>
      <c r="Y50" s="1508"/>
      <c r="Z50" s="1508"/>
      <c r="AA50" s="2060"/>
      <c r="AB50" s="1508"/>
      <c r="AC50" s="1515"/>
      <c r="AD50" s="1508"/>
      <c r="AE50" s="1508"/>
      <c r="AF50" s="1508"/>
      <c r="AG50" s="1508"/>
    </row>
    <row r="51" spans="1:33" ht="18" customHeight="1">
      <c r="A51" s="1510" t="str">
        <f>$A$49</f>
        <v>n</v>
      </c>
      <c r="B51" s="1518"/>
      <c r="C51" s="839" t="s">
        <v>1773</v>
      </c>
      <c r="D51" s="172"/>
      <c r="E51" s="1505"/>
      <c r="F51" s="2060"/>
      <c r="G51" s="2060"/>
      <c r="H51" s="2060"/>
      <c r="I51" s="2060"/>
      <c r="J51" s="2060"/>
      <c r="K51" s="2060"/>
      <c r="L51" s="2060"/>
      <c r="M51" s="2060"/>
      <c r="N51" s="2060"/>
      <c r="O51" s="2060"/>
      <c r="P51" s="2060"/>
      <c r="Q51" s="172"/>
      <c r="R51" s="1516"/>
      <c r="S51" s="1518"/>
      <c r="T51" s="1508"/>
      <c r="U51" s="1508"/>
      <c r="V51" s="1508"/>
      <c r="W51" s="1508"/>
      <c r="X51" s="1508"/>
      <c r="Y51" s="1508"/>
      <c r="Z51" s="1508"/>
      <c r="AA51" s="2060"/>
      <c r="AB51" s="1508"/>
      <c r="AC51" s="1515"/>
      <c r="AD51" s="1508"/>
      <c r="AE51" s="1508"/>
      <c r="AF51" s="1508"/>
      <c r="AG51" s="1508"/>
    </row>
    <row r="52" spans="1:33" ht="18" customHeight="1">
      <c r="A52" s="1510" t="str">
        <f t="shared" ref="A52:A60" si="6">$A$49</f>
        <v>n</v>
      </c>
      <c r="B52" s="1518"/>
      <c r="C52" s="840" t="str">
        <f>ValDateHeading</f>
        <v>Estimation of value as of 28 February 2017</v>
      </c>
      <c r="D52" s="1508"/>
      <c r="E52" s="702"/>
      <c r="F52" s="170"/>
      <c r="G52" s="196"/>
      <c r="H52" s="197"/>
      <c r="I52" s="197"/>
      <c r="J52" s="2060"/>
      <c r="K52" s="2060"/>
      <c r="L52" s="2060"/>
      <c r="M52" s="1508"/>
      <c r="N52" s="1508"/>
      <c r="O52" s="1508"/>
      <c r="P52" s="1508"/>
      <c r="Q52" s="1508"/>
      <c r="R52" s="1508"/>
      <c r="S52" s="1518"/>
      <c r="T52" s="1508"/>
      <c r="U52" s="1508"/>
      <c r="V52" s="1508"/>
      <c r="W52" s="1508"/>
      <c r="X52" s="1508"/>
      <c r="Y52" s="1508"/>
      <c r="Z52" s="1508"/>
      <c r="AA52" s="2060"/>
      <c r="AB52" s="1508"/>
      <c r="AC52" s="1515"/>
      <c r="AD52" s="1508"/>
      <c r="AE52" s="1508"/>
      <c r="AF52" s="1508"/>
      <c r="AG52" s="1508"/>
    </row>
    <row r="53" spans="1:33" ht="18" customHeight="1">
      <c r="A53" s="1510" t="str">
        <f t="shared" si="6"/>
        <v>n</v>
      </c>
      <c r="B53" s="1518"/>
      <c r="C53" s="769" t="str">
        <f>"In filing currency "&amp;ScaleInput</f>
        <v>In filing currency Millions</v>
      </c>
      <c r="D53" s="1508"/>
      <c r="E53" s="699"/>
      <c r="F53" s="172"/>
      <c r="G53" s="172"/>
      <c r="H53" s="172"/>
      <c r="I53" s="172"/>
      <c r="J53" s="2060"/>
      <c r="K53" s="2060"/>
      <c r="L53" s="2060"/>
      <c r="M53" s="2060"/>
      <c r="N53" s="1508"/>
      <c r="O53" s="1508"/>
      <c r="P53" s="1508"/>
      <c r="Q53" s="1508"/>
      <c r="R53" s="1508"/>
      <c r="S53" s="1518"/>
      <c r="T53" s="1508"/>
      <c r="U53" s="1508"/>
      <c r="V53" s="1508"/>
      <c r="W53" s="1508"/>
      <c r="X53" s="1508"/>
      <c r="Y53" s="1508"/>
      <c r="Z53" s="1508"/>
      <c r="AA53" s="2060"/>
      <c r="AB53" s="1508"/>
      <c r="AC53" s="1515"/>
      <c r="AD53" s="1508"/>
      <c r="AE53" s="1508"/>
      <c r="AF53" s="1508"/>
      <c r="AG53" s="1508"/>
    </row>
    <row r="54" spans="1:33" ht="12.95" customHeight="1">
      <c r="A54" s="1510" t="str">
        <f t="shared" si="6"/>
        <v>n</v>
      </c>
      <c r="B54" s="603"/>
      <c r="C54" s="171"/>
      <c r="D54" s="1506"/>
      <c r="E54" s="1567"/>
      <c r="F54" s="1506"/>
      <c r="G54" s="185"/>
      <c r="H54" s="185"/>
      <c r="I54" s="1506"/>
      <c r="J54" s="2060"/>
      <c r="K54" s="2060"/>
      <c r="L54" s="2060"/>
      <c r="M54" s="1506"/>
      <c r="N54" s="1506"/>
      <c r="O54" s="1506"/>
      <c r="P54" s="1506"/>
      <c r="Q54" s="1506"/>
      <c r="R54" s="1506"/>
      <c r="S54" s="1518"/>
      <c r="T54" s="1508"/>
      <c r="U54" s="1508"/>
      <c r="V54" s="1508"/>
      <c r="W54" s="1508"/>
      <c r="X54" s="1508"/>
      <c r="Y54" s="1508"/>
      <c r="Z54" s="1508"/>
      <c r="AA54" s="2060"/>
      <c r="AB54" s="1508"/>
      <c r="AC54" s="1515"/>
      <c r="AD54" s="1508"/>
      <c r="AE54" s="1508"/>
      <c r="AF54" s="1508"/>
      <c r="AG54" s="1508"/>
    </row>
    <row r="55" spans="1:33" s="282" customFormat="1" ht="12.95" customHeight="1">
      <c r="A55" s="1510" t="str">
        <f t="shared" si="6"/>
        <v>n</v>
      </c>
      <c r="B55" s="603"/>
      <c r="C55" s="171"/>
      <c r="D55" s="1506"/>
      <c r="E55" s="1567"/>
      <c r="F55" s="1506"/>
      <c r="G55" s="185"/>
      <c r="H55" s="185"/>
      <c r="I55" s="1506"/>
      <c r="J55" s="2060"/>
      <c r="K55" s="2060"/>
      <c r="L55" s="2060"/>
      <c r="M55" s="1506"/>
      <c r="N55" s="1506"/>
      <c r="O55" s="1506"/>
      <c r="P55" s="1506"/>
      <c r="Q55" s="1506"/>
      <c r="R55" s="1506"/>
      <c r="S55" s="1518"/>
      <c r="T55" s="1508"/>
      <c r="U55" s="1508"/>
      <c r="V55" s="1508"/>
      <c r="W55" s="1508"/>
      <c r="X55" s="1508"/>
      <c r="Y55" s="1508"/>
      <c r="Z55" s="1508"/>
      <c r="AA55" s="2060"/>
      <c r="AB55" s="1508"/>
      <c r="AC55" s="1515"/>
      <c r="AD55" s="1508"/>
      <c r="AE55" s="1508"/>
      <c r="AF55" s="1508"/>
      <c r="AG55" s="1508"/>
    </row>
    <row r="56" spans="1:33" ht="12.95" customHeight="1">
      <c r="A56" s="1510" t="str">
        <f t="shared" si="6"/>
        <v>n</v>
      </c>
      <c r="B56" s="601"/>
      <c r="C56" s="1225"/>
      <c r="D56" s="1225"/>
      <c r="E56" s="1258"/>
      <c r="F56" s="1226" t="str">
        <f>'DATA GPC'!$E$30</f>
        <v>--</v>
      </c>
      <c r="G56" s="1226" t="str">
        <f>'DATA GPC'!$E$31</f>
        <v>--</v>
      </c>
      <c r="H56" s="1226" t="str">
        <f>'DATA GPC'!$E$32</f>
        <v>--</v>
      </c>
      <c r="I56" s="1226" t="str">
        <f>'DATA GPC'!$E$33</f>
        <v>--</v>
      </c>
      <c r="J56" s="1226" t="str">
        <f>'DATA GPC'!$E$34</f>
        <v>--</v>
      </c>
      <c r="K56" s="1226" t="str">
        <f>'DATA GPC'!$E$35</f>
        <v>--</v>
      </c>
      <c r="L56" s="1226" t="str">
        <f>'DATA GPC'!$E$36</f>
        <v>--</v>
      </c>
      <c r="M56" s="1226" t="str">
        <f>'DATA GPC'!$E$37</f>
        <v>--</v>
      </c>
      <c r="N56" s="1226" t="str">
        <f>'DATA GPC'!$E$38</f>
        <v>--</v>
      </c>
      <c r="O56" s="1226" t="str">
        <f>'DATA GPC'!$E$39</f>
        <v>--</v>
      </c>
      <c r="P56" s="2060"/>
      <c r="Q56" s="2060"/>
      <c r="R56" s="1515"/>
      <c r="S56" s="1518"/>
      <c r="T56" s="1508"/>
      <c r="U56" s="1508"/>
      <c r="V56" s="1508"/>
      <c r="W56" s="1508"/>
      <c r="X56" s="1508"/>
      <c r="Y56" s="1508"/>
      <c r="Z56" s="1508"/>
      <c r="AA56" s="2060"/>
      <c r="AB56" s="1508"/>
      <c r="AC56" s="1515"/>
      <c r="AD56" s="1508"/>
      <c r="AE56" s="1508"/>
      <c r="AF56" s="1508"/>
      <c r="AG56" s="1508"/>
    </row>
    <row r="57" spans="1:33" ht="12.95" customHeight="1">
      <c r="A57" s="1510" t="str">
        <f t="shared" si="6"/>
        <v>n</v>
      </c>
      <c r="B57" s="1518"/>
      <c r="C57" s="1227"/>
      <c r="D57" s="1227"/>
      <c r="E57" s="1259"/>
      <c r="F57" s="1558" t="str">
        <f>'WACC and TIC Inputs'!$G$139</f>
        <v>--</v>
      </c>
      <c r="G57" s="1558" t="str">
        <f>'WACC and TIC Inputs'!$G$140</f>
        <v>--</v>
      </c>
      <c r="H57" s="1558" t="str">
        <f>'WACC and TIC Inputs'!$G$141</f>
        <v>--</v>
      </c>
      <c r="I57" s="1558" t="str">
        <f>'WACC and TIC Inputs'!$G$142</f>
        <v>--</v>
      </c>
      <c r="J57" s="1558" t="str">
        <f>'WACC and TIC Inputs'!$G$153</f>
        <v>--</v>
      </c>
      <c r="K57" s="1558" t="str">
        <f>'WACC and TIC Inputs'!$G$153</f>
        <v>--</v>
      </c>
      <c r="L57" s="1558" t="str">
        <f>'WACC and TIC Inputs'!$G$153</f>
        <v>--</v>
      </c>
      <c r="M57" s="1558" t="str">
        <f>'WACC and TIC Inputs'!$G$153</f>
        <v>--</v>
      </c>
      <c r="N57" s="1558" t="str">
        <f>'WACC and TIC Inputs'!$G$153</f>
        <v>--</v>
      </c>
      <c r="O57" s="1558" t="str">
        <f>'WACC and TIC Inputs'!$G$153</f>
        <v>--</v>
      </c>
      <c r="P57" s="2060"/>
      <c r="Q57" s="2060"/>
      <c r="R57" s="1508"/>
      <c r="S57" s="1518"/>
      <c r="T57" s="1508"/>
      <c r="U57" s="1508"/>
      <c r="V57" s="1508"/>
      <c r="W57" s="1508"/>
      <c r="X57" s="1508"/>
      <c r="Y57" s="1508"/>
      <c r="Z57" s="1508"/>
      <c r="AA57" s="2060"/>
      <c r="AB57" s="1508"/>
      <c r="AC57" s="1515"/>
      <c r="AD57" s="1508"/>
      <c r="AE57" s="1508"/>
      <c r="AF57" s="1508"/>
      <c r="AG57" s="1508"/>
    </row>
    <row r="58" spans="1:33" ht="12.95" customHeight="1">
      <c r="A58" s="1510" t="str">
        <f t="shared" si="6"/>
        <v>n</v>
      </c>
      <c r="B58" s="1518"/>
      <c r="C58" s="1228" t="s">
        <v>1740</v>
      </c>
      <c r="D58" s="1229"/>
      <c r="E58" s="1260"/>
      <c r="F58" s="1230" t="str">
        <f>IF(F56="--","--",_xll.ciqfunctions.udf.CIQ(F57,"IQ_FILING_CURRENCY",2000,Valuation_Date_GC))</f>
        <v>--</v>
      </c>
      <c r="G58" s="1230" t="str">
        <f>IF(G56="--","--",_xll.ciqfunctions.udf.CIQ(G57,"IQ_FILING_CURRENCY",2000,Valuation_Date_GC))</f>
        <v>--</v>
      </c>
      <c r="H58" s="1230" t="str">
        <f>IF(H56="--","--",_xll.ciqfunctions.udf.CIQ(H57,"IQ_FILING_CURRENCY",2000,Valuation_Date_GC))</f>
        <v>--</v>
      </c>
      <c r="I58" s="1230" t="str">
        <f>IF(I56="--","--",_xll.ciqfunctions.udf.CIQ(I57,"IQ_FILING_CURRENCY",2000,Valuation_Date_GC))</f>
        <v>--</v>
      </c>
      <c r="J58" s="1230" t="str">
        <f>IF(J56="--","--",_xll.ciqfunctions.udf.CIQ(J57,"IQ_FILING_CURRENCY",2000,Valuation_Date_GC))</f>
        <v>--</v>
      </c>
      <c r="K58" s="1230" t="str">
        <f>IF(K56="--","--",_xll.ciqfunctions.udf.CIQ(K57,"IQ_FILING_CURRENCY",2000,Valuation_Date_GC))</f>
        <v>--</v>
      </c>
      <c r="L58" s="1230" t="str">
        <f>IF(L56="--","--",_xll.ciqfunctions.udf.CIQ(L57,"IQ_FILING_CURRENCY",2000,Valuation_Date_GC))</f>
        <v>--</v>
      </c>
      <c r="M58" s="1230" t="str">
        <f>IF(M56="--","--",_xll.ciqfunctions.udf.CIQ(M57,"IQ_FILING_CURRENCY",2000,Valuation_Date_GC))</f>
        <v>--</v>
      </c>
      <c r="N58" s="1230" t="str">
        <f>IF(N56="--","--",_xll.ciqfunctions.udf.CIQ(N57,"IQ_FILING_CURRENCY",2000,Valuation_Date_GC))</f>
        <v>--</v>
      </c>
      <c r="O58" s="1230" t="str">
        <f>IF(O56="--","--",_xll.ciqfunctions.udf.CIQ(O57,"IQ_FILING_CURRENCY",2000,Valuation_Date_GC))</f>
        <v>--</v>
      </c>
      <c r="P58" s="2060"/>
      <c r="Q58" s="2060"/>
      <c r="R58" s="1508"/>
      <c r="S58" s="1518"/>
      <c r="T58" s="1508"/>
      <c r="U58" s="1508"/>
      <c r="V58" s="1508"/>
      <c r="W58" s="1508"/>
      <c r="X58" s="1508"/>
      <c r="Y58" s="1508"/>
      <c r="Z58" s="1508"/>
      <c r="AA58" s="2060"/>
      <c r="AB58" s="1508"/>
      <c r="AC58" s="1515"/>
      <c r="AD58" s="1508"/>
      <c r="AE58" s="1508"/>
      <c r="AF58" s="1508"/>
      <c r="AG58" s="1508"/>
    </row>
    <row r="59" spans="1:33" ht="12.95" customHeight="1">
      <c r="A59" s="1510" t="str">
        <f t="shared" si="6"/>
        <v>n</v>
      </c>
      <c r="B59" s="1518"/>
      <c r="C59" s="387"/>
      <c r="D59" s="496"/>
      <c r="E59" s="705"/>
      <c r="F59" s="146"/>
      <c r="G59" s="395"/>
      <c r="H59" s="395"/>
      <c r="I59" s="1559"/>
      <c r="J59" s="1559"/>
      <c r="K59" s="1559"/>
      <c r="L59" s="1559"/>
      <c r="M59" s="1559"/>
      <c r="N59" s="1559"/>
      <c r="O59" s="1559"/>
      <c r="P59" s="2060"/>
      <c r="Q59" s="2060"/>
      <c r="R59" s="1508"/>
      <c r="S59" s="1518"/>
      <c r="T59" s="1508"/>
      <c r="U59" s="1508"/>
      <c r="V59" s="1508"/>
      <c r="W59" s="1508"/>
      <c r="X59" s="1508"/>
      <c r="Y59" s="1508"/>
      <c r="Z59" s="1508"/>
      <c r="AA59" s="2060"/>
      <c r="AB59" s="1508"/>
      <c r="AC59" s="1515"/>
      <c r="AD59" s="1508"/>
      <c r="AE59" s="1508"/>
      <c r="AF59" s="1508"/>
      <c r="AG59" s="1508"/>
    </row>
    <row r="60" spans="1:33" ht="12.95" customHeight="1">
      <c r="A60" s="1510" t="str">
        <f t="shared" si="6"/>
        <v>n</v>
      </c>
      <c r="B60" s="1518"/>
      <c r="C60" s="462" t="str">
        <f>"Reported Earnings Before Tax "&amp;$AE$7</f>
        <v>Reported Earnings Before Tax LFY</v>
      </c>
      <c r="D60" s="1538"/>
      <c r="E60" s="672"/>
      <c r="F60" s="391" t="str">
        <f>IF(F$57="","",IFERROR((_xll.ciqfunctions.udf.CIQ(F$57,$AC60,$AD$7,Valuation_date,ReportType,DataMode,F$58,FXMode)*Scale),"--"))</f>
        <v>--</v>
      </c>
      <c r="G60" s="391" t="str">
        <f>IF(G$57="","",IFERROR((_xll.ciqfunctions.udf.CIQ(G$57,$AC60,$AD$7,Valuation_date,ReportType,DataMode,G$58,FXMode)*Scale),"--"))</f>
        <v>--</v>
      </c>
      <c r="H60" s="391" t="str">
        <f>IF(H$57="","",IFERROR((_xll.ciqfunctions.udf.CIQ(H$57,$AC60,$AD$7,Valuation_date,ReportType,DataMode,H$58,FXMode)*Scale),"--"))</f>
        <v>--</v>
      </c>
      <c r="I60" s="391" t="str">
        <f>IF(I$57="","",IFERROR((_xll.ciqfunctions.udf.CIQ(I$57,$AC60,$AD$7,Valuation_date,ReportType,DataMode,I$58,FXMode)*Scale),"--"))</f>
        <v>--</v>
      </c>
      <c r="J60" s="391" t="str">
        <f>IF(J$57="","",IFERROR((_xll.ciqfunctions.udf.CIQ(J$57,$AC60,$AD$7,Valuation_date,ReportType,DataMode,J$58,FXMode)*Scale),"--"))</f>
        <v>--</v>
      </c>
      <c r="K60" s="391" t="str">
        <f>IF(K$57="","",IFERROR((_xll.ciqfunctions.udf.CIQ(K$57,$AC60,$AD$7,Valuation_date,ReportType,DataMode,K$58,FXMode)*Scale),"--"))</f>
        <v>--</v>
      </c>
      <c r="L60" s="391" t="str">
        <f>IF(L$57="","",IFERROR((_xll.ciqfunctions.udf.CIQ(L$57,$AC60,$AD$7,Valuation_date,ReportType,DataMode,L$58,FXMode)*Scale),"--"))</f>
        <v>--</v>
      </c>
      <c r="M60" s="391" t="str">
        <f>IF(M$57="","",IFERROR((_xll.ciqfunctions.udf.CIQ(M$57,$AC60,$AD$7,Valuation_date,ReportType,DataMode,M$58,FXMode)*Scale),"--"))</f>
        <v>--</v>
      </c>
      <c r="N60" s="391" t="str">
        <f>IF(N$57="","",IFERROR((_xll.ciqfunctions.udf.CIQ(N$57,$AC60,$AD$7,Valuation_date,ReportType,DataMode,N$58,FXMode)*Scale),"--"))</f>
        <v>--</v>
      </c>
      <c r="O60" s="391" t="str">
        <f>IF(O$57="","",IFERROR((_xll.ciqfunctions.udf.CIQ(O$57,$AC60,$AD$7,Valuation_date,ReportType,DataMode,O$58,FXMode)*Scale),"--"))</f>
        <v>--</v>
      </c>
      <c r="P60" s="2060"/>
      <c r="Q60" s="2060"/>
      <c r="R60" s="1508"/>
      <c r="S60" s="1518"/>
      <c r="T60" s="1508"/>
      <c r="U60" s="1508"/>
      <c r="V60" s="1508"/>
      <c r="W60" s="1508"/>
      <c r="X60" s="1508"/>
      <c r="Y60" s="1508"/>
      <c r="Z60" s="1508"/>
      <c r="AA60" s="2060"/>
      <c r="AB60" s="180"/>
      <c r="AC60" s="203" t="s">
        <v>797</v>
      </c>
      <c r="AD60" s="195"/>
      <c r="AE60" s="195"/>
      <c r="AF60" s="195"/>
      <c r="AG60" s="195"/>
    </row>
    <row r="61" spans="1:33" ht="12.95" customHeight="1">
      <c r="A61" s="969" t="str">
        <f t="shared" ref="A61:A69" si="7">IF(OR(MAX(F61:O61)&gt;Tolerance,MIN(F61:O61)&lt;-Tolerance),"","n")</f>
        <v>n</v>
      </c>
      <c r="B61" s="602"/>
      <c r="C61" s="497" t="s">
        <v>1741</v>
      </c>
      <c r="D61" s="2208">
        <f>D13</f>
        <v>0</v>
      </c>
      <c r="E61" s="672"/>
      <c r="F61" s="391" t="str">
        <f>IF(F$57="","",IFERROR((_xll.ciqfunctions.udf.CIQ(F$57,$AC61,$AD$7,Valuation_date,ReportType,DataMode,F$58,FXMode)*Scale),"--"))</f>
        <v>--</v>
      </c>
      <c r="G61" s="391" t="str">
        <f>IF(G$57="","",IFERROR((_xll.ciqfunctions.udf.CIQ(G$57,$AC61,$AD$7,Valuation_date,ReportType,DataMode,G$58,FXMode)*Scale),"--"))</f>
        <v>--</v>
      </c>
      <c r="H61" s="391" t="str">
        <f>IF(H$57="","",IFERROR((_xll.ciqfunctions.udf.CIQ(H$57,$AC61,$AD$7,Valuation_date,ReportType,DataMode,H$58,FXMode)*Scale),"--"))</f>
        <v>--</v>
      </c>
      <c r="I61" s="391" t="str">
        <f>IF(I$57="","",IFERROR((_xll.ciqfunctions.udf.CIQ(I$57,$AC61,$AD$7,Valuation_date,ReportType,DataMode,I$58,FXMode)*Scale),"--"))</f>
        <v>--</v>
      </c>
      <c r="J61" s="391" t="str">
        <f>IF(J$57="","",IFERROR((_xll.ciqfunctions.udf.CIQ(J$57,$AC61,$AD$7,Valuation_date,ReportType,DataMode,J$58,FXMode)*Scale),"--"))</f>
        <v>--</v>
      </c>
      <c r="K61" s="391" t="str">
        <f>IF(K$57="","",IFERROR((_xll.ciqfunctions.udf.CIQ(K$57,$AC61,$AD$7,Valuation_date,ReportType,DataMode,K$58,FXMode)*Scale),"--"))</f>
        <v>--</v>
      </c>
      <c r="L61" s="391" t="str">
        <f>IF(L$57="","",IFERROR((_xll.ciqfunctions.udf.CIQ(L$57,$AC61,$AD$7,Valuation_date,ReportType,DataMode,L$58,FXMode)*Scale),"--"))</f>
        <v>--</v>
      </c>
      <c r="M61" s="391" t="str">
        <f>IF(M$57="","",IFERROR((_xll.ciqfunctions.udf.CIQ(M$57,$AC61,$AD$7,Valuation_date,ReportType,DataMode,M$58,FXMode)*Scale),"--"))</f>
        <v>--</v>
      </c>
      <c r="N61" s="391" t="str">
        <f>IF(N$57="","",IFERROR((_xll.ciqfunctions.udf.CIQ(N$57,$AC61,$AD$7,Valuation_date,ReportType,DataMode,N$58,FXMode)*Scale),"--"))</f>
        <v>--</v>
      </c>
      <c r="O61" s="391" t="str">
        <f>IF(O$57="","",IFERROR((_xll.ciqfunctions.udf.CIQ(O$57,$AC61,$AD$7,Valuation_date,ReportType,DataMode,O$58,FXMode)*Scale),"--"))</f>
        <v>--</v>
      </c>
      <c r="P61" s="2060"/>
      <c r="Q61" s="2060"/>
      <c r="R61" s="1508"/>
      <c r="S61" s="1518"/>
      <c r="T61" s="1508"/>
      <c r="U61" s="1508"/>
      <c r="V61" s="1508"/>
      <c r="W61" s="1508"/>
      <c r="X61" s="1508"/>
      <c r="Y61" s="1508"/>
      <c r="Z61" s="1508"/>
      <c r="AA61" s="2060"/>
      <c r="AB61" s="180"/>
      <c r="AC61" s="204" t="s">
        <v>1742</v>
      </c>
      <c r="AD61" s="191"/>
      <c r="AE61" s="191"/>
      <c r="AF61" s="191"/>
      <c r="AG61" s="191"/>
    </row>
    <row r="62" spans="1:33" ht="12.95" customHeight="1">
      <c r="A62" s="969" t="str">
        <f t="shared" si="7"/>
        <v>n</v>
      </c>
      <c r="B62" s="602"/>
      <c r="C62" s="497" t="s">
        <v>1743</v>
      </c>
      <c r="D62" s="2208">
        <f t="shared" ref="D62:D69" si="8">D14</f>
        <v>0</v>
      </c>
      <c r="E62" s="672"/>
      <c r="F62" s="391" t="str">
        <f>IF(F$57="","",IFERROR((_xll.ciqfunctions.udf.CIQ(F$57,$AC62,$AD$7,Valuation_date,ReportType,DataMode,F$58,FXMode)*Scale),"--"))</f>
        <v>--</v>
      </c>
      <c r="G62" s="391" t="str">
        <f>IF(G$57="","",IFERROR((_xll.ciqfunctions.udf.CIQ(G$57,$AC62,$AD$7,Valuation_date,ReportType,DataMode,G$58,FXMode)*Scale),"--"))</f>
        <v>--</v>
      </c>
      <c r="H62" s="391" t="str">
        <f>IF(H$57="","",IFERROR((_xll.ciqfunctions.udf.CIQ(H$57,$AC62,$AD$7,Valuation_date,ReportType,DataMode,H$58,FXMode)*Scale),"--"))</f>
        <v>--</v>
      </c>
      <c r="I62" s="391" t="str">
        <f>IF(I$57="","",IFERROR((_xll.ciqfunctions.udf.CIQ(I$57,$AC62,$AD$7,Valuation_date,ReportType,DataMode,I$58,FXMode)*Scale),"--"))</f>
        <v>--</v>
      </c>
      <c r="J62" s="391" t="str">
        <f>IF(J$57="","",IFERROR((_xll.ciqfunctions.udf.CIQ(J$57,$AC62,$AD$7,Valuation_date,ReportType,DataMode,J$58,FXMode)*Scale),"--"))</f>
        <v>--</v>
      </c>
      <c r="K62" s="391" t="str">
        <f>IF(K$57="","",IFERROR((_xll.ciqfunctions.udf.CIQ(K$57,$AC62,$AD$7,Valuation_date,ReportType,DataMode,K$58,FXMode)*Scale),"--"))</f>
        <v>--</v>
      </c>
      <c r="L62" s="391" t="str">
        <f>IF(L$57="","",IFERROR((_xll.ciqfunctions.udf.CIQ(L$57,$AC62,$AD$7,Valuation_date,ReportType,DataMode,L$58,FXMode)*Scale),"--"))</f>
        <v>--</v>
      </c>
      <c r="M62" s="391" t="str">
        <f>IF(M$57="","",IFERROR((_xll.ciqfunctions.udf.CIQ(M$57,$AC62,$AD$7,Valuation_date,ReportType,DataMode,M$58,FXMode)*Scale),"--"))</f>
        <v>--</v>
      </c>
      <c r="N62" s="391" t="str">
        <f>IF(N$57="","",IFERROR((_xll.ciqfunctions.udf.CIQ(N$57,$AC62,$AD$7,Valuation_date,ReportType,DataMode,N$58,FXMode)*Scale),"--"))</f>
        <v>--</v>
      </c>
      <c r="O62" s="391" t="str">
        <f>IF(O$57="","",IFERROR((_xll.ciqfunctions.udf.CIQ(O$57,$AC62,$AD$7,Valuation_date,ReportType,DataMode,O$58,FXMode)*Scale),"--"))</f>
        <v>--</v>
      </c>
      <c r="P62" s="2060"/>
      <c r="Q62" s="2060"/>
      <c r="R62" s="1508"/>
      <c r="S62" s="1518"/>
      <c r="T62" s="1508"/>
      <c r="U62" s="1508"/>
      <c r="V62" s="1508"/>
      <c r="W62" s="1508"/>
      <c r="X62" s="1508"/>
      <c r="Y62" s="1508"/>
      <c r="Z62" s="1508"/>
      <c r="AA62" s="2060"/>
      <c r="AB62" s="180"/>
      <c r="AC62" s="180" t="s">
        <v>1744</v>
      </c>
      <c r="AD62" s="191"/>
      <c r="AE62" s="191"/>
      <c r="AF62" s="191"/>
      <c r="AG62" s="191"/>
    </row>
    <row r="63" spans="1:33" customFormat="1" ht="12.95" customHeight="1">
      <c r="A63" s="969" t="str">
        <f t="shared" si="7"/>
        <v>n</v>
      </c>
      <c r="B63" s="602"/>
      <c r="C63" s="497" t="s">
        <v>1745</v>
      </c>
      <c r="D63" s="2208">
        <f t="shared" si="8"/>
        <v>0</v>
      </c>
      <c r="E63" s="672"/>
      <c r="F63" s="391" t="str">
        <f>IF(F$57="","",IFERROR((_xll.ciqfunctions.udf.CIQ(F$57,$AC63,$AD$7,Valuation_date,ReportType,DataMode,F$58,FXMode)*Scale),"--"))</f>
        <v>--</v>
      </c>
      <c r="G63" s="391" t="str">
        <f>IF(G$57="","",IFERROR((_xll.ciqfunctions.udf.CIQ(G$57,$AC63,$AD$7,Valuation_date,ReportType,DataMode,G$58,FXMode)*Scale),"--"))</f>
        <v>--</v>
      </c>
      <c r="H63" s="391" t="str">
        <f>IF(H$57="","",IFERROR((_xll.ciqfunctions.udf.CIQ(H$57,$AC63,$AD$7,Valuation_date,ReportType,DataMode,H$58,FXMode)*Scale),"--"))</f>
        <v>--</v>
      </c>
      <c r="I63" s="391" t="str">
        <f>IF(I$57="","",IFERROR((_xll.ciqfunctions.udf.CIQ(I$57,$AC63,$AD$7,Valuation_date,ReportType,DataMode,I$58,FXMode)*Scale),"--"))</f>
        <v>--</v>
      </c>
      <c r="J63" s="391" t="str">
        <f>IF(J$57="","",IFERROR((_xll.ciqfunctions.udf.CIQ(J$57,$AC63,$AD$7,Valuation_date,ReportType,DataMode,J$58,FXMode)*Scale),"--"))</f>
        <v>--</v>
      </c>
      <c r="K63" s="391" t="str">
        <f>IF(K$57="","",IFERROR((_xll.ciqfunctions.udf.CIQ(K$57,$AC63,$AD$7,Valuation_date,ReportType,DataMode,K$58,FXMode)*Scale),"--"))</f>
        <v>--</v>
      </c>
      <c r="L63" s="391" t="str">
        <f>IF(L$57="","",IFERROR((_xll.ciqfunctions.udf.CIQ(L$57,$AC63,$AD$7,Valuation_date,ReportType,DataMode,L$58,FXMode)*Scale),"--"))</f>
        <v>--</v>
      </c>
      <c r="M63" s="391" t="str">
        <f>IF(M$57="","",IFERROR((_xll.ciqfunctions.udf.CIQ(M$57,$AC63,$AD$7,Valuation_date,ReportType,DataMode,M$58,FXMode)*Scale),"--"))</f>
        <v>--</v>
      </c>
      <c r="N63" s="391" t="str">
        <f>IF(N$57="","",IFERROR((_xll.ciqfunctions.udf.CIQ(N$57,$AC63,$AD$7,Valuation_date,ReportType,DataMode,N$58,FXMode)*Scale),"--"))</f>
        <v>--</v>
      </c>
      <c r="O63" s="391" t="str">
        <f>IF(O$57="","",IFERROR((_xll.ciqfunctions.udf.CIQ(O$57,$AC63,$AD$7,Valuation_date,ReportType,DataMode,O$58,FXMode)*Scale),"--"))</f>
        <v>--</v>
      </c>
      <c r="P63" s="2060"/>
      <c r="Q63" s="2060"/>
      <c r="R63" s="1508"/>
      <c r="S63" s="1518"/>
      <c r="T63" s="2060"/>
      <c r="U63" s="2060"/>
      <c r="V63" s="2060"/>
      <c r="W63" s="2060"/>
      <c r="X63" s="2060"/>
      <c r="Y63" s="2060"/>
      <c r="Z63" s="2060"/>
      <c r="AA63" s="2060"/>
      <c r="AB63" s="180"/>
      <c r="AC63" s="180" t="s">
        <v>1746</v>
      </c>
      <c r="AD63" s="191"/>
      <c r="AE63" s="191"/>
      <c r="AF63" s="191"/>
      <c r="AG63" s="191"/>
    </row>
    <row r="64" spans="1:33" customFormat="1" ht="12.95" customHeight="1">
      <c r="A64" s="969" t="str">
        <f t="shared" si="7"/>
        <v>n</v>
      </c>
      <c r="B64" s="602"/>
      <c r="C64" s="497" t="s">
        <v>1747</v>
      </c>
      <c r="D64" s="2208">
        <f t="shared" si="8"/>
        <v>0</v>
      </c>
      <c r="E64" s="672"/>
      <c r="F64" s="391" t="str">
        <f>IF(F$57="","",IFERROR((_xll.ciqfunctions.udf.CIQ(F$57,$AC64,$AD$7,Valuation_date,ReportType,DataMode,F$58,FXMode)*Scale),"--"))</f>
        <v>--</v>
      </c>
      <c r="G64" s="391" t="str">
        <f>IF(G$57="","",IFERROR((_xll.ciqfunctions.udf.CIQ(G$57,$AC64,$AD$7,Valuation_date,ReportType,DataMode,G$58,FXMode)*Scale),"--"))</f>
        <v>--</v>
      </c>
      <c r="H64" s="391" t="str">
        <f>IF(H$57="","",IFERROR((_xll.ciqfunctions.udf.CIQ(H$57,$AC64,$AD$7,Valuation_date,ReportType,DataMode,H$58,FXMode)*Scale),"--"))</f>
        <v>--</v>
      </c>
      <c r="I64" s="391" t="str">
        <f>IF(I$57="","",IFERROR((_xll.ciqfunctions.udf.CIQ(I$57,$AC64,$AD$7,Valuation_date,ReportType,DataMode,I$58,FXMode)*Scale),"--"))</f>
        <v>--</v>
      </c>
      <c r="J64" s="391" t="str">
        <f>IF(J$57="","",IFERROR((_xll.ciqfunctions.udf.CIQ(J$57,$AC64,$AD$7,Valuation_date,ReportType,DataMode,J$58,FXMode)*Scale),"--"))</f>
        <v>--</v>
      </c>
      <c r="K64" s="391" t="str">
        <f>IF(K$57="","",IFERROR((_xll.ciqfunctions.udf.CIQ(K$57,$AC64,$AD$7,Valuation_date,ReportType,DataMode,K$58,FXMode)*Scale),"--"))</f>
        <v>--</v>
      </c>
      <c r="L64" s="391" t="str">
        <f>IF(L$57="","",IFERROR((_xll.ciqfunctions.udf.CIQ(L$57,$AC64,$AD$7,Valuation_date,ReportType,DataMode,L$58,FXMode)*Scale),"--"))</f>
        <v>--</v>
      </c>
      <c r="M64" s="391" t="str">
        <f>IF(M$57="","",IFERROR((_xll.ciqfunctions.udf.CIQ(M$57,$AC64,$AD$7,Valuation_date,ReportType,DataMode,M$58,FXMode)*Scale),"--"))</f>
        <v>--</v>
      </c>
      <c r="N64" s="391" t="str">
        <f>IF(N$57="","",IFERROR((_xll.ciqfunctions.udf.CIQ(N$57,$AC64,$AD$7,Valuation_date,ReportType,DataMode,N$58,FXMode)*Scale),"--"))</f>
        <v>--</v>
      </c>
      <c r="O64" s="391" t="str">
        <f>IF(O$57="","",IFERROR((_xll.ciqfunctions.udf.CIQ(O$57,$AC64,$AD$7,Valuation_date,ReportType,DataMode,O$58,FXMode)*Scale),"--"))</f>
        <v>--</v>
      </c>
      <c r="P64" s="2060"/>
      <c r="Q64" s="2060"/>
      <c r="R64" s="1508"/>
      <c r="S64" s="1518"/>
      <c r="T64" s="2060"/>
      <c r="U64" s="2060"/>
      <c r="V64" s="2060"/>
      <c r="W64" s="2060"/>
      <c r="X64" s="2060"/>
      <c r="Y64" s="2060"/>
      <c r="Z64" s="2060"/>
      <c r="AA64" s="2060"/>
      <c r="AB64" s="180"/>
      <c r="AC64" s="180" t="s">
        <v>1748</v>
      </c>
      <c r="AD64" s="191"/>
      <c r="AE64" s="191"/>
      <c r="AF64" s="191"/>
      <c r="AG64" s="191"/>
    </row>
    <row r="65" spans="1:33" customFormat="1" ht="12.95" customHeight="1">
      <c r="A65" s="969" t="str">
        <f t="shared" si="7"/>
        <v>n</v>
      </c>
      <c r="B65" s="602"/>
      <c r="C65" s="497" t="s">
        <v>1749</v>
      </c>
      <c r="D65" s="2208">
        <f t="shared" si="8"/>
        <v>0</v>
      </c>
      <c r="E65" s="672"/>
      <c r="F65" s="391" t="str">
        <f>IF(F$57="","",IFERROR((_xll.ciqfunctions.udf.CIQ(F$57,$AC65,$AD$7,Valuation_date,ReportType,DataMode,F$58,FXMode)*Scale),"--"))</f>
        <v>--</v>
      </c>
      <c r="G65" s="391" t="str">
        <f>IF(G$57="","",IFERROR((_xll.ciqfunctions.udf.CIQ(G$57,$AC65,$AD$7,Valuation_date,ReportType,DataMode,G$58,FXMode)*Scale),"--"))</f>
        <v>--</v>
      </c>
      <c r="H65" s="391" t="str">
        <f>IF(H$57="","",IFERROR((_xll.ciqfunctions.udf.CIQ(H$57,$AC65,$AD$7,Valuation_date,ReportType,DataMode,H$58,FXMode)*Scale),"--"))</f>
        <v>--</v>
      </c>
      <c r="I65" s="391" t="str">
        <f>IF(I$57="","",IFERROR((_xll.ciqfunctions.udf.CIQ(I$57,$AC65,$AD$7,Valuation_date,ReportType,DataMode,I$58,FXMode)*Scale),"--"))</f>
        <v>--</v>
      </c>
      <c r="J65" s="391" t="str">
        <f>IF(J$57="","",IFERROR((_xll.ciqfunctions.udf.CIQ(J$57,$AC65,$AD$7,Valuation_date,ReportType,DataMode,J$58,FXMode)*Scale),"--"))</f>
        <v>--</v>
      </c>
      <c r="K65" s="391" t="str">
        <f>IF(K$57="","",IFERROR((_xll.ciqfunctions.udf.CIQ(K$57,$AC65,$AD$7,Valuation_date,ReportType,DataMode,K$58,FXMode)*Scale),"--"))</f>
        <v>--</v>
      </c>
      <c r="L65" s="391" t="str">
        <f>IF(L$57="","",IFERROR((_xll.ciqfunctions.udf.CIQ(L$57,$AC65,$AD$7,Valuation_date,ReportType,DataMode,L$58,FXMode)*Scale),"--"))</f>
        <v>--</v>
      </c>
      <c r="M65" s="391" t="str">
        <f>IF(M$57="","",IFERROR((_xll.ciqfunctions.udf.CIQ(M$57,$AC65,$AD$7,Valuation_date,ReportType,DataMode,M$58,FXMode)*Scale),"--"))</f>
        <v>--</v>
      </c>
      <c r="N65" s="391" t="str">
        <f>IF(N$57="","",IFERROR((_xll.ciqfunctions.udf.CIQ(N$57,$AC65,$AD$7,Valuation_date,ReportType,DataMode,N$58,FXMode)*Scale),"--"))</f>
        <v>--</v>
      </c>
      <c r="O65" s="391" t="str">
        <f>IF(O$57="","",IFERROR((_xll.ciqfunctions.udf.CIQ(O$57,$AC65,$AD$7,Valuation_date,ReportType,DataMode,O$58,FXMode)*Scale),"--"))</f>
        <v>--</v>
      </c>
      <c r="P65" s="2060"/>
      <c r="Q65" s="2060"/>
      <c r="R65" s="1508"/>
      <c r="S65" s="1518"/>
      <c r="T65" s="2060"/>
      <c r="U65" s="2060"/>
      <c r="V65" s="2060"/>
      <c r="W65" s="2060"/>
      <c r="X65" s="2060"/>
      <c r="Y65" s="2060"/>
      <c r="Z65" s="2060"/>
      <c r="AA65" s="2060"/>
      <c r="AB65" s="180"/>
      <c r="AC65" s="180" t="s">
        <v>1750</v>
      </c>
      <c r="AD65" s="191"/>
      <c r="AE65" s="191"/>
      <c r="AF65" s="191"/>
      <c r="AG65" s="191"/>
    </row>
    <row r="66" spans="1:33" customFormat="1" ht="13.9">
      <c r="A66" s="969" t="str">
        <f t="shared" si="7"/>
        <v>n</v>
      </c>
      <c r="B66" s="602"/>
      <c r="C66" s="497" t="s">
        <v>1751</v>
      </c>
      <c r="D66" s="2208">
        <f t="shared" si="8"/>
        <v>0</v>
      </c>
      <c r="E66" s="672"/>
      <c r="F66" s="391" t="str">
        <f>IF(F$57="","",IFERROR((_xll.ciqfunctions.udf.CIQ(F$57,$AC66,$AD$7,Valuation_date,ReportType,DataMode,F$58,FXMode)*Scale),"--"))</f>
        <v>--</v>
      </c>
      <c r="G66" s="391" t="str">
        <f>IF(G$57="","",IFERROR((_xll.ciqfunctions.udf.CIQ(G$57,$AC66,$AD$7,Valuation_date,ReportType,DataMode,G$58,FXMode)*Scale),"--"))</f>
        <v>--</v>
      </c>
      <c r="H66" s="391" t="str">
        <f>IF(H$57="","",IFERROR((_xll.ciqfunctions.udf.CIQ(H$57,$AC66,$AD$7,Valuation_date,ReportType,DataMode,H$58,FXMode)*Scale),"--"))</f>
        <v>--</v>
      </c>
      <c r="I66" s="391" t="str">
        <f>IF(I$57="","",IFERROR((_xll.ciqfunctions.udf.CIQ(I$57,$AC66,$AD$7,Valuation_date,ReportType,DataMode,I$58,FXMode)*Scale),"--"))</f>
        <v>--</v>
      </c>
      <c r="J66" s="391" t="str">
        <f>IF(J$57="","",IFERROR((_xll.ciqfunctions.udf.CIQ(J$57,$AC66,$AD$7,Valuation_date,ReportType,DataMode,J$58,FXMode)*Scale),"--"))</f>
        <v>--</v>
      </c>
      <c r="K66" s="391" t="str">
        <f>IF(K$57="","",IFERROR((_xll.ciqfunctions.udf.CIQ(K$57,$AC66,$AD$7,Valuation_date,ReportType,DataMode,K$58,FXMode)*Scale),"--"))</f>
        <v>--</v>
      </c>
      <c r="L66" s="391" t="str">
        <f>IF(L$57="","",IFERROR((_xll.ciqfunctions.udf.CIQ(L$57,$AC66,$AD$7,Valuation_date,ReportType,DataMode,L$58,FXMode)*Scale),"--"))</f>
        <v>--</v>
      </c>
      <c r="M66" s="391" t="str">
        <f>IF(M$57="","",IFERROR((_xll.ciqfunctions.udf.CIQ(M$57,$AC66,$AD$7,Valuation_date,ReportType,DataMode,M$58,FXMode)*Scale),"--"))</f>
        <v>--</v>
      </c>
      <c r="N66" s="391" t="str">
        <f>IF(N$57="","",IFERROR((_xll.ciqfunctions.udf.CIQ(N$57,$AC66,$AD$7,Valuation_date,ReportType,DataMode,N$58,FXMode)*Scale),"--"))</f>
        <v>--</v>
      </c>
      <c r="O66" s="391" t="str">
        <f>IF(O$57="","",IFERROR((_xll.ciqfunctions.udf.CIQ(O$57,$AC66,$AD$7,Valuation_date,ReportType,DataMode,O$58,FXMode)*Scale),"--"))</f>
        <v>--</v>
      </c>
      <c r="P66" s="2060"/>
      <c r="Q66" s="2060"/>
      <c r="R66" s="1508"/>
      <c r="S66" s="1518"/>
      <c r="T66" s="2060"/>
      <c r="U66" s="2060"/>
      <c r="V66" s="2060"/>
      <c r="W66" s="2060"/>
      <c r="X66" s="2060"/>
      <c r="Y66" s="2060"/>
      <c r="Z66" s="2060"/>
      <c r="AA66" s="2060"/>
      <c r="AB66" s="180"/>
      <c r="AC66" s="205" t="s">
        <v>1752</v>
      </c>
      <c r="AD66" s="191"/>
      <c r="AE66" s="191"/>
      <c r="AF66" s="191"/>
      <c r="AG66" s="191"/>
    </row>
    <row r="67" spans="1:33" customFormat="1" ht="12.95" customHeight="1">
      <c r="A67" s="969" t="str">
        <f t="shared" si="7"/>
        <v>n</v>
      </c>
      <c r="B67" s="602"/>
      <c r="C67" s="497" t="s">
        <v>1753</v>
      </c>
      <c r="D67" s="2208">
        <f t="shared" si="8"/>
        <v>0</v>
      </c>
      <c r="E67" s="672"/>
      <c r="F67" s="391" t="str">
        <f>IF(F$57="","",IFERROR((_xll.ciqfunctions.udf.CIQ(F$57,$AC67,$AD$7,Valuation_date,ReportType,DataMode,F$58,FXMode)*Scale),"--"))</f>
        <v>--</v>
      </c>
      <c r="G67" s="391" t="str">
        <f>IF(G$57="","",IFERROR((_xll.ciqfunctions.udf.CIQ(G$57,$AC67,$AD$7,Valuation_date,ReportType,DataMode,G$58,FXMode)*Scale),"--"))</f>
        <v>--</v>
      </c>
      <c r="H67" s="391" t="str">
        <f>IF(H$57="","",IFERROR((_xll.ciqfunctions.udf.CIQ(H$57,$AC67,$AD$7,Valuation_date,ReportType,DataMode,H$58,FXMode)*Scale),"--"))</f>
        <v>--</v>
      </c>
      <c r="I67" s="391" t="str">
        <f>IF(I$57="","",IFERROR((_xll.ciqfunctions.udf.CIQ(I$57,$AC67,$AD$7,Valuation_date,ReportType,DataMode,I$58,FXMode)*Scale),"--"))</f>
        <v>--</v>
      </c>
      <c r="J67" s="391" t="str">
        <f>IF(J$57="","",IFERROR((_xll.ciqfunctions.udf.CIQ(J$57,$AC67,$AD$7,Valuation_date,ReportType,DataMode,J$58,FXMode)*Scale),"--"))</f>
        <v>--</v>
      </c>
      <c r="K67" s="391" t="str">
        <f>IF(K$57="","",IFERROR((_xll.ciqfunctions.udf.CIQ(K$57,$AC67,$AD$7,Valuation_date,ReportType,DataMode,K$58,FXMode)*Scale),"--"))</f>
        <v>--</v>
      </c>
      <c r="L67" s="391" t="str">
        <f>IF(L$57="","",IFERROR((_xll.ciqfunctions.udf.CIQ(L$57,$AC67,$AD$7,Valuation_date,ReportType,DataMode,L$58,FXMode)*Scale),"--"))</f>
        <v>--</v>
      </c>
      <c r="M67" s="391" t="str">
        <f>IF(M$57="","",IFERROR((_xll.ciqfunctions.udf.CIQ(M$57,$AC67,$AD$7,Valuation_date,ReportType,DataMode,M$58,FXMode)*Scale),"--"))</f>
        <v>--</v>
      </c>
      <c r="N67" s="391" t="str">
        <f>IF(N$57="","",IFERROR((_xll.ciqfunctions.udf.CIQ(N$57,$AC67,$AD$7,Valuation_date,ReportType,DataMode,N$58,FXMode)*Scale),"--"))</f>
        <v>--</v>
      </c>
      <c r="O67" s="391" t="str">
        <f>IF(O$57="","",IFERROR((_xll.ciqfunctions.udf.CIQ(O$57,$AC67,$AD$7,Valuation_date,ReportType,DataMode,O$58,FXMode)*Scale),"--"))</f>
        <v>--</v>
      </c>
      <c r="P67" s="2060"/>
      <c r="Q67" s="2060"/>
      <c r="R67" s="1508"/>
      <c r="S67" s="1518"/>
      <c r="T67" s="2060"/>
      <c r="U67" s="2060"/>
      <c r="V67" s="2060"/>
      <c r="W67" s="2060"/>
      <c r="X67" s="2060"/>
      <c r="Y67" s="2060"/>
      <c r="Z67" s="2060"/>
      <c r="AA67" s="2060"/>
      <c r="AB67" s="180"/>
      <c r="AC67" s="180" t="s">
        <v>1754</v>
      </c>
      <c r="AD67" s="191"/>
      <c r="AE67" s="191"/>
      <c r="AF67" s="191"/>
      <c r="AG67" s="191"/>
    </row>
    <row r="68" spans="1:33" customFormat="1" ht="12.95" customHeight="1">
      <c r="A68" s="969" t="str">
        <f t="shared" si="7"/>
        <v>n</v>
      </c>
      <c r="B68" s="602"/>
      <c r="C68" s="497" t="s">
        <v>1755</v>
      </c>
      <c r="D68" s="2208">
        <f t="shared" si="8"/>
        <v>0</v>
      </c>
      <c r="E68" s="672"/>
      <c r="F68" s="391" t="str">
        <f>IF(F$57="","",IFERROR((_xll.ciqfunctions.udf.CIQ(F$57,$AC68,$AD$7,Valuation_date,ReportType,DataMode,F$58,FXMode)*Scale),"--"))</f>
        <v>--</v>
      </c>
      <c r="G68" s="391" t="str">
        <f>IF(G$57="","",IFERROR((_xll.ciqfunctions.udf.CIQ(G$57,$AC68,$AD$7,Valuation_date,ReportType,DataMode,G$58,FXMode)*Scale),"--"))</f>
        <v>--</v>
      </c>
      <c r="H68" s="391" t="str">
        <f>IF(H$57="","",IFERROR((_xll.ciqfunctions.udf.CIQ(H$57,$AC68,$AD$7,Valuation_date,ReportType,DataMode,H$58,FXMode)*Scale),"--"))</f>
        <v>--</v>
      </c>
      <c r="I68" s="391" t="str">
        <f>IF(I$57="","",IFERROR((_xll.ciqfunctions.udf.CIQ(I$57,$AC68,$AD$7,Valuation_date,ReportType,DataMode,I$58,FXMode)*Scale),"--"))</f>
        <v>--</v>
      </c>
      <c r="J68" s="391" t="str">
        <f>IF(J$57="","",IFERROR((_xll.ciqfunctions.udf.CIQ(J$57,$AC68,$AD$7,Valuation_date,ReportType,DataMode,J$58,FXMode)*Scale),"--"))</f>
        <v>--</v>
      </c>
      <c r="K68" s="391" t="str">
        <f>IF(K$57="","",IFERROR((_xll.ciqfunctions.udf.CIQ(K$57,$AC68,$AD$7,Valuation_date,ReportType,DataMode,K$58,FXMode)*Scale),"--"))</f>
        <v>--</v>
      </c>
      <c r="L68" s="391" t="str">
        <f>IF(L$57="","",IFERROR((_xll.ciqfunctions.udf.CIQ(L$57,$AC68,$AD$7,Valuation_date,ReportType,DataMode,L$58,FXMode)*Scale),"--"))</f>
        <v>--</v>
      </c>
      <c r="M68" s="391" t="str">
        <f>IF(M$57="","",IFERROR((_xll.ciqfunctions.udf.CIQ(M$57,$AC68,$AD$7,Valuation_date,ReportType,DataMode,M$58,FXMode)*Scale),"--"))</f>
        <v>--</v>
      </c>
      <c r="N68" s="391" t="str">
        <f>IF(N$57="","",IFERROR((_xll.ciqfunctions.udf.CIQ(N$57,$AC68,$AD$7,Valuation_date,ReportType,DataMode,N$58,FXMode)*Scale),"--"))</f>
        <v>--</v>
      </c>
      <c r="O68" s="391" t="str">
        <f>IF(O$57="","",IFERROR((_xll.ciqfunctions.udf.CIQ(O$57,$AC68,$AD$7,Valuation_date,ReportType,DataMode,O$58,FXMode)*Scale),"--"))</f>
        <v>--</v>
      </c>
      <c r="P68" s="2060"/>
      <c r="Q68" s="2060"/>
      <c r="R68" s="1508"/>
      <c r="S68" s="1518"/>
      <c r="T68" s="2060"/>
      <c r="U68" s="2060"/>
      <c r="V68" s="2060"/>
      <c r="W68" s="2060"/>
      <c r="X68" s="2060"/>
      <c r="Y68" s="2060"/>
      <c r="Z68" s="2060"/>
      <c r="AA68" s="2060"/>
      <c r="AB68" s="180"/>
      <c r="AC68" s="180" t="s">
        <v>1756</v>
      </c>
      <c r="AD68" s="191"/>
      <c r="AE68" s="191"/>
      <c r="AF68" s="191"/>
      <c r="AG68" s="191"/>
    </row>
    <row r="69" spans="1:33" customFormat="1" ht="12.95" customHeight="1">
      <c r="A69" s="969" t="str">
        <f t="shared" si="7"/>
        <v>n</v>
      </c>
      <c r="B69" s="602"/>
      <c r="C69" s="497" t="s">
        <v>1757</v>
      </c>
      <c r="D69" s="2208">
        <f t="shared" si="8"/>
        <v>0</v>
      </c>
      <c r="E69" s="678"/>
      <c r="F69" s="391" t="str">
        <f>IF(F$57="","",IFERROR((_xll.ciqfunctions.udf.CIQ(F$57,$AC69,$AD$7,Valuation_date,ReportType,DataMode,F$58,FXMode)*Scale),"--"))</f>
        <v>--</v>
      </c>
      <c r="G69" s="391" t="str">
        <f>IF(G$57="","",IFERROR((_xll.ciqfunctions.udf.CIQ(G$57,$AC69,$AD$7,Valuation_date,ReportType,DataMode,G$58,FXMode)*Scale),"--"))</f>
        <v>--</v>
      </c>
      <c r="H69" s="391" t="str">
        <f>IF(H$57="","",IFERROR((_xll.ciqfunctions.udf.CIQ(H$57,$AC69,$AD$7,Valuation_date,ReportType,DataMode,H$58,FXMode)*Scale),"--"))</f>
        <v>--</v>
      </c>
      <c r="I69" s="391" t="str">
        <f>IF(I$57="","",IFERROR((_xll.ciqfunctions.udf.CIQ(I$57,$AC69,$AD$7,Valuation_date,ReportType,DataMode,I$58,FXMode)*Scale),"--"))</f>
        <v>--</v>
      </c>
      <c r="J69" s="391" t="str">
        <f>IF(J$57="","",IFERROR((_xll.ciqfunctions.udf.CIQ(J$57,$AC69,$AD$7,Valuation_date,ReportType,DataMode,J$58,FXMode)*Scale),"--"))</f>
        <v>--</v>
      </c>
      <c r="K69" s="391" t="str">
        <f>IF(K$57="","",IFERROR((_xll.ciqfunctions.udf.CIQ(K$57,$AC69,$AD$7,Valuation_date,ReportType,DataMode,K$58,FXMode)*Scale),"--"))</f>
        <v>--</v>
      </c>
      <c r="L69" s="391" t="str">
        <f>IF(L$57="","",IFERROR((_xll.ciqfunctions.udf.CIQ(L$57,$AC69,$AD$7,Valuation_date,ReportType,DataMode,L$58,FXMode)*Scale),"--"))</f>
        <v>--</v>
      </c>
      <c r="M69" s="391" t="str">
        <f>IF(M$57="","",IFERROR((_xll.ciqfunctions.udf.CIQ(M$57,$AC69,$AD$7,Valuation_date,ReportType,DataMode,M$58,FXMode)*Scale),"--"))</f>
        <v>--</v>
      </c>
      <c r="N69" s="391" t="str">
        <f>IF(N$57="","",IFERROR((_xll.ciqfunctions.udf.CIQ(N$57,$AC69,$AD$7,Valuation_date,ReportType,DataMode,N$58,FXMode)*Scale),"--"))</f>
        <v>--</v>
      </c>
      <c r="O69" s="391" t="str">
        <f>IF(O$57="","",IFERROR((_xll.ciqfunctions.udf.CIQ(O$57,$AC69,$AD$7,Valuation_date,ReportType,DataMode,O$58,FXMode)*Scale),"--"))</f>
        <v>--</v>
      </c>
      <c r="P69" s="2060"/>
      <c r="Q69" s="2060"/>
      <c r="R69" s="151"/>
      <c r="S69" s="1518"/>
      <c r="T69" s="2060"/>
      <c r="U69" s="2060"/>
      <c r="V69" s="2060"/>
      <c r="W69" s="2060"/>
      <c r="X69" s="2060"/>
      <c r="Y69" s="2060"/>
      <c r="Z69" s="2060"/>
      <c r="AA69" s="2060"/>
      <c r="AB69" s="180"/>
      <c r="AC69" s="205" t="s">
        <v>1758</v>
      </c>
      <c r="AD69" s="191"/>
      <c r="AE69" s="191"/>
      <c r="AF69" s="191"/>
      <c r="AG69" s="191"/>
    </row>
    <row r="70" spans="1:33" s="646" customFormat="1" ht="12.95" customHeight="1">
      <c r="A70" s="1510" t="str">
        <f>$A$49</f>
        <v>n</v>
      </c>
      <c r="B70" s="602"/>
      <c r="C70" s="1237" t="str">
        <f>"Expected Adjusted Earnings Before Tax "&amp;$AE$7</f>
        <v>Expected Adjusted Earnings Before Tax LFY</v>
      </c>
      <c r="D70" s="1666"/>
      <c r="E70" s="1239"/>
      <c r="F70" s="1240" t="str">
        <f t="shared" ref="F70:O70" si="9">IFERROR(F60-SUM(F61:F69),"--")</f>
        <v>--</v>
      </c>
      <c r="G70" s="1240" t="str">
        <f t="shared" si="9"/>
        <v>--</v>
      </c>
      <c r="H70" s="1240" t="str">
        <f t="shared" si="9"/>
        <v>--</v>
      </c>
      <c r="I70" s="1240" t="str">
        <f t="shared" si="9"/>
        <v>--</v>
      </c>
      <c r="J70" s="1240" t="str">
        <f t="shared" si="9"/>
        <v>--</v>
      </c>
      <c r="K70" s="1240" t="str">
        <f t="shared" si="9"/>
        <v>--</v>
      </c>
      <c r="L70" s="1240" t="str">
        <f t="shared" si="9"/>
        <v>--</v>
      </c>
      <c r="M70" s="1240" t="str">
        <f t="shared" si="9"/>
        <v>--</v>
      </c>
      <c r="N70" s="1240" t="str">
        <f t="shared" si="9"/>
        <v>--</v>
      </c>
      <c r="O70" s="1240" t="str">
        <f t="shared" si="9"/>
        <v>--</v>
      </c>
      <c r="P70" s="2060"/>
      <c r="Q70" s="2060"/>
      <c r="R70" s="151"/>
      <c r="S70" s="1518"/>
      <c r="T70" s="2060"/>
      <c r="U70" s="2060"/>
      <c r="V70" s="2060"/>
      <c r="W70" s="2060"/>
      <c r="X70" s="2060"/>
      <c r="Y70" s="2060"/>
      <c r="Z70" s="2060"/>
      <c r="AA70" s="2060"/>
      <c r="AB70" s="180"/>
      <c r="AC70" s="205"/>
      <c r="AD70" s="191"/>
      <c r="AE70" s="191"/>
      <c r="AF70" s="191"/>
      <c r="AG70" s="191"/>
    </row>
    <row r="71" spans="1:33" s="646" customFormat="1" ht="12.95" customHeight="1">
      <c r="A71" s="1510" t="str">
        <f>$A$49</f>
        <v>n</v>
      </c>
      <c r="B71" s="602"/>
      <c r="C71" s="497"/>
      <c r="D71" s="2060"/>
      <c r="E71" s="1261"/>
      <c r="F71" s="499"/>
      <c r="G71" s="499"/>
      <c r="H71" s="499"/>
      <c r="I71" s="499"/>
      <c r="J71" s="499"/>
      <c r="K71" s="499"/>
      <c r="L71" s="499"/>
      <c r="M71" s="499"/>
      <c r="N71" s="499"/>
      <c r="O71" s="499"/>
      <c r="P71" s="2060"/>
      <c r="Q71" s="2060"/>
      <c r="R71" s="151"/>
      <c r="S71" s="1518"/>
      <c r="T71" s="2060"/>
      <c r="U71" s="2060"/>
      <c r="V71" s="2060"/>
      <c r="W71" s="2060"/>
      <c r="X71" s="2060"/>
      <c r="Y71" s="2060"/>
      <c r="Z71" s="2060"/>
      <c r="AA71" s="2060"/>
      <c r="AB71" s="180"/>
      <c r="AC71" s="205"/>
      <c r="AD71" s="191"/>
      <c r="AE71" s="191"/>
      <c r="AF71" s="191"/>
      <c r="AG71" s="191"/>
    </row>
    <row r="72" spans="1:33" customFormat="1" ht="12.95" customHeight="1">
      <c r="A72" s="1510" t="str">
        <f>$A$49</f>
        <v>n</v>
      </c>
      <c r="B72" s="602"/>
      <c r="C72" s="1228" t="s">
        <v>1759</v>
      </c>
      <c r="D72" s="1812"/>
      <c r="E72" s="1262"/>
      <c r="F72" s="1263" t="str">
        <f t="shared" ref="F72:O72" si="10">IFERROR(ROUND(F70-F74,4),"--")</f>
        <v>--</v>
      </c>
      <c r="G72" s="1263" t="str">
        <f t="shared" si="10"/>
        <v>--</v>
      </c>
      <c r="H72" s="1263" t="str">
        <f t="shared" si="10"/>
        <v>--</v>
      </c>
      <c r="I72" s="1263" t="str">
        <f t="shared" si="10"/>
        <v>--</v>
      </c>
      <c r="J72" s="1263" t="str">
        <f t="shared" si="10"/>
        <v>--</v>
      </c>
      <c r="K72" s="1263" t="str">
        <f t="shared" si="10"/>
        <v>--</v>
      </c>
      <c r="L72" s="1263" t="str">
        <f t="shared" si="10"/>
        <v>--</v>
      </c>
      <c r="M72" s="1263" t="str">
        <f t="shared" si="10"/>
        <v>--</v>
      </c>
      <c r="N72" s="1263" t="str">
        <f t="shared" si="10"/>
        <v>--</v>
      </c>
      <c r="O72" s="1263" t="str">
        <f t="shared" si="10"/>
        <v>--</v>
      </c>
      <c r="P72" s="2060"/>
      <c r="Q72" s="2060"/>
      <c r="R72" s="1508"/>
      <c r="S72" s="1518"/>
      <c r="T72" s="2060"/>
      <c r="U72" s="2060"/>
      <c r="V72" s="2060"/>
      <c r="W72" s="2060"/>
      <c r="X72" s="2060"/>
      <c r="Y72" s="2060"/>
      <c r="Z72" s="2060"/>
      <c r="AA72" s="2060"/>
      <c r="AB72" s="180"/>
      <c r="AC72" s="205"/>
      <c r="AD72" s="191"/>
      <c r="AE72" s="191"/>
      <c r="AF72" s="191"/>
      <c r="AG72" s="191"/>
    </row>
    <row r="73" spans="1:33" s="119" customFormat="1" ht="12.95" customHeight="1">
      <c r="A73" s="1510" t="str">
        <f>$A$49</f>
        <v>n</v>
      </c>
      <c r="B73" s="602"/>
      <c r="C73" s="497"/>
      <c r="D73" s="1667"/>
      <c r="E73" s="674"/>
      <c r="F73" s="499"/>
      <c r="G73" s="499"/>
      <c r="H73" s="499"/>
      <c r="I73" s="499"/>
      <c r="J73" s="499"/>
      <c r="K73" s="499"/>
      <c r="L73" s="499"/>
      <c r="M73" s="499"/>
      <c r="N73" s="499"/>
      <c r="O73" s="499"/>
      <c r="P73" s="2060"/>
      <c r="Q73" s="2060"/>
      <c r="R73" s="1508"/>
      <c r="S73" s="1518"/>
      <c r="T73" s="2060"/>
      <c r="U73" s="2060"/>
      <c r="V73" s="2060"/>
      <c r="W73" s="2060"/>
      <c r="X73" s="2060"/>
      <c r="Y73" s="2060"/>
      <c r="Z73" s="2060"/>
      <c r="AA73" s="2060"/>
      <c r="AB73" s="180"/>
      <c r="AC73" s="205"/>
      <c r="AD73" s="191"/>
      <c r="AE73" s="191"/>
      <c r="AF73" s="191"/>
      <c r="AG73" s="191"/>
    </row>
    <row r="74" spans="1:33" customFormat="1" ht="12.95" customHeight="1">
      <c r="A74" s="969" t="str">
        <f>IF(OR(MAX(F74:O74)&gt;Tolerance,MIN(F74:O74)&lt;-Tolerance),"","n")</f>
        <v>n</v>
      </c>
      <c r="B74" s="602"/>
      <c r="C74" s="495" t="str">
        <f>"Capital IQ Earnings Before Tax "&amp;$AE$7</f>
        <v>Capital IQ Earnings Before Tax LFY</v>
      </c>
      <c r="D74" s="2208">
        <f>D26</f>
        <v>0</v>
      </c>
      <c r="E74" s="673"/>
      <c r="F74" s="500" t="str">
        <f>IF(F$57="","",IFERROR((_xll.ciqfunctions.udf.CIQ(F$57,$AC74,$AD$7,Valuation_date,ReportType,DataMode,F$58,FXMode)*Scale),"--"))</f>
        <v>--</v>
      </c>
      <c r="G74" s="500" t="str">
        <f>IF(G$57="","",IFERROR((_xll.ciqfunctions.udf.CIQ(G$57,$AC74,$AD$7,Valuation_date,ReportType,DataMode,G$58,FXMode)*Scale),"--"))</f>
        <v>--</v>
      </c>
      <c r="H74" s="500" t="str">
        <f>IF(H$57="","",IFERROR((_xll.ciqfunctions.udf.CIQ(H$57,$AC74,$AD$7,Valuation_date,ReportType,DataMode,H$58,FXMode)*Scale),"--"))</f>
        <v>--</v>
      </c>
      <c r="I74" s="500" t="str">
        <f>IF(I$57="","",IFERROR((_xll.ciqfunctions.udf.CIQ(I$57,$AC74,$AD$7,Valuation_date,ReportType,DataMode,I$58,FXMode)*Scale),"--"))</f>
        <v>--</v>
      </c>
      <c r="J74" s="500" t="str">
        <f>IF(J$57="","",IFERROR((_xll.ciqfunctions.udf.CIQ(J$57,$AC74,$AD$7,Valuation_date,ReportType,DataMode,J$58,FXMode)*Scale),"--"))</f>
        <v>--</v>
      </c>
      <c r="K74" s="500" t="str">
        <f>IF(K$57="","",IFERROR((_xll.ciqfunctions.udf.CIQ(K$57,$AC74,$AD$7,Valuation_date,ReportType,DataMode,K$58,FXMode)*Scale),"--"))</f>
        <v>--</v>
      </c>
      <c r="L74" s="500" t="str">
        <f>IF(L$57="","",IFERROR((_xll.ciqfunctions.udf.CIQ(L$57,$AC74,$AD$7,Valuation_date,ReportType,DataMode,L$58,FXMode)*Scale),"--"))</f>
        <v>--</v>
      </c>
      <c r="M74" s="500" t="str">
        <f>IF(M$57="","",IFERROR((_xll.ciqfunctions.udf.CIQ(M$57,$AC74,$AD$7,Valuation_date,ReportType,DataMode,M$58,FXMode)*Scale),"--"))</f>
        <v>--</v>
      </c>
      <c r="N74" s="500" t="str">
        <f>IF(N$57="","",IFERROR((_xll.ciqfunctions.udf.CIQ(N$57,$AC74,$AD$7,Valuation_date,ReportType,DataMode,N$58,FXMode)*Scale),"--"))</f>
        <v>--</v>
      </c>
      <c r="O74" s="500" t="str">
        <f>IF(O$57="","",IFERROR((_xll.ciqfunctions.udf.CIQ(O$57,$AC74,$AD$7,Valuation_date,ReportType,DataMode,O$58,FXMode)*Scale),"--"))</f>
        <v>--</v>
      </c>
      <c r="P74" s="2060"/>
      <c r="Q74" s="2060"/>
      <c r="R74" s="1508"/>
      <c r="S74" s="1518"/>
      <c r="T74" s="2060"/>
      <c r="U74" s="2060"/>
      <c r="V74" s="2060"/>
      <c r="W74" s="2060"/>
      <c r="X74" s="2060"/>
      <c r="Y74" s="2060"/>
      <c r="Z74" s="2060"/>
      <c r="AA74" s="2060"/>
      <c r="AB74" s="180"/>
      <c r="AC74" s="205" t="s">
        <v>1760</v>
      </c>
      <c r="AD74" s="191"/>
      <c r="AE74" s="191"/>
      <c r="AF74" s="191"/>
      <c r="AG74" s="191"/>
    </row>
    <row r="75" spans="1:33" customFormat="1" ht="12.95" customHeight="1">
      <c r="A75" s="969" t="str">
        <f>IF(OR(MAX(F75:O75)&gt;Tolerance,MIN(F75:O75)&lt;-Tolerance),"","n")</f>
        <v>n</v>
      </c>
      <c r="B75" s="1518"/>
      <c r="C75" s="497" t="s">
        <v>1761</v>
      </c>
      <c r="D75" s="2208">
        <f>D27</f>
        <v>0</v>
      </c>
      <c r="E75" s="614"/>
      <c r="F75" s="501" t="str">
        <f>IF(F$57="","",IFERROR(-(_xll.ciqfunctions.udf.CIQ(F$57,$AC75,$AD$7,Valuation_date,ReportType,DataMode,F$58,FXMode)*Scale),"--"))</f>
        <v>--</v>
      </c>
      <c r="G75" s="501" t="str">
        <f>IF(G$57="","",IFERROR(-(_xll.ciqfunctions.udf.CIQ(G$57,$AC75,$AD$7,Valuation_date,ReportType,DataMode,G$58,FXMode)*Scale),"--"))</f>
        <v>--</v>
      </c>
      <c r="H75" s="501" t="str">
        <f>IF(H$57="","",IFERROR(-(_xll.ciqfunctions.udf.CIQ(H$57,$AC75,$AD$7,Valuation_date,ReportType,DataMode,H$58,FXMode)*Scale),"--"))</f>
        <v>--</v>
      </c>
      <c r="I75" s="501" t="str">
        <f>IF(I$57="","",IFERROR(-(_xll.ciqfunctions.udf.CIQ(I$57,$AC75,$AD$7,Valuation_date,ReportType,DataMode,I$58,FXMode)*Scale),"--"))</f>
        <v>--</v>
      </c>
      <c r="J75" s="501" t="str">
        <f>IF(J$57="","",IFERROR(-(_xll.ciqfunctions.udf.CIQ(J$57,$AC75,$AD$7,Valuation_date,ReportType,DataMode,J$58,FXMode)*Scale),"--"))</f>
        <v>--</v>
      </c>
      <c r="K75" s="501" t="str">
        <f>IF(K$57="","",IFERROR(-(_xll.ciqfunctions.udf.CIQ(K$57,$AC75,$AD$7,Valuation_date,ReportType,DataMode,K$58,FXMode)*Scale),"--"))</f>
        <v>--</v>
      </c>
      <c r="L75" s="501" t="str">
        <f>IF(L$57="","",IFERROR(-(_xll.ciqfunctions.udf.CIQ(L$57,$AC75,$AD$7,Valuation_date,ReportType,DataMode,L$58,FXMode)*Scale),"--"))</f>
        <v>--</v>
      </c>
      <c r="M75" s="501" t="str">
        <f>IF(M$57="","",IFERROR(-(_xll.ciqfunctions.udf.CIQ(M$57,$AC75,$AD$7,Valuation_date,ReportType,DataMode,M$58,FXMode)*Scale),"--"))</f>
        <v>--</v>
      </c>
      <c r="N75" s="501" t="str">
        <f>IF(N$57="","",IFERROR(-(_xll.ciqfunctions.udf.CIQ(N$57,$AC75,$AD$7,Valuation_date,ReportType,DataMode,N$58,FXMode)*Scale),"--"))</f>
        <v>--</v>
      </c>
      <c r="O75" s="501" t="str">
        <f>IF(O$57="","",IFERROR(-(_xll.ciqfunctions.udf.CIQ(O$57,$AC75,$AD$7,Valuation_date,ReportType,DataMode,O$58,FXMode)*Scale),"--"))</f>
        <v>--</v>
      </c>
      <c r="P75" s="2060"/>
      <c r="Q75" s="2060"/>
      <c r="R75" s="1508"/>
      <c r="S75" s="1518"/>
      <c r="T75" s="2060"/>
      <c r="U75" s="2060"/>
      <c r="V75" s="2060"/>
      <c r="W75" s="2060"/>
      <c r="X75" s="2060"/>
      <c r="Y75" s="2060"/>
      <c r="Z75" s="2060"/>
      <c r="AA75" s="2060"/>
      <c r="AB75" s="180"/>
      <c r="AC75" s="205" t="s">
        <v>1762</v>
      </c>
      <c r="AD75" s="191"/>
      <c r="AE75" s="191"/>
      <c r="AF75" s="191"/>
      <c r="AG75" s="191"/>
    </row>
    <row r="76" spans="1:33" customFormat="1" ht="12.95" customHeight="1">
      <c r="A76" s="969" t="str">
        <f>IF(OR(MAX(F76:O76)&gt;Tolerance,MIN(F76:O76)&lt;-Tolerance),"","n")</f>
        <v>n</v>
      </c>
      <c r="B76" s="1518"/>
      <c r="C76" s="497" t="s">
        <v>1763</v>
      </c>
      <c r="D76" s="2208">
        <f>D28</f>
        <v>0</v>
      </c>
      <c r="E76" s="1567"/>
      <c r="F76" s="501" t="str">
        <f>IF(F$57="","",IFERROR(-(_xll.ciqfunctions.udf.CIQ(F$57,$AC76,$AD$7,Valuation_date,ReportType,DataMode,F$58,FXMode)*Scale),"--"))</f>
        <v>--</v>
      </c>
      <c r="G76" s="501" t="str">
        <f>IF(G$57="","",IFERROR(-(_xll.ciqfunctions.udf.CIQ(G$57,$AC76,$AD$7,Valuation_date,ReportType,DataMode,G$58,FXMode)*Scale),"--"))</f>
        <v>--</v>
      </c>
      <c r="H76" s="501" t="str">
        <f>IF(H$57="","",IFERROR(-(_xll.ciqfunctions.udf.CIQ(H$57,$AC76,$AD$7,Valuation_date,ReportType,DataMode,H$58,FXMode)*Scale),"--"))</f>
        <v>--</v>
      </c>
      <c r="I76" s="501" t="str">
        <f>IF(I$57="","",IFERROR(-(_xll.ciqfunctions.udf.CIQ(I$57,$AC76,$AD$7,Valuation_date,ReportType,DataMode,I$58,FXMode)*Scale),"--"))</f>
        <v>--</v>
      </c>
      <c r="J76" s="501" t="str">
        <f>IF(J$57="","",IFERROR(-(_xll.ciqfunctions.udf.CIQ(J$57,$AC76,$AD$7,Valuation_date,ReportType,DataMode,J$58,FXMode)*Scale),"--"))</f>
        <v>--</v>
      </c>
      <c r="K76" s="501" t="str">
        <f>IF(K$57="","",IFERROR(-(_xll.ciqfunctions.udf.CIQ(K$57,$AC76,$AD$7,Valuation_date,ReportType,DataMode,K$58,FXMode)*Scale),"--"))</f>
        <v>--</v>
      </c>
      <c r="L76" s="501" t="str">
        <f>IF(L$57="","",IFERROR(-(_xll.ciqfunctions.udf.CIQ(L$57,$AC76,$AD$7,Valuation_date,ReportType,DataMode,L$58,FXMode)*Scale),"--"))</f>
        <v>--</v>
      </c>
      <c r="M76" s="501" t="str">
        <f>IF(M$57="","",IFERROR(-(_xll.ciqfunctions.udf.CIQ(M$57,$AC76,$AD$7,Valuation_date,ReportType,DataMode,M$58,FXMode)*Scale),"--"))</f>
        <v>--</v>
      </c>
      <c r="N76" s="501" t="str">
        <f>IF(N$57="","",IFERROR(-(_xll.ciqfunctions.udf.CIQ(N$57,$AC76,$AD$7,Valuation_date,ReportType,DataMode,N$58,FXMode)*Scale),"--"))</f>
        <v>--</v>
      </c>
      <c r="O76" s="501" t="str">
        <f>IF(O$57="","",IFERROR(-(_xll.ciqfunctions.udf.CIQ(O$57,$AC76,$AD$7,Valuation_date,ReportType,DataMode,O$58,FXMode)*Scale),"--"))</f>
        <v>--</v>
      </c>
      <c r="P76" s="2060"/>
      <c r="Q76" s="2060"/>
      <c r="R76" s="1508"/>
      <c r="S76" s="1518"/>
      <c r="T76" s="2060"/>
      <c r="U76" s="2060"/>
      <c r="V76" s="2060"/>
      <c r="W76" s="2060"/>
      <c r="X76" s="2060"/>
      <c r="Y76" s="2060"/>
      <c r="Z76" s="2060"/>
      <c r="AA76" s="2060"/>
      <c r="AB76" s="180"/>
      <c r="AC76" s="205" t="s">
        <v>1764</v>
      </c>
      <c r="AD76" s="191"/>
      <c r="AE76" s="191"/>
      <c r="AF76" s="191"/>
      <c r="AG76" s="191"/>
    </row>
    <row r="77" spans="1:33" customFormat="1" ht="12.95" customHeight="1">
      <c r="A77" s="969" t="str">
        <f>IF(OR(MAX(F77:O77)&gt;Tolerance,MIN(F77:O77)&lt;-Tolerance),"","n")</f>
        <v>n</v>
      </c>
      <c r="B77" s="1518"/>
      <c r="C77" s="497" t="s">
        <v>1765</v>
      </c>
      <c r="D77" s="2208">
        <f>D29</f>
        <v>0</v>
      </c>
      <c r="E77" s="673"/>
      <c r="F77" s="501" t="str">
        <f>IF(F$57="","",IFERROR(-(_xll.ciqfunctions.udf.CIQ(F$57,$AC77,$AD$7,Valuation_date,ReportType,DataMode,F$58,FXMode)*Scale),"--"))</f>
        <v>--</v>
      </c>
      <c r="G77" s="501" t="str">
        <f>IF(G$57="","",IFERROR(-(_xll.ciqfunctions.udf.CIQ(G$57,$AC77,$AD$7,Valuation_date,ReportType,DataMode,G$58,FXMode)*Scale),"--"))</f>
        <v>--</v>
      </c>
      <c r="H77" s="501" t="str">
        <f>IF(H$57="","",IFERROR(-(_xll.ciqfunctions.udf.CIQ(H$57,$AC77,$AD$7,Valuation_date,ReportType,DataMode,H$58,FXMode)*Scale),"--"))</f>
        <v>--</v>
      </c>
      <c r="I77" s="501" t="str">
        <f>IF(I$57="","",IFERROR(-(_xll.ciqfunctions.udf.CIQ(I$57,$AC77,$AD$7,Valuation_date,ReportType,DataMode,I$58,FXMode)*Scale),"--"))</f>
        <v>--</v>
      </c>
      <c r="J77" s="501" t="str">
        <f>IF(J$57="","",IFERROR(-(_xll.ciqfunctions.udf.CIQ(J$57,$AC77,$AD$7,Valuation_date,ReportType,DataMode,J$58,FXMode)*Scale),"--"))</f>
        <v>--</v>
      </c>
      <c r="K77" s="501" t="str">
        <f>IF(K$57="","",IFERROR(-(_xll.ciqfunctions.udf.CIQ(K$57,$AC77,$AD$7,Valuation_date,ReportType,DataMode,K$58,FXMode)*Scale),"--"))</f>
        <v>--</v>
      </c>
      <c r="L77" s="501" t="str">
        <f>IF(L$57="","",IFERROR(-(_xll.ciqfunctions.udf.CIQ(L$57,$AC77,$AD$7,Valuation_date,ReportType,DataMode,L$58,FXMode)*Scale),"--"))</f>
        <v>--</v>
      </c>
      <c r="M77" s="501" t="str">
        <f>IF(M$57="","",IFERROR(-(_xll.ciqfunctions.udf.CIQ(M$57,$AC77,$AD$7,Valuation_date,ReportType,DataMode,M$58,FXMode)*Scale),"--"))</f>
        <v>--</v>
      </c>
      <c r="N77" s="501" t="str">
        <f>IF(N$57="","",IFERROR(-(_xll.ciqfunctions.udf.CIQ(N$57,$AC77,$AD$7,Valuation_date,ReportType,DataMode,N$58,FXMode)*Scale),"--"))</f>
        <v>--</v>
      </c>
      <c r="O77" s="501" t="str">
        <f>IF(O$57="","",IFERROR(-(_xll.ciqfunctions.udf.CIQ(O$57,$AC77,$AD$7,Valuation_date,ReportType,DataMode,O$58,FXMode)*Scale),"--"))</f>
        <v>--</v>
      </c>
      <c r="P77" s="2060"/>
      <c r="Q77" s="2060"/>
      <c r="R77" s="1508"/>
      <c r="S77" s="1518"/>
      <c r="T77" s="2060"/>
      <c r="U77" s="2060"/>
      <c r="V77" s="2060"/>
      <c r="W77" s="2060"/>
      <c r="X77" s="2060"/>
      <c r="Y77" s="2060"/>
      <c r="Z77" s="2060"/>
      <c r="AA77" s="2060"/>
      <c r="AB77" s="180"/>
      <c r="AC77" s="205" t="s">
        <v>1766</v>
      </c>
      <c r="AD77" s="191"/>
      <c r="AE77" s="191"/>
      <c r="AF77" s="191"/>
      <c r="AG77" s="191"/>
    </row>
    <row r="78" spans="1:33" customFormat="1" ht="12.95" customHeight="1">
      <c r="A78" s="969" t="str">
        <f>IF(OR(MAX(F78:O78)&gt;Tolerance,MIN(F78:O78)&lt;-Tolerance),"","n")</f>
        <v>n</v>
      </c>
      <c r="B78" s="1518"/>
      <c r="C78" s="497" t="s">
        <v>1767</v>
      </c>
      <c r="D78" s="2208">
        <f>D30</f>
        <v>0</v>
      </c>
      <c r="E78" s="672"/>
      <c r="F78" s="501" t="str">
        <f>IF(F$57="","",IFERROR(-(_xll.ciqfunctions.udf.CIQ(F$57,$AC78,$AD$7,Valuation_date,ReportType,DataMode,F$58,FXMode)*Scale),"--"))</f>
        <v>--</v>
      </c>
      <c r="G78" s="501" t="str">
        <f>IF(G$57="","",IFERROR(-(_xll.ciqfunctions.udf.CIQ(G$57,$AC78,$AD$7,Valuation_date,ReportType,DataMode,G$58,FXMode)*Scale),"--"))</f>
        <v>--</v>
      </c>
      <c r="H78" s="501" t="str">
        <f>IF(H$57="","",IFERROR(-(_xll.ciqfunctions.udf.CIQ(H$57,$AC78,$AD$7,Valuation_date,ReportType,DataMode,H$58,FXMode)*Scale),"--"))</f>
        <v>--</v>
      </c>
      <c r="I78" s="501" t="str">
        <f>IF(I$57="","",IFERROR(-(_xll.ciqfunctions.udf.CIQ(I$57,$AC78,$AD$7,Valuation_date,ReportType,DataMode,I$58,FXMode)*Scale),"--"))</f>
        <v>--</v>
      </c>
      <c r="J78" s="501" t="str">
        <f>IF(J$57="","",IFERROR(-(_xll.ciqfunctions.udf.CIQ(J$57,$AC78,$AD$7,Valuation_date,ReportType,DataMode,J$58,FXMode)*Scale),"--"))</f>
        <v>--</v>
      </c>
      <c r="K78" s="501" t="str">
        <f>IF(K$57="","",IFERROR(-(_xll.ciqfunctions.udf.CIQ(K$57,$AC78,$AD$7,Valuation_date,ReportType,DataMode,K$58,FXMode)*Scale),"--"))</f>
        <v>--</v>
      </c>
      <c r="L78" s="501" t="str">
        <f>IF(L$57="","",IFERROR(-(_xll.ciqfunctions.udf.CIQ(L$57,$AC78,$AD$7,Valuation_date,ReportType,DataMode,L$58,FXMode)*Scale),"--"))</f>
        <v>--</v>
      </c>
      <c r="M78" s="501" t="str">
        <f>IF(M$57="","",IFERROR(-(_xll.ciqfunctions.udf.CIQ(M$57,$AC78,$AD$7,Valuation_date,ReportType,DataMode,M$58,FXMode)*Scale),"--"))</f>
        <v>--</v>
      </c>
      <c r="N78" s="501" t="str">
        <f>IF(N$57="","",IFERROR(-(_xll.ciqfunctions.udf.CIQ(N$57,$AC78,$AD$7,Valuation_date,ReportType,DataMode,N$58,FXMode)*Scale),"--"))</f>
        <v>--</v>
      </c>
      <c r="O78" s="501" t="str">
        <f>IF(O$57="","",IFERROR(-(_xll.ciqfunctions.udf.CIQ(O$57,$AC78,$AD$7,Valuation_date,ReportType,DataMode,O$58,FXMode)*Scale),"--"))</f>
        <v>--</v>
      </c>
      <c r="P78" s="2060"/>
      <c r="Q78" s="2060"/>
      <c r="R78" s="1508"/>
      <c r="S78" s="1518"/>
      <c r="T78" s="2060"/>
      <c r="U78" s="2060"/>
      <c r="V78" s="2060"/>
      <c r="W78" s="2060"/>
      <c r="X78" s="2060"/>
      <c r="Y78" s="2060"/>
      <c r="Z78" s="2060"/>
      <c r="AA78" s="2060"/>
      <c r="AB78" s="180"/>
      <c r="AC78" s="205" t="s">
        <v>1768</v>
      </c>
      <c r="AD78" s="191"/>
      <c r="AE78" s="191"/>
      <c r="AF78" s="191"/>
      <c r="AG78" s="191"/>
    </row>
    <row r="79" spans="1:33" customFormat="1" ht="12.95" customHeight="1">
      <c r="A79" s="1510" t="str">
        <f t="shared" ref="A79:A95" si="11">$A$49</f>
        <v>n</v>
      </c>
      <c r="B79" s="1518"/>
      <c r="C79" s="1245" t="str">
        <f>"Expected Adjusted EBIT "&amp;$AE$7</f>
        <v>Expected Adjusted EBIT LFY</v>
      </c>
      <c r="D79" s="1246"/>
      <c r="E79" s="1247"/>
      <c r="F79" s="1248">
        <f t="shared" ref="F79:O79" si="12">SUM(F74:F78)</f>
        <v>0</v>
      </c>
      <c r="G79" s="1248">
        <f t="shared" si="12"/>
        <v>0</v>
      </c>
      <c r="H79" s="1248">
        <f t="shared" si="12"/>
        <v>0</v>
      </c>
      <c r="I79" s="1248">
        <f t="shared" si="12"/>
        <v>0</v>
      </c>
      <c r="J79" s="1248">
        <f t="shared" si="12"/>
        <v>0</v>
      </c>
      <c r="K79" s="1248">
        <f t="shared" si="12"/>
        <v>0</v>
      </c>
      <c r="L79" s="1248">
        <f t="shared" si="12"/>
        <v>0</v>
      </c>
      <c r="M79" s="1248">
        <f t="shared" si="12"/>
        <v>0</v>
      </c>
      <c r="N79" s="1248">
        <f t="shared" si="12"/>
        <v>0</v>
      </c>
      <c r="O79" s="1248">
        <f t="shared" si="12"/>
        <v>0</v>
      </c>
      <c r="P79" s="2060"/>
      <c r="Q79" s="2060"/>
      <c r="R79" s="1508"/>
      <c r="S79" s="1518"/>
      <c r="T79" s="2060"/>
      <c r="U79" s="2060"/>
      <c r="V79" s="2060"/>
      <c r="W79" s="2060"/>
      <c r="X79" s="2060"/>
      <c r="Y79" s="2060"/>
      <c r="Z79" s="2060"/>
      <c r="AA79" s="2060"/>
      <c r="AB79" s="2060"/>
      <c r="AC79" s="2060"/>
      <c r="AD79" s="2060"/>
      <c r="AE79" s="2060"/>
      <c r="AF79" s="2060"/>
      <c r="AG79" s="2060"/>
    </row>
    <row r="80" spans="1:33" ht="12.95" customHeight="1">
      <c r="A80" s="1510" t="str">
        <f t="shared" si="11"/>
        <v>n</v>
      </c>
      <c r="B80" s="1518"/>
      <c r="C80" s="461"/>
      <c r="D80" s="1249"/>
      <c r="E80" s="1249"/>
      <c r="F80" s="413"/>
      <c r="G80" s="1555"/>
      <c r="H80" s="1555"/>
      <c r="I80" s="1555"/>
      <c r="J80" s="1555"/>
      <c r="K80" s="1555"/>
      <c r="L80" s="1555"/>
      <c r="M80" s="1555"/>
      <c r="N80" s="1555"/>
      <c r="O80" s="1555"/>
      <c r="P80" s="2060"/>
      <c r="Q80" s="2060"/>
      <c r="R80" s="1508"/>
      <c r="S80" s="1518"/>
      <c r="T80" s="1508"/>
      <c r="U80" s="1508"/>
      <c r="V80" s="1508"/>
      <c r="W80" s="1508"/>
      <c r="X80" s="1508"/>
      <c r="Y80" s="1508"/>
      <c r="Z80" s="1508"/>
      <c r="AA80" s="2060"/>
      <c r="AB80" s="1508"/>
      <c r="AC80" s="1515"/>
      <c r="AD80" s="1508"/>
      <c r="AE80" s="1508"/>
      <c r="AF80" s="1508"/>
      <c r="AG80" s="1508"/>
    </row>
    <row r="81" spans="1:33" ht="12.95" customHeight="1">
      <c r="A81" s="1510" t="str">
        <f t="shared" si="11"/>
        <v>n</v>
      </c>
      <c r="B81" s="1518"/>
      <c r="C81" s="1251" t="str">
        <f>"Capital IQ EBIT "&amp;$AE$7</f>
        <v>Capital IQ EBIT LFY</v>
      </c>
      <c r="D81" s="1252"/>
      <c r="E81" s="1252"/>
      <c r="F81" s="1254" t="str">
        <f>IFERROR(IF(F57="--","--",IFERROR(_xll.ciqfunctions.udf.CIQ(F57,"IQ_EBIT",$AD$7,Valuation_date,ReportType,DataMode,F58,FXMode)*Scale,"n/a")),"--")</f>
        <v>--</v>
      </c>
      <c r="G81" s="1254" t="str">
        <f>IFERROR(IF(G57="--","--",IFERROR(_xll.ciqfunctions.udf.CIQ(G57,"IQ_EBIT",$AD$7,Valuation_date,ReportType,DataMode,G58,FXMode)*Scale,"n/a")),"--")</f>
        <v>--</v>
      </c>
      <c r="H81" s="1254" t="str">
        <f>IFERROR(IF(H57="--","--",IFERROR(_xll.ciqfunctions.udf.CIQ(H57,"IQ_EBIT",$AD$7,Valuation_date,ReportType,DataMode,H58,FXMode)*Scale,"n/a")),"--")</f>
        <v>--</v>
      </c>
      <c r="I81" s="1254" t="str">
        <f>IFERROR(IF(I57="--","--",IFERROR(_xll.ciqfunctions.udf.CIQ(I57,"IQ_EBIT",$AD$7,Valuation_date,ReportType,DataMode,I58,FXMode)*Scale,"n/a")),"--")</f>
        <v>--</v>
      </c>
      <c r="J81" s="1254" t="str">
        <f>IFERROR(IF(J57="--","--",IFERROR(_xll.ciqfunctions.udf.CIQ(J57,"IQ_EBIT",$AD$7,Valuation_date,ReportType,DataMode,J58,FXMode)*Scale,"n/a")),"--")</f>
        <v>--</v>
      </c>
      <c r="K81" s="1254" t="str">
        <f>IFERROR(IF(K57="--","--",IFERROR(_xll.ciqfunctions.udf.CIQ(K57,"IQ_EBIT",$AD$7,Valuation_date,ReportType,DataMode,K58,FXMode)*Scale,"n/a")),"--")</f>
        <v>--</v>
      </c>
      <c r="L81" s="1254" t="str">
        <f>IFERROR(IF(L57="--","--",IFERROR(_xll.ciqfunctions.udf.CIQ(L57,"IQ_EBIT",$AD$7,Valuation_date,ReportType,DataMode,L58,FXMode)*Scale,"n/a")),"--")</f>
        <v>--</v>
      </c>
      <c r="M81" s="1254" t="str">
        <f>IFERROR(IF(M57="--","--",IFERROR(_xll.ciqfunctions.udf.CIQ(M57,"IQ_EBIT",$AD$7,Valuation_date,ReportType,DataMode,M58,FXMode)*Scale,"n/a")),"--")</f>
        <v>--</v>
      </c>
      <c r="N81" s="1254" t="str">
        <f>IFERROR(IF(N57="--","--",IFERROR(_xll.ciqfunctions.udf.CIQ(N57,"IQ_EBIT",$AD$7,Valuation_date,ReportType,DataMode,N58,FXMode)*Scale,"n/a")),"--")</f>
        <v>--</v>
      </c>
      <c r="O81" s="1254" t="str">
        <f>IFERROR(IF(O57="--","--",IFERROR(_xll.ciqfunctions.udf.CIQ(O57,"IQ_EBIT",$AD$7,Valuation_date,ReportType,DataMode,O58,FXMode)*Scale,"n/a")),"--")</f>
        <v>--</v>
      </c>
      <c r="P81" s="2060"/>
      <c r="Q81" s="2060"/>
      <c r="R81" s="1508"/>
      <c r="S81" s="1518"/>
      <c r="T81" s="1508"/>
      <c r="U81" s="1508"/>
      <c r="V81" s="1508"/>
      <c r="W81" s="1508"/>
      <c r="X81" s="1508"/>
      <c r="Y81" s="1508"/>
      <c r="Z81" s="1508"/>
      <c r="AA81" s="2060"/>
      <c r="AB81" s="1508"/>
      <c r="AC81" s="1515"/>
      <c r="AD81" s="1508"/>
      <c r="AE81" s="1508"/>
      <c r="AF81" s="1508"/>
      <c r="AG81" s="1508"/>
    </row>
    <row r="82" spans="1:33" ht="12.95" customHeight="1">
      <c r="A82" s="1510" t="str">
        <f t="shared" si="11"/>
        <v>n</v>
      </c>
      <c r="B82" s="1518"/>
      <c r="C82" s="1538"/>
      <c r="D82" s="1538"/>
      <c r="E82" s="1538"/>
      <c r="F82" s="1538"/>
      <c r="G82" s="1538"/>
      <c r="H82" s="1538"/>
      <c r="I82" s="1538"/>
      <c r="J82" s="1538"/>
      <c r="K82" s="1538"/>
      <c r="L82" s="1538"/>
      <c r="M82" s="1538"/>
      <c r="N82" s="1538"/>
      <c r="O82" s="1538"/>
      <c r="P82" s="2060"/>
      <c r="Q82" s="2060"/>
      <c r="R82" s="1508"/>
      <c r="S82" s="1518"/>
      <c r="T82" s="1508"/>
      <c r="U82" s="1508"/>
      <c r="V82" s="1508"/>
      <c r="W82" s="1508"/>
      <c r="X82" s="1508"/>
      <c r="Y82" s="1508"/>
      <c r="Z82" s="1508"/>
      <c r="AA82" s="2060"/>
      <c r="AB82" s="1508"/>
      <c r="AC82" s="1515"/>
      <c r="AD82" s="1508"/>
      <c r="AE82" s="1508"/>
      <c r="AF82" s="1508"/>
      <c r="AG82" s="1508"/>
    </row>
    <row r="83" spans="1:33" ht="12.95" customHeight="1">
      <c r="A83" s="1510" t="str">
        <f t="shared" si="11"/>
        <v>n</v>
      </c>
      <c r="B83" s="1518"/>
      <c r="C83" s="1242" t="s">
        <v>1774</v>
      </c>
      <c r="D83" s="1256"/>
      <c r="E83" s="1256"/>
      <c r="F83" s="1257" t="str">
        <f t="shared" ref="F83:O83" si="13">IF(ISERROR(F79-F81),"--",ROUND(F79-F81,1))</f>
        <v>--</v>
      </c>
      <c r="G83" s="1257" t="str">
        <f t="shared" si="13"/>
        <v>--</v>
      </c>
      <c r="H83" s="1257" t="str">
        <f t="shared" si="13"/>
        <v>--</v>
      </c>
      <c r="I83" s="1257" t="str">
        <f t="shared" si="13"/>
        <v>--</v>
      </c>
      <c r="J83" s="1257" t="str">
        <f t="shared" si="13"/>
        <v>--</v>
      </c>
      <c r="K83" s="1257" t="str">
        <f t="shared" si="13"/>
        <v>--</v>
      </c>
      <c r="L83" s="1257" t="str">
        <f t="shared" si="13"/>
        <v>--</v>
      </c>
      <c r="M83" s="1257" t="str">
        <f t="shared" si="13"/>
        <v>--</v>
      </c>
      <c r="N83" s="1257" t="str">
        <f t="shared" si="13"/>
        <v>--</v>
      </c>
      <c r="O83" s="1257" t="str">
        <f t="shared" si="13"/>
        <v>--</v>
      </c>
      <c r="P83" s="2060"/>
      <c r="Q83" s="2060"/>
      <c r="R83" s="1508"/>
      <c r="S83" s="1518"/>
      <c r="T83" s="1508"/>
      <c r="U83" s="1508"/>
      <c r="V83" s="1508"/>
      <c r="W83" s="1508"/>
      <c r="X83" s="1508"/>
      <c r="Y83" s="1508"/>
      <c r="Z83" s="1508"/>
      <c r="AA83" s="2060"/>
      <c r="AB83" s="1508"/>
      <c r="AC83" s="1515"/>
      <c r="AD83" s="1508"/>
      <c r="AE83" s="1508"/>
      <c r="AF83" s="1508"/>
      <c r="AG83" s="1508"/>
    </row>
    <row r="84" spans="1:33" ht="12.95" customHeight="1">
      <c r="A84" s="1510" t="str">
        <f t="shared" si="11"/>
        <v>n</v>
      </c>
      <c r="B84" s="602"/>
      <c r="C84" s="1538"/>
      <c r="D84" s="1538"/>
      <c r="E84" s="1538"/>
      <c r="F84" s="1538"/>
      <c r="G84" s="1559"/>
      <c r="H84" s="1538"/>
      <c r="I84" s="1538"/>
      <c r="J84" s="1538"/>
      <c r="K84" s="255"/>
      <c r="L84" s="2060"/>
      <c r="M84" s="2060"/>
      <c r="N84" s="2060"/>
      <c r="O84" s="2060"/>
      <c r="P84" s="2060"/>
      <c r="Q84" s="2060"/>
      <c r="R84" s="1508"/>
      <c r="S84" s="1518"/>
      <c r="T84" s="1508"/>
      <c r="U84" s="1508"/>
      <c r="V84" s="1508"/>
      <c r="W84" s="1508"/>
      <c r="X84" s="1508"/>
      <c r="Y84" s="1508"/>
      <c r="Z84" s="1508"/>
      <c r="AA84" s="2060"/>
      <c r="AB84" s="1508"/>
      <c r="AC84" s="1515"/>
      <c r="AD84" s="1508"/>
      <c r="AE84" s="1508"/>
      <c r="AF84" s="1508"/>
      <c r="AG84" s="1508"/>
    </row>
    <row r="85" spans="1:33" s="1508" customFormat="1" ht="13.9">
      <c r="A85" s="1510" t="str">
        <f t="shared" si="11"/>
        <v>n</v>
      </c>
      <c r="B85" s="602"/>
      <c r="C85" s="1538" t="s">
        <v>202</v>
      </c>
      <c r="D85" s="1538"/>
      <c r="E85" s="672"/>
      <c r="F85" s="501" t="str">
        <f>IF(F$9="","",IFERROR((_xll.ciqfunctions.udf.CIQ(F$57,$AC85,$AD$7,Valuation_date,ReportType,DataMode,F$10,FXMode)*Scale),"--"))</f>
        <v>--</v>
      </c>
      <c r="G85" s="501" t="str">
        <f>IF(G$9="","",IFERROR((_xll.ciqfunctions.udf.CIQ(G$57,$AC85,$AD$7,Valuation_date,ReportType,DataMode,G$10,FXMode)*Scale),"--"))</f>
        <v>--</v>
      </c>
      <c r="H85" s="501" t="str">
        <f>IF(H$9="","",IFERROR((_xll.ciqfunctions.udf.CIQ(H$57,$AC85,$AD$7,Valuation_date,ReportType,DataMode,H$10,FXMode)*Scale),"--"))</f>
        <v>--</v>
      </c>
      <c r="I85" s="501" t="str">
        <f>IF(I$9="","",IFERROR((_xll.ciqfunctions.udf.CIQ(I$57,$AC85,$AD$7,Valuation_date,ReportType,DataMode,I$10,FXMode)*Scale),"--"))</f>
        <v>--</v>
      </c>
      <c r="J85" s="501" t="str">
        <f>IF(J$9="","",IFERROR((_xll.ciqfunctions.udf.CIQ(J$57,$AC85,$AD$7,Valuation_date,ReportType,DataMode,J$10,FXMode)*Scale),"--"))</f>
        <v>--</v>
      </c>
      <c r="K85" s="501" t="str">
        <f>IF(K$9="","",IFERROR((_xll.ciqfunctions.udf.CIQ(K$57,$AC85,$AD$7,Valuation_date,ReportType,DataMode,K$10,FXMode)*Scale),"--"))</f>
        <v>--</v>
      </c>
      <c r="L85" s="501" t="str">
        <f>IF(L$9="","",IFERROR((_xll.ciqfunctions.udf.CIQ(L$57,$AC85,$AD$7,Valuation_date,ReportType,DataMode,L$10,FXMode)*Scale),"--"))</f>
        <v>--</v>
      </c>
      <c r="M85" s="501" t="str">
        <f>IF(M$9="","",IFERROR((_xll.ciqfunctions.udf.CIQ(M$57,$AC85,$AD$7,Valuation_date,ReportType,DataMode,M$10,FXMode)*Scale),"--"))</f>
        <v>--</v>
      </c>
      <c r="N85" s="501" t="str">
        <f>IF(N$9="","",IFERROR((_xll.ciqfunctions.udf.CIQ(N$57,$AC85,$AD$7,Valuation_date,ReportType,DataMode,N$10,FXMode)*Scale),"--"))</f>
        <v>--</v>
      </c>
      <c r="O85" s="501" t="str">
        <f>IF(O$9="","",IFERROR((_xll.ciqfunctions.udf.CIQ(O$57,$AC85,$AD$7,Valuation_date,ReportType,DataMode,O$10,FXMode)*Scale),"--"))</f>
        <v>--</v>
      </c>
      <c r="P85" s="1538"/>
      <c r="Q85" s="1538"/>
      <c r="S85" s="1518"/>
      <c r="AA85" s="2060"/>
      <c r="AB85" s="180"/>
      <c r="AC85" s="205" t="s">
        <v>811</v>
      </c>
      <c r="AD85" s="191"/>
      <c r="AE85" s="191"/>
      <c r="AF85" s="191"/>
      <c r="AG85" s="191"/>
    </row>
    <row r="86" spans="1:33" s="1508" customFormat="1" ht="13.9">
      <c r="A86" s="1510" t="str">
        <f t="shared" si="11"/>
        <v>n</v>
      </c>
      <c r="B86" s="602"/>
      <c r="C86" s="1538" t="s">
        <v>1770</v>
      </c>
      <c r="D86" s="1538"/>
      <c r="E86" s="672"/>
      <c r="F86" s="501" t="str">
        <f>IF(F$9="","",IFERROR((_xll.ciqfunctions.udf.CIQ(F$57,$AC86,$AD$7,Valuation_date,ReportType,DataMode,F$10,FXMode)*Scale),"--"))</f>
        <v>--</v>
      </c>
      <c r="G86" s="501" t="str">
        <f>IF(G$9="","",IFERROR((_xll.ciqfunctions.udf.CIQ(G$57,$AC86,$AD$7,Valuation_date,ReportType,DataMode,G$10,FXMode)*Scale),"--"))</f>
        <v>--</v>
      </c>
      <c r="H86" s="501" t="str">
        <f>IF(H$9="","",IFERROR((_xll.ciqfunctions.udf.CIQ(H$57,$AC86,$AD$7,Valuation_date,ReportType,DataMode,H$10,FXMode)*Scale),"--"))</f>
        <v>--</v>
      </c>
      <c r="I86" s="501" t="str">
        <f>IF(I$9="","",IFERROR((_xll.ciqfunctions.udf.CIQ(I$57,$AC86,$AD$7,Valuation_date,ReportType,DataMode,I$10,FXMode)*Scale),"--"))</f>
        <v>--</v>
      </c>
      <c r="J86" s="501" t="str">
        <f>IF(J$9="","",IFERROR((_xll.ciqfunctions.udf.CIQ(J$57,$AC86,$AD$7,Valuation_date,ReportType,DataMode,J$10,FXMode)*Scale),"--"))</f>
        <v>--</v>
      </c>
      <c r="K86" s="501" t="str">
        <f>IF(K$9="","",IFERROR((_xll.ciqfunctions.udf.CIQ(K$57,$AC86,$AD$7,Valuation_date,ReportType,DataMode,K$10,FXMode)*Scale),"--"))</f>
        <v>--</v>
      </c>
      <c r="L86" s="501" t="str">
        <f>IF(L$9="","",IFERROR((_xll.ciqfunctions.udf.CIQ(L$57,$AC86,$AD$7,Valuation_date,ReportType,DataMode,L$10,FXMode)*Scale),"--"))</f>
        <v>--</v>
      </c>
      <c r="M86" s="501" t="str">
        <f>IF(M$9="","",IFERROR((_xll.ciqfunctions.udf.CIQ(M$57,$AC86,$AD$7,Valuation_date,ReportType,DataMode,M$10,FXMode)*Scale),"--"))</f>
        <v>--</v>
      </c>
      <c r="N86" s="501" t="str">
        <f>IF(N$9="","",IFERROR((_xll.ciqfunctions.udf.CIQ(N$57,$AC86,$AD$7,Valuation_date,ReportType,DataMode,N$10,FXMode)*Scale),"--"))</f>
        <v>--</v>
      </c>
      <c r="O86" s="501" t="str">
        <f>IF(O$9="","",IFERROR((_xll.ciqfunctions.udf.CIQ(O$57,$AC86,$AD$7,Valuation_date,ReportType,DataMode,O$10,FXMode)*Scale),"--"))</f>
        <v>--</v>
      </c>
      <c r="P86" s="1538"/>
      <c r="Q86" s="1538"/>
      <c r="S86" s="1518"/>
      <c r="AA86" s="2060"/>
      <c r="AB86" s="180"/>
      <c r="AC86" s="205" t="s">
        <v>906</v>
      </c>
      <c r="AD86" s="191"/>
      <c r="AE86" s="191"/>
      <c r="AF86" s="191"/>
      <c r="AG86" s="191"/>
    </row>
    <row r="87" spans="1:33" s="1508" customFormat="1" ht="13.9">
      <c r="A87" s="1510" t="str">
        <f t="shared" si="11"/>
        <v>n</v>
      </c>
      <c r="B87" s="602"/>
      <c r="C87" s="1251" t="str">
        <f>"Capital IQ EBITDA "&amp;$AE$7</f>
        <v>Capital IQ EBITDA LFY</v>
      </c>
      <c r="D87" s="1252"/>
      <c r="E87" s="1253"/>
      <c r="F87" s="1254" t="str">
        <f>IFERROR(IF(F63="--","--",IFERROR(_xll.ciqfunctions.udf.CIQ(F$57,"IQ_EBITDA",$AD$7,Valuation_date,ReportType,DataMode,F$10,FXMode)*Scale,"n/a")),"--")</f>
        <v>--</v>
      </c>
      <c r="G87" s="1254" t="str">
        <f>IFERROR(IF(G63="--","--",IFERROR(_xll.ciqfunctions.udf.CIQ(G$57,"IQ_EBITDA",$AD$7,Valuation_date,ReportType,DataMode,G$10,FXMode)*Scale,"n/a")),"--")</f>
        <v>--</v>
      </c>
      <c r="H87" s="1254" t="str">
        <f>IFERROR(IF(H63="--","--",IFERROR(_xll.ciqfunctions.udf.CIQ(H$57,"IQ_EBITDA",$AD$7,Valuation_date,ReportType,DataMode,H$10,FXMode)*Scale,"n/a")),"--")</f>
        <v>--</v>
      </c>
      <c r="I87" s="1254" t="str">
        <f>IFERROR(IF(I63="--","--",IFERROR(_xll.ciqfunctions.udf.CIQ(I$57,"IQ_EBITDA",$AD$7,Valuation_date,ReportType,DataMode,I$10,FXMode)*Scale,"n/a")),"--")</f>
        <v>--</v>
      </c>
      <c r="J87" s="1254" t="str">
        <f>IFERROR(IF(J63="--","--",IFERROR(_xll.ciqfunctions.udf.CIQ(J$57,"IQ_EBITDA",$AD$7,Valuation_date,ReportType,DataMode,J$10,FXMode)*Scale,"n/a")),"--")</f>
        <v>--</v>
      </c>
      <c r="K87" s="1254" t="str">
        <f>IFERROR(IF(K63="--","--",IFERROR(_xll.ciqfunctions.udf.CIQ(K$57,"IQ_EBITDA",$AD$7,Valuation_date,ReportType,DataMode,K$10,FXMode)*Scale,"n/a")),"--")</f>
        <v>--</v>
      </c>
      <c r="L87" s="1254" t="str">
        <f>IFERROR(IF(L63="--","--",IFERROR(_xll.ciqfunctions.udf.CIQ(L$57,"IQ_EBITDA",$AD$7,Valuation_date,ReportType,DataMode,L$10,FXMode)*Scale,"n/a")),"--")</f>
        <v>--</v>
      </c>
      <c r="M87" s="1254" t="str">
        <f>IFERROR(IF(M63="--","--",IFERROR(_xll.ciqfunctions.udf.CIQ(M$57,"IQ_EBITDA",$AD$7,Valuation_date,ReportType,DataMode,M$10,FXMode)*Scale,"n/a")),"--")</f>
        <v>--</v>
      </c>
      <c r="N87" s="1254" t="str">
        <f>IFERROR(IF(N63="--","--",IFERROR(_xll.ciqfunctions.udf.CIQ(N$57,"IQ_EBITDA",$AD$7,Valuation_date,ReportType,DataMode,N$10,FXMode)*Scale,"n/a")),"--")</f>
        <v>--</v>
      </c>
      <c r="O87" s="1254" t="str">
        <f>IFERROR(IF(O63="--","--",IFERROR(_xll.ciqfunctions.udf.CIQ(O$57,"IQ_EBITDA",$AD$7,Valuation_date,ReportType,DataMode,O$10,FXMode)*Scale,"n/a")),"--")</f>
        <v>--</v>
      </c>
      <c r="P87" s="1538"/>
      <c r="Q87" s="1538"/>
      <c r="S87" s="1518"/>
      <c r="AA87" s="2060"/>
      <c r="AB87" s="180"/>
      <c r="AC87" s="205" t="s">
        <v>808</v>
      </c>
      <c r="AD87" s="191"/>
      <c r="AE87" s="191"/>
      <c r="AF87" s="191"/>
      <c r="AG87" s="191"/>
    </row>
    <row r="88" spans="1:33" s="1508" customFormat="1" ht="13.9">
      <c r="A88" s="1510" t="str">
        <f t="shared" si="11"/>
        <v>n</v>
      </c>
      <c r="B88" s="602"/>
      <c r="C88" s="1538"/>
      <c r="D88" s="1538"/>
      <c r="E88" s="672"/>
      <c r="F88" s="1538"/>
      <c r="G88" s="1559"/>
      <c r="H88" s="1538"/>
      <c r="I88" s="1538"/>
      <c r="J88" s="1538"/>
      <c r="K88" s="1538"/>
      <c r="L88" s="1538"/>
      <c r="M88" s="1538"/>
      <c r="N88" s="1538"/>
      <c r="O88" s="1538"/>
      <c r="P88" s="1538"/>
      <c r="Q88" s="1538"/>
      <c r="S88" s="1518"/>
      <c r="AA88" s="2060"/>
      <c r="AC88" s="1515"/>
    </row>
    <row r="89" spans="1:33" ht="12.95" customHeight="1">
      <c r="A89" s="1510" t="str">
        <f t="shared" si="11"/>
        <v>n</v>
      </c>
      <c r="B89" s="1566"/>
      <c r="C89" s="1538" t="s">
        <v>1771</v>
      </c>
      <c r="D89" s="1538"/>
      <c r="E89" s="1538"/>
      <c r="F89" s="1538"/>
      <c r="G89" s="1559"/>
      <c r="H89" s="1538"/>
      <c r="I89" s="1538"/>
      <c r="J89" s="1538"/>
      <c r="K89" s="255"/>
      <c r="L89" s="2060"/>
      <c r="M89" s="2060"/>
      <c r="N89" s="2060"/>
      <c r="O89" s="2060"/>
      <c r="P89" s="2060"/>
      <c r="Q89" s="2060"/>
      <c r="R89" s="1508"/>
      <c r="S89" s="1518"/>
      <c r="T89" s="1508"/>
      <c r="U89" s="1508"/>
      <c r="V89" s="1508"/>
      <c r="W89" s="1508"/>
      <c r="X89" s="1508"/>
      <c r="Y89" s="1508"/>
      <c r="Z89" s="1508"/>
      <c r="AA89" s="2060"/>
      <c r="AB89" s="1508"/>
      <c r="AC89" s="1515"/>
      <c r="AD89" s="1508"/>
      <c r="AE89" s="1508"/>
      <c r="AF89" s="1508"/>
      <c r="AG89" s="1508"/>
    </row>
    <row r="90" spans="1:33" ht="12.95" customHeight="1">
      <c r="A90" s="1510" t="str">
        <f t="shared" si="11"/>
        <v>n</v>
      </c>
      <c r="B90" s="1566"/>
      <c r="C90" s="502" t="s">
        <v>1772</v>
      </c>
      <c r="D90" s="1538"/>
      <c r="E90" s="1538"/>
      <c r="F90" s="1538"/>
      <c r="G90" s="1559"/>
      <c r="H90" s="1538"/>
      <c r="I90" s="1538"/>
      <c r="J90" s="1538"/>
      <c r="K90" s="1538"/>
      <c r="L90" s="1508"/>
      <c r="M90" s="1508"/>
      <c r="N90" s="1508"/>
      <c r="O90" s="1508"/>
      <c r="P90" s="1508"/>
      <c r="Q90" s="1508"/>
      <c r="R90" s="1508"/>
      <c r="S90" s="1518"/>
      <c r="T90" s="1508"/>
      <c r="U90" s="1508"/>
      <c r="V90" s="1508"/>
      <c r="W90" s="1508"/>
      <c r="X90" s="1508"/>
      <c r="Y90" s="1508"/>
      <c r="Z90" s="1508"/>
      <c r="AA90" s="2060"/>
      <c r="AB90" s="1508"/>
      <c r="AC90" s="1515"/>
      <c r="AD90" s="1508"/>
      <c r="AE90" s="1508"/>
      <c r="AF90" s="1508"/>
      <c r="AG90" s="1508"/>
    </row>
    <row r="91" spans="1:33" ht="12.95" customHeight="1">
      <c r="A91" s="1510" t="str">
        <f t="shared" si="11"/>
        <v>n</v>
      </c>
      <c r="B91" s="1566"/>
      <c r="C91" s="1538"/>
      <c r="D91" s="1538"/>
      <c r="E91" s="1560"/>
      <c r="F91" s="1538"/>
      <c r="G91" s="1559"/>
      <c r="H91" s="1538"/>
      <c r="I91" s="1538"/>
      <c r="J91" s="1538"/>
      <c r="K91" s="1538"/>
      <c r="L91" s="1508"/>
      <c r="M91" s="1508"/>
      <c r="N91" s="1508"/>
      <c r="O91" s="1508"/>
      <c r="P91" s="1508"/>
      <c r="Q91" s="1508"/>
      <c r="R91" s="1508"/>
      <c r="S91" s="1518"/>
      <c r="T91" s="1508"/>
      <c r="U91" s="1508"/>
      <c r="V91" s="1508"/>
      <c r="W91" s="1508"/>
      <c r="X91" s="1508"/>
      <c r="Y91" s="1508"/>
      <c r="Z91" s="1508"/>
      <c r="AA91" s="2060"/>
      <c r="AB91" s="1508"/>
      <c r="AC91" s="1515"/>
      <c r="AD91" s="1508"/>
      <c r="AE91" s="1508"/>
      <c r="AF91" s="1508"/>
      <c r="AG91" s="1508"/>
    </row>
    <row r="92" spans="1:33" s="1508" customFormat="1" ht="12.95" customHeight="1">
      <c r="A92" s="1510" t="str">
        <f t="shared" si="11"/>
        <v>n</v>
      </c>
      <c r="B92" s="1566"/>
      <c r="C92" s="1588" t="str">
        <f>"EBIT=Earnings before interest and taxes; "&amp;$AE$7&amp;"="&amp;$AF$7</f>
        <v>EBIT=Earnings before interest and taxes; LFY=Last fiscal year</v>
      </c>
      <c r="D92" s="1538"/>
      <c r="E92" s="1560"/>
      <c r="F92" s="1538"/>
      <c r="G92" s="1559"/>
      <c r="H92" s="1538"/>
      <c r="I92" s="1538"/>
      <c r="J92" s="1538"/>
      <c r="K92" s="1538"/>
      <c r="S92" s="1518"/>
      <c r="AA92" s="2060"/>
      <c r="AC92" s="1515"/>
    </row>
    <row r="93" spans="1:33" ht="13.9">
      <c r="A93" s="1510" t="str">
        <f t="shared" si="11"/>
        <v>n</v>
      </c>
      <c r="B93" s="1566"/>
      <c r="C93" s="373" t="s">
        <v>1402</v>
      </c>
      <c r="D93" s="1538"/>
      <c r="E93" s="1560"/>
      <c r="F93" s="1538"/>
      <c r="G93" s="1559"/>
      <c r="H93" s="1538"/>
      <c r="I93" s="1538"/>
      <c r="J93" s="1538"/>
      <c r="K93" s="1538"/>
      <c r="L93" s="1508"/>
      <c r="M93" s="1508"/>
      <c r="N93" s="1508"/>
      <c r="O93" s="1508"/>
      <c r="P93" s="1508"/>
      <c r="Q93" s="1508"/>
      <c r="R93" s="1508"/>
      <c r="S93" s="1518"/>
      <c r="T93" s="1508"/>
      <c r="U93" s="1508"/>
      <c r="V93" s="1508"/>
      <c r="W93" s="1508"/>
      <c r="X93" s="1508"/>
      <c r="Y93" s="1508"/>
      <c r="Z93" s="1508"/>
      <c r="AA93" s="2060"/>
      <c r="AB93" s="1508"/>
      <c r="AC93" s="1515"/>
      <c r="AD93" s="1508"/>
      <c r="AE93" s="1508"/>
      <c r="AF93" s="1508"/>
      <c r="AG93" s="1508"/>
    </row>
    <row r="94" spans="1:33" s="1508" customFormat="1" ht="13.9">
      <c r="A94" s="1510" t="str">
        <f t="shared" si="11"/>
        <v>n</v>
      </c>
      <c r="B94" s="1566"/>
      <c r="C94" s="373"/>
      <c r="D94" s="1538"/>
      <c r="E94" s="1560"/>
      <c r="F94" s="1538"/>
      <c r="G94" s="1559"/>
      <c r="H94" s="1538"/>
      <c r="I94" s="1538"/>
      <c r="J94" s="1538"/>
      <c r="K94" s="1538"/>
      <c r="S94" s="1518"/>
      <c r="AA94" s="2060"/>
      <c r="AC94" s="1515"/>
    </row>
    <row r="95" spans="1:33" ht="13.9">
      <c r="A95" s="1510" t="str">
        <f t="shared" si="11"/>
        <v>n</v>
      </c>
      <c r="B95" s="1566"/>
      <c r="C95" s="373" t="str">
        <f ca="1">FootnoteDRAFT</f>
        <v>Run date: 05-August-2018  02:34 PM.   DRAFT document. All data subject to change upon completion of additional analysis.</v>
      </c>
      <c r="D95" s="1538"/>
      <c r="E95" s="1538"/>
      <c r="F95" s="1538"/>
      <c r="G95" s="1559"/>
      <c r="H95" s="1538"/>
      <c r="I95" s="1538"/>
      <c r="J95" s="1538"/>
      <c r="K95" s="1538"/>
      <c r="L95" s="1508"/>
      <c r="M95" s="1508"/>
      <c r="N95" s="1508"/>
      <c r="O95" s="1508"/>
      <c r="P95" s="1508"/>
      <c r="Q95" s="1508"/>
      <c r="R95" s="1508"/>
      <c r="S95" s="1518"/>
      <c r="T95" s="1508"/>
      <c r="U95" s="1508"/>
      <c r="V95" s="1508"/>
      <c r="W95" s="1508"/>
      <c r="X95" s="1508"/>
      <c r="Y95" s="1508"/>
      <c r="Z95" s="1508"/>
      <c r="AA95" s="2060"/>
      <c r="AB95" s="1508"/>
      <c r="AC95" s="1515"/>
      <c r="AD95" s="1508"/>
      <c r="AE95" s="1508"/>
      <c r="AF95" s="1508"/>
      <c r="AG95" s="1508"/>
    </row>
    <row r="96" spans="1:33" s="1506" customFormat="1" ht="13.9">
      <c r="A96" s="1510" t="str">
        <f>IF(COUNTA(Compslist)&gt;10,"N","")</f>
        <v/>
      </c>
      <c r="B96" s="1510"/>
      <c r="C96" s="1510"/>
      <c r="D96" s="1510"/>
      <c r="E96" s="683"/>
      <c r="F96" s="1510"/>
      <c r="G96" s="1510"/>
      <c r="H96" s="1510"/>
      <c r="I96" s="1510"/>
      <c r="J96" s="1510"/>
      <c r="K96" s="1510"/>
      <c r="L96" s="1510"/>
      <c r="M96" s="1510"/>
      <c r="N96" s="1510"/>
      <c r="O96" s="1510"/>
      <c r="P96" s="1510"/>
      <c r="Q96" s="1510"/>
      <c r="R96" s="1546" t="str">
        <f>IF($A96="n","Page end","This page not printed")</f>
        <v>This page not printed</v>
      </c>
      <c r="S96" s="1510"/>
      <c r="T96" s="2060"/>
      <c r="U96" s="2060"/>
      <c r="V96" s="2060"/>
      <c r="W96" s="2060"/>
      <c r="X96" s="2060"/>
      <c r="Y96" s="2060"/>
      <c r="Z96" s="2060"/>
      <c r="AA96" s="2060"/>
      <c r="AB96" s="2060"/>
      <c r="AC96" s="2060"/>
      <c r="AD96" s="2060"/>
      <c r="AE96" s="2060"/>
      <c r="AF96" s="2060"/>
    </row>
    <row r="97" spans="1:33" s="1508" customFormat="1" ht="18" customHeight="1">
      <c r="A97" s="1510" t="str">
        <f>IF(COUNTA('DATA GPC'!$G$30:$G$44)=0,"n","")</f>
        <v>n</v>
      </c>
      <c r="B97" s="1518"/>
      <c r="C97" s="1372" t="str">
        <f>START!$C$1</f>
        <v>Client Name</v>
      </c>
      <c r="D97" s="172"/>
      <c r="E97" s="1505"/>
      <c r="F97" s="2060"/>
      <c r="G97" s="2060"/>
      <c r="H97" s="2060"/>
      <c r="I97" s="2060"/>
      <c r="J97" s="2060"/>
      <c r="K97" s="2060"/>
      <c r="L97" s="2060"/>
      <c r="M97" s="2060"/>
      <c r="N97" s="2060"/>
      <c r="O97" s="2060"/>
      <c r="P97" s="2060"/>
      <c r="Q97" s="172"/>
      <c r="R97" s="389" t="str">
        <f>R1&amp;".B"</f>
        <v>Workpaper 9.B</v>
      </c>
      <c r="S97" s="1518"/>
      <c r="AA97" s="2060"/>
      <c r="AC97" s="1515"/>
    </row>
    <row r="98" spans="1:33" s="1508" customFormat="1" ht="18" customHeight="1">
      <c r="A98" s="1510" t="str">
        <f>$A$49</f>
        <v>n</v>
      </c>
      <c r="B98" s="1518"/>
      <c r="C98" s="1372" t="str">
        <f>START!$C$2</f>
        <v xml:space="preserve">Please enter project description in START worksheet cell G13 </v>
      </c>
      <c r="D98" s="172"/>
      <c r="E98" s="1505"/>
      <c r="F98" s="2060"/>
      <c r="G98" s="2060"/>
      <c r="H98" s="2060"/>
      <c r="I98" s="2060"/>
      <c r="J98" s="2060"/>
      <c r="K98" s="2060"/>
      <c r="L98" s="2060"/>
      <c r="M98" s="2060"/>
      <c r="N98" s="2060"/>
      <c r="O98" s="2060"/>
      <c r="P98" s="2060"/>
      <c r="Q98" s="172"/>
      <c r="R98" s="389"/>
      <c r="S98" s="1518"/>
      <c r="AA98" s="2060"/>
      <c r="AC98" s="1515"/>
    </row>
    <row r="99" spans="1:33" s="1508" customFormat="1" ht="18" customHeight="1">
      <c r="A99" s="1510" t="str">
        <f>$A$49</f>
        <v>n</v>
      </c>
      <c r="B99" s="1518"/>
      <c r="C99" s="839" t="s">
        <v>1773</v>
      </c>
      <c r="D99" s="172"/>
      <c r="E99" s="1505"/>
      <c r="F99" s="2060"/>
      <c r="G99" s="2060"/>
      <c r="H99" s="2060"/>
      <c r="I99" s="2060"/>
      <c r="J99" s="2060"/>
      <c r="K99" s="2060"/>
      <c r="L99" s="2060"/>
      <c r="M99" s="2060"/>
      <c r="N99" s="2060"/>
      <c r="O99" s="2060"/>
      <c r="P99" s="2060"/>
      <c r="Q99" s="172"/>
      <c r="R99" s="1516"/>
      <c r="S99" s="1518"/>
      <c r="AA99" s="2060"/>
      <c r="AC99" s="1515"/>
    </row>
    <row r="100" spans="1:33" s="1508" customFormat="1" ht="18" customHeight="1">
      <c r="A100" s="1510" t="str">
        <f t="shared" ref="A100:A108" si="14">$A$49</f>
        <v>n</v>
      </c>
      <c r="B100" s="1518"/>
      <c r="C100" s="840" t="str">
        <f>ValDateHeading</f>
        <v>Estimation of value as of 28 February 2017</v>
      </c>
      <c r="E100" s="702"/>
      <c r="F100" s="170"/>
      <c r="G100" s="196"/>
      <c r="H100" s="197"/>
      <c r="I100" s="197"/>
      <c r="J100" s="2060"/>
      <c r="K100" s="2060"/>
      <c r="L100" s="2060"/>
      <c r="S100" s="1518"/>
      <c r="AA100" s="2060"/>
      <c r="AC100" s="1515"/>
    </row>
    <row r="101" spans="1:33" s="1508" customFormat="1" ht="18" customHeight="1">
      <c r="A101" s="1510" t="str">
        <f t="shared" si="14"/>
        <v>n</v>
      </c>
      <c r="B101" s="1518"/>
      <c r="C101" s="769" t="str">
        <f>"In filing currency "&amp;ScaleInput</f>
        <v>In filing currency Millions</v>
      </c>
      <c r="E101" s="699"/>
      <c r="F101" s="172"/>
      <c r="G101" s="172"/>
      <c r="H101" s="172"/>
      <c r="I101" s="172"/>
      <c r="J101" s="2060"/>
      <c r="K101" s="2060"/>
      <c r="L101" s="2060"/>
      <c r="M101" s="2060"/>
      <c r="S101" s="1518"/>
      <c r="AA101" s="2060"/>
      <c r="AC101" s="1515"/>
    </row>
    <row r="102" spans="1:33" s="1508" customFormat="1" ht="12.95" customHeight="1">
      <c r="A102" s="1510" t="str">
        <f t="shared" si="14"/>
        <v>n</v>
      </c>
      <c r="B102" s="603"/>
      <c r="C102" s="171"/>
      <c r="D102" s="1506"/>
      <c r="E102" s="1567"/>
      <c r="F102" s="1506"/>
      <c r="G102" s="185"/>
      <c r="H102" s="185"/>
      <c r="I102" s="1506"/>
      <c r="J102" s="2060"/>
      <c r="K102" s="2060"/>
      <c r="L102" s="2060"/>
      <c r="M102" s="1506"/>
      <c r="N102" s="1506"/>
      <c r="O102" s="1506"/>
      <c r="P102" s="1506"/>
      <c r="Q102" s="1506"/>
      <c r="R102" s="1506"/>
      <c r="S102" s="1518"/>
      <c r="AA102" s="2060"/>
      <c r="AC102" s="1515"/>
    </row>
    <row r="103" spans="1:33" s="1508" customFormat="1" ht="12.95" customHeight="1">
      <c r="A103" s="1510" t="str">
        <f t="shared" si="14"/>
        <v>n</v>
      </c>
      <c r="B103" s="603"/>
      <c r="C103" s="171"/>
      <c r="D103" s="1506"/>
      <c r="E103" s="1567"/>
      <c r="F103" s="1506"/>
      <c r="G103" s="185"/>
      <c r="H103" s="185"/>
      <c r="I103" s="1506"/>
      <c r="J103" s="2060"/>
      <c r="K103" s="2060"/>
      <c r="L103" s="2060"/>
      <c r="M103" s="2060"/>
      <c r="N103" s="2060"/>
      <c r="O103" s="2060"/>
      <c r="P103" s="2060"/>
      <c r="Q103" s="1506"/>
      <c r="R103" s="1506"/>
      <c r="S103" s="1518"/>
      <c r="AA103" s="2060"/>
      <c r="AC103" s="1515"/>
    </row>
    <row r="104" spans="1:33" s="1508" customFormat="1" ht="12.95" customHeight="1">
      <c r="A104" s="1510" t="str">
        <f t="shared" si="14"/>
        <v>n</v>
      </c>
      <c r="B104" s="601"/>
      <c r="C104" s="1225"/>
      <c r="D104" s="1225"/>
      <c r="E104" s="1258"/>
      <c r="F104" s="1226" t="str">
        <f>'DATA GPC'!$E$40</f>
        <v>--</v>
      </c>
      <c r="G104" s="1226" t="str">
        <f>'DATA GPC'!$E$41</f>
        <v>--</v>
      </c>
      <c r="H104" s="1226" t="str">
        <f>'DATA GPC'!$E$42</f>
        <v>--</v>
      </c>
      <c r="I104" s="1226" t="str">
        <f>'DATA GPC'!$E$43</f>
        <v>--</v>
      </c>
      <c r="J104" s="1226" t="str">
        <f>'DATA GPC'!$E$44</f>
        <v>--</v>
      </c>
      <c r="K104" s="2060"/>
      <c r="L104" s="2060"/>
      <c r="M104" s="2060"/>
      <c r="N104" s="2060"/>
      <c r="O104" s="2060"/>
      <c r="P104" s="2060"/>
      <c r="Q104" s="2060"/>
      <c r="R104" s="1515"/>
      <c r="S104" s="1518"/>
      <c r="AA104" s="2060"/>
      <c r="AC104" s="1515"/>
    </row>
    <row r="105" spans="1:33" s="1508" customFormat="1" ht="12.95" customHeight="1">
      <c r="A105" s="1510" t="str">
        <f t="shared" si="14"/>
        <v>n</v>
      </c>
      <c r="B105" s="1518"/>
      <c r="C105" s="1227"/>
      <c r="D105" s="1227"/>
      <c r="E105" s="1259"/>
      <c r="F105" s="1558" t="str">
        <f>'WACC and TIC Inputs'!$G$139</f>
        <v>--</v>
      </c>
      <c r="G105" s="1558" t="str">
        <f>'WACC and TIC Inputs'!$G$140</f>
        <v>--</v>
      </c>
      <c r="H105" s="1558" t="str">
        <f>'WACC and TIC Inputs'!$G$141</f>
        <v>--</v>
      </c>
      <c r="I105" s="1558" t="str">
        <f>'WACC and TIC Inputs'!$G$142</f>
        <v>--</v>
      </c>
      <c r="J105" s="1558" t="str">
        <f>'WACC and TIC Inputs'!$G$153</f>
        <v>--</v>
      </c>
      <c r="K105" s="2060"/>
      <c r="L105" s="2060"/>
      <c r="M105" s="2060"/>
      <c r="N105" s="2060"/>
      <c r="O105" s="2060"/>
      <c r="P105" s="2060"/>
      <c r="Q105" s="2060"/>
      <c r="S105" s="1518"/>
      <c r="AA105" s="2060"/>
      <c r="AC105" s="1515"/>
    </row>
    <row r="106" spans="1:33" s="1508" customFormat="1" ht="12.95" customHeight="1">
      <c r="A106" s="1510" t="str">
        <f t="shared" si="14"/>
        <v>n</v>
      </c>
      <c r="B106" s="1518"/>
      <c r="C106" s="1228" t="s">
        <v>1740</v>
      </c>
      <c r="D106" s="1229"/>
      <c r="E106" s="1260"/>
      <c r="F106" s="1230" t="str">
        <f>IF(F104="--","--",_xll.ciqfunctions.udf.CIQ(F105,"IQ_FILING_CURRENCY",2000,Valuation_Date_GC))</f>
        <v>--</v>
      </c>
      <c r="G106" s="1230" t="str">
        <f>IF(G104="--","--",_xll.ciqfunctions.udf.CIQ(G105,"IQ_FILING_CURRENCY",2000,Valuation_Date_GC))</f>
        <v>--</v>
      </c>
      <c r="H106" s="1230" t="str">
        <f>IF(H104="--","--",_xll.ciqfunctions.udf.CIQ(H105,"IQ_FILING_CURRENCY",2000,Valuation_Date_GC))</f>
        <v>--</v>
      </c>
      <c r="I106" s="1230" t="str">
        <f>IF(I104="--","--",_xll.ciqfunctions.udf.CIQ(I105,"IQ_FILING_CURRENCY",2000,Valuation_Date_GC))</f>
        <v>--</v>
      </c>
      <c r="J106" s="1230" t="str">
        <f>IF(J104="--","--",_xll.ciqfunctions.udf.CIQ(J105,"IQ_FILING_CURRENCY",2000,Valuation_Date_GC))</f>
        <v>--</v>
      </c>
      <c r="K106" s="2060"/>
      <c r="L106" s="2060"/>
      <c r="M106" s="2060"/>
      <c r="N106" s="2060"/>
      <c r="O106" s="2060"/>
      <c r="P106" s="2060"/>
      <c r="Q106" s="2060"/>
      <c r="S106" s="1518"/>
      <c r="AA106" s="2060"/>
      <c r="AC106" s="1515"/>
    </row>
    <row r="107" spans="1:33" s="1508" customFormat="1" ht="12.95" customHeight="1">
      <c r="A107" s="1510" t="str">
        <f t="shared" si="14"/>
        <v>n</v>
      </c>
      <c r="B107" s="1518"/>
      <c r="C107" s="387"/>
      <c r="D107" s="496"/>
      <c r="E107" s="705"/>
      <c r="F107" s="146"/>
      <c r="G107" s="395"/>
      <c r="H107" s="395"/>
      <c r="I107" s="1559"/>
      <c r="J107" s="1559"/>
      <c r="K107" s="2060"/>
      <c r="L107" s="2060"/>
      <c r="M107" s="2060"/>
      <c r="N107" s="2060"/>
      <c r="O107" s="2060"/>
      <c r="P107" s="2060"/>
      <c r="Q107" s="2060"/>
      <c r="S107" s="1518"/>
      <c r="AA107" s="2060"/>
      <c r="AC107" s="1515"/>
    </row>
    <row r="108" spans="1:33" s="1508" customFormat="1" ht="12.95" customHeight="1">
      <c r="A108" s="1510" t="str">
        <f t="shared" si="14"/>
        <v>n</v>
      </c>
      <c r="B108" s="1518"/>
      <c r="C108" s="462" t="str">
        <f>"Reported Earnings Before Tax "&amp;$AE$7</f>
        <v>Reported Earnings Before Tax LFY</v>
      </c>
      <c r="D108" s="1538"/>
      <c r="E108" s="672"/>
      <c r="F108" s="391" t="str">
        <f>IF(F$57="","",IFERROR((_xll.ciqfunctions.udf.CIQ(F$57,$AC108,$AD$7,Valuation_date,ReportType,DataMode,F$58,FXMode)*Scale),"--"))</f>
        <v>--</v>
      </c>
      <c r="G108" s="391" t="str">
        <f>IF(G$57="","",IFERROR((_xll.ciqfunctions.udf.CIQ(G$57,$AC108,$AD$7,Valuation_date,ReportType,DataMode,G$58,FXMode)*Scale),"--"))</f>
        <v>--</v>
      </c>
      <c r="H108" s="391" t="str">
        <f>IF(H$57="","",IFERROR((_xll.ciqfunctions.udf.CIQ(H$57,$AC108,$AD$7,Valuation_date,ReportType,DataMode,H$58,FXMode)*Scale),"--"))</f>
        <v>--</v>
      </c>
      <c r="I108" s="391" t="str">
        <f>IF(I$57="","",IFERROR((_xll.ciqfunctions.udf.CIQ(I$57,$AC108,$AD$7,Valuation_date,ReportType,DataMode,I$58,FXMode)*Scale),"--"))</f>
        <v>--</v>
      </c>
      <c r="J108" s="391" t="str">
        <f>IF(J$57="","",IFERROR((_xll.ciqfunctions.udf.CIQ(J$57,$AC108,$AD$7,Valuation_date,ReportType,DataMode,J$58,FXMode)*Scale),"--"))</f>
        <v>--</v>
      </c>
      <c r="K108" s="2060"/>
      <c r="L108" s="2060"/>
      <c r="M108" s="2060"/>
      <c r="N108" s="2060"/>
      <c r="O108" s="2060"/>
      <c r="P108" s="2060"/>
      <c r="Q108" s="2060"/>
      <c r="S108" s="1518"/>
      <c r="AA108" s="2060"/>
      <c r="AB108" s="180"/>
      <c r="AC108" s="203" t="s">
        <v>797</v>
      </c>
      <c r="AD108" s="195"/>
      <c r="AE108" s="195"/>
      <c r="AF108" s="195"/>
      <c r="AG108" s="195"/>
    </row>
    <row r="109" spans="1:33" s="1508" customFormat="1" ht="12.95" customHeight="1">
      <c r="A109" s="969" t="str">
        <f t="shared" ref="A109:A117" si="15">IF(OR(MAX(F109:O109)&gt;Tolerance,MIN(F109:O109)&lt;-Tolerance),"","n")</f>
        <v>n</v>
      </c>
      <c r="B109" s="602"/>
      <c r="C109" s="497" t="s">
        <v>1741</v>
      </c>
      <c r="D109" s="2208">
        <f>D61</f>
        <v>0</v>
      </c>
      <c r="E109" s="672"/>
      <c r="F109" s="391" t="str">
        <f>IF(F$57="","",IFERROR((_xll.ciqfunctions.udf.CIQ(F$57,$AC109,$AD$7,Valuation_date,ReportType,DataMode,F$58,FXMode)*Scale),"--"))</f>
        <v>--</v>
      </c>
      <c r="G109" s="391" t="str">
        <f>IF(G$57="","",IFERROR((_xll.ciqfunctions.udf.CIQ(G$57,$AC109,$AD$7,Valuation_date,ReportType,DataMode,G$58,FXMode)*Scale),"--"))</f>
        <v>--</v>
      </c>
      <c r="H109" s="391" t="str">
        <f>IF(H$57="","",IFERROR((_xll.ciqfunctions.udf.CIQ(H$57,$AC109,$AD$7,Valuation_date,ReportType,DataMode,H$58,FXMode)*Scale),"--"))</f>
        <v>--</v>
      </c>
      <c r="I109" s="391" t="str">
        <f>IF(I$57="","",IFERROR((_xll.ciqfunctions.udf.CIQ(I$57,$AC109,$AD$7,Valuation_date,ReportType,DataMode,I$58,FXMode)*Scale),"--"))</f>
        <v>--</v>
      </c>
      <c r="J109" s="391" t="str">
        <f>IF(J$57="","",IFERROR((_xll.ciqfunctions.udf.CIQ(J$57,$AC109,$AD$7,Valuation_date,ReportType,DataMode,J$58,FXMode)*Scale),"--"))</f>
        <v>--</v>
      </c>
      <c r="K109" s="2060"/>
      <c r="L109" s="2060"/>
      <c r="M109" s="2060"/>
      <c r="N109" s="2060"/>
      <c r="O109" s="2060"/>
      <c r="P109" s="2060"/>
      <c r="Q109" s="2060"/>
      <c r="S109" s="1518"/>
      <c r="AA109" s="2060"/>
      <c r="AB109" s="180"/>
      <c r="AC109" s="204" t="s">
        <v>1742</v>
      </c>
      <c r="AD109" s="191"/>
      <c r="AE109" s="191"/>
      <c r="AF109" s="191"/>
      <c r="AG109" s="191"/>
    </row>
    <row r="110" spans="1:33" s="1508" customFormat="1" ht="12.95" customHeight="1">
      <c r="A110" s="969" t="str">
        <f t="shared" si="15"/>
        <v>n</v>
      </c>
      <c r="B110" s="602"/>
      <c r="C110" s="497" t="s">
        <v>1743</v>
      </c>
      <c r="D110" s="2208">
        <f t="shared" ref="D110:D117" si="16">D62</f>
        <v>0</v>
      </c>
      <c r="E110" s="672"/>
      <c r="F110" s="391" t="str">
        <f>IF(F$57="","",IFERROR((_xll.ciqfunctions.udf.CIQ(F$57,$AC110,$AD$7,Valuation_date,ReportType,DataMode,F$58,FXMode)*Scale),"--"))</f>
        <v>--</v>
      </c>
      <c r="G110" s="391" t="str">
        <f>IF(G$57="","",IFERROR((_xll.ciqfunctions.udf.CIQ(G$57,$AC110,$AD$7,Valuation_date,ReportType,DataMode,G$58,FXMode)*Scale),"--"))</f>
        <v>--</v>
      </c>
      <c r="H110" s="391" t="str">
        <f>IF(H$57="","",IFERROR((_xll.ciqfunctions.udf.CIQ(H$57,$AC110,$AD$7,Valuation_date,ReportType,DataMode,H$58,FXMode)*Scale),"--"))</f>
        <v>--</v>
      </c>
      <c r="I110" s="391" t="str">
        <f>IF(I$57="","",IFERROR((_xll.ciqfunctions.udf.CIQ(I$57,$AC110,$AD$7,Valuation_date,ReportType,DataMode,I$58,FXMode)*Scale),"--"))</f>
        <v>--</v>
      </c>
      <c r="J110" s="391" t="str">
        <f>IF(J$57="","",IFERROR((_xll.ciqfunctions.udf.CIQ(J$57,$AC110,$AD$7,Valuation_date,ReportType,DataMode,J$58,FXMode)*Scale),"--"))</f>
        <v>--</v>
      </c>
      <c r="K110" s="2060"/>
      <c r="L110" s="2060"/>
      <c r="M110" s="2060"/>
      <c r="N110" s="2060"/>
      <c r="O110" s="2060"/>
      <c r="P110" s="2060"/>
      <c r="Q110" s="2060"/>
      <c r="S110" s="1518"/>
      <c r="AA110" s="2060"/>
      <c r="AB110" s="180"/>
      <c r="AC110" s="180" t="s">
        <v>1744</v>
      </c>
      <c r="AD110" s="191"/>
      <c r="AE110" s="191"/>
      <c r="AF110" s="191"/>
      <c r="AG110" s="191"/>
    </row>
    <row r="111" spans="1:33" s="1499" customFormat="1" ht="12.95" customHeight="1">
      <c r="A111" s="969" t="str">
        <f t="shared" si="15"/>
        <v>n</v>
      </c>
      <c r="B111" s="602"/>
      <c r="C111" s="497" t="s">
        <v>1745</v>
      </c>
      <c r="D111" s="2208">
        <f t="shared" si="16"/>
        <v>0</v>
      </c>
      <c r="E111" s="672"/>
      <c r="F111" s="391" t="str">
        <f>IF(F$57="","",IFERROR((_xll.ciqfunctions.udf.CIQ(F$57,$AC111,$AD$7,Valuation_date,ReportType,DataMode,F$58,FXMode)*Scale),"--"))</f>
        <v>--</v>
      </c>
      <c r="G111" s="391" t="str">
        <f>IF(G$57="","",IFERROR((_xll.ciqfunctions.udf.CIQ(G$57,$AC111,$AD$7,Valuation_date,ReportType,DataMode,G$58,FXMode)*Scale),"--"))</f>
        <v>--</v>
      </c>
      <c r="H111" s="391" t="str">
        <f>IF(H$57="","",IFERROR((_xll.ciqfunctions.udf.CIQ(H$57,$AC111,$AD$7,Valuation_date,ReportType,DataMode,H$58,FXMode)*Scale),"--"))</f>
        <v>--</v>
      </c>
      <c r="I111" s="391" t="str">
        <f>IF(I$57="","",IFERROR((_xll.ciqfunctions.udf.CIQ(I$57,$AC111,$AD$7,Valuation_date,ReportType,DataMode,I$58,FXMode)*Scale),"--"))</f>
        <v>--</v>
      </c>
      <c r="J111" s="391" t="str">
        <f>IF(J$57="","",IFERROR((_xll.ciqfunctions.udf.CIQ(J$57,$AC111,$AD$7,Valuation_date,ReportType,DataMode,J$58,FXMode)*Scale),"--"))</f>
        <v>--</v>
      </c>
      <c r="K111" s="2060"/>
      <c r="L111" s="2060"/>
      <c r="M111" s="2060"/>
      <c r="N111" s="2060"/>
      <c r="O111" s="2060"/>
      <c r="P111" s="2060"/>
      <c r="Q111" s="2060"/>
      <c r="R111" s="1508"/>
      <c r="S111" s="1518"/>
      <c r="T111" s="2060"/>
      <c r="U111" s="2060"/>
      <c r="V111" s="2060"/>
      <c r="W111" s="2060"/>
      <c r="X111" s="2060"/>
      <c r="Y111" s="2060"/>
      <c r="Z111" s="2060"/>
      <c r="AA111" s="2060"/>
      <c r="AB111" s="180"/>
      <c r="AC111" s="180" t="s">
        <v>1746</v>
      </c>
      <c r="AD111" s="191"/>
      <c r="AE111" s="191"/>
      <c r="AF111" s="191"/>
      <c r="AG111" s="191"/>
    </row>
    <row r="112" spans="1:33" s="1499" customFormat="1" ht="12.95" customHeight="1">
      <c r="A112" s="969" t="str">
        <f t="shared" si="15"/>
        <v>n</v>
      </c>
      <c r="B112" s="602"/>
      <c r="C112" s="497" t="s">
        <v>1747</v>
      </c>
      <c r="D112" s="2208">
        <f t="shared" si="16"/>
        <v>0</v>
      </c>
      <c r="E112" s="672"/>
      <c r="F112" s="391" t="str">
        <f>IF(F$57="","",IFERROR((_xll.ciqfunctions.udf.CIQ(F$57,$AC112,$AD$7,Valuation_date,ReportType,DataMode,F$58,FXMode)*Scale),"--"))</f>
        <v>--</v>
      </c>
      <c r="G112" s="391" t="str">
        <f>IF(G$57="","",IFERROR((_xll.ciqfunctions.udf.CIQ(G$57,$AC112,$AD$7,Valuation_date,ReportType,DataMode,G$58,FXMode)*Scale),"--"))</f>
        <v>--</v>
      </c>
      <c r="H112" s="391" t="str">
        <f>IF(H$57="","",IFERROR((_xll.ciqfunctions.udf.CIQ(H$57,$AC112,$AD$7,Valuation_date,ReportType,DataMode,H$58,FXMode)*Scale),"--"))</f>
        <v>--</v>
      </c>
      <c r="I112" s="391" t="str">
        <f>IF(I$57="","",IFERROR((_xll.ciqfunctions.udf.CIQ(I$57,$AC112,$AD$7,Valuation_date,ReportType,DataMode,I$58,FXMode)*Scale),"--"))</f>
        <v>--</v>
      </c>
      <c r="J112" s="391" t="str">
        <f>IF(J$57="","",IFERROR((_xll.ciqfunctions.udf.CIQ(J$57,$AC112,$AD$7,Valuation_date,ReportType,DataMode,J$58,FXMode)*Scale),"--"))</f>
        <v>--</v>
      </c>
      <c r="K112" s="2060"/>
      <c r="L112" s="2060"/>
      <c r="M112" s="2060"/>
      <c r="N112" s="2060"/>
      <c r="O112" s="2060"/>
      <c r="P112" s="2060"/>
      <c r="Q112" s="2060"/>
      <c r="R112" s="1508"/>
      <c r="S112" s="1518"/>
      <c r="T112" s="2060"/>
      <c r="U112" s="2060"/>
      <c r="V112" s="2060"/>
      <c r="W112" s="2060"/>
      <c r="X112" s="2060"/>
      <c r="Y112" s="2060"/>
      <c r="Z112" s="2060"/>
      <c r="AA112" s="2060"/>
      <c r="AB112" s="180"/>
      <c r="AC112" s="180" t="s">
        <v>1748</v>
      </c>
      <c r="AD112" s="191"/>
      <c r="AE112" s="191"/>
      <c r="AF112" s="191"/>
      <c r="AG112" s="191"/>
    </row>
    <row r="113" spans="1:33" s="1499" customFormat="1" ht="12.95" customHeight="1">
      <c r="A113" s="969" t="str">
        <f t="shared" si="15"/>
        <v>n</v>
      </c>
      <c r="B113" s="602"/>
      <c r="C113" s="497" t="s">
        <v>1749</v>
      </c>
      <c r="D113" s="2208">
        <f t="shared" si="16"/>
        <v>0</v>
      </c>
      <c r="E113" s="672"/>
      <c r="F113" s="391" t="str">
        <f>IF(F$57="","",IFERROR((_xll.ciqfunctions.udf.CIQ(F$57,$AC113,$AD$7,Valuation_date,ReportType,DataMode,F$58,FXMode)*Scale),"--"))</f>
        <v>--</v>
      </c>
      <c r="G113" s="391" t="str">
        <f>IF(G$57="","",IFERROR((_xll.ciqfunctions.udf.CIQ(G$57,$AC113,$AD$7,Valuation_date,ReportType,DataMode,G$58,FXMode)*Scale),"--"))</f>
        <v>--</v>
      </c>
      <c r="H113" s="391" t="str">
        <f>IF(H$57="","",IFERROR((_xll.ciqfunctions.udf.CIQ(H$57,$AC113,$AD$7,Valuation_date,ReportType,DataMode,H$58,FXMode)*Scale),"--"))</f>
        <v>--</v>
      </c>
      <c r="I113" s="391" t="str">
        <f>IF(I$57="","",IFERROR((_xll.ciqfunctions.udf.CIQ(I$57,$AC113,$AD$7,Valuation_date,ReportType,DataMode,I$58,FXMode)*Scale),"--"))</f>
        <v>--</v>
      </c>
      <c r="J113" s="391" t="str">
        <f>IF(J$57="","",IFERROR((_xll.ciqfunctions.udf.CIQ(J$57,$AC113,$AD$7,Valuation_date,ReportType,DataMode,J$58,FXMode)*Scale),"--"))</f>
        <v>--</v>
      </c>
      <c r="K113" s="2060"/>
      <c r="L113" s="2060"/>
      <c r="M113" s="2060"/>
      <c r="N113" s="2060"/>
      <c r="O113" s="2060"/>
      <c r="P113" s="2060"/>
      <c r="Q113" s="2060"/>
      <c r="R113" s="1508"/>
      <c r="S113" s="1518"/>
      <c r="T113" s="2060"/>
      <c r="U113" s="2060"/>
      <c r="V113" s="2060"/>
      <c r="W113" s="2060"/>
      <c r="X113" s="2060"/>
      <c r="Y113" s="2060"/>
      <c r="Z113" s="2060"/>
      <c r="AA113" s="2060"/>
      <c r="AB113" s="180"/>
      <c r="AC113" s="180" t="s">
        <v>1750</v>
      </c>
      <c r="AD113" s="191"/>
      <c r="AE113" s="191"/>
      <c r="AF113" s="191"/>
      <c r="AG113" s="191"/>
    </row>
    <row r="114" spans="1:33" s="1499" customFormat="1" ht="13.9">
      <c r="A114" s="969" t="str">
        <f t="shared" si="15"/>
        <v>n</v>
      </c>
      <c r="B114" s="602"/>
      <c r="C114" s="497" t="s">
        <v>1751</v>
      </c>
      <c r="D114" s="2208">
        <f t="shared" si="16"/>
        <v>0</v>
      </c>
      <c r="E114" s="672"/>
      <c r="F114" s="391" t="str">
        <f>IF(F$57="","",IFERROR((_xll.ciqfunctions.udf.CIQ(F$57,$AC114,$AD$7,Valuation_date,ReportType,DataMode,F$58,FXMode)*Scale),"--"))</f>
        <v>--</v>
      </c>
      <c r="G114" s="391" t="str">
        <f>IF(G$57="","",IFERROR((_xll.ciqfunctions.udf.CIQ(G$57,$AC114,$AD$7,Valuation_date,ReportType,DataMode,G$58,FXMode)*Scale),"--"))</f>
        <v>--</v>
      </c>
      <c r="H114" s="391" t="str">
        <f>IF(H$57="","",IFERROR((_xll.ciqfunctions.udf.CIQ(H$57,$AC114,$AD$7,Valuation_date,ReportType,DataMode,H$58,FXMode)*Scale),"--"))</f>
        <v>--</v>
      </c>
      <c r="I114" s="391" t="str">
        <f>IF(I$57="","",IFERROR((_xll.ciqfunctions.udf.CIQ(I$57,$AC114,$AD$7,Valuation_date,ReportType,DataMode,I$58,FXMode)*Scale),"--"))</f>
        <v>--</v>
      </c>
      <c r="J114" s="391" t="str">
        <f>IF(J$57="","",IFERROR((_xll.ciqfunctions.udf.CIQ(J$57,$AC114,$AD$7,Valuation_date,ReportType,DataMode,J$58,FXMode)*Scale),"--"))</f>
        <v>--</v>
      </c>
      <c r="K114" s="2060"/>
      <c r="L114" s="2060"/>
      <c r="M114" s="2060"/>
      <c r="N114" s="2060"/>
      <c r="O114" s="2060"/>
      <c r="P114" s="2060"/>
      <c r="Q114" s="2060"/>
      <c r="R114" s="1508"/>
      <c r="S114" s="1518"/>
      <c r="T114" s="2060"/>
      <c r="U114" s="2060"/>
      <c r="V114" s="2060"/>
      <c r="W114" s="2060"/>
      <c r="X114" s="2060"/>
      <c r="Y114" s="2060"/>
      <c r="Z114" s="2060"/>
      <c r="AA114" s="2060"/>
      <c r="AB114" s="180"/>
      <c r="AC114" s="205" t="s">
        <v>1752</v>
      </c>
      <c r="AD114" s="191"/>
      <c r="AE114" s="191"/>
      <c r="AF114" s="191"/>
      <c r="AG114" s="191"/>
    </row>
    <row r="115" spans="1:33" s="1499" customFormat="1" ht="12.95" customHeight="1">
      <c r="A115" s="969" t="str">
        <f t="shared" si="15"/>
        <v>n</v>
      </c>
      <c r="B115" s="602"/>
      <c r="C115" s="497" t="s">
        <v>1753</v>
      </c>
      <c r="D115" s="2208">
        <f t="shared" si="16"/>
        <v>0</v>
      </c>
      <c r="E115" s="672"/>
      <c r="F115" s="391" t="str">
        <f>IF(F$57="","",IFERROR((_xll.ciqfunctions.udf.CIQ(F$57,$AC115,$AD$7,Valuation_date,ReportType,DataMode,F$58,FXMode)*Scale),"--"))</f>
        <v>--</v>
      </c>
      <c r="G115" s="391" t="str">
        <f>IF(G$57="","",IFERROR((_xll.ciqfunctions.udf.CIQ(G$57,$AC115,$AD$7,Valuation_date,ReportType,DataMode,G$58,FXMode)*Scale),"--"))</f>
        <v>--</v>
      </c>
      <c r="H115" s="391" t="str">
        <f>IF(H$57="","",IFERROR((_xll.ciqfunctions.udf.CIQ(H$57,$AC115,$AD$7,Valuation_date,ReportType,DataMode,H$58,FXMode)*Scale),"--"))</f>
        <v>--</v>
      </c>
      <c r="I115" s="391" t="str">
        <f>IF(I$57="","",IFERROR((_xll.ciqfunctions.udf.CIQ(I$57,$AC115,$AD$7,Valuation_date,ReportType,DataMode,I$58,FXMode)*Scale),"--"))</f>
        <v>--</v>
      </c>
      <c r="J115" s="391" t="str">
        <f>IF(J$57="","",IFERROR((_xll.ciqfunctions.udf.CIQ(J$57,$AC115,$AD$7,Valuation_date,ReportType,DataMode,J$58,FXMode)*Scale),"--"))</f>
        <v>--</v>
      </c>
      <c r="K115" s="2060"/>
      <c r="L115" s="2060"/>
      <c r="M115" s="2060"/>
      <c r="N115" s="2060"/>
      <c r="O115" s="2060"/>
      <c r="P115" s="2060"/>
      <c r="Q115" s="2060"/>
      <c r="R115" s="1508"/>
      <c r="S115" s="1518"/>
      <c r="T115" s="2060"/>
      <c r="U115" s="2060"/>
      <c r="V115" s="2060"/>
      <c r="W115" s="2060"/>
      <c r="X115" s="2060"/>
      <c r="Y115" s="2060"/>
      <c r="Z115" s="2060"/>
      <c r="AA115" s="2060"/>
      <c r="AB115" s="180"/>
      <c r="AC115" s="180" t="s">
        <v>1754</v>
      </c>
      <c r="AD115" s="191"/>
      <c r="AE115" s="191"/>
      <c r="AF115" s="191"/>
      <c r="AG115" s="191"/>
    </row>
    <row r="116" spans="1:33" s="1499" customFormat="1" ht="12.95" customHeight="1">
      <c r="A116" s="969" t="str">
        <f t="shared" si="15"/>
        <v>n</v>
      </c>
      <c r="B116" s="602"/>
      <c r="C116" s="497" t="s">
        <v>1755</v>
      </c>
      <c r="D116" s="2208">
        <f t="shared" si="16"/>
        <v>0</v>
      </c>
      <c r="E116" s="672"/>
      <c r="F116" s="391" t="str">
        <f>IF(F$57="","",IFERROR((_xll.ciqfunctions.udf.CIQ(F$57,$AC116,$AD$7,Valuation_date,ReportType,DataMode,F$58,FXMode)*Scale),"--"))</f>
        <v>--</v>
      </c>
      <c r="G116" s="391" t="str">
        <f>IF(G$57="","",IFERROR((_xll.ciqfunctions.udf.CIQ(G$57,$AC116,$AD$7,Valuation_date,ReportType,DataMode,G$58,FXMode)*Scale),"--"))</f>
        <v>--</v>
      </c>
      <c r="H116" s="391" t="str">
        <f>IF(H$57="","",IFERROR((_xll.ciqfunctions.udf.CIQ(H$57,$AC116,$AD$7,Valuation_date,ReportType,DataMode,H$58,FXMode)*Scale),"--"))</f>
        <v>--</v>
      </c>
      <c r="I116" s="391" t="str">
        <f>IF(I$57="","",IFERROR((_xll.ciqfunctions.udf.CIQ(I$57,$AC116,$AD$7,Valuation_date,ReportType,DataMode,I$58,FXMode)*Scale),"--"))</f>
        <v>--</v>
      </c>
      <c r="J116" s="391" t="str">
        <f>IF(J$57="","",IFERROR((_xll.ciqfunctions.udf.CIQ(J$57,$AC116,$AD$7,Valuation_date,ReportType,DataMode,J$58,FXMode)*Scale),"--"))</f>
        <v>--</v>
      </c>
      <c r="K116" s="2060"/>
      <c r="L116" s="2060"/>
      <c r="M116" s="2060"/>
      <c r="N116" s="2060"/>
      <c r="O116" s="2060"/>
      <c r="P116" s="2060"/>
      <c r="Q116" s="2060"/>
      <c r="R116" s="1508"/>
      <c r="S116" s="1518"/>
      <c r="T116" s="2060"/>
      <c r="U116" s="2060"/>
      <c r="V116" s="2060"/>
      <c r="W116" s="2060"/>
      <c r="X116" s="2060"/>
      <c r="Y116" s="2060"/>
      <c r="Z116" s="2060"/>
      <c r="AA116" s="2060"/>
      <c r="AB116" s="180"/>
      <c r="AC116" s="180" t="s">
        <v>1756</v>
      </c>
      <c r="AD116" s="191"/>
      <c r="AE116" s="191"/>
      <c r="AF116" s="191"/>
      <c r="AG116" s="191"/>
    </row>
    <row r="117" spans="1:33" s="1499" customFormat="1" ht="12.95" customHeight="1">
      <c r="A117" s="969" t="str">
        <f t="shared" si="15"/>
        <v>n</v>
      </c>
      <c r="B117" s="602"/>
      <c r="C117" s="497" t="s">
        <v>1757</v>
      </c>
      <c r="D117" s="2208">
        <f t="shared" si="16"/>
        <v>0</v>
      </c>
      <c r="E117" s="678"/>
      <c r="F117" s="391" t="str">
        <f>IF(F$57="","",IFERROR((_xll.ciqfunctions.udf.CIQ(F$57,$AC117,$AD$7,Valuation_date,ReportType,DataMode,F$58,FXMode)*Scale),"--"))</f>
        <v>--</v>
      </c>
      <c r="G117" s="391" t="str">
        <f>IF(G$57="","",IFERROR((_xll.ciqfunctions.udf.CIQ(G$57,$AC117,$AD$7,Valuation_date,ReportType,DataMode,G$58,FXMode)*Scale),"--"))</f>
        <v>--</v>
      </c>
      <c r="H117" s="391" t="str">
        <f>IF(H$57="","",IFERROR((_xll.ciqfunctions.udf.CIQ(H$57,$AC117,$AD$7,Valuation_date,ReportType,DataMode,H$58,FXMode)*Scale),"--"))</f>
        <v>--</v>
      </c>
      <c r="I117" s="391" t="str">
        <f>IF(I$57="","",IFERROR((_xll.ciqfunctions.udf.CIQ(I$57,$AC117,$AD$7,Valuation_date,ReportType,DataMode,I$58,FXMode)*Scale),"--"))</f>
        <v>--</v>
      </c>
      <c r="J117" s="391" t="str">
        <f>IF(J$57="","",IFERROR((_xll.ciqfunctions.udf.CIQ(J$57,$AC117,$AD$7,Valuation_date,ReportType,DataMode,J$58,FXMode)*Scale),"--"))</f>
        <v>--</v>
      </c>
      <c r="K117" s="2060"/>
      <c r="L117" s="2060"/>
      <c r="M117" s="2060"/>
      <c r="N117" s="2060"/>
      <c r="O117" s="2060"/>
      <c r="P117" s="2060"/>
      <c r="Q117" s="2060"/>
      <c r="R117" s="151"/>
      <c r="S117" s="1518"/>
      <c r="T117" s="2060"/>
      <c r="U117" s="2060"/>
      <c r="V117" s="2060"/>
      <c r="W117" s="2060"/>
      <c r="X117" s="2060"/>
      <c r="Y117" s="2060"/>
      <c r="Z117" s="2060"/>
      <c r="AA117" s="2060"/>
      <c r="AB117" s="180"/>
      <c r="AC117" s="205" t="s">
        <v>1758</v>
      </c>
      <c r="AD117" s="191"/>
      <c r="AE117" s="191"/>
      <c r="AF117" s="191"/>
      <c r="AG117" s="191"/>
    </row>
    <row r="118" spans="1:33" s="1499" customFormat="1" ht="12.95" customHeight="1">
      <c r="A118" s="1510" t="str">
        <f>$A$49</f>
        <v>n</v>
      </c>
      <c r="B118" s="602"/>
      <c r="C118" s="1237" t="str">
        <f>"Expected Adjusted Earnings Before Tax "&amp;$AE$7</f>
        <v>Expected Adjusted Earnings Before Tax LFY</v>
      </c>
      <c r="D118" s="1666"/>
      <c r="E118" s="1239"/>
      <c r="F118" s="1240" t="str">
        <f>IFERROR(F108-SUM(F109:F117),"--")</f>
        <v>--</v>
      </c>
      <c r="G118" s="1240" t="str">
        <f>IFERROR(G108-SUM(G109:G117),"--")</f>
        <v>--</v>
      </c>
      <c r="H118" s="1240" t="str">
        <f>IFERROR(H108-SUM(H109:H117),"--")</f>
        <v>--</v>
      </c>
      <c r="I118" s="1240" t="str">
        <f>IFERROR(I108-SUM(I109:I117),"--")</f>
        <v>--</v>
      </c>
      <c r="J118" s="1240" t="str">
        <f>IFERROR(J108-SUM(J109:J117),"--")</f>
        <v>--</v>
      </c>
      <c r="K118" s="2060"/>
      <c r="L118" s="2060"/>
      <c r="M118" s="2060"/>
      <c r="N118" s="2060"/>
      <c r="O118" s="2060"/>
      <c r="P118" s="2060"/>
      <c r="Q118" s="2060"/>
      <c r="R118" s="151"/>
      <c r="S118" s="1518"/>
      <c r="T118" s="2060"/>
      <c r="U118" s="2060"/>
      <c r="V118" s="2060"/>
      <c r="W118" s="2060"/>
      <c r="X118" s="2060"/>
      <c r="Y118" s="2060"/>
      <c r="Z118" s="2060"/>
      <c r="AA118" s="2060"/>
      <c r="AB118" s="180"/>
      <c r="AC118" s="205"/>
      <c r="AD118" s="191"/>
      <c r="AE118" s="191"/>
      <c r="AF118" s="191"/>
      <c r="AG118" s="191"/>
    </row>
    <row r="119" spans="1:33" s="1499" customFormat="1" ht="12.95" customHeight="1">
      <c r="A119" s="1510" t="str">
        <f>$A$49</f>
        <v>n</v>
      </c>
      <c r="B119" s="602"/>
      <c r="C119" s="497"/>
      <c r="D119" s="1626"/>
      <c r="E119" s="1261"/>
      <c r="F119" s="499"/>
      <c r="G119" s="499"/>
      <c r="H119" s="499"/>
      <c r="I119" s="499"/>
      <c r="J119" s="499"/>
      <c r="K119" s="2060"/>
      <c r="L119" s="2060"/>
      <c r="M119" s="2060"/>
      <c r="N119" s="2060"/>
      <c r="O119" s="2060"/>
      <c r="P119" s="2060"/>
      <c r="Q119" s="2060"/>
      <c r="R119" s="151"/>
      <c r="S119" s="1518"/>
      <c r="T119" s="2060"/>
      <c r="U119" s="2060"/>
      <c r="V119" s="2060"/>
      <c r="W119" s="2060"/>
      <c r="X119" s="2060"/>
      <c r="Y119" s="2060"/>
      <c r="Z119" s="2060"/>
      <c r="AA119" s="2060"/>
      <c r="AB119" s="180"/>
      <c r="AC119" s="205"/>
      <c r="AD119" s="191"/>
      <c r="AE119" s="191"/>
      <c r="AF119" s="191"/>
      <c r="AG119" s="191"/>
    </row>
    <row r="120" spans="1:33" s="1499" customFormat="1" ht="12.95" customHeight="1">
      <c r="A120" s="1510" t="str">
        <f>$A$49</f>
        <v>n</v>
      </c>
      <c r="B120" s="602"/>
      <c r="C120" s="1228" t="s">
        <v>1759</v>
      </c>
      <c r="D120" s="1812"/>
      <c r="E120" s="1262"/>
      <c r="F120" s="1263" t="str">
        <f>IFERROR(ROUND(F118-F122,4),"--")</f>
        <v>--</v>
      </c>
      <c r="G120" s="1263" t="str">
        <f>IFERROR(ROUND(G118-G122,4),"--")</f>
        <v>--</v>
      </c>
      <c r="H120" s="1263" t="str">
        <f>IFERROR(ROUND(H118-H122,4),"--")</f>
        <v>--</v>
      </c>
      <c r="I120" s="1263" t="str">
        <f>IFERROR(ROUND(I118-I122,4),"--")</f>
        <v>--</v>
      </c>
      <c r="J120" s="1263" t="str">
        <f>IFERROR(ROUND(J118-J122,4),"--")</f>
        <v>--</v>
      </c>
      <c r="K120" s="2060"/>
      <c r="L120" s="2060"/>
      <c r="M120" s="2060"/>
      <c r="N120" s="2060"/>
      <c r="O120" s="2060"/>
      <c r="P120" s="2060"/>
      <c r="Q120" s="2060"/>
      <c r="R120" s="1508"/>
      <c r="S120" s="1518"/>
      <c r="T120" s="2060"/>
      <c r="U120" s="2060"/>
      <c r="V120" s="2060"/>
      <c r="W120" s="2060"/>
      <c r="X120" s="2060"/>
      <c r="Y120" s="2060"/>
      <c r="Z120" s="2060"/>
      <c r="AA120" s="2060"/>
      <c r="AB120" s="180"/>
      <c r="AC120" s="205"/>
      <c r="AD120" s="191"/>
      <c r="AE120" s="191"/>
      <c r="AF120" s="191"/>
      <c r="AG120" s="191"/>
    </row>
    <row r="121" spans="1:33" s="1499" customFormat="1" ht="12.95" customHeight="1">
      <c r="A121" s="1510" t="str">
        <f>$A$49</f>
        <v>n</v>
      </c>
      <c r="B121" s="602"/>
      <c r="C121" s="497"/>
      <c r="D121" s="1667"/>
      <c r="E121" s="674"/>
      <c r="F121" s="499"/>
      <c r="G121" s="499"/>
      <c r="H121" s="499"/>
      <c r="I121" s="499"/>
      <c r="J121" s="499"/>
      <c r="K121" s="2060"/>
      <c r="L121" s="2060"/>
      <c r="M121" s="2060"/>
      <c r="N121" s="2060"/>
      <c r="O121" s="2060"/>
      <c r="P121" s="2060"/>
      <c r="Q121" s="2060"/>
      <c r="R121" s="1508"/>
      <c r="S121" s="1518"/>
      <c r="T121" s="2060"/>
      <c r="U121" s="2060"/>
      <c r="V121" s="2060"/>
      <c r="W121" s="2060"/>
      <c r="X121" s="2060"/>
      <c r="Y121" s="2060"/>
      <c r="Z121" s="2060"/>
      <c r="AA121" s="2060"/>
      <c r="AB121" s="180"/>
      <c r="AC121" s="205"/>
      <c r="AD121" s="191"/>
      <c r="AE121" s="191"/>
      <c r="AF121" s="191"/>
      <c r="AG121" s="191"/>
    </row>
    <row r="122" spans="1:33" s="1499" customFormat="1" ht="12.95" customHeight="1">
      <c r="A122" s="969" t="str">
        <f>IF(OR(MAX(F122:O122)&gt;Tolerance,MIN(F122:O122)&lt;-Tolerance),"","n")</f>
        <v>n</v>
      </c>
      <c r="B122" s="602"/>
      <c r="C122" s="495" t="str">
        <f>"Capital IQ Earnings Before Tax "&amp;$AE$7</f>
        <v>Capital IQ Earnings Before Tax LFY</v>
      </c>
      <c r="D122" s="2208">
        <f>D74</f>
        <v>0</v>
      </c>
      <c r="E122" s="673"/>
      <c r="F122" s="500" t="str">
        <f>IF(F$57="","",IFERROR((_xll.ciqfunctions.udf.CIQ(F$57,$AC122,$AD$7,Valuation_date,ReportType,DataMode,F$58,FXMode)*Scale),"--"))</f>
        <v>--</v>
      </c>
      <c r="G122" s="500" t="str">
        <f>IF(G$57="","",IFERROR((_xll.ciqfunctions.udf.CIQ(G$57,$AC122,$AD$7,Valuation_date,ReportType,DataMode,G$58,FXMode)*Scale),"--"))</f>
        <v>--</v>
      </c>
      <c r="H122" s="500" t="str">
        <f>IF(H$57="","",IFERROR((_xll.ciqfunctions.udf.CIQ(H$57,$AC122,$AD$7,Valuation_date,ReportType,DataMode,H$58,FXMode)*Scale),"--"))</f>
        <v>--</v>
      </c>
      <c r="I122" s="500" t="str">
        <f>IF(I$57="","",IFERROR((_xll.ciqfunctions.udf.CIQ(I$57,$AC122,$AD$7,Valuation_date,ReportType,DataMode,I$58,FXMode)*Scale),"--"))</f>
        <v>--</v>
      </c>
      <c r="J122" s="500" t="str">
        <f>IF(J$57="","",IFERROR((_xll.ciqfunctions.udf.CIQ(J$57,$AC122,$AD$7,Valuation_date,ReportType,DataMode,J$58,FXMode)*Scale),"--"))</f>
        <v>--</v>
      </c>
      <c r="K122" s="2060"/>
      <c r="L122" s="2060"/>
      <c r="M122" s="2060"/>
      <c r="N122" s="2060"/>
      <c r="O122" s="2060"/>
      <c r="P122" s="2060"/>
      <c r="Q122" s="2060"/>
      <c r="R122" s="1508"/>
      <c r="S122" s="1518"/>
      <c r="T122" s="2060"/>
      <c r="U122" s="2060"/>
      <c r="V122" s="2060"/>
      <c r="W122" s="2060"/>
      <c r="X122" s="2060"/>
      <c r="Y122" s="2060"/>
      <c r="Z122" s="2060"/>
      <c r="AA122" s="2060"/>
      <c r="AB122" s="180"/>
      <c r="AC122" s="205" t="s">
        <v>1760</v>
      </c>
      <c r="AD122" s="191"/>
      <c r="AE122" s="191"/>
      <c r="AF122" s="191"/>
      <c r="AG122" s="191"/>
    </row>
    <row r="123" spans="1:33" s="1499" customFormat="1" ht="12.95" customHeight="1">
      <c r="A123" s="969" t="str">
        <f>IF(OR(MAX(F123:O123)&gt;Tolerance,MIN(F123:O123)&lt;-Tolerance),"","n")</f>
        <v>n</v>
      </c>
      <c r="B123" s="1518"/>
      <c r="C123" s="497" t="s">
        <v>1761</v>
      </c>
      <c r="D123" s="2208">
        <f>D75</f>
        <v>0</v>
      </c>
      <c r="E123" s="614"/>
      <c r="F123" s="501" t="str">
        <f>IF(F$57="","",IFERROR(-(_xll.ciqfunctions.udf.CIQ(F$57,$AC123,$AD$7,Valuation_date,ReportType,DataMode,F$58,FXMode)*Scale),"--"))</f>
        <v>--</v>
      </c>
      <c r="G123" s="501" t="str">
        <f>IF(G$57="","",IFERROR(-(_xll.ciqfunctions.udf.CIQ(G$57,$AC123,$AD$7,Valuation_date,ReportType,DataMode,G$58,FXMode)*Scale),"--"))</f>
        <v>--</v>
      </c>
      <c r="H123" s="501" t="str">
        <f>IF(H$57="","",IFERROR(-(_xll.ciqfunctions.udf.CIQ(H$57,$AC123,$AD$7,Valuation_date,ReportType,DataMode,H$58,FXMode)*Scale),"--"))</f>
        <v>--</v>
      </c>
      <c r="I123" s="501" t="str">
        <f>IF(I$57="","",IFERROR(-(_xll.ciqfunctions.udf.CIQ(I$57,$AC123,$AD$7,Valuation_date,ReportType,DataMode,I$58,FXMode)*Scale),"--"))</f>
        <v>--</v>
      </c>
      <c r="J123" s="501" t="str">
        <f>IF(J$57="","",IFERROR(-(_xll.ciqfunctions.udf.CIQ(J$57,$AC123,$AD$7,Valuation_date,ReportType,DataMode,J$58,FXMode)*Scale),"--"))</f>
        <v>--</v>
      </c>
      <c r="K123" s="2060"/>
      <c r="L123" s="2060"/>
      <c r="M123" s="2060"/>
      <c r="N123" s="2060"/>
      <c r="O123" s="2060"/>
      <c r="P123" s="2060"/>
      <c r="Q123" s="2060"/>
      <c r="R123" s="1508"/>
      <c r="S123" s="1518"/>
      <c r="T123" s="2060"/>
      <c r="U123" s="2060"/>
      <c r="V123" s="2060"/>
      <c r="W123" s="2060"/>
      <c r="X123" s="2060"/>
      <c r="Y123" s="2060"/>
      <c r="Z123" s="2060"/>
      <c r="AA123" s="2060"/>
      <c r="AB123" s="180"/>
      <c r="AC123" s="205" t="s">
        <v>1762</v>
      </c>
      <c r="AD123" s="191"/>
      <c r="AE123" s="191"/>
      <c r="AF123" s="191"/>
      <c r="AG123" s="191"/>
    </row>
    <row r="124" spans="1:33" s="1499" customFormat="1" ht="12.95" customHeight="1">
      <c r="A124" s="969" t="str">
        <f>IF(OR(MAX(F124:O124)&gt;Tolerance,MIN(F124:O124)&lt;-Tolerance),"","n")</f>
        <v>n</v>
      </c>
      <c r="B124" s="1518"/>
      <c r="C124" s="497" t="s">
        <v>1763</v>
      </c>
      <c r="D124" s="2208">
        <f>D76</f>
        <v>0</v>
      </c>
      <c r="E124" s="1567"/>
      <c r="F124" s="501" t="str">
        <f>IF(F$57="","",IFERROR(-(_xll.ciqfunctions.udf.CIQ(F$57,$AC124,$AD$7,Valuation_date,ReportType,DataMode,F$58,FXMode)*Scale),"--"))</f>
        <v>--</v>
      </c>
      <c r="G124" s="501" t="str">
        <f>IF(G$57="","",IFERROR(-(_xll.ciqfunctions.udf.CIQ(G$57,$AC124,$AD$7,Valuation_date,ReportType,DataMode,G$58,FXMode)*Scale),"--"))</f>
        <v>--</v>
      </c>
      <c r="H124" s="501" t="str">
        <f>IF(H$57="","",IFERROR(-(_xll.ciqfunctions.udf.CIQ(H$57,$AC124,$AD$7,Valuation_date,ReportType,DataMode,H$58,FXMode)*Scale),"--"))</f>
        <v>--</v>
      </c>
      <c r="I124" s="501" t="str">
        <f>IF(I$57="","",IFERROR(-(_xll.ciqfunctions.udf.CIQ(I$57,$AC124,$AD$7,Valuation_date,ReportType,DataMode,I$58,FXMode)*Scale),"--"))</f>
        <v>--</v>
      </c>
      <c r="J124" s="501" t="str">
        <f>IF(J$57="","",IFERROR(-(_xll.ciqfunctions.udf.CIQ(J$57,$AC124,$AD$7,Valuation_date,ReportType,DataMode,J$58,FXMode)*Scale),"--"))</f>
        <v>--</v>
      </c>
      <c r="K124" s="2060"/>
      <c r="L124" s="2060"/>
      <c r="M124" s="2060"/>
      <c r="N124" s="2060"/>
      <c r="O124" s="2060"/>
      <c r="P124" s="2060"/>
      <c r="Q124" s="2060"/>
      <c r="R124" s="1508"/>
      <c r="S124" s="1518"/>
      <c r="T124" s="2060"/>
      <c r="U124" s="2060"/>
      <c r="V124" s="2060"/>
      <c r="W124" s="2060"/>
      <c r="X124" s="2060"/>
      <c r="Y124" s="2060"/>
      <c r="Z124" s="2060"/>
      <c r="AA124" s="2060"/>
      <c r="AB124" s="180"/>
      <c r="AC124" s="205" t="s">
        <v>1764</v>
      </c>
      <c r="AD124" s="191"/>
      <c r="AE124" s="191"/>
      <c r="AF124" s="191"/>
      <c r="AG124" s="191"/>
    </row>
    <row r="125" spans="1:33" s="1499" customFormat="1" ht="12.95" customHeight="1">
      <c r="A125" s="969" t="str">
        <f>IF(OR(MAX(F125:O125)&gt;Tolerance,MIN(F125:O125)&lt;-Tolerance),"","n")</f>
        <v>n</v>
      </c>
      <c r="B125" s="1518"/>
      <c r="C125" s="497" t="s">
        <v>1765</v>
      </c>
      <c r="D125" s="2208">
        <f>D77</f>
        <v>0</v>
      </c>
      <c r="E125" s="673"/>
      <c r="F125" s="501" t="str">
        <f>IF(F$57="","",IFERROR(-(_xll.ciqfunctions.udf.CIQ(F$57,$AC125,$AD$7,Valuation_date,ReportType,DataMode,F$58,FXMode)*Scale),"--"))</f>
        <v>--</v>
      </c>
      <c r="G125" s="501" t="str">
        <f>IF(G$57="","",IFERROR(-(_xll.ciqfunctions.udf.CIQ(G$57,$AC125,$AD$7,Valuation_date,ReportType,DataMode,G$58,FXMode)*Scale),"--"))</f>
        <v>--</v>
      </c>
      <c r="H125" s="501" t="str">
        <f>IF(H$57="","",IFERROR(-(_xll.ciqfunctions.udf.CIQ(H$57,$AC125,$AD$7,Valuation_date,ReportType,DataMode,H$58,FXMode)*Scale),"--"))</f>
        <v>--</v>
      </c>
      <c r="I125" s="501" t="str">
        <f>IF(I$57="","",IFERROR(-(_xll.ciqfunctions.udf.CIQ(I$57,$AC125,$AD$7,Valuation_date,ReportType,DataMode,I$58,FXMode)*Scale),"--"))</f>
        <v>--</v>
      </c>
      <c r="J125" s="501" t="str">
        <f>IF(J$57="","",IFERROR(-(_xll.ciqfunctions.udf.CIQ(J$57,$AC125,$AD$7,Valuation_date,ReportType,DataMode,J$58,FXMode)*Scale),"--"))</f>
        <v>--</v>
      </c>
      <c r="K125" s="2060"/>
      <c r="L125" s="2060"/>
      <c r="M125" s="2060"/>
      <c r="N125" s="2060"/>
      <c r="O125" s="2060"/>
      <c r="P125" s="2060"/>
      <c r="Q125" s="2060"/>
      <c r="R125" s="1508"/>
      <c r="S125" s="1518"/>
      <c r="T125" s="2060"/>
      <c r="U125" s="2060"/>
      <c r="V125" s="2060"/>
      <c r="W125" s="2060"/>
      <c r="X125" s="2060"/>
      <c r="Y125" s="2060"/>
      <c r="Z125" s="2060"/>
      <c r="AA125" s="2060"/>
      <c r="AB125" s="180"/>
      <c r="AC125" s="205" t="s">
        <v>1766</v>
      </c>
      <c r="AD125" s="191"/>
      <c r="AE125" s="191"/>
      <c r="AF125" s="191"/>
      <c r="AG125" s="191"/>
    </row>
    <row r="126" spans="1:33" s="1499" customFormat="1" ht="12.95" customHeight="1">
      <c r="A126" s="969" t="str">
        <f>IF(OR(MAX(F126:O126)&gt;Tolerance,MIN(F126:O126)&lt;-Tolerance),"","n")</f>
        <v>n</v>
      </c>
      <c r="B126" s="1518"/>
      <c r="C126" s="497" t="s">
        <v>1767</v>
      </c>
      <c r="D126" s="2208">
        <f>D78</f>
        <v>0</v>
      </c>
      <c r="E126" s="672"/>
      <c r="F126" s="501" t="str">
        <f>IF(F$57="","",IFERROR(-(_xll.ciqfunctions.udf.CIQ(F$57,$AC126,$AD$7,Valuation_date,ReportType,DataMode,F$58,FXMode)*Scale),"--"))</f>
        <v>--</v>
      </c>
      <c r="G126" s="501" t="str">
        <f>IF(G$57="","",IFERROR(-(_xll.ciqfunctions.udf.CIQ(G$57,$AC126,$AD$7,Valuation_date,ReportType,DataMode,G$58,FXMode)*Scale),"--"))</f>
        <v>--</v>
      </c>
      <c r="H126" s="501" t="str">
        <f>IF(H$57="","",IFERROR(-(_xll.ciqfunctions.udf.CIQ(H$57,$AC126,$AD$7,Valuation_date,ReportType,DataMode,H$58,FXMode)*Scale),"--"))</f>
        <v>--</v>
      </c>
      <c r="I126" s="501" t="str">
        <f>IF(I$57="","",IFERROR(-(_xll.ciqfunctions.udf.CIQ(I$57,$AC126,$AD$7,Valuation_date,ReportType,DataMode,I$58,FXMode)*Scale),"--"))</f>
        <v>--</v>
      </c>
      <c r="J126" s="501" t="str">
        <f>IF(J$57="","",IFERROR(-(_xll.ciqfunctions.udf.CIQ(J$57,$AC126,$AD$7,Valuation_date,ReportType,DataMode,J$58,FXMode)*Scale),"--"))</f>
        <v>--</v>
      </c>
      <c r="K126" s="2060"/>
      <c r="L126" s="2060"/>
      <c r="M126" s="2060"/>
      <c r="N126" s="2060"/>
      <c r="O126" s="2060"/>
      <c r="P126" s="2060"/>
      <c r="Q126" s="2060"/>
      <c r="R126" s="1508"/>
      <c r="S126" s="1518"/>
      <c r="T126" s="2060"/>
      <c r="U126" s="2060"/>
      <c r="V126" s="2060"/>
      <c r="W126" s="2060"/>
      <c r="X126" s="2060"/>
      <c r="Y126" s="2060"/>
      <c r="Z126" s="2060"/>
      <c r="AA126" s="2060"/>
      <c r="AB126" s="180"/>
      <c r="AC126" s="205" t="s">
        <v>1768</v>
      </c>
      <c r="AD126" s="191"/>
      <c r="AE126" s="191"/>
      <c r="AF126" s="191"/>
      <c r="AG126" s="191"/>
    </row>
    <row r="127" spans="1:33" s="1499" customFormat="1" ht="12.95" customHeight="1">
      <c r="A127" s="1510" t="str">
        <f t="shared" ref="A127:A143" si="17">$A$49</f>
        <v>n</v>
      </c>
      <c r="B127" s="1518"/>
      <c r="C127" s="1245" t="str">
        <f>"Expected Adjusted EBIT "&amp;$AE$7</f>
        <v>Expected Adjusted EBIT LFY</v>
      </c>
      <c r="D127" s="1246"/>
      <c r="E127" s="1247"/>
      <c r="F127" s="1248">
        <f>SUM(F122:F126)</f>
        <v>0</v>
      </c>
      <c r="G127" s="1248">
        <f>SUM(G122:G126)</f>
        <v>0</v>
      </c>
      <c r="H127" s="1248">
        <f>SUM(H122:H126)</f>
        <v>0</v>
      </c>
      <c r="I127" s="1248">
        <f>SUM(I122:I126)</f>
        <v>0</v>
      </c>
      <c r="J127" s="1248">
        <f>SUM(J122:J126)</f>
        <v>0</v>
      </c>
      <c r="K127" s="2060"/>
      <c r="L127" s="2060"/>
      <c r="M127" s="2060"/>
      <c r="N127" s="2060"/>
      <c r="O127" s="2060"/>
      <c r="P127" s="2060"/>
      <c r="Q127" s="2060"/>
      <c r="R127" s="1508"/>
      <c r="S127" s="1518"/>
      <c r="T127" s="2060"/>
      <c r="U127" s="2060"/>
      <c r="V127" s="2060"/>
      <c r="W127" s="2060"/>
      <c r="X127" s="2060"/>
      <c r="Y127" s="2060"/>
      <c r="Z127" s="2060"/>
      <c r="AA127" s="2060"/>
      <c r="AB127" s="2060"/>
      <c r="AC127" s="2060"/>
      <c r="AD127" s="2060"/>
      <c r="AE127" s="2060"/>
      <c r="AF127" s="2060"/>
      <c r="AG127" s="2060"/>
    </row>
    <row r="128" spans="1:33" s="1508" customFormat="1" ht="12.95" customHeight="1">
      <c r="A128" s="1510" t="str">
        <f t="shared" si="17"/>
        <v>n</v>
      </c>
      <c r="B128" s="1518"/>
      <c r="C128" s="461"/>
      <c r="D128" s="1249"/>
      <c r="E128" s="1249"/>
      <c r="F128" s="413"/>
      <c r="G128" s="1555"/>
      <c r="H128" s="1555"/>
      <c r="I128" s="1555"/>
      <c r="J128" s="1555"/>
      <c r="K128" s="2060"/>
      <c r="L128" s="2060"/>
      <c r="M128" s="2060"/>
      <c r="N128" s="2060"/>
      <c r="O128" s="2060"/>
      <c r="P128" s="2060"/>
      <c r="Q128" s="2060"/>
      <c r="S128" s="1518"/>
      <c r="AA128" s="2060"/>
      <c r="AC128" s="1515"/>
    </row>
    <row r="129" spans="1:33" s="1508" customFormat="1" ht="12.95" customHeight="1">
      <c r="A129" s="1510" t="str">
        <f t="shared" si="17"/>
        <v>n</v>
      </c>
      <c r="B129" s="1518"/>
      <c r="C129" s="1251" t="str">
        <f>"Capital IQ EBIT "&amp;$AE$7</f>
        <v>Capital IQ EBIT LFY</v>
      </c>
      <c r="D129" s="1252"/>
      <c r="E129" s="1252"/>
      <c r="F129" s="1254" t="str">
        <f>IFERROR(IF(F105="--","--",IFERROR(_xll.ciqfunctions.udf.CIQ(F105,"IQ_EBIT",$AD$7,Valuation_date,ReportType,DataMode,F106,FXMode)*Scale,"n/a")),"--")</f>
        <v>--</v>
      </c>
      <c r="G129" s="1254" t="str">
        <f>IFERROR(IF(G105="--","--",IFERROR(_xll.ciqfunctions.udf.CIQ(G105,"IQ_EBIT",$AD$7,Valuation_date,ReportType,DataMode,G106,FXMode)*Scale,"n/a")),"--")</f>
        <v>--</v>
      </c>
      <c r="H129" s="1254" t="str">
        <f>IFERROR(IF(H105="--","--",IFERROR(_xll.ciqfunctions.udf.CIQ(H105,"IQ_EBIT",$AD$7,Valuation_date,ReportType,DataMode,H106,FXMode)*Scale,"n/a")),"--")</f>
        <v>--</v>
      </c>
      <c r="I129" s="1254" t="str">
        <f>IFERROR(IF(I105="--","--",IFERROR(_xll.ciqfunctions.udf.CIQ(I105,"IQ_EBIT",$AD$7,Valuation_date,ReportType,DataMode,I106,FXMode)*Scale,"n/a")),"--")</f>
        <v>--</v>
      </c>
      <c r="J129" s="1254" t="str">
        <f>IFERROR(IF(J105="--","--",IFERROR(_xll.ciqfunctions.udf.CIQ(J105,"IQ_EBIT",$AD$7,Valuation_date,ReportType,DataMode,J106,FXMode)*Scale,"n/a")),"--")</f>
        <v>--</v>
      </c>
      <c r="K129" s="2060"/>
      <c r="L129" s="2060"/>
      <c r="M129" s="2060"/>
      <c r="N129" s="2060"/>
      <c r="O129" s="2060"/>
      <c r="P129" s="2060"/>
      <c r="Q129" s="2060"/>
      <c r="S129" s="1518"/>
      <c r="AA129" s="2060"/>
      <c r="AC129" s="1515"/>
    </row>
    <row r="130" spans="1:33" s="1508" customFormat="1" ht="12.95" customHeight="1">
      <c r="A130" s="1510" t="str">
        <f t="shared" si="17"/>
        <v>n</v>
      </c>
      <c r="B130" s="1518"/>
      <c r="C130" s="1538"/>
      <c r="D130" s="1538"/>
      <c r="E130" s="1538"/>
      <c r="F130" s="1538"/>
      <c r="G130" s="1538"/>
      <c r="H130" s="1538"/>
      <c r="I130" s="1538"/>
      <c r="J130" s="1538"/>
      <c r="K130" s="2060"/>
      <c r="L130" s="2060"/>
      <c r="M130" s="2060"/>
      <c r="N130" s="2060"/>
      <c r="O130" s="2060"/>
      <c r="P130" s="2060"/>
      <c r="Q130" s="2060"/>
      <c r="S130" s="1518"/>
      <c r="AA130" s="2060"/>
      <c r="AC130" s="1515"/>
    </row>
    <row r="131" spans="1:33" s="1508" customFormat="1" ht="12.95" customHeight="1">
      <c r="A131" s="1510" t="str">
        <f t="shared" si="17"/>
        <v>n</v>
      </c>
      <c r="B131" s="1518"/>
      <c r="C131" s="1242" t="s">
        <v>1774</v>
      </c>
      <c r="D131" s="1256"/>
      <c r="E131" s="1256"/>
      <c r="F131" s="1257" t="str">
        <f>IF(ISERROR(F127-F129),"--",ROUND(F127-F129,1))</f>
        <v>--</v>
      </c>
      <c r="G131" s="1257" t="str">
        <f>IF(ISERROR(G127-G129),"--",ROUND(G127-G129,1))</f>
        <v>--</v>
      </c>
      <c r="H131" s="1257" t="str">
        <f>IF(ISERROR(H127-H129),"--",ROUND(H127-H129,1))</f>
        <v>--</v>
      </c>
      <c r="I131" s="1257" t="str">
        <f>IF(ISERROR(I127-I129),"--",ROUND(I127-I129,1))</f>
        <v>--</v>
      </c>
      <c r="J131" s="1257" t="str">
        <f>IF(ISERROR(J127-J129),"--",ROUND(J127-J129,1))</f>
        <v>--</v>
      </c>
      <c r="K131" s="2060"/>
      <c r="L131" s="2060"/>
      <c r="M131" s="2060"/>
      <c r="N131" s="2060"/>
      <c r="O131" s="2060"/>
      <c r="P131" s="2060"/>
      <c r="Q131" s="2060"/>
      <c r="S131" s="1518"/>
      <c r="AA131" s="2060"/>
      <c r="AC131" s="1515"/>
    </row>
    <row r="132" spans="1:33" s="1508" customFormat="1" ht="12.95" customHeight="1">
      <c r="A132" s="1510" t="str">
        <f t="shared" si="17"/>
        <v>n</v>
      </c>
      <c r="B132" s="602"/>
      <c r="C132" s="1538"/>
      <c r="D132" s="1538"/>
      <c r="E132" s="1538"/>
      <c r="F132" s="1538"/>
      <c r="G132" s="1559"/>
      <c r="H132" s="1538"/>
      <c r="I132" s="1538"/>
      <c r="J132" s="1538"/>
      <c r="K132" s="2060"/>
      <c r="L132" s="2060"/>
      <c r="M132" s="2060"/>
      <c r="N132" s="2060"/>
      <c r="O132" s="2060"/>
      <c r="P132" s="2060"/>
      <c r="Q132" s="2060"/>
      <c r="S132" s="1518"/>
      <c r="AA132" s="2060"/>
      <c r="AC132" s="1515"/>
    </row>
    <row r="133" spans="1:33" s="1508" customFormat="1" ht="13.9">
      <c r="A133" s="1510" t="str">
        <f t="shared" si="17"/>
        <v>n</v>
      </c>
      <c r="B133" s="602"/>
      <c r="C133" s="1538" t="s">
        <v>202</v>
      </c>
      <c r="D133" s="1538"/>
      <c r="E133" s="672"/>
      <c r="F133" s="501" t="str">
        <f>IF(F$9="","",IFERROR((_xll.ciqfunctions.udf.CIQ(F$105,$AC133,$AD$7,Valuation_date,ReportType,DataMode,F$10,FXMode)*Scale),"--"))</f>
        <v>--</v>
      </c>
      <c r="G133" s="501" t="str">
        <f>IF(G$9="","",IFERROR((_xll.ciqfunctions.udf.CIQ(G$105,$AC133,$AD$7,Valuation_date,ReportType,DataMode,G$10,FXMode)*Scale),"--"))</f>
        <v>--</v>
      </c>
      <c r="H133" s="501" t="str">
        <f>IF(H$9="","",IFERROR((_xll.ciqfunctions.udf.CIQ(H$105,$AC133,$AD$7,Valuation_date,ReportType,DataMode,H$10,FXMode)*Scale),"--"))</f>
        <v>--</v>
      </c>
      <c r="I133" s="501" t="str">
        <f>IF(I$9="","",IFERROR((_xll.ciqfunctions.udf.CIQ(I$105,$AC133,$AD$7,Valuation_date,ReportType,DataMode,I$10,FXMode)*Scale),"--"))</f>
        <v>--</v>
      </c>
      <c r="J133" s="501" t="str">
        <f>IF(J$9="","",IFERROR((_xll.ciqfunctions.udf.CIQ(J$105,$AC133,$AD$7,Valuation_date,ReportType,DataMode,J$10,FXMode)*Scale),"--"))</f>
        <v>--</v>
      </c>
      <c r="K133" s="2060"/>
      <c r="L133" s="2060"/>
      <c r="M133" s="2060"/>
      <c r="N133" s="2060"/>
      <c r="O133" s="2060"/>
      <c r="P133" s="1538"/>
      <c r="Q133" s="1538"/>
      <c r="S133" s="1518"/>
      <c r="AA133" s="2060"/>
      <c r="AB133" s="180"/>
      <c r="AC133" s="205" t="s">
        <v>811</v>
      </c>
      <c r="AD133" s="191"/>
      <c r="AE133" s="191"/>
      <c r="AF133" s="191"/>
      <c r="AG133" s="191"/>
    </row>
    <row r="134" spans="1:33" s="1508" customFormat="1" ht="13.9">
      <c r="A134" s="1510" t="str">
        <f t="shared" si="17"/>
        <v>n</v>
      </c>
      <c r="B134" s="602"/>
      <c r="C134" s="1538" t="s">
        <v>1770</v>
      </c>
      <c r="D134" s="1538"/>
      <c r="E134" s="672"/>
      <c r="F134" s="501" t="str">
        <f>IF(F$9="","",IFERROR((_xll.ciqfunctions.udf.CIQ(F$105,$AC134,$AD$7,Valuation_date,ReportType,DataMode,F$10,FXMode)*Scale),"--"))</f>
        <v>--</v>
      </c>
      <c r="G134" s="501" t="str">
        <f>IF(G$9="","",IFERROR((_xll.ciqfunctions.udf.CIQ(G$105,$AC134,$AD$7,Valuation_date,ReportType,DataMode,G$10,FXMode)*Scale),"--"))</f>
        <v>--</v>
      </c>
      <c r="H134" s="501" t="str">
        <f>IF(H$9="","",IFERROR((_xll.ciqfunctions.udf.CIQ(H$105,$AC134,$AD$7,Valuation_date,ReportType,DataMode,H$10,FXMode)*Scale),"--"))</f>
        <v>--</v>
      </c>
      <c r="I134" s="501" t="str">
        <f>IF(I$9="","",IFERROR((_xll.ciqfunctions.udf.CIQ(I$105,$AC134,$AD$7,Valuation_date,ReportType,DataMode,I$10,FXMode)*Scale),"--"))</f>
        <v>--</v>
      </c>
      <c r="J134" s="501" t="str">
        <f>IF(J$9="","",IFERROR((_xll.ciqfunctions.udf.CIQ(J$105,$AC134,$AD$7,Valuation_date,ReportType,DataMode,J$10,FXMode)*Scale),"--"))</f>
        <v>--</v>
      </c>
      <c r="K134" s="2060"/>
      <c r="L134" s="2060"/>
      <c r="M134" s="2060"/>
      <c r="N134" s="2060"/>
      <c r="O134" s="2060"/>
      <c r="P134" s="1538"/>
      <c r="Q134" s="1538"/>
      <c r="S134" s="1518"/>
      <c r="AA134" s="2060"/>
      <c r="AB134" s="180"/>
      <c r="AC134" s="205" t="s">
        <v>906</v>
      </c>
      <c r="AD134" s="191"/>
      <c r="AE134" s="191"/>
      <c r="AF134" s="191"/>
      <c r="AG134" s="191"/>
    </row>
    <row r="135" spans="1:33" s="1508" customFormat="1" ht="13.9">
      <c r="A135" s="1510" t="str">
        <f t="shared" si="17"/>
        <v>n</v>
      </c>
      <c r="B135" s="602"/>
      <c r="C135" s="1251" t="str">
        <f>"Capital IQ EBITDA "&amp;$AE$7</f>
        <v>Capital IQ EBITDA LFY</v>
      </c>
      <c r="D135" s="1252"/>
      <c r="E135" s="1253"/>
      <c r="F135" s="1254" t="str">
        <f>IFERROR(IF(F111="--","--",IFERROR(_xll.ciqfunctions.udf.CIQ(F$57,"IQ_EBITDA",$AD$7,Valuation_date,ReportType,DataMode,F$10,FXMode)*Scale,"n/a")),"--")</f>
        <v>--</v>
      </c>
      <c r="G135" s="1254" t="str">
        <f>IFERROR(IF(G111="--","--",IFERROR(_xll.ciqfunctions.udf.CIQ(G$57,"IQ_EBITDA",$AD$7,Valuation_date,ReportType,DataMode,G$10,FXMode)*Scale,"n/a")),"--")</f>
        <v>--</v>
      </c>
      <c r="H135" s="1254" t="str">
        <f>IFERROR(IF(H111="--","--",IFERROR(_xll.ciqfunctions.udf.CIQ(H$57,"IQ_EBITDA",$AD$7,Valuation_date,ReportType,DataMode,H$10,FXMode)*Scale,"n/a")),"--")</f>
        <v>--</v>
      </c>
      <c r="I135" s="1254" t="str">
        <f>IFERROR(IF(I111="--","--",IFERROR(_xll.ciqfunctions.udf.CIQ(I$57,"IQ_EBITDA",$AD$7,Valuation_date,ReportType,DataMode,I$10,FXMode)*Scale,"n/a")),"--")</f>
        <v>--</v>
      </c>
      <c r="J135" s="1254" t="str">
        <f>IFERROR(IF(J111="--","--",IFERROR(_xll.ciqfunctions.udf.CIQ(J$57,"IQ_EBITDA",$AD$7,Valuation_date,ReportType,DataMode,J$10,FXMode)*Scale,"n/a")),"--")</f>
        <v>--</v>
      </c>
      <c r="K135" s="2060"/>
      <c r="L135" s="2060"/>
      <c r="M135" s="2060"/>
      <c r="N135" s="2060"/>
      <c r="O135" s="2060"/>
      <c r="P135" s="1538"/>
      <c r="Q135" s="1538"/>
      <c r="S135" s="1518"/>
      <c r="AA135" s="2060"/>
      <c r="AB135" s="180"/>
      <c r="AC135" s="205" t="s">
        <v>808</v>
      </c>
      <c r="AD135" s="191"/>
      <c r="AE135" s="191"/>
      <c r="AF135" s="191"/>
      <c r="AG135" s="191"/>
    </row>
    <row r="136" spans="1:33" s="1508" customFormat="1" ht="13.9">
      <c r="A136" s="1510" t="str">
        <f t="shared" si="17"/>
        <v>n</v>
      </c>
      <c r="B136" s="602"/>
      <c r="C136" s="1538"/>
      <c r="D136" s="1538"/>
      <c r="E136" s="672"/>
      <c r="F136" s="1538"/>
      <c r="G136" s="1559"/>
      <c r="H136" s="1538"/>
      <c r="I136" s="1538"/>
      <c r="J136" s="1538"/>
      <c r="K136" s="2060"/>
      <c r="L136" s="2060"/>
      <c r="M136" s="2060"/>
      <c r="N136" s="2060"/>
      <c r="O136" s="2060"/>
      <c r="P136" s="1538"/>
      <c r="Q136" s="1538"/>
      <c r="S136" s="1518"/>
      <c r="AA136" s="2060"/>
      <c r="AC136" s="1515"/>
    </row>
    <row r="137" spans="1:33" s="1508" customFormat="1" ht="12.95" customHeight="1">
      <c r="A137" s="1510" t="str">
        <f t="shared" si="17"/>
        <v>n</v>
      </c>
      <c r="B137" s="1566"/>
      <c r="C137" s="1538" t="s">
        <v>1771</v>
      </c>
      <c r="D137" s="1538"/>
      <c r="E137" s="1538"/>
      <c r="F137" s="1538"/>
      <c r="G137" s="1559"/>
      <c r="H137" s="1538"/>
      <c r="I137" s="1538"/>
      <c r="J137" s="1538"/>
      <c r="K137" s="2060"/>
      <c r="L137" s="2060"/>
      <c r="M137" s="2060"/>
      <c r="N137" s="2060"/>
      <c r="O137" s="2060"/>
      <c r="P137" s="2060"/>
      <c r="Q137" s="2060"/>
      <c r="S137" s="1518"/>
      <c r="AA137" s="2060"/>
      <c r="AC137" s="1515"/>
    </row>
    <row r="138" spans="1:33" s="1508" customFormat="1" ht="12.95" customHeight="1">
      <c r="A138" s="1510" t="str">
        <f t="shared" si="17"/>
        <v>n</v>
      </c>
      <c r="B138" s="1566"/>
      <c r="C138" s="502" t="s">
        <v>1772</v>
      </c>
      <c r="D138" s="1538"/>
      <c r="E138" s="1538"/>
      <c r="F138" s="1538"/>
      <c r="G138" s="1559"/>
      <c r="H138" s="1538"/>
      <c r="I138" s="1538"/>
      <c r="J138" s="1538"/>
      <c r="K138" s="2060"/>
      <c r="L138" s="2060"/>
      <c r="M138" s="2060"/>
      <c r="N138" s="2060"/>
      <c r="O138" s="2060"/>
      <c r="P138" s="2060"/>
      <c r="S138" s="1518"/>
      <c r="AA138" s="2060"/>
      <c r="AC138" s="1515"/>
    </row>
    <row r="139" spans="1:33" s="1508" customFormat="1" ht="12.95" customHeight="1">
      <c r="A139" s="1510" t="str">
        <f t="shared" si="17"/>
        <v>n</v>
      </c>
      <c r="B139" s="1566"/>
      <c r="C139" s="1538"/>
      <c r="D139" s="1538"/>
      <c r="E139" s="1560"/>
      <c r="F139" s="1538"/>
      <c r="G139" s="1559"/>
      <c r="H139" s="1538"/>
      <c r="I139" s="1538"/>
      <c r="J139" s="1538"/>
      <c r="K139" s="2060"/>
      <c r="L139" s="2060"/>
      <c r="M139" s="2060"/>
      <c r="N139" s="2060"/>
      <c r="O139" s="2060"/>
      <c r="P139" s="2060"/>
      <c r="S139" s="1518"/>
      <c r="AA139" s="2060"/>
      <c r="AC139" s="1515"/>
    </row>
    <row r="140" spans="1:33" s="1508" customFormat="1" ht="12.95" customHeight="1">
      <c r="A140" s="1510" t="str">
        <f t="shared" si="17"/>
        <v>n</v>
      </c>
      <c r="B140" s="1566"/>
      <c r="C140" s="1588" t="str">
        <f>"EBIT=Earnings before interest and taxes; "&amp;$AE$7&amp;"="&amp;$AF$7</f>
        <v>EBIT=Earnings before interest and taxes; LFY=Last fiscal year</v>
      </c>
      <c r="D140" s="1538"/>
      <c r="E140" s="1560"/>
      <c r="F140" s="1538"/>
      <c r="G140" s="1559"/>
      <c r="H140" s="1538"/>
      <c r="I140" s="1538"/>
      <c r="J140" s="1538"/>
      <c r="K140" s="2060"/>
      <c r="S140" s="1518"/>
      <c r="AA140" s="2060"/>
      <c r="AC140" s="1515"/>
    </row>
    <row r="141" spans="1:33" s="1508" customFormat="1" ht="13.9">
      <c r="A141" s="1510" t="str">
        <f t="shared" si="17"/>
        <v>n</v>
      </c>
      <c r="B141" s="1566"/>
      <c r="C141" s="373" t="s">
        <v>1402</v>
      </c>
      <c r="D141" s="1538"/>
      <c r="E141" s="1560"/>
      <c r="F141" s="1538"/>
      <c r="G141" s="1559"/>
      <c r="H141" s="1538"/>
      <c r="I141" s="1538"/>
      <c r="J141" s="1538"/>
      <c r="K141" s="2060"/>
      <c r="S141" s="1518"/>
      <c r="AA141" s="2060"/>
      <c r="AC141" s="1515"/>
    </row>
    <row r="142" spans="1:33" s="1508" customFormat="1" ht="13.9">
      <c r="A142" s="1510" t="str">
        <f t="shared" si="17"/>
        <v>n</v>
      </c>
      <c r="B142" s="1566"/>
      <c r="C142" s="373"/>
      <c r="D142" s="1538"/>
      <c r="E142" s="1560"/>
      <c r="F142" s="1538"/>
      <c r="G142" s="1559"/>
      <c r="H142" s="1538"/>
      <c r="I142" s="1538"/>
      <c r="J142" s="1538"/>
      <c r="K142" s="2060"/>
      <c r="S142" s="1518"/>
      <c r="AA142" s="2060"/>
      <c r="AC142" s="1515"/>
    </row>
    <row r="143" spans="1:33" s="1508" customFormat="1" ht="13.9">
      <c r="A143" s="1510" t="str">
        <f t="shared" si="17"/>
        <v>n</v>
      </c>
      <c r="B143" s="1566"/>
      <c r="C143" s="373" t="str">
        <f ca="1">FootnoteDRAFT</f>
        <v>Run date: 05-August-2018  02:34 PM.   DRAFT document. All data subject to change upon completion of additional analysis.</v>
      </c>
      <c r="D143" s="1538"/>
      <c r="E143" s="1538"/>
      <c r="F143" s="1538"/>
      <c r="G143" s="1559"/>
      <c r="H143" s="1538"/>
      <c r="I143" s="1538"/>
      <c r="J143" s="1538"/>
      <c r="K143" s="2060"/>
      <c r="S143" s="1518"/>
      <c r="AA143" s="2060"/>
      <c r="AC143" s="1515"/>
    </row>
    <row r="144" spans="1:33" s="178" customFormat="1" ht="13.9">
      <c r="A144" s="1510" t="str">
        <f>IF(COUNTA(Compslist)&gt;20,"N","")</f>
        <v/>
      </c>
      <c r="B144" s="1510"/>
      <c r="C144" s="1510"/>
      <c r="D144" s="1510"/>
      <c r="E144" s="1510"/>
      <c r="F144" s="1510"/>
      <c r="G144" s="1510"/>
      <c r="H144" s="1510"/>
      <c r="I144" s="1510"/>
      <c r="J144" s="1510"/>
      <c r="K144" s="1510"/>
      <c r="L144" s="1510"/>
      <c r="M144" s="1510"/>
      <c r="N144" s="1510"/>
      <c r="O144" s="1510"/>
      <c r="P144" s="1510"/>
      <c r="Q144" s="1510"/>
      <c r="R144" s="1546" t="str">
        <f>IF($A144="n","Page end","This page not printed")</f>
        <v>This page not printed</v>
      </c>
      <c r="S144" s="1510"/>
      <c r="T144" s="2060"/>
      <c r="U144" s="2060"/>
      <c r="V144" s="2060"/>
      <c r="W144" s="2060"/>
      <c r="X144" s="2060"/>
      <c r="Y144" s="2060"/>
      <c r="Z144" s="2060"/>
      <c r="AA144" s="2060"/>
      <c r="AB144" s="2060"/>
      <c r="AC144" s="2060"/>
      <c r="AD144" s="2060"/>
      <c r="AE144" s="2060"/>
      <c r="AF144" s="2060"/>
      <c r="AG144" s="1506"/>
    </row>
    <row r="145" spans="1:26" ht="12.95" customHeight="1">
      <c r="A145" s="1510"/>
      <c r="B145" s="1510"/>
      <c r="C145" s="1510"/>
      <c r="D145" s="1510"/>
      <c r="E145" s="1510"/>
      <c r="F145" s="1510"/>
      <c r="G145" s="1510"/>
      <c r="H145" s="1510"/>
      <c r="I145" s="1510"/>
      <c r="J145" s="1510"/>
      <c r="K145" s="1510"/>
      <c r="L145" s="1510"/>
      <c r="M145" s="1510"/>
      <c r="N145" s="1510"/>
      <c r="O145" s="1510"/>
      <c r="P145" s="1510"/>
      <c r="Q145" s="1510"/>
      <c r="R145" s="1510"/>
      <c r="S145" s="1510"/>
      <c r="T145" s="2060"/>
      <c r="U145" s="2060"/>
      <c r="V145" s="2060"/>
      <c r="W145" s="2060"/>
      <c r="X145" s="2060"/>
      <c r="Y145" s="2060"/>
      <c r="Z145" s="2060"/>
    </row>
    <row r="146" spans="1:26" ht="12.95" customHeight="1">
      <c r="A146" s="2060"/>
      <c r="B146" s="2060"/>
      <c r="C146" s="2060"/>
      <c r="D146" s="2060"/>
      <c r="E146" s="2060"/>
      <c r="F146" s="2060"/>
      <c r="G146" s="2060"/>
      <c r="H146" s="2060"/>
      <c r="I146" s="2060"/>
      <c r="J146" s="2060"/>
      <c r="K146" s="2060"/>
      <c r="L146" s="2060"/>
      <c r="M146" s="2060"/>
      <c r="N146" s="2060"/>
      <c r="O146" s="2060"/>
      <c r="P146" s="2060"/>
      <c r="Q146" s="2060"/>
      <c r="R146" s="2060"/>
      <c r="S146" s="2060"/>
      <c r="T146" s="2060"/>
      <c r="U146" s="2060"/>
      <c r="V146" s="2060"/>
      <c r="W146" s="2060"/>
      <c r="X146" s="2060"/>
      <c r="Y146" s="2060"/>
      <c r="Z146" s="2060"/>
    </row>
    <row r="147" spans="1:26" ht="12.95" customHeight="1">
      <c r="A147" s="1508"/>
      <c r="B147" s="1508"/>
      <c r="C147" s="1508"/>
      <c r="D147" s="1508"/>
      <c r="E147" s="1508"/>
      <c r="F147" s="1508"/>
      <c r="G147" s="1508"/>
      <c r="H147" s="1508"/>
      <c r="I147" s="1508"/>
      <c r="J147" s="1508"/>
      <c r="K147" s="2060"/>
      <c r="L147" s="1508"/>
      <c r="M147" s="1508"/>
      <c r="N147" s="1508"/>
      <c r="O147" s="1508"/>
      <c r="P147" s="1508"/>
      <c r="Q147" s="1508"/>
      <c r="R147" s="1508"/>
      <c r="S147" s="1508"/>
      <c r="T147" s="1508"/>
      <c r="U147" s="1508"/>
      <c r="V147" s="1508"/>
      <c r="W147" s="1508"/>
      <c r="X147" s="1508"/>
      <c r="Y147" s="1508"/>
      <c r="Z147" s="1508"/>
    </row>
    <row r="148" spans="1:26" ht="12.95" customHeight="1">
      <c r="A148" s="1508"/>
      <c r="B148" s="1508"/>
      <c r="C148" s="1508"/>
      <c r="D148" s="1508"/>
      <c r="E148" s="1508"/>
      <c r="F148" s="1508"/>
      <c r="G148" s="1508"/>
      <c r="H148" s="1508"/>
      <c r="I148" s="1508"/>
      <c r="J148" s="1508"/>
      <c r="K148" s="2060"/>
      <c r="L148" s="1508"/>
      <c r="M148" s="1508"/>
      <c r="N148" s="1508"/>
      <c r="O148" s="1508"/>
      <c r="P148" s="1508"/>
      <c r="Q148" s="1508"/>
      <c r="R148" s="1508"/>
      <c r="S148" s="1508"/>
      <c r="T148" s="1508"/>
      <c r="U148" s="1508"/>
      <c r="V148" s="1508"/>
      <c r="W148" s="1508"/>
      <c r="X148" s="1508"/>
      <c r="Y148" s="1508"/>
      <c r="Z148" s="1508"/>
    </row>
    <row r="149" spans="1:26" ht="12.95" customHeight="1">
      <c r="A149" s="1508"/>
      <c r="B149" s="1508"/>
      <c r="C149" s="1508"/>
      <c r="D149" s="1508"/>
      <c r="E149" s="1508"/>
      <c r="F149" s="1508"/>
      <c r="G149" s="1508"/>
      <c r="H149" s="1508"/>
      <c r="I149" s="1508"/>
      <c r="J149" s="1508"/>
      <c r="K149" s="2060"/>
      <c r="L149" s="1508"/>
      <c r="M149" s="1508"/>
      <c r="N149" s="1508"/>
      <c r="O149" s="1508"/>
      <c r="P149" s="1508"/>
      <c r="Q149" s="1508"/>
      <c r="R149" s="1508"/>
      <c r="S149" s="1508"/>
      <c r="T149" s="1508"/>
      <c r="U149" s="1508"/>
      <c r="V149" s="1508"/>
      <c r="W149" s="1508"/>
      <c r="X149" s="1508"/>
      <c r="Y149" s="1508"/>
      <c r="Z149" s="1508"/>
    </row>
    <row r="150" spans="1:26" ht="12.95" customHeight="1">
      <c r="A150" s="1508"/>
      <c r="B150" s="1508"/>
      <c r="C150" s="1508"/>
      <c r="D150" s="1508"/>
      <c r="E150" s="1508"/>
      <c r="F150" s="1508"/>
      <c r="G150" s="1508"/>
      <c r="H150" s="1508"/>
      <c r="I150" s="1508"/>
      <c r="J150" s="1508"/>
      <c r="K150" s="2060"/>
      <c r="L150" s="1508"/>
      <c r="M150" s="1508"/>
      <c r="N150" s="1508"/>
      <c r="O150" s="1508"/>
      <c r="P150" s="1508"/>
      <c r="Q150" s="1508"/>
      <c r="R150" s="1508"/>
      <c r="S150" s="1508"/>
      <c r="T150" s="1508"/>
      <c r="U150" s="1508"/>
      <c r="V150" s="1508"/>
      <c r="W150" s="1508"/>
      <c r="X150" s="1508"/>
      <c r="Y150" s="1508"/>
      <c r="Z150" s="1508"/>
    </row>
    <row r="151" spans="1:26" ht="12.95" customHeight="1">
      <c r="A151" s="1508"/>
      <c r="B151" s="1508"/>
      <c r="C151" s="1508"/>
      <c r="D151" s="1508"/>
      <c r="E151" s="1508"/>
      <c r="F151" s="1508"/>
      <c r="G151" s="1508"/>
      <c r="H151" s="1508"/>
      <c r="I151" s="1508"/>
      <c r="J151" s="1508"/>
      <c r="K151" s="2060"/>
      <c r="L151" s="1508"/>
      <c r="M151" s="1508"/>
      <c r="N151" s="1508"/>
      <c r="O151" s="1508"/>
      <c r="P151" s="1508"/>
      <c r="Q151" s="1508"/>
      <c r="R151" s="1508"/>
      <c r="S151" s="1508"/>
      <c r="T151" s="1508"/>
      <c r="U151" s="1508"/>
      <c r="V151" s="1508"/>
      <c r="W151" s="1508"/>
      <c r="X151" s="1508"/>
      <c r="Y151" s="1508"/>
      <c r="Z151" s="1508"/>
    </row>
    <row r="152" spans="1:26" ht="12.95" customHeight="1">
      <c r="A152" s="1508"/>
      <c r="B152" s="1508"/>
      <c r="C152" s="1508"/>
      <c r="D152" s="1508"/>
      <c r="E152" s="1508"/>
      <c r="F152" s="1508"/>
      <c r="G152" s="1508"/>
      <c r="H152" s="1508"/>
      <c r="I152" s="1508"/>
      <c r="J152" s="1508"/>
      <c r="K152" s="2060"/>
      <c r="L152" s="1508"/>
      <c r="M152" s="1508"/>
      <c r="N152" s="1508"/>
      <c r="O152" s="1508"/>
      <c r="P152" s="1508"/>
      <c r="Q152" s="1508"/>
      <c r="R152" s="1508"/>
      <c r="S152" s="1508"/>
      <c r="T152" s="1508"/>
      <c r="U152" s="1508"/>
      <c r="V152" s="1508"/>
      <c r="W152" s="1508"/>
      <c r="X152" s="1508"/>
      <c r="Y152" s="1508"/>
      <c r="Z152" s="1508"/>
    </row>
    <row r="153" spans="1:26" ht="12.95" customHeight="1">
      <c r="A153" s="1508"/>
      <c r="B153" s="1508"/>
      <c r="C153" s="1508"/>
      <c r="D153" s="1508"/>
      <c r="E153" s="1508"/>
      <c r="F153" s="1508"/>
      <c r="G153" s="1508"/>
      <c r="H153" s="1508"/>
      <c r="I153" s="1508"/>
      <c r="J153" s="1508"/>
      <c r="K153" s="2060"/>
      <c r="L153" s="1508"/>
      <c r="M153" s="1508"/>
      <c r="N153" s="1508"/>
      <c r="O153" s="1508"/>
      <c r="P153" s="1508"/>
      <c r="Q153" s="1508"/>
      <c r="R153" s="1508"/>
      <c r="S153" s="1508"/>
      <c r="T153" s="1508"/>
      <c r="U153" s="1508"/>
      <c r="V153" s="1508"/>
      <c r="W153" s="1508"/>
      <c r="X153" s="1508"/>
      <c r="Y153" s="1508"/>
      <c r="Z153" s="1508"/>
    </row>
    <row r="154" spans="1:26" ht="12.95" customHeight="1">
      <c r="A154" s="1508"/>
      <c r="B154" s="1508"/>
      <c r="C154" s="1508"/>
      <c r="D154" s="1508"/>
      <c r="E154" s="1508"/>
      <c r="F154" s="1508"/>
      <c r="G154" s="1508"/>
      <c r="H154" s="1508"/>
      <c r="I154" s="1508"/>
      <c r="J154" s="1508"/>
      <c r="K154" s="2060"/>
      <c r="L154" s="1508"/>
      <c r="M154" s="1508"/>
      <c r="N154" s="1508"/>
      <c r="O154" s="1508"/>
      <c r="P154" s="1508"/>
      <c r="Q154" s="1508"/>
      <c r="R154" s="1508"/>
      <c r="S154" s="1508"/>
      <c r="T154" s="1508"/>
      <c r="U154" s="1508"/>
      <c r="V154" s="1508"/>
      <c r="W154" s="1508"/>
      <c r="X154" s="1508"/>
      <c r="Y154" s="1508"/>
      <c r="Z154" s="1508"/>
    </row>
    <row r="155" spans="1:26" ht="12.95" customHeight="1">
      <c r="A155" s="1508"/>
      <c r="B155" s="1508"/>
      <c r="C155" s="1508"/>
      <c r="D155" s="1508"/>
      <c r="E155" s="1508"/>
      <c r="F155" s="1508"/>
      <c r="G155" s="1508"/>
      <c r="H155" s="1508"/>
      <c r="I155" s="1508"/>
      <c r="J155" s="1508"/>
      <c r="K155" s="2060"/>
      <c r="L155" s="1508"/>
      <c r="M155" s="1508"/>
      <c r="N155" s="1508"/>
      <c r="O155" s="1508"/>
      <c r="P155" s="1508"/>
      <c r="Q155" s="1508"/>
      <c r="R155" s="1508"/>
      <c r="S155" s="1508"/>
      <c r="T155" s="1508"/>
      <c r="U155" s="1508"/>
      <c r="V155" s="1508"/>
      <c r="W155" s="1508"/>
      <c r="X155" s="1508"/>
      <c r="Y155" s="1508"/>
      <c r="Z155" s="1508"/>
    </row>
    <row r="156" spans="1:26" ht="12.95" customHeight="1">
      <c r="A156" s="1508"/>
      <c r="B156" s="1508"/>
      <c r="C156" s="1508"/>
      <c r="D156" s="1508"/>
      <c r="E156" s="1508"/>
      <c r="F156" s="1508"/>
      <c r="G156" s="1508"/>
      <c r="H156" s="1508"/>
      <c r="I156" s="1508"/>
      <c r="J156" s="1508"/>
      <c r="K156" s="2060"/>
      <c r="L156" s="1508"/>
      <c r="M156" s="1508"/>
      <c r="N156" s="1508"/>
      <c r="O156" s="1508"/>
      <c r="P156" s="1508"/>
      <c r="Q156" s="1508"/>
      <c r="R156" s="1508"/>
      <c r="S156" s="1508"/>
      <c r="T156" s="1508"/>
      <c r="U156" s="1508"/>
      <c r="V156" s="1508"/>
      <c r="W156" s="1508"/>
      <c r="X156" s="1508"/>
      <c r="Y156" s="1508"/>
      <c r="Z156" s="1508"/>
    </row>
    <row r="157" spans="1:26" ht="12.95" customHeight="1">
      <c r="A157" s="1508"/>
      <c r="B157" s="1508"/>
      <c r="C157" s="1508"/>
      <c r="D157" s="1508"/>
      <c r="E157" s="1508"/>
      <c r="F157" s="1508"/>
      <c r="G157" s="1508"/>
      <c r="H157" s="1508"/>
      <c r="I157" s="1508"/>
      <c r="J157" s="1508"/>
      <c r="K157" s="2060"/>
      <c r="L157" s="1508"/>
      <c r="M157" s="1508"/>
      <c r="N157" s="1508"/>
      <c r="O157" s="1508"/>
      <c r="P157" s="1508"/>
      <c r="Q157" s="1508"/>
      <c r="R157" s="1508"/>
      <c r="S157" s="1508"/>
      <c r="T157" s="1508"/>
      <c r="U157" s="1508"/>
      <c r="V157" s="1508"/>
      <c r="W157" s="1508"/>
      <c r="X157" s="1508"/>
      <c r="Y157" s="1508"/>
      <c r="Z157" s="1508"/>
    </row>
    <row r="158" spans="1:26" ht="12.95" customHeight="1">
      <c r="A158" s="1508"/>
      <c r="B158" s="1508"/>
      <c r="C158" s="1508"/>
      <c r="D158" s="1508"/>
      <c r="E158" s="1508"/>
      <c r="F158" s="1508"/>
      <c r="G158" s="1508"/>
      <c r="H158" s="1508"/>
      <c r="I158" s="1508"/>
      <c r="J158" s="1508"/>
      <c r="K158" s="2060"/>
      <c r="L158" s="1508"/>
      <c r="M158" s="1508"/>
      <c r="N158" s="1508"/>
      <c r="O158" s="1508"/>
      <c r="P158" s="1508"/>
      <c r="Q158" s="1508"/>
      <c r="R158" s="1508"/>
      <c r="S158" s="1508"/>
      <c r="T158" s="1508"/>
      <c r="U158" s="1508"/>
      <c r="V158" s="1508"/>
      <c r="W158" s="1508"/>
      <c r="X158" s="1508"/>
      <c r="Y158" s="1508"/>
      <c r="Z158" s="1508"/>
    </row>
  </sheetData>
  <autoFilter ref="A1:A146"/>
  <mergeCells count="1">
    <mergeCell ref="D8:E8"/>
  </mergeCells>
  <conditionalFormatting sqref="F24:O24">
    <cfRule type="cellIs" dxfId="26" priority="10" operator="notEqual">
      <formula>0</formula>
    </cfRule>
  </conditionalFormatting>
  <conditionalFormatting sqref="F35:O35">
    <cfRule type="cellIs" dxfId="25" priority="9" operator="notEqual">
      <formula>0</formula>
    </cfRule>
  </conditionalFormatting>
  <conditionalFormatting sqref="F83:O83">
    <cfRule type="cellIs" dxfId="24" priority="7" operator="notEqual">
      <formula>0</formula>
    </cfRule>
  </conditionalFormatting>
  <conditionalFormatting sqref="B1:B2">
    <cfRule type="cellIs" dxfId="23" priority="6" operator="notEqual">
      <formula>0</formula>
    </cfRule>
  </conditionalFormatting>
  <conditionalFormatting sqref="F72:O72">
    <cfRule type="cellIs" dxfId="22" priority="5" operator="notEqual">
      <formula>0</formula>
    </cfRule>
  </conditionalFormatting>
  <conditionalFormatting sqref="A6">
    <cfRule type="expression" dxfId="21" priority="3">
      <formula>AND(MasterCheck&gt;0,RedAlertY=TRUE)</formula>
    </cfRule>
  </conditionalFormatting>
  <conditionalFormatting sqref="F131:J131">
    <cfRule type="cellIs" dxfId="20" priority="2" operator="notEqual">
      <formula>0</formula>
    </cfRule>
  </conditionalFormatting>
  <conditionalFormatting sqref="F120:J120">
    <cfRule type="cellIs" dxfId="19" priority="1" operator="notEqual">
      <formula>0</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144" max="16383" man="1"/>
  </rowBreak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istDebtEquity">
    <tabColor rgb="FF99FF66"/>
    <pageSetUpPr autoPageBreaks="0"/>
  </sheetPr>
  <dimension ref="A1:Y94"/>
  <sheetViews>
    <sheetView showGridLines="0" zoomScale="85" zoomScaleNormal="85" zoomScaleSheetLayoutView="85" workbookViewId="0"/>
  </sheetViews>
  <sheetFormatPr defaultColWidth="9.33203125" defaultRowHeight="12" customHeight="1"/>
  <cols>
    <col min="1" max="1" width="2.83203125" style="334" customWidth="1"/>
    <col min="2" max="2" width="3.83203125" style="334" customWidth="1"/>
    <col min="3" max="3" width="26.1640625" style="334" customWidth="1"/>
    <col min="4" max="4" width="3" style="334" customWidth="1"/>
    <col min="5" max="5" width="10.83203125" style="334" customWidth="1"/>
    <col min="6" max="7" width="10.83203125" style="1027" customWidth="1"/>
    <col min="8" max="21" width="10.83203125" style="334" customWidth="1"/>
    <col min="22" max="22" width="8.33203125" style="334" customWidth="1"/>
    <col min="23" max="23" width="8.83203125" style="334" customWidth="1"/>
    <col min="24" max="24" width="12.33203125" style="334" customWidth="1"/>
    <col min="25" max="25" width="11" style="334" bestFit="1" customWidth="1"/>
    <col min="26" max="16384" width="9.33203125" style="334"/>
  </cols>
  <sheetData>
    <row r="1" spans="1:25" ht="18" customHeight="1">
      <c r="A1" s="1510"/>
      <c r="B1" s="649">
        <f ca="1">SUMPRODUCT(--ISERROR($C$1:V59))+COUNTIF($C$1:V59,Fail)</f>
        <v>0</v>
      </c>
      <c r="C1" s="1372" t="str">
        <f>START!$C$1</f>
        <v>Client Name</v>
      </c>
      <c r="D1" s="292"/>
      <c r="E1" s="292"/>
      <c r="F1" s="292"/>
      <c r="G1" s="292"/>
      <c r="H1" s="292"/>
      <c r="I1" s="292"/>
      <c r="J1" s="292"/>
      <c r="K1" s="852"/>
      <c r="L1" s="852"/>
      <c r="M1" s="852"/>
      <c r="N1" s="852"/>
      <c r="O1" s="852"/>
      <c r="P1" s="852"/>
      <c r="Q1" s="852"/>
      <c r="R1" s="852"/>
      <c r="S1" s="852"/>
      <c r="T1" s="852"/>
      <c r="U1" s="852"/>
      <c r="V1" s="389" t="s">
        <v>1775</v>
      </c>
      <c r="W1" s="1546"/>
      <c r="X1" s="1525"/>
      <c r="Y1" s="1525"/>
    </row>
    <row r="2" spans="1:25" s="1027" customFormat="1" ht="18" customHeight="1">
      <c r="A2" s="1510"/>
      <c r="B2" s="649"/>
      <c r="C2" s="1372" t="str">
        <f>START!$C$2</f>
        <v xml:space="preserve">Please enter project description in START worksheet cell G13 </v>
      </c>
      <c r="D2" s="292"/>
      <c r="E2" s="292"/>
      <c r="F2" s="292"/>
      <c r="G2" s="292"/>
      <c r="H2" s="292"/>
      <c r="I2" s="292"/>
      <c r="J2" s="292"/>
      <c r="K2" s="852"/>
      <c r="L2" s="852"/>
      <c r="M2" s="852"/>
      <c r="N2" s="852"/>
      <c r="O2" s="852"/>
      <c r="P2" s="852"/>
      <c r="Q2" s="852"/>
      <c r="R2" s="852"/>
      <c r="S2" s="852"/>
      <c r="T2" s="852"/>
      <c r="U2" s="852"/>
      <c r="V2" s="389"/>
      <c r="W2" s="1546"/>
      <c r="X2" s="1525"/>
      <c r="Y2" s="1525"/>
    </row>
    <row r="3" spans="1:25" ht="18" customHeight="1">
      <c r="A3" s="1510"/>
      <c r="B3" s="1510"/>
      <c r="C3" s="839" t="str">
        <f>"Historical quarterly "&amp;LOWER(DebtSettingLabel)&amp;" to market equity "&amp;LOWER(GearingOrLeverage)&amp;" of guideline public companies"</f>
        <v>Historical quarterly total debt to market equity gearing of guideline public companies</v>
      </c>
      <c r="D3" s="369"/>
      <c r="E3" s="369"/>
      <c r="F3" s="369"/>
      <c r="G3" s="369"/>
      <c r="H3" s="369"/>
      <c r="I3" s="369"/>
      <c r="J3" s="369"/>
      <c r="K3" s="1526"/>
      <c r="L3" s="1525"/>
      <c r="M3" s="1525"/>
      <c r="N3" s="1525"/>
      <c r="O3" s="1525"/>
      <c r="P3" s="1525"/>
      <c r="Q3" s="1525"/>
      <c r="R3" s="1525"/>
      <c r="S3" s="1525"/>
      <c r="T3" s="1525"/>
      <c r="U3" s="1525"/>
      <c r="V3" s="1525"/>
      <c r="W3" s="1546"/>
      <c r="X3" s="1525"/>
      <c r="Y3" s="1525"/>
    </row>
    <row r="4" spans="1:25" ht="18" customHeight="1">
      <c r="A4" s="1510"/>
      <c r="B4" s="1510"/>
      <c r="C4" s="840" t="str">
        <f>ValDateHeading</f>
        <v>Estimation of value as of 28 February 2017</v>
      </c>
      <c r="D4" s="2062"/>
      <c r="E4" s="2062"/>
      <c r="F4" s="2062"/>
      <c r="G4" s="2062"/>
      <c r="H4" s="2062"/>
      <c r="I4" s="2062"/>
      <c r="J4" s="2062"/>
      <c r="K4" s="1526"/>
      <c r="L4" s="1526"/>
      <c r="M4" s="1526"/>
      <c r="N4" s="1526"/>
      <c r="O4" s="1526"/>
      <c r="P4" s="1526"/>
      <c r="Q4" s="1526"/>
      <c r="R4" s="1526"/>
      <c r="S4" s="1526"/>
      <c r="T4" s="1526"/>
      <c r="U4" s="1526"/>
      <c r="V4" s="1525"/>
      <c r="W4" s="1546"/>
      <c r="X4" s="1525"/>
      <c r="Y4" s="1525"/>
    </row>
    <row r="5" spans="1:25" ht="18" customHeight="1">
      <c r="A5" s="1417"/>
      <c r="B5" s="1510"/>
      <c r="C5" s="1513"/>
      <c r="D5" s="386"/>
      <c r="E5" s="386"/>
      <c r="F5" s="386"/>
      <c r="G5" s="386"/>
      <c r="H5" s="386"/>
      <c r="I5" s="386"/>
      <c r="J5" s="386"/>
      <c r="K5" s="386"/>
      <c r="L5" s="386"/>
      <c r="M5" s="386"/>
      <c r="N5" s="386"/>
      <c r="O5" s="386"/>
      <c r="P5" s="386"/>
      <c r="Q5" s="386"/>
      <c r="R5" s="386"/>
      <c r="S5" s="386"/>
      <c r="T5" s="386"/>
      <c r="U5" s="386"/>
      <c r="V5" s="1513"/>
      <c r="W5" s="1546"/>
      <c r="X5" s="1525"/>
      <c r="Y5" s="1525"/>
    </row>
    <row r="6" spans="1:25" ht="15.6">
      <c r="A6" s="1510"/>
      <c r="B6" s="1510"/>
      <c r="C6" s="415"/>
      <c r="D6" s="386"/>
      <c r="E6" s="386"/>
      <c r="F6" s="386"/>
      <c r="G6" s="386"/>
      <c r="H6" s="386"/>
      <c r="I6" s="386"/>
      <c r="J6" s="386"/>
      <c r="K6" s="386"/>
      <c r="L6" s="386"/>
      <c r="M6" s="386"/>
      <c r="N6" s="386"/>
      <c r="O6" s="386"/>
      <c r="P6" s="386"/>
      <c r="Q6" s="386"/>
      <c r="R6" s="386"/>
      <c r="S6" s="386"/>
      <c r="T6" s="386"/>
      <c r="U6" s="386"/>
      <c r="V6" s="1513"/>
      <c r="W6" s="1546"/>
      <c r="X6" s="1525"/>
      <c r="Y6" s="1525"/>
    </row>
    <row r="7" spans="1:25" s="336" customFormat="1" ht="62.25" customHeight="1">
      <c r="A7" s="1510"/>
      <c r="B7" s="1510"/>
      <c r="C7" s="1520"/>
      <c r="D7" s="1520"/>
      <c r="E7" s="1520"/>
      <c r="F7" s="1520"/>
      <c r="G7" s="1520"/>
      <c r="H7" s="1520"/>
      <c r="I7" s="1520"/>
      <c r="J7" s="1520"/>
      <c r="K7" s="1520"/>
      <c r="L7" s="1520"/>
      <c r="M7" s="1520"/>
      <c r="N7" s="1520"/>
      <c r="O7" s="1520"/>
      <c r="P7" s="1520"/>
      <c r="Q7" s="1520"/>
      <c r="R7" s="1520"/>
      <c r="S7" s="1520"/>
      <c r="T7" s="1520"/>
      <c r="U7" s="1520"/>
      <c r="V7" s="1513"/>
      <c r="W7" s="1546"/>
      <c r="X7" s="1527"/>
      <c r="Y7" s="1527"/>
    </row>
    <row r="8" spans="1:25" s="336" customFormat="1" ht="13.9">
      <c r="A8" s="1510"/>
      <c r="B8" s="1510"/>
      <c r="C8" s="1520"/>
      <c r="D8" s="1520"/>
      <c r="E8" s="1520"/>
      <c r="F8" s="1520"/>
      <c r="G8" s="1520"/>
      <c r="H8" s="1520"/>
      <c r="I8" s="1520"/>
      <c r="J8" s="1520"/>
      <c r="K8" s="1520"/>
      <c r="L8" s="1520"/>
      <c r="M8" s="1520"/>
      <c r="N8" s="1520"/>
      <c r="O8" s="1520"/>
      <c r="P8" s="1520"/>
      <c r="Q8" s="1520"/>
      <c r="R8" s="1520"/>
      <c r="S8" s="1520"/>
      <c r="T8" s="1520"/>
      <c r="U8" s="1520"/>
      <c r="V8" s="1520"/>
      <c r="W8" s="1546"/>
      <c r="X8" s="1527"/>
      <c r="Y8" s="5"/>
    </row>
    <row r="9" spans="1:25" s="336" customFormat="1" ht="13.9">
      <c r="A9" s="1510"/>
      <c r="B9" s="1510"/>
      <c r="C9" s="1520"/>
      <c r="D9" s="1520"/>
      <c r="E9" s="1520"/>
      <c r="F9" s="1520"/>
      <c r="G9" s="1520"/>
      <c r="H9" s="1520"/>
      <c r="I9" s="1520"/>
      <c r="J9" s="1520"/>
      <c r="K9" s="1520"/>
      <c r="L9" s="1520"/>
      <c r="M9" s="1520"/>
      <c r="N9" s="1520"/>
      <c r="O9" s="1520"/>
      <c r="P9" s="1520"/>
      <c r="Q9" s="1520"/>
      <c r="R9" s="1520"/>
      <c r="S9" s="1520"/>
      <c r="T9" s="1520"/>
      <c r="U9" s="1520"/>
      <c r="V9" s="1520"/>
      <c r="W9" s="1546"/>
      <c r="X9" s="1527"/>
      <c r="Y9" s="1527"/>
    </row>
    <row r="10" spans="1:25" s="336" customFormat="1" ht="13.9">
      <c r="A10" s="1510"/>
      <c r="B10" s="1510"/>
      <c r="C10" s="1520"/>
      <c r="D10" s="1520"/>
      <c r="E10" s="1520"/>
      <c r="F10" s="1520"/>
      <c r="G10" s="1520"/>
      <c r="H10" s="1520"/>
      <c r="I10" s="1520"/>
      <c r="J10" s="1520"/>
      <c r="K10" s="1520"/>
      <c r="L10" s="1520"/>
      <c r="M10" s="1520"/>
      <c r="N10" s="1520"/>
      <c r="O10" s="1520"/>
      <c r="P10" s="1520"/>
      <c r="Q10" s="1520"/>
      <c r="R10" s="1520"/>
      <c r="S10" s="1520"/>
      <c r="T10" s="1520"/>
      <c r="U10" s="1520"/>
      <c r="V10" s="1520"/>
      <c r="W10" s="1546"/>
      <c r="X10" s="1527"/>
      <c r="Y10" s="1527"/>
    </row>
    <row r="11" spans="1:25" s="336" customFormat="1" ht="13.9">
      <c r="A11" s="1510"/>
      <c r="B11" s="1510"/>
      <c r="C11" s="1520"/>
      <c r="D11" s="1520"/>
      <c r="E11" s="1520"/>
      <c r="F11" s="1520"/>
      <c r="G11" s="1520"/>
      <c r="H11" s="1520"/>
      <c r="I11" s="1520"/>
      <c r="J11" s="1520"/>
      <c r="K11" s="1520"/>
      <c r="L11" s="1520"/>
      <c r="M11" s="1520"/>
      <c r="N11" s="1520"/>
      <c r="O11" s="1520"/>
      <c r="P11" s="1520"/>
      <c r="Q11" s="1520"/>
      <c r="R11" s="1520"/>
      <c r="S11" s="1520"/>
      <c r="T11" s="1520"/>
      <c r="U11" s="1520"/>
      <c r="V11" s="1520"/>
      <c r="W11" s="1546"/>
      <c r="X11" s="1527"/>
      <c r="Y11" s="1527"/>
    </row>
    <row r="12" spans="1:25" s="336" customFormat="1" ht="13.9">
      <c r="A12" s="1510"/>
      <c r="B12" s="1510"/>
      <c r="C12" s="1520"/>
      <c r="D12" s="1520"/>
      <c r="E12" s="1520"/>
      <c r="F12" s="1520"/>
      <c r="G12" s="1520"/>
      <c r="H12" s="1520"/>
      <c r="I12" s="1520"/>
      <c r="J12" s="1520"/>
      <c r="K12" s="1520"/>
      <c r="L12" s="1520"/>
      <c r="M12" s="1520"/>
      <c r="N12" s="1520"/>
      <c r="O12" s="1520"/>
      <c r="P12" s="1520"/>
      <c r="Q12" s="1520"/>
      <c r="R12" s="1520"/>
      <c r="S12" s="1520"/>
      <c r="T12" s="1520"/>
      <c r="U12" s="1520"/>
      <c r="V12" s="1520"/>
      <c r="W12" s="1546"/>
      <c r="X12" s="1527"/>
      <c r="Y12" s="1527"/>
    </row>
    <row r="13" spans="1:25" s="336" customFormat="1" ht="13.9">
      <c r="A13" s="1510"/>
      <c r="B13" s="1510"/>
      <c r="C13" s="1520"/>
      <c r="D13" s="1520"/>
      <c r="E13" s="1520"/>
      <c r="F13" s="1520"/>
      <c r="G13" s="1520"/>
      <c r="H13" s="1520"/>
      <c r="I13" s="1520"/>
      <c r="J13" s="1520"/>
      <c r="K13" s="1520"/>
      <c r="L13" s="1520"/>
      <c r="M13" s="1520"/>
      <c r="N13" s="1520"/>
      <c r="O13" s="1520"/>
      <c r="P13" s="1520"/>
      <c r="Q13" s="1520"/>
      <c r="R13" s="1520"/>
      <c r="S13" s="1520"/>
      <c r="T13" s="1520"/>
      <c r="U13" s="1520"/>
      <c r="V13" s="1520"/>
      <c r="W13" s="1546"/>
      <c r="X13" s="1527"/>
      <c r="Y13" s="1527"/>
    </row>
    <row r="14" spans="1:25" s="336" customFormat="1" ht="13.9">
      <c r="A14" s="1510"/>
      <c r="B14" s="1510"/>
      <c r="C14" s="1520"/>
      <c r="D14" s="1520"/>
      <c r="E14" s="1567"/>
      <c r="F14" s="1567"/>
      <c r="G14" s="1567"/>
      <c r="H14" s="1520"/>
      <c r="I14" s="1520"/>
      <c r="J14" s="1520"/>
      <c r="K14" s="1520"/>
      <c r="L14" s="1520"/>
      <c r="M14" s="1520"/>
      <c r="N14" s="1520"/>
      <c r="O14" s="1520"/>
      <c r="P14" s="1520"/>
      <c r="Q14" s="1520"/>
      <c r="R14" s="1520"/>
      <c r="S14" s="1520"/>
      <c r="T14" s="1520"/>
      <c r="U14" s="1520"/>
      <c r="V14" s="1520"/>
      <c r="W14" s="1546"/>
      <c r="X14" s="1527"/>
      <c r="Y14" s="1527"/>
    </row>
    <row r="15" spans="1:25" s="336" customFormat="1" ht="13.9">
      <c r="A15" s="1510"/>
      <c r="B15" s="1510"/>
      <c r="C15" s="1520"/>
      <c r="D15" s="1520"/>
      <c r="E15" s="1567"/>
      <c r="F15" s="1567"/>
      <c r="G15" s="1567"/>
      <c r="H15" s="1520"/>
      <c r="I15" s="1520"/>
      <c r="J15" s="1520"/>
      <c r="K15" s="1520"/>
      <c r="L15" s="1520"/>
      <c r="M15" s="1520"/>
      <c r="N15" s="1520"/>
      <c r="O15" s="1520"/>
      <c r="P15" s="1520"/>
      <c r="Q15" s="1520"/>
      <c r="R15" s="1520"/>
      <c r="S15" s="1520"/>
      <c r="T15" s="1520"/>
      <c r="U15" s="1520"/>
      <c r="V15" s="1520"/>
      <c r="W15" s="1546"/>
      <c r="X15" s="1527"/>
      <c r="Y15" s="1527"/>
    </row>
    <row r="16" spans="1:25" s="336" customFormat="1" ht="13.9">
      <c r="A16" s="1510"/>
      <c r="B16" s="1510"/>
      <c r="C16" s="1520"/>
      <c r="D16" s="1520"/>
      <c r="E16" s="1567"/>
      <c r="F16" s="1567"/>
      <c r="G16" s="1567"/>
      <c r="H16" s="1520"/>
      <c r="I16" s="1520"/>
      <c r="J16" s="1520"/>
      <c r="K16" s="1520"/>
      <c r="L16" s="1520"/>
      <c r="M16" s="1520"/>
      <c r="N16" s="1520"/>
      <c r="O16" s="1520"/>
      <c r="P16" s="1520"/>
      <c r="Q16" s="1520"/>
      <c r="R16" s="1520"/>
      <c r="S16" s="1520"/>
      <c r="T16" s="1520"/>
      <c r="U16" s="1520"/>
      <c r="V16" s="1520"/>
      <c r="W16" s="1546"/>
      <c r="X16" s="1527"/>
      <c r="Y16" s="1527"/>
    </row>
    <row r="17" spans="1:23" s="336" customFormat="1" ht="13.9">
      <c r="A17" s="1510"/>
      <c r="B17" s="1510"/>
      <c r="C17" s="1520"/>
      <c r="D17" s="1520"/>
      <c r="E17" s="1567"/>
      <c r="F17" s="1567"/>
      <c r="G17" s="1567"/>
      <c r="H17" s="1520"/>
      <c r="I17" s="1520"/>
      <c r="J17" s="1520"/>
      <c r="K17" s="1520"/>
      <c r="L17" s="1520"/>
      <c r="M17" s="1520"/>
      <c r="N17" s="1520"/>
      <c r="O17" s="1520"/>
      <c r="P17" s="1520"/>
      <c r="Q17" s="1520"/>
      <c r="R17" s="1520"/>
      <c r="S17" s="1520"/>
      <c r="T17" s="1520"/>
      <c r="U17" s="1520"/>
      <c r="V17" s="1520"/>
      <c r="W17" s="1546"/>
    </row>
    <row r="18" spans="1:23" s="336" customFormat="1" ht="13.9">
      <c r="A18" s="1510"/>
      <c r="B18" s="1510"/>
      <c r="C18" s="1520"/>
      <c r="D18" s="1520"/>
      <c r="E18" s="1567"/>
      <c r="F18" s="1567"/>
      <c r="G18" s="1567"/>
      <c r="H18" s="1520"/>
      <c r="I18" s="1520"/>
      <c r="J18" s="1520"/>
      <c r="K18" s="1520"/>
      <c r="L18" s="1520"/>
      <c r="M18" s="1520"/>
      <c r="N18" s="1520"/>
      <c r="O18" s="1520"/>
      <c r="P18" s="1520"/>
      <c r="Q18" s="1520"/>
      <c r="R18" s="1520"/>
      <c r="S18" s="1520"/>
      <c r="T18" s="1520"/>
      <c r="U18" s="1520"/>
      <c r="V18" s="1520"/>
      <c r="W18" s="1546"/>
    </row>
    <row r="19" spans="1:23" s="336" customFormat="1" ht="13.9">
      <c r="A19" s="1510"/>
      <c r="B19" s="1510"/>
      <c r="C19" s="1520"/>
      <c r="D19" s="1520"/>
      <c r="E19" s="1567"/>
      <c r="F19" s="1567"/>
      <c r="G19" s="1567"/>
      <c r="H19" s="1520"/>
      <c r="I19" s="1520"/>
      <c r="J19" s="1520"/>
      <c r="K19" s="1520"/>
      <c r="L19" s="1520"/>
      <c r="M19" s="1520"/>
      <c r="N19" s="1520"/>
      <c r="O19" s="1520"/>
      <c r="P19" s="1520"/>
      <c r="Q19" s="1520"/>
      <c r="R19" s="1520"/>
      <c r="S19" s="1520"/>
      <c r="T19" s="1520"/>
      <c r="U19" s="1520"/>
      <c r="V19" s="1520"/>
      <c r="W19" s="1546"/>
    </row>
    <row r="20" spans="1:23" s="336" customFormat="1" ht="13.9">
      <c r="A20" s="1510"/>
      <c r="B20" s="1510"/>
      <c r="C20" s="1520"/>
      <c r="D20" s="1520"/>
      <c r="E20" s="1567"/>
      <c r="F20" s="1567"/>
      <c r="G20" s="1567"/>
      <c r="H20" s="1520"/>
      <c r="I20" s="1520"/>
      <c r="J20" s="1520"/>
      <c r="K20" s="1520"/>
      <c r="L20" s="1520"/>
      <c r="M20" s="1520"/>
      <c r="N20" s="1520"/>
      <c r="O20" s="1520"/>
      <c r="P20" s="1520"/>
      <c r="Q20" s="1520"/>
      <c r="R20" s="1520"/>
      <c r="S20" s="1520"/>
      <c r="T20" s="1520"/>
      <c r="U20" s="1520"/>
      <c r="V20" s="1520"/>
      <c r="W20" s="1546"/>
    </row>
    <row r="21" spans="1:23" s="336" customFormat="1" ht="13.9">
      <c r="A21" s="1510"/>
      <c r="B21" s="1510"/>
      <c r="C21" s="1520"/>
      <c r="D21" s="1520"/>
      <c r="E21" s="672"/>
      <c r="F21" s="672"/>
      <c r="G21" s="672"/>
      <c r="H21" s="1520"/>
      <c r="I21" s="1520"/>
      <c r="J21" s="1520"/>
      <c r="K21" s="1520"/>
      <c r="L21" s="1520"/>
      <c r="M21" s="1520"/>
      <c r="N21" s="1520"/>
      <c r="O21" s="1520"/>
      <c r="P21" s="1520"/>
      <c r="Q21" s="1520"/>
      <c r="R21" s="1520"/>
      <c r="S21" s="1520"/>
      <c r="T21" s="1520"/>
      <c r="U21" s="1520"/>
      <c r="V21" s="1520"/>
      <c r="W21" s="1546"/>
    </row>
    <row r="22" spans="1:23" s="336" customFormat="1" ht="13.9">
      <c r="A22" s="1510"/>
      <c r="B22" s="1510"/>
      <c r="C22" s="1520"/>
      <c r="D22" s="1520"/>
      <c r="E22" s="1567"/>
      <c r="F22" s="1567"/>
      <c r="G22" s="1567"/>
      <c r="H22" s="1520"/>
      <c r="I22" s="1520"/>
      <c r="J22" s="1520"/>
      <c r="K22" s="1520"/>
      <c r="L22" s="1520"/>
      <c r="M22" s="1520"/>
      <c r="N22" s="1520"/>
      <c r="O22" s="1520"/>
      <c r="P22" s="1520"/>
      <c r="Q22" s="1520"/>
      <c r="R22" s="1520"/>
      <c r="S22" s="1520"/>
      <c r="T22" s="1520"/>
      <c r="U22" s="1520"/>
      <c r="V22" s="1520"/>
      <c r="W22" s="1546"/>
    </row>
    <row r="23" spans="1:23" s="336" customFormat="1" ht="13.9">
      <c r="A23" s="1510"/>
      <c r="B23" s="1510"/>
      <c r="C23" s="1520"/>
      <c r="D23" s="1520"/>
      <c r="E23" s="1567"/>
      <c r="F23" s="1567"/>
      <c r="G23" s="1567"/>
      <c r="H23" s="1520"/>
      <c r="I23" s="1520"/>
      <c r="J23" s="1520"/>
      <c r="K23" s="1520"/>
      <c r="L23" s="1520"/>
      <c r="M23" s="1520"/>
      <c r="N23" s="1520"/>
      <c r="O23" s="1520"/>
      <c r="P23" s="1520"/>
      <c r="Q23" s="1520"/>
      <c r="R23" s="1520"/>
      <c r="S23" s="1520"/>
      <c r="T23" s="1520"/>
      <c r="U23" s="1520"/>
      <c r="V23" s="1520"/>
      <c r="W23" s="1546"/>
    </row>
    <row r="24" spans="1:23" s="336" customFormat="1" ht="13.9">
      <c r="A24" s="1510"/>
      <c r="B24" s="1510"/>
      <c r="C24" s="1288"/>
      <c r="D24" s="1289"/>
      <c r="E24" s="1290" t="s">
        <v>837</v>
      </c>
      <c r="F24" s="1290" t="s">
        <v>838</v>
      </c>
      <c r="G24" s="1290" t="s">
        <v>839</v>
      </c>
      <c r="H24" s="1289" t="s">
        <v>840</v>
      </c>
      <c r="I24" s="1289" t="s">
        <v>841</v>
      </c>
      <c r="J24" s="1289" t="s">
        <v>842</v>
      </c>
      <c r="K24" s="1289" t="s">
        <v>843</v>
      </c>
      <c r="L24" s="1289" t="s">
        <v>844</v>
      </c>
      <c r="M24" s="1289" t="s">
        <v>845</v>
      </c>
      <c r="N24" s="1289" t="s">
        <v>846</v>
      </c>
      <c r="O24" s="1289" t="s">
        <v>847</v>
      </c>
      <c r="P24" s="1289" t="s">
        <v>848</v>
      </c>
      <c r="Q24" s="1291" t="s">
        <v>849</v>
      </c>
      <c r="R24" s="1291" t="s">
        <v>1112</v>
      </c>
      <c r="S24" s="1291" t="s">
        <v>1113</v>
      </c>
      <c r="T24" s="1291" t="s">
        <v>1114</v>
      </c>
      <c r="U24" s="1291" t="s">
        <v>1115</v>
      </c>
      <c r="V24" s="1506"/>
      <c r="W24" s="1546"/>
    </row>
    <row r="25" spans="1:23" s="336" customFormat="1" ht="13.9">
      <c r="A25" s="1510" t="str">
        <f>IF(SUM(E25:U25),"","n")</f>
        <v>n</v>
      </c>
      <c r="B25" s="1510"/>
      <c r="C25" s="660" t="str">
        <f>'DATA GPC'!F1819</f>
        <v/>
      </c>
      <c r="D25" s="467"/>
      <c r="E25" s="1364" t="str">
        <f>IFERROR('DATA GPC'!J1819,"n/a")</f>
        <v>n/a</v>
      </c>
      <c r="F25" s="1364" t="str">
        <f>IFERROR('DATA GPC'!K1819,"n/a")</f>
        <v>n/a</v>
      </c>
      <c r="G25" s="1364" t="str">
        <f>IFERROR('DATA GPC'!L1819,"n/a")</f>
        <v>n/a</v>
      </c>
      <c r="H25" s="1364" t="str">
        <f>IFERROR('DATA GPC'!M1819,"n/a")</f>
        <v>n/a</v>
      </c>
      <c r="I25" s="1364" t="str">
        <f>IFERROR('DATA GPC'!N1819,"n/a")</f>
        <v>n/a</v>
      </c>
      <c r="J25" s="1364" t="str">
        <f>IFERROR('DATA GPC'!O1819,"n/a")</f>
        <v>n/a</v>
      </c>
      <c r="K25" s="1364" t="str">
        <f>IFERROR('DATA GPC'!P1819,"n/a")</f>
        <v>n/a</v>
      </c>
      <c r="L25" s="1364" t="str">
        <f>IFERROR('DATA GPC'!Q1819,"n/a")</f>
        <v>n/a</v>
      </c>
      <c r="M25" s="1364" t="str">
        <f>IFERROR('DATA GPC'!R1819,"n/a")</f>
        <v>n/a</v>
      </c>
      <c r="N25" s="1364" t="str">
        <f>IFERROR('DATA GPC'!S1819,"n/a")</f>
        <v>n/a</v>
      </c>
      <c r="O25" s="1364" t="str">
        <f>IFERROR('DATA GPC'!T1819,"n/a")</f>
        <v>n/a</v>
      </c>
      <c r="P25" s="1364" t="str">
        <f>IFERROR('DATA GPC'!U1819,"n/a")</f>
        <v>n/a</v>
      </c>
      <c r="Q25" s="1364" t="str">
        <f>IFERROR('DATA GPC'!V1819,"n/a")</f>
        <v>n/a</v>
      </c>
      <c r="R25" s="1737" t="str">
        <f>IFERROR(AVERAGE('DATA GPC'!K439:$O440),"n/a")</f>
        <v>n/a</v>
      </c>
      <c r="S25" s="1614" t="str">
        <f>IFERROR(AVERAGE('DATA GPC'!L439:$O440),"n/a")</f>
        <v>n/a</v>
      </c>
      <c r="T25" s="1614" t="str">
        <f>IFERROR(AVERAGE('DATA GPC'!M439:$O440),"n/a")</f>
        <v>n/a</v>
      </c>
      <c r="U25" s="1614" t="str">
        <f>IFERROR(AVERAGE('DATA GPC'!N439:$O440),"n/a")</f>
        <v>n/a</v>
      </c>
      <c r="V25" s="1506"/>
      <c r="W25" s="1546"/>
    </row>
    <row r="26" spans="1:23" s="336" customFormat="1" ht="13.9">
      <c r="A26" s="1510"/>
      <c r="B26" s="1510"/>
      <c r="C26" s="1527"/>
      <c r="D26" s="1527"/>
      <c r="E26" s="623"/>
      <c r="F26" s="623"/>
      <c r="G26" s="623"/>
      <c r="H26" s="1527"/>
      <c r="I26" s="1527"/>
      <c r="J26" s="1527"/>
      <c r="K26" s="1527"/>
      <c r="L26" s="1527"/>
      <c r="M26" s="1527"/>
      <c r="N26" s="1527"/>
      <c r="O26" s="1527"/>
      <c r="P26" s="1527"/>
      <c r="Q26" s="1527"/>
      <c r="R26" s="1095"/>
      <c r="S26" s="1527"/>
      <c r="T26" s="1527"/>
      <c r="U26" s="1527"/>
      <c r="V26" s="1506"/>
      <c r="W26" s="1546"/>
    </row>
    <row r="27" spans="1:23" s="336" customFormat="1" ht="13.9">
      <c r="A27" s="1510" t="str">
        <f t="shared" ref="A27:A50" si="0">IF(SUM(E27:U27),"","n")</f>
        <v>n</v>
      </c>
      <c r="B27" s="1510"/>
      <c r="C27" s="146" t="str">
        <f>'DATA GPC'!E20</f>
        <v>--</v>
      </c>
      <c r="D27" s="467"/>
      <c r="E27" s="1364" t="str">
        <f>IFERROR(IF($C27="--","--",'DATA GPC'!J1820),"--")</f>
        <v>--</v>
      </c>
      <c r="F27" s="1364" t="str">
        <f>IFERROR(IF($C27="--","--",'DATA GPC'!K1820),"--")</f>
        <v>--</v>
      </c>
      <c r="G27" s="1364" t="str">
        <f>IFERROR(IF($C27="--","--",'DATA GPC'!L1820),"--")</f>
        <v>--</v>
      </c>
      <c r="H27" s="1364" t="str">
        <f>IFERROR(IF($C27="--","--",'DATA GPC'!M1820),"--")</f>
        <v>--</v>
      </c>
      <c r="I27" s="1364" t="str">
        <f>IFERROR(IF($C27="--","--",'DATA GPC'!N1820),"--")</f>
        <v>--</v>
      </c>
      <c r="J27" s="1364" t="str">
        <f>IFERROR(IF($C27="--","--",'DATA GPC'!O1820),"--")</f>
        <v>--</v>
      </c>
      <c r="K27" s="1364" t="str">
        <f>IFERROR(IF($C27="--","--",'DATA GPC'!P1820),"--")</f>
        <v>--</v>
      </c>
      <c r="L27" s="1364" t="str">
        <f>IFERROR(IF($C27="--","--",'DATA GPC'!Q1820),"--")</f>
        <v>--</v>
      </c>
      <c r="M27" s="1364" t="str">
        <f>IFERROR(IF($C27="--","--",'DATA GPC'!R1820),"--")</f>
        <v>--</v>
      </c>
      <c r="N27" s="1364" t="str">
        <f>IFERROR(IF($C27="--","--",'DATA GPC'!S1820),"--")</f>
        <v>--</v>
      </c>
      <c r="O27" s="1364" t="str">
        <f>IFERROR(IF($C27="--","--",'DATA GPC'!T1820),"--")</f>
        <v>--</v>
      </c>
      <c r="P27" s="1364" t="str">
        <f>IFERROR(IF($C27="--","--",'DATA GPC'!U1820),"--")</f>
        <v>--</v>
      </c>
      <c r="Q27" s="1364" t="str">
        <f>IFERROR(IF($C27="--","--",'DATA GPC'!V1820),"--")</f>
        <v>--</v>
      </c>
      <c r="R27" s="1736" t="str">
        <f>IFERROR(AVERAGE('DATA GPC'!K441:$O441),"--")</f>
        <v>--</v>
      </c>
      <c r="S27" s="1614" t="str">
        <f>IFERROR(AVERAGE('DATA GPC'!L441:$O441),"--")</f>
        <v>--</v>
      </c>
      <c r="T27" s="1614" t="str">
        <f>IFERROR(AVERAGE('DATA GPC'!M441:$O441),"--")</f>
        <v>--</v>
      </c>
      <c r="U27" s="1614" t="str">
        <f>IFERROR(AVERAGE('DATA GPC'!N441:$O441),"--")</f>
        <v>--</v>
      </c>
      <c r="V27" s="1506" t="s">
        <v>960</v>
      </c>
      <c r="W27" s="1546"/>
    </row>
    <row r="28" spans="1:23" s="336" customFormat="1" ht="13.9">
      <c r="A28" s="1510" t="str">
        <f t="shared" si="0"/>
        <v>n</v>
      </c>
      <c r="B28" s="1510"/>
      <c r="C28" s="146" t="str">
        <f>'DATA GPC'!E21</f>
        <v>--</v>
      </c>
      <c r="D28" s="467"/>
      <c r="E28" s="2079" t="str">
        <f>IFERROR(IF($C28="--","--",'DATA GPC'!J1821),"--")</f>
        <v>--</v>
      </c>
      <c r="F28" s="1364" t="str">
        <f>IFERROR(IF($C28="--","--",'DATA GPC'!K1821),"--")</f>
        <v>--</v>
      </c>
      <c r="G28" s="1364" t="str">
        <f>IFERROR(IF($C28="--","--",'DATA GPC'!L1821),"--")</f>
        <v>--</v>
      </c>
      <c r="H28" s="1364" t="str">
        <f>IFERROR(IF($C28="--","--",'DATA GPC'!M1821),"--")</f>
        <v>--</v>
      </c>
      <c r="I28" s="1364" t="str">
        <f>IFERROR(IF($C28="--","--",'DATA GPC'!N1821),"--")</f>
        <v>--</v>
      </c>
      <c r="J28" s="1364" t="str">
        <f>IFERROR(IF($C28="--","--",'DATA GPC'!O1821),"--")</f>
        <v>--</v>
      </c>
      <c r="K28" s="1364" t="str">
        <f>IFERROR(IF($C28="--","--",'DATA GPC'!P1821),"--")</f>
        <v>--</v>
      </c>
      <c r="L28" s="1364" t="str">
        <f>IFERROR(IF($C28="--","--",'DATA GPC'!Q1821),"--")</f>
        <v>--</v>
      </c>
      <c r="M28" s="1364" t="str">
        <f>IFERROR(IF($C28="--","--",'DATA GPC'!R1821),"--")</f>
        <v>--</v>
      </c>
      <c r="N28" s="1364" t="str">
        <f>IFERROR(IF($C28="--","--",'DATA GPC'!S1821),"--")</f>
        <v>--</v>
      </c>
      <c r="O28" s="1364" t="str">
        <f>IFERROR(IF($C28="--","--",'DATA GPC'!T1821),"--")</f>
        <v>--</v>
      </c>
      <c r="P28" s="1364" t="str">
        <f>IFERROR(IF($C28="--","--",'DATA GPC'!U1821),"--")</f>
        <v>--</v>
      </c>
      <c r="Q28" s="1364" t="str">
        <f>IFERROR(IF($C28="--","--",'DATA GPC'!V1821),"--")</f>
        <v>--</v>
      </c>
      <c r="R28" s="1736" t="str">
        <f>IFERROR(AVERAGE('DATA GPC'!K442:$O442),"--")</f>
        <v>--</v>
      </c>
      <c r="S28" s="1614" t="str">
        <f>IFERROR(AVERAGE('DATA GPC'!L442:$O442),"--")</f>
        <v>--</v>
      </c>
      <c r="T28" s="1614" t="str">
        <f>IFERROR(AVERAGE('DATA GPC'!M442:$O442),"--")</f>
        <v>--</v>
      </c>
      <c r="U28" s="1614" t="str">
        <f>IFERROR(AVERAGE('DATA GPC'!N442:$O442),"--")</f>
        <v>--</v>
      </c>
      <c r="V28" s="1506"/>
      <c r="W28" s="1546"/>
    </row>
    <row r="29" spans="1:23" s="336" customFormat="1" ht="13.9">
      <c r="A29" s="1510" t="str">
        <f t="shared" si="0"/>
        <v>n</v>
      </c>
      <c r="B29" s="1510"/>
      <c r="C29" s="146" t="str">
        <f>'DATA GPC'!E22</f>
        <v>--</v>
      </c>
      <c r="D29" s="467"/>
      <c r="E29" s="2079" t="str">
        <f>IFERROR(IF($C29="--","--",'DATA GPC'!J1822),"--")</f>
        <v>--</v>
      </c>
      <c r="F29" s="1364" t="str">
        <f>IFERROR(IF($C29="--","--",'DATA GPC'!K1822),"--")</f>
        <v>--</v>
      </c>
      <c r="G29" s="1364" t="str">
        <f>IFERROR(IF($C29="--","--",'DATA GPC'!L1822),"--")</f>
        <v>--</v>
      </c>
      <c r="H29" s="1364" t="str">
        <f>IFERROR(IF($C29="--","--",'DATA GPC'!M1822),"--")</f>
        <v>--</v>
      </c>
      <c r="I29" s="1364" t="str">
        <f>IFERROR(IF($C29="--","--",'DATA GPC'!N1822),"--")</f>
        <v>--</v>
      </c>
      <c r="J29" s="1364" t="str">
        <f>IFERROR(IF($C29="--","--",'DATA GPC'!O1822),"--")</f>
        <v>--</v>
      </c>
      <c r="K29" s="1364" t="str">
        <f>IFERROR(IF($C29="--","--",'DATA GPC'!P1822),"--")</f>
        <v>--</v>
      </c>
      <c r="L29" s="1364" t="str">
        <f>IFERROR(IF($C29="--","--",'DATA GPC'!Q1822),"--")</f>
        <v>--</v>
      </c>
      <c r="M29" s="1364" t="str">
        <f>IFERROR(IF($C29="--","--",'DATA GPC'!R1822),"--")</f>
        <v>--</v>
      </c>
      <c r="N29" s="1364" t="str">
        <f>IFERROR(IF($C29="--","--",'DATA GPC'!S1822),"--")</f>
        <v>--</v>
      </c>
      <c r="O29" s="1364" t="str">
        <f>IFERROR(IF($C29="--","--",'DATA GPC'!T1822),"--")</f>
        <v>--</v>
      </c>
      <c r="P29" s="1364" t="str">
        <f>IFERROR(IF($C29="--","--",'DATA GPC'!U1822),"--")</f>
        <v>--</v>
      </c>
      <c r="Q29" s="1364" t="str">
        <f>IFERROR(IF($C29="--","--",'DATA GPC'!V1822),"--")</f>
        <v>--</v>
      </c>
      <c r="R29" s="1736" t="str">
        <f>IFERROR(AVERAGE('DATA GPC'!K443:$O443),"--")</f>
        <v>--</v>
      </c>
      <c r="S29" s="1614" t="str">
        <f>IFERROR(AVERAGE('DATA GPC'!L443:$O443),"--")</f>
        <v>--</v>
      </c>
      <c r="T29" s="1614" t="str">
        <f>IFERROR(AVERAGE('DATA GPC'!M443:$O443),"--")</f>
        <v>--</v>
      </c>
      <c r="U29" s="1614" t="str">
        <f>IFERROR(AVERAGE('DATA GPC'!N443:$O443),"--")</f>
        <v>--</v>
      </c>
      <c r="V29" s="1506"/>
      <c r="W29" s="1546"/>
    </row>
    <row r="30" spans="1:23" s="336" customFormat="1" ht="13.9">
      <c r="A30" s="1510" t="str">
        <f t="shared" si="0"/>
        <v>n</v>
      </c>
      <c r="B30" s="1510"/>
      <c r="C30" s="146" t="str">
        <f>'DATA GPC'!E23</f>
        <v>--</v>
      </c>
      <c r="D30" s="467"/>
      <c r="E30" s="1364" t="str">
        <f>IFERROR(IF($C30="--","--",'DATA GPC'!J1823),"--")</f>
        <v>--</v>
      </c>
      <c r="F30" s="1364" t="str">
        <f>IFERROR(IF($C30="--","--",'DATA GPC'!K1823),"--")</f>
        <v>--</v>
      </c>
      <c r="G30" s="1364" t="str">
        <f>IFERROR(IF($C30="--","--",'DATA GPC'!L1823),"--")</f>
        <v>--</v>
      </c>
      <c r="H30" s="1364" t="str">
        <f>IFERROR(IF($C30="--","--",'DATA GPC'!M1823),"--")</f>
        <v>--</v>
      </c>
      <c r="I30" s="1364" t="str">
        <f>IFERROR(IF($C30="--","--",'DATA GPC'!N1823),"--")</f>
        <v>--</v>
      </c>
      <c r="J30" s="1364" t="str">
        <f>IFERROR(IF($C30="--","--",'DATA GPC'!O1823),"--")</f>
        <v>--</v>
      </c>
      <c r="K30" s="1364" t="str">
        <f>IFERROR(IF($C30="--","--",'DATA GPC'!P1823),"--")</f>
        <v>--</v>
      </c>
      <c r="L30" s="1364" t="str">
        <f>IFERROR(IF($C30="--","--",'DATA GPC'!Q1823),"--")</f>
        <v>--</v>
      </c>
      <c r="M30" s="1364" t="str">
        <f>IFERROR(IF($C30="--","--",'DATA GPC'!R1823),"--")</f>
        <v>--</v>
      </c>
      <c r="N30" s="1364" t="str">
        <f>IFERROR(IF($C30="--","--",'DATA GPC'!S1823),"--")</f>
        <v>--</v>
      </c>
      <c r="O30" s="1364" t="str">
        <f>IFERROR(IF($C30="--","--",'DATA GPC'!T1823),"--")</f>
        <v>--</v>
      </c>
      <c r="P30" s="1364" t="str">
        <f>IFERROR(IF($C30="--","--",'DATA GPC'!U1823),"--")</f>
        <v>--</v>
      </c>
      <c r="Q30" s="1364" t="str">
        <f>IFERROR(IF($C30="--","--",'DATA GPC'!V1823),"--")</f>
        <v>--</v>
      </c>
      <c r="R30" s="1736" t="str">
        <f>IFERROR(AVERAGE('DATA GPC'!K444:$O444),"--")</f>
        <v>--</v>
      </c>
      <c r="S30" s="1614" t="str">
        <f>IFERROR(AVERAGE('DATA GPC'!L444:$O444),"--")</f>
        <v>--</v>
      </c>
      <c r="T30" s="1614" t="str">
        <f>IFERROR(AVERAGE('DATA GPC'!M444:$O444),"--")</f>
        <v>--</v>
      </c>
      <c r="U30" s="1614" t="str">
        <f>IFERROR(AVERAGE('DATA GPC'!N444:$O444),"--")</f>
        <v>--</v>
      </c>
      <c r="V30" s="1506"/>
      <c r="W30" s="1546"/>
    </row>
    <row r="31" spans="1:23" s="336" customFormat="1" ht="13.9">
      <c r="A31" s="1510" t="str">
        <f t="shared" si="0"/>
        <v>n</v>
      </c>
      <c r="B31" s="1510"/>
      <c r="C31" s="146" t="str">
        <f>'DATA GPC'!E24</f>
        <v>--</v>
      </c>
      <c r="D31" s="467"/>
      <c r="E31" s="1364" t="str">
        <f>IFERROR(IF($C31="--","--",'DATA GPC'!J1824),"--")</f>
        <v>--</v>
      </c>
      <c r="F31" s="1364" t="str">
        <f>IFERROR(IF($C31="--","--",'DATA GPC'!K1824),"--")</f>
        <v>--</v>
      </c>
      <c r="G31" s="1364" t="str">
        <f>IFERROR(IF($C31="--","--",'DATA GPC'!L1824),"--")</f>
        <v>--</v>
      </c>
      <c r="H31" s="1364" t="str">
        <f>IFERROR(IF($C31="--","--",'DATA GPC'!M1824),"--")</f>
        <v>--</v>
      </c>
      <c r="I31" s="1364" t="str">
        <f>IFERROR(IF($C31="--","--",'DATA GPC'!N1824),"--")</f>
        <v>--</v>
      </c>
      <c r="J31" s="1364" t="str">
        <f>IFERROR(IF($C31="--","--",'DATA GPC'!O1824),"--")</f>
        <v>--</v>
      </c>
      <c r="K31" s="1364" t="str">
        <f>IFERROR(IF($C31="--","--",'DATA GPC'!P1824),"--")</f>
        <v>--</v>
      </c>
      <c r="L31" s="1364" t="str">
        <f>IFERROR(IF($C31="--","--",'DATA GPC'!Q1824),"--")</f>
        <v>--</v>
      </c>
      <c r="M31" s="1364" t="str">
        <f>IFERROR(IF($C31="--","--",'DATA GPC'!R1824),"--")</f>
        <v>--</v>
      </c>
      <c r="N31" s="1364" t="str">
        <f>IFERROR(IF($C31="--","--",'DATA GPC'!S1824),"--")</f>
        <v>--</v>
      </c>
      <c r="O31" s="1364" t="str">
        <f>IFERROR(IF($C31="--","--",'DATA GPC'!T1824),"--")</f>
        <v>--</v>
      </c>
      <c r="P31" s="1364" t="str">
        <f>IFERROR(IF($C31="--","--",'DATA GPC'!U1824),"--")</f>
        <v>--</v>
      </c>
      <c r="Q31" s="1364" t="str">
        <f>IFERROR(IF($C31="--","--",'DATA GPC'!V1824),"--")</f>
        <v>--</v>
      </c>
      <c r="R31" s="1736" t="str">
        <f>IFERROR(AVERAGE('DATA GPC'!K445:$O445),"--")</f>
        <v>--</v>
      </c>
      <c r="S31" s="1614" t="str">
        <f>IFERROR(AVERAGE('DATA GPC'!L445:$O445),"--")</f>
        <v>--</v>
      </c>
      <c r="T31" s="1614" t="str">
        <f>IFERROR(AVERAGE('DATA GPC'!M445:$O445),"--")</f>
        <v>--</v>
      </c>
      <c r="U31" s="1614" t="str">
        <f>IFERROR(AVERAGE('DATA GPC'!N445:$O445),"--")</f>
        <v>--</v>
      </c>
      <c r="V31" s="1506"/>
      <c r="W31" s="1546"/>
    </row>
    <row r="32" spans="1:23" s="336" customFormat="1" ht="13.9">
      <c r="A32" s="1510" t="str">
        <f t="shared" si="0"/>
        <v>n</v>
      </c>
      <c r="B32" s="1510"/>
      <c r="C32" s="146" t="str">
        <f>'DATA GPC'!E25</f>
        <v>--</v>
      </c>
      <c r="D32" s="467"/>
      <c r="E32" s="1364" t="str">
        <f>IFERROR(IF($C32="--","--",'DATA GPC'!J1825),"--")</f>
        <v>--</v>
      </c>
      <c r="F32" s="1364" t="str">
        <f>IFERROR(IF($C32="--","--",'DATA GPC'!K1825),"--")</f>
        <v>--</v>
      </c>
      <c r="G32" s="1364" t="str">
        <f>IFERROR(IF($C32="--","--",'DATA GPC'!L1825),"--")</f>
        <v>--</v>
      </c>
      <c r="H32" s="1364" t="str">
        <f>IFERROR(IF($C32="--","--",'DATA GPC'!M1825),"--")</f>
        <v>--</v>
      </c>
      <c r="I32" s="1364" t="str">
        <f>IFERROR(IF($C32="--","--",'DATA GPC'!N1825),"--")</f>
        <v>--</v>
      </c>
      <c r="J32" s="1364" t="str">
        <f>IFERROR(IF($C32="--","--",'DATA GPC'!O1825),"--")</f>
        <v>--</v>
      </c>
      <c r="K32" s="1364" t="str">
        <f>IFERROR(IF($C32="--","--",'DATA GPC'!P1825),"--")</f>
        <v>--</v>
      </c>
      <c r="L32" s="1364" t="str">
        <f>IFERROR(IF($C32="--","--",'DATA GPC'!Q1825),"--")</f>
        <v>--</v>
      </c>
      <c r="M32" s="1364" t="str">
        <f>IFERROR(IF($C32="--","--",'DATA GPC'!R1825),"--")</f>
        <v>--</v>
      </c>
      <c r="N32" s="1364" t="str">
        <f>IFERROR(IF($C32="--","--",'DATA GPC'!S1825),"--")</f>
        <v>--</v>
      </c>
      <c r="O32" s="1364" t="str">
        <f>IFERROR(IF($C32="--","--",'DATA GPC'!T1825),"--")</f>
        <v>--</v>
      </c>
      <c r="P32" s="1364" t="str">
        <f>IFERROR(IF($C32="--","--",'DATA GPC'!U1825),"--")</f>
        <v>--</v>
      </c>
      <c r="Q32" s="1364" t="str">
        <f>IFERROR(IF($C32="--","--",'DATA GPC'!V1825),"--")</f>
        <v>--</v>
      </c>
      <c r="R32" s="1736" t="str">
        <f>IFERROR(AVERAGE('DATA GPC'!K446:$O446),"--")</f>
        <v>--</v>
      </c>
      <c r="S32" s="1614" t="str">
        <f>IFERROR(AVERAGE('DATA GPC'!L446:$O446),"--")</f>
        <v>--</v>
      </c>
      <c r="T32" s="1614" t="str">
        <f>IFERROR(AVERAGE('DATA GPC'!M446:$O446),"--")</f>
        <v>--</v>
      </c>
      <c r="U32" s="1614" t="str">
        <f>IFERROR(AVERAGE('DATA GPC'!N446:$O446),"--")</f>
        <v>--</v>
      </c>
      <c r="V32" s="1506"/>
      <c r="W32" s="1546"/>
    </row>
    <row r="33" spans="1:23" s="336" customFormat="1" ht="13.9">
      <c r="A33" s="1510" t="str">
        <f t="shared" si="0"/>
        <v>n</v>
      </c>
      <c r="B33" s="1510"/>
      <c r="C33" s="146" t="str">
        <f>'DATA GPC'!E26</f>
        <v>--</v>
      </c>
      <c r="D33" s="467"/>
      <c r="E33" s="1364" t="str">
        <f>IFERROR(IF($C33="--","--",'DATA GPC'!J1826),"--")</f>
        <v>--</v>
      </c>
      <c r="F33" s="1364" t="str">
        <f>IFERROR(IF($C33="--","--",'DATA GPC'!K1826),"--")</f>
        <v>--</v>
      </c>
      <c r="G33" s="1364" t="str">
        <f>IFERROR(IF($C33="--","--",'DATA GPC'!L1826),"--")</f>
        <v>--</v>
      </c>
      <c r="H33" s="1364" t="str">
        <f>IFERROR(IF($C33="--","--",'DATA GPC'!M1826),"--")</f>
        <v>--</v>
      </c>
      <c r="I33" s="1364" t="str">
        <f>IFERROR(IF($C33="--","--",'DATA GPC'!N1826),"--")</f>
        <v>--</v>
      </c>
      <c r="J33" s="1364" t="str">
        <f>IFERROR(IF($C33="--","--",'DATA GPC'!O1826),"--")</f>
        <v>--</v>
      </c>
      <c r="K33" s="1364" t="str">
        <f>IFERROR(IF($C33="--","--",'DATA GPC'!P1826),"--")</f>
        <v>--</v>
      </c>
      <c r="L33" s="1364" t="str">
        <f>IFERROR(IF($C33="--","--",'DATA GPC'!Q1826),"--")</f>
        <v>--</v>
      </c>
      <c r="M33" s="1364" t="str">
        <f>IFERROR(IF($C33="--","--",'DATA GPC'!R1826),"--")</f>
        <v>--</v>
      </c>
      <c r="N33" s="1364" t="str">
        <f>IFERROR(IF($C33="--","--",'DATA GPC'!S1826),"--")</f>
        <v>--</v>
      </c>
      <c r="O33" s="1364" t="str">
        <f>IFERROR(IF($C33="--","--",'DATA GPC'!T1826),"--")</f>
        <v>--</v>
      </c>
      <c r="P33" s="1364" t="str">
        <f>IFERROR(IF($C33="--","--",'DATA GPC'!U1826),"--")</f>
        <v>--</v>
      </c>
      <c r="Q33" s="1364" t="str">
        <f>IFERROR(IF($C33="--","--",'DATA GPC'!V1826),"--")</f>
        <v>--</v>
      </c>
      <c r="R33" s="1736" t="str">
        <f>IFERROR(AVERAGE('DATA GPC'!K447:$O447),"--")</f>
        <v>--</v>
      </c>
      <c r="S33" s="1614" t="str">
        <f>IFERROR(AVERAGE('DATA GPC'!L447:$O447),"--")</f>
        <v>--</v>
      </c>
      <c r="T33" s="1614" t="str">
        <f>IFERROR(AVERAGE('DATA GPC'!M447:$O447),"--")</f>
        <v>--</v>
      </c>
      <c r="U33" s="1614" t="str">
        <f>IFERROR(AVERAGE('DATA GPC'!N447:$O447),"--")</f>
        <v>--</v>
      </c>
      <c r="V33" s="1506"/>
      <c r="W33" s="1546"/>
    </row>
    <row r="34" spans="1:23" s="336" customFormat="1" ht="13.9">
      <c r="A34" s="1510" t="str">
        <f t="shared" si="0"/>
        <v>n</v>
      </c>
      <c r="B34" s="1510"/>
      <c r="C34" s="146" t="str">
        <f>'DATA GPC'!E27</f>
        <v>--</v>
      </c>
      <c r="D34" s="467"/>
      <c r="E34" s="1364" t="str">
        <f>IFERROR(IF($C34="--","--",'DATA GPC'!J1827),"--")</f>
        <v>--</v>
      </c>
      <c r="F34" s="1364" t="str">
        <f>IFERROR(IF($C34="--","--",'DATA GPC'!K1827),"--")</f>
        <v>--</v>
      </c>
      <c r="G34" s="1364" t="str">
        <f>IFERROR(IF($C34="--","--",'DATA GPC'!L1827),"--")</f>
        <v>--</v>
      </c>
      <c r="H34" s="1364" t="str">
        <f>IFERROR(IF($C34="--","--",'DATA GPC'!M1827),"--")</f>
        <v>--</v>
      </c>
      <c r="I34" s="1364" t="str">
        <f>IFERROR(IF($C34="--","--",'DATA GPC'!N1827),"--")</f>
        <v>--</v>
      </c>
      <c r="J34" s="1364" t="str">
        <f>IFERROR(IF($C34="--","--",'DATA GPC'!O1827),"--")</f>
        <v>--</v>
      </c>
      <c r="K34" s="1364" t="str">
        <f>IFERROR(IF($C34="--","--",'DATA GPC'!P1827),"--")</f>
        <v>--</v>
      </c>
      <c r="L34" s="1364" t="str">
        <f>IFERROR(IF($C34="--","--",'DATA GPC'!Q1827),"--")</f>
        <v>--</v>
      </c>
      <c r="M34" s="1364" t="str">
        <f>IFERROR(IF($C34="--","--",'DATA GPC'!R1827),"--")</f>
        <v>--</v>
      </c>
      <c r="N34" s="1364" t="str">
        <f>IFERROR(IF($C34="--","--",'DATA GPC'!S1827),"--")</f>
        <v>--</v>
      </c>
      <c r="O34" s="1364" t="str">
        <f>IFERROR(IF($C34="--","--",'DATA GPC'!T1827),"--")</f>
        <v>--</v>
      </c>
      <c r="P34" s="1364" t="str">
        <f>IFERROR(IF($C34="--","--",'DATA GPC'!U1827),"--")</f>
        <v>--</v>
      </c>
      <c r="Q34" s="1364" t="str">
        <f>IFERROR(IF($C34="--","--",'DATA GPC'!V1827),"--")</f>
        <v>--</v>
      </c>
      <c r="R34" s="1736" t="str">
        <f>IFERROR(AVERAGE('DATA GPC'!K448:$O448),"--")</f>
        <v>--</v>
      </c>
      <c r="S34" s="1614" t="str">
        <f>IFERROR(AVERAGE('DATA GPC'!L448:$O448),"--")</f>
        <v>--</v>
      </c>
      <c r="T34" s="1614" t="str">
        <f>IFERROR(AVERAGE('DATA GPC'!M448:$O448),"--")</f>
        <v>--</v>
      </c>
      <c r="U34" s="1614" t="str">
        <f>IFERROR(AVERAGE('DATA GPC'!N448:$O448),"--")</f>
        <v>--</v>
      </c>
      <c r="V34" s="1506"/>
      <c r="W34" s="1546"/>
    </row>
    <row r="35" spans="1:23" s="336" customFormat="1" ht="13.9">
      <c r="A35" s="1510" t="str">
        <f t="shared" si="0"/>
        <v>n</v>
      </c>
      <c r="B35" s="1510"/>
      <c r="C35" s="146" t="str">
        <f>'DATA GPC'!E28</f>
        <v>--</v>
      </c>
      <c r="D35" s="467"/>
      <c r="E35" s="1364" t="str">
        <f>IFERROR(IF($C35="--","--",'DATA GPC'!J1828),"--")</f>
        <v>--</v>
      </c>
      <c r="F35" s="1364" t="str">
        <f>IFERROR(IF($C35="--","--",'DATA GPC'!K1828),"--")</f>
        <v>--</v>
      </c>
      <c r="G35" s="1364" t="str">
        <f>IFERROR(IF($C35="--","--",'DATA GPC'!L1828),"--")</f>
        <v>--</v>
      </c>
      <c r="H35" s="1364" t="str">
        <f>IFERROR(IF($C35="--","--",'DATA GPC'!M1828),"--")</f>
        <v>--</v>
      </c>
      <c r="I35" s="1364" t="str">
        <f>IFERROR(IF($C35="--","--",'DATA GPC'!N1828),"--")</f>
        <v>--</v>
      </c>
      <c r="J35" s="1364" t="str">
        <f>IFERROR(IF($C35="--","--",'DATA GPC'!O1828),"--")</f>
        <v>--</v>
      </c>
      <c r="K35" s="1364" t="str">
        <f>IFERROR(IF($C35="--","--",'DATA GPC'!P1828),"--")</f>
        <v>--</v>
      </c>
      <c r="L35" s="1364" t="str">
        <f>IFERROR(IF($C35="--","--",'DATA GPC'!Q1828),"--")</f>
        <v>--</v>
      </c>
      <c r="M35" s="1364" t="str">
        <f>IFERROR(IF($C35="--","--",'DATA GPC'!R1828),"--")</f>
        <v>--</v>
      </c>
      <c r="N35" s="1364" t="str">
        <f>IFERROR(IF($C35="--","--",'DATA GPC'!S1828),"--")</f>
        <v>--</v>
      </c>
      <c r="O35" s="1364" t="str">
        <f>IFERROR(IF($C35="--","--",'DATA GPC'!T1828),"--")</f>
        <v>--</v>
      </c>
      <c r="P35" s="1364" t="str">
        <f>IFERROR(IF($C35="--","--",'DATA GPC'!U1828),"--")</f>
        <v>--</v>
      </c>
      <c r="Q35" s="1364" t="str">
        <f>IFERROR(IF($C35="--","--",'DATA GPC'!V1828),"--")</f>
        <v>--</v>
      </c>
      <c r="R35" s="1736" t="str">
        <f>IFERROR(AVERAGE('DATA GPC'!K449:$O449),"--")</f>
        <v>--</v>
      </c>
      <c r="S35" s="1614" t="str">
        <f>IFERROR(AVERAGE('DATA GPC'!L449:$O449),"--")</f>
        <v>--</v>
      </c>
      <c r="T35" s="1614" t="str">
        <f>IFERROR(AVERAGE('DATA GPC'!M449:$O449),"--")</f>
        <v>--</v>
      </c>
      <c r="U35" s="1614" t="str">
        <f>IFERROR(AVERAGE('DATA GPC'!N449:$O449),"--")</f>
        <v>--</v>
      </c>
      <c r="V35" s="1506"/>
      <c r="W35" s="1546"/>
    </row>
    <row r="36" spans="1:23" s="336" customFormat="1" ht="13.9">
      <c r="A36" s="1510" t="str">
        <f t="shared" si="0"/>
        <v>n</v>
      </c>
      <c r="B36" s="1510"/>
      <c r="C36" s="146" t="str">
        <f>'DATA GPC'!E29</f>
        <v>--</v>
      </c>
      <c r="D36" s="467"/>
      <c r="E36" s="1364" t="str">
        <f>IFERROR(IF($C36="--","--",'DATA GPC'!J1829),"--")</f>
        <v>--</v>
      </c>
      <c r="F36" s="1364" t="str">
        <f>IFERROR(IF($C36="--","--",'DATA GPC'!K1829),"--")</f>
        <v>--</v>
      </c>
      <c r="G36" s="1364" t="str">
        <f>IFERROR(IF($C36="--","--",'DATA GPC'!L1829),"--")</f>
        <v>--</v>
      </c>
      <c r="H36" s="1364" t="str">
        <f>IFERROR(IF($C36="--","--",'DATA GPC'!M1829),"--")</f>
        <v>--</v>
      </c>
      <c r="I36" s="1364" t="str">
        <f>IFERROR(IF($C36="--","--",'DATA GPC'!N1829),"--")</f>
        <v>--</v>
      </c>
      <c r="J36" s="1364" t="str">
        <f>IFERROR(IF($C36="--","--",'DATA GPC'!O1829),"--")</f>
        <v>--</v>
      </c>
      <c r="K36" s="1364" t="str">
        <f>IFERROR(IF($C36="--","--",'DATA GPC'!P1829),"--")</f>
        <v>--</v>
      </c>
      <c r="L36" s="1364" t="str">
        <f>IFERROR(IF($C36="--","--",'DATA GPC'!Q1829),"--")</f>
        <v>--</v>
      </c>
      <c r="M36" s="1364" t="str">
        <f>IFERROR(IF($C36="--","--",'DATA GPC'!R1829),"--")</f>
        <v>--</v>
      </c>
      <c r="N36" s="1364" t="str">
        <f>IFERROR(IF($C36="--","--",'DATA GPC'!S1829),"--")</f>
        <v>--</v>
      </c>
      <c r="O36" s="1364" t="str">
        <f>IFERROR(IF($C36="--","--",'DATA GPC'!T1829),"--")</f>
        <v>--</v>
      </c>
      <c r="P36" s="1364" t="str">
        <f>IFERROR(IF($C36="--","--",'DATA GPC'!U1829),"--")</f>
        <v>--</v>
      </c>
      <c r="Q36" s="1364" t="str">
        <f>IFERROR(IF($C36="--","--",'DATA GPC'!V1829),"--")</f>
        <v>--</v>
      </c>
      <c r="R36" s="1736" t="str">
        <f>IFERROR(AVERAGE('DATA GPC'!K450:$O450),"--")</f>
        <v>--</v>
      </c>
      <c r="S36" s="1614" t="str">
        <f>IFERROR(AVERAGE('DATA GPC'!L450:$O450),"--")</f>
        <v>--</v>
      </c>
      <c r="T36" s="1614" t="str">
        <f>IFERROR(AVERAGE('DATA GPC'!M450:$O450),"--")</f>
        <v>--</v>
      </c>
      <c r="U36" s="1614" t="str">
        <f>IFERROR(AVERAGE('DATA GPC'!N450:$O450),"--")</f>
        <v>--</v>
      </c>
      <c r="V36" s="1513"/>
      <c r="W36" s="1546"/>
    </row>
    <row r="37" spans="1:23" s="336" customFormat="1" ht="13.9">
      <c r="A37" s="1510" t="str">
        <f t="shared" si="0"/>
        <v>n</v>
      </c>
      <c r="B37" s="1510"/>
      <c r="C37" s="146" t="str">
        <f>'DATA GPC'!E30</f>
        <v>--</v>
      </c>
      <c r="D37" s="467"/>
      <c r="E37" s="1364" t="str">
        <f>IFERROR(IF($C37="--","--",'DATA GPC'!J1830),"--")</f>
        <v>--</v>
      </c>
      <c r="F37" s="1364" t="str">
        <f>IFERROR(IF($C37="--","--",'DATA GPC'!K1830),"--")</f>
        <v>--</v>
      </c>
      <c r="G37" s="1364" t="str">
        <f>IFERROR(IF($C37="--","--",'DATA GPC'!L1830),"--")</f>
        <v>--</v>
      </c>
      <c r="H37" s="1364" t="str">
        <f>IFERROR(IF($C37="--","--",'DATA GPC'!M1830),"--")</f>
        <v>--</v>
      </c>
      <c r="I37" s="1364" t="str">
        <f>IFERROR(IF($C37="--","--",'DATA GPC'!N1830),"--")</f>
        <v>--</v>
      </c>
      <c r="J37" s="1364" t="str">
        <f>IFERROR(IF($C37="--","--",'DATA GPC'!O1830),"--")</f>
        <v>--</v>
      </c>
      <c r="K37" s="1364" t="str">
        <f>IFERROR(IF($C37="--","--",'DATA GPC'!P1830),"--")</f>
        <v>--</v>
      </c>
      <c r="L37" s="1364" t="str">
        <f>IFERROR(IF($C37="--","--",'DATA GPC'!Q1830),"--")</f>
        <v>--</v>
      </c>
      <c r="M37" s="1364" t="str">
        <f>IFERROR(IF($C37="--","--",'DATA GPC'!R1830),"--")</f>
        <v>--</v>
      </c>
      <c r="N37" s="1364" t="str">
        <f>IFERROR(IF($C37="--","--",'DATA GPC'!S1830),"--")</f>
        <v>--</v>
      </c>
      <c r="O37" s="1364" t="str">
        <f>IFERROR(IF($C37="--","--",'DATA GPC'!T1830),"--")</f>
        <v>--</v>
      </c>
      <c r="P37" s="1364" t="str">
        <f>IFERROR(IF($C37="--","--",'DATA GPC'!U1830),"--")</f>
        <v>--</v>
      </c>
      <c r="Q37" s="1364" t="str">
        <f>IFERROR(IF($C37="--","--",'DATA GPC'!V1830),"--")</f>
        <v>--</v>
      </c>
      <c r="R37" s="1736" t="str">
        <f>IFERROR(AVERAGE('DATA GPC'!K451:$O451),"--")</f>
        <v>--</v>
      </c>
      <c r="S37" s="1614" t="str">
        <f>IFERROR(AVERAGE('DATA GPC'!L451:$O451),"--")</f>
        <v>--</v>
      </c>
      <c r="T37" s="1614" t="str">
        <f>IFERROR(AVERAGE('DATA GPC'!M451:$O451),"--")</f>
        <v>--</v>
      </c>
      <c r="U37" s="1614" t="str">
        <f>IFERROR(AVERAGE('DATA GPC'!N451:$O451),"--")</f>
        <v>--</v>
      </c>
      <c r="V37" s="1513"/>
      <c r="W37" s="1546"/>
    </row>
    <row r="38" spans="1:23" s="336" customFormat="1" ht="13.9">
      <c r="A38" s="1510" t="str">
        <f t="shared" si="0"/>
        <v>n</v>
      </c>
      <c r="B38" s="1510"/>
      <c r="C38" s="146" t="str">
        <f>'DATA GPC'!E31</f>
        <v>--</v>
      </c>
      <c r="D38" s="467"/>
      <c r="E38" s="1364" t="str">
        <f>IFERROR(IF($C38="--","--",'DATA GPC'!J1831),"--")</f>
        <v>--</v>
      </c>
      <c r="F38" s="1364" t="str">
        <f>IFERROR(IF($C38="--","--",'DATA GPC'!K1831),"--")</f>
        <v>--</v>
      </c>
      <c r="G38" s="1364" t="str">
        <f>IFERROR(IF($C38="--","--",'DATA GPC'!L1831),"--")</f>
        <v>--</v>
      </c>
      <c r="H38" s="1364" t="str">
        <f>IFERROR(IF($C38="--","--",'DATA GPC'!M1831),"--")</f>
        <v>--</v>
      </c>
      <c r="I38" s="1364" t="str">
        <f>IFERROR(IF($C38="--","--",'DATA GPC'!N1831),"--")</f>
        <v>--</v>
      </c>
      <c r="J38" s="1364" t="str">
        <f>IFERROR(IF($C38="--","--",'DATA GPC'!O1831),"--")</f>
        <v>--</v>
      </c>
      <c r="K38" s="1364" t="str">
        <f>IFERROR(IF($C38="--","--",'DATA GPC'!P1831),"--")</f>
        <v>--</v>
      </c>
      <c r="L38" s="1364" t="str">
        <f>IFERROR(IF($C38="--","--",'DATA GPC'!Q1831),"--")</f>
        <v>--</v>
      </c>
      <c r="M38" s="1364" t="str">
        <f>IFERROR(IF($C38="--","--",'DATA GPC'!R1831),"--")</f>
        <v>--</v>
      </c>
      <c r="N38" s="1364" t="str">
        <f>IFERROR(IF($C38="--","--",'DATA GPC'!S1831),"--")</f>
        <v>--</v>
      </c>
      <c r="O38" s="1364" t="str">
        <f>IFERROR(IF($C38="--","--",'DATA GPC'!T1831),"--")</f>
        <v>--</v>
      </c>
      <c r="P38" s="1364" t="str">
        <f>IFERROR(IF($C38="--","--",'DATA GPC'!U1831),"--")</f>
        <v>--</v>
      </c>
      <c r="Q38" s="1364" t="str">
        <f>IFERROR(IF($C38="--","--",'DATA GPC'!V1831),"--")</f>
        <v>--</v>
      </c>
      <c r="R38" s="1736" t="str">
        <f>IFERROR(AVERAGE('DATA GPC'!K452:$O452),"--")</f>
        <v>--</v>
      </c>
      <c r="S38" s="1614" t="str">
        <f>IFERROR(AVERAGE('DATA GPC'!L452:$O452),"--")</f>
        <v>--</v>
      </c>
      <c r="T38" s="1614" t="str">
        <f>IFERROR(AVERAGE('DATA GPC'!M452:$O452),"--")</f>
        <v>--</v>
      </c>
      <c r="U38" s="1614" t="str">
        <f>IFERROR(AVERAGE('DATA GPC'!N452:$O452),"--")</f>
        <v>--</v>
      </c>
      <c r="V38" s="1513"/>
      <c r="W38" s="1546"/>
    </row>
    <row r="39" spans="1:23" s="336" customFormat="1" ht="13.9">
      <c r="A39" s="1510" t="str">
        <f t="shared" si="0"/>
        <v>n</v>
      </c>
      <c r="B39" s="1510"/>
      <c r="C39" s="146" t="str">
        <f>'DATA GPC'!E32</f>
        <v>--</v>
      </c>
      <c r="D39" s="467"/>
      <c r="E39" s="1364" t="str">
        <f>IFERROR(IF($C39="--","--",'DATA GPC'!J1832),"--")</f>
        <v>--</v>
      </c>
      <c r="F39" s="1364" t="str">
        <f>IFERROR(IF($C39="--","--",'DATA GPC'!K1832),"--")</f>
        <v>--</v>
      </c>
      <c r="G39" s="1364" t="str">
        <f>IFERROR(IF($C39="--","--",'DATA GPC'!L1832),"--")</f>
        <v>--</v>
      </c>
      <c r="H39" s="1364" t="str">
        <f>IFERROR(IF($C39="--","--",'DATA GPC'!M1832),"--")</f>
        <v>--</v>
      </c>
      <c r="I39" s="1364" t="str">
        <f>IFERROR(IF($C39="--","--",'DATA GPC'!N1832),"--")</f>
        <v>--</v>
      </c>
      <c r="J39" s="1364" t="str">
        <f>IFERROR(IF($C39="--","--",'DATA GPC'!O1832),"--")</f>
        <v>--</v>
      </c>
      <c r="K39" s="1364" t="str">
        <f>IFERROR(IF($C39="--","--",'DATA GPC'!P1832),"--")</f>
        <v>--</v>
      </c>
      <c r="L39" s="1364" t="str">
        <f>IFERROR(IF($C39="--","--",'DATA GPC'!Q1832),"--")</f>
        <v>--</v>
      </c>
      <c r="M39" s="1364" t="str">
        <f>IFERROR(IF($C39="--","--",'DATA GPC'!R1832),"--")</f>
        <v>--</v>
      </c>
      <c r="N39" s="1364" t="str">
        <f>IFERROR(IF($C39="--","--",'DATA GPC'!S1832),"--")</f>
        <v>--</v>
      </c>
      <c r="O39" s="1364" t="str">
        <f>IFERROR(IF($C39="--","--",'DATA GPC'!T1832),"--")</f>
        <v>--</v>
      </c>
      <c r="P39" s="1364" t="str">
        <f>IFERROR(IF($C39="--","--",'DATA GPC'!U1832),"--")</f>
        <v>--</v>
      </c>
      <c r="Q39" s="1364" t="str">
        <f>IFERROR(IF($C39="--","--",'DATA GPC'!V1832),"--")</f>
        <v>--</v>
      </c>
      <c r="R39" s="1736" t="str">
        <f>IFERROR(AVERAGE('DATA GPC'!K453:$O453),"--")</f>
        <v>--</v>
      </c>
      <c r="S39" s="1614" t="str">
        <f>IFERROR(AVERAGE('DATA GPC'!L453:$O453),"--")</f>
        <v>--</v>
      </c>
      <c r="T39" s="1614" t="str">
        <f>IFERROR(AVERAGE('DATA GPC'!M453:$O453),"--")</f>
        <v>--</v>
      </c>
      <c r="U39" s="1614" t="str">
        <f>IFERROR(AVERAGE('DATA GPC'!N453:$O453),"--")</f>
        <v>--</v>
      </c>
      <c r="V39" s="1513"/>
      <c r="W39" s="1546"/>
    </row>
    <row r="40" spans="1:23" s="336" customFormat="1" ht="13.9">
      <c r="A40" s="1510" t="str">
        <f t="shared" si="0"/>
        <v>n</v>
      </c>
      <c r="B40" s="1510"/>
      <c r="C40" s="146" t="str">
        <f>'DATA GPC'!E33</f>
        <v>--</v>
      </c>
      <c r="D40" s="467"/>
      <c r="E40" s="1364" t="str">
        <f>IFERROR(IF($C40="--","--",'DATA GPC'!J1833),"--")</f>
        <v>--</v>
      </c>
      <c r="F40" s="1364" t="str">
        <f>IFERROR(IF($C40="--","--",'DATA GPC'!K1833),"--")</f>
        <v>--</v>
      </c>
      <c r="G40" s="1364" t="str">
        <f>IFERROR(IF($C40="--","--",'DATA GPC'!L1833),"--")</f>
        <v>--</v>
      </c>
      <c r="H40" s="1364" t="str">
        <f>IFERROR(IF($C40="--","--",'DATA GPC'!M1833),"--")</f>
        <v>--</v>
      </c>
      <c r="I40" s="1364" t="str">
        <f>IFERROR(IF($C40="--","--",'DATA GPC'!N1833),"--")</f>
        <v>--</v>
      </c>
      <c r="J40" s="1364" t="str">
        <f>IFERROR(IF($C40="--","--",'DATA GPC'!O1833),"--")</f>
        <v>--</v>
      </c>
      <c r="K40" s="1364" t="str">
        <f>IFERROR(IF($C40="--","--",'DATA GPC'!P1833),"--")</f>
        <v>--</v>
      </c>
      <c r="L40" s="1364" t="str">
        <f>IFERROR(IF($C40="--","--",'DATA GPC'!Q1833),"--")</f>
        <v>--</v>
      </c>
      <c r="M40" s="1364" t="str">
        <f>IFERROR(IF($C40="--","--",'DATA GPC'!R1833),"--")</f>
        <v>--</v>
      </c>
      <c r="N40" s="1364" t="str">
        <f>IFERROR(IF($C40="--","--",'DATA GPC'!S1833),"--")</f>
        <v>--</v>
      </c>
      <c r="O40" s="1364" t="str">
        <f>IFERROR(IF($C40="--","--",'DATA GPC'!T1833),"--")</f>
        <v>--</v>
      </c>
      <c r="P40" s="1364" t="str">
        <f>IFERROR(IF($C40="--","--",'DATA GPC'!U1833),"--")</f>
        <v>--</v>
      </c>
      <c r="Q40" s="1364" t="str">
        <f>IFERROR(IF($C40="--","--",'DATA GPC'!V1833),"--")</f>
        <v>--</v>
      </c>
      <c r="R40" s="1736" t="str">
        <f>IFERROR(AVERAGE('DATA GPC'!K454:$O454),"--")</f>
        <v>--</v>
      </c>
      <c r="S40" s="1614" t="str">
        <f>IFERROR(AVERAGE('DATA GPC'!L454:$O454),"--")</f>
        <v>--</v>
      </c>
      <c r="T40" s="1614" t="str">
        <f>IFERROR(AVERAGE('DATA GPC'!M454:$O454),"--")</f>
        <v>--</v>
      </c>
      <c r="U40" s="1614" t="str">
        <f>IFERROR(AVERAGE('DATA GPC'!N454:$O454),"--")</f>
        <v>--</v>
      </c>
      <c r="V40" s="1513"/>
      <c r="W40" s="1546"/>
    </row>
    <row r="41" spans="1:23" s="1527" customFormat="1" ht="13.9">
      <c r="A41" s="1510" t="str">
        <f t="shared" si="0"/>
        <v>n</v>
      </c>
      <c r="B41" s="1510"/>
      <c r="C41" s="146" t="str">
        <f>'DATA GPC'!E34</f>
        <v>--</v>
      </c>
      <c r="D41" s="467"/>
      <c r="E41" s="1364" t="str">
        <f>IFERROR(IF($C41="--","--",'DATA GPC'!J1834),"--")</f>
        <v>--</v>
      </c>
      <c r="F41" s="1364" t="str">
        <f>IFERROR(IF($C41="--","--",'DATA GPC'!K1834),"--")</f>
        <v>--</v>
      </c>
      <c r="G41" s="1364" t="str">
        <f>IFERROR(IF($C41="--","--",'DATA GPC'!L1834),"--")</f>
        <v>--</v>
      </c>
      <c r="H41" s="1364" t="str">
        <f>IFERROR(IF($C41="--","--",'DATA GPC'!M1834),"--")</f>
        <v>--</v>
      </c>
      <c r="I41" s="1364" t="str">
        <f>IFERROR(IF($C41="--","--",'DATA GPC'!N1834),"--")</f>
        <v>--</v>
      </c>
      <c r="J41" s="1364" t="str">
        <f>IFERROR(IF($C41="--","--",'DATA GPC'!O1834),"--")</f>
        <v>--</v>
      </c>
      <c r="K41" s="1364" t="str">
        <f>IFERROR(IF($C41="--","--",'DATA GPC'!P1834),"--")</f>
        <v>--</v>
      </c>
      <c r="L41" s="1364" t="str">
        <f>IFERROR(IF($C41="--","--",'DATA GPC'!Q1834),"--")</f>
        <v>--</v>
      </c>
      <c r="M41" s="1364" t="str">
        <f>IFERROR(IF($C41="--","--",'DATA GPC'!R1834),"--")</f>
        <v>--</v>
      </c>
      <c r="N41" s="1364" t="str">
        <f>IFERROR(IF($C41="--","--",'DATA GPC'!S1834),"--")</f>
        <v>--</v>
      </c>
      <c r="O41" s="1364" t="str">
        <f>IFERROR(IF($C41="--","--",'DATA GPC'!T1834),"--")</f>
        <v>--</v>
      </c>
      <c r="P41" s="1364" t="str">
        <f>IFERROR(IF($C41="--","--",'DATA GPC'!U1834),"--")</f>
        <v>--</v>
      </c>
      <c r="Q41" s="1364" t="str">
        <f>IFERROR(IF($C41="--","--",'DATA GPC'!V1834),"--")</f>
        <v>--</v>
      </c>
      <c r="R41" s="1736" t="str">
        <f>IFERROR(AVERAGE('DATA GPC'!K455:$O455),"--")</f>
        <v>--</v>
      </c>
      <c r="S41" s="1614" t="str">
        <f>IFERROR(AVERAGE('DATA GPC'!L455:$O455),"--")</f>
        <v>--</v>
      </c>
      <c r="T41" s="1614" t="str">
        <f>IFERROR(AVERAGE('DATA GPC'!M455:$O455),"--")</f>
        <v>--</v>
      </c>
      <c r="U41" s="1614" t="str">
        <f>IFERROR(AVERAGE('DATA GPC'!N455:$O455),"--")</f>
        <v>--</v>
      </c>
      <c r="V41" s="1513"/>
      <c r="W41" s="1546"/>
    </row>
    <row r="42" spans="1:23" s="1527" customFormat="1" ht="13.9">
      <c r="A42" s="1510" t="str">
        <f t="shared" si="0"/>
        <v>n</v>
      </c>
      <c r="B42" s="1510"/>
      <c r="C42" s="146" t="str">
        <f>'DATA GPC'!E35</f>
        <v>--</v>
      </c>
      <c r="D42" s="467"/>
      <c r="E42" s="1364" t="str">
        <f>IFERROR(IF($C42="--","--",'DATA GPC'!J1835),"--")</f>
        <v>--</v>
      </c>
      <c r="F42" s="1364" t="str">
        <f>IFERROR(IF($C42="--","--",'DATA GPC'!K1835),"--")</f>
        <v>--</v>
      </c>
      <c r="G42" s="1364" t="str">
        <f>IFERROR(IF($C42="--","--",'DATA GPC'!L1835),"--")</f>
        <v>--</v>
      </c>
      <c r="H42" s="1364" t="str">
        <f>IFERROR(IF($C42="--","--",'DATA GPC'!M1835),"--")</f>
        <v>--</v>
      </c>
      <c r="I42" s="1364" t="str">
        <f>IFERROR(IF($C42="--","--",'DATA GPC'!N1835),"--")</f>
        <v>--</v>
      </c>
      <c r="J42" s="1364" t="str">
        <f>IFERROR(IF($C42="--","--",'DATA GPC'!O1835),"--")</f>
        <v>--</v>
      </c>
      <c r="K42" s="1364" t="str">
        <f>IFERROR(IF($C42="--","--",'DATA GPC'!P1835),"--")</f>
        <v>--</v>
      </c>
      <c r="L42" s="1364" t="str">
        <f>IFERROR(IF($C42="--","--",'DATA GPC'!Q1835),"--")</f>
        <v>--</v>
      </c>
      <c r="M42" s="1364" t="str">
        <f>IFERROR(IF($C42="--","--",'DATA GPC'!R1835),"--")</f>
        <v>--</v>
      </c>
      <c r="N42" s="1364" t="str">
        <f>IFERROR(IF($C42="--","--",'DATA GPC'!S1835),"--")</f>
        <v>--</v>
      </c>
      <c r="O42" s="1364" t="str">
        <f>IFERROR(IF($C42="--","--",'DATA GPC'!T1835),"--")</f>
        <v>--</v>
      </c>
      <c r="P42" s="1364" t="str">
        <f>IFERROR(IF($C42="--","--",'DATA GPC'!U1835),"--")</f>
        <v>--</v>
      </c>
      <c r="Q42" s="1364" t="str">
        <f>IFERROR(IF($C42="--","--",'DATA GPC'!V1835),"--")</f>
        <v>--</v>
      </c>
      <c r="R42" s="1736" t="str">
        <f>IFERROR(AVERAGE('DATA GPC'!K456:$O456),"--")</f>
        <v>--</v>
      </c>
      <c r="S42" s="1614" t="str">
        <f>IFERROR(AVERAGE('DATA GPC'!L456:$O456),"--")</f>
        <v>--</v>
      </c>
      <c r="T42" s="1614" t="str">
        <f>IFERROR(AVERAGE('DATA GPC'!M456:$O456),"--")</f>
        <v>--</v>
      </c>
      <c r="U42" s="1614" t="str">
        <f>IFERROR(AVERAGE('DATA GPC'!N456:$O456),"--")</f>
        <v>--</v>
      </c>
      <c r="V42" s="1513"/>
      <c r="W42" s="1546"/>
    </row>
    <row r="43" spans="1:23" s="1527" customFormat="1" ht="13.9">
      <c r="A43" s="1510" t="str">
        <f t="shared" si="0"/>
        <v>n</v>
      </c>
      <c r="B43" s="1510"/>
      <c r="C43" s="146" t="str">
        <f>'DATA GPC'!E36</f>
        <v>--</v>
      </c>
      <c r="D43" s="467"/>
      <c r="E43" s="1364" t="str">
        <f>IFERROR(IF($C43="--","--",'DATA GPC'!J1836),"--")</f>
        <v>--</v>
      </c>
      <c r="F43" s="1364" t="str">
        <f>IFERROR(IF($C43="--","--",'DATA GPC'!K1836),"--")</f>
        <v>--</v>
      </c>
      <c r="G43" s="1364" t="str">
        <f>IFERROR(IF($C43="--","--",'DATA GPC'!L1836),"--")</f>
        <v>--</v>
      </c>
      <c r="H43" s="1364" t="str">
        <f>IFERROR(IF($C43="--","--",'DATA GPC'!M1836),"--")</f>
        <v>--</v>
      </c>
      <c r="I43" s="1364" t="str">
        <f>IFERROR(IF($C43="--","--",'DATA GPC'!N1836),"--")</f>
        <v>--</v>
      </c>
      <c r="J43" s="1364" t="str">
        <f>IFERROR(IF($C43="--","--",'DATA GPC'!O1836),"--")</f>
        <v>--</v>
      </c>
      <c r="K43" s="1364" t="str">
        <f>IFERROR(IF($C43="--","--",'DATA GPC'!P1836),"--")</f>
        <v>--</v>
      </c>
      <c r="L43" s="1364" t="str">
        <f>IFERROR(IF($C43="--","--",'DATA GPC'!Q1836),"--")</f>
        <v>--</v>
      </c>
      <c r="M43" s="1364" t="str">
        <f>IFERROR(IF($C43="--","--",'DATA GPC'!R1836),"--")</f>
        <v>--</v>
      </c>
      <c r="N43" s="1364" t="str">
        <f>IFERROR(IF($C43="--","--",'DATA GPC'!S1836),"--")</f>
        <v>--</v>
      </c>
      <c r="O43" s="1364" t="str">
        <f>IFERROR(IF($C43="--","--",'DATA GPC'!T1836),"--")</f>
        <v>--</v>
      </c>
      <c r="P43" s="1364" t="str">
        <f>IFERROR(IF($C43="--","--",'DATA GPC'!U1836),"--")</f>
        <v>--</v>
      </c>
      <c r="Q43" s="1364" t="str">
        <f>IFERROR(IF($C43="--","--",'DATA GPC'!V1836),"--")</f>
        <v>--</v>
      </c>
      <c r="R43" s="1736" t="str">
        <f>IFERROR(AVERAGE('DATA GPC'!K457:$O457),"--")</f>
        <v>--</v>
      </c>
      <c r="S43" s="1614" t="str">
        <f>IFERROR(AVERAGE('DATA GPC'!L457:$O457),"--")</f>
        <v>--</v>
      </c>
      <c r="T43" s="1614" t="str">
        <f>IFERROR(AVERAGE('DATA GPC'!M457:$O457),"--")</f>
        <v>--</v>
      </c>
      <c r="U43" s="1614" t="str">
        <f>IFERROR(AVERAGE('DATA GPC'!N457:$O457),"--")</f>
        <v>--</v>
      </c>
      <c r="V43" s="1513"/>
      <c r="W43" s="1546"/>
    </row>
    <row r="44" spans="1:23" s="1527" customFormat="1" ht="13.9">
      <c r="A44" s="1510" t="str">
        <f t="shared" si="0"/>
        <v>n</v>
      </c>
      <c r="B44" s="1510"/>
      <c r="C44" s="146" t="str">
        <f>'DATA GPC'!E37</f>
        <v>--</v>
      </c>
      <c r="D44" s="467"/>
      <c r="E44" s="1364" t="str">
        <f>IFERROR(IF($C44="--","--",'DATA GPC'!J1837),"--")</f>
        <v>--</v>
      </c>
      <c r="F44" s="1364" t="str">
        <f>IFERROR(IF($C44="--","--",'DATA GPC'!K1837),"--")</f>
        <v>--</v>
      </c>
      <c r="G44" s="1364" t="str">
        <f>IFERROR(IF($C44="--","--",'DATA GPC'!L1837),"--")</f>
        <v>--</v>
      </c>
      <c r="H44" s="1364" t="str">
        <f>IFERROR(IF($C44="--","--",'DATA GPC'!M1837),"--")</f>
        <v>--</v>
      </c>
      <c r="I44" s="1364" t="str">
        <f>IFERROR(IF($C44="--","--",'DATA GPC'!N1837),"--")</f>
        <v>--</v>
      </c>
      <c r="J44" s="1364" t="str">
        <f>IFERROR(IF($C44="--","--",'DATA GPC'!O1837),"--")</f>
        <v>--</v>
      </c>
      <c r="K44" s="1364" t="str">
        <f>IFERROR(IF($C44="--","--",'DATA GPC'!P1837),"--")</f>
        <v>--</v>
      </c>
      <c r="L44" s="1364" t="str">
        <f>IFERROR(IF($C44="--","--",'DATA GPC'!Q1837),"--")</f>
        <v>--</v>
      </c>
      <c r="M44" s="1364" t="str">
        <f>IFERROR(IF($C44="--","--",'DATA GPC'!R1837),"--")</f>
        <v>--</v>
      </c>
      <c r="N44" s="1364" t="str">
        <f>IFERROR(IF($C44="--","--",'DATA GPC'!S1837),"--")</f>
        <v>--</v>
      </c>
      <c r="O44" s="1364" t="str">
        <f>IFERROR(IF($C44="--","--",'DATA GPC'!T1837),"--")</f>
        <v>--</v>
      </c>
      <c r="P44" s="1364" t="str">
        <f>IFERROR(IF($C44="--","--",'DATA GPC'!U1837),"--")</f>
        <v>--</v>
      </c>
      <c r="Q44" s="1364" t="str">
        <f>IFERROR(IF($C44="--","--",'DATA GPC'!V1837),"--")</f>
        <v>--</v>
      </c>
      <c r="R44" s="1736" t="str">
        <f>IFERROR(AVERAGE('DATA GPC'!K458:$O458),"--")</f>
        <v>--</v>
      </c>
      <c r="S44" s="1614" t="str">
        <f>IFERROR(AVERAGE('DATA GPC'!L458:$O458),"--")</f>
        <v>--</v>
      </c>
      <c r="T44" s="1614" t="str">
        <f>IFERROR(AVERAGE('DATA GPC'!M458:$O458),"--")</f>
        <v>--</v>
      </c>
      <c r="U44" s="1614" t="str">
        <f>IFERROR(AVERAGE('DATA GPC'!N458:$O458),"--")</f>
        <v>--</v>
      </c>
      <c r="V44" s="1513"/>
      <c r="W44" s="1546"/>
    </row>
    <row r="45" spans="1:23" s="1527" customFormat="1" ht="13.9">
      <c r="A45" s="1510" t="str">
        <f t="shared" si="0"/>
        <v>n</v>
      </c>
      <c r="B45" s="1510"/>
      <c r="C45" s="146" t="str">
        <f>'DATA GPC'!E38</f>
        <v>--</v>
      </c>
      <c r="D45" s="467"/>
      <c r="E45" s="1364" t="str">
        <f>IFERROR(IF($C45="--","--",'DATA GPC'!J1838),"--")</f>
        <v>--</v>
      </c>
      <c r="F45" s="1364" t="str">
        <f>IFERROR(IF($C45="--","--",'DATA GPC'!K1838),"--")</f>
        <v>--</v>
      </c>
      <c r="G45" s="1364" t="str">
        <f>IFERROR(IF($C45="--","--",'DATA GPC'!L1838),"--")</f>
        <v>--</v>
      </c>
      <c r="H45" s="1364" t="str">
        <f>IFERROR(IF($C45="--","--",'DATA GPC'!M1838),"--")</f>
        <v>--</v>
      </c>
      <c r="I45" s="1364" t="str">
        <f>IFERROR(IF($C45="--","--",'DATA GPC'!N1838),"--")</f>
        <v>--</v>
      </c>
      <c r="J45" s="1364" t="str">
        <f>IFERROR(IF($C45="--","--",'DATA GPC'!O1838),"--")</f>
        <v>--</v>
      </c>
      <c r="K45" s="1364" t="str">
        <f>IFERROR(IF($C45="--","--",'DATA GPC'!P1838),"--")</f>
        <v>--</v>
      </c>
      <c r="L45" s="1364" t="str">
        <f>IFERROR(IF($C45="--","--",'DATA GPC'!Q1838),"--")</f>
        <v>--</v>
      </c>
      <c r="M45" s="1364" t="str">
        <f>IFERROR(IF($C45="--","--",'DATA GPC'!R1838),"--")</f>
        <v>--</v>
      </c>
      <c r="N45" s="1364" t="str">
        <f>IFERROR(IF($C45="--","--",'DATA GPC'!S1838),"--")</f>
        <v>--</v>
      </c>
      <c r="O45" s="1364" t="str">
        <f>IFERROR(IF($C45="--","--",'DATA GPC'!T1838),"--")</f>
        <v>--</v>
      </c>
      <c r="P45" s="1364" t="str">
        <f>IFERROR(IF($C45="--","--",'DATA GPC'!U1838),"--")</f>
        <v>--</v>
      </c>
      <c r="Q45" s="1364" t="str">
        <f>IFERROR(IF($C45="--","--",'DATA GPC'!V1838),"--")</f>
        <v>--</v>
      </c>
      <c r="R45" s="1736" t="str">
        <f>IFERROR(AVERAGE('DATA GPC'!K459:$O459),"--")</f>
        <v>--</v>
      </c>
      <c r="S45" s="1614" t="str">
        <f>IFERROR(AVERAGE('DATA GPC'!L459:$O459),"--")</f>
        <v>--</v>
      </c>
      <c r="T45" s="1614" t="str">
        <f>IFERROR(AVERAGE('DATA GPC'!M459:$O459),"--")</f>
        <v>--</v>
      </c>
      <c r="U45" s="1614" t="str">
        <f>IFERROR(AVERAGE('DATA GPC'!N459:$O459),"--")</f>
        <v>--</v>
      </c>
      <c r="V45" s="1513"/>
      <c r="W45" s="1546"/>
    </row>
    <row r="46" spans="1:23" s="1527" customFormat="1" ht="13.9">
      <c r="A46" s="1510" t="str">
        <f t="shared" si="0"/>
        <v>n</v>
      </c>
      <c r="B46" s="1510"/>
      <c r="C46" s="146" t="str">
        <f>'DATA GPC'!E39</f>
        <v>--</v>
      </c>
      <c r="D46" s="467"/>
      <c r="E46" s="1364" t="str">
        <f>IFERROR(IF($C46="--","--",'DATA GPC'!J1839),"--")</f>
        <v>--</v>
      </c>
      <c r="F46" s="1364" t="str">
        <f>IFERROR(IF($C46="--","--",'DATA GPC'!K1839),"--")</f>
        <v>--</v>
      </c>
      <c r="G46" s="1364" t="str">
        <f>IFERROR(IF($C46="--","--",'DATA GPC'!L1839),"--")</f>
        <v>--</v>
      </c>
      <c r="H46" s="1364" t="str">
        <f>IFERROR(IF($C46="--","--",'DATA GPC'!M1839),"--")</f>
        <v>--</v>
      </c>
      <c r="I46" s="1364" t="str">
        <f>IFERROR(IF($C46="--","--",'DATA GPC'!N1839),"--")</f>
        <v>--</v>
      </c>
      <c r="J46" s="1364" t="str">
        <f>IFERROR(IF($C46="--","--",'DATA GPC'!O1839),"--")</f>
        <v>--</v>
      </c>
      <c r="K46" s="1364" t="str">
        <f>IFERROR(IF($C46="--","--",'DATA GPC'!P1839),"--")</f>
        <v>--</v>
      </c>
      <c r="L46" s="1364" t="str">
        <f>IFERROR(IF($C46="--","--",'DATA GPC'!Q1839),"--")</f>
        <v>--</v>
      </c>
      <c r="M46" s="1364" t="str">
        <f>IFERROR(IF($C46="--","--",'DATA GPC'!R1839),"--")</f>
        <v>--</v>
      </c>
      <c r="N46" s="1364" t="str">
        <f>IFERROR(IF($C46="--","--",'DATA GPC'!S1839),"--")</f>
        <v>--</v>
      </c>
      <c r="O46" s="1364" t="str">
        <f>IFERROR(IF($C46="--","--",'DATA GPC'!T1839),"--")</f>
        <v>--</v>
      </c>
      <c r="P46" s="1364" t="str">
        <f>IFERROR(IF($C46="--","--",'DATA GPC'!U1839),"--")</f>
        <v>--</v>
      </c>
      <c r="Q46" s="1364" t="str">
        <f>IFERROR(IF($C46="--","--",'DATA GPC'!V1839),"--")</f>
        <v>--</v>
      </c>
      <c r="R46" s="1736" t="str">
        <f>IFERROR(AVERAGE('DATA GPC'!K460:$O460),"--")</f>
        <v>--</v>
      </c>
      <c r="S46" s="1614" t="str">
        <f>IFERROR(AVERAGE('DATA GPC'!L460:$O460),"--")</f>
        <v>--</v>
      </c>
      <c r="T46" s="1614" t="str">
        <f>IFERROR(AVERAGE('DATA GPC'!M460:$O460),"--")</f>
        <v>--</v>
      </c>
      <c r="U46" s="1614" t="str">
        <f>IFERROR(AVERAGE('DATA GPC'!N460:$O460),"--")</f>
        <v>--</v>
      </c>
      <c r="V46" s="1513"/>
      <c r="W46" s="1546"/>
    </row>
    <row r="47" spans="1:23" s="1527" customFormat="1" ht="13.9">
      <c r="A47" s="1510" t="str">
        <f t="shared" si="0"/>
        <v>n</v>
      </c>
      <c r="B47" s="1510"/>
      <c r="C47" s="146" t="str">
        <f>'DATA GPC'!E40</f>
        <v>--</v>
      </c>
      <c r="D47" s="467"/>
      <c r="E47" s="1364" t="str">
        <f>IFERROR(IF($C47="--","--",'DATA GPC'!J1840),"--")</f>
        <v>--</v>
      </c>
      <c r="F47" s="1364" t="str">
        <f>IFERROR(IF($C47="--","--",'DATA GPC'!K1840),"--")</f>
        <v>--</v>
      </c>
      <c r="G47" s="1364" t="str">
        <f>IFERROR(IF($C47="--","--",'DATA GPC'!L1840),"--")</f>
        <v>--</v>
      </c>
      <c r="H47" s="1364" t="str">
        <f>IFERROR(IF($C47="--","--",'DATA GPC'!M1840),"--")</f>
        <v>--</v>
      </c>
      <c r="I47" s="1364" t="str">
        <f>IFERROR(IF($C47="--","--",'DATA GPC'!N1840),"--")</f>
        <v>--</v>
      </c>
      <c r="J47" s="1364" t="str">
        <f>IFERROR(IF($C47="--","--",'DATA GPC'!O1840),"--")</f>
        <v>--</v>
      </c>
      <c r="K47" s="1364" t="str">
        <f>IFERROR(IF($C47="--","--",'DATA GPC'!P1840),"--")</f>
        <v>--</v>
      </c>
      <c r="L47" s="1364" t="str">
        <f>IFERROR(IF($C47="--","--",'DATA GPC'!Q1840),"--")</f>
        <v>--</v>
      </c>
      <c r="M47" s="1364" t="str">
        <f>IFERROR(IF($C47="--","--",'DATA GPC'!R1840),"--")</f>
        <v>--</v>
      </c>
      <c r="N47" s="1364" t="str">
        <f>IFERROR(IF($C47="--","--",'DATA GPC'!S1840),"--")</f>
        <v>--</v>
      </c>
      <c r="O47" s="1364" t="str">
        <f>IFERROR(IF($C47="--","--",'DATA GPC'!T1840),"--")</f>
        <v>--</v>
      </c>
      <c r="P47" s="1364" t="str">
        <f>IFERROR(IF($C47="--","--",'DATA GPC'!U1840),"--")</f>
        <v>--</v>
      </c>
      <c r="Q47" s="1364" t="str">
        <f>IFERROR(IF($C47="--","--",'DATA GPC'!V1840),"--")</f>
        <v>--</v>
      </c>
      <c r="R47" s="1736" t="str">
        <f>IFERROR(AVERAGE('DATA GPC'!K461:$O461),"--")</f>
        <v>--</v>
      </c>
      <c r="S47" s="1614" t="str">
        <f>IFERROR(AVERAGE('DATA GPC'!L461:$O461),"--")</f>
        <v>--</v>
      </c>
      <c r="T47" s="1614" t="str">
        <f>IFERROR(AVERAGE('DATA GPC'!M461:$O461),"--")</f>
        <v>--</v>
      </c>
      <c r="U47" s="1614" t="str">
        <f>IFERROR(AVERAGE('DATA GPC'!N461:$O461),"--")</f>
        <v>--</v>
      </c>
      <c r="V47" s="1513"/>
      <c r="W47" s="1546"/>
    </row>
    <row r="48" spans="1:23" s="1527" customFormat="1" ht="13.9">
      <c r="A48" s="1510" t="str">
        <f t="shared" si="0"/>
        <v>n</v>
      </c>
      <c r="B48" s="1510"/>
      <c r="C48" s="146" t="str">
        <f>'DATA GPC'!E41</f>
        <v>--</v>
      </c>
      <c r="D48" s="467"/>
      <c r="E48" s="1364" t="str">
        <f>IFERROR(IF($C48="--","--",'DATA GPC'!J1841),"--")</f>
        <v>--</v>
      </c>
      <c r="F48" s="1364" t="str">
        <f>IFERROR(IF($C48="--","--",'DATA GPC'!K1841),"--")</f>
        <v>--</v>
      </c>
      <c r="G48" s="1364" t="str">
        <f>IFERROR(IF($C48="--","--",'DATA GPC'!L1841),"--")</f>
        <v>--</v>
      </c>
      <c r="H48" s="1364" t="str">
        <f>IFERROR(IF($C48="--","--",'DATA GPC'!M1841),"--")</f>
        <v>--</v>
      </c>
      <c r="I48" s="1364" t="str">
        <f>IFERROR(IF($C48="--","--",'DATA GPC'!N1841),"--")</f>
        <v>--</v>
      </c>
      <c r="J48" s="1364" t="str">
        <f>IFERROR(IF($C48="--","--",'DATA GPC'!O1841),"--")</f>
        <v>--</v>
      </c>
      <c r="K48" s="1364" t="str">
        <f>IFERROR(IF($C48="--","--",'DATA GPC'!P1841),"--")</f>
        <v>--</v>
      </c>
      <c r="L48" s="1364" t="str">
        <f>IFERROR(IF($C48="--","--",'DATA GPC'!Q1841),"--")</f>
        <v>--</v>
      </c>
      <c r="M48" s="1364" t="str">
        <f>IFERROR(IF($C48="--","--",'DATA GPC'!R1841),"--")</f>
        <v>--</v>
      </c>
      <c r="N48" s="1364" t="str">
        <f>IFERROR(IF($C48="--","--",'DATA GPC'!S1841),"--")</f>
        <v>--</v>
      </c>
      <c r="O48" s="1364" t="str">
        <f>IFERROR(IF($C48="--","--",'DATA GPC'!T1841),"--")</f>
        <v>--</v>
      </c>
      <c r="P48" s="1364" t="str">
        <f>IFERROR(IF($C48="--","--",'DATA GPC'!U1841),"--")</f>
        <v>--</v>
      </c>
      <c r="Q48" s="1364" t="str">
        <f>IFERROR(IF($C48="--","--",'DATA GPC'!V1841),"--")</f>
        <v>--</v>
      </c>
      <c r="R48" s="1736" t="str">
        <f>IFERROR(AVERAGE('DATA GPC'!K462:$O462),"--")</f>
        <v>--</v>
      </c>
      <c r="S48" s="1614" t="str">
        <f>IFERROR(AVERAGE('DATA GPC'!L462:$O462),"--")</f>
        <v>--</v>
      </c>
      <c r="T48" s="1614" t="str">
        <f>IFERROR(AVERAGE('DATA GPC'!M462:$O462),"--")</f>
        <v>--</v>
      </c>
      <c r="U48" s="1614" t="str">
        <f>IFERROR(AVERAGE('DATA GPC'!N462:$O462),"--")</f>
        <v>--</v>
      </c>
      <c r="V48" s="1513"/>
      <c r="W48" s="1546"/>
    </row>
    <row r="49" spans="1:23" s="1527" customFormat="1" ht="13.9">
      <c r="A49" s="1510" t="str">
        <f t="shared" si="0"/>
        <v>n</v>
      </c>
      <c r="B49" s="1510"/>
      <c r="C49" s="146" t="str">
        <f>'DATA GPC'!E42</f>
        <v>--</v>
      </c>
      <c r="D49" s="467"/>
      <c r="E49" s="1364" t="str">
        <f>IFERROR(IF($C49="--","--",'DATA GPC'!J1842),"--")</f>
        <v>--</v>
      </c>
      <c r="F49" s="1364" t="str">
        <f>IFERROR(IF($C49="--","--",'DATA GPC'!K1842),"--")</f>
        <v>--</v>
      </c>
      <c r="G49" s="1364" t="str">
        <f>IFERROR(IF($C49="--","--",'DATA GPC'!L1842),"--")</f>
        <v>--</v>
      </c>
      <c r="H49" s="1364" t="str">
        <f>IFERROR(IF($C49="--","--",'DATA GPC'!M1842),"--")</f>
        <v>--</v>
      </c>
      <c r="I49" s="1364" t="str">
        <f>IFERROR(IF($C49="--","--",'DATA GPC'!N1842),"--")</f>
        <v>--</v>
      </c>
      <c r="J49" s="1364" t="str">
        <f>IFERROR(IF($C49="--","--",'DATA GPC'!O1842),"--")</f>
        <v>--</v>
      </c>
      <c r="K49" s="1364" t="str">
        <f>IFERROR(IF($C49="--","--",'DATA GPC'!P1842),"--")</f>
        <v>--</v>
      </c>
      <c r="L49" s="1364" t="str">
        <f>IFERROR(IF($C49="--","--",'DATA GPC'!Q1842),"--")</f>
        <v>--</v>
      </c>
      <c r="M49" s="1364" t="str">
        <f>IFERROR(IF($C49="--","--",'DATA GPC'!R1842),"--")</f>
        <v>--</v>
      </c>
      <c r="N49" s="1364" t="str">
        <f>IFERROR(IF($C49="--","--",'DATA GPC'!S1842),"--")</f>
        <v>--</v>
      </c>
      <c r="O49" s="1364" t="str">
        <f>IFERROR(IF($C49="--","--",'DATA GPC'!T1842),"--")</f>
        <v>--</v>
      </c>
      <c r="P49" s="1364" t="str">
        <f>IFERROR(IF($C49="--","--",'DATA GPC'!U1842),"--")</f>
        <v>--</v>
      </c>
      <c r="Q49" s="1364" t="str">
        <f>IFERROR(IF($C49="--","--",'DATA GPC'!V1842),"--")</f>
        <v>--</v>
      </c>
      <c r="R49" s="1736" t="str">
        <f>IFERROR(AVERAGE('DATA GPC'!K463:$O463),"--")</f>
        <v>--</v>
      </c>
      <c r="S49" s="1614" t="str">
        <f>IFERROR(AVERAGE('DATA GPC'!L463:$O463),"--")</f>
        <v>--</v>
      </c>
      <c r="T49" s="1614" t="str">
        <f>IFERROR(AVERAGE('DATA GPC'!M463:$O463),"--")</f>
        <v>--</v>
      </c>
      <c r="U49" s="1614" t="str">
        <f>IFERROR(AVERAGE('DATA GPC'!N463:$O463),"--")</f>
        <v>--</v>
      </c>
      <c r="V49" s="1513"/>
      <c r="W49" s="1546"/>
    </row>
    <row r="50" spans="1:23" ht="13.9">
      <c r="A50" s="1510" t="str">
        <f t="shared" si="0"/>
        <v>n</v>
      </c>
      <c r="B50" s="1510"/>
      <c r="C50" s="146" t="str">
        <f>'DATA GPC'!E43</f>
        <v>--</v>
      </c>
      <c r="D50" s="467"/>
      <c r="E50" s="684" t="str">
        <f>IFERROR(IF($C50="--","--",'DATA GPC'!J1843),"--")</f>
        <v>--</v>
      </c>
      <c r="F50" s="684" t="str">
        <f>IFERROR(IF($C50="--","--",'DATA GPC'!K1843),"--")</f>
        <v>--</v>
      </c>
      <c r="G50" s="684" t="str">
        <f>IFERROR(IF($C50="--","--",'DATA GPC'!L1843),"--")</f>
        <v>--</v>
      </c>
      <c r="H50" s="684" t="str">
        <f>IFERROR(IF($C50="--","--",'DATA GPC'!M1843),"--")</f>
        <v>--</v>
      </c>
      <c r="I50" s="684" t="str">
        <f>IFERROR(IF($C50="--","--",'DATA GPC'!N1843),"--")</f>
        <v>--</v>
      </c>
      <c r="J50" s="684" t="str">
        <f>IFERROR(IF($C50="--","--",'DATA GPC'!O1843),"--")</f>
        <v>--</v>
      </c>
      <c r="K50" s="684" t="str">
        <f>IFERROR(IF($C50="--","--",'DATA GPC'!P1843),"--")</f>
        <v>--</v>
      </c>
      <c r="L50" s="684" t="str">
        <f>IFERROR(IF($C50="--","--",'DATA GPC'!Q1843),"--")</f>
        <v>--</v>
      </c>
      <c r="M50" s="684" t="str">
        <f>IFERROR(IF($C50="--","--",'DATA GPC'!R1843),"--")</f>
        <v>--</v>
      </c>
      <c r="N50" s="684" t="str">
        <f>IFERROR(IF($C50="--","--",'DATA GPC'!S1843),"--")</f>
        <v>--</v>
      </c>
      <c r="O50" s="684" t="str">
        <f>IFERROR(IF($C50="--","--",'DATA GPC'!T1843),"--")</f>
        <v>--</v>
      </c>
      <c r="P50" s="684" t="str">
        <f>IFERROR(IF($C50="--","--",'DATA GPC'!U1843),"--")</f>
        <v>--</v>
      </c>
      <c r="Q50" s="890" t="str">
        <f>IFERROR(IF($C50="--","--",'DATA GPC'!V1843),"--")</f>
        <v>--</v>
      </c>
      <c r="R50" s="1337" t="str">
        <f>IFERROR(AVERAGE('DATA GPC'!K464:$O464),"--")</f>
        <v>--</v>
      </c>
      <c r="S50" s="1556" t="str">
        <f>IFERROR(AVERAGE('DATA GPC'!L464:$O464),"--")</f>
        <v>--</v>
      </c>
      <c r="T50" s="1556" t="str">
        <f>IFERROR(AVERAGE('DATA GPC'!M464:$O464),"--")</f>
        <v>--</v>
      </c>
      <c r="U50" s="1556" t="str">
        <f>IFERROR(AVERAGE('DATA GPC'!N464:$O464),"--")</f>
        <v>--</v>
      </c>
      <c r="V50" s="1513"/>
      <c r="W50" s="1546"/>
    </row>
    <row r="51" spans="1:23" ht="12" customHeight="1">
      <c r="A51" s="1510"/>
      <c r="B51" s="1510"/>
      <c r="C51" s="660"/>
      <c r="D51" s="467"/>
      <c r="E51" s="1520"/>
      <c r="F51" s="1520"/>
      <c r="G51" s="1520"/>
      <c r="H51" s="1520"/>
      <c r="I51" s="1520"/>
      <c r="J51" s="1520"/>
      <c r="K51" s="1520"/>
      <c r="L51" s="1520"/>
      <c r="M51" s="1520"/>
      <c r="N51" s="1520"/>
      <c r="O51" s="1520"/>
      <c r="P51" s="1520"/>
      <c r="Q51" s="1520"/>
      <c r="R51" s="1338"/>
      <c r="S51" s="1520"/>
      <c r="T51" s="1520"/>
      <c r="U51" s="1520"/>
      <c r="V51" s="1513"/>
      <c r="W51" s="1510"/>
    </row>
    <row r="52" spans="1:23" ht="12" customHeight="1">
      <c r="A52" s="1510"/>
      <c r="B52" s="1510"/>
      <c r="C52" s="1061" t="s">
        <v>1776</v>
      </c>
      <c r="D52" s="467"/>
      <c r="E52" s="1364" t="str">
        <f t="shared" ref="E52:U52" si="1">IFERROR(AVERAGE(E27:E50),"n/a")</f>
        <v>n/a</v>
      </c>
      <c r="F52" s="1364" t="str">
        <f t="shared" si="1"/>
        <v>n/a</v>
      </c>
      <c r="G52" s="1364" t="str">
        <f t="shared" si="1"/>
        <v>n/a</v>
      </c>
      <c r="H52" s="1364" t="str">
        <f t="shared" si="1"/>
        <v>n/a</v>
      </c>
      <c r="I52" s="1364" t="str">
        <f t="shared" si="1"/>
        <v>n/a</v>
      </c>
      <c r="J52" s="1364" t="str">
        <f t="shared" si="1"/>
        <v>n/a</v>
      </c>
      <c r="K52" s="1364" t="str">
        <f t="shared" si="1"/>
        <v>n/a</v>
      </c>
      <c r="L52" s="1364" t="str">
        <f t="shared" si="1"/>
        <v>n/a</v>
      </c>
      <c r="M52" s="1364" t="str">
        <f t="shared" si="1"/>
        <v>n/a</v>
      </c>
      <c r="N52" s="1364" t="str">
        <f t="shared" si="1"/>
        <v>n/a</v>
      </c>
      <c r="O52" s="1364" t="str">
        <f t="shared" si="1"/>
        <v>n/a</v>
      </c>
      <c r="P52" s="1364" t="str">
        <f t="shared" si="1"/>
        <v>n/a</v>
      </c>
      <c r="Q52" s="1364" t="str">
        <f t="shared" si="1"/>
        <v>n/a</v>
      </c>
      <c r="R52" s="1736" t="str">
        <f t="shared" si="1"/>
        <v>n/a</v>
      </c>
      <c r="S52" s="1364" t="str">
        <f t="shared" si="1"/>
        <v>n/a</v>
      </c>
      <c r="T52" s="1364" t="str">
        <f t="shared" si="1"/>
        <v>n/a</v>
      </c>
      <c r="U52" s="1364" t="str">
        <f t="shared" si="1"/>
        <v>n/a</v>
      </c>
      <c r="V52" s="1513"/>
      <c r="W52" s="1510"/>
    </row>
    <row r="53" spans="1:23" ht="12" customHeight="1">
      <c r="A53" s="1510"/>
      <c r="B53" s="1510"/>
      <c r="C53" s="1061" t="s">
        <v>1777</v>
      </c>
      <c r="D53" s="467"/>
      <c r="E53" s="1364" t="str">
        <f t="shared" ref="E53:U53" si="2">IFERROR(MEDIAN(E27:E50),"n/a")</f>
        <v>n/a</v>
      </c>
      <c r="F53" s="1364" t="str">
        <f t="shared" si="2"/>
        <v>n/a</v>
      </c>
      <c r="G53" s="1364" t="str">
        <f t="shared" si="2"/>
        <v>n/a</v>
      </c>
      <c r="H53" s="1364" t="str">
        <f t="shared" si="2"/>
        <v>n/a</v>
      </c>
      <c r="I53" s="1364" t="str">
        <f t="shared" si="2"/>
        <v>n/a</v>
      </c>
      <c r="J53" s="1364" t="str">
        <f t="shared" si="2"/>
        <v>n/a</v>
      </c>
      <c r="K53" s="1364" t="str">
        <f t="shared" si="2"/>
        <v>n/a</v>
      </c>
      <c r="L53" s="1364" t="str">
        <f t="shared" si="2"/>
        <v>n/a</v>
      </c>
      <c r="M53" s="1364" t="str">
        <f t="shared" si="2"/>
        <v>n/a</v>
      </c>
      <c r="N53" s="1364" t="str">
        <f t="shared" si="2"/>
        <v>n/a</v>
      </c>
      <c r="O53" s="1364" t="str">
        <f t="shared" si="2"/>
        <v>n/a</v>
      </c>
      <c r="P53" s="1364" t="str">
        <f t="shared" si="2"/>
        <v>n/a</v>
      </c>
      <c r="Q53" s="1364" t="str">
        <f t="shared" si="2"/>
        <v>n/a</v>
      </c>
      <c r="R53" s="1738" t="str">
        <f t="shared" si="2"/>
        <v>n/a</v>
      </c>
      <c r="S53" s="1364" t="str">
        <f t="shared" si="2"/>
        <v>n/a</v>
      </c>
      <c r="T53" s="1364" t="str">
        <f t="shared" si="2"/>
        <v>n/a</v>
      </c>
      <c r="U53" s="1364" t="str">
        <f t="shared" si="2"/>
        <v>n/a</v>
      </c>
      <c r="V53" s="1513"/>
      <c r="W53" s="1510"/>
    </row>
    <row r="54" spans="1:23" ht="12" customHeight="1">
      <c r="A54" s="1510"/>
      <c r="B54" s="1510"/>
      <c r="C54" s="1237"/>
      <c r="D54" s="1335"/>
      <c r="E54" s="1336">
        <v>1</v>
      </c>
      <c r="F54" s="1336"/>
      <c r="G54" s="1336"/>
      <c r="H54" s="1335"/>
      <c r="I54" s="1335"/>
      <c r="J54" s="1335"/>
      <c r="K54" s="1335"/>
      <c r="L54" s="1335"/>
      <c r="M54" s="1335"/>
      <c r="N54" s="1335"/>
      <c r="O54" s="1335"/>
      <c r="P54" s="1335"/>
      <c r="Q54" s="1335"/>
      <c r="R54" s="1331"/>
      <c r="S54" s="1331"/>
      <c r="T54" s="1331"/>
      <c r="U54" s="1331"/>
      <c r="V54" s="1520"/>
      <c r="W54" s="1510"/>
    </row>
    <row r="55" spans="1:23" s="1525" customFormat="1" ht="12" customHeight="1">
      <c r="A55" s="1510"/>
      <c r="B55" s="1510"/>
      <c r="C55" s="1577" t="s">
        <v>1778</v>
      </c>
      <c r="D55" s="1558"/>
      <c r="E55" s="1593"/>
      <c r="F55" s="1593"/>
      <c r="G55" s="1593"/>
      <c r="H55" s="1558"/>
      <c r="I55" s="1558"/>
      <c r="J55" s="1558"/>
      <c r="K55" s="1558"/>
      <c r="L55" s="1558"/>
      <c r="M55" s="1558"/>
      <c r="N55" s="1558"/>
      <c r="O55" s="1558"/>
      <c r="P55" s="1558"/>
      <c r="Q55" s="1558"/>
      <c r="R55" s="1592"/>
      <c r="S55" s="1592"/>
      <c r="T55" s="1592"/>
      <c r="U55" s="1592"/>
      <c r="V55" s="1520"/>
      <c r="W55" s="1510"/>
    </row>
    <row r="56" spans="1:23" ht="12" customHeight="1">
      <c r="A56" s="1510"/>
      <c r="B56" s="1510"/>
      <c r="C56" s="1577" t="s">
        <v>1402</v>
      </c>
      <c r="D56" s="467"/>
      <c r="E56" s="686"/>
      <c r="F56" s="686"/>
      <c r="G56" s="686"/>
      <c r="H56" s="467"/>
      <c r="I56" s="467"/>
      <c r="J56" s="467"/>
      <c r="K56" s="467"/>
      <c r="L56" s="467"/>
      <c r="M56" s="467"/>
      <c r="N56" s="467"/>
      <c r="O56" s="467"/>
      <c r="P56" s="467"/>
      <c r="Q56" s="467"/>
      <c r="R56" s="1520"/>
      <c r="S56" s="1520"/>
      <c r="T56" s="1520"/>
      <c r="U56" s="1520"/>
      <c r="V56" s="1520"/>
      <c r="W56" s="1510"/>
    </row>
    <row r="57" spans="1:23" s="1525" customFormat="1" ht="12" customHeight="1">
      <c r="A57" s="1510"/>
      <c r="B57" s="1510"/>
      <c r="C57" s="1577"/>
      <c r="D57" s="467"/>
      <c r="E57" s="686"/>
      <c r="F57" s="686"/>
      <c r="G57" s="686"/>
      <c r="H57" s="467"/>
      <c r="I57" s="467"/>
      <c r="J57" s="467"/>
      <c r="K57" s="467"/>
      <c r="L57" s="467"/>
      <c r="M57" s="467"/>
      <c r="N57" s="467"/>
      <c r="O57" s="467"/>
      <c r="P57" s="467"/>
      <c r="Q57" s="467"/>
      <c r="R57" s="1520"/>
      <c r="S57" s="1520"/>
      <c r="T57" s="1520"/>
      <c r="U57" s="1520"/>
      <c r="V57" s="1520"/>
      <c r="W57" s="1510"/>
    </row>
    <row r="58" spans="1:23" ht="12" customHeight="1">
      <c r="A58" s="1510"/>
      <c r="B58" s="1510"/>
      <c r="C58" s="1577" t="str">
        <f ca="1">FootnoteDRAFT</f>
        <v>Run date: 05-August-2018  02:34 PM.   DRAFT document. All data subject to change upon completion of additional analysis.</v>
      </c>
      <c r="D58" s="373"/>
      <c r="E58" s="694"/>
      <c r="F58" s="694"/>
      <c r="G58" s="694"/>
      <c r="H58" s="373"/>
      <c r="I58" s="373"/>
      <c r="J58" s="373"/>
      <c r="K58" s="373"/>
      <c r="L58" s="373"/>
      <c r="M58" s="373"/>
      <c r="N58" s="373"/>
      <c r="O58" s="373"/>
      <c r="P58" s="373"/>
      <c r="Q58" s="373"/>
      <c r="R58" s="373"/>
      <c r="S58" s="373"/>
      <c r="T58" s="373"/>
      <c r="U58" s="373"/>
      <c r="V58" s="373"/>
      <c r="W58" s="1510"/>
    </row>
    <row r="59" spans="1:23" ht="12" customHeight="1">
      <c r="A59" s="1510"/>
      <c r="B59" s="1510"/>
      <c r="C59" s="1552"/>
      <c r="D59" s="1510"/>
      <c r="E59" s="701"/>
      <c r="F59" s="701"/>
      <c r="G59" s="701"/>
      <c r="H59" s="1510"/>
      <c r="I59" s="1510"/>
      <c r="J59" s="1510"/>
      <c r="K59" s="1510"/>
      <c r="L59" s="1510"/>
      <c r="M59" s="1510"/>
      <c r="N59" s="1510"/>
      <c r="O59" s="1510"/>
      <c r="P59" s="1510"/>
      <c r="Q59" s="1510"/>
      <c r="R59" s="1510"/>
      <c r="S59" s="1510"/>
      <c r="T59" s="1510"/>
      <c r="U59" s="1510"/>
      <c r="V59" s="1546" t="s">
        <v>1779</v>
      </c>
      <c r="W59" s="1510"/>
    </row>
    <row r="60" spans="1:23" ht="12" customHeight="1">
      <c r="A60" s="1510"/>
      <c r="B60" s="1510"/>
      <c r="C60" s="1552"/>
      <c r="D60" s="1510"/>
      <c r="E60" s="701"/>
      <c r="F60" s="701"/>
      <c r="G60" s="701"/>
      <c r="H60" s="1510"/>
      <c r="I60" s="1510"/>
      <c r="J60" s="1510"/>
      <c r="K60" s="1510"/>
      <c r="L60" s="1510"/>
      <c r="M60" s="1510"/>
      <c r="N60" s="1510"/>
      <c r="O60" s="1510"/>
      <c r="P60" s="1510"/>
      <c r="Q60" s="1510"/>
      <c r="R60" s="1510"/>
      <c r="S60" s="1510"/>
      <c r="T60" s="1510"/>
      <c r="U60" s="1510"/>
      <c r="V60" s="477"/>
      <c r="W60" s="1510"/>
    </row>
    <row r="61" spans="1:23" ht="12" customHeight="1">
      <c r="A61" s="1510"/>
      <c r="B61" s="1510"/>
      <c r="C61" s="1525"/>
      <c r="D61" s="1525"/>
      <c r="E61" s="1578"/>
      <c r="F61" s="1578"/>
      <c r="G61" s="1578"/>
      <c r="H61" s="1525"/>
      <c r="I61" s="1525"/>
      <c r="J61" s="1525"/>
      <c r="K61" s="1525"/>
      <c r="L61" s="1525"/>
      <c r="M61" s="1525"/>
      <c r="N61" s="1525"/>
      <c r="O61" s="1525"/>
      <c r="P61" s="1525"/>
      <c r="Q61" s="1525"/>
      <c r="R61" s="1525"/>
      <c r="S61" s="1525"/>
      <c r="T61" s="1525"/>
      <c r="U61" s="1525"/>
      <c r="V61" s="1525"/>
      <c r="W61" s="1525"/>
    </row>
    <row r="62" spans="1:23" ht="12" customHeight="1">
      <c r="A62" s="1510"/>
      <c r="B62" s="1510"/>
      <c r="C62" s="1525" t="s">
        <v>1780</v>
      </c>
      <c r="D62" s="1525"/>
      <c r="E62" s="1578" t="s">
        <v>1781</v>
      </c>
      <c r="F62" s="1578"/>
      <c r="G62" s="1578"/>
      <c r="H62" s="1525"/>
      <c r="I62" s="1525"/>
      <c r="J62" s="1525"/>
      <c r="K62" s="1525"/>
      <c r="L62" s="1525"/>
      <c r="M62" s="1525"/>
      <c r="N62" s="1525"/>
      <c r="O62" s="1525"/>
      <c r="P62" s="1525"/>
      <c r="Q62" s="1525"/>
      <c r="R62" s="1525"/>
      <c r="S62" s="1525"/>
      <c r="T62" s="1525"/>
      <c r="U62" s="1525"/>
      <c r="V62" s="1525"/>
      <c r="W62" s="1525"/>
    </row>
    <row r="63" spans="1:23" ht="12" customHeight="1">
      <c r="A63" s="1510"/>
      <c r="B63" s="1510"/>
      <c r="C63" s="362" t="s">
        <v>1782</v>
      </c>
      <c r="D63" s="1525"/>
      <c r="E63" s="671">
        <v>1</v>
      </c>
      <c r="F63" s="671"/>
      <c r="G63" s="671"/>
      <c r="H63" s="1525"/>
      <c r="I63" s="1525"/>
      <c r="J63" s="1525"/>
      <c r="K63" s="1525"/>
      <c r="L63" s="1525"/>
      <c r="M63" s="1525"/>
      <c r="N63" s="1525"/>
      <c r="O63" s="1525"/>
      <c r="P63" s="1525"/>
      <c r="Q63" s="1525"/>
      <c r="R63" s="1525"/>
      <c r="S63" s="1525"/>
      <c r="T63" s="1525"/>
      <c r="U63" s="1525"/>
      <c r="V63" s="1525"/>
      <c r="W63" s="1525"/>
    </row>
    <row r="64" spans="1:23" ht="12" customHeight="1">
      <c r="A64" s="1510"/>
      <c r="B64" s="1510"/>
      <c r="C64" s="362" t="str">
        <f t="shared" ref="C64:C76" si="3">C27</f>
        <v>--</v>
      </c>
      <c r="D64" s="1525"/>
      <c r="E64" s="1578"/>
      <c r="F64" s="1578"/>
      <c r="G64" s="1578"/>
      <c r="H64" s="1525"/>
      <c r="I64" s="1525"/>
      <c r="J64" s="1525"/>
      <c r="K64" s="1525"/>
      <c r="L64" s="1525"/>
      <c r="M64" s="1525"/>
      <c r="N64" s="1525"/>
      <c r="O64" s="1525"/>
      <c r="P64" s="1525"/>
      <c r="Q64" s="1525"/>
      <c r="R64" s="1525"/>
      <c r="S64" s="1525"/>
      <c r="T64" s="1525"/>
      <c r="U64" s="1525"/>
      <c r="V64" s="1525"/>
      <c r="W64" s="1525"/>
    </row>
    <row r="65" spans="1:7" ht="12" customHeight="1">
      <c r="A65" s="1510"/>
      <c r="B65" s="1510"/>
      <c r="C65" s="362" t="str">
        <f t="shared" si="3"/>
        <v>--</v>
      </c>
      <c r="D65" s="1525"/>
      <c r="E65" s="1578"/>
      <c r="F65" s="1578"/>
      <c r="G65" s="1578"/>
    </row>
    <row r="66" spans="1:7" ht="12" customHeight="1">
      <c r="A66" s="1510"/>
      <c r="B66" s="1510"/>
      <c r="C66" s="362" t="str">
        <f t="shared" si="3"/>
        <v>--</v>
      </c>
      <c r="D66" s="1525"/>
      <c r="E66" s="1578"/>
      <c r="F66" s="1578"/>
      <c r="G66" s="1578"/>
    </row>
    <row r="67" spans="1:7" ht="12" customHeight="1">
      <c r="A67" s="1510"/>
      <c r="B67" s="1510"/>
      <c r="C67" s="362" t="str">
        <f t="shared" si="3"/>
        <v>--</v>
      </c>
      <c r="D67" s="1525"/>
      <c r="E67" s="1578"/>
      <c r="F67" s="1578"/>
      <c r="G67" s="1578"/>
    </row>
    <row r="68" spans="1:7" ht="12" customHeight="1">
      <c r="A68" s="1510"/>
      <c r="B68" s="1510"/>
      <c r="C68" s="362" t="str">
        <f t="shared" si="3"/>
        <v>--</v>
      </c>
      <c r="D68" s="1525"/>
      <c r="E68" s="1578"/>
      <c r="F68" s="1578"/>
      <c r="G68" s="1578"/>
    </row>
    <row r="69" spans="1:7" ht="12" customHeight="1">
      <c r="A69" s="1510"/>
      <c r="B69" s="1510"/>
      <c r="C69" s="362" t="str">
        <f t="shared" si="3"/>
        <v>--</v>
      </c>
      <c r="D69" s="1525"/>
      <c r="E69" s="1578"/>
      <c r="F69" s="1578"/>
      <c r="G69" s="1578"/>
    </row>
    <row r="70" spans="1:7" ht="12" customHeight="1">
      <c r="A70" s="1510"/>
      <c r="B70" s="1510"/>
      <c r="C70" s="362" t="str">
        <f t="shared" si="3"/>
        <v>--</v>
      </c>
      <c r="D70" s="1525"/>
      <c r="E70" s="1578"/>
      <c r="F70" s="1578"/>
      <c r="G70" s="1578"/>
    </row>
    <row r="71" spans="1:7" ht="12" customHeight="1">
      <c r="A71" s="1510"/>
      <c r="B71" s="1510"/>
      <c r="C71" s="362" t="str">
        <f t="shared" si="3"/>
        <v>--</v>
      </c>
      <c r="D71" s="1525"/>
      <c r="E71" s="1578"/>
      <c r="F71" s="1578"/>
      <c r="G71" s="1578"/>
    </row>
    <row r="72" spans="1:7" ht="12" customHeight="1">
      <c r="A72" s="1510"/>
      <c r="B72" s="1510"/>
      <c r="C72" s="362" t="str">
        <f t="shared" si="3"/>
        <v>--</v>
      </c>
      <c r="D72" s="1525"/>
      <c r="E72" s="1578"/>
      <c r="F72" s="1578"/>
      <c r="G72" s="1578"/>
    </row>
    <row r="73" spans="1:7" ht="12" customHeight="1">
      <c r="A73" s="1510"/>
      <c r="B73" s="1510"/>
      <c r="C73" s="362" t="str">
        <f t="shared" si="3"/>
        <v>--</v>
      </c>
      <c r="D73" s="1525"/>
      <c r="E73" s="1578"/>
      <c r="F73" s="1578"/>
      <c r="G73" s="1578"/>
    </row>
    <row r="74" spans="1:7" ht="12" customHeight="1">
      <c r="A74" s="1510"/>
      <c r="B74" s="1510"/>
      <c r="C74" s="362" t="str">
        <f t="shared" si="3"/>
        <v>--</v>
      </c>
      <c r="D74" s="1525"/>
      <c r="E74" s="1505"/>
      <c r="F74" s="1505"/>
      <c r="G74" s="1505"/>
    </row>
    <row r="75" spans="1:7" ht="12" customHeight="1">
      <c r="A75" s="1510"/>
      <c r="B75" s="1510"/>
      <c r="C75" s="362" t="str">
        <f t="shared" si="3"/>
        <v>--</v>
      </c>
      <c r="D75" s="1525"/>
      <c r="E75" s="1505"/>
      <c r="F75" s="1505"/>
      <c r="G75" s="1505"/>
    </row>
    <row r="76" spans="1:7" ht="12" customHeight="1">
      <c r="A76" s="1510"/>
      <c r="B76" s="1510"/>
      <c r="C76" s="362" t="str">
        <f t="shared" si="3"/>
        <v>--</v>
      </c>
      <c r="D76" s="1525"/>
      <c r="E76" s="1578"/>
      <c r="F76" s="1578"/>
      <c r="G76" s="1578"/>
    </row>
    <row r="77" spans="1:7" s="1525" customFormat="1" ht="12" customHeight="1">
      <c r="A77" s="1510"/>
      <c r="B77" s="1510"/>
      <c r="C77" s="362" t="str">
        <f t="shared" ref="C77:C87" si="4">C40</f>
        <v>--</v>
      </c>
      <c r="E77" s="1578"/>
      <c r="F77" s="1578"/>
      <c r="G77" s="1578"/>
    </row>
    <row r="78" spans="1:7" s="1525" customFormat="1" ht="12" customHeight="1">
      <c r="A78" s="1510"/>
      <c r="B78" s="1510"/>
      <c r="C78" s="362" t="str">
        <f t="shared" si="4"/>
        <v>--</v>
      </c>
      <c r="E78" s="1578"/>
      <c r="F78" s="1578"/>
      <c r="G78" s="1578"/>
    </row>
    <row r="79" spans="1:7" s="1525" customFormat="1" ht="12" customHeight="1">
      <c r="A79" s="1510"/>
      <c r="B79" s="1510"/>
      <c r="C79" s="362" t="str">
        <f t="shared" si="4"/>
        <v>--</v>
      </c>
      <c r="E79" s="1578"/>
      <c r="F79" s="1578"/>
      <c r="G79" s="1578"/>
    </row>
    <row r="80" spans="1:7" s="1525" customFormat="1" ht="12" customHeight="1">
      <c r="A80" s="1510"/>
      <c r="B80" s="1510"/>
      <c r="C80" s="362" t="str">
        <f t="shared" si="4"/>
        <v>--</v>
      </c>
      <c r="E80" s="1578"/>
      <c r="F80" s="1578"/>
      <c r="G80" s="1578"/>
    </row>
    <row r="81" spans="1:17" s="1525" customFormat="1" ht="12" customHeight="1">
      <c r="A81" s="1510"/>
      <c r="B81" s="1510"/>
      <c r="C81" s="362" t="str">
        <f t="shared" si="4"/>
        <v>--</v>
      </c>
      <c r="E81" s="1578"/>
      <c r="F81" s="1578"/>
      <c r="G81" s="1578"/>
    </row>
    <row r="82" spans="1:17" s="1525" customFormat="1" ht="12" customHeight="1">
      <c r="A82" s="1510"/>
      <c r="B82" s="1510"/>
      <c r="C82" s="362" t="str">
        <f t="shared" si="4"/>
        <v>--</v>
      </c>
      <c r="E82" s="1578"/>
      <c r="F82" s="1578"/>
      <c r="G82" s="1578"/>
    </row>
    <row r="83" spans="1:17" s="1525" customFormat="1" ht="12" customHeight="1">
      <c r="A83" s="1510"/>
      <c r="B83" s="1510"/>
      <c r="C83" s="362" t="str">
        <f t="shared" si="4"/>
        <v>--</v>
      </c>
      <c r="E83" s="1578"/>
      <c r="F83" s="1578"/>
      <c r="G83" s="1578"/>
    </row>
    <row r="84" spans="1:17" s="1525" customFormat="1" ht="12" customHeight="1">
      <c r="A84" s="1510"/>
      <c r="B84" s="1510"/>
      <c r="C84" s="362" t="str">
        <f t="shared" si="4"/>
        <v>--</v>
      </c>
      <c r="E84" s="1578"/>
      <c r="F84" s="1578"/>
      <c r="G84" s="1578"/>
    </row>
    <row r="85" spans="1:17" s="1525" customFormat="1" ht="12" customHeight="1">
      <c r="A85" s="1510"/>
      <c r="B85" s="1510"/>
      <c r="C85" s="362" t="str">
        <f t="shared" si="4"/>
        <v>--</v>
      </c>
      <c r="E85" s="1578"/>
      <c r="F85" s="1578"/>
      <c r="G85" s="1578"/>
    </row>
    <row r="86" spans="1:17" s="1525" customFormat="1" ht="12" customHeight="1">
      <c r="A86" s="1510"/>
      <c r="B86" s="1510"/>
      <c r="C86" s="362" t="str">
        <f t="shared" si="4"/>
        <v>--</v>
      </c>
      <c r="E86" s="1578"/>
      <c r="F86" s="1578"/>
      <c r="G86" s="1578"/>
    </row>
    <row r="87" spans="1:17" ht="12" customHeight="1">
      <c r="A87" s="1510"/>
      <c r="B87" s="1510"/>
      <c r="C87" s="362" t="str">
        <f t="shared" si="4"/>
        <v>--</v>
      </c>
      <c r="D87" s="1525"/>
      <c r="E87" s="1578"/>
      <c r="F87" s="1578"/>
      <c r="G87" s="1578"/>
      <c r="H87" s="1525"/>
      <c r="I87" s="1525"/>
      <c r="J87" s="1525"/>
      <c r="K87" s="1525"/>
      <c r="L87" s="1525"/>
      <c r="M87" s="1525"/>
      <c r="N87" s="1525"/>
      <c r="O87" s="1525"/>
      <c r="P87" s="1525"/>
      <c r="Q87" s="1525"/>
    </row>
    <row r="88" spans="1:17" ht="12" customHeight="1">
      <c r="A88" s="1510"/>
      <c r="B88" s="1510"/>
      <c r="C88" s="362"/>
      <c r="D88" s="1525"/>
      <c r="E88" s="1578"/>
      <c r="F88" s="1578"/>
      <c r="G88" s="1578"/>
      <c r="H88" s="1525"/>
      <c r="I88" s="1525"/>
      <c r="J88" s="1525"/>
      <c r="K88" s="1525"/>
      <c r="L88" s="1525"/>
      <c r="M88" s="1525"/>
      <c r="N88" s="1525"/>
      <c r="O88" s="1525"/>
      <c r="P88" s="1525"/>
      <c r="Q88" s="1525"/>
    </row>
    <row r="89" spans="1:17" ht="12" customHeight="1">
      <c r="A89" s="1510"/>
      <c r="B89" s="1510"/>
      <c r="C89" s="524" t="s">
        <v>1783</v>
      </c>
      <c r="D89" s="1525"/>
      <c r="E89" s="1525"/>
      <c r="F89" s="1525"/>
      <c r="G89" s="1525"/>
      <c r="H89" s="1525"/>
      <c r="I89" s="1525"/>
      <c r="J89" s="1525"/>
      <c r="K89" s="1525"/>
      <c r="L89" s="1525"/>
      <c r="M89" s="1525"/>
      <c r="N89" s="1525"/>
      <c r="O89" s="1525"/>
      <c r="P89" s="1525"/>
      <c r="Q89" s="1525"/>
    </row>
    <row r="90" spans="1:17" ht="12" customHeight="1">
      <c r="A90" s="1510"/>
      <c r="B90" s="1510"/>
      <c r="C90" s="362"/>
      <c r="D90" s="362"/>
      <c r="E90" s="522" t="str">
        <f t="shared" ref="E90:Q90" si="5">E24</f>
        <v>LQ-12</v>
      </c>
      <c r="F90" s="522" t="str">
        <f t="shared" si="5"/>
        <v>LQ-11</v>
      </c>
      <c r="G90" s="522" t="str">
        <f t="shared" si="5"/>
        <v>LQ-10</v>
      </c>
      <c r="H90" s="522" t="str">
        <f t="shared" si="5"/>
        <v>LQ-9</v>
      </c>
      <c r="I90" s="522" t="str">
        <f t="shared" si="5"/>
        <v>LQ-8</v>
      </c>
      <c r="J90" s="522" t="str">
        <f t="shared" si="5"/>
        <v>LQ-7</v>
      </c>
      <c r="K90" s="522" t="str">
        <f t="shared" si="5"/>
        <v>LQ-6</v>
      </c>
      <c r="L90" s="522" t="str">
        <f t="shared" si="5"/>
        <v>LQ-5</v>
      </c>
      <c r="M90" s="522" t="str">
        <f t="shared" si="5"/>
        <v>LQ-4</v>
      </c>
      <c r="N90" s="522" t="str">
        <f t="shared" si="5"/>
        <v>LQ-3</v>
      </c>
      <c r="O90" s="522" t="str">
        <f t="shared" si="5"/>
        <v>LQ-2</v>
      </c>
      <c r="P90" s="522" t="str">
        <f t="shared" si="5"/>
        <v>LQ-1</v>
      </c>
      <c r="Q90" s="522" t="str">
        <f t="shared" si="5"/>
        <v>Last Qtr</v>
      </c>
    </row>
    <row r="91" spans="1:17" ht="12" customHeight="1">
      <c r="A91" s="1510" t="str">
        <f>IF(ISERROR(SUM(E91:Q91)),"n","")</f>
        <v/>
      </c>
      <c r="B91" s="1510"/>
      <c r="C91" s="362" t="str">
        <f>C25</f>
        <v/>
      </c>
      <c r="D91" s="362"/>
      <c r="E91" s="523" t="str">
        <f t="shared" ref="E91:Q91" si="6">E25</f>
        <v>n/a</v>
      </c>
      <c r="F91" s="523" t="str">
        <f t="shared" si="6"/>
        <v>n/a</v>
      </c>
      <c r="G91" s="523" t="str">
        <f t="shared" si="6"/>
        <v>n/a</v>
      </c>
      <c r="H91" s="523" t="str">
        <f t="shared" si="6"/>
        <v>n/a</v>
      </c>
      <c r="I91" s="523" t="str">
        <f t="shared" si="6"/>
        <v>n/a</v>
      </c>
      <c r="J91" s="523" t="str">
        <f t="shared" si="6"/>
        <v>n/a</v>
      </c>
      <c r="K91" s="523" t="str">
        <f t="shared" si="6"/>
        <v>n/a</v>
      </c>
      <c r="L91" s="523" t="str">
        <f t="shared" si="6"/>
        <v>n/a</v>
      </c>
      <c r="M91" s="523" t="str">
        <f t="shared" si="6"/>
        <v>n/a</v>
      </c>
      <c r="N91" s="523" t="str">
        <f t="shared" si="6"/>
        <v>n/a</v>
      </c>
      <c r="O91" s="523" t="str">
        <f t="shared" si="6"/>
        <v>n/a</v>
      </c>
      <c r="P91" s="523" t="str">
        <f t="shared" si="6"/>
        <v>n/a</v>
      </c>
      <c r="Q91" s="523" t="str">
        <f t="shared" si="6"/>
        <v>n/a</v>
      </c>
    </row>
    <row r="92" spans="1:17" ht="12" customHeight="1">
      <c r="A92" s="1510" t="str">
        <f>IF(ISERROR(SUM(E92:Q92)),"n","")</f>
        <v/>
      </c>
      <c r="B92" s="1510"/>
      <c r="C92" s="362" t="str">
        <f>C52</f>
        <v>Mean of Guideline Cos</v>
      </c>
      <c r="D92" s="362"/>
      <c r="E92" s="523" t="str">
        <f t="shared" ref="E92:G93" si="7">E52</f>
        <v>n/a</v>
      </c>
      <c r="F92" s="523" t="str">
        <f t="shared" si="7"/>
        <v>n/a</v>
      </c>
      <c r="G92" s="523" t="str">
        <f t="shared" si="7"/>
        <v>n/a</v>
      </c>
      <c r="H92" s="523" t="str">
        <f t="shared" ref="H92:Q92" si="8">H52</f>
        <v>n/a</v>
      </c>
      <c r="I92" s="523" t="str">
        <f t="shared" si="8"/>
        <v>n/a</v>
      </c>
      <c r="J92" s="523" t="str">
        <f t="shared" si="8"/>
        <v>n/a</v>
      </c>
      <c r="K92" s="523" t="str">
        <f t="shared" si="8"/>
        <v>n/a</v>
      </c>
      <c r="L92" s="523" t="str">
        <f t="shared" si="8"/>
        <v>n/a</v>
      </c>
      <c r="M92" s="523" t="str">
        <f t="shared" si="8"/>
        <v>n/a</v>
      </c>
      <c r="N92" s="523" t="str">
        <f t="shared" si="8"/>
        <v>n/a</v>
      </c>
      <c r="O92" s="523" t="str">
        <f t="shared" si="8"/>
        <v>n/a</v>
      </c>
      <c r="P92" s="523" t="str">
        <f t="shared" si="8"/>
        <v>n/a</v>
      </c>
      <c r="Q92" s="523" t="str">
        <f t="shared" si="8"/>
        <v>n/a</v>
      </c>
    </row>
    <row r="93" spans="1:17" ht="12" customHeight="1">
      <c r="A93" s="1510" t="str">
        <f>IF(ISERROR(SUM(E93:Q93)),"n","")</f>
        <v/>
      </c>
      <c r="B93" s="1510"/>
      <c r="C93" s="362" t="str">
        <f>C53</f>
        <v>Median of Guideline Cos</v>
      </c>
      <c r="D93" s="362"/>
      <c r="E93" s="523" t="str">
        <f t="shared" si="7"/>
        <v>n/a</v>
      </c>
      <c r="F93" s="523" t="str">
        <f t="shared" si="7"/>
        <v>n/a</v>
      </c>
      <c r="G93" s="523" t="str">
        <f t="shared" si="7"/>
        <v>n/a</v>
      </c>
      <c r="H93" s="523" t="str">
        <f t="shared" ref="H93:Q93" si="9">H53</f>
        <v>n/a</v>
      </c>
      <c r="I93" s="523" t="str">
        <f t="shared" si="9"/>
        <v>n/a</v>
      </c>
      <c r="J93" s="523" t="str">
        <f t="shared" si="9"/>
        <v>n/a</v>
      </c>
      <c r="K93" s="523" t="str">
        <f t="shared" si="9"/>
        <v>n/a</v>
      </c>
      <c r="L93" s="523" t="str">
        <f t="shared" si="9"/>
        <v>n/a</v>
      </c>
      <c r="M93" s="523" t="str">
        <f t="shared" si="9"/>
        <v>n/a</v>
      </c>
      <c r="N93" s="523" t="str">
        <f t="shared" si="9"/>
        <v>n/a</v>
      </c>
      <c r="O93" s="523" t="str">
        <f t="shared" si="9"/>
        <v>n/a</v>
      </c>
      <c r="P93" s="523" t="str">
        <f t="shared" si="9"/>
        <v>n/a</v>
      </c>
      <c r="Q93" s="523" t="str">
        <f t="shared" si="9"/>
        <v>n/a</v>
      </c>
    </row>
    <row r="94" spans="1:17" ht="12" customHeight="1">
      <c r="A94" s="1510" t="str">
        <f>IF(ISERROR(SUM(E94:Q94)),"n","")</f>
        <v>n</v>
      </c>
      <c r="B94" s="1510"/>
      <c r="C94" s="362" t="str">
        <f>INDEX(C63:C89,E63)</f>
        <v>Select one to compare with</v>
      </c>
      <c r="D94" s="362"/>
      <c r="E94" s="523" t="e">
        <f t="shared" ref="E94:Q94" si="10">IFERROR(IF(INDEX(E27:E50,$E$63-1)="--",NA(),INDEX(E27:E50,$E$63-1)),NA())</f>
        <v>#N/A</v>
      </c>
      <c r="F94" s="523" t="e">
        <f t="shared" si="10"/>
        <v>#N/A</v>
      </c>
      <c r="G94" s="523" t="e">
        <f t="shared" si="10"/>
        <v>#N/A</v>
      </c>
      <c r="H94" s="523" t="e">
        <f t="shared" si="10"/>
        <v>#N/A</v>
      </c>
      <c r="I94" s="523" t="e">
        <f t="shared" si="10"/>
        <v>#N/A</v>
      </c>
      <c r="J94" s="523" t="e">
        <f t="shared" si="10"/>
        <v>#N/A</v>
      </c>
      <c r="K94" s="523" t="e">
        <f t="shared" si="10"/>
        <v>#N/A</v>
      </c>
      <c r="L94" s="523" t="e">
        <f t="shared" si="10"/>
        <v>#N/A</v>
      </c>
      <c r="M94" s="523" t="e">
        <f t="shared" si="10"/>
        <v>#N/A</v>
      </c>
      <c r="N94" s="523" t="e">
        <f t="shared" si="10"/>
        <v>#N/A</v>
      </c>
      <c r="O94" s="523" t="e">
        <f t="shared" si="10"/>
        <v>#N/A</v>
      </c>
      <c r="P94" s="523" t="e">
        <f t="shared" si="10"/>
        <v>#N/A</v>
      </c>
      <c r="Q94" s="523" t="e">
        <f t="shared" si="10"/>
        <v>#N/A</v>
      </c>
    </row>
  </sheetData>
  <autoFilter ref="A1:A94"/>
  <conditionalFormatting sqref="B1:B2">
    <cfRule type="cellIs" dxfId="18" priority="1" operator="notEqual">
      <formula>0</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2" manualBreakCount="2">
    <brk id="59" max="16383" man="1"/>
    <brk id="60" max="16383" man="1"/>
  </rowBreaks>
  <drawing r:id="rId2"/>
  <legacyDrawing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uPontROA">
    <tabColor rgb="FF99FF66"/>
    <pageSetUpPr autoPageBreaks="0"/>
  </sheetPr>
  <dimension ref="A1:V99"/>
  <sheetViews>
    <sheetView showGridLines="0" zoomScale="85" zoomScaleNormal="85" zoomScaleSheetLayoutView="85" workbookViewId="0"/>
  </sheetViews>
  <sheetFormatPr defaultColWidth="9.33203125" defaultRowHeight="12" customHeight="1"/>
  <cols>
    <col min="1" max="1" width="2.83203125" style="334" customWidth="1"/>
    <col min="2" max="2" width="3.83203125" style="334" customWidth="1"/>
    <col min="3" max="3" width="39.6640625" style="334" customWidth="1"/>
    <col min="4" max="4" width="1.33203125" style="334" customWidth="1"/>
    <col min="5" max="5" width="13.6640625" style="334" customWidth="1"/>
    <col min="6" max="6" width="3.5" style="334" customWidth="1"/>
    <col min="7" max="7" width="11.83203125" style="334" customWidth="1"/>
    <col min="8" max="8" width="3" style="334" customWidth="1"/>
    <col min="9" max="9" width="11.83203125" style="334" customWidth="1"/>
    <col min="10" max="10" width="3" style="334" customWidth="1"/>
    <col min="11" max="11" width="11.83203125" style="334" customWidth="1"/>
    <col min="12" max="12" width="3" style="334" customWidth="1"/>
    <col min="13" max="13" width="11.83203125" style="334" customWidth="1"/>
    <col min="14" max="14" width="100.33203125" style="334" customWidth="1"/>
    <col min="15" max="15" width="8.83203125" style="334" customWidth="1"/>
    <col min="16" max="16" width="12.33203125" style="334" customWidth="1"/>
    <col min="17" max="16384" width="9.33203125" style="334"/>
  </cols>
  <sheetData>
    <row r="1" spans="1:22" ht="18" customHeight="1">
      <c r="A1" s="1557"/>
      <c r="B1" s="649">
        <f ca="1">SUMPRODUCT(--ISERROR($C$1:N77))+COUNTIF($C$1:N77,Fail)</f>
        <v>0</v>
      </c>
      <c r="C1" s="1372" t="str">
        <f>START!$C$1</f>
        <v>Client Name</v>
      </c>
      <c r="D1" s="2060"/>
      <c r="E1" s="2060"/>
      <c r="F1" s="2060"/>
      <c r="G1" s="2060"/>
      <c r="H1" s="2060"/>
      <c r="I1" s="2060"/>
      <c r="J1" s="2060"/>
      <c r="K1" s="2060"/>
      <c r="L1" s="2060"/>
      <c r="M1" s="2060"/>
      <c r="N1" s="389" t="s">
        <v>1784</v>
      </c>
      <c r="O1" s="1557"/>
      <c r="P1" s="1525"/>
      <c r="Q1" s="1525"/>
      <c r="R1" s="1525"/>
      <c r="S1" s="1525"/>
      <c r="T1" s="1525"/>
      <c r="U1" s="1525"/>
      <c r="V1" s="1525" t="s">
        <v>1784</v>
      </c>
    </row>
    <row r="2" spans="1:22" s="1027" customFormat="1" ht="18" customHeight="1">
      <c r="A2" s="1557"/>
      <c r="B2" s="649"/>
      <c r="C2" s="1372" t="str">
        <f>START!$C$2</f>
        <v xml:space="preserve">Please enter project description in START worksheet cell G13 </v>
      </c>
      <c r="D2" s="2060"/>
      <c r="E2" s="2060"/>
      <c r="F2" s="2060"/>
      <c r="G2" s="2060"/>
      <c r="H2" s="2060"/>
      <c r="I2" s="2060"/>
      <c r="J2" s="2060"/>
      <c r="K2" s="2060"/>
      <c r="L2" s="2060"/>
      <c r="M2" s="2060"/>
      <c r="N2" s="389"/>
      <c r="O2" s="1557"/>
      <c r="P2" s="1525"/>
      <c r="Q2" s="1525"/>
      <c r="R2" s="1525"/>
      <c r="S2" s="1525"/>
      <c r="T2" s="1525"/>
      <c r="U2" s="1525"/>
      <c r="V2" s="1525"/>
    </row>
    <row r="3" spans="1:22" ht="18" customHeight="1">
      <c r="A3" s="1557"/>
      <c r="B3" s="1557"/>
      <c r="C3" s="839" t="s">
        <v>1785</v>
      </c>
      <c r="D3" s="2060"/>
      <c r="E3" s="2060"/>
      <c r="F3" s="2060"/>
      <c r="G3" s="2060"/>
      <c r="H3" s="2060"/>
      <c r="I3" s="2060"/>
      <c r="J3" s="2060"/>
      <c r="K3" s="2060"/>
      <c r="L3" s="2060"/>
      <c r="M3" s="2060"/>
      <c r="N3" s="1525"/>
      <c r="O3" s="1557"/>
      <c r="P3" s="1525"/>
      <c r="Q3" s="1525"/>
      <c r="R3" s="1525"/>
      <c r="S3" s="1525"/>
      <c r="T3" s="1525"/>
      <c r="U3" s="1525"/>
      <c r="V3" s="1525"/>
    </row>
    <row r="4" spans="1:22" ht="18" customHeight="1">
      <c r="A4" s="1557"/>
      <c r="B4" s="1557"/>
      <c r="C4" s="840" t="str">
        <f>ValDateHeading</f>
        <v>Estimation of value as of 28 February 2017</v>
      </c>
      <c r="D4" s="2060"/>
      <c r="E4" s="2060"/>
      <c r="F4" s="2060"/>
      <c r="G4" s="2060"/>
      <c r="H4" s="2060"/>
      <c r="I4" s="2060"/>
      <c r="J4" s="2060"/>
      <c r="K4" s="2060"/>
      <c r="L4" s="2060"/>
      <c r="M4" s="2060"/>
      <c r="N4" s="1525"/>
      <c r="O4" s="1557"/>
      <c r="P4" s="1525"/>
      <c r="Q4" s="1525"/>
      <c r="R4" s="1525"/>
      <c r="S4" s="1525"/>
      <c r="T4" s="1525"/>
      <c r="U4" s="1525"/>
      <c r="V4" s="1525"/>
    </row>
    <row r="5" spans="1:22" ht="18" customHeight="1">
      <c r="A5" s="1419"/>
      <c r="B5" s="1557"/>
      <c r="C5" s="366"/>
      <c r="D5" s="2060"/>
      <c r="E5" s="2060"/>
      <c r="F5" s="2060"/>
      <c r="G5" s="2060"/>
      <c r="H5" s="2060"/>
      <c r="I5" s="2060"/>
      <c r="J5" s="2060"/>
      <c r="K5" s="2060"/>
      <c r="L5" s="2060"/>
      <c r="M5" s="2060"/>
      <c r="N5" s="1525"/>
      <c r="O5" s="1557"/>
      <c r="P5" s="1525"/>
      <c r="Q5" s="1525"/>
      <c r="R5" s="1525"/>
      <c r="S5" s="1525"/>
      <c r="T5" s="1525"/>
      <c r="U5" s="1525"/>
      <c r="V5" s="1525"/>
    </row>
    <row r="6" spans="1:22" ht="12" customHeight="1">
      <c r="A6" s="1413" t="str">
        <f>IF(MasterCheck,"Please check the "&amp;'Error Check'!$G$8,"")</f>
        <v/>
      </c>
      <c r="B6" s="1424"/>
      <c r="C6" s="1511"/>
      <c r="D6" s="2060"/>
      <c r="E6" s="2060"/>
      <c r="F6" s="2060"/>
      <c r="G6" s="2060"/>
      <c r="H6" s="2060"/>
      <c r="I6" s="2060"/>
      <c r="J6" s="2060"/>
      <c r="K6" s="2060"/>
      <c r="L6" s="2060"/>
      <c r="M6" s="2060"/>
      <c r="N6" s="1525"/>
      <c r="O6" s="1557"/>
      <c r="P6" s="1525"/>
      <c r="Q6" s="1525"/>
      <c r="R6" s="1525"/>
      <c r="S6" s="1525"/>
      <c r="T6" s="1525"/>
      <c r="U6" s="1525"/>
      <c r="V6" s="1525"/>
    </row>
    <row r="7" spans="1:22" s="336" customFormat="1" ht="13.9">
      <c r="A7" s="1510"/>
      <c r="B7" s="1510"/>
      <c r="C7" s="1184"/>
      <c r="D7" s="1184"/>
      <c r="E7" s="1167"/>
      <c r="F7" s="1167"/>
      <c r="G7" s="1167" t="s">
        <v>1786</v>
      </c>
      <c r="H7" s="1167"/>
      <c r="I7" s="1167" t="s">
        <v>1787</v>
      </c>
      <c r="J7" s="1167"/>
      <c r="K7" s="1167"/>
      <c r="L7" s="1167"/>
      <c r="M7" s="1167" t="s">
        <v>1788</v>
      </c>
      <c r="N7" s="2060"/>
      <c r="O7" s="1546"/>
      <c r="P7" s="1527"/>
      <c r="Q7" s="1527"/>
      <c r="R7" s="1527"/>
      <c r="S7" s="1527"/>
      <c r="T7" s="1527"/>
      <c r="U7" s="1527"/>
      <c r="V7" s="1527"/>
    </row>
    <row r="8" spans="1:22" s="336" customFormat="1" ht="13.9">
      <c r="A8" s="1510"/>
      <c r="B8" s="1510"/>
      <c r="C8" s="1216" t="s">
        <v>1789</v>
      </c>
      <c r="D8" s="1216"/>
      <c r="E8" s="1221" t="s">
        <v>688</v>
      </c>
      <c r="F8" s="1221"/>
      <c r="G8" s="1221" t="s">
        <v>1790</v>
      </c>
      <c r="H8" s="1221"/>
      <c r="I8" s="1221" t="s">
        <v>1791</v>
      </c>
      <c r="J8" s="1221"/>
      <c r="K8" s="1221" t="s">
        <v>476</v>
      </c>
      <c r="L8" s="1221"/>
      <c r="M8" s="1221" t="s">
        <v>476</v>
      </c>
      <c r="N8" s="2060"/>
      <c r="O8" s="1546"/>
      <c r="P8" s="1527"/>
      <c r="Q8" s="1527"/>
      <c r="R8" s="1527"/>
      <c r="S8" s="1527"/>
      <c r="T8" s="1527"/>
      <c r="U8" s="1527"/>
      <c r="V8" s="1527"/>
    </row>
    <row r="9" spans="1:22" s="1527" customFormat="1" ht="13.9">
      <c r="A9" s="1510"/>
      <c r="B9" s="1510"/>
      <c r="C9" s="724" t="s">
        <v>1471</v>
      </c>
      <c r="D9" s="724"/>
      <c r="E9" s="725"/>
      <c r="F9" s="725"/>
      <c r="G9" s="725"/>
      <c r="H9" s="725"/>
      <c r="I9" s="725"/>
      <c r="J9" s="725"/>
      <c r="K9" s="725"/>
      <c r="L9" s="725"/>
      <c r="M9" s="725"/>
      <c r="N9" s="2060"/>
      <c r="O9" s="1546"/>
    </row>
    <row r="10" spans="1:22" s="1527" customFormat="1" ht="13.9">
      <c r="A10" s="1510"/>
      <c r="B10" s="1058">
        <v>0</v>
      </c>
      <c r="C10" s="314" t="str">
        <f>ClientName</f>
        <v/>
      </c>
      <c r="D10" s="724"/>
      <c r="E10" s="476">
        <f>LFQLTM</f>
        <v>42643</v>
      </c>
      <c r="F10" s="725"/>
      <c r="G10" s="1364" t="str">
        <f>'DATA GPC'!P1280</f>
        <v>--</v>
      </c>
      <c r="H10" s="725"/>
      <c r="I10" s="474" t="str">
        <f>'DATA GPC'!P1402</f>
        <v>--</v>
      </c>
      <c r="J10" s="725"/>
      <c r="K10" s="1364" t="str">
        <f>'DATA GPC'!P1494</f>
        <v>--</v>
      </c>
      <c r="L10" s="725"/>
      <c r="M10" s="472" t="str">
        <f>IF(E10="--","--",IF(ISTEXT(K10),"--",RANK($K10,$K$10:$K$37)))</f>
        <v>--</v>
      </c>
      <c r="N10" s="2060"/>
      <c r="O10" s="1546"/>
    </row>
    <row r="11" spans="1:22" s="1527" customFormat="1" ht="13.9">
      <c r="A11" s="1510"/>
      <c r="B11" s="1510"/>
      <c r="C11" s="724"/>
      <c r="D11" s="724"/>
      <c r="E11" s="725"/>
      <c r="F11" s="725"/>
      <c r="G11" s="725"/>
      <c r="H11" s="725"/>
      <c r="I11" s="725"/>
      <c r="J11" s="725"/>
      <c r="K11" s="725"/>
      <c r="L11" s="725"/>
      <c r="M11" s="725"/>
      <c r="N11" s="2060"/>
      <c r="O11" s="1546"/>
    </row>
    <row r="12" spans="1:22" s="1527" customFormat="1" ht="13.9">
      <c r="A12" s="1510"/>
      <c r="B12" s="1510"/>
      <c r="C12" s="724" t="s">
        <v>1256</v>
      </c>
      <c r="D12" s="724"/>
      <c r="E12" s="725"/>
      <c r="F12" s="725"/>
      <c r="G12" s="725"/>
      <c r="H12" s="725"/>
      <c r="I12" s="725"/>
      <c r="J12" s="725"/>
      <c r="K12" s="725"/>
      <c r="L12" s="725"/>
      <c r="M12" s="725"/>
      <c r="N12" s="2060"/>
      <c r="O12" s="1546"/>
    </row>
    <row r="13" spans="1:22" ht="12" customHeight="1">
      <c r="A13" s="1510" t="str">
        <f t="shared" ref="A13:A37" si="0">IF(N(G13),"","n")</f>
        <v>n</v>
      </c>
      <c r="B13" s="1557">
        <v>1</v>
      </c>
      <c r="C13" s="146" t="str">
        <f>'DATA GPC'!E20</f>
        <v>--</v>
      </c>
      <c r="D13" s="314"/>
      <c r="E13" s="476" t="str">
        <f>IF(C13="--","--",'DATA GPC'!P128)</f>
        <v>--</v>
      </c>
      <c r="F13" s="314"/>
      <c r="G13" s="1364" t="str">
        <f>'DATA GPC'!P1281</f>
        <v>--</v>
      </c>
      <c r="H13" s="473"/>
      <c r="I13" s="474" t="str">
        <f>'DATA GPC'!P1403</f>
        <v>--</v>
      </c>
      <c r="J13" s="473"/>
      <c r="K13" s="1364" t="str">
        <f>'DATA GPC'!P1495</f>
        <v>--</v>
      </c>
      <c r="L13" s="2073"/>
      <c r="M13" s="472" t="str">
        <f t="shared" ref="M13:M37" si="1">IF(E13="--","--",IF(ISTEXT(K13),"--",RANK($K13,$K$10:$K$37)))</f>
        <v>--</v>
      </c>
      <c r="N13" s="1525"/>
      <c r="O13" s="1557"/>
      <c r="P13" s="1525"/>
      <c r="Q13" s="1525"/>
      <c r="R13" s="1525"/>
      <c r="S13" s="1525"/>
      <c r="T13" s="1525"/>
      <c r="U13" s="1525"/>
      <c r="V13" s="1525"/>
    </row>
    <row r="14" spans="1:22" ht="12" customHeight="1">
      <c r="A14" s="1510" t="str">
        <f t="shared" si="0"/>
        <v>n</v>
      </c>
      <c r="B14" s="1557">
        <v>2</v>
      </c>
      <c r="C14" s="146" t="str">
        <f>'DATA GPC'!E21</f>
        <v>--</v>
      </c>
      <c r="D14" s="314"/>
      <c r="E14" s="476" t="str">
        <f>IF(C14="--","--",'DATA GPC'!P129)</f>
        <v>--</v>
      </c>
      <c r="F14" s="314"/>
      <c r="G14" s="1364" t="str">
        <f>'DATA GPC'!P1282</f>
        <v>--</v>
      </c>
      <c r="H14" s="473"/>
      <c r="I14" s="474" t="str">
        <f>'DATA GPC'!P1404</f>
        <v>--</v>
      </c>
      <c r="J14" s="473"/>
      <c r="K14" s="1364" t="str">
        <f>'DATA GPC'!P1496</f>
        <v>--</v>
      </c>
      <c r="L14" s="2073"/>
      <c r="M14" s="472" t="str">
        <f t="shared" si="1"/>
        <v>--</v>
      </c>
      <c r="N14" s="1525"/>
      <c r="O14" s="1557"/>
      <c r="P14" s="1525"/>
      <c r="Q14" s="1525"/>
      <c r="R14" s="1525"/>
      <c r="S14" s="1525"/>
      <c r="T14" s="1525"/>
      <c r="U14" s="1525"/>
      <c r="V14" s="1525"/>
    </row>
    <row r="15" spans="1:22" ht="12" customHeight="1">
      <c r="A15" s="1510" t="str">
        <f t="shared" si="0"/>
        <v>n</v>
      </c>
      <c r="B15" s="1557">
        <v>3</v>
      </c>
      <c r="C15" s="146" t="str">
        <f>'DATA GPC'!E22</f>
        <v>--</v>
      </c>
      <c r="D15" s="420"/>
      <c r="E15" s="476" t="str">
        <f>IF(C15="--","--",'DATA GPC'!P130)</f>
        <v>--</v>
      </c>
      <c r="F15" s="314"/>
      <c r="G15" s="1364" t="str">
        <f>'DATA GPC'!P1283</f>
        <v>--</v>
      </c>
      <c r="H15" s="473"/>
      <c r="I15" s="474" t="str">
        <f>'DATA GPC'!P1405</f>
        <v>--</v>
      </c>
      <c r="J15" s="473"/>
      <c r="K15" s="1364" t="str">
        <f>'DATA GPC'!P1497</f>
        <v>--</v>
      </c>
      <c r="L15" s="2073"/>
      <c r="M15" s="472" t="str">
        <f t="shared" si="1"/>
        <v>--</v>
      </c>
      <c r="N15" s="1525"/>
      <c r="O15" s="1557"/>
      <c r="P15" s="1525"/>
      <c r="Q15" s="1525"/>
      <c r="R15" s="1525"/>
      <c r="S15" s="1525"/>
      <c r="T15" s="1525"/>
      <c r="U15" s="1525"/>
      <c r="V15" s="1525"/>
    </row>
    <row r="16" spans="1:22" ht="12" customHeight="1">
      <c r="A16" s="1510" t="str">
        <f t="shared" si="0"/>
        <v>n</v>
      </c>
      <c r="B16" s="1557">
        <v>4</v>
      </c>
      <c r="C16" s="146" t="str">
        <f>'DATA GPC'!E23</f>
        <v>--</v>
      </c>
      <c r="D16" s="420"/>
      <c r="E16" s="476" t="str">
        <f>IF(C16="--","--",'DATA GPC'!P131)</f>
        <v>--</v>
      </c>
      <c r="F16" s="314"/>
      <c r="G16" s="1364" t="str">
        <f>'DATA GPC'!P1284</f>
        <v>--</v>
      </c>
      <c r="H16" s="473"/>
      <c r="I16" s="474" t="str">
        <f>'DATA GPC'!P1406</f>
        <v>--</v>
      </c>
      <c r="J16" s="473"/>
      <c r="K16" s="1364" t="str">
        <f>'DATA GPC'!P1498</f>
        <v>--</v>
      </c>
      <c r="L16" s="2073"/>
      <c r="M16" s="472" t="str">
        <f t="shared" si="1"/>
        <v>--</v>
      </c>
      <c r="N16" s="1525"/>
      <c r="O16" s="1557"/>
      <c r="P16" s="1525"/>
      <c r="Q16" s="1525"/>
      <c r="R16" s="1525"/>
      <c r="S16" s="1525"/>
      <c r="T16" s="1525"/>
      <c r="U16" s="1525"/>
      <c r="V16" s="1525"/>
    </row>
    <row r="17" spans="1:15" ht="12" customHeight="1">
      <c r="A17" s="1510" t="str">
        <f t="shared" si="0"/>
        <v>n</v>
      </c>
      <c r="B17" s="1557">
        <v>5</v>
      </c>
      <c r="C17" s="146" t="str">
        <f>'DATA GPC'!E24</f>
        <v>--</v>
      </c>
      <c r="D17" s="420"/>
      <c r="E17" s="476" t="str">
        <f>IF(C17="--","--",'DATA GPC'!P132)</f>
        <v>--</v>
      </c>
      <c r="F17" s="314"/>
      <c r="G17" s="1364" t="str">
        <f>'DATA GPC'!P1285</f>
        <v>--</v>
      </c>
      <c r="H17" s="473"/>
      <c r="I17" s="474" t="str">
        <f>'DATA GPC'!P1407</f>
        <v>--</v>
      </c>
      <c r="J17" s="473"/>
      <c r="K17" s="1364" t="str">
        <f>'DATA GPC'!P1499</f>
        <v>--</v>
      </c>
      <c r="L17" s="2073"/>
      <c r="M17" s="472" t="str">
        <f t="shared" si="1"/>
        <v>--</v>
      </c>
      <c r="N17" s="1525"/>
      <c r="O17" s="1557"/>
    </row>
    <row r="18" spans="1:15" ht="12" customHeight="1">
      <c r="A18" s="1510" t="str">
        <f t="shared" si="0"/>
        <v>n</v>
      </c>
      <c r="B18" s="1557">
        <v>6</v>
      </c>
      <c r="C18" s="146" t="str">
        <f>'DATA GPC'!E25</f>
        <v>--</v>
      </c>
      <c r="D18" s="420"/>
      <c r="E18" s="662" t="str">
        <f>IF(C18="--","--",'DATA GPC'!P133)</f>
        <v>--</v>
      </c>
      <c r="F18" s="314"/>
      <c r="G18" s="1364" t="str">
        <f>'DATA GPC'!P1286</f>
        <v>--</v>
      </c>
      <c r="H18" s="473"/>
      <c r="I18" s="474" t="str">
        <f>'DATA GPC'!P1408</f>
        <v>--</v>
      </c>
      <c r="J18" s="473"/>
      <c r="K18" s="1364" t="str">
        <f>'DATA GPC'!P1500</f>
        <v>--</v>
      </c>
      <c r="L18" s="2073"/>
      <c r="M18" s="472" t="str">
        <f t="shared" si="1"/>
        <v>--</v>
      </c>
      <c r="N18" s="1525"/>
      <c r="O18" s="1557"/>
    </row>
    <row r="19" spans="1:15" ht="12" customHeight="1">
      <c r="A19" s="1510" t="str">
        <f t="shared" si="0"/>
        <v>n</v>
      </c>
      <c r="B19" s="1557">
        <v>7</v>
      </c>
      <c r="C19" s="146" t="str">
        <f>'DATA GPC'!E26</f>
        <v>--</v>
      </c>
      <c r="D19" s="420"/>
      <c r="E19" s="662" t="str">
        <f>IF(C19="--","--",'DATA GPC'!P134)</f>
        <v>--</v>
      </c>
      <c r="F19" s="314"/>
      <c r="G19" s="1364" t="str">
        <f>'DATA GPC'!P1287</f>
        <v>--</v>
      </c>
      <c r="H19" s="473"/>
      <c r="I19" s="474" t="str">
        <f>'DATA GPC'!P1409</f>
        <v>--</v>
      </c>
      <c r="J19" s="473"/>
      <c r="K19" s="1364" t="str">
        <f>'DATA GPC'!P1501</f>
        <v>--</v>
      </c>
      <c r="L19" s="2073"/>
      <c r="M19" s="472" t="str">
        <f t="shared" si="1"/>
        <v>--</v>
      </c>
      <c r="N19" s="1525"/>
      <c r="O19" s="1557"/>
    </row>
    <row r="20" spans="1:15" ht="12" customHeight="1">
      <c r="A20" s="1510" t="str">
        <f t="shared" si="0"/>
        <v>n</v>
      </c>
      <c r="B20" s="1557">
        <v>8</v>
      </c>
      <c r="C20" s="146" t="str">
        <f>'DATA GPC'!E27</f>
        <v>--</v>
      </c>
      <c r="D20" s="420"/>
      <c r="E20" s="662" t="str">
        <f>IF(C20="--","--",'DATA GPC'!P135)</f>
        <v>--</v>
      </c>
      <c r="F20" s="314"/>
      <c r="G20" s="1364" t="str">
        <f>'DATA GPC'!P1288</f>
        <v>--</v>
      </c>
      <c r="H20" s="473"/>
      <c r="I20" s="474" t="str">
        <f>'DATA GPC'!P1410</f>
        <v>--</v>
      </c>
      <c r="J20" s="473"/>
      <c r="K20" s="1364" t="str">
        <f>'DATA GPC'!P1502</f>
        <v>--</v>
      </c>
      <c r="L20" s="2073"/>
      <c r="M20" s="472" t="str">
        <f t="shared" si="1"/>
        <v>--</v>
      </c>
      <c r="N20" s="1525"/>
      <c r="O20" s="1557"/>
    </row>
    <row r="21" spans="1:15" ht="12" customHeight="1">
      <c r="A21" s="1510" t="str">
        <f t="shared" si="0"/>
        <v>n</v>
      </c>
      <c r="B21" s="1557">
        <v>9</v>
      </c>
      <c r="C21" s="146" t="str">
        <f>'DATA GPC'!E28</f>
        <v>--</v>
      </c>
      <c r="D21" s="420"/>
      <c r="E21" s="662" t="str">
        <f>IF(C21="--","--",'DATA GPC'!P136)</f>
        <v>--</v>
      </c>
      <c r="F21" s="314"/>
      <c r="G21" s="1364" t="str">
        <f>'DATA GPC'!P1289</f>
        <v>--</v>
      </c>
      <c r="H21" s="473"/>
      <c r="I21" s="474" t="str">
        <f>'DATA GPC'!P1411</f>
        <v>--</v>
      </c>
      <c r="J21" s="473"/>
      <c r="K21" s="1364" t="str">
        <f>'DATA GPC'!P1503</f>
        <v>--</v>
      </c>
      <c r="L21" s="2073"/>
      <c r="M21" s="472" t="str">
        <f t="shared" si="1"/>
        <v>--</v>
      </c>
      <c r="N21" s="1525"/>
      <c r="O21" s="1557"/>
    </row>
    <row r="22" spans="1:15" ht="12" customHeight="1">
      <c r="A22" s="1510" t="str">
        <f t="shared" si="0"/>
        <v>n</v>
      </c>
      <c r="B22" s="1557">
        <v>10</v>
      </c>
      <c r="C22" s="146" t="str">
        <f>'DATA GPC'!E29</f>
        <v>--</v>
      </c>
      <c r="D22" s="420"/>
      <c r="E22" s="662" t="str">
        <f>IF(C22="--","--",'DATA GPC'!P137)</f>
        <v>--</v>
      </c>
      <c r="F22" s="314"/>
      <c r="G22" s="1364" t="str">
        <f>'DATA GPC'!P1290</f>
        <v>--</v>
      </c>
      <c r="H22" s="473"/>
      <c r="I22" s="474" t="str">
        <f>'DATA GPC'!P1412</f>
        <v>--</v>
      </c>
      <c r="J22" s="473"/>
      <c r="K22" s="1364" t="str">
        <f>'DATA GPC'!P1504</f>
        <v>--</v>
      </c>
      <c r="L22" s="2073"/>
      <c r="M22" s="472" t="str">
        <f t="shared" si="1"/>
        <v>--</v>
      </c>
      <c r="N22" s="1525"/>
      <c r="O22" s="1557"/>
    </row>
    <row r="23" spans="1:15" ht="12" customHeight="1">
      <c r="A23" s="1510" t="str">
        <f t="shared" si="0"/>
        <v>n</v>
      </c>
      <c r="B23" s="1557">
        <v>11</v>
      </c>
      <c r="C23" s="146" t="str">
        <f>'DATA GPC'!E30</f>
        <v>--</v>
      </c>
      <c r="D23" s="420"/>
      <c r="E23" s="662" t="str">
        <f>IF(C23="--","--",'DATA GPC'!P138)</f>
        <v>--</v>
      </c>
      <c r="F23" s="314"/>
      <c r="G23" s="1364" t="str">
        <f>'DATA GPC'!P1291</f>
        <v>--</v>
      </c>
      <c r="H23" s="473"/>
      <c r="I23" s="474" t="str">
        <f>'DATA GPC'!P1413</f>
        <v>--</v>
      </c>
      <c r="J23" s="473"/>
      <c r="K23" s="1364" t="str">
        <f>'DATA GPC'!P1505</f>
        <v>--</v>
      </c>
      <c r="L23" s="2073"/>
      <c r="M23" s="472" t="str">
        <f t="shared" si="1"/>
        <v>--</v>
      </c>
      <c r="N23" s="1525"/>
      <c r="O23" s="1557"/>
    </row>
    <row r="24" spans="1:15" ht="12" customHeight="1">
      <c r="A24" s="1510" t="str">
        <f t="shared" si="0"/>
        <v>n</v>
      </c>
      <c r="B24" s="1557">
        <v>12</v>
      </c>
      <c r="C24" s="146" t="str">
        <f>'DATA GPC'!E31</f>
        <v>--</v>
      </c>
      <c r="D24" s="420"/>
      <c r="E24" s="662" t="str">
        <f>IF(C24="--","--",'DATA GPC'!P139)</f>
        <v>--</v>
      </c>
      <c r="F24" s="314"/>
      <c r="G24" s="1364" t="str">
        <f>'DATA GPC'!P1292</f>
        <v>--</v>
      </c>
      <c r="H24" s="473"/>
      <c r="I24" s="474" t="str">
        <f>'DATA GPC'!P1414</f>
        <v>--</v>
      </c>
      <c r="J24" s="473"/>
      <c r="K24" s="1364" t="str">
        <f>'DATA GPC'!P1506</f>
        <v>--</v>
      </c>
      <c r="L24" s="2073"/>
      <c r="M24" s="472" t="str">
        <f t="shared" si="1"/>
        <v>--</v>
      </c>
      <c r="N24" s="1525"/>
      <c r="O24" s="1557"/>
    </row>
    <row r="25" spans="1:15" ht="12" customHeight="1">
      <c r="A25" s="1510" t="str">
        <f t="shared" si="0"/>
        <v>n</v>
      </c>
      <c r="B25" s="1557">
        <v>13</v>
      </c>
      <c r="C25" s="146" t="str">
        <f>'DATA GPC'!E32</f>
        <v>--</v>
      </c>
      <c r="D25" s="420"/>
      <c r="E25" s="662" t="str">
        <f>IF(C25="--","--",'DATA GPC'!P140)</f>
        <v>--</v>
      </c>
      <c r="F25" s="314"/>
      <c r="G25" s="1364" t="str">
        <f>'DATA GPC'!P1293</f>
        <v>--</v>
      </c>
      <c r="H25" s="473"/>
      <c r="I25" s="474" t="str">
        <f>'DATA GPC'!P1415</f>
        <v>--</v>
      </c>
      <c r="J25" s="473"/>
      <c r="K25" s="1364" t="str">
        <f>'DATA GPC'!P1507</f>
        <v>--</v>
      </c>
      <c r="L25" s="2073"/>
      <c r="M25" s="472" t="str">
        <f t="shared" si="1"/>
        <v>--</v>
      </c>
      <c r="N25" s="1525"/>
      <c r="O25" s="1557"/>
    </row>
    <row r="26" spans="1:15" ht="12" customHeight="1">
      <c r="A26" s="1510" t="str">
        <f t="shared" si="0"/>
        <v>n</v>
      </c>
      <c r="B26" s="1557">
        <v>14</v>
      </c>
      <c r="C26" s="146" t="str">
        <f>'DATA GPC'!E33</f>
        <v>--</v>
      </c>
      <c r="D26" s="420"/>
      <c r="E26" s="662" t="str">
        <f>IF(C26="--","--",'DATA GPC'!P141)</f>
        <v>--</v>
      </c>
      <c r="F26" s="314"/>
      <c r="G26" s="1364" t="str">
        <f>'DATA GPC'!P1294</f>
        <v>--</v>
      </c>
      <c r="H26" s="473"/>
      <c r="I26" s="474" t="str">
        <f>'DATA GPC'!P1416</f>
        <v>--</v>
      </c>
      <c r="J26" s="473"/>
      <c r="K26" s="1364" t="str">
        <f>'DATA GPC'!P1508</f>
        <v>--</v>
      </c>
      <c r="L26" s="2073"/>
      <c r="M26" s="472" t="str">
        <f t="shared" si="1"/>
        <v>--</v>
      </c>
      <c r="N26" s="1525"/>
      <c r="O26" s="1557"/>
    </row>
    <row r="27" spans="1:15" s="1525" customFormat="1" ht="12" customHeight="1">
      <c r="A27" s="1510" t="str">
        <f t="shared" si="0"/>
        <v>n</v>
      </c>
      <c r="B27" s="1557">
        <v>15</v>
      </c>
      <c r="C27" s="146" t="str">
        <f>'DATA GPC'!E34</f>
        <v>--</v>
      </c>
      <c r="D27" s="420"/>
      <c r="E27" s="662" t="str">
        <f>IF(C27="--","--",'DATA GPC'!P142)</f>
        <v>--</v>
      </c>
      <c r="F27" s="314"/>
      <c r="G27" s="1364" t="str">
        <f>'DATA GPC'!P1295</f>
        <v>--</v>
      </c>
      <c r="H27" s="473"/>
      <c r="I27" s="474" t="str">
        <f>'DATA GPC'!P1417</f>
        <v>--</v>
      </c>
      <c r="J27" s="473"/>
      <c r="K27" s="1364" t="str">
        <f>'DATA GPC'!P1509</f>
        <v>--</v>
      </c>
      <c r="L27" s="2073"/>
      <c r="M27" s="472" t="str">
        <f t="shared" si="1"/>
        <v>--</v>
      </c>
      <c r="O27" s="1557"/>
    </row>
    <row r="28" spans="1:15" s="1525" customFormat="1" ht="12" customHeight="1">
      <c r="A28" s="1510" t="str">
        <f t="shared" si="0"/>
        <v>n</v>
      </c>
      <c r="B28" s="1557">
        <v>16</v>
      </c>
      <c r="C28" s="146" t="str">
        <f>'DATA GPC'!E35</f>
        <v>--</v>
      </c>
      <c r="D28" s="420"/>
      <c r="E28" s="662" t="str">
        <f>IF(C28="--","--",'DATA GPC'!P143)</f>
        <v>--</v>
      </c>
      <c r="F28" s="314"/>
      <c r="G28" s="1364" t="str">
        <f>'DATA GPC'!P1296</f>
        <v>--</v>
      </c>
      <c r="H28" s="473"/>
      <c r="I28" s="474" t="str">
        <f>'DATA GPC'!P1418</f>
        <v>--</v>
      </c>
      <c r="J28" s="473"/>
      <c r="K28" s="1364" t="str">
        <f>'DATA GPC'!P1510</f>
        <v>--</v>
      </c>
      <c r="L28" s="2073"/>
      <c r="M28" s="472" t="str">
        <f t="shared" si="1"/>
        <v>--</v>
      </c>
      <c r="O28" s="1557"/>
    </row>
    <row r="29" spans="1:15" s="1525" customFormat="1" ht="12" customHeight="1">
      <c r="A29" s="1510" t="str">
        <f t="shared" si="0"/>
        <v>n</v>
      </c>
      <c r="B29" s="1557">
        <v>17</v>
      </c>
      <c r="C29" s="146" t="str">
        <f>'DATA GPC'!E36</f>
        <v>--</v>
      </c>
      <c r="D29" s="420"/>
      <c r="E29" s="662" t="str">
        <f>IF(C29="--","--",'DATA GPC'!P144)</f>
        <v>--</v>
      </c>
      <c r="F29" s="314"/>
      <c r="G29" s="1364" t="str">
        <f>'DATA GPC'!P1297</f>
        <v>--</v>
      </c>
      <c r="H29" s="473"/>
      <c r="I29" s="474" t="str">
        <f>'DATA GPC'!P1419</f>
        <v>--</v>
      </c>
      <c r="J29" s="473"/>
      <c r="K29" s="1364" t="str">
        <f>'DATA GPC'!P1511</f>
        <v>--</v>
      </c>
      <c r="L29" s="2073"/>
      <c r="M29" s="472" t="str">
        <f t="shared" si="1"/>
        <v>--</v>
      </c>
      <c r="O29" s="1557"/>
    </row>
    <row r="30" spans="1:15" s="1525" customFormat="1" ht="12" customHeight="1">
      <c r="A30" s="1510" t="str">
        <f t="shared" si="0"/>
        <v>n</v>
      </c>
      <c r="B30" s="1557">
        <v>18</v>
      </c>
      <c r="C30" s="146" t="str">
        <f>'DATA GPC'!E37</f>
        <v>--</v>
      </c>
      <c r="D30" s="420"/>
      <c r="E30" s="662" t="str">
        <f>IF(C30="--","--",'DATA GPC'!P145)</f>
        <v>--</v>
      </c>
      <c r="F30" s="314"/>
      <c r="G30" s="1364" t="str">
        <f>'DATA GPC'!P1298</f>
        <v>--</v>
      </c>
      <c r="H30" s="473"/>
      <c r="I30" s="474" t="str">
        <f>'DATA GPC'!P1420</f>
        <v>--</v>
      </c>
      <c r="J30" s="473"/>
      <c r="K30" s="1364" t="str">
        <f>'DATA GPC'!P1512</f>
        <v>--</v>
      </c>
      <c r="L30" s="2073"/>
      <c r="M30" s="472" t="str">
        <f t="shared" si="1"/>
        <v>--</v>
      </c>
      <c r="O30" s="1557"/>
    </row>
    <row r="31" spans="1:15" s="1525" customFormat="1" ht="12" customHeight="1">
      <c r="A31" s="1510" t="str">
        <f t="shared" si="0"/>
        <v>n</v>
      </c>
      <c r="B31" s="1557">
        <v>19</v>
      </c>
      <c r="C31" s="146" t="str">
        <f>'DATA GPC'!E38</f>
        <v>--</v>
      </c>
      <c r="D31" s="420"/>
      <c r="E31" s="662" t="str">
        <f>IF(C31="--","--",'DATA GPC'!P146)</f>
        <v>--</v>
      </c>
      <c r="F31" s="314"/>
      <c r="G31" s="1364" t="str">
        <f>'DATA GPC'!P1299</f>
        <v>--</v>
      </c>
      <c r="H31" s="473"/>
      <c r="I31" s="474" t="str">
        <f>'DATA GPC'!P1421</f>
        <v>--</v>
      </c>
      <c r="J31" s="473"/>
      <c r="K31" s="1364" t="str">
        <f>'DATA GPC'!P1513</f>
        <v>--</v>
      </c>
      <c r="L31" s="2073"/>
      <c r="M31" s="472" t="str">
        <f t="shared" si="1"/>
        <v>--</v>
      </c>
      <c r="O31" s="1557"/>
    </row>
    <row r="32" spans="1:15" s="1525" customFormat="1" ht="12" customHeight="1">
      <c r="A32" s="1510" t="str">
        <f t="shared" si="0"/>
        <v>n</v>
      </c>
      <c r="B32" s="1557">
        <v>20</v>
      </c>
      <c r="C32" s="146" t="str">
        <f>'DATA GPC'!E39</f>
        <v>--</v>
      </c>
      <c r="D32" s="420"/>
      <c r="E32" s="662" t="str">
        <f>IF(C32="--","--",'DATA GPC'!P147)</f>
        <v>--</v>
      </c>
      <c r="F32" s="314"/>
      <c r="G32" s="1364" t="str">
        <f>'DATA GPC'!P1300</f>
        <v>--</v>
      </c>
      <c r="H32" s="473"/>
      <c r="I32" s="474" t="str">
        <f>'DATA GPC'!P1422</f>
        <v>--</v>
      </c>
      <c r="J32" s="473"/>
      <c r="K32" s="1364" t="str">
        <f>'DATA GPC'!P1514</f>
        <v>--</v>
      </c>
      <c r="L32" s="2073"/>
      <c r="M32" s="472" t="str">
        <f t="shared" si="1"/>
        <v>--</v>
      </c>
      <c r="O32" s="1557"/>
    </row>
    <row r="33" spans="1:15" s="1525" customFormat="1" ht="12" customHeight="1">
      <c r="A33" s="1510" t="str">
        <f t="shared" si="0"/>
        <v>n</v>
      </c>
      <c r="B33" s="1557">
        <v>21</v>
      </c>
      <c r="C33" s="146" t="str">
        <f>'DATA GPC'!E40</f>
        <v>--</v>
      </c>
      <c r="D33" s="420"/>
      <c r="E33" s="662" t="str">
        <f>IF(C33="--","--",'DATA GPC'!P148)</f>
        <v>--</v>
      </c>
      <c r="F33" s="314"/>
      <c r="G33" s="1364" t="str">
        <f>'DATA GPC'!P1301</f>
        <v>--</v>
      </c>
      <c r="H33" s="473"/>
      <c r="I33" s="474" t="str">
        <f>'DATA GPC'!P1423</f>
        <v>--</v>
      </c>
      <c r="J33" s="473"/>
      <c r="K33" s="1364" t="str">
        <f>'DATA GPC'!P1515</f>
        <v>--</v>
      </c>
      <c r="L33" s="2073"/>
      <c r="M33" s="472" t="str">
        <f t="shared" si="1"/>
        <v>--</v>
      </c>
      <c r="O33" s="1557"/>
    </row>
    <row r="34" spans="1:15" s="1525" customFormat="1" ht="12" customHeight="1">
      <c r="A34" s="1510" t="str">
        <f t="shared" si="0"/>
        <v>n</v>
      </c>
      <c r="B34" s="1557">
        <v>22</v>
      </c>
      <c r="C34" s="146" t="str">
        <f>'DATA GPC'!E41</f>
        <v>--</v>
      </c>
      <c r="D34" s="420"/>
      <c r="E34" s="662" t="str">
        <f>IF(C34="--","--",'DATA GPC'!P149)</f>
        <v>--</v>
      </c>
      <c r="F34" s="314"/>
      <c r="G34" s="1364" t="str">
        <f>'DATA GPC'!P1302</f>
        <v>--</v>
      </c>
      <c r="H34" s="473"/>
      <c r="I34" s="474" t="str">
        <f>'DATA GPC'!P1424</f>
        <v>--</v>
      </c>
      <c r="J34" s="473"/>
      <c r="K34" s="1364" t="str">
        <f>'DATA GPC'!P1516</f>
        <v>--</v>
      </c>
      <c r="L34" s="2073"/>
      <c r="M34" s="472" t="str">
        <f t="shared" si="1"/>
        <v>--</v>
      </c>
      <c r="O34" s="1557"/>
    </row>
    <row r="35" spans="1:15" s="1525" customFormat="1" ht="12" customHeight="1">
      <c r="A35" s="1510" t="str">
        <f t="shared" si="0"/>
        <v>n</v>
      </c>
      <c r="B35" s="1557">
        <v>23</v>
      </c>
      <c r="C35" s="146" t="str">
        <f>'DATA GPC'!E42</f>
        <v>--</v>
      </c>
      <c r="D35" s="420"/>
      <c r="E35" s="662" t="str">
        <f>IF(C35="--","--",'DATA GPC'!P150)</f>
        <v>--</v>
      </c>
      <c r="F35" s="314"/>
      <c r="G35" s="1364" t="str">
        <f>'DATA GPC'!P1303</f>
        <v>--</v>
      </c>
      <c r="H35" s="473"/>
      <c r="I35" s="474" t="str">
        <f>'DATA GPC'!P1425</f>
        <v>--</v>
      </c>
      <c r="J35" s="473"/>
      <c r="K35" s="1364" t="str">
        <f>'DATA GPC'!P1517</f>
        <v>--</v>
      </c>
      <c r="L35" s="2073"/>
      <c r="M35" s="472" t="str">
        <f t="shared" si="1"/>
        <v>--</v>
      </c>
      <c r="O35" s="1557"/>
    </row>
    <row r="36" spans="1:15" s="1525" customFormat="1" ht="12" customHeight="1">
      <c r="A36" s="1510" t="str">
        <f t="shared" si="0"/>
        <v>n</v>
      </c>
      <c r="B36" s="1557">
        <v>24</v>
      </c>
      <c r="C36" s="146" t="str">
        <f>'DATA GPC'!E43</f>
        <v>--</v>
      </c>
      <c r="D36" s="420"/>
      <c r="E36" s="662" t="str">
        <f>IF(C36="--","--",'DATA GPC'!P151)</f>
        <v>--</v>
      </c>
      <c r="F36" s="314"/>
      <c r="G36" s="1364" t="str">
        <f>'DATA GPC'!P1304</f>
        <v>--</v>
      </c>
      <c r="H36" s="473"/>
      <c r="I36" s="474" t="str">
        <f>'DATA GPC'!P1426</f>
        <v>--</v>
      </c>
      <c r="J36" s="473"/>
      <c r="K36" s="1364" t="str">
        <f>'DATA GPC'!P1518</f>
        <v>--</v>
      </c>
      <c r="L36" s="2073"/>
      <c r="M36" s="472" t="str">
        <f t="shared" si="1"/>
        <v>--</v>
      </c>
      <c r="O36" s="1557"/>
    </row>
    <row r="37" spans="1:15" ht="12" customHeight="1">
      <c r="A37" s="1510" t="str">
        <f t="shared" si="0"/>
        <v>n</v>
      </c>
      <c r="B37" s="1557">
        <v>25</v>
      </c>
      <c r="C37" s="146" t="str">
        <f>'DATA GPC'!E44</f>
        <v>--</v>
      </c>
      <c r="D37" s="420"/>
      <c r="E37" s="662" t="str">
        <f>IF(C37="--","--",'DATA GPC'!P152)</f>
        <v>--</v>
      </c>
      <c r="F37" s="314"/>
      <c r="G37" s="1364" t="str">
        <f>'DATA GPC'!P1305</f>
        <v>--</v>
      </c>
      <c r="H37" s="473"/>
      <c r="I37" s="474" t="str">
        <f>'DATA GPC'!P1427</f>
        <v>--</v>
      </c>
      <c r="J37" s="473"/>
      <c r="K37" s="1364" t="str">
        <f>'DATA GPC'!P1519</f>
        <v>--</v>
      </c>
      <c r="L37" s="2073"/>
      <c r="M37" s="472" t="str">
        <f t="shared" si="1"/>
        <v>--</v>
      </c>
      <c r="N37" s="1525"/>
      <c r="O37" s="1557"/>
    </row>
    <row r="38" spans="1:15" ht="12" customHeight="1">
      <c r="A38" s="1557"/>
      <c r="B38" s="1557"/>
      <c r="C38" s="314"/>
      <c r="D38" s="314"/>
      <c r="E38" s="666"/>
      <c r="F38" s="314"/>
      <c r="G38" s="314"/>
      <c r="H38" s="314"/>
      <c r="I38" s="314"/>
      <c r="J38" s="314"/>
      <c r="K38" s="314"/>
      <c r="L38" s="2073"/>
      <c r="M38" s="420"/>
      <c r="N38" s="1525"/>
      <c r="O38" s="1557"/>
    </row>
    <row r="39" spans="1:15" s="1525" customFormat="1" ht="12" customHeight="1">
      <c r="A39" s="1557"/>
      <c r="B39" s="1557"/>
      <c r="C39" s="314"/>
      <c r="D39" s="314"/>
      <c r="E39" s="666"/>
      <c r="F39" s="314"/>
      <c r="G39" s="314"/>
      <c r="H39" s="314"/>
      <c r="I39" s="314"/>
      <c r="J39" s="314"/>
      <c r="K39" s="314"/>
      <c r="L39" s="2073"/>
      <c r="M39" s="420"/>
      <c r="O39" s="1557"/>
    </row>
    <row r="40" spans="1:15" s="1525" customFormat="1" ht="12" customHeight="1">
      <c r="A40" s="1557"/>
      <c r="B40" s="1557"/>
      <c r="C40" s="314"/>
      <c r="D40" s="314"/>
      <c r="E40" s="666"/>
      <c r="F40" s="314"/>
      <c r="G40" s="314"/>
      <c r="H40" s="314"/>
      <c r="I40" s="314"/>
      <c r="J40" s="314"/>
      <c r="K40" s="314"/>
      <c r="L40" s="2073"/>
      <c r="M40" s="420"/>
      <c r="O40" s="1557"/>
    </row>
    <row r="41" spans="1:15" s="336" customFormat="1" ht="13.9">
      <c r="A41" s="1510"/>
      <c r="B41" s="1510"/>
      <c r="C41" s="1184"/>
      <c r="D41" s="1265"/>
      <c r="E41" s="1285"/>
      <c r="F41" s="1187"/>
      <c r="G41" s="1187" t="s">
        <v>1786</v>
      </c>
      <c r="H41" s="1187"/>
      <c r="I41" s="1187" t="s">
        <v>1787</v>
      </c>
      <c r="J41" s="1187"/>
      <c r="K41" s="1187"/>
      <c r="L41" s="1187"/>
      <c r="M41" s="1187" t="s">
        <v>1788</v>
      </c>
      <c r="N41" s="2060"/>
      <c r="O41" s="1546"/>
    </row>
    <row r="42" spans="1:15" s="336" customFormat="1" ht="13.9">
      <c r="A42" s="1510"/>
      <c r="B42" s="1510"/>
      <c r="C42" s="1286" t="s">
        <v>1792</v>
      </c>
      <c r="D42" s="1286"/>
      <c r="E42" s="1287" t="s">
        <v>688</v>
      </c>
      <c r="F42" s="1266"/>
      <c r="G42" s="1266" t="s">
        <v>1790</v>
      </c>
      <c r="H42" s="1266"/>
      <c r="I42" s="1266" t="s">
        <v>1791</v>
      </c>
      <c r="J42" s="1266"/>
      <c r="K42" s="1266" t="s">
        <v>476</v>
      </c>
      <c r="L42" s="1266"/>
      <c r="M42" s="1266" t="s">
        <v>476</v>
      </c>
      <c r="N42" s="2060"/>
      <c r="O42" s="1546"/>
    </row>
    <row r="43" spans="1:15" s="1527" customFormat="1" ht="13.9">
      <c r="A43" s="1510"/>
      <c r="B43" s="1058"/>
      <c r="C43" s="724" t="s">
        <v>1471</v>
      </c>
      <c r="D43" s="724"/>
      <c r="E43" s="725"/>
      <c r="F43" s="725"/>
      <c r="G43" s="725"/>
      <c r="H43" s="725"/>
      <c r="I43" s="725"/>
      <c r="J43" s="725"/>
      <c r="K43" s="725"/>
      <c r="L43" s="725"/>
      <c r="M43" s="725"/>
      <c r="N43" s="2060"/>
      <c r="O43" s="1546"/>
    </row>
    <row r="44" spans="1:15" s="1527" customFormat="1" ht="13.9">
      <c r="A44" s="1510"/>
      <c r="B44" s="1058">
        <v>0</v>
      </c>
      <c r="C44" s="314" t="str">
        <f>ClientName</f>
        <v/>
      </c>
      <c r="D44" s="724"/>
      <c r="E44" s="476">
        <f>LFY</f>
        <v>42460</v>
      </c>
      <c r="F44" s="725"/>
      <c r="G44" s="1364" t="str">
        <f>'DATA GPC'!P1280</f>
        <v>--</v>
      </c>
      <c r="H44" s="725"/>
      <c r="I44" s="474" t="str">
        <f>'DATA GPC'!P1402</f>
        <v>--</v>
      </c>
      <c r="J44" s="725"/>
      <c r="K44" s="1364" t="str">
        <f>'DATA GPC'!P1494</f>
        <v>--</v>
      </c>
      <c r="L44" s="725"/>
      <c r="M44" s="472" t="str">
        <f>IF(E44="--","--",IF(ISTEXT(K44),"--",RANK($K44,$K$44:$K$71)))</f>
        <v>--</v>
      </c>
      <c r="N44" s="2060"/>
      <c r="O44" s="1546"/>
    </row>
    <row r="45" spans="1:15" s="1527" customFormat="1" ht="13.9">
      <c r="A45" s="1510"/>
      <c r="B45" s="1510"/>
      <c r="C45" s="729"/>
      <c r="D45" s="729"/>
      <c r="E45" s="1829"/>
      <c r="F45" s="731"/>
      <c r="G45" s="731"/>
      <c r="H45" s="731"/>
      <c r="I45" s="731"/>
      <c r="J45" s="731"/>
      <c r="K45" s="731"/>
      <c r="L45" s="731"/>
      <c r="M45" s="731"/>
      <c r="N45" s="2060"/>
      <c r="O45" s="1546"/>
    </row>
    <row r="46" spans="1:15" s="1527" customFormat="1" ht="13.9">
      <c r="A46" s="1510"/>
      <c r="B46" s="1510"/>
      <c r="C46" s="724" t="s">
        <v>1256</v>
      </c>
      <c r="D46" s="729"/>
      <c r="E46" s="1829"/>
      <c r="F46" s="731"/>
      <c r="G46" s="731"/>
      <c r="H46" s="731"/>
      <c r="I46" s="731"/>
      <c r="J46" s="731"/>
      <c r="K46" s="731"/>
      <c r="L46" s="731"/>
      <c r="M46" s="731"/>
      <c r="N46" s="2060"/>
      <c r="O46" s="1546"/>
    </row>
    <row r="47" spans="1:15" ht="12" customHeight="1">
      <c r="A47" s="1510" t="str">
        <f t="shared" ref="A47:A56" si="2">IF(N(G47),"","n")</f>
        <v>n</v>
      </c>
      <c r="B47" s="1557">
        <v>1</v>
      </c>
      <c r="C47" s="314" t="str">
        <f t="shared" ref="C47:C56" si="3">C13</f>
        <v>--</v>
      </c>
      <c r="D47" s="314"/>
      <c r="E47" s="846" t="str">
        <f>'DATA GPC'!O129</f>
        <v>--</v>
      </c>
      <c r="F47" s="314"/>
      <c r="G47" s="1364" t="str">
        <f>'DATA GPC'!O1281</f>
        <v>--</v>
      </c>
      <c r="H47" s="1364"/>
      <c r="I47" s="474" t="str">
        <f>'DATA GPC'!O1403</f>
        <v>--</v>
      </c>
      <c r="J47" s="473"/>
      <c r="K47" s="1364" t="str">
        <f>'DATA GPC'!O1495</f>
        <v>--</v>
      </c>
      <c r="L47" s="2073" t="s">
        <v>1793</v>
      </c>
      <c r="M47" s="472" t="str">
        <f>IF(E47="--","--",IF(ISTEXT(K47),"--",RANK($K47,$K$44:$K$71)))</f>
        <v>--</v>
      </c>
      <c r="N47" s="1525"/>
      <c r="O47" s="1557"/>
    </row>
    <row r="48" spans="1:15" ht="12" customHeight="1">
      <c r="A48" s="1510" t="str">
        <f t="shared" si="2"/>
        <v>n</v>
      </c>
      <c r="B48" s="1557">
        <v>2</v>
      </c>
      <c r="C48" s="314" t="str">
        <f t="shared" si="3"/>
        <v>--</v>
      </c>
      <c r="D48" s="1513"/>
      <c r="E48" s="846" t="str">
        <f>'DATA GPC'!O130</f>
        <v>--</v>
      </c>
      <c r="F48" s="314"/>
      <c r="G48" s="1364" t="str">
        <f>'DATA GPC'!O1282</f>
        <v>--</v>
      </c>
      <c r="H48" s="1364"/>
      <c r="I48" s="474" t="str">
        <f>'DATA GPC'!O1404</f>
        <v>--</v>
      </c>
      <c r="J48" s="473"/>
      <c r="K48" s="1364" t="str">
        <f>'DATA GPC'!O1496</f>
        <v>--</v>
      </c>
      <c r="L48" s="2073" t="s">
        <v>1793</v>
      </c>
      <c r="M48" s="472" t="str">
        <f t="shared" ref="M48:M71" si="4">IF(E48="--","--",IF(ISTEXT(K48),"--",RANK($K48,$K$44:$K$71)))</f>
        <v>--</v>
      </c>
      <c r="N48" s="1525"/>
      <c r="O48" s="1557"/>
    </row>
    <row r="49" spans="1:15" ht="12" customHeight="1">
      <c r="A49" s="1510" t="str">
        <f t="shared" si="2"/>
        <v>n</v>
      </c>
      <c r="B49" s="1557">
        <v>3</v>
      </c>
      <c r="C49" s="314" t="str">
        <f t="shared" si="3"/>
        <v>--</v>
      </c>
      <c r="D49" s="421"/>
      <c r="E49" s="846" t="str">
        <f>'DATA GPC'!O131</f>
        <v>--</v>
      </c>
      <c r="F49" s="314"/>
      <c r="G49" s="1364" t="str">
        <f>'DATA GPC'!O1283</f>
        <v>--</v>
      </c>
      <c r="H49" s="1364"/>
      <c r="I49" s="474" t="str">
        <f>'DATA GPC'!O1405</f>
        <v>--</v>
      </c>
      <c r="J49" s="473"/>
      <c r="K49" s="1364" t="str">
        <f>'DATA GPC'!O1497</f>
        <v>--</v>
      </c>
      <c r="L49" s="2073" t="s">
        <v>1793</v>
      </c>
      <c r="M49" s="472" t="str">
        <f t="shared" si="4"/>
        <v>--</v>
      </c>
      <c r="N49" s="1525"/>
      <c r="O49" s="1557"/>
    </row>
    <row r="50" spans="1:15" ht="12" customHeight="1">
      <c r="A50" s="1510" t="str">
        <f t="shared" si="2"/>
        <v>n</v>
      </c>
      <c r="B50" s="1557">
        <v>4</v>
      </c>
      <c r="C50" s="314" t="str">
        <f t="shared" si="3"/>
        <v>--</v>
      </c>
      <c r="D50" s="421"/>
      <c r="E50" s="846" t="str">
        <f>'DATA GPC'!O132</f>
        <v>--</v>
      </c>
      <c r="F50" s="314"/>
      <c r="G50" s="1364" t="str">
        <f>'DATA GPC'!O1284</f>
        <v>--</v>
      </c>
      <c r="H50" s="1364"/>
      <c r="I50" s="474" t="str">
        <f>'DATA GPC'!O1406</f>
        <v>--</v>
      </c>
      <c r="J50" s="473"/>
      <c r="K50" s="1364" t="str">
        <f>'DATA GPC'!O1498</f>
        <v>--</v>
      </c>
      <c r="L50" s="2073" t="s">
        <v>1793</v>
      </c>
      <c r="M50" s="472" t="str">
        <f t="shared" si="4"/>
        <v>--</v>
      </c>
      <c r="N50" s="1525"/>
      <c r="O50" s="1557"/>
    </row>
    <row r="51" spans="1:15" ht="12" customHeight="1">
      <c r="A51" s="1510" t="str">
        <f t="shared" si="2"/>
        <v>n</v>
      </c>
      <c r="B51" s="1557">
        <v>5</v>
      </c>
      <c r="C51" s="314" t="str">
        <f t="shared" si="3"/>
        <v>--</v>
      </c>
      <c r="D51" s="421"/>
      <c r="E51" s="846" t="str">
        <f>'DATA GPC'!O133</f>
        <v>--</v>
      </c>
      <c r="F51" s="314"/>
      <c r="G51" s="1364" t="str">
        <f>'DATA GPC'!O1285</f>
        <v>--</v>
      </c>
      <c r="H51" s="1364"/>
      <c r="I51" s="474" t="str">
        <f>'DATA GPC'!O1407</f>
        <v>--</v>
      </c>
      <c r="J51" s="473"/>
      <c r="K51" s="1364" t="str">
        <f>'DATA GPC'!O1499</f>
        <v>--</v>
      </c>
      <c r="L51" s="2073" t="s">
        <v>1793</v>
      </c>
      <c r="M51" s="472" t="str">
        <f t="shared" si="4"/>
        <v>--</v>
      </c>
      <c r="N51" s="1525"/>
      <c r="O51" s="1557"/>
    </row>
    <row r="52" spans="1:15" ht="12" customHeight="1">
      <c r="A52" s="1510" t="str">
        <f t="shared" si="2"/>
        <v>n</v>
      </c>
      <c r="B52" s="1557">
        <v>6</v>
      </c>
      <c r="C52" s="314" t="str">
        <f t="shared" si="3"/>
        <v>--</v>
      </c>
      <c r="D52" s="421"/>
      <c r="E52" s="846" t="str">
        <f>'DATA GPC'!O134</f>
        <v>--</v>
      </c>
      <c r="F52" s="314"/>
      <c r="G52" s="1364" t="str">
        <f>'DATA GPC'!O1286</f>
        <v>--</v>
      </c>
      <c r="H52" s="1364"/>
      <c r="I52" s="474" t="str">
        <f>'DATA GPC'!O1408</f>
        <v>--</v>
      </c>
      <c r="J52" s="473"/>
      <c r="K52" s="1364" t="str">
        <f>'DATA GPC'!O1500</f>
        <v>--</v>
      </c>
      <c r="L52" s="2073" t="s">
        <v>1793</v>
      </c>
      <c r="M52" s="472" t="str">
        <f t="shared" si="4"/>
        <v>--</v>
      </c>
      <c r="N52" s="1525"/>
      <c r="O52" s="1557"/>
    </row>
    <row r="53" spans="1:15" ht="12" customHeight="1">
      <c r="A53" s="1510" t="str">
        <f t="shared" si="2"/>
        <v>n</v>
      </c>
      <c r="B53" s="1557">
        <v>7</v>
      </c>
      <c r="C53" s="314" t="str">
        <f t="shared" si="3"/>
        <v>--</v>
      </c>
      <c r="D53" s="421"/>
      <c r="E53" s="846" t="str">
        <f>'DATA GPC'!O135</f>
        <v>--</v>
      </c>
      <c r="F53" s="314"/>
      <c r="G53" s="1364" t="str">
        <f>'DATA GPC'!O1287</f>
        <v>--</v>
      </c>
      <c r="H53" s="1364"/>
      <c r="I53" s="474" t="str">
        <f>'DATA GPC'!O1409</f>
        <v>--</v>
      </c>
      <c r="J53" s="473"/>
      <c r="K53" s="1364" t="str">
        <f>'DATA GPC'!O1501</f>
        <v>--</v>
      </c>
      <c r="L53" s="2073" t="s">
        <v>1793</v>
      </c>
      <c r="M53" s="472" t="str">
        <f t="shared" si="4"/>
        <v>--</v>
      </c>
      <c r="N53" s="1525"/>
      <c r="O53" s="1557"/>
    </row>
    <row r="54" spans="1:15" ht="12" customHeight="1">
      <c r="A54" s="1510" t="str">
        <f t="shared" si="2"/>
        <v>n</v>
      </c>
      <c r="B54" s="1557">
        <v>8</v>
      </c>
      <c r="C54" s="314" t="str">
        <f t="shared" si="3"/>
        <v>--</v>
      </c>
      <c r="D54" s="421"/>
      <c r="E54" s="846" t="str">
        <f>'DATA GPC'!O136</f>
        <v>--</v>
      </c>
      <c r="F54" s="314"/>
      <c r="G54" s="1364" t="str">
        <f>'DATA GPC'!O1288</f>
        <v>--</v>
      </c>
      <c r="H54" s="1364"/>
      <c r="I54" s="474" t="str">
        <f>'DATA GPC'!O1410</f>
        <v>--</v>
      </c>
      <c r="J54" s="473"/>
      <c r="K54" s="1364" t="str">
        <f>'DATA GPC'!O1502</f>
        <v>--</v>
      </c>
      <c r="L54" s="2073" t="s">
        <v>1793</v>
      </c>
      <c r="M54" s="472" t="str">
        <f t="shared" si="4"/>
        <v>--</v>
      </c>
      <c r="N54" s="1525"/>
      <c r="O54" s="1557"/>
    </row>
    <row r="55" spans="1:15" ht="12" customHeight="1">
      <c r="A55" s="1510" t="str">
        <f t="shared" si="2"/>
        <v>n</v>
      </c>
      <c r="B55" s="1557">
        <v>9</v>
      </c>
      <c r="C55" s="314" t="str">
        <f t="shared" si="3"/>
        <v>--</v>
      </c>
      <c r="D55" s="421"/>
      <c r="E55" s="846" t="str">
        <f>'DATA GPC'!O137</f>
        <v>--</v>
      </c>
      <c r="F55" s="314"/>
      <c r="G55" s="1364" t="str">
        <f>'DATA GPC'!O1289</f>
        <v>--</v>
      </c>
      <c r="H55" s="1364"/>
      <c r="I55" s="474" t="str">
        <f>'DATA GPC'!O1411</f>
        <v>--</v>
      </c>
      <c r="J55" s="473"/>
      <c r="K55" s="1364" t="str">
        <f>'DATA GPC'!O1503</f>
        <v>--</v>
      </c>
      <c r="L55" s="2073" t="s">
        <v>1793</v>
      </c>
      <c r="M55" s="472" t="str">
        <f t="shared" si="4"/>
        <v>--</v>
      </c>
      <c r="N55" s="1525"/>
      <c r="O55" s="1557"/>
    </row>
    <row r="56" spans="1:15" ht="12" customHeight="1">
      <c r="A56" s="1510" t="str">
        <f t="shared" si="2"/>
        <v>n</v>
      </c>
      <c r="B56" s="1557">
        <v>10</v>
      </c>
      <c r="C56" s="314" t="str">
        <f t="shared" si="3"/>
        <v>--</v>
      </c>
      <c r="D56" s="421"/>
      <c r="E56" s="846" t="str">
        <f>'DATA GPC'!O138</f>
        <v>--</v>
      </c>
      <c r="F56" s="314"/>
      <c r="G56" s="1364" t="str">
        <f>'DATA GPC'!O1290</f>
        <v>--</v>
      </c>
      <c r="H56" s="1364"/>
      <c r="I56" s="474" t="str">
        <f>'DATA GPC'!O1412</f>
        <v>--</v>
      </c>
      <c r="J56" s="473"/>
      <c r="K56" s="1364" t="str">
        <f>'DATA GPC'!O1504</f>
        <v>--</v>
      </c>
      <c r="L56" s="2073" t="s">
        <v>1793</v>
      </c>
      <c r="M56" s="472" t="str">
        <f t="shared" si="4"/>
        <v>--</v>
      </c>
      <c r="N56" s="1525"/>
      <c r="O56" s="1557"/>
    </row>
    <row r="57" spans="1:15" ht="12" customHeight="1">
      <c r="A57" s="1510" t="str">
        <f t="shared" ref="A57:A71" si="5">IF(N(G57),"","n")</f>
        <v>n</v>
      </c>
      <c r="B57" s="1557">
        <v>11</v>
      </c>
      <c r="C57" s="314" t="str">
        <f t="shared" ref="C57:C71" si="6">C23</f>
        <v>--</v>
      </c>
      <c r="D57" s="421"/>
      <c r="E57" s="846" t="str">
        <f>'DATA GPC'!O139</f>
        <v>--</v>
      </c>
      <c r="F57" s="314"/>
      <c r="G57" s="1364" t="str">
        <f>'DATA GPC'!O1291</f>
        <v>--</v>
      </c>
      <c r="H57" s="1364"/>
      <c r="I57" s="474" t="str">
        <f>'DATA GPC'!O1413</f>
        <v>--</v>
      </c>
      <c r="J57" s="473"/>
      <c r="K57" s="1364" t="str">
        <f>'DATA GPC'!O1505</f>
        <v>--</v>
      </c>
      <c r="L57" s="2073" t="s">
        <v>1793</v>
      </c>
      <c r="M57" s="472" t="str">
        <f t="shared" si="4"/>
        <v>--</v>
      </c>
      <c r="N57" s="1525"/>
      <c r="O57" s="1557"/>
    </row>
    <row r="58" spans="1:15" ht="12" customHeight="1">
      <c r="A58" s="1510" t="str">
        <f t="shared" si="5"/>
        <v>n</v>
      </c>
      <c r="B58" s="1557">
        <v>12</v>
      </c>
      <c r="C58" s="314" t="str">
        <f t="shared" si="6"/>
        <v>--</v>
      </c>
      <c r="D58" s="421"/>
      <c r="E58" s="846" t="str">
        <f>'DATA GPC'!O140</f>
        <v>--</v>
      </c>
      <c r="F58" s="314"/>
      <c r="G58" s="1364" t="str">
        <f>'DATA GPC'!O1292</f>
        <v>--</v>
      </c>
      <c r="H58" s="1364"/>
      <c r="I58" s="474" t="str">
        <f>'DATA GPC'!O1414</f>
        <v>--</v>
      </c>
      <c r="J58" s="473"/>
      <c r="K58" s="1364" t="str">
        <f>'DATA GPC'!O1506</f>
        <v>--</v>
      </c>
      <c r="L58" s="2073" t="s">
        <v>1793</v>
      </c>
      <c r="M58" s="472" t="str">
        <f t="shared" si="4"/>
        <v>--</v>
      </c>
      <c r="N58" s="1525"/>
      <c r="O58" s="1557"/>
    </row>
    <row r="59" spans="1:15" ht="13.9">
      <c r="A59" s="1510" t="str">
        <f t="shared" si="5"/>
        <v>n</v>
      </c>
      <c r="B59" s="1557">
        <v>13</v>
      </c>
      <c r="C59" s="314" t="str">
        <f t="shared" si="6"/>
        <v>--</v>
      </c>
      <c r="D59" s="421"/>
      <c r="E59" s="846" t="str">
        <f>'DATA GPC'!O141</f>
        <v>--</v>
      </c>
      <c r="F59" s="314"/>
      <c r="G59" s="1364" t="str">
        <f>'DATA GPC'!O1293</f>
        <v>--</v>
      </c>
      <c r="H59" s="1364"/>
      <c r="I59" s="474" t="str">
        <f>'DATA GPC'!O1415</f>
        <v>--</v>
      </c>
      <c r="J59" s="473"/>
      <c r="K59" s="1364" t="str">
        <f>'DATA GPC'!O1507</f>
        <v>--</v>
      </c>
      <c r="L59" s="2073" t="s">
        <v>1793</v>
      </c>
      <c r="M59" s="472" t="str">
        <f t="shared" si="4"/>
        <v>--</v>
      </c>
      <c r="N59" s="1525"/>
      <c r="O59" s="1557"/>
    </row>
    <row r="60" spans="1:15" ht="13.9">
      <c r="A60" s="1510" t="str">
        <f t="shared" si="5"/>
        <v>n</v>
      </c>
      <c r="B60" s="1557">
        <v>14</v>
      </c>
      <c r="C60" s="314" t="str">
        <f t="shared" si="6"/>
        <v>--</v>
      </c>
      <c r="D60" s="421"/>
      <c r="E60" s="846" t="str">
        <f>'DATA GPC'!O142</f>
        <v>--</v>
      </c>
      <c r="F60" s="314"/>
      <c r="G60" s="1364" t="str">
        <f>'DATA GPC'!O1294</f>
        <v>--</v>
      </c>
      <c r="H60" s="1364"/>
      <c r="I60" s="474" t="str">
        <f>'DATA GPC'!O1416</f>
        <v>--</v>
      </c>
      <c r="J60" s="473"/>
      <c r="K60" s="1364" t="str">
        <f>'DATA GPC'!O1508</f>
        <v>--</v>
      </c>
      <c r="L60" s="2073" t="s">
        <v>1793</v>
      </c>
      <c r="M60" s="472" t="str">
        <f t="shared" si="4"/>
        <v>--</v>
      </c>
      <c r="N60" s="1525"/>
      <c r="O60" s="1557"/>
    </row>
    <row r="61" spans="1:15" s="1525" customFormat="1" ht="13.9">
      <c r="A61" s="1510" t="str">
        <f t="shared" si="5"/>
        <v>n</v>
      </c>
      <c r="B61" s="1557">
        <v>15</v>
      </c>
      <c r="C61" s="314" t="str">
        <f t="shared" si="6"/>
        <v>--</v>
      </c>
      <c r="D61" s="421"/>
      <c r="E61" s="846" t="str">
        <f>'DATA GPC'!O143</f>
        <v>--</v>
      </c>
      <c r="F61" s="314"/>
      <c r="G61" s="1364" t="str">
        <f>'DATA GPC'!O1295</f>
        <v>--</v>
      </c>
      <c r="H61" s="1364"/>
      <c r="I61" s="474" t="str">
        <f>'DATA GPC'!O1417</f>
        <v>--</v>
      </c>
      <c r="J61" s="473"/>
      <c r="K61" s="1364" t="str">
        <f>'DATA GPC'!O1509</f>
        <v>--</v>
      </c>
      <c r="L61" s="2073" t="s">
        <v>1793</v>
      </c>
      <c r="M61" s="472" t="str">
        <f t="shared" si="4"/>
        <v>--</v>
      </c>
      <c r="O61" s="1557"/>
    </row>
    <row r="62" spans="1:15" s="1525" customFormat="1" ht="13.9">
      <c r="A62" s="1510" t="str">
        <f t="shared" si="5"/>
        <v>n</v>
      </c>
      <c r="B62" s="1557">
        <v>16</v>
      </c>
      <c r="C62" s="314" t="str">
        <f t="shared" si="6"/>
        <v>--</v>
      </c>
      <c r="D62" s="421"/>
      <c r="E62" s="846" t="str">
        <f>'DATA GPC'!O144</f>
        <v>--</v>
      </c>
      <c r="F62" s="314"/>
      <c r="G62" s="1364" t="str">
        <f>'DATA GPC'!O1296</f>
        <v>--</v>
      </c>
      <c r="H62" s="1364"/>
      <c r="I62" s="474" t="str">
        <f>'DATA GPC'!O1418</f>
        <v>--</v>
      </c>
      <c r="J62" s="473"/>
      <c r="K62" s="1364" t="str">
        <f>'DATA GPC'!O1510</f>
        <v>--</v>
      </c>
      <c r="L62" s="2073" t="s">
        <v>1793</v>
      </c>
      <c r="M62" s="472" t="str">
        <f t="shared" si="4"/>
        <v>--</v>
      </c>
      <c r="O62" s="1557"/>
    </row>
    <row r="63" spans="1:15" s="1525" customFormat="1" ht="13.9">
      <c r="A63" s="1510" t="str">
        <f t="shared" si="5"/>
        <v>n</v>
      </c>
      <c r="B63" s="1557">
        <v>17</v>
      </c>
      <c r="C63" s="314" t="str">
        <f t="shared" si="6"/>
        <v>--</v>
      </c>
      <c r="D63" s="421"/>
      <c r="E63" s="846" t="str">
        <f>'DATA GPC'!O145</f>
        <v>--</v>
      </c>
      <c r="F63" s="314"/>
      <c r="G63" s="1364" t="str">
        <f>'DATA GPC'!O1297</f>
        <v>--</v>
      </c>
      <c r="H63" s="1364"/>
      <c r="I63" s="474" t="str">
        <f>'DATA GPC'!O1419</f>
        <v>--</v>
      </c>
      <c r="J63" s="473"/>
      <c r="K63" s="1364" t="str">
        <f>'DATA GPC'!O1511</f>
        <v>--</v>
      </c>
      <c r="L63" s="2073" t="s">
        <v>1793</v>
      </c>
      <c r="M63" s="472" t="str">
        <f t="shared" si="4"/>
        <v>--</v>
      </c>
      <c r="O63" s="1557"/>
    </row>
    <row r="64" spans="1:15" s="1525" customFormat="1" ht="13.9">
      <c r="A64" s="1510" t="str">
        <f t="shared" si="5"/>
        <v>n</v>
      </c>
      <c r="B64" s="1557">
        <v>18</v>
      </c>
      <c r="C64" s="314" t="str">
        <f t="shared" si="6"/>
        <v>--</v>
      </c>
      <c r="D64" s="421"/>
      <c r="E64" s="846" t="str">
        <f>'DATA GPC'!O146</f>
        <v>--</v>
      </c>
      <c r="F64" s="314"/>
      <c r="G64" s="1364" t="str">
        <f>'DATA GPC'!O1298</f>
        <v>--</v>
      </c>
      <c r="H64" s="1364"/>
      <c r="I64" s="474" t="str">
        <f>'DATA GPC'!O1420</f>
        <v>--</v>
      </c>
      <c r="J64" s="473"/>
      <c r="K64" s="1364" t="str">
        <f>'DATA GPC'!O1512</f>
        <v>--</v>
      </c>
      <c r="L64" s="2073" t="s">
        <v>1793</v>
      </c>
      <c r="M64" s="472" t="str">
        <f t="shared" si="4"/>
        <v>--</v>
      </c>
      <c r="O64" s="1557"/>
    </row>
    <row r="65" spans="1:15" s="1525" customFormat="1" ht="13.9">
      <c r="A65" s="1510" t="str">
        <f t="shared" si="5"/>
        <v>n</v>
      </c>
      <c r="B65" s="1557">
        <v>19</v>
      </c>
      <c r="C65" s="314" t="str">
        <f t="shared" si="6"/>
        <v>--</v>
      </c>
      <c r="D65" s="421"/>
      <c r="E65" s="846" t="str">
        <f>'DATA GPC'!O147</f>
        <v>--</v>
      </c>
      <c r="F65" s="314"/>
      <c r="G65" s="1364" t="str">
        <f>'DATA GPC'!O1299</f>
        <v>--</v>
      </c>
      <c r="H65" s="1364"/>
      <c r="I65" s="474" t="str">
        <f>'DATA GPC'!O1421</f>
        <v>--</v>
      </c>
      <c r="J65" s="473"/>
      <c r="K65" s="1364" t="str">
        <f>'DATA GPC'!O1513</f>
        <v>--</v>
      </c>
      <c r="L65" s="2073" t="s">
        <v>1793</v>
      </c>
      <c r="M65" s="472" t="str">
        <f t="shared" si="4"/>
        <v>--</v>
      </c>
      <c r="O65" s="1557"/>
    </row>
    <row r="66" spans="1:15" s="1525" customFormat="1" ht="13.9">
      <c r="A66" s="1510" t="str">
        <f t="shared" si="5"/>
        <v>n</v>
      </c>
      <c r="B66" s="1557">
        <v>20</v>
      </c>
      <c r="C66" s="314" t="str">
        <f t="shared" si="6"/>
        <v>--</v>
      </c>
      <c r="D66" s="421"/>
      <c r="E66" s="846" t="str">
        <f>'DATA GPC'!O148</f>
        <v>--</v>
      </c>
      <c r="F66" s="314"/>
      <c r="G66" s="1364" t="str">
        <f>'DATA GPC'!O1300</f>
        <v>--</v>
      </c>
      <c r="H66" s="1364"/>
      <c r="I66" s="474" t="str">
        <f>'DATA GPC'!O1422</f>
        <v>--</v>
      </c>
      <c r="J66" s="473"/>
      <c r="K66" s="1364" t="str">
        <f>'DATA GPC'!O1514</f>
        <v>--</v>
      </c>
      <c r="L66" s="2073" t="s">
        <v>1793</v>
      </c>
      <c r="M66" s="472" t="str">
        <f t="shared" si="4"/>
        <v>--</v>
      </c>
      <c r="O66" s="1557"/>
    </row>
    <row r="67" spans="1:15" s="1525" customFormat="1" ht="13.9">
      <c r="A67" s="1510" t="str">
        <f t="shared" si="5"/>
        <v>n</v>
      </c>
      <c r="B67" s="1557">
        <v>21</v>
      </c>
      <c r="C67" s="314" t="str">
        <f t="shared" si="6"/>
        <v>--</v>
      </c>
      <c r="D67" s="421"/>
      <c r="E67" s="846" t="str">
        <f>'DATA GPC'!O149</f>
        <v>--</v>
      </c>
      <c r="F67" s="314"/>
      <c r="G67" s="1364" t="str">
        <f>'DATA GPC'!O1301</f>
        <v>--</v>
      </c>
      <c r="H67" s="1364"/>
      <c r="I67" s="474" t="str">
        <f>'DATA GPC'!O1423</f>
        <v>--</v>
      </c>
      <c r="J67" s="473"/>
      <c r="K67" s="1364" t="str">
        <f>'DATA GPC'!O1515</f>
        <v>--</v>
      </c>
      <c r="L67" s="2073" t="s">
        <v>1793</v>
      </c>
      <c r="M67" s="472" t="str">
        <f t="shared" si="4"/>
        <v>--</v>
      </c>
      <c r="O67" s="1557"/>
    </row>
    <row r="68" spans="1:15" s="1525" customFormat="1" ht="13.9">
      <c r="A68" s="1510" t="str">
        <f t="shared" si="5"/>
        <v>n</v>
      </c>
      <c r="B68" s="1557">
        <v>22</v>
      </c>
      <c r="C68" s="314" t="str">
        <f t="shared" si="6"/>
        <v>--</v>
      </c>
      <c r="D68" s="421"/>
      <c r="E68" s="846" t="str">
        <f>'DATA GPC'!O150</f>
        <v>--</v>
      </c>
      <c r="F68" s="314"/>
      <c r="G68" s="1364" t="str">
        <f>'DATA GPC'!O1302</f>
        <v>--</v>
      </c>
      <c r="H68" s="1364"/>
      <c r="I68" s="474" t="str">
        <f>'DATA GPC'!O1424</f>
        <v>--</v>
      </c>
      <c r="J68" s="473"/>
      <c r="K68" s="1364" t="str">
        <f>'DATA GPC'!O1516</f>
        <v>--</v>
      </c>
      <c r="L68" s="2073" t="s">
        <v>1793</v>
      </c>
      <c r="M68" s="472" t="str">
        <f t="shared" si="4"/>
        <v>--</v>
      </c>
      <c r="O68" s="1557"/>
    </row>
    <row r="69" spans="1:15" s="1525" customFormat="1" ht="13.9">
      <c r="A69" s="1510" t="str">
        <f t="shared" si="5"/>
        <v>n</v>
      </c>
      <c r="B69" s="1557">
        <v>23</v>
      </c>
      <c r="C69" s="314" t="str">
        <f t="shared" si="6"/>
        <v>--</v>
      </c>
      <c r="D69" s="421"/>
      <c r="E69" s="846" t="str">
        <f>'DATA GPC'!O151</f>
        <v>--</v>
      </c>
      <c r="F69" s="314"/>
      <c r="G69" s="1364" t="str">
        <f>'DATA GPC'!O1303</f>
        <v>--</v>
      </c>
      <c r="H69" s="1364"/>
      <c r="I69" s="474" t="str">
        <f>'DATA GPC'!O1425</f>
        <v>--</v>
      </c>
      <c r="J69" s="473"/>
      <c r="K69" s="1364" t="str">
        <f>'DATA GPC'!O1517</f>
        <v>--</v>
      </c>
      <c r="L69" s="2073" t="s">
        <v>1793</v>
      </c>
      <c r="M69" s="472" t="str">
        <f t="shared" si="4"/>
        <v>--</v>
      </c>
      <c r="O69" s="1557"/>
    </row>
    <row r="70" spans="1:15" s="1525" customFormat="1" ht="13.9">
      <c r="A70" s="1510" t="str">
        <f t="shared" si="5"/>
        <v>n</v>
      </c>
      <c r="B70" s="1557">
        <v>24</v>
      </c>
      <c r="C70" s="314" t="str">
        <f t="shared" si="6"/>
        <v>--</v>
      </c>
      <c r="D70" s="421"/>
      <c r="E70" s="846" t="str">
        <f>'DATA GPC'!O152</f>
        <v>--</v>
      </c>
      <c r="F70" s="314"/>
      <c r="G70" s="1364" t="str">
        <f>'DATA GPC'!O1304</f>
        <v>--</v>
      </c>
      <c r="H70" s="1364"/>
      <c r="I70" s="474" t="str">
        <f>'DATA GPC'!O1426</f>
        <v>--</v>
      </c>
      <c r="J70" s="473"/>
      <c r="K70" s="1364" t="str">
        <f>'DATA GPC'!O1518</f>
        <v>--</v>
      </c>
      <c r="L70" s="2073" t="s">
        <v>1793</v>
      </c>
      <c r="M70" s="472" t="str">
        <f t="shared" si="4"/>
        <v>--</v>
      </c>
      <c r="O70" s="1557"/>
    </row>
    <row r="71" spans="1:15" ht="13.9">
      <c r="A71" s="1510" t="str">
        <f t="shared" si="5"/>
        <v>n</v>
      </c>
      <c r="B71" s="1557">
        <v>25</v>
      </c>
      <c r="C71" s="314" t="str">
        <f t="shared" si="6"/>
        <v>--</v>
      </c>
      <c r="D71" s="421"/>
      <c r="E71" s="846" t="str">
        <f>'DATA GPC'!O153</f>
        <v>--</v>
      </c>
      <c r="F71" s="314"/>
      <c r="G71" s="1364" t="str">
        <f>'DATA GPC'!O1305</f>
        <v>--</v>
      </c>
      <c r="H71" s="1364"/>
      <c r="I71" s="474" t="str">
        <f>'DATA GPC'!O1427</f>
        <v>--</v>
      </c>
      <c r="J71" s="473"/>
      <c r="K71" s="1364" t="str">
        <f>'DATA GPC'!O1519</f>
        <v>--</v>
      </c>
      <c r="L71" s="2073" t="s">
        <v>1793</v>
      </c>
      <c r="M71" s="472" t="str">
        <f t="shared" si="4"/>
        <v>--</v>
      </c>
      <c r="N71" s="1525"/>
      <c r="O71" s="1557"/>
    </row>
    <row r="72" spans="1:15" ht="13.9">
      <c r="A72" s="1557"/>
      <c r="B72" s="1557"/>
      <c r="C72" s="1333"/>
      <c r="D72" s="1333"/>
      <c r="E72" s="1334"/>
      <c r="F72" s="1327"/>
      <c r="G72" s="1183"/>
      <c r="H72" s="1183"/>
      <c r="I72" s="1183"/>
      <c r="J72" s="1183"/>
      <c r="K72" s="1183"/>
      <c r="L72" s="1093"/>
      <c r="M72" s="1331"/>
      <c r="N72" s="1525"/>
      <c r="O72" s="1557"/>
    </row>
    <row r="73" spans="1:15" s="1525" customFormat="1" ht="13.9">
      <c r="A73" s="1557"/>
      <c r="B73" s="1557"/>
      <c r="C73" s="912" t="s">
        <v>1794</v>
      </c>
      <c r="D73" s="912"/>
      <c r="E73" s="1646"/>
      <c r="F73" s="1555"/>
      <c r="G73" s="1556"/>
      <c r="H73" s="1556"/>
      <c r="I73" s="1556"/>
      <c r="J73" s="1556"/>
      <c r="K73" s="1556"/>
      <c r="L73" s="1502"/>
      <c r="M73" s="1592"/>
      <c r="O73" s="1557"/>
    </row>
    <row r="74" spans="1:15" ht="13.9">
      <c r="A74" s="1557"/>
      <c r="B74" s="1557"/>
      <c r="C74" s="431" t="s">
        <v>1402</v>
      </c>
      <c r="D74" s="421"/>
      <c r="E74" s="704"/>
      <c r="F74" s="1513"/>
      <c r="G74" s="466"/>
      <c r="H74" s="466"/>
      <c r="I74" s="466"/>
      <c r="J74" s="466"/>
      <c r="K74" s="466"/>
      <c r="L74" s="2060"/>
      <c r="M74" s="2060"/>
      <c r="N74" s="1525"/>
      <c r="O74" s="1557"/>
    </row>
    <row r="75" spans="1:15" s="1525" customFormat="1" ht="13.9">
      <c r="A75" s="1557"/>
      <c r="B75" s="1557"/>
      <c r="C75" s="431"/>
      <c r="D75" s="421"/>
      <c r="E75" s="704"/>
      <c r="F75" s="1513"/>
      <c r="G75" s="466"/>
      <c r="H75" s="466"/>
      <c r="I75" s="466"/>
      <c r="J75" s="466"/>
      <c r="K75" s="466"/>
      <c r="L75" s="2060"/>
      <c r="M75" s="2060"/>
      <c r="O75" s="1557"/>
    </row>
    <row r="76" spans="1:15" ht="13.9">
      <c r="A76" s="1557"/>
      <c r="B76" s="1557"/>
      <c r="C76" s="431" t="str">
        <f ca="1">FootnoteDRAFT</f>
        <v>Run date: 05-August-2018  02:34 PM.   DRAFT document. All data subject to change upon completion of additional analysis.</v>
      </c>
      <c r="D76" s="421"/>
      <c r="E76" s="704"/>
      <c r="F76" s="1513"/>
      <c r="G76" s="466"/>
      <c r="H76" s="466"/>
      <c r="I76" s="466"/>
      <c r="J76" s="466"/>
      <c r="K76" s="466"/>
      <c r="L76" s="2060"/>
      <c r="M76" s="2060"/>
      <c r="N76" s="1525"/>
      <c r="O76" s="1557"/>
    </row>
    <row r="77" spans="1:15" ht="12" customHeight="1">
      <c r="A77" s="1510" t="s">
        <v>17</v>
      </c>
      <c r="B77" s="1557"/>
      <c r="C77" s="1557"/>
      <c r="D77" s="1557"/>
      <c r="E77" s="611"/>
      <c r="F77" s="1557"/>
      <c r="G77" s="1557"/>
      <c r="H77" s="1557"/>
      <c r="I77" s="1557"/>
      <c r="J77" s="1557"/>
      <c r="K77" s="1557"/>
      <c r="L77" s="1557"/>
      <c r="M77" s="1557"/>
      <c r="N77" s="477" t="s">
        <v>1779</v>
      </c>
      <c r="O77" s="1557"/>
    </row>
    <row r="78" spans="1:15" ht="12" customHeight="1">
      <c r="A78" s="1510"/>
      <c r="B78" s="1557"/>
      <c r="C78" s="1557"/>
      <c r="D78" s="1557"/>
      <c r="E78" s="611"/>
      <c r="F78" s="1557"/>
      <c r="G78" s="1557"/>
      <c r="H78" s="1557"/>
      <c r="I78" s="1557"/>
      <c r="J78" s="1557"/>
      <c r="K78" s="1557"/>
      <c r="L78" s="1557"/>
      <c r="M78" s="1557"/>
      <c r="N78" s="477"/>
      <c r="O78" s="1557"/>
    </row>
    <row r="79" spans="1:15" ht="12" customHeight="1">
      <c r="A79" s="1525"/>
      <c r="B79" s="1525"/>
      <c r="C79" s="1525"/>
      <c r="D79" s="1525"/>
      <c r="E79" s="1505"/>
      <c r="F79" s="1525"/>
      <c r="G79" s="1525"/>
      <c r="H79" s="1525"/>
      <c r="I79" s="1525"/>
      <c r="J79" s="1525"/>
      <c r="K79" s="1525"/>
      <c r="L79" s="1525"/>
      <c r="M79" s="1525"/>
      <c r="N79" s="1525"/>
      <c r="O79" s="1525"/>
    </row>
    <row r="80" spans="1:15" ht="12" customHeight="1">
      <c r="A80" s="1525"/>
      <c r="B80" s="1525"/>
      <c r="C80" s="1525"/>
      <c r="D80" s="1525"/>
      <c r="E80" s="1578"/>
      <c r="F80" s="1525"/>
      <c r="G80" s="1525"/>
      <c r="H80" s="1525"/>
      <c r="I80" s="1525"/>
      <c r="J80" s="1525"/>
      <c r="K80" s="1525"/>
      <c r="L80" s="1525"/>
      <c r="M80" s="1525"/>
      <c r="N80" s="1525"/>
      <c r="O80" s="1525"/>
    </row>
    <row r="81" spans="5:5" ht="12" customHeight="1">
      <c r="E81" s="1578"/>
    </row>
    <row r="82" spans="5:5" ht="12" customHeight="1">
      <c r="E82" s="1578"/>
    </row>
    <row r="83" spans="5:5" ht="12" customHeight="1">
      <c r="E83" s="1578"/>
    </row>
    <row r="84" spans="5:5" ht="12" customHeight="1">
      <c r="E84" s="1578"/>
    </row>
    <row r="85" spans="5:5" ht="12" customHeight="1">
      <c r="E85" s="1578"/>
    </row>
    <row r="86" spans="5:5" ht="12" customHeight="1">
      <c r="E86" s="1578"/>
    </row>
    <row r="87" spans="5:5" ht="12" customHeight="1">
      <c r="E87" s="1578"/>
    </row>
    <row r="88" spans="5:5" ht="12" customHeight="1">
      <c r="E88" s="1578"/>
    </row>
    <row r="89" spans="5:5" ht="12" customHeight="1">
      <c r="E89" s="1578"/>
    </row>
    <row r="90" spans="5:5" ht="12" customHeight="1">
      <c r="E90" s="1578"/>
    </row>
    <row r="91" spans="5:5" ht="12" customHeight="1">
      <c r="E91" s="1578"/>
    </row>
    <row r="92" spans="5:5" ht="12" customHeight="1">
      <c r="E92" s="1578"/>
    </row>
    <row r="93" spans="5:5" ht="12" customHeight="1">
      <c r="E93" s="1578"/>
    </row>
    <row r="94" spans="5:5" ht="12" customHeight="1">
      <c r="E94" s="1578"/>
    </row>
    <row r="95" spans="5:5" ht="12" customHeight="1">
      <c r="E95" s="1505"/>
    </row>
    <row r="96" spans="5:5" ht="12" customHeight="1">
      <c r="E96" s="1505"/>
    </row>
    <row r="97" spans="5:5" ht="12" customHeight="1">
      <c r="E97" s="1578"/>
    </row>
    <row r="98" spans="5:5" ht="12" customHeight="1">
      <c r="E98" s="1578"/>
    </row>
    <row r="99" spans="5:5" ht="12" customHeight="1">
      <c r="E99" s="1578"/>
    </row>
  </sheetData>
  <autoFilter ref="A1:A99"/>
  <sortState ref="B13:M37">
    <sortCondition ref="B13:B37"/>
  </sortState>
  <conditionalFormatting sqref="B1:B2">
    <cfRule type="cellIs" dxfId="17" priority="2" operator="notEqual">
      <formula>0</formula>
    </cfRule>
  </conditionalFormatting>
  <conditionalFormatting sqref="A6">
    <cfRule type="expression" dxfId="16"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77" max="16383"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uPontROE">
    <tabColor rgb="FF99FF66"/>
    <pageSetUpPr autoPageBreaks="0"/>
  </sheetPr>
  <dimension ref="A1:X97"/>
  <sheetViews>
    <sheetView showGridLines="0" zoomScale="85" zoomScaleNormal="85" zoomScaleSheetLayoutView="85" workbookViewId="0"/>
  </sheetViews>
  <sheetFormatPr defaultColWidth="9.33203125" defaultRowHeight="12" customHeight="1"/>
  <cols>
    <col min="1" max="1" width="2.83203125" style="334" customWidth="1"/>
    <col min="2" max="2" width="3.83203125" style="334" customWidth="1"/>
    <col min="3" max="3" width="33.5" style="334" customWidth="1"/>
    <col min="4" max="4" width="3.5" style="334" customWidth="1"/>
    <col min="5" max="5" width="11.1640625" style="334" customWidth="1"/>
    <col min="6" max="6" width="1.5" style="334" customWidth="1"/>
    <col min="7" max="7" width="11.83203125" style="334" customWidth="1"/>
    <col min="8" max="8" width="3" style="334" customWidth="1"/>
    <col min="9" max="9" width="11.83203125" style="334" customWidth="1"/>
    <col min="10" max="10" width="3" style="334" customWidth="1"/>
    <col min="11" max="11" width="11.83203125" style="334" customWidth="1"/>
    <col min="12" max="12" width="3" style="334" customWidth="1"/>
    <col min="13" max="13" width="11.83203125" style="334" customWidth="1"/>
    <col min="14" max="14" width="3" style="334" customWidth="1"/>
    <col min="15" max="15" width="11.83203125" style="334" customWidth="1"/>
    <col min="16" max="16" width="3" style="334" customWidth="1"/>
    <col min="17" max="17" width="11.83203125" style="334" customWidth="1"/>
    <col min="18" max="18" width="2.33203125" style="334" customWidth="1"/>
    <col min="19" max="19" width="11.83203125" style="334" customWidth="1"/>
    <col min="20" max="20" width="70" style="334" customWidth="1"/>
    <col min="21" max="21" width="8.83203125" style="334" customWidth="1"/>
    <col min="22" max="22" width="12.33203125" style="334" customWidth="1"/>
    <col min="23" max="16384" width="9.33203125" style="334"/>
  </cols>
  <sheetData>
    <row r="1" spans="1:22" ht="18" customHeight="1">
      <c r="A1" s="1510"/>
      <c r="B1" s="649">
        <f ca="1">SUMPRODUCT(--ISERROR($C$1:T77))+COUNTIF($C$1:T77,Fail)</f>
        <v>0</v>
      </c>
      <c r="C1" s="1372" t="str">
        <f>START!$C$1</f>
        <v>Client Name</v>
      </c>
      <c r="D1" s="525"/>
      <c r="E1" s="525"/>
      <c r="F1" s="525"/>
      <c r="G1" s="525"/>
      <c r="H1" s="525"/>
      <c r="I1" s="525"/>
      <c r="J1" s="525"/>
      <c r="K1" s="525"/>
      <c r="L1" s="525"/>
      <c r="M1" s="525"/>
      <c r="N1" s="525"/>
      <c r="O1" s="525"/>
      <c r="P1" s="525"/>
      <c r="Q1" s="525"/>
      <c r="R1" s="525"/>
      <c r="S1" s="525"/>
      <c r="T1" s="389" t="s">
        <v>1795</v>
      </c>
      <c r="U1" s="1546"/>
      <c r="V1" s="1525" t="s">
        <v>1795</v>
      </c>
    </row>
    <row r="2" spans="1:22" s="1027" customFormat="1" ht="18" customHeight="1">
      <c r="A2" s="1510"/>
      <c r="B2" s="649"/>
      <c r="C2" s="1372" t="str">
        <f>START!$C$2</f>
        <v xml:space="preserve">Please enter project description in START worksheet cell G13 </v>
      </c>
      <c r="D2" s="525"/>
      <c r="E2" s="525"/>
      <c r="F2" s="525"/>
      <c r="G2" s="525"/>
      <c r="H2" s="525"/>
      <c r="I2" s="525"/>
      <c r="J2" s="525"/>
      <c r="K2" s="525"/>
      <c r="L2" s="525"/>
      <c r="M2" s="525"/>
      <c r="N2" s="525"/>
      <c r="O2" s="525"/>
      <c r="P2" s="525"/>
      <c r="Q2" s="525"/>
      <c r="R2" s="525"/>
      <c r="S2" s="525"/>
      <c r="T2" s="389"/>
      <c r="U2" s="1546"/>
      <c r="V2" s="1525"/>
    </row>
    <row r="3" spans="1:22" ht="18" customHeight="1">
      <c r="A3" s="1510"/>
      <c r="B3" s="1510"/>
      <c r="C3" s="839" t="s">
        <v>1796</v>
      </c>
      <c r="D3" s="386"/>
      <c r="E3" s="386"/>
      <c r="F3" s="386"/>
      <c r="G3" s="386"/>
      <c r="H3" s="386"/>
      <c r="I3" s="386"/>
      <c r="J3" s="386"/>
      <c r="K3" s="386"/>
      <c r="L3" s="386"/>
      <c r="M3" s="386"/>
      <c r="N3" s="1555"/>
      <c r="O3" s="1555"/>
      <c r="P3" s="1555"/>
      <c r="Q3" s="1555"/>
      <c r="R3" s="1555"/>
      <c r="S3" s="1555"/>
      <c r="T3" s="1513"/>
      <c r="U3" s="1546"/>
      <c r="V3" s="1525"/>
    </row>
    <row r="4" spans="1:22" ht="18" customHeight="1">
      <c r="A4" s="1510"/>
      <c r="B4" s="1510"/>
      <c r="C4" s="840" t="str">
        <f>ValDateHeading</f>
        <v>Estimation of value as of 28 February 2017</v>
      </c>
      <c r="D4" s="386"/>
      <c r="E4" s="386"/>
      <c r="F4" s="386"/>
      <c r="G4" s="386"/>
      <c r="H4" s="386"/>
      <c r="I4" s="386"/>
      <c r="J4" s="386"/>
      <c r="K4" s="386"/>
      <c r="L4" s="386"/>
      <c r="M4" s="386"/>
      <c r="N4" s="1513"/>
      <c r="O4" s="1513"/>
      <c r="P4" s="1513"/>
      <c r="Q4" s="1513"/>
      <c r="R4" s="1513"/>
      <c r="S4" s="1513"/>
      <c r="T4" s="1513"/>
      <c r="U4" s="1546"/>
      <c r="V4" s="1525"/>
    </row>
    <row r="5" spans="1:22" ht="18" customHeight="1">
      <c r="A5" s="1419"/>
      <c r="B5" s="1557"/>
      <c r="C5" s="465"/>
      <c r="D5" s="1520"/>
      <c r="E5" s="1520"/>
      <c r="F5" s="1520"/>
      <c r="G5" s="1520"/>
      <c r="H5" s="1520"/>
      <c r="I5" s="1520"/>
      <c r="J5" s="1520"/>
      <c r="K5" s="146"/>
      <c r="L5" s="1520"/>
      <c r="M5" s="1520"/>
      <c r="N5" s="1520"/>
      <c r="O5" s="1520"/>
      <c r="P5" s="1520"/>
      <c r="Q5" s="1520"/>
      <c r="R5" s="1520"/>
      <c r="S5" s="1520"/>
      <c r="T5" s="2060"/>
      <c r="U5" s="1557"/>
      <c r="V5" s="1525"/>
    </row>
    <row r="6" spans="1:22" ht="13.9">
      <c r="A6" s="1413" t="str">
        <f>IF(MasterCheck,"Please check the "&amp;'Error Check'!$G$8,"")</f>
        <v/>
      </c>
      <c r="B6" s="1424"/>
      <c r="C6" s="1511"/>
      <c r="D6" s="1520"/>
      <c r="E6" s="1520"/>
      <c r="F6" s="1520"/>
      <c r="G6" s="1520"/>
      <c r="H6" s="1520"/>
      <c r="I6" s="1520"/>
      <c r="J6" s="1520"/>
      <c r="K6" s="146"/>
      <c r="L6" s="1520"/>
      <c r="M6" s="1520"/>
      <c r="N6" s="1520"/>
      <c r="O6" s="1520"/>
      <c r="P6" s="1520"/>
      <c r="Q6" s="1520"/>
      <c r="R6" s="1520"/>
      <c r="S6" s="1520"/>
      <c r="T6" s="2060"/>
      <c r="U6" s="1557"/>
      <c r="V6" s="1525"/>
    </row>
    <row r="7" spans="1:22" ht="13.9">
      <c r="A7" s="1557"/>
      <c r="B7" s="1557"/>
      <c r="C7" s="1214"/>
      <c r="D7" s="1214"/>
      <c r="E7" s="1214"/>
      <c r="F7" s="1214"/>
      <c r="G7" s="1214" t="s">
        <v>1797</v>
      </c>
      <c r="H7" s="1214"/>
      <c r="I7" s="1214" t="s">
        <v>1798</v>
      </c>
      <c r="J7" s="1214"/>
      <c r="K7" s="1214"/>
      <c r="L7" s="1214"/>
      <c r="M7" s="1214"/>
      <c r="N7" s="1214"/>
      <c r="O7" s="1214"/>
      <c r="P7" s="1214"/>
      <c r="Q7" s="1214"/>
      <c r="R7" s="1214"/>
      <c r="S7" s="1214"/>
      <c r="T7" s="2060"/>
      <c r="U7" s="1546"/>
      <c r="V7" s="1525"/>
    </row>
    <row r="8" spans="1:22" ht="13.9">
      <c r="A8" s="1557"/>
      <c r="B8" s="1557"/>
      <c r="C8" s="726"/>
      <c r="D8" s="726"/>
      <c r="E8" s="726"/>
      <c r="F8" s="726"/>
      <c r="G8" s="726" t="s">
        <v>1798</v>
      </c>
      <c r="H8" s="726"/>
      <c r="I8" s="726" t="s">
        <v>1799</v>
      </c>
      <c r="J8" s="726"/>
      <c r="K8" s="726" t="s">
        <v>1800</v>
      </c>
      <c r="L8" s="726"/>
      <c r="M8" s="726" t="s">
        <v>1787</v>
      </c>
      <c r="N8" s="726"/>
      <c r="O8" s="726" t="s">
        <v>1801</v>
      </c>
      <c r="P8" s="726"/>
      <c r="Q8" s="726"/>
      <c r="R8" s="726"/>
      <c r="S8" s="726" t="s">
        <v>1788</v>
      </c>
      <c r="T8" s="2060"/>
      <c r="U8" s="1546"/>
      <c r="V8" s="1525"/>
    </row>
    <row r="9" spans="1:22" s="336" customFormat="1" ht="13.9">
      <c r="A9" s="1557"/>
      <c r="B9" s="1557"/>
      <c r="C9" s="1282" t="s">
        <v>1802</v>
      </c>
      <c r="D9" s="1212"/>
      <c r="E9" s="1212" t="s">
        <v>1803</v>
      </c>
      <c r="F9" s="1212"/>
      <c r="G9" s="1212" t="s">
        <v>1678</v>
      </c>
      <c r="H9" s="1212"/>
      <c r="I9" s="1212" t="s">
        <v>211</v>
      </c>
      <c r="J9" s="1212"/>
      <c r="K9" s="1212" t="s">
        <v>1790</v>
      </c>
      <c r="L9" s="1212"/>
      <c r="M9" s="1212" t="s">
        <v>1791</v>
      </c>
      <c r="N9" s="1212"/>
      <c r="O9" s="1212" t="s">
        <v>1186</v>
      </c>
      <c r="P9" s="1212"/>
      <c r="Q9" s="1212" t="s">
        <v>483</v>
      </c>
      <c r="R9" s="1212"/>
      <c r="S9" s="1212" t="s">
        <v>483</v>
      </c>
      <c r="T9" s="2060"/>
      <c r="U9" s="1546"/>
      <c r="V9" s="1527"/>
    </row>
    <row r="10" spans="1:22" s="1527" customFormat="1" ht="13.9">
      <c r="A10" s="1510"/>
      <c r="B10" s="1510"/>
      <c r="C10" s="724" t="s">
        <v>1471</v>
      </c>
      <c r="D10" s="724"/>
      <c r="E10" s="725"/>
      <c r="F10" s="725"/>
      <c r="G10" s="725"/>
      <c r="H10" s="725"/>
      <c r="I10" s="725"/>
      <c r="J10" s="725"/>
      <c r="K10" s="725"/>
      <c r="L10" s="725"/>
      <c r="M10" s="725"/>
      <c r="N10" s="2060"/>
      <c r="O10" s="2060"/>
      <c r="P10" s="2060"/>
      <c r="Q10" s="2060"/>
      <c r="R10" s="2060"/>
      <c r="S10" s="2060"/>
      <c r="U10" s="1546"/>
    </row>
    <row r="11" spans="1:22" s="1527" customFormat="1" ht="13.9">
      <c r="A11" s="1510"/>
      <c r="B11" s="1058">
        <v>0</v>
      </c>
      <c r="C11" s="314" t="str">
        <f>ClientName</f>
        <v/>
      </c>
      <c r="D11" s="724"/>
      <c r="E11" s="476">
        <f>LFQLTM</f>
        <v>42643</v>
      </c>
      <c r="F11" s="725"/>
      <c r="G11" s="1364" t="str">
        <f>'DATA GPC'!P1312</f>
        <v>--</v>
      </c>
      <c r="H11" s="725"/>
      <c r="I11" s="1364" t="str">
        <f>'DATA GPC'!P1342</f>
        <v>--</v>
      </c>
      <c r="J11" s="725"/>
      <c r="K11" s="1364" t="str">
        <f>'DATA GPC'!P1372</f>
        <v>--</v>
      </c>
      <c r="L11" s="725"/>
      <c r="M11" s="474" t="str">
        <f>'DATA GPC'!P1402</f>
        <v>--</v>
      </c>
      <c r="N11" s="2060"/>
      <c r="O11" s="474" t="str">
        <f>'DATA GPC'!P1432</f>
        <v>--</v>
      </c>
      <c r="P11" s="2060"/>
      <c r="Q11" s="1364" t="str">
        <f>'DATA GPC'!P1462</f>
        <v>--</v>
      </c>
      <c r="R11" s="2060"/>
      <c r="S11" s="472" t="str">
        <f>IF(E11="--","--",IF(ISTEXT(Q11),"--",RANK($Q11,$Q$1:$Q$37)))</f>
        <v>--</v>
      </c>
      <c r="U11" s="1546"/>
    </row>
    <row r="12" spans="1:22" s="1527" customFormat="1" ht="13.9">
      <c r="A12" s="1510"/>
      <c r="B12" s="1510"/>
      <c r="C12" s="724"/>
      <c r="D12" s="724"/>
      <c r="E12" s="725"/>
      <c r="F12" s="725"/>
      <c r="G12" s="725"/>
      <c r="H12" s="725"/>
      <c r="I12" s="725"/>
      <c r="J12" s="725"/>
      <c r="K12" s="725"/>
      <c r="L12" s="725"/>
      <c r="M12" s="725"/>
      <c r="N12" s="2060"/>
      <c r="O12" s="2060"/>
      <c r="P12" s="2060"/>
      <c r="Q12" s="2060"/>
      <c r="R12" s="2060"/>
      <c r="S12" s="2060"/>
      <c r="U12" s="1546"/>
    </row>
    <row r="13" spans="1:22" ht="12" customHeight="1">
      <c r="A13" s="1510" t="str">
        <f t="shared" ref="A13:A23" si="0">IF(N(G13),"","n")</f>
        <v>n</v>
      </c>
      <c r="B13" s="1557">
        <v>1</v>
      </c>
      <c r="C13" s="146" t="str">
        <f>'DATA GPC'!E20</f>
        <v>--</v>
      </c>
      <c r="D13" s="314"/>
      <c r="E13" s="476" t="str">
        <f>IF(C13="--","--",'DATA GPC'!P129)</f>
        <v>--</v>
      </c>
      <c r="F13" s="475"/>
      <c r="G13" s="1364" t="str">
        <f>'DATA GPC'!P1313</f>
        <v>--</v>
      </c>
      <c r="H13" s="1364"/>
      <c r="I13" s="1364" t="str">
        <f>'DATA GPC'!P1343</f>
        <v>--</v>
      </c>
      <c r="J13" s="1364"/>
      <c r="K13" s="1364" t="str">
        <f>'DATA GPC'!P1373</f>
        <v>--</v>
      </c>
      <c r="L13" s="473"/>
      <c r="M13" s="474" t="str">
        <f>'DATA GPC'!P1403</f>
        <v>--</v>
      </c>
      <c r="N13" s="473"/>
      <c r="O13" s="474" t="str">
        <f>'DATA GPC'!P1433</f>
        <v>--</v>
      </c>
      <c r="P13" s="478"/>
      <c r="Q13" s="1364" t="str">
        <f>'DATA GPC'!P1463</f>
        <v>--</v>
      </c>
      <c r="R13" s="475"/>
      <c r="S13" s="472" t="str">
        <f t="shared" ref="S13:S37" si="1">IF(E13="--","--",IF(ISTEXT(Q13),"--",RANK($Q13,$Q$1:$Q$37)))</f>
        <v>--</v>
      </c>
      <c r="T13" s="2060"/>
      <c r="U13" s="1546"/>
      <c r="V13" s="1525"/>
    </row>
    <row r="14" spans="1:22" ht="12" customHeight="1">
      <c r="A14" s="1510" t="str">
        <f t="shared" si="0"/>
        <v>n</v>
      </c>
      <c r="B14" s="1557">
        <v>2</v>
      </c>
      <c r="C14" s="146" t="str">
        <f>'DATA GPC'!E21</f>
        <v>--</v>
      </c>
      <c r="D14" s="421"/>
      <c r="E14" s="476" t="str">
        <f>IF(C14="--","--",'DATA GPC'!P130)</f>
        <v>--</v>
      </c>
      <c r="F14" s="1520"/>
      <c r="G14" s="1364" t="str">
        <f>'DATA GPC'!P1314</f>
        <v>--</v>
      </c>
      <c r="H14" s="1364"/>
      <c r="I14" s="1364" t="str">
        <f>'DATA GPC'!P1344</f>
        <v>--</v>
      </c>
      <c r="J14" s="1364"/>
      <c r="K14" s="1364" t="str">
        <f>'DATA GPC'!P1374</f>
        <v>--</v>
      </c>
      <c r="L14" s="466"/>
      <c r="M14" s="474" t="str">
        <f>'DATA GPC'!P1404</f>
        <v>--</v>
      </c>
      <c r="N14" s="466"/>
      <c r="O14" s="474" t="str">
        <f>'DATA GPC'!P1434</f>
        <v>--</v>
      </c>
      <c r="P14" s="466"/>
      <c r="Q14" s="1364" t="str">
        <f>'DATA GPC'!P1464</f>
        <v>--</v>
      </c>
      <c r="R14" s="1520"/>
      <c r="S14" s="472" t="str">
        <f t="shared" si="1"/>
        <v>--</v>
      </c>
      <c r="T14" s="2060"/>
      <c r="U14" s="1546"/>
      <c r="V14" s="1525"/>
    </row>
    <row r="15" spans="1:22" ht="12" customHeight="1">
      <c r="A15" s="1510" t="str">
        <f t="shared" si="0"/>
        <v>n</v>
      </c>
      <c r="B15" s="1557">
        <v>3</v>
      </c>
      <c r="C15" s="146" t="str">
        <f>'DATA GPC'!E22</f>
        <v>--</v>
      </c>
      <c r="D15" s="421"/>
      <c r="E15" s="476" t="str">
        <f>IF(C15="--","--",'DATA GPC'!P131)</f>
        <v>--</v>
      </c>
      <c r="F15" s="1520"/>
      <c r="G15" s="1364" t="str">
        <f>'DATA GPC'!P1315</f>
        <v>--</v>
      </c>
      <c r="H15" s="1364"/>
      <c r="I15" s="1364" t="str">
        <f>'DATA GPC'!P1345</f>
        <v>--</v>
      </c>
      <c r="J15" s="1364"/>
      <c r="K15" s="1364" t="str">
        <f>'DATA GPC'!P1375</f>
        <v>--</v>
      </c>
      <c r="L15" s="466"/>
      <c r="M15" s="474" t="str">
        <f>'DATA GPC'!P1405</f>
        <v>--</v>
      </c>
      <c r="N15" s="466"/>
      <c r="O15" s="474" t="str">
        <f>'DATA GPC'!P1435</f>
        <v>--</v>
      </c>
      <c r="P15" s="466"/>
      <c r="Q15" s="1364" t="str">
        <f>'DATA GPC'!P1465</f>
        <v>--</v>
      </c>
      <c r="R15" s="1520"/>
      <c r="S15" s="472" t="str">
        <f t="shared" si="1"/>
        <v>--</v>
      </c>
      <c r="T15" s="2060"/>
      <c r="U15" s="1546"/>
      <c r="V15" s="1525"/>
    </row>
    <row r="16" spans="1:22" ht="12" customHeight="1">
      <c r="A16" s="1510" t="str">
        <f t="shared" si="0"/>
        <v>n</v>
      </c>
      <c r="B16" s="1557">
        <v>4</v>
      </c>
      <c r="C16" s="146" t="str">
        <f>'DATA GPC'!E23</f>
        <v>--</v>
      </c>
      <c r="D16" s="421"/>
      <c r="E16" s="476" t="str">
        <f>IF(C16="--","--",'DATA GPC'!P132)</f>
        <v>--</v>
      </c>
      <c r="F16" s="1520"/>
      <c r="G16" s="1364" t="str">
        <f>'DATA GPC'!P1316</f>
        <v>--</v>
      </c>
      <c r="H16" s="1364"/>
      <c r="I16" s="1364" t="str">
        <f>'DATA GPC'!P1346</f>
        <v>--</v>
      </c>
      <c r="J16" s="1364"/>
      <c r="K16" s="1364" t="str">
        <f>'DATA GPC'!P1376</f>
        <v>--</v>
      </c>
      <c r="L16" s="466"/>
      <c r="M16" s="474" t="str">
        <f>'DATA GPC'!P1406</f>
        <v>--</v>
      </c>
      <c r="N16" s="466"/>
      <c r="O16" s="474" t="str">
        <f>'DATA GPC'!P1436</f>
        <v>--</v>
      </c>
      <c r="P16" s="466"/>
      <c r="Q16" s="1364" t="str">
        <f>'DATA GPC'!P1466</f>
        <v>--</v>
      </c>
      <c r="R16" s="1520"/>
      <c r="S16" s="472" t="str">
        <f t="shared" si="1"/>
        <v>--</v>
      </c>
      <c r="T16" s="2060"/>
      <c r="U16" s="1546"/>
      <c r="V16" s="1525"/>
    </row>
    <row r="17" spans="1:21" ht="12" customHeight="1">
      <c r="A17" s="1510" t="str">
        <f t="shared" si="0"/>
        <v>n</v>
      </c>
      <c r="B17" s="1557">
        <v>5</v>
      </c>
      <c r="C17" s="146" t="str">
        <f>'DATA GPC'!E24</f>
        <v>--</v>
      </c>
      <c r="D17" s="421"/>
      <c r="E17" s="662" t="str">
        <f>IF(C17="--","--",'DATA GPC'!P133)</f>
        <v>--</v>
      </c>
      <c r="F17" s="1520"/>
      <c r="G17" s="1364" t="str">
        <f>'DATA GPC'!P1317</f>
        <v>--</v>
      </c>
      <c r="H17" s="1364"/>
      <c r="I17" s="1364" t="str">
        <f>'DATA GPC'!P1347</f>
        <v>--</v>
      </c>
      <c r="J17" s="1364"/>
      <c r="K17" s="1364" t="str">
        <f>'DATA GPC'!P1377</f>
        <v>--</v>
      </c>
      <c r="L17" s="466"/>
      <c r="M17" s="474" t="str">
        <f>'DATA GPC'!P1407</f>
        <v>--</v>
      </c>
      <c r="N17" s="466"/>
      <c r="O17" s="474" t="str">
        <f>'DATA GPC'!P1437</f>
        <v>--</v>
      </c>
      <c r="P17" s="466"/>
      <c r="Q17" s="1364" t="str">
        <f>'DATA GPC'!P1467</f>
        <v>--</v>
      </c>
      <c r="R17" s="1520"/>
      <c r="S17" s="472" t="str">
        <f t="shared" si="1"/>
        <v>--</v>
      </c>
      <c r="T17" s="2060"/>
      <c r="U17" s="1557"/>
    </row>
    <row r="18" spans="1:21" ht="12" customHeight="1">
      <c r="A18" s="1510" t="str">
        <f t="shared" si="0"/>
        <v>n</v>
      </c>
      <c r="B18" s="1557">
        <v>6</v>
      </c>
      <c r="C18" s="146" t="str">
        <f>'DATA GPC'!E25</f>
        <v>--</v>
      </c>
      <c r="D18" s="421"/>
      <c r="E18" s="662" t="str">
        <f>IF(C18="--","--",'DATA GPC'!P134)</f>
        <v>--</v>
      </c>
      <c r="F18" s="1520"/>
      <c r="G18" s="1364" t="str">
        <f>'DATA GPC'!P1318</f>
        <v>--</v>
      </c>
      <c r="H18" s="1364"/>
      <c r="I18" s="1364" t="str">
        <f>'DATA GPC'!P1348</f>
        <v>--</v>
      </c>
      <c r="J18" s="1364"/>
      <c r="K18" s="1364" t="str">
        <f>'DATA GPC'!P1378</f>
        <v>--</v>
      </c>
      <c r="L18" s="466"/>
      <c r="M18" s="474" t="str">
        <f>'DATA GPC'!P1408</f>
        <v>--</v>
      </c>
      <c r="N18" s="466"/>
      <c r="O18" s="474" t="str">
        <f>'DATA GPC'!P1438</f>
        <v>--</v>
      </c>
      <c r="P18" s="466"/>
      <c r="Q18" s="1364" t="str">
        <f>'DATA GPC'!P1468</f>
        <v>--</v>
      </c>
      <c r="R18" s="1520"/>
      <c r="S18" s="472" t="str">
        <f t="shared" si="1"/>
        <v>--</v>
      </c>
      <c r="T18" s="2060"/>
      <c r="U18" s="1557"/>
    </row>
    <row r="19" spans="1:21" ht="12" customHeight="1">
      <c r="A19" s="1510" t="str">
        <f t="shared" si="0"/>
        <v>n</v>
      </c>
      <c r="B19" s="1557">
        <v>7</v>
      </c>
      <c r="C19" s="146" t="str">
        <f>'DATA GPC'!E26</f>
        <v>--</v>
      </c>
      <c r="D19" s="421"/>
      <c r="E19" s="662" t="str">
        <f>IF(C19="--","--",'DATA GPC'!P135)</f>
        <v>--</v>
      </c>
      <c r="F19" s="1520"/>
      <c r="G19" s="1364" t="str">
        <f>'DATA GPC'!P1319</f>
        <v>--</v>
      </c>
      <c r="H19" s="1364"/>
      <c r="I19" s="1364" t="str">
        <f>'DATA GPC'!P1349</f>
        <v>--</v>
      </c>
      <c r="J19" s="1364"/>
      <c r="K19" s="1364" t="str">
        <f>'DATA GPC'!P1379</f>
        <v>--</v>
      </c>
      <c r="L19" s="466"/>
      <c r="M19" s="474" t="str">
        <f>'DATA GPC'!P1409</f>
        <v>--</v>
      </c>
      <c r="N19" s="466"/>
      <c r="O19" s="474" t="str">
        <f>'DATA GPC'!P1439</f>
        <v>--</v>
      </c>
      <c r="P19" s="466"/>
      <c r="Q19" s="1364" t="str">
        <f>'DATA GPC'!P1469</f>
        <v>--</v>
      </c>
      <c r="R19" s="1520"/>
      <c r="S19" s="472" t="str">
        <f t="shared" si="1"/>
        <v>--</v>
      </c>
      <c r="T19" s="2060"/>
      <c r="U19" s="1557"/>
    </row>
    <row r="20" spans="1:21" ht="12" customHeight="1">
      <c r="A20" s="1510" t="str">
        <f t="shared" si="0"/>
        <v>n</v>
      </c>
      <c r="B20" s="1557">
        <v>8</v>
      </c>
      <c r="C20" s="146" t="str">
        <f>'DATA GPC'!E27</f>
        <v>--</v>
      </c>
      <c r="D20" s="421"/>
      <c r="E20" s="662" t="str">
        <f>IF(C20="--","--",'DATA GPC'!P136)</f>
        <v>--</v>
      </c>
      <c r="F20" s="1520"/>
      <c r="G20" s="1364" t="str">
        <f>'DATA GPC'!P1320</f>
        <v>--</v>
      </c>
      <c r="H20" s="1364"/>
      <c r="I20" s="1364" t="str">
        <f>'DATA GPC'!P1350</f>
        <v>--</v>
      </c>
      <c r="J20" s="1364"/>
      <c r="K20" s="1364" t="str">
        <f>'DATA GPC'!P1380</f>
        <v>--</v>
      </c>
      <c r="L20" s="466"/>
      <c r="M20" s="474" t="str">
        <f>'DATA GPC'!P1410</f>
        <v>--</v>
      </c>
      <c r="N20" s="466"/>
      <c r="O20" s="474" t="str">
        <f>'DATA GPC'!P1440</f>
        <v>--</v>
      </c>
      <c r="P20" s="466"/>
      <c r="Q20" s="1364" t="str">
        <f>'DATA GPC'!P1470</f>
        <v>--</v>
      </c>
      <c r="R20" s="1520"/>
      <c r="S20" s="472" t="str">
        <f t="shared" si="1"/>
        <v>--</v>
      </c>
      <c r="T20" s="2060"/>
      <c r="U20" s="1557"/>
    </row>
    <row r="21" spans="1:21" ht="12" customHeight="1">
      <c r="A21" s="1510" t="str">
        <f t="shared" si="0"/>
        <v>n</v>
      </c>
      <c r="B21" s="1557">
        <v>9</v>
      </c>
      <c r="C21" s="146" t="str">
        <f>'DATA GPC'!E28</f>
        <v>--</v>
      </c>
      <c r="D21" s="421"/>
      <c r="E21" s="662" t="str">
        <f>IF(C21="--","--",'DATA GPC'!P137)</f>
        <v>--</v>
      </c>
      <c r="F21" s="1520"/>
      <c r="G21" s="1364" t="str">
        <f>'DATA GPC'!P1321</f>
        <v>--</v>
      </c>
      <c r="H21" s="1364"/>
      <c r="I21" s="1364" t="str">
        <f>'DATA GPC'!P1351</f>
        <v>--</v>
      </c>
      <c r="J21" s="1364"/>
      <c r="K21" s="1364" t="str">
        <f>'DATA GPC'!P1381</f>
        <v>--</v>
      </c>
      <c r="L21" s="466"/>
      <c r="M21" s="474" t="str">
        <f>'DATA GPC'!P1411</f>
        <v>--</v>
      </c>
      <c r="N21" s="466"/>
      <c r="O21" s="474" t="str">
        <f>'DATA GPC'!P1441</f>
        <v>--</v>
      </c>
      <c r="P21" s="466"/>
      <c r="Q21" s="1364" t="str">
        <f>'DATA GPC'!P1471</f>
        <v>--</v>
      </c>
      <c r="R21" s="1520"/>
      <c r="S21" s="472" t="str">
        <f t="shared" si="1"/>
        <v>--</v>
      </c>
      <c r="T21" s="2060"/>
      <c r="U21" s="1557"/>
    </row>
    <row r="22" spans="1:21" ht="12" customHeight="1">
      <c r="A22" s="1510" t="str">
        <f t="shared" si="0"/>
        <v>n</v>
      </c>
      <c r="B22" s="1557">
        <v>10</v>
      </c>
      <c r="C22" s="146" t="str">
        <f>'DATA GPC'!E29</f>
        <v>--</v>
      </c>
      <c r="D22" s="421"/>
      <c r="E22" s="662" t="str">
        <f>IF(C22="--","--",'DATA GPC'!P138)</f>
        <v>--</v>
      </c>
      <c r="F22" s="1520"/>
      <c r="G22" s="1364" t="str">
        <f>'DATA GPC'!P1322</f>
        <v>--</v>
      </c>
      <c r="H22" s="1364"/>
      <c r="I22" s="1364" t="str">
        <f>'DATA GPC'!P1352</f>
        <v>--</v>
      </c>
      <c r="J22" s="1364"/>
      <c r="K22" s="1364" t="str">
        <f>'DATA GPC'!P1382</f>
        <v>--</v>
      </c>
      <c r="L22" s="466"/>
      <c r="M22" s="474" t="str">
        <f>'DATA GPC'!P1412</f>
        <v>--</v>
      </c>
      <c r="N22" s="466"/>
      <c r="O22" s="474" t="str">
        <f>'DATA GPC'!P1442</f>
        <v>--</v>
      </c>
      <c r="P22" s="466"/>
      <c r="Q22" s="1364" t="str">
        <f>'DATA GPC'!P1472</f>
        <v>--</v>
      </c>
      <c r="R22" s="1520"/>
      <c r="S22" s="472" t="str">
        <f t="shared" si="1"/>
        <v>--</v>
      </c>
      <c r="T22" s="2060"/>
      <c r="U22" s="1557"/>
    </row>
    <row r="23" spans="1:21" ht="12" customHeight="1">
      <c r="A23" s="1510" t="str">
        <f t="shared" si="0"/>
        <v>n</v>
      </c>
      <c r="B23" s="1557">
        <v>11</v>
      </c>
      <c r="C23" s="146" t="str">
        <f>'DATA GPC'!E30</f>
        <v>--</v>
      </c>
      <c r="D23" s="421"/>
      <c r="E23" s="662" t="str">
        <f>IF(C23="--","--",'DATA GPC'!P139)</f>
        <v>--</v>
      </c>
      <c r="F23" s="1520"/>
      <c r="G23" s="1364" t="str">
        <f>'DATA GPC'!P1323</f>
        <v>--</v>
      </c>
      <c r="H23" s="1364"/>
      <c r="I23" s="1364" t="str">
        <f>'DATA GPC'!P1353</f>
        <v>--</v>
      </c>
      <c r="J23" s="1364"/>
      <c r="K23" s="1364" t="str">
        <f>'DATA GPC'!P1383</f>
        <v>--</v>
      </c>
      <c r="L23" s="466"/>
      <c r="M23" s="474" t="str">
        <f>'DATA GPC'!P1413</f>
        <v>--</v>
      </c>
      <c r="N23" s="466"/>
      <c r="O23" s="474" t="str">
        <f>'DATA GPC'!P1443</f>
        <v>--</v>
      </c>
      <c r="P23" s="466"/>
      <c r="Q23" s="1364" t="str">
        <f>'DATA GPC'!P1473</f>
        <v>--</v>
      </c>
      <c r="R23" s="1520"/>
      <c r="S23" s="472" t="str">
        <f t="shared" si="1"/>
        <v>--</v>
      </c>
      <c r="T23" s="2060"/>
      <c r="U23" s="1557"/>
    </row>
    <row r="24" spans="1:21" ht="12" customHeight="1">
      <c r="A24" s="1510" t="str">
        <f t="shared" ref="A24:A37" si="2">IF(N(G24),"","n")</f>
        <v>n</v>
      </c>
      <c r="B24" s="1557">
        <v>12</v>
      </c>
      <c r="C24" s="146" t="str">
        <f>'DATA GPC'!E31</f>
        <v>--</v>
      </c>
      <c r="D24" s="421"/>
      <c r="E24" s="662" t="str">
        <f>IF(C24="--","--",'DATA GPC'!P140)</f>
        <v>--</v>
      </c>
      <c r="F24" s="1520"/>
      <c r="G24" s="1364" t="str">
        <f>'DATA GPC'!P1324</f>
        <v>--</v>
      </c>
      <c r="H24" s="1364"/>
      <c r="I24" s="1364" t="str">
        <f>'DATA GPC'!P1354</f>
        <v>--</v>
      </c>
      <c r="J24" s="1364"/>
      <c r="K24" s="1364" t="str">
        <f>'DATA GPC'!P1384</f>
        <v>--</v>
      </c>
      <c r="L24" s="466"/>
      <c r="M24" s="474" t="str">
        <f>'DATA GPC'!P1414</f>
        <v>--</v>
      </c>
      <c r="N24" s="466"/>
      <c r="O24" s="474" t="str">
        <f>'DATA GPC'!P1444</f>
        <v>--</v>
      </c>
      <c r="P24" s="466"/>
      <c r="Q24" s="1364" t="str">
        <f>'DATA GPC'!P1474</f>
        <v>--</v>
      </c>
      <c r="R24" s="1520"/>
      <c r="S24" s="472" t="str">
        <f t="shared" si="1"/>
        <v>--</v>
      </c>
      <c r="T24" s="2060"/>
      <c r="U24" s="1557"/>
    </row>
    <row r="25" spans="1:21" ht="12" customHeight="1">
      <c r="A25" s="1510" t="str">
        <f t="shared" si="2"/>
        <v>n</v>
      </c>
      <c r="B25" s="1557">
        <v>13</v>
      </c>
      <c r="C25" s="146" t="str">
        <f>'DATA GPC'!E32</f>
        <v>--</v>
      </c>
      <c r="D25" s="421"/>
      <c r="E25" s="662" t="str">
        <f>IF(C25="--","--",'DATA GPC'!P141)</f>
        <v>--</v>
      </c>
      <c r="F25" s="1520"/>
      <c r="G25" s="1364" t="str">
        <f>'DATA GPC'!P1325</f>
        <v>--</v>
      </c>
      <c r="H25" s="1364"/>
      <c r="I25" s="1364" t="str">
        <f>'DATA GPC'!P1355</f>
        <v>--</v>
      </c>
      <c r="J25" s="1364"/>
      <c r="K25" s="1364" t="str">
        <f>'DATA GPC'!P1385</f>
        <v>--</v>
      </c>
      <c r="L25" s="466"/>
      <c r="M25" s="474" t="str">
        <f>'DATA GPC'!P1415</f>
        <v>--</v>
      </c>
      <c r="N25" s="466"/>
      <c r="O25" s="474" t="str">
        <f>'DATA GPC'!P1445</f>
        <v>--</v>
      </c>
      <c r="P25" s="466"/>
      <c r="Q25" s="1364" t="str">
        <f>'DATA GPC'!P1475</f>
        <v>--</v>
      </c>
      <c r="R25" s="1520"/>
      <c r="S25" s="472" t="str">
        <f t="shared" si="1"/>
        <v>--</v>
      </c>
      <c r="T25" s="2060"/>
      <c r="U25" s="1557"/>
    </row>
    <row r="26" spans="1:21" ht="12" customHeight="1">
      <c r="A26" s="1510" t="str">
        <f t="shared" si="2"/>
        <v>n</v>
      </c>
      <c r="B26" s="1557">
        <v>14</v>
      </c>
      <c r="C26" s="146" t="str">
        <f>'DATA GPC'!E33</f>
        <v>--</v>
      </c>
      <c r="D26" s="421"/>
      <c r="E26" s="662" t="str">
        <f>IF(C26="--","--",'DATA GPC'!P142)</f>
        <v>--</v>
      </c>
      <c r="F26" s="1520"/>
      <c r="G26" s="1364" t="str">
        <f>'DATA GPC'!P1326</f>
        <v>--</v>
      </c>
      <c r="H26" s="1364"/>
      <c r="I26" s="1364" t="str">
        <f>'DATA GPC'!P1356</f>
        <v>--</v>
      </c>
      <c r="J26" s="1364"/>
      <c r="K26" s="1364" t="str">
        <f>'DATA GPC'!P1386</f>
        <v>--</v>
      </c>
      <c r="L26" s="466"/>
      <c r="M26" s="474" t="str">
        <f>'DATA GPC'!P1416</f>
        <v>--</v>
      </c>
      <c r="N26" s="466"/>
      <c r="O26" s="474" t="str">
        <f>'DATA GPC'!P1446</f>
        <v>--</v>
      </c>
      <c r="P26" s="466"/>
      <c r="Q26" s="1364" t="str">
        <f>'DATA GPC'!P1476</f>
        <v>--</v>
      </c>
      <c r="R26" s="1520"/>
      <c r="S26" s="472" t="str">
        <f t="shared" si="1"/>
        <v>--</v>
      </c>
      <c r="T26" s="2060"/>
      <c r="U26" s="1557"/>
    </row>
    <row r="27" spans="1:21" s="1525" customFormat="1" ht="12" customHeight="1">
      <c r="A27" s="1510" t="str">
        <f t="shared" si="2"/>
        <v>n</v>
      </c>
      <c r="B27" s="1557">
        <v>15</v>
      </c>
      <c r="C27" s="146" t="str">
        <f>'DATA GPC'!E34</f>
        <v>--</v>
      </c>
      <c r="D27" s="421"/>
      <c r="E27" s="662" t="str">
        <f>IF(C27="--","--",'DATA GPC'!P143)</f>
        <v>--</v>
      </c>
      <c r="F27" s="1520"/>
      <c r="G27" s="1364" t="str">
        <f>'DATA GPC'!P1327</f>
        <v>--</v>
      </c>
      <c r="H27" s="1364"/>
      <c r="I27" s="1364" t="str">
        <f>'DATA GPC'!P1357</f>
        <v>--</v>
      </c>
      <c r="J27" s="1364"/>
      <c r="K27" s="1364" t="str">
        <f>'DATA GPC'!P1387</f>
        <v>--</v>
      </c>
      <c r="L27" s="466"/>
      <c r="M27" s="474" t="str">
        <f>'DATA GPC'!P1417</f>
        <v>--</v>
      </c>
      <c r="N27" s="466"/>
      <c r="O27" s="474" t="str">
        <f>'DATA GPC'!P1447</f>
        <v>--</v>
      </c>
      <c r="P27" s="466"/>
      <c r="Q27" s="1364" t="str">
        <f>'DATA GPC'!P1477</f>
        <v>--</v>
      </c>
      <c r="R27" s="1520"/>
      <c r="S27" s="472" t="str">
        <f t="shared" si="1"/>
        <v>--</v>
      </c>
      <c r="T27" s="2060"/>
      <c r="U27" s="1557"/>
    </row>
    <row r="28" spans="1:21" s="1525" customFormat="1" ht="12" customHeight="1">
      <c r="A28" s="1510" t="str">
        <f t="shared" si="2"/>
        <v>n</v>
      </c>
      <c r="B28" s="1557">
        <v>16</v>
      </c>
      <c r="C28" s="146" t="str">
        <f>'DATA GPC'!E35</f>
        <v>--</v>
      </c>
      <c r="D28" s="421"/>
      <c r="E28" s="662" t="str">
        <f>IF(C28="--","--",'DATA GPC'!P144)</f>
        <v>--</v>
      </c>
      <c r="F28" s="1520"/>
      <c r="G28" s="1364" t="str">
        <f>'DATA GPC'!P1328</f>
        <v>--</v>
      </c>
      <c r="H28" s="1364"/>
      <c r="I28" s="1364" t="str">
        <f>'DATA GPC'!P1358</f>
        <v>--</v>
      </c>
      <c r="J28" s="1364"/>
      <c r="K28" s="1364" t="str">
        <f>'DATA GPC'!P1388</f>
        <v>--</v>
      </c>
      <c r="L28" s="466"/>
      <c r="M28" s="474" t="str">
        <f>'DATA GPC'!P1418</f>
        <v>--</v>
      </c>
      <c r="N28" s="466"/>
      <c r="O28" s="474" t="str">
        <f>'DATA GPC'!P1448</f>
        <v>--</v>
      </c>
      <c r="P28" s="466"/>
      <c r="Q28" s="1364" t="str">
        <f>'DATA GPC'!P1478</f>
        <v>--</v>
      </c>
      <c r="R28" s="1520"/>
      <c r="S28" s="472" t="str">
        <f t="shared" si="1"/>
        <v>--</v>
      </c>
      <c r="T28" s="2060"/>
      <c r="U28" s="1557"/>
    </row>
    <row r="29" spans="1:21" s="1525" customFormat="1" ht="12" customHeight="1">
      <c r="A29" s="1510" t="str">
        <f t="shared" si="2"/>
        <v>n</v>
      </c>
      <c r="B29" s="1557">
        <v>17</v>
      </c>
      <c r="C29" s="146" t="str">
        <f>'DATA GPC'!E36</f>
        <v>--</v>
      </c>
      <c r="D29" s="421"/>
      <c r="E29" s="662" t="str">
        <f>IF(C29="--","--",'DATA GPC'!P145)</f>
        <v>--</v>
      </c>
      <c r="F29" s="1520"/>
      <c r="G29" s="1364" t="str">
        <f>'DATA GPC'!P1329</f>
        <v>--</v>
      </c>
      <c r="H29" s="1364"/>
      <c r="I29" s="1364" t="str">
        <f>'DATA GPC'!P1359</f>
        <v>--</v>
      </c>
      <c r="J29" s="1364"/>
      <c r="K29" s="1364" t="str">
        <f>'DATA GPC'!P1389</f>
        <v>--</v>
      </c>
      <c r="L29" s="466"/>
      <c r="M29" s="474" t="str">
        <f>'DATA GPC'!P1419</f>
        <v>--</v>
      </c>
      <c r="N29" s="466"/>
      <c r="O29" s="474" t="str">
        <f>'DATA GPC'!P1449</f>
        <v>--</v>
      </c>
      <c r="P29" s="466"/>
      <c r="Q29" s="1364" t="str">
        <f>'DATA GPC'!P1479</f>
        <v>--</v>
      </c>
      <c r="R29" s="1520"/>
      <c r="S29" s="472" t="str">
        <f t="shared" si="1"/>
        <v>--</v>
      </c>
      <c r="T29" s="2060"/>
      <c r="U29" s="1557"/>
    </row>
    <row r="30" spans="1:21" s="1525" customFormat="1" ht="12" customHeight="1">
      <c r="A30" s="1510" t="str">
        <f t="shared" si="2"/>
        <v>n</v>
      </c>
      <c r="B30" s="1557">
        <v>18</v>
      </c>
      <c r="C30" s="146" t="str">
        <f>'DATA GPC'!E37</f>
        <v>--</v>
      </c>
      <c r="D30" s="421"/>
      <c r="E30" s="662" t="str">
        <f>IF(C30="--","--",'DATA GPC'!P146)</f>
        <v>--</v>
      </c>
      <c r="F30" s="1520"/>
      <c r="G30" s="1364" t="str">
        <f>'DATA GPC'!P1330</f>
        <v>--</v>
      </c>
      <c r="H30" s="1364"/>
      <c r="I30" s="1364" t="str">
        <f>'DATA GPC'!P1360</f>
        <v>--</v>
      </c>
      <c r="J30" s="1364"/>
      <c r="K30" s="1364" t="str">
        <f>'DATA GPC'!P1390</f>
        <v>--</v>
      </c>
      <c r="L30" s="466"/>
      <c r="M30" s="474" t="str">
        <f>'DATA GPC'!P1420</f>
        <v>--</v>
      </c>
      <c r="N30" s="466"/>
      <c r="O30" s="474" t="str">
        <f>'DATA GPC'!P1450</f>
        <v>--</v>
      </c>
      <c r="P30" s="466"/>
      <c r="Q30" s="1364" t="str">
        <f>'DATA GPC'!P1480</f>
        <v>--</v>
      </c>
      <c r="R30" s="1520"/>
      <c r="S30" s="472" t="str">
        <f t="shared" si="1"/>
        <v>--</v>
      </c>
      <c r="T30" s="2060"/>
      <c r="U30" s="1557"/>
    </row>
    <row r="31" spans="1:21" s="1525" customFormat="1" ht="12" customHeight="1">
      <c r="A31" s="1510" t="str">
        <f t="shared" si="2"/>
        <v>n</v>
      </c>
      <c r="B31" s="1557">
        <v>19</v>
      </c>
      <c r="C31" s="146" t="str">
        <f>'DATA GPC'!E38</f>
        <v>--</v>
      </c>
      <c r="D31" s="421"/>
      <c r="E31" s="662" t="str">
        <f>IF(C31="--","--",'DATA GPC'!P147)</f>
        <v>--</v>
      </c>
      <c r="F31" s="1520"/>
      <c r="G31" s="1364" t="str">
        <f>'DATA GPC'!P1331</f>
        <v>--</v>
      </c>
      <c r="H31" s="1364"/>
      <c r="I31" s="1364" t="str">
        <f>'DATA GPC'!P1361</f>
        <v>--</v>
      </c>
      <c r="J31" s="1364"/>
      <c r="K31" s="1364" t="str">
        <f>'DATA GPC'!P1391</f>
        <v>--</v>
      </c>
      <c r="L31" s="466"/>
      <c r="M31" s="474" t="str">
        <f>'DATA GPC'!P1421</f>
        <v>--</v>
      </c>
      <c r="N31" s="466"/>
      <c r="O31" s="474" t="str">
        <f>'DATA GPC'!P1451</f>
        <v>--</v>
      </c>
      <c r="P31" s="466"/>
      <c r="Q31" s="1364" t="str">
        <f>'DATA GPC'!P1481</f>
        <v>--</v>
      </c>
      <c r="R31" s="1520"/>
      <c r="S31" s="472" t="str">
        <f t="shared" si="1"/>
        <v>--</v>
      </c>
      <c r="T31" s="2060"/>
      <c r="U31" s="1557"/>
    </row>
    <row r="32" spans="1:21" s="1525" customFormat="1" ht="12" customHeight="1">
      <c r="A32" s="1510" t="str">
        <f t="shared" si="2"/>
        <v>n</v>
      </c>
      <c r="B32" s="1557">
        <v>20</v>
      </c>
      <c r="C32" s="146" t="str">
        <f>'DATA GPC'!E39</f>
        <v>--</v>
      </c>
      <c r="D32" s="421"/>
      <c r="E32" s="662" t="str">
        <f>IF(C32="--","--",'DATA GPC'!P148)</f>
        <v>--</v>
      </c>
      <c r="F32" s="1520"/>
      <c r="G32" s="1364" t="str">
        <f>'DATA GPC'!P1332</f>
        <v>--</v>
      </c>
      <c r="H32" s="1364"/>
      <c r="I32" s="1364" t="str">
        <f>'DATA GPC'!P1362</f>
        <v>--</v>
      </c>
      <c r="J32" s="1364"/>
      <c r="K32" s="1364" t="str">
        <f>'DATA GPC'!P1392</f>
        <v>--</v>
      </c>
      <c r="L32" s="466"/>
      <c r="M32" s="474" t="str">
        <f>'DATA GPC'!P1422</f>
        <v>--</v>
      </c>
      <c r="N32" s="466"/>
      <c r="O32" s="474" t="str">
        <f>'DATA GPC'!P1452</f>
        <v>--</v>
      </c>
      <c r="P32" s="466"/>
      <c r="Q32" s="1364" t="str">
        <f>'DATA GPC'!P1482</f>
        <v>--</v>
      </c>
      <c r="R32" s="1520"/>
      <c r="S32" s="472" t="str">
        <f t="shared" si="1"/>
        <v>--</v>
      </c>
      <c r="T32" s="2060"/>
      <c r="U32" s="1557"/>
    </row>
    <row r="33" spans="1:21" s="1525" customFormat="1" ht="12" customHeight="1">
      <c r="A33" s="1510" t="str">
        <f t="shared" si="2"/>
        <v>n</v>
      </c>
      <c r="B33" s="1557">
        <v>21</v>
      </c>
      <c r="C33" s="146" t="str">
        <f>'DATA GPC'!E40</f>
        <v>--</v>
      </c>
      <c r="D33" s="421"/>
      <c r="E33" s="662" t="str">
        <f>IF(C33="--","--",'DATA GPC'!P149)</f>
        <v>--</v>
      </c>
      <c r="F33" s="1520"/>
      <c r="G33" s="1364" t="str">
        <f>'DATA GPC'!P1333</f>
        <v>--</v>
      </c>
      <c r="H33" s="1364"/>
      <c r="I33" s="1364" t="str">
        <f>'DATA GPC'!P1363</f>
        <v>--</v>
      </c>
      <c r="J33" s="1364"/>
      <c r="K33" s="1364" t="str">
        <f>'DATA GPC'!P1393</f>
        <v>--</v>
      </c>
      <c r="L33" s="466"/>
      <c r="M33" s="474" t="str">
        <f>'DATA GPC'!P1423</f>
        <v>--</v>
      </c>
      <c r="N33" s="466"/>
      <c r="O33" s="474" t="str">
        <f>'DATA GPC'!P1453</f>
        <v>--</v>
      </c>
      <c r="P33" s="466"/>
      <c r="Q33" s="1364" t="str">
        <f>'DATA GPC'!P1483</f>
        <v>--</v>
      </c>
      <c r="R33" s="1520"/>
      <c r="S33" s="472" t="str">
        <f t="shared" si="1"/>
        <v>--</v>
      </c>
      <c r="T33" s="2060"/>
      <c r="U33" s="1557"/>
    </row>
    <row r="34" spans="1:21" s="1525" customFormat="1" ht="12" customHeight="1">
      <c r="A34" s="1510" t="str">
        <f t="shared" si="2"/>
        <v>n</v>
      </c>
      <c r="B34" s="1557">
        <v>22</v>
      </c>
      <c r="C34" s="146" t="str">
        <f>'DATA GPC'!E41</f>
        <v>--</v>
      </c>
      <c r="D34" s="421"/>
      <c r="E34" s="662" t="str">
        <f>IF(C34="--","--",'DATA GPC'!P150)</f>
        <v>--</v>
      </c>
      <c r="F34" s="1520"/>
      <c r="G34" s="1364" t="str">
        <f>'DATA GPC'!P1334</f>
        <v>--</v>
      </c>
      <c r="H34" s="1364"/>
      <c r="I34" s="1364" t="str">
        <f>'DATA GPC'!P1364</f>
        <v>--</v>
      </c>
      <c r="J34" s="1364"/>
      <c r="K34" s="1364" t="str">
        <f>'DATA GPC'!P1394</f>
        <v>--</v>
      </c>
      <c r="L34" s="466"/>
      <c r="M34" s="474" t="str">
        <f>'DATA GPC'!P1424</f>
        <v>--</v>
      </c>
      <c r="N34" s="466"/>
      <c r="O34" s="474" t="str">
        <f>'DATA GPC'!P1454</f>
        <v>--</v>
      </c>
      <c r="P34" s="466"/>
      <c r="Q34" s="1364" t="str">
        <f>'DATA GPC'!P1484</f>
        <v>--</v>
      </c>
      <c r="R34" s="1520"/>
      <c r="S34" s="472" t="str">
        <f t="shared" si="1"/>
        <v>--</v>
      </c>
      <c r="T34" s="2060"/>
      <c r="U34" s="1557"/>
    </row>
    <row r="35" spans="1:21" s="1525" customFormat="1" ht="12" customHeight="1">
      <c r="A35" s="1510" t="str">
        <f t="shared" si="2"/>
        <v>n</v>
      </c>
      <c r="B35" s="1557">
        <v>23</v>
      </c>
      <c r="C35" s="146" t="str">
        <f>'DATA GPC'!E42</f>
        <v>--</v>
      </c>
      <c r="D35" s="421"/>
      <c r="E35" s="662" t="str">
        <f>IF(C35="--","--",'DATA GPC'!P151)</f>
        <v>--</v>
      </c>
      <c r="F35" s="1520"/>
      <c r="G35" s="1364" t="str">
        <f>'DATA GPC'!P1335</f>
        <v>--</v>
      </c>
      <c r="H35" s="1364"/>
      <c r="I35" s="1364" t="str">
        <f>'DATA GPC'!P1365</f>
        <v>--</v>
      </c>
      <c r="J35" s="1364"/>
      <c r="K35" s="1364" t="str">
        <f>'DATA GPC'!P1395</f>
        <v>--</v>
      </c>
      <c r="L35" s="466"/>
      <c r="M35" s="474" t="str">
        <f>'DATA GPC'!P1425</f>
        <v>--</v>
      </c>
      <c r="N35" s="466"/>
      <c r="O35" s="474" t="str">
        <f>'DATA GPC'!P1455</f>
        <v>--</v>
      </c>
      <c r="P35" s="466"/>
      <c r="Q35" s="1364" t="str">
        <f>'DATA GPC'!P1485</f>
        <v>--</v>
      </c>
      <c r="R35" s="1520"/>
      <c r="S35" s="472" t="str">
        <f t="shared" si="1"/>
        <v>--</v>
      </c>
      <c r="T35" s="2060"/>
      <c r="U35" s="1557"/>
    </row>
    <row r="36" spans="1:21" s="1525" customFormat="1" ht="12" customHeight="1">
      <c r="A36" s="1510" t="str">
        <f t="shared" si="2"/>
        <v>n</v>
      </c>
      <c r="B36" s="1557">
        <v>24</v>
      </c>
      <c r="C36" s="146" t="str">
        <f>'DATA GPC'!E43</f>
        <v>--</v>
      </c>
      <c r="D36" s="421"/>
      <c r="E36" s="662" t="str">
        <f>IF(C36="--","--",'DATA GPC'!P152)</f>
        <v>--</v>
      </c>
      <c r="F36" s="1520"/>
      <c r="G36" s="1364" t="str">
        <f>'DATA GPC'!P1336</f>
        <v>--</v>
      </c>
      <c r="H36" s="1364"/>
      <c r="I36" s="1364" t="str">
        <f>'DATA GPC'!P1366</f>
        <v>--</v>
      </c>
      <c r="J36" s="1364"/>
      <c r="K36" s="1364" t="str">
        <f>'DATA GPC'!P1396</f>
        <v>--</v>
      </c>
      <c r="L36" s="466"/>
      <c r="M36" s="474" t="str">
        <f>'DATA GPC'!P1426</f>
        <v>--</v>
      </c>
      <c r="N36" s="466"/>
      <c r="O36" s="474" t="str">
        <f>'DATA GPC'!P1456</f>
        <v>--</v>
      </c>
      <c r="P36" s="466"/>
      <c r="Q36" s="1364" t="str">
        <f>'DATA GPC'!P1486</f>
        <v>--</v>
      </c>
      <c r="R36" s="1520"/>
      <c r="S36" s="472" t="str">
        <f t="shared" si="1"/>
        <v>--</v>
      </c>
      <c r="T36" s="2060"/>
      <c r="U36" s="1557"/>
    </row>
    <row r="37" spans="1:21" ht="12" customHeight="1">
      <c r="A37" s="1510" t="str">
        <f t="shared" si="2"/>
        <v>n</v>
      </c>
      <c r="B37" s="1557">
        <v>25</v>
      </c>
      <c r="C37" s="146" t="str">
        <f>'DATA GPC'!E44</f>
        <v>--</v>
      </c>
      <c r="D37" s="421"/>
      <c r="E37" s="662" t="str">
        <f>IF(C37="--","--",'DATA GPC'!P153)</f>
        <v>--</v>
      </c>
      <c r="F37" s="1520"/>
      <c r="G37" s="1364" t="str">
        <f>'DATA GPC'!P1337</f>
        <v>--</v>
      </c>
      <c r="H37" s="1364"/>
      <c r="I37" s="1364" t="str">
        <f>'DATA GPC'!P1367</f>
        <v>--</v>
      </c>
      <c r="J37" s="1364"/>
      <c r="K37" s="1364" t="str">
        <f>'DATA GPC'!P1397</f>
        <v>--</v>
      </c>
      <c r="L37" s="466"/>
      <c r="M37" s="474" t="str">
        <f>'DATA GPC'!P1427</f>
        <v>--</v>
      </c>
      <c r="N37" s="466"/>
      <c r="O37" s="474" t="str">
        <f>'DATA GPC'!P1457</f>
        <v>--</v>
      </c>
      <c r="P37" s="466"/>
      <c r="Q37" s="1364" t="str">
        <f>'DATA GPC'!P1487</f>
        <v>--</v>
      </c>
      <c r="R37" s="1520"/>
      <c r="S37" s="472" t="str">
        <f t="shared" si="1"/>
        <v>--</v>
      </c>
      <c r="T37" s="2060"/>
      <c r="U37" s="1557"/>
    </row>
    <row r="38" spans="1:21" ht="12" customHeight="1">
      <c r="A38" s="1510"/>
      <c r="B38" s="1557"/>
      <c r="C38" s="1513"/>
      <c r="D38" s="1513"/>
      <c r="E38" s="1567"/>
      <c r="F38" s="1513"/>
      <c r="G38" s="1513"/>
      <c r="H38" s="1513"/>
      <c r="I38" s="1513"/>
      <c r="J38" s="1513"/>
      <c r="K38" s="1513"/>
      <c r="L38" s="1513"/>
      <c r="M38" s="1513"/>
      <c r="N38" s="1513"/>
      <c r="O38" s="1513"/>
      <c r="P38" s="1513"/>
      <c r="Q38" s="1513"/>
      <c r="R38" s="1520"/>
      <c r="S38" s="421"/>
      <c r="T38" s="2060"/>
      <c r="U38" s="1557"/>
    </row>
    <row r="39" spans="1:21" s="1525" customFormat="1" ht="12" customHeight="1">
      <c r="A39" s="1510"/>
      <c r="B39" s="1557"/>
      <c r="C39" s="1513"/>
      <c r="D39" s="1513"/>
      <c r="E39" s="1567"/>
      <c r="F39" s="1513"/>
      <c r="G39" s="1513"/>
      <c r="H39" s="1513"/>
      <c r="I39" s="1513"/>
      <c r="J39" s="1513"/>
      <c r="K39" s="1513"/>
      <c r="L39" s="1513"/>
      <c r="M39" s="1513"/>
      <c r="N39" s="1513"/>
      <c r="O39" s="1513"/>
      <c r="P39" s="1513"/>
      <c r="Q39" s="1513"/>
      <c r="R39" s="1520"/>
      <c r="S39" s="421"/>
      <c r="T39" s="2060"/>
      <c r="U39" s="1557"/>
    </row>
    <row r="40" spans="1:21" s="1525" customFormat="1" ht="12" customHeight="1">
      <c r="A40" s="1510"/>
      <c r="B40" s="1557"/>
      <c r="C40" s="1513"/>
      <c r="D40" s="1513"/>
      <c r="E40" s="1567"/>
      <c r="F40" s="1513"/>
      <c r="G40" s="1513"/>
      <c r="H40" s="1513"/>
      <c r="I40" s="1513"/>
      <c r="J40" s="1513"/>
      <c r="K40" s="1513"/>
      <c r="L40" s="1513"/>
      <c r="M40" s="1513"/>
      <c r="N40" s="1513"/>
      <c r="O40" s="1513"/>
      <c r="P40" s="1513"/>
      <c r="Q40" s="1513"/>
      <c r="R40" s="1520"/>
      <c r="S40" s="421"/>
      <c r="T40" s="2060"/>
      <c r="U40" s="1557"/>
    </row>
    <row r="41" spans="1:21" ht="13.9">
      <c r="A41" s="1557"/>
      <c r="B41" s="1557"/>
      <c r="C41" s="1214"/>
      <c r="D41" s="1214"/>
      <c r="E41" s="1283"/>
      <c r="F41" s="1214"/>
      <c r="G41" s="1214" t="s">
        <v>1797</v>
      </c>
      <c r="H41" s="1214"/>
      <c r="I41" s="1214" t="s">
        <v>1798</v>
      </c>
      <c r="J41" s="1214"/>
      <c r="K41" s="1214"/>
      <c r="L41" s="1214"/>
      <c r="M41" s="1214"/>
      <c r="N41" s="1214"/>
      <c r="O41" s="1214"/>
      <c r="P41" s="1214"/>
      <c r="Q41" s="1214"/>
      <c r="R41" s="1214"/>
      <c r="S41" s="1214"/>
      <c r="T41" s="2060"/>
      <c r="U41" s="1546"/>
    </row>
    <row r="42" spans="1:21" ht="13.9">
      <c r="A42" s="1557"/>
      <c r="B42" s="1557"/>
      <c r="C42" s="726"/>
      <c r="D42" s="726"/>
      <c r="E42" s="740"/>
      <c r="F42" s="726"/>
      <c r="G42" s="726" t="s">
        <v>1798</v>
      </c>
      <c r="H42" s="726"/>
      <c r="I42" s="726" t="s">
        <v>1799</v>
      </c>
      <c r="J42" s="726"/>
      <c r="K42" s="726" t="s">
        <v>1800</v>
      </c>
      <c r="L42" s="726"/>
      <c r="M42" s="726" t="s">
        <v>1787</v>
      </c>
      <c r="N42" s="726"/>
      <c r="O42" s="726" t="s">
        <v>1801</v>
      </c>
      <c r="P42" s="726"/>
      <c r="Q42" s="726"/>
      <c r="R42" s="726"/>
      <c r="S42" s="726" t="s">
        <v>1788</v>
      </c>
      <c r="T42" s="2060"/>
      <c r="U42" s="1546"/>
    </row>
    <row r="43" spans="1:21" s="336" customFormat="1" ht="13.9">
      <c r="A43" s="1557"/>
      <c r="B43" s="1557"/>
      <c r="C43" s="1282" t="s">
        <v>1804</v>
      </c>
      <c r="D43" s="1212"/>
      <c r="E43" s="1284" t="s">
        <v>1803</v>
      </c>
      <c r="F43" s="1212"/>
      <c r="G43" s="1212" t="s">
        <v>1678</v>
      </c>
      <c r="H43" s="1212"/>
      <c r="I43" s="1212" t="s">
        <v>211</v>
      </c>
      <c r="J43" s="1212"/>
      <c r="K43" s="1212" t="s">
        <v>1790</v>
      </c>
      <c r="L43" s="1212"/>
      <c r="M43" s="1212" t="s">
        <v>1791</v>
      </c>
      <c r="N43" s="1212"/>
      <c r="O43" s="1212" t="s">
        <v>1186</v>
      </c>
      <c r="P43" s="1212"/>
      <c r="Q43" s="1212" t="s">
        <v>483</v>
      </c>
      <c r="R43" s="1212"/>
      <c r="S43" s="1212" t="s">
        <v>483</v>
      </c>
      <c r="T43" s="2060"/>
      <c r="U43" s="1546"/>
    </row>
    <row r="44" spans="1:21" s="1527" customFormat="1" ht="13.9">
      <c r="A44" s="1510"/>
      <c r="B44" s="1058"/>
      <c r="C44" s="724" t="s">
        <v>1471</v>
      </c>
      <c r="D44" s="724"/>
      <c r="E44" s="725"/>
      <c r="F44" s="725"/>
      <c r="G44" s="725"/>
      <c r="H44" s="725"/>
      <c r="I44" s="725"/>
      <c r="J44" s="725"/>
      <c r="K44" s="725"/>
      <c r="L44" s="725"/>
      <c r="M44" s="725"/>
      <c r="N44" s="2060"/>
      <c r="U44" s="1546"/>
    </row>
    <row r="45" spans="1:21" s="1527" customFormat="1" ht="13.9">
      <c r="A45" s="1510"/>
      <c r="B45" s="1058">
        <v>0</v>
      </c>
      <c r="C45" s="314" t="str">
        <f>ClientName</f>
        <v/>
      </c>
      <c r="D45" s="724"/>
      <c r="E45" s="476">
        <f>LFY</f>
        <v>42460</v>
      </c>
      <c r="F45" s="725"/>
      <c r="G45" s="1364" t="str">
        <f>'DATA GPC'!P1312</f>
        <v>--</v>
      </c>
      <c r="H45" s="725"/>
      <c r="I45" s="1364" t="str">
        <f>'DATA GPC'!O1342</f>
        <v>--</v>
      </c>
      <c r="J45" s="725"/>
      <c r="K45" s="1364" t="str">
        <f>'DATA GPC'!O1372</f>
        <v>--</v>
      </c>
      <c r="L45" s="725"/>
      <c r="M45" s="474" t="str">
        <f>'DATA GPC'!O1402</f>
        <v>--</v>
      </c>
      <c r="N45" s="2060"/>
      <c r="O45" s="474" t="str">
        <f>'DATA GPC'!O1432</f>
        <v>--</v>
      </c>
      <c r="Q45" s="1364" t="str">
        <f>'DATA GPC'!O1462</f>
        <v>--</v>
      </c>
      <c r="S45" s="472" t="str">
        <f>IF(E45="--","--",IF(ISTEXT(Q45),"--",RANK($Q45,$Q$45:$Q$71)))</f>
        <v>--</v>
      </c>
      <c r="U45" s="1546"/>
    </row>
    <row r="46" spans="1:21" s="1527" customFormat="1" ht="13.9">
      <c r="A46" s="1510"/>
      <c r="B46" s="1510"/>
      <c r="C46" s="729"/>
      <c r="D46" s="729"/>
      <c r="E46" s="1829"/>
      <c r="F46" s="731"/>
      <c r="G46" s="731"/>
      <c r="H46" s="731"/>
      <c r="I46" s="731"/>
      <c r="J46" s="731"/>
      <c r="K46" s="731"/>
      <c r="L46" s="731"/>
      <c r="M46" s="731"/>
      <c r="N46" s="2060"/>
      <c r="U46" s="1546"/>
    </row>
    <row r="47" spans="1:21" ht="12" customHeight="1">
      <c r="A47" s="1510" t="str">
        <f t="shared" ref="A47:A59" si="3">IF(N(G47),"","n")</f>
        <v>n</v>
      </c>
      <c r="B47" s="1557">
        <v>1</v>
      </c>
      <c r="C47" s="420" t="str">
        <f t="shared" ref="C47:C59" si="4">C13</f>
        <v>--</v>
      </c>
      <c r="D47" s="314"/>
      <c r="E47" s="662" t="str">
        <f>IF(C47="--","--",'DATA GPC'!O129)</f>
        <v>--</v>
      </c>
      <c r="F47" s="475"/>
      <c r="G47" s="1364" t="str">
        <f>'DATA GPC'!O1313</f>
        <v>--</v>
      </c>
      <c r="H47" s="1364"/>
      <c r="I47" s="1364" t="str">
        <f>'DATA GPC'!O1343</f>
        <v>--</v>
      </c>
      <c r="J47" s="1364"/>
      <c r="K47" s="1364" t="str">
        <f>'DATA GPC'!O1373</f>
        <v>--</v>
      </c>
      <c r="L47" s="473"/>
      <c r="M47" s="474" t="str">
        <f>'DATA GPC'!O1403</f>
        <v>--</v>
      </c>
      <c r="N47" s="473"/>
      <c r="O47" s="474" t="str">
        <f>'DATA GPC'!O1433</f>
        <v>--</v>
      </c>
      <c r="P47" s="473"/>
      <c r="Q47" s="1364" t="str">
        <f>'DATA GPC'!O1463</f>
        <v>--</v>
      </c>
      <c r="R47" s="475" t="s">
        <v>1793</v>
      </c>
      <c r="S47" s="472" t="str">
        <f t="shared" ref="S47:S71" si="5">IF(E47="--","--",IF(ISTEXT(Q47),"--",RANK($Q47,$Q$45:$Q$71)))</f>
        <v>--</v>
      </c>
      <c r="T47" s="2060"/>
      <c r="U47" s="1546"/>
    </row>
    <row r="48" spans="1:21" ht="12" customHeight="1">
      <c r="A48" s="1510" t="str">
        <f t="shared" si="3"/>
        <v>n</v>
      </c>
      <c r="B48" s="1557">
        <v>2</v>
      </c>
      <c r="C48" s="420" t="str">
        <f t="shared" si="4"/>
        <v>--</v>
      </c>
      <c r="D48" s="421"/>
      <c r="E48" s="662" t="str">
        <f>IF(C48="--","--",'DATA GPC'!O130)</f>
        <v>--</v>
      </c>
      <c r="F48" s="1520"/>
      <c r="G48" s="1364" t="str">
        <f>'DATA GPC'!O1314</f>
        <v>--</v>
      </c>
      <c r="H48" s="1364"/>
      <c r="I48" s="1364" t="str">
        <f>'DATA GPC'!O1344</f>
        <v>--</v>
      </c>
      <c r="J48" s="1364"/>
      <c r="K48" s="1364" t="str">
        <f>'DATA GPC'!O1374</f>
        <v>--</v>
      </c>
      <c r="L48" s="466"/>
      <c r="M48" s="474" t="str">
        <f>'DATA GPC'!O1404</f>
        <v>--</v>
      </c>
      <c r="N48" s="466"/>
      <c r="O48" s="474" t="str">
        <f>'DATA GPC'!O1434</f>
        <v>--</v>
      </c>
      <c r="P48" s="466"/>
      <c r="Q48" s="1364" t="str">
        <f>'DATA GPC'!O1464</f>
        <v>--</v>
      </c>
      <c r="R48" s="1520" t="s">
        <v>1793</v>
      </c>
      <c r="S48" s="472" t="str">
        <f t="shared" si="5"/>
        <v>--</v>
      </c>
      <c r="T48" s="2060"/>
      <c r="U48" s="1557"/>
    </row>
    <row r="49" spans="1:21" ht="12" customHeight="1">
      <c r="A49" s="1510" t="str">
        <f t="shared" si="3"/>
        <v>n</v>
      </c>
      <c r="B49" s="1557">
        <v>3</v>
      </c>
      <c r="C49" s="420" t="str">
        <f t="shared" si="4"/>
        <v>--</v>
      </c>
      <c r="D49" s="421"/>
      <c r="E49" s="662" t="str">
        <f>IF(C49="--","--",'DATA GPC'!O131)</f>
        <v>--</v>
      </c>
      <c r="F49" s="1520"/>
      <c r="G49" s="1364" t="str">
        <f>'DATA GPC'!O1315</f>
        <v>--</v>
      </c>
      <c r="H49" s="1364"/>
      <c r="I49" s="1364" t="str">
        <f>'DATA GPC'!O1345</f>
        <v>--</v>
      </c>
      <c r="J49" s="1364"/>
      <c r="K49" s="1364" t="str">
        <f>'DATA GPC'!O1375</f>
        <v>--</v>
      </c>
      <c r="L49" s="466"/>
      <c r="M49" s="474" t="str">
        <f>'DATA GPC'!O1405</f>
        <v>--</v>
      </c>
      <c r="N49" s="466"/>
      <c r="O49" s="474" t="str">
        <f>'DATA GPC'!O1435</f>
        <v>--</v>
      </c>
      <c r="P49" s="466"/>
      <c r="Q49" s="1364" t="str">
        <f>'DATA GPC'!O1465</f>
        <v>--</v>
      </c>
      <c r="R49" s="1520" t="s">
        <v>1793</v>
      </c>
      <c r="S49" s="472" t="str">
        <f t="shared" si="5"/>
        <v>--</v>
      </c>
      <c r="T49" s="2060"/>
      <c r="U49" s="1557"/>
    </row>
    <row r="50" spans="1:21" ht="12" customHeight="1">
      <c r="A50" s="1510" t="str">
        <f t="shared" si="3"/>
        <v>n</v>
      </c>
      <c r="B50" s="1557">
        <v>4</v>
      </c>
      <c r="C50" s="420" t="str">
        <f t="shared" si="4"/>
        <v>--</v>
      </c>
      <c r="D50" s="421"/>
      <c r="E50" s="662" t="str">
        <f>IF(C50="--","--",'DATA GPC'!O132)</f>
        <v>--</v>
      </c>
      <c r="F50" s="1520"/>
      <c r="G50" s="1364" t="str">
        <f>'DATA GPC'!O1316</f>
        <v>--</v>
      </c>
      <c r="H50" s="1364"/>
      <c r="I50" s="1364" t="str">
        <f>'DATA GPC'!O1346</f>
        <v>--</v>
      </c>
      <c r="J50" s="1364"/>
      <c r="K50" s="1364" t="str">
        <f>'DATA GPC'!O1376</f>
        <v>--</v>
      </c>
      <c r="L50" s="466"/>
      <c r="M50" s="474" t="str">
        <f>'DATA GPC'!O1406</f>
        <v>--</v>
      </c>
      <c r="N50" s="466"/>
      <c r="O50" s="474" t="str">
        <f>'DATA GPC'!O1436</f>
        <v>--</v>
      </c>
      <c r="P50" s="466"/>
      <c r="Q50" s="1364" t="str">
        <f>'DATA GPC'!O1466</f>
        <v>--</v>
      </c>
      <c r="R50" s="1520" t="s">
        <v>1793</v>
      </c>
      <c r="S50" s="472" t="str">
        <f t="shared" si="5"/>
        <v>--</v>
      </c>
      <c r="T50" s="2060"/>
      <c r="U50" s="1557"/>
    </row>
    <row r="51" spans="1:21" ht="12" customHeight="1">
      <c r="A51" s="1510" t="str">
        <f t="shared" si="3"/>
        <v>n</v>
      </c>
      <c r="B51" s="1557">
        <v>5</v>
      </c>
      <c r="C51" s="420" t="str">
        <f t="shared" si="4"/>
        <v>--</v>
      </c>
      <c r="D51" s="421"/>
      <c r="E51" s="662" t="str">
        <f>IF(C51="--","--",'DATA GPC'!O133)</f>
        <v>--</v>
      </c>
      <c r="F51" s="1520"/>
      <c r="G51" s="1364" t="str">
        <f>'DATA GPC'!O1317</f>
        <v>--</v>
      </c>
      <c r="H51" s="1364"/>
      <c r="I51" s="1364" t="str">
        <f>'DATA GPC'!O1347</f>
        <v>--</v>
      </c>
      <c r="J51" s="1364"/>
      <c r="K51" s="1364" t="str">
        <f>'DATA GPC'!O1377</f>
        <v>--</v>
      </c>
      <c r="L51" s="466"/>
      <c r="M51" s="474" t="str">
        <f>'DATA GPC'!O1407</f>
        <v>--</v>
      </c>
      <c r="N51" s="466"/>
      <c r="O51" s="474" t="str">
        <f>'DATA GPC'!O1437</f>
        <v>--</v>
      </c>
      <c r="P51" s="466"/>
      <c r="Q51" s="1364" t="str">
        <f>'DATA GPC'!O1467</f>
        <v>--</v>
      </c>
      <c r="R51" s="1520" t="s">
        <v>1793</v>
      </c>
      <c r="S51" s="472" t="str">
        <f t="shared" si="5"/>
        <v>--</v>
      </c>
      <c r="T51" s="2060"/>
      <c r="U51" s="1557"/>
    </row>
    <row r="52" spans="1:21" ht="12" customHeight="1">
      <c r="A52" s="1510" t="str">
        <f t="shared" si="3"/>
        <v>n</v>
      </c>
      <c r="B52" s="1557">
        <v>6</v>
      </c>
      <c r="C52" s="420" t="str">
        <f t="shared" si="4"/>
        <v>--</v>
      </c>
      <c r="D52" s="421"/>
      <c r="E52" s="675" t="str">
        <f>IF(C52="--","--",'DATA GPC'!O134)</f>
        <v>--</v>
      </c>
      <c r="F52" s="1520"/>
      <c r="G52" s="1364" t="str">
        <f>'DATA GPC'!O1318</f>
        <v>--</v>
      </c>
      <c r="H52" s="1364"/>
      <c r="I52" s="1364" t="str">
        <f>'DATA GPC'!O1348</f>
        <v>--</v>
      </c>
      <c r="J52" s="1364"/>
      <c r="K52" s="1364" t="str">
        <f>'DATA GPC'!O1378</f>
        <v>--</v>
      </c>
      <c r="L52" s="466"/>
      <c r="M52" s="474" t="str">
        <f>'DATA GPC'!O1408</f>
        <v>--</v>
      </c>
      <c r="N52" s="466"/>
      <c r="O52" s="474" t="str">
        <f>'DATA GPC'!O1438</f>
        <v>--</v>
      </c>
      <c r="P52" s="466"/>
      <c r="Q52" s="1364" t="str">
        <f>'DATA GPC'!O1468</f>
        <v>--</v>
      </c>
      <c r="R52" s="1520" t="s">
        <v>1793</v>
      </c>
      <c r="S52" s="472" t="str">
        <f t="shared" si="5"/>
        <v>--</v>
      </c>
      <c r="T52" s="2060"/>
      <c r="U52" s="1557"/>
    </row>
    <row r="53" spans="1:21" ht="12" customHeight="1">
      <c r="A53" s="1510" t="str">
        <f t="shared" si="3"/>
        <v>n</v>
      </c>
      <c r="B53" s="1557">
        <v>7</v>
      </c>
      <c r="C53" s="420" t="str">
        <f t="shared" si="4"/>
        <v>--</v>
      </c>
      <c r="D53" s="421"/>
      <c r="E53" s="662" t="str">
        <f>IF(C53="--","--",'DATA GPC'!O135)</f>
        <v>--</v>
      </c>
      <c r="F53" s="1520"/>
      <c r="G53" s="1364" t="str">
        <f>'DATA GPC'!O1319</f>
        <v>--</v>
      </c>
      <c r="H53" s="1364"/>
      <c r="I53" s="1364" t="str">
        <f>'DATA GPC'!O1349</f>
        <v>--</v>
      </c>
      <c r="J53" s="1364"/>
      <c r="K53" s="1364" t="str">
        <f>'DATA GPC'!O1379</f>
        <v>--</v>
      </c>
      <c r="L53" s="466"/>
      <c r="M53" s="474" t="str">
        <f>'DATA GPC'!O1409</f>
        <v>--</v>
      </c>
      <c r="N53" s="466"/>
      <c r="O53" s="474" t="str">
        <f>'DATA GPC'!O1439</f>
        <v>--</v>
      </c>
      <c r="P53" s="466"/>
      <c r="Q53" s="1364" t="str">
        <f>'DATA GPC'!O1469</f>
        <v>--</v>
      </c>
      <c r="R53" s="1520" t="s">
        <v>1793</v>
      </c>
      <c r="S53" s="472" t="str">
        <f t="shared" si="5"/>
        <v>--</v>
      </c>
      <c r="T53" s="2060"/>
      <c r="U53" s="1557"/>
    </row>
    <row r="54" spans="1:21" ht="12" customHeight="1">
      <c r="A54" s="1510" t="str">
        <f t="shared" si="3"/>
        <v>n</v>
      </c>
      <c r="B54" s="1557">
        <v>8</v>
      </c>
      <c r="C54" s="420" t="str">
        <f t="shared" si="4"/>
        <v>--</v>
      </c>
      <c r="D54" s="421"/>
      <c r="E54" s="662" t="str">
        <f>IF(C54="--","--",'DATA GPC'!O136)</f>
        <v>--</v>
      </c>
      <c r="F54" s="1520"/>
      <c r="G54" s="1364" t="str">
        <f>'DATA GPC'!O1320</f>
        <v>--</v>
      </c>
      <c r="H54" s="1364"/>
      <c r="I54" s="1364" t="str">
        <f>'DATA GPC'!O1350</f>
        <v>--</v>
      </c>
      <c r="J54" s="1364"/>
      <c r="K54" s="1364" t="str">
        <f>'DATA GPC'!O1380</f>
        <v>--</v>
      </c>
      <c r="L54" s="466"/>
      <c r="M54" s="474" t="str">
        <f>'DATA GPC'!O1410</f>
        <v>--</v>
      </c>
      <c r="N54" s="466"/>
      <c r="O54" s="474" t="str">
        <f>'DATA GPC'!O1440</f>
        <v>--</v>
      </c>
      <c r="P54" s="466"/>
      <c r="Q54" s="1364" t="str">
        <f>'DATA GPC'!O1470</f>
        <v>--</v>
      </c>
      <c r="R54" s="1520" t="s">
        <v>1793</v>
      </c>
      <c r="S54" s="472" t="str">
        <f t="shared" si="5"/>
        <v>--</v>
      </c>
      <c r="T54" s="2060"/>
      <c r="U54" s="1557"/>
    </row>
    <row r="55" spans="1:21" ht="12" customHeight="1">
      <c r="A55" s="1510" t="str">
        <f t="shared" si="3"/>
        <v>n</v>
      </c>
      <c r="B55" s="1557">
        <v>9</v>
      </c>
      <c r="C55" s="420" t="str">
        <f t="shared" si="4"/>
        <v>--</v>
      </c>
      <c r="D55" s="421"/>
      <c r="E55" s="662" t="str">
        <f>IF(C55="--","--",'DATA GPC'!O137)</f>
        <v>--</v>
      </c>
      <c r="F55" s="1520"/>
      <c r="G55" s="1364" t="str">
        <f>'DATA GPC'!O1321</f>
        <v>--</v>
      </c>
      <c r="H55" s="1364"/>
      <c r="I55" s="1364" t="str">
        <f>'DATA GPC'!O1351</f>
        <v>--</v>
      </c>
      <c r="J55" s="1364"/>
      <c r="K55" s="1364" t="str">
        <f>'DATA GPC'!O1381</f>
        <v>--</v>
      </c>
      <c r="L55" s="466"/>
      <c r="M55" s="474" t="str">
        <f>'DATA GPC'!O1411</f>
        <v>--</v>
      </c>
      <c r="N55" s="466"/>
      <c r="O55" s="474" t="str">
        <f>'DATA GPC'!O1441</f>
        <v>--</v>
      </c>
      <c r="P55" s="466"/>
      <c r="Q55" s="1364" t="str">
        <f>'DATA GPC'!O1471</f>
        <v>--</v>
      </c>
      <c r="R55" s="1520" t="s">
        <v>1793</v>
      </c>
      <c r="S55" s="472" t="str">
        <f t="shared" si="5"/>
        <v>--</v>
      </c>
      <c r="T55" s="2060"/>
      <c r="U55" s="1557"/>
    </row>
    <row r="56" spans="1:21" ht="12" customHeight="1">
      <c r="A56" s="1510" t="str">
        <f t="shared" si="3"/>
        <v>n</v>
      </c>
      <c r="B56" s="1557">
        <v>10</v>
      </c>
      <c r="C56" s="420" t="str">
        <f t="shared" si="4"/>
        <v>--</v>
      </c>
      <c r="D56" s="421"/>
      <c r="E56" s="662" t="str">
        <f>IF(C56="--","--",'DATA GPC'!O138)</f>
        <v>--</v>
      </c>
      <c r="F56" s="1520"/>
      <c r="G56" s="1364" t="str">
        <f>'DATA GPC'!O1322</f>
        <v>--</v>
      </c>
      <c r="H56" s="1364"/>
      <c r="I56" s="1364" t="str">
        <f>'DATA GPC'!O1352</f>
        <v>--</v>
      </c>
      <c r="J56" s="1364"/>
      <c r="K56" s="1364" t="str">
        <f>'DATA GPC'!O1382</f>
        <v>--</v>
      </c>
      <c r="L56" s="466"/>
      <c r="M56" s="474" t="str">
        <f>'DATA GPC'!O1412</f>
        <v>--</v>
      </c>
      <c r="N56" s="466"/>
      <c r="O56" s="474" t="str">
        <f>'DATA GPC'!O1442</f>
        <v>--</v>
      </c>
      <c r="P56" s="466"/>
      <c r="Q56" s="1364" t="str">
        <f>'DATA GPC'!O1472</f>
        <v>--</v>
      </c>
      <c r="R56" s="1520" t="s">
        <v>1793</v>
      </c>
      <c r="S56" s="472" t="str">
        <f t="shared" si="5"/>
        <v>--</v>
      </c>
      <c r="T56" s="2060"/>
      <c r="U56" s="1557"/>
    </row>
    <row r="57" spans="1:21" ht="12" customHeight="1">
      <c r="A57" s="1510" t="str">
        <f t="shared" si="3"/>
        <v>n</v>
      </c>
      <c r="B57" s="1557">
        <v>11</v>
      </c>
      <c r="C57" s="420" t="str">
        <f t="shared" si="4"/>
        <v>--</v>
      </c>
      <c r="D57" s="421"/>
      <c r="E57" s="662" t="str">
        <f>IF(C57="--","--",'DATA GPC'!O139)</f>
        <v>--</v>
      </c>
      <c r="F57" s="1520"/>
      <c r="G57" s="1364" t="str">
        <f>'DATA GPC'!O1323</f>
        <v>--</v>
      </c>
      <c r="H57" s="1364"/>
      <c r="I57" s="1364" t="str">
        <f>'DATA GPC'!O1353</f>
        <v>--</v>
      </c>
      <c r="J57" s="1364"/>
      <c r="K57" s="1364" t="str">
        <f>'DATA GPC'!O1383</f>
        <v>--</v>
      </c>
      <c r="L57" s="466"/>
      <c r="M57" s="474" t="str">
        <f>'DATA GPC'!O1413</f>
        <v>--</v>
      </c>
      <c r="N57" s="466"/>
      <c r="O57" s="474" t="str">
        <f>'DATA GPC'!O1443</f>
        <v>--</v>
      </c>
      <c r="P57" s="466"/>
      <c r="Q57" s="1364" t="str">
        <f>'DATA GPC'!O1473</f>
        <v>--</v>
      </c>
      <c r="R57" s="1520" t="s">
        <v>1793</v>
      </c>
      <c r="S57" s="472" t="str">
        <f t="shared" si="5"/>
        <v>--</v>
      </c>
      <c r="T57" s="2060"/>
      <c r="U57" s="1557"/>
    </row>
    <row r="58" spans="1:21" ht="12" customHeight="1">
      <c r="A58" s="1510" t="str">
        <f t="shared" si="3"/>
        <v>n</v>
      </c>
      <c r="B58" s="1557">
        <v>12</v>
      </c>
      <c r="C58" s="420" t="str">
        <f t="shared" si="4"/>
        <v>--</v>
      </c>
      <c r="D58" s="421"/>
      <c r="E58" s="662" t="str">
        <f>IF(C58="--","--",'DATA GPC'!O140)</f>
        <v>--</v>
      </c>
      <c r="F58" s="1520"/>
      <c r="G58" s="1364" t="str">
        <f>'DATA GPC'!O1324</f>
        <v>--</v>
      </c>
      <c r="H58" s="1364"/>
      <c r="I58" s="1364" t="str">
        <f>'DATA GPC'!O1354</f>
        <v>--</v>
      </c>
      <c r="J58" s="1364"/>
      <c r="K58" s="1364" t="str">
        <f>'DATA GPC'!O1384</f>
        <v>--</v>
      </c>
      <c r="L58" s="466"/>
      <c r="M58" s="474" t="str">
        <f>'DATA GPC'!O1414</f>
        <v>--</v>
      </c>
      <c r="N58" s="466"/>
      <c r="O58" s="474" t="str">
        <f>'DATA GPC'!O1444</f>
        <v>--</v>
      </c>
      <c r="P58" s="466"/>
      <c r="Q58" s="1364" t="str">
        <f>'DATA GPC'!O1474</f>
        <v>--</v>
      </c>
      <c r="R58" s="1520" t="s">
        <v>1793</v>
      </c>
      <c r="S58" s="472" t="str">
        <f t="shared" si="5"/>
        <v>--</v>
      </c>
      <c r="T58" s="2060"/>
      <c r="U58" s="1557"/>
    </row>
    <row r="59" spans="1:21" ht="12" customHeight="1">
      <c r="A59" s="1510" t="str">
        <f t="shared" si="3"/>
        <v>n</v>
      </c>
      <c r="B59" s="1557">
        <v>13</v>
      </c>
      <c r="C59" s="420" t="str">
        <f t="shared" si="4"/>
        <v>--</v>
      </c>
      <c r="D59" s="421"/>
      <c r="E59" s="662" t="str">
        <f>IF(C59="--","--",'DATA GPC'!O141)</f>
        <v>--</v>
      </c>
      <c r="F59" s="1520"/>
      <c r="G59" s="1364" t="str">
        <f>'DATA GPC'!O1325</f>
        <v>--</v>
      </c>
      <c r="H59" s="1364"/>
      <c r="I59" s="1364" t="str">
        <f>'DATA GPC'!O1355</f>
        <v>--</v>
      </c>
      <c r="J59" s="1364"/>
      <c r="K59" s="1364" t="str">
        <f>'DATA GPC'!O1385</f>
        <v>--</v>
      </c>
      <c r="L59" s="466"/>
      <c r="M59" s="474" t="str">
        <f>'DATA GPC'!O1415</f>
        <v>--</v>
      </c>
      <c r="N59" s="466"/>
      <c r="O59" s="474" t="str">
        <f>'DATA GPC'!O1445</f>
        <v>--</v>
      </c>
      <c r="P59" s="466"/>
      <c r="Q59" s="1364" t="str">
        <f>'DATA GPC'!O1475</f>
        <v>--</v>
      </c>
      <c r="R59" s="1520" t="s">
        <v>1793</v>
      </c>
      <c r="S59" s="472" t="str">
        <f t="shared" si="5"/>
        <v>--</v>
      </c>
      <c r="T59" s="2060"/>
      <c r="U59" s="1557"/>
    </row>
    <row r="60" spans="1:21" ht="12" customHeight="1">
      <c r="A60" s="1510" t="str">
        <f t="shared" ref="A60:A71" si="6">IF(N(G60),"","n")</f>
        <v>n</v>
      </c>
      <c r="B60" s="1557">
        <v>14</v>
      </c>
      <c r="C60" s="420" t="str">
        <f t="shared" ref="C60:C71" si="7">C26</f>
        <v>--</v>
      </c>
      <c r="D60" s="421"/>
      <c r="E60" s="662" t="str">
        <f>IF(C60="--","--",'DATA GPC'!O142)</f>
        <v>--</v>
      </c>
      <c r="F60" s="1520"/>
      <c r="G60" s="1364" t="str">
        <f>'DATA GPC'!O1326</f>
        <v>--</v>
      </c>
      <c r="H60" s="1364"/>
      <c r="I60" s="1364" t="str">
        <f>'DATA GPC'!O1356</f>
        <v>--</v>
      </c>
      <c r="J60" s="1364"/>
      <c r="K60" s="1364" t="str">
        <f>'DATA GPC'!O1386</f>
        <v>--</v>
      </c>
      <c r="L60" s="466"/>
      <c r="M60" s="474" t="str">
        <f>'DATA GPC'!O1416</f>
        <v>--</v>
      </c>
      <c r="N60" s="466"/>
      <c r="O60" s="474" t="str">
        <f>'DATA GPC'!O1446</f>
        <v>--</v>
      </c>
      <c r="P60" s="466"/>
      <c r="Q60" s="1364" t="str">
        <f>'DATA GPC'!O1476</f>
        <v>--</v>
      </c>
      <c r="R60" s="1520" t="s">
        <v>1793</v>
      </c>
      <c r="S60" s="472" t="str">
        <f t="shared" si="5"/>
        <v>--</v>
      </c>
      <c r="T60" s="2060"/>
      <c r="U60" s="1557"/>
    </row>
    <row r="61" spans="1:21" s="1525" customFormat="1" ht="12" customHeight="1">
      <c r="A61" s="1510" t="str">
        <f t="shared" si="6"/>
        <v>n</v>
      </c>
      <c r="B61" s="1557">
        <v>15</v>
      </c>
      <c r="C61" s="420" t="str">
        <f t="shared" si="7"/>
        <v>--</v>
      </c>
      <c r="D61" s="421"/>
      <c r="E61" s="662" t="str">
        <f>IF(C61="--","--",'DATA GPC'!O143)</f>
        <v>--</v>
      </c>
      <c r="F61" s="1520"/>
      <c r="G61" s="1364" t="str">
        <f>'DATA GPC'!O1327</f>
        <v>--</v>
      </c>
      <c r="H61" s="1364"/>
      <c r="I61" s="1364" t="str">
        <f>'DATA GPC'!O1357</f>
        <v>--</v>
      </c>
      <c r="J61" s="1364"/>
      <c r="K61" s="1364" t="str">
        <f>'DATA GPC'!O1387</f>
        <v>--</v>
      </c>
      <c r="L61" s="466"/>
      <c r="M61" s="474" t="str">
        <f>'DATA GPC'!O1417</f>
        <v>--</v>
      </c>
      <c r="N61" s="466"/>
      <c r="O61" s="474" t="str">
        <f>'DATA GPC'!O1447</f>
        <v>--</v>
      </c>
      <c r="P61" s="466"/>
      <c r="Q61" s="1364" t="str">
        <f>'DATA GPC'!O1477</f>
        <v>--</v>
      </c>
      <c r="R61" s="1520" t="s">
        <v>1793</v>
      </c>
      <c r="S61" s="472" t="str">
        <f t="shared" si="5"/>
        <v>--</v>
      </c>
      <c r="T61" s="2060"/>
      <c r="U61" s="1557"/>
    </row>
    <row r="62" spans="1:21" s="1525" customFormat="1" ht="12" customHeight="1">
      <c r="A62" s="1510" t="str">
        <f t="shared" si="6"/>
        <v>n</v>
      </c>
      <c r="B62" s="1557">
        <v>16</v>
      </c>
      <c r="C62" s="420" t="str">
        <f t="shared" si="7"/>
        <v>--</v>
      </c>
      <c r="D62" s="421"/>
      <c r="E62" s="662" t="str">
        <f>IF(C62="--","--",'DATA GPC'!O144)</f>
        <v>--</v>
      </c>
      <c r="F62" s="1520"/>
      <c r="G62" s="1364" t="str">
        <f>'DATA GPC'!O1328</f>
        <v>--</v>
      </c>
      <c r="H62" s="1364"/>
      <c r="I62" s="1364" t="str">
        <f>'DATA GPC'!O1358</f>
        <v>--</v>
      </c>
      <c r="J62" s="1364"/>
      <c r="K62" s="1364" t="str">
        <f>'DATA GPC'!O1388</f>
        <v>--</v>
      </c>
      <c r="L62" s="466"/>
      <c r="M62" s="474" t="str">
        <f>'DATA GPC'!O1418</f>
        <v>--</v>
      </c>
      <c r="N62" s="466"/>
      <c r="O62" s="474" t="str">
        <f>'DATA GPC'!O1448</f>
        <v>--</v>
      </c>
      <c r="P62" s="466"/>
      <c r="Q62" s="1364" t="str">
        <f>'DATA GPC'!O1478</f>
        <v>--</v>
      </c>
      <c r="R62" s="1520" t="s">
        <v>1793</v>
      </c>
      <c r="S62" s="472" t="str">
        <f t="shared" si="5"/>
        <v>--</v>
      </c>
      <c r="T62" s="2060"/>
      <c r="U62" s="1557"/>
    </row>
    <row r="63" spans="1:21" s="1525" customFormat="1" ht="12" customHeight="1">
      <c r="A63" s="1510" t="str">
        <f t="shared" si="6"/>
        <v>n</v>
      </c>
      <c r="B63" s="1557">
        <v>17</v>
      </c>
      <c r="C63" s="420" t="str">
        <f t="shared" si="7"/>
        <v>--</v>
      </c>
      <c r="D63" s="421"/>
      <c r="E63" s="662" t="str">
        <f>IF(C63="--","--",'DATA GPC'!O145)</f>
        <v>--</v>
      </c>
      <c r="F63" s="1520"/>
      <c r="G63" s="1364" t="str">
        <f>'DATA GPC'!O1329</f>
        <v>--</v>
      </c>
      <c r="H63" s="1364"/>
      <c r="I63" s="1364" t="str">
        <f>'DATA GPC'!O1359</f>
        <v>--</v>
      </c>
      <c r="J63" s="1364"/>
      <c r="K63" s="1364" t="str">
        <f>'DATA GPC'!O1389</f>
        <v>--</v>
      </c>
      <c r="L63" s="466"/>
      <c r="M63" s="474" t="str">
        <f>'DATA GPC'!O1419</f>
        <v>--</v>
      </c>
      <c r="N63" s="466"/>
      <c r="O63" s="474" t="str">
        <f>'DATA GPC'!O1449</f>
        <v>--</v>
      </c>
      <c r="P63" s="466"/>
      <c r="Q63" s="1364" t="str">
        <f>'DATA GPC'!O1479</f>
        <v>--</v>
      </c>
      <c r="R63" s="1520" t="s">
        <v>1793</v>
      </c>
      <c r="S63" s="472" t="str">
        <f t="shared" si="5"/>
        <v>--</v>
      </c>
      <c r="T63" s="2060"/>
      <c r="U63" s="1557"/>
    </row>
    <row r="64" spans="1:21" s="1525" customFormat="1" ht="12" customHeight="1">
      <c r="A64" s="1510" t="str">
        <f t="shared" si="6"/>
        <v>n</v>
      </c>
      <c r="B64" s="1557">
        <v>18</v>
      </c>
      <c r="C64" s="420" t="str">
        <f t="shared" si="7"/>
        <v>--</v>
      </c>
      <c r="D64" s="421"/>
      <c r="E64" s="662" t="str">
        <f>IF(C64="--","--",'DATA GPC'!O146)</f>
        <v>--</v>
      </c>
      <c r="F64" s="1520"/>
      <c r="G64" s="1364" t="str">
        <f>'DATA GPC'!O1330</f>
        <v>--</v>
      </c>
      <c r="H64" s="1364"/>
      <c r="I64" s="1364" t="str">
        <f>'DATA GPC'!O1360</f>
        <v>--</v>
      </c>
      <c r="J64" s="1364"/>
      <c r="K64" s="1364" t="str">
        <f>'DATA GPC'!O1390</f>
        <v>--</v>
      </c>
      <c r="L64" s="466"/>
      <c r="M64" s="474" t="str">
        <f>'DATA GPC'!O1420</f>
        <v>--</v>
      </c>
      <c r="N64" s="466"/>
      <c r="O64" s="474" t="str">
        <f>'DATA GPC'!O1450</f>
        <v>--</v>
      </c>
      <c r="P64" s="466"/>
      <c r="Q64" s="1364" t="str">
        <f>'DATA GPC'!O1480</f>
        <v>--</v>
      </c>
      <c r="R64" s="1520" t="s">
        <v>1793</v>
      </c>
      <c r="S64" s="472" t="str">
        <f t="shared" si="5"/>
        <v>--</v>
      </c>
      <c r="T64" s="2060"/>
      <c r="U64" s="1557"/>
    </row>
    <row r="65" spans="1:24" s="1525" customFormat="1" ht="12" customHeight="1">
      <c r="A65" s="1510" t="str">
        <f t="shared" si="6"/>
        <v>n</v>
      </c>
      <c r="B65" s="1557">
        <v>19</v>
      </c>
      <c r="C65" s="420" t="str">
        <f t="shared" si="7"/>
        <v>--</v>
      </c>
      <c r="D65" s="421"/>
      <c r="E65" s="662" t="str">
        <f>IF(C65="--","--",'DATA GPC'!O147)</f>
        <v>--</v>
      </c>
      <c r="F65" s="1520"/>
      <c r="G65" s="1364" t="str">
        <f>'DATA GPC'!O1331</f>
        <v>--</v>
      </c>
      <c r="H65" s="1364"/>
      <c r="I65" s="1364" t="str">
        <f>'DATA GPC'!O1361</f>
        <v>--</v>
      </c>
      <c r="J65" s="1364"/>
      <c r="K65" s="1364" t="str">
        <f>'DATA GPC'!O1391</f>
        <v>--</v>
      </c>
      <c r="L65" s="466"/>
      <c r="M65" s="474" t="str">
        <f>'DATA GPC'!O1421</f>
        <v>--</v>
      </c>
      <c r="N65" s="466"/>
      <c r="O65" s="474" t="str">
        <f>'DATA GPC'!O1451</f>
        <v>--</v>
      </c>
      <c r="P65" s="466"/>
      <c r="Q65" s="1364" t="str">
        <f>'DATA GPC'!O1481</f>
        <v>--</v>
      </c>
      <c r="R65" s="1520" t="s">
        <v>1793</v>
      </c>
      <c r="S65" s="472" t="str">
        <f t="shared" si="5"/>
        <v>--</v>
      </c>
      <c r="T65" s="2060"/>
      <c r="U65" s="1557"/>
    </row>
    <row r="66" spans="1:24" s="1525" customFormat="1" ht="12" customHeight="1">
      <c r="A66" s="1510" t="str">
        <f t="shared" si="6"/>
        <v>n</v>
      </c>
      <c r="B66" s="1557">
        <v>20</v>
      </c>
      <c r="C66" s="420" t="str">
        <f t="shared" si="7"/>
        <v>--</v>
      </c>
      <c r="D66" s="421"/>
      <c r="E66" s="662" t="str">
        <f>IF(C66="--","--",'DATA GPC'!O148)</f>
        <v>--</v>
      </c>
      <c r="F66" s="1520"/>
      <c r="G66" s="1364" t="str">
        <f>'DATA GPC'!O1332</f>
        <v>--</v>
      </c>
      <c r="H66" s="1364"/>
      <c r="I66" s="1364" t="str">
        <f>'DATA GPC'!O1362</f>
        <v>--</v>
      </c>
      <c r="J66" s="1364"/>
      <c r="K66" s="1364" t="str">
        <f>'DATA GPC'!O1392</f>
        <v>--</v>
      </c>
      <c r="L66" s="466"/>
      <c r="M66" s="474" t="str">
        <f>'DATA GPC'!O1422</f>
        <v>--</v>
      </c>
      <c r="N66" s="466"/>
      <c r="O66" s="474" t="str">
        <f>'DATA GPC'!O1452</f>
        <v>--</v>
      </c>
      <c r="P66" s="466"/>
      <c r="Q66" s="1364" t="str">
        <f>'DATA GPC'!O1482</f>
        <v>--</v>
      </c>
      <c r="R66" s="1520" t="s">
        <v>1793</v>
      </c>
      <c r="S66" s="472" t="str">
        <f t="shared" si="5"/>
        <v>--</v>
      </c>
      <c r="T66" s="2060"/>
      <c r="U66" s="1557"/>
    </row>
    <row r="67" spans="1:24" s="1525" customFormat="1" ht="12" customHeight="1">
      <c r="A67" s="1510" t="str">
        <f t="shared" si="6"/>
        <v>n</v>
      </c>
      <c r="B67" s="1557">
        <v>21</v>
      </c>
      <c r="C67" s="420" t="str">
        <f t="shared" si="7"/>
        <v>--</v>
      </c>
      <c r="D67" s="421"/>
      <c r="E67" s="662" t="str">
        <f>IF(C67="--","--",'DATA GPC'!O149)</f>
        <v>--</v>
      </c>
      <c r="F67" s="1520"/>
      <c r="G67" s="1364" t="str">
        <f>'DATA GPC'!O1333</f>
        <v>--</v>
      </c>
      <c r="H67" s="1364"/>
      <c r="I67" s="1364" t="str">
        <f>'DATA GPC'!O1363</f>
        <v>--</v>
      </c>
      <c r="J67" s="1364"/>
      <c r="K67" s="1364" t="str">
        <f>'DATA GPC'!O1393</f>
        <v>--</v>
      </c>
      <c r="L67" s="466"/>
      <c r="M67" s="474" t="str">
        <f>'DATA GPC'!O1423</f>
        <v>--</v>
      </c>
      <c r="N67" s="466"/>
      <c r="O67" s="474" t="str">
        <f>'DATA GPC'!O1453</f>
        <v>--</v>
      </c>
      <c r="P67" s="466"/>
      <c r="Q67" s="1364" t="str">
        <f>'DATA GPC'!O1483</f>
        <v>--</v>
      </c>
      <c r="R67" s="1520" t="s">
        <v>1793</v>
      </c>
      <c r="S67" s="472" t="str">
        <f t="shared" si="5"/>
        <v>--</v>
      </c>
      <c r="T67" s="2060"/>
      <c r="U67" s="1557"/>
    </row>
    <row r="68" spans="1:24" s="1525" customFormat="1" ht="12" customHeight="1">
      <c r="A68" s="1510" t="str">
        <f t="shared" si="6"/>
        <v>n</v>
      </c>
      <c r="B68" s="1557">
        <v>22</v>
      </c>
      <c r="C68" s="420" t="str">
        <f t="shared" si="7"/>
        <v>--</v>
      </c>
      <c r="D68" s="421"/>
      <c r="E68" s="662" t="str">
        <f>IF(C68="--","--",'DATA GPC'!O150)</f>
        <v>--</v>
      </c>
      <c r="F68" s="1520"/>
      <c r="G68" s="1364" t="str">
        <f>'DATA GPC'!O1334</f>
        <v>--</v>
      </c>
      <c r="H68" s="1364"/>
      <c r="I68" s="1364" t="str">
        <f>'DATA GPC'!O1364</f>
        <v>--</v>
      </c>
      <c r="J68" s="1364"/>
      <c r="K68" s="1364" t="str">
        <f>'DATA GPC'!O1394</f>
        <v>--</v>
      </c>
      <c r="L68" s="466"/>
      <c r="M68" s="474" t="str">
        <f>'DATA GPC'!O1424</f>
        <v>--</v>
      </c>
      <c r="N68" s="466"/>
      <c r="O68" s="474" t="str">
        <f>'DATA GPC'!O1454</f>
        <v>--</v>
      </c>
      <c r="P68" s="466"/>
      <c r="Q68" s="1364" t="str">
        <f>'DATA GPC'!O1484</f>
        <v>--</v>
      </c>
      <c r="R68" s="1520" t="s">
        <v>1793</v>
      </c>
      <c r="S68" s="472" t="str">
        <f t="shared" si="5"/>
        <v>--</v>
      </c>
      <c r="T68" s="2060"/>
      <c r="U68" s="1557"/>
    </row>
    <row r="69" spans="1:24" s="1525" customFormat="1" ht="12" customHeight="1">
      <c r="A69" s="1510" t="str">
        <f t="shared" si="6"/>
        <v>n</v>
      </c>
      <c r="B69" s="1557">
        <v>23</v>
      </c>
      <c r="C69" s="420" t="str">
        <f t="shared" si="7"/>
        <v>--</v>
      </c>
      <c r="D69" s="421"/>
      <c r="E69" s="662" t="str">
        <f>IF(C69="--","--",'DATA GPC'!O151)</f>
        <v>--</v>
      </c>
      <c r="F69" s="1520"/>
      <c r="G69" s="1364" t="str">
        <f>'DATA GPC'!O1335</f>
        <v>--</v>
      </c>
      <c r="H69" s="1364"/>
      <c r="I69" s="1364" t="str">
        <f>'DATA GPC'!O1365</f>
        <v>--</v>
      </c>
      <c r="J69" s="1364"/>
      <c r="K69" s="1364" t="str">
        <f>'DATA GPC'!O1395</f>
        <v>--</v>
      </c>
      <c r="L69" s="466"/>
      <c r="M69" s="474" t="str">
        <f>'DATA GPC'!O1425</f>
        <v>--</v>
      </c>
      <c r="N69" s="466"/>
      <c r="O69" s="474" t="str">
        <f>'DATA GPC'!O1455</f>
        <v>--</v>
      </c>
      <c r="P69" s="466"/>
      <c r="Q69" s="1364" t="str">
        <f>'DATA GPC'!O1485</f>
        <v>--</v>
      </c>
      <c r="R69" s="1520" t="s">
        <v>1793</v>
      </c>
      <c r="S69" s="472" t="str">
        <f t="shared" si="5"/>
        <v>--</v>
      </c>
      <c r="T69" s="2060"/>
      <c r="U69" s="1557"/>
    </row>
    <row r="70" spans="1:24" s="1525" customFormat="1" ht="12" customHeight="1">
      <c r="A70" s="1510" t="str">
        <f t="shared" si="6"/>
        <v>n</v>
      </c>
      <c r="B70" s="1557">
        <v>24</v>
      </c>
      <c r="C70" s="420" t="str">
        <f t="shared" si="7"/>
        <v>--</v>
      </c>
      <c r="D70" s="421"/>
      <c r="E70" s="662" t="str">
        <f>IF(C70="--","--",'DATA GPC'!O152)</f>
        <v>--</v>
      </c>
      <c r="F70" s="1520"/>
      <c r="G70" s="1364" t="str">
        <f>'DATA GPC'!O1336</f>
        <v>--</v>
      </c>
      <c r="H70" s="1364"/>
      <c r="I70" s="1364" t="str">
        <f>'DATA GPC'!O1366</f>
        <v>--</v>
      </c>
      <c r="J70" s="1364"/>
      <c r="K70" s="1364" t="str">
        <f>'DATA GPC'!O1396</f>
        <v>--</v>
      </c>
      <c r="L70" s="466"/>
      <c r="M70" s="474" t="str">
        <f>'DATA GPC'!O1426</f>
        <v>--</v>
      </c>
      <c r="N70" s="466"/>
      <c r="O70" s="474" t="str">
        <f>'DATA GPC'!O1456</f>
        <v>--</v>
      </c>
      <c r="P70" s="466"/>
      <c r="Q70" s="1364" t="str">
        <f>'DATA GPC'!O1486</f>
        <v>--</v>
      </c>
      <c r="R70" s="1520" t="s">
        <v>1793</v>
      </c>
      <c r="S70" s="472" t="str">
        <f t="shared" si="5"/>
        <v>--</v>
      </c>
      <c r="T70" s="2060"/>
      <c r="U70" s="1557"/>
    </row>
    <row r="71" spans="1:24" ht="12" customHeight="1">
      <c r="A71" s="1510" t="str">
        <f t="shared" si="6"/>
        <v>n</v>
      </c>
      <c r="B71" s="1557">
        <v>25</v>
      </c>
      <c r="C71" s="420" t="str">
        <f t="shared" si="7"/>
        <v>--</v>
      </c>
      <c r="D71" s="421"/>
      <c r="E71" s="662" t="str">
        <f>IF(C71="--","--",'DATA GPC'!O153)</f>
        <v>--</v>
      </c>
      <c r="F71" s="1520"/>
      <c r="G71" s="1364" t="str">
        <f>'DATA GPC'!O1337</f>
        <v>--</v>
      </c>
      <c r="H71" s="1364"/>
      <c r="I71" s="1364" t="str">
        <f>'DATA GPC'!O1367</f>
        <v>--</v>
      </c>
      <c r="J71" s="1364"/>
      <c r="K71" s="1364" t="str">
        <f>'DATA GPC'!O1397</f>
        <v>--</v>
      </c>
      <c r="L71" s="466"/>
      <c r="M71" s="474" t="str">
        <f>'DATA GPC'!O1427</f>
        <v>--</v>
      </c>
      <c r="N71" s="466"/>
      <c r="O71" s="474" t="str">
        <f>'DATA GPC'!O1457</f>
        <v>--</v>
      </c>
      <c r="P71" s="466"/>
      <c r="Q71" s="1364" t="str">
        <f>'DATA GPC'!O1487</f>
        <v>--</v>
      </c>
      <c r="R71" s="1520" t="s">
        <v>1793</v>
      </c>
      <c r="S71" s="472" t="str">
        <f t="shared" si="5"/>
        <v>--</v>
      </c>
      <c r="T71" s="2060"/>
      <c r="U71" s="1557"/>
      <c r="V71" s="1525"/>
      <c r="W71" s="1525"/>
      <c r="X71" s="1525"/>
    </row>
    <row r="72" spans="1:24" ht="12" customHeight="1">
      <c r="A72" s="1510"/>
      <c r="B72" s="1557"/>
      <c r="C72" s="1331"/>
      <c r="D72" s="1331"/>
      <c r="E72" s="1332"/>
      <c r="F72" s="1331"/>
      <c r="G72" s="1331"/>
      <c r="H72" s="1331"/>
      <c r="I72" s="1331"/>
      <c r="J72" s="1331"/>
      <c r="K72" s="1180"/>
      <c r="L72" s="1331"/>
      <c r="M72" s="1331"/>
      <c r="N72" s="1331"/>
      <c r="O72" s="1331"/>
      <c r="P72" s="1331"/>
      <c r="Q72" s="1331"/>
      <c r="R72" s="1331"/>
      <c r="S72" s="1331"/>
      <c r="T72" s="2060"/>
      <c r="U72" s="1557"/>
      <c r="V72" s="1525"/>
      <c r="W72" s="1525"/>
      <c r="X72" s="1525"/>
    </row>
    <row r="73" spans="1:24" s="1525" customFormat="1" ht="12" customHeight="1">
      <c r="A73" s="1510"/>
      <c r="B73" s="1557"/>
      <c r="C73" s="1592" t="s">
        <v>1805</v>
      </c>
      <c r="D73" s="1592"/>
      <c r="E73" s="1569"/>
      <c r="F73" s="1592"/>
      <c r="G73" s="1592"/>
      <c r="H73" s="1592"/>
      <c r="I73" s="1592"/>
      <c r="J73" s="1592"/>
      <c r="K73" s="1564"/>
      <c r="L73" s="1592"/>
      <c r="M73" s="1592"/>
      <c r="N73" s="1592"/>
      <c r="O73" s="1592"/>
      <c r="P73" s="1592"/>
      <c r="Q73" s="1592"/>
      <c r="R73" s="1592"/>
      <c r="S73" s="1592"/>
      <c r="T73" s="2060"/>
      <c r="U73" s="1557"/>
    </row>
    <row r="74" spans="1:24" ht="12" customHeight="1">
      <c r="A74" s="1510"/>
      <c r="B74" s="1557"/>
      <c r="C74" s="431" t="s">
        <v>1806</v>
      </c>
      <c r="D74" s="1520"/>
      <c r="E74" s="1567"/>
      <c r="F74" s="1520"/>
      <c r="G74" s="1520"/>
      <c r="H74" s="1520"/>
      <c r="I74" s="1520"/>
      <c r="J74" s="1520"/>
      <c r="K74" s="146"/>
      <c r="L74" s="1520"/>
      <c r="M74" s="1520"/>
      <c r="N74" s="1520"/>
      <c r="O74" s="1520"/>
      <c r="P74" s="1520"/>
      <c r="Q74" s="1520"/>
      <c r="R74" s="1520"/>
      <c r="S74" s="1520"/>
      <c r="T74" s="2060"/>
      <c r="U74" s="1557"/>
      <c r="V74" s="1525"/>
      <c r="W74" s="1525"/>
      <c r="X74" s="1525"/>
    </row>
    <row r="75" spans="1:24" s="1525" customFormat="1" ht="12" customHeight="1">
      <c r="A75" s="1510"/>
      <c r="B75" s="1557"/>
      <c r="C75" s="431"/>
      <c r="D75" s="1520"/>
      <c r="E75" s="1567"/>
      <c r="F75" s="1520"/>
      <c r="G75" s="1520"/>
      <c r="H75" s="1520"/>
      <c r="I75" s="1520"/>
      <c r="J75" s="1520"/>
      <c r="K75" s="146"/>
      <c r="L75" s="1520"/>
      <c r="M75" s="1520"/>
      <c r="N75" s="1520"/>
      <c r="O75" s="1520"/>
      <c r="P75" s="1520"/>
      <c r="Q75" s="1520"/>
      <c r="R75" s="1520"/>
      <c r="S75" s="1520"/>
      <c r="T75" s="2060"/>
      <c r="U75" s="1557"/>
    </row>
    <row r="76" spans="1:24" ht="12" customHeight="1">
      <c r="A76" s="1557"/>
      <c r="B76" s="1557"/>
      <c r="C76" s="431" t="str">
        <f ca="1">FootnoteDRAFT</f>
        <v>Run date: 05-August-2018  02:34 PM.   DRAFT document. All data subject to change upon completion of additional analysis.</v>
      </c>
      <c r="D76" s="373"/>
      <c r="E76" s="694"/>
      <c r="F76" s="373"/>
      <c r="G76" s="373"/>
      <c r="H76" s="373"/>
      <c r="I76" s="373"/>
      <c r="J76" s="373"/>
      <c r="K76" s="1555"/>
      <c r="L76" s="373"/>
      <c r="M76" s="373"/>
      <c r="N76" s="373"/>
      <c r="O76" s="373"/>
      <c r="P76" s="373"/>
      <c r="Q76" s="373"/>
      <c r="R76" s="373"/>
      <c r="S76" s="373"/>
      <c r="T76" s="2060"/>
      <c r="U76" s="1557"/>
      <c r="V76" s="1525"/>
      <c r="W76" s="1525"/>
      <c r="X76" s="1525"/>
    </row>
    <row r="77" spans="1:24" ht="12" customHeight="1">
      <c r="A77" s="1510" t="s">
        <v>17</v>
      </c>
      <c r="B77" s="1557"/>
      <c r="C77" s="1557"/>
      <c r="D77" s="1557"/>
      <c r="E77" s="611"/>
      <c r="F77" s="1557"/>
      <c r="G77" s="1557"/>
      <c r="H77" s="1557"/>
      <c r="I77" s="1557"/>
      <c r="J77" s="1557"/>
      <c r="K77" s="1557"/>
      <c r="L77" s="1557"/>
      <c r="M77" s="1557"/>
      <c r="N77" s="1557"/>
      <c r="O77" s="1557"/>
      <c r="P77" s="1557"/>
      <c r="Q77" s="1557"/>
      <c r="R77" s="1557"/>
      <c r="S77" s="1557"/>
      <c r="T77" s="477" t="s">
        <v>1779</v>
      </c>
      <c r="U77" s="1557"/>
      <c r="V77" s="1525"/>
      <c r="W77" s="1525"/>
      <c r="X77" s="1525"/>
    </row>
    <row r="78" spans="1:24" ht="12" customHeight="1">
      <c r="A78" s="1510"/>
      <c r="B78" s="1557"/>
      <c r="C78" s="1557"/>
      <c r="D78" s="1557"/>
      <c r="E78" s="611"/>
      <c r="F78" s="1557"/>
      <c r="G78" s="1557"/>
      <c r="H78" s="1557"/>
      <c r="I78" s="1557"/>
      <c r="J78" s="1557"/>
      <c r="K78" s="1557"/>
      <c r="L78" s="1557"/>
      <c r="M78" s="1557"/>
      <c r="N78" s="1557"/>
      <c r="O78" s="1557"/>
      <c r="P78" s="1557"/>
      <c r="Q78" s="1557"/>
      <c r="R78" s="1557"/>
      <c r="S78" s="1557"/>
      <c r="T78" s="477"/>
      <c r="U78" s="1557"/>
      <c r="V78" s="1525"/>
      <c r="W78" s="1525"/>
      <c r="X78" s="1525"/>
    </row>
    <row r="79" spans="1:24" ht="12" customHeight="1">
      <c r="A79" s="1525"/>
      <c r="B79" s="1525"/>
      <c r="C79" s="1525"/>
      <c r="D79" s="1525"/>
      <c r="E79" s="1578"/>
      <c r="F79" s="1525"/>
      <c r="G79" s="1525"/>
      <c r="H79" s="1525"/>
      <c r="I79" s="1525"/>
      <c r="J79" s="1525"/>
      <c r="K79" s="1525"/>
      <c r="L79" s="1525"/>
      <c r="M79" s="1525"/>
      <c r="N79" s="1525"/>
      <c r="O79" s="1525"/>
      <c r="P79" s="1525"/>
      <c r="Q79" s="1525"/>
      <c r="R79" s="1525"/>
      <c r="S79" s="1525"/>
      <c r="T79" s="1525"/>
      <c r="U79" s="1525"/>
      <c r="V79" s="1525"/>
      <c r="W79" s="1525"/>
      <c r="X79" s="1525"/>
    </row>
    <row r="80" spans="1:24" ht="12" customHeight="1">
      <c r="A80" s="1525"/>
      <c r="B80" s="1525"/>
      <c r="C80" s="1525"/>
      <c r="D80" s="1525"/>
      <c r="E80" s="1578"/>
      <c r="F80" s="1525"/>
      <c r="G80" s="1525"/>
      <c r="H80" s="1525"/>
      <c r="I80" s="1525"/>
      <c r="J80" s="1525"/>
      <c r="K80" s="1525"/>
      <c r="L80" s="1525"/>
      <c r="M80" s="1525"/>
      <c r="N80" s="1525"/>
      <c r="O80" s="1525"/>
      <c r="P80" s="1525"/>
      <c r="Q80" s="1525"/>
      <c r="R80" s="1525"/>
      <c r="S80" s="1525"/>
      <c r="T80" s="1525"/>
      <c r="U80" s="1525"/>
      <c r="V80" s="1525"/>
      <c r="W80" s="1525"/>
      <c r="X80" s="1525"/>
    </row>
    <row r="81" spans="5:5" ht="12" customHeight="1">
      <c r="E81" s="1578"/>
    </row>
    <row r="82" spans="5:5" ht="12" customHeight="1">
      <c r="E82" s="1578"/>
    </row>
    <row r="83" spans="5:5" ht="12" customHeight="1">
      <c r="E83" s="1578"/>
    </row>
    <row r="84" spans="5:5" ht="12" customHeight="1">
      <c r="E84" s="1578"/>
    </row>
    <row r="85" spans="5:5" ht="12" customHeight="1">
      <c r="E85" s="1578"/>
    </row>
    <row r="86" spans="5:5" ht="12" customHeight="1">
      <c r="E86" s="1578"/>
    </row>
    <row r="87" spans="5:5" ht="12" customHeight="1">
      <c r="E87" s="1578"/>
    </row>
    <row r="88" spans="5:5" ht="12" customHeight="1">
      <c r="E88" s="1578"/>
    </row>
    <row r="89" spans="5:5" ht="12" customHeight="1">
      <c r="E89" s="1578"/>
    </row>
    <row r="90" spans="5:5" ht="12" customHeight="1">
      <c r="E90" s="1578"/>
    </row>
    <row r="91" spans="5:5" ht="12" customHeight="1">
      <c r="E91" s="1578"/>
    </row>
    <row r="92" spans="5:5" ht="12" customHeight="1">
      <c r="E92" s="1578"/>
    </row>
    <row r="93" spans="5:5" ht="12" customHeight="1">
      <c r="E93" s="1505"/>
    </row>
    <row r="94" spans="5:5" ht="12" customHeight="1">
      <c r="E94" s="1505"/>
    </row>
    <row r="95" spans="5:5" ht="12" customHeight="1">
      <c r="E95" s="1578"/>
    </row>
    <row r="96" spans="5:5" ht="12" customHeight="1">
      <c r="E96" s="1578"/>
    </row>
    <row r="97" spans="5:5" ht="12" customHeight="1">
      <c r="E97" s="1578"/>
    </row>
  </sheetData>
  <autoFilter ref="A1:A77"/>
  <conditionalFormatting sqref="B1:B2">
    <cfRule type="cellIs" dxfId="15" priority="2" operator="notEqual">
      <formula>0</formula>
    </cfRule>
  </conditionalFormatting>
  <conditionalFormatting sqref="A6">
    <cfRule type="expression" dxfId="14" priority="1">
      <formula>AND(MasterCheck&gt;0,RedAlertY=TRUE)</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rowBreaks count="1" manualBreakCount="1">
    <brk id="77" max="16383"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lineEstimates">
    <tabColor rgb="FF99FF66"/>
    <pageSetUpPr autoPageBreaks="0"/>
  </sheetPr>
  <dimension ref="A1:AA101"/>
  <sheetViews>
    <sheetView showGridLines="0" zoomScale="85" zoomScaleNormal="85" zoomScaleSheetLayoutView="85" workbookViewId="0"/>
  </sheetViews>
  <sheetFormatPr defaultColWidth="9.33203125" defaultRowHeight="12" customHeight="1" outlineLevelCol="1"/>
  <cols>
    <col min="1" max="1" width="2.83203125" style="334" customWidth="1"/>
    <col min="2" max="2" width="3.83203125" style="334" customWidth="1"/>
    <col min="3" max="3" width="3.33203125" style="334" customWidth="1"/>
    <col min="4" max="4" width="16.5" style="334" customWidth="1"/>
    <col min="5" max="5" width="13.5" style="334" customWidth="1"/>
    <col min="6" max="6" width="13.5" style="1525" customWidth="1"/>
    <col min="7" max="9" width="12.1640625" style="334" customWidth="1"/>
    <col min="10" max="10" width="12.83203125" style="334" customWidth="1"/>
    <col min="11" max="11" width="12.1640625" style="334" customWidth="1"/>
    <col min="12" max="13" width="12.1640625" style="334" hidden="1" customWidth="1" outlineLevel="1"/>
    <col min="14" max="14" width="4.6640625" style="334" customWidth="1" collapsed="1"/>
    <col min="15" max="19" width="12.1640625" style="334" customWidth="1"/>
    <col min="20" max="21" width="12.1640625" style="334" hidden="1" customWidth="1" outlineLevel="1"/>
    <col min="22" max="22" width="4.6640625" style="334" customWidth="1" collapsed="1"/>
    <col min="23" max="24" width="12.1640625" style="334" customWidth="1"/>
    <col min="25" max="25" width="18" style="334" customWidth="1"/>
    <col min="26" max="26" width="8.83203125" style="334" customWidth="1"/>
    <col min="27" max="27" width="2.6640625" style="334" customWidth="1"/>
    <col min="28" max="28" width="12.1640625" style="334" customWidth="1"/>
    <col min="29" max="16384" width="9.33203125" style="334"/>
  </cols>
  <sheetData>
    <row r="1" spans="1:26" ht="18" customHeight="1">
      <c r="A1" s="1510"/>
      <c r="B1" s="649">
        <f ca="1">SUMPRODUCT(--ISERROR($C$1:Y98))+COUNTIF($C$1:Y98,Fail)</f>
        <v>0</v>
      </c>
      <c r="C1" s="1372" t="str">
        <f>START!$C$1</f>
        <v>Client Name</v>
      </c>
      <c r="D1" s="292"/>
      <c r="E1" s="292"/>
      <c r="F1" s="292"/>
      <c r="G1" s="292"/>
      <c r="H1" s="292"/>
      <c r="I1" s="292"/>
      <c r="J1" s="852"/>
      <c r="K1" s="852"/>
      <c r="L1" s="852"/>
      <c r="M1" s="852"/>
      <c r="N1" s="852"/>
      <c r="O1" s="30"/>
      <c r="P1" s="30"/>
      <c r="Q1" s="30"/>
      <c r="R1" s="30"/>
      <c r="S1" s="30"/>
      <c r="T1" s="30"/>
      <c r="U1" s="30"/>
      <c r="V1" s="30"/>
      <c r="W1" s="30"/>
      <c r="X1" s="852"/>
      <c r="Y1" s="389" t="s">
        <v>1807</v>
      </c>
      <c r="Z1" s="1546"/>
    </row>
    <row r="2" spans="1:26" s="1027" customFormat="1" ht="18" customHeight="1">
      <c r="A2" s="1510"/>
      <c r="B2" s="649"/>
      <c r="C2" s="1372" t="str">
        <f>START!$C$2</f>
        <v xml:space="preserve">Please enter project description in START worksheet cell G13 </v>
      </c>
      <c r="D2" s="292"/>
      <c r="E2" s="292"/>
      <c r="F2" s="292"/>
      <c r="G2" s="292"/>
      <c r="H2" s="292"/>
      <c r="I2" s="292"/>
      <c r="J2" s="852"/>
      <c r="K2" s="852"/>
      <c r="L2" s="852"/>
      <c r="M2" s="852"/>
      <c r="N2" s="852"/>
      <c r="O2" s="30"/>
      <c r="P2" s="30"/>
      <c r="Q2" s="30"/>
      <c r="R2" s="30"/>
      <c r="S2" s="30"/>
      <c r="T2" s="30"/>
      <c r="U2" s="30"/>
      <c r="V2" s="30"/>
      <c r="W2" s="30"/>
      <c r="X2" s="852"/>
      <c r="Y2" s="389"/>
      <c r="Z2" s="1546"/>
    </row>
    <row r="3" spans="1:26" ht="18" customHeight="1">
      <c r="A3" s="1510"/>
      <c r="B3" s="1510"/>
      <c r="C3" s="839" t="s">
        <v>1581</v>
      </c>
      <c r="D3" s="369"/>
      <c r="E3" s="369"/>
      <c r="F3" s="369"/>
      <c r="G3" s="369"/>
      <c r="H3" s="369"/>
      <c r="I3" s="369"/>
      <c r="J3" s="1526"/>
      <c r="K3" s="1525"/>
      <c r="L3" s="1525"/>
      <c r="M3" s="1525"/>
      <c r="N3" s="1525"/>
      <c r="O3" s="2060"/>
      <c r="P3" s="2060"/>
      <c r="Q3" s="2060"/>
      <c r="R3" s="2060"/>
      <c r="S3" s="2060"/>
      <c r="T3" s="2060"/>
      <c r="U3" s="2060"/>
      <c r="V3" s="2060"/>
      <c r="W3" s="2060"/>
      <c r="X3" s="1525"/>
      <c r="Y3" s="1525"/>
      <c r="Z3" s="1546"/>
    </row>
    <row r="4" spans="1:26" ht="18" customHeight="1">
      <c r="A4" s="1510"/>
      <c r="B4" s="1510"/>
      <c r="C4" s="840" t="str">
        <f>"Valuation as of "&amp; TEXT(Valuation_date,"d mmmm yyyy")</f>
        <v>Valuation as of 28 February 2017</v>
      </c>
      <c r="D4" s="724"/>
      <c r="E4" s="724"/>
      <c r="F4" s="724"/>
      <c r="G4" s="724"/>
      <c r="H4" s="724"/>
      <c r="I4" s="724"/>
      <c r="J4" s="745"/>
      <c r="K4" s="745"/>
      <c r="L4" s="745"/>
      <c r="M4" s="745"/>
      <c r="N4" s="745"/>
      <c r="O4" s="746"/>
      <c r="P4" s="746"/>
      <c r="Q4" s="746"/>
      <c r="R4" s="746"/>
      <c r="S4" s="746"/>
      <c r="T4" s="746"/>
      <c r="U4" s="746"/>
      <c r="V4" s="746"/>
      <c r="W4" s="1525"/>
      <c r="X4" s="1525"/>
      <c r="Y4" s="1525"/>
      <c r="Z4" s="1546"/>
    </row>
    <row r="5" spans="1:26" s="1027" customFormat="1" ht="18" customHeight="1">
      <c r="A5" s="1417"/>
      <c r="B5" s="1510"/>
      <c r="C5" s="840"/>
      <c r="D5" s="724"/>
      <c r="E5" s="724"/>
      <c r="F5" s="724"/>
      <c r="G5" s="724"/>
      <c r="H5" s="724"/>
      <c r="I5" s="724"/>
      <c r="J5" s="745"/>
      <c r="K5" s="745"/>
      <c r="L5" s="745"/>
      <c r="M5" s="745"/>
      <c r="N5" s="745"/>
      <c r="O5" s="746"/>
      <c r="P5" s="746"/>
      <c r="Q5" s="746"/>
      <c r="R5" s="746"/>
      <c r="S5" s="746"/>
      <c r="T5" s="746"/>
      <c r="U5" s="746"/>
      <c r="V5" s="746"/>
      <c r="W5" s="1525"/>
      <c r="X5" s="1525"/>
      <c r="Y5" s="1525"/>
      <c r="Z5" s="1546"/>
    </row>
    <row r="6" spans="1:26" s="1027" customFormat="1" ht="13.9">
      <c r="A6" s="1510"/>
      <c r="B6" s="1510"/>
      <c r="C6" s="724"/>
      <c r="D6" s="1184"/>
      <c r="E6" s="1184"/>
      <c r="F6" s="1184"/>
      <c r="G6" s="1184"/>
      <c r="H6" s="1184"/>
      <c r="I6" s="1184"/>
      <c r="J6" s="1184"/>
      <c r="K6" s="1184"/>
      <c r="L6" s="1184"/>
      <c r="M6" s="1184"/>
      <c r="N6" s="1184"/>
      <c r="O6" s="1184"/>
      <c r="P6" s="1184"/>
      <c r="Q6" s="1184"/>
      <c r="R6" s="1184"/>
      <c r="S6" s="1184"/>
      <c r="T6" s="1292"/>
      <c r="U6" s="1292"/>
      <c r="V6" s="1292"/>
      <c r="W6" s="1167" t="s">
        <v>1808</v>
      </c>
      <c r="X6" s="1167" t="s">
        <v>1809</v>
      </c>
      <c r="Y6" s="1525"/>
      <c r="Z6" s="1546"/>
    </row>
    <row r="7" spans="1:26" ht="14.45">
      <c r="A7" s="1510"/>
      <c r="B7" s="1510"/>
      <c r="C7" s="366"/>
      <c r="D7" s="724"/>
      <c r="E7" s="724"/>
      <c r="F7" s="724"/>
      <c r="G7" s="724"/>
      <c r="H7" s="724"/>
      <c r="I7" s="724"/>
      <c r="J7" s="745"/>
      <c r="K7" s="745"/>
      <c r="L7" s="745"/>
      <c r="M7" s="745"/>
      <c r="N7" s="745"/>
      <c r="O7" s="746"/>
      <c r="P7" s="746"/>
      <c r="Q7" s="746"/>
      <c r="R7" s="746"/>
      <c r="S7" s="746"/>
      <c r="T7" s="746"/>
      <c r="U7" s="746"/>
      <c r="V7" s="746"/>
      <c r="W7" s="725" t="s">
        <v>929</v>
      </c>
      <c r="X7" s="725" t="s">
        <v>929</v>
      </c>
      <c r="Y7" s="1525"/>
      <c r="Z7" s="1546"/>
    </row>
    <row r="8" spans="1:26" ht="13.9">
      <c r="A8" s="1510"/>
      <c r="B8" s="1510"/>
      <c r="C8" s="340"/>
      <c r="D8" s="724"/>
      <c r="E8" s="724"/>
      <c r="F8" s="724"/>
      <c r="G8" s="724"/>
      <c r="H8" s="724"/>
      <c r="I8" s="724"/>
      <c r="J8" s="745"/>
      <c r="K8" s="745"/>
      <c r="L8" s="745"/>
      <c r="M8" s="745"/>
      <c r="N8" s="745"/>
      <c r="O8" s="746"/>
      <c r="P8" s="746"/>
      <c r="Q8" s="746"/>
      <c r="R8" s="746"/>
      <c r="S8" s="746"/>
      <c r="T8" s="746"/>
      <c r="U8" s="746"/>
      <c r="V8" s="746"/>
      <c r="W8" s="747" t="s">
        <v>1810</v>
      </c>
      <c r="X8" s="747" t="s">
        <v>1810</v>
      </c>
      <c r="Y8" s="1525"/>
      <c r="Z8" s="1546"/>
    </row>
    <row r="9" spans="1:26" s="336" customFormat="1" ht="15.6">
      <c r="A9" s="1510"/>
      <c r="B9" s="1510"/>
      <c r="C9" s="63"/>
      <c r="D9" s="1211" t="s">
        <v>1811</v>
      </c>
      <c r="E9" s="1293"/>
      <c r="F9" s="1293"/>
      <c r="G9" s="1294" t="s">
        <v>704</v>
      </c>
      <c r="H9" s="1294" t="s">
        <v>705</v>
      </c>
      <c r="I9" s="1294" t="s">
        <v>707</v>
      </c>
      <c r="J9" s="1294" t="s">
        <v>708</v>
      </c>
      <c r="K9" s="1294" t="s">
        <v>709</v>
      </c>
      <c r="L9" s="1294" t="s">
        <v>710</v>
      </c>
      <c r="M9" s="1294" t="s">
        <v>711</v>
      </c>
      <c r="N9" s="1216"/>
      <c r="O9" s="1294" t="s">
        <v>704</v>
      </c>
      <c r="P9" s="1294" t="s">
        <v>705</v>
      </c>
      <c r="Q9" s="1294" t="s">
        <v>707</v>
      </c>
      <c r="R9" s="1294" t="s">
        <v>708</v>
      </c>
      <c r="S9" s="1294" t="s">
        <v>709</v>
      </c>
      <c r="T9" s="1294" t="s">
        <v>710</v>
      </c>
      <c r="U9" s="1294" t="s">
        <v>711</v>
      </c>
      <c r="V9" s="1294"/>
      <c r="W9" s="1294" t="s">
        <v>708</v>
      </c>
      <c r="X9" s="1294" t="s">
        <v>709</v>
      </c>
      <c r="Y9" s="2060"/>
      <c r="Z9" s="1546"/>
    </row>
    <row r="10" spans="1:26" s="336" customFormat="1" ht="13.9">
      <c r="A10" s="1510" t="str">
        <f t="shared" ref="A10:A34" si="0">IF(MAX(G10:L10)&gt;0.001,"","n")</f>
        <v>n</v>
      </c>
      <c r="B10" s="1510"/>
      <c r="C10" s="1527"/>
      <c r="D10" s="146" t="str">
        <f>'DATA GPC'!E20</f>
        <v>--</v>
      </c>
      <c r="E10" s="387"/>
      <c r="F10" s="387" t="str">
        <f>'DATA GPC'!H129</f>
        <v>--</v>
      </c>
      <c r="G10" s="1785" t="str">
        <f>'DATA GPC'!O566</f>
        <v>--</v>
      </c>
      <c r="H10" s="1785" t="str">
        <f>'DATA GPC'!P566</f>
        <v>--</v>
      </c>
      <c r="I10" s="1785" t="str">
        <f>'DATA GPC'!U566</f>
        <v>--</v>
      </c>
      <c r="J10" s="1785" t="str">
        <f>'DATA GPC'!V566</f>
        <v>--</v>
      </c>
      <c r="K10" s="1785" t="str">
        <f>'DATA GPC'!W566</f>
        <v>--</v>
      </c>
      <c r="L10" s="1785" t="str">
        <f>'DATA GPC'!X566</f>
        <v>--</v>
      </c>
      <c r="M10" s="1785" t="str">
        <f>'DATA GPC'!Y566</f>
        <v>--</v>
      </c>
      <c r="N10" s="1527"/>
      <c r="O10" s="1364" t="str">
        <f>'DATA GPC'!O1126</f>
        <v>--</v>
      </c>
      <c r="P10" s="1364" t="str">
        <f>'DATA GPC'!P1126</f>
        <v>--</v>
      </c>
      <c r="Q10" s="1364" t="str">
        <f>'DATA GPC'!U1126</f>
        <v>--</v>
      </c>
      <c r="R10" s="1364" t="str">
        <f>'DATA GPC'!V1126</f>
        <v>--</v>
      </c>
      <c r="S10" s="1364" t="str">
        <f>'DATA GPC'!W1126</f>
        <v>--</v>
      </c>
      <c r="T10" s="1364" t="str">
        <f>'DATA GPC'!X1126</f>
        <v>--</v>
      </c>
      <c r="U10" s="1364" t="str">
        <f>'DATA GPC'!Y1126</f>
        <v>--</v>
      </c>
      <c r="V10" s="1364"/>
      <c r="W10" s="1364" t="str">
        <f>IFERROR((J10/$G10)^(1/2)-1,"--")</f>
        <v>--</v>
      </c>
      <c r="X10" s="1364" t="str">
        <f>IFERROR((K10/$G10)^(1/3)-1,"--")</f>
        <v>--</v>
      </c>
      <c r="Y10" s="2060"/>
      <c r="Z10" s="1546"/>
    </row>
    <row r="11" spans="1:26" s="336" customFormat="1" ht="13.9">
      <c r="A11" s="1510" t="str">
        <f t="shared" si="0"/>
        <v>n</v>
      </c>
      <c r="B11" s="1510"/>
      <c r="C11" s="1527"/>
      <c r="D11" s="146" t="str">
        <f>'DATA GPC'!E21</f>
        <v>--</v>
      </c>
      <c r="E11" s="387"/>
      <c r="F11" s="387" t="str">
        <f>'DATA GPC'!H130</f>
        <v>--</v>
      </c>
      <c r="G11" s="1785" t="str">
        <f>'DATA GPC'!O567</f>
        <v>--</v>
      </c>
      <c r="H11" s="1785" t="str">
        <f>'DATA GPC'!P567</f>
        <v>--</v>
      </c>
      <c r="I11" s="1785" t="str">
        <f>'DATA GPC'!U567</f>
        <v>--</v>
      </c>
      <c r="J11" s="1785" t="str">
        <f>'DATA GPC'!V567</f>
        <v>--</v>
      </c>
      <c r="K11" s="1785" t="str">
        <f>'DATA GPC'!W567</f>
        <v>--</v>
      </c>
      <c r="L11" s="1785" t="str">
        <f>'DATA GPC'!X567</f>
        <v>--</v>
      </c>
      <c r="M11" s="1785" t="str">
        <f>'DATA GPC'!Y567</f>
        <v>--</v>
      </c>
      <c r="N11" s="1527"/>
      <c r="O11" s="1364" t="str">
        <f>'DATA GPC'!O1127</f>
        <v>--</v>
      </c>
      <c r="P11" s="1364" t="str">
        <f>'DATA GPC'!P1127</f>
        <v>--</v>
      </c>
      <c r="Q11" s="1364" t="str">
        <f>'DATA GPC'!U1127</f>
        <v>--</v>
      </c>
      <c r="R11" s="1364" t="str">
        <f>'DATA GPC'!V1127</f>
        <v>--</v>
      </c>
      <c r="S11" s="1364" t="str">
        <f>'DATA GPC'!W1127</f>
        <v>--</v>
      </c>
      <c r="T11" s="1364" t="str">
        <f>'DATA GPC'!X1127</f>
        <v>--</v>
      </c>
      <c r="U11" s="1364" t="str">
        <f>'DATA GPC'!Y1127</f>
        <v>--</v>
      </c>
      <c r="V11" s="1364"/>
      <c r="W11" s="1364" t="str">
        <f t="shared" ref="W11:W20" si="1">IFERROR((J11/$G11)^(1/2)-1,"--")</f>
        <v>--</v>
      </c>
      <c r="X11" s="1364" t="str">
        <f t="shared" ref="X11:X20" si="2">IFERROR((K11/$G11)^(1/3)-1,"--")</f>
        <v>--</v>
      </c>
      <c r="Y11" s="2060"/>
      <c r="Z11" s="1546"/>
    </row>
    <row r="12" spans="1:26" s="336" customFormat="1" ht="13.9">
      <c r="A12" s="1510" t="str">
        <f t="shared" si="0"/>
        <v>n</v>
      </c>
      <c r="B12" s="1510"/>
      <c r="C12" s="1527"/>
      <c r="D12" s="146" t="str">
        <f>'DATA GPC'!E22</f>
        <v>--</v>
      </c>
      <c r="E12" s="387"/>
      <c r="F12" s="387" t="str">
        <f>'DATA GPC'!H131</f>
        <v>--</v>
      </c>
      <c r="G12" s="1785" t="str">
        <f>'DATA GPC'!O568</f>
        <v>--</v>
      </c>
      <c r="H12" s="1785" t="str">
        <f>'DATA GPC'!P568</f>
        <v>--</v>
      </c>
      <c r="I12" s="1785" t="str">
        <f>'DATA GPC'!U568</f>
        <v>--</v>
      </c>
      <c r="J12" s="1785" t="str">
        <f>'DATA GPC'!V568</f>
        <v>--</v>
      </c>
      <c r="K12" s="1785" t="str">
        <f>'DATA GPC'!W568</f>
        <v>--</v>
      </c>
      <c r="L12" s="1785" t="str">
        <f>'DATA GPC'!X568</f>
        <v>--</v>
      </c>
      <c r="M12" s="1785" t="str">
        <f>'DATA GPC'!Y568</f>
        <v>--</v>
      </c>
      <c r="N12" s="1527"/>
      <c r="O12" s="1364" t="str">
        <f>'DATA GPC'!O1128</f>
        <v>--</v>
      </c>
      <c r="P12" s="1364" t="str">
        <f>'DATA GPC'!P1128</f>
        <v>--</v>
      </c>
      <c r="Q12" s="1364" t="str">
        <f>'DATA GPC'!U1128</f>
        <v>--</v>
      </c>
      <c r="R12" s="1364" t="str">
        <f>'DATA GPC'!V1128</f>
        <v>--</v>
      </c>
      <c r="S12" s="1364" t="str">
        <f>'DATA GPC'!W1128</f>
        <v>--</v>
      </c>
      <c r="T12" s="1364" t="str">
        <f>'DATA GPC'!X1128</f>
        <v>--</v>
      </c>
      <c r="U12" s="1364" t="str">
        <f>'DATA GPC'!Y1128</f>
        <v>--</v>
      </c>
      <c r="V12" s="1364"/>
      <c r="W12" s="1364" t="str">
        <f t="shared" si="1"/>
        <v>--</v>
      </c>
      <c r="X12" s="1364" t="str">
        <f t="shared" si="2"/>
        <v>--</v>
      </c>
      <c r="Y12" s="2060"/>
      <c r="Z12" s="1546"/>
    </row>
    <row r="13" spans="1:26" s="336" customFormat="1" ht="13.9">
      <c r="A13" s="1510" t="str">
        <f t="shared" si="0"/>
        <v>n</v>
      </c>
      <c r="B13" s="1510"/>
      <c r="C13" s="1527"/>
      <c r="D13" s="146" t="str">
        <f>'DATA GPC'!E23</f>
        <v>--</v>
      </c>
      <c r="E13" s="387"/>
      <c r="F13" s="387" t="str">
        <f>'DATA GPC'!H132</f>
        <v>--</v>
      </c>
      <c r="G13" s="1785" t="str">
        <f>'DATA GPC'!O569</f>
        <v>--</v>
      </c>
      <c r="H13" s="1785" t="str">
        <f>'DATA GPC'!P569</f>
        <v>--</v>
      </c>
      <c r="I13" s="1785" t="str">
        <f>'DATA GPC'!U569</f>
        <v>--</v>
      </c>
      <c r="J13" s="1785" t="str">
        <f>'DATA GPC'!V569</f>
        <v>--</v>
      </c>
      <c r="K13" s="1785" t="str">
        <f>'DATA GPC'!W569</f>
        <v>--</v>
      </c>
      <c r="L13" s="1785" t="str">
        <f>'DATA GPC'!X569</f>
        <v>--</v>
      </c>
      <c r="M13" s="1785" t="str">
        <f>'DATA GPC'!Y569</f>
        <v>--</v>
      </c>
      <c r="N13" s="1527"/>
      <c r="O13" s="1364" t="str">
        <f>'DATA GPC'!O1129</f>
        <v>--</v>
      </c>
      <c r="P13" s="1364" t="str">
        <f>'DATA GPC'!P1129</f>
        <v>--</v>
      </c>
      <c r="Q13" s="1364" t="str">
        <f>'DATA GPC'!U1129</f>
        <v>--</v>
      </c>
      <c r="R13" s="1364" t="str">
        <f>'DATA GPC'!V1129</f>
        <v>--</v>
      </c>
      <c r="S13" s="1364" t="str">
        <f>'DATA GPC'!W1129</f>
        <v>--</v>
      </c>
      <c r="T13" s="1364" t="str">
        <f>'DATA GPC'!X1129</f>
        <v>--</v>
      </c>
      <c r="U13" s="1364" t="str">
        <f>'DATA GPC'!Y1129</f>
        <v>--</v>
      </c>
      <c r="V13" s="1364"/>
      <c r="W13" s="1364" t="str">
        <f t="shared" si="1"/>
        <v>--</v>
      </c>
      <c r="X13" s="1364" t="str">
        <f t="shared" si="2"/>
        <v>--</v>
      </c>
      <c r="Y13" s="2060"/>
      <c r="Z13" s="1546"/>
    </row>
    <row r="14" spans="1:26" s="336" customFormat="1" ht="13.9">
      <c r="A14" s="1510" t="str">
        <f t="shared" si="0"/>
        <v>n</v>
      </c>
      <c r="B14" s="1510"/>
      <c r="C14" s="1527"/>
      <c r="D14" s="146" t="str">
        <f>'DATA GPC'!E24</f>
        <v>--</v>
      </c>
      <c r="E14" s="387"/>
      <c r="F14" s="387" t="str">
        <f>'DATA GPC'!H133</f>
        <v>--</v>
      </c>
      <c r="G14" s="1785" t="str">
        <f>'DATA GPC'!O570</f>
        <v>--</v>
      </c>
      <c r="H14" s="1785" t="str">
        <f>'DATA GPC'!P570</f>
        <v>--</v>
      </c>
      <c r="I14" s="1785" t="str">
        <f>'DATA GPC'!U570</f>
        <v>--</v>
      </c>
      <c r="J14" s="1785" t="str">
        <f>'DATA GPC'!V570</f>
        <v>--</v>
      </c>
      <c r="K14" s="1785" t="str">
        <f>'DATA GPC'!W570</f>
        <v>--</v>
      </c>
      <c r="L14" s="1785" t="str">
        <f>'DATA GPC'!X570</f>
        <v>--</v>
      </c>
      <c r="M14" s="1785" t="str">
        <f>'DATA GPC'!Y570</f>
        <v>--</v>
      </c>
      <c r="N14" s="1527"/>
      <c r="O14" s="1364" t="str">
        <f>'DATA GPC'!O1130</f>
        <v>--</v>
      </c>
      <c r="P14" s="1364" t="str">
        <f>'DATA GPC'!P1130</f>
        <v>--</v>
      </c>
      <c r="Q14" s="1364" t="str">
        <f>'DATA GPC'!U1130</f>
        <v>--</v>
      </c>
      <c r="R14" s="1364" t="str">
        <f>'DATA GPC'!V1130</f>
        <v>--</v>
      </c>
      <c r="S14" s="1364" t="str">
        <f>'DATA GPC'!W1130</f>
        <v>--</v>
      </c>
      <c r="T14" s="1364" t="str">
        <f>'DATA GPC'!X1130</f>
        <v>--</v>
      </c>
      <c r="U14" s="1364" t="str">
        <f>'DATA GPC'!Y1130</f>
        <v>--</v>
      </c>
      <c r="V14" s="1364"/>
      <c r="W14" s="1364" t="str">
        <f t="shared" si="1"/>
        <v>--</v>
      </c>
      <c r="X14" s="1364" t="str">
        <f t="shared" si="2"/>
        <v>--</v>
      </c>
      <c r="Y14" s="2060"/>
      <c r="Z14" s="1546"/>
    </row>
    <row r="15" spans="1:26" s="336" customFormat="1" ht="13.9">
      <c r="A15" s="1510" t="str">
        <f t="shared" si="0"/>
        <v>n</v>
      </c>
      <c r="B15" s="1510"/>
      <c r="C15" s="1527"/>
      <c r="D15" s="146" t="str">
        <f>'DATA GPC'!E25</f>
        <v>--</v>
      </c>
      <c r="E15" s="387"/>
      <c r="F15" s="387" t="str">
        <f>'DATA GPC'!H134</f>
        <v>--</v>
      </c>
      <c r="G15" s="1785" t="str">
        <f>'DATA GPC'!O571</f>
        <v>--</v>
      </c>
      <c r="H15" s="1785" t="str">
        <f>'DATA GPC'!P571</f>
        <v>--</v>
      </c>
      <c r="I15" s="1785" t="str">
        <f>'DATA GPC'!U571</f>
        <v>--</v>
      </c>
      <c r="J15" s="1785" t="str">
        <f>'DATA GPC'!V571</f>
        <v>--</v>
      </c>
      <c r="K15" s="1785" t="str">
        <f>'DATA GPC'!W571</f>
        <v>--</v>
      </c>
      <c r="L15" s="1785" t="str">
        <f>'DATA GPC'!X571</f>
        <v>--</v>
      </c>
      <c r="M15" s="1785" t="str">
        <f>'DATA GPC'!Y571</f>
        <v>--</v>
      </c>
      <c r="N15" s="1527"/>
      <c r="O15" s="1364" t="str">
        <f>'DATA GPC'!O1131</f>
        <v>--</v>
      </c>
      <c r="P15" s="1364" t="str">
        <f>'DATA GPC'!P1131</f>
        <v>--</v>
      </c>
      <c r="Q15" s="1364" t="str">
        <f>'DATA GPC'!U1131</f>
        <v>--</v>
      </c>
      <c r="R15" s="1364" t="str">
        <f>'DATA GPC'!V1131</f>
        <v>--</v>
      </c>
      <c r="S15" s="1364" t="str">
        <f>'DATA GPC'!W1131</f>
        <v>--</v>
      </c>
      <c r="T15" s="1364" t="str">
        <f>'DATA GPC'!X1131</f>
        <v>--</v>
      </c>
      <c r="U15" s="1364" t="str">
        <f>'DATA GPC'!Y1131</f>
        <v>--</v>
      </c>
      <c r="V15" s="1364"/>
      <c r="W15" s="1364" t="str">
        <f t="shared" si="1"/>
        <v>--</v>
      </c>
      <c r="X15" s="1364" t="str">
        <f t="shared" si="2"/>
        <v>--</v>
      </c>
      <c r="Y15" s="2060"/>
      <c r="Z15" s="1546"/>
    </row>
    <row r="16" spans="1:26" s="336" customFormat="1" ht="13.9">
      <c r="A16" s="1510" t="str">
        <f t="shared" si="0"/>
        <v>n</v>
      </c>
      <c r="B16" s="1510"/>
      <c r="C16" s="1527"/>
      <c r="D16" s="146" t="str">
        <f>'DATA GPC'!E26</f>
        <v>--</v>
      </c>
      <c r="E16" s="612"/>
      <c r="F16" s="387" t="str">
        <f>'DATA GPC'!H135</f>
        <v>--</v>
      </c>
      <c r="G16" s="1785" t="str">
        <f>'DATA GPC'!O572</f>
        <v>--</v>
      </c>
      <c r="H16" s="1785" t="str">
        <f>'DATA GPC'!P572</f>
        <v>--</v>
      </c>
      <c r="I16" s="1785" t="str">
        <f>'DATA GPC'!U572</f>
        <v>--</v>
      </c>
      <c r="J16" s="1785" t="str">
        <f>'DATA GPC'!V572</f>
        <v>--</v>
      </c>
      <c r="K16" s="1785" t="str">
        <f>'DATA GPC'!W572</f>
        <v>--</v>
      </c>
      <c r="L16" s="1785" t="str">
        <f>'DATA GPC'!X572</f>
        <v>--</v>
      </c>
      <c r="M16" s="1785" t="str">
        <f>'DATA GPC'!Y572</f>
        <v>--</v>
      </c>
      <c r="N16" s="1527"/>
      <c r="O16" s="1364" t="str">
        <f>'DATA GPC'!O1132</f>
        <v>--</v>
      </c>
      <c r="P16" s="1364" t="str">
        <f>'DATA GPC'!P1132</f>
        <v>--</v>
      </c>
      <c r="Q16" s="1364" t="str">
        <f>'DATA GPC'!U1132</f>
        <v>--</v>
      </c>
      <c r="R16" s="1364" t="str">
        <f>'DATA GPC'!V1132</f>
        <v>--</v>
      </c>
      <c r="S16" s="1364" t="str">
        <f>'DATA GPC'!W1132</f>
        <v>--</v>
      </c>
      <c r="T16" s="1364" t="str">
        <f>'DATA GPC'!X1132</f>
        <v>--</v>
      </c>
      <c r="U16" s="1364" t="str">
        <f>'DATA GPC'!Y1132</f>
        <v>--</v>
      </c>
      <c r="V16" s="1364"/>
      <c r="W16" s="1364" t="str">
        <f t="shared" si="1"/>
        <v>--</v>
      </c>
      <c r="X16" s="1364" t="str">
        <f t="shared" si="2"/>
        <v>--</v>
      </c>
      <c r="Y16" s="2060"/>
      <c r="Z16" s="1546"/>
    </row>
    <row r="17" spans="1:26" s="336" customFormat="1" ht="13.9">
      <c r="A17" s="1510" t="str">
        <f t="shared" si="0"/>
        <v>n</v>
      </c>
      <c r="B17" s="1510"/>
      <c r="C17" s="1527"/>
      <c r="D17" s="146" t="str">
        <f>'DATA GPC'!E27</f>
        <v>--</v>
      </c>
      <c r="E17" s="612"/>
      <c r="F17" s="387" t="str">
        <f>'DATA GPC'!H136</f>
        <v>--</v>
      </c>
      <c r="G17" s="1785" t="str">
        <f>'DATA GPC'!O573</f>
        <v>--</v>
      </c>
      <c r="H17" s="1785" t="str">
        <f>'DATA GPC'!P573</f>
        <v>--</v>
      </c>
      <c r="I17" s="1785" t="str">
        <f>'DATA GPC'!U573</f>
        <v>--</v>
      </c>
      <c r="J17" s="1785" t="str">
        <f>'DATA GPC'!V573</f>
        <v>--</v>
      </c>
      <c r="K17" s="1785" t="str">
        <f>'DATA GPC'!W573</f>
        <v>--</v>
      </c>
      <c r="L17" s="1785" t="str">
        <f>'DATA GPC'!X573</f>
        <v>--</v>
      </c>
      <c r="M17" s="1785" t="str">
        <f>'DATA GPC'!Y573</f>
        <v>--</v>
      </c>
      <c r="N17" s="1527"/>
      <c r="O17" s="1364" t="str">
        <f>'DATA GPC'!O1133</f>
        <v>--</v>
      </c>
      <c r="P17" s="1364" t="str">
        <f>'DATA GPC'!P1133</f>
        <v>--</v>
      </c>
      <c r="Q17" s="1364" t="str">
        <f>'DATA GPC'!U1133</f>
        <v>--</v>
      </c>
      <c r="R17" s="1364" t="str">
        <f>'DATA GPC'!V1133</f>
        <v>--</v>
      </c>
      <c r="S17" s="1364" t="str">
        <f>'DATA GPC'!W1133</f>
        <v>--</v>
      </c>
      <c r="T17" s="1364" t="str">
        <f>'DATA GPC'!X1133</f>
        <v>--</v>
      </c>
      <c r="U17" s="1364" t="str">
        <f>'DATA GPC'!Y1133</f>
        <v>--</v>
      </c>
      <c r="V17" s="1364"/>
      <c r="W17" s="1364" t="str">
        <f t="shared" si="1"/>
        <v>--</v>
      </c>
      <c r="X17" s="1364" t="str">
        <f t="shared" si="2"/>
        <v>--</v>
      </c>
      <c r="Y17" s="2060"/>
      <c r="Z17" s="1546"/>
    </row>
    <row r="18" spans="1:26" s="336" customFormat="1" ht="13.9">
      <c r="A18" s="1510" t="str">
        <f t="shared" si="0"/>
        <v>n</v>
      </c>
      <c r="B18" s="1510"/>
      <c r="C18" s="1527"/>
      <c r="D18" s="146" t="str">
        <f>'DATA GPC'!E28</f>
        <v>--</v>
      </c>
      <c r="E18" s="612"/>
      <c r="F18" s="387" t="str">
        <f>'DATA GPC'!H137</f>
        <v>--</v>
      </c>
      <c r="G18" s="1785" t="str">
        <f>'DATA GPC'!O574</f>
        <v>--</v>
      </c>
      <c r="H18" s="1785" t="str">
        <f>'DATA GPC'!P574</f>
        <v>--</v>
      </c>
      <c r="I18" s="1785" t="str">
        <f>'DATA GPC'!U574</f>
        <v>--</v>
      </c>
      <c r="J18" s="1785" t="str">
        <f>'DATA GPC'!V574</f>
        <v>--</v>
      </c>
      <c r="K18" s="1785" t="str">
        <f>'DATA GPC'!W574</f>
        <v>--</v>
      </c>
      <c r="L18" s="1785" t="str">
        <f>'DATA GPC'!X574</f>
        <v>--</v>
      </c>
      <c r="M18" s="1785" t="str">
        <f>'DATA GPC'!Y574</f>
        <v>--</v>
      </c>
      <c r="N18" s="1527"/>
      <c r="O18" s="1364" t="str">
        <f>'DATA GPC'!O1134</f>
        <v>--</v>
      </c>
      <c r="P18" s="1364" t="str">
        <f>'DATA GPC'!P1134</f>
        <v>--</v>
      </c>
      <c r="Q18" s="1364" t="str">
        <f>'DATA GPC'!U1134</f>
        <v>--</v>
      </c>
      <c r="R18" s="1364" t="str">
        <f>'DATA GPC'!V1134</f>
        <v>--</v>
      </c>
      <c r="S18" s="1364" t="str">
        <f>'DATA GPC'!W1134</f>
        <v>--</v>
      </c>
      <c r="T18" s="1364" t="str">
        <f>'DATA GPC'!X1134</f>
        <v>--</v>
      </c>
      <c r="U18" s="1364" t="str">
        <f>'DATA GPC'!Y1134</f>
        <v>--</v>
      </c>
      <c r="V18" s="1364"/>
      <c r="W18" s="1364" t="str">
        <f t="shared" si="1"/>
        <v>--</v>
      </c>
      <c r="X18" s="1364" t="str">
        <f t="shared" si="2"/>
        <v>--</v>
      </c>
      <c r="Y18" s="2060"/>
      <c r="Z18" s="1546"/>
    </row>
    <row r="19" spans="1:26" s="336" customFormat="1" ht="13.9">
      <c r="A19" s="1510" t="str">
        <f t="shared" si="0"/>
        <v>n</v>
      </c>
      <c r="B19" s="1510"/>
      <c r="C19" s="1527"/>
      <c r="D19" s="146" t="str">
        <f>'DATA GPC'!E29</f>
        <v>--</v>
      </c>
      <c r="E19" s="612"/>
      <c r="F19" s="387" t="str">
        <f>'DATA GPC'!H138</f>
        <v>--</v>
      </c>
      <c r="G19" s="1785" t="str">
        <f>'DATA GPC'!O575</f>
        <v>--</v>
      </c>
      <c r="H19" s="1785" t="str">
        <f>'DATA GPC'!P575</f>
        <v>--</v>
      </c>
      <c r="I19" s="1785" t="str">
        <f>'DATA GPC'!U575</f>
        <v>--</v>
      </c>
      <c r="J19" s="1785" t="str">
        <f>'DATA GPC'!V575</f>
        <v>--</v>
      </c>
      <c r="K19" s="1785" t="str">
        <f>'DATA GPC'!W575</f>
        <v>--</v>
      </c>
      <c r="L19" s="1785" t="str">
        <f>'DATA GPC'!X575</f>
        <v>--</v>
      </c>
      <c r="M19" s="1785" t="str">
        <f>'DATA GPC'!Y575</f>
        <v>--</v>
      </c>
      <c r="N19" s="1527"/>
      <c r="O19" s="1364" t="str">
        <f>'DATA GPC'!O1135</f>
        <v>--</v>
      </c>
      <c r="P19" s="1364" t="str">
        <f>'DATA GPC'!P1135</f>
        <v>--</v>
      </c>
      <c r="Q19" s="1364" t="str">
        <f>'DATA GPC'!U1135</f>
        <v>--</v>
      </c>
      <c r="R19" s="1364" t="str">
        <f>'DATA GPC'!V1135</f>
        <v>--</v>
      </c>
      <c r="S19" s="1364" t="str">
        <f>'DATA GPC'!W1135</f>
        <v>--</v>
      </c>
      <c r="T19" s="1364" t="str">
        <f>'DATA GPC'!X1135</f>
        <v>--</v>
      </c>
      <c r="U19" s="1364" t="str">
        <f>'DATA GPC'!Y1135</f>
        <v>--</v>
      </c>
      <c r="V19" s="1364"/>
      <c r="W19" s="1364" t="str">
        <f t="shared" si="1"/>
        <v>--</v>
      </c>
      <c r="X19" s="1364" t="str">
        <f t="shared" si="2"/>
        <v>--</v>
      </c>
      <c r="Y19" s="2060"/>
      <c r="Z19" s="1546"/>
    </row>
    <row r="20" spans="1:26" s="336" customFormat="1" ht="13.9">
      <c r="A20" s="1510" t="str">
        <f t="shared" si="0"/>
        <v>n</v>
      </c>
      <c r="B20" s="1510"/>
      <c r="C20" s="1527"/>
      <c r="D20" s="146" t="str">
        <f>'DATA GPC'!E30</f>
        <v>--</v>
      </c>
      <c r="E20" s="612"/>
      <c r="F20" s="387" t="str">
        <f>'DATA GPC'!H139</f>
        <v>--</v>
      </c>
      <c r="G20" s="1785" t="str">
        <f>'DATA GPC'!O576</f>
        <v>--</v>
      </c>
      <c r="H20" s="1785" t="str">
        <f>'DATA GPC'!P576</f>
        <v>--</v>
      </c>
      <c r="I20" s="1785" t="str">
        <f>'DATA GPC'!U576</f>
        <v>--</v>
      </c>
      <c r="J20" s="1785" t="str">
        <f>'DATA GPC'!V576</f>
        <v>--</v>
      </c>
      <c r="K20" s="1785" t="str">
        <f>'DATA GPC'!W576</f>
        <v>--</v>
      </c>
      <c r="L20" s="1785" t="str">
        <f>'DATA GPC'!X576</f>
        <v>--</v>
      </c>
      <c r="M20" s="1785" t="str">
        <f>'DATA GPC'!Y576</f>
        <v>--</v>
      </c>
      <c r="N20" s="1527"/>
      <c r="O20" s="1364" t="str">
        <f>'DATA GPC'!O1136</f>
        <v>--</v>
      </c>
      <c r="P20" s="1364" t="str">
        <f>'DATA GPC'!P1136</f>
        <v>--</v>
      </c>
      <c r="Q20" s="1364" t="str">
        <f>'DATA GPC'!U1136</f>
        <v>--</v>
      </c>
      <c r="R20" s="1364" t="str">
        <f>'DATA GPC'!V1136</f>
        <v>--</v>
      </c>
      <c r="S20" s="1364" t="str">
        <f>'DATA GPC'!W1136</f>
        <v>--</v>
      </c>
      <c r="T20" s="1364" t="str">
        <f>'DATA GPC'!X1136</f>
        <v>--</v>
      </c>
      <c r="U20" s="1364" t="str">
        <f>'DATA GPC'!Y1136</f>
        <v>--</v>
      </c>
      <c r="V20" s="1364"/>
      <c r="W20" s="1364" t="str">
        <f t="shared" si="1"/>
        <v>--</v>
      </c>
      <c r="X20" s="1364" t="str">
        <f t="shared" si="2"/>
        <v>--</v>
      </c>
      <c r="Y20" s="2060"/>
      <c r="Z20" s="1546"/>
    </row>
    <row r="21" spans="1:26" s="336" customFormat="1" ht="13.9">
      <c r="A21" s="1510" t="str">
        <f t="shared" si="0"/>
        <v>n</v>
      </c>
      <c r="B21" s="1510"/>
      <c r="C21" s="1527"/>
      <c r="D21" s="146" t="str">
        <f>'DATA GPC'!E31</f>
        <v>--</v>
      </c>
      <c r="E21" s="612"/>
      <c r="F21" s="387" t="str">
        <f>'DATA GPC'!H140</f>
        <v>--</v>
      </c>
      <c r="G21" s="1785" t="str">
        <f>'DATA GPC'!O577</f>
        <v>--</v>
      </c>
      <c r="H21" s="1785" t="str">
        <f>'DATA GPC'!P577</f>
        <v>--</v>
      </c>
      <c r="I21" s="1785" t="str">
        <f>'DATA GPC'!U577</f>
        <v>--</v>
      </c>
      <c r="J21" s="1785" t="str">
        <f>'DATA GPC'!V577</f>
        <v>--</v>
      </c>
      <c r="K21" s="1785" t="str">
        <f>'DATA GPC'!W577</f>
        <v>--</v>
      </c>
      <c r="L21" s="1785" t="str">
        <f>'DATA GPC'!X577</f>
        <v>--</v>
      </c>
      <c r="M21" s="1785" t="str">
        <f>'DATA GPC'!Y577</f>
        <v>--</v>
      </c>
      <c r="N21" s="1527"/>
      <c r="O21" s="1364" t="str">
        <f>'DATA GPC'!O1137</f>
        <v>--</v>
      </c>
      <c r="P21" s="1364" t="str">
        <f>'DATA GPC'!P1137</f>
        <v>--</v>
      </c>
      <c r="Q21" s="1364" t="str">
        <f>'DATA GPC'!U1137</f>
        <v>--</v>
      </c>
      <c r="R21" s="1364" t="str">
        <f>'DATA GPC'!V1137</f>
        <v>--</v>
      </c>
      <c r="S21" s="1364" t="str">
        <f>'DATA GPC'!W1137</f>
        <v>--</v>
      </c>
      <c r="T21" s="1364" t="str">
        <f>'DATA GPC'!X1137</f>
        <v>--</v>
      </c>
      <c r="U21" s="1364" t="str">
        <f>'DATA GPC'!Y1137</f>
        <v>--</v>
      </c>
      <c r="V21" s="1364"/>
      <c r="W21" s="1364" t="str">
        <f t="shared" ref="W21:W34" si="3">IFERROR((J21/$G21)^(1/2)-1,"--")</f>
        <v>--</v>
      </c>
      <c r="X21" s="1364" t="str">
        <f t="shared" ref="X21:X34" si="4">IFERROR((K21/$G21)^(1/3)-1,"--")</f>
        <v>--</v>
      </c>
      <c r="Y21" s="2060"/>
      <c r="Z21" s="1546"/>
    </row>
    <row r="22" spans="1:26" s="336" customFormat="1" ht="13.9">
      <c r="A22" s="1510" t="str">
        <f t="shared" si="0"/>
        <v>n</v>
      </c>
      <c r="B22" s="1510"/>
      <c r="C22" s="1527"/>
      <c r="D22" s="146" t="str">
        <f>'DATA GPC'!E32</f>
        <v>--</v>
      </c>
      <c r="E22" s="612"/>
      <c r="F22" s="387" t="str">
        <f>'DATA GPC'!H141</f>
        <v>--</v>
      </c>
      <c r="G22" s="1785" t="str">
        <f>'DATA GPC'!O578</f>
        <v>--</v>
      </c>
      <c r="H22" s="1785" t="str">
        <f>'DATA GPC'!P578</f>
        <v>--</v>
      </c>
      <c r="I22" s="1785" t="str">
        <f>'DATA GPC'!U578</f>
        <v>--</v>
      </c>
      <c r="J22" s="1785" t="str">
        <f>'DATA GPC'!V578</f>
        <v>--</v>
      </c>
      <c r="K22" s="1785" t="str">
        <f>'DATA GPC'!W578</f>
        <v>--</v>
      </c>
      <c r="L22" s="1785" t="str">
        <f>'DATA GPC'!X578</f>
        <v>--</v>
      </c>
      <c r="M22" s="1785" t="str">
        <f>'DATA GPC'!Y578</f>
        <v>--</v>
      </c>
      <c r="N22" s="1527"/>
      <c r="O22" s="1364" t="str">
        <f>'DATA GPC'!O1138</f>
        <v>--</v>
      </c>
      <c r="P22" s="1364" t="str">
        <f>'DATA GPC'!P1138</f>
        <v>--</v>
      </c>
      <c r="Q22" s="1364" t="str">
        <f>'DATA GPC'!U1138</f>
        <v>--</v>
      </c>
      <c r="R22" s="1364" t="str">
        <f>'DATA GPC'!V1138</f>
        <v>--</v>
      </c>
      <c r="S22" s="1364" t="str">
        <f>'DATA GPC'!W1138</f>
        <v>--</v>
      </c>
      <c r="T22" s="1364" t="str">
        <f>'DATA GPC'!X1138</f>
        <v>--</v>
      </c>
      <c r="U22" s="1364" t="str">
        <f>'DATA GPC'!Y1138</f>
        <v>--</v>
      </c>
      <c r="V22" s="1364"/>
      <c r="W22" s="1364" t="str">
        <f t="shared" si="3"/>
        <v>--</v>
      </c>
      <c r="X22" s="1364" t="str">
        <f t="shared" si="4"/>
        <v>--</v>
      </c>
      <c r="Y22" s="2060"/>
      <c r="Z22" s="1546"/>
    </row>
    <row r="23" spans="1:26" s="336" customFormat="1" ht="13.9">
      <c r="A23" s="1510" t="str">
        <f t="shared" si="0"/>
        <v>n</v>
      </c>
      <c r="B23" s="1510"/>
      <c r="C23" s="1527"/>
      <c r="D23" s="146" t="str">
        <f>'DATA GPC'!E33</f>
        <v>--</v>
      </c>
      <c r="E23" s="612"/>
      <c r="F23" s="387" t="str">
        <f>'DATA GPC'!H142</f>
        <v>--</v>
      </c>
      <c r="G23" s="1785" t="str">
        <f>'DATA GPC'!O579</f>
        <v>--</v>
      </c>
      <c r="H23" s="1785" t="str">
        <f>'DATA GPC'!P579</f>
        <v>--</v>
      </c>
      <c r="I23" s="1785" t="str">
        <f>'DATA GPC'!U579</f>
        <v>--</v>
      </c>
      <c r="J23" s="1785" t="str">
        <f>'DATA GPC'!V579</f>
        <v>--</v>
      </c>
      <c r="K23" s="1785" t="str">
        <f>'DATA GPC'!W579</f>
        <v>--</v>
      </c>
      <c r="L23" s="1785" t="str">
        <f>'DATA GPC'!X579</f>
        <v>--</v>
      </c>
      <c r="M23" s="1785" t="str">
        <f>'DATA GPC'!Y579</f>
        <v>--</v>
      </c>
      <c r="N23" s="1527"/>
      <c r="O23" s="1364" t="str">
        <f>'DATA GPC'!O1139</f>
        <v>--</v>
      </c>
      <c r="P23" s="1364" t="str">
        <f>'DATA GPC'!P1139</f>
        <v>--</v>
      </c>
      <c r="Q23" s="1364" t="str">
        <f>'DATA GPC'!U1139</f>
        <v>--</v>
      </c>
      <c r="R23" s="1364" t="str">
        <f>'DATA GPC'!V1139</f>
        <v>--</v>
      </c>
      <c r="S23" s="1364" t="str">
        <f>'DATA GPC'!W1139</f>
        <v>--</v>
      </c>
      <c r="T23" s="1364" t="str">
        <f>'DATA GPC'!X1139</f>
        <v>--</v>
      </c>
      <c r="U23" s="1364" t="str">
        <f>'DATA GPC'!Y1139</f>
        <v>--</v>
      </c>
      <c r="V23" s="1364"/>
      <c r="W23" s="1364" t="str">
        <f t="shared" si="3"/>
        <v>--</v>
      </c>
      <c r="X23" s="1364" t="str">
        <f t="shared" si="4"/>
        <v>--</v>
      </c>
      <c r="Y23" s="2060"/>
      <c r="Z23" s="1546"/>
    </row>
    <row r="24" spans="1:26" s="1527" customFormat="1" ht="13.9">
      <c r="A24" s="1510" t="str">
        <f t="shared" si="0"/>
        <v>n</v>
      </c>
      <c r="B24" s="1510"/>
      <c r="D24" s="146" t="str">
        <f>'DATA GPC'!E34</f>
        <v>--</v>
      </c>
      <c r="E24" s="612"/>
      <c r="F24" s="387" t="str">
        <f>'DATA GPC'!H143</f>
        <v>--</v>
      </c>
      <c r="G24" s="1785" t="str">
        <f>'DATA GPC'!O580</f>
        <v>--</v>
      </c>
      <c r="H24" s="1785" t="str">
        <f>'DATA GPC'!P580</f>
        <v>--</v>
      </c>
      <c r="I24" s="1785" t="str">
        <f>'DATA GPC'!U580</f>
        <v>--</v>
      </c>
      <c r="J24" s="1785" t="str">
        <f>'DATA GPC'!V580</f>
        <v>--</v>
      </c>
      <c r="K24" s="1785" t="str">
        <f>'DATA GPC'!W580</f>
        <v>--</v>
      </c>
      <c r="L24" s="1785" t="str">
        <f>'DATA GPC'!X580</f>
        <v>--</v>
      </c>
      <c r="M24" s="1785" t="str">
        <f>'DATA GPC'!Y580</f>
        <v>--</v>
      </c>
      <c r="O24" s="1364" t="str">
        <f>'DATA GPC'!O1140</f>
        <v>--</v>
      </c>
      <c r="P24" s="1364" t="str">
        <f>'DATA GPC'!P1140</f>
        <v>--</v>
      </c>
      <c r="Q24" s="1364" t="str">
        <f>'DATA GPC'!U1140</f>
        <v>--</v>
      </c>
      <c r="R24" s="1364" t="str">
        <f>'DATA GPC'!V1140</f>
        <v>--</v>
      </c>
      <c r="S24" s="1364" t="str">
        <f>'DATA GPC'!W1140</f>
        <v>--</v>
      </c>
      <c r="T24" s="1364" t="str">
        <f>'DATA GPC'!X1140</f>
        <v>--</v>
      </c>
      <c r="U24" s="1364" t="str">
        <f>'DATA GPC'!Y1140</f>
        <v>--</v>
      </c>
      <c r="V24" s="1364"/>
      <c r="W24" s="1364" t="str">
        <f t="shared" si="3"/>
        <v>--</v>
      </c>
      <c r="X24" s="1364" t="str">
        <f t="shared" si="4"/>
        <v>--</v>
      </c>
      <c r="Y24" s="2060"/>
      <c r="Z24" s="1546"/>
    </row>
    <row r="25" spans="1:26" s="1527" customFormat="1" ht="13.9">
      <c r="A25" s="1510" t="str">
        <f t="shared" si="0"/>
        <v>n</v>
      </c>
      <c r="B25" s="1510"/>
      <c r="D25" s="146" t="str">
        <f>'DATA GPC'!E35</f>
        <v>--</v>
      </c>
      <c r="E25" s="612"/>
      <c r="F25" s="387" t="str">
        <f>'DATA GPC'!H144</f>
        <v>--</v>
      </c>
      <c r="G25" s="1785" t="str">
        <f>'DATA GPC'!O581</f>
        <v>--</v>
      </c>
      <c r="H25" s="1785" t="str">
        <f>'DATA GPC'!P581</f>
        <v>--</v>
      </c>
      <c r="I25" s="1785" t="str">
        <f>'DATA GPC'!U581</f>
        <v>--</v>
      </c>
      <c r="J25" s="1785" t="str">
        <f>'DATA GPC'!V581</f>
        <v>--</v>
      </c>
      <c r="K25" s="1785" t="str">
        <f>'DATA GPC'!W581</f>
        <v>--</v>
      </c>
      <c r="L25" s="1785" t="str">
        <f>'DATA GPC'!X581</f>
        <v>--</v>
      </c>
      <c r="M25" s="1785" t="str">
        <f>'DATA GPC'!Y581</f>
        <v>--</v>
      </c>
      <c r="O25" s="1364" t="str">
        <f>'DATA GPC'!O1141</f>
        <v>--</v>
      </c>
      <c r="P25" s="1364" t="str">
        <f>'DATA GPC'!P1141</f>
        <v>--</v>
      </c>
      <c r="Q25" s="1364" t="str">
        <f>'DATA GPC'!U1141</f>
        <v>--</v>
      </c>
      <c r="R25" s="1364" t="str">
        <f>'DATA GPC'!V1141</f>
        <v>--</v>
      </c>
      <c r="S25" s="1364" t="str">
        <f>'DATA GPC'!W1141</f>
        <v>--</v>
      </c>
      <c r="T25" s="1364" t="str">
        <f>'DATA GPC'!X1141</f>
        <v>--</v>
      </c>
      <c r="U25" s="1364" t="str">
        <f>'DATA GPC'!Y1141</f>
        <v>--</v>
      </c>
      <c r="V25" s="1364"/>
      <c r="W25" s="1364" t="str">
        <f t="shared" si="3"/>
        <v>--</v>
      </c>
      <c r="X25" s="1364" t="str">
        <f t="shared" si="4"/>
        <v>--</v>
      </c>
      <c r="Y25" s="2060"/>
      <c r="Z25" s="1546"/>
    </row>
    <row r="26" spans="1:26" s="1527" customFormat="1" ht="13.9">
      <c r="A26" s="1510" t="str">
        <f t="shared" si="0"/>
        <v>n</v>
      </c>
      <c r="B26" s="1510"/>
      <c r="D26" s="146" t="str">
        <f>'DATA GPC'!E36</f>
        <v>--</v>
      </c>
      <c r="E26" s="612"/>
      <c r="F26" s="387" t="str">
        <f>'DATA GPC'!H145</f>
        <v>--</v>
      </c>
      <c r="G26" s="1785" t="str">
        <f>'DATA GPC'!O582</f>
        <v>--</v>
      </c>
      <c r="H26" s="1785" t="str">
        <f>'DATA GPC'!P582</f>
        <v>--</v>
      </c>
      <c r="I26" s="1785" t="str">
        <f>'DATA GPC'!U582</f>
        <v>--</v>
      </c>
      <c r="J26" s="1785" t="str">
        <f>'DATA GPC'!V582</f>
        <v>--</v>
      </c>
      <c r="K26" s="1785" t="str">
        <f>'DATA GPC'!W582</f>
        <v>--</v>
      </c>
      <c r="L26" s="1785" t="str">
        <f>'DATA GPC'!X582</f>
        <v>--</v>
      </c>
      <c r="M26" s="1785" t="str">
        <f>'DATA GPC'!Y582</f>
        <v>--</v>
      </c>
      <c r="O26" s="1364" t="str">
        <f>'DATA GPC'!O1142</f>
        <v>--</v>
      </c>
      <c r="P26" s="1364" t="str">
        <f>'DATA GPC'!P1142</f>
        <v>--</v>
      </c>
      <c r="Q26" s="1364" t="str">
        <f>'DATA GPC'!U1142</f>
        <v>--</v>
      </c>
      <c r="R26" s="1364" t="str">
        <f>'DATA GPC'!V1142</f>
        <v>--</v>
      </c>
      <c r="S26" s="1364" t="str">
        <f>'DATA GPC'!W1142</f>
        <v>--</v>
      </c>
      <c r="T26" s="1364" t="str">
        <f>'DATA GPC'!X1142</f>
        <v>--</v>
      </c>
      <c r="U26" s="1364" t="str">
        <f>'DATA GPC'!Y1142</f>
        <v>--</v>
      </c>
      <c r="V26" s="1364"/>
      <c r="W26" s="1364" t="str">
        <f t="shared" si="3"/>
        <v>--</v>
      </c>
      <c r="X26" s="1364" t="str">
        <f t="shared" si="4"/>
        <v>--</v>
      </c>
      <c r="Y26" s="2060"/>
      <c r="Z26" s="1546"/>
    </row>
    <row r="27" spans="1:26" s="1527" customFormat="1" ht="13.9">
      <c r="A27" s="1510" t="str">
        <f t="shared" si="0"/>
        <v>n</v>
      </c>
      <c r="B27" s="1510"/>
      <c r="D27" s="146" t="str">
        <f>'DATA GPC'!E37</f>
        <v>--</v>
      </c>
      <c r="E27" s="612"/>
      <c r="F27" s="387" t="str">
        <f>'DATA GPC'!H146</f>
        <v>--</v>
      </c>
      <c r="G27" s="1785" t="str">
        <f>'DATA GPC'!O583</f>
        <v>--</v>
      </c>
      <c r="H27" s="1785" t="str">
        <f>'DATA GPC'!P583</f>
        <v>--</v>
      </c>
      <c r="I27" s="1785" t="str">
        <f>'DATA GPC'!U583</f>
        <v>--</v>
      </c>
      <c r="J27" s="1785" t="str">
        <f>'DATA GPC'!V583</f>
        <v>--</v>
      </c>
      <c r="K27" s="1785" t="str">
        <f>'DATA GPC'!W583</f>
        <v>--</v>
      </c>
      <c r="L27" s="1785" t="str">
        <f>'DATA GPC'!X583</f>
        <v>--</v>
      </c>
      <c r="M27" s="1785" t="str">
        <f>'DATA GPC'!Y583</f>
        <v>--</v>
      </c>
      <c r="O27" s="1364" t="str">
        <f>'DATA GPC'!O1143</f>
        <v>--</v>
      </c>
      <c r="P27" s="1364" t="str">
        <f>'DATA GPC'!P1143</f>
        <v>--</v>
      </c>
      <c r="Q27" s="1364" t="str">
        <f>'DATA GPC'!U1143</f>
        <v>--</v>
      </c>
      <c r="R27" s="1364" t="str">
        <f>'DATA GPC'!V1143</f>
        <v>--</v>
      </c>
      <c r="S27" s="1364" t="str">
        <f>'DATA GPC'!W1143</f>
        <v>--</v>
      </c>
      <c r="T27" s="1364" t="str">
        <f>'DATA GPC'!X1143</f>
        <v>--</v>
      </c>
      <c r="U27" s="1364" t="str">
        <f>'DATA GPC'!Y1143</f>
        <v>--</v>
      </c>
      <c r="V27" s="1364"/>
      <c r="W27" s="1364" t="str">
        <f t="shared" si="3"/>
        <v>--</v>
      </c>
      <c r="X27" s="1364" t="str">
        <f t="shared" si="4"/>
        <v>--</v>
      </c>
      <c r="Y27" s="2060"/>
      <c r="Z27" s="1546"/>
    </row>
    <row r="28" spans="1:26" s="1527" customFormat="1" ht="13.9">
      <c r="A28" s="1510" t="str">
        <f t="shared" si="0"/>
        <v>n</v>
      </c>
      <c r="B28" s="1510"/>
      <c r="D28" s="146" t="str">
        <f>'DATA GPC'!E38</f>
        <v>--</v>
      </c>
      <c r="E28" s="612"/>
      <c r="F28" s="387" t="str">
        <f>'DATA GPC'!H147</f>
        <v>--</v>
      </c>
      <c r="G28" s="1785" t="str">
        <f>'DATA GPC'!O584</f>
        <v>--</v>
      </c>
      <c r="H28" s="1785" t="str">
        <f>'DATA GPC'!P584</f>
        <v>--</v>
      </c>
      <c r="I28" s="1785" t="str">
        <f>'DATA GPC'!U584</f>
        <v>--</v>
      </c>
      <c r="J28" s="1785" t="str">
        <f>'DATA GPC'!V584</f>
        <v>--</v>
      </c>
      <c r="K28" s="1785" t="str">
        <f>'DATA GPC'!W584</f>
        <v>--</v>
      </c>
      <c r="L28" s="1785" t="str">
        <f>'DATA GPC'!X584</f>
        <v>--</v>
      </c>
      <c r="M28" s="1785" t="str">
        <f>'DATA GPC'!Y584</f>
        <v>--</v>
      </c>
      <c r="O28" s="1364" t="str">
        <f>'DATA GPC'!O1144</f>
        <v>--</v>
      </c>
      <c r="P28" s="1364" t="str">
        <f>'DATA GPC'!P1144</f>
        <v>--</v>
      </c>
      <c r="Q28" s="1364" t="str">
        <f>'DATA GPC'!U1144</f>
        <v>--</v>
      </c>
      <c r="R28" s="1364" t="str">
        <f>'DATA GPC'!V1144</f>
        <v>--</v>
      </c>
      <c r="S28" s="1364" t="str">
        <f>'DATA GPC'!W1144</f>
        <v>--</v>
      </c>
      <c r="T28" s="1364" t="str">
        <f>'DATA GPC'!X1144</f>
        <v>--</v>
      </c>
      <c r="U28" s="1364" t="str">
        <f>'DATA GPC'!Y1144</f>
        <v>--</v>
      </c>
      <c r="V28" s="1364"/>
      <c r="W28" s="1364" t="str">
        <f t="shared" si="3"/>
        <v>--</v>
      </c>
      <c r="X28" s="1364" t="str">
        <f t="shared" si="4"/>
        <v>--</v>
      </c>
      <c r="Y28" s="2060"/>
      <c r="Z28" s="1546"/>
    </row>
    <row r="29" spans="1:26" s="1527" customFormat="1" ht="13.9">
      <c r="A29" s="1510" t="str">
        <f t="shared" si="0"/>
        <v>n</v>
      </c>
      <c r="B29" s="1510"/>
      <c r="D29" s="146" t="str">
        <f>'DATA GPC'!E39</f>
        <v>--</v>
      </c>
      <c r="E29" s="612"/>
      <c r="F29" s="387" t="str">
        <f>'DATA GPC'!H148</f>
        <v>--</v>
      </c>
      <c r="G29" s="1785" t="str">
        <f>'DATA GPC'!O585</f>
        <v>--</v>
      </c>
      <c r="H29" s="1785" t="str">
        <f>'DATA GPC'!P585</f>
        <v>--</v>
      </c>
      <c r="I29" s="1785" t="str">
        <f>'DATA GPC'!U585</f>
        <v>--</v>
      </c>
      <c r="J29" s="1785" t="str">
        <f>'DATA GPC'!V585</f>
        <v>--</v>
      </c>
      <c r="K29" s="1785" t="str">
        <f>'DATA GPC'!W585</f>
        <v>--</v>
      </c>
      <c r="L29" s="1785" t="str">
        <f>'DATA GPC'!X585</f>
        <v>--</v>
      </c>
      <c r="M29" s="1785" t="str">
        <f>'DATA GPC'!Y585</f>
        <v>--</v>
      </c>
      <c r="O29" s="1364" t="str">
        <f>'DATA GPC'!O1145</f>
        <v>--</v>
      </c>
      <c r="P29" s="1364" t="str">
        <f>'DATA GPC'!P1145</f>
        <v>--</v>
      </c>
      <c r="Q29" s="1364" t="str">
        <f>'DATA GPC'!U1145</f>
        <v>--</v>
      </c>
      <c r="R29" s="1364" t="str">
        <f>'DATA GPC'!V1145</f>
        <v>--</v>
      </c>
      <c r="S29" s="1364" t="str">
        <f>'DATA GPC'!W1145</f>
        <v>--</v>
      </c>
      <c r="T29" s="1364" t="str">
        <f>'DATA GPC'!X1145</f>
        <v>--</v>
      </c>
      <c r="U29" s="1364" t="str">
        <f>'DATA GPC'!Y1145</f>
        <v>--</v>
      </c>
      <c r="V29" s="1364"/>
      <c r="W29" s="1364" t="str">
        <f t="shared" si="3"/>
        <v>--</v>
      </c>
      <c r="X29" s="1364" t="str">
        <f t="shared" si="4"/>
        <v>--</v>
      </c>
      <c r="Y29" s="2060"/>
      <c r="Z29" s="1546"/>
    </row>
    <row r="30" spans="1:26" s="1527" customFormat="1" ht="13.9">
      <c r="A30" s="1510" t="str">
        <f t="shared" si="0"/>
        <v>n</v>
      </c>
      <c r="B30" s="1510"/>
      <c r="D30" s="146" t="str">
        <f>'DATA GPC'!E40</f>
        <v>--</v>
      </c>
      <c r="E30" s="612"/>
      <c r="F30" s="387" t="str">
        <f>'DATA GPC'!H149</f>
        <v>--</v>
      </c>
      <c r="G30" s="1785" t="str">
        <f>'DATA GPC'!O586</f>
        <v>--</v>
      </c>
      <c r="H30" s="1785" t="str">
        <f>'DATA GPC'!P586</f>
        <v>--</v>
      </c>
      <c r="I30" s="1785" t="str">
        <f>'DATA GPC'!U586</f>
        <v>--</v>
      </c>
      <c r="J30" s="1785" t="str">
        <f>'DATA GPC'!V586</f>
        <v>--</v>
      </c>
      <c r="K30" s="1785" t="str">
        <f>'DATA GPC'!W586</f>
        <v>--</v>
      </c>
      <c r="L30" s="1785" t="str">
        <f>'DATA GPC'!X586</f>
        <v>--</v>
      </c>
      <c r="M30" s="1785" t="str">
        <f>'DATA GPC'!Y586</f>
        <v>--</v>
      </c>
      <c r="O30" s="1364" t="str">
        <f>'DATA GPC'!O1146</f>
        <v>--</v>
      </c>
      <c r="P30" s="1364" t="str">
        <f>'DATA GPC'!P1146</f>
        <v>--</v>
      </c>
      <c r="Q30" s="1364" t="str">
        <f>'DATA GPC'!U1146</f>
        <v>--</v>
      </c>
      <c r="R30" s="1364" t="str">
        <f>'DATA GPC'!V1146</f>
        <v>--</v>
      </c>
      <c r="S30" s="1364" t="str">
        <f>'DATA GPC'!W1146</f>
        <v>--</v>
      </c>
      <c r="T30" s="1364" t="str">
        <f>'DATA GPC'!X1146</f>
        <v>--</v>
      </c>
      <c r="U30" s="1364" t="str">
        <f>'DATA GPC'!Y1146</f>
        <v>--</v>
      </c>
      <c r="V30" s="1364"/>
      <c r="W30" s="1364" t="str">
        <f t="shared" si="3"/>
        <v>--</v>
      </c>
      <c r="X30" s="1364" t="str">
        <f t="shared" si="4"/>
        <v>--</v>
      </c>
      <c r="Y30" s="2060"/>
      <c r="Z30" s="1546"/>
    </row>
    <row r="31" spans="1:26" s="1527" customFormat="1" ht="13.9">
      <c r="A31" s="1510" t="str">
        <f t="shared" si="0"/>
        <v>n</v>
      </c>
      <c r="B31" s="1510"/>
      <c r="D31" s="146" t="str">
        <f>'DATA GPC'!E41</f>
        <v>--</v>
      </c>
      <c r="E31" s="612"/>
      <c r="F31" s="387" t="str">
        <f>'DATA GPC'!H150</f>
        <v>--</v>
      </c>
      <c r="G31" s="1785" t="str">
        <f>'DATA GPC'!O587</f>
        <v>--</v>
      </c>
      <c r="H31" s="1785" t="str">
        <f>'DATA GPC'!P587</f>
        <v>--</v>
      </c>
      <c r="I31" s="1785" t="str">
        <f>'DATA GPC'!U587</f>
        <v>--</v>
      </c>
      <c r="J31" s="1785" t="str">
        <f>'DATA GPC'!V587</f>
        <v>--</v>
      </c>
      <c r="K31" s="1785" t="str">
        <f>'DATA GPC'!W587</f>
        <v>--</v>
      </c>
      <c r="L31" s="1785" t="str">
        <f>'DATA GPC'!X587</f>
        <v>--</v>
      </c>
      <c r="M31" s="1785" t="str">
        <f>'DATA GPC'!Y587</f>
        <v>--</v>
      </c>
      <c r="O31" s="1364" t="str">
        <f>'DATA GPC'!O1147</f>
        <v>--</v>
      </c>
      <c r="P31" s="1364" t="str">
        <f>'DATA GPC'!P1147</f>
        <v>--</v>
      </c>
      <c r="Q31" s="1364" t="str">
        <f>'DATA GPC'!U1147</f>
        <v>--</v>
      </c>
      <c r="R31" s="1364" t="str">
        <f>'DATA GPC'!V1147</f>
        <v>--</v>
      </c>
      <c r="S31" s="1364" t="str">
        <f>'DATA GPC'!W1147</f>
        <v>--</v>
      </c>
      <c r="T31" s="1364" t="str">
        <f>'DATA GPC'!X1147</f>
        <v>--</v>
      </c>
      <c r="U31" s="1364" t="str">
        <f>'DATA GPC'!Y1147</f>
        <v>--</v>
      </c>
      <c r="V31" s="1364"/>
      <c r="W31" s="1364" t="str">
        <f t="shared" si="3"/>
        <v>--</v>
      </c>
      <c r="X31" s="1364" t="str">
        <f t="shared" si="4"/>
        <v>--</v>
      </c>
      <c r="Y31" s="2060"/>
      <c r="Z31" s="1546"/>
    </row>
    <row r="32" spans="1:26" s="1527" customFormat="1" ht="13.9">
      <c r="A32" s="1510" t="str">
        <f t="shared" si="0"/>
        <v>n</v>
      </c>
      <c r="B32" s="1510"/>
      <c r="D32" s="146" t="str">
        <f>'DATA GPC'!E42</f>
        <v>--</v>
      </c>
      <c r="E32" s="612"/>
      <c r="F32" s="387" t="str">
        <f>'DATA GPC'!H151</f>
        <v>--</v>
      </c>
      <c r="G32" s="1785" t="str">
        <f>'DATA GPC'!O588</f>
        <v>--</v>
      </c>
      <c r="H32" s="1785" t="str">
        <f>'DATA GPC'!P588</f>
        <v>--</v>
      </c>
      <c r="I32" s="1785" t="str">
        <f>'DATA GPC'!U588</f>
        <v>--</v>
      </c>
      <c r="J32" s="1785" t="str">
        <f>'DATA GPC'!V588</f>
        <v>--</v>
      </c>
      <c r="K32" s="1785" t="str">
        <f>'DATA GPC'!W588</f>
        <v>--</v>
      </c>
      <c r="L32" s="1785" t="str">
        <f>'DATA GPC'!X588</f>
        <v>--</v>
      </c>
      <c r="M32" s="1785" t="str">
        <f>'DATA GPC'!Y588</f>
        <v>--</v>
      </c>
      <c r="O32" s="1364" t="str">
        <f>'DATA GPC'!O1148</f>
        <v>--</v>
      </c>
      <c r="P32" s="1364" t="str">
        <f>'DATA GPC'!P1148</f>
        <v>--</v>
      </c>
      <c r="Q32" s="1364" t="str">
        <f>'DATA GPC'!U1148</f>
        <v>--</v>
      </c>
      <c r="R32" s="1364" t="str">
        <f>'DATA GPC'!V1148</f>
        <v>--</v>
      </c>
      <c r="S32" s="1364" t="str">
        <f>'DATA GPC'!W1148</f>
        <v>--</v>
      </c>
      <c r="T32" s="1364" t="str">
        <f>'DATA GPC'!X1148</f>
        <v>--</v>
      </c>
      <c r="U32" s="1364" t="str">
        <f>'DATA GPC'!Y1148</f>
        <v>--</v>
      </c>
      <c r="V32" s="1364"/>
      <c r="W32" s="1364" t="str">
        <f t="shared" si="3"/>
        <v>--</v>
      </c>
      <c r="X32" s="1364" t="str">
        <f t="shared" si="4"/>
        <v>--</v>
      </c>
      <c r="Y32" s="2060"/>
      <c r="Z32" s="1546"/>
    </row>
    <row r="33" spans="1:26" s="1527" customFormat="1" ht="13.9">
      <c r="A33" s="1510" t="str">
        <f t="shared" si="0"/>
        <v>n</v>
      </c>
      <c r="B33" s="1510"/>
      <c r="D33" s="146" t="str">
        <f>'DATA GPC'!E43</f>
        <v>--</v>
      </c>
      <c r="E33" s="612"/>
      <c r="F33" s="387" t="str">
        <f>'DATA GPC'!H152</f>
        <v>--</v>
      </c>
      <c r="G33" s="1785" t="str">
        <f>'DATA GPC'!O589</f>
        <v>--</v>
      </c>
      <c r="H33" s="1785" t="str">
        <f>'DATA GPC'!P589</f>
        <v>--</v>
      </c>
      <c r="I33" s="1785" t="str">
        <f>'DATA GPC'!U589</f>
        <v>--</v>
      </c>
      <c r="J33" s="1785" t="str">
        <f>'DATA GPC'!V589</f>
        <v>--</v>
      </c>
      <c r="K33" s="1785" t="str">
        <f>'DATA GPC'!W589</f>
        <v>--</v>
      </c>
      <c r="L33" s="1785" t="str">
        <f>'DATA GPC'!X589</f>
        <v>--</v>
      </c>
      <c r="M33" s="1785" t="str">
        <f>'DATA GPC'!Y589</f>
        <v>--</v>
      </c>
      <c r="O33" s="1364" t="str">
        <f>'DATA GPC'!O1149</f>
        <v>--</v>
      </c>
      <c r="P33" s="1364" t="str">
        <f>'DATA GPC'!P1149</f>
        <v>--</v>
      </c>
      <c r="Q33" s="1364" t="str">
        <f>'DATA GPC'!U1149</f>
        <v>--</v>
      </c>
      <c r="R33" s="1364" t="str">
        <f>'DATA GPC'!V1149</f>
        <v>--</v>
      </c>
      <c r="S33" s="1364" t="str">
        <f>'DATA GPC'!W1149</f>
        <v>--</v>
      </c>
      <c r="T33" s="1364" t="str">
        <f>'DATA GPC'!X1149</f>
        <v>--</v>
      </c>
      <c r="U33" s="1364" t="str">
        <f>'DATA GPC'!Y1149</f>
        <v>--</v>
      </c>
      <c r="V33" s="1364"/>
      <c r="W33" s="1364" t="str">
        <f t="shared" si="3"/>
        <v>--</v>
      </c>
      <c r="X33" s="1364" t="str">
        <f t="shared" si="4"/>
        <v>--</v>
      </c>
      <c r="Y33" s="2060"/>
      <c r="Z33" s="1546"/>
    </row>
    <row r="34" spans="1:26" s="336" customFormat="1" ht="13.9">
      <c r="A34" s="1510" t="str">
        <f t="shared" si="0"/>
        <v>n</v>
      </c>
      <c r="B34" s="1510"/>
      <c r="C34" s="1527"/>
      <c r="D34" s="146" t="str">
        <f>'DATA GPC'!E44</f>
        <v>--</v>
      </c>
      <c r="E34" s="612"/>
      <c r="F34" s="387" t="str">
        <f>'DATA GPC'!H153</f>
        <v>--</v>
      </c>
      <c r="G34" s="1785" t="str">
        <f>'DATA GPC'!O590</f>
        <v>--</v>
      </c>
      <c r="H34" s="1785" t="str">
        <f>'DATA GPC'!P590</f>
        <v>--</v>
      </c>
      <c r="I34" s="1785" t="str">
        <f>'DATA GPC'!U590</f>
        <v>--</v>
      </c>
      <c r="J34" s="1785" t="str">
        <f>'DATA GPC'!V590</f>
        <v>--</v>
      </c>
      <c r="K34" s="1785" t="str">
        <f>'DATA GPC'!W590</f>
        <v>--</v>
      </c>
      <c r="L34" s="1785" t="str">
        <f>'DATA GPC'!X590</f>
        <v>--</v>
      </c>
      <c r="M34" s="1785" t="str">
        <f>'DATA GPC'!Y590</f>
        <v>--</v>
      </c>
      <c r="N34" s="1527"/>
      <c r="O34" s="1364" t="str">
        <f>'DATA GPC'!O1150</f>
        <v>--</v>
      </c>
      <c r="P34" s="1364" t="str">
        <f>'DATA GPC'!P1150</f>
        <v>--</v>
      </c>
      <c r="Q34" s="1364" t="str">
        <f>'DATA GPC'!U1150</f>
        <v>--</v>
      </c>
      <c r="R34" s="1364" t="str">
        <f>'DATA GPC'!V1150</f>
        <v>--</v>
      </c>
      <c r="S34" s="1364" t="str">
        <f>'DATA GPC'!W1150</f>
        <v>--</v>
      </c>
      <c r="T34" s="1364" t="str">
        <f>'DATA GPC'!X1150</f>
        <v>--</v>
      </c>
      <c r="U34" s="1364" t="str">
        <f>'DATA GPC'!Y1150</f>
        <v>--</v>
      </c>
      <c r="V34" s="1364"/>
      <c r="W34" s="1364" t="str">
        <f t="shared" si="3"/>
        <v>--</v>
      </c>
      <c r="X34" s="1364" t="str">
        <f t="shared" si="4"/>
        <v>--</v>
      </c>
      <c r="Y34" s="2060"/>
      <c r="Z34" s="1546"/>
    </row>
    <row r="35" spans="1:26" s="336" customFormat="1" ht="13.9">
      <c r="A35" s="1510"/>
      <c r="B35" s="1510"/>
      <c r="C35" s="2060"/>
      <c r="D35" s="146"/>
      <c r="E35" s="612"/>
      <c r="F35" s="612"/>
      <c r="G35" s="1785"/>
      <c r="H35" s="1785"/>
      <c r="I35" s="1785"/>
      <c r="J35" s="1785"/>
      <c r="K35" s="1785"/>
      <c r="L35" s="1785"/>
      <c r="M35" s="1785"/>
      <c r="N35" s="1527"/>
      <c r="O35" s="440"/>
      <c r="P35" s="440"/>
      <c r="Q35" s="440"/>
      <c r="R35" s="440"/>
      <c r="S35" s="440"/>
      <c r="T35" s="440"/>
      <c r="U35" s="440"/>
      <c r="V35" s="440"/>
      <c r="W35" s="440"/>
      <c r="X35" s="440"/>
      <c r="Y35" s="2060"/>
      <c r="Z35" s="1546"/>
    </row>
    <row r="36" spans="1:26" s="336" customFormat="1" ht="13.9">
      <c r="A36" s="1510"/>
      <c r="B36" s="1510"/>
      <c r="C36" s="2060"/>
      <c r="D36" s="1184"/>
      <c r="E36" s="1295"/>
      <c r="F36" s="1295"/>
      <c r="G36" s="1184"/>
      <c r="H36" s="1184"/>
      <c r="I36" s="1184"/>
      <c r="J36" s="1184"/>
      <c r="K36" s="1184"/>
      <c r="L36" s="1184"/>
      <c r="M36" s="1184"/>
      <c r="N36" s="1184"/>
      <c r="O36" s="1184"/>
      <c r="P36" s="1184"/>
      <c r="Q36" s="1184"/>
      <c r="R36" s="1184"/>
      <c r="S36" s="1184"/>
      <c r="T36" s="1184"/>
      <c r="U36" s="1184"/>
      <c r="V36" s="1184"/>
      <c r="W36" s="1184" t="s">
        <v>1812</v>
      </c>
      <c r="X36" s="1184" t="s">
        <v>1813</v>
      </c>
      <c r="Y36" s="2060"/>
      <c r="Z36" s="1546"/>
    </row>
    <row r="37" spans="1:26" s="336" customFormat="1" ht="13.9">
      <c r="A37" s="1510"/>
      <c r="B37" s="1510"/>
      <c r="C37" s="2060"/>
      <c r="D37" s="724"/>
      <c r="E37" s="748"/>
      <c r="F37" s="748"/>
      <c r="G37" s="724"/>
      <c r="H37" s="724"/>
      <c r="I37" s="724"/>
      <c r="J37" s="724"/>
      <c r="K37" s="724"/>
      <c r="L37" s="724"/>
      <c r="M37" s="724"/>
      <c r="N37" s="724"/>
      <c r="O37" s="724"/>
      <c r="P37" s="724"/>
      <c r="Q37" s="724"/>
      <c r="R37" s="724"/>
      <c r="S37" s="724"/>
      <c r="T37" s="724"/>
      <c r="U37" s="724"/>
      <c r="V37" s="724"/>
      <c r="W37" s="747" t="s">
        <v>1814</v>
      </c>
      <c r="X37" s="747" t="s">
        <v>1814</v>
      </c>
      <c r="Y37" s="2060"/>
      <c r="Z37" s="1546"/>
    </row>
    <row r="38" spans="1:26" s="336" customFormat="1" ht="15.6">
      <c r="A38" s="1510"/>
      <c r="B38" s="1510"/>
      <c r="C38" s="63"/>
      <c r="D38" s="1211" t="s">
        <v>1815</v>
      </c>
      <c r="E38" s="1296"/>
      <c r="F38" s="1296"/>
      <c r="G38" s="1294" t="s">
        <v>704</v>
      </c>
      <c r="H38" s="1294" t="s">
        <v>705</v>
      </c>
      <c r="I38" s="1294" t="s">
        <v>707</v>
      </c>
      <c r="J38" s="1294" t="s">
        <v>708</v>
      </c>
      <c r="K38" s="1294" t="s">
        <v>709</v>
      </c>
      <c r="L38" s="1294" t="s">
        <v>710</v>
      </c>
      <c r="M38" s="1294" t="s">
        <v>711</v>
      </c>
      <c r="N38" s="1216"/>
      <c r="O38" s="1294" t="s">
        <v>704</v>
      </c>
      <c r="P38" s="1294" t="s">
        <v>705</v>
      </c>
      <c r="Q38" s="1294" t="s">
        <v>707</v>
      </c>
      <c r="R38" s="1294" t="s">
        <v>708</v>
      </c>
      <c r="S38" s="1294" t="s">
        <v>709</v>
      </c>
      <c r="T38" s="1294" t="s">
        <v>710</v>
      </c>
      <c r="U38" s="1294" t="s">
        <v>711</v>
      </c>
      <c r="V38" s="1294"/>
      <c r="W38" s="1294" t="s">
        <v>708</v>
      </c>
      <c r="X38" s="1294" t="s">
        <v>709</v>
      </c>
      <c r="Y38" s="2060"/>
      <c r="Z38" s="1546"/>
    </row>
    <row r="39" spans="1:26" s="336" customFormat="1" ht="13.9">
      <c r="A39" s="1510" t="str">
        <f t="shared" ref="A39:A48" si="5">IF(MAX(O10:T10)&gt;0.001,"","n")</f>
        <v>n</v>
      </c>
      <c r="B39" s="1510"/>
      <c r="C39" s="2060"/>
      <c r="D39" s="146" t="str">
        <f>D10</f>
        <v>--</v>
      </c>
      <c r="E39" s="612"/>
      <c r="F39" s="612" t="str">
        <f>F10</f>
        <v>--</v>
      </c>
      <c r="G39" s="1785" t="str">
        <f>'DATA GPC'!O628</f>
        <v>--</v>
      </c>
      <c r="H39" s="1785" t="str">
        <f>'DATA GPC'!P628</f>
        <v>--</v>
      </c>
      <c r="I39" s="1785" t="str">
        <f>'DATA GPC'!U628</f>
        <v>--</v>
      </c>
      <c r="J39" s="1785" t="str">
        <f>'DATA GPC'!V628</f>
        <v>--</v>
      </c>
      <c r="K39" s="1785" t="str">
        <f>'DATA GPC'!W628</f>
        <v>--</v>
      </c>
      <c r="L39" s="1785" t="str">
        <f>'DATA GPC'!X628</f>
        <v>--</v>
      </c>
      <c r="M39" s="1785" t="str">
        <f>'DATA GPC'!Y628</f>
        <v>--</v>
      </c>
      <c r="N39" s="1527"/>
      <c r="O39" s="1364" t="str">
        <f t="shared" ref="O39:O48" si="6">IFERROR(G39/G10,"--")</f>
        <v>--</v>
      </c>
      <c r="P39" s="1364" t="str">
        <f t="shared" ref="P39:P48" si="7">IFERROR(H39/H10,"--")</f>
        <v>--</v>
      </c>
      <c r="Q39" s="1364" t="str">
        <f t="shared" ref="Q39:Q48" si="8">IFERROR(I39/I10,"--")</f>
        <v>--</v>
      </c>
      <c r="R39" s="1364" t="str">
        <f t="shared" ref="R39:R48" si="9">IFERROR(J39/J10,"--")</f>
        <v>--</v>
      </c>
      <c r="S39" s="1364" t="str">
        <f t="shared" ref="S39:S48" si="10">IFERROR(K39/K10,"--")</f>
        <v>--</v>
      </c>
      <c r="T39" s="1364" t="str">
        <f t="shared" ref="T39:T48" si="11">IFERROR(L39/L10,"--")</f>
        <v>--</v>
      </c>
      <c r="U39" s="1364" t="str">
        <f t="shared" ref="U39:U48" si="12">IFERROR(M39/M10,"--")</f>
        <v>--</v>
      </c>
      <c r="V39" s="1364"/>
      <c r="W39" s="1364" t="str">
        <f>IFERROR(AVERAGE($Q39:R39),"--")</f>
        <v>--</v>
      </c>
      <c r="X39" s="1364" t="str">
        <f>IFERROR(AVERAGE($Q39:S39),"--")</f>
        <v>--</v>
      </c>
      <c r="Y39" s="2060"/>
      <c r="Z39" s="1546"/>
    </row>
    <row r="40" spans="1:26" s="336" customFormat="1" ht="13.9">
      <c r="A40" s="1510" t="str">
        <f t="shared" si="5"/>
        <v>n</v>
      </c>
      <c r="B40" s="1510"/>
      <c r="C40" s="2060"/>
      <c r="D40" s="146" t="str">
        <f t="shared" ref="D40:D63" si="13">D11</f>
        <v>--</v>
      </c>
      <c r="E40" s="673"/>
      <c r="F40" s="612" t="str">
        <f t="shared" ref="F40:F63" si="14">F11</f>
        <v>--</v>
      </c>
      <c r="G40" s="1785" t="str">
        <f>'DATA GPC'!O629</f>
        <v>--</v>
      </c>
      <c r="H40" s="1785" t="str">
        <f>'DATA GPC'!P629</f>
        <v>--</v>
      </c>
      <c r="I40" s="1785" t="str">
        <f>'DATA GPC'!U629</f>
        <v>--</v>
      </c>
      <c r="J40" s="1785" t="str">
        <f>'DATA GPC'!V629</f>
        <v>--</v>
      </c>
      <c r="K40" s="1785" t="str">
        <f>'DATA GPC'!W629</f>
        <v>--</v>
      </c>
      <c r="L40" s="1785" t="str">
        <f>'DATA GPC'!X629</f>
        <v>--</v>
      </c>
      <c r="M40" s="1785" t="str">
        <f>'DATA GPC'!Y629</f>
        <v>--</v>
      </c>
      <c r="N40" s="1527"/>
      <c r="O40" s="1364" t="str">
        <f t="shared" si="6"/>
        <v>--</v>
      </c>
      <c r="P40" s="1364" t="str">
        <f t="shared" si="7"/>
        <v>--</v>
      </c>
      <c r="Q40" s="1364" t="str">
        <f t="shared" si="8"/>
        <v>--</v>
      </c>
      <c r="R40" s="1364" t="str">
        <f t="shared" si="9"/>
        <v>--</v>
      </c>
      <c r="S40" s="1364" t="str">
        <f t="shared" si="10"/>
        <v>--</v>
      </c>
      <c r="T40" s="1364" t="str">
        <f t="shared" si="11"/>
        <v>--</v>
      </c>
      <c r="U40" s="1364" t="str">
        <f t="shared" si="12"/>
        <v>--</v>
      </c>
      <c r="V40" s="1364"/>
      <c r="W40" s="1364" t="str">
        <f>IFERROR(AVERAGE($Q40:R40),"--")</f>
        <v>--</v>
      </c>
      <c r="X40" s="1364" t="str">
        <f>IFERROR(AVERAGE($Q40:S40),"--")</f>
        <v>--</v>
      </c>
      <c r="Y40" s="2060"/>
      <c r="Z40" s="1546"/>
    </row>
    <row r="41" spans="1:26" s="336" customFormat="1" ht="13.9">
      <c r="A41" s="1510" t="str">
        <f t="shared" si="5"/>
        <v>n</v>
      </c>
      <c r="B41" s="1510"/>
      <c r="C41" s="2060"/>
      <c r="D41" s="146" t="str">
        <f t="shared" si="13"/>
        <v>--</v>
      </c>
      <c r="E41" s="612"/>
      <c r="F41" s="612" t="str">
        <f t="shared" si="14"/>
        <v>--</v>
      </c>
      <c r="G41" s="1785" t="str">
        <f>'DATA GPC'!O630</f>
        <v>--</v>
      </c>
      <c r="H41" s="1785" t="str">
        <f>'DATA GPC'!P630</f>
        <v>--</v>
      </c>
      <c r="I41" s="1785" t="str">
        <f>'DATA GPC'!U630</f>
        <v>--</v>
      </c>
      <c r="J41" s="1785" t="str">
        <f>'DATA GPC'!V630</f>
        <v>--</v>
      </c>
      <c r="K41" s="1785" t="str">
        <f>'DATA GPC'!W630</f>
        <v>--</v>
      </c>
      <c r="L41" s="1785" t="str">
        <f>'DATA GPC'!X630</f>
        <v>--</v>
      </c>
      <c r="M41" s="1785" t="str">
        <f>'DATA GPC'!Y630</f>
        <v>--</v>
      </c>
      <c r="N41" s="1527"/>
      <c r="O41" s="1364" t="str">
        <f t="shared" si="6"/>
        <v>--</v>
      </c>
      <c r="P41" s="1364" t="str">
        <f t="shared" si="7"/>
        <v>--</v>
      </c>
      <c r="Q41" s="1364" t="str">
        <f t="shared" si="8"/>
        <v>--</v>
      </c>
      <c r="R41" s="1364" t="str">
        <f t="shared" si="9"/>
        <v>--</v>
      </c>
      <c r="S41" s="1364" t="str">
        <f t="shared" si="10"/>
        <v>--</v>
      </c>
      <c r="T41" s="1364" t="str">
        <f t="shared" si="11"/>
        <v>--</v>
      </c>
      <c r="U41" s="1364" t="str">
        <f t="shared" si="12"/>
        <v>--</v>
      </c>
      <c r="V41" s="1364"/>
      <c r="W41" s="1364" t="str">
        <f>IFERROR(AVERAGE($Q41:R41),"--")</f>
        <v>--</v>
      </c>
      <c r="X41" s="1364" t="str">
        <f>IFERROR(AVERAGE($Q41:S41),"--")</f>
        <v>--</v>
      </c>
      <c r="Y41" s="2060"/>
      <c r="Z41" s="1546"/>
    </row>
    <row r="42" spans="1:26" s="336" customFormat="1" ht="13.9">
      <c r="A42" s="1510" t="str">
        <f t="shared" si="5"/>
        <v>n</v>
      </c>
      <c r="B42" s="1510"/>
      <c r="C42" s="2060"/>
      <c r="D42" s="146" t="str">
        <f t="shared" si="13"/>
        <v>--</v>
      </c>
      <c r="E42" s="612"/>
      <c r="F42" s="612" t="str">
        <f t="shared" si="14"/>
        <v>--</v>
      </c>
      <c r="G42" s="1785" t="str">
        <f>'DATA GPC'!O631</f>
        <v>--</v>
      </c>
      <c r="H42" s="1785" t="str">
        <f>'DATA GPC'!P631</f>
        <v>--</v>
      </c>
      <c r="I42" s="1785" t="str">
        <f>'DATA GPC'!U631</f>
        <v>--</v>
      </c>
      <c r="J42" s="1785" t="str">
        <f>'DATA GPC'!V631</f>
        <v>--</v>
      </c>
      <c r="K42" s="1785" t="str">
        <f>'DATA GPC'!W631</f>
        <v>--</v>
      </c>
      <c r="L42" s="1785" t="str">
        <f>'DATA GPC'!X631</f>
        <v>--</v>
      </c>
      <c r="M42" s="1785" t="str">
        <f>'DATA GPC'!Y631</f>
        <v>--</v>
      </c>
      <c r="N42" s="1527"/>
      <c r="O42" s="1364" t="str">
        <f t="shared" si="6"/>
        <v>--</v>
      </c>
      <c r="P42" s="1364" t="str">
        <f t="shared" si="7"/>
        <v>--</v>
      </c>
      <c r="Q42" s="1364" t="str">
        <f t="shared" si="8"/>
        <v>--</v>
      </c>
      <c r="R42" s="1364" t="str">
        <f t="shared" si="9"/>
        <v>--</v>
      </c>
      <c r="S42" s="1364" t="str">
        <f t="shared" si="10"/>
        <v>--</v>
      </c>
      <c r="T42" s="1364" t="str">
        <f t="shared" si="11"/>
        <v>--</v>
      </c>
      <c r="U42" s="1364" t="str">
        <f t="shared" si="12"/>
        <v>--</v>
      </c>
      <c r="V42" s="1364"/>
      <c r="W42" s="1364" t="str">
        <f>IFERROR(AVERAGE($Q42:R42),"--")</f>
        <v>--</v>
      </c>
      <c r="X42" s="1364" t="str">
        <f>IFERROR(AVERAGE($Q42:S42),"--")</f>
        <v>--</v>
      </c>
      <c r="Y42" s="2060"/>
      <c r="Z42" s="1546"/>
    </row>
    <row r="43" spans="1:26" s="336" customFormat="1" ht="13.9">
      <c r="A43" s="1510" t="str">
        <f t="shared" si="5"/>
        <v>n</v>
      </c>
      <c r="B43" s="1510"/>
      <c r="C43" s="2060"/>
      <c r="D43" s="146" t="str">
        <f t="shared" si="13"/>
        <v>--</v>
      </c>
      <c r="E43" s="612"/>
      <c r="F43" s="612" t="str">
        <f t="shared" si="14"/>
        <v>--</v>
      </c>
      <c r="G43" s="1785" t="str">
        <f>'DATA GPC'!O632</f>
        <v>--</v>
      </c>
      <c r="H43" s="1785" t="str">
        <f>'DATA GPC'!P632</f>
        <v>--</v>
      </c>
      <c r="I43" s="1785" t="str">
        <f>'DATA GPC'!U632</f>
        <v>--</v>
      </c>
      <c r="J43" s="1785" t="str">
        <f>'DATA GPC'!V632</f>
        <v>--</v>
      </c>
      <c r="K43" s="1785" t="str">
        <f>'DATA GPC'!W632</f>
        <v>--</v>
      </c>
      <c r="L43" s="1785" t="str">
        <f>'DATA GPC'!X632</f>
        <v>--</v>
      </c>
      <c r="M43" s="1785" t="str">
        <f>'DATA GPC'!Y632</f>
        <v>--</v>
      </c>
      <c r="N43" s="1527"/>
      <c r="O43" s="1364" t="str">
        <f t="shared" si="6"/>
        <v>--</v>
      </c>
      <c r="P43" s="1364" t="str">
        <f t="shared" si="7"/>
        <v>--</v>
      </c>
      <c r="Q43" s="1364" t="str">
        <f t="shared" si="8"/>
        <v>--</v>
      </c>
      <c r="R43" s="1364" t="str">
        <f t="shared" si="9"/>
        <v>--</v>
      </c>
      <c r="S43" s="1364" t="str">
        <f t="shared" si="10"/>
        <v>--</v>
      </c>
      <c r="T43" s="1364" t="str">
        <f t="shared" si="11"/>
        <v>--</v>
      </c>
      <c r="U43" s="1364" t="str">
        <f t="shared" si="12"/>
        <v>--</v>
      </c>
      <c r="V43" s="1364"/>
      <c r="W43" s="1364" t="str">
        <f>IFERROR(AVERAGE($Q43:R43),"--")</f>
        <v>--</v>
      </c>
      <c r="X43" s="1364" t="str">
        <f>IFERROR(AVERAGE($Q43:S43),"--")</f>
        <v>--</v>
      </c>
      <c r="Y43" s="2060"/>
      <c r="Z43" s="1546"/>
    </row>
    <row r="44" spans="1:26" s="336" customFormat="1" ht="13.9">
      <c r="A44" s="1510" t="str">
        <f t="shared" si="5"/>
        <v>n</v>
      </c>
      <c r="B44" s="1510"/>
      <c r="C44" s="2060"/>
      <c r="D44" s="146" t="str">
        <f t="shared" si="13"/>
        <v>--</v>
      </c>
      <c r="E44" s="612"/>
      <c r="F44" s="612" t="str">
        <f t="shared" si="14"/>
        <v>--</v>
      </c>
      <c r="G44" s="1785" t="str">
        <f>'DATA GPC'!O633</f>
        <v>--</v>
      </c>
      <c r="H44" s="1785" t="str">
        <f>'DATA GPC'!P633</f>
        <v>--</v>
      </c>
      <c r="I44" s="1785" t="str">
        <f>'DATA GPC'!U633</f>
        <v>--</v>
      </c>
      <c r="J44" s="1785" t="str">
        <f>'DATA GPC'!V633</f>
        <v>--</v>
      </c>
      <c r="K44" s="1785" t="str">
        <f>'DATA GPC'!W633</f>
        <v>--</v>
      </c>
      <c r="L44" s="1785" t="str">
        <f>'DATA GPC'!X633</f>
        <v>--</v>
      </c>
      <c r="M44" s="1785" t="str">
        <f>'DATA GPC'!Y633</f>
        <v>--</v>
      </c>
      <c r="N44" s="1527"/>
      <c r="O44" s="1364" t="str">
        <f t="shared" si="6"/>
        <v>--</v>
      </c>
      <c r="P44" s="1364" t="str">
        <f t="shared" si="7"/>
        <v>--</v>
      </c>
      <c r="Q44" s="1364" t="str">
        <f t="shared" si="8"/>
        <v>--</v>
      </c>
      <c r="R44" s="1364" t="str">
        <f t="shared" si="9"/>
        <v>--</v>
      </c>
      <c r="S44" s="1364" t="str">
        <f t="shared" si="10"/>
        <v>--</v>
      </c>
      <c r="T44" s="1364" t="str">
        <f t="shared" si="11"/>
        <v>--</v>
      </c>
      <c r="U44" s="1364" t="str">
        <f t="shared" si="12"/>
        <v>--</v>
      </c>
      <c r="V44" s="1364"/>
      <c r="W44" s="1364" t="str">
        <f>IFERROR(AVERAGE($Q44:R44),"--")</f>
        <v>--</v>
      </c>
      <c r="X44" s="1364" t="str">
        <f>IFERROR(AVERAGE($Q44:S44),"--")</f>
        <v>--</v>
      </c>
      <c r="Y44" s="2060"/>
      <c r="Z44" s="1546"/>
    </row>
    <row r="45" spans="1:26" s="336" customFormat="1" ht="13.9">
      <c r="A45" s="1510" t="str">
        <f t="shared" si="5"/>
        <v>n</v>
      </c>
      <c r="B45" s="1510"/>
      <c r="C45" s="2060"/>
      <c r="D45" s="146" t="str">
        <f t="shared" si="13"/>
        <v>--</v>
      </c>
      <c r="E45" s="612"/>
      <c r="F45" s="612" t="str">
        <f t="shared" si="14"/>
        <v>--</v>
      </c>
      <c r="G45" s="1785" t="str">
        <f>'DATA GPC'!O634</f>
        <v>--</v>
      </c>
      <c r="H45" s="1785" t="str">
        <f>'DATA GPC'!P634</f>
        <v>--</v>
      </c>
      <c r="I45" s="1785" t="str">
        <f>'DATA GPC'!U634</f>
        <v>--</v>
      </c>
      <c r="J45" s="1785" t="str">
        <f>'DATA GPC'!V634</f>
        <v>--</v>
      </c>
      <c r="K45" s="1785" t="str">
        <f>'DATA GPC'!W634</f>
        <v>--</v>
      </c>
      <c r="L45" s="1785" t="str">
        <f>'DATA GPC'!X634</f>
        <v>--</v>
      </c>
      <c r="M45" s="1785" t="str">
        <f>'DATA GPC'!Y634</f>
        <v>--</v>
      </c>
      <c r="N45" s="1527"/>
      <c r="O45" s="1364" t="str">
        <f t="shared" si="6"/>
        <v>--</v>
      </c>
      <c r="P45" s="1364" t="str">
        <f t="shared" si="7"/>
        <v>--</v>
      </c>
      <c r="Q45" s="1364" t="str">
        <f t="shared" si="8"/>
        <v>--</v>
      </c>
      <c r="R45" s="1364" t="str">
        <f t="shared" si="9"/>
        <v>--</v>
      </c>
      <c r="S45" s="1364" t="str">
        <f t="shared" si="10"/>
        <v>--</v>
      </c>
      <c r="T45" s="1364" t="str">
        <f t="shared" si="11"/>
        <v>--</v>
      </c>
      <c r="U45" s="1364" t="str">
        <f t="shared" si="12"/>
        <v>--</v>
      </c>
      <c r="V45" s="1364"/>
      <c r="W45" s="1364" t="str">
        <f>IFERROR(AVERAGE($Q45:R45),"--")</f>
        <v>--</v>
      </c>
      <c r="X45" s="1364" t="str">
        <f>IFERROR(AVERAGE($Q45:S45),"--")</f>
        <v>--</v>
      </c>
      <c r="Y45" s="2060"/>
      <c r="Z45" s="1546"/>
    </row>
    <row r="46" spans="1:26" s="336" customFormat="1" ht="13.9">
      <c r="A46" s="1510" t="str">
        <f t="shared" si="5"/>
        <v>n</v>
      </c>
      <c r="B46" s="1510"/>
      <c r="C46" s="2060"/>
      <c r="D46" s="146" t="str">
        <f t="shared" si="13"/>
        <v>--</v>
      </c>
      <c r="E46" s="673"/>
      <c r="F46" s="612" t="str">
        <f t="shared" si="14"/>
        <v>--</v>
      </c>
      <c r="G46" s="1785" t="str">
        <f>'DATA GPC'!O635</f>
        <v>--</v>
      </c>
      <c r="H46" s="1785" t="str">
        <f>'DATA GPC'!P635</f>
        <v>--</v>
      </c>
      <c r="I46" s="1785" t="str">
        <f>'DATA GPC'!U635</f>
        <v>--</v>
      </c>
      <c r="J46" s="1785" t="str">
        <f>'DATA GPC'!V635</f>
        <v>--</v>
      </c>
      <c r="K46" s="1785" t="str">
        <f>'DATA GPC'!W635</f>
        <v>--</v>
      </c>
      <c r="L46" s="1785" t="str">
        <f>'DATA GPC'!X635</f>
        <v>--</v>
      </c>
      <c r="M46" s="1785" t="str">
        <f>'DATA GPC'!Y635</f>
        <v>--</v>
      </c>
      <c r="N46" s="1527"/>
      <c r="O46" s="1364" t="str">
        <f t="shared" si="6"/>
        <v>--</v>
      </c>
      <c r="P46" s="1364" t="str">
        <f t="shared" si="7"/>
        <v>--</v>
      </c>
      <c r="Q46" s="1364" t="str">
        <f t="shared" si="8"/>
        <v>--</v>
      </c>
      <c r="R46" s="1364" t="str">
        <f t="shared" si="9"/>
        <v>--</v>
      </c>
      <c r="S46" s="1364" t="str">
        <f t="shared" si="10"/>
        <v>--</v>
      </c>
      <c r="T46" s="1364" t="str">
        <f t="shared" si="11"/>
        <v>--</v>
      </c>
      <c r="U46" s="1364" t="str">
        <f t="shared" si="12"/>
        <v>--</v>
      </c>
      <c r="V46" s="1364"/>
      <c r="W46" s="1364" t="str">
        <f>IFERROR(AVERAGE($Q46:R46),"--")</f>
        <v>--</v>
      </c>
      <c r="X46" s="1364" t="str">
        <f>IFERROR(AVERAGE($Q46:S46),"--")</f>
        <v>--</v>
      </c>
      <c r="Y46" s="2060"/>
      <c r="Z46" s="1546"/>
    </row>
    <row r="47" spans="1:26" s="336" customFormat="1" ht="13.9">
      <c r="A47" s="1510" t="str">
        <f t="shared" si="5"/>
        <v>n</v>
      </c>
      <c r="B47" s="1510"/>
      <c r="C47" s="2060"/>
      <c r="D47" s="146" t="str">
        <f t="shared" si="13"/>
        <v>--</v>
      </c>
      <c r="E47" s="612"/>
      <c r="F47" s="612" t="str">
        <f t="shared" si="14"/>
        <v>--</v>
      </c>
      <c r="G47" s="1785" t="str">
        <f>'DATA GPC'!O636</f>
        <v>--</v>
      </c>
      <c r="H47" s="1785" t="str">
        <f>'DATA GPC'!P636</f>
        <v>--</v>
      </c>
      <c r="I47" s="1785" t="str">
        <f>'DATA GPC'!U636</f>
        <v>--</v>
      </c>
      <c r="J47" s="1785" t="str">
        <f>'DATA GPC'!V636</f>
        <v>--</v>
      </c>
      <c r="K47" s="1785" t="str">
        <f>'DATA GPC'!W636</f>
        <v>--</v>
      </c>
      <c r="L47" s="1785" t="str">
        <f>'DATA GPC'!X636</f>
        <v>--</v>
      </c>
      <c r="M47" s="1785" t="str">
        <f>'DATA GPC'!Y636</f>
        <v>--</v>
      </c>
      <c r="N47" s="1527"/>
      <c r="O47" s="1364" t="str">
        <f t="shared" si="6"/>
        <v>--</v>
      </c>
      <c r="P47" s="1364" t="str">
        <f t="shared" si="7"/>
        <v>--</v>
      </c>
      <c r="Q47" s="1364" t="str">
        <f t="shared" si="8"/>
        <v>--</v>
      </c>
      <c r="R47" s="1364" t="str">
        <f t="shared" si="9"/>
        <v>--</v>
      </c>
      <c r="S47" s="1364" t="str">
        <f t="shared" si="10"/>
        <v>--</v>
      </c>
      <c r="T47" s="1364" t="str">
        <f t="shared" si="11"/>
        <v>--</v>
      </c>
      <c r="U47" s="1364" t="str">
        <f t="shared" si="12"/>
        <v>--</v>
      </c>
      <c r="V47" s="1364"/>
      <c r="W47" s="1364" t="str">
        <f>IFERROR(AVERAGE($Q47:R47),"--")</f>
        <v>--</v>
      </c>
      <c r="X47" s="1364" t="str">
        <f>IFERROR(AVERAGE($Q47:S47),"--")</f>
        <v>--</v>
      </c>
      <c r="Y47" s="2060"/>
      <c r="Z47" s="1546"/>
    </row>
    <row r="48" spans="1:26" s="336" customFormat="1" ht="13.9">
      <c r="A48" s="1510" t="str">
        <f t="shared" si="5"/>
        <v>n</v>
      </c>
      <c r="B48" s="1510"/>
      <c r="C48" s="2060"/>
      <c r="D48" s="146" t="str">
        <f t="shared" si="13"/>
        <v>--</v>
      </c>
      <c r="E48" s="612"/>
      <c r="F48" s="612" t="str">
        <f t="shared" si="14"/>
        <v>--</v>
      </c>
      <c r="G48" s="1785" t="str">
        <f>'DATA GPC'!O637</f>
        <v>--</v>
      </c>
      <c r="H48" s="1785" t="str">
        <f>'DATA GPC'!P637</f>
        <v>--</v>
      </c>
      <c r="I48" s="1785" t="str">
        <f>'DATA GPC'!U637</f>
        <v>--</v>
      </c>
      <c r="J48" s="1785" t="str">
        <f>'DATA GPC'!V637</f>
        <v>--</v>
      </c>
      <c r="K48" s="1785" t="str">
        <f>'DATA GPC'!W637</f>
        <v>--</v>
      </c>
      <c r="L48" s="1785" t="str">
        <f>'DATA GPC'!X637</f>
        <v>--</v>
      </c>
      <c r="M48" s="1785" t="str">
        <f>'DATA GPC'!Y637</f>
        <v>--</v>
      </c>
      <c r="N48" s="1527"/>
      <c r="O48" s="1364" t="str">
        <f t="shared" si="6"/>
        <v>--</v>
      </c>
      <c r="P48" s="1364" t="str">
        <f t="shared" si="7"/>
        <v>--</v>
      </c>
      <c r="Q48" s="1364" t="str">
        <f t="shared" si="8"/>
        <v>--</v>
      </c>
      <c r="R48" s="1364" t="str">
        <f t="shared" si="9"/>
        <v>--</v>
      </c>
      <c r="S48" s="1364" t="str">
        <f t="shared" si="10"/>
        <v>--</v>
      </c>
      <c r="T48" s="1364" t="str">
        <f t="shared" si="11"/>
        <v>--</v>
      </c>
      <c r="U48" s="1364" t="str">
        <f t="shared" si="12"/>
        <v>--</v>
      </c>
      <c r="V48" s="1364"/>
      <c r="W48" s="1364" t="str">
        <f>IFERROR(AVERAGE($Q48:R48),"--")</f>
        <v>--</v>
      </c>
      <c r="X48" s="1364" t="str">
        <f>IFERROR(AVERAGE($Q48:S48),"--")</f>
        <v>--</v>
      </c>
      <c r="Y48" s="2060"/>
      <c r="Z48" s="1546"/>
    </row>
    <row r="49" spans="1:27" ht="13.9">
      <c r="A49" s="1510" t="str">
        <f t="shared" ref="A49:A63" si="15">IF(MAX(O20:T20)&gt;0.001,"","n")</f>
        <v>n</v>
      </c>
      <c r="B49" s="1510"/>
      <c r="C49" s="2060"/>
      <c r="D49" s="146" t="str">
        <f t="shared" si="13"/>
        <v>--</v>
      </c>
      <c r="E49" s="612"/>
      <c r="F49" s="612" t="str">
        <f t="shared" si="14"/>
        <v>--</v>
      </c>
      <c r="G49" s="1785" t="str">
        <f>'DATA GPC'!O638</f>
        <v>--</v>
      </c>
      <c r="H49" s="1785" t="str">
        <f>'DATA GPC'!P638</f>
        <v>--</v>
      </c>
      <c r="I49" s="1785" t="str">
        <f>'DATA GPC'!U638</f>
        <v>--</v>
      </c>
      <c r="J49" s="1785" t="str">
        <f>'DATA GPC'!V638</f>
        <v>--</v>
      </c>
      <c r="K49" s="1785" t="str">
        <f>'DATA GPC'!W638</f>
        <v>--</v>
      </c>
      <c r="L49" s="1785" t="str">
        <f>'DATA GPC'!X638</f>
        <v>--</v>
      </c>
      <c r="M49" s="1785" t="str">
        <f>'DATA GPC'!Y638</f>
        <v>--</v>
      </c>
      <c r="N49" s="1527"/>
      <c r="O49" s="1364" t="str">
        <f t="shared" ref="O49:U49" si="16">IFERROR(G49/G20,"--")</f>
        <v>--</v>
      </c>
      <c r="P49" s="1364" t="str">
        <f t="shared" si="16"/>
        <v>--</v>
      </c>
      <c r="Q49" s="1364" t="str">
        <f t="shared" si="16"/>
        <v>--</v>
      </c>
      <c r="R49" s="1364" t="str">
        <f t="shared" si="16"/>
        <v>--</v>
      </c>
      <c r="S49" s="1364" t="str">
        <f t="shared" si="16"/>
        <v>--</v>
      </c>
      <c r="T49" s="1364" t="str">
        <f t="shared" si="16"/>
        <v>--</v>
      </c>
      <c r="U49" s="1364" t="str">
        <f t="shared" si="16"/>
        <v>--</v>
      </c>
      <c r="V49" s="1364"/>
      <c r="W49" s="1364" t="str">
        <f>IFERROR(AVERAGE($Q49:R49),"--")</f>
        <v>--</v>
      </c>
      <c r="X49" s="1364" t="str">
        <f>IFERROR(AVERAGE($Q49:S49),"--")</f>
        <v>--</v>
      </c>
      <c r="Y49" s="2060"/>
      <c r="Z49" s="1546"/>
      <c r="AA49" s="1527"/>
    </row>
    <row r="50" spans="1:27" ht="12" customHeight="1">
      <c r="A50" s="1510" t="str">
        <f t="shared" si="15"/>
        <v>n</v>
      </c>
      <c r="B50" s="1510"/>
      <c r="C50" s="2060"/>
      <c r="D50" s="146" t="str">
        <f t="shared" si="13"/>
        <v>--</v>
      </c>
      <c r="E50" s="612"/>
      <c r="F50" s="612" t="str">
        <f t="shared" si="14"/>
        <v>--</v>
      </c>
      <c r="G50" s="1785" t="str">
        <f>'DATA GPC'!O639</f>
        <v>--</v>
      </c>
      <c r="H50" s="1785" t="str">
        <f>'DATA GPC'!P639</f>
        <v>--</v>
      </c>
      <c r="I50" s="1785" t="str">
        <f>'DATA GPC'!U639</f>
        <v>--</v>
      </c>
      <c r="J50" s="1785" t="str">
        <f>'DATA GPC'!V639</f>
        <v>--</v>
      </c>
      <c r="K50" s="1785" t="str">
        <f>'DATA GPC'!W639</f>
        <v>--</v>
      </c>
      <c r="L50" s="1785" t="str">
        <f>'DATA GPC'!X639</f>
        <v>--</v>
      </c>
      <c r="M50" s="1785" t="str">
        <f>'DATA GPC'!Y639</f>
        <v>--</v>
      </c>
      <c r="N50" s="1527"/>
      <c r="O50" s="1364" t="str">
        <f t="shared" ref="O50:U50" si="17">IFERROR(G50/G21,"--")</f>
        <v>--</v>
      </c>
      <c r="P50" s="1364" t="str">
        <f t="shared" si="17"/>
        <v>--</v>
      </c>
      <c r="Q50" s="1364" t="str">
        <f t="shared" si="17"/>
        <v>--</v>
      </c>
      <c r="R50" s="1364" t="str">
        <f t="shared" si="17"/>
        <v>--</v>
      </c>
      <c r="S50" s="1364" t="str">
        <f t="shared" si="17"/>
        <v>--</v>
      </c>
      <c r="T50" s="1364" t="str">
        <f t="shared" si="17"/>
        <v>--</v>
      </c>
      <c r="U50" s="1364" t="str">
        <f t="shared" si="17"/>
        <v>--</v>
      </c>
      <c r="V50" s="1364"/>
      <c r="W50" s="1364" t="str">
        <f>IFERROR(AVERAGE($Q50:R50),"--")</f>
        <v>--</v>
      </c>
      <c r="X50" s="1364" t="str">
        <f>IFERROR(AVERAGE($Q50:S50),"--")</f>
        <v>--</v>
      </c>
      <c r="Y50" s="2060"/>
      <c r="Z50" s="1546"/>
      <c r="AA50" s="1527"/>
    </row>
    <row r="51" spans="1:27" ht="12" customHeight="1">
      <c r="A51" s="1510" t="str">
        <f t="shared" si="15"/>
        <v>n</v>
      </c>
      <c r="B51" s="1510"/>
      <c r="C51" s="2060"/>
      <c r="D51" s="146" t="str">
        <f t="shared" si="13"/>
        <v>--</v>
      </c>
      <c r="E51" s="612"/>
      <c r="F51" s="612" t="str">
        <f t="shared" si="14"/>
        <v>--</v>
      </c>
      <c r="G51" s="1785" t="str">
        <f>'DATA GPC'!O640</f>
        <v>--</v>
      </c>
      <c r="H51" s="1785" t="str">
        <f>'DATA GPC'!P640</f>
        <v>--</v>
      </c>
      <c r="I51" s="1785" t="str">
        <f>'DATA GPC'!U640</f>
        <v>--</v>
      </c>
      <c r="J51" s="1785" t="str">
        <f>'DATA GPC'!V640</f>
        <v>--</v>
      </c>
      <c r="K51" s="1785" t="str">
        <f>'DATA GPC'!W640</f>
        <v>--</v>
      </c>
      <c r="L51" s="1785" t="str">
        <f>'DATA GPC'!X640</f>
        <v>--</v>
      </c>
      <c r="M51" s="1785" t="str">
        <f>'DATA GPC'!Y640</f>
        <v>--</v>
      </c>
      <c r="N51" s="1527"/>
      <c r="O51" s="1364" t="str">
        <f t="shared" ref="O51:U51" si="18">IFERROR(G51/G22,"--")</f>
        <v>--</v>
      </c>
      <c r="P51" s="1364" t="str">
        <f t="shared" si="18"/>
        <v>--</v>
      </c>
      <c r="Q51" s="1364" t="str">
        <f t="shared" si="18"/>
        <v>--</v>
      </c>
      <c r="R51" s="1364" t="str">
        <f t="shared" si="18"/>
        <v>--</v>
      </c>
      <c r="S51" s="1364" t="str">
        <f t="shared" si="18"/>
        <v>--</v>
      </c>
      <c r="T51" s="1364" t="str">
        <f t="shared" si="18"/>
        <v>--</v>
      </c>
      <c r="U51" s="1364" t="str">
        <f t="shared" si="18"/>
        <v>--</v>
      </c>
      <c r="V51" s="1364"/>
      <c r="W51" s="1364" t="str">
        <f>IFERROR(AVERAGE($Q51:R51),"--")</f>
        <v>--</v>
      </c>
      <c r="X51" s="1364" t="str">
        <f>IFERROR(AVERAGE($Q51:S51),"--")</f>
        <v>--</v>
      </c>
      <c r="Y51" s="2060"/>
      <c r="Z51" s="1546"/>
      <c r="AA51" s="1527"/>
    </row>
    <row r="52" spans="1:27" ht="12" customHeight="1">
      <c r="A52" s="1510" t="str">
        <f t="shared" si="15"/>
        <v>n</v>
      </c>
      <c r="B52" s="1510"/>
      <c r="C52" s="2060"/>
      <c r="D52" s="146" t="str">
        <f t="shared" si="13"/>
        <v>--</v>
      </c>
      <c r="E52" s="612"/>
      <c r="F52" s="612" t="str">
        <f t="shared" si="14"/>
        <v>--</v>
      </c>
      <c r="G52" s="1785" t="str">
        <f>'DATA GPC'!O641</f>
        <v>--</v>
      </c>
      <c r="H52" s="1785" t="str">
        <f>'DATA GPC'!P641</f>
        <v>--</v>
      </c>
      <c r="I52" s="1785" t="str">
        <f>'DATA GPC'!U641</f>
        <v>--</v>
      </c>
      <c r="J52" s="1785" t="str">
        <f>'DATA GPC'!V641</f>
        <v>--</v>
      </c>
      <c r="K52" s="1785" t="str">
        <f>'DATA GPC'!W641</f>
        <v>--</v>
      </c>
      <c r="L52" s="1785" t="str">
        <f>'DATA GPC'!X641</f>
        <v>--</v>
      </c>
      <c r="M52" s="1785" t="str">
        <f>'DATA GPC'!Y641</f>
        <v>--</v>
      </c>
      <c r="N52" s="1527"/>
      <c r="O52" s="1364" t="str">
        <f t="shared" ref="O52:U52" si="19">IFERROR(G52/G23,"--")</f>
        <v>--</v>
      </c>
      <c r="P52" s="1364" t="str">
        <f t="shared" si="19"/>
        <v>--</v>
      </c>
      <c r="Q52" s="1364" t="str">
        <f t="shared" si="19"/>
        <v>--</v>
      </c>
      <c r="R52" s="1364" t="str">
        <f t="shared" si="19"/>
        <v>--</v>
      </c>
      <c r="S52" s="1364" t="str">
        <f t="shared" si="19"/>
        <v>--</v>
      </c>
      <c r="T52" s="1364" t="str">
        <f t="shared" si="19"/>
        <v>--</v>
      </c>
      <c r="U52" s="1364" t="str">
        <f t="shared" si="19"/>
        <v>--</v>
      </c>
      <c r="V52" s="1364"/>
      <c r="W52" s="1364" t="str">
        <f>IFERROR(AVERAGE($Q52:R52),"--")</f>
        <v>--</v>
      </c>
      <c r="X52" s="1364" t="str">
        <f>IFERROR(AVERAGE($Q52:S52),"--")</f>
        <v>--</v>
      </c>
      <c r="Y52" s="2060"/>
      <c r="Z52" s="1546"/>
      <c r="AA52" s="1527"/>
    </row>
    <row r="53" spans="1:27" s="1525" customFormat="1" ht="12" customHeight="1">
      <c r="A53" s="1510" t="str">
        <f t="shared" si="15"/>
        <v>n</v>
      </c>
      <c r="B53" s="1510"/>
      <c r="C53" s="2060"/>
      <c r="D53" s="146" t="str">
        <f t="shared" si="13"/>
        <v>--</v>
      </c>
      <c r="E53" s="612"/>
      <c r="F53" s="612" t="str">
        <f t="shared" si="14"/>
        <v>--</v>
      </c>
      <c r="G53" s="1785" t="str">
        <f>'DATA GPC'!O642</f>
        <v>--</v>
      </c>
      <c r="H53" s="1785" t="str">
        <f>'DATA GPC'!P642</f>
        <v>--</v>
      </c>
      <c r="I53" s="1785" t="str">
        <f>'DATA GPC'!U642</f>
        <v>--</v>
      </c>
      <c r="J53" s="1785" t="str">
        <f>'DATA GPC'!V642</f>
        <v>--</v>
      </c>
      <c r="K53" s="1785" t="str">
        <f>'DATA GPC'!W642</f>
        <v>--</v>
      </c>
      <c r="L53" s="1785" t="str">
        <f>'DATA GPC'!X642</f>
        <v>--</v>
      </c>
      <c r="M53" s="1785" t="str">
        <f>'DATA GPC'!Y642</f>
        <v>--</v>
      </c>
      <c r="N53" s="1527"/>
      <c r="O53" s="1364" t="str">
        <f t="shared" ref="O53:U53" si="20">IFERROR(G53/G24,"--")</f>
        <v>--</v>
      </c>
      <c r="P53" s="1364" t="str">
        <f t="shared" si="20"/>
        <v>--</v>
      </c>
      <c r="Q53" s="1364" t="str">
        <f t="shared" si="20"/>
        <v>--</v>
      </c>
      <c r="R53" s="1364" t="str">
        <f t="shared" si="20"/>
        <v>--</v>
      </c>
      <c r="S53" s="1364" t="str">
        <f t="shared" si="20"/>
        <v>--</v>
      </c>
      <c r="T53" s="1364" t="str">
        <f t="shared" si="20"/>
        <v>--</v>
      </c>
      <c r="U53" s="1364" t="str">
        <f t="shared" si="20"/>
        <v>--</v>
      </c>
      <c r="V53" s="1364"/>
      <c r="W53" s="1364" t="str">
        <f>IFERROR(AVERAGE($Q53:R53),"--")</f>
        <v>--</v>
      </c>
      <c r="X53" s="1364" t="str">
        <f>IFERROR(AVERAGE($Q53:S53),"--")</f>
        <v>--</v>
      </c>
      <c r="Y53" s="2060"/>
      <c r="Z53" s="1546"/>
      <c r="AA53" s="1527"/>
    </row>
    <row r="54" spans="1:27" s="1525" customFormat="1" ht="12" customHeight="1">
      <c r="A54" s="1510" t="str">
        <f t="shared" si="15"/>
        <v>n</v>
      </c>
      <c r="B54" s="1510"/>
      <c r="C54" s="2060"/>
      <c r="D54" s="146" t="str">
        <f t="shared" si="13"/>
        <v>--</v>
      </c>
      <c r="E54" s="612"/>
      <c r="F54" s="612" t="str">
        <f t="shared" si="14"/>
        <v>--</v>
      </c>
      <c r="G54" s="1785" t="str">
        <f>'DATA GPC'!O643</f>
        <v>--</v>
      </c>
      <c r="H54" s="1785" t="str">
        <f>'DATA GPC'!P643</f>
        <v>--</v>
      </c>
      <c r="I54" s="1785" t="str">
        <f>'DATA GPC'!U643</f>
        <v>--</v>
      </c>
      <c r="J54" s="1785" t="str">
        <f>'DATA GPC'!V643</f>
        <v>--</v>
      </c>
      <c r="K54" s="1785" t="str">
        <f>'DATA GPC'!W643</f>
        <v>--</v>
      </c>
      <c r="L54" s="1785" t="str">
        <f>'DATA GPC'!X643</f>
        <v>--</v>
      </c>
      <c r="M54" s="1785" t="str">
        <f>'DATA GPC'!Y643</f>
        <v>--</v>
      </c>
      <c r="N54" s="1527"/>
      <c r="O54" s="1364" t="str">
        <f t="shared" ref="O54:U54" si="21">IFERROR(G54/G25,"--")</f>
        <v>--</v>
      </c>
      <c r="P54" s="1364" t="str">
        <f t="shared" si="21"/>
        <v>--</v>
      </c>
      <c r="Q54" s="1364" t="str">
        <f t="shared" si="21"/>
        <v>--</v>
      </c>
      <c r="R54" s="1364" t="str">
        <f t="shared" si="21"/>
        <v>--</v>
      </c>
      <c r="S54" s="1364" t="str">
        <f t="shared" si="21"/>
        <v>--</v>
      </c>
      <c r="T54" s="1364" t="str">
        <f t="shared" si="21"/>
        <v>--</v>
      </c>
      <c r="U54" s="1364" t="str">
        <f t="shared" si="21"/>
        <v>--</v>
      </c>
      <c r="V54" s="1364"/>
      <c r="W54" s="1364" t="str">
        <f>IFERROR(AVERAGE($Q54:R54),"--")</f>
        <v>--</v>
      </c>
      <c r="X54" s="1364" t="str">
        <f>IFERROR(AVERAGE($Q54:S54),"--")</f>
        <v>--</v>
      </c>
      <c r="Y54" s="2060"/>
      <c r="Z54" s="1546"/>
      <c r="AA54" s="1527"/>
    </row>
    <row r="55" spans="1:27" s="1525" customFormat="1" ht="12" customHeight="1">
      <c r="A55" s="1510" t="str">
        <f t="shared" si="15"/>
        <v>n</v>
      </c>
      <c r="B55" s="1510"/>
      <c r="C55" s="2060"/>
      <c r="D55" s="146" t="str">
        <f t="shared" si="13"/>
        <v>--</v>
      </c>
      <c r="E55" s="612"/>
      <c r="F55" s="612" t="str">
        <f t="shared" si="14"/>
        <v>--</v>
      </c>
      <c r="G55" s="1785" t="str">
        <f>'DATA GPC'!O644</f>
        <v>--</v>
      </c>
      <c r="H55" s="1785" t="str">
        <f>'DATA GPC'!P644</f>
        <v>--</v>
      </c>
      <c r="I55" s="1785" t="str">
        <f>'DATA GPC'!U644</f>
        <v>--</v>
      </c>
      <c r="J55" s="1785" t="str">
        <f>'DATA GPC'!V644</f>
        <v>--</v>
      </c>
      <c r="K55" s="1785" t="str">
        <f>'DATA GPC'!W644</f>
        <v>--</v>
      </c>
      <c r="L55" s="1785" t="str">
        <f>'DATA GPC'!X644</f>
        <v>--</v>
      </c>
      <c r="M55" s="1785" t="str">
        <f>'DATA GPC'!Y644</f>
        <v>--</v>
      </c>
      <c r="N55" s="1527"/>
      <c r="O55" s="1364" t="str">
        <f t="shared" ref="O55:U55" si="22">IFERROR(G55/G26,"--")</f>
        <v>--</v>
      </c>
      <c r="P55" s="1364" t="str">
        <f t="shared" si="22"/>
        <v>--</v>
      </c>
      <c r="Q55" s="1364" t="str">
        <f t="shared" si="22"/>
        <v>--</v>
      </c>
      <c r="R55" s="1364" t="str">
        <f t="shared" si="22"/>
        <v>--</v>
      </c>
      <c r="S55" s="1364" t="str">
        <f t="shared" si="22"/>
        <v>--</v>
      </c>
      <c r="T55" s="1364" t="str">
        <f t="shared" si="22"/>
        <v>--</v>
      </c>
      <c r="U55" s="1364" t="str">
        <f t="shared" si="22"/>
        <v>--</v>
      </c>
      <c r="V55" s="1364"/>
      <c r="W55" s="1364" t="str">
        <f>IFERROR(AVERAGE($Q55:R55),"--")</f>
        <v>--</v>
      </c>
      <c r="X55" s="1364" t="str">
        <f>IFERROR(AVERAGE($Q55:S55),"--")</f>
        <v>--</v>
      </c>
      <c r="Y55" s="2060"/>
      <c r="Z55" s="1546"/>
      <c r="AA55" s="1527"/>
    </row>
    <row r="56" spans="1:27" s="1525" customFormat="1" ht="12" customHeight="1">
      <c r="A56" s="1510" t="str">
        <f t="shared" si="15"/>
        <v>n</v>
      </c>
      <c r="B56" s="1510"/>
      <c r="C56" s="2060"/>
      <c r="D56" s="146" t="str">
        <f t="shared" si="13"/>
        <v>--</v>
      </c>
      <c r="E56" s="612"/>
      <c r="F56" s="612" t="str">
        <f t="shared" si="14"/>
        <v>--</v>
      </c>
      <c r="G56" s="1785" t="str">
        <f>'DATA GPC'!O645</f>
        <v>--</v>
      </c>
      <c r="H56" s="1785" t="str">
        <f>'DATA GPC'!P645</f>
        <v>--</v>
      </c>
      <c r="I56" s="1785" t="str">
        <f>'DATA GPC'!U645</f>
        <v>--</v>
      </c>
      <c r="J56" s="1785" t="str">
        <f>'DATA GPC'!V645</f>
        <v>--</v>
      </c>
      <c r="K56" s="1785" t="str">
        <f>'DATA GPC'!W645</f>
        <v>--</v>
      </c>
      <c r="L56" s="1785" t="str">
        <f>'DATA GPC'!X645</f>
        <v>--</v>
      </c>
      <c r="M56" s="1785" t="str">
        <f>'DATA GPC'!Y645</f>
        <v>--</v>
      </c>
      <c r="N56" s="1527"/>
      <c r="O56" s="1364" t="str">
        <f t="shared" ref="O56:U56" si="23">IFERROR(G56/G27,"--")</f>
        <v>--</v>
      </c>
      <c r="P56" s="1364" t="str">
        <f t="shared" si="23"/>
        <v>--</v>
      </c>
      <c r="Q56" s="1364" t="str">
        <f t="shared" si="23"/>
        <v>--</v>
      </c>
      <c r="R56" s="1364" t="str">
        <f t="shared" si="23"/>
        <v>--</v>
      </c>
      <c r="S56" s="1364" t="str">
        <f t="shared" si="23"/>
        <v>--</v>
      </c>
      <c r="T56" s="1364" t="str">
        <f t="shared" si="23"/>
        <v>--</v>
      </c>
      <c r="U56" s="1364" t="str">
        <f t="shared" si="23"/>
        <v>--</v>
      </c>
      <c r="V56" s="1364"/>
      <c r="W56" s="1364" t="str">
        <f>IFERROR(AVERAGE($Q56:R56),"--")</f>
        <v>--</v>
      </c>
      <c r="X56" s="1364" t="str">
        <f>IFERROR(AVERAGE($Q56:S56),"--")</f>
        <v>--</v>
      </c>
      <c r="Y56" s="2060"/>
      <c r="Z56" s="1546"/>
      <c r="AA56" s="1527"/>
    </row>
    <row r="57" spans="1:27" s="1525" customFormat="1" ht="12" customHeight="1">
      <c r="A57" s="1510" t="str">
        <f t="shared" si="15"/>
        <v>n</v>
      </c>
      <c r="B57" s="1510"/>
      <c r="C57" s="2060"/>
      <c r="D57" s="146" t="str">
        <f t="shared" si="13"/>
        <v>--</v>
      </c>
      <c r="E57" s="612"/>
      <c r="F57" s="612" t="str">
        <f t="shared" si="14"/>
        <v>--</v>
      </c>
      <c r="G57" s="1785" t="str">
        <f>'DATA GPC'!O646</f>
        <v>--</v>
      </c>
      <c r="H57" s="1785" t="str">
        <f>'DATA GPC'!P646</f>
        <v>--</v>
      </c>
      <c r="I57" s="1785" t="str">
        <f>'DATA GPC'!U646</f>
        <v>--</v>
      </c>
      <c r="J57" s="1785" t="str">
        <f>'DATA GPC'!V646</f>
        <v>--</v>
      </c>
      <c r="K57" s="1785" t="str">
        <f>'DATA GPC'!W646</f>
        <v>--</v>
      </c>
      <c r="L57" s="1785" t="str">
        <f>'DATA GPC'!X646</f>
        <v>--</v>
      </c>
      <c r="M57" s="1785" t="str">
        <f>'DATA GPC'!Y646</f>
        <v>--</v>
      </c>
      <c r="N57" s="1527"/>
      <c r="O57" s="1364" t="str">
        <f t="shared" ref="O57:U57" si="24">IFERROR(G57/G28,"--")</f>
        <v>--</v>
      </c>
      <c r="P57" s="1364" t="str">
        <f t="shared" si="24"/>
        <v>--</v>
      </c>
      <c r="Q57" s="1364" t="str">
        <f t="shared" si="24"/>
        <v>--</v>
      </c>
      <c r="R57" s="1364" t="str">
        <f t="shared" si="24"/>
        <v>--</v>
      </c>
      <c r="S57" s="1364" t="str">
        <f t="shared" si="24"/>
        <v>--</v>
      </c>
      <c r="T57" s="1364" t="str">
        <f t="shared" si="24"/>
        <v>--</v>
      </c>
      <c r="U57" s="1364" t="str">
        <f t="shared" si="24"/>
        <v>--</v>
      </c>
      <c r="V57" s="1364"/>
      <c r="W57" s="1364" t="str">
        <f>IFERROR(AVERAGE($Q57:R57),"--")</f>
        <v>--</v>
      </c>
      <c r="X57" s="1364" t="str">
        <f>IFERROR(AVERAGE($Q57:S57),"--")</f>
        <v>--</v>
      </c>
      <c r="Y57" s="2060"/>
      <c r="Z57" s="1546"/>
      <c r="AA57" s="1527"/>
    </row>
    <row r="58" spans="1:27" s="1525" customFormat="1" ht="12" customHeight="1">
      <c r="A58" s="1510" t="str">
        <f t="shared" si="15"/>
        <v>n</v>
      </c>
      <c r="B58" s="1510"/>
      <c r="C58" s="2060"/>
      <c r="D58" s="146" t="str">
        <f t="shared" si="13"/>
        <v>--</v>
      </c>
      <c r="E58" s="612"/>
      <c r="F58" s="612" t="str">
        <f t="shared" si="14"/>
        <v>--</v>
      </c>
      <c r="G58" s="1785" t="str">
        <f>'DATA GPC'!O647</f>
        <v>--</v>
      </c>
      <c r="H58" s="1785" t="str">
        <f>'DATA GPC'!P647</f>
        <v>--</v>
      </c>
      <c r="I58" s="1785" t="str">
        <f>'DATA GPC'!U647</f>
        <v>--</v>
      </c>
      <c r="J58" s="1785" t="str">
        <f>'DATA GPC'!V647</f>
        <v>--</v>
      </c>
      <c r="K58" s="1785" t="str">
        <f>'DATA GPC'!W647</f>
        <v>--</v>
      </c>
      <c r="L58" s="1785" t="str">
        <f>'DATA GPC'!X647</f>
        <v>--</v>
      </c>
      <c r="M58" s="1785" t="str">
        <f>'DATA GPC'!Y647</f>
        <v>--</v>
      </c>
      <c r="N58" s="1527"/>
      <c r="O58" s="1364" t="str">
        <f t="shared" ref="O58:U58" si="25">IFERROR(G58/G29,"--")</f>
        <v>--</v>
      </c>
      <c r="P58" s="1364" t="str">
        <f t="shared" si="25"/>
        <v>--</v>
      </c>
      <c r="Q58" s="1364" t="str">
        <f t="shared" si="25"/>
        <v>--</v>
      </c>
      <c r="R58" s="1364" t="str">
        <f t="shared" si="25"/>
        <v>--</v>
      </c>
      <c r="S58" s="1364" t="str">
        <f t="shared" si="25"/>
        <v>--</v>
      </c>
      <c r="T58" s="1364" t="str">
        <f t="shared" si="25"/>
        <v>--</v>
      </c>
      <c r="U58" s="1364" t="str">
        <f t="shared" si="25"/>
        <v>--</v>
      </c>
      <c r="V58" s="1364"/>
      <c r="W58" s="1364" t="str">
        <f>IFERROR(AVERAGE($Q58:R58),"--")</f>
        <v>--</v>
      </c>
      <c r="X58" s="1364" t="str">
        <f>IFERROR(AVERAGE($Q58:S58),"--")</f>
        <v>--</v>
      </c>
      <c r="Y58" s="2060"/>
      <c r="Z58" s="1546"/>
      <c r="AA58" s="1527"/>
    </row>
    <row r="59" spans="1:27" s="1525" customFormat="1" ht="12" customHeight="1">
      <c r="A59" s="1510" t="str">
        <f t="shared" si="15"/>
        <v>n</v>
      </c>
      <c r="B59" s="1510"/>
      <c r="C59" s="2060"/>
      <c r="D59" s="146" t="str">
        <f t="shared" si="13"/>
        <v>--</v>
      </c>
      <c r="E59" s="612"/>
      <c r="F59" s="612" t="str">
        <f t="shared" si="14"/>
        <v>--</v>
      </c>
      <c r="G59" s="1785" t="str">
        <f>'DATA GPC'!O648</f>
        <v>--</v>
      </c>
      <c r="H59" s="1785" t="str">
        <f>'DATA GPC'!P648</f>
        <v>--</v>
      </c>
      <c r="I59" s="1785" t="str">
        <f>'DATA GPC'!U648</f>
        <v>--</v>
      </c>
      <c r="J59" s="1785" t="str">
        <f>'DATA GPC'!V648</f>
        <v>--</v>
      </c>
      <c r="K59" s="1785" t="str">
        <f>'DATA GPC'!W648</f>
        <v>--</v>
      </c>
      <c r="L59" s="1785" t="str">
        <f>'DATA GPC'!X648</f>
        <v>--</v>
      </c>
      <c r="M59" s="1785" t="str">
        <f>'DATA GPC'!Y648</f>
        <v>--</v>
      </c>
      <c r="N59" s="1527"/>
      <c r="O59" s="1364" t="str">
        <f t="shared" ref="O59:U59" si="26">IFERROR(G59/G30,"--")</f>
        <v>--</v>
      </c>
      <c r="P59" s="1364" t="str">
        <f t="shared" si="26"/>
        <v>--</v>
      </c>
      <c r="Q59" s="1364" t="str">
        <f t="shared" si="26"/>
        <v>--</v>
      </c>
      <c r="R59" s="1364" t="str">
        <f t="shared" si="26"/>
        <v>--</v>
      </c>
      <c r="S59" s="1364" t="str">
        <f t="shared" si="26"/>
        <v>--</v>
      </c>
      <c r="T59" s="1364" t="str">
        <f t="shared" si="26"/>
        <v>--</v>
      </c>
      <c r="U59" s="1364" t="str">
        <f t="shared" si="26"/>
        <v>--</v>
      </c>
      <c r="V59" s="1364"/>
      <c r="W59" s="1364" t="str">
        <f>IFERROR(AVERAGE($Q59:R59),"--")</f>
        <v>--</v>
      </c>
      <c r="X59" s="1364" t="str">
        <f>IFERROR(AVERAGE($Q59:S59),"--")</f>
        <v>--</v>
      </c>
      <c r="Y59" s="2060"/>
      <c r="Z59" s="1546"/>
      <c r="AA59" s="1527"/>
    </row>
    <row r="60" spans="1:27" s="1525" customFormat="1" ht="12" customHeight="1">
      <c r="A60" s="1510" t="str">
        <f t="shared" si="15"/>
        <v>n</v>
      </c>
      <c r="B60" s="1510"/>
      <c r="C60" s="2060"/>
      <c r="D60" s="146" t="str">
        <f t="shared" si="13"/>
        <v>--</v>
      </c>
      <c r="E60" s="612"/>
      <c r="F60" s="612" t="str">
        <f t="shared" si="14"/>
        <v>--</v>
      </c>
      <c r="G60" s="1785" t="str">
        <f>'DATA GPC'!O649</f>
        <v>--</v>
      </c>
      <c r="H60" s="1785" t="str">
        <f>'DATA GPC'!P649</f>
        <v>--</v>
      </c>
      <c r="I60" s="1785" t="str">
        <f>'DATA GPC'!U649</f>
        <v>--</v>
      </c>
      <c r="J60" s="1785" t="str">
        <f>'DATA GPC'!V649</f>
        <v>--</v>
      </c>
      <c r="K60" s="1785" t="str">
        <f>'DATA GPC'!W649</f>
        <v>--</v>
      </c>
      <c r="L60" s="1785" t="str">
        <f>'DATA GPC'!X649</f>
        <v>--</v>
      </c>
      <c r="M60" s="1785" t="str">
        <f>'DATA GPC'!Y649</f>
        <v>--</v>
      </c>
      <c r="N60" s="1527"/>
      <c r="O60" s="1364" t="str">
        <f t="shared" ref="O60:U60" si="27">IFERROR(G60/G31,"--")</f>
        <v>--</v>
      </c>
      <c r="P60" s="1364" t="str">
        <f t="shared" si="27"/>
        <v>--</v>
      </c>
      <c r="Q60" s="1364" t="str">
        <f t="shared" si="27"/>
        <v>--</v>
      </c>
      <c r="R60" s="1364" t="str">
        <f t="shared" si="27"/>
        <v>--</v>
      </c>
      <c r="S60" s="1364" t="str">
        <f t="shared" si="27"/>
        <v>--</v>
      </c>
      <c r="T60" s="1364" t="str">
        <f t="shared" si="27"/>
        <v>--</v>
      </c>
      <c r="U60" s="1364" t="str">
        <f t="shared" si="27"/>
        <v>--</v>
      </c>
      <c r="V60" s="1364"/>
      <c r="W60" s="1364" t="str">
        <f>IFERROR(AVERAGE($Q60:R60),"--")</f>
        <v>--</v>
      </c>
      <c r="X60" s="1364" t="str">
        <f>IFERROR(AVERAGE($Q60:S60),"--")</f>
        <v>--</v>
      </c>
      <c r="Y60" s="2060"/>
      <c r="Z60" s="1546"/>
      <c r="AA60" s="1527"/>
    </row>
    <row r="61" spans="1:27" s="1525" customFormat="1" ht="12" customHeight="1">
      <c r="A61" s="1510" t="str">
        <f t="shared" si="15"/>
        <v>n</v>
      </c>
      <c r="B61" s="1510"/>
      <c r="C61" s="2060"/>
      <c r="D61" s="146" t="str">
        <f t="shared" si="13"/>
        <v>--</v>
      </c>
      <c r="E61" s="612"/>
      <c r="F61" s="612" t="str">
        <f t="shared" si="14"/>
        <v>--</v>
      </c>
      <c r="G61" s="1785" t="str">
        <f>'DATA GPC'!O650</f>
        <v>--</v>
      </c>
      <c r="H61" s="1785" t="str">
        <f>'DATA GPC'!P650</f>
        <v>--</v>
      </c>
      <c r="I61" s="1785" t="str">
        <f>'DATA GPC'!U650</f>
        <v>--</v>
      </c>
      <c r="J61" s="1785" t="str">
        <f>'DATA GPC'!V650</f>
        <v>--</v>
      </c>
      <c r="K61" s="1785" t="str">
        <f>'DATA GPC'!W650</f>
        <v>--</v>
      </c>
      <c r="L61" s="1785" t="str">
        <f>'DATA GPC'!X650</f>
        <v>--</v>
      </c>
      <c r="M61" s="1785" t="str">
        <f>'DATA GPC'!Y650</f>
        <v>--</v>
      </c>
      <c r="N61" s="1527"/>
      <c r="O61" s="1364" t="str">
        <f t="shared" ref="O61:U61" si="28">IFERROR(G61/G32,"--")</f>
        <v>--</v>
      </c>
      <c r="P61" s="1364" t="str">
        <f t="shared" si="28"/>
        <v>--</v>
      </c>
      <c r="Q61" s="1364" t="str">
        <f t="shared" si="28"/>
        <v>--</v>
      </c>
      <c r="R61" s="1364" t="str">
        <f t="shared" si="28"/>
        <v>--</v>
      </c>
      <c r="S61" s="1364" t="str">
        <f t="shared" si="28"/>
        <v>--</v>
      </c>
      <c r="T61" s="1364" t="str">
        <f t="shared" si="28"/>
        <v>--</v>
      </c>
      <c r="U61" s="1364" t="str">
        <f t="shared" si="28"/>
        <v>--</v>
      </c>
      <c r="V61" s="1364"/>
      <c r="W61" s="1364" t="str">
        <f>IFERROR(AVERAGE($Q61:R61),"--")</f>
        <v>--</v>
      </c>
      <c r="X61" s="1364" t="str">
        <f>IFERROR(AVERAGE($Q61:S61),"--")</f>
        <v>--</v>
      </c>
      <c r="Y61" s="2060"/>
      <c r="Z61" s="1546"/>
      <c r="AA61" s="1527"/>
    </row>
    <row r="62" spans="1:27" s="1525" customFormat="1" ht="12" customHeight="1">
      <c r="A62" s="1510" t="str">
        <f t="shared" si="15"/>
        <v>n</v>
      </c>
      <c r="B62" s="1510"/>
      <c r="C62" s="2060"/>
      <c r="D62" s="146" t="str">
        <f t="shared" si="13"/>
        <v>--</v>
      </c>
      <c r="E62" s="612"/>
      <c r="F62" s="612" t="str">
        <f t="shared" si="14"/>
        <v>--</v>
      </c>
      <c r="G62" s="1785" t="str">
        <f>'DATA GPC'!O651</f>
        <v>--</v>
      </c>
      <c r="H62" s="1785" t="str">
        <f>'DATA GPC'!P651</f>
        <v>--</v>
      </c>
      <c r="I62" s="1785" t="str">
        <f>'DATA GPC'!U651</f>
        <v>--</v>
      </c>
      <c r="J62" s="1785" t="str">
        <f>'DATA GPC'!V651</f>
        <v>--</v>
      </c>
      <c r="K62" s="1785" t="str">
        <f>'DATA GPC'!W651</f>
        <v>--</v>
      </c>
      <c r="L62" s="1785" t="str">
        <f>'DATA GPC'!X651</f>
        <v>--</v>
      </c>
      <c r="M62" s="1785" t="str">
        <f>'DATA GPC'!Y651</f>
        <v>--</v>
      </c>
      <c r="N62" s="1527"/>
      <c r="O62" s="1364" t="str">
        <f t="shared" ref="O62:U62" si="29">IFERROR(G62/G33,"--")</f>
        <v>--</v>
      </c>
      <c r="P62" s="1364" t="str">
        <f t="shared" si="29"/>
        <v>--</v>
      </c>
      <c r="Q62" s="1364" t="str">
        <f t="shared" si="29"/>
        <v>--</v>
      </c>
      <c r="R62" s="1364" t="str">
        <f t="shared" si="29"/>
        <v>--</v>
      </c>
      <c r="S62" s="1364" t="str">
        <f t="shared" si="29"/>
        <v>--</v>
      </c>
      <c r="T62" s="1364" t="str">
        <f t="shared" si="29"/>
        <v>--</v>
      </c>
      <c r="U62" s="1364" t="str">
        <f t="shared" si="29"/>
        <v>--</v>
      </c>
      <c r="V62" s="1364"/>
      <c r="W62" s="1364" t="str">
        <f>IFERROR(AVERAGE($Q62:R62),"--")</f>
        <v>--</v>
      </c>
      <c r="X62" s="1364" t="str">
        <f>IFERROR(AVERAGE($Q62:S62),"--")</f>
        <v>--</v>
      </c>
      <c r="Y62" s="2060"/>
      <c r="Z62" s="1546"/>
      <c r="AA62" s="1527"/>
    </row>
    <row r="63" spans="1:27" ht="12" customHeight="1">
      <c r="A63" s="1510" t="str">
        <f t="shared" si="15"/>
        <v>n</v>
      </c>
      <c r="B63" s="1510"/>
      <c r="C63" s="2060"/>
      <c r="D63" s="146" t="str">
        <f t="shared" si="13"/>
        <v>--</v>
      </c>
      <c r="E63" s="612"/>
      <c r="F63" s="612" t="str">
        <f t="shared" si="14"/>
        <v>--</v>
      </c>
      <c r="G63" s="1785" t="str">
        <f>'DATA GPC'!O652</f>
        <v>--</v>
      </c>
      <c r="H63" s="1785" t="str">
        <f>'DATA GPC'!P652</f>
        <v>--</v>
      </c>
      <c r="I63" s="1785" t="str">
        <f>'DATA GPC'!U652</f>
        <v>--</v>
      </c>
      <c r="J63" s="1785" t="str">
        <f>'DATA GPC'!V652</f>
        <v>--</v>
      </c>
      <c r="K63" s="1785" t="str">
        <f>'DATA GPC'!W652</f>
        <v>--</v>
      </c>
      <c r="L63" s="1785" t="str">
        <f>'DATA GPC'!X652</f>
        <v>--</v>
      </c>
      <c r="M63" s="1785" t="str">
        <f>'DATA GPC'!Y652</f>
        <v>--</v>
      </c>
      <c r="N63" s="1527"/>
      <c r="O63" s="1364" t="str">
        <f t="shared" ref="O63:U63" si="30">IFERROR(G63/G34,"--")</f>
        <v>--</v>
      </c>
      <c r="P63" s="1364" t="str">
        <f t="shared" si="30"/>
        <v>--</v>
      </c>
      <c r="Q63" s="1364" t="str">
        <f t="shared" si="30"/>
        <v>--</v>
      </c>
      <c r="R63" s="1364" t="str">
        <f t="shared" si="30"/>
        <v>--</v>
      </c>
      <c r="S63" s="1364" t="str">
        <f t="shared" si="30"/>
        <v>--</v>
      </c>
      <c r="T63" s="1364" t="str">
        <f t="shared" si="30"/>
        <v>--</v>
      </c>
      <c r="U63" s="1364" t="str">
        <f t="shared" si="30"/>
        <v>--</v>
      </c>
      <c r="V63" s="1364"/>
      <c r="W63" s="1364" t="str">
        <f>IFERROR(AVERAGE($Q63:R63),"--")</f>
        <v>--</v>
      </c>
      <c r="X63" s="1364" t="str">
        <f>IFERROR(AVERAGE($Q63:S63),"--")</f>
        <v>--</v>
      </c>
      <c r="Y63" s="2060"/>
      <c r="Z63" s="1546"/>
      <c r="AA63" s="1527"/>
    </row>
    <row r="64" spans="1:27" ht="12" customHeight="1">
      <c r="A64" s="1510"/>
      <c r="B64" s="1510"/>
      <c r="C64" s="2060"/>
      <c r="D64" s="146"/>
      <c r="E64" s="612"/>
      <c r="F64" s="612"/>
      <c r="G64" s="1785"/>
      <c r="H64" s="1785"/>
      <c r="I64" s="1785"/>
      <c r="J64" s="1785"/>
      <c r="K64" s="1785"/>
      <c r="L64" s="1785"/>
      <c r="M64" s="1785"/>
      <c r="N64" s="1527"/>
      <c r="O64" s="440"/>
      <c r="P64" s="440"/>
      <c r="Q64" s="440"/>
      <c r="R64" s="440"/>
      <c r="S64" s="440"/>
      <c r="T64" s="440"/>
      <c r="U64" s="440"/>
      <c r="V64" s="440"/>
      <c r="W64" s="440"/>
      <c r="X64" s="440"/>
      <c r="Y64" s="1525"/>
      <c r="Z64" s="1546"/>
      <c r="AA64" s="1525"/>
    </row>
    <row r="65" spans="1:26" s="336" customFormat="1" ht="13.9">
      <c r="A65" s="1510"/>
      <c r="B65" s="1510"/>
      <c r="C65" s="2060"/>
      <c r="D65" s="1184"/>
      <c r="E65" s="1295"/>
      <c r="F65" s="1295"/>
      <c r="G65" s="1184"/>
      <c r="H65" s="1184"/>
      <c r="I65" s="1184"/>
      <c r="J65" s="1184"/>
      <c r="K65" s="1184"/>
      <c r="L65" s="1184"/>
      <c r="M65" s="1184"/>
      <c r="N65" s="1184"/>
      <c r="O65" s="1184"/>
      <c r="P65" s="1184"/>
      <c r="Q65" s="1184"/>
      <c r="R65" s="1184"/>
      <c r="S65" s="1184"/>
      <c r="T65" s="1184"/>
      <c r="U65" s="1184"/>
      <c r="V65" s="1184"/>
      <c r="W65" s="1184" t="s">
        <v>1812</v>
      </c>
      <c r="X65" s="1184" t="s">
        <v>1813</v>
      </c>
      <c r="Y65" s="2060"/>
      <c r="Z65" s="1546"/>
    </row>
    <row r="66" spans="1:26" s="336" customFormat="1" ht="13.9">
      <c r="A66" s="1510"/>
      <c r="B66" s="1510"/>
      <c r="C66" s="2060"/>
      <c r="D66" s="724"/>
      <c r="E66" s="748"/>
      <c r="F66" s="748"/>
      <c r="G66" s="724"/>
      <c r="H66" s="724"/>
      <c r="I66" s="724"/>
      <c r="J66" s="724"/>
      <c r="K66" s="724"/>
      <c r="L66" s="724"/>
      <c r="M66" s="724"/>
      <c r="N66" s="724"/>
      <c r="O66" s="724"/>
      <c r="P66" s="724"/>
      <c r="Q66" s="724"/>
      <c r="R66" s="724"/>
      <c r="S66" s="724"/>
      <c r="T66" s="724"/>
      <c r="U66" s="724"/>
      <c r="V66" s="724"/>
      <c r="W66" s="747" t="s">
        <v>1814</v>
      </c>
      <c r="X66" s="747" t="s">
        <v>1814</v>
      </c>
      <c r="Y66" s="2060"/>
      <c r="Z66" s="1546"/>
    </row>
    <row r="67" spans="1:26" s="336" customFormat="1" ht="15.6">
      <c r="A67" s="1510"/>
      <c r="B67" s="1510"/>
      <c r="C67" s="63"/>
      <c r="D67" s="1211" t="s">
        <v>1816</v>
      </c>
      <c r="E67" s="1296"/>
      <c r="F67" s="1296"/>
      <c r="G67" s="1294" t="s">
        <v>704</v>
      </c>
      <c r="H67" s="1294" t="s">
        <v>705</v>
      </c>
      <c r="I67" s="1294" t="s">
        <v>707</v>
      </c>
      <c r="J67" s="1294" t="s">
        <v>708</v>
      </c>
      <c r="K67" s="1294" t="s">
        <v>709</v>
      </c>
      <c r="L67" s="1294" t="s">
        <v>710</v>
      </c>
      <c r="M67" s="1294" t="s">
        <v>711</v>
      </c>
      <c r="N67" s="1216"/>
      <c r="O67" s="1294" t="s">
        <v>704</v>
      </c>
      <c r="P67" s="1294" t="s">
        <v>705</v>
      </c>
      <c r="Q67" s="1294" t="s">
        <v>707</v>
      </c>
      <c r="R67" s="1294" t="s">
        <v>708</v>
      </c>
      <c r="S67" s="1294" t="s">
        <v>709</v>
      </c>
      <c r="T67" s="1294" t="s">
        <v>710</v>
      </c>
      <c r="U67" s="1294" t="s">
        <v>711</v>
      </c>
      <c r="V67" s="1294"/>
      <c r="W67" s="1294" t="s">
        <v>708</v>
      </c>
      <c r="X67" s="1294" t="s">
        <v>709</v>
      </c>
      <c r="Y67" s="2060"/>
      <c r="Z67" s="1546"/>
    </row>
    <row r="68" spans="1:26" s="336" customFormat="1" ht="13.9">
      <c r="A68" s="1510" t="str">
        <f t="shared" ref="A68:A79" si="31">IF(MAX(O39:T39)&gt;0.001,"","n")</f>
        <v>n</v>
      </c>
      <c r="B68" s="1510"/>
      <c r="C68" s="2060"/>
      <c r="D68" s="146" t="str">
        <f>D10</f>
        <v>--</v>
      </c>
      <c r="E68" s="612"/>
      <c r="F68" s="612" t="str">
        <f>F10</f>
        <v>--</v>
      </c>
      <c r="G68" s="1785" t="str">
        <f>'DATA GPC'!O783</f>
        <v>--</v>
      </c>
      <c r="H68" s="1785" t="str">
        <f>'DATA GPC'!P783</f>
        <v>--</v>
      </c>
      <c r="I68" s="1785" t="str">
        <f>'DATA GPC'!U783</f>
        <v>--</v>
      </c>
      <c r="J68" s="1785" t="str">
        <f>'DATA GPC'!V783</f>
        <v>--</v>
      </c>
      <c r="K68" s="1785" t="str">
        <f>'DATA GPC'!W783</f>
        <v>--</v>
      </c>
      <c r="L68" s="1785" t="str">
        <f>'DATA GPC'!X783</f>
        <v>--</v>
      </c>
      <c r="M68" s="1785" t="str">
        <f>'DATA GPC'!Y783</f>
        <v>--</v>
      </c>
      <c r="N68" s="1527"/>
      <c r="O68" s="1364" t="str">
        <f t="shared" ref="O68:O79" si="32">IFERROR(G68/G10,"--")</f>
        <v>--</v>
      </c>
      <c r="P68" s="1364" t="str">
        <f t="shared" ref="P68:P79" si="33">IFERROR(H68/H10,"--")</f>
        <v>--</v>
      </c>
      <c r="Q68" s="1364" t="str">
        <f t="shared" ref="Q68:Q79" si="34">IFERROR(I68/I10,"--")</f>
        <v>--</v>
      </c>
      <c r="R68" s="1364" t="str">
        <f t="shared" ref="R68:R79" si="35">IFERROR(J68/J10,"--")</f>
        <v>--</v>
      </c>
      <c r="S68" s="1364" t="str">
        <f t="shared" ref="S68:S79" si="36">IFERROR(K68/K10,"--")</f>
        <v>--</v>
      </c>
      <c r="T68" s="1364" t="str">
        <f t="shared" ref="T68:T79" si="37">IFERROR(L68/L10,"--")</f>
        <v>--</v>
      </c>
      <c r="U68" s="1364" t="str">
        <f t="shared" ref="U68:U79" si="38">IFERROR(M68/M10,"--")</f>
        <v>--</v>
      </c>
      <c r="V68" s="1364"/>
      <c r="W68" s="1364" t="str">
        <f>IFERROR(AVERAGE($Q68:R68),"--")</f>
        <v>--</v>
      </c>
      <c r="X68" s="1364" t="str">
        <f>IFERROR(AVERAGE($Q68:S68),"--")</f>
        <v>--</v>
      </c>
      <c r="Y68" s="2060"/>
      <c r="Z68" s="1546"/>
    </row>
    <row r="69" spans="1:26" s="336" customFormat="1" ht="13.9">
      <c r="A69" s="1510" t="str">
        <f t="shared" si="31"/>
        <v>n</v>
      </c>
      <c r="B69" s="1510"/>
      <c r="C69" s="2060"/>
      <c r="D69" s="146" t="str">
        <f t="shared" ref="D69:D92" si="39">D11</f>
        <v>--</v>
      </c>
      <c r="E69" s="612"/>
      <c r="F69" s="612" t="str">
        <f t="shared" ref="F69:F92" si="40">F11</f>
        <v>--</v>
      </c>
      <c r="G69" s="1785" t="str">
        <f>'DATA GPC'!O784</f>
        <v>--</v>
      </c>
      <c r="H69" s="1785" t="str">
        <f>'DATA GPC'!P784</f>
        <v>--</v>
      </c>
      <c r="I69" s="1785" t="str">
        <f>'DATA GPC'!U784</f>
        <v>--</v>
      </c>
      <c r="J69" s="1785" t="str">
        <f>'DATA GPC'!V784</f>
        <v>--</v>
      </c>
      <c r="K69" s="1785" t="str">
        <f>'DATA GPC'!W784</f>
        <v>--</v>
      </c>
      <c r="L69" s="1785" t="str">
        <f>'DATA GPC'!X784</f>
        <v>--</v>
      </c>
      <c r="M69" s="1785" t="str">
        <f>'DATA GPC'!Y784</f>
        <v>--</v>
      </c>
      <c r="N69" s="1527"/>
      <c r="O69" s="1364" t="str">
        <f t="shared" si="32"/>
        <v>--</v>
      </c>
      <c r="P69" s="1364" t="str">
        <f t="shared" si="33"/>
        <v>--</v>
      </c>
      <c r="Q69" s="1364" t="str">
        <f t="shared" si="34"/>
        <v>--</v>
      </c>
      <c r="R69" s="1364" t="str">
        <f t="shared" si="35"/>
        <v>--</v>
      </c>
      <c r="S69" s="1364" t="str">
        <f t="shared" si="36"/>
        <v>--</v>
      </c>
      <c r="T69" s="1364" t="str">
        <f t="shared" si="37"/>
        <v>--</v>
      </c>
      <c r="U69" s="1364" t="str">
        <f t="shared" si="38"/>
        <v>--</v>
      </c>
      <c r="V69" s="1364"/>
      <c r="W69" s="1364" t="str">
        <f>IFERROR(AVERAGE($Q69:R69),"--")</f>
        <v>--</v>
      </c>
      <c r="X69" s="1364" t="str">
        <f>IFERROR(AVERAGE($Q69:S69),"--")</f>
        <v>--</v>
      </c>
      <c r="Y69" s="2060"/>
      <c r="Z69" s="1546"/>
    </row>
    <row r="70" spans="1:26" s="336" customFormat="1" ht="13.9">
      <c r="A70" s="1510" t="str">
        <f t="shared" si="31"/>
        <v>n</v>
      </c>
      <c r="B70" s="1510"/>
      <c r="C70" s="2060"/>
      <c r="D70" s="146" t="str">
        <f t="shared" si="39"/>
        <v>--</v>
      </c>
      <c r="E70" s="673"/>
      <c r="F70" s="612" t="str">
        <f t="shared" si="40"/>
        <v>--</v>
      </c>
      <c r="G70" s="1785" t="str">
        <f>'DATA GPC'!O785</f>
        <v>--</v>
      </c>
      <c r="H70" s="1785" t="str">
        <f>'DATA GPC'!P785</f>
        <v>--</v>
      </c>
      <c r="I70" s="1785" t="str">
        <f>'DATA GPC'!U785</f>
        <v>--</v>
      </c>
      <c r="J70" s="1785" t="str">
        <f>'DATA GPC'!V785</f>
        <v>--</v>
      </c>
      <c r="K70" s="1785" t="str">
        <f>'DATA GPC'!W785</f>
        <v>--</v>
      </c>
      <c r="L70" s="1785" t="str">
        <f>'DATA GPC'!X785</f>
        <v>--</v>
      </c>
      <c r="M70" s="1785" t="str">
        <f>'DATA GPC'!Y785</f>
        <v>--</v>
      </c>
      <c r="N70" s="1527"/>
      <c r="O70" s="1364" t="str">
        <f t="shared" si="32"/>
        <v>--</v>
      </c>
      <c r="P70" s="1364" t="str">
        <f t="shared" si="33"/>
        <v>--</v>
      </c>
      <c r="Q70" s="1364" t="str">
        <f t="shared" si="34"/>
        <v>--</v>
      </c>
      <c r="R70" s="1364" t="str">
        <f t="shared" si="35"/>
        <v>--</v>
      </c>
      <c r="S70" s="1364" t="str">
        <f t="shared" si="36"/>
        <v>--</v>
      </c>
      <c r="T70" s="1364" t="str">
        <f t="shared" si="37"/>
        <v>--</v>
      </c>
      <c r="U70" s="1364" t="str">
        <f t="shared" si="38"/>
        <v>--</v>
      </c>
      <c r="V70" s="1364"/>
      <c r="W70" s="1364" t="str">
        <f>IFERROR(AVERAGE($Q70:R70),"--")</f>
        <v>--</v>
      </c>
      <c r="X70" s="1364" t="str">
        <f>IFERROR(AVERAGE($Q70:S70),"--")</f>
        <v>--</v>
      </c>
      <c r="Y70" s="2060"/>
      <c r="Z70" s="1546"/>
    </row>
    <row r="71" spans="1:26" s="336" customFormat="1" ht="13.9">
      <c r="A71" s="1510" t="str">
        <f t="shared" si="31"/>
        <v>n</v>
      </c>
      <c r="B71" s="1510"/>
      <c r="C71" s="2060"/>
      <c r="D71" s="146" t="str">
        <f t="shared" si="39"/>
        <v>--</v>
      </c>
      <c r="E71" s="673"/>
      <c r="F71" s="612" t="str">
        <f t="shared" si="40"/>
        <v>--</v>
      </c>
      <c r="G71" s="1785" t="str">
        <f>'DATA GPC'!O786</f>
        <v>--</v>
      </c>
      <c r="H71" s="1785" t="str">
        <f>'DATA GPC'!P786</f>
        <v>--</v>
      </c>
      <c r="I71" s="1785" t="str">
        <f>'DATA GPC'!U786</f>
        <v>--</v>
      </c>
      <c r="J71" s="1785" t="str">
        <f>'DATA GPC'!V786</f>
        <v>--</v>
      </c>
      <c r="K71" s="1785" t="str">
        <f>'DATA GPC'!W786</f>
        <v>--</v>
      </c>
      <c r="L71" s="1785" t="str">
        <f>'DATA GPC'!X786</f>
        <v>--</v>
      </c>
      <c r="M71" s="1785" t="str">
        <f>'DATA GPC'!Y786</f>
        <v>--</v>
      </c>
      <c r="N71" s="1527"/>
      <c r="O71" s="1364" t="str">
        <f t="shared" si="32"/>
        <v>--</v>
      </c>
      <c r="P71" s="1364" t="str">
        <f t="shared" si="33"/>
        <v>--</v>
      </c>
      <c r="Q71" s="1364" t="str">
        <f t="shared" si="34"/>
        <v>--</v>
      </c>
      <c r="R71" s="1364" t="str">
        <f t="shared" si="35"/>
        <v>--</v>
      </c>
      <c r="S71" s="1364" t="str">
        <f t="shared" si="36"/>
        <v>--</v>
      </c>
      <c r="T71" s="1364" t="str">
        <f t="shared" si="37"/>
        <v>--</v>
      </c>
      <c r="U71" s="1364" t="str">
        <f t="shared" si="38"/>
        <v>--</v>
      </c>
      <c r="V71" s="1364"/>
      <c r="W71" s="1364" t="str">
        <f>IFERROR(AVERAGE($Q71:R71),"--")</f>
        <v>--</v>
      </c>
      <c r="X71" s="1364" t="str">
        <f>IFERROR(AVERAGE($Q71:S71),"--")</f>
        <v>--</v>
      </c>
      <c r="Y71" s="2060"/>
      <c r="Z71" s="1546"/>
    </row>
    <row r="72" spans="1:26" s="336" customFormat="1" ht="13.9">
      <c r="A72" s="1510" t="str">
        <f t="shared" si="31"/>
        <v>n</v>
      </c>
      <c r="B72" s="1510"/>
      <c r="C72" s="2060"/>
      <c r="D72" s="146" t="str">
        <f t="shared" si="39"/>
        <v>--</v>
      </c>
      <c r="E72" s="673"/>
      <c r="F72" s="612" t="str">
        <f t="shared" si="40"/>
        <v>--</v>
      </c>
      <c r="G72" s="1785" t="str">
        <f>'DATA GPC'!O787</f>
        <v>--</v>
      </c>
      <c r="H72" s="1785" t="str">
        <f>'DATA GPC'!P787</f>
        <v>--</v>
      </c>
      <c r="I72" s="1785" t="str">
        <f>'DATA GPC'!U787</f>
        <v>--</v>
      </c>
      <c r="J72" s="1785" t="str">
        <f>'DATA GPC'!V787</f>
        <v>--</v>
      </c>
      <c r="K72" s="1785" t="str">
        <f>'DATA GPC'!W787</f>
        <v>--</v>
      </c>
      <c r="L72" s="1785" t="str">
        <f>'DATA GPC'!X787</f>
        <v>--</v>
      </c>
      <c r="M72" s="1785" t="str">
        <f>'DATA GPC'!Y787</f>
        <v>--</v>
      </c>
      <c r="N72" s="1527"/>
      <c r="O72" s="1364" t="str">
        <f t="shared" si="32"/>
        <v>--</v>
      </c>
      <c r="P72" s="1364" t="str">
        <f t="shared" si="33"/>
        <v>--</v>
      </c>
      <c r="Q72" s="1364" t="str">
        <f t="shared" si="34"/>
        <v>--</v>
      </c>
      <c r="R72" s="1364" t="str">
        <f t="shared" si="35"/>
        <v>--</v>
      </c>
      <c r="S72" s="1364" t="str">
        <f t="shared" si="36"/>
        <v>--</v>
      </c>
      <c r="T72" s="1364" t="str">
        <f t="shared" si="37"/>
        <v>--</v>
      </c>
      <c r="U72" s="1364" t="str">
        <f t="shared" si="38"/>
        <v>--</v>
      </c>
      <c r="V72" s="1364"/>
      <c r="W72" s="1364" t="str">
        <f>IFERROR(AVERAGE($Q72:R72),"--")</f>
        <v>--</v>
      </c>
      <c r="X72" s="1364" t="str">
        <f>IFERROR(AVERAGE($Q72:S72),"--")</f>
        <v>--</v>
      </c>
      <c r="Y72" s="2060"/>
      <c r="Z72" s="1546"/>
    </row>
    <row r="73" spans="1:26" s="336" customFormat="1" ht="13.9">
      <c r="A73" s="1510" t="str">
        <f t="shared" si="31"/>
        <v>n</v>
      </c>
      <c r="B73" s="1510"/>
      <c r="C73" s="2060"/>
      <c r="D73" s="146" t="str">
        <f t="shared" si="39"/>
        <v>--</v>
      </c>
      <c r="E73" s="673"/>
      <c r="F73" s="612" t="str">
        <f t="shared" si="40"/>
        <v>--</v>
      </c>
      <c r="G73" s="1785" t="str">
        <f>'DATA GPC'!O788</f>
        <v>--</v>
      </c>
      <c r="H73" s="1785" t="str">
        <f>'DATA GPC'!P788</f>
        <v>--</v>
      </c>
      <c r="I73" s="1785" t="str">
        <f>'DATA GPC'!U788</f>
        <v>--</v>
      </c>
      <c r="J73" s="1785" t="str">
        <f>'DATA GPC'!V788</f>
        <v>--</v>
      </c>
      <c r="K73" s="1785" t="str">
        <f>'DATA GPC'!W788</f>
        <v>--</v>
      </c>
      <c r="L73" s="1785" t="str">
        <f>'DATA GPC'!X788</f>
        <v>--</v>
      </c>
      <c r="M73" s="1785" t="str">
        <f>'DATA GPC'!Y788</f>
        <v>--</v>
      </c>
      <c r="N73" s="1527"/>
      <c r="O73" s="1364" t="str">
        <f t="shared" si="32"/>
        <v>--</v>
      </c>
      <c r="P73" s="1364" t="str">
        <f t="shared" si="33"/>
        <v>--</v>
      </c>
      <c r="Q73" s="1364" t="str">
        <f t="shared" si="34"/>
        <v>--</v>
      </c>
      <c r="R73" s="1364" t="str">
        <f t="shared" si="35"/>
        <v>--</v>
      </c>
      <c r="S73" s="1364" t="str">
        <f t="shared" si="36"/>
        <v>--</v>
      </c>
      <c r="T73" s="1364" t="str">
        <f t="shared" si="37"/>
        <v>--</v>
      </c>
      <c r="U73" s="1364" t="str">
        <f t="shared" si="38"/>
        <v>--</v>
      </c>
      <c r="V73" s="1364"/>
      <c r="W73" s="1364" t="str">
        <f>IFERROR(AVERAGE($Q73:R73),"--")</f>
        <v>--</v>
      </c>
      <c r="X73" s="1364" t="str">
        <f>IFERROR(AVERAGE($Q73:S73),"--")</f>
        <v>--</v>
      </c>
      <c r="Y73" s="2060"/>
      <c r="Z73" s="1546"/>
    </row>
    <row r="74" spans="1:26" s="336" customFormat="1" ht="13.9">
      <c r="A74" s="1510" t="str">
        <f t="shared" si="31"/>
        <v>n</v>
      </c>
      <c r="B74" s="1510"/>
      <c r="C74" s="2060"/>
      <c r="D74" s="146" t="str">
        <f t="shared" si="39"/>
        <v>--</v>
      </c>
      <c r="E74" s="673"/>
      <c r="F74" s="612" t="str">
        <f t="shared" si="40"/>
        <v>--</v>
      </c>
      <c r="G74" s="1785" t="str">
        <f>'DATA GPC'!O789</f>
        <v>--</v>
      </c>
      <c r="H74" s="1785" t="str">
        <f>'DATA GPC'!P789</f>
        <v>--</v>
      </c>
      <c r="I74" s="1785" t="str">
        <f>'DATA GPC'!U789</f>
        <v>--</v>
      </c>
      <c r="J74" s="1785" t="str">
        <f>'DATA GPC'!V789</f>
        <v>--</v>
      </c>
      <c r="K74" s="1785" t="str">
        <f>'DATA GPC'!W789</f>
        <v>--</v>
      </c>
      <c r="L74" s="1785" t="str">
        <f>'DATA GPC'!X789</f>
        <v>--</v>
      </c>
      <c r="M74" s="1785" t="str">
        <f>'DATA GPC'!Y789</f>
        <v>--</v>
      </c>
      <c r="N74" s="1527"/>
      <c r="O74" s="1364" t="str">
        <f t="shared" si="32"/>
        <v>--</v>
      </c>
      <c r="P74" s="1364" t="str">
        <f t="shared" si="33"/>
        <v>--</v>
      </c>
      <c r="Q74" s="1364" t="str">
        <f t="shared" si="34"/>
        <v>--</v>
      </c>
      <c r="R74" s="1364" t="str">
        <f t="shared" si="35"/>
        <v>--</v>
      </c>
      <c r="S74" s="1364" t="str">
        <f t="shared" si="36"/>
        <v>--</v>
      </c>
      <c r="T74" s="1364" t="str">
        <f t="shared" si="37"/>
        <v>--</v>
      </c>
      <c r="U74" s="1364" t="str">
        <f t="shared" si="38"/>
        <v>--</v>
      </c>
      <c r="V74" s="1364"/>
      <c r="W74" s="1364" t="str">
        <f>IFERROR(AVERAGE($Q74:R74),"--")</f>
        <v>--</v>
      </c>
      <c r="X74" s="1364" t="str">
        <f>IFERROR(AVERAGE($Q74:S74),"--")</f>
        <v>--</v>
      </c>
      <c r="Y74" s="2060"/>
      <c r="Z74" s="1546"/>
    </row>
    <row r="75" spans="1:26" s="336" customFormat="1" ht="13.9">
      <c r="A75" s="1510" t="str">
        <f t="shared" si="31"/>
        <v>n</v>
      </c>
      <c r="B75" s="1510"/>
      <c r="C75" s="2060"/>
      <c r="D75" s="146" t="str">
        <f t="shared" si="39"/>
        <v>--</v>
      </c>
      <c r="E75" s="673"/>
      <c r="F75" s="612" t="str">
        <f t="shared" si="40"/>
        <v>--</v>
      </c>
      <c r="G75" s="1785" t="str">
        <f>'DATA GPC'!O790</f>
        <v>--</v>
      </c>
      <c r="H75" s="1785" t="str">
        <f>'DATA GPC'!P790</f>
        <v>--</v>
      </c>
      <c r="I75" s="1785" t="str">
        <f>'DATA GPC'!U790</f>
        <v>--</v>
      </c>
      <c r="J75" s="1785" t="str">
        <f>'DATA GPC'!V790</f>
        <v>--</v>
      </c>
      <c r="K75" s="1785" t="str">
        <f>'DATA GPC'!W790</f>
        <v>--</v>
      </c>
      <c r="L75" s="1785" t="str">
        <f>'DATA GPC'!X790</f>
        <v>--</v>
      </c>
      <c r="M75" s="1785" t="str">
        <f>'DATA GPC'!Y790</f>
        <v>--</v>
      </c>
      <c r="N75" s="1527"/>
      <c r="O75" s="1364" t="str">
        <f t="shared" si="32"/>
        <v>--</v>
      </c>
      <c r="P75" s="1364" t="str">
        <f t="shared" si="33"/>
        <v>--</v>
      </c>
      <c r="Q75" s="1364" t="str">
        <f t="shared" si="34"/>
        <v>--</v>
      </c>
      <c r="R75" s="1364" t="str">
        <f t="shared" si="35"/>
        <v>--</v>
      </c>
      <c r="S75" s="1364" t="str">
        <f t="shared" si="36"/>
        <v>--</v>
      </c>
      <c r="T75" s="1364" t="str">
        <f t="shared" si="37"/>
        <v>--</v>
      </c>
      <c r="U75" s="1364" t="str">
        <f t="shared" si="38"/>
        <v>--</v>
      </c>
      <c r="V75" s="1364"/>
      <c r="W75" s="1364" t="str">
        <f>IFERROR(AVERAGE($Q75:R75),"--")</f>
        <v>--</v>
      </c>
      <c r="X75" s="1364" t="str">
        <f>IFERROR(AVERAGE($Q75:S75),"--")</f>
        <v>--</v>
      </c>
      <c r="Y75" s="2060"/>
      <c r="Z75" s="1546"/>
    </row>
    <row r="76" spans="1:26" s="336" customFormat="1" ht="13.9">
      <c r="A76" s="1510" t="str">
        <f t="shared" si="31"/>
        <v>n</v>
      </c>
      <c r="B76" s="1510"/>
      <c r="C76" s="2060"/>
      <c r="D76" s="146" t="str">
        <f t="shared" si="39"/>
        <v>--</v>
      </c>
      <c r="E76" s="673"/>
      <c r="F76" s="612" t="str">
        <f t="shared" si="40"/>
        <v>--</v>
      </c>
      <c r="G76" s="1785" t="str">
        <f>'DATA GPC'!O791</f>
        <v>--</v>
      </c>
      <c r="H76" s="1785" t="str">
        <f>'DATA GPC'!P791</f>
        <v>--</v>
      </c>
      <c r="I76" s="1785" t="str">
        <f>'DATA GPC'!U791</f>
        <v>--</v>
      </c>
      <c r="J76" s="1785" t="str">
        <f>'DATA GPC'!V791</f>
        <v>--</v>
      </c>
      <c r="K76" s="1785" t="str">
        <f>'DATA GPC'!W791</f>
        <v>--</v>
      </c>
      <c r="L76" s="1785" t="str">
        <f>'DATA GPC'!X791</f>
        <v>--</v>
      </c>
      <c r="M76" s="1785" t="str">
        <f>'DATA GPC'!Y791</f>
        <v>--</v>
      </c>
      <c r="N76" s="1527"/>
      <c r="O76" s="1364" t="str">
        <f t="shared" si="32"/>
        <v>--</v>
      </c>
      <c r="P76" s="1364" t="str">
        <f t="shared" si="33"/>
        <v>--</v>
      </c>
      <c r="Q76" s="1364" t="str">
        <f t="shared" si="34"/>
        <v>--</v>
      </c>
      <c r="R76" s="1364" t="str">
        <f t="shared" si="35"/>
        <v>--</v>
      </c>
      <c r="S76" s="1364" t="str">
        <f t="shared" si="36"/>
        <v>--</v>
      </c>
      <c r="T76" s="1364" t="str">
        <f t="shared" si="37"/>
        <v>--</v>
      </c>
      <c r="U76" s="1364" t="str">
        <f t="shared" si="38"/>
        <v>--</v>
      </c>
      <c r="V76" s="1364"/>
      <c r="W76" s="1364" t="str">
        <f>IFERROR(AVERAGE($Q76:R76),"--")</f>
        <v>--</v>
      </c>
      <c r="X76" s="1364" t="str">
        <f>IFERROR(AVERAGE($Q76:S76),"--")</f>
        <v>--</v>
      </c>
      <c r="Y76" s="2060"/>
      <c r="Z76" s="1546"/>
    </row>
    <row r="77" spans="1:26" s="336" customFormat="1" ht="13.9">
      <c r="A77" s="1510" t="str">
        <f t="shared" si="31"/>
        <v>n</v>
      </c>
      <c r="B77" s="1510"/>
      <c r="C77" s="2060"/>
      <c r="D77" s="146" t="str">
        <f t="shared" si="39"/>
        <v>--</v>
      </c>
      <c r="E77" s="673"/>
      <c r="F77" s="612" t="str">
        <f t="shared" si="40"/>
        <v>--</v>
      </c>
      <c r="G77" s="1785" t="str">
        <f>'DATA GPC'!O792</f>
        <v>--</v>
      </c>
      <c r="H77" s="1785" t="str">
        <f>'DATA GPC'!P792</f>
        <v>--</v>
      </c>
      <c r="I77" s="1785" t="str">
        <f>'DATA GPC'!U792</f>
        <v>--</v>
      </c>
      <c r="J77" s="1785" t="str">
        <f>'DATA GPC'!V792</f>
        <v>--</v>
      </c>
      <c r="K77" s="1785" t="str">
        <f>'DATA GPC'!W792</f>
        <v>--</v>
      </c>
      <c r="L77" s="1785" t="str">
        <f>'DATA GPC'!X792</f>
        <v>--</v>
      </c>
      <c r="M77" s="1785" t="str">
        <f>'DATA GPC'!Y792</f>
        <v>--</v>
      </c>
      <c r="N77" s="1527"/>
      <c r="O77" s="1364" t="str">
        <f t="shared" si="32"/>
        <v>--</v>
      </c>
      <c r="P77" s="1364" t="str">
        <f t="shared" si="33"/>
        <v>--</v>
      </c>
      <c r="Q77" s="1364" t="str">
        <f t="shared" si="34"/>
        <v>--</v>
      </c>
      <c r="R77" s="1364" t="str">
        <f t="shared" si="35"/>
        <v>--</v>
      </c>
      <c r="S77" s="1364" t="str">
        <f t="shared" si="36"/>
        <v>--</v>
      </c>
      <c r="T77" s="1364" t="str">
        <f t="shared" si="37"/>
        <v>--</v>
      </c>
      <c r="U77" s="1364" t="str">
        <f t="shared" si="38"/>
        <v>--</v>
      </c>
      <c r="V77" s="1364"/>
      <c r="W77" s="1364" t="str">
        <f>IFERROR(AVERAGE($Q77:R77),"--")</f>
        <v>--</v>
      </c>
      <c r="X77" s="1364" t="str">
        <f>IFERROR(AVERAGE($Q77:S77),"--")</f>
        <v>--</v>
      </c>
      <c r="Y77" s="2060"/>
      <c r="Z77" s="1546"/>
    </row>
    <row r="78" spans="1:26" ht="13.9">
      <c r="A78" s="1510" t="str">
        <f t="shared" si="31"/>
        <v>n</v>
      </c>
      <c r="B78" s="1510"/>
      <c r="C78" s="2060"/>
      <c r="D78" s="146" t="str">
        <f t="shared" si="39"/>
        <v>--</v>
      </c>
      <c r="E78" s="673"/>
      <c r="F78" s="612" t="str">
        <f t="shared" si="40"/>
        <v>--</v>
      </c>
      <c r="G78" s="1785" t="str">
        <f>'DATA GPC'!O793</f>
        <v>--</v>
      </c>
      <c r="H78" s="1785" t="str">
        <f>'DATA GPC'!P793</f>
        <v>--</v>
      </c>
      <c r="I78" s="1785" t="str">
        <f>'DATA GPC'!U793</f>
        <v>--</v>
      </c>
      <c r="J78" s="1785" t="str">
        <f>'DATA GPC'!V793</f>
        <v>--</v>
      </c>
      <c r="K78" s="1785" t="str">
        <f>'DATA GPC'!W793</f>
        <v>--</v>
      </c>
      <c r="L78" s="1785" t="str">
        <f>'DATA GPC'!X793</f>
        <v>--</v>
      </c>
      <c r="M78" s="1785" t="str">
        <f>'DATA GPC'!Y793</f>
        <v>--</v>
      </c>
      <c r="N78" s="1527"/>
      <c r="O78" s="1364" t="str">
        <f t="shared" si="32"/>
        <v>--</v>
      </c>
      <c r="P78" s="1364" t="str">
        <f t="shared" si="33"/>
        <v>--</v>
      </c>
      <c r="Q78" s="1364" t="str">
        <f t="shared" si="34"/>
        <v>--</v>
      </c>
      <c r="R78" s="1364" t="str">
        <f t="shared" si="35"/>
        <v>--</v>
      </c>
      <c r="S78" s="1364" t="str">
        <f t="shared" si="36"/>
        <v>--</v>
      </c>
      <c r="T78" s="1364" t="str">
        <f t="shared" si="37"/>
        <v>--</v>
      </c>
      <c r="U78" s="1364" t="str">
        <f t="shared" si="38"/>
        <v>--</v>
      </c>
      <c r="V78" s="1364"/>
      <c r="W78" s="1364" t="str">
        <f>IFERROR(AVERAGE($Q78:R78),"--")</f>
        <v>--</v>
      </c>
      <c r="X78" s="1364" t="str">
        <f>IFERROR(AVERAGE($Q78:S78),"--")</f>
        <v>--</v>
      </c>
      <c r="Y78" s="1525"/>
      <c r="Z78" s="1546"/>
    </row>
    <row r="79" spans="1:26" ht="12" customHeight="1">
      <c r="A79" s="1510" t="str">
        <f t="shared" si="31"/>
        <v>n</v>
      </c>
      <c r="B79" s="1510"/>
      <c r="C79" s="2060"/>
      <c r="D79" s="146" t="str">
        <f t="shared" si="39"/>
        <v>--</v>
      </c>
      <c r="E79" s="673"/>
      <c r="F79" s="612" t="str">
        <f t="shared" si="40"/>
        <v>--</v>
      </c>
      <c r="G79" s="1785" t="str">
        <f>'DATA GPC'!O794</f>
        <v>--</v>
      </c>
      <c r="H79" s="1785" t="str">
        <f>'DATA GPC'!P794</f>
        <v>--</v>
      </c>
      <c r="I79" s="1785" t="str">
        <f>'DATA GPC'!U794</f>
        <v>--</v>
      </c>
      <c r="J79" s="1785" t="str">
        <f>'DATA GPC'!V794</f>
        <v>--</v>
      </c>
      <c r="K79" s="1785" t="str">
        <f>'DATA GPC'!W794</f>
        <v>--</v>
      </c>
      <c r="L79" s="1785" t="str">
        <f>'DATA GPC'!X794</f>
        <v>--</v>
      </c>
      <c r="M79" s="1785" t="str">
        <f>'DATA GPC'!Y794</f>
        <v>--</v>
      </c>
      <c r="N79" s="1527"/>
      <c r="O79" s="1364" t="str">
        <f t="shared" si="32"/>
        <v>--</v>
      </c>
      <c r="P79" s="1364" t="str">
        <f t="shared" si="33"/>
        <v>--</v>
      </c>
      <c r="Q79" s="1364" t="str">
        <f t="shared" si="34"/>
        <v>--</v>
      </c>
      <c r="R79" s="1364" t="str">
        <f t="shared" si="35"/>
        <v>--</v>
      </c>
      <c r="S79" s="1364" t="str">
        <f t="shared" si="36"/>
        <v>--</v>
      </c>
      <c r="T79" s="1364" t="str">
        <f t="shared" si="37"/>
        <v>--</v>
      </c>
      <c r="U79" s="1364" t="str">
        <f t="shared" si="38"/>
        <v>--</v>
      </c>
      <c r="V79" s="1364"/>
      <c r="W79" s="1364" t="str">
        <f>IFERROR(AVERAGE($Q79:R79),"--")</f>
        <v>--</v>
      </c>
      <c r="X79" s="1364" t="str">
        <f>IFERROR(AVERAGE($Q79:S79),"--")</f>
        <v>--</v>
      </c>
      <c r="Y79" s="1525"/>
      <c r="Z79" s="1546"/>
    </row>
    <row r="80" spans="1:26" ht="12" customHeight="1">
      <c r="A80" s="1510" t="str">
        <f t="shared" ref="A80:A92" si="41">IF(MAX(O51:T51)&gt;0.001,"","n")</f>
        <v>n</v>
      </c>
      <c r="B80" s="1510"/>
      <c r="C80" s="2060"/>
      <c r="D80" s="146" t="str">
        <f t="shared" si="39"/>
        <v>--</v>
      </c>
      <c r="E80" s="673"/>
      <c r="F80" s="612" t="str">
        <f t="shared" si="40"/>
        <v>--</v>
      </c>
      <c r="G80" s="1785" t="str">
        <f>'DATA GPC'!O795</f>
        <v>--</v>
      </c>
      <c r="H80" s="1785" t="str">
        <f>'DATA GPC'!P795</f>
        <v>--</v>
      </c>
      <c r="I80" s="1785" t="str">
        <f>'DATA GPC'!U795</f>
        <v>--</v>
      </c>
      <c r="J80" s="1785" t="str">
        <f>'DATA GPC'!V795</f>
        <v>--</v>
      </c>
      <c r="K80" s="1785" t="str">
        <f>'DATA GPC'!W795</f>
        <v>--</v>
      </c>
      <c r="L80" s="1785" t="str">
        <f>'DATA GPC'!X795</f>
        <v>--</v>
      </c>
      <c r="M80" s="1785" t="str">
        <f>'DATA GPC'!Y795</f>
        <v>--</v>
      </c>
      <c r="N80" s="1527"/>
      <c r="O80" s="1364" t="str">
        <f t="shared" ref="O80:U80" si="42">IFERROR(G80/G22,"--")</f>
        <v>--</v>
      </c>
      <c r="P80" s="1364" t="str">
        <f t="shared" si="42"/>
        <v>--</v>
      </c>
      <c r="Q80" s="1364" t="str">
        <f t="shared" si="42"/>
        <v>--</v>
      </c>
      <c r="R80" s="1364" t="str">
        <f t="shared" si="42"/>
        <v>--</v>
      </c>
      <c r="S80" s="1364" t="str">
        <f t="shared" si="42"/>
        <v>--</v>
      </c>
      <c r="T80" s="1364" t="str">
        <f t="shared" si="42"/>
        <v>--</v>
      </c>
      <c r="U80" s="1364" t="str">
        <f t="shared" si="42"/>
        <v>--</v>
      </c>
      <c r="V80" s="1364"/>
      <c r="W80" s="1364" t="str">
        <f>IFERROR(AVERAGE($Q80:R80),"--")</f>
        <v>--</v>
      </c>
      <c r="X80" s="1364" t="str">
        <f>IFERROR(AVERAGE($Q80:S80),"--")</f>
        <v>--</v>
      </c>
      <c r="Y80" s="1525"/>
      <c r="Z80" s="1546"/>
    </row>
    <row r="81" spans="1:26" ht="12" customHeight="1">
      <c r="A81" s="1510" t="str">
        <f t="shared" si="41"/>
        <v>n</v>
      </c>
      <c r="B81" s="1510"/>
      <c r="C81" s="2060"/>
      <c r="D81" s="146" t="str">
        <f t="shared" si="39"/>
        <v>--</v>
      </c>
      <c r="E81" s="673"/>
      <c r="F81" s="612" t="str">
        <f t="shared" si="40"/>
        <v>--</v>
      </c>
      <c r="G81" s="1785" t="str">
        <f>'DATA GPC'!O796</f>
        <v>--</v>
      </c>
      <c r="H81" s="1785" t="str">
        <f>'DATA GPC'!P796</f>
        <v>--</v>
      </c>
      <c r="I81" s="1785" t="str">
        <f>'DATA GPC'!U796</f>
        <v>--</v>
      </c>
      <c r="J81" s="1785" t="str">
        <f>'DATA GPC'!V796</f>
        <v>--</v>
      </c>
      <c r="K81" s="1785" t="str">
        <f>'DATA GPC'!W796</f>
        <v>--</v>
      </c>
      <c r="L81" s="1785" t="str">
        <f>'DATA GPC'!X796</f>
        <v>--</v>
      </c>
      <c r="M81" s="1785" t="str">
        <f>'DATA GPC'!Y796</f>
        <v>--</v>
      </c>
      <c r="N81" s="1527"/>
      <c r="O81" s="1364" t="str">
        <f t="shared" ref="O81:U81" si="43">IFERROR(G81/G23,"--")</f>
        <v>--</v>
      </c>
      <c r="P81" s="1364" t="str">
        <f t="shared" si="43"/>
        <v>--</v>
      </c>
      <c r="Q81" s="1364" t="str">
        <f t="shared" si="43"/>
        <v>--</v>
      </c>
      <c r="R81" s="1364" t="str">
        <f t="shared" si="43"/>
        <v>--</v>
      </c>
      <c r="S81" s="1364" t="str">
        <f t="shared" si="43"/>
        <v>--</v>
      </c>
      <c r="T81" s="1364" t="str">
        <f t="shared" si="43"/>
        <v>--</v>
      </c>
      <c r="U81" s="1364" t="str">
        <f t="shared" si="43"/>
        <v>--</v>
      </c>
      <c r="V81" s="1364"/>
      <c r="W81" s="1364" t="str">
        <f>IFERROR(AVERAGE($Q81:R81),"--")</f>
        <v>--</v>
      </c>
      <c r="X81" s="1364" t="str">
        <f>IFERROR(AVERAGE($Q81:S81),"--")</f>
        <v>--</v>
      </c>
      <c r="Y81" s="1525"/>
      <c r="Z81" s="1546"/>
    </row>
    <row r="82" spans="1:26" s="1525" customFormat="1" ht="12" customHeight="1">
      <c r="A82" s="1510" t="str">
        <f t="shared" si="41"/>
        <v>n</v>
      </c>
      <c r="B82" s="1510"/>
      <c r="C82" s="2060"/>
      <c r="D82" s="146" t="str">
        <f t="shared" si="39"/>
        <v>--</v>
      </c>
      <c r="E82" s="673"/>
      <c r="F82" s="612" t="str">
        <f t="shared" si="40"/>
        <v>--</v>
      </c>
      <c r="G82" s="1785" t="str">
        <f>'DATA GPC'!O797</f>
        <v>--</v>
      </c>
      <c r="H82" s="1785" t="str">
        <f>'DATA GPC'!P797</f>
        <v>--</v>
      </c>
      <c r="I82" s="1785" t="str">
        <f>'DATA GPC'!U797</f>
        <v>--</v>
      </c>
      <c r="J82" s="1785" t="str">
        <f>'DATA GPC'!V797</f>
        <v>--</v>
      </c>
      <c r="K82" s="1785" t="str">
        <f>'DATA GPC'!W797</f>
        <v>--</v>
      </c>
      <c r="L82" s="1785" t="str">
        <f>'DATA GPC'!X797</f>
        <v>--</v>
      </c>
      <c r="M82" s="1785" t="str">
        <f>'DATA GPC'!Y797</f>
        <v>--</v>
      </c>
      <c r="N82" s="1527"/>
      <c r="O82" s="1364" t="str">
        <f t="shared" ref="O82:U82" si="44">IFERROR(G82/G24,"--")</f>
        <v>--</v>
      </c>
      <c r="P82" s="1364" t="str">
        <f t="shared" si="44"/>
        <v>--</v>
      </c>
      <c r="Q82" s="1364" t="str">
        <f t="shared" si="44"/>
        <v>--</v>
      </c>
      <c r="R82" s="1364" t="str">
        <f t="shared" si="44"/>
        <v>--</v>
      </c>
      <c r="S82" s="1364" t="str">
        <f t="shared" si="44"/>
        <v>--</v>
      </c>
      <c r="T82" s="1364" t="str">
        <f t="shared" si="44"/>
        <v>--</v>
      </c>
      <c r="U82" s="1364" t="str">
        <f t="shared" si="44"/>
        <v>--</v>
      </c>
      <c r="V82" s="1364"/>
      <c r="W82" s="1364" t="str">
        <f>IFERROR(AVERAGE($Q82:R82),"--")</f>
        <v>--</v>
      </c>
      <c r="X82" s="1364" t="str">
        <f>IFERROR(AVERAGE($Q82:S82),"--")</f>
        <v>--</v>
      </c>
      <c r="Z82" s="1546"/>
    </row>
    <row r="83" spans="1:26" s="1525" customFormat="1" ht="12" customHeight="1">
      <c r="A83" s="1510" t="str">
        <f t="shared" si="41"/>
        <v>n</v>
      </c>
      <c r="B83" s="1510"/>
      <c r="C83" s="2060"/>
      <c r="D83" s="146" t="str">
        <f t="shared" si="39"/>
        <v>--</v>
      </c>
      <c r="E83" s="673"/>
      <c r="F83" s="612" t="str">
        <f t="shared" si="40"/>
        <v>--</v>
      </c>
      <c r="G83" s="1785" t="str">
        <f>'DATA GPC'!O798</f>
        <v>--</v>
      </c>
      <c r="H83" s="1785" t="str">
        <f>'DATA GPC'!P798</f>
        <v>--</v>
      </c>
      <c r="I83" s="1785" t="str">
        <f>'DATA GPC'!U798</f>
        <v>--</v>
      </c>
      <c r="J83" s="1785" t="str">
        <f>'DATA GPC'!V798</f>
        <v>--</v>
      </c>
      <c r="K83" s="1785" t="str">
        <f>'DATA GPC'!W798</f>
        <v>--</v>
      </c>
      <c r="L83" s="1785" t="str">
        <f>'DATA GPC'!X798</f>
        <v>--</v>
      </c>
      <c r="M83" s="1785" t="str">
        <f>'DATA GPC'!Y798</f>
        <v>--</v>
      </c>
      <c r="N83" s="1527"/>
      <c r="O83" s="1364" t="str">
        <f t="shared" ref="O83:U83" si="45">IFERROR(G83/G25,"--")</f>
        <v>--</v>
      </c>
      <c r="P83" s="1364" t="str">
        <f t="shared" si="45"/>
        <v>--</v>
      </c>
      <c r="Q83" s="1364" t="str">
        <f t="shared" si="45"/>
        <v>--</v>
      </c>
      <c r="R83" s="1364" t="str">
        <f t="shared" si="45"/>
        <v>--</v>
      </c>
      <c r="S83" s="1364" t="str">
        <f t="shared" si="45"/>
        <v>--</v>
      </c>
      <c r="T83" s="1364" t="str">
        <f t="shared" si="45"/>
        <v>--</v>
      </c>
      <c r="U83" s="1364" t="str">
        <f t="shared" si="45"/>
        <v>--</v>
      </c>
      <c r="V83" s="1364"/>
      <c r="W83" s="1364" t="str">
        <f>IFERROR(AVERAGE($Q83:R83),"--")</f>
        <v>--</v>
      </c>
      <c r="X83" s="1364" t="str">
        <f>IFERROR(AVERAGE($Q83:S83),"--")</f>
        <v>--</v>
      </c>
      <c r="Z83" s="1546"/>
    </row>
    <row r="84" spans="1:26" s="1525" customFormat="1" ht="12" customHeight="1">
      <c r="A84" s="1510" t="str">
        <f t="shared" si="41"/>
        <v>n</v>
      </c>
      <c r="B84" s="1510"/>
      <c r="C84" s="2060"/>
      <c r="D84" s="146" t="str">
        <f t="shared" si="39"/>
        <v>--</v>
      </c>
      <c r="E84" s="673"/>
      <c r="F84" s="612" t="str">
        <f t="shared" si="40"/>
        <v>--</v>
      </c>
      <c r="G84" s="1785" t="str">
        <f>'DATA GPC'!O799</f>
        <v>--</v>
      </c>
      <c r="H84" s="1785" t="str">
        <f>'DATA GPC'!P799</f>
        <v>--</v>
      </c>
      <c r="I84" s="1785" t="str">
        <f>'DATA GPC'!U799</f>
        <v>--</v>
      </c>
      <c r="J84" s="1785" t="str">
        <f>'DATA GPC'!V799</f>
        <v>--</v>
      </c>
      <c r="K84" s="1785" t="str">
        <f>'DATA GPC'!W799</f>
        <v>--</v>
      </c>
      <c r="L84" s="1785" t="str">
        <f>'DATA GPC'!X799</f>
        <v>--</v>
      </c>
      <c r="M84" s="1785" t="str">
        <f>'DATA GPC'!Y799</f>
        <v>--</v>
      </c>
      <c r="N84" s="1527"/>
      <c r="O84" s="1364" t="str">
        <f t="shared" ref="O84:U84" si="46">IFERROR(G84/G26,"--")</f>
        <v>--</v>
      </c>
      <c r="P84" s="1364" t="str">
        <f t="shared" si="46"/>
        <v>--</v>
      </c>
      <c r="Q84" s="1364" t="str">
        <f t="shared" si="46"/>
        <v>--</v>
      </c>
      <c r="R84" s="1364" t="str">
        <f t="shared" si="46"/>
        <v>--</v>
      </c>
      <c r="S84" s="1364" t="str">
        <f t="shared" si="46"/>
        <v>--</v>
      </c>
      <c r="T84" s="1364" t="str">
        <f t="shared" si="46"/>
        <v>--</v>
      </c>
      <c r="U84" s="1364" t="str">
        <f t="shared" si="46"/>
        <v>--</v>
      </c>
      <c r="V84" s="1364"/>
      <c r="W84" s="1364" t="str">
        <f>IFERROR(AVERAGE($Q84:R84),"--")</f>
        <v>--</v>
      </c>
      <c r="X84" s="1364" t="str">
        <f>IFERROR(AVERAGE($Q84:S84),"--")</f>
        <v>--</v>
      </c>
      <c r="Z84" s="1546"/>
    </row>
    <row r="85" spans="1:26" s="1525" customFormat="1" ht="12" customHeight="1">
      <c r="A85" s="1510" t="str">
        <f t="shared" si="41"/>
        <v>n</v>
      </c>
      <c r="B85" s="1510"/>
      <c r="C85" s="2060"/>
      <c r="D85" s="146" t="str">
        <f t="shared" si="39"/>
        <v>--</v>
      </c>
      <c r="E85" s="673"/>
      <c r="F85" s="612" t="str">
        <f t="shared" si="40"/>
        <v>--</v>
      </c>
      <c r="G85" s="1785" t="str">
        <f>'DATA GPC'!O800</f>
        <v>--</v>
      </c>
      <c r="H85" s="1785" t="str">
        <f>'DATA GPC'!P800</f>
        <v>--</v>
      </c>
      <c r="I85" s="1785" t="str">
        <f>'DATA GPC'!U800</f>
        <v>--</v>
      </c>
      <c r="J85" s="1785" t="str">
        <f>'DATA GPC'!V800</f>
        <v>--</v>
      </c>
      <c r="K85" s="1785" t="str">
        <f>'DATA GPC'!W800</f>
        <v>--</v>
      </c>
      <c r="L85" s="1785" t="str">
        <f>'DATA GPC'!X800</f>
        <v>--</v>
      </c>
      <c r="M85" s="1785" t="str">
        <f>'DATA GPC'!Y800</f>
        <v>--</v>
      </c>
      <c r="N85" s="1527"/>
      <c r="O85" s="1364" t="str">
        <f t="shared" ref="O85:U85" si="47">IFERROR(G85/G27,"--")</f>
        <v>--</v>
      </c>
      <c r="P85" s="1364" t="str">
        <f t="shared" si="47"/>
        <v>--</v>
      </c>
      <c r="Q85" s="1364" t="str">
        <f t="shared" si="47"/>
        <v>--</v>
      </c>
      <c r="R85" s="1364" t="str">
        <f t="shared" si="47"/>
        <v>--</v>
      </c>
      <c r="S85" s="1364" t="str">
        <f t="shared" si="47"/>
        <v>--</v>
      </c>
      <c r="T85" s="1364" t="str">
        <f t="shared" si="47"/>
        <v>--</v>
      </c>
      <c r="U85" s="1364" t="str">
        <f t="shared" si="47"/>
        <v>--</v>
      </c>
      <c r="V85" s="1364"/>
      <c r="W85" s="1364" t="str">
        <f>IFERROR(AVERAGE($Q85:R85),"--")</f>
        <v>--</v>
      </c>
      <c r="X85" s="1364" t="str">
        <f>IFERROR(AVERAGE($Q85:S85),"--")</f>
        <v>--</v>
      </c>
      <c r="Z85" s="1546"/>
    </row>
    <row r="86" spans="1:26" s="1525" customFormat="1" ht="12" customHeight="1">
      <c r="A86" s="1510" t="str">
        <f t="shared" si="41"/>
        <v>n</v>
      </c>
      <c r="B86" s="1510"/>
      <c r="C86" s="2060"/>
      <c r="D86" s="146" t="str">
        <f t="shared" si="39"/>
        <v>--</v>
      </c>
      <c r="E86" s="673"/>
      <c r="F86" s="612" t="str">
        <f t="shared" si="40"/>
        <v>--</v>
      </c>
      <c r="G86" s="1785" t="str">
        <f>'DATA GPC'!O801</f>
        <v>--</v>
      </c>
      <c r="H86" s="1785" t="str">
        <f>'DATA GPC'!P801</f>
        <v>--</v>
      </c>
      <c r="I86" s="1785" t="str">
        <f>'DATA GPC'!U801</f>
        <v>--</v>
      </c>
      <c r="J86" s="1785" t="str">
        <f>'DATA GPC'!V801</f>
        <v>--</v>
      </c>
      <c r="K86" s="1785" t="str">
        <f>'DATA GPC'!W801</f>
        <v>--</v>
      </c>
      <c r="L86" s="1785" t="str">
        <f>'DATA GPC'!X801</f>
        <v>--</v>
      </c>
      <c r="M86" s="1785" t="str">
        <f>'DATA GPC'!Y801</f>
        <v>--</v>
      </c>
      <c r="N86" s="1527"/>
      <c r="O86" s="1364" t="str">
        <f t="shared" ref="O86:U86" si="48">IFERROR(G86/G28,"--")</f>
        <v>--</v>
      </c>
      <c r="P86" s="1364" t="str">
        <f t="shared" si="48"/>
        <v>--</v>
      </c>
      <c r="Q86" s="1364" t="str">
        <f t="shared" si="48"/>
        <v>--</v>
      </c>
      <c r="R86" s="1364" t="str">
        <f t="shared" si="48"/>
        <v>--</v>
      </c>
      <c r="S86" s="1364" t="str">
        <f t="shared" si="48"/>
        <v>--</v>
      </c>
      <c r="T86" s="1364" t="str">
        <f t="shared" si="48"/>
        <v>--</v>
      </c>
      <c r="U86" s="1364" t="str">
        <f t="shared" si="48"/>
        <v>--</v>
      </c>
      <c r="V86" s="1364"/>
      <c r="W86" s="1364" t="str">
        <f>IFERROR(AVERAGE($Q86:R86),"--")</f>
        <v>--</v>
      </c>
      <c r="X86" s="1364" t="str">
        <f>IFERROR(AVERAGE($Q86:S86),"--")</f>
        <v>--</v>
      </c>
      <c r="Z86" s="1546"/>
    </row>
    <row r="87" spans="1:26" s="1525" customFormat="1" ht="12" customHeight="1">
      <c r="A87" s="1510" t="str">
        <f t="shared" si="41"/>
        <v>n</v>
      </c>
      <c r="B87" s="1510"/>
      <c r="C87" s="2060"/>
      <c r="D87" s="146" t="str">
        <f t="shared" si="39"/>
        <v>--</v>
      </c>
      <c r="E87" s="673"/>
      <c r="F87" s="612" t="str">
        <f t="shared" si="40"/>
        <v>--</v>
      </c>
      <c r="G87" s="1785" t="str">
        <f>'DATA GPC'!O802</f>
        <v>--</v>
      </c>
      <c r="H87" s="1785" t="str">
        <f>'DATA GPC'!P802</f>
        <v>--</v>
      </c>
      <c r="I87" s="1785" t="str">
        <f>'DATA GPC'!U802</f>
        <v>--</v>
      </c>
      <c r="J87" s="1785" t="str">
        <f>'DATA GPC'!V802</f>
        <v>--</v>
      </c>
      <c r="K87" s="1785" t="str">
        <f>'DATA GPC'!W802</f>
        <v>--</v>
      </c>
      <c r="L87" s="1785" t="str">
        <f>'DATA GPC'!X802</f>
        <v>--</v>
      </c>
      <c r="M87" s="1785" t="str">
        <f>'DATA GPC'!Y802</f>
        <v>--</v>
      </c>
      <c r="N87" s="1527"/>
      <c r="O87" s="1364" t="str">
        <f t="shared" ref="O87:U87" si="49">IFERROR(G87/G29,"--")</f>
        <v>--</v>
      </c>
      <c r="P87" s="1364" t="str">
        <f t="shared" si="49"/>
        <v>--</v>
      </c>
      <c r="Q87" s="1364" t="str">
        <f t="shared" si="49"/>
        <v>--</v>
      </c>
      <c r="R87" s="1364" t="str">
        <f t="shared" si="49"/>
        <v>--</v>
      </c>
      <c r="S87" s="1364" t="str">
        <f t="shared" si="49"/>
        <v>--</v>
      </c>
      <c r="T87" s="1364" t="str">
        <f t="shared" si="49"/>
        <v>--</v>
      </c>
      <c r="U87" s="1364" t="str">
        <f t="shared" si="49"/>
        <v>--</v>
      </c>
      <c r="V87" s="1364"/>
      <c r="W87" s="1364" t="str">
        <f>IFERROR(AVERAGE($Q87:R87),"--")</f>
        <v>--</v>
      </c>
      <c r="X87" s="1364" t="str">
        <f>IFERROR(AVERAGE($Q87:S87),"--")</f>
        <v>--</v>
      </c>
      <c r="Z87" s="1546"/>
    </row>
    <row r="88" spans="1:26" s="1525" customFormat="1" ht="12" customHeight="1">
      <c r="A88" s="1510" t="str">
        <f t="shared" si="41"/>
        <v>n</v>
      </c>
      <c r="B88" s="1510"/>
      <c r="C88" s="2060"/>
      <c r="D88" s="146" t="str">
        <f t="shared" si="39"/>
        <v>--</v>
      </c>
      <c r="E88" s="673"/>
      <c r="F88" s="612" t="str">
        <f t="shared" si="40"/>
        <v>--</v>
      </c>
      <c r="G88" s="1785" t="str">
        <f>'DATA GPC'!O803</f>
        <v>--</v>
      </c>
      <c r="H88" s="1785" t="str">
        <f>'DATA GPC'!P803</f>
        <v>--</v>
      </c>
      <c r="I88" s="1785" t="str">
        <f>'DATA GPC'!U803</f>
        <v>--</v>
      </c>
      <c r="J88" s="1785" t="str">
        <f>'DATA GPC'!V803</f>
        <v>--</v>
      </c>
      <c r="K88" s="1785" t="str">
        <f>'DATA GPC'!W803</f>
        <v>--</v>
      </c>
      <c r="L88" s="1785" t="str">
        <f>'DATA GPC'!X803</f>
        <v>--</v>
      </c>
      <c r="M88" s="1785" t="str">
        <f>'DATA GPC'!Y803</f>
        <v>--</v>
      </c>
      <c r="N88" s="1527"/>
      <c r="O88" s="1364" t="str">
        <f t="shared" ref="O88:U88" si="50">IFERROR(G88/G30,"--")</f>
        <v>--</v>
      </c>
      <c r="P88" s="1364" t="str">
        <f t="shared" si="50"/>
        <v>--</v>
      </c>
      <c r="Q88" s="1364" t="str">
        <f t="shared" si="50"/>
        <v>--</v>
      </c>
      <c r="R88" s="1364" t="str">
        <f t="shared" si="50"/>
        <v>--</v>
      </c>
      <c r="S88" s="1364" t="str">
        <f t="shared" si="50"/>
        <v>--</v>
      </c>
      <c r="T88" s="1364" t="str">
        <f t="shared" si="50"/>
        <v>--</v>
      </c>
      <c r="U88" s="1364" t="str">
        <f t="shared" si="50"/>
        <v>--</v>
      </c>
      <c r="V88" s="1364"/>
      <c r="W88" s="1364" t="str">
        <f>IFERROR(AVERAGE($Q88:R88),"--")</f>
        <v>--</v>
      </c>
      <c r="X88" s="1364" t="str">
        <f>IFERROR(AVERAGE($Q88:S88),"--")</f>
        <v>--</v>
      </c>
      <c r="Z88" s="1546"/>
    </row>
    <row r="89" spans="1:26" s="1525" customFormat="1" ht="12" customHeight="1">
      <c r="A89" s="1510" t="str">
        <f t="shared" si="41"/>
        <v>n</v>
      </c>
      <c r="B89" s="1510"/>
      <c r="C89" s="2060"/>
      <c r="D89" s="146" t="str">
        <f t="shared" si="39"/>
        <v>--</v>
      </c>
      <c r="E89" s="673"/>
      <c r="F89" s="612" t="str">
        <f t="shared" si="40"/>
        <v>--</v>
      </c>
      <c r="G89" s="1785" t="str">
        <f>'DATA GPC'!O804</f>
        <v>--</v>
      </c>
      <c r="H89" s="1785" t="str">
        <f>'DATA GPC'!P804</f>
        <v>--</v>
      </c>
      <c r="I89" s="1785" t="str">
        <f>'DATA GPC'!U804</f>
        <v>--</v>
      </c>
      <c r="J89" s="1785" t="str">
        <f>'DATA GPC'!V804</f>
        <v>--</v>
      </c>
      <c r="K89" s="1785" t="str">
        <f>'DATA GPC'!W804</f>
        <v>--</v>
      </c>
      <c r="L89" s="1785" t="str">
        <f>'DATA GPC'!X804</f>
        <v>--</v>
      </c>
      <c r="M89" s="1785" t="str">
        <f>'DATA GPC'!Y804</f>
        <v>--</v>
      </c>
      <c r="N89" s="1527"/>
      <c r="O89" s="1364" t="str">
        <f t="shared" ref="O89:U89" si="51">IFERROR(G89/G31,"--")</f>
        <v>--</v>
      </c>
      <c r="P89" s="1364" t="str">
        <f t="shared" si="51"/>
        <v>--</v>
      </c>
      <c r="Q89" s="1364" t="str">
        <f t="shared" si="51"/>
        <v>--</v>
      </c>
      <c r="R89" s="1364" t="str">
        <f t="shared" si="51"/>
        <v>--</v>
      </c>
      <c r="S89" s="1364" t="str">
        <f t="shared" si="51"/>
        <v>--</v>
      </c>
      <c r="T89" s="1364" t="str">
        <f t="shared" si="51"/>
        <v>--</v>
      </c>
      <c r="U89" s="1364" t="str">
        <f t="shared" si="51"/>
        <v>--</v>
      </c>
      <c r="V89" s="1364"/>
      <c r="W89" s="1364" t="str">
        <f>IFERROR(AVERAGE($Q89:R89),"--")</f>
        <v>--</v>
      </c>
      <c r="X89" s="1364" t="str">
        <f>IFERROR(AVERAGE($Q89:S89),"--")</f>
        <v>--</v>
      </c>
      <c r="Z89" s="1546"/>
    </row>
    <row r="90" spans="1:26" s="1525" customFormat="1" ht="12" customHeight="1">
      <c r="A90" s="1510" t="str">
        <f t="shared" si="41"/>
        <v>n</v>
      </c>
      <c r="B90" s="1510"/>
      <c r="C90" s="2060"/>
      <c r="D90" s="146" t="str">
        <f t="shared" si="39"/>
        <v>--</v>
      </c>
      <c r="E90" s="673"/>
      <c r="F90" s="612" t="str">
        <f t="shared" si="40"/>
        <v>--</v>
      </c>
      <c r="G90" s="1785" t="str">
        <f>'DATA GPC'!O805</f>
        <v>--</v>
      </c>
      <c r="H90" s="1785" t="str">
        <f>'DATA GPC'!P805</f>
        <v>--</v>
      </c>
      <c r="I90" s="1785" t="str">
        <f>'DATA GPC'!U805</f>
        <v>--</v>
      </c>
      <c r="J90" s="1785" t="str">
        <f>'DATA GPC'!V805</f>
        <v>--</v>
      </c>
      <c r="K90" s="1785" t="str">
        <f>'DATA GPC'!W805</f>
        <v>--</v>
      </c>
      <c r="L90" s="1785" t="str">
        <f>'DATA GPC'!X805</f>
        <v>--</v>
      </c>
      <c r="M90" s="1785" t="str">
        <f>'DATA GPC'!Y805</f>
        <v>--</v>
      </c>
      <c r="N90" s="1527"/>
      <c r="O90" s="1364" t="str">
        <f t="shared" ref="O90:U90" si="52">IFERROR(G90/G32,"--")</f>
        <v>--</v>
      </c>
      <c r="P90" s="1364" t="str">
        <f t="shared" si="52"/>
        <v>--</v>
      </c>
      <c r="Q90" s="1364" t="str">
        <f t="shared" si="52"/>
        <v>--</v>
      </c>
      <c r="R90" s="1364" t="str">
        <f t="shared" si="52"/>
        <v>--</v>
      </c>
      <c r="S90" s="1364" t="str">
        <f t="shared" si="52"/>
        <v>--</v>
      </c>
      <c r="T90" s="1364" t="str">
        <f t="shared" si="52"/>
        <v>--</v>
      </c>
      <c r="U90" s="1364" t="str">
        <f t="shared" si="52"/>
        <v>--</v>
      </c>
      <c r="V90" s="1364"/>
      <c r="W90" s="1364" t="str">
        <f>IFERROR(AVERAGE($Q90:R90),"--")</f>
        <v>--</v>
      </c>
      <c r="X90" s="1364" t="str">
        <f>IFERROR(AVERAGE($Q90:S90),"--")</f>
        <v>--</v>
      </c>
      <c r="Z90" s="1546"/>
    </row>
    <row r="91" spans="1:26" s="1525" customFormat="1" ht="12" customHeight="1">
      <c r="A91" s="1510" t="str">
        <f t="shared" si="41"/>
        <v>n</v>
      </c>
      <c r="B91" s="1510"/>
      <c r="C91" s="2060"/>
      <c r="D91" s="146" t="str">
        <f t="shared" si="39"/>
        <v>--</v>
      </c>
      <c r="E91" s="673"/>
      <c r="F91" s="612" t="str">
        <f t="shared" si="40"/>
        <v>--</v>
      </c>
      <c r="G91" s="1785" t="str">
        <f>'DATA GPC'!O806</f>
        <v>--</v>
      </c>
      <c r="H91" s="1785" t="str">
        <f>'DATA GPC'!P806</f>
        <v>--</v>
      </c>
      <c r="I91" s="1785" t="str">
        <f>'DATA GPC'!U806</f>
        <v>--</v>
      </c>
      <c r="J91" s="1785" t="str">
        <f>'DATA GPC'!V806</f>
        <v>--</v>
      </c>
      <c r="K91" s="1785" t="str">
        <f>'DATA GPC'!W806</f>
        <v>--</v>
      </c>
      <c r="L91" s="1785" t="str">
        <f>'DATA GPC'!X806</f>
        <v>--</v>
      </c>
      <c r="M91" s="1785" t="str">
        <f>'DATA GPC'!Y806</f>
        <v>--</v>
      </c>
      <c r="N91" s="1527"/>
      <c r="O91" s="1364" t="str">
        <f t="shared" ref="O91:U91" si="53">IFERROR(G91/G33,"--")</f>
        <v>--</v>
      </c>
      <c r="P91" s="1364" t="str">
        <f t="shared" si="53"/>
        <v>--</v>
      </c>
      <c r="Q91" s="1364" t="str">
        <f t="shared" si="53"/>
        <v>--</v>
      </c>
      <c r="R91" s="1364" t="str">
        <f t="shared" si="53"/>
        <v>--</v>
      </c>
      <c r="S91" s="1364" t="str">
        <f t="shared" si="53"/>
        <v>--</v>
      </c>
      <c r="T91" s="1364" t="str">
        <f t="shared" si="53"/>
        <v>--</v>
      </c>
      <c r="U91" s="1364" t="str">
        <f t="shared" si="53"/>
        <v>--</v>
      </c>
      <c r="V91" s="1364"/>
      <c r="W91" s="1364" t="str">
        <f>IFERROR(AVERAGE($Q91:R91),"--")</f>
        <v>--</v>
      </c>
      <c r="X91" s="1364" t="str">
        <f>IFERROR(AVERAGE($Q91:S91),"--")</f>
        <v>--</v>
      </c>
      <c r="Z91" s="1546"/>
    </row>
    <row r="92" spans="1:26" ht="12" customHeight="1">
      <c r="A92" s="1510" t="str">
        <f t="shared" si="41"/>
        <v>n</v>
      </c>
      <c r="B92" s="1510"/>
      <c r="C92" s="2060"/>
      <c r="D92" s="146" t="str">
        <f t="shared" si="39"/>
        <v>--</v>
      </c>
      <c r="E92" s="673"/>
      <c r="F92" s="612" t="str">
        <f t="shared" si="40"/>
        <v>--</v>
      </c>
      <c r="G92" s="1785" t="str">
        <f>'DATA GPC'!O807</f>
        <v>--</v>
      </c>
      <c r="H92" s="1785" t="str">
        <f>'DATA GPC'!P807</f>
        <v>--</v>
      </c>
      <c r="I92" s="1785" t="str">
        <f>'DATA GPC'!U807</f>
        <v>--</v>
      </c>
      <c r="J92" s="1785" t="str">
        <f>'DATA GPC'!V807</f>
        <v>--</v>
      </c>
      <c r="K92" s="1785" t="str">
        <f>'DATA GPC'!W807</f>
        <v>--</v>
      </c>
      <c r="L92" s="1785" t="str">
        <f>'DATA GPC'!X807</f>
        <v>--</v>
      </c>
      <c r="M92" s="1785" t="str">
        <f>'DATA GPC'!Y807</f>
        <v>--</v>
      </c>
      <c r="N92" s="1527"/>
      <c r="O92" s="1364" t="str">
        <f t="shared" ref="O92:U92" si="54">IFERROR(G92/G34,"--")</f>
        <v>--</v>
      </c>
      <c r="P92" s="1364" t="str">
        <f t="shared" si="54"/>
        <v>--</v>
      </c>
      <c r="Q92" s="1364" t="str">
        <f t="shared" si="54"/>
        <v>--</v>
      </c>
      <c r="R92" s="1364" t="str">
        <f t="shared" si="54"/>
        <v>--</v>
      </c>
      <c r="S92" s="1364" t="str">
        <f t="shared" si="54"/>
        <v>--</v>
      </c>
      <c r="T92" s="1364" t="str">
        <f t="shared" si="54"/>
        <v>--</v>
      </c>
      <c r="U92" s="1364" t="str">
        <f t="shared" si="54"/>
        <v>--</v>
      </c>
      <c r="V92" s="1364"/>
      <c r="W92" s="1364" t="str">
        <f>IFERROR(AVERAGE($Q92:R92),"--")</f>
        <v>--</v>
      </c>
      <c r="X92" s="1364" t="str">
        <f>IFERROR(AVERAGE($Q92:S92),"--")</f>
        <v>--</v>
      </c>
      <c r="Y92" s="1525"/>
      <c r="Z92" s="1546"/>
    </row>
    <row r="93" spans="1:26" ht="12" customHeight="1">
      <c r="A93" s="1546"/>
      <c r="B93" s="1546"/>
      <c r="C93" s="1525"/>
      <c r="D93" s="1525"/>
      <c r="E93" s="1578"/>
      <c r="F93" s="1578"/>
      <c r="G93" s="1525"/>
      <c r="H93" s="1525"/>
      <c r="I93" s="1525"/>
      <c r="J93" s="1525"/>
      <c r="K93" s="1525"/>
      <c r="L93" s="1525"/>
      <c r="M93" s="1525"/>
      <c r="N93" s="1525"/>
      <c r="O93" s="1525"/>
      <c r="P93" s="1525"/>
      <c r="Q93" s="1525"/>
      <c r="R93" s="1525"/>
      <c r="S93" s="1525"/>
      <c r="T93" s="1525"/>
      <c r="U93" s="1525"/>
      <c r="V93" s="1525"/>
      <c r="W93" s="1525"/>
      <c r="X93" s="1525"/>
      <c r="Y93" s="1525"/>
      <c r="Z93" s="1546"/>
    </row>
    <row r="94" spans="1:26" s="1525" customFormat="1" ht="12" customHeight="1">
      <c r="A94" s="1546"/>
      <c r="B94" s="1546"/>
      <c r="D94" s="1514" t="s">
        <v>1817</v>
      </c>
      <c r="E94" s="1578"/>
      <c r="F94" s="1578"/>
      <c r="Z94" s="1546"/>
    </row>
    <row r="95" spans="1:26" ht="12" customHeight="1">
      <c r="A95" s="1546"/>
      <c r="B95" s="1546"/>
      <c r="C95" s="1525"/>
      <c r="D95" s="1514" t="s">
        <v>1402</v>
      </c>
      <c r="E95" s="1578"/>
      <c r="F95" s="1578"/>
      <c r="G95" s="1525"/>
      <c r="H95" s="1525"/>
      <c r="I95" s="1525"/>
      <c r="J95" s="1525"/>
      <c r="K95" s="1525"/>
      <c r="L95" s="1525"/>
      <c r="M95" s="1525"/>
      <c r="N95" s="1525"/>
      <c r="O95" s="1525"/>
      <c r="P95" s="1525"/>
      <c r="Q95" s="1525"/>
      <c r="R95" s="1525"/>
      <c r="S95" s="1525"/>
      <c r="T95" s="1525"/>
      <c r="U95" s="1525"/>
      <c r="V95" s="1525"/>
      <c r="W95" s="1525"/>
      <c r="X95" s="1525"/>
      <c r="Y95" s="1525"/>
      <c r="Z95" s="1546"/>
    </row>
    <row r="96" spans="1:26" s="1525" customFormat="1" ht="12" customHeight="1">
      <c r="A96" s="1546"/>
      <c r="B96" s="1546"/>
      <c r="D96" s="1514"/>
      <c r="E96" s="1578"/>
      <c r="F96" s="1578"/>
      <c r="Z96" s="1546"/>
    </row>
    <row r="97" spans="1:26" ht="12" customHeight="1">
      <c r="A97" s="1546"/>
      <c r="B97" s="1546"/>
      <c r="C97" s="1525"/>
      <c r="D97" s="1525" t="str">
        <f ca="1">FootnoteDRAFT</f>
        <v>Run date: 05-August-2018  02:34 PM.   DRAFT document. All data subject to change upon completion of additional analysis.</v>
      </c>
      <c r="E97" s="1505"/>
      <c r="F97" s="1505"/>
      <c r="G97" s="1525"/>
      <c r="H97" s="1525"/>
      <c r="I97" s="1525"/>
      <c r="J97" s="1525"/>
      <c r="K97" s="1525"/>
      <c r="L97" s="1525"/>
      <c r="M97" s="1525"/>
      <c r="N97" s="1525"/>
      <c r="O97" s="1525"/>
      <c r="P97" s="1525"/>
      <c r="Q97" s="1525"/>
      <c r="R97" s="1525"/>
      <c r="S97" s="1525"/>
      <c r="T97" s="1525"/>
      <c r="U97" s="1525"/>
      <c r="V97" s="1525"/>
      <c r="W97" s="1525"/>
      <c r="X97" s="1525"/>
      <c r="Y97" s="363"/>
      <c r="Z97" s="1546"/>
    </row>
    <row r="98" spans="1:26" ht="12" customHeight="1">
      <c r="A98" s="1546" t="s">
        <v>17</v>
      </c>
      <c r="B98" s="1546"/>
      <c r="C98" s="1546"/>
      <c r="D98" s="1546"/>
      <c r="E98" s="703"/>
      <c r="F98" s="703"/>
      <c r="G98" s="1546"/>
      <c r="H98" s="1546"/>
      <c r="I98" s="1546"/>
      <c r="J98" s="1546"/>
      <c r="K98" s="1546"/>
      <c r="L98" s="1546"/>
      <c r="M98" s="1546"/>
      <c r="N98" s="1546"/>
      <c r="O98" s="1546"/>
      <c r="P98" s="1546"/>
      <c r="Q98" s="1546"/>
      <c r="R98" s="1546"/>
      <c r="S98" s="1546"/>
      <c r="T98" s="1546"/>
      <c r="U98" s="1546"/>
      <c r="V98" s="1546"/>
      <c r="W98" s="1546"/>
      <c r="X98" s="1546"/>
      <c r="Y98" s="1546" t="s">
        <v>18</v>
      </c>
      <c r="Z98" s="1510"/>
    </row>
    <row r="99" spans="1:26" ht="12" customHeight="1">
      <c r="A99" s="1546"/>
      <c r="B99" s="1546"/>
      <c r="C99" s="1546"/>
      <c r="D99" s="1546"/>
      <c r="E99" s="701"/>
      <c r="F99" s="701"/>
      <c r="G99" s="1546"/>
      <c r="H99" s="1546"/>
      <c r="I99" s="1546"/>
      <c r="J99" s="1546"/>
      <c r="K99" s="1546"/>
      <c r="L99" s="1546"/>
      <c r="M99" s="1546"/>
      <c r="N99" s="1546"/>
      <c r="O99" s="1546"/>
      <c r="P99" s="1546"/>
      <c r="Q99" s="1546"/>
      <c r="R99" s="1546"/>
      <c r="S99" s="1546"/>
      <c r="T99" s="1546"/>
      <c r="U99" s="1546"/>
      <c r="V99" s="1546"/>
      <c r="W99" s="1546"/>
      <c r="X99" s="1546"/>
      <c r="Y99" s="1546"/>
      <c r="Z99" s="1546"/>
    </row>
    <row r="100" spans="1:26" ht="12" customHeight="1">
      <c r="A100" s="1525"/>
      <c r="B100" s="1525"/>
      <c r="C100" s="1525"/>
      <c r="D100" s="1525"/>
      <c r="E100" s="1578"/>
      <c r="F100" s="1578"/>
      <c r="G100" s="1525"/>
      <c r="H100" s="1525"/>
      <c r="I100" s="1525"/>
      <c r="J100" s="1525"/>
      <c r="K100" s="1525"/>
      <c r="L100" s="1525"/>
      <c r="M100" s="1525"/>
      <c r="N100" s="1525"/>
      <c r="O100" s="1525"/>
      <c r="P100" s="1525"/>
      <c r="Q100" s="1525"/>
      <c r="R100" s="1525"/>
      <c r="S100" s="1525"/>
      <c r="T100" s="1525"/>
      <c r="U100" s="1525"/>
      <c r="V100" s="1525"/>
      <c r="W100" s="1525"/>
      <c r="X100" s="1525"/>
      <c r="Y100" s="1525"/>
      <c r="Z100" s="1525"/>
    </row>
    <row r="101" spans="1:26" ht="12" customHeight="1">
      <c r="A101" s="1525"/>
      <c r="B101" s="1525"/>
      <c r="C101" s="1525"/>
      <c r="D101" s="1525"/>
      <c r="E101" s="1578"/>
      <c r="F101" s="1578"/>
      <c r="G101" s="1525"/>
      <c r="H101" s="1525"/>
      <c r="I101" s="1525"/>
      <c r="J101" s="1525"/>
      <c r="K101" s="1525"/>
      <c r="L101" s="1525"/>
      <c r="M101" s="1525"/>
      <c r="N101" s="1525"/>
      <c r="O101" s="1525"/>
      <c r="P101" s="1525"/>
      <c r="Q101" s="1525"/>
      <c r="R101" s="1525"/>
      <c r="S101" s="1525"/>
      <c r="T101" s="1525"/>
      <c r="U101" s="1525"/>
      <c r="V101" s="1525"/>
      <c r="W101" s="1525"/>
      <c r="X101" s="1525"/>
      <c r="Y101" s="1525"/>
      <c r="Z101" s="1525"/>
    </row>
  </sheetData>
  <autoFilter ref="A1:A98"/>
  <conditionalFormatting sqref="B1:B2">
    <cfRule type="cellIs" dxfId="13" priority="1" operator="notEqual">
      <formula>0</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therTools">
    <tabColor theme="3" tint="-0.249977111117893"/>
    <pageSetUpPr autoPageBreaks="0"/>
  </sheetPr>
  <dimension ref="A1:L77"/>
  <sheetViews>
    <sheetView showGridLines="0" zoomScale="85" zoomScaleNormal="85" workbookViewId="0"/>
  </sheetViews>
  <sheetFormatPr defaultColWidth="9.33203125" defaultRowHeight="13.9"/>
  <cols>
    <col min="1" max="1" width="2.83203125" style="362" customWidth="1"/>
    <col min="2" max="2" width="3.83203125" style="362" customWidth="1"/>
    <col min="3" max="16384" width="9.33203125" style="362"/>
  </cols>
  <sheetData>
    <row r="1" spans="1:12" ht="18" customHeight="1">
      <c r="A1" s="2060"/>
      <c r="L1" s="569"/>
    </row>
    <row r="2" spans="1:12" ht="18" customHeight="1"/>
    <row r="3" spans="1:12" ht="18" customHeight="1"/>
    <row r="4" spans="1:12" ht="18" customHeight="1"/>
    <row r="8" spans="1:12">
      <c r="E8" s="362" t="s">
        <v>1585</v>
      </c>
    </row>
    <row r="13" spans="1:12">
      <c r="E13" s="611"/>
    </row>
    <row r="14" spans="1:12">
      <c r="E14" s="611"/>
    </row>
    <row r="15" spans="1:12">
      <c r="E15" s="611"/>
    </row>
    <row r="16" spans="1:12">
      <c r="E16" s="611"/>
    </row>
    <row r="17" spans="1:12">
      <c r="E17" s="611"/>
    </row>
    <row r="18" spans="1:12">
      <c r="E18" s="611"/>
    </row>
    <row r="19" spans="1:12">
      <c r="E19" s="611"/>
    </row>
    <row r="20" spans="1:12">
      <c r="A20" s="1557" t="s">
        <v>17</v>
      </c>
      <c r="E20" s="671"/>
      <c r="L20" s="1557"/>
    </row>
    <row r="21" spans="1:12">
      <c r="E21" s="611"/>
    </row>
    <row r="22" spans="1:12">
      <c r="E22" s="611"/>
    </row>
    <row r="23" spans="1:12">
      <c r="E23" s="611"/>
    </row>
    <row r="24" spans="1:12">
      <c r="E24" s="611"/>
    </row>
    <row r="25" spans="1:12">
      <c r="E25" s="611"/>
    </row>
    <row r="26" spans="1:12">
      <c r="E26" s="611"/>
    </row>
    <row r="27" spans="1:12">
      <c r="E27" s="671"/>
    </row>
    <row r="28" spans="1:12">
      <c r="E28" s="611"/>
    </row>
    <row r="29" spans="1:12">
      <c r="E29" s="611"/>
    </row>
    <row r="30" spans="1:12">
      <c r="E30" s="611"/>
    </row>
    <row r="31" spans="1:12">
      <c r="E31" s="611"/>
    </row>
    <row r="32" spans="1:12">
      <c r="E32" s="611"/>
    </row>
    <row r="33" spans="5:5">
      <c r="E33" s="671"/>
    </row>
    <row r="34" spans="5:5">
      <c r="E34" s="611"/>
    </row>
    <row r="35" spans="5:5">
      <c r="E35" s="611"/>
    </row>
    <row r="36" spans="5:5">
      <c r="E36" s="611"/>
    </row>
    <row r="37" spans="5:5">
      <c r="E37" s="611"/>
    </row>
    <row r="38" spans="5:5">
      <c r="E38" s="611"/>
    </row>
    <row r="39" spans="5:5">
      <c r="E39" s="611"/>
    </row>
    <row r="40" spans="5:5">
      <c r="E40" s="611"/>
    </row>
    <row r="41" spans="5:5">
      <c r="E41" s="611"/>
    </row>
    <row r="42" spans="5:5">
      <c r="E42" s="611"/>
    </row>
    <row r="43" spans="5:5">
      <c r="E43" s="611"/>
    </row>
    <row r="44" spans="5:5">
      <c r="E44" s="611"/>
    </row>
    <row r="45" spans="5:5">
      <c r="E45" s="611"/>
    </row>
    <row r="46" spans="5:5">
      <c r="E46" s="611"/>
    </row>
    <row r="47" spans="5:5">
      <c r="E47" s="671"/>
    </row>
    <row r="48" spans="5:5">
      <c r="E48" s="671"/>
    </row>
    <row r="49" spans="5:5">
      <c r="E49" s="671"/>
    </row>
    <row r="50" spans="5:5">
      <c r="E50" s="671"/>
    </row>
    <row r="51" spans="5:5">
      <c r="E51" s="671"/>
    </row>
    <row r="52" spans="5:5">
      <c r="E52" s="671"/>
    </row>
    <row r="53" spans="5:5">
      <c r="E53" s="671"/>
    </row>
    <row r="54" spans="5:5">
      <c r="E54" s="671"/>
    </row>
    <row r="55" spans="5:5">
      <c r="E55" s="671"/>
    </row>
    <row r="56" spans="5:5">
      <c r="E56" s="671"/>
    </row>
    <row r="57" spans="5:5">
      <c r="E57" s="671"/>
    </row>
    <row r="58" spans="5:5">
      <c r="E58" s="671"/>
    </row>
    <row r="59" spans="5:5">
      <c r="E59" s="671"/>
    </row>
    <row r="60" spans="5:5">
      <c r="E60" s="671"/>
    </row>
    <row r="61" spans="5:5">
      <c r="E61" s="671"/>
    </row>
    <row r="62" spans="5:5">
      <c r="E62" s="611"/>
    </row>
    <row r="63" spans="5:5">
      <c r="E63" s="611"/>
    </row>
    <row r="64" spans="5:5">
      <c r="E64" s="671"/>
    </row>
    <row r="65" spans="5:12">
      <c r="E65" s="671"/>
    </row>
    <row r="66" spans="5:12">
      <c r="E66" s="671"/>
    </row>
    <row r="77" spans="5:12">
      <c r="L77" s="1557" t="s">
        <v>18</v>
      </c>
    </row>
  </sheetData>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2060"/>
    <pageSetUpPr autoPageBreaks="0"/>
  </sheetPr>
  <dimension ref="A1:AA54"/>
  <sheetViews>
    <sheetView showGridLines="0" zoomScale="85" zoomScaleNormal="85" zoomScaleSheetLayoutView="100" workbookViewId="0"/>
  </sheetViews>
  <sheetFormatPr defaultColWidth="9.33203125" defaultRowHeight="18" customHeight="1"/>
  <cols>
    <col min="1" max="1" width="2.83203125" style="1530" customWidth="1"/>
    <col min="2" max="2" width="3.83203125" style="1530" customWidth="1"/>
    <col min="3" max="3" width="7.1640625" style="2073" customWidth="1"/>
    <col min="4" max="4" width="70.5" style="2073" customWidth="1"/>
    <col min="5" max="5" width="16.83203125" style="2073" customWidth="1"/>
    <col min="6" max="11" width="17.6640625" style="2073" customWidth="1"/>
    <col min="12" max="18" width="11.83203125" style="2073" customWidth="1"/>
    <col min="19" max="19" width="39.33203125" style="2073" customWidth="1"/>
    <col min="20" max="20" width="58.5" style="2073" customWidth="1"/>
    <col min="21" max="21" width="9.33203125" style="2073"/>
    <col min="22" max="23" width="9.33203125" style="2073" hidden="1" customWidth="1"/>
    <col min="24" max="16384" width="9.33203125" style="2073"/>
  </cols>
  <sheetData>
    <row r="1" spans="1:21" s="1525" customFormat="1" ht="18" customHeight="1">
      <c r="A1" s="2060"/>
      <c r="B1" s="649">
        <f ca="1">SUMPRODUCT(--ISERROR($C$1:O32))+COUNTIF($C$1:O32,Fail)</f>
        <v>0</v>
      </c>
      <c r="C1" s="838" t="s">
        <v>1818</v>
      </c>
      <c r="D1" s="292"/>
      <c r="E1" s="292"/>
      <c r="F1" s="292"/>
      <c r="G1" s="292"/>
      <c r="H1" s="292"/>
      <c r="I1" s="852"/>
      <c r="J1" s="852"/>
      <c r="K1" s="852"/>
      <c r="L1" s="852"/>
      <c r="M1" s="852"/>
      <c r="N1" s="852"/>
      <c r="O1" s="389" t="s">
        <v>1819</v>
      </c>
      <c r="U1" s="1546"/>
    </row>
    <row r="2" spans="1:21" s="1525" customFormat="1" ht="18" customHeight="1">
      <c r="A2" s="1510"/>
      <c r="B2" s="649"/>
      <c r="C2" s="838" t="str">
        <f>CoNameHeading</f>
        <v>Client Name</v>
      </c>
      <c r="D2" s="292"/>
      <c r="E2" s="292"/>
      <c r="F2" s="292"/>
      <c r="G2" s="292"/>
      <c r="H2" s="292"/>
      <c r="I2" s="852"/>
      <c r="J2" s="852"/>
      <c r="K2" s="852"/>
      <c r="L2" s="852"/>
      <c r="M2" s="852"/>
      <c r="N2" s="852"/>
      <c r="O2" s="389"/>
      <c r="U2" s="1546"/>
    </row>
    <row r="3" spans="1:21" s="1525" customFormat="1" ht="18" customHeight="1">
      <c r="A3" s="1510"/>
      <c r="B3" s="1510"/>
      <c r="C3" s="839" t="s">
        <v>1820</v>
      </c>
      <c r="D3" s="369"/>
      <c r="E3" s="369"/>
      <c r="F3" s="369"/>
      <c r="G3" s="369"/>
      <c r="H3" s="369"/>
      <c r="I3" s="1526"/>
      <c r="U3" s="1546"/>
    </row>
    <row r="4" spans="1:21" s="1525" customFormat="1" ht="18" customHeight="1">
      <c r="A4" s="1510"/>
      <c r="B4" s="1510"/>
      <c r="C4" s="840" t="str">
        <f>ValDateHeading</f>
        <v>Estimation of value as of 28 February 2017</v>
      </c>
      <c r="D4" s="2062"/>
      <c r="E4" s="2062"/>
      <c r="F4" s="2062"/>
      <c r="G4" s="2062"/>
      <c r="H4" s="2062"/>
      <c r="I4" s="1526"/>
      <c r="J4" s="1526"/>
      <c r="K4" s="1526"/>
      <c r="L4" s="1526"/>
      <c r="M4" s="1526"/>
      <c r="N4" s="1526"/>
      <c r="U4" s="1546"/>
    </row>
    <row r="5" spans="1:21" s="1525" customFormat="1" ht="18" customHeight="1">
      <c r="A5" s="1417"/>
      <c r="B5" s="1510"/>
      <c r="C5" s="769" t="str">
        <f>OutputCurrencyLabel</f>
        <v>(USD in Millions)</v>
      </c>
      <c r="D5" s="366"/>
      <c r="E5" s="366"/>
      <c r="F5" s="366"/>
      <c r="G5" s="366"/>
      <c r="H5" s="366"/>
      <c r="I5" s="1526"/>
      <c r="J5" s="1526"/>
      <c r="K5" s="1526"/>
      <c r="L5" s="1526"/>
      <c r="M5" s="1526"/>
      <c r="N5" s="1526"/>
      <c r="U5" s="1546"/>
    </row>
    <row r="6" spans="1:21" s="1525" customFormat="1" ht="18" customHeight="1">
      <c r="A6" s="1510"/>
      <c r="B6" s="1510"/>
      <c r="C6" s="340"/>
      <c r="D6" s="340"/>
      <c r="E6" s="340"/>
      <c r="F6" s="340"/>
      <c r="G6" s="340"/>
      <c r="H6" s="340"/>
      <c r="I6" s="1526"/>
      <c r="J6" s="1526"/>
      <c r="K6" s="1526"/>
      <c r="L6" s="1526"/>
      <c r="M6" s="1526"/>
      <c r="N6" s="1526"/>
      <c r="U6" s="1546"/>
    </row>
    <row r="7" spans="1:21" s="1527" customFormat="1" ht="18" customHeight="1">
      <c r="A7" s="1510"/>
      <c r="B7" s="1510"/>
      <c r="C7" s="566" t="s">
        <v>1821</v>
      </c>
      <c r="D7" s="566"/>
      <c r="E7" s="564"/>
      <c r="F7" s="564"/>
      <c r="G7" s="564"/>
      <c r="H7" s="565"/>
      <c r="I7" s="565"/>
      <c r="J7" s="565"/>
      <c r="K7" s="565"/>
      <c r="L7" s="565"/>
      <c r="M7" s="565"/>
      <c r="N7" s="565"/>
      <c r="O7" s="2044"/>
      <c r="P7" s="2044"/>
      <c r="Q7" s="2044"/>
      <c r="R7" s="2044"/>
      <c r="S7" s="2044"/>
      <c r="T7" s="2044"/>
      <c r="U7" s="1546"/>
    </row>
    <row r="8" spans="1:21" s="2060" customFormat="1" ht="18" customHeight="1">
      <c r="A8" s="1417"/>
      <c r="B8" s="1510"/>
      <c r="C8" s="2061"/>
      <c r="U8" s="1546"/>
    </row>
    <row r="9" spans="1:21" s="2060" customFormat="1" ht="18" customHeight="1">
      <c r="A9" s="1510"/>
      <c r="B9" s="1510"/>
      <c r="C9" s="2061"/>
      <c r="U9" s="1546"/>
    </row>
    <row r="10" spans="1:21" s="2060" customFormat="1" ht="18" customHeight="1">
      <c r="A10" s="1510"/>
      <c r="B10" s="1510"/>
      <c r="C10" s="2061"/>
      <c r="U10" s="1546"/>
    </row>
    <row r="11" spans="1:21" s="2060" customFormat="1" ht="18" customHeight="1">
      <c r="A11" s="1510"/>
      <c r="B11" s="1510"/>
      <c r="C11" s="2061"/>
      <c r="U11" s="1546"/>
    </row>
    <row r="12" spans="1:21" s="2060" customFormat="1" ht="18" customHeight="1">
      <c r="A12" s="1510"/>
      <c r="B12" s="1510"/>
      <c r="C12" s="2061"/>
      <c r="U12" s="1546"/>
    </row>
    <row r="13" spans="1:21" s="2060" customFormat="1" ht="18" customHeight="1">
      <c r="A13" s="1510"/>
      <c r="B13" s="1510"/>
      <c r="C13" s="2061"/>
      <c r="U13" s="1546"/>
    </row>
    <row r="14" spans="1:21" s="2060" customFormat="1" ht="18" customHeight="1">
      <c r="A14" s="1510"/>
      <c r="B14" s="1510"/>
      <c r="C14" s="2061"/>
      <c r="U14" s="1546"/>
    </row>
    <row r="15" spans="1:21" s="2060" customFormat="1" ht="18" customHeight="1">
      <c r="A15" s="1510"/>
      <c r="B15" s="1510"/>
      <c r="C15" s="2061"/>
      <c r="U15" s="1546"/>
    </row>
    <row r="16" spans="1:21" s="2060" customFormat="1" ht="18" customHeight="1">
      <c r="A16" s="1510"/>
      <c r="B16" s="1510"/>
      <c r="C16" s="2061"/>
      <c r="U16" s="1546"/>
    </row>
    <row r="17" spans="1:27" s="2060" customFormat="1" ht="18" customHeight="1">
      <c r="A17" s="1510"/>
      <c r="B17" s="1510"/>
      <c r="C17" s="2061"/>
      <c r="U17" s="1546"/>
    </row>
    <row r="18" spans="1:27" s="2060" customFormat="1" ht="18" customHeight="1">
      <c r="A18" s="1510"/>
      <c r="B18" s="1510"/>
      <c r="C18" s="2061"/>
      <c r="U18" s="1546"/>
    </row>
    <row r="19" spans="1:27" s="2060" customFormat="1" ht="18" customHeight="1">
      <c r="A19" s="1510"/>
      <c r="B19" s="1510"/>
      <c r="C19" s="2061"/>
      <c r="U19" s="1546"/>
    </row>
    <row r="20" spans="1:27" s="2060" customFormat="1" ht="18" customHeight="1">
      <c r="A20" s="1510"/>
      <c r="B20" s="1510"/>
      <c r="C20" s="2061"/>
      <c r="U20" s="1546"/>
    </row>
    <row r="21" spans="1:27" s="2060" customFormat="1" ht="18" customHeight="1">
      <c r="A21" s="1510"/>
      <c r="B21" s="1510"/>
      <c r="C21" s="2061"/>
      <c r="U21" s="1546"/>
    </row>
    <row r="22" spans="1:27" s="2060" customFormat="1" ht="18" customHeight="1">
      <c r="A22" s="1510"/>
      <c r="B22" s="1510"/>
      <c r="C22" s="2061"/>
      <c r="U22" s="1546"/>
    </row>
    <row r="23" spans="1:27" s="2060" customFormat="1" ht="18" customHeight="1">
      <c r="A23" s="1510"/>
      <c r="B23" s="1510"/>
      <c r="C23" s="2061"/>
      <c r="U23" s="1546"/>
    </row>
    <row r="24" spans="1:27" s="2060" customFormat="1" ht="18" customHeight="1">
      <c r="A24" s="1510"/>
      <c r="B24" s="1510"/>
      <c r="C24" s="2061"/>
      <c r="U24" s="1546"/>
    </row>
    <row r="25" spans="1:27" s="2060" customFormat="1" ht="18" customHeight="1">
      <c r="A25" s="1510"/>
      <c r="B25" s="1510"/>
      <c r="C25" s="2061"/>
      <c r="U25" s="1546"/>
    </row>
    <row r="26" spans="1:27" s="2060" customFormat="1" ht="18" customHeight="1">
      <c r="A26" s="1510"/>
      <c r="B26" s="1510"/>
      <c r="C26" s="2061"/>
      <c r="U26" s="1546"/>
    </row>
    <row r="27" spans="1:27" s="2060" customFormat="1" ht="18" customHeight="1">
      <c r="A27" s="1510"/>
      <c r="B27" s="1510"/>
      <c r="C27" s="2060" t="str">
        <f ca="1">FootnoteDRAFT</f>
        <v>Run date: 05-August-2018  02:34 PM.   DRAFT document. All data subject to change upon completion of additional analysis.</v>
      </c>
      <c r="U27" s="1546"/>
    </row>
    <row r="28" spans="1:27" s="2060" customFormat="1" ht="18" customHeight="1">
      <c r="A28" s="1510"/>
      <c r="B28" s="1510"/>
      <c r="U28" s="1546"/>
    </row>
    <row r="29" spans="1:27" s="2062" customFormat="1" ht="18" customHeight="1">
      <c r="A29" s="1510"/>
      <c r="B29" s="1510"/>
      <c r="C29" s="566" t="s">
        <v>1822</v>
      </c>
      <c r="D29" s="566"/>
      <c r="E29" s="707"/>
      <c r="F29" s="564"/>
      <c r="G29" s="564"/>
      <c r="H29" s="565"/>
      <c r="I29" s="565"/>
      <c r="J29" s="565"/>
      <c r="K29" s="565"/>
      <c r="L29" s="565"/>
      <c r="M29" s="565"/>
      <c r="N29" s="565"/>
      <c r="O29" s="563"/>
      <c r="P29" s="563"/>
      <c r="Q29" s="563"/>
      <c r="R29" s="563"/>
      <c r="S29" s="563"/>
      <c r="T29" s="563"/>
      <c r="U29" s="1546"/>
      <c r="V29" s="2064" t="s">
        <v>1820</v>
      </c>
      <c r="W29" s="2065" t="s">
        <v>1823</v>
      </c>
      <c r="X29" s="2063"/>
      <c r="Y29" s="2063"/>
      <c r="Z29" s="2063"/>
      <c r="AA29" s="2063"/>
    </row>
    <row r="30" spans="1:27" s="2060" customFormat="1" ht="18" customHeight="1">
      <c r="A30" s="1510"/>
      <c r="B30" s="1510"/>
      <c r="D30" s="2066"/>
      <c r="E30" s="2066"/>
      <c r="F30" s="2067"/>
      <c r="G30" s="2067"/>
      <c r="H30" s="2067"/>
      <c r="I30" s="2067"/>
      <c r="J30" s="2067"/>
      <c r="K30" s="2067"/>
      <c r="L30" s="2067"/>
      <c r="M30" s="2067"/>
      <c r="N30" s="2067"/>
      <c r="O30" s="2067"/>
      <c r="P30" s="2067"/>
      <c r="Q30" s="2067"/>
      <c r="R30" s="2067"/>
      <c r="S30" s="2067"/>
      <c r="T30" s="2067"/>
      <c r="U30" s="1546"/>
      <c r="V30" s="2067"/>
      <c r="W30" s="2067"/>
      <c r="X30" s="2067"/>
      <c r="Y30" s="2067"/>
      <c r="Z30" s="2067"/>
      <c r="AA30" s="2067"/>
    </row>
    <row r="31" spans="1:27" customFormat="1" ht="36.75" customHeight="1">
      <c r="A31" s="1510"/>
      <c r="B31" s="1510"/>
      <c r="C31" s="2060"/>
      <c r="D31" s="2060"/>
      <c r="E31" s="2060"/>
      <c r="F31" s="2060"/>
      <c r="G31" s="2060"/>
      <c r="H31" s="2060"/>
      <c r="I31" s="2060"/>
      <c r="J31" s="2060"/>
      <c r="K31" s="2060"/>
      <c r="L31" s="2060"/>
      <c r="M31" s="2060"/>
      <c r="N31" s="2060"/>
      <c r="O31" s="2060"/>
      <c r="P31" s="2060"/>
      <c r="Q31" s="2060"/>
      <c r="R31" s="2060"/>
      <c r="S31" s="2060"/>
      <c r="T31" s="2060"/>
      <c r="U31" s="2060"/>
      <c r="V31" s="2060"/>
      <c r="W31" s="2060"/>
      <c r="X31" s="2060"/>
      <c r="Y31" s="2060"/>
      <c r="Z31" s="2060"/>
      <c r="AA31" s="2060"/>
    </row>
    <row r="32" spans="1:27" ht="38.25" customHeight="1">
      <c r="A32" s="1510"/>
      <c r="B32" s="1510"/>
      <c r="C32" s="2060"/>
      <c r="D32" s="2083"/>
      <c r="E32" s="2083" t="s">
        <v>857</v>
      </c>
      <c r="F32" s="2084" t="s">
        <v>1824</v>
      </c>
      <c r="G32" s="2084" t="s">
        <v>1825</v>
      </c>
      <c r="H32" s="2084" t="s">
        <v>1826</v>
      </c>
      <c r="I32" s="2084" t="s">
        <v>1827</v>
      </c>
      <c r="J32" s="2084" t="s">
        <v>1828</v>
      </c>
      <c r="K32" s="2060"/>
      <c r="L32" s="2060"/>
      <c r="M32" s="2060"/>
      <c r="N32" s="2060"/>
      <c r="O32" s="2060"/>
      <c r="P32" s="2060"/>
      <c r="Q32" s="2060"/>
      <c r="R32" s="2060"/>
      <c r="S32" s="2071"/>
      <c r="T32" s="2071"/>
      <c r="U32" s="2072"/>
      <c r="V32" s="2071"/>
      <c r="W32" s="2071"/>
      <c r="X32" s="2071"/>
      <c r="Y32" s="2071"/>
      <c r="Z32" s="2071"/>
      <c r="AA32" s="2071"/>
    </row>
    <row r="33" spans="1:18" ht="18" customHeight="1">
      <c r="A33" s="1510" t="str">
        <f t="shared" ref="A33:A39" ca="1" si="0">IF(E33=0,"n","")</f>
        <v>n</v>
      </c>
      <c r="B33" s="1510"/>
      <c r="C33" s="2060"/>
      <c r="D33" s="2087" t="s">
        <v>859</v>
      </c>
      <c r="E33" s="2093">
        <f ca="1">IFERROR('Conclusion of Value'!F10*'Conclusion of Value'!H10,0)</f>
        <v>0</v>
      </c>
      <c r="F33" s="2073">
        <f ca="1">E33</f>
        <v>0</v>
      </c>
      <c r="G33" s="2093">
        <f ca="1">E33</f>
        <v>0</v>
      </c>
      <c r="H33" s="2092" t="str">
        <f ca="1">IF(G33=0,F32,"")</f>
        <v>Cumulative for error bar connectors</v>
      </c>
      <c r="I33" s="2092">
        <f ca="1">IF(G33=0,F33,"")</f>
        <v>0</v>
      </c>
      <c r="J33" s="2092">
        <f t="shared" ref="J33:J42" ca="1" si="1">IF(OR(ISBLANK(H33),H33=""),MAX(E33,0),MAX(H33:I33))</f>
        <v>0</v>
      </c>
      <c r="K33" s="2060"/>
      <c r="L33" s="2060"/>
      <c r="M33" s="2060"/>
      <c r="N33" s="2060"/>
      <c r="O33" s="2060"/>
      <c r="P33" s="2060"/>
      <c r="Q33" s="2060"/>
      <c r="R33" s="2060"/>
    </row>
    <row r="34" spans="1:18" ht="18" customHeight="1">
      <c r="A34" s="1510" t="str">
        <f t="shared" si="0"/>
        <v>n</v>
      </c>
      <c r="B34" s="1510"/>
      <c r="C34" s="2060"/>
      <c r="D34" s="2085" t="s">
        <v>860</v>
      </c>
      <c r="E34" s="2242">
        <f>IFERROR('Conclusion of Value'!F11*'Conclusion of Value'!H11,0)</f>
        <v>0</v>
      </c>
      <c r="F34" s="2073">
        <f ca="1">E34+F33</f>
        <v>0</v>
      </c>
      <c r="G34" s="2093"/>
      <c r="H34" s="2092">
        <f ca="1">IF(G34=0,F33,"")</f>
        <v>0</v>
      </c>
      <c r="I34" s="2092">
        <f ca="1">IF(G34=0,F34,"")</f>
        <v>0</v>
      </c>
      <c r="J34" s="2092">
        <f t="shared" ca="1" si="1"/>
        <v>0</v>
      </c>
      <c r="K34" s="2060"/>
      <c r="L34" s="2060"/>
      <c r="M34" s="2060"/>
      <c r="N34" s="2060"/>
      <c r="O34" s="2060"/>
      <c r="P34" s="2060"/>
      <c r="Q34" s="2060"/>
      <c r="R34" s="2060"/>
    </row>
    <row r="35" spans="1:18" ht="18" customHeight="1">
      <c r="A35" s="1510" t="str">
        <f t="shared" ca="1" si="0"/>
        <v>n</v>
      </c>
      <c r="B35" s="1510"/>
      <c r="C35" s="2060"/>
      <c r="D35" s="2085" t="s">
        <v>862</v>
      </c>
      <c r="E35" s="2242">
        <f ca="1">IFERROR('Conclusion of Value'!F14*'Conclusion of Value'!H14,0)</f>
        <v>0</v>
      </c>
      <c r="F35" s="2073">
        <f t="shared" ref="F35:F45" ca="1" si="2">E35+F34</f>
        <v>0</v>
      </c>
      <c r="G35" s="2093"/>
      <c r="H35" s="2092">
        <f t="shared" ref="H35:H46" ca="1" si="3">IF(G35=0,F34,"")</f>
        <v>0</v>
      </c>
      <c r="I35" s="2092">
        <f t="shared" ref="I35:I43" ca="1" si="4">IF(G35=0,F35,"")</f>
        <v>0</v>
      </c>
      <c r="J35" s="2092">
        <f t="shared" ca="1" si="1"/>
        <v>0</v>
      </c>
      <c r="K35" s="2060"/>
      <c r="L35" s="2060"/>
      <c r="M35" s="2060"/>
      <c r="N35" s="2060"/>
      <c r="O35" s="2060"/>
      <c r="P35" s="2060"/>
      <c r="Q35" s="2060"/>
      <c r="R35" s="2060"/>
    </row>
    <row r="36" spans="1:18" ht="18" customHeight="1">
      <c r="A36" s="1510" t="str">
        <f t="shared" ca="1" si="0"/>
        <v>n</v>
      </c>
      <c r="B36" s="1510"/>
      <c r="C36" s="2060"/>
      <c r="D36" s="2085" t="s">
        <v>863</v>
      </c>
      <c r="E36" s="2242">
        <f ca="1">IFERROR('Conclusion of Value'!F15*'Conclusion of Value'!H15,0)</f>
        <v>0</v>
      </c>
      <c r="F36" s="2073">
        <f t="shared" ca="1" si="2"/>
        <v>0</v>
      </c>
      <c r="G36" s="2093"/>
      <c r="H36" s="2092">
        <f t="shared" ca="1" si="3"/>
        <v>0</v>
      </c>
      <c r="I36" s="2092">
        <f t="shared" ca="1" si="4"/>
        <v>0</v>
      </c>
      <c r="J36" s="2092">
        <f t="shared" ca="1" si="1"/>
        <v>0</v>
      </c>
      <c r="K36" s="2060"/>
      <c r="L36" s="2060"/>
      <c r="M36" s="2060"/>
      <c r="N36" s="2060"/>
      <c r="O36" s="2060"/>
      <c r="P36" s="2060"/>
      <c r="Q36" s="2060"/>
      <c r="R36" s="2060"/>
    </row>
    <row r="37" spans="1:18" ht="18" customHeight="1">
      <c r="A37" s="1510" t="str">
        <f t="shared" si="0"/>
        <v>n</v>
      </c>
      <c r="B37" s="1510"/>
      <c r="C37" s="2060"/>
      <c r="D37" s="2085" t="s">
        <v>1829</v>
      </c>
      <c r="E37" s="2242">
        <f>'Conclusion of Value'!H19</f>
        <v>0</v>
      </c>
      <c r="F37" s="2073">
        <f t="shared" ca="1" si="2"/>
        <v>0</v>
      </c>
      <c r="G37" s="2093"/>
      <c r="H37" s="2092">
        <f t="shared" ca="1" si="3"/>
        <v>0</v>
      </c>
      <c r="I37" s="2092">
        <f t="shared" ca="1" si="4"/>
        <v>0</v>
      </c>
      <c r="J37" s="2092">
        <f t="shared" ca="1" si="1"/>
        <v>0</v>
      </c>
      <c r="K37" s="2060"/>
      <c r="L37" s="2060"/>
      <c r="M37" s="2060"/>
      <c r="N37" s="2060"/>
      <c r="O37" s="2060"/>
      <c r="P37" s="2060"/>
      <c r="Q37" s="2060"/>
      <c r="R37" s="2060"/>
    </row>
    <row r="38" spans="1:18" ht="18" customHeight="1">
      <c r="A38" s="1510" t="str">
        <f t="shared" si="0"/>
        <v>n</v>
      </c>
      <c r="B38" s="1510"/>
      <c r="C38" s="2060"/>
      <c r="D38" s="2085" t="s">
        <v>1830</v>
      </c>
      <c r="E38" s="2242">
        <f>'Conclusion of Value'!H20</f>
        <v>0</v>
      </c>
      <c r="F38" s="2073">
        <f t="shared" ca="1" si="2"/>
        <v>0</v>
      </c>
      <c r="G38" s="2093"/>
      <c r="H38" s="2092">
        <f t="shared" ca="1" si="3"/>
        <v>0</v>
      </c>
      <c r="I38" s="2092">
        <f t="shared" ca="1" si="4"/>
        <v>0</v>
      </c>
      <c r="J38" s="2092">
        <f t="shared" ca="1" si="1"/>
        <v>0</v>
      </c>
      <c r="K38" s="2060"/>
      <c r="L38" s="2060"/>
      <c r="M38" s="2060"/>
      <c r="N38" s="2060"/>
      <c r="O38" s="2060"/>
      <c r="P38" s="2060"/>
      <c r="Q38" s="2060"/>
      <c r="R38" s="2060"/>
    </row>
    <row r="39" spans="1:18" ht="18" customHeight="1">
      <c r="A39" s="1510" t="str">
        <f t="shared" si="0"/>
        <v>n</v>
      </c>
      <c r="B39" s="1510"/>
      <c r="C39" s="2060"/>
      <c r="D39" s="2085" t="s">
        <v>1831</v>
      </c>
      <c r="E39" s="2242">
        <f>'Conclusion of Value'!H21</f>
        <v>0</v>
      </c>
      <c r="F39" s="2073">
        <f t="shared" ca="1" si="2"/>
        <v>0</v>
      </c>
      <c r="G39" s="2093"/>
      <c r="H39" s="2092">
        <f t="shared" ca="1" si="3"/>
        <v>0</v>
      </c>
      <c r="I39" s="2092">
        <f t="shared" ca="1" si="4"/>
        <v>0</v>
      </c>
      <c r="J39" s="2092">
        <f t="shared" ca="1" si="1"/>
        <v>0</v>
      </c>
      <c r="K39" s="2060"/>
      <c r="L39" s="2060"/>
      <c r="M39" s="2060"/>
      <c r="N39" s="2060"/>
      <c r="O39" s="2060"/>
      <c r="P39" s="2060"/>
      <c r="Q39" s="2060"/>
      <c r="R39" s="2060"/>
    </row>
    <row r="40" spans="1:18" ht="18" customHeight="1">
      <c r="A40" s="1510" t="str">
        <f>IF(E40=0,"n","")</f>
        <v>n</v>
      </c>
      <c r="B40" s="1510"/>
      <c r="C40" s="2060"/>
      <c r="D40" s="2085" t="s">
        <v>1247</v>
      </c>
      <c r="E40" s="2242">
        <f>'Conclusion of Value'!H22</f>
        <v>0</v>
      </c>
      <c r="F40" s="2073">
        <f t="shared" ca="1" si="2"/>
        <v>0</v>
      </c>
      <c r="G40" s="2093"/>
      <c r="H40" s="2092">
        <f t="shared" ca="1" si="3"/>
        <v>0</v>
      </c>
      <c r="I40" s="2092">
        <f t="shared" ca="1" si="4"/>
        <v>0</v>
      </c>
      <c r="J40" s="2092">
        <f t="shared" ca="1" si="1"/>
        <v>0</v>
      </c>
      <c r="K40" s="2060"/>
      <c r="L40" s="2060"/>
      <c r="M40" s="2060"/>
      <c r="N40" s="2060"/>
      <c r="O40" s="2060"/>
      <c r="P40" s="2060"/>
      <c r="Q40" s="2060"/>
      <c r="R40" s="2060"/>
    </row>
    <row r="41" spans="1:18" ht="18" customHeight="1">
      <c r="A41" s="1510" t="str">
        <f t="shared" ref="A41:A46" ca="1" si="5">IF(E41=0,"n","")</f>
        <v>n</v>
      </c>
      <c r="B41" s="1510"/>
      <c r="C41" s="2060"/>
      <c r="D41" s="2087" t="s">
        <v>1832</v>
      </c>
      <c r="E41" s="2242">
        <f ca="1">'Conclusion of Value'!H23</f>
        <v>0</v>
      </c>
      <c r="F41" s="2073">
        <f ca="1">F40</f>
        <v>0</v>
      </c>
      <c r="G41" s="2093">
        <f ca="1">E41</f>
        <v>0</v>
      </c>
      <c r="H41" s="2092">
        <f t="shared" ca="1" si="3"/>
        <v>0</v>
      </c>
      <c r="I41" s="2092">
        <f t="shared" ca="1" si="4"/>
        <v>0</v>
      </c>
      <c r="J41" s="2092">
        <f t="shared" ca="1" si="1"/>
        <v>0</v>
      </c>
      <c r="K41" s="2060"/>
      <c r="L41" s="2060"/>
      <c r="M41" s="2060"/>
      <c r="N41" s="2060"/>
      <c r="O41" s="2060"/>
      <c r="P41" s="2060"/>
      <c r="Q41" s="2060"/>
      <c r="R41" s="2060"/>
    </row>
    <row r="42" spans="1:18" ht="18" customHeight="1">
      <c r="A42" s="1510" t="str">
        <f t="shared" si="5"/>
        <v>n</v>
      </c>
      <c r="B42" s="1510"/>
      <c r="C42" s="2060"/>
      <c r="D42" s="2085" t="s">
        <v>1833</v>
      </c>
      <c r="E42" s="2242">
        <f>-'Conclusion of Value'!H25</f>
        <v>0</v>
      </c>
      <c r="F42" s="2073">
        <f t="shared" ca="1" si="2"/>
        <v>0</v>
      </c>
      <c r="G42" s="2093"/>
      <c r="H42" s="2092">
        <f t="shared" ca="1" si="3"/>
        <v>0</v>
      </c>
      <c r="I42" s="2092">
        <f t="shared" ca="1" si="4"/>
        <v>0</v>
      </c>
      <c r="J42" s="2092">
        <f t="shared" ca="1" si="1"/>
        <v>0</v>
      </c>
      <c r="K42" s="2060"/>
      <c r="L42" s="2060"/>
      <c r="M42" s="2060"/>
      <c r="N42" s="2060"/>
      <c r="O42" s="2060"/>
      <c r="P42" s="2060"/>
      <c r="Q42" s="2060"/>
      <c r="R42" s="2060"/>
    </row>
    <row r="43" spans="1:18" ht="18" customHeight="1">
      <c r="A43" s="1510" t="str">
        <f t="shared" ca="1" si="5"/>
        <v>n</v>
      </c>
      <c r="B43" s="1510"/>
      <c r="C43" s="2060"/>
      <c r="D43" s="2087" t="s">
        <v>870</v>
      </c>
      <c r="E43" s="2242">
        <f ca="1">'Conclusion of Value'!H26</f>
        <v>0</v>
      </c>
      <c r="F43" s="2073">
        <f ca="1">F42</f>
        <v>0</v>
      </c>
      <c r="G43" s="2093">
        <f ca="1">E43</f>
        <v>0</v>
      </c>
      <c r="H43" s="2092">
        <f t="shared" ca="1" si="3"/>
        <v>0</v>
      </c>
      <c r="I43" s="2092">
        <f t="shared" ca="1" si="4"/>
        <v>0</v>
      </c>
      <c r="J43" s="2092">
        <f ca="1">IF(OR(ISBLANK(H43),H43=""),MAX(E43,0),MAX(H43:I43))</f>
        <v>0</v>
      </c>
      <c r="K43" s="2060"/>
      <c r="L43" s="2060"/>
      <c r="M43" s="2060"/>
      <c r="N43" s="2060"/>
      <c r="O43" s="2060"/>
      <c r="P43" s="2060"/>
      <c r="Q43" s="2060"/>
      <c r="R43" s="2060"/>
    </row>
    <row r="44" spans="1:18" ht="18" customHeight="1">
      <c r="A44" s="1510" t="str">
        <f t="shared" ca="1" si="5"/>
        <v>n</v>
      </c>
      <c r="B44" s="1510"/>
      <c r="C44" s="2060"/>
      <c r="D44" s="2085" t="s">
        <v>1834</v>
      </c>
      <c r="E44" s="2242">
        <f ca="1">-'Conclusion of Value'!H29*('Conclusion of Value'!H31+(1-'Conclusion of Value'!H31)*'Conclusion of Value'!H32)</f>
        <v>0</v>
      </c>
      <c r="F44" s="2073">
        <f t="shared" ca="1" si="2"/>
        <v>0</v>
      </c>
      <c r="G44" s="2093"/>
      <c r="H44" s="2092">
        <f ca="1">F43</f>
        <v>0</v>
      </c>
      <c r="I44" s="2092">
        <f ca="1">F44</f>
        <v>0</v>
      </c>
      <c r="J44" s="2092">
        <f ca="1">IF(OR(ISBLANK(H44),H44=""),MAX(E44,0),MAX(H44:I44))</f>
        <v>0</v>
      </c>
      <c r="K44" s="2060"/>
      <c r="L44" s="2060"/>
      <c r="M44" s="2060"/>
      <c r="N44" s="2060"/>
      <c r="O44" s="2060"/>
      <c r="P44" s="2060"/>
      <c r="Q44" s="2060"/>
      <c r="R44" s="2060"/>
    </row>
    <row r="45" spans="1:18" ht="18" customHeight="1">
      <c r="A45" s="1510" t="str">
        <f t="shared" ca="1" si="5"/>
        <v>n</v>
      </c>
      <c r="B45" s="1510"/>
      <c r="C45" s="2060"/>
      <c r="D45" s="2086" t="s">
        <v>1247</v>
      </c>
      <c r="E45" s="2242">
        <f ca="1">IFERROR('Conclusion of Value'!H33-'Conclusion of Value'!H29,0)</f>
        <v>0</v>
      </c>
      <c r="F45" s="2073">
        <f t="shared" ca="1" si="2"/>
        <v>0</v>
      </c>
      <c r="G45" s="2093"/>
      <c r="H45" s="2092">
        <f t="shared" ca="1" si="3"/>
        <v>0</v>
      </c>
      <c r="I45" s="2092">
        <f ca="1">IF(G45=0,F45,"")</f>
        <v>0</v>
      </c>
      <c r="J45" s="2092">
        <f ca="1">IF(OR(ISBLANK(H45),H45=""),MAX(E45,0),MAX(H45:I45))</f>
        <v>0</v>
      </c>
      <c r="K45" s="2060"/>
      <c r="L45" s="2060"/>
      <c r="M45" s="2060"/>
      <c r="N45" s="2060"/>
      <c r="O45" s="2060"/>
      <c r="P45" s="2060"/>
      <c r="Q45" s="2060"/>
      <c r="R45" s="2060"/>
    </row>
    <row r="46" spans="1:18" ht="18" customHeight="1">
      <c r="A46" s="1510" t="str">
        <f t="shared" ca="1" si="5"/>
        <v>n</v>
      </c>
      <c r="B46" s="1510"/>
      <c r="C46" s="2060"/>
      <c r="D46" s="2087" t="s">
        <v>35</v>
      </c>
      <c r="E46" s="2242">
        <f ca="1">'Conclusion of Value'!H33</f>
        <v>0</v>
      </c>
      <c r="F46" s="2091"/>
      <c r="G46" s="2093">
        <f ca="1">E46</f>
        <v>0</v>
      </c>
      <c r="H46" s="2092">
        <f t="shared" ca="1" si="3"/>
        <v>0</v>
      </c>
      <c r="I46" s="2092">
        <f ca="1">IF(G46=0,F46,"")</f>
        <v>0</v>
      </c>
      <c r="J46" s="2092">
        <f ca="1">IF(OR(ISBLANK(H46),H46=""),MAX(E46,0),MAX(H46:I46))</f>
        <v>0</v>
      </c>
      <c r="K46" s="2060"/>
      <c r="L46" s="2060"/>
      <c r="M46" s="2060"/>
      <c r="N46" s="2060"/>
      <c r="O46" s="2060"/>
      <c r="P46" s="2060"/>
      <c r="Q46" s="2060"/>
      <c r="R46" s="2060"/>
    </row>
    <row r="47" spans="1:18" ht="18" customHeight="1">
      <c r="A47" s="1510"/>
      <c r="B47" s="1510"/>
      <c r="C47" s="2060"/>
      <c r="F47" s="2060"/>
      <c r="G47" s="2060"/>
      <c r="H47" s="2060"/>
      <c r="I47" s="2060"/>
      <c r="J47" s="2060"/>
      <c r="K47" s="2060"/>
      <c r="L47" s="2060"/>
      <c r="M47" s="2060"/>
      <c r="N47" s="2060"/>
      <c r="O47" s="2060"/>
      <c r="P47" s="2060"/>
      <c r="Q47" s="2060"/>
      <c r="R47" s="2060"/>
    </row>
    <row r="48" spans="1:18" customFormat="1" ht="18" customHeight="1">
      <c r="A48" s="1510"/>
      <c r="B48" s="1510"/>
      <c r="C48" s="2060"/>
      <c r="D48" s="2060"/>
      <c r="E48" s="2060"/>
      <c r="F48" s="2060"/>
      <c r="G48" s="2060"/>
      <c r="H48" s="2060"/>
      <c r="I48" s="2060"/>
      <c r="J48" s="2060"/>
      <c r="K48" s="2060"/>
      <c r="L48" s="2060"/>
      <c r="M48" s="2060"/>
      <c r="N48" s="2060"/>
      <c r="O48" s="2060"/>
      <c r="P48" s="2060"/>
      <c r="Q48" s="2060"/>
      <c r="R48" s="2060"/>
    </row>
    <row r="49" spans="1:27" s="2060" customFormat="1" ht="18" customHeight="1">
      <c r="A49" s="1510"/>
      <c r="B49" s="1510"/>
      <c r="D49" s="2066"/>
      <c r="E49" s="2066"/>
      <c r="F49" s="2067"/>
      <c r="G49" s="2067"/>
      <c r="H49" s="2067"/>
      <c r="I49" s="2067"/>
      <c r="J49" s="2067"/>
      <c r="K49" s="2067"/>
      <c r="L49" s="2067"/>
      <c r="M49" s="2067"/>
      <c r="N49" s="2067"/>
      <c r="O49" s="2067"/>
      <c r="P49" s="2067"/>
      <c r="Q49" s="2067"/>
      <c r="R49" s="2067"/>
      <c r="S49" s="2069"/>
      <c r="T49" s="2069"/>
      <c r="U49" s="1546"/>
      <c r="V49" s="2069"/>
      <c r="W49" s="2069"/>
      <c r="X49" s="2069"/>
      <c r="Y49" s="2069"/>
      <c r="Z49" s="2069"/>
      <c r="AA49" s="2067"/>
    </row>
    <row r="50" spans="1:27" s="1525" customFormat="1" ht="12" customHeight="1">
      <c r="A50" s="568" t="s">
        <v>1835</v>
      </c>
      <c r="B50" s="1546"/>
      <c r="C50" s="1546"/>
      <c r="D50" s="1546"/>
      <c r="E50" s="1546"/>
      <c r="F50" s="1546"/>
      <c r="G50" s="1546"/>
      <c r="H50" s="1546"/>
      <c r="I50" s="1546"/>
      <c r="J50" s="1546"/>
      <c r="K50" s="1546"/>
      <c r="L50" s="1546"/>
      <c r="M50" s="1546"/>
      <c r="N50" s="1546"/>
      <c r="O50" s="1546" t="s">
        <v>1836</v>
      </c>
      <c r="P50" s="1546"/>
      <c r="Q50" s="1546"/>
      <c r="R50" s="1546"/>
      <c r="S50" s="1546"/>
      <c r="T50" s="1546" t="s">
        <v>18</v>
      </c>
      <c r="U50" s="1546"/>
    </row>
    <row r="51" spans="1:27" s="1525" customFormat="1" ht="12" customHeight="1">
      <c r="A51" s="1546"/>
      <c r="B51" s="1546"/>
      <c r="C51" s="1546"/>
      <c r="D51" s="1546"/>
      <c r="E51" s="1546"/>
      <c r="F51" s="1546"/>
      <c r="G51" s="1546"/>
      <c r="H51" s="1546"/>
      <c r="I51" s="1546"/>
      <c r="J51" s="1546"/>
      <c r="K51" s="1546"/>
      <c r="L51" s="1546"/>
      <c r="M51" s="1546"/>
      <c r="N51" s="1546"/>
      <c r="O51" s="1546"/>
      <c r="P51" s="1546"/>
      <c r="Q51" s="1546"/>
      <c r="R51" s="1546"/>
      <c r="S51" s="1546"/>
      <c r="T51" s="1546"/>
      <c r="U51" s="1546"/>
    </row>
    <row r="52" spans="1:27" ht="18" customHeight="1">
      <c r="A52" s="2070"/>
      <c r="B52" s="2070"/>
      <c r="C52" s="2071"/>
      <c r="D52" s="2071"/>
      <c r="E52" s="2071"/>
      <c r="F52" s="2071"/>
      <c r="G52" s="2071"/>
      <c r="H52" s="2071"/>
      <c r="I52" s="2071"/>
      <c r="J52" s="2071"/>
      <c r="K52" s="2071"/>
      <c r="L52" s="2071"/>
      <c r="M52" s="2071"/>
      <c r="N52" s="2071"/>
      <c r="O52" s="2071"/>
      <c r="P52" s="2071"/>
      <c r="Q52" s="2071"/>
      <c r="R52" s="2071"/>
      <c r="S52" s="2071"/>
      <c r="T52" s="2071"/>
      <c r="U52" s="2072"/>
      <c r="V52" s="2071"/>
      <c r="W52" s="2071"/>
      <c r="X52" s="2071"/>
      <c r="Y52" s="2071"/>
      <c r="Z52" s="2071"/>
      <c r="AA52" s="2071"/>
    </row>
    <row r="53" spans="1:27" ht="18" customHeight="1">
      <c r="F53" s="2060"/>
      <c r="G53" s="2060"/>
      <c r="H53" s="2060"/>
      <c r="I53" s="2060"/>
      <c r="J53" s="2060"/>
      <c r="K53" s="2060"/>
      <c r="L53" s="2060"/>
      <c r="M53" s="2060"/>
      <c r="N53" s="2060"/>
      <c r="O53" s="2060"/>
      <c r="P53" s="2060"/>
      <c r="Q53" s="2060"/>
      <c r="R53" s="2060"/>
    </row>
    <row r="54" spans="1:27" ht="18" customHeight="1">
      <c r="F54" s="2060"/>
      <c r="G54" s="2060"/>
      <c r="H54" s="2060"/>
      <c r="I54" s="2060"/>
      <c r="J54" s="2060"/>
      <c r="K54" s="2060"/>
      <c r="L54" s="2060"/>
      <c r="M54" s="2060"/>
      <c r="N54" s="2060"/>
      <c r="O54" s="2060"/>
      <c r="P54" s="2060"/>
      <c r="Q54" s="2060"/>
      <c r="R54" s="2060"/>
    </row>
  </sheetData>
  <autoFilter ref="A1:A54"/>
  <conditionalFormatting sqref="B1:B2">
    <cfRule type="cellIs" dxfId="12" priority="1" operator="notEqual">
      <formula>0</formula>
    </cfRule>
  </conditionalFormatting>
  <pageMargins left="0.6" right="0.4" top="0.5" bottom="0.5" header="0" footer="0.3"/>
  <pageSetup scale="70" orientation="landscape" blackAndWhite="1" cellComments="atEnd" r:id="rId1"/>
  <headerFooter>
    <oddFooter>&amp;C&amp;"Arial,Regular"&amp;8&amp;F&amp;L&amp;"Arial,Regular"&amp;8"Page &amp;P   Tab:&amp;A   28, March, 2017&amp;R© 2017 Ernst &amp; Young LLP. All Rights Reserved.</oddFooter>
  </headerFooter>
  <rowBreaks count="1" manualBreakCount="1">
    <brk id="50" max="16383" man="1"/>
  </rowBreaks>
  <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ference">
    <tabColor theme="3" tint="-0.249977111117893"/>
    <pageSetUpPr autoPageBreaks="0"/>
  </sheetPr>
  <dimension ref="A1:AC554"/>
  <sheetViews>
    <sheetView showGridLines="0" zoomScale="85" zoomScaleNormal="85" workbookViewId="0"/>
  </sheetViews>
  <sheetFormatPr defaultColWidth="9.33203125" defaultRowHeight="13.9"/>
  <cols>
    <col min="1" max="1" width="2.83203125" customWidth="1"/>
    <col min="2" max="2" width="3.83203125" customWidth="1"/>
    <col min="3" max="3" width="4.83203125" customWidth="1"/>
    <col min="4" max="4" width="6.83203125" customWidth="1"/>
    <col min="5" max="5" width="59.83203125" customWidth="1"/>
    <col min="6" max="6" width="2.1640625" customWidth="1"/>
    <col min="7" max="7" width="12.6640625" customWidth="1"/>
    <col min="8" max="8" width="13.5" customWidth="1"/>
    <col min="9" max="18" width="12.6640625" customWidth="1"/>
  </cols>
  <sheetData>
    <row r="1" spans="1:20" ht="18" customHeight="1" thickBot="1">
      <c r="A1" s="588"/>
      <c r="B1" s="588"/>
      <c r="C1" s="789">
        <v>1</v>
      </c>
      <c r="D1" s="781" t="s">
        <v>1837</v>
      </c>
      <c r="E1" s="781"/>
      <c r="F1" s="781"/>
      <c r="G1" s="781"/>
      <c r="H1" s="790"/>
      <c r="I1" s="791"/>
      <c r="J1" s="792"/>
      <c r="K1" s="792"/>
      <c r="L1" s="792"/>
      <c r="M1" s="792"/>
      <c r="N1" s="792"/>
      <c r="O1" s="792"/>
      <c r="P1" s="792"/>
      <c r="Q1" s="792"/>
      <c r="R1" s="128"/>
      <c r="S1" s="2060"/>
      <c r="T1" s="2060"/>
    </row>
    <row r="2" spans="1:20" ht="18" customHeight="1">
      <c r="A2" s="588"/>
      <c r="B2" s="588"/>
      <c r="C2" s="53"/>
      <c r="D2" s="263"/>
      <c r="E2" s="263"/>
      <c r="F2" s="263"/>
      <c r="G2" s="263"/>
      <c r="H2" s="263"/>
      <c r="I2" s="263"/>
      <c r="J2" s="263"/>
      <c r="K2" s="263"/>
      <c r="L2" s="263"/>
      <c r="M2" s="263"/>
      <c r="N2" s="263"/>
      <c r="O2" s="263"/>
      <c r="P2" s="263"/>
      <c r="Q2" s="263"/>
      <c r="R2" s="128"/>
      <c r="S2" s="2060"/>
      <c r="T2" s="2060"/>
    </row>
    <row r="3" spans="1:20" ht="18" customHeight="1">
      <c r="A3" s="588"/>
      <c r="B3" s="588"/>
      <c r="C3" s="53"/>
      <c r="D3" s="263"/>
      <c r="E3" s="263" t="s">
        <v>1838</v>
      </c>
      <c r="F3" s="263"/>
      <c r="G3" s="263"/>
      <c r="H3" s="263"/>
      <c r="I3" s="263"/>
      <c r="J3" s="263"/>
      <c r="K3" s="263"/>
      <c r="L3" s="263"/>
      <c r="M3" s="263"/>
      <c r="N3" s="263"/>
      <c r="O3" s="263"/>
      <c r="P3" s="263"/>
      <c r="Q3" s="263"/>
      <c r="R3" s="263"/>
      <c r="S3" s="2060"/>
      <c r="T3" s="2060"/>
    </row>
    <row r="4" spans="1:20" ht="18" customHeight="1">
      <c r="A4" s="588"/>
      <c r="B4" s="588"/>
      <c r="C4" s="2060"/>
      <c r="D4" s="2060"/>
      <c r="E4" s="2060"/>
      <c r="F4" s="2060"/>
      <c r="G4" s="2060"/>
      <c r="H4" s="2060"/>
      <c r="I4" s="2060"/>
      <c r="J4" s="2060"/>
      <c r="K4" s="2060"/>
      <c r="L4" s="2060"/>
      <c r="M4" s="2060"/>
      <c r="N4" s="2060"/>
      <c r="O4" s="2060"/>
      <c r="P4" s="2060"/>
      <c r="Q4" s="2060"/>
      <c r="R4" s="2060"/>
      <c r="S4" s="2060"/>
      <c r="T4" s="2060"/>
    </row>
    <row r="5" spans="1:20">
      <c r="A5" s="588"/>
      <c r="B5" s="588"/>
      <c r="C5" s="53"/>
      <c r="D5" s="60"/>
      <c r="E5" s="724" t="s">
        <v>1839</v>
      </c>
      <c r="F5" s="724"/>
      <c r="G5" s="724"/>
      <c r="H5" s="724" t="s">
        <v>1840</v>
      </c>
      <c r="I5" s="724"/>
      <c r="J5" s="729"/>
      <c r="K5" s="724" t="s">
        <v>1841</v>
      </c>
      <c r="L5" s="53"/>
      <c r="M5" s="53"/>
      <c r="N5" s="53"/>
      <c r="O5" s="53"/>
      <c r="P5" s="53"/>
      <c r="Q5" s="53"/>
      <c r="R5" s="255"/>
      <c r="S5" s="2060"/>
      <c r="T5" s="2060"/>
    </row>
    <row r="6" spans="1:20">
      <c r="A6" s="588"/>
      <c r="B6" s="588"/>
      <c r="C6" s="53"/>
      <c r="D6" s="785">
        <f ca="1">MAX(OFFSET(D6,-1,0,-ROW(D6)+1,-2),1)+0.01</f>
        <v>1.01</v>
      </c>
      <c r="E6" s="263" t="s">
        <v>822</v>
      </c>
      <c r="F6" s="263"/>
      <c r="G6" s="263"/>
      <c r="H6" s="1513" t="s">
        <v>823</v>
      </c>
      <c r="I6" s="263"/>
      <c r="J6" s="263"/>
      <c r="K6" s="263" t="s">
        <v>822</v>
      </c>
      <c r="L6" s="263"/>
      <c r="M6" s="263"/>
      <c r="N6" s="53"/>
      <c r="O6" s="53"/>
      <c r="P6" s="53"/>
      <c r="Q6" s="53"/>
      <c r="R6" s="255"/>
      <c r="S6" s="2060"/>
      <c r="T6" s="2060"/>
    </row>
    <row r="7" spans="1:20">
      <c r="A7" s="588"/>
      <c r="B7" s="588"/>
      <c r="C7" s="53"/>
      <c r="D7" s="785">
        <f ca="1">MAX(OFFSET(D7,-1,0,-ROW(D7)+1,-2),1)+0.01</f>
        <v>1.02</v>
      </c>
      <c r="E7" s="263" t="s">
        <v>819</v>
      </c>
      <c r="F7" s="263"/>
      <c r="G7" s="263"/>
      <c r="H7" s="263" t="s">
        <v>820</v>
      </c>
      <c r="I7" s="263"/>
      <c r="J7" s="263"/>
      <c r="K7" s="263" t="s">
        <v>819</v>
      </c>
      <c r="L7" s="263"/>
      <c r="M7" s="263"/>
      <c r="N7" s="53"/>
      <c r="O7" s="53"/>
      <c r="P7" s="53"/>
      <c r="Q7" s="1506"/>
      <c r="R7" s="263"/>
      <c r="S7" s="2060"/>
      <c r="T7" s="2060"/>
    </row>
    <row r="8" spans="1:20">
      <c r="A8" s="588"/>
      <c r="B8" s="588"/>
      <c r="C8" s="263"/>
      <c r="D8" s="785">
        <f ca="1">MAX(OFFSET(D8,-1,0,-ROW(D8)+1,-2),1)+0.01</f>
        <v>1.03</v>
      </c>
      <c r="E8" s="263" t="s">
        <v>1842</v>
      </c>
      <c r="F8" s="263"/>
      <c r="G8" s="263"/>
      <c r="H8" s="263" t="s">
        <v>1843</v>
      </c>
      <c r="I8" s="263"/>
      <c r="J8" s="263"/>
      <c r="K8" s="263" t="s">
        <v>1844</v>
      </c>
      <c r="L8" s="263"/>
      <c r="M8" s="263"/>
      <c r="N8" s="263"/>
      <c r="O8" s="263"/>
      <c r="P8" s="263"/>
      <c r="Q8" s="263"/>
      <c r="R8" s="53"/>
      <c r="S8" s="2060"/>
      <c r="T8" s="2060"/>
    </row>
    <row r="9" spans="1:20">
      <c r="A9" s="588"/>
      <c r="B9" s="588"/>
      <c r="C9" s="263"/>
      <c r="D9" s="777"/>
      <c r="E9" s="263"/>
      <c r="F9" s="263"/>
      <c r="G9" s="263"/>
      <c r="H9" s="263"/>
      <c r="I9" s="263"/>
      <c r="J9" s="263"/>
      <c r="K9" s="263" t="s">
        <v>1845</v>
      </c>
      <c r="L9" s="263"/>
      <c r="M9" s="263"/>
      <c r="N9" s="263"/>
      <c r="O9" s="263"/>
      <c r="P9" s="263"/>
      <c r="Q9" s="263"/>
      <c r="R9" s="53"/>
      <c r="S9" s="2060"/>
      <c r="T9" s="2060"/>
    </row>
    <row r="10" spans="1:20">
      <c r="A10" s="588"/>
      <c r="B10" s="588"/>
      <c r="C10" s="255"/>
      <c r="D10" s="785">
        <f t="shared" ref="D10:D30" ca="1" si="0">MAX(OFFSET(D10,-1,0,-ROW(D10)+1,-2),1)+0.01</f>
        <v>1.04</v>
      </c>
      <c r="E10" s="263" t="s">
        <v>1846</v>
      </c>
      <c r="F10" s="21"/>
      <c r="G10" s="21"/>
      <c r="H10" s="89" t="s">
        <v>825</v>
      </c>
      <c r="I10" s="126"/>
      <c r="J10" s="255"/>
      <c r="K10" s="255" t="s">
        <v>994</v>
      </c>
      <c r="L10" s="255"/>
      <c r="M10" s="255"/>
      <c r="N10" s="53"/>
      <c r="O10" s="255"/>
      <c r="P10" s="255"/>
      <c r="Q10" s="255"/>
      <c r="R10" s="53"/>
      <c r="S10" s="2060"/>
      <c r="T10" s="2060"/>
    </row>
    <row r="11" spans="1:20">
      <c r="A11" s="588"/>
      <c r="B11" s="588"/>
      <c r="C11" s="255"/>
      <c r="D11" s="785">
        <f t="shared" ca="1" si="0"/>
        <v>1.05</v>
      </c>
      <c r="E11" s="263" t="s">
        <v>1847</v>
      </c>
      <c r="F11" s="21"/>
      <c r="G11" s="21"/>
      <c r="H11" s="314" t="s">
        <v>827</v>
      </c>
      <c r="I11" s="126"/>
      <c r="J11" s="255"/>
      <c r="K11" s="255" t="s">
        <v>1848</v>
      </c>
      <c r="L11" s="255"/>
      <c r="M11" s="255"/>
      <c r="N11" s="53"/>
      <c r="O11" s="255"/>
      <c r="P11" s="255"/>
      <c r="Q11" s="255"/>
      <c r="R11" s="263"/>
      <c r="S11" s="2060"/>
      <c r="T11" s="2060"/>
    </row>
    <row r="12" spans="1:20">
      <c r="A12" s="588"/>
      <c r="B12" s="588"/>
      <c r="C12" s="263"/>
      <c r="D12" s="785">
        <f t="shared" ca="1" si="0"/>
        <v>1.06</v>
      </c>
      <c r="E12" s="263" t="s">
        <v>1849</v>
      </c>
      <c r="F12" s="263"/>
      <c r="G12" s="263"/>
      <c r="H12" s="1513" t="s">
        <v>1850</v>
      </c>
      <c r="I12" s="263"/>
      <c r="J12" s="263"/>
      <c r="K12" s="263" t="s">
        <v>1849</v>
      </c>
      <c r="L12" s="263"/>
      <c r="M12" s="263"/>
      <c r="N12" s="263"/>
      <c r="O12" s="263"/>
      <c r="P12" s="263"/>
      <c r="Q12" s="263"/>
      <c r="R12" s="53"/>
      <c r="S12" s="2060"/>
      <c r="T12" s="2060"/>
    </row>
    <row r="13" spans="1:20">
      <c r="A13" s="588"/>
      <c r="B13" s="588"/>
      <c r="C13" s="53"/>
      <c r="D13" s="785">
        <f t="shared" ca="1" si="0"/>
        <v>1.07</v>
      </c>
      <c r="E13" s="1505" t="s">
        <v>1851</v>
      </c>
      <c r="F13" s="255"/>
      <c r="G13" s="255"/>
      <c r="H13" s="314" t="s">
        <v>1852</v>
      </c>
      <c r="I13" s="255"/>
      <c r="J13" s="263"/>
      <c r="K13" s="255" t="s">
        <v>1853</v>
      </c>
      <c r="L13" s="53"/>
      <c r="M13" s="53"/>
      <c r="N13" s="53"/>
      <c r="O13" s="53"/>
      <c r="P13" s="53"/>
      <c r="Q13" s="53"/>
      <c r="R13" s="53"/>
      <c r="S13" s="2060"/>
      <c r="T13" s="2060"/>
    </row>
    <row r="14" spans="1:20">
      <c r="A14" s="588"/>
      <c r="B14" s="588"/>
      <c r="C14" s="53"/>
      <c r="D14" s="785">
        <f t="shared" ca="1" si="0"/>
        <v>1.08</v>
      </c>
      <c r="E14" s="1505" t="s">
        <v>1854</v>
      </c>
      <c r="F14" s="255"/>
      <c r="G14" s="255"/>
      <c r="H14" s="263" t="s">
        <v>1843</v>
      </c>
      <c r="I14" s="255"/>
      <c r="J14" s="263"/>
      <c r="K14" s="255" t="s">
        <v>1855</v>
      </c>
      <c r="L14" s="53"/>
      <c r="M14" s="53"/>
      <c r="N14" s="53"/>
      <c r="O14" s="53"/>
      <c r="P14" s="53"/>
      <c r="Q14" s="53"/>
      <c r="R14" s="255"/>
      <c r="S14" s="2060"/>
      <c r="T14" s="2060"/>
    </row>
    <row r="15" spans="1:20">
      <c r="A15" s="588"/>
      <c r="B15" s="588"/>
      <c r="C15" s="53"/>
      <c r="D15" s="785">
        <f t="shared" ca="1" si="0"/>
        <v>1.0900000000000001</v>
      </c>
      <c r="E15" s="1568" t="s">
        <v>1856</v>
      </c>
      <c r="F15" s="263"/>
      <c r="G15" s="263"/>
      <c r="H15" s="263" t="s">
        <v>1857</v>
      </c>
      <c r="I15" s="263"/>
      <c r="J15" s="263"/>
      <c r="K15" s="263" t="s">
        <v>1856</v>
      </c>
      <c r="L15" s="263"/>
      <c r="M15" s="263"/>
      <c r="N15" s="53"/>
      <c r="O15" s="53"/>
      <c r="P15" s="53"/>
      <c r="Q15" s="53"/>
      <c r="R15" s="263"/>
      <c r="S15" s="2060"/>
      <c r="T15" s="2060"/>
    </row>
    <row r="16" spans="1:20">
      <c r="A16" s="588"/>
      <c r="B16" s="588"/>
      <c r="C16" s="263"/>
      <c r="D16" s="785">
        <f t="shared" ca="1" si="0"/>
        <v>1.1000000000000001</v>
      </c>
      <c r="E16" s="1505" t="s">
        <v>1858</v>
      </c>
      <c r="F16" s="255"/>
      <c r="G16" s="255"/>
      <c r="H16" s="263" t="s">
        <v>1859</v>
      </c>
      <c r="I16" s="255"/>
      <c r="J16" s="263"/>
      <c r="K16" s="255" t="s">
        <v>1858</v>
      </c>
      <c r="L16" s="53"/>
      <c r="M16" s="53"/>
      <c r="N16" s="263"/>
      <c r="O16" s="263"/>
      <c r="P16" s="263"/>
      <c r="Q16" s="263"/>
      <c r="R16" s="263"/>
      <c r="S16" s="2060"/>
      <c r="T16" s="2060"/>
    </row>
    <row r="17" spans="1:20">
      <c r="A17" s="588"/>
      <c r="B17" s="588"/>
      <c r="C17" s="263"/>
      <c r="D17" s="785">
        <f t="shared" ca="1" si="0"/>
        <v>1.1100000000000001</v>
      </c>
      <c r="E17" s="1568" t="s">
        <v>895</v>
      </c>
      <c r="F17" s="263"/>
      <c r="G17" s="263"/>
      <c r="H17" s="1513" t="s">
        <v>1860</v>
      </c>
      <c r="I17" s="263"/>
      <c r="J17" s="263"/>
      <c r="K17" s="263" t="s">
        <v>895</v>
      </c>
      <c r="L17" s="263"/>
      <c r="M17" s="263"/>
      <c r="N17" s="263"/>
      <c r="O17" s="263"/>
      <c r="P17" s="263"/>
      <c r="Q17" s="53"/>
      <c r="R17" s="263"/>
      <c r="S17" s="2060"/>
      <c r="T17" s="2060"/>
    </row>
    <row r="18" spans="1:20">
      <c r="A18" s="588"/>
      <c r="B18" s="588"/>
      <c r="C18" s="53"/>
      <c r="D18" s="785">
        <f t="shared" ca="1" si="0"/>
        <v>1.1200000000000001</v>
      </c>
      <c r="E18" s="1568" t="s">
        <v>1861</v>
      </c>
      <c r="F18" s="263"/>
      <c r="G18" s="263"/>
      <c r="H18" s="314" t="s">
        <v>1072</v>
      </c>
      <c r="I18" s="263"/>
      <c r="J18" s="263"/>
      <c r="K18" s="263" t="s">
        <v>1862</v>
      </c>
      <c r="L18" s="263"/>
      <c r="M18" s="263"/>
      <c r="N18" s="53"/>
      <c r="O18" s="53"/>
      <c r="P18" s="53"/>
      <c r="Q18" s="320"/>
      <c r="R18" s="263"/>
      <c r="S18" s="2060"/>
      <c r="T18" s="2060"/>
    </row>
    <row r="19" spans="1:20">
      <c r="A19" s="588"/>
      <c r="B19" s="588"/>
      <c r="C19" s="255"/>
      <c r="D19" s="785">
        <f t="shared" ca="1" si="0"/>
        <v>1.1300000000000001</v>
      </c>
      <c r="E19" s="1568" t="s">
        <v>1863</v>
      </c>
      <c r="F19" s="263"/>
      <c r="G19" s="263"/>
      <c r="H19" s="314" t="s">
        <v>783</v>
      </c>
      <c r="I19" s="263"/>
      <c r="J19" s="263"/>
      <c r="K19" s="263" t="s">
        <v>1085</v>
      </c>
      <c r="L19" s="263"/>
      <c r="M19" s="263"/>
      <c r="N19" s="263"/>
      <c r="O19" s="255"/>
      <c r="P19" s="255"/>
      <c r="Q19" s="255"/>
      <c r="R19" s="53"/>
      <c r="S19" s="2060"/>
      <c r="T19" s="2060"/>
    </row>
    <row r="20" spans="1:20">
      <c r="A20" s="588"/>
      <c r="B20" s="588"/>
      <c r="C20" s="263"/>
      <c r="D20" s="785">
        <f t="shared" ca="1" si="0"/>
        <v>1.1400000000000001</v>
      </c>
      <c r="E20" s="670" t="s">
        <v>1864</v>
      </c>
      <c r="F20" s="263"/>
      <c r="G20" s="263"/>
      <c r="H20" s="314" t="s">
        <v>1843</v>
      </c>
      <c r="I20" s="263"/>
      <c r="J20" s="263"/>
      <c r="K20" s="263" t="s">
        <v>1865</v>
      </c>
      <c r="L20" s="263"/>
      <c r="M20" s="263"/>
      <c r="N20" s="263"/>
      <c r="O20" s="263"/>
      <c r="P20" s="263"/>
      <c r="Q20" s="263"/>
      <c r="R20" s="53"/>
      <c r="S20" s="2060"/>
      <c r="T20" s="2060"/>
    </row>
    <row r="21" spans="1:20">
      <c r="A21" s="588"/>
      <c r="B21" s="588"/>
      <c r="C21" s="263"/>
      <c r="D21" s="785">
        <f t="shared" ca="1" si="0"/>
        <v>1.1500000000000001</v>
      </c>
      <c r="E21" s="1568" t="s">
        <v>1866</v>
      </c>
      <c r="F21" s="263"/>
      <c r="G21" s="263"/>
      <c r="H21" s="263" t="s">
        <v>1843</v>
      </c>
      <c r="I21" s="263"/>
      <c r="J21" s="263"/>
      <c r="K21" s="263" t="s">
        <v>1867</v>
      </c>
      <c r="L21" s="263"/>
      <c r="M21" s="263"/>
      <c r="N21" s="263"/>
      <c r="O21" s="263"/>
      <c r="P21" s="263"/>
      <c r="Q21" s="263"/>
      <c r="R21" s="53"/>
      <c r="S21" s="2060"/>
      <c r="T21" s="2060"/>
    </row>
    <row r="22" spans="1:20">
      <c r="A22" s="588"/>
      <c r="B22" s="588"/>
      <c r="C22" s="263"/>
      <c r="D22" s="785">
        <f t="shared" ca="1" si="0"/>
        <v>1.1600000000000001</v>
      </c>
      <c r="E22" s="1568" t="s">
        <v>211</v>
      </c>
      <c r="F22" s="263"/>
      <c r="G22" s="263"/>
      <c r="H22" s="1513" t="s">
        <v>810</v>
      </c>
      <c r="I22" s="263"/>
      <c r="J22" s="263"/>
      <c r="K22" s="263" t="s">
        <v>1868</v>
      </c>
      <c r="L22" s="263"/>
      <c r="M22" s="263"/>
      <c r="N22" s="263"/>
      <c r="O22" s="263"/>
      <c r="P22" s="263"/>
      <c r="Q22" s="263"/>
      <c r="R22" s="53"/>
      <c r="S22" s="2060"/>
      <c r="T22" s="2060"/>
    </row>
    <row r="23" spans="1:20">
      <c r="A23" s="588"/>
      <c r="B23" s="588"/>
      <c r="C23" s="263"/>
      <c r="D23" s="785">
        <f t="shared" ca="1" si="0"/>
        <v>1.1700000000000002</v>
      </c>
      <c r="E23" s="1568" t="s">
        <v>247</v>
      </c>
      <c r="F23" s="263"/>
      <c r="G23" s="263"/>
      <c r="H23" s="1513" t="s">
        <v>808</v>
      </c>
      <c r="I23" s="263"/>
      <c r="J23" s="263"/>
      <c r="K23" s="263" t="s">
        <v>1869</v>
      </c>
      <c r="L23" s="263"/>
      <c r="M23" s="263"/>
      <c r="N23" s="263"/>
      <c r="O23" s="263"/>
      <c r="P23" s="263"/>
      <c r="Q23" s="263"/>
      <c r="R23" s="255"/>
      <c r="S23" s="2060"/>
      <c r="T23" s="2060"/>
    </row>
    <row r="24" spans="1:20">
      <c r="A24" s="588"/>
      <c r="B24" s="588"/>
      <c r="C24" s="53"/>
      <c r="D24" s="785">
        <f t="shared" ca="1" si="0"/>
        <v>1.1800000000000002</v>
      </c>
      <c r="E24" s="1505" t="s">
        <v>1870</v>
      </c>
      <c r="F24" s="255"/>
      <c r="G24" s="255"/>
      <c r="H24" s="1513" t="s">
        <v>1871</v>
      </c>
      <c r="I24" s="255"/>
      <c r="J24" s="263"/>
      <c r="K24" s="255" t="s">
        <v>1872</v>
      </c>
      <c r="L24" s="53"/>
      <c r="M24" s="53"/>
      <c r="N24" s="53"/>
      <c r="O24" s="53"/>
      <c r="P24" s="53"/>
      <c r="Q24" s="89"/>
      <c r="R24" s="53"/>
      <c r="S24" s="2060"/>
      <c r="T24" s="2060"/>
    </row>
    <row r="25" spans="1:20">
      <c r="A25" s="588"/>
      <c r="B25" s="588"/>
      <c r="C25" s="53"/>
      <c r="D25" s="785">
        <f t="shared" ca="1" si="0"/>
        <v>1.1900000000000002</v>
      </c>
      <c r="E25" s="1505" t="s">
        <v>1873</v>
      </c>
      <c r="F25" s="255"/>
      <c r="G25" s="255"/>
      <c r="H25" s="314" t="s">
        <v>1515</v>
      </c>
      <c r="I25" s="255"/>
      <c r="J25" s="263"/>
      <c r="K25" s="255" t="s">
        <v>1874</v>
      </c>
      <c r="L25" s="53"/>
      <c r="M25" s="53"/>
      <c r="N25" s="255"/>
      <c r="O25" s="53"/>
      <c r="P25" s="53"/>
      <c r="Q25" s="53"/>
      <c r="R25" s="53"/>
      <c r="S25" s="2060"/>
      <c r="T25" s="2060"/>
    </row>
    <row r="26" spans="1:20">
      <c r="A26" s="588"/>
      <c r="B26" s="588"/>
      <c r="C26" s="53"/>
      <c r="D26" s="785">
        <f t="shared" ca="1" si="0"/>
        <v>1.2000000000000002</v>
      </c>
      <c r="E26" s="1505" t="s">
        <v>1875</v>
      </c>
      <c r="F26" s="255"/>
      <c r="G26" s="255"/>
      <c r="H26" s="1513" t="s">
        <v>1876</v>
      </c>
      <c r="I26" s="255"/>
      <c r="J26" s="263"/>
      <c r="K26" s="255" t="s">
        <v>1877</v>
      </c>
      <c r="L26" s="53"/>
      <c r="M26" s="53"/>
      <c r="N26" s="53"/>
      <c r="O26" s="53"/>
      <c r="P26" s="53"/>
      <c r="Q26" s="53"/>
      <c r="R26" s="53"/>
      <c r="S26" s="2060"/>
      <c r="T26" s="2060"/>
    </row>
    <row r="27" spans="1:20">
      <c r="A27" s="588"/>
      <c r="B27" s="588"/>
      <c r="C27" s="53"/>
      <c r="D27" s="785">
        <f t="shared" ca="1" si="0"/>
        <v>1.2100000000000002</v>
      </c>
      <c r="E27" s="1578" t="s">
        <v>1878</v>
      </c>
      <c r="F27" s="255"/>
      <c r="G27" s="255"/>
      <c r="H27" s="1513" t="s">
        <v>1879</v>
      </c>
      <c r="I27" s="255"/>
      <c r="J27" s="263"/>
      <c r="K27" s="255" t="s">
        <v>1880</v>
      </c>
      <c r="L27" s="53"/>
      <c r="M27" s="53"/>
      <c r="N27" s="53"/>
      <c r="O27" s="53"/>
      <c r="P27" s="53"/>
      <c r="Q27" s="53"/>
      <c r="R27" s="263"/>
      <c r="S27" s="2060"/>
      <c r="T27" s="2060"/>
    </row>
    <row r="28" spans="1:20">
      <c r="A28" s="588"/>
      <c r="B28" s="588"/>
      <c r="C28" s="53"/>
      <c r="D28" s="785">
        <f t="shared" ca="1" si="0"/>
        <v>1.2200000000000002</v>
      </c>
      <c r="E28" s="1505" t="s">
        <v>1881</v>
      </c>
      <c r="F28" s="255"/>
      <c r="G28" s="255"/>
      <c r="H28" s="1513" t="s">
        <v>1882</v>
      </c>
      <c r="I28" s="255"/>
      <c r="J28" s="263"/>
      <c r="K28" s="255" t="s">
        <v>1883</v>
      </c>
      <c r="L28" s="53"/>
      <c r="M28" s="53"/>
      <c r="N28" s="255"/>
      <c r="O28" s="255"/>
      <c r="P28" s="255"/>
      <c r="Q28" s="255"/>
      <c r="R28" s="53"/>
      <c r="S28" s="2060"/>
      <c r="T28" s="2060"/>
    </row>
    <row r="29" spans="1:20">
      <c r="A29" s="588"/>
      <c r="B29" s="588"/>
      <c r="C29" s="53"/>
      <c r="D29" s="785">
        <f t="shared" ca="1" si="0"/>
        <v>1.2300000000000002</v>
      </c>
      <c r="E29" s="1568" t="s">
        <v>1884</v>
      </c>
      <c r="F29" s="263"/>
      <c r="G29" s="263"/>
      <c r="H29" s="263" t="s">
        <v>1843</v>
      </c>
      <c r="I29" s="263"/>
      <c r="J29" s="263"/>
      <c r="K29" s="263" t="s">
        <v>1885</v>
      </c>
      <c r="L29" s="53"/>
      <c r="M29" s="53"/>
      <c r="N29" s="263"/>
      <c r="O29" s="263"/>
      <c r="P29" s="53"/>
      <c r="Q29" s="92"/>
      <c r="R29" s="263"/>
      <c r="S29" s="2060"/>
      <c r="T29" s="2060"/>
    </row>
    <row r="30" spans="1:20">
      <c r="A30" s="588"/>
      <c r="B30" s="588"/>
      <c r="C30" s="263"/>
      <c r="D30" s="785">
        <f t="shared" ca="1" si="0"/>
        <v>1.2400000000000002</v>
      </c>
      <c r="E30" s="1568" t="s">
        <v>1886</v>
      </c>
      <c r="F30" s="263"/>
      <c r="G30" s="263"/>
      <c r="H30" s="263" t="s">
        <v>1843</v>
      </c>
      <c r="I30" s="263"/>
      <c r="J30" s="263"/>
      <c r="K30" s="263" t="s">
        <v>1887</v>
      </c>
      <c r="L30" s="53"/>
      <c r="M30" s="53"/>
      <c r="N30" s="53"/>
      <c r="O30" s="53"/>
      <c r="P30" s="53"/>
      <c r="Q30" s="92"/>
      <c r="R30" s="263"/>
      <c r="S30" s="2060"/>
      <c r="T30" s="2060"/>
    </row>
    <row r="31" spans="1:20">
      <c r="A31" s="588"/>
      <c r="B31" s="588"/>
      <c r="C31" s="53"/>
      <c r="D31" s="785"/>
      <c r="E31" s="1568"/>
      <c r="F31" s="255"/>
      <c r="G31" s="255"/>
      <c r="H31" s="255"/>
      <c r="I31" s="255"/>
      <c r="J31" s="263"/>
      <c r="K31" s="53" t="s">
        <v>1888</v>
      </c>
      <c r="L31" s="263"/>
      <c r="M31" s="263"/>
      <c r="N31" s="53"/>
      <c r="O31" s="53"/>
      <c r="P31" s="53"/>
      <c r="Q31" s="320"/>
      <c r="R31" s="263"/>
      <c r="S31" s="2060"/>
      <c r="T31" s="2060"/>
    </row>
    <row r="32" spans="1:20">
      <c r="A32" s="588"/>
      <c r="B32" s="588"/>
      <c r="C32" s="263"/>
      <c r="D32" s="785"/>
      <c r="E32" s="1568"/>
      <c r="F32" s="255"/>
      <c r="G32" s="255"/>
      <c r="H32" s="255"/>
      <c r="I32" s="255"/>
      <c r="J32" s="263"/>
      <c r="K32" s="53" t="s">
        <v>1889</v>
      </c>
      <c r="L32" s="263"/>
      <c r="M32" s="263"/>
      <c r="N32" s="53"/>
      <c r="O32" s="53"/>
      <c r="P32" s="53"/>
      <c r="Q32" s="263"/>
      <c r="R32" s="263"/>
      <c r="S32" s="2060"/>
      <c r="T32" s="2060"/>
    </row>
    <row r="33" spans="1:20">
      <c r="A33" s="588"/>
      <c r="B33" s="588"/>
      <c r="C33" s="263"/>
      <c r="D33" s="785"/>
      <c r="E33" s="670"/>
      <c r="F33" s="255"/>
      <c r="G33" s="255"/>
      <c r="H33" s="255"/>
      <c r="I33" s="255"/>
      <c r="J33" s="263"/>
      <c r="K33" s="53" t="s">
        <v>1890</v>
      </c>
      <c r="L33" s="53"/>
      <c r="M33" s="53"/>
      <c r="N33" s="263"/>
      <c r="O33" s="263"/>
      <c r="P33" s="263"/>
      <c r="Q33" s="53"/>
      <c r="R33" s="263"/>
      <c r="S33" s="2060"/>
      <c r="T33" s="2060"/>
    </row>
    <row r="34" spans="1:20">
      <c r="A34" s="588"/>
      <c r="B34" s="588"/>
      <c r="C34" s="53"/>
      <c r="D34" s="785">
        <f ca="1">MAX(OFFSET(D34,-1,0,-ROW(D34)+1,-2),1)+0.01</f>
        <v>1.2500000000000002</v>
      </c>
      <c r="E34" s="1505" t="s">
        <v>1189</v>
      </c>
      <c r="F34" s="255"/>
      <c r="G34" s="255"/>
      <c r="H34" s="263" t="s">
        <v>1891</v>
      </c>
      <c r="I34" s="255"/>
      <c r="J34" s="263"/>
      <c r="K34" s="255" t="s">
        <v>1892</v>
      </c>
      <c r="L34" s="53"/>
      <c r="M34" s="53"/>
      <c r="N34" s="53"/>
      <c r="O34" s="53"/>
      <c r="P34" s="53"/>
      <c r="Q34" s="263"/>
      <c r="R34" s="263"/>
      <c r="S34" s="2060"/>
      <c r="T34" s="2060"/>
    </row>
    <row r="35" spans="1:20">
      <c r="A35" s="588"/>
      <c r="B35" s="588"/>
      <c r="C35" s="263"/>
      <c r="D35" s="785"/>
      <c r="E35" s="1568"/>
      <c r="F35" s="263"/>
      <c r="G35" s="263"/>
      <c r="H35" s="263"/>
      <c r="I35" s="263"/>
      <c r="J35" s="263"/>
      <c r="K35" s="255" t="s">
        <v>1893</v>
      </c>
      <c r="L35" s="263"/>
      <c r="M35" s="263"/>
      <c r="N35" s="263"/>
      <c r="O35" s="263"/>
      <c r="P35" s="263"/>
      <c r="Q35" s="263"/>
      <c r="R35" s="263"/>
      <c r="S35" s="2060"/>
      <c r="T35" s="2060"/>
    </row>
    <row r="36" spans="1:20">
      <c r="A36" s="588"/>
      <c r="B36" s="588"/>
      <c r="C36" s="263"/>
      <c r="D36" s="785">
        <f ca="1">MAX(OFFSET(D36,-1,0,-ROW(D36)+1,-2),1)+0.01</f>
        <v>1.2600000000000002</v>
      </c>
      <c r="E36" s="1505" t="s">
        <v>1894</v>
      </c>
      <c r="F36" s="263"/>
      <c r="G36" s="263"/>
      <c r="H36" s="263" t="s">
        <v>1895</v>
      </c>
      <c r="I36" s="263"/>
      <c r="J36" s="263"/>
      <c r="K36" s="263" t="s">
        <v>1896</v>
      </c>
      <c r="L36" s="263"/>
      <c r="M36" s="263"/>
      <c r="N36" s="263"/>
      <c r="O36" s="263"/>
      <c r="P36" s="263"/>
      <c r="Q36" s="263"/>
      <c r="R36" s="263"/>
      <c r="S36" s="2060"/>
      <c r="T36" s="2060"/>
    </row>
    <row r="37" spans="1:20">
      <c r="A37" s="588"/>
      <c r="B37" s="588"/>
      <c r="C37" s="263"/>
      <c r="D37" s="785">
        <f ca="1">MAX(OFFSET(D37,-1,0,-ROW(D37)+1,-2),1)+0.01</f>
        <v>1.2700000000000002</v>
      </c>
      <c r="E37" s="1505" t="s">
        <v>1897</v>
      </c>
      <c r="F37" s="255"/>
      <c r="G37" s="255"/>
      <c r="H37" s="263" t="s">
        <v>1843</v>
      </c>
      <c r="I37" s="255"/>
      <c r="J37" s="263"/>
      <c r="K37" s="255" t="s">
        <v>1898</v>
      </c>
      <c r="L37" s="53"/>
      <c r="M37" s="53"/>
      <c r="N37" s="53"/>
      <c r="O37" s="53"/>
      <c r="P37" s="53"/>
      <c r="Q37" s="263"/>
      <c r="R37" s="263"/>
      <c r="S37" s="2060"/>
      <c r="T37" s="2060"/>
    </row>
    <row r="38" spans="1:20">
      <c r="A38" s="588"/>
      <c r="B38" s="588"/>
      <c r="C38" s="263"/>
      <c r="D38" s="785">
        <f ca="1">MAX(OFFSET(D38,-1,0,-ROW(D38)+1,-2),1)+0.01</f>
        <v>1.2800000000000002</v>
      </c>
      <c r="E38" s="1568" t="s">
        <v>1899</v>
      </c>
      <c r="F38" s="263"/>
      <c r="G38" s="263"/>
      <c r="H38" s="263" t="s">
        <v>1843</v>
      </c>
      <c r="I38" s="263"/>
      <c r="J38" s="263"/>
      <c r="K38" s="263" t="s">
        <v>1900</v>
      </c>
      <c r="L38" s="263"/>
      <c r="M38" s="263"/>
      <c r="N38" s="263"/>
      <c r="O38" s="263"/>
      <c r="P38" s="263"/>
      <c r="Q38" s="263"/>
      <c r="R38" s="263"/>
      <c r="S38" s="2060"/>
      <c r="T38" s="2060"/>
    </row>
    <row r="39" spans="1:20">
      <c r="A39" s="588"/>
      <c r="B39" s="588"/>
      <c r="C39" s="263"/>
      <c r="D39" s="785">
        <f ca="1">MAX(OFFSET(D39,-1,0,-ROW(D39)+1,-2),1)+0.01</f>
        <v>1.2900000000000003</v>
      </c>
      <c r="E39" s="1568" t="str">
        <f>"Implied Transaction "&amp;EVorTIC</f>
        <v>Implied Transaction TIC</v>
      </c>
      <c r="F39" s="263"/>
      <c r="G39" s="263"/>
      <c r="H39" s="263" t="s">
        <v>1901</v>
      </c>
      <c r="I39" s="263"/>
      <c r="J39" s="263"/>
      <c r="K39" s="263" t="s">
        <v>1902</v>
      </c>
      <c r="L39" s="263"/>
      <c r="M39" s="263"/>
      <c r="N39" s="263"/>
      <c r="O39" s="263"/>
      <c r="P39" s="263"/>
      <c r="Q39" s="263"/>
      <c r="R39" s="263"/>
      <c r="S39" s="2060"/>
      <c r="T39" s="2060"/>
    </row>
    <row r="40" spans="1:20">
      <c r="A40" s="588"/>
      <c r="B40" s="588"/>
      <c r="C40" s="263"/>
      <c r="D40" s="777"/>
      <c r="E40" s="1568"/>
      <c r="F40" s="263"/>
      <c r="G40" s="263"/>
      <c r="H40" s="263"/>
      <c r="I40" s="263"/>
      <c r="J40" s="263"/>
      <c r="K40" s="112" t="s">
        <v>1903</v>
      </c>
      <c r="L40" s="263"/>
      <c r="M40" s="263"/>
      <c r="N40" s="263"/>
      <c r="O40" s="263"/>
      <c r="P40" s="263"/>
      <c r="Q40" s="263"/>
      <c r="R40" s="263"/>
      <c r="S40" s="2060"/>
      <c r="T40" s="2060"/>
    </row>
    <row r="41" spans="1:20">
      <c r="A41" s="588"/>
      <c r="B41" s="588"/>
      <c r="C41" s="263"/>
      <c r="D41" s="777"/>
      <c r="E41" s="1568"/>
      <c r="F41" s="263"/>
      <c r="G41" s="263"/>
      <c r="H41" s="263"/>
      <c r="I41" s="263"/>
      <c r="J41" s="263"/>
      <c r="K41" s="112" t="s">
        <v>1904</v>
      </c>
      <c r="L41" s="263"/>
      <c r="M41" s="263"/>
      <c r="N41" s="263"/>
      <c r="O41" s="263"/>
      <c r="P41" s="263"/>
      <c r="Q41" s="263"/>
      <c r="R41" s="263"/>
      <c r="S41" s="2060"/>
      <c r="T41" s="2060"/>
    </row>
    <row r="42" spans="1:20">
      <c r="A42" s="588"/>
      <c r="B42" s="588"/>
      <c r="C42" s="263"/>
      <c r="D42" s="777"/>
      <c r="E42" s="1568"/>
      <c r="F42" s="263"/>
      <c r="G42" s="263"/>
      <c r="H42" s="263"/>
      <c r="I42" s="263"/>
      <c r="J42" s="263"/>
      <c r="K42" s="112" t="s">
        <v>1905</v>
      </c>
      <c r="L42" s="263"/>
      <c r="M42" s="263"/>
      <c r="N42" s="263"/>
      <c r="O42" s="263"/>
      <c r="P42" s="263"/>
      <c r="Q42" s="263"/>
      <c r="R42" s="255"/>
      <c r="S42" s="2060"/>
      <c r="T42" s="2060"/>
    </row>
    <row r="43" spans="1:20">
      <c r="A43" s="588"/>
      <c r="B43" s="588"/>
      <c r="C43" s="263"/>
      <c r="D43" s="777"/>
      <c r="E43" s="1568"/>
      <c r="F43" s="263"/>
      <c r="G43" s="263"/>
      <c r="H43" s="263"/>
      <c r="I43" s="263"/>
      <c r="J43" s="263"/>
      <c r="K43" s="112" t="s">
        <v>1906</v>
      </c>
      <c r="L43" s="263"/>
      <c r="M43" s="263"/>
      <c r="N43" s="263"/>
      <c r="O43" s="263"/>
      <c r="P43" s="263"/>
      <c r="Q43" s="263"/>
      <c r="R43" s="263"/>
      <c r="S43" s="2060"/>
      <c r="T43" s="2060"/>
    </row>
    <row r="44" spans="1:20">
      <c r="A44" s="588"/>
      <c r="B44" s="588"/>
      <c r="C44" s="263"/>
      <c r="D44" s="777"/>
      <c r="E44" s="1568"/>
      <c r="F44" s="263"/>
      <c r="G44" s="263"/>
      <c r="H44" s="263"/>
      <c r="I44" s="263"/>
      <c r="J44" s="263"/>
      <c r="K44" s="112" t="s">
        <v>1907</v>
      </c>
      <c r="L44" s="263"/>
      <c r="M44" s="263"/>
      <c r="N44" s="263"/>
      <c r="O44" s="263"/>
      <c r="P44" s="263"/>
      <c r="Q44" s="263"/>
      <c r="R44" s="263"/>
      <c r="S44" s="2060"/>
      <c r="T44" s="2060"/>
    </row>
    <row r="45" spans="1:20">
      <c r="A45" s="588"/>
      <c r="B45" s="588"/>
      <c r="C45" s="53"/>
      <c r="D45" s="777"/>
      <c r="E45" s="1568"/>
      <c r="F45" s="263"/>
      <c r="G45" s="263"/>
      <c r="H45" s="263"/>
      <c r="I45" s="263"/>
      <c r="J45" s="263"/>
      <c r="K45" s="112" t="s">
        <v>1908</v>
      </c>
      <c r="L45" s="263"/>
      <c r="M45" s="263"/>
      <c r="N45" s="263"/>
      <c r="O45" s="263"/>
      <c r="P45" s="263"/>
      <c r="Q45" s="263"/>
      <c r="R45" s="263"/>
      <c r="S45" s="2060"/>
      <c r="T45" s="2060"/>
    </row>
    <row r="46" spans="1:20">
      <c r="A46" s="588"/>
      <c r="B46" s="588"/>
      <c r="C46" s="263"/>
      <c r="D46" s="785">
        <f t="shared" ref="D46:D82" ca="1" si="1">MAX(OFFSET(D46,-1,0,-ROW(D46)+1,-2),1)+0.01</f>
        <v>1.3000000000000003</v>
      </c>
      <c r="E46" s="1568" t="s">
        <v>1909</v>
      </c>
      <c r="F46" s="263"/>
      <c r="G46" s="263"/>
      <c r="H46" s="263" t="s">
        <v>1910</v>
      </c>
      <c r="I46" s="263"/>
      <c r="J46" s="263"/>
      <c r="K46" s="263" t="s">
        <v>1911</v>
      </c>
      <c r="L46" s="263"/>
      <c r="M46" s="263"/>
      <c r="N46" s="263"/>
      <c r="O46" s="263"/>
      <c r="P46" s="263"/>
      <c r="Q46" s="263"/>
      <c r="R46" s="263"/>
      <c r="S46" s="2060"/>
      <c r="T46" s="2060"/>
    </row>
    <row r="47" spans="1:20">
      <c r="A47" s="588"/>
      <c r="B47" s="588"/>
      <c r="C47" s="255"/>
      <c r="D47" s="785">
        <f t="shared" ca="1" si="1"/>
        <v>1.3100000000000003</v>
      </c>
      <c r="E47" s="670" t="s">
        <v>1065</v>
      </c>
      <c r="F47" s="21"/>
      <c r="G47" s="21"/>
      <c r="H47" s="255" t="s">
        <v>1066</v>
      </c>
      <c r="I47" s="126"/>
      <c r="J47" s="255"/>
      <c r="K47" s="263" t="s">
        <v>1065</v>
      </c>
      <c r="L47" s="255"/>
      <c r="M47" s="255"/>
      <c r="N47" s="255"/>
      <c r="O47" s="255"/>
      <c r="P47" s="255"/>
      <c r="Q47" s="255"/>
      <c r="R47" s="263"/>
      <c r="S47" s="2060"/>
      <c r="T47" s="2060"/>
    </row>
    <row r="48" spans="1:20">
      <c r="A48" s="588"/>
      <c r="B48" s="588"/>
      <c r="C48" s="263"/>
      <c r="D48" s="785">
        <f t="shared" ca="1" si="1"/>
        <v>1.3200000000000003</v>
      </c>
      <c r="E48" s="670" t="s">
        <v>296</v>
      </c>
      <c r="F48" s="263"/>
      <c r="G48" s="263"/>
      <c r="H48" s="89" t="s">
        <v>813</v>
      </c>
      <c r="I48" s="263"/>
      <c r="J48" s="263"/>
      <c r="K48" s="263" t="s">
        <v>296</v>
      </c>
      <c r="L48" s="263"/>
      <c r="M48" s="263"/>
      <c r="N48" s="263"/>
      <c r="O48" s="263"/>
      <c r="P48" s="263"/>
      <c r="Q48" s="263"/>
      <c r="R48" s="263"/>
      <c r="S48" s="2060"/>
      <c r="T48" s="2060"/>
    </row>
    <row r="49" spans="1:20">
      <c r="A49" s="588"/>
      <c r="B49" s="588"/>
      <c r="C49" s="263"/>
      <c r="D49" s="785">
        <f t="shared" ca="1" si="1"/>
        <v>1.3300000000000003</v>
      </c>
      <c r="E49" s="670" t="s">
        <v>306</v>
      </c>
      <c r="F49" s="263"/>
      <c r="G49" s="263"/>
      <c r="H49" s="1513" t="s">
        <v>821</v>
      </c>
      <c r="I49" s="263"/>
      <c r="J49" s="263"/>
      <c r="K49" s="263" t="s">
        <v>306</v>
      </c>
      <c r="L49" s="263"/>
      <c r="M49" s="263"/>
      <c r="N49" s="263"/>
      <c r="O49" s="263"/>
      <c r="P49" s="263"/>
      <c r="Q49" s="263"/>
      <c r="R49" s="53"/>
      <c r="S49" s="2060"/>
      <c r="T49" s="2060"/>
    </row>
    <row r="50" spans="1:20">
      <c r="A50" s="588"/>
      <c r="B50" s="588"/>
      <c r="C50" s="53"/>
      <c r="D50" s="785">
        <f t="shared" ca="1" si="1"/>
        <v>1.3400000000000003</v>
      </c>
      <c r="E50" s="1578" t="s">
        <v>1912</v>
      </c>
      <c r="F50" s="255"/>
      <c r="G50" s="255"/>
      <c r="H50" s="1513" t="s">
        <v>1913</v>
      </c>
      <c r="I50" s="255"/>
      <c r="J50" s="263"/>
      <c r="K50" s="255" t="s">
        <v>1914</v>
      </c>
      <c r="L50" s="53"/>
      <c r="M50" s="53"/>
      <c r="N50" s="263"/>
      <c r="O50" s="263"/>
      <c r="P50" s="263"/>
      <c r="Q50" s="263"/>
      <c r="R50" s="53"/>
      <c r="S50" s="2060"/>
      <c r="T50" s="2060"/>
    </row>
    <row r="51" spans="1:20">
      <c r="A51" s="588"/>
      <c r="B51" s="588"/>
      <c r="C51" s="263"/>
      <c r="D51" s="785">
        <f t="shared" ca="1" si="1"/>
        <v>1.3500000000000003</v>
      </c>
      <c r="E51" s="670" t="s">
        <v>1915</v>
      </c>
      <c r="F51" s="263"/>
      <c r="G51" s="263"/>
      <c r="H51" s="1513" t="s">
        <v>1916</v>
      </c>
      <c r="I51" s="263"/>
      <c r="J51" s="263"/>
      <c r="K51" s="263" t="s">
        <v>1915</v>
      </c>
      <c r="L51" s="263"/>
      <c r="M51" s="263"/>
      <c r="N51" s="263"/>
      <c r="O51" s="263"/>
      <c r="P51" s="263"/>
      <c r="Q51" s="263"/>
      <c r="R51" s="53"/>
      <c r="S51" s="2060"/>
      <c r="T51" s="2060"/>
    </row>
    <row r="52" spans="1:20">
      <c r="A52" s="588"/>
      <c r="B52" s="588"/>
      <c r="C52" s="53"/>
      <c r="D52" s="785">
        <f t="shared" ca="1" si="1"/>
        <v>1.3600000000000003</v>
      </c>
      <c r="E52" s="1578" t="s">
        <v>1917</v>
      </c>
      <c r="F52" s="255"/>
      <c r="G52" s="255"/>
      <c r="H52" s="255" t="s">
        <v>1918</v>
      </c>
      <c r="I52" s="255"/>
      <c r="J52" s="263"/>
      <c r="K52" s="255" t="s">
        <v>1919</v>
      </c>
      <c r="L52" s="53"/>
      <c r="M52" s="53"/>
      <c r="N52" s="263"/>
      <c r="O52" s="263"/>
      <c r="P52" s="263"/>
      <c r="Q52" s="263"/>
      <c r="R52" s="263"/>
      <c r="S52" s="2060"/>
      <c r="T52" s="2060"/>
    </row>
    <row r="53" spans="1:20">
      <c r="A53" s="588"/>
      <c r="B53" s="588"/>
      <c r="C53" s="263"/>
      <c r="D53" s="785">
        <f t="shared" ca="1" si="1"/>
        <v>1.3700000000000003</v>
      </c>
      <c r="E53" s="670" t="s">
        <v>1920</v>
      </c>
      <c r="F53" s="263"/>
      <c r="G53" s="263"/>
      <c r="H53" s="263" t="s">
        <v>1921</v>
      </c>
      <c r="I53" s="263"/>
      <c r="J53" s="263"/>
      <c r="K53" s="263" t="s">
        <v>1922</v>
      </c>
      <c r="L53" s="263"/>
      <c r="M53" s="263"/>
      <c r="N53" s="263"/>
      <c r="O53" s="263"/>
      <c r="P53" s="263"/>
      <c r="Q53" s="263"/>
      <c r="R53" s="53"/>
      <c r="S53" s="2060"/>
      <c r="T53" s="2060"/>
    </row>
    <row r="54" spans="1:20">
      <c r="A54" s="588"/>
      <c r="B54" s="588"/>
      <c r="C54" s="53"/>
      <c r="D54" s="785">
        <f t="shared" ca="1" si="1"/>
        <v>1.3800000000000003</v>
      </c>
      <c r="E54" s="670" t="s">
        <v>1923</v>
      </c>
      <c r="F54" s="263"/>
      <c r="G54" s="263"/>
      <c r="H54" s="314" t="s">
        <v>1924</v>
      </c>
      <c r="I54" s="263"/>
      <c r="J54" s="263"/>
      <c r="K54" s="263" t="s">
        <v>1925</v>
      </c>
      <c r="L54" s="263"/>
      <c r="M54" s="263"/>
      <c r="N54" s="53"/>
      <c r="O54" s="53"/>
      <c r="P54" s="53"/>
      <c r="Q54" s="53"/>
      <c r="R54" s="53"/>
      <c r="S54" s="2060"/>
      <c r="T54" s="2060"/>
    </row>
    <row r="55" spans="1:20">
      <c r="A55" s="588"/>
      <c r="B55" s="588"/>
      <c r="C55" s="53"/>
      <c r="D55" s="785">
        <f t="shared" ca="1" si="1"/>
        <v>1.3900000000000003</v>
      </c>
      <c r="E55" s="1578" t="s">
        <v>875</v>
      </c>
      <c r="F55" s="255"/>
      <c r="G55" s="255"/>
      <c r="H55" s="1513" t="s">
        <v>774</v>
      </c>
      <c r="I55" s="255"/>
      <c r="J55" s="263"/>
      <c r="K55" s="255" t="s">
        <v>1926</v>
      </c>
      <c r="L55" s="53"/>
      <c r="M55" s="53"/>
      <c r="N55" s="263"/>
      <c r="O55" s="263"/>
      <c r="P55" s="53"/>
      <c r="Q55" s="53"/>
      <c r="R55" s="53"/>
      <c r="S55" s="2060"/>
      <c r="T55" s="2060"/>
    </row>
    <row r="56" spans="1:20">
      <c r="A56" s="588"/>
      <c r="B56" s="588"/>
      <c r="C56" s="53"/>
      <c r="D56" s="785">
        <f t="shared" ca="1" si="1"/>
        <v>1.4000000000000004</v>
      </c>
      <c r="E56" s="1578" t="s">
        <v>1927</v>
      </c>
      <c r="F56" s="255"/>
      <c r="G56" s="255"/>
      <c r="H56" s="263" t="s">
        <v>1928</v>
      </c>
      <c r="I56" s="255"/>
      <c r="J56" s="263"/>
      <c r="K56" s="255" t="s">
        <v>1929</v>
      </c>
      <c r="L56" s="53"/>
      <c r="M56" s="53"/>
      <c r="N56" s="53"/>
      <c r="O56" s="53"/>
      <c r="P56" s="53"/>
      <c r="Q56" s="53"/>
      <c r="R56" s="263"/>
      <c r="S56" s="2060"/>
      <c r="T56" s="2060"/>
    </row>
    <row r="57" spans="1:20">
      <c r="A57" s="588"/>
      <c r="B57" s="588"/>
      <c r="C57" s="263"/>
      <c r="D57" s="785">
        <f t="shared" ca="1" si="1"/>
        <v>1.4100000000000004</v>
      </c>
      <c r="E57" s="670" t="s">
        <v>395</v>
      </c>
      <c r="F57" s="263"/>
      <c r="G57" s="263"/>
      <c r="H57" s="1513" t="s">
        <v>815</v>
      </c>
      <c r="I57" s="263"/>
      <c r="J57" s="263"/>
      <c r="K57" s="263" t="s">
        <v>395</v>
      </c>
      <c r="L57" s="263"/>
      <c r="M57" s="263"/>
      <c r="N57" s="263"/>
      <c r="O57" s="263"/>
      <c r="P57" s="263"/>
      <c r="Q57" s="263"/>
      <c r="R57" s="53"/>
      <c r="S57" s="2060"/>
      <c r="T57" s="2060"/>
    </row>
    <row r="58" spans="1:20">
      <c r="A58" s="588"/>
      <c r="B58" s="588"/>
      <c r="C58" s="53"/>
      <c r="D58" s="785">
        <f t="shared" ca="1" si="1"/>
        <v>1.4200000000000004</v>
      </c>
      <c r="E58" s="1578" t="s">
        <v>413</v>
      </c>
      <c r="F58" s="255"/>
      <c r="G58" s="255"/>
      <c r="H58" s="1513" t="s">
        <v>824</v>
      </c>
      <c r="I58" s="255"/>
      <c r="J58" s="263"/>
      <c r="K58" s="255" t="s">
        <v>1930</v>
      </c>
      <c r="L58" s="53"/>
      <c r="M58" s="53"/>
      <c r="N58" s="53"/>
      <c r="O58" s="53"/>
      <c r="P58" s="53"/>
      <c r="Q58" s="53"/>
      <c r="R58" s="263"/>
      <c r="S58" s="2060"/>
      <c r="T58" s="2060"/>
    </row>
    <row r="59" spans="1:20">
      <c r="A59" s="588"/>
      <c r="B59" s="588"/>
      <c r="C59" s="263"/>
      <c r="D59" s="785">
        <f t="shared" ca="1" si="1"/>
        <v>1.4300000000000004</v>
      </c>
      <c r="E59" s="670" t="s">
        <v>1931</v>
      </c>
      <c r="F59" s="263"/>
      <c r="G59" s="263"/>
      <c r="H59" s="314" t="s">
        <v>1932</v>
      </c>
      <c r="I59" s="263"/>
      <c r="J59" s="263"/>
      <c r="K59" s="263" t="s">
        <v>1933</v>
      </c>
      <c r="L59" s="263"/>
      <c r="M59" s="263"/>
      <c r="N59" s="53"/>
      <c r="O59" s="53"/>
      <c r="P59" s="53"/>
      <c r="Q59" s="53"/>
      <c r="R59" s="263"/>
      <c r="S59" s="2060"/>
      <c r="T59" s="2060"/>
    </row>
    <row r="60" spans="1:20">
      <c r="A60" s="588"/>
      <c r="B60" s="588"/>
      <c r="C60" s="263"/>
      <c r="D60" s="785">
        <f t="shared" ca="1" si="1"/>
        <v>1.4400000000000004</v>
      </c>
      <c r="E60" s="1578" t="s">
        <v>1934</v>
      </c>
      <c r="F60" s="255"/>
      <c r="G60" s="255"/>
      <c r="H60" s="1513" t="s">
        <v>1935</v>
      </c>
      <c r="I60" s="255"/>
      <c r="J60" s="263"/>
      <c r="K60" s="255" t="s">
        <v>1936</v>
      </c>
      <c r="L60" s="53"/>
      <c r="M60" s="53"/>
      <c r="N60" s="53"/>
      <c r="O60" s="53"/>
      <c r="P60" s="53"/>
      <c r="Q60" s="53"/>
      <c r="R60" s="263"/>
      <c r="S60" s="2060"/>
      <c r="T60" s="2060"/>
    </row>
    <row r="61" spans="1:20">
      <c r="A61" s="588"/>
      <c r="B61" s="588"/>
      <c r="C61" s="263"/>
      <c r="D61" s="785">
        <f t="shared" ca="1" si="1"/>
        <v>1.4500000000000004</v>
      </c>
      <c r="E61" s="1578" t="s">
        <v>1937</v>
      </c>
      <c r="F61" s="255"/>
      <c r="G61" s="255"/>
      <c r="H61" s="263" t="s">
        <v>1938</v>
      </c>
      <c r="I61" s="255"/>
      <c r="J61" s="263"/>
      <c r="K61" s="255" t="s">
        <v>1939</v>
      </c>
      <c r="L61" s="53"/>
      <c r="M61" s="53"/>
      <c r="N61" s="263"/>
      <c r="O61" s="263"/>
      <c r="P61" s="263"/>
      <c r="Q61" s="263"/>
      <c r="R61" s="263"/>
      <c r="S61" s="2060"/>
      <c r="T61" s="2060"/>
    </row>
    <row r="62" spans="1:20">
      <c r="A62" s="588"/>
      <c r="B62" s="588"/>
      <c r="C62" s="263"/>
      <c r="D62" s="785">
        <f t="shared" ca="1" si="1"/>
        <v>1.4600000000000004</v>
      </c>
      <c r="E62" s="1568" t="s">
        <v>1940</v>
      </c>
      <c r="F62" s="263"/>
      <c r="G62" s="263"/>
      <c r="H62" s="263" t="s">
        <v>1941</v>
      </c>
      <c r="I62" s="263"/>
      <c r="J62" s="263"/>
      <c r="K62" s="263" t="s">
        <v>1940</v>
      </c>
      <c r="L62" s="263"/>
      <c r="M62" s="263"/>
      <c r="N62" s="53"/>
      <c r="O62" s="53"/>
      <c r="P62" s="53"/>
      <c r="Q62" s="53"/>
      <c r="R62" s="263"/>
      <c r="S62" s="2060"/>
      <c r="T62" s="2060"/>
    </row>
    <row r="63" spans="1:20">
      <c r="A63" s="588"/>
      <c r="B63" s="588"/>
      <c r="C63" s="263"/>
      <c r="D63" s="785">
        <f t="shared" ca="1" si="1"/>
        <v>1.4700000000000004</v>
      </c>
      <c r="E63" s="1505" t="s">
        <v>1942</v>
      </c>
      <c r="F63" s="255"/>
      <c r="G63" s="255"/>
      <c r="H63" s="1513" t="s">
        <v>1943</v>
      </c>
      <c r="I63" s="255"/>
      <c r="J63" s="263"/>
      <c r="K63" s="255" t="s">
        <v>1944</v>
      </c>
      <c r="L63" s="53"/>
      <c r="M63" s="53"/>
      <c r="N63" s="263"/>
      <c r="O63" s="263"/>
      <c r="P63" s="263"/>
      <c r="Q63" s="263"/>
      <c r="R63" s="263"/>
      <c r="S63" s="2060"/>
      <c r="T63" s="2060"/>
    </row>
    <row r="64" spans="1:20">
      <c r="A64" s="588"/>
      <c r="B64" s="588"/>
      <c r="C64" s="53"/>
      <c r="D64" s="785">
        <f t="shared" ca="1" si="1"/>
        <v>1.4800000000000004</v>
      </c>
      <c r="E64" s="670" t="s">
        <v>1945</v>
      </c>
      <c r="F64" s="263"/>
      <c r="G64" s="263"/>
      <c r="H64" s="263" t="s">
        <v>1946</v>
      </c>
      <c r="I64" s="263"/>
      <c r="J64" s="263"/>
      <c r="K64" s="263" t="s">
        <v>1945</v>
      </c>
      <c r="L64" s="263"/>
      <c r="M64" s="263"/>
      <c r="N64" s="263"/>
      <c r="O64" s="263"/>
      <c r="P64" s="263"/>
      <c r="Q64" s="263"/>
      <c r="R64" s="53"/>
      <c r="S64" s="2060"/>
      <c r="T64" s="2060"/>
    </row>
    <row r="65" spans="1:20">
      <c r="A65" s="588"/>
      <c r="B65" s="588"/>
      <c r="C65" s="53"/>
      <c r="D65" s="785">
        <f t="shared" ca="1" si="1"/>
        <v>1.4900000000000004</v>
      </c>
      <c r="E65" s="1578" t="s">
        <v>1947</v>
      </c>
      <c r="F65" s="263"/>
      <c r="G65" s="263"/>
      <c r="H65" s="263" t="s">
        <v>1843</v>
      </c>
      <c r="I65" s="263"/>
      <c r="J65" s="263"/>
      <c r="K65" s="263" t="s">
        <v>1948</v>
      </c>
      <c r="L65" s="263"/>
      <c r="M65" s="263"/>
      <c r="N65" s="263"/>
      <c r="O65" s="263"/>
      <c r="P65" s="263"/>
      <c r="Q65" s="263"/>
      <c r="R65" s="53"/>
      <c r="S65" s="2060"/>
      <c r="T65" s="2060"/>
    </row>
    <row r="66" spans="1:20">
      <c r="A66" s="588"/>
      <c r="B66" s="588"/>
      <c r="C66" s="53"/>
      <c r="D66" s="785">
        <f t="shared" ca="1" si="1"/>
        <v>1.5000000000000004</v>
      </c>
      <c r="E66" s="1578" t="s">
        <v>1949</v>
      </c>
      <c r="F66" s="255"/>
      <c r="G66" s="255"/>
      <c r="H66" s="263" t="s">
        <v>1950</v>
      </c>
      <c r="I66" s="255"/>
      <c r="J66" s="263"/>
      <c r="K66" s="255" t="s">
        <v>1951</v>
      </c>
      <c r="L66" s="53"/>
      <c r="M66" s="53"/>
      <c r="N66" s="263"/>
      <c r="O66" s="263"/>
      <c r="P66" s="263"/>
      <c r="Q66" s="263"/>
      <c r="R66" s="53"/>
      <c r="S66" s="2060"/>
      <c r="T66" s="2060"/>
    </row>
    <row r="67" spans="1:20">
      <c r="A67" s="588"/>
      <c r="B67" s="588"/>
      <c r="C67" s="53"/>
      <c r="D67" s="785">
        <f t="shared" ca="1" si="1"/>
        <v>1.5100000000000005</v>
      </c>
      <c r="E67" s="255" t="s">
        <v>1952</v>
      </c>
      <c r="F67" s="255"/>
      <c r="G67" s="255"/>
      <c r="H67" s="263" t="s">
        <v>1953</v>
      </c>
      <c r="I67" s="255"/>
      <c r="J67" s="263"/>
      <c r="K67" s="255" t="s">
        <v>1954</v>
      </c>
      <c r="L67" s="53"/>
      <c r="M67" s="53"/>
      <c r="N67" s="263"/>
      <c r="O67" s="263"/>
      <c r="P67" s="263"/>
      <c r="Q67" s="263"/>
      <c r="R67" s="255"/>
      <c r="S67" s="2060"/>
      <c r="T67" s="2060"/>
    </row>
    <row r="68" spans="1:20">
      <c r="A68" s="588"/>
      <c r="B68" s="588"/>
      <c r="C68" s="53"/>
      <c r="D68" s="785">
        <f t="shared" ca="1" si="1"/>
        <v>1.5200000000000005</v>
      </c>
      <c r="E68" s="21" t="s">
        <v>1955</v>
      </c>
      <c r="F68" s="21"/>
      <c r="G68" s="21"/>
      <c r="H68" s="314" t="str">
        <f>"IQ_TOTAL_REV"</f>
        <v>IQ_TOTAL_REV</v>
      </c>
      <c r="I68" s="126"/>
      <c r="J68" s="255"/>
      <c r="K68" s="255" t="s">
        <v>1956</v>
      </c>
      <c r="L68" s="255"/>
      <c r="M68" s="255"/>
      <c r="N68" s="255"/>
      <c r="O68" s="263"/>
      <c r="P68" s="263"/>
      <c r="Q68" s="263"/>
      <c r="R68" s="53"/>
      <c r="S68" s="2060"/>
      <c r="T68" s="2060"/>
    </row>
    <row r="69" spans="1:20">
      <c r="A69" s="588"/>
      <c r="B69" s="588"/>
      <c r="C69" s="53"/>
      <c r="D69" s="785">
        <f t="shared" ca="1" si="1"/>
        <v>1.5300000000000005</v>
      </c>
      <c r="E69" s="263" t="s">
        <v>1957</v>
      </c>
      <c r="F69" s="263"/>
      <c r="G69" s="263"/>
      <c r="H69" s="314" t="s">
        <v>827</v>
      </c>
      <c r="I69" s="263"/>
      <c r="J69" s="263"/>
      <c r="K69" s="263" t="s">
        <v>1957</v>
      </c>
      <c r="L69" s="263"/>
      <c r="M69" s="263"/>
      <c r="N69" s="53"/>
      <c r="O69" s="53"/>
      <c r="P69" s="53"/>
      <c r="Q69" s="53"/>
      <c r="R69" s="53"/>
      <c r="S69" s="2060"/>
      <c r="T69" s="2060"/>
    </row>
    <row r="70" spans="1:20">
      <c r="A70" s="588"/>
      <c r="B70" s="588"/>
      <c r="C70" s="255"/>
      <c r="D70" s="785">
        <f t="shared" ca="1" si="1"/>
        <v>1.5400000000000005</v>
      </c>
      <c r="E70" s="263" t="s">
        <v>1958</v>
      </c>
      <c r="F70" s="263"/>
      <c r="G70" s="263"/>
      <c r="H70" s="263" t="s">
        <v>1071</v>
      </c>
      <c r="I70" s="263"/>
      <c r="J70" s="263"/>
      <c r="K70" s="263" t="s">
        <v>1958</v>
      </c>
      <c r="L70" s="263"/>
      <c r="M70" s="263"/>
      <c r="N70" s="53"/>
      <c r="O70" s="53"/>
      <c r="P70" s="53"/>
      <c r="Q70" s="53"/>
      <c r="R70" s="255"/>
      <c r="S70" s="2060"/>
      <c r="T70" s="2060"/>
    </row>
    <row r="71" spans="1:20">
      <c r="A71" s="588"/>
      <c r="B71" s="588"/>
      <c r="C71" s="255"/>
      <c r="D71" s="785">
        <f t="shared" ca="1" si="1"/>
        <v>1.5500000000000005</v>
      </c>
      <c r="E71" s="255" t="s">
        <v>1959</v>
      </c>
      <c r="F71" s="255"/>
      <c r="G71" s="255"/>
      <c r="H71" s="263" t="s">
        <v>1960</v>
      </c>
      <c r="I71" s="255"/>
      <c r="J71" s="263"/>
      <c r="K71" s="255" t="s">
        <v>1961</v>
      </c>
      <c r="L71" s="53"/>
      <c r="M71" s="53"/>
      <c r="N71" s="53"/>
      <c r="O71" s="53"/>
      <c r="P71" s="53"/>
      <c r="Q71" s="53"/>
      <c r="R71" s="263"/>
      <c r="S71" s="2060"/>
      <c r="T71" s="2060"/>
    </row>
    <row r="72" spans="1:20">
      <c r="A72" s="588"/>
      <c r="B72" s="588"/>
      <c r="C72" s="255"/>
      <c r="D72" s="785">
        <f t="shared" ca="1" si="1"/>
        <v>1.5600000000000005</v>
      </c>
      <c r="E72" s="255" t="s">
        <v>1485</v>
      </c>
      <c r="F72" s="21"/>
      <c r="G72" s="21"/>
      <c r="H72" s="263" t="s">
        <v>828</v>
      </c>
      <c r="I72" s="126"/>
      <c r="J72" s="255"/>
      <c r="K72" s="255" t="s">
        <v>1962</v>
      </c>
      <c r="L72" s="255"/>
      <c r="M72" s="255"/>
      <c r="N72" s="255"/>
      <c r="O72" s="255"/>
      <c r="P72" s="255"/>
      <c r="Q72" s="255"/>
      <c r="R72" s="255"/>
      <c r="S72" s="2060"/>
      <c r="T72" s="2060"/>
    </row>
    <row r="73" spans="1:20">
      <c r="A73" s="588"/>
      <c r="B73" s="588"/>
      <c r="C73" s="255"/>
      <c r="D73" s="785">
        <f t="shared" ca="1" si="1"/>
        <v>1.5700000000000005</v>
      </c>
      <c r="E73" s="255" t="s">
        <v>1963</v>
      </c>
      <c r="F73" s="255"/>
      <c r="G73" s="255"/>
      <c r="H73" s="1513" t="s">
        <v>1876</v>
      </c>
      <c r="I73" s="255"/>
      <c r="J73" s="263"/>
      <c r="K73" s="255" t="s">
        <v>1964</v>
      </c>
      <c r="L73" s="53"/>
      <c r="M73" s="53"/>
      <c r="N73" s="53"/>
      <c r="O73" s="53"/>
      <c r="P73" s="53"/>
      <c r="Q73" s="53"/>
      <c r="R73" s="255"/>
      <c r="S73" s="2060"/>
      <c r="T73" s="2060"/>
    </row>
    <row r="74" spans="1:20">
      <c r="A74" s="588"/>
      <c r="B74" s="588"/>
      <c r="C74" s="255"/>
      <c r="D74" s="785">
        <f t="shared" ca="1" si="1"/>
        <v>1.5800000000000005</v>
      </c>
      <c r="E74" s="255" t="s">
        <v>1965</v>
      </c>
      <c r="F74" s="255"/>
      <c r="G74" s="255"/>
      <c r="H74" s="1513" t="s">
        <v>1879</v>
      </c>
      <c r="I74" s="255"/>
      <c r="J74" s="263"/>
      <c r="K74" s="255" t="s">
        <v>1966</v>
      </c>
      <c r="L74" s="53"/>
      <c r="M74" s="53"/>
      <c r="N74" s="53"/>
      <c r="O74" s="53"/>
      <c r="P74" s="53"/>
      <c r="Q74" s="53"/>
      <c r="R74" s="53"/>
      <c r="S74" s="2060"/>
      <c r="T74" s="2060"/>
    </row>
    <row r="75" spans="1:20">
      <c r="A75" s="588"/>
      <c r="B75" s="588"/>
      <c r="C75" s="53"/>
      <c r="D75" s="785">
        <f t="shared" ca="1" si="1"/>
        <v>1.5900000000000005</v>
      </c>
      <c r="E75" s="255" t="s">
        <v>1967</v>
      </c>
      <c r="F75" s="255"/>
      <c r="G75" s="255"/>
      <c r="H75" s="1513" t="s">
        <v>1882</v>
      </c>
      <c r="I75" s="255"/>
      <c r="J75" s="263"/>
      <c r="K75" s="255" t="s">
        <v>1968</v>
      </c>
      <c r="L75" s="53"/>
      <c r="M75" s="53"/>
      <c r="N75" s="255"/>
      <c r="O75" s="255"/>
      <c r="P75" s="255"/>
      <c r="Q75" s="255"/>
      <c r="R75" s="263"/>
      <c r="S75" s="2060"/>
      <c r="T75" s="2060"/>
    </row>
    <row r="76" spans="1:20">
      <c r="A76" s="588"/>
      <c r="B76" s="588"/>
      <c r="C76" s="53"/>
      <c r="D76" s="785">
        <f t="shared" ca="1" si="1"/>
        <v>1.6000000000000005</v>
      </c>
      <c r="E76" s="255" t="s">
        <v>1969</v>
      </c>
      <c r="F76" s="255"/>
      <c r="G76" s="255"/>
      <c r="H76" s="314" t="s">
        <v>1843</v>
      </c>
      <c r="I76" s="126"/>
      <c r="J76" s="255"/>
      <c r="K76" s="255" t="s">
        <v>1970</v>
      </c>
      <c r="L76" s="255"/>
      <c r="M76" s="255"/>
      <c r="N76" s="263"/>
      <c r="O76" s="263"/>
      <c r="P76" s="263"/>
      <c r="Q76" s="263"/>
      <c r="R76" s="263"/>
      <c r="S76" s="2060"/>
      <c r="T76" s="2060"/>
    </row>
    <row r="77" spans="1:20">
      <c r="A77" s="588"/>
      <c r="B77" s="588"/>
      <c r="C77" s="53"/>
      <c r="D77" s="785">
        <f t="shared" ca="1" si="1"/>
        <v>1.6100000000000005</v>
      </c>
      <c r="E77" s="263" t="s">
        <v>1971</v>
      </c>
      <c r="F77" s="21"/>
      <c r="G77" s="21"/>
      <c r="H77" s="89" t="s">
        <v>825</v>
      </c>
      <c r="I77" s="126"/>
      <c r="J77" s="255"/>
      <c r="K77" s="255" t="s">
        <v>994</v>
      </c>
      <c r="L77" s="255"/>
      <c r="M77" s="255"/>
      <c r="N77" s="53"/>
      <c r="O77" s="255"/>
      <c r="P77" s="255"/>
      <c r="Q77" s="255"/>
      <c r="R77" s="53"/>
      <c r="S77" s="2060"/>
      <c r="T77" s="2060"/>
    </row>
    <row r="78" spans="1:20">
      <c r="A78" s="588"/>
      <c r="B78" s="588"/>
      <c r="C78" s="53"/>
      <c r="D78" s="785">
        <f t="shared" ca="1" si="1"/>
        <v>1.6200000000000006</v>
      </c>
      <c r="E78" s="263" t="s">
        <v>1972</v>
      </c>
      <c r="F78" s="263"/>
      <c r="G78" s="263"/>
      <c r="H78" s="314" t="s">
        <v>783</v>
      </c>
      <c r="I78" s="263"/>
      <c r="J78" s="263"/>
      <c r="K78" s="263" t="s">
        <v>1085</v>
      </c>
      <c r="L78" s="263"/>
      <c r="M78" s="263"/>
      <c r="N78" s="263"/>
      <c r="O78" s="255"/>
      <c r="P78" s="255"/>
      <c r="Q78" s="255"/>
      <c r="R78" s="263"/>
      <c r="S78" s="2060"/>
      <c r="T78" s="2060"/>
    </row>
    <row r="79" spans="1:20">
      <c r="A79" s="588"/>
      <c r="B79" s="588"/>
      <c r="C79" s="53"/>
      <c r="D79" s="785">
        <f t="shared" ca="1" si="1"/>
        <v>1.6300000000000006</v>
      </c>
      <c r="E79" s="255" t="s">
        <v>1973</v>
      </c>
      <c r="F79" s="255"/>
      <c r="G79" s="255"/>
      <c r="H79" s="314" t="s">
        <v>1515</v>
      </c>
      <c r="I79" s="255"/>
      <c r="J79" s="263"/>
      <c r="K79" s="255" t="s">
        <v>1874</v>
      </c>
      <c r="L79" s="53"/>
      <c r="M79" s="53"/>
      <c r="N79" s="255"/>
      <c r="O79" s="53"/>
      <c r="P79" s="53"/>
      <c r="Q79" s="53"/>
      <c r="R79" s="255"/>
      <c r="S79" s="2060"/>
      <c r="T79" s="2060"/>
    </row>
    <row r="80" spans="1:20">
      <c r="A80" s="2060"/>
      <c r="B80" s="2060"/>
      <c r="C80" s="255"/>
      <c r="D80" s="785">
        <f t="shared" ca="1" si="1"/>
        <v>1.6400000000000006</v>
      </c>
      <c r="E80" s="21" t="s">
        <v>1974</v>
      </c>
      <c r="F80" s="21"/>
      <c r="G80" s="21"/>
      <c r="H80" s="314" t="str">
        <f>"IQ_TOTAL_REV"</f>
        <v>IQ_TOTAL_REV</v>
      </c>
      <c r="I80" s="126"/>
      <c r="J80" s="255"/>
      <c r="K80" s="255" t="s">
        <v>1956</v>
      </c>
      <c r="L80" s="255"/>
      <c r="M80" s="255"/>
      <c r="N80" s="255"/>
      <c r="O80" s="263"/>
      <c r="P80" s="263"/>
      <c r="Q80" s="263"/>
      <c r="R80" s="2060"/>
      <c r="S80" s="2060"/>
      <c r="T80" s="2060"/>
    </row>
    <row r="81" spans="1:29">
      <c r="A81" s="2060"/>
      <c r="B81" s="2060"/>
      <c r="C81" s="255"/>
      <c r="D81" s="785">
        <f t="shared" ca="1" si="1"/>
        <v>1.6500000000000006</v>
      </c>
      <c r="E81" s="21" t="s">
        <v>1975</v>
      </c>
      <c r="F81" s="21"/>
      <c r="G81" s="21"/>
      <c r="H81" s="314" t="s">
        <v>1843</v>
      </c>
      <c r="I81" s="126"/>
      <c r="J81" s="255"/>
      <c r="K81" s="255" t="s">
        <v>1970</v>
      </c>
      <c r="L81" s="255"/>
      <c r="M81" s="255"/>
      <c r="N81" s="263"/>
      <c r="O81" s="263"/>
      <c r="P81" s="263"/>
      <c r="Q81" s="263"/>
      <c r="R81" s="2060"/>
      <c r="S81" s="2060"/>
      <c r="T81" s="2060"/>
      <c r="U81" s="2060"/>
      <c r="V81" s="2060"/>
      <c r="W81" s="2060"/>
      <c r="X81" s="2060"/>
      <c r="Y81" s="2060"/>
      <c r="Z81" s="2060"/>
      <c r="AA81" s="2060"/>
      <c r="AB81" s="2060"/>
      <c r="AC81" s="2060"/>
    </row>
    <row r="82" spans="1:29">
      <c r="A82" s="2060"/>
      <c r="B82" s="2060"/>
      <c r="C82" s="255"/>
      <c r="D82" s="785">
        <f t="shared" ca="1" si="1"/>
        <v>1.6600000000000006</v>
      </c>
      <c r="E82" s="255" t="s">
        <v>1976</v>
      </c>
      <c r="F82" s="255"/>
      <c r="G82" s="255"/>
      <c r="H82" s="263" t="str">
        <f>"IQ_Z_SCORE"</f>
        <v>IQ_Z_SCORE</v>
      </c>
      <c r="I82" s="255"/>
      <c r="J82" s="263"/>
      <c r="K82" s="255" t="s">
        <v>1977</v>
      </c>
      <c r="L82" s="53"/>
      <c r="M82" s="53"/>
      <c r="N82" s="53"/>
      <c r="O82" s="53"/>
      <c r="P82" s="53"/>
      <c r="Q82" s="53"/>
      <c r="R82" s="2060"/>
      <c r="S82" s="2060"/>
      <c r="T82" s="2060"/>
      <c r="U82" s="2060"/>
      <c r="V82" s="2060"/>
      <c r="W82" s="2060"/>
      <c r="X82" s="2060"/>
      <c r="Y82" s="2060"/>
      <c r="Z82" s="2060"/>
      <c r="AA82" s="2060"/>
      <c r="AB82" s="2060"/>
      <c r="AC82" s="2060"/>
    </row>
    <row r="83" spans="1:29">
      <c r="A83" s="2060"/>
      <c r="B83" s="2060"/>
      <c r="C83" s="255"/>
      <c r="D83" s="125"/>
      <c r="E83" s="255"/>
      <c r="F83" s="255"/>
      <c r="G83" s="255"/>
      <c r="H83" s="255"/>
      <c r="I83" s="255"/>
      <c r="J83" s="263"/>
      <c r="K83" s="67" t="s">
        <v>1978</v>
      </c>
      <c r="L83" s="53"/>
      <c r="M83" s="53"/>
      <c r="N83" s="263"/>
      <c r="O83" s="263"/>
      <c r="P83" s="263"/>
      <c r="Q83" s="263"/>
      <c r="R83" s="2060"/>
      <c r="S83" s="2060"/>
      <c r="T83" s="2060"/>
      <c r="U83" s="2060"/>
      <c r="V83" s="2060"/>
      <c r="W83" s="2060"/>
      <c r="X83" s="2060"/>
      <c r="Y83" s="2060"/>
      <c r="Z83" s="2060"/>
      <c r="AA83" s="2060"/>
      <c r="AB83" s="2060"/>
      <c r="AC83" s="2060"/>
    </row>
    <row r="84" spans="1:29">
      <c r="A84" s="2060"/>
      <c r="B84" s="2060"/>
      <c r="C84" s="2060"/>
      <c r="D84" s="2060"/>
      <c r="E84" s="2060"/>
      <c r="F84" s="2060"/>
      <c r="G84" s="2060"/>
      <c r="H84" s="2060"/>
      <c r="I84" s="2060"/>
      <c r="J84" s="2060"/>
      <c r="K84" s="2060"/>
      <c r="L84" s="2060"/>
      <c r="M84" s="2060"/>
      <c r="N84" s="2060"/>
      <c r="O84" s="2060"/>
      <c r="P84" s="2060"/>
      <c r="Q84" s="2060"/>
      <c r="R84" s="2060"/>
      <c r="S84" s="2060"/>
      <c r="T84" s="2060"/>
      <c r="U84" s="2060"/>
      <c r="V84" s="2060"/>
      <c r="W84" s="2060"/>
      <c r="X84" s="2060"/>
      <c r="Y84" s="2060"/>
      <c r="Z84" s="2060"/>
      <c r="AA84" s="2060"/>
      <c r="AB84" s="2060"/>
      <c r="AC84" s="2060"/>
    </row>
    <row r="85" spans="1:29" ht="18">
      <c r="A85" s="588"/>
      <c r="B85" s="588"/>
      <c r="C85" s="1486">
        <f ca="1">MAX(OFFSET(C85,-1,0,-ROW(C85)+1,1))+1-(A85="n")</f>
        <v>2</v>
      </c>
      <c r="D85" s="787" t="s">
        <v>1979</v>
      </c>
      <c r="E85" s="788"/>
      <c r="F85" s="788"/>
      <c r="G85" s="876" t="s">
        <v>1980</v>
      </c>
      <c r="H85" s="788"/>
      <c r="I85" s="788"/>
      <c r="J85" s="788"/>
      <c r="K85" s="788"/>
      <c r="L85" s="788"/>
      <c r="M85" s="788"/>
      <c r="N85" s="788"/>
      <c r="O85" s="788"/>
      <c r="P85" s="788"/>
      <c r="Q85" s="788"/>
      <c r="R85" s="788"/>
      <c r="S85" s="788"/>
      <c r="T85" s="788"/>
      <c r="U85" s="788"/>
      <c r="V85" s="788"/>
      <c r="W85" s="788"/>
      <c r="X85" s="788"/>
      <c r="Y85" s="788"/>
      <c r="Z85" s="788"/>
      <c r="AA85" s="788"/>
      <c r="AB85" s="788"/>
      <c r="AC85" s="788"/>
    </row>
    <row r="86" spans="1:29">
      <c r="A86" s="588"/>
      <c r="B86" s="588"/>
      <c r="C86" s="2060"/>
      <c r="D86" s="2060"/>
      <c r="E86" s="2060"/>
      <c r="F86" s="2060"/>
      <c r="G86" s="2060"/>
      <c r="H86" s="2060"/>
      <c r="I86" s="2060"/>
      <c r="J86" s="2060"/>
      <c r="K86" s="2060"/>
      <c r="L86" s="2060"/>
      <c r="M86" s="2060"/>
      <c r="N86" s="2060"/>
      <c r="O86" s="2060"/>
      <c r="P86" s="2060"/>
      <c r="Q86" s="2060"/>
      <c r="R86" s="2060"/>
      <c r="S86" s="2060"/>
      <c r="T86" s="2060"/>
      <c r="U86" s="2060"/>
      <c r="V86" s="2060"/>
      <c r="W86" s="2060"/>
      <c r="X86" s="2060"/>
      <c r="Y86" s="2060"/>
      <c r="Z86" s="2060"/>
      <c r="AA86" s="2060"/>
      <c r="AB86" s="2060"/>
      <c r="AC86" s="2060"/>
    </row>
    <row r="87" spans="1:29">
      <c r="A87" s="588"/>
      <c r="B87" s="588"/>
      <c r="C87" s="2060"/>
      <c r="D87" s="2060"/>
      <c r="E87" s="2060"/>
      <c r="F87" s="2060"/>
      <c r="G87" s="2060"/>
      <c r="H87" s="2060"/>
      <c r="I87" s="2060"/>
      <c r="J87" s="2060"/>
      <c r="K87" s="2060"/>
      <c r="L87" s="2060"/>
      <c r="M87" s="2060"/>
      <c r="N87" s="2060"/>
      <c r="O87" s="2060"/>
      <c r="P87" s="2060"/>
      <c r="Q87" s="2060"/>
      <c r="R87" s="2060"/>
      <c r="S87" s="2060"/>
      <c r="T87" s="2060"/>
      <c r="U87" s="2060"/>
      <c r="V87" s="2060"/>
      <c r="W87" s="2060"/>
      <c r="X87" s="2060"/>
      <c r="Y87" s="2060"/>
      <c r="Z87" s="2060"/>
      <c r="AA87" s="2060"/>
      <c r="AB87" s="2060"/>
      <c r="AC87" s="2060"/>
    </row>
    <row r="88" spans="1:29">
      <c r="A88" s="588"/>
      <c r="B88" s="588"/>
      <c r="C88" s="2060"/>
      <c r="D88" s="2060"/>
      <c r="E88" s="88" t="s">
        <v>1981</v>
      </c>
      <c r="F88" s="2060"/>
      <c r="G88" s="2060"/>
      <c r="H88" s="2060"/>
      <c r="I88" s="2060"/>
      <c r="J88" s="2060"/>
      <c r="K88" s="2060"/>
      <c r="L88" s="2060"/>
      <c r="M88" s="2060"/>
      <c r="N88" s="2060"/>
      <c r="O88" s="2060"/>
      <c r="P88" s="2060"/>
      <c r="Q88" s="2060"/>
      <c r="R88" s="2060"/>
      <c r="S88" s="2060"/>
      <c r="T88" s="2060"/>
      <c r="U88" s="2060"/>
      <c r="V88" s="2060"/>
      <c r="W88" s="2060"/>
      <c r="X88" s="2060"/>
      <c r="Y88" s="2060"/>
      <c r="Z88" s="2060"/>
      <c r="AA88" s="2060"/>
      <c r="AB88" s="2060"/>
      <c r="AC88" s="2060"/>
    </row>
    <row r="89" spans="1:29">
      <c r="A89" s="588"/>
      <c r="B89" s="588"/>
      <c r="C89" s="150"/>
      <c r="D89" s="150"/>
      <c r="E89" s="150"/>
      <c r="F89" s="150"/>
      <c r="G89" s="153"/>
      <c r="H89" s="153"/>
      <c r="I89" s="153"/>
      <c r="J89" s="153"/>
      <c r="K89" s="153"/>
      <c r="L89" s="153"/>
      <c r="M89" s="153"/>
      <c r="N89" s="153"/>
      <c r="O89" s="153"/>
      <c r="P89" s="153"/>
      <c r="Q89" s="153"/>
      <c r="R89" s="2060"/>
      <c r="S89" s="2060"/>
      <c r="T89" s="2060"/>
      <c r="U89" s="2060"/>
      <c r="V89" s="2060"/>
      <c r="W89" s="2060"/>
      <c r="X89" s="1508"/>
      <c r="Y89" s="2060"/>
      <c r="Z89" s="2060"/>
      <c r="AA89" s="2060"/>
      <c r="AB89" s="2060"/>
      <c r="AC89" s="2060"/>
    </row>
    <row r="90" spans="1:29">
      <c r="A90" s="588"/>
      <c r="B90" s="588"/>
      <c r="C90" s="150"/>
      <c r="D90" s="150"/>
      <c r="E90" s="154" t="s">
        <v>1982</v>
      </c>
      <c r="F90" s="1508"/>
      <c r="G90" s="152">
        <v>2007</v>
      </c>
      <c r="H90" s="152">
        <v>2008</v>
      </c>
      <c r="I90" s="152">
        <v>2009</v>
      </c>
      <c r="J90" s="152">
        <v>2010</v>
      </c>
      <c r="K90" s="152">
        <v>2011</v>
      </c>
      <c r="L90" s="152">
        <v>2012</v>
      </c>
      <c r="M90" s="152">
        <v>2013</v>
      </c>
      <c r="N90" s="152">
        <v>2014</v>
      </c>
      <c r="O90" s="152"/>
      <c r="P90" s="152"/>
      <c r="Q90" s="152"/>
      <c r="R90" s="2060"/>
      <c r="S90" s="2060"/>
      <c r="T90" s="2060"/>
      <c r="U90" s="2060"/>
      <c r="V90" s="2060"/>
      <c r="W90" s="2060"/>
      <c r="X90" s="1508"/>
      <c r="Y90" s="2060"/>
      <c r="Z90" s="2060"/>
      <c r="AA90" s="2060"/>
      <c r="AB90" s="2060"/>
      <c r="AC90" s="2060"/>
    </row>
    <row r="91" spans="1:29">
      <c r="A91" s="588"/>
      <c r="B91" s="588"/>
      <c r="C91" s="150"/>
      <c r="D91" s="786">
        <f t="shared" ref="D91:D122" ca="1" si="2">MAX(OFFSET(D91,-1,0,-ROW(D91)+1,-2),1)+0.01</f>
        <v>2.0099999999999998</v>
      </c>
      <c r="E91" s="150" t="s">
        <v>1983</v>
      </c>
      <c r="F91" s="1508"/>
      <c r="G91" s="155" t="s">
        <v>1984</v>
      </c>
      <c r="H91" s="155" t="s">
        <v>1984</v>
      </c>
      <c r="I91" s="155" t="s">
        <v>1984</v>
      </c>
      <c r="J91" s="155" t="s">
        <v>1984</v>
      </c>
      <c r="K91" s="155" t="s">
        <v>1984</v>
      </c>
      <c r="L91" s="155">
        <v>0.22</v>
      </c>
      <c r="M91" s="155">
        <v>0.22</v>
      </c>
      <c r="N91" s="155">
        <v>0.25</v>
      </c>
      <c r="O91" s="231"/>
      <c r="P91" s="231"/>
      <c r="Q91" s="231"/>
      <c r="R91" s="2060"/>
      <c r="S91" s="2060"/>
      <c r="T91" s="2060"/>
      <c r="U91" s="2060"/>
      <c r="V91" s="2060"/>
      <c r="W91" s="2060"/>
      <c r="X91" s="1508"/>
      <c r="Y91" s="2060"/>
      <c r="Z91" s="2060"/>
      <c r="AA91" s="2060"/>
      <c r="AB91" s="2060"/>
      <c r="AC91" s="2060"/>
    </row>
    <row r="92" spans="1:29">
      <c r="A92" s="588"/>
      <c r="B92" s="588"/>
      <c r="C92" s="150"/>
      <c r="D92" s="786">
        <f t="shared" ca="1" si="2"/>
        <v>2.0199999999999996</v>
      </c>
      <c r="E92" s="150" t="s">
        <v>1985</v>
      </c>
      <c r="F92" s="1508"/>
      <c r="G92" s="156">
        <v>0.35</v>
      </c>
      <c r="H92" s="156">
        <v>0.35</v>
      </c>
      <c r="I92" s="156">
        <v>0.35</v>
      </c>
      <c r="J92" s="156">
        <v>0.35</v>
      </c>
      <c r="K92" s="156">
        <v>0.35</v>
      </c>
      <c r="L92" s="156">
        <v>0.35</v>
      </c>
      <c r="M92" s="156">
        <v>0.35</v>
      </c>
      <c r="N92" s="156">
        <v>0.35</v>
      </c>
      <c r="O92" s="231"/>
      <c r="P92" s="231"/>
      <c r="Q92" s="231"/>
      <c r="R92" s="2060"/>
      <c r="S92" s="2060"/>
      <c r="T92" s="2060"/>
      <c r="U92" s="2060"/>
      <c r="V92" s="2060"/>
      <c r="W92" s="2060"/>
      <c r="X92" s="1508"/>
      <c r="Y92" s="2060"/>
      <c r="Z92" s="2060"/>
      <c r="AA92" s="2060"/>
      <c r="AB92" s="2060"/>
      <c r="AC92" s="2060"/>
    </row>
    <row r="93" spans="1:29">
      <c r="A93" s="588"/>
      <c r="B93" s="588"/>
      <c r="C93" s="150"/>
      <c r="D93" s="786">
        <f t="shared" ca="1" si="2"/>
        <v>2.0299999999999994</v>
      </c>
      <c r="E93" s="150" t="s">
        <v>1986</v>
      </c>
      <c r="F93" s="1508"/>
      <c r="G93" s="156">
        <v>0.3</v>
      </c>
      <c r="H93" s="156">
        <v>0.3</v>
      </c>
      <c r="I93" s="156">
        <v>0.3</v>
      </c>
      <c r="J93" s="156">
        <v>0.3</v>
      </c>
      <c r="K93" s="156">
        <v>0.3</v>
      </c>
      <c r="L93" s="156">
        <v>0.3</v>
      </c>
      <c r="M93" s="156">
        <v>0.3</v>
      </c>
      <c r="N93" s="156">
        <v>0.3</v>
      </c>
      <c r="O93" s="232"/>
      <c r="P93" s="232"/>
      <c r="Q93" s="232"/>
      <c r="R93" s="2060"/>
      <c r="S93" s="2060"/>
      <c r="T93" s="2060"/>
      <c r="U93" s="2060"/>
      <c r="V93" s="2060"/>
      <c r="W93" s="2060"/>
      <c r="X93" s="151"/>
      <c r="Y93" s="2060"/>
      <c r="Z93" s="2060"/>
      <c r="AA93" s="2060"/>
      <c r="AB93" s="2060"/>
      <c r="AC93" s="2060"/>
    </row>
    <row r="94" spans="1:29">
      <c r="A94" s="588"/>
      <c r="B94" s="588"/>
      <c r="C94" s="150"/>
      <c r="D94" s="786">
        <f t="shared" ca="1" si="2"/>
        <v>2.0399999999999991</v>
      </c>
      <c r="E94" s="150" t="s">
        <v>1987</v>
      </c>
      <c r="F94" s="1508"/>
      <c r="G94" s="156">
        <v>0.25</v>
      </c>
      <c r="H94" s="156">
        <v>0.25</v>
      </c>
      <c r="I94" s="156">
        <v>0.25</v>
      </c>
      <c r="J94" s="156">
        <v>0.25</v>
      </c>
      <c r="K94" s="155">
        <v>0.25</v>
      </c>
      <c r="L94" s="156">
        <v>0.25</v>
      </c>
      <c r="M94" s="156">
        <v>0.25</v>
      </c>
      <c r="N94" s="156">
        <v>0.25</v>
      </c>
      <c r="O94" s="231"/>
      <c r="P94" s="231"/>
      <c r="Q94" s="231"/>
      <c r="R94" s="2060"/>
      <c r="S94" s="2060"/>
      <c r="T94" s="2060"/>
      <c r="U94" s="2060"/>
      <c r="V94" s="2060"/>
      <c r="W94" s="2060"/>
      <c r="X94" s="1508"/>
      <c r="Y94" s="2060"/>
      <c r="Z94" s="2060"/>
      <c r="AA94" s="2060"/>
      <c r="AB94" s="2060"/>
      <c r="AC94" s="2060"/>
    </row>
    <row r="95" spans="1:29">
      <c r="A95" s="588"/>
      <c r="B95" s="588"/>
      <c r="C95" s="150"/>
      <c r="D95" s="786">
        <f t="shared" ca="1" si="2"/>
        <v>2.0499999999999989</v>
      </c>
      <c r="E95" s="150" t="s">
        <v>1988</v>
      </c>
      <c r="F95" s="1508"/>
      <c r="G95" s="156">
        <v>0</v>
      </c>
      <c r="H95" s="156">
        <v>0</v>
      </c>
      <c r="I95" s="156">
        <v>0</v>
      </c>
      <c r="J95" s="156">
        <v>0</v>
      </c>
      <c r="K95" s="155">
        <v>0</v>
      </c>
      <c r="L95" s="156">
        <v>0</v>
      </c>
      <c r="M95" s="156">
        <v>0</v>
      </c>
      <c r="N95" s="156">
        <v>0</v>
      </c>
      <c r="O95" s="231"/>
      <c r="P95" s="231"/>
      <c r="Q95" s="231"/>
      <c r="R95" s="2060"/>
      <c r="S95" s="2060"/>
      <c r="T95" s="2060"/>
      <c r="U95" s="2060"/>
      <c r="V95" s="2060"/>
      <c r="W95" s="2060"/>
      <c r="X95" s="1508"/>
      <c r="Y95" s="2060"/>
      <c r="Z95" s="2060"/>
      <c r="AA95" s="2060"/>
      <c r="AB95" s="2060"/>
      <c r="AC95" s="2060"/>
    </row>
    <row r="96" spans="1:29">
      <c r="A96" s="588"/>
      <c r="B96" s="588"/>
      <c r="C96" s="150"/>
      <c r="D96" s="786">
        <f t="shared" ca="1" si="2"/>
        <v>2.0599999999999987</v>
      </c>
      <c r="E96" s="150" t="s">
        <v>1989</v>
      </c>
      <c r="F96" s="1508"/>
      <c r="G96" s="155" t="s">
        <v>1984</v>
      </c>
      <c r="H96" s="155" t="s">
        <v>1984</v>
      </c>
      <c r="I96" s="155" t="s">
        <v>1984</v>
      </c>
      <c r="J96" s="155" t="s">
        <v>1984</v>
      </c>
      <c r="K96" s="155" t="s">
        <v>1984</v>
      </c>
      <c r="L96" s="155" t="s">
        <v>1984</v>
      </c>
      <c r="M96" s="155" t="s">
        <v>1984</v>
      </c>
      <c r="N96" s="155" t="s">
        <v>1984</v>
      </c>
      <c r="O96" s="231"/>
      <c r="P96" s="231"/>
      <c r="Q96" s="231"/>
      <c r="R96" s="2060"/>
      <c r="S96" s="2060"/>
      <c r="T96" s="2060"/>
      <c r="U96" s="2060"/>
      <c r="V96" s="2060"/>
      <c r="W96" s="2060"/>
      <c r="X96" s="1508"/>
      <c r="Y96" s="2060"/>
      <c r="Z96" s="2060"/>
      <c r="AA96" s="2060"/>
      <c r="AB96" s="2060"/>
      <c r="AC96" s="2060"/>
    </row>
    <row r="97" spans="1:24">
      <c r="A97" s="588"/>
      <c r="B97" s="588"/>
      <c r="C97" s="150"/>
      <c r="D97" s="786">
        <f t="shared" ca="1" si="2"/>
        <v>2.0699999999999985</v>
      </c>
      <c r="E97" s="150" t="s">
        <v>1990</v>
      </c>
      <c r="F97" s="1508"/>
      <c r="G97" s="156">
        <v>0.33989999999999998</v>
      </c>
      <c r="H97" s="156">
        <v>0.33989999999999998</v>
      </c>
      <c r="I97" s="156">
        <v>0.33989999999999998</v>
      </c>
      <c r="J97" s="156">
        <v>0.33989999999999998</v>
      </c>
      <c r="K97" s="156">
        <v>0.33989999999999998</v>
      </c>
      <c r="L97" s="155">
        <v>0.33989999999999998</v>
      </c>
      <c r="M97" s="155">
        <v>0.33989999999999998</v>
      </c>
      <c r="N97" s="155">
        <v>0.33</v>
      </c>
      <c r="O97" s="231"/>
      <c r="P97" s="231"/>
      <c r="Q97" s="231"/>
      <c r="R97" s="2060"/>
      <c r="S97" s="2060"/>
      <c r="T97" s="2060"/>
      <c r="U97" s="2060"/>
      <c r="V97" s="2060"/>
      <c r="W97" s="2060"/>
      <c r="X97" s="1508"/>
    </row>
    <row r="98" spans="1:24">
      <c r="A98" s="588"/>
      <c r="B98" s="588"/>
      <c r="C98" s="150"/>
      <c r="D98" s="786">
        <f t="shared" ca="1" si="2"/>
        <v>2.0799999999999983</v>
      </c>
      <c r="E98" s="150" t="s">
        <v>1991</v>
      </c>
      <c r="F98" s="1508"/>
      <c r="G98" s="156">
        <v>0</v>
      </c>
      <c r="H98" s="156">
        <v>0</v>
      </c>
      <c r="I98" s="156">
        <v>0</v>
      </c>
      <c r="J98" s="156">
        <v>0</v>
      </c>
      <c r="K98" s="156">
        <v>0</v>
      </c>
      <c r="L98" s="157">
        <v>0</v>
      </c>
      <c r="M98" s="157">
        <v>0</v>
      </c>
      <c r="N98" s="157">
        <v>0</v>
      </c>
      <c r="O98" s="231"/>
      <c r="P98" s="231"/>
      <c r="Q98" s="231"/>
      <c r="R98" s="2060"/>
      <c r="S98" s="2060"/>
      <c r="T98" s="2060"/>
      <c r="U98" s="2060"/>
      <c r="V98" s="2060"/>
      <c r="W98" s="2060"/>
      <c r="X98" s="1508"/>
    </row>
    <row r="99" spans="1:24">
      <c r="A99" s="588"/>
      <c r="B99" s="588"/>
      <c r="C99" s="150"/>
      <c r="D99" s="786">
        <f t="shared" ca="1" si="2"/>
        <v>2.0899999999999981</v>
      </c>
      <c r="E99" s="150" t="s">
        <v>1992</v>
      </c>
      <c r="F99" s="1508"/>
      <c r="G99" s="156">
        <v>0.34</v>
      </c>
      <c r="H99" s="156">
        <v>0.34</v>
      </c>
      <c r="I99" s="156">
        <v>0.34</v>
      </c>
      <c r="J99" s="156">
        <v>0.34</v>
      </c>
      <c r="K99" s="156">
        <v>0.34</v>
      </c>
      <c r="L99" s="156">
        <v>0.34</v>
      </c>
      <c r="M99" s="156">
        <v>0.34</v>
      </c>
      <c r="N99" s="156">
        <v>0.34</v>
      </c>
      <c r="O99" s="231"/>
      <c r="P99" s="231"/>
      <c r="Q99" s="231"/>
      <c r="R99" s="2060"/>
      <c r="S99" s="2060"/>
      <c r="T99" s="2060"/>
      <c r="U99" s="2060"/>
      <c r="V99" s="2060"/>
      <c r="W99" s="2060"/>
      <c r="X99" s="1508"/>
    </row>
    <row r="100" spans="1:24">
      <c r="A100" s="588"/>
      <c r="B100" s="588"/>
      <c r="C100" s="150"/>
      <c r="D100" s="786">
        <f t="shared" ca="1" si="2"/>
        <v>2.0999999999999979</v>
      </c>
      <c r="E100" s="150" t="s">
        <v>1993</v>
      </c>
      <c r="F100" s="1508"/>
      <c r="G100" s="156">
        <v>0.1</v>
      </c>
      <c r="H100" s="156">
        <v>0.1</v>
      </c>
      <c r="I100" s="156">
        <v>0.1</v>
      </c>
      <c r="J100" s="156">
        <v>0.1</v>
      </c>
      <c r="K100" s="156">
        <v>0.1</v>
      </c>
      <c r="L100" s="157">
        <v>0.1</v>
      </c>
      <c r="M100" s="157">
        <v>0.1</v>
      </c>
      <c r="N100" s="157">
        <v>0.1</v>
      </c>
      <c r="O100" s="231"/>
      <c r="P100" s="231"/>
      <c r="Q100" s="231"/>
      <c r="R100" s="2060"/>
      <c r="S100" s="2060"/>
      <c r="T100" s="2060"/>
      <c r="U100" s="2060"/>
      <c r="V100" s="2060"/>
      <c r="W100" s="2060"/>
      <c r="X100" s="1508"/>
    </row>
    <row r="101" spans="1:24">
      <c r="A101" s="588"/>
      <c r="B101" s="588"/>
      <c r="C101" s="150"/>
      <c r="D101" s="786">
        <f t="shared" ca="1" si="2"/>
        <v>2.1099999999999977</v>
      </c>
      <c r="E101" s="150" t="s">
        <v>1994</v>
      </c>
      <c r="F101" s="1508"/>
      <c r="G101" s="156">
        <v>0.3407</v>
      </c>
      <c r="H101" s="156">
        <v>0.33499999999999996</v>
      </c>
      <c r="I101" s="156">
        <v>0.31999999999999995</v>
      </c>
      <c r="J101" s="156">
        <v>0.31000000000000005</v>
      </c>
      <c r="K101" s="156">
        <v>0.29500000000000004</v>
      </c>
      <c r="L101" s="156">
        <v>0.28000000000000003</v>
      </c>
      <c r="M101" s="156">
        <v>0.255</v>
      </c>
      <c r="N101" s="157">
        <v>0.15</v>
      </c>
      <c r="O101" s="231"/>
      <c r="P101" s="231"/>
      <c r="Q101" s="231"/>
      <c r="R101" s="2060"/>
      <c r="S101" s="2060"/>
      <c r="T101" s="2060"/>
      <c r="U101" s="2060"/>
      <c r="V101" s="2060"/>
      <c r="W101" s="2060"/>
      <c r="X101" s="1508"/>
    </row>
    <row r="102" spans="1:24">
      <c r="A102" s="588"/>
      <c r="B102" s="588"/>
      <c r="C102" s="150"/>
      <c r="D102" s="786">
        <f t="shared" ca="1" si="2"/>
        <v>2.1199999999999974</v>
      </c>
      <c r="E102" s="150" t="s">
        <v>1995</v>
      </c>
      <c r="F102" s="1508"/>
      <c r="G102" s="156">
        <v>0</v>
      </c>
      <c r="H102" s="156">
        <v>0</v>
      </c>
      <c r="I102" s="156">
        <v>0</v>
      </c>
      <c r="J102" s="156">
        <v>0</v>
      </c>
      <c r="K102" s="156">
        <v>0</v>
      </c>
      <c r="L102" s="157">
        <v>0</v>
      </c>
      <c r="M102" s="157">
        <v>0</v>
      </c>
      <c r="N102" s="157">
        <v>0</v>
      </c>
      <c r="O102" s="232"/>
      <c r="P102" s="232"/>
      <c r="Q102" s="232"/>
      <c r="R102" s="2060"/>
      <c r="S102" s="2060"/>
      <c r="T102" s="2060"/>
      <c r="U102" s="2060"/>
      <c r="V102" s="2060"/>
      <c r="W102" s="2060"/>
      <c r="X102" s="151"/>
    </row>
    <row r="103" spans="1:24">
      <c r="A103" s="588"/>
      <c r="B103" s="588"/>
      <c r="C103" s="150"/>
      <c r="D103" s="786">
        <f t="shared" ca="1" si="2"/>
        <v>2.1299999999999972</v>
      </c>
      <c r="E103" s="150" t="s">
        <v>1996</v>
      </c>
      <c r="F103" s="1508"/>
      <c r="G103" s="155" t="s">
        <v>1984</v>
      </c>
      <c r="H103" s="155" t="s">
        <v>1984</v>
      </c>
      <c r="I103" s="155" t="s">
        <v>1984</v>
      </c>
      <c r="J103" s="155" t="s">
        <v>1984</v>
      </c>
      <c r="K103" s="155" t="s">
        <v>1984</v>
      </c>
      <c r="L103" s="155" t="s">
        <v>1984</v>
      </c>
      <c r="M103" s="155" t="s">
        <v>1984</v>
      </c>
      <c r="N103" s="155" t="s">
        <v>1984</v>
      </c>
      <c r="O103" s="231"/>
      <c r="P103" s="231"/>
      <c r="Q103" s="231"/>
      <c r="R103" s="2060"/>
      <c r="S103" s="2060"/>
      <c r="T103" s="2060"/>
      <c r="U103" s="2060"/>
      <c r="V103" s="2060"/>
      <c r="W103" s="2060"/>
      <c r="X103" s="1508"/>
    </row>
    <row r="104" spans="1:24">
      <c r="A104" s="588"/>
      <c r="B104" s="588"/>
      <c r="C104" s="150"/>
      <c r="D104" s="786">
        <f t="shared" ca="1" si="2"/>
        <v>2.139999999999997</v>
      </c>
      <c r="E104" s="150" t="s">
        <v>1997</v>
      </c>
      <c r="F104" s="1508"/>
      <c r="G104" s="156">
        <v>0.17</v>
      </c>
      <c r="H104" s="156">
        <v>0.17</v>
      </c>
      <c r="I104" s="156">
        <v>0.17</v>
      </c>
      <c r="J104" s="156">
        <v>0.17</v>
      </c>
      <c r="K104" s="156">
        <v>0.2</v>
      </c>
      <c r="L104" s="156">
        <v>0.185</v>
      </c>
      <c r="M104" s="156">
        <v>0.2</v>
      </c>
      <c r="N104" s="156">
        <v>0.2</v>
      </c>
      <c r="O104" s="231"/>
      <c r="P104" s="231"/>
      <c r="Q104" s="231"/>
      <c r="R104" s="2060"/>
      <c r="S104" s="2060"/>
      <c r="T104" s="2060"/>
      <c r="U104" s="2060"/>
      <c r="V104" s="2060"/>
      <c r="W104" s="2060"/>
      <c r="X104" s="1508"/>
    </row>
    <row r="105" spans="1:24">
      <c r="A105" s="588"/>
      <c r="B105" s="588"/>
      <c r="C105" s="150"/>
      <c r="D105" s="786">
        <f t="shared" ca="1" si="2"/>
        <v>2.1499999999999968</v>
      </c>
      <c r="E105" s="150" t="s">
        <v>1998</v>
      </c>
      <c r="F105" s="1508"/>
      <c r="G105" s="156">
        <v>0.3</v>
      </c>
      <c r="H105" s="156">
        <v>0.25</v>
      </c>
      <c r="I105" s="156">
        <v>0.25</v>
      </c>
      <c r="J105" s="156">
        <v>0.25</v>
      </c>
      <c r="K105" s="156">
        <v>0.25</v>
      </c>
      <c r="L105" s="156">
        <v>0.25</v>
      </c>
      <c r="M105" s="156">
        <v>0.25</v>
      </c>
      <c r="N105" s="156">
        <v>0.25</v>
      </c>
      <c r="O105" s="231"/>
      <c r="P105" s="231"/>
      <c r="Q105" s="231"/>
      <c r="R105" s="2060"/>
      <c r="S105" s="2060"/>
      <c r="T105" s="2060"/>
      <c r="U105" s="2060"/>
      <c r="V105" s="2060"/>
      <c r="W105" s="2060"/>
      <c r="X105" s="1508"/>
    </row>
    <row r="106" spans="1:24">
      <c r="A106" s="588"/>
      <c r="B106" s="588"/>
      <c r="C106" s="150"/>
      <c r="D106" s="786">
        <f t="shared" ca="1" si="2"/>
        <v>2.1599999999999966</v>
      </c>
      <c r="E106" s="150" t="s">
        <v>1999</v>
      </c>
      <c r="F106" s="1508"/>
      <c r="G106" s="156">
        <v>0.34</v>
      </c>
      <c r="H106" s="156">
        <v>0.33</v>
      </c>
      <c r="I106" s="156">
        <v>0.33</v>
      </c>
      <c r="J106" s="156">
        <v>0.33</v>
      </c>
      <c r="K106" s="156">
        <v>0.33</v>
      </c>
      <c r="L106" s="156">
        <v>0.33</v>
      </c>
      <c r="M106" s="156">
        <v>0.33</v>
      </c>
      <c r="N106" s="156">
        <v>0.25</v>
      </c>
      <c r="O106" s="231"/>
      <c r="P106" s="231"/>
      <c r="Q106" s="231"/>
      <c r="R106" s="2060"/>
      <c r="S106" s="2060"/>
      <c r="T106" s="2060"/>
      <c r="U106" s="2060"/>
      <c r="V106" s="2060"/>
      <c r="W106" s="2060"/>
      <c r="X106" s="1508"/>
    </row>
    <row r="107" spans="1:24">
      <c r="A107" s="588"/>
      <c r="B107" s="588"/>
      <c r="C107" s="150"/>
      <c r="D107" s="786">
        <f t="shared" ca="1" si="2"/>
        <v>2.1699999999999964</v>
      </c>
      <c r="E107" s="150" t="s">
        <v>2000</v>
      </c>
      <c r="F107" s="1508"/>
      <c r="G107" s="156">
        <v>0.2</v>
      </c>
      <c r="H107" s="156">
        <v>0.2</v>
      </c>
      <c r="I107" s="156">
        <v>0.2</v>
      </c>
      <c r="J107" s="156">
        <v>0.2</v>
      </c>
      <c r="K107" s="156">
        <v>0.2</v>
      </c>
      <c r="L107" s="157">
        <v>0.2</v>
      </c>
      <c r="M107" s="157">
        <v>0.2</v>
      </c>
      <c r="N107" s="157">
        <v>0.2</v>
      </c>
      <c r="O107" s="231"/>
      <c r="P107" s="231"/>
      <c r="Q107" s="231"/>
      <c r="R107" s="2060"/>
      <c r="S107" s="2060"/>
      <c r="T107" s="2060"/>
      <c r="U107" s="2060"/>
      <c r="V107" s="2060"/>
      <c r="W107" s="2060"/>
      <c r="X107" s="1508"/>
    </row>
    <row r="108" spans="1:24">
      <c r="A108" s="588"/>
      <c r="B108" s="588"/>
      <c r="C108" s="150"/>
      <c r="D108" s="786">
        <f t="shared" ca="1" si="2"/>
        <v>2.1799999999999962</v>
      </c>
      <c r="E108" s="150" t="s">
        <v>2001</v>
      </c>
      <c r="F108" s="1508"/>
      <c r="G108" s="156">
        <v>0.1</v>
      </c>
      <c r="H108" s="156">
        <v>0.1</v>
      </c>
      <c r="I108" s="156">
        <v>0.1</v>
      </c>
      <c r="J108" s="156">
        <v>0.1</v>
      </c>
      <c r="K108" s="156">
        <v>0.1</v>
      </c>
      <c r="L108" s="157">
        <v>0.1</v>
      </c>
      <c r="M108" s="157">
        <v>0.1</v>
      </c>
      <c r="N108" s="157">
        <v>0.125</v>
      </c>
      <c r="O108" s="231"/>
      <c r="P108" s="231"/>
      <c r="Q108" s="231"/>
      <c r="R108" s="2060"/>
      <c r="S108" s="2060"/>
      <c r="T108" s="2060"/>
      <c r="U108" s="2060"/>
      <c r="V108" s="2060"/>
      <c r="W108" s="2060"/>
      <c r="X108" s="1508"/>
    </row>
    <row r="109" spans="1:24">
      <c r="A109" s="588"/>
      <c r="B109" s="588"/>
      <c r="C109" s="150"/>
      <c r="D109" s="786">
        <f t="shared" ca="1" si="2"/>
        <v>2.1899999999999959</v>
      </c>
      <c r="E109" s="150" t="s">
        <v>2002</v>
      </c>
      <c r="F109" s="1508"/>
      <c r="G109" s="156">
        <v>0.24</v>
      </c>
      <c r="H109" s="156">
        <v>0.21</v>
      </c>
      <c r="I109" s="156">
        <v>0.2</v>
      </c>
      <c r="J109" s="156">
        <v>0.19</v>
      </c>
      <c r="K109" s="156">
        <v>0.19</v>
      </c>
      <c r="L109" s="156">
        <v>0.19</v>
      </c>
      <c r="M109" s="156">
        <v>0.19</v>
      </c>
      <c r="N109" s="156">
        <v>0.19</v>
      </c>
      <c r="O109" s="231"/>
      <c r="P109" s="231"/>
      <c r="Q109" s="231"/>
      <c r="R109" s="2060"/>
      <c r="S109" s="2060"/>
      <c r="T109" s="2060"/>
      <c r="U109" s="2060"/>
      <c r="V109" s="2060"/>
      <c r="W109" s="2060"/>
      <c r="X109" s="1508"/>
    </row>
    <row r="110" spans="1:24">
      <c r="A110" s="588"/>
      <c r="B110" s="588"/>
      <c r="C110" s="150"/>
      <c r="D110" s="786">
        <f t="shared" ca="1" si="2"/>
        <v>2.1999999999999957</v>
      </c>
      <c r="E110" s="150" t="s">
        <v>2003</v>
      </c>
      <c r="F110" s="1508"/>
      <c r="G110" s="156">
        <v>0.28000000000000003</v>
      </c>
      <c r="H110" s="156">
        <v>0.25</v>
      </c>
      <c r="I110" s="156">
        <v>0.25</v>
      </c>
      <c r="J110" s="156">
        <v>0.25</v>
      </c>
      <c r="K110" s="156">
        <v>0.25</v>
      </c>
      <c r="L110" s="157">
        <v>0.25</v>
      </c>
      <c r="M110" s="157">
        <v>0.25</v>
      </c>
      <c r="N110" s="157">
        <v>0.245</v>
      </c>
      <c r="O110" s="231"/>
      <c r="P110" s="231"/>
      <c r="Q110" s="231"/>
      <c r="R110" s="2060"/>
      <c r="S110" s="2060"/>
      <c r="T110" s="2060"/>
      <c r="U110" s="2060"/>
      <c r="V110" s="2060"/>
      <c r="W110" s="2060"/>
      <c r="X110" s="1508"/>
    </row>
    <row r="111" spans="1:24">
      <c r="A111" s="588"/>
      <c r="B111" s="588"/>
      <c r="C111" s="150"/>
      <c r="D111" s="786">
        <f t="shared" ca="1" si="2"/>
        <v>2.2099999999999955</v>
      </c>
      <c r="E111" s="150" t="s">
        <v>2004</v>
      </c>
      <c r="F111" s="1508"/>
      <c r="G111" s="156">
        <v>0.2</v>
      </c>
      <c r="H111" s="156">
        <v>0.2</v>
      </c>
      <c r="I111" s="156">
        <v>0.2</v>
      </c>
      <c r="J111" s="156">
        <v>0.2</v>
      </c>
      <c r="K111" s="156">
        <v>0.2</v>
      </c>
      <c r="L111" s="156">
        <v>0.22500000000000001</v>
      </c>
      <c r="M111" s="156">
        <v>0.22500000000000001</v>
      </c>
      <c r="N111" s="156">
        <v>0.25</v>
      </c>
      <c r="O111" s="231"/>
      <c r="P111" s="231"/>
      <c r="Q111" s="231"/>
      <c r="R111" s="2060"/>
      <c r="S111" s="2060"/>
      <c r="T111" s="2060"/>
      <c r="U111" s="2060"/>
      <c r="V111" s="2060"/>
      <c r="W111" s="2060"/>
      <c r="X111" s="1508"/>
    </row>
    <row r="112" spans="1:24">
      <c r="A112" s="588"/>
      <c r="B112" s="588"/>
      <c r="C112" s="150"/>
      <c r="D112" s="786">
        <f t="shared" ca="1" si="2"/>
        <v>2.2199999999999953</v>
      </c>
      <c r="E112" s="150" t="s">
        <v>2005</v>
      </c>
      <c r="F112" s="1508"/>
      <c r="G112" s="156">
        <v>0.26</v>
      </c>
      <c r="H112" s="156">
        <v>0.26</v>
      </c>
      <c r="I112" s="156">
        <v>0.26</v>
      </c>
      <c r="J112" s="156">
        <v>0.26</v>
      </c>
      <c r="K112" s="156">
        <v>0.26</v>
      </c>
      <c r="L112" s="157">
        <v>0.245</v>
      </c>
      <c r="M112" s="157">
        <v>0.245</v>
      </c>
      <c r="N112" s="157">
        <v>0.2</v>
      </c>
      <c r="O112" s="231"/>
      <c r="P112" s="231"/>
      <c r="Q112" s="231"/>
      <c r="R112" s="2060"/>
      <c r="S112" s="2060"/>
      <c r="T112" s="2060"/>
      <c r="U112" s="2060"/>
      <c r="V112" s="2060"/>
      <c r="W112" s="2060"/>
      <c r="X112" s="1508"/>
    </row>
    <row r="113" spans="1:24">
      <c r="A113" s="588"/>
      <c r="B113" s="588"/>
      <c r="C113" s="150"/>
      <c r="D113" s="786">
        <f t="shared" ca="1" si="2"/>
        <v>2.2299999999999951</v>
      </c>
      <c r="E113" s="150" t="s">
        <v>2006</v>
      </c>
      <c r="F113" s="1508"/>
      <c r="G113" s="156">
        <v>0.34429889999999996</v>
      </c>
      <c r="H113" s="156">
        <v>0.34429889999999996</v>
      </c>
      <c r="I113" s="156">
        <v>0.34429889999999996</v>
      </c>
      <c r="J113" s="156">
        <v>0.34429889999999996</v>
      </c>
      <c r="K113" s="156">
        <v>0.34429889999999996</v>
      </c>
      <c r="L113" s="156">
        <v>0.34429889999999996</v>
      </c>
      <c r="M113" s="156">
        <v>0.34429889999999996</v>
      </c>
      <c r="N113" s="156">
        <v>0.34429889999999996</v>
      </c>
      <c r="O113" s="231"/>
      <c r="P113" s="231"/>
      <c r="Q113" s="231"/>
      <c r="R113" s="2060"/>
      <c r="S113" s="2060"/>
      <c r="T113" s="2060"/>
      <c r="U113" s="2060"/>
      <c r="V113" s="2060"/>
      <c r="W113" s="2060"/>
      <c r="X113" s="1508"/>
    </row>
    <row r="114" spans="1:24">
      <c r="A114" s="588"/>
      <c r="B114" s="588"/>
      <c r="C114" s="150"/>
      <c r="D114" s="786">
        <f t="shared" ca="1" si="2"/>
        <v>2.2399999999999949</v>
      </c>
      <c r="E114" s="150" t="s">
        <v>2007</v>
      </c>
      <c r="F114" s="1508"/>
      <c r="G114" s="156">
        <v>0.38937500000000003</v>
      </c>
      <c r="H114" s="156">
        <v>0.29825000000000002</v>
      </c>
      <c r="I114" s="156">
        <v>0.29825000000000002</v>
      </c>
      <c r="J114" s="156">
        <v>0.29825000000000002</v>
      </c>
      <c r="K114" s="156">
        <v>0.29825000000000002</v>
      </c>
      <c r="L114" s="156">
        <v>0.29825000000000002</v>
      </c>
      <c r="M114" s="156">
        <v>0.29825000000000002</v>
      </c>
      <c r="N114" s="156">
        <v>0.33</v>
      </c>
      <c r="O114" s="231"/>
      <c r="P114" s="231"/>
      <c r="Q114" s="231"/>
      <c r="R114" s="2060"/>
      <c r="S114" s="2060"/>
      <c r="T114" s="2060"/>
      <c r="U114" s="2060"/>
      <c r="V114" s="2060"/>
      <c r="W114" s="2060"/>
      <c r="X114" s="1508"/>
    </row>
    <row r="115" spans="1:24">
      <c r="A115" s="588"/>
      <c r="B115" s="588"/>
      <c r="C115" s="150"/>
      <c r="D115" s="786">
        <f t="shared" ca="1" si="2"/>
        <v>2.2499999999999947</v>
      </c>
      <c r="E115" s="150" t="s">
        <v>2008</v>
      </c>
      <c r="F115" s="1508"/>
      <c r="G115" s="156">
        <v>0.25</v>
      </c>
      <c r="H115" s="156">
        <v>0.25</v>
      </c>
      <c r="I115" s="156">
        <v>0.25</v>
      </c>
      <c r="J115" s="156">
        <v>0.24</v>
      </c>
      <c r="K115" s="156">
        <v>0.2</v>
      </c>
      <c r="L115" s="156">
        <v>0.2</v>
      </c>
      <c r="M115" s="156">
        <v>0.26</v>
      </c>
      <c r="N115" s="156">
        <v>0.26</v>
      </c>
      <c r="O115" s="231"/>
      <c r="P115" s="231"/>
      <c r="Q115" s="231"/>
      <c r="R115" s="2060"/>
      <c r="S115" s="2060"/>
      <c r="T115" s="2060"/>
      <c r="U115" s="2060"/>
      <c r="V115" s="2060"/>
      <c r="W115" s="2060"/>
      <c r="X115" s="1508"/>
    </row>
    <row r="116" spans="1:24">
      <c r="A116" s="588"/>
      <c r="B116" s="588"/>
      <c r="C116" s="150"/>
      <c r="D116" s="786">
        <f t="shared" ca="1" si="2"/>
        <v>2.2599999999999945</v>
      </c>
      <c r="E116" s="150" t="s">
        <v>2009</v>
      </c>
      <c r="F116" s="1508"/>
      <c r="G116" s="156">
        <v>0.17499999999999999</v>
      </c>
      <c r="H116" s="156">
        <v>0.16500000000000001</v>
      </c>
      <c r="I116" s="156">
        <v>0.16500000000000001</v>
      </c>
      <c r="J116" s="156">
        <v>0.16500000000000001</v>
      </c>
      <c r="K116" s="156">
        <v>0.16500000000000001</v>
      </c>
      <c r="L116" s="157">
        <v>0.16500000000000001</v>
      </c>
      <c r="M116" s="157">
        <v>0.16500000000000001</v>
      </c>
      <c r="N116" s="157">
        <v>0.16500000000000001</v>
      </c>
      <c r="O116" s="231"/>
      <c r="P116" s="231"/>
      <c r="Q116" s="231"/>
      <c r="R116" s="2060"/>
      <c r="S116" s="2060"/>
      <c r="T116" s="2060"/>
      <c r="U116" s="2060"/>
      <c r="V116" s="2060"/>
      <c r="W116" s="2060"/>
      <c r="X116" s="1508"/>
    </row>
    <row r="117" spans="1:24">
      <c r="A117" s="588"/>
      <c r="B117" s="588"/>
      <c r="C117" s="150"/>
      <c r="D117" s="786">
        <f t="shared" ca="1" si="2"/>
        <v>2.2699999999999942</v>
      </c>
      <c r="E117" s="150" t="s">
        <v>2010</v>
      </c>
      <c r="F117" s="1508"/>
      <c r="G117" s="156">
        <v>0.16</v>
      </c>
      <c r="H117" s="156">
        <v>0.16</v>
      </c>
      <c r="I117" s="156">
        <v>0.16</v>
      </c>
      <c r="J117" s="156">
        <v>0.19</v>
      </c>
      <c r="K117" s="156">
        <v>0.19</v>
      </c>
      <c r="L117" s="157">
        <v>0.19</v>
      </c>
      <c r="M117" s="157">
        <v>0.19</v>
      </c>
      <c r="N117" s="157">
        <v>0.19</v>
      </c>
      <c r="O117" s="231"/>
      <c r="P117" s="231"/>
      <c r="Q117" s="231"/>
      <c r="R117" s="2060"/>
      <c r="S117" s="2060"/>
      <c r="T117" s="2060"/>
      <c r="U117" s="2060"/>
      <c r="V117" s="2060"/>
      <c r="W117" s="2060"/>
      <c r="X117" s="1508"/>
    </row>
    <row r="118" spans="1:24">
      <c r="A118" s="588"/>
      <c r="B118" s="588"/>
      <c r="C118" s="150"/>
      <c r="D118" s="786">
        <f t="shared" ca="1" si="2"/>
        <v>2.279999999999994</v>
      </c>
      <c r="E118" s="150" t="s">
        <v>2011</v>
      </c>
      <c r="F118" s="1508"/>
      <c r="G118" s="156">
        <v>0.33660000000000001</v>
      </c>
      <c r="H118" s="156">
        <v>0.33989999999999998</v>
      </c>
      <c r="I118" s="156">
        <v>0.33989999999999998</v>
      </c>
      <c r="J118" s="156">
        <v>0.33989999999999998</v>
      </c>
      <c r="K118" s="156">
        <v>0.332175</v>
      </c>
      <c r="L118" s="156">
        <v>0.32445000000000002</v>
      </c>
      <c r="M118" s="156">
        <v>0.32445000000000002</v>
      </c>
      <c r="N118" s="156">
        <v>0.32445000000000002</v>
      </c>
      <c r="O118" s="231"/>
      <c r="P118" s="231"/>
      <c r="Q118" s="231"/>
      <c r="R118" s="2060"/>
      <c r="S118" s="2060"/>
      <c r="T118" s="2060"/>
      <c r="U118" s="2060"/>
      <c r="V118" s="2060"/>
      <c r="W118" s="2060"/>
      <c r="X118" s="1508"/>
    </row>
    <row r="119" spans="1:24">
      <c r="A119" s="588"/>
      <c r="B119" s="588"/>
      <c r="C119" s="150"/>
      <c r="D119" s="786">
        <f t="shared" ca="1" si="2"/>
        <v>2.2899999999999938</v>
      </c>
      <c r="E119" s="150" t="s">
        <v>2012</v>
      </c>
      <c r="F119" s="1508"/>
      <c r="G119" s="156">
        <v>0.3</v>
      </c>
      <c r="H119" s="156">
        <v>0.3</v>
      </c>
      <c r="I119" s="156">
        <v>0.25</v>
      </c>
      <c r="J119" s="156">
        <v>0.25</v>
      </c>
      <c r="K119" s="156">
        <v>0.25</v>
      </c>
      <c r="L119" s="156">
        <v>0.25</v>
      </c>
      <c r="M119" s="156">
        <v>0.25</v>
      </c>
      <c r="N119" s="156">
        <v>0.25</v>
      </c>
      <c r="O119" s="231"/>
      <c r="P119" s="231"/>
      <c r="Q119" s="231"/>
      <c r="R119" s="2060"/>
      <c r="S119" s="2060"/>
      <c r="T119" s="2060"/>
      <c r="U119" s="2060"/>
      <c r="V119" s="2060"/>
      <c r="W119" s="2060"/>
      <c r="X119" s="1508"/>
    </row>
    <row r="120" spans="1:24">
      <c r="A120" s="588"/>
      <c r="B120" s="588"/>
      <c r="C120" s="150"/>
      <c r="D120" s="786">
        <f t="shared" ca="1" si="2"/>
        <v>2.2999999999999936</v>
      </c>
      <c r="E120" s="150" t="s">
        <v>2013</v>
      </c>
      <c r="F120" s="1508"/>
      <c r="G120" s="155" t="s">
        <v>1984</v>
      </c>
      <c r="H120" s="155" t="s">
        <v>1984</v>
      </c>
      <c r="I120" s="155" t="s">
        <v>1984</v>
      </c>
      <c r="J120" s="155" t="s">
        <v>1984</v>
      </c>
      <c r="K120" s="155" t="s">
        <v>1984</v>
      </c>
      <c r="L120" s="155" t="s">
        <v>1984</v>
      </c>
      <c r="M120" s="155" t="s">
        <v>1984</v>
      </c>
      <c r="N120" s="155" t="s">
        <v>1984</v>
      </c>
      <c r="O120" s="231"/>
      <c r="P120" s="231"/>
      <c r="Q120" s="231"/>
      <c r="R120" s="2060"/>
      <c r="S120" s="2060"/>
      <c r="T120" s="2060"/>
      <c r="U120" s="2060"/>
      <c r="V120" s="2060"/>
      <c r="W120" s="2060"/>
      <c r="X120" s="1508"/>
    </row>
    <row r="121" spans="1:24">
      <c r="A121" s="588"/>
      <c r="B121" s="588"/>
      <c r="C121" s="150"/>
      <c r="D121" s="786">
        <f t="shared" ca="1" si="2"/>
        <v>2.3099999999999934</v>
      </c>
      <c r="E121" s="150" t="s">
        <v>2014</v>
      </c>
      <c r="F121" s="1508"/>
      <c r="G121" s="156">
        <v>0.125</v>
      </c>
      <c r="H121" s="156">
        <v>0.125</v>
      </c>
      <c r="I121" s="156">
        <v>0.125</v>
      </c>
      <c r="J121" s="156">
        <v>0.125</v>
      </c>
      <c r="K121" s="156">
        <v>0.125</v>
      </c>
      <c r="L121" s="157">
        <v>0.125</v>
      </c>
      <c r="M121" s="157">
        <v>0.125</v>
      </c>
      <c r="N121" s="157">
        <v>0.125</v>
      </c>
      <c r="O121" s="231"/>
      <c r="P121" s="231"/>
      <c r="Q121" s="231"/>
      <c r="R121" s="2060"/>
      <c r="S121" s="2060"/>
      <c r="T121" s="2060"/>
      <c r="U121" s="2060"/>
      <c r="V121" s="2060"/>
      <c r="W121" s="2060"/>
      <c r="X121" s="1508"/>
    </row>
    <row r="122" spans="1:24">
      <c r="A122" s="588"/>
      <c r="B122" s="588"/>
      <c r="C122" s="150"/>
      <c r="D122" s="786">
        <f t="shared" ca="1" si="2"/>
        <v>2.3199999999999932</v>
      </c>
      <c r="E122" s="150" t="s">
        <v>2015</v>
      </c>
      <c r="F122" s="1508"/>
      <c r="G122" s="156">
        <v>0.28999999999999998</v>
      </c>
      <c r="H122" s="156">
        <v>0.27</v>
      </c>
      <c r="I122" s="156">
        <v>0.25</v>
      </c>
      <c r="J122" s="156">
        <v>0.25</v>
      </c>
      <c r="K122" s="156">
        <v>0.24</v>
      </c>
      <c r="L122" s="156">
        <v>0.25</v>
      </c>
      <c r="M122" s="156">
        <v>0.25</v>
      </c>
      <c r="N122" s="156">
        <v>0.26500000000000001</v>
      </c>
      <c r="O122" s="231"/>
      <c r="P122" s="231"/>
      <c r="Q122" s="231"/>
      <c r="R122" s="2060"/>
      <c r="S122" s="2060"/>
      <c r="T122" s="2060"/>
      <c r="U122" s="2060"/>
      <c r="V122" s="2060"/>
      <c r="W122" s="2060"/>
      <c r="X122" s="1508"/>
    </row>
    <row r="123" spans="1:24">
      <c r="A123" s="588"/>
      <c r="B123" s="588"/>
      <c r="C123" s="150"/>
      <c r="D123" s="786">
        <f t="shared" ref="D123:D154" ca="1" si="3">MAX(OFFSET(D123,-1,0,-ROW(D123)+1,-2),1)+0.01</f>
        <v>2.329999999999993</v>
      </c>
      <c r="E123" s="150" t="s">
        <v>2016</v>
      </c>
      <c r="F123" s="1508"/>
      <c r="G123" s="156">
        <v>0.33</v>
      </c>
      <c r="H123" s="156">
        <v>0.27500000000000002</v>
      </c>
      <c r="I123" s="156">
        <v>0.27500000000000002</v>
      </c>
      <c r="J123" s="156">
        <v>0.27500000000000002</v>
      </c>
      <c r="K123" s="156">
        <v>0.27500000000000002</v>
      </c>
      <c r="L123" s="156">
        <v>0.27500000000000002</v>
      </c>
      <c r="M123" s="156">
        <v>0.27500000000000002</v>
      </c>
      <c r="N123" s="156">
        <v>0.27500000000000002</v>
      </c>
      <c r="O123" s="231"/>
      <c r="P123" s="231"/>
      <c r="Q123" s="231"/>
      <c r="R123" s="2060"/>
      <c r="S123" s="2060"/>
      <c r="T123" s="2060"/>
      <c r="U123" s="2060"/>
      <c r="V123" s="2060"/>
      <c r="W123" s="2060"/>
      <c r="X123" s="1508"/>
    </row>
    <row r="124" spans="1:24">
      <c r="A124" s="588"/>
      <c r="B124" s="588"/>
      <c r="C124" s="150"/>
      <c r="D124" s="786">
        <f t="shared" ca="1" si="3"/>
        <v>2.3399999999999928</v>
      </c>
      <c r="E124" s="150" t="s">
        <v>2017</v>
      </c>
      <c r="F124" s="1508"/>
      <c r="G124" s="156" t="s">
        <v>1984</v>
      </c>
      <c r="H124" s="156" t="s">
        <v>1984</v>
      </c>
      <c r="I124" s="156" t="s">
        <v>1984</v>
      </c>
      <c r="J124" s="156" t="s">
        <v>1984</v>
      </c>
      <c r="K124" s="156" t="s">
        <v>1984</v>
      </c>
      <c r="L124" s="157" t="s">
        <v>1984</v>
      </c>
      <c r="M124" s="157" t="s">
        <v>1984</v>
      </c>
      <c r="N124" s="157" t="s">
        <v>1984</v>
      </c>
      <c r="O124" s="231"/>
      <c r="P124" s="231"/>
      <c r="Q124" s="231"/>
      <c r="R124" s="2060"/>
      <c r="S124" s="2060"/>
      <c r="T124" s="2060"/>
      <c r="U124" s="2060"/>
      <c r="V124" s="2060"/>
      <c r="W124" s="2060"/>
      <c r="X124" s="1508"/>
    </row>
    <row r="125" spans="1:24">
      <c r="A125" s="588"/>
      <c r="B125" s="588"/>
      <c r="C125" s="150"/>
      <c r="D125" s="786">
        <f t="shared" ca="1" si="3"/>
        <v>2.3499999999999925</v>
      </c>
      <c r="E125" s="150" t="s">
        <v>2018</v>
      </c>
      <c r="F125" s="1508"/>
      <c r="G125" s="156">
        <v>0.41</v>
      </c>
      <c r="H125" s="156">
        <v>0.41</v>
      </c>
      <c r="I125" s="156">
        <v>0.41</v>
      </c>
      <c r="J125" s="156">
        <v>0.41</v>
      </c>
      <c r="K125" s="156">
        <v>0.41</v>
      </c>
      <c r="L125" s="156">
        <v>0.37</v>
      </c>
      <c r="M125" s="156">
        <v>0.37</v>
      </c>
      <c r="N125" s="156">
        <v>0.37</v>
      </c>
      <c r="O125" s="231"/>
      <c r="P125" s="231"/>
      <c r="Q125" s="231"/>
      <c r="R125" s="2060"/>
      <c r="S125" s="2060"/>
      <c r="T125" s="2060"/>
      <c r="U125" s="2060"/>
      <c r="V125" s="2060"/>
      <c r="W125" s="2060"/>
      <c r="X125" s="1508"/>
    </row>
    <row r="126" spans="1:24">
      <c r="A126" s="588"/>
      <c r="B126" s="588"/>
      <c r="C126" s="150"/>
      <c r="D126" s="786">
        <f t="shared" ca="1" si="3"/>
        <v>2.3599999999999923</v>
      </c>
      <c r="E126" s="150" t="s">
        <v>2019</v>
      </c>
      <c r="F126" s="1508"/>
      <c r="G126" s="156">
        <v>0.35</v>
      </c>
      <c r="H126" s="156">
        <v>0.35</v>
      </c>
      <c r="I126" s="156">
        <v>0.35</v>
      </c>
      <c r="J126" s="156">
        <v>0.3</v>
      </c>
      <c r="K126" s="156">
        <v>0.3</v>
      </c>
      <c r="L126" s="157">
        <v>0.3</v>
      </c>
      <c r="M126" s="157">
        <v>0.3</v>
      </c>
      <c r="N126" s="157">
        <v>0.3</v>
      </c>
      <c r="O126" s="231"/>
      <c r="P126" s="231"/>
      <c r="Q126" s="231"/>
      <c r="R126" s="2060"/>
      <c r="S126" s="2060"/>
      <c r="T126" s="2060"/>
      <c r="U126" s="2060"/>
      <c r="V126" s="2060"/>
      <c r="W126" s="2060"/>
      <c r="X126" s="1508"/>
    </row>
    <row r="127" spans="1:24">
      <c r="A127" s="588"/>
      <c r="B127" s="588"/>
      <c r="C127" s="150"/>
      <c r="D127" s="786">
        <f t="shared" ca="1" si="3"/>
        <v>2.3699999999999921</v>
      </c>
      <c r="E127" s="150" t="s">
        <v>2020</v>
      </c>
      <c r="F127" s="1508"/>
      <c r="G127" s="156">
        <v>0.3</v>
      </c>
      <c r="H127" s="156">
        <v>0.3</v>
      </c>
      <c r="I127" s="156">
        <v>0.2</v>
      </c>
      <c r="J127" s="156">
        <v>0.2</v>
      </c>
      <c r="K127" s="156">
        <v>0.2</v>
      </c>
      <c r="L127" s="156">
        <v>0.2</v>
      </c>
      <c r="M127" s="156">
        <v>0.2</v>
      </c>
      <c r="N127" s="156">
        <v>0.2</v>
      </c>
      <c r="O127" s="231"/>
      <c r="P127" s="231"/>
      <c r="Q127" s="231"/>
      <c r="R127" s="2060"/>
      <c r="S127" s="2060"/>
      <c r="T127" s="2060"/>
      <c r="U127" s="2060"/>
      <c r="V127" s="2060"/>
      <c r="W127" s="2060"/>
      <c r="X127" s="1508"/>
    </row>
    <row r="128" spans="1:24">
      <c r="A128" s="588"/>
      <c r="B128" s="588"/>
      <c r="C128" s="150"/>
      <c r="D128" s="786">
        <f t="shared" ca="1" si="3"/>
        <v>2.3799999999999919</v>
      </c>
      <c r="E128" s="150" t="s">
        <v>2021</v>
      </c>
      <c r="F128" s="1508"/>
      <c r="G128" s="156">
        <v>0.3</v>
      </c>
      <c r="H128" s="156">
        <v>0.3</v>
      </c>
      <c r="I128" s="156">
        <v>0.3</v>
      </c>
      <c r="J128" s="156">
        <v>0.3</v>
      </c>
      <c r="K128" s="156">
        <v>0.3</v>
      </c>
      <c r="L128" s="157">
        <v>0.3</v>
      </c>
      <c r="M128" s="157">
        <v>0.3</v>
      </c>
      <c r="N128" s="157">
        <v>0.3</v>
      </c>
      <c r="O128" s="231"/>
      <c r="P128" s="231"/>
      <c r="Q128" s="231"/>
      <c r="R128" s="2060"/>
      <c r="S128" s="2060"/>
      <c r="T128" s="2060"/>
      <c r="U128" s="2060"/>
      <c r="V128" s="2060"/>
      <c r="W128" s="2060"/>
      <c r="X128" s="1508"/>
    </row>
    <row r="129" spans="1:24">
      <c r="A129" s="588"/>
      <c r="B129" s="588"/>
      <c r="C129" s="150"/>
      <c r="D129" s="786">
        <f t="shared" ca="1" si="3"/>
        <v>2.3899999999999917</v>
      </c>
      <c r="E129" s="150" t="s">
        <v>2022</v>
      </c>
      <c r="F129" s="1508"/>
      <c r="G129" s="156">
        <v>0.55000000000000004</v>
      </c>
      <c r="H129" s="156">
        <v>0.15</v>
      </c>
      <c r="I129" s="156">
        <v>0.15</v>
      </c>
      <c r="J129" s="156">
        <v>0.15</v>
      </c>
      <c r="K129" s="156">
        <v>0.15</v>
      </c>
      <c r="L129" s="157">
        <v>0.15</v>
      </c>
      <c r="M129" s="157">
        <v>0.15</v>
      </c>
      <c r="N129" s="157">
        <v>0.15</v>
      </c>
      <c r="O129" s="231"/>
      <c r="P129" s="231"/>
      <c r="Q129" s="231"/>
      <c r="R129" s="2060"/>
      <c r="S129" s="2060"/>
      <c r="T129" s="2060"/>
      <c r="U129" s="2060"/>
      <c r="V129" s="2060"/>
      <c r="W129" s="2060"/>
      <c r="X129" s="1508"/>
    </row>
    <row r="130" spans="1:24">
      <c r="A130" s="588"/>
      <c r="B130" s="588"/>
      <c r="C130" s="150"/>
      <c r="D130" s="786">
        <f t="shared" ca="1" si="3"/>
        <v>2.3999999999999915</v>
      </c>
      <c r="E130" s="150" t="s">
        <v>2023</v>
      </c>
      <c r="F130" s="1508"/>
      <c r="G130" s="156">
        <v>0.15</v>
      </c>
      <c r="H130" s="156">
        <v>0.15</v>
      </c>
      <c r="I130" s="156">
        <v>0.15</v>
      </c>
      <c r="J130" s="156">
        <v>0.15</v>
      </c>
      <c r="K130" s="156">
        <v>0.15</v>
      </c>
      <c r="L130" s="157">
        <v>0.15</v>
      </c>
      <c r="M130" s="157">
        <v>0.15</v>
      </c>
      <c r="N130" s="157">
        <v>0.15</v>
      </c>
      <c r="O130" s="231"/>
      <c r="P130" s="231"/>
      <c r="Q130" s="231"/>
      <c r="R130" s="2060"/>
      <c r="S130" s="2060"/>
      <c r="T130" s="2060"/>
      <c r="U130" s="2060"/>
      <c r="V130" s="2060"/>
      <c r="W130" s="2060"/>
      <c r="X130" s="1508"/>
    </row>
    <row r="131" spans="1:24">
      <c r="A131" s="588"/>
      <c r="B131" s="588"/>
      <c r="C131" s="150"/>
      <c r="D131" s="786">
        <f t="shared" ca="1" si="3"/>
        <v>2.4099999999999913</v>
      </c>
      <c r="E131" s="150" t="s">
        <v>2024</v>
      </c>
      <c r="F131" s="1508"/>
      <c r="G131" s="156">
        <v>0.29630000000000001</v>
      </c>
      <c r="H131" s="156">
        <v>0.29630000000000001</v>
      </c>
      <c r="I131" s="156">
        <v>0.28589999999999999</v>
      </c>
      <c r="J131" s="156">
        <v>0.28589999999999999</v>
      </c>
      <c r="K131" s="156">
        <v>0.28589999999999999</v>
      </c>
      <c r="L131" s="157">
        <v>0.28799999999999998</v>
      </c>
      <c r="M131" s="157">
        <v>0.29220000000000002</v>
      </c>
      <c r="N131" s="157">
        <v>0.29220000000000002</v>
      </c>
      <c r="O131" s="231"/>
      <c r="P131" s="231"/>
      <c r="Q131" s="231"/>
      <c r="R131" s="2060"/>
      <c r="S131" s="2060"/>
      <c r="T131" s="2060"/>
      <c r="U131" s="2060"/>
      <c r="V131" s="2060"/>
      <c r="W131" s="2060"/>
      <c r="X131" s="1508"/>
    </row>
    <row r="132" spans="1:24">
      <c r="A132" s="588"/>
      <c r="B132" s="588"/>
      <c r="C132" s="150"/>
      <c r="D132" s="786">
        <f t="shared" ca="1" si="3"/>
        <v>2.419999999999991</v>
      </c>
      <c r="E132" s="150" t="s">
        <v>2025</v>
      </c>
      <c r="F132" s="1508"/>
      <c r="G132" s="156">
        <v>0.27</v>
      </c>
      <c r="H132" s="156">
        <v>0.26</v>
      </c>
      <c r="I132" s="156">
        <v>0.25</v>
      </c>
      <c r="J132" s="156">
        <v>0.25</v>
      </c>
      <c r="K132" s="156">
        <v>0.25</v>
      </c>
      <c r="L132" s="156">
        <v>0.25</v>
      </c>
      <c r="M132" s="156">
        <v>0.24200000000000002</v>
      </c>
      <c r="N132" s="156">
        <v>0.25</v>
      </c>
      <c r="O132" s="231"/>
      <c r="P132" s="231"/>
      <c r="Q132" s="231"/>
      <c r="R132" s="2060"/>
      <c r="S132" s="2060"/>
      <c r="T132" s="2060"/>
      <c r="U132" s="2060"/>
      <c r="V132" s="2060"/>
      <c r="W132" s="2060"/>
      <c r="X132" s="1508"/>
    </row>
    <row r="133" spans="1:24">
      <c r="A133" s="588"/>
      <c r="B133" s="588"/>
      <c r="C133" s="150"/>
      <c r="D133" s="786">
        <f t="shared" ca="1" si="3"/>
        <v>2.4299999999999908</v>
      </c>
      <c r="E133" s="150" t="s">
        <v>2026</v>
      </c>
      <c r="F133" s="1508"/>
      <c r="G133" s="156">
        <v>0.22500000000000001</v>
      </c>
      <c r="H133" s="156">
        <v>0.15</v>
      </c>
      <c r="I133" s="156">
        <v>0.15</v>
      </c>
      <c r="J133" s="156">
        <v>0.15</v>
      </c>
      <c r="K133" s="156">
        <v>0.15</v>
      </c>
      <c r="L133" s="157">
        <v>0.15</v>
      </c>
      <c r="M133" s="157">
        <v>0.15</v>
      </c>
      <c r="N133" s="157">
        <v>0.15</v>
      </c>
      <c r="O133" s="231"/>
      <c r="P133" s="231"/>
      <c r="Q133" s="231"/>
      <c r="R133" s="2060"/>
      <c r="S133" s="2060"/>
      <c r="T133" s="2060"/>
      <c r="U133" s="2060"/>
      <c r="V133" s="2060"/>
      <c r="W133" s="2060"/>
      <c r="X133" s="1508"/>
    </row>
    <row r="134" spans="1:24">
      <c r="A134" s="588"/>
      <c r="B134" s="588"/>
      <c r="C134" s="150"/>
      <c r="D134" s="786">
        <f t="shared" ca="1" si="3"/>
        <v>2.4399999999999906</v>
      </c>
      <c r="E134" s="150" t="s">
        <v>2027</v>
      </c>
      <c r="F134" s="1508"/>
      <c r="G134" s="156">
        <v>0.28000000000000003</v>
      </c>
      <c r="H134" s="156">
        <v>0.28000000000000003</v>
      </c>
      <c r="I134" s="156">
        <v>0.28000000000000003</v>
      </c>
      <c r="J134" s="156">
        <v>0.3</v>
      </c>
      <c r="K134" s="156">
        <v>0.3</v>
      </c>
      <c r="L134" s="156">
        <v>0.3</v>
      </c>
      <c r="M134" s="156">
        <v>0.25</v>
      </c>
      <c r="N134" s="156">
        <v>0.3</v>
      </c>
      <c r="O134" s="231"/>
      <c r="P134" s="231"/>
      <c r="Q134" s="231"/>
      <c r="R134" s="2060"/>
      <c r="S134" s="2060"/>
      <c r="T134" s="2060"/>
      <c r="U134" s="2060"/>
      <c r="V134" s="2060"/>
      <c r="W134" s="2060"/>
      <c r="X134" s="1508"/>
    </row>
    <row r="135" spans="1:24">
      <c r="A135" s="588"/>
      <c r="B135" s="588"/>
      <c r="C135" s="150"/>
      <c r="D135" s="786">
        <f t="shared" ca="1" si="3"/>
        <v>2.4499999999999904</v>
      </c>
      <c r="E135" s="150" t="s">
        <v>2028</v>
      </c>
      <c r="F135" s="1508"/>
      <c r="G135" s="156">
        <v>0.35</v>
      </c>
      <c r="H135" s="156">
        <v>0.3</v>
      </c>
      <c r="I135" s="156">
        <v>0.3</v>
      </c>
      <c r="J135" s="156">
        <v>0.3</v>
      </c>
      <c r="K135" s="156">
        <v>0.3</v>
      </c>
      <c r="L135" s="157">
        <v>0.3</v>
      </c>
      <c r="M135" s="157">
        <v>0.3</v>
      </c>
      <c r="N135" s="157">
        <v>0.3</v>
      </c>
      <c r="O135" s="231"/>
      <c r="P135" s="231"/>
      <c r="Q135" s="231"/>
      <c r="R135" s="2060"/>
      <c r="S135" s="2060"/>
      <c r="T135" s="2060"/>
      <c r="U135" s="2060"/>
      <c r="V135" s="2060"/>
      <c r="W135" s="2060"/>
      <c r="X135" s="1508"/>
    </row>
    <row r="136" spans="1:24">
      <c r="A136" s="588"/>
      <c r="B136" s="588"/>
      <c r="C136" s="150"/>
      <c r="D136" s="786">
        <f t="shared" ca="1" si="3"/>
        <v>2.4599999999999902</v>
      </c>
      <c r="E136" s="150" t="s">
        <v>2029</v>
      </c>
      <c r="F136" s="1508"/>
      <c r="G136" s="156">
        <v>0.255</v>
      </c>
      <c r="H136" s="156">
        <v>0.255</v>
      </c>
      <c r="I136" s="156">
        <v>0.255</v>
      </c>
      <c r="J136" s="156">
        <v>0.255</v>
      </c>
      <c r="K136" s="156">
        <v>0.25</v>
      </c>
      <c r="L136" s="156">
        <v>0.25</v>
      </c>
      <c r="M136" s="156">
        <v>0.28999999999999998</v>
      </c>
      <c r="N136" s="156">
        <v>0.25</v>
      </c>
      <c r="O136" s="231"/>
      <c r="P136" s="231"/>
      <c r="Q136" s="231"/>
      <c r="R136" s="2060"/>
      <c r="S136" s="2060"/>
      <c r="T136" s="2060"/>
      <c r="U136" s="2060"/>
      <c r="V136" s="2060"/>
      <c r="W136" s="2060"/>
      <c r="X136" s="1508"/>
    </row>
    <row r="137" spans="1:24">
      <c r="A137" s="588"/>
      <c r="B137" s="588"/>
      <c r="C137" s="150"/>
      <c r="D137" s="786">
        <f t="shared" ca="1" si="3"/>
        <v>2.46999999999999</v>
      </c>
      <c r="E137" s="150" t="s">
        <v>2030</v>
      </c>
      <c r="F137" s="1508"/>
      <c r="G137" s="156">
        <v>0.33</v>
      </c>
      <c r="H137" s="156">
        <v>0.3</v>
      </c>
      <c r="I137" s="156">
        <v>0.3</v>
      </c>
      <c r="J137" s="156">
        <v>0.3</v>
      </c>
      <c r="K137" s="156">
        <v>0.28000000000000003</v>
      </c>
      <c r="L137" s="157">
        <v>0.28000000000000003</v>
      </c>
      <c r="M137" s="157">
        <v>0.28000000000000003</v>
      </c>
      <c r="N137" s="157">
        <v>0.28000000000000003</v>
      </c>
      <c r="O137" s="231"/>
      <c r="P137" s="231"/>
      <c r="Q137" s="231"/>
      <c r="R137" s="2060"/>
      <c r="S137" s="2060"/>
      <c r="T137" s="2060"/>
      <c r="U137" s="2060"/>
      <c r="V137" s="2060"/>
      <c r="W137" s="2060"/>
      <c r="X137" s="1508"/>
    </row>
    <row r="138" spans="1:24">
      <c r="A138" s="588"/>
      <c r="B138" s="588"/>
      <c r="C138" s="150"/>
      <c r="D138" s="786">
        <f t="shared" ca="1" si="3"/>
        <v>2.4799999999999898</v>
      </c>
      <c r="E138" s="150" t="s">
        <v>2031</v>
      </c>
      <c r="F138" s="1508"/>
      <c r="G138" s="156">
        <v>0.3</v>
      </c>
      <c r="H138" s="156">
        <v>0.3</v>
      </c>
      <c r="I138" s="156">
        <v>0.3</v>
      </c>
      <c r="J138" s="156">
        <v>0.3</v>
      </c>
      <c r="K138" s="156">
        <v>0.3</v>
      </c>
      <c r="L138" s="156">
        <v>0.3</v>
      </c>
      <c r="M138" s="156">
        <v>0.25</v>
      </c>
      <c r="N138" s="156">
        <v>0.3</v>
      </c>
      <c r="O138" s="231"/>
      <c r="P138" s="231"/>
      <c r="Q138" s="231"/>
      <c r="R138" s="2060"/>
      <c r="S138" s="2060"/>
      <c r="T138" s="2060"/>
      <c r="U138" s="2060"/>
      <c r="V138" s="2060"/>
      <c r="W138" s="2060"/>
      <c r="X138" s="1508"/>
    </row>
    <row r="139" spans="1:24">
      <c r="A139" s="588"/>
      <c r="B139" s="588"/>
      <c r="C139" s="150"/>
      <c r="D139" s="786">
        <f t="shared" ca="1" si="3"/>
        <v>2.4899999999999896</v>
      </c>
      <c r="E139" s="150" t="s">
        <v>2032</v>
      </c>
      <c r="F139" s="1508"/>
      <c r="G139" s="156">
        <v>0.28000000000000003</v>
      </c>
      <c r="H139" s="156">
        <v>0.28000000000000003</v>
      </c>
      <c r="I139" s="156">
        <v>0.28000000000000003</v>
      </c>
      <c r="J139" s="156">
        <v>0.28000000000000003</v>
      </c>
      <c r="K139" s="156">
        <v>0.28000000000000003</v>
      </c>
      <c r="L139" s="156">
        <v>0.28000000000000003</v>
      </c>
      <c r="M139" s="156">
        <v>0.3</v>
      </c>
      <c r="N139" s="156">
        <v>0.27</v>
      </c>
      <c r="O139" s="231"/>
      <c r="P139" s="231"/>
      <c r="Q139" s="231"/>
      <c r="R139" s="2060"/>
      <c r="S139" s="2060"/>
      <c r="T139" s="2060"/>
      <c r="U139" s="2060"/>
      <c r="V139" s="2060"/>
      <c r="W139" s="2060"/>
      <c r="X139" s="1508"/>
    </row>
    <row r="140" spans="1:24">
      <c r="A140" s="588"/>
      <c r="B140" s="588"/>
      <c r="C140" s="150"/>
      <c r="D140" s="786">
        <f t="shared" ca="1" si="3"/>
        <v>2.4999999999999893</v>
      </c>
      <c r="E140" s="150" t="s">
        <v>2033</v>
      </c>
      <c r="F140" s="1508"/>
      <c r="G140" s="156">
        <v>0.3</v>
      </c>
      <c r="H140" s="156">
        <v>0.3</v>
      </c>
      <c r="I140" s="156">
        <v>0.3</v>
      </c>
      <c r="J140" s="156">
        <v>0.12</v>
      </c>
      <c r="K140" s="156">
        <v>0.12</v>
      </c>
      <c r="L140" s="157">
        <v>0.12</v>
      </c>
      <c r="M140" s="157">
        <v>0.12</v>
      </c>
      <c r="N140" s="157">
        <v>0.12</v>
      </c>
      <c r="O140" s="231"/>
      <c r="P140" s="231"/>
      <c r="Q140" s="231"/>
      <c r="R140" s="2060"/>
      <c r="S140" s="2060"/>
      <c r="T140" s="2060"/>
      <c r="U140" s="2060"/>
      <c r="V140" s="2060"/>
      <c r="W140" s="2060"/>
      <c r="X140" s="1508"/>
    </row>
    <row r="141" spans="1:24">
      <c r="A141" s="588"/>
      <c r="B141" s="588"/>
      <c r="C141" s="150"/>
      <c r="D141" s="786">
        <f t="shared" ca="1" si="3"/>
        <v>2.5099999999999891</v>
      </c>
      <c r="E141" s="150" t="s">
        <v>2034</v>
      </c>
      <c r="F141" s="1508"/>
      <c r="G141" s="156">
        <v>0.35</v>
      </c>
      <c r="H141" s="156">
        <v>0.35</v>
      </c>
      <c r="I141" s="156">
        <v>0.35</v>
      </c>
      <c r="J141" s="156">
        <v>0.35</v>
      </c>
      <c r="K141" s="156">
        <v>0.35</v>
      </c>
      <c r="L141" s="156">
        <v>0.35</v>
      </c>
      <c r="M141" s="156">
        <v>0.28000000000000003</v>
      </c>
      <c r="N141" s="156">
        <v>0.34</v>
      </c>
      <c r="O141" s="231"/>
      <c r="P141" s="231"/>
      <c r="Q141" s="231"/>
      <c r="R141" s="2060"/>
      <c r="S141" s="2060"/>
      <c r="T141" s="2060"/>
      <c r="U141" s="2060"/>
      <c r="V141" s="2060"/>
      <c r="W141" s="2060"/>
      <c r="X141" s="1508"/>
    </row>
    <row r="142" spans="1:24">
      <c r="A142" s="588"/>
      <c r="B142" s="588"/>
      <c r="C142" s="150"/>
      <c r="D142" s="786">
        <f t="shared" ca="1" si="3"/>
        <v>2.5199999999999889</v>
      </c>
      <c r="E142" s="150" t="s">
        <v>2035</v>
      </c>
      <c r="F142" s="1508"/>
      <c r="G142" s="156">
        <v>0.3</v>
      </c>
      <c r="H142" s="156">
        <v>0.3</v>
      </c>
      <c r="I142" s="156">
        <v>0.3</v>
      </c>
      <c r="J142" s="156">
        <v>0.3</v>
      </c>
      <c r="K142" s="156">
        <v>0.3</v>
      </c>
      <c r="L142" s="156">
        <v>0.3</v>
      </c>
      <c r="M142" s="156">
        <v>0.35</v>
      </c>
      <c r="N142" s="156">
        <v>0.3</v>
      </c>
      <c r="O142" s="231"/>
      <c r="P142" s="231"/>
      <c r="Q142" s="231"/>
      <c r="R142" s="2060"/>
      <c r="S142" s="2060"/>
      <c r="T142" s="2060"/>
      <c r="U142" s="2060"/>
      <c r="V142" s="2060"/>
      <c r="W142" s="2060"/>
      <c r="X142" s="1508"/>
    </row>
    <row r="143" spans="1:24">
      <c r="A143" s="588"/>
      <c r="B143" s="588"/>
      <c r="C143" s="150"/>
      <c r="D143" s="786">
        <f t="shared" ca="1" si="3"/>
        <v>2.5299999999999887</v>
      </c>
      <c r="E143" s="150" t="s">
        <v>2036</v>
      </c>
      <c r="F143" s="1508"/>
      <c r="G143" s="156">
        <v>0.35</v>
      </c>
      <c r="H143" s="156">
        <v>0.35</v>
      </c>
      <c r="I143" s="156">
        <v>0.3</v>
      </c>
      <c r="J143" s="156">
        <v>0.3</v>
      </c>
      <c r="K143" s="156">
        <v>0.3</v>
      </c>
      <c r="L143" s="156">
        <v>0.3</v>
      </c>
      <c r="M143" s="156">
        <v>0.3</v>
      </c>
      <c r="N143" s="156">
        <v>0.3</v>
      </c>
      <c r="O143" s="231"/>
      <c r="P143" s="231"/>
      <c r="Q143" s="231"/>
      <c r="R143" s="2060"/>
      <c r="S143" s="2060"/>
      <c r="T143" s="2060"/>
      <c r="U143" s="2060"/>
      <c r="V143" s="2060"/>
      <c r="W143" s="2060"/>
      <c r="X143" s="1508"/>
    </row>
    <row r="144" spans="1:24">
      <c r="A144" s="588"/>
      <c r="B144" s="588"/>
      <c r="C144" s="150"/>
      <c r="D144" s="786">
        <f t="shared" ca="1" si="3"/>
        <v>2.5399999999999885</v>
      </c>
      <c r="E144" s="150" t="s">
        <v>2037</v>
      </c>
      <c r="F144" s="1508"/>
      <c r="G144" s="156">
        <v>0.19</v>
      </c>
      <c r="H144" s="156">
        <v>0.19</v>
      </c>
      <c r="I144" s="156">
        <v>0.19</v>
      </c>
      <c r="J144" s="156">
        <v>0.19</v>
      </c>
      <c r="K144" s="156">
        <v>0.19</v>
      </c>
      <c r="L144" s="156">
        <v>0.19</v>
      </c>
      <c r="M144" s="156">
        <v>0.3</v>
      </c>
      <c r="N144" s="156">
        <v>0.19</v>
      </c>
      <c r="O144" s="231"/>
      <c r="P144" s="231"/>
      <c r="Q144" s="231"/>
      <c r="R144" s="2060"/>
      <c r="S144" s="2060"/>
      <c r="T144" s="2060"/>
      <c r="U144" s="2060"/>
      <c r="V144" s="2060"/>
      <c r="W144" s="2060"/>
      <c r="X144" s="1508"/>
    </row>
    <row r="145" spans="1:24">
      <c r="A145" s="588"/>
      <c r="B145" s="588"/>
      <c r="C145" s="150"/>
      <c r="D145" s="786">
        <f t="shared" ca="1" si="3"/>
        <v>2.5499999999999883</v>
      </c>
      <c r="E145" s="150" t="s">
        <v>2038</v>
      </c>
      <c r="F145" s="1508"/>
      <c r="G145" s="156">
        <v>0.25</v>
      </c>
      <c r="H145" s="156">
        <v>0.25</v>
      </c>
      <c r="I145" s="156">
        <v>0.25</v>
      </c>
      <c r="J145" s="156">
        <v>0.25</v>
      </c>
      <c r="K145" s="156">
        <v>0.25</v>
      </c>
      <c r="L145" s="156">
        <v>0.25</v>
      </c>
      <c r="M145" s="156">
        <v>0.19</v>
      </c>
      <c r="N145" s="156">
        <v>0.23</v>
      </c>
      <c r="O145" s="231"/>
      <c r="P145" s="231"/>
      <c r="Q145" s="231"/>
      <c r="R145" s="2060"/>
      <c r="S145" s="2060"/>
      <c r="T145" s="2060"/>
      <c r="U145" s="2060"/>
      <c r="V145" s="2060"/>
      <c r="W145" s="2060"/>
      <c r="X145" s="1508"/>
    </row>
    <row r="146" spans="1:24">
      <c r="A146" s="588"/>
      <c r="B146" s="588"/>
      <c r="C146" s="150"/>
      <c r="D146" s="786">
        <f t="shared" ca="1" si="3"/>
        <v>2.5599999999999881</v>
      </c>
      <c r="E146" s="150" t="s">
        <v>2039</v>
      </c>
      <c r="F146" s="1508"/>
      <c r="G146" s="156">
        <v>0.35</v>
      </c>
      <c r="H146" s="156">
        <v>0.35</v>
      </c>
      <c r="I146" s="156">
        <v>0.35</v>
      </c>
      <c r="J146" s="156">
        <v>0.1</v>
      </c>
      <c r="K146" s="156">
        <v>0.1</v>
      </c>
      <c r="L146" s="157">
        <v>0.1</v>
      </c>
      <c r="M146" s="157">
        <v>0.1</v>
      </c>
      <c r="N146" s="157">
        <v>0.1</v>
      </c>
      <c r="O146" s="231"/>
      <c r="P146" s="231"/>
      <c r="Q146" s="231"/>
      <c r="R146" s="2060"/>
      <c r="S146" s="2060"/>
      <c r="T146" s="2060"/>
      <c r="U146" s="2060"/>
      <c r="V146" s="2060"/>
      <c r="W146" s="2060"/>
      <c r="X146" s="1508"/>
    </row>
    <row r="147" spans="1:24">
      <c r="A147" s="588"/>
      <c r="B147" s="588"/>
      <c r="C147" s="150"/>
      <c r="D147" s="786">
        <f t="shared" ca="1" si="3"/>
        <v>2.5699999999999878</v>
      </c>
      <c r="E147" s="150" t="s">
        <v>2040</v>
      </c>
      <c r="F147" s="1508"/>
      <c r="G147" s="156">
        <v>0.16</v>
      </c>
      <c r="H147" s="156">
        <v>0.16</v>
      </c>
      <c r="I147" s="156">
        <v>0.16</v>
      </c>
      <c r="J147" s="156">
        <v>0.16</v>
      </c>
      <c r="K147" s="156">
        <v>0.16</v>
      </c>
      <c r="L147" s="156">
        <v>0.16</v>
      </c>
      <c r="M147" s="156">
        <v>0.25</v>
      </c>
      <c r="N147" s="156">
        <v>0.16</v>
      </c>
      <c r="O147" s="231"/>
      <c r="P147" s="231"/>
      <c r="Q147" s="231"/>
      <c r="R147" s="2060"/>
      <c r="S147" s="2060"/>
      <c r="T147" s="2060"/>
      <c r="U147" s="2060"/>
      <c r="V147" s="2060"/>
      <c r="W147" s="2060"/>
      <c r="X147" s="1508"/>
    </row>
    <row r="148" spans="1:24">
      <c r="A148" s="588"/>
      <c r="B148" s="588"/>
      <c r="C148" s="150"/>
      <c r="D148" s="786">
        <f t="shared" ca="1" si="3"/>
        <v>2.5799999999999876</v>
      </c>
      <c r="E148" s="150" t="s">
        <v>2041</v>
      </c>
      <c r="F148" s="1508"/>
      <c r="G148" s="156">
        <v>0.22</v>
      </c>
      <c r="H148" s="156">
        <v>0.22</v>
      </c>
      <c r="I148" s="156">
        <v>0.18</v>
      </c>
      <c r="J148" s="156">
        <v>0.17749999999999999</v>
      </c>
      <c r="K148" s="156">
        <v>0.17749999999999999</v>
      </c>
      <c r="L148" s="156">
        <v>0.17749999999999999</v>
      </c>
      <c r="M148" s="156">
        <v>0.16</v>
      </c>
      <c r="N148" s="156">
        <v>0.2</v>
      </c>
      <c r="O148" s="231"/>
      <c r="P148" s="231"/>
      <c r="Q148" s="231"/>
      <c r="R148" s="2060"/>
      <c r="S148" s="2060"/>
      <c r="T148" s="2060"/>
      <c r="U148" s="2060"/>
      <c r="V148" s="2060"/>
      <c r="W148" s="2060"/>
      <c r="X148" s="1508"/>
    </row>
    <row r="149" spans="1:24">
      <c r="A149" s="588"/>
      <c r="B149" s="588"/>
      <c r="C149" s="150"/>
      <c r="D149" s="786">
        <f t="shared" ca="1" si="3"/>
        <v>2.5899999999999874</v>
      </c>
      <c r="E149" s="150" t="s">
        <v>2042</v>
      </c>
      <c r="F149" s="1508"/>
      <c r="G149" s="156">
        <v>0.2</v>
      </c>
      <c r="H149" s="156">
        <v>0.2</v>
      </c>
      <c r="I149" s="156">
        <v>0.2</v>
      </c>
      <c r="J149" s="156">
        <v>0.2</v>
      </c>
      <c r="K149" s="156">
        <v>0.2</v>
      </c>
      <c r="L149" s="156">
        <v>0.2</v>
      </c>
      <c r="M149" s="156">
        <v>0.17749999999999999</v>
      </c>
      <c r="N149" s="156">
        <v>0.3</v>
      </c>
      <c r="O149" s="231"/>
      <c r="P149" s="231"/>
      <c r="Q149" s="231"/>
      <c r="R149" s="2060"/>
      <c r="S149" s="2060"/>
      <c r="T149" s="2060"/>
      <c r="U149" s="2060"/>
      <c r="V149" s="2060"/>
      <c r="W149" s="2060"/>
      <c r="X149" s="1508"/>
    </row>
    <row r="150" spans="1:24">
      <c r="A150" s="588"/>
      <c r="B150" s="588"/>
      <c r="C150" s="150"/>
      <c r="D150" s="786">
        <f t="shared" ca="1" si="3"/>
        <v>2.5999999999999872</v>
      </c>
      <c r="E150" s="150" t="s">
        <v>2043</v>
      </c>
      <c r="F150" s="1508"/>
      <c r="G150" s="156">
        <v>0.2</v>
      </c>
      <c r="H150" s="156">
        <v>0.18</v>
      </c>
      <c r="I150" s="156">
        <v>0.18</v>
      </c>
      <c r="J150" s="156">
        <v>0.17</v>
      </c>
      <c r="K150" s="156">
        <v>0.17</v>
      </c>
      <c r="L150" s="156">
        <v>0.17</v>
      </c>
      <c r="M150" s="156">
        <v>0.2</v>
      </c>
      <c r="N150" s="156">
        <v>0.17</v>
      </c>
      <c r="O150" s="231"/>
      <c r="P150" s="231"/>
      <c r="Q150" s="231"/>
      <c r="R150" s="2060"/>
      <c r="S150" s="2060"/>
      <c r="T150" s="2060"/>
      <c r="U150" s="2060"/>
      <c r="V150" s="2060"/>
      <c r="W150" s="2060"/>
      <c r="X150" s="1508"/>
    </row>
    <row r="151" spans="1:24">
      <c r="A151" s="588"/>
      <c r="B151" s="588"/>
      <c r="C151" s="150"/>
      <c r="D151" s="786">
        <f t="shared" ca="1" si="3"/>
        <v>2.609999999999987</v>
      </c>
      <c r="E151" s="150" t="s">
        <v>2044</v>
      </c>
      <c r="F151" s="1508"/>
      <c r="G151" s="156">
        <v>0.28999999999999998</v>
      </c>
      <c r="H151" s="156">
        <v>0.28999999999999998</v>
      </c>
      <c r="I151" s="156">
        <v>0.28000000000000003</v>
      </c>
      <c r="J151" s="156">
        <v>0.28000000000000003</v>
      </c>
      <c r="K151" s="156">
        <v>0.28000000000000003</v>
      </c>
      <c r="L151" s="156">
        <v>0.28000000000000003</v>
      </c>
      <c r="M151" s="156">
        <v>0.28000000000000003</v>
      </c>
      <c r="N151" s="156">
        <v>0.28000000000000003</v>
      </c>
      <c r="O151" s="231"/>
      <c r="P151" s="231"/>
      <c r="Q151" s="231"/>
      <c r="R151" s="2060"/>
      <c r="S151" s="2060"/>
      <c r="T151" s="2060"/>
      <c r="U151" s="2060"/>
      <c r="V151" s="2060"/>
      <c r="W151" s="2060"/>
      <c r="X151" s="1508"/>
    </row>
    <row r="152" spans="1:24">
      <c r="A152" s="588"/>
      <c r="B152" s="588"/>
      <c r="C152" s="150"/>
      <c r="D152" s="786">
        <f t="shared" ca="1" si="3"/>
        <v>2.6199999999999868</v>
      </c>
      <c r="E152" s="150" t="s">
        <v>2045</v>
      </c>
      <c r="F152" s="1508"/>
      <c r="G152" s="156">
        <v>0.27500000000000002</v>
      </c>
      <c r="H152" s="156">
        <v>0.27500000000000002</v>
      </c>
      <c r="I152" s="156">
        <v>0.27500000000000002</v>
      </c>
      <c r="J152" s="156">
        <v>0.24200000000000002</v>
      </c>
      <c r="K152" s="156">
        <v>0.24200000000000002</v>
      </c>
      <c r="L152" s="156">
        <v>0.24200000000000002</v>
      </c>
      <c r="M152" s="156">
        <v>0.24200000000000002</v>
      </c>
      <c r="N152" s="156">
        <v>0.24200000000000002</v>
      </c>
      <c r="O152" s="231"/>
      <c r="P152" s="231"/>
      <c r="Q152" s="231"/>
      <c r="R152" s="2060"/>
      <c r="S152" s="2060"/>
      <c r="T152" s="2060"/>
      <c r="U152" s="2060"/>
      <c r="V152" s="2060"/>
      <c r="W152" s="2060"/>
      <c r="X152" s="1508"/>
    </row>
    <row r="153" spans="1:24">
      <c r="A153" s="588"/>
      <c r="B153" s="588"/>
      <c r="C153" s="150"/>
      <c r="D153" s="786">
        <f t="shared" ca="1" si="3"/>
        <v>2.6299999999999866</v>
      </c>
      <c r="E153" s="150" t="s">
        <v>2046</v>
      </c>
      <c r="F153" s="1508"/>
      <c r="G153" s="156">
        <v>0.32500000000000001</v>
      </c>
      <c r="H153" s="156">
        <v>0.3</v>
      </c>
      <c r="I153" s="156">
        <v>0.3</v>
      </c>
      <c r="J153" s="156">
        <v>0.3</v>
      </c>
      <c r="K153" s="156">
        <v>0.3</v>
      </c>
      <c r="L153" s="156">
        <v>0.3</v>
      </c>
      <c r="M153" s="156">
        <v>0.3</v>
      </c>
      <c r="N153" s="156">
        <v>0.3</v>
      </c>
      <c r="O153" s="231"/>
      <c r="P153" s="231"/>
      <c r="Q153" s="231"/>
      <c r="R153" s="2060"/>
      <c r="S153" s="2060"/>
      <c r="T153" s="2060"/>
      <c r="U153" s="2060"/>
      <c r="V153" s="2060"/>
      <c r="W153" s="2060"/>
      <c r="X153" s="1508"/>
    </row>
    <row r="154" spans="1:24">
      <c r="A154" s="588"/>
      <c r="B154" s="588"/>
      <c r="C154" s="150"/>
      <c r="D154" s="786">
        <f t="shared" ca="1" si="3"/>
        <v>2.6399999999999864</v>
      </c>
      <c r="E154" s="150" t="s">
        <v>2047</v>
      </c>
      <c r="F154" s="1508"/>
      <c r="G154" s="156">
        <v>0.35</v>
      </c>
      <c r="H154" s="156">
        <v>0.35</v>
      </c>
      <c r="I154" s="156">
        <v>0.35</v>
      </c>
      <c r="J154" s="156">
        <v>0.35</v>
      </c>
      <c r="K154" s="156">
        <v>0.28000000000000003</v>
      </c>
      <c r="L154" s="157">
        <v>0.28000000000000003</v>
      </c>
      <c r="M154" s="157">
        <v>0.28000000000000003</v>
      </c>
      <c r="N154" s="157">
        <v>0.28000000000000003</v>
      </c>
      <c r="O154" s="231"/>
      <c r="P154" s="231"/>
      <c r="Q154" s="231"/>
      <c r="R154" s="2060"/>
      <c r="S154" s="2060"/>
      <c r="T154" s="2060"/>
      <c r="U154" s="2060"/>
      <c r="V154" s="2060"/>
      <c r="W154" s="2060"/>
      <c r="X154" s="1508"/>
    </row>
    <row r="155" spans="1:24">
      <c r="A155" s="588"/>
      <c r="B155" s="588"/>
      <c r="C155" s="150"/>
      <c r="D155" s="786">
        <f t="shared" ref="D155:D167" ca="1" si="4">MAX(OFFSET(D155,-1,0,-ROW(D155)+1,-2),1)+0.01</f>
        <v>2.6499999999999861</v>
      </c>
      <c r="E155" s="150" t="s">
        <v>2048</v>
      </c>
      <c r="F155" s="1508"/>
      <c r="G155" s="156">
        <v>0.28000000000000003</v>
      </c>
      <c r="H155" s="156">
        <v>0.28000000000000003</v>
      </c>
      <c r="I155" s="156">
        <v>0.26300000000000001</v>
      </c>
      <c r="J155" s="156">
        <v>0.26300000000000001</v>
      </c>
      <c r="K155" s="156">
        <v>0.26300000000000001</v>
      </c>
      <c r="L155" s="156">
        <v>0.26300000000000001</v>
      </c>
      <c r="M155" s="156">
        <v>0.22</v>
      </c>
      <c r="N155" s="156">
        <v>0.22</v>
      </c>
      <c r="O155" s="231"/>
      <c r="P155" s="231"/>
      <c r="Q155" s="231"/>
      <c r="R155" s="2060"/>
      <c r="S155" s="2060"/>
      <c r="T155" s="2060"/>
      <c r="U155" s="2060"/>
      <c r="V155" s="2060"/>
      <c r="W155" s="2060"/>
      <c r="X155" s="1508"/>
    </row>
    <row r="156" spans="1:24">
      <c r="A156" s="588"/>
      <c r="B156" s="588"/>
      <c r="C156" s="150"/>
      <c r="D156" s="786">
        <f t="shared" ca="1" si="4"/>
        <v>2.6599999999999859</v>
      </c>
      <c r="E156" s="150" t="s">
        <v>2049</v>
      </c>
      <c r="F156" s="1508"/>
      <c r="G156" s="156">
        <v>0.215</v>
      </c>
      <c r="H156" s="156">
        <v>0.185</v>
      </c>
      <c r="I156" s="156">
        <v>0.1885</v>
      </c>
      <c r="J156" s="156">
        <v>0.1885</v>
      </c>
      <c r="K156" s="156">
        <v>0.1885</v>
      </c>
      <c r="L156" s="156">
        <v>0.185</v>
      </c>
      <c r="M156" s="156">
        <v>0.18</v>
      </c>
      <c r="N156" s="156">
        <v>0.24</v>
      </c>
      <c r="O156" s="231"/>
      <c r="P156" s="231"/>
      <c r="Q156" s="231"/>
      <c r="R156" s="2060"/>
      <c r="S156" s="2060"/>
      <c r="T156" s="2060"/>
      <c r="U156" s="2060"/>
      <c r="V156" s="2060"/>
      <c r="W156" s="2060"/>
      <c r="X156" s="1508"/>
    </row>
    <row r="157" spans="1:24">
      <c r="A157" s="588"/>
      <c r="B157" s="588"/>
      <c r="C157" s="150"/>
      <c r="D157" s="786">
        <f t="shared" ca="1" si="4"/>
        <v>2.6699999999999857</v>
      </c>
      <c r="E157" s="150" t="s">
        <v>2050</v>
      </c>
      <c r="F157" s="1508"/>
      <c r="G157" s="156">
        <v>0.25</v>
      </c>
      <c r="H157" s="156">
        <v>0.25</v>
      </c>
      <c r="I157" s="156">
        <v>0.25</v>
      </c>
      <c r="J157" s="156">
        <v>0.2</v>
      </c>
      <c r="K157" s="156">
        <v>0.17</v>
      </c>
      <c r="L157" s="157">
        <v>0.17</v>
      </c>
      <c r="M157" s="157">
        <v>0.17</v>
      </c>
      <c r="N157" s="157">
        <v>0.17</v>
      </c>
      <c r="O157" s="231"/>
      <c r="P157" s="231"/>
      <c r="Q157" s="231"/>
      <c r="R157" s="2060"/>
      <c r="S157" s="2060"/>
      <c r="T157" s="2060"/>
      <c r="U157" s="2060"/>
      <c r="V157" s="2060"/>
      <c r="W157" s="2060"/>
      <c r="X157" s="1508"/>
    </row>
    <row r="158" spans="1:24">
      <c r="A158" s="588"/>
      <c r="B158" s="588"/>
      <c r="C158" s="150"/>
      <c r="D158" s="786">
        <f t="shared" ca="1" si="4"/>
        <v>2.6799999999999855</v>
      </c>
      <c r="E158" s="150" t="s">
        <v>2051</v>
      </c>
      <c r="F158" s="1508"/>
      <c r="G158" s="156">
        <v>0.3</v>
      </c>
      <c r="H158" s="156">
        <v>0.3</v>
      </c>
      <c r="I158" s="156">
        <v>0.3</v>
      </c>
      <c r="J158" s="156">
        <v>0.3</v>
      </c>
      <c r="K158" s="156">
        <v>0.3</v>
      </c>
      <c r="L158" s="156">
        <v>0.23</v>
      </c>
      <c r="M158" s="156">
        <v>0.2</v>
      </c>
      <c r="N158" s="156">
        <v>0.2</v>
      </c>
      <c r="O158" s="231"/>
      <c r="P158" s="231"/>
      <c r="Q158" s="231"/>
      <c r="R158" s="2060"/>
      <c r="S158" s="2060"/>
      <c r="T158" s="2060"/>
      <c r="U158" s="2060"/>
      <c r="V158" s="2060"/>
      <c r="W158" s="2060"/>
      <c r="X158" s="1508"/>
    </row>
    <row r="159" spans="1:24">
      <c r="A159" s="588"/>
      <c r="B159" s="588"/>
      <c r="C159" s="150"/>
      <c r="D159" s="786">
        <f t="shared" ca="1" si="4"/>
        <v>2.6899999999999853</v>
      </c>
      <c r="E159" s="150" t="s">
        <v>2052</v>
      </c>
      <c r="F159" s="1508"/>
      <c r="G159" s="156">
        <v>0.3</v>
      </c>
      <c r="H159" s="156">
        <v>0.3</v>
      </c>
      <c r="I159" s="156">
        <v>0.3</v>
      </c>
      <c r="J159" s="156">
        <v>0.3</v>
      </c>
      <c r="K159" s="156">
        <v>0.3</v>
      </c>
      <c r="L159" s="157">
        <v>0.3</v>
      </c>
      <c r="M159" s="157">
        <v>0.3</v>
      </c>
      <c r="N159" s="157">
        <v>0.3</v>
      </c>
      <c r="O159" s="231"/>
      <c r="P159" s="231"/>
      <c r="Q159" s="231"/>
      <c r="R159" s="2060"/>
      <c r="S159" s="2060"/>
      <c r="T159" s="2060"/>
      <c r="U159" s="2060"/>
      <c r="V159" s="2060"/>
      <c r="W159" s="2060"/>
      <c r="X159" s="1508"/>
    </row>
    <row r="160" spans="1:24">
      <c r="A160" s="588"/>
      <c r="B160" s="588"/>
      <c r="C160" s="150"/>
      <c r="D160" s="786">
        <f t="shared" ca="1" si="4"/>
        <v>2.6999999999999851</v>
      </c>
      <c r="E160" s="150" t="s">
        <v>2053</v>
      </c>
      <c r="F160" s="1508"/>
      <c r="G160" s="156">
        <v>0.2</v>
      </c>
      <c r="H160" s="156">
        <v>0.2</v>
      </c>
      <c r="I160" s="156">
        <v>0.2</v>
      </c>
      <c r="J160" s="156">
        <v>0.2</v>
      </c>
      <c r="K160" s="156">
        <v>0.2</v>
      </c>
      <c r="L160" s="156">
        <v>0.2</v>
      </c>
      <c r="M160" s="156">
        <v>0.2</v>
      </c>
      <c r="N160" s="156">
        <v>0.2</v>
      </c>
      <c r="O160" s="231"/>
      <c r="P160" s="231"/>
      <c r="Q160" s="231"/>
      <c r="R160" s="2060"/>
      <c r="S160" s="2060"/>
      <c r="T160" s="2060"/>
      <c r="U160" s="2060"/>
      <c r="V160" s="2060"/>
      <c r="W160" s="2060"/>
      <c r="X160" s="1508"/>
    </row>
    <row r="161" spans="1:29">
      <c r="A161" s="588"/>
      <c r="B161" s="588"/>
      <c r="C161" s="150"/>
      <c r="D161" s="786">
        <f t="shared" ca="1" si="4"/>
        <v>2.7099999999999849</v>
      </c>
      <c r="E161" s="150" t="s">
        <v>2054</v>
      </c>
      <c r="F161" s="1508"/>
      <c r="G161" s="156">
        <v>0.25</v>
      </c>
      <c r="H161" s="156">
        <v>0.25</v>
      </c>
      <c r="I161" s="156">
        <v>0.25</v>
      </c>
      <c r="J161" s="156">
        <v>0.25</v>
      </c>
      <c r="K161" s="156">
        <v>0.23</v>
      </c>
      <c r="L161" s="156">
        <v>0.21</v>
      </c>
      <c r="M161" s="156">
        <v>0.19</v>
      </c>
      <c r="N161" s="156">
        <v>0.18</v>
      </c>
      <c r="O161" s="231"/>
      <c r="P161" s="231"/>
      <c r="Q161" s="231"/>
      <c r="R161" s="2060"/>
      <c r="S161" s="2060"/>
      <c r="T161" s="2060"/>
      <c r="U161" s="2060"/>
      <c r="V161" s="2060"/>
      <c r="W161" s="2060"/>
      <c r="X161" s="1508"/>
      <c r="Y161" s="2060"/>
      <c r="Z161" s="2060"/>
      <c r="AA161" s="2060"/>
      <c r="AB161" s="2060"/>
      <c r="AC161" s="2060"/>
    </row>
    <row r="162" spans="1:29">
      <c r="A162" s="588"/>
      <c r="B162" s="588"/>
      <c r="C162" s="150"/>
      <c r="D162" s="786">
        <f t="shared" ca="1" si="4"/>
        <v>2.7199999999999847</v>
      </c>
      <c r="E162" s="150" t="s">
        <v>2055</v>
      </c>
      <c r="F162" s="1508"/>
      <c r="G162" s="156">
        <v>0</v>
      </c>
      <c r="H162" s="156">
        <v>0</v>
      </c>
      <c r="I162" s="156">
        <v>0</v>
      </c>
      <c r="J162" s="156">
        <v>0</v>
      </c>
      <c r="K162" s="156">
        <v>0</v>
      </c>
      <c r="L162" s="156">
        <v>0</v>
      </c>
      <c r="M162" s="156">
        <v>0</v>
      </c>
      <c r="N162" s="156">
        <v>0</v>
      </c>
      <c r="O162" s="231"/>
      <c r="P162" s="231"/>
      <c r="Q162" s="231"/>
      <c r="R162" s="2060"/>
      <c r="S162" s="2060"/>
      <c r="T162" s="2060"/>
      <c r="U162" s="2060"/>
      <c r="V162" s="2060"/>
      <c r="W162" s="2060"/>
      <c r="X162" s="1508"/>
      <c r="Y162" s="2060"/>
      <c r="Z162" s="2060"/>
      <c r="AA162" s="2060"/>
      <c r="AB162" s="2060"/>
      <c r="AC162" s="2060"/>
    </row>
    <row r="163" spans="1:29">
      <c r="A163" s="588"/>
      <c r="B163" s="588"/>
      <c r="C163" s="150"/>
      <c r="D163" s="786">
        <f t="shared" ca="1" si="4"/>
        <v>2.7299999999999844</v>
      </c>
      <c r="E163" s="150" t="s">
        <v>2056</v>
      </c>
      <c r="F163" s="1508"/>
      <c r="G163" s="156">
        <v>0.3</v>
      </c>
      <c r="H163" s="156">
        <v>0.28000000000000003</v>
      </c>
      <c r="I163" s="156">
        <v>0.28000000000000003</v>
      </c>
      <c r="J163" s="156">
        <v>0.28000000000000003</v>
      </c>
      <c r="K163" s="156">
        <v>0.26</v>
      </c>
      <c r="L163" s="156">
        <v>0.24</v>
      </c>
      <c r="M163" s="156">
        <v>0.24</v>
      </c>
      <c r="N163" s="156">
        <v>0.23</v>
      </c>
      <c r="O163" s="231"/>
      <c r="P163" s="231"/>
      <c r="Q163" s="231"/>
      <c r="R163" s="2060"/>
      <c r="S163" s="2060"/>
      <c r="T163" s="2060"/>
      <c r="U163" s="2060"/>
      <c r="V163" s="2060"/>
      <c r="W163" s="2060"/>
      <c r="X163" s="1508"/>
      <c r="Y163" s="2060"/>
      <c r="Z163" s="2060"/>
      <c r="AA163" s="2060"/>
      <c r="AB163" s="2060"/>
      <c r="AC163" s="2060"/>
    </row>
    <row r="164" spans="1:29">
      <c r="A164" s="588"/>
      <c r="B164" s="588"/>
      <c r="C164" s="150"/>
      <c r="D164" s="786">
        <f t="shared" ca="1" si="4"/>
        <v>2.7399999999999842</v>
      </c>
      <c r="E164" s="150" t="s">
        <v>2057</v>
      </c>
      <c r="F164" s="1508"/>
      <c r="G164" s="156">
        <v>0.4</v>
      </c>
      <c r="H164" s="156">
        <v>0.4</v>
      </c>
      <c r="I164" s="156">
        <v>0.4</v>
      </c>
      <c r="J164" s="156">
        <v>0.4</v>
      </c>
      <c r="K164" s="156">
        <v>0.4</v>
      </c>
      <c r="L164" s="156">
        <v>0.4</v>
      </c>
      <c r="M164" s="156">
        <v>0.4</v>
      </c>
      <c r="N164" s="156">
        <v>0.4</v>
      </c>
      <c r="O164" s="231"/>
      <c r="P164" s="231"/>
      <c r="Q164" s="231"/>
      <c r="R164" s="2060"/>
      <c r="S164" s="2060"/>
      <c r="T164" s="2060"/>
      <c r="U164" s="2060"/>
      <c r="V164" s="2060"/>
      <c r="W164" s="2060"/>
      <c r="X164" s="1508"/>
      <c r="Y164" s="2060"/>
      <c r="Z164" s="2060"/>
      <c r="AA164" s="2060"/>
      <c r="AB164" s="2060"/>
      <c r="AC164" s="2060"/>
    </row>
    <row r="165" spans="1:29">
      <c r="A165" s="588"/>
      <c r="B165" s="588"/>
      <c r="C165" s="150"/>
      <c r="D165" s="786">
        <f t="shared" ca="1" si="4"/>
        <v>2.749999999999984</v>
      </c>
      <c r="E165" s="150" t="s">
        <v>2058</v>
      </c>
      <c r="F165" s="1508"/>
      <c r="G165" s="156">
        <v>0.34</v>
      </c>
      <c r="H165" s="156">
        <v>0.34</v>
      </c>
      <c r="I165" s="156">
        <v>0.34</v>
      </c>
      <c r="J165" s="156">
        <v>0.34</v>
      </c>
      <c r="K165" s="156">
        <v>0.34</v>
      </c>
      <c r="L165" s="156">
        <v>0.34</v>
      </c>
      <c r="M165" s="156">
        <v>0.34</v>
      </c>
      <c r="N165" s="156">
        <v>0.34</v>
      </c>
      <c r="O165" s="231"/>
      <c r="P165" s="231"/>
      <c r="Q165" s="231"/>
      <c r="R165" s="2060"/>
      <c r="S165" s="2060"/>
      <c r="T165" s="2060"/>
      <c r="U165" s="2060"/>
      <c r="V165" s="2060"/>
      <c r="W165" s="2060"/>
      <c r="X165" s="1508"/>
      <c r="Y165" s="2060"/>
      <c r="Z165" s="2060"/>
      <c r="AA165" s="2060"/>
      <c r="AB165" s="2060"/>
      <c r="AC165" s="2060"/>
    </row>
    <row r="166" spans="1:29">
      <c r="A166" s="588"/>
      <c r="B166" s="588"/>
      <c r="C166" s="150"/>
      <c r="D166" s="786">
        <f t="shared" ca="1" si="4"/>
        <v>2.7599999999999838</v>
      </c>
      <c r="E166" s="150" t="s">
        <v>2059</v>
      </c>
      <c r="F166" s="1508"/>
      <c r="G166" s="156">
        <v>0.28000000000000003</v>
      </c>
      <c r="H166" s="156">
        <v>0.28000000000000003</v>
      </c>
      <c r="I166" s="156">
        <v>0.25</v>
      </c>
      <c r="J166" s="156">
        <v>0.25</v>
      </c>
      <c r="K166" s="156">
        <v>0.25</v>
      </c>
      <c r="L166" s="157">
        <v>0.25</v>
      </c>
      <c r="M166" s="157">
        <v>0.25</v>
      </c>
      <c r="N166" s="157">
        <v>0.22</v>
      </c>
      <c r="O166" s="231"/>
      <c r="P166" s="231"/>
      <c r="Q166" s="231"/>
      <c r="R166" s="2060"/>
      <c r="S166" s="2060"/>
      <c r="T166" s="2060"/>
      <c r="U166" s="2060"/>
      <c r="V166" s="2060"/>
      <c r="W166" s="2060"/>
      <c r="X166" s="1508"/>
      <c r="Y166" s="2060"/>
      <c r="Z166" s="2060"/>
      <c r="AA166" s="2060"/>
      <c r="AB166" s="2060"/>
      <c r="AC166" s="2060"/>
    </row>
    <row r="167" spans="1:29">
      <c r="A167" s="588"/>
      <c r="B167" s="588"/>
      <c r="C167" s="150"/>
      <c r="D167" s="786">
        <f t="shared" ca="1" si="4"/>
        <v>2.7699999999999836</v>
      </c>
      <c r="E167" s="150" t="s">
        <v>2060</v>
      </c>
      <c r="F167" s="1508"/>
      <c r="G167" s="2271"/>
      <c r="H167" s="2271"/>
      <c r="I167" s="2271"/>
      <c r="J167" s="2271"/>
      <c r="K167" s="2271"/>
      <c r="L167" s="2271"/>
      <c r="M167" s="2271"/>
      <c r="N167" s="2271"/>
      <c r="O167" s="2271"/>
      <c r="P167" s="2271"/>
      <c r="Q167" s="2271"/>
      <c r="R167" s="2060"/>
      <c r="S167" s="2060"/>
      <c r="T167" s="2060"/>
      <c r="U167" s="2060"/>
      <c r="V167" s="2060"/>
      <c r="W167" s="2060"/>
      <c r="X167" s="1508"/>
      <c r="Y167" s="2060"/>
      <c r="Z167" s="2060"/>
      <c r="AA167" s="2060"/>
      <c r="AB167" s="2060"/>
      <c r="AC167" s="2060"/>
    </row>
    <row r="168" spans="1:29">
      <c r="A168" s="588"/>
      <c r="B168" s="588"/>
      <c r="C168" s="2060"/>
      <c r="D168" s="2060"/>
      <c r="E168" s="2060"/>
      <c r="F168" s="2060"/>
      <c r="G168" s="2060"/>
      <c r="H168" s="2060"/>
      <c r="I168" s="2060"/>
      <c r="J168" s="2060"/>
      <c r="K168" s="2060"/>
      <c r="L168" s="2060"/>
      <c r="M168" s="2060"/>
      <c r="N168" s="2060"/>
      <c r="O168" s="2060"/>
      <c r="P168" s="2060"/>
      <c r="Q168" s="2060"/>
      <c r="R168" s="2060"/>
      <c r="S168" s="2060"/>
      <c r="T168" s="2060"/>
      <c r="U168" s="2060"/>
      <c r="V168" s="2060"/>
      <c r="W168" s="2060"/>
      <c r="X168" s="2060"/>
      <c r="Y168" s="2060"/>
      <c r="Z168" s="2060"/>
      <c r="AA168" s="2060"/>
      <c r="AB168" s="2060"/>
      <c r="AC168" s="2060"/>
    </row>
    <row r="169" spans="1:29">
      <c r="A169" s="2060"/>
      <c r="B169" s="2060"/>
      <c r="C169" s="2060"/>
      <c r="D169" s="2060"/>
      <c r="E169" s="2060"/>
      <c r="F169" s="2060"/>
      <c r="G169" s="2060"/>
      <c r="H169" s="2060"/>
      <c r="I169" s="2060"/>
      <c r="J169" s="2060"/>
      <c r="K169" s="2060"/>
      <c r="L169" s="2060"/>
      <c r="M169" s="2060"/>
      <c r="N169" s="2060"/>
      <c r="O169" s="2060"/>
      <c r="P169" s="2060"/>
      <c r="Q169" s="2060"/>
      <c r="R169" s="2060"/>
      <c r="S169" s="2060"/>
      <c r="T169" s="2060"/>
      <c r="U169" s="2060"/>
      <c r="V169" s="2060"/>
      <c r="W169" s="2060"/>
      <c r="X169" s="2060"/>
      <c r="Y169" s="2060"/>
      <c r="Z169" s="2060"/>
      <c r="AA169" s="2060"/>
      <c r="AB169" s="2060"/>
      <c r="AC169" s="2060"/>
    </row>
    <row r="170" spans="1:29" ht="18">
      <c r="A170" s="588"/>
      <c r="B170" s="588"/>
      <c r="C170" s="1486">
        <f ca="1">MAX(OFFSET(C170,-1,0,-ROW(C170)+1,1))+1-(A170="n")</f>
        <v>3</v>
      </c>
      <c r="D170" s="787" t="s">
        <v>2061</v>
      </c>
      <c r="E170" s="788"/>
      <c r="F170" s="788"/>
      <c r="G170" s="788"/>
      <c r="H170" s="788"/>
      <c r="I170" s="788"/>
      <c r="J170" s="788"/>
      <c r="K170" s="788"/>
      <c r="L170" s="788"/>
      <c r="M170" s="788"/>
      <c r="N170" s="788"/>
      <c r="O170" s="788"/>
      <c r="P170" s="788"/>
      <c r="Q170" s="788"/>
      <c r="R170" s="788"/>
      <c r="S170" s="788"/>
      <c r="T170" s="788"/>
      <c r="U170" s="788"/>
      <c r="V170" s="788"/>
      <c r="W170" s="788"/>
      <c r="X170" s="788"/>
      <c r="Y170" s="788"/>
      <c r="Z170" s="788"/>
      <c r="AA170" s="788"/>
      <c r="AB170" s="788"/>
      <c r="AC170" s="788"/>
    </row>
    <row r="172" spans="1:29">
      <c r="A172" s="588"/>
      <c r="B172" s="588"/>
      <c r="C172" s="2060"/>
      <c r="D172" s="2060"/>
      <c r="E172" s="2060"/>
      <c r="F172" s="2060"/>
      <c r="G172" s="2060" t="s">
        <v>2062</v>
      </c>
      <c r="H172" s="2060"/>
      <c r="I172" s="2060"/>
      <c r="J172" s="2060"/>
      <c r="K172" s="2060"/>
      <c r="L172" s="2060"/>
      <c r="M172" s="2060"/>
      <c r="N172" s="2060"/>
      <c r="O172" s="2060"/>
      <c r="P172" s="2060"/>
      <c r="Q172" s="2060"/>
      <c r="R172" s="2060"/>
      <c r="S172" s="2060"/>
      <c r="T172" s="2060"/>
      <c r="U172" s="2060"/>
      <c r="V172" s="2060"/>
      <c r="W172" s="2060"/>
      <c r="X172" s="2060"/>
      <c r="Y172" s="2060"/>
      <c r="Z172" s="2060"/>
      <c r="AA172" s="2060"/>
      <c r="AB172" s="2060"/>
      <c r="AC172" s="2060"/>
    </row>
    <row r="173" spans="1:29">
      <c r="A173" s="588"/>
      <c r="B173" s="588"/>
      <c r="C173" s="2060"/>
      <c r="D173" s="2060"/>
      <c r="E173" s="2272" t="s">
        <v>1468</v>
      </c>
      <c r="F173" s="1050"/>
      <c r="G173" s="1397">
        <v>135</v>
      </c>
      <c r="H173" s="2060" t="str">
        <f>INDEX(MyIndexIDs,MyIndexRow)</f>
        <v>IQT36183815</v>
      </c>
      <c r="I173" s="2060"/>
      <c r="J173" s="2060"/>
      <c r="K173" s="2060"/>
      <c r="L173" s="2060"/>
      <c r="M173" s="2060"/>
      <c r="N173" s="2060"/>
      <c r="O173" s="2060"/>
      <c r="P173" s="2060"/>
      <c r="Q173" s="2060"/>
      <c r="R173" s="2060"/>
      <c r="S173" s="2060"/>
      <c r="T173" s="2060"/>
      <c r="U173" s="2060"/>
      <c r="V173" s="2060"/>
      <c r="W173" s="2060"/>
      <c r="X173" s="2060"/>
      <c r="Y173" s="2060"/>
      <c r="Z173" s="2060"/>
      <c r="AA173" s="2060"/>
      <c r="AB173" s="2060"/>
      <c r="AC173" s="2060"/>
    </row>
    <row r="174" spans="1:29">
      <c r="A174" s="588"/>
      <c r="B174" s="588"/>
      <c r="C174" s="2060"/>
      <c r="D174" s="2060"/>
      <c r="E174" s="2060" t="s">
        <v>2063</v>
      </c>
      <c r="F174" s="2060"/>
      <c r="G174" s="2060" t="s">
        <v>2064</v>
      </c>
      <c r="H174" s="2060"/>
      <c r="I174" s="2060"/>
      <c r="J174" s="2060"/>
      <c r="K174" s="2060"/>
      <c r="L174" s="2060" t="s">
        <v>2065</v>
      </c>
      <c r="M174" s="2060"/>
      <c r="N174" s="2060"/>
      <c r="O174" s="2060"/>
      <c r="P174" s="2060"/>
      <c r="Q174" s="2060"/>
      <c r="R174" s="2060"/>
      <c r="S174" s="2060"/>
      <c r="T174" s="2060"/>
      <c r="U174" s="2060"/>
      <c r="V174" s="2060"/>
      <c r="W174" s="2060"/>
      <c r="X174" s="2060"/>
      <c r="Y174" s="2060"/>
      <c r="Z174" s="2060"/>
      <c r="AA174" s="2060"/>
      <c r="AB174" s="2060"/>
      <c r="AC174" s="2060"/>
    </row>
    <row r="175" spans="1:29">
      <c r="A175" s="588"/>
      <c r="B175" s="588"/>
      <c r="C175" s="2060"/>
      <c r="D175" s="2060"/>
      <c r="E175" s="216" t="s">
        <v>2066</v>
      </c>
      <c r="F175" s="2060"/>
      <c r="G175" s="216" t="s">
        <v>2067</v>
      </c>
      <c r="H175" s="2060"/>
      <c r="I175" s="2060"/>
      <c r="J175" s="2060"/>
      <c r="K175" s="2060"/>
      <c r="L175" s="216" t="s">
        <v>2068</v>
      </c>
      <c r="M175" s="2060"/>
      <c r="N175" s="2060"/>
      <c r="O175" s="2060"/>
      <c r="P175" s="2060"/>
      <c r="Q175" s="2060"/>
      <c r="R175" s="2060"/>
      <c r="S175" s="2060"/>
      <c r="T175" s="2060"/>
      <c r="U175" s="2060"/>
      <c r="V175" s="2060"/>
      <c r="W175" s="2060"/>
      <c r="X175" s="2060"/>
      <c r="Y175" s="2060"/>
      <c r="Z175" s="2060"/>
      <c r="AA175" s="2060"/>
      <c r="AB175" s="2060"/>
      <c r="AC175" s="2060"/>
    </row>
    <row r="176" spans="1:29">
      <c r="A176" s="588"/>
      <c r="B176" s="588"/>
      <c r="C176" s="2060"/>
      <c r="D176" s="2060"/>
      <c r="E176" s="230" t="s">
        <v>2069</v>
      </c>
      <c r="F176" s="2060"/>
      <c r="G176" s="230" t="s">
        <v>2070</v>
      </c>
      <c r="H176" s="1004"/>
      <c r="I176" s="1004"/>
      <c r="J176" s="1004"/>
      <c r="K176" s="2060"/>
      <c r="L176" s="230" t="s">
        <v>2071</v>
      </c>
      <c r="M176" s="1004"/>
      <c r="N176" s="1004"/>
      <c r="O176" s="1004"/>
      <c r="P176" s="2060"/>
      <c r="Q176" s="2060"/>
      <c r="R176" s="2060"/>
      <c r="S176" s="2060"/>
      <c r="T176" s="2060"/>
      <c r="U176" s="2060"/>
      <c r="V176" s="2060"/>
      <c r="W176" s="2060"/>
      <c r="X176" s="2060"/>
      <c r="Y176" s="2060"/>
      <c r="Z176" s="2060"/>
      <c r="AA176" s="2060"/>
      <c r="AB176" s="2060"/>
      <c r="AC176" s="2060"/>
    </row>
    <row r="177" spans="1:20">
      <c r="A177" s="588"/>
      <c r="B177" s="588"/>
      <c r="C177" s="2060"/>
      <c r="D177" s="2060"/>
      <c r="E177" s="230" t="s">
        <v>2072</v>
      </c>
      <c r="F177" s="2060"/>
      <c r="G177" s="230" t="s">
        <v>2073</v>
      </c>
      <c r="H177" s="1004"/>
      <c r="I177" s="1004"/>
      <c r="J177" s="1004"/>
      <c r="K177" s="2060"/>
      <c r="L177" s="230" t="s">
        <v>2074</v>
      </c>
      <c r="M177" s="1004"/>
      <c r="N177" s="1004"/>
      <c r="O177" s="1004"/>
      <c r="P177" s="2060"/>
      <c r="Q177" s="2060"/>
      <c r="R177" s="2060"/>
      <c r="S177" s="2060"/>
      <c r="T177" s="2060"/>
    </row>
    <row r="178" spans="1:20">
      <c r="A178" s="588"/>
      <c r="B178" s="588"/>
      <c r="C178" s="2060"/>
      <c r="D178" s="2060"/>
      <c r="E178" s="230" t="s">
        <v>2075</v>
      </c>
      <c r="F178" s="2060"/>
      <c r="G178" s="230" t="s">
        <v>2076</v>
      </c>
      <c r="H178" s="1004"/>
      <c r="I178" s="1004"/>
      <c r="J178" s="1004"/>
      <c r="K178" s="2060"/>
      <c r="L178" s="230" t="s">
        <v>2077</v>
      </c>
      <c r="M178" s="1004"/>
      <c r="N178" s="1004"/>
      <c r="O178" s="1004"/>
      <c r="P178" s="2060"/>
      <c r="Q178" s="2060"/>
      <c r="R178" s="2060"/>
      <c r="S178" s="2060"/>
      <c r="T178" s="2060"/>
    </row>
    <row r="179" spans="1:20">
      <c r="A179" s="588"/>
      <c r="B179" s="588"/>
      <c r="C179" s="2060"/>
      <c r="D179" s="2060"/>
      <c r="E179" s="230" t="s">
        <v>2078</v>
      </c>
      <c r="F179" s="2060"/>
      <c r="G179" s="230" t="s">
        <v>2079</v>
      </c>
      <c r="H179" s="1004"/>
      <c r="I179" s="1004"/>
      <c r="J179" s="1004"/>
      <c r="K179" s="2060"/>
      <c r="L179" s="230" t="s">
        <v>2080</v>
      </c>
      <c r="M179" s="1004"/>
      <c r="N179" s="1004"/>
      <c r="O179" s="1004"/>
      <c r="P179" s="2060"/>
      <c r="Q179" s="2060"/>
      <c r="R179" s="2060"/>
      <c r="S179" s="2060"/>
      <c r="T179" s="2060"/>
    </row>
    <row r="180" spans="1:20">
      <c r="A180" s="588"/>
      <c r="B180" s="588"/>
      <c r="C180" s="2060"/>
      <c r="D180" s="2060"/>
      <c r="E180" s="230" t="s">
        <v>2081</v>
      </c>
      <c r="F180" s="2060"/>
      <c r="G180" s="230" t="s">
        <v>2082</v>
      </c>
      <c r="H180" s="1004"/>
      <c r="I180" s="1004"/>
      <c r="J180" s="1004"/>
      <c r="K180" s="2060"/>
      <c r="L180" s="230" t="s">
        <v>2083</v>
      </c>
      <c r="M180" s="1004"/>
      <c r="N180" s="1004"/>
      <c r="O180" s="1004"/>
      <c r="P180" s="2060"/>
      <c r="Q180" s="2060"/>
      <c r="R180" s="2060"/>
      <c r="S180" s="2060"/>
      <c r="T180" s="2060"/>
    </row>
    <row r="181" spans="1:20">
      <c r="A181" s="588"/>
      <c r="B181" s="588"/>
      <c r="C181" s="2060"/>
      <c r="D181" s="2060"/>
      <c r="E181" s="230" t="s">
        <v>2084</v>
      </c>
      <c r="F181" s="2060"/>
      <c r="G181" s="230" t="s">
        <v>2085</v>
      </c>
      <c r="H181" s="1004"/>
      <c r="I181" s="1004"/>
      <c r="J181" s="1004"/>
      <c r="K181" s="2060"/>
      <c r="L181" s="230" t="s">
        <v>2086</v>
      </c>
      <c r="M181" s="1004"/>
      <c r="N181" s="1004"/>
      <c r="O181" s="1004"/>
      <c r="P181" s="2060"/>
      <c r="Q181" s="2060"/>
      <c r="R181" s="2060"/>
      <c r="S181" s="2060"/>
      <c r="T181" s="2060"/>
    </row>
    <row r="182" spans="1:20">
      <c r="A182" s="588"/>
      <c r="B182" s="588"/>
      <c r="C182" s="2060"/>
      <c r="D182" s="2060"/>
      <c r="E182" s="230" t="s">
        <v>2087</v>
      </c>
      <c r="F182" s="2060"/>
      <c r="G182" s="230" t="s">
        <v>2088</v>
      </c>
      <c r="H182" s="1004"/>
      <c r="I182" s="1004"/>
      <c r="J182" s="1004"/>
      <c r="K182" s="2060"/>
      <c r="L182" s="230" t="s">
        <v>2089</v>
      </c>
      <c r="M182" s="1004"/>
      <c r="N182" s="1004"/>
      <c r="O182" s="1004"/>
      <c r="P182" s="2060"/>
      <c r="Q182" s="2060"/>
      <c r="R182" s="2060"/>
      <c r="S182" s="2060"/>
      <c r="T182" s="2060"/>
    </row>
    <row r="183" spans="1:20">
      <c r="A183" s="588"/>
      <c r="B183" s="588"/>
      <c r="C183" s="2060"/>
      <c r="D183" s="2060"/>
      <c r="E183" s="230" t="s">
        <v>2090</v>
      </c>
      <c r="F183" s="2060"/>
      <c r="G183" s="230" t="s">
        <v>2091</v>
      </c>
      <c r="H183" s="1004"/>
      <c r="I183" s="1004"/>
      <c r="J183" s="1004"/>
      <c r="K183" s="2060"/>
      <c r="L183" s="230" t="s">
        <v>2092</v>
      </c>
      <c r="M183" s="1004"/>
      <c r="N183" s="1004"/>
      <c r="O183" s="1004"/>
      <c r="P183" s="2060"/>
      <c r="Q183" s="2060"/>
      <c r="R183" s="2060"/>
      <c r="S183" s="2060"/>
      <c r="T183" s="2060"/>
    </row>
    <row r="184" spans="1:20">
      <c r="A184" s="588"/>
      <c r="B184" s="588"/>
      <c r="C184" s="2060"/>
      <c r="D184" s="2060"/>
      <c r="E184" s="230" t="s">
        <v>2093</v>
      </c>
      <c r="F184" s="2060"/>
      <c r="G184" s="230" t="s">
        <v>2094</v>
      </c>
      <c r="H184" s="1004"/>
      <c r="I184" s="1004"/>
      <c r="J184" s="1004"/>
      <c r="K184" s="2060"/>
      <c r="L184" s="230" t="s">
        <v>2095</v>
      </c>
      <c r="M184" s="1004"/>
      <c r="N184" s="1004"/>
      <c r="O184" s="1004"/>
      <c r="P184" s="2060"/>
      <c r="Q184" s="2060"/>
      <c r="R184" s="2060"/>
      <c r="S184" s="2060"/>
      <c r="T184" s="2060"/>
    </row>
    <row r="185" spans="1:20">
      <c r="A185" s="588"/>
      <c r="B185" s="588"/>
      <c r="C185" s="2060"/>
      <c r="D185" s="2060"/>
      <c r="E185" s="230" t="s">
        <v>2096</v>
      </c>
      <c r="F185" s="2060"/>
      <c r="G185" s="230" t="s">
        <v>2097</v>
      </c>
      <c r="H185" s="1004"/>
      <c r="I185" s="1004"/>
      <c r="J185" s="1004"/>
      <c r="K185" s="2060"/>
      <c r="L185" s="230" t="s">
        <v>2097</v>
      </c>
      <c r="M185" s="1004"/>
      <c r="N185" s="1004"/>
      <c r="O185" s="1004"/>
      <c r="P185" s="2060"/>
      <c r="Q185" s="2060"/>
      <c r="R185" s="2060"/>
      <c r="S185" s="2060"/>
      <c r="T185" s="2060"/>
    </row>
    <row r="186" spans="1:20">
      <c r="A186" s="588"/>
      <c r="B186" s="588"/>
      <c r="C186" s="2060"/>
      <c r="D186" s="2060"/>
      <c r="E186" s="230" t="s">
        <v>2098</v>
      </c>
      <c r="F186" s="2060"/>
      <c r="G186" s="230" t="s">
        <v>2099</v>
      </c>
      <c r="H186" s="1004"/>
      <c r="I186" s="1004"/>
      <c r="J186" s="1004"/>
      <c r="K186" s="2060"/>
      <c r="L186" s="230" t="s">
        <v>2100</v>
      </c>
      <c r="M186" s="1004"/>
      <c r="N186" s="1004"/>
      <c r="O186" s="1004"/>
      <c r="P186" s="2060"/>
      <c r="Q186" s="2060"/>
      <c r="R186" s="2060"/>
      <c r="S186" s="2060"/>
      <c r="T186" s="2060"/>
    </row>
    <row r="187" spans="1:20">
      <c r="A187" s="588"/>
      <c r="B187" s="588"/>
      <c r="C187" s="2060"/>
      <c r="D187" s="2060"/>
      <c r="E187" s="230" t="s">
        <v>2101</v>
      </c>
      <c r="F187" s="2060"/>
      <c r="G187" s="230" t="s">
        <v>2102</v>
      </c>
      <c r="H187" s="1004"/>
      <c r="I187" s="1004"/>
      <c r="J187" s="1004"/>
      <c r="K187" s="2060"/>
      <c r="L187" s="230" t="s">
        <v>2102</v>
      </c>
      <c r="M187" s="1004"/>
      <c r="N187" s="1004"/>
      <c r="O187" s="1004"/>
      <c r="P187" s="2060"/>
      <c r="Q187" s="2060"/>
      <c r="R187" s="2060"/>
      <c r="S187" s="2060"/>
      <c r="T187" s="2060"/>
    </row>
    <row r="188" spans="1:20">
      <c r="A188" s="588"/>
      <c r="B188" s="588"/>
      <c r="C188" s="2060"/>
      <c r="D188" s="2060"/>
      <c r="E188" s="230" t="s">
        <v>2103</v>
      </c>
      <c r="F188" s="2060"/>
      <c r="G188" s="230" t="s">
        <v>2104</v>
      </c>
      <c r="H188" s="1004"/>
      <c r="I188" s="1004"/>
      <c r="J188" s="1004"/>
      <c r="K188" s="2060"/>
      <c r="L188" s="230" t="s">
        <v>2105</v>
      </c>
      <c r="M188" s="1004"/>
      <c r="N188" s="1004"/>
      <c r="O188" s="1004"/>
      <c r="P188" s="2060"/>
      <c r="Q188" s="2060"/>
      <c r="R188" s="2060"/>
      <c r="S188" s="2060"/>
      <c r="T188" s="2060"/>
    </row>
    <row r="189" spans="1:20">
      <c r="A189" s="588"/>
      <c r="B189" s="588"/>
      <c r="C189" s="2060"/>
      <c r="D189" s="2060"/>
      <c r="E189" s="230" t="s">
        <v>2106</v>
      </c>
      <c r="F189" s="2060"/>
      <c r="G189" s="230" t="s">
        <v>2107</v>
      </c>
      <c r="H189" s="1004"/>
      <c r="I189" s="1004"/>
      <c r="J189" s="1004"/>
      <c r="K189" s="2060"/>
      <c r="L189" s="230" t="s">
        <v>2108</v>
      </c>
      <c r="M189" s="1004"/>
      <c r="N189" s="1004"/>
      <c r="O189" s="1004"/>
      <c r="P189" s="2060"/>
      <c r="Q189" s="2060"/>
      <c r="R189" s="2060"/>
      <c r="S189" s="2060"/>
      <c r="T189" s="2060"/>
    </row>
    <row r="190" spans="1:20">
      <c r="A190" s="588"/>
      <c r="B190" s="588"/>
      <c r="C190" s="2060"/>
      <c r="D190" s="2060"/>
      <c r="E190" s="230" t="s">
        <v>2109</v>
      </c>
      <c r="F190" s="2060"/>
      <c r="G190" s="230" t="s">
        <v>2110</v>
      </c>
      <c r="H190" s="1004"/>
      <c r="I190" s="1004"/>
      <c r="J190" s="1004"/>
      <c r="K190" s="2060"/>
      <c r="L190" s="230" t="s">
        <v>2111</v>
      </c>
      <c r="M190" s="1004"/>
      <c r="N190" s="1004"/>
      <c r="O190" s="1004"/>
      <c r="P190" s="2060"/>
      <c r="Q190" s="2060"/>
      <c r="R190" s="2060"/>
      <c r="S190" s="2060"/>
      <c r="T190" s="2060"/>
    </row>
    <row r="191" spans="1:20">
      <c r="A191" s="588"/>
      <c r="B191" s="588"/>
      <c r="C191" s="2060"/>
      <c r="D191" s="2060"/>
      <c r="E191" s="230" t="s">
        <v>2112</v>
      </c>
      <c r="F191" s="2060"/>
      <c r="G191" s="230" t="s">
        <v>2113</v>
      </c>
      <c r="H191" s="1004"/>
      <c r="I191" s="1004"/>
      <c r="J191" s="1004"/>
      <c r="K191" s="2060"/>
      <c r="L191" s="230" t="s">
        <v>2114</v>
      </c>
      <c r="M191" s="1004"/>
      <c r="N191" s="1004"/>
      <c r="O191" s="1004"/>
      <c r="P191" s="2060"/>
      <c r="Q191" s="2060"/>
      <c r="R191" s="2060"/>
      <c r="S191" s="2060"/>
      <c r="T191" s="2060"/>
    </row>
    <row r="192" spans="1:20">
      <c r="A192" s="588"/>
      <c r="B192" s="588"/>
      <c r="C192" s="2060"/>
      <c r="D192" s="2060"/>
      <c r="E192" s="230" t="s">
        <v>2115</v>
      </c>
      <c r="F192" s="2060"/>
      <c r="G192" s="230" t="s">
        <v>2116</v>
      </c>
      <c r="H192" s="1004"/>
      <c r="I192" s="1004"/>
      <c r="J192" s="1004"/>
      <c r="K192" s="2060"/>
      <c r="L192" s="230" t="s">
        <v>2117</v>
      </c>
      <c r="M192" s="1004"/>
      <c r="N192" s="1004"/>
      <c r="O192" s="1004"/>
      <c r="P192" s="2060"/>
      <c r="Q192" s="2060"/>
      <c r="R192" s="2060"/>
      <c r="S192" s="2060"/>
      <c r="T192" s="2060"/>
    </row>
    <row r="193" spans="1:20">
      <c r="A193" s="588"/>
      <c r="B193" s="588"/>
      <c r="C193" s="2060"/>
      <c r="D193" s="2060"/>
      <c r="E193" s="230" t="s">
        <v>2118</v>
      </c>
      <c r="F193" s="2060"/>
      <c r="G193" s="230" t="s">
        <v>2119</v>
      </c>
      <c r="H193" s="1004"/>
      <c r="I193" s="1004"/>
      <c r="J193" s="1004"/>
      <c r="K193" s="2060"/>
      <c r="L193" s="230" t="s">
        <v>2120</v>
      </c>
      <c r="M193" s="1004"/>
      <c r="N193" s="1004"/>
      <c r="O193" s="1004"/>
      <c r="P193" s="2060"/>
      <c r="Q193" s="2060"/>
      <c r="R193" s="2060"/>
      <c r="S193" s="2060"/>
      <c r="T193" s="2060"/>
    </row>
    <row r="194" spans="1:20">
      <c r="A194" s="588"/>
      <c r="B194" s="588"/>
      <c r="C194" s="2060"/>
      <c r="D194" s="2060"/>
      <c r="E194" s="230" t="s">
        <v>2121</v>
      </c>
      <c r="F194" s="2060"/>
      <c r="G194" s="230" t="s">
        <v>2122</v>
      </c>
      <c r="H194" s="1004"/>
      <c r="I194" s="1004"/>
      <c r="J194" s="1004"/>
      <c r="K194" s="2060"/>
      <c r="L194" s="230" t="s">
        <v>2123</v>
      </c>
      <c r="M194" s="1004"/>
      <c r="N194" s="1004"/>
      <c r="O194" s="1004"/>
      <c r="P194" s="2060"/>
      <c r="Q194" s="2060"/>
      <c r="R194" s="2060"/>
      <c r="S194" s="2060"/>
      <c r="T194" s="2060"/>
    </row>
    <row r="195" spans="1:20">
      <c r="A195" s="588"/>
      <c r="B195" s="588"/>
      <c r="C195" s="2060"/>
      <c r="D195" s="2060"/>
      <c r="E195" s="230" t="s">
        <v>2124</v>
      </c>
      <c r="F195" s="2060"/>
      <c r="G195" s="230" t="s">
        <v>2125</v>
      </c>
      <c r="H195" s="1004"/>
      <c r="I195" s="1004"/>
      <c r="J195" s="1004"/>
      <c r="K195" s="2060"/>
      <c r="L195" s="230" t="s">
        <v>2126</v>
      </c>
      <c r="M195" s="1004"/>
      <c r="N195" s="1004"/>
      <c r="O195" s="1004"/>
      <c r="P195" s="2060"/>
      <c r="Q195" s="2060"/>
      <c r="R195" s="2060"/>
      <c r="S195" s="2060"/>
      <c r="T195" s="2060"/>
    </row>
    <row r="196" spans="1:20">
      <c r="A196" s="588"/>
      <c r="B196" s="588"/>
      <c r="C196" s="2060"/>
      <c r="D196" s="2060"/>
      <c r="E196" s="230" t="s">
        <v>2127</v>
      </c>
      <c r="F196" s="2060"/>
      <c r="G196" s="230" t="s">
        <v>2128</v>
      </c>
      <c r="H196" s="1004"/>
      <c r="I196" s="1004"/>
      <c r="J196" s="1004"/>
      <c r="K196" s="2060"/>
      <c r="L196" s="230" t="s">
        <v>2129</v>
      </c>
      <c r="M196" s="1004"/>
      <c r="N196" s="1004"/>
      <c r="O196" s="1004"/>
      <c r="P196" s="2060"/>
      <c r="Q196" s="2060"/>
      <c r="R196" s="2060"/>
      <c r="S196" s="2060"/>
      <c r="T196" s="2060"/>
    </row>
    <row r="197" spans="1:20">
      <c r="A197" s="588"/>
      <c r="B197" s="588"/>
      <c r="C197" s="2060"/>
      <c r="D197" s="2060"/>
      <c r="E197" s="230" t="s">
        <v>2130</v>
      </c>
      <c r="F197" s="2060"/>
      <c r="G197" s="230" t="s">
        <v>2131</v>
      </c>
      <c r="H197" s="1004"/>
      <c r="I197" s="1004"/>
      <c r="J197" s="1004"/>
      <c r="K197" s="2060"/>
      <c r="L197" s="230" t="s">
        <v>2132</v>
      </c>
      <c r="M197" s="1004"/>
      <c r="N197" s="1004"/>
      <c r="O197" s="1004"/>
      <c r="P197" s="2060"/>
      <c r="Q197" s="2060"/>
      <c r="R197" s="2060"/>
      <c r="S197" s="2060"/>
      <c r="T197" s="2060"/>
    </row>
    <row r="198" spans="1:20">
      <c r="A198" s="588"/>
      <c r="B198" s="588"/>
      <c r="C198" s="2060"/>
      <c r="D198" s="2060"/>
      <c r="E198" s="230" t="s">
        <v>2133</v>
      </c>
      <c r="F198" s="2060"/>
      <c r="G198" s="230" t="s">
        <v>2134</v>
      </c>
      <c r="H198" s="1004"/>
      <c r="I198" s="1004"/>
      <c r="J198" s="1004"/>
      <c r="K198" s="2060"/>
      <c r="L198" s="230" t="s">
        <v>2135</v>
      </c>
      <c r="M198" s="1004"/>
      <c r="N198" s="1004"/>
      <c r="O198" s="1004"/>
      <c r="P198" s="2060"/>
      <c r="Q198" s="2060"/>
      <c r="R198" s="2060"/>
      <c r="S198" s="2060"/>
      <c r="T198" s="2060"/>
    </row>
    <row r="199" spans="1:20">
      <c r="A199" s="588"/>
      <c r="B199" s="588"/>
      <c r="C199" s="2060"/>
      <c r="D199" s="2060"/>
      <c r="E199" s="230" t="s">
        <v>2136</v>
      </c>
      <c r="F199" s="2060"/>
      <c r="G199" s="230" t="s">
        <v>2137</v>
      </c>
      <c r="H199" s="1004"/>
      <c r="I199" s="1004"/>
      <c r="J199" s="1004"/>
      <c r="K199" s="2060"/>
      <c r="L199" s="230" t="s">
        <v>2138</v>
      </c>
      <c r="M199" s="1004"/>
      <c r="N199" s="1004"/>
      <c r="O199" s="1004"/>
      <c r="P199" s="2060"/>
      <c r="Q199" s="2060"/>
      <c r="R199" s="2060"/>
      <c r="S199" s="2060"/>
      <c r="T199" s="2060"/>
    </row>
    <row r="200" spans="1:20">
      <c r="A200" s="588"/>
      <c r="B200" s="588"/>
      <c r="C200" s="2060"/>
      <c r="D200" s="2060"/>
      <c r="E200" s="230" t="s">
        <v>2139</v>
      </c>
      <c r="F200" s="2060"/>
      <c r="G200" s="230" t="s">
        <v>2140</v>
      </c>
      <c r="H200" s="1004"/>
      <c r="I200" s="1004"/>
      <c r="J200" s="1004"/>
      <c r="K200" s="2060"/>
      <c r="L200" s="230" t="s">
        <v>2141</v>
      </c>
      <c r="M200" s="1004"/>
      <c r="N200" s="1004"/>
      <c r="O200" s="1004"/>
      <c r="P200" s="2060"/>
      <c r="Q200" s="2060"/>
      <c r="R200" s="2060"/>
      <c r="S200" s="2060"/>
      <c r="T200" s="2060"/>
    </row>
    <row r="201" spans="1:20">
      <c r="A201" s="588"/>
      <c r="B201" s="588"/>
      <c r="C201" s="2060"/>
      <c r="D201" s="2060"/>
      <c r="E201" s="230" t="s">
        <v>2142</v>
      </c>
      <c r="F201" s="2060"/>
      <c r="G201" s="230" t="s">
        <v>2143</v>
      </c>
      <c r="H201" s="1004"/>
      <c r="I201" s="1004"/>
      <c r="J201" s="1004"/>
      <c r="K201" s="2060"/>
      <c r="L201" s="230" t="s">
        <v>2144</v>
      </c>
      <c r="M201" s="1004"/>
      <c r="N201" s="1004"/>
      <c r="O201" s="1004"/>
      <c r="P201" s="2060"/>
      <c r="Q201" s="2060"/>
      <c r="R201" s="2060"/>
      <c r="S201" s="2060"/>
      <c r="T201" s="2060"/>
    </row>
    <row r="202" spans="1:20">
      <c r="A202" s="588"/>
      <c r="B202" s="588"/>
      <c r="C202" s="2060"/>
      <c r="D202" s="2060"/>
      <c r="E202" s="230" t="s">
        <v>2145</v>
      </c>
      <c r="F202" s="2060"/>
      <c r="G202" s="230" t="s">
        <v>2146</v>
      </c>
      <c r="H202" s="1004"/>
      <c r="I202" s="1004"/>
      <c r="J202" s="1004"/>
      <c r="K202" s="2060"/>
      <c r="L202" s="230" t="s">
        <v>2147</v>
      </c>
      <c r="M202" s="1004"/>
      <c r="N202" s="1004"/>
      <c r="O202" s="1004"/>
      <c r="P202" s="2060"/>
      <c r="Q202" s="2060"/>
      <c r="R202" s="2060"/>
      <c r="S202" s="2060"/>
      <c r="T202" s="2060"/>
    </row>
    <row r="203" spans="1:20">
      <c r="A203" s="588"/>
      <c r="B203" s="588"/>
      <c r="C203" s="2060"/>
      <c r="D203" s="2060"/>
      <c r="E203" s="230" t="s">
        <v>2148</v>
      </c>
      <c r="F203" s="2060"/>
      <c r="G203" s="230" t="s">
        <v>2149</v>
      </c>
      <c r="H203" s="1004"/>
      <c r="I203" s="1004"/>
      <c r="J203" s="1004"/>
      <c r="K203" s="2060"/>
      <c r="L203" s="230" t="s">
        <v>2150</v>
      </c>
      <c r="M203" s="1004"/>
      <c r="N203" s="1004"/>
      <c r="O203" s="1004"/>
      <c r="P203" s="2060"/>
      <c r="Q203" s="2060"/>
      <c r="R203" s="2060"/>
      <c r="S203" s="2060"/>
      <c r="T203" s="2060"/>
    </row>
    <row r="204" spans="1:20">
      <c r="A204" s="588"/>
      <c r="B204" s="588"/>
      <c r="C204" s="2060"/>
      <c r="D204" s="2060"/>
      <c r="E204" s="230" t="s">
        <v>2151</v>
      </c>
      <c r="F204" s="2060"/>
      <c r="G204" s="230" t="s">
        <v>2152</v>
      </c>
      <c r="H204" s="1004"/>
      <c r="I204" s="1004"/>
      <c r="J204" s="1004"/>
      <c r="K204" s="2060"/>
      <c r="L204" s="230" t="s">
        <v>2153</v>
      </c>
      <c r="M204" s="1004"/>
      <c r="N204" s="1004"/>
      <c r="O204" s="1004"/>
      <c r="P204" s="2060"/>
      <c r="Q204" s="2060"/>
      <c r="R204" s="2060"/>
      <c r="S204" s="2060"/>
      <c r="T204" s="2060"/>
    </row>
    <row r="205" spans="1:20">
      <c r="A205" s="588"/>
      <c r="B205" s="588"/>
      <c r="C205" s="2060"/>
      <c r="D205" s="2060"/>
      <c r="E205" s="230" t="s">
        <v>2154</v>
      </c>
      <c r="F205" s="2060"/>
      <c r="G205" s="230" t="s">
        <v>2155</v>
      </c>
      <c r="H205" s="1004"/>
      <c r="I205" s="1004"/>
      <c r="J205" s="1004"/>
      <c r="K205" s="2060"/>
      <c r="L205" s="230" t="s">
        <v>2156</v>
      </c>
      <c r="M205" s="1004"/>
      <c r="N205" s="1004"/>
      <c r="O205" s="1004"/>
      <c r="P205" s="2060"/>
      <c r="Q205" s="2060"/>
      <c r="R205" s="2060"/>
      <c r="S205" s="2060"/>
      <c r="T205" s="2060"/>
    </row>
    <row r="206" spans="1:20">
      <c r="A206" s="588"/>
      <c r="B206" s="588"/>
      <c r="C206" s="2060"/>
      <c r="D206" s="2060"/>
      <c r="E206" s="230" t="s">
        <v>2157</v>
      </c>
      <c r="F206" s="2060"/>
      <c r="G206" s="230" t="s">
        <v>2158</v>
      </c>
      <c r="H206" s="1004"/>
      <c r="I206" s="1004"/>
      <c r="J206" s="1004"/>
      <c r="K206" s="2060"/>
      <c r="L206" s="230" t="s">
        <v>2159</v>
      </c>
      <c r="M206" s="1004"/>
      <c r="N206" s="1004"/>
      <c r="O206" s="1004"/>
      <c r="P206" s="2060"/>
      <c r="Q206" s="2060"/>
      <c r="R206" s="2060"/>
      <c r="S206" s="2060"/>
      <c r="T206" s="2060"/>
    </row>
    <row r="207" spans="1:20">
      <c r="A207" s="588"/>
      <c r="B207" s="588"/>
      <c r="C207" s="2060"/>
      <c r="D207" s="2060"/>
      <c r="E207" s="230" t="s">
        <v>2160</v>
      </c>
      <c r="F207" s="2060"/>
      <c r="G207" s="230" t="s">
        <v>2161</v>
      </c>
      <c r="H207" s="1004"/>
      <c r="I207" s="1004"/>
      <c r="J207" s="1004"/>
      <c r="K207" s="2060"/>
      <c r="L207" s="230" t="s">
        <v>2162</v>
      </c>
      <c r="M207" s="1004"/>
      <c r="N207" s="1004"/>
      <c r="O207" s="1004"/>
      <c r="P207" s="2060"/>
      <c r="Q207" s="2060"/>
      <c r="R207" s="2060"/>
      <c r="S207" s="2060"/>
      <c r="T207" s="2060"/>
    </row>
    <row r="208" spans="1:20">
      <c r="A208" s="588"/>
      <c r="B208" s="588"/>
      <c r="C208" s="2060"/>
      <c r="D208" s="2060"/>
      <c r="E208" s="230" t="s">
        <v>2163</v>
      </c>
      <c r="F208" s="2060"/>
      <c r="G208" s="230" t="s">
        <v>2164</v>
      </c>
      <c r="H208" s="1004"/>
      <c r="I208" s="1004"/>
      <c r="J208" s="1004"/>
      <c r="K208" s="2060"/>
      <c r="L208" s="230" t="s">
        <v>2165</v>
      </c>
      <c r="M208" s="1004"/>
      <c r="N208" s="1004"/>
      <c r="O208" s="1004"/>
      <c r="P208" s="2060"/>
      <c r="Q208" s="2060"/>
      <c r="R208" s="2060"/>
      <c r="S208" s="2060"/>
      <c r="T208" s="2060"/>
    </row>
    <row r="209" spans="1:20">
      <c r="A209" s="588"/>
      <c r="B209" s="588"/>
      <c r="C209" s="2060"/>
      <c r="D209" s="2060"/>
      <c r="E209" s="230" t="s">
        <v>2166</v>
      </c>
      <c r="F209" s="2060"/>
      <c r="G209" s="230" t="s">
        <v>2167</v>
      </c>
      <c r="H209" s="1004"/>
      <c r="I209" s="1004"/>
      <c r="J209" s="1004"/>
      <c r="K209" s="2060"/>
      <c r="L209" s="230" t="s">
        <v>2168</v>
      </c>
      <c r="M209" s="1004"/>
      <c r="N209" s="1004"/>
      <c r="O209" s="1004"/>
      <c r="P209" s="2060"/>
      <c r="Q209" s="2060"/>
      <c r="R209" s="2060"/>
      <c r="S209" s="2060"/>
      <c r="T209" s="2060"/>
    </row>
    <row r="210" spans="1:20">
      <c r="A210" s="588"/>
      <c r="B210" s="588"/>
      <c r="C210" s="2060"/>
      <c r="D210" s="2060"/>
      <c r="E210" s="230" t="s">
        <v>2169</v>
      </c>
      <c r="F210" s="2060"/>
      <c r="G210" s="230" t="s">
        <v>2170</v>
      </c>
      <c r="H210" s="1004"/>
      <c r="I210" s="1004"/>
      <c r="J210" s="1004"/>
      <c r="K210" s="2060"/>
      <c r="L210" s="230" t="s">
        <v>2171</v>
      </c>
      <c r="M210" s="1004"/>
      <c r="N210" s="1004"/>
      <c r="O210" s="1004"/>
      <c r="P210" s="2060"/>
      <c r="Q210" s="2060"/>
      <c r="R210" s="2060"/>
      <c r="S210" s="2060"/>
      <c r="T210" s="2060"/>
    </row>
    <row r="211" spans="1:20">
      <c r="A211" s="588"/>
      <c r="B211" s="588"/>
      <c r="C211" s="2060"/>
      <c r="D211" s="2060"/>
      <c r="E211" s="230" t="s">
        <v>2172</v>
      </c>
      <c r="F211" s="2060"/>
      <c r="G211" s="230" t="s">
        <v>2173</v>
      </c>
      <c r="H211" s="1004"/>
      <c r="I211" s="1004"/>
      <c r="J211" s="1004"/>
      <c r="K211" s="2060"/>
      <c r="L211" s="230" t="s">
        <v>2174</v>
      </c>
      <c r="M211" s="1004"/>
      <c r="N211" s="1004"/>
      <c r="O211" s="1004"/>
      <c r="P211" s="2060"/>
      <c r="Q211" s="2060"/>
      <c r="R211" s="2060"/>
      <c r="S211" s="2060"/>
      <c r="T211" s="2060"/>
    </row>
    <row r="212" spans="1:20">
      <c r="A212" s="588"/>
      <c r="B212" s="588"/>
      <c r="C212" s="2060"/>
      <c r="D212" s="2060"/>
      <c r="E212" s="230" t="s">
        <v>2175</v>
      </c>
      <c r="F212" s="2060"/>
      <c r="G212" s="230" t="s">
        <v>2176</v>
      </c>
      <c r="H212" s="1004"/>
      <c r="I212" s="1004"/>
      <c r="J212" s="1004"/>
      <c r="K212" s="2060"/>
      <c r="L212" s="230" t="s">
        <v>2177</v>
      </c>
      <c r="M212" s="1004"/>
      <c r="N212" s="1004"/>
      <c r="O212" s="1004"/>
      <c r="P212" s="2060"/>
      <c r="Q212" s="2060"/>
      <c r="R212" s="2060"/>
      <c r="S212" s="2060"/>
      <c r="T212" s="2060"/>
    </row>
    <row r="213" spans="1:20">
      <c r="A213" s="588"/>
      <c r="B213" s="588"/>
      <c r="C213" s="2060"/>
      <c r="D213" s="2060"/>
      <c r="E213" s="230" t="s">
        <v>2178</v>
      </c>
      <c r="F213" s="2060"/>
      <c r="G213" s="230" t="s">
        <v>2179</v>
      </c>
      <c r="H213" s="1004"/>
      <c r="I213" s="1004"/>
      <c r="J213" s="1004"/>
      <c r="K213" s="2060"/>
      <c r="L213" s="230" t="s">
        <v>2180</v>
      </c>
      <c r="M213" s="1004"/>
      <c r="N213" s="1004"/>
      <c r="O213" s="1004"/>
      <c r="P213" s="2060"/>
      <c r="Q213" s="2060"/>
      <c r="R213" s="2060"/>
      <c r="S213" s="2060"/>
      <c r="T213" s="2060"/>
    </row>
    <row r="214" spans="1:20">
      <c r="A214" s="588"/>
      <c r="B214" s="588"/>
      <c r="C214" s="2060"/>
      <c r="D214" s="2060"/>
      <c r="E214" s="230" t="s">
        <v>2181</v>
      </c>
      <c r="F214" s="2060"/>
      <c r="G214" s="230" t="s">
        <v>2182</v>
      </c>
      <c r="H214" s="1004"/>
      <c r="I214" s="1004"/>
      <c r="J214" s="1004"/>
      <c r="K214" s="2060"/>
      <c r="L214" s="230" t="s">
        <v>2183</v>
      </c>
      <c r="M214" s="1004"/>
      <c r="N214" s="1004"/>
      <c r="O214" s="1004"/>
      <c r="P214" s="2060"/>
      <c r="Q214" s="2060"/>
      <c r="R214" s="2060"/>
      <c r="S214" s="2060"/>
      <c r="T214" s="2060"/>
    </row>
    <row r="215" spans="1:20">
      <c r="A215" s="588"/>
      <c r="B215" s="588"/>
      <c r="C215" s="2060"/>
      <c r="D215" s="2060"/>
      <c r="E215" s="230" t="s">
        <v>2184</v>
      </c>
      <c r="F215" s="2060"/>
      <c r="G215" s="230" t="s">
        <v>2185</v>
      </c>
      <c r="H215" s="1004"/>
      <c r="I215" s="1004"/>
      <c r="J215" s="1004"/>
      <c r="K215" s="2060"/>
      <c r="L215" s="230" t="s">
        <v>2186</v>
      </c>
      <c r="M215" s="1004"/>
      <c r="N215" s="1004"/>
      <c r="O215" s="1004"/>
      <c r="P215" s="2060"/>
      <c r="Q215" s="2060"/>
      <c r="R215" s="2060"/>
      <c r="S215" s="2060"/>
      <c r="T215" s="2060"/>
    </row>
    <row r="216" spans="1:20">
      <c r="A216" s="588"/>
      <c r="B216" s="588"/>
      <c r="C216" s="2060"/>
      <c r="D216" s="2060"/>
      <c r="E216" s="230" t="s">
        <v>2187</v>
      </c>
      <c r="F216" s="2060"/>
      <c r="G216" s="230" t="s">
        <v>2188</v>
      </c>
      <c r="H216" s="1004"/>
      <c r="I216" s="1004"/>
      <c r="J216" s="1004"/>
      <c r="K216" s="2060"/>
      <c r="L216" s="230" t="s">
        <v>2189</v>
      </c>
      <c r="M216" s="1004"/>
      <c r="N216" s="1004"/>
      <c r="O216" s="1004"/>
      <c r="P216" s="2060"/>
      <c r="Q216" s="2060"/>
      <c r="R216" s="2060"/>
      <c r="S216" s="2060"/>
      <c r="T216" s="2060"/>
    </row>
    <row r="217" spans="1:20">
      <c r="A217" s="588"/>
      <c r="B217" s="588"/>
      <c r="C217" s="2060"/>
      <c r="D217" s="2060"/>
      <c r="E217" s="230" t="s">
        <v>2190</v>
      </c>
      <c r="F217" s="2060"/>
      <c r="G217" s="230" t="s">
        <v>2191</v>
      </c>
      <c r="H217" s="1004"/>
      <c r="I217" s="1004"/>
      <c r="J217" s="1004"/>
      <c r="K217" s="2060"/>
      <c r="L217" s="230" t="s">
        <v>2192</v>
      </c>
      <c r="M217" s="1004"/>
      <c r="N217" s="1004"/>
      <c r="O217" s="1004"/>
      <c r="P217" s="2060"/>
      <c r="Q217" s="2060"/>
      <c r="R217" s="2060"/>
      <c r="S217" s="2060"/>
      <c r="T217" s="2060"/>
    </row>
    <row r="218" spans="1:20">
      <c r="A218" s="588"/>
      <c r="B218" s="588"/>
      <c r="C218" s="2060"/>
      <c r="D218" s="2060"/>
      <c r="E218" s="230" t="s">
        <v>2193</v>
      </c>
      <c r="F218" s="2060"/>
      <c r="G218" s="230" t="s">
        <v>2194</v>
      </c>
      <c r="H218" s="1004"/>
      <c r="I218" s="1004"/>
      <c r="J218" s="1004"/>
      <c r="K218" s="2060"/>
      <c r="L218" s="230" t="s">
        <v>2195</v>
      </c>
      <c r="M218" s="1004"/>
      <c r="N218" s="1004"/>
      <c r="O218" s="1004"/>
      <c r="P218" s="2060"/>
      <c r="Q218" s="2060"/>
      <c r="R218" s="2060"/>
      <c r="S218" s="2060"/>
      <c r="T218" s="2060"/>
    </row>
    <row r="219" spans="1:20">
      <c r="A219" s="588"/>
      <c r="B219" s="588"/>
      <c r="C219" s="2060"/>
      <c r="D219" s="2060"/>
      <c r="E219" s="230" t="s">
        <v>2196</v>
      </c>
      <c r="F219" s="2060"/>
      <c r="G219" s="230" t="s">
        <v>2197</v>
      </c>
      <c r="H219" s="1004"/>
      <c r="I219" s="1004"/>
      <c r="J219" s="1004"/>
      <c r="K219" s="2060"/>
      <c r="L219" s="230" t="s">
        <v>2197</v>
      </c>
      <c r="M219" s="1004"/>
      <c r="N219" s="1004"/>
      <c r="O219" s="1004"/>
      <c r="P219" s="2060"/>
      <c r="Q219" s="2060"/>
      <c r="R219" s="2060"/>
      <c r="S219" s="2060"/>
      <c r="T219" s="2060"/>
    </row>
    <row r="220" spans="1:20">
      <c r="A220" s="588"/>
      <c r="B220" s="588"/>
      <c r="C220" s="2060"/>
      <c r="D220" s="2060"/>
      <c r="E220" s="230" t="s">
        <v>2198</v>
      </c>
      <c r="F220" s="2060"/>
      <c r="G220" s="230" t="s">
        <v>2199</v>
      </c>
      <c r="H220" s="1004"/>
      <c r="I220" s="1004"/>
      <c r="J220" s="1004"/>
      <c r="K220" s="2060"/>
      <c r="L220" s="230" t="s">
        <v>2200</v>
      </c>
      <c r="M220" s="1004"/>
      <c r="N220" s="1004"/>
      <c r="O220" s="1004"/>
      <c r="P220" s="2060"/>
      <c r="Q220" s="2060"/>
      <c r="R220" s="2060"/>
      <c r="S220" s="2060"/>
      <c r="T220" s="2060"/>
    </row>
    <row r="221" spans="1:20">
      <c r="A221" s="588"/>
      <c r="B221" s="588"/>
      <c r="C221" s="2060"/>
      <c r="D221" s="2060"/>
      <c r="E221" s="230" t="s">
        <v>2201</v>
      </c>
      <c r="F221" s="2060"/>
      <c r="G221" s="230" t="s">
        <v>2202</v>
      </c>
      <c r="H221" s="1004"/>
      <c r="I221" s="1004"/>
      <c r="J221" s="1004"/>
      <c r="K221" s="2060"/>
      <c r="L221" s="230" t="s">
        <v>2203</v>
      </c>
      <c r="M221" s="1004"/>
      <c r="N221" s="1004"/>
      <c r="O221" s="1004"/>
      <c r="P221" s="2060"/>
      <c r="Q221" s="2060"/>
      <c r="R221" s="2060"/>
      <c r="S221" s="2060"/>
      <c r="T221" s="2060"/>
    </row>
    <row r="222" spans="1:20">
      <c r="A222" s="588"/>
      <c r="B222" s="588"/>
      <c r="C222" s="2060"/>
      <c r="D222" s="2060"/>
      <c r="E222" s="230" t="s">
        <v>2204</v>
      </c>
      <c r="F222" s="2060"/>
      <c r="G222" s="230" t="s">
        <v>2205</v>
      </c>
      <c r="H222" s="1004"/>
      <c r="I222" s="1004"/>
      <c r="J222" s="1004"/>
      <c r="K222" s="2060"/>
      <c r="L222" s="230" t="s">
        <v>2206</v>
      </c>
      <c r="M222" s="1004"/>
      <c r="N222" s="1004"/>
      <c r="O222" s="1004"/>
      <c r="P222" s="2060"/>
      <c r="Q222" s="2060"/>
      <c r="R222" s="2060"/>
      <c r="S222" s="2060"/>
      <c r="T222" s="2060"/>
    </row>
    <row r="223" spans="1:20">
      <c r="A223" s="588"/>
      <c r="B223" s="588"/>
      <c r="C223" s="2060"/>
      <c r="D223" s="2060"/>
      <c r="E223" s="230" t="s">
        <v>2207</v>
      </c>
      <c r="F223" s="2060"/>
      <c r="G223" s="230" t="s">
        <v>2208</v>
      </c>
      <c r="H223" s="1004"/>
      <c r="I223" s="1004"/>
      <c r="J223" s="1004"/>
      <c r="K223" s="2060"/>
      <c r="L223" s="230" t="s">
        <v>2209</v>
      </c>
      <c r="M223" s="1004"/>
      <c r="N223" s="1004"/>
      <c r="O223" s="1004"/>
      <c r="P223" s="2060"/>
      <c r="Q223" s="2060"/>
      <c r="R223" s="2060"/>
      <c r="S223" s="2060"/>
      <c r="T223" s="2060"/>
    </row>
    <row r="224" spans="1:20">
      <c r="A224" s="588"/>
      <c r="B224" s="588"/>
      <c r="C224" s="2060"/>
      <c r="D224" s="2060"/>
      <c r="E224" s="230" t="s">
        <v>2210</v>
      </c>
      <c r="F224" s="2060"/>
      <c r="G224" s="230" t="s">
        <v>2211</v>
      </c>
      <c r="H224" s="1004"/>
      <c r="I224" s="1004"/>
      <c r="J224" s="1004"/>
      <c r="K224" s="2060"/>
      <c r="L224" s="230" t="s">
        <v>2212</v>
      </c>
      <c r="M224" s="1004"/>
      <c r="N224" s="1004"/>
      <c r="O224" s="1004"/>
      <c r="P224" s="2060"/>
      <c r="Q224" s="2060"/>
      <c r="R224" s="2060"/>
      <c r="S224" s="2060"/>
      <c r="T224" s="2060"/>
    </row>
    <row r="225" spans="1:20">
      <c r="A225" s="588"/>
      <c r="B225" s="588"/>
      <c r="C225" s="2060"/>
      <c r="D225" s="2060"/>
      <c r="E225" s="230" t="s">
        <v>2213</v>
      </c>
      <c r="F225" s="2060"/>
      <c r="G225" s="230" t="s">
        <v>2214</v>
      </c>
      <c r="H225" s="1004"/>
      <c r="I225" s="1004"/>
      <c r="J225" s="1004"/>
      <c r="K225" s="2060"/>
      <c r="L225" s="230" t="s">
        <v>2215</v>
      </c>
      <c r="M225" s="1004"/>
      <c r="N225" s="1004"/>
      <c r="O225" s="1004"/>
      <c r="P225" s="2060"/>
      <c r="Q225" s="2060"/>
      <c r="R225" s="2060"/>
      <c r="S225" s="2060"/>
      <c r="T225" s="2060"/>
    </row>
    <row r="226" spans="1:20">
      <c r="A226" s="588"/>
      <c r="B226" s="588"/>
      <c r="C226" s="2060"/>
      <c r="D226" s="2060"/>
      <c r="E226" s="230" t="s">
        <v>2216</v>
      </c>
      <c r="F226" s="2060"/>
      <c r="G226" s="230" t="s">
        <v>2217</v>
      </c>
      <c r="H226" s="1004"/>
      <c r="I226" s="1004"/>
      <c r="J226" s="1004"/>
      <c r="K226" s="2060"/>
      <c r="L226" s="230" t="s">
        <v>2218</v>
      </c>
      <c r="M226" s="1004"/>
      <c r="N226" s="1004"/>
      <c r="O226" s="1004"/>
      <c r="P226" s="2060"/>
      <c r="Q226" s="2060"/>
      <c r="R226" s="2060"/>
      <c r="S226" s="2060"/>
      <c r="T226" s="2060"/>
    </row>
    <row r="227" spans="1:20">
      <c r="A227" s="588"/>
      <c r="B227" s="588"/>
      <c r="C227" s="2060"/>
      <c r="D227" s="2060"/>
      <c r="E227" s="230" t="s">
        <v>2219</v>
      </c>
      <c r="F227" s="2060"/>
      <c r="G227" s="230" t="s">
        <v>2220</v>
      </c>
      <c r="H227" s="1004"/>
      <c r="I227" s="1004"/>
      <c r="J227" s="1004"/>
      <c r="K227" s="2060"/>
      <c r="L227" s="230" t="s">
        <v>2221</v>
      </c>
      <c r="M227" s="1004"/>
      <c r="N227" s="1004"/>
      <c r="O227" s="1004"/>
      <c r="P227" s="2060"/>
      <c r="Q227" s="2060"/>
      <c r="R227" s="2060"/>
      <c r="S227" s="2060"/>
      <c r="T227" s="2060"/>
    </row>
    <row r="228" spans="1:20">
      <c r="A228" s="588"/>
      <c r="B228" s="588"/>
      <c r="C228" s="2060"/>
      <c r="D228" s="2060"/>
      <c r="E228" s="230" t="s">
        <v>2222</v>
      </c>
      <c r="F228" s="2060"/>
      <c r="G228" s="230" t="s">
        <v>2223</v>
      </c>
      <c r="H228" s="1004"/>
      <c r="I228" s="1004"/>
      <c r="J228" s="1004"/>
      <c r="K228" s="2060"/>
      <c r="L228" s="230" t="s">
        <v>2224</v>
      </c>
      <c r="M228" s="1004"/>
      <c r="N228" s="1004"/>
      <c r="O228" s="1004"/>
      <c r="P228" s="2060"/>
      <c r="Q228" s="2060"/>
      <c r="R228" s="2060"/>
      <c r="S228" s="2060"/>
      <c r="T228" s="2060"/>
    </row>
    <row r="229" spans="1:20">
      <c r="A229" s="588"/>
      <c r="B229" s="588"/>
      <c r="C229" s="2060"/>
      <c r="D229" s="2060"/>
      <c r="E229" s="230" t="s">
        <v>2225</v>
      </c>
      <c r="F229" s="2060"/>
      <c r="G229" s="230" t="s">
        <v>2226</v>
      </c>
      <c r="H229" s="1004"/>
      <c r="I229" s="1004"/>
      <c r="J229" s="1004"/>
      <c r="K229" s="2060"/>
      <c r="L229" s="230" t="s">
        <v>2227</v>
      </c>
      <c r="M229" s="1004"/>
      <c r="N229" s="1004"/>
      <c r="O229" s="1004"/>
      <c r="P229" s="2060"/>
      <c r="Q229" s="2060"/>
      <c r="R229" s="2060"/>
      <c r="S229" s="2060"/>
      <c r="T229" s="2060"/>
    </row>
    <row r="230" spans="1:20">
      <c r="A230" s="588"/>
      <c r="B230" s="588"/>
      <c r="C230" s="2060"/>
      <c r="D230" s="2060"/>
      <c r="E230" s="230" t="s">
        <v>2228</v>
      </c>
      <c r="F230" s="2060"/>
      <c r="G230" s="230" t="s">
        <v>2229</v>
      </c>
      <c r="H230" s="1004"/>
      <c r="I230" s="1004"/>
      <c r="J230" s="1004"/>
      <c r="K230" s="2060"/>
      <c r="L230" s="230" t="s">
        <v>2230</v>
      </c>
      <c r="M230" s="1004"/>
      <c r="N230" s="1004"/>
      <c r="O230" s="1004"/>
      <c r="P230" s="2060"/>
      <c r="Q230" s="2060"/>
      <c r="R230" s="2060"/>
      <c r="S230" s="2060"/>
      <c r="T230" s="2060"/>
    </row>
    <row r="231" spans="1:20">
      <c r="A231" s="588"/>
      <c r="B231" s="588"/>
      <c r="C231" s="2060"/>
      <c r="D231" s="2060"/>
      <c r="E231" s="230" t="s">
        <v>2231</v>
      </c>
      <c r="F231" s="2060"/>
      <c r="G231" s="230" t="s">
        <v>2232</v>
      </c>
      <c r="H231" s="1004"/>
      <c r="I231" s="1004"/>
      <c r="J231" s="1004"/>
      <c r="K231" s="2060"/>
      <c r="L231" s="230" t="s">
        <v>2233</v>
      </c>
      <c r="M231" s="1004"/>
      <c r="N231" s="1004"/>
      <c r="O231" s="1004"/>
      <c r="P231" s="2060"/>
      <c r="Q231" s="2060"/>
      <c r="R231" s="2060"/>
      <c r="S231" s="2060"/>
      <c r="T231" s="2060"/>
    </row>
    <row r="232" spans="1:20">
      <c r="A232" s="588"/>
      <c r="B232" s="588"/>
      <c r="C232" s="2060"/>
      <c r="D232" s="2060"/>
      <c r="E232" s="230" t="s">
        <v>2234</v>
      </c>
      <c r="F232" s="2060"/>
      <c r="G232" s="230" t="s">
        <v>2235</v>
      </c>
      <c r="H232" s="1004"/>
      <c r="I232" s="1004"/>
      <c r="J232" s="1004"/>
      <c r="K232" s="2060"/>
      <c r="L232" s="230" t="s">
        <v>2235</v>
      </c>
      <c r="M232" s="1004"/>
      <c r="N232" s="1004"/>
      <c r="O232" s="1004"/>
      <c r="P232" s="2060"/>
      <c r="Q232" s="2060"/>
      <c r="R232" s="2060"/>
      <c r="S232" s="2060"/>
      <c r="T232" s="2060"/>
    </row>
    <row r="233" spans="1:20">
      <c r="A233" s="588"/>
      <c r="B233" s="588"/>
      <c r="C233" s="2060"/>
      <c r="D233" s="2060"/>
      <c r="E233" s="230" t="s">
        <v>2236</v>
      </c>
      <c r="F233" s="2060"/>
      <c r="G233" s="230" t="s">
        <v>2237</v>
      </c>
      <c r="H233" s="1004"/>
      <c r="I233" s="1004"/>
      <c r="J233" s="1004"/>
      <c r="K233" s="2060"/>
      <c r="L233" s="230" t="s">
        <v>2237</v>
      </c>
      <c r="M233" s="1004"/>
      <c r="N233" s="1004"/>
      <c r="O233" s="1004"/>
      <c r="P233" s="2060"/>
      <c r="Q233" s="2060"/>
      <c r="R233" s="2060"/>
      <c r="S233" s="2060"/>
      <c r="T233" s="2060"/>
    </row>
    <row r="234" spans="1:20">
      <c r="A234" s="588"/>
      <c r="B234" s="588"/>
      <c r="C234" s="2060"/>
      <c r="D234" s="2060"/>
      <c r="E234" s="230" t="s">
        <v>2238</v>
      </c>
      <c r="F234" s="2060"/>
      <c r="G234" s="230" t="s">
        <v>2239</v>
      </c>
      <c r="H234" s="1004"/>
      <c r="I234" s="1004"/>
      <c r="J234" s="1004"/>
      <c r="K234" s="2060"/>
      <c r="L234" s="230" t="s">
        <v>2239</v>
      </c>
      <c r="M234" s="1004"/>
      <c r="N234" s="1004"/>
      <c r="O234" s="1004"/>
      <c r="P234" s="2060"/>
      <c r="Q234" s="2060"/>
      <c r="R234" s="2060"/>
      <c r="S234" s="2060"/>
      <c r="T234" s="2060"/>
    </row>
    <row r="235" spans="1:20">
      <c r="A235" s="588"/>
      <c r="B235" s="588"/>
      <c r="C235" s="2060"/>
      <c r="D235" s="2060"/>
      <c r="E235" s="230" t="s">
        <v>2240</v>
      </c>
      <c r="F235" s="2060"/>
      <c r="G235" s="230" t="s">
        <v>2241</v>
      </c>
      <c r="H235" s="1004"/>
      <c r="I235" s="1004"/>
      <c r="J235" s="1004"/>
      <c r="K235" s="2060"/>
      <c r="L235" s="230" t="s">
        <v>2241</v>
      </c>
      <c r="M235" s="1004"/>
      <c r="N235" s="1004"/>
      <c r="O235" s="1004"/>
      <c r="P235" s="2060"/>
      <c r="Q235" s="2060"/>
      <c r="R235" s="2060"/>
      <c r="S235" s="2060"/>
      <c r="T235" s="2060"/>
    </row>
    <row r="236" spans="1:20">
      <c r="A236" s="588"/>
      <c r="B236" s="588"/>
      <c r="C236" s="2060"/>
      <c r="D236" s="2060"/>
      <c r="E236" s="230" t="s">
        <v>2242</v>
      </c>
      <c r="F236" s="2060"/>
      <c r="G236" s="230" t="s">
        <v>2243</v>
      </c>
      <c r="H236" s="1004"/>
      <c r="I236" s="1004"/>
      <c r="J236" s="1004"/>
      <c r="K236" s="2060"/>
      <c r="L236" s="230" t="s">
        <v>2243</v>
      </c>
      <c r="M236" s="1004"/>
      <c r="N236" s="1004"/>
      <c r="O236" s="1004"/>
      <c r="P236" s="2060"/>
      <c r="Q236" s="2060"/>
      <c r="R236" s="2060"/>
      <c r="S236" s="2060"/>
      <c r="T236" s="2060"/>
    </row>
    <row r="237" spans="1:20">
      <c r="A237" s="588"/>
      <c r="B237" s="588"/>
      <c r="C237" s="2060"/>
      <c r="D237" s="2060"/>
      <c r="E237" s="230" t="s">
        <v>2244</v>
      </c>
      <c r="F237" s="2060"/>
      <c r="G237" s="230" t="s">
        <v>2245</v>
      </c>
      <c r="H237" s="1004"/>
      <c r="I237" s="1004"/>
      <c r="J237" s="1004"/>
      <c r="K237" s="2060"/>
      <c r="L237" s="230" t="s">
        <v>2246</v>
      </c>
      <c r="M237" s="1004"/>
      <c r="N237" s="1004"/>
      <c r="O237" s="1004"/>
      <c r="P237" s="2060"/>
      <c r="Q237" s="2060"/>
      <c r="R237" s="2060"/>
      <c r="S237" s="2060"/>
      <c r="T237" s="2060"/>
    </row>
    <row r="238" spans="1:20">
      <c r="A238" s="588"/>
      <c r="B238" s="588"/>
      <c r="C238" s="2060"/>
      <c r="D238" s="2060"/>
      <c r="E238" s="230" t="s">
        <v>2247</v>
      </c>
      <c r="F238" s="2060"/>
      <c r="G238" s="230" t="s">
        <v>2248</v>
      </c>
      <c r="H238" s="1004"/>
      <c r="I238" s="1004"/>
      <c r="J238" s="1004"/>
      <c r="K238" s="2060"/>
      <c r="L238" s="230" t="s">
        <v>2249</v>
      </c>
      <c r="M238" s="1004"/>
      <c r="N238" s="1004"/>
      <c r="O238" s="1004"/>
      <c r="P238" s="2060"/>
      <c r="Q238" s="2060"/>
      <c r="R238" s="2060"/>
      <c r="S238" s="2060"/>
      <c r="T238" s="2060"/>
    </row>
    <row r="239" spans="1:20">
      <c r="A239" s="588"/>
      <c r="B239" s="588"/>
      <c r="C239" s="2060"/>
      <c r="D239" s="2060"/>
      <c r="E239" s="230" t="s">
        <v>2250</v>
      </c>
      <c r="F239" s="2060"/>
      <c r="G239" s="230" t="s">
        <v>2251</v>
      </c>
      <c r="H239" s="1004"/>
      <c r="I239" s="1004"/>
      <c r="J239" s="1004"/>
      <c r="K239" s="2060"/>
      <c r="L239" s="230" t="s">
        <v>2252</v>
      </c>
      <c r="M239" s="1004"/>
      <c r="N239" s="1004"/>
      <c r="O239" s="1004"/>
      <c r="P239" s="2060"/>
      <c r="Q239" s="2060"/>
      <c r="R239" s="2060"/>
      <c r="S239" s="2060"/>
      <c r="T239" s="2060"/>
    </row>
    <row r="240" spans="1:20">
      <c r="A240" s="588"/>
      <c r="B240" s="588"/>
      <c r="C240" s="2060"/>
      <c r="D240" s="2060"/>
      <c r="E240" s="230" t="s">
        <v>2253</v>
      </c>
      <c r="F240" s="2060"/>
      <c r="G240" s="230" t="s">
        <v>2254</v>
      </c>
      <c r="H240" s="1004"/>
      <c r="I240" s="1004"/>
      <c r="J240" s="1004"/>
      <c r="K240" s="2060"/>
      <c r="L240" s="230" t="s">
        <v>2255</v>
      </c>
      <c r="M240" s="1004"/>
      <c r="N240" s="1004"/>
      <c r="O240" s="1004"/>
      <c r="P240" s="2060"/>
      <c r="Q240" s="2060"/>
      <c r="R240" s="2060"/>
      <c r="S240" s="2060"/>
      <c r="T240" s="2060"/>
    </row>
    <row r="241" spans="1:20">
      <c r="A241" s="588"/>
      <c r="B241" s="588"/>
      <c r="C241" s="2060"/>
      <c r="D241" s="2060"/>
      <c r="E241" s="230" t="s">
        <v>2256</v>
      </c>
      <c r="F241" s="2060"/>
      <c r="G241" s="230" t="s">
        <v>2257</v>
      </c>
      <c r="H241" s="1004"/>
      <c r="I241" s="1004"/>
      <c r="J241" s="1004"/>
      <c r="K241" s="2060"/>
      <c r="L241" s="230" t="s">
        <v>2258</v>
      </c>
      <c r="M241" s="1004"/>
      <c r="N241" s="1004"/>
      <c r="O241" s="1004"/>
      <c r="P241" s="2060"/>
      <c r="Q241" s="2060"/>
      <c r="R241" s="2060"/>
      <c r="S241" s="2060"/>
      <c r="T241" s="2060"/>
    </row>
    <row r="242" spans="1:20">
      <c r="A242" s="588"/>
      <c r="B242" s="588"/>
      <c r="C242" s="2060"/>
      <c r="D242" s="2060"/>
      <c r="E242" s="230" t="s">
        <v>2259</v>
      </c>
      <c r="F242" s="2060"/>
      <c r="G242" s="230" t="s">
        <v>2260</v>
      </c>
      <c r="H242" s="1004"/>
      <c r="I242" s="1004"/>
      <c r="J242" s="1004"/>
      <c r="K242" s="2060"/>
      <c r="L242" s="230" t="s">
        <v>2261</v>
      </c>
      <c r="M242" s="1004"/>
      <c r="N242" s="1004"/>
      <c r="O242" s="1004"/>
      <c r="P242" s="2060"/>
      <c r="Q242" s="2060"/>
      <c r="R242" s="2060"/>
      <c r="S242" s="2060"/>
      <c r="T242" s="2060"/>
    </row>
    <row r="243" spans="1:20">
      <c r="A243" s="588"/>
      <c r="B243" s="588"/>
      <c r="C243" s="2060"/>
      <c r="D243" s="2060"/>
      <c r="E243" s="230" t="s">
        <v>2262</v>
      </c>
      <c r="F243" s="2060"/>
      <c r="G243" s="230" t="s">
        <v>2263</v>
      </c>
      <c r="H243" s="1004"/>
      <c r="I243" s="1004"/>
      <c r="J243" s="1004"/>
      <c r="K243" s="2060"/>
      <c r="L243" s="230" t="s">
        <v>2264</v>
      </c>
      <c r="M243" s="1004"/>
      <c r="N243" s="1004"/>
      <c r="O243" s="1004"/>
      <c r="P243" s="2060"/>
      <c r="Q243" s="2060"/>
      <c r="R243" s="2060"/>
      <c r="S243" s="2060"/>
      <c r="T243" s="2060"/>
    </row>
    <row r="244" spans="1:20">
      <c r="A244" s="588"/>
      <c r="B244" s="588"/>
      <c r="C244" s="2060"/>
      <c r="D244" s="2060"/>
      <c r="E244" s="230" t="s">
        <v>2265</v>
      </c>
      <c r="F244" s="2060"/>
      <c r="G244" s="230" t="s">
        <v>2266</v>
      </c>
      <c r="H244" s="1004"/>
      <c r="I244" s="1004"/>
      <c r="J244" s="1004"/>
      <c r="K244" s="2060"/>
      <c r="L244" s="230" t="s">
        <v>2266</v>
      </c>
      <c r="M244" s="1004"/>
      <c r="N244" s="1004"/>
      <c r="O244" s="1004"/>
      <c r="P244" s="2060"/>
      <c r="Q244" s="2060"/>
      <c r="R244" s="2060"/>
      <c r="S244" s="2060"/>
      <c r="T244" s="2060"/>
    </row>
    <row r="245" spans="1:20">
      <c r="A245" s="588"/>
      <c r="B245" s="588"/>
      <c r="C245" s="2060"/>
      <c r="D245" s="2060"/>
      <c r="E245" s="230" t="s">
        <v>2267</v>
      </c>
      <c r="F245" s="2060"/>
      <c r="G245" s="230" t="s">
        <v>2268</v>
      </c>
      <c r="H245" s="1004"/>
      <c r="I245" s="1004"/>
      <c r="J245" s="1004"/>
      <c r="K245" s="2060"/>
      <c r="L245" s="230" t="s">
        <v>2269</v>
      </c>
      <c r="M245" s="1004"/>
      <c r="N245" s="1004"/>
      <c r="O245" s="1004"/>
      <c r="P245" s="2060"/>
      <c r="Q245" s="2060"/>
      <c r="R245" s="2060"/>
      <c r="S245" s="2060"/>
      <c r="T245" s="2060"/>
    </row>
    <row r="246" spans="1:20">
      <c r="A246" s="588"/>
      <c r="B246" s="588"/>
      <c r="C246" s="2060"/>
      <c r="D246" s="2060"/>
      <c r="E246" s="230" t="s">
        <v>2270</v>
      </c>
      <c r="F246" s="2060"/>
      <c r="G246" s="230" t="s">
        <v>2271</v>
      </c>
      <c r="H246" s="1004"/>
      <c r="I246" s="1004"/>
      <c r="J246" s="1004"/>
      <c r="K246" s="2060"/>
      <c r="L246" s="230" t="s">
        <v>2272</v>
      </c>
      <c r="M246" s="1004"/>
      <c r="N246" s="1004"/>
      <c r="O246" s="1004"/>
      <c r="P246" s="2060"/>
      <c r="Q246" s="2060"/>
      <c r="R246" s="2060"/>
      <c r="S246" s="2060"/>
      <c r="T246" s="2060"/>
    </row>
    <row r="247" spans="1:20">
      <c r="A247" s="588"/>
      <c r="B247" s="588"/>
      <c r="C247" s="2060"/>
      <c r="D247" s="2060"/>
      <c r="E247" s="230" t="s">
        <v>2273</v>
      </c>
      <c r="F247" s="2060"/>
      <c r="G247" s="230" t="s">
        <v>2274</v>
      </c>
      <c r="H247" s="1004"/>
      <c r="I247" s="1004"/>
      <c r="J247" s="1004"/>
      <c r="K247" s="2060"/>
      <c r="L247" s="230" t="s">
        <v>2275</v>
      </c>
      <c r="M247" s="1004"/>
      <c r="N247" s="1004"/>
      <c r="O247" s="1004"/>
      <c r="P247" s="2060"/>
      <c r="Q247" s="2060"/>
      <c r="R247" s="2060"/>
      <c r="S247" s="2060"/>
      <c r="T247" s="2060"/>
    </row>
    <row r="248" spans="1:20">
      <c r="A248" s="588"/>
      <c r="B248" s="588"/>
      <c r="C248" s="2060"/>
      <c r="D248" s="2060"/>
      <c r="E248" s="230" t="s">
        <v>2276</v>
      </c>
      <c r="F248" s="2060"/>
      <c r="G248" s="230" t="s">
        <v>2277</v>
      </c>
      <c r="H248" s="1004"/>
      <c r="I248" s="1004"/>
      <c r="J248" s="1004"/>
      <c r="K248" s="2060"/>
      <c r="L248" s="230" t="s">
        <v>2278</v>
      </c>
      <c r="M248" s="1004"/>
      <c r="N248" s="1004"/>
      <c r="O248" s="1004"/>
      <c r="P248" s="2060"/>
      <c r="Q248" s="2060"/>
      <c r="R248" s="2060"/>
      <c r="S248" s="2060"/>
      <c r="T248" s="2060"/>
    </row>
    <row r="249" spans="1:20">
      <c r="A249" s="588"/>
      <c r="B249" s="588"/>
      <c r="C249" s="2060"/>
      <c r="D249" s="2060"/>
      <c r="E249" s="230" t="s">
        <v>2279</v>
      </c>
      <c r="F249" s="2060"/>
      <c r="G249" s="230" t="s">
        <v>2280</v>
      </c>
      <c r="H249" s="1004"/>
      <c r="I249" s="1004"/>
      <c r="J249" s="1004"/>
      <c r="K249" s="2060"/>
      <c r="L249" s="230" t="s">
        <v>2281</v>
      </c>
      <c r="M249" s="1004"/>
      <c r="N249" s="1004"/>
      <c r="O249" s="1004"/>
      <c r="P249" s="2060"/>
      <c r="Q249" s="2060"/>
      <c r="R249" s="2060"/>
      <c r="S249" s="2060"/>
      <c r="T249" s="2060"/>
    </row>
    <row r="250" spans="1:20">
      <c r="A250" s="588"/>
      <c r="B250" s="588"/>
      <c r="C250" s="2060"/>
      <c r="D250" s="2060"/>
      <c r="E250" s="230" t="s">
        <v>2282</v>
      </c>
      <c r="F250" s="2060"/>
      <c r="G250" s="230" t="s">
        <v>2283</v>
      </c>
      <c r="H250" s="1004"/>
      <c r="I250" s="1004"/>
      <c r="J250" s="1004"/>
      <c r="K250" s="2060"/>
      <c r="L250" s="230" t="s">
        <v>2284</v>
      </c>
      <c r="M250" s="1004"/>
      <c r="N250" s="1004"/>
      <c r="O250" s="1004"/>
      <c r="P250" s="2060"/>
      <c r="Q250" s="2060"/>
      <c r="R250" s="2060"/>
      <c r="S250" s="2060"/>
      <c r="T250" s="2060"/>
    </row>
    <row r="251" spans="1:20">
      <c r="A251" s="588"/>
      <c r="B251" s="588"/>
      <c r="C251" s="2060"/>
      <c r="D251" s="2060"/>
      <c r="E251" s="230" t="s">
        <v>2285</v>
      </c>
      <c r="F251" s="2060"/>
      <c r="G251" s="230" t="s">
        <v>2286</v>
      </c>
      <c r="H251" s="1004"/>
      <c r="I251" s="1004"/>
      <c r="J251" s="1004"/>
      <c r="K251" s="2060"/>
      <c r="L251" s="230" t="s">
        <v>2287</v>
      </c>
      <c r="M251" s="1004"/>
      <c r="N251" s="1004"/>
      <c r="O251" s="1004"/>
      <c r="P251" s="2060"/>
      <c r="Q251" s="2060"/>
      <c r="R251" s="2060"/>
      <c r="S251" s="2060"/>
      <c r="T251" s="2060"/>
    </row>
    <row r="252" spans="1:20">
      <c r="A252" s="588"/>
      <c r="B252" s="588"/>
      <c r="C252" s="2060"/>
      <c r="D252" s="2060"/>
      <c r="E252" s="230" t="s">
        <v>2288</v>
      </c>
      <c r="F252" s="2060"/>
      <c r="G252" s="230" t="s">
        <v>2289</v>
      </c>
      <c r="H252" s="1004"/>
      <c r="I252" s="1004"/>
      <c r="J252" s="1004"/>
      <c r="K252" s="2060"/>
      <c r="L252" s="230" t="s">
        <v>2290</v>
      </c>
      <c r="M252" s="1004"/>
      <c r="N252" s="1004"/>
      <c r="O252" s="1004"/>
      <c r="P252" s="2060"/>
      <c r="Q252" s="2060"/>
      <c r="R252" s="2060"/>
      <c r="S252" s="2060"/>
      <c r="T252" s="2060"/>
    </row>
    <row r="253" spans="1:20">
      <c r="A253" s="588"/>
      <c r="B253" s="588"/>
      <c r="C253" s="2060"/>
      <c r="D253" s="2060"/>
      <c r="E253" s="230" t="s">
        <v>2291</v>
      </c>
      <c r="F253" s="2060"/>
      <c r="G253" s="230" t="s">
        <v>2292</v>
      </c>
      <c r="H253" s="1004"/>
      <c r="I253" s="1004"/>
      <c r="J253" s="1004"/>
      <c r="K253" s="2060"/>
      <c r="L253" s="230" t="s">
        <v>2293</v>
      </c>
      <c r="M253" s="1004"/>
      <c r="N253" s="1004"/>
      <c r="O253" s="1004"/>
      <c r="P253" s="2060"/>
      <c r="Q253" s="2060"/>
      <c r="R253" s="2060"/>
      <c r="S253" s="2060"/>
      <c r="T253" s="2060"/>
    </row>
    <row r="254" spans="1:20">
      <c r="A254" s="588"/>
      <c r="B254" s="588"/>
      <c r="C254" s="2060"/>
      <c r="D254" s="2060"/>
      <c r="E254" s="230" t="s">
        <v>2294</v>
      </c>
      <c r="F254" s="2060"/>
      <c r="G254" s="230" t="s">
        <v>2295</v>
      </c>
      <c r="H254" s="1004"/>
      <c r="I254" s="1004"/>
      <c r="J254" s="1004"/>
      <c r="K254" s="2060"/>
      <c r="L254" s="230" t="s">
        <v>2296</v>
      </c>
      <c r="M254" s="1004"/>
      <c r="N254" s="1004"/>
      <c r="O254" s="1004"/>
      <c r="P254" s="2060"/>
      <c r="Q254" s="2060"/>
      <c r="R254" s="2060"/>
      <c r="S254" s="2060"/>
      <c r="T254" s="2060"/>
    </row>
    <row r="255" spans="1:20">
      <c r="A255" s="588"/>
      <c r="B255" s="588"/>
      <c r="C255" s="2060"/>
      <c r="D255" s="2060"/>
      <c r="E255" s="230" t="s">
        <v>2297</v>
      </c>
      <c r="F255" s="2060"/>
      <c r="G255" s="230" t="s">
        <v>2298</v>
      </c>
      <c r="H255" s="1004"/>
      <c r="I255" s="1004"/>
      <c r="J255" s="1004"/>
      <c r="K255" s="2060"/>
      <c r="L255" s="230" t="s">
        <v>2299</v>
      </c>
      <c r="M255" s="1004"/>
      <c r="N255" s="1004"/>
      <c r="O255" s="1004"/>
      <c r="P255" s="2060"/>
      <c r="Q255" s="2060"/>
      <c r="R255" s="2060"/>
      <c r="S255" s="2060"/>
      <c r="T255" s="2060"/>
    </row>
    <row r="256" spans="1:20">
      <c r="A256" s="588"/>
      <c r="B256" s="588"/>
      <c r="C256" s="2060"/>
      <c r="D256" s="2060"/>
      <c r="E256" s="230" t="s">
        <v>2300</v>
      </c>
      <c r="F256" s="2060"/>
      <c r="G256" s="230" t="s">
        <v>2301</v>
      </c>
      <c r="H256" s="1004"/>
      <c r="I256" s="1004"/>
      <c r="J256" s="1004"/>
      <c r="K256" s="2060"/>
      <c r="L256" s="230" t="s">
        <v>2302</v>
      </c>
      <c r="M256" s="1004"/>
      <c r="N256" s="1004"/>
      <c r="O256" s="1004"/>
      <c r="P256" s="2060"/>
      <c r="Q256" s="2060"/>
      <c r="R256" s="2060"/>
      <c r="S256" s="2060"/>
      <c r="T256" s="2060"/>
    </row>
    <row r="257" spans="1:20">
      <c r="A257" s="588"/>
      <c r="B257" s="588"/>
      <c r="C257" s="2060"/>
      <c r="D257" s="2060"/>
      <c r="E257" s="230" t="s">
        <v>2303</v>
      </c>
      <c r="F257" s="2060"/>
      <c r="G257" s="230" t="s">
        <v>2304</v>
      </c>
      <c r="H257" s="1004"/>
      <c r="I257" s="1004"/>
      <c r="J257" s="1004"/>
      <c r="K257" s="2060"/>
      <c r="L257" s="230" t="s">
        <v>2305</v>
      </c>
      <c r="M257" s="1004"/>
      <c r="N257" s="1004"/>
      <c r="O257" s="1004"/>
      <c r="P257" s="2060"/>
      <c r="Q257" s="2060"/>
      <c r="R257" s="2060"/>
      <c r="S257" s="2060"/>
      <c r="T257" s="2060"/>
    </row>
    <row r="258" spans="1:20">
      <c r="A258" s="588"/>
      <c r="B258" s="588"/>
      <c r="C258" s="2060"/>
      <c r="D258" s="2060"/>
      <c r="E258" s="230" t="s">
        <v>2306</v>
      </c>
      <c r="F258" s="2060"/>
      <c r="G258" s="230" t="s">
        <v>2307</v>
      </c>
      <c r="H258" s="1004"/>
      <c r="I258" s="1004"/>
      <c r="J258" s="1004"/>
      <c r="K258" s="2060"/>
      <c r="L258" s="230" t="s">
        <v>2307</v>
      </c>
      <c r="M258" s="1004"/>
      <c r="N258" s="1004"/>
      <c r="O258" s="1004"/>
      <c r="P258" s="2060"/>
      <c r="Q258" s="2060"/>
      <c r="R258" s="2060"/>
      <c r="S258" s="2060"/>
      <c r="T258" s="2060"/>
    </row>
    <row r="259" spans="1:20">
      <c r="A259" s="588"/>
      <c r="B259" s="588"/>
      <c r="C259" s="2060"/>
      <c r="D259" s="2060"/>
      <c r="E259" s="230" t="s">
        <v>2308</v>
      </c>
      <c r="F259" s="2060"/>
      <c r="G259" s="230" t="s">
        <v>2309</v>
      </c>
      <c r="H259" s="1004"/>
      <c r="I259" s="1004"/>
      <c r="J259" s="1004"/>
      <c r="K259" s="2060"/>
      <c r="L259" s="230" t="s">
        <v>2310</v>
      </c>
      <c r="M259" s="1004"/>
      <c r="N259" s="1004"/>
      <c r="O259" s="1004"/>
      <c r="P259" s="2060"/>
      <c r="Q259" s="2060"/>
      <c r="R259" s="2060"/>
      <c r="S259" s="2060"/>
      <c r="T259" s="2060"/>
    </row>
    <row r="260" spans="1:20">
      <c r="A260" s="588"/>
      <c r="B260" s="588"/>
      <c r="C260" s="2060"/>
      <c r="D260" s="2060"/>
      <c r="E260" s="230" t="s">
        <v>2311</v>
      </c>
      <c r="F260" s="2060"/>
      <c r="G260" s="230" t="s">
        <v>2312</v>
      </c>
      <c r="H260" s="1004"/>
      <c r="I260" s="1004"/>
      <c r="J260" s="1004"/>
      <c r="K260" s="2060"/>
      <c r="L260" s="230" t="s">
        <v>2313</v>
      </c>
      <c r="M260" s="1004"/>
      <c r="N260" s="1004"/>
      <c r="O260" s="1004"/>
      <c r="P260" s="2060"/>
      <c r="Q260" s="2060"/>
      <c r="R260" s="2060"/>
      <c r="S260" s="2060"/>
      <c r="T260" s="2060"/>
    </row>
    <row r="261" spans="1:20">
      <c r="A261" s="588"/>
      <c r="B261" s="588"/>
      <c r="C261" s="2060"/>
      <c r="D261" s="2060"/>
      <c r="E261" s="230" t="s">
        <v>2314</v>
      </c>
      <c r="F261" s="2060"/>
      <c r="G261" s="230" t="s">
        <v>2315</v>
      </c>
      <c r="H261" s="1004"/>
      <c r="I261" s="1004"/>
      <c r="J261" s="1004"/>
      <c r="K261" s="2060"/>
      <c r="L261" s="230" t="s">
        <v>2316</v>
      </c>
      <c r="M261" s="1004"/>
      <c r="N261" s="1004"/>
      <c r="O261" s="1004"/>
      <c r="P261" s="2060"/>
      <c r="Q261" s="2060"/>
      <c r="R261" s="2060"/>
      <c r="S261" s="2060"/>
      <c r="T261" s="2060"/>
    </row>
    <row r="262" spans="1:20">
      <c r="A262" s="588"/>
      <c r="B262" s="588"/>
      <c r="C262" s="2060"/>
      <c r="D262" s="2060"/>
      <c r="E262" s="230" t="s">
        <v>2317</v>
      </c>
      <c r="F262" s="2060"/>
      <c r="G262" s="230" t="s">
        <v>2318</v>
      </c>
      <c r="H262" s="1004"/>
      <c r="I262" s="1004"/>
      <c r="J262" s="1004"/>
      <c r="K262" s="2060"/>
      <c r="L262" s="230" t="s">
        <v>2319</v>
      </c>
      <c r="M262" s="1004"/>
      <c r="N262" s="1004"/>
      <c r="O262" s="1004"/>
      <c r="P262" s="2060"/>
      <c r="Q262" s="2060"/>
      <c r="R262" s="2060"/>
      <c r="S262" s="2060"/>
      <c r="T262" s="2060"/>
    </row>
    <row r="263" spans="1:20">
      <c r="A263" s="588"/>
      <c r="B263" s="588"/>
      <c r="C263" s="2060"/>
      <c r="D263" s="2060"/>
      <c r="E263" s="230" t="s">
        <v>2320</v>
      </c>
      <c r="F263" s="2060"/>
      <c r="G263" s="230" t="s">
        <v>2321</v>
      </c>
      <c r="H263" s="1004"/>
      <c r="I263" s="1004"/>
      <c r="J263" s="1004"/>
      <c r="K263" s="2060"/>
      <c r="L263" s="230" t="s">
        <v>2322</v>
      </c>
      <c r="M263" s="1004"/>
      <c r="N263" s="1004"/>
      <c r="O263" s="1004"/>
      <c r="P263" s="2060"/>
      <c r="Q263" s="2060"/>
      <c r="R263" s="2060"/>
      <c r="S263" s="2060"/>
      <c r="T263" s="2060"/>
    </row>
    <row r="264" spans="1:20">
      <c r="A264" s="588"/>
      <c r="B264" s="588"/>
      <c r="C264" s="2060"/>
      <c r="D264" s="2060"/>
      <c r="E264" s="230" t="s">
        <v>2323</v>
      </c>
      <c r="F264" s="2060"/>
      <c r="G264" s="230" t="s">
        <v>2324</v>
      </c>
      <c r="H264" s="1004"/>
      <c r="I264" s="1004"/>
      <c r="J264" s="1004"/>
      <c r="K264" s="2060"/>
      <c r="L264" s="230" t="s">
        <v>2325</v>
      </c>
      <c r="M264" s="1004"/>
      <c r="N264" s="1004"/>
      <c r="O264" s="1004"/>
      <c r="P264" s="2060"/>
      <c r="Q264" s="2060"/>
      <c r="R264" s="2060"/>
      <c r="S264" s="2060"/>
      <c r="T264" s="2060"/>
    </row>
    <row r="265" spans="1:20">
      <c r="A265" s="588"/>
      <c r="B265" s="588"/>
      <c r="C265" s="2060"/>
      <c r="D265" s="2060"/>
      <c r="E265" s="230" t="s">
        <v>2326</v>
      </c>
      <c r="F265" s="2060"/>
      <c r="G265" s="230" t="s">
        <v>2327</v>
      </c>
      <c r="H265" s="1004"/>
      <c r="I265" s="1004"/>
      <c r="J265" s="1004"/>
      <c r="K265" s="2060"/>
      <c r="L265" s="230" t="s">
        <v>2328</v>
      </c>
      <c r="M265" s="1004"/>
      <c r="N265" s="1004"/>
      <c r="O265" s="1004"/>
      <c r="P265" s="2060"/>
      <c r="Q265" s="2060"/>
      <c r="R265" s="2060"/>
      <c r="S265" s="2060"/>
      <c r="T265" s="2060"/>
    </row>
    <row r="266" spans="1:20">
      <c r="A266" s="588"/>
      <c r="B266" s="588"/>
      <c r="C266" s="2060"/>
      <c r="D266" s="2060"/>
      <c r="E266" s="230" t="s">
        <v>2329</v>
      </c>
      <c r="F266" s="2060"/>
      <c r="G266" s="230" t="s">
        <v>2330</v>
      </c>
      <c r="H266" s="1004"/>
      <c r="I266" s="1004"/>
      <c r="J266" s="1004"/>
      <c r="K266" s="2060"/>
      <c r="L266" s="230" t="s">
        <v>2331</v>
      </c>
      <c r="M266" s="1004"/>
      <c r="N266" s="1004"/>
      <c r="O266" s="1004"/>
      <c r="P266" s="2060"/>
      <c r="Q266" s="2060"/>
      <c r="R266" s="2060"/>
      <c r="S266" s="2060"/>
      <c r="T266" s="2060"/>
    </row>
    <row r="267" spans="1:20">
      <c r="A267" s="588"/>
      <c r="B267" s="588"/>
      <c r="C267" s="2060"/>
      <c r="D267" s="2060"/>
      <c r="E267" s="230" t="s">
        <v>2332</v>
      </c>
      <c r="F267" s="2060"/>
      <c r="G267" s="230" t="s">
        <v>2333</v>
      </c>
      <c r="H267" s="1004"/>
      <c r="I267" s="1004"/>
      <c r="J267" s="1004"/>
      <c r="K267" s="2060"/>
      <c r="L267" s="230" t="s">
        <v>2334</v>
      </c>
      <c r="M267" s="1004"/>
      <c r="N267" s="1004"/>
      <c r="O267" s="1004"/>
      <c r="P267" s="2060"/>
      <c r="Q267" s="2060"/>
      <c r="R267" s="2060"/>
      <c r="S267" s="2060"/>
      <c r="T267" s="2060"/>
    </row>
    <row r="268" spans="1:20">
      <c r="A268" s="588"/>
      <c r="B268" s="588"/>
      <c r="C268" s="2060"/>
      <c r="D268" s="2060"/>
      <c r="E268" s="230" t="s">
        <v>2335</v>
      </c>
      <c r="F268" s="2060"/>
      <c r="G268" s="230" t="s">
        <v>2336</v>
      </c>
      <c r="H268" s="1004"/>
      <c r="I268" s="1004"/>
      <c r="J268" s="1004"/>
      <c r="K268" s="2060"/>
      <c r="L268" s="230" t="s">
        <v>2337</v>
      </c>
      <c r="M268" s="1004"/>
      <c r="N268" s="1004"/>
      <c r="O268" s="1004"/>
      <c r="P268" s="2060"/>
      <c r="Q268" s="2060"/>
      <c r="R268" s="2060"/>
      <c r="S268" s="2060"/>
      <c r="T268" s="2060"/>
    </row>
    <row r="269" spans="1:20">
      <c r="A269" s="588"/>
      <c r="B269" s="588"/>
      <c r="C269" s="2060"/>
      <c r="D269" s="2060"/>
      <c r="E269" s="230" t="s">
        <v>2338</v>
      </c>
      <c r="F269" s="2060"/>
      <c r="G269" s="230" t="s">
        <v>2339</v>
      </c>
      <c r="H269" s="1004"/>
      <c r="I269" s="1004"/>
      <c r="J269" s="1004"/>
      <c r="K269" s="2060"/>
      <c r="L269" s="230" t="s">
        <v>2340</v>
      </c>
      <c r="M269" s="1004"/>
      <c r="N269" s="1004"/>
      <c r="O269" s="1004"/>
      <c r="P269" s="2060"/>
      <c r="Q269" s="2060"/>
      <c r="R269" s="2060"/>
      <c r="S269" s="2060"/>
      <c r="T269" s="2060"/>
    </row>
    <row r="270" spans="1:20">
      <c r="A270" s="588"/>
      <c r="B270" s="588"/>
      <c r="C270" s="2060"/>
      <c r="D270" s="2060"/>
      <c r="E270" s="230" t="s">
        <v>2341</v>
      </c>
      <c r="F270" s="2060"/>
      <c r="G270" s="230" t="s">
        <v>2342</v>
      </c>
      <c r="H270" s="1004"/>
      <c r="I270" s="1004"/>
      <c r="J270" s="1004"/>
      <c r="K270" s="2060"/>
      <c r="L270" s="230" t="s">
        <v>2343</v>
      </c>
      <c r="M270" s="1004"/>
      <c r="N270" s="1004"/>
      <c r="O270" s="1004"/>
      <c r="P270" s="2060"/>
      <c r="Q270" s="2060"/>
      <c r="R270" s="2060"/>
      <c r="S270" s="2060"/>
      <c r="T270" s="2060"/>
    </row>
    <row r="271" spans="1:20">
      <c r="A271" s="588"/>
      <c r="B271" s="588"/>
      <c r="C271" s="2060"/>
      <c r="D271" s="2060"/>
      <c r="E271" s="230" t="s">
        <v>2344</v>
      </c>
      <c r="F271" s="2060"/>
      <c r="G271" s="230" t="s">
        <v>2345</v>
      </c>
      <c r="H271" s="1004"/>
      <c r="I271" s="1004"/>
      <c r="J271" s="1004"/>
      <c r="K271" s="2060"/>
      <c r="L271" s="230" t="s">
        <v>2346</v>
      </c>
      <c r="M271" s="1004"/>
      <c r="N271" s="1004"/>
      <c r="O271" s="1004"/>
      <c r="P271" s="2060"/>
      <c r="Q271" s="2060"/>
      <c r="R271" s="2060"/>
      <c r="S271" s="2060"/>
      <c r="T271" s="2060"/>
    </row>
    <row r="272" spans="1:20">
      <c r="A272" s="588"/>
      <c r="B272" s="588"/>
      <c r="C272" s="2060"/>
      <c r="D272" s="2060"/>
      <c r="E272" s="230" t="s">
        <v>2347</v>
      </c>
      <c r="F272" s="2060"/>
      <c r="G272" s="230" t="s">
        <v>2348</v>
      </c>
      <c r="H272" s="1004"/>
      <c r="I272" s="1004"/>
      <c r="J272" s="1004"/>
      <c r="K272" s="2060"/>
      <c r="L272" s="230" t="s">
        <v>2349</v>
      </c>
      <c r="M272" s="1004"/>
      <c r="N272" s="1004"/>
      <c r="O272" s="1004"/>
      <c r="P272" s="2060"/>
      <c r="Q272" s="2060"/>
      <c r="R272" s="2060"/>
      <c r="S272" s="2060"/>
      <c r="T272" s="2060"/>
    </row>
    <row r="273" spans="1:20">
      <c r="A273" s="588"/>
      <c r="B273" s="588"/>
      <c r="C273" s="2060"/>
      <c r="D273" s="2060"/>
      <c r="E273" s="230" t="s">
        <v>2350</v>
      </c>
      <c r="F273" s="2060"/>
      <c r="G273" s="230" t="s">
        <v>2351</v>
      </c>
      <c r="H273" s="1004"/>
      <c r="I273" s="1004"/>
      <c r="J273" s="1004"/>
      <c r="K273" s="2060"/>
      <c r="L273" s="230" t="s">
        <v>2352</v>
      </c>
      <c r="M273" s="1004"/>
      <c r="N273" s="1004"/>
      <c r="O273" s="1004"/>
      <c r="P273" s="2060"/>
      <c r="Q273" s="2060"/>
      <c r="R273" s="2060"/>
      <c r="S273" s="2060"/>
      <c r="T273" s="2060"/>
    </row>
    <row r="274" spans="1:20">
      <c r="A274" s="588"/>
      <c r="B274" s="588"/>
      <c r="C274" s="2060"/>
      <c r="D274" s="2060"/>
      <c r="E274" s="230" t="s">
        <v>2353</v>
      </c>
      <c r="F274" s="2060"/>
      <c r="G274" s="230" t="s">
        <v>2354</v>
      </c>
      <c r="H274" s="1004"/>
      <c r="I274" s="1004"/>
      <c r="J274" s="1004"/>
      <c r="K274" s="2060"/>
      <c r="L274" s="230" t="s">
        <v>2355</v>
      </c>
      <c r="M274" s="1004"/>
      <c r="N274" s="1004"/>
      <c r="O274" s="1004"/>
      <c r="P274" s="2060"/>
      <c r="Q274" s="2060"/>
      <c r="R274" s="2060"/>
      <c r="S274" s="2060"/>
      <c r="T274" s="2060"/>
    </row>
    <row r="275" spans="1:20">
      <c r="A275" s="588"/>
      <c r="B275" s="588"/>
      <c r="C275" s="2060"/>
      <c r="D275" s="2060"/>
      <c r="E275" s="230" t="s">
        <v>2356</v>
      </c>
      <c r="F275" s="2060"/>
      <c r="G275" s="230" t="s">
        <v>2357</v>
      </c>
      <c r="H275" s="1004"/>
      <c r="I275" s="1004"/>
      <c r="J275" s="1004"/>
      <c r="K275" s="2060"/>
      <c r="L275" s="230" t="s">
        <v>2358</v>
      </c>
      <c r="M275" s="1004"/>
      <c r="N275" s="1004"/>
      <c r="O275" s="1004"/>
      <c r="P275" s="2060"/>
      <c r="Q275" s="2060"/>
      <c r="R275" s="2060"/>
      <c r="S275" s="2060"/>
      <c r="T275" s="2060"/>
    </row>
    <row r="276" spans="1:20">
      <c r="A276" s="588"/>
      <c r="B276" s="588"/>
      <c r="C276" s="2060"/>
      <c r="D276" s="2060"/>
      <c r="E276" s="230" t="s">
        <v>2359</v>
      </c>
      <c r="F276" s="2060"/>
      <c r="G276" s="230" t="s">
        <v>2360</v>
      </c>
      <c r="H276" s="1004"/>
      <c r="I276" s="1004"/>
      <c r="J276" s="1004"/>
      <c r="K276" s="2060"/>
      <c r="L276" s="230" t="s">
        <v>2361</v>
      </c>
      <c r="M276" s="1004"/>
      <c r="N276" s="1004"/>
      <c r="O276" s="1004"/>
      <c r="P276" s="2060"/>
      <c r="Q276" s="2060"/>
      <c r="R276" s="2060"/>
      <c r="S276" s="2060"/>
      <c r="T276" s="2060"/>
    </row>
    <row r="277" spans="1:20">
      <c r="A277" s="588"/>
      <c r="B277" s="588"/>
      <c r="C277" s="2060"/>
      <c r="D277" s="2060"/>
      <c r="E277" s="230" t="s">
        <v>2362</v>
      </c>
      <c r="F277" s="2060"/>
      <c r="G277" s="230" t="s">
        <v>2363</v>
      </c>
      <c r="H277" s="1004"/>
      <c r="I277" s="1004"/>
      <c r="J277" s="1004"/>
      <c r="K277" s="2060"/>
      <c r="L277" s="230" t="s">
        <v>2364</v>
      </c>
      <c r="M277" s="1004"/>
      <c r="N277" s="1004"/>
      <c r="O277" s="1004"/>
      <c r="P277" s="2060"/>
      <c r="Q277" s="2060"/>
      <c r="R277" s="2060"/>
      <c r="S277" s="2060"/>
      <c r="T277" s="2060"/>
    </row>
    <row r="278" spans="1:20">
      <c r="A278" s="588"/>
      <c r="B278" s="588"/>
      <c r="C278" s="2060"/>
      <c r="D278" s="2060"/>
      <c r="E278" s="230" t="s">
        <v>2365</v>
      </c>
      <c r="F278" s="2060"/>
      <c r="G278" s="230" t="s">
        <v>2366</v>
      </c>
      <c r="H278" s="1004"/>
      <c r="I278" s="1004"/>
      <c r="J278" s="1004"/>
      <c r="K278" s="2060"/>
      <c r="L278" s="230" t="s">
        <v>2367</v>
      </c>
      <c r="M278" s="1004"/>
      <c r="N278" s="1004"/>
      <c r="O278" s="1004"/>
      <c r="P278" s="2060"/>
      <c r="Q278" s="2060"/>
      <c r="R278" s="2060"/>
      <c r="S278" s="2060"/>
      <c r="T278" s="2060"/>
    </row>
    <row r="279" spans="1:20">
      <c r="A279" s="588"/>
      <c r="B279" s="588"/>
      <c r="C279" s="2060"/>
      <c r="D279" s="2060"/>
      <c r="E279" s="230" t="s">
        <v>2368</v>
      </c>
      <c r="F279" s="2060"/>
      <c r="G279" s="230" t="s">
        <v>2369</v>
      </c>
      <c r="H279" s="1004"/>
      <c r="I279" s="1004"/>
      <c r="J279" s="1004"/>
      <c r="K279" s="2060"/>
      <c r="L279" s="230" t="s">
        <v>2370</v>
      </c>
      <c r="M279" s="1004"/>
      <c r="N279" s="1004"/>
      <c r="O279" s="1004"/>
      <c r="P279" s="2060"/>
      <c r="Q279" s="2060"/>
      <c r="R279" s="2060"/>
      <c r="S279" s="2060"/>
      <c r="T279" s="2060"/>
    </row>
    <row r="280" spans="1:20">
      <c r="A280" s="588"/>
      <c r="B280" s="588"/>
      <c r="C280" s="2060"/>
      <c r="D280" s="2060"/>
      <c r="E280" s="230" t="s">
        <v>2371</v>
      </c>
      <c r="F280" s="2060"/>
      <c r="G280" s="230" t="s">
        <v>2372</v>
      </c>
      <c r="H280" s="1004"/>
      <c r="I280" s="1004"/>
      <c r="J280" s="1004"/>
      <c r="K280" s="2060"/>
      <c r="L280" s="230" t="s">
        <v>2373</v>
      </c>
      <c r="M280" s="1004"/>
      <c r="N280" s="1004"/>
      <c r="O280" s="1004"/>
      <c r="P280" s="2060"/>
      <c r="Q280" s="2060"/>
      <c r="R280" s="2060"/>
      <c r="S280" s="2060"/>
      <c r="T280" s="2060"/>
    </row>
    <row r="281" spans="1:20">
      <c r="A281" s="588"/>
      <c r="B281" s="588"/>
      <c r="C281" s="2060"/>
      <c r="D281" s="2060"/>
      <c r="E281" s="230" t="s">
        <v>2374</v>
      </c>
      <c r="F281" s="2060"/>
      <c r="G281" s="230" t="s">
        <v>2375</v>
      </c>
      <c r="H281" s="1004"/>
      <c r="I281" s="1004"/>
      <c r="J281" s="1004"/>
      <c r="K281" s="2060"/>
      <c r="L281" s="230" t="s">
        <v>2376</v>
      </c>
      <c r="M281" s="1004"/>
      <c r="N281" s="1004"/>
      <c r="O281" s="1004"/>
      <c r="P281" s="2060"/>
      <c r="Q281" s="2060"/>
      <c r="R281" s="2060"/>
      <c r="S281" s="2060"/>
      <c r="T281" s="2060"/>
    </row>
    <row r="282" spans="1:20">
      <c r="A282" s="588"/>
      <c r="B282" s="588"/>
      <c r="C282" s="2060"/>
      <c r="D282" s="2060"/>
      <c r="E282" s="230" t="s">
        <v>2377</v>
      </c>
      <c r="F282" s="2060"/>
      <c r="G282" s="230" t="s">
        <v>2378</v>
      </c>
      <c r="H282" s="1004"/>
      <c r="I282" s="1004"/>
      <c r="J282" s="1004"/>
      <c r="K282" s="2060"/>
      <c r="L282" s="230" t="s">
        <v>2379</v>
      </c>
      <c r="M282" s="1004"/>
      <c r="N282" s="1004"/>
      <c r="O282" s="1004"/>
      <c r="P282" s="2060"/>
      <c r="Q282" s="2060"/>
      <c r="R282" s="2060"/>
      <c r="S282" s="2060"/>
      <c r="T282" s="2060"/>
    </row>
    <row r="283" spans="1:20">
      <c r="A283" s="588"/>
      <c r="B283" s="588"/>
      <c r="C283" s="2060"/>
      <c r="D283" s="2060"/>
      <c r="E283" s="230" t="s">
        <v>2380</v>
      </c>
      <c r="F283" s="2060"/>
      <c r="G283" s="230" t="s">
        <v>2381</v>
      </c>
      <c r="H283" s="1004"/>
      <c r="I283" s="1004"/>
      <c r="J283" s="1004"/>
      <c r="K283" s="2060"/>
      <c r="L283" s="230" t="s">
        <v>2382</v>
      </c>
      <c r="M283" s="1004"/>
      <c r="N283" s="1004"/>
      <c r="O283" s="1004"/>
      <c r="P283" s="2060"/>
      <c r="Q283" s="2060"/>
      <c r="R283" s="2060"/>
      <c r="S283" s="2060"/>
      <c r="T283" s="2060"/>
    </row>
    <row r="284" spans="1:20">
      <c r="A284" s="588"/>
      <c r="B284" s="588"/>
      <c r="C284" s="2060"/>
      <c r="D284" s="2060"/>
      <c r="E284" s="230" t="s">
        <v>2383</v>
      </c>
      <c r="F284" s="2060"/>
      <c r="G284" s="230" t="s">
        <v>2384</v>
      </c>
      <c r="H284" s="1004"/>
      <c r="I284" s="1004"/>
      <c r="J284" s="1004"/>
      <c r="K284" s="2060"/>
      <c r="L284" s="230" t="s">
        <v>2385</v>
      </c>
      <c r="M284" s="1004"/>
      <c r="N284" s="1004"/>
      <c r="O284" s="1004"/>
      <c r="P284" s="2060"/>
      <c r="Q284" s="2060"/>
      <c r="R284" s="2060"/>
      <c r="S284" s="2060"/>
      <c r="T284" s="2060"/>
    </row>
    <row r="285" spans="1:20">
      <c r="A285" s="588"/>
      <c r="B285" s="588"/>
      <c r="C285" s="2060"/>
      <c r="D285" s="2060"/>
      <c r="E285" s="230" t="s">
        <v>2386</v>
      </c>
      <c r="F285" s="2060"/>
      <c r="G285" s="230" t="s">
        <v>2387</v>
      </c>
      <c r="H285" s="1004"/>
      <c r="I285" s="1004"/>
      <c r="J285" s="1004"/>
      <c r="K285" s="2060"/>
      <c r="L285" s="230" t="s">
        <v>2388</v>
      </c>
      <c r="M285" s="1004"/>
      <c r="N285" s="1004"/>
      <c r="O285" s="1004"/>
      <c r="P285" s="2060"/>
      <c r="Q285" s="2060"/>
      <c r="R285" s="2060"/>
      <c r="S285" s="2060"/>
      <c r="T285" s="2060"/>
    </row>
    <row r="286" spans="1:20">
      <c r="A286" s="588"/>
      <c r="B286" s="588"/>
      <c r="C286" s="2060"/>
      <c r="D286" s="2060"/>
      <c r="E286" s="230" t="s">
        <v>2389</v>
      </c>
      <c r="F286" s="2060"/>
      <c r="G286" s="230" t="s">
        <v>2390</v>
      </c>
      <c r="H286" s="1004"/>
      <c r="I286" s="1004"/>
      <c r="J286" s="1004"/>
      <c r="K286" s="2060"/>
      <c r="L286" s="230" t="s">
        <v>2391</v>
      </c>
      <c r="M286" s="1004"/>
      <c r="N286" s="1004"/>
      <c r="O286" s="1004"/>
      <c r="P286" s="2060"/>
      <c r="Q286" s="2060"/>
      <c r="R286" s="2060"/>
      <c r="S286" s="2060"/>
      <c r="T286" s="2060"/>
    </row>
    <row r="287" spans="1:20">
      <c r="A287" s="588"/>
      <c r="B287" s="588"/>
      <c r="C287" s="2060"/>
      <c r="D287" s="2060"/>
      <c r="E287" s="230" t="s">
        <v>2392</v>
      </c>
      <c r="F287" s="2060"/>
      <c r="G287" s="230" t="s">
        <v>2393</v>
      </c>
      <c r="H287" s="1004"/>
      <c r="I287" s="1004"/>
      <c r="J287" s="1004"/>
      <c r="K287" s="2060"/>
      <c r="L287" s="230" t="s">
        <v>2394</v>
      </c>
      <c r="M287" s="1004"/>
      <c r="N287" s="1004"/>
      <c r="O287" s="1004"/>
      <c r="P287" s="2060"/>
      <c r="Q287" s="2060"/>
      <c r="R287" s="2060"/>
      <c r="S287" s="2060"/>
      <c r="T287" s="2060"/>
    </row>
    <row r="288" spans="1:20">
      <c r="A288" s="588"/>
      <c r="B288" s="588"/>
      <c r="C288" s="2060"/>
      <c r="D288" s="2060"/>
      <c r="E288" s="230" t="s">
        <v>2395</v>
      </c>
      <c r="F288" s="2060"/>
      <c r="G288" s="230" t="s">
        <v>2396</v>
      </c>
      <c r="H288" s="1004"/>
      <c r="I288" s="1004"/>
      <c r="J288" s="1004"/>
      <c r="K288" s="2060"/>
      <c r="L288" s="230" t="s">
        <v>2397</v>
      </c>
      <c r="M288" s="1004"/>
      <c r="N288" s="1004"/>
      <c r="O288" s="1004"/>
      <c r="P288" s="2060"/>
      <c r="Q288" s="2060"/>
      <c r="R288" s="2060"/>
      <c r="S288" s="2060"/>
      <c r="T288" s="2060"/>
    </row>
    <row r="289" spans="1:20">
      <c r="A289" s="588"/>
      <c r="B289" s="588"/>
      <c r="C289" s="2060"/>
      <c r="D289" s="2060"/>
      <c r="E289" s="230" t="s">
        <v>2398</v>
      </c>
      <c r="F289" s="2060"/>
      <c r="G289" s="230" t="s">
        <v>2399</v>
      </c>
      <c r="H289" s="1004"/>
      <c r="I289" s="1004"/>
      <c r="J289" s="1004"/>
      <c r="K289" s="2060"/>
      <c r="L289" s="230" t="s">
        <v>2400</v>
      </c>
      <c r="M289" s="1004"/>
      <c r="N289" s="1004"/>
      <c r="O289" s="1004"/>
      <c r="P289" s="2060"/>
      <c r="Q289" s="2060"/>
      <c r="R289" s="2060"/>
      <c r="S289" s="2060"/>
      <c r="T289" s="2060"/>
    </row>
    <row r="290" spans="1:20">
      <c r="A290" s="588"/>
      <c r="B290" s="588"/>
      <c r="C290" s="2060"/>
      <c r="D290" s="2060"/>
      <c r="E290" s="230" t="s">
        <v>2401</v>
      </c>
      <c r="F290" s="2060"/>
      <c r="G290" s="230" t="s">
        <v>2402</v>
      </c>
      <c r="H290" s="1004"/>
      <c r="I290" s="1004"/>
      <c r="J290" s="1004"/>
      <c r="K290" s="2060"/>
      <c r="L290" s="230" t="s">
        <v>2403</v>
      </c>
      <c r="M290" s="1004"/>
      <c r="N290" s="1004"/>
      <c r="O290" s="1004"/>
      <c r="P290" s="2060"/>
      <c r="Q290" s="2060"/>
      <c r="R290" s="2060"/>
      <c r="S290" s="2060"/>
      <c r="T290" s="2060"/>
    </row>
    <row r="291" spans="1:20">
      <c r="A291" s="588"/>
      <c r="B291" s="588"/>
      <c r="C291" s="2060"/>
      <c r="D291" s="2060"/>
      <c r="E291" s="230" t="s">
        <v>2404</v>
      </c>
      <c r="F291" s="2060"/>
      <c r="G291" s="230" t="s">
        <v>2405</v>
      </c>
      <c r="H291" s="1004"/>
      <c r="I291" s="1004"/>
      <c r="J291" s="1004"/>
      <c r="K291" s="2060"/>
      <c r="L291" s="230" t="s">
        <v>2406</v>
      </c>
      <c r="M291" s="1004"/>
      <c r="N291" s="1004"/>
      <c r="O291" s="1004"/>
      <c r="P291" s="2060"/>
      <c r="Q291" s="2060"/>
      <c r="R291" s="2060"/>
      <c r="S291" s="2060"/>
      <c r="T291" s="2060"/>
    </row>
    <row r="292" spans="1:20">
      <c r="A292" s="588"/>
      <c r="B292" s="588"/>
      <c r="C292" s="2060"/>
      <c r="D292" s="2060"/>
      <c r="E292" s="230" t="s">
        <v>2407</v>
      </c>
      <c r="F292" s="2060"/>
      <c r="G292" s="230" t="s">
        <v>2408</v>
      </c>
      <c r="H292" s="1004"/>
      <c r="I292" s="1004"/>
      <c r="J292" s="1004"/>
      <c r="K292" s="2060"/>
      <c r="L292" s="230" t="s">
        <v>2409</v>
      </c>
      <c r="M292" s="1004"/>
      <c r="N292" s="1004"/>
      <c r="O292" s="1004"/>
      <c r="P292" s="2060"/>
      <c r="Q292" s="2060"/>
      <c r="R292" s="2060"/>
      <c r="S292" s="2060"/>
      <c r="T292" s="2060"/>
    </row>
    <row r="293" spans="1:20">
      <c r="A293" s="588"/>
      <c r="B293" s="588"/>
      <c r="C293" s="2060"/>
      <c r="D293" s="2060"/>
      <c r="E293" s="230" t="s">
        <v>2410</v>
      </c>
      <c r="F293" s="2060"/>
      <c r="G293" s="230" t="s">
        <v>2411</v>
      </c>
      <c r="H293" s="1004"/>
      <c r="I293" s="1004"/>
      <c r="J293" s="1004"/>
      <c r="K293" s="2060"/>
      <c r="L293" s="230" t="s">
        <v>2412</v>
      </c>
      <c r="M293" s="1004"/>
      <c r="N293" s="1004"/>
      <c r="O293" s="1004"/>
      <c r="P293" s="2060"/>
      <c r="Q293" s="2060"/>
      <c r="R293" s="2060"/>
      <c r="S293" s="2060"/>
      <c r="T293" s="2060"/>
    </row>
    <row r="294" spans="1:20">
      <c r="A294" s="588"/>
      <c r="B294" s="588"/>
      <c r="C294" s="2060"/>
      <c r="D294" s="2060"/>
      <c r="E294" s="230" t="s">
        <v>2413</v>
      </c>
      <c r="F294" s="2060"/>
      <c r="G294" s="230" t="s">
        <v>2414</v>
      </c>
      <c r="H294" s="1004"/>
      <c r="I294" s="1004"/>
      <c r="J294" s="1004"/>
      <c r="K294" s="2060"/>
      <c r="L294" s="230" t="s">
        <v>2415</v>
      </c>
      <c r="M294" s="1004"/>
      <c r="N294" s="1004"/>
      <c r="O294" s="1004"/>
      <c r="P294" s="2060"/>
      <c r="Q294" s="2060"/>
      <c r="R294" s="2060"/>
      <c r="S294" s="2060"/>
      <c r="T294" s="2060"/>
    </row>
    <row r="295" spans="1:20">
      <c r="A295" s="588"/>
      <c r="B295" s="588"/>
      <c r="C295" s="2060"/>
      <c r="D295" s="2060"/>
      <c r="E295" s="230" t="s">
        <v>2416</v>
      </c>
      <c r="F295" s="2060"/>
      <c r="G295" s="230" t="s">
        <v>2417</v>
      </c>
      <c r="H295" s="1004"/>
      <c r="I295" s="1004"/>
      <c r="J295" s="1004"/>
      <c r="K295" s="2060"/>
      <c r="L295" s="230" t="s">
        <v>2418</v>
      </c>
      <c r="M295" s="1004"/>
      <c r="N295" s="1004"/>
      <c r="O295" s="1004"/>
      <c r="P295" s="2060"/>
      <c r="Q295" s="2060"/>
      <c r="R295" s="2060"/>
      <c r="S295" s="2060"/>
      <c r="T295" s="2060"/>
    </row>
    <row r="296" spans="1:20">
      <c r="A296" s="588"/>
      <c r="B296" s="588"/>
      <c r="C296" s="2060"/>
      <c r="D296" s="2060"/>
      <c r="E296" s="230" t="s">
        <v>2419</v>
      </c>
      <c r="F296" s="2060"/>
      <c r="G296" s="230" t="s">
        <v>2420</v>
      </c>
      <c r="H296" s="1004"/>
      <c r="I296" s="1004"/>
      <c r="J296" s="1004"/>
      <c r="K296" s="2060"/>
      <c r="L296" s="230" t="s">
        <v>2421</v>
      </c>
      <c r="M296" s="1004"/>
      <c r="N296" s="1004"/>
      <c r="O296" s="1004"/>
      <c r="P296" s="2060"/>
      <c r="Q296" s="2060"/>
      <c r="R296" s="2060"/>
      <c r="S296" s="2060"/>
      <c r="T296" s="2060"/>
    </row>
    <row r="297" spans="1:20">
      <c r="A297" s="588"/>
      <c r="B297" s="588"/>
      <c r="C297" s="2060"/>
      <c r="D297" s="2060"/>
      <c r="E297" s="230" t="s">
        <v>2422</v>
      </c>
      <c r="F297" s="2060"/>
      <c r="G297" s="230" t="s">
        <v>2423</v>
      </c>
      <c r="H297" s="1004"/>
      <c r="I297" s="1004"/>
      <c r="J297" s="1004"/>
      <c r="K297" s="2060"/>
      <c r="L297" s="230" t="s">
        <v>2424</v>
      </c>
      <c r="M297" s="1004"/>
      <c r="N297" s="1004"/>
      <c r="O297" s="1004"/>
      <c r="P297" s="2060"/>
      <c r="Q297" s="2060"/>
      <c r="R297" s="2060"/>
      <c r="S297" s="2060"/>
      <c r="T297" s="2060"/>
    </row>
    <row r="298" spans="1:20">
      <c r="A298" s="588"/>
      <c r="B298" s="588"/>
      <c r="C298" s="2060"/>
      <c r="D298" s="2060"/>
      <c r="E298" s="230" t="s">
        <v>2425</v>
      </c>
      <c r="F298" s="2060"/>
      <c r="G298" s="230" t="s">
        <v>2426</v>
      </c>
      <c r="H298" s="1004"/>
      <c r="I298" s="1004"/>
      <c r="J298" s="1004"/>
      <c r="K298" s="2060"/>
      <c r="L298" s="230" t="s">
        <v>2426</v>
      </c>
      <c r="M298" s="1004"/>
      <c r="N298" s="1004"/>
      <c r="O298" s="1004"/>
      <c r="P298" s="2060"/>
      <c r="Q298" s="2060"/>
      <c r="R298" s="2060"/>
      <c r="S298" s="2060"/>
      <c r="T298" s="2060"/>
    </row>
    <row r="299" spans="1:20">
      <c r="A299" s="588"/>
      <c r="B299" s="588"/>
      <c r="C299" s="2060"/>
      <c r="D299" s="2060"/>
      <c r="E299" s="230" t="s">
        <v>2427</v>
      </c>
      <c r="F299" s="2060"/>
      <c r="G299" s="230" t="s">
        <v>2428</v>
      </c>
      <c r="H299" s="1004"/>
      <c r="I299" s="1004"/>
      <c r="J299" s="1004"/>
      <c r="K299" s="2060"/>
      <c r="L299" s="230" t="s">
        <v>2429</v>
      </c>
      <c r="M299" s="1004"/>
      <c r="N299" s="1004"/>
      <c r="O299" s="1004"/>
      <c r="P299" s="2060"/>
      <c r="Q299" s="2060"/>
      <c r="R299" s="2060"/>
      <c r="S299" s="2060"/>
      <c r="T299" s="2060"/>
    </row>
    <row r="300" spans="1:20">
      <c r="A300" s="588"/>
      <c r="B300" s="588"/>
      <c r="C300" s="2060"/>
      <c r="D300" s="2060"/>
      <c r="E300" s="230" t="s">
        <v>2430</v>
      </c>
      <c r="F300" s="2060"/>
      <c r="G300" s="230" t="s">
        <v>2431</v>
      </c>
      <c r="H300" s="1004"/>
      <c r="I300" s="1004"/>
      <c r="J300" s="1004"/>
      <c r="K300" s="2060"/>
      <c r="L300" s="230" t="s">
        <v>2432</v>
      </c>
      <c r="M300" s="1004"/>
      <c r="N300" s="1004"/>
      <c r="O300" s="1004"/>
      <c r="P300" s="2060"/>
      <c r="Q300" s="2060"/>
      <c r="R300" s="2060"/>
      <c r="S300" s="2060"/>
      <c r="T300" s="2060"/>
    </row>
    <row r="301" spans="1:20">
      <c r="A301" s="588"/>
      <c r="B301" s="588"/>
      <c r="C301" s="2060"/>
      <c r="D301" s="2060"/>
      <c r="E301" s="230" t="s">
        <v>2433</v>
      </c>
      <c r="F301" s="2060"/>
      <c r="G301" s="230" t="s">
        <v>2434</v>
      </c>
      <c r="H301" s="1004"/>
      <c r="I301" s="1004"/>
      <c r="J301" s="1004"/>
      <c r="K301" s="2060"/>
      <c r="L301" s="230" t="s">
        <v>2435</v>
      </c>
      <c r="M301" s="1004"/>
      <c r="N301" s="1004"/>
      <c r="O301" s="1004"/>
      <c r="P301" s="2060"/>
      <c r="Q301" s="2060"/>
      <c r="R301" s="2060"/>
      <c r="S301" s="2060"/>
      <c r="T301" s="2060"/>
    </row>
    <row r="302" spans="1:20">
      <c r="A302" s="588"/>
      <c r="B302" s="588"/>
      <c r="C302" s="2060"/>
      <c r="D302" s="2060"/>
      <c r="E302" s="230" t="s">
        <v>2436</v>
      </c>
      <c r="F302" s="2060"/>
      <c r="G302" s="230" t="s">
        <v>2437</v>
      </c>
      <c r="H302" s="1004"/>
      <c r="I302" s="1004"/>
      <c r="J302" s="1004"/>
      <c r="K302" s="2060"/>
      <c r="L302" s="230" t="s">
        <v>2438</v>
      </c>
      <c r="M302" s="1004"/>
      <c r="N302" s="1004"/>
      <c r="O302" s="1004"/>
      <c r="P302" s="2060"/>
      <c r="Q302" s="2060"/>
      <c r="R302" s="2060"/>
      <c r="S302" s="2060"/>
      <c r="T302" s="2060"/>
    </row>
    <row r="303" spans="1:20">
      <c r="A303" s="588"/>
      <c r="B303" s="588"/>
      <c r="C303" s="2060"/>
      <c r="D303" s="2060"/>
      <c r="E303" s="230" t="s">
        <v>2439</v>
      </c>
      <c r="F303" s="2060"/>
      <c r="G303" s="230" t="s">
        <v>2440</v>
      </c>
      <c r="H303" s="1004"/>
      <c r="I303" s="1004"/>
      <c r="J303" s="1004"/>
      <c r="K303" s="2060"/>
      <c r="L303" s="230" t="s">
        <v>2440</v>
      </c>
      <c r="M303" s="1004"/>
      <c r="N303" s="1004"/>
      <c r="O303" s="1004"/>
      <c r="P303" s="2060"/>
      <c r="Q303" s="2060"/>
      <c r="R303" s="2060"/>
      <c r="S303" s="2060"/>
      <c r="T303" s="2060"/>
    </row>
    <row r="304" spans="1:20">
      <c r="A304" s="588"/>
      <c r="B304" s="588"/>
      <c r="C304" s="2060"/>
      <c r="D304" s="2060"/>
      <c r="E304" s="230" t="s">
        <v>2441</v>
      </c>
      <c r="F304" s="2060"/>
      <c r="G304" s="230" t="s">
        <v>2442</v>
      </c>
      <c r="H304" s="1004"/>
      <c r="I304" s="1004"/>
      <c r="J304" s="1004"/>
      <c r="K304" s="2060"/>
      <c r="L304" s="230" t="s">
        <v>2442</v>
      </c>
      <c r="M304" s="1004"/>
      <c r="N304" s="1004"/>
      <c r="O304" s="1004"/>
      <c r="P304" s="2060"/>
      <c r="Q304" s="2060"/>
      <c r="R304" s="2060"/>
      <c r="S304" s="2060"/>
      <c r="T304" s="2060"/>
    </row>
    <row r="305" spans="1:29">
      <c r="A305" s="588"/>
      <c r="B305" s="588"/>
      <c r="C305" s="2060"/>
      <c r="D305" s="2060"/>
      <c r="E305" s="230" t="s">
        <v>2443</v>
      </c>
      <c r="F305" s="2060"/>
      <c r="G305" s="230" t="s">
        <v>2444</v>
      </c>
      <c r="H305" s="1004"/>
      <c r="I305" s="1004"/>
      <c r="J305" s="1004"/>
      <c r="K305" s="2060"/>
      <c r="L305" s="230" t="s">
        <v>2444</v>
      </c>
      <c r="M305" s="1004"/>
      <c r="N305" s="1004"/>
      <c r="O305" s="1004"/>
      <c r="P305" s="2060"/>
      <c r="Q305" s="2060"/>
      <c r="R305" s="2060"/>
      <c r="S305" s="2060"/>
      <c r="T305" s="2060"/>
      <c r="U305" s="2060"/>
      <c r="V305" s="2060"/>
      <c r="W305" s="2060"/>
      <c r="X305" s="2060"/>
      <c r="Y305" s="2060"/>
      <c r="Z305" s="2060"/>
      <c r="AA305" s="2060"/>
      <c r="AB305" s="2060"/>
      <c r="AC305" s="2060"/>
    </row>
    <row r="306" spans="1:29">
      <c r="A306" s="588"/>
      <c r="B306" s="588"/>
      <c r="C306" s="2060"/>
      <c r="D306" s="2060"/>
      <c r="E306" s="230" t="s">
        <v>2445</v>
      </c>
      <c r="F306" s="2060"/>
      <c r="G306" s="230" t="s">
        <v>2446</v>
      </c>
      <c r="H306" s="1004"/>
      <c r="I306" s="1004"/>
      <c r="J306" s="1004"/>
      <c r="K306" s="2060"/>
      <c r="L306" s="230" t="s">
        <v>2446</v>
      </c>
      <c r="M306" s="1004"/>
      <c r="N306" s="1004"/>
      <c r="O306" s="1004"/>
      <c r="P306" s="2060"/>
      <c r="Q306" s="2060"/>
      <c r="R306" s="2060"/>
      <c r="S306" s="2060"/>
      <c r="T306" s="2060"/>
      <c r="U306" s="2060"/>
      <c r="V306" s="2060"/>
      <c r="W306" s="2060"/>
      <c r="X306" s="2060"/>
      <c r="Y306" s="2060"/>
      <c r="Z306" s="2060"/>
      <c r="AA306" s="2060"/>
      <c r="AB306" s="2060"/>
      <c r="AC306" s="2060"/>
    </row>
    <row r="307" spans="1:29">
      <c r="A307" s="588"/>
      <c r="B307" s="588"/>
      <c r="C307" s="2060"/>
      <c r="D307" s="2060"/>
      <c r="E307" s="230" t="s">
        <v>2447</v>
      </c>
      <c r="F307" s="2060"/>
      <c r="G307" s="230" t="s">
        <v>2448</v>
      </c>
      <c r="H307" s="1004"/>
      <c r="I307" s="1004"/>
      <c r="J307" s="1004"/>
      <c r="K307" s="2060"/>
      <c r="L307" s="230" t="s">
        <v>2448</v>
      </c>
      <c r="M307" s="1004"/>
      <c r="N307" s="1004"/>
      <c r="O307" s="1004"/>
      <c r="P307" s="2060"/>
      <c r="Q307" s="2060"/>
      <c r="R307" s="2060"/>
      <c r="S307" s="2060"/>
      <c r="T307" s="2060"/>
      <c r="U307" s="2060"/>
      <c r="V307" s="2060"/>
      <c r="W307" s="2060"/>
      <c r="X307" s="2060"/>
      <c r="Y307" s="2060"/>
      <c r="Z307" s="2060"/>
      <c r="AA307" s="2060"/>
      <c r="AB307" s="2060"/>
      <c r="AC307" s="2060"/>
    </row>
    <row r="308" spans="1:29">
      <c r="A308" s="588"/>
      <c r="B308" s="588"/>
      <c r="C308" s="2060"/>
      <c r="D308" s="2060"/>
      <c r="E308" s="230" t="s">
        <v>2449</v>
      </c>
      <c r="F308" s="2060"/>
      <c r="G308" s="230" t="s">
        <v>2450</v>
      </c>
      <c r="H308" s="1004"/>
      <c r="I308" s="1004"/>
      <c r="J308" s="1004"/>
      <c r="K308" s="2060"/>
      <c r="L308" s="230" t="s">
        <v>2451</v>
      </c>
      <c r="M308" s="1004"/>
      <c r="N308" s="1004"/>
      <c r="O308" s="1004"/>
      <c r="P308" s="2060"/>
      <c r="Q308" s="2060"/>
      <c r="R308" s="2060"/>
      <c r="S308" s="2060"/>
      <c r="T308" s="2060"/>
      <c r="U308" s="2060"/>
      <c r="V308" s="2060"/>
      <c r="W308" s="2060"/>
      <c r="X308" s="2060"/>
      <c r="Y308" s="2060"/>
      <c r="Z308" s="2060"/>
      <c r="AA308" s="2060"/>
      <c r="AB308" s="2060"/>
      <c r="AC308" s="2060"/>
    </row>
    <row r="309" spans="1:29">
      <c r="A309" s="588"/>
      <c r="B309" s="588"/>
      <c r="C309" s="2060"/>
      <c r="D309" s="2060"/>
      <c r="E309" s="230" t="s">
        <v>2452</v>
      </c>
      <c r="F309" s="2060"/>
      <c r="G309" s="230" t="s">
        <v>2453</v>
      </c>
      <c r="H309" s="1004"/>
      <c r="I309" s="1004"/>
      <c r="J309" s="1004"/>
      <c r="K309" s="2060"/>
      <c r="L309" s="230" t="s">
        <v>2454</v>
      </c>
      <c r="M309" s="1004"/>
      <c r="N309" s="1004"/>
      <c r="O309" s="1004"/>
      <c r="P309" s="2060"/>
      <c r="Q309" s="2060"/>
      <c r="R309" s="2060"/>
      <c r="S309" s="2060"/>
      <c r="T309" s="2060"/>
      <c r="U309" s="2060"/>
      <c r="V309" s="2060"/>
      <c r="W309" s="2060"/>
      <c r="X309" s="2060"/>
      <c r="Y309" s="2060"/>
      <c r="Z309" s="2060"/>
      <c r="AA309" s="2060"/>
      <c r="AB309" s="2060"/>
      <c r="AC309" s="2060"/>
    </row>
    <row r="310" spans="1:29">
      <c r="A310" s="588"/>
      <c r="B310" s="588"/>
      <c r="C310" s="2060"/>
      <c r="D310" s="2060"/>
      <c r="E310" s="230" t="s">
        <v>2455</v>
      </c>
      <c r="F310" s="2060"/>
      <c r="G310" s="230" t="s">
        <v>2456</v>
      </c>
      <c r="H310" s="1004"/>
      <c r="I310" s="1004"/>
      <c r="J310" s="1004"/>
      <c r="K310" s="2060"/>
      <c r="L310" s="230" t="s">
        <v>2457</v>
      </c>
      <c r="M310" s="1004"/>
      <c r="N310" s="1004"/>
      <c r="O310" s="1004"/>
      <c r="P310" s="2060"/>
      <c r="Q310" s="2060"/>
      <c r="R310" s="2060"/>
      <c r="S310" s="2060"/>
      <c r="T310" s="2060"/>
      <c r="U310" s="2060"/>
      <c r="V310" s="2060"/>
      <c r="W310" s="2060"/>
      <c r="X310" s="2060"/>
      <c r="Y310" s="2060"/>
      <c r="Z310" s="2060"/>
      <c r="AA310" s="2060"/>
      <c r="AB310" s="2060"/>
      <c r="AC310" s="2060"/>
    </row>
    <row r="311" spans="1:29">
      <c r="A311" s="588"/>
      <c r="B311" s="588"/>
      <c r="C311" s="2060"/>
      <c r="D311" s="2060"/>
      <c r="E311" s="230" t="s">
        <v>2458</v>
      </c>
      <c r="F311" s="2060"/>
      <c r="G311" s="230" t="s">
        <v>2459</v>
      </c>
      <c r="H311" s="1004"/>
      <c r="I311" s="1004"/>
      <c r="J311" s="1004"/>
      <c r="K311" s="2060"/>
      <c r="L311" s="230" t="s">
        <v>2460</v>
      </c>
      <c r="M311" s="1004"/>
      <c r="N311" s="1004"/>
      <c r="O311" s="1004"/>
      <c r="P311" s="2060"/>
      <c r="Q311" s="2060"/>
      <c r="R311" s="2060"/>
      <c r="S311" s="2060"/>
      <c r="T311" s="2060"/>
      <c r="U311" s="2060"/>
      <c r="V311" s="2060"/>
      <c r="W311" s="2060"/>
      <c r="X311" s="2060"/>
      <c r="Y311" s="2060"/>
      <c r="Z311" s="2060"/>
      <c r="AA311" s="2060"/>
      <c r="AB311" s="2060"/>
      <c r="AC311" s="2060"/>
    </row>
    <row r="312" spans="1:29">
      <c r="A312" s="588"/>
      <c r="B312" s="588"/>
      <c r="C312" s="2060"/>
      <c r="D312" s="2060"/>
      <c r="E312" s="230" t="s">
        <v>2461</v>
      </c>
      <c r="F312" s="2060"/>
      <c r="G312" s="230" t="s">
        <v>2462</v>
      </c>
      <c r="H312" s="1004"/>
      <c r="I312" s="1004"/>
      <c r="J312" s="1004"/>
      <c r="K312" s="2060"/>
      <c r="L312" s="230" t="s">
        <v>2463</v>
      </c>
      <c r="M312" s="1004"/>
      <c r="N312" s="1004"/>
      <c r="O312" s="1004"/>
      <c r="P312" s="2060"/>
      <c r="Q312" s="2060"/>
      <c r="R312" s="2060"/>
      <c r="S312" s="2060"/>
      <c r="T312" s="2060"/>
      <c r="U312" s="2060"/>
      <c r="V312" s="2060"/>
      <c r="W312" s="2060"/>
      <c r="X312" s="2060"/>
      <c r="Y312" s="2060"/>
      <c r="Z312" s="2060"/>
      <c r="AA312" s="2060"/>
      <c r="AB312" s="2060"/>
      <c r="AC312" s="2060"/>
    </row>
    <row r="313" spans="1:29" s="119" customFormat="1">
      <c r="A313" s="588"/>
      <c r="B313" s="588"/>
      <c r="C313" s="2060"/>
      <c r="D313" s="2060"/>
      <c r="E313" s="230" t="s">
        <v>2464</v>
      </c>
      <c r="F313" s="2060"/>
      <c r="G313" s="230" t="s">
        <v>2465</v>
      </c>
      <c r="H313" s="1004"/>
      <c r="I313" s="1004"/>
      <c r="J313" s="1004"/>
      <c r="K313" s="2060"/>
      <c r="L313" s="230" t="s">
        <v>2466</v>
      </c>
      <c r="M313" s="1004"/>
      <c r="N313" s="1004"/>
      <c r="O313" s="1004"/>
      <c r="P313" s="2060"/>
      <c r="Q313" s="2060"/>
      <c r="R313" s="2060"/>
      <c r="S313" s="2060"/>
      <c r="T313" s="2060"/>
      <c r="U313" s="2060"/>
      <c r="V313" s="2060"/>
      <c r="W313" s="2060"/>
      <c r="X313" s="2060"/>
      <c r="Y313" s="2060"/>
      <c r="Z313" s="2060"/>
      <c r="AA313" s="2060"/>
      <c r="AB313" s="2060"/>
      <c r="AC313" s="2060"/>
    </row>
    <row r="314" spans="1:29">
      <c r="A314" s="588"/>
      <c r="B314" s="588"/>
      <c r="C314" s="2060"/>
      <c r="D314" s="2060"/>
      <c r="E314" s="230" t="s">
        <v>2467</v>
      </c>
      <c r="F314" s="2060"/>
      <c r="G314" s="230" t="s">
        <v>2468</v>
      </c>
      <c r="H314" s="1004"/>
      <c r="I314" s="1004"/>
      <c r="J314" s="1004"/>
      <c r="K314" s="2060"/>
      <c r="L314" s="230" t="s">
        <v>2469</v>
      </c>
      <c r="M314" s="1004"/>
      <c r="N314" s="1004"/>
      <c r="O314" s="1004"/>
      <c r="P314" s="2060"/>
      <c r="Q314" s="2060"/>
      <c r="R314" s="2060"/>
      <c r="S314" s="2060"/>
      <c r="T314" s="2060"/>
      <c r="U314" s="2060"/>
      <c r="V314" s="2060"/>
      <c r="W314" s="2060"/>
      <c r="X314" s="2060"/>
      <c r="Y314" s="2060"/>
      <c r="Z314" s="2060"/>
      <c r="AA314" s="2060"/>
      <c r="AB314" s="2060"/>
      <c r="AC314" s="2060"/>
    </row>
    <row r="315" spans="1:29">
      <c r="A315" s="588"/>
      <c r="B315" s="588"/>
      <c r="C315" s="2060"/>
      <c r="D315" s="2060"/>
      <c r="E315" s="228" t="s">
        <v>2470</v>
      </c>
      <c r="F315" s="228"/>
      <c r="G315" s="228"/>
      <c r="H315" s="43"/>
      <c r="I315" s="43"/>
      <c r="J315" s="43"/>
      <c r="K315" s="43"/>
      <c r="L315" s="43"/>
      <c r="M315" s="43"/>
      <c r="N315" s="43"/>
      <c r="O315" s="43"/>
      <c r="P315" s="2060"/>
      <c r="Q315" s="2060"/>
      <c r="R315" s="2060"/>
      <c r="S315" s="2060"/>
      <c r="T315" s="2060"/>
      <c r="U315" s="2060"/>
      <c r="V315" s="2060"/>
      <c r="W315" s="2060"/>
      <c r="X315" s="2060"/>
      <c r="Y315" s="2060"/>
      <c r="Z315" s="2060"/>
      <c r="AA315" s="2060"/>
      <c r="AB315" s="2060"/>
      <c r="AC315" s="2060"/>
    </row>
    <row r="316" spans="1:29">
      <c r="A316" s="588"/>
      <c r="B316" s="588"/>
      <c r="C316" s="2060"/>
      <c r="D316" s="2060"/>
      <c r="E316" s="2060"/>
      <c r="F316" s="2060"/>
      <c r="G316" s="2060"/>
      <c r="H316" s="2060"/>
      <c r="I316" s="2060"/>
      <c r="J316" s="2060"/>
      <c r="K316" s="2060"/>
      <c r="L316" s="2060"/>
      <c r="M316" s="2060"/>
      <c r="N316" s="2060"/>
      <c r="O316" s="2060"/>
      <c r="P316" s="2060"/>
      <c r="Q316" s="2060"/>
      <c r="R316" s="2060"/>
      <c r="S316" s="2060"/>
      <c r="T316" s="2060"/>
      <c r="U316" s="2060"/>
      <c r="V316" s="2060"/>
      <c r="W316" s="2060"/>
      <c r="X316" s="2060"/>
      <c r="Y316" s="2060"/>
      <c r="Z316" s="2060"/>
      <c r="AA316" s="2060"/>
      <c r="AB316" s="2060"/>
      <c r="AC316" s="2060"/>
    </row>
    <row r="317" spans="1:29" s="449" customFormat="1" ht="18">
      <c r="A317" s="588"/>
      <c r="B317" s="588"/>
      <c r="C317" s="1486">
        <f ca="1">MAX(OFFSET(C317,-1,0,-ROW(C317)+1,1))+1-(A317="n")</f>
        <v>4</v>
      </c>
      <c r="D317" s="787" t="s">
        <v>2471</v>
      </c>
      <c r="E317" s="788"/>
      <c r="F317" s="788"/>
      <c r="G317" s="788"/>
      <c r="H317" s="788"/>
      <c r="I317" s="788"/>
      <c r="J317" s="788"/>
      <c r="K317" s="788"/>
      <c r="L317" s="788"/>
      <c r="M317" s="788"/>
      <c r="N317" s="788"/>
      <c r="O317" s="788"/>
      <c r="P317" s="788"/>
      <c r="Q317" s="788"/>
      <c r="R317" s="788"/>
      <c r="S317" s="788"/>
      <c r="T317" s="788"/>
      <c r="U317" s="788"/>
      <c r="V317" s="788"/>
      <c r="W317" s="788"/>
      <c r="X317" s="788"/>
      <c r="Y317" s="788"/>
      <c r="Z317" s="788"/>
      <c r="AA317" s="788"/>
      <c r="AB317" s="788"/>
      <c r="AC317" s="788"/>
    </row>
    <row r="319" spans="1:29" s="128" customFormat="1" ht="12.75" customHeight="1">
      <c r="A319" s="591"/>
      <c r="B319" s="591"/>
      <c r="E319" s="167" t="s">
        <v>2471</v>
      </c>
      <c r="H319" s="164">
        <f>I319-1</f>
        <v>2012</v>
      </c>
      <c r="I319" s="164">
        <f>J319-1</f>
        <v>2013</v>
      </c>
      <c r="J319" s="164">
        <f>K319-1</f>
        <v>2014</v>
      </c>
      <c r="K319" s="164">
        <f>L319-1</f>
        <v>2015</v>
      </c>
      <c r="L319" s="164">
        <f>IFERROR(YEAR(LFY),0)</f>
        <v>2016</v>
      </c>
      <c r="M319" s="164">
        <f>IFERROR(YEAR(LFQLTM),1)</f>
        <v>2016</v>
      </c>
      <c r="N319" s="158" t="str">
        <f>TEXT(H319,"0")&amp;"-"&amp;TEXT($L$319,"0")</f>
        <v>2012-2016</v>
      </c>
      <c r="O319" s="158" t="str">
        <f>TEXT(I319,"0")&amp;"-"&amp;TEXT($L$319,"0")</f>
        <v>2013-2016</v>
      </c>
      <c r="P319" s="158" t="str">
        <f>TEXT(J319,"0")&amp;"-"&amp;TEXT($L$319,"0")</f>
        <v>2014-2016</v>
      </c>
      <c r="Q319" s="158" t="str">
        <f>TEXT(K319,"0")&amp;"-"&amp;TEXT($L$319,"0")</f>
        <v>2015-2016</v>
      </c>
      <c r="R319" s="2060"/>
      <c r="S319" s="2060"/>
      <c r="T319" s="2060"/>
      <c r="U319" s="2060"/>
      <c r="V319" s="2060"/>
      <c r="W319" s="2060"/>
      <c r="X319" s="2060"/>
      <c r="Y319" s="2060"/>
      <c r="Z319" s="2060"/>
      <c r="AA319" s="2060"/>
      <c r="AB319" s="2060"/>
      <c r="AC319" s="2060"/>
    </row>
    <row r="320" spans="1:29" s="128" customFormat="1" ht="12.75" customHeight="1">
      <c r="A320" s="591"/>
      <c r="B320" s="591"/>
      <c r="D320" s="68"/>
      <c r="E320" s="1507" t="s">
        <v>1143</v>
      </c>
      <c r="G320" s="1507" t="s">
        <v>105</v>
      </c>
      <c r="H320" s="1026" t="s">
        <v>700</v>
      </c>
      <c r="I320" s="1026" t="s">
        <v>701</v>
      </c>
      <c r="J320" s="1026" t="s">
        <v>702</v>
      </c>
      <c r="K320" s="1026" t="s">
        <v>703</v>
      </c>
      <c r="L320" s="1026" t="s">
        <v>704</v>
      </c>
      <c r="M320" s="1026" t="s">
        <v>705</v>
      </c>
      <c r="N320" s="1026" t="s">
        <v>1112</v>
      </c>
      <c r="O320" s="1026" t="s">
        <v>1113</v>
      </c>
      <c r="P320" s="1026" t="s">
        <v>1114</v>
      </c>
      <c r="Q320" s="1026" t="s">
        <v>1115</v>
      </c>
      <c r="R320" s="2060"/>
      <c r="S320" s="2060"/>
      <c r="T320" s="2060"/>
      <c r="U320" s="2060"/>
      <c r="V320" s="2060"/>
      <c r="W320" s="2060"/>
      <c r="X320" s="2060"/>
      <c r="Y320" s="2060"/>
      <c r="Z320" s="2060"/>
      <c r="AA320" s="2060"/>
      <c r="AB320" s="2060"/>
      <c r="AC320" s="2060"/>
    </row>
    <row r="321" spans="1:29" s="128" customFormat="1" ht="12.75" customHeight="1">
      <c r="A321" s="269" t="str">
        <f t="shared" ref="A321:A335" si="5">IF(E321="--","n","")</f>
        <v>n</v>
      </c>
      <c r="B321" s="269"/>
      <c r="D321" s="784">
        <f t="shared" ref="D321:D335" ca="1" si="6">MAX(OFFSET(D321,-1,0,-ROW(D321)+1,-2),1)+0.01</f>
        <v>4.01</v>
      </c>
      <c r="E321" s="1504" t="str">
        <f>'WACC and TIC Inputs'!E$129</f>
        <v>--</v>
      </c>
      <c r="G321" s="1503" t="str">
        <f>IF(E321="--","--",_xll.ciqfunctions.udf.CIQ('DATA GPC'!G20,"IQ_COUNTRY_NAME"))</f>
        <v>--</v>
      </c>
      <c r="H321" s="2217" t="str">
        <f>IF($E321="--","--",IFERROR(INDEX(Reference!$G$91:$P$167,MATCH($G321,Reference!$E$91:$E$167,0),MATCH(H$319,Reference!$G$90:$Q$90,0)),"n/a"))</f>
        <v>--</v>
      </c>
      <c r="I321" s="2217" t="str">
        <f>IF($E321="--","--",IFERROR(INDEX(Reference!$G$91:$P$167,MATCH($G321,Reference!$E$91:$E$167,0),MATCH(I$319,Reference!$G$90:$Q$90,0)),"n/a"))</f>
        <v>--</v>
      </c>
      <c r="J321" s="2217" t="str">
        <f>IF($E321="--","--",IFERROR(INDEX(Reference!$G$91:$P$167,MATCH($G321,Reference!$E$91:$E$167,0),MATCH(J$319,Reference!$G$90:$Q$90,0)),"n/a"))</f>
        <v>--</v>
      </c>
      <c r="K321" s="2217" t="str">
        <f>IF($E321="--","--",IFERROR(INDEX(Reference!$G$91:$P$167,MATCH($G321,Reference!$E$91:$E$167,0),MATCH(K$319,Reference!$G$90:$Q$90,0)),"n/a"))</f>
        <v>--</v>
      </c>
      <c r="L321" s="2217" t="str">
        <f>IF($E321="--","--",IFERROR(INDEX(Reference!$G$91:$P$167,MATCH($G321,Reference!$E$91:$E$167,0),MATCH(L$319,Reference!$G$90:$Q$90,0)),"n/a"))</f>
        <v>--</v>
      </c>
      <c r="M321" s="2217" t="str">
        <f>IF($E321="--","--",IFERROR(INDEX(Reference!$G$91:$P$167,MATCH($G321,Reference!$E$91:$E$167,0),MATCH(M$319,Reference!$G$90:$Q$90,0)),"n/a"))</f>
        <v>--</v>
      </c>
      <c r="N321" s="2217" t="str">
        <f>IF($E321="--","--",IFERROR(AVERAGE(H321:$L321),"n/a"))</f>
        <v>--</v>
      </c>
      <c r="O321" s="2217" t="str">
        <f>IF($E321="--","--",IFERROR(AVERAGE(I321:$L321),"n/a"))</f>
        <v>--</v>
      </c>
      <c r="P321" s="2217" t="str">
        <f>IF($E321="--","--",IFERROR(AVERAGE(J321:$L321),"n/a"))</f>
        <v>--</v>
      </c>
      <c r="Q321" s="2217" t="str">
        <f>IF($E321="--","--",IFERROR(AVERAGE(K321:$L321),"n/a"))</f>
        <v>--</v>
      </c>
      <c r="R321" s="2060"/>
      <c r="S321" s="2060"/>
      <c r="T321" s="2060"/>
      <c r="U321" s="2060"/>
      <c r="V321" s="2060"/>
      <c r="W321" s="2060"/>
      <c r="X321" s="2060"/>
      <c r="Y321" s="2060"/>
      <c r="Z321" s="2060"/>
      <c r="AA321" s="2060"/>
      <c r="AB321" s="2060"/>
      <c r="AC321" s="2060"/>
    </row>
    <row r="322" spans="1:29" s="128" customFormat="1" ht="12.75" customHeight="1">
      <c r="A322" s="269" t="str">
        <f t="shared" si="5"/>
        <v>n</v>
      </c>
      <c r="B322" s="269"/>
      <c r="D322" s="784">
        <f t="shared" ca="1" si="6"/>
        <v>4.0199999999999996</v>
      </c>
      <c r="E322" s="1504" t="str">
        <f>'WACC and TIC Inputs'!E$130</f>
        <v>--</v>
      </c>
      <c r="G322" s="1503" t="str">
        <f>IF(E322="--","--",_xll.ciqfunctions.udf.CIQ('DATA GPC'!G21,"IQ_COUNTRY_NAME"))</f>
        <v>--</v>
      </c>
      <c r="H322" s="2217" t="str">
        <f>IF($E322="--","--",IFERROR(INDEX(Reference!$G$91:$P$167,MATCH($G322,Reference!$E$91:$E$167,0),MATCH(H$319,Reference!$G$90:$Q$90,0)),"n/a"))</f>
        <v>--</v>
      </c>
      <c r="I322" s="2217" t="str">
        <f>IF($E322="--","--",IFERROR(INDEX(Reference!$G$91:$P$167,MATCH($G322,Reference!$E$91:$E$167,0),MATCH(I$319,Reference!$G$90:$Q$90,0)),"n/a"))</f>
        <v>--</v>
      </c>
      <c r="J322" s="2217" t="str">
        <f>IF($E322="--","--",IFERROR(INDEX(Reference!$G$91:$P$167,MATCH($G322,Reference!$E$91:$E$167,0),MATCH(J$319,Reference!$G$90:$Q$90,0)),"n/a"))</f>
        <v>--</v>
      </c>
      <c r="K322" s="2217" t="str">
        <f>IF($E322="--","--",IFERROR(INDEX(Reference!$G$91:$P$167,MATCH($G322,Reference!$E$91:$E$167,0),MATCH(K$319,Reference!$G$90:$Q$90,0)),"n/a"))</f>
        <v>--</v>
      </c>
      <c r="L322" s="2217" t="str">
        <f>IF($E322="--","--",IFERROR(INDEX(Reference!$G$91:$P$167,MATCH($G322,Reference!$E$91:$E$167,0),MATCH(L$319,Reference!$G$90:$Q$90,0)),"n/a"))</f>
        <v>--</v>
      </c>
      <c r="M322" s="2217" t="str">
        <f>IF($E322="--","--",IFERROR(INDEX(Reference!$G$91:$P$167,MATCH($G322,Reference!$E$91:$E$167,0),MATCH(M$319,Reference!$G$90:$Q$90,0)),"n/a"))</f>
        <v>--</v>
      </c>
      <c r="N322" s="2217" t="str">
        <f>IF($E322="--","--",IFERROR(AVERAGE(H322:$L322),"n/a"))</f>
        <v>--</v>
      </c>
      <c r="O322" s="2217" t="str">
        <f>IF($E322="--","--",IFERROR(AVERAGE(I322:$L322),"n/a"))</f>
        <v>--</v>
      </c>
      <c r="P322" s="2217" t="str">
        <f>IF($E322="--","--",IFERROR(AVERAGE(J322:$L322),"n/a"))</f>
        <v>--</v>
      </c>
      <c r="Q322" s="2217" t="str">
        <f>IF($E322="--","--",IFERROR(AVERAGE(K322:$L322),"n/a"))</f>
        <v>--</v>
      </c>
      <c r="R322" s="2060"/>
      <c r="S322" s="2060"/>
      <c r="T322" s="2060"/>
      <c r="U322" s="2060"/>
      <c r="V322" s="2060"/>
      <c r="W322" s="2060"/>
      <c r="X322" s="2060"/>
      <c r="Y322" s="2060"/>
      <c r="Z322" s="2060"/>
      <c r="AA322" s="2060"/>
      <c r="AB322" s="2060"/>
      <c r="AC322" s="2060"/>
    </row>
    <row r="323" spans="1:29" s="128" customFormat="1" ht="12.75" customHeight="1">
      <c r="A323" s="269" t="str">
        <f t="shared" si="5"/>
        <v>n</v>
      </c>
      <c r="B323" s="269"/>
      <c r="D323" s="784">
        <f t="shared" ca="1" si="6"/>
        <v>4.0299999999999994</v>
      </c>
      <c r="E323" s="1504" t="str">
        <f>'WACC and TIC Inputs'!E$131</f>
        <v>--</v>
      </c>
      <c r="G323" s="1503" t="str">
        <f>IF(E323="--","--",_xll.ciqfunctions.udf.CIQ('DATA GPC'!G22,"IQ_COUNTRY_NAME"))</f>
        <v>--</v>
      </c>
      <c r="H323" s="2217" t="str">
        <f>IF($E323="--","--",IFERROR(INDEX(Reference!$G$91:$P$167,MATCH($G323,Reference!$E$91:$E$167,0),MATCH(H$319,Reference!$G$90:$Q$90,0)),"n/a"))</f>
        <v>--</v>
      </c>
      <c r="I323" s="2217" t="str">
        <f>IF($E323="--","--",IFERROR(INDEX(Reference!$G$91:$P$167,MATCH($G323,Reference!$E$91:$E$167,0),MATCH(I$319,Reference!$G$90:$Q$90,0)),"n/a"))</f>
        <v>--</v>
      </c>
      <c r="J323" s="2217" t="str">
        <f>IF($E323="--","--",IFERROR(INDEX(Reference!$G$91:$P$167,MATCH($G323,Reference!$E$91:$E$167,0),MATCH(J$319,Reference!$G$90:$Q$90,0)),"n/a"))</f>
        <v>--</v>
      </c>
      <c r="K323" s="2217" t="str">
        <f>IF($E323="--","--",IFERROR(INDEX(Reference!$G$91:$P$167,MATCH($G323,Reference!$E$91:$E$167,0),MATCH(K$319,Reference!$G$90:$Q$90,0)),"n/a"))</f>
        <v>--</v>
      </c>
      <c r="L323" s="2217" t="str">
        <f>IF($E323="--","--",IFERROR(INDEX(Reference!$G$91:$P$167,MATCH($G323,Reference!$E$91:$E$167,0),MATCH(L$319,Reference!$G$90:$Q$90,0)),"n/a"))</f>
        <v>--</v>
      </c>
      <c r="M323" s="2217" t="str">
        <f>IF($E323="--","--",IFERROR(INDEX(Reference!$G$91:$P$167,MATCH($G323,Reference!$E$91:$E$167,0),MATCH(M$319,Reference!$G$90:$Q$90,0)),"n/a"))</f>
        <v>--</v>
      </c>
      <c r="N323" s="2217" t="str">
        <f>IF($E323="--","--",IFERROR(AVERAGE(H323:$L323),"n/a"))</f>
        <v>--</v>
      </c>
      <c r="O323" s="2217" t="str">
        <f>IF($E323="--","--",IFERROR(AVERAGE(I323:$L323),"n/a"))</f>
        <v>--</v>
      </c>
      <c r="P323" s="2217" t="str">
        <f>IF($E323="--","--",IFERROR(AVERAGE(J323:$L323),"n/a"))</f>
        <v>--</v>
      </c>
      <c r="Q323" s="2217" t="str">
        <f>IF($E323="--","--",IFERROR(AVERAGE(K323:$L323),"n/a"))</f>
        <v>--</v>
      </c>
      <c r="R323" s="2060"/>
      <c r="S323" s="2060"/>
      <c r="T323" s="2060"/>
      <c r="U323" s="2060"/>
      <c r="V323" s="2060"/>
      <c r="W323" s="2060"/>
      <c r="X323" s="2060"/>
      <c r="Y323" s="2060"/>
      <c r="Z323" s="2060"/>
      <c r="AA323" s="2060"/>
      <c r="AB323" s="2060"/>
      <c r="AC323" s="2060"/>
    </row>
    <row r="324" spans="1:29" s="128" customFormat="1" ht="12.75" customHeight="1">
      <c r="A324" s="269" t="str">
        <f t="shared" si="5"/>
        <v>n</v>
      </c>
      <c r="B324" s="269"/>
      <c r="D324" s="784">
        <f t="shared" ca="1" si="6"/>
        <v>4.0399999999999991</v>
      </c>
      <c r="E324" s="1504" t="str">
        <f>'WACC and TIC Inputs'!E$132</f>
        <v>--</v>
      </c>
      <c r="G324" s="1503" t="str">
        <f>IF(E324="--","--",_xll.ciqfunctions.udf.CIQ('DATA GPC'!G23,"IQ_COUNTRY_NAME"))</f>
        <v>--</v>
      </c>
      <c r="H324" s="2217" t="str">
        <f>IF($E324="--","--",IFERROR(INDEX(Reference!$G$91:$P$167,MATCH($G324,Reference!$E$91:$E$167,0),MATCH(H$319,Reference!$G$90:$Q$90,0)),"n/a"))</f>
        <v>--</v>
      </c>
      <c r="I324" s="2217" t="str">
        <f>IF($E324="--","--",IFERROR(INDEX(Reference!$G$91:$P$167,MATCH($G324,Reference!$E$91:$E$167,0),MATCH(I$319,Reference!$G$90:$Q$90,0)),"n/a"))</f>
        <v>--</v>
      </c>
      <c r="J324" s="2217" t="str">
        <f>IF($E324="--","--",IFERROR(INDEX(Reference!$G$91:$P$167,MATCH($G324,Reference!$E$91:$E$167,0),MATCH(J$319,Reference!$G$90:$Q$90,0)),"n/a"))</f>
        <v>--</v>
      </c>
      <c r="K324" s="2217" t="str">
        <f>IF($E324="--","--",IFERROR(INDEX(Reference!$G$91:$P$167,MATCH($G324,Reference!$E$91:$E$167,0),MATCH(K$319,Reference!$G$90:$Q$90,0)),"n/a"))</f>
        <v>--</v>
      </c>
      <c r="L324" s="2217" t="str">
        <f>IF($E324="--","--",IFERROR(INDEX(Reference!$G$91:$P$167,MATCH($G324,Reference!$E$91:$E$167,0),MATCH(L$319,Reference!$G$90:$Q$90,0)),"n/a"))</f>
        <v>--</v>
      </c>
      <c r="M324" s="2217" t="str">
        <f>IF($E324="--","--",IFERROR(INDEX(Reference!$G$91:$P$167,MATCH($G324,Reference!$E$91:$E$167,0),MATCH(M$319,Reference!$G$90:$Q$90,0)),"n/a"))</f>
        <v>--</v>
      </c>
      <c r="N324" s="2217" t="str">
        <f>IF($E324="--","--",IFERROR(AVERAGE(H324:$L324),"n/a"))</f>
        <v>--</v>
      </c>
      <c r="O324" s="2217" t="str">
        <f>IF($E324="--","--",IFERROR(AVERAGE(I324:$L324),"n/a"))</f>
        <v>--</v>
      </c>
      <c r="P324" s="2217" t="str">
        <f>IF($E324="--","--",IFERROR(AVERAGE(J324:$L324),"n/a"))</f>
        <v>--</v>
      </c>
      <c r="Q324" s="2217" t="str">
        <f>IF($E324="--","--",IFERROR(AVERAGE(K324:$L324),"n/a"))</f>
        <v>--</v>
      </c>
      <c r="R324" s="2060"/>
      <c r="S324" s="2060"/>
      <c r="T324" s="2060"/>
      <c r="U324" s="2060"/>
      <c r="V324" s="2060"/>
      <c r="W324" s="2060"/>
      <c r="X324" s="2060"/>
      <c r="Y324" s="2060"/>
      <c r="Z324" s="2060"/>
      <c r="AA324" s="2060"/>
      <c r="AB324" s="2060"/>
      <c r="AC324" s="2060"/>
    </row>
    <row r="325" spans="1:29" s="128" customFormat="1" ht="12.75" customHeight="1">
      <c r="A325" s="269" t="str">
        <f t="shared" si="5"/>
        <v>n</v>
      </c>
      <c r="B325" s="269"/>
      <c r="D325" s="784">
        <f t="shared" ca="1" si="6"/>
        <v>4.0499999999999989</v>
      </c>
      <c r="E325" s="1504" t="str">
        <f>'WACC and TIC Inputs'!E$133</f>
        <v>--</v>
      </c>
      <c r="G325" s="1503" t="str">
        <f>IF(E325="--","--",_xll.ciqfunctions.udf.CIQ('DATA GPC'!G24,"IQ_COUNTRY_NAME"))</f>
        <v>--</v>
      </c>
      <c r="H325" s="2217" t="str">
        <f>IF($E325="--","--",IFERROR(INDEX(Reference!$G$91:$P$167,MATCH($G325,Reference!$E$91:$E$167,0),MATCH(H$319,Reference!$G$90:$Q$90,0)),"n/a"))</f>
        <v>--</v>
      </c>
      <c r="I325" s="2217" t="str">
        <f>IF($E325="--","--",IFERROR(INDEX(Reference!$G$91:$P$167,MATCH($G325,Reference!$E$91:$E$167,0),MATCH(I$319,Reference!$G$90:$Q$90,0)),"n/a"))</f>
        <v>--</v>
      </c>
      <c r="J325" s="2217" t="str">
        <f>IF($E325="--","--",IFERROR(INDEX(Reference!$G$91:$P$167,MATCH($G325,Reference!$E$91:$E$167,0),MATCH(J$319,Reference!$G$90:$Q$90,0)),"n/a"))</f>
        <v>--</v>
      </c>
      <c r="K325" s="2217" t="str">
        <f>IF($E325="--","--",IFERROR(INDEX(Reference!$G$91:$P$167,MATCH($G325,Reference!$E$91:$E$167,0),MATCH(K$319,Reference!$G$90:$Q$90,0)),"n/a"))</f>
        <v>--</v>
      </c>
      <c r="L325" s="2217" t="str">
        <f>IF($E325="--","--",IFERROR(INDEX(Reference!$G$91:$P$167,MATCH($G325,Reference!$E$91:$E$167,0),MATCH(L$319,Reference!$G$90:$Q$90,0)),"n/a"))</f>
        <v>--</v>
      </c>
      <c r="M325" s="2217" t="str">
        <f>IF($E325="--","--",IFERROR(INDEX(Reference!$G$91:$P$167,MATCH($G325,Reference!$E$91:$E$167,0),MATCH(M$319,Reference!$G$90:$Q$90,0)),"n/a"))</f>
        <v>--</v>
      </c>
      <c r="N325" s="2217" t="str">
        <f>IF($E325="--","--",IFERROR(AVERAGE(H325:$L325),"n/a"))</f>
        <v>--</v>
      </c>
      <c r="O325" s="2217" t="str">
        <f>IF($E325="--","--",IFERROR(AVERAGE(I325:$L325),"n/a"))</f>
        <v>--</v>
      </c>
      <c r="P325" s="2217" t="str">
        <f>IF($E325="--","--",IFERROR(AVERAGE(J325:$L325),"n/a"))</f>
        <v>--</v>
      </c>
      <c r="Q325" s="2217" t="str">
        <f>IF($E325="--","--",IFERROR(AVERAGE(K325:$L325),"n/a"))</f>
        <v>--</v>
      </c>
      <c r="R325" s="2060"/>
      <c r="S325" s="2060"/>
      <c r="T325" s="2060"/>
      <c r="U325" s="2060"/>
      <c r="V325" s="2060"/>
      <c r="W325" s="2060"/>
      <c r="X325" s="2060"/>
      <c r="Y325" s="2060"/>
      <c r="Z325" s="2060"/>
      <c r="AA325" s="2060"/>
      <c r="AB325" s="2060"/>
      <c r="AC325" s="2060"/>
    </row>
    <row r="326" spans="1:29" s="128" customFormat="1" ht="12.75" customHeight="1">
      <c r="A326" s="269" t="str">
        <f t="shared" si="5"/>
        <v>n</v>
      </c>
      <c r="B326" s="269"/>
      <c r="D326" s="784">
        <f t="shared" ca="1" si="6"/>
        <v>4.0599999999999987</v>
      </c>
      <c r="E326" s="1504" t="str">
        <f>'WACC and TIC Inputs'!E$134</f>
        <v>--</v>
      </c>
      <c r="G326" s="1503" t="str">
        <f>IF(E326="--","--",_xll.ciqfunctions.udf.CIQ('DATA GPC'!G25,"IQ_COUNTRY_NAME"))</f>
        <v>--</v>
      </c>
      <c r="H326" s="2217" t="str">
        <f>IF($E326="--","--",IFERROR(INDEX(Reference!$G$91:$P$167,MATCH($G326,Reference!$E$91:$E$167,0),MATCH(H$319,Reference!$G$90:$Q$90,0)),"n/a"))</f>
        <v>--</v>
      </c>
      <c r="I326" s="2217" t="str">
        <f>IF($E326="--","--",IFERROR(INDEX(Reference!$G$91:$P$167,MATCH($G326,Reference!$E$91:$E$167,0),MATCH(I$319,Reference!$G$90:$Q$90,0)),"n/a"))</f>
        <v>--</v>
      </c>
      <c r="J326" s="2217" t="str">
        <f>IF($E326="--","--",IFERROR(INDEX(Reference!$G$91:$P$167,MATCH($G326,Reference!$E$91:$E$167,0),MATCH(J$319,Reference!$G$90:$Q$90,0)),"n/a"))</f>
        <v>--</v>
      </c>
      <c r="K326" s="2217" t="str">
        <f>IF($E326="--","--",IFERROR(INDEX(Reference!$G$91:$P$167,MATCH($G326,Reference!$E$91:$E$167,0),MATCH(K$319,Reference!$G$90:$Q$90,0)),"n/a"))</f>
        <v>--</v>
      </c>
      <c r="L326" s="2217" t="str">
        <f>IF($E326="--","--",IFERROR(INDEX(Reference!$G$91:$P$167,MATCH($G326,Reference!$E$91:$E$167,0),MATCH(L$319,Reference!$G$90:$Q$90,0)),"n/a"))</f>
        <v>--</v>
      </c>
      <c r="M326" s="2217" t="str">
        <f>IF($E326="--","--",IFERROR(INDEX(Reference!$G$91:$P$167,MATCH($G326,Reference!$E$91:$E$167,0),MATCH(M$319,Reference!$G$90:$Q$90,0)),"n/a"))</f>
        <v>--</v>
      </c>
      <c r="N326" s="2217" t="str">
        <f>IF($E326="--","--",IFERROR(AVERAGE(H326:$L326),"n/a"))</f>
        <v>--</v>
      </c>
      <c r="O326" s="2217" t="str">
        <f>IF($E326="--","--",IFERROR(AVERAGE(I326:$L326),"n/a"))</f>
        <v>--</v>
      </c>
      <c r="P326" s="2217" t="str">
        <f>IF($E326="--","--",IFERROR(AVERAGE(J326:$L326),"n/a"))</f>
        <v>--</v>
      </c>
      <c r="Q326" s="2217" t="str">
        <f>IF($E326="--","--",IFERROR(AVERAGE(K326:$L326),"n/a"))</f>
        <v>--</v>
      </c>
      <c r="R326" s="2060"/>
      <c r="S326" s="2060"/>
      <c r="T326" s="2060"/>
      <c r="U326" s="2060"/>
      <c r="V326" s="2060"/>
      <c r="W326" s="2060"/>
      <c r="X326" s="2060"/>
      <c r="Y326" s="2060"/>
      <c r="Z326" s="2060"/>
      <c r="AA326" s="2060"/>
      <c r="AB326" s="2060"/>
      <c r="AC326" s="2060"/>
    </row>
    <row r="327" spans="1:29" s="128" customFormat="1" ht="12.75" customHeight="1">
      <c r="A327" s="269" t="str">
        <f t="shared" si="5"/>
        <v>n</v>
      </c>
      <c r="B327" s="269"/>
      <c r="D327" s="784">
        <f t="shared" ca="1" si="6"/>
        <v>4.0699999999999985</v>
      </c>
      <c r="E327" s="1504" t="str">
        <f>'WACC and TIC Inputs'!E$135</f>
        <v>--</v>
      </c>
      <c r="G327" s="1503" t="str">
        <f>IF(E327="--","--",_xll.ciqfunctions.udf.CIQ('DATA GPC'!G26,"IQ_COUNTRY_NAME"))</f>
        <v>--</v>
      </c>
      <c r="H327" s="2217" t="str">
        <f>IF($E327="--","--",IFERROR(INDEX(Reference!$G$91:$P$167,MATCH($G327,Reference!$E$91:$E$167,0),MATCH(H$319,Reference!$G$90:$Q$90,0)),"n/a"))</f>
        <v>--</v>
      </c>
      <c r="I327" s="2217" t="str">
        <f>IF($E327="--","--",IFERROR(INDEX(Reference!$G$91:$P$167,MATCH($G327,Reference!$E$91:$E$167,0),MATCH(I$319,Reference!$G$90:$Q$90,0)),"n/a"))</f>
        <v>--</v>
      </c>
      <c r="J327" s="2217" t="str">
        <f>IF($E327="--","--",IFERROR(INDEX(Reference!$G$91:$P$167,MATCH($G327,Reference!$E$91:$E$167,0),MATCH(J$319,Reference!$G$90:$Q$90,0)),"n/a"))</f>
        <v>--</v>
      </c>
      <c r="K327" s="2217" t="str">
        <f>IF($E327="--","--",IFERROR(INDEX(Reference!$G$91:$P$167,MATCH($G327,Reference!$E$91:$E$167,0),MATCH(K$319,Reference!$G$90:$Q$90,0)),"n/a"))</f>
        <v>--</v>
      </c>
      <c r="L327" s="2217" t="str">
        <f>IF($E327="--","--",IFERROR(INDEX(Reference!$G$91:$P$167,MATCH($G327,Reference!$E$91:$E$167,0),MATCH(L$319,Reference!$G$90:$Q$90,0)),"n/a"))</f>
        <v>--</v>
      </c>
      <c r="M327" s="2217" t="str">
        <f>IF($E327="--","--",IFERROR(INDEX(Reference!$G$91:$P$167,MATCH($G327,Reference!$E$91:$E$167,0),MATCH(M$319,Reference!$G$90:$Q$90,0)),"n/a"))</f>
        <v>--</v>
      </c>
      <c r="N327" s="2217" t="str">
        <f>IF($E327="--","--",IFERROR(AVERAGE(H327:$L327),"n/a"))</f>
        <v>--</v>
      </c>
      <c r="O327" s="2217" t="str">
        <f>IF($E327="--","--",IFERROR(AVERAGE(I327:$L327),"n/a"))</f>
        <v>--</v>
      </c>
      <c r="P327" s="2217" t="str">
        <f>IF($E327="--","--",IFERROR(AVERAGE(J327:$L327),"n/a"))</f>
        <v>--</v>
      </c>
      <c r="Q327" s="2217" t="str">
        <f>IF($E327="--","--",IFERROR(AVERAGE(K327:$L327),"n/a"))</f>
        <v>--</v>
      </c>
      <c r="R327" s="2060"/>
      <c r="S327" s="2060"/>
      <c r="T327" s="2060"/>
      <c r="U327" s="2060"/>
      <c r="V327" s="2060"/>
      <c r="W327" s="2060"/>
      <c r="X327" s="2060"/>
      <c r="Y327" s="2060"/>
      <c r="Z327" s="2060"/>
      <c r="AA327" s="2060"/>
      <c r="AB327" s="2060"/>
      <c r="AC327" s="2060"/>
    </row>
    <row r="328" spans="1:29" s="128" customFormat="1" ht="12.75" customHeight="1">
      <c r="A328" s="269" t="str">
        <f t="shared" si="5"/>
        <v>n</v>
      </c>
      <c r="B328" s="269"/>
      <c r="D328" s="784">
        <f t="shared" ca="1" si="6"/>
        <v>4.0799999999999983</v>
      </c>
      <c r="E328" s="1504" t="str">
        <f>'WACC and TIC Inputs'!E$136</f>
        <v>--</v>
      </c>
      <c r="G328" s="1503" t="str">
        <f>IF(E328="--","--",_xll.ciqfunctions.udf.CIQ('DATA GPC'!G27,"IQ_COUNTRY_NAME"))</f>
        <v>--</v>
      </c>
      <c r="H328" s="2217" t="str">
        <f>IF($E328="--","--",IFERROR(INDEX(Reference!$G$91:$P$167,MATCH($G328,Reference!$E$91:$E$167,0),MATCH(H$319,Reference!$G$90:$Q$90,0)),"n/a"))</f>
        <v>--</v>
      </c>
      <c r="I328" s="2217" t="str">
        <f>IF($E328="--","--",IFERROR(INDEX(Reference!$G$91:$P$167,MATCH($G328,Reference!$E$91:$E$167,0),MATCH(I$319,Reference!$G$90:$Q$90,0)),"n/a"))</f>
        <v>--</v>
      </c>
      <c r="J328" s="2217" t="str">
        <f>IF($E328="--","--",IFERROR(INDEX(Reference!$G$91:$P$167,MATCH($G328,Reference!$E$91:$E$167,0),MATCH(J$319,Reference!$G$90:$Q$90,0)),"n/a"))</f>
        <v>--</v>
      </c>
      <c r="K328" s="2217" t="str">
        <f>IF($E328="--","--",IFERROR(INDEX(Reference!$G$91:$P$167,MATCH($G328,Reference!$E$91:$E$167,0),MATCH(K$319,Reference!$G$90:$Q$90,0)),"n/a"))</f>
        <v>--</v>
      </c>
      <c r="L328" s="2217" t="str">
        <f>IF($E328="--","--",IFERROR(INDEX(Reference!$G$91:$P$167,MATCH($G328,Reference!$E$91:$E$167,0),MATCH(L$319,Reference!$G$90:$Q$90,0)),"n/a"))</f>
        <v>--</v>
      </c>
      <c r="M328" s="2217" t="str">
        <f>IF($E328="--","--",IFERROR(INDEX(Reference!$G$91:$P$167,MATCH($G328,Reference!$E$91:$E$167,0),MATCH(M$319,Reference!$G$90:$Q$90,0)),"n/a"))</f>
        <v>--</v>
      </c>
      <c r="N328" s="2217" t="str">
        <f>IF($E328="--","--",IFERROR(AVERAGE(H328:$L328),"n/a"))</f>
        <v>--</v>
      </c>
      <c r="O328" s="2217" t="str">
        <f>IF($E328="--","--",IFERROR(AVERAGE(I328:$L328),"n/a"))</f>
        <v>--</v>
      </c>
      <c r="P328" s="2217" t="str">
        <f>IF($E328="--","--",IFERROR(AVERAGE(J328:$L328),"n/a"))</f>
        <v>--</v>
      </c>
      <c r="Q328" s="2217" t="str">
        <f>IF($E328="--","--",IFERROR(AVERAGE(K328:$L328),"n/a"))</f>
        <v>--</v>
      </c>
      <c r="R328" s="2060"/>
      <c r="S328" s="2060"/>
      <c r="T328" s="2060"/>
      <c r="U328" s="2060"/>
      <c r="V328" s="2060"/>
      <c r="W328" s="2060"/>
      <c r="X328" s="2060"/>
      <c r="Y328" s="2060"/>
      <c r="Z328" s="2060"/>
      <c r="AA328" s="2060"/>
      <c r="AB328" s="2060"/>
      <c r="AC328" s="2060"/>
    </row>
    <row r="329" spans="1:29" s="160" customFormat="1">
      <c r="A329" s="269" t="str">
        <f t="shared" si="5"/>
        <v>n</v>
      </c>
      <c r="B329" s="269"/>
      <c r="C329" s="128"/>
      <c r="D329" s="784">
        <f t="shared" ca="1" si="6"/>
        <v>4.0899999999999981</v>
      </c>
      <c r="E329" s="1504" t="str">
        <f>'WACC and TIC Inputs'!E$137</f>
        <v>--</v>
      </c>
      <c r="F329" s="128"/>
      <c r="G329" s="1503" t="str">
        <f>IF(E329="--","--",_xll.ciqfunctions.udf.CIQ('DATA GPC'!G28,"IQ_COUNTRY_NAME"))</f>
        <v>--</v>
      </c>
      <c r="H329" s="2217" t="str">
        <f>IF($E329="--","--",IFERROR(INDEX(Reference!$G$91:$P$167,MATCH($G329,Reference!$E$91:$E$167,0),MATCH(H$319,Reference!$G$90:$Q$90,0)),"n/a"))</f>
        <v>--</v>
      </c>
      <c r="I329" s="2217" t="str">
        <f>IF($E329="--","--",IFERROR(INDEX(Reference!$G$91:$P$167,MATCH($G329,Reference!$E$91:$E$167,0),MATCH(I$319,Reference!$G$90:$Q$90,0)),"n/a"))</f>
        <v>--</v>
      </c>
      <c r="J329" s="2217" t="str">
        <f>IF($E329="--","--",IFERROR(INDEX(Reference!$G$91:$P$167,MATCH($G329,Reference!$E$91:$E$167,0),MATCH(J$319,Reference!$G$90:$Q$90,0)),"n/a"))</f>
        <v>--</v>
      </c>
      <c r="K329" s="2217" t="str">
        <f>IF($E329="--","--",IFERROR(INDEX(Reference!$G$91:$P$167,MATCH($G329,Reference!$E$91:$E$167,0),MATCH(K$319,Reference!$G$90:$Q$90,0)),"n/a"))</f>
        <v>--</v>
      </c>
      <c r="L329" s="2217" t="str">
        <f>IF($E329="--","--",IFERROR(INDEX(Reference!$G$91:$P$167,MATCH($G329,Reference!$E$91:$E$167,0),MATCH(L$319,Reference!$G$90:$Q$90,0)),"n/a"))</f>
        <v>--</v>
      </c>
      <c r="M329" s="2217" t="str">
        <f>IF($E329="--","--",IFERROR(INDEX(Reference!$G$91:$P$167,MATCH($G329,Reference!$E$91:$E$167,0),MATCH(M$319,Reference!$G$90:$Q$90,0)),"n/a"))</f>
        <v>--</v>
      </c>
      <c r="N329" s="2217" t="str">
        <f>IF($E329="--","--",IFERROR(AVERAGE(H329:$L329),"n/a"))</f>
        <v>--</v>
      </c>
      <c r="O329" s="2217" t="str">
        <f>IF($E329="--","--",IFERROR(AVERAGE(I329:$L329),"n/a"))</f>
        <v>--</v>
      </c>
      <c r="P329" s="2217" t="str">
        <f>IF($E329="--","--",IFERROR(AVERAGE(J329:$L329),"n/a"))</f>
        <v>--</v>
      </c>
      <c r="Q329" s="2217" t="str">
        <f>IF($E329="--","--",IFERROR(AVERAGE(K329:$L329),"n/a"))</f>
        <v>--</v>
      </c>
      <c r="R329" s="2060"/>
      <c r="S329" s="2060"/>
      <c r="T329" s="2060"/>
      <c r="U329" s="2060"/>
      <c r="V329" s="2060"/>
      <c r="W329" s="2060"/>
      <c r="X329" s="2060"/>
      <c r="Y329" s="2060"/>
      <c r="Z329" s="2060"/>
      <c r="AA329" s="2060"/>
      <c r="AB329" s="2060"/>
      <c r="AC329" s="2060"/>
    </row>
    <row r="330" spans="1:29" s="160" customFormat="1">
      <c r="A330" s="269" t="str">
        <f t="shared" si="5"/>
        <v>n</v>
      </c>
      <c r="B330" s="269"/>
      <c r="C330" s="128"/>
      <c r="D330" s="784">
        <f t="shared" ca="1" si="6"/>
        <v>4.0999999999999979</v>
      </c>
      <c r="E330" s="1504" t="str">
        <f>'WACC and TIC Inputs'!E$138</f>
        <v>--</v>
      </c>
      <c r="F330" s="128"/>
      <c r="G330" s="1503" t="str">
        <f>IF(E330="--","--",_xll.ciqfunctions.udf.CIQ('DATA GPC'!G29,"IQ_COUNTRY_NAME"))</f>
        <v>--</v>
      </c>
      <c r="H330" s="2217" t="str">
        <f>IF($E330="--","--",IFERROR(INDEX(Reference!$G$91:$P$167,MATCH($G330,Reference!$E$91:$E$167,0),MATCH(H$319,Reference!$G$90:$Q$90,0)),"n/a"))</f>
        <v>--</v>
      </c>
      <c r="I330" s="2217" t="str">
        <f>IF($E330="--","--",IFERROR(INDEX(Reference!$G$91:$P$167,MATCH($G330,Reference!$E$91:$E$167,0),MATCH(I$319,Reference!$G$90:$Q$90,0)),"n/a"))</f>
        <v>--</v>
      </c>
      <c r="J330" s="2217" t="str">
        <f>IF($E330="--","--",IFERROR(INDEX(Reference!$G$91:$P$167,MATCH($G330,Reference!$E$91:$E$167,0),MATCH(J$319,Reference!$G$90:$Q$90,0)),"n/a"))</f>
        <v>--</v>
      </c>
      <c r="K330" s="2217" t="str">
        <f>IF($E330="--","--",IFERROR(INDEX(Reference!$G$91:$P$167,MATCH($G330,Reference!$E$91:$E$167,0),MATCH(K$319,Reference!$G$90:$Q$90,0)),"n/a"))</f>
        <v>--</v>
      </c>
      <c r="L330" s="2217" t="str">
        <f>IF($E330="--","--",IFERROR(INDEX(Reference!$G$91:$P$167,MATCH($G330,Reference!$E$91:$E$167,0),MATCH(L$319,Reference!$G$90:$Q$90,0)),"n/a"))</f>
        <v>--</v>
      </c>
      <c r="M330" s="2217" t="str">
        <f>IF($E330="--","--",IFERROR(INDEX(Reference!$G$91:$P$167,MATCH($G330,Reference!$E$91:$E$167,0),MATCH(M$319,Reference!$G$90:$Q$90,0)),"n/a"))</f>
        <v>--</v>
      </c>
      <c r="N330" s="2217" t="str">
        <f>IF($E330="--","--",IFERROR(AVERAGE(H330:$L330),"n/a"))</f>
        <v>--</v>
      </c>
      <c r="O330" s="2217" t="str">
        <f>IF($E330="--","--",IFERROR(AVERAGE(I330:$L330),"n/a"))</f>
        <v>--</v>
      </c>
      <c r="P330" s="2217" t="str">
        <f>IF($E330="--","--",IFERROR(AVERAGE(J330:$L330),"n/a"))</f>
        <v>--</v>
      </c>
      <c r="Q330" s="2217" t="str">
        <f>IF($E330="--","--",IFERROR(AVERAGE(K330:$L330),"n/a"))</f>
        <v>--</v>
      </c>
      <c r="R330" s="2060"/>
      <c r="S330" s="2060"/>
      <c r="T330" s="2060"/>
      <c r="U330" s="2060"/>
      <c r="V330" s="2060"/>
      <c r="W330" s="2060"/>
      <c r="X330" s="2060"/>
      <c r="Y330" s="2060"/>
      <c r="Z330" s="2060"/>
      <c r="AA330" s="2060"/>
      <c r="AB330" s="2060"/>
      <c r="AC330" s="2060"/>
    </row>
    <row r="331" spans="1:29" s="160" customFormat="1">
      <c r="A331" s="269" t="str">
        <f t="shared" si="5"/>
        <v>n</v>
      </c>
      <c r="B331" s="269"/>
      <c r="C331" s="128"/>
      <c r="D331" s="784">
        <f t="shared" ca="1" si="6"/>
        <v>4.1099999999999977</v>
      </c>
      <c r="E331" s="1504" t="str">
        <f>'WACC and TIC Inputs'!E$139</f>
        <v>--</v>
      </c>
      <c r="F331" s="128"/>
      <c r="G331" s="1503" t="str">
        <f>IF(E331="--","--",_xll.ciqfunctions.udf.CIQ('DATA GPC'!G30,"IQ_COUNTRY_NAME"))</f>
        <v>--</v>
      </c>
      <c r="H331" s="2217" t="str">
        <f>IF($E331="--","--",IFERROR(INDEX(Reference!$G$91:$P$167,MATCH($G331,Reference!$E$91:$E$167,0),MATCH(H$319,Reference!$G$90:$Q$90,0)),"n/a"))</f>
        <v>--</v>
      </c>
      <c r="I331" s="2217" t="str">
        <f>IF($E331="--","--",IFERROR(INDEX(Reference!$G$91:$P$167,MATCH($G331,Reference!$E$91:$E$167,0),MATCH(I$319,Reference!$G$90:$Q$90,0)),"n/a"))</f>
        <v>--</v>
      </c>
      <c r="J331" s="2217" t="str">
        <f>IF($E331="--","--",IFERROR(INDEX(Reference!$G$91:$P$167,MATCH($G331,Reference!$E$91:$E$167,0),MATCH(J$319,Reference!$G$90:$Q$90,0)),"n/a"))</f>
        <v>--</v>
      </c>
      <c r="K331" s="2217" t="str">
        <f>IF($E331="--","--",IFERROR(INDEX(Reference!$G$91:$P$167,MATCH($G331,Reference!$E$91:$E$167,0),MATCH(K$319,Reference!$G$90:$Q$90,0)),"n/a"))</f>
        <v>--</v>
      </c>
      <c r="L331" s="2217" t="str">
        <f>IF($E331="--","--",IFERROR(INDEX(Reference!$G$91:$P$167,MATCH($G331,Reference!$E$91:$E$167,0),MATCH(L$319,Reference!$G$90:$Q$90,0)),"n/a"))</f>
        <v>--</v>
      </c>
      <c r="M331" s="2217" t="str">
        <f>IF($E331="--","--",IFERROR(INDEX(Reference!$G$91:$P$167,MATCH($G331,Reference!$E$91:$E$167,0),MATCH(M$319,Reference!$G$90:$Q$90,0)),"n/a"))</f>
        <v>--</v>
      </c>
      <c r="N331" s="2217" t="str">
        <f>IF($E331="--","--",IFERROR(AVERAGE(H331:$L331),"n/a"))</f>
        <v>--</v>
      </c>
      <c r="O331" s="2217" t="str">
        <f>IF($E331="--","--",IFERROR(AVERAGE(I331:$L331),"n/a"))</f>
        <v>--</v>
      </c>
      <c r="P331" s="2217" t="str">
        <f>IF($E331="--","--",IFERROR(AVERAGE(J331:$L331),"n/a"))</f>
        <v>--</v>
      </c>
      <c r="Q331" s="2217" t="str">
        <f>IF($E331="--","--",IFERROR(AVERAGE(K331:$L331),"n/a"))</f>
        <v>--</v>
      </c>
      <c r="R331" s="2060"/>
      <c r="S331" s="2060"/>
      <c r="T331" s="2060"/>
      <c r="U331" s="2060"/>
      <c r="V331" s="2060"/>
      <c r="W331" s="2060"/>
      <c r="X331" s="2060"/>
      <c r="Y331" s="2060"/>
      <c r="Z331" s="2060"/>
      <c r="AA331" s="2060"/>
      <c r="AB331" s="2060"/>
      <c r="AC331" s="2060"/>
    </row>
    <row r="332" spans="1:29" s="160" customFormat="1">
      <c r="A332" s="269" t="str">
        <f t="shared" si="5"/>
        <v>n</v>
      </c>
      <c r="B332" s="269"/>
      <c r="C332" s="128"/>
      <c r="D332" s="784">
        <f t="shared" ca="1" si="6"/>
        <v>4.1199999999999974</v>
      </c>
      <c r="E332" s="1504" t="str">
        <f>'WACC and TIC Inputs'!E$140</f>
        <v>--</v>
      </c>
      <c r="F332" s="128"/>
      <c r="G332" s="1503" t="str">
        <f>IF(E332="--","--",_xll.ciqfunctions.udf.CIQ('DATA GPC'!G31,"IQ_COUNTRY_NAME"))</f>
        <v>--</v>
      </c>
      <c r="H332" s="2217" t="str">
        <f>IF($E332="--","--",IFERROR(INDEX(Reference!$G$91:$P$167,MATCH($G332,Reference!$E$91:$E$167,0),MATCH(H$319,Reference!$G$90:$Q$90,0)),"n/a"))</f>
        <v>--</v>
      </c>
      <c r="I332" s="2217" t="str">
        <f>IF($E332="--","--",IFERROR(INDEX(Reference!$G$91:$P$167,MATCH($G332,Reference!$E$91:$E$167,0),MATCH(I$319,Reference!$G$90:$Q$90,0)),"n/a"))</f>
        <v>--</v>
      </c>
      <c r="J332" s="2217" t="str">
        <f>IF($E332="--","--",IFERROR(INDEX(Reference!$G$91:$P$167,MATCH($G332,Reference!$E$91:$E$167,0),MATCH(J$319,Reference!$G$90:$Q$90,0)),"n/a"))</f>
        <v>--</v>
      </c>
      <c r="K332" s="2217" t="str">
        <f>IF($E332="--","--",IFERROR(INDEX(Reference!$G$91:$P$167,MATCH($G332,Reference!$E$91:$E$167,0),MATCH(K$319,Reference!$G$90:$Q$90,0)),"n/a"))</f>
        <v>--</v>
      </c>
      <c r="L332" s="2217" t="str">
        <f>IF($E332="--","--",IFERROR(INDEX(Reference!$G$91:$P$167,MATCH($G332,Reference!$E$91:$E$167,0),MATCH(L$319,Reference!$G$90:$Q$90,0)),"n/a"))</f>
        <v>--</v>
      </c>
      <c r="M332" s="2217" t="str">
        <f>IF($E332="--","--",IFERROR(INDEX(Reference!$G$91:$P$167,MATCH($G332,Reference!$E$91:$E$167,0),MATCH(M$319,Reference!$G$90:$Q$90,0)),"n/a"))</f>
        <v>--</v>
      </c>
      <c r="N332" s="2217" t="str">
        <f>IF($E332="--","--",IFERROR(AVERAGE(H332:$L332),"n/a"))</f>
        <v>--</v>
      </c>
      <c r="O332" s="2217" t="str">
        <f>IF($E332="--","--",IFERROR(AVERAGE(I332:$L332),"n/a"))</f>
        <v>--</v>
      </c>
      <c r="P332" s="2217" t="str">
        <f>IF($E332="--","--",IFERROR(AVERAGE(J332:$L332),"n/a"))</f>
        <v>--</v>
      </c>
      <c r="Q332" s="2217" t="str">
        <f>IF($E332="--","--",IFERROR(AVERAGE(K332:$L332),"n/a"))</f>
        <v>--</v>
      </c>
      <c r="R332" s="2060"/>
      <c r="S332" s="2060"/>
      <c r="T332" s="2060"/>
      <c r="U332" s="2060"/>
      <c r="V332" s="2060"/>
      <c r="W332" s="2060"/>
      <c r="X332" s="2060"/>
      <c r="Y332" s="2060"/>
      <c r="Z332" s="2060"/>
      <c r="AA332" s="2060"/>
      <c r="AB332" s="2060"/>
      <c r="AC332" s="2060"/>
    </row>
    <row r="333" spans="1:29" s="160" customFormat="1">
      <c r="A333" s="269" t="str">
        <f t="shared" si="5"/>
        <v>n</v>
      </c>
      <c r="B333" s="269"/>
      <c r="C333" s="128"/>
      <c r="D333" s="784">
        <f t="shared" ca="1" si="6"/>
        <v>4.1299999999999972</v>
      </c>
      <c r="E333" s="1504" t="str">
        <f>'WACC and TIC Inputs'!E$141</f>
        <v>--</v>
      </c>
      <c r="F333" s="128"/>
      <c r="G333" s="1503" t="str">
        <f>IF(E333="--","--",_xll.ciqfunctions.udf.CIQ('DATA GPC'!G32,"IQ_COUNTRY_NAME"))</f>
        <v>--</v>
      </c>
      <c r="H333" s="2217" t="str">
        <f>IF($E333="--","--",IFERROR(INDEX(Reference!$G$91:$P$167,MATCH($G333,Reference!$E$91:$E$167,0),MATCH(H$319,Reference!$G$90:$Q$90,0)),"n/a"))</f>
        <v>--</v>
      </c>
      <c r="I333" s="2217" t="str">
        <f>IF($E333="--","--",IFERROR(INDEX(Reference!$G$91:$P$167,MATCH($G333,Reference!$E$91:$E$167,0),MATCH(I$319,Reference!$G$90:$Q$90,0)),"n/a"))</f>
        <v>--</v>
      </c>
      <c r="J333" s="2217" t="str">
        <f>IF($E333="--","--",IFERROR(INDEX(Reference!$G$91:$P$167,MATCH($G333,Reference!$E$91:$E$167,0),MATCH(J$319,Reference!$G$90:$Q$90,0)),"n/a"))</f>
        <v>--</v>
      </c>
      <c r="K333" s="2217" t="str">
        <f>IF($E333="--","--",IFERROR(INDEX(Reference!$G$91:$P$167,MATCH($G333,Reference!$E$91:$E$167,0),MATCH(K$319,Reference!$G$90:$Q$90,0)),"n/a"))</f>
        <v>--</v>
      </c>
      <c r="L333" s="2217" t="str">
        <f>IF($E333="--","--",IFERROR(INDEX(Reference!$G$91:$P$167,MATCH($G333,Reference!$E$91:$E$167,0),MATCH(L$319,Reference!$G$90:$Q$90,0)),"n/a"))</f>
        <v>--</v>
      </c>
      <c r="M333" s="2217" t="str">
        <f>IF($E333="--","--",IFERROR(INDEX(Reference!$G$91:$P$167,MATCH($G333,Reference!$E$91:$E$167,0),MATCH(M$319,Reference!$G$90:$Q$90,0)),"n/a"))</f>
        <v>--</v>
      </c>
      <c r="N333" s="2217" t="str">
        <f>IF($E333="--","--",IFERROR(AVERAGE(H333:$L333),"n/a"))</f>
        <v>--</v>
      </c>
      <c r="O333" s="2217" t="str">
        <f>IF($E333="--","--",IFERROR(AVERAGE(I333:$L333),"n/a"))</f>
        <v>--</v>
      </c>
      <c r="P333" s="2217" t="str">
        <f>IF($E333="--","--",IFERROR(AVERAGE(J333:$L333),"n/a"))</f>
        <v>--</v>
      </c>
      <c r="Q333" s="2217" t="str">
        <f>IF($E333="--","--",IFERROR(AVERAGE(K333:$L333),"n/a"))</f>
        <v>--</v>
      </c>
      <c r="R333" s="2060"/>
      <c r="S333" s="2060"/>
      <c r="T333" s="2060"/>
      <c r="U333" s="2060"/>
      <c r="V333" s="2060"/>
      <c r="W333" s="2060"/>
      <c r="X333" s="2060"/>
      <c r="Y333" s="2060"/>
      <c r="Z333" s="2060"/>
      <c r="AA333" s="2060"/>
      <c r="AB333" s="2060"/>
      <c r="AC333" s="2060"/>
    </row>
    <row r="334" spans="1:29" s="160" customFormat="1">
      <c r="A334" s="269" t="str">
        <f t="shared" si="5"/>
        <v>n</v>
      </c>
      <c r="B334" s="269"/>
      <c r="C334" s="128"/>
      <c r="D334" s="784">
        <f t="shared" ca="1" si="6"/>
        <v>4.139999999999997</v>
      </c>
      <c r="E334" s="1504" t="str">
        <f>'WACC and TIC Inputs'!E$142</f>
        <v>--</v>
      </c>
      <c r="F334" s="128"/>
      <c r="G334" s="1503" t="str">
        <f>IF(E334="--","--",_xll.ciqfunctions.udf.CIQ('DATA GPC'!G33,"IQ_COUNTRY_NAME"))</f>
        <v>--</v>
      </c>
      <c r="H334" s="2217" t="str">
        <f>IF($E334="--","--",IFERROR(INDEX(Reference!$G$91:$P$167,MATCH($G334,Reference!$E$91:$E$167,0),MATCH(H$319,Reference!$G$90:$Q$90,0)),"n/a"))</f>
        <v>--</v>
      </c>
      <c r="I334" s="2217" t="str">
        <f>IF($E334="--","--",IFERROR(INDEX(Reference!$G$91:$P$167,MATCH($G334,Reference!$E$91:$E$167,0),MATCH(I$319,Reference!$G$90:$Q$90,0)),"n/a"))</f>
        <v>--</v>
      </c>
      <c r="J334" s="2217" t="str">
        <f>IF($E334="--","--",IFERROR(INDEX(Reference!$G$91:$P$167,MATCH($G334,Reference!$E$91:$E$167,0),MATCH(J$319,Reference!$G$90:$Q$90,0)),"n/a"))</f>
        <v>--</v>
      </c>
      <c r="K334" s="2217" t="str">
        <f>IF($E334="--","--",IFERROR(INDEX(Reference!$G$91:$P$167,MATCH($G334,Reference!$E$91:$E$167,0),MATCH(K$319,Reference!$G$90:$Q$90,0)),"n/a"))</f>
        <v>--</v>
      </c>
      <c r="L334" s="2217" t="str">
        <f>IF($E334="--","--",IFERROR(INDEX(Reference!$G$91:$P$167,MATCH($G334,Reference!$E$91:$E$167,0),MATCH(L$319,Reference!$G$90:$Q$90,0)),"n/a"))</f>
        <v>--</v>
      </c>
      <c r="M334" s="2217" t="str">
        <f>IF($E334="--","--",IFERROR(INDEX(Reference!$G$91:$P$167,MATCH($G334,Reference!$E$91:$E$167,0),MATCH(M$319,Reference!$G$90:$Q$90,0)),"n/a"))</f>
        <v>--</v>
      </c>
      <c r="N334" s="2217" t="str">
        <f>IF($E334="--","--",IFERROR(AVERAGE(H334:$L334),"n/a"))</f>
        <v>--</v>
      </c>
      <c r="O334" s="2217" t="str">
        <f>IF($E334="--","--",IFERROR(AVERAGE(I334:$L334),"n/a"))</f>
        <v>--</v>
      </c>
      <c r="P334" s="2217" t="str">
        <f>IF($E334="--","--",IFERROR(AVERAGE(J334:$L334),"n/a"))</f>
        <v>--</v>
      </c>
      <c r="Q334" s="2217" t="str">
        <f>IF($E334="--","--",IFERROR(AVERAGE(K334:$L334),"n/a"))</f>
        <v>--</v>
      </c>
      <c r="R334" s="2060"/>
      <c r="S334" s="2060"/>
      <c r="T334" s="2060"/>
      <c r="U334" s="2060"/>
      <c r="V334" s="2060"/>
      <c r="W334" s="2060"/>
      <c r="X334" s="2060"/>
      <c r="Y334" s="2060"/>
      <c r="Z334" s="2060"/>
      <c r="AA334" s="2060"/>
      <c r="AB334" s="2060"/>
      <c r="AC334" s="2060"/>
    </row>
    <row r="335" spans="1:29" s="128" customFormat="1" ht="12.75" customHeight="1">
      <c r="A335" s="269" t="str">
        <f t="shared" si="5"/>
        <v>n</v>
      </c>
      <c r="B335" s="269"/>
      <c r="D335" s="784">
        <f t="shared" ca="1" si="6"/>
        <v>4.1499999999999968</v>
      </c>
      <c r="E335" s="1504" t="str">
        <f>'WACC and TIC Inputs'!E$153</f>
        <v>--</v>
      </c>
      <c r="G335" s="1503" t="str">
        <f>IF(E335="--","--",_xll.ciqfunctions.udf.CIQ('DATA GPC'!G44,"IQ_COUNTRY_NAME"))</f>
        <v>--</v>
      </c>
      <c r="H335" s="2217" t="str">
        <f>IF($E335="--","--",IFERROR(INDEX(Reference!$G$91:$P$167,MATCH($G335,Reference!$E$91:$E$167,0),MATCH(H$319,Reference!$G$90:$Q$90,0)),"n/a"))</f>
        <v>--</v>
      </c>
      <c r="I335" s="2217" t="str">
        <f>IF($E335="--","--",IFERROR(INDEX(Reference!$G$91:$P$167,MATCH($G335,Reference!$E$91:$E$167,0),MATCH(I$319,Reference!$G$90:$Q$90,0)),"n/a"))</f>
        <v>--</v>
      </c>
      <c r="J335" s="2217" t="str">
        <f>IF($E335="--","--",IFERROR(INDEX(Reference!$G$91:$P$167,MATCH($G335,Reference!$E$91:$E$167,0),MATCH(J$319,Reference!$G$90:$Q$90,0)),"n/a"))</f>
        <v>--</v>
      </c>
      <c r="K335" s="2217" t="str">
        <f>IF($E335="--","--",IFERROR(INDEX(Reference!$G$91:$P$167,MATCH($G335,Reference!$E$91:$E$167,0),MATCH(K$319,Reference!$G$90:$Q$90,0)),"n/a"))</f>
        <v>--</v>
      </c>
      <c r="L335" s="2217" t="str">
        <f>IF($E335="--","--",IFERROR(INDEX(Reference!$G$91:$P$167,MATCH($G335,Reference!$E$91:$E$167,0),MATCH(L$319,Reference!$G$90:$Q$90,0)),"n/a"))</f>
        <v>--</v>
      </c>
      <c r="M335" s="2217" t="str">
        <f>IF($E335="--","--",IFERROR(INDEX(Reference!$G$91:$P$167,MATCH($G335,Reference!$E$91:$E$167,0),MATCH(M$319,Reference!$G$90:$Q$90,0)),"n/a"))</f>
        <v>--</v>
      </c>
      <c r="N335" s="2217" t="str">
        <f>IF($E335="--","--",IFERROR(AVERAGE(H335:$L335),"n/a"))</f>
        <v>--</v>
      </c>
      <c r="O335" s="2217" t="str">
        <f>IF($E335="--","--",IFERROR(AVERAGE(I335:$L335),"n/a"))</f>
        <v>--</v>
      </c>
      <c r="P335" s="2217" t="str">
        <f>IF($E335="--","--",IFERROR(AVERAGE(J335:$L335),"n/a"))</f>
        <v>--</v>
      </c>
      <c r="Q335" s="2217" t="str">
        <f>IF($E335="--","--",IFERROR(AVERAGE(K335:$L335),"n/a"))</f>
        <v>--</v>
      </c>
      <c r="R335" s="2060"/>
      <c r="S335" s="2060"/>
      <c r="T335" s="2060"/>
      <c r="U335" s="2060"/>
      <c r="V335" s="2060"/>
      <c r="W335" s="2060"/>
      <c r="X335" s="2060"/>
      <c r="Y335" s="2060"/>
      <c r="Z335" s="2060"/>
      <c r="AA335" s="2060"/>
      <c r="AB335" s="2060"/>
      <c r="AC335" s="2060"/>
    </row>
    <row r="336" spans="1:29" s="93" customFormat="1" ht="12.75" customHeight="1">
      <c r="A336" s="591"/>
      <c r="B336" s="591"/>
      <c r="C336" s="128"/>
      <c r="D336" s="128"/>
      <c r="E336" s="138"/>
      <c r="F336" s="128"/>
      <c r="G336" s="128"/>
      <c r="H336" s="2060"/>
      <c r="I336" s="2060"/>
      <c r="J336" s="2060"/>
      <c r="K336" s="2060"/>
      <c r="L336" s="128"/>
      <c r="M336" s="128"/>
      <c r="N336" s="128"/>
      <c r="O336" s="137"/>
      <c r="P336" s="182"/>
      <c r="Q336" s="128"/>
      <c r="R336" s="2060"/>
      <c r="S336" s="2060"/>
      <c r="T336" s="2060"/>
      <c r="U336" s="2060"/>
      <c r="V336" s="2060"/>
      <c r="W336" s="2060"/>
      <c r="X336" s="2060"/>
      <c r="Y336" s="2060"/>
      <c r="Z336" s="2060"/>
      <c r="AA336" s="2060"/>
      <c r="AB336" s="2060"/>
      <c r="AC336" s="2060"/>
    </row>
    <row r="337" spans="1:29">
      <c r="A337" s="588"/>
      <c r="B337" s="588"/>
      <c r="C337" s="2060"/>
      <c r="D337" s="2060"/>
      <c r="E337" s="2060"/>
      <c r="F337" s="2060"/>
      <c r="G337" s="2060"/>
      <c r="H337" s="2060"/>
      <c r="I337" s="2060"/>
      <c r="J337" s="2060"/>
      <c r="K337" s="2060"/>
      <c r="L337" s="2060"/>
      <c r="M337" s="2060"/>
      <c r="N337" s="2060"/>
      <c r="O337" s="2060"/>
      <c r="P337" s="2060"/>
      <c r="Q337" s="2060"/>
      <c r="R337" s="2060"/>
      <c r="S337" s="2060"/>
      <c r="T337" s="2060"/>
      <c r="U337" s="2060"/>
      <c r="V337" s="2060"/>
      <c r="W337" s="2060"/>
      <c r="X337" s="2060"/>
      <c r="Y337" s="2060"/>
      <c r="Z337" s="2060"/>
      <c r="AA337" s="2060"/>
      <c r="AB337" s="2060"/>
      <c r="AC337" s="2060"/>
    </row>
    <row r="338" spans="1:29" s="449" customFormat="1" ht="18">
      <c r="A338" s="588"/>
      <c r="B338" s="588"/>
      <c r="C338" s="1486">
        <f ca="1">MAX(OFFSET(C338,-1,0,-ROW(C338)+1,1))+1-(A338="n")</f>
        <v>5</v>
      </c>
      <c r="D338" s="788" t="s">
        <v>2472</v>
      </c>
      <c r="E338" s="788"/>
      <c r="F338" s="788"/>
      <c r="G338" s="883" t="s">
        <v>2473</v>
      </c>
      <c r="H338" s="788"/>
      <c r="I338" s="788"/>
      <c r="J338" s="788"/>
      <c r="K338" s="788"/>
      <c r="L338" s="788"/>
      <c r="M338" s="788"/>
      <c r="N338" s="788"/>
      <c r="O338" s="788"/>
      <c r="P338" s="788"/>
      <c r="Q338" s="788"/>
      <c r="R338" s="788"/>
      <c r="S338" s="788"/>
      <c r="T338" s="788"/>
      <c r="U338" s="788"/>
      <c r="V338" s="788"/>
      <c r="W338" s="788"/>
      <c r="X338" s="788"/>
      <c r="Y338" s="788"/>
      <c r="Z338" s="788"/>
      <c r="AA338" s="788"/>
      <c r="AB338" s="788"/>
      <c r="AC338" s="788"/>
    </row>
    <row r="341" spans="1:29">
      <c r="A341" s="2060"/>
      <c r="B341" s="2060"/>
      <c r="C341" s="2060"/>
      <c r="D341" s="2060"/>
      <c r="E341" s="2060"/>
      <c r="F341" s="2060"/>
      <c r="G341" s="166" t="s">
        <v>2474</v>
      </c>
      <c r="H341" s="166"/>
      <c r="I341" s="166" t="s">
        <v>2475</v>
      </c>
      <c r="J341" s="270">
        <f>MAX(G342:G549)</f>
        <v>2017</v>
      </c>
      <c r="K341" s="166"/>
      <c r="L341" s="166"/>
      <c r="M341" s="166"/>
      <c r="N341" s="2060"/>
      <c r="O341" s="2060"/>
      <c r="P341" s="2060"/>
      <c r="Q341" s="2060"/>
      <c r="R341" s="2060"/>
      <c r="S341" s="2060"/>
      <c r="T341" s="2060"/>
      <c r="U341" s="2060"/>
      <c r="V341" s="2060"/>
      <c r="W341" s="2060"/>
      <c r="X341" s="2060"/>
      <c r="Y341" s="2060"/>
      <c r="Z341" s="2060"/>
      <c r="AA341" s="2060"/>
      <c r="AB341" s="2060"/>
      <c r="AC341" s="2060"/>
    </row>
    <row r="342" spans="1:29">
      <c r="A342" s="2060"/>
      <c r="B342" s="2060"/>
      <c r="C342" s="2060"/>
      <c r="D342" s="2060"/>
      <c r="E342" s="2060"/>
      <c r="F342" s="2060"/>
      <c r="G342" s="236" t="str">
        <f>G343&amp;"Title"</f>
        <v>2005Title</v>
      </c>
      <c r="H342" s="237" t="s">
        <v>2476</v>
      </c>
      <c r="I342" s="238"/>
      <c r="J342" s="238"/>
      <c r="K342" s="238"/>
      <c r="L342" s="238"/>
      <c r="M342" s="238"/>
      <c r="N342" s="2060"/>
      <c r="O342" s="2060"/>
      <c r="P342" s="2060"/>
      <c r="Q342" s="2060"/>
      <c r="R342" s="2060"/>
      <c r="S342" s="2060"/>
      <c r="T342" s="2060"/>
      <c r="U342" s="2060"/>
      <c r="V342" s="2060"/>
      <c r="W342" s="2060"/>
      <c r="X342" s="2060"/>
      <c r="Y342" s="2060"/>
      <c r="Z342" s="2060"/>
      <c r="AA342" s="2060"/>
      <c r="AB342" s="2060"/>
      <c r="AC342" s="2060"/>
    </row>
    <row r="343" spans="1:29" ht="27.6">
      <c r="A343" s="2060"/>
      <c r="B343" s="2060"/>
      <c r="C343" s="2060"/>
      <c r="D343" s="2060"/>
      <c r="E343" s="2060"/>
      <c r="F343" s="2060"/>
      <c r="G343" s="239">
        <v>2005</v>
      </c>
      <c r="H343" s="2273" t="s">
        <v>960</v>
      </c>
      <c r="I343" s="2274" t="s">
        <v>2477</v>
      </c>
      <c r="J343" s="2274"/>
      <c r="K343" s="2275" t="s">
        <v>2478</v>
      </c>
      <c r="L343" s="2276" t="s">
        <v>2479</v>
      </c>
      <c r="M343" s="2276" t="s">
        <v>2480</v>
      </c>
      <c r="N343" s="2060"/>
      <c r="O343" s="2060"/>
      <c r="P343" s="2060"/>
      <c r="Q343" s="2060"/>
      <c r="R343" s="2060"/>
      <c r="S343" s="2060"/>
      <c r="T343" s="2060"/>
      <c r="U343" s="2060"/>
      <c r="V343" s="2060"/>
      <c r="W343" s="2060"/>
      <c r="X343" s="2060"/>
      <c r="Y343" s="2060"/>
      <c r="Z343" s="2060"/>
      <c r="AA343" s="2060"/>
      <c r="AB343" s="2060"/>
      <c r="AC343" s="2060"/>
    </row>
    <row r="344" spans="1:29">
      <c r="A344" s="2060"/>
      <c r="B344" s="2060"/>
      <c r="C344" s="2060"/>
      <c r="D344" s="2060"/>
      <c r="E344" s="2060"/>
      <c r="F344" s="2060"/>
      <c r="G344" s="239">
        <v>2005</v>
      </c>
      <c r="H344" s="643" t="s">
        <v>1272</v>
      </c>
      <c r="I344" s="644" t="s">
        <v>1273</v>
      </c>
      <c r="J344" s="644" t="s">
        <v>1275</v>
      </c>
      <c r="K344" s="644" t="s">
        <v>2481</v>
      </c>
      <c r="L344" s="644" t="s">
        <v>1272</v>
      </c>
      <c r="M344" s="644" t="s">
        <v>1272</v>
      </c>
      <c r="N344" s="2060"/>
      <c r="O344" s="2060"/>
      <c r="P344" s="2060"/>
      <c r="Q344" s="2060"/>
      <c r="R344" s="2060"/>
      <c r="S344" s="2060"/>
      <c r="T344" s="2060"/>
      <c r="U344" s="2060"/>
      <c r="V344" s="2060"/>
      <c r="W344" s="2060"/>
      <c r="X344" s="2060"/>
      <c r="Y344" s="2060"/>
      <c r="Z344" s="2060"/>
      <c r="AA344" s="2060"/>
      <c r="AB344" s="2060"/>
      <c r="AC344" s="2060"/>
    </row>
    <row r="345" spans="1:29">
      <c r="A345" s="2060"/>
      <c r="B345" s="2060"/>
      <c r="C345" s="2060"/>
      <c r="D345" s="2060"/>
      <c r="E345" s="2060"/>
      <c r="F345" s="2060"/>
      <c r="G345" s="239">
        <v>2005</v>
      </c>
      <c r="H345" s="240" t="str">
        <f>G345&amp;"10b"</f>
        <v>200510b</v>
      </c>
      <c r="I345" s="241">
        <v>0</v>
      </c>
      <c r="J345" s="241">
        <f t="shared" ref="J345:J354" si="7">I346-0.1</f>
        <v>144.02200000000002</v>
      </c>
      <c r="K345" s="165">
        <v>4.0199999999999993E-2</v>
      </c>
      <c r="L345" s="165">
        <v>9.9000000000000005E-2</v>
      </c>
      <c r="M345" s="536">
        <v>6.4100000000000004E-2</v>
      </c>
      <c r="N345" s="2060"/>
      <c r="O345" s="2060"/>
      <c r="P345" s="2060"/>
      <c r="Q345" s="2060"/>
      <c r="R345" s="2060"/>
      <c r="S345" s="2060"/>
      <c r="T345" s="2060"/>
      <c r="U345" s="2060"/>
      <c r="V345" s="2060"/>
      <c r="W345" s="2060"/>
      <c r="X345" s="2060"/>
      <c r="Y345" s="2060"/>
      <c r="Z345" s="2060"/>
      <c r="AA345" s="2060"/>
      <c r="AB345" s="2060"/>
      <c r="AC345" s="2060"/>
    </row>
    <row r="346" spans="1:29">
      <c r="A346" s="2060"/>
      <c r="B346" s="2060"/>
      <c r="C346" s="2060"/>
      <c r="D346" s="2060"/>
      <c r="E346" s="2060"/>
      <c r="F346" s="2060"/>
      <c r="G346" s="239">
        <v>2005</v>
      </c>
      <c r="H346" s="240" t="str">
        <f>G346&amp;"10a"</f>
        <v>200510a</v>
      </c>
      <c r="I346" s="241">
        <v>144.12200000000001</v>
      </c>
      <c r="J346" s="241">
        <f t="shared" si="7"/>
        <v>262.87399999999997</v>
      </c>
      <c r="K346" s="165">
        <v>4.0199999999999993E-2</v>
      </c>
      <c r="L346" s="165">
        <v>4.5400000000000003E-2</v>
      </c>
      <c r="M346" s="536">
        <v>6.4100000000000004E-2</v>
      </c>
      <c r="N346" s="2060"/>
      <c r="O346" s="2060"/>
      <c r="P346" s="2060"/>
      <c r="Q346" s="2060"/>
      <c r="R346" s="2060"/>
      <c r="S346" s="2060"/>
      <c r="T346" s="2060"/>
      <c r="U346" s="2060"/>
      <c r="V346" s="2060"/>
      <c r="W346" s="2060"/>
      <c r="X346" s="2060"/>
      <c r="Y346" s="2060"/>
      <c r="Z346" s="2060"/>
      <c r="AA346" s="2060"/>
      <c r="AB346" s="2060"/>
      <c r="AC346" s="2060"/>
    </row>
    <row r="347" spans="1:29">
      <c r="A347" s="2060"/>
      <c r="B347" s="2060"/>
      <c r="C347" s="2060"/>
      <c r="D347" s="2060"/>
      <c r="E347" s="2060"/>
      <c r="F347" s="2060"/>
      <c r="G347" s="239">
        <v>2005</v>
      </c>
      <c r="H347" s="240" t="str">
        <f>G347&amp;"9"</f>
        <v>20059</v>
      </c>
      <c r="I347" s="241">
        <v>262.97399999999999</v>
      </c>
      <c r="J347" s="241">
        <f t="shared" si="7"/>
        <v>506.31</v>
      </c>
      <c r="K347" s="165">
        <v>4.0199999999999993E-2</v>
      </c>
      <c r="L347" s="165">
        <v>2.86E-2</v>
      </c>
      <c r="M347" s="165">
        <v>2.86E-2</v>
      </c>
      <c r="N347" s="2060"/>
      <c r="O347" s="2060"/>
      <c r="P347" s="2060"/>
      <c r="Q347" s="2060"/>
      <c r="R347" s="2060"/>
      <c r="S347" s="2060"/>
      <c r="T347" s="2060"/>
      <c r="U347" s="2060"/>
      <c r="V347" s="2060"/>
      <c r="W347" s="2060"/>
      <c r="X347" s="2060"/>
      <c r="Y347" s="2060"/>
      <c r="Z347" s="2060"/>
      <c r="AA347" s="2060"/>
      <c r="AB347" s="2060"/>
      <c r="AC347" s="2060"/>
    </row>
    <row r="348" spans="1:29">
      <c r="A348" s="2060"/>
      <c r="B348" s="2060"/>
      <c r="C348" s="2060"/>
      <c r="D348" s="2060"/>
      <c r="E348" s="2060"/>
      <c r="F348" s="2060"/>
      <c r="G348" s="239">
        <v>2005</v>
      </c>
      <c r="H348" s="240" t="str">
        <f>G348&amp;"8"</f>
        <v>20058</v>
      </c>
      <c r="I348" s="241">
        <v>506.41</v>
      </c>
      <c r="J348" s="241">
        <f t="shared" si="7"/>
        <v>746.149</v>
      </c>
      <c r="K348" s="165">
        <v>1.8100000000000002E-2</v>
      </c>
      <c r="L348" s="165">
        <v>2.3599999999999999E-2</v>
      </c>
      <c r="M348" s="165">
        <v>2.3599999999999999E-2</v>
      </c>
      <c r="N348" s="2060"/>
      <c r="O348" s="2060"/>
      <c r="P348" s="2060"/>
      <c r="Q348" s="2060"/>
      <c r="R348" s="2060"/>
      <c r="S348" s="2060"/>
      <c r="T348" s="2060"/>
      <c r="U348" s="2060"/>
      <c r="V348" s="2060"/>
      <c r="W348" s="2060"/>
      <c r="X348" s="2060"/>
      <c r="Y348" s="2060"/>
      <c r="Z348" s="2060"/>
      <c r="AA348" s="2060"/>
      <c r="AB348" s="2060"/>
      <c r="AC348" s="2060"/>
    </row>
    <row r="349" spans="1:29">
      <c r="A349" s="2060"/>
      <c r="B349" s="2060"/>
      <c r="C349" s="2060"/>
      <c r="D349" s="2060"/>
      <c r="E349" s="2060"/>
      <c r="F349" s="2060"/>
      <c r="G349" s="239">
        <v>2005</v>
      </c>
      <c r="H349" s="240" t="str">
        <f>G349&amp;"7"</f>
        <v>20057</v>
      </c>
      <c r="I349" s="241">
        <v>746.24900000000002</v>
      </c>
      <c r="J349" s="241">
        <f t="shared" si="7"/>
        <v>1098.1840000000002</v>
      </c>
      <c r="K349" s="165">
        <v>1.8100000000000002E-2</v>
      </c>
      <c r="L349" s="165">
        <v>1.61E-2</v>
      </c>
      <c r="M349" s="165">
        <v>1.61E-2</v>
      </c>
      <c r="N349" s="2060"/>
      <c r="O349" s="2060"/>
      <c r="P349" s="2060"/>
      <c r="Q349" s="2060"/>
      <c r="R349" s="2060"/>
      <c r="S349" s="2060"/>
      <c r="T349" s="2060"/>
      <c r="U349" s="2060"/>
      <c r="V349" s="2060"/>
      <c r="W349" s="2060"/>
      <c r="X349" s="2060"/>
      <c r="Y349" s="2060"/>
      <c r="Z349" s="2060"/>
      <c r="AA349" s="2060"/>
      <c r="AB349" s="2060"/>
      <c r="AC349" s="2060"/>
    </row>
    <row r="350" spans="1:29">
      <c r="A350" s="2060"/>
      <c r="B350" s="2060"/>
      <c r="C350" s="2060"/>
      <c r="D350" s="2060"/>
      <c r="E350" s="2060"/>
      <c r="F350" s="2060"/>
      <c r="G350" s="239">
        <v>2005</v>
      </c>
      <c r="H350" s="240" t="str">
        <f>G350&amp;"6"</f>
        <v>20056</v>
      </c>
      <c r="I350" s="241">
        <v>1098.2840000000001</v>
      </c>
      <c r="J350" s="241">
        <f t="shared" si="7"/>
        <v>1607.8310000000001</v>
      </c>
      <c r="K350" s="165">
        <v>1.8100000000000002E-2</v>
      </c>
      <c r="L350" s="165">
        <v>1.7500000000000002E-2</v>
      </c>
      <c r="M350" s="165">
        <v>1.7500000000000002E-2</v>
      </c>
      <c r="N350" s="2060"/>
      <c r="O350" s="2060"/>
      <c r="P350" s="2060"/>
      <c r="Q350" s="2060"/>
      <c r="R350" s="2060"/>
      <c r="S350" s="2060"/>
      <c r="T350" s="2060"/>
      <c r="U350" s="2060"/>
      <c r="V350" s="2060"/>
      <c r="W350" s="2060"/>
      <c r="X350" s="2060"/>
      <c r="Y350" s="2060"/>
      <c r="Z350" s="2060"/>
      <c r="AA350" s="2060"/>
      <c r="AB350" s="2060"/>
      <c r="AC350" s="2060"/>
    </row>
    <row r="351" spans="1:29">
      <c r="A351" s="2060"/>
      <c r="B351" s="2060"/>
      <c r="C351" s="2060"/>
      <c r="D351" s="2060"/>
      <c r="E351" s="2060"/>
      <c r="F351" s="2060"/>
      <c r="G351" s="239">
        <v>2005</v>
      </c>
      <c r="H351" s="240" t="str">
        <f>G351&amp;"5"</f>
        <v>20055</v>
      </c>
      <c r="I351" s="241">
        <v>1607.931</v>
      </c>
      <c r="J351" s="241">
        <f t="shared" si="7"/>
        <v>2234.0460000000003</v>
      </c>
      <c r="K351" s="165">
        <v>9.4999999999999998E-3</v>
      </c>
      <c r="L351" s="165">
        <v>1.44E-2</v>
      </c>
      <c r="M351" s="165">
        <v>1.44E-2</v>
      </c>
      <c r="N351" s="2060"/>
      <c r="O351" s="2060"/>
      <c r="P351" s="2060"/>
      <c r="Q351" s="2060"/>
      <c r="R351" s="2060"/>
      <c r="S351" s="2060"/>
      <c r="T351" s="2060"/>
      <c r="U351" s="2060"/>
      <c r="V351" s="2060"/>
      <c r="W351" s="2060"/>
      <c r="X351" s="2060"/>
      <c r="Y351" s="2060"/>
      <c r="Z351" s="2060"/>
      <c r="AA351" s="2060"/>
      <c r="AB351" s="2060"/>
      <c r="AC351" s="2060"/>
    </row>
    <row r="352" spans="1:29">
      <c r="A352" s="2060"/>
      <c r="B352" s="2060"/>
      <c r="C352" s="2060"/>
      <c r="D352" s="2060"/>
      <c r="E352" s="2060"/>
      <c r="F352" s="2060"/>
      <c r="G352" s="239">
        <v>2005</v>
      </c>
      <c r="H352" s="240" t="str">
        <f>G352&amp;"4"</f>
        <v>20054</v>
      </c>
      <c r="I352" s="241">
        <v>2234.1460000000002</v>
      </c>
      <c r="J352" s="241">
        <f t="shared" si="7"/>
        <v>3473.2350000000001</v>
      </c>
      <c r="K352" s="165">
        <v>9.4999999999999998E-3</v>
      </c>
      <c r="L352" s="165">
        <v>1.0700000000000001E-2</v>
      </c>
      <c r="M352" s="165">
        <v>1.0700000000000001E-2</v>
      </c>
      <c r="N352" s="2060"/>
      <c r="O352" s="2060"/>
      <c r="P352" s="2060"/>
      <c r="Q352" s="2060"/>
      <c r="R352" s="2060"/>
      <c r="S352" s="2060"/>
      <c r="T352" s="2060"/>
      <c r="U352" s="2060"/>
      <c r="V352" s="2060"/>
      <c r="W352" s="2060"/>
      <c r="X352" s="2060"/>
      <c r="Y352" s="2060"/>
      <c r="Z352" s="2060"/>
      <c r="AA352" s="2060"/>
      <c r="AB352" s="2060"/>
      <c r="AC352" s="2060"/>
    </row>
    <row r="353" spans="7:14">
      <c r="G353" s="239">
        <v>2005</v>
      </c>
      <c r="H353" s="240" t="str">
        <f>G353&amp;"3"</f>
        <v>20053</v>
      </c>
      <c r="I353" s="241">
        <v>3473.335</v>
      </c>
      <c r="J353" s="241">
        <f t="shared" si="7"/>
        <v>6258.4299999999994</v>
      </c>
      <c r="K353" s="165">
        <v>9.4999999999999998E-3</v>
      </c>
      <c r="L353" s="165">
        <v>7.4999999999999997E-3</v>
      </c>
      <c r="M353" s="165">
        <v>7.4999999999999997E-3</v>
      </c>
      <c r="N353" s="2060"/>
    </row>
    <row r="354" spans="7:14">
      <c r="G354" s="239">
        <v>2005</v>
      </c>
      <c r="H354" s="240" t="str">
        <f>G354&amp;"2"</f>
        <v>20052</v>
      </c>
      <c r="I354" s="241">
        <v>6258.53</v>
      </c>
      <c r="J354" s="241">
        <f t="shared" si="7"/>
        <v>14099.778</v>
      </c>
      <c r="K354" s="165">
        <v>6.0000000000000001E-3</v>
      </c>
      <c r="L354" s="165">
        <v>6.0000000000000001E-3</v>
      </c>
      <c r="M354" s="165">
        <v>6.0000000000000001E-3</v>
      </c>
      <c r="N354" s="2060"/>
    </row>
    <row r="355" spans="7:14">
      <c r="G355" s="239">
        <v>2005</v>
      </c>
      <c r="H355" s="240" t="str">
        <f>G355&amp;"1"</f>
        <v>20051</v>
      </c>
      <c r="I355" s="241">
        <v>14099.878000000001</v>
      </c>
      <c r="J355" s="241">
        <v>367495</v>
      </c>
      <c r="K355" s="165">
        <v>-3.7000000000000002E-3</v>
      </c>
      <c r="L355" s="165">
        <v>-3.7000000000000002E-3</v>
      </c>
      <c r="M355" s="165">
        <v>-3.7000000000000002E-3</v>
      </c>
      <c r="N355" s="2060"/>
    </row>
    <row r="356" spans="7:14">
      <c r="G356" s="1519"/>
      <c r="H356" s="242"/>
      <c r="I356" s="238" t="s">
        <v>2482</v>
      </c>
      <c r="J356" s="238"/>
      <c r="K356" s="238"/>
      <c r="L356" s="238"/>
      <c r="M356" s="238"/>
      <c r="N356" s="2060"/>
    </row>
    <row r="357" spans="7:14">
      <c r="G357" s="1519"/>
      <c r="H357" s="238"/>
      <c r="I357" s="1519"/>
      <c r="J357" s="1519"/>
      <c r="K357" s="243"/>
      <c r="L357" s="243"/>
      <c r="M357" s="243"/>
      <c r="N357" s="2060"/>
    </row>
    <row r="358" spans="7:14">
      <c r="G358" s="236" t="str">
        <f>G359&amp;"Title"</f>
        <v>2006Title</v>
      </c>
      <c r="H358" s="237" t="s">
        <v>2483</v>
      </c>
      <c r="I358" s="238"/>
      <c r="J358" s="238"/>
      <c r="K358" s="238"/>
      <c r="L358" s="238"/>
      <c r="M358" s="238"/>
      <c r="N358" s="2060"/>
    </row>
    <row r="359" spans="7:14" ht="27.6">
      <c r="G359" s="239">
        <v>2006</v>
      </c>
      <c r="H359" s="2273"/>
      <c r="I359" s="2274" t="s">
        <v>2477</v>
      </c>
      <c r="J359" s="2274"/>
      <c r="K359" s="2275" t="s">
        <v>2478</v>
      </c>
      <c r="L359" s="2276" t="s">
        <v>2479</v>
      </c>
      <c r="M359" s="2276" t="s">
        <v>2480</v>
      </c>
      <c r="N359" s="2060"/>
    </row>
    <row r="360" spans="7:14">
      <c r="G360" s="239">
        <v>2006</v>
      </c>
      <c r="H360" s="643" t="s">
        <v>1272</v>
      </c>
      <c r="I360" s="644" t="s">
        <v>1273</v>
      </c>
      <c r="J360" s="644" t="s">
        <v>1275</v>
      </c>
      <c r="K360" s="644" t="s">
        <v>2481</v>
      </c>
      <c r="L360" s="644" t="s">
        <v>1272</v>
      </c>
      <c r="M360" s="644" t="s">
        <v>1272</v>
      </c>
      <c r="N360" s="2060"/>
    </row>
    <row r="361" spans="7:14">
      <c r="G361" s="239">
        <v>2006</v>
      </c>
      <c r="H361" s="240" t="str">
        <f>G361&amp;"10b"</f>
        <v>200610b</v>
      </c>
      <c r="I361" s="241">
        <v>0</v>
      </c>
      <c r="J361" s="241">
        <f t="shared" ref="J361:J370" si="8">I362-0.1</f>
        <v>169.14500000000001</v>
      </c>
      <c r="K361" s="165">
        <v>3.95E-2</v>
      </c>
      <c r="L361" s="165">
        <v>9.8299999999999998E-2</v>
      </c>
      <c r="M361" s="536">
        <v>6.3600000000000004E-2</v>
      </c>
      <c r="N361" s="2060"/>
    </row>
    <row r="362" spans="7:14">
      <c r="G362" s="239">
        <v>2006</v>
      </c>
      <c r="H362" s="240" t="str">
        <f>G362&amp;"10a"</f>
        <v>200610a</v>
      </c>
      <c r="I362" s="241">
        <v>169.245</v>
      </c>
      <c r="J362" s="241">
        <f t="shared" si="8"/>
        <v>264.95599999999996</v>
      </c>
      <c r="K362" s="165">
        <v>3.95E-2</v>
      </c>
      <c r="L362" s="165">
        <v>4.3899999999999995E-2</v>
      </c>
      <c r="M362" s="536">
        <v>6.3600000000000004E-2</v>
      </c>
      <c r="N362" s="2060"/>
    </row>
    <row r="363" spans="7:14">
      <c r="G363" s="239">
        <v>2006</v>
      </c>
      <c r="H363" s="240" t="str">
        <f>G363&amp;"9"</f>
        <v>20069</v>
      </c>
      <c r="I363" s="241">
        <v>265.05599999999998</v>
      </c>
      <c r="J363" s="241">
        <f t="shared" si="8"/>
        <v>587.14300000000003</v>
      </c>
      <c r="K363" s="165">
        <v>3.95E-2</v>
      </c>
      <c r="L363" s="165">
        <v>2.76E-2</v>
      </c>
      <c r="M363" s="165">
        <v>2.76E-2</v>
      </c>
      <c r="N363" s="2060"/>
    </row>
    <row r="364" spans="7:14">
      <c r="G364" s="239">
        <v>2006</v>
      </c>
      <c r="H364" s="240" t="str">
        <f>G364&amp;"8"</f>
        <v>20068</v>
      </c>
      <c r="I364" s="241">
        <v>587.24300000000005</v>
      </c>
      <c r="J364" s="241">
        <f t="shared" si="8"/>
        <v>872.34299999999996</v>
      </c>
      <c r="K364" s="165">
        <v>1.8100000000000002E-2</v>
      </c>
      <c r="L364" s="165">
        <v>2.3300000000000001E-2</v>
      </c>
      <c r="M364" s="165">
        <v>2.3300000000000001E-2</v>
      </c>
      <c r="N364" s="2060"/>
    </row>
    <row r="365" spans="7:14">
      <c r="G365" s="239">
        <v>2006</v>
      </c>
      <c r="H365" s="240" t="str">
        <f>G365&amp;"7"</f>
        <v>20067</v>
      </c>
      <c r="I365" s="241">
        <v>872.44299999999998</v>
      </c>
      <c r="J365" s="241">
        <f t="shared" si="8"/>
        <v>1282.1760000000002</v>
      </c>
      <c r="K365" s="165">
        <v>1.8100000000000002E-2</v>
      </c>
      <c r="L365" s="165">
        <v>1.67E-2</v>
      </c>
      <c r="M365" s="165">
        <v>1.67E-2</v>
      </c>
      <c r="N365" s="2060"/>
    </row>
    <row r="366" spans="7:14">
      <c r="G366" s="239">
        <v>2006</v>
      </c>
      <c r="H366" s="240" t="str">
        <f>G366&amp;"6"</f>
        <v>20066</v>
      </c>
      <c r="I366" s="241">
        <v>1282.2760000000001</v>
      </c>
      <c r="J366" s="241">
        <f t="shared" si="8"/>
        <v>1729.2640000000001</v>
      </c>
      <c r="K366" s="165">
        <v>1.8100000000000002E-2</v>
      </c>
      <c r="L366" s="165">
        <v>1.7299999999999999E-2</v>
      </c>
      <c r="M366" s="165">
        <v>1.7299999999999999E-2</v>
      </c>
      <c r="N366" s="2060"/>
    </row>
    <row r="367" spans="7:14">
      <c r="G367" s="239">
        <v>2006</v>
      </c>
      <c r="H367" s="240" t="str">
        <f>G367&amp;"5"</f>
        <v>20065</v>
      </c>
      <c r="I367" s="241">
        <v>1729.364</v>
      </c>
      <c r="J367" s="241">
        <f t="shared" si="8"/>
        <v>2525.3720000000003</v>
      </c>
      <c r="K367" s="165">
        <v>1.0200000000000001E-2</v>
      </c>
      <c r="L367" s="165">
        <v>1.49E-2</v>
      </c>
      <c r="M367" s="165">
        <v>1.49E-2</v>
      </c>
      <c r="N367" s="2060"/>
    </row>
    <row r="368" spans="7:14">
      <c r="G368" s="239">
        <v>2006</v>
      </c>
      <c r="H368" s="240" t="str">
        <f>G368&amp;"4"</f>
        <v>20064</v>
      </c>
      <c r="I368" s="241">
        <v>2525.4720000000002</v>
      </c>
      <c r="J368" s="241">
        <f t="shared" si="8"/>
        <v>3968.8980000000001</v>
      </c>
      <c r="K368" s="165">
        <v>1.0200000000000001E-2</v>
      </c>
      <c r="L368" s="165">
        <v>1.1000000000000001E-2</v>
      </c>
      <c r="M368" s="165">
        <v>1.1000000000000001E-2</v>
      </c>
      <c r="N368" s="2060"/>
    </row>
    <row r="369" spans="7:14">
      <c r="G369" s="239">
        <v>2006</v>
      </c>
      <c r="H369" s="240" t="str">
        <f>G369&amp;"3"</f>
        <v>20063</v>
      </c>
      <c r="I369" s="241">
        <v>3968.998</v>
      </c>
      <c r="J369" s="241">
        <f t="shared" si="8"/>
        <v>7189.7869999999994</v>
      </c>
      <c r="K369" s="165">
        <v>1.0200000000000001E-2</v>
      </c>
      <c r="L369" s="165">
        <v>8.5000000000000006E-3</v>
      </c>
      <c r="M369" s="165">
        <v>8.5000000000000006E-3</v>
      </c>
      <c r="N369" s="2060"/>
    </row>
    <row r="370" spans="7:14">
      <c r="G370" s="239">
        <v>2006</v>
      </c>
      <c r="H370" s="240" t="str">
        <f>G370&amp;"2"</f>
        <v>20062</v>
      </c>
      <c r="I370" s="241">
        <v>7189.8869999999997</v>
      </c>
      <c r="J370" s="241">
        <f t="shared" si="8"/>
        <v>16090.914999999999</v>
      </c>
      <c r="K370" s="165">
        <v>6.7000000000000002E-3</v>
      </c>
      <c r="L370" s="165">
        <v>6.7000000000000002E-3</v>
      </c>
      <c r="M370" s="165">
        <v>6.7000000000000002E-3</v>
      </c>
      <c r="N370" s="2060"/>
    </row>
    <row r="371" spans="7:14">
      <c r="G371" s="239">
        <v>2006</v>
      </c>
      <c r="H371" s="240" t="str">
        <f>G371&amp;"1"</f>
        <v>20061</v>
      </c>
      <c r="I371" s="241">
        <v>16091.014999999999</v>
      </c>
      <c r="J371" s="241">
        <v>367495.14399999997</v>
      </c>
      <c r="K371" s="165">
        <v>-3.7000000000000002E-3</v>
      </c>
      <c r="L371" s="165">
        <v>-3.7000000000000002E-3</v>
      </c>
      <c r="M371" s="165">
        <v>-3.7000000000000002E-3</v>
      </c>
      <c r="N371" s="2060"/>
    </row>
    <row r="372" spans="7:14">
      <c r="G372" s="1519"/>
      <c r="H372" s="242"/>
      <c r="I372" s="238" t="s">
        <v>2484</v>
      </c>
      <c r="J372" s="244"/>
      <c r="K372" s="244"/>
      <c r="L372" s="244"/>
      <c r="M372" s="244"/>
      <c r="N372" s="2060"/>
    </row>
    <row r="373" spans="7:14">
      <c r="G373" s="1519"/>
      <c r="H373" s="238"/>
      <c r="I373" s="238"/>
      <c r="J373" s="238"/>
      <c r="K373" s="238"/>
      <c r="L373" s="238"/>
      <c r="M373" s="238"/>
      <c r="N373" s="2060"/>
    </row>
    <row r="374" spans="7:14">
      <c r="G374" s="236" t="str">
        <f>G375&amp;"Title"</f>
        <v>2007Title</v>
      </c>
      <c r="H374" s="245" t="s">
        <v>2485</v>
      </c>
      <c r="I374" s="238"/>
      <c r="J374" s="238"/>
      <c r="K374" s="238"/>
      <c r="L374" s="238"/>
      <c r="M374" s="238"/>
      <c r="N374" s="2060"/>
    </row>
    <row r="375" spans="7:14" ht="27.6">
      <c r="G375" s="239">
        <v>2007</v>
      </c>
      <c r="H375" s="2273"/>
      <c r="I375" s="2274" t="s">
        <v>2477</v>
      </c>
      <c r="J375" s="2274"/>
      <c r="K375" s="2275" t="s">
        <v>2478</v>
      </c>
      <c r="L375" s="2276" t="s">
        <v>2479</v>
      </c>
      <c r="M375" s="2276" t="s">
        <v>2480</v>
      </c>
      <c r="N375" s="2060"/>
    </row>
    <row r="376" spans="7:14">
      <c r="G376" s="239">
        <v>2007</v>
      </c>
      <c r="H376" s="643" t="s">
        <v>1272</v>
      </c>
      <c r="I376" s="644" t="s">
        <v>1273</v>
      </c>
      <c r="J376" s="644" t="s">
        <v>1275</v>
      </c>
      <c r="K376" s="644" t="s">
        <v>2481</v>
      </c>
      <c r="L376" s="644" t="s">
        <v>1272</v>
      </c>
      <c r="M376" s="644" t="s">
        <v>1272</v>
      </c>
      <c r="N376" s="2060"/>
    </row>
    <row r="377" spans="7:14">
      <c r="G377" s="239">
        <v>2007</v>
      </c>
      <c r="H377" s="240" t="str">
        <f>G377&amp;"10b"</f>
        <v>200710b</v>
      </c>
      <c r="I377" s="241">
        <v>0</v>
      </c>
      <c r="J377" s="241">
        <f t="shared" ref="J377:J386" si="9">I378-0.1</f>
        <v>173.339</v>
      </c>
      <c r="K377" s="165">
        <v>3.8800000000000001E-2</v>
      </c>
      <c r="L377" s="165">
        <v>9.6799999999999997E-2</v>
      </c>
      <c r="M377" s="536">
        <v>6.2699999999999992E-2</v>
      </c>
      <c r="N377" s="2060"/>
    </row>
    <row r="378" spans="7:14">
      <c r="G378" s="239">
        <v>2007</v>
      </c>
      <c r="H378" s="240" t="str">
        <f>G378&amp;"10a"</f>
        <v>200710a</v>
      </c>
      <c r="I378" s="241">
        <v>173.43899999999999</v>
      </c>
      <c r="J378" s="241">
        <f t="shared" si="9"/>
        <v>314.81199999999995</v>
      </c>
      <c r="K378" s="165">
        <v>3.8800000000000001E-2</v>
      </c>
      <c r="L378" s="165">
        <v>4.3499999999999997E-2</v>
      </c>
      <c r="M378" s="536">
        <v>6.2699999999999992E-2</v>
      </c>
      <c r="N378" s="2060"/>
    </row>
    <row r="379" spans="7:14">
      <c r="G379" s="239">
        <v>2007</v>
      </c>
      <c r="H379" s="240" t="str">
        <f>G379&amp;"9"</f>
        <v>20079</v>
      </c>
      <c r="I379" s="241">
        <v>314.91199999999998</v>
      </c>
      <c r="J379" s="241">
        <f t="shared" si="9"/>
        <v>626.91700000000003</v>
      </c>
      <c r="K379" s="165">
        <v>3.8800000000000001E-2</v>
      </c>
      <c r="L379" s="165">
        <v>2.7000000000000003E-2</v>
      </c>
      <c r="M379" s="165">
        <v>2.7000000000000003E-2</v>
      </c>
      <c r="N379" s="2060"/>
    </row>
    <row r="380" spans="7:14">
      <c r="G380" s="239">
        <v>2007</v>
      </c>
      <c r="H380" s="240" t="str">
        <f>G380&amp;"8"</f>
        <v>20078</v>
      </c>
      <c r="I380" s="241">
        <v>627.01700000000005</v>
      </c>
      <c r="J380" s="241">
        <f t="shared" si="9"/>
        <v>977.51199999999994</v>
      </c>
      <c r="K380" s="165">
        <v>1.7600000000000001E-2</v>
      </c>
      <c r="L380" s="165">
        <v>2.2799999999999997E-2</v>
      </c>
      <c r="M380" s="165">
        <v>2.2799999999999997E-2</v>
      </c>
      <c r="N380" s="2060"/>
    </row>
    <row r="381" spans="7:14">
      <c r="G381" s="239">
        <v>2007</v>
      </c>
      <c r="H381" s="240" t="str">
        <f>G381&amp;"7"</f>
        <v>20077</v>
      </c>
      <c r="I381" s="241">
        <v>977.61199999999997</v>
      </c>
      <c r="J381" s="241">
        <f t="shared" si="9"/>
        <v>1379.1670000000001</v>
      </c>
      <c r="K381" s="165">
        <v>1.7600000000000001E-2</v>
      </c>
      <c r="L381" s="165">
        <v>1.6200000000000003E-2</v>
      </c>
      <c r="M381" s="165">
        <v>1.6200000000000003E-2</v>
      </c>
      <c r="N381" s="2060"/>
    </row>
    <row r="382" spans="7:14">
      <c r="G382" s="239">
        <v>2007</v>
      </c>
      <c r="H382" s="240" t="str">
        <f>G382&amp;"6"</f>
        <v>20076</v>
      </c>
      <c r="I382" s="241">
        <v>1379.2670000000001</v>
      </c>
      <c r="J382" s="241">
        <f t="shared" si="9"/>
        <v>1947.14</v>
      </c>
      <c r="K382" s="165">
        <v>1.7600000000000001E-2</v>
      </c>
      <c r="L382" s="165">
        <v>1.67E-2</v>
      </c>
      <c r="M382" s="165">
        <v>1.67E-2</v>
      </c>
      <c r="N382" s="2060"/>
    </row>
    <row r="383" spans="7:14">
      <c r="G383" s="239">
        <v>2007</v>
      </c>
      <c r="H383" s="240" t="str">
        <f>G383&amp;"5"</f>
        <v>20075</v>
      </c>
      <c r="I383" s="241">
        <v>1947.24</v>
      </c>
      <c r="J383" s="241">
        <f t="shared" si="9"/>
        <v>2861.5550000000003</v>
      </c>
      <c r="K383" s="165">
        <v>9.7000000000000003E-3</v>
      </c>
      <c r="L383" s="165">
        <v>1.4499999999999999E-2</v>
      </c>
      <c r="M383" s="165">
        <v>1.4499999999999999E-2</v>
      </c>
      <c r="N383" s="2060"/>
    </row>
    <row r="384" spans="7:14">
      <c r="G384" s="239">
        <v>2007</v>
      </c>
      <c r="H384" s="240" t="str">
        <f>G384&amp;"4"</f>
        <v>20074</v>
      </c>
      <c r="I384" s="241">
        <v>2861.6550000000002</v>
      </c>
      <c r="J384" s="241">
        <f t="shared" si="9"/>
        <v>4098.1539999999995</v>
      </c>
      <c r="K384" s="165">
        <v>9.7000000000000003E-3</v>
      </c>
      <c r="L384" s="165">
        <v>1.03E-2</v>
      </c>
      <c r="M384" s="165">
        <v>1.03E-2</v>
      </c>
      <c r="N384" s="2060"/>
    </row>
    <row r="385" spans="7:14">
      <c r="G385" s="239">
        <v>2007</v>
      </c>
      <c r="H385" s="240" t="str">
        <f>G385&amp;"3"</f>
        <v>20073</v>
      </c>
      <c r="I385" s="241">
        <v>4098.2539999999999</v>
      </c>
      <c r="J385" s="241">
        <f t="shared" si="9"/>
        <v>7847.3239999999996</v>
      </c>
      <c r="K385" s="165">
        <v>9.7000000000000003E-3</v>
      </c>
      <c r="L385" s="165">
        <v>8.1000000000000013E-3</v>
      </c>
      <c r="M385" s="165">
        <v>8.1000000000000013E-3</v>
      </c>
      <c r="N385" s="2060"/>
    </row>
    <row r="386" spans="7:14">
      <c r="G386" s="239">
        <v>2007</v>
      </c>
      <c r="H386" s="240" t="str">
        <f>G386&amp;"2"</f>
        <v>20072</v>
      </c>
      <c r="I386" s="241">
        <v>7847.424</v>
      </c>
      <c r="J386" s="241">
        <f t="shared" si="9"/>
        <v>16847.963</v>
      </c>
      <c r="K386" s="165">
        <v>6.4999999999999997E-3</v>
      </c>
      <c r="L386" s="165">
        <v>6.4999999999999997E-3</v>
      </c>
      <c r="M386" s="165">
        <v>6.4999999999999997E-3</v>
      </c>
      <c r="N386" s="2060"/>
    </row>
    <row r="387" spans="7:14">
      <c r="G387" s="239">
        <v>2007</v>
      </c>
      <c r="H387" s="240" t="str">
        <f>G387&amp;"1"</f>
        <v>20071</v>
      </c>
      <c r="I387" s="241">
        <v>16848.062999999998</v>
      </c>
      <c r="J387" s="241">
        <v>371187</v>
      </c>
      <c r="K387" s="165">
        <v>-3.5999999999999999E-3</v>
      </c>
      <c r="L387" s="165">
        <v>-3.5999999999999999E-3</v>
      </c>
      <c r="M387" s="165">
        <v>-3.5999999999999999E-3</v>
      </c>
      <c r="N387" s="2060"/>
    </row>
    <row r="388" spans="7:14">
      <c r="G388" s="1519"/>
      <c r="H388" s="238"/>
      <c r="I388" s="238" t="s">
        <v>2486</v>
      </c>
      <c r="J388" s="238"/>
      <c r="K388" s="238"/>
      <c r="L388" s="238"/>
      <c r="M388" s="238"/>
      <c r="N388" s="2060"/>
    </row>
    <row r="389" spans="7:14">
      <c r="G389" s="1519"/>
      <c r="H389" s="238"/>
      <c r="I389" s="238"/>
      <c r="J389" s="238"/>
      <c r="K389" s="238"/>
      <c r="L389" s="238"/>
      <c r="M389" s="238"/>
      <c r="N389" s="2060"/>
    </row>
    <row r="390" spans="7:14">
      <c r="G390" s="236" t="str">
        <f>G391&amp;"Title"</f>
        <v>2008Title</v>
      </c>
      <c r="H390" s="237" t="s">
        <v>2487</v>
      </c>
      <c r="I390" s="238"/>
      <c r="J390" s="238"/>
      <c r="K390" s="238"/>
      <c r="L390" s="238"/>
      <c r="M390" s="238"/>
      <c r="N390" s="2060"/>
    </row>
    <row r="391" spans="7:14" ht="27.6">
      <c r="G391" s="239">
        <v>2008</v>
      </c>
      <c r="H391" s="2273"/>
      <c r="I391" s="2274" t="s">
        <v>2477</v>
      </c>
      <c r="J391" s="2274"/>
      <c r="K391" s="2275" t="s">
        <v>2478</v>
      </c>
      <c r="L391" s="2276" t="s">
        <v>2479</v>
      </c>
      <c r="M391" s="2276" t="s">
        <v>2480</v>
      </c>
      <c r="N391" s="2060"/>
    </row>
    <row r="392" spans="7:14">
      <c r="G392" s="239">
        <v>2008</v>
      </c>
      <c r="H392" s="643" t="s">
        <v>1272</v>
      </c>
      <c r="I392" s="644" t="s">
        <v>1273</v>
      </c>
      <c r="J392" s="644" t="s">
        <v>1275</v>
      </c>
      <c r="K392" s="644" t="s">
        <v>2481</v>
      </c>
      <c r="L392" s="644" t="s">
        <v>1272</v>
      </c>
      <c r="M392" s="644" t="s">
        <v>1272</v>
      </c>
      <c r="N392" s="2060"/>
    </row>
    <row r="393" spans="7:14">
      <c r="G393" s="239">
        <v>2008</v>
      </c>
      <c r="H393" s="240" t="str">
        <f>G393&amp;"10b"</f>
        <v>200810b</v>
      </c>
      <c r="I393" s="241">
        <v>0</v>
      </c>
      <c r="J393" s="241">
        <f t="shared" ref="J393:J402" si="10">I394-0.1</f>
        <v>211.49</v>
      </c>
      <c r="K393" s="165">
        <v>3.6499999999999998E-2</v>
      </c>
      <c r="L393" s="165">
        <v>9.7299999999999998E-2</v>
      </c>
      <c r="M393" s="536">
        <v>5.8200000000000002E-2</v>
      </c>
      <c r="N393" s="2060"/>
    </row>
    <row r="394" spans="7:14">
      <c r="G394" s="239">
        <v>2008</v>
      </c>
      <c r="H394" s="240" t="str">
        <f>G394&amp;"10a"</f>
        <v>200810a</v>
      </c>
      <c r="I394" s="241">
        <v>211.59</v>
      </c>
      <c r="J394" s="241">
        <f t="shared" si="10"/>
        <v>363.44899999999996</v>
      </c>
      <c r="K394" s="165">
        <v>3.6499999999999998E-2</v>
      </c>
      <c r="L394" s="165">
        <v>3.9900000000000005E-2</v>
      </c>
      <c r="M394" s="536">
        <v>5.8200000000000002E-2</v>
      </c>
      <c r="N394" s="2060"/>
    </row>
    <row r="395" spans="7:14">
      <c r="G395" s="239">
        <v>2008</v>
      </c>
      <c r="H395" s="240" t="str">
        <f>G395&amp;"9"</f>
        <v>20089</v>
      </c>
      <c r="I395" s="241">
        <v>363.54899999999998</v>
      </c>
      <c r="J395" s="241">
        <f t="shared" si="10"/>
        <v>725.16700000000003</v>
      </c>
      <c r="K395" s="165">
        <v>3.6499999999999998E-2</v>
      </c>
      <c r="L395" s="165">
        <v>2.5600000000000001E-2</v>
      </c>
      <c r="M395" s="165">
        <v>2.5600000000000001E-2</v>
      </c>
      <c r="N395" s="2060"/>
    </row>
    <row r="396" spans="7:14">
      <c r="G396" s="239">
        <v>2008</v>
      </c>
      <c r="H396" s="240" t="str">
        <f>G396&amp;"8"</f>
        <v>20088</v>
      </c>
      <c r="I396" s="241">
        <v>725.26700000000005</v>
      </c>
      <c r="J396" s="241">
        <f t="shared" si="10"/>
        <v>1129.0920000000001</v>
      </c>
      <c r="K396" s="165">
        <v>1.6500000000000001E-2</v>
      </c>
      <c r="L396" s="165">
        <v>2.2000000000000002E-2</v>
      </c>
      <c r="M396" s="165">
        <v>2.2000000000000002E-2</v>
      </c>
      <c r="N396" s="2060"/>
    </row>
    <row r="397" spans="7:14">
      <c r="G397" s="239">
        <v>2008</v>
      </c>
      <c r="H397" s="240" t="str">
        <f>G397&amp;"7"</f>
        <v>20087</v>
      </c>
      <c r="I397" s="241">
        <v>1129.192</v>
      </c>
      <c r="J397" s="241">
        <f t="shared" si="10"/>
        <v>1633.568</v>
      </c>
      <c r="K397" s="165">
        <v>1.6500000000000001E-2</v>
      </c>
      <c r="L397" s="165">
        <v>1.4999999999999999E-2</v>
      </c>
      <c r="M397" s="165">
        <v>1.4999999999999999E-2</v>
      </c>
      <c r="N397" s="2060"/>
    </row>
    <row r="398" spans="7:14">
      <c r="G398" s="239">
        <v>2008</v>
      </c>
      <c r="H398" s="240" t="str">
        <f>G398&amp;"6"</f>
        <v>20086</v>
      </c>
      <c r="I398" s="241">
        <v>1633.6679999999999</v>
      </c>
      <c r="J398" s="241">
        <f t="shared" si="10"/>
        <v>2413.4830000000002</v>
      </c>
      <c r="K398" s="165">
        <v>1.6500000000000001E-2</v>
      </c>
      <c r="L398" s="165">
        <v>1.6E-2</v>
      </c>
      <c r="M398" s="165">
        <v>1.6E-2</v>
      </c>
      <c r="N398" s="2060"/>
    </row>
    <row r="399" spans="7:14">
      <c r="G399" s="239">
        <v>2008</v>
      </c>
      <c r="H399" s="240" t="str">
        <f>G399&amp;"5"</f>
        <v>20085</v>
      </c>
      <c r="I399" s="241">
        <v>2413.5830000000001</v>
      </c>
      <c r="J399" s="241">
        <f t="shared" si="10"/>
        <v>3426.4859999999999</v>
      </c>
      <c r="K399" s="165">
        <v>9.1999999999999998E-3</v>
      </c>
      <c r="L399" s="165">
        <v>1.47E-2</v>
      </c>
      <c r="M399" s="165">
        <v>1.47E-2</v>
      </c>
      <c r="N399" s="2060"/>
    </row>
    <row r="400" spans="7:14">
      <c r="G400" s="239">
        <v>2008</v>
      </c>
      <c r="H400" s="240" t="str">
        <f>G400&amp;"4"</f>
        <v>20084</v>
      </c>
      <c r="I400" s="241">
        <v>3426.5859999999998</v>
      </c>
      <c r="J400" s="241">
        <f t="shared" si="10"/>
        <v>5025.7069999999994</v>
      </c>
      <c r="K400" s="165">
        <v>9.1999999999999998E-3</v>
      </c>
      <c r="L400" s="165">
        <v>9.300000000000001E-3</v>
      </c>
      <c r="M400" s="165">
        <v>9.300000000000001E-3</v>
      </c>
      <c r="N400" s="2060"/>
    </row>
    <row r="401" spans="7:14">
      <c r="G401" s="239">
        <v>2008</v>
      </c>
      <c r="H401" s="240" t="str">
        <f>G401&amp;"3"</f>
        <v>20083</v>
      </c>
      <c r="I401" s="241">
        <v>5025.8069999999998</v>
      </c>
      <c r="J401" s="241">
        <f t="shared" si="10"/>
        <v>9273.9490000000005</v>
      </c>
      <c r="K401" s="165">
        <v>9.1999999999999998E-3</v>
      </c>
      <c r="L401" s="165">
        <v>7.6E-3</v>
      </c>
      <c r="M401" s="165">
        <v>7.6E-3</v>
      </c>
      <c r="N401" s="2060"/>
    </row>
    <row r="402" spans="7:14">
      <c r="G402" s="239">
        <v>2008</v>
      </c>
      <c r="H402" s="240" t="str">
        <f>G402&amp;"2"</f>
        <v>20082</v>
      </c>
      <c r="I402" s="241">
        <v>9274.0490000000009</v>
      </c>
      <c r="J402" s="241">
        <f t="shared" si="10"/>
        <v>20386.269</v>
      </c>
      <c r="K402" s="165">
        <v>6.7999999999999996E-3</v>
      </c>
      <c r="L402" s="165">
        <v>6.7999999999999996E-3</v>
      </c>
      <c r="M402" s="165">
        <v>6.7999999999999996E-3</v>
      </c>
      <c r="N402" s="2060"/>
    </row>
    <row r="403" spans="7:14">
      <c r="G403" s="239">
        <v>2008</v>
      </c>
      <c r="H403" s="240" t="str">
        <f>G403&amp;"1"</f>
        <v>20081</v>
      </c>
      <c r="I403" s="241">
        <v>20386.368999999999</v>
      </c>
      <c r="J403" s="241">
        <v>472518.67200000002</v>
      </c>
      <c r="K403" s="165">
        <v>-3.3999999999999998E-3</v>
      </c>
      <c r="L403" s="165">
        <v>-3.3999999999999998E-3</v>
      </c>
      <c r="M403" s="165">
        <v>-3.3999999999999998E-3</v>
      </c>
      <c r="N403" s="2060"/>
    </row>
    <row r="404" spans="7:14">
      <c r="G404" s="1519"/>
      <c r="H404" s="238"/>
      <c r="I404" s="238" t="s">
        <v>2488</v>
      </c>
      <c r="J404" s="1519"/>
      <c r="K404" s="1519"/>
      <c r="L404" s="1519"/>
      <c r="M404" s="1519"/>
      <c r="N404" s="2060"/>
    </row>
    <row r="405" spans="7:14">
      <c r="G405" s="1519"/>
      <c r="H405" s="238"/>
      <c r="I405" s="238"/>
      <c r="J405" s="238"/>
      <c r="K405" s="238"/>
      <c r="L405" s="238"/>
      <c r="M405" s="238"/>
      <c r="N405" s="2060"/>
    </row>
    <row r="406" spans="7:14">
      <c r="G406" s="236" t="str">
        <f>G407&amp;"Title"</f>
        <v>2009Title</v>
      </c>
      <c r="H406" s="237" t="s">
        <v>2489</v>
      </c>
      <c r="I406" s="238"/>
      <c r="J406" s="238"/>
      <c r="K406" s="238"/>
      <c r="L406" s="238"/>
      <c r="M406" s="238"/>
      <c r="N406" s="2060"/>
    </row>
    <row r="407" spans="7:14" ht="27.6">
      <c r="G407" s="239">
        <v>2009</v>
      </c>
      <c r="H407" s="2273"/>
      <c r="I407" s="2274" t="s">
        <v>2477</v>
      </c>
      <c r="J407" s="2274"/>
      <c r="K407" s="2275" t="s">
        <v>2478</v>
      </c>
      <c r="L407" s="2276" t="s">
        <v>2479</v>
      </c>
      <c r="M407" s="2276" t="s">
        <v>2480</v>
      </c>
      <c r="N407" s="2060"/>
    </row>
    <row r="408" spans="7:14">
      <c r="G408" s="239">
        <v>2009</v>
      </c>
      <c r="H408" s="643" t="s">
        <v>1272</v>
      </c>
      <c r="I408" s="644" t="s">
        <v>1273</v>
      </c>
      <c r="J408" s="644" t="s">
        <v>1275</v>
      </c>
      <c r="K408" s="644" t="s">
        <v>2481</v>
      </c>
      <c r="L408" s="644" t="s">
        <v>1272</v>
      </c>
      <c r="M408" s="644" t="s">
        <v>1272</v>
      </c>
      <c r="N408" s="2060"/>
    </row>
    <row r="409" spans="7:14">
      <c r="G409" s="239">
        <v>2009</v>
      </c>
      <c r="H409" s="240" t="str">
        <f>G409&amp;"10b"</f>
        <v>200910b</v>
      </c>
      <c r="I409" s="241">
        <v>0</v>
      </c>
      <c r="J409" s="241">
        <f t="shared" ref="J409:J418" si="11">I410-0.1</f>
        <v>136.499</v>
      </c>
      <c r="K409" s="165">
        <v>3.7400000000000003E-2</v>
      </c>
      <c r="L409" s="165">
        <v>9.5299999999999996E-2</v>
      </c>
      <c r="M409" s="536">
        <v>5.8099999999999999E-2</v>
      </c>
      <c r="N409" s="2060"/>
    </row>
    <row r="410" spans="7:14">
      <c r="G410" s="239">
        <v>2009</v>
      </c>
      <c r="H410" s="240" t="str">
        <f>G410&amp;"10a"</f>
        <v>200910a</v>
      </c>
      <c r="I410" s="241">
        <v>136.59899999999999</v>
      </c>
      <c r="J410" s="241">
        <f t="shared" si="11"/>
        <v>218.643</v>
      </c>
      <c r="K410" s="165">
        <v>3.7400000000000003E-2</v>
      </c>
      <c r="L410" s="165">
        <v>4.1100000000000005E-2</v>
      </c>
      <c r="M410" s="536">
        <v>5.8099999999999999E-2</v>
      </c>
      <c r="N410" s="2060"/>
    </row>
    <row r="411" spans="7:14">
      <c r="G411" s="239">
        <v>2009</v>
      </c>
      <c r="H411" s="240" t="str">
        <f>G411&amp;"9"</f>
        <v>20099</v>
      </c>
      <c r="I411" s="241">
        <v>218.74299999999999</v>
      </c>
      <c r="J411" s="241">
        <f t="shared" si="11"/>
        <v>453.298</v>
      </c>
      <c r="K411" s="165">
        <v>3.7400000000000003E-2</v>
      </c>
      <c r="L411" s="165">
        <v>2.7099999999999999E-2</v>
      </c>
      <c r="M411" s="165">
        <v>2.7099999999999999E-2</v>
      </c>
      <c r="N411" s="2060"/>
    </row>
    <row r="412" spans="7:14">
      <c r="G412" s="239">
        <v>2009</v>
      </c>
      <c r="H412" s="240" t="str">
        <f>G412&amp;"8"</f>
        <v>20098</v>
      </c>
      <c r="I412" s="241">
        <v>453.39800000000002</v>
      </c>
      <c r="J412" s="241">
        <f t="shared" si="11"/>
        <v>753.57600000000002</v>
      </c>
      <c r="K412" s="165">
        <v>1.7399999999999999E-2</v>
      </c>
      <c r="L412" s="165">
        <v>2.35E-2</v>
      </c>
      <c r="M412" s="165">
        <v>2.35E-2</v>
      </c>
      <c r="N412" s="2060"/>
    </row>
    <row r="413" spans="7:14">
      <c r="G413" s="239">
        <v>2009</v>
      </c>
      <c r="H413" s="240" t="str">
        <f>G413&amp;"7"</f>
        <v>20097</v>
      </c>
      <c r="I413" s="241">
        <v>753.67600000000004</v>
      </c>
      <c r="J413" s="241">
        <f t="shared" si="11"/>
        <v>1197.913</v>
      </c>
      <c r="K413" s="165">
        <v>1.7399999999999999E-2</v>
      </c>
      <c r="L413" s="165">
        <v>1.6199999999999999E-2</v>
      </c>
      <c r="M413" s="165">
        <v>1.6199999999999999E-2</v>
      </c>
      <c r="N413" s="2060"/>
    </row>
    <row r="414" spans="7:14">
      <c r="G414" s="239">
        <v>2009</v>
      </c>
      <c r="H414" s="240" t="str">
        <f>G414&amp;"6"</f>
        <v>20096</v>
      </c>
      <c r="I414" s="241">
        <v>1198.0129999999999</v>
      </c>
      <c r="J414" s="241">
        <f t="shared" si="11"/>
        <v>1849.8500000000001</v>
      </c>
      <c r="K414" s="165">
        <v>1.7399999999999999E-2</v>
      </c>
      <c r="L414" s="165">
        <v>1.6299999999999999E-2</v>
      </c>
      <c r="M414" s="165">
        <v>1.6299999999999999E-2</v>
      </c>
      <c r="N414" s="2060"/>
    </row>
    <row r="415" spans="7:14">
      <c r="G415" s="239">
        <v>2009</v>
      </c>
      <c r="H415" s="240" t="str">
        <f>G415&amp;"5"</f>
        <v>20095</v>
      </c>
      <c r="I415" s="241">
        <v>1849.95</v>
      </c>
      <c r="J415" s="241">
        <f t="shared" si="11"/>
        <v>2785.598</v>
      </c>
      <c r="K415" s="165">
        <v>9.4000000000000004E-3</v>
      </c>
      <c r="L415" s="165">
        <v>1.54E-2</v>
      </c>
      <c r="M415" s="165">
        <v>1.54E-2</v>
      </c>
      <c r="N415" s="2060"/>
    </row>
    <row r="416" spans="7:14">
      <c r="G416" s="239">
        <v>2009</v>
      </c>
      <c r="H416" s="240" t="str">
        <f>G416&amp;"4"</f>
        <v>20094</v>
      </c>
      <c r="I416" s="241">
        <v>2785.6979999999999</v>
      </c>
      <c r="J416" s="241">
        <f t="shared" si="11"/>
        <v>4229.223</v>
      </c>
      <c r="K416" s="165">
        <v>9.4000000000000004E-3</v>
      </c>
      <c r="L416" s="165">
        <v>9.7000000000000003E-3</v>
      </c>
      <c r="M416" s="165">
        <v>9.7000000000000003E-3</v>
      </c>
      <c r="N416" s="2060"/>
    </row>
    <row r="417" spans="7:14">
      <c r="G417" s="239">
        <v>2009</v>
      </c>
      <c r="H417" s="240" t="str">
        <f>G417&amp;"3"</f>
        <v>20093</v>
      </c>
      <c r="I417" s="241">
        <v>4229.3230000000003</v>
      </c>
      <c r="J417" s="241">
        <f t="shared" si="11"/>
        <v>7434.7059999999992</v>
      </c>
      <c r="K417" s="165">
        <v>9.4000000000000004E-3</v>
      </c>
      <c r="L417" s="165">
        <v>7.4000000000000003E-3</v>
      </c>
      <c r="M417" s="165">
        <v>7.4000000000000003E-3</v>
      </c>
      <c r="N417" s="2060"/>
    </row>
    <row r="418" spans="7:14">
      <c r="G418" s="239">
        <v>2009</v>
      </c>
      <c r="H418" s="240" t="str">
        <f>G418&amp;"2"</f>
        <v>20092</v>
      </c>
      <c r="I418" s="241">
        <v>7434.8059999999996</v>
      </c>
      <c r="J418" s="241">
        <f t="shared" si="11"/>
        <v>18627.440000000002</v>
      </c>
      <c r="K418" s="165">
        <v>6.1999999999999998E-3</v>
      </c>
      <c r="L418" s="165">
        <v>6.1999999999999998E-3</v>
      </c>
      <c r="M418" s="165">
        <v>6.1999999999999998E-3</v>
      </c>
      <c r="N418" s="2060"/>
    </row>
    <row r="419" spans="7:14">
      <c r="G419" s="239">
        <v>2009</v>
      </c>
      <c r="H419" s="240" t="str">
        <f>G419&amp;"1"</f>
        <v>20091</v>
      </c>
      <c r="I419" s="241">
        <v>18627.54</v>
      </c>
      <c r="J419" s="241">
        <v>465651.93800000002</v>
      </c>
      <c r="K419" s="165">
        <v>-3.5999999999999999E-3</v>
      </c>
      <c r="L419" s="165">
        <v>-3.5999999999999999E-3</v>
      </c>
      <c r="M419" s="165">
        <v>-3.5999999999999999E-3</v>
      </c>
      <c r="N419" s="2060"/>
    </row>
    <row r="420" spans="7:14">
      <c r="G420" s="1519"/>
      <c r="H420" s="238"/>
      <c r="I420" s="238" t="s">
        <v>2490</v>
      </c>
      <c r="J420" s="1519"/>
      <c r="K420" s="1519"/>
      <c r="L420" s="1519"/>
      <c r="M420" s="1519"/>
      <c r="N420" s="2060"/>
    </row>
    <row r="421" spans="7:14">
      <c r="G421" s="1519"/>
      <c r="H421" s="238"/>
      <c r="I421" s="238"/>
      <c r="J421" s="238"/>
      <c r="K421" s="238"/>
      <c r="L421" s="238"/>
      <c r="M421" s="238"/>
      <c r="N421" s="2060"/>
    </row>
    <row r="422" spans="7:14">
      <c r="G422" s="236" t="str">
        <f>G423&amp;"Title"</f>
        <v>2010Title</v>
      </c>
      <c r="H422" s="237" t="s">
        <v>2491</v>
      </c>
      <c r="I422" s="238"/>
      <c r="J422" s="238"/>
      <c r="K422" s="238"/>
      <c r="L422" s="238"/>
      <c r="M422" s="238"/>
      <c r="N422" s="2060"/>
    </row>
    <row r="423" spans="7:14" ht="27.6">
      <c r="G423" s="239">
        <v>2010</v>
      </c>
      <c r="H423" s="2273"/>
      <c r="I423" s="2274" t="s">
        <v>2477</v>
      </c>
      <c r="J423" s="2274"/>
      <c r="K423" s="2275" t="s">
        <v>2478</v>
      </c>
      <c r="L423" s="2276" t="s">
        <v>2479</v>
      </c>
      <c r="M423" s="2276" t="s">
        <v>2480</v>
      </c>
      <c r="N423" s="2060"/>
    </row>
    <row r="424" spans="7:14">
      <c r="G424" s="239">
        <v>2010</v>
      </c>
      <c r="H424" s="643" t="s">
        <v>1272</v>
      </c>
      <c r="I424" s="644" t="s">
        <v>1273</v>
      </c>
      <c r="J424" s="644" t="s">
        <v>1275</v>
      </c>
      <c r="K424" s="644" t="s">
        <v>2481</v>
      </c>
      <c r="L424" s="644" t="s">
        <v>1272</v>
      </c>
      <c r="M424" s="644" t="s">
        <v>1272</v>
      </c>
      <c r="N424" s="2060"/>
    </row>
    <row r="425" spans="7:14">
      <c r="G425" s="239">
        <v>2010</v>
      </c>
      <c r="H425" s="240" t="str">
        <f>G425&amp;"10b"</f>
        <v>201010b</v>
      </c>
      <c r="I425" s="241">
        <v>0</v>
      </c>
      <c r="J425" s="241">
        <v>123.51600000000001</v>
      </c>
      <c r="K425" s="165">
        <v>3.9899999999999998E-2</v>
      </c>
      <c r="L425" s="165">
        <v>0.10009999999999999</v>
      </c>
      <c r="M425" s="536">
        <v>6.2800000000000009E-2</v>
      </c>
      <c r="N425" s="2060"/>
    </row>
    <row r="426" spans="7:14">
      <c r="G426" s="239">
        <v>2010</v>
      </c>
      <c r="H426" s="240" t="str">
        <f>G426&amp;"10a"</f>
        <v>201010a</v>
      </c>
      <c r="I426" s="241">
        <v>123.52600000000001</v>
      </c>
      <c r="J426" s="241">
        <v>214.11099999999999</v>
      </c>
      <c r="K426" s="165">
        <v>3.9899999999999998E-2</v>
      </c>
      <c r="L426" s="165">
        <v>4.4500000000000005E-2</v>
      </c>
      <c r="M426" s="536">
        <v>6.2800000000000009E-2</v>
      </c>
      <c r="N426" s="2060"/>
    </row>
    <row r="427" spans="7:14">
      <c r="G427" s="239">
        <v>2010</v>
      </c>
      <c r="H427" s="240" t="str">
        <f>G427&amp;"9"</f>
        <v>20109</v>
      </c>
      <c r="I427" s="241">
        <v>214.12099999999998</v>
      </c>
      <c r="J427" s="241">
        <v>431.25599999999997</v>
      </c>
      <c r="K427" s="165">
        <v>3.9899999999999998E-2</v>
      </c>
      <c r="L427" s="165">
        <v>2.8500000000000001E-2</v>
      </c>
      <c r="M427" s="165">
        <v>2.8500000000000001E-2</v>
      </c>
      <c r="N427" s="2060"/>
    </row>
    <row r="428" spans="7:14">
      <c r="G428" s="239">
        <v>2010</v>
      </c>
      <c r="H428" s="240" t="str">
        <f>G428&amp;"8"</f>
        <v>20108</v>
      </c>
      <c r="I428" s="241">
        <v>431.26599999999996</v>
      </c>
      <c r="J428" s="241">
        <v>684.79</v>
      </c>
      <c r="K428" s="165">
        <v>1.8499999999999999E-2</v>
      </c>
      <c r="L428" s="165">
        <v>2.4899999999999999E-2</v>
      </c>
      <c r="M428" s="165">
        <v>2.4899999999999999E-2</v>
      </c>
      <c r="N428" s="2060"/>
    </row>
    <row r="429" spans="7:14">
      <c r="G429" s="239">
        <v>2010</v>
      </c>
      <c r="H429" s="240" t="str">
        <f>G429&amp;"7"</f>
        <v>20107</v>
      </c>
      <c r="I429" s="241">
        <v>684.8</v>
      </c>
      <c r="J429" s="241">
        <v>1063.308</v>
      </c>
      <c r="K429" s="165">
        <v>1.8499999999999999E-2</v>
      </c>
      <c r="L429" s="165">
        <v>1.7299999999999999E-2</v>
      </c>
      <c r="M429" s="165">
        <v>1.7299999999999999E-2</v>
      </c>
      <c r="N429" s="2060"/>
    </row>
    <row r="430" spans="7:14">
      <c r="G430" s="239">
        <v>2010</v>
      </c>
      <c r="H430" s="240" t="str">
        <f>G430&amp;"6"</f>
        <v>20106</v>
      </c>
      <c r="I430" s="241">
        <v>1063.318</v>
      </c>
      <c r="J430" s="241">
        <v>1600.1690000000001</v>
      </c>
      <c r="K430" s="165">
        <v>1.8499999999999999E-2</v>
      </c>
      <c r="L430" s="165">
        <v>1.7299999999999999E-2</v>
      </c>
      <c r="M430" s="165">
        <v>1.7299999999999999E-2</v>
      </c>
      <c r="N430" s="2060"/>
    </row>
    <row r="431" spans="7:14">
      <c r="G431" s="239">
        <v>2010</v>
      </c>
      <c r="H431" s="240" t="str">
        <f>G431&amp;"5"</f>
        <v>20105</v>
      </c>
      <c r="I431" s="241">
        <v>1600.1790000000001</v>
      </c>
      <c r="J431" s="241">
        <v>2384.0259999999998</v>
      </c>
      <c r="K431" s="165">
        <v>1.0800000000000001E-2</v>
      </c>
      <c r="L431" s="165">
        <v>1.6899999999999998E-2</v>
      </c>
      <c r="M431" s="165">
        <v>1.6899999999999998E-2</v>
      </c>
      <c r="N431" s="2060"/>
    </row>
    <row r="432" spans="7:14">
      <c r="G432" s="239">
        <v>2010</v>
      </c>
      <c r="H432" s="240" t="str">
        <f>G432&amp;"4"</f>
        <v>20104</v>
      </c>
      <c r="I432" s="241">
        <v>2384.0360000000001</v>
      </c>
      <c r="J432" s="241">
        <v>3414.634</v>
      </c>
      <c r="K432" s="165">
        <v>1.0800000000000001E-2</v>
      </c>
      <c r="L432" s="165">
        <v>1.15E-2</v>
      </c>
      <c r="M432" s="165">
        <v>1.15E-2</v>
      </c>
      <c r="N432" s="2060"/>
    </row>
    <row r="433" spans="7:14">
      <c r="G433" s="239">
        <v>2010</v>
      </c>
      <c r="H433" s="240" t="str">
        <f>G433&amp;"3"</f>
        <v>20103</v>
      </c>
      <c r="I433" s="241">
        <v>3414.6440000000002</v>
      </c>
      <c r="J433" s="241">
        <v>5936.1469999999999</v>
      </c>
      <c r="K433" s="165">
        <v>1.0800000000000001E-2</v>
      </c>
      <c r="L433" s="165">
        <v>8.5000000000000006E-3</v>
      </c>
      <c r="M433" s="165">
        <v>8.5000000000000006E-3</v>
      </c>
      <c r="N433" s="2060"/>
    </row>
    <row r="434" spans="7:14">
      <c r="G434" s="239">
        <v>2010</v>
      </c>
      <c r="H434" s="240" t="str">
        <f>G434&amp;"2"</f>
        <v>20102</v>
      </c>
      <c r="I434" s="241">
        <v>5936.1570000000002</v>
      </c>
      <c r="J434" s="241">
        <v>14691.668</v>
      </c>
      <c r="K434" s="165">
        <v>7.4000000000000003E-3</v>
      </c>
      <c r="L434" s="165">
        <v>7.4000000000000003E-3</v>
      </c>
      <c r="M434" s="165">
        <v>7.4000000000000003E-3</v>
      </c>
      <c r="N434" s="2060"/>
    </row>
    <row r="435" spans="7:14">
      <c r="G435" s="239">
        <v>2010</v>
      </c>
      <c r="H435" s="240" t="str">
        <f>G435&amp;"1"</f>
        <v>20101</v>
      </c>
      <c r="I435" s="241">
        <v>14691.669</v>
      </c>
      <c r="J435" s="241">
        <v>999999</v>
      </c>
      <c r="K435" s="165">
        <v>-3.7000000000000002E-3</v>
      </c>
      <c r="L435" s="165">
        <v>-3.7000000000000002E-3</v>
      </c>
      <c r="M435" s="165">
        <v>-3.7000000000000002E-3</v>
      </c>
      <c r="N435" s="2060"/>
    </row>
    <row r="436" spans="7:14">
      <c r="G436" s="1519"/>
      <c r="H436" s="1519"/>
      <c r="I436" s="1519" t="s">
        <v>2492</v>
      </c>
      <c r="J436" s="1519"/>
      <c r="K436" s="1519"/>
      <c r="L436" s="1519" t="s">
        <v>2493</v>
      </c>
      <c r="M436" s="1519"/>
      <c r="N436" s="2060"/>
    </row>
    <row r="437" spans="7:14">
      <c r="G437" s="1519"/>
      <c r="H437" s="238"/>
      <c r="I437" s="238"/>
      <c r="J437" s="238"/>
      <c r="K437" s="238"/>
      <c r="L437" s="238"/>
      <c r="M437" s="238"/>
      <c r="N437" s="2060"/>
    </row>
    <row r="438" spans="7:14">
      <c r="G438" s="236" t="str">
        <f>G439&amp;"Title"</f>
        <v>2011Title</v>
      </c>
      <c r="H438" s="237" t="s">
        <v>2494</v>
      </c>
      <c r="I438" s="238"/>
      <c r="J438" s="238"/>
      <c r="K438" s="238"/>
      <c r="L438" s="238"/>
      <c r="M438" s="238"/>
      <c r="N438" s="2060"/>
    </row>
    <row r="439" spans="7:14" ht="27.6">
      <c r="G439" s="239">
        <v>2011</v>
      </c>
      <c r="H439" s="2273"/>
      <c r="I439" s="2274" t="s">
        <v>2477</v>
      </c>
      <c r="J439" s="2274"/>
      <c r="K439" s="2275" t="s">
        <v>2478</v>
      </c>
      <c r="L439" s="2276" t="s">
        <v>2479</v>
      </c>
      <c r="M439" s="2276" t="s">
        <v>2480</v>
      </c>
      <c r="N439" s="2060"/>
    </row>
    <row r="440" spans="7:14">
      <c r="G440" s="239">
        <v>2011</v>
      </c>
      <c r="H440" s="643" t="s">
        <v>1272</v>
      </c>
      <c r="I440" s="644" t="s">
        <v>1273</v>
      </c>
      <c r="J440" s="644" t="s">
        <v>1275</v>
      </c>
      <c r="K440" s="644" t="s">
        <v>2481</v>
      </c>
      <c r="L440" s="644" t="s">
        <v>1272</v>
      </c>
      <c r="M440" s="644" t="s">
        <v>1272</v>
      </c>
      <c r="N440" s="2060"/>
    </row>
    <row r="441" spans="7:14">
      <c r="G441" s="239">
        <v>2011</v>
      </c>
      <c r="H441" s="240" t="str">
        <f>G441&amp;"10b"</f>
        <v>201110b</v>
      </c>
      <c r="I441" s="241">
        <v>0</v>
      </c>
      <c r="J441" s="241">
        <v>143.37899999999999</v>
      </c>
      <c r="K441" s="165">
        <v>4.07E-2</v>
      </c>
      <c r="L441" s="165">
        <v>0.1008</v>
      </c>
      <c r="M441" s="536">
        <v>6.3600000000000004E-2</v>
      </c>
      <c r="N441" s="2060"/>
    </row>
    <row r="442" spans="7:14">
      <c r="G442" s="239">
        <v>2011</v>
      </c>
      <c r="H442" s="240" t="str">
        <f>G442&amp;"10a"</f>
        <v>201110a</v>
      </c>
      <c r="I442" s="241">
        <v>143.38</v>
      </c>
      <c r="J442" s="241">
        <v>235.64699999999999</v>
      </c>
      <c r="K442" s="165">
        <v>4.07E-2</v>
      </c>
      <c r="L442" s="165">
        <v>4.5499999999999999E-2</v>
      </c>
      <c r="M442" s="536">
        <v>6.3600000000000004E-2</v>
      </c>
      <c r="N442" s="2060"/>
    </row>
    <row r="443" spans="7:14">
      <c r="G443" s="239">
        <v>2011</v>
      </c>
      <c r="H443" s="240" t="str">
        <f>G443&amp;"9"</f>
        <v>20119</v>
      </c>
      <c r="I443" s="241">
        <v>235.648</v>
      </c>
      <c r="J443" s="241">
        <v>477.53899999999999</v>
      </c>
      <c r="K443" s="165">
        <v>4.07E-2</v>
      </c>
      <c r="L443" s="165">
        <v>2.9399999999999999E-2</v>
      </c>
      <c r="M443" s="165">
        <v>2.9399999999999999E-2</v>
      </c>
      <c r="N443" s="2060"/>
    </row>
    <row r="444" spans="7:14">
      <c r="G444" s="239">
        <v>2011</v>
      </c>
      <c r="H444" s="240" t="str">
        <f>G444&amp;"8"</f>
        <v>20118</v>
      </c>
      <c r="I444" s="241">
        <v>477.53999999999996</v>
      </c>
      <c r="J444" s="241">
        <v>771.78899999999999</v>
      </c>
      <c r="K444" s="165">
        <v>1.9800000000000002E-2</v>
      </c>
      <c r="L444" s="165">
        <v>2.6499999999999999E-2</v>
      </c>
      <c r="M444" s="165">
        <v>2.6499999999999999E-2</v>
      </c>
      <c r="N444" s="2060"/>
    </row>
    <row r="445" spans="7:14">
      <c r="G445" s="239">
        <v>2011</v>
      </c>
      <c r="H445" s="240" t="str">
        <f>G445&amp;"7"</f>
        <v>20117</v>
      </c>
      <c r="I445" s="241">
        <v>771.79</v>
      </c>
      <c r="J445" s="241">
        <v>1212.26</v>
      </c>
      <c r="K445" s="165">
        <v>1.9800000000000002E-2</v>
      </c>
      <c r="L445" s="165">
        <v>1.8800000000000001E-2</v>
      </c>
      <c r="M445" s="165">
        <v>1.8800000000000001E-2</v>
      </c>
      <c r="N445" s="2060"/>
    </row>
    <row r="446" spans="7:14">
      <c r="G446" s="239">
        <v>2011</v>
      </c>
      <c r="H446" s="240" t="str">
        <f>G446&amp;"6"</f>
        <v>20116</v>
      </c>
      <c r="I446" s="241">
        <v>1212.261</v>
      </c>
      <c r="J446" s="241">
        <v>1775.9659999999999</v>
      </c>
      <c r="K446" s="165">
        <v>1.9800000000000002E-2</v>
      </c>
      <c r="L446" s="165">
        <v>1.8200000000000001E-2</v>
      </c>
      <c r="M446" s="165">
        <v>1.8200000000000001E-2</v>
      </c>
      <c r="N446" s="2060"/>
    </row>
    <row r="447" spans="7:14">
      <c r="G447" s="239">
        <v>2011</v>
      </c>
      <c r="H447" s="240" t="str">
        <f>G447&amp;"5"</f>
        <v>20115</v>
      </c>
      <c r="I447" s="241">
        <v>1775.9669999999999</v>
      </c>
      <c r="J447" s="241">
        <v>2509.152</v>
      </c>
      <c r="K447" s="165">
        <v>1.2E-2</v>
      </c>
      <c r="L447" s="165">
        <v>1.8100000000000002E-2</v>
      </c>
      <c r="M447" s="165">
        <v>1.8100000000000002E-2</v>
      </c>
      <c r="N447" s="2060"/>
    </row>
    <row r="448" spans="7:14" s="1023" customFormat="1">
      <c r="G448" s="239">
        <v>2011</v>
      </c>
      <c r="H448" s="240" t="str">
        <f>G448&amp;"4"</f>
        <v>20114</v>
      </c>
      <c r="I448" s="241">
        <v>2509.1530000000002</v>
      </c>
      <c r="J448" s="241">
        <v>3711</v>
      </c>
      <c r="K448" s="165">
        <v>1.2E-2</v>
      </c>
      <c r="L448" s="165">
        <v>1.2E-2</v>
      </c>
      <c r="M448" s="165">
        <v>1.2E-2</v>
      </c>
      <c r="N448" s="2060"/>
    </row>
    <row r="449" spans="7:14" s="1023" customFormat="1">
      <c r="G449" s="239">
        <v>2011</v>
      </c>
      <c r="H449" s="240" t="str">
        <f>G449&amp;"3"</f>
        <v>20113</v>
      </c>
      <c r="I449" s="241">
        <v>3711.0010000000002</v>
      </c>
      <c r="J449" s="241">
        <v>6794</v>
      </c>
      <c r="K449" s="165">
        <v>1.01E-2</v>
      </c>
      <c r="L449" s="165">
        <v>1.2E-2</v>
      </c>
      <c r="M449" s="165">
        <v>1.2E-2</v>
      </c>
      <c r="N449" s="2060"/>
    </row>
    <row r="450" spans="7:14">
      <c r="G450" s="239">
        <v>2012</v>
      </c>
      <c r="H450" s="240" t="str">
        <f>G450&amp;"2"</f>
        <v>20122</v>
      </c>
      <c r="I450" s="241">
        <v>6794.0010000000002</v>
      </c>
      <c r="J450" s="241">
        <v>15080</v>
      </c>
      <c r="K450" s="165">
        <v>8.0999999999999996E-3</v>
      </c>
      <c r="L450" s="165">
        <v>8.0999999999999996E-3</v>
      </c>
      <c r="M450" s="165">
        <v>8.0999999999999996E-3</v>
      </c>
      <c r="N450" s="2060"/>
    </row>
    <row r="451" spans="7:14">
      <c r="G451" s="239">
        <v>2012</v>
      </c>
      <c r="H451" s="240" t="str">
        <f>G451&amp;"1"</f>
        <v>20121</v>
      </c>
      <c r="I451" s="241">
        <v>15080.001</v>
      </c>
      <c r="J451" s="241">
        <v>999999</v>
      </c>
      <c r="K451" s="165">
        <v>-3.8E-3</v>
      </c>
      <c r="L451" s="165">
        <v>-3.8E-3</v>
      </c>
      <c r="M451" s="165">
        <v>-3.8E-3</v>
      </c>
      <c r="N451" s="2060"/>
    </row>
    <row r="452" spans="7:14">
      <c r="G452" s="1519"/>
      <c r="H452" s="1519"/>
      <c r="I452" s="1519" t="s">
        <v>2495</v>
      </c>
      <c r="J452" s="1519"/>
      <c r="K452" s="1519"/>
      <c r="L452" s="1519" t="s">
        <v>2496</v>
      </c>
      <c r="M452" s="1519"/>
      <c r="N452" s="2060"/>
    </row>
    <row r="453" spans="7:14">
      <c r="G453" s="1519"/>
      <c r="H453" s="238"/>
      <c r="I453" s="238"/>
      <c r="J453" s="238"/>
      <c r="K453" s="238"/>
      <c r="L453" s="238"/>
      <c r="M453" s="238"/>
      <c r="N453" s="2060"/>
    </row>
    <row r="454" spans="7:14" s="1023" customFormat="1">
      <c r="G454" s="236" t="str">
        <f>G455&amp;"Title"</f>
        <v>2012Title</v>
      </c>
      <c r="H454" s="237" t="s">
        <v>2497</v>
      </c>
      <c r="I454" s="238"/>
      <c r="J454" s="238"/>
      <c r="K454" s="238"/>
      <c r="L454" s="238"/>
      <c r="M454" s="238"/>
      <c r="N454" s="2060"/>
    </row>
    <row r="455" spans="7:14" s="1023" customFormat="1" ht="27.6">
      <c r="G455" s="239">
        <v>2012</v>
      </c>
      <c r="H455" s="2273"/>
      <c r="I455" s="2274" t="s">
        <v>2477</v>
      </c>
      <c r="J455" s="2274"/>
      <c r="K455" s="2275" t="s">
        <v>2478</v>
      </c>
      <c r="L455" s="2276" t="s">
        <v>2479</v>
      </c>
      <c r="M455" s="2276" t="s">
        <v>2480</v>
      </c>
      <c r="N455" s="2060"/>
    </row>
    <row r="456" spans="7:14" s="1023" customFormat="1">
      <c r="G456" s="239">
        <v>2012</v>
      </c>
      <c r="H456" s="643" t="s">
        <v>1272</v>
      </c>
      <c r="I456" s="644" t="s">
        <v>1273</v>
      </c>
      <c r="J456" s="644" t="s">
        <v>1275</v>
      </c>
      <c r="K456" s="644" t="s">
        <v>2481</v>
      </c>
      <c r="L456" s="644" t="s">
        <v>1272</v>
      </c>
      <c r="M456" s="644" t="s">
        <v>1272</v>
      </c>
      <c r="N456" s="2060"/>
    </row>
    <row r="457" spans="7:14" s="1023" customFormat="1">
      <c r="G457" s="239">
        <v>2012</v>
      </c>
      <c r="H457" s="240" t="str">
        <f>G457&amp;"10b"</f>
        <v>201210b</v>
      </c>
      <c r="I457" s="241" t="s">
        <v>2498</v>
      </c>
      <c r="J457" s="241">
        <v>129</v>
      </c>
      <c r="K457" s="165">
        <v>9.8100000000000007E-2</v>
      </c>
      <c r="L457" s="165">
        <v>3.8899999999999997E-2</v>
      </c>
      <c r="M457" s="536">
        <v>3.8899999999999997E-2</v>
      </c>
      <c r="N457" s="2060"/>
    </row>
    <row r="458" spans="7:14" s="1023" customFormat="1">
      <c r="G458" s="239">
        <v>2012</v>
      </c>
      <c r="H458" s="240" t="str">
        <f>G458&amp;"10a"</f>
        <v>201210a</v>
      </c>
      <c r="I458" s="241">
        <v>129.001</v>
      </c>
      <c r="J458" s="241">
        <v>207</v>
      </c>
      <c r="K458" s="165">
        <v>4.3400000000000001E-2</v>
      </c>
      <c r="L458" s="165">
        <v>3.8899999999999997E-2</v>
      </c>
      <c r="M458" s="536">
        <v>3.8899999999999997E-2</v>
      </c>
      <c r="N458" s="2060"/>
    </row>
    <row r="459" spans="7:14" s="1023" customFormat="1">
      <c r="G459" s="239">
        <v>2012</v>
      </c>
      <c r="H459" s="240" t="str">
        <f>G459&amp;"9"</f>
        <v>20129</v>
      </c>
      <c r="I459" s="241">
        <v>207.001</v>
      </c>
      <c r="J459" s="241">
        <v>423</v>
      </c>
      <c r="K459" s="165">
        <v>2.8000000000000001E-2</v>
      </c>
      <c r="L459" s="165">
        <v>3.8899999999999997E-2</v>
      </c>
      <c r="M459" s="165">
        <v>3.8899999999999997E-2</v>
      </c>
      <c r="N459" s="2060"/>
    </row>
    <row r="460" spans="7:14" s="1023" customFormat="1">
      <c r="G460" s="239">
        <v>2012</v>
      </c>
      <c r="H460" s="240" t="str">
        <f>G460&amp;"8"</f>
        <v>20128</v>
      </c>
      <c r="I460" s="241">
        <v>423.00099999999998</v>
      </c>
      <c r="J460" s="241">
        <v>683</v>
      </c>
      <c r="K460" s="165">
        <v>2.5100000000000001E-2</v>
      </c>
      <c r="L460" s="165">
        <v>1.8800000000000001E-2</v>
      </c>
      <c r="M460" s="165">
        <v>1.8800000000000001E-2</v>
      </c>
      <c r="N460" s="2060"/>
    </row>
    <row r="461" spans="7:14" s="1023" customFormat="1">
      <c r="G461" s="239">
        <v>2012</v>
      </c>
      <c r="H461" s="240" t="str">
        <f>G461&amp;"7"</f>
        <v>20127</v>
      </c>
      <c r="I461" s="241">
        <v>683.00099999999998</v>
      </c>
      <c r="J461" s="241">
        <v>1091</v>
      </c>
      <c r="K461" s="165">
        <v>1.77E-2</v>
      </c>
      <c r="L461" s="165">
        <v>1.8800000000000001E-2</v>
      </c>
      <c r="M461" s="165">
        <v>1.8800000000000001E-2</v>
      </c>
      <c r="N461" s="2060"/>
    </row>
    <row r="462" spans="7:14" s="1023" customFormat="1">
      <c r="G462" s="239">
        <v>2012</v>
      </c>
      <c r="H462" s="240" t="str">
        <f>G462&amp;"6"</f>
        <v>20126</v>
      </c>
      <c r="I462" s="241">
        <v>1091.001</v>
      </c>
      <c r="J462" s="241">
        <v>1621</v>
      </c>
      <c r="K462" s="165">
        <v>1.7500000000000002E-2</v>
      </c>
      <c r="L462" s="165">
        <v>1.8800000000000001E-2</v>
      </c>
      <c r="M462" s="165">
        <v>1.8800000000000001E-2</v>
      </c>
      <c r="N462" s="2060"/>
    </row>
    <row r="463" spans="7:14" s="1023" customFormat="1">
      <c r="G463" s="239">
        <v>2012</v>
      </c>
      <c r="H463" s="240" t="str">
        <f>G463&amp;"5"</f>
        <v>20125</v>
      </c>
      <c r="I463" s="241">
        <v>1621.001</v>
      </c>
      <c r="J463" s="241">
        <v>2363</v>
      </c>
      <c r="K463" s="165">
        <v>1.7399999999999999E-2</v>
      </c>
      <c r="L463" s="165">
        <v>1.14E-2</v>
      </c>
      <c r="M463" s="165">
        <v>1.14E-2</v>
      </c>
      <c r="N463" s="2060"/>
    </row>
    <row r="464" spans="7:14" s="1023" customFormat="1">
      <c r="G464" s="239">
        <v>2012</v>
      </c>
      <c r="H464" s="240" t="str">
        <f>G464&amp;"4"</f>
        <v>20124</v>
      </c>
      <c r="I464" s="241">
        <v>2363.0010000000002</v>
      </c>
      <c r="J464" s="241">
        <v>3578</v>
      </c>
      <c r="K464" s="165">
        <v>1.17E-2</v>
      </c>
      <c r="L464" s="165">
        <v>1.14E-2</v>
      </c>
      <c r="M464" s="165">
        <v>1.14E-2</v>
      </c>
      <c r="N464" s="2060"/>
    </row>
    <row r="465" spans="7:14" s="1023" customFormat="1">
      <c r="G465" s="239">
        <v>2012</v>
      </c>
      <c r="H465" s="240" t="str">
        <f>G465&amp;"3"</f>
        <v>20123</v>
      </c>
      <c r="I465" s="241">
        <v>3578.0010000000002</v>
      </c>
      <c r="J465" s="241">
        <v>6896</v>
      </c>
      <c r="K465" s="165">
        <v>9.4000000000000004E-3</v>
      </c>
      <c r="L465" s="165">
        <v>1.14E-2</v>
      </c>
      <c r="M465" s="165">
        <v>1.14E-2</v>
      </c>
      <c r="N465" s="2060"/>
    </row>
    <row r="466" spans="7:14" s="1023" customFormat="1">
      <c r="G466" s="239">
        <v>2012</v>
      </c>
      <c r="H466" s="240" t="str">
        <f>G466&amp;"2"</f>
        <v>20122</v>
      </c>
      <c r="I466" s="241">
        <v>6896.0010000000002</v>
      </c>
      <c r="J466" s="241">
        <v>15408</v>
      </c>
      <c r="K466" s="165">
        <v>7.7999999999999996E-3</v>
      </c>
      <c r="L466" s="165">
        <v>7.7999999999999996E-3</v>
      </c>
      <c r="M466" s="165">
        <v>7.7999999999999996E-3</v>
      </c>
      <c r="N466" s="2060"/>
    </row>
    <row r="467" spans="7:14" s="1023" customFormat="1">
      <c r="G467" s="239">
        <v>2012</v>
      </c>
      <c r="H467" s="240" t="str">
        <f>G467&amp;"1"</f>
        <v>20121</v>
      </c>
      <c r="I467" s="241">
        <v>15408.001</v>
      </c>
      <c r="J467" s="241">
        <v>999999</v>
      </c>
      <c r="K467" s="165">
        <v>-3.8E-3</v>
      </c>
      <c r="L467" s="165">
        <v>-3.8E-3</v>
      </c>
      <c r="M467" s="165">
        <v>-3.8E-3</v>
      </c>
      <c r="N467" s="2060"/>
    </row>
    <row r="468" spans="7:14" s="1023" customFormat="1">
      <c r="G468" s="1519"/>
      <c r="H468" s="1519"/>
      <c r="I468" s="1519" t="s">
        <v>2499</v>
      </c>
      <c r="J468" s="1519"/>
      <c r="K468" s="1519"/>
      <c r="L468" s="1519" t="s">
        <v>2500</v>
      </c>
      <c r="M468" s="1519"/>
      <c r="N468" s="2060"/>
    </row>
    <row r="469" spans="7:14" s="1023" customFormat="1">
      <c r="G469" s="1519"/>
      <c r="H469" s="238"/>
      <c r="I469" s="238"/>
      <c r="J469" s="238"/>
      <c r="K469" s="238"/>
      <c r="L469" s="238"/>
      <c r="M469" s="238"/>
      <c r="N469" s="2060"/>
    </row>
    <row r="470" spans="7:14">
      <c r="G470" s="236" t="str">
        <f>G471&amp;"Title"</f>
        <v>2013Title</v>
      </c>
      <c r="H470" s="237" t="s">
        <v>2501</v>
      </c>
      <c r="I470" s="238"/>
      <c r="J470" s="238"/>
      <c r="K470" s="238"/>
      <c r="L470" s="238"/>
      <c r="M470" s="238"/>
      <c r="N470" s="2060"/>
    </row>
    <row r="471" spans="7:14" ht="27.6">
      <c r="G471" s="239">
        <v>2013</v>
      </c>
      <c r="H471" s="2273"/>
      <c r="I471" s="2274" t="s">
        <v>2477</v>
      </c>
      <c r="J471" s="2274"/>
      <c r="K471" s="2275" t="s">
        <v>2478</v>
      </c>
      <c r="L471" s="2276" t="s">
        <v>2479</v>
      </c>
      <c r="M471" s="2276" t="s">
        <v>2480</v>
      </c>
      <c r="N471" s="2060"/>
    </row>
    <row r="472" spans="7:14">
      <c r="G472" s="239">
        <v>2013</v>
      </c>
      <c r="H472" s="643" t="s">
        <v>1272</v>
      </c>
      <c r="I472" s="644" t="s">
        <v>1273</v>
      </c>
      <c r="J472" s="644" t="s">
        <v>1275</v>
      </c>
      <c r="K472" s="644" t="s">
        <v>2481</v>
      </c>
      <c r="L472" s="644" t="s">
        <v>1272</v>
      </c>
      <c r="M472" s="644" t="s">
        <v>1272</v>
      </c>
      <c r="N472" s="2060"/>
    </row>
    <row r="473" spans="7:14">
      <c r="G473" s="239">
        <v>2013</v>
      </c>
      <c r="H473" s="240" t="str">
        <f>G473&amp;"10b"</f>
        <v>201310b</v>
      </c>
      <c r="I473" s="241" t="s">
        <v>2498</v>
      </c>
      <c r="J473" s="241">
        <v>166</v>
      </c>
      <c r="K473" s="165">
        <v>3.8100000000000002E-2</v>
      </c>
      <c r="L473" s="165">
        <v>9.74E-2</v>
      </c>
      <c r="M473" s="536">
        <v>6.0299999999999999E-2</v>
      </c>
      <c r="N473" s="2060"/>
    </row>
    <row r="474" spans="7:14">
      <c r="G474" s="239">
        <v>2013</v>
      </c>
      <c r="H474" s="240" t="str">
        <f>G474&amp;"10a"</f>
        <v>201310a</v>
      </c>
      <c r="I474" s="241">
        <v>166.001</v>
      </c>
      <c r="J474" s="241">
        <v>254</v>
      </c>
      <c r="K474" s="165">
        <v>3.8100000000000002E-2</v>
      </c>
      <c r="L474" s="165">
        <v>4.2300000000000004E-2</v>
      </c>
      <c r="M474" s="536">
        <v>6.0299999999999999E-2</v>
      </c>
      <c r="N474" s="2060"/>
    </row>
    <row r="475" spans="7:14">
      <c r="G475" s="239">
        <v>2013</v>
      </c>
      <c r="H475" s="240" t="str">
        <f>G475&amp;"9"</f>
        <v>20139</v>
      </c>
      <c r="I475" s="241">
        <v>254.001</v>
      </c>
      <c r="J475" s="241">
        <v>514</v>
      </c>
      <c r="K475" s="165">
        <v>3.8100000000000002E-2</v>
      </c>
      <c r="L475" s="165">
        <v>2.8000000000000001E-2</v>
      </c>
      <c r="M475" s="165">
        <v>2.8000000000000001E-2</v>
      </c>
      <c r="N475" s="2060"/>
    </row>
    <row r="476" spans="7:14">
      <c r="G476" s="239">
        <v>2013</v>
      </c>
      <c r="H476" s="240" t="str">
        <f>G476&amp;"8"</f>
        <v>20138</v>
      </c>
      <c r="I476" s="241">
        <v>514.00099999999998</v>
      </c>
      <c r="J476" s="241">
        <v>818</v>
      </c>
      <c r="K476" s="165">
        <v>1.8499999999999999E-2</v>
      </c>
      <c r="L476" s="165">
        <v>2.5100000000000001E-2</v>
      </c>
      <c r="M476" s="165">
        <v>2.5100000000000001E-2</v>
      </c>
      <c r="N476" s="2060"/>
    </row>
    <row r="477" spans="7:14">
      <c r="G477" s="239">
        <v>2013</v>
      </c>
      <c r="H477" s="240" t="str">
        <f>G477&amp;"7"</f>
        <v>20137</v>
      </c>
      <c r="I477" s="241">
        <v>818.00099999999998</v>
      </c>
      <c r="J477" s="241">
        <v>1347</v>
      </c>
      <c r="K477" s="165">
        <v>1.8499999999999999E-2</v>
      </c>
      <c r="L477" s="165">
        <v>1.77E-2</v>
      </c>
      <c r="M477" s="165">
        <v>1.77E-2</v>
      </c>
      <c r="N477" s="2060"/>
    </row>
    <row r="478" spans="7:14">
      <c r="G478" s="239">
        <v>2013</v>
      </c>
      <c r="H478" s="240" t="str">
        <f>G478&amp;"6"</f>
        <v>20136</v>
      </c>
      <c r="I478" s="241">
        <v>1347.001</v>
      </c>
      <c r="J478" s="241">
        <v>1909</v>
      </c>
      <c r="K478" s="165">
        <v>1.8499999999999999E-2</v>
      </c>
      <c r="L478" s="165">
        <v>1.7500000000000002E-2</v>
      </c>
      <c r="M478" s="165">
        <v>1.7500000000000002E-2</v>
      </c>
      <c r="N478" s="2060"/>
    </row>
    <row r="479" spans="7:14">
      <c r="G479" s="239">
        <v>2013</v>
      </c>
      <c r="H479" s="240" t="str">
        <f>G479&amp;"5"</f>
        <v>20135</v>
      </c>
      <c r="I479" s="241">
        <v>1909.001</v>
      </c>
      <c r="J479" s="241">
        <v>2759</v>
      </c>
      <c r="K479" s="165">
        <v>1.12E-2</v>
      </c>
      <c r="L479" s="165">
        <v>1.7399999999999999E-2</v>
      </c>
      <c r="M479" s="165">
        <v>1.7399999999999999E-2</v>
      </c>
      <c r="N479" s="2060"/>
    </row>
    <row r="480" spans="7:14">
      <c r="G480" s="239">
        <v>2013</v>
      </c>
      <c r="H480" s="240" t="str">
        <f>G480&amp;"4"</f>
        <v>20134</v>
      </c>
      <c r="I480" s="241">
        <v>2759.0010000000002</v>
      </c>
      <c r="J480" s="241">
        <v>4228</v>
      </c>
      <c r="K480" s="165">
        <v>1.12E-2</v>
      </c>
      <c r="L480" s="165">
        <v>1.17E-2</v>
      </c>
      <c r="M480" s="165">
        <v>1.17E-2</v>
      </c>
      <c r="N480" s="2060"/>
    </row>
    <row r="481" spans="7:14">
      <c r="G481" s="239">
        <v>2013</v>
      </c>
      <c r="H481" s="240" t="str">
        <f>G481&amp;"3"</f>
        <v>20133</v>
      </c>
      <c r="I481" s="241">
        <v>4228.0010000000002</v>
      </c>
      <c r="J481" s="241">
        <v>7689</v>
      </c>
      <c r="K481" s="165">
        <v>1.12E-2</v>
      </c>
      <c r="L481" s="165">
        <v>9.4000000000000004E-3</v>
      </c>
      <c r="M481" s="165">
        <v>9.4000000000000004E-3</v>
      </c>
      <c r="N481" s="2060"/>
    </row>
    <row r="482" spans="7:14">
      <c r="G482" s="239">
        <v>2013</v>
      </c>
      <c r="H482" s="240" t="str">
        <f>G482&amp;"2"</f>
        <v>20132</v>
      </c>
      <c r="I482" s="241">
        <v>7689.0010000000002</v>
      </c>
      <c r="J482" s="241">
        <v>17541</v>
      </c>
      <c r="K482" s="165">
        <v>7.6E-3</v>
      </c>
      <c r="L482" s="165">
        <v>7.7999999999999996E-3</v>
      </c>
      <c r="M482" s="165">
        <v>7.7999999999999996E-3</v>
      </c>
      <c r="N482" s="2060"/>
    </row>
    <row r="483" spans="7:14">
      <c r="G483" s="239">
        <v>2013</v>
      </c>
      <c r="H483" s="240" t="str">
        <f>G483&amp;"1"</f>
        <v>20131</v>
      </c>
      <c r="I483" s="241">
        <v>17541.001</v>
      </c>
      <c r="J483" s="241">
        <v>999999</v>
      </c>
      <c r="K483" s="165">
        <v>-3.7000000000000002E-3</v>
      </c>
      <c r="L483" s="165">
        <v>-3.8E-3</v>
      </c>
      <c r="M483" s="165">
        <v>-3.8E-3</v>
      </c>
      <c r="N483" s="2060"/>
    </row>
    <row r="484" spans="7:14">
      <c r="G484" s="1519"/>
      <c r="H484" s="1519"/>
      <c r="I484" s="1519" t="s">
        <v>2502</v>
      </c>
      <c r="J484" s="1519"/>
      <c r="K484" s="1519"/>
      <c r="L484" s="1519" t="s">
        <v>2503</v>
      </c>
      <c r="M484" s="1519"/>
      <c r="N484" s="2060"/>
    </row>
    <row r="485" spans="7:14">
      <c r="G485" s="1519"/>
      <c r="H485" s="238"/>
      <c r="I485" s="238"/>
      <c r="J485" s="238"/>
      <c r="K485" s="238"/>
      <c r="L485" s="238"/>
      <c r="M485" s="238"/>
      <c r="N485" s="2060"/>
    </row>
    <row r="486" spans="7:14">
      <c r="G486" s="236" t="str">
        <f>G487&amp;"Title"</f>
        <v>2014Title</v>
      </c>
      <c r="H486" s="237" t="s">
        <v>2504</v>
      </c>
      <c r="I486" s="238"/>
      <c r="J486" s="238"/>
      <c r="K486" s="238"/>
      <c r="L486" s="238"/>
      <c r="M486" s="238"/>
      <c r="N486" s="2060"/>
    </row>
    <row r="487" spans="7:14" ht="27.6">
      <c r="G487" s="239">
        <v>2014</v>
      </c>
      <c r="H487" s="2273"/>
      <c r="I487" s="2274" t="s">
        <v>2477</v>
      </c>
      <c r="J487" s="2274"/>
      <c r="K487" s="2275" t="s">
        <v>2478</v>
      </c>
      <c r="L487" s="2276" t="s">
        <v>2479</v>
      </c>
      <c r="M487" s="2276" t="s">
        <v>2480</v>
      </c>
      <c r="N487" s="2060"/>
    </row>
    <row r="488" spans="7:14">
      <c r="G488" s="239">
        <v>2014</v>
      </c>
      <c r="H488" s="643" t="s">
        <v>1272</v>
      </c>
      <c r="I488" s="644" t="s">
        <v>1273</v>
      </c>
      <c r="J488" s="644" t="s">
        <v>1275</v>
      </c>
      <c r="K488" s="644" t="s">
        <v>2481</v>
      </c>
      <c r="L488" s="644" t="s">
        <v>1272</v>
      </c>
      <c r="M488" s="644" t="s">
        <v>1272</v>
      </c>
      <c r="N488" s="2060"/>
    </row>
    <row r="489" spans="7:14">
      <c r="G489" s="239">
        <v>2014</v>
      </c>
      <c r="H489" s="240" t="str">
        <f>G489&amp;"10b"</f>
        <v>201410b</v>
      </c>
      <c r="I489" s="241">
        <v>0</v>
      </c>
      <c r="J489" s="241">
        <v>184.86500000000001</v>
      </c>
      <c r="K489" s="165">
        <v>3.8699999999999998E-2</v>
      </c>
      <c r="L489" s="536">
        <v>8.9899999999999994E-2</v>
      </c>
      <c r="M489" s="536">
        <v>5.9900000000000002E-2</v>
      </c>
      <c r="N489" s="2060"/>
    </row>
    <row r="490" spans="7:14">
      <c r="G490" s="239">
        <v>2014</v>
      </c>
      <c r="H490" s="240" t="str">
        <f>G490&amp;"10a"</f>
        <v>201410a</v>
      </c>
      <c r="I490" s="241">
        <v>184.86600000000001</v>
      </c>
      <c r="J490" s="241">
        <v>338.82900000000001</v>
      </c>
      <c r="K490" s="165">
        <v>3.8699999999999998E-2</v>
      </c>
      <c r="L490" s="536">
        <v>4.3999999999999997E-2</v>
      </c>
      <c r="M490" s="536">
        <v>5.9900000000000002E-2</v>
      </c>
      <c r="N490" s="2060"/>
    </row>
    <row r="491" spans="7:14">
      <c r="G491" s="239">
        <v>2014</v>
      </c>
      <c r="H491" s="240" t="str">
        <f>G491&amp;"9"</f>
        <v>20149</v>
      </c>
      <c r="I491" s="241">
        <v>338.83</v>
      </c>
      <c r="J491" s="241">
        <v>632.77</v>
      </c>
      <c r="K491" s="165">
        <v>3.8699999999999998E-2</v>
      </c>
      <c r="L491" s="165">
        <v>2.81E-2</v>
      </c>
      <c r="M491" s="165">
        <v>2.81E-2</v>
      </c>
      <c r="N491" s="2060"/>
    </row>
    <row r="492" spans="7:14">
      <c r="G492" s="239">
        <v>2014</v>
      </c>
      <c r="H492" s="240" t="str">
        <f>G492&amp;"8"</f>
        <v>20148</v>
      </c>
      <c r="I492" s="241">
        <v>632.77099999999996</v>
      </c>
      <c r="J492" s="241">
        <v>1055.32</v>
      </c>
      <c r="K492" s="165">
        <v>1.9800000000000002E-2</v>
      </c>
      <c r="L492" s="165">
        <v>2.3599999999999999E-2</v>
      </c>
      <c r="M492" s="165">
        <v>2.3599999999999999E-2</v>
      </c>
      <c r="N492" s="2060"/>
    </row>
    <row r="493" spans="7:14">
      <c r="G493" s="239">
        <v>2014</v>
      </c>
      <c r="H493" s="240" t="str">
        <f>G493&amp;"7"</f>
        <v>20147</v>
      </c>
      <c r="I493" s="241">
        <v>1055.3209999999999</v>
      </c>
      <c r="J493" s="241">
        <v>1621.7919999999999</v>
      </c>
      <c r="K493" s="165">
        <v>1.9800000000000002E-2</v>
      </c>
      <c r="L493" s="165">
        <v>1.9400000000000001E-2</v>
      </c>
      <c r="M493" s="165">
        <v>1.9400000000000001E-2</v>
      </c>
      <c r="N493" s="2060"/>
    </row>
    <row r="494" spans="7:14">
      <c r="G494" s="239">
        <v>2014</v>
      </c>
      <c r="H494" s="240" t="str">
        <f>G494&amp;"6"</f>
        <v>20146</v>
      </c>
      <c r="I494" s="241">
        <v>1621.7929999999999</v>
      </c>
      <c r="J494" s="241">
        <v>2431.2289999999998</v>
      </c>
      <c r="K494" s="165">
        <v>1.9800000000000002E-2</v>
      </c>
      <c r="L494" s="165">
        <v>1.8599999999999998E-2</v>
      </c>
      <c r="M494" s="165">
        <v>1.8599999999999998E-2</v>
      </c>
      <c r="N494" s="2060"/>
    </row>
    <row r="495" spans="7:14">
      <c r="G495" s="239">
        <v>2014</v>
      </c>
      <c r="H495" s="240" t="str">
        <f>G495&amp;"5"</f>
        <v>20145</v>
      </c>
      <c r="I495" s="241">
        <v>2431.23</v>
      </c>
      <c r="J495" s="241">
        <v>3573.0790000000002</v>
      </c>
      <c r="K495" s="165">
        <v>1.11E-2</v>
      </c>
      <c r="L495" s="165">
        <v>1.7500000000000002E-2</v>
      </c>
      <c r="M495" s="165">
        <v>1.7500000000000002E-2</v>
      </c>
      <c r="N495" s="2060"/>
    </row>
    <row r="496" spans="7:14">
      <c r="G496" s="239">
        <v>2014</v>
      </c>
      <c r="H496" s="240" t="str">
        <f>G496&amp;"4"</f>
        <v>20144</v>
      </c>
      <c r="I496" s="241">
        <v>3573.0800000000004</v>
      </c>
      <c r="J496" s="241">
        <v>5569.84</v>
      </c>
      <c r="K496" s="165">
        <v>1.11E-2</v>
      </c>
      <c r="L496" s="165">
        <v>1.1599999999999999E-2</v>
      </c>
      <c r="M496" s="165">
        <v>1.1599999999999999E-2</v>
      </c>
      <c r="N496" s="2060"/>
    </row>
    <row r="497" spans="7:20">
      <c r="G497" s="239">
        <v>2014</v>
      </c>
      <c r="H497" s="240" t="str">
        <f>G497&amp;"3"</f>
        <v>20143</v>
      </c>
      <c r="I497" s="241">
        <v>5569.8410000000003</v>
      </c>
      <c r="J497" s="241">
        <v>9196.48</v>
      </c>
      <c r="K497" s="165">
        <v>1.11E-2</v>
      </c>
      <c r="L497" s="165">
        <v>8.6E-3</v>
      </c>
      <c r="M497" s="165">
        <v>8.6E-3</v>
      </c>
      <c r="N497" s="2060"/>
      <c r="O497" s="2060"/>
      <c r="P497" s="2060"/>
      <c r="Q497" s="2060"/>
      <c r="R497" s="2060"/>
      <c r="S497" s="2060"/>
      <c r="T497" s="2060"/>
    </row>
    <row r="498" spans="7:20">
      <c r="G498" s="239">
        <v>2014</v>
      </c>
      <c r="H498" s="240" t="str">
        <f>G498&amp;"2"</f>
        <v>20142</v>
      </c>
      <c r="I498" s="241">
        <v>9196.4809999999998</v>
      </c>
      <c r="J498" s="241">
        <v>21739.006000000001</v>
      </c>
      <c r="K498" s="165">
        <v>7.4999999999999997E-3</v>
      </c>
      <c r="L498" s="165">
        <v>7.4999999999999997E-3</v>
      </c>
      <c r="M498" s="165">
        <v>7.4999999999999997E-3</v>
      </c>
      <c r="N498" s="2060"/>
      <c r="O498" s="2060"/>
      <c r="P498" s="2060"/>
      <c r="Q498" s="2060"/>
      <c r="R498" s="2060"/>
      <c r="S498" s="2060"/>
      <c r="T498" s="2060"/>
    </row>
    <row r="499" spans="7:20">
      <c r="G499" s="239">
        <v>2014</v>
      </c>
      <c r="H499" s="240" t="str">
        <f>G499&amp;"1"</f>
        <v>20141</v>
      </c>
      <c r="I499" s="241">
        <v>21739.007000000001</v>
      </c>
      <c r="J499" s="241">
        <v>999999</v>
      </c>
      <c r="K499" s="165">
        <v>-3.7000000000000002E-3</v>
      </c>
      <c r="L499" s="165">
        <v>-3.7000000000000002E-3</v>
      </c>
      <c r="M499" s="165">
        <v>-3.7000000000000002E-3</v>
      </c>
      <c r="N499" s="2060"/>
      <c r="O499" s="2060"/>
      <c r="P499" s="2060"/>
      <c r="Q499" s="2060"/>
      <c r="R499" s="2060"/>
      <c r="S499" s="2060"/>
      <c r="T499" s="2060"/>
    </row>
    <row r="500" spans="7:20">
      <c r="G500" s="1519"/>
      <c r="H500" s="1519"/>
      <c r="I500" s="1519" t="s">
        <v>2505</v>
      </c>
      <c r="J500" s="1519"/>
      <c r="K500" s="1519"/>
      <c r="L500" s="1519" t="s">
        <v>2506</v>
      </c>
      <c r="M500" s="1519"/>
      <c r="N500" s="2060"/>
      <c r="O500" s="2060"/>
      <c r="P500" s="2060"/>
      <c r="Q500" s="2060"/>
      <c r="R500" s="2060"/>
      <c r="S500" s="2060"/>
      <c r="T500" s="2060"/>
    </row>
    <row r="501" spans="7:20">
      <c r="G501" s="1519"/>
      <c r="H501" s="238"/>
      <c r="I501" s="238"/>
      <c r="J501" s="238"/>
      <c r="K501" s="238"/>
      <c r="L501" s="238"/>
      <c r="M501" s="238"/>
      <c r="N501" s="2060"/>
      <c r="O501" s="2060"/>
      <c r="P501" s="2060"/>
      <c r="Q501" s="2060"/>
      <c r="R501" s="2060"/>
      <c r="S501" s="2060"/>
      <c r="T501" s="2060"/>
    </row>
    <row r="502" spans="7:20" s="646" customFormat="1">
      <c r="G502" s="236" t="str">
        <f>G503&amp;"Title"</f>
        <v>2015Title</v>
      </c>
      <c r="H502" s="237" t="s">
        <v>2507</v>
      </c>
      <c r="I502" s="238"/>
      <c r="J502" s="238"/>
      <c r="K502" s="238"/>
      <c r="L502" s="238"/>
      <c r="M502" s="238"/>
      <c r="N502" s="2060"/>
      <c r="O502" s="2060"/>
      <c r="P502" s="2060"/>
      <c r="Q502" s="2060"/>
      <c r="R502" s="2060"/>
      <c r="S502" s="2060"/>
      <c r="T502" s="2060"/>
    </row>
    <row r="503" spans="7:20" s="646" customFormat="1" ht="27.6">
      <c r="G503" s="239">
        <v>2015</v>
      </c>
      <c r="H503" s="2273"/>
      <c r="I503" s="2274" t="s">
        <v>2477</v>
      </c>
      <c r="J503" s="2274"/>
      <c r="K503" s="2275" t="s">
        <v>2478</v>
      </c>
      <c r="L503" s="2276" t="s">
        <v>2479</v>
      </c>
      <c r="M503" s="2276" t="s">
        <v>2480</v>
      </c>
      <c r="N503" s="2060"/>
      <c r="O503" s="2060"/>
      <c r="P503" s="2060"/>
      <c r="Q503" s="2060"/>
      <c r="R503" s="2060"/>
      <c r="S503" s="2060"/>
      <c r="T503" s="2060"/>
    </row>
    <row r="504" spans="7:20" s="646" customFormat="1">
      <c r="G504" s="239">
        <v>2015</v>
      </c>
      <c r="H504" s="643" t="s">
        <v>1272</v>
      </c>
      <c r="I504" s="644" t="s">
        <v>1273</v>
      </c>
      <c r="J504" s="644" t="s">
        <v>1275</v>
      </c>
      <c r="K504" s="644" t="s">
        <v>2481</v>
      </c>
      <c r="L504" s="644" t="s">
        <v>1272</v>
      </c>
      <c r="M504" s="644" t="s">
        <v>1272</v>
      </c>
      <c r="N504" s="2060"/>
      <c r="O504" s="2060"/>
      <c r="P504" s="2060"/>
      <c r="Q504" s="2060"/>
      <c r="R504" s="2060"/>
      <c r="S504" s="2060"/>
      <c r="T504" s="2060"/>
    </row>
    <row r="505" spans="7:20" s="646" customFormat="1">
      <c r="G505" s="239">
        <v>2015</v>
      </c>
      <c r="H505" s="240" t="str">
        <f>G505&amp;"10b"</f>
        <v>201510b</v>
      </c>
      <c r="I505" s="241">
        <v>0</v>
      </c>
      <c r="J505" s="241">
        <v>190.529</v>
      </c>
      <c r="K505" s="165">
        <v>3.7400000000000003E-2</v>
      </c>
      <c r="L505" s="536">
        <v>8.9399999999999993E-2</v>
      </c>
      <c r="M505" s="536">
        <v>5.7799999999999997E-2</v>
      </c>
      <c r="N505" s="2060"/>
      <c r="O505" s="2060"/>
      <c r="P505" s="2060"/>
      <c r="Q505" s="2060"/>
      <c r="R505" s="2060"/>
      <c r="S505" s="2060"/>
      <c r="T505" s="2060"/>
    </row>
    <row r="506" spans="7:20" s="646" customFormat="1">
      <c r="G506" s="239">
        <v>2015</v>
      </c>
      <c r="H506" s="240" t="str">
        <f>G506&amp;"10a"</f>
        <v>201510a</v>
      </c>
      <c r="I506" s="241">
        <f t="shared" ref="I506:I514" si="12">J505+0.001</f>
        <v>190.53</v>
      </c>
      <c r="J506" s="241">
        <v>300.375</v>
      </c>
      <c r="K506" s="165">
        <v>3.7400000000000003E-2</v>
      </c>
      <c r="L506" s="536">
        <v>4.2200000000000001E-2</v>
      </c>
      <c r="M506" s="536">
        <v>5.7799999999999997E-2</v>
      </c>
      <c r="N506" s="2060"/>
      <c r="O506" s="2060"/>
      <c r="P506" s="2060"/>
      <c r="Q506" s="2060"/>
      <c r="R506" s="2060"/>
      <c r="S506" s="2060"/>
      <c r="T506" s="2060"/>
    </row>
    <row r="507" spans="7:20" s="646" customFormat="1">
      <c r="G507" s="239">
        <v>2015</v>
      </c>
      <c r="H507" s="240" t="str">
        <f>G507&amp;"9"</f>
        <v>20159</v>
      </c>
      <c r="I507" s="241">
        <f t="shared" si="12"/>
        <v>300.37599999999998</v>
      </c>
      <c r="J507" s="241">
        <v>548.83900000000006</v>
      </c>
      <c r="K507" s="165">
        <v>3.7400000000000003E-2</v>
      </c>
      <c r="L507" s="165">
        <v>2.69E-2</v>
      </c>
      <c r="M507" s="165">
        <v>2.69E-2</v>
      </c>
      <c r="N507" s="2060"/>
      <c r="O507" s="2060"/>
      <c r="P507" s="2060"/>
      <c r="Q507" s="2060"/>
      <c r="R507" s="2060"/>
      <c r="S507" s="2060"/>
      <c r="T507" s="2060"/>
    </row>
    <row r="508" spans="7:20" s="646" customFormat="1">
      <c r="G508" s="239">
        <v>2015</v>
      </c>
      <c r="H508" s="240" t="str">
        <f>G508&amp;"8"</f>
        <v>20158</v>
      </c>
      <c r="I508" s="241">
        <f t="shared" si="12"/>
        <v>548.84</v>
      </c>
      <c r="J508" s="241">
        <v>1919.634</v>
      </c>
      <c r="K508" s="165">
        <v>1.7999999999999999E-2</v>
      </c>
      <c r="L508" s="165">
        <v>2.1499999999999998E-2</v>
      </c>
      <c r="M508" s="165">
        <v>2.1499999999999998E-2</v>
      </c>
      <c r="N508" s="2060"/>
      <c r="O508" s="2060"/>
      <c r="P508" s="2060"/>
      <c r="Q508" s="2060"/>
      <c r="R508" s="2060"/>
      <c r="S508" s="2060"/>
      <c r="T508" s="2060"/>
    </row>
    <row r="509" spans="7:20" s="646" customFormat="1">
      <c r="G509" s="239">
        <v>2015</v>
      </c>
      <c r="H509" s="240" t="str">
        <f>G509&amp;"7"</f>
        <v>20157</v>
      </c>
      <c r="I509" s="241">
        <f t="shared" si="12"/>
        <v>1919.635</v>
      </c>
      <c r="J509" s="241">
        <v>1686.86</v>
      </c>
      <c r="K509" s="165">
        <v>1.7999999999999999E-2</v>
      </c>
      <c r="L509" s="165">
        <v>1.7100000000000001E-2</v>
      </c>
      <c r="M509" s="165">
        <v>1.7100000000000001E-2</v>
      </c>
      <c r="N509" s="2060"/>
      <c r="O509" s="2060"/>
      <c r="P509" s="2060"/>
      <c r="Q509" s="2060"/>
      <c r="R509" s="2060"/>
      <c r="S509" s="2060"/>
      <c r="T509" s="2060"/>
    </row>
    <row r="510" spans="7:20" s="646" customFormat="1">
      <c r="G510" s="239">
        <v>2015</v>
      </c>
      <c r="H510" s="240" t="str">
        <f>G510&amp;"6"</f>
        <v>20156</v>
      </c>
      <c r="I510" s="241">
        <f t="shared" si="12"/>
        <v>1686.8609999999999</v>
      </c>
      <c r="J510" s="241">
        <v>2542.913</v>
      </c>
      <c r="K510" s="165">
        <v>1.7999999999999999E-2</v>
      </c>
      <c r="L510" s="165">
        <v>1.7399999999999999E-2</v>
      </c>
      <c r="M510" s="165">
        <v>1.7399999999999999E-2</v>
      </c>
      <c r="N510" s="2060"/>
      <c r="O510" s="2060"/>
      <c r="P510" s="2060"/>
      <c r="Q510" s="2060"/>
      <c r="R510" s="2060"/>
      <c r="S510" s="2060"/>
      <c r="T510" s="2060"/>
    </row>
    <row r="511" spans="7:20" s="646" customFormat="1">
      <c r="G511" s="239">
        <v>2015</v>
      </c>
      <c r="H511" s="240" t="str">
        <f>G511&amp;"5"</f>
        <v>20155</v>
      </c>
      <c r="I511" s="241">
        <f t="shared" si="12"/>
        <v>2542.9140000000002</v>
      </c>
      <c r="J511" s="241">
        <v>3724.1860000000001</v>
      </c>
      <c r="K511" s="165">
        <v>1.0699999999999999E-2</v>
      </c>
      <c r="L511" s="165">
        <v>1.6E-2</v>
      </c>
      <c r="M511" s="165">
        <v>1.6E-2</v>
      </c>
      <c r="N511" s="2060"/>
      <c r="O511" s="2060"/>
      <c r="P511" s="2060"/>
      <c r="Q511" s="2060"/>
      <c r="R511" s="2060"/>
      <c r="S511" s="2060"/>
      <c r="T511" s="2060"/>
    </row>
    <row r="512" spans="7:20" s="646" customFormat="1">
      <c r="G512" s="239">
        <v>2015</v>
      </c>
      <c r="H512" s="240" t="str">
        <f>G512&amp;"4"</f>
        <v>20154</v>
      </c>
      <c r="I512" s="241">
        <f t="shared" si="12"/>
        <v>3724.1870000000004</v>
      </c>
      <c r="J512" s="241">
        <v>5844.5919999999996</v>
      </c>
      <c r="K512" s="165">
        <v>1.0699999999999999E-2</v>
      </c>
      <c r="L512" s="165">
        <v>1.06E-2</v>
      </c>
      <c r="M512" s="165">
        <v>1.06E-2</v>
      </c>
      <c r="N512" s="2060"/>
      <c r="O512" s="2060"/>
      <c r="P512" s="2060"/>
      <c r="Q512" s="2060"/>
      <c r="R512" s="2060"/>
      <c r="S512" s="2060"/>
      <c r="T512" s="2060"/>
    </row>
    <row r="513" spans="7:20" s="646" customFormat="1">
      <c r="G513" s="239">
        <v>2015</v>
      </c>
      <c r="H513" s="240" t="str">
        <f>G513&amp;"3"</f>
        <v>20153</v>
      </c>
      <c r="I513" s="241">
        <f t="shared" si="12"/>
        <v>5844.5929999999998</v>
      </c>
      <c r="J513" s="241">
        <v>10105.621999999999</v>
      </c>
      <c r="K513" s="165">
        <v>1.0699999999999999E-2</v>
      </c>
      <c r="L513" s="165">
        <v>9.1000000000000004E-3</v>
      </c>
      <c r="M513" s="165">
        <v>9.1000000000000004E-3</v>
      </c>
      <c r="N513" s="2060"/>
      <c r="O513" s="2060"/>
      <c r="P513" s="2060"/>
      <c r="Q513" s="2060"/>
      <c r="R513" s="2060"/>
      <c r="S513" s="2060"/>
      <c r="T513" s="2060"/>
    </row>
    <row r="514" spans="7:20" s="646" customFormat="1">
      <c r="G514" s="239">
        <v>2015</v>
      </c>
      <c r="H514" s="240" t="str">
        <f>G514&amp;"2"</f>
        <v>20152</v>
      </c>
      <c r="I514" s="241">
        <f t="shared" si="12"/>
        <v>10105.623</v>
      </c>
      <c r="J514" s="241">
        <v>24272.837</v>
      </c>
      <c r="K514" s="165">
        <v>6.3E-3</v>
      </c>
      <c r="L514" s="165">
        <v>6.3E-3</v>
      </c>
      <c r="M514" s="165">
        <v>6.3E-3</v>
      </c>
      <c r="N514" s="2060"/>
      <c r="O514" s="2060"/>
      <c r="P514" s="2060"/>
      <c r="Q514" s="2060"/>
      <c r="R514" s="2060"/>
      <c r="S514" s="2060"/>
      <c r="T514" s="2060"/>
    </row>
    <row r="515" spans="7:20" s="646" customFormat="1">
      <c r="G515" s="239">
        <v>2015</v>
      </c>
      <c r="H515" s="240" t="str">
        <f>G515&amp;"1"</f>
        <v>20151</v>
      </c>
      <c r="I515" s="241">
        <f>J514+0.001</f>
        <v>24272.838</v>
      </c>
      <c r="J515" s="241">
        <v>591015.72100000002</v>
      </c>
      <c r="K515" s="165">
        <v>-3.5999999999999999E-3</v>
      </c>
      <c r="L515" s="165">
        <v>-3.5999999999999999E-3</v>
      </c>
      <c r="M515" s="165">
        <v>-3.5999999999999999E-3</v>
      </c>
      <c r="N515" s="2060"/>
      <c r="O515" s="2060"/>
      <c r="P515" s="2060"/>
      <c r="Q515" s="2060"/>
      <c r="R515" s="2060"/>
      <c r="S515" s="2060"/>
      <c r="T515" s="2060"/>
    </row>
    <row r="516" spans="7:20" s="646" customFormat="1">
      <c r="G516" s="1519"/>
      <c r="H516" s="1519"/>
      <c r="I516" s="1519" t="s">
        <v>2508</v>
      </c>
      <c r="J516" s="1519"/>
      <c r="K516" s="1519"/>
      <c r="L516" s="1519" t="s">
        <v>2509</v>
      </c>
      <c r="M516" s="1519"/>
      <c r="N516" s="2060"/>
      <c r="O516" s="2060"/>
      <c r="P516" s="2060"/>
      <c r="Q516" s="2060"/>
      <c r="R516" s="2060"/>
      <c r="S516" s="2060"/>
      <c r="T516" s="2060"/>
    </row>
    <row r="517" spans="7:20" s="1499" customFormat="1">
      <c r="G517" s="1519"/>
      <c r="H517" s="238"/>
      <c r="I517" s="238"/>
      <c r="J517" s="238"/>
      <c r="K517" s="238"/>
      <c r="L517" s="238"/>
      <c r="M517" s="238"/>
      <c r="N517" s="2060"/>
      <c r="O517" s="2060"/>
      <c r="P517" s="2060"/>
      <c r="Q517" s="2060"/>
      <c r="R517" s="2060"/>
      <c r="S517" s="2060"/>
      <c r="T517" s="2060"/>
    </row>
    <row r="518" spans="7:20" s="1499" customFormat="1">
      <c r="G518" s="236" t="str">
        <f>G519&amp;"Title"</f>
        <v>2016Title</v>
      </c>
      <c r="H518" s="237" t="s">
        <v>2510</v>
      </c>
      <c r="I518" s="238"/>
      <c r="J518" s="238"/>
      <c r="K518" s="238"/>
      <c r="L518" s="238"/>
      <c r="M518" s="238"/>
      <c r="N518" s="2060"/>
      <c r="O518" s="2060"/>
      <c r="P518" s="2060"/>
      <c r="Q518" s="2060"/>
      <c r="R518" s="2060"/>
      <c r="S518" s="2060"/>
      <c r="T518" s="2060"/>
    </row>
    <row r="519" spans="7:20" s="1499" customFormat="1" ht="27.6">
      <c r="G519" s="239">
        <v>2016</v>
      </c>
      <c r="H519" s="2273"/>
      <c r="I519" s="2274" t="s">
        <v>2477</v>
      </c>
      <c r="J519" s="2274"/>
      <c r="K519" s="2275" t="s">
        <v>2478</v>
      </c>
      <c r="L519" s="2276" t="s">
        <v>2479</v>
      </c>
      <c r="M519" s="2276" t="s">
        <v>2480</v>
      </c>
      <c r="N519" s="2060"/>
      <c r="O519" s="2060"/>
      <c r="P519" s="2060"/>
      <c r="Q519" s="2060"/>
      <c r="R519" s="2060"/>
      <c r="S519" s="2060"/>
      <c r="T519" s="2060"/>
    </row>
    <row r="520" spans="7:20" s="1499" customFormat="1">
      <c r="G520" s="239">
        <v>2016</v>
      </c>
      <c r="H520" s="643" t="s">
        <v>1272</v>
      </c>
      <c r="I520" s="644" t="s">
        <v>1273</v>
      </c>
      <c r="J520" s="644" t="s">
        <v>1275</v>
      </c>
      <c r="K520" s="644" t="s">
        <v>2481</v>
      </c>
      <c r="L520" s="644" t="s">
        <v>1272</v>
      </c>
      <c r="M520" s="644" t="s">
        <v>1272</v>
      </c>
      <c r="N520" s="2060"/>
      <c r="O520" s="2060"/>
      <c r="P520" s="2060"/>
      <c r="Q520" s="2060"/>
      <c r="R520" s="2060"/>
      <c r="S520" s="2060"/>
      <c r="T520" s="2060"/>
    </row>
    <row r="521" spans="7:20" s="1499" customFormat="1">
      <c r="G521" s="239">
        <v>2016</v>
      </c>
      <c r="H521" s="240" t="str">
        <f>G521&amp;"10b"</f>
        <v>201610b</v>
      </c>
      <c r="I521" s="241">
        <v>0</v>
      </c>
      <c r="J521" s="241">
        <v>109</v>
      </c>
      <c r="K521" s="165">
        <v>3.5799999999999998E-2</v>
      </c>
      <c r="L521" s="536">
        <v>8.7599999999999997E-2</v>
      </c>
      <c r="M521" s="536">
        <v>5.6000000000000001E-2</v>
      </c>
      <c r="N521" s="2060"/>
      <c r="O521" s="2060"/>
      <c r="P521" s="2060"/>
      <c r="Q521" s="2060"/>
      <c r="R521" s="2060"/>
      <c r="S521" s="2060"/>
      <c r="T521" s="2060"/>
    </row>
    <row r="522" spans="7:20" s="1499" customFormat="1">
      <c r="G522" s="239">
        <v>2016</v>
      </c>
      <c r="H522" s="240" t="str">
        <f>G522&amp;"10a"</f>
        <v>201610a</v>
      </c>
      <c r="I522" s="241">
        <v>109.001</v>
      </c>
      <c r="J522" s="241">
        <v>209.40600000000001</v>
      </c>
      <c r="K522" s="165">
        <v>3.5799999999999998E-2</v>
      </c>
      <c r="L522" s="536">
        <v>4.0399999999999998E-2</v>
      </c>
      <c r="M522" s="536">
        <v>5.6000000000000001E-2</v>
      </c>
      <c r="N522" s="2060"/>
      <c r="O522" s="2060"/>
      <c r="P522" s="2060"/>
      <c r="Q522" s="2060"/>
      <c r="R522" s="1643"/>
      <c r="S522" s="2060"/>
      <c r="T522" s="2060"/>
    </row>
    <row r="523" spans="7:20" s="1499" customFormat="1">
      <c r="G523" s="239">
        <v>2016</v>
      </c>
      <c r="H523" s="240" t="str">
        <f>G523&amp;"9"</f>
        <v>20169</v>
      </c>
      <c r="I523" s="241">
        <v>209.40700000000001</v>
      </c>
      <c r="J523" s="241">
        <v>448.07900000000001</v>
      </c>
      <c r="K523" s="165">
        <v>3.5799999999999998E-2</v>
      </c>
      <c r="L523" s="165">
        <v>2.5399999999999999E-2</v>
      </c>
      <c r="M523" s="165">
        <v>2.5399999999999999E-2</v>
      </c>
      <c r="N523" s="2060"/>
      <c r="O523" s="2060"/>
      <c r="P523" s="2060"/>
      <c r="Q523" s="2060"/>
      <c r="R523" s="1643"/>
      <c r="S523" s="2060"/>
      <c r="T523" s="2060"/>
    </row>
    <row r="524" spans="7:20" s="1499" customFormat="1">
      <c r="G524" s="239">
        <v>2016</v>
      </c>
      <c r="H524" s="240" t="str">
        <f>G524&amp;"8"</f>
        <v>20168</v>
      </c>
      <c r="I524" s="241">
        <v>448.08</v>
      </c>
      <c r="J524" s="241">
        <v>844.47500000000002</v>
      </c>
      <c r="K524" s="165">
        <v>1.7000000000000001E-2</v>
      </c>
      <c r="L524" s="165">
        <v>2.0400000000000001E-2</v>
      </c>
      <c r="M524" s="165">
        <v>2.0400000000000001E-2</v>
      </c>
      <c r="N524" s="2060"/>
      <c r="O524" s="2060"/>
      <c r="P524" s="2060"/>
      <c r="Q524" s="2060"/>
      <c r="R524" s="1643"/>
      <c r="S524" s="2060"/>
      <c r="T524" s="2060"/>
    </row>
    <row r="525" spans="7:20" s="1499" customFormat="1">
      <c r="G525" s="239">
        <v>2016</v>
      </c>
      <c r="H525" s="240" t="str">
        <f>G525&amp;"7"</f>
        <v>20167</v>
      </c>
      <c r="I525" s="241">
        <v>844.476</v>
      </c>
      <c r="J525" s="241">
        <v>1400.2080000000001</v>
      </c>
      <c r="K525" s="165">
        <v>1.7000000000000001E-2</v>
      </c>
      <c r="L525" s="165">
        <v>1.6199999999999999E-2</v>
      </c>
      <c r="M525" s="165">
        <v>1.6199999999999999E-2</v>
      </c>
      <c r="N525" s="2060"/>
      <c r="O525" s="2060"/>
      <c r="P525" s="2060"/>
      <c r="Q525" s="2060"/>
      <c r="R525" s="1643"/>
      <c r="S525" s="2060"/>
      <c r="T525" s="2060"/>
    </row>
    <row r="526" spans="7:20" s="1499" customFormat="1">
      <c r="G526" s="239">
        <v>2016</v>
      </c>
      <c r="H526" s="240" t="str">
        <f>G526&amp;"6"</f>
        <v>20166</v>
      </c>
      <c r="I526" s="241">
        <v>1400.2090000000001</v>
      </c>
      <c r="J526" s="241">
        <v>2083.6419999999998</v>
      </c>
      <c r="K526" s="165">
        <v>1.7000000000000001E-2</v>
      </c>
      <c r="L526" s="165">
        <v>1.6299999999999999E-2</v>
      </c>
      <c r="M526" s="165">
        <v>1.6299999999999999E-2</v>
      </c>
      <c r="N526" s="2060"/>
      <c r="O526" s="2060"/>
      <c r="P526" s="2060"/>
      <c r="Q526" s="2060"/>
      <c r="R526" s="1643"/>
      <c r="S526" s="2060"/>
      <c r="T526" s="2060"/>
    </row>
    <row r="527" spans="7:20" s="1499" customFormat="1">
      <c r="G527" s="239">
        <v>2016</v>
      </c>
      <c r="H527" s="240" t="str">
        <f>G527&amp;"5"</f>
        <v>20165</v>
      </c>
      <c r="I527" s="241">
        <v>2083.643</v>
      </c>
      <c r="J527" s="241">
        <v>3187.48</v>
      </c>
      <c r="K527" s="165">
        <v>0.01</v>
      </c>
      <c r="L527" s="165">
        <v>1.49E-2</v>
      </c>
      <c r="M527" s="165">
        <v>1.49E-2</v>
      </c>
      <c r="N527" s="2060"/>
      <c r="O527" s="2060"/>
      <c r="P527" s="2060"/>
      <c r="Q527" s="2060"/>
      <c r="R527" s="1643"/>
      <c r="S527" s="2060"/>
      <c r="T527" s="2060"/>
    </row>
    <row r="528" spans="7:20" s="1499" customFormat="1">
      <c r="G528" s="239">
        <v>2016</v>
      </c>
      <c r="H528" s="240" t="str">
        <f>G528&amp;"4"</f>
        <v>20164</v>
      </c>
      <c r="I528" s="241">
        <v>3187.4810000000002</v>
      </c>
      <c r="J528" s="241">
        <v>5199.9520000000002</v>
      </c>
      <c r="K528" s="165">
        <v>0.01</v>
      </c>
      <c r="L528" s="165">
        <v>9.9000000000000008E-3</v>
      </c>
      <c r="M528" s="165">
        <v>9.9000000000000008E-3</v>
      </c>
      <c r="N528" s="2060"/>
      <c r="O528" s="2060"/>
      <c r="P528" s="2060"/>
      <c r="Q528" s="2060"/>
      <c r="R528" s="1643"/>
      <c r="S528" s="2060"/>
      <c r="T528" s="2060"/>
    </row>
    <row r="529" spans="7:18" s="1499" customFormat="1">
      <c r="G529" s="239">
        <v>2016</v>
      </c>
      <c r="H529" s="240" t="str">
        <f>G529&amp;"3"</f>
        <v>20163</v>
      </c>
      <c r="I529" s="241">
        <v>5199.9530000000004</v>
      </c>
      <c r="J529" s="241">
        <v>9611.1869999999999</v>
      </c>
      <c r="K529" s="165">
        <v>0.01</v>
      </c>
      <c r="L529" s="165">
        <v>8.6E-3</v>
      </c>
      <c r="M529" s="165">
        <v>8.6E-3</v>
      </c>
      <c r="N529" s="2060"/>
      <c r="O529" s="2060"/>
      <c r="P529" s="2060"/>
      <c r="Q529" s="2060"/>
      <c r="R529" s="1643"/>
    </row>
    <row r="530" spans="7:18" s="1499" customFormat="1">
      <c r="G530" s="239">
        <v>2016</v>
      </c>
      <c r="H530" s="240" t="str">
        <f>G530&amp;"2"</f>
        <v>20162</v>
      </c>
      <c r="I530" s="241">
        <v>9611.1880000000001</v>
      </c>
      <c r="J530" s="241">
        <v>21809.433000000001</v>
      </c>
      <c r="K530" s="165">
        <v>5.7000000000000002E-3</v>
      </c>
      <c r="L530" s="165">
        <v>5.7000000000000002E-3</v>
      </c>
      <c r="M530" s="165">
        <v>5.7000000000000002E-3</v>
      </c>
      <c r="N530" s="2060"/>
      <c r="O530" s="2060"/>
      <c r="P530" s="2060"/>
      <c r="Q530" s="2060"/>
      <c r="R530" s="1643"/>
    </row>
    <row r="531" spans="7:18" s="1499" customFormat="1">
      <c r="G531" s="239">
        <v>2016</v>
      </c>
      <c r="H531" s="240" t="str">
        <f>G531&amp;"1"</f>
        <v>20161</v>
      </c>
      <c r="I531" s="241">
        <v>21809.434000000001</v>
      </c>
      <c r="J531" s="241">
        <v>629010.25399999996</v>
      </c>
      <c r="K531" s="165">
        <v>-3.5999999999999999E-3</v>
      </c>
      <c r="L531" s="165">
        <v>-3.5999999999999999E-3</v>
      </c>
      <c r="M531" s="165">
        <v>-3.5999999999999999E-3</v>
      </c>
      <c r="N531" s="2060"/>
      <c r="O531" s="2060"/>
      <c r="P531" s="2060"/>
      <c r="Q531" s="2060"/>
      <c r="R531" s="1643"/>
    </row>
    <row r="532" spans="7:18" s="1499" customFormat="1">
      <c r="G532" s="1519"/>
      <c r="H532" s="1519"/>
      <c r="I532" s="1519" t="s">
        <v>2511</v>
      </c>
      <c r="J532" s="1519"/>
      <c r="K532" s="1519"/>
      <c r="L532" s="1519" t="s">
        <v>2512</v>
      </c>
      <c r="M532" s="1519"/>
      <c r="N532" s="2060"/>
      <c r="O532" s="2060"/>
      <c r="P532" s="2060"/>
      <c r="Q532" s="2060"/>
      <c r="R532" s="2060"/>
    </row>
    <row r="533" spans="7:18" s="2060" customFormat="1">
      <c r="G533" s="1519"/>
      <c r="H533" s="238"/>
      <c r="I533" s="238"/>
      <c r="J533" s="238"/>
      <c r="K533" s="238"/>
      <c r="L533" s="238"/>
      <c r="M533" s="238"/>
    </row>
    <row r="534" spans="7:18" s="2060" customFormat="1">
      <c r="G534" s="236" t="str">
        <f>G535&amp;"Title"</f>
        <v>2017Title</v>
      </c>
      <c r="H534" s="237" t="s">
        <v>2513</v>
      </c>
      <c r="I534" s="238"/>
      <c r="J534" s="238"/>
      <c r="K534" s="238"/>
      <c r="L534" s="238"/>
      <c r="M534" s="238"/>
    </row>
    <row r="535" spans="7:18" s="2060" customFormat="1" ht="27.6">
      <c r="G535" s="239">
        <v>2017</v>
      </c>
      <c r="H535" s="2273"/>
      <c r="I535" s="2274" t="s">
        <v>2477</v>
      </c>
      <c r="J535" s="2274"/>
      <c r="K535" s="2275" t="s">
        <v>2478</v>
      </c>
      <c r="L535" s="2276" t="s">
        <v>2479</v>
      </c>
      <c r="M535" s="2276" t="s">
        <v>2480</v>
      </c>
    </row>
    <row r="536" spans="7:18" s="2060" customFormat="1">
      <c r="G536" s="239">
        <v>2017</v>
      </c>
      <c r="H536" s="643" t="s">
        <v>1272</v>
      </c>
      <c r="I536" s="644" t="s">
        <v>1273</v>
      </c>
      <c r="J536" s="644" t="s">
        <v>1275</v>
      </c>
      <c r="K536" s="644" t="s">
        <v>2481</v>
      </c>
      <c r="L536" s="644" t="s">
        <v>1272</v>
      </c>
      <c r="M536" s="644" t="s">
        <v>1272</v>
      </c>
    </row>
    <row r="537" spans="7:18" s="2060" customFormat="1">
      <c r="G537" s="239">
        <v>2017</v>
      </c>
      <c r="H537" s="240" t="str">
        <f>G537&amp;"10b"</f>
        <v>201710b</v>
      </c>
      <c r="I537" s="241">
        <v>0</v>
      </c>
      <c r="J537" s="241">
        <v>127.279</v>
      </c>
      <c r="K537" s="165">
        <v>3.6700000000000003E-2</v>
      </c>
      <c r="L537" s="536">
        <v>8.6400000000000005E-2</v>
      </c>
      <c r="M537" s="536">
        <v>5.5899999999999998E-2</v>
      </c>
    </row>
    <row r="538" spans="7:18" s="2060" customFormat="1">
      <c r="G538" s="239">
        <v>2017</v>
      </c>
      <c r="H538" s="240" t="str">
        <f>G538&amp;"10a"</f>
        <v>201710a</v>
      </c>
      <c r="I538" s="241">
        <f t="shared" ref="I538:I546" si="13">J537+0.001</f>
        <v>127.28</v>
      </c>
      <c r="J538" s="241">
        <v>262.89100000000002</v>
      </c>
      <c r="K538" s="165">
        <v>3.6700000000000003E-2</v>
      </c>
      <c r="L538" s="536">
        <v>4.0899999999999999E-2</v>
      </c>
      <c r="M538" s="536">
        <v>5.5899999999999998E-2</v>
      </c>
      <c r="R538" s="1643"/>
    </row>
    <row r="539" spans="7:18" s="2060" customFormat="1">
      <c r="G539" s="239">
        <v>2017</v>
      </c>
      <c r="H539" s="240" t="str">
        <f>G539&amp;"9"</f>
        <v>20179</v>
      </c>
      <c r="I539" s="241">
        <f t="shared" si="13"/>
        <v>262.892</v>
      </c>
      <c r="J539" s="241">
        <v>567.84299999999996</v>
      </c>
      <c r="K539" s="165">
        <v>3.6700000000000003E-2</v>
      </c>
      <c r="L539" s="165">
        <v>2.6800000000000001E-2</v>
      </c>
      <c r="M539" s="165">
        <v>2.6800000000000001E-2</v>
      </c>
      <c r="R539" s="1643"/>
    </row>
    <row r="540" spans="7:18" s="2060" customFormat="1">
      <c r="G540" s="239">
        <v>2017</v>
      </c>
      <c r="H540" s="240" t="str">
        <f>G540&amp;"8"</f>
        <v>20178</v>
      </c>
      <c r="I540" s="241">
        <f t="shared" si="13"/>
        <v>567.84399999999994</v>
      </c>
      <c r="J540" s="241">
        <v>1030.4259999999999</v>
      </c>
      <c r="K540" s="165">
        <v>1.7500000000000002E-2</v>
      </c>
      <c r="L540" s="165">
        <v>2.0799999999999999E-2</v>
      </c>
      <c r="M540" s="165">
        <v>2.0799999999999999E-2</v>
      </c>
      <c r="R540" s="1643"/>
    </row>
    <row r="541" spans="7:18" s="2060" customFormat="1">
      <c r="G541" s="239">
        <v>2017</v>
      </c>
      <c r="H541" s="240" t="str">
        <f>G541&amp;"7"</f>
        <v>20177</v>
      </c>
      <c r="I541" s="241">
        <f t="shared" si="13"/>
        <v>1030.4269999999999</v>
      </c>
      <c r="J541" s="241">
        <v>1569.9839999999999</v>
      </c>
      <c r="K541" s="165">
        <v>1.7500000000000002E-2</v>
      </c>
      <c r="L541" s="165">
        <v>1.72E-2</v>
      </c>
      <c r="M541" s="165">
        <v>1.72E-2</v>
      </c>
      <c r="R541" s="1643"/>
    </row>
    <row r="542" spans="7:18" s="2060" customFormat="1">
      <c r="G542" s="239">
        <v>2017</v>
      </c>
      <c r="H542" s="240" t="str">
        <f>G542&amp;"6"</f>
        <v>20176</v>
      </c>
      <c r="I542" s="241">
        <f t="shared" si="13"/>
        <v>1569.9849999999999</v>
      </c>
      <c r="J542" s="241">
        <v>2390.8989999999999</v>
      </c>
      <c r="K542" s="165">
        <v>1.7500000000000002E-2</v>
      </c>
      <c r="L542" s="165">
        <v>1.66E-2</v>
      </c>
      <c r="M542" s="165">
        <v>1.66E-2</v>
      </c>
      <c r="R542" s="1643"/>
    </row>
    <row r="543" spans="7:18" s="2060" customFormat="1">
      <c r="G543" s="239">
        <v>2017</v>
      </c>
      <c r="H543" s="240" t="str">
        <f>G543&amp;"5"</f>
        <v>20175</v>
      </c>
      <c r="I543" s="241">
        <f t="shared" si="13"/>
        <v>2390.9</v>
      </c>
      <c r="J543" s="241">
        <v>3512.913</v>
      </c>
      <c r="K543" s="165">
        <v>1.0200000000000001E-2</v>
      </c>
      <c r="L543" s="165">
        <v>1.5100000000000001E-2</v>
      </c>
      <c r="M543" s="165">
        <v>1.5100000000000001E-2</v>
      </c>
      <c r="R543" s="1643"/>
    </row>
    <row r="544" spans="7:18" s="2060" customFormat="1">
      <c r="G544" s="239">
        <v>2017</v>
      </c>
      <c r="H544" s="240" t="str">
        <f>G544&amp;"4"</f>
        <v>20174</v>
      </c>
      <c r="I544" s="241">
        <f t="shared" si="13"/>
        <v>3512.9140000000002</v>
      </c>
      <c r="J544" s="241">
        <v>5676.7160000000003</v>
      </c>
      <c r="K544" s="165">
        <v>1.0200000000000001E-2</v>
      </c>
      <c r="L544" s="165">
        <v>9.7999999999999997E-3</v>
      </c>
      <c r="M544" s="165">
        <v>9.7999999999999997E-3</v>
      </c>
      <c r="R544" s="1643"/>
    </row>
    <row r="545" spans="1:29" s="2060" customFormat="1">
      <c r="G545" s="239">
        <v>2017</v>
      </c>
      <c r="H545" s="240" t="str">
        <f>G545&amp;"3"</f>
        <v>20173</v>
      </c>
      <c r="I545" s="241">
        <f t="shared" si="13"/>
        <v>5676.7170000000006</v>
      </c>
      <c r="J545" s="241">
        <v>10711.194</v>
      </c>
      <c r="K545" s="165">
        <v>1.0200000000000001E-2</v>
      </c>
      <c r="L545" s="165">
        <v>8.8999999999999999E-3</v>
      </c>
      <c r="M545" s="165">
        <v>8.8999999999999999E-3</v>
      </c>
      <c r="R545" s="1643"/>
    </row>
    <row r="546" spans="1:29" s="2060" customFormat="1">
      <c r="G546" s="239">
        <v>2017</v>
      </c>
      <c r="H546" s="240" t="str">
        <f>G546&amp;"2"</f>
        <v>20172</v>
      </c>
      <c r="I546" s="241">
        <f t="shared" si="13"/>
        <v>10711.195</v>
      </c>
      <c r="J546" s="241">
        <v>24233.746999999999</v>
      </c>
      <c r="K546" s="165">
        <v>6.1000000000000004E-3</v>
      </c>
      <c r="L546" s="165">
        <v>6.1000000000000004E-3</v>
      </c>
      <c r="M546" s="165">
        <v>6.1000000000000004E-3</v>
      </c>
      <c r="R546" s="1643"/>
    </row>
    <row r="547" spans="1:29" s="2060" customFormat="1">
      <c r="G547" s="239">
        <v>2017</v>
      </c>
      <c r="H547" s="240" t="str">
        <f>G547&amp;"1"</f>
        <v>20171</v>
      </c>
      <c r="I547" s="241">
        <f>J546+0.001</f>
        <v>24233.748</v>
      </c>
      <c r="J547" s="241">
        <v>609163.49800000002</v>
      </c>
      <c r="K547" s="165">
        <v>-3.5000000000000001E-3</v>
      </c>
      <c r="L547" s="165">
        <v>-3.5000000000000001E-3</v>
      </c>
      <c r="M547" s="165">
        <v>-3.5000000000000001E-3</v>
      </c>
      <c r="R547" s="1643"/>
    </row>
    <row r="548" spans="1:29" s="2060" customFormat="1">
      <c r="G548" s="1519"/>
      <c r="H548" s="1519"/>
      <c r="I548" s="1519" t="s">
        <v>2514</v>
      </c>
      <c r="J548" s="1519"/>
      <c r="K548" s="1519"/>
      <c r="L548" s="1519" t="s">
        <v>2515</v>
      </c>
      <c r="M548" s="1519"/>
    </row>
    <row r="549" spans="1:29">
      <c r="A549" s="2060"/>
      <c r="B549" s="2060"/>
      <c r="C549" s="2060"/>
      <c r="D549" s="2060"/>
      <c r="E549" s="2060"/>
      <c r="F549" s="2060"/>
      <c r="G549" s="882" t="s">
        <v>2470</v>
      </c>
      <c r="H549" s="881"/>
      <c r="I549" s="881"/>
      <c r="J549" s="881"/>
      <c r="K549" s="881"/>
      <c r="L549" s="881"/>
      <c r="M549" s="881"/>
      <c r="N549" s="2060"/>
      <c r="O549" s="2060"/>
      <c r="P549" s="2060"/>
      <c r="Q549" s="2060"/>
      <c r="R549" s="2060"/>
      <c r="S549" s="2060"/>
      <c r="T549" s="2060"/>
      <c r="U549" s="2060"/>
      <c r="V549" s="2060"/>
      <c r="W549" s="2060"/>
      <c r="X549" s="2060"/>
      <c r="Y549" s="2060"/>
      <c r="Z549" s="2060"/>
      <c r="AA549" s="2060"/>
      <c r="AB549" s="2060"/>
      <c r="AC549" s="2060"/>
    </row>
    <row r="550" spans="1:29">
      <c r="A550" s="2060"/>
      <c r="B550" s="2060"/>
      <c r="C550" s="2060"/>
      <c r="D550" s="2060"/>
      <c r="E550" s="2060"/>
      <c r="F550" s="2060"/>
      <c r="G550" s="2060"/>
      <c r="H550" s="2060"/>
      <c r="I550" s="2060"/>
      <c r="J550" s="2060"/>
      <c r="K550" s="2060"/>
      <c r="L550" s="2060"/>
      <c r="M550" s="2060"/>
      <c r="N550" s="2060"/>
      <c r="O550" s="2060"/>
      <c r="P550" s="2060"/>
      <c r="Q550" s="2060"/>
      <c r="R550" s="2060"/>
      <c r="S550" s="2060"/>
      <c r="T550" s="2060"/>
      <c r="U550" s="2060"/>
      <c r="V550" s="2060"/>
      <c r="W550" s="2060"/>
      <c r="X550" s="2060"/>
      <c r="Y550" s="2060"/>
      <c r="Z550" s="2060"/>
      <c r="AA550" s="2060"/>
      <c r="AB550" s="2060"/>
      <c r="AC550" s="2060"/>
    </row>
    <row r="551" spans="1:29">
      <c r="A551" s="2060"/>
      <c r="B551" s="2060"/>
      <c r="C551" s="2060"/>
      <c r="D551" s="2060"/>
      <c r="E551" s="2060"/>
      <c r="F551" s="2060"/>
      <c r="G551" s="2060"/>
      <c r="H551" s="2060"/>
      <c r="I551" s="2060"/>
      <c r="J551" s="2060"/>
      <c r="K551" s="2060"/>
      <c r="L551" s="2060"/>
      <c r="M551" s="2060"/>
      <c r="N551" s="2060"/>
      <c r="O551" s="2060"/>
      <c r="P551" s="2060"/>
      <c r="Q551" s="2060"/>
      <c r="R551" s="2060"/>
      <c r="S551" s="2060"/>
      <c r="T551" s="2060"/>
      <c r="U551" s="2060"/>
      <c r="V551" s="2060"/>
      <c r="W551" s="2060"/>
      <c r="X551" s="2060"/>
      <c r="Y551" s="2060"/>
      <c r="Z551" s="2060"/>
      <c r="AA551" s="2060"/>
      <c r="AB551" s="2060"/>
      <c r="AC551" s="2060"/>
    </row>
    <row r="552" spans="1:29" s="646" customFormat="1" ht="18">
      <c r="A552" s="588"/>
      <c r="B552" s="588"/>
      <c r="C552" s="87"/>
      <c r="D552" s="163" t="s">
        <v>1279</v>
      </c>
      <c r="E552" s="132"/>
      <c r="F552" s="132"/>
      <c r="G552" s="132"/>
      <c r="H552" s="132"/>
      <c r="I552" s="132"/>
      <c r="J552" s="132"/>
      <c r="K552" s="132"/>
      <c r="L552" s="132"/>
      <c r="M552" s="132"/>
      <c r="N552" s="132"/>
      <c r="O552" s="132"/>
      <c r="P552" s="132"/>
      <c r="Q552" s="132"/>
      <c r="R552" s="132"/>
      <c r="S552" s="132"/>
      <c r="T552" s="132"/>
      <c r="U552" s="132"/>
      <c r="V552" s="132"/>
      <c r="W552" s="132"/>
      <c r="X552" s="132"/>
      <c r="Y552" s="132"/>
      <c r="Z552" s="132"/>
      <c r="AA552" s="132"/>
      <c r="AB552" s="132"/>
      <c r="AC552" s="132"/>
    </row>
    <row r="553" spans="1:29">
      <c r="A553" s="2060"/>
      <c r="B553" s="2060"/>
      <c r="C553" s="2060"/>
      <c r="D553" s="2060"/>
      <c r="E553" s="2060"/>
      <c r="F553" s="2060"/>
      <c r="G553" s="2060"/>
      <c r="H553" s="2060"/>
      <c r="I553" s="2060"/>
      <c r="J553" s="2060"/>
      <c r="K553" s="2060"/>
      <c r="L553" s="2060"/>
      <c r="M553" s="2060"/>
      <c r="N553" s="2060"/>
      <c r="O553" s="2060"/>
      <c r="P553" s="2060"/>
      <c r="Q553" s="2060"/>
      <c r="R553" s="2060"/>
      <c r="S553" s="2060"/>
      <c r="T553" s="2060"/>
      <c r="U553" s="2060"/>
      <c r="V553" s="2060"/>
      <c r="W553" s="2060"/>
      <c r="X553" s="2060"/>
      <c r="Y553" s="2060"/>
      <c r="Z553" s="2060"/>
      <c r="AA553" s="2060"/>
      <c r="AB553" s="2060"/>
      <c r="AC553" s="2060"/>
    </row>
    <row r="554" spans="1:29">
      <c r="A554" s="2060"/>
      <c r="B554" s="2060"/>
      <c r="C554" s="2060"/>
      <c r="D554" s="2060"/>
      <c r="E554" s="2060"/>
      <c r="F554" s="2060"/>
      <c r="G554" s="2060"/>
      <c r="H554" s="2060"/>
      <c r="I554" s="2060"/>
      <c r="J554" s="2060"/>
      <c r="K554" s="2060"/>
      <c r="L554" s="2060"/>
      <c r="M554" s="2060"/>
      <c r="N554" s="2060"/>
      <c r="O554" s="2060"/>
      <c r="P554" s="2060"/>
      <c r="Q554" s="2060"/>
      <c r="R554" s="2060"/>
      <c r="S554" s="2060"/>
      <c r="T554" s="2060"/>
      <c r="U554" s="2060"/>
      <c r="V554" s="2060"/>
      <c r="W554" s="2060"/>
      <c r="X554" s="2060"/>
      <c r="Y554" s="2060"/>
      <c r="Z554" s="2060"/>
      <c r="AA554" s="2060"/>
      <c r="AB554" s="2060"/>
      <c r="AC554" s="2060"/>
    </row>
  </sheetData>
  <conditionalFormatting sqref="H321:Q335">
    <cfRule type="expression" dxfId="11" priority="2">
      <formula>#REF!="As calculated"</formula>
    </cfRule>
  </conditionalFormatting>
  <conditionalFormatting sqref="E322:E335">
    <cfRule type="expression" dxfId="10" priority="693">
      <formula>#REF!="x"</formula>
    </cfRule>
  </conditionalFormatting>
  <hyperlinks>
    <hyperlink ref="K83" r:id="rId1"/>
    <hyperlink ref="G85" location="STARTWACC2" display="Back to Start worksheet"/>
    <hyperlink ref="G338" location="WACCPremiaTable" display="Back to WACC Worksheet"/>
  </hyperlinks>
  <pageMargins left="0.6" right="0.4" top="0.5" bottom="0.5" header="0" footer="0.3"/>
  <pageSetup scale="70" orientation="landscape" blackAndWhite="1" cellComments="atEnd" r:id="rId2"/>
  <headerFooter>
    <oddFooter>&amp;CReliance restricted&amp;LSome totals may not add due to rounding. See Statement of Limiting Conditions.&amp;R© 2017 Ernst &amp; Young LLP. All Rights Reserved.</oddFooter>
  </headerFooter>
  <drawing r:id="rId3"/>
  <legacyDrawing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arChart">
    <tabColor theme="3" tint="-0.249977111117893"/>
    <pageSetUpPr autoPageBreaks="0"/>
  </sheetPr>
  <dimension ref="B1:I66"/>
  <sheetViews>
    <sheetView showGridLines="0" zoomScale="85" zoomScaleNormal="85" workbookViewId="0"/>
  </sheetViews>
  <sheetFormatPr defaultColWidth="9.33203125" defaultRowHeight="13.9" outlineLevelCol="1"/>
  <cols>
    <col min="1" max="1" width="2.83203125" style="449" customWidth="1"/>
    <col min="2" max="2" width="3.83203125" style="449" customWidth="1"/>
    <col min="3" max="3" width="49.33203125" style="449" customWidth="1"/>
    <col min="4" max="8" width="12.33203125" style="449" customWidth="1"/>
    <col min="9" max="9" width="12.33203125" style="449" customWidth="1" outlineLevel="1"/>
    <col min="10" max="16384" width="9.33203125" style="449"/>
  </cols>
  <sheetData>
    <row r="1" spans="2:9" ht="18" customHeight="1">
      <c r="B1" s="2060"/>
      <c r="C1" s="838" t="str">
        <f>CoNameHeading</f>
        <v>Client Name</v>
      </c>
      <c r="D1" s="2060"/>
      <c r="E1" s="2060"/>
      <c r="F1" s="2060"/>
      <c r="G1" s="2060"/>
      <c r="H1" s="2060"/>
      <c r="I1" s="2060"/>
    </row>
    <row r="2" spans="2:9" ht="18" customHeight="1">
      <c r="B2" s="2060"/>
      <c r="C2" s="2060"/>
      <c r="D2" s="2060"/>
      <c r="E2" s="2060"/>
      <c r="F2" s="2060"/>
      <c r="G2" s="2060"/>
      <c r="H2" s="2060"/>
      <c r="I2" s="2060"/>
    </row>
    <row r="3" spans="2:9" ht="18" customHeight="1">
      <c r="B3" s="2060"/>
      <c r="C3" s="2060"/>
      <c r="D3" s="2060"/>
      <c r="E3" s="2060"/>
      <c r="F3" s="2060"/>
      <c r="G3" s="2060"/>
      <c r="H3" s="2060"/>
      <c r="I3" s="2060"/>
    </row>
    <row r="4" spans="2:9" ht="18" customHeight="1">
      <c r="B4" s="2060"/>
      <c r="C4" s="2060"/>
      <c r="D4" s="2060"/>
      <c r="E4" s="2060"/>
      <c r="F4" s="2060"/>
      <c r="G4" s="2060"/>
      <c r="H4" s="2060"/>
      <c r="I4" s="2060"/>
    </row>
    <row r="5" spans="2:9">
      <c r="B5" s="2060"/>
      <c r="C5" s="2060" t="s">
        <v>2516</v>
      </c>
      <c r="D5" s="807" t="s">
        <v>2517</v>
      </c>
      <c r="E5" s="451"/>
      <c r="F5" s="450"/>
      <c r="G5" s="2060"/>
      <c r="H5" s="2060"/>
      <c r="I5" s="2060"/>
    </row>
    <row r="6" spans="2:9">
      <c r="B6" s="2060"/>
      <c r="C6" s="2060" t="s">
        <v>2518</v>
      </c>
      <c r="D6" s="807" t="s">
        <v>2519</v>
      </c>
      <c r="E6" s="808"/>
      <c r="F6" s="450"/>
      <c r="G6" s="2060"/>
      <c r="H6" s="2060"/>
      <c r="I6" s="2060"/>
    </row>
    <row r="8" spans="2:9">
      <c r="B8" s="2060"/>
      <c r="C8" s="2060"/>
      <c r="D8" s="452" t="str">
        <f t="shared" ref="D8:I8" si="0">IF(OR(MAX(D11:D16)&gt;0.001,MIN(D11:D16)&lt;-0.01),"","x")</f>
        <v>x</v>
      </c>
      <c r="E8" s="452" t="str">
        <f t="shared" si="0"/>
        <v>x</v>
      </c>
      <c r="F8" s="452" t="str">
        <f t="shared" si="0"/>
        <v>x</v>
      </c>
      <c r="G8" s="452" t="str">
        <f t="shared" si="0"/>
        <v>x</v>
      </c>
      <c r="H8" s="452" t="str">
        <f t="shared" si="0"/>
        <v>x</v>
      </c>
      <c r="I8" s="452" t="str">
        <f t="shared" si="0"/>
        <v>x</v>
      </c>
    </row>
    <row r="9" spans="2:9">
      <c r="B9" s="2060"/>
      <c r="C9" s="2060"/>
      <c r="D9" s="752">
        <f>YEAR('DATA GPC'!O128)</f>
        <v>2017</v>
      </c>
      <c r="E9" s="752">
        <f>YEAR('DATA GPC'!U128)</f>
        <v>2018</v>
      </c>
      <c r="F9" s="752">
        <f>YEAR('DATA GPC'!V128)</f>
        <v>2019</v>
      </c>
      <c r="G9" s="752">
        <f>YEAR('DATA GPC'!W128)</f>
        <v>2020</v>
      </c>
      <c r="H9" s="752">
        <f>YEAR('DATA GPC'!X128)</f>
        <v>2021</v>
      </c>
      <c r="I9" s="752">
        <f>YEAR('DATA GPC'!Y128)</f>
        <v>2022</v>
      </c>
    </row>
    <row r="10" spans="2:9">
      <c r="B10" s="2060"/>
      <c r="C10" s="724"/>
      <c r="D10" s="725" t="str">
        <f t="shared" ref="D10:I10" si="1">"FY"&amp;RIGHT(D9,2)</f>
        <v>FY17</v>
      </c>
      <c r="E10" s="725" t="str">
        <f t="shared" si="1"/>
        <v>FY18</v>
      </c>
      <c r="F10" s="725" t="str">
        <f t="shared" si="1"/>
        <v>FY19</v>
      </c>
      <c r="G10" s="725" t="str">
        <f t="shared" si="1"/>
        <v>FY20</v>
      </c>
      <c r="H10" s="725" t="str">
        <f t="shared" si="1"/>
        <v>FY21</v>
      </c>
      <c r="I10" s="725" t="str">
        <f t="shared" si="1"/>
        <v>FY22</v>
      </c>
    </row>
    <row r="11" spans="2:9">
      <c r="B11" s="452" t="str">
        <f t="shared" ref="B11:B16" si="2">IF(OR(MAX(D11:I11)&gt;0.001,MIN(D11:I11)&lt;-0.01),"","x")</f>
        <v>x</v>
      </c>
      <c r="C11" s="454"/>
      <c r="D11" s="519"/>
      <c r="E11" s="519"/>
      <c r="F11" s="519"/>
      <c r="G11" s="519"/>
      <c r="H11" s="519"/>
      <c r="I11" s="519"/>
    </row>
    <row r="12" spans="2:9">
      <c r="B12" s="452" t="str">
        <f t="shared" si="2"/>
        <v>x</v>
      </c>
      <c r="C12" s="454"/>
      <c r="D12" s="519"/>
      <c r="E12" s="519"/>
      <c r="F12" s="519"/>
      <c r="G12" s="519"/>
      <c r="H12" s="519"/>
      <c r="I12" s="519"/>
    </row>
    <row r="13" spans="2:9">
      <c r="B13" s="452" t="str">
        <f t="shared" si="2"/>
        <v>x</v>
      </c>
      <c r="C13" s="454"/>
      <c r="D13" s="519"/>
      <c r="E13" s="610"/>
      <c r="F13" s="519"/>
      <c r="G13" s="519"/>
      <c r="H13" s="519"/>
      <c r="I13" s="519"/>
    </row>
    <row r="14" spans="2:9">
      <c r="B14" s="452" t="str">
        <f t="shared" si="2"/>
        <v>x</v>
      </c>
      <c r="C14" s="454"/>
      <c r="D14" s="519"/>
      <c r="E14" s="610"/>
      <c r="F14" s="519"/>
      <c r="G14" s="519"/>
      <c r="H14" s="519"/>
      <c r="I14" s="519"/>
    </row>
    <row r="15" spans="2:9">
      <c r="B15" s="452" t="str">
        <f t="shared" si="2"/>
        <v>x</v>
      </c>
      <c r="C15" s="454"/>
      <c r="D15" s="519"/>
      <c r="E15" s="610"/>
      <c r="F15" s="519"/>
      <c r="G15" s="519"/>
      <c r="H15" s="519"/>
      <c r="I15" s="519"/>
    </row>
    <row r="16" spans="2:9">
      <c r="B16" s="452" t="str">
        <f t="shared" si="2"/>
        <v>x</v>
      </c>
      <c r="C16" s="454"/>
      <c r="D16" s="519"/>
      <c r="E16" s="610"/>
      <c r="F16" s="519"/>
      <c r="G16" s="519"/>
      <c r="H16" s="519"/>
      <c r="I16" s="519"/>
    </row>
    <row r="17" spans="3:5">
      <c r="C17" s="2060"/>
      <c r="D17" s="2060"/>
      <c r="E17" s="1505"/>
    </row>
    <row r="18" spans="3:5">
      <c r="C18" s="2060"/>
      <c r="D18" s="2060"/>
      <c r="E18" s="1505"/>
    </row>
    <row r="19" spans="3:5">
      <c r="C19" s="2060"/>
      <c r="D19" s="2060"/>
      <c r="E19" s="1505"/>
    </row>
    <row r="20" spans="3:5">
      <c r="C20" s="2060"/>
      <c r="D20" s="2060"/>
      <c r="E20" s="1578"/>
    </row>
    <row r="21" spans="3:5">
      <c r="C21" s="2060"/>
      <c r="D21" s="2060"/>
      <c r="E21" s="1505"/>
    </row>
    <row r="22" spans="3:5">
      <c r="C22" s="2060"/>
      <c r="D22" s="2060"/>
      <c r="E22" s="1505"/>
    </row>
    <row r="23" spans="3:5">
      <c r="C23" s="2060"/>
      <c r="D23" s="2060"/>
      <c r="E23" s="1505"/>
    </row>
    <row r="24" spans="3:5">
      <c r="C24" s="2060" t="str">
        <f ca="1">FootnoteDRAFT</f>
        <v>Run date: 05-August-2018  02:34 PM.   DRAFT document. All data subject to change upon completion of additional analysis.</v>
      </c>
      <c r="D24" s="2060"/>
      <c r="E24" s="1505"/>
    </row>
    <row r="25" spans="3:5">
      <c r="C25" s="2060"/>
      <c r="D25" s="2060"/>
      <c r="E25" s="1505"/>
    </row>
    <row r="26" spans="3:5">
      <c r="C26" s="2060"/>
      <c r="D26" s="2060"/>
      <c r="E26" s="1505"/>
    </row>
    <row r="27" spans="3:5">
      <c r="C27" s="2060"/>
      <c r="D27" s="2060"/>
      <c r="E27" s="1578"/>
    </row>
    <row r="28" spans="3:5">
      <c r="C28" s="2060"/>
      <c r="D28" s="2060"/>
      <c r="E28" s="1505"/>
    </row>
    <row r="29" spans="3:5">
      <c r="C29" s="2060"/>
      <c r="D29" s="2060"/>
      <c r="E29" s="1505"/>
    </row>
    <row r="30" spans="3:5">
      <c r="C30" s="2060"/>
      <c r="D30" s="2060"/>
      <c r="E30" s="1505"/>
    </row>
    <row r="31" spans="3:5">
      <c r="C31" s="2060"/>
      <c r="D31" s="2060"/>
      <c r="E31" s="1505"/>
    </row>
    <row r="32" spans="3:5">
      <c r="C32" s="2060"/>
      <c r="D32" s="2060"/>
      <c r="E32" s="1505"/>
    </row>
    <row r="33" spans="5:5">
      <c r="E33" s="1578"/>
    </row>
    <row r="34" spans="5:5">
      <c r="E34" s="1505"/>
    </row>
    <row r="35" spans="5:5">
      <c r="E35" s="1505"/>
    </row>
    <row r="36" spans="5:5">
      <c r="E36" s="1505"/>
    </row>
    <row r="37" spans="5:5">
      <c r="E37" s="1505"/>
    </row>
    <row r="38" spans="5:5">
      <c r="E38" s="1505"/>
    </row>
    <row r="39" spans="5:5">
      <c r="E39" s="1505"/>
    </row>
    <row r="40" spans="5:5">
      <c r="E40" s="1505"/>
    </row>
    <row r="41" spans="5:5">
      <c r="E41" s="1505"/>
    </row>
    <row r="42" spans="5:5">
      <c r="E42" s="1505"/>
    </row>
    <row r="43" spans="5:5">
      <c r="E43" s="1505"/>
    </row>
    <row r="44" spans="5:5">
      <c r="E44" s="1505"/>
    </row>
    <row r="45" spans="5:5">
      <c r="E45" s="1505"/>
    </row>
    <row r="46" spans="5:5">
      <c r="E46" s="1505"/>
    </row>
    <row r="47" spans="5:5">
      <c r="E47" s="1578"/>
    </row>
    <row r="48" spans="5:5">
      <c r="E48" s="1578"/>
    </row>
    <row r="49" spans="5:5">
      <c r="E49" s="1578"/>
    </row>
    <row r="50" spans="5:5">
      <c r="E50" s="1578"/>
    </row>
    <row r="51" spans="5:5">
      <c r="E51" s="1578"/>
    </row>
    <row r="52" spans="5:5">
      <c r="E52" s="1578"/>
    </row>
    <row r="53" spans="5:5">
      <c r="E53" s="1578"/>
    </row>
    <row r="54" spans="5:5">
      <c r="E54" s="1578"/>
    </row>
    <row r="55" spans="5:5">
      <c r="E55" s="1578"/>
    </row>
    <row r="56" spans="5:5">
      <c r="E56" s="1578"/>
    </row>
    <row r="57" spans="5:5">
      <c r="E57" s="1578"/>
    </row>
    <row r="58" spans="5:5">
      <c r="E58" s="1578"/>
    </row>
    <row r="59" spans="5:5">
      <c r="E59" s="1578"/>
    </row>
    <row r="60" spans="5:5">
      <c r="E60" s="1578"/>
    </row>
    <row r="61" spans="5:5">
      <c r="E61" s="1578"/>
    </row>
    <row r="62" spans="5:5">
      <c r="E62" s="1505"/>
    </row>
    <row r="63" spans="5:5">
      <c r="E63" s="1505"/>
    </row>
    <row r="64" spans="5:5">
      <c r="E64" s="1578"/>
    </row>
    <row r="65" spans="5:5">
      <c r="E65" s="1578"/>
    </row>
    <row r="66" spans="5:5">
      <c r="E66" s="1578"/>
    </row>
  </sheetData>
  <pageMargins left="0.6" right="0.4" top="0.5" bottom="0.5" header="0" footer="0.3"/>
  <pageSetup scale="70" orientation="landscape" blackAndWhite="1" cellComments="atEnd" r:id="rId1"/>
  <headerFooter>
    <oddFooter>&amp;CReliance restricted&amp;LSome totals may not add due to rounding. See Statement of Limiting Conditions.&amp;R© 2016 Ernst &amp; Young LLP. All Rights Reserved</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eChart">
    <tabColor theme="3" tint="-0.249977111117893"/>
    <pageSetUpPr autoPageBreaks="0"/>
  </sheetPr>
  <dimension ref="B1:K66"/>
  <sheetViews>
    <sheetView showGridLines="0" zoomScale="85" zoomScaleNormal="85" workbookViewId="0"/>
  </sheetViews>
  <sheetFormatPr defaultColWidth="9.33203125" defaultRowHeight="13.9"/>
  <cols>
    <col min="1" max="1" width="2.83203125" style="449" customWidth="1"/>
    <col min="2" max="2" width="3.83203125" style="449" customWidth="1"/>
    <col min="3" max="3" width="49.33203125" style="449" customWidth="1"/>
    <col min="4" max="9" width="12.33203125" style="449" customWidth="1"/>
    <col min="10" max="10" width="1.6640625" style="449" customWidth="1"/>
    <col min="11" max="11" width="14.5" style="449" customWidth="1"/>
    <col min="12" max="16384" width="9.33203125" style="449"/>
  </cols>
  <sheetData>
    <row r="1" spans="2:11" ht="18" customHeight="1">
      <c r="B1" s="2060"/>
      <c r="C1" s="838" t="str">
        <f>CoNameHeading</f>
        <v>Client Name</v>
      </c>
      <c r="D1" s="2060"/>
      <c r="E1" s="2060"/>
      <c r="F1" s="2060"/>
      <c r="G1" s="2060"/>
      <c r="H1" s="2060"/>
      <c r="I1" s="2060"/>
      <c r="J1" s="2060"/>
      <c r="K1" s="2060"/>
    </row>
    <row r="2" spans="2:11" ht="18" customHeight="1">
      <c r="B2" s="2060"/>
      <c r="C2" s="2060"/>
      <c r="D2" s="2060"/>
      <c r="E2" s="2060"/>
      <c r="F2" s="2060"/>
      <c r="G2" s="2060"/>
      <c r="H2" s="2060"/>
      <c r="I2" s="2060"/>
      <c r="J2" s="2060"/>
      <c r="K2" s="2060"/>
    </row>
    <row r="3" spans="2:11" ht="18" customHeight="1">
      <c r="B3" s="2060"/>
      <c r="C3" s="2060"/>
      <c r="D3" s="2060"/>
      <c r="E3" s="2060"/>
      <c r="F3" s="2060"/>
      <c r="G3" s="2060"/>
      <c r="H3" s="2060"/>
      <c r="I3" s="2060"/>
      <c r="J3" s="2060"/>
      <c r="K3" s="2060"/>
    </row>
    <row r="4" spans="2:11" ht="18" customHeight="1">
      <c r="B4" s="2060"/>
      <c r="C4" s="2060"/>
      <c r="D4" s="2060"/>
      <c r="E4" s="2060"/>
      <c r="F4" s="2060"/>
      <c r="G4" s="2060"/>
      <c r="H4" s="2060"/>
      <c r="I4" s="2060"/>
      <c r="J4" s="2060"/>
      <c r="K4" s="2060"/>
    </row>
    <row r="5" spans="2:11">
      <c r="B5" s="2060"/>
      <c r="C5" s="2060" t="s">
        <v>2516</v>
      </c>
      <c r="D5" s="807" t="s">
        <v>2517</v>
      </c>
      <c r="E5" s="451"/>
      <c r="F5" s="450"/>
      <c r="G5" s="2060"/>
      <c r="H5" s="2060"/>
      <c r="I5" s="2060"/>
      <c r="J5" s="2060"/>
      <c r="K5" s="2060"/>
    </row>
    <row r="6" spans="2:11">
      <c r="B6" s="2060"/>
      <c r="C6" s="2060" t="s">
        <v>2518</v>
      </c>
      <c r="D6" s="807" t="s">
        <v>2519</v>
      </c>
      <c r="E6" s="451"/>
      <c r="F6" s="450"/>
      <c r="G6" s="2060"/>
      <c r="H6" s="2060"/>
      <c r="I6" s="2060"/>
      <c r="J6" s="2060"/>
      <c r="K6" s="2060"/>
    </row>
    <row r="8" spans="2:11">
      <c r="B8" s="2060"/>
      <c r="C8" s="2060"/>
      <c r="D8" s="452" t="str">
        <f t="shared" ref="D8:I8" si="0">IF(OR(MAX(D11:D16)&gt;0.001,MIN(D11:D16)&lt;-0.01),"","x")</f>
        <v>x</v>
      </c>
      <c r="E8" s="452" t="str">
        <f t="shared" si="0"/>
        <v>x</v>
      </c>
      <c r="F8" s="452" t="str">
        <f t="shared" si="0"/>
        <v>x</v>
      </c>
      <c r="G8" s="452" t="str">
        <f t="shared" si="0"/>
        <v>x</v>
      </c>
      <c r="H8" s="452" t="str">
        <f t="shared" si="0"/>
        <v>x</v>
      </c>
      <c r="I8" s="452" t="str">
        <f t="shared" si="0"/>
        <v>x</v>
      </c>
      <c r="J8" s="2060"/>
      <c r="K8" s="2060"/>
    </row>
    <row r="9" spans="2:11">
      <c r="B9" s="2060"/>
      <c r="C9" s="2060"/>
      <c r="D9" s="752">
        <f>YEAR('DATA GPC'!O128)</f>
        <v>2017</v>
      </c>
      <c r="E9" s="752">
        <f>YEAR('DATA GPC'!U128)</f>
        <v>2018</v>
      </c>
      <c r="F9" s="752">
        <f>YEAR('DATA GPC'!V128)</f>
        <v>2019</v>
      </c>
      <c r="G9" s="752">
        <f>YEAR('DATA GPC'!W128)</f>
        <v>2020</v>
      </c>
      <c r="H9" s="752">
        <f>YEAR('DATA GPC'!X128)</f>
        <v>2021</v>
      </c>
      <c r="I9" s="752">
        <f>YEAR('DATA GPC'!Y128)</f>
        <v>2022</v>
      </c>
      <c r="J9" s="2060"/>
      <c r="K9" s="1029" t="s">
        <v>2520</v>
      </c>
    </row>
    <row r="10" spans="2:11">
      <c r="B10" s="2060"/>
      <c r="C10" s="724"/>
      <c r="D10" s="725" t="str">
        <f t="shared" ref="D10:I10" si="1">"FY"&amp;RIGHT(D9,2)</f>
        <v>FY17</v>
      </c>
      <c r="E10" s="725" t="str">
        <f t="shared" si="1"/>
        <v>FY18</v>
      </c>
      <c r="F10" s="725" t="str">
        <f t="shared" si="1"/>
        <v>FY19</v>
      </c>
      <c r="G10" s="725" t="str">
        <f t="shared" si="1"/>
        <v>FY20</v>
      </c>
      <c r="H10" s="725" t="str">
        <f t="shared" si="1"/>
        <v>FY21</v>
      </c>
      <c r="I10" s="725" t="str">
        <f t="shared" si="1"/>
        <v>FY22</v>
      </c>
      <c r="J10" s="724"/>
      <c r="K10" s="749" t="s">
        <v>2521</v>
      </c>
    </row>
    <row r="11" spans="2:11">
      <c r="B11" s="452" t="str">
        <f t="shared" ref="B11:B16" si="2">IF(OR(MAX(D11:I11)&gt;0.001,MIN(D11:I11)&lt;-0.01),"","x")</f>
        <v>x</v>
      </c>
      <c r="C11" s="809"/>
      <c r="D11" s="519"/>
      <c r="E11" s="519"/>
      <c r="F11" s="519"/>
      <c r="G11" s="519"/>
      <c r="H11" s="519"/>
      <c r="I11" s="519"/>
      <c r="J11" s="2060"/>
      <c r="K11" s="520" t="e">
        <f t="shared" ref="K11:K16" si="3">INDEX($D11:$I11,MATCH($K$10,$D$10:$I$10,0))</f>
        <v>#N/A</v>
      </c>
    </row>
    <row r="12" spans="2:11">
      <c r="B12" s="452" t="str">
        <f t="shared" si="2"/>
        <v>x</v>
      </c>
      <c r="C12" s="809"/>
      <c r="D12" s="519"/>
      <c r="E12" s="519"/>
      <c r="F12" s="519"/>
      <c r="G12" s="519"/>
      <c r="H12" s="519"/>
      <c r="I12" s="519"/>
      <c r="J12" s="2060"/>
      <c r="K12" s="520" t="e">
        <f t="shared" si="3"/>
        <v>#N/A</v>
      </c>
    </row>
    <row r="13" spans="2:11">
      <c r="B13" s="452" t="str">
        <f t="shared" si="2"/>
        <v>x</v>
      </c>
      <c r="C13" s="809"/>
      <c r="D13" s="519"/>
      <c r="E13" s="519"/>
      <c r="F13" s="519"/>
      <c r="G13" s="519"/>
      <c r="H13" s="519"/>
      <c r="I13" s="519"/>
      <c r="J13" s="2060"/>
      <c r="K13" s="520" t="e">
        <f t="shared" si="3"/>
        <v>#N/A</v>
      </c>
    </row>
    <row r="14" spans="2:11">
      <c r="B14" s="452" t="str">
        <f t="shared" si="2"/>
        <v>x</v>
      </c>
      <c r="C14" s="809"/>
      <c r="D14" s="519"/>
      <c r="E14" s="519"/>
      <c r="F14" s="519"/>
      <c r="G14" s="519"/>
      <c r="H14" s="519"/>
      <c r="I14" s="519"/>
      <c r="J14" s="2060"/>
      <c r="K14" s="520" t="e">
        <f t="shared" si="3"/>
        <v>#N/A</v>
      </c>
    </row>
    <row r="15" spans="2:11">
      <c r="B15" s="452" t="str">
        <f t="shared" si="2"/>
        <v>x</v>
      </c>
      <c r="C15" s="454"/>
      <c r="D15" s="519"/>
      <c r="E15" s="519"/>
      <c r="F15" s="519"/>
      <c r="G15" s="519"/>
      <c r="H15" s="519"/>
      <c r="I15" s="519"/>
      <c r="J15" s="2060"/>
      <c r="K15" s="520" t="e">
        <f t="shared" si="3"/>
        <v>#N/A</v>
      </c>
    </row>
    <row r="16" spans="2:11">
      <c r="B16" s="452" t="str">
        <f t="shared" si="2"/>
        <v>x</v>
      </c>
      <c r="C16" s="454"/>
      <c r="D16" s="519"/>
      <c r="E16" s="519"/>
      <c r="F16" s="519"/>
      <c r="G16" s="519"/>
      <c r="H16" s="519"/>
      <c r="I16" s="519"/>
      <c r="J16" s="2060"/>
      <c r="K16" s="520" t="e">
        <f t="shared" si="3"/>
        <v>#N/A</v>
      </c>
    </row>
    <row r="17" spans="3:5">
      <c r="C17" s="2060"/>
      <c r="D17" s="2060"/>
      <c r="E17" s="1505"/>
    </row>
    <row r="18" spans="3:5">
      <c r="C18" s="2060"/>
      <c r="D18" s="2060"/>
      <c r="E18" s="1505"/>
    </row>
    <row r="19" spans="3:5">
      <c r="C19" s="2060"/>
      <c r="D19" s="2060"/>
      <c r="E19" s="1505"/>
    </row>
    <row r="20" spans="3:5">
      <c r="C20" s="2060"/>
      <c r="D20" s="2060"/>
      <c r="E20" s="1578"/>
    </row>
    <row r="21" spans="3:5">
      <c r="C21" s="2060"/>
      <c r="D21" s="2060"/>
      <c r="E21" s="1505"/>
    </row>
    <row r="22" spans="3:5">
      <c r="C22" s="2060"/>
      <c r="D22" s="2060"/>
      <c r="E22" s="1505"/>
    </row>
    <row r="23" spans="3:5">
      <c r="C23" s="2060" t="str">
        <f ca="1">FootnoteDRAFT</f>
        <v>Run date: 05-August-2018  02:34 PM.   DRAFT document. All data subject to change upon completion of additional analysis.</v>
      </c>
      <c r="D23" s="2060"/>
      <c r="E23" s="1505"/>
    </row>
    <row r="24" spans="3:5">
      <c r="C24" s="2060"/>
      <c r="D24" s="2060"/>
      <c r="E24" s="1505"/>
    </row>
    <row r="25" spans="3:5">
      <c r="C25" s="2060"/>
      <c r="D25" s="2060"/>
      <c r="E25" s="1505"/>
    </row>
    <row r="26" spans="3:5">
      <c r="C26" s="2060"/>
      <c r="D26" s="2060"/>
      <c r="E26" s="1505"/>
    </row>
    <row r="27" spans="3:5">
      <c r="C27" s="2060"/>
      <c r="D27" s="2060"/>
      <c r="E27" s="1578"/>
    </row>
    <row r="28" spans="3:5">
      <c r="C28" s="2060"/>
      <c r="D28" s="2060"/>
      <c r="E28" s="1505"/>
    </row>
    <row r="29" spans="3:5">
      <c r="C29" s="2060"/>
      <c r="D29" s="2060"/>
      <c r="E29" s="1505"/>
    </row>
    <row r="30" spans="3:5">
      <c r="C30" s="2060"/>
      <c r="D30" s="2060"/>
      <c r="E30" s="1505"/>
    </row>
    <row r="31" spans="3:5">
      <c r="C31" s="2060"/>
      <c r="D31" s="2060"/>
      <c r="E31" s="1505"/>
    </row>
    <row r="32" spans="3:5">
      <c r="C32" s="2060"/>
      <c r="D32" s="2060"/>
      <c r="E32" s="1505"/>
    </row>
    <row r="33" spans="5:5">
      <c r="E33" s="1578"/>
    </row>
    <row r="34" spans="5:5">
      <c r="E34" s="1505"/>
    </row>
    <row r="35" spans="5:5">
      <c r="E35" s="1505"/>
    </row>
    <row r="36" spans="5:5">
      <c r="E36" s="1505"/>
    </row>
    <row r="37" spans="5:5">
      <c r="E37" s="1505"/>
    </row>
    <row r="38" spans="5:5">
      <c r="E38" s="1505"/>
    </row>
    <row r="39" spans="5:5">
      <c r="E39" s="1505"/>
    </row>
    <row r="40" spans="5:5">
      <c r="E40" s="1505"/>
    </row>
    <row r="41" spans="5:5">
      <c r="E41" s="1505"/>
    </row>
    <row r="42" spans="5:5">
      <c r="E42" s="1505"/>
    </row>
    <row r="43" spans="5:5">
      <c r="E43" s="1505"/>
    </row>
    <row r="44" spans="5:5">
      <c r="E44" s="1505"/>
    </row>
    <row r="45" spans="5:5">
      <c r="E45" s="1505"/>
    </row>
    <row r="46" spans="5:5">
      <c r="E46" s="1505"/>
    </row>
    <row r="47" spans="5:5">
      <c r="E47" s="1578"/>
    </row>
    <row r="48" spans="5:5">
      <c r="E48" s="1578"/>
    </row>
    <row r="49" spans="5:5">
      <c r="E49" s="1578"/>
    </row>
    <row r="50" spans="5:5">
      <c r="E50" s="1578"/>
    </row>
    <row r="51" spans="5:5">
      <c r="E51" s="1578"/>
    </row>
    <row r="52" spans="5:5">
      <c r="E52" s="1578"/>
    </row>
    <row r="53" spans="5:5">
      <c r="E53" s="1578"/>
    </row>
    <row r="54" spans="5:5">
      <c r="E54" s="1578"/>
    </row>
    <row r="55" spans="5:5">
      <c r="E55" s="1578"/>
    </row>
    <row r="56" spans="5:5">
      <c r="E56" s="1578"/>
    </row>
    <row r="57" spans="5:5">
      <c r="E57" s="1578"/>
    </row>
    <row r="58" spans="5:5">
      <c r="E58" s="1578"/>
    </row>
    <row r="59" spans="5:5">
      <c r="E59" s="1578"/>
    </row>
    <row r="60" spans="5:5">
      <c r="E60" s="1578"/>
    </row>
    <row r="61" spans="5:5">
      <c r="E61" s="1578"/>
    </row>
    <row r="62" spans="5:5">
      <c r="E62" s="1505"/>
    </row>
    <row r="63" spans="5:5">
      <c r="E63" s="1505"/>
    </row>
    <row r="64" spans="5:5">
      <c r="E64" s="1578"/>
    </row>
    <row r="65" spans="5:5">
      <c r="E65" s="1578"/>
    </row>
    <row r="66" spans="5:5">
      <c r="E66" s="1578"/>
    </row>
  </sheetData>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sersGuide">
    <tabColor theme="3" tint="-0.249977111117893"/>
  </sheetPr>
  <dimension ref="A1:T169"/>
  <sheetViews>
    <sheetView showGridLines="0" zoomScale="85" zoomScaleNormal="85" workbookViewId="0"/>
  </sheetViews>
  <sheetFormatPr defaultColWidth="9.33203125" defaultRowHeight="13.9"/>
  <cols>
    <col min="1" max="1" width="4.83203125" style="94" customWidth="1"/>
    <col min="2" max="2" width="4.83203125" style="255" customWidth="1"/>
    <col min="3" max="3" width="4.83203125" style="94" customWidth="1"/>
    <col min="4" max="4" width="6.83203125" style="94" customWidth="1"/>
    <col min="5" max="5" width="116.1640625" style="94" customWidth="1"/>
    <col min="6" max="6" width="2.1640625" style="94" customWidth="1"/>
    <col min="7" max="7" width="12.6640625" style="94" customWidth="1"/>
    <col min="8" max="8" width="13.5" style="94" customWidth="1"/>
    <col min="9" max="18" width="12.6640625" style="94" customWidth="1"/>
    <col min="19" max="16384" width="9.33203125" style="94"/>
  </cols>
  <sheetData>
    <row r="1" spans="1:20" ht="18" customHeight="1">
      <c r="A1" s="2060"/>
      <c r="B1" s="2060"/>
      <c r="C1" s="28" t="str">
        <f>NameVersion</f>
        <v>VISTA Version 3.1  August 25 2017  32/64-bit</v>
      </c>
      <c r="D1" s="255"/>
      <c r="E1" s="255"/>
      <c r="F1" s="255"/>
      <c r="G1" s="2173"/>
      <c r="H1" s="2173"/>
      <c r="I1" s="7"/>
      <c r="J1" s="255"/>
      <c r="K1" s="255"/>
      <c r="L1" s="255"/>
      <c r="M1" s="255"/>
      <c r="N1" s="255"/>
      <c r="O1" s="255"/>
      <c r="P1" s="255"/>
      <c r="Q1" s="255"/>
      <c r="R1" s="255"/>
      <c r="S1" s="255"/>
      <c r="T1" s="255"/>
    </row>
    <row r="2" spans="1:20" ht="18" customHeight="1">
      <c r="A2" s="255"/>
      <c r="C2" s="66" t="s">
        <v>2522</v>
      </c>
      <c r="D2" s="255"/>
      <c r="E2" s="255"/>
      <c r="F2" s="255"/>
      <c r="G2" s="2173"/>
      <c r="H2" s="2173"/>
      <c r="I2" s="255"/>
      <c r="J2" s="255"/>
      <c r="K2" s="255"/>
      <c r="L2" s="255"/>
      <c r="M2" s="255"/>
      <c r="N2" s="255"/>
      <c r="O2" s="255"/>
      <c r="P2" s="255"/>
      <c r="Q2" s="255"/>
      <c r="R2" s="255"/>
      <c r="S2" s="255"/>
      <c r="T2" s="255"/>
    </row>
    <row r="3" spans="1:20" ht="18" customHeight="1">
      <c r="A3" s="255"/>
      <c r="C3" s="255"/>
      <c r="D3" s="45"/>
      <c r="E3" s="45"/>
      <c r="F3" s="255"/>
      <c r="G3" s="255"/>
      <c r="H3" s="255"/>
      <c r="I3" s="108"/>
      <c r="J3" s="108"/>
      <c r="K3" s="108"/>
      <c r="L3" s="108"/>
      <c r="M3" s="108"/>
      <c r="N3" s="108"/>
      <c r="O3" s="108"/>
      <c r="P3" s="108"/>
      <c r="Q3" s="108"/>
      <c r="R3" s="108"/>
      <c r="S3" s="255"/>
      <c r="T3" s="255"/>
    </row>
    <row r="4" spans="1:20" ht="18" customHeight="1">
      <c r="A4" s="255"/>
      <c r="C4" s="255"/>
      <c r="D4" s="45"/>
      <c r="E4" s="45"/>
      <c r="F4" s="255"/>
      <c r="G4" s="255"/>
      <c r="H4" s="255"/>
      <c r="I4" s="108"/>
      <c r="J4" s="108"/>
      <c r="K4" s="108"/>
      <c r="L4" s="108"/>
      <c r="M4" s="108"/>
      <c r="N4" s="108"/>
      <c r="O4" s="108"/>
      <c r="P4" s="108"/>
      <c r="Q4" s="108"/>
      <c r="R4" s="108"/>
      <c r="S4" s="255"/>
      <c r="T4" s="255"/>
    </row>
    <row r="5" spans="1:20" ht="14.45" thickBot="1">
      <c r="A5" s="255"/>
      <c r="C5" s="69"/>
      <c r="D5" s="69"/>
      <c r="E5" s="69"/>
      <c r="F5" s="69"/>
      <c r="G5" s="69"/>
      <c r="H5" s="69"/>
      <c r="I5" s="17"/>
      <c r="J5" s="17"/>
      <c r="K5" s="17"/>
      <c r="L5" s="17"/>
      <c r="M5" s="17"/>
      <c r="N5" s="17"/>
      <c r="O5" s="17"/>
      <c r="P5" s="17"/>
      <c r="Q5" s="17"/>
      <c r="R5" s="17"/>
      <c r="S5" s="255"/>
      <c r="T5" s="255"/>
    </row>
    <row r="6" spans="1:20" ht="14.45" thickTop="1">
      <c r="A6" s="255"/>
      <c r="C6" s="255"/>
      <c r="D6" s="255"/>
      <c r="E6" s="255"/>
      <c r="F6" s="255"/>
      <c r="G6" s="255"/>
      <c r="H6" s="255"/>
      <c r="I6" s="255"/>
      <c r="J6" s="255"/>
      <c r="K6" s="255"/>
      <c r="L6" s="255"/>
      <c r="M6" s="255"/>
      <c r="N6" s="255"/>
      <c r="O6" s="255"/>
      <c r="P6" s="255"/>
      <c r="Q6" s="255"/>
      <c r="R6" s="255"/>
      <c r="S6" s="255"/>
      <c r="T6" s="255"/>
    </row>
    <row r="7" spans="1:20" ht="17.45">
      <c r="A7" s="255"/>
      <c r="C7" s="251">
        <f ca="1">MAX(OFFSET(C7,-1,0,-ROW(C7)+1,1))+1</f>
        <v>1</v>
      </c>
      <c r="D7" s="252" t="s">
        <v>2523</v>
      </c>
      <c r="E7" s="252"/>
      <c r="F7" s="252"/>
      <c r="G7" s="252"/>
      <c r="H7" s="122"/>
      <c r="I7" s="121"/>
      <c r="J7" s="253"/>
      <c r="K7" s="253"/>
      <c r="L7" s="253"/>
      <c r="M7" s="253"/>
      <c r="N7" s="253"/>
      <c r="O7" s="253"/>
      <c r="P7" s="253"/>
      <c r="Q7" s="253"/>
      <c r="R7" s="253"/>
      <c r="S7" s="255"/>
      <c r="T7" s="255"/>
    </row>
    <row r="8" spans="1:20" s="91" customFormat="1" ht="12" customHeight="1">
      <c r="A8" s="263"/>
      <c r="B8" s="263"/>
      <c r="C8" s="53"/>
      <c r="D8" s="60"/>
      <c r="E8" s="60"/>
      <c r="F8" s="60"/>
      <c r="G8" s="60"/>
      <c r="H8" s="23"/>
      <c r="I8" s="23"/>
      <c r="J8" s="53"/>
      <c r="K8" s="53"/>
      <c r="L8" s="53"/>
      <c r="M8" s="53"/>
      <c r="N8" s="53"/>
      <c r="O8" s="53"/>
      <c r="P8" s="53"/>
      <c r="Q8" s="53"/>
      <c r="R8" s="53"/>
      <c r="S8" s="255"/>
      <c r="T8" s="255"/>
    </row>
    <row r="9" spans="1:20" s="91" customFormat="1" ht="12" customHeight="1">
      <c r="A9" s="263"/>
      <c r="B9" s="263"/>
      <c r="C9" s="53"/>
      <c r="D9" s="125"/>
      <c r="E9" s="1670" t="s">
        <v>2523</v>
      </c>
      <c r="F9" s="10"/>
      <c r="G9" s="10"/>
      <c r="H9" s="263"/>
      <c r="I9" s="263"/>
      <c r="J9" s="263"/>
      <c r="K9" s="53"/>
      <c r="L9" s="53"/>
      <c r="M9" s="53"/>
      <c r="N9" s="53"/>
      <c r="O9" s="53"/>
      <c r="P9" s="53"/>
      <c r="Q9" s="53"/>
      <c r="R9" s="53"/>
      <c r="S9" s="255"/>
      <c r="T9" s="255"/>
    </row>
    <row r="10" spans="1:20" s="91" customFormat="1" ht="41.45">
      <c r="A10" s="263"/>
      <c r="B10" s="263"/>
      <c r="C10" s="53"/>
      <c r="D10" s="125"/>
      <c r="E10" s="1716" t="s">
        <v>2524</v>
      </c>
      <c r="F10" s="10"/>
      <c r="G10" s="10"/>
      <c r="H10" s="263"/>
      <c r="I10" s="263"/>
      <c r="J10" s="263"/>
      <c r="K10" s="53"/>
      <c r="L10" s="53"/>
      <c r="M10" s="53"/>
      <c r="N10" s="53"/>
      <c r="O10" s="53"/>
      <c r="P10" s="53"/>
      <c r="Q10" s="53"/>
      <c r="R10" s="53"/>
      <c r="S10" s="255"/>
      <c r="T10" s="255"/>
    </row>
    <row r="11" spans="1:20" s="91" customFormat="1" ht="12" customHeight="1">
      <c r="A11" s="263"/>
      <c r="B11" s="263"/>
      <c r="C11" s="53"/>
      <c r="D11" s="125"/>
      <c r="E11" s="64"/>
      <c r="F11" s="10"/>
      <c r="G11" s="10"/>
      <c r="H11" s="263"/>
      <c r="I11" s="263"/>
      <c r="J11" s="263"/>
      <c r="K11" s="53"/>
      <c r="L11" s="53"/>
      <c r="M11" s="53"/>
      <c r="N11" s="53"/>
      <c r="O11" s="53"/>
      <c r="P11" s="53"/>
      <c r="Q11" s="53"/>
      <c r="R11" s="53"/>
      <c r="S11" s="255"/>
      <c r="T11" s="255"/>
    </row>
    <row r="12" spans="1:20" s="91" customFormat="1" ht="12" customHeight="1">
      <c r="A12" s="263"/>
      <c r="B12" s="263"/>
      <c r="C12" s="53"/>
      <c r="D12" s="125"/>
      <c r="E12" s="64" t="s">
        <v>2525</v>
      </c>
      <c r="F12" s="10"/>
      <c r="G12" s="10"/>
      <c r="H12" s="263"/>
      <c r="I12" s="263"/>
      <c r="J12" s="263"/>
      <c r="K12" s="53"/>
      <c r="L12" s="53"/>
      <c r="M12" s="53"/>
      <c r="N12" s="53"/>
      <c r="O12" s="53"/>
      <c r="P12" s="53"/>
      <c r="Q12" s="53"/>
      <c r="R12" s="53"/>
      <c r="S12" s="255"/>
      <c r="T12" s="255"/>
    </row>
    <row r="13" spans="1:20" s="91" customFormat="1" ht="12" customHeight="1">
      <c r="A13" s="263"/>
      <c r="B13" s="263"/>
      <c r="C13" s="53"/>
      <c r="D13" s="125"/>
      <c r="E13" s="64"/>
      <c r="F13" s="10"/>
      <c r="G13" s="10"/>
      <c r="H13" s="263"/>
      <c r="I13" s="263"/>
      <c r="J13" s="263"/>
      <c r="K13" s="53"/>
      <c r="L13" s="53"/>
      <c r="M13" s="53"/>
      <c r="N13" s="53"/>
      <c r="O13" s="53"/>
      <c r="P13" s="53"/>
      <c r="Q13" s="53"/>
      <c r="R13" s="53"/>
      <c r="S13" s="255"/>
      <c r="T13" s="255"/>
    </row>
    <row r="14" spans="1:20" s="91" customFormat="1" ht="12" customHeight="1">
      <c r="A14" s="263"/>
      <c r="B14" s="263"/>
      <c r="C14" s="53"/>
      <c r="D14" s="125"/>
      <c r="E14" s="1670" t="s">
        <v>2526</v>
      </c>
      <c r="F14" s="10"/>
      <c r="G14" s="10"/>
      <c r="H14" s="263"/>
      <c r="I14" s="263"/>
      <c r="J14" s="263"/>
      <c r="K14" s="53"/>
      <c r="L14" s="53"/>
      <c r="M14" s="53"/>
      <c r="N14" s="53"/>
      <c r="O14" s="53"/>
      <c r="P14" s="53"/>
      <c r="Q14" s="53"/>
      <c r="R14" s="53"/>
      <c r="S14" s="255"/>
      <c r="T14" s="255"/>
    </row>
    <row r="15" spans="1:20" s="91" customFormat="1" ht="27.6">
      <c r="A15" s="263"/>
      <c r="B15" s="263"/>
      <c r="C15" s="53"/>
      <c r="D15" s="125"/>
      <c r="E15" s="626" t="s">
        <v>2527</v>
      </c>
      <c r="F15" s="10"/>
      <c r="G15" s="10"/>
      <c r="H15" s="263"/>
      <c r="I15" s="263"/>
      <c r="J15" s="263"/>
      <c r="K15" s="53"/>
      <c r="L15" s="53"/>
      <c r="M15" s="53"/>
      <c r="N15" s="53"/>
      <c r="O15" s="53"/>
      <c r="P15" s="53"/>
      <c r="Q15" s="53"/>
      <c r="R15" s="53"/>
      <c r="S15" s="255"/>
      <c r="T15" s="255"/>
    </row>
    <row r="16" spans="1:20" s="91" customFormat="1">
      <c r="A16" s="263"/>
      <c r="B16" s="263"/>
      <c r="C16" s="53"/>
      <c r="D16" s="125"/>
      <c r="E16" s="620"/>
      <c r="F16" s="10"/>
      <c r="G16" s="10"/>
      <c r="H16" s="263"/>
      <c r="I16" s="263"/>
      <c r="J16" s="263"/>
      <c r="K16" s="53"/>
      <c r="L16" s="53"/>
      <c r="M16" s="53"/>
      <c r="N16" s="53"/>
      <c r="O16" s="53"/>
      <c r="P16" s="53"/>
      <c r="Q16" s="53"/>
      <c r="R16" s="53"/>
      <c r="S16" s="255"/>
      <c r="T16" s="255"/>
    </row>
    <row r="17" spans="2:20" s="91" customFormat="1">
      <c r="B17" s="263"/>
      <c r="C17" s="53"/>
      <c r="D17" s="125"/>
      <c r="E17" s="620" t="s">
        <v>2528</v>
      </c>
      <c r="F17" s="10"/>
      <c r="G17" s="10"/>
      <c r="H17" s="263"/>
      <c r="I17" s="263"/>
      <c r="J17" s="263"/>
      <c r="K17" s="53"/>
      <c r="L17" s="53"/>
      <c r="M17" s="53"/>
      <c r="N17" s="53"/>
      <c r="O17" s="53"/>
      <c r="P17" s="53"/>
      <c r="Q17" s="53"/>
      <c r="R17" s="53"/>
      <c r="S17" s="255"/>
      <c r="T17" s="255"/>
    </row>
    <row r="18" spans="2:20" s="91" customFormat="1">
      <c r="B18" s="263"/>
      <c r="C18" s="53"/>
      <c r="D18" s="125"/>
      <c r="E18" s="620"/>
      <c r="F18" s="10"/>
      <c r="G18" s="10"/>
      <c r="H18" s="263"/>
      <c r="I18" s="263"/>
      <c r="J18" s="263"/>
      <c r="K18" s="53"/>
      <c r="L18" s="53"/>
      <c r="M18" s="53"/>
      <c r="N18" s="53"/>
      <c r="O18" s="53"/>
      <c r="P18" s="53"/>
      <c r="Q18" s="53"/>
      <c r="R18" s="53"/>
      <c r="S18" s="255"/>
      <c r="T18" s="255"/>
    </row>
    <row r="19" spans="2:20" s="124" customFormat="1" ht="41.45">
      <c r="B19" s="263"/>
      <c r="C19" s="53"/>
      <c r="D19" s="125"/>
      <c r="E19" s="626" t="s">
        <v>2529</v>
      </c>
      <c r="F19" s="10"/>
      <c r="G19" s="10"/>
      <c r="H19" s="263"/>
      <c r="I19" s="263"/>
      <c r="J19" s="263"/>
      <c r="K19" s="53"/>
      <c r="L19" s="53"/>
      <c r="M19" s="53"/>
      <c r="N19" s="53"/>
      <c r="O19" s="53"/>
      <c r="P19" s="53"/>
      <c r="Q19" s="53"/>
      <c r="R19" s="53"/>
      <c r="S19" s="255"/>
      <c r="T19" s="255"/>
    </row>
    <row r="20" spans="2:20" s="124" customFormat="1">
      <c r="B20" s="263"/>
      <c r="C20" s="53"/>
      <c r="D20" s="125"/>
      <c r="E20" s="681"/>
      <c r="F20" s="10"/>
      <c r="G20" s="10"/>
      <c r="H20" s="263"/>
      <c r="I20" s="263"/>
      <c r="J20" s="263"/>
      <c r="K20" s="53"/>
      <c r="L20" s="53"/>
      <c r="M20" s="53"/>
      <c r="N20" s="53"/>
      <c r="O20" s="53"/>
      <c r="P20" s="53"/>
      <c r="Q20" s="53"/>
      <c r="R20" s="53"/>
      <c r="S20" s="255"/>
      <c r="T20" s="255"/>
    </row>
    <row r="21" spans="2:20" s="91" customFormat="1" ht="12" customHeight="1">
      <c r="B21" s="263"/>
      <c r="C21" s="53"/>
      <c r="D21" s="125"/>
      <c r="E21" s="1670" t="s">
        <v>2530</v>
      </c>
      <c r="F21" s="10"/>
      <c r="G21" s="10"/>
      <c r="H21" s="263"/>
      <c r="I21" s="263"/>
      <c r="J21" s="263"/>
      <c r="K21" s="53"/>
      <c r="L21" s="53"/>
      <c r="M21" s="53"/>
      <c r="N21" s="53"/>
      <c r="O21" s="53"/>
      <c r="P21" s="53"/>
      <c r="Q21" s="53"/>
      <c r="R21" s="53"/>
      <c r="S21" s="255"/>
      <c r="T21" s="255"/>
    </row>
    <row r="22" spans="2:20" s="91" customFormat="1" ht="27.6">
      <c r="B22" s="263"/>
      <c r="C22" s="53"/>
      <c r="D22" s="125"/>
      <c r="E22" s="620" t="s">
        <v>2531</v>
      </c>
      <c r="F22" s="10"/>
      <c r="G22" s="10"/>
      <c r="H22" s="263"/>
      <c r="I22" s="263"/>
      <c r="J22" s="263"/>
      <c r="K22" s="53"/>
      <c r="L22" s="53"/>
      <c r="M22" s="53"/>
      <c r="N22" s="53"/>
      <c r="O22" s="53"/>
      <c r="P22" s="53"/>
      <c r="Q22" s="53"/>
      <c r="R22" s="53"/>
      <c r="S22" s="255"/>
      <c r="T22" s="255"/>
    </row>
    <row r="23" spans="2:20" s="91" customFormat="1">
      <c r="B23" s="263"/>
      <c r="C23" s="53"/>
      <c r="D23" s="125"/>
      <c r="E23" s="620"/>
      <c r="F23" s="10"/>
      <c r="G23" s="10"/>
      <c r="H23" s="263"/>
      <c r="I23" s="263"/>
      <c r="J23" s="263"/>
      <c r="K23" s="53"/>
      <c r="L23" s="53"/>
      <c r="M23" s="53"/>
      <c r="N23" s="53"/>
      <c r="O23" s="53"/>
      <c r="P23" s="53"/>
      <c r="Q23" s="53"/>
      <c r="R23" s="53"/>
      <c r="S23" s="255"/>
      <c r="T23" s="255"/>
    </row>
    <row r="24" spans="2:20" s="91" customFormat="1" ht="12" customHeight="1">
      <c r="B24" s="263"/>
      <c r="C24" s="53"/>
      <c r="D24" s="125"/>
      <c r="E24" s="1670" t="s">
        <v>2532</v>
      </c>
      <c r="F24" s="10"/>
      <c r="G24" s="10"/>
      <c r="H24" s="263"/>
      <c r="I24" s="263"/>
      <c r="J24" s="263"/>
      <c r="K24" s="53"/>
      <c r="L24" s="53"/>
      <c r="M24" s="53"/>
      <c r="N24" s="53"/>
      <c r="O24" s="53"/>
      <c r="P24" s="53"/>
      <c r="Q24" s="53"/>
      <c r="R24" s="53"/>
      <c r="S24" s="255"/>
      <c r="T24" s="255"/>
    </row>
    <row r="25" spans="2:20" s="91" customFormat="1">
      <c r="B25" s="263"/>
      <c r="C25" s="53"/>
      <c r="D25" s="125"/>
      <c r="E25" s="689" t="s">
        <v>2533</v>
      </c>
      <c r="F25" s="10"/>
      <c r="G25" s="10"/>
      <c r="H25" s="263"/>
      <c r="I25" s="263"/>
      <c r="J25" s="263"/>
      <c r="K25" s="53"/>
      <c r="L25" s="53"/>
      <c r="M25" s="53"/>
      <c r="N25" s="53"/>
      <c r="O25" s="53"/>
      <c r="P25" s="53"/>
      <c r="Q25" s="53"/>
      <c r="R25" s="53"/>
      <c r="S25" s="255"/>
      <c r="T25" s="255"/>
    </row>
    <row r="26" spans="2:20" s="91" customFormat="1" ht="12" customHeight="1">
      <c r="B26" s="263"/>
      <c r="C26" s="53"/>
      <c r="D26" s="125"/>
      <c r="E26" s="620"/>
      <c r="F26" s="10"/>
      <c r="G26" s="10"/>
      <c r="H26" s="263"/>
      <c r="I26" s="263"/>
      <c r="J26" s="263"/>
      <c r="K26" s="53"/>
      <c r="L26" s="53"/>
      <c r="M26" s="53"/>
      <c r="N26" s="53"/>
      <c r="O26" s="53"/>
      <c r="P26" s="53"/>
      <c r="Q26" s="53"/>
      <c r="R26" s="53"/>
      <c r="S26" s="255"/>
      <c r="T26" s="255"/>
    </row>
    <row r="27" spans="2:20" s="91" customFormat="1" ht="95.25" customHeight="1">
      <c r="B27" s="263"/>
      <c r="C27" s="53"/>
      <c r="D27" s="125"/>
      <c r="E27" s="681"/>
      <c r="F27" s="10"/>
      <c r="G27" s="10"/>
      <c r="H27" s="263"/>
      <c r="I27" s="263"/>
      <c r="J27" s="263"/>
      <c r="K27" s="53"/>
      <c r="L27" s="53"/>
      <c r="M27" s="53"/>
      <c r="N27" s="53"/>
      <c r="O27" s="53"/>
      <c r="P27" s="53"/>
      <c r="Q27" s="53"/>
      <c r="R27" s="53"/>
      <c r="S27" s="255"/>
      <c r="T27" s="255"/>
    </row>
    <row r="28" spans="2:20" s="263" customFormat="1" ht="24.75" customHeight="1">
      <c r="C28" s="53"/>
      <c r="D28" s="125"/>
      <c r="E28" s="1671" t="s">
        <v>2534</v>
      </c>
      <c r="F28" s="10"/>
      <c r="G28" s="10"/>
      <c r="K28" s="53"/>
      <c r="L28" s="53"/>
      <c r="M28" s="53"/>
      <c r="N28" s="53"/>
      <c r="O28" s="53"/>
      <c r="P28" s="53"/>
      <c r="Q28" s="53"/>
      <c r="R28" s="53"/>
      <c r="S28" s="255"/>
      <c r="T28" s="255"/>
    </row>
    <row r="29" spans="2:20" s="263" customFormat="1" ht="102" customHeight="1">
      <c r="C29" s="53"/>
      <c r="D29" s="125"/>
      <c r="E29" s="681"/>
      <c r="F29" s="10"/>
      <c r="G29" s="10"/>
      <c r="K29" s="53"/>
      <c r="L29" s="53"/>
      <c r="M29" s="53"/>
      <c r="N29" s="53"/>
      <c r="O29" s="53"/>
      <c r="P29" s="53"/>
      <c r="Q29" s="53"/>
      <c r="R29" s="53"/>
      <c r="S29" s="255"/>
      <c r="T29" s="255"/>
    </row>
    <row r="30" spans="2:20" s="91" customFormat="1" ht="69">
      <c r="B30" s="263"/>
      <c r="C30" s="53"/>
      <c r="D30" s="125"/>
      <c r="E30" s="620" t="s">
        <v>2535</v>
      </c>
      <c r="F30" s="10"/>
      <c r="G30" s="10"/>
      <c r="H30" s="263"/>
      <c r="I30" s="263"/>
      <c r="J30" s="263"/>
      <c r="K30" s="53"/>
      <c r="L30" s="53"/>
      <c r="M30" s="53"/>
      <c r="N30" s="53"/>
      <c r="O30" s="53"/>
      <c r="P30" s="53"/>
      <c r="Q30" s="53"/>
      <c r="R30" s="53"/>
      <c r="S30" s="255"/>
      <c r="T30" s="255"/>
    </row>
    <row r="31" spans="2:20" s="91" customFormat="1" ht="12" customHeight="1">
      <c r="B31" s="263"/>
      <c r="C31" s="53"/>
      <c r="D31" s="125"/>
      <c r="E31" s="620"/>
      <c r="F31" s="10"/>
      <c r="G31" s="10"/>
      <c r="H31" s="263"/>
      <c r="I31" s="263"/>
      <c r="J31" s="263"/>
      <c r="K31" s="53"/>
      <c r="L31" s="53"/>
      <c r="M31" s="53"/>
      <c r="N31" s="53"/>
      <c r="O31" s="53"/>
      <c r="P31" s="53"/>
      <c r="Q31" s="53"/>
      <c r="R31" s="53"/>
      <c r="S31" s="255"/>
      <c r="T31" s="255"/>
    </row>
    <row r="32" spans="2:20" s="91" customFormat="1" ht="96" customHeight="1">
      <c r="B32" s="263"/>
      <c r="C32" s="53"/>
      <c r="D32" s="125"/>
      <c r="E32" s="620"/>
      <c r="F32" s="10"/>
      <c r="G32" s="10"/>
      <c r="H32" s="263"/>
      <c r="I32" s="263"/>
      <c r="J32" s="263"/>
      <c r="K32" s="53"/>
      <c r="L32" s="53"/>
      <c r="M32" s="53"/>
      <c r="N32" s="53"/>
      <c r="O32" s="53"/>
      <c r="P32" s="53"/>
      <c r="Q32" s="53"/>
      <c r="R32" s="53"/>
      <c r="S32" s="255"/>
      <c r="T32" s="255"/>
    </row>
    <row r="33" spans="2:20" ht="17.45">
      <c r="C33" s="251">
        <f ca="1">MAX(OFFSET(C33,-1,0,-ROW(C33)+1,1))+1</f>
        <v>2</v>
      </c>
      <c r="D33" s="252" t="s">
        <v>2536</v>
      </c>
      <c r="E33" s="698"/>
      <c r="F33" s="252"/>
      <c r="G33" s="252"/>
      <c r="H33" s="122"/>
      <c r="I33" s="121"/>
      <c r="J33" s="253"/>
      <c r="K33" s="253"/>
      <c r="L33" s="253"/>
      <c r="M33" s="253"/>
      <c r="N33" s="253"/>
      <c r="O33" s="253"/>
      <c r="P33" s="253"/>
      <c r="Q33" s="253"/>
      <c r="R33" s="253"/>
      <c r="S33" s="255"/>
      <c r="T33" s="255"/>
    </row>
    <row r="34" spans="2:20" s="91" customFormat="1" ht="12" customHeight="1">
      <c r="B34" s="263"/>
      <c r="C34" s="53"/>
      <c r="D34" s="60"/>
      <c r="E34" s="679"/>
      <c r="F34" s="60"/>
      <c r="G34" s="60"/>
      <c r="H34" s="23"/>
      <c r="I34" s="23"/>
      <c r="J34" s="53"/>
      <c r="K34" s="53"/>
      <c r="L34" s="53"/>
      <c r="M34" s="53"/>
      <c r="N34" s="53"/>
      <c r="O34" s="53"/>
      <c r="P34" s="53"/>
      <c r="Q34" s="53"/>
      <c r="R34" s="53"/>
      <c r="S34" s="255"/>
      <c r="T34" s="255"/>
    </row>
    <row r="35" spans="2:20" s="263" customFormat="1" ht="27.6">
      <c r="C35" s="53"/>
      <c r="D35" s="60"/>
      <c r="E35" s="2277" t="s">
        <v>2537</v>
      </c>
      <c r="F35" s="60"/>
      <c r="G35" s="60"/>
      <c r="H35" s="23"/>
      <c r="I35" s="23"/>
      <c r="J35" s="53"/>
      <c r="K35" s="53"/>
      <c r="L35" s="53"/>
      <c r="M35" s="53"/>
      <c r="N35" s="53"/>
      <c r="O35" s="53"/>
      <c r="P35" s="53"/>
      <c r="Q35" s="53"/>
      <c r="R35" s="53"/>
      <c r="S35" s="255"/>
      <c r="T35" s="255"/>
    </row>
    <row r="36" spans="2:20" s="263" customFormat="1" ht="12" customHeight="1">
      <c r="C36" s="53"/>
      <c r="D36" s="60"/>
      <c r="E36" s="679"/>
      <c r="F36" s="60"/>
      <c r="G36" s="60"/>
      <c r="H36" s="23"/>
      <c r="I36" s="23"/>
      <c r="J36" s="53"/>
      <c r="K36" s="53"/>
      <c r="L36" s="53"/>
      <c r="M36" s="53"/>
      <c r="N36" s="53"/>
      <c r="O36" s="53"/>
      <c r="P36" s="53"/>
      <c r="Q36" s="53"/>
      <c r="R36" s="53"/>
      <c r="S36" s="255"/>
      <c r="T36" s="255"/>
    </row>
    <row r="37" spans="2:20" s="91" customFormat="1" ht="12" customHeight="1">
      <c r="B37" s="263"/>
      <c r="C37" s="53"/>
      <c r="D37" s="65"/>
      <c r="E37" s="1672" t="s">
        <v>2538</v>
      </c>
      <c r="F37" s="10"/>
      <c r="G37" s="10"/>
      <c r="H37" s="263"/>
      <c r="I37" s="263"/>
      <c r="J37" s="263"/>
      <c r="K37" s="53"/>
      <c r="L37" s="53"/>
      <c r="M37" s="53"/>
      <c r="N37" s="53"/>
      <c r="O37" s="53"/>
      <c r="P37" s="53"/>
      <c r="Q37" s="53"/>
      <c r="R37" s="53"/>
      <c r="S37" s="53"/>
      <c r="T37" s="53"/>
    </row>
    <row r="38" spans="2:20" s="91" customFormat="1" ht="12" customHeight="1">
      <c r="B38" s="263"/>
      <c r="C38" s="53"/>
      <c r="D38" s="125"/>
      <c r="E38" s="620"/>
      <c r="F38" s="10"/>
      <c r="G38" s="10"/>
      <c r="H38" s="263"/>
      <c r="I38" s="263"/>
      <c r="J38" s="263"/>
      <c r="K38" s="53"/>
      <c r="L38" s="53"/>
      <c r="M38" s="53"/>
      <c r="N38" s="53"/>
      <c r="O38" s="53"/>
      <c r="P38" s="53"/>
      <c r="Q38" s="53"/>
      <c r="R38" s="53"/>
      <c r="S38" s="53"/>
      <c r="T38" s="53"/>
    </row>
    <row r="39" spans="2:20" s="91" customFormat="1" ht="41.45">
      <c r="B39" s="263"/>
      <c r="C39" s="53"/>
      <c r="D39" s="125"/>
      <c r="E39" s="620" t="s">
        <v>2539</v>
      </c>
      <c r="F39" s="10"/>
      <c r="G39" s="10"/>
      <c r="H39" s="263"/>
      <c r="I39" s="263"/>
      <c r="J39" s="263"/>
      <c r="K39" s="53"/>
      <c r="L39" s="53"/>
      <c r="M39" s="53"/>
      <c r="N39" s="53"/>
      <c r="O39" s="53"/>
      <c r="P39" s="53"/>
      <c r="Q39" s="53"/>
      <c r="R39" s="53"/>
      <c r="S39" s="53"/>
      <c r="T39" s="53"/>
    </row>
    <row r="40" spans="2:20" s="263" customFormat="1">
      <c r="C40" s="53"/>
      <c r="D40" s="125"/>
      <c r="E40" s="620"/>
      <c r="F40" s="10"/>
      <c r="G40" s="10"/>
      <c r="K40" s="53"/>
      <c r="L40" s="53"/>
      <c r="M40" s="53"/>
      <c r="N40" s="53"/>
      <c r="O40" s="53"/>
      <c r="P40" s="53"/>
      <c r="Q40" s="53"/>
      <c r="R40" s="53"/>
      <c r="S40" s="53"/>
      <c r="T40" s="53"/>
    </row>
    <row r="41" spans="2:20" s="91" customFormat="1" ht="27.6">
      <c r="B41" s="263"/>
      <c r="C41" s="53"/>
      <c r="D41" s="125"/>
      <c r="E41" s="620" t="s">
        <v>2540</v>
      </c>
      <c r="F41" s="10"/>
      <c r="G41" s="10"/>
      <c r="H41" s="263"/>
      <c r="I41" s="263"/>
      <c r="J41" s="263"/>
      <c r="K41" s="53"/>
      <c r="L41" s="53"/>
      <c r="M41" s="53"/>
      <c r="N41" s="53"/>
      <c r="O41" s="53"/>
      <c r="P41" s="53"/>
      <c r="Q41" s="53"/>
      <c r="R41" s="53"/>
      <c r="S41" s="53"/>
      <c r="T41" s="53"/>
    </row>
    <row r="42" spans="2:20" s="263" customFormat="1">
      <c r="C42" s="53"/>
      <c r="D42" s="125"/>
      <c r="E42" s="620"/>
      <c r="F42" s="10"/>
      <c r="G42" s="10"/>
      <c r="K42" s="53"/>
      <c r="L42" s="53"/>
      <c r="M42" s="53"/>
      <c r="N42" s="53"/>
      <c r="O42" s="53"/>
      <c r="P42" s="53"/>
      <c r="Q42" s="53"/>
      <c r="R42" s="53"/>
      <c r="S42" s="53"/>
      <c r="T42" s="53"/>
    </row>
    <row r="43" spans="2:20" s="263" customFormat="1" ht="41.45">
      <c r="C43" s="53"/>
      <c r="D43" s="125"/>
      <c r="E43" s="620" t="s">
        <v>2541</v>
      </c>
      <c r="F43" s="10"/>
      <c r="G43" s="10"/>
      <c r="K43" s="53"/>
      <c r="L43" s="53"/>
      <c r="M43" s="53"/>
      <c r="N43" s="53"/>
      <c r="O43" s="53"/>
      <c r="P43" s="53"/>
      <c r="Q43" s="53"/>
      <c r="R43" s="53"/>
      <c r="S43" s="53"/>
      <c r="T43" s="53"/>
    </row>
    <row r="44" spans="2:20" s="263" customFormat="1">
      <c r="C44" s="53"/>
      <c r="D44" s="125"/>
      <c r="E44" s="620"/>
      <c r="F44" s="10"/>
      <c r="G44" s="10"/>
      <c r="K44" s="53"/>
      <c r="L44" s="53"/>
      <c r="M44" s="53"/>
      <c r="N44" s="53"/>
      <c r="O44" s="53"/>
      <c r="P44" s="53"/>
      <c r="Q44" s="53"/>
      <c r="R44" s="53"/>
      <c r="S44" s="53"/>
      <c r="T44" s="53"/>
    </row>
    <row r="45" spans="2:20" s="263" customFormat="1" ht="15.6">
      <c r="C45" s="53"/>
      <c r="D45" s="125"/>
      <c r="E45" s="1670" t="s">
        <v>2542</v>
      </c>
      <c r="F45" s="10"/>
      <c r="G45" s="10"/>
      <c r="K45" s="53"/>
      <c r="L45" s="53"/>
      <c r="M45" s="53"/>
      <c r="N45" s="53"/>
      <c r="O45" s="53"/>
      <c r="P45" s="53"/>
      <c r="Q45" s="53"/>
      <c r="R45" s="53"/>
      <c r="S45" s="53"/>
      <c r="T45" s="53"/>
    </row>
    <row r="46" spans="2:20" s="263" customFormat="1" ht="279.75" customHeight="1">
      <c r="C46" s="53"/>
      <c r="D46" s="125"/>
      <c r="E46" s="1672"/>
      <c r="F46" s="10"/>
      <c r="G46" s="10"/>
      <c r="K46" s="53"/>
      <c r="L46" s="53"/>
      <c r="M46" s="53"/>
      <c r="N46" s="53"/>
      <c r="O46" s="53"/>
      <c r="P46" s="53"/>
      <c r="Q46" s="53"/>
      <c r="R46" s="53"/>
      <c r="S46" s="53"/>
      <c r="T46" s="53"/>
    </row>
    <row r="47" spans="2:20" s="263" customFormat="1">
      <c r="C47" s="53"/>
      <c r="D47" s="125"/>
      <c r="E47" s="1672"/>
      <c r="F47" s="10"/>
      <c r="G47" s="10"/>
      <c r="K47" s="53"/>
      <c r="L47" s="53"/>
      <c r="M47" s="53"/>
      <c r="N47" s="53"/>
      <c r="O47" s="53"/>
      <c r="P47" s="53"/>
      <c r="Q47" s="53"/>
      <c r="R47" s="53"/>
      <c r="S47" s="53"/>
      <c r="T47" s="53"/>
    </row>
    <row r="48" spans="2:20" s="263" customFormat="1">
      <c r="C48" s="53"/>
      <c r="D48" s="125"/>
      <c r="E48" s="620" t="s">
        <v>2543</v>
      </c>
      <c r="F48" s="10"/>
      <c r="G48" s="10"/>
      <c r="K48" s="53"/>
      <c r="L48" s="53"/>
      <c r="M48" s="53"/>
      <c r="N48" s="53"/>
      <c r="O48" s="53"/>
      <c r="P48" s="53"/>
      <c r="Q48" s="53"/>
      <c r="R48" s="53"/>
      <c r="S48" s="53"/>
      <c r="T48" s="53"/>
    </row>
    <row r="49" spans="2:20" s="263" customFormat="1">
      <c r="C49" s="53"/>
      <c r="D49" s="125"/>
      <c r="E49" s="620" t="s">
        <v>2544</v>
      </c>
      <c r="F49" s="10"/>
      <c r="G49" s="10"/>
      <c r="K49" s="53"/>
      <c r="L49" s="53"/>
      <c r="M49" s="53"/>
      <c r="N49" s="53"/>
      <c r="O49" s="53"/>
      <c r="P49" s="53"/>
      <c r="Q49" s="53"/>
      <c r="R49" s="53"/>
      <c r="S49" s="53"/>
      <c r="T49" s="53"/>
    </row>
    <row r="50" spans="2:20" s="263" customFormat="1" ht="27.6">
      <c r="C50" s="53"/>
      <c r="D50" s="125"/>
      <c r="E50" s="620" t="s">
        <v>2545</v>
      </c>
      <c r="F50" s="10"/>
      <c r="G50" s="10"/>
      <c r="K50" s="53"/>
      <c r="L50" s="53"/>
      <c r="M50" s="53"/>
      <c r="N50" s="53"/>
      <c r="O50" s="53"/>
      <c r="P50" s="53"/>
      <c r="Q50" s="53"/>
      <c r="R50" s="53"/>
      <c r="S50" s="53"/>
      <c r="T50" s="53"/>
    </row>
    <row r="51" spans="2:20" s="263" customFormat="1">
      <c r="C51" s="53"/>
      <c r="D51" s="125"/>
      <c r="E51" s="620" t="s">
        <v>2546</v>
      </c>
      <c r="F51" s="10"/>
      <c r="G51" s="10"/>
      <c r="K51" s="53"/>
      <c r="L51" s="53"/>
      <c r="M51" s="53"/>
      <c r="N51" s="53"/>
      <c r="O51" s="53"/>
      <c r="P51" s="53"/>
      <c r="Q51" s="53"/>
      <c r="R51" s="53"/>
      <c r="S51" s="53"/>
      <c r="T51" s="53"/>
    </row>
    <row r="52" spans="2:20" s="263" customFormat="1">
      <c r="C52" s="53"/>
      <c r="D52" s="125"/>
      <c r="E52" s="620" t="s">
        <v>2547</v>
      </c>
      <c r="F52" s="10"/>
      <c r="G52" s="10"/>
      <c r="K52" s="53"/>
      <c r="L52" s="53"/>
      <c r="M52" s="53"/>
      <c r="N52" s="53"/>
      <c r="O52" s="53"/>
      <c r="P52" s="53"/>
      <c r="Q52" s="53"/>
      <c r="R52" s="53"/>
      <c r="S52" s="53"/>
      <c r="T52" s="53"/>
    </row>
    <row r="53" spans="2:20" s="263" customFormat="1">
      <c r="C53" s="53"/>
      <c r="D53" s="125"/>
      <c r="E53" s="620" t="s">
        <v>2548</v>
      </c>
      <c r="F53" s="10"/>
      <c r="G53" s="10"/>
      <c r="K53" s="53"/>
      <c r="L53" s="53"/>
      <c r="M53" s="53"/>
      <c r="N53" s="53"/>
      <c r="O53" s="53"/>
      <c r="P53" s="53"/>
      <c r="Q53" s="53"/>
      <c r="R53" s="53"/>
      <c r="S53" s="53"/>
      <c r="T53" s="53"/>
    </row>
    <row r="54" spans="2:20" s="263" customFormat="1">
      <c r="C54" s="53"/>
      <c r="D54" s="125"/>
      <c r="E54" s="620" t="s">
        <v>2549</v>
      </c>
      <c r="F54" s="10"/>
      <c r="G54" s="10"/>
      <c r="K54" s="53"/>
      <c r="L54" s="53"/>
      <c r="M54" s="53"/>
      <c r="N54" s="53"/>
      <c r="O54" s="53"/>
      <c r="P54" s="53"/>
      <c r="Q54" s="53"/>
      <c r="R54" s="53"/>
      <c r="S54" s="53"/>
      <c r="T54" s="53"/>
    </row>
    <row r="55" spans="2:20" s="263" customFormat="1">
      <c r="C55" s="53"/>
      <c r="D55" s="125"/>
      <c r="E55" s="620"/>
      <c r="F55" s="10"/>
      <c r="G55" s="10"/>
      <c r="K55" s="53"/>
      <c r="L55" s="53"/>
      <c r="M55" s="53"/>
      <c r="N55" s="53"/>
      <c r="O55" s="53"/>
      <c r="P55" s="53"/>
      <c r="Q55" s="53"/>
      <c r="R55" s="53"/>
      <c r="S55" s="53"/>
      <c r="T55" s="53"/>
    </row>
    <row r="56" spans="2:20" s="91" customFormat="1" ht="15.6">
      <c r="B56" s="263"/>
      <c r="C56" s="53"/>
      <c r="D56" s="125"/>
      <c r="E56" s="1670" t="s">
        <v>2550</v>
      </c>
      <c r="F56" s="10"/>
      <c r="G56" s="10"/>
      <c r="H56" s="263"/>
      <c r="I56" s="263"/>
      <c r="J56" s="263"/>
      <c r="K56" s="53"/>
      <c r="L56" s="53"/>
      <c r="M56" s="53"/>
      <c r="N56" s="53"/>
      <c r="O56" s="53"/>
      <c r="P56" s="53"/>
      <c r="Q56" s="53"/>
      <c r="R56" s="53"/>
      <c r="S56" s="53"/>
      <c r="T56" s="53"/>
    </row>
    <row r="57" spans="2:20" s="91" customFormat="1" ht="12" customHeight="1">
      <c r="B57" s="263"/>
      <c r="C57" s="53"/>
      <c r="D57" s="125"/>
      <c r="E57" s="620" t="s">
        <v>2543</v>
      </c>
      <c r="F57" s="10"/>
      <c r="G57" s="10"/>
      <c r="H57" s="263"/>
      <c r="I57" s="263"/>
      <c r="J57" s="263"/>
      <c r="K57" s="53"/>
      <c r="L57" s="53"/>
      <c r="M57" s="53"/>
      <c r="N57" s="53"/>
      <c r="O57" s="53"/>
      <c r="P57" s="53"/>
      <c r="Q57" s="53"/>
      <c r="R57" s="53"/>
      <c r="S57" s="53"/>
      <c r="T57" s="53"/>
    </row>
    <row r="58" spans="2:20" s="91" customFormat="1">
      <c r="B58" s="263"/>
      <c r="C58" s="53"/>
      <c r="D58" s="125"/>
      <c r="E58" s="620" t="s">
        <v>2544</v>
      </c>
      <c r="F58" s="10"/>
      <c r="G58" s="10"/>
      <c r="H58" s="263"/>
      <c r="I58" s="263"/>
      <c r="J58" s="263"/>
      <c r="K58" s="53"/>
      <c r="L58" s="53"/>
      <c r="M58" s="53"/>
      <c r="N58" s="53"/>
      <c r="O58" s="53"/>
      <c r="P58" s="53"/>
      <c r="Q58" s="53"/>
      <c r="R58" s="53"/>
      <c r="S58" s="53"/>
      <c r="T58" s="53"/>
    </row>
    <row r="59" spans="2:20" s="91" customFormat="1" ht="27.6">
      <c r="B59" s="263"/>
      <c r="C59" s="53"/>
      <c r="D59" s="125"/>
      <c r="E59" s="620" t="s">
        <v>2551</v>
      </c>
      <c r="F59" s="10"/>
      <c r="G59" s="10"/>
      <c r="H59" s="263"/>
      <c r="I59" s="263"/>
      <c r="J59" s="263"/>
      <c r="K59" s="53"/>
      <c r="L59" s="53"/>
      <c r="M59" s="53"/>
      <c r="N59" s="53"/>
      <c r="O59" s="53"/>
      <c r="P59" s="53"/>
      <c r="Q59" s="53"/>
      <c r="R59" s="53"/>
      <c r="S59" s="53"/>
      <c r="T59" s="53"/>
    </row>
    <row r="60" spans="2:20" s="263" customFormat="1" ht="12" customHeight="1">
      <c r="C60" s="53"/>
      <c r="D60" s="125"/>
      <c r="E60" s="620"/>
      <c r="F60" s="10"/>
      <c r="G60" s="10"/>
      <c r="K60" s="53"/>
      <c r="L60" s="53"/>
      <c r="M60" s="53"/>
      <c r="N60" s="53"/>
      <c r="O60" s="53"/>
      <c r="P60" s="53"/>
      <c r="Q60" s="53"/>
      <c r="R60" s="53"/>
      <c r="S60" s="53"/>
      <c r="T60" s="53"/>
    </row>
    <row r="61" spans="2:20" s="263" customFormat="1" ht="158.25" customHeight="1">
      <c r="C61" s="53"/>
      <c r="D61" s="125"/>
      <c r="E61" s="620"/>
      <c r="F61" s="10"/>
      <c r="G61" s="10"/>
      <c r="K61" s="53"/>
      <c r="L61" s="53"/>
      <c r="M61" s="53"/>
      <c r="N61" s="53"/>
      <c r="O61" s="53"/>
      <c r="P61" s="53"/>
      <c r="Q61" s="53"/>
      <c r="R61" s="53"/>
      <c r="S61" s="53"/>
      <c r="T61" s="53"/>
    </row>
    <row r="62" spans="2:20" s="263" customFormat="1" ht="12" customHeight="1">
      <c r="C62" s="53"/>
      <c r="D62" s="125"/>
      <c r="E62" s="620"/>
      <c r="F62" s="10"/>
      <c r="G62" s="10"/>
      <c r="K62" s="53"/>
      <c r="L62" s="53"/>
      <c r="M62" s="53"/>
      <c r="N62" s="53"/>
      <c r="O62" s="53"/>
      <c r="P62" s="53"/>
      <c r="Q62" s="53"/>
      <c r="R62" s="53"/>
      <c r="S62" s="53"/>
      <c r="T62" s="53"/>
    </row>
    <row r="63" spans="2:20" s="91" customFormat="1" ht="27.6">
      <c r="B63" s="263"/>
      <c r="C63" s="53"/>
      <c r="D63" s="125"/>
      <c r="E63" s="620" t="s">
        <v>2552</v>
      </c>
      <c r="F63" s="10"/>
      <c r="G63" s="10"/>
      <c r="H63" s="263"/>
      <c r="I63" s="263"/>
      <c r="J63" s="263"/>
      <c r="K63" s="53"/>
      <c r="L63" s="53"/>
      <c r="M63" s="53"/>
      <c r="N63" s="53"/>
      <c r="O63" s="53"/>
      <c r="P63" s="53"/>
      <c r="Q63" s="53"/>
      <c r="R63" s="53"/>
      <c r="S63" s="53"/>
      <c r="T63" s="53"/>
    </row>
    <row r="64" spans="2:20" s="91" customFormat="1" ht="12" customHeight="1">
      <c r="B64" s="263"/>
      <c r="C64" s="53"/>
      <c r="D64" s="125"/>
      <c r="E64" s="620" t="s">
        <v>2553</v>
      </c>
      <c r="F64" s="10"/>
      <c r="G64" s="10"/>
      <c r="H64" s="263"/>
      <c r="I64" s="263"/>
      <c r="J64" s="263"/>
      <c r="K64" s="53"/>
      <c r="L64" s="53"/>
      <c r="M64" s="53"/>
      <c r="N64" s="53"/>
      <c r="O64" s="53"/>
      <c r="P64" s="53"/>
      <c r="Q64" s="53"/>
      <c r="R64" s="53"/>
      <c r="S64" s="53"/>
      <c r="T64" s="53"/>
    </row>
    <row r="65" spans="2:20" s="91" customFormat="1" ht="12" customHeight="1">
      <c r="B65" s="263"/>
      <c r="C65" s="53"/>
      <c r="D65" s="125"/>
      <c r="E65" s="620"/>
      <c r="F65" s="60"/>
      <c r="G65" s="60"/>
      <c r="H65" s="53"/>
      <c r="I65" s="23"/>
      <c r="J65" s="53"/>
      <c r="K65" s="53"/>
      <c r="L65" s="53"/>
      <c r="M65" s="53"/>
      <c r="N65" s="53"/>
      <c r="O65" s="53"/>
      <c r="P65" s="53"/>
      <c r="Q65" s="53"/>
      <c r="R65" s="53"/>
      <c r="S65" s="53"/>
      <c r="T65" s="53"/>
    </row>
    <row r="66" spans="2:20" s="91" customFormat="1" ht="12" customHeight="1">
      <c r="B66" s="263"/>
      <c r="C66" s="53"/>
      <c r="D66" s="125"/>
      <c r="E66" s="1670" t="s">
        <v>2554</v>
      </c>
      <c r="F66" s="60"/>
      <c r="G66" s="60"/>
      <c r="H66" s="53"/>
      <c r="I66" s="23"/>
      <c r="J66" s="53"/>
      <c r="K66" s="53"/>
      <c r="L66" s="53"/>
      <c r="M66" s="53"/>
      <c r="N66" s="53"/>
      <c r="O66" s="53"/>
      <c r="P66" s="53"/>
      <c r="Q66" s="53"/>
      <c r="R66" s="53"/>
      <c r="S66" s="53"/>
      <c r="T66" s="53"/>
    </row>
    <row r="67" spans="2:20" s="263" customFormat="1" ht="12" customHeight="1">
      <c r="C67" s="53"/>
      <c r="D67" s="125"/>
      <c r="E67" s="620" t="s">
        <v>2555</v>
      </c>
      <c r="F67" s="60"/>
      <c r="G67" s="60"/>
      <c r="H67" s="53"/>
      <c r="I67" s="23"/>
      <c r="J67" s="53"/>
      <c r="K67" s="53"/>
      <c r="L67" s="53"/>
      <c r="M67" s="53"/>
      <c r="N67" s="53"/>
      <c r="O67" s="53"/>
      <c r="P67" s="53"/>
      <c r="Q67" s="53"/>
      <c r="R67" s="53"/>
      <c r="S67" s="53"/>
      <c r="T67" s="53"/>
    </row>
    <row r="68" spans="2:20" s="263" customFormat="1" ht="12" customHeight="1">
      <c r="C68" s="53"/>
      <c r="D68" s="125"/>
      <c r="E68" s="620"/>
      <c r="F68" s="60"/>
      <c r="G68" s="60"/>
      <c r="H68" s="53"/>
      <c r="I68" s="23"/>
      <c r="J68" s="53"/>
      <c r="K68" s="53"/>
      <c r="L68" s="53"/>
      <c r="M68" s="53"/>
      <c r="N68" s="53"/>
      <c r="O68" s="53"/>
      <c r="P68" s="53"/>
      <c r="Q68" s="53"/>
      <c r="R68" s="53"/>
      <c r="S68" s="53"/>
      <c r="T68" s="53"/>
    </row>
    <row r="69" spans="2:20" s="263" customFormat="1" ht="189" customHeight="1">
      <c r="C69" s="53"/>
      <c r="D69" s="125"/>
      <c r="E69" s="620"/>
      <c r="F69" s="60"/>
      <c r="G69" s="60"/>
      <c r="H69" s="53"/>
      <c r="I69" s="23"/>
      <c r="J69" s="53"/>
      <c r="K69" s="53"/>
      <c r="L69" s="53"/>
      <c r="M69" s="53"/>
      <c r="N69" s="53"/>
      <c r="O69" s="53"/>
      <c r="P69" s="53"/>
      <c r="Q69" s="53"/>
      <c r="R69" s="53"/>
      <c r="S69" s="53"/>
      <c r="T69" s="53"/>
    </row>
    <row r="70" spans="2:20" s="263" customFormat="1">
      <c r="C70" s="53"/>
      <c r="D70" s="125"/>
      <c r="E70" s="1672" t="s">
        <v>2556</v>
      </c>
      <c r="F70" s="60"/>
      <c r="G70" s="60"/>
      <c r="H70" s="53"/>
      <c r="I70" s="23"/>
      <c r="J70" s="53"/>
      <c r="K70" s="53"/>
      <c r="L70" s="53"/>
      <c r="M70" s="53"/>
      <c r="N70" s="53"/>
      <c r="O70" s="53"/>
      <c r="P70" s="53"/>
      <c r="Q70" s="53"/>
      <c r="R70" s="53"/>
      <c r="S70" s="53"/>
      <c r="T70" s="53"/>
    </row>
    <row r="71" spans="2:20" s="263" customFormat="1" ht="41.45">
      <c r="C71" s="53"/>
      <c r="D71" s="125"/>
      <c r="E71" s="620" t="s">
        <v>2557</v>
      </c>
      <c r="F71" s="60"/>
      <c r="G71" s="60"/>
      <c r="H71" s="53"/>
      <c r="I71" s="23"/>
      <c r="J71" s="53"/>
      <c r="K71" s="53"/>
      <c r="L71" s="53"/>
      <c r="M71" s="53"/>
      <c r="N71" s="53"/>
      <c r="O71" s="53"/>
      <c r="P71" s="53"/>
      <c r="Q71" s="53"/>
      <c r="R71" s="53"/>
      <c r="S71" s="53"/>
      <c r="T71" s="53"/>
    </row>
    <row r="72" spans="2:20" s="263" customFormat="1" ht="12" customHeight="1">
      <c r="C72" s="53"/>
      <c r="D72" s="125"/>
      <c r="E72" s="620"/>
      <c r="F72" s="60"/>
      <c r="G72" s="60"/>
      <c r="H72" s="53"/>
      <c r="I72" s="23"/>
      <c r="J72" s="53"/>
      <c r="K72" s="53"/>
      <c r="L72" s="53"/>
      <c r="M72" s="53"/>
      <c r="N72" s="53"/>
      <c r="O72" s="53"/>
      <c r="P72" s="53"/>
      <c r="Q72" s="53"/>
      <c r="R72" s="53"/>
      <c r="S72" s="53"/>
      <c r="T72" s="53"/>
    </row>
    <row r="73" spans="2:20" s="263" customFormat="1" ht="12" customHeight="1">
      <c r="C73" s="53"/>
      <c r="D73" s="125"/>
      <c r="E73" s="1672" t="s">
        <v>2558</v>
      </c>
      <c r="F73" s="60"/>
      <c r="G73" s="60"/>
      <c r="H73" s="53"/>
      <c r="I73" s="23"/>
      <c r="J73" s="53"/>
      <c r="K73" s="53"/>
      <c r="L73" s="53"/>
      <c r="M73" s="53"/>
      <c r="N73" s="53"/>
      <c r="O73" s="53"/>
      <c r="P73" s="53"/>
      <c r="Q73" s="53"/>
      <c r="R73" s="53"/>
      <c r="S73" s="53"/>
      <c r="T73" s="53"/>
    </row>
    <row r="74" spans="2:20" s="263" customFormat="1" ht="27.6">
      <c r="C74" s="53"/>
      <c r="D74" s="125"/>
      <c r="E74" s="620" t="s">
        <v>2559</v>
      </c>
      <c r="F74" s="60"/>
      <c r="G74" s="60"/>
      <c r="H74" s="53"/>
      <c r="I74" s="23"/>
      <c r="J74" s="53"/>
      <c r="K74" s="53"/>
      <c r="L74" s="53"/>
      <c r="M74" s="53"/>
      <c r="N74" s="53"/>
      <c r="O74" s="53"/>
      <c r="P74" s="53"/>
      <c r="Q74" s="53"/>
      <c r="R74" s="53"/>
      <c r="S74" s="53"/>
      <c r="T74" s="53"/>
    </row>
    <row r="75" spans="2:20" s="263" customFormat="1" ht="12" customHeight="1">
      <c r="C75" s="53"/>
      <c r="D75" s="125"/>
      <c r="E75" s="620"/>
      <c r="F75" s="60"/>
      <c r="G75" s="60"/>
      <c r="H75" s="53"/>
      <c r="I75" s="23"/>
      <c r="J75" s="53"/>
      <c r="K75" s="53"/>
      <c r="L75" s="53"/>
      <c r="M75" s="53"/>
      <c r="N75" s="53"/>
      <c r="O75" s="53"/>
      <c r="P75" s="53"/>
      <c r="Q75" s="53"/>
      <c r="R75" s="53"/>
      <c r="S75" s="53"/>
      <c r="T75" s="53"/>
    </row>
    <row r="76" spans="2:20" s="263" customFormat="1" ht="12" customHeight="1">
      <c r="C76" s="53"/>
      <c r="D76" s="125"/>
      <c r="E76" s="700" t="s">
        <v>2560</v>
      </c>
      <c r="F76" s="60"/>
      <c r="G76" s="60"/>
      <c r="H76" s="53"/>
      <c r="I76" s="23"/>
      <c r="J76" s="53"/>
      <c r="K76" s="53"/>
      <c r="L76" s="53"/>
      <c r="M76" s="53"/>
      <c r="N76" s="53"/>
      <c r="O76" s="53"/>
      <c r="P76" s="53"/>
      <c r="Q76" s="53"/>
      <c r="R76" s="53"/>
      <c r="S76" s="53"/>
      <c r="T76" s="53"/>
    </row>
    <row r="77" spans="2:20" s="263" customFormat="1" ht="12" customHeight="1">
      <c r="C77" s="53"/>
      <c r="D77" s="125"/>
      <c r="E77" s="700"/>
      <c r="F77" s="60"/>
      <c r="G77" s="60"/>
      <c r="H77" s="53"/>
      <c r="I77" s="23"/>
      <c r="J77" s="53"/>
      <c r="K77" s="53"/>
      <c r="L77" s="53"/>
      <c r="M77" s="53"/>
      <c r="N77" s="53"/>
      <c r="O77" s="53"/>
      <c r="P77" s="53"/>
      <c r="Q77" s="53"/>
      <c r="R77" s="53"/>
      <c r="S77" s="53"/>
      <c r="T77" s="53"/>
    </row>
    <row r="78" spans="2:20" s="263" customFormat="1" ht="12" customHeight="1">
      <c r="C78" s="53"/>
      <c r="D78" s="125"/>
      <c r="E78" s="1673" t="s">
        <v>2561</v>
      </c>
      <c r="F78" s="60"/>
      <c r="G78" s="60"/>
      <c r="H78" s="53"/>
      <c r="I78" s="23"/>
      <c r="J78" s="53"/>
      <c r="K78" s="53"/>
      <c r="L78" s="53"/>
      <c r="M78" s="53"/>
      <c r="N78" s="53"/>
      <c r="O78" s="53"/>
      <c r="P78" s="53"/>
      <c r="Q78" s="53"/>
      <c r="R78" s="53"/>
      <c r="S78" s="53"/>
      <c r="T78" s="53"/>
    </row>
    <row r="79" spans="2:20" s="263" customFormat="1" ht="12" customHeight="1">
      <c r="C79" s="53"/>
      <c r="D79" s="125"/>
      <c r="E79" s="700" t="s">
        <v>2562</v>
      </c>
      <c r="F79" s="60"/>
      <c r="G79" s="60"/>
      <c r="H79" s="53"/>
      <c r="I79" s="23"/>
      <c r="J79" s="53"/>
      <c r="K79" s="53"/>
      <c r="L79" s="53"/>
      <c r="M79" s="53"/>
      <c r="N79" s="53"/>
      <c r="O79" s="53"/>
      <c r="P79" s="53"/>
      <c r="Q79" s="53"/>
      <c r="R79" s="53"/>
      <c r="S79" s="53"/>
      <c r="T79" s="53"/>
    </row>
    <row r="80" spans="2:20" s="263" customFormat="1" ht="12" customHeight="1">
      <c r="C80" s="53"/>
      <c r="D80" s="125"/>
      <c r="E80" s="700"/>
      <c r="F80" s="60"/>
      <c r="G80" s="60"/>
      <c r="H80" s="53"/>
      <c r="I80" s="23"/>
      <c r="J80" s="53"/>
      <c r="K80" s="53"/>
      <c r="L80" s="53"/>
      <c r="M80" s="53"/>
      <c r="N80" s="53"/>
      <c r="O80" s="53"/>
      <c r="P80" s="53"/>
      <c r="Q80" s="53"/>
      <c r="R80" s="53"/>
      <c r="S80" s="53"/>
      <c r="T80" s="53"/>
    </row>
    <row r="81" spans="2:20" s="263" customFormat="1" ht="12" customHeight="1">
      <c r="C81" s="53"/>
      <c r="D81" s="125"/>
      <c r="E81" s="1673" t="s">
        <v>2563</v>
      </c>
      <c r="F81" s="60"/>
      <c r="G81" s="60"/>
      <c r="H81" s="53"/>
      <c r="I81" s="23"/>
      <c r="J81" s="53"/>
      <c r="K81" s="53"/>
      <c r="L81" s="53"/>
      <c r="M81" s="53"/>
      <c r="N81" s="53"/>
      <c r="O81" s="53"/>
      <c r="P81" s="53"/>
      <c r="Q81" s="53"/>
      <c r="R81" s="53"/>
      <c r="S81" s="53"/>
      <c r="T81" s="53"/>
    </row>
    <row r="82" spans="2:20" s="263" customFormat="1" ht="12" customHeight="1">
      <c r="C82" s="53"/>
      <c r="D82" s="125"/>
      <c r="E82" s="620" t="s">
        <v>2564</v>
      </c>
      <c r="F82" s="60"/>
      <c r="G82" s="60"/>
      <c r="H82" s="53"/>
      <c r="I82" s="23"/>
      <c r="J82" s="53"/>
      <c r="K82" s="53"/>
      <c r="L82" s="53"/>
      <c r="M82" s="53"/>
      <c r="N82" s="53"/>
      <c r="O82" s="53"/>
      <c r="P82" s="53"/>
      <c r="Q82" s="53"/>
      <c r="R82" s="53"/>
      <c r="S82" s="53"/>
      <c r="T82" s="53"/>
    </row>
    <row r="83" spans="2:20" s="91" customFormat="1" ht="12" customHeight="1">
      <c r="B83" s="263"/>
      <c r="C83" s="53"/>
      <c r="D83" s="125"/>
      <c r="E83" s="679"/>
      <c r="F83" s="60"/>
      <c r="G83" s="60"/>
      <c r="H83" s="53"/>
      <c r="I83" s="23"/>
      <c r="J83" s="53"/>
      <c r="K83" s="53"/>
      <c r="L83" s="53"/>
      <c r="M83" s="53"/>
      <c r="N83" s="53"/>
      <c r="O83" s="53"/>
      <c r="P83" s="53"/>
      <c r="Q83" s="53"/>
      <c r="R83" s="53"/>
      <c r="S83" s="53"/>
      <c r="T83" s="53"/>
    </row>
    <row r="84" spans="2:20" ht="17.45">
      <c r="C84" s="251">
        <f ca="1">MAX(OFFSET(C84,-1,0,-ROW(C84)+1,1))+1</f>
        <v>3</v>
      </c>
      <c r="D84" s="252" t="s">
        <v>2565</v>
      </c>
      <c r="E84" s="706"/>
      <c r="F84" s="252"/>
      <c r="G84" s="252"/>
      <c r="H84" s="122"/>
      <c r="I84" s="121"/>
      <c r="J84" s="253"/>
      <c r="K84" s="253"/>
      <c r="L84" s="253"/>
      <c r="M84" s="253"/>
      <c r="N84" s="253"/>
      <c r="O84" s="253"/>
      <c r="P84" s="253"/>
      <c r="Q84" s="253"/>
      <c r="R84" s="253"/>
      <c r="S84" s="255"/>
      <c r="T84" s="255"/>
    </row>
    <row r="85" spans="2:20" s="91" customFormat="1" ht="12" customHeight="1">
      <c r="B85" s="263"/>
      <c r="C85" s="53"/>
      <c r="D85" s="125"/>
      <c r="E85" s="679"/>
      <c r="F85" s="60"/>
      <c r="G85" s="60"/>
      <c r="H85" s="53"/>
      <c r="I85" s="23"/>
      <c r="J85" s="53"/>
      <c r="K85" s="53"/>
      <c r="L85" s="53"/>
      <c r="M85" s="53"/>
      <c r="N85" s="53"/>
      <c r="O85" s="53"/>
      <c r="P85" s="53"/>
      <c r="Q85" s="53"/>
      <c r="R85" s="53"/>
      <c r="S85" s="53"/>
      <c r="T85" s="53"/>
    </row>
    <row r="86" spans="2:20" s="91" customFormat="1" ht="101.25" customHeight="1">
      <c r="B86" s="263"/>
      <c r="C86" s="53"/>
      <c r="D86" s="125"/>
      <c r="E86" s="679"/>
      <c r="F86" s="60"/>
      <c r="G86" s="60"/>
      <c r="H86" s="53"/>
      <c r="I86" s="23"/>
      <c r="J86" s="53"/>
      <c r="K86" s="53"/>
      <c r="L86" s="53"/>
      <c r="M86" s="53"/>
      <c r="N86" s="53"/>
      <c r="O86" s="53"/>
      <c r="P86" s="53"/>
      <c r="Q86" s="53"/>
      <c r="R86" s="53"/>
      <c r="S86" s="53"/>
      <c r="T86" s="53"/>
    </row>
    <row r="87" spans="2:20" s="263" customFormat="1" ht="12.75" customHeight="1">
      <c r="C87" s="53"/>
      <c r="D87" s="125"/>
      <c r="E87" s="1674" t="s">
        <v>2566</v>
      </c>
      <c r="F87" s="60"/>
      <c r="G87" s="60"/>
      <c r="H87" s="53"/>
      <c r="I87" s="23"/>
      <c r="J87" s="53"/>
      <c r="K87" s="53"/>
      <c r="L87" s="53"/>
      <c r="M87" s="53"/>
      <c r="N87" s="53"/>
      <c r="O87" s="53"/>
      <c r="P87" s="53"/>
      <c r="Q87" s="53"/>
      <c r="R87" s="53"/>
      <c r="S87" s="53"/>
      <c r="T87" s="53"/>
    </row>
    <row r="88" spans="2:20" s="91" customFormat="1" ht="12" customHeight="1">
      <c r="B88" s="263"/>
      <c r="C88" s="53"/>
      <c r="D88" s="125"/>
      <c r="E88" s="1029" t="s">
        <v>2567</v>
      </c>
      <c r="F88" s="10"/>
      <c r="G88" s="10"/>
      <c r="H88" s="263"/>
      <c r="I88" s="263"/>
      <c r="J88" s="263"/>
      <c r="K88" s="53"/>
      <c r="L88" s="53"/>
      <c r="M88" s="53"/>
      <c r="N88" s="53"/>
      <c r="O88" s="53"/>
      <c r="P88" s="53"/>
      <c r="Q88" s="53"/>
      <c r="R88" s="53"/>
      <c r="S88" s="255"/>
      <c r="T88" s="255"/>
    </row>
    <row r="89" spans="2:20" s="263" customFormat="1" ht="27.6">
      <c r="C89" s="53"/>
      <c r="D89" s="125"/>
      <c r="E89" s="1500" t="s">
        <v>2568</v>
      </c>
      <c r="F89" s="10"/>
      <c r="G89" s="10"/>
      <c r="K89" s="53"/>
      <c r="L89" s="53"/>
      <c r="M89" s="53"/>
      <c r="N89" s="53"/>
      <c r="O89" s="53"/>
      <c r="P89" s="53"/>
      <c r="Q89" s="53"/>
      <c r="R89" s="53"/>
      <c r="S89" s="255"/>
      <c r="T89" s="255"/>
    </row>
    <row r="90" spans="2:20" s="263" customFormat="1" ht="12" customHeight="1">
      <c r="C90" s="53"/>
      <c r="D90" s="125"/>
      <c r="E90" s="2060"/>
      <c r="F90" s="10"/>
      <c r="G90" s="10"/>
      <c r="K90" s="53"/>
      <c r="L90" s="53"/>
      <c r="M90" s="53"/>
      <c r="N90" s="53"/>
      <c r="O90" s="53"/>
      <c r="P90" s="53"/>
      <c r="Q90" s="53"/>
      <c r="R90" s="53"/>
      <c r="S90" s="255"/>
      <c r="T90" s="255"/>
    </row>
    <row r="91" spans="2:20" s="91" customFormat="1">
      <c r="B91" s="263"/>
      <c r="C91" s="53"/>
      <c r="D91" s="125"/>
      <c r="E91" s="1029" t="s">
        <v>2569</v>
      </c>
      <c r="F91" s="10"/>
      <c r="G91" s="10"/>
      <c r="H91" s="263"/>
      <c r="I91" s="263"/>
      <c r="J91" s="263"/>
      <c r="K91" s="53"/>
      <c r="L91" s="53"/>
      <c r="M91" s="53"/>
      <c r="N91" s="53"/>
      <c r="O91" s="53"/>
      <c r="P91" s="53"/>
      <c r="Q91" s="53"/>
      <c r="R91" s="53"/>
      <c r="S91" s="255"/>
      <c r="T91" s="255"/>
    </row>
    <row r="92" spans="2:20" s="91" customFormat="1" ht="12" customHeight="1">
      <c r="B92" s="263"/>
      <c r="C92" s="53"/>
      <c r="D92" s="125"/>
      <c r="E92" s="2060" t="s">
        <v>2570</v>
      </c>
      <c r="F92" s="10"/>
      <c r="G92" s="10"/>
      <c r="H92" s="263"/>
      <c r="I92" s="263"/>
      <c r="J92" s="263"/>
      <c r="K92" s="53"/>
      <c r="L92" s="53"/>
      <c r="M92" s="53"/>
      <c r="N92" s="53"/>
      <c r="O92" s="53"/>
      <c r="P92" s="53"/>
      <c r="Q92" s="53"/>
      <c r="R92" s="53"/>
      <c r="S92" s="255"/>
      <c r="T92" s="255"/>
    </row>
    <row r="93" spans="2:20" s="91" customFormat="1" ht="12" customHeight="1">
      <c r="B93" s="263"/>
      <c r="C93" s="53"/>
      <c r="D93" s="125"/>
      <c r="E93" s="2060"/>
      <c r="F93" s="10"/>
      <c r="G93" s="10"/>
      <c r="H93" s="263"/>
      <c r="I93" s="263"/>
      <c r="J93" s="263"/>
      <c r="K93" s="53"/>
      <c r="L93" s="53"/>
      <c r="M93" s="53"/>
      <c r="N93" s="53"/>
      <c r="O93" s="53"/>
      <c r="P93" s="53"/>
      <c r="Q93" s="53"/>
      <c r="R93" s="53"/>
      <c r="S93" s="255"/>
      <c r="T93" s="255"/>
    </row>
    <row r="94" spans="2:20" s="91" customFormat="1">
      <c r="B94" s="263"/>
      <c r="C94" s="53"/>
      <c r="D94" s="125"/>
      <c r="E94" s="1029" t="s">
        <v>2571</v>
      </c>
      <c r="F94" s="10"/>
      <c r="G94" s="10"/>
      <c r="H94" s="263"/>
      <c r="I94" s="263"/>
      <c r="J94" s="263"/>
      <c r="K94" s="53"/>
      <c r="L94" s="53"/>
      <c r="M94" s="53"/>
      <c r="N94" s="53"/>
      <c r="O94" s="53"/>
      <c r="P94" s="53"/>
      <c r="Q94" s="53"/>
      <c r="R94" s="53"/>
      <c r="S94" s="255"/>
      <c r="T94" s="255"/>
    </row>
    <row r="95" spans="2:20" s="91" customFormat="1">
      <c r="B95" s="263"/>
      <c r="C95" s="53"/>
      <c r="D95" s="125"/>
      <c r="E95" s="2060" t="s">
        <v>2572</v>
      </c>
      <c r="F95" s="10"/>
      <c r="G95" s="10"/>
      <c r="H95" s="263"/>
      <c r="I95" s="263"/>
      <c r="J95" s="263"/>
      <c r="K95" s="53"/>
      <c r="L95" s="53"/>
      <c r="M95" s="53"/>
      <c r="N95" s="53"/>
      <c r="O95" s="53"/>
      <c r="P95" s="53"/>
      <c r="Q95" s="53"/>
      <c r="R95" s="53"/>
      <c r="S95" s="255"/>
      <c r="T95" s="255"/>
    </row>
    <row r="96" spans="2:20" s="263" customFormat="1">
      <c r="C96" s="53"/>
      <c r="D96" s="125"/>
      <c r="E96" s="2060"/>
      <c r="F96" s="10"/>
      <c r="G96" s="10"/>
      <c r="K96" s="53"/>
      <c r="L96" s="53"/>
      <c r="M96" s="53"/>
      <c r="N96" s="53"/>
      <c r="O96" s="53"/>
      <c r="P96" s="53"/>
      <c r="Q96" s="53"/>
      <c r="R96" s="53"/>
      <c r="S96" s="255"/>
      <c r="T96" s="255"/>
    </row>
    <row r="97" spans="2:20" s="263" customFormat="1">
      <c r="C97" s="53"/>
      <c r="D97" s="125"/>
      <c r="E97" s="1029" t="s">
        <v>2573</v>
      </c>
      <c r="F97" s="10"/>
      <c r="G97" s="10"/>
      <c r="K97" s="53"/>
      <c r="L97" s="53"/>
      <c r="M97" s="53"/>
      <c r="N97" s="53"/>
      <c r="O97" s="53"/>
      <c r="P97" s="53"/>
      <c r="Q97" s="53"/>
      <c r="R97" s="53"/>
      <c r="S97" s="255"/>
      <c r="T97" s="255"/>
    </row>
    <row r="98" spans="2:20" s="263" customFormat="1" ht="27.6">
      <c r="C98" s="53"/>
      <c r="D98" s="125"/>
      <c r="E98" s="1500" t="s">
        <v>2574</v>
      </c>
      <c r="F98" s="10"/>
      <c r="G98" s="10"/>
      <c r="K98" s="53"/>
      <c r="L98" s="53"/>
      <c r="M98" s="53"/>
      <c r="N98" s="53"/>
      <c r="O98" s="53"/>
      <c r="P98" s="53"/>
      <c r="Q98" s="53"/>
      <c r="R98" s="53"/>
      <c r="S98" s="255"/>
      <c r="T98" s="255"/>
    </row>
    <row r="99" spans="2:20" s="91" customFormat="1" ht="12" customHeight="1">
      <c r="B99" s="263"/>
      <c r="C99" s="53"/>
      <c r="D99" s="125"/>
      <c r="E99" s="2060"/>
      <c r="F99" s="10"/>
      <c r="G99" s="10"/>
      <c r="H99" s="263"/>
      <c r="I99" s="263"/>
      <c r="J99" s="263"/>
      <c r="K99" s="53"/>
      <c r="L99" s="53"/>
      <c r="M99" s="53"/>
      <c r="N99" s="53"/>
      <c r="O99" s="53"/>
      <c r="P99" s="53"/>
      <c r="Q99" s="53"/>
      <c r="R99" s="53"/>
      <c r="S99" s="255"/>
      <c r="T99" s="255"/>
    </row>
    <row r="100" spans="2:20" s="91" customFormat="1" ht="12" customHeight="1">
      <c r="B100" s="263"/>
      <c r="C100" s="53"/>
      <c r="D100" s="125"/>
      <c r="E100" s="1029" t="s">
        <v>2575</v>
      </c>
      <c r="F100" s="10"/>
      <c r="G100" s="10"/>
      <c r="H100" s="263"/>
      <c r="I100" s="263"/>
      <c r="J100" s="263"/>
      <c r="K100" s="53"/>
      <c r="L100" s="53"/>
      <c r="M100" s="53"/>
      <c r="N100" s="53"/>
      <c r="O100" s="53"/>
      <c r="P100" s="53"/>
      <c r="Q100" s="53"/>
      <c r="R100" s="53"/>
      <c r="S100" s="255"/>
      <c r="T100" s="255"/>
    </row>
    <row r="101" spans="2:20" s="263" customFormat="1" ht="27.6">
      <c r="C101" s="53"/>
      <c r="D101" s="125"/>
      <c r="E101" s="1680" t="s">
        <v>2576</v>
      </c>
      <c r="F101" s="10"/>
      <c r="G101" s="10"/>
      <c r="K101" s="53"/>
      <c r="L101" s="53"/>
      <c r="M101" s="53"/>
      <c r="N101" s="53"/>
      <c r="O101" s="53"/>
      <c r="P101" s="53"/>
      <c r="Q101" s="53"/>
      <c r="R101" s="53"/>
      <c r="S101" s="255"/>
      <c r="T101" s="255"/>
    </row>
    <row r="102" spans="2:20" s="91" customFormat="1" ht="12" customHeight="1">
      <c r="B102" s="263"/>
      <c r="C102" s="53"/>
      <c r="D102" s="125"/>
      <c r="E102" s="2060"/>
      <c r="F102" s="10"/>
      <c r="G102" s="10"/>
      <c r="H102" s="263"/>
      <c r="I102" s="263"/>
      <c r="J102" s="263"/>
      <c r="K102" s="53"/>
      <c r="L102" s="53"/>
      <c r="M102" s="53"/>
      <c r="N102" s="53"/>
      <c r="O102" s="53"/>
      <c r="P102" s="53"/>
      <c r="Q102" s="53"/>
      <c r="R102" s="53"/>
      <c r="S102" s="255"/>
      <c r="T102" s="255"/>
    </row>
    <row r="103" spans="2:20" s="263" customFormat="1" ht="12" customHeight="1">
      <c r="C103" s="53"/>
      <c r="D103" s="125"/>
      <c r="E103" s="1029" t="s">
        <v>2577</v>
      </c>
      <c r="F103" s="10"/>
      <c r="G103" s="10"/>
      <c r="K103" s="53"/>
      <c r="L103" s="53"/>
      <c r="M103" s="53"/>
      <c r="N103" s="53"/>
      <c r="O103" s="53"/>
      <c r="P103" s="53"/>
      <c r="Q103" s="53"/>
      <c r="R103" s="53"/>
      <c r="S103" s="255"/>
      <c r="T103" s="255"/>
    </row>
    <row r="104" spans="2:20" s="263" customFormat="1" ht="41.45">
      <c r="C104" s="53"/>
      <c r="D104" s="125"/>
      <c r="E104" s="2094" t="s">
        <v>2578</v>
      </c>
      <c r="F104" s="10"/>
      <c r="G104" s="10"/>
      <c r="K104" s="53"/>
      <c r="L104" s="53"/>
      <c r="M104" s="53"/>
      <c r="N104" s="53"/>
      <c r="O104" s="53"/>
      <c r="P104" s="53"/>
      <c r="Q104" s="53"/>
      <c r="R104" s="53"/>
      <c r="S104" s="255"/>
      <c r="T104" s="255"/>
    </row>
    <row r="105" spans="2:20" s="263" customFormat="1" ht="12" customHeight="1">
      <c r="C105" s="53"/>
      <c r="D105" s="125"/>
      <c r="E105" s="2060"/>
      <c r="F105" s="10"/>
      <c r="G105" s="10"/>
      <c r="K105" s="53"/>
      <c r="L105" s="53"/>
      <c r="M105" s="53"/>
      <c r="N105" s="53"/>
      <c r="O105" s="53"/>
      <c r="P105" s="53"/>
      <c r="Q105" s="53"/>
      <c r="R105" s="53"/>
      <c r="S105" s="255"/>
      <c r="T105" s="255"/>
    </row>
    <row r="106" spans="2:20" s="91" customFormat="1">
      <c r="B106" s="263"/>
      <c r="C106" s="53"/>
      <c r="D106" s="125"/>
      <c r="E106" s="1674" t="s">
        <v>1437</v>
      </c>
      <c r="F106" s="10"/>
      <c r="G106" s="10"/>
      <c r="H106" s="263"/>
      <c r="I106" s="263"/>
      <c r="J106" s="263"/>
      <c r="K106" s="53"/>
      <c r="L106" s="53"/>
      <c r="M106" s="53"/>
      <c r="N106" s="53"/>
      <c r="O106" s="53"/>
      <c r="P106" s="53"/>
      <c r="Q106" s="53"/>
      <c r="R106" s="53"/>
      <c r="S106" s="255"/>
      <c r="T106" s="255"/>
    </row>
    <row r="107" spans="2:20" s="91" customFormat="1" ht="12" customHeight="1">
      <c r="B107" s="263"/>
      <c r="C107" s="53"/>
      <c r="D107" s="125"/>
      <c r="E107" s="1029" t="s">
        <v>2579</v>
      </c>
      <c r="F107" s="10"/>
      <c r="G107" s="10"/>
      <c r="H107" s="263"/>
      <c r="I107" s="263"/>
      <c r="J107" s="263"/>
      <c r="K107" s="53"/>
      <c r="L107" s="53"/>
      <c r="M107" s="53"/>
      <c r="N107" s="53"/>
      <c r="O107" s="53"/>
      <c r="P107" s="53"/>
      <c r="Q107" s="53"/>
      <c r="R107" s="53"/>
      <c r="S107" s="255"/>
      <c r="T107" s="255"/>
    </row>
    <row r="108" spans="2:20" s="263" customFormat="1" ht="12" customHeight="1">
      <c r="C108" s="53"/>
      <c r="D108" s="125"/>
      <c r="E108" s="1680" t="s">
        <v>2580</v>
      </c>
      <c r="F108" s="10"/>
      <c r="G108" s="10"/>
      <c r="K108" s="53"/>
      <c r="L108" s="53"/>
      <c r="M108" s="53"/>
      <c r="N108" s="53"/>
      <c r="O108" s="53"/>
      <c r="P108" s="53"/>
      <c r="Q108" s="53"/>
      <c r="R108" s="53"/>
      <c r="S108" s="255"/>
      <c r="T108" s="255"/>
    </row>
    <row r="109" spans="2:20" s="263" customFormat="1" ht="12" customHeight="1">
      <c r="C109" s="53"/>
      <c r="D109" s="125"/>
      <c r="E109" s="1680"/>
      <c r="F109" s="10"/>
      <c r="G109" s="10"/>
      <c r="K109" s="53"/>
      <c r="L109" s="53"/>
      <c r="M109" s="53"/>
      <c r="N109" s="53"/>
      <c r="O109" s="53"/>
      <c r="P109" s="53"/>
      <c r="Q109" s="53"/>
      <c r="R109" s="53"/>
      <c r="S109" s="255"/>
      <c r="T109" s="255"/>
    </row>
    <row r="110" spans="2:20" s="263" customFormat="1">
      <c r="C110" s="53"/>
      <c r="D110" s="125"/>
      <c r="E110" s="1674" t="s">
        <v>2581</v>
      </c>
      <c r="F110" s="10"/>
      <c r="G110" s="10"/>
      <c r="K110" s="53"/>
      <c r="L110" s="53"/>
      <c r="M110" s="53"/>
      <c r="N110" s="53"/>
      <c r="O110" s="53"/>
      <c r="P110" s="53"/>
      <c r="Q110" s="53"/>
      <c r="R110" s="53"/>
      <c r="S110" s="255"/>
      <c r="T110" s="255"/>
    </row>
    <row r="111" spans="2:20" s="263" customFormat="1" ht="12" customHeight="1">
      <c r="C111" s="53"/>
      <c r="D111" s="125"/>
      <c r="E111" s="1029" t="s">
        <v>20</v>
      </c>
      <c r="F111" s="10"/>
      <c r="G111" s="10"/>
      <c r="K111" s="53"/>
      <c r="L111" s="53"/>
      <c r="M111" s="53"/>
      <c r="N111" s="53"/>
      <c r="O111" s="53"/>
      <c r="P111" s="53"/>
      <c r="Q111" s="53"/>
      <c r="R111" s="53"/>
      <c r="S111" s="255"/>
      <c r="T111" s="255"/>
    </row>
    <row r="112" spans="2:20" s="263" customFormat="1" ht="12" customHeight="1">
      <c r="C112" s="53"/>
      <c r="D112" s="125"/>
      <c r="E112" s="1680" t="s">
        <v>2582</v>
      </c>
      <c r="F112" s="10"/>
      <c r="G112" s="10"/>
      <c r="K112" s="53"/>
      <c r="L112" s="53"/>
      <c r="M112" s="53"/>
      <c r="N112" s="53"/>
      <c r="O112" s="53"/>
      <c r="P112" s="53"/>
      <c r="Q112" s="53"/>
      <c r="R112" s="53"/>
      <c r="S112" s="255"/>
      <c r="T112" s="255"/>
    </row>
    <row r="113" spans="2:20" s="263" customFormat="1" ht="12" customHeight="1">
      <c r="C113" s="53"/>
      <c r="D113" s="125"/>
      <c r="E113" s="2060"/>
      <c r="F113" s="10"/>
      <c r="G113" s="10"/>
      <c r="K113" s="53"/>
      <c r="L113" s="53"/>
      <c r="M113" s="53"/>
      <c r="N113" s="53"/>
      <c r="O113" s="53"/>
      <c r="P113" s="53"/>
      <c r="Q113" s="53"/>
      <c r="R113" s="53"/>
      <c r="S113" s="255"/>
      <c r="T113" s="255"/>
    </row>
    <row r="114" spans="2:20" s="263" customFormat="1" ht="12" customHeight="1">
      <c r="C114" s="53"/>
      <c r="D114" s="125"/>
      <c r="E114" s="1029" t="s">
        <v>2583</v>
      </c>
      <c r="F114" s="10"/>
      <c r="G114" s="10"/>
      <c r="K114" s="53"/>
      <c r="L114" s="53"/>
      <c r="M114" s="53"/>
      <c r="N114" s="53"/>
      <c r="O114" s="53"/>
      <c r="P114" s="53"/>
      <c r="Q114" s="53"/>
      <c r="R114" s="53"/>
      <c r="S114" s="255"/>
      <c r="T114" s="255"/>
    </row>
    <row r="115" spans="2:20" s="263" customFormat="1">
      <c r="C115" s="53"/>
      <c r="D115" s="125"/>
      <c r="E115" s="89" t="s">
        <v>2584</v>
      </c>
      <c r="F115" s="10"/>
      <c r="G115" s="10"/>
      <c r="K115" s="53"/>
      <c r="L115" s="53"/>
      <c r="M115" s="53"/>
      <c r="N115" s="53"/>
      <c r="O115" s="53"/>
      <c r="P115" s="53"/>
      <c r="Q115" s="53"/>
      <c r="R115" s="53"/>
      <c r="S115" s="255"/>
      <c r="T115" s="255"/>
    </row>
    <row r="116" spans="2:20" s="263" customFormat="1" ht="12" customHeight="1">
      <c r="C116" s="53"/>
      <c r="D116" s="125"/>
      <c r="E116" s="2060"/>
      <c r="F116" s="10"/>
      <c r="G116" s="10"/>
      <c r="K116" s="53"/>
      <c r="L116" s="53"/>
      <c r="M116" s="53"/>
      <c r="N116" s="53"/>
      <c r="O116" s="53"/>
      <c r="P116" s="53"/>
      <c r="Q116" s="53"/>
      <c r="R116" s="53"/>
      <c r="S116" s="255"/>
      <c r="T116" s="255"/>
    </row>
    <row r="117" spans="2:20" s="263" customFormat="1" ht="12" customHeight="1">
      <c r="C117" s="53"/>
      <c r="D117" s="125"/>
      <c r="E117" s="1029" t="s">
        <v>2585</v>
      </c>
      <c r="F117" s="10"/>
      <c r="G117" s="10"/>
      <c r="K117" s="53"/>
      <c r="L117" s="53"/>
      <c r="M117" s="53"/>
      <c r="N117" s="53"/>
      <c r="O117" s="53"/>
      <c r="P117" s="53"/>
      <c r="Q117" s="53"/>
      <c r="R117" s="53"/>
      <c r="S117" s="255"/>
      <c r="T117" s="255"/>
    </row>
    <row r="118" spans="2:20" s="263" customFormat="1" ht="12" customHeight="1">
      <c r="C118" s="53"/>
      <c r="D118" s="125"/>
      <c r="E118" s="89" t="s">
        <v>2586</v>
      </c>
      <c r="F118" s="10"/>
      <c r="G118" s="10"/>
      <c r="K118" s="53"/>
      <c r="L118" s="53"/>
      <c r="M118" s="53"/>
      <c r="N118" s="53"/>
      <c r="O118" s="53"/>
      <c r="P118" s="53"/>
      <c r="Q118" s="53"/>
      <c r="R118" s="53"/>
      <c r="S118" s="255"/>
      <c r="T118" s="255"/>
    </row>
    <row r="119" spans="2:20" s="263" customFormat="1" ht="12" customHeight="1">
      <c r="C119" s="53"/>
      <c r="D119" s="125"/>
      <c r="E119" s="1029"/>
      <c r="F119" s="10"/>
      <c r="G119" s="10"/>
      <c r="K119" s="53"/>
      <c r="L119" s="53"/>
      <c r="M119" s="53"/>
      <c r="N119" s="53"/>
      <c r="O119" s="53"/>
      <c r="P119" s="53"/>
      <c r="Q119" s="53"/>
      <c r="R119" s="53"/>
      <c r="S119" s="255"/>
      <c r="T119" s="255"/>
    </row>
    <row r="120" spans="2:20" s="263" customFormat="1" ht="12" customHeight="1">
      <c r="C120" s="53"/>
      <c r="D120" s="125"/>
      <c r="E120" s="1674" t="s">
        <v>2587</v>
      </c>
      <c r="F120" s="10"/>
      <c r="G120" s="10"/>
      <c r="K120" s="53"/>
      <c r="L120" s="53"/>
      <c r="M120" s="53"/>
      <c r="N120" s="53"/>
      <c r="O120" s="53"/>
      <c r="P120" s="53"/>
      <c r="Q120" s="53"/>
      <c r="R120" s="53"/>
      <c r="S120" s="255"/>
      <c r="T120" s="255"/>
    </row>
    <row r="121" spans="2:20" s="91" customFormat="1" ht="12" customHeight="1">
      <c r="B121" s="263"/>
      <c r="C121" s="53"/>
      <c r="D121" s="125"/>
      <c r="E121" s="1676" t="s">
        <v>0</v>
      </c>
      <c r="F121" s="10"/>
      <c r="G121" s="10"/>
      <c r="H121" s="263"/>
      <c r="I121" s="263"/>
      <c r="J121" s="263"/>
      <c r="K121" s="53"/>
      <c r="L121" s="53"/>
      <c r="M121" s="53"/>
      <c r="N121" s="53"/>
      <c r="O121" s="53"/>
      <c r="P121" s="53"/>
      <c r="Q121" s="53"/>
      <c r="R121" s="53"/>
      <c r="S121" s="255"/>
      <c r="T121" s="255"/>
    </row>
    <row r="122" spans="2:20" s="91" customFormat="1">
      <c r="B122" s="263"/>
      <c r="C122" s="53"/>
      <c r="D122" s="125"/>
      <c r="E122" s="1675" t="s">
        <v>2588</v>
      </c>
      <c r="F122" s="10"/>
      <c r="G122" s="10"/>
      <c r="H122" s="263"/>
      <c r="I122" s="263"/>
      <c r="J122" s="263"/>
      <c r="K122" s="53"/>
      <c r="L122" s="53"/>
      <c r="M122" s="53"/>
      <c r="N122" s="53"/>
      <c r="O122" s="53"/>
      <c r="P122" s="53"/>
      <c r="Q122" s="53"/>
      <c r="R122" s="53"/>
      <c r="S122" s="255"/>
      <c r="T122" s="255"/>
    </row>
    <row r="123" spans="2:20" s="91" customFormat="1" ht="12" customHeight="1">
      <c r="B123" s="263"/>
      <c r="C123" s="53"/>
      <c r="D123" s="125"/>
      <c r="E123" s="681"/>
      <c r="F123" s="10"/>
      <c r="G123" s="10"/>
      <c r="H123" s="263"/>
      <c r="I123" s="263"/>
      <c r="J123" s="263"/>
      <c r="K123" s="53"/>
      <c r="L123" s="53"/>
      <c r="M123" s="53"/>
      <c r="N123" s="53"/>
      <c r="O123" s="53"/>
      <c r="P123" s="53"/>
      <c r="Q123" s="53"/>
      <c r="R123" s="53"/>
      <c r="S123" s="255"/>
      <c r="T123" s="255"/>
    </row>
    <row r="124" spans="2:20" s="91" customFormat="1" ht="12" customHeight="1">
      <c r="B124" s="263"/>
      <c r="C124" s="53"/>
      <c r="D124" s="125"/>
      <c r="E124" s="1029" t="s">
        <v>2589</v>
      </c>
      <c r="F124" s="60"/>
      <c r="G124" s="60"/>
      <c r="H124" s="53"/>
      <c r="I124" s="23"/>
      <c r="J124" s="53"/>
      <c r="K124" s="53"/>
      <c r="L124" s="53"/>
      <c r="M124" s="53"/>
      <c r="N124" s="53"/>
      <c r="O124" s="53"/>
      <c r="P124" s="53"/>
      <c r="Q124" s="53"/>
      <c r="R124" s="53"/>
      <c r="S124" s="53"/>
      <c r="T124" s="53"/>
    </row>
    <row r="125" spans="2:20" s="91" customFormat="1" ht="41.45">
      <c r="B125" s="263"/>
      <c r="C125" s="53"/>
      <c r="D125" s="125"/>
      <c r="E125" s="71" t="s">
        <v>2590</v>
      </c>
      <c r="F125" s="60"/>
      <c r="G125" s="60"/>
      <c r="H125" s="53"/>
      <c r="I125" s="23"/>
      <c r="J125" s="53"/>
      <c r="K125" s="53"/>
      <c r="L125" s="53"/>
      <c r="M125" s="53"/>
      <c r="N125" s="53"/>
      <c r="O125" s="53"/>
      <c r="P125" s="53"/>
      <c r="Q125" s="53"/>
      <c r="R125" s="53"/>
      <c r="S125" s="53"/>
      <c r="T125" s="53"/>
    </row>
    <row r="126" spans="2:20" s="91" customFormat="1">
      <c r="B126" s="263"/>
      <c r="C126" s="53"/>
      <c r="D126" s="125"/>
      <c r="E126" s="71"/>
      <c r="F126" s="60"/>
      <c r="G126" s="60"/>
      <c r="H126" s="53"/>
      <c r="I126" s="23"/>
      <c r="J126" s="53"/>
      <c r="K126" s="53"/>
      <c r="L126" s="53"/>
      <c r="M126" s="53"/>
      <c r="N126" s="53"/>
      <c r="O126" s="53"/>
      <c r="P126" s="53"/>
      <c r="Q126" s="53"/>
      <c r="R126" s="53"/>
      <c r="S126" s="53"/>
      <c r="T126" s="53"/>
    </row>
    <row r="127" spans="2:20" s="263" customFormat="1">
      <c r="C127" s="53"/>
      <c r="D127" s="125"/>
      <c r="E127" s="1677" t="s">
        <v>2591</v>
      </c>
      <c r="F127" s="60"/>
      <c r="G127" s="60"/>
      <c r="H127" s="53"/>
      <c r="I127" s="23"/>
      <c r="J127" s="53"/>
      <c r="K127" s="53"/>
      <c r="L127" s="53"/>
      <c r="M127" s="53"/>
      <c r="N127" s="53"/>
      <c r="O127" s="53"/>
      <c r="P127" s="53"/>
      <c r="Q127" s="53"/>
      <c r="R127" s="53"/>
      <c r="S127" s="53"/>
      <c r="T127" s="53"/>
    </row>
    <row r="128" spans="2:20" s="91" customFormat="1">
      <c r="B128" s="263"/>
      <c r="C128" s="53"/>
      <c r="D128" s="125"/>
      <c r="E128" s="110" t="s">
        <v>2592</v>
      </c>
      <c r="F128" s="60"/>
      <c r="G128" s="60"/>
      <c r="H128" s="53"/>
      <c r="I128" s="23"/>
      <c r="J128" s="53"/>
      <c r="K128" s="53"/>
      <c r="L128" s="53"/>
      <c r="M128" s="53"/>
      <c r="N128" s="53"/>
      <c r="O128" s="53"/>
      <c r="P128" s="53"/>
      <c r="Q128" s="53"/>
      <c r="R128" s="53"/>
      <c r="S128" s="53"/>
      <c r="T128" s="53"/>
    </row>
    <row r="129" spans="2:20" s="91" customFormat="1" ht="12" customHeight="1">
      <c r="B129" s="263"/>
      <c r="C129" s="53"/>
      <c r="D129" s="125"/>
      <c r="E129" s="70"/>
      <c r="F129" s="60"/>
      <c r="G129" s="60"/>
      <c r="H129" s="53"/>
      <c r="I129" s="23"/>
      <c r="J129" s="53"/>
      <c r="K129" s="53"/>
      <c r="L129" s="53"/>
      <c r="M129" s="53"/>
      <c r="N129" s="53"/>
      <c r="O129" s="53"/>
      <c r="P129" s="53"/>
      <c r="Q129" s="53"/>
      <c r="R129" s="53"/>
      <c r="S129" s="53"/>
      <c r="T129" s="53"/>
    </row>
    <row r="130" spans="2:20" s="91" customFormat="1" ht="12" customHeight="1">
      <c r="B130" s="263"/>
      <c r="C130" s="53"/>
      <c r="D130" s="125"/>
      <c r="E130" s="1029" t="s">
        <v>2593</v>
      </c>
      <c r="F130" s="60"/>
      <c r="G130" s="60"/>
      <c r="H130" s="53"/>
      <c r="I130" s="23"/>
      <c r="J130" s="53"/>
      <c r="K130" s="53"/>
      <c r="L130" s="53"/>
      <c r="M130" s="53"/>
      <c r="N130" s="53"/>
      <c r="O130" s="53"/>
      <c r="P130" s="53"/>
      <c r="Q130" s="53"/>
      <c r="R130" s="53"/>
      <c r="S130" s="53"/>
      <c r="T130" s="53"/>
    </row>
    <row r="131" spans="2:20" s="91" customFormat="1" ht="27.6">
      <c r="B131" s="263"/>
      <c r="C131" s="53"/>
      <c r="D131" s="125"/>
      <c r="E131" s="71" t="s">
        <v>2594</v>
      </c>
      <c r="F131" s="60"/>
      <c r="G131" s="60"/>
      <c r="H131" s="53"/>
      <c r="I131" s="23"/>
      <c r="J131" s="53"/>
      <c r="K131" s="53"/>
      <c r="L131" s="53"/>
      <c r="M131" s="53"/>
      <c r="N131" s="53"/>
      <c r="O131" s="53"/>
      <c r="P131" s="53"/>
      <c r="Q131" s="53"/>
      <c r="R131" s="53"/>
      <c r="S131" s="53"/>
      <c r="T131" s="53"/>
    </row>
    <row r="132" spans="2:20" s="124" customFormat="1" ht="12" customHeight="1">
      <c r="B132" s="263"/>
      <c r="C132" s="53"/>
      <c r="D132" s="125"/>
      <c r="E132" s="70"/>
      <c r="F132" s="60"/>
      <c r="G132" s="60"/>
      <c r="H132" s="53"/>
      <c r="I132" s="23"/>
      <c r="J132" s="53"/>
      <c r="K132" s="53"/>
      <c r="L132" s="53"/>
      <c r="M132" s="53"/>
      <c r="N132" s="53"/>
      <c r="O132" s="53"/>
      <c r="P132" s="53"/>
      <c r="Q132" s="53"/>
      <c r="R132" s="53"/>
      <c r="S132" s="53"/>
      <c r="T132" s="53"/>
    </row>
    <row r="133" spans="2:20" s="124" customFormat="1" ht="12" customHeight="1">
      <c r="B133" s="263"/>
      <c r="C133" s="53"/>
      <c r="D133" s="125"/>
      <c r="E133" s="1029" t="s">
        <v>2595</v>
      </c>
      <c r="F133" s="60"/>
      <c r="G133" s="60"/>
      <c r="H133" s="53"/>
      <c r="I133" s="23"/>
      <c r="J133" s="53"/>
      <c r="K133" s="53"/>
      <c r="L133" s="53"/>
      <c r="M133" s="53"/>
      <c r="N133" s="53"/>
      <c r="O133" s="53"/>
      <c r="P133" s="53"/>
      <c r="Q133" s="53"/>
      <c r="R133" s="53"/>
      <c r="S133" s="53"/>
      <c r="T133" s="53"/>
    </row>
    <row r="134" spans="2:20" s="124" customFormat="1" ht="27.6">
      <c r="B134" s="263"/>
      <c r="C134" s="53"/>
      <c r="D134" s="125"/>
      <c r="E134" s="71" t="s">
        <v>2596</v>
      </c>
      <c r="F134" s="60"/>
      <c r="G134" s="60"/>
      <c r="H134" s="53"/>
      <c r="I134" s="23"/>
      <c r="J134" s="53"/>
      <c r="K134" s="53"/>
      <c r="L134" s="53"/>
      <c r="M134" s="53"/>
      <c r="N134" s="53"/>
      <c r="O134" s="53"/>
      <c r="P134" s="53"/>
      <c r="Q134" s="53"/>
      <c r="R134" s="53"/>
      <c r="S134" s="53"/>
      <c r="T134" s="53"/>
    </row>
    <row r="135" spans="2:20" s="91" customFormat="1" ht="12" customHeight="1">
      <c r="B135" s="263"/>
      <c r="C135" s="53"/>
      <c r="D135" s="125"/>
      <c r="E135" s="70"/>
      <c r="F135" s="60"/>
      <c r="G135" s="60"/>
      <c r="H135" s="53"/>
      <c r="I135" s="23"/>
      <c r="J135" s="53"/>
      <c r="K135" s="53"/>
      <c r="L135" s="53"/>
      <c r="M135" s="53"/>
      <c r="N135" s="53"/>
      <c r="O135" s="53"/>
      <c r="P135" s="53"/>
      <c r="Q135" s="53"/>
      <c r="R135" s="53"/>
      <c r="S135" s="53"/>
      <c r="T135" s="53"/>
    </row>
    <row r="136" spans="2:20" s="124" customFormat="1">
      <c r="B136" s="263"/>
      <c r="C136" s="53"/>
      <c r="D136" s="125"/>
      <c r="E136" s="71" t="s">
        <v>2597</v>
      </c>
      <c r="F136" s="60"/>
      <c r="G136" s="60"/>
      <c r="H136" s="53"/>
      <c r="I136" s="23"/>
      <c r="J136" s="53"/>
      <c r="K136" s="53"/>
      <c r="L136" s="53"/>
      <c r="M136" s="53"/>
      <c r="N136" s="53"/>
      <c r="O136" s="53"/>
      <c r="P136" s="53"/>
      <c r="Q136" s="53"/>
      <c r="R136" s="53"/>
      <c r="S136" s="53"/>
      <c r="T136" s="53"/>
    </row>
    <row r="137" spans="2:20" s="124" customFormat="1" ht="12" customHeight="1">
      <c r="B137" s="263"/>
      <c r="C137" s="53"/>
      <c r="D137" s="125"/>
      <c r="E137" s="70"/>
      <c r="F137" s="60"/>
      <c r="G137" s="60"/>
      <c r="H137" s="53"/>
      <c r="I137" s="23"/>
      <c r="J137" s="53"/>
      <c r="K137" s="53"/>
      <c r="L137" s="53"/>
      <c r="M137" s="53"/>
      <c r="N137" s="53"/>
      <c r="O137" s="53"/>
      <c r="P137" s="53"/>
      <c r="Q137" s="53"/>
      <c r="R137" s="53"/>
      <c r="S137" s="53"/>
      <c r="T137" s="53"/>
    </row>
    <row r="138" spans="2:20" s="263" customFormat="1" ht="12" customHeight="1">
      <c r="C138" s="53"/>
      <c r="D138" s="125"/>
      <c r="E138" s="1679" t="s">
        <v>2598</v>
      </c>
      <c r="F138" s="60"/>
      <c r="G138" s="60"/>
      <c r="H138" s="53"/>
      <c r="I138" s="23"/>
      <c r="J138" s="53"/>
      <c r="K138" s="53"/>
      <c r="L138" s="53"/>
      <c r="M138" s="53"/>
      <c r="N138" s="53"/>
      <c r="O138" s="53"/>
      <c r="P138" s="53"/>
      <c r="Q138" s="53"/>
      <c r="R138" s="53"/>
      <c r="S138" s="53"/>
      <c r="T138" s="53"/>
    </row>
    <row r="139" spans="2:20" s="263" customFormat="1" ht="12" customHeight="1">
      <c r="C139" s="53"/>
      <c r="D139" s="125"/>
      <c r="E139" s="1678" t="s">
        <v>2599</v>
      </c>
      <c r="F139" s="60"/>
      <c r="G139" s="60"/>
      <c r="H139" s="53"/>
      <c r="I139" s="23"/>
      <c r="J139" s="53"/>
      <c r="K139" s="53"/>
      <c r="L139" s="53"/>
      <c r="M139" s="53"/>
      <c r="N139" s="53"/>
      <c r="O139" s="53"/>
      <c r="P139" s="53"/>
      <c r="Q139" s="53"/>
      <c r="R139" s="53"/>
      <c r="S139" s="53"/>
      <c r="T139" s="53"/>
    </row>
    <row r="140" spans="2:20" s="263" customFormat="1" ht="27.6">
      <c r="C140" s="53"/>
      <c r="D140" s="125"/>
      <c r="E140" s="71" t="s">
        <v>2600</v>
      </c>
      <c r="F140" s="60"/>
      <c r="G140" s="60"/>
      <c r="H140" s="53"/>
      <c r="I140" s="23"/>
      <c r="J140" s="53"/>
      <c r="K140" s="53"/>
      <c r="L140" s="53"/>
      <c r="M140" s="53"/>
      <c r="N140" s="53"/>
      <c r="O140" s="53"/>
      <c r="P140" s="53"/>
      <c r="Q140" s="53"/>
      <c r="R140" s="53"/>
      <c r="S140" s="53"/>
      <c r="T140" s="53"/>
    </row>
    <row r="141" spans="2:20" s="263" customFormat="1" ht="12" customHeight="1">
      <c r="C141" s="53"/>
      <c r="D141" s="125"/>
      <c r="E141" s="70"/>
      <c r="F141" s="60"/>
      <c r="G141" s="60"/>
      <c r="H141" s="53"/>
      <c r="I141" s="23"/>
      <c r="J141" s="53"/>
      <c r="K141" s="53"/>
      <c r="L141" s="53"/>
      <c r="M141" s="53"/>
      <c r="N141" s="53"/>
      <c r="O141" s="53"/>
      <c r="P141" s="53"/>
      <c r="Q141" s="53"/>
      <c r="R141" s="53"/>
      <c r="S141" s="53"/>
      <c r="T141" s="53"/>
    </row>
    <row r="142" spans="2:20" s="263" customFormat="1" ht="12" customHeight="1">
      <c r="C142" s="53"/>
      <c r="D142" s="125"/>
      <c r="E142" s="1678" t="s">
        <v>2601</v>
      </c>
      <c r="F142" s="60"/>
      <c r="G142" s="60"/>
      <c r="H142" s="53"/>
      <c r="I142" s="23"/>
      <c r="J142" s="53"/>
      <c r="K142" s="53"/>
      <c r="L142" s="53"/>
      <c r="M142" s="53"/>
      <c r="N142" s="53"/>
      <c r="O142" s="53"/>
      <c r="P142" s="53"/>
      <c r="Q142" s="53"/>
      <c r="R142" s="53"/>
      <c r="S142" s="53"/>
      <c r="T142" s="53"/>
    </row>
    <row r="143" spans="2:20" s="263" customFormat="1" ht="27.6">
      <c r="C143" s="53"/>
      <c r="D143" s="125"/>
      <c r="E143" s="71" t="s">
        <v>2602</v>
      </c>
      <c r="F143" s="60"/>
      <c r="G143" s="60"/>
      <c r="H143" s="53"/>
      <c r="I143" s="23"/>
      <c r="J143" s="53"/>
      <c r="K143" s="53"/>
      <c r="L143" s="53"/>
      <c r="M143" s="53"/>
      <c r="N143" s="53"/>
      <c r="O143" s="53"/>
      <c r="P143" s="53"/>
      <c r="Q143" s="53"/>
      <c r="R143" s="53"/>
      <c r="S143" s="53"/>
      <c r="T143" s="53"/>
    </row>
    <row r="144" spans="2:20" s="263" customFormat="1" ht="12" customHeight="1">
      <c r="C144" s="53"/>
      <c r="D144" s="125"/>
      <c r="E144" s="70"/>
      <c r="F144" s="60"/>
      <c r="G144" s="60"/>
      <c r="H144" s="53"/>
      <c r="I144" s="23"/>
      <c r="J144" s="53"/>
      <c r="K144" s="53"/>
      <c r="L144" s="53"/>
      <c r="M144" s="53"/>
      <c r="N144" s="53"/>
      <c r="O144" s="53"/>
      <c r="P144" s="53"/>
      <c r="Q144" s="53"/>
      <c r="R144" s="53"/>
      <c r="S144" s="53"/>
      <c r="T144" s="53"/>
    </row>
    <row r="145" spans="1:20" s="263" customFormat="1" ht="12" customHeight="1">
      <c r="C145" s="53"/>
      <c r="D145" s="125"/>
      <c r="E145" s="1678" t="s">
        <v>2603</v>
      </c>
      <c r="F145" s="60"/>
      <c r="G145" s="60"/>
      <c r="H145" s="53"/>
      <c r="I145" s="23"/>
      <c r="J145" s="53"/>
      <c r="K145" s="53"/>
      <c r="L145" s="53"/>
      <c r="M145" s="53"/>
      <c r="N145" s="53"/>
      <c r="O145" s="53"/>
      <c r="P145" s="53"/>
      <c r="Q145" s="53"/>
      <c r="R145" s="53"/>
      <c r="S145" s="53"/>
      <c r="T145" s="53"/>
    </row>
    <row r="146" spans="1:20" s="263" customFormat="1" ht="69">
      <c r="C146" s="53"/>
      <c r="D146" s="125"/>
      <c r="E146" s="71" t="s">
        <v>2604</v>
      </c>
      <c r="F146" s="60"/>
      <c r="G146" s="60"/>
      <c r="H146" s="53"/>
      <c r="I146" s="23"/>
      <c r="J146" s="53"/>
      <c r="K146" s="53"/>
      <c r="L146" s="53"/>
      <c r="M146" s="53"/>
      <c r="N146" s="53"/>
      <c r="O146" s="53"/>
      <c r="P146" s="53"/>
      <c r="Q146" s="53"/>
      <c r="R146" s="53"/>
      <c r="S146" s="53"/>
      <c r="T146" s="53"/>
    </row>
    <row r="147" spans="1:20" s="263" customFormat="1" ht="12" customHeight="1">
      <c r="C147" s="53"/>
      <c r="D147" s="125"/>
      <c r="E147" s="70"/>
      <c r="F147" s="60"/>
      <c r="G147" s="60"/>
      <c r="H147" s="53"/>
      <c r="I147" s="23"/>
      <c r="J147" s="53"/>
      <c r="K147" s="53"/>
      <c r="L147" s="53"/>
      <c r="M147" s="53"/>
      <c r="N147" s="53"/>
      <c r="O147" s="53"/>
      <c r="P147" s="53"/>
      <c r="Q147" s="53"/>
      <c r="R147" s="53"/>
      <c r="S147" s="53"/>
      <c r="T147" s="53"/>
    </row>
    <row r="148" spans="1:20" s="263" customFormat="1" ht="12" customHeight="1">
      <c r="C148" s="53"/>
      <c r="D148" s="125"/>
      <c r="E148" s="1678" t="s">
        <v>2605</v>
      </c>
      <c r="F148" s="60"/>
      <c r="G148" s="60"/>
      <c r="H148" s="53"/>
      <c r="I148" s="23"/>
      <c r="J148" s="53"/>
      <c r="K148" s="53"/>
      <c r="L148" s="53"/>
      <c r="M148" s="53"/>
      <c r="N148" s="53"/>
      <c r="O148" s="53"/>
      <c r="P148" s="53"/>
      <c r="Q148" s="53"/>
      <c r="R148" s="53"/>
      <c r="S148" s="53"/>
      <c r="T148" s="53"/>
    </row>
    <row r="149" spans="1:20" s="263" customFormat="1" ht="27.6">
      <c r="C149" s="53"/>
      <c r="D149" s="125"/>
      <c r="E149" s="71" t="s">
        <v>2606</v>
      </c>
      <c r="F149" s="60"/>
      <c r="G149" s="60"/>
      <c r="H149" s="53"/>
      <c r="I149" s="23"/>
      <c r="J149" s="53"/>
      <c r="K149" s="53"/>
      <c r="L149" s="53"/>
      <c r="M149" s="53"/>
      <c r="N149" s="53"/>
      <c r="O149" s="53"/>
      <c r="P149" s="53"/>
      <c r="Q149" s="53"/>
      <c r="R149" s="53"/>
      <c r="S149" s="53"/>
      <c r="T149" s="53"/>
    </row>
    <row r="150" spans="1:20" s="263" customFormat="1" ht="12" customHeight="1">
      <c r="C150" s="53"/>
      <c r="D150" s="125"/>
      <c r="E150" s="70"/>
      <c r="F150" s="60"/>
      <c r="G150" s="60"/>
      <c r="H150" s="53"/>
      <c r="I150" s="23"/>
      <c r="J150" s="53"/>
      <c r="K150" s="53"/>
      <c r="L150" s="53"/>
      <c r="M150" s="53"/>
      <c r="N150" s="53"/>
      <c r="O150" s="53"/>
      <c r="P150" s="53"/>
      <c r="Q150" s="53"/>
      <c r="R150" s="53"/>
      <c r="S150" s="53"/>
      <c r="T150" s="53"/>
    </row>
    <row r="151" spans="1:20" s="263" customFormat="1" ht="12" customHeight="1">
      <c r="C151" s="53"/>
      <c r="D151" s="125"/>
      <c r="E151" s="1678" t="s">
        <v>2607</v>
      </c>
      <c r="F151" s="60"/>
      <c r="G151" s="60"/>
      <c r="H151" s="53"/>
      <c r="I151" s="23"/>
      <c r="J151" s="53"/>
      <c r="K151" s="53"/>
      <c r="L151" s="53"/>
      <c r="M151" s="53"/>
      <c r="N151" s="53"/>
      <c r="O151" s="53"/>
      <c r="P151" s="53"/>
      <c r="Q151" s="53"/>
      <c r="R151" s="53"/>
      <c r="S151" s="53"/>
      <c r="T151" s="53"/>
    </row>
    <row r="152" spans="1:20" s="263" customFormat="1" ht="27.6">
      <c r="C152" s="53"/>
      <c r="D152" s="125"/>
      <c r="E152" s="71" t="s">
        <v>2608</v>
      </c>
      <c r="F152" s="60"/>
      <c r="G152" s="60"/>
      <c r="H152" s="53"/>
      <c r="I152" s="23"/>
      <c r="J152" s="53"/>
      <c r="K152" s="53"/>
      <c r="L152" s="53"/>
      <c r="M152" s="53"/>
      <c r="N152" s="53"/>
      <c r="O152" s="53"/>
      <c r="P152" s="53"/>
      <c r="Q152" s="53"/>
      <c r="R152" s="53"/>
      <c r="S152" s="53"/>
      <c r="T152" s="53"/>
    </row>
    <row r="153" spans="1:20" s="263" customFormat="1" ht="12" customHeight="1">
      <c r="C153" s="53"/>
      <c r="D153" s="125"/>
      <c r="E153" s="71"/>
      <c r="F153" s="60"/>
      <c r="G153" s="60"/>
      <c r="H153" s="53"/>
      <c r="I153" s="23"/>
      <c r="J153" s="53"/>
      <c r="K153" s="53"/>
      <c r="L153" s="53"/>
      <c r="M153" s="53"/>
      <c r="N153" s="53"/>
      <c r="O153" s="53"/>
      <c r="P153" s="53"/>
      <c r="Q153" s="53"/>
      <c r="R153" s="53"/>
      <c r="S153" s="53"/>
      <c r="T153" s="53"/>
    </row>
    <row r="154" spans="1:20" s="255" customFormat="1" ht="17.45">
      <c r="C154" s="251">
        <f ca="1">MAX(OFFSET(C154,-1,0,-ROW(C154)+1,1))+1</f>
        <v>4</v>
      </c>
      <c r="D154" s="252" t="s">
        <v>2609</v>
      </c>
      <c r="E154" s="706"/>
      <c r="F154" s="252"/>
      <c r="G154" s="252"/>
      <c r="H154" s="122"/>
      <c r="I154" s="121"/>
      <c r="J154" s="253"/>
      <c r="K154" s="253"/>
      <c r="L154" s="253"/>
      <c r="M154" s="253"/>
      <c r="N154" s="253"/>
      <c r="O154" s="253"/>
      <c r="P154" s="253"/>
      <c r="Q154" s="253"/>
      <c r="R154" s="253"/>
    </row>
    <row r="155" spans="1:20" s="263" customFormat="1" ht="12" customHeight="1">
      <c r="C155" s="53"/>
      <c r="D155" s="125"/>
      <c r="E155" s="70"/>
      <c r="F155" s="60"/>
      <c r="G155" s="60"/>
      <c r="H155" s="53"/>
      <c r="I155" s="23"/>
      <c r="J155" s="53"/>
      <c r="K155" s="53"/>
      <c r="L155" s="53"/>
      <c r="M155" s="53"/>
      <c r="N155" s="53"/>
      <c r="O155" s="53"/>
      <c r="P155" s="53"/>
      <c r="Q155" s="53"/>
      <c r="R155" s="53"/>
      <c r="S155" s="53"/>
      <c r="T155" s="53"/>
    </row>
    <row r="156" spans="1:20" s="91" customFormat="1" ht="12" customHeight="1">
      <c r="A156" s="263"/>
      <c r="B156" s="263"/>
      <c r="C156" s="53"/>
      <c r="D156" s="125"/>
      <c r="E156" s="109" t="s">
        <v>2610</v>
      </c>
      <c r="F156" s="60"/>
      <c r="G156" s="60"/>
      <c r="H156" s="53"/>
      <c r="I156" s="23"/>
      <c r="J156" s="53"/>
      <c r="K156" s="53"/>
      <c r="L156" s="53"/>
      <c r="M156" s="53"/>
      <c r="N156" s="53"/>
      <c r="O156" s="53"/>
      <c r="P156" s="53"/>
      <c r="Q156" s="53"/>
      <c r="R156" s="53"/>
      <c r="S156" s="53"/>
      <c r="T156" s="53"/>
    </row>
    <row r="157" spans="1:20" s="91" customFormat="1" ht="41.45">
      <c r="A157" s="263"/>
      <c r="B157" s="263"/>
      <c r="C157" s="53"/>
      <c r="D157" s="125"/>
      <c r="E157" s="71" t="s">
        <v>2611</v>
      </c>
      <c r="F157" s="60"/>
      <c r="G157" s="60"/>
      <c r="H157" s="53"/>
      <c r="I157" s="23"/>
      <c r="J157" s="53"/>
      <c r="K157" s="53"/>
      <c r="L157" s="53"/>
      <c r="M157" s="53"/>
      <c r="N157" s="53"/>
      <c r="O157" s="53"/>
      <c r="P157" s="53"/>
      <c r="Q157" s="53"/>
      <c r="R157" s="53"/>
      <c r="S157" s="53"/>
      <c r="T157" s="53"/>
    </row>
    <row r="158" spans="1:20" s="91" customFormat="1" ht="271.5" customHeight="1">
      <c r="A158" s="263"/>
      <c r="B158" s="263"/>
      <c r="C158" s="53"/>
      <c r="D158" s="125"/>
      <c r="E158" s="70"/>
      <c r="F158" s="60"/>
      <c r="G158" s="60"/>
      <c r="H158" s="53"/>
      <c r="I158" s="23"/>
      <c r="J158" s="53"/>
      <c r="K158" s="53"/>
      <c r="L158" s="53"/>
      <c r="M158" s="53"/>
      <c r="N158" s="53"/>
      <c r="O158" s="53"/>
      <c r="P158" s="53"/>
      <c r="Q158" s="53"/>
      <c r="R158" s="53"/>
      <c r="S158" s="53"/>
      <c r="T158" s="53"/>
    </row>
    <row r="159" spans="1:20" ht="17.45">
      <c r="A159" s="255" t="s">
        <v>1467</v>
      </c>
      <c r="C159" s="251"/>
      <c r="D159" s="252" t="s">
        <v>1279</v>
      </c>
      <c r="E159" s="120"/>
      <c r="F159" s="121"/>
      <c r="G159" s="122"/>
      <c r="H159" s="253"/>
      <c r="I159" s="253"/>
      <c r="J159" s="253"/>
      <c r="K159" s="253"/>
      <c r="L159" s="253"/>
      <c r="M159" s="253"/>
      <c r="N159" s="253"/>
      <c r="O159" s="253"/>
      <c r="P159" s="253"/>
      <c r="Q159" s="253"/>
      <c r="R159" s="253"/>
      <c r="S159" s="255"/>
      <c r="T159" s="255"/>
    </row>
    <row r="160" spans="1:20">
      <c r="A160" s="255"/>
      <c r="C160" s="255"/>
      <c r="D160" s="255"/>
      <c r="E160" s="255"/>
      <c r="F160" s="126"/>
      <c r="G160" s="255"/>
      <c r="H160" s="255"/>
      <c r="I160" s="255"/>
      <c r="J160" s="255"/>
      <c r="K160" s="255"/>
      <c r="L160" s="255"/>
      <c r="M160" s="255"/>
      <c r="N160" s="255"/>
      <c r="O160" s="255"/>
      <c r="P160" s="255"/>
      <c r="Q160" s="255"/>
      <c r="R160" s="255"/>
      <c r="S160" s="255"/>
      <c r="T160" s="255"/>
    </row>
    <row r="161" spans="6:6">
      <c r="F161" s="126"/>
    </row>
    <row r="162" spans="6:6">
      <c r="F162" s="126"/>
    </row>
    <row r="163" spans="6:6">
      <c r="F163" s="126"/>
    </row>
    <row r="164" spans="6:6">
      <c r="F164" s="126"/>
    </row>
    <row r="165" spans="6:6">
      <c r="F165" s="126"/>
    </row>
    <row r="166" spans="6:6">
      <c r="F166" s="126"/>
    </row>
    <row r="167" spans="6:6">
      <c r="F167" s="126"/>
    </row>
    <row r="168" spans="6:6">
      <c r="F168" s="126"/>
    </row>
    <row r="169" spans="6:6">
      <c r="F169" s="126"/>
    </row>
  </sheetData>
  <mergeCells count="1">
    <mergeCell ref="G1:H2"/>
  </mergeCells>
  <conditionalFormatting sqref="D3:E4">
    <cfRule type="cellIs" dxfId="9" priority="9" operator="equal">
      <formula>ERR</formula>
    </cfRule>
  </conditionalFormatting>
  <pageMargins left="0.6" right="0.4" top="0.5" bottom="0.5" header="0" footer="0.3"/>
  <pageSetup scale="70" fitToWidth="0" fitToHeight="8" orientation="landscape" blackAndWhite="1" cellComments="atEnd" r:id="rId1"/>
  <headerFooter>
    <oddFooter>&amp;CReliance restricted&amp;LSome totals may not add due to rounding. See Statement of Limiting Conditions.&amp;R© 2017 Ernst &amp; Young LLP. All Rights Reserved.</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otes"/>
  <dimension ref="A1:AP334"/>
  <sheetViews>
    <sheetView showGridLines="0" zoomScale="85" zoomScaleNormal="85" workbookViewId="0">
      <pane ySplit="6" topLeftCell="A7" activePane="bottomLeft" state="frozen"/>
      <selection pane="bottomLeft"/>
    </sheetView>
  </sheetViews>
  <sheetFormatPr defaultColWidth="9.33203125" defaultRowHeight="13.9"/>
  <cols>
    <col min="1" max="2" width="4.83203125" customWidth="1"/>
    <col min="3" max="3" width="24.6640625" customWidth="1"/>
    <col min="4" max="4" width="39" customWidth="1"/>
    <col min="5" max="5" width="67.33203125" style="35" customWidth="1"/>
    <col min="6" max="6" width="17.83203125" style="35" customWidth="1"/>
    <col min="7" max="7" width="15.1640625" style="14" customWidth="1"/>
    <col min="8" max="8" width="36.1640625" style="18" customWidth="1"/>
    <col min="9" max="20" width="12.33203125" customWidth="1"/>
    <col min="21" max="26" width="9.33203125" customWidth="1"/>
    <col min="27" max="27" width="25.33203125" customWidth="1"/>
    <col min="28" max="28" width="4.83203125" customWidth="1"/>
    <col min="29" max="29" width="24.6640625" customWidth="1"/>
    <col min="30" max="30" width="30.1640625" customWidth="1"/>
    <col min="31" max="31" width="32.5" customWidth="1"/>
    <col min="32" max="32" width="67.33203125" customWidth="1"/>
    <col min="33" max="34" width="15.1640625" customWidth="1"/>
    <col min="35" max="35" width="12.33203125" customWidth="1"/>
    <col min="36" max="42" width="9.33203125" customWidth="1"/>
    <col min="43" max="43" width="129.6640625" customWidth="1"/>
    <col min="44" max="94" width="10.6640625" customWidth="1"/>
  </cols>
  <sheetData>
    <row r="1" spans="1:42" ht="21">
      <c r="A1" s="2073"/>
      <c r="B1" s="28" t="s">
        <v>2612</v>
      </c>
      <c r="C1" s="16"/>
      <c r="D1" s="333"/>
      <c r="E1" s="39"/>
      <c r="F1" s="13"/>
      <c r="G1" s="13"/>
      <c r="H1" s="37"/>
      <c r="I1" s="333"/>
      <c r="J1" s="333"/>
      <c r="K1" s="333"/>
      <c r="L1" s="333"/>
      <c r="M1" s="333"/>
      <c r="N1" s="333"/>
      <c r="O1" s="333"/>
      <c r="P1" s="333"/>
      <c r="Q1" s="333"/>
      <c r="R1" s="333"/>
      <c r="S1" s="333"/>
      <c r="T1" s="333"/>
      <c r="U1" s="2060"/>
      <c r="V1" s="2060"/>
      <c r="W1" s="2060"/>
      <c r="X1" s="2060"/>
      <c r="Y1" s="2060"/>
      <c r="Z1" s="90" t="s">
        <v>2613</v>
      </c>
      <c r="AA1" s="43" t="s">
        <v>2614</v>
      </c>
      <c r="AB1" s="2060"/>
      <c r="AC1" s="2060"/>
      <c r="AD1" s="2060"/>
      <c r="AE1" s="2060"/>
      <c r="AF1" s="2060"/>
      <c r="AG1" s="2060"/>
      <c r="AH1" s="2060"/>
      <c r="AI1" s="2060"/>
      <c r="AJ1" s="2060"/>
      <c r="AK1" s="2060"/>
      <c r="AL1" s="2060"/>
      <c r="AM1" s="2060"/>
      <c r="AN1" s="2060"/>
      <c r="AO1" s="2060"/>
      <c r="AP1" s="2060"/>
    </row>
    <row r="2" spans="1:42" ht="15.6">
      <c r="A2" s="2060"/>
      <c r="B2" s="838" t="str">
        <f>NameVersion</f>
        <v>VISTA Version 3.1  August 25 2017  32/64-bit</v>
      </c>
      <c r="C2" s="27"/>
      <c r="D2" s="2060"/>
      <c r="E2" s="1500"/>
      <c r="F2" s="1500"/>
      <c r="G2" s="34"/>
      <c r="H2" s="38"/>
      <c r="I2" s="333"/>
      <c r="J2" s="333"/>
      <c r="K2" s="333"/>
      <c r="L2" s="333"/>
      <c r="M2" s="333"/>
      <c r="N2" s="333"/>
      <c r="O2" s="2060"/>
      <c r="P2" s="2060"/>
      <c r="Q2" s="2060"/>
      <c r="R2" s="2060"/>
      <c r="S2" s="2060"/>
      <c r="T2" s="2060"/>
      <c r="U2" s="2060"/>
      <c r="V2" s="2060"/>
      <c r="W2" s="2060"/>
      <c r="X2" s="2060"/>
      <c r="Y2" s="2060"/>
      <c r="Z2" s="2060"/>
      <c r="AA2" s="2060"/>
      <c r="AB2" s="2060"/>
      <c r="AC2" s="2060"/>
      <c r="AD2" s="2060"/>
      <c r="AE2" s="2060"/>
      <c r="AF2" s="2060"/>
      <c r="AG2" s="2060"/>
      <c r="AH2" s="2060"/>
      <c r="AI2" s="2060"/>
      <c r="AJ2" s="2060"/>
      <c r="AK2" s="2060"/>
      <c r="AL2" s="2060"/>
      <c r="AM2" s="2060"/>
      <c r="AN2" s="2060"/>
      <c r="AO2" s="2060"/>
      <c r="AP2" s="2060"/>
    </row>
    <row r="3" spans="1:42" s="11" customFormat="1">
      <c r="A3" s="255"/>
      <c r="B3" s="2060"/>
      <c r="C3" s="45"/>
      <c r="D3" s="45"/>
      <c r="E3" s="40"/>
      <c r="F3" s="40"/>
      <c r="G3" s="126"/>
      <c r="H3" s="21"/>
      <c r="I3" s="333"/>
      <c r="J3" s="333"/>
      <c r="K3" s="333"/>
      <c r="L3" s="333"/>
      <c r="M3" s="333"/>
      <c r="N3" s="333"/>
      <c r="O3" s="2060"/>
      <c r="P3" s="2060"/>
      <c r="Q3" s="2060"/>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row>
    <row r="4" spans="1:42" s="11" customFormat="1">
      <c r="A4" s="255"/>
      <c r="B4" s="2060"/>
      <c r="C4" s="45"/>
      <c r="D4" s="45"/>
      <c r="E4" s="40"/>
      <c r="F4" s="40"/>
      <c r="G4" s="126"/>
      <c r="H4" s="21"/>
      <c r="I4" s="333"/>
      <c r="J4" s="333"/>
      <c r="K4" s="333"/>
      <c r="L4" s="333"/>
      <c r="M4" s="333"/>
      <c r="N4" s="333"/>
      <c r="O4" s="2060"/>
      <c r="P4" s="2060"/>
      <c r="Q4" s="2060"/>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row>
    <row r="5" spans="1:42" ht="14.45" thickBot="1">
      <c r="A5" s="2060"/>
      <c r="B5" s="33">
        <f>COUNTA(C:C)</f>
        <v>1</v>
      </c>
      <c r="C5" s="29" t="s">
        <v>178</v>
      </c>
      <c r="D5" s="29" t="s">
        <v>2615</v>
      </c>
      <c r="E5" s="41" t="s">
        <v>2612</v>
      </c>
      <c r="F5" s="41" t="s">
        <v>1578</v>
      </c>
      <c r="G5" s="19" t="s">
        <v>2616</v>
      </c>
      <c r="H5" s="19" t="s">
        <v>2617</v>
      </c>
      <c r="I5" s="333"/>
      <c r="J5" s="333"/>
      <c r="K5" s="333"/>
      <c r="L5" s="333"/>
      <c r="M5" s="333"/>
      <c r="N5" s="333"/>
      <c r="O5" s="2060"/>
      <c r="P5" s="2060"/>
      <c r="Q5" s="2060"/>
      <c r="R5" s="2060"/>
      <c r="S5" s="2060"/>
      <c r="T5" s="2060"/>
      <c r="U5" s="2060"/>
      <c r="V5" s="2060"/>
      <c r="W5" s="2060"/>
      <c r="X5" s="2060"/>
      <c r="Y5" s="2060"/>
      <c r="Z5" s="2060"/>
      <c r="AA5" s="2060"/>
      <c r="AB5" s="2060"/>
      <c r="AC5" s="2060"/>
      <c r="AD5" s="2060"/>
      <c r="AE5" s="2060"/>
      <c r="AF5" s="2060"/>
      <c r="AG5" s="2060"/>
      <c r="AH5" s="2060"/>
      <c r="AI5" s="2060"/>
      <c r="AJ5" s="2060"/>
      <c r="AK5" s="2060"/>
      <c r="AL5" s="2060"/>
      <c r="AM5" s="2060"/>
      <c r="AN5" s="2060"/>
      <c r="AO5" s="2060"/>
      <c r="AP5" s="2060"/>
    </row>
    <row r="6" spans="1:42" ht="14.45" thickTop="1">
      <c r="A6" s="2060"/>
      <c r="B6" s="2060"/>
      <c r="C6" s="30"/>
      <c r="D6" s="89"/>
      <c r="E6" s="1500"/>
      <c r="F6" s="1500"/>
      <c r="G6" s="452"/>
      <c r="H6" s="972"/>
      <c r="I6" s="333"/>
      <c r="J6" s="333"/>
      <c r="K6" s="333"/>
      <c r="L6" s="333"/>
      <c r="M6" s="333"/>
      <c r="N6" s="333"/>
      <c r="O6" s="2060"/>
      <c r="P6" s="2060"/>
      <c r="Q6" s="2060"/>
      <c r="R6" s="2060"/>
      <c r="S6" s="2060"/>
      <c r="T6" s="2060"/>
      <c r="U6" s="2060"/>
      <c r="V6" s="2060"/>
      <c r="W6" s="2060"/>
      <c r="X6" s="2060"/>
      <c r="Y6" s="2060"/>
      <c r="Z6" s="2060"/>
      <c r="AA6" s="2060"/>
      <c r="AB6" s="2060"/>
      <c r="AC6" s="2060"/>
      <c r="AD6" s="2060"/>
      <c r="AE6" s="2060"/>
      <c r="AF6" s="2060"/>
      <c r="AG6" s="2060"/>
      <c r="AH6" s="2060"/>
      <c r="AI6" s="2060"/>
      <c r="AJ6" s="2060"/>
      <c r="AK6" s="2060"/>
      <c r="AL6" s="2060"/>
      <c r="AM6" s="2060"/>
      <c r="AN6" s="2060"/>
      <c r="AO6" s="2060"/>
      <c r="AP6" s="2060"/>
    </row>
    <row r="7" spans="1:42" ht="17.45">
      <c r="A7" s="2060"/>
      <c r="B7" s="252" t="s">
        <v>2618</v>
      </c>
      <c r="C7" s="31"/>
      <c r="D7" s="32"/>
      <c r="E7" s="42"/>
      <c r="F7" s="42"/>
      <c r="G7" s="26"/>
      <c r="H7" s="9"/>
      <c r="I7" s="333"/>
      <c r="J7" s="333"/>
      <c r="K7" s="333"/>
      <c r="L7" s="333"/>
      <c r="M7" s="333"/>
      <c r="N7" s="333"/>
      <c r="O7" s="2060"/>
      <c r="P7" s="2060"/>
      <c r="Q7" s="2060"/>
      <c r="R7" s="2060"/>
      <c r="S7" s="2060"/>
      <c r="T7" s="2060"/>
      <c r="U7" s="2060"/>
      <c r="V7" s="2060"/>
      <c r="W7" s="2060"/>
      <c r="X7" s="2060"/>
      <c r="Y7" s="2060"/>
      <c r="Z7" s="2060"/>
      <c r="AA7" s="2060"/>
      <c r="AB7" s="2060"/>
      <c r="AC7" s="2060"/>
      <c r="AD7" s="2060"/>
      <c r="AE7" s="2060"/>
      <c r="AF7" s="2060"/>
      <c r="AG7" s="2060"/>
      <c r="AH7" s="2060"/>
      <c r="AI7" s="2060"/>
      <c r="AJ7" s="2060"/>
      <c r="AK7" s="2060"/>
      <c r="AL7" s="2060"/>
      <c r="AM7" s="2060"/>
      <c r="AN7" s="2060"/>
      <c r="AO7" s="2060"/>
      <c r="AP7" s="2060"/>
    </row>
    <row r="8" spans="1:42">
      <c r="A8" s="2060"/>
      <c r="B8" s="2060"/>
      <c r="C8" s="2060"/>
      <c r="D8" s="2060"/>
      <c r="E8" s="1500"/>
      <c r="F8" s="1500"/>
      <c r="G8" s="2060"/>
      <c r="H8" s="2060"/>
      <c r="I8" s="333"/>
      <c r="J8" s="333"/>
      <c r="K8" s="333"/>
      <c r="L8" s="333"/>
      <c r="M8" s="333"/>
      <c r="N8" s="333"/>
      <c r="O8" s="2060"/>
      <c r="P8" s="2060"/>
      <c r="Q8" s="2060"/>
      <c r="R8" s="2060"/>
      <c r="S8" s="2060"/>
      <c r="T8" s="2060"/>
      <c r="U8" s="2060"/>
      <c r="V8" s="2060"/>
      <c r="W8" s="2060"/>
      <c r="X8" s="2060"/>
      <c r="Y8" s="2060"/>
      <c r="Z8" s="2060"/>
      <c r="AA8" s="2060"/>
      <c r="AB8" s="2060"/>
      <c r="AC8" s="2060"/>
      <c r="AD8" s="2060"/>
      <c r="AE8" s="2060"/>
      <c r="AF8" s="2060"/>
      <c r="AG8" s="2060"/>
      <c r="AH8" s="2060"/>
      <c r="AI8" s="2060"/>
      <c r="AJ8" s="2060"/>
      <c r="AK8" s="2060"/>
      <c r="AL8" s="2060"/>
      <c r="AM8" s="2060"/>
      <c r="AN8" s="2060"/>
      <c r="AO8" s="2060"/>
      <c r="AP8" s="2060"/>
    </row>
    <row r="9" spans="1:42">
      <c r="A9" s="2060"/>
      <c r="B9" s="511"/>
      <c r="C9" s="96"/>
      <c r="D9" s="2068"/>
      <c r="E9" s="97"/>
      <c r="F9" s="97"/>
      <c r="G9" s="2068"/>
      <c r="H9" s="118"/>
      <c r="I9" s="333"/>
      <c r="J9" s="333"/>
      <c r="K9" s="333"/>
      <c r="L9" s="333"/>
      <c r="M9" s="333"/>
      <c r="N9" s="333"/>
      <c r="O9" s="2060"/>
      <c r="P9" s="2060"/>
      <c r="Q9" s="2060"/>
      <c r="R9" s="2060"/>
      <c r="S9" s="2060"/>
      <c r="T9" s="2060"/>
      <c r="U9" s="2060"/>
      <c r="V9" s="2060"/>
      <c r="W9" s="2060"/>
      <c r="X9" s="2060"/>
      <c r="Y9" s="2060"/>
      <c r="Z9" s="2060"/>
      <c r="AA9" s="2060"/>
      <c r="AB9" s="2060"/>
      <c r="AC9" s="2060"/>
      <c r="AD9" s="2060"/>
      <c r="AE9" s="2060"/>
      <c r="AF9" s="2060"/>
      <c r="AG9" s="2060"/>
      <c r="AH9" s="2060"/>
      <c r="AI9" s="2060"/>
      <c r="AJ9" s="2060"/>
      <c r="AK9" s="2060"/>
      <c r="AL9" s="2060"/>
      <c r="AM9" s="2060"/>
      <c r="AN9" s="2060"/>
      <c r="AO9" s="2060"/>
      <c r="AP9" s="2060"/>
    </row>
    <row r="10" spans="1:42">
      <c r="A10" s="2060"/>
      <c r="B10" s="511"/>
      <c r="C10" s="96"/>
      <c r="D10" s="2068"/>
      <c r="E10" s="97"/>
      <c r="F10" s="97"/>
      <c r="G10" s="2068"/>
      <c r="H10" s="118"/>
      <c r="I10" s="333"/>
      <c r="J10" s="333"/>
      <c r="K10" s="333"/>
      <c r="L10" s="333"/>
      <c r="M10" s="333"/>
      <c r="N10" s="333"/>
      <c r="O10" s="2060"/>
      <c r="P10" s="2060"/>
      <c r="Q10" s="2060"/>
      <c r="R10" s="2060"/>
      <c r="S10" s="2060"/>
      <c r="T10" s="2060"/>
      <c r="U10" s="2060"/>
      <c r="V10" s="2060"/>
      <c r="W10" s="2060"/>
      <c r="X10" s="2060"/>
      <c r="Y10" s="2060"/>
      <c r="Z10" s="2060"/>
      <c r="AA10" s="2060"/>
      <c r="AB10" s="2060"/>
      <c r="AC10" s="2060"/>
      <c r="AD10" s="2060"/>
      <c r="AE10" s="2060"/>
      <c r="AF10" s="2060"/>
      <c r="AG10" s="2060"/>
      <c r="AH10" s="2060"/>
      <c r="AI10" s="2060"/>
      <c r="AJ10" s="2060"/>
      <c r="AK10" s="2060"/>
      <c r="AL10" s="2060"/>
      <c r="AM10" s="2060"/>
      <c r="AN10" s="2060"/>
      <c r="AO10" s="2060"/>
      <c r="AP10" s="2060"/>
    </row>
    <row r="11" spans="1:42">
      <c r="A11" s="2060"/>
      <c r="B11" s="511"/>
      <c r="C11" s="96"/>
      <c r="D11" s="2068"/>
      <c r="E11" s="97"/>
      <c r="F11" s="97"/>
      <c r="G11" s="2068"/>
      <c r="H11" s="118"/>
      <c r="I11" s="333"/>
      <c r="J11" s="333"/>
      <c r="K11" s="333"/>
      <c r="L11" s="333"/>
      <c r="M11" s="333"/>
      <c r="N11" s="333"/>
      <c r="O11" s="2060"/>
      <c r="P11" s="2060"/>
      <c r="Q11" s="2060"/>
      <c r="R11" s="2060"/>
      <c r="S11" s="2060"/>
      <c r="T11" s="2060"/>
      <c r="U11" s="2060"/>
      <c r="V11" s="2060"/>
      <c r="W11" s="2060"/>
      <c r="X11" s="2060"/>
      <c r="Y11" s="2060"/>
      <c r="Z11" s="2060"/>
      <c r="AA11" s="2060"/>
      <c r="AB11" s="2060"/>
      <c r="AC11" s="2060"/>
      <c r="AD11" s="2060"/>
      <c r="AE11" s="2060"/>
      <c r="AF11" s="2060"/>
      <c r="AG11" s="2060"/>
      <c r="AH11" s="2060"/>
      <c r="AI11" s="2060"/>
      <c r="AJ11" s="2060"/>
      <c r="AK11" s="2060"/>
      <c r="AL11" s="2060"/>
      <c r="AM11" s="2060"/>
      <c r="AN11" s="2060"/>
      <c r="AO11" s="2060"/>
      <c r="AP11" s="2060"/>
    </row>
    <row r="12" spans="1:42">
      <c r="A12" s="2060"/>
      <c r="B12" s="511"/>
      <c r="C12" s="96"/>
      <c r="D12" s="2068"/>
      <c r="E12" s="97"/>
      <c r="F12" s="97"/>
      <c r="G12" s="2068"/>
      <c r="H12" s="118"/>
      <c r="I12" s="333"/>
      <c r="J12" s="333"/>
      <c r="K12" s="333"/>
      <c r="L12" s="333"/>
      <c r="M12" s="333"/>
      <c r="N12" s="333"/>
      <c r="O12" s="2060"/>
      <c r="P12" s="2060"/>
      <c r="Q12" s="2060"/>
      <c r="R12" s="2060"/>
      <c r="S12" s="2060"/>
      <c r="T12" s="2060"/>
      <c r="U12" s="2060"/>
      <c r="V12" s="2060"/>
      <c r="W12" s="2060"/>
      <c r="X12" s="2060"/>
      <c r="Y12" s="2060"/>
      <c r="Z12" s="2060"/>
      <c r="AA12" s="2060"/>
      <c r="AB12" s="2060"/>
      <c r="AC12" s="2060"/>
      <c r="AD12" s="2060"/>
      <c r="AE12" s="2060"/>
      <c r="AF12" s="2060"/>
      <c r="AG12" s="2060"/>
      <c r="AH12" s="2060"/>
      <c r="AI12" s="2060"/>
      <c r="AJ12" s="2060"/>
      <c r="AK12" s="2060"/>
      <c r="AL12" s="2060"/>
      <c r="AM12" s="2060"/>
      <c r="AN12" s="2060"/>
      <c r="AO12" s="2060"/>
      <c r="AP12" s="2060"/>
    </row>
    <row r="13" spans="1:42">
      <c r="A13" s="2060"/>
      <c r="B13" s="511"/>
      <c r="C13" s="96"/>
      <c r="D13" s="2068"/>
      <c r="E13" s="97"/>
      <c r="F13" s="97"/>
      <c r="G13" s="2068"/>
      <c r="H13" s="118"/>
      <c r="I13" s="2060"/>
      <c r="J13" s="2060"/>
      <c r="K13" s="2060"/>
      <c r="L13" s="2060"/>
      <c r="M13" s="2060"/>
      <c r="N13" s="2060"/>
      <c r="O13" s="2060"/>
      <c r="P13" s="2060"/>
      <c r="Q13" s="2060"/>
      <c r="R13" s="2060"/>
      <c r="S13" s="2060"/>
      <c r="T13" s="2060"/>
      <c r="U13" s="2060"/>
      <c r="V13" s="2060"/>
      <c r="W13" s="2060"/>
      <c r="X13" s="2060"/>
      <c r="Y13" s="2060"/>
      <c r="Z13" s="2060"/>
      <c r="AA13" s="2060"/>
      <c r="AB13" s="2060"/>
      <c r="AC13" s="2060"/>
      <c r="AD13" s="2060"/>
      <c r="AE13" s="2060"/>
      <c r="AF13" s="2060"/>
      <c r="AG13" s="2060"/>
      <c r="AH13" s="2060"/>
      <c r="AI13" s="2060"/>
      <c r="AJ13" s="2060"/>
      <c r="AK13" s="2060"/>
      <c r="AL13" s="2060"/>
      <c r="AM13" s="2060"/>
      <c r="AN13" s="2060"/>
      <c r="AO13" s="2060"/>
      <c r="AP13" s="2060"/>
    </row>
    <row r="14" spans="1:42">
      <c r="A14" s="2060"/>
      <c r="B14" s="511"/>
      <c r="C14" s="96"/>
      <c r="D14" s="2068"/>
      <c r="E14" s="97"/>
      <c r="F14" s="97"/>
      <c r="G14" s="2068"/>
      <c r="H14" s="118"/>
      <c r="I14" s="2060"/>
      <c r="J14" s="2060"/>
      <c r="K14" s="2060"/>
      <c r="L14" s="2060"/>
      <c r="M14" s="2060"/>
      <c r="N14" s="2060"/>
      <c r="O14" s="2060"/>
      <c r="P14" s="2060"/>
      <c r="Q14" s="2060"/>
      <c r="R14" s="2060"/>
      <c r="S14" s="2060"/>
      <c r="T14" s="2060"/>
      <c r="U14" s="2060"/>
      <c r="V14" s="2060"/>
      <c r="W14" s="2060"/>
      <c r="X14" s="2060"/>
      <c r="Y14" s="2060"/>
      <c r="Z14" s="2060"/>
      <c r="AA14" s="2060"/>
      <c r="AB14" s="2060">
        <v>12</v>
      </c>
      <c r="AC14" s="113"/>
      <c r="AD14" s="2060"/>
      <c r="AE14" s="2060"/>
      <c r="AF14" s="1500"/>
      <c r="AG14" s="2060"/>
      <c r="AH14" s="107"/>
      <c r="AI14" s="2060"/>
      <c r="AJ14" s="2060"/>
      <c r="AK14" s="2060"/>
      <c r="AL14" s="2060"/>
      <c r="AM14" s="2060"/>
      <c r="AN14" s="2060"/>
      <c r="AO14" s="2060"/>
      <c r="AP14" s="2060"/>
    </row>
    <row r="15" spans="1:42" ht="12.75" customHeight="1">
      <c r="A15" s="2060"/>
      <c r="B15" s="511"/>
      <c r="C15" s="96"/>
      <c r="D15" s="2068"/>
      <c r="E15" s="97"/>
      <c r="F15" s="97"/>
      <c r="G15" s="2068"/>
      <c r="H15" s="118"/>
      <c r="I15" s="2060"/>
      <c r="J15" s="2060"/>
      <c r="K15" s="2060"/>
      <c r="L15" s="2060"/>
      <c r="M15" s="2060"/>
      <c r="N15" s="2060"/>
      <c r="O15" s="2060"/>
      <c r="P15" s="2060"/>
      <c r="Q15" s="2060"/>
      <c r="R15" s="2060"/>
      <c r="S15" s="2060"/>
      <c r="T15" s="2060"/>
      <c r="U15" s="2060"/>
      <c r="V15" s="2060"/>
      <c r="W15" s="2060"/>
      <c r="X15" s="2060"/>
      <c r="Y15" s="2060"/>
      <c r="Z15" s="2060"/>
      <c r="AA15" s="2060"/>
      <c r="AB15" s="2060">
        <v>13</v>
      </c>
      <c r="AC15" s="116" t="s">
        <v>2619</v>
      </c>
      <c r="AD15" s="114"/>
      <c r="AE15" s="115" t="s">
        <v>2620</v>
      </c>
      <c r="AF15" s="115" t="s">
        <v>2621</v>
      </c>
      <c r="AG15" s="115" t="s">
        <v>2622</v>
      </c>
      <c r="AH15" s="117">
        <v>41182</v>
      </c>
      <c r="AI15" s="2060"/>
      <c r="AJ15" s="2060"/>
      <c r="AK15" s="2060"/>
      <c r="AL15" s="2060"/>
      <c r="AM15" s="2060"/>
      <c r="AN15" s="2060"/>
      <c r="AO15" s="2060"/>
      <c r="AP15" s="2060" t="s">
        <v>2623</v>
      </c>
    </row>
    <row r="16" spans="1:42">
      <c r="A16" s="2068"/>
      <c r="B16" s="511"/>
      <c r="C16" s="96"/>
      <c r="D16" s="2068"/>
      <c r="E16" s="97"/>
      <c r="F16" s="97"/>
      <c r="G16" s="2068"/>
      <c r="H16" s="118"/>
      <c r="I16" s="2060"/>
      <c r="J16" s="2060"/>
      <c r="K16" s="2060"/>
      <c r="L16" s="2060"/>
      <c r="M16" s="2060"/>
      <c r="N16" s="2060"/>
      <c r="O16" s="2060"/>
      <c r="P16" s="2060"/>
      <c r="Q16" s="2060"/>
      <c r="R16" s="2060"/>
      <c r="S16" s="2060"/>
      <c r="T16" s="2060"/>
      <c r="U16" s="2060"/>
      <c r="V16" s="2060"/>
      <c r="W16" s="2060"/>
      <c r="X16" s="2060"/>
      <c r="Y16" s="2060"/>
      <c r="Z16" s="2060"/>
      <c r="AA16" s="2060"/>
      <c r="AB16" s="2060"/>
      <c r="AC16" s="2060"/>
      <c r="AD16" s="2060"/>
      <c r="AE16" s="2060"/>
      <c r="AF16" s="2060"/>
      <c r="AG16" s="2060"/>
      <c r="AH16" s="2060"/>
      <c r="AI16" s="2060"/>
      <c r="AJ16" s="2060"/>
      <c r="AK16" s="2060"/>
      <c r="AL16" s="2060"/>
      <c r="AM16" s="2060"/>
      <c r="AN16" s="2060"/>
      <c r="AO16" s="2060"/>
      <c r="AP16" s="2060"/>
    </row>
    <row r="17" spans="1:8">
      <c r="A17" s="2068"/>
      <c r="B17" s="511"/>
      <c r="C17" s="96"/>
      <c r="D17" s="2068"/>
      <c r="E17" s="97"/>
      <c r="F17" s="97"/>
      <c r="G17" s="2068"/>
      <c r="H17" s="118"/>
    </row>
    <row r="18" spans="1:8">
      <c r="A18" s="2068"/>
      <c r="B18" s="511"/>
      <c r="C18" s="96"/>
      <c r="D18" s="2068"/>
      <c r="E18" s="97"/>
      <c r="F18" s="97"/>
      <c r="G18" s="2068"/>
      <c r="H18" s="118"/>
    </row>
    <row r="19" spans="1:8">
      <c r="A19" s="2068"/>
      <c r="B19" s="511"/>
      <c r="C19" s="96"/>
      <c r="D19" s="2068"/>
      <c r="E19" s="97"/>
      <c r="F19" s="97"/>
      <c r="G19" s="2068"/>
      <c r="H19" s="118"/>
    </row>
    <row r="20" spans="1:8">
      <c r="A20" s="2068"/>
      <c r="B20" s="511"/>
      <c r="C20" s="96"/>
      <c r="D20" s="2068"/>
      <c r="E20" s="97"/>
      <c r="F20" s="97"/>
      <c r="G20" s="2068"/>
      <c r="H20" s="118"/>
    </row>
    <row r="21" spans="1:8">
      <c r="A21" s="2068"/>
      <c r="B21" s="511"/>
      <c r="C21" s="96"/>
      <c r="D21" s="2068"/>
      <c r="E21" s="97"/>
      <c r="F21" s="97"/>
      <c r="G21" s="2068"/>
      <c r="H21" s="118"/>
    </row>
    <row r="22" spans="1:8">
      <c r="A22" s="2068"/>
      <c r="B22" s="511"/>
      <c r="C22" s="96"/>
      <c r="D22" s="2068"/>
      <c r="E22" s="97"/>
      <c r="F22" s="97"/>
      <c r="G22" s="2068"/>
      <c r="H22" s="118"/>
    </row>
    <row r="23" spans="1:8">
      <c r="A23" s="2068"/>
      <c r="B23" s="511"/>
      <c r="C23" s="96"/>
      <c r="D23" s="2068"/>
      <c r="E23" s="97"/>
      <c r="F23" s="97"/>
      <c r="G23" s="2068"/>
      <c r="H23" s="118"/>
    </row>
    <row r="24" spans="1:8">
      <c r="A24" s="2068"/>
      <c r="B24" s="511"/>
      <c r="C24" s="96"/>
      <c r="D24" s="2068"/>
      <c r="E24" s="97"/>
      <c r="F24" s="97"/>
      <c r="G24" s="2068"/>
      <c r="H24" s="118"/>
    </row>
    <row r="25" spans="1:8">
      <c r="A25" s="2068"/>
      <c r="B25" s="511"/>
      <c r="C25" s="96"/>
      <c r="D25" s="2068"/>
      <c r="E25" s="97"/>
      <c r="F25" s="97"/>
      <c r="G25" s="2068"/>
      <c r="H25" s="118"/>
    </row>
    <row r="26" spans="1:8">
      <c r="A26" s="2068"/>
      <c r="B26" s="511"/>
      <c r="C26" s="96"/>
      <c r="D26" s="2068"/>
      <c r="E26" s="97"/>
      <c r="F26" s="97"/>
      <c r="G26" s="2068"/>
      <c r="H26" s="118"/>
    </row>
    <row r="27" spans="1:8">
      <c r="A27" s="2068"/>
      <c r="B27" s="511"/>
      <c r="C27" s="96"/>
      <c r="D27" s="2068"/>
      <c r="E27" s="97"/>
      <c r="F27" s="97"/>
      <c r="G27" s="2068"/>
      <c r="H27" s="118"/>
    </row>
    <row r="28" spans="1:8">
      <c r="A28" s="2068"/>
      <c r="B28" s="511"/>
      <c r="C28" s="96"/>
      <c r="D28" s="2068"/>
      <c r="E28" s="97"/>
      <c r="F28" s="97"/>
      <c r="G28" s="2068"/>
      <c r="H28" s="118"/>
    </row>
    <row r="29" spans="1:8">
      <c r="A29" s="2068"/>
      <c r="B29" s="511"/>
      <c r="C29" s="96"/>
      <c r="D29" s="2068"/>
      <c r="E29" s="97"/>
      <c r="F29" s="97"/>
      <c r="G29" s="2068"/>
      <c r="H29" s="118"/>
    </row>
    <row r="30" spans="1:8">
      <c r="A30" s="2068"/>
      <c r="B30" s="511"/>
      <c r="C30" s="96"/>
      <c r="D30" s="2068"/>
      <c r="E30" s="97"/>
      <c r="F30" s="97"/>
      <c r="G30" s="2068"/>
      <c r="H30" s="118"/>
    </row>
    <row r="31" spans="1:8">
      <c r="A31" s="2068"/>
      <c r="B31" s="511"/>
      <c r="C31" s="96"/>
      <c r="D31" s="2068"/>
      <c r="E31" s="97"/>
      <c r="F31" s="97"/>
      <c r="G31" s="2068"/>
      <c r="H31" s="118"/>
    </row>
    <row r="32" spans="1:8">
      <c r="A32" s="2068"/>
      <c r="B32" s="511"/>
      <c r="C32" s="96"/>
      <c r="D32" s="2068"/>
      <c r="E32" s="97"/>
      <c r="F32" s="97"/>
      <c r="G32" s="2068"/>
      <c r="H32" s="118"/>
    </row>
    <row r="33" spans="1:8">
      <c r="A33" s="2068"/>
      <c r="B33" s="511"/>
      <c r="C33" s="96"/>
      <c r="D33" s="2068"/>
      <c r="E33" s="97"/>
      <c r="F33" s="97"/>
      <c r="G33" s="2068"/>
      <c r="H33" s="118"/>
    </row>
    <row r="34" spans="1:8">
      <c r="A34" s="2068"/>
      <c r="B34" s="511"/>
      <c r="C34" s="96"/>
      <c r="D34" s="2068"/>
      <c r="E34" s="97"/>
      <c r="F34" s="97"/>
      <c r="G34" s="2068"/>
      <c r="H34" s="118"/>
    </row>
    <row r="35" spans="1:8">
      <c r="A35" s="2068"/>
      <c r="B35" s="511"/>
      <c r="C35" s="96"/>
      <c r="D35" s="2068"/>
      <c r="E35" s="97"/>
      <c r="F35" s="97"/>
      <c r="G35" s="2068"/>
      <c r="H35" s="118"/>
    </row>
    <row r="36" spans="1:8">
      <c r="A36" s="2068"/>
      <c r="B36" s="511"/>
      <c r="C36" s="96"/>
      <c r="D36" s="2068"/>
      <c r="E36" s="97"/>
      <c r="F36" s="97"/>
      <c r="G36" s="2068"/>
      <c r="H36" s="118"/>
    </row>
    <row r="37" spans="1:8">
      <c r="A37" s="2068"/>
      <c r="B37" s="511"/>
      <c r="C37" s="96"/>
      <c r="D37" s="2068"/>
      <c r="E37" s="97"/>
      <c r="F37" s="97"/>
      <c r="G37" s="2068"/>
      <c r="H37" s="118"/>
    </row>
    <row r="38" spans="1:8">
      <c r="A38" s="2068"/>
      <c r="B38" s="511"/>
      <c r="C38" s="96"/>
      <c r="D38" s="2068"/>
      <c r="E38" s="97"/>
      <c r="F38" s="97"/>
      <c r="G38" s="2068"/>
      <c r="H38" s="118"/>
    </row>
    <row r="39" spans="1:8">
      <c r="A39" s="2068"/>
      <c r="B39" s="511"/>
      <c r="C39" s="96"/>
      <c r="D39" s="2068"/>
      <c r="E39" s="97"/>
      <c r="F39" s="97"/>
      <c r="G39" s="2068"/>
      <c r="H39" s="118"/>
    </row>
    <row r="40" spans="1:8">
      <c r="A40" s="2068"/>
      <c r="B40" s="511"/>
      <c r="C40" s="96"/>
      <c r="D40" s="2068"/>
      <c r="E40" s="97"/>
      <c r="F40" s="97"/>
      <c r="G40" s="2068"/>
      <c r="H40" s="118"/>
    </row>
    <row r="41" spans="1:8">
      <c r="A41" s="2068"/>
      <c r="B41" s="511"/>
      <c r="C41" s="96"/>
      <c r="D41" s="2068"/>
      <c r="E41" s="97"/>
      <c r="F41" s="97"/>
      <c r="G41" s="2068"/>
      <c r="H41" s="118"/>
    </row>
    <row r="42" spans="1:8">
      <c r="A42" s="2068"/>
      <c r="B42" s="511"/>
      <c r="C42" s="96"/>
      <c r="D42" s="2068"/>
      <c r="E42" s="97"/>
      <c r="F42" s="97"/>
      <c r="G42" s="2068"/>
      <c r="H42" s="118"/>
    </row>
    <row r="43" spans="1:8">
      <c r="A43" s="2068"/>
      <c r="B43" s="511"/>
      <c r="C43" s="96"/>
      <c r="D43" s="2068"/>
      <c r="E43" s="97"/>
      <c r="F43" s="97"/>
      <c r="G43" s="2068"/>
      <c r="H43" s="118"/>
    </row>
    <row r="44" spans="1:8">
      <c r="A44" s="2068"/>
      <c r="B44" s="511"/>
      <c r="C44" s="96"/>
      <c r="D44" s="2068"/>
      <c r="E44" s="97"/>
      <c r="F44" s="97"/>
      <c r="G44" s="2068"/>
      <c r="H44" s="118"/>
    </row>
    <row r="45" spans="1:8">
      <c r="A45" s="2068"/>
      <c r="B45" s="511"/>
      <c r="C45" s="96"/>
      <c r="D45" s="2068"/>
      <c r="E45" s="97"/>
      <c r="F45" s="97"/>
      <c r="G45" s="2068"/>
      <c r="H45" s="118"/>
    </row>
    <row r="46" spans="1:8">
      <c r="A46" s="2068"/>
      <c r="B46" s="511"/>
      <c r="C46" s="96"/>
      <c r="D46" s="2068"/>
      <c r="E46" s="97"/>
      <c r="F46" s="97"/>
      <c r="G46" s="2068"/>
      <c r="H46" s="118"/>
    </row>
    <row r="47" spans="1:8">
      <c r="A47" s="2068"/>
      <c r="B47" s="511"/>
      <c r="C47" s="96"/>
      <c r="D47" s="2068"/>
      <c r="E47" s="97"/>
      <c r="F47" s="97"/>
      <c r="G47" s="2068"/>
      <c r="H47" s="118"/>
    </row>
    <row r="48" spans="1:8">
      <c r="A48" s="2068"/>
      <c r="B48" s="511"/>
      <c r="C48" s="96"/>
      <c r="D48" s="2068"/>
      <c r="E48" s="97"/>
      <c r="F48" s="97"/>
      <c r="G48" s="2068"/>
      <c r="H48" s="118"/>
    </row>
    <row r="49" spans="1:8">
      <c r="A49" s="2068"/>
      <c r="B49" s="511"/>
      <c r="C49" s="96"/>
      <c r="D49" s="2068"/>
      <c r="E49" s="97"/>
      <c r="F49" s="97"/>
      <c r="G49" s="2068"/>
      <c r="H49" s="118"/>
    </row>
    <row r="50" spans="1:8">
      <c r="A50" s="2068"/>
      <c r="B50" s="511"/>
      <c r="C50" s="96"/>
      <c r="D50" s="2068"/>
      <c r="E50" s="97"/>
      <c r="F50" s="97"/>
      <c r="G50" s="2068"/>
      <c r="H50" s="118"/>
    </row>
    <row r="51" spans="1:8">
      <c r="A51" s="2068"/>
      <c r="B51" s="511"/>
      <c r="C51" s="96"/>
      <c r="D51" s="2068"/>
      <c r="E51" s="97"/>
      <c r="F51" s="97"/>
      <c r="G51" s="2068"/>
      <c r="H51" s="118"/>
    </row>
    <row r="52" spans="1:8">
      <c r="A52" s="2068"/>
      <c r="B52" s="511"/>
      <c r="C52" s="96"/>
      <c r="D52" s="2068"/>
      <c r="E52" s="97"/>
      <c r="F52" s="97"/>
      <c r="G52" s="2068"/>
      <c r="H52" s="118"/>
    </row>
    <row r="53" spans="1:8">
      <c r="A53" s="2068"/>
      <c r="B53" s="511"/>
      <c r="C53" s="96"/>
      <c r="D53" s="2068"/>
      <c r="E53" s="97"/>
      <c r="F53" s="97"/>
      <c r="G53" s="2068"/>
      <c r="H53" s="118"/>
    </row>
    <row r="54" spans="1:8">
      <c r="A54" s="2068"/>
      <c r="B54" s="511"/>
      <c r="C54" s="96"/>
      <c r="D54" s="2068"/>
      <c r="E54" s="97"/>
      <c r="F54" s="97"/>
      <c r="G54" s="2068"/>
      <c r="H54" s="118"/>
    </row>
    <row r="55" spans="1:8">
      <c r="A55" s="2068"/>
      <c r="B55" s="511"/>
      <c r="C55" s="96"/>
      <c r="D55" s="2068"/>
      <c r="E55" s="97"/>
      <c r="F55" s="97"/>
      <c r="G55" s="2068"/>
      <c r="H55" s="118"/>
    </row>
    <row r="56" spans="1:8">
      <c r="A56" s="2068"/>
      <c r="B56" s="511"/>
      <c r="C56" s="96"/>
      <c r="D56" s="2068"/>
      <c r="E56" s="97"/>
      <c r="F56" s="97"/>
      <c r="G56" s="2068"/>
      <c r="H56" s="118"/>
    </row>
    <row r="57" spans="1:8">
      <c r="A57" s="2068"/>
      <c r="B57" s="511"/>
      <c r="C57" s="96"/>
      <c r="D57" s="2068"/>
      <c r="E57" s="97"/>
      <c r="F57" s="97"/>
      <c r="G57" s="2068"/>
      <c r="H57" s="118"/>
    </row>
    <row r="58" spans="1:8">
      <c r="A58" s="2068"/>
      <c r="B58" s="511"/>
      <c r="C58" s="96"/>
      <c r="D58" s="2068"/>
      <c r="E58" s="97"/>
      <c r="F58" s="97"/>
      <c r="G58" s="2068"/>
      <c r="H58" s="118"/>
    </row>
    <row r="59" spans="1:8">
      <c r="A59" s="2068"/>
      <c r="B59" s="511"/>
      <c r="C59" s="96"/>
      <c r="D59" s="2068"/>
      <c r="E59" s="97"/>
      <c r="F59" s="97"/>
      <c r="G59" s="2068"/>
      <c r="H59" s="118"/>
    </row>
    <row r="60" spans="1:8">
      <c r="A60" s="2068"/>
      <c r="B60" s="511"/>
      <c r="C60" s="96"/>
      <c r="D60" s="2068"/>
      <c r="E60" s="97"/>
      <c r="F60" s="97"/>
      <c r="G60" s="2068"/>
      <c r="H60" s="118"/>
    </row>
    <row r="61" spans="1:8">
      <c r="A61" s="2068"/>
      <c r="B61" s="511"/>
      <c r="C61" s="96"/>
      <c r="D61" s="2068"/>
      <c r="E61" s="97"/>
      <c r="F61" s="97"/>
      <c r="G61" s="2068"/>
      <c r="H61" s="118"/>
    </row>
    <row r="62" spans="1:8">
      <c r="A62" s="2068"/>
      <c r="B62" s="511"/>
      <c r="C62" s="96"/>
      <c r="D62" s="2068"/>
      <c r="E62" s="97"/>
      <c r="F62" s="97"/>
      <c r="G62" s="2068"/>
      <c r="H62" s="118"/>
    </row>
    <row r="63" spans="1:8">
      <c r="A63" s="2068"/>
      <c r="B63" s="511"/>
      <c r="C63" s="96"/>
      <c r="D63" s="2068"/>
      <c r="E63" s="97"/>
      <c r="F63" s="97"/>
      <c r="G63" s="2068"/>
      <c r="H63" s="118"/>
    </row>
    <row r="64" spans="1:8">
      <c r="A64" s="2068"/>
      <c r="B64" s="511"/>
      <c r="C64" s="96"/>
      <c r="D64" s="2068"/>
      <c r="E64" s="97"/>
      <c r="F64" s="97"/>
      <c r="G64" s="2068"/>
      <c r="H64" s="118"/>
    </row>
    <row r="65" spans="1:8">
      <c r="A65" s="2068"/>
      <c r="B65" s="511"/>
      <c r="C65" s="96"/>
      <c r="D65" s="2068"/>
      <c r="E65" s="97"/>
      <c r="F65" s="97"/>
      <c r="G65" s="2068"/>
      <c r="H65" s="118"/>
    </row>
    <row r="66" spans="1:8">
      <c r="A66" s="2068"/>
      <c r="B66" s="511"/>
      <c r="C66" s="96"/>
      <c r="D66" s="2068"/>
      <c r="E66" s="97"/>
      <c r="F66" s="97"/>
      <c r="G66" s="2068"/>
      <c r="H66" s="118"/>
    </row>
    <row r="67" spans="1:8">
      <c r="A67" s="2068"/>
      <c r="B67" s="511"/>
      <c r="C67" s="96"/>
      <c r="D67" s="2068"/>
      <c r="E67" s="97"/>
      <c r="F67" s="97"/>
      <c r="G67" s="2068"/>
      <c r="H67" s="118"/>
    </row>
    <row r="68" spans="1:8">
      <c r="A68" s="2068"/>
      <c r="B68" s="511"/>
      <c r="C68" s="96"/>
      <c r="D68" s="2068"/>
      <c r="E68" s="97"/>
      <c r="F68" s="97"/>
      <c r="G68" s="2068"/>
      <c r="H68" s="118"/>
    </row>
    <row r="69" spans="1:8">
      <c r="A69" s="2068"/>
      <c r="B69" s="511"/>
      <c r="C69" s="96"/>
      <c r="D69" s="2068"/>
      <c r="E69" s="97"/>
      <c r="F69" s="97"/>
      <c r="G69" s="2068"/>
      <c r="H69" s="118"/>
    </row>
    <row r="70" spans="1:8">
      <c r="A70" s="2068"/>
      <c r="B70" s="511"/>
      <c r="C70" s="96"/>
      <c r="D70" s="2068"/>
      <c r="E70" s="97"/>
      <c r="F70" s="97"/>
      <c r="G70" s="2068"/>
      <c r="H70" s="118"/>
    </row>
    <row r="71" spans="1:8">
      <c r="A71" s="2068"/>
      <c r="B71" s="511"/>
      <c r="C71" s="96"/>
      <c r="D71" s="2068"/>
      <c r="E71" s="97"/>
      <c r="F71" s="97"/>
      <c r="G71" s="2068"/>
      <c r="H71" s="118"/>
    </row>
    <row r="72" spans="1:8">
      <c r="A72" s="2068"/>
      <c r="B72" s="511"/>
      <c r="C72" s="96"/>
      <c r="D72" s="2068"/>
      <c r="E72" s="97"/>
      <c r="F72" s="97"/>
      <c r="G72" s="2068"/>
      <c r="H72" s="118"/>
    </row>
    <row r="73" spans="1:8">
      <c r="A73" s="2068"/>
      <c r="B73" s="511"/>
      <c r="C73" s="96"/>
      <c r="D73" s="2068"/>
      <c r="E73" s="97"/>
      <c r="F73" s="97"/>
      <c r="G73" s="2068"/>
      <c r="H73" s="118"/>
    </row>
    <row r="74" spans="1:8">
      <c r="A74" s="2068"/>
      <c r="B74" s="511"/>
      <c r="C74" s="96"/>
      <c r="D74" s="2068"/>
      <c r="E74" s="97"/>
      <c r="F74" s="97"/>
      <c r="G74" s="2068"/>
      <c r="H74" s="118"/>
    </row>
    <row r="75" spans="1:8">
      <c r="A75" s="2068"/>
      <c r="B75" s="511"/>
      <c r="C75" s="96"/>
      <c r="D75" s="2068"/>
      <c r="E75" s="97"/>
      <c r="F75" s="97"/>
      <c r="G75" s="2068"/>
      <c r="H75" s="118"/>
    </row>
    <row r="76" spans="1:8">
      <c r="A76" s="2068"/>
      <c r="B76" s="511"/>
      <c r="C76" s="96"/>
      <c r="D76" s="2068"/>
      <c r="E76" s="97"/>
      <c r="F76" s="97"/>
      <c r="G76" s="2068"/>
      <c r="H76" s="118"/>
    </row>
    <row r="77" spans="1:8">
      <c r="A77" s="2068"/>
      <c r="B77" s="511"/>
      <c r="C77" s="96"/>
      <c r="D77" s="2068"/>
      <c r="E77" s="97"/>
      <c r="F77" s="97"/>
      <c r="G77" s="2068"/>
      <c r="H77" s="118"/>
    </row>
    <row r="78" spans="1:8">
      <c r="A78" s="2068"/>
      <c r="B78" s="511"/>
      <c r="C78" s="96"/>
      <c r="D78" s="2068"/>
      <c r="E78" s="97"/>
      <c r="F78" s="97"/>
      <c r="G78" s="2068"/>
      <c r="H78" s="118"/>
    </row>
    <row r="79" spans="1:8">
      <c r="A79" s="2068"/>
      <c r="B79" s="511"/>
      <c r="C79" s="96"/>
      <c r="D79" s="2068"/>
      <c r="E79" s="97"/>
      <c r="F79" s="97"/>
      <c r="G79" s="2068"/>
      <c r="H79" s="118"/>
    </row>
    <row r="80" spans="1:8">
      <c r="A80" s="2068"/>
      <c r="B80" s="511"/>
      <c r="C80" s="96"/>
      <c r="D80" s="2068"/>
      <c r="E80" s="97"/>
      <c r="F80" s="97"/>
      <c r="G80" s="2068"/>
      <c r="H80" s="118"/>
    </row>
    <row r="81" spans="1:8">
      <c r="A81" s="2068"/>
      <c r="B81" s="511"/>
      <c r="C81" s="96"/>
      <c r="D81" s="2068"/>
      <c r="E81" s="97"/>
      <c r="F81" s="97"/>
      <c r="G81" s="2068"/>
      <c r="H81" s="118"/>
    </row>
    <row r="82" spans="1:8">
      <c r="A82" s="2068"/>
      <c r="B82" s="511"/>
      <c r="C82" s="96"/>
      <c r="D82" s="2068"/>
      <c r="E82" s="97"/>
      <c r="F82" s="97"/>
      <c r="G82" s="2068"/>
      <c r="H82" s="118"/>
    </row>
    <row r="83" spans="1:8">
      <c r="A83" s="2068"/>
      <c r="B83" s="511"/>
      <c r="C83" s="96"/>
      <c r="D83" s="2068"/>
      <c r="E83" s="97"/>
      <c r="F83" s="97"/>
      <c r="G83" s="2068"/>
      <c r="H83" s="118"/>
    </row>
    <row r="84" spans="1:8">
      <c r="A84" s="2068"/>
      <c r="B84" s="511"/>
      <c r="C84" s="96"/>
      <c r="D84" s="2068"/>
      <c r="E84" s="97"/>
      <c r="F84" s="97"/>
      <c r="G84" s="2068"/>
      <c r="H84" s="118"/>
    </row>
    <row r="85" spans="1:8">
      <c r="A85" s="2068"/>
      <c r="B85" s="511"/>
      <c r="C85" s="96"/>
      <c r="D85" s="2068"/>
      <c r="E85" s="97"/>
      <c r="F85" s="97"/>
      <c r="G85" s="2068"/>
      <c r="H85" s="118"/>
    </row>
    <row r="86" spans="1:8">
      <c r="A86" s="2068"/>
      <c r="B86" s="511"/>
      <c r="C86" s="96"/>
      <c r="D86" s="2068"/>
      <c r="E86" s="97"/>
      <c r="F86" s="97"/>
      <c r="G86" s="2068"/>
      <c r="H86" s="118"/>
    </row>
    <row r="87" spans="1:8">
      <c r="A87" s="2068"/>
      <c r="B87" s="511"/>
      <c r="C87" s="96"/>
      <c r="D87" s="2068"/>
      <c r="E87" s="97"/>
      <c r="F87" s="97"/>
      <c r="G87" s="2068"/>
      <c r="H87" s="118"/>
    </row>
    <row r="88" spans="1:8">
      <c r="A88" s="2068"/>
      <c r="B88" s="511"/>
      <c r="C88" s="96"/>
      <c r="D88" s="2068"/>
      <c r="E88" s="97"/>
      <c r="F88" s="97"/>
      <c r="G88" s="2068"/>
      <c r="H88" s="118"/>
    </row>
    <row r="89" spans="1:8">
      <c r="A89" s="2068"/>
      <c r="B89" s="511"/>
      <c r="C89" s="96"/>
      <c r="D89" s="2068"/>
      <c r="E89" s="97"/>
      <c r="F89" s="97"/>
      <c r="G89" s="2068"/>
      <c r="H89" s="118"/>
    </row>
    <row r="90" spans="1:8">
      <c r="A90" s="2068"/>
      <c r="B90" s="511"/>
      <c r="C90" s="96"/>
      <c r="D90" s="2068"/>
      <c r="E90" s="97"/>
      <c r="F90" s="97"/>
      <c r="G90" s="2068"/>
      <c r="H90" s="118"/>
    </row>
    <row r="91" spans="1:8">
      <c r="A91" s="2068"/>
      <c r="B91" s="511"/>
      <c r="C91" s="96"/>
      <c r="D91" s="2068"/>
      <c r="E91" s="97"/>
      <c r="F91" s="97"/>
      <c r="G91" s="2068"/>
      <c r="H91" s="118"/>
    </row>
    <row r="92" spans="1:8">
      <c r="A92" s="2068"/>
      <c r="B92" s="511"/>
      <c r="C92" s="96"/>
      <c r="D92" s="2068"/>
      <c r="E92" s="97"/>
      <c r="F92" s="97"/>
      <c r="G92" s="2068"/>
      <c r="H92" s="118"/>
    </row>
    <row r="93" spans="1:8">
      <c r="A93" s="2068"/>
      <c r="B93" s="511"/>
      <c r="C93" s="96"/>
      <c r="D93" s="2068"/>
      <c r="E93" s="97"/>
      <c r="F93" s="97"/>
      <c r="G93" s="2068"/>
      <c r="H93" s="118"/>
    </row>
    <row r="94" spans="1:8">
      <c r="A94" s="2068"/>
      <c r="B94" s="511"/>
      <c r="C94" s="96"/>
      <c r="D94" s="2068"/>
      <c r="E94" s="97"/>
      <c r="F94" s="97"/>
      <c r="G94" s="2068"/>
      <c r="H94" s="118"/>
    </row>
    <row r="95" spans="1:8">
      <c r="A95" s="2068"/>
      <c r="B95" s="511"/>
      <c r="C95" s="96"/>
      <c r="D95" s="2068"/>
      <c r="E95" s="97"/>
      <c r="F95" s="97"/>
      <c r="G95" s="2068"/>
      <c r="H95" s="118"/>
    </row>
    <row r="96" spans="1:8">
      <c r="A96" s="2068"/>
      <c r="B96" s="511"/>
      <c r="C96" s="96"/>
      <c r="D96" s="2068"/>
      <c r="E96" s="97"/>
      <c r="F96" s="97"/>
      <c r="G96" s="2068"/>
      <c r="H96" s="118"/>
    </row>
    <row r="97" spans="1:8">
      <c r="A97" s="2068"/>
      <c r="B97" s="511"/>
      <c r="C97" s="96"/>
      <c r="D97" s="2068"/>
      <c r="E97" s="97"/>
      <c r="F97" s="97"/>
      <c r="G97" s="2068"/>
      <c r="H97" s="118"/>
    </row>
    <row r="98" spans="1:8">
      <c r="A98" s="2068"/>
      <c r="B98" s="511"/>
      <c r="C98" s="96"/>
      <c r="D98" s="2068"/>
      <c r="E98" s="97"/>
      <c r="F98" s="97"/>
      <c r="G98" s="2068"/>
      <c r="H98" s="118"/>
    </row>
    <row r="99" spans="1:8">
      <c r="A99" s="2068"/>
      <c r="B99" s="511"/>
      <c r="C99" s="96"/>
      <c r="D99" s="2068"/>
      <c r="E99" s="97"/>
      <c r="F99" s="97"/>
      <c r="G99" s="2068"/>
      <c r="H99" s="118"/>
    </row>
    <row r="100" spans="1:8">
      <c r="A100" s="2068"/>
      <c r="B100" s="511"/>
      <c r="C100" s="96"/>
      <c r="D100" s="2068"/>
      <c r="E100" s="97"/>
      <c r="F100" s="97"/>
      <c r="G100" s="2068"/>
      <c r="H100" s="118"/>
    </row>
    <row r="101" spans="1:8">
      <c r="A101" s="2068"/>
      <c r="B101" s="511"/>
      <c r="C101" s="96"/>
      <c r="D101" s="2068"/>
      <c r="E101" s="97"/>
      <c r="F101" s="97"/>
      <c r="G101" s="2068"/>
      <c r="H101" s="118"/>
    </row>
    <row r="102" spans="1:8">
      <c r="A102" s="2068"/>
      <c r="B102" s="511"/>
      <c r="C102" s="96"/>
      <c r="D102" s="2068"/>
      <c r="E102" s="97"/>
      <c r="F102" s="97"/>
      <c r="G102" s="2068"/>
      <c r="H102" s="118"/>
    </row>
    <row r="103" spans="1:8">
      <c r="A103" s="2068"/>
      <c r="B103" s="511"/>
      <c r="C103" s="96"/>
      <c r="D103" s="2068"/>
      <c r="E103" s="97"/>
      <c r="F103" s="97"/>
      <c r="G103" s="2068"/>
      <c r="H103" s="118"/>
    </row>
    <row r="104" spans="1:8">
      <c r="A104" s="2068"/>
      <c r="B104" s="511"/>
      <c r="C104" s="96"/>
      <c r="D104" s="2068"/>
      <c r="E104" s="97"/>
      <c r="F104" s="97"/>
      <c r="G104" s="2068"/>
      <c r="H104" s="118"/>
    </row>
    <row r="105" spans="1:8">
      <c r="A105" s="2068"/>
      <c r="B105" s="511"/>
      <c r="C105" s="96"/>
      <c r="D105" s="2068"/>
      <c r="E105" s="97"/>
      <c r="F105" s="97"/>
      <c r="G105" s="2068"/>
      <c r="H105" s="118"/>
    </row>
    <row r="106" spans="1:8">
      <c r="A106" s="2068"/>
      <c r="B106" s="511"/>
      <c r="C106" s="96"/>
      <c r="D106" s="2068"/>
      <c r="E106" s="97"/>
      <c r="F106" s="97"/>
      <c r="G106" s="2068"/>
      <c r="H106" s="118"/>
    </row>
    <row r="107" spans="1:8">
      <c r="A107" s="2068"/>
      <c r="B107" s="511"/>
      <c r="C107" s="96"/>
      <c r="D107" s="2068"/>
      <c r="E107" s="97"/>
      <c r="F107" s="97"/>
      <c r="G107" s="2068"/>
      <c r="H107" s="118"/>
    </row>
    <row r="108" spans="1:8">
      <c r="A108" s="2068"/>
      <c r="B108" s="511"/>
      <c r="C108" s="96"/>
      <c r="D108" s="2068"/>
      <c r="E108" s="97"/>
      <c r="F108" s="97"/>
      <c r="G108" s="2068"/>
      <c r="H108" s="118"/>
    </row>
    <row r="109" spans="1:8">
      <c r="A109" s="2068"/>
      <c r="B109" s="511"/>
      <c r="C109" s="96"/>
      <c r="D109" s="2068"/>
      <c r="E109" s="97"/>
      <c r="F109" s="97"/>
      <c r="G109" s="2068"/>
      <c r="H109" s="118"/>
    </row>
    <row r="110" spans="1:8">
      <c r="A110" s="2068"/>
      <c r="B110" s="511"/>
      <c r="C110" s="96"/>
      <c r="D110" s="2068"/>
      <c r="E110" s="97"/>
      <c r="F110" s="97"/>
      <c r="G110" s="2068"/>
      <c r="H110" s="118"/>
    </row>
    <row r="111" spans="1:8">
      <c r="A111" s="2068"/>
      <c r="B111" s="511"/>
      <c r="C111" s="96"/>
      <c r="D111" s="2068"/>
      <c r="E111" s="97"/>
      <c r="F111" s="97"/>
      <c r="G111" s="2068"/>
      <c r="H111" s="118"/>
    </row>
    <row r="112" spans="1:8">
      <c r="A112" s="2068"/>
      <c r="B112" s="511"/>
      <c r="C112" s="96"/>
      <c r="D112" s="2068"/>
      <c r="E112" s="97"/>
      <c r="F112" s="97"/>
      <c r="G112" s="2068"/>
      <c r="H112" s="118"/>
    </row>
    <row r="113" spans="1:8">
      <c r="A113" s="2068"/>
      <c r="B113" s="511"/>
      <c r="C113" s="96"/>
      <c r="D113" s="2068"/>
      <c r="E113" s="97"/>
      <c r="F113" s="97"/>
      <c r="G113" s="2068"/>
      <c r="H113" s="118"/>
    </row>
    <row r="114" spans="1:8">
      <c r="A114" s="2068"/>
      <c r="B114" s="511"/>
      <c r="C114" s="96"/>
      <c r="D114" s="2068"/>
      <c r="E114" s="97"/>
      <c r="F114" s="97"/>
      <c r="G114" s="2068"/>
      <c r="H114" s="118"/>
    </row>
    <row r="115" spans="1:8">
      <c r="A115" s="2068"/>
      <c r="B115" s="511"/>
      <c r="C115" s="96"/>
      <c r="D115" s="2068"/>
      <c r="E115" s="97"/>
      <c r="F115" s="97"/>
      <c r="G115" s="2068"/>
      <c r="H115" s="118"/>
    </row>
    <row r="116" spans="1:8">
      <c r="A116" s="2068"/>
      <c r="B116" s="511"/>
      <c r="C116" s="96"/>
      <c r="D116" s="2068"/>
      <c r="E116" s="97"/>
      <c r="F116" s="97"/>
      <c r="G116" s="2068"/>
      <c r="H116" s="118"/>
    </row>
    <row r="117" spans="1:8">
      <c r="A117" s="2068"/>
      <c r="B117" s="511"/>
      <c r="C117" s="96"/>
      <c r="D117" s="2068"/>
      <c r="E117" s="97"/>
      <c r="F117" s="97"/>
      <c r="G117" s="2068"/>
      <c r="H117" s="118"/>
    </row>
    <row r="118" spans="1:8">
      <c r="A118" s="2068"/>
      <c r="B118" s="511"/>
      <c r="C118" s="96"/>
      <c r="D118" s="2068"/>
      <c r="E118" s="97"/>
      <c r="F118" s="97"/>
      <c r="G118" s="2068"/>
      <c r="H118" s="118"/>
    </row>
    <row r="119" spans="1:8">
      <c r="A119" s="2068"/>
      <c r="B119" s="511"/>
      <c r="C119" s="96"/>
      <c r="D119" s="2068"/>
      <c r="E119" s="97"/>
      <c r="F119" s="97"/>
      <c r="G119" s="2068"/>
      <c r="H119" s="118"/>
    </row>
    <row r="120" spans="1:8">
      <c r="A120" s="2068"/>
      <c r="B120" s="511"/>
      <c r="C120" s="96"/>
      <c r="D120" s="2068"/>
      <c r="E120" s="97"/>
      <c r="F120" s="97"/>
      <c r="G120" s="2068"/>
      <c r="H120" s="118"/>
    </row>
    <row r="121" spans="1:8">
      <c r="A121" s="2068"/>
      <c r="B121" s="511"/>
      <c r="C121" s="96"/>
      <c r="D121" s="2068"/>
      <c r="E121" s="97"/>
      <c r="F121" s="97"/>
      <c r="G121" s="2068"/>
      <c r="H121" s="118"/>
    </row>
    <row r="122" spans="1:8">
      <c r="A122" s="2068"/>
      <c r="B122" s="511"/>
      <c r="C122" s="96"/>
      <c r="D122" s="2068"/>
      <c r="E122" s="97"/>
      <c r="F122" s="97"/>
      <c r="G122" s="2068"/>
      <c r="H122" s="118"/>
    </row>
    <row r="123" spans="1:8">
      <c r="A123" s="2068"/>
      <c r="B123" s="511"/>
      <c r="C123" s="96"/>
      <c r="D123" s="2068"/>
      <c r="E123" s="97"/>
      <c r="F123" s="97"/>
      <c r="G123" s="2068"/>
      <c r="H123" s="118"/>
    </row>
    <row r="124" spans="1:8">
      <c r="A124" s="2068"/>
      <c r="B124" s="511"/>
      <c r="C124" s="96"/>
      <c r="D124" s="2068"/>
      <c r="E124" s="97"/>
      <c r="F124" s="97"/>
      <c r="G124" s="2068"/>
      <c r="H124" s="118"/>
    </row>
    <row r="125" spans="1:8">
      <c r="A125" s="2068"/>
      <c r="B125" s="511"/>
      <c r="C125" s="96"/>
      <c r="D125" s="2068"/>
      <c r="E125" s="97"/>
      <c r="F125" s="97"/>
      <c r="G125" s="2068"/>
      <c r="H125" s="118"/>
    </row>
    <row r="126" spans="1:8">
      <c r="A126" s="2068"/>
      <c r="B126" s="511"/>
      <c r="C126" s="96"/>
      <c r="D126" s="2068"/>
      <c r="E126" s="97"/>
      <c r="F126" s="97"/>
      <c r="G126" s="2068"/>
      <c r="H126" s="118"/>
    </row>
    <row r="127" spans="1:8">
      <c r="A127" s="2068"/>
      <c r="B127" s="511"/>
      <c r="C127" s="96"/>
      <c r="D127" s="2068"/>
      <c r="E127" s="97"/>
      <c r="F127" s="97"/>
      <c r="G127" s="2068"/>
      <c r="H127" s="118"/>
    </row>
    <row r="128" spans="1:8">
      <c r="A128" s="2068"/>
      <c r="B128" s="511"/>
      <c r="C128" s="96"/>
      <c r="D128" s="2068"/>
      <c r="E128" s="97"/>
      <c r="F128" s="97"/>
      <c r="G128" s="2068"/>
      <c r="H128" s="118"/>
    </row>
    <row r="129" spans="1:8">
      <c r="A129" s="2068"/>
      <c r="B129" s="511"/>
      <c r="C129" s="96"/>
      <c r="D129" s="2068"/>
      <c r="E129" s="97"/>
      <c r="F129" s="97"/>
      <c r="G129" s="2068"/>
      <c r="H129" s="118"/>
    </row>
    <row r="130" spans="1:8">
      <c r="A130" s="2068"/>
      <c r="B130" s="511"/>
      <c r="C130" s="96"/>
      <c r="D130" s="2068"/>
      <c r="E130" s="97"/>
      <c r="F130" s="97"/>
      <c r="G130" s="2068"/>
      <c r="H130" s="118"/>
    </row>
    <row r="131" spans="1:8">
      <c r="A131" s="2068"/>
      <c r="B131" s="511"/>
      <c r="C131" s="96"/>
      <c r="D131" s="2068"/>
      <c r="E131" s="97"/>
      <c r="F131" s="97"/>
      <c r="G131" s="2068"/>
      <c r="H131" s="118"/>
    </row>
    <row r="132" spans="1:8">
      <c r="A132" s="2068"/>
      <c r="B132" s="511"/>
      <c r="C132" s="96"/>
      <c r="D132" s="2068"/>
      <c r="E132" s="97"/>
      <c r="F132" s="97"/>
      <c r="G132" s="2068"/>
      <c r="H132" s="118"/>
    </row>
    <row r="133" spans="1:8">
      <c r="A133" s="2068"/>
      <c r="B133" s="511"/>
      <c r="C133" s="96"/>
      <c r="D133" s="2068"/>
      <c r="E133" s="97"/>
      <c r="F133" s="97"/>
      <c r="G133" s="2068"/>
      <c r="H133" s="118"/>
    </row>
    <row r="134" spans="1:8">
      <c r="A134" s="2068"/>
      <c r="B134" s="511"/>
      <c r="C134" s="96"/>
      <c r="D134" s="2068"/>
      <c r="E134" s="97"/>
      <c r="F134" s="97"/>
      <c r="G134" s="2068"/>
      <c r="H134" s="118"/>
    </row>
    <row r="135" spans="1:8">
      <c r="A135" s="2068"/>
      <c r="B135" s="511"/>
      <c r="C135" s="96"/>
      <c r="D135" s="2068"/>
      <c r="E135" s="97"/>
      <c r="F135" s="97"/>
      <c r="G135" s="2068"/>
      <c r="H135" s="118"/>
    </row>
    <row r="136" spans="1:8">
      <c r="A136" s="2068"/>
      <c r="B136" s="511"/>
      <c r="C136" s="96"/>
      <c r="D136" s="2068"/>
      <c r="E136" s="97"/>
      <c r="F136" s="97"/>
      <c r="G136" s="2068"/>
      <c r="H136" s="118"/>
    </row>
    <row r="137" spans="1:8">
      <c r="A137" s="2068"/>
      <c r="B137" s="511"/>
      <c r="C137" s="96"/>
      <c r="D137" s="2068"/>
      <c r="E137" s="97"/>
      <c r="F137" s="97"/>
      <c r="G137" s="2068"/>
      <c r="H137" s="118"/>
    </row>
    <row r="138" spans="1:8">
      <c r="A138" s="2068"/>
      <c r="B138" s="511"/>
      <c r="C138" s="96"/>
      <c r="D138" s="2068"/>
      <c r="E138" s="97"/>
      <c r="F138" s="97"/>
      <c r="G138" s="2068"/>
      <c r="H138" s="118"/>
    </row>
    <row r="139" spans="1:8">
      <c r="A139" s="2068"/>
      <c r="B139" s="511"/>
      <c r="C139" s="96"/>
      <c r="D139" s="2068"/>
      <c r="E139" s="97"/>
      <c r="F139" s="97"/>
      <c r="G139" s="2068"/>
      <c r="H139" s="118"/>
    </row>
    <row r="140" spans="1:8">
      <c r="A140" s="2068"/>
      <c r="B140" s="511"/>
      <c r="C140" s="96"/>
      <c r="D140" s="2068"/>
      <c r="E140" s="97"/>
      <c r="F140" s="97"/>
      <c r="G140" s="2068"/>
      <c r="H140" s="118"/>
    </row>
    <row r="141" spans="1:8">
      <c r="A141" s="2068"/>
      <c r="B141" s="511"/>
      <c r="C141" s="96"/>
      <c r="D141" s="2068"/>
      <c r="E141" s="97"/>
      <c r="F141" s="97"/>
      <c r="G141" s="2068"/>
      <c r="H141" s="118"/>
    </row>
    <row r="142" spans="1:8">
      <c r="A142" s="2068"/>
      <c r="B142" s="511"/>
      <c r="C142" s="96"/>
      <c r="D142" s="2068"/>
      <c r="E142" s="97"/>
      <c r="F142" s="97"/>
      <c r="G142" s="2068"/>
      <c r="H142" s="118"/>
    </row>
    <row r="143" spans="1:8">
      <c r="A143" s="2068"/>
      <c r="B143" s="511"/>
      <c r="C143" s="96"/>
      <c r="D143" s="2068"/>
      <c r="E143" s="97"/>
      <c r="F143" s="97"/>
      <c r="G143" s="2068"/>
      <c r="H143" s="118"/>
    </row>
    <row r="144" spans="1:8">
      <c r="A144" s="2068"/>
      <c r="B144" s="511"/>
      <c r="C144" s="96"/>
      <c r="D144" s="2068"/>
      <c r="E144" s="97"/>
      <c r="F144" s="97"/>
      <c r="G144" s="2068"/>
      <c r="H144" s="118"/>
    </row>
    <row r="145" spans="1:8">
      <c r="A145" s="2068"/>
      <c r="B145" s="511"/>
      <c r="C145" s="96"/>
      <c r="D145" s="2068"/>
      <c r="E145" s="97"/>
      <c r="F145" s="97"/>
      <c r="G145" s="2068"/>
      <c r="H145" s="118"/>
    </row>
    <row r="146" spans="1:8">
      <c r="A146" s="2068"/>
      <c r="B146" s="511"/>
      <c r="C146" s="96"/>
      <c r="D146" s="2068"/>
      <c r="E146" s="97"/>
      <c r="F146" s="97"/>
      <c r="G146" s="2068"/>
      <c r="H146" s="118"/>
    </row>
    <row r="147" spans="1:8">
      <c r="A147" s="2068"/>
      <c r="B147" s="511"/>
      <c r="C147" s="96"/>
      <c r="D147" s="2068"/>
      <c r="E147" s="97"/>
      <c r="F147" s="97"/>
      <c r="G147" s="2068"/>
      <c r="H147" s="118"/>
    </row>
    <row r="148" spans="1:8">
      <c r="A148" s="2068"/>
      <c r="B148" s="511"/>
      <c r="C148" s="96"/>
      <c r="D148" s="2068"/>
      <c r="E148" s="97"/>
      <c r="F148" s="97"/>
      <c r="G148" s="2068"/>
      <c r="H148" s="118"/>
    </row>
    <row r="149" spans="1:8">
      <c r="A149" s="2068"/>
      <c r="B149" s="511"/>
      <c r="C149" s="96"/>
      <c r="D149" s="2068"/>
      <c r="E149" s="97"/>
      <c r="F149" s="97"/>
      <c r="G149" s="2068"/>
      <c r="H149" s="118"/>
    </row>
    <row r="150" spans="1:8">
      <c r="A150" s="2068"/>
      <c r="B150" s="511"/>
      <c r="C150" s="96"/>
      <c r="D150" s="2068"/>
      <c r="E150" s="97"/>
      <c r="F150" s="97"/>
      <c r="G150" s="2068"/>
      <c r="H150" s="118"/>
    </row>
    <row r="151" spans="1:8">
      <c r="A151" s="2068"/>
      <c r="B151" s="511"/>
      <c r="C151" s="96"/>
      <c r="D151" s="2068"/>
      <c r="E151" s="97"/>
      <c r="F151" s="97"/>
      <c r="G151" s="2068"/>
      <c r="H151" s="118"/>
    </row>
    <row r="152" spans="1:8">
      <c r="A152" s="2068"/>
      <c r="B152" s="511"/>
      <c r="C152" s="96"/>
      <c r="D152" s="2068"/>
      <c r="E152" s="97"/>
      <c r="F152" s="97"/>
      <c r="G152" s="2068"/>
      <c r="H152" s="118"/>
    </row>
    <row r="153" spans="1:8">
      <c r="A153" s="2068"/>
      <c r="B153" s="511"/>
      <c r="C153" s="96"/>
      <c r="D153" s="2068"/>
      <c r="E153" s="97"/>
      <c r="F153" s="97"/>
      <c r="G153" s="2068"/>
      <c r="H153" s="118"/>
    </row>
    <row r="154" spans="1:8">
      <c r="A154" s="2068"/>
      <c r="B154" s="511"/>
      <c r="C154" s="96"/>
      <c r="D154" s="2068"/>
      <c r="E154" s="97"/>
      <c r="F154" s="97"/>
      <c r="G154" s="2068"/>
      <c r="H154" s="118"/>
    </row>
    <row r="155" spans="1:8">
      <c r="A155" s="2068"/>
      <c r="B155" s="511"/>
      <c r="C155" s="96"/>
      <c r="D155" s="2068"/>
      <c r="E155" s="97"/>
      <c r="F155" s="97"/>
      <c r="G155" s="2068"/>
      <c r="H155" s="118"/>
    </row>
    <row r="156" spans="1:8">
      <c r="A156" s="2068"/>
      <c r="B156" s="511"/>
      <c r="C156" s="96"/>
      <c r="D156" s="2068"/>
      <c r="E156" s="97"/>
      <c r="F156" s="97"/>
      <c r="G156" s="2068"/>
      <c r="H156" s="118"/>
    </row>
    <row r="157" spans="1:8">
      <c r="A157" s="2068"/>
      <c r="B157" s="511"/>
      <c r="C157" s="96"/>
      <c r="D157" s="2068"/>
      <c r="E157" s="97"/>
      <c r="F157" s="97"/>
      <c r="G157" s="2068"/>
      <c r="H157" s="118"/>
    </row>
    <row r="158" spans="1:8">
      <c r="A158" s="2068"/>
      <c r="B158" s="511"/>
      <c r="C158" s="96"/>
      <c r="D158" s="2068"/>
      <c r="E158" s="97"/>
      <c r="F158" s="97"/>
      <c r="G158" s="2068"/>
      <c r="H158" s="118"/>
    </row>
    <row r="159" spans="1:8">
      <c r="A159" s="2068"/>
      <c r="B159" s="511"/>
      <c r="C159" s="96"/>
      <c r="D159" s="2068"/>
      <c r="E159" s="97"/>
      <c r="F159" s="97"/>
      <c r="G159" s="2068"/>
      <c r="H159" s="118"/>
    </row>
    <row r="160" spans="1:8">
      <c r="A160" s="2068"/>
      <c r="B160" s="511"/>
      <c r="C160" s="96"/>
      <c r="D160" s="2068"/>
      <c r="E160" s="97"/>
      <c r="F160" s="97"/>
      <c r="G160" s="2068"/>
      <c r="H160" s="118"/>
    </row>
    <row r="161" spans="1:8">
      <c r="A161" s="2068"/>
      <c r="B161" s="511"/>
      <c r="C161" s="96"/>
      <c r="D161" s="2068"/>
      <c r="E161" s="97"/>
      <c r="F161" s="97"/>
      <c r="G161" s="2068"/>
      <c r="H161" s="118"/>
    </row>
    <row r="162" spans="1:8">
      <c r="A162" s="2068"/>
      <c r="B162" s="511"/>
      <c r="C162" s="96"/>
      <c r="D162" s="2068"/>
      <c r="E162" s="97"/>
      <c r="F162" s="97"/>
      <c r="G162" s="2068"/>
      <c r="H162" s="118"/>
    </row>
    <row r="163" spans="1:8">
      <c r="A163" s="2068"/>
      <c r="B163" s="511"/>
      <c r="C163" s="96"/>
      <c r="D163" s="2068"/>
      <c r="E163" s="97"/>
      <c r="F163" s="97"/>
      <c r="G163" s="2068"/>
      <c r="H163" s="118"/>
    </row>
    <row r="164" spans="1:8">
      <c r="A164" s="2068"/>
      <c r="B164" s="511"/>
      <c r="C164" s="96"/>
      <c r="D164" s="2068"/>
      <c r="E164" s="97"/>
      <c r="F164" s="97"/>
      <c r="G164" s="2068"/>
      <c r="H164" s="118"/>
    </row>
    <row r="165" spans="1:8">
      <c r="A165" s="2068"/>
      <c r="B165" s="511"/>
      <c r="C165" s="96"/>
      <c r="D165" s="2068"/>
      <c r="E165" s="97"/>
      <c r="F165" s="97"/>
      <c r="G165" s="2068"/>
      <c r="H165" s="118"/>
    </row>
    <row r="166" spans="1:8">
      <c r="A166" s="2068"/>
      <c r="B166" s="511"/>
      <c r="C166" s="96"/>
      <c r="D166" s="2068"/>
      <c r="E166" s="97"/>
      <c r="F166" s="97"/>
      <c r="G166" s="2068"/>
      <c r="H166" s="118"/>
    </row>
    <row r="167" spans="1:8">
      <c r="A167" s="2068"/>
      <c r="B167" s="511"/>
      <c r="C167" s="96"/>
      <c r="D167" s="2068"/>
      <c r="E167" s="97"/>
      <c r="F167" s="97"/>
      <c r="G167" s="2068"/>
      <c r="H167" s="118"/>
    </row>
    <row r="168" spans="1:8">
      <c r="A168" s="2068"/>
      <c r="B168" s="511"/>
      <c r="C168" s="96"/>
      <c r="D168" s="2068"/>
      <c r="E168" s="97"/>
      <c r="F168" s="97"/>
      <c r="G168" s="2068"/>
      <c r="H168" s="118"/>
    </row>
    <row r="169" spans="1:8">
      <c r="A169" s="2068"/>
      <c r="B169" s="511"/>
      <c r="C169" s="96"/>
      <c r="D169" s="2068"/>
      <c r="E169" s="97"/>
      <c r="F169" s="97"/>
      <c r="G169" s="2068"/>
      <c r="H169" s="118"/>
    </row>
    <row r="170" spans="1:8">
      <c r="A170" s="2068"/>
      <c r="B170" s="511"/>
      <c r="C170" s="96"/>
      <c r="D170" s="2068"/>
      <c r="E170" s="97"/>
      <c r="F170" s="97"/>
      <c r="G170" s="2068"/>
      <c r="H170" s="118"/>
    </row>
    <row r="171" spans="1:8">
      <c r="A171" s="2068"/>
      <c r="B171" s="511"/>
      <c r="C171" s="96"/>
      <c r="D171" s="2068"/>
      <c r="E171" s="97"/>
      <c r="F171" s="97"/>
      <c r="G171" s="2068"/>
      <c r="H171" s="118"/>
    </row>
    <row r="172" spans="1:8">
      <c r="A172" s="2068"/>
      <c r="B172" s="511"/>
      <c r="C172" s="96"/>
      <c r="D172" s="2068"/>
      <c r="E172" s="97"/>
      <c r="F172" s="97"/>
      <c r="G172" s="2068"/>
      <c r="H172" s="118"/>
    </row>
    <row r="173" spans="1:8">
      <c r="A173" s="2068"/>
      <c r="B173" s="511"/>
      <c r="C173" s="96"/>
      <c r="D173" s="2068"/>
      <c r="E173" s="97"/>
      <c r="F173" s="97"/>
      <c r="G173" s="2068"/>
      <c r="H173" s="118"/>
    </row>
    <row r="174" spans="1:8">
      <c r="A174" s="2068"/>
      <c r="B174" s="511"/>
      <c r="C174" s="96"/>
      <c r="D174" s="2068"/>
      <c r="E174" s="97"/>
      <c r="F174" s="97"/>
      <c r="G174" s="2068"/>
      <c r="H174" s="118"/>
    </row>
    <row r="175" spans="1:8">
      <c r="A175" s="2068"/>
      <c r="B175" s="511"/>
      <c r="C175" s="96"/>
      <c r="D175" s="2068"/>
      <c r="E175" s="97"/>
      <c r="F175" s="97"/>
      <c r="G175" s="2068"/>
      <c r="H175" s="118"/>
    </row>
    <row r="176" spans="1:8">
      <c r="A176" s="2068"/>
      <c r="B176" s="511"/>
      <c r="C176" s="96"/>
      <c r="D176" s="2068"/>
      <c r="E176" s="97"/>
      <c r="F176" s="97"/>
      <c r="G176" s="2068"/>
      <c r="H176" s="118"/>
    </row>
    <row r="177" spans="1:8">
      <c r="A177" s="2068"/>
      <c r="B177" s="511"/>
      <c r="C177" s="96"/>
      <c r="D177" s="2068"/>
      <c r="E177" s="97"/>
      <c r="F177" s="97"/>
      <c r="G177" s="2068"/>
      <c r="H177" s="118"/>
    </row>
    <row r="178" spans="1:8">
      <c r="A178" s="2068"/>
      <c r="B178" s="511"/>
      <c r="C178" s="96"/>
      <c r="D178" s="2068"/>
      <c r="E178" s="97"/>
      <c r="F178" s="97"/>
      <c r="G178" s="2068"/>
      <c r="H178" s="118"/>
    </row>
    <row r="179" spans="1:8">
      <c r="A179" s="2068"/>
      <c r="B179" s="511"/>
      <c r="C179" s="96"/>
      <c r="D179" s="2068"/>
      <c r="E179" s="97"/>
      <c r="F179" s="97"/>
      <c r="G179" s="2068"/>
      <c r="H179" s="118"/>
    </row>
    <row r="180" spans="1:8">
      <c r="A180" s="2068"/>
      <c r="B180" s="511"/>
      <c r="C180" s="96"/>
      <c r="D180" s="2068"/>
      <c r="E180" s="97"/>
      <c r="F180" s="97"/>
      <c r="G180" s="2068"/>
      <c r="H180" s="118"/>
    </row>
    <row r="181" spans="1:8">
      <c r="A181" s="2068"/>
      <c r="B181" s="511"/>
      <c r="C181" s="96"/>
      <c r="D181" s="2068"/>
      <c r="E181" s="97"/>
      <c r="F181" s="97"/>
      <c r="G181" s="2068"/>
      <c r="H181" s="118"/>
    </row>
    <row r="182" spans="1:8">
      <c r="A182" s="2068"/>
      <c r="B182" s="511"/>
      <c r="C182" s="96"/>
      <c r="D182" s="2068"/>
      <c r="E182" s="97"/>
      <c r="F182" s="97"/>
      <c r="G182" s="2068"/>
      <c r="H182" s="118"/>
    </row>
    <row r="183" spans="1:8">
      <c r="A183" s="2068"/>
      <c r="B183" s="511"/>
      <c r="C183" s="96"/>
      <c r="D183" s="2068"/>
      <c r="E183" s="97"/>
      <c r="F183" s="97"/>
      <c r="G183" s="2068"/>
      <c r="H183" s="118"/>
    </row>
    <row r="184" spans="1:8">
      <c r="A184" s="2068"/>
      <c r="B184" s="511"/>
      <c r="C184" s="96"/>
      <c r="D184" s="2068"/>
      <c r="E184" s="97"/>
      <c r="F184" s="97"/>
      <c r="G184" s="2068"/>
      <c r="H184" s="118"/>
    </row>
    <row r="185" spans="1:8">
      <c r="A185" s="2068"/>
      <c r="B185" s="511"/>
      <c r="C185" s="96"/>
      <c r="D185" s="2068"/>
      <c r="E185" s="97"/>
      <c r="F185" s="97"/>
      <c r="G185" s="2068"/>
      <c r="H185" s="118"/>
    </row>
    <row r="186" spans="1:8">
      <c r="A186" s="2068"/>
      <c r="B186" s="511"/>
      <c r="C186" s="96"/>
      <c r="D186" s="2068"/>
      <c r="E186" s="97"/>
      <c r="F186" s="97"/>
      <c r="G186" s="2068"/>
      <c r="H186" s="118"/>
    </row>
    <row r="187" spans="1:8">
      <c r="A187" s="2068"/>
      <c r="B187" s="511"/>
      <c r="C187" s="96"/>
      <c r="D187" s="2068"/>
      <c r="E187" s="97"/>
      <c r="F187" s="97"/>
      <c r="G187" s="2068"/>
      <c r="H187" s="118"/>
    </row>
    <row r="188" spans="1:8">
      <c r="A188" s="2068"/>
      <c r="B188" s="511"/>
      <c r="C188" s="96"/>
      <c r="D188" s="2068"/>
      <c r="E188" s="97"/>
      <c r="F188" s="97"/>
      <c r="G188" s="2068"/>
      <c r="H188" s="118"/>
    </row>
    <row r="189" spans="1:8">
      <c r="A189" s="2068"/>
      <c r="B189" s="511"/>
      <c r="C189" s="96"/>
      <c r="D189" s="2068"/>
      <c r="E189" s="97"/>
      <c r="F189" s="97"/>
      <c r="G189" s="2068"/>
      <c r="H189" s="118"/>
    </row>
    <row r="190" spans="1:8">
      <c r="A190" s="2068"/>
      <c r="B190" s="511"/>
      <c r="C190" s="96"/>
      <c r="D190" s="2068"/>
      <c r="E190" s="97"/>
      <c r="F190" s="97"/>
      <c r="G190" s="2068"/>
      <c r="H190" s="118"/>
    </row>
    <row r="191" spans="1:8">
      <c r="A191" s="2068"/>
      <c r="B191" s="511"/>
      <c r="C191" s="96"/>
      <c r="D191" s="2068"/>
      <c r="E191" s="97"/>
      <c r="F191" s="97"/>
      <c r="G191" s="2068"/>
      <c r="H191" s="118"/>
    </row>
    <row r="192" spans="1:8">
      <c r="A192" s="2068"/>
      <c r="B192" s="511"/>
      <c r="C192" s="96"/>
      <c r="D192" s="2068"/>
      <c r="E192" s="97"/>
      <c r="F192" s="97"/>
      <c r="G192" s="2068"/>
      <c r="H192" s="118"/>
    </row>
    <row r="193" spans="1:8">
      <c r="A193" s="2068"/>
      <c r="B193" s="511"/>
      <c r="C193" s="96"/>
      <c r="D193" s="2068"/>
      <c r="E193" s="97"/>
      <c r="F193" s="97"/>
      <c r="G193" s="2068"/>
      <c r="H193" s="118"/>
    </row>
    <row r="194" spans="1:8">
      <c r="A194" s="2068"/>
      <c r="B194" s="511"/>
      <c r="C194" s="96"/>
      <c r="D194" s="2068"/>
      <c r="E194" s="97"/>
      <c r="F194" s="97"/>
      <c r="G194" s="2068"/>
      <c r="H194" s="118"/>
    </row>
    <row r="195" spans="1:8">
      <c r="A195" s="2068"/>
      <c r="B195" s="511"/>
      <c r="C195" s="96"/>
      <c r="D195" s="2068"/>
      <c r="E195" s="97"/>
      <c r="F195" s="97"/>
      <c r="G195" s="2068"/>
      <c r="H195" s="118"/>
    </row>
    <row r="196" spans="1:8">
      <c r="A196" s="2068"/>
      <c r="B196" s="511"/>
      <c r="C196" s="96"/>
      <c r="D196" s="2068"/>
      <c r="E196" s="97"/>
      <c r="F196" s="97"/>
      <c r="G196" s="2068"/>
      <c r="H196" s="118"/>
    </row>
    <row r="197" spans="1:8">
      <c r="A197" s="2068"/>
      <c r="B197" s="511"/>
      <c r="C197" s="96"/>
      <c r="D197" s="2068"/>
      <c r="E197" s="97"/>
      <c r="F197" s="97"/>
      <c r="G197" s="2068"/>
      <c r="H197" s="118"/>
    </row>
    <row r="198" spans="1:8">
      <c r="A198" s="2068"/>
      <c r="B198" s="511"/>
      <c r="C198" s="96"/>
      <c r="D198" s="2068"/>
      <c r="E198" s="97"/>
      <c r="F198" s="97"/>
      <c r="G198" s="2068"/>
      <c r="H198" s="118"/>
    </row>
    <row r="199" spans="1:8">
      <c r="A199" s="2068"/>
      <c r="B199" s="511"/>
      <c r="C199" s="96"/>
      <c r="D199" s="2068"/>
      <c r="E199" s="97"/>
      <c r="F199" s="97"/>
      <c r="G199" s="2068"/>
      <c r="H199" s="118"/>
    </row>
    <row r="200" spans="1:8">
      <c r="A200" s="2068"/>
      <c r="B200" s="511"/>
      <c r="C200" s="96"/>
      <c r="D200" s="2068"/>
      <c r="E200" s="97"/>
      <c r="F200" s="97"/>
      <c r="G200" s="2068"/>
      <c r="H200" s="118"/>
    </row>
    <row r="201" spans="1:8">
      <c r="A201" s="2068"/>
      <c r="B201" s="127"/>
      <c r="C201" s="96"/>
      <c r="D201" s="2068"/>
      <c r="E201" s="97"/>
      <c r="F201" s="97"/>
      <c r="G201" s="36"/>
      <c r="H201" s="1501"/>
    </row>
    <row r="202" spans="1:8">
      <c r="A202" s="2068"/>
      <c r="B202" s="127"/>
      <c r="C202" s="96"/>
      <c r="D202" s="2068"/>
      <c r="E202" s="97"/>
      <c r="F202" s="97"/>
      <c r="G202" s="36"/>
      <c r="H202" s="1501"/>
    </row>
    <row r="203" spans="1:8">
      <c r="A203" s="2068"/>
      <c r="B203" s="127"/>
      <c r="C203" s="96"/>
      <c r="D203" s="2068"/>
      <c r="E203" s="97"/>
      <c r="F203" s="97"/>
      <c r="G203" s="36"/>
      <c r="H203" s="1501"/>
    </row>
    <row r="204" spans="1:8">
      <c r="A204" s="2068"/>
      <c r="B204" s="127"/>
      <c r="C204" s="96"/>
      <c r="D204" s="2068"/>
      <c r="E204" s="97"/>
      <c r="F204" s="97"/>
      <c r="G204" s="36"/>
      <c r="H204" s="1501"/>
    </row>
    <row r="205" spans="1:8">
      <c r="A205" s="2068"/>
      <c r="B205" s="127"/>
      <c r="C205" s="96"/>
      <c r="D205" s="2068"/>
      <c r="E205" s="97"/>
      <c r="F205" s="97"/>
      <c r="G205" s="36"/>
      <c r="H205" s="1501"/>
    </row>
    <row r="206" spans="1:8">
      <c r="A206" s="2068"/>
      <c r="B206" s="127"/>
      <c r="C206" s="96"/>
      <c r="D206" s="2068"/>
      <c r="E206" s="97"/>
      <c r="F206" s="97"/>
      <c r="G206" s="36"/>
      <c r="H206" s="1501"/>
    </row>
    <row r="207" spans="1:8">
      <c r="A207" s="2068"/>
      <c r="B207" s="127"/>
      <c r="C207" s="96"/>
      <c r="D207" s="2068"/>
      <c r="E207" s="97"/>
      <c r="F207" s="97"/>
      <c r="G207" s="36"/>
      <c r="H207" s="1501"/>
    </row>
    <row r="208" spans="1:8">
      <c r="A208" s="2068"/>
      <c r="B208" s="127"/>
      <c r="C208" s="96"/>
      <c r="D208" s="2068"/>
      <c r="E208" s="97"/>
      <c r="F208" s="97"/>
      <c r="G208" s="36"/>
      <c r="H208" s="1501"/>
    </row>
    <row r="209" spans="1:8">
      <c r="A209" s="2068"/>
      <c r="B209" s="127"/>
      <c r="C209" s="96"/>
      <c r="D209" s="2068"/>
      <c r="E209" s="97"/>
      <c r="F209" s="97"/>
      <c r="G209" s="36"/>
      <c r="H209" s="1501"/>
    </row>
    <row r="210" spans="1:8">
      <c r="A210" s="2068"/>
      <c r="B210" s="127"/>
      <c r="C210" s="96"/>
      <c r="D210" s="2068"/>
      <c r="E210" s="97"/>
      <c r="F210" s="97"/>
      <c r="G210" s="36"/>
      <c r="H210" s="1501"/>
    </row>
    <row r="211" spans="1:8">
      <c r="A211" s="2068"/>
      <c r="B211" s="127"/>
      <c r="C211" s="96"/>
      <c r="D211" s="2068"/>
      <c r="E211" s="97"/>
      <c r="F211" s="97"/>
      <c r="G211" s="36"/>
      <c r="H211" s="1501"/>
    </row>
    <row r="212" spans="1:8">
      <c r="A212" s="2068"/>
      <c r="B212" s="127"/>
      <c r="C212" s="96"/>
      <c r="D212" s="2068"/>
      <c r="E212" s="97"/>
      <c r="F212" s="97"/>
      <c r="G212" s="36"/>
      <c r="H212" s="1501"/>
    </row>
    <row r="213" spans="1:8">
      <c r="A213" s="2068"/>
      <c r="B213" s="47"/>
      <c r="C213" s="96"/>
      <c r="D213" s="2068"/>
      <c r="E213" s="97"/>
      <c r="F213" s="97"/>
      <c r="G213" s="36"/>
      <c r="H213" s="1501"/>
    </row>
    <row r="214" spans="1:8">
      <c r="A214" s="2068"/>
      <c r="B214" s="47"/>
      <c r="C214" s="96"/>
      <c r="D214" s="2068"/>
      <c r="E214" s="97"/>
      <c r="F214" s="97"/>
      <c r="G214" s="36"/>
      <c r="H214" s="1501"/>
    </row>
    <row r="215" spans="1:8">
      <c r="A215" s="2068"/>
      <c r="B215" s="47"/>
      <c r="C215" s="96"/>
      <c r="D215" s="2068"/>
      <c r="E215" s="97"/>
      <c r="F215" s="97"/>
      <c r="G215" s="36"/>
      <c r="H215" s="1501"/>
    </row>
    <row r="216" spans="1:8">
      <c r="A216" s="2068"/>
      <c r="B216" s="47"/>
      <c r="C216" s="96"/>
      <c r="D216" s="2068"/>
      <c r="E216" s="97"/>
      <c r="F216" s="97"/>
      <c r="G216" s="36"/>
      <c r="H216" s="1501"/>
    </row>
    <row r="217" spans="1:8">
      <c r="A217" s="2068"/>
      <c r="B217" s="47"/>
      <c r="C217" s="96"/>
      <c r="D217" s="2068"/>
      <c r="E217" s="97"/>
      <c r="F217" s="97"/>
      <c r="G217" s="36"/>
      <c r="H217" s="1501"/>
    </row>
    <row r="218" spans="1:8">
      <c r="A218" s="2068"/>
      <c r="B218" s="2068"/>
      <c r="C218" s="2068"/>
      <c r="D218" s="2068"/>
      <c r="E218" s="97"/>
      <c r="F218" s="97"/>
      <c r="G218" s="36"/>
      <c r="H218" s="1501"/>
    </row>
    <row r="219" spans="1:8">
      <c r="A219" s="2068"/>
      <c r="B219" s="2068"/>
      <c r="C219" s="2068"/>
      <c r="D219" s="2068"/>
      <c r="E219" s="97"/>
      <c r="F219" s="97"/>
      <c r="G219" s="36"/>
      <c r="H219" s="1501"/>
    </row>
    <row r="220" spans="1:8">
      <c r="A220" s="2068"/>
      <c r="B220" s="2068"/>
      <c r="C220" s="2068"/>
      <c r="D220" s="2068"/>
      <c r="E220" s="97"/>
      <c r="F220" s="97"/>
      <c r="G220" s="36"/>
      <c r="H220" s="1501"/>
    </row>
    <row r="221" spans="1:8">
      <c r="A221" s="2068"/>
      <c r="B221" s="2068"/>
      <c r="C221" s="2068"/>
      <c r="D221" s="2068"/>
      <c r="E221" s="97"/>
      <c r="F221" s="97"/>
      <c r="G221" s="36"/>
      <c r="H221" s="1501"/>
    </row>
    <row r="222" spans="1:8">
      <c r="A222" s="2068"/>
      <c r="B222" s="2068"/>
      <c r="C222" s="2068"/>
      <c r="D222" s="2068"/>
      <c r="E222" s="97"/>
      <c r="F222" s="97"/>
      <c r="G222" s="36"/>
      <c r="H222" s="1501"/>
    </row>
    <row r="223" spans="1:8">
      <c r="A223" s="2068"/>
      <c r="B223" s="2068"/>
      <c r="C223" s="2068"/>
      <c r="D223" s="2068"/>
      <c r="E223" s="97"/>
      <c r="F223" s="97"/>
      <c r="G223" s="36"/>
      <c r="H223" s="1501"/>
    </row>
    <row r="224" spans="1:8">
      <c r="A224" s="2068"/>
      <c r="B224" s="2068"/>
      <c r="C224" s="2068"/>
      <c r="D224" s="2068"/>
      <c r="E224" s="97"/>
      <c r="F224" s="97"/>
      <c r="G224" s="36"/>
      <c r="H224" s="1501"/>
    </row>
    <row r="225" spans="1:8">
      <c r="A225" s="2068"/>
      <c r="B225" s="2068"/>
      <c r="C225" s="2068"/>
      <c r="D225" s="2068"/>
      <c r="E225" s="97"/>
      <c r="F225" s="97"/>
      <c r="G225" s="36"/>
      <c r="H225" s="1501"/>
    </row>
    <row r="226" spans="1:8">
      <c r="A226" s="2068"/>
      <c r="B226" s="2068"/>
      <c r="C226" s="2068"/>
      <c r="D226" s="2068"/>
      <c r="E226" s="97"/>
      <c r="F226" s="97"/>
      <c r="G226" s="36"/>
      <c r="H226" s="1501"/>
    </row>
    <row r="227" spans="1:8">
      <c r="A227" s="2068"/>
      <c r="B227" s="2068"/>
      <c r="C227" s="2068"/>
      <c r="D227" s="2068"/>
      <c r="E227" s="97"/>
      <c r="F227" s="97"/>
      <c r="G227" s="36"/>
      <c r="H227" s="1501"/>
    </row>
    <row r="228" spans="1:8">
      <c r="A228" s="2068"/>
      <c r="B228" s="2068"/>
      <c r="C228" s="2068"/>
      <c r="D228" s="2068"/>
      <c r="E228" s="97"/>
      <c r="F228" s="97"/>
      <c r="G228" s="36"/>
      <c r="H228" s="1501"/>
    </row>
    <row r="229" spans="1:8">
      <c r="A229" s="2068"/>
      <c r="B229" s="2068"/>
      <c r="C229" s="2068"/>
      <c r="D229" s="2068"/>
      <c r="E229" s="97"/>
      <c r="F229" s="97"/>
      <c r="G229" s="36"/>
      <c r="H229" s="1501"/>
    </row>
    <row r="230" spans="1:8">
      <c r="A230" s="2068"/>
      <c r="B230" s="2068"/>
      <c r="C230" s="2068"/>
      <c r="D230" s="2068"/>
      <c r="E230" s="97"/>
      <c r="F230" s="97"/>
      <c r="G230" s="36"/>
      <c r="H230" s="1501"/>
    </row>
    <row r="231" spans="1:8">
      <c r="A231" s="2068"/>
      <c r="B231" s="2068"/>
      <c r="C231" s="2068"/>
      <c r="D231" s="2068"/>
      <c r="E231" s="97"/>
      <c r="F231" s="97"/>
      <c r="G231" s="36"/>
      <c r="H231" s="1501"/>
    </row>
    <row r="232" spans="1:8">
      <c r="A232" s="2068"/>
      <c r="B232" s="2068"/>
      <c r="C232" s="2068"/>
      <c r="D232" s="2068"/>
      <c r="E232" s="97"/>
      <c r="F232" s="97"/>
      <c r="G232" s="36"/>
      <c r="H232" s="1501"/>
    </row>
    <row r="233" spans="1:8">
      <c r="A233" s="2068"/>
      <c r="B233" s="2068"/>
      <c r="C233" s="2068"/>
      <c r="D233" s="2068"/>
      <c r="E233" s="97"/>
      <c r="F233" s="97"/>
      <c r="G233" s="36"/>
      <c r="H233" s="1501"/>
    </row>
    <row r="234" spans="1:8">
      <c r="A234" s="2068"/>
      <c r="B234" s="2068"/>
      <c r="C234" s="2068"/>
      <c r="D234" s="2068"/>
      <c r="E234" s="97"/>
      <c r="F234" s="97"/>
      <c r="G234" s="36"/>
      <c r="H234" s="1501"/>
    </row>
    <row r="235" spans="1:8">
      <c r="A235" s="2068"/>
      <c r="B235" s="2068"/>
      <c r="C235" s="2068"/>
      <c r="D235" s="2068"/>
      <c r="E235" s="97"/>
      <c r="F235" s="97"/>
      <c r="G235" s="36"/>
      <c r="H235" s="1501"/>
    </row>
    <row r="236" spans="1:8">
      <c r="A236" s="2068"/>
      <c r="B236" s="2068"/>
      <c r="C236" s="2068"/>
      <c r="D236" s="2068"/>
      <c r="E236" s="97"/>
      <c r="F236" s="97"/>
      <c r="G236" s="36"/>
      <c r="H236" s="1501"/>
    </row>
    <row r="237" spans="1:8">
      <c r="A237" s="2068"/>
      <c r="B237" s="2068"/>
      <c r="C237" s="2068"/>
      <c r="D237" s="2068"/>
      <c r="E237" s="97"/>
      <c r="F237" s="97"/>
      <c r="G237" s="36"/>
      <c r="H237" s="1501"/>
    </row>
    <row r="238" spans="1:8">
      <c r="A238" s="2068"/>
      <c r="B238" s="2068"/>
      <c r="C238" s="2068"/>
      <c r="D238" s="2068"/>
      <c r="E238" s="97"/>
      <c r="F238" s="97"/>
      <c r="G238" s="36"/>
      <c r="H238" s="1501"/>
    </row>
    <row r="239" spans="1:8">
      <c r="A239" s="2068"/>
      <c r="B239" s="2068"/>
      <c r="C239" s="2068"/>
      <c r="D239" s="2068"/>
      <c r="E239" s="97"/>
      <c r="F239" s="97"/>
      <c r="G239" s="36"/>
      <c r="H239" s="1501"/>
    </row>
    <row r="240" spans="1:8">
      <c r="A240" s="2068"/>
      <c r="B240" s="2068"/>
      <c r="C240" s="2068"/>
      <c r="D240" s="2068"/>
      <c r="E240" s="97"/>
      <c r="F240" s="97"/>
      <c r="G240" s="36"/>
      <c r="H240" s="1501"/>
    </row>
    <row r="241" spans="1:8">
      <c r="A241" s="2068"/>
      <c r="B241" s="2068"/>
      <c r="C241" s="2068"/>
      <c r="D241" s="2068"/>
      <c r="E241" s="97"/>
      <c r="F241" s="97"/>
      <c r="G241" s="36"/>
      <c r="H241" s="1501"/>
    </row>
    <row r="242" spans="1:8">
      <c r="A242" s="2068"/>
      <c r="B242" s="2068"/>
      <c r="C242" s="2068"/>
      <c r="D242" s="2068"/>
      <c r="E242" s="97"/>
      <c r="F242" s="97"/>
      <c r="G242" s="36"/>
      <c r="H242" s="1501"/>
    </row>
    <row r="243" spans="1:8">
      <c r="A243" s="2068"/>
      <c r="B243" s="2068"/>
      <c r="C243" s="2068"/>
      <c r="D243" s="2068"/>
      <c r="E243" s="97"/>
      <c r="F243" s="97"/>
      <c r="G243" s="36"/>
      <c r="H243" s="1501"/>
    </row>
    <row r="244" spans="1:8">
      <c r="A244" s="2068"/>
      <c r="B244" s="2068"/>
      <c r="C244" s="2068"/>
      <c r="D244" s="2068"/>
      <c r="E244" s="97"/>
      <c r="F244" s="97"/>
      <c r="G244" s="36"/>
      <c r="H244" s="1501"/>
    </row>
    <row r="245" spans="1:8">
      <c r="A245" s="2068"/>
      <c r="B245" s="2068"/>
      <c r="C245" s="2068"/>
      <c r="D245" s="2068"/>
      <c r="E245" s="97"/>
      <c r="F245" s="97"/>
      <c r="G245" s="36"/>
      <c r="H245" s="1501"/>
    </row>
    <row r="246" spans="1:8">
      <c r="A246" s="2068"/>
      <c r="B246" s="2068"/>
      <c r="C246" s="2068"/>
      <c r="D246" s="2068"/>
      <c r="E246" s="97"/>
      <c r="F246" s="97"/>
      <c r="G246" s="36"/>
      <c r="H246" s="1501"/>
    </row>
    <row r="247" spans="1:8">
      <c r="A247" s="2068"/>
      <c r="B247" s="2068"/>
      <c r="C247" s="2068"/>
      <c r="D247" s="2068"/>
      <c r="E247" s="97"/>
      <c r="F247" s="97"/>
      <c r="G247" s="36"/>
      <c r="H247" s="1501"/>
    </row>
    <row r="248" spans="1:8">
      <c r="A248" s="2068"/>
      <c r="B248" s="2068"/>
      <c r="C248" s="2068"/>
      <c r="D248" s="2068"/>
      <c r="E248" s="97"/>
      <c r="F248" s="97"/>
      <c r="G248" s="36"/>
      <c r="H248" s="1501"/>
    </row>
    <row r="249" spans="1:8">
      <c r="A249" s="2068"/>
      <c r="B249" s="2068"/>
      <c r="C249" s="2068"/>
      <c r="D249" s="2068"/>
      <c r="E249" s="97"/>
      <c r="F249" s="97"/>
      <c r="G249" s="36"/>
      <c r="H249" s="1501"/>
    </row>
    <row r="250" spans="1:8">
      <c r="A250" s="2068"/>
      <c r="B250" s="2068"/>
      <c r="C250" s="2068"/>
      <c r="D250" s="2068"/>
      <c r="E250" s="97"/>
      <c r="F250" s="97"/>
      <c r="G250" s="36"/>
      <c r="H250" s="1501"/>
    </row>
    <row r="251" spans="1:8">
      <c r="A251" s="2068"/>
      <c r="B251" s="2068"/>
      <c r="C251" s="2068"/>
      <c r="D251" s="2068"/>
      <c r="E251" s="97"/>
      <c r="F251" s="97"/>
      <c r="G251" s="36"/>
      <c r="H251" s="1501"/>
    </row>
    <row r="252" spans="1:8">
      <c r="A252" s="2068"/>
      <c r="B252" s="2068"/>
      <c r="C252" s="2068"/>
      <c r="D252" s="2068"/>
      <c r="E252" s="97"/>
      <c r="F252" s="97"/>
      <c r="G252" s="36"/>
      <c r="H252" s="1501"/>
    </row>
    <row r="253" spans="1:8">
      <c r="A253" s="2068"/>
      <c r="B253" s="2068"/>
      <c r="C253" s="2068"/>
      <c r="D253" s="2068"/>
      <c r="E253" s="97"/>
      <c r="F253" s="97"/>
      <c r="G253" s="36"/>
      <c r="H253" s="1501"/>
    </row>
    <row r="254" spans="1:8">
      <c r="A254" s="2068"/>
      <c r="B254" s="2068"/>
      <c r="C254" s="2068"/>
      <c r="D254" s="2068"/>
      <c r="E254" s="97"/>
      <c r="F254" s="97"/>
      <c r="G254" s="36"/>
      <c r="H254" s="1501"/>
    </row>
    <row r="255" spans="1:8">
      <c r="A255" s="2068"/>
      <c r="B255" s="2068"/>
      <c r="C255" s="2068"/>
      <c r="D255" s="2068"/>
      <c r="E255" s="97"/>
      <c r="F255" s="97"/>
      <c r="G255" s="36"/>
      <c r="H255" s="1501"/>
    </row>
    <row r="256" spans="1:8">
      <c r="A256" s="2068"/>
      <c r="B256" s="2068"/>
      <c r="C256" s="2068"/>
      <c r="D256" s="2068"/>
      <c r="E256" s="97"/>
      <c r="F256" s="97"/>
      <c r="G256" s="36"/>
      <c r="H256" s="1501"/>
    </row>
    <row r="257" spans="1:8">
      <c r="A257" s="2068"/>
      <c r="B257" s="2068"/>
      <c r="C257" s="2068"/>
      <c r="D257" s="2068"/>
      <c r="E257" s="97"/>
      <c r="F257" s="97"/>
      <c r="G257" s="36"/>
      <c r="H257" s="1501"/>
    </row>
    <row r="258" spans="1:8">
      <c r="A258" s="2068"/>
      <c r="B258" s="2068"/>
      <c r="C258" s="2068"/>
      <c r="D258" s="2068"/>
      <c r="E258" s="97"/>
      <c r="F258" s="97"/>
      <c r="G258" s="36"/>
      <c r="H258" s="1501"/>
    </row>
    <row r="259" spans="1:8">
      <c r="A259" s="2068"/>
      <c r="B259" s="2068"/>
      <c r="C259" s="2068"/>
      <c r="D259" s="2068"/>
      <c r="E259" s="97"/>
      <c r="F259" s="97"/>
      <c r="G259" s="36"/>
      <c r="H259" s="1501"/>
    </row>
    <row r="260" spans="1:8">
      <c r="A260" s="2068"/>
      <c r="B260" s="2068"/>
      <c r="C260" s="2068"/>
      <c r="D260" s="2068"/>
      <c r="E260" s="97"/>
      <c r="F260" s="97"/>
      <c r="G260" s="36"/>
      <c r="H260" s="1501"/>
    </row>
    <row r="261" spans="1:8">
      <c r="A261" s="2068"/>
      <c r="B261" s="2068"/>
      <c r="C261" s="2068"/>
      <c r="D261" s="2068"/>
      <c r="E261" s="97"/>
      <c r="F261" s="97"/>
      <c r="G261" s="36"/>
      <c r="H261" s="1501"/>
    </row>
    <row r="262" spans="1:8">
      <c r="A262" s="2068"/>
      <c r="B262" s="2068"/>
      <c r="C262" s="2068"/>
      <c r="D262" s="2068"/>
      <c r="E262" s="97"/>
      <c r="F262" s="97"/>
      <c r="G262" s="36"/>
      <c r="H262" s="1501"/>
    </row>
    <row r="263" spans="1:8">
      <c r="A263" s="2068"/>
      <c r="B263" s="2068"/>
      <c r="C263" s="2068"/>
      <c r="D263" s="2068"/>
      <c r="E263" s="97"/>
      <c r="F263" s="97"/>
      <c r="G263" s="36"/>
      <c r="H263" s="1501"/>
    </row>
    <row r="264" spans="1:8">
      <c r="A264" s="2068"/>
      <c r="B264" s="2068"/>
      <c r="C264" s="2068"/>
      <c r="D264" s="2068"/>
      <c r="E264" s="97"/>
      <c r="F264" s="97"/>
      <c r="G264" s="36"/>
      <c r="H264" s="1501"/>
    </row>
    <row r="265" spans="1:8">
      <c r="A265" s="2068"/>
      <c r="B265" s="2068"/>
      <c r="C265" s="2068"/>
      <c r="D265" s="2068"/>
      <c r="E265" s="97"/>
      <c r="F265" s="97"/>
      <c r="G265" s="36"/>
      <c r="H265" s="1501"/>
    </row>
    <row r="266" spans="1:8">
      <c r="A266" s="2068"/>
      <c r="B266" s="2068"/>
      <c r="C266" s="2068"/>
      <c r="D266" s="2068"/>
      <c r="E266" s="97"/>
      <c r="F266" s="97"/>
      <c r="G266" s="36"/>
      <c r="H266" s="1501"/>
    </row>
    <row r="267" spans="1:8">
      <c r="A267" s="2068"/>
      <c r="B267" s="2068"/>
      <c r="C267" s="2068"/>
      <c r="D267" s="2068"/>
      <c r="E267" s="97"/>
      <c r="F267" s="97"/>
      <c r="G267" s="36"/>
      <c r="H267" s="1501"/>
    </row>
    <row r="268" spans="1:8">
      <c r="A268" s="2068"/>
      <c r="B268" s="2068"/>
      <c r="C268" s="2068"/>
      <c r="D268" s="2068"/>
      <c r="E268" s="97"/>
      <c r="F268" s="97"/>
      <c r="G268" s="36"/>
      <c r="H268" s="1501"/>
    </row>
    <row r="269" spans="1:8">
      <c r="A269" s="2068"/>
      <c r="B269" s="2068"/>
      <c r="C269" s="2068"/>
      <c r="D269" s="2068"/>
      <c r="E269" s="97"/>
      <c r="F269" s="97"/>
      <c r="G269" s="36"/>
      <c r="H269" s="1501"/>
    </row>
    <row r="270" spans="1:8">
      <c r="A270" s="2068"/>
      <c r="B270" s="2068"/>
      <c r="C270" s="2068"/>
      <c r="D270" s="2068"/>
      <c r="E270" s="97"/>
      <c r="F270" s="97"/>
      <c r="G270" s="36"/>
      <c r="H270" s="1501"/>
    </row>
    <row r="271" spans="1:8">
      <c r="A271" s="2068"/>
      <c r="B271" s="2068"/>
      <c r="C271" s="2068"/>
      <c r="D271" s="2068"/>
      <c r="E271" s="97"/>
      <c r="F271" s="97"/>
      <c r="G271" s="36"/>
      <c r="H271" s="1501"/>
    </row>
    <row r="272" spans="1:8">
      <c r="A272" s="2068"/>
      <c r="B272" s="2068"/>
      <c r="C272" s="2068"/>
      <c r="D272" s="2068"/>
      <c r="E272" s="97"/>
      <c r="F272" s="97"/>
      <c r="G272" s="36"/>
      <c r="H272" s="1501"/>
    </row>
    <row r="273" spans="1:8">
      <c r="A273" s="2068"/>
      <c r="B273" s="2068"/>
      <c r="C273" s="2068"/>
      <c r="D273" s="2068"/>
      <c r="E273" s="97"/>
      <c r="F273" s="97"/>
      <c r="G273" s="36"/>
      <c r="H273" s="1501"/>
    </row>
    <row r="274" spans="1:8">
      <c r="A274" s="2068"/>
      <c r="B274" s="2068"/>
      <c r="C274" s="2068"/>
      <c r="D274" s="2068"/>
      <c r="E274" s="97"/>
      <c r="F274" s="97"/>
      <c r="G274" s="36"/>
      <c r="H274" s="1501"/>
    </row>
    <row r="275" spans="1:8">
      <c r="A275" s="2068"/>
      <c r="B275" s="2068"/>
      <c r="C275" s="2068"/>
      <c r="D275" s="2068"/>
      <c r="E275" s="97"/>
      <c r="F275" s="97"/>
      <c r="G275" s="36"/>
      <c r="H275" s="1501"/>
    </row>
    <row r="276" spans="1:8">
      <c r="A276" s="2068"/>
      <c r="B276" s="2068"/>
      <c r="C276" s="2068"/>
      <c r="D276" s="2068"/>
      <c r="E276" s="97"/>
      <c r="F276" s="97"/>
      <c r="G276" s="36"/>
      <c r="H276" s="1501"/>
    </row>
    <row r="277" spans="1:8">
      <c r="A277" s="2068"/>
      <c r="B277" s="2068"/>
      <c r="C277" s="2068"/>
      <c r="D277" s="2068"/>
      <c r="E277" s="97"/>
      <c r="F277" s="97"/>
      <c r="G277" s="36"/>
      <c r="H277" s="1501"/>
    </row>
    <row r="278" spans="1:8">
      <c r="A278" s="2068"/>
      <c r="B278" s="2068"/>
      <c r="C278" s="2068"/>
      <c r="D278" s="2068"/>
      <c r="E278" s="97"/>
      <c r="F278" s="97"/>
      <c r="G278" s="36"/>
      <c r="H278" s="1501"/>
    </row>
    <row r="279" spans="1:8">
      <c r="A279" s="2068"/>
      <c r="B279" s="2068"/>
      <c r="C279" s="2068"/>
      <c r="D279" s="2068"/>
      <c r="E279" s="97"/>
      <c r="F279" s="97"/>
      <c r="G279" s="36"/>
      <c r="H279" s="1501"/>
    </row>
    <row r="280" spans="1:8">
      <c r="A280" s="2068"/>
      <c r="B280" s="2068"/>
      <c r="C280" s="2068"/>
      <c r="D280" s="2068"/>
      <c r="E280" s="97"/>
      <c r="F280" s="97"/>
      <c r="G280" s="36"/>
      <c r="H280" s="1501"/>
    </row>
    <row r="281" spans="1:8">
      <c r="A281" s="2068"/>
      <c r="B281" s="2068"/>
      <c r="C281" s="2068"/>
      <c r="D281" s="2068"/>
      <c r="E281" s="97"/>
      <c r="F281" s="97"/>
      <c r="G281" s="36"/>
      <c r="H281" s="1501"/>
    </row>
    <row r="282" spans="1:8">
      <c r="A282" s="2068"/>
      <c r="B282" s="2068"/>
      <c r="C282" s="2068"/>
      <c r="D282" s="2068"/>
      <c r="E282" s="97"/>
      <c r="F282" s="97"/>
      <c r="G282" s="36"/>
      <c r="H282" s="1501"/>
    </row>
    <row r="283" spans="1:8">
      <c r="A283" s="2068"/>
      <c r="B283" s="2068"/>
      <c r="C283" s="2068"/>
      <c r="D283" s="2068"/>
      <c r="E283" s="97"/>
      <c r="F283" s="97"/>
      <c r="G283" s="36"/>
      <c r="H283" s="1501"/>
    </row>
    <row r="284" spans="1:8">
      <c r="A284" s="2068"/>
      <c r="B284" s="2068"/>
      <c r="C284" s="2068"/>
      <c r="D284" s="2068"/>
      <c r="E284" s="97"/>
      <c r="F284" s="97"/>
      <c r="G284" s="36"/>
      <c r="H284" s="1501"/>
    </row>
    <row r="285" spans="1:8">
      <c r="A285" s="2068"/>
      <c r="B285" s="2068"/>
      <c r="C285" s="2068"/>
      <c r="D285" s="2068"/>
      <c r="E285" s="97"/>
      <c r="F285" s="97"/>
      <c r="G285" s="36"/>
      <c r="H285" s="1501"/>
    </row>
    <row r="286" spans="1:8">
      <c r="A286" s="2068"/>
      <c r="B286" s="2068"/>
      <c r="C286" s="2068"/>
      <c r="D286" s="2068"/>
      <c r="E286" s="97"/>
      <c r="F286" s="97"/>
      <c r="G286" s="36"/>
      <c r="H286" s="1501"/>
    </row>
    <row r="287" spans="1:8">
      <c r="A287" s="2068"/>
      <c r="B287" s="2068"/>
      <c r="C287" s="2068"/>
      <c r="D287" s="2068"/>
      <c r="E287" s="97"/>
      <c r="F287" s="97"/>
      <c r="G287" s="36"/>
      <c r="H287" s="1501"/>
    </row>
    <row r="288" spans="1:8">
      <c r="A288" s="2068"/>
      <c r="B288" s="2068"/>
      <c r="C288" s="2068"/>
      <c r="D288" s="2068"/>
      <c r="E288" s="97"/>
      <c r="F288" s="97"/>
      <c r="G288" s="36"/>
      <c r="H288" s="1501"/>
    </row>
    <row r="289" spans="1:8">
      <c r="A289" s="2068"/>
      <c r="B289" s="2068"/>
      <c r="C289" s="2068"/>
      <c r="D289" s="2068"/>
      <c r="E289" s="97"/>
      <c r="F289" s="97"/>
      <c r="G289" s="36"/>
      <c r="H289" s="1501"/>
    </row>
    <row r="290" spans="1:8">
      <c r="A290" s="2068"/>
      <c r="B290" s="2068"/>
      <c r="C290" s="2068"/>
      <c r="D290" s="2068"/>
      <c r="E290" s="97"/>
      <c r="F290" s="97"/>
      <c r="G290" s="36"/>
      <c r="H290" s="1501"/>
    </row>
    <row r="291" spans="1:8">
      <c r="A291" s="2068"/>
      <c r="B291" s="2068"/>
      <c r="C291" s="2068"/>
      <c r="D291" s="2068"/>
      <c r="E291" s="97"/>
      <c r="F291" s="97"/>
      <c r="G291" s="36"/>
      <c r="H291" s="1501"/>
    </row>
    <row r="292" spans="1:8">
      <c r="A292" s="2068"/>
      <c r="B292" s="2068"/>
      <c r="C292" s="2068"/>
      <c r="D292" s="2068"/>
      <c r="E292" s="97"/>
      <c r="F292" s="97"/>
      <c r="G292" s="36"/>
      <c r="H292" s="1501"/>
    </row>
    <row r="293" spans="1:8">
      <c r="A293" s="2068"/>
      <c r="B293" s="2068"/>
      <c r="C293" s="2068"/>
      <c r="D293" s="2068"/>
      <c r="E293" s="97"/>
      <c r="F293" s="97"/>
      <c r="G293" s="36"/>
      <c r="H293" s="1501"/>
    </row>
    <row r="294" spans="1:8">
      <c r="A294" s="2068"/>
      <c r="B294" s="2068"/>
      <c r="C294" s="2068"/>
      <c r="D294" s="2068"/>
      <c r="E294" s="97"/>
      <c r="F294" s="97"/>
      <c r="G294" s="36"/>
      <c r="H294" s="1501"/>
    </row>
    <row r="295" spans="1:8">
      <c r="A295" s="2068"/>
      <c r="B295" s="2068"/>
      <c r="C295" s="2068"/>
      <c r="D295" s="2068"/>
      <c r="E295" s="97"/>
      <c r="F295" s="97"/>
      <c r="G295" s="36"/>
      <c r="H295" s="1501"/>
    </row>
    <row r="296" spans="1:8">
      <c r="A296" s="2068"/>
      <c r="B296" s="2068"/>
      <c r="C296" s="2068"/>
      <c r="D296" s="2068"/>
      <c r="E296" s="97"/>
      <c r="F296" s="97"/>
      <c r="G296" s="36"/>
      <c r="H296" s="1501"/>
    </row>
    <row r="297" spans="1:8">
      <c r="A297" s="2068"/>
      <c r="B297" s="2068"/>
      <c r="C297" s="2068"/>
      <c r="D297" s="2068"/>
      <c r="E297" s="97"/>
      <c r="F297" s="97"/>
      <c r="G297" s="36"/>
      <c r="H297" s="1501"/>
    </row>
    <row r="298" spans="1:8">
      <c r="A298" s="2068"/>
      <c r="B298" s="2068"/>
      <c r="C298" s="2068"/>
      <c r="D298" s="2068"/>
      <c r="E298" s="97"/>
      <c r="F298" s="97"/>
      <c r="G298" s="36"/>
      <c r="H298" s="1501"/>
    </row>
    <row r="299" spans="1:8">
      <c r="A299" s="2068"/>
      <c r="B299" s="2068"/>
      <c r="C299" s="2068"/>
      <c r="D299" s="2068"/>
      <c r="E299" s="97"/>
      <c r="F299" s="97"/>
      <c r="G299" s="36"/>
      <c r="H299" s="1501"/>
    </row>
    <row r="300" spans="1:8">
      <c r="A300" s="2068"/>
      <c r="B300" s="2068"/>
      <c r="C300" s="2068"/>
      <c r="D300" s="2068"/>
      <c r="E300" s="97"/>
      <c r="F300" s="97"/>
      <c r="G300" s="36"/>
      <c r="H300" s="1501"/>
    </row>
    <row r="301" spans="1:8">
      <c r="A301" s="2068"/>
      <c r="B301" s="2068"/>
      <c r="C301" s="2068"/>
      <c r="D301" s="2068"/>
      <c r="E301" s="97"/>
      <c r="F301" s="97"/>
      <c r="G301" s="36"/>
      <c r="H301" s="1501"/>
    </row>
    <row r="302" spans="1:8">
      <c r="A302" s="2068"/>
      <c r="B302" s="2068"/>
      <c r="C302" s="2068"/>
      <c r="D302" s="2068"/>
      <c r="E302" s="97"/>
      <c r="F302" s="97"/>
      <c r="G302" s="36"/>
      <c r="H302" s="1501"/>
    </row>
    <row r="303" spans="1:8">
      <c r="A303" s="2068"/>
      <c r="B303" s="2068"/>
      <c r="C303" s="2068"/>
      <c r="D303" s="2068"/>
      <c r="E303" s="97"/>
      <c r="F303" s="97"/>
      <c r="G303" s="36"/>
      <c r="H303" s="1501"/>
    </row>
    <row r="304" spans="1:8">
      <c r="A304" s="2068"/>
      <c r="B304" s="2068"/>
      <c r="C304" s="2068"/>
      <c r="D304" s="2068"/>
      <c r="E304" s="97"/>
      <c r="F304" s="97"/>
      <c r="G304" s="36"/>
      <c r="H304" s="1501"/>
    </row>
    <row r="305" spans="1:8">
      <c r="A305" s="2068"/>
      <c r="B305" s="2068"/>
      <c r="C305" s="2068"/>
      <c r="D305" s="2068"/>
      <c r="E305" s="97"/>
      <c r="F305" s="97"/>
      <c r="G305" s="36"/>
      <c r="H305" s="1501"/>
    </row>
    <row r="306" spans="1:8">
      <c r="A306" s="2068"/>
      <c r="B306" s="2068"/>
      <c r="C306" s="2068"/>
      <c r="D306" s="2068"/>
      <c r="E306" s="97"/>
      <c r="F306" s="97"/>
      <c r="G306" s="36"/>
      <c r="H306" s="1501"/>
    </row>
    <row r="307" spans="1:8">
      <c r="A307" s="2068"/>
      <c r="B307" s="2068"/>
      <c r="C307" s="2068"/>
      <c r="D307" s="2068"/>
      <c r="E307" s="97"/>
      <c r="F307" s="97"/>
      <c r="G307" s="36"/>
      <c r="H307" s="1501"/>
    </row>
    <row r="308" spans="1:8">
      <c r="A308" s="2068"/>
      <c r="B308" s="2068"/>
      <c r="C308" s="2068"/>
      <c r="D308" s="2068"/>
      <c r="E308" s="97"/>
      <c r="F308" s="97"/>
      <c r="G308" s="36"/>
      <c r="H308" s="1501"/>
    </row>
    <row r="309" spans="1:8">
      <c r="A309" s="2068"/>
      <c r="B309" s="2068"/>
      <c r="C309" s="2068"/>
      <c r="D309" s="2068"/>
      <c r="E309" s="97"/>
      <c r="F309" s="97"/>
      <c r="G309" s="36"/>
      <c r="H309" s="1501"/>
    </row>
    <row r="310" spans="1:8">
      <c r="A310" s="2068"/>
      <c r="B310" s="2068"/>
      <c r="C310" s="2068"/>
      <c r="D310" s="2068"/>
      <c r="E310" s="97"/>
      <c r="F310" s="97"/>
      <c r="G310" s="36"/>
      <c r="H310" s="1501"/>
    </row>
    <row r="311" spans="1:8">
      <c r="A311" s="2068"/>
      <c r="B311" s="2068"/>
      <c r="C311" s="2068"/>
      <c r="D311" s="2068"/>
      <c r="E311" s="97"/>
      <c r="F311" s="97"/>
      <c r="G311" s="36"/>
      <c r="H311" s="1501"/>
    </row>
    <row r="312" spans="1:8">
      <c r="A312" s="2068"/>
      <c r="B312" s="2068"/>
      <c r="C312" s="2068"/>
      <c r="D312" s="2068"/>
      <c r="E312" s="97"/>
      <c r="F312" s="97"/>
      <c r="G312" s="36"/>
      <c r="H312" s="1501"/>
    </row>
    <row r="313" spans="1:8">
      <c r="A313" s="2068"/>
      <c r="B313" s="2068"/>
      <c r="C313" s="2068"/>
      <c r="D313" s="2068"/>
      <c r="E313" s="97"/>
      <c r="F313" s="97"/>
      <c r="G313" s="36"/>
      <c r="H313" s="1501"/>
    </row>
    <row r="314" spans="1:8">
      <c r="A314" s="2068"/>
      <c r="B314" s="2068"/>
      <c r="C314" s="2068"/>
      <c r="D314" s="2068"/>
      <c r="E314" s="97"/>
      <c r="F314" s="97"/>
      <c r="G314" s="36"/>
      <c r="H314" s="1501"/>
    </row>
    <row r="315" spans="1:8">
      <c r="A315" s="2068"/>
      <c r="B315" s="2068"/>
      <c r="C315" s="2068"/>
      <c r="D315" s="2068"/>
      <c r="E315" s="97"/>
      <c r="F315" s="97"/>
      <c r="G315" s="36"/>
      <c r="H315" s="1501"/>
    </row>
    <row r="316" spans="1:8">
      <c r="A316" s="2068"/>
      <c r="B316" s="2068"/>
      <c r="C316" s="2068"/>
      <c r="D316" s="2068"/>
      <c r="E316" s="97"/>
      <c r="F316" s="97"/>
      <c r="G316" s="36"/>
      <c r="H316" s="1501"/>
    </row>
    <row r="317" spans="1:8">
      <c r="A317" s="2068"/>
      <c r="B317" s="2068"/>
      <c r="C317" s="2068"/>
      <c r="D317" s="2068"/>
      <c r="E317" s="97"/>
      <c r="F317" s="97"/>
      <c r="G317" s="36"/>
      <c r="H317" s="1501"/>
    </row>
    <row r="318" spans="1:8">
      <c r="A318" s="2068"/>
      <c r="B318" s="2068"/>
      <c r="C318" s="2068"/>
      <c r="D318" s="2068"/>
      <c r="E318" s="97"/>
      <c r="F318" s="97"/>
      <c r="G318" s="36"/>
      <c r="H318" s="1501"/>
    </row>
    <row r="319" spans="1:8">
      <c r="A319" s="2068"/>
      <c r="B319" s="2068"/>
      <c r="C319" s="2068"/>
      <c r="D319" s="2068"/>
      <c r="E319" s="97"/>
      <c r="F319" s="97"/>
      <c r="G319" s="36"/>
      <c r="H319" s="1501"/>
    </row>
    <row r="320" spans="1:8">
      <c r="A320" s="2068"/>
      <c r="B320" s="2068"/>
      <c r="C320" s="2068"/>
      <c r="D320" s="2068"/>
      <c r="E320" s="97"/>
      <c r="F320" s="97"/>
      <c r="G320" s="36"/>
      <c r="H320" s="1501"/>
    </row>
    <row r="321" spans="1:8">
      <c r="A321" s="2068"/>
      <c r="B321" s="2068"/>
      <c r="C321" s="2068"/>
      <c r="D321" s="2068"/>
      <c r="E321" s="97"/>
      <c r="F321" s="97"/>
      <c r="G321" s="36"/>
      <c r="H321" s="1501"/>
    </row>
    <row r="322" spans="1:8">
      <c r="A322" s="2068"/>
      <c r="B322" s="2068"/>
      <c r="C322" s="2068"/>
      <c r="D322" s="2068"/>
      <c r="E322" s="97"/>
      <c r="F322" s="97"/>
      <c r="G322" s="36"/>
      <c r="H322" s="1501"/>
    </row>
    <row r="323" spans="1:8">
      <c r="A323" s="2068"/>
      <c r="B323" s="2068"/>
      <c r="C323" s="2068"/>
      <c r="D323" s="2068"/>
      <c r="E323" s="97"/>
      <c r="F323" s="97"/>
      <c r="G323" s="36"/>
      <c r="H323" s="1501"/>
    </row>
    <row r="324" spans="1:8">
      <c r="A324" s="2068"/>
      <c r="B324" s="2068"/>
      <c r="C324" s="2068"/>
      <c r="D324" s="2068"/>
      <c r="E324" s="97"/>
      <c r="F324" s="97"/>
      <c r="G324" s="36"/>
      <c r="H324" s="1501"/>
    </row>
    <row r="325" spans="1:8">
      <c r="A325" s="2068"/>
      <c r="B325" s="2068"/>
      <c r="C325" s="2068"/>
      <c r="D325" s="2068"/>
      <c r="E325" s="97"/>
      <c r="F325" s="97"/>
      <c r="G325" s="36"/>
      <c r="H325" s="1501"/>
    </row>
    <row r="326" spans="1:8">
      <c r="A326" s="2068"/>
      <c r="B326" s="2068"/>
      <c r="C326" s="2068"/>
      <c r="D326" s="2068"/>
      <c r="E326" s="97"/>
      <c r="F326" s="97"/>
      <c r="G326" s="36"/>
      <c r="H326" s="1501"/>
    </row>
    <row r="327" spans="1:8">
      <c r="A327" s="2068"/>
      <c r="B327" s="2068"/>
      <c r="C327" s="2068"/>
      <c r="D327" s="2068"/>
      <c r="E327" s="97"/>
      <c r="F327" s="97"/>
      <c r="G327" s="36"/>
      <c r="H327" s="1501"/>
    </row>
    <row r="328" spans="1:8">
      <c r="A328" s="2068"/>
      <c r="B328" s="2068"/>
      <c r="C328" s="2068"/>
      <c r="D328" s="2068"/>
      <c r="E328" s="97"/>
      <c r="F328" s="97"/>
      <c r="G328" s="36"/>
      <c r="H328" s="1501"/>
    </row>
    <row r="329" spans="1:8">
      <c r="A329" s="2068"/>
      <c r="B329" s="2068"/>
      <c r="C329" s="2068"/>
      <c r="D329" s="2068"/>
      <c r="E329" s="97"/>
      <c r="F329" s="97"/>
      <c r="G329" s="36"/>
      <c r="H329" s="1501"/>
    </row>
    <row r="330" spans="1:8">
      <c r="A330" s="2068"/>
      <c r="B330" s="2068"/>
      <c r="C330" s="2068"/>
      <c r="D330" s="2068"/>
      <c r="E330" s="97"/>
      <c r="F330" s="97"/>
      <c r="G330" s="36"/>
      <c r="H330" s="1501"/>
    </row>
    <row r="331" spans="1:8">
      <c r="A331" s="2068"/>
      <c r="B331" s="2068"/>
      <c r="C331" s="2068"/>
      <c r="D331" s="2068"/>
      <c r="E331" s="97"/>
      <c r="F331" s="97"/>
      <c r="G331" s="36"/>
      <c r="H331" s="1501"/>
    </row>
    <row r="332" spans="1:8">
      <c r="A332" s="2068"/>
      <c r="B332" s="2068"/>
      <c r="C332" s="2068"/>
      <c r="D332" s="2068"/>
      <c r="E332" s="97"/>
      <c r="F332" s="97"/>
      <c r="G332" s="36"/>
      <c r="H332" s="1501"/>
    </row>
    <row r="333" spans="1:8">
      <c r="A333" s="2068"/>
      <c r="B333" s="2068"/>
      <c r="C333" s="2068"/>
      <c r="D333" s="2068"/>
      <c r="E333" s="97"/>
      <c r="F333" s="97"/>
      <c r="G333" s="36"/>
      <c r="H333" s="1501"/>
    </row>
    <row r="334" spans="1:8">
      <c r="A334" s="2068"/>
      <c r="B334" s="2068"/>
      <c r="C334" s="2068"/>
      <c r="D334" s="2068"/>
      <c r="E334" s="97"/>
      <c r="F334" s="97"/>
      <c r="G334" s="36"/>
      <c r="H334" s="1501"/>
    </row>
  </sheetData>
  <autoFilter ref="A1:A334"/>
  <conditionalFormatting sqref="C2">
    <cfRule type="cellIs" dxfId="8" priority="5" operator="notEqual">
      <formula>OK</formula>
    </cfRule>
  </conditionalFormatting>
  <conditionalFormatting sqref="C3:D4">
    <cfRule type="cellIs" dxfId="7" priority="1" operator="equal">
      <formula>ERR</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
  <sheetViews>
    <sheetView workbookViewId="0"/>
  </sheetViews>
  <sheetFormatPr defaultRowHeight="13.9"/>
  <sheetData>
    <row r="1" spans="1:86">
      <c r="A1" s="2060">
        <v>86</v>
      </c>
      <c r="B1" s="2060" t="s">
        <v>2624</v>
      </c>
      <c r="C1" s="2060" t="s">
        <v>2625</v>
      </c>
      <c r="D1" s="2060" t="s">
        <v>2626</v>
      </c>
      <c r="E1" s="2060" t="s">
        <v>2627</v>
      </c>
      <c r="F1" s="2060" t="s">
        <v>2628</v>
      </c>
      <c r="G1" s="2060" t="s">
        <v>2629</v>
      </c>
      <c r="H1" s="2060" t="s">
        <v>2630</v>
      </c>
      <c r="I1" s="2060" t="s">
        <v>2631</v>
      </c>
      <c r="J1" s="2060" t="s">
        <v>2632</v>
      </c>
      <c r="K1" s="2060" t="s">
        <v>2633</v>
      </c>
      <c r="L1" s="2060" t="s">
        <v>2634</v>
      </c>
      <c r="M1" s="2060" t="s">
        <v>2635</v>
      </c>
      <c r="N1" s="2060" t="s">
        <v>2636</v>
      </c>
      <c r="O1" s="2060" t="s">
        <v>2637</v>
      </c>
      <c r="P1" s="2060" t="s">
        <v>2638</v>
      </c>
      <c r="Q1" s="2060" t="s">
        <v>2639</v>
      </c>
      <c r="R1" s="2060" t="s">
        <v>2640</v>
      </c>
      <c r="S1" s="2060" t="s">
        <v>2641</v>
      </c>
      <c r="T1" s="2060" t="s">
        <v>2642</v>
      </c>
      <c r="U1" s="2060" t="s">
        <v>2643</v>
      </c>
      <c r="V1" s="2060" t="s">
        <v>2644</v>
      </c>
      <c r="W1" s="2060" t="s">
        <v>2645</v>
      </c>
      <c r="X1" s="2060" t="s">
        <v>2646</v>
      </c>
      <c r="Y1" s="2060" t="s">
        <v>2647</v>
      </c>
      <c r="Z1" s="2060" t="s">
        <v>2648</v>
      </c>
      <c r="AA1" s="2060" t="s">
        <v>2649</v>
      </c>
      <c r="AB1" s="2060" t="s">
        <v>2650</v>
      </c>
      <c r="AC1" s="2060" t="s">
        <v>2651</v>
      </c>
      <c r="AD1" s="2060" t="s">
        <v>2652</v>
      </c>
      <c r="AE1" s="2060" t="s">
        <v>2653</v>
      </c>
      <c r="AF1" s="2060" t="s">
        <v>2654</v>
      </c>
      <c r="AG1" s="2060" t="s">
        <v>2655</v>
      </c>
      <c r="AH1" s="2060" t="s">
        <v>2656</v>
      </c>
      <c r="AI1" s="2060" t="s">
        <v>2657</v>
      </c>
      <c r="AJ1" s="2060" t="s">
        <v>2658</v>
      </c>
      <c r="AK1" s="2060" t="s">
        <v>2659</v>
      </c>
      <c r="AL1" s="2060" t="s">
        <v>2660</v>
      </c>
      <c r="AM1" s="2060" t="s">
        <v>2661</v>
      </c>
      <c r="AN1" s="2060" t="s">
        <v>2662</v>
      </c>
      <c r="AO1" s="2060" t="s">
        <v>2663</v>
      </c>
      <c r="AP1" s="2060" t="s">
        <v>2664</v>
      </c>
      <c r="AQ1" s="2060" t="s">
        <v>2665</v>
      </c>
      <c r="AR1" s="2060" t="s">
        <v>2666</v>
      </c>
      <c r="AS1" s="2060" t="s">
        <v>2667</v>
      </c>
      <c r="AT1" s="2060" t="s">
        <v>2668</v>
      </c>
      <c r="AU1" s="2060" t="s">
        <v>2669</v>
      </c>
      <c r="AV1" s="2060" t="s">
        <v>2670</v>
      </c>
      <c r="AW1" s="2060" t="s">
        <v>2671</v>
      </c>
      <c r="AX1" s="2060" t="s">
        <v>2672</v>
      </c>
      <c r="AY1" s="2060" t="s">
        <v>2673</v>
      </c>
      <c r="AZ1" s="2060" t="s">
        <v>2674</v>
      </c>
      <c r="BA1" s="2060" t="s">
        <v>2675</v>
      </c>
      <c r="BB1" s="2060" t="s">
        <v>2676</v>
      </c>
      <c r="BC1" s="2060" t="s">
        <v>2677</v>
      </c>
      <c r="BD1" s="2060" t="s">
        <v>2678</v>
      </c>
      <c r="BE1" s="2060" t="s">
        <v>2679</v>
      </c>
      <c r="BF1" s="2060" t="s">
        <v>2680</v>
      </c>
      <c r="BG1" s="2060" t="s">
        <v>2681</v>
      </c>
      <c r="BH1" s="2060" t="s">
        <v>2682</v>
      </c>
      <c r="BI1" s="2060" t="s">
        <v>2683</v>
      </c>
      <c r="BJ1" s="2060" t="s">
        <v>2684</v>
      </c>
      <c r="BK1" s="2060" t="s">
        <v>2685</v>
      </c>
      <c r="BL1" s="2060" t="s">
        <v>2686</v>
      </c>
      <c r="BM1" s="2060" t="s">
        <v>2687</v>
      </c>
      <c r="BN1" s="2060" t="s">
        <v>2688</v>
      </c>
      <c r="BO1" s="2060" t="s">
        <v>2689</v>
      </c>
      <c r="BP1" s="2060" t="s">
        <v>2690</v>
      </c>
      <c r="BQ1" s="2060" t="s">
        <v>2691</v>
      </c>
      <c r="BR1" s="2060" t="s">
        <v>2692</v>
      </c>
      <c r="BS1" s="2060" t="s">
        <v>2693</v>
      </c>
      <c r="BT1" s="2060" t="s">
        <v>2694</v>
      </c>
      <c r="BU1" s="2060" t="s">
        <v>2695</v>
      </c>
      <c r="BV1" s="2060" t="s">
        <v>2696</v>
      </c>
      <c r="BW1" s="2060" t="s">
        <v>2697</v>
      </c>
      <c r="BX1" s="2060" t="s">
        <v>2698</v>
      </c>
      <c r="BY1" s="2060" t="s">
        <v>2699</v>
      </c>
      <c r="BZ1" s="2060" t="s">
        <v>2700</v>
      </c>
      <c r="CA1" s="2060" t="s">
        <v>2701</v>
      </c>
      <c r="CB1" s="2060" t="s">
        <v>2702</v>
      </c>
      <c r="CC1" s="2060" t="s">
        <v>2703</v>
      </c>
      <c r="CD1" s="2060" t="s">
        <v>2704</v>
      </c>
      <c r="CE1" s="2060" t="s">
        <v>2705</v>
      </c>
      <c r="CF1" s="2060" t="s">
        <v>2706</v>
      </c>
      <c r="CG1" s="2060" t="s">
        <v>2707</v>
      </c>
      <c r="CH1" s="2060" t="s">
        <v>2708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nk0">
    <pageSetUpPr autoPageBreaks="0"/>
  </sheetPr>
  <dimension ref="A1:S37"/>
  <sheetViews>
    <sheetView showGridLines="0" zoomScale="85" zoomScaleNormal="85" zoomScaleSheetLayoutView="85" workbookViewId="0"/>
  </sheetViews>
  <sheetFormatPr defaultColWidth="9.33203125" defaultRowHeight="12" customHeight="1"/>
  <cols>
    <col min="1" max="1" width="2.83203125" style="335" customWidth="1"/>
    <col min="2" max="2" width="3.83203125" style="335" customWidth="1"/>
    <col min="3" max="3" width="39" style="335" customWidth="1"/>
    <col min="4" max="17" width="12" style="335" customWidth="1"/>
    <col min="18" max="18" width="8.83203125" style="335" customWidth="1"/>
    <col min="19" max="19" width="11.1640625" style="335" customWidth="1"/>
    <col min="20" max="20" width="12.83203125" style="335" customWidth="1"/>
    <col min="21" max="16384" width="9.33203125" style="335"/>
  </cols>
  <sheetData>
    <row r="1" spans="1:19" ht="18" customHeight="1">
      <c r="A1" s="1557"/>
      <c r="B1" s="649">
        <f>SUMPRODUCT(--ISERROR($C$1:Q35))+COUNTIF($C$1:Q35,Fail)</f>
        <v>0</v>
      </c>
      <c r="C1" s="838" t="str">
        <f>ClientName</f>
        <v/>
      </c>
      <c r="D1" s="852"/>
      <c r="E1" s="852"/>
      <c r="F1" s="852"/>
      <c r="G1" s="852"/>
      <c r="H1" s="852"/>
      <c r="I1" s="852"/>
      <c r="J1" s="852"/>
      <c r="K1" s="1525"/>
      <c r="L1" s="1525"/>
      <c r="M1" s="852"/>
      <c r="N1" s="852"/>
      <c r="O1" s="1525"/>
      <c r="P1" s="1525"/>
      <c r="Q1" s="389" t="str">
        <f>IFERROR(INDEX('TOC Print from here&gt;&gt;'!$F$1:$F$41,MATCH($C$3,'TOC Print from here&gt;&gt;'!$D$1:$D$41,0)),"Specify in TOC")</f>
        <v>Specify in TOC</v>
      </c>
      <c r="R1" s="1557"/>
      <c r="S1" s="1530"/>
    </row>
    <row r="2" spans="1:19" ht="18" customHeight="1">
      <c r="A2" s="1557"/>
      <c r="B2" s="649"/>
      <c r="C2" s="838" t="str">
        <f>CoNameHeading</f>
        <v>Client Name</v>
      </c>
      <c r="D2" s="852"/>
      <c r="E2" s="852"/>
      <c r="F2" s="852"/>
      <c r="G2" s="852"/>
      <c r="H2" s="852"/>
      <c r="I2" s="852"/>
      <c r="J2" s="852"/>
      <c r="K2" s="1525"/>
      <c r="L2" s="1525"/>
      <c r="M2" s="852"/>
      <c r="N2" s="852"/>
      <c r="O2" s="1525"/>
      <c r="P2" s="1525"/>
      <c r="Q2" s="389"/>
      <c r="R2" s="1557"/>
      <c r="S2" s="1530"/>
    </row>
    <row r="3" spans="1:19" ht="18" customHeight="1">
      <c r="A3" s="1557"/>
      <c r="B3" s="1557"/>
      <c r="C3" s="839" t="s">
        <v>2709</v>
      </c>
      <c r="D3" s="1526"/>
      <c r="E3" s="1526"/>
      <c r="F3" s="1526"/>
      <c r="G3" s="1526"/>
      <c r="H3" s="1526"/>
      <c r="I3" s="1526"/>
      <c r="J3" s="1526"/>
      <c r="K3" s="1525"/>
      <c r="L3" s="1525"/>
      <c r="M3" s="1526"/>
      <c r="N3" s="1526"/>
      <c r="O3" s="1526"/>
      <c r="P3" s="1526"/>
      <c r="Q3" s="1525"/>
      <c r="R3" s="1557"/>
      <c r="S3" s="1530"/>
    </row>
    <row r="4" spans="1:19" ht="18" customHeight="1">
      <c r="A4" s="1557"/>
      <c r="B4" s="1557"/>
      <c r="C4" s="840" t="str">
        <f>ValDateHeading</f>
        <v>Estimation of value as of 28 February 2017</v>
      </c>
      <c r="D4" s="1526"/>
      <c r="E4" s="1526"/>
      <c r="F4" s="1526"/>
      <c r="G4" s="1526"/>
      <c r="H4" s="1526"/>
      <c r="I4" s="1526"/>
      <c r="J4" s="1526"/>
      <c r="K4" s="1526"/>
      <c r="L4" s="1526"/>
      <c r="M4" s="1526"/>
      <c r="N4" s="1526"/>
      <c r="O4" s="1526"/>
      <c r="P4" s="1526"/>
      <c r="Q4" s="1525"/>
      <c r="R4" s="1557"/>
      <c r="S4" s="1530"/>
    </row>
    <row r="5" spans="1:19" ht="18" customHeight="1">
      <c r="A5" s="1557"/>
      <c r="B5" s="1557"/>
      <c r="C5" s="2060"/>
      <c r="D5" s="1526"/>
      <c r="E5" s="1526"/>
      <c r="F5" s="1526"/>
      <c r="G5" s="1526"/>
      <c r="H5" s="1526"/>
      <c r="I5" s="1526"/>
      <c r="J5" s="1526"/>
      <c r="K5" s="1526"/>
      <c r="L5" s="1526"/>
      <c r="M5" s="1526"/>
      <c r="N5" s="1526"/>
      <c r="O5" s="1526"/>
      <c r="P5" s="1526"/>
      <c r="Q5" s="1525"/>
      <c r="R5" s="1557"/>
      <c r="S5" s="1530"/>
    </row>
    <row r="6" spans="1:19" ht="13.9">
      <c r="A6" s="1557"/>
      <c r="B6" s="1557"/>
      <c r="C6" s="2060"/>
      <c r="D6" s="1526"/>
      <c r="E6" s="1526"/>
      <c r="F6" s="1526"/>
      <c r="G6" s="1526"/>
      <c r="H6" s="1526"/>
      <c r="I6" s="1526"/>
      <c r="J6" s="1526"/>
      <c r="K6" s="341"/>
      <c r="L6" s="341"/>
      <c r="M6" s="1526"/>
      <c r="N6" s="1526"/>
      <c r="O6" s="1526"/>
      <c r="P6" s="1526"/>
      <c r="Q6" s="1525"/>
      <c r="R6" s="1557"/>
      <c r="S6" s="1530"/>
    </row>
    <row r="7" spans="1:19" ht="12" customHeight="1">
      <c r="A7" s="1557"/>
      <c r="B7" s="1557"/>
      <c r="C7" s="2060"/>
      <c r="D7" s="2060"/>
      <c r="E7" s="2060"/>
      <c r="F7" s="2060"/>
      <c r="G7" s="2060"/>
      <c r="H7" s="2060"/>
      <c r="I7" s="2060"/>
      <c r="J7" s="2060"/>
      <c r="K7" s="2060"/>
      <c r="L7" s="2060"/>
      <c r="M7" s="2060"/>
      <c r="N7" s="2060"/>
      <c r="O7" s="2060"/>
      <c r="P7" s="2060"/>
      <c r="Q7" s="2060"/>
      <c r="R7" s="1557"/>
      <c r="S7" s="1525"/>
    </row>
    <row r="8" spans="1:19" ht="12" customHeight="1">
      <c r="A8" s="1557"/>
      <c r="B8" s="1557"/>
      <c r="C8" s="2060"/>
      <c r="D8" s="2060"/>
      <c r="E8" s="2060"/>
      <c r="F8" s="2060"/>
      <c r="G8" s="2060"/>
      <c r="H8" s="2060"/>
      <c r="I8" s="2060"/>
      <c r="J8" s="2060"/>
      <c r="K8" s="2060"/>
      <c r="L8" s="2060"/>
      <c r="M8" s="2060"/>
      <c r="N8" s="2060"/>
      <c r="O8" s="2060"/>
      <c r="P8" s="2060"/>
      <c r="Q8" s="2060"/>
      <c r="R8" s="1557"/>
      <c r="S8" s="1530"/>
    </row>
    <row r="9" spans="1:19" ht="12" customHeight="1">
      <c r="A9" s="1557"/>
      <c r="B9" s="1557"/>
      <c r="C9" s="2060"/>
      <c r="D9" s="2060"/>
      <c r="E9" s="2060"/>
      <c r="F9" s="2060"/>
      <c r="G9" s="2060"/>
      <c r="H9" s="2060"/>
      <c r="I9" s="2060"/>
      <c r="J9" s="2060"/>
      <c r="K9" s="2060"/>
      <c r="L9" s="2060"/>
      <c r="M9" s="2060"/>
      <c r="N9" s="2060"/>
      <c r="O9" s="2060"/>
      <c r="P9" s="2060"/>
      <c r="Q9" s="2060"/>
      <c r="R9" s="1557"/>
      <c r="S9" s="1530"/>
    </row>
    <row r="10" spans="1:19" ht="12" customHeight="1">
      <c r="A10" s="1557"/>
      <c r="B10" s="1557"/>
      <c r="C10" s="2060"/>
      <c r="D10" s="2060"/>
      <c r="E10" s="2060"/>
      <c r="F10" s="2060"/>
      <c r="G10" s="2060"/>
      <c r="H10" s="2060"/>
      <c r="I10" s="2060"/>
      <c r="J10" s="2060"/>
      <c r="K10" s="2060"/>
      <c r="L10" s="2060"/>
      <c r="M10" s="2060"/>
      <c r="N10" s="2060"/>
      <c r="O10" s="2060"/>
      <c r="P10" s="2060"/>
      <c r="Q10" s="2060"/>
      <c r="R10" s="1557"/>
      <c r="S10" s="1530"/>
    </row>
    <row r="11" spans="1:19" ht="12" customHeight="1">
      <c r="A11" s="1557"/>
      <c r="B11" s="1557"/>
      <c r="C11" s="2060"/>
      <c r="D11" s="2060"/>
      <c r="E11" s="2060"/>
      <c r="F11" s="2060"/>
      <c r="G11" s="2060"/>
      <c r="H11" s="2060"/>
      <c r="I11" s="2060"/>
      <c r="J11" s="2060"/>
      <c r="K11" s="2060"/>
      <c r="L11" s="2060"/>
      <c r="M11" s="2060"/>
      <c r="N11" s="2060"/>
      <c r="O11" s="2060"/>
      <c r="P11" s="2060"/>
      <c r="Q11" s="2060"/>
      <c r="R11" s="1557"/>
      <c r="S11" s="1530"/>
    </row>
    <row r="12" spans="1:19" ht="12" customHeight="1">
      <c r="A12" s="1557"/>
      <c r="B12" s="1557"/>
      <c r="C12" s="2060"/>
      <c r="D12" s="2060"/>
      <c r="E12" s="2060"/>
      <c r="F12" s="2060"/>
      <c r="G12" s="2060"/>
      <c r="H12" s="2060"/>
      <c r="I12" s="2060"/>
      <c r="J12" s="2060"/>
      <c r="K12" s="2060"/>
      <c r="L12" s="2060"/>
      <c r="M12" s="2060"/>
      <c r="N12" s="2060"/>
      <c r="O12" s="2060"/>
      <c r="P12" s="2060"/>
      <c r="Q12" s="2060"/>
      <c r="R12" s="1557"/>
      <c r="S12" s="1530"/>
    </row>
    <row r="13" spans="1:19" ht="12" customHeight="1">
      <c r="A13" s="1557"/>
      <c r="B13" s="1557"/>
      <c r="C13" s="2060"/>
      <c r="D13" s="2060"/>
      <c r="E13" s="2060"/>
      <c r="F13" s="2060"/>
      <c r="G13" s="2060"/>
      <c r="H13" s="2060"/>
      <c r="I13" s="2060"/>
      <c r="J13" s="2060"/>
      <c r="K13" s="2060"/>
      <c r="L13" s="2060"/>
      <c r="M13" s="2060"/>
      <c r="N13" s="2060"/>
      <c r="O13" s="2060"/>
      <c r="P13" s="2060"/>
      <c r="Q13" s="2060"/>
      <c r="R13" s="1557"/>
      <c r="S13" s="1530"/>
    </row>
    <row r="14" spans="1:19" ht="12" customHeight="1">
      <c r="A14" s="1557"/>
      <c r="B14" s="1557"/>
      <c r="C14" s="2060"/>
      <c r="D14" s="2060"/>
      <c r="E14" s="1505"/>
      <c r="F14" s="2060"/>
      <c r="G14" s="2060"/>
      <c r="H14" s="2060"/>
      <c r="I14" s="2060"/>
      <c r="J14" s="2060"/>
      <c r="K14" s="2060"/>
      <c r="L14" s="2060"/>
      <c r="M14" s="2060"/>
      <c r="N14" s="2060"/>
      <c r="O14" s="2060"/>
      <c r="P14" s="2060"/>
      <c r="Q14" s="2060"/>
      <c r="R14" s="1557"/>
      <c r="S14" s="1530"/>
    </row>
    <row r="15" spans="1:19" ht="12" customHeight="1">
      <c r="A15" s="1557"/>
      <c r="B15" s="1557"/>
      <c r="C15" s="2060"/>
      <c r="D15" s="2060"/>
      <c r="E15" s="1505"/>
      <c r="F15" s="2060"/>
      <c r="G15" s="2060"/>
      <c r="H15" s="2060"/>
      <c r="I15" s="2060"/>
      <c r="J15" s="2060"/>
      <c r="K15" s="2060"/>
      <c r="L15" s="2060"/>
      <c r="M15" s="2060"/>
      <c r="N15" s="2060"/>
      <c r="O15" s="2060"/>
      <c r="P15" s="2060"/>
      <c r="Q15" s="2060"/>
      <c r="R15" s="1557"/>
      <c r="S15" s="1530"/>
    </row>
    <row r="16" spans="1:19" ht="12" customHeight="1">
      <c r="A16" s="1557"/>
      <c r="B16" s="1557"/>
      <c r="C16" s="2060"/>
      <c r="D16" s="2060"/>
      <c r="E16" s="1505"/>
      <c r="F16" s="2060"/>
      <c r="G16" s="2060"/>
      <c r="H16" s="2060"/>
      <c r="I16" s="2060"/>
      <c r="J16" s="2060"/>
      <c r="K16" s="2060"/>
      <c r="L16" s="2060"/>
      <c r="M16" s="2060"/>
      <c r="N16" s="2060"/>
      <c r="O16" s="2060"/>
      <c r="P16" s="2060"/>
      <c r="Q16" s="2060"/>
      <c r="R16" s="1557"/>
      <c r="S16" s="1530"/>
    </row>
    <row r="17" spans="1:18" ht="12" customHeight="1">
      <c r="A17" s="1557"/>
      <c r="B17" s="1557"/>
      <c r="C17" s="2060"/>
      <c r="D17" s="2060"/>
      <c r="E17" s="1505"/>
      <c r="F17" s="2060"/>
      <c r="G17" s="2060"/>
      <c r="H17" s="2060"/>
      <c r="I17" s="2060"/>
      <c r="J17" s="2060"/>
      <c r="K17" s="2060"/>
      <c r="L17" s="2060"/>
      <c r="M17" s="2060"/>
      <c r="N17" s="2060"/>
      <c r="O17" s="2060"/>
      <c r="P17" s="2060"/>
      <c r="Q17" s="2060"/>
      <c r="R17" s="1557"/>
    </row>
    <row r="18" spans="1:18" ht="12" customHeight="1">
      <c r="A18" s="1557"/>
      <c r="B18" s="1557"/>
      <c r="C18" s="2060"/>
      <c r="D18" s="2060"/>
      <c r="E18" s="1505"/>
      <c r="F18" s="2060"/>
      <c r="G18" s="2060"/>
      <c r="H18" s="2060"/>
      <c r="I18" s="2060"/>
      <c r="J18" s="2060"/>
      <c r="K18" s="2060"/>
      <c r="L18" s="2060"/>
      <c r="M18" s="2060"/>
      <c r="N18" s="2060"/>
      <c r="O18" s="2060"/>
      <c r="P18" s="2060"/>
      <c r="Q18" s="2060"/>
      <c r="R18" s="1557"/>
    </row>
    <row r="19" spans="1:18" ht="12" customHeight="1">
      <c r="A19" s="1557"/>
      <c r="B19" s="1557"/>
      <c r="C19" s="2060"/>
      <c r="D19" s="2060"/>
      <c r="E19" s="1505"/>
      <c r="F19" s="2060"/>
      <c r="G19" s="2060"/>
      <c r="H19" s="2060"/>
      <c r="I19" s="2060"/>
      <c r="J19" s="2060"/>
      <c r="K19" s="2060"/>
      <c r="L19" s="2060"/>
      <c r="M19" s="2060"/>
      <c r="N19" s="2060"/>
      <c r="O19" s="2060"/>
      <c r="P19" s="2060"/>
      <c r="Q19" s="2060"/>
      <c r="R19" s="1557"/>
    </row>
    <row r="20" spans="1:18" ht="12" customHeight="1">
      <c r="A20" s="1557"/>
      <c r="B20" s="1557"/>
      <c r="C20" s="2060"/>
      <c r="D20" s="2060"/>
      <c r="E20" s="1505"/>
      <c r="F20" s="2060"/>
      <c r="G20" s="2060"/>
      <c r="H20" s="2060"/>
      <c r="I20" s="2060"/>
      <c r="J20" s="2060"/>
      <c r="K20" s="2060"/>
      <c r="L20" s="2060"/>
      <c r="M20" s="2060"/>
      <c r="N20" s="2060"/>
      <c r="O20" s="2060"/>
      <c r="P20" s="2060"/>
      <c r="Q20" s="2060"/>
      <c r="R20" s="1557"/>
    </row>
    <row r="21" spans="1:18" ht="12" customHeight="1">
      <c r="A21" s="1557"/>
      <c r="B21" s="1557"/>
      <c r="C21" s="2060"/>
      <c r="D21" s="2060"/>
      <c r="E21" s="1578"/>
      <c r="F21" s="2060"/>
      <c r="G21" s="2060"/>
      <c r="H21" s="2060"/>
      <c r="I21" s="2060"/>
      <c r="J21" s="2060"/>
      <c r="K21" s="2060"/>
      <c r="L21" s="2060"/>
      <c r="M21" s="2060"/>
      <c r="N21" s="2060"/>
      <c r="O21" s="2060"/>
      <c r="P21" s="2060"/>
      <c r="Q21" s="2060"/>
      <c r="R21" s="1557"/>
    </row>
    <row r="22" spans="1:18" ht="12" customHeight="1">
      <c r="A22" s="1557"/>
      <c r="B22" s="1557"/>
      <c r="C22" s="2060"/>
      <c r="D22" s="2060"/>
      <c r="E22" s="1505"/>
      <c r="F22" s="2060"/>
      <c r="G22" s="2060"/>
      <c r="H22" s="2060"/>
      <c r="I22" s="2060"/>
      <c r="J22" s="2060"/>
      <c r="K22" s="2060"/>
      <c r="L22" s="2060"/>
      <c r="M22" s="2060"/>
      <c r="N22" s="2060"/>
      <c r="O22" s="2060"/>
      <c r="P22" s="2060"/>
      <c r="Q22" s="2060"/>
      <c r="R22" s="1557"/>
    </row>
    <row r="23" spans="1:18" ht="12" customHeight="1">
      <c r="A23" s="1557"/>
      <c r="B23" s="1557"/>
      <c r="C23" s="2060"/>
      <c r="D23" s="2060"/>
      <c r="E23" s="1505"/>
      <c r="F23" s="2060"/>
      <c r="G23" s="2060"/>
      <c r="H23" s="2060"/>
      <c r="I23" s="2060"/>
      <c r="J23" s="2060"/>
      <c r="K23" s="2060"/>
      <c r="L23" s="2060"/>
      <c r="M23" s="2060"/>
      <c r="N23" s="2060"/>
      <c r="O23" s="2060"/>
      <c r="P23" s="2060"/>
      <c r="Q23" s="2060"/>
      <c r="R23" s="1557"/>
    </row>
    <row r="24" spans="1:18" ht="12" customHeight="1">
      <c r="A24" s="1557"/>
      <c r="B24" s="1557"/>
      <c r="C24" s="2060"/>
      <c r="D24" s="2060"/>
      <c r="E24" s="1505"/>
      <c r="F24" s="2060"/>
      <c r="G24" s="2060"/>
      <c r="H24" s="2060"/>
      <c r="I24" s="2060"/>
      <c r="J24" s="2060"/>
      <c r="K24" s="2060"/>
      <c r="L24" s="2060"/>
      <c r="M24" s="2060"/>
      <c r="N24" s="2060"/>
      <c r="O24" s="2060"/>
      <c r="P24" s="2060"/>
      <c r="Q24" s="2060"/>
      <c r="R24" s="1557"/>
    </row>
    <row r="25" spans="1:18" ht="12" customHeight="1">
      <c r="A25" s="1557"/>
      <c r="B25" s="1557"/>
      <c r="C25" s="2060"/>
      <c r="D25" s="2060"/>
      <c r="E25" s="1505"/>
      <c r="F25" s="2060"/>
      <c r="G25" s="2060"/>
      <c r="H25" s="2060"/>
      <c r="I25" s="2060"/>
      <c r="J25" s="2060"/>
      <c r="K25" s="2060"/>
      <c r="L25" s="2060"/>
      <c r="M25" s="2060"/>
      <c r="N25" s="2060"/>
      <c r="O25" s="2060"/>
      <c r="P25" s="2060"/>
      <c r="Q25" s="2060"/>
      <c r="R25" s="1557"/>
    </row>
    <row r="26" spans="1:18" ht="12" customHeight="1">
      <c r="A26" s="1557"/>
      <c r="B26" s="1557"/>
      <c r="C26" s="2060"/>
      <c r="D26" s="2060"/>
      <c r="E26" s="1505"/>
      <c r="F26" s="2060"/>
      <c r="G26" s="2060"/>
      <c r="H26" s="2060"/>
      <c r="I26" s="2060"/>
      <c r="J26" s="2060"/>
      <c r="K26" s="2060"/>
      <c r="L26" s="2060"/>
      <c r="M26" s="2060"/>
      <c r="N26" s="2060"/>
      <c r="O26" s="2060"/>
      <c r="P26" s="2060"/>
      <c r="Q26" s="2060"/>
      <c r="R26" s="1557"/>
    </row>
    <row r="27" spans="1:18" ht="12" customHeight="1">
      <c r="A27" s="1557"/>
      <c r="B27" s="1557"/>
      <c r="C27" s="2060"/>
      <c r="D27" s="2060"/>
      <c r="E27" s="1505"/>
      <c r="F27" s="2060"/>
      <c r="G27" s="2060"/>
      <c r="H27" s="2060"/>
      <c r="I27" s="2060"/>
      <c r="J27" s="2060"/>
      <c r="K27" s="2060"/>
      <c r="L27" s="2060"/>
      <c r="M27" s="2060"/>
      <c r="N27" s="2060"/>
      <c r="O27" s="2060"/>
      <c r="P27" s="2060"/>
      <c r="Q27" s="2060"/>
      <c r="R27" s="1557"/>
    </row>
    <row r="28" spans="1:18" ht="12" customHeight="1">
      <c r="A28" s="1557"/>
      <c r="B28" s="1557"/>
      <c r="C28" s="2060"/>
      <c r="D28" s="2060"/>
      <c r="E28" s="1578"/>
      <c r="F28" s="2060"/>
      <c r="G28" s="2060"/>
      <c r="H28" s="2060"/>
      <c r="I28" s="2060"/>
      <c r="J28" s="2060"/>
      <c r="K28" s="2060"/>
      <c r="L28" s="2060"/>
      <c r="M28" s="2060"/>
      <c r="N28" s="2060"/>
      <c r="O28" s="2060"/>
      <c r="P28" s="2060"/>
      <c r="Q28" s="2060"/>
      <c r="R28" s="1557"/>
    </row>
    <row r="29" spans="1:18" ht="12" customHeight="1">
      <c r="A29" s="1557"/>
      <c r="B29" s="1557"/>
      <c r="C29" s="2060"/>
      <c r="D29" s="2060"/>
      <c r="E29" s="1505"/>
      <c r="F29" s="2060"/>
      <c r="G29" s="2060"/>
      <c r="H29" s="2060"/>
      <c r="I29" s="2060"/>
      <c r="J29" s="2060"/>
      <c r="K29" s="2060"/>
      <c r="L29" s="2060"/>
      <c r="M29" s="2060"/>
      <c r="N29" s="2060"/>
      <c r="O29" s="2060"/>
      <c r="P29" s="2060"/>
      <c r="Q29" s="2060"/>
      <c r="R29" s="1557"/>
    </row>
    <row r="30" spans="1:18" ht="12" customHeight="1">
      <c r="A30" s="1557"/>
      <c r="B30" s="1557"/>
      <c r="C30" s="2060"/>
      <c r="D30" s="2060"/>
      <c r="E30" s="1505"/>
      <c r="F30" s="2060"/>
      <c r="G30" s="2060"/>
      <c r="H30" s="2060"/>
      <c r="I30" s="2060"/>
      <c r="J30" s="2060"/>
      <c r="K30" s="2060"/>
      <c r="L30" s="2060"/>
      <c r="M30" s="2060"/>
      <c r="N30" s="2060"/>
      <c r="O30" s="2060"/>
      <c r="P30" s="2060"/>
      <c r="Q30" s="2060"/>
      <c r="R30" s="1557"/>
    </row>
    <row r="31" spans="1:18" ht="12" customHeight="1">
      <c r="A31" s="1557"/>
      <c r="B31" s="1557"/>
      <c r="C31" s="2060"/>
      <c r="D31" s="2060"/>
      <c r="E31" s="1505"/>
      <c r="F31" s="2060"/>
      <c r="G31" s="2060"/>
      <c r="H31" s="2060"/>
      <c r="I31" s="2060"/>
      <c r="J31" s="2060"/>
      <c r="K31" s="2060"/>
      <c r="L31" s="2060"/>
      <c r="M31" s="2060"/>
      <c r="N31" s="2060"/>
      <c r="O31" s="2060"/>
      <c r="P31" s="2060"/>
      <c r="Q31" s="2060"/>
      <c r="R31" s="1557"/>
    </row>
    <row r="32" spans="1:18" ht="12" customHeight="1">
      <c r="A32" s="1557"/>
      <c r="B32" s="1557"/>
      <c r="C32" s="2060"/>
      <c r="D32" s="2060"/>
      <c r="E32" s="1505"/>
      <c r="F32" s="2060"/>
      <c r="G32" s="2060"/>
      <c r="H32" s="2060"/>
      <c r="I32" s="2060"/>
      <c r="J32" s="2060"/>
      <c r="K32" s="2060"/>
      <c r="L32" s="2060"/>
      <c r="M32" s="2060"/>
      <c r="N32" s="2060"/>
      <c r="O32" s="2060"/>
      <c r="P32" s="2060"/>
      <c r="Q32" s="2060"/>
      <c r="R32" s="1557"/>
    </row>
    <row r="33" spans="1:19" ht="12" customHeight="1">
      <c r="A33" s="1557"/>
      <c r="B33" s="1557"/>
      <c r="C33" s="2060"/>
      <c r="D33" s="2060"/>
      <c r="E33" s="1505"/>
      <c r="F33" s="2060"/>
      <c r="G33" s="2060"/>
      <c r="H33" s="2060"/>
      <c r="I33" s="2060"/>
      <c r="J33" s="2060"/>
      <c r="K33" s="2060"/>
      <c r="L33" s="2060"/>
      <c r="M33" s="2060"/>
      <c r="N33" s="2060"/>
      <c r="O33" s="2060"/>
      <c r="P33" s="2060"/>
      <c r="Q33" s="2060"/>
      <c r="R33" s="1557"/>
      <c r="S33" s="1525"/>
    </row>
    <row r="34" spans="1:19" ht="12" customHeight="1">
      <c r="A34" s="1557"/>
      <c r="B34" s="1557"/>
      <c r="C34" s="1529" t="str">
        <f>DraftFooter</f>
        <v>Draft and preliminary. All data subject to change upon completion of additional analysis</v>
      </c>
      <c r="D34" s="356"/>
      <c r="E34" s="691"/>
      <c r="F34" s="356"/>
      <c r="G34" s="356"/>
      <c r="H34" s="356"/>
      <c r="I34" s="356"/>
      <c r="J34" s="356"/>
      <c r="K34" s="1529"/>
      <c r="L34" s="1529"/>
      <c r="M34" s="356"/>
      <c r="N34" s="357"/>
      <c r="O34" s="358"/>
      <c r="P34" s="358"/>
      <c r="Q34" s="1525"/>
      <c r="R34" s="1557"/>
      <c r="S34" s="1525"/>
    </row>
    <row r="35" spans="1:19" ht="12" customHeight="1">
      <c r="A35" s="1557" t="s">
        <v>17</v>
      </c>
      <c r="B35" s="592"/>
      <c r="C35" s="592"/>
      <c r="D35" s="592"/>
      <c r="E35" s="685"/>
      <c r="F35" s="592"/>
      <c r="G35" s="592"/>
      <c r="H35" s="592"/>
      <c r="I35" s="592"/>
      <c r="J35" s="592"/>
      <c r="K35" s="1565"/>
      <c r="L35" s="1565"/>
      <c r="M35" s="592"/>
      <c r="N35" s="592"/>
      <c r="O35" s="592"/>
      <c r="P35" s="592"/>
      <c r="Q35" s="596" t="s">
        <v>18</v>
      </c>
      <c r="R35" s="1557"/>
      <c r="S35" s="1525"/>
    </row>
    <row r="36" spans="1:19" ht="12" customHeight="1">
      <c r="A36" s="1530"/>
      <c r="B36" s="1530"/>
      <c r="C36" s="1530"/>
      <c r="D36" s="1530"/>
      <c r="E36" s="1568"/>
      <c r="F36" s="1530"/>
      <c r="G36" s="1530"/>
      <c r="H36" s="1530"/>
      <c r="I36" s="1530"/>
      <c r="J36" s="1530"/>
      <c r="K36" s="1530"/>
      <c r="L36" s="1530"/>
      <c r="M36" s="1530"/>
      <c r="N36" s="1530"/>
      <c r="O36" s="1530"/>
      <c r="P36" s="1530"/>
      <c r="Q36" s="1530"/>
      <c r="R36" s="1530"/>
      <c r="S36" s="1530"/>
    </row>
    <row r="37" spans="1:19" ht="12" customHeight="1">
      <c r="A37" s="1530"/>
      <c r="B37" s="1530"/>
      <c r="C37" s="1530"/>
      <c r="D37" s="1530"/>
      <c r="E37" s="1568"/>
      <c r="F37" s="1530"/>
      <c r="G37" s="1530"/>
      <c r="H37" s="1530"/>
      <c r="I37" s="1530"/>
      <c r="J37" s="1530"/>
      <c r="K37" s="1530"/>
      <c r="L37" s="1530"/>
      <c r="M37" s="1530"/>
      <c r="N37" s="1530"/>
      <c r="O37" s="1530"/>
      <c r="P37" s="1530"/>
      <c r="Q37" s="1530"/>
      <c r="R37" s="1530"/>
      <c r="S37" s="1530"/>
    </row>
  </sheetData>
  <pageMargins left="0.6" right="0.4" top="0.5" bottom="0.5" header="0" footer="0.3"/>
  <pageSetup scale="70" orientation="landscape" blackAndWhite="1" cellComments="atEnd" r:id="rId1"/>
  <headerFooter>
    <oddFooter>&amp;CReliance restricted&amp;LSome totals may not add due to rounding. See Statement of Limiting Conditions.&amp;R© 2016 Ernst &amp; Young LLP. All Rights Reserved</oddFooter>
  </headerFooter>
  <rowBreaks count="1" manualBreakCount="1">
    <brk id="35" max="16383" man="1"/>
  </rowBreak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orage">
    <tabColor rgb="FF7030A0"/>
  </sheetPr>
  <dimension ref="A1:AF3725"/>
  <sheetViews>
    <sheetView showGridLines="0" zoomScale="85" zoomScaleNormal="85" workbookViewId="0"/>
  </sheetViews>
  <sheetFormatPr defaultColWidth="9.33203125" defaultRowHeight="13.9"/>
  <cols>
    <col min="1" max="1" width="4.83203125" style="11" customWidth="1"/>
    <col min="2" max="2" width="7" style="11" customWidth="1"/>
    <col min="3" max="3" width="5.83203125" style="11" customWidth="1"/>
    <col min="4" max="4" width="5.83203125" style="94" customWidth="1"/>
    <col min="5" max="5" width="6.83203125" style="94" customWidth="1"/>
    <col min="6" max="7" width="6.83203125" style="255" customWidth="1"/>
    <col min="8" max="8" width="37.6640625" style="11" customWidth="1"/>
    <col min="9" max="9" width="37.6640625" style="12" customWidth="1"/>
    <col min="10" max="10" width="24.5" style="11" customWidth="1"/>
    <col min="11" max="11" width="38.33203125" style="11" customWidth="1"/>
    <col min="12" max="13" width="15.83203125" style="11" customWidth="1"/>
    <col min="14" max="14" width="21.5" style="11" customWidth="1"/>
    <col min="15" max="15" width="25.33203125" style="11" customWidth="1"/>
    <col min="16" max="16" width="22.33203125" style="123" customWidth="1"/>
    <col min="17" max="17" width="26.33203125" style="11" customWidth="1"/>
    <col min="18" max="18" width="15.83203125" style="11" customWidth="1"/>
    <col min="19" max="19" width="30.33203125" style="11" customWidth="1"/>
    <col min="20" max="20" width="40" style="11" customWidth="1"/>
    <col min="21" max="22" width="15.83203125" style="11" customWidth="1"/>
    <col min="23" max="23" width="40.6640625" style="11" customWidth="1"/>
    <col min="24" max="25" width="15.83203125" style="11" customWidth="1"/>
    <col min="26" max="26" width="18.83203125" style="11" customWidth="1"/>
    <col min="27" max="27" width="34.6640625" style="11" customWidth="1"/>
    <col min="28" max="33" width="9.33203125" style="11" customWidth="1"/>
    <col min="34" max="44" width="10.6640625" style="11" customWidth="1"/>
    <col min="45" max="16384" width="9.33203125" style="11"/>
  </cols>
  <sheetData>
    <row r="1" spans="1:31" ht="21">
      <c r="A1" s="2060"/>
      <c r="B1" s="28" t="s">
        <v>2710</v>
      </c>
      <c r="C1" s="255"/>
      <c r="D1" s="255"/>
      <c r="E1" s="255"/>
      <c r="H1" s="255"/>
      <c r="I1" s="126"/>
      <c r="J1" s="255"/>
      <c r="K1" s="255"/>
      <c r="L1" s="255"/>
      <c r="M1" s="255"/>
      <c r="N1" s="255"/>
      <c r="O1" s="255"/>
      <c r="P1" s="255"/>
      <c r="Q1" s="255"/>
      <c r="R1" s="255"/>
      <c r="S1" s="399" t="s">
        <v>2711</v>
      </c>
      <c r="T1" s="255"/>
      <c r="U1" s="255"/>
      <c r="V1" s="255"/>
      <c r="W1" s="255"/>
      <c r="X1" s="255"/>
      <c r="Y1" s="255"/>
      <c r="Z1" s="255"/>
      <c r="AA1" s="255"/>
      <c r="AB1" s="255"/>
      <c r="AC1" s="255"/>
      <c r="AD1" s="255"/>
      <c r="AE1" s="255"/>
    </row>
    <row r="2" spans="1:31" ht="20.45">
      <c r="A2" s="255"/>
      <c r="B2" s="111" t="s">
        <v>2712</v>
      </c>
      <c r="C2" s="333"/>
      <c r="D2" s="333"/>
      <c r="E2" s="333"/>
      <c r="F2" s="333"/>
      <c r="G2" s="333"/>
      <c r="H2" s="255"/>
      <c r="I2" s="13"/>
      <c r="J2" s="333"/>
      <c r="K2" s="7"/>
      <c r="L2" s="7"/>
      <c r="M2" s="333"/>
      <c r="N2" s="333"/>
      <c r="O2" s="333"/>
      <c r="P2" s="333"/>
      <c r="Q2" s="333"/>
      <c r="R2" s="333"/>
      <c r="S2" s="333"/>
      <c r="T2" s="333"/>
      <c r="U2" s="333"/>
      <c r="V2" s="333"/>
      <c r="W2" s="333"/>
      <c r="X2" s="255"/>
      <c r="Y2" s="255"/>
      <c r="Z2" s="255"/>
      <c r="AA2" s="255"/>
      <c r="AB2" s="255"/>
      <c r="AC2" s="255"/>
      <c r="AD2" s="255"/>
      <c r="AE2" s="255"/>
    </row>
    <row r="3" spans="1:31">
      <c r="A3" s="255"/>
      <c r="B3" s="1511" t="str">
        <f>OutputCurrencyLabel</f>
        <v>(USD in Millions)</v>
      </c>
      <c r="C3" s="255"/>
      <c r="D3" s="255"/>
      <c r="E3" s="255"/>
      <c r="H3" s="255"/>
      <c r="I3" s="126"/>
      <c r="J3" s="8"/>
      <c r="K3" s="255"/>
      <c r="L3" s="255"/>
      <c r="M3" s="255"/>
      <c r="N3" s="255"/>
      <c r="O3" s="255"/>
      <c r="P3" s="255"/>
      <c r="Q3" s="255"/>
      <c r="R3" s="255"/>
      <c r="S3" s="255"/>
      <c r="T3" s="255"/>
      <c r="U3" s="255"/>
      <c r="V3" s="255"/>
      <c r="W3" s="255"/>
      <c r="X3" s="255"/>
      <c r="Y3" s="255"/>
      <c r="Z3" s="255"/>
      <c r="AA3" s="255"/>
      <c r="AB3" s="255"/>
      <c r="AC3" s="255"/>
      <c r="AD3" s="255"/>
      <c r="AE3" s="255"/>
    </row>
    <row r="4" spans="1:31" ht="14.45" thickBot="1">
      <c r="A4" s="255"/>
      <c r="B4" s="69"/>
      <c r="C4" s="19"/>
      <c r="D4" s="19"/>
      <c r="E4" s="19"/>
      <c r="F4" s="19"/>
      <c r="G4" s="19"/>
      <c r="H4" s="19"/>
      <c r="I4" s="17"/>
      <c r="J4" s="69"/>
      <c r="K4" s="25"/>
      <c r="L4" s="25"/>
      <c r="M4" s="25"/>
      <c r="N4" s="25"/>
      <c r="O4" s="25"/>
      <c r="P4" s="25"/>
      <c r="Q4" s="25"/>
      <c r="R4" s="25"/>
      <c r="S4" s="25"/>
      <c r="T4" s="255"/>
      <c r="U4" s="255"/>
      <c r="V4" s="255"/>
      <c r="W4" s="255"/>
      <c r="X4" s="255"/>
      <c r="Y4" s="255"/>
      <c r="Z4" s="255"/>
      <c r="AA4" s="255"/>
      <c r="AB4" s="255"/>
      <c r="AC4" s="255"/>
      <c r="AD4" s="255"/>
      <c r="AE4" s="103"/>
    </row>
    <row r="5" spans="1:31" ht="14.45" thickTop="1">
      <c r="A5" s="255"/>
      <c r="B5" s="255"/>
      <c r="C5" s="255"/>
      <c r="D5" s="255"/>
      <c r="E5" s="255"/>
      <c r="H5" s="15"/>
      <c r="I5" s="126"/>
      <c r="J5" s="255"/>
      <c r="K5" s="255"/>
      <c r="L5" s="255"/>
      <c r="M5" s="255"/>
      <c r="N5" s="255"/>
      <c r="O5" s="255"/>
      <c r="P5" s="255"/>
      <c r="Q5" s="255"/>
      <c r="R5" s="255"/>
      <c r="S5" s="255"/>
      <c r="T5" s="255"/>
      <c r="U5" s="255"/>
      <c r="V5" s="255"/>
      <c r="W5" s="255"/>
      <c r="X5" s="255"/>
      <c r="Y5" s="255"/>
      <c r="Z5" s="255"/>
      <c r="AA5" s="255"/>
      <c r="AB5" s="255"/>
      <c r="AC5" s="255"/>
      <c r="AD5" s="255"/>
      <c r="AE5" s="103"/>
    </row>
    <row r="6" spans="1:31">
      <c r="A6" s="255"/>
      <c r="B6" s="255"/>
      <c r="C6" s="255"/>
      <c r="D6" s="255"/>
      <c r="E6" s="255"/>
      <c r="H6" s="255"/>
      <c r="I6" s="126"/>
      <c r="J6" s="255"/>
      <c r="K6" s="255"/>
      <c r="L6" s="255"/>
      <c r="M6" s="255"/>
      <c r="N6" s="255"/>
      <c r="O6" s="255"/>
      <c r="P6" s="255"/>
      <c r="Q6" s="255"/>
      <c r="R6" s="255"/>
      <c r="S6" s="255"/>
      <c r="T6" s="255"/>
      <c r="U6" s="255"/>
      <c r="V6" s="255"/>
      <c r="W6" s="255"/>
      <c r="X6" s="255"/>
      <c r="Y6" s="255"/>
      <c r="Z6" s="255"/>
      <c r="AA6" s="255"/>
      <c r="AB6" s="255"/>
      <c r="AC6" s="255"/>
      <c r="AD6" s="255"/>
      <c r="AE6" s="103"/>
    </row>
    <row r="7" spans="1:31" ht="17.45">
      <c r="A7" s="255"/>
      <c r="B7" s="251">
        <f ca="1">MAX(OFFSET(B7,-1,0,-ROW(B7)+1,1))+1</f>
        <v>1</v>
      </c>
      <c r="C7" s="252"/>
      <c r="D7" s="252"/>
      <c r="E7" s="252"/>
      <c r="F7" s="252"/>
      <c r="G7" s="252"/>
      <c r="H7" s="120"/>
      <c r="I7" s="121"/>
      <c r="J7" s="122"/>
      <c r="K7" s="253"/>
      <c r="L7" s="253"/>
      <c r="M7" s="253"/>
      <c r="N7" s="253"/>
      <c r="O7" s="253"/>
      <c r="P7" s="253"/>
      <c r="Q7" s="253"/>
      <c r="R7" s="253"/>
      <c r="S7" s="253"/>
      <c r="T7" s="253"/>
      <c r="U7" s="253"/>
      <c r="V7" s="255"/>
      <c r="W7" s="255"/>
      <c r="X7" s="255"/>
      <c r="Y7" s="255"/>
      <c r="Z7" s="255"/>
      <c r="AA7" s="255"/>
      <c r="AB7" s="255"/>
      <c r="AC7" s="255"/>
      <c r="AD7" s="255"/>
      <c r="AE7" s="255"/>
    </row>
    <row r="8" spans="1:31" ht="12.75" customHeight="1">
      <c r="A8" s="255"/>
      <c r="B8" s="255"/>
      <c r="C8" s="255"/>
      <c r="D8" s="255"/>
      <c r="E8" s="255"/>
      <c r="H8" s="255"/>
      <c r="I8" s="126"/>
      <c r="J8" s="255"/>
      <c r="K8" s="255"/>
      <c r="L8" s="255"/>
      <c r="M8" s="255"/>
      <c r="N8" s="255"/>
      <c r="O8" s="255"/>
      <c r="P8" s="255"/>
      <c r="Q8" s="255"/>
      <c r="R8" s="255"/>
      <c r="S8" s="255"/>
      <c r="T8" s="255"/>
      <c r="U8" s="255"/>
      <c r="V8" s="255"/>
      <c r="W8" s="255"/>
      <c r="X8" s="255"/>
      <c r="Y8" s="255"/>
      <c r="Z8" s="255"/>
      <c r="AA8" s="255"/>
      <c r="AB8" s="255"/>
      <c r="AC8" s="255"/>
      <c r="AD8" s="255"/>
      <c r="AE8" s="255"/>
    </row>
    <row r="9" spans="1:31">
      <c r="A9" s="255"/>
      <c r="B9" s="255"/>
      <c r="C9" s="88"/>
      <c r="D9" s="88"/>
      <c r="E9" s="88"/>
      <c r="F9" s="88"/>
      <c r="G9" s="88"/>
      <c r="H9" s="255" t="s">
        <v>2713</v>
      </c>
      <c r="I9" s="2278" t="b">
        <v>0</v>
      </c>
      <c r="J9" s="255"/>
      <c r="K9" s="255"/>
      <c r="L9" s="88" t="s">
        <v>2598</v>
      </c>
      <c r="M9" s="255"/>
      <c r="N9" s="255"/>
      <c r="O9" s="255"/>
      <c r="P9" s="88" t="s">
        <v>2714</v>
      </c>
      <c r="Q9" s="255"/>
      <c r="R9" s="255"/>
      <c r="S9" s="255"/>
      <c r="T9" s="255"/>
      <c r="U9" s="255"/>
      <c r="V9" s="255"/>
      <c r="W9" s="255"/>
      <c r="X9" s="255"/>
      <c r="Y9" s="255"/>
      <c r="Z9" s="255"/>
      <c r="AA9" s="255"/>
      <c r="AB9" s="255"/>
      <c r="AC9" s="255"/>
      <c r="AD9" s="255"/>
      <c r="AE9" s="255"/>
    </row>
    <row r="10" spans="1:31">
      <c r="A10" s="255"/>
      <c r="B10" s="255"/>
      <c r="C10" s="125"/>
      <c r="D10" s="125"/>
      <c r="E10" s="125"/>
      <c r="F10" s="125"/>
      <c r="G10" s="125"/>
      <c r="H10" s="46" t="s">
        <v>2715</v>
      </c>
      <c r="I10" s="2278" t="b">
        <v>0</v>
      </c>
      <c r="J10" s="255"/>
      <c r="K10" s="255"/>
      <c r="L10" s="46" t="s">
        <v>2716</v>
      </c>
      <c r="M10" s="255"/>
      <c r="N10" s="2279" t="s">
        <v>2717</v>
      </c>
      <c r="O10" s="255"/>
      <c r="P10" s="21" t="s">
        <v>2718</v>
      </c>
      <c r="Q10" s="255"/>
      <c r="R10" s="255"/>
      <c r="S10" s="2279"/>
      <c r="T10" s="255"/>
      <c r="U10" s="255"/>
      <c r="V10" s="255"/>
      <c r="W10" s="255"/>
      <c r="X10" s="255"/>
      <c r="Y10" s="255"/>
      <c r="Z10" s="255"/>
      <c r="AA10" s="255"/>
      <c r="AB10" s="255"/>
      <c r="AC10" s="255"/>
      <c r="AD10" s="255"/>
      <c r="AE10" s="255"/>
    </row>
    <row r="11" spans="1:31">
      <c r="A11" s="255"/>
      <c r="B11" s="255"/>
      <c r="C11" s="125"/>
      <c r="D11" s="125"/>
      <c r="E11" s="125"/>
      <c r="F11" s="125"/>
      <c r="G11" s="125"/>
      <c r="H11" s="46" t="s">
        <v>2719</v>
      </c>
      <c r="I11" s="2278" t="b">
        <f>IF(UPPER(PrintDRAFTYN)="Y",TRUE,FALSE)</f>
        <v>1</v>
      </c>
      <c r="J11" s="255"/>
      <c r="K11" s="255"/>
      <c r="L11" s="46" t="s">
        <v>2720</v>
      </c>
      <c r="M11" s="255"/>
      <c r="N11" s="2279" t="s">
        <v>2721</v>
      </c>
      <c r="O11" s="255"/>
      <c r="P11" s="255"/>
      <c r="Q11" s="255"/>
      <c r="R11" s="255"/>
      <c r="S11" s="255"/>
      <c r="T11" s="255"/>
      <c r="U11" s="255"/>
      <c r="V11" s="255"/>
      <c r="W11" s="255"/>
      <c r="X11" s="255"/>
      <c r="Y11" s="255"/>
      <c r="Z11" s="255"/>
      <c r="AA11" s="255"/>
      <c r="AB11" s="255"/>
      <c r="AC11" s="255"/>
      <c r="AD11" s="255"/>
      <c r="AE11" s="255"/>
    </row>
    <row r="12" spans="1:31">
      <c r="A12" s="255"/>
      <c r="B12" s="255"/>
      <c r="C12" s="125"/>
      <c r="D12" s="125"/>
      <c r="E12" s="125"/>
      <c r="F12" s="125"/>
      <c r="G12" s="125"/>
      <c r="H12" s="46" t="s">
        <v>2722</v>
      </c>
      <c r="I12" s="2278" t="b">
        <v>1</v>
      </c>
      <c r="J12" s="255"/>
      <c r="K12" s="255"/>
      <c r="L12" s="255"/>
      <c r="M12" s="255"/>
      <c r="N12" s="255"/>
      <c r="O12" s="255"/>
      <c r="P12" s="255" t="s">
        <v>2723</v>
      </c>
      <c r="Q12" s="255" t="b">
        <v>0</v>
      </c>
      <c r="R12" s="255"/>
      <c r="S12" s="255"/>
      <c r="T12" s="255"/>
      <c r="U12" s="255"/>
      <c r="V12" s="255"/>
      <c r="W12" s="255"/>
      <c r="X12" s="255"/>
      <c r="Y12" s="255"/>
      <c r="Z12" s="255"/>
      <c r="AA12" s="255"/>
      <c r="AB12" s="255"/>
      <c r="AC12" s="255"/>
      <c r="AD12" s="255"/>
      <c r="AE12" s="255"/>
    </row>
    <row r="13" spans="1:31">
      <c r="A13" s="255"/>
      <c r="B13" s="255"/>
      <c r="C13" s="125"/>
      <c r="D13" s="125"/>
      <c r="E13" s="125"/>
      <c r="F13" s="125"/>
      <c r="G13" s="125"/>
      <c r="H13" s="46"/>
      <c r="I13" s="255"/>
      <c r="J13" s="255"/>
      <c r="K13" s="255"/>
      <c r="L13" s="255"/>
      <c r="M13" s="255"/>
      <c r="N13" s="255"/>
      <c r="O13" s="255"/>
      <c r="P13" s="255"/>
      <c r="Q13" s="255"/>
      <c r="R13" s="255"/>
      <c r="S13" s="255"/>
      <c r="T13" s="255"/>
      <c r="U13" s="255"/>
      <c r="V13" s="255"/>
      <c r="W13" s="255"/>
      <c r="X13" s="255"/>
      <c r="Y13" s="255"/>
      <c r="Z13" s="255"/>
      <c r="AA13" s="255"/>
      <c r="AB13" s="255"/>
      <c r="AC13" s="255"/>
      <c r="AD13" s="255"/>
      <c r="AE13" s="255"/>
    </row>
    <row r="14" spans="1:31">
      <c r="A14" s="255"/>
      <c r="B14" s="255"/>
      <c r="C14" s="125"/>
      <c r="D14" s="125"/>
      <c r="E14" s="125"/>
      <c r="F14" s="125"/>
      <c r="G14" s="125"/>
      <c r="H14" s="53" t="s">
        <v>2724</v>
      </c>
      <c r="I14" s="2279" t="s">
        <v>55</v>
      </c>
      <c r="J14" s="255"/>
      <c r="K14" s="255"/>
      <c r="L14" s="255" t="s">
        <v>2725</v>
      </c>
      <c r="M14" s="255"/>
      <c r="N14" s="2278">
        <v>42209.826157407406</v>
      </c>
      <c r="O14" s="255"/>
      <c r="P14" s="1004" t="s">
        <v>1138</v>
      </c>
      <c r="Q14" s="255"/>
      <c r="R14" s="255"/>
      <c r="S14" s="255"/>
      <c r="T14" s="255"/>
      <c r="U14" s="255"/>
      <c r="V14" s="255"/>
      <c r="W14" s="255"/>
      <c r="X14" s="255"/>
      <c r="Y14" s="255"/>
      <c r="Z14" s="255"/>
      <c r="AA14" s="255"/>
      <c r="AB14" s="255"/>
      <c r="AC14" s="255"/>
      <c r="AD14" s="255"/>
      <c r="AE14" s="2060"/>
    </row>
    <row r="15" spans="1:31">
      <c r="A15" s="255"/>
      <c r="B15" s="255"/>
      <c r="C15" s="125"/>
      <c r="D15" s="125"/>
      <c r="E15" s="125"/>
      <c r="F15" s="125"/>
      <c r="G15" s="125"/>
      <c r="H15" s="53" t="s">
        <v>2726</v>
      </c>
      <c r="I15" s="53" t="s">
        <v>2727</v>
      </c>
      <c r="J15" s="255"/>
      <c r="K15" s="255"/>
      <c r="L15" s="255" t="s">
        <v>2728</v>
      </c>
      <c r="M15" s="255"/>
      <c r="N15" s="2278">
        <v>41338.383356481485</v>
      </c>
      <c r="O15" s="255"/>
      <c r="P15" s="1004" t="s">
        <v>2729</v>
      </c>
      <c r="Q15" s="255"/>
      <c r="R15" s="255"/>
      <c r="S15" s="255"/>
      <c r="T15" s="255"/>
      <c r="U15" s="255"/>
      <c r="V15" s="255"/>
      <c r="W15" s="255"/>
      <c r="X15" s="255"/>
      <c r="Y15" s="255"/>
      <c r="Z15" s="255"/>
      <c r="AA15" s="255"/>
      <c r="AB15" s="255"/>
      <c r="AC15" s="255"/>
      <c r="AD15" s="255"/>
      <c r="AE15" s="2060"/>
    </row>
    <row r="16" spans="1:31">
      <c r="A16" s="255"/>
      <c r="B16" s="255"/>
      <c r="C16" s="125"/>
      <c r="D16" s="125"/>
      <c r="E16" s="125"/>
      <c r="F16" s="125"/>
      <c r="G16" s="125"/>
      <c r="H16" s="60" t="s">
        <v>2730</v>
      </c>
      <c r="I16" s="2278" t="s">
        <v>2731</v>
      </c>
      <c r="J16" s="255"/>
      <c r="K16" s="255"/>
      <c r="L16" s="255"/>
      <c r="M16" s="255"/>
      <c r="N16" s="255">
        <f>(TimeEnd-TimeStart)*24*60*60</f>
        <v>-75292657.999999568</v>
      </c>
      <c r="O16" s="255"/>
      <c r="P16" s="1004" t="s">
        <v>371</v>
      </c>
      <c r="Q16" s="255"/>
      <c r="R16" s="255"/>
      <c r="S16" s="255"/>
      <c r="T16" s="255"/>
      <c r="U16" s="255"/>
      <c r="V16" s="255"/>
      <c r="W16" s="255"/>
      <c r="X16" s="255"/>
      <c r="Y16" s="255"/>
      <c r="Z16" s="255"/>
      <c r="AA16" s="255"/>
      <c r="AB16" s="255"/>
      <c r="AC16" s="255"/>
      <c r="AD16" s="255"/>
      <c r="AE16" s="2060"/>
    </row>
    <row r="17" spans="1:32">
      <c r="A17" s="255"/>
      <c r="B17" s="255"/>
      <c r="C17" s="125"/>
      <c r="D17" s="125"/>
      <c r="E17" s="125"/>
      <c r="F17" s="125"/>
      <c r="G17" s="125"/>
      <c r="H17" s="60" t="s">
        <v>2732</v>
      </c>
      <c r="I17" s="2278" t="s">
        <v>2733</v>
      </c>
      <c r="J17" s="255"/>
      <c r="K17" s="255"/>
      <c r="L17" s="255"/>
      <c r="M17" s="255"/>
      <c r="N17" s="255"/>
      <c r="O17" s="255"/>
      <c r="P17" s="255"/>
      <c r="Q17" s="255"/>
      <c r="R17" s="255"/>
      <c r="S17" s="255"/>
      <c r="T17" s="255"/>
      <c r="U17" s="255"/>
      <c r="V17" s="255"/>
      <c r="W17" s="255"/>
      <c r="X17" s="255"/>
      <c r="Y17" s="255"/>
      <c r="Z17" s="255"/>
      <c r="AA17" s="255"/>
      <c r="AB17" s="255"/>
      <c r="AC17" s="255"/>
      <c r="AD17" s="255"/>
      <c r="AE17" s="2060"/>
      <c r="AF17" s="255"/>
    </row>
    <row r="18" spans="1:32" s="51" customFormat="1">
      <c r="A18" s="255"/>
      <c r="B18" s="255"/>
      <c r="C18" s="125"/>
      <c r="D18" s="125"/>
      <c r="E18" s="125"/>
      <c r="F18" s="125"/>
      <c r="G18" s="125"/>
      <c r="H18" s="60" t="s">
        <v>2734</v>
      </c>
      <c r="I18" s="2280">
        <v>0</v>
      </c>
      <c r="J18" s="263"/>
      <c r="K18" s="263"/>
      <c r="L18" s="46" t="s">
        <v>2735</v>
      </c>
      <c r="M18" s="255" t="s">
        <v>2736</v>
      </c>
      <c r="N18" s="53"/>
      <c r="O18" s="53"/>
      <c r="P18" s="1004" t="s">
        <v>1171</v>
      </c>
      <c r="Q18" s="53"/>
      <c r="R18" s="53"/>
      <c r="S18" s="53"/>
      <c r="T18" s="53"/>
      <c r="U18" s="53"/>
      <c r="V18" s="53"/>
      <c r="W18" s="53"/>
      <c r="X18" s="53"/>
      <c r="Y18" s="53"/>
      <c r="Z18" s="53"/>
      <c r="AA18" s="263"/>
      <c r="AB18" s="263"/>
      <c r="AC18" s="263"/>
      <c r="AD18" s="263"/>
      <c r="AE18" s="2060"/>
      <c r="AF18" s="263"/>
    </row>
    <row r="19" spans="1:32" s="51" customFormat="1">
      <c r="A19" s="255"/>
      <c r="B19" s="255"/>
      <c r="C19" s="125"/>
      <c r="D19" s="125"/>
      <c r="E19" s="125"/>
      <c r="F19" s="125"/>
      <c r="G19" s="125"/>
      <c r="H19" s="255" t="s">
        <v>2737</v>
      </c>
      <c r="I19" s="2280"/>
      <c r="J19" s="263"/>
      <c r="K19" s="263"/>
      <c r="L19" s="263"/>
      <c r="M19" s="263"/>
      <c r="N19" s="53"/>
      <c r="O19" s="53"/>
      <c r="P19" s="1004" t="s">
        <v>2738</v>
      </c>
      <c r="Q19" s="2060"/>
      <c r="R19" s="53"/>
      <c r="S19" s="53"/>
      <c r="T19" s="53"/>
      <c r="U19" s="53"/>
      <c r="V19" s="53"/>
      <c r="W19" s="53"/>
      <c r="X19" s="53"/>
      <c r="Y19" s="53"/>
      <c r="Z19" s="53"/>
      <c r="AA19" s="263"/>
      <c r="AB19" s="263"/>
      <c r="AC19" s="263"/>
      <c r="AD19" s="263"/>
      <c r="AE19" s="2060"/>
      <c r="AF19" s="255"/>
    </row>
    <row r="20" spans="1:32">
      <c r="A20" s="255"/>
      <c r="B20" s="255"/>
      <c r="C20" s="125"/>
      <c r="D20" s="125"/>
      <c r="E20" s="125"/>
      <c r="F20" s="125"/>
      <c r="G20" s="125"/>
      <c r="H20" s="255" t="s">
        <v>2739</v>
      </c>
      <c r="I20" s="2280"/>
      <c r="J20" s="255"/>
      <c r="K20" s="255"/>
      <c r="L20" s="255"/>
      <c r="M20" s="255"/>
      <c r="N20" s="255"/>
      <c r="O20" s="255"/>
      <c r="P20" s="255"/>
      <c r="Q20" s="255"/>
      <c r="R20" s="255"/>
      <c r="S20" s="255"/>
      <c r="T20" s="255"/>
      <c r="U20" s="255"/>
      <c r="V20" s="255"/>
      <c r="W20" s="255"/>
      <c r="X20" s="255"/>
      <c r="Y20" s="255"/>
      <c r="Z20" s="255"/>
      <c r="AA20" s="255"/>
      <c r="AB20" s="255"/>
      <c r="AC20" s="255"/>
      <c r="AD20" s="255"/>
      <c r="AE20" s="255"/>
      <c r="AF20" s="255"/>
    </row>
    <row r="21" spans="1:32" s="123" customFormat="1">
      <c r="A21" s="255"/>
      <c r="B21" s="255"/>
      <c r="C21" s="125"/>
      <c r="D21" s="255"/>
      <c r="E21" s="125"/>
      <c r="F21" s="125"/>
      <c r="G21" s="125"/>
      <c r="H21" s="255" t="s">
        <v>2740</v>
      </c>
      <c r="I21" s="2280"/>
      <c r="J21" s="255"/>
      <c r="K21" s="255"/>
      <c r="L21" s="255" t="s">
        <v>2741</v>
      </c>
      <c r="M21" s="2281" t="s">
        <v>2742</v>
      </c>
      <c r="N21" s="255"/>
      <c r="O21" s="255"/>
      <c r="P21" s="1004" t="s">
        <v>1139</v>
      </c>
      <c r="Q21" s="255"/>
      <c r="R21" s="255"/>
      <c r="S21" s="255"/>
      <c r="T21" s="255"/>
      <c r="U21" s="255"/>
      <c r="V21" s="255"/>
      <c r="W21" s="255"/>
      <c r="X21" s="255"/>
      <c r="Y21" s="255"/>
      <c r="Z21" s="255"/>
      <c r="AA21" s="255"/>
      <c r="AB21" s="255"/>
      <c r="AC21" s="255"/>
      <c r="AD21" s="255"/>
      <c r="AE21" s="255"/>
      <c r="AF21" s="255"/>
    </row>
    <row r="22" spans="1:32" s="123" customFormat="1">
      <c r="A22" s="255"/>
      <c r="B22" s="255"/>
      <c r="C22" s="125"/>
      <c r="D22" s="125"/>
      <c r="E22" s="125"/>
      <c r="F22" s="125"/>
      <c r="G22" s="125"/>
      <c r="H22" s="255" t="s">
        <v>2743</v>
      </c>
      <c r="I22" s="2280"/>
      <c r="J22" s="255"/>
      <c r="K22" s="255"/>
      <c r="L22" s="255"/>
      <c r="M22" s="79" t="s">
        <v>2744</v>
      </c>
      <c r="N22" s="255"/>
      <c r="O22" s="255"/>
      <c r="P22" s="1004" t="s">
        <v>2745</v>
      </c>
      <c r="Q22" s="255"/>
      <c r="R22" s="255"/>
      <c r="S22" s="255"/>
      <c r="T22" s="255"/>
      <c r="U22" s="255"/>
      <c r="V22" s="255"/>
      <c r="W22" s="255"/>
      <c r="X22" s="255"/>
      <c r="Y22" s="255"/>
      <c r="Z22" s="255"/>
      <c r="AA22" s="255"/>
      <c r="AB22" s="255"/>
      <c r="AC22" s="255"/>
      <c r="AD22" s="255"/>
      <c r="AE22" s="255"/>
      <c r="AF22" s="255"/>
    </row>
    <row r="23" spans="1:32" s="123" customFormat="1">
      <c r="A23" s="255"/>
      <c r="B23" s="255"/>
      <c r="C23" s="125"/>
      <c r="D23" s="125"/>
      <c r="E23" s="125"/>
      <c r="F23" s="125"/>
      <c r="G23" s="125"/>
      <c r="H23" s="255" t="s">
        <v>2746</v>
      </c>
      <c r="I23" s="2280"/>
      <c r="J23" s="255"/>
      <c r="K23" s="255"/>
      <c r="L23" s="255" t="s">
        <v>2747</v>
      </c>
      <c r="M23" s="255" t="s">
        <v>2742</v>
      </c>
      <c r="N23" s="255"/>
      <c r="O23" s="255"/>
      <c r="P23" s="255"/>
      <c r="Q23" s="125" t="s">
        <v>2748</v>
      </c>
      <c r="R23" s="2278" t="b">
        <v>0</v>
      </c>
      <c r="S23" s="255"/>
      <c r="T23" s="255"/>
      <c r="U23" s="255"/>
      <c r="V23" s="255"/>
      <c r="W23" s="255"/>
      <c r="X23" s="255"/>
      <c r="Y23" s="255"/>
      <c r="Z23" s="255"/>
      <c r="AA23" s="255"/>
      <c r="AB23" s="255"/>
      <c r="AC23" s="255"/>
      <c r="AD23" s="255"/>
      <c r="AE23" s="255"/>
      <c r="AF23" s="255"/>
    </row>
    <row r="24" spans="1:32" s="123" customFormat="1">
      <c r="A24" s="255"/>
      <c r="B24" s="255"/>
      <c r="C24" s="125"/>
      <c r="D24" s="125"/>
      <c r="E24" s="125"/>
      <c r="F24" s="125"/>
      <c r="G24" s="125"/>
      <c r="H24" s="255" t="s">
        <v>2749</v>
      </c>
      <c r="I24" s="2280"/>
      <c r="J24" s="255"/>
      <c r="K24" s="255"/>
      <c r="L24" s="53"/>
      <c r="M24" s="255"/>
      <c r="N24" s="255"/>
      <c r="O24" s="255"/>
      <c r="P24" s="255"/>
      <c r="Q24" s="255" t="s">
        <v>2750</v>
      </c>
      <c r="R24" s="2278" t="b">
        <v>1</v>
      </c>
      <c r="S24" s="255"/>
      <c r="T24" s="255"/>
      <c r="U24" s="255"/>
      <c r="V24" s="255"/>
      <c r="W24" s="255"/>
      <c r="X24" s="255"/>
      <c r="Y24" s="255"/>
      <c r="Z24" s="255"/>
      <c r="AA24" s="255"/>
      <c r="AB24" s="255"/>
      <c r="AC24" s="255"/>
      <c r="AD24" s="255"/>
      <c r="AE24" s="255"/>
      <c r="AF24" s="255"/>
    </row>
    <row r="25" spans="1:32" s="255" customFormat="1">
      <c r="C25" s="125"/>
      <c r="D25" s="125"/>
      <c r="E25" s="125"/>
      <c r="F25" s="125"/>
      <c r="G25" s="125"/>
      <c r="H25" s="46"/>
      <c r="L25" s="53"/>
    </row>
    <row r="26" spans="1:32" s="255" customFormat="1">
      <c r="C26" s="125"/>
      <c r="D26" s="125"/>
      <c r="E26" s="125"/>
      <c r="F26" s="125"/>
      <c r="G26" s="125"/>
      <c r="H26" s="255" t="s">
        <v>2751</v>
      </c>
      <c r="I26" s="255" t="b">
        <v>0</v>
      </c>
      <c r="L26" s="53"/>
    </row>
    <row r="27" spans="1:32" s="255" customFormat="1">
      <c r="C27" s="125"/>
      <c r="D27" s="125"/>
      <c r="E27" s="125"/>
      <c r="F27" s="125"/>
      <c r="G27" s="125"/>
      <c r="H27" s="53" t="s">
        <v>2752</v>
      </c>
      <c r="I27" s="255" t="b">
        <v>1</v>
      </c>
      <c r="L27" s="53"/>
    </row>
    <row r="28" spans="1:32" s="255" customFormat="1">
      <c r="C28" s="125"/>
      <c r="D28" s="125"/>
      <c r="E28" s="125"/>
      <c r="F28" s="125"/>
      <c r="G28" s="125"/>
      <c r="H28" s="53" t="s">
        <v>2753</v>
      </c>
      <c r="I28" s="255" t="b">
        <v>1</v>
      </c>
      <c r="L28" s="53"/>
    </row>
    <row r="29" spans="1:32" s="255" customFormat="1">
      <c r="C29" s="125"/>
      <c r="D29" s="125"/>
      <c r="E29" s="125"/>
      <c r="F29" s="125"/>
      <c r="G29" s="125"/>
      <c r="H29" s="53" t="s">
        <v>2754</v>
      </c>
      <c r="I29" s="255" t="b">
        <v>0</v>
      </c>
      <c r="L29" s="53"/>
    </row>
    <row r="30" spans="1:32" s="255" customFormat="1">
      <c r="C30" s="125"/>
      <c r="D30" s="125"/>
      <c r="E30" s="125"/>
      <c r="F30" s="125"/>
      <c r="G30" s="125"/>
      <c r="H30" s="53" t="s">
        <v>2755</v>
      </c>
      <c r="I30" s="255" t="b">
        <v>1</v>
      </c>
      <c r="L30" s="53"/>
    </row>
    <row r="31" spans="1:32" s="255" customFormat="1">
      <c r="C31" s="125"/>
      <c r="D31" s="125"/>
      <c r="E31" s="125"/>
      <c r="F31" s="125"/>
      <c r="G31" s="125"/>
      <c r="H31" s="53" t="s">
        <v>2756</v>
      </c>
      <c r="I31" s="255" t="b">
        <v>0</v>
      </c>
      <c r="L31" s="53"/>
    </row>
    <row r="32" spans="1:32" s="255" customFormat="1">
      <c r="C32" s="125"/>
      <c r="D32" s="125"/>
      <c r="E32" s="125"/>
      <c r="F32" s="125"/>
      <c r="G32" s="125"/>
      <c r="H32" s="46" t="s">
        <v>2757</v>
      </c>
      <c r="I32" s="255" t="b">
        <v>1</v>
      </c>
      <c r="L32" s="53"/>
    </row>
    <row r="33" spans="2:26" s="255" customFormat="1">
      <c r="C33" s="125"/>
      <c r="D33" s="125"/>
      <c r="E33" s="125"/>
      <c r="F33" s="125"/>
      <c r="G33" s="125"/>
      <c r="H33" s="46"/>
      <c r="O33" s="255" t="s">
        <v>2758</v>
      </c>
    </row>
    <row r="34" spans="2:26" ht="17.45">
      <c r="B34" s="251">
        <f ca="1">MAX(OFFSET(B34,-1,0,-ROW(B34)+1,1))+1</f>
        <v>2</v>
      </c>
      <c r="C34" s="252"/>
      <c r="D34" s="252"/>
      <c r="E34" s="252"/>
      <c r="F34" s="252"/>
      <c r="G34" s="252"/>
      <c r="H34" s="120"/>
      <c r="I34" s="121"/>
      <c r="J34" s="122"/>
      <c r="K34" s="253"/>
      <c r="L34" s="253"/>
      <c r="M34" s="253"/>
      <c r="N34" s="253"/>
      <c r="O34" s="1046" t="s">
        <v>2759</v>
      </c>
      <c r="P34" s="253"/>
      <c r="Q34" s="253"/>
      <c r="R34" s="253"/>
      <c r="S34" s="253" t="s">
        <v>2760</v>
      </c>
      <c r="T34" s="253"/>
      <c r="U34" s="255"/>
      <c r="V34" s="255"/>
      <c r="W34" s="255"/>
      <c r="X34" s="255"/>
      <c r="Y34" s="255"/>
      <c r="Z34" s="255"/>
    </row>
    <row r="35" spans="2:26">
      <c r="B35" s="255"/>
      <c r="C35" s="255"/>
      <c r="D35" s="255"/>
      <c r="E35" s="255"/>
      <c r="H35" s="255"/>
      <c r="I35" s="126"/>
      <c r="J35" s="255"/>
      <c r="K35" s="255"/>
      <c r="L35" s="255"/>
      <c r="M35" s="255"/>
      <c r="N35" s="255"/>
      <c r="O35" s="255"/>
      <c r="P35" s="255" t="s">
        <v>2761</v>
      </c>
      <c r="Q35" s="2060"/>
      <c r="R35" s="2060"/>
      <c r="S35" s="255" t="s">
        <v>2762</v>
      </c>
      <c r="T35" s="2060"/>
      <c r="U35" s="2060"/>
      <c r="V35" s="2060"/>
      <c r="W35" s="2060"/>
      <c r="X35" s="2060"/>
      <c r="Y35" s="255"/>
      <c r="Z35" s="255"/>
    </row>
    <row r="36" spans="2:26">
      <c r="B36" s="255"/>
      <c r="C36" s="255"/>
      <c r="D36" s="255"/>
      <c r="E36" s="255"/>
      <c r="H36" s="255" t="s">
        <v>2763</v>
      </c>
      <c r="I36" s="2282">
        <v>42972.520798611113</v>
      </c>
      <c r="J36" s="255"/>
      <c r="K36" s="255"/>
      <c r="L36" s="88" t="s">
        <v>2764</v>
      </c>
      <c r="M36" s="255"/>
      <c r="N36" s="255"/>
      <c r="O36" s="88" t="s">
        <v>2765</v>
      </c>
      <c r="P36" s="1047">
        <v>49</v>
      </c>
      <c r="Q36" s="2060"/>
      <c r="R36" s="2060" t="s">
        <v>2766</v>
      </c>
      <c r="S36" s="1625">
        <v>48</v>
      </c>
      <c r="T36" s="1047"/>
      <c r="U36" s="2060"/>
      <c r="V36" s="2060"/>
      <c r="W36" s="2060"/>
      <c r="X36" s="2060"/>
      <c r="Y36" s="255"/>
      <c r="Z36" s="255"/>
    </row>
    <row r="37" spans="2:26">
      <c r="B37" s="255"/>
      <c r="C37" s="255"/>
      <c r="D37" s="255"/>
      <c r="E37" s="255"/>
      <c r="H37" s="255" t="s">
        <v>2767</v>
      </c>
      <c r="I37" s="2283" t="b">
        <v>0</v>
      </c>
      <c r="J37" s="255"/>
      <c r="K37" s="255"/>
      <c r="L37" s="255" t="s">
        <v>2768</v>
      </c>
      <c r="M37" s="2281" t="s">
        <v>53</v>
      </c>
      <c r="N37" s="255"/>
      <c r="O37" s="264">
        <v>1</v>
      </c>
      <c r="P37" s="264" t="s">
        <v>2769</v>
      </c>
      <c r="Q37" s="53"/>
      <c r="R37" s="2060" t="s">
        <v>2770</v>
      </c>
      <c r="S37" s="264" t="s">
        <v>0</v>
      </c>
      <c r="T37" s="264"/>
      <c r="U37" s="2060"/>
      <c r="V37" s="2060"/>
      <c r="W37" s="2060"/>
      <c r="X37" s="2060"/>
      <c r="Y37" s="255"/>
      <c r="Z37" s="255"/>
    </row>
    <row r="38" spans="2:26">
      <c r="B38" s="255"/>
      <c r="C38" s="255"/>
      <c r="D38" s="255"/>
      <c r="E38" s="255"/>
      <c r="H38" s="255" t="s">
        <v>2771</v>
      </c>
      <c r="I38" s="2282">
        <v>43031</v>
      </c>
      <c r="J38" s="255"/>
      <c r="K38" s="77"/>
      <c r="L38" s="255"/>
      <c r="M38" s="78" t="s">
        <v>2772</v>
      </c>
      <c r="N38" s="255"/>
      <c r="O38" s="264">
        <v>2</v>
      </c>
      <c r="P38" s="264" t="s">
        <v>2773</v>
      </c>
      <c r="Q38" s="2060"/>
      <c r="R38" s="2060" t="s">
        <v>2774</v>
      </c>
      <c r="S38" s="264" t="s">
        <v>2773</v>
      </c>
      <c r="T38" s="264"/>
      <c r="U38" s="2060"/>
      <c r="V38" s="2060"/>
      <c r="W38" s="2060"/>
      <c r="X38" s="2060"/>
      <c r="Y38" s="255"/>
      <c r="Z38" s="255"/>
    </row>
    <row r="39" spans="2:26">
      <c r="B39" s="255"/>
      <c r="C39" s="255"/>
      <c r="D39" s="255"/>
      <c r="E39" s="255"/>
      <c r="H39" s="255" t="s">
        <v>2775</v>
      </c>
      <c r="I39" s="2284" t="str">
        <f>"Release date: "&amp;TEXT(MasterFile,"d mmmm yyyy")</f>
        <v>Release date: 23 October 2017</v>
      </c>
      <c r="J39" s="255"/>
      <c r="K39" s="255"/>
      <c r="L39" s="255"/>
      <c r="M39" s="79" t="s">
        <v>2776</v>
      </c>
      <c r="N39" s="255"/>
      <c r="O39" s="264">
        <v>3</v>
      </c>
      <c r="P39" s="264" t="s">
        <v>2777</v>
      </c>
      <c r="Q39" s="2060"/>
      <c r="R39" s="2060" t="s">
        <v>2778</v>
      </c>
      <c r="S39" s="264" t="s">
        <v>2777</v>
      </c>
      <c r="T39" s="264"/>
      <c r="U39" s="2060"/>
      <c r="V39" s="2060"/>
      <c r="W39" s="2060"/>
      <c r="X39" s="2060"/>
      <c r="Y39" s="255"/>
      <c r="Z39" s="255"/>
    </row>
    <row r="40" spans="2:26" s="123" customFormat="1">
      <c r="B40" s="255"/>
      <c r="C40" s="255"/>
      <c r="D40" s="255"/>
      <c r="E40" s="255"/>
      <c r="F40" s="255"/>
      <c r="G40" s="255"/>
      <c r="H40" s="255" t="s">
        <v>2779</v>
      </c>
      <c r="I40" s="2285"/>
      <c r="J40" s="255"/>
      <c r="K40" s="255"/>
      <c r="L40" s="53" t="s">
        <v>2780</v>
      </c>
      <c r="M40" s="255" t="str">
        <f>START!G40</f>
        <v>US format (TIC, Leverage)</v>
      </c>
      <c r="N40" s="255"/>
      <c r="O40" s="264">
        <v>4</v>
      </c>
      <c r="P40" s="264" t="s">
        <v>2781</v>
      </c>
      <c r="Q40" s="255"/>
      <c r="R40" s="2060"/>
      <c r="S40" s="264" t="s">
        <v>2782</v>
      </c>
      <c r="T40" s="264"/>
      <c r="U40" s="2060"/>
      <c r="V40" s="2060"/>
      <c r="W40" s="2060"/>
      <c r="X40" s="2060"/>
      <c r="Y40" s="255"/>
      <c r="Z40" s="255"/>
    </row>
    <row r="41" spans="2:26" s="123" customFormat="1">
      <c r="B41" s="255"/>
      <c r="C41" s="255"/>
      <c r="D41" s="255"/>
      <c r="E41" s="255"/>
      <c r="F41" s="255"/>
      <c r="G41" s="255"/>
      <c r="H41" s="255" t="s">
        <v>2783</v>
      </c>
      <c r="I41" s="2285"/>
      <c r="J41" s="255"/>
      <c r="K41" s="255"/>
      <c r="L41" s="255"/>
      <c r="M41" s="255"/>
      <c r="N41" s="255"/>
      <c r="O41" s="264">
        <v>5</v>
      </c>
      <c r="P41" s="264" t="s">
        <v>2784</v>
      </c>
      <c r="Q41" s="255" t="s">
        <v>854</v>
      </c>
      <c r="R41" s="2060"/>
      <c r="S41" s="264" t="s">
        <v>2785</v>
      </c>
      <c r="T41" s="264"/>
      <c r="U41" s="2060"/>
      <c r="V41" s="2060"/>
      <c r="W41" s="2060"/>
      <c r="X41" s="2060"/>
      <c r="Y41" s="255"/>
      <c r="Z41" s="255"/>
    </row>
    <row r="42" spans="2:26">
      <c r="B42" s="255"/>
      <c r="C42" s="255"/>
      <c r="D42" s="255"/>
      <c r="E42" s="255"/>
      <c r="H42" s="255" t="s">
        <v>2786</v>
      </c>
      <c r="I42" s="2283">
        <v>32</v>
      </c>
      <c r="J42" s="255"/>
      <c r="K42" s="255"/>
      <c r="L42" s="255" t="s">
        <v>2787</v>
      </c>
      <c r="M42" s="2283">
        <f>IFERROR(MATCH(RegionFormat,RegionFormatList,0),1)</f>
        <v>1</v>
      </c>
      <c r="N42" s="255"/>
      <c r="O42" s="264">
        <v>6</v>
      </c>
      <c r="P42" s="264" t="s">
        <v>2788</v>
      </c>
      <c r="Q42" s="255" t="s">
        <v>873</v>
      </c>
      <c r="R42" s="2060"/>
      <c r="S42" s="264" t="s">
        <v>2789</v>
      </c>
      <c r="T42" s="264"/>
      <c r="U42" s="2060"/>
      <c r="V42" s="2060"/>
      <c r="W42" s="2060"/>
      <c r="X42" s="2060"/>
      <c r="Y42" s="255"/>
      <c r="Z42" s="255"/>
    </row>
    <row r="43" spans="2:26">
      <c r="B43" s="255"/>
      <c r="C43" s="255"/>
      <c r="D43" s="255"/>
      <c r="E43" s="255"/>
      <c r="H43" s="255" t="s">
        <v>2790</v>
      </c>
      <c r="I43" s="2283" t="b">
        <v>0</v>
      </c>
      <c r="J43" s="255"/>
      <c r="K43" s="255"/>
      <c r="L43" s="53" t="s">
        <v>2791</v>
      </c>
      <c r="M43" s="2278" t="str">
        <f>IF(AnalystBase&gt;1,"EV","TIC")</f>
        <v>TIC</v>
      </c>
      <c r="N43" s="255"/>
      <c r="O43" s="264">
        <v>7</v>
      </c>
      <c r="P43" s="264" t="s">
        <v>2792</v>
      </c>
      <c r="Q43" s="255" t="s">
        <v>935</v>
      </c>
      <c r="R43" s="2060"/>
      <c r="S43" s="264" t="s">
        <v>2793</v>
      </c>
      <c r="T43" s="264"/>
      <c r="U43" s="2060"/>
      <c r="V43" s="2060"/>
      <c r="W43" s="2060"/>
      <c r="X43" s="2060"/>
      <c r="Y43" s="255"/>
      <c r="Z43" s="255"/>
    </row>
    <row r="44" spans="2:26">
      <c r="B44" s="255"/>
      <c r="C44" s="255"/>
      <c r="D44" s="255"/>
      <c r="E44" s="255"/>
      <c r="H44" s="255" t="s">
        <v>2794</v>
      </c>
      <c r="I44" s="2283" t="s">
        <v>2782</v>
      </c>
      <c r="J44" s="255"/>
      <c r="K44" s="255"/>
      <c r="L44" s="53" t="s">
        <v>2795</v>
      </c>
      <c r="M44" s="1025" t="str">
        <f>IF(AnalystBase&gt;1,"Enterprise value","Total invested capital")</f>
        <v>Total invested capital</v>
      </c>
      <c r="N44" s="255"/>
      <c r="O44" s="264">
        <v>8</v>
      </c>
      <c r="P44" s="264" t="s">
        <v>2796</v>
      </c>
      <c r="Q44" s="255" t="s">
        <v>1410</v>
      </c>
      <c r="R44" s="2060"/>
      <c r="S44" s="264" t="s">
        <v>2797</v>
      </c>
      <c r="T44" s="264"/>
      <c r="U44" s="2060"/>
      <c r="V44" s="2060"/>
      <c r="W44" s="2060"/>
      <c r="X44" s="2060"/>
      <c r="Y44" s="255"/>
      <c r="Z44" s="255"/>
    </row>
    <row r="45" spans="2:26">
      <c r="B45" s="255"/>
      <c r="C45" s="255"/>
      <c r="D45" s="255"/>
      <c r="E45" s="255"/>
      <c r="H45" s="255" t="s">
        <v>2798</v>
      </c>
      <c r="I45" s="2283" t="s">
        <v>2799</v>
      </c>
      <c r="J45" s="255"/>
      <c r="K45" s="255"/>
      <c r="L45" s="53" t="s">
        <v>2800</v>
      </c>
      <c r="M45" s="1025" t="str">
        <f>IF(AnalystBase&gt;1,"enterprise value","total invested capital")</f>
        <v>total invested capital</v>
      </c>
      <c r="N45" s="255"/>
      <c r="O45" s="264">
        <v>9</v>
      </c>
      <c r="P45" s="264" t="s">
        <v>2801</v>
      </c>
      <c r="Q45" s="255" t="s">
        <v>1088</v>
      </c>
      <c r="R45" s="2060"/>
      <c r="S45" s="264" t="s">
        <v>950</v>
      </c>
      <c r="T45" s="264"/>
      <c r="U45" s="2060"/>
      <c r="V45" s="2060"/>
      <c r="W45" s="2060"/>
      <c r="X45" s="2060"/>
      <c r="Y45" s="255"/>
      <c r="Z45" s="255"/>
    </row>
    <row r="46" spans="2:26">
      <c r="B46" s="255"/>
      <c r="C46" s="255"/>
      <c r="D46" s="255"/>
      <c r="E46" s="255"/>
      <c r="H46" s="255" t="s">
        <v>2802</v>
      </c>
      <c r="I46" s="2283"/>
      <c r="J46" s="255"/>
      <c r="K46" s="255"/>
      <c r="L46" s="53" t="s">
        <v>2803</v>
      </c>
      <c r="M46" s="2278" t="str">
        <f>IF(AnalystBase=3,"Leverage","Gearing")</f>
        <v>Gearing</v>
      </c>
      <c r="N46" s="255"/>
      <c r="O46" s="264">
        <v>10</v>
      </c>
      <c r="P46" s="264" t="s">
        <v>2804</v>
      </c>
      <c r="Q46" s="255" t="s">
        <v>2805</v>
      </c>
      <c r="R46" s="2060"/>
      <c r="S46" s="264" t="s">
        <v>2806</v>
      </c>
      <c r="T46" s="264"/>
      <c r="U46" s="2060"/>
      <c r="V46" s="2060"/>
      <c r="W46" s="2060"/>
      <c r="X46" s="2060"/>
      <c r="Y46" s="255"/>
      <c r="Z46" s="255"/>
    </row>
    <row r="47" spans="2:26">
      <c r="B47" s="255"/>
      <c r="C47" s="255"/>
      <c r="D47" s="255"/>
      <c r="E47" s="255"/>
      <c r="H47" s="255" t="s">
        <v>2807</v>
      </c>
      <c r="I47" s="2283"/>
      <c r="J47" s="255"/>
      <c r="K47" s="255"/>
      <c r="L47" s="255"/>
      <c r="M47" s="255"/>
      <c r="N47" s="255"/>
      <c r="O47" s="264">
        <v>11</v>
      </c>
      <c r="P47" s="264" t="s">
        <v>2808</v>
      </c>
      <c r="Q47" s="255" t="s">
        <v>2809</v>
      </c>
      <c r="R47" s="2060"/>
      <c r="S47" s="264" t="s">
        <v>2810</v>
      </c>
      <c r="T47" s="264"/>
      <c r="U47" s="2060"/>
      <c r="V47" s="2060"/>
      <c r="W47" s="2060"/>
      <c r="X47" s="2060"/>
      <c r="Y47" s="255"/>
      <c r="Z47" s="255"/>
    </row>
    <row r="48" spans="2:26">
      <c r="B48" s="255"/>
      <c r="C48" s="255"/>
      <c r="D48" s="255"/>
      <c r="E48" s="255"/>
      <c r="H48" s="255"/>
      <c r="I48" s="255"/>
      <c r="J48" s="255"/>
      <c r="K48" s="255"/>
      <c r="L48" s="570" t="s">
        <v>2811</v>
      </c>
      <c r="M48" s="576" t="s">
        <v>2812</v>
      </c>
      <c r="N48" s="255"/>
      <c r="O48" s="264">
        <v>12</v>
      </c>
      <c r="P48" s="264" t="s">
        <v>2813</v>
      </c>
      <c r="Q48" s="255" t="s">
        <v>2814</v>
      </c>
      <c r="R48" s="2060"/>
      <c r="S48" s="264" t="s">
        <v>2813</v>
      </c>
      <c r="T48" s="264"/>
      <c r="U48" s="2060"/>
      <c r="V48" s="2060"/>
      <c r="W48" s="2060"/>
      <c r="X48" s="2060"/>
      <c r="Y48" s="255"/>
      <c r="Z48" s="255"/>
    </row>
    <row r="49" spans="6:26">
      <c r="H49" s="255" t="s">
        <v>2815</v>
      </c>
      <c r="I49" s="2283">
        <v>1</v>
      </c>
      <c r="J49" s="255"/>
      <c r="K49" s="255"/>
      <c r="L49" s="570" t="s">
        <v>2816</v>
      </c>
      <c r="M49" s="577" t="s">
        <v>2817</v>
      </c>
      <c r="N49" s="255"/>
      <c r="O49" s="264">
        <v>13</v>
      </c>
      <c r="P49" s="264" t="s">
        <v>771</v>
      </c>
      <c r="Q49" s="255" t="s">
        <v>2818</v>
      </c>
      <c r="R49" s="2060"/>
      <c r="S49" s="264" t="s">
        <v>771</v>
      </c>
      <c r="T49" s="264"/>
      <c r="U49" s="2060"/>
      <c r="V49" s="2060"/>
      <c r="W49" s="2060"/>
      <c r="X49" s="2060"/>
      <c r="Y49" s="255"/>
      <c r="Z49" s="255"/>
    </row>
    <row r="50" spans="6:26">
      <c r="H50" s="255" t="s">
        <v>2819</v>
      </c>
      <c r="I50" s="2283" t="s">
        <v>2817</v>
      </c>
      <c r="J50" s="255"/>
      <c r="K50" s="255"/>
      <c r="L50" s="570" t="s">
        <v>2820</v>
      </c>
      <c r="M50" s="577" t="s">
        <v>2821</v>
      </c>
      <c r="N50" s="255"/>
      <c r="O50" s="264">
        <v>14</v>
      </c>
      <c r="P50" s="264" t="s">
        <v>2822</v>
      </c>
      <c r="Q50" s="255" t="s">
        <v>2823</v>
      </c>
      <c r="R50" s="2060"/>
      <c r="S50" s="264" t="s">
        <v>2824</v>
      </c>
      <c r="T50" s="264"/>
      <c r="U50" s="2060"/>
      <c r="V50" s="2060"/>
      <c r="W50" s="2060"/>
      <c r="X50" s="2060"/>
      <c r="Y50" s="255"/>
      <c r="Z50" s="255"/>
    </row>
    <row r="51" spans="6:26">
      <c r="H51" s="255" t="s">
        <v>2825</v>
      </c>
      <c r="I51" s="2283">
        <v>37</v>
      </c>
      <c r="J51" s="255"/>
      <c r="K51" s="255"/>
      <c r="L51" s="255"/>
      <c r="M51" s="2060">
        <v>1</v>
      </c>
      <c r="N51" s="2060"/>
      <c r="O51" s="264">
        <v>15</v>
      </c>
      <c r="P51" s="264" t="s">
        <v>2826</v>
      </c>
      <c r="Q51" s="255" t="s">
        <v>2827</v>
      </c>
      <c r="R51" s="2060"/>
      <c r="S51" s="264" t="s">
        <v>2828</v>
      </c>
      <c r="T51" s="264"/>
      <c r="U51" s="2060"/>
      <c r="V51" s="2060"/>
      <c r="W51" s="2060"/>
      <c r="X51" s="2060"/>
      <c r="Y51" s="255"/>
      <c r="Z51" s="255"/>
    </row>
    <row r="52" spans="6:26">
      <c r="H52" s="255" t="s">
        <v>2829</v>
      </c>
      <c r="I52" s="2283" t="b">
        <v>0</v>
      </c>
      <c r="J52" s="255"/>
      <c r="K52" s="255"/>
      <c r="L52" s="255"/>
      <c r="M52" s="255">
        <v>2</v>
      </c>
      <c r="N52" s="255"/>
      <c r="O52" s="264">
        <v>16</v>
      </c>
      <c r="P52" s="264" t="s">
        <v>2830</v>
      </c>
      <c r="Q52" s="255" t="s">
        <v>2831</v>
      </c>
      <c r="R52" s="2060"/>
      <c r="S52" s="264" t="s">
        <v>2830</v>
      </c>
      <c r="T52" s="264"/>
      <c r="U52" s="2060"/>
      <c r="V52" s="2060"/>
      <c r="W52" s="2060"/>
      <c r="X52" s="2060"/>
      <c r="Y52" s="255"/>
      <c r="Z52" s="255"/>
    </row>
    <row r="53" spans="6:26">
      <c r="H53" s="255" t="s">
        <v>2832</v>
      </c>
      <c r="I53" s="2283" t="b">
        <v>0</v>
      </c>
      <c r="J53" s="255"/>
      <c r="K53" s="255"/>
      <c r="L53" s="255"/>
      <c r="M53" s="255">
        <v>3</v>
      </c>
      <c r="N53" s="255"/>
      <c r="O53" s="264">
        <v>17</v>
      </c>
      <c r="P53" s="264" t="s">
        <v>2833</v>
      </c>
      <c r="Q53" s="255" t="s">
        <v>2834</v>
      </c>
      <c r="R53" s="2060"/>
      <c r="S53" s="264" t="s">
        <v>2835</v>
      </c>
      <c r="T53" s="264"/>
      <c r="U53" s="2060"/>
      <c r="V53" s="2060"/>
      <c r="W53" s="2060"/>
      <c r="X53" s="2060"/>
      <c r="Y53" s="255"/>
      <c r="Z53" s="255"/>
    </row>
    <row r="54" spans="6:26">
      <c r="H54" s="255" t="s">
        <v>2836</v>
      </c>
      <c r="I54" s="2283" t="b">
        <v>0</v>
      </c>
      <c r="J54" s="255"/>
      <c r="K54" s="255"/>
      <c r="L54" s="255"/>
      <c r="M54" s="2060">
        <v>4</v>
      </c>
      <c r="N54" s="255"/>
      <c r="O54" s="264">
        <v>18</v>
      </c>
      <c r="P54" s="264" t="s">
        <v>2837</v>
      </c>
      <c r="Q54" s="255" t="s">
        <v>2838</v>
      </c>
      <c r="R54" s="2060"/>
      <c r="S54" s="264" t="s">
        <v>2839</v>
      </c>
      <c r="T54" s="264"/>
      <c r="U54" s="2060"/>
      <c r="V54" s="2060"/>
      <c r="W54" s="2060"/>
      <c r="X54" s="2060"/>
      <c r="Y54" s="255"/>
      <c r="Z54" s="255"/>
    </row>
    <row r="55" spans="6:26">
      <c r="H55" s="255" t="s">
        <v>2840</v>
      </c>
      <c r="I55" s="2283" t="b">
        <v>0</v>
      </c>
      <c r="J55" s="255"/>
      <c r="K55" s="255"/>
      <c r="L55" s="255"/>
      <c r="M55" s="255">
        <v>5</v>
      </c>
      <c r="N55" s="255"/>
      <c r="O55" s="264">
        <v>19</v>
      </c>
      <c r="P55" s="264" t="s">
        <v>2841</v>
      </c>
      <c r="Q55" s="255" t="s">
        <v>2842</v>
      </c>
      <c r="R55" s="2060"/>
      <c r="S55" s="264" t="s">
        <v>2843</v>
      </c>
      <c r="T55" s="264"/>
      <c r="U55" s="2060"/>
      <c r="V55" s="2060"/>
      <c r="W55" s="2060"/>
      <c r="X55" s="2060"/>
      <c r="Y55" s="255"/>
      <c r="Z55" s="255"/>
    </row>
    <row r="56" spans="6:26" s="94" customFormat="1">
      <c r="F56" s="255"/>
      <c r="G56" s="255"/>
      <c r="H56" s="46"/>
      <c r="I56" s="2283"/>
      <c r="J56" s="255"/>
      <c r="K56" s="255"/>
      <c r="L56" s="255"/>
      <c r="M56" s="255">
        <v>6</v>
      </c>
      <c r="N56" s="255"/>
      <c r="O56" s="264">
        <v>20</v>
      </c>
      <c r="P56" s="264" t="s">
        <v>2844</v>
      </c>
      <c r="Q56" s="255" t="s">
        <v>2845</v>
      </c>
      <c r="R56" s="2060"/>
      <c r="S56" s="264" t="s">
        <v>862</v>
      </c>
      <c r="T56" s="264"/>
      <c r="U56" s="2060"/>
      <c r="V56" s="2060"/>
      <c r="W56" s="2060"/>
      <c r="X56" s="2060"/>
      <c r="Y56" s="255"/>
      <c r="Z56" s="255"/>
    </row>
    <row r="57" spans="6:26" s="94" customFormat="1">
      <c r="F57" s="255"/>
      <c r="G57" s="255"/>
      <c r="H57" s="255" t="s">
        <v>2846</v>
      </c>
      <c r="I57" s="2283" t="s">
        <v>2830</v>
      </c>
      <c r="J57" s="255"/>
      <c r="K57" s="255"/>
      <c r="L57" s="255"/>
      <c r="M57" s="255">
        <v>7</v>
      </c>
      <c r="N57" s="255"/>
      <c r="O57" s="264">
        <v>21</v>
      </c>
      <c r="P57" s="264" t="s">
        <v>2847</v>
      </c>
      <c r="Q57" s="255" t="s">
        <v>2848</v>
      </c>
      <c r="R57" s="2060"/>
      <c r="S57" s="264" t="s">
        <v>2849</v>
      </c>
      <c r="T57" s="264"/>
      <c r="U57" s="2060"/>
      <c r="V57" s="2060"/>
      <c r="W57" s="2060"/>
      <c r="X57" s="2060"/>
      <c r="Y57" s="255"/>
      <c r="Z57" s="255"/>
    </row>
    <row r="58" spans="6:26" s="94" customFormat="1">
      <c r="F58" s="255"/>
      <c r="G58" s="255"/>
      <c r="H58" s="255" t="s">
        <v>2850</v>
      </c>
      <c r="I58" s="2283" t="b">
        <v>0</v>
      </c>
      <c r="J58" s="255"/>
      <c r="K58" s="255" t="str">
        <f>MyCountry</f>
        <v>East Central</v>
      </c>
      <c r="L58" s="255"/>
      <c r="M58" s="255">
        <v>8</v>
      </c>
      <c r="N58" s="255"/>
      <c r="O58" s="264">
        <v>22</v>
      </c>
      <c r="P58" s="264" t="s">
        <v>2851</v>
      </c>
      <c r="Q58" s="255" t="s">
        <v>2852</v>
      </c>
      <c r="R58" s="2060"/>
      <c r="S58" s="264" t="s">
        <v>863</v>
      </c>
      <c r="T58" s="264"/>
      <c r="U58" s="2060"/>
      <c r="V58" s="2060"/>
      <c r="W58" s="2060"/>
      <c r="X58" s="2060"/>
      <c r="Y58" s="255"/>
      <c r="Z58" s="255"/>
    </row>
    <row r="59" spans="6:26" s="94" customFormat="1">
      <c r="F59" s="255"/>
      <c r="G59" s="255"/>
      <c r="H59" s="255" t="s">
        <v>2853</v>
      </c>
      <c r="I59" s="2283" t="s">
        <v>2854</v>
      </c>
      <c r="J59" s="255"/>
      <c r="K59" s="255"/>
      <c r="L59" s="255"/>
      <c r="M59" s="255">
        <v>9</v>
      </c>
      <c r="N59" s="255"/>
      <c r="O59" s="264">
        <v>23</v>
      </c>
      <c r="P59" s="264" t="s">
        <v>2855</v>
      </c>
      <c r="Q59" s="255" t="s">
        <v>2856</v>
      </c>
      <c r="R59" s="2060"/>
      <c r="S59" s="264" t="s">
        <v>2857</v>
      </c>
      <c r="T59" s="264"/>
      <c r="U59" s="2060"/>
      <c r="V59" s="2060"/>
      <c r="W59" s="2060"/>
      <c r="X59" s="2060"/>
      <c r="Y59" s="255"/>
      <c r="Z59" s="255"/>
    </row>
    <row r="60" spans="6:26" s="94" customFormat="1">
      <c r="F60" s="255"/>
      <c r="G60" s="255"/>
      <c r="H60" s="53" t="s">
        <v>2858</v>
      </c>
      <c r="I60" s="2283" t="s">
        <v>477</v>
      </c>
      <c r="J60" s="255"/>
      <c r="K60" s="255"/>
      <c r="L60" s="255"/>
      <c r="M60" s="255">
        <v>10</v>
      </c>
      <c r="N60" s="255"/>
      <c r="O60" s="264">
        <v>24</v>
      </c>
      <c r="P60" s="264" t="s">
        <v>2859</v>
      </c>
      <c r="Q60" s="255" t="s">
        <v>2856</v>
      </c>
      <c r="R60" s="2060"/>
      <c r="S60" s="264" t="s">
        <v>2860</v>
      </c>
      <c r="T60" s="264"/>
      <c r="U60" s="2060"/>
      <c r="V60" s="2060"/>
      <c r="W60" s="2060"/>
      <c r="X60" s="2060"/>
      <c r="Y60" s="255"/>
      <c r="Z60" s="255"/>
    </row>
    <row r="61" spans="6:26" s="94" customFormat="1">
      <c r="F61" s="255"/>
      <c r="G61" s="255"/>
      <c r="H61" s="53" t="s">
        <v>2861</v>
      </c>
      <c r="I61" s="2283" t="s">
        <v>2862</v>
      </c>
      <c r="J61" s="255"/>
      <c r="K61" s="2286" t="str">
        <f>IFERROR(INDEX(CountryCurrencyName,MATCH(MyCountry,CountryName,0)),"United States Dollar")</f>
        <v>United States Dollar</v>
      </c>
      <c r="L61" s="255"/>
      <c r="M61" s="255"/>
      <c r="N61" s="255"/>
      <c r="O61" s="264">
        <v>25</v>
      </c>
      <c r="P61" s="264" t="s">
        <v>2863</v>
      </c>
      <c r="Q61" s="255" t="s">
        <v>2856</v>
      </c>
      <c r="R61" s="2060"/>
      <c r="S61" s="264" t="s">
        <v>2864</v>
      </c>
      <c r="T61" s="264"/>
      <c r="U61" s="2060"/>
      <c r="V61" s="2060"/>
      <c r="W61" s="2060"/>
      <c r="X61" s="2060"/>
      <c r="Y61" s="255"/>
      <c r="Z61" s="255"/>
    </row>
    <row r="62" spans="6:26" s="94" customFormat="1">
      <c r="F62" s="255"/>
      <c r="G62" s="255"/>
      <c r="H62" s="53" t="s">
        <v>2865</v>
      </c>
      <c r="I62" s="2283" t="b">
        <v>1</v>
      </c>
      <c r="J62" s="255"/>
      <c r="K62" s="255"/>
      <c r="L62" s="255"/>
      <c r="M62" s="255"/>
      <c r="N62" s="255"/>
      <c r="O62" s="264">
        <v>26</v>
      </c>
      <c r="P62" s="264" t="s">
        <v>2866</v>
      </c>
      <c r="Q62" s="255" t="s">
        <v>2867</v>
      </c>
      <c r="R62" s="2060"/>
      <c r="S62" s="264" t="s">
        <v>2868</v>
      </c>
      <c r="T62" s="264"/>
      <c r="U62" s="2060"/>
      <c r="V62" s="2060"/>
      <c r="W62" s="2060"/>
      <c r="X62" s="2060"/>
      <c r="Y62" s="255"/>
      <c r="Z62" s="255"/>
    </row>
    <row r="63" spans="6:26" s="94" customFormat="1">
      <c r="F63" s="255"/>
      <c r="G63" s="255"/>
      <c r="H63" s="53" t="s">
        <v>2869</v>
      </c>
      <c r="I63" s="2283" t="b">
        <v>1</v>
      </c>
      <c r="J63" s="255"/>
      <c r="K63" s="255"/>
      <c r="L63" s="255"/>
      <c r="M63" s="255"/>
      <c r="N63" s="255"/>
      <c r="O63" s="264">
        <v>27</v>
      </c>
      <c r="P63" s="264" t="s">
        <v>202</v>
      </c>
      <c r="Q63" s="255" t="s">
        <v>1584</v>
      </c>
      <c r="R63" s="2060"/>
      <c r="S63" s="264" t="s">
        <v>2870</v>
      </c>
      <c r="T63" s="264"/>
      <c r="U63" s="2060"/>
      <c r="V63" s="2060"/>
      <c r="W63" s="2060"/>
      <c r="X63" s="2060"/>
      <c r="Y63" s="255"/>
      <c r="Z63" s="255"/>
    </row>
    <row r="64" spans="6:26" s="94" customFormat="1">
      <c r="F64" s="255"/>
      <c r="G64" s="255"/>
      <c r="H64" s="53" t="s">
        <v>2871</v>
      </c>
      <c r="I64" s="2283">
        <v>1</v>
      </c>
      <c r="J64" s="255" t="s">
        <v>2872</v>
      </c>
      <c r="K64" s="255"/>
      <c r="L64" s="255"/>
      <c r="M64" s="255"/>
      <c r="N64" s="255"/>
      <c r="O64" s="264">
        <v>28</v>
      </c>
      <c r="P64" s="264" t="s">
        <v>2873</v>
      </c>
      <c r="Q64" s="255" t="s">
        <v>2874</v>
      </c>
      <c r="R64" s="2060"/>
      <c r="S64" s="264" t="s">
        <v>1579</v>
      </c>
      <c r="T64" s="264"/>
      <c r="U64" s="2060"/>
      <c r="V64" s="2060"/>
      <c r="W64" s="2060"/>
      <c r="X64" s="2060"/>
      <c r="Y64" s="255"/>
      <c r="Z64" s="255"/>
    </row>
    <row r="65" spans="3:26" s="94" customFormat="1">
      <c r="C65" s="255"/>
      <c r="D65" s="255"/>
      <c r="E65" s="255"/>
      <c r="F65" s="255"/>
      <c r="G65" s="255"/>
      <c r="H65" s="53" t="s">
        <v>2875</v>
      </c>
      <c r="I65" s="2283" t="b">
        <v>0</v>
      </c>
      <c r="J65" s="255"/>
      <c r="K65" s="255"/>
      <c r="L65" s="255"/>
      <c r="M65" s="255"/>
      <c r="N65" s="255"/>
      <c r="O65" s="264">
        <v>29</v>
      </c>
      <c r="P65" s="264" t="s">
        <v>2876</v>
      </c>
      <c r="Q65" s="255" t="s">
        <v>2877</v>
      </c>
      <c r="R65" s="2060"/>
      <c r="S65" s="264" t="s">
        <v>1580</v>
      </c>
      <c r="T65" s="264"/>
      <c r="U65" s="2060"/>
      <c r="V65" s="2060"/>
      <c r="W65" s="2060"/>
      <c r="X65" s="2060"/>
      <c r="Y65" s="255"/>
      <c r="Z65" s="255"/>
    </row>
    <row r="66" spans="3:26">
      <c r="C66" s="255"/>
      <c r="D66" s="255"/>
      <c r="E66" s="255"/>
      <c r="H66" s="255" t="s">
        <v>2878</v>
      </c>
      <c r="I66" s="2283">
        <f>IF(PaperSize="Letter",850,800)</f>
        <v>850</v>
      </c>
      <c r="J66" s="255"/>
      <c r="K66" s="2283" t="s">
        <v>2879</v>
      </c>
      <c r="L66" s="255"/>
      <c r="M66" s="255"/>
      <c r="N66" s="255"/>
      <c r="O66" s="264">
        <v>30</v>
      </c>
      <c r="P66" s="264" t="s">
        <v>2880</v>
      </c>
      <c r="Q66" s="255" t="s">
        <v>1819</v>
      </c>
      <c r="R66" s="2060"/>
      <c r="S66" s="264" t="s">
        <v>2881</v>
      </c>
      <c r="T66" s="264"/>
      <c r="U66" s="2060"/>
      <c r="V66" s="2060"/>
      <c r="W66" s="2060"/>
      <c r="X66" s="2060"/>
      <c r="Y66" s="255"/>
      <c r="Z66" s="255"/>
    </row>
    <row r="67" spans="3:26" s="123" customFormat="1">
      <c r="C67" s="125"/>
      <c r="D67" s="125"/>
      <c r="E67" s="125"/>
      <c r="F67" s="125"/>
      <c r="G67" s="125"/>
      <c r="H67" s="46" t="s">
        <v>2882</v>
      </c>
      <c r="I67" s="2283">
        <f>IF(PaperSize="Letter",1035,1140)</f>
        <v>1035</v>
      </c>
      <c r="J67" s="255"/>
      <c r="K67" s="2283" t="s">
        <v>2883</v>
      </c>
      <c r="L67" s="255"/>
      <c r="M67" s="255"/>
      <c r="N67" s="255"/>
      <c r="O67" s="264">
        <v>31</v>
      </c>
      <c r="P67" s="264" t="s">
        <v>2884</v>
      </c>
      <c r="Q67" s="255" t="s">
        <v>1698</v>
      </c>
      <c r="R67" s="2060"/>
      <c r="S67" s="264" t="s">
        <v>2885</v>
      </c>
      <c r="T67" s="264"/>
      <c r="U67" s="2060"/>
      <c r="V67" s="2060"/>
      <c r="W67" s="2060"/>
      <c r="X67" s="2060"/>
      <c r="Y67" s="255"/>
      <c r="Z67" s="255"/>
    </row>
    <row r="68" spans="3:26" s="123" customFormat="1">
      <c r="C68" s="125"/>
      <c r="D68" s="125"/>
      <c r="E68" s="125"/>
      <c r="F68" s="125"/>
      <c r="G68" s="125"/>
      <c r="H68" s="46" t="s">
        <v>2886</v>
      </c>
      <c r="I68" s="2283">
        <f>IF(PaperSize="Letter",205,222)</f>
        <v>205</v>
      </c>
      <c r="J68" s="255"/>
      <c r="K68" s="2283" t="s">
        <v>2887</v>
      </c>
      <c r="L68" s="255"/>
      <c r="M68" s="255"/>
      <c r="N68" s="255"/>
      <c r="O68" s="264">
        <v>32</v>
      </c>
      <c r="P68" s="264" t="s">
        <v>2888</v>
      </c>
      <c r="Q68" s="255" t="s">
        <v>1710</v>
      </c>
      <c r="R68" s="2060"/>
      <c r="S68" s="264" t="s">
        <v>2889</v>
      </c>
      <c r="T68" s="264"/>
      <c r="U68" s="2060"/>
      <c r="V68" s="2060"/>
      <c r="W68" s="2060"/>
      <c r="X68" s="2060"/>
      <c r="Y68" s="255"/>
      <c r="Z68" s="255"/>
    </row>
    <row r="69" spans="3:26" s="123" customFormat="1">
      <c r="C69" s="125"/>
      <c r="D69" s="125"/>
      <c r="E69" s="125"/>
      <c r="F69" s="125"/>
      <c r="G69" s="125"/>
      <c r="H69" s="46" t="s">
        <v>2890</v>
      </c>
      <c r="I69" s="2283">
        <f>IF(DebtSetting="TotalDebt",1,2)</f>
        <v>2</v>
      </c>
      <c r="J69" s="255"/>
      <c r="K69" s="255"/>
      <c r="L69" s="255"/>
      <c r="M69" s="255"/>
      <c r="N69" s="255"/>
      <c r="O69" s="264">
        <v>33</v>
      </c>
      <c r="P69" s="264" t="s">
        <v>100</v>
      </c>
      <c r="Q69" s="255" t="s">
        <v>2891</v>
      </c>
      <c r="R69" s="2060"/>
      <c r="S69" s="264" t="s">
        <v>100</v>
      </c>
      <c r="T69" s="264"/>
      <c r="U69" s="2060"/>
      <c r="V69" s="2060"/>
      <c r="W69" s="2060"/>
      <c r="X69" s="2060"/>
      <c r="Y69" s="255"/>
      <c r="Z69" s="255"/>
    </row>
    <row r="70" spans="3:26" s="255" customFormat="1">
      <c r="C70" s="125"/>
      <c r="D70" s="125"/>
      <c r="E70" s="125"/>
      <c r="F70" s="125"/>
      <c r="G70" s="125"/>
      <c r="H70" s="46" t="s">
        <v>2892</v>
      </c>
      <c r="I70" s="2283" t="b">
        <v>0</v>
      </c>
      <c r="O70" s="264">
        <v>34</v>
      </c>
      <c r="P70" s="264" t="s">
        <v>2893</v>
      </c>
      <c r="Q70" s="255" t="s">
        <v>2894</v>
      </c>
      <c r="R70" s="2060"/>
      <c r="S70" s="264" t="s">
        <v>1773</v>
      </c>
      <c r="T70" s="264"/>
      <c r="U70" s="2060"/>
      <c r="V70" s="2060"/>
      <c r="W70" s="2060"/>
      <c r="X70" s="2060"/>
    </row>
    <row r="71" spans="3:26" s="255" customFormat="1">
      <c r="C71" s="125"/>
      <c r="D71" s="125"/>
      <c r="E71" s="125"/>
      <c r="F71" s="125"/>
      <c r="G71" s="125"/>
      <c r="H71" s="2060"/>
      <c r="I71" s="2060"/>
      <c r="O71" s="264">
        <v>35</v>
      </c>
      <c r="P71" s="264" t="s">
        <v>2895</v>
      </c>
      <c r="Q71" s="255" t="s">
        <v>2896</v>
      </c>
      <c r="R71" s="2060"/>
      <c r="S71" s="264" t="s">
        <v>2897</v>
      </c>
      <c r="T71" s="264"/>
      <c r="U71" s="2060"/>
      <c r="V71" s="2060"/>
      <c r="W71" s="2060"/>
      <c r="X71" s="2060"/>
    </row>
    <row r="72" spans="3:26" s="255" customFormat="1">
      <c r="C72" s="125"/>
      <c r="D72" s="125"/>
      <c r="E72" s="125"/>
      <c r="F72" s="125"/>
      <c r="G72" s="125"/>
      <c r="H72" s="46" t="s">
        <v>2898</v>
      </c>
      <c r="O72" s="264">
        <v>36</v>
      </c>
      <c r="P72" s="264" t="s">
        <v>2899</v>
      </c>
      <c r="Q72" s="255" t="s">
        <v>2900</v>
      </c>
      <c r="R72" s="2060"/>
      <c r="S72" s="264" t="s">
        <v>2901</v>
      </c>
      <c r="T72" s="264"/>
      <c r="U72" s="2060"/>
      <c r="V72" s="2060"/>
      <c r="W72" s="2060"/>
      <c r="X72" s="2060"/>
    </row>
    <row r="73" spans="3:26" s="255" customFormat="1">
      <c r="C73" s="125"/>
      <c r="D73" s="125"/>
      <c r="E73" s="125"/>
      <c r="F73" s="125"/>
      <c r="G73" s="125"/>
      <c r="H73" s="1021" t="s">
        <v>2902</v>
      </c>
      <c r="I73" s="1029" t="s">
        <v>2903</v>
      </c>
      <c r="J73" s="1029" t="s">
        <v>2904</v>
      </c>
      <c r="O73" s="264">
        <v>37</v>
      </c>
      <c r="P73" s="264" t="s">
        <v>2905</v>
      </c>
      <c r="Q73" s="255" t="s">
        <v>1582</v>
      </c>
      <c r="R73" s="2060"/>
      <c r="S73" s="264" t="s">
        <v>2906</v>
      </c>
      <c r="T73" s="264"/>
      <c r="U73" s="2060"/>
      <c r="V73" s="2060"/>
      <c r="W73" s="2060"/>
      <c r="X73" s="2060"/>
    </row>
    <row r="74" spans="3:26" s="255" customFormat="1">
      <c r="C74" s="125"/>
      <c r="D74" s="125"/>
      <c r="E74" s="125"/>
      <c r="F74" s="125"/>
      <c r="G74" s="125"/>
      <c r="H74" s="263" t="s">
        <v>2907</v>
      </c>
      <c r="I74" s="2060" t="s">
        <v>2908</v>
      </c>
      <c r="J74" s="2060" t="s">
        <v>2909</v>
      </c>
      <c r="O74" s="264">
        <v>38</v>
      </c>
      <c r="P74" s="264" t="s">
        <v>2910</v>
      </c>
      <c r="Q74" s="255" t="s">
        <v>2911</v>
      </c>
      <c r="R74" s="2060"/>
      <c r="S74" s="264" t="s">
        <v>1583</v>
      </c>
      <c r="T74" s="264"/>
      <c r="U74" s="2060"/>
      <c r="V74" s="2060"/>
      <c r="W74" s="2060"/>
      <c r="X74" s="2060"/>
    </row>
    <row r="75" spans="3:26" s="255" customFormat="1">
      <c r="C75" s="125"/>
      <c r="D75" s="125"/>
      <c r="E75" s="125"/>
      <c r="F75" s="125"/>
      <c r="G75" s="125"/>
      <c r="H75" s="2060" t="s">
        <v>2912</v>
      </c>
      <c r="I75" s="2060" t="s">
        <v>2913</v>
      </c>
      <c r="J75" s="2060" t="s">
        <v>2914</v>
      </c>
      <c r="O75" s="264">
        <v>39</v>
      </c>
      <c r="P75" s="264" t="s">
        <v>2915</v>
      </c>
      <c r="R75" s="2060"/>
      <c r="S75" s="264" t="s">
        <v>2916</v>
      </c>
      <c r="T75" s="264"/>
      <c r="U75" s="2060"/>
      <c r="V75" s="2060"/>
      <c r="W75" s="2060"/>
      <c r="X75" s="2060"/>
    </row>
    <row r="76" spans="3:26" s="255" customFormat="1">
      <c r="C76" s="125"/>
      <c r="D76" s="125"/>
      <c r="E76" s="125"/>
      <c r="F76" s="125"/>
      <c r="G76" s="125"/>
      <c r="H76" s="2060"/>
      <c r="I76" s="2060" t="s">
        <v>2917</v>
      </c>
      <c r="J76" s="2060"/>
      <c r="O76" s="264">
        <v>40</v>
      </c>
      <c r="P76" s="264" t="s">
        <v>2918</v>
      </c>
      <c r="R76" s="2060"/>
      <c r="S76" s="264" t="s">
        <v>1820</v>
      </c>
      <c r="T76" s="264"/>
      <c r="U76" s="2060"/>
      <c r="V76" s="2060"/>
      <c r="W76" s="2060"/>
      <c r="X76" s="2060"/>
    </row>
    <row r="77" spans="3:26" s="255" customFormat="1">
      <c r="C77" s="125"/>
      <c r="D77" s="125"/>
      <c r="E77" s="125"/>
      <c r="F77" s="125"/>
      <c r="G77" s="125"/>
      <c r="H77" s="2073"/>
      <c r="I77" s="2073" t="s">
        <v>2919</v>
      </c>
      <c r="J77" s="2073"/>
      <c r="O77" s="264">
        <v>41</v>
      </c>
      <c r="P77" s="264" t="s">
        <v>1577</v>
      </c>
      <c r="R77" s="2060"/>
      <c r="S77" s="264" t="s">
        <v>1577</v>
      </c>
      <c r="T77" s="264"/>
      <c r="U77" s="2060"/>
      <c r="V77" s="2060"/>
      <c r="W77" s="2060"/>
      <c r="X77" s="2060"/>
    </row>
    <row r="78" spans="3:26" s="255" customFormat="1">
      <c r="C78" s="125"/>
      <c r="D78" s="125"/>
      <c r="E78" s="125"/>
      <c r="F78" s="125"/>
      <c r="G78" s="125"/>
      <c r="H78" s="2073"/>
      <c r="I78" s="2073" t="s">
        <v>2920</v>
      </c>
      <c r="J78" s="2073"/>
      <c r="O78" s="264">
        <v>42</v>
      </c>
      <c r="P78" s="264" t="s">
        <v>2921</v>
      </c>
      <c r="Q78" s="2060"/>
      <c r="R78" s="2060"/>
      <c r="S78" s="264" t="s">
        <v>2921</v>
      </c>
      <c r="T78" s="264"/>
      <c r="U78" s="2060"/>
      <c r="V78" s="2060"/>
      <c r="W78" s="2060"/>
      <c r="X78" s="2060"/>
    </row>
    <row r="79" spans="3:26" s="255" customFormat="1">
      <c r="C79" s="125"/>
      <c r="D79" s="125"/>
      <c r="E79" s="125"/>
      <c r="F79" s="125"/>
      <c r="G79" s="125"/>
      <c r="H79" s="107"/>
      <c r="I79" s="2073"/>
      <c r="J79" s="2060"/>
      <c r="O79" s="264">
        <v>43</v>
      </c>
      <c r="P79" s="264" t="s">
        <v>2922</v>
      </c>
      <c r="Q79" s="2060"/>
      <c r="R79" s="2060"/>
      <c r="S79" s="264" t="s">
        <v>2922</v>
      </c>
      <c r="T79" s="264"/>
      <c r="U79" s="2060"/>
      <c r="V79" s="2060"/>
      <c r="W79" s="2060"/>
      <c r="X79" s="2060"/>
    </row>
    <row r="80" spans="3:26" s="255" customFormat="1">
      <c r="C80" s="125"/>
      <c r="D80" s="125"/>
      <c r="E80" s="125"/>
      <c r="F80" s="125"/>
      <c r="G80" s="125"/>
      <c r="H80" s="255" t="s">
        <v>2923</v>
      </c>
      <c r="I80" s="1772" t="s">
        <v>65</v>
      </c>
      <c r="J80" s="2060" t="s">
        <v>2924</v>
      </c>
      <c r="K80" s="2073"/>
      <c r="O80" s="264">
        <v>44</v>
      </c>
      <c r="P80" s="264" t="s">
        <v>2925</v>
      </c>
      <c r="R80" s="2060"/>
      <c r="S80" s="264" t="s">
        <v>2926</v>
      </c>
      <c r="T80" s="264"/>
      <c r="U80" s="2060"/>
      <c r="V80" s="2060"/>
      <c r="W80" s="2060"/>
      <c r="X80" s="2060"/>
    </row>
    <row r="81" spans="3:24" s="255" customFormat="1">
      <c r="C81" s="125"/>
      <c r="D81" s="125"/>
      <c r="E81" s="125"/>
      <c r="F81" s="125"/>
      <c r="G81" s="125"/>
      <c r="H81" s="46"/>
      <c r="O81" s="264">
        <v>45</v>
      </c>
      <c r="P81" s="264" t="s">
        <v>2612</v>
      </c>
      <c r="R81" s="2060"/>
      <c r="S81" s="264" t="s">
        <v>2612</v>
      </c>
      <c r="T81" s="264"/>
      <c r="U81" s="2060"/>
      <c r="V81" s="2060"/>
      <c r="W81" s="2060"/>
      <c r="X81" s="2060"/>
    </row>
    <row r="82" spans="3:24" s="255" customFormat="1">
      <c r="C82" s="125"/>
      <c r="D82" s="125"/>
      <c r="E82" s="125"/>
      <c r="F82" s="125"/>
      <c r="G82" s="125"/>
      <c r="H82" s="46"/>
      <c r="O82" s="264">
        <v>46</v>
      </c>
      <c r="P82" s="264" t="s">
        <v>2927</v>
      </c>
      <c r="R82" s="2060"/>
      <c r="S82" s="264" t="s">
        <v>2522</v>
      </c>
      <c r="T82" s="264"/>
      <c r="U82" s="2060"/>
      <c r="V82" s="2060"/>
      <c r="W82" s="2060"/>
      <c r="X82" s="2060"/>
    </row>
    <row r="83" spans="3:24" s="255" customFormat="1">
      <c r="C83" s="125"/>
      <c r="D83" s="125"/>
      <c r="E83" s="125"/>
      <c r="F83" s="125"/>
      <c r="G83" s="125"/>
      <c r="H83" s="46"/>
      <c r="O83" s="264">
        <v>47</v>
      </c>
      <c r="P83" s="264" t="s">
        <v>2928</v>
      </c>
      <c r="R83" s="2060"/>
      <c r="S83" s="264" t="s">
        <v>2929</v>
      </c>
      <c r="T83" s="264"/>
      <c r="U83" s="2060"/>
      <c r="V83" s="2060"/>
      <c r="W83" s="2060"/>
      <c r="X83" s="2060"/>
    </row>
    <row r="84" spans="3:24" s="255" customFormat="1">
      <c r="C84" s="125"/>
      <c r="D84" s="125"/>
      <c r="E84" s="125"/>
      <c r="F84" s="125"/>
      <c r="G84" s="125"/>
      <c r="H84" s="46"/>
      <c r="O84" s="264">
        <v>48</v>
      </c>
      <c r="P84" s="264" t="s">
        <v>2930</v>
      </c>
      <c r="R84" s="2060"/>
      <c r="S84" s="264" t="s">
        <v>2710</v>
      </c>
      <c r="T84" s="264"/>
      <c r="U84" s="2060"/>
      <c r="V84" s="2060"/>
      <c r="W84" s="2060"/>
      <c r="X84" s="2060"/>
    </row>
    <row r="85" spans="3:24" s="255" customFormat="1">
      <c r="C85" s="125"/>
      <c r="D85" s="125"/>
      <c r="E85" s="125"/>
      <c r="F85" s="125"/>
      <c r="G85" s="125"/>
      <c r="H85" s="46"/>
      <c r="O85" s="264">
        <v>49</v>
      </c>
      <c r="P85" s="264" t="s">
        <v>2931</v>
      </c>
      <c r="Q85" s="2060"/>
      <c r="R85" s="2060"/>
      <c r="S85" s="264"/>
      <c r="T85" s="264"/>
      <c r="U85" s="2060"/>
      <c r="V85" s="2060"/>
      <c r="W85" s="2060"/>
      <c r="X85" s="2060"/>
    </row>
    <row r="86" spans="3:24" s="255" customFormat="1">
      <c r="C86" s="125"/>
      <c r="D86" s="125"/>
      <c r="E86" s="125"/>
      <c r="F86" s="125"/>
      <c r="G86" s="125"/>
      <c r="H86" s="46"/>
      <c r="O86" s="264">
        <v>50</v>
      </c>
      <c r="P86" s="264"/>
      <c r="Q86" s="2060"/>
      <c r="R86" s="2060"/>
      <c r="S86" s="264"/>
      <c r="T86" s="264"/>
      <c r="U86" s="2060"/>
      <c r="V86" s="2060"/>
      <c r="W86" s="2060"/>
      <c r="X86" s="2060"/>
    </row>
    <row r="87" spans="3:24" s="255" customFormat="1">
      <c r="C87" s="125"/>
      <c r="D87" s="125"/>
      <c r="E87" s="125"/>
      <c r="F87" s="125"/>
      <c r="G87" s="125"/>
      <c r="H87" s="46"/>
      <c r="O87" s="264">
        <v>51</v>
      </c>
      <c r="P87" s="264"/>
      <c r="Q87" s="2060"/>
      <c r="R87" s="2060"/>
      <c r="S87" s="264"/>
      <c r="T87" s="264"/>
      <c r="U87" s="2060"/>
      <c r="V87" s="2060"/>
      <c r="W87" s="2060"/>
      <c r="X87" s="2060"/>
    </row>
    <row r="88" spans="3:24" s="255" customFormat="1">
      <c r="C88" s="125"/>
      <c r="D88" s="125"/>
      <c r="E88" s="125"/>
      <c r="F88" s="125"/>
      <c r="G88" s="125"/>
      <c r="H88" s="46"/>
      <c r="O88" s="264">
        <v>52</v>
      </c>
      <c r="P88" s="264"/>
      <c r="Q88" s="2060"/>
      <c r="R88" s="2060"/>
      <c r="S88" s="264"/>
      <c r="T88" s="264"/>
      <c r="U88" s="2060"/>
      <c r="V88" s="2060"/>
      <c r="W88" s="2060"/>
      <c r="X88" s="2060"/>
    </row>
    <row r="89" spans="3:24" s="255" customFormat="1">
      <c r="C89" s="125"/>
      <c r="D89" s="125"/>
      <c r="E89" s="125"/>
      <c r="F89" s="125"/>
      <c r="G89" s="125"/>
      <c r="H89" s="46"/>
      <c r="O89" s="264">
        <v>53</v>
      </c>
      <c r="P89" s="264"/>
      <c r="Q89" s="2060"/>
      <c r="R89" s="2060"/>
      <c r="S89" s="264"/>
      <c r="T89" s="264"/>
      <c r="U89" s="2060"/>
      <c r="V89" s="2060"/>
      <c r="W89" s="2060"/>
      <c r="X89" s="2060"/>
    </row>
    <row r="90" spans="3:24" s="255" customFormat="1">
      <c r="C90" s="125"/>
      <c r="D90" s="125"/>
      <c r="E90" s="125"/>
      <c r="F90" s="125"/>
      <c r="G90" s="125"/>
      <c r="H90" s="46"/>
      <c r="O90" s="264">
        <v>54</v>
      </c>
      <c r="P90" s="264"/>
      <c r="Q90" s="2060"/>
      <c r="R90" s="2060"/>
      <c r="S90" s="264"/>
      <c r="T90" s="264"/>
      <c r="U90" s="2060"/>
      <c r="V90" s="2060"/>
      <c r="W90" s="2060"/>
      <c r="X90" s="2060"/>
    </row>
    <row r="91" spans="3:24" s="255" customFormat="1">
      <c r="C91" s="125"/>
      <c r="D91" s="125"/>
      <c r="E91" s="125"/>
      <c r="F91" s="125"/>
      <c r="G91" s="125"/>
      <c r="H91" s="46"/>
      <c r="O91" s="264">
        <v>55</v>
      </c>
      <c r="P91" s="264"/>
      <c r="Q91" s="2060"/>
      <c r="R91" s="2060"/>
      <c r="S91" s="264"/>
      <c r="T91" s="264"/>
      <c r="U91" s="2060"/>
      <c r="V91" s="2060"/>
      <c r="W91" s="2060"/>
      <c r="X91" s="2060"/>
    </row>
    <row r="92" spans="3:24" s="255" customFormat="1">
      <c r="C92" s="125"/>
      <c r="D92" s="125"/>
      <c r="E92" s="125"/>
      <c r="F92" s="125"/>
      <c r="G92" s="125"/>
      <c r="H92" s="46"/>
      <c r="O92" s="264">
        <v>56</v>
      </c>
      <c r="P92" s="264"/>
      <c r="Q92" s="2060"/>
      <c r="R92" s="2060"/>
      <c r="S92" s="264"/>
      <c r="T92" s="264"/>
      <c r="U92" s="2060"/>
      <c r="V92" s="2060"/>
      <c r="W92" s="2060"/>
      <c r="X92" s="2060"/>
    </row>
    <row r="93" spans="3:24" s="255" customFormat="1">
      <c r="C93" s="125"/>
      <c r="D93" s="125"/>
      <c r="E93" s="125"/>
      <c r="F93" s="125"/>
      <c r="G93" s="125"/>
      <c r="H93" s="46"/>
      <c r="O93" s="264">
        <v>57</v>
      </c>
      <c r="P93" s="264"/>
      <c r="Q93" s="2060"/>
      <c r="R93" s="2060"/>
      <c r="S93" s="264"/>
      <c r="T93" s="264"/>
      <c r="U93" s="2060"/>
      <c r="V93" s="2060"/>
      <c r="W93" s="2060"/>
      <c r="X93" s="2060"/>
    </row>
    <row r="94" spans="3:24" s="255" customFormat="1">
      <c r="C94" s="125"/>
      <c r="D94" s="125"/>
      <c r="E94" s="125"/>
      <c r="F94" s="125"/>
      <c r="G94" s="125"/>
      <c r="H94" s="46"/>
      <c r="O94" s="264">
        <v>58</v>
      </c>
      <c r="P94" s="264"/>
      <c r="Q94" s="2060"/>
      <c r="R94" s="2060"/>
      <c r="S94" s="264"/>
      <c r="T94" s="264"/>
      <c r="U94" s="2060"/>
      <c r="V94" s="2060"/>
      <c r="W94" s="2060"/>
      <c r="X94" s="2060"/>
    </row>
    <row r="95" spans="3:24" s="255" customFormat="1">
      <c r="C95" s="125"/>
      <c r="D95" s="125"/>
      <c r="E95" s="125"/>
      <c r="F95" s="125"/>
      <c r="G95" s="125"/>
      <c r="H95" s="46"/>
      <c r="O95" s="264">
        <v>59</v>
      </c>
      <c r="P95" s="264"/>
      <c r="Q95" s="2060"/>
      <c r="R95" s="2060"/>
      <c r="S95" s="264"/>
      <c r="T95" s="264"/>
      <c r="U95" s="2060"/>
      <c r="V95" s="2060"/>
      <c r="W95" s="2060"/>
      <c r="X95" s="2060"/>
    </row>
    <row r="96" spans="3:24" s="255" customFormat="1">
      <c r="C96" s="125"/>
      <c r="D96" s="125"/>
      <c r="E96" s="125"/>
      <c r="F96" s="125"/>
      <c r="G96" s="125"/>
      <c r="H96" s="46"/>
      <c r="O96" s="264">
        <v>60</v>
      </c>
      <c r="P96" s="264"/>
      <c r="Q96" s="2060"/>
      <c r="R96" s="2060"/>
      <c r="S96" s="264"/>
      <c r="T96" s="264"/>
      <c r="U96" s="2060"/>
      <c r="V96" s="2060"/>
      <c r="W96" s="2060"/>
      <c r="X96" s="2060"/>
    </row>
    <row r="97" spans="2:24" s="255" customFormat="1">
      <c r="C97" s="125"/>
      <c r="D97" s="125"/>
      <c r="E97" s="125"/>
      <c r="F97" s="125"/>
      <c r="G97" s="125"/>
      <c r="H97" s="46"/>
      <c r="O97" s="264">
        <v>61</v>
      </c>
      <c r="P97" s="264"/>
      <c r="Q97" s="2060"/>
      <c r="R97" s="2060"/>
      <c r="S97" s="264"/>
      <c r="T97" s="264"/>
      <c r="U97" s="2060"/>
      <c r="V97" s="2060"/>
      <c r="W97" s="2060"/>
      <c r="X97" s="2060"/>
    </row>
    <row r="98" spans="2:24" s="255" customFormat="1">
      <c r="C98" s="125"/>
      <c r="D98" s="125"/>
      <c r="E98" s="125"/>
      <c r="F98" s="125"/>
      <c r="G98" s="125"/>
      <c r="H98" s="46"/>
      <c r="O98" s="264">
        <v>62</v>
      </c>
      <c r="P98" s="264"/>
      <c r="Q98" s="2060"/>
      <c r="R98" s="2060"/>
      <c r="S98" s="264"/>
      <c r="T98" s="264"/>
      <c r="U98" s="2060"/>
      <c r="V98" s="2060"/>
      <c r="W98" s="2060"/>
      <c r="X98" s="2060"/>
    </row>
    <row r="99" spans="2:24" s="255" customFormat="1">
      <c r="C99" s="125"/>
      <c r="D99" s="125"/>
      <c r="E99" s="125"/>
      <c r="F99" s="125"/>
      <c r="G99" s="125"/>
      <c r="H99" s="46"/>
      <c r="O99" s="264">
        <v>63</v>
      </c>
      <c r="P99" s="264"/>
      <c r="Q99" s="2060"/>
      <c r="R99" s="2060"/>
      <c r="S99" s="264"/>
      <c r="T99" s="264"/>
      <c r="U99" s="2060"/>
      <c r="V99" s="2060"/>
      <c r="W99" s="2060"/>
      <c r="X99" s="2060"/>
    </row>
    <row r="100" spans="2:24" s="255" customFormat="1">
      <c r="C100" s="125"/>
      <c r="D100" s="125"/>
      <c r="E100" s="125"/>
      <c r="F100" s="125"/>
      <c r="G100" s="125"/>
      <c r="H100" s="46"/>
    </row>
    <row r="101" spans="2:24" s="255" customFormat="1">
      <c r="C101" s="125"/>
      <c r="D101" s="125"/>
      <c r="E101" s="125"/>
      <c r="F101" s="125"/>
      <c r="G101" s="125"/>
      <c r="H101" s="46"/>
    </row>
    <row r="102" spans="2:24" s="255" customFormat="1" ht="17.45">
      <c r="B102" s="251">
        <f ca="1">MAX(OFFSET(B102,-1,0,-ROW(B102)+1,1))+1</f>
        <v>3</v>
      </c>
      <c r="C102" s="252" t="s">
        <v>2932</v>
      </c>
      <c r="D102" s="252"/>
      <c r="E102" s="252"/>
      <c r="F102" s="252"/>
      <c r="G102" s="252"/>
      <c r="H102" s="120"/>
      <c r="I102" s="121"/>
      <c r="J102" s="122"/>
      <c r="K102" s="253"/>
      <c r="L102" s="253"/>
      <c r="M102" s="253"/>
      <c r="N102" s="253"/>
      <c r="O102" s="253"/>
      <c r="P102" s="253"/>
      <c r="Q102" s="253"/>
      <c r="R102" s="253"/>
      <c r="S102" s="253"/>
      <c r="T102" s="253"/>
      <c r="U102" s="253"/>
    </row>
    <row r="103" spans="2:24" s="255" customFormat="1">
      <c r="C103" s="125"/>
      <c r="D103" s="125"/>
      <c r="E103" s="125"/>
      <c r="F103" s="125"/>
      <c r="G103" s="125"/>
      <c r="H103" s="46"/>
      <c r="J103" s="255" t="s">
        <v>2933</v>
      </c>
      <c r="L103" s="1029" t="s">
        <v>2934</v>
      </c>
      <c r="M103" s="1029" t="s">
        <v>2934</v>
      </c>
      <c r="N103" s="1029"/>
    </row>
    <row r="104" spans="2:24" s="255" customFormat="1">
      <c r="C104" s="479"/>
      <c r="D104" s="481">
        <v>0</v>
      </c>
      <c r="E104" s="482"/>
      <c r="F104" s="482"/>
      <c r="G104" s="482"/>
      <c r="H104" s="483" t="str">
        <f>START!G12</f>
        <v/>
      </c>
      <c r="I104" s="483">
        <f>SubjCoID</f>
        <v>0</v>
      </c>
      <c r="J104" s="1967" t="str">
        <f>'WACC and TIC Inputs'!K94</f>
        <v>--</v>
      </c>
      <c r="K104" s="481">
        <v>0</v>
      </c>
      <c r="L104" s="2060" t="str">
        <f t="shared" ref="L104:L129" si="0">IFERROR(INDEX(H$104:H$129,MATCH($K104,$D$104:$D$129,0)),"")</f>
        <v/>
      </c>
      <c r="M104" s="2060">
        <f t="shared" ref="M104:M129" si="1">IFERROR(INDEX(I$104:I$129,MATCH($K104,$D$104:$D$129,0)),"")</f>
        <v>0</v>
      </c>
      <c r="N104" s="2060"/>
    </row>
    <row r="105" spans="2:24" s="255" customFormat="1">
      <c r="C105" s="479"/>
      <c r="D105" s="481">
        <f>IF(H105="--",0,MAX(D$103:D104)+1)</f>
        <v>0</v>
      </c>
      <c r="E105" s="482"/>
      <c r="F105" s="482"/>
      <c r="G105" s="482"/>
      <c r="H105" s="483" t="str">
        <f>'DATA GPC'!E20</f>
        <v>--</v>
      </c>
      <c r="I105" s="483">
        <f>'DATA GPC'!G20</f>
        <v>0</v>
      </c>
      <c r="J105" s="1967" t="str">
        <f>'WACC and TIC Inputs'!K95</f>
        <v>--</v>
      </c>
      <c r="K105" s="481">
        <v>1</v>
      </c>
      <c r="L105" s="2060" t="str">
        <f t="shared" si="0"/>
        <v/>
      </c>
      <c r="M105" s="2060" t="str">
        <f t="shared" si="1"/>
        <v/>
      </c>
      <c r="N105" s="2060"/>
    </row>
    <row r="106" spans="2:24" s="255" customFormat="1">
      <c r="C106" s="479"/>
      <c r="D106" s="481">
        <f>IF(H106="--",0,MAX(D$103:D105)+1)</f>
        <v>0</v>
      </c>
      <c r="E106" s="482"/>
      <c r="F106" s="482"/>
      <c r="G106" s="482"/>
      <c r="H106" s="483" t="str">
        <f>'DATA GPC'!E21</f>
        <v>--</v>
      </c>
      <c r="I106" s="483">
        <f>'DATA GPC'!G21</f>
        <v>0</v>
      </c>
      <c r="J106" s="1967" t="str">
        <f>'WACC and TIC Inputs'!K96</f>
        <v>--</v>
      </c>
      <c r="K106" s="481">
        <v>2</v>
      </c>
      <c r="L106" s="2060" t="str">
        <f t="shared" si="0"/>
        <v/>
      </c>
      <c r="M106" s="2060" t="str">
        <f t="shared" si="1"/>
        <v/>
      </c>
      <c r="N106" s="2060"/>
    </row>
    <row r="107" spans="2:24" s="255" customFormat="1">
      <c r="C107" s="479"/>
      <c r="D107" s="481">
        <f>IF(H107="--",0,MAX(D$103:D106)+1)</f>
        <v>0</v>
      </c>
      <c r="E107" s="482"/>
      <c r="F107" s="482"/>
      <c r="G107" s="482"/>
      <c r="H107" s="483" t="str">
        <f>'DATA GPC'!E22</f>
        <v>--</v>
      </c>
      <c r="I107" s="483">
        <f>'DATA GPC'!G22</f>
        <v>0</v>
      </c>
      <c r="J107" s="1967" t="str">
        <f>'WACC and TIC Inputs'!K97</f>
        <v>--</v>
      </c>
      <c r="K107" s="481">
        <v>3</v>
      </c>
      <c r="L107" s="2060" t="str">
        <f t="shared" si="0"/>
        <v/>
      </c>
      <c r="M107" s="2060" t="str">
        <f t="shared" si="1"/>
        <v/>
      </c>
      <c r="N107" s="2060"/>
    </row>
    <row r="108" spans="2:24" s="255" customFormat="1">
      <c r="C108" s="479"/>
      <c r="D108" s="481">
        <f>IF(H108="--",0,MAX(D$103:D107)+1)</f>
        <v>0</v>
      </c>
      <c r="E108" s="482"/>
      <c r="F108" s="482"/>
      <c r="G108" s="482"/>
      <c r="H108" s="483" t="str">
        <f>'DATA GPC'!E23</f>
        <v>--</v>
      </c>
      <c r="I108" s="483">
        <f>'DATA GPC'!G23</f>
        <v>0</v>
      </c>
      <c r="J108" s="1967" t="str">
        <f>'WACC and TIC Inputs'!K98</f>
        <v>--</v>
      </c>
      <c r="K108" s="481">
        <v>4</v>
      </c>
      <c r="L108" s="2060" t="str">
        <f t="shared" si="0"/>
        <v/>
      </c>
      <c r="M108" s="2060" t="str">
        <f t="shared" si="1"/>
        <v/>
      </c>
      <c r="N108" s="2060"/>
    </row>
    <row r="109" spans="2:24" s="255" customFormat="1">
      <c r="C109" s="479"/>
      <c r="D109" s="481">
        <f>IF(H109="--",0,MAX(D$103:D108)+1)</f>
        <v>0</v>
      </c>
      <c r="E109" s="482"/>
      <c r="F109" s="482"/>
      <c r="G109" s="482"/>
      <c r="H109" s="483" t="str">
        <f>'DATA GPC'!E24</f>
        <v>--</v>
      </c>
      <c r="I109" s="483">
        <f>'DATA GPC'!G24</f>
        <v>0</v>
      </c>
      <c r="J109" s="1967" t="str">
        <f>'WACC and TIC Inputs'!K99</f>
        <v>--</v>
      </c>
      <c r="K109" s="481">
        <v>5</v>
      </c>
      <c r="L109" s="2060" t="str">
        <f t="shared" si="0"/>
        <v/>
      </c>
      <c r="M109" s="2060" t="str">
        <f t="shared" si="1"/>
        <v/>
      </c>
      <c r="N109" s="2060"/>
    </row>
    <row r="110" spans="2:24" s="255" customFormat="1">
      <c r="C110" s="479"/>
      <c r="D110" s="481">
        <f>IF(H110="--",0,MAX(D$103:D109)+1)</f>
        <v>0</v>
      </c>
      <c r="E110" s="482"/>
      <c r="F110" s="482"/>
      <c r="G110" s="482"/>
      <c r="H110" s="483" t="str">
        <f>'DATA GPC'!E25</f>
        <v>--</v>
      </c>
      <c r="I110" s="483">
        <f>'DATA GPC'!G25</f>
        <v>0</v>
      </c>
      <c r="J110" s="1967" t="str">
        <f>'WACC and TIC Inputs'!K100</f>
        <v>--</v>
      </c>
      <c r="K110" s="481">
        <v>6</v>
      </c>
      <c r="L110" s="2060" t="str">
        <f t="shared" si="0"/>
        <v/>
      </c>
      <c r="M110" s="2060" t="str">
        <f t="shared" si="1"/>
        <v/>
      </c>
      <c r="N110" s="2060"/>
    </row>
    <row r="111" spans="2:24" s="255" customFormat="1">
      <c r="C111" s="479"/>
      <c r="D111" s="481">
        <f>IF(H111="--",0,MAX(D$103:D110)+1)</f>
        <v>0</v>
      </c>
      <c r="E111" s="482"/>
      <c r="F111" s="482"/>
      <c r="G111" s="482"/>
      <c r="H111" s="483" t="str">
        <f>'DATA GPC'!E26</f>
        <v>--</v>
      </c>
      <c r="I111" s="483">
        <f>'DATA GPC'!G26</f>
        <v>0</v>
      </c>
      <c r="J111" s="1967" t="str">
        <f>'WACC and TIC Inputs'!K101</f>
        <v>--</v>
      </c>
      <c r="K111" s="481">
        <v>7</v>
      </c>
      <c r="L111" s="2060" t="str">
        <f t="shared" si="0"/>
        <v/>
      </c>
      <c r="M111" s="2060" t="str">
        <f t="shared" si="1"/>
        <v/>
      </c>
      <c r="N111" s="2060"/>
    </row>
    <row r="112" spans="2:24" s="255" customFormat="1">
      <c r="C112" s="479"/>
      <c r="D112" s="481">
        <f>IF(H112="--",0,MAX(D$103:D111)+1)</f>
        <v>0</v>
      </c>
      <c r="E112" s="482"/>
      <c r="F112" s="482"/>
      <c r="G112" s="482"/>
      <c r="H112" s="483" t="str">
        <f>'DATA GPC'!E27</f>
        <v>--</v>
      </c>
      <c r="I112" s="483">
        <f>'DATA GPC'!G27</f>
        <v>0</v>
      </c>
      <c r="J112" s="1967" t="str">
        <f>'WACC and TIC Inputs'!K102</f>
        <v>--</v>
      </c>
      <c r="K112" s="481">
        <v>8</v>
      </c>
      <c r="L112" s="2060" t="str">
        <f t="shared" si="0"/>
        <v/>
      </c>
      <c r="M112" s="2060" t="str">
        <f t="shared" si="1"/>
        <v/>
      </c>
      <c r="N112" s="2060"/>
    </row>
    <row r="113" spans="3:14" s="255" customFormat="1">
      <c r="C113" s="479"/>
      <c r="D113" s="481">
        <f>IF(H113="--",0,MAX(D$103:D112)+1)</f>
        <v>0</v>
      </c>
      <c r="E113" s="482"/>
      <c r="F113" s="482"/>
      <c r="G113" s="482"/>
      <c r="H113" s="483" t="str">
        <f>'DATA GPC'!E28</f>
        <v>--</v>
      </c>
      <c r="I113" s="483">
        <f>'DATA GPC'!G28</f>
        <v>0</v>
      </c>
      <c r="J113" s="1967" t="str">
        <f>'WACC and TIC Inputs'!K103</f>
        <v>--</v>
      </c>
      <c r="K113" s="481">
        <v>9</v>
      </c>
      <c r="L113" s="2060" t="str">
        <f t="shared" si="0"/>
        <v/>
      </c>
      <c r="M113" s="2060" t="str">
        <f t="shared" si="1"/>
        <v/>
      </c>
      <c r="N113" s="2060"/>
    </row>
    <row r="114" spans="3:14" s="255" customFormat="1">
      <c r="C114" s="479"/>
      <c r="D114" s="481">
        <f>IF(H114="--",0,MAX(D$103:D113)+1)</f>
        <v>0</v>
      </c>
      <c r="E114" s="482"/>
      <c r="F114" s="482"/>
      <c r="G114" s="482"/>
      <c r="H114" s="483" t="str">
        <f>'DATA GPC'!E29</f>
        <v>--</v>
      </c>
      <c r="I114" s="483">
        <f>'DATA GPC'!G29</f>
        <v>0</v>
      </c>
      <c r="J114" s="1967" t="str">
        <f>'WACC and TIC Inputs'!K104</f>
        <v>--</v>
      </c>
      <c r="K114" s="481">
        <v>10</v>
      </c>
      <c r="L114" s="2060" t="str">
        <f t="shared" si="0"/>
        <v/>
      </c>
      <c r="M114" s="2060" t="str">
        <f t="shared" si="1"/>
        <v/>
      </c>
      <c r="N114" s="2060"/>
    </row>
    <row r="115" spans="3:14" s="255" customFormat="1">
      <c r="C115" s="479"/>
      <c r="D115" s="481">
        <f>IF(H115="--",0,MAX(D$103:D114)+1)</f>
        <v>0</v>
      </c>
      <c r="E115" s="482"/>
      <c r="F115" s="482"/>
      <c r="G115" s="482"/>
      <c r="H115" s="483" t="str">
        <f>'DATA GPC'!E30</f>
        <v>--</v>
      </c>
      <c r="I115" s="483">
        <f>'DATA GPC'!G30</f>
        <v>0</v>
      </c>
      <c r="J115" s="1967" t="str">
        <f>'WACC and TIC Inputs'!K105</f>
        <v>--</v>
      </c>
      <c r="K115" s="481">
        <v>11</v>
      </c>
      <c r="L115" s="2060" t="str">
        <f t="shared" si="0"/>
        <v/>
      </c>
      <c r="M115" s="2060" t="str">
        <f t="shared" si="1"/>
        <v/>
      </c>
      <c r="N115" s="2060"/>
    </row>
    <row r="116" spans="3:14" s="255" customFormat="1">
      <c r="C116" s="479"/>
      <c r="D116" s="481">
        <f>IF(H116="--",0,MAX(D$103:D115)+1)</f>
        <v>0</v>
      </c>
      <c r="E116" s="482"/>
      <c r="F116" s="482"/>
      <c r="G116" s="482"/>
      <c r="H116" s="483" t="str">
        <f>'DATA GPC'!E31</f>
        <v>--</v>
      </c>
      <c r="I116" s="483">
        <f>'DATA GPC'!G31</f>
        <v>0</v>
      </c>
      <c r="J116" s="1967" t="str">
        <f>'WACC and TIC Inputs'!K106</f>
        <v>--</v>
      </c>
      <c r="K116" s="481">
        <v>12</v>
      </c>
      <c r="L116" s="2060" t="str">
        <f t="shared" si="0"/>
        <v/>
      </c>
      <c r="M116" s="2060" t="str">
        <f t="shared" si="1"/>
        <v/>
      </c>
      <c r="N116" s="2060"/>
    </row>
    <row r="117" spans="3:14" s="255" customFormat="1">
      <c r="C117" s="479"/>
      <c r="D117" s="481">
        <f>IF(H117="--",0,MAX(D$103:D116)+1)</f>
        <v>0</v>
      </c>
      <c r="E117" s="482"/>
      <c r="F117" s="482"/>
      <c r="G117" s="482"/>
      <c r="H117" s="483" t="str">
        <f>'DATA GPC'!E32</f>
        <v>--</v>
      </c>
      <c r="I117" s="483">
        <f>'DATA GPC'!G32</f>
        <v>0</v>
      </c>
      <c r="J117" s="1967" t="str">
        <f>'WACC and TIC Inputs'!K107</f>
        <v>--</v>
      </c>
      <c r="K117" s="481">
        <v>13</v>
      </c>
      <c r="L117" s="2060" t="str">
        <f t="shared" si="0"/>
        <v/>
      </c>
      <c r="M117" s="2060" t="str">
        <f t="shared" si="1"/>
        <v/>
      </c>
      <c r="N117" s="2060"/>
    </row>
    <row r="118" spans="3:14" s="255" customFormat="1">
      <c r="C118" s="479"/>
      <c r="D118" s="481">
        <f>IF(H118="--",0,MAX(D$103:D117)+1)</f>
        <v>0</v>
      </c>
      <c r="E118" s="482"/>
      <c r="F118" s="482"/>
      <c r="G118" s="482"/>
      <c r="H118" s="483" t="str">
        <f>'DATA GPC'!E33</f>
        <v>--</v>
      </c>
      <c r="I118" s="483">
        <f>'DATA GPC'!G33</f>
        <v>0</v>
      </c>
      <c r="J118" s="1967" t="str">
        <f>'WACC and TIC Inputs'!K108</f>
        <v>--</v>
      </c>
      <c r="K118" s="481">
        <v>14</v>
      </c>
      <c r="L118" s="2060" t="str">
        <f t="shared" si="0"/>
        <v/>
      </c>
      <c r="M118" s="2060" t="str">
        <f t="shared" si="1"/>
        <v/>
      </c>
      <c r="N118" s="2060"/>
    </row>
    <row r="119" spans="3:14" s="255" customFormat="1">
      <c r="C119" s="479"/>
      <c r="D119" s="481">
        <f>IF(H119="--",0,MAX(D$103:D118)+1)</f>
        <v>0</v>
      </c>
      <c r="E119" s="482"/>
      <c r="F119" s="482"/>
      <c r="G119" s="482"/>
      <c r="H119" s="483" t="str">
        <f>'DATA GPC'!E34</f>
        <v>--</v>
      </c>
      <c r="I119" s="483">
        <f>'DATA GPC'!G34</f>
        <v>0</v>
      </c>
      <c r="J119" s="1967" t="str">
        <f>'WACC and TIC Inputs'!K109</f>
        <v>--</v>
      </c>
      <c r="K119" s="481">
        <v>15</v>
      </c>
      <c r="L119" s="2060" t="str">
        <f t="shared" si="0"/>
        <v/>
      </c>
      <c r="M119" s="2060" t="str">
        <f t="shared" si="1"/>
        <v/>
      </c>
      <c r="N119" s="2060"/>
    </row>
    <row r="120" spans="3:14" s="255" customFormat="1">
      <c r="C120" s="479"/>
      <c r="D120" s="481">
        <f>IF(H120="--",0,MAX(D$103:D119)+1)</f>
        <v>0</v>
      </c>
      <c r="E120" s="482"/>
      <c r="F120" s="482"/>
      <c r="G120" s="482"/>
      <c r="H120" s="483" t="str">
        <f>'DATA GPC'!E35</f>
        <v>--</v>
      </c>
      <c r="I120" s="483">
        <f>'DATA GPC'!G35</f>
        <v>0</v>
      </c>
      <c r="J120" s="1967" t="str">
        <f>'WACC and TIC Inputs'!K110</f>
        <v>--</v>
      </c>
      <c r="K120" s="481">
        <v>16</v>
      </c>
      <c r="L120" s="2060" t="str">
        <f t="shared" si="0"/>
        <v/>
      </c>
      <c r="M120" s="2060" t="str">
        <f t="shared" si="1"/>
        <v/>
      </c>
      <c r="N120" s="2060"/>
    </row>
    <row r="121" spans="3:14" s="255" customFormat="1">
      <c r="C121" s="479"/>
      <c r="D121" s="481">
        <f>IF(H121="--",0,MAX(D$103:D120)+1)</f>
        <v>0</v>
      </c>
      <c r="E121" s="482"/>
      <c r="F121" s="482"/>
      <c r="G121" s="482"/>
      <c r="H121" s="483" t="str">
        <f>'DATA GPC'!E36</f>
        <v>--</v>
      </c>
      <c r="I121" s="483">
        <f>'DATA GPC'!G36</f>
        <v>0</v>
      </c>
      <c r="J121" s="1967" t="str">
        <f>'WACC and TIC Inputs'!K111</f>
        <v>--</v>
      </c>
      <c r="K121" s="481">
        <v>17</v>
      </c>
      <c r="L121" s="2060" t="str">
        <f t="shared" si="0"/>
        <v/>
      </c>
      <c r="M121" s="2060" t="str">
        <f t="shared" si="1"/>
        <v/>
      </c>
      <c r="N121" s="2060"/>
    </row>
    <row r="122" spans="3:14" s="255" customFormat="1">
      <c r="C122" s="479"/>
      <c r="D122" s="481">
        <f>IF(H122="--",0,MAX(D$103:D121)+1)</f>
        <v>0</v>
      </c>
      <c r="E122" s="482"/>
      <c r="F122" s="482"/>
      <c r="G122" s="482"/>
      <c r="H122" s="483" t="str">
        <f>'DATA GPC'!E37</f>
        <v>--</v>
      </c>
      <c r="I122" s="483">
        <f>'DATA GPC'!G37</f>
        <v>0</v>
      </c>
      <c r="J122" s="1967" t="str">
        <f>'WACC and TIC Inputs'!K112</f>
        <v>--</v>
      </c>
      <c r="K122" s="481">
        <v>18</v>
      </c>
      <c r="L122" s="2060" t="str">
        <f t="shared" si="0"/>
        <v/>
      </c>
      <c r="M122" s="2060" t="str">
        <f t="shared" si="1"/>
        <v/>
      </c>
      <c r="N122" s="2060"/>
    </row>
    <row r="123" spans="3:14" s="255" customFormat="1">
      <c r="C123" s="479"/>
      <c r="D123" s="481">
        <f>IF(H123="--",0,MAX(D$103:D122)+1)</f>
        <v>0</v>
      </c>
      <c r="E123" s="482"/>
      <c r="F123" s="482"/>
      <c r="G123" s="482"/>
      <c r="H123" s="483" t="str">
        <f>'DATA GPC'!E38</f>
        <v>--</v>
      </c>
      <c r="I123" s="483">
        <f>'DATA GPC'!G38</f>
        <v>0</v>
      </c>
      <c r="J123" s="1967" t="str">
        <f>'WACC and TIC Inputs'!K113</f>
        <v>--</v>
      </c>
      <c r="K123" s="481">
        <v>19</v>
      </c>
      <c r="L123" s="2060" t="str">
        <f t="shared" si="0"/>
        <v/>
      </c>
      <c r="M123" s="2060" t="str">
        <f t="shared" si="1"/>
        <v/>
      </c>
      <c r="N123" s="2060"/>
    </row>
    <row r="124" spans="3:14" s="255" customFormat="1">
      <c r="C124" s="479"/>
      <c r="D124" s="481">
        <f>IF(H124="--",0,MAX(D$103:D123)+1)</f>
        <v>0</v>
      </c>
      <c r="E124" s="482"/>
      <c r="F124" s="482"/>
      <c r="G124" s="482"/>
      <c r="H124" s="483" t="str">
        <f>'DATA GPC'!E39</f>
        <v>--</v>
      </c>
      <c r="I124" s="483">
        <f>'DATA GPC'!G39</f>
        <v>0</v>
      </c>
      <c r="J124" s="1967" t="str">
        <f>'WACC and TIC Inputs'!K114</f>
        <v>--</v>
      </c>
      <c r="K124" s="481">
        <v>20</v>
      </c>
      <c r="L124" s="2060" t="str">
        <f t="shared" si="0"/>
        <v/>
      </c>
      <c r="M124" s="2060" t="str">
        <f t="shared" si="1"/>
        <v/>
      </c>
      <c r="N124" s="2060"/>
    </row>
    <row r="125" spans="3:14" s="255" customFormat="1">
      <c r="C125" s="479"/>
      <c r="D125" s="481">
        <f>IF(H125="--",0,MAX(D$103:D124)+1)</f>
        <v>0</v>
      </c>
      <c r="E125" s="482"/>
      <c r="F125" s="482"/>
      <c r="G125" s="482"/>
      <c r="H125" s="483" t="str">
        <f>'DATA GPC'!E40</f>
        <v>--</v>
      </c>
      <c r="I125" s="483">
        <f>'DATA GPC'!G40</f>
        <v>0</v>
      </c>
      <c r="J125" s="1967" t="str">
        <f>'WACC and TIC Inputs'!K115</f>
        <v>--</v>
      </c>
      <c r="K125" s="481">
        <v>21</v>
      </c>
      <c r="L125" s="2060" t="str">
        <f t="shared" si="0"/>
        <v/>
      </c>
      <c r="M125" s="2060" t="str">
        <f t="shared" si="1"/>
        <v/>
      </c>
      <c r="N125" s="2060"/>
    </row>
    <row r="126" spans="3:14" s="255" customFormat="1">
      <c r="C126" s="479"/>
      <c r="D126" s="481">
        <f>IF(H126="--",0,MAX(D$103:D125)+1)</f>
        <v>0</v>
      </c>
      <c r="E126" s="482"/>
      <c r="F126" s="482"/>
      <c r="G126" s="482"/>
      <c r="H126" s="483" t="str">
        <f>'DATA GPC'!E41</f>
        <v>--</v>
      </c>
      <c r="I126" s="483">
        <f>'DATA GPC'!G41</f>
        <v>0</v>
      </c>
      <c r="J126" s="1967" t="str">
        <f>'WACC and TIC Inputs'!K116</f>
        <v>--</v>
      </c>
      <c r="K126" s="481">
        <v>22</v>
      </c>
      <c r="L126" s="2060" t="str">
        <f t="shared" si="0"/>
        <v/>
      </c>
      <c r="M126" s="2060" t="str">
        <f t="shared" si="1"/>
        <v/>
      </c>
      <c r="N126" s="2060"/>
    </row>
    <row r="127" spans="3:14" s="255" customFormat="1">
      <c r="C127" s="479"/>
      <c r="D127" s="481">
        <f>IF(H127="--",0,MAX(D$103:D126)+1)</f>
        <v>0</v>
      </c>
      <c r="E127" s="482"/>
      <c r="F127" s="482"/>
      <c r="G127" s="482"/>
      <c r="H127" s="483" t="str">
        <f>'DATA GPC'!E42</f>
        <v>--</v>
      </c>
      <c r="I127" s="483">
        <f>'DATA GPC'!G42</f>
        <v>0</v>
      </c>
      <c r="J127" s="1967" t="str">
        <f>'WACC and TIC Inputs'!K117</f>
        <v>--</v>
      </c>
      <c r="K127" s="481">
        <v>23</v>
      </c>
      <c r="L127" s="2060" t="str">
        <f t="shared" si="0"/>
        <v/>
      </c>
      <c r="M127" s="2060" t="str">
        <f t="shared" si="1"/>
        <v/>
      </c>
      <c r="N127" s="2060"/>
    </row>
    <row r="128" spans="3:14" s="255" customFormat="1">
      <c r="C128" s="479"/>
      <c r="D128" s="481">
        <f>IF(H128="--",0,MAX(D$103:D127)+1)</f>
        <v>0</v>
      </c>
      <c r="E128" s="482"/>
      <c r="F128" s="482"/>
      <c r="G128" s="482"/>
      <c r="H128" s="483" t="str">
        <f>'DATA GPC'!E43</f>
        <v>--</v>
      </c>
      <c r="I128" s="483">
        <f>'DATA GPC'!G43</f>
        <v>0</v>
      </c>
      <c r="J128" s="1967" t="str">
        <f>'WACC and TIC Inputs'!K118</f>
        <v>--</v>
      </c>
      <c r="K128" s="481">
        <v>24</v>
      </c>
      <c r="L128" s="2060" t="str">
        <f t="shared" si="0"/>
        <v/>
      </c>
      <c r="M128" s="2060" t="str">
        <f t="shared" si="1"/>
        <v/>
      </c>
      <c r="N128" s="2060"/>
    </row>
    <row r="129" spans="2:25" s="255" customFormat="1">
      <c r="C129" s="479"/>
      <c r="D129" s="481">
        <f>IF(H129="--",0,MAX(D$103:D128)+1)</f>
        <v>0</v>
      </c>
      <c r="E129" s="482"/>
      <c r="F129" s="482"/>
      <c r="G129" s="482"/>
      <c r="H129" s="483" t="str">
        <f>'DATA GPC'!E44</f>
        <v>--</v>
      </c>
      <c r="I129" s="483">
        <f>'DATA GPC'!G44</f>
        <v>0</v>
      </c>
      <c r="J129" s="1967" t="str">
        <f>'WACC and TIC Inputs'!K119</f>
        <v>n/a</v>
      </c>
      <c r="K129" s="481">
        <v>25</v>
      </c>
      <c r="L129" s="2060" t="str">
        <f t="shared" si="0"/>
        <v/>
      </c>
      <c r="M129" s="2060" t="str">
        <f t="shared" si="1"/>
        <v/>
      </c>
      <c r="N129" s="2060"/>
    </row>
    <row r="130" spans="2:25" s="123" customFormat="1">
      <c r="B130" s="255"/>
      <c r="C130" s="479"/>
      <c r="D130" s="479"/>
      <c r="E130" s="479"/>
      <c r="F130" s="479"/>
      <c r="G130" s="479"/>
      <c r="H130" s="480"/>
      <c r="I130" s="2060"/>
      <c r="J130" s="2060"/>
      <c r="K130" s="2060"/>
      <c r="L130" s="255"/>
      <c r="M130" s="255"/>
      <c r="N130" s="255"/>
      <c r="O130" s="255"/>
      <c r="P130" s="255"/>
      <c r="Q130" s="255"/>
      <c r="R130" s="255"/>
      <c r="S130" s="255"/>
      <c r="T130" s="255"/>
      <c r="U130" s="255"/>
      <c r="V130" s="255"/>
      <c r="W130" s="255"/>
      <c r="X130" s="255"/>
      <c r="Y130" s="255"/>
    </row>
    <row r="131" spans="2:25" ht="17.45">
      <c r="B131" s="251">
        <f ca="1">MAX(OFFSET(B131,-1,0,-ROW(B131)+1,1))+1</f>
        <v>4</v>
      </c>
      <c r="C131" s="252" t="s">
        <v>2935</v>
      </c>
      <c r="D131" s="252"/>
      <c r="E131" s="252"/>
      <c r="F131" s="252"/>
      <c r="G131" s="252"/>
      <c r="H131" s="120"/>
      <c r="I131" s="121"/>
      <c r="J131" s="122"/>
      <c r="K131" s="253"/>
      <c r="L131" s="253"/>
      <c r="M131" s="253"/>
      <c r="N131" s="253"/>
      <c r="O131" s="253"/>
      <c r="P131" s="253"/>
      <c r="Q131" s="253"/>
      <c r="R131" s="253"/>
      <c r="S131" s="253"/>
      <c r="T131" s="253"/>
      <c r="U131" s="253"/>
      <c r="V131" s="255"/>
      <c r="W131" s="255"/>
      <c r="X131" s="255"/>
      <c r="Y131" s="255"/>
    </row>
    <row r="132" spans="2:25">
      <c r="B132" s="255"/>
      <c r="C132" s="255"/>
      <c r="D132" s="255"/>
      <c r="E132" s="255"/>
      <c r="H132" s="255"/>
      <c r="I132" s="126"/>
      <c r="J132" s="255"/>
      <c r="K132" s="255"/>
      <c r="L132" s="255"/>
      <c r="M132" s="255"/>
      <c r="N132" s="255"/>
      <c r="O132" s="255"/>
      <c r="P132" s="255"/>
      <c r="Q132" s="255"/>
      <c r="R132" s="255"/>
      <c r="S132" s="255"/>
      <c r="T132" s="255"/>
      <c r="U132" s="255"/>
      <c r="V132" s="255"/>
      <c r="W132" s="255"/>
      <c r="X132" s="255"/>
      <c r="Y132" s="255"/>
    </row>
    <row r="133" spans="2:25">
      <c r="B133" s="255"/>
      <c r="C133" s="56">
        <f ca="1">MAX(OFFSET(C133,-1,0,-ROWS($C$131:C132),-2),1)+0.01</f>
        <v>4.01</v>
      </c>
      <c r="D133" s="56"/>
      <c r="E133" s="56"/>
      <c r="F133" s="56"/>
      <c r="G133" s="56"/>
      <c r="H133" s="250" t="s">
        <v>2935</v>
      </c>
      <c r="I133" s="126"/>
      <c r="J133" s="255"/>
      <c r="K133" s="255"/>
      <c r="L133" s="255"/>
      <c r="M133" s="255"/>
      <c r="N133" s="255"/>
      <c r="O133" s="255"/>
      <c r="P133" s="255"/>
      <c r="Q133" s="255"/>
      <c r="R133" s="255"/>
      <c r="S133" s="255"/>
      <c r="T133" s="255"/>
      <c r="U133" s="255"/>
      <c r="V133" s="255"/>
      <c r="W133" s="255"/>
      <c r="X133" s="255"/>
      <c r="Y133" s="255"/>
    </row>
    <row r="134" spans="2:25">
      <c r="B134" s="255"/>
      <c r="C134" s="255"/>
      <c r="D134" s="255"/>
      <c r="E134" s="255"/>
      <c r="H134" s="255" t="s">
        <v>2817</v>
      </c>
      <c r="I134" s="2287" t="s">
        <v>2817</v>
      </c>
      <c r="J134" s="255"/>
      <c r="K134" s="255"/>
      <c r="L134" s="255"/>
      <c r="M134" s="255"/>
      <c r="N134" s="255"/>
      <c r="O134" s="255"/>
      <c r="P134" s="255"/>
      <c r="Q134" s="255"/>
      <c r="R134" s="255"/>
      <c r="S134" s="255"/>
      <c r="T134" s="255"/>
      <c r="U134" s="255"/>
      <c r="V134" s="255"/>
      <c r="W134" s="255"/>
      <c r="X134" s="255"/>
      <c r="Y134" s="255"/>
    </row>
    <row r="135" spans="2:25">
      <c r="B135" s="255"/>
      <c r="C135" s="255"/>
      <c r="D135" s="255"/>
      <c r="E135" s="255"/>
      <c r="H135" s="255" t="s">
        <v>2936</v>
      </c>
      <c r="I135" s="2287" t="s">
        <v>2937</v>
      </c>
      <c r="J135" s="255"/>
      <c r="K135" s="255"/>
      <c r="L135" s="255"/>
      <c r="M135" s="255"/>
      <c r="N135" s="255"/>
      <c r="O135" s="255"/>
      <c r="P135" s="255"/>
      <c r="Q135" s="255"/>
      <c r="R135" s="255"/>
      <c r="S135" s="255"/>
      <c r="T135" s="255"/>
      <c r="U135" s="255"/>
      <c r="V135" s="255"/>
      <c r="W135" s="255"/>
      <c r="X135" s="255"/>
      <c r="Y135" s="255"/>
    </row>
    <row r="136" spans="2:25">
      <c r="B136" s="255"/>
      <c r="C136" s="255"/>
      <c r="D136" s="255"/>
      <c r="E136" s="255"/>
      <c r="H136" s="255" t="s">
        <v>2938</v>
      </c>
      <c r="I136" s="2288" t="s">
        <v>2939</v>
      </c>
      <c r="J136" s="255"/>
      <c r="K136" s="255"/>
      <c r="L136" s="255"/>
      <c r="M136" s="255"/>
      <c r="N136" s="255"/>
      <c r="O136" s="255"/>
      <c r="P136" s="255"/>
      <c r="Q136" s="255"/>
      <c r="R136" s="255"/>
      <c r="S136" s="255"/>
      <c r="T136" s="255"/>
      <c r="U136" s="255"/>
      <c r="V136" s="255"/>
      <c r="W136" s="255"/>
      <c r="X136" s="255"/>
      <c r="Y136" s="255"/>
    </row>
    <row r="137" spans="2:25">
      <c r="B137" s="255"/>
      <c r="C137" s="255"/>
      <c r="D137" s="255"/>
      <c r="E137" s="255"/>
      <c r="H137" s="255" t="s">
        <v>2940</v>
      </c>
      <c r="I137" s="2288" t="s">
        <v>2941</v>
      </c>
      <c r="J137" s="255"/>
      <c r="K137" s="255"/>
      <c r="L137" s="255"/>
      <c r="M137" s="255"/>
      <c r="N137" s="255"/>
      <c r="O137" s="255"/>
      <c r="P137" s="255"/>
      <c r="Q137" s="255"/>
      <c r="R137" s="255"/>
      <c r="S137" s="255"/>
      <c r="T137" s="255"/>
      <c r="U137" s="255"/>
      <c r="V137" s="255"/>
      <c r="W137" s="255"/>
      <c r="X137" s="255"/>
      <c r="Y137" s="255"/>
    </row>
    <row r="138" spans="2:25">
      <c r="B138" s="255"/>
      <c r="C138" s="255"/>
      <c r="D138" s="255"/>
      <c r="E138" s="255"/>
      <c r="H138" s="255" t="s">
        <v>2942</v>
      </c>
      <c r="I138" s="2287" t="s">
        <v>2942</v>
      </c>
      <c r="J138" s="255"/>
      <c r="K138" s="255"/>
      <c r="L138" s="255"/>
      <c r="M138" s="255"/>
      <c r="N138" s="255"/>
      <c r="O138" s="255"/>
      <c r="P138" s="255"/>
      <c r="Q138" s="255"/>
      <c r="R138" s="255"/>
      <c r="S138" s="255"/>
      <c r="T138" s="255"/>
      <c r="U138" s="255"/>
      <c r="V138" s="255"/>
      <c r="W138" s="255"/>
      <c r="X138" s="255"/>
      <c r="Y138" s="255"/>
    </row>
    <row r="139" spans="2:25">
      <c r="B139" s="255"/>
      <c r="C139" s="255"/>
      <c r="D139" s="255"/>
      <c r="E139" s="255"/>
      <c r="H139" s="255"/>
      <c r="I139" s="255"/>
      <c r="J139" s="255"/>
      <c r="K139" s="255"/>
      <c r="L139" s="255"/>
      <c r="M139" s="255"/>
      <c r="N139" s="255"/>
      <c r="O139" s="255"/>
      <c r="P139" s="255"/>
      <c r="Q139" s="255"/>
      <c r="R139" s="255"/>
      <c r="S139" s="255"/>
      <c r="T139" s="255"/>
      <c r="U139" s="255"/>
      <c r="V139" s="255"/>
      <c r="W139" s="255"/>
      <c r="X139" s="255"/>
      <c r="Y139" s="255"/>
    </row>
    <row r="140" spans="2:25">
      <c r="B140" s="255"/>
      <c r="C140" s="56">
        <f ca="1">MAX(OFFSET(C140,-1,0,-ROWS($C$131:C138),-2),1)+0.01</f>
        <v>4.0199999999999996</v>
      </c>
      <c r="D140" s="56"/>
      <c r="E140" s="56"/>
      <c r="F140" s="56"/>
      <c r="G140" s="56"/>
      <c r="H140" s="250" t="s">
        <v>2943</v>
      </c>
      <c r="I140" s="2283" t="str">
        <f ca="1">MID(CELL("address",I140),2,1)</f>
        <v>I</v>
      </c>
      <c r="J140" s="255"/>
      <c r="K140" s="255"/>
      <c r="L140" s="255"/>
      <c r="M140" s="255"/>
      <c r="N140" s="255"/>
      <c r="O140" s="255"/>
      <c r="P140" s="255"/>
      <c r="Q140" s="255"/>
      <c r="R140" s="255"/>
      <c r="S140" s="255"/>
      <c r="T140" s="255"/>
      <c r="U140" s="255"/>
      <c r="V140" s="255"/>
      <c r="W140" s="255"/>
      <c r="X140" s="255"/>
      <c r="Y140" s="255"/>
    </row>
    <row r="141" spans="2:25">
      <c r="B141" s="255"/>
      <c r="C141" s="21"/>
      <c r="D141" s="21"/>
      <c r="E141" s="21"/>
      <c r="F141" s="21"/>
      <c r="G141" s="21"/>
      <c r="H141" s="21"/>
      <c r="I141" s="255"/>
      <c r="J141" s="126"/>
      <c r="K141" s="126"/>
      <c r="L141" s="126"/>
      <c r="M141" s="126"/>
      <c r="N141" s="255"/>
      <c r="O141" s="255"/>
      <c r="P141" s="255"/>
      <c r="Q141" s="255"/>
      <c r="R141" s="255"/>
      <c r="S141" s="255"/>
      <c r="T141" s="255"/>
      <c r="U141" s="255"/>
      <c r="V141" s="255"/>
      <c r="W141" s="255"/>
      <c r="X141" s="255"/>
      <c r="Y141" s="255"/>
    </row>
    <row r="142" spans="2:25">
      <c r="B142" s="255"/>
      <c r="C142" s="255"/>
      <c r="D142" s="255"/>
      <c r="E142" s="255"/>
      <c r="H142" s="88"/>
      <c r="I142" s="255"/>
      <c r="J142" s="255"/>
      <c r="K142" s="88"/>
      <c r="L142" s="255"/>
      <c r="M142" s="255"/>
      <c r="N142" s="255"/>
      <c r="O142" s="255"/>
      <c r="P142" s="1504"/>
      <c r="Q142" s="1504"/>
      <c r="R142" s="255"/>
      <c r="S142" s="255"/>
      <c r="T142" s="1504"/>
      <c r="U142" s="1504"/>
      <c r="V142" s="255"/>
      <c r="W142" s="255"/>
      <c r="X142" s="255"/>
      <c r="Y142" s="255"/>
    </row>
    <row r="143" spans="2:25">
      <c r="B143" s="255"/>
      <c r="C143" s="255"/>
      <c r="D143" s="255"/>
      <c r="E143" s="255"/>
      <c r="H143" s="21"/>
      <c r="I143" s="255"/>
      <c r="J143" s="255"/>
      <c r="K143" s="126"/>
      <c r="L143" s="255"/>
      <c r="M143" s="255"/>
      <c r="N143" s="255"/>
      <c r="O143" s="255"/>
      <c r="P143" s="255"/>
      <c r="Q143" s="255"/>
      <c r="R143" s="255"/>
      <c r="S143" s="255"/>
      <c r="T143" s="255"/>
      <c r="U143" s="255"/>
      <c r="V143" s="255"/>
      <c r="W143" s="255"/>
      <c r="X143" s="255"/>
      <c r="Y143" s="255"/>
    </row>
    <row r="144" spans="2:25">
      <c r="B144" s="255"/>
      <c r="C144" s="255"/>
      <c r="D144" s="255"/>
      <c r="E144" s="255"/>
      <c r="H144" s="255"/>
      <c r="I144" s="255"/>
      <c r="J144" s="255"/>
      <c r="K144" s="255"/>
      <c r="L144" s="255"/>
      <c r="M144" s="255"/>
      <c r="N144" s="255"/>
      <c r="O144" s="255"/>
      <c r="P144" s="255"/>
      <c r="Q144" s="255"/>
      <c r="R144" s="255"/>
      <c r="S144" s="255"/>
      <c r="T144" s="255"/>
      <c r="U144" s="255"/>
      <c r="V144" s="255"/>
      <c r="W144" s="255"/>
      <c r="X144" s="255"/>
      <c r="Y144" s="255"/>
    </row>
    <row r="145" spans="1:27">
      <c r="A145" s="255"/>
      <c r="B145" s="255"/>
      <c r="C145" s="255"/>
      <c r="D145" s="255"/>
      <c r="E145" s="255"/>
      <c r="H145" s="255"/>
      <c r="I145" s="255"/>
      <c r="J145" s="255"/>
      <c r="K145" s="255"/>
      <c r="L145" s="255"/>
      <c r="M145" s="255"/>
      <c r="N145" s="255"/>
      <c r="O145" s="255"/>
      <c r="P145" s="255"/>
      <c r="Q145" s="255"/>
      <c r="R145" s="255"/>
      <c r="S145" s="255"/>
      <c r="T145" s="255"/>
      <c r="U145" s="255"/>
      <c r="V145" s="255"/>
      <c r="W145" s="255"/>
      <c r="X145" s="255"/>
      <c r="Y145" s="255"/>
      <c r="Z145" s="255"/>
      <c r="AA145" s="255"/>
    </row>
    <row r="147" spans="1:27">
      <c r="A147" s="255"/>
      <c r="B147" s="255"/>
      <c r="C147" s="255"/>
      <c r="D147" s="255"/>
      <c r="E147" s="255"/>
      <c r="G147" s="255" t="s">
        <v>2944</v>
      </c>
      <c r="H147" s="255"/>
      <c r="I147" s="126"/>
      <c r="J147" s="255"/>
      <c r="K147" s="255"/>
      <c r="L147" s="255"/>
      <c r="M147" s="255"/>
      <c r="N147" s="255"/>
      <c r="O147" s="255"/>
      <c r="P147" s="255"/>
      <c r="Q147" s="255"/>
      <c r="R147" s="255"/>
      <c r="S147" s="255"/>
      <c r="T147" s="255"/>
      <c r="U147" s="255"/>
      <c r="V147" s="255"/>
      <c r="W147" s="255"/>
      <c r="X147" s="255"/>
      <c r="Y147" s="255"/>
      <c r="Z147" s="255"/>
      <c r="AA147" s="255"/>
    </row>
    <row r="148" spans="1:27" s="123" customFormat="1">
      <c r="A148" s="255"/>
      <c r="B148" s="255"/>
      <c r="C148" s="255"/>
      <c r="D148" s="255"/>
      <c r="E148" s="255"/>
      <c r="F148" s="255"/>
      <c r="G148" s="255" t="s">
        <v>2945</v>
      </c>
      <c r="H148" s="1504"/>
      <c r="I148" s="126"/>
      <c r="J148" s="255"/>
      <c r="K148" s="255"/>
      <c r="L148" s="255"/>
      <c r="M148" s="255"/>
      <c r="N148" s="255"/>
      <c r="O148" s="255"/>
      <c r="P148" s="255"/>
      <c r="Q148" s="255"/>
      <c r="R148" s="255"/>
      <c r="S148" s="255"/>
      <c r="T148" s="255"/>
      <c r="U148" s="99"/>
      <c r="V148" s="99"/>
      <c r="W148" s="255"/>
      <c r="X148" s="99"/>
      <c r="Y148" s="102" t="s">
        <v>2011</v>
      </c>
      <c r="Z148" s="255" t="s">
        <v>323</v>
      </c>
      <c r="AA148" s="255"/>
    </row>
    <row r="149" spans="1:27">
      <c r="A149" s="255"/>
      <c r="B149" s="255"/>
      <c r="C149" s="255"/>
      <c r="D149" s="255"/>
      <c r="E149" s="255"/>
      <c r="G149" s="255" t="s">
        <v>2946</v>
      </c>
      <c r="H149" s="255"/>
      <c r="I149" s="126"/>
      <c r="J149" s="255"/>
      <c r="K149" s="255"/>
      <c r="L149" s="255"/>
      <c r="M149" s="255"/>
      <c r="N149" s="255"/>
      <c r="O149" s="255"/>
      <c r="P149" s="255"/>
      <c r="Q149" s="255"/>
      <c r="R149" s="255"/>
      <c r="S149" s="99"/>
      <c r="T149" s="255"/>
      <c r="U149" s="99"/>
      <c r="V149" s="99"/>
      <c r="W149" s="255"/>
      <c r="X149" s="99"/>
      <c r="Y149" s="100" t="s">
        <v>1989</v>
      </c>
      <c r="Z149" s="255" t="s">
        <v>214</v>
      </c>
      <c r="AA149" s="255"/>
    </row>
    <row r="150" spans="1:27">
      <c r="A150" s="255"/>
      <c r="B150" s="255"/>
      <c r="C150" s="255"/>
      <c r="D150" s="255"/>
      <c r="E150" s="255"/>
      <c r="G150" s="255" t="s">
        <v>2947</v>
      </c>
      <c r="H150" s="255"/>
      <c r="I150" s="126"/>
      <c r="J150" s="255"/>
      <c r="K150" s="255"/>
      <c r="L150" s="255"/>
      <c r="M150" s="255"/>
      <c r="N150" s="255"/>
      <c r="O150" s="255"/>
      <c r="P150" s="255"/>
      <c r="Q150" s="255"/>
      <c r="R150" s="255"/>
      <c r="S150" s="99"/>
      <c r="T150" s="255"/>
      <c r="U150" s="99"/>
      <c r="V150" s="99"/>
      <c r="W150" s="255"/>
      <c r="X150" s="99"/>
      <c r="Y150" s="100" t="s">
        <v>2011</v>
      </c>
      <c r="Z150" s="255" t="s">
        <v>323</v>
      </c>
      <c r="AA150" s="255"/>
    </row>
    <row r="151" spans="1:27">
      <c r="A151" s="255"/>
      <c r="B151" s="255"/>
      <c r="C151" s="255"/>
      <c r="D151" s="255"/>
      <c r="E151" s="255"/>
      <c r="G151" s="255" t="s">
        <v>2948</v>
      </c>
      <c r="H151" s="255"/>
      <c r="I151" s="126"/>
      <c r="J151" s="255"/>
      <c r="K151" s="255"/>
      <c r="L151" s="255"/>
      <c r="M151" s="255"/>
      <c r="N151" s="255"/>
      <c r="O151" s="255"/>
      <c r="P151" s="255"/>
      <c r="Q151" s="255"/>
      <c r="R151" s="255"/>
      <c r="S151" s="99"/>
      <c r="T151" s="255"/>
      <c r="U151" s="99"/>
      <c r="V151" s="99"/>
      <c r="W151" s="255"/>
      <c r="X151" s="99"/>
      <c r="Y151" s="100" t="s">
        <v>2949</v>
      </c>
      <c r="Z151" s="255"/>
      <c r="AA151" s="255"/>
    </row>
    <row r="152" spans="1:27">
      <c r="A152" s="255"/>
      <c r="B152" s="255"/>
      <c r="C152" s="255"/>
      <c r="D152" s="255"/>
      <c r="E152" s="255"/>
      <c r="G152" s="255" t="s">
        <v>2950</v>
      </c>
      <c r="H152" s="255"/>
      <c r="I152" s="126"/>
      <c r="J152" s="255"/>
      <c r="K152" s="255"/>
      <c r="L152" s="255"/>
      <c r="M152" s="255"/>
      <c r="N152" s="255"/>
      <c r="O152" s="255"/>
      <c r="P152" s="255"/>
      <c r="Q152" s="255"/>
      <c r="R152" s="255"/>
      <c r="S152" s="99"/>
      <c r="T152" s="255"/>
      <c r="U152" s="99"/>
      <c r="V152" s="99"/>
      <c r="W152" s="255"/>
      <c r="X152" s="99"/>
      <c r="Y152" s="102" t="s">
        <v>2951</v>
      </c>
      <c r="Z152" s="255"/>
      <c r="AA152" s="255"/>
    </row>
    <row r="153" spans="1:27">
      <c r="A153" s="255"/>
      <c r="B153" s="255"/>
      <c r="C153" s="255"/>
      <c r="D153" s="255"/>
      <c r="E153" s="255"/>
      <c r="H153" s="255"/>
      <c r="I153" s="126"/>
      <c r="J153" s="255"/>
      <c r="K153" s="255"/>
      <c r="L153" s="255"/>
      <c r="M153" s="255"/>
      <c r="N153" s="255"/>
      <c r="O153" s="255"/>
      <c r="P153" s="255"/>
      <c r="Q153" s="255"/>
      <c r="R153" s="99"/>
      <c r="S153" s="255"/>
      <c r="T153" s="255"/>
      <c r="U153" s="99"/>
      <c r="V153" s="99"/>
      <c r="W153" s="255"/>
      <c r="X153" s="99"/>
      <c r="Y153" s="100" t="s">
        <v>2952</v>
      </c>
      <c r="Z153" s="255" t="s">
        <v>205</v>
      </c>
      <c r="AA153" s="255"/>
    </row>
    <row r="154" spans="1:27">
      <c r="A154" s="255"/>
      <c r="B154" s="255"/>
      <c r="C154" s="255"/>
      <c r="D154" s="255"/>
      <c r="E154" s="255"/>
      <c r="H154" s="255"/>
      <c r="I154" s="126"/>
      <c r="J154" s="255"/>
      <c r="K154" s="255"/>
      <c r="L154" s="255"/>
      <c r="M154" s="255"/>
      <c r="N154" s="255"/>
      <c r="O154" s="255"/>
      <c r="P154" s="255"/>
      <c r="Q154" s="255"/>
      <c r="R154" s="99"/>
      <c r="S154" s="255"/>
      <c r="T154" s="255"/>
      <c r="U154" s="99"/>
      <c r="V154" s="99"/>
      <c r="W154" s="255"/>
      <c r="X154" s="99"/>
      <c r="Y154" s="100" t="s">
        <v>2953</v>
      </c>
      <c r="Z154" s="255" t="s">
        <v>205</v>
      </c>
      <c r="AA154" s="255"/>
    </row>
    <row r="155" spans="1:27">
      <c r="A155" s="255"/>
      <c r="B155" s="255"/>
      <c r="C155" s="255"/>
      <c r="D155" s="255"/>
      <c r="E155" s="255"/>
      <c r="H155" s="255"/>
      <c r="I155" s="126"/>
      <c r="J155" s="255"/>
      <c r="K155" s="255"/>
      <c r="L155" s="255"/>
      <c r="M155" s="255"/>
      <c r="N155" s="255"/>
      <c r="O155" s="255"/>
      <c r="P155" s="255"/>
      <c r="Q155" s="255"/>
      <c r="R155" s="99"/>
      <c r="S155" s="99"/>
      <c r="T155" s="255"/>
      <c r="U155" s="99"/>
      <c r="V155" s="99"/>
      <c r="W155" s="255"/>
      <c r="X155" s="99"/>
      <c r="Y155" s="100" t="s">
        <v>2016</v>
      </c>
      <c r="Z155" s="255"/>
      <c r="AA155" s="255"/>
    </row>
    <row r="156" spans="1:27">
      <c r="A156" s="255"/>
      <c r="B156" s="255"/>
      <c r="C156" s="255"/>
      <c r="D156" s="255"/>
      <c r="E156" s="255"/>
      <c r="H156" s="255"/>
      <c r="I156" s="126"/>
      <c r="J156" s="255"/>
      <c r="K156" s="255"/>
      <c r="L156" s="255"/>
      <c r="M156" s="255"/>
      <c r="N156" s="255"/>
      <c r="O156" s="255"/>
      <c r="P156" s="255"/>
      <c r="Q156" s="255"/>
      <c r="R156" s="255"/>
      <c r="S156" s="99"/>
      <c r="T156" s="255"/>
      <c r="U156" s="99"/>
      <c r="V156" s="99"/>
      <c r="W156" s="255"/>
      <c r="X156" s="99"/>
      <c r="Y156" s="100" t="s">
        <v>2038</v>
      </c>
      <c r="Z156" s="255" t="s">
        <v>205</v>
      </c>
      <c r="AA156" s="255"/>
    </row>
    <row r="157" spans="1:27" s="94" customFormat="1">
      <c r="A157" s="255"/>
      <c r="B157" s="255"/>
      <c r="C157" s="255"/>
      <c r="D157" s="255"/>
      <c r="E157" s="255"/>
      <c r="F157" s="255"/>
      <c r="G157" s="255"/>
      <c r="H157" s="255"/>
      <c r="I157" s="255"/>
      <c r="J157" s="255"/>
      <c r="K157" s="255"/>
      <c r="L157" s="255"/>
      <c r="M157" s="255"/>
      <c r="N157" s="255"/>
      <c r="O157" s="255"/>
      <c r="P157" s="255"/>
      <c r="Q157" s="255"/>
      <c r="R157" s="255"/>
      <c r="S157" s="99"/>
      <c r="T157" s="255"/>
      <c r="U157" s="99"/>
      <c r="V157" s="99"/>
      <c r="W157" s="255"/>
      <c r="X157" s="99"/>
      <c r="Y157" s="100" t="s">
        <v>2954</v>
      </c>
      <c r="Z157" s="255"/>
      <c r="AA157" s="255"/>
    </row>
    <row r="158" spans="1:27" s="94" customFormat="1">
      <c r="A158" s="255"/>
      <c r="B158" s="255"/>
      <c r="C158" s="255"/>
      <c r="D158" s="255"/>
      <c r="E158" s="255"/>
      <c r="F158" s="255"/>
      <c r="G158" s="255"/>
      <c r="H158" s="255"/>
      <c r="I158" s="255"/>
      <c r="J158" s="255"/>
      <c r="K158" s="255"/>
      <c r="L158" s="255"/>
      <c r="M158" s="255"/>
      <c r="N158" s="255"/>
      <c r="O158" s="255"/>
      <c r="P158" s="255"/>
      <c r="Q158" s="255"/>
      <c r="R158" s="255"/>
      <c r="S158" s="99"/>
      <c r="T158" s="255"/>
      <c r="U158" s="99"/>
      <c r="V158" s="99"/>
      <c r="W158" s="255"/>
      <c r="X158" s="99"/>
      <c r="Y158" s="100" t="s">
        <v>2046</v>
      </c>
      <c r="Z158" s="255"/>
      <c r="AA158" s="255"/>
    </row>
    <row r="159" spans="1:27">
      <c r="A159" s="255"/>
      <c r="B159" s="255"/>
      <c r="C159" s="255"/>
      <c r="D159" s="255"/>
      <c r="E159" s="255"/>
      <c r="H159" s="255"/>
      <c r="I159" s="126"/>
      <c r="J159" s="255"/>
      <c r="K159" s="255"/>
      <c r="L159" s="255"/>
      <c r="M159" s="255"/>
      <c r="N159" s="255"/>
      <c r="O159" s="255"/>
      <c r="P159" s="255"/>
      <c r="Q159" s="255"/>
      <c r="R159" s="255"/>
      <c r="S159" s="99"/>
      <c r="T159" s="255"/>
      <c r="U159" s="99"/>
      <c r="V159" s="99"/>
      <c r="W159" s="255"/>
      <c r="X159" s="99"/>
      <c r="Y159" s="102" t="s">
        <v>2955</v>
      </c>
      <c r="Z159" s="255"/>
      <c r="AA159" s="255"/>
    </row>
    <row r="160" spans="1:27">
      <c r="A160" s="255"/>
      <c r="B160" s="255"/>
      <c r="C160" s="255"/>
      <c r="D160" s="255"/>
      <c r="E160" s="255"/>
      <c r="H160" s="255"/>
      <c r="I160" s="126"/>
      <c r="J160" s="255"/>
      <c r="K160" s="255"/>
      <c r="L160" s="255"/>
      <c r="M160" s="255"/>
      <c r="N160" s="255"/>
      <c r="O160" s="255"/>
      <c r="P160" s="255"/>
      <c r="Q160" s="255"/>
      <c r="R160" s="255"/>
      <c r="S160" s="99"/>
      <c r="T160" s="255"/>
      <c r="U160" s="99"/>
      <c r="V160" s="99"/>
      <c r="W160" s="255"/>
      <c r="X160" s="99"/>
      <c r="Y160" s="100" t="s">
        <v>2956</v>
      </c>
      <c r="Z160" s="255"/>
      <c r="AA160" s="255"/>
    </row>
    <row r="161" spans="1:27">
      <c r="A161" s="255"/>
      <c r="B161" s="255"/>
      <c r="C161" s="255"/>
      <c r="D161" s="255"/>
      <c r="E161" s="255"/>
      <c r="H161" s="255"/>
      <c r="I161" s="126"/>
      <c r="J161" s="255"/>
      <c r="K161" s="255"/>
      <c r="L161" s="255"/>
      <c r="M161" s="255"/>
      <c r="N161" s="255"/>
      <c r="O161" s="255"/>
      <c r="P161" s="255"/>
      <c r="Q161" s="255"/>
      <c r="R161" s="255"/>
      <c r="S161" s="99"/>
      <c r="T161" s="255"/>
      <c r="U161" s="99"/>
      <c r="V161" s="99"/>
      <c r="W161" s="255"/>
      <c r="X161" s="99"/>
      <c r="Y161" s="100" t="s">
        <v>2957</v>
      </c>
      <c r="Z161" s="255"/>
      <c r="AA161" s="255"/>
    </row>
    <row r="162" spans="1:27">
      <c r="A162" s="255"/>
      <c r="B162" s="255"/>
      <c r="C162" s="255"/>
      <c r="D162" s="255"/>
      <c r="E162" s="255"/>
      <c r="H162" s="255"/>
      <c r="I162" s="126"/>
      <c r="J162" s="255"/>
      <c r="K162" s="255"/>
      <c r="L162" s="255"/>
      <c r="M162" s="255"/>
      <c r="N162" s="255"/>
      <c r="O162" s="255"/>
      <c r="P162" s="255"/>
      <c r="Q162" s="255"/>
      <c r="R162" s="255"/>
      <c r="S162" s="99"/>
      <c r="T162" s="255"/>
      <c r="U162" s="99"/>
      <c r="V162" s="99"/>
      <c r="W162" s="255"/>
      <c r="X162" s="99"/>
      <c r="Y162" s="100" t="s">
        <v>2004</v>
      </c>
      <c r="Z162" s="255" t="s">
        <v>309</v>
      </c>
      <c r="AA162" s="255"/>
    </row>
    <row r="163" spans="1:27">
      <c r="A163" s="255"/>
      <c r="B163" s="255"/>
      <c r="C163" s="255"/>
      <c r="D163" s="255"/>
      <c r="E163" s="255"/>
      <c r="H163" s="255"/>
      <c r="I163" s="126"/>
      <c r="J163" s="255"/>
      <c r="K163" s="255"/>
      <c r="L163" s="255"/>
      <c r="M163" s="255"/>
      <c r="N163" s="255"/>
      <c r="O163" s="255"/>
      <c r="P163" s="255"/>
      <c r="Q163" s="255"/>
      <c r="R163" s="255"/>
      <c r="S163" s="99"/>
      <c r="T163" s="255"/>
      <c r="U163" s="99"/>
      <c r="V163" s="99"/>
      <c r="W163" s="255"/>
      <c r="X163" s="99"/>
      <c r="Y163" s="100" t="s">
        <v>2013</v>
      </c>
      <c r="Z163" s="255"/>
      <c r="AA163" s="255"/>
    </row>
    <row r="164" spans="1:27">
      <c r="A164" s="255"/>
      <c r="B164" s="255"/>
      <c r="C164" s="255"/>
      <c r="D164" s="255"/>
      <c r="E164" s="255"/>
      <c r="H164" s="255"/>
      <c r="I164" s="126"/>
      <c r="J164" s="255"/>
      <c r="K164" s="255"/>
      <c r="L164" s="255"/>
      <c r="M164" s="255"/>
      <c r="N164" s="255"/>
      <c r="O164" s="255"/>
      <c r="P164" s="255"/>
      <c r="Q164" s="255"/>
      <c r="R164" s="255"/>
      <c r="S164" s="99"/>
      <c r="T164" s="255"/>
      <c r="U164" s="99"/>
      <c r="V164" s="99"/>
      <c r="W164" s="255"/>
      <c r="X164" s="99"/>
      <c r="Y164" s="100" t="s">
        <v>2958</v>
      </c>
      <c r="Z164" s="255"/>
      <c r="AA164" s="255"/>
    </row>
    <row r="165" spans="1:27" s="94" customFormat="1">
      <c r="A165" s="255"/>
      <c r="B165" s="255"/>
      <c r="C165" s="255"/>
      <c r="D165" s="255"/>
      <c r="E165" s="255"/>
      <c r="F165" s="255"/>
      <c r="G165" s="255"/>
      <c r="H165" s="255"/>
      <c r="I165" s="255"/>
      <c r="J165" s="255"/>
      <c r="K165" s="255"/>
      <c r="L165" s="255"/>
      <c r="M165" s="255"/>
      <c r="N165" s="255"/>
      <c r="O165" s="255"/>
      <c r="P165" s="255"/>
      <c r="Q165" s="255"/>
      <c r="R165" s="255"/>
      <c r="S165" s="99"/>
      <c r="T165" s="255"/>
      <c r="U165" s="99"/>
      <c r="V165" s="99"/>
      <c r="W165" s="255"/>
      <c r="X165" s="99"/>
      <c r="Y165" s="100" t="s">
        <v>2959</v>
      </c>
      <c r="Z165" s="255"/>
      <c r="AA165" s="255"/>
    </row>
    <row r="166" spans="1:27">
      <c r="A166" s="255"/>
      <c r="B166" s="255"/>
      <c r="C166" s="255"/>
      <c r="D166" s="255"/>
      <c r="E166" s="255"/>
      <c r="H166" s="255"/>
      <c r="I166" s="126"/>
      <c r="J166" s="255"/>
      <c r="K166" s="255"/>
      <c r="L166" s="255"/>
      <c r="M166" s="255"/>
      <c r="N166" s="255"/>
      <c r="O166" s="255"/>
      <c r="P166" s="255"/>
      <c r="Q166" s="255"/>
      <c r="R166" s="255"/>
      <c r="S166" s="99"/>
      <c r="T166" s="255"/>
      <c r="U166" s="99"/>
      <c r="V166" s="99"/>
      <c r="W166" s="255"/>
      <c r="X166" s="99"/>
      <c r="Y166" s="100" t="s">
        <v>2960</v>
      </c>
      <c r="Z166" s="255"/>
      <c r="AA166" s="255"/>
    </row>
    <row r="167" spans="1:27">
      <c r="A167" s="255"/>
      <c r="B167" s="255"/>
      <c r="C167" s="255"/>
      <c r="D167" s="255"/>
      <c r="E167" s="255"/>
      <c r="H167" s="255"/>
      <c r="I167" s="126"/>
      <c r="J167" s="255"/>
      <c r="K167" s="255"/>
      <c r="L167" s="255"/>
      <c r="M167" s="255"/>
      <c r="N167" s="255"/>
      <c r="O167" s="255"/>
      <c r="P167" s="255"/>
      <c r="Q167" s="255"/>
      <c r="R167" s="255"/>
      <c r="S167" s="99"/>
      <c r="T167" s="255"/>
      <c r="U167" s="99"/>
      <c r="V167" s="99"/>
      <c r="W167" s="255"/>
      <c r="X167" s="99"/>
      <c r="Y167" s="100" t="s">
        <v>2961</v>
      </c>
      <c r="Z167" s="255"/>
      <c r="AA167" s="255"/>
    </row>
    <row r="168" spans="1:27">
      <c r="A168" s="255"/>
      <c r="B168" s="255"/>
      <c r="C168" s="255"/>
      <c r="D168" s="255"/>
      <c r="E168" s="255"/>
      <c r="H168" s="255"/>
      <c r="I168" s="126"/>
      <c r="J168" s="255"/>
      <c r="K168" s="255"/>
      <c r="L168" s="255"/>
      <c r="M168" s="255"/>
      <c r="N168" s="255"/>
      <c r="O168" s="255"/>
      <c r="P168" s="255"/>
      <c r="Q168" s="255"/>
      <c r="R168" s="255"/>
      <c r="S168" s="99"/>
      <c r="T168" s="255"/>
      <c r="U168" s="99"/>
      <c r="V168" s="99"/>
      <c r="W168" s="255"/>
      <c r="X168" s="99"/>
      <c r="Y168" s="100" t="s">
        <v>2962</v>
      </c>
      <c r="Z168" s="255"/>
      <c r="AA168" s="255"/>
    </row>
    <row r="169" spans="1:27">
      <c r="A169" s="255"/>
      <c r="B169" s="255"/>
      <c r="C169" s="255"/>
      <c r="D169" s="255"/>
      <c r="E169" s="255"/>
      <c r="H169" s="255"/>
      <c r="I169" s="126"/>
      <c r="J169" s="255"/>
      <c r="K169" s="255"/>
      <c r="L169" s="255"/>
      <c r="M169" s="255"/>
      <c r="N169" s="255"/>
      <c r="O169" s="255"/>
      <c r="P169" s="255"/>
      <c r="Q169" s="255"/>
      <c r="R169" s="255"/>
      <c r="S169" s="99"/>
      <c r="T169" s="255"/>
      <c r="U169" s="99"/>
      <c r="V169" s="99"/>
      <c r="W169" s="255"/>
      <c r="X169" s="99"/>
      <c r="Y169" s="100" t="s">
        <v>2963</v>
      </c>
      <c r="Z169" s="255"/>
      <c r="AA169" s="255"/>
    </row>
    <row r="170" spans="1:27">
      <c r="A170" s="255"/>
      <c r="B170" s="255"/>
      <c r="C170" s="255"/>
      <c r="D170" s="255"/>
      <c r="E170" s="255"/>
      <c r="H170" s="255"/>
      <c r="I170" s="126"/>
      <c r="J170" s="255"/>
      <c r="K170" s="255"/>
      <c r="L170" s="255"/>
      <c r="M170" s="255"/>
      <c r="N170" s="255"/>
      <c r="O170" s="255"/>
      <c r="P170" s="255"/>
      <c r="Q170" s="255"/>
      <c r="R170" s="255"/>
      <c r="S170" s="99"/>
      <c r="T170" s="255"/>
      <c r="U170" s="99"/>
      <c r="V170" s="99"/>
      <c r="W170" s="255"/>
      <c r="X170" s="99"/>
      <c r="Y170" s="100" t="s">
        <v>2034</v>
      </c>
      <c r="Z170" s="255" t="s">
        <v>412</v>
      </c>
      <c r="AA170" s="255"/>
    </row>
    <row r="171" spans="1:27" s="94" customFormat="1">
      <c r="A171" s="255"/>
      <c r="B171" s="255"/>
      <c r="C171" s="255"/>
      <c r="D171" s="255"/>
      <c r="E171" s="255"/>
      <c r="F171" s="255"/>
      <c r="G171" s="255"/>
      <c r="H171" s="255"/>
      <c r="I171" s="255"/>
      <c r="J171" s="255"/>
      <c r="K171" s="255"/>
      <c r="L171" s="255"/>
      <c r="M171" s="255"/>
      <c r="N171" s="255"/>
      <c r="O171" s="255"/>
      <c r="P171" s="255"/>
      <c r="Q171" s="255"/>
      <c r="R171" s="255"/>
      <c r="S171" s="99"/>
      <c r="T171" s="255"/>
      <c r="U171" s="99"/>
      <c r="V171" s="99"/>
      <c r="W171" s="255"/>
      <c r="X171" s="99"/>
      <c r="Y171" s="100" t="s">
        <v>2964</v>
      </c>
      <c r="Z171" s="255"/>
      <c r="AA171" s="255"/>
    </row>
    <row r="172" spans="1:27">
      <c r="A172" s="255"/>
      <c r="B172" s="255"/>
      <c r="C172" s="255"/>
      <c r="D172" s="255"/>
      <c r="E172" s="255"/>
      <c r="H172" s="255"/>
      <c r="I172" s="126"/>
      <c r="J172" s="255"/>
      <c r="K172" s="255"/>
      <c r="L172" s="255"/>
      <c r="M172" s="255"/>
      <c r="N172" s="255"/>
      <c r="O172" s="255"/>
      <c r="P172" s="255"/>
      <c r="Q172" s="255"/>
      <c r="R172" s="255"/>
      <c r="S172" s="99"/>
      <c r="T172" s="255"/>
      <c r="U172" s="99"/>
      <c r="V172" s="99"/>
      <c r="W172" s="255"/>
      <c r="X172" s="99"/>
      <c r="Y172" s="100" t="s">
        <v>2965</v>
      </c>
      <c r="Z172" s="255"/>
      <c r="AA172" s="255"/>
    </row>
    <row r="173" spans="1:27">
      <c r="A173" s="255"/>
      <c r="B173" s="255"/>
      <c r="C173" s="255"/>
      <c r="D173" s="255"/>
      <c r="E173" s="255"/>
      <c r="H173" s="255"/>
      <c r="I173" s="126"/>
      <c r="J173" s="255"/>
      <c r="K173" s="255"/>
      <c r="L173" s="255"/>
      <c r="M173" s="255"/>
      <c r="N173" s="255"/>
      <c r="O173" s="255"/>
      <c r="P173" s="255"/>
      <c r="Q173" s="255"/>
      <c r="R173" s="255"/>
      <c r="S173" s="99"/>
      <c r="T173" s="255"/>
      <c r="U173" s="99"/>
      <c r="V173" s="99"/>
      <c r="W173" s="255"/>
      <c r="X173" s="99"/>
      <c r="Y173" s="100" t="s">
        <v>2966</v>
      </c>
      <c r="Z173" s="255"/>
      <c r="AA173" s="255"/>
    </row>
    <row r="174" spans="1:27">
      <c r="A174" s="255"/>
      <c r="B174" s="255"/>
      <c r="C174" s="255"/>
      <c r="D174" s="255"/>
      <c r="E174" s="255"/>
      <c r="H174" s="255"/>
      <c r="I174" s="126"/>
      <c r="J174" s="255"/>
      <c r="K174" s="255"/>
      <c r="L174" s="255"/>
      <c r="M174" s="255"/>
      <c r="N174" s="255"/>
      <c r="O174" s="255"/>
      <c r="P174" s="255"/>
      <c r="Q174" s="255"/>
      <c r="R174" s="255"/>
      <c r="S174" s="99"/>
      <c r="T174" s="255"/>
      <c r="U174" s="99"/>
      <c r="V174" s="99"/>
      <c r="W174" s="255"/>
      <c r="X174" s="99"/>
      <c r="Y174" s="100" t="s">
        <v>2042</v>
      </c>
      <c r="Z174" s="255" t="s">
        <v>448</v>
      </c>
      <c r="AA174" s="255"/>
    </row>
    <row r="175" spans="1:27">
      <c r="A175" s="255"/>
      <c r="B175" s="255"/>
      <c r="C175" s="255"/>
      <c r="D175" s="255"/>
      <c r="E175" s="255"/>
      <c r="H175" s="255"/>
      <c r="I175" s="126"/>
      <c r="J175" s="255"/>
      <c r="K175" s="255"/>
      <c r="L175" s="255"/>
      <c r="M175" s="255"/>
      <c r="N175" s="255"/>
      <c r="O175" s="255"/>
      <c r="P175" s="255"/>
      <c r="Q175" s="255"/>
      <c r="R175" s="255"/>
      <c r="S175" s="99"/>
      <c r="T175" s="255"/>
      <c r="U175" s="99"/>
      <c r="V175" s="99"/>
      <c r="W175" s="255"/>
      <c r="X175" s="99"/>
      <c r="Y175" s="100" t="s">
        <v>2967</v>
      </c>
      <c r="Z175" s="255"/>
      <c r="AA175" s="255"/>
    </row>
    <row r="176" spans="1:27">
      <c r="A176" s="255"/>
      <c r="B176" s="255"/>
      <c r="C176" s="255"/>
      <c r="D176" s="255"/>
      <c r="E176" s="255"/>
      <c r="H176" s="255"/>
      <c r="I176" s="126"/>
      <c r="J176" s="255"/>
      <c r="K176" s="255"/>
      <c r="L176" s="255"/>
      <c r="M176" s="255"/>
      <c r="N176" s="255"/>
      <c r="O176" s="255"/>
      <c r="P176" s="255"/>
      <c r="Q176" s="255"/>
      <c r="R176" s="255"/>
      <c r="S176" s="99"/>
      <c r="T176" s="255"/>
      <c r="U176" s="99"/>
      <c r="V176" s="99"/>
      <c r="W176" s="255"/>
      <c r="X176" s="99"/>
      <c r="Y176" s="100" t="s">
        <v>2055</v>
      </c>
      <c r="Z176" s="255" t="s">
        <v>522</v>
      </c>
      <c r="AA176" s="255"/>
    </row>
    <row r="177" spans="6:27">
      <c r="H177" s="255"/>
      <c r="I177" s="126"/>
      <c r="J177" s="255"/>
      <c r="K177" s="255"/>
      <c r="L177" s="255"/>
      <c r="M177" s="255"/>
      <c r="N177" s="255"/>
      <c r="O177" s="255"/>
      <c r="P177" s="255"/>
      <c r="Q177" s="255"/>
      <c r="R177" s="255"/>
      <c r="S177" s="99"/>
      <c r="T177" s="255"/>
      <c r="U177" s="99"/>
      <c r="V177" s="99"/>
      <c r="W177" s="255"/>
      <c r="X177" s="99"/>
      <c r="Y177" s="100" t="s">
        <v>2968</v>
      </c>
      <c r="Z177" s="255"/>
      <c r="AA177" s="255"/>
    </row>
    <row r="178" spans="6:27">
      <c r="H178" s="255"/>
      <c r="I178" s="126"/>
      <c r="J178" s="255"/>
      <c r="K178" s="255"/>
      <c r="L178" s="255"/>
      <c r="M178" s="255"/>
      <c r="N178" s="255"/>
      <c r="O178" s="255"/>
      <c r="P178" s="255"/>
      <c r="Q178" s="255"/>
      <c r="R178" s="255"/>
      <c r="S178" s="99"/>
      <c r="T178" s="255"/>
      <c r="U178" s="99"/>
      <c r="V178" s="99"/>
      <c r="W178" s="255"/>
      <c r="X178" s="99"/>
      <c r="Y178" s="102" t="s">
        <v>2969</v>
      </c>
      <c r="Z178" s="255"/>
      <c r="AA178" s="255"/>
    </row>
    <row r="179" spans="6:27">
      <c r="H179" s="255"/>
      <c r="I179" s="126"/>
      <c r="J179" s="255"/>
      <c r="K179" s="255"/>
      <c r="L179" s="255"/>
      <c r="M179" s="255"/>
      <c r="N179" s="255"/>
      <c r="O179" s="255"/>
      <c r="P179" s="255"/>
      <c r="Q179" s="255"/>
      <c r="R179" s="255"/>
      <c r="S179" s="99"/>
      <c r="T179" s="255"/>
      <c r="U179" s="99"/>
      <c r="V179" s="99"/>
      <c r="W179" s="255"/>
      <c r="X179" s="99"/>
      <c r="Y179" s="100" t="s">
        <v>2970</v>
      </c>
      <c r="Z179" s="255" t="s">
        <v>301</v>
      </c>
      <c r="AA179" s="255"/>
    </row>
    <row r="180" spans="6:27">
      <c r="H180" s="255"/>
      <c r="I180" s="126"/>
      <c r="J180" s="255"/>
      <c r="K180" s="255"/>
      <c r="L180" s="255"/>
      <c r="M180" s="255"/>
      <c r="N180" s="255"/>
      <c r="O180" s="255"/>
      <c r="P180" s="255"/>
      <c r="Q180" s="255"/>
      <c r="R180" s="255"/>
      <c r="S180" s="99"/>
      <c r="T180" s="255"/>
      <c r="U180" s="99"/>
      <c r="V180" s="99"/>
      <c r="W180" s="255"/>
      <c r="X180" s="99"/>
      <c r="Y180" s="100" t="s">
        <v>2971</v>
      </c>
      <c r="Z180" s="255" t="s">
        <v>205</v>
      </c>
      <c r="AA180" s="255"/>
    </row>
    <row r="181" spans="6:27">
      <c r="H181" s="255"/>
      <c r="I181" s="126"/>
      <c r="J181" s="255"/>
      <c r="K181" s="255"/>
      <c r="L181" s="255"/>
      <c r="M181" s="255"/>
      <c r="N181" s="255"/>
      <c r="O181" s="255"/>
      <c r="P181" s="255"/>
      <c r="Q181" s="255"/>
      <c r="R181" s="255"/>
      <c r="S181" s="99"/>
      <c r="T181" s="255"/>
      <c r="U181" s="99"/>
      <c r="V181" s="99"/>
      <c r="W181" s="255"/>
      <c r="X181" s="99"/>
      <c r="Y181" s="100" t="s">
        <v>2972</v>
      </c>
      <c r="Z181" s="255" t="s">
        <v>407</v>
      </c>
      <c r="AA181" s="255"/>
    </row>
    <row r="182" spans="6:27" s="123" customFormat="1">
      <c r="F182" s="255"/>
      <c r="G182" s="255"/>
      <c r="H182" s="255"/>
      <c r="I182" s="255"/>
      <c r="J182" s="255"/>
      <c r="K182" s="255"/>
      <c r="L182" s="255"/>
      <c r="M182" s="255"/>
      <c r="N182" s="255"/>
      <c r="O182" s="255"/>
      <c r="P182" s="255"/>
      <c r="Q182" s="255"/>
      <c r="R182" s="255"/>
      <c r="S182" s="99"/>
      <c r="T182" s="255"/>
      <c r="U182" s="99"/>
      <c r="V182" s="99"/>
      <c r="W182" s="255"/>
      <c r="X182" s="99"/>
      <c r="Y182" s="100" t="s">
        <v>2973</v>
      </c>
      <c r="Z182" s="255" t="s">
        <v>474</v>
      </c>
      <c r="AA182" s="255"/>
    </row>
    <row r="183" spans="6:27" s="123" customFormat="1">
      <c r="F183" s="255"/>
      <c r="G183" s="255"/>
      <c r="H183" s="255"/>
      <c r="I183" s="255"/>
      <c r="J183" s="255"/>
      <c r="K183" s="255"/>
      <c r="L183" s="255"/>
      <c r="M183" s="255"/>
      <c r="N183" s="255"/>
      <c r="O183" s="255"/>
      <c r="P183" s="255"/>
      <c r="Q183" s="255"/>
      <c r="R183" s="255"/>
      <c r="S183" s="99"/>
      <c r="T183" s="255"/>
      <c r="U183" s="99"/>
      <c r="V183" s="99"/>
      <c r="W183" s="255"/>
      <c r="X183" s="99"/>
      <c r="Y183" s="100" t="s">
        <v>2974</v>
      </c>
      <c r="Z183" s="255"/>
      <c r="AA183" s="255"/>
    </row>
    <row r="184" spans="6:27">
      <c r="H184" s="255"/>
      <c r="I184" s="126"/>
      <c r="J184" s="255"/>
      <c r="K184" s="255"/>
      <c r="L184" s="255"/>
      <c r="M184" s="255"/>
      <c r="N184" s="255"/>
      <c r="O184" s="255"/>
      <c r="P184" s="255"/>
      <c r="Q184" s="255"/>
      <c r="R184" s="255"/>
      <c r="S184" s="255"/>
      <c r="T184" s="255"/>
      <c r="U184" s="255"/>
      <c r="V184" s="99"/>
      <c r="W184" s="255"/>
      <c r="X184" s="99"/>
      <c r="Y184" s="100" t="s">
        <v>2032</v>
      </c>
      <c r="Z184" s="255"/>
      <c r="AA184" s="255"/>
    </row>
    <row r="185" spans="6:27">
      <c r="H185" s="255"/>
      <c r="I185" s="126"/>
      <c r="J185" s="255"/>
      <c r="K185" s="255"/>
      <c r="L185" s="255"/>
      <c r="M185" s="255"/>
      <c r="N185" s="255"/>
      <c r="O185" s="255"/>
      <c r="P185" s="255"/>
      <c r="Q185" s="255"/>
      <c r="R185" s="255"/>
      <c r="S185" s="255"/>
      <c r="T185" s="255"/>
      <c r="U185" s="255"/>
      <c r="V185" s="99"/>
      <c r="W185" s="255"/>
      <c r="X185" s="99"/>
      <c r="Y185" s="100" t="s">
        <v>2048</v>
      </c>
      <c r="Z185" s="255"/>
      <c r="AA185" s="255"/>
    </row>
    <row r="186" spans="6:27">
      <c r="H186" s="255"/>
      <c r="I186" s="126"/>
      <c r="J186" s="255"/>
      <c r="K186" s="255"/>
      <c r="L186" s="255"/>
      <c r="M186" s="255"/>
      <c r="N186" s="255"/>
      <c r="O186" s="255"/>
      <c r="P186" s="255"/>
      <c r="Q186" s="255"/>
      <c r="R186" s="255"/>
      <c r="S186" s="255"/>
      <c r="T186" s="255"/>
      <c r="U186" s="255"/>
      <c r="V186" s="99"/>
      <c r="W186" s="255"/>
      <c r="X186" s="99"/>
      <c r="Y186" s="102" t="s">
        <v>2975</v>
      </c>
      <c r="Z186" s="255"/>
      <c r="AA186" s="255"/>
    </row>
    <row r="187" spans="6:27">
      <c r="H187" s="255"/>
      <c r="I187" s="126"/>
      <c r="J187" s="255"/>
      <c r="K187" s="255"/>
      <c r="L187" s="255"/>
      <c r="M187" s="255"/>
      <c r="N187" s="255"/>
      <c r="O187" s="255"/>
      <c r="P187" s="255"/>
      <c r="Q187" s="255"/>
      <c r="R187" s="255"/>
      <c r="S187" s="99"/>
      <c r="T187" s="255"/>
      <c r="U187" s="99"/>
      <c r="V187" s="99"/>
      <c r="W187" s="255"/>
      <c r="X187" s="99"/>
      <c r="Y187" s="100" t="s">
        <v>2056</v>
      </c>
      <c r="Z187" s="255" t="s">
        <v>174</v>
      </c>
      <c r="AA187" s="255"/>
    </row>
    <row r="188" spans="6:27">
      <c r="H188" s="255"/>
      <c r="I188" s="126"/>
      <c r="J188" s="255"/>
      <c r="K188" s="255"/>
      <c r="L188" s="255"/>
      <c r="M188" s="255"/>
      <c r="N188" s="255"/>
      <c r="O188" s="255"/>
      <c r="P188" s="255"/>
      <c r="Q188" s="255"/>
      <c r="R188" s="255"/>
      <c r="S188" s="99"/>
      <c r="T188" s="255"/>
      <c r="U188" s="99"/>
      <c r="V188" s="99"/>
      <c r="W188" s="255"/>
      <c r="X188" s="99"/>
      <c r="Y188" s="100" t="s">
        <v>2976</v>
      </c>
      <c r="Z188" s="255"/>
      <c r="AA188" s="255"/>
    </row>
    <row r="189" spans="6:27">
      <c r="H189" s="255"/>
      <c r="I189" s="126"/>
      <c r="J189" s="255"/>
      <c r="K189" s="255"/>
      <c r="L189" s="255"/>
      <c r="M189" s="255"/>
      <c r="N189" s="255"/>
      <c r="O189" s="255"/>
      <c r="P189" s="255"/>
      <c r="Q189" s="255"/>
      <c r="R189" s="255"/>
      <c r="S189" s="99"/>
      <c r="T189" s="255"/>
      <c r="U189" s="99"/>
      <c r="V189" s="99"/>
      <c r="W189" s="255"/>
      <c r="X189" s="99"/>
      <c r="Y189" s="101" t="s">
        <v>2977</v>
      </c>
      <c r="Z189" s="255" t="s">
        <v>205</v>
      </c>
      <c r="AA189" s="255"/>
    </row>
    <row r="190" spans="6:27">
      <c r="H190" s="255"/>
      <c r="I190" s="126"/>
      <c r="J190" s="255"/>
      <c r="K190" s="255"/>
      <c r="L190" s="255"/>
      <c r="M190" s="255"/>
      <c r="N190" s="255"/>
      <c r="O190" s="255"/>
      <c r="P190" s="255"/>
      <c r="Q190" s="255"/>
      <c r="R190" s="255"/>
      <c r="S190" s="99"/>
      <c r="T190" s="255"/>
      <c r="U190" s="99"/>
      <c r="V190" s="99"/>
      <c r="W190" s="255"/>
      <c r="X190" s="99"/>
      <c r="Y190" s="101" t="s">
        <v>2978</v>
      </c>
      <c r="Z190" s="255"/>
      <c r="AA190" s="255"/>
    </row>
    <row r="191" spans="6:27">
      <c r="H191" s="255"/>
      <c r="I191" s="126"/>
      <c r="J191" s="255"/>
      <c r="K191" s="255"/>
      <c r="L191" s="255"/>
      <c r="M191" s="255"/>
      <c r="N191" s="255"/>
      <c r="O191" s="255"/>
      <c r="P191" s="255"/>
      <c r="Q191" s="255"/>
      <c r="R191" s="255"/>
      <c r="S191" s="99"/>
      <c r="T191" s="255"/>
      <c r="U191" s="99"/>
      <c r="V191" s="99"/>
      <c r="W191" s="255"/>
      <c r="X191" s="99"/>
      <c r="Y191" s="100" t="s">
        <v>2979</v>
      </c>
      <c r="Z191" s="255"/>
      <c r="AA191" s="255"/>
    </row>
    <row r="192" spans="6:27">
      <c r="H192" s="255"/>
      <c r="I192" s="126"/>
      <c r="J192" s="255"/>
      <c r="K192" s="255"/>
      <c r="L192" s="255"/>
      <c r="M192" s="255"/>
      <c r="N192" s="255"/>
      <c r="O192" s="255"/>
      <c r="P192" s="255"/>
      <c r="Q192" s="255"/>
      <c r="R192" s="255"/>
      <c r="S192" s="99"/>
      <c r="T192" s="255"/>
      <c r="U192" s="99"/>
      <c r="V192" s="99"/>
      <c r="W192" s="255"/>
      <c r="X192" s="99"/>
      <c r="Y192" s="100" t="s">
        <v>2980</v>
      </c>
      <c r="Z192" s="255"/>
      <c r="AA192" s="255"/>
    </row>
    <row r="193" spans="1:27">
      <c r="A193" s="255"/>
      <c r="B193" s="255"/>
      <c r="C193" s="255"/>
      <c r="D193" s="255"/>
      <c r="E193" s="255"/>
      <c r="H193" s="255"/>
      <c r="I193" s="126"/>
      <c r="J193" s="255"/>
      <c r="K193" s="255"/>
      <c r="L193" s="255"/>
      <c r="M193" s="255"/>
      <c r="N193" s="255"/>
      <c r="O193" s="255"/>
      <c r="P193" s="255"/>
      <c r="Q193" s="255"/>
      <c r="R193" s="255"/>
      <c r="S193" s="99"/>
      <c r="T193" s="255"/>
      <c r="U193" s="99"/>
      <c r="V193" s="99"/>
      <c r="W193" s="255"/>
      <c r="X193" s="99"/>
      <c r="Y193" s="100" t="s">
        <v>2981</v>
      </c>
      <c r="Z193" s="255"/>
      <c r="AA193" s="255"/>
    </row>
    <row r="194" spans="1:27">
      <c r="A194" s="255"/>
      <c r="B194" s="255"/>
      <c r="C194" s="255"/>
      <c r="D194" s="255"/>
      <c r="E194" s="255"/>
      <c r="H194" s="255"/>
      <c r="I194" s="126"/>
      <c r="J194" s="255"/>
      <c r="K194" s="255"/>
      <c r="L194" s="255"/>
      <c r="M194" s="255"/>
      <c r="N194" s="255"/>
      <c r="O194" s="255"/>
      <c r="P194" s="255"/>
      <c r="Q194" s="255"/>
      <c r="R194" s="255"/>
      <c r="S194" s="99"/>
      <c r="T194" s="255"/>
      <c r="U194" s="99"/>
      <c r="V194" s="99"/>
      <c r="W194" s="255"/>
      <c r="X194" s="99"/>
      <c r="Y194" s="255"/>
      <c r="Z194" s="99"/>
      <c r="AA194" s="255"/>
    </row>
    <row r="195" spans="1:27">
      <c r="A195" s="255"/>
      <c r="B195" s="255"/>
      <c r="C195" s="255"/>
      <c r="D195" s="255"/>
      <c r="E195" s="255"/>
      <c r="H195" s="255"/>
      <c r="I195" s="126"/>
      <c r="J195" s="255"/>
      <c r="K195" s="255"/>
      <c r="L195" s="255"/>
      <c r="M195" s="255"/>
      <c r="N195" s="255"/>
      <c r="O195" s="255"/>
      <c r="P195" s="255"/>
      <c r="Q195" s="255"/>
      <c r="R195" s="255"/>
      <c r="S195" s="99"/>
      <c r="T195" s="255"/>
      <c r="U195" s="99"/>
      <c r="V195" s="99"/>
      <c r="W195" s="255"/>
      <c r="X195" s="99"/>
      <c r="Y195" s="255"/>
      <c r="Z195" s="99"/>
      <c r="AA195" s="255"/>
    </row>
    <row r="196" spans="1:27">
      <c r="A196" s="255"/>
      <c r="B196" s="255"/>
      <c r="C196" s="255"/>
      <c r="D196" s="255"/>
      <c r="E196" s="255"/>
      <c r="H196" s="255"/>
      <c r="I196" s="126"/>
      <c r="J196" s="255"/>
      <c r="K196" s="255"/>
      <c r="L196" s="255"/>
      <c r="M196" s="255"/>
      <c r="N196" s="255"/>
      <c r="O196" s="255"/>
      <c r="P196" s="255"/>
      <c r="Q196" s="255"/>
      <c r="R196" s="255"/>
      <c r="S196" s="99"/>
      <c r="T196" s="255"/>
      <c r="U196" s="99"/>
      <c r="V196" s="99"/>
      <c r="W196" s="255"/>
      <c r="X196" s="99"/>
      <c r="Y196" s="255"/>
      <c r="Z196" s="99"/>
      <c r="AA196" s="255"/>
    </row>
    <row r="197" spans="1:27">
      <c r="A197" s="255"/>
      <c r="B197" s="255"/>
      <c r="C197" s="255"/>
      <c r="D197" s="255"/>
      <c r="E197" s="255"/>
      <c r="H197" s="255"/>
      <c r="I197" s="126"/>
      <c r="J197" s="255"/>
      <c r="K197" s="255"/>
      <c r="L197" s="255"/>
      <c r="M197" s="255"/>
      <c r="N197" s="255"/>
      <c r="O197" s="255"/>
      <c r="P197" s="255"/>
      <c r="Q197" s="255"/>
      <c r="R197" s="255"/>
      <c r="S197" s="99"/>
      <c r="T197" s="255"/>
      <c r="U197" s="99"/>
      <c r="V197" s="99"/>
      <c r="W197" s="255"/>
      <c r="X197" s="99"/>
      <c r="Y197" s="255"/>
      <c r="Z197" s="99"/>
      <c r="AA197" s="255"/>
    </row>
    <row r="198" spans="1:27">
      <c r="A198" s="255"/>
      <c r="B198" s="255"/>
      <c r="C198" s="255"/>
      <c r="D198" s="255"/>
      <c r="E198" s="255"/>
      <c r="H198" s="255"/>
      <c r="I198" s="126"/>
      <c r="J198" s="255"/>
      <c r="K198" s="255"/>
      <c r="L198" s="255"/>
      <c r="M198" s="255"/>
      <c r="N198" s="255"/>
      <c r="O198" s="255"/>
      <c r="P198" s="255"/>
      <c r="Q198" s="255"/>
      <c r="R198" s="255"/>
      <c r="S198" s="99"/>
      <c r="T198" s="255"/>
      <c r="U198" s="99"/>
      <c r="V198" s="99"/>
      <c r="W198" s="255"/>
      <c r="X198" s="99"/>
      <c r="Y198" s="255"/>
      <c r="Z198" s="255"/>
      <c r="AA198" s="255"/>
    </row>
    <row r="199" spans="1:27">
      <c r="A199" s="255"/>
      <c r="B199" s="255"/>
      <c r="C199" s="255"/>
      <c r="D199" s="255"/>
      <c r="E199" s="255"/>
      <c r="H199" s="255"/>
      <c r="I199" s="126"/>
      <c r="J199" s="255"/>
      <c r="K199" s="255"/>
      <c r="L199" s="255"/>
      <c r="M199" s="255"/>
      <c r="N199" s="255"/>
      <c r="O199" s="255"/>
      <c r="P199" s="255"/>
      <c r="Q199" s="255"/>
      <c r="R199" s="255"/>
      <c r="S199" s="99"/>
      <c r="T199" s="255"/>
      <c r="U199" s="99"/>
      <c r="V199" s="99"/>
      <c r="W199" s="255"/>
      <c r="X199" s="99"/>
      <c r="Y199" s="255"/>
      <c r="Z199" s="255"/>
      <c r="AA199" s="255"/>
    </row>
    <row r="200" spans="1:27">
      <c r="A200" s="255"/>
      <c r="B200" s="255"/>
      <c r="C200" s="255"/>
      <c r="D200" s="255"/>
      <c r="E200" s="255"/>
      <c r="H200" s="255"/>
      <c r="I200" s="126"/>
      <c r="J200" s="255"/>
      <c r="K200" s="255"/>
      <c r="L200" s="255"/>
      <c r="M200" s="255"/>
      <c r="N200" s="255"/>
      <c r="O200" s="255"/>
      <c r="P200" s="255"/>
      <c r="Q200" s="255"/>
      <c r="R200" s="255"/>
      <c r="S200" s="2060"/>
      <c r="T200" s="2060"/>
      <c r="U200" s="99"/>
      <c r="V200" s="99"/>
      <c r="W200" s="255"/>
      <c r="X200" s="99"/>
      <c r="Y200" s="255"/>
      <c r="Z200" s="255"/>
      <c r="AA200" s="255"/>
    </row>
    <row r="201" spans="1:27">
      <c r="A201" s="255"/>
      <c r="B201" s="255"/>
      <c r="C201" s="255"/>
      <c r="D201" s="255"/>
      <c r="E201" s="255"/>
      <c r="H201" s="255"/>
      <c r="I201" s="126"/>
      <c r="J201" s="255"/>
      <c r="K201" s="255"/>
      <c r="L201" s="255"/>
      <c r="M201" s="255"/>
      <c r="N201" s="255"/>
      <c r="O201" s="255"/>
      <c r="P201" s="255"/>
      <c r="Q201" s="255"/>
      <c r="R201" s="255"/>
      <c r="S201" s="2060"/>
      <c r="T201" s="2060"/>
      <c r="U201" s="99"/>
      <c r="V201" s="99"/>
      <c r="W201" s="255"/>
      <c r="X201" s="99"/>
      <c r="Y201" s="255"/>
      <c r="Z201" s="255"/>
      <c r="AA201" s="255"/>
    </row>
    <row r="202" spans="1:27">
      <c r="A202" s="255"/>
      <c r="B202" s="255"/>
      <c r="C202" s="255"/>
      <c r="D202" s="255"/>
      <c r="E202" s="255"/>
      <c r="H202" s="255"/>
      <c r="I202" s="126"/>
      <c r="J202" s="255"/>
      <c r="K202" s="255"/>
      <c r="L202" s="255"/>
      <c r="M202" s="255"/>
      <c r="N202" s="255"/>
      <c r="O202" s="255"/>
      <c r="P202" s="255"/>
      <c r="Q202" s="255"/>
      <c r="R202" s="255"/>
      <c r="S202" s="2060"/>
      <c r="T202" s="2060"/>
      <c r="U202" s="99"/>
      <c r="V202" s="99"/>
      <c r="W202" s="255"/>
      <c r="X202" s="99"/>
      <c r="Y202" s="255"/>
      <c r="Z202" s="255"/>
      <c r="AA202" s="255"/>
    </row>
    <row r="203" spans="1:27">
      <c r="A203" s="255"/>
      <c r="B203" s="255"/>
      <c r="C203" s="255"/>
      <c r="D203" s="255"/>
      <c r="E203" s="255"/>
      <c r="H203" s="255"/>
      <c r="I203" s="126"/>
      <c r="J203" s="255"/>
      <c r="K203" s="255"/>
      <c r="L203" s="255"/>
      <c r="M203" s="255"/>
      <c r="N203" s="255"/>
      <c r="O203" s="255"/>
      <c r="P203" s="255"/>
      <c r="Q203" s="255"/>
      <c r="R203" s="255"/>
      <c r="S203" s="99"/>
      <c r="T203" s="255"/>
      <c r="U203" s="99"/>
      <c r="V203" s="99"/>
      <c r="W203" s="255"/>
      <c r="X203" s="99"/>
      <c r="Y203" s="255"/>
      <c r="Z203" s="255"/>
      <c r="AA203" s="255"/>
    </row>
    <row r="204" spans="1:27">
      <c r="A204" s="255"/>
      <c r="B204" s="255"/>
      <c r="C204" s="255"/>
      <c r="D204" s="255"/>
      <c r="E204" s="255"/>
      <c r="H204" s="255"/>
      <c r="I204" s="126"/>
      <c r="J204" s="255"/>
      <c r="K204" s="255"/>
      <c r="L204" s="255"/>
      <c r="M204" s="255"/>
      <c r="N204" s="255"/>
      <c r="O204" s="255"/>
      <c r="P204" s="255"/>
      <c r="Q204" s="255"/>
      <c r="R204" s="255"/>
      <c r="S204" s="99"/>
      <c r="T204" s="255"/>
      <c r="U204" s="99"/>
      <c r="V204" s="99"/>
      <c r="W204" s="255"/>
      <c r="X204" s="99"/>
      <c r="Y204" s="255"/>
      <c r="Z204" s="255"/>
      <c r="AA204" s="255"/>
    </row>
    <row r="205" spans="1:27">
      <c r="A205" s="255"/>
      <c r="B205" s="255"/>
      <c r="C205" s="255"/>
      <c r="D205" s="255"/>
      <c r="E205" s="255"/>
      <c r="H205" s="255"/>
      <c r="I205" s="126"/>
      <c r="J205" s="255"/>
      <c r="K205" s="255"/>
      <c r="L205" s="255"/>
      <c r="M205" s="255"/>
      <c r="N205" s="255"/>
      <c r="O205" s="255"/>
      <c r="P205" s="255"/>
      <c r="Q205" s="255"/>
      <c r="R205" s="255"/>
      <c r="S205" s="99"/>
      <c r="T205" s="255"/>
      <c r="U205" s="99"/>
      <c r="V205" s="99"/>
      <c r="W205" s="255"/>
      <c r="X205" s="99"/>
      <c r="Y205" s="255"/>
      <c r="Z205" s="255"/>
      <c r="AA205" s="255"/>
    </row>
    <row r="206" spans="1:27">
      <c r="A206" s="255"/>
      <c r="B206" s="255"/>
      <c r="C206" s="255"/>
      <c r="D206" s="255"/>
      <c r="E206" s="255"/>
      <c r="H206" s="255"/>
      <c r="I206" s="126"/>
      <c r="J206" s="255"/>
      <c r="K206" s="255"/>
      <c r="L206" s="255"/>
      <c r="M206" s="255"/>
      <c r="N206" s="255"/>
      <c r="O206" s="255"/>
      <c r="P206" s="255"/>
      <c r="Q206" s="255"/>
      <c r="R206" s="255"/>
      <c r="S206" s="99"/>
      <c r="T206" s="255"/>
      <c r="U206" s="99"/>
      <c r="V206" s="99"/>
      <c r="W206" s="255"/>
      <c r="X206" s="99"/>
      <c r="Y206" s="255"/>
      <c r="Z206" s="99"/>
      <c r="AA206" s="255"/>
    </row>
    <row r="207" spans="1:27" s="94" customFormat="1">
      <c r="A207" s="255"/>
      <c r="B207" s="255"/>
      <c r="C207" s="255"/>
      <c r="D207" s="255"/>
      <c r="E207" s="255"/>
      <c r="F207" s="255"/>
      <c r="G207" s="255"/>
      <c r="H207" s="255"/>
      <c r="I207" s="255"/>
      <c r="J207" s="255"/>
      <c r="K207" s="255"/>
      <c r="L207" s="255"/>
      <c r="M207" s="255"/>
      <c r="N207" s="255"/>
      <c r="O207" s="255"/>
      <c r="P207" s="255"/>
      <c r="Q207" s="255"/>
      <c r="R207" s="255"/>
      <c r="S207" s="99"/>
      <c r="T207" s="255"/>
      <c r="U207" s="99"/>
      <c r="V207" s="99"/>
      <c r="W207" s="255"/>
      <c r="X207" s="99"/>
      <c r="Y207" s="255"/>
      <c r="Z207" s="99"/>
      <c r="AA207" s="255"/>
    </row>
    <row r="208" spans="1:27" s="94" customFormat="1">
      <c r="A208" s="255"/>
      <c r="B208" s="255"/>
      <c r="C208" s="255"/>
      <c r="D208" s="255"/>
      <c r="E208" s="255"/>
      <c r="F208" s="255"/>
      <c r="G208" s="255"/>
      <c r="H208" s="255"/>
      <c r="I208" s="255"/>
      <c r="J208" s="255"/>
      <c r="K208" s="255"/>
      <c r="L208" s="255"/>
      <c r="M208" s="255"/>
      <c r="N208" s="255"/>
      <c r="O208" s="255"/>
      <c r="P208" s="255"/>
      <c r="Q208" s="255"/>
      <c r="R208" s="255"/>
      <c r="S208" s="99"/>
      <c r="T208" s="255"/>
      <c r="U208" s="99"/>
      <c r="V208" s="99"/>
      <c r="W208" s="255"/>
      <c r="X208" s="99"/>
      <c r="Y208" s="255"/>
      <c r="Z208" s="255"/>
      <c r="AA208" s="255"/>
    </row>
    <row r="209" spans="1:27">
      <c r="A209" s="255"/>
      <c r="B209" s="255"/>
      <c r="C209" s="255"/>
      <c r="D209" s="255"/>
      <c r="E209" s="255"/>
      <c r="H209" s="255"/>
      <c r="I209" s="126"/>
      <c r="J209" s="255"/>
      <c r="K209" s="255"/>
      <c r="L209" s="255"/>
      <c r="M209" s="255"/>
      <c r="N209" s="255"/>
      <c r="O209" s="255"/>
      <c r="P209" s="255"/>
      <c r="Q209" s="255"/>
      <c r="R209" s="255"/>
      <c r="S209" s="99"/>
      <c r="T209" s="255"/>
      <c r="U209" s="99"/>
      <c r="V209" s="99"/>
      <c r="W209" s="255"/>
      <c r="X209" s="99"/>
      <c r="Y209" s="255"/>
      <c r="Z209" s="255"/>
      <c r="AA209" s="255"/>
    </row>
    <row r="210" spans="1:27">
      <c r="A210" s="255"/>
      <c r="B210" s="255"/>
      <c r="C210" s="255"/>
      <c r="D210" s="255"/>
      <c r="E210" s="255"/>
      <c r="H210" s="255"/>
      <c r="I210" s="126"/>
      <c r="J210" s="255"/>
      <c r="K210" s="255"/>
      <c r="L210" s="255"/>
      <c r="M210" s="255"/>
      <c r="N210" s="255"/>
      <c r="O210" s="255"/>
      <c r="P210" s="255"/>
      <c r="Q210" s="255"/>
      <c r="R210" s="255"/>
      <c r="S210" s="99"/>
      <c r="T210" s="99"/>
      <c r="U210" s="99"/>
      <c r="V210" s="99"/>
      <c r="W210" s="255"/>
      <c r="X210" s="99"/>
      <c r="Y210" s="255"/>
      <c r="Z210" s="255"/>
      <c r="AA210" s="255"/>
    </row>
    <row r="211" spans="1:27">
      <c r="A211" s="255"/>
      <c r="B211" s="255"/>
      <c r="C211" s="255"/>
      <c r="D211" s="255"/>
      <c r="E211" s="255"/>
      <c r="H211" s="255"/>
      <c r="I211" s="126"/>
      <c r="J211" s="255"/>
      <c r="K211" s="255"/>
      <c r="L211" s="255"/>
      <c r="M211" s="255"/>
      <c r="N211" s="255"/>
      <c r="O211" s="255"/>
      <c r="P211" s="255"/>
      <c r="Q211" s="255"/>
      <c r="R211" s="255"/>
      <c r="S211" s="99"/>
      <c r="T211" s="99"/>
      <c r="U211" s="99"/>
      <c r="V211" s="99"/>
      <c r="W211" s="255"/>
      <c r="X211" s="99"/>
      <c r="Y211" s="255"/>
      <c r="Z211" s="255"/>
      <c r="AA211" s="255"/>
    </row>
    <row r="212" spans="1:27">
      <c r="A212" s="255"/>
      <c r="B212" s="255"/>
      <c r="C212" s="255"/>
      <c r="D212" s="255"/>
      <c r="E212" s="255"/>
      <c r="H212" s="255"/>
      <c r="I212" s="126"/>
      <c r="J212" s="255"/>
      <c r="K212" s="255"/>
      <c r="L212" s="255"/>
      <c r="M212" s="255"/>
      <c r="N212" s="255"/>
      <c r="O212" s="255"/>
      <c r="P212" s="255"/>
      <c r="Q212" s="255"/>
      <c r="R212" s="255"/>
      <c r="S212" s="99"/>
      <c r="T212" s="99"/>
      <c r="U212" s="99"/>
      <c r="V212" s="99"/>
      <c r="W212" s="255"/>
      <c r="X212" s="99"/>
      <c r="Y212" s="255"/>
      <c r="Z212" s="255"/>
      <c r="AA212" s="255"/>
    </row>
    <row r="213" spans="1:27">
      <c r="A213" s="255"/>
      <c r="B213" s="255"/>
      <c r="C213" s="255"/>
      <c r="D213" s="255"/>
      <c r="E213" s="255"/>
      <c r="H213" s="255"/>
      <c r="I213" s="126"/>
      <c r="J213" s="255"/>
      <c r="K213" s="255"/>
      <c r="L213" s="255"/>
      <c r="M213" s="255"/>
      <c r="N213" s="255"/>
      <c r="O213" s="255"/>
      <c r="P213" s="255"/>
      <c r="Q213" s="255"/>
      <c r="R213" s="2060"/>
      <c r="S213" s="99"/>
      <c r="T213" s="99"/>
      <c r="U213" s="99"/>
      <c r="V213" s="99"/>
      <c r="W213" s="255"/>
      <c r="X213" s="99"/>
      <c r="Y213" s="255"/>
      <c r="Z213" s="255"/>
      <c r="AA213" s="255"/>
    </row>
    <row r="214" spans="1:27" s="94" customFormat="1">
      <c r="A214" s="255"/>
      <c r="B214" s="255"/>
      <c r="C214" s="255"/>
      <c r="D214" s="255"/>
      <c r="E214" s="255"/>
      <c r="F214" s="255"/>
      <c r="G214" s="255"/>
      <c r="H214" s="255"/>
      <c r="I214" s="255"/>
      <c r="J214" s="255"/>
      <c r="K214" s="255"/>
      <c r="L214" s="255"/>
      <c r="M214" s="255"/>
      <c r="N214" s="255"/>
      <c r="O214" s="255"/>
      <c r="P214" s="255"/>
      <c r="Q214" s="255"/>
      <c r="R214" s="2060"/>
      <c r="S214" s="99"/>
      <c r="T214" s="99"/>
      <c r="U214" s="99"/>
      <c r="V214" s="99"/>
      <c r="W214" s="255"/>
      <c r="X214" s="99"/>
      <c r="Y214" s="255"/>
      <c r="Z214" s="255"/>
      <c r="AA214" s="255"/>
    </row>
    <row r="215" spans="1:27">
      <c r="A215" s="255"/>
      <c r="B215" s="255"/>
      <c r="C215" s="255"/>
      <c r="D215" s="255"/>
      <c r="E215" s="255"/>
      <c r="H215" s="255"/>
      <c r="I215" s="126"/>
      <c r="J215" s="255"/>
      <c r="K215" s="255"/>
      <c r="L215" s="255"/>
      <c r="M215" s="255"/>
      <c r="N215" s="255"/>
      <c r="O215" s="255"/>
      <c r="P215" s="255"/>
      <c r="Q215" s="255"/>
      <c r="R215" s="2060"/>
      <c r="S215" s="99"/>
      <c r="T215" s="99"/>
      <c r="U215" s="99"/>
      <c r="V215" s="99"/>
      <c r="W215" s="255"/>
      <c r="X215" s="99"/>
      <c r="Y215" s="255"/>
      <c r="Z215" s="255"/>
      <c r="AA215" s="255"/>
    </row>
    <row r="216" spans="1:27">
      <c r="A216" s="255"/>
      <c r="B216" s="255"/>
      <c r="C216" s="255"/>
      <c r="D216" s="255"/>
      <c r="E216" s="255"/>
      <c r="H216" s="255"/>
      <c r="I216" s="126"/>
      <c r="J216" s="255"/>
      <c r="K216" s="255"/>
      <c r="L216" s="255"/>
      <c r="M216" s="255"/>
      <c r="N216" s="255"/>
      <c r="O216" s="255"/>
      <c r="P216" s="255"/>
      <c r="Q216" s="255"/>
      <c r="R216" s="2060"/>
      <c r="S216" s="99"/>
      <c r="T216" s="2060"/>
      <c r="U216" s="2060"/>
      <c r="V216" s="2060"/>
      <c r="W216" s="2060"/>
      <c r="X216" s="2060"/>
      <c r="Y216" s="255"/>
      <c r="Z216" s="255"/>
      <c r="AA216" s="255"/>
    </row>
    <row r="217" spans="1:27">
      <c r="A217" s="255"/>
      <c r="B217" s="255"/>
      <c r="C217" s="255"/>
      <c r="D217" s="255"/>
      <c r="E217" s="255"/>
      <c r="H217" s="255"/>
      <c r="I217" s="126"/>
      <c r="J217" s="255"/>
      <c r="K217" s="255"/>
      <c r="L217" s="255"/>
      <c r="M217" s="255"/>
      <c r="N217" s="255"/>
      <c r="O217" s="255"/>
      <c r="P217" s="255"/>
      <c r="Q217" s="255"/>
      <c r="R217" s="2060"/>
      <c r="S217" s="99"/>
      <c r="T217" s="99"/>
      <c r="U217" s="99"/>
      <c r="V217" s="99"/>
      <c r="W217" s="255"/>
      <c r="X217" s="255"/>
      <c r="Y217" s="255"/>
      <c r="Z217" s="255"/>
      <c r="AA217" s="255"/>
    </row>
    <row r="218" spans="1:27">
      <c r="A218" s="255"/>
      <c r="B218" s="255"/>
      <c r="C218" s="255"/>
      <c r="D218" s="255"/>
      <c r="E218" s="255"/>
      <c r="H218" s="255"/>
      <c r="I218" s="126"/>
      <c r="J218" s="255"/>
      <c r="K218" s="255"/>
      <c r="L218" s="255"/>
      <c r="M218" s="255"/>
      <c r="N218" s="255"/>
      <c r="O218" s="255"/>
      <c r="P218" s="255"/>
      <c r="Q218" s="255"/>
      <c r="R218" s="2060"/>
      <c r="S218" s="99"/>
      <c r="T218" s="99"/>
      <c r="U218" s="99"/>
      <c r="V218" s="99"/>
      <c r="W218" s="255"/>
      <c r="X218" s="255"/>
      <c r="Y218" s="255"/>
      <c r="Z218" s="255"/>
      <c r="AA218" s="255"/>
    </row>
    <row r="219" spans="1:27">
      <c r="A219" s="255"/>
      <c r="B219" s="255"/>
      <c r="C219" s="255"/>
      <c r="D219" s="255"/>
      <c r="E219" s="255"/>
      <c r="H219" s="255"/>
      <c r="I219" s="126"/>
      <c r="J219" s="255"/>
      <c r="K219" s="255"/>
      <c r="L219" s="255"/>
      <c r="M219" s="255"/>
      <c r="N219" s="255"/>
      <c r="O219" s="255"/>
      <c r="P219" s="255"/>
      <c r="Q219" s="255"/>
      <c r="R219" s="2060"/>
      <c r="S219" s="99"/>
      <c r="T219" s="99"/>
      <c r="U219" s="255"/>
      <c r="V219" s="255"/>
      <c r="W219" s="255"/>
      <c r="X219" s="255"/>
      <c r="Y219" s="255"/>
      <c r="Z219" s="255"/>
      <c r="AA219" s="255"/>
    </row>
    <row r="220" spans="1:27">
      <c r="A220" s="255"/>
      <c r="B220" s="255"/>
      <c r="C220" s="255"/>
      <c r="D220" s="255"/>
      <c r="E220" s="255"/>
      <c r="H220" s="255"/>
      <c r="I220" s="126"/>
      <c r="J220" s="255"/>
      <c r="K220" s="255"/>
      <c r="L220" s="255"/>
      <c r="M220" s="255"/>
      <c r="N220" s="255"/>
      <c r="O220" s="255"/>
      <c r="P220" s="255"/>
      <c r="Q220" s="255"/>
      <c r="R220" s="2060"/>
      <c r="S220" s="99"/>
      <c r="T220" s="99"/>
      <c r="U220" s="255"/>
      <c r="V220" s="255"/>
      <c r="W220" s="255"/>
      <c r="X220" s="255"/>
      <c r="Y220" s="255"/>
      <c r="Z220" s="255"/>
      <c r="AA220" s="255"/>
    </row>
    <row r="221" spans="1:27">
      <c r="A221" s="255"/>
      <c r="B221" s="255"/>
      <c r="C221" s="255"/>
      <c r="D221" s="255"/>
      <c r="E221" s="255"/>
      <c r="H221" s="255"/>
      <c r="I221" s="126"/>
      <c r="J221" s="255"/>
      <c r="K221" s="255"/>
      <c r="L221" s="255"/>
      <c r="M221" s="255"/>
      <c r="N221" s="255"/>
      <c r="O221" s="255"/>
      <c r="P221" s="255"/>
      <c r="Q221" s="255"/>
      <c r="R221" s="2060"/>
      <c r="S221" s="99"/>
      <c r="T221" s="99"/>
      <c r="U221" s="255"/>
      <c r="V221" s="255"/>
      <c r="W221" s="255"/>
      <c r="X221" s="255"/>
      <c r="Y221" s="255"/>
      <c r="Z221" s="255"/>
      <c r="AA221" s="255"/>
    </row>
    <row r="222" spans="1:27">
      <c r="A222" s="255"/>
      <c r="B222" s="255"/>
      <c r="C222" s="255"/>
      <c r="D222" s="255"/>
      <c r="E222" s="255"/>
      <c r="H222" s="255"/>
      <c r="I222" s="126"/>
      <c r="J222" s="255"/>
      <c r="K222" s="255"/>
      <c r="L222" s="255"/>
      <c r="M222" s="255"/>
      <c r="N222" s="255"/>
      <c r="O222" s="255"/>
      <c r="P222" s="255"/>
      <c r="Q222" s="255"/>
      <c r="R222" s="2060"/>
      <c r="S222" s="99"/>
      <c r="T222" s="255"/>
      <c r="U222" s="255"/>
      <c r="V222" s="255"/>
      <c r="W222" s="255"/>
      <c r="X222" s="255"/>
      <c r="Y222" s="255"/>
      <c r="Z222" s="255"/>
      <c r="AA222" s="255"/>
    </row>
    <row r="223" spans="1:27">
      <c r="A223" s="255"/>
      <c r="B223" s="255"/>
      <c r="C223" s="255"/>
      <c r="D223" s="255"/>
      <c r="E223" s="255"/>
      <c r="H223" s="255"/>
      <c r="I223" s="126"/>
      <c r="J223" s="255"/>
      <c r="K223" s="255"/>
      <c r="L223" s="255"/>
      <c r="M223" s="255"/>
      <c r="N223" s="255"/>
      <c r="O223" s="255"/>
      <c r="P223" s="255"/>
      <c r="Q223" s="255"/>
      <c r="R223" s="2060"/>
      <c r="S223" s="99"/>
      <c r="T223" s="255"/>
      <c r="U223" s="255"/>
      <c r="V223" s="255"/>
      <c r="W223" s="255"/>
      <c r="X223" s="255"/>
      <c r="Y223" s="255"/>
      <c r="Z223" s="255"/>
      <c r="AA223" s="255"/>
    </row>
    <row r="224" spans="1:27">
      <c r="A224" s="255"/>
      <c r="B224" s="255"/>
      <c r="C224" s="255"/>
      <c r="D224" s="255"/>
      <c r="E224" s="255"/>
      <c r="H224" s="255"/>
      <c r="I224" s="126"/>
      <c r="J224" s="255"/>
      <c r="K224" s="255"/>
      <c r="L224" s="255"/>
      <c r="M224" s="255"/>
      <c r="N224" s="255"/>
      <c r="O224" s="255"/>
      <c r="P224" s="255"/>
      <c r="Q224" s="255"/>
      <c r="R224" s="2060"/>
      <c r="S224" s="99"/>
      <c r="T224" s="255"/>
      <c r="U224" s="255"/>
      <c r="V224" s="255"/>
      <c r="W224" s="255"/>
      <c r="X224" s="255"/>
      <c r="Y224" s="255"/>
      <c r="Z224" s="255"/>
      <c r="AA224" s="255"/>
    </row>
    <row r="225" spans="1:27">
      <c r="A225" s="255"/>
      <c r="B225" s="255"/>
      <c r="C225" s="255"/>
      <c r="D225" s="255"/>
      <c r="E225" s="255"/>
      <c r="H225" s="255"/>
      <c r="I225" s="126"/>
      <c r="J225" s="255"/>
      <c r="K225" s="255"/>
      <c r="L225" s="255"/>
      <c r="M225" s="255"/>
      <c r="N225" s="255"/>
      <c r="O225" s="255"/>
      <c r="P225" s="255"/>
      <c r="Q225" s="255"/>
      <c r="R225" s="2060"/>
      <c r="S225" s="99"/>
      <c r="T225" s="255"/>
      <c r="U225" s="255"/>
      <c r="V225" s="255"/>
      <c r="W225" s="255"/>
      <c r="X225" s="255"/>
      <c r="Y225" s="255"/>
      <c r="Z225" s="255"/>
      <c r="AA225" s="255"/>
    </row>
    <row r="226" spans="1:27">
      <c r="A226" s="255"/>
      <c r="B226" s="255"/>
      <c r="C226" s="255"/>
      <c r="D226" s="255"/>
      <c r="E226" s="255"/>
      <c r="H226" s="255"/>
      <c r="I226" s="126"/>
      <c r="J226" s="255"/>
      <c r="K226" s="255"/>
      <c r="L226" s="255"/>
      <c r="M226" s="255"/>
      <c r="N226" s="255"/>
      <c r="O226" s="255"/>
      <c r="P226" s="255"/>
      <c r="Q226" s="255"/>
      <c r="R226" s="2060"/>
      <c r="S226" s="99"/>
      <c r="T226" s="255"/>
      <c r="U226" s="255"/>
      <c r="V226" s="255"/>
      <c r="W226" s="255"/>
      <c r="X226" s="255"/>
      <c r="Y226" s="255"/>
      <c r="Z226" s="255"/>
      <c r="AA226" s="255"/>
    </row>
    <row r="227" spans="1:27">
      <c r="A227" s="255"/>
      <c r="B227" s="255"/>
      <c r="C227" s="255"/>
      <c r="D227" s="255"/>
      <c r="E227" s="255"/>
      <c r="H227" s="255"/>
      <c r="I227" s="126"/>
      <c r="J227" s="255"/>
      <c r="K227" s="255"/>
      <c r="L227" s="255"/>
      <c r="M227" s="255"/>
      <c r="N227" s="255"/>
      <c r="O227" s="255"/>
      <c r="P227" s="255"/>
      <c r="Q227" s="255"/>
      <c r="R227" s="2060"/>
      <c r="S227" s="255"/>
      <c r="T227" s="255"/>
      <c r="U227" s="255"/>
      <c r="V227" s="255"/>
      <c r="W227" s="255"/>
      <c r="X227" s="255"/>
      <c r="Y227" s="255"/>
      <c r="Z227" s="255"/>
      <c r="AA227" s="255"/>
    </row>
    <row r="228" spans="1:27">
      <c r="A228" s="255"/>
      <c r="B228" s="255"/>
      <c r="C228" s="255"/>
      <c r="D228" s="255"/>
      <c r="E228" s="255"/>
      <c r="H228" s="255"/>
      <c r="I228" s="126"/>
      <c r="J228" s="255"/>
      <c r="K228" s="255"/>
      <c r="L228" s="255"/>
      <c r="M228" s="255"/>
      <c r="N228" s="255"/>
      <c r="O228" s="255"/>
      <c r="P228" s="255"/>
      <c r="Q228" s="255"/>
      <c r="R228" s="2060"/>
      <c r="S228" s="255"/>
      <c r="T228" s="255"/>
      <c r="U228" s="255"/>
      <c r="V228" s="255"/>
      <c r="W228" s="255"/>
      <c r="X228" s="255"/>
      <c r="Y228" s="255"/>
      <c r="Z228" s="255"/>
      <c r="AA228" s="255"/>
    </row>
    <row r="229" spans="1:27" s="123" customFormat="1">
      <c r="A229" s="255"/>
      <c r="B229" s="255"/>
      <c r="C229" s="255"/>
      <c r="D229" s="255"/>
      <c r="E229" s="255"/>
      <c r="F229" s="255"/>
      <c r="G229" s="255"/>
      <c r="H229" s="255"/>
      <c r="I229" s="255"/>
      <c r="J229" s="255"/>
      <c r="K229" s="255"/>
      <c r="L229" s="255"/>
      <c r="M229" s="255"/>
      <c r="N229" s="255"/>
      <c r="O229" s="255"/>
      <c r="P229" s="255"/>
      <c r="Q229" s="255"/>
      <c r="R229" s="2060"/>
      <c r="S229" s="255"/>
      <c r="T229" s="255"/>
      <c r="U229" s="255"/>
      <c r="V229" s="255"/>
      <c r="W229" s="255"/>
      <c r="X229" s="255"/>
      <c r="Y229" s="255"/>
      <c r="Z229" s="255"/>
      <c r="AA229" s="255"/>
    </row>
    <row r="230" spans="1:27">
      <c r="A230" s="255"/>
      <c r="B230" s="255"/>
      <c r="C230" s="255"/>
      <c r="D230" s="255"/>
      <c r="E230" s="255"/>
      <c r="H230" s="255"/>
      <c r="I230" s="126"/>
      <c r="J230" s="255"/>
      <c r="K230" s="255"/>
      <c r="L230" s="255"/>
      <c r="M230" s="255"/>
      <c r="N230" s="255"/>
      <c r="O230" s="255"/>
      <c r="P230" s="255"/>
      <c r="Q230" s="255"/>
      <c r="R230" s="2060"/>
      <c r="S230" s="255"/>
      <c r="T230" s="255"/>
      <c r="U230" s="255"/>
      <c r="V230" s="255"/>
      <c r="W230" s="255"/>
      <c r="X230" s="255"/>
      <c r="Y230" s="255"/>
      <c r="Z230" s="255"/>
      <c r="AA230" s="255"/>
    </row>
    <row r="231" spans="1:27" s="94" customFormat="1">
      <c r="A231" s="255"/>
      <c r="B231" s="255"/>
      <c r="C231" s="255"/>
      <c r="D231" s="255"/>
      <c r="E231" s="255"/>
      <c r="F231" s="255"/>
      <c r="G231" s="255"/>
      <c r="H231" s="255"/>
      <c r="I231" s="255"/>
      <c r="J231" s="255"/>
      <c r="K231" s="255"/>
      <c r="L231" s="255"/>
      <c r="M231" s="255"/>
      <c r="N231" s="255"/>
      <c r="O231" s="255"/>
      <c r="P231" s="255"/>
      <c r="Q231" s="255"/>
      <c r="R231" s="2060"/>
      <c r="S231" s="255"/>
      <c r="T231" s="255"/>
      <c r="U231" s="255"/>
      <c r="V231" s="255"/>
      <c r="W231" s="255"/>
      <c r="X231" s="255"/>
      <c r="Y231" s="255"/>
      <c r="Z231" s="255"/>
      <c r="AA231" s="255"/>
    </row>
    <row r="232" spans="1:27">
      <c r="A232" s="255"/>
      <c r="B232" s="255"/>
      <c r="C232" s="255"/>
      <c r="D232" s="255"/>
      <c r="E232" s="255"/>
      <c r="H232" s="255"/>
      <c r="I232" s="126"/>
      <c r="J232" s="255"/>
      <c r="K232" s="255"/>
      <c r="L232" s="255"/>
      <c r="M232" s="255"/>
      <c r="N232" s="255"/>
      <c r="O232" s="255"/>
      <c r="P232" s="255"/>
      <c r="Q232" s="255"/>
      <c r="R232" s="2060"/>
      <c r="S232" s="255"/>
      <c r="T232" s="255"/>
      <c r="U232" s="255"/>
      <c r="V232" s="255"/>
      <c r="W232" s="255"/>
      <c r="X232" s="255"/>
      <c r="Y232" s="255"/>
      <c r="Z232" s="255"/>
      <c r="AA232" s="255"/>
    </row>
    <row r="233" spans="1:27">
      <c r="A233" s="255"/>
      <c r="B233" s="255"/>
      <c r="C233" s="255"/>
      <c r="D233" s="255"/>
      <c r="E233" s="255"/>
      <c r="H233" s="255"/>
      <c r="I233" s="126"/>
      <c r="J233" s="255"/>
      <c r="K233" s="255"/>
      <c r="L233" s="255"/>
      <c r="M233" s="255"/>
      <c r="N233" s="255"/>
      <c r="O233" s="255"/>
      <c r="P233" s="255"/>
      <c r="Q233" s="255"/>
      <c r="R233" s="2060"/>
      <c r="S233" s="255"/>
      <c r="T233" s="255"/>
      <c r="U233" s="255"/>
      <c r="V233" s="255"/>
      <c r="W233" s="255"/>
      <c r="X233" s="255"/>
      <c r="Y233" s="255"/>
      <c r="Z233" s="255"/>
      <c r="AA233" s="255"/>
    </row>
    <row r="234" spans="1:27">
      <c r="A234" s="255"/>
      <c r="B234" s="255"/>
      <c r="C234" s="255"/>
      <c r="D234" s="255"/>
      <c r="E234" s="255"/>
      <c r="H234" s="255"/>
      <c r="I234" s="126"/>
      <c r="J234" s="255"/>
      <c r="K234" s="255"/>
      <c r="L234" s="255"/>
      <c r="M234" s="255"/>
      <c r="N234" s="255"/>
      <c r="O234" s="255"/>
      <c r="P234" s="255"/>
      <c r="Q234" s="255"/>
      <c r="R234" s="2060"/>
      <c r="S234" s="255"/>
      <c r="T234" s="255"/>
      <c r="U234" s="255"/>
      <c r="V234" s="255"/>
      <c r="W234" s="255"/>
      <c r="X234" s="255"/>
      <c r="Y234" s="255"/>
      <c r="Z234" s="255"/>
      <c r="AA234" s="255"/>
    </row>
    <row r="235" spans="1:27">
      <c r="A235" s="255"/>
      <c r="B235" s="255"/>
      <c r="C235" s="255"/>
      <c r="D235" s="255"/>
      <c r="E235" s="255"/>
      <c r="H235" s="255"/>
      <c r="I235" s="126"/>
      <c r="J235" s="255"/>
      <c r="K235" s="255"/>
      <c r="L235" s="255"/>
      <c r="M235" s="255"/>
      <c r="N235" s="255"/>
      <c r="O235" s="255"/>
      <c r="P235" s="255"/>
      <c r="Q235" s="255"/>
      <c r="R235" s="2060"/>
      <c r="S235" s="255"/>
      <c r="T235" s="255"/>
      <c r="U235" s="255"/>
      <c r="V235" s="255"/>
      <c r="W235" s="255"/>
      <c r="X235" s="255"/>
      <c r="Y235" s="255"/>
      <c r="Z235" s="255"/>
      <c r="AA235" s="255"/>
    </row>
    <row r="236" spans="1:27">
      <c r="A236" s="255"/>
      <c r="B236" s="255"/>
      <c r="C236" s="255"/>
      <c r="D236" s="255"/>
      <c r="E236" s="255"/>
      <c r="H236" s="255"/>
      <c r="I236" s="126"/>
      <c r="J236" s="255"/>
      <c r="K236" s="255"/>
      <c r="L236" s="255"/>
      <c r="M236" s="255"/>
      <c r="N236" s="255"/>
      <c r="O236" s="255"/>
      <c r="P236" s="255"/>
      <c r="Q236" s="255"/>
      <c r="R236" s="2060"/>
      <c r="S236" s="255"/>
      <c r="T236" s="255"/>
      <c r="U236" s="255"/>
      <c r="V236" s="255"/>
      <c r="W236" s="255"/>
      <c r="X236" s="255"/>
      <c r="Y236" s="255"/>
      <c r="Z236" s="255"/>
      <c r="AA236" s="255"/>
    </row>
    <row r="237" spans="1:27">
      <c r="A237" s="255"/>
      <c r="B237" s="255"/>
      <c r="C237" s="255"/>
      <c r="D237" s="255"/>
      <c r="E237" s="255"/>
      <c r="H237" s="255"/>
      <c r="I237" s="126"/>
      <c r="J237" s="255"/>
      <c r="K237" s="255"/>
      <c r="L237" s="255"/>
      <c r="M237" s="255"/>
      <c r="N237" s="255"/>
      <c r="O237" s="255"/>
      <c r="P237" s="255"/>
      <c r="Q237" s="255"/>
      <c r="R237" s="2060"/>
      <c r="S237" s="255"/>
      <c r="T237" s="255"/>
      <c r="U237" s="255"/>
      <c r="V237" s="255"/>
      <c r="W237" s="255"/>
      <c r="X237" s="255"/>
      <c r="Y237" s="255"/>
      <c r="Z237" s="255"/>
      <c r="AA237" s="255"/>
    </row>
    <row r="238" spans="1:27">
      <c r="A238" s="255"/>
      <c r="B238" s="255"/>
      <c r="C238" s="255"/>
      <c r="D238" s="255"/>
      <c r="E238" s="255"/>
      <c r="H238" s="255"/>
      <c r="I238" s="126"/>
      <c r="J238" s="255"/>
      <c r="K238" s="255"/>
      <c r="L238" s="255"/>
      <c r="M238" s="255"/>
      <c r="N238" s="255"/>
      <c r="O238" s="255"/>
      <c r="P238" s="255"/>
      <c r="Q238" s="255"/>
      <c r="R238" s="2060"/>
      <c r="S238" s="255"/>
      <c r="T238" s="255"/>
      <c r="U238" s="255"/>
      <c r="V238" s="255"/>
      <c r="W238" s="255"/>
      <c r="X238" s="255"/>
      <c r="Y238" s="255"/>
      <c r="Z238" s="255"/>
      <c r="AA238" s="255"/>
    </row>
    <row r="239" spans="1:27" s="123" customFormat="1">
      <c r="A239" s="255"/>
      <c r="B239" s="255"/>
      <c r="C239" s="255"/>
      <c r="D239" s="255"/>
      <c r="E239" s="255"/>
      <c r="F239" s="255"/>
      <c r="G239" s="255"/>
      <c r="H239" s="255"/>
      <c r="I239" s="255"/>
      <c r="J239" s="255"/>
      <c r="K239" s="255"/>
      <c r="L239" s="255"/>
      <c r="M239" s="255"/>
      <c r="N239" s="255"/>
      <c r="O239" s="255"/>
      <c r="P239" s="255"/>
      <c r="Q239" s="255"/>
      <c r="R239" s="2060"/>
      <c r="S239" s="255"/>
      <c r="T239" s="255"/>
      <c r="U239" s="255"/>
      <c r="V239" s="255"/>
      <c r="W239" s="255"/>
      <c r="X239" s="255"/>
      <c r="Y239" s="255"/>
      <c r="Z239" s="255"/>
      <c r="AA239" s="255"/>
    </row>
    <row r="240" spans="1:27" s="123" customFormat="1">
      <c r="A240" s="255"/>
      <c r="B240" s="255"/>
      <c r="C240" s="255"/>
      <c r="D240" s="255"/>
      <c r="E240" s="255"/>
      <c r="F240" s="255"/>
      <c r="G240" s="255"/>
      <c r="H240" s="255"/>
      <c r="I240" s="255"/>
      <c r="J240" s="255"/>
      <c r="K240" s="255"/>
      <c r="L240" s="255"/>
      <c r="M240" s="255"/>
      <c r="N240" s="255"/>
      <c r="O240" s="255"/>
      <c r="P240" s="255"/>
      <c r="Q240" s="255"/>
      <c r="R240" s="2060"/>
      <c r="S240" s="255"/>
      <c r="T240" s="255"/>
      <c r="U240" s="255"/>
      <c r="V240" s="255"/>
      <c r="W240" s="255"/>
      <c r="X240" s="255"/>
      <c r="Y240" s="255"/>
      <c r="Z240" s="255"/>
      <c r="AA240" s="255"/>
    </row>
    <row r="241" spans="1:20" s="123" customFormat="1">
      <c r="A241" s="255"/>
      <c r="B241" s="255"/>
      <c r="C241" s="255"/>
      <c r="D241" s="255"/>
      <c r="E241" s="255"/>
      <c r="F241" s="255"/>
      <c r="G241" s="255"/>
      <c r="H241" s="255"/>
      <c r="I241" s="255"/>
      <c r="J241" s="255"/>
      <c r="K241" s="255"/>
      <c r="L241" s="255"/>
      <c r="M241" s="255"/>
      <c r="N241" s="255"/>
      <c r="O241" s="255"/>
      <c r="P241" s="255"/>
      <c r="Q241" s="255"/>
      <c r="R241" s="2060"/>
      <c r="S241" s="255"/>
      <c r="T241" s="255"/>
    </row>
    <row r="242" spans="1:20" s="123" customFormat="1">
      <c r="A242" s="255"/>
      <c r="B242" s="255"/>
      <c r="C242" s="255"/>
      <c r="D242" s="255"/>
      <c r="E242" s="255"/>
      <c r="F242" s="255"/>
      <c r="G242" s="255"/>
      <c r="H242" s="255"/>
      <c r="I242" s="255"/>
      <c r="J242" s="255"/>
      <c r="K242" s="255"/>
      <c r="L242" s="255"/>
      <c r="M242" s="255"/>
      <c r="N242" s="255"/>
      <c r="O242" s="255"/>
      <c r="P242" s="255"/>
      <c r="Q242" s="255"/>
      <c r="R242" s="2060"/>
      <c r="S242" s="255"/>
      <c r="T242" s="255"/>
    </row>
    <row r="243" spans="1:20" s="123" customFormat="1">
      <c r="A243" s="255"/>
      <c r="B243" s="255"/>
      <c r="C243" s="255"/>
      <c r="D243" s="255"/>
      <c r="E243" s="255"/>
      <c r="F243" s="255"/>
      <c r="G243" s="255"/>
      <c r="H243" s="255"/>
      <c r="I243" s="255"/>
      <c r="J243" s="255"/>
      <c r="K243" s="255"/>
      <c r="L243" s="255"/>
      <c r="M243" s="255"/>
      <c r="N243" s="255"/>
      <c r="O243" s="255"/>
      <c r="P243" s="255"/>
      <c r="Q243" s="255"/>
      <c r="R243" s="2060"/>
      <c r="S243" s="255"/>
      <c r="T243" s="255"/>
    </row>
    <row r="244" spans="1:20" s="123" customFormat="1">
      <c r="A244" s="255"/>
      <c r="B244" s="255"/>
      <c r="C244" s="255"/>
      <c r="D244" s="255"/>
      <c r="E244" s="255"/>
      <c r="F244" s="255"/>
      <c r="G244" s="255"/>
      <c r="H244" s="255"/>
      <c r="I244" s="255"/>
      <c r="J244" s="255"/>
      <c r="K244" s="255"/>
      <c r="L244" s="255"/>
      <c r="M244" s="255"/>
      <c r="N244" s="255"/>
      <c r="O244" s="255"/>
      <c r="P244" s="255"/>
      <c r="Q244" s="255"/>
      <c r="R244" s="2060"/>
      <c r="S244" s="255"/>
      <c r="T244" s="255"/>
    </row>
    <row r="245" spans="1:20" s="123" customFormat="1">
      <c r="A245" s="255"/>
      <c r="B245" s="255"/>
      <c r="C245" s="255"/>
      <c r="D245" s="255"/>
      <c r="E245" s="255"/>
      <c r="F245" s="255"/>
      <c r="G245" s="255"/>
      <c r="H245" s="255"/>
      <c r="I245" s="255"/>
      <c r="J245" s="255"/>
      <c r="K245" s="255"/>
      <c r="L245" s="255"/>
      <c r="M245" s="255"/>
      <c r="N245" s="255"/>
      <c r="O245" s="255"/>
      <c r="P245" s="255"/>
      <c r="Q245" s="255"/>
      <c r="R245" s="2060"/>
      <c r="S245" s="255"/>
      <c r="T245" s="255"/>
    </row>
    <row r="246" spans="1:20" s="123" customFormat="1">
      <c r="A246" s="255"/>
      <c r="B246" s="255"/>
      <c r="C246" s="255"/>
      <c r="D246" s="255"/>
      <c r="E246" s="255"/>
      <c r="F246" s="255"/>
      <c r="G246" s="255"/>
      <c r="H246" s="255"/>
      <c r="I246" s="255"/>
      <c r="J246" s="255"/>
      <c r="K246" s="255"/>
      <c r="L246" s="255"/>
      <c r="M246" s="255"/>
      <c r="N246" s="255"/>
      <c r="O246" s="255"/>
      <c r="P246" s="255"/>
      <c r="Q246" s="255"/>
      <c r="R246" s="2060"/>
      <c r="S246" s="255"/>
      <c r="T246" s="255"/>
    </row>
    <row r="247" spans="1:20" s="123" customFormat="1">
      <c r="A247" s="255"/>
      <c r="B247" s="255"/>
      <c r="C247" s="255"/>
      <c r="D247" s="255"/>
      <c r="E247" s="255"/>
      <c r="F247" s="255"/>
      <c r="G247" s="255"/>
      <c r="H247" s="255"/>
      <c r="I247" s="255"/>
      <c r="J247" s="255"/>
      <c r="K247" s="255"/>
      <c r="L247" s="255"/>
      <c r="M247" s="255"/>
      <c r="N247" s="255"/>
      <c r="O247" s="255"/>
      <c r="P247" s="255"/>
      <c r="Q247" s="255"/>
      <c r="R247" s="2060"/>
      <c r="S247" s="255"/>
      <c r="T247" s="255"/>
    </row>
    <row r="248" spans="1:20" s="123" customFormat="1">
      <c r="A248" s="255"/>
      <c r="B248" s="255"/>
      <c r="C248" s="255"/>
      <c r="D248" s="255"/>
      <c r="E248" s="255"/>
      <c r="F248" s="255"/>
      <c r="G248" s="255"/>
      <c r="H248" s="255"/>
      <c r="I248" s="255"/>
      <c r="J248" s="255"/>
      <c r="K248" s="255"/>
      <c r="L248" s="255"/>
      <c r="M248" s="255"/>
      <c r="N248" s="255"/>
      <c r="O248" s="255"/>
      <c r="P248" s="255"/>
      <c r="Q248" s="255"/>
      <c r="R248" s="2060"/>
      <c r="S248" s="255"/>
      <c r="T248" s="255"/>
    </row>
    <row r="249" spans="1:20" s="123" customFormat="1">
      <c r="A249" s="255"/>
      <c r="B249" s="255"/>
      <c r="C249" s="255"/>
      <c r="D249" s="255"/>
      <c r="E249" s="255"/>
      <c r="F249" s="255"/>
      <c r="G249" s="255"/>
      <c r="H249" s="255"/>
      <c r="I249" s="255"/>
      <c r="J249" s="255"/>
      <c r="K249" s="255"/>
      <c r="L249" s="255"/>
      <c r="M249" s="255"/>
      <c r="N249" s="255"/>
      <c r="O249" s="255"/>
      <c r="P249" s="255"/>
      <c r="Q249" s="255"/>
      <c r="R249" s="2060"/>
      <c r="S249" s="255"/>
      <c r="T249" s="255"/>
    </row>
    <row r="250" spans="1:20" s="123" customFormat="1">
      <c r="A250" s="255"/>
      <c r="B250" s="255"/>
      <c r="C250" s="255"/>
      <c r="D250" s="255"/>
      <c r="E250" s="255"/>
      <c r="F250" s="255"/>
      <c r="G250" s="255"/>
      <c r="H250" s="255"/>
      <c r="I250" s="255"/>
      <c r="J250" s="255"/>
      <c r="K250" s="255"/>
      <c r="L250" s="255"/>
      <c r="M250" s="255"/>
      <c r="N250" s="255"/>
      <c r="O250" s="255"/>
      <c r="P250" s="255"/>
      <c r="Q250" s="255"/>
      <c r="R250" s="2060"/>
      <c r="S250" s="255"/>
      <c r="T250" s="255"/>
    </row>
    <row r="251" spans="1:20" s="123" customFormat="1">
      <c r="A251" s="255"/>
      <c r="B251" s="255"/>
      <c r="C251" s="255"/>
      <c r="D251" s="255"/>
      <c r="E251" s="255"/>
      <c r="F251" s="255"/>
      <c r="G251" s="255"/>
      <c r="H251" s="255"/>
      <c r="I251" s="255"/>
      <c r="J251" s="255"/>
      <c r="K251" s="255"/>
      <c r="L251" s="255"/>
      <c r="M251" s="255"/>
      <c r="N251" s="255"/>
      <c r="O251" s="255"/>
      <c r="P251" s="255"/>
      <c r="Q251" s="255"/>
      <c r="R251" s="2060"/>
      <c r="S251" s="255"/>
      <c r="T251" s="255"/>
    </row>
    <row r="252" spans="1:20" s="123" customFormat="1">
      <c r="A252" s="255"/>
      <c r="B252" s="255"/>
      <c r="C252" s="255"/>
      <c r="D252" s="255"/>
      <c r="E252" s="255"/>
      <c r="F252" s="255"/>
      <c r="G252" s="255"/>
      <c r="H252" s="255"/>
      <c r="I252" s="255"/>
      <c r="J252" s="255"/>
      <c r="K252" s="255"/>
      <c r="L252" s="255"/>
      <c r="M252" s="255"/>
      <c r="N252" s="255"/>
      <c r="O252" s="255"/>
      <c r="P252" s="255"/>
      <c r="Q252" s="255"/>
      <c r="R252" s="2060"/>
      <c r="S252" s="255"/>
      <c r="T252" s="255"/>
    </row>
    <row r="253" spans="1:20" s="123" customFormat="1">
      <c r="A253" s="255"/>
      <c r="B253" s="255"/>
      <c r="C253" s="255"/>
      <c r="D253" s="255"/>
      <c r="E253" s="255"/>
      <c r="F253" s="255"/>
      <c r="G253" s="255"/>
      <c r="H253" s="255"/>
      <c r="I253" s="255"/>
      <c r="J253" s="255"/>
      <c r="K253" s="255"/>
      <c r="L253" s="255"/>
      <c r="M253" s="255"/>
      <c r="N253" s="255"/>
      <c r="O253" s="255"/>
      <c r="P253" s="255"/>
      <c r="Q253" s="255"/>
      <c r="R253" s="2060"/>
      <c r="S253" s="255"/>
      <c r="T253" s="255"/>
    </row>
    <row r="254" spans="1:20" s="123" customFormat="1">
      <c r="A254" s="255"/>
      <c r="B254" s="255"/>
      <c r="C254" s="255"/>
      <c r="D254" s="255"/>
      <c r="E254" s="255"/>
      <c r="F254" s="255"/>
      <c r="G254" s="255"/>
      <c r="H254" s="255"/>
      <c r="I254" s="255"/>
      <c r="J254" s="255"/>
      <c r="K254" s="255"/>
      <c r="L254" s="255"/>
      <c r="M254" s="255"/>
      <c r="N254" s="255"/>
      <c r="O254" s="255"/>
      <c r="P254" s="255"/>
      <c r="Q254" s="255"/>
      <c r="R254" s="2060"/>
      <c r="S254" s="255"/>
      <c r="T254" s="255"/>
    </row>
    <row r="255" spans="1:20" s="123" customFormat="1">
      <c r="A255" s="255"/>
      <c r="B255" s="255"/>
      <c r="C255" s="255"/>
      <c r="D255" s="255"/>
      <c r="E255" s="255"/>
      <c r="F255" s="255"/>
      <c r="G255" s="255"/>
      <c r="H255" s="255"/>
      <c r="I255" s="255"/>
      <c r="J255" s="255"/>
      <c r="K255" s="255"/>
      <c r="L255" s="255"/>
      <c r="M255" s="255"/>
      <c r="N255" s="255"/>
      <c r="O255" s="255"/>
      <c r="P255" s="255"/>
      <c r="Q255" s="255"/>
      <c r="R255" s="2060"/>
      <c r="S255" s="255"/>
      <c r="T255" s="255"/>
    </row>
    <row r="256" spans="1:20" s="123" customFormat="1">
      <c r="A256" s="255"/>
      <c r="B256" s="255"/>
      <c r="C256" s="255"/>
      <c r="D256" s="255"/>
      <c r="E256" s="255"/>
      <c r="F256" s="255"/>
      <c r="G256" s="255"/>
      <c r="H256" s="255"/>
      <c r="I256" s="255"/>
      <c r="J256" s="255"/>
      <c r="K256" s="255"/>
      <c r="L256" s="255"/>
      <c r="M256" s="255"/>
      <c r="N256" s="255"/>
      <c r="O256" s="255"/>
      <c r="P256" s="255"/>
      <c r="Q256" s="255"/>
      <c r="R256" s="2060"/>
      <c r="S256" s="255"/>
      <c r="T256" s="255"/>
    </row>
    <row r="257" spans="1:20" s="123" customFormat="1">
      <c r="A257" s="255"/>
      <c r="B257" s="255"/>
      <c r="C257" s="255"/>
      <c r="D257" s="255"/>
      <c r="E257" s="255"/>
      <c r="F257" s="255"/>
      <c r="G257" s="255"/>
      <c r="H257" s="255"/>
      <c r="I257" s="255"/>
      <c r="J257" s="255"/>
      <c r="K257" s="255"/>
      <c r="L257" s="255"/>
      <c r="M257" s="255"/>
      <c r="N257" s="255"/>
      <c r="O257" s="255"/>
      <c r="P257" s="255"/>
      <c r="Q257" s="255"/>
      <c r="R257" s="2060"/>
      <c r="S257" s="255"/>
      <c r="T257" s="255"/>
    </row>
    <row r="258" spans="1:20" s="123" customFormat="1">
      <c r="A258" s="255"/>
      <c r="B258" s="255"/>
      <c r="C258" s="255"/>
      <c r="D258" s="255"/>
      <c r="E258" s="255"/>
      <c r="F258" s="255"/>
      <c r="G258" s="255"/>
      <c r="H258" s="255"/>
      <c r="I258" s="255"/>
      <c r="J258" s="255"/>
      <c r="K258" s="255"/>
      <c r="L258" s="255"/>
      <c r="M258" s="255"/>
      <c r="N258" s="255"/>
      <c r="O258" s="255"/>
      <c r="P258" s="255"/>
      <c r="Q258" s="255"/>
      <c r="R258" s="2060"/>
      <c r="S258" s="255"/>
      <c r="T258" s="255"/>
    </row>
    <row r="259" spans="1:20" s="123" customFormat="1">
      <c r="A259" s="255"/>
      <c r="B259" s="255"/>
      <c r="C259" s="255"/>
      <c r="D259" s="255"/>
      <c r="E259" s="255"/>
      <c r="F259" s="255"/>
      <c r="G259" s="255"/>
      <c r="H259" s="255"/>
      <c r="I259" s="255"/>
      <c r="J259" s="255"/>
      <c r="K259" s="255"/>
      <c r="L259" s="255"/>
      <c r="M259" s="255"/>
      <c r="N259" s="255"/>
      <c r="O259" s="255"/>
      <c r="P259" s="255"/>
      <c r="Q259" s="255"/>
      <c r="R259" s="2060"/>
      <c r="S259" s="255"/>
      <c r="T259" s="255"/>
    </row>
    <row r="260" spans="1:20" s="123" customFormat="1">
      <c r="A260" s="255"/>
      <c r="B260" s="255"/>
      <c r="C260" s="255"/>
      <c r="D260" s="255"/>
      <c r="E260" s="255"/>
      <c r="F260" s="255"/>
      <c r="G260" s="255"/>
      <c r="H260" s="255"/>
      <c r="I260" s="255"/>
      <c r="J260" s="255"/>
      <c r="K260" s="255"/>
      <c r="L260" s="255"/>
      <c r="M260" s="255"/>
      <c r="N260" s="255"/>
      <c r="O260" s="255"/>
      <c r="P260" s="255"/>
      <c r="Q260" s="255"/>
      <c r="R260" s="2060"/>
      <c r="S260" s="255"/>
      <c r="T260" s="255"/>
    </row>
    <row r="261" spans="1:20">
      <c r="A261" s="255"/>
      <c r="B261" s="255"/>
      <c r="C261" s="255"/>
      <c r="D261" s="255"/>
      <c r="E261" s="255"/>
      <c r="H261" s="255"/>
      <c r="I261" s="126"/>
      <c r="J261" s="255"/>
      <c r="K261" s="255"/>
      <c r="L261" s="255"/>
      <c r="M261" s="255"/>
      <c r="N261" s="255"/>
      <c r="O261" s="255"/>
      <c r="P261" s="255"/>
      <c r="Q261" s="255"/>
      <c r="R261" s="2060"/>
      <c r="S261" s="255"/>
      <c r="T261" s="255"/>
    </row>
    <row r="262" spans="1:20">
      <c r="A262" s="255"/>
      <c r="B262" s="255"/>
      <c r="C262" s="255"/>
      <c r="D262" s="255"/>
      <c r="E262" s="255"/>
      <c r="H262" s="255"/>
      <c r="I262" s="126"/>
      <c r="J262" s="255"/>
      <c r="K262" s="255"/>
      <c r="L262" s="255"/>
      <c r="M262" s="255"/>
      <c r="N262" s="255"/>
      <c r="O262" s="255"/>
      <c r="P262" s="255"/>
      <c r="Q262" s="255"/>
      <c r="R262" s="2060"/>
      <c r="S262" s="255"/>
      <c r="T262" s="255"/>
    </row>
    <row r="263" spans="1:20">
      <c r="A263" s="255"/>
      <c r="B263" s="255"/>
      <c r="C263" s="255"/>
      <c r="D263" s="255"/>
      <c r="E263" s="255"/>
      <c r="H263" s="255"/>
      <c r="I263" s="126"/>
      <c r="J263" s="255"/>
      <c r="K263" s="255"/>
      <c r="L263" s="255"/>
      <c r="M263" s="255"/>
      <c r="N263" s="255"/>
      <c r="O263" s="255"/>
      <c r="P263" s="255"/>
      <c r="Q263" s="255"/>
      <c r="R263" s="2060"/>
      <c r="S263" s="255"/>
      <c r="T263" s="255"/>
    </row>
    <row r="264" spans="1:20" s="123" customFormat="1">
      <c r="A264" s="255"/>
      <c r="B264" s="255"/>
      <c r="C264" s="255"/>
      <c r="D264" s="255"/>
      <c r="E264" s="255"/>
      <c r="F264" s="255"/>
      <c r="G264" s="255"/>
      <c r="H264" s="255"/>
      <c r="I264" s="255"/>
      <c r="J264" s="255"/>
      <c r="K264" s="255"/>
      <c r="L264" s="255"/>
      <c r="M264" s="255"/>
      <c r="N264" s="255"/>
      <c r="O264" s="255"/>
      <c r="P264" s="255"/>
      <c r="Q264" s="255"/>
      <c r="R264" s="2060"/>
      <c r="S264" s="255"/>
      <c r="T264" s="255"/>
    </row>
    <row r="265" spans="1:20" s="123" customFormat="1">
      <c r="A265" s="255"/>
      <c r="B265" s="255"/>
      <c r="C265" s="255"/>
      <c r="D265" s="255"/>
      <c r="E265" s="255"/>
      <c r="F265" s="255"/>
      <c r="G265" s="255"/>
      <c r="H265" s="255"/>
      <c r="I265" s="255"/>
      <c r="J265" s="255"/>
      <c r="K265" s="255"/>
      <c r="L265" s="255"/>
      <c r="M265" s="255"/>
      <c r="N265" s="255"/>
      <c r="O265" s="255"/>
      <c r="P265" s="255"/>
      <c r="Q265" s="255"/>
      <c r="R265" s="255"/>
      <c r="S265" s="255"/>
      <c r="T265" s="255"/>
    </row>
    <row r="266" spans="1:20" s="123" customFormat="1">
      <c r="A266" s="255"/>
      <c r="B266" s="255"/>
      <c r="C266" s="255"/>
      <c r="D266" s="255"/>
      <c r="E266" s="255"/>
      <c r="F266" s="255"/>
      <c r="G266" s="255"/>
      <c r="H266" s="255"/>
      <c r="I266" s="255"/>
      <c r="J266" s="255"/>
      <c r="K266" s="255"/>
      <c r="L266" s="255"/>
      <c r="M266" s="255"/>
      <c r="N266" s="255"/>
      <c r="O266" s="255"/>
      <c r="P266" s="255"/>
      <c r="Q266" s="255"/>
      <c r="R266" s="255"/>
      <c r="S266" s="255"/>
      <c r="T266" s="255"/>
    </row>
    <row r="267" spans="1:20" s="123" customFormat="1">
      <c r="A267" s="255"/>
      <c r="B267" s="255"/>
      <c r="C267" s="255"/>
      <c r="D267" s="255"/>
      <c r="E267" s="255"/>
      <c r="F267" s="255"/>
      <c r="G267" s="255"/>
      <c r="H267" s="255"/>
      <c r="I267" s="255"/>
      <c r="J267" s="255"/>
      <c r="K267" s="255"/>
      <c r="L267" s="255"/>
      <c r="M267" s="255"/>
      <c r="N267" s="255"/>
      <c r="O267" s="255"/>
      <c r="P267" s="255"/>
      <c r="Q267" s="255"/>
      <c r="R267" s="255"/>
      <c r="S267" s="255"/>
      <c r="T267" s="255"/>
    </row>
    <row r="268" spans="1:20" s="123" customFormat="1">
      <c r="A268" s="255"/>
      <c r="B268" s="255"/>
      <c r="C268" s="255"/>
      <c r="D268" s="255"/>
      <c r="E268" s="255"/>
      <c r="F268" s="255"/>
      <c r="G268" s="255"/>
      <c r="H268" s="255"/>
      <c r="I268" s="255"/>
      <c r="J268" s="255"/>
      <c r="K268" s="255"/>
      <c r="L268" s="255"/>
      <c r="M268" s="255"/>
      <c r="N268" s="255"/>
      <c r="O268" s="255"/>
      <c r="P268" s="255"/>
      <c r="Q268" s="255"/>
      <c r="R268" s="255"/>
      <c r="S268" s="255"/>
      <c r="T268" s="255"/>
    </row>
    <row r="269" spans="1:20" s="123" customFormat="1">
      <c r="A269" s="255"/>
      <c r="B269" s="255"/>
      <c r="C269" s="255"/>
      <c r="D269" s="255"/>
      <c r="E269" s="255"/>
      <c r="F269" s="255"/>
      <c r="G269" s="255"/>
      <c r="H269" s="255"/>
      <c r="I269" s="255"/>
      <c r="J269" s="255"/>
      <c r="K269" s="255"/>
      <c r="L269" s="255"/>
      <c r="M269" s="255"/>
      <c r="N269" s="255"/>
      <c r="O269" s="255"/>
      <c r="P269" s="255"/>
      <c r="Q269" s="255"/>
      <c r="R269" s="255"/>
      <c r="S269" s="255"/>
      <c r="T269" s="255"/>
    </row>
    <row r="270" spans="1:20" s="123" customFormat="1">
      <c r="A270" s="255"/>
      <c r="B270" s="255"/>
      <c r="C270" s="255"/>
      <c r="D270" s="255"/>
      <c r="E270" s="255"/>
      <c r="F270" s="255"/>
      <c r="G270" s="255"/>
      <c r="H270" s="255"/>
      <c r="I270" s="255"/>
      <c r="J270" s="255"/>
      <c r="K270" s="255"/>
      <c r="L270" s="255"/>
      <c r="M270" s="255"/>
      <c r="N270" s="255"/>
      <c r="O270" s="255"/>
      <c r="P270" s="255"/>
      <c r="Q270" s="255"/>
      <c r="R270" s="255"/>
      <c r="S270" s="255"/>
      <c r="T270" s="255"/>
    </row>
    <row r="271" spans="1:20" s="123" customFormat="1">
      <c r="A271" s="255"/>
      <c r="B271" s="255"/>
      <c r="C271" s="255"/>
      <c r="D271" s="255"/>
      <c r="E271" s="255"/>
      <c r="F271" s="255"/>
      <c r="G271" s="255"/>
      <c r="H271" s="255"/>
      <c r="I271" s="255"/>
      <c r="J271" s="255"/>
      <c r="K271" s="255"/>
      <c r="L271" s="255"/>
      <c r="M271" s="255"/>
      <c r="N271" s="255"/>
      <c r="O271" s="255"/>
      <c r="P271" s="255"/>
      <c r="Q271" s="255"/>
      <c r="R271" s="255"/>
      <c r="S271" s="255"/>
      <c r="T271" s="255"/>
    </row>
    <row r="272" spans="1:20" s="123" customFormat="1">
      <c r="A272" s="255"/>
      <c r="B272" s="255"/>
      <c r="C272" s="255"/>
      <c r="D272" s="255"/>
      <c r="E272" s="255"/>
      <c r="F272" s="255"/>
      <c r="G272" s="255"/>
      <c r="H272" s="255"/>
      <c r="I272" s="255"/>
      <c r="J272" s="255"/>
      <c r="K272" s="255"/>
      <c r="L272" s="255"/>
      <c r="M272" s="255"/>
      <c r="N272" s="255"/>
      <c r="O272" s="255"/>
      <c r="P272" s="255"/>
      <c r="Q272" s="255"/>
      <c r="R272" s="255"/>
      <c r="S272" s="255"/>
      <c r="T272" s="255"/>
    </row>
    <row r="273" spans="2:19" s="123" customFormat="1">
      <c r="B273" s="255"/>
      <c r="C273" s="255"/>
      <c r="D273" s="255"/>
      <c r="E273" s="255"/>
      <c r="F273" s="255"/>
      <c r="G273" s="255"/>
      <c r="H273" s="255"/>
      <c r="I273" s="255"/>
      <c r="J273" s="255"/>
      <c r="K273" s="255"/>
      <c r="L273" s="255"/>
      <c r="M273" s="255"/>
      <c r="N273" s="255"/>
      <c r="O273" s="255"/>
      <c r="P273" s="255"/>
      <c r="Q273" s="255"/>
      <c r="R273" s="255"/>
      <c r="S273" s="255"/>
    </row>
    <row r="274" spans="2:19" s="123" customFormat="1">
      <c r="B274" s="255"/>
      <c r="C274" s="255"/>
      <c r="D274" s="255"/>
      <c r="E274" s="255"/>
      <c r="F274" s="255"/>
      <c r="G274" s="255"/>
      <c r="H274" s="255"/>
      <c r="I274" s="255"/>
      <c r="J274" s="255"/>
      <c r="K274" s="255"/>
      <c r="L274" s="255"/>
      <c r="M274" s="255"/>
      <c r="N274" s="255"/>
      <c r="O274" s="255"/>
      <c r="P274" s="255"/>
      <c r="Q274" s="255"/>
      <c r="R274" s="255"/>
      <c r="S274" s="255"/>
    </row>
    <row r="275" spans="2:19" s="123" customFormat="1">
      <c r="B275" s="255"/>
      <c r="C275" s="255"/>
      <c r="D275" s="255"/>
      <c r="E275" s="255"/>
      <c r="F275" s="255"/>
      <c r="G275" s="255"/>
      <c r="H275" s="255"/>
      <c r="I275" s="255"/>
      <c r="J275" s="255"/>
      <c r="K275" s="255"/>
      <c r="L275" s="255"/>
      <c r="M275" s="255"/>
      <c r="N275" s="255"/>
      <c r="O275" s="255"/>
      <c r="P275" s="255"/>
      <c r="Q275" s="255"/>
      <c r="R275" s="255"/>
      <c r="S275" s="255"/>
    </row>
    <row r="276" spans="2:19" s="123" customFormat="1">
      <c r="B276" s="255"/>
      <c r="C276" s="255"/>
      <c r="D276" s="255"/>
      <c r="E276" s="255"/>
      <c r="F276" s="255"/>
      <c r="G276" s="255"/>
      <c r="H276" s="255"/>
      <c r="I276" s="255"/>
      <c r="J276" s="255"/>
      <c r="K276" s="255"/>
      <c r="L276" s="255"/>
      <c r="M276" s="255"/>
      <c r="N276" s="255"/>
      <c r="O276" s="255"/>
      <c r="P276" s="255"/>
      <c r="Q276" s="255"/>
      <c r="R276" s="255"/>
      <c r="S276" s="255"/>
    </row>
    <row r="277" spans="2:19" s="123" customFormat="1">
      <c r="B277" s="255"/>
      <c r="C277" s="255"/>
      <c r="D277" s="255"/>
      <c r="E277" s="255"/>
      <c r="F277" s="255"/>
      <c r="G277" s="255"/>
      <c r="H277" s="255"/>
      <c r="I277" s="255"/>
      <c r="J277" s="255"/>
      <c r="K277" s="255"/>
      <c r="L277" s="255"/>
      <c r="M277" s="255"/>
      <c r="N277" s="255"/>
      <c r="O277" s="255"/>
      <c r="P277" s="255"/>
      <c r="Q277" s="255"/>
      <c r="R277" s="255"/>
      <c r="S277" s="255"/>
    </row>
    <row r="278" spans="2:19" ht="17.45">
      <c r="B278" s="251">
        <f ca="1">MAX(OFFSET(B278,-1,0,-ROWS($B$4:B149),1))+1</f>
        <v>1</v>
      </c>
      <c r="C278" s="252" t="s">
        <v>2982</v>
      </c>
      <c r="D278" s="252"/>
      <c r="E278" s="252"/>
      <c r="F278" s="252"/>
      <c r="G278" s="252"/>
      <c r="H278" s="120"/>
      <c r="I278" s="121"/>
      <c r="J278" s="122"/>
      <c r="K278" s="253"/>
      <c r="L278" s="253"/>
      <c r="M278" s="253"/>
      <c r="N278" s="253"/>
      <c r="O278" s="253"/>
      <c r="P278" s="253"/>
      <c r="Q278" s="253"/>
      <c r="R278" s="253"/>
      <c r="S278" s="253"/>
    </row>
    <row r="279" spans="2:19">
      <c r="B279" s="255"/>
      <c r="C279" s="255"/>
      <c r="D279" s="255"/>
      <c r="E279" s="255"/>
      <c r="H279" s="255"/>
      <c r="I279" s="126"/>
      <c r="J279" s="255"/>
      <c r="K279" s="255"/>
      <c r="L279" s="255"/>
      <c r="M279" s="255"/>
      <c r="N279" s="255"/>
      <c r="O279" s="255"/>
      <c r="P279" s="255"/>
      <c r="Q279" s="255"/>
      <c r="R279" s="255"/>
      <c r="S279" s="255"/>
    </row>
    <row r="280" spans="2:19">
      <c r="B280" s="255"/>
      <c r="C280" s="255"/>
      <c r="D280" s="255"/>
      <c r="E280" s="255"/>
      <c r="H280" s="255"/>
      <c r="I280" s="88"/>
      <c r="J280" s="255"/>
      <c r="K280" s="255"/>
      <c r="L280" s="255"/>
      <c r="M280" s="255"/>
      <c r="N280" s="255"/>
      <c r="O280" s="255"/>
      <c r="P280" s="255"/>
      <c r="Q280" s="255"/>
      <c r="R280" s="255"/>
      <c r="S280" s="255"/>
    </row>
    <row r="281" spans="2:19">
      <c r="B281" s="255"/>
      <c r="C281" s="255"/>
      <c r="D281" s="255"/>
      <c r="E281" s="2060"/>
      <c r="F281" s="2060"/>
      <c r="G281" s="2060"/>
      <c r="H281" s="255"/>
      <c r="I281" s="2060"/>
      <c r="J281" s="2060"/>
      <c r="K281" s="2060"/>
      <c r="L281" s="255"/>
      <c r="M281" s="255"/>
      <c r="N281" s="255"/>
      <c r="O281" s="255"/>
      <c r="P281" s="255"/>
      <c r="Q281" s="255"/>
      <c r="R281" s="255"/>
      <c r="S281" s="255"/>
    </row>
    <row r="282" spans="2:19">
      <c r="B282" s="255"/>
      <c r="C282" s="255"/>
      <c r="D282" s="255"/>
      <c r="E282" s="2060"/>
      <c r="F282" s="2060"/>
      <c r="G282" s="2060"/>
      <c r="H282" s="255"/>
      <c r="I282" s="126"/>
      <c r="J282" s="2060"/>
      <c r="K282" s="2060"/>
      <c r="L282" s="255"/>
      <c r="M282" s="255"/>
      <c r="N282" s="255"/>
      <c r="O282" s="255"/>
      <c r="P282" s="255"/>
      <c r="Q282" s="255"/>
      <c r="R282" s="255"/>
      <c r="S282" s="255"/>
    </row>
    <row r="283" spans="2:19">
      <c r="B283" s="255"/>
      <c r="C283" s="255"/>
      <c r="D283" s="255"/>
      <c r="E283" s="2060"/>
      <c r="F283" s="2060"/>
      <c r="G283" s="2060"/>
      <c r="H283" s="255"/>
      <c r="I283" s="2060"/>
      <c r="J283" s="2060"/>
      <c r="K283" s="2060"/>
      <c r="L283" s="255"/>
      <c r="M283" s="255"/>
      <c r="N283" s="255"/>
      <c r="O283" s="255"/>
      <c r="P283" s="255"/>
      <c r="Q283" s="255"/>
      <c r="R283" s="255"/>
      <c r="S283" s="255"/>
    </row>
    <row r="284" spans="2:19">
      <c r="B284" s="255"/>
      <c r="C284" s="255"/>
      <c r="D284" s="255"/>
      <c r="E284" s="2060"/>
      <c r="F284" s="2060"/>
      <c r="G284" s="2060"/>
      <c r="H284" s="255"/>
      <c r="I284" s="2060"/>
      <c r="J284" s="2060"/>
      <c r="K284" s="2060"/>
      <c r="L284" s="255"/>
      <c r="M284" s="255"/>
      <c r="N284" s="255"/>
      <c r="O284" s="255"/>
      <c r="P284" s="255"/>
      <c r="Q284" s="255"/>
      <c r="R284" s="255"/>
      <c r="S284" s="255"/>
    </row>
    <row r="285" spans="2:19">
      <c r="B285" s="255"/>
      <c r="C285" s="255"/>
      <c r="D285" s="255"/>
      <c r="E285" s="2060"/>
      <c r="F285" s="2060"/>
      <c r="G285" s="2060"/>
      <c r="H285" s="255"/>
      <c r="I285" s="2060"/>
      <c r="J285" s="2060"/>
      <c r="K285" s="2060"/>
      <c r="L285" s="255"/>
      <c r="M285" s="255"/>
      <c r="N285" s="255"/>
      <c r="O285" s="255"/>
      <c r="P285" s="255"/>
      <c r="Q285" s="255"/>
      <c r="R285" s="255"/>
      <c r="S285" s="255"/>
    </row>
    <row r="286" spans="2:19">
      <c r="B286" s="255"/>
      <c r="C286" s="255"/>
      <c r="D286" s="255"/>
      <c r="E286" s="2060"/>
      <c r="F286" s="2060"/>
      <c r="G286" s="2060"/>
      <c r="H286" s="255"/>
      <c r="I286" s="2060"/>
      <c r="J286" s="2060"/>
      <c r="K286" s="2060"/>
      <c r="L286" s="255"/>
      <c r="M286" s="255"/>
      <c r="N286" s="255"/>
      <c r="O286" s="255"/>
      <c r="P286" s="255"/>
      <c r="Q286" s="255"/>
      <c r="R286" s="255"/>
      <c r="S286" s="255"/>
    </row>
    <row r="287" spans="2:19">
      <c r="B287" s="255"/>
      <c r="C287" s="255"/>
      <c r="D287" s="255"/>
      <c r="E287" s="2060"/>
      <c r="F287" s="2060"/>
      <c r="G287" s="2060"/>
      <c r="H287" s="255"/>
      <c r="I287" s="2060"/>
      <c r="J287" s="2060"/>
      <c r="K287" s="2060"/>
      <c r="L287" s="255"/>
      <c r="M287" s="255"/>
      <c r="N287" s="255"/>
      <c r="O287" s="255"/>
      <c r="P287" s="255"/>
      <c r="Q287" s="255"/>
      <c r="R287" s="255"/>
      <c r="S287" s="255"/>
    </row>
    <row r="288" spans="2:19">
      <c r="B288" s="255"/>
      <c r="C288" s="255"/>
      <c r="D288" s="255"/>
      <c r="E288" s="2060"/>
      <c r="F288" s="2060"/>
      <c r="G288" s="2060"/>
      <c r="H288" s="255"/>
      <c r="I288" s="2060"/>
      <c r="J288" s="2060"/>
      <c r="K288" s="2060"/>
      <c r="L288" s="255"/>
      <c r="M288" s="255"/>
      <c r="N288" s="255"/>
      <c r="O288" s="255"/>
      <c r="P288" s="255"/>
      <c r="Q288" s="255"/>
      <c r="R288" s="255"/>
      <c r="S288" s="255"/>
    </row>
    <row r="289" spans="1:23">
      <c r="A289" s="255"/>
      <c r="B289" s="255"/>
      <c r="C289" s="255"/>
      <c r="D289" s="255"/>
      <c r="E289" s="2060"/>
      <c r="F289" s="2060"/>
      <c r="G289" s="2060"/>
      <c r="H289" s="255"/>
      <c r="I289" s="2060"/>
      <c r="J289" s="2060"/>
      <c r="K289" s="2060"/>
      <c r="L289" s="255"/>
      <c r="M289" s="255"/>
      <c r="N289" s="255"/>
      <c r="O289" s="255"/>
      <c r="P289" s="255"/>
      <c r="Q289" s="255"/>
      <c r="R289" s="255"/>
      <c r="S289" s="255"/>
      <c r="T289" s="255"/>
      <c r="U289" s="255"/>
      <c r="V289" s="255"/>
      <c r="W289" s="255"/>
    </row>
    <row r="290" spans="1:23">
      <c r="A290" s="255"/>
      <c r="B290" s="255"/>
      <c r="C290" s="255"/>
      <c r="D290" s="255"/>
      <c r="E290" s="2060"/>
      <c r="F290" s="2060"/>
      <c r="G290" s="2060"/>
      <c r="H290" s="255"/>
      <c r="I290" s="2060"/>
      <c r="J290" s="2060"/>
      <c r="K290" s="2060"/>
      <c r="L290" s="255"/>
      <c r="M290" s="255"/>
      <c r="N290" s="255"/>
      <c r="O290" s="255"/>
      <c r="P290" s="255"/>
      <c r="Q290" s="255"/>
      <c r="R290" s="255"/>
      <c r="S290" s="255"/>
      <c r="T290" s="255"/>
      <c r="U290" s="255"/>
      <c r="V290" s="255"/>
      <c r="W290" s="255"/>
    </row>
    <row r="291" spans="1:23">
      <c r="A291" s="255"/>
      <c r="B291" s="255"/>
      <c r="C291" s="255"/>
      <c r="D291" s="255"/>
      <c r="E291" s="2060"/>
      <c r="F291" s="2060"/>
      <c r="G291" s="2060"/>
      <c r="H291" s="255"/>
      <c r="I291" s="2060"/>
      <c r="J291" s="2060"/>
      <c r="K291" s="2060"/>
      <c r="L291" s="255"/>
      <c r="M291" s="255"/>
      <c r="N291" s="255"/>
      <c r="O291" s="255"/>
      <c r="P291" s="255"/>
      <c r="Q291" s="255"/>
      <c r="R291" s="255"/>
      <c r="S291" s="255"/>
      <c r="T291" s="255"/>
      <c r="U291" s="255"/>
      <c r="V291" s="255"/>
      <c r="W291" s="255"/>
    </row>
    <row r="292" spans="1:23">
      <c r="A292" s="255"/>
      <c r="B292" s="255"/>
      <c r="C292" s="255"/>
      <c r="D292" s="255"/>
      <c r="E292" s="2060"/>
      <c r="F292" s="2060"/>
      <c r="G292" s="2060"/>
      <c r="H292" s="255"/>
      <c r="I292" s="2060"/>
      <c r="J292" s="2060"/>
      <c r="K292" s="2060"/>
      <c r="L292" s="255"/>
      <c r="M292" s="255"/>
      <c r="N292" s="255"/>
      <c r="O292" s="255"/>
      <c r="P292" s="255"/>
      <c r="Q292" s="255"/>
      <c r="R292" s="255"/>
      <c r="S292" s="255"/>
      <c r="T292" s="255"/>
      <c r="U292" s="255"/>
      <c r="V292" s="255"/>
      <c r="W292" s="255"/>
    </row>
    <row r="293" spans="1:23" s="94" customFormat="1">
      <c r="A293" s="255"/>
      <c r="B293" s="255"/>
      <c r="C293" s="255"/>
      <c r="D293" s="255"/>
      <c r="E293" s="2060"/>
      <c r="F293" s="2060"/>
      <c r="G293" s="2060"/>
      <c r="H293" s="255"/>
      <c r="I293" s="2060"/>
      <c r="J293" s="2060"/>
      <c r="K293" s="2060"/>
      <c r="L293" s="255"/>
      <c r="M293" s="255"/>
      <c r="N293" s="255"/>
      <c r="O293" s="255"/>
      <c r="P293" s="255"/>
      <c r="Q293" s="255"/>
      <c r="R293" s="255"/>
      <c r="S293" s="255"/>
      <c r="T293" s="255"/>
      <c r="U293" s="255"/>
      <c r="V293" s="255"/>
      <c r="W293" s="255"/>
    </row>
    <row r="294" spans="1:23" s="94" customFormat="1">
      <c r="A294" s="255"/>
      <c r="B294" s="255"/>
      <c r="C294" s="255"/>
      <c r="D294" s="255"/>
      <c r="E294" s="2060"/>
      <c r="F294" s="2060"/>
      <c r="G294" s="2060"/>
      <c r="H294" s="255"/>
      <c r="I294" s="2060"/>
      <c r="J294" s="2060"/>
      <c r="K294" s="2060"/>
      <c r="L294" s="255"/>
      <c r="M294" s="255"/>
      <c r="N294" s="255"/>
      <c r="O294" s="255"/>
      <c r="P294" s="255"/>
      <c r="Q294" s="255"/>
      <c r="R294" s="255"/>
      <c r="S294" s="255"/>
      <c r="T294" s="255"/>
      <c r="U294" s="255"/>
      <c r="V294" s="255"/>
      <c r="W294" s="255"/>
    </row>
    <row r="295" spans="1:23" s="94" customFormat="1">
      <c r="A295" s="255"/>
      <c r="B295" s="255"/>
      <c r="C295" s="255"/>
      <c r="D295" s="255"/>
      <c r="E295" s="2060"/>
      <c r="F295" s="2060"/>
      <c r="G295" s="2060"/>
      <c r="H295" s="255"/>
      <c r="I295" s="2060"/>
      <c r="J295" s="2060"/>
      <c r="K295" s="2060"/>
      <c r="L295" s="255"/>
      <c r="M295" s="255"/>
      <c r="N295" s="255"/>
      <c r="O295" s="255"/>
      <c r="P295" s="255"/>
      <c r="Q295" s="255"/>
      <c r="R295" s="255"/>
      <c r="S295" s="255"/>
      <c r="T295" s="255"/>
      <c r="U295" s="255"/>
      <c r="V295" s="255"/>
      <c r="W295" s="255"/>
    </row>
    <row r="296" spans="1:23" s="94" customFormat="1">
      <c r="A296" s="255"/>
      <c r="B296" s="255"/>
      <c r="C296" s="255"/>
      <c r="D296" s="255"/>
      <c r="E296" s="2060"/>
      <c r="F296" s="2060"/>
      <c r="G296" s="2060"/>
      <c r="H296" s="255"/>
      <c r="I296" s="2060"/>
      <c r="J296" s="2060"/>
      <c r="K296" s="2060"/>
      <c r="L296" s="255"/>
      <c r="M296" s="255"/>
      <c r="N296" s="255"/>
      <c r="O296" s="255"/>
      <c r="P296" s="255"/>
      <c r="Q296" s="255"/>
      <c r="R296" s="255"/>
      <c r="S296" s="255"/>
      <c r="T296" s="255"/>
      <c r="U296" s="255"/>
      <c r="V296" s="255"/>
      <c r="W296" s="255"/>
    </row>
    <row r="297" spans="1:23" s="94" customFormat="1">
      <c r="A297" s="255"/>
      <c r="B297" s="255"/>
      <c r="C297" s="255"/>
      <c r="D297" s="255"/>
      <c r="E297" s="2060"/>
      <c r="F297" s="2060"/>
      <c r="G297" s="2060"/>
      <c r="H297" s="255"/>
      <c r="I297" s="2060"/>
      <c r="J297" s="2060"/>
      <c r="K297" s="2060"/>
      <c r="L297" s="255"/>
      <c r="M297" s="255"/>
      <c r="N297" s="255"/>
      <c r="O297" s="255"/>
      <c r="P297" s="255"/>
      <c r="Q297" s="255"/>
      <c r="R297" s="255"/>
      <c r="S297" s="255"/>
      <c r="T297" s="255"/>
      <c r="U297" s="255"/>
      <c r="V297" s="255"/>
      <c r="W297" s="255"/>
    </row>
    <row r="298" spans="1:23" s="94" customFormat="1">
      <c r="A298" s="255"/>
      <c r="B298" s="255"/>
      <c r="C298" s="255"/>
      <c r="D298" s="255"/>
      <c r="E298" s="2060"/>
      <c r="F298" s="2060"/>
      <c r="G298" s="2060"/>
      <c r="H298" s="255"/>
      <c r="I298" s="2060"/>
      <c r="J298" s="2060"/>
      <c r="K298" s="2060"/>
      <c r="L298" s="255"/>
      <c r="M298" s="255"/>
      <c r="N298" s="255"/>
      <c r="O298" s="255"/>
      <c r="P298" s="255"/>
      <c r="Q298" s="255"/>
      <c r="R298" s="255"/>
      <c r="S298" s="255"/>
      <c r="T298" s="255"/>
      <c r="U298" s="255"/>
      <c r="V298" s="255"/>
      <c r="W298" s="255"/>
    </row>
    <row r="299" spans="1:23">
      <c r="A299" s="255"/>
      <c r="B299" s="255"/>
      <c r="C299" s="255"/>
      <c r="D299" s="255"/>
      <c r="E299" s="2060"/>
      <c r="F299" s="2060"/>
      <c r="G299" s="2060"/>
      <c r="H299" s="255"/>
      <c r="I299" s="2060"/>
      <c r="J299" s="2060"/>
      <c r="K299" s="2060"/>
      <c r="L299" s="255"/>
      <c r="M299" s="255"/>
      <c r="N299" s="255"/>
      <c r="O299" s="255"/>
      <c r="P299" s="255"/>
      <c r="Q299" s="255"/>
      <c r="R299" s="255"/>
      <c r="S299" s="255"/>
      <c r="T299" s="255"/>
      <c r="U299" s="255"/>
      <c r="V299" s="255"/>
      <c r="W299" s="255"/>
    </row>
    <row r="300" spans="1:23">
      <c r="A300" s="255"/>
      <c r="B300" s="255"/>
      <c r="C300" s="255"/>
      <c r="D300" s="255"/>
      <c r="E300" s="2060"/>
      <c r="F300" s="2060"/>
      <c r="G300" s="2060"/>
      <c r="H300" s="255"/>
      <c r="I300" s="2060"/>
      <c r="J300" s="2060"/>
      <c r="K300" s="2060"/>
      <c r="L300" s="255"/>
      <c r="M300" s="255"/>
      <c r="N300" s="255"/>
      <c r="O300" s="255"/>
      <c r="P300" s="255"/>
      <c r="Q300" s="255"/>
      <c r="R300" s="255"/>
      <c r="S300" s="255"/>
      <c r="T300" s="255"/>
      <c r="U300" s="255"/>
      <c r="V300" s="255"/>
      <c r="W300" s="255"/>
    </row>
    <row r="301" spans="1:23">
      <c r="A301" s="255"/>
      <c r="B301" s="255"/>
      <c r="C301" s="255"/>
      <c r="D301" s="255"/>
      <c r="E301" s="255"/>
      <c r="H301" s="255"/>
      <c r="I301" s="255"/>
      <c r="J301" s="1504"/>
      <c r="K301" s="255"/>
      <c r="L301" s="255"/>
      <c r="M301" s="255"/>
      <c r="N301" s="255"/>
      <c r="O301" s="255"/>
      <c r="P301" s="255"/>
      <c r="Q301" s="255"/>
      <c r="R301" s="255"/>
      <c r="S301" s="255"/>
      <c r="T301" s="255"/>
      <c r="U301" s="255"/>
      <c r="V301" s="255"/>
      <c r="W301" s="255"/>
    </row>
    <row r="302" spans="1:23" s="123" customFormat="1">
      <c r="A302" s="255"/>
      <c r="B302" s="255"/>
      <c r="C302" s="255"/>
      <c r="D302" s="255"/>
      <c r="E302" s="255"/>
      <c r="F302" s="255"/>
      <c r="G302" s="255"/>
      <c r="H302" s="255"/>
      <c r="I302" s="255"/>
      <c r="J302" s="1504"/>
      <c r="K302" s="255"/>
      <c r="L302" s="255"/>
      <c r="M302" s="255"/>
      <c r="N302" s="255"/>
      <c r="O302" s="255"/>
      <c r="P302" s="255"/>
      <c r="Q302" s="255"/>
      <c r="R302" s="255"/>
      <c r="S302" s="255"/>
      <c r="T302" s="255"/>
      <c r="U302" s="255"/>
      <c r="V302" s="255"/>
      <c r="W302" s="255"/>
    </row>
    <row r="303" spans="1:23" s="123" customFormat="1">
      <c r="A303" s="255"/>
      <c r="B303" s="255"/>
      <c r="C303" s="255"/>
      <c r="D303" s="255"/>
      <c r="E303" s="255"/>
      <c r="F303" s="255"/>
      <c r="G303" s="255"/>
      <c r="H303" s="255"/>
      <c r="I303" s="255"/>
      <c r="J303" s="1504"/>
      <c r="K303" s="255"/>
      <c r="L303" s="255"/>
      <c r="M303" s="255"/>
      <c r="N303" s="255"/>
      <c r="O303" s="255"/>
      <c r="P303" s="255"/>
      <c r="Q303" s="255"/>
      <c r="R303" s="255"/>
      <c r="S303" s="255"/>
      <c r="T303" s="255"/>
      <c r="U303" s="255"/>
      <c r="V303" s="255"/>
      <c r="W303" s="255"/>
    </row>
    <row r="304" spans="1:23" s="123" customFormat="1">
      <c r="A304" s="255"/>
      <c r="B304" s="255"/>
      <c r="C304" s="255"/>
      <c r="D304" s="255"/>
      <c r="E304" s="255"/>
      <c r="F304" s="255"/>
      <c r="G304" s="255"/>
      <c r="H304" s="255"/>
      <c r="I304" s="255"/>
      <c r="J304" s="1504"/>
      <c r="K304" s="255"/>
      <c r="L304" s="255"/>
      <c r="M304" s="255"/>
      <c r="N304" s="255"/>
      <c r="O304" s="255"/>
      <c r="P304" s="255"/>
      <c r="Q304" s="255"/>
      <c r="R304" s="255"/>
      <c r="S304" s="255"/>
      <c r="T304" s="255"/>
      <c r="U304" s="255"/>
      <c r="V304" s="255"/>
      <c r="W304" s="255"/>
    </row>
    <row r="305" spans="2:22" s="123" customFormat="1">
      <c r="B305" s="255"/>
      <c r="C305" s="255"/>
      <c r="D305" s="255"/>
      <c r="E305" s="255"/>
      <c r="F305" s="255"/>
      <c r="G305" s="255"/>
      <c r="H305" s="255"/>
      <c r="I305" s="255"/>
      <c r="J305" s="1504"/>
      <c r="K305" s="255"/>
      <c r="L305" s="255"/>
      <c r="M305" s="255"/>
      <c r="N305" s="255"/>
      <c r="O305" s="255"/>
      <c r="P305" s="255"/>
      <c r="Q305" s="255"/>
      <c r="R305" s="255"/>
      <c r="S305" s="255"/>
      <c r="T305" s="255"/>
      <c r="U305" s="255"/>
      <c r="V305" s="255"/>
    </row>
    <row r="306" spans="2:22" s="123" customFormat="1">
      <c r="B306" s="255"/>
      <c r="C306" s="255"/>
      <c r="D306" s="255"/>
      <c r="E306" s="255"/>
      <c r="F306" s="255"/>
      <c r="G306" s="255"/>
      <c r="H306" s="255"/>
      <c r="I306" s="255"/>
      <c r="J306" s="1504"/>
      <c r="K306" s="255"/>
      <c r="L306" s="255"/>
      <c r="M306" s="255"/>
      <c r="N306" s="255"/>
      <c r="O306" s="255"/>
      <c r="P306" s="255"/>
      <c r="Q306" s="255"/>
      <c r="R306" s="255"/>
      <c r="S306" s="255"/>
      <c r="T306" s="255"/>
      <c r="U306" s="255"/>
      <c r="V306" s="255"/>
    </row>
    <row r="307" spans="2:22" s="123" customFormat="1">
      <c r="B307" s="255"/>
      <c r="C307" s="2060"/>
      <c r="D307" s="255"/>
      <c r="E307" s="255"/>
      <c r="F307" s="255"/>
      <c r="G307" s="255"/>
      <c r="H307" s="1504"/>
      <c r="I307" s="1504"/>
      <c r="J307" s="1504"/>
      <c r="K307" s="255"/>
      <c r="L307" s="255"/>
      <c r="M307" s="255"/>
      <c r="N307" s="255"/>
      <c r="O307" s="255"/>
      <c r="P307" s="255"/>
      <c r="Q307" s="255"/>
      <c r="R307" s="255"/>
      <c r="S307" s="255"/>
      <c r="T307" s="255"/>
      <c r="U307" s="255"/>
      <c r="V307" s="255"/>
    </row>
    <row r="308" spans="2:22" s="123" customFormat="1">
      <c r="B308" s="255"/>
      <c r="C308" s="2060"/>
      <c r="D308" s="255"/>
      <c r="E308" s="255"/>
      <c r="F308" s="255"/>
      <c r="G308" s="255"/>
      <c r="H308" s="1504"/>
      <c r="I308" s="1504"/>
      <c r="J308" s="1504"/>
      <c r="K308" s="255"/>
      <c r="L308" s="255"/>
      <c r="M308" s="255"/>
      <c r="N308" s="255"/>
      <c r="O308" s="255"/>
      <c r="P308" s="255"/>
      <c r="Q308" s="255"/>
      <c r="R308" s="255"/>
      <c r="S308" s="255"/>
      <c r="T308" s="255"/>
      <c r="U308" s="255"/>
      <c r="V308" s="255"/>
    </row>
    <row r="309" spans="2:22" s="123" customFormat="1">
      <c r="B309" s="255"/>
      <c r="C309" s="2060"/>
      <c r="D309" s="255"/>
      <c r="E309" s="255"/>
      <c r="F309" s="255"/>
      <c r="G309" s="255"/>
      <c r="H309" s="1504"/>
      <c r="I309" s="1504"/>
      <c r="J309" s="1504"/>
      <c r="K309" s="255"/>
      <c r="L309" s="255"/>
      <c r="M309" s="255"/>
      <c r="N309" s="255"/>
      <c r="O309" s="255"/>
      <c r="P309" s="255"/>
      <c r="Q309" s="255"/>
      <c r="R309" s="255"/>
      <c r="S309" s="255"/>
      <c r="T309" s="255"/>
      <c r="U309" s="255"/>
      <c r="V309" s="255"/>
    </row>
    <row r="310" spans="2:22" s="123" customFormat="1">
      <c r="B310" s="255"/>
      <c r="C310" s="2060"/>
      <c r="D310" s="255"/>
      <c r="E310" s="255"/>
      <c r="F310" s="255"/>
      <c r="G310" s="255"/>
      <c r="H310" s="1504"/>
      <c r="I310" s="1504"/>
      <c r="J310" s="1504"/>
      <c r="K310" s="255"/>
      <c r="L310" s="255"/>
      <c r="M310" s="255"/>
      <c r="N310" s="255"/>
      <c r="O310" s="255"/>
      <c r="P310" s="255"/>
      <c r="Q310" s="255"/>
      <c r="R310" s="255"/>
      <c r="S310" s="255"/>
      <c r="T310" s="255"/>
      <c r="U310" s="255"/>
      <c r="V310" s="255"/>
    </row>
    <row r="311" spans="2:22">
      <c r="B311" s="255"/>
      <c r="C311" s="255"/>
      <c r="D311" s="255"/>
      <c r="E311" s="255"/>
      <c r="H311" s="255"/>
      <c r="I311" s="126"/>
      <c r="J311" s="255"/>
      <c r="K311" s="255"/>
      <c r="L311" s="255"/>
      <c r="M311" s="255"/>
      <c r="N311" s="255"/>
      <c r="O311" s="255"/>
      <c r="P311" s="255"/>
      <c r="Q311" s="255"/>
      <c r="R311" s="255"/>
      <c r="S311" s="255"/>
      <c r="T311" s="255"/>
      <c r="U311" s="255"/>
      <c r="V311" s="255"/>
    </row>
    <row r="312" spans="2:22">
      <c r="B312" s="255"/>
      <c r="C312" s="255"/>
      <c r="D312" s="255"/>
      <c r="E312" s="255"/>
      <c r="H312" s="255"/>
      <c r="I312" s="126"/>
      <c r="J312" s="255"/>
      <c r="K312" s="255"/>
      <c r="L312" s="255"/>
      <c r="M312" s="255"/>
      <c r="N312" s="255"/>
      <c r="O312" s="255"/>
      <c r="P312" s="255"/>
      <c r="Q312" s="255"/>
      <c r="R312" s="255"/>
      <c r="S312" s="255"/>
      <c r="T312" s="255"/>
      <c r="U312" s="255"/>
      <c r="V312" s="255"/>
    </row>
    <row r="313" spans="2:22" ht="17.45">
      <c r="B313" s="251"/>
      <c r="C313" s="252" t="s">
        <v>1279</v>
      </c>
      <c r="D313" s="252"/>
      <c r="E313" s="252"/>
      <c r="F313" s="252"/>
      <c r="G313" s="252"/>
      <c r="H313" s="120"/>
      <c r="I313" s="121"/>
      <c r="J313" s="122"/>
      <c r="K313" s="253"/>
      <c r="L313" s="253"/>
      <c r="M313" s="253"/>
      <c r="N313" s="253"/>
      <c r="O313" s="253"/>
      <c r="P313" s="253"/>
      <c r="Q313" s="253"/>
      <c r="R313" s="253"/>
      <c r="S313" s="714" t="s">
        <v>18</v>
      </c>
      <c r="T313" s="255"/>
      <c r="U313" s="255"/>
      <c r="V313" s="255"/>
    </row>
    <row r="314" spans="2:22">
      <c r="B314" s="2060"/>
      <c r="C314" s="2060"/>
      <c r="D314" s="2060"/>
      <c r="E314" s="255"/>
      <c r="H314" s="2060"/>
      <c r="I314" s="106"/>
      <c r="J314" s="2060"/>
      <c r="K314" s="2060"/>
      <c r="L314" s="2060"/>
      <c r="M314" s="2060"/>
      <c r="N314" s="106"/>
      <c r="O314" s="2060"/>
      <c r="P314" s="2060"/>
      <c r="Q314" s="2060"/>
      <c r="R314" s="255"/>
      <c r="S314" s="2060"/>
      <c r="T314" s="255"/>
      <c r="U314" s="255"/>
      <c r="V314" s="103"/>
    </row>
    <row r="315" spans="2:22">
      <c r="B315" s="2060"/>
      <c r="C315" s="2060"/>
      <c r="D315" s="2060"/>
      <c r="E315" s="255"/>
      <c r="H315" s="2060"/>
      <c r="I315" s="106"/>
      <c r="J315" s="2060"/>
      <c r="K315" s="2060"/>
      <c r="L315" s="2060"/>
      <c r="M315" s="2060"/>
      <c r="N315" s="106"/>
      <c r="O315" s="2060"/>
      <c r="P315" s="2060"/>
      <c r="Q315" s="2060"/>
      <c r="R315" s="255"/>
      <c r="S315" s="2060"/>
      <c r="T315" s="255"/>
      <c r="U315" s="255"/>
      <c r="V315" s="103"/>
    </row>
    <row r="316" spans="2:22">
      <c r="B316" s="2060"/>
      <c r="C316" s="2060"/>
      <c r="D316" s="2060"/>
      <c r="E316" s="255"/>
      <c r="H316" s="2060"/>
      <c r="I316" s="106"/>
      <c r="J316" s="2060"/>
      <c r="K316" s="2060"/>
      <c r="L316" s="2060"/>
      <c r="M316" s="2060"/>
      <c r="N316" s="106"/>
      <c r="O316" s="2060"/>
      <c r="P316" s="2060"/>
      <c r="Q316" s="2060"/>
      <c r="R316" s="255"/>
      <c r="S316" s="2060"/>
      <c r="T316" s="255"/>
      <c r="U316" s="255"/>
      <c r="V316" s="103"/>
    </row>
    <row r="317" spans="2:22">
      <c r="B317" s="2060"/>
      <c r="C317" s="2060"/>
      <c r="D317" s="2060"/>
      <c r="E317" s="255"/>
      <c r="H317" s="2060"/>
      <c r="I317" s="106"/>
      <c r="J317" s="2060"/>
      <c r="K317" s="2060"/>
      <c r="L317" s="2060"/>
      <c r="M317" s="2060"/>
      <c r="N317" s="106"/>
      <c r="O317" s="2060"/>
      <c r="P317" s="2060"/>
      <c r="Q317" s="2060"/>
      <c r="R317" s="2060"/>
      <c r="S317" s="2060"/>
      <c r="T317" s="255"/>
      <c r="U317" s="255"/>
      <c r="V317" s="103"/>
    </row>
    <row r="318" spans="2:22">
      <c r="B318" s="2060"/>
      <c r="C318" s="2060"/>
      <c r="D318" s="2060"/>
      <c r="E318" s="255"/>
      <c r="H318" s="2060"/>
      <c r="I318" s="106"/>
      <c r="J318" s="2060"/>
      <c r="K318" s="2060"/>
      <c r="L318" s="2060"/>
      <c r="M318" s="2060"/>
      <c r="N318" s="106"/>
      <c r="O318" s="2060"/>
      <c r="P318" s="2060"/>
      <c r="Q318" s="2060"/>
      <c r="R318" s="2060"/>
      <c r="S318" s="2060"/>
      <c r="T318" s="255"/>
      <c r="U318" s="255"/>
      <c r="V318" s="103"/>
    </row>
    <row r="319" spans="2:22">
      <c r="B319" s="2060"/>
      <c r="C319" s="2060"/>
      <c r="D319" s="2060"/>
      <c r="E319" s="255"/>
      <c r="H319" s="2060"/>
      <c r="I319" s="106"/>
      <c r="J319" s="2060"/>
      <c r="K319" s="2060"/>
      <c r="L319" s="2060"/>
      <c r="M319" s="2060"/>
      <c r="N319" s="106"/>
      <c r="O319" s="2060"/>
      <c r="P319" s="2060"/>
      <c r="Q319" s="2060"/>
      <c r="R319" s="2060"/>
      <c r="S319" s="2060"/>
      <c r="T319" s="255"/>
      <c r="U319" s="255"/>
      <c r="V319" s="103"/>
    </row>
    <row r="320" spans="2:22">
      <c r="B320" s="2060"/>
      <c r="C320" s="2060"/>
      <c r="D320" s="2060"/>
      <c r="E320" s="255"/>
      <c r="H320" s="2060"/>
      <c r="I320" s="106"/>
      <c r="J320" s="2060"/>
      <c r="K320" s="2060"/>
      <c r="L320" s="2060"/>
      <c r="M320" s="2060"/>
      <c r="N320" s="106"/>
      <c r="O320" s="2060"/>
      <c r="P320" s="2060"/>
      <c r="Q320" s="2060"/>
      <c r="R320" s="2060"/>
      <c r="S320" s="2060"/>
      <c r="T320" s="255"/>
      <c r="U320" s="255"/>
      <c r="V320" s="103"/>
    </row>
    <row r="321" spans="2:22">
      <c r="B321" s="2060"/>
      <c r="C321" s="2060"/>
      <c r="D321" s="2060"/>
      <c r="E321" s="255"/>
      <c r="H321" s="2060"/>
      <c r="I321" s="106"/>
      <c r="J321" s="2060"/>
      <c r="K321" s="2060"/>
      <c r="L321" s="2060"/>
      <c r="M321" s="2060"/>
      <c r="N321" s="106"/>
      <c r="O321" s="2060"/>
      <c r="P321" s="2060"/>
      <c r="Q321" s="2060"/>
      <c r="R321" s="2060"/>
      <c r="S321" s="2060"/>
      <c r="T321" s="255"/>
      <c r="U321" s="255"/>
      <c r="V321" s="103"/>
    </row>
    <row r="322" spans="2:22">
      <c r="B322" s="2060"/>
      <c r="C322" s="2060"/>
      <c r="D322" s="2060"/>
      <c r="E322" s="255"/>
      <c r="H322" s="2060"/>
      <c r="I322" s="106"/>
      <c r="J322" s="2060"/>
      <c r="K322" s="2060"/>
      <c r="L322" s="2060"/>
      <c r="M322" s="2060"/>
      <c r="N322" s="106"/>
      <c r="O322" s="2060"/>
      <c r="P322" s="2060"/>
      <c r="Q322" s="2060"/>
      <c r="R322" s="2060"/>
      <c r="S322" s="2060"/>
      <c r="T322" s="255"/>
      <c r="U322" s="255"/>
      <c r="V322" s="103"/>
    </row>
    <row r="323" spans="2:22">
      <c r="B323" s="2060"/>
      <c r="C323" s="2060"/>
      <c r="D323" s="2060"/>
      <c r="E323" s="255"/>
      <c r="H323" s="2060"/>
      <c r="I323" s="106"/>
      <c r="J323" s="2060"/>
      <c r="K323" s="2060"/>
      <c r="L323" s="2060"/>
      <c r="M323" s="2060"/>
      <c r="N323" s="106"/>
      <c r="O323" s="2060"/>
      <c r="P323" s="2060"/>
      <c r="Q323" s="2060"/>
      <c r="R323" s="2060"/>
      <c r="S323" s="2060"/>
      <c r="T323" s="255"/>
      <c r="U323" s="255"/>
      <c r="V323" s="103"/>
    </row>
    <row r="324" spans="2:22">
      <c r="B324" s="2060"/>
      <c r="C324" s="2060"/>
      <c r="D324" s="2060"/>
      <c r="E324" s="255"/>
      <c r="H324" s="2060"/>
      <c r="I324" s="106"/>
      <c r="J324" s="2060"/>
      <c r="K324" s="2060"/>
      <c r="L324" s="2060"/>
      <c r="M324" s="2060"/>
      <c r="N324" s="106"/>
      <c r="O324" s="2060"/>
      <c r="P324" s="2060"/>
      <c r="Q324" s="2060"/>
      <c r="R324" s="2060"/>
      <c r="S324" s="2060"/>
      <c r="T324" s="255"/>
      <c r="U324" s="255"/>
      <c r="V324" s="103"/>
    </row>
    <row r="325" spans="2:22">
      <c r="B325" s="2060"/>
      <c r="C325" s="2060"/>
      <c r="D325" s="2060"/>
      <c r="E325" s="255"/>
      <c r="H325" s="2060"/>
      <c r="I325" s="106"/>
      <c r="J325" s="2060"/>
      <c r="K325" s="2060"/>
      <c r="L325" s="2060"/>
      <c r="M325" s="2060"/>
      <c r="N325" s="106"/>
      <c r="O325" s="2060"/>
      <c r="P325" s="2060"/>
      <c r="Q325" s="2060"/>
      <c r="R325" s="2060"/>
      <c r="S325" s="2060"/>
      <c r="T325" s="255"/>
      <c r="U325" s="255"/>
      <c r="V325" s="103"/>
    </row>
    <row r="326" spans="2:22">
      <c r="B326" s="2060"/>
      <c r="C326" s="2060"/>
      <c r="D326" s="2060"/>
      <c r="E326" s="255"/>
      <c r="H326" s="2060"/>
      <c r="I326" s="106"/>
      <c r="J326" s="2060"/>
      <c r="K326" s="2060"/>
      <c r="L326" s="2060"/>
      <c r="M326" s="2060"/>
      <c r="N326" s="106"/>
      <c r="O326" s="2060"/>
      <c r="P326" s="2060"/>
      <c r="Q326" s="2060"/>
      <c r="R326" s="2060"/>
      <c r="S326" s="2060"/>
      <c r="T326" s="255"/>
      <c r="U326" s="255"/>
      <c r="V326" s="103"/>
    </row>
    <row r="327" spans="2:22">
      <c r="B327" s="2060"/>
      <c r="C327" s="2060"/>
      <c r="D327" s="2060"/>
      <c r="E327" s="255"/>
      <c r="H327" s="2060"/>
      <c r="I327" s="106"/>
      <c r="J327" s="2060"/>
      <c r="K327" s="2060"/>
      <c r="L327" s="2060"/>
      <c r="M327" s="2060"/>
      <c r="N327" s="106"/>
      <c r="O327" s="2060"/>
      <c r="P327" s="2060"/>
      <c r="Q327" s="2060"/>
      <c r="R327" s="2060"/>
      <c r="S327" s="2060"/>
      <c r="T327" s="255"/>
      <c r="U327" s="255"/>
      <c r="V327" s="103"/>
    </row>
    <row r="328" spans="2:22">
      <c r="B328" s="2060"/>
      <c r="C328" s="2060"/>
      <c r="D328" s="2060"/>
      <c r="E328" s="255"/>
      <c r="H328" s="2060"/>
      <c r="I328" s="106"/>
      <c r="J328" s="2060"/>
      <c r="K328" s="2060"/>
      <c r="L328" s="2060"/>
      <c r="M328" s="2060"/>
      <c r="N328" s="106"/>
      <c r="O328" s="2060"/>
      <c r="P328" s="2060"/>
      <c r="Q328" s="2060"/>
      <c r="R328" s="2060"/>
      <c r="S328" s="2060"/>
      <c r="T328" s="255"/>
      <c r="U328" s="255"/>
      <c r="V328" s="103"/>
    </row>
    <row r="329" spans="2:22">
      <c r="B329" s="2060"/>
      <c r="C329" s="2060"/>
      <c r="D329" s="2060"/>
      <c r="E329" s="255"/>
      <c r="H329" s="2060"/>
      <c r="I329" s="106"/>
      <c r="J329" s="2060"/>
      <c r="K329" s="2060"/>
      <c r="L329" s="2060"/>
      <c r="M329" s="2060"/>
      <c r="N329" s="106"/>
      <c r="O329" s="2060"/>
      <c r="P329" s="2060"/>
      <c r="Q329" s="2060"/>
      <c r="R329" s="2060"/>
      <c r="S329" s="2060"/>
      <c r="T329" s="255"/>
      <c r="U329" s="255"/>
      <c r="V329" s="103"/>
    </row>
    <row r="330" spans="2:22">
      <c r="B330" s="2060"/>
      <c r="C330" s="2060"/>
      <c r="D330" s="2060"/>
      <c r="E330" s="255"/>
      <c r="H330" s="2060"/>
      <c r="I330" s="106"/>
      <c r="J330" s="2060"/>
      <c r="K330" s="2060"/>
      <c r="L330" s="2060"/>
      <c r="M330" s="2060"/>
      <c r="N330" s="106"/>
      <c r="O330" s="2060"/>
      <c r="P330" s="2060"/>
      <c r="Q330" s="2060"/>
      <c r="R330" s="2060"/>
      <c r="S330" s="2060"/>
      <c r="T330" s="255"/>
      <c r="U330" s="255"/>
      <c r="V330" s="103"/>
    </row>
    <row r="331" spans="2:22">
      <c r="B331" s="2060"/>
      <c r="C331" s="2060"/>
      <c r="D331" s="2060"/>
      <c r="E331" s="255"/>
      <c r="H331" s="2060"/>
      <c r="I331" s="106"/>
      <c r="J331" s="2060"/>
      <c r="K331" s="2060"/>
      <c r="L331" s="2060"/>
      <c r="M331" s="2060"/>
      <c r="N331" s="106"/>
      <c r="O331" s="2060"/>
      <c r="P331" s="2060"/>
      <c r="Q331" s="2060"/>
      <c r="R331" s="2060"/>
      <c r="S331" s="2060"/>
      <c r="T331" s="255"/>
      <c r="U331" s="255"/>
      <c r="V331" s="103"/>
    </row>
    <row r="332" spans="2:22">
      <c r="B332" s="2060"/>
      <c r="C332" s="2060"/>
      <c r="D332" s="2060"/>
      <c r="E332" s="255"/>
      <c r="H332" s="2060"/>
      <c r="I332" s="106"/>
      <c r="J332" s="2060"/>
      <c r="K332" s="2060"/>
      <c r="L332" s="2060"/>
      <c r="M332" s="2060"/>
      <c r="N332" s="106"/>
      <c r="O332" s="2060"/>
      <c r="P332" s="2060"/>
      <c r="Q332" s="2060"/>
      <c r="R332" s="2060"/>
      <c r="S332" s="2060"/>
      <c r="T332" s="255"/>
      <c r="U332" s="255"/>
      <c r="V332" s="103"/>
    </row>
    <row r="333" spans="2:22">
      <c r="B333" s="2060"/>
      <c r="C333" s="2060"/>
      <c r="D333" s="2060"/>
      <c r="E333" s="255"/>
      <c r="H333" s="2060"/>
      <c r="I333" s="106"/>
      <c r="J333" s="2060"/>
      <c r="K333" s="2060"/>
      <c r="L333" s="2060"/>
      <c r="M333" s="2060"/>
      <c r="N333" s="106"/>
      <c r="O333" s="2060"/>
      <c r="P333" s="2060"/>
      <c r="Q333" s="2060"/>
      <c r="R333" s="2060"/>
      <c r="S333" s="2060"/>
      <c r="T333" s="255"/>
      <c r="U333" s="255"/>
      <c r="V333" s="103"/>
    </row>
    <row r="334" spans="2:22">
      <c r="B334" s="2060"/>
      <c r="C334" s="2060"/>
      <c r="D334" s="2060"/>
      <c r="E334" s="255"/>
      <c r="H334" s="2060"/>
      <c r="I334" s="106"/>
      <c r="J334" s="2060"/>
      <c r="K334" s="2060"/>
      <c r="L334" s="2060"/>
      <c r="M334" s="2060"/>
      <c r="N334" s="106"/>
      <c r="O334" s="2060"/>
      <c r="P334" s="2060"/>
      <c r="Q334" s="2060"/>
      <c r="R334" s="2060"/>
      <c r="S334" s="2060"/>
      <c r="T334" s="255"/>
      <c r="U334" s="255"/>
      <c r="V334" s="103"/>
    </row>
    <row r="335" spans="2:22">
      <c r="B335" s="2060"/>
      <c r="C335" s="2060"/>
      <c r="D335" s="2060"/>
      <c r="E335" s="255"/>
      <c r="H335" s="2060"/>
      <c r="I335" s="106"/>
      <c r="J335" s="2060"/>
      <c r="K335" s="2060"/>
      <c r="L335" s="2060"/>
      <c r="M335" s="2060"/>
      <c r="N335" s="106"/>
      <c r="O335" s="2060"/>
      <c r="P335" s="2060"/>
      <c r="Q335" s="2060"/>
      <c r="R335" s="2060"/>
      <c r="S335" s="2060"/>
      <c r="T335" s="255"/>
      <c r="U335" s="255"/>
      <c r="V335" s="103"/>
    </row>
    <row r="336" spans="2:22">
      <c r="B336" s="2060"/>
      <c r="C336" s="2060"/>
      <c r="D336" s="2060"/>
      <c r="E336" s="255"/>
      <c r="H336" s="2060"/>
      <c r="I336" s="106"/>
      <c r="J336" s="2060"/>
      <c r="K336" s="2060"/>
      <c r="L336" s="2060"/>
      <c r="M336" s="2060"/>
      <c r="N336" s="106"/>
      <c r="O336" s="2060"/>
      <c r="P336" s="2060"/>
      <c r="Q336" s="2060"/>
      <c r="R336" s="2060"/>
      <c r="S336" s="2060"/>
      <c r="T336" s="255"/>
      <c r="U336" s="255"/>
      <c r="V336" s="103"/>
    </row>
    <row r="337" spans="2:22">
      <c r="B337" s="2060"/>
      <c r="C337" s="2060"/>
      <c r="D337" s="2060"/>
      <c r="E337" s="255"/>
      <c r="H337" s="2060"/>
      <c r="I337" s="106"/>
      <c r="J337" s="2060"/>
      <c r="K337" s="2060"/>
      <c r="L337" s="2060"/>
      <c r="M337" s="2060"/>
      <c r="N337" s="106"/>
      <c r="O337" s="2060"/>
      <c r="P337" s="2060"/>
      <c r="Q337" s="2060"/>
      <c r="R337" s="2060"/>
      <c r="S337" s="2060"/>
      <c r="T337" s="255"/>
      <c r="U337" s="255"/>
      <c r="V337" s="103"/>
    </row>
    <row r="338" spans="2:22">
      <c r="B338" s="2060"/>
      <c r="C338" s="2060"/>
      <c r="D338" s="2060"/>
      <c r="E338" s="255"/>
      <c r="H338" s="2060"/>
      <c r="I338" s="106"/>
      <c r="J338" s="2060"/>
      <c r="K338" s="2060"/>
      <c r="L338" s="2060"/>
      <c r="M338" s="2060"/>
      <c r="N338" s="106"/>
      <c r="O338" s="2060"/>
      <c r="P338" s="2060"/>
      <c r="Q338" s="2060"/>
      <c r="R338" s="2060"/>
      <c r="S338" s="2060"/>
      <c r="T338" s="255"/>
      <c r="U338" s="255"/>
      <c r="V338" s="103"/>
    </row>
    <row r="339" spans="2:22">
      <c r="B339" s="2060"/>
      <c r="C339" s="2060"/>
      <c r="D339" s="2060"/>
      <c r="E339" s="255"/>
      <c r="H339" s="2060"/>
      <c r="I339" s="106"/>
      <c r="J339" s="2060"/>
      <c r="K339" s="2060"/>
      <c r="L339" s="2060"/>
      <c r="M339" s="2060"/>
      <c r="N339" s="106"/>
      <c r="O339" s="2060"/>
      <c r="P339" s="2060"/>
      <c r="Q339" s="2060"/>
      <c r="R339" s="2060"/>
      <c r="S339" s="2060"/>
      <c r="T339" s="255"/>
      <c r="U339" s="255"/>
      <c r="V339" s="103"/>
    </row>
    <row r="340" spans="2:22">
      <c r="B340" s="2060"/>
      <c r="C340" s="2060"/>
      <c r="D340" s="2060"/>
      <c r="E340" s="255"/>
      <c r="H340" s="2060"/>
      <c r="I340" s="106"/>
      <c r="J340" s="2060"/>
      <c r="K340" s="2060"/>
      <c r="L340" s="2060"/>
      <c r="M340" s="2060"/>
      <c r="N340" s="106"/>
      <c r="O340" s="2060"/>
      <c r="P340" s="2060"/>
      <c r="Q340" s="2060"/>
      <c r="R340" s="2060"/>
      <c r="S340" s="2060"/>
      <c r="T340" s="255"/>
      <c r="U340" s="255"/>
      <c r="V340" s="103"/>
    </row>
    <row r="341" spans="2:22">
      <c r="B341" s="2060"/>
      <c r="C341" s="2060"/>
      <c r="D341" s="2060"/>
      <c r="E341" s="255"/>
      <c r="H341" s="2060"/>
      <c r="I341" s="106"/>
      <c r="J341" s="2060"/>
      <c r="K341" s="2060"/>
      <c r="L341" s="2060"/>
      <c r="M341" s="2060"/>
      <c r="N341" s="106"/>
      <c r="O341" s="2060"/>
      <c r="P341" s="2060"/>
      <c r="Q341" s="2060"/>
      <c r="R341" s="2060"/>
      <c r="S341" s="2060"/>
      <c r="T341" s="255"/>
      <c r="U341" s="255"/>
      <c r="V341" s="103"/>
    </row>
    <row r="342" spans="2:22">
      <c r="B342" s="2060"/>
      <c r="C342" s="2060"/>
      <c r="D342" s="2060"/>
      <c r="E342" s="255"/>
      <c r="H342" s="2060"/>
      <c r="I342" s="106"/>
      <c r="J342" s="2060"/>
      <c r="K342" s="2060"/>
      <c r="L342" s="2060"/>
      <c r="M342" s="2060"/>
      <c r="N342" s="106"/>
      <c r="O342" s="2060"/>
      <c r="P342" s="2060"/>
      <c r="Q342" s="2060"/>
      <c r="R342" s="2060"/>
      <c r="S342" s="2060"/>
      <c r="T342" s="255"/>
      <c r="U342" s="255"/>
      <c r="V342" s="103"/>
    </row>
    <row r="343" spans="2:22">
      <c r="B343" s="2060"/>
      <c r="C343" s="2060"/>
      <c r="D343" s="2060"/>
      <c r="E343" s="255"/>
      <c r="H343" s="2060"/>
      <c r="I343" s="106"/>
      <c r="J343" s="2060"/>
      <c r="K343" s="2060"/>
      <c r="L343" s="2060"/>
      <c r="M343" s="2060"/>
      <c r="N343" s="106"/>
      <c r="O343" s="2060"/>
      <c r="P343" s="2060"/>
      <c r="Q343" s="2060"/>
      <c r="R343" s="2060"/>
      <c r="S343" s="2060"/>
      <c r="T343" s="255"/>
      <c r="U343" s="255"/>
      <c r="V343" s="103"/>
    </row>
    <row r="344" spans="2:22">
      <c r="B344" s="2060"/>
      <c r="C344" s="2060"/>
      <c r="D344" s="2060"/>
      <c r="E344" s="255"/>
      <c r="H344" s="2060"/>
      <c r="I344" s="106"/>
      <c r="J344" s="2060"/>
      <c r="K344" s="2060"/>
      <c r="L344" s="2060"/>
      <c r="M344" s="2060"/>
      <c r="N344" s="106"/>
      <c r="O344" s="2060"/>
      <c r="P344" s="2060"/>
      <c r="Q344" s="2060"/>
      <c r="R344" s="2060"/>
      <c r="S344" s="2060"/>
      <c r="T344" s="255"/>
      <c r="U344" s="255"/>
      <c r="V344" s="103"/>
    </row>
    <row r="345" spans="2:22">
      <c r="B345" s="2060"/>
      <c r="C345" s="2060"/>
      <c r="D345" s="2060"/>
      <c r="E345" s="255"/>
      <c r="H345" s="2060"/>
      <c r="I345" s="106"/>
      <c r="J345" s="2060"/>
      <c r="K345" s="2060"/>
      <c r="L345" s="2060"/>
      <c r="M345" s="2060"/>
      <c r="N345" s="106"/>
      <c r="O345" s="2060"/>
      <c r="P345" s="2060"/>
      <c r="Q345" s="2060"/>
      <c r="R345" s="2060"/>
      <c r="S345" s="2060"/>
      <c r="T345" s="255"/>
      <c r="U345" s="255"/>
      <c r="V345" s="103"/>
    </row>
    <row r="346" spans="2:22">
      <c r="B346" s="2060"/>
      <c r="C346" s="2060"/>
      <c r="D346" s="2060"/>
      <c r="E346" s="255"/>
      <c r="H346" s="2060"/>
      <c r="I346" s="106"/>
      <c r="J346" s="2060"/>
      <c r="K346" s="2060"/>
      <c r="L346" s="2060"/>
      <c r="M346" s="2060"/>
      <c r="N346" s="106"/>
      <c r="O346" s="2060"/>
      <c r="P346" s="2060"/>
      <c r="Q346" s="2060"/>
      <c r="R346" s="2060"/>
      <c r="S346" s="2060"/>
      <c r="T346" s="255"/>
      <c r="U346" s="255"/>
      <c r="V346" s="103"/>
    </row>
    <row r="347" spans="2:22">
      <c r="B347" s="2060"/>
      <c r="C347" s="2060"/>
      <c r="D347" s="2060"/>
      <c r="E347" s="255"/>
      <c r="H347" s="2060"/>
      <c r="I347" s="106"/>
      <c r="J347" s="2060"/>
      <c r="K347" s="2060"/>
      <c r="L347" s="2060"/>
      <c r="M347" s="2060"/>
      <c r="N347" s="106"/>
      <c r="O347" s="2060"/>
      <c r="P347" s="2060"/>
      <c r="Q347" s="2060"/>
      <c r="R347" s="2060"/>
      <c r="S347" s="2060"/>
      <c r="T347" s="255"/>
      <c r="U347" s="255"/>
      <c r="V347" s="103"/>
    </row>
    <row r="348" spans="2:22">
      <c r="B348" s="2060"/>
      <c r="C348" s="2060"/>
      <c r="D348" s="2060"/>
      <c r="E348" s="255"/>
      <c r="H348" s="2060"/>
      <c r="I348" s="106"/>
      <c r="J348" s="2060"/>
      <c r="K348" s="2060"/>
      <c r="L348" s="2060"/>
      <c r="M348" s="2060"/>
      <c r="N348" s="106"/>
      <c r="O348" s="2060"/>
      <c r="P348" s="2060"/>
      <c r="Q348" s="2060"/>
      <c r="R348" s="2060"/>
      <c r="S348" s="2060"/>
      <c r="T348" s="255"/>
      <c r="U348" s="255"/>
      <c r="V348" s="103"/>
    </row>
    <row r="349" spans="2:22">
      <c r="B349" s="2060"/>
      <c r="C349" s="2060"/>
      <c r="D349" s="2060"/>
      <c r="E349" s="255"/>
      <c r="H349" s="2060"/>
      <c r="I349" s="106"/>
      <c r="J349" s="2060"/>
      <c r="K349" s="2060"/>
      <c r="L349" s="2060"/>
      <c r="M349" s="2060"/>
      <c r="N349" s="106"/>
      <c r="O349" s="2060"/>
      <c r="P349" s="2060"/>
      <c r="Q349" s="2060"/>
      <c r="R349" s="2060"/>
      <c r="S349" s="2060"/>
      <c r="T349" s="255"/>
      <c r="U349" s="255"/>
      <c r="V349" s="103"/>
    </row>
    <row r="350" spans="2:22">
      <c r="B350" s="2060"/>
      <c r="C350" s="2060"/>
      <c r="D350" s="2060"/>
      <c r="E350" s="255"/>
      <c r="H350" s="2060"/>
      <c r="I350" s="106"/>
      <c r="J350" s="2060"/>
      <c r="K350" s="2060"/>
      <c r="L350" s="2060"/>
      <c r="M350" s="2060"/>
      <c r="N350" s="106"/>
      <c r="O350" s="2060"/>
      <c r="P350" s="2060"/>
      <c r="Q350" s="2060"/>
      <c r="R350" s="2060"/>
      <c r="S350" s="2060"/>
      <c r="T350" s="255"/>
      <c r="U350" s="255"/>
      <c r="V350" s="103"/>
    </row>
    <row r="351" spans="2:22">
      <c r="B351" s="2060"/>
      <c r="C351" s="2060"/>
      <c r="D351" s="2060"/>
      <c r="E351" s="255"/>
      <c r="H351" s="2060"/>
      <c r="I351" s="106"/>
      <c r="J351" s="2060"/>
      <c r="K351" s="2060"/>
      <c r="L351" s="2060"/>
      <c r="M351" s="2060"/>
      <c r="N351" s="106"/>
      <c r="O351" s="2060"/>
      <c r="P351" s="2060"/>
      <c r="Q351" s="2060"/>
      <c r="R351" s="2060"/>
      <c r="S351" s="2060"/>
      <c r="T351" s="255"/>
      <c r="U351" s="255"/>
      <c r="V351" s="103"/>
    </row>
    <row r="352" spans="2:22">
      <c r="B352" s="2060"/>
      <c r="C352" s="2060"/>
      <c r="D352" s="2060"/>
      <c r="E352" s="255"/>
      <c r="H352" s="2060"/>
      <c r="I352" s="106"/>
      <c r="J352" s="2060"/>
      <c r="K352" s="2060"/>
      <c r="L352" s="2060"/>
      <c r="M352" s="2060"/>
      <c r="N352" s="106"/>
      <c r="O352" s="2060"/>
      <c r="P352" s="2060"/>
      <c r="Q352" s="2060"/>
      <c r="R352" s="2060"/>
      <c r="S352" s="2060"/>
      <c r="T352" s="255"/>
      <c r="U352" s="255"/>
      <c r="V352" s="103"/>
    </row>
    <row r="353" spans="2:22">
      <c r="B353" s="2060"/>
      <c r="C353" s="2060"/>
      <c r="D353" s="2060"/>
      <c r="E353" s="255"/>
      <c r="H353" s="2060"/>
      <c r="I353" s="106"/>
      <c r="J353" s="2060"/>
      <c r="K353" s="2060"/>
      <c r="L353" s="2060"/>
      <c r="M353" s="2060"/>
      <c r="N353" s="106"/>
      <c r="O353" s="2060"/>
      <c r="P353" s="2060"/>
      <c r="Q353" s="2060"/>
      <c r="R353" s="2060"/>
      <c r="S353" s="2060"/>
      <c r="T353" s="255"/>
      <c r="U353" s="255"/>
      <c r="V353" s="103"/>
    </row>
    <row r="354" spans="2:22">
      <c r="B354" s="2060"/>
      <c r="C354" s="2060"/>
      <c r="D354" s="2060"/>
      <c r="E354" s="255"/>
      <c r="H354" s="2060"/>
      <c r="I354" s="106"/>
      <c r="J354" s="2060"/>
      <c r="K354" s="2060"/>
      <c r="L354" s="2060"/>
      <c r="M354" s="2060"/>
      <c r="N354" s="106"/>
      <c r="O354" s="2060"/>
      <c r="P354" s="2060"/>
      <c r="Q354" s="2060"/>
      <c r="R354" s="2060"/>
      <c r="S354" s="2060"/>
      <c r="T354" s="255"/>
      <c r="U354" s="255"/>
      <c r="V354" s="103"/>
    </row>
    <row r="355" spans="2:22">
      <c r="B355" s="2060"/>
      <c r="C355" s="2060"/>
      <c r="D355" s="2060"/>
      <c r="E355" s="255"/>
      <c r="H355" s="2060"/>
      <c r="I355" s="106"/>
      <c r="J355" s="2060"/>
      <c r="K355" s="2060"/>
      <c r="L355" s="2060"/>
      <c r="M355" s="2060"/>
      <c r="N355" s="106"/>
      <c r="O355" s="2060"/>
      <c r="P355" s="2060"/>
      <c r="Q355" s="2060"/>
      <c r="R355" s="2060"/>
      <c r="S355" s="2060"/>
      <c r="T355" s="255"/>
      <c r="U355" s="255"/>
      <c r="V355" s="103"/>
    </row>
    <row r="356" spans="2:22">
      <c r="B356" s="2060"/>
      <c r="C356" s="2060"/>
      <c r="D356" s="2060"/>
      <c r="E356" s="255"/>
      <c r="H356" s="2060"/>
      <c r="I356" s="106"/>
      <c r="J356" s="2060"/>
      <c r="K356" s="2060"/>
      <c r="L356" s="2060"/>
      <c r="M356" s="2060"/>
      <c r="N356" s="106"/>
      <c r="O356" s="2060"/>
      <c r="P356" s="2060"/>
      <c r="Q356" s="2060"/>
      <c r="R356" s="2060"/>
      <c r="S356" s="2060"/>
      <c r="T356" s="255"/>
      <c r="U356" s="255"/>
      <c r="V356" s="103"/>
    </row>
    <row r="357" spans="2:22">
      <c r="B357" s="2060"/>
      <c r="C357" s="2060"/>
      <c r="D357" s="2060"/>
      <c r="E357" s="255"/>
      <c r="H357" s="2060"/>
      <c r="I357" s="106"/>
      <c r="J357" s="2060"/>
      <c r="K357" s="2060"/>
      <c r="L357" s="2060"/>
      <c r="M357" s="2060"/>
      <c r="N357" s="106"/>
      <c r="O357" s="2060"/>
      <c r="P357" s="2060"/>
      <c r="Q357" s="2060"/>
      <c r="R357" s="2060"/>
      <c r="S357" s="2060"/>
      <c r="T357" s="255"/>
      <c r="U357" s="255"/>
      <c r="V357" s="103"/>
    </row>
    <row r="358" spans="2:22">
      <c r="B358" s="2060"/>
      <c r="C358" s="2060"/>
      <c r="D358" s="2060"/>
      <c r="E358" s="255"/>
      <c r="H358" s="2060"/>
      <c r="I358" s="106"/>
      <c r="J358" s="2060"/>
      <c r="K358" s="2060"/>
      <c r="L358" s="2060"/>
      <c r="M358" s="2060"/>
      <c r="N358" s="106"/>
      <c r="O358" s="2060"/>
      <c r="P358" s="2060"/>
      <c r="Q358" s="2060"/>
      <c r="R358" s="2060"/>
      <c r="S358" s="2060"/>
      <c r="T358" s="255"/>
      <c r="U358" s="255"/>
      <c r="V358" s="103"/>
    </row>
    <row r="359" spans="2:22">
      <c r="B359" s="2060"/>
      <c r="C359" s="2060"/>
      <c r="D359" s="2060"/>
      <c r="E359" s="255"/>
      <c r="H359" s="2060"/>
      <c r="I359" s="106"/>
      <c r="J359" s="2060"/>
      <c r="K359" s="2060"/>
      <c r="L359" s="2060"/>
      <c r="M359" s="2060"/>
      <c r="N359" s="106"/>
      <c r="O359" s="2060"/>
      <c r="P359" s="2060"/>
      <c r="Q359" s="2060"/>
      <c r="R359" s="2060"/>
      <c r="S359" s="2060"/>
      <c r="T359" s="255"/>
      <c r="U359" s="255"/>
      <c r="V359" s="103"/>
    </row>
    <row r="360" spans="2:22">
      <c r="B360" s="2060"/>
      <c r="C360" s="2060"/>
      <c r="D360" s="2060"/>
      <c r="E360" s="255"/>
      <c r="H360" s="2060"/>
      <c r="I360" s="106"/>
      <c r="J360" s="2060"/>
      <c r="K360" s="2060"/>
      <c r="L360" s="2060"/>
      <c r="M360" s="2060"/>
      <c r="N360" s="106"/>
      <c r="O360" s="2060"/>
      <c r="P360" s="2060"/>
      <c r="Q360" s="2060"/>
      <c r="R360" s="2060"/>
      <c r="S360" s="2060"/>
      <c r="T360" s="255"/>
      <c r="U360" s="255"/>
      <c r="V360" s="103"/>
    </row>
    <row r="361" spans="2:22">
      <c r="B361" s="2060"/>
      <c r="C361" s="2060"/>
      <c r="D361" s="2060"/>
      <c r="E361" s="255"/>
      <c r="H361" s="2060"/>
      <c r="I361" s="106"/>
      <c r="J361" s="2060"/>
      <c r="K361" s="2060"/>
      <c r="L361" s="2060"/>
      <c r="M361" s="2060"/>
      <c r="N361" s="106"/>
      <c r="O361" s="2060"/>
      <c r="P361" s="2060"/>
      <c r="Q361" s="2060"/>
      <c r="R361" s="2060"/>
      <c r="S361" s="2060"/>
      <c r="T361" s="255"/>
      <c r="U361" s="255"/>
      <c r="V361" s="103"/>
    </row>
    <row r="362" spans="2:22">
      <c r="B362" s="2060"/>
      <c r="C362" s="2060"/>
      <c r="D362" s="2060"/>
      <c r="E362" s="255"/>
      <c r="H362" s="2060"/>
      <c r="I362" s="106"/>
      <c r="J362" s="2060"/>
      <c r="K362" s="2060"/>
      <c r="L362" s="2060"/>
      <c r="M362" s="2060"/>
      <c r="N362" s="106"/>
      <c r="O362" s="2060"/>
      <c r="P362" s="2060"/>
      <c r="Q362" s="2060"/>
      <c r="R362" s="2060"/>
      <c r="S362" s="2060"/>
      <c r="T362" s="255"/>
      <c r="U362" s="255"/>
      <c r="V362" s="103"/>
    </row>
    <row r="363" spans="2:22">
      <c r="B363" s="2060"/>
      <c r="C363" s="2060"/>
      <c r="D363" s="2060"/>
      <c r="E363" s="255"/>
      <c r="H363" s="2060"/>
      <c r="I363" s="106"/>
      <c r="J363" s="2060"/>
      <c r="K363" s="2060"/>
      <c r="L363" s="2060"/>
      <c r="M363" s="2060"/>
      <c r="N363" s="106"/>
      <c r="O363" s="2060"/>
      <c r="P363" s="2060"/>
      <c r="Q363" s="2060"/>
      <c r="R363" s="2060"/>
      <c r="S363" s="2060"/>
      <c r="T363" s="255"/>
      <c r="U363" s="255"/>
      <c r="V363" s="103"/>
    </row>
    <row r="364" spans="2:22">
      <c r="B364" s="2060"/>
      <c r="C364" s="2060"/>
      <c r="D364" s="2060"/>
      <c r="E364" s="255"/>
      <c r="H364" s="2060"/>
      <c r="I364" s="106"/>
      <c r="J364" s="2060"/>
      <c r="K364" s="2060"/>
      <c r="L364" s="2060"/>
      <c r="M364" s="2060"/>
      <c r="N364" s="106"/>
      <c r="O364" s="2060"/>
      <c r="P364" s="2060"/>
      <c r="Q364" s="2060"/>
      <c r="R364" s="2060"/>
      <c r="S364" s="2060"/>
      <c r="T364" s="255"/>
      <c r="U364" s="255"/>
      <c r="V364" s="103"/>
    </row>
    <row r="365" spans="2:22">
      <c r="B365" s="2060"/>
      <c r="C365" s="2060"/>
      <c r="D365" s="2060"/>
      <c r="E365" s="255"/>
      <c r="H365" s="2060"/>
      <c r="I365" s="106"/>
      <c r="J365" s="2060"/>
      <c r="K365" s="2060"/>
      <c r="L365" s="2060"/>
      <c r="M365" s="2060"/>
      <c r="N365" s="106"/>
      <c r="O365" s="2060"/>
      <c r="P365" s="2060"/>
      <c r="Q365" s="2060"/>
      <c r="R365" s="2060"/>
      <c r="S365" s="2060"/>
      <c r="T365" s="255"/>
      <c r="U365" s="255"/>
      <c r="V365" s="103"/>
    </row>
    <row r="366" spans="2:22">
      <c r="B366" s="2060"/>
      <c r="C366" s="2060"/>
      <c r="D366" s="2060"/>
      <c r="E366" s="255"/>
      <c r="H366" s="2060"/>
      <c r="I366" s="106"/>
      <c r="J366" s="2060"/>
      <c r="K366" s="2060"/>
      <c r="L366" s="2060"/>
      <c r="M366" s="2060"/>
      <c r="N366" s="106"/>
      <c r="O366" s="2060"/>
      <c r="P366" s="2060"/>
      <c r="Q366" s="2060"/>
      <c r="R366" s="2060"/>
      <c r="S366" s="2060"/>
      <c r="T366" s="255"/>
      <c r="U366" s="255"/>
      <c r="V366" s="103"/>
    </row>
    <row r="367" spans="2:22">
      <c r="B367" s="2060"/>
      <c r="C367" s="2060"/>
      <c r="D367" s="2060"/>
      <c r="E367" s="255"/>
      <c r="H367" s="2060"/>
      <c r="I367" s="106"/>
      <c r="J367" s="2060"/>
      <c r="K367" s="2060"/>
      <c r="L367" s="2060"/>
      <c r="M367" s="2060"/>
      <c r="N367" s="106"/>
      <c r="O367" s="2060"/>
      <c r="P367" s="2060"/>
      <c r="Q367" s="2060"/>
      <c r="R367" s="2060"/>
      <c r="S367" s="2060"/>
      <c r="T367" s="255"/>
      <c r="U367" s="255"/>
      <c r="V367" s="103"/>
    </row>
    <row r="368" spans="2:22">
      <c r="B368" s="2060"/>
      <c r="C368" s="2060"/>
      <c r="D368" s="2060"/>
      <c r="E368" s="255"/>
      <c r="H368" s="2060"/>
      <c r="I368" s="106"/>
      <c r="J368" s="2060"/>
      <c r="K368" s="2060"/>
      <c r="L368" s="2060"/>
      <c r="M368" s="2060"/>
      <c r="N368" s="106"/>
      <c r="O368" s="2060"/>
      <c r="P368" s="2060"/>
      <c r="Q368" s="2060"/>
      <c r="R368" s="2060"/>
      <c r="S368" s="2060"/>
      <c r="T368" s="255"/>
      <c r="U368" s="255"/>
      <c r="V368" s="103"/>
    </row>
    <row r="369" spans="2:22">
      <c r="B369" s="2060"/>
      <c r="C369" s="2060"/>
      <c r="D369" s="2060"/>
      <c r="E369" s="255"/>
      <c r="H369" s="2060"/>
      <c r="I369" s="106"/>
      <c r="J369" s="2060"/>
      <c r="K369" s="2060"/>
      <c r="L369" s="2060"/>
      <c r="M369" s="2060"/>
      <c r="N369" s="106"/>
      <c r="O369" s="2060"/>
      <c r="P369" s="2060"/>
      <c r="Q369" s="2060"/>
      <c r="R369" s="2060"/>
      <c r="S369" s="2060"/>
      <c r="T369" s="255"/>
      <c r="U369" s="255"/>
      <c r="V369" s="103"/>
    </row>
    <row r="370" spans="2:22">
      <c r="B370" s="2060"/>
      <c r="C370" s="2060"/>
      <c r="D370" s="2060"/>
      <c r="E370" s="255"/>
      <c r="H370" s="2060"/>
      <c r="I370" s="106"/>
      <c r="J370" s="2060"/>
      <c r="K370" s="2060"/>
      <c r="L370" s="2060"/>
      <c r="M370" s="2060"/>
      <c r="N370" s="106"/>
      <c r="O370" s="2060"/>
      <c r="P370" s="2060"/>
      <c r="Q370" s="2060"/>
      <c r="R370" s="2060"/>
      <c r="S370" s="2060"/>
      <c r="T370" s="255"/>
      <c r="U370" s="255"/>
      <c r="V370" s="103"/>
    </row>
    <row r="371" spans="2:22">
      <c r="B371" s="2060"/>
      <c r="C371" s="2060"/>
      <c r="D371" s="2060"/>
      <c r="E371" s="255"/>
      <c r="H371" s="2060"/>
      <c r="I371" s="106"/>
      <c r="J371" s="2060"/>
      <c r="K371" s="2060"/>
      <c r="L371" s="2060"/>
      <c r="M371" s="2060"/>
      <c r="N371" s="106"/>
      <c r="O371" s="2060"/>
      <c r="P371" s="2060"/>
      <c r="Q371" s="2060"/>
      <c r="R371" s="2060"/>
      <c r="S371" s="2060"/>
      <c r="T371" s="255"/>
      <c r="U371" s="255"/>
      <c r="V371" s="103"/>
    </row>
    <row r="372" spans="2:22">
      <c r="B372" s="2060"/>
      <c r="C372" s="2060"/>
      <c r="D372" s="2060"/>
      <c r="E372" s="255"/>
      <c r="H372" s="2060"/>
      <c r="I372" s="106"/>
      <c r="J372" s="2060"/>
      <c r="K372" s="2060"/>
      <c r="L372" s="2060"/>
      <c r="M372" s="2060"/>
      <c r="N372" s="106"/>
      <c r="O372" s="2060"/>
      <c r="P372" s="2060"/>
      <c r="Q372" s="2060"/>
      <c r="R372" s="2060"/>
      <c r="S372" s="2060"/>
      <c r="T372" s="255"/>
      <c r="U372" s="255"/>
      <c r="V372" s="103"/>
    </row>
    <row r="373" spans="2:22">
      <c r="B373" s="2060"/>
      <c r="C373" s="2060"/>
      <c r="D373" s="2060"/>
      <c r="E373" s="255"/>
      <c r="H373" s="2060"/>
      <c r="I373" s="106"/>
      <c r="J373" s="2060"/>
      <c r="K373" s="2060"/>
      <c r="L373" s="2060"/>
      <c r="M373" s="2060"/>
      <c r="N373" s="106"/>
      <c r="O373" s="2060"/>
      <c r="P373" s="2060"/>
      <c r="Q373" s="2060"/>
      <c r="R373" s="2060"/>
      <c r="S373" s="2060"/>
      <c r="T373" s="255"/>
      <c r="U373" s="255"/>
      <c r="V373" s="103"/>
    </row>
    <row r="374" spans="2:22">
      <c r="B374" s="2060"/>
      <c r="C374" s="2060"/>
      <c r="D374" s="2060"/>
      <c r="E374" s="255"/>
      <c r="H374" s="2060"/>
      <c r="I374" s="106"/>
      <c r="J374" s="2060"/>
      <c r="K374" s="2060"/>
      <c r="L374" s="2060"/>
      <c r="M374" s="2060"/>
      <c r="N374" s="106"/>
      <c r="O374" s="2060"/>
      <c r="P374" s="2060"/>
      <c r="Q374" s="2060"/>
      <c r="R374" s="2060"/>
      <c r="S374" s="2060"/>
      <c r="T374" s="255"/>
      <c r="U374" s="255"/>
      <c r="V374" s="103"/>
    </row>
    <row r="375" spans="2:22">
      <c r="B375" s="2060"/>
      <c r="C375" s="2060"/>
      <c r="D375" s="2060"/>
      <c r="E375" s="255"/>
      <c r="H375" s="2060"/>
      <c r="I375" s="106"/>
      <c r="J375" s="2060"/>
      <c r="K375" s="2060"/>
      <c r="L375" s="2060"/>
      <c r="M375" s="2060"/>
      <c r="N375" s="106"/>
      <c r="O375" s="2060"/>
      <c r="P375" s="2060"/>
      <c r="Q375" s="2060"/>
      <c r="R375" s="2060"/>
      <c r="S375" s="2060"/>
      <c r="T375" s="255"/>
      <c r="U375" s="255"/>
      <c r="V375" s="103"/>
    </row>
    <row r="376" spans="2:22">
      <c r="B376" s="2060"/>
      <c r="C376" s="2060"/>
      <c r="D376" s="2060"/>
      <c r="E376" s="255"/>
      <c r="H376" s="2060"/>
      <c r="I376" s="106"/>
      <c r="J376" s="2060"/>
      <c r="K376" s="2060"/>
      <c r="L376" s="2060"/>
      <c r="M376" s="2060"/>
      <c r="N376" s="106"/>
      <c r="O376" s="2060"/>
      <c r="P376" s="2060"/>
      <c r="Q376" s="2060"/>
      <c r="R376" s="2060"/>
      <c r="S376" s="2060"/>
      <c r="T376" s="255"/>
      <c r="U376" s="255"/>
      <c r="V376" s="103"/>
    </row>
    <row r="377" spans="2:22">
      <c r="B377" s="2060"/>
      <c r="C377" s="2060"/>
      <c r="D377" s="2060"/>
      <c r="E377" s="255"/>
      <c r="H377" s="2060"/>
      <c r="I377" s="106"/>
      <c r="J377" s="2060"/>
      <c r="K377" s="2060"/>
      <c r="L377" s="2060"/>
      <c r="M377" s="2060"/>
      <c r="N377" s="106"/>
      <c r="O377" s="2060"/>
      <c r="P377" s="2060"/>
      <c r="Q377" s="2060"/>
      <c r="R377" s="2060"/>
      <c r="S377" s="2060"/>
      <c r="T377" s="255"/>
      <c r="U377" s="255"/>
      <c r="V377" s="103"/>
    </row>
    <row r="378" spans="2:22">
      <c r="B378" s="2060"/>
      <c r="C378" s="2060"/>
      <c r="D378" s="2060"/>
      <c r="E378" s="255"/>
      <c r="H378" s="2060"/>
      <c r="I378" s="106"/>
      <c r="J378" s="2060"/>
      <c r="K378" s="2060"/>
      <c r="L378" s="2060"/>
      <c r="M378" s="2060"/>
      <c r="N378" s="106"/>
      <c r="O378" s="2060"/>
      <c r="P378" s="2060"/>
      <c r="Q378" s="2060"/>
      <c r="R378" s="2060"/>
      <c r="S378" s="2060"/>
      <c r="T378" s="255"/>
      <c r="U378" s="255"/>
      <c r="V378" s="103"/>
    </row>
    <row r="379" spans="2:22">
      <c r="B379" s="2060"/>
      <c r="C379" s="2060"/>
      <c r="D379" s="2060"/>
      <c r="E379" s="255"/>
      <c r="H379" s="2060"/>
      <c r="I379" s="106"/>
      <c r="J379" s="2060"/>
      <c r="K379" s="2060"/>
      <c r="L379" s="2060"/>
      <c r="M379" s="2060"/>
      <c r="N379" s="106"/>
      <c r="O379" s="2060"/>
      <c r="P379" s="2060"/>
      <c r="Q379" s="2060"/>
      <c r="R379" s="2060"/>
      <c r="S379" s="2060"/>
      <c r="T379" s="255"/>
      <c r="U379" s="255"/>
      <c r="V379" s="103"/>
    </row>
    <row r="380" spans="2:22">
      <c r="B380" s="2060"/>
      <c r="C380" s="2060"/>
      <c r="D380" s="2060"/>
      <c r="E380" s="255"/>
      <c r="H380" s="2060"/>
      <c r="I380" s="106"/>
      <c r="J380" s="2060"/>
      <c r="K380" s="2060"/>
      <c r="L380" s="2060"/>
      <c r="M380" s="2060"/>
      <c r="N380" s="106"/>
      <c r="O380" s="2060"/>
      <c r="P380" s="2060"/>
      <c r="Q380" s="2060"/>
      <c r="R380" s="2060"/>
      <c r="S380" s="2060"/>
      <c r="T380" s="255"/>
      <c r="U380" s="255"/>
      <c r="V380" s="103"/>
    </row>
    <row r="381" spans="2:22">
      <c r="B381" s="2060"/>
      <c r="C381" s="2060"/>
      <c r="D381" s="2060"/>
      <c r="E381" s="255"/>
      <c r="H381" s="2060"/>
      <c r="I381" s="106"/>
      <c r="J381" s="2060"/>
      <c r="K381" s="2060"/>
      <c r="L381" s="2060"/>
      <c r="M381" s="2060"/>
      <c r="N381" s="106"/>
      <c r="O381" s="2060"/>
      <c r="P381" s="2060"/>
      <c r="Q381" s="2060"/>
      <c r="R381" s="2060"/>
      <c r="S381" s="2060"/>
      <c r="T381" s="255"/>
      <c r="U381" s="255"/>
      <c r="V381" s="103"/>
    </row>
    <row r="382" spans="2:22">
      <c r="B382" s="2060"/>
      <c r="C382" s="2060"/>
      <c r="D382" s="2060"/>
      <c r="E382" s="255"/>
      <c r="H382" s="2060"/>
      <c r="I382" s="106"/>
      <c r="J382" s="2060"/>
      <c r="K382" s="2060"/>
      <c r="L382" s="2060"/>
      <c r="M382" s="2060"/>
      <c r="N382" s="106"/>
      <c r="O382" s="2060"/>
      <c r="P382" s="2060"/>
      <c r="Q382" s="2060"/>
      <c r="R382" s="2060"/>
      <c r="S382" s="2060"/>
      <c r="T382" s="255"/>
      <c r="U382" s="255"/>
      <c r="V382" s="103"/>
    </row>
    <row r="383" spans="2:22">
      <c r="B383" s="2060"/>
      <c r="C383" s="2060"/>
      <c r="D383" s="2060"/>
      <c r="E383" s="255"/>
      <c r="H383" s="2060"/>
      <c r="I383" s="106"/>
      <c r="J383" s="2060"/>
      <c r="K383" s="2060"/>
      <c r="L383" s="2060"/>
      <c r="M383" s="2060"/>
      <c r="N383" s="106"/>
      <c r="O383" s="2060"/>
      <c r="P383" s="2060"/>
      <c r="Q383" s="2060"/>
      <c r="R383" s="2060"/>
      <c r="S383" s="2060"/>
      <c r="T383" s="255"/>
      <c r="U383" s="255"/>
      <c r="V383" s="103"/>
    </row>
    <row r="384" spans="2:22">
      <c r="B384" s="2060"/>
      <c r="C384" s="2060"/>
      <c r="D384" s="2060"/>
      <c r="E384" s="255"/>
      <c r="H384" s="2060"/>
      <c r="I384" s="106"/>
      <c r="J384" s="2060"/>
      <c r="K384" s="2060"/>
      <c r="L384" s="2060"/>
      <c r="M384" s="2060"/>
      <c r="N384" s="106"/>
      <c r="O384" s="2060"/>
      <c r="P384" s="2060"/>
      <c r="Q384" s="2060"/>
      <c r="R384" s="2060"/>
      <c r="S384" s="2060"/>
      <c r="T384" s="255"/>
      <c r="U384" s="255"/>
      <c r="V384" s="103"/>
    </row>
    <row r="385" spans="2:22">
      <c r="B385" s="2060"/>
      <c r="C385" s="2060"/>
      <c r="D385" s="2060"/>
      <c r="E385" s="255"/>
      <c r="H385" s="2060"/>
      <c r="I385" s="106"/>
      <c r="J385" s="2060"/>
      <c r="K385" s="2060"/>
      <c r="L385" s="2060"/>
      <c r="M385" s="2060"/>
      <c r="N385" s="106"/>
      <c r="O385" s="2060"/>
      <c r="P385" s="2060"/>
      <c r="Q385" s="2060"/>
      <c r="R385" s="2060"/>
      <c r="S385" s="2060"/>
      <c r="T385" s="255"/>
      <c r="U385" s="255"/>
      <c r="V385" s="103"/>
    </row>
    <row r="386" spans="2:22">
      <c r="B386" s="2060"/>
      <c r="C386" s="2060"/>
      <c r="D386" s="2060"/>
      <c r="E386" s="255"/>
      <c r="H386" s="2060"/>
      <c r="I386" s="106"/>
      <c r="J386" s="2060"/>
      <c r="K386" s="2060"/>
      <c r="L386" s="2060"/>
      <c r="M386" s="2060"/>
      <c r="N386" s="106"/>
      <c r="O386" s="2060"/>
      <c r="P386" s="2060"/>
      <c r="Q386" s="2060"/>
      <c r="R386" s="2060"/>
      <c r="S386" s="2060"/>
      <c r="T386" s="255"/>
      <c r="U386" s="255"/>
      <c r="V386" s="103"/>
    </row>
    <row r="387" spans="2:22">
      <c r="B387" s="2060"/>
      <c r="C387" s="2060"/>
      <c r="D387" s="2060"/>
      <c r="E387" s="255"/>
      <c r="H387" s="2060"/>
      <c r="I387" s="106"/>
      <c r="J387" s="2060"/>
      <c r="K387" s="2060"/>
      <c r="L387" s="2060"/>
      <c r="M387" s="2060"/>
      <c r="N387" s="106"/>
      <c r="O387" s="2060"/>
      <c r="P387" s="2060"/>
      <c r="Q387" s="2060"/>
      <c r="R387" s="2060"/>
      <c r="S387" s="2060"/>
      <c r="T387" s="255"/>
      <c r="U387" s="255"/>
      <c r="V387" s="103"/>
    </row>
    <row r="388" spans="2:22">
      <c r="B388" s="2060"/>
      <c r="C388" s="2060"/>
      <c r="D388" s="2060"/>
      <c r="E388" s="255"/>
      <c r="H388" s="2060"/>
      <c r="I388" s="106"/>
      <c r="J388" s="2060"/>
      <c r="K388" s="2060"/>
      <c r="L388" s="2060"/>
      <c r="M388" s="2060"/>
      <c r="N388" s="106"/>
      <c r="O388" s="2060"/>
      <c r="P388" s="2060"/>
      <c r="Q388" s="2060"/>
      <c r="R388" s="2060"/>
      <c r="S388" s="2060"/>
      <c r="T388" s="255"/>
      <c r="U388" s="255"/>
      <c r="V388" s="103"/>
    </row>
    <row r="389" spans="2:22">
      <c r="B389" s="2060"/>
      <c r="C389" s="2060"/>
      <c r="D389" s="2060"/>
      <c r="E389" s="255"/>
      <c r="H389" s="2060"/>
      <c r="I389" s="106"/>
      <c r="J389" s="2060"/>
      <c r="K389" s="2060"/>
      <c r="L389" s="2060"/>
      <c r="M389" s="2060"/>
      <c r="N389" s="106"/>
      <c r="O389" s="2060"/>
      <c r="P389" s="2060"/>
      <c r="Q389" s="2060"/>
      <c r="R389" s="2060"/>
      <c r="S389" s="2060"/>
      <c r="T389" s="255"/>
      <c r="U389" s="255"/>
      <c r="V389" s="103"/>
    </row>
    <row r="390" spans="2:22">
      <c r="B390" s="2060"/>
      <c r="C390" s="2060"/>
      <c r="D390" s="2060"/>
      <c r="E390" s="255"/>
      <c r="H390" s="2060"/>
      <c r="I390" s="106"/>
      <c r="J390" s="2060"/>
      <c r="K390" s="2060"/>
      <c r="L390" s="2060"/>
      <c r="M390" s="2060"/>
      <c r="N390" s="106"/>
      <c r="O390" s="2060"/>
      <c r="P390" s="2060"/>
      <c r="Q390" s="2060"/>
      <c r="R390" s="2060"/>
      <c r="S390" s="2060"/>
      <c r="T390" s="255"/>
      <c r="U390" s="255"/>
      <c r="V390" s="103"/>
    </row>
    <row r="391" spans="2:22">
      <c r="B391" s="2060"/>
      <c r="C391" s="2060"/>
      <c r="D391" s="2060"/>
      <c r="E391" s="255"/>
      <c r="H391" s="2060"/>
      <c r="I391" s="106"/>
      <c r="J391" s="2060"/>
      <c r="K391" s="2060"/>
      <c r="L391" s="2060"/>
      <c r="M391" s="2060"/>
      <c r="N391" s="106"/>
      <c r="O391" s="2060"/>
      <c r="P391" s="2060"/>
      <c r="Q391" s="2060"/>
      <c r="R391" s="2060"/>
      <c r="S391" s="2060"/>
      <c r="T391" s="255"/>
      <c r="U391" s="255"/>
      <c r="V391" s="103"/>
    </row>
    <row r="392" spans="2:22">
      <c r="B392" s="2060"/>
      <c r="C392" s="2060"/>
      <c r="D392" s="2060"/>
      <c r="E392" s="255"/>
      <c r="H392" s="2060"/>
      <c r="I392" s="106"/>
      <c r="J392" s="2060"/>
      <c r="K392" s="2060"/>
      <c r="L392" s="2060"/>
      <c r="M392" s="2060"/>
      <c r="N392" s="106"/>
      <c r="O392" s="2060"/>
      <c r="P392" s="2060"/>
      <c r="Q392" s="2060"/>
      <c r="R392" s="2060"/>
      <c r="S392" s="2060"/>
      <c r="T392" s="255"/>
      <c r="U392" s="255"/>
      <c r="V392" s="103"/>
    </row>
    <row r="393" spans="2:22">
      <c r="B393" s="2060"/>
      <c r="C393" s="2060"/>
      <c r="D393" s="2060"/>
      <c r="E393" s="255"/>
      <c r="H393" s="2060"/>
      <c r="I393" s="106"/>
      <c r="J393" s="2060"/>
      <c r="K393" s="2060"/>
      <c r="L393" s="2060"/>
      <c r="M393" s="2060"/>
      <c r="N393" s="106"/>
      <c r="O393" s="2060"/>
      <c r="P393" s="2060"/>
      <c r="Q393" s="2060"/>
      <c r="R393" s="2060"/>
      <c r="S393" s="2060"/>
      <c r="T393" s="255"/>
      <c r="U393" s="255"/>
      <c r="V393" s="103"/>
    </row>
    <row r="394" spans="2:22">
      <c r="B394" s="2060"/>
      <c r="C394" s="2060"/>
      <c r="D394" s="2060"/>
      <c r="E394" s="255"/>
      <c r="H394" s="2060"/>
      <c r="I394" s="106"/>
      <c r="J394" s="2060"/>
      <c r="K394" s="2060"/>
      <c r="L394" s="2060"/>
      <c r="M394" s="2060"/>
      <c r="N394" s="106"/>
      <c r="O394" s="2060"/>
      <c r="P394" s="2060"/>
      <c r="Q394" s="2060"/>
      <c r="R394" s="2060"/>
      <c r="S394" s="2060"/>
      <c r="T394" s="255"/>
      <c r="U394" s="255"/>
      <c r="V394" s="103"/>
    </row>
    <row r="395" spans="2:22">
      <c r="B395" s="2060"/>
      <c r="C395" s="2060"/>
      <c r="D395" s="2060"/>
      <c r="E395" s="255"/>
      <c r="H395" s="2060"/>
      <c r="I395" s="106"/>
      <c r="J395" s="2060"/>
      <c r="K395" s="2060"/>
      <c r="L395" s="2060"/>
      <c r="M395" s="2060"/>
      <c r="N395" s="106"/>
      <c r="O395" s="2060"/>
      <c r="P395" s="2060"/>
      <c r="Q395" s="2060"/>
      <c r="R395" s="2060"/>
      <c r="S395" s="2060"/>
      <c r="T395" s="255"/>
      <c r="U395" s="255"/>
      <c r="V395" s="103"/>
    </row>
    <row r="396" spans="2:22">
      <c r="B396" s="2060"/>
      <c r="C396" s="2060"/>
      <c r="D396" s="2060"/>
      <c r="E396" s="255"/>
      <c r="H396" s="2060"/>
      <c r="I396" s="106"/>
      <c r="J396" s="2060"/>
      <c r="K396" s="2060"/>
      <c r="L396" s="2060"/>
      <c r="M396" s="2060"/>
      <c r="N396" s="106"/>
      <c r="O396" s="2060"/>
      <c r="P396" s="2060"/>
      <c r="Q396" s="2060"/>
      <c r="R396" s="2060"/>
      <c r="S396" s="2060"/>
      <c r="T396" s="255"/>
      <c r="U396" s="255"/>
      <c r="V396" s="103"/>
    </row>
    <row r="397" spans="2:22">
      <c r="B397" s="2060"/>
      <c r="C397" s="2060"/>
      <c r="D397" s="2060"/>
      <c r="E397" s="255"/>
      <c r="H397" s="2060"/>
      <c r="I397" s="106"/>
      <c r="J397" s="2060"/>
      <c r="K397" s="2060"/>
      <c r="L397" s="2060"/>
      <c r="M397" s="2060"/>
      <c r="N397" s="106"/>
      <c r="O397" s="2060"/>
      <c r="P397" s="2060"/>
      <c r="Q397" s="2060"/>
      <c r="R397" s="2060"/>
      <c r="S397" s="2060"/>
      <c r="T397" s="255"/>
      <c r="U397" s="255"/>
      <c r="V397" s="103"/>
    </row>
    <row r="398" spans="2:22">
      <c r="B398" s="2060"/>
      <c r="C398" s="2060"/>
      <c r="D398" s="2060"/>
      <c r="E398" s="255"/>
      <c r="H398" s="2060"/>
      <c r="I398" s="106"/>
      <c r="J398" s="2060"/>
      <c r="K398" s="2060"/>
      <c r="L398" s="2060"/>
      <c r="M398" s="2060"/>
      <c r="N398" s="106"/>
      <c r="O398" s="2060"/>
      <c r="P398" s="2060"/>
      <c r="Q398" s="2060"/>
      <c r="R398" s="2060"/>
      <c r="S398" s="2060"/>
      <c r="T398" s="255"/>
      <c r="U398" s="255"/>
      <c r="V398" s="103"/>
    </row>
    <row r="399" spans="2:22">
      <c r="B399" s="2060"/>
      <c r="C399" s="2060"/>
      <c r="D399" s="2060"/>
      <c r="E399" s="255"/>
      <c r="H399" s="2060"/>
      <c r="I399" s="106"/>
      <c r="J399" s="2060"/>
      <c r="K399" s="2060"/>
      <c r="L399" s="2060"/>
      <c r="M399" s="2060"/>
      <c r="N399" s="106"/>
      <c r="O399" s="2060"/>
      <c r="P399" s="2060"/>
      <c r="Q399" s="2060"/>
      <c r="R399" s="2060"/>
      <c r="S399" s="2060"/>
      <c r="T399" s="255"/>
      <c r="U399" s="255"/>
      <c r="V399" s="103"/>
    </row>
    <row r="400" spans="2:22">
      <c r="B400" s="2060"/>
      <c r="C400" s="2060"/>
      <c r="D400" s="2060"/>
      <c r="E400" s="255"/>
      <c r="H400" s="2060"/>
      <c r="I400" s="106"/>
      <c r="J400" s="2060"/>
      <c r="K400" s="2060"/>
      <c r="L400" s="2060"/>
      <c r="M400" s="2060"/>
      <c r="N400" s="106"/>
      <c r="O400" s="2060"/>
      <c r="P400" s="2060"/>
      <c r="Q400" s="2060"/>
      <c r="R400" s="2060"/>
      <c r="S400" s="2060"/>
      <c r="T400" s="255"/>
      <c r="U400" s="255"/>
      <c r="V400" s="103"/>
    </row>
    <row r="401" spans="2:22">
      <c r="B401" s="2060"/>
      <c r="C401" s="2060"/>
      <c r="D401" s="2060"/>
      <c r="E401" s="255"/>
      <c r="H401" s="2060"/>
      <c r="I401" s="106"/>
      <c r="J401" s="2060"/>
      <c r="K401" s="2060"/>
      <c r="L401" s="2060"/>
      <c r="M401" s="2060"/>
      <c r="N401" s="106"/>
      <c r="O401" s="2060"/>
      <c r="P401" s="2060"/>
      <c r="Q401" s="2060"/>
      <c r="R401" s="2060"/>
      <c r="S401" s="2060"/>
      <c r="T401" s="255"/>
      <c r="U401" s="255"/>
      <c r="V401" s="103"/>
    </row>
    <row r="402" spans="2:22">
      <c r="B402" s="2060"/>
      <c r="C402" s="2060"/>
      <c r="D402" s="2060"/>
      <c r="E402" s="255"/>
      <c r="H402" s="2060"/>
      <c r="I402" s="106"/>
      <c r="J402" s="2060"/>
      <c r="K402" s="2060"/>
      <c r="L402" s="2060"/>
      <c r="M402" s="2060"/>
      <c r="N402" s="106"/>
      <c r="O402" s="2060"/>
      <c r="P402" s="2060"/>
      <c r="Q402" s="2060"/>
      <c r="R402" s="2060"/>
      <c r="S402" s="2060"/>
      <c r="T402" s="255"/>
      <c r="U402" s="255"/>
      <c r="V402" s="103"/>
    </row>
    <row r="403" spans="2:22">
      <c r="B403" s="2060"/>
      <c r="C403" s="2060"/>
      <c r="D403" s="2060"/>
      <c r="E403" s="255"/>
      <c r="H403" s="2060"/>
      <c r="I403" s="106"/>
      <c r="J403" s="2060"/>
      <c r="K403" s="2060"/>
      <c r="L403" s="2060"/>
      <c r="M403" s="2060"/>
      <c r="N403" s="106"/>
      <c r="O403" s="2060"/>
      <c r="P403" s="2060"/>
      <c r="Q403" s="2060"/>
      <c r="R403" s="2060"/>
      <c r="S403" s="2060"/>
      <c r="T403" s="255"/>
      <c r="U403" s="255"/>
      <c r="V403" s="103"/>
    </row>
    <row r="404" spans="2:22">
      <c r="B404" s="2060"/>
      <c r="C404" s="2060"/>
      <c r="D404" s="2060"/>
      <c r="E404" s="255"/>
      <c r="H404" s="2060"/>
      <c r="I404" s="106"/>
      <c r="J404" s="2060"/>
      <c r="K404" s="2060"/>
      <c r="L404" s="2060"/>
      <c r="M404" s="2060"/>
      <c r="N404" s="106"/>
      <c r="O404" s="2060"/>
      <c r="P404" s="2060"/>
      <c r="Q404" s="2060"/>
      <c r="R404" s="2060"/>
      <c r="S404" s="2060"/>
      <c r="T404" s="255"/>
      <c r="U404" s="255"/>
      <c r="V404" s="103"/>
    </row>
    <row r="405" spans="2:22">
      <c r="B405" s="2060"/>
      <c r="C405" s="2060"/>
      <c r="D405" s="2060"/>
      <c r="E405" s="255"/>
      <c r="H405" s="2060"/>
      <c r="I405" s="106"/>
      <c r="J405" s="2060"/>
      <c r="K405" s="2060"/>
      <c r="L405" s="2060"/>
      <c r="M405" s="2060"/>
      <c r="N405" s="106"/>
      <c r="O405" s="2060"/>
      <c r="P405" s="2060"/>
      <c r="Q405" s="2060"/>
      <c r="R405" s="2060"/>
      <c r="S405" s="2060"/>
      <c r="T405" s="255"/>
      <c r="U405" s="255"/>
      <c r="V405" s="103"/>
    </row>
    <row r="406" spans="2:22">
      <c r="B406" s="2060"/>
      <c r="C406" s="2060"/>
      <c r="D406" s="2060"/>
      <c r="E406" s="255"/>
      <c r="H406" s="2060"/>
      <c r="I406" s="106"/>
      <c r="J406" s="2060"/>
      <c r="K406" s="2060"/>
      <c r="L406" s="2060"/>
      <c r="M406" s="2060"/>
      <c r="N406" s="106"/>
      <c r="O406" s="2060"/>
      <c r="P406" s="2060"/>
      <c r="Q406" s="2060"/>
      <c r="R406" s="2060"/>
      <c r="S406" s="2060"/>
      <c r="T406" s="255"/>
      <c r="U406" s="255"/>
      <c r="V406" s="103"/>
    </row>
    <row r="407" spans="2:22">
      <c r="B407" s="2060"/>
      <c r="C407" s="2060"/>
      <c r="D407" s="2060"/>
      <c r="E407" s="255"/>
      <c r="H407" s="2060"/>
      <c r="I407" s="106"/>
      <c r="J407" s="2060"/>
      <c r="K407" s="2060"/>
      <c r="L407" s="2060"/>
      <c r="M407" s="2060"/>
      <c r="N407" s="106"/>
      <c r="O407" s="2060"/>
      <c r="P407" s="2060"/>
      <c r="Q407" s="2060"/>
      <c r="R407" s="2060"/>
      <c r="S407" s="2060"/>
      <c r="T407" s="255"/>
      <c r="U407" s="255"/>
      <c r="V407" s="103"/>
    </row>
    <row r="408" spans="2:22">
      <c r="B408" s="2060"/>
      <c r="C408" s="2060"/>
      <c r="D408" s="2060"/>
      <c r="E408" s="255"/>
      <c r="H408" s="2060"/>
      <c r="I408" s="106"/>
      <c r="J408" s="2060"/>
      <c r="K408" s="2060"/>
      <c r="L408" s="2060"/>
      <c r="M408" s="2060"/>
      <c r="N408" s="106"/>
      <c r="O408" s="2060"/>
      <c r="P408" s="2060"/>
      <c r="Q408" s="2060"/>
      <c r="R408" s="2060"/>
      <c r="S408" s="2060"/>
      <c r="T408" s="255"/>
      <c r="U408" s="255"/>
      <c r="V408" s="103"/>
    </row>
    <row r="409" spans="2:22">
      <c r="B409" s="2060"/>
      <c r="C409" s="2060"/>
      <c r="D409" s="2060"/>
      <c r="E409" s="255"/>
      <c r="H409" s="2060"/>
      <c r="I409" s="106"/>
      <c r="J409" s="2060"/>
      <c r="K409" s="2060"/>
      <c r="L409" s="2060"/>
      <c r="M409" s="2060"/>
      <c r="N409" s="106"/>
      <c r="O409" s="2060"/>
      <c r="P409" s="2060"/>
      <c r="Q409" s="2060"/>
      <c r="R409" s="2060"/>
      <c r="S409" s="2060"/>
      <c r="T409" s="255"/>
      <c r="U409" s="255"/>
      <c r="V409" s="103"/>
    </row>
    <row r="410" spans="2:22">
      <c r="B410" s="2060"/>
      <c r="C410" s="2060"/>
      <c r="D410" s="2060"/>
      <c r="E410" s="255"/>
      <c r="H410" s="2060"/>
      <c r="I410" s="106"/>
      <c r="J410" s="2060"/>
      <c r="K410" s="2060"/>
      <c r="L410" s="2060"/>
      <c r="M410" s="2060"/>
      <c r="N410" s="106"/>
      <c r="O410" s="2060"/>
      <c r="P410" s="2060"/>
      <c r="Q410" s="2060"/>
      <c r="R410" s="2060"/>
      <c r="S410" s="2060"/>
      <c r="T410" s="255"/>
      <c r="U410" s="255"/>
      <c r="V410" s="103"/>
    </row>
    <row r="411" spans="2:22">
      <c r="B411" s="2060"/>
      <c r="C411" s="2060"/>
      <c r="D411" s="2060"/>
      <c r="E411" s="255"/>
      <c r="H411" s="2060"/>
      <c r="I411" s="106"/>
      <c r="J411" s="2060"/>
      <c r="K411" s="2060"/>
      <c r="L411" s="2060"/>
      <c r="M411" s="2060"/>
      <c r="N411" s="106"/>
      <c r="O411" s="2060"/>
      <c r="P411" s="2060"/>
      <c r="Q411" s="2060"/>
      <c r="R411" s="2060"/>
      <c r="S411" s="2060"/>
      <c r="T411" s="255"/>
      <c r="U411" s="255"/>
      <c r="V411" s="103"/>
    </row>
    <row r="412" spans="2:22">
      <c r="B412" s="2060"/>
      <c r="C412" s="2060"/>
      <c r="D412" s="2060"/>
      <c r="E412" s="255"/>
      <c r="H412" s="2060"/>
      <c r="I412" s="106"/>
      <c r="J412" s="2060"/>
      <c r="K412" s="2060"/>
      <c r="L412" s="2060"/>
      <c r="M412" s="2060"/>
      <c r="N412" s="106"/>
      <c r="O412" s="2060"/>
      <c r="P412" s="2060"/>
      <c r="Q412" s="2060"/>
      <c r="R412" s="2060"/>
      <c r="S412" s="2060"/>
      <c r="T412" s="255"/>
      <c r="U412" s="255"/>
      <c r="V412" s="103"/>
    </row>
    <row r="413" spans="2:22">
      <c r="B413" s="2060"/>
      <c r="C413" s="2060"/>
      <c r="D413" s="2060"/>
      <c r="E413" s="255"/>
      <c r="H413" s="2060"/>
      <c r="I413" s="106"/>
      <c r="J413" s="2060"/>
      <c r="K413" s="2060"/>
      <c r="L413" s="2060"/>
      <c r="M413" s="2060"/>
      <c r="N413" s="106"/>
      <c r="O413" s="2060"/>
      <c r="P413" s="2060"/>
      <c r="Q413" s="2060"/>
      <c r="R413" s="2060"/>
      <c r="S413" s="2060"/>
      <c r="T413" s="255"/>
      <c r="U413" s="255"/>
      <c r="V413" s="103"/>
    </row>
    <row r="414" spans="2:22">
      <c r="B414" s="2060"/>
      <c r="C414" s="2060"/>
      <c r="D414" s="2060"/>
      <c r="E414" s="255"/>
      <c r="H414" s="2060"/>
      <c r="I414" s="106"/>
      <c r="J414" s="2060"/>
      <c r="K414" s="2060"/>
      <c r="L414" s="2060"/>
      <c r="M414" s="2060"/>
      <c r="N414" s="106"/>
      <c r="O414" s="2060"/>
      <c r="P414" s="2060"/>
      <c r="Q414" s="2060"/>
      <c r="R414" s="2060"/>
      <c r="S414" s="2060"/>
      <c r="T414" s="255"/>
      <c r="U414" s="255"/>
      <c r="V414" s="103"/>
    </row>
    <row r="415" spans="2:22">
      <c r="B415" s="2060"/>
      <c r="C415" s="2060"/>
      <c r="D415" s="2060"/>
      <c r="E415" s="255"/>
      <c r="H415" s="2060"/>
      <c r="I415" s="106"/>
      <c r="J415" s="2060"/>
      <c r="K415" s="2060"/>
      <c r="L415" s="2060"/>
      <c r="M415" s="2060"/>
      <c r="N415" s="106"/>
      <c r="O415" s="2060"/>
      <c r="P415" s="2060"/>
      <c r="Q415" s="2060"/>
      <c r="R415" s="2060"/>
      <c r="S415" s="2060"/>
      <c r="T415" s="255"/>
      <c r="U415" s="255"/>
      <c r="V415" s="103"/>
    </row>
    <row r="416" spans="2:22">
      <c r="B416" s="2060"/>
      <c r="C416" s="2060"/>
      <c r="D416" s="2060"/>
      <c r="E416" s="255"/>
      <c r="H416" s="2060"/>
      <c r="I416" s="106"/>
      <c r="J416" s="2060"/>
      <c r="K416" s="2060"/>
      <c r="L416" s="2060"/>
      <c r="M416" s="2060"/>
      <c r="N416" s="106"/>
      <c r="O416" s="2060"/>
      <c r="P416" s="2060"/>
      <c r="Q416" s="2060"/>
      <c r="R416" s="2060"/>
      <c r="S416" s="2060"/>
      <c r="T416" s="255"/>
      <c r="U416" s="255"/>
      <c r="V416" s="103"/>
    </row>
    <row r="417" spans="2:22">
      <c r="B417" s="2060"/>
      <c r="C417" s="2060"/>
      <c r="D417" s="2060"/>
      <c r="E417" s="255"/>
      <c r="H417" s="2060"/>
      <c r="I417" s="106"/>
      <c r="J417" s="2060"/>
      <c r="K417" s="2060"/>
      <c r="L417" s="2060"/>
      <c r="M417" s="2060"/>
      <c r="N417" s="106"/>
      <c r="O417" s="2060"/>
      <c r="P417" s="2060"/>
      <c r="Q417" s="2060"/>
      <c r="R417" s="2060"/>
      <c r="S417" s="2060"/>
      <c r="T417" s="255"/>
      <c r="U417" s="255"/>
      <c r="V417" s="103"/>
    </row>
    <row r="418" spans="2:22">
      <c r="B418" s="2060"/>
      <c r="C418" s="2060"/>
      <c r="D418" s="2060"/>
      <c r="E418" s="255"/>
      <c r="H418" s="2060"/>
      <c r="I418" s="106"/>
      <c r="J418" s="2060"/>
      <c r="K418" s="2060"/>
      <c r="L418" s="2060"/>
      <c r="M418" s="2060"/>
      <c r="N418" s="106"/>
      <c r="O418" s="2060"/>
      <c r="P418" s="2060"/>
      <c r="Q418" s="2060"/>
      <c r="R418" s="2060"/>
      <c r="S418" s="2060"/>
      <c r="T418" s="255"/>
      <c r="U418" s="255"/>
      <c r="V418" s="103"/>
    </row>
    <row r="419" spans="2:22">
      <c r="B419" s="2060"/>
      <c r="C419" s="2060"/>
      <c r="D419" s="2060"/>
      <c r="E419" s="255"/>
      <c r="H419" s="2060"/>
      <c r="I419" s="106"/>
      <c r="J419" s="2060"/>
      <c r="K419" s="2060"/>
      <c r="L419" s="2060"/>
      <c r="M419" s="2060"/>
      <c r="N419" s="106"/>
      <c r="O419" s="2060"/>
      <c r="P419" s="2060"/>
      <c r="Q419" s="2060"/>
      <c r="R419" s="2060"/>
      <c r="S419" s="2060"/>
      <c r="T419" s="255"/>
      <c r="U419" s="255"/>
      <c r="V419" s="103"/>
    </row>
    <row r="420" spans="2:22">
      <c r="B420" s="2060"/>
      <c r="C420" s="2060"/>
      <c r="D420" s="2060"/>
      <c r="E420" s="255"/>
      <c r="H420" s="2060"/>
      <c r="I420" s="106"/>
      <c r="J420" s="2060"/>
      <c r="K420" s="2060"/>
      <c r="L420" s="2060"/>
      <c r="M420" s="2060"/>
      <c r="N420" s="106"/>
      <c r="O420" s="2060"/>
      <c r="P420" s="2060"/>
      <c r="Q420" s="2060"/>
      <c r="R420" s="2060"/>
      <c r="S420" s="2060"/>
      <c r="T420" s="255"/>
      <c r="U420" s="255"/>
      <c r="V420" s="103"/>
    </row>
    <row r="421" spans="2:22">
      <c r="B421" s="2060"/>
      <c r="C421" s="2060"/>
      <c r="D421" s="2060"/>
      <c r="E421" s="255"/>
      <c r="H421" s="2060"/>
      <c r="I421" s="106"/>
      <c r="J421" s="2060"/>
      <c r="K421" s="2060"/>
      <c r="L421" s="2060"/>
      <c r="M421" s="2060"/>
      <c r="N421" s="106"/>
      <c r="O421" s="2060"/>
      <c r="P421" s="2060"/>
      <c r="Q421" s="2060"/>
      <c r="R421" s="2060"/>
      <c r="S421" s="2060"/>
      <c r="T421" s="255"/>
      <c r="U421" s="255"/>
      <c r="V421" s="103"/>
    </row>
    <row r="422" spans="2:22">
      <c r="B422" s="2060"/>
      <c r="C422" s="2060"/>
      <c r="D422" s="2060"/>
      <c r="E422" s="255"/>
      <c r="H422" s="2060"/>
      <c r="I422" s="106"/>
      <c r="J422" s="2060"/>
      <c r="K422" s="2060"/>
      <c r="L422" s="2060"/>
      <c r="M422" s="2060"/>
      <c r="N422" s="106"/>
      <c r="O422" s="2060"/>
      <c r="P422" s="2060"/>
      <c r="Q422" s="2060"/>
      <c r="R422" s="2060"/>
      <c r="S422" s="2060"/>
      <c r="T422" s="255"/>
      <c r="U422" s="255"/>
      <c r="V422" s="103"/>
    </row>
    <row r="423" spans="2:22">
      <c r="B423" s="2060"/>
      <c r="C423" s="2060"/>
      <c r="D423" s="2060"/>
      <c r="E423" s="255"/>
      <c r="H423" s="2060"/>
      <c r="I423" s="106"/>
      <c r="J423" s="2060"/>
      <c r="K423" s="2060"/>
      <c r="L423" s="2060"/>
      <c r="M423" s="2060"/>
      <c r="N423" s="106"/>
      <c r="O423" s="2060"/>
      <c r="P423" s="2060"/>
      <c r="Q423" s="2060"/>
      <c r="R423" s="2060"/>
      <c r="S423" s="2060"/>
      <c r="T423" s="255"/>
      <c r="U423" s="255"/>
      <c r="V423" s="103"/>
    </row>
    <row r="424" spans="2:22">
      <c r="B424" s="2060"/>
      <c r="C424" s="2060"/>
      <c r="D424" s="2060"/>
      <c r="E424" s="255"/>
      <c r="H424" s="2060"/>
      <c r="I424" s="106"/>
      <c r="J424" s="2060"/>
      <c r="K424" s="2060"/>
      <c r="L424" s="2060"/>
      <c r="M424" s="2060"/>
      <c r="N424" s="106"/>
      <c r="O424" s="2060"/>
      <c r="P424" s="2060"/>
      <c r="Q424" s="2060"/>
      <c r="R424" s="2060"/>
      <c r="S424" s="2060"/>
      <c r="T424" s="255"/>
      <c r="U424" s="255"/>
      <c r="V424" s="103"/>
    </row>
    <row r="425" spans="2:22">
      <c r="B425" s="2060"/>
      <c r="C425" s="2060"/>
      <c r="D425" s="2060"/>
      <c r="E425" s="255"/>
      <c r="H425" s="2060"/>
      <c r="I425" s="106"/>
      <c r="J425" s="2060"/>
      <c r="K425" s="2060"/>
      <c r="L425" s="2060"/>
      <c r="M425" s="2060"/>
      <c r="N425" s="106"/>
      <c r="O425" s="2060"/>
      <c r="P425" s="2060"/>
      <c r="Q425" s="2060"/>
      <c r="R425" s="2060"/>
      <c r="S425" s="2060"/>
      <c r="T425" s="255"/>
      <c r="U425" s="255"/>
      <c r="V425" s="103"/>
    </row>
    <row r="426" spans="2:22">
      <c r="B426" s="2060"/>
      <c r="C426" s="2060"/>
      <c r="D426" s="2060"/>
      <c r="E426" s="255"/>
      <c r="H426" s="2060"/>
      <c r="I426" s="106"/>
      <c r="J426" s="2060"/>
      <c r="K426" s="2060"/>
      <c r="L426" s="2060"/>
      <c r="M426" s="2060"/>
      <c r="N426" s="106"/>
      <c r="O426" s="2060"/>
      <c r="P426" s="2060"/>
      <c r="Q426" s="2060"/>
      <c r="R426" s="2060"/>
      <c r="S426" s="2060"/>
      <c r="T426" s="255"/>
      <c r="U426" s="255"/>
      <c r="V426" s="103"/>
    </row>
    <row r="427" spans="2:22">
      <c r="B427" s="2060"/>
      <c r="C427" s="2060"/>
      <c r="D427" s="2060"/>
      <c r="E427" s="255"/>
      <c r="H427" s="2060"/>
      <c r="I427" s="106"/>
      <c r="J427" s="2060"/>
      <c r="K427" s="2060"/>
      <c r="L427" s="2060"/>
      <c r="M427" s="2060"/>
      <c r="N427" s="106"/>
      <c r="O427" s="2060"/>
      <c r="P427" s="2060"/>
      <c r="Q427" s="2060"/>
      <c r="R427" s="2060"/>
      <c r="S427" s="2060"/>
      <c r="T427" s="255"/>
      <c r="U427" s="255"/>
      <c r="V427" s="103"/>
    </row>
    <row r="428" spans="2:22">
      <c r="B428" s="2060"/>
      <c r="C428" s="2060"/>
      <c r="D428" s="2060"/>
      <c r="E428" s="255"/>
      <c r="H428" s="2060"/>
      <c r="I428" s="106"/>
      <c r="J428" s="2060"/>
      <c r="K428" s="2060"/>
      <c r="L428" s="2060"/>
      <c r="M428" s="2060"/>
      <c r="N428" s="106"/>
      <c r="O428" s="2060"/>
      <c r="P428" s="2060"/>
      <c r="Q428" s="2060"/>
      <c r="R428" s="2060"/>
      <c r="S428" s="2060"/>
      <c r="T428" s="255"/>
      <c r="U428" s="255"/>
      <c r="V428" s="103"/>
    </row>
    <row r="429" spans="2:22">
      <c r="B429" s="2060"/>
      <c r="C429" s="2060"/>
      <c r="D429" s="2060"/>
      <c r="E429" s="255"/>
      <c r="H429" s="2060"/>
      <c r="I429" s="106"/>
      <c r="J429" s="2060"/>
      <c r="K429" s="2060"/>
      <c r="L429" s="2060"/>
      <c r="M429" s="2060"/>
      <c r="N429" s="106"/>
      <c r="O429" s="2060"/>
      <c r="P429" s="2060"/>
      <c r="Q429" s="2060"/>
      <c r="R429" s="2060"/>
      <c r="S429" s="2060"/>
      <c r="T429" s="255"/>
      <c r="U429" s="255"/>
      <c r="V429" s="103"/>
    </row>
    <row r="430" spans="2:22">
      <c r="B430" s="2060"/>
      <c r="C430" s="2060"/>
      <c r="D430" s="2060"/>
      <c r="E430" s="255"/>
      <c r="H430" s="2060"/>
      <c r="I430" s="106"/>
      <c r="J430" s="2060"/>
      <c r="K430" s="2060"/>
      <c r="L430" s="2060"/>
      <c r="M430" s="2060"/>
      <c r="N430" s="106"/>
      <c r="O430" s="2060"/>
      <c r="P430" s="2060"/>
      <c r="Q430" s="2060"/>
      <c r="R430" s="2060"/>
      <c r="S430" s="2060"/>
      <c r="T430" s="255"/>
      <c r="U430" s="255"/>
      <c r="V430" s="103"/>
    </row>
    <row r="431" spans="2:22">
      <c r="B431" s="2060"/>
      <c r="C431" s="2060"/>
      <c r="D431" s="2060"/>
      <c r="E431" s="255"/>
      <c r="H431" s="2060"/>
      <c r="I431" s="106"/>
      <c r="J431" s="2060"/>
      <c r="K431" s="2060"/>
      <c r="L431" s="2060"/>
      <c r="M431" s="2060"/>
      <c r="N431" s="106"/>
      <c r="O431" s="2060"/>
      <c r="P431" s="2060"/>
      <c r="Q431" s="2060"/>
      <c r="R431" s="2060"/>
      <c r="S431" s="2060"/>
      <c r="T431" s="255"/>
      <c r="U431" s="255"/>
      <c r="V431" s="103"/>
    </row>
    <row r="432" spans="2:22">
      <c r="B432" s="2060"/>
      <c r="C432" s="2060"/>
      <c r="D432" s="2060"/>
      <c r="E432" s="255"/>
      <c r="H432" s="2060"/>
      <c r="I432" s="106"/>
      <c r="J432" s="2060"/>
      <c r="K432" s="2060"/>
      <c r="L432" s="2060"/>
      <c r="M432" s="2060"/>
      <c r="N432" s="106"/>
      <c r="O432" s="2060"/>
      <c r="P432" s="2060"/>
      <c r="Q432" s="2060"/>
      <c r="R432" s="2060"/>
      <c r="S432" s="2060"/>
      <c r="T432" s="255"/>
      <c r="U432" s="255"/>
      <c r="V432" s="103"/>
    </row>
    <row r="433" spans="2:22">
      <c r="B433" s="2060"/>
      <c r="C433" s="2060"/>
      <c r="D433" s="2060"/>
      <c r="E433" s="255"/>
      <c r="H433" s="2060"/>
      <c r="I433" s="106"/>
      <c r="J433" s="2060"/>
      <c r="K433" s="2060"/>
      <c r="L433" s="2060"/>
      <c r="M433" s="2060"/>
      <c r="N433" s="106"/>
      <c r="O433" s="2060"/>
      <c r="P433" s="2060"/>
      <c r="Q433" s="2060"/>
      <c r="R433" s="2060"/>
      <c r="S433" s="2060"/>
      <c r="T433" s="255"/>
      <c r="U433" s="255"/>
      <c r="V433" s="103"/>
    </row>
    <row r="434" spans="2:22">
      <c r="B434" s="2060"/>
      <c r="C434" s="2060"/>
      <c r="D434" s="2060"/>
      <c r="E434" s="255"/>
      <c r="H434" s="2060"/>
      <c r="I434" s="106"/>
      <c r="J434" s="2060"/>
      <c r="K434" s="2060"/>
      <c r="L434" s="2060"/>
      <c r="M434" s="2060"/>
      <c r="N434" s="106"/>
      <c r="O434" s="2060"/>
      <c r="P434" s="2060"/>
      <c r="Q434" s="2060"/>
      <c r="R434" s="2060"/>
      <c r="S434" s="2060"/>
      <c r="T434" s="255"/>
      <c r="U434" s="255"/>
      <c r="V434" s="103"/>
    </row>
    <row r="435" spans="2:22">
      <c r="B435" s="2060"/>
      <c r="C435" s="2060"/>
      <c r="D435" s="2060"/>
      <c r="E435" s="255"/>
      <c r="H435" s="2060"/>
      <c r="I435" s="106"/>
      <c r="J435" s="2060"/>
      <c r="K435" s="2060"/>
      <c r="L435" s="2060"/>
      <c r="M435" s="2060"/>
      <c r="N435" s="106"/>
      <c r="O435" s="2060"/>
      <c r="P435" s="2060"/>
      <c r="Q435" s="2060"/>
      <c r="R435" s="2060"/>
      <c r="S435" s="2060"/>
      <c r="T435" s="255"/>
      <c r="U435" s="255"/>
      <c r="V435" s="103"/>
    </row>
    <row r="436" spans="2:22">
      <c r="B436" s="2060"/>
      <c r="C436" s="2060"/>
      <c r="D436" s="2060"/>
      <c r="E436" s="255"/>
      <c r="H436" s="2060"/>
      <c r="I436" s="106"/>
      <c r="J436" s="2060"/>
      <c r="K436" s="2060"/>
      <c r="L436" s="2060"/>
      <c r="M436" s="2060"/>
      <c r="N436" s="106"/>
      <c r="O436" s="2060"/>
      <c r="P436" s="2060"/>
      <c r="Q436" s="2060"/>
      <c r="R436" s="2060"/>
      <c r="S436" s="2060"/>
      <c r="T436" s="255"/>
      <c r="U436" s="255"/>
      <c r="V436" s="103"/>
    </row>
    <row r="437" spans="2:22">
      <c r="B437" s="2060"/>
      <c r="C437" s="2060"/>
      <c r="D437" s="2060"/>
      <c r="E437" s="255"/>
      <c r="H437" s="2060"/>
      <c r="I437" s="106"/>
      <c r="J437" s="2060"/>
      <c r="K437" s="2060"/>
      <c r="L437" s="2060"/>
      <c r="M437" s="2060"/>
      <c r="N437" s="106"/>
      <c r="O437" s="2060"/>
      <c r="P437" s="2060"/>
      <c r="Q437" s="2060"/>
      <c r="R437" s="2060"/>
      <c r="S437" s="2060"/>
      <c r="T437" s="255"/>
      <c r="U437" s="255"/>
      <c r="V437" s="103"/>
    </row>
    <row r="438" spans="2:22">
      <c r="B438" s="2060"/>
      <c r="C438" s="2060"/>
      <c r="D438" s="2060"/>
      <c r="E438" s="255"/>
      <c r="H438" s="2060"/>
      <c r="I438" s="106"/>
      <c r="J438" s="2060"/>
      <c r="K438" s="2060"/>
      <c r="L438" s="2060"/>
      <c r="M438" s="2060"/>
      <c r="N438" s="106"/>
      <c r="O438" s="2060"/>
      <c r="P438" s="2060"/>
      <c r="Q438" s="2060"/>
      <c r="R438" s="2060"/>
      <c r="S438" s="2060"/>
      <c r="T438" s="255"/>
      <c r="U438" s="255"/>
      <c r="V438" s="103"/>
    </row>
    <row r="439" spans="2:22">
      <c r="B439" s="2060"/>
      <c r="C439" s="2060"/>
      <c r="D439" s="2060"/>
      <c r="E439" s="255"/>
      <c r="H439" s="2060"/>
      <c r="I439" s="106"/>
      <c r="J439" s="2060"/>
      <c r="K439" s="2060"/>
      <c r="L439" s="2060"/>
      <c r="M439" s="2060"/>
      <c r="N439" s="106"/>
      <c r="O439" s="2060"/>
      <c r="P439" s="2060"/>
      <c r="Q439" s="2060"/>
      <c r="R439" s="2060"/>
      <c r="S439" s="2060"/>
      <c r="T439" s="255"/>
      <c r="U439" s="255"/>
      <c r="V439" s="103"/>
    </row>
    <row r="440" spans="2:22">
      <c r="B440" s="2060"/>
      <c r="C440" s="2060"/>
      <c r="D440" s="2060"/>
      <c r="E440" s="255"/>
      <c r="H440" s="2060"/>
      <c r="I440" s="106"/>
      <c r="J440" s="2060"/>
      <c r="K440" s="2060"/>
      <c r="L440" s="2060"/>
      <c r="M440" s="2060"/>
      <c r="N440" s="106"/>
      <c r="O440" s="2060"/>
      <c r="P440" s="2060"/>
      <c r="Q440" s="2060"/>
      <c r="R440" s="2060"/>
      <c r="S440" s="2060"/>
      <c r="T440" s="255"/>
      <c r="U440" s="255"/>
      <c r="V440" s="103"/>
    </row>
    <row r="441" spans="2:22">
      <c r="B441" s="2060"/>
      <c r="C441" s="2060"/>
      <c r="D441" s="2060"/>
      <c r="E441" s="255"/>
      <c r="H441" s="2060"/>
      <c r="I441" s="106"/>
      <c r="J441" s="2060"/>
      <c r="K441" s="2060"/>
      <c r="L441" s="2060"/>
      <c r="M441" s="2060"/>
      <c r="N441" s="106"/>
      <c r="O441" s="2060"/>
      <c r="P441" s="2060"/>
      <c r="Q441" s="2060"/>
      <c r="R441" s="2060"/>
      <c r="S441" s="2060"/>
      <c r="T441" s="255"/>
      <c r="U441" s="255"/>
      <c r="V441" s="103"/>
    </row>
    <row r="442" spans="2:22">
      <c r="B442" s="2060"/>
      <c r="C442" s="2060"/>
      <c r="D442" s="2060"/>
      <c r="E442" s="255"/>
      <c r="H442" s="2060"/>
      <c r="I442" s="106"/>
      <c r="J442" s="2060"/>
      <c r="K442" s="2060"/>
      <c r="L442" s="2060"/>
      <c r="M442" s="2060"/>
      <c r="N442" s="106"/>
      <c r="O442" s="2060"/>
      <c r="P442" s="2060"/>
      <c r="Q442" s="2060"/>
      <c r="R442" s="2060"/>
      <c r="S442" s="2060"/>
      <c r="T442" s="255"/>
      <c r="U442" s="255"/>
      <c r="V442" s="103"/>
    </row>
    <row r="443" spans="2:22">
      <c r="B443" s="2060"/>
      <c r="C443" s="2060"/>
      <c r="D443" s="2060"/>
      <c r="E443" s="255"/>
      <c r="H443" s="2060"/>
      <c r="I443" s="106"/>
      <c r="J443" s="2060"/>
      <c r="K443" s="2060"/>
      <c r="L443" s="2060"/>
      <c r="M443" s="2060"/>
      <c r="N443" s="106"/>
      <c r="O443" s="2060"/>
      <c r="P443" s="2060"/>
      <c r="Q443" s="2060"/>
      <c r="R443" s="2060"/>
      <c r="S443" s="2060"/>
      <c r="T443" s="255"/>
      <c r="U443" s="255"/>
      <c r="V443" s="103"/>
    </row>
    <row r="444" spans="2:22">
      <c r="B444" s="2060"/>
      <c r="C444" s="2060"/>
      <c r="D444" s="2060"/>
      <c r="E444" s="255"/>
      <c r="H444" s="2060"/>
      <c r="I444" s="106"/>
      <c r="J444" s="2060"/>
      <c r="K444" s="2060"/>
      <c r="L444" s="2060"/>
      <c r="M444" s="2060"/>
      <c r="N444" s="106"/>
      <c r="O444" s="2060"/>
      <c r="P444" s="2060"/>
      <c r="Q444" s="2060"/>
      <c r="R444" s="2060"/>
      <c r="S444" s="2060"/>
      <c r="T444" s="255"/>
      <c r="U444" s="255"/>
      <c r="V444" s="103"/>
    </row>
    <row r="445" spans="2:22">
      <c r="B445" s="2060"/>
      <c r="C445" s="2060"/>
      <c r="D445" s="2060"/>
      <c r="E445" s="255"/>
      <c r="H445" s="2060"/>
      <c r="I445" s="106"/>
      <c r="J445" s="2060"/>
      <c r="K445" s="2060"/>
      <c r="L445" s="2060"/>
      <c r="M445" s="2060"/>
      <c r="N445" s="106"/>
      <c r="O445" s="2060"/>
      <c r="P445" s="2060"/>
      <c r="Q445" s="2060"/>
      <c r="R445" s="2060"/>
      <c r="S445" s="2060"/>
      <c r="T445" s="255"/>
      <c r="U445" s="255"/>
      <c r="V445" s="103"/>
    </row>
    <row r="446" spans="2:22">
      <c r="B446" s="2060"/>
      <c r="C446" s="2060"/>
      <c r="D446" s="2060"/>
      <c r="E446" s="255"/>
      <c r="H446" s="2060"/>
      <c r="I446" s="106"/>
      <c r="J446" s="2060"/>
      <c r="K446" s="2060"/>
      <c r="L446" s="2060"/>
      <c r="M446" s="2060"/>
      <c r="N446" s="106"/>
      <c r="O446" s="2060"/>
      <c r="P446" s="2060"/>
      <c r="Q446" s="2060"/>
      <c r="R446" s="2060"/>
      <c r="S446" s="2060"/>
      <c r="T446" s="255"/>
      <c r="U446" s="255"/>
      <c r="V446" s="103"/>
    </row>
    <row r="447" spans="2:22">
      <c r="B447" s="2060"/>
      <c r="C447" s="2060"/>
      <c r="D447" s="2060"/>
      <c r="E447" s="255"/>
      <c r="H447" s="2060"/>
      <c r="I447" s="106"/>
      <c r="J447" s="2060"/>
      <c r="K447" s="2060"/>
      <c r="L447" s="2060"/>
      <c r="M447" s="2060"/>
      <c r="N447" s="106"/>
      <c r="O447" s="2060"/>
      <c r="P447" s="2060"/>
      <c r="Q447" s="2060"/>
      <c r="R447" s="2060"/>
      <c r="S447" s="2060"/>
      <c r="T447" s="255"/>
      <c r="U447" s="255"/>
      <c r="V447" s="103"/>
    </row>
    <row r="448" spans="2:22">
      <c r="B448" s="2060"/>
      <c r="C448" s="2060"/>
      <c r="D448" s="2060"/>
      <c r="E448" s="255"/>
      <c r="H448" s="2060"/>
      <c r="I448" s="106"/>
      <c r="J448" s="2060"/>
      <c r="K448" s="2060"/>
      <c r="L448" s="2060"/>
      <c r="M448" s="2060"/>
      <c r="N448" s="106"/>
      <c r="O448" s="2060"/>
      <c r="P448" s="2060"/>
      <c r="Q448" s="2060"/>
      <c r="R448" s="2060"/>
      <c r="S448" s="2060"/>
      <c r="T448" s="255"/>
      <c r="U448" s="255"/>
      <c r="V448" s="103"/>
    </row>
    <row r="449" spans="2:22">
      <c r="B449" s="2060"/>
      <c r="C449" s="2060"/>
      <c r="D449" s="2060"/>
      <c r="E449" s="255"/>
      <c r="H449" s="2060"/>
      <c r="I449" s="106"/>
      <c r="J449" s="2060"/>
      <c r="K449" s="2060"/>
      <c r="L449" s="2060"/>
      <c r="M449" s="2060"/>
      <c r="N449" s="106"/>
      <c r="O449" s="2060"/>
      <c r="P449" s="2060"/>
      <c r="Q449" s="2060"/>
      <c r="R449" s="2060"/>
      <c r="S449" s="2060"/>
      <c r="T449" s="255"/>
      <c r="U449" s="255"/>
      <c r="V449" s="103"/>
    </row>
    <row r="450" spans="2:22">
      <c r="B450" s="2060"/>
      <c r="C450" s="2060"/>
      <c r="D450" s="2060"/>
      <c r="E450" s="255"/>
      <c r="H450" s="2060"/>
      <c r="I450" s="106"/>
      <c r="J450" s="2060"/>
      <c r="K450" s="2060"/>
      <c r="L450" s="2060"/>
      <c r="M450" s="2060"/>
      <c r="N450" s="106"/>
      <c r="O450" s="2060"/>
      <c r="P450" s="2060"/>
      <c r="Q450" s="2060"/>
      <c r="R450" s="2060"/>
      <c r="S450" s="2060"/>
      <c r="T450" s="255"/>
      <c r="U450" s="255"/>
      <c r="V450" s="103"/>
    </row>
    <row r="451" spans="2:22">
      <c r="B451" s="2060"/>
      <c r="C451" s="2060"/>
      <c r="D451" s="2060"/>
      <c r="E451" s="255"/>
      <c r="H451" s="2060"/>
      <c r="I451" s="106"/>
      <c r="J451" s="2060"/>
      <c r="K451" s="2060"/>
      <c r="L451" s="2060"/>
      <c r="M451" s="2060"/>
      <c r="N451" s="106"/>
      <c r="O451" s="2060"/>
      <c r="P451" s="2060"/>
      <c r="Q451" s="2060"/>
      <c r="R451" s="2060"/>
      <c r="S451" s="2060"/>
      <c r="T451" s="255"/>
      <c r="U451" s="255"/>
      <c r="V451" s="103"/>
    </row>
    <row r="452" spans="2:22">
      <c r="B452" s="2060"/>
      <c r="C452" s="2060"/>
      <c r="D452" s="2060"/>
      <c r="E452" s="255"/>
      <c r="H452" s="2060"/>
      <c r="I452" s="106"/>
      <c r="J452" s="2060"/>
      <c r="K452" s="2060"/>
      <c r="L452" s="2060"/>
      <c r="M452" s="2060"/>
      <c r="N452" s="106"/>
      <c r="O452" s="2060"/>
      <c r="P452" s="2060"/>
      <c r="Q452" s="2060"/>
      <c r="R452" s="2060"/>
      <c r="S452" s="2060"/>
      <c r="T452" s="255"/>
      <c r="U452" s="255"/>
      <c r="V452" s="103"/>
    </row>
    <row r="453" spans="2:22">
      <c r="B453" s="2060"/>
      <c r="C453" s="2060"/>
      <c r="D453" s="2060"/>
      <c r="E453" s="255"/>
      <c r="H453" s="2060"/>
      <c r="I453" s="106"/>
      <c r="J453" s="2060"/>
      <c r="K453" s="2060"/>
      <c r="L453" s="2060"/>
      <c r="M453" s="2060"/>
      <c r="N453" s="106"/>
      <c r="O453" s="2060"/>
      <c r="P453" s="2060"/>
      <c r="Q453" s="2060"/>
      <c r="R453" s="2060"/>
      <c r="S453" s="2060"/>
      <c r="T453" s="255"/>
      <c r="U453" s="255"/>
      <c r="V453" s="103"/>
    </row>
    <row r="454" spans="2:22">
      <c r="B454" s="2060"/>
      <c r="C454" s="2060"/>
      <c r="D454" s="2060"/>
      <c r="E454" s="255"/>
      <c r="H454" s="2060"/>
      <c r="I454" s="106"/>
      <c r="J454" s="2060"/>
      <c r="K454" s="2060"/>
      <c r="L454" s="2060"/>
      <c r="M454" s="2060"/>
      <c r="N454" s="106"/>
      <c r="O454" s="2060"/>
      <c r="P454" s="2060"/>
      <c r="Q454" s="2060"/>
      <c r="R454" s="2060"/>
      <c r="S454" s="2060"/>
      <c r="T454" s="255"/>
      <c r="U454" s="255"/>
      <c r="V454" s="103"/>
    </row>
    <row r="455" spans="2:22">
      <c r="B455" s="2060"/>
      <c r="C455" s="2060"/>
      <c r="D455" s="2060"/>
      <c r="E455" s="255"/>
      <c r="H455" s="2060"/>
      <c r="I455" s="106"/>
      <c r="J455" s="2060"/>
      <c r="K455" s="2060"/>
      <c r="L455" s="2060"/>
      <c r="M455" s="2060"/>
      <c r="N455" s="106"/>
      <c r="O455" s="2060"/>
      <c r="P455" s="2060"/>
      <c r="Q455" s="2060"/>
      <c r="R455" s="2060"/>
      <c r="S455" s="2060"/>
      <c r="T455" s="255"/>
      <c r="U455" s="255"/>
      <c r="V455" s="103"/>
    </row>
    <row r="456" spans="2:22">
      <c r="B456" s="2060"/>
      <c r="C456" s="2060"/>
      <c r="D456" s="2060"/>
      <c r="E456" s="255"/>
      <c r="H456" s="2060"/>
      <c r="I456" s="106"/>
      <c r="J456" s="2060"/>
      <c r="K456" s="2060"/>
      <c r="L456" s="2060"/>
      <c r="M456" s="2060"/>
      <c r="N456" s="106"/>
      <c r="O456" s="2060"/>
      <c r="P456" s="2060"/>
      <c r="Q456" s="2060"/>
      <c r="R456" s="2060"/>
      <c r="S456" s="2060"/>
      <c r="T456" s="255"/>
      <c r="U456" s="255"/>
      <c r="V456" s="103"/>
    </row>
    <row r="457" spans="2:22">
      <c r="B457" s="2060"/>
      <c r="C457" s="2060"/>
      <c r="D457" s="2060"/>
      <c r="E457" s="255"/>
      <c r="H457" s="2060"/>
      <c r="I457" s="106"/>
      <c r="J457" s="2060"/>
      <c r="K457" s="2060"/>
      <c r="L457" s="2060"/>
      <c r="M457" s="2060"/>
      <c r="N457" s="106"/>
      <c r="O457" s="2060"/>
      <c r="P457" s="2060"/>
      <c r="Q457" s="2060"/>
      <c r="R457" s="2060"/>
      <c r="S457" s="2060"/>
      <c r="T457" s="255"/>
      <c r="U457" s="255"/>
      <c r="V457" s="103"/>
    </row>
    <row r="458" spans="2:22">
      <c r="B458" s="2060"/>
      <c r="C458" s="2060"/>
      <c r="D458" s="2060"/>
      <c r="E458" s="255"/>
      <c r="H458" s="2060"/>
      <c r="I458" s="106"/>
      <c r="J458" s="2060"/>
      <c r="K458" s="2060"/>
      <c r="L458" s="2060"/>
      <c r="M458" s="2060"/>
      <c r="N458" s="106"/>
      <c r="O458" s="2060"/>
      <c r="P458" s="2060"/>
      <c r="Q458" s="2060"/>
      <c r="R458" s="2060"/>
      <c r="S458" s="2060"/>
      <c r="T458" s="255"/>
      <c r="U458" s="255"/>
      <c r="V458" s="103"/>
    </row>
    <row r="459" spans="2:22">
      <c r="B459" s="2060"/>
      <c r="C459" s="2060"/>
      <c r="D459" s="2060"/>
      <c r="E459" s="255"/>
      <c r="H459" s="2060"/>
      <c r="I459" s="106"/>
      <c r="J459" s="2060"/>
      <c r="K459" s="2060"/>
      <c r="L459" s="2060"/>
      <c r="M459" s="2060"/>
      <c r="N459" s="106"/>
      <c r="O459" s="2060"/>
      <c r="P459" s="2060"/>
      <c r="Q459" s="2060"/>
      <c r="R459" s="2060"/>
      <c r="S459" s="2060"/>
      <c r="T459" s="255"/>
      <c r="U459" s="255"/>
      <c r="V459" s="103"/>
    </row>
    <row r="460" spans="2:22">
      <c r="B460" s="2060"/>
      <c r="C460" s="2060"/>
      <c r="D460" s="2060"/>
      <c r="E460" s="255"/>
      <c r="H460" s="2060"/>
      <c r="I460" s="106"/>
      <c r="J460" s="2060"/>
      <c r="K460" s="2060"/>
      <c r="L460" s="2060"/>
      <c r="M460" s="2060"/>
      <c r="N460" s="106"/>
      <c r="O460" s="2060"/>
      <c r="P460" s="2060"/>
      <c r="Q460" s="2060"/>
      <c r="R460" s="2060"/>
      <c r="S460" s="2060"/>
      <c r="T460" s="255"/>
      <c r="U460" s="255"/>
      <c r="V460" s="103"/>
    </row>
    <row r="461" spans="2:22">
      <c r="B461" s="2060"/>
      <c r="C461" s="2060"/>
      <c r="D461" s="2060"/>
      <c r="E461" s="255"/>
      <c r="H461" s="2060"/>
      <c r="I461" s="106"/>
      <c r="J461" s="2060"/>
      <c r="K461" s="2060"/>
      <c r="L461" s="2060"/>
      <c r="M461" s="2060"/>
      <c r="N461" s="106"/>
      <c r="O461" s="2060"/>
      <c r="P461" s="2060"/>
      <c r="Q461" s="2060"/>
      <c r="R461" s="2060"/>
      <c r="S461" s="2060"/>
      <c r="T461" s="255"/>
      <c r="U461" s="255"/>
      <c r="V461" s="103"/>
    </row>
    <row r="462" spans="2:22">
      <c r="B462" s="2060"/>
      <c r="C462" s="2060"/>
      <c r="D462" s="2060"/>
      <c r="E462" s="255"/>
      <c r="H462" s="2060"/>
      <c r="I462" s="106"/>
      <c r="J462" s="2060"/>
      <c r="K462" s="2060"/>
      <c r="L462" s="2060"/>
      <c r="M462" s="2060"/>
      <c r="N462" s="106"/>
      <c r="O462" s="2060"/>
      <c r="P462" s="2060"/>
      <c r="Q462" s="2060"/>
      <c r="R462" s="2060"/>
      <c r="S462" s="2060"/>
      <c r="T462" s="255"/>
      <c r="U462" s="255"/>
      <c r="V462" s="103"/>
    </row>
    <row r="463" spans="2:22">
      <c r="B463" s="2060"/>
      <c r="C463" s="2060"/>
      <c r="D463" s="2060"/>
      <c r="E463" s="255"/>
      <c r="H463" s="2060"/>
      <c r="I463" s="106"/>
      <c r="J463" s="2060"/>
      <c r="K463" s="2060"/>
      <c r="L463" s="2060"/>
      <c r="M463" s="2060"/>
      <c r="N463" s="106"/>
      <c r="O463" s="2060"/>
      <c r="P463" s="2060"/>
      <c r="Q463" s="2060"/>
      <c r="R463" s="2060"/>
      <c r="S463" s="2060"/>
      <c r="T463" s="255"/>
      <c r="U463" s="255"/>
      <c r="V463" s="103"/>
    </row>
    <row r="464" spans="2:22">
      <c r="B464" s="2060"/>
      <c r="C464" s="2060"/>
      <c r="D464" s="2060"/>
      <c r="E464" s="255"/>
      <c r="H464" s="2060"/>
      <c r="I464" s="106"/>
      <c r="J464" s="2060"/>
      <c r="K464" s="2060"/>
      <c r="L464" s="2060"/>
      <c r="M464" s="2060"/>
      <c r="N464" s="106"/>
      <c r="O464" s="2060"/>
      <c r="P464" s="2060"/>
      <c r="Q464" s="2060"/>
      <c r="R464" s="2060"/>
      <c r="S464" s="2060"/>
      <c r="T464" s="255"/>
      <c r="U464" s="255"/>
      <c r="V464" s="103"/>
    </row>
    <row r="465" spans="2:22">
      <c r="B465" s="2060"/>
      <c r="C465" s="2060"/>
      <c r="D465" s="2060"/>
      <c r="E465" s="255"/>
      <c r="H465" s="2060"/>
      <c r="I465" s="106"/>
      <c r="J465" s="2060"/>
      <c r="K465" s="2060"/>
      <c r="L465" s="2060"/>
      <c r="M465" s="2060"/>
      <c r="N465" s="106"/>
      <c r="O465" s="2060"/>
      <c r="P465" s="2060"/>
      <c r="Q465" s="2060"/>
      <c r="R465" s="2060"/>
      <c r="S465" s="2060"/>
      <c r="T465" s="255"/>
      <c r="U465" s="255"/>
      <c r="V465" s="103"/>
    </row>
    <row r="466" spans="2:22">
      <c r="B466" s="2060"/>
      <c r="C466" s="2060"/>
      <c r="D466" s="2060"/>
      <c r="E466" s="255"/>
      <c r="H466" s="2060"/>
      <c r="I466" s="106"/>
      <c r="J466" s="2060"/>
      <c r="K466" s="2060"/>
      <c r="L466" s="2060"/>
      <c r="M466" s="2060"/>
      <c r="N466" s="106"/>
      <c r="O466" s="2060"/>
      <c r="P466" s="2060"/>
      <c r="Q466" s="2060"/>
      <c r="R466" s="2060"/>
      <c r="S466" s="2060"/>
      <c r="T466" s="255"/>
      <c r="U466" s="255"/>
      <c r="V466" s="103"/>
    </row>
    <row r="467" spans="2:22">
      <c r="B467" s="2060"/>
      <c r="C467" s="2060"/>
      <c r="D467" s="2060"/>
      <c r="E467" s="255"/>
      <c r="H467" s="2060"/>
      <c r="I467" s="106"/>
      <c r="J467" s="2060"/>
      <c r="K467" s="2060"/>
      <c r="L467" s="2060"/>
      <c r="M467" s="2060"/>
      <c r="N467" s="106"/>
      <c r="O467" s="2060"/>
      <c r="P467" s="2060"/>
      <c r="Q467" s="2060"/>
      <c r="R467" s="2060"/>
      <c r="S467" s="2060"/>
      <c r="T467" s="255"/>
      <c r="U467" s="255"/>
      <c r="V467" s="103"/>
    </row>
    <row r="468" spans="2:22">
      <c r="B468" s="2060"/>
      <c r="C468" s="2060"/>
      <c r="D468" s="2060"/>
      <c r="E468" s="255"/>
      <c r="H468" s="2060"/>
      <c r="I468" s="106"/>
      <c r="J468" s="2060"/>
      <c r="K468" s="2060"/>
      <c r="L468" s="2060"/>
      <c r="M468" s="2060"/>
      <c r="N468" s="106"/>
      <c r="O468" s="2060"/>
      <c r="P468" s="2060"/>
      <c r="Q468" s="2060"/>
      <c r="R468" s="2060"/>
      <c r="S468" s="2060"/>
      <c r="T468" s="255"/>
      <c r="U468" s="255"/>
      <c r="V468" s="103"/>
    </row>
    <row r="469" spans="2:22">
      <c r="B469" s="2060"/>
      <c r="C469" s="2060"/>
      <c r="D469" s="2060"/>
      <c r="E469" s="255"/>
      <c r="H469" s="2060"/>
      <c r="I469" s="106"/>
      <c r="J469" s="2060"/>
      <c r="K469" s="2060"/>
      <c r="L469" s="2060"/>
      <c r="M469" s="2060"/>
      <c r="N469" s="106"/>
      <c r="O469" s="2060"/>
      <c r="P469" s="2060"/>
      <c r="Q469" s="2060"/>
      <c r="R469" s="2060"/>
      <c r="S469" s="2060"/>
      <c r="T469" s="255"/>
      <c r="U469" s="255"/>
      <c r="V469" s="103"/>
    </row>
    <row r="470" spans="2:22">
      <c r="B470" s="2060"/>
      <c r="C470" s="2060"/>
      <c r="D470" s="2060"/>
      <c r="E470" s="255"/>
      <c r="H470" s="2060"/>
      <c r="I470" s="106"/>
      <c r="J470" s="2060"/>
      <c r="K470" s="2060"/>
      <c r="L470" s="2060"/>
      <c r="M470" s="2060"/>
      <c r="N470" s="106"/>
      <c r="O470" s="2060"/>
      <c r="P470" s="2060"/>
      <c r="Q470" s="2060"/>
      <c r="R470" s="2060"/>
      <c r="S470" s="2060"/>
      <c r="T470" s="255"/>
      <c r="U470" s="255"/>
      <c r="V470" s="103"/>
    </row>
    <row r="471" spans="2:22">
      <c r="B471" s="2060"/>
      <c r="C471" s="2060"/>
      <c r="D471" s="2060"/>
      <c r="E471" s="255"/>
      <c r="H471" s="2060"/>
      <c r="I471" s="106"/>
      <c r="J471" s="2060"/>
      <c r="K471" s="2060"/>
      <c r="L471" s="2060"/>
      <c r="M471" s="2060"/>
      <c r="N471" s="106"/>
      <c r="O471" s="2060"/>
      <c r="P471" s="2060"/>
      <c r="Q471" s="2060"/>
      <c r="R471" s="2060"/>
      <c r="S471" s="2060"/>
      <c r="T471" s="255"/>
      <c r="U471" s="255"/>
      <c r="V471" s="103"/>
    </row>
    <row r="472" spans="2:22">
      <c r="B472" s="2060"/>
      <c r="C472" s="2060"/>
      <c r="D472" s="2060"/>
      <c r="E472" s="255"/>
      <c r="H472" s="2060"/>
      <c r="I472" s="106"/>
      <c r="J472" s="2060"/>
      <c r="K472" s="2060"/>
      <c r="L472" s="2060"/>
      <c r="M472" s="2060"/>
      <c r="N472" s="106"/>
      <c r="O472" s="2060"/>
      <c r="P472" s="2060"/>
      <c r="Q472" s="2060"/>
      <c r="R472" s="2060"/>
      <c r="S472" s="2060"/>
      <c r="T472" s="255"/>
      <c r="U472" s="255"/>
      <c r="V472" s="103"/>
    </row>
    <row r="473" spans="2:22">
      <c r="B473" s="2060"/>
      <c r="C473" s="2060"/>
      <c r="D473" s="2060"/>
      <c r="E473" s="255"/>
      <c r="H473" s="2060"/>
      <c r="I473" s="106"/>
      <c r="J473" s="2060"/>
      <c r="K473" s="2060"/>
      <c r="L473" s="2060"/>
      <c r="M473" s="2060"/>
      <c r="N473" s="106"/>
      <c r="O473" s="2060"/>
      <c r="P473" s="2060"/>
      <c r="Q473" s="2060"/>
      <c r="R473" s="2060"/>
      <c r="S473" s="2060"/>
      <c r="T473" s="255"/>
      <c r="U473" s="255"/>
      <c r="V473" s="103"/>
    </row>
    <row r="474" spans="2:22">
      <c r="B474" s="2060"/>
      <c r="C474" s="2060"/>
      <c r="D474" s="2060"/>
      <c r="E474" s="255"/>
      <c r="H474" s="2060"/>
      <c r="I474" s="106"/>
      <c r="J474" s="2060"/>
      <c r="K474" s="2060"/>
      <c r="L474" s="2060"/>
      <c r="M474" s="2060"/>
      <c r="N474" s="106"/>
      <c r="O474" s="2060"/>
      <c r="P474" s="2060"/>
      <c r="Q474" s="2060"/>
      <c r="R474" s="2060"/>
      <c r="S474" s="2060"/>
      <c r="T474" s="255"/>
      <c r="U474" s="255"/>
      <c r="V474" s="103"/>
    </row>
    <row r="475" spans="2:22">
      <c r="B475" s="2060"/>
      <c r="C475" s="2060"/>
      <c r="D475" s="2060"/>
      <c r="E475" s="255"/>
      <c r="H475" s="2060"/>
      <c r="I475" s="106"/>
      <c r="J475" s="2060"/>
      <c r="K475" s="2060"/>
      <c r="L475" s="2060"/>
      <c r="M475" s="2060"/>
      <c r="N475" s="106"/>
      <c r="O475" s="2060"/>
      <c r="P475" s="2060"/>
      <c r="Q475" s="2060"/>
      <c r="R475" s="2060"/>
      <c r="S475" s="2060"/>
      <c r="T475" s="255"/>
      <c r="U475" s="255"/>
      <c r="V475" s="103"/>
    </row>
    <row r="476" spans="2:22">
      <c r="B476" s="2060"/>
      <c r="C476" s="2060"/>
      <c r="D476" s="2060"/>
      <c r="E476" s="255"/>
      <c r="H476" s="2060"/>
      <c r="I476" s="106"/>
      <c r="J476" s="2060"/>
      <c r="K476" s="2060"/>
      <c r="L476" s="2060"/>
      <c r="M476" s="2060"/>
      <c r="N476" s="106"/>
      <c r="O476" s="2060"/>
      <c r="P476" s="2060"/>
      <c r="Q476" s="2060"/>
      <c r="R476" s="2060"/>
      <c r="S476" s="2060"/>
      <c r="T476" s="255"/>
      <c r="U476" s="255"/>
      <c r="V476" s="103"/>
    </row>
    <row r="477" spans="2:22">
      <c r="B477" s="2060"/>
      <c r="C477" s="2060"/>
      <c r="D477" s="2060"/>
      <c r="E477" s="255"/>
      <c r="H477" s="2060"/>
      <c r="I477" s="106"/>
      <c r="J477" s="2060"/>
      <c r="K477" s="2060"/>
      <c r="L477" s="2060"/>
      <c r="M477" s="2060"/>
      <c r="N477" s="106"/>
      <c r="O477" s="2060"/>
      <c r="P477" s="2060"/>
      <c r="Q477" s="2060"/>
      <c r="R477" s="2060"/>
      <c r="S477" s="2060"/>
      <c r="T477" s="255"/>
      <c r="U477" s="255"/>
      <c r="V477" s="103"/>
    </row>
    <row r="478" spans="2:22">
      <c r="B478" s="2060"/>
      <c r="C478" s="2060"/>
      <c r="D478" s="2060"/>
      <c r="E478" s="255"/>
      <c r="H478" s="2060"/>
      <c r="I478" s="106"/>
      <c r="J478" s="2060"/>
      <c r="K478" s="2060"/>
      <c r="L478" s="2060"/>
      <c r="M478" s="2060"/>
      <c r="N478" s="106"/>
      <c r="O478" s="2060"/>
      <c r="P478" s="2060"/>
      <c r="Q478" s="2060"/>
      <c r="R478" s="2060"/>
      <c r="S478" s="2060"/>
      <c r="T478" s="255"/>
      <c r="U478" s="255"/>
      <c r="V478" s="103"/>
    </row>
    <row r="479" spans="2:22">
      <c r="B479" s="2060"/>
      <c r="C479" s="2060"/>
      <c r="D479" s="2060"/>
      <c r="E479" s="255"/>
      <c r="H479" s="2060"/>
      <c r="I479" s="106"/>
      <c r="J479" s="2060"/>
      <c r="K479" s="2060"/>
      <c r="L479" s="2060"/>
      <c r="M479" s="2060"/>
      <c r="N479" s="106"/>
      <c r="O479" s="2060"/>
      <c r="P479" s="2060"/>
      <c r="Q479" s="2060"/>
      <c r="R479" s="2060"/>
      <c r="S479" s="2060"/>
      <c r="T479" s="255"/>
      <c r="U479" s="255"/>
      <c r="V479" s="103"/>
    </row>
    <row r="480" spans="2:22">
      <c r="B480" s="2060"/>
      <c r="C480" s="2060"/>
      <c r="D480" s="2060"/>
      <c r="E480" s="255"/>
      <c r="H480" s="2060"/>
      <c r="I480" s="106"/>
      <c r="J480" s="2060"/>
      <c r="K480" s="2060"/>
      <c r="L480" s="2060"/>
      <c r="M480" s="2060"/>
      <c r="N480" s="106"/>
      <c r="O480" s="2060"/>
      <c r="P480" s="2060"/>
      <c r="Q480" s="2060"/>
      <c r="R480" s="2060"/>
      <c r="S480" s="2060"/>
      <c r="T480" s="255"/>
      <c r="U480" s="255"/>
      <c r="V480" s="103"/>
    </row>
    <row r="481" spans="2:22">
      <c r="B481" s="2060"/>
      <c r="C481" s="2060"/>
      <c r="D481" s="2060"/>
      <c r="E481" s="255"/>
      <c r="H481" s="2060"/>
      <c r="I481" s="106"/>
      <c r="J481" s="2060"/>
      <c r="K481" s="2060"/>
      <c r="L481" s="2060"/>
      <c r="M481" s="2060"/>
      <c r="N481" s="106"/>
      <c r="O481" s="2060"/>
      <c r="P481" s="2060"/>
      <c r="Q481" s="2060"/>
      <c r="R481" s="2060"/>
      <c r="S481" s="2060"/>
      <c r="T481" s="255"/>
      <c r="U481" s="255"/>
      <c r="V481" s="103"/>
    </row>
    <row r="482" spans="2:22">
      <c r="B482" s="2060"/>
      <c r="C482" s="2060"/>
      <c r="D482" s="2060"/>
      <c r="E482" s="255"/>
      <c r="H482" s="2060"/>
      <c r="I482" s="106"/>
      <c r="J482" s="2060"/>
      <c r="K482" s="2060"/>
      <c r="L482" s="2060"/>
      <c r="M482" s="2060"/>
      <c r="N482" s="106"/>
      <c r="O482" s="2060"/>
      <c r="P482" s="2060"/>
      <c r="Q482" s="2060"/>
      <c r="R482" s="2060"/>
      <c r="S482" s="2060"/>
      <c r="T482" s="255"/>
      <c r="U482" s="255"/>
      <c r="V482" s="103"/>
    </row>
    <row r="483" spans="2:22">
      <c r="B483" s="2060"/>
      <c r="C483" s="2060"/>
      <c r="D483" s="2060"/>
      <c r="E483" s="255"/>
      <c r="H483" s="2060"/>
      <c r="I483" s="106"/>
      <c r="J483" s="2060"/>
      <c r="K483" s="2060"/>
      <c r="L483" s="2060"/>
      <c r="M483" s="2060"/>
      <c r="N483" s="106"/>
      <c r="O483" s="2060"/>
      <c r="P483" s="2060"/>
      <c r="Q483" s="2060"/>
      <c r="R483" s="2060"/>
      <c r="S483" s="2060"/>
      <c r="T483" s="255"/>
      <c r="U483" s="255"/>
      <c r="V483" s="103"/>
    </row>
    <row r="484" spans="2:22">
      <c r="B484" s="2060"/>
      <c r="C484" s="2060"/>
      <c r="D484" s="2060"/>
      <c r="E484" s="255"/>
      <c r="H484" s="2060"/>
      <c r="I484" s="106"/>
      <c r="J484" s="2060"/>
      <c r="K484" s="2060"/>
      <c r="L484" s="2060"/>
      <c r="M484" s="2060"/>
      <c r="N484" s="106"/>
      <c r="O484" s="2060"/>
      <c r="P484" s="2060"/>
      <c r="Q484" s="2060"/>
      <c r="R484" s="2060"/>
      <c r="S484" s="2060"/>
      <c r="T484" s="255"/>
      <c r="U484" s="255"/>
      <c r="V484" s="103"/>
    </row>
    <row r="485" spans="2:22">
      <c r="B485" s="2060"/>
      <c r="C485" s="2060"/>
      <c r="D485" s="2060"/>
      <c r="E485" s="255"/>
      <c r="H485" s="2060"/>
      <c r="I485" s="106"/>
      <c r="J485" s="2060"/>
      <c r="K485" s="2060"/>
      <c r="L485" s="2060"/>
      <c r="M485" s="2060"/>
      <c r="N485" s="106"/>
      <c r="O485" s="2060"/>
      <c r="P485" s="2060"/>
      <c r="Q485" s="2060"/>
      <c r="R485" s="2060"/>
      <c r="S485" s="2060"/>
      <c r="T485" s="255"/>
      <c r="U485" s="255"/>
      <c r="V485" s="103"/>
    </row>
    <row r="486" spans="2:22">
      <c r="B486" s="2060"/>
      <c r="C486" s="2060"/>
      <c r="D486" s="2060"/>
      <c r="E486" s="255"/>
      <c r="H486" s="2060"/>
      <c r="I486" s="106"/>
      <c r="J486" s="2060"/>
      <c r="K486" s="2060"/>
      <c r="L486" s="2060"/>
      <c r="M486" s="2060"/>
      <c r="N486" s="106"/>
      <c r="O486" s="2060"/>
      <c r="P486" s="2060"/>
      <c r="Q486" s="2060"/>
      <c r="R486" s="2060"/>
      <c r="S486" s="2060"/>
      <c r="T486" s="255"/>
      <c r="U486" s="255"/>
      <c r="V486" s="103"/>
    </row>
    <row r="487" spans="2:22">
      <c r="B487" s="2060"/>
      <c r="C487" s="2060"/>
      <c r="D487" s="2060"/>
      <c r="E487" s="255"/>
      <c r="H487" s="2060"/>
      <c r="I487" s="106"/>
      <c r="J487" s="2060"/>
      <c r="K487" s="2060"/>
      <c r="L487" s="2060"/>
      <c r="M487" s="2060"/>
      <c r="N487" s="106"/>
      <c r="O487" s="2060"/>
      <c r="P487" s="2060"/>
      <c r="Q487" s="2060"/>
      <c r="R487" s="2060"/>
      <c r="S487" s="2060"/>
      <c r="T487" s="255"/>
      <c r="U487" s="255"/>
      <c r="V487" s="103"/>
    </row>
    <row r="488" spans="2:22">
      <c r="B488" s="2060"/>
      <c r="C488" s="2060"/>
      <c r="D488" s="2060"/>
      <c r="E488" s="255"/>
      <c r="H488" s="2060"/>
      <c r="I488" s="106"/>
      <c r="J488" s="2060"/>
      <c r="K488" s="2060"/>
      <c r="L488" s="2060"/>
      <c r="M488" s="2060"/>
      <c r="N488" s="106"/>
      <c r="O488" s="2060"/>
      <c r="P488" s="2060"/>
      <c r="Q488" s="2060"/>
      <c r="R488" s="2060"/>
      <c r="S488" s="2060"/>
      <c r="T488" s="255"/>
      <c r="U488" s="255"/>
      <c r="V488" s="103"/>
    </row>
    <row r="489" spans="2:22">
      <c r="B489" s="2060"/>
      <c r="C489" s="2060"/>
      <c r="D489" s="2060"/>
      <c r="E489" s="255"/>
      <c r="H489" s="2060"/>
      <c r="I489" s="106"/>
      <c r="J489" s="2060"/>
      <c r="K489" s="2060"/>
      <c r="L489" s="2060"/>
      <c r="M489" s="2060"/>
      <c r="N489" s="106"/>
      <c r="O489" s="2060"/>
      <c r="P489" s="2060"/>
      <c r="Q489" s="2060"/>
      <c r="R489" s="2060"/>
      <c r="S489" s="2060"/>
      <c r="T489" s="255"/>
      <c r="U489" s="255"/>
      <c r="V489" s="103"/>
    </row>
    <row r="490" spans="2:22">
      <c r="B490" s="2060"/>
      <c r="C490" s="2060"/>
      <c r="D490" s="2060"/>
      <c r="E490" s="255"/>
      <c r="H490" s="2060"/>
      <c r="I490" s="106"/>
      <c r="J490" s="2060"/>
      <c r="K490" s="2060"/>
      <c r="L490" s="2060"/>
      <c r="M490" s="2060"/>
      <c r="N490" s="106"/>
      <c r="O490" s="2060"/>
      <c r="P490" s="2060"/>
      <c r="Q490" s="2060"/>
      <c r="R490" s="2060"/>
      <c r="S490" s="2060"/>
      <c r="T490" s="255"/>
      <c r="U490" s="255"/>
      <c r="V490" s="103"/>
    </row>
    <row r="491" spans="2:22">
      <c r="B491" s="2060"/>
      <c r="C491" s="2060"/>
      <c r="D491" s="2060"/>
      <c r="E491" s="255"/>
      <c r="H491" s="2060"/>
      <c r="I491" s="106"/>
      <c r="J491" s="2060"/>
      <c r="K491" s="2060"/>
      <c r="L491" s="2060"/>
      <c r="M491" s="2060"/>
      <c r="N491" s="106"/>
      <c r="O491" s="2060"/>
      <c r="P491" s="2060"/>
      <c r="Q491" s="2060"/>
      <c r="R491" s="2060"/>
      <c r="S491" s="2060"/>
      <c r="T491" s="255"/>
      <c r="U491" s="255"/>
      <c r="V491" s="103"/>
    </row>
    <row r="492" spans="2:22">
      <c r="B492" s="2060"/>
      <c r="C492" s="2060"/>
      <c r="D492" s="2060"/>
      <c r="E492" s="255"/>
      <c r="H492" s="2060"/>
      <c r="I492" s="106"/>
      <c r="J492" s="2060"/>
      <c r="K492" s="2060"/>
      <c r="L492" s="2060"/>
      <c r="M492" s="2060"/>
      <c r="N492" s="106"/>
      <c r="O492" s="2060"/>
      <c r="P492" s="2060"/>
      <c r="Q492" s="2060"/>
      <c r="R492" s="2060"/>
      <c r="S492" s="2060"/>
      <c r="T492" s="255"/>
      <c r="U492" s="255"/>
      <c r="V492" s="103"/>
    </row>
    <row r="493" spans="2:22">
      <c r="B493" s="2060"/>
      <c r="C493" s="2060"/>
      <c r="D493" s="2060"/>
      <c r="E493" s="255"/>
      <c r="H493" s="2060"/>
      <c r="I493" s="106"/>
      <c r="J493" s="2060"/>
      <c r="K493" s="2060"/>
      <c r="L493" s="2060"/>
      <c r="M493" s="2060"/>
      <c r="N493" s="106"/>
      <c r="O493" s="2060"/>
      <c r="P493" s="2060"/>
      <c r="Q493" s="2060"/>
      <c r="R493" s="2060"/>
      <c r="S493" s="2060"/>
      <c r="T493" s="255"/>
      <c r="U493" s="255"/>
      <c r="V493" s="103"/>
    </row>
    <row r="494" spans="2:22">
      <c r="B494" s="2060"/>
      <c r="C494" s="2060"/>
      <c r="D494" s="2060"/>
      <c r="E494" s="255"/>
      <c r="H494" s="2060"/>
      <c r="I494" s="106"/>
      <c r="J494" s="2060"/>
      <c r="K494" s="2060"/>
      <c r="L494" s="2060"/>
      <c r="M494" s="2060"/>
      <c r="N494" s="106"/>
      <c r="O494" s="2060"/>
      <c r="P494" s="2060"/>
      <c r="Q494" s="2060"/>
      <c r="R494" s="2060"/>
      <c r="S494" s="2060"/>
      <c r="T494" s="255"/>
      <c r="U494" s="255"/>
      <c r="V494" s="103"/>
    </row>
    <row r="495" spans="2:22">
      <c r="B495" s="2060"/>
      <c r="C495" s="2060"/>
      <c r="D495" s="2060"/>
      <c r="E495" s="255"/>
      <c r="H495" s="2060"/>
      <c r="I495" s="106"/>
      <c r="J495" s="2060"/>
      <c r="K495" s="2060"/>
      <c r="L495" s="2060"/>
      <c r="M495" s="2060"/>
      <c r="N495" s="106"/>
      <c r="O495" s="2060"/>
      <c r="P495" s="2060"/>
      <c r="Q495" s="2060"/>
      <c r="R495" s="2060"/>
      <c r="S495" s="2060"/>
      <c r="T495" s="255"/>
      <c r="U495" s="255"/>
      <c r="V495" s="103"/>
    </row>
    <row r="496" spans="2:22">
      <c r="B496" s="2060"/>
      <c r="C496" s="2060"/>
      <c r="D496" s="2060"/>
      <c r="E496" s="255"/>
      <c r="H496" s="2060"/>
      <c r="I496" s="106"/>
      <c r="J496" s="2060"/>
      <c r="K496" s="2060"/>
      <c r="L496" s="2060"/>
      <c r="M496" s="2060"/>
      <c r="N496" s="106"/>
      <c r="O496" s="2060"/>
      <c r="P496" s="2060"/>
      <c r="Q496" s="2060"/>
      <c r="R496" s="2060"/>
      <c r="S496" s="2060"/>
      <c r="T496" s="255"/>
      <c r="U496" s="255"/>
      <c r="V496" s="103"/>
    </row>
    <row r="497" spans="2:22">
      <c r="B497" s="2060"/>
      <c r="C497" s="2060"/>
      <c r="D497" s="2060"/>
      <c r="E497" s="255"/>
      <c r="H497" s="2060"/>
      <c r="I497" s="106"/>
      <c r="J497" s="2060"/>
      <c r="K497" s="2060"/>
      <c r="L497" s="2060"/>
      <c r="M497" s="2060"/>
      <c r="N497" s="106"/>
      <c r="O497" s="2060"/>
      <c r="P497" s="2060"/>
      <c r="Q497" s="2060"/>
      <c r="R497" s="2060"/>
      <c r="S497" s="2060"/>
      <c r="T497" s="255"/>
      <c r="U497" s="255"/>
      <c r="V497" s="103"/>
    </row>
    <row r="498" spans="2:22">
      <c r="B498" s="2060"/>
      <c r="C498" s="2060"/>
      <c r="D498" s="2060"/>
      <c r="E498" s="255"/>
      <c r="H498" s="2060"/>
      <c r="I498" s="106"/>
      <c r="J498" s="2060"/>
      <c r="K498" s="2060"/>
      <c r="L498" s="2060"/>
      <c r="M498" s="2060"/>
      <c r="N498" s="106"/>
      <c r="O498" s="2060"/>
      <c r="P498" s="2060"/>
      <c r="Q498" s="2060"/>
      <c r="R498" s="2060"/>
      <c r="S498" s="2060"/>
      <c r="T498" s="255"/>
      <c r="U498" s="255"/>
      <c r="V498" s="103"/>
    </row>
    <row r="499" spans="2:22">
      <c r="B499" s="2060"/>
      <c r="C499" s="2060"/>
      <c r="D499" s="2060"/>
      <c r="E499" s="255"/>
      <c r="H499" s="2060"/>
      <c r="I499" s="106"/>
      <c r="J499" s="2060"/>
      <c r="K499" s="2060"/>
      <c r="L499" s="2060"/>
      <c r="M499" s="2060"/>
      <c r="N499" s="106"/>
      <c r="O499" s="2060"/>
      <c r="P499" s="2060"/>
      <c r="Q499" s="2060"/>
      <c r="R499" s="2060"/>
      <c r="S499" s="2060"/>
      <c r="T499" s="255"/>
      <c r="U499" s="255"/>
      <c r="V499" s="103"/>
    </row>
    <row r="500" spans="2:22">
      <c r="B500" s="2060"/>
      <c r="C500" s="2060"/>
      <c r="D500" s="2060"/>
      <c r="E500" s="255"/>
      <c r="H500" s="2060"/>
      <c r="I500" s="106"/>
      <c r="J500" s="2060"/>
      <c r="K500" s="2060"/>
      <c r="L500" s="2060"/>
      <c r="M500" s="2060"/>
      <c r="N500" s="106"/>
      <c r="O500" s="2060"/>
      <c r="P500" s="2060"/>
      <c r="Q500" s="2060"/>
      <c r="R500" s="2060"/>
      <c r="S500" s="2060"/>
      <c r="T500" s="255"/>
      <c r="U500" s="255"/>
      <c r="V500" s="103"/>
    </row>
    <row r="501" spans="2:22">
      <c r="B501" s="2060"/>
      <c r="C501" s="2060"/>
      <c r="D501" s="2060"/>
      <c r="E501" s="255"/>
      <c r="H501" s="2060"/>
      <c r="I501" s="106"/>
      <c r="J501" s="2060"/>
      <c r="K501" s="2060"/>
      <c r="L501" s="2060"/>
      <c r="M501" s="2060"/>
      <c r="N501" s="106"/>
      <c r="O501" s="2060"/>
      <c r="P501" s="2060"/>
      <c r="Q501" s="2060"/>
      <c r="R501" s="2060"/>
      <c r="S501" s="2060"/>
      <c r="T501" s="255"/>
      <c r="U501" s="255"/>
      <c r="V501" s="103"/>
    </row>
    <row r="502" spans="2:22">
      <c r="B502" s="2060"/>
      <c r="C502" s="2060"/>
      <c r="D502" s="2060"/>
      <c r="E502" s="255"/>
      <c r="H502" s="2060"/>
      <c r="I502" s="106"/>
      <c r="J502" s="2060"/>
      <c r="K502" s="2060"/>
      <c r="L502" s="2060"/>
      <c r="M502" s="2060"/>
      <c r="N502" s="2060"/>
      <c r="O502" s="2060"/>
      <c r="P502" s="2060"/>
      <c r="Q502" s="2060"/>
      <c r="R502" s="2060"/>
      <c r="S502" s="2060"/>
      <c r="T502" s="255"/>
      <c r="U502" s="255"/>
      <c r="V502" s="103"/>
    </row>
    <row r="503" spans="2:22">
      <c r="B503" s="2060"/>
      <c r="C503" s="2060"/>
      <c r="D503" s="2060"/>
      <c r="E503" s="255"/>
      <c r="H503" s="2060"/>
      <c r="I503" s="106"/>
      <c r="J503" s="2060"/>
      <c r="K503" s="2060"/>
      <c r="L503" s="2060"/>
      <c r="M503" s="2060"/>
      <c r="N503" s="2060"/>
      <c r="O503" s="2060"/>
      <c r="P503" s="2060"/>
      <c r="Q503" s="2060"/>
      <c r="R503" s="2060"/>
      <c r="S503" s="2060"/>
      <c r="T503" s="255"/>
      <c r="U503" s="255"/>
      <c r="V503" s="103"/>
    </row>
    <row r="504" spans="2:22">
      <c r="B504" s="2060"/>
      <c r="C504" s="2060"/>
      <c r="D504" s="2060"/>
      <c r="E504" s="255"/>
      <c r="H504" s="2060"/>
      <c r="I504" s="106"/>
      <c r="J504" s="2060"/>
      <c r="K504" s="2060"/>
      <c r="L504" s="2060"/>
      <c r="M504" s="2060"/>
      <c r="N504" s="2060"/>
      <c r="O504" s="2060"/>
      <c r="P504" s="2060"/>
      <c r="Q504" s="2060"/>
      <c r="R504" s="2060"/>
      <c r="S504" s="2060"/>
      <c r="T504" s="255"/>
      <c r="U504" s="255"/>
      <c r="V504" s="103"/>
    </row>
    <row r="505" spans="2:22">
      <c r="B505" s="2060"/>
      <c r="C505" s="2060"/>
      <c r="D505" s="2060"/>
      <c r="E505" s="255"/>
      <c r="H505" s="2060"/>
      <c r="I505" s="106"/>
      <c r="J505" s="2060"/>
      <c r="K505" s="2060"/>
      <c r="L505" s="2060"/>
      <c r="M505" s="2060"/>
      <c r="N505" s="2060"/>
      <c r="O505" s="2060"/>
      <c r="P505" s="2060"/>
      <c r="Q505" s="2060"/>
      <c r="R505" s="2060"/>
      <c r="S505" s="2060"/>
      <c r="T505" s="255"/>
      <c r="U505" s="255"/>
      <c r="V505" s="103"/>
    </row>
    <row r="506" spans="2:22">
      <c r="B506" s="2060"/>
      <c r="C506" s="2060"/>
      <c r="D506" s="2060"/>
      <c r="E506" s="255"/>
      <c r="H506" s="2060"/>
      <c r="I506" s="106"/>
      <c r="J506" s="2060"/>
      <c r="K506" s="2060"/>
      <c r="L506" s="2060"/>
      <c r="M506" s="2060"/>
      <c r="N506" s="2060"/>
      <c r="O506" s="2060"/>
      <c r="P506" s="2060"/>
      <c r="Q506" s="2060"/>
      <c r="R506" s="2060"/>
      <c r="S506" s="2060"/>
      <c r="T506" s="255"/>
      <c r="U506" s="255"/>
      <c r="V506" s="103"/>
    </row>
    <row r="507" spans="2:22">
      <c r="B507" s="2060"/>
      <c r="C507" s="2060"/>
      <c r="D507" s="2060"/>
      <c r="E507" s="255"/>
      <c r="H507" s="2060"/>
      <c r="I507" s="106"/>
      <c r="J507" s="2060"/>
      <c r="K507" s="2060"/>
      <c r="L507" s="2060"/>
      <c r="M507" s="2060"/>
      <c r="N507" s="2060"/>
      <c r="O507" s="2060"/>
      <c r="P507" s="2060"/>
      <c r="Q507" s="2060"/>
      <c r="R507" s="2060"/>
      <c r="S507" s="2060"/>
      <c r="T507" s="255"/>
      <c r="U507" s="255"/>
      <c r="V507" s="103"/>
    </row>
    <row r="508" spans="2:22">
      <c r="B508" s="2060"/>
      <c r="C508" s="2060"/>
      <c r="D508" s="2060"/>
      <c r="E508" s="255"/>
      <c r="H508" s="2060"/>
      <c r="I508" s="106"/>
      <c r="J508" s="2060"/>
      <c r="K508" s="2060"/>
      <c r="L508" s="2060"/>
      <c r="M508" s="2060"/>
      <c r="N508" s="2060"/>
      <c r="O508" s="2060"/>
      <c r="P508" s="2060"/>
      <c r="Q508" s="2060"/>
      <c r="R508" s="2060"/>
      <c r="S508" s="2060"/>
      <c r="T508" s="255"/>
      <c r="U508" s="255"/>
      <c r="V508" s="103"/>
    </row>
    <row r="509" spans="2:22">
      <c r="B509" s="2060"/>
      <c r="C509" s="2060"/>
      <c r="D509" s="2060"/>
      <c r="E509" s="255"/>
      <c r="H509" s="2060"/>
      <c r="I509" s="106"/>
      <c r="J509" s="2060"/>
      <c r="K509" s="2060"/>
      <c r="L509" s="2060"/>
      <c r="M509" s="2060"/>
      <c r="N509" s="2060"/>
      <c r="O509" s="2060"/>
      <c r="P509" s="2060"/>
      <c r="Q509" s="2060"/>
      <c r="R509" s="2060"/>
      <c r="S509" s="2060"/>
      <c r="T509" s="255"/>
      <c r="U509" s="255"/>
      <c r="V509" s="103"/>
    </row>
    <row r="510" spans="2:22">
      <c r="B510" s="2060"/>
      <c r="C510" s="2060"/>
      <c r="D510" s="2060"/>
      <c r="E510" s="255"/>
      <c r="H510" s="2060"/>
      <c r="I510" s="106"/>
      <c r="J510" s="2060"/>
      <c r="K510" s="2060"/>
      <c r="L510" s="2060"/>
      <c r="M510" s="2060"/>
      <c r="N510" s="2060"/>
      <c r="O510" s="2060"/>
      <c r="P510" s="2060"/>
      <c r="Q510" s="2060"/>
      <c r="R510" s="2060"/>
      <c r="S510" s="2060"/>
      <c r="T510" s="255"/>
      <c r="U510" s="255"/>
      <c r="V510" s="103"/>
    </row>
    <row r="511" spans="2:22">
      <c r="B511" s="2060"/>
      <c r="C511" s="2060"/>
      <c r="D511" s="2060"/>
      <c r="E511" s="255"/>
      <c r="H511" s="2060"/>
      <c r="I511" s="106"/>
      <c r="J511" s="2060"/>
      <c r="K511" s="2060"/>
      <c r="L511" s="2060"/>
      <c r="M511" s="2060"/>
      <c r="N511" s="2060"/>
      <c r="O511" s="2060"/>
      <c r="P511" s="2060"/>
      <c r="Q511" s="2060"/>
      <c r="R511" s="2060"/>
      <c r="S511" s="2060"/>
      <c r="T511" s="255"/>
      <c r="U511" s="255"/>
      <c r="V511" s="103"/>
    </row>
    <row r="512" spans="2:22">
      <c r="B512" s="2060"/>
      <c r="C512" s="2060"/>
      <c r="D512" s="2060"/>
      <c r="E512" s="255"/>
      <c r="H512" s="2060"/>
      <c r="I512" s="106"/>
      <c r="J512" s="2060"/>
      <c r="K512" s="2060"/>
      <c r="L512" s="2060"/>
      <c r="M512" s="2060"/>
      <c r="N512" s="2060"/>
      <c r="O512" s="2060"/>
      <c r="P512" s="2060"/>
      <c r="Q512" s="2060"/>
      <c r="R512" s="2060"/>
      <c r="S512" s="2060"/>
      <c r="T512" s="255"/>
      <c r="U512" s="255"/>
      <c r="V512" s="103"/>
    </row>
    <row r="513" spans="2:22">
      <c r="B513" s="2060"/>
      <c r="C513" s="2060"/>
      <c r="D513" s="2060"/>
      <c r="E513" s="255"/>
      <c r="H513" s="2060"/>
      <c r="I513" s="106"/>
      <c r="J513" s="2060"/>
      <c r="K513" s="2060"/>
      <c r="L513" s="2060"/>
      <c r="M513" s="2060"/>
      <c r="N513" s="2060"/>
      <c r="O513" s="2060"/>
      <c r="P513" s="2060"/>
      <c r="Q513" s="2060"/>
      <c r="R513" s="2060"/>
      <c r="S513" s="2060"/>
      <c r="T513" s="255"/>
      <c r="U513" s="255"/>
      <c r="V513" s="103"/>
    </row>
    <row r="514" spans="2:22">
      <c r="B514" s="2060"/>
      <c r="C514" s="2060"/>
      <c r="D514" s="2060"/>
      <c r="E514" s="255"/>
      <c r="H514" s="2060"/>
      <c r="I514" s="106"/>
      <c r="J514" s="2060"/>
      <c r="K514" s="2060"/>
      <c r="L514" s="2060"/>
      <c r="M514" s="2060"/>
      <c r="N514" s="2060"/>
      <c r="O514" s="2060"/>
      <c r="P514" s="2060"/>
      <c r="Q514" s="2060"/>
      <c r="R514" s="2060"/>
      <c r="S514" s="2060"/>
      <c r="T514" s="255"/>
      <c r="U514" s="255"/>
      <c r="V514" s="103"/>
    </row>
    <row r="515" spans="2:22">
      <c r="B515" s="2060"/>
      <c r="C515" s="2060"/>
      <c r="D515" s="2060"/>
      <c r="E515" s="255"/>
      <c r="H515" s="2060"/>
      <c r="I515" s="106"/>
      <c r="J515" s="2060"/>
      <c r="K515" s="2060"/>
      <c r="L515" s="2060"/>
      <c r="M515" s="2060"/>
      <c r="N515" s="2060"/>
      <c r="O515" s="2060"/>
      <c r="P515" s="2060"/>
      <c r="Q515" s="2060"/>
      <c r="R515" s="2060"/>
      <c r="S515" s="2060"/>
      <c r="T515" s="255"/>
      <c r="U515" s="255"/>
      <c r="V515" s="103"/>
    </row>
    <row r="516" spans="2:22">
      <c r="B516" s="2060"/>
      <c r="C516" s="2060"/>
      <c r="D516" s="2060"/>
      <c r="E516" s="255"/>
      <c r="H516" s="2060"/>
      <c r="I516" s="106"/>
      <c r="J516" s="2060"/>
      <c r="K516" s="2060"/>
      <c r="L516" s="2060"/>
      <c r="M516" s="2060"/>
      <c r="N516" s="2060"/>
      <c r="O516" s="2060"/>
      <c r="P516" s="2060"/>
      <c r="Q516" s="2060"/>
      <c r="R516" s="2060"/>
      <c r="S516" s="2060"/>
      <c r="T516" s="255"/>
      <c r="U516" s="255"/>
      <c r="V516" s="103"/>
    </row>
    <row r="517" spans="2:22">
      <c r="B517" s="2060"/>
      <c r="C517" s="2060"/>
      <c r="D517" s="2060"/>
      <c r="E517" s="255"/>
      <c r="H517" s="2060"/>
      <c r="I517" s="106"/>
      <c r="J517" s="2060"/>
      <c r="K517" s="2060"/>
      <c r="L517" s="2060"/>
      <c r="M517" s="2060"/>
      <c r="N517" s="2060"/>
      <c r="O517" s="2060"/>
      <c r="P517" s="2060"/>
      <c r="Q517" s="2060"/>
      <c r="R517" s="2060"/>
      <c r="S517" s="2060"/>
      <c r="T517" s="255"/>
      <c r="U517" s="255"/>
      <c r="V517" s="103"/>
    </row>
    <row r="518" spans="2:22">
      <c r="B518" s="2060"/>
      <c r="C518" s="2060"/>
      <c r="D518" s="2060"/>
      <c r="E518" s="255"/>
      <c r="H518" s="2060"/>
      <c r="I518" s="106"/>
      <c r="J518" s="2060"/>
      <c r="K518" s="2060"/>
      <c r="L518" s="2060"/>
      <c r="M518" s="2060"/>
      <c r="N518" s="2060"/>
      <c r="O518" s="2060"/>
      <c r="P518" s="2060"/>
      <c r="Q518" s="2060"/>
      <c r="R518" s="2060"/>
      <c r="S518" s="2060"/>
      <c r="T518" s="255"/>
      <c r="U518" s="255"/>
      <c r="V518" s="103"/>
    </row>
    <row r="519" spans="2:22">
      <c r="B519" s="2060"/>
      <c r="C519" s="2060"/>
      <c r="D519" s="2060"/>
      <c r="E519" s="255"/>
      <c r="H519" s="2060"/>
      <c r="I519" s="106"/>
      <c r="J519" s="2060"/>
      <c r="K519" s="2060"/>
      <c r="L519" s="2060"/>
      <c r="M519" s="2060"/>
      <c r="N519" s="2060"/>
      <c r="O519" s="2060"/>
      <c r="P519" s="2060"/>
      <c r="Q519" s="2060"/>
      <c r="R519" s="2060"/>
      <c r="S519" s="2060"/>
      <c r="T519" s="255"/>
      <c r="U519" s="255"/>
      <c r="V519" s="103"/>
    </row>
    <row r="520" spans="2:22">
      <c r="B520" s="2060"/>
      <c r="C520" s="2060"/>
      <c r="D520" s="2060"/>
      <c r="E520" s="255"/>
      <c r="H520" s="2060"/>
      <c r="I520" s="106"/>
      <c r="J520" s="2060"/>
      <c r="K520" s="2060"/>
      <c r="L520" s="2060"/>
      <c r="M520" s="2060"/>
      <c r="N520" s="2060"/>
      <c r="O520" s="2060"/>
      <c r="P520" s="2060"/>
      <c r="Q520" s="2060"/>
      <c r="R520" s="2060"/>
      <c r="S520" s="2060"/>
      <c r="T520" s="255"/>
      <c r="U520" s="255"/>
      <c r="V520" s="103"/>
    </row>
    <row r="521" spans="2:22">
      <c r="B521" s="2060"/>
      <c r="C521" s="2060"/>
      <c r="D521" s="2060"/>
      <c r="E521" s="255"/>
      <c r="H521" s="2060"/>
      <c r="I521" s="106"/>
      <c r="J521" s="2060"/>
      <c r="K521" s="2060"/>
      <c r="L521" s="2060"/>
      <c r="M521" s="2060"/>
      <c r="N521" s="2060"/>
      <c r="O521" s="2060"/>
      <c r="P521" s="2060"/>
      <c r="Q521" s="2060"/>
      <c r="R521" s="2060"/>
      <c r="S521" s="2060"/>
      <c r="T521" s="255"/>
      <c r="U521" s="255"/>
      <c r="V521" s="103"/>
    </row>
    <row r="522" spans="2:22">
      <c r="B522" s="2060"/>
      <c r="C522" s="2060"/>
      <c r="D522" s="2060"/>
      <c r="E522" s="255"/>
      <c r="H522" s="2060"/>
      <c r="I522" s="106"/>
      <c r="J522" s="2060"/>
      <c r="K522" s="2060"/>
      <c r="L522" s="2060"/>
      <c r="M522" s="2060"/>
      <c r="N522" s="2060"/>
      <c r="O522" s="2060"/>
      <c r="P522" s="2060"/>
      <c r="Q522" s="2060"/>
      <c r="R522" s="2060"/>
      <c r="S522" s="2060"/>
      <c r="T522" s="255"/>
      <c r="U522" s="255"/>
      <c r="V522" s="103"/>
    </row>
    <row r="523" spans="2:22">
      <c r="B523" s="2060"/>
      <c r="C523" s="2060"/>
      <c r="D523" s="2060"/>
      <c r="E523" s="255"/>
      <c r="H523" s="2060"/>
      <c r="I523" s="106"/>
      <c r="J523" s="2060"/>
      <c r="K523" s="2060"/>
      <c r="L523" s="2060"/>
      <c r="M523" s="2060"/>
      <c r="N523" s="2060"/>
      <c r="O523" s="2060"/>
      <c r="P523" s="2060"/>
      <c r="Q523" s="2060"/>
      <c r="R523" s="2060"/>
      <c r="S523" s="2060"/>
      <c r="T523" s="255"/>
      <c r="U523" s="255"/>
      <c r="V523" s="103"/>
    </row>
    <row r="524" spans="2:22">
      <c r="B524" s="2060"/>
      <c r="C524" s="2060"/>
      <c r="D524" s="2060"/>
      <c r="E524" s="255"/>
      <c r="H524" s="2060"/>
      <c r="I524" s="106"/>
      <c r="J524" s="2060"/>
      <c r="K524" s="2060"/>
      <c r="L524" s="2060"/>
      <c r="M524" s="2060"/>
      <c r="N524" s="2060"/>
      <c r="O524" s="2060"/>
      <c r="P524" s="2060"/>
      <c r="Q524" s="2060"/>
      <c r="R524" s="2060"/>
      <c r="S524" s="2060"/>
      <c r="T524" s="255"/>
      <c r="U524" s="255"/>
      <c r="V524" s="103"/>
    </row>
    <row r="525" spans="2:22">
      <c r="B525" s="2060"/>
      <c r="C525" s="2060"/>
      <c r="D525" s="2060"/>
      <c r="E525" s="255"/>
      <c r="H525" s="2060"/>
      <c r="I525" s="106"/>
      <c r="J525" s="2060"/>
      <c r="K525" s="2060"/>
      <c r="L525" s="2060"/>
      <c r="M525" s="2060"/>
      <c r="N525" s="2060"/>
      <c r="O525" s="2060"/>
      <c r="P525" s="2060"/>
      <c r="Q525" s="2060"/>
      <c r="R525" s="2060"/>
      <c r="S525" s="2060"/>
      <c r="T525" s="255"/>
      <c r="U525" s="255"/>
      <c r="V525" s="103"/>
    </row>
    <row r="526" spans="2:22">
      <c r="B526" s="2060"/>
      <c r="C526" s="2060"/>
      <c r="D526" s="2060"/>
      <c r="E526" s="255"/>
      <c r="H526" s="2060"/>
      <c r="I526" s="106"/>
      <c r="J526" s="2060"/>
      <c r="K526" s="2060"/>
      <c r="L526" s="2060"/>
      <c r="M526" s="2060"/>
      <c r="N526" s="2060"/>
      <c r="O526" s="2060"/>
      <c r="P526" s="2060"/>
      <c r="Q526" s="2060"/>
      <c r="R526" s="2060"/>
      <c r="S526" s="2060"/>
      <c r="T526" s="255"/>
      <c r="U526" s="255"/>
      <c r="V526" s="103"/>
    </row>
    <row r="527" spans="2:22">
      <c r="B527" s="2060"/>
      <c r="C527" s="2060"/>
      <c r="D527" s="2060"/>
      <c r="E527" s="255"/>
      <c r="H527" s="2060"/>
      <c r="I527" s="106"/>
      <c r="J527" s="2060"/>
      <c r="K527" s="2060"/>
      <c r="L527" s="2060"/>
      <c r="M527" s="2060"/>
      <c r="N527" s="2060"/>
      <c r="O527" s="2060"/>
      <c r="P527" s="2060"/>
      <c r="Q527" s="2060"/>
      <c r="R527" s="2060"/>
      <c r="S527" s="2060"/>
      <c r="T527" s="255"/>
      <c r="U527" s="255"/>
      <c r="V527" s="103"/>
    </row>
    <row r="528" spans="2:22">
      <c r="B528" s="2060"/>
      <c r="C528" s="2060"/>
      <c r="D528" s="2060"/>
      <c r="E528" s="255"/>
      <c r="H528" s="2060"/>
      <c r="I528" s="106"/>
      <c r="J528" s="2060"/>
      <c r="K528" s="2060"/>
      <c r="L528" s="2060"/>
      <c r="M528" s="2060"/>
      <c r="N528" s="2060"/>
      <c r="O528" s="2060"/>
      <c r="P528" s="2060"/>
      <c r="Q528" s="2060"/>
      <c r="R528" s="2060"/>
      <c r="S528" s="2060"/>
      <c r="T528" s="255"/>
      <c r="U528" s="255"/>
      <c r="V528" s="103"/>
    </row>
    <row r="529" spans="2:22">
      <c r="B529" s="2060"/>
      <c r="C529" s="2060"/>
      <c r="D529" s="2060"/>
      <c r="E529" s="255"/>
      <c r="H529" s="2060"/>
      <c r="I529" s="106"/>
      <c r="J529" s="2060"/>
      <c r="K529" s="2060"/>
      <c r="L529" s="2060"/>
      <c r="M529" s="2060"/>
      <c r="N529" s="2060"/>
      <c r="O529" s="2060"/>
      <c r="P529" s="2060"/>
      <c r="Q529" s="2060"/>
      <c r="R529" s="2060"/>
      <c r="S529" s="2060"/>
      <c r="T529" s="255"/>
      <c r="U529" s="255"/>
      <c r="V529" s="103"/>
    </row>
    <row r="530" spans="2:22">
      <c r="B530" s="2060"/>
      <c r="C530" s="2060"/>
      <c r="D530" s="2060"/>
      <c r="E530" s="255"/>
      <c r="H530" s="2060"/>
      <c r="I530" s="106"/>
      <c r="J530" s="2060"/>
      <c r="K530" s="2060"/>
      <c r="L530" s="2060"/>
      <c r="M530" s="2060"/>
      <c r="N530" s="2060"/>
      <c r="O530" s="2060"/>
      <c r="P530" s="2060"/>
      <c r="Q530" s="2060"/>
      <c r="R530" s="2060"/>
      <c r="S530" s="2060"/>
      <c r="T530" s="255"/>
      <c r="U530" s="255"/>
      <c r="V530" s="103"/>
    </row>
    <row r="531" spans="2:22">
      <c r="B531" s="2060"/>
      <c r="C531" s="2060"/>
      <c r="D531" s="2060"/>
      <c r="E531" s="255"/>
      <c r="H531" s="2060"/>
      <c r="I531" s="106"/>
      <c r="J531" s="2060"/>
      <c r="K531" s="2060"/>
      <c r="L531" s="2060"/>
      <c r="M531" s="2060"/>
      <c r="N531" s="2060"/>
      <c r="O531" s="2060"/>
      <c r="P531" s="2060"/>
      <c r="Q531" s="2060"/>
      <c r="R531" s="2060"/>
      <c r="S531" s="2060"/>
      <c r="T531" s="255"/>
      <c r="U531" s="255"/>
      <c r="V531" s="103"/>
    </row>
    <row r="532" spans="2:22">
      <c r="B532" s="2060"/>
      <c r="C532" s="2060"/>
      <c r="D532" s="2060"/>
      <c r="E532" s="255"/>
      <c r="H532" s="2060"/>
      <c r="I532" s="106"/>
      <c r="J532" s="2060"/>
      <c r="K532" s="2060"/>
      <c r="L532" s="2060"/>
      <c r="M532" s="2060"/>
      <c r="N532" s="2060"/>
      <c r="O532" s="2060"/>
      <c r="P532" s="2060"/>
      <c r="Q532" s="2060"/>
      <c r="R532" s="2060"/>
      <c r="S532" s="2060"/>
      <c r="T532" s="255"/>
      <c r="U532" s="255"/>
      <c r="V532" s="103"/>
    </row>
    <row r="533" spans="2:22">
      <c r="B533" s="2060"/>
      <c r="C533" s="2060"/>
      <c r="D533" s="2060"/>
      <c r="E533" s="255"/>
      <c r="H533" s="2060"/>
      <c r="I533" s="106"/>
      <c r="J533" s="2060"/>
      <c r="K533" s="2060"/>
      <c r="L533" s="2060"/>
      <c r="M533" s="2060"/>
      <c r="N533" s="2060"/>
      <c r="O533" s="2060"/>
      <c r="P533" s="2060"/>
      <c r="Q533" s="2060"/>
      <c r="R533" s="2060"/>
      <c r="S533" s="2060"/>
      <c r="T533" s="255"/>
      <c r="U533" s="255"/>
      <c r="V533" s="103"/>
    </row>
    <row r="534" spans="2:22">
      <c r="B534" s="2060"/>
      <c r="C534" s="2060"/>
      <c r="D534" s="2060"/>
      <c r="E534" s="255"/>
      <c r="H534" s="2060"/>
      <c r="I534" s="106"/>
      <c r="J534" s="2060"/>
      <c r="K534" s="2060"/>
      <c r="L534" s="2060"/>
      <c r="M534" s="2060"/>
      <c r="N534" s="2060"/>
      <c r="O534" s="2060"/>
      <c r="P534" s="2060"/>
      <c r="Q534" s="2060"/>
      <c r="R534" s="2060"/>
      <c r="S534" s="2060"/>
      <c r="T534" s="255"/>
      <c r="U534" s="255"/>
      <c r="V534" s="103"/>
    </row>
    <row r="535" spans="2:22">
      <c r="B535" s="2060"/>
      <c r="C535" s="2060"/>
      <c r="D535" s="2060"/>
      <c r="E535" s="255"/>
      <c r="H535" s="2060"/>
      <c r="I535" s="106"/>
      <c r="J535" s="2060"/>
      <c r="K535" s="2060"/>
      <c r="L535" s="2060"/>
      <c r="M535" s="2060"/>
      <c r="N535" s="2060"/>
      <c r="O535" s="2060"/>
      <c r="P535" s="2060"/>
      <c r="Q535" s="2060"/>
      <c r="R535" s="2060"/>
      <c r="S535" s="2060"/>
      <c r="T535" s="255"/>
      <c r="U535" s="255"/>
      <c r="V535" s="103"/>
    </row>
    <row r="536" spans="2:22">
      <c r="B536" s="2060"/>
      <c r="C536" s="2060"/>
      <c r="D536" s="2060"/>
      <c r="E536" s="255"/>
      <c r="H536" s="2060"/>
      <c r="I536" s="106"/>
      <c r="J536" s="2060"/>
      <c r="K536" s="2060"/>
      <c r="L536" s="2060"/>
      <c r="M536" s="2060"/>
      <c r="N536" s="2060"/>
      <c r="O536" s="2060"/>
      <c r="P536" s="2060"/>
      <c r="Q536" s="2060"/>
      <c r="R536" s="2060"/>
      <c r="S536" s="2060"/>
      <c r="T536" s="255"/>
      <c r="U536" s="255"/>
      <c r="V536" s="103"/>
    </row>
    <row r="537" spans="2:22">
      <c r="B537" s="2060"/>
      <c r="C537" s="2060"/>
      <c r="D537" s="2060"/>
      <c r="E537" s="255"/>
      <c r="H537" s="2060"/>
      <c r="I537" s="106"/>
      <c r="J537" s="2060"/>
      <c r="K537" s="2060"/>
      <c r="L537" s="2060"/>
      <c r="M537" s="2060"/>
      <c r="N537" s="2060"/>
      <c r="O537" s="2060"/>
      <c r="P537" s="2060"/>
      <c r="Q537" s="2060"/>
      <c r="R537" s="2060"/>
      <c r="S537" s="2060"/>
      <c r="T537" s="255"/>
      <c r="U537" s="255"/>
      <c r="V537" s="103"/>
    </row>
    <row r="538" spans="2:22">
      <c r="B538" s="2060"/>
      <c r="C538" s="2060"/>
      <c r="D538" s="2060"/>
      <c r="E538" s="255"/>
      <c r="H538" s="2060"/>
      <c r="I538" s="106"/>
      <c r="J538" s="2060"/>
      <c r="K538" s="2060"/>
      <c r="L538" s="2060"/>
      <c r="M538" s="2060"/>
      <c r="N538" s="2060"/>
      <c r="O538" s="2060"/>
      <c r="P538" s="2060"/>
      <c r="Q538" s="2060"/>
      <c r="R538" s="2060"/>
      <c r="S538" s="2060"/>
      <c r="T538" s="255"/>
      <c r="U538" s="255"/>
      <c r="V538" s="103"/>
    </row>
    <row r="539" spans="2:22">
      <c r="B539" s="2060"/>
      <c r="C539" s="2060"/>
      <c r="D539" s="2060"/>
      <c r="E539" s="255"/>
      <c r="H539" s="2060"/>
      <c r="I539" s="106"/>
      <c r="J539" s="2060"/>
      <c r="K539" s="2060"/>
      <c r="L539" s="2060"/>
      <c r="M539" s="2060"/>
      <c r="N539" s="2060"/>
      <c r="O539" s="2060"/>
      <c r="P539" s="2060"/>
      <c r="Q539" s="2060"/>
      <c r="R539" s="2060"/>
      <c r="S539" s="2060"/>
      <c r="T539" s="255"/>
      <c r="U539" s="255"/>
      <c r="V539" s="103"/>
    </row>
    <row r="540" spans="2:22">
      <c r="B540" s="2060"/>
      <c r="C540" s="2060"/>
      <c r="D540" s="2060"/>
      <c r="E540" s="255"/>
      <c r="H540" s="2060"/>
      <c r="I540" s="106"/>
      <c r="J540" s="2060"/>
      <c r="K540" s="2060"/>
      <c r="L540" s="2060"/>
      <c r="M540" s="2060"/>
      <c r="N540" s="2060"/>
      <c r="O540" s="2060"/>
      <c r="P540" s="2060"/>
      <c r="Q540" s="2060"/>
      <c r="R540" s="2060"/>
      <c r="S540" s="2060"/>
      <c r="T540" s="255"/>
      <c r="U540" s="255"/>
      <c r="V540" s="103"/>
    </row>
    <row r="541" spans="2:22">
      <c r="B541" s="2060"/>
      <c r="C541" s="2060"/>
      <c r="D541" s="2060"/>
      <c r="E541" s="255"/>
      <c r="H541" s="2060"/>
      <c r="I541" s="106"/>
      <c r="J541" s="2060"/>
      <c r="K541" s="2060"/>
      <c r="L541" s="2060"/>
      <c r="M541" s="2060"/>
      <c r="N541" s="2060"/>
      <c r="O541" s="2060"/>
      <c r="P541" s="2060"/>
      <c r="Q541" s="2060"/>
      <c r="R541" s="2060"/>
      <c r="S541" s="2060"/>
      <c r="T541" s="255"/>
      <c r="U541" s="255"/>
      <c r="V541" s="103"/>
    </row>
    <row r="542" spans="2:22">
      <c r="B542" s="2060"/>
      <c r="C542" s="2060"/>
      <c r="D542" s="2060"/>
      <c r="E542" s="255"/>
      <c r="H542" s="2060"/>
      <c r="I542" s="106"/>
      <c r="J542" s="2060"/>
      <c r="K542" s="2060"/>
      <c r="L542" s="2060"/>
      <c r="M542" s="2060"/>
      <c r="N542" s="2060"/>
      <c r="O542" s="2060"/>
      <c r="P542" s="2060"/>
      <c r="Q542" s="2060"/>
      <c r="R542" s="2060"/>
      <c r="S542" s="2060"/>
      <c r="T542" s="255"/>
      <c r="U542" s="255"/>
      <c r="V542" s="103"/>
    </row>
    <row r="543" spans="2:22">
      <c r="B543" s="2060"/>
      <c r="C543" s="2060"/>
      <c r="D543" s="2060"/>
      <c r="E543" s="255"/>
      <c r="H543" s="2060"/>
      <c r="I543" s="106"/>
      <c r="J543" s="2060"/>
      <c r="K543" s="2060"/>
      <c r="L543" s="2060"/>
      <c r="M543" s="2060"/>
      <c r="N543" s="2060"/>
      <c r="O543" s="2060"/>
      <c r="P543" s="2060"/>
      <c r="Q543" s="2060"/>
      <c r="R543" s="2060"/>
      <c r="S543" s="2060"/>
      <c r="T543" s="255"/>
      <c r="U543" s="255"/>
      <c r="V543" s="103"/>
    </row>
    <row r="544" spans="2:22">
      <c r="B544" s="2060"/>
      <c r="C544" s="2060"/>
      <c r="D544" s="2060"/>
      <c r="E544" s="255"/>
      <c r="H544" s="2060"/>
      <c r="I544" s="106"/>
      <c r="J544" s="2060"/>
      <c r="K544" s="2060"/>
      <c r="L544" s="2060"/>
      <c r="M544" s="2060"/>
      <c r="N544" s="2060"/>
      <c r="O544" s="2060"/>
      <c r="P544" s="2060"/>
      <c r="Q544" s="2060"/>
      <c r="R544" s="2060"/>
      <c r="S544" s="2060"/>
      <c r="T544" s="255"/>
      <c r="U544" s="255"/>
      <c r="V544" s="103"/>
    </row>
    <row r="545" spans="2:22">
      <c r="B545" s="2060"/>
      <c r="C545" s="2060"/>
      <c r="D545" s="2060"/>
      <c r="E545" s="255"/>
      <c r="H545" s="2060"/>
      <c r="I545" s="106"/>
      <c r="J545" s="2060"/>
      <c r="K545" s="2060"/>
      <c r="L545" s="2060"/>
      <c r="M545" s="2060"/>
      <c r="N545" s="2060"/>
      <c r="O545" s="2060"/>
      <c r="P545" s="2060"/>
      <c r="Q545" s="2060"/>
      <c r="R545" s="2060"/>
      <c r="S545" s="2060"/>
      <c r="T545" s="255"/>
      <c r="U545" s="255"/>
      <c r="V545" s="103"/>
    </row>
    <row r="546" spans="2:22">
      <c r="B546" s="2060"/>
      <c r="C546" s="2060"/>
      <c r="D546" s="2060"/>
      <c r="E546" s="255"/>
      <c r="H546" s="2060"/>
      <c r="I546" s="106"/>
      <c r="J546" s="2060"/>
      <c r="K546" s="2060"/>
      <c r="L546" s="2060"/>
      <c r="M546" s="2060"/>
      <c r="N546" s="2060"/>
      <c r="O546" s="2060"/>
      <c r="P546" s="2060"/>
      <c r="Q546" s="2060"/>
      <c r="R546" s="2060"/>
      <c r="S546" s="2060"/>
      <c r="T546" s="255"/>
      <c r="U546" s="255"/>
      <c r="V546" s="103"/>
    </row>
    <row r="547" spans="2:22">
      <c r="B547" s="2060"/>
      <c r="C547" s="2060"/>
      <c r="D547" s="2060"/>
      <c r="E547" s="255"/>
      <c r="H547" s="2060"/>
      <c r="I547" s="106"/>
      <c r="J547" s="2060"/>
      <c r="K547" s="2060"/>
      <c r="L547" s="2060"/>
      <c r="M547" s="2060"/>
      <c r="N547" s="2060"/>
      <c r="O547" s="2060"/>
      <c r="P547" s="2060"/>
      <c r="Q547" s="2060"/>
      <c r="R547" s="2060"/>
      <c r="S547" s="2060"/>
      <c r="T547" s="255"/>
      <c r="U547" s="255"/>
      <c r="V547" s="103"/>
    </row>
    <row r="548" spans="2:22">
      <c r="B548" s="2060"/>
      <c r="C548" s="2060"/>
      <c r="D548" s="2060"/>
      <c r="E548" s="255"/>
      <c r="H548" s="2060"/>
      <c r="I548" s="106"/>
      <c r="J548" s="2060"/>
      <c r="K548" s="2060"/>
      <c r="L548" s="2060"/>
      <c r="M548" s="2060"/>
      <c r="N548" s="2060"/>
      <c r="O548" s="2060"/>
      <c r="P548" s="2060"/>
      <c r="Q548" s="2060"/>
      <c r="R548" s="2060"/>
      <c r="S548" s="2060"/>
      <c r="T548" s="255"/>
      <c r="U548" s="255"/>
      <c r="V548" s="103"/>
    </row>
    <row r="549" spans="2:22">
      <c r="B549" s="2060"/>
      <c r="C549" s="2060"/>
      <c r="D549" s="2060"/>
      <c r="E549" s="255"/>
      <c r="H549" s="2060"/>
      <c r="I549" s="106"/>
      <c r="J549" s="2060"/>
      <c r="K549" s="2060"/>
      <c r="L549" s="2060"/>
      <c r="M549" s="2060"/>
      <c r="N549" s="2060"/>
      <c r="O549" s="2060"/>
      <c r="P549" s="2060"/>
      <c r="Q549" s="2060"/>
      <c r="R549" s="2060"/>
      <c r="S549" s="2060"/>
      <c r="T549" s="255"/>
      <c r="U549" s="255"/>
      <c r="V549" s="103"/>
    </row>
    <row r="550" spans="2:22">
      <c r="B550" s="2060"/>
      <c r="C550" s="2060"/>
      <c r="D550" s="2060"/>
      <c r="E550" s="255"/>
      <c r="H550" s="2060"/>
      <c r="I550" s="106"/>
      <c r="J550" s="2060"/>
      <c r="K550" s="2060"/>
      <c r="L550" s="2060"/>
      <c r="M550" s="2060"/>
      <c r="N550" s="2060"/>
      <c r="O550" s="2060"/>
      <c r="P550" s="2060"/>
      <c r="Q550" s="2060"/>
      <c r="R550" s="2060"/>
      <c r="S550" s="2060"/>
      <c r="T550" s="255"/>
      <c r="U550" s="255"/>
      <c r="V550" s="103"/>
    </row>
    <row r="551" spans="2:22">
      <c r="B551" s="2060"/>
      <c r="C551" s="2060"/>
      <c r="D551" s="2060"/>
      <c r="E551" s="255"/>
      <c r="H551" s="2060"/>
      <c r="I551" s="106"/>
      <c r="J551" s="2060"/>
      <c r="K551" s="2060"/>
      <c r="L551" s="2060"/>
      <c r="M551" s="2060"/>
      <c r="N551" s="2060"/>
      <c r="O551" s="2060"/>
      <c r="P551" s="2060"/>
      <c r="Q551" s="2060"/>
      <c r="R551" s="2060"/>
      <c r="S551" s="2060"/>
      <c r="T551" s="255"/>
      <c r="U551" s="255"/>
      <c r="V551" s="103"/>
    </row>
    <row r="552" spans="2:22">
      <c r="B552" s="2060"/>
      <c r="C552" s="2060"/>
      <c r="D552" s="2060"/>
      <c r="E552" s="255"/>
      <c r="H552" s="2060"/>
      <c r="I552" s="106"/>
      <c r="J552" s="2060"/>
      <c r="K552" s="2060"/>
      <c r="L552" s="2060"/>
      <c r="M552" s="2060"/>
      <c r="N552" s="2060"/>
      <c r="O552" s="2060"/>
      <c r="P552" s="2060"/>
      <c r="Q552" s="2060"/>
      <c r="R552" s="2060"/>
      <c r="S552" s="2060"/>
      <c r="T552" s="255"/>
      <c r="U552" s="255"/>
      <c r="V552" s="103"/>
    </row>
    <row r="553" spans="2:22">
      <c r="B553" s="2060"/>
      <c r="C553" s="2060"/>
      <c r="D553" s="2060"/>
      <c r="E553" s="255"/>
      <c r="H553" s="2060"/>
      <c r="I553" s="106"/>
      <c r="J553" s="2060"/>
      <c r="K553" s="2060"/>
      <c r="L553" s="2060"/>
      <c r="M553" s="2060"/>
      <c r="N553" s="2060"/>
      <c r="O553" s="2060"/>
      <c r="P553" s="2060"/>
      <c r="Q553" s="2060"/>
      <c r="R553" s="2060"/>
      <c r="S553" s="2060"/>
      <c r="T553" s="255"/>
      <c r="U553" s="255"/>
      <c r="V553" s="103"/>
    </row>
    <row r="554" spans="2:22">
      <c r="B554" s="2060"/>
      <c r="C554" s="2060"/>
      <c r="D554" s="2060"/>
      <c r="E554" s="255"/>
      <c r="H554" s="2060"/>
      <c r="I554" s="106"/>
      <c r="J554" s="2060"/>
      <c r="K554" s="2060"/>
      <c r="L554" s="2060"/>
      <c r="M554" s="2060"/>
      <c r="N554" s="2060"/>
      <c r="O554" s="2060"/>
      <c r="P554" s="2060"/>
      <c r="Q554" s="2060"/>
      <c r="R554" s="2060"/>
      <c r="S554" s="2060"/>
      <c r="T554" s="255"/>
      <c r="U554" s="255"/>
      <c r="V554" s="103"/>
    </row>
    <row r="555" spans="2:22">
      <c r="B555" s="2060"/>
      <c r="C555" s="2060"/>
      <c r="D555" s="2060"/>
      <c r="E555" s="255"/>
      <c r="H555" s="2060"/>
      <c r="I555" s="106"/>
      <c r="J555" s="2060"/>
      <c r="K555" s="2060"/>
      <c r="L555" s="2060"/>
      <c r="M555" s="2060"/>
      <c r="N555" s="2060"/>
      <c r="O555" s="2060"/>
      <c r="P555" s="2060"/>
      <c r="Q555" s="2060"/>
      <c r="R555" s="2060"/>
      <c r="S555" s="2060"/>
      <c r="T555" s="255"/>
      <c r="U555" s="255"/>
      <c r="V555" s="103"/>
    </row>
    <row r="556" spans="2:22">
      <c r="B556" s="2060"/>
      <c r="C556" s="2060"/>
      <c r="D556" s="2060"/>
      <c r="E556" s="255"/>
      <c r="H556" s="2060"/>
      <c r="I556" s="106"/>
      <c r="J556" s="2060"/>
      <c r="K556" s="2060"/>
      <c r="L556" s="2060"/>
      <c r="M556" s="2060"/>
      <c r="N556" s="2060"/>
      <c r="O556" s="2060"/>
      <c r="P556" s="2060"/>
      <c r="Q556" s="2060"/>
      <c r="R556" s="2060"/>
      <c r="S556" s="2060"/>
      <c r="T556" s="255"/>
      <c r="U556" s="255"/>
      <c r="V556" s="103"/>
    </row>
    <row r="557" spans="2:22">
      <c r="B557" s="2060"/>
      <c r="C557" s="2060"/>
      <c r="D557" s="2060"/>
      <c r="E557" s="255"/>
      <c r="H557" s="2060"/>
      <c r="I557" s="106"/>
      <c r="J557" s="2060"/>
      <c r="K557" s="2060"/>
      <c r="L557" s="2060"/>
      <c r="M557" s="2060"/>
      <c r="N557" s="2060"/>
      <c r="O557" s="2060"/>
      <c r="P557" s="2060"/>
      <c r="Q557" s="2060"/>
      <c r="R557" s="2060"/>
      <c r="S557" s="2060"/>
      <c r="T557" s="255"/>
      <c r="U557" s="255"/>
      <c r="V557" s="103"/>
    </row>
    <row r="558" spans="2:22">
      <c r="B558" s="2060"/>
      <c r="C558" s="2060"/>
      <c r="D558" s="2060"/>
      <c r="E558" s="255"/>
      <c r="H558" s="2060"/>
      <c r="I558" s="106"/>
      <c r="J558" s="2060"/>
      <c r="K558" s="2060"/>
      <c r="L558" s="2060"/>
      <c r="M558" s="2060"/>
      <c r="N558" s="2060"/>
      <c r="O558" s="2060"/>
      <c r="P558" s="2060"/>
      <c r="Q558" s="2060"/>
      <c r="R558" s="2060"/>
      <c r="S558" s="2060"/>
      <c r="T558" s="255"/>
      <c r="U558" s="255"/>
      <c r="V558" s="103"/>
    </row>
    <row r="559" spans="2:22">
      <c r="B559" s="2060"/>
      <c r="C559" s="2060"/>
      <c r="D559" s="2060"/>
      <c r="E559" s="255"/>
      <c r="H559" s="2060"/>
      <c r="I559" s="106"/>
      <c r="J559" s="2060"/>
      <c r="K559" s="2060"/>
      <c r="L559" s="2060"/>
      <c r="M559" s="2060"/>
      <c r="N559" s="2060"/>
      <c r="O559" s="2060"/>
      <c r="P559" s="2060"/>
      <c r="Q559" s="2060"/>
      <c r="R559" s="2060"/>
      <c r="S559" s="2060"/>
      <c r="T559" s="255"/>
      <c r="U559" s="255"/>
      <c r="V559" s="103"/>
    </row>
    <row r="560" spans="2:22">
      <c r="B560" s="2060"/>
      <c r="C560" s="2060"/>
      <c r="D560" s="2060"/>
      <c r="E560" s="255"/>
      <c r="H560" s="2060"/>
      <c r="I560" s="106"/>
      <c r="J560" s="2060"/>
      <c r="K560" s="2060"/>
      <c r="L560" s="2060"/>
      <c r="M560" s="2060"/>
      <c r="N560" s="2060"/>
      <c r="O560" s="2060"/>
      <c r="P560" s="2060"/>
      <c r="Q560" s="2060"/>
      <c r="R560" s="2060"/>
      <c r="S560" s="2060"/>
      <c r="T560" s="255"/>
      <c r="U560" s="255"/>
      <c r="V560" s="103"/>
    </row>
    <row r="561" spans="2:22">
      <c r="B561" s="2060"/>
      <c r="C561" s="2060"/>
      <c r="D561" s="2060"/>
      <c r="E561" s="255"/>
      <c r="H561" s="2060"/>
      <c r="I561" s="106"/>
      <c r="J561" s="2060"/>
      <c r="K561" s="2060"/>
      <c r="L561" s="2060"/>
      <c r="M561" s="2060"/>
      <c r="N561" s="2060"/>
      <c r="O561" s="2060"/>
      <c r="P561" s="2060"/>
      <c r="Q561" s="2060"/>
      <c r="R561" s="2060"/>
      <c r="S561" s="2060"/>
      <c r="T561" s="255"/>
      <c r="U561" s="255"/>
      <c r="V561" s="103"/>
    </row>
    <row r="562" spans="2:22">
      <c r="B562" s="2060"/>
      <c r="C562" s="2060"/>
      <c r="D562" s="2060"/>
      <c r="E562" s="255"/>
      <c r="H562" s="2060"/>
      <c r="I562" s="106"/>
      <c r="J562" s="2060"/>
      <c r="K562" s="2060"/>
      <c r="L562" s="2060"/>
      <c r="M562" s="2060"/>
      <c r="N562" s="2060"/>
      <c r="O562" s="2060"/>
      <c r="P562" s="2060"/>
      <c r="Q562" s="2060"/>
      <c r="R562" s="2060"/>
      <c r="S562" s="2060"/>
      <c r="T562" s="255"/>
      <c r="U562" s="255"/>
      <c r="V562" s="103"/>
    </row>
    <row r="563" spans="2:22">
      <c r="B563" s="2060"/>
      <c r="C563" s="2060"/>
      <c r="D563" s="2060"/>
      <c r="E563" s="255"/>
      <c r="H563" s="2060"/>
      <c r="I563" s="106"/>
      <c r="J563" s="2060"/>
      <c r="K563" s="2060"/>
      <c r="L563" s="2060"/>
      <c r="M563" s="2060"/>
      <c r="N563" s="2060"/>
      <c r="O563" s="2060"/>
      <c r="P563" s="2060"/>
      <c r="Q563" s="2060"/>
      <c r="R563" s="2060"/>
      <c r="S563" s="2060"/>
      <c r="T563" s="255"/>
      <c r="U563" s="255"/>
      <c r="V563" s="103"/>
    </row>
    <row r="564" spans="2:22">
      <c r="B564" s="2060"/>
      <c r="C564" s="2060"/>
      <c r="D564" s="2060"/>
      <c r="E564" s="255"/>
      <c r="H564" s="2060"/>
      <c r="I564" s="106"/>
      <c r="J564" s="2060"/>
      <c r="K564" s="2060"/>
      <c r="L564" s="2060"/>
      <c r="M564" s="2060"/>
      <c r="N564" s="2060"/>
      <c r="O564" s="2060"/>
      <c r="P564" s="2060"/>
      <c r="Q564" s="2060"/>
      <c r="R564" s="2060"/>
      <c r="S564" s="2060"/>
      <c r="T564" s="255"/>
      <c r="U564" s="255"/>
      <c r="V564" s="103"/>
    </row>
    <row r="565" spans="2:22">
      <c r="B565" s="2060"/>
      <c r="C565" s="2060"/>
      <c r="D565" s="2060"/>
      <c r="E565" s="255"/>
      <c r="H565" s="2060"/>
      <c r="I565" s="106"/>
      <c r="J565" s="2060"/>
      <c r="K565" s="2060"/>
      <c r="L565" s="2060"/>
      <c r="M565" s="2060"/>
      <c r="N565" s="2060"/>
      <c r="O565" s="2060"/>
      <c r="P565" s="2060"/>
      <c r="Q565" s="2060"/>
      <c r="R565" s="2060"/>
      <c r="S565" s="2060"/>
      <c r="T565" s="255"/>
      <c r="U565" s="255"/>
      <c r="V565" s="103"/>
    </row>
    <row r="566" spans="2:22">
      <c r="B566" s="2060"/>
      <c r="C566" s="2060"/>
      <c r="D566" s="2060"/>
      <c r="E566" s="255"/>
      <c r="H566" s="2060"/>
      <c r="I566" s="106"/>
      <c r="J566" s="2060"/>
      <c r="K566" s="2060"/>
      <c r="L566" s="2060"/>
      <c r="M566" s="2060"/>
      <c r="N566" s="2060"/>
      <c r="O566" s="2060"/>
      <c r="P566" s="2060"/>
      <c r="Q566" s="2060"/>
      <c r="R566" s="2060"/>
      <c r="S566" s="2060"/>
      <c r="T566" s="255"/>
      <c r="U566" s="255"/>
      <c r="V566" s="103"/>
    </row>
    <row r="567" spans="2:22">
      <c r="B567" s="2060"/>
      <c r="C567" s="2060"/>
      <c r="D567" s="2060"/>
      <c r="E567" s="255"/>
      <c r="H567" s="2060"/>
      <c r="I567" s="106"/>
      <c r="J567" s="2060"/>
      <c r="K567" s="2060"/>
      <c r="L567" s="2060"/>
      <c r="M567" s="2060"/>
      <c r="N567" s="2060"/>
      <c r="O567" s="2060"/>
      <c r="P567" s="2060"/>
      <c r="Q567" s="2060"/>
      <c r="R567" s="2060"/>
      <c r="S567" s="2060"/>
      <c r="T567" s="255"/>
      <c r="U567" s="255"/>
      <c r="V567" s="103"/>
    </row>
    <row r="568" spans="2:22">
      <c r="B568" s="2060"/>
      <c r="C568" s="2060"/>
      <c r="D568" s="2060"/>
      <c r="E568" s="255"/>
      <c r="H568" s="2060"/>
      <c r="I568" s="106"/>
      <c r="J568" s="2060"/>
      <c r="K568" s="2060"/>
      <c r="L568" s="2060"/>
      <c r="M568" s="2060"/>
      <c r="N568" s="2060"/>
      <c r="O568" s="2060"/>
      <c r="P568" s="2060"/>
      <c r="Q568" s="2060"/>
      <c r="R568" s="2060"/>
      <c r="S568" s="2060"/>
      <c r="T568" s="255"/>
      <c r="U568" s="255"/>
      <c r="V568" s="103"/>
    </row>
    <row r="569" spans="2:22">
      <c r="B569" s="2060"/>
      <c r="C569" s="2060"/>
      <c r="D569" s="2060"/>
      <c r="E569" s="255"/>
      <c r="H569" s="2060"/>
      <c r="I569" s="106"/>
      <c r="J569" s="2060"/>
      <c r="K569" s="2060"/>
      <c r="L569" s="2060"/>
      <c r="M569" s="2060"/>
      <c r="N569" s="2060"/>
      <c r="O569" s="2060"/>
      <c r="P569" s="2060"/>
      <c r="Q569" s="2060"/>
      <c r="R569" s="2060"/>
      <c r="S569" s="2060"/>
      <c r="T569" s="255"/>
      <c r="U569" s="255"/>
      <c r="V569" s="103"/>
    </row>
    <row r="570" spans="2:22">
      <c r="B570" s="2060"/>
      <c r="C570" s="2060"/>
      <c r="D570" s="2060"/>
      <c r="E570" s="255"/>
      <c r="H570" s="2060"/>
      <c r="I570" s="106"/>
      <c r="J570" s="2060"/>
      <c r="K570" s="2060"/>
      <c r="L570" s="2060"/>
      <c r="M570" s="2060"/>
      <c r="N570" s="2060"/>
      <c r="O570" s="2060"/>
      <c r="P570" s="2060"/>
      <c r="Q570" s="2060"/>
      <c r="R570" s="2060"/>
      <c r="S570" s="2060"/>
      <c r="T570" s="255"/>
      <c r="U570" s="255"/>
      <c r="V570" s="103"/>
    </row>
    <row r="571" spans="2:22">
      <c r="B571" s="2060"/>
      <c r="C571" s="2060"/>
      <c r="D571" s="2060"/>
      <c r="E571" s="255"/>
      <c r="H571" s="2060"/>
      <c r="I571" s="106"/>
      <c r="J571" s="2060"/>
      <c r="K571" s="2060"/>
      <c r="L571" s="2060"/>
      <c r="M571" s="2060"/>
      <c r="N571" s="2060"/>
      <c r="O571" s="2060"/>
      <c r="P571" s="2060"/>
      <c r="Q571" s="2060"/>
      <c r="R571" s="2060"/>
      <c r="S571" s="2060"/>
      <c r="T571" s="255"/>
      <c r="U571" s="255"/>
      <c r="V571" s="103"/>
    </row>
    <row r="572" spans="2:22">
      <c r="B572" s="2060"/>
      <c r="C572" s="2060"/>
      <c r="D572" s="2060"/>
      <c r="E572" s="255"/>
      <c r="H572" s="2060"/>
      <c r="I572" s="106"/>
      <c r="J572" s="2060"/>
      <c r="K572" s="2060"/>
      <c r="L572" s="2060"/>
      <c r="M572" s="2060"/>
      <c r="N572" s="2060"/>
      <c r="O572" s="2060"/>
      <c r="P572" s="2060"/>
      <c r="Q572" s="2060"/>
      <c r="R572" s="2060"/>
      <c r="S572" s="2060"/>
      <c r="T572" s="255"/>
      <c r="U572" s="255"/>
      <c r="V572" s="103"/>
    </row>
    <row r="573" spans="2:22">
      <c r="B573" s="2060"/>
      <c r="C573" s="2060"/>
      <c r="D573" s="2060"/>
      <c r="E573" s="255"/>
      <c r="H573" s="2060"/>
      <c r="I573" s="106"/>
      <c r="J573" s="2060"/>
      <c r="K573" s="2060"/>
      <c r="L573" s="2060"/>
      <c r="M573" s="2060"/>
      <c r="N573" s="2060"/>
      <c r="O573" s="2060"/>
      <c r="P573" s="2060"/>
      <c r="Q573" s="2060"/>
      <c r="R573" s="2060"/>
      <c r="S573" s="2060"/>
      <c r="T573" s="255"/>
      <c r="U573" s="255"/>
      <c r="V573" s="103"/>
    </row>
    <row r="574" spans="2:22">
      <c r="B574" s="2060"/>
      <c r="C574" s="2060"/>
      <c r="D574" s="2060"/>
      <c r="E574" s="255"/>
      <c r="H574" s="2060"/>
      <c r="I574" s="106"/>
      <c r="J574" s="2060"/>
      <c r="K574" s="2060"/>
      <c r="L574" s="2060"/>
      <c r="M574" s="2060"/>
      <c r="N574" s="2060"/>
      <c r="O574" s="2060"/>
      <c r="P574" s="2060"/>
      <c r="Q574" s="2060"/>
      <c r="R574" s="2060"/>
      <c r="S574" s="2060"/>
      <c r="T574" s="255"/>
      <c r="U574" s="255"/>
      <c r="V574" s="103"/>
    </row>
    <row r="575" spans="2:22">
      <c r="B575" s="2060"/>
      <c r="C575" s="2060"/>
      <c r="D575" s="2060"/>
      <c r="E575" s="255"/>
      <c r="H575" s="2060"/>
      <c r="I575" s="106"/>
      <c r="J575" s="2060"/>
      <c r="K575" s="2060"/>
      <c r="L575" s="2060"/>
      <c r="M575" s="2060"/>
      <c r="N575" s="2060"/>
      <c r="O575" s="2060"/>
      <c r="P575" s="2060"/>
      <c r="Q575" s="2060"/>
      <c r="R575" s="2060"/>
      <c r="S575" s="2060"/>
      <c r="T575" s="255"/>
      <c r="U575" s="255"/>
      <c r="V575" s="103"/>
    </row>
    <row r="576" spans="2:22">
      <c r="B576" s="2060"/>
      <c r="C576" s="2060"/>
      <c r="D576" s="2060"/>
      <c r="E576" s="255"/>
      <c r="H576" s="2060"/>
      <c r="I576" s="106"/>
      <c r="J576" s="2060"/>
      <c r="K576" s="2060"/>
      <c r="L576" s="2060"/>
      <c r="M576" s="2060"/>
      <c r="N576" s="2060"/>
      <c r="O576" s="2060"/>
      <c r="P576" s="2060"/>
      <c r="Q576" s="2060"/>
      <c r="R576" s="2060"/>
      <c r="S576" s="2060"/>
      <c r="T576" s="255"/>
      <c r="U576" s="255"/>
      <c r="V576" s="103"/>
    </row>
    <row r="577" spans="2:22">
      <c r="B577" s="2060"/>
      <c r="C577" s="2060"/>
      <c r="D577" s="2060"/>
      <c r="E577" s="255"/>
      <c r="H577" s="2060"/>
      <c r="I577" s="106"/>
      <c r="J577" s="2060"/>
      <c r="K577" s="2060"/>
      <c r="L577" s="2060"/>
      <c r="M577" s="2060"/>
      <c r="N577" s="2060"/>
      <c r="O577" s="2060"/>
      <c r="P577" s="2060"/>
      <c r="Q577" s="2060"/>
      <c r="R577" s="2060"/>
      <c r="S577" s="2060"/>
      <c r="T577" s="255"/>
      <c r="U577" s="255"/>
      <c r="V577" s="103"/>
    </row>
    <row r="578" spans="2:22">
      <c r="B578" s="2060"/>
      <c r="C578" s="2060"/>
      <c r="D578" s="2060"/>
      <c r="E578" s="255"/>
      <c r="H578" s="2060"/>
      <c r="I578" s="106"/>
      <c r="J578" s="2060"/>
      <c r="K578" s="2060"/>
      <c r="L578" s="2060"/>
      <c r="M578" s="2060"/>
      <c r="N578" s="2060"/>
      <c r="O578" s="2060"/>
      <c r="P578" s="2060"/>
      <c r="Q578" s="2060"/>
      <c r="R578" s="2060"/>
      <c r="S578" s="2060"/>
      <c r="T578" s="255"/>
      <c r="U578" s="255"/>
      <c r="V578" s="103"/>
    </row>
    <row r="579" spans="2:22">
      <c r="B579" s="2060"/>
      <c r="C579" s="2060"/>
      <c r="D579" s="2060"/>
      <c r="E579" s="255"/>
      <c r="H579" s="2060"/>
      <c r="I579" s="106"/>
      <c r="J579" s="2060"/>
      <c r="K579" s="2060"/>
      <c r="L579" s="2060"/>
      <c r="M579" s="2060"/>
      <c r="N579" s="2060"/>
      <c r="O579" s="2060"/>
      <c r="P579" s="2060"/>
      <c r="Q579" s="2060"/>
      <c r="R579" s="2060"/>
      <c r="S579" s="2060"/>
      <c r="T579" s="255"/>
      <c r="U579" s="255"/>
      <c r="V579" s="103"/>
    </row>
    <row r="580" spans="2:22">
      <c r="B580" s="2060"/>
      <c r="C580" s="2060"/>
      <c r="D580" s="2060"/>
      <c r="E580" s="255"/>
      <c r="H580" s="2060"/>
      <c r="I580" s="106"/>
      <c r="J580" s="2060"/>
      <c r="K580" s="2060"/>
      <c r="L580" s="2060"/>
      <c r="M580" s="2060"/>
      <c r="N580" s="2060"/>
      <c r="O580" s="2060"/>
      <c r="P580" s="2060"/>
      <c r="Q580" s="2060"/>
      <c r="R580" s="2060"/>
      <c r="S580" s="2060"/>
      <c r="T580" s="255"/>
      <c r="U580" s="255"/>
      <c r="V580" s="103"/>
    </row>
    <row r="581" spans="2:22">
      <c r="B581" s="2060"/>
      <c r="C581" s="2060"/>
      <c r="D581" s="2060"/>
      <c r="E581" s="255"/>
      <c r="H581" s="2060"/>
      <c r="I581" s="106"/>
      <c r="J581" s="2060"/>
      <c r="K581" s="2060"/>
      <c r="L581" s="2060"/>
      <c r="M581" s="2060"/>
      <c r="N581" s="2060"/>
      <c r="O581" s="2060"/>
      <c r="P581" s="2060"/>
      <c r="Q581" s="2060"/>
      <c r="R581" s="2060"/>
      <c r="S581" s="2060"/>
      <c r="T581" s="255"/>
      <c r="U581" s="255"/>
      <c r="V581" s="103"/>
    </row>
    <row r="582" spans="2:22">
      <c r="B582" s="2060"/>
      <c r="C582" s="2060"/>
      <c r="D582" s="2060"/>
      <c r="E582" s="255"/>
      <c r="H582" s="2060"/>
      <c r="I582" s="106"/>
      <c r="J582" s="2060"/>
      <c r="K582" s="2060"/>
      <c r="L582" s="2060"/>
      <c r="M582" s="2060"/>
      <c r="N582" s="2060"/>
      <c r="O582" s="2060"/>
      <c r="P582" s="2060"/>
      <c r="Q582" s="2060"/>
      <c r="R582" s="2060"/>
      <c r="S582" s="2060"/>
      <c r="T582" s="255"/>
      <c r="U582" s="255"/>
      <c r="V582" s="103"/>
    </row>
    <row r="583" spans="2:22">
      <c r="B583" s="2060"/>
      <c r="C583" s="2060"/>
      <c r="D583" s="2060"/>
      <c r="E583" s="255"/>
      <c r="H583" s="2060"/>
      <c r="I583" s="106"/>
      <c r="J583" s="2060"/>
      <c r="K583" s="2060"/>
      <c r="L583" s="2060"/>
      <c r="M583" s="2060"/>
      <c r="N583" s="2060"/>
      <c r="O583" s="2060"/>
      <c r="P583" s="2060"/>
      <c r="Q583" s="2060"/>
      <c r="R583" s="2060"/>
      <c r="S583" s="2060"/>
      <c r="T583" s="255"/>
      <c r="U583" s="255"/>
      <c r="V583" s="103"/>
    </row>
    <row r="584" spans="2:22">
      <c r="B584" s="2060"/>
      <c r="C584" s="2060"/>
      <c r="D584" s="2060"/>
      <c r="E584" s="255"/>
      <c r="H584" s="2060"/>
      <c r="I584" s="106"/>
      <c r="J584" s="2060"/>
      <c r="K584" s="2060"/>
      <c r="L584" s="2060"/>
      <c r="M584" s="2060"/>
      <c r="N584" s="2060"/>
      <c r="O584" s="2060"/>
      <c r="P584" s="2060"/>
      <c r="Q584" s="2060"/>
      <c r="R584" s="2060"/>
      <c r="S584" s="2060"/>
      <c r="T584" s="255"/>
      <c r="U584" s="255"/>
      <c r="V584" s="103"/>
    </row>
    <row r="585" spans="2:22">
      <c r="B585" s="2060"/>
      <c r="C585" s="2060"/>
      <c r="D585" s="2060"/>
      <c r="E585" s="255"/>
      <c r="H585" s="2060"/>
      <c r="I585" s="106"/>
      <c r="J585" s="2060"/>
      <c r="K585" s="2060"/>
      <c r="L585" s="2060"/>
      <c r="M585" s="2060"/>
      <c r="N585" s="2060"/>
      <c r="O585" s="2060"/>
      <c r="P585" s="2060"/>
      <c r="Q585" s="2060"/>
      <c r="R585" s="2060"/>
      <c r="S585" s="2060"/>
      <c r="T585" s="255"/>
      <c r="U585" s="255"/>
      <c r="V585" s="103"/>
    </row>
    <row r="586" spans="2:22">
      <c r="B586" s="2060"/>
      <c r="C586" s="2060"/>
      <c r="D586" s="2060"/>
      <c r="E586" s="255"/>
      <c r="H586" s="2060"/>
      <c r="I586" s="106"/>
      <c r="J586" s="2060"/>
      <c r="K586" s="2060"/>
      <c r="L586" s="2060"/>
      <c r="M586" s="2060"/>
      <c r="N586" s="2060"/>
      <c r="O586" s="2060"/>
      <c r="P586" s="2060"/>
      <c r="Q586" s="2060"/>
      <c r="R586" s="2060"/>
      <c r="S586" s="2060"/>
      <c r="T586" s="255"/>
      <c r="U586" s="255"/>
      <c r="V586" s="103"/>
    </row>
    <row r="587" spans="2:22">
      <c r="B587" s="2060"/>
      <c r="C587" s="2060"/>
      <c r="D587" s="2060"/>
      <c r="E587" s="255"/>
      <c r="H587" s="2060"/>
      <c r="I587" s="106"/>
      <c r="J587" s="2060"/>
      <c r="K587" s="2060"/>
      <c r="L587" s="2060"/>
      <c r="M587" s="2060"/>
      <c r="N587" s="2060"/>
      <c r="O587" s="2060"/>
      <c r="P587" s="2060"/>
      <c r="Q587" s="2060"/>
      <c r="R587" s="2060"/>
      <c r="S587" s="2060"/>
      <c r="T587" s="255"/>
      <c r="U587" s="255"/>
      <c r="V587" s="103"/>
    </row>
    <row r="588" spans="2:22">
      <c r="B588" s="2060"/>
      <c r="C588" s="2060"/>
      <c r="D588" s="2060"/>
      <c r="E588" s="255"/>
      <c r="H588" s="2060"/>
      <c r="I588" s="106"/>
      <c r="J588" s="2060"/>
      <c r="K588" s="2060"/>
      <c r="L588" s="2060"/>
      <c r="M588" s="2060"/>
      <c r="N588" s="2060"/>
      <c r="O588" s="2060"/>
      <c r="P588" s="2060"/>
      <c r="Q588" s="2060"/>
      <c r="R588" s="2060"/>
      <c r="S588" s="2060"/>
      <c r="T588" s="255"/>
      <c r="U588" s="255"/>
      <c r="V588" s="103"/>
    </row>
    <row r="589" spans="2:22">
      <c r="B589" s="2060"/>
      <c r="C589" s="2060"/>
      <c r="D589" s="2060"/>
      <c r="E589" s="255"/>
      <c r="H589" s="2060"/>
      <c r="I589" s="106"/>
      <c r="J589" s="2060"/>
      <c r="K589" s="2060"/>
      <c r="L589" s="2060"/>
      <c r="M589" s="2060"/>
      <c r="N589" s="2060"/>
      <c r="O589" s="2060"/>
      <c r="P589" s="2060"/>
      <c r="Q589" s="2060"/>
      <c r="R589" s="2060"/>
      <c r="S589" s="2060"/>
      <c r="T589" s="255"/>
      <c r="U589" s="255"/>
      <c r="V589" s="103"/>
    </row>
    <row r="590" spans="2:22">
      <c r="B590" s="2060"/>
      <c r="C590" s="2060"/>
      <c r="D590" s="2060"/>
      <c r="E590" s="255"/>
      <c r="H590" s="2060"/>
      <c r="I590" s="106"/>
      <c r="J590" s="2060"/>
      <c r="K590" s="2060"/>
      <c r="L590" s="2060"/>
      <c r="M590" s="2060"/>
      <c r="N590" s="2060"/>
      <c r="O590" s="2060"/>
      <c r="P590" s="2060"/>
      <c r="Q590" s="2060"/>
      <c r="R590" s="2060"/>
      <c r="S590" s="2060"/>
      <c r="T590" s="255"/>
      <c r="U590" s="255"/>
      <c r="V590" s="103"/>
    </row>
    <row r="591" spans="2:22">
      <c r="B591" s="2060"/>
      <c r="C591" s="2060"/>
      <c r="D591" s="2060"/>
      <c r="E591" s="255"/>
      <c r="H591" s="2060"/>
      <c r="I591" s="106"/>
      <c r="J591" s="2060"/>
      <c r="K591" s="2060"/>
      <c r="L591" s="2060"/>
      <c r="M591" s="2060"/>
      <c r="N591" s="2060"/>
      <c r="O591" s="2060"/>
      <c r="P591" s="2060"/>
      <c r="Q591" s="2060"/>
      <c r="R591" s="2060"/>
      <c r="S591" s="2060"/>
      <c r="T591" s="255"/>
      <c r="U591" s="255"/>
      <c r="V591" s="103"/>
    </row>
    <row r="592" spans="2:22">
      <c r="B592" s="2060"/>
      <c r="C592" s="2060"/>
      <c r="D592" s="2060"/>
      <c r="E592" s="255"/>
      <c r="H592" s="2060"/>
      <c r="I592" s="106"/>
      <c r="J592" s="2060"/>
      <c r="K592" s="2060"/>
      <c r="L592" s="2060"/>
      <c r="M592" s="2060"/>
      <c r="N592" s="2060"/>
      <c r="O592" s="2060"/>
      <c r="P592" s="2060"/>
      <c r="Q592" s="2060"/>
      <c r="R592" s="2060"/>
      <c r="S592" s="2060"/>
      <c r="T592" s="255"/>
      <c r="U592" s="255"/>
      <c r="V592" s="103"/>
    </row>
    <row r="593" spans="2:22">
      <c r="B593" s="2060"/>
      <c r="C593" s="2060"/>
      <c r="D593" s="2060"/>
      <c r="E593" s="255"/>
      <c r="H593" s="2060"/>
      <c r="I593" s="106"/>
      <c r="J593" s="2060"/>
      <c r="K593" s="2060"/>
      <c r="L593" s="2060"/>
      <c r="M593" s="2060"/>
      <c r="N593" s="2060"/>
      <c r="O593" s="2060"/>
      <c r="P593" s="2060"/>
      <c r="Q593" s="2060"/>
      <c r="R593" s="2060"/>
      <c r="S593" s="2060"/>
      <c r="T593" s="255"/>
      <c r="U593" s="255"/>
      <c r="V593" s="103"/>
    </row>
    <row r="594" spans="2:22">
      <c r="B594" s="2060"/>
      <c r="C594" s="2060"/>
      <c r="D594" s="2060"/>
      <c r="E594" s="255"/>
      <c r="H594" s="2060"/>
      <c r="I594" s="106"/>
      <c r="J594" s="2060"/>
      <c r="K594" s="2060"/>
      <c r="L594" s="2060"/>
      <c r="M594" s="2060"/>
      <c r="N594" s="2060"/>
      <c r="O594" s="2060"/>
      <c r="P594" s="2060"/>
      <c r="Q594" s="2060"/>
      <c r="R594" s="2060"/>
      <c r="S594" s="2060"/>
      <c r="T594" s="255"/>
      <c r="U594" s="255"/>
      <c r="V594" s="103"/>
    </row>
    <row r="595" spans="2:22">
      <c r="B595" s="2060"/>
      <c r="C595" s="2060"/>
      <c r="D595" s="2060"/>
      <c r="E595" s="255"/>
      <c r="H595" s="2060"/>
      <c r="I595" s="106"/>
      <c r="J595" s="2060"/>
      <c r="K595" s="2060"/>
      <c r="L595" s="2060"/>
      <c r="M595" s="2060"/>
      <c r="N595" s="2060"/>
      <c r="O595" s="2060"/>
      <c r="P595" s="2060"/>
      <c r="Q595" s="2060"/>
      <c r="R595" s="2060"/>
      <c r="S595" s="2060"/>
      <c r="T595" s="255"/>
      <c r="U595" s="255"/>
      <c r="V595" s="103"/>
    </row>
    <row r="596" spans="2:22">
      <c r="B596" s="2060"/>
      <c r="C596" s="2060"/>
      <c r="D596" s="2060"/>
      <c r="E596" s="255"/>
      <c r="H596" s="2060"/>
      <c r="I596" s="106"/>
      <c r="J596" s="2060"/>
      <c r="K596" s="2060"/>
      <c r="L596" s="2060"/>
      <c r="M596" s="2060"/>
      <c r="N596" s="2060"/>
      <c r="O596" s="2060"/>
      <c r="P596" s="2060"/>
      <c r="Q596" s="2060"/>
      <c r="R596" s="2060"/>
      <c r="S596" s="2060"/>
      <c r="T596" s="255"/>
      <c r="U596" s="255"/>
      <c r="V596" s="103"/>
    </row>
    <row r="597" spans="2:22">
      <c r="B597" s="2060"/>
      <c r="C597" s="2060"/>
      <c r="D597" s="2060"/>
      <c r="E597" s="255"/>
      <c r="H597" s="2060"/>
      <c r="I597" s="106"/>
      <c r="J597" s="2060"/>
      <c r="K597" s="2060"/>
      <c r="L597" s="2060"/>
      <c r="M597" s="2060"/>
      <c r="N597" s="2060"/>
      <c r="O597" s="2060"/>
      <c r="P597" s="2060"/>
      <c r="Q597" s="2060"/>
      <c r="R597" s="2060"/>
      <c r="S597" s="2060"/>
      <c r="T597" s="255"/>
      <c r="U597" s="255"/>
      <c r="V597" s="103"/>
    </row>
    <row r="598" spans="2:22">
      <c r="B598" s="2060"/>
      <c r="C598" s="2060"/>
      <c r="D598" s="2060"/>
      <c r="E598" s="255"/>
      <c r="H598" s="2060"/>
      <c r="I598" s="106"/>
      <c r="J598" s="2060"/>
      <c r="K598" s="2060"/>
      <c r="L598" s="2060"/>
      <c r="M598" s="2060"/>
      <c r="N598" s="2060"/>
      <c r="O598" s="2060"/>
      <c r="P598" s="2060"/>
      <c r="Q598" s="2060"/>
      <c r="R598" s="2060"/>
      <c r="S598" s="2060"/>
      <c r="T598" s="255"/>
      <c r="U598" s="255"/>
      <c r="V598" s="103"/>
    </row>
    <row r="599" spans="2:22">
      <c r="B599" s="2060"/>
      <c r="C599" s="2060"/>
      <c r="D599" s="2060"/>
      <c r="E599" s="255"/>
      <c r="H599" s="2060"/>
      <c r="I599" s="106"/>
      <c r="J599" s="2060"/>
      <c r="K599" s="2060"/>
      <c r="L599" s="2060"/>
      <c r="M599" s="2060"/>
      <c r="N599" s="2060"/>
      <c r="O599" s="2060"/>
      <c r="P599" s="2060"/>
      <c r="Q599" s="2060"/>
      <c r="R599" s="2060"/>
      <c r="S599" s="2060"/>
      <c r="T599" s="255"/>
      <c r="U599" s="255"/>
      <c r="V599" s="103"/>
    </row>
    <row r="600" spans="2:22">
      <c r="B600" s="2060"/>
      <c r="C600" s="2060"/>
      <c r="D600" s="2060"/>
      <c r="E600" s="255"/>
      <c r="H600" s="2060"/>
      <c r="I600" s="106"/>
      <c r="J600" s="2060"/>
      <c r="K600" s="2060"/>
      <c r="L600" s="2060"/>
      <c r="M600" s="2060"/>
      <c r="N600" s="2060"/>
      <c r="O600" s="2060"/>
      <c r="P600" s="2060"/>
      <c r="Q600" s="2060"/>
      <c r="R600" s="2060"/>
      <c r="S600" s="2060"/>
      <c r="T600" s="255"/>
      <c r="U600" s="255"/>
      <c r="V600" s="103"/>
    </row>
    <row r="601" spans="2:22">
      <c r="B601" s="2060"/>
      <c r="C601" s="2060"/>
      <c r="D601" s="2060"/>
      <c r="E601" s="255"/>
      <c r="H601" s="2060"/>
      <c r="I601" s="106"/>
      <c r="J601" s="2060"/>
      <c r="K601" s="2060"/>
      <c r="L601" s="2060"/>
      <c r="M601" s="2060"/>
      <c r="N601" s="2060"/>
      <c r="O601" s="2060"/>
      <c r="P601" s="2060"/>
      <c r="Q601" s="2060"/>
      <c r="R601" s="2060"/>
      <c r="S601" s="2060"/>
      <c r="T601" s="255"/>
      <c r="U601" s="255"/>
      <c r="V601" s="103"/>
    </row>
    <row r="602" spans="2:22">
      <c r="B602" s="2060"/>
      <c r="C602" s="2060"/>
      <c r="D602" s="2060"/>
      <c r="E602" s="255"/>
      <c r="H602" s="2060"/>
      <c r="I602" s="106"/>
      <c r="J602" s="2060"/>
      <c r="K602" s="2060"/>
      <c r="L602" s="2060"/>
      <c r="M602" s="2060"/>
      <c r="N602" s="2060"/>
      <c r="O602" s="2060"/>
      <c r="P602" s="2060"/>
      <c r="Q602" s="2060"/>
      <c r="R602" s="2060"/>
      <c r="S602" s="2060"/>
      <c r="T602" s="255"/>
      <c r="U602" s="255"/>
      <c r="V602" s="103"/>
    </row>
    <row r="603" spans="2:22">
      <c r="B603" s="2060"/>
      <c r="C603" s="2060"/>
      <c r="D603" s="2060"/>
      <c r="E603" s="255"/>
      <c r="H603" s="2060"/>
      <c r="I603" s="106"/>
      <c r="J603" s="2060"/>
      <c r="K603" s="2060"/>
      <c r="L603" s="2060"/>
      <c r="M603" s="2060"/>
      <c r="N603" s="2060"/>
      <c r="O603" s="2060"/>
      <c r="P603" s="2060"/>
      <c r="Q603" s="2060"/>
      <c r="R603" s="2060"/>
      <c r="S603" s="2060"/>
      <c r="T603" s="255"/>
      <c r="U603" s="255"/>
      <c r="V603" s="103"/>
    </row>
    <row r="604" spans="2:22">
      <c r="B604" s="2060"/>
      <c r="C604" s="2060"/>
      <c r="D604" s="2060"/>
      <c r="E604" s="255"/>
      <c r="H604" s="2060"/>
      <c r="I604" s="106"/>
      <c r="J604" s="2060"/>
      <c r="K604" s="2060"/>
      <c r="L604" s="2060"/>
      <c r="M604" s="2060"/>
      <c r="N604" s="2060"/>
      <c r="O604" s="2060"/>
      <c r="P604" s="2060"/>
      <c r="Q604" s="2060"/>
      <c r="R604" s="2060"/>
      <c r="S604" s="2060"/>
      <c r="T604" s="255"/>
      <c r="U604" s="255"/>
      <c r="V604" s="103"/>
    </row>
    <row r="605" spans="2:22">
      <c r="B605" s="2060"/>
      <c r="C605" s="2060"/>
      <c r="D605" s="2060"/>
      <c r="E605" s="255"/>
      <c r="H605" s="2060"/>
      <c r="I605" s="106"/>
      <c r="J605" s="2060"/>
      <c r="K605" s="2060"/>
      <c r="L605" s="2060"/>
      <c r="M605" s="2060"/>
      <c r="N605" s="2060"/>
      <c r="O605" s="2060"/>
      <c r="P605" s="2060"/>
      <c r="Q605" s="2060"/>
      <c r="R605" s="2060"/>
      <c r="S605" s="2060"/>
      <c r="T605" s="255"/>
      <c r="U605" s="255"/>
      <c r="V605" s="103"/>
    </row>
    <row r="606" spans="2:22">
      <c r="B606" s="2060"/>
      <c r="C606" s="2060"/>
      <c r="D606" s="2060"/>
      <c r="E606" s="255"/>
      <c r="H606" s="2060"/>
      <c r="I606" s="106"/>
      <c r="J606" s="2060"/>
      <c r="K606" s="2060"/>
      <c r="L606" s="2060"/>
      <c r="M606" s="2060"/>
      <c r="N606" s="2060"/>
      <c r="O606" s="2060"/>
      <c r="P606" s="2060"/>
      <c r="Q606" s="2060"/>
      <c r="R606" s="2060"/>
      <c r="S606" s="2060"/>
      <c r="T606" s="255"/>
      <c r="U606" s="255"/>
      <c r="V606" s="103"/>
    </row>
    <row r="607" spans="2:22">
      <c r="B607" s="2060"/>
      <c r="C607" s="2060"/>
      <c r="D607" s="2060"/>
      <c r="E607" s="255"/>
      <c r="H607" s="2060"/>
      <c r="I607" s="106"/>
      <c r="J607" s="2060"/>
      <c r="K607" s="2060"/>
      <c r="L607" s="2060"/>
      <c r="M607" s="2060"/>
      <c r="N607" s="2060"/>
      <c r="O607" s="2060"/>
      <c r="P607" s="2060"/>
      <c r="Q607" s="2060"/>
      <c r="R607" s="2060"/>
      <c r="S607" s="2060"/>
      <c r="T607" s="255"/>
      <c r="U607" s="255"/>
      <c r="V607" s="103"/>
    </row>
    <row r="608" spans="2:22">
      <c r="B608" s="2060"/>
      <c r="C608" s="2060"/>
      <c r="D608" s="2060"/>
      <c r="E608" s="255"/>
      <c r="H608" s="2060"/>
      <c r="I608" s="106"/>
      <c r="J608" s="2060"/>
      <c r="K608" s="2060"/>
      <c r="L608" s="2060"/>
      <c r="M608" s="2060"/>
      <c r="N608" s="2060"/>
      <c r="O608" s="2060"/>
      <c r="P608" s="2060"/>
      <c r="Q608" s="2060"/>
      <c r="R608" s="2060"/>
      <c r="S608" s="2060"/>
      <c r="T608" s="255"/>
      <c r="U608" s="255"/>
      <c r="V608" s="103"/>
    </row>
    <row r="609" spans="2:22">
      <c r="B609" s="2060"/>
      <c r="C609" s="2060"/>
      <c r="D609" s="2060"/>
      <c r="E609" s="255"/>
      <c r="H609" s="2060"/>
      <c r="I609" s="106"/>
      <c r="J609" s="2060"/>
      <c r="K609" s="2060"/>
      <c r="L609" s="2060"/>
      <c r="M609" s="2060"/>
      <c r="N609" s="2060"/>
      <c r="O609" s="2060"/>
      <c r="P609" s="2060"/>
      <c r="Q609" s="2060"/>
      <c r="R609" s="2060"/>
      <c r="S609" s="2060"/>
      <c r="T609" s="255"/>
      <c r="U609" s="255"/>
      <c r="V609" s="103"/>
    </row>
    <row r="610" spans="2:22">
      <c r="B610" s="2060"/>
      <c r="C610" s="2060"/>
      <c r="D610" s="2060"/>
      <c r="E610" s="255"/>
      <c r="H610" s="2060"/>
      <c r="I610" s="106"/>
      <c r="J610" s="2060"/>
      <c r="K610" s="2060"/>
      <c r="L610" s="2060"/>
      <c r="M610" s="2060"/>
      <c r="N610" s="2060"/>
      <c r="O610" s="2060"/>
      <c r="P610" s="2060"/>
      <c r="Q610" s="2060"/>
      <c r="R610" s="2060"/>
      <c r="S610" s="2060"/>
      <c r="T610" s="255"/>
      <c r="U610" s="255"/>
      <c r="V610" s="103"/>
    </row>
    <row r="611" spans="2:22">
      <c r="B611" s="2060"/>
      <c r="C611" s="2060"/>
      <c r="D611" s="2060"/>
      <c r="E611" s="255"/>
      <c r="H611" s="2060"/>
      <c r="I611" s="106"/>
      <c r="J611" s="2060"/>
      <c r="K611" s="2060"/>
      <c r="L611" s="2060"/>
      <c r="M611" s="2060"/>
      <c r="N611" s="2060"/>
      <c r="O611" s="2060"/>
      <c r="P611" s="2060"/>
      <c r="Q611" s="2060"/>
      <c r="R611" s="2060"/>
      <c r="S611" s="2060"/>
      <c r="T611" s="255"/>
      <c r="U611" s="255"/>
      <c r="V611" s="103"/>
    </row>
    <row r="612" spans="2:22">
      <c r="B612" s="2060"/>
      <c r="C612" s="2060"/>
      <c r="D612" s="2060"/>
      <c r="E612" s="255"/>
      <c r="H612" s="2060"/>
      <c r="I612" s="106"/>
      <c r="J612" s="2060"/>
      <c r="K612" s="2060"/>
      <c r="L612" s="2060"/>
      <c r="M612" s="2060"/>
      <c r="N612" s="2060"/>
      <c r="O612" s="2060"/>
      <c r="P612" s="2060"/>
      <c r="Q612" s="2060"/>
      <c r="R612" s="2060"/>
      <c r="S612" s="2060"/>
      <c r="T612" s="255"/>
      <c r="U612" s="255"/>
      <c r="V612" s="103"/>
    </row>
    <row r="613" spans="2:22">
      <c r="B613" s="2060"/>
      <c r="C613" s="2060"/>
      <c r="D613" s="2060"/>
      <c r="E613" s="255"/>
      <c r="H613" s="2060"/>
      <c r="I613" s="106"/>
      <c r="J613" s="2060"/>
      <c r="K613" s="2060"/>
      <c r="L613" s="2060"/>
      <c r="M613" s="2060"/>
      <c r="N613" s="2060"/>
      <c r="O613" s="2060"/>
      <c r="P613" s="2060"/>
      <c r="Q613" s="2060"/>
      <c r="R613" s="2060"/>
      <c r="S613" s="2060"/>
      <c r="T613" s="255"/>
      <c r="U613" s="255"/>
      <c r="V613" s="103"/>
    </row>
    <row r="614" spans="2:22">
      <c r="B614" s="2060"/>
      <c r="C614" s="2060"/>
      <c r="D614" s="2060"/>
      <c r="E614" s="255"/>
      <c r="H614" s="2060"/>
      <c r="I614" s="106"/>
      <c r="J614" s="2060"/>
      <c r="K614" s="2060"/>
      <c r="L614" s="2060"/>
      <c r="M614" s="2060"/>
      <c r="N614" s="2060"/>
      <c r="O614" s="2060"/>
      <c r="P614" s="2060"/>
      <c r="Q614" s="2060"/>
      <c r="R614" s="2060"/>
      <c r="S614" s="2060"/>
      <c r="T614" s="255"/>
      <c r="U614" s="255"/>
      <c r="V614" s="103"/>
    </row>
    <row r="615" spans="2:22">
      <c r="B615" s="2060"/>
      <c r="C615" s="2060"/>
      <c r="D615" s="2060"/>
      <c r="E615" s="255"/>
      <c r="H615" s="2060"/>
      <c r="I615" s="106"/>
      <c r="J615" s="2060"/>
      <c r="K615" s="2060"/>
      <c r="L615" s="2060"/>
      <c r="M615" s="2060"/>
      <c r="N615" s="2060"/>
      <c r="O615" s="2060"/>
      <c r="P615" s="2060"/>
      <c r="Q615" s="2060"/>
      <c r="R615" s="2060"/>
      <c r="S615" s="2060"/>
      <c r="T615" s="255"/>
      <c r="U615" s="255"/>
      <c r="V615" s="103"/>
    </row>
    <row r="616" spans="2:22">
      <c r="B616" s="2060"/>
      <c r="C616" s="2060"/>
      <c r="D616" s="2060"/>
      <c r="E616" s="255"/>
      <c r="H616" s="2060"/>
      <c r="I616" s="106"/>
      <c r="J616" s="2060"/>
      <c r="K616" s="2060"/>
      <c r="L616" s="2060"/>
      <c r="M616" s="2060"/>
      <c r="N616" s="2060"/>
      <c r="O616" s="2060"/>
      <c r="P616" s="2060"/>
      <c r="Q616" s="2060"/>
      <c r="R616" s="2060"/>
      <c r="S616" s="2060"/>
      <c r="T616" s="255"/>
      <c r="U616" s="255"/>
      <c r="V616" s="103"/>
    </row>
    <row r="617" spans="2:22">
      <c r="B617" s="2060"/>
      <c r="C617" s="2060"/>
      <c r="D617" s="2060"/>
      <c r="E617" s="255"/>
      <c r="H617" s="2060"/>
      <c r="I617" s="106"/>
      <c r="J617" s="2060"/>
      <c r="K617" s="2060"/>
      <c r="L617" s="2060"/>
      <c r="M617" s="2060"/>
      <c r="N617" s="2060"/>
      <c r="O617" s="2060"/>
      <c r="P617" s="2060"/>
      <c r="Q617" s="2060"/>
      <c r="R617" s="2060"/>
      <c r="S617" s="2060"/>
      <c r="T617" s="255"/>
      <c r="U617" s="255"/>
      <c r="V617" s="103"/>
    </row>
    <row r="618" spans="2:22">
      <c r="B618" s="2060"/>
      <c r="C618" s="2060"/>
      <c r="D618" s="2060"/>
      <c r="E618" s="255"/>
      <c r="H618" s="2060"/>
      <c r="I618" s="106"/>
      <c r="J618" s="2060"/>
      <c r="K618" s="2060"/>
      <c r="L618" s="2060"/>
      <c r="M618" s="2060"/>
      <c r="N618" s="2060"/>
      <c r="O618" s="2060"/>
      <c r="P618" s="2060"/>
      <c r="Q618" s="2060"/>
      <c r="R618" s="2060"/>
      <c r="S618" s="2060"/>
      <c r="T618" s="255"/>
      <c r="U618" s="255"/>
      <c r="V618" s="103"/>
    </row>
    <row r="619" spans="2:22">
      <c r="B619" s="2060"/>
      <c r="C619" s="2060"/>
      <c r="D619" s="2060"/>
      <c r="E619" s="255"/>
      <c r="H619" s="2060"/>
      <c r="I619" s="106"/>
      <c r="J619" s="2060"/>
      <c r="K619" s="2060"/>
      <c r="L619" s="2060"/>
      <c r="M619" s="2060"/>
      <c r="N619" s="2060"/>
      <c r="O619" s="2060"/>
      <c r="P619" s="2060"/>
      <c r="Q619" s="2060"/>
      <c r="R619" s="2060"/>
      <c r="S619" s="2060"/>
      <c r="T619" s="255"/>
      <c r="U619" s="255"/>
      <c r="V619" s="103"/>
    </row>
    <row r="620" spans="2:22">
      <c r="B620" s="2060"/>
      <c r="C620" s="2060"/>
      <c r="D620" s="2060"/>
      <c r="E620" s="255"/>
      <c r="H620" s="2060"/>
      <c r="I620" s="106"/>
      <c r="J620" s="2060"/>
      <c r="K620" s="2060"/>
      <c r="L620" s="2060"/>
      <c r="M620" s="2060"/>
      <c r="N620" s="2060"/>
      <c r="O620" s="2060"/>
      <c r="P620" s="2060"/>
      <c r="Q620" s="2060"/>
      <c r="R620" s="2060"/>
      <c r="S620" s="2060"/>
      <c r="T620" s="255"/>
      <c r="U620" s="255"/>
      <c r="V620" s="103"/>
    </row>
    <row r="621" spans="2:22">
      <c r="B621" s="2060"/>
      <c r="C621" s="2060"/>
      <c r="D621" s="2060"/>
      <c r="E621" s="255"/>
      <c r="H621" s="2060"/>
      <c r="I621" s="106"/>
      <c r="J621" s="2060"/>
      <c r="K621" s="2060"/>
      <c r="L621" s="2060"/>
      <c r="M621" s="2060"/>
      <c r="N621" s="2060"/>
      <c r="O621" s="2060"/>
      <c r="P621" s="2060"/>
      <c r="Q621" s="2060"/>
      <c r="R621" s="2060"/>
      <c r="S621" s="2060"/>
      <c r="T621" s="255"/>
      <c r="U621" s="255"/>
      <c r="V621" s="103"/>
    </row>
    <row r="622" spans="2:22">
      <c r="B622" s="2060"/>
      <c r="C622" s="2060"/>
      <c r="D622" s="2060"/>
      <c r="E622" s="255"/>
      <c r="H622" s="2060"/>
      <c r="I622" s="106"/>
      <c r="J622" s="2060"/>
      <c r="K622" s="2060"/>
      <c r="L622" s="2060"/>
      <c r="M622" s="2060"/>
      <c r="N622" s="2060"/>
      <c r="O622" s="2060"/>
      <c r="P622" s="2060"/>
      <c r="Q622" s="2060"/>
      <c r="R622" s="2060"/>
      <c r="S622" s="2060"/>
      <c r="T622" s="255"/>
      <c r="U622" s="255"/>
      <c r="V622" s="103"/>
    </row>
    <row r="623" spans="2:22">
      <c r="B623" s="2060"/>
      <c r="C623" s="2060"/>
      <c r="D623" s="2060"/>
      <c r="E623" s="255"/>
      <c r="H623" s="2060"/>
      <c r="I623" s="106"/>
      <c r="J623" s="2060"/>
      <c r="K623" s="2060"/>
      <c r="L623" s="2060"/>
      <c r="M623" s="2060"/>
      <c r="N623" s="2060"/>
      <c r="O623" s="2060"/>
      <c r="P623" s="2060"/>
      <c r="Q623" s="2060"/>
      <c r="R623" s="2060"/>
      <c r="S623" s="2060"/>
      <c r="T623" s="255"/>
      <c r="U623" s="255"/>
      <c r="V623" s="103"/>
    </row>
    <row r="624" spans="2:22">
      <c r="B624" s="2060"/>
      <c r="C624" s="2060"/>
      <c r="D624" s="2060"/>
      <c r="E624" s="255"/>
      <c r="H624" s="2060"/>
      <c r="I624" s="106"/>
      <c r="J624" s="2060"/>
      <c r="K624" s="2060"/>
      <c r="L624" s="2060"/>
      <c r="M624" s="2060"/>
      <c r="N624" s="2060"/>
      <c r="O624" s="2060"/>
      <c r="P624" s="2060"/>
      <c r="Q624" s="2060"/>
      <c r="R624" s="2060"/>
      <c r="S624" s="2060"/>
      <c r="T624" s="255"/>
      <c r="U624" s="255"/>
      <c r="V624" s="103"/>
    </row>
    <row r="625" spans="2:22">
      <c r="B625" s="2060"/>
      <c r="C625" s="2060"/>
      <c r="D625" s="2060"/>
      <c r="E625" s="255"/>
      <c r="H625" s="2060"/>
      <c r="I625" s="106"/>
      <c r="J625" s="2060"/>
      <c r="K625" s="2060"/>
      <c r="L625" s="2060"/>
      <c r="M625" s="2060"/>
      <c r="N625" s="2060"/>
      <c r="O625" s="2060"/>
      <c r="P625" s="2060"/>
      <c r="Q625" s="2060"/>
      <c r="R625" s="2060"/>
      <c r="S625" s="2060"/>
      <c r="T625" s="255"/>
      <c r="U625" s="255"/>
      <c r="V625" s="103"/>
    </row>
    <row r="626" spans="2:22">
      <c r="B626" s="2060"/>
      <c r="C626" s="2060"/>
      <c r="D626" s="2060"/>
      <c r="E626" s="255"/>
      <c r="H626" s="2060"/>
      <c r="I626" s="106"/>
      <c r="J626" s="2060"/>
      <c r="K626" s="2060"/>
      <c r="L626" s="2060"/>
      <c r="M626" s="2060"/>
      <c r="N626" s="2060"/>
      <c r="O626" s="2060"/>
      <c r="P626" s="2060"/>
      <c r="Q626" s="2060"/>
      <c r="R626" s="2060"/>
      <c r="S626" s="2060"/>
      <c r="T626" s="255"/>
      <c r="U626" s="255"/>
      <c r="V626" s="103"/>
    </row>
    <row r="627" spans="2:22">
      <c r="B627" s="2060"/>
      <c r="C627" s="2060"/>
      <c r="D627" s="2060"/>
      <c r="E627" s="255"/>
      <c r="H627" s="2060"/>
      <c r="I627" s="106"/>
      <c r="J627" s="2060"/>
      <c r="K627" s="2060"/>
      <c r="L627" s="2060"/>
      <c r="M627" s="2060"/>
      <c r="N627" s="2060"/>
      <c r="O627" s="2060"/>
      <c r="P627" s="2060"/>
      <c r="Q627" s="2060"/>
      <c r="R627" s="2060"/>
      <c r="S627" s="2060"/>
      <c r="T627" s="255"/>
      <c r="U627" s="255"/>
      <c r="V627" s="103"/>
    </row>
    <row r="628" spans="2:22">
      <c r="B628" s="2060"/>
      <c r="C628" s="2060"/>
      <c r="D628" s="2060"/>
      <c r="E628" s="255"/>
      <c r="H628" s="2060"/>
      <c r="I628" s="106"/>
      <c r="J628" s="2060"/>
      <c r="K628" s="2060"/>
      <c r="L628" s="2060"/>
      <c r="M628" s="2060"/>
      <c r="N628" s="2060"/>
      <c r="O628" s="2060"/>
      <c r="P628" s="2060"/>
      <c r="Q628" s="2060"/>
      <c r="R628" s="2060"/>
      <c r="S628" s="2060"/>
      <c r="T628" s="255"/>
      <c r="U628" s="255"/>
      <c r="V628" s="103"/>
    </row>
    <row r="629" spans="2:22">
      <c r="B629" s="2060"/>
      <c r="C629" s="2060"/>
      <c r="D629" s="2060"/>
      <c r="E629" s="255"/>
      <c r="H629" s="2060"/>
      <c r="I629" s="106"/>
      <c r="J629" s="2060"/>
      <c r="K629" s="2060"/>
      <c r="L629" s="2060"/>
      <c r="M629" s="2060"/>
      <c r="N629" s="2060"/>
      <c r="O629" s="2060"/>
      <c r="P629" s="2060"/>
      <c r="Q629" s="2060"/>
      <c r="R629" s="2060"/>
      <c r="S629" s="2060"/>
      <c r="T629" s="255"/>
      <c r="U629" s="255"/>
      <c r="V629" s="103"/>
    </row>
    <row r="630" spans="2:22">
      <c r="B630" s="2060"/>
      <c r="C630" s="2060"/>
      <c r="D630" s="2060"/>
      <c r="E630" s="255"/>
      <c r="H630" s="2060"/>
      <c r="I630" s="106"/>
      <c r="J630" s="2060"/>
      <c r="K630" s="2060"/>
      <c r="L630" s="2060"/>
      <c r="M630" s="2060"/>
      <c r="N630" s="2060"/>
      <c r="O630" s="2060"/>
      <c r="P630" s="2060"/>
      <c r="Q630" s="2060"/>
      <c r="R630" s="2060"/>
      <c r="S630" s="2060"/>
      <c r="T630" s="255"/>
      <c r="U630" s="255"/>
      <c r="V630" s="103"/>
    </row>
    <row r="631" spans="2:22">
      <c r="B631" s="2060"/>
      <c r="C631" s="2060"/>
      <c r="D631" s="2060"/>
      <c r="E631" s="255"/>
      <c r="H631" s="2060"/>
      <c r="I631" s="106"/>
      <c r="J631" s="2060"/>
      <c r="K631" s="2060"/>
      <c r="L631" s="2060"/>
      <c r="M631" s="2060"/>
      <c r="N631" s="2060"/>
      <c r="O631" s="2060"/>
      <c r="P631" s="2060"/>
      <c r="Q631" s="2060"/>
      <c r="R631" s="2060"/>
      <c r="S631" s="2060"/>
      <c r="T631" s="255"/>
      <c r="U631" s="255"/>
      <c r="V631" s="103"/>
    </row>
    <row r="632" spans="2:22">
      <c r="B632" s="2060"/>
      <c r="C632" s="2060"/>
      <c r="D632" s="2060"/>
      <c r="E632" s="255"/>
      <c r="H632" s="2060"/>
      <c r="I632" s="106"/>
      <c r="J632" s="2060"/>
      <c r="K632" s="2060"/>
      <c r="L632" s="2060"/>
      <c r="M632" s="2060"/>
      <c r="N632" s="2060"/>
      <c r="O632" s="2060"/>
      <c r="P632" s="2060"/>
      <c r="Q632" s="2060"/>
      <c r="R632" s="2060"/>
      <c r="S632" s="2060"/>
      <c r="T632" s="255"/>
      <c r="U632" s="255"/>
      <c r="V632" s="103"/>
    </row>
    <row r="633" spans="2:22">
      <c r="B633" s="2060"/>
      <c r="C633" s="2060"/>
      <c r="D633" s="2060"/>
      <c r="E633" s="255"/>
      <c r="H633" s="2060"/>
      <c r="I633" s="106"/>
      <c r="J633" s="2060"/>
      <c r="K633" s="2060"/>
      <c r="L633" s="2060"/>
      <c r="M633" s="2060"/>
      <c r="N633" s="2060"/>
      <c r="O633" s="2060"/>
      <c r="P633" s="2060"/>
      <c r="Q633" s="2060"/>
      <c r="R633" s="2060"/>
      <c r="S633" s="2060"/>
      <c r="T633" s="255"/>
      <c r="U633" s="255"/>
      <c r="V633" s="103"/>
    </row>
    <row r="634" spans="2:22">
      <c r="B634" s="2060"/>
      <c r="C634" s="2060"/>
      <c r="D634" s="2060"/>
      <c r="E634" s="255"/>
      <c r="H634" s="2060"/>
      <c r="I634" s="106"/>
      <c r="J634" s="2060"/>
      <c r="K634" s="2060"/>
      <c r="L634" s="2060"/>
      <c r="M634" s="2060"/>
      <c r="N634" s="2060"/>
      <c r="O634" s="2060"/>
      <c r="P634" s="2060"/>
      <c r="Q634" s="2060"/>
      <c r="R634" s="2060"/>
      <c r="S634" s="2060"/>
      <c r="T634" s="255"/>
      <c r="U634" s="255"/>
      <c r="V634" s="103"/>
    </row>
    <row r="635" spans="2:22">
      <c r="B635" s="2060"/>
      <c r="C635" s="2060"/>
      <c r="D635" s="2060"/>
      <c r="E635" s="255"/>
      <c r="H635" s="2060"/>
      <c r="I635" s="106"/>
      <c r="J635" s="2060"/>
      <c r="K635" s="2060"/>
      <c r="L635" s="2060"/>
      <c r="M635" s="2060"/>
      <c r="N635" s="2060"/>
      <c r="O635" s="2060"/>
      <c r="P635" s="2060"/>
      <c r="Q635" s="2060"/>
      <c r="R635" s="2060"/>
      <c r="S635" s="2060"/>
      <c r="T635" s="255"/>
      <c r="U635" s="255"/>
      <c r="V635" s="103"/>
    </row>
    <row r="636" spans="2:22">
      <c r="B636" s="2060"/>
      <c r="C636" s="2060"/>
      <c r="D636" s="2060"/>
      <c r="E636" s="255"/>
      <c r="H636" s="2060"/>
      <c r="I636" s="106"/>
      <c r="J636" s="2060"/>
      <c r="K636" s="2060"/>
      <c r="L636" s="2060"/>
      <c r="M636" s="2060"/>
      <c r="N636" s="2060"/>
      <c r="O636" s="2060"/>
      <c r="P636" s="2060"/>
      <c r="Q636" s="2060"/>
      <c r="R636" s="2060"/>
      <c r="S636" s="2060"/>
      <c r="T636" s="255"/>
      <c r="U636" s="255"/>
      <c r="V636" s="103"/>
    </row>
    <row r="637" spans="2:22">
      <c r="B637" s="2060"/>
      <c r="C637" s="2060"/>
      <c r="D637" s="2060"/>
      <c r="E637" s="255"/>
      <c r="H637" s="2060"/>
      <c r="I637" s="106"/>
      <c r="J637" s="2060"/>
      <c r="K637" s="2060"/>
      <c r="L637" s="2060"/>
      <c r="M637" s="2060"/>
      <c r="N637" s="2060"/>
      <c r="O637" s="2060"/>
      <c r="P637" s="2060"/>
      <c r="Q637" s="2060"/>
      <c r="R637" s="2060"/>
      <c r="S637" s="2060"/>
      <c r="T637" s="255"/>
      <c r="U637" s="255"/>
      <c r="V637" s="103"/>
    </row>
    <row r="638" spans="2:22">
      <c r="B638" s="2060"/>
      <c r="C638" s="2060"/>
      <c r="D638" s="2060"/>
      <c r="E638" s="255"/>
      <c r="H638" s="2060"/>
      <c r="I638" s="106"/>
      <c r="J638" s="2060"/>
      <c r="K638" s="2060"/>
      <c r="L638" s="2060"/>
      <c r="M638" s="2060"/>
      <c r="N638" s="2060"/>
      <c r="O638" s="2060"/>
      <c r="P638" s="2060"/>
      <c r="Q638" s="2060"/>
      <c r="R638" s="2060"/>
      <c r="S638" s="2060"/>
      <c r="T638" s="255"/>
      <c r="U638" s="255"/>
      <c r="V638" s="103"/>
    </row>
    <row r="639" spans="2:22">
      <c r="B639" s="2060"/>
      <c r="C639" s="2060"/>
      <c r="D639" s="2060"/>
      <c r="E639" s="255"/>
      <c r="H639" s="2060"/>
      <c r="I639" s="106"/>
      <c r="J639" s="2060"/>
      <c r="K639" s="2060"/>
      <c r="L639" s="2060"/>
      <c r="M639" s="2060"/>
      <c r="N639" s="2060"/>
      <c r="O639" s="2060"/>
      <c r="P639" s="2060"/>
      <c r="Q639" s="2060"/>
      <c r="R639" s="2060"/>
      <c r="S639" s="2060"/>
      <c r="T639" s="255"/>
      <c r="U639" s="255"/>
      <c r="V639" s="103"/>
    </row>
    <row r="640" spans="2:22">
      <c r="B640" s="2060"/>
      <c r="C640" s="2060"/>
      <c r="D640" s="2060"/>
      <c r="E640" s="255"/>
      <c r="H640" s="2060"/>
      <c r="I640" s="106"/>
      <c r="J640" s="2060"/>
      <c r="K640" s="2060"/>
      <c r="L640" s="2060"/>
      <c r="M640" s="2060"/>
      <c r="N640" s="2060"/>
      <c r="O640" s="2060"/>
      <c r="P640" s="2060"/>
      <c r="Q640" s="2060"/>
      <c r="R640" s="2060"/>
      <c r="S640" s="2060"/>
      <c r="T640" s="255"/>
      <c r="U640" s="255"/>
      <c r="V640" s="103"/>
    </row>
    <row r="641" spans="2:22">
      <c r="B641" s="2060"/>
      <c r="C641" s="2060"/>
      <c r="D641" s="2060"/>
      <c r="E641" s="255"/>
      <c r="H641" s="2060"/>
      <c r="I641" s="106"/>
      <c r="J641" s="2060"/>
      <c r="K641" s="2060"/>
      <c r="L641" s="2060"/>
      <c r="M641" s="2060"/>
      <c r="N641" s="2060"/>
      <c r="O641" s="2060"/>
      <c r="P641" s="2060"/>
      <c r="Q641" s="2060"/>
      <c r="R641" s="2060"/>
      <c r="S641" s="2060"/>
      <c r="T641" s="255"/>
      <c r="U641" s="255"/>
      <c r="V641" s="103"/>
    </row>
    <row r="642" spans="2:22">
      <c r="B642" s="2060"/>
      <c r="C642" s="2060"/>
      <c r="D642" s="2060"/>
      <c r="E642" s="255"/>
      <c r="H642" s="2060"/>
      <c r="I642" s="106"/>
      <c r="J642" s="2060"/>
      <c r="K642" s="2060"/>
      <c r="L642" s="2060"/>
      <c r="M642" s="2060"/>
      <c r="N642" s="2060"/>
      <c r="O642" s="2060"/>
      <c r="P642" s="2060"/>
      <c r="Q642" s="2060"/>
      <c r="R642" s="2060"/>
      <c r="S642" s="2060"/>
      <c r="T642" s="255"/>
      <c r="U642" s="255"/>
      <c r="V642" s="103"/>
    </row>
    <row r="643" spans="2:22">
      <c r="B643" s="2060"/>
      <c r="C643" s="2060"/>
      <c r="D643" s="2060"/>
      <c r="E643" s="255"/>
      <c r="H643" s="2060"/>
      <c r="I643" s="106"/>
      <c r="J643" s="2060"/>
      <c r="K643" s="2060"/>
      <c r="L643" s="2060"/>
      <c r="M643" s="2060"/>
      <c r="N643" s="2060"/>
      <c r="O643" s="2060"/>
      <c r="P643" s="2060"/>
      <c r="Q643" s="2060"/>
      <c r="R643" s="2060"/>
      <c r="S643" s="2060"/>
      <c r="T643" s="255"/>
      <c r="U643" s="255"/>
      <c r="V643" s="103"/>
    </row>
    <row r="644" spans="2:22">
      <c r="B644" s="2060"/>
      <c r="C644" s="2060"/>
      <c r="D644" s="2060"/>
      <c r="E644" s="255"/>
      <c r="H644" s="2060"/>
      <c r="I644" s="106"/>
      <c r="J644" s="2060"/>
      <c r="K644" s="2060"/>
      <c r="L644" s="2060"/>
      <c r="M644" s="2060"/>
      <c r="N644" s="2060"/>
      <c r="O644" s="2060"/>
      <c r="P644" s="2060"/>
      <c r="Q644" s="2060"/>
      <c r="R644" s="2060"/>
      <c r="S644" s="2060"/>
      <c r="T644" s="255"/>
      <c r="U644" s="255"/>
      <c r="V644" s="103"/>
    </row>
    <row r="645" spans="2:22">
      <c r="B645" s="2060"/>
      <c r="C645" s="2060"/>
      <c r="D645" s="2060"/>
      <c r="E645" s="255"/>
      <c r="H645" s="2060"/>
      <c r="I645" s="106"/>
      <c r="J645" s="2060"/>
      <c r="K645" s="2060"/>
      <c r="L645" s="2060"/>
      <c r="M645" s="2060"/>
      <c r="N645" s="2060"/>
      <c r="O645" s="2060"/>
      <c r="P645" s="2060"/>
      <c r="Q645" s="2060"/>
      <c r="R645" s="2060"/>
      <c r="S645" s="2060"/>
      <c r="T645" s="255"/>
      <c r="U645" s="255"/>
      <c r="V645" s="103"/>
    </row>
    <row r="646" spans="2:22">
      <c r="B646" s="2060"/>
      <c r="C646" s="2060"/>
      <c r="D646" s="2060"/>
      <c r="E646" s="255"/>
      <c r="H646" s="2060"/>
      <c r="I646" s="106"/>
      <c r="J646" s="2060"/>
      <c r="K646" s="2060"/>
      <c r="L646" s="2060"/>
      <c r="M646" s="2060"/>
      <c r="N646" s="2060"/>
      <c r="O646" s="2060"/>
      <c r="P646" s="2060"/>
      <c r="Q646" s="2060"/>
      <c r="R646" s="2060"/>
      <c r="S646" s="2060"/>
      <c r="T646" s="255"/>
      <c r="U646" s="255"/>
      <c r="V646" s="103"/>
    </row>
    <row r="647" spans="2:22">
      <c r="B647" s="2060"/>
      <c r="C647" s="2060"/>
      <c r="D647" s="2060"/>
      <c r="E647" s="255"/>
      <c r="H647" s="2060"/>
      <c r="I647" s="106"/>
      <c r="J647" s="2060"/>
      <c r="K647" s="2060"/>
      <c r="L647" s="2060"/>
      <c r="M647" s="2060"/>
      <c r="N647" s="2060"/>
      <c r="O647" s="2060"/>
      <c r="P647" s="2060"/>
      <c r="Q647" s="2060"/>
      <c r="R647" s="2060"/>
      <c r="S647" s="2060"/>
      <c r="T647" s="255"/>
      <c r="U647" s="255"/>
      <c r="V647" s="103"/>
    </row>
    <row r="648" spans="2:22">
      <c r="B648" s="2060"/>
      <c r="C648" s="2060"/>
      <c r="D648" s="2060"/>
      <c r="E648" s="255"/>
      <c r="H648" s="2060"/>
      <c r="I648" s="106"/>
      <c r="J648" s="2060"/>
      <c r="K648" s="2060"/>
      <c r="L648" s="2060"/>
      <c r="M648" s="2060"/>
      <c r="N648" s="2060"/>
      <c r="O648" s="2060"/>
      <c r="P648" s="2060"/>
      <c r="Q648" s="2060"/>
      <c r="R648" s="2060"/>
      <c r="S648" s="2060"/>
      <c r="T648" s="255"/>
      <c r="U648" s="255"/>
      <c r="V648" s="103"/>
    </row>
    <row r="649" spans="2:22">
      <c r="B649" s="2060"/>
      <c r="C649" s="2060"/>
      <c r="D649" s="2060"/>
      <c r="E649" s="255"/>
      <c r="H649" s="2060"/>
      <c r="I649" s="106"/>
      <c r="J649" s="2060"/>
      <c r="K649" s="2060"/>
      <c r="L649" s="2060"/>
      <c r="M649" s="2060"/>
      <c r="N649" s="2060"/>
      <c r="O649" s="2060"/>
      <c r="P649" s="2060"/>
      <c r="Q649" s="2060"/>
      <c r="R649" s="2060"/>
      <c r="S649" s="2060"/>
      <c r="T649" s="255"/>
      <c r="U649" s="255"/>
      <c r="V649" s="103"/>
    </row>
    <row r="650" spans="2:22">
      <c r="B650" s="2060"/>
      <c r="C650" s="2060"/>
      <c r="D650" s="2060"/>
      <c r="E650" s="255"/>
      <c r="H650" s="2060"/>
      <c r="I650" s="106"/>
      <c r="J650" s="2060"/>
      <c r="K650" s="2060"/>
      <c r="L650" s="2060"/>
      <c r="M650" s="2060"/>
      <c r="N650" s="2060"/>
      <c r="O650" s="2060"/>
      <c r="P650" s="2060"/>
      <c r="Q650" s="2060"/>
      <c r="R650" s="2060"/>
      <c r="S650" s="2060"/>
      <c r="T650" s="255"/>
      <c r="U650" s="255"/>
      <c r="V650" s="103"/>
    </row>
    <row r="651" spans="2:22">
      <c r="B651" s="2060"/>
      <c r="C651" s="2060"/>
      <c r="D651" s="2060"/>
      <c r="E651" s="255"/>
      <c r="H651" s="2060"/>
      <c r="I651" s="106"/>
      <c r="J651" s="2060"/>
      <c r="K651" s="2060"/>
      <c r="L651" s="2060"/>
      <c r="M651" s="2060"/>
      <c r="N651" s="2060"/>
      <c r="O651" s="2060"/>
      <c r="P651" s="2060"/>
      <c r="Q651" s="2060"/>
      <c r="R651" s="2060"/>
      <c r="S651" s="2060"/>
      <c r="T651" s="255"/>
      <c r="U651" s="255"/>
      <c r="V651" s="103"/>
    </row>
    <row r="652" spans="2:22">
      <c r="B652" s="2060"/>
      <c r="C652" s="2060"/>
      <c r="D652" s="2060"/>
      <c r="E652" s="255"/>
      <c r="H652" s="2060"/>
      <c r="I652" s="106"/>
      <c r="J652" s="2060"/>
      <c r="K652" s="2060"/>
      <c r="L652" s="2060"/>
      <c r="M652" s="2060"/>
      <c r="N652" s="2060"/>
      <c r="O652" s="2060"/>
      <c r="P652" s="2060"/>
      <c r="Q652" s="2060"/>
      <c r="R652" s="2060"/>
      <c r="S652" s="2060"/>
      <c r="T652" s="255"/>
      <c r="U652" s="255"/>
      <c r="V652" s="103"/>
    </row>
    <row r="653" spans="2:22">
      <c r="B653" s="2060"/>
      <c r="C653" s="2060"/>
      <c r="D653" s="2060"/>
      <c r="E653" s="255"/>
      <c r="H653" s="2060"/>
      <c r="I653" s="106"/>
      <c r="J653" s="2060"/>
      <c r="K653" s="2060"/>
      <c r="L653" s="2060"/>
      <c r="M653" s="2060"/>
      <c r="N653" s="2060"/>
      <c r="O653" s="2060"/>
      <c r="P653" s="2060"/>
      <c r="Q653" s="2060"/>
      <c r="R653" s="2060"/>
      <c r="S653" s="2060"/>
      <c r="T653" s="255"/>
      <c r="U653" s="255"/>
      <c r="V653" s="103"/>
    </row>
    <row r="654" spans="2:22">
      <c r="B654" s="2060"/>
      <c r="C654" s="2060"/>
      <c r="D654" s="2060"/>
      <c r="E654" s="255"/>
      <c r="H654" s="2060"/>
      <c r="I654" s="106"/>
      <c r="J654" s="2060"/>
      <c r="K654" s="2060"/>
      <c r="L654" s="2060"/>
      <c r="M654" s="2060"/>
      <c r="N654" s="2060"/>
      <c r="O654" s="2060"/>
      <c r="P654" s="2060"/>
      <c r="Q654" s="2060"/>
      <c r="R654" s="2060"/>
      <c r="S654" s="2060"/>
      <c r="T654" s="255"/>
      <c r="U654" s="255"/>
      <c r="V654" s="103"/>
    </row>
    <row r="655" spans="2:22">
      <c r="B655" s="2060"/>
      <c r="C655" s="2060"/>
      <c r="D655" s="2060"/>
      <c r="E655" s="255"/>
      <c r="H655" s="2060"/>
      <c r="I655" s="106"/>
      <c r="J655" s="2060"/>
      <c r="K655" s="2060"/>
      <c r="L655" s="2060"/>
      <c r="M655" s="2060"/>
      <c r="N655" s="2060"/>
      <c r="O655" s="2060"/>
      <c r="P655" s="2060"/>
      <c r="Q655" s="2060"/>
      <c r="R655" s="2060"/>
      <c r="S655" s="2060"/>
      <c r="T655" s="255"/>
      <c r="U655" s="255"/>
      <c r="V655" s="103"/>
    </row>
    <row r="656" spans="2:22">
      <c r="B656" s="2060"/>
      <c r="C656" s="2060"/>
      <c r="D656" s="2060"/>
      <c r="E656" s="255"/>
      <c r="H656" s="2060"/>
      <c r="I656" s="106"/>
      <c r="J656" s="2060"/>
      <c r="K656" s="2060"/>
      <c r="L656" s="2060"/>
      <c r="M656" s="2060"/>
      <c r="N656" s="2060"/>
      <c r="O656" s="2060"/>
      <c r="P656" s="2060"/>
      <c r="Q656" s="2060"/>
      <c r="R656" s="2060"/>
      <c r="S656" s="2060"/>
      <c r="T656" s="255"/>
      <c r="U656" s="255"/>
      <c r="V656" s="103"/>
    </row>
    <row r="657" spans="2:22">
      <c r="B657" s="2060"/>
      <c r="C657" s="2060"/>
      <c r="D657" s="2060"/>
      <c r="E657" s="255"/>
      <c r="H657" s="2060"/>
      <c r="I657" s="106"/>
      <c r="J657" s="2060"/>
      <c r="K657" s="2060"/>
      <c r="L657" s="2060"/>
      <c r="M657" s="2060"/>
      <c r="N657" s="2060"/>
      <c r="O657" s="2060"/>
      <c r="P657" s="2060"/>
      <c r="Q657" s="2060"/>
      <c r="R657" s="2060"/>
      <c r="S657" s="2060"/>
      <c r="T657" s="255"/>
      <c r="U657" s="255"/>
      <c r="V657" s="103"/>
    </row>
    <row r="658" spans="2:22">
      <c r="B658" s="2060"/>
      <c r="C658" s="2060"/>
      <c r="D658" s="2060"/>
      <c r="E658" s="255"/>
      <c r="H658" s="2060"/>
      <c r="I658" s="106"/>
      <c r="J658" s="2060"/>
      <c r="K658" s="2060"/>
      <c r="L658" s="2060"/>
      <c r="M658" s="2060"/>
      <c r="N658" s="2060"/>
      <c r="O658" s="2060"/>
      <c r="P658" s="2060"/>
      <c r="Q658" s="2060"/>
      <c r="R658" s="2060"/>
      <c r="S658" s="2060"/>
      <c r="T658" s="255"/>
      <c r="U658" s="255"/>
      <c r="V658" s="103"/>
    </row>
    <row r="659" spans="2:22">
      <c r="B659" s="2060"/>
      <c r="C659" s="2060"/>
      <c r="D659" s="2060"/>
      <c r="E659" s="255"/>
      <c r="H659" s="2060"/>
      <c r="I659" s="106"/>
      <c r="J659" s="2060"/>
      <c r="K659" s="2060"/>
      <c r="L659" s="2060"/>
      <c r="M659" s="2060"/>
      <c r="N659" s="2060"/>
      <c r="O659" s="2060"/>
      <c r="P659" s="2060"/>
      <c r="Q659" s="2060"/>
      <c r="R659" s="2060"/>
      <c r="S659" s="2060"/>
      <c r="T659" s="255"/>
      <c r="U659" s="255"/>
      <c r="V659" s="103"/>
    </row>
    <row r="660" spans="2:22">
      <c r="B660" s="2060"/>
      <c r="C660" s="2060"/>
      <c r="D660" s="2060"/>
      <c r="E660" s="255"/>
      <c r="H660" s="2060"/>
      <c r="I660" s="106"/>
      <c r="J660" s="2060"/>
      <c r="K660" s="2060"/>
      <c r="L660" s="2060"/>
      <c r="M660" s="2060"/>
      <c r="N660" s="2060"/>
      <c r="O660" s="2060"/>
      <c r="P660" s="2060"/>
      <c r="Q660" s="2060"/>
      <c r="R660" s="2060"/>
      <c r="S660" s="2060"/>
      <c r="T660" s="255"/>
      <c r="U660" s="255"/>
      <c r="V660" s="103"/>
    </row>
    <row r="661" spans="2:22">
      <c r="B661" s="2060"/>
      <c r="C661" s="2060"/>
      <c r="D661" s="2060"/>
      <c r="E661" s="255"/>
      <c r="H661" s="2060"/>
      <c r="I661" s="106"/>
      <c r="J661" s="2060"/>
      <c r="K661" s="2060"/>
      <c r="L661" s="2060"/>
      <c r="M661" s="2060"/>
      <c r="N661" s="2060"/>
      <c r="O661" s="2060"/>
      <c r="P661" s="2060"/>
      <c r="Q661" s="2060"/>
      <c r="R661" s="2060"/>
      <c r="S661" s="2060"/>
      <c r="T661" s="255"/>
      <c r="U661" s="255"/>
      <c r="V661" s="103"/>
    </row>
    <row r="662" spans="2:22">
      <c r="B662" s="2060"/>
      <c r="C662" s="2060"/>
      <c r="D662" s="2060"/>
      <c r="E662" s="255"/>
      <c r="H662" s="2060"/>
      <c r="I662" s="106"/>
      <c r="J662" s="2060"/>
      <c r="K662" s="2060"/>
      <c r="L662" s="2060"/>
      <c r="M662" s="2060"/>
      <c r="N662" s="2060"/>
      <c r="O662" s="2060"/>
      <c r="P662" s="2060"/>
      <c r="Q662" s="2060"/>
      <c r="R662" s="2060"/>
      <c r="S662" s="2060"/>
      <c r="T662" s="255"/>
      <c r="U662" s="255"/>
      <c r="V662" s="103"/>
    </row>
    <row r="663" spans="2:22">
      <c r="B663" s="2060"/>
      <c r="C663" s="2060"/>
      <c r="D663" s="2060"/>
      <c r="E663" s="255"/>
      <c r="H663" s="2060"/>
      <c r="I663" s="106"/>
      <c r="J663" s="2060"/>
      <c r="K663" s="2060"/>
      <c r="L663" s="2060"/>
      <c r="M663" s="2060"/>
      <c r="N663" s="2060"/>
      <c r="O663" s="2060"/>
      <c r="P663" s="2060"/>
      <c r="Q663" s="2060"/>
      <c r="R663" s="2060"/>
      <c r="S663" s="2060"/>
      <c r="T663" s="255"/>
      <c r="U663" s="255"/>
      <c r="V663" s="103"/>
    </row>
    <row r="664" spans="2:22">
      <c r="B664" s="2060"/>
      <c r="C664" s="2060"/>
      <c r="D664" s="2060"/>
      <c r="E664" s="255"/>
      <c r="H664" s="2060"/>
      <c r="I664" s="106"/>
      <c r="J664" s="2060"/>
      <c r="K664" s="2060"/>
      <c r="L664" s="2060"/>
      <c r="M664" s="2060"/>
      <c r="N664" s="2060"/>
      <c r="O664" s="2060"/>
      <c r="P664" s="2060"/>
      <c r="Q664" s="2060"/>
      <c r="R664" s="2060"/>
      <c r="S664" s="2060"/>
      <c r="T664" s="255"/>
      <c r="U664" s="255"/>
      <c r="V664" s="103"/>
    </row>
    <row r="665" spans="2:22">
      <c r="B665" s="2060"/>
      <c r="C665" s="2060"/>
      <c r="D665" s="2060"/>
      <c r="E665" s="255"/>
      <c r="H665" s="2060"/>
      <c r="I665" s="106"/>
      <c r="J665" s="2060"/>
      <c r="K665" s="2060"/>
      <c r="L665" s="2060"/>
      <c r="M665" s="2060"/>
      <c r="N665" s="2060"/>
      <c r="O665" s="2060"/>
      <c r="P665" s="2060"/>
      <c r="Q665" s="2060"/>
      <c r="R665" s="2060"/>
      <c r="S665" s="2060"/>
      <c r="T665" s="255"/>
      <c r="U665" s="255"/>
      <c r="V665" s="103"/>
    </row>
    <row r="666" spans="2:22">
      <c r="B666" s="2060"/>
      <c r="C666" s="2060"/>
      <c r="D666" s="2060"/>
      <c r="E666" s="255"/>
      <c r="H666" s="2060"/>
      <c r="I666" s="106"/>
      <c r="J666" s="2060"/>
      <c r="K666" s="2060"/>
      <c r="L666" s="2060"/>
      <c r="M666" s="2060"/>
      <c r="N666" s="2060"/>
      <c r="O666" s="2060"/>
      <c r="P666" s="2060"/>
      <c r="Q666" s="2060"/>
      <c r="R666" s="2060"/>
      <c r="S666" s="2060"/>
      <c r="T666" s="255"/>
      <c r="U666" s="255"/>
      <c r="V666" s="103"/>
    </row>
    <row r="667" spans="2:22">
      <c r="B667" s="2060"/>
      <c r="C667" s="2060"/>
      <c r="D667" s="2060"/>
      <c r="E667" s="255"/>
      <c r="H667" s="2060"/>
      <c r="I667" s="106"/>
      <c r="J667" s="2060"/>
      <c r="K667" s="2060"/>
      <c r="L667" s="2060"/>
      <c r="M667" s="2060"/>
      <c r="N667" s="2060"/>
      <c r="O667" s="2060"/>
      <c r="P667" s="2060"/>
      <c r="Q667" s="2060"/>
      <c r="R667" s="2060"/>
      <c r="S667" s="2060"/>
      <c r="T667" s="255"/>
      <c r="U667" s="255"/>
      <c r="V667" s="103"/>
    </row>
    <row r="668" spans="2:22">
      <c r="B668" s="2060"/>
      <c r="C668" s="2060"/>
      <c r="D668" s="2060"/>
      <c r="E668" s="255"/>
      <c r="H668" s="2060"/>
      <c r="I668" s="106"/>
      <c r="J668" s="2060"/>
      <c r="K668" s="2060"/>
      <c r="L668" s="2060"/>
      <c r="M668" s="2060"/>
      <c r="N668" s="2060"/>
      <c r="O668" s="2060"/>
      <c r="P668" s="2060"/>
      <c r="Q668" s="2060"/>
      <c r="R668" s="2060"/>
      <c r="S668" s="2060"/>
      <c r="T668" s="255"/>
      <c r="U668" s="255"/>
      <c r="V668" s="103"/>
    </row>
    <row r="669" spans="2:22">
      <c r="B669" s="2060"/>
      <c r="C669" s="2060"/>
      <c r="D669" s="2060"/>
      <c r="E669" s="255"/>
      <c r="H669" s="2060"/>
      <c r="I669" s="106"/>
      <c r="J669" s="2060"/>
      <c r="K669" s="2060"/>
      <c r="L669" s="2060"/>
      <c r="M669" s="2060"/>
      <c r="N669" s="2060"/>
      <c r="O669" s="2060"/>
      <c r="P669" s="2060"/>
      <c r="Q669" s="2060"/>
      <c r="R669" s="2060"/>
      <c r="S669" s="2060"/>
      <c r="T669" s="255"/>
      <c r="U669" s="255"/>
      <c r="V669" s="103"/>
    </row>
    <row r="670" spans="2:22">
      <c r="B670" s="2060"/>
      <c r="C670" s="2060"/>
      <c r="D670" s="2060"/>
      <c r="E670" s="255"/>
      <c r="H670" s="2060"/>
      <c r="I670" s="106"/>
      <c r="J670" s="2060"/>
      <c r="K670" s="2060"/>
      <c r="L670" s="2060"/>
      <c r="M670" s="2060"/>
      <c r="N670" s="2060"/>
      <c r="O670" s="2060"/>
      <c r="P670" s="2060"/>
      <c r="Q670" s="2060"/>
      <c r="R670" s="2060"/>
      <c r="S670" s="2060"/>
      <c r="T670" s="255"/>
      <c r="U670" s="255"/>
      <c r="V670" s="103"/>
    </row>
    <row r="671" spans="2:22">
      <c r="B671" s="2060"/>
      <c r="C671" s="2060"/>
      <c r="D671" s="2060"/>
      <c r="E671" s="255"/>
      <c r="H671" s="2060"/>
      <c r="I671" s="106"/>
      <c r="J671" s="2060"/>
      <c r="K671" s="2060"/>
      <c r="L671" s="2060"/>
      <c r="M671" s="2060"/>
      <c r="N671" s="2060"/>
      <c r="O671" s="2060"/>
      <c r="P671" s="2060"/>
      <c r="Q671" s="2060"/>
      <c r="R671" s="2060"/>
      <c r="S671" s="2060"/>
      <c r="T671" s="255"/>
      <c r="U671" s="255"/>
      <c r="V671" s="103"/>
    </row>
    <row r="672" spans="2:22">
      <c r="B672" s="2060"/>
      <c r="C672" s="2060"/>
      <c r="D672" s="2060"/>
      <c r="E672" s="255"/>
      <c r="H672" s="2060"/>
      <c r="I672" s="106"/>
      <c r="J672" s="2060"/>
      <c r="K672" s="2060"/>
      <c r="L672" s="2060"/>
      <c r="M672" s="2060"/>
      <c r="N672" s="2060"/>
      <c r="O672" s="2060"/>
      <c r="P672" s="2060"/>
      <c r="Q672" s="2060"/>
      <c r="R672" s="2060"/>
      <c r="S672" s="2060"/>
      <c r="T672" s="255"/>
      <c r="U672" s="255"/>
      <c r="V672" s="103"/>
    </row>
    <row r="673" spans="2:22">
      <c r="B673" s="2060"/>
      <c r="C673" s="2060"/>
      <c r="D673" s="2060"/>
      <c r="E673" s="255"/>
      <c r="H673" s="2060"/>
      <c r="I673" s="106"/>
      <c r="J673" s="2060"/>
      <c r="K673" s="2060"/>
      <c r="L673" s="2060"/>
      <c r="M673" s="2060"/>
      <c r="N673" s="2060"/>
      <c r="O673" s="2060"/>
      <c r="P673" s="2060"/>
      <c r="Q673" s="2060"/>
      <c r="R673" s="2060"/>
      <c r="S673" s="2060"/>
      <c r="T673" s="255"/>
      <c r="U673" s="255"/>
      <c r="V673" s="103"/>
    </row>
    <row r="674" spans="2:22">
      <c r="B674" s="2060"/>
      <c r="C674" s="2060"/>
      <c r="D674" s="2060"/>
      <c r="E674" s="255"/>
      <c r="H674" s="2060"/>
      <c r="I674" s="106"/>
      <c r="J674" s="2060"/>
      <c r="K674" s="2060"/>
      <c r="L674" s="2060"/>
      <c r="M674" s="2060"/>
      <c r="N674" s="2060"/>
      <c r="O674" s="2060"/>
      <c r="P674" s="2060"/>
      <c r="Q674" s="2060"/>
      <c r="R674" s="2060"/>
      <c r="S674" s="2060"/>
      <c r="T674" s="255"/>
      <c r="U674" s="255"/>
      <c r="V674" s="103"/>
    </row>
    <row r="675" spans="2:22">
      <c r="B675" s="2060"/>
      <c r="C675" s="2060"/>
      <c r="D675" s="2060"/>
      <c r="E675" s="255"/>
      <c r="H675" s="2060"/>
      <c r="I675" s="106"/>
      <c r="J675" s="2060"/>
      <c r="K675" s="2060"/>
      <c r="L675" s="2060"/>
      <c r="M675" s="2060"/>
      <c r="N675" s="2060"/>
      <c r="O675" s="2060"/>
      <c r="P675" s="2060"/>
      <c r="Q675" s="2060"/>
      <c r="R675" s="2060"/>
      <c r="S675" s="2060"/>
      <c r="T675" s="255"/>
      <c r="U675" s="255"/>
      <c r="V675" s="103"/>
    </row>
    <row r="676" spans="2:22">
      <c r="B676" s="2060"/>
      <c r="C676" s="2060"/>
      <c r="D676" s="2060"/>
      <c r="E676" s="255"/>
      <c r="H676" s="2060"/>
      <c r="I676" s="106"/>
      <c r="J676" s="2060"/>
      <c r="K676" s="2060"/>
      <c r="L676" s="2060"/>
      <c r="M676" s="2060"/>
      <c r="N676" s="2060"/>
      <c r="O676" s="2060"/>
      <c r="P676" s="2060"/>
      <c r="Q676" s="2060"/>
      <c r="R676" s="2060"/>
      <c r="S676" s="2060"/>
      <c r="T676" s="255"/>
      <c r="U676" s="255"/>
      <c r="V676" s="103"/>
    </row>
    <row r="677" spans="2:22">
      <c r="B677" s="2060"/>
      <c r="C677" s="2060"/>
      <c r="D677" s="2060"/>
      <c r="E677" s="255"/>
      <c r="H677" s="2060"/>
      <c r="I677" s="106"/>
      <c r="J677" s="2060"/>
      <c r="K677" s="2060"/>
      <c r="L677" s="2060"/>
      <c r="M677" s="2060"/>
      <c r="N677" s="2060"/>
      <c r="O677" s="2060"/>
      <c r="P677" s="2060"/>
      <c r="Q677" s="2060"/>
      <c r="R677" s="2060"/>
      <c r="S677" s="2060"/>
      <c r="T677" s="255"/>
      <c r="U677" s="255"/>
      <c r="V677" s="103"/>
    </row>
    <row r="678" spans="2:22">
      <c r="B678" s="2060"/>
      <c r="C678" s="2060"/>
      <c r="D678" s="2060"/>
      <c r="E678" s="255"/>
      <c r="H678" s="2060"/>
      <c r="I678" s="106"/>
      <c r="J678" s="2060"/>
      <c r="K678" s="2060"/>
      <c r="L678" s="2060"/>
      <c r="M678" s="2060"/>
      <c r="N678" s="2060"/>
      <c r="O678" s="2060"/>
      <c r="P678" s="2060"/>
      <c r="Q678" s="2060"/>
      <c r="R678" s="2060"/>
      <c r="S678" s="2060"/>
      <c r="T678" s="255"/>
      <c r="U678" s="255"/>
      <c r="V678" s="103"/>
    </row>
    <row r="679" spans="2:22">
      <c r="B679" s="2060"/>
      <c r="C679" s="2060"/>
      <c r="D679" s="2060"/>
      <c r="E679" s="255"/>
      <c r="H679" s="2060"/>
      <c r="I679" s="106"/>
      <c r="J679" s="2060"/>
      <c r="K679" s="2060"/>
      <c r="L679" s="2060"/>
      <c r="M679" s="2060"/>
      <c r="N679" s="2060"/>
      <c r="O679" s="2060"/>
      <c r="P679" s="2060"/>
      <c r="Q679" s="2060"/>
      <c r="R679" s="2060"/>
      <c r="S679" s="2060"/>
      <c r="T679" s="255"/>
      <c r="U679" s="255"/>
      <c r="V679" s="103"/>
    </row>
    <row r="680" spans="2:22">
      <c r="B680" s="2060"/>
      <c r="C680" s="2060"/>
      <c r="D680" s="2060"/>
      <c r="E680" s="255"/>
      <c r="H680" s="2060"/>
      <c r="I680" s="106"/>
      <c r="J680" s="2060"/>
      <c r="K680" s="2060"/>
      <c r="L680" s="2060"/>
      <c r="M680" s="2060"/>
      <c r="N680" s="2060"/>
      <c r="O680" s="2060"/>
      <c r="P680" s="2060"/>
      <c r="Q680" s="2060"/>
      <c r="R680" s="2060"/>
      <c r="S680" s="2060"/>
      <c r="T680" s="255"/>
      <c r="U680" s="255"/>
      <c r="V680" s="103"/>
    </row>
    <row r="681" spans="2:22">
      <c r="B681" s="2060"/>
      <c r="C681" s="2060"/>
      <c r="D681" s="2060"/>
      <c r="E681" s="255"/>
      <c r="H681" s="2060"/>
      <c r="I681" s="106"/>
      <c r="J681" s="2060"/>
      <c r="K681" s="2060"/>
      <c r="L681" s="2060"/>
      <c r="M681" s="2060"/>
      <c r="N681" s="2060"/>
      <c r="O681" s="2060"/>
      <c r="P681" s="2060"/>
      <c r="Q681" s="2060"/>
      <c r="R681" s="2060"/>
      <c r="S681" s="2060"/>
      <c r="T681" s="255"/>
      <c r="U681" s="255"/>
      <c r="V681" s="103"/>
    </row>
    <row r="682" spans="2:22">
      <c r="B682" s="2060"/>
      <c r="C682" s="2060"/>
      <c r="D682" s="2060"/>
      <c r="E682" s="255"/>
      <c r="H682" s="2060"/>
      <c r="I682" s="106"/>
      <c r="J682" s="2060"/>
      <c r="K682" s="2060"/>
      <c r="L682" s="2060"/>
      <c r="M682" s="2060"/>
      <c r="N682" s="2060"/>
      <c r="O682" s="2060"/>
      <c r="P682" s="2060"/>
      <c r="Q682" s="2060"/>
      <c r="R682" s="2060"/>
      <c r="S682" s="2060"/>
      <c r="T682" s="255"/>
      <c r="U682" s="255"/>
      <c r="V682" s="103"/>
    </row>
    <row r="683" spans="2:22">
      <c r="B683" s="2060"/>
      <c r="C683" s="2060"/>
      <c r="D683" s="2060"/>
      <c r="E683" s="255"/>
      <c r="H683" s="2060"/>
      <c r="I683" s="106"/>
      <c r="J683" s="2060"/>
      <c r="K683" s="2060"/>
      <c r="L683" s="2060"/>
      <c r="M683" s="2060"/>
      <c r="N683" s="2060"/>
      <c r="O683" s="2060"/>
      <c r="P683" s="2060"/>
      <c r="Q683" s="2060"/>
      <c r="R683" s="2060"/>
      <c r="S683" s="2060"/>
      <c r="T683" s="255"/>
      <c r="U683" s="255"/>
      <c r="V683" s="103"/>
    </row>
    <row r="684" spans="2:22">
      <c r="B684" s="2060"/>
      <c r="C684" s="2060"/>
      <c r="D684" s="2060"/>
      <c r="E684" s="255"/>
      <c r="H684" s="2060"/>
      <c r="I684" s="106"/>
      <c r="J684" s="2060"/>
      <c r="K684" s="2060"/>
      <c r="L684" s="2060"/>
      <c r="M684" s="2060"/>
      <c r="N684" s="2060"/>
      <c r="O684" s="2060"/>
      <c r="P684" s="2060"/>
      <c r="Q684" s="2060"/>
      <c r="R684" s="2060"/>
      <c r="S684" s="2060"/>
      <c r="T684" s="255"/>
      <c r="U684" s="255"/>
      <c r="V684" s="103"/>
    </row>
    <row r="685" spans="2:22">
      <c r="B685" s="2060"/>
      <c r="C685" s="2060"/>
      <c r="D685" s="2060"/>
      <c r="E685" s="255"/>
      <c r="H685" s="2060"/>
      <c r="I685" s="106"/>
      <c r="J685" s="2060"/>
      <c r="K685" s="2060"/>
      <c r="L685" s="2060"/>
      <c r="M685" s="2060"/>
      <c r="N685" s="2060"/>
      <c r="O685" s="2060"/>
      <c r="P685" s="2060"/>
      <c r="Q685" s="2060"/>
      <c r="R685" s="2060"/>
      <c r="S685" s="2060"/>
      <c r="T685" s="255"/>
      <c r="U685" s="255"/>
      <c r="V685" s="103"/>
    </row>
    <row r="686" spans="2:22">
      <c r="B686" s="2060"/>
      <c r="C686" s="2060"/>
      <c r="D686" s="2060"/>
      <c r="E686" s="255"/>
      <c r="H686" s="2060"/>
      <c r="I686" s="106"/>
      <c r="J686" s="2060"/>
      <c r="K686" s="2060"/>
      <c r="L686" s="2060"/>
      <c r="M686" s="2060"/>
      <c r="N686" s="2060"/>
      <c r="O686" s="2060"/>
      <c r="P686" s="2060"/>
      <c r="Q686" s="2060"/>
      <c r="R686" s="2060"/>
      <c r="S686" s="2060"/>
      <c r="T686" s="255"/>
      <c r="U686" s="255"/>
      <c r="V686" s="103"/>
    </row>
    <row r="687" spans="2:22">
      <c r="B687" s="2060"/>
      <c r="C687" s="2060"/>
      <c r="D687" s="2060"/>
      <c r="E687" s="255"/>
      <c r="H687" s="2060"/>
      <c r="I687" s="106"/>
      <c r="J687" s="2060"/>
      <c r="K687" s="2060"/>
      <c r="L687" s="2060"/>
      <c r="M687" s="2060"/>
      <c r="N687" s="2060"/>
      <c r="O687" s="2060"/>
      <c r="P687" s="2060"/>
      <c r="Q687" s="2060"/>
      <c r="R687" s="2060"/>
      <c r="S687" s="2060"/>
      <c r="T687" s="255"/>
      <c r="U687" s="255"/>
      <c r="V687" s="103"/>
    </row>
    <row r="688" spans="2:22">
      <c r="B688" s="2060"/>
      <c r="C688" s="2060"/>
      <c r="D688" s="2060"/>
      <c r="E688" s="255"/>
      <c r="H688" s="2060"/>
      <c r="I688" s="106"/>
      <c r="J688" s="2060"/>
      <c r="K688" s="2060"/>
      <c r="L688" s="2060"/>
      <c r="M688" s="2060"/>
      <c r="N688" s="2060"/>
      <c r="O688" s="2060"/>
      <c r="P688" s="2060"/>
      <c r="Q688" s="2060"/>
      <c r="R688" s="2060"/>
      <c r="S688" s="2060"/>
      <c r="T688" s="255"/>
      <c r="U688" s="255"/>
      <c r="V688" s="103"/>
    </row>
    <row r="689" spans="2:22">
      <c r="B689" s="2060"/>
      <c r="C689" s="2060"/>
      <c r="D689" s="2060"/>
      <c r="E689" s="255"/>
      <c r="H689" s="2060"/>
      <c r="I689" s="106"/>
      <c r="J689" s="2060"/>
      <c r="K689" s="2060"/>
      <c r="L689" s="2060"/>
      <c r="M689" s="2060"/>
      <c r="N689" s="2060"/>
      <c r="O689" s="2060"/>
      <c r="P689" s="2060"/>
      <c r="Q689" s="2060"/>
      <c r="R689" s="2060"/>
      <c r="S689" s="2060"/>
      <c r="T689" s="255"/>
      <c r="U689" s="255"/>
      <c r="V689" s="103"/>
    </row>
    <row r="690" spans="2:22">
      <c r="B690" s="2060"/>
      <c r="C690" s="2060"/>
      <c r="D690" s="2060"/>
      <c r="E690" s="255"/>
      <c r="H690" s="2060"/>
      <c r="I690" s="106"/>
      <c r="J690" s="2060"/>
      <c r="K690" s="2060"/>
      <c r="L690" s="2060"/>
      <c r="M690" s="2060"/>
      <c r="N690" s="2060"/>
      <c r="O690" s="2060"/>
      <c r="P690" s="2060"/>
      <c r="Q690" s="2060"/>
      <c r="R690" s="2060"/>
      <c r="S690" s="2060"/>
      <c r="T690" s="255"/>
      <c r="U690" s="255"/>
      <c r="V690" s="103"/>
    </row>
    <row r="691" spans="2:22">
      <c r="B691" s="2060"/>
      <c r="C691" s="2060"/>
      <c r="D691" s="2060"/>
      <c r="E691" s="255"/>
      <c r="H691" s="2060"/>
      <c r="I691" s="106"/>
      <c r="J691" s="2060"/>
      <c r="K691" s="2060"/>
      <c r="L691" s="2060"/>
      <c r="M691" s="2060"/>
      <c r="N691" s="2060"/>
      <c r="O691" s="2060"/>
      <c r="P691" s="2060"/>
      <c r="Q691" s="2060"/>
      <c r="R691" s="2060"/>
      <c r="S691" s="2060"/>
      <c r="T691" s="255"/>
      <c r="U691" s="255"/>
      <c r="V691" s="103"/>
    </row>
    <row r="692" spans="2:22">
      <c r="B692" s="2060"/>
      <c r="C692" s="2060"/>
      <c r="D692" s="2060"/>
      <c r="E692" s="255"/>
      <c r="H692" s="2060"/>
      <c r="I692" s="106"/>
      <c r="J692" s="2060"/>
      <c r="K692" s="2060"/>
      <c r="L692" s="2060"/>
      <c r="M692" s="2060"/>
      <c r="N692" s="2060"/>
      <c r="O692" s="2060"/>
      <c r="P692" s="2060"/>
      <c r="Q692" s="2060"/>
      <c r="R692" s="2060"/>
      <c r="S692" s="2060"/>
      <c r="T692" s="255"/>
      <c r="U692" s="255"/>
      <c r="V692" s="103"/>
    </row>
    <row r="693" spans="2:22">
      <c r="B693" s="2060"/>
      <c r="C693" s="2060"/>
      <c r="D693" s="2060"/>
      <c r="E693" s="255"/>
      <c r="H693" s="2060"/>
      <c r="I693" s="106"/>
      <c r="J693" s="2060"/>
      <c r="K693" s="2060"/>
      <c r="L693" s="2060"/>
      <c r="M693" s="2060"/>
      <c r="N693" s="2060"/>
      <c r="O693" s="2060"/>
      <c r="P693" s="2060"/>
      <c r="Q693" s="2060"/>
      <c r="R693" s="2060"/>
      <c r="S693" s="2060"/>
      <c r="T693" s="255"/>
      <c r="U693" s="255"/>
      <c r="V693" s="103"/>
    </row>
    <row r="694" spans="2:22">
      <c r="B694" s="2060"/>
      <c r="C694" s="2060"/>
      <c r="D694" s="2060"/>
      <c r="E694" s="255"/>
      <c r="H694" s="2060"/>
      <c r="I694" s="106"/>
      <c r="J694" s="2060"/>
      <c r="K694" s="2060"/>
      <c r="L694" s="2060"/>
      <c r="M694" s="2060"/>
      <c r="N694" s="2060"/>
      <c r="O694" s="2060"/>
      <c r="P694" s="2060"/>
      <c r="Q694" s="2060"/>
      <c r="R694" s="2060"/>
      <c r="S694" s="2060"/>
      <c r="T694" s="255"/>
      <c r="U694" s="255"/>
      <c r="V694" s="103"/>
    </row>
    <row r="695" spans="2:22">
      <c r="B695" s="2060"/>
      <c r="C695" s="2060"/>
      <c r="D695" s="2060"/>
      <c r="E695" s="255"/>
      <c r="H695" s="2060"/>
      <c r="I695" s="106"/>
      <c r="J695" s="2060"/>
      <c r="K695" s="2060"/>
      <c r="L695" s="2060"/>
      <c r="M695" s="2060"/>
      <c r="N695" s="2060"/>
      <c r="O695" s="2060"/>
      <c r="P695" s="2060"/>
      <c r="Q695" s="2060"/>
      <c r="R695" s="2060"/>
      <c r="S695" s="2060"/>
      <c r="T695" s="255"/>
      <c r="U695" s="255"/>
      <c r="V695" s="103"/>
    </row>
    <row r="696" spans="2:22">
      <c r="B696" s="2060"/>
      <c r="C696" s="2060"/>
      <c r="D696" s="2060"/>
      <c r="E696" s="255"/>
      <c r="H696" s="2060"/>
      <c r="I696" s="106"/>
      <c r="J696" s="2060"/>
      <c r="K696" s="2060"/>
      <c r="L696" s="2060"/>
      <c r="M696" s="2060"/>
      <c r="N696" s="2060"/>
      <c r="O696" s="2060"/>
      <c r="P696" s="2060"/>
      <c r="Q696" s="2060"/>
      <c r="R696" s="2060"/>
      <c r="S696" s="2060"/>
      <c r="T696" s="255"/>
      <c r="U696" s="255"/>
      <c r="V696" s="103"/>
    </row>
    <row r="697" spans="2:22">
      <c r="B697" s="2060"/>
      <c r="C697" s="2060"/>
      <c r="D697" s="2060"/>
      <c r="E697" s="255"/>
      <c r="H697" s="2060"/>
      <c r="I697" s="106"/>
      <c r="J697" s="2060"/>
      <c r="K697" s="2060"/>
      <c r="L697" s="2060"/>
      <c r="M697" s="2060"/>
      <c r="N697" s="2060"/>
      <c r="O697" s="2060"/>
      <c r="P697" s="2060"/>
      <c r="Q697" s="2060"/>
      <c r="R697" s="2060"/>
      <c r="S697" s="2060"/>
      <c r="T697" s="255"/>
      <c r="U697" s="255"/>
      <c r="V697" s="103"/>
    </row>
    <row r="698" spans="2:22">
      <c r="B698" s="2060"/>
      <c r="C698" s="2060"/>
      <c r="D698" s="2060"/>
      <c r="E698" s="255"/>
      <c r="H698" s="2060"/>
      <c r="I698" s="106"/>
      <c r="J698" s="2060"/>
      <c r="K698" s="2060"/>
      <c r="L698" s="2060"/>
      <c r="M698" s="2060"/>
      <c r="N698" s="2060"/>
      <c r="O698" s="2060"/>
      <c r="P698" s="2060"/>
      <c r="Q698" s="2060"/>
      <c r="R698" s="2060"/>
      <c r="S698" s="2060"/>
      <c r="T698" s="255"/>
      <c r="U698" s="255"/>
      <c r="V698" s="103"/>
    </row>
    <row r="699" spans="2:22">
      <c r="B699" s="2060"/>
      <c r="C699" s="2060"/>
      <c r="D699" s="2060"/>
      <c r="E699" s="255"/>
      <c r="H699" s="2060"/>
      <c r="I699" s="106"/>
      <c r="J699" s="2060"/>
      <c r="K699" s="2060"/>
      <c r="L699" s="2060"/>
      <c r="M699" s="2060"/>
      <c r="N699" s="2060"/>
      <c r="O699" s="2060"/>
      <c r="P699" s="2060"/>
      <c r="Q699" s="2060"/>
      <c r="R699" s="2060"/>
      <c r="S699" s="2060"/>
      <c r="T699" s="255"/>
      <c r="U699" s="255"/>
      <c r="V699" s="103"/>
    </row>
    <row r="700" spans="2:22">
      <c r="B700" s="2060"/>
      <c r="C700" s="2060"/>
      <c r="D700" s="2060"/>
      <c r="E700" s="255"/>
      <c r="H700" s="2060"/>
      <c r="I700" s="106"/>
      <c r="J700" s="2060"/>
      <c r="K700" s="2060"/>
      <c r="L700" s="2060"/>
      <c r="M700" s="2060"/>
      <c r="N700" s="2060"/>
      <c r="O700" s="2060"/>
      <c r="P700" s="2060"/>
      <c r="Q700" s="2060"/>
      <c r="R700" s="2060"/>
      <c r="S700" s="2060"/>
      <c r="T700" s="255"/>
      <c r="U700" s="255"/>
      <c r="V700" s="103"/>
    </row>
    <row r="701" spans="2:22">
      <c r="B701" s="2060"/>
      <c r="C701" s="2060"/>
      <c r="D701" s="2060"/>
      <c r="E701" s="255"/>
      <c r="H701" s="2060"/>
      <c r="I701" s="106"/>
      <c r="J701" s="2060"/>
      <c r="K701" s="2060"/>
      <c r="L701" s="2060"/>
      <c r="M701" s="2060"/>
      <c r="N701" s="2060"/>
      <c r="O701" s="2060"/>
      <c r="P701" s="2060"/>
      <c r="Q701" s="2060"/>
      <c r="R701" s="2060"/>
      <c r="S701" s="2060"/>
      <c r="T701" s="255"/>
      <c r="U701" s="255"/>
      <c r="V701" s="103"/>
    </row>
    <row r="702" spans="2:22">
      <c r="B702" s="2060"/>
      <c r="C702" s="2060"/>
      <c r="D702" s="2060"/>
      <c r="E702" s="255"/>
      <c r="H702" s="2060"/>
      <c r="I702" s="106"/>
      <c r="J702" s="2060"/>
      <c r="K702" s="2060"/>
      <c r="L702" s="2060"/>
      <c r="M702" s="2060"/>
      <c r="N702" s="2060"/>
      <c r="O702" s="2060"/>
      <c r="P702" s="2060"/>
      <c r="Q702" s="2060"/>
      <c r="R702" s="2060"/>
      <c r="S702" s="2060"/>
      <c r="T702" s="255"/>
      <c r="U702" s="255"/>
      <c r="V702" s="103"/>
    </row>
    <row r="703" spans="2:22">
      <c r="B703" s="2060"/>
      <c r="C703" s="2060"/>
      <c r="D703" s="2060"/>
      <c r="E703" s="255"/>
      <c r="H703" s="2060"/>
      <c r="I703" s="106"/>
      <c r="J703" s="2060"/>
      <c r="K703" s="2060"/>
      <c r="L703" s="2060"/>
      <c r="M703" s="2060"/>
      <c r="N703" s="2060"/>
      <c r="O703" s="2060"/>
      <c r="P703" s="2060"/>
      <c r="Q703" s="2060"/>
      <c r="R703" s="2060"/>
      <c r="S703" s="2060"/>
      <c r="T703" s="255"/>
      <c r="U703" s="255"/>
      <c r="V703" s="103"/>
    </row>
    <row r="704" spans="2:22">
      <c r="B704" s="2060"/>
      <c r="C704" s="2060"/>
      <c r="D704" s="2060"/>
      <c r="E704" s="255"/>
      <c r="H704" s="2060"/>
      <c r="I704" s="106"/>
      <c r="J704" s="2060"/>
      <c r="K704" s="2060"/>
      <c r="L704" s="2060"/>
      <c r="M704" s="2060"/>
      <c r="N704" s="2060"/>
      <c r="O704" s="2060"/>
      <c r="P704" s="2060"/>
      <c r="Q704" s="2060"/>
      <c r="R704" s="2060"/>
      <c r="S704" s="2060"/>
      <c r="T704" s="255"/>
      <c r="U704" s="255"/>
      <c r="V704" s="103"/>
    </row>
    <row r="705" spans="2:22">
      <c r="B705" s="2060"/>
      <c r="C705" s="2060"/>
      <c r="D705" s="2060"/>
      <c r="E705" s="255"/>
      <c r="H705" s="2060"/>
      <c r="I705" s="106"/>
      <c r="J705" s="2060"/>
      <c r="K705" s="2060"/>
      <c r="L705" s="2060"/>
      <c r="M705" s="2060"/>
      <c r="N705" s="2060"/>
      <c r="O705" s="2060"/>
      <c r="P705" s="2060"/>
      <c r="Q705" s="2060"/>
      <c r="R705" s="2060"/>
      <c r="S705" s="2060"/>
      <c r="T705" s="255"/>
      <c r="U705" s="255"/>
      <c r="V705" s="103"/>
    </row>
    <row r="706" spans="2:22">
      <c r="B706" s="2060"/>
      <c r="C706" s="2060"/>
      <c r="D706" s="2060"/>
      <c r="E706" s="255"/>
      <c r="H706" s="2060"/>
      <c r="I706" s="106"/>
      <c r="J706" s="2060"/>
      <c r="K706" s="2060"/>
      <c r="L706" s="2060"/>
      <c r="M706" s="2060"/>
      <c r="N706" s="2060"/>
      <c r="O706" s="2060"/>
      <c r="P706" s="2060"/>
      <c r="Q706" s="2060"/>
      <c r="R706" s="2060"/>
      <c r="S706" s="2060"/>
      <c r="T706" s="255"/>
      <c r="U706" s="255"/>
      <c r="V706" s="103"/>
    </row>
    <row r="707" spans="2:22">
      <c r="B707" s="2060"/>
      <c r="C707" s="2060"/>
      <c r="D707" s="2060"/>
      <c r="E707" s="255"/>
      <c r="H707" s="2060"/>
      <c r="I707" s="106"/>
      <c r="J707" s="2060"/>
      <c r="K707" s="2060"/>
      <c r="L707" s="2060"/>
      <c r="M707" s="2060"/>
      <c r="N707" s="2060"/>
      <c r="O707" s="2060"/>
      <c r="P707" s="2060"/>
      <c r="Q707" s="2060"/>
      <c r="R707" s="2060"/>
      <c r="S707" s="2060"/>
      <c r="T707" s="255"/>
      <c r="U707" s="255"/>
      <c r="V707" s="103"/>
    </row>
    <row r="708" spans="2:22">
      <c r="B708" s="2060"/>
      <c r="C708" s="2060"/>
      <c r="D708" s="2060"/>
      <c r="E708" s="255"/>
      <c r="H708" s="2060"/>
      <c r="I708" s="106"/>
      <c r="J708" s="2060"/>
      <c r="K708" s="2060"/>
      <c r="L708" s="2060"/>
      <c r="M708" s="2060"/>
      <c r="N708" s="2060"/>
      <c r="O708" s="2060"/>
      <c r="P708" s="2060"/>
      <c r="Q708" s="2060"/>
      <c r="R708" s="2060"/>
      <c r="S708" s="2060"/>
      <c r="T708" s="255"/>
      <c r="U708" s="255"/>
      <c r="V708" s="103"/>
    </row>
    <row r="709" spans="2:22">
      <c r="B709" s="2060"/>
      <c r="C709" s="2060"/>
      <c r="D709" s="2060"/>
      <c r="E709" s="255"/>
      <c r="H709" s="2060"/>
      <c r="I709" s="106"/>
      <c r="J709" s="2060"/>
      <c r="K709" s="2060"/>
      <c r="L709" s="2060"/>
      <c r="M709" s="2060"/>
      <c r="N709" s="2060"/>
      <c r="O709" s="2060"/>
      <c r="P709" s="2060"/>
      <c r="Q709" s="2060"/>
      <c r="R709" s="2060"/>
      <c r="S709" s="2060"/>
      <c r="T709" s="255"/>
      <c r="U709" s="255"/>
      <c r="V709" s="103"/>
    </row>
    <row r="710" spans="2:22">
      <c r="B710" s="2060"/>
      <c r="C710" s="2060"/>
      <c r="D710" s="2060"/>
      <c r="E710" s="255"/>
      <c r="H710" s="2060"/>
      <c r="I710" s="106"/>
      <c r="J710" s="2060"/>
      <c r="K710" s="2060"/>
      <c r="L710" s="2060"/>
      <c r="M710" s="2060"/>
      <c r="N710" s="2060"/>
      <c r="O710" s="2060"/>
      <c r="P710" s="2060"/>
      <c r="Q710" s="2060"/>
      <c r="R710" s="2060"/>
      <c r="S710" s="2060"/>
      <c r="T710" s="255"/>
      <c r="U710" s="255"/>
      <c r="V710" s="103"/>
    </row>
    <row r="711" spans="2:22">
      <c r="B711" s="2060"/>
      <c r="C711" s="2060"/>
      <c r="D711" s="2060"/>
      <c r="E711" s="255"/>
      <c r="H711" s="2060"/>
      <c r="I711" s="106"/>
      <c r="J711" s="2060"/>
      <c r="K711" s="2060"/>
      <c r="L711" s="2060"/>
      <c r="M711" s="2060"/>
      <c r="N711" s="2060"/>
      <c r="O711" s="2060"/>
      <c r="P711" s="2060"/>
      <c r="Q711" s="2060"/>
      <c r="R711" s="2060"/>
      <c r="S711" s="2060"/>
      <c r="T711" s="255"/>
      <c r="U711" s="255"/>
      <c r="V711" s="103"/>
    </row>
    <row r="712" spans="2:22">
      <c r="B712" s="2060"/>
      <c r="C712" s="2060"/>
      <c r="D712" s="2060"/>
      <c r="E712" s="255"/>
      <c r="H712" s="2060"/>
      <c r="I712" s="106"/>
      <c r="J712" s="2060"/>
      <c r="K712" s="2060"/>
      <c r="L712" s="2060"/>
      <c r="M712" s="2060"/>
      <c r="N712" s="2060"/>
      <c r="O712" s="2060"/>
      <c r="P712" s="2060"/>
      <c r="Q712" s="2060"/>
      <c r="R712" s="2060"/>
      <c r="S712" s="2060"/>
      <c r="T712" s="255"/>
      <c r="U712" s="255"/>
      <c r="V712" s="103"/>
    </row>
    <row r="713" spans="2:22">
      <c r="B713" s="2060"/>
      <c r="C713" s="2060"/>
      <c r="D713" s="2060"/>
      <c r="E713" s="255"/>
      <c r="H713" s="2060"/>
      <c r="I713" s="106"/>
      <c r="J713" s="2060"/>
      <c r="K713" s="2060"/>
      <c r="L713" s="2060"/>
      <c r="M713" s="2060"/>
      <c r="N713" s="2060"/>
      <c r="O713" s="2060"/>
      <c r="P713" s="2060"/>
      <c r="Q713" s="2060"/>
      <c r="R713" s="2060"/>
      <c r="S713" s="2060"/>
      <c r="T713" s="255"/>
      <c r="U713" s="255"/>
      <c r="V713" s="103"/>
    </row>
    <row r="714" spans="2:22">
      <c r="B714" s="2060"/>
      <c r="C714" s="2060"/>
      <c r="D714" s="2060"/>
      <c r="E714" s="255"/>
      <c r="H714" s="2060"/>
      <c r="I714" s="106"/>
      <c r="J714" s="2060"/>
      <c r="K714" s="2060"/>
      <c r="L714" s="2060"/>
      <c r="M714" s="2060"/>
      <c r="N714" s="2060"/>
      <c r="O714" s="2060"/>
      <c r="P714" s="2060"/>
      <c r="Q714" s="2060"/>
      <c r="R714" s="2060"/>
      <c r="S714" s="2060"/>
      <c r="T714" s="255"/>
      <c r="U714" s="255"/>
      <c r="V714" s="103"/>
    </row>
    <row r="715" spans="2:22">
      <c r="B715" s="2060"/>
      <c r="C715" s="2060"/>
      <c r="D715" s="2060"/>
      <c r="E715" s="255"/>
      <c r="H715" s="2060"/>
      <c r="I715" s="106"/>
      <c r="J715" s="2060"/>
      <c r="K715" s="2060"/>
      <c r="L715" s="2060"/>
      <c r="M715" s="2060"/>
      <c r="N715" s="2060"/>
      <c r="O715" s="2060"/>
      <c r="P715" s="2060"/>
      <c r="Q715" s="2060"/>
      <c r="R715" s="2060"/>
      <c r="S715" s="2060"/>
      <c r="T715" s="255"/>
      <c r="U715" s="255"/>
      <c r="V715" s="103"/>
    </row>
    <row r="716" spans="2:22">
      <c r="B716" s="2060"/>
      <c r="C716" s="2060"/>
      <c r="D716" s="2060"/>
      <c r="E716" s="255"/>
      <c r="H716" s="2060"/>
      <c r="I716" s="106"/>
      <c r="J716" s="2060"/>
      <c r="K716" s="2060"/>
      <c r="L716" s="2060"/>
      <c r="M716" s="2060"/>
      <c r="N716" s="2060"/>
      <c r="O716" s="2060"/>
      <c r="P716" s="2060"/>
      <c r="Q716" s="2060"/>
      <c r="R716" s="2060"/>
      <c r="S716" s="2060"/>
      <c r="T716" s="255"/>
      <c r="U716" s="255"/>
      <c r="V716" s="103"/>
    </row>
    <row r="717" spans="2:22">
      <c r="B717" s="2060"/>
      <c r="C717" s="2060"/>
      <c r="D717" s="2060"/>
      <c r="E717" s="255"/>
      <c r="H717" s="2060"/>
      <c r="I717" s="106"/>
      <c r="J717" s="2060"/>
      <c r="K717" s="2060"/>
      <c r="L717" s="2060"/>
      <c r="M717" s="2060"/>
      <c r="N717" s="2060"/>
      <c r="O717" s="2060"/>
      <c r="P717" s="2060"/>
      <c r="Q717" s="2060"/>
      <c r="R717" s="2060"/>
      <c r="S717" s="2060"/>
      <c r="T717" s="255"/>
      <c r="U717" s="255"/>
      <c r="V717" s="103"/>
    </row>
    <row r="718" spans="2:22">
      <c r="B718" s="2060"/>
      <c r="C718" s="2060"/>
      <c r="D718" s="2060"/>
      <c r="E718" s="255"/>
      <c r="H718" s="2060"/>
      <c r="I718" s="106"/>
      <c r="J718" s="2060"/>
      <c r="K718" s="2060"/>
      <c r="L718" s="2060"/>
      <c r="M718" s="2060"/>
      <c r="N718" s="2060"/>
      <c r="O718" s="2060"/>
      <c r="P718" s="2060"/>
      <c r="Q718" s="2060"/>
      <c r="R718" s="2060"/>
      <c r="S718" s="2060"/>
      <c r="T718" s="255"/>
      <c r="U718" s="255"/>
      <c r="V718" s="103"/>
    </row>
    <row r="719" spans="2:22">
      <c r="B719" s="2060"/>
      <c r="C719" s="2060"/>
      <c r="D719" s="2060"/>
      <c r="E719" s="255"/>
      <c r="H719" s="2060"/>
      <c r="I719" s="106"/>
      <c r="J719" s="2060"/>
      <c r="K719" s="2060"/>
      <c r="L719" s="2060"/>
      <c r="M719" s="2060"/>
      <c r="N719" s="2060"/>
      <c r="O719" s="2060"/>
      <c r="P719" s="2060"/>
      <c r="Q719" s="2060"/>
      <c r="R719" s="2060"/>
      <c r="S719" s="2060"/>
      <c r="T719" s="255"/>
      <c r="U719" s="255"/>
      <c r="V719" s="103"/>
    </row>
    <row r="720" spans="2:22">
      <c r="B720" s="2060"/>
      <c r="C720" s="2060"/>
      <c r="D720" s="2060"/>
      <c r="E720" s="255"/>
      <c r="H720" s="2060"/>
      <c r="I720" s="106"/>
      <c r="J720" s="2060"/>
      <c r="K720" s="2060"/>
      <c r="L720" s="2060"/>
      <c r="M720" s="2060"/>
      <c r="N720" s="2060"/>
      <c r="O720" s="2060"/>
      <c r="P720" s="2060"/>
      <c r="Q720" s="2060"/>
      <c r="R720" s="2060"/>
      <c r="S720" s="2060"/>
      <c r="T720" s="255"/>
      <c r="U720" s="255"/>
      <c r="V720" s="103"/>
    </row>
    <row r="721" spans="2:22">
      <c r="B721" s="2060"/>
      <c r="C721" s="2060"/>
      <c r="D721" s="2060"/>
      <c r="E721" s="255"/>
      <c r="H721" s="2060"/>
      <c r="I721" s="106"/>
      <c r="J721" s="2060"/>
      <c r="K721" s="2060"/>
      <c r="L721" s="2060"/>
      <c r="M721" s="2060"/>
      <c r="N721" s="2060"/>
      <c r="O721" s="2060"/>
      <c r="P721" s="2060"/>
      <c r="Q721" s="2060"/>
      <c r="R721" s="2060"/>
      <c r="S721" s="2060"/>
      <c r="T721" s="255"/>
      <c r="U721" s="255"/>
      <c r="V721" s="103"/>
    </row>
    <row r="722" spans="2:22">
      <c r="B722" s="2060"/>
      <c r="C722" s="2060"/>
      <c r="D722" s="2060"/>
      <c r="E722" s="255"/>
      <c r="H722" s="2060"/>
      <c r="I722" s="106"/>
      <c r="J722" s="2060"/>
      <c r="K722" s="2060"/>
      <c r="L722" s="2060"/>
      <c r="M722" s="2060"/>
      <c r="N722" s="2060"/>
      <c r="O722" s="2060"/>
      <c r="P722" s="2060"/>
      <c r="Q722" s="2060"/>
      <c r="R722" s="2060"/>
      <c r="S722" s="2060"/>
      <c r="T722" s="255"/>
      <c r="U722" s="255"/>
      <c r="V722" s="103"/>
    </row>
    <row r="723" spans="2:22">
      <c r="B723" s="2060"/>
      <c r="C723" s="2060"/>
      <c r="D723" s="2060"/>
      <c r="E723" s="255"/>
      <c r="H723" s="2060"/>
      <c r="I723" s="106"/>
      <c r="J723" s="2060"/>
      <c r="K723" s="2060"/>
      <c r="L723" s="2060"/>
      <c r="M723" s="2060"/>
      <c r="N723" s="2060"/>
      <c r="O723" s="2060"/>
      <c r="P723" s="2060"/>
      <c r="Q723" s="2060"/>
      <c r="R723" s="2060"/>
      <c r="S723" s="2060"/>
      <c r="T723" s="255"/>
      <c r="U723" s="255"/>
      <c r="V723" s="103"/>
    </row>
    <row r="724" spans="2:22">
      <c r="B724" s="2060"/>
      <c r="C724" s="2060"/>
      <c r="D724" s="2060"/>
      <c r="E724" s="255"/>
      <c r="H724" s="2060"/>
      <c r="I724" s="106"/>
      <c r="J724" s="2060"/>
      <c r="K724" s="2060"/>
      <c r="L724" s="2060"/>
      <c r="M724" s="2060"/>
      <c r="N724" s="2060"/>
      <c r="O724" s="2060"/>
      <c r="P724" s="2060"/>
      <c r="Q724" s="2060"/>
      <c r="R724" s="2060"/>
      <c r="S724" s="2060"/>
      <c r="T724" s="255"/>
      <c r="U724" s="255"/>
      <c r="V724" s="103"/>
    </row>
    <row r="725" spans="2:22">
      <c r="B725" s="2060"/>
      <c r="C725" s="2060"/>
      <c r="D725" s="2060"/>
      <c r="E725" s="255"/>
      <c r="H725" s="2060"/>
      <c r="I725" s="106"/>
      <c r="J725" s="2060"/>
      <c r="K725" s="2060"/>
      <c r="L725" s="2060"/>
      <c r="M725" s="2060"/>
      <c r="N725" s="2060"/>
      <c r="O725" s="2060"/>
      <c r="P725" s="2060"/>
      <c r="Q725" s="2060"/>
      <c r="R725" s="2060"/>
      <c r="S725" s="2060"/>
      <c r="T725" s="255"/>
      <c r="U725" s="255"/>
      <c r="V725" s="103"/>
    </row>
    <row r="726" spans="2:22">
      <c r="B726" s="2060"/>
      <c r="C726" s="2060"/>
      <c r="D726" s="2060"/>
      <c r="E726" s="255"/>
      <c r="H726" s="2060"/>
      <c r="I726" s="106"/>
      <c r="J726" s="2060"/>
      <c r="K726" s="2060"/>
      <c r="L726" s="2060"/>
      <c r="M726" s="2060"/>
      <c r="N726" s="2060"/>
      <c r="O726" s="2060"/>
      <c r="P726" s="2060"/>
      <c r="Q726" s="2060"/>
      <c r="R726" s="2060"/>
      <c r="S726" s="2060"/>
      <c r="T726" s="255"/>
      <c r="U726" s="255"/>
      <c r="V726" s="103"/>
    </row>
    <row r="727" spans="2:22">
      <c r="B727" s="2060"/>
      <c r="C727" s="2060"/>
      <c r="D727" s="2060"/>
      <c r="E727" s="255"/>
      <c r="H727" s="2060"/>
      <c r="I727" s="106"/>
      <c r="J727" s="2060"/>
      <c r="K727" s="2060"/>
      <c r="L727" s="2060"/>
      <c r="M727" s="2060"/>
      <c r="N727" s="2060"/>
      <c r="O727" s="2060"/>
      <c r="P727" s="2060"/>
      <c r="Q727" s="2060"/>
      <c r="R727" s="2060"/>
      <c r="S727" s="2060"/>
      <c r="T727" s="255"/>
      <c r="U727" s="255"/>
      <c r="V727" s="103"/>
    </row>
    <row r="728" spans="2:22">
      <c r="B728" s="2060"/>
      <c r="C728" s="2060"/>
      <c r="D728" s="2060"/>
      <c r="E728" s="255"/>
      <c r="H728" s="2060"/>
      <c r="I728" s="106"/>
      <c r="J728" s="2060"/>
      <c r="K728" s="2060"/>
      <c r="L728" s="2060"/>
      <c r="M728" s="2060"/>
      <c r="N728" s="2060"/>
      <c r="O728" s="2060"/>
      <c r="P728" s="2060"/>
      <c r="Q728" s="2060"/>
      <c r="R728" s="2060"/>
      <c r="S728" s="2060"/>
      <c r="T728" s="255"/>
      <c r="U728" s="255"/>
      <c r="V728" s="103"/>
    </row>
    <row r="729" spans="2:22">
      <c r="B729" s="2060"/>
      <c r="C729" s="2060"/>
      <c r="D729" s="2060"/>
      <c r="E729" s="255"/>
      <c r="H729" s="2060"/>
      <c r="I729" s="106"/>
      <c r="J729" s="2060"/>
      <c r="K729" s="2060"/>
      <c r="L729" s="2060"/>
      <c r="M729" s="2060"/>
      <c r="N729" s="2060"/>
      <c r="O729" s="2060"/>
      <c r="P729" s="2060"/>
      <c r="Q729" s="2060"/>
      <c r="R729" s="2060"/>
      <c r="S729" s="2060"/>
      <c r="T729" s="255"/>
      <c r="U729" s="255"/>
      <c r="V729" s="103"/>
    </row>
    <row r="730" spans="2:22">
      <c r="B730" s="2060"/>
      <c r="C730" s="2060"/>
      <c r="D730" s="2060"/>
      <c r="E730" s="255"/>
      <c r="H730" s="2060"/>
      <c r="I730" s="106"/>
      <c r="J730" s="2060"/>
      <c r="K730" s="2060"/>
      <c r="L730" s="2060"/>
      <c r="M730" s="2060"/>
      <c r="N730" s="2060"/>
      <c r="O730" s="2060"/>
      <c r="P730" s="2060"/>
      <c r="Q730" s="2060"/>
      <c r="R730" s="2060"/>
      <c r="S730" s="2060"/>
      <c r="T730" s="255"/>
      <c r="U730" s="255"/>
      <c r="V730" s="103"/>
    </row>
    <row r="731" spans="2:22">
      <c r="B731" s="2060"/>
      <c r="C731" s="2060"/>
      <c r="D731" s="2060"/>
      <c r="E731" s="255"/>
      <c r="H731" s="2060"/>
      <c r="I731" s="106"/>
      <c r="J731" s="2060"/>
      <c r="K731" s="2060"/>
      <c r="L731" s="2060"/>
      <c r="M731" s="2060"/>
      <c r="N731" s="2060"/>
      <c r="O731" s="2060"/>
      <c r="P731" s="2060"/>
      <c r="Q731" s="2060"/>
      <c r="R731" s="2060"/>
      <c r="S731" s="2060"/>
      <c r="T731" s="255"/>
      <c r="U731" s="255"/>
      <c r="V731" s="103"/>
    </row>
    <row r="732" spans="2:22">
      <c r="B732" s="2060"/>
      <c r="C732" s="2060"/>
      <c r="D732" s="2060"/>
      <c r="E732" s="255"/>
      <c r="H732" s="2060"/>
      <c r="I732" s="106"/>
      <c r="J732" s="2060"/>
      <c r="K732" s="2060"/>
      <c r="L732" s="2060"/>
      <c r="M732" s="2060"/>
      <c r="N732" s="2060"/>
      <c r="O732" s="2060"/>
      <c r="P732" s="2060"/>
      <c r="Q732" s="2060"/>
      <c r="R732" s="2060"/>
      <c r="S732" s="2060"/>
      <c r="T732" s="255"/>
      <c r="U732" s="255"/>
      <c r="V732" s="103"/>
    </row>
    <row r="733" spans="2:22">
      <c r="B733" s="2060"/>
      <c r="C733" s="2060"/>
      <c r="D733" s="2060"/>
      <c r="E733" s="255"/>
      <c r="H733" s="2060"/>
      <c r="I733" s="106"/>
      <c r="J733" s="2060"/>
      <c r="K733" s="2060"/>
      <c r="L733" s="2060"/>
      <c r="M733" s="2060"/>
      <c r="N733" s="2060"/>
      <c r="O733" s="2060"/>
      <c r="P733" s="2060"/>
      <c r="Q733" s="2060"/>
      <c r="R733" s="2060"/>
      <c r="S733" s="2060"/>
      <c r="T733" s="255"/>
      <c r="U733" s="255"/>
      <c r="V733" s="103"/>
    </row>
    <row r="734" spans="2:22">
      <c r="B734" s="2060"/>
      <c r="C734" s="2060"/>
      <c r="D734" s="2060"/>
      <c r="E734" s="255"/>
      <c r="H734" s="2060"/>
      <c r="I734" s="106"/>
      <c r="J734" s="2060"/>
      <c r="K734" s="2060"/>
      <c r="L734" s="2060"/>
      <c r="M734" s="2060"/>
      <c r="N734" s="2060"/>
      <c r="O734" s="2060"/>
      <c r="P734" s="2060"/>
      <c r="Q734" s="2060"/>
      <c r="R734" s="2060"/>
      <c r="S734" s="2060"/>
      <c r="T734" s="255"/>
      <c r="U734" s="255"/>
      <c r="V734" s="103"/>
    </row>
    <row r="735" spans="2:22">
      <c r="B735" s="2060"/>
      <c r="C735" s="2060"/>
      <c r="D735" s="2060"/>
      <c r="E735" s="255"/>
      <c r="H735" s="2060"/>
      <c r="I735" s="106"/>
      <c r="J735" s="2060"/>
      <c r="K735" s="2060"/>
      <c r="L735" s="2060"/>
      <c r="M735" s="2060"/>
      <c r="N735" s="2060"/>
      <c r="O735" s="2060"/>
      <c r="P735" s="2060"/>
      <c r="Q735" s="2060"/>
      <c r="R735" s="2060"/>
      <c r="S735" s="2060"/>
      <c r="T735" s="255"/>
      <c r="U735" s="255"/>
      <c r="V735" s="103"/>
    </row>
    <row r="736" spans="2:22">
      <c r="B736" s="2060"/>
      <c r="C736" s="2060"/>
      <c r="D736" s="2060"/>
      <c r="E736" s="255"/>
      <c r="H736" s="2060"/>
      <c r="I736" s="106"/>
      <c r="J736" s="2060"/>
      <c r="K736" s="2060"/>
      <c r="L736" s="2060"/>
      <c r="M736" s="2060"/>
      <c r="N736" s="2060"/>
      <c r="O736" s="2060"/>
      <c r="P736" s="2060"/>
      <c r="Q736" s="2060"/>
      <c r="R736" s="2060"/>
      <c r="S736" s="2060"/>
      <c r="T736" s="255"/>
      <c r="U736" s="255"/>
      <c r="V736" s="103"/>
    </row>
    <row r="737" spans="2:22">
      <c r="B737" s="2060"/>
      <c r="C737" s="2060"/>
      <c r="D737" s="2060"/>
      <c r="E737" s="255"/>
      <c r="H737" s="2060"/>
      <c r="I737" s="106"/>
      <c r="J737" s="2060"/>
      <c r="K737" s="2060"/>
      <c r="L737" s="2060"/>
      <c r="M737" s="2060"/>
      <c r="N737" s="2060"/>
      <c r="O737" s="2060"/>
      <c r="P737" s="2060"/>
      <c r="Q737" s="2060"/>
      <c r="R737" s="2060"/>
      <c r="S737" s="2060"/>
      <c r="T737" s="255"/>
      <c r="U737" s="255"/>
      <c r="V737" s="103"/>
    </row>
    <row r="738" spans="2:22">
      <c r="B738" s="2060"/>
      <c r="C738" s="2060"/>
      <c r="D738" s="2060"/>
      <c r="E738" s="255"/>
      <c r="H738" s="2060"/>
      <c r="I738" s="106"/>
      <c r="J738" s="2060"/>
      <c r="K738" s="2060"/>
      <c r="L738" s="2060"/>
      <c r="M738" s="2060"/>
      <c r="N738" s="2060"/>
      <c r="O738" s="2060"/>
      <c r="P738" s="2060"/>
      <c r="Q738" s="2060"/>
      <c r="R738" s="2060"/>
      <c r="S738" s="2060"/>
      <c r="T738" s="255"/>
      <c r="U738" s="255"/>
      <c r="V738" s="103"/>
    </row>
    <row r="739" spans="2:22">
      <c r="B739" s="2060"/>
      <c r="C739" s="2060"/>
      <c r="D739" s="2060"/>
      <c r="E739" s="255"/>
      <c r="H739" s="2060"/>
      <c r="I739" s="106"/>
      <c r="J739" s="2060"/>
      <c r="K739" s="2060"/>
      <c r="L739" s="2060"/>
      <c r="M739" s="2060"/>
      <c r="N739" s="2060"/>
      <c r="O739" s="2060"/>
      <c r="P739" s="2060"/>
      <c r="Q739" s="2060"/>
      <c r="R739" s="2060"/>
      <c r="S739" s="2060"/>
      <c r="T739" s="255"/>
      <c r="U739" s="255"/>
      <c r="V739" s="103"/>
    </row>
    <row r="740" spans="2:22">
      <c r="B740" s="2060"/>
      <c r="C740" s="2060"/>
      <c r="D740" s="2060"/>
      <c r="E740" s="255"/>
      <c r="H740" s="2060"/>
      <c r="I740" s="106"/>
      <c r="J740" s="2060"/>
      <c r="K740" s="2060"/>
      <c r="L740" s="2060"/>
      <c r="M740" s="2060"/>
      <c r="N740" s="2060"/>
      <c r="O740" s="2060"/>
      <c r="P740" s="2060"/>
      <c r="Q740" s="2060"/>
      <c r="R740" s="2060"/>
      <c r="S740" s="2060"/>
      <c r="T740" s="255"/>
      <c r="U740" s="255"/>
      <c r="V740" s="103"/>
    </row>
    <row r="741" spans="2:22">
      <c r="B741" s="2060"/>
      <c r="C741" s="2060"/>
      <c r="D741" s="2060"/>
      <c r="E741" s="255"/>
      <c r="H741" s="2060"/>
      <c r="I741" s="106"/>
      <c r="J741" s="2060"/>
      <c r="K741" s="2060"/>
      <c r="L741" s="2060"/>
      <c r="M741" s="2060"/>
      <c r="N741" s="2060"/>
      <c r="O741" s="2060"/>
      <c r="P741" s="2060"/>
      <c r="Q741" s="2060"/>
      <c r="R741" s="2060"/>
      <c r="S741" s="2060"/>
      <c r="T741" s="255"/>
      <c r="U741" s="255"/>
      <c r="V741" s="103"/>
    </row>
    <row r="742" spans="2:22">
      <c r="B742" s="2060"/>
      <c r="C742" s="2060"/>
      <c r="D742" s="2060"/>
      <c r="E742" s="255"/>
      <c r="H742" s="2060"/>
      <c r="I742" s="106"/>
      <c r="J742" s="2060"/>
      <c r="K742" s="2060"/>
      <c r="L742" s="2060"/>
      <c r="M742" s="2060"/>
      <c r="N742" s="2060"/>
      <c r="O742" s="2060"/>
      <c r="P742" s="2060"/>
      <c r="Q742" s="2060"/>
      <c r="R742" s="2060"/>
      <c r="S742" s="2060"/>
      <c r="T742" s="255"/>
      <c r="U742" s="255"/>
      <c r="V742" s="103"/>
    </row>
    <row r="743" spans="2:22">
      <c r="B743" s="2060"/>
      <c r="C743" s="2060"/>
      <c r="D743" s="2060"/>
      <c r="E743" s="255"/>
      <c r="H743" s="2060"/>
      <c r="I743" s="106"/>
      <c r="J743" s="2060"/>
      <c r="K743" s="2060"/>
      <c r="L743" s="2060"/>
      <c r="M743" s="2060"/>
      <c r="N743" s="2060"/>
      <c r="O743" s="2060"/>
      <c r="P743" s="2060"/>
      <c r="Q743" s="2060"/>
      <c r="R743" s="2060"/>
      <c r="S743" s="2060"/>
      <c r="T743" s="255"/>
      <c r="U743" s="255"/>
      <c r="V743" s="103"/>
    </row>
    <row r="744" spans="2:22">
      <c r="B744" s="2060"/>
      <c r="C744" s="2060"/>
      <c r="D744" s="2060"/>
      <c r="E744" s="255"/>
      <c r="H744" s="2060"/>
      <c r="I744" s="106"/>
      <c r="J744" s="2060"/>
      <c r="K744" s="2060"/>
      <c r="L744" s="2060"/>
      <c r="M744" s="2060"/>
      <c r="N744" s="2060"/>
      <c r="O744" s="2060"/>
      <c r="P744" s="2060"/>
      <c r="Q744" s="2060"/>
      <c r="R744" s="2060"/>
      <c r="S744" s="2060"/>
      <c r="T744" s="255"/>
      <c r="U744" s="255"/>
      <c r="V744" s="103"/>
    </row>
    <row r="745" spans="2:22">
      <c r="B745" s="2060"/>
      <c r="C745" s="2060"/>
      <c r="D745" s="2060"/>
      <c r="E745" s="255"/>
      <c r="H745" s="2060"/>
      <c r="I745" s="106"/>
      <c r="J745" s="2060"/>
      <c r="K745" s="2060"/>
      <c r="L745" s="2060"/>
      <c r="M745" s="2060"/>
      <c r="N745" s="2060"/>
      <c r="O745" s="2060"/>
      <c r="P745" s="2060"/>
      <c r="Q745" s="2060"/>
      <c r="R745" s="2060"/>
      <c r="S745" s="2060"/>
      <c r="T745" s="255"/>
      <c r="U745" s="255"/>
      <c r="V745" s="103"/>
    </row>
    <row r="746" spans="2:22">
      <c r="B746" s="2060"/>
      <c r="C746" s="2060"/>
      <c r="D746" s="2060"/>
      <c r="E746" s="255"/>
      <c r="H746" s="2060"/>
      <c r="I746" s="106"/>
      <c r="J746" s="2060"/>
      <c r="K746" s="2060"/>
      <c r="L746" s="2060"/>
      <c r="M746" s="2060"/>
      <c r="N746" s="2060"/>
      <c r="O746" s="2060"/>
      <c r="P746" s="2060"/>
      <c r="Q746" s="2060"/>
      <c r="R746" s="2060"/>
      <c r="S746" s="2060"/>
      <c r="T746" s="255"/>
      <c r="U746" s="255"/>
      <c r="V746" s="103"/>
    </row>
    <row r="747" spans="2:22">
      <c r="B747" s="2060"/>
      <c r="C747" s="2060"/>
      <c r="D747" s="2060"/>
      <c r="E747" s="255"/>
      <c r="H747" s="2060"/>
      <c r="I747" s="106"/>
      <c r="J747" s="2060"/>
      <c r="K747" s="2060"/>
      <c r="L747" s="2060"/>
      <c r="M747" s="2060"/>
      <c r="N747" s="2060"/>
      <c r="O747" s="2060"/>
      <c r="P747" s="2060"/>
      <c r="Q747" s="2060"/>
      <c r="R747" s="2060"/>
      <c r="S747" s="2060"/>
      <c r="T747" s="255"/>
      <c r="U747" s="255"/>
      <c r="V747" s="103"/>
    </row>
    <row r="748" spans="2:22">
      <c r="B748" s="2060"/>
      <c r="C748" s="2060"/>
      <c r="D748" s="2060"/>
      <c r="E748" s="255"/>
      <c r="H748" s="2060"/>
      <c r="I748" s="106"/>
      <c r="J748" s="2060"/>
      <c r="K748" s="2060"/>
      <c r="L748" s="2060"/>
      <c r="M748" s="2060"/>
      <c r="N748" s="2060"/>
      <c r="O748" s="2060"/>
      <c r="P748" s="2060"/>
      <c r="Q748" s="2060"/>
      <c r="R748" s="2060"/>
      <c r="S748" s="2060"/>
      <c r="T748" s="255"/>
      <c r="U748" s="255"/>
      <c r="V748" s="103"/>
    </row>
    <row r="749" spans="2:22">
      <c r="B749" s="2060"/>
      <c r="C749" s="2060"/>
      <c r="D749" s="2060"/>
      <c r="E749" s="255"/>
      <c r="H749" s="2060"/>
      <c r="I749" s="106"/>
      <c r="J749" s="2060"/>
      <c r="K749" s="2060"/>
      <c r="L749" s="2060"/>
      <c r="M749" s="2060"/>
      <c r="N749" s="2060"/>
      <c r="O749" s="2060"/>
      <c r="P749" s="2060"/>
      <c r="Q749" s="2060"/>
      <c r="R749" s="2060"/>
      <c r="S749" s="2060"/>
      <c r="T749" s="255"/>
      <c r="U749" s="255"/>
      <c r="V749" s="103"/>
    </row>
    <row r="750" spans="2:22">
      <c r="B750" s="2060"/>
      <c r="C750" s="2060"/>
      <c r="D750" s="2060"/>
      <c r="E750" s="255"/>
      <c r="H750" s="2060"/>
      <c r="I750" s="106"/>
      <c r="J750" s="2060"/>
      <c r="K750" s="2060"/>
      <c r="L750" s="2060"/>
      <c r="M750" s="2060"/>
      <c r="N750" s="2060"/>
      <c r="O750" s="2060"/>
      <c r="P750" s="2060"/>
      <c r="Q750" s="2060"/>
      <c r="R750" s="2060"/>
      <c r="S750" s="2060"/>
      <c r="T750" s="255"/>
      <c r="U750" s="255"/>
      <c r="V750" s="103"/>
    </row>
    <row r="751" spans="2:22">
      <c r="B751" s="2060"/>
      <c r="C751" s="2060"/>
      <c r="D751" s="2060"/>
      <c r="E751" s="255"/>
      <c r="H751" s="2060"/>
      <c r="I751" s="106"/>
      <c r="J751" s="2060"/>
      <c r="K751" s="2060"/>
      <c r="L751" s="2060"/>
      <c r="M751" s="2060"/>
      <c r="N751" s="2060"/>
      <c r="O751" s="2060"/>
      <c r="P751" s="2060"/>
      <c r="Q751" s="2060"/>
      <c r="R751" s="2060"/>
      <c r="S751" s="2060"/>
      <c r="T751" s="255"/>
      <c r="U751" s="255"/>
      <c r="V751" s="103"/>
    </row>
    <row r="752" spans="2:22">
      <c r="B752" s="2060"/>
      <c r="C752" s="2060"/>
      <c r="D752" s="2060"/>
      <c r="E752" s="255"/>
      <c r="H752" s="2060"/>
      <c r="I752" s="106"/>
      <c r="J752" s="2060"/>
      <c r="K752" s="2060"/>
      <c r="L752" s="2060"/>
      <c r="M752" s="2060"/>
      <c r="N752" s="2060"/>
      <c r="O752" s="2060"/>
      <c r="P752" s="2060"/>
      <c r="Q752" s="2060"/>
      <c r="R752" s="2060"/>
      <c r="S752" s="2060"/>
      <c r="T752" s="255"/>
      <c r="U752" s="255"/>
      <c r="V752" s="103"/>
    </row>
    <row r="753" spans="2:22">
      <c r="B753" s="2060"/>
      <c r="C753" s="2060"/>
      <c r="D753" s="2060"/>
      <c r="E753" s="255"/>
      <c r="H753" s="2060"/>
      <c r="I753" s="106"/>
      <c r="J753" s="2060"/>
      <c r="K753" s="2060"/>
      <c r="L753" s="2060"/>
      <c r="M753" s="2060"/>
      <c r="N753" s="2060"/>
      <c r="O753" s="2060"/>
      <c r="P753" s="2060"/>
      <c r="Q753" s="2060"/>
      <c r="R753" s="2060"/>
      <c r="S753" s="2060"/>
      <c r="T753" s="255"/>
      <c r="U753" s="255"/>
      <c r="V753" s="103"/>
    </row>
    <row r="754" spans="2:22">
      <c r="B754" s="2060"/>
      <c r="C754" s="2060"/>
      <c r="D754" s="2060"/>
      <c r="E754" s="255"/>
      <c r="H754" s="2060"/>
      <c r="I754" s="106"/>
      <c r="J754" s="2060"/>
      <c r="K754" s="2060"/>
      <c r="L754" s="2060"/>
      <c r="M754" s="2060"/>
      <c r="N754" s="2060"/>
      <c r="O754" s="2060"/>
      <c r="P754" s="2060"/>
      <c r="Q754" s="2060"/>
      <c r="R754" s="2060"/>
      <c r="S754" s="2060"/>
      <c r="T754" s="255"/>
      <c r="U754" s="255"/>
      <c r="V754" s="103"/>
    </row>
    <row r="755" spans="2:22">
      <c r="B755" s="2060"/>
      <c r="C755" s="2060"/>
      <c r="D755" s="2060"/>
      <c r="E755" s="255"/>
      <c r="H755" s="2060"/>
      <c r="I755" s="106"/>
      <c r="J755" s="2060"/>
      <c r="K755" s="2060"/>
      <c r="L755" s="2060"/>
      <c r="M755" s="2060"/>
      <c r="N755" s="2060"/>
      <c r="O755" s="2060"/>
      <c r="P755" s="2060"/>
      <c r="Q755" s="2060"/>
      <c r="R755" s="2060"/>
      <c r="S755" s="2060"/>
      <c r="T755" s="255"/>
      <c r="U755" s="255"/>
      <c r="V755" s="103"/>
    </row>
    <row r="756" spans="2:22">
      <c r="B756" s="2060"/>
      <c r="C756" s="2060"/>
      <c r="D756" s="2060"/>
      <c r="E756" s="255"/>
      <c r="H756" s="2060"/>
      <c r="I756" s="106"/>
      <c r="J756" s="2060"/>
      <c r="K756" s="2060"/>
      <c r="L756" s="2060"/>
      <c r="M756" s="2060"/>
      <c r="N756" s="2060"/>
      <c r="O756" s="2060"/>
      <c r="P756" s="2060"/>
      <c r="Q756" s="2060"/>
      <c r="R756" s="2060"/>
      <c r="S756" s="2060"/>
      <c r="T756" s="255"/>
      <c r="U756" s="255"/>
      <c r="V756" s="103"/>
    </row>
    <row r="757" spans="2:22">
      <c r="B757" s="2060"/>
      <c r="C757" s="2060"/>
      <c r="D757" s="2060"/>
      <c r="E757" s="255"/>
      <c r="H757" s="2060"/>
      <c r="I757" s="106"/>
      <c r="J757" s="2060"/>
      <c r="K757" s="2060"/>
      <c r="L757" s="2060"/>
      <c r="M757" s="2060"/>
      <c r="N757" s="2060"/>
      <c r="O757" s="2060"/>
      <c r="P757" s="2060"/>
      <c r="Q757" s="2060"/>
      <c r="R757" s="2060"/>
      <c r="S757" s="2060"/>
      <c r="T757" s="255"/>
      <c r="U757" s="255"/>
      <c r="V757" s="103"/>
    </row>
    <row r="758" spans="2:22">
      <c r="B758" s="2060"/>
      <c r="C758" s="2060"/>
      <c r="D758" s="2060"/>
      <c r="E758" s="255"/>
      <c r="H758" s="2060"/>
      <c r="I758" s="106"/>
      <c r="J758" s="2060"/>
      <c r="K758" s="2060"/>
      <c r="L758" s="2060"/>
      <c r="M758" s="2060"/>
      <c r="N758" s="2060"/>
      <c r="O758" s="2060"/>
      <c r="P758" s="2060"/>
      <c r="Q758" s="2060"/>
      <c r="R758" s="2060"/>
      <c r="S758" s="2060"/>
      <c r="T758" s="255"/>
      <c r="U758" s="255"/>
      <c r="V758" s="103"/>
    </row>
    <row r="759" spans="2:22">
      <c r="B759" s="2060"/>
      <c r="C759" s="2060"/>
      <c r="D759" s="2060"/>
      <c r="E759" s="255"/>
      <c r="H759" s="2060"/>
      <c r="I759" s="106"/>
      <c r="J759" s="2060"/>
      <c r="K759" s="2060"/>
      <c r="L759" s="2060"/>
      <c r="M759" s="2060"/>
      <c r="N759" s="2060"/>
      <c r="O759" s="2060"/>
      <c r="P759" s="2060"/>
      <c r="Q759" s="2060"/>
      <c r="R759" s="2060"/>
      <c r="S759" s="2060"/>
      <c r="T759" s="255"/>
      <c r="U759" s="255"/>
      <c r="V759" s="103"/>
    </row>
    <row r="760" spans="2:22">
      <c r="B760" s="2060"/>
      <c r="C760" s="2060"/>
      <c r="D760" s="2060"/>
      <c r="E760" s="255"/>
      <c r="H760" s="2060"/>
      <c r="I760" s="106"/>
      <c r="J760" s="2060"/>
      <c r="K760" s="2060"/>
      <c r="L760" s="2060"/>
      <c r="M760" s="2060"/>
      <c r="N760" s="2060"/>
      <c r="O760" s="2060"/>
      <c r="P760" s="2060"/>
      <c r="Q760" s="2060"/>
      <c r="R760" s="2060"/>
      <c r="S760" s="2060"/>
      <c r="T760" s="255"/>
      <c r="U760" s="255"/>
      <c r="V760" s="103"/>
    </row>
    <row r="761" spans="2:22">
      <c r="B761" s="2060"/>
      <c r="C761" s="2060"/>
      <c r="D761" s="2060"/>
      <c r="E761" s="255"/>
      <c r="H761" s="2060"/>
      <c r="I761" s="106"/>
      <c r="J761" s="2060"/>
      <c r="K761" s="2060"/>
      <c r="L761" s="2060"/>
      <c r="M761" s="2060"/>
      <c r="N761" s="2060"/>
      <c r="O761" s="2060"/>
      <c r="P761" s="2060"/>
      <c r="Q761" s="2060"/>
      <c r="R761" s="2060"/>
      <c r="S761" s="2060"/>
      <c r="T761" s="255"/>
      <c r="U761" s="255"/>
      <c r="V761" s="103"/>
    </row>
    <row r="762" spans="2:22">
      <c r="B762" s="2060"/>
      <c r="C762" s="2060"/>
      <c r="D762" s="2060"/>
      <c r="E762" s="255"/>
      <c r="H762" s="2060"/>
      <c r="I762" s="106"/>
      <c r="J762" s="2060"/>
      <c r="K762" s="2060"/>
      <c r="L762" s="2060"/>
      <c r="M762" s="2060"/>
      <c r="N762" s="2060"/>
      <c r="O762" s="2060"/>
      <c r="P762" s="2060"/>
      <c r="Q762" s="2060"/>
      <c r="R762" s="2060"/>
      <c r="S762" s="2060"/>
      <c r="T762" s="255"/>
      <c r="U762" s="255"/>
      <c r="V762" s="103"/>
    </row>
    <row r="763" spans="2:22">
      <c r="B763" s="2060"/>
      <c r="C763" s="2060"/>
      <c r="D763" s="2060"/>
      <c r="E763" s="255"/>
      <c r="H763" s="2060"/>
      <c r="I763" s="106"/>
      <c r="J763" s="2060"/>
      <c r="K763" s="2060"/>
      <c r="L763" s="2060"/>
      <c r="M763" s="2060"/>
      <c r="N763" s="2060"/>
      <c r="O763" s="2060"/>
      <c r="P763" s="2060"/>
      <c r="Q763" s="2060"/>
      <c r="R763" s="2060"/>
      <c r="S763" s="2060"/>
      <c r="T763" s="255"/>
      <c r="U763" s="255"/>
      <c r="V763" s="103"/>
    </row>
    <row r="764" spans="2:22">
      <c r="B764" s="2060"/>
      <c r="C764" s="2060"/>
      <c r="D764" s="2060"/>
      <c r="E764" s="255"/>
      <c r="H764" s="2060"/>
      <c r="I764" s="106"/>
      <c r="J764" s="2060"/>
      <c r="K764" s="2060"/>
      <c r="L764" s="2060"/>
      <c r="M764" s="2060"/>
      <c r="N764" s="2060"/>
      <c r="O764" s="2060"/>
      <c r="P764" s="2060"/>
      <c r="Q764" s="2060"/>
      <c r="R764" s="2060"/>
      <c r="S764" s="2060"/>
      <c r="T764" s="255"/>
      <c r="U764" s="255"/>
      <c r="V764" s="103"/>
    </row>
    <row r="765" spans="2:22">
      <c r="B765" s="2060"/>
      <c r="C765" s="2060"/>
      <c r="D765" s="2060"/>
      <c r="E765" s="255"/>
      <c r="H765" s="2060"/>
      <c r="I765" s="106"/>
      <c r="J765" s="2060"/>
      <c r="K765" s="2060"/>
      <c r="L765" s="2060"/>
      <c r="M765" s="2060"/>
      <c r="N765" s="2060"/>
      <c r="O765" s="2060"/>
      <c r="P765" s="2060"/>
      <c r="Q765" s="2060"/>
      <c r="R765" s="2060"/>
      <c r="S765" s="2060"/>
      <c r="T765" s="255"/>
      <c r="U765" s="255"/>
      <c r="V765" s="103"/>
    </row>
    <row r="766" spans="2:22">
      <c r="B766" s="2060"/>
      <c r="C766" s="2060"/>
      <c r="D766" s="2060"/>
      <c r="E766" s="255"/>
      <c r="H766" s="2060"/>
      <c r="I766" s="106"/>
      <c r="J766" s="2060"/>
      <c r="K766" s="2060"/>
      <c r="L766" s="2060"/>
      <c r="M766" s="2060"/>
      <c r="N766" s="2060"/>
      <c r="O766" s="2060"/>
      <c r="P766" s="2060"/>
      <c r="Q766" s="2060"/>
      <c r="R766" s="2060"/>
      <c r="S766" s="2060"/>
      <c r="T766" s="255"/>
      <c r="U766" s="255"/>
      <c r="V766" s="103"/>
    </row>
    <row r="767" spans="2:22">
      <c r="B767" s="2060"/>
      <c r="C767" s="2060"/>
      <c r="D767" s="2060"/>
      <c r="E767" s="255"/>
      <c r="H767" s="2060"/>
      <c r="I767" s="106"/>
      <c r="J767" s="2060"/>
      <c r="K767" s="2060"/>
      <c r="L767" s="2060"/>
      <c r="M767" s="2060"/>
      <c r="N767" s="2060"/>
      <c r="O767" s="2060"/>
      <c r="P767" s="2060"/>
      <c r="Q767" s="2060"/>
      <c r="R767" s="2060"/>
      <c r="S767" s="2060"/>
      <c r="T767" s="255"/>
      <c r="U767" s="255"/>
      <c r="V767" s="103"/>
    </row>
    <row r="768" spans="2:22">
      <c r="B768" s="2060"/>
      <c r="C768" s="2060"/>
      <c r="D768" s="2060"/>
      <c r="E768" s="255"/>
      <c r="H768" s="2060"/>
      <c r="I768" s="106"/>
      <c r="J768" s="2060"/>
      <c r="K768" s="2060"/>
      <c r="L768" s="2060"/>
      <c r="M768" s="2060"/>
      <c r="N768" s="2060"/>
      <c r="O768" s="2060"/>
      <c r="P768" s="2060"/>
      <c r="Q768" s="2060"/>
      <c r="R768" s="2060"/>
      <c r="S768" s="2060"/>
      <c r="T768" s="255"/>
      <c r="U768" s="255"/>
      <c r="V768" s="103"/>
    </row>
    <row r="769" spans="2:22">
      <c r="B769" s="2060"/>
      <c r="C769" s="2060"/>
      <c r="D769" s="2060"/>
      <c r="E769" s="255"/>
      <c r="H769" s="2060"/>
      <c r="I769" s="106"/>
      <c r="J769" s="2060"/>
      <c r="K769" s="2060"/>
      <c r="L769" s="2060"/>
      <c r="M769" s="2060"/>
      <c r="N769" s="2060"/>
      <c r="O769" s="2060"/>
      <c r="P769" s="2060"/>
      <c r="Q769" s="2060"/>
      <c r="R769" s="2060"/>
      <c r="S769" s="2060"/>
      <c r="T769" s="255"/>
      <c r="U769" s="255"/>
      <c r="V769" s="103"/>
    </row>
    <row r="770" spans="2:22">
      <c r="B770" s="2060"/>
      <c r="C770" s="2060"/>
      <c r="D770" s="2060"/>
      <c r="E770" s="255"/>
      <c r="H770" s="2060"/>
      <c r="I770" s="106"/>
      <c r="J770" s="2060"/>
      <c r="K770" s="2060"/>
      <c r="L770" s="2060"/>
      <c r="M770" s="2060"/>
      <c r="N770" s="2060"/>
      <c r="O770" s="2060"/>
      <c r="P770" s="2060"/>
      <c r="Q770" s="2060"/>
      <c r="R770" s="2060"/>
      <c r="S770" s="2060"/>
      <c r="T770" s="255"/>
      <c r="U770" s="255"/>
      <c r="V770" s="103"/>
    </row>
    <row r="771" spans="2:22">
      <c r="B771" s="2060"/>
      <c r="C771" s="2060"/>
      <c r="D771" s="2060"/>
      <c r="E771" s="255"/>
      <c r="H771" s="2060"/>
      <c r="I771" s="106"/>
      <c r="J771" s="2060"/>
      <c r="K771" s="2060"/>
      <c r="L771" s="2060"/>
      <c r="M771" s="2060"/>
      <c r="N771" s="2060"/>
      <c r="O771" s="2060"/>
      <c r="P771" s="2060"/>
      <c r="Q771" s="2060"/>
      <c r="R771" s="2060"/>
      <c r="S771" s="2060"/>
      <c r="T771" s="255"/>
      <c r="U771" s="255"/>
      <c r="V771" s="103"/>
    </row>
    <row r="772" spans="2:22">
      <c r="B772" s="2060"/>
      <c r="C772" s="2060"/>
      <c r="D772" s="2060"/>
      <c r="E772" s="255"/>
      <c r="H772" s="2060"/>
      <c r="I772" s="106"/>
      <c r="J772" s="2060"/>
      <c r="K772" s="2060"/>
      <c r="L772" s="2060"/>
      <c r="M772" s="2060"/>
      <c r="N772" s="2060"/>
      <c r="O772" s="2060"/>
      <c r="P772" s="2060"/>
      <c r="Q772" s="2060"/>
      <c r="R772" s="2060"/>
      <c r="S772" s="2060"/>
      <c r="T772" s="255"/>
      <c r="U772" s="255"/>
      <c r="V772" s="103"/>
    </row>
    <row r="773" spans="2:22">
      <c r="B773" s="2060"/>
      <c r="C773" s="2060"/>
      <c r="D773" s="2060"/>
      <c r="E773" s="255"/>
      <c r="H773" s="2060"/>
      <c r="I773" s="106"/>
      <c r="J773" s="2060"/>
      <c r="K773" s="2060"/>
      <c r="L773" s="2060"/>
      <c r="M773" s="2060"/>
      <c r="N773" s="2060"/>
      <c r="O773" s="2060"/>
      <c r="P773" s="2060"/>
      <c r="Q773" s="2060"/>
      <c r="R773" s="2060"/>
      <c r="S773" s="2060"/>
      <c r="T773" s="255"/>
      <c r="U773" s="255"/>
      <c r="V773" s="103"/>
    </row>
    <row r="774" spans="2:22">
      <c r="B774" s="2060"/>
      <c r="C774" s="2060"/>
      <c r="D774" s="2060"/>
      <c r="E774" s="255"/>
      <c r="H774" s="2060"/>
      <c r="I774" s="106"/>
      <c r="J774" s="2060"/>
      <c r="K774" s="2060"/>
      <c r="L774" s="2060"/>
      <c r="M774" s="2060"/>
      <c r="N774" s="2060"/>
      <c r="O774" s="2060"/>
      <c r="P774" s="2060"/>
      <c r="Q774" s="2060"/>
      <c r="R774" s="2060"/>
      <c r="S774" s="2060"/>
      <c r="T774" s="255"/>
      <c r="U774" s="255"/>
      <c r="V774" s="103"/>
    </row>
    <row r="775" spans="2:22">
      <c r="B775" s="2060"/>
      <c r="C775" s="2060"/>
      <c r="D775" s="2060"/>
      <c r="E775" s="255"/>
      <c r="H775" s="2060"/>
      <c r="I775" s="106"/>
      <c r="J775" s="2060"/>
      <c r="K775" s="2060"/>
      <c r="L775" s="2060"/>
      <c r="M775" s="2060"/>
      <c r="N775" s="2060"/>
      <c r="O775" s="2060"/>
      <c r="P775" s="2060"/>
      <c r="Q775" s="2060"/>
      <c r="R775" s="2060"/>
      <c r="S775" s="2060"/>
      <c r="T775" s="255"/>
      <c r="U775" s="255"/>
      <c r="V775" s="103"/>
    </row>
    <row r="776" spans="2:22">
      <c r="B776" s="2060"/>
      <c r="C776" s="2060"/>
      <c r="D776" s="2060"/>
      <c r="E776" s="255"/>
      <c r="H776" s="2060"/>
      <c r="I776" s="106"/>
      <c r="J776" s="2060"/>
      <c r="K776" s="2060"/>
      <c r="L776" s="2060"/>
      <c r="M776" s="2060"/>
      <c r="N776" s="2060"/>
      <c r="O776" s="2060"/>
      <c r="P776" s="2060"/>
      <c r="Q776" s="2060"/>
      <c r="R776" s="2060"/>
      <c r="S776" s="2060"/>
      <c r="T776" s="255"/>
      <c r="U776" s="255"/>
      <c r="V776" s="103"/>
    </row>
    <row r="777" spans="2:22">
      <c r="B777" s="2060"/>
      <c r="C777" s="2060"/>
      <c r="D777" s="2060"/>
      <c r="E777" s="255"/>
      <c r="H777" s="2060"/>
      <c r="I777" s="106"/>
      <c r="J777" s="2060"/>
      <c r="K777" s="2060"/>
      <c r="L777" s="2060"/>
      <c r="M777" s="2060"/>
      <c r="N777" s="2060"/>
      <c r="O777" s="2060"/>
      <c r="P777" s="2060"/>
      <c r="Q777" s="2060"/>
      <c r="R777" s="2060"/>
      <c r="S777" s="2060"/>
      <c r="T777" s="255"/>
      <c r="U777" s="255"/>
      <c r="V777" s="103"/>
    </row>
    <row r="778" spans="2:22">
      <c r="B778" s="2060"/>
      <c r="C778" s="2060"/>
      <c r="D778" s="2060"/>
      <c r="E778" s="255"/>
      <c r="H778" s="2060"/>
      <c r="I778" s="106"/>
      <c r="J778" s="2060"/>
      <c r="K778" s="2060"/>
      <c r="L778" s="2060"/>
      <c r="M778" s="2060"/>
      <c r="N778" s="2060"/>
      <c r="O778" s="2060"/>
      <c r="P778" s="2060"/>
      <c r="Q778" s="2060"/>
      <c r="R778" s="2060"/>
      <c r="S778" s="2060"/>
      <c r="T778" s="255"/>
      <c r="U778" s="255"/>
      <c r="V778" s="103"/>
    </row>
    <row r="779" spans="2:22">
      <c r="B779" s="2060"/>
      <c r="C779" s="2060"/>
      <c r="D779" s="2060"/>
      <c r="E779" s="255"/>
      <c r="H779" s="2060"/>
      <c r="I779" s="106"/>
      <c r="J779" s="2060"/>
      <c r="K779" s="2060"/>
      <c r="L779" s="2060"/>
      <c r="M779" s="2060"/>
      <c r="N779" s="2060"/>
      <c r="O779" s="2060"/>
      <c r="P779" s="2060"/>
      <c r="Q779" s="2060"/>
      <c r="R779" s="2060"/>
      <c r="S779" s="2060"/>
      <c r="T779" s="255"/>
      <c r="U779" s="255"/>
      <c r="V779" s="103"/>
    </row>
    <row r="780" spans="2:22">
      <c r="B780" s="2060"/>
      <c r="C780" s="2060"/>
      <c r="D780" s="2060"/>
      <c r="E780" s="255"/>
      <c r="H780" s="2060"/>
      <c r="I780" s="106"/>
      <c r="J780" s="2060"/>
      <c r="K780" s="2060"/>
      <c r="L780" s="2060"/>
      <c r="M780" s="2060"/>
      <c r="N780" s="2060"/>
      <c r="O780" s="2060"/>
      <c r="P780" s="2060"/>
      <c r="Q780" s="2060"/>
      <c r="R780" s="2060"/>
      <c r="S780" s="2060"/>
      <c r="T780" s="255"/>
      <c r="U780" s="255"/>
      <c r="V780" s="103"/>
    </row>
    <row r="781" spans="2:22">
      <c r="B781" s="2060"/>
      <c r="C781" s="2060"/>
      <c r="D781" s="2060"/>
      <c r="E781" s="255"/>
      <c r="H781" s="2060"/>
      <c r="I781" s="106"/>
      <c r="J781" s="2060"/>
      <c r="K781" s="2060"/>
      <c r="L781" s="2060"/>
      <c r="M781" s="2060"/>
      <c r="N781" s="2060"/>
      <c r="O781" s="2060"/>
      <c r="P781" s="2060"/>
      <c r="Q781" s="2060"/>
      <c r="R781" s="2060"/>
      <c r="S781" s="2060"/>
      <c r="T781" s="255"/>
      <c r="U781" s="255"/>
      <c r="V781" s="103"/>
    </row>
    <row r="782" spans="2:22">
      <c r="B782" s="2060"/>
      <c r="C782" s="2060"/>
      <c r="D782" s="2060"/>
      <c r="E782" s="255"/>
      <c r="H782" s="2060"/>
      <c r="I782" s="106"/>
      <c r="J782" s="2060"/>
      <c r="K782" s="2060"/>
      <c r="L782" s="2060"/>
      <c r="M782" s="2060"/>
      <c r="N782" s="2060"/>
      <c r="O782" s="2060"/>
      <c r="P782" s="2060"/>
      <c r="Q782" s="2060"/>
      <c r="R782" s="2060"/>
      <c r="S782" s="2060"/>
      <c r="T782" s="255"/>
      <c r="U782" s="255"/>
      <c r="V782" s="103"/>
    </row>
    <row r="783" spans="2:22">
      <c r="B783" s="2060"/>
      <c r="C783" s="2060"/>
      <c r="D783" s="2060"/>
      <c r="E783" s="255"/>
      <c r="H783" s="2060"/>
      <c r="I783" s="106"/>
      <c r="J783" s="2060"/>
      <c r="K783" s="2060"/>
      <c r="L783" s="2060"/>
      <c r="M783" s="2060"/>
      <c r="N783" s="2060"/>
      <c r="O783" s="2060"/>
      <c r="P783" s="2060"/>
      <c r="Q783" s="2060"/>
      <c r="R783" s="2060"/>
      <c r="S783" s="2060"/>
      <c r="T783" s="255"/>
      <c r="U783" s="255"/>
      <c r="V783" s="103"/>
    </row>
    <row r="784" spans="2:22">
      <c r="B784" s="2060"/>
      <c r="C784" s="2060"/>
      <c r="D784" s="2060"/>
      <c r="E784" s="255"/>
      <c r="H784" s="2060"/>
      <c r="I784" s="106"/>
      <c r="J784" s="2060"/>
      <c r="K784" s="2060"/>
      <c r="L784" s="2060"/>
      <c r="M784" s="2060"/>
      <c r="N784" s="2060"/>
      <c r="O784" s="2060"/>
      <c r="P784" s="2060"/>
      <c r="Q784" s="2060"/>
      <c r="R784" s="2060"/>
      <c r="S784" s="2060"/>
      <c r="T784" s="255"/>
      <c r="U784" s="255"/>
      <c r="V784" s="103"/>
    </row>
    <row r="785" spans="2:22">
      <c r="B785" s="2060"/>
      <c r="C785" s="2060"/>
      <c r="D785" s="2060"/>
      <c r="E785" s="255"/>
      <c r="H785" s="2060"/>
      <c r="I785" s="106"/>
      <c r="J785" s="2060"/>
      <c r="K785" s="2060"/>
      <c r="L785" s="2060"/>
      <c r="M785" s="2060"/>
      <c r="N785" s="2060"/>
      <c r="O785" s="2060"/>
      <c r="P785" s="2060"/>
      <c r="Q785" s="2060"/>
      <c r="R785" s="2060"/>
      <c r="S785" s="2060"/>
      <c r="T785" s="255"/>
      <c r="U785" s="255"/>
      <c r="V785" s="103"/>
    </row>
    <row r="786" spans="2:22">
      <c r="B786" s="2060"/>
      <c r="C786" s="2060"/>
      <c r="D786" s="2060"/>
      <c r="E786" s="255"/>
      <c r="H786" s="2060"/>
      <c r="I786" s="106"/>
      <c r="J786" s="2060"/>
      <c r="K786" s="2060"/>
      <c r="L786" s="2060"/>
      <c r="M786" s="2060"/>
      <c r="N786" s="2060"/>
      <c r="O786" s="2060"/>
      <c r="P786" s="2060"/>
      <c r="Q786" s="2060"/>
      <c r="R786" s="2060"/>
      <c r="S786" s="2060"/>
      <c r="T786" s="255"/>
      <c r="U786" s="255"/>
      <c r="V786" s="103"/>
    </row>
    <row r="787" spans="2:22">
      <c r="B787" s="2060"/>
      <c r="C787" s="2060"/>
      <c r="D787" s="2060"/>
      <c r="E787" s="255"/>
      <c r="H787" s="2060"/>
      <c r="I787" s="106"/>
      <c r="J787" s="2060"/>
      <c r="K787" s="2060"/>
      <c r="L787" s="2060"/>
      <c r="M787" s="2060"/>
      <c r="N787" s="2060"/>
      <c r="O787" s="2060"/>
      <c r="P787" s="2060"/>
      <c r="Q787" s="2060"/>
      <c r="R787" s="2060"/>
      <c r="S787" s="2060"/>
      <c r="T787" s="255"/>
      <c r="U787" s="255"/>
      <c r="V787" s="103"/>
    </row>
    <row r="788" spans="2:22">
      <c r="B788" s="2060"/>
      <c r="C788" s="2060"/>
      <c r="D788" s="2060"/>
      <c r="E788" s="255"/>
      <c r="H788" s="2060"/>
      <c r="I788" s="106"/>
      <c r="J788" s="2060"/>
      <c r="K788" s="2060"/>
      <c r="L788" s="2060"/>
      <c r="M788" s="2060"/>
      <c r="N788" s="2060"/>
      <c r="O788" s="2060"/>
      <c r="P788" s="2060"/>
      <c r="Q788" s="2060"/>
      <c r="R788" s="2060"/>
      <c r="S788" s="2060"/>
      <c r="T788" s="255"/>
      <c r="U788" s="255"/>
      <c r="V788" s="103"/>
    </row>
    <row r="789" spans="2:22">
      <c r="B789" s="2060"/>
      <c r="C789" s="2060"/>
      <c r="D789" s="2060"/>
      <c r="E789" s="255"/>
      <c r="H789" s="2060"/>
      <c r="I789" s="106"/>
      <c r="J789" s="2060"/>
      <c r="K789" s="2060"/>
      <c r="L789" s="2060"/>
      <c r="M789" s="2060"/>
      <c r="N789" s="2060"/>
      <c r="O789" s="2060"/>
      <c r="P789" s="2060"/>
      <c r="Q789" s="2060"/>
      <c r="R789" s="2060"/>
      <c r="S789" s="2060"/>
      <c r="T789" s="255"/>
      <c r="U789" s="255"/>
      <c r="V789" s="103"/>
    </row>
    <row r="790" spans="2:22">
      <c r="B790" s="2060"/>
      <c r="C790" s="2060"/>
      <c r="D790" s="2060"/>
      <c r="E790" s="255"/>
      <c r="H790" s="2060"/>
      <c r="I790" s="106"/>
      <c r="J790" s="2060"/>
      <c r="K790" s="2060"/>
      <c r="L790" s="2060"/>
      <c r="M790" s="2060"/>
      <c r="N790" s="2060"/>
      <c r="O790" s="2060"/>
      <c r="P790" s="2060"/>
      <c r="Q790" s="2060"/>
      <c r="R790" s="2060"/>
      <c r="S790" s="2060"/>
      <c r="T790" s="255"/>
      <c r="U790" s="255"/>
      <c r="V790" s="103"/>
    </row>
    <row r="791" spans="2:22">
      <c r="B791" s="2060"/>
      <c r="C791" s="2060"/>
      <c r="D791" s="2060"/>
      <c r="E791" s="255"/>
      <c r="H791" s="2060"/>
      <c r="I791" s="106"/>
      <c r="J791" s="2060"/>
      <c r="K791" s="2060"/>
      <c r="L791" s="2060"/>
      <c r="M791" s="2060"/>
      <c r="N791" s="2060"/>
      <c r="O791" s="2060"/>
      <c r="P791" s="2060"/>
      <c r="Q791" s="2060"/>
      <c r="R791" s="2060"/>
      <c r="S791" s="2060"/>
      <c r="T791" s="255"/>
      <c r="U791" s="255"/>
      <c r="V791" s="103"/>
    </row>
    <row r="792" spans="2:22">
      <c r="B792" s="2060"/>
      <c r="C792" s="2060"/>
      <c r="D792" s="2060"/>
      <c r="E792" s="255"/>
      <c r="H792" s="2060"/>
      <c r="I792" s="106"/>
      <c r="J792" s="2060"/>
      <c r="K792" s="2060"/>
      <c r="L792" s="2060"/>
      <c r="M792" s="2060"/>
      <c r="N792" s="2060"/>
      <c r="O792" s="2060"/>
      <c r="P792" s="2060"/>
      <c r="Q792" s="2060"/>
      <c r="R792" s="2060"/>
      <c r="S792" s="2060"/>
      <c r="T792" s="255"/>
      <c r="U792" s="255"/>
      <c r="V792" s="103"/>
    </row>
    <row r="793" spans="2:22">
      <c r="B793" s="2060"/>
      <c r="C793" s="2060"/>
      <c r="D793" s="2060"/>
      <c r="E793" s="255"/>
      <c r="H793" s="2060"/>
      <c r="I793" s="106"/>
      <c r="J793" s="2060"/>
      <c r="K793" s="2060"/>
      <c r="L793" s="2060"/>
      <c r="M793" s="2060"/>
      <c r="N793" s="2060"/>
      <c r="O793" s="2060"/>
      <c r="P793" s="2060"/>
      <c r="Q793" s="2060"/>
      <c r="R793" s="2060"/>
      <c r="S793" s="2060"/>
      <c r="T793" s="255"/>
      <c r="U793" s="255"/>
      <c r="V793" s="103"/>
    </row>
    <row r="794" spans="2:22">
      <c r="B794" s="2060"/>
      <c r="C794" s="2060"/>
      <c r="D794" s="2060"/>
      <c r="E794" s="255"/>
      <c r="H794" s="2060"/>
      <c r="I794" s="106"/>
      <c r="J794" s="2060"/>
      <c r="K794" s="2060"/>
      <c r="L794" s="2060"/>
      <c r="M794" s="2060"/>
      <c r="N794" s="2060"/>
      <c r="O794" s="2060"/>
      <c r="P794" s="2060"/>
      <c r="Q794" s="2060"/>
      <c r="R794" s="2060"/>
      <c r="S794" s="2060"/>
      <c r="T794" s="255"/>
      <c r="U794" s="255"/>
      <c r="V794" s="103"/>
    </row>
    <row r="795" spans="2:22">
      <c r="B795" s="2060"/>
      <c r="C795" s="2060"/>
      <c r="D795" s="2060"/>
      <c r="E795" s="255"/>
      <c r="H795" s="2060"/>
      <c r="I795" s="106"/>
      <c r="J795" s="2060"/>
      <c r="K795" s="2060"/>
      <c r="L795" s="2060"/>
      <c r="M795" s="2060"/>
      <c r="N795" s="2060"/>
      <c r="O795" s="2060"/>
      <c r="P795" s="2060"/>
      <c r="Q795" s="2060"/>
      <c r="R795" s="2060"/>
      <c r="S795" s="2060"/>
      <c r="T795" s="255"/>
      <c r="U795" s="255"/>
      <c r="V795" s="103"/>
    </row>
    <row r="796" spans="2:22">
      <c r="B796" s="2060"/>
      <c r="C796" s="2060"/>
      <c r="D796" s="2060"/>
      <c r="E796" s="255"/>
      <c r="H796" s="2060"/>
      <c r="I796" s="106"/>
      <c r="J796" s="2060"/>
      <c r="K796" s="2060"/>
      <c r="L796" s="2060"/>
      <c r="M796" s="2060"/>
      <c r="N796" s="2060"/>
      <c r="O796" s="2060"/>
      <c r="P796" s="2060"/>
      <c r="Q796" s="2060"/>
      <c r="R796" s="2060"/>
      <c r="S796" s="2060"/>
      <c r="T796" s="255"/>
      <c r="U796" s="255"/>
      <c r="V796" s="103"/>
    </row>
    <row r="797" spans="2:22">
      <c r="B797" s="2060"/>
      <c r="C797" s="2060"/>
      <c r="D797" s="2060"/>
      <c r="E797" s="255"/>
      <c r="H797" s="2060"/>
      <c r="I797" s="106"/>
      <c r="J797" s="2060"/>
      <c r="K797" s="2060"/>
      <c r="L797" s="2060"/>
      <c r="M797" s="2060"/>
      <c r="N797" s="2060"/>
      <c r="O797" s="2060"/>
      <c r="P797" s="2060"/>
      <c r="Q797" s="2060"/>
      <c r="R797" s="2060"/>
      <c r="S797" s="2060"/>
      <c r="T797" s="255"/>
      <c r="U797" s="255"/>
      <c r="V797" s="103"/>
    </row>
    <row r="798" spans="2:22">
      <c r="B798" s="2060"/>
      <c r="C798" s="2060"/>
      <c r="D798" s="2060"/>
      <c r="E798" s="255"/>
      <c r="H798" s="2060"/>
      <c r="I798" s="106"/>
      <c r="J798" s="2060"/>
      <c r="K798" s="2060"/>
      <c r="L798" s="2060"/>
      <c r="M798" s="2060"/>
      <c r="N798" s="2060"/>
      <c r="O798" s="2060"/>
      <c r="P798" s="2060"/>
      <c r="Q798" s="2060"/>
      <c r="R798" s="2060"/>
      <c r="S798" s="2060"/>
      <c r="T798" s="255"/>
      <c r="U798" s="255"/>
      <c r="V798" s="103"/>
    </row>
    <row r="799" spans="2:22">
      <c r="B799" s="2060"/>
      <c r="C799" s="2060"/>
      <c r="D799" s="2060"/>
      <c r="E799" s="255"/>
      <c r="H799" s="2060"/>
      <c r="I799" s="106"/>
      <c r="J799" s="2060"/>
      <c r="K799" s="2060"/>
      <c r="L799" s="2060"/>
      <c r="M799" s="2060"/>
      <c r="N799" s="2060"/>
      <c r="O799" s="2060"/>
      <c r="P799" s="2060"/>
      <c r="Q799" s="2060"/>
      <c r="R799" s="2060"/>
      <c r="S799" s="2060"/>
      <c r="T799" s="255"/>
      <c r="U799" s="255"/>
      <c r="V799" s="103"/>
    </row>
    <row r="800" spans="2:22">
      <c r="B800" s="2060"/>
      <c r="C800" s="2060"/>
      <c r="D800" s="2060"/>
      <c r="E800" s="255"/>
      <c r="H800" s="2060"/>
      <c r="I800" s="106"/>
      <c r="J800" s="2060"/>
      <c r="K800" s="2060"/>
      <c r="L800" s="2060"/>
      <c r="M800" s="2060"/>
      <c r="N800" s="2060"/>
      <c r="O800" s="2060"/>
      <c r="P800" s="2060"/>
      <c r="Q800" s="2060"/>
      <c r="R800" s="2060"/>
      <c r="S800" s="2060"/>
      <c r="T800" s="255"/>
      <c r="U800" s="255"/>
      <c r="V800" s="103"/>
    </row>
    <row r="801" spans="2:22">
      <c r="B801" s="2060"/>
      <c r="C801" s="2060"/>
      <c r="D801" s="2060"/>
      <c r="E801" s="255"/>
      <c r="H801" s="2060"/>
      <c r="I801" s="106"/>
      <c r="J801" s="2060"/>
      <c r="K801" s="2060"/>
      <c r="L801" s="2060"/>
      <c r="M801" s="2060"/>
      <c r="N801" s="2060"/>
      <c r="O801" s="2060"/>
      <c r="P801" s="2060"/>
      <c r="Q801" s="2060"/>
      <c r="R801" s="2060"/>
      <c r="S801" s="2060"/>
      <c r="T801" s="255"/>
      <c r="U801" s="255"/>
      <c r="V801" s="103"/>
    </row>
    <row r="802" spans="2:22">
      <c r="B802" s="2060"/>
      <c r="C802" s="2060"/>
      <c r="D802" s="2060"/>
      <c r="E802" s="255"/>
      <c r="H802" s="2060"/>
      <c r="I802" s="106"/>
      <c r="J802" s="2060"/>
      <c r="K802" s="2060"/>
      <c r="L802" s="2060"/>
      <c r="M802" s="2060"/>
      <c r="N802" s="2060"/>
      <c r="O802" s="2060"/>
      <c r="P802" s="2060"/>
      <c r="Q802" s="2060"/>
      <c r="R802" s="2060"/>
      <c r="S802" s="2060"/>
      <c r="T802" s="255"/>
      <c r="U802" s="255"/>
      <c r="V802" s="103"/>
    </row>
    <row r="803" spans="2:22">
      <c r="B803" s="2060"/>
      <c r="C803" s="2060"/>
      <c r="D803" s="2060"/>
      <c r="E803" s="255"/>
      <c r="H803" s="2060"/>
      <c r="I803" s="106"/>
      <c r="J803" s="2060"/>
      <c r="K803" s="2060"/>
      <c r="L803" s="2060"/>
      <c r="M803" s="2060"/>
      <c r="N803" s="2060"/>
      <c r="O803" s="2060"/>
      <c r="P803" s="2060"/>
      <c r="Q803" s="2060"/>
      <c r="R803" s="2060"/>
      <c r="S803" s="2060"/>
      <c r="T803" s="255"/>
      <c r="U803" s="255"/>
      <c r="V803" s="103"/>
    </row>
    <row r="804" spans="2:22">
      <c r="B804" s="2060"/>
      <c r="C804" s="2060"/>
      <c r="D804" s="2060"/>
      <c r="E804" s="255"/>
      <c r="H804" s="2060"/>
      <c r="I804" s="106"/>
      <c r="J804" s="2060"/>
      <c r="K804" s="2060"/>
      <c r="L804" s="2060"/>
      <c r="M804" s="2060"/>
      <c r="N804" s="2060"/>
      <c r="O804" s="2060"/>
      <c r="P804" s="2060"/>
      <c r="Q804" s="2060"/>
      <c r="R804" s="2060"/>
      <c r="S804" s="2060"/>
      <c r="T804" s="255"/>
      <c r="U804" s="255"/>
      <c r="V804" s="103"/>
    </row>
    <row r="805" spans="2:22">
      <c r="B805" s="2060"/>
      <c r="C805" s="2060"/>
      <c r="D805" s="2060"/>
      <c r="E805" s="255"/>
      <c r="H805" s="2060"/>
      <c r="I805" s="106"/>
      <c r="J805" s="2060"/>
      <c r="K805" s="2060"/>
      <c r="L805" s="2060"/>
      <c r="M805" s="2060"/>
      <c r="N805" s="2060"/>
      <c r="O805" s="2060"/>
      <c r="P805" s="2060"/>
      <c r="Q805" s="2060"/>
      <c r="R805" s="2060"/>
      <c r="S805" s="2060"/>
      <c r="T805" s="255"/>
      <c r="U805" s="255"/>
      <c r="V805" s="103"/>
    </row>
    <row r="806" spans="2:22">
      <c r="B806" s="2060"/>
      <c r="C806" s="2060"/>
      <c r="D806" s="2060"/>
      <c r="E806" s="255"/>
      <c r="H806" s="2060"/>
      <c r="I806" s="106"/>
      <c r="J806" s="2060"/>
      <c r="K806" s="2060"/>
      <c r="L806" s="2060"/>
      <c r="M806" s="2060"/>
      <c r="N806" s="2060"/>
      <c r="O806" s="2060"/>
      <c r="P806" s="2060"/>
      <c r="Q806" s="2060"/>
      <c r="R806" s="2060"/>
      <c r="S806" s="2060"/>
      <c r="T806" s="255"/>
      <c r="U806" s="255"/>
      <c r="V806" s="103"/>
    </row>
    <row r="807" spans="2:22">
      <c r="B807" s="2060"/>
      <c r="C807" s="2060"/>
      <c r="D807" s="2060"/>
      <c r="E807" s="255"/>
      <c r="H807" s="2060"/>
      <c r="I807" s="106"/>
      <c r="J807" s="2060"/>
      <c r="K807" s="2060"/>
      <c r="L807" s="2060"/>
      <c r="M807" s="2060"/>
      <c r="N807" s="2060"/>
      <c r="O807" s="2060"/>
      <c r="P807" s="2060"/>
      <c r="Q807" s="2060"/>
      <c r="R807" s="2060"/>
      <c r="S807" s="2060"/>
      <c r="T807" s="255"/>
      <c r="U807" s="255"/>
      <c r="V807" s="103"/>
    </row>
    <row r="808" spans="2:22">
      <c r="B808" s="2060"/>
      <c r="C808" s="2060"/>
      <c r="D808" s="2060"/>
      <c r="E808" s="255"/>
      <c r="H808" s="2060"/>
      <c r="I808" s="106"/>
      <c r="J808" s="2060"/>
      <c r="K808" s="2060"/>
      <c r="L808" s="2060"/>
      <c r="M808" s="2060"/>
      <c r="N808" s="2060"/>
      <c r="O808" s="2060"/>
      <c r="P808" s="2060"/>
      <c r="Q808" s="2060"/>
      <c r="R808" s="2060"/>
      <c r="S808" s="2060"/>
      <c r="T808" s="255"/>
      <c r="U808" s="255"/>
      <c r="V808" s="103"/>
    </row>
    <row r="809" spans="2:22">
      <c r="B809" s="2060"/>
      <c r="C809" s="2060"/>
      <c r="D809" s="2060"/>
      <c r="E809" s="255"/>
      <c r="H809" s="2060"/>
      <c r="I809" s="106"/>
      <c r="J809" s="2060"/>
      <c r="K809" s="2060"/>
      <c r="L809" s="2060"/>
      <c r="M809" s="2060"/>
      <c r="N809" s="2060"/>
      <c r="O809" s="2060"/>
      <c r="P809" s="2060"/>
      <c r="Q809" s="2060"/>
      <c r="R809" s="2060"/>
      <c r="S809" s="2060"/>
      <c r="T809" s="255"/>
      <c r="U809" s="255"/>
      <c r="V809" s="103"/>
    </row>
    <row r="810" spans="2:22">
      <c r="B810" s="2060"/>
      <c r="C810" s="2060"/>
      <c r="D810" s="2060"/>
      <c r="E810" s="255"/>
      <c r="H810" s="2060"/>
      <c r="I810" s="106"/>
      <c r="J810" s="2060"/>
      <c r="K810" s="2060"/>
      <c r="L810" s="2060"/>
      <c r="M810" s="2060"/>
      <c r="N810" s="2060"/>
      <c r="O810" s="2060"/>
      <c r="P810" s="2060"/>
      <c r="Q810" s="2060"/>
      <c r="R810" s="2060"/>
      <c r="S810" s="2060"/>
      <c r="T810" s="255"/>
      <c r="U810" s="255"/>
      <c r="V810" s="103"/>
    </row>
    <row r="811" spans="2:22">
      <c r="B811" s="2060"/>
      <c r="C811" s="2060"/>
      <c r="D811" s="2060"/>
      <c r="E811" s="255"/>
      <c r="H811" s="2060"/>
      <c r="I811" s="106"/>
      <c r="J811" s="2060"/>
      <c r="K811" s="2060"/>
      <c r="L811" s="2060"/>
      <c r="M811" s="2060"/>
      <c r="N811" s="2060"/>
      <c r="O811" s="2060"/>
      <c r="P811" s="2060"/>
      <c r="Q811" s="2060"/>
      <c r="R811" s="2060"/>
      <c r="S811" s="2060"/>
      <c r="T811" s="255"/>
      <c r="U811" s="255"/>
      <c r="V811" s="103"/>
    </row>
    <row r="812" spans="2:22">
      <c r="B812" s="2060"/>
      <c r="C812" s="2060"/>
      <c r="D812" s="2060"/>
      <c r="E812" s="255"/>
      <c r="H812" s="2060"/>
      <c r="I812" s="106"/>
      <c r="J812" s="2060"/>
      <c r="K812" s="2060"/>
      <c r="L812" s="2060"/>
      <c r="M812" s="2060"/>
      <c r="N812" s="2060"/>
      <c r="O812" s="2060"/>
      <c r="P812" s="2060"/>
      <c r="Q812" s="2060"/>
      <c r="R812" s="2060"/>
      <c r="S812" s="2060"/>
      <c r="T812" s="255"/>
      <c r="U812" s="255"/>
      <c r="V812" s="103"/>
    </row>
    <row r="813" spans="2:22">
      <c r="B813" s="2060"/>
      <c r="C813" s="2060"/>
      <c r="D813" s="2060"/>
      <c r="E813" s="255"/>
      <c r="H813" s="2060"/>
      <c r="I813" s="106"/>
      <c r="J813" s="2060"/>
      <c r="K813" s="2060"/>
      <c r="L813" s="2060"/>
      <c r="M813" s="2060"/>
      <c r="N813" s="2060"/>
      <c r="O813" s="2060"/>
      <c r="P813" s="2060"/>
      <c r="Q813" s="2060"/>
      <c r="R813" s="2060"/>
      <c r="S813" s="2060"/>
      <c r="T813" s="255"/>
      <c r="U813" s="255"/>
      <c r="V813" s="103"/>
    </row>
    <row r="814" spans="2:22">
      <c r="B814" s="2060"/>
      <c r="C814" s="2060"/>
      <c r="D814" s="2060"/>
      <c r="E814" s="255"/>
      <c r="H814" s="2060"/>
      <c r="I814" s="106"/>
      <c r="J814" s="2060"/>
      <c r="K814" s="2060"/>
      <c r="L814" s="2060"/>
      <c r="M814" s="2060"/>
      <c r="N814" s="2060"/>
      <c r="O814" s="2060"/>
      <c r="P814" s="2060"/>
      <c r="Q814" s="2060"/>
      <c r="R814" s="2060"/>
      <c r="S814" s="2060"/>
      <c r="T814" s="255"/>
      <c r="U814" s="255"/>
      <c r="V814" s="103"/>
    </row>
    <row r="815" spans="2:22">
      <c r="B815" s="2060"/>
      <c r="C815" s="2060"/>
      <c r="D815" s="2060"/>
      <c r="E815" s="255"/>
      <c r="H815" s="2060"/>
      <c r="I815" s="106"/>
      <c r="J815" s="2060"/>
      <c r="K815" s="2060"/>
      <c r="L815" s="2060"/>
      <c r="M815" s="2060"/>
      <c r="N815" s="2060"/>
      <c r="O815" s="2060"/>
      <c r="P815" s="2060"/>
      <c r="Q815" s="2060"/>
      <c r="R815" s="2060"/>
      <c r="S815" s="2060"/>
      <c r="T815" s="255"/>
      <c r="U815" s="255"/>
      <c r="V815" s="103"/>
    </row>
    <row r="816" spans="2:22">
      <c r="B816" s="2060"/>
      <c r="C816" s="2060"/>
      <c r="D816" s="2060"/>
      <c r="E816" s="255"/>
      <c r="H816" s="2060"/>
      <c r="I816" s="106"/>
      <c r="J816" s="2060"/>
      <c r="K816" s="2060"/>
      <c r="L816" s="2060"/>
      <c r="M816" s="2060"/>
      <c r="N816" s="2060"/>
      <c r="O816" s="2060"/>
      <c r="P816" s="2060"/>
      <c r="Q816" s="2060"/>
      <c r="R816" s="2060"/>
      <c r="S816" s="2060"/>
      <c r="T816" s="255"/>
      <c r="U816" s="255"/>
      <c r="V816" s="103"/>
    </row>
    <row r="817" spans="2:22">
      <c r="B817" s="2060"/>
      <c r="C817" s="2060"/>
      <c r="D817" s="2060"/>
      <c r="E817" s="255"/>
      <c r="H817" s="2060"/>
      <c r="I817" s="106"/>
      <c r="J817" s="2060"/>
      <c r="K817" s="2060"/>
      <c r="L817" s="2060"/>
      <c r="M817" s="2060"/>
      <c r="N817" s="2060"/>
      <c r="O817" s="2060"/>
      <c r="P817" s="2060"/>
      <c r="Q817" s="2060"/>
      <c r="R817" s="2060"/>
      <c r="S817" s="2060"/>
      <c r="T817" s="255"/>
      <c r="U817" s="255"/>
      <c r="V817" s="103"/>
    </row>
    <row r="818" spans="2:22">
      <c r="B818" s="2060"/>
      <c r="C818" s="2060"/>
      <c r="D818" s="2060"/>
      <c r="E818" s="255"/>
      <c r="H818" s="2060"/>
      <c r="I818" s="106"/>
      <c r="J818" s="2060"/>
      <c r="K818" s="2060"/>
      <c r="L818" s="2060"/>
      <c r="M818" s="2060"/>
      <c r="N818" s="2060"/>
      <c r="O818" s="2060"/>
      <c r="P818" s="2060"/>
      <c r="Q818" s="2060"/>
      <c r="R818" s="2060"/>
      <c r="S818" s="2060"/>
      <c r="T818" s="255"/>
      <c r="U818" s="255"/>
      <c r="V818" s="103"/>
    </row>
    <row r="819" spans="2:22">
      <c r="B819" s="2060"/>
      <c r="C819" s="2060"/>
      <c r="D819" s="2060"/>
      <c r="E819" s="255"/>
      <c r="H819" s="2060"/>
      <c r="I819" s="106"/>
      <c r="J819" s="2060"/>
      <c r="K819" s="2060"/>
      <c r="L819" s="2060"/>
      <c r="M819" s="2060"/>
      <c r="N819" s="2060"/>
      <c r="O819" s="2060"/>
      <c r="P819" s="2060"/>
      <c r="Q819" s="2060"/>
      <c r="R819" s="2060"/>
      <c r="S819" s="2060"/>
      <c r="T819" s="255"/>
      <c r="U819" s="255"/>
      <c r="V819" s="103"/>
    </row>
    <row r="820" spans="2:22">
      <c r="B820" s="2060"/>
      <c r="C820" s="2060"/>
      <c r="D820" s="2060"/>
      <c r="E820" s="255"/>
      <c r="H820" s="2060"/>
      <c r="I820" s="106"/>
      <c r="J820" s="2060"/>
      <c r="K820" s="2060"/>
      <c r="L820" s="2060"/>
      <c r="M820" s="2060"/>
      <c r="N820" s="2060"/>
      <c r="O820" s="2060"/>
      <c r="P820" s="2060"/>
      <c r="Q820" s="2060"/>
      <c r="R820" s="2060"/>
      <c r="S820" s="2060"/>
      <c r="T820" s="255"/>
      <c r="U820" s="255"/>
      <c r="V820" s="103"/>
    </row>
    <row r="821" spans="2:22">
      <c r="B821" s="2060"/>
      <c r="C821" s="2060"/>
      <c r="D821" s="2060"/>
      <c r="E821" s="255"/>
      <c r="H821" s="2060"/>
      <c r="I821" s="106"/>
      <c r="J821" s="2060"/>
      <c r="K821" s="2060"/>
      <c r="L821" s="2060"/>
      <c r="M821" s="2060"/>
      <c r="N821" s="2060"/>
      <c r="O821" s="2060"/>
      <c r="P821" s="2060"/>
      <c r="Q821" s="2060"/>
      <c r="R821" s="2060"/>
      <c r="S821" s="2060"/>
      <c r="T821" s="255"/>
      <c r="U821" s="255"/>
      <c r="V821" s="103"/>
    </row>
    <row r="822" spans="2:22">
      <c r="B822" s="2060"/>
      <c r="C822" s="2060"/>
      <c r="D822" s="2060"/>
      <c r="E822" s="255"/>
      <c r="H822" s="2060"/>
      <c r="I822" s="106"/>
      <c r="J822" s="2060"/>
      <c r="K822" s="2060"/>
      <c r="L822" s="2060"/>
      <c r="M822" s="2060"/>
      <c r="N822" s="2060"/>
      <c r="O822" s="2060"/>
      <c r="P822" s="2060"/>
      <c r="Q822" s="2060"/>
      <c r="R822" s="2060"/>
      <c r="S822" s="2060"/>
      <c r="T822" s="255"/>
      <c r="U822" s="255"/>
      <c r="V822" s="103"/>
    </row>
    <row r="823" spans="2:22">
      <c r="B823" s="2060"/>
      <c r="C823" s="2060"/>
      <c r="D823" s="2060"/>
      <c r="E823" s="255"/>
      <c r="H823" s="2060"/>
      <c r="I823" s="106"/>
      <c r="J823" s="2060"/>
      <c r="K823" s="2060"/>
      <c r="L823" s="2060"/>
      <c r="M823" s="2060"/>
      <c r="N823" s="2060"/>
      <c r="O823" s="2060"/>
      <c r="P823" s="2060"/>
      <c r="Q823" s="2060"/>
      <c r="R823" s="2060"/>
      <c r="S823" s="2060"/>
      <c r="T823" s="255"/>
      <c r="U823" s="255"/>
      <c r="V823" s="103"/>
    </row>
    <row r="824" spans="2:22">
      <c r="B824" s="2060"/>
      <c r="C824" s="2060"/>
      <c r="D824" s="2060"/>
      <c r="E824" s="255"/>
      <c r="H824" s="2060"/>
      <c r="I824" s="106"/>
      <c r="J824" s="2060"/>
      <c r="K824" s="2060"/>
      <c r="L824" s="2060"/>
      <c r="M824" s="2060"/>
      <c r="N824" s="2060"/>
      <c r="O824" s="2060"/>
      <c r="P824" s="2060"/>
      <c r="Q824" s="2060"/>
      <c r="R824" s="2060"/>
      <c r="S824" s="2060"/>
      <c r="T824" s="255"/>
      <c r="U824" s="255"/>
      <c r="V824" s="103"/>
    </row>
    <row r="825" spans="2:22">
      <c r="B825" s="2060"/>
      <c r="C825" s="2060"/>
      <c r="D825" s="2060"/>
      <c r="E825" s="255"/>
      <c r="H825" s="2060"/>
      <c r="I825" s="106"/>
      <c r="J825" s="2060"/>
      <c r="K825" s="2060"/>
      <c r="L825" s="2060"/>
      <c r="M825" s="2060"/>
      <c r="N825" s="2060"/>
      <c r="O825" s="2060"/>
      <c r="P825" s="2060"/>
      <c r="Q825" s="2060"/>
      <c r="R825" s="2060"/>
      <c r="S825" s="2060"/>
      <c r="T825" s="255"/>
      <c r="U825" s="255"/>
      <c r="V825" s="103"/>
    </row>
    <row r="826" spans="2:22">
      <c r="B826" s="2060"/>
      <c r="C826" s="2060"/>
      <c r="D826" s="2060"/>
      <c r="E826" s="255"/>
      <c r="H826" s="2060"/>
      <c r="I826" s="106"/>
      <c r="J826" s="2060"/>
      <c r="K826" s="2060"/>
      <c r="L826" s="2060"/>
      <c r="M826" s="2060"/>
      <c r="N826" s="2060"/>
      <c r="O826" s="2060"/>
      <c r="P826" s="2060"/>
      <c r="Q826" s="2060"/>
      <c r="R826" s="2060"/>
      <c r="S826" s="2060"/>
      <c r="T826" s="255"/>
      <c r="U826" s="255"/>
      <c r="V826" s="103"/>
    </row>
    <row r="827" spans="2:22">
      <c r="B827" s="2060"/>
      <c r="C827" s="2060"/>
      <c r="D827" s="2060"/>
      <c r="E827" s="255"/>
      <c r="H827" s="2060"/>
      <c r="I827" s="106"/>
      <c r="J827" s="2060"/>
      <c r="K827" s="2060"/>
      <c r="L827" s="2060"/>
      <c r="M827" s="2060"/>
      <c r="N827" s="2060"/>
      <c r="O827" s="2060"/>
      <c r="P827" s="2060"/>
      <c r="Q827" s="2060"/>
      <c r="R827" s="2060"/>
      <c r="S827" s="2060"/>
      <c r="T827" s="255"/>
      <c r="U827" s="255"/>
      <c r="V827" s="103"/>
    </row>
    <row r="828" spans="2:22">
      <c r="B828" s="2060"/>
      <c r="C828" s="2060"/>
      <c r="D828" s="2060"/>
      <c r="E828" s="255"/>
      <c r="H828" s="2060"/>
      <c r="I828" s="106"/>
      <c r="J828" s="2060"/>
      <c r="K828" s="2060"/>
      <c r="L828" s="2060"/>
      <c r="M828" s="2060"/>
      <c r="N828" s="2060"/>
      <c r="O828" s="2060"/>
      <c r="P828" s="2060"/>
      <c r="Q828" s="2060"/>
      <c r="R828" s="2060"/>
      <c r="S828" s="2060"/>
      <c r="T828" s="255"/>
      <c r="U828" s="255"/>
      <c r="V828" s="103"/>
    </row>
    <row r="829" spans="2:22">
      <c r="B829" s="2060"/>
      <c r="C829" s="2060"/>
      <c r="D829" s="2060"/>
      <c r="E829" s="255"/>
      <c r="H829" s="2060"/>
      <c r="I829" s="106"/>
      <c r="J829" s="2060"/>
      <c r="K829" s="2060"/>
      <c r="L829" s="2060"/>
      <c r="M829" s="2060"/>
      <c r="N829" s="2060"/>
      <c r="O829" s="2060"/>
      <c r="P829" s="2060"/>
      <c r="Q829" s="2060"/>
      <c r="R829" s="2060"/>
      <c r="S829" s="2060"/>
      <c r="T829" s="255"/>
      <c r="U829" s="255"/>
      <c r="V829" s="103"/>
    </row>
    <row r="830" spans="2:22">
      <c r="B830" s="2060"/>
      <c r="C830" s="2060"/>
      <c r="D830" s="2060"/>
      <c r="E830" s="255"/>
      <c r="H830" s="2060"/>
      <c r="I830" s="106"/>
      <c r="J830" s="2060"/>
      <c r="K830" s="2060"/>
      <c r="L830" s="2060"/>
      <c r="M830" s="2060"/>
      <c r="N830" s="2060"/>
      <c r="O830" s="2060"/>
      <c r="P830" s="2060"/>
      <c r="Q830" s="2060"/>
      <c r="R830" s="2060"/>
      <c r="S830" s="2060"/>
      <c r="T830" s="255"/>
      <c r="U830" s="255"/>
      <c r="V830" s="103"/>
    </row>
    <row r="831" spans="2:22">
      <c r="B831" s="2060"/>
      <c r="C831" s="2060"/>
      <c r="D831" s="2060"/>
      <c r="E831" s="255"/>
      <c r="H831" s="2060"/>
      <c r="I831" s="106"/>
      <c r="J831" s="2060"/>
      <c r="K831" s="2060"/>
      <c r="L831" s="2060"/>
      <c r="M831" s="2060"/>
      <c r="N831" s="2060"/>
      <c r="O831" s="2060"/>
      <c r="P831" s="2060"/>
      <c r="Q831" s="2060"/>
      <c r="R831" s="2060"/>
      <c r="S831" s="2060"/>
      <c r="T831" s="255"/>
      <c r="U831" s="255"/>
      <c r="V831" s="103"/>
    </row>
    <row r="832" spans="2:22">
      <c r="B832" s="2060"/>
      <c r="C832" s="2060"/>
      <c r="D832" s="2060"/>
      <c r="E832" s="255"/>
      <c r="H832" s="2060"/>
      <c r="I832" s="106"/>
      <c r="J832" s="2060"/>
      <c r="K832" s="2060"/>
      <c r="L832" s="2060"/>
      <c r="M832" s="2060"/>
      <c r="N832" s="2060"/>
      <c r="O832" s="2060"/>
      <c r="P832" s="2060"/>
      <c r="Q832" s="2060"/>
      <c r="R832" s="2060"/>
      <c r="S832" s="2060"/>
      <c r="T832" s="255"/>
      <c r="U832" s="255"/>
      <c r="V832" s="103"/>
    </row>
    <row r="833" spans="2:22">
      <c r="B833" s="2060"/>
      <c r="C833" s="2060"/>
      <c r="D833" s="2060"/>
      <c r="E833" s="255"/>
      <c r="H833" s="2060"/>
      <c r="I833" s="106"/>
      <c r="J833" s="2060"/>
      <c r="K833" s="2060"/>
      <c r="L833" s="2060"/>
      <c r="M833" s="2060"/>
      <c r="N833" s="2060"/>
      <c r="O833" s="2060"/>
      <c r="P833" s="2060"/>
      <c r="Q833" s="2060"/>
      <c r="R833" s="2060"/>
      <c r="S833" s="2060"/>
      <c r="T833" s="255"/>
      <c r="U833" s="255"/>
      <c r="V833" s="103"/>
    </row>
    <row r="834" spans="2:22">
      <c r="B834" s="2060"/>
      <c r="C834" s="2060"/>
      <c r="D834" s="2060"/>
      <c r="E834" s="255"/>
      <c r="H834" s="2060"/>
      <c r="I834" s="106"/>
      <c r="J834" s="2060"/>
      <c r="K834" s="2060"/>
      <c r="L834" s="2060"/>
      <c r="M834" s="2060"/>
      <c r="N834" s="2060"/>
      <c r="O834" s="2060"/>
      <c r="P834" s="2060"/>
      <c r="Q834" s="2060"/>
      <c r="R834" s="2060"/>
      <c r="S834" s="2060"/>
      <c r="T834" s="255"/>
      <c r="U834" s="255"/>
      <c r="V834" s="103"/>
    </row>
    <row r="835" spans="2:22">
      <c r="B835" s="2060"/>
      <c r="C835" s="2060"/>
      <c r="D835" s="2060"/>
      <c r="E835" s="255"/>
      <c r="H835" s="2060"/>
      <c r="I835" s="106"/>
      <c r="J835" s="2060"/>
      <c r="K835" s="2060"/>
      <c r="L835" s="2060"/>
      <c r="M835" s="2060"/>
      <c r="N835" s="2060"/>
      <c r="O835" s="2060"/>
      <c r="P835" s="2060"/>
      <c r="Q835" s="2060"/>
      <c r="R835" s="2060"/>
      <c r="S835" s="2060"/>
      <c r="T835" s="255"/>
      <c r="U835" s="255"/>
      <c r="V835" s="103"/>
    </row>
    <row r="836" spans="2:22">
      <c r="B836" s="2060"/>
      <c r="C836" s="2060"/>
      <c r="D836" s="2060"/>
      <c r="E836" s="255"/>
      <c r="H836" s="2060"/>
      <c r="I836" s="106"/>
      <c r="J836" s="2060"/>
      <c r="K836" s="2060"/>
      <c r="L836" s="2060"/>
      <c r="M836" s="2060"/>
      <c r="N836" s="2060"/>
      <c r="O836" s="2060"/>
      <c r="P836" s="2060"/>
      <c r="Q836" s="2060"/>
      <c r="R836" s="2060"/>
      <c r="S836" s="2060"/>
      <c r="T836" s="255"/>
      <c r="U836" s="255"/>
      <c r="V836" s="103"/>
    </row>
    <row r="837" spans="2:22">
      <c r="B837" s="2060"/>
      <c r="C837" s="2060"/>
      <c r="D837" s="2060"/>
      <c r="E837" s="255"/>
      <c r="H837" s="2060"/>
      <c r="I837" s="106"/>
      <c r="J837" s="2060"/>
      <c r="K837" s="2060"/>
      <c r="L837" s="2060"/>
      <c r="M837" s="2060"/>
      <c r="N837" s="2060"/>
      <c r="O837" s="2060"/>
      <c r="P837" s="2060"/>
      <c r="Q837" s="2060"/>
      <c r="R837" s="2060"/>
      <c r="S837" s="2060"/>
      <c r="T837" s="255"/>
      <c r="U837" s="255"/>
      <c r="V837" s="103"/>
    </row>
    <row r="838" spans="2:22">
      <c r="B838" s="2060"/>
      <c r="C838" s="2060"/>
      <c r="D838" s="2060"/>
      <c r="E838" s="255"/>
      <c r="H838" s="2060"/>
      <c r="I838" s="106"/>
      <c r="J838" s="2060"/>
      <c r="K838" s="2060"/>
      <c r="L838" s="2060"/>
      <c r="M838" s="2060"/>
      <c r="N838" s="2060"/>
      <c r="O838" s="2060"/>
      <c r="P838" s="2060"/>
      <c r="Q838" s="2060"/>
      <c r="R838" s="2060"/>
      <c r="S838" s="2060"/>
      <c r="T838" s="255"/>
      <c r="U838" s="255"/>
      <c r="V838" s="103"/>
    </row>
    <row r="839" spans="2:22">
      <c r="B839" s="2060"/>
      <c r="C839" s="2060"/>
      <c r="D839" s="2060"/>
      <c r="E839" s="255"/>
      <c r="H839" s="2060"/>
      <c r="I839" s="106"/>
      <c r="J839" s="2060"/>
      <c r="K839" s="2060"/>
      <c r="L839" s="2060"/>
      <c r="M839" s="2060"/>
      <c r="N839" s="2060"/>
      <c r="O839" s="2060"/>
      <c r="P839" s="2060"/>
      <c r="Q839" s="2060"/>
      <c r="R839" s="2060"/>
      <c r="S839" s="2060"/>
      <c r="T839" s="255"/>
      <c r="U839" s="255"/>
      <c r="V839" s="103"/>
    </row>
    <row r="840" spans="2:22">
      <c r="B840" s="2060"/>
      <c r="C840" s="2060"/>
      <c r="D840" s="2060"/>
      <c r="E840" s="255"/>
      <c r="H840" s="2060"/>
      <c r="I840" s="106"/>
      <c r="J840" s="2060"/>
      <c r="K840" s="2060"/>
      <c r="L840" s="2060"/>
      <c r="M840" s="2060"/>
      <c r="N840" s="2060"/>
      <c r="O840" s="2060"/>
      <c r="P840" s="2060"/>
      <c r="Q840" s="2060"/>
      <c r="R840" s="2060"/>
      <c r="S840" s="2060"/>
      <c r="T840" s="255"/>
      <c r="U840" s="255"/>
      <c r="V840" s="103"/>
    </row>
    <row r="841" spans="2:22">
      <c r="B841" s="2060"/>
      <c r="C841" s="2060"/>
      <c r="D841" s="2060"/>
      <c r="E841" s="255"/>
      <c r="H841" s="2060"/>
      <c r="I841" s="106"/>
      <c r="J841" s="2060"/>
      <c r="K841" s="2060"/>
      <c r="L841" s="2060"/>
      <c r="M841" s="2060"/>
      <c r="N841" s="2060"/>
      <c r="O841" s="2060"/>
      <c r="P841" s="2060"/>
      <c r="Q841" s="2060"/>
      <c r="R841" s="2060"/>
      <c r="S841" s="2060"/>
      <c r="T841" s="255"/>
      <c r="U841" s="255"/>
      <c r="V841" s="103"/>
    </row>
    <row r="842" spans="2:22">
      <c r="B842" s="2060"/>
      <c r="C842" s="2060"/>
      <c r="D842" s="2060"/>
      <c r="E842" s="255"/>
      <c r="H842" s="2060"/>
      <c r="I842" s="106"/>
      <c r="J842" s="2060"/>
      <c r="K842" s="2060"/>
      <c r="L842" s="2060"/>
      <c r="M842" s="2060"/>
      <c r="N842" s="2060"/>
      <c r="O842" s="2060"/>
      <c r="P842" s="2060"/>
      <c r="Q842" s="2060"/>
      <c r="R842" s="2060"/>
      <c r="S842" s="2060"/>
      <c r="T842" s="255"/>
      <c r="U842" s="255"/>
      <c r="V842" s="103"/>
    </row>
    <row r="843" spans="2:22">
      <c r="B843" s="2060"/>
      <c r="C843" s="2060"/>
      <c r="D843" s="2060"/>
      <c r="E843" s="255"/>
      <c r="H843" s="2060"/>
      <c r="I843" s="106"/>
      <c r="J843" s="2060"/>
      <c r="K843" s="2060"/>
      <c r="L843" s="2060"/>
      <c r="M843" s="2060"/>
      <c r="N843" s="2060"/>
      <c r="O843" s="2060"/>
      <c r="P843" s="2060"/>
      <c r="Q843" s="2060"/>
      <c r="R843" s="2060"/>
      <c r="S843" s="2060"/>
      <c r="T843" s="255"/>
      <c r="U843" s="255"/>
      <c r="V843" s="103"/>
    </row>
    <row r="844" spans="2:22">
      <c r="B844" s="2060"/>
      <c r="C844" s="2060"/>
      <c r="D844" s="2060"/>
      <c r="E844" s="255"/>
      <c r="H844" s="2060"/>
      <c r="I844" s="106"/>
      <c r="J844" s="2060"/>
      <c r="K844" s="2060"/>
      <c r="L844" s="2060"/>
      <c r="M844" s="2060"/>
      <c r="N844" s="2060"/>
      <c r="O844" s="2060"/>
      <c r="P844" s="2060"/>
      <c r="Q844" s="2060"/>
      <c r="R844" s="2060"/>
      <c r="S844" s="2060"/>
      <c r="T844" s="255"/>
      <c r="U844" s="255"/>
      <c r="V844" s="103"/>
    </row>
    <row r="845" spans="2:22">
      <c r="B845" s="2060"/>
      <c r="C845" s="2060"/>
      <c r="D845" s="2060"/>
      <c r="E845" s="255"/>
      <c r="H845" s="2060"/>
      <c r="I845" s="106"/>
      <c r="J845" s="2060"/>
      <c r="K845" s="2060"/>
      <c r="L845" s="2060"/>
      <c r="M845" s="2060"/>
      <c r="N845" s="2060"/>
      <c r="O845" s="2060"/>
      <c r="P845" s="2060"/>
      <c r="Q845" s="2060"/>
      <c r="R845" s="2060"/>
      <c r="S845" s="2060"/>
      <c r="T845" s="255"/>
      <c r="U845" s="255"/>
      <c r="V845" s="103"/>
    </row>
    <row r="846" spans="2:22">
      <c r="B846" s="2060"/>
      <c r="C846" s="2060"/>
      <c r="D846" s="2060"/>
      <c r="E846" s="255"/>
      <c r="H846" s="2060"/>
      <c r="I846" s="106"/>
      <c r="J846" s="2060"/>
      <c r="K846" s="2060"/>
      <c r="L846" s="2060"/>
      <c r="M846" s="2060"/>
      <c r="N846" s="2060"/>
      <c r="O846" s="2060"/>
      <c r="P846" s="2060"/>
      <c r="Q846" s="2060"/>
      <c r="R846" s="2060"/>
      <c r="S846" s="2060"/>
      <c r="T846" s="255"/>
      <c r="U846" s="255"/>
      <c r="V846" s="103"/>
    </row>
    <row r="847" spans="2:22">
      <c r="B847" s="2060"/>
      <c r="C847" s="2060"/>
      <c r="D847" s="2060"/>
      <c r="E847" s="255"/>
      <c r="H847" s="2060"/>
      <c r="I847" s="106"/>
      <c r="J847" s="2060"/>
      <c r="K847" s="2060"/>
      <c r="L847" s="2060"/>
      <c r="M847" s="2060"/>
      <c r="N847" s="2060"/>
      <c r="O847" s="2060"/>
      <c r="P847" s="2060"/>
      <c r="Q847" s="2060"/>
      <c r="R847" s="2060"/>
      <c r="S847" s="2060"/>
      <c r="T847" s="255"/>
      <c r="U847" s="255"/>
      <c r="V847" s="103"/>
    </row>
    <row r="848" spans="2:22">
      <c r="B848" s="2060"/>
      <c r="C848" s="2060"/>
      <c r="D848" s="2060"/>
      <c r="E848" s="255"/>
      <c r="H848" s="2060"/>
      <c r="I848" s="106"/>
      <c r="J848" s="2060"/>
      <c r="K848" s="2060"/>
      <c r="L848" s="2060"/>
      <c r="M848" s="2060"/>
      <c r="N848" s="2060"/>
      <c r="O848" s="2060"/>
      <c r="P848" s="2060"/>
      <c r="Q848" s="2060"/>
      <c r="R848" s="2060"/>
      <c r="S848" s="2060"/>
      <c r="T848" s="255"/>
      <c r="U848" s="255"/>
      <c r="V848" s="103"/>
    </row>
    <row r="849" spans="2:22">
      <c r="B849" s="2060"/>
      <c r="C849" s="2060"/>
      <c r="D849" s="2060"/>
      <c r="E849" s="255"/>
      <c r="H849" s="2060"/>
      <c r="I849" s="106"/>
      <c r="J849" s="2060"/>
      <c r="K849" s="2060"/>
      <c r="L849" s="2060"/>
      <c r="M849" s="2060"/>
      <c r="N849" s="2060"/>
      <c r="O849" s="2060"/>
      <c r="P849" s="2060"/>
      <c r="Q849" s="2060"/>
      <c r="R849" s="2060"/>
      <c r="S849" s="2060"/>
      <c r="T849" s="255"/>
      <c r="U849" s="255"/>
      <c r="V849" s="103"/>
    </row>
    <row r="850" spans="2:22">
      <c r="B850" s="2060"/>
      <c r="C850" s="2060"/>
      <c r="D850" s="2060"/>
      <c r="E850" s="255"/>
      <c r="H850" s="2060"/>
      <c r="I850" s="106"/>
      <c r="J850" s="2060"/>
      <c r="K850" s="2060"/>
      <c r="L850" s="2060"/>
      <c r="M850" s="2060"/>
      <c r="N850" s="2060"/>
      <c r="O850" s="2060"/>
      <c r="P850" s="2060"/>
      <c r="Q850" s="2060"/>
      <c r="R850" s="2060"/>
      <c r="S850" s="2060"/>
      <c r="T850" s="255"/>
      <c r="U850" s="255"/>
      <c r="V850" s="103"/>
    </row>
    <row r="851" spans="2:22">
      <c r="B851" s="2060"/>
      <c r="C851" s="2060"/>
      <c r="D851" s="2060"/>
      <c r="E851" s="255"/>
      <c r="H851" s="2060"/>
      <c r="I851" s="106"/>
      <c r="J851" s="2060"/>
      <c r="K851" s="2060"/>
      <c r="L851" s="2060"/>
      <c r="M851" s="2060"/>
      <c r="N851" s="2060"/>
      <c r="O851" s="2060"/>
      <c r="P851" s="2060"/>
      <c r="Q851" s="2060"/>
      <c r="R851" s="2060"/>
      <c r="S851" s="2060"/>
      <c r="T851" s="255"/>
      <c r="U851" s="255"/>
      <c r="V851" s="103"/>
    </row>
    <row r="852" spans="2:22">
      <c r="B852" s="2060"/>
      <c r="C852" s="2060"/>
      <c r="D852" s="2060"/>
      <c r="E852" s="255"/>
      <c r="H852" s="2060"/>
      <c r="I852" s="106"/>
      <c r="J852" s="2060"/>
      <c r="K852" s="2060"/>
      <c r="L852" s="2060"/>
      <c r="M852" s="2060"/>
      <c r="N852" s="2060"/>
      <c r="O852" s="2060"/>
      <c r="P852" s="2060"/>
      <c r="Q852" s="2060"/>
      <c r="R852" s="2060"/>
      <c r="S852" s="2060"/>
      <c r="T852" s="255"/>
      <c r="U852" s="255"/>
      <c r="V852" s="103"/>
    </row>
    <row r="853" spans="2:22">
      <c r="B853" s="2060"/>
      <c r="C853" s="2060"/>
      <c r="D853" s="2060"/>
      <c r="E853" s="255"/>
      <c r="H853" s="2060"/>
      <c r="I853" s="106"/>
      <c r="J853" s="2060"/>
      <c r="K853" s="2060"/>
      <c r="L853" s="2060"/>
      <c r="M853" s="2060"/>
      <c r="N853" s="2060"/>
      <c r="O853" s="2060"/>
      <c r="P853" s="2060"/>
      <c r="Q853" s="2060"/>
      <c r="R853" s="2060"/>
      <c r="S853" s="2060"/>
      <c r="T853" s="255"/>
      <c r="U853" s="255"/>
      <c r="V853" s="103"/>
    </row>
    <row r="854" spans="2:22">
      <c r="B854" s="2060"/>
      <c r="C854" s="2060"/>
      <c r="D854" s="2060"/>
      <c r="E854" s="255"/>
      <c r="H854" s="2060"/>
      <c r="I854" s="106"/>
      <c r="J854" s="2060"/>
      <c r="K854" s="2060"/>
      <c r="L854" s="2060"/>
      <c r="M854" s="2060"/>
      <c r="N854" s="2060"/>
      <c r="O854" s="2060"/>
      <c r="P854" s="2060"/>
      <c r="Q854" s="2060"/>
      <c r="R854" s="2060"/>
      <c r="S854" s="2060"/>
      <c r="T854" s="255"/>
      <c r="U854" s="255"/>
      <c r="V854" s="103"/>
    </row>
    <row r="855" spans="2:22">
      <c r="B855" s="2060"/>
      <c r="C855" s="2060"/>
      <c r="D855" s="2060"/>
      <c r="E855" s="255"/>
      <c r="H855" s="2060"/>
      <c r="I855" s="106"/>
      <c r="J855" s="2060"/>
      <c r="K855" s="2060"/>
      <c r="L855" s="2060"/>
      <c r="M855" s="2060"/>
      <c r="N855" s="2060"/>
      <c r="O855" s="2060"/>
      <c r="P855" s="2060"/>
      <c r="Q855" s="2060"/>
      <c r="R855" s="2060"/>
      <c r="S855" s="2060"/>
      <c r="T855" s="255"/>
      <c r="U855" s="255"/>
      <c r="V855" s="103"/>
    </row>
    <row r="856" spans="2:22">
      <c r="B856" s="2060"/>
      <c r="C856" s="2060"/>
      <c r="D856" s="2060"/>
      <c r="E856" s="255"/>
      <c r="H856" s="2060"/>
      <c r="I856" s="106"/>
      <c r="J856" s="2060"/>
      <c r="K856" s="2060"/>
      <c r="L856" s="2060"/>
      <c r="M856" s="2060"/>
      <c r="N856" s="2060"/>
      <c r="O856" s="2060"/>
      <c r="P856" s="2060"/>
      <c r="Q856" s="2060"/>
      <c r="R856" s="2060"/>
      <c r="S856" s="2060"/>
      <c r="T856" s="255"/>
      <c r="U856" s="255"/>
      <c r="V856" s="103"/>
    </row>
    <row r="857" spans="2:22">
      <c r="B857" s="2060"/>
      <c r="C857" s="2060"/>
      <c r="D857" s="2060"/>
      <c r="E857" s="255"/>
      <c r="H857" s="2060"/>
      <c r="I857" s="106"/>
      <c r="J857" s="2060"/>
      <c r="K857" s="2060"/>
      <c r="L857" s="2060"/>
      <c r="M857" s="2060"/>
      <c r="N857" s="2060"/>
      <c r="O857" s="2060"/>
      <c r="P857" s="2060"/>
      <c r="Q857" s="2060"/>
      <c r="R857" s="2060"/>
      <c r="S857" s="2060"/>
      <c r="T857" s="255"/>
      <c r="U857" s="255"/>
      <c r="V857" s="103"/>
    </row>
    <row r="858" spans="2:22">
      <c r="B858" s="2060"/>
      <c r="C858" s="2060"/>
      <c r="D858" s="2060"/>
      <c r="E858" s="255"/>
      <c r="H858" s="2060"/>
      <c r="I858" s="106"/>
      <c r="J858" s="2060"/>
      <c r="K858" s="2060"/>
      <c r="L858" s="2060"/>
      <c r="M858" s="2060"/>
      <c r="N858" s="2060"/>
      <c r="O858" s="2060"/>
      <c r="P858" s="2060"/>
      <c r="Q858" s="2060"/>
      <c r="R858" s="2060"/>
      <c r="S858" s="2060"/>
      <c r="T858" s="255"/>
      <c r="U858" s="255"/>
      <c r="V858" s="103"/>
    </row>
    <row r="859" spans="2:22">
      <c r="B859" s="2060"/>
      <c r="C859" s="2060"/>
      <c r="D859" s="2060"/>
      <c r="E859" s="255"/>
      <c r="H859" s="2060"/>
      <c r="I859" s="106"/>
      <c r="J859" s="2060"/>
      <c r="K859" s="2060"/>
      <c r="L859" s="2060"/>
      <c r="M859" s="2060"/>
      <c r="N859" s="2060"/>
      <c r="O859" s="2060"/>
      <c r="P859" s="2060"/>
      <c r="Q859" s="2060"/>
      <c r="R859" s="2060"/>
      <c r="S859" s="2060"/>
      <c r="T859" s="255"/>
      <c r="U859" s="255"/>
      <c r="V859" s="103"/>
    </row>
    <row r="860" spans="2:22">
      <c r="B860" s="2060"/>
      <c r="C860" s="2060"/>
      <c r="D860" s="2060"/>
      <c r="E860" s="255"/>
      <c r="H860" s="2060"/>
      <c r="I860" s="106"/>
      <c r="J860" s="2060"/>
      <c r="K860" s="2060"/>
      <c r="L860" s="2060"/>
      <c r="M860" s="2060"/>
      <c r="N860" s="2060"/>
      <c r="O860" s="2060"/>
      <c r="P860" s="2060"/>
      <c r="Q860" s="2060"/>
      <c r="R860" s="2060"/>
      <c r="S860" s="2060"/>
      <c r="T860" s="255"/>
      <c r="U860" s="255"/>
      <c r="V860" s="103"/>
    </row>
    <row r="861" spans="2:22">
      <c r="B861" s="2060"/>
      <c r="C861" s="2060"/>
      <c r="D861" s="2060"/>
      <c r="E861" s="255"/>
      <c r="H861" s="2060"/>
      <c r="I861" s="106"/>
      <c r="J861" s="2060"/>
      <c r="K861" s="2060"/>
      <c r="L861" s="2060"/>
      <c r="M861" s="2060"/>
      <c r="N861" s="2060"/>
      <c r="O861" s="2060"/>
      <c r="P861" s="2060"/>
      <c r="Q861" s="2060"/>
      <c r="R861" s="2060"/>
      <c r="S861" s="2060"/>
      <c r="T861" s="255"/>
      <c r="U861" s="255"/>
      <c r="V861" s="103"/>
    </row>
    <row r="862" spans="2:22">
      <c r="B862" s="2060"/>
      <c r="C862" s="2060"/>
      <c r="D862" s="2060"/>
      <c r="E862" s="255"/>
      <c r="H862" s="2060"/>
      <c r="I862" s="106"/>
      <c r="J862" s="2060"/>
      <c r="K862" s="2060"/>
      <c r="L862" s="2060"/>
      <c r="M862" s="2060"/>
      <c r="N862" s="2060"/>
      <c r="O862" s="2060"/>
      <c r="P862" s="2060"/>
      <c r="Q862" s="2060"/>
      <c r="R862" s="2060"/>
      <c r="S862" s="2060"/>
      <c r="T862" s="255"/>
      <c r="U862" s="255"/>
      <c r="V862" s="103"/>
    </row>
    <row r="863" spans="2:22">
      <c r="B863" s="2060"/>
      <c r="C863" s="2060"/>
      <c r="D863" s="2060"/>
      <c r="E863" s="255"/>
      <c r="H863" s="2060"/>
      <c r="I863" s="106"/>
      <c r="J863" s="2060"/>
      <c r="K863" s="2060"/>
      <c r="L863" s="2060"/>
      <c r="M863" s="2060"/>
      <c r="N863" s="2060"/>
      <c r="O863" s="2060"/>
      <c r="P863" s="2060"/>
      <c r="Q863" s="2060"/>
      <c r="R863" s="2060"/>
      <c r="S863" s="2060"/>
      <c r="T863" s="255"/>
      <c r="U863" s="255"/>
      <c r="V863" s="103"/>
    </row>
    <row r="864" spans="2:22">
      <c r="B864" s="2060"/>
      <c r="C864" s="2060"/>
      <c r="D864" s="2060"/>
      <c r="E864" s="255"/>
      <c r="H864" s="2060"/>
      <c r="I864" s="106"/>
      <c r="J864" s="2060"/>
      <c r="K864" s="2060"/>
      <c r="L864" s="2060"/>
      <c r="M864" s="2060"/>
      <c r="N864" s="2060"/>
      <c r="O864" s="2060"/>
      <c r="P864" s="2060"/>
      <c r="Q864" s="2060"/>
      <c r="R864" s="2060"/>
      <c r="S864" s="2060"/>
      <c r="T864" s="255"/>
      <c r="U864" s="255"/>
      <c r="V864" s="103"/>
    </row>
    <row r="865" spans="2:22">
      <c r="B865" s="2060"/>
      <c r="C865" s="2060"/>
      <c r="D865" s="2060"/>
      <c r="E865" s="255"/>
      <c r="H865" s="2060"/>
      <c r="I865" s="106"/>
      <c r="J865" s="2060"/>
      <c r="K865" s="2060"/>
      <c r="L865" s="2060"/>
      <c r="M865" s="2060"/>
      <c r="N865" s="2060"/>
      <c r="O865" s="2060"/>
      <c r="P865" s="2060"/>
      <c r="Q865" s="2060"/>
      <c r="R865" s="2060"/>
      <c r="S865" s="2060"/>
      <c r="T865" s="255"/>
      <c r="U865" s="255"/>
      <c r="V865" s="103"/>
    </row>
    <row r="866" spans="2:22">
      <c r="B866" s="2060"/>
      <c r="C866" s="2060"/>
      <c r="D866" s="2060"/>
      <c r="E866" s="255"/>
      <c r="H866" s="2060"/>
      <c r="I866" s="106"/>
      <c r="J866" s="2060"/>
      <c r="K866" s="2060"/>
      <c r="L866" s="2060"/>
      <c r="M866" s="2060"/>
      <c r="N866" s="2060"/>
      <c r="O866" s="2060"/>
      <c r="P866" s="2060"/>
      <c r="Q866" s="2060"/>
      <c r="R866" s="2060"/>
      <c r="S866" s="2060"/>
      <c r="T866" s="255"/>
      <c r="U866" s="255"/>
      <c r="V866" s="103"/>
    </row>
    <row r="867" spans="2:22">
      <c r="B867" s="2060"/>
      <c r="C867" s="2060"/>
      <c r="D867" s="2060"/>
      <c r="E867" s="255"/>
      <c r="H867" s="2060"/>
      <c r="I867" s="106"/>
      <c r="J867" s="2060"/>
      <c r="K867" s="2060"/>
      <c r="L867" s="2060"/>
      <c r="M867" s="2060"/>
      <c r="N867" s="2060"/>
      <c r="O867" s="2060"/>
      <c r="P867" s="2060"/>
      <c r="Q867" s="2060"/>
      <c r="R867" s="2060"/>
      <c r="S867" s="2060"/>
      <c r="T867" s="255"/>
      <c r="U867" s="255"/>
      <c r="V867" s="103"/>
    </row>
    <row r="868" spans="2:22">
      <c r="B868" s="2060"/>
      <c r="C868" s="2060"/>
      <c r="D868" s="2060"/>
      <c r="E868" s="255"/>
      <c r="H868" s="2060"/>
      <c r="I868" s="106"/>
      <c r="J868" s="2060"/>
      <c r="K868" s="2060"/>
      <c r="L868" s="2060"/>
      <c r="M868" s="2060"/>
      <c r="N868" s="2060"/>
      <c r="O868" s="2060"/>
      <c r="P868" s="2060"/>
      <c r="Q868" s="2060"/>
      <c r="R868" s="2060"/>
      <c r="S868" s="2060"/>
      <c r="T868" s="255"/>
      <c r="U868" s="255"/>
      <c r="V868" s="103"/>
    </row>
    <row r="869" spans="2:22">
      <c r="B869" s="2060"/>
      <c r="C869" s="2060"/>
      <c r="D869" s="2060"/>
      <c r="E869" s="255"/>
      <c r="H869" s="2060"/>
      <c r="I869" s="106"/>
      <c r="J869" s="2060"/>
      <c r="K869" s="2060"/>
      <c r="L869" s="2060"/>
      <c r="M869" s="2060"/>
      <c r="N869" s="2060"/>
      <c r="O869" s="2060"/>
      <c r="P869" s="2060"/>
      <c r="Q869" s="2060"/>
      <c r="R869" s="2060"/>
      <c r="S869" s="2060"/>
      <c r="T869" s="255"/>
      <c r="U869" s="255"/>
      <c r="V869" s="103"/>
    </row>
    <row r="870" spans="2:22">
      <c r="B870" s="2060"/>
      <c r="C870" s="2060"/>
      <c r="D870" s="2060"/>
      <c r="E870" s="255"/>
      <c r="H870" s="2060"/>
      <c r="I870" s="106"/>
      <c r="J870" s="2060"/>
      <c r="K870" s="2060"/>
      <c r="L870" s="2060"/>
      <c r="M870" s="2060"/>
      <c r="N870" s="2060"/>
      <c r="O870" s="2060"/>
      <c r="P870" s="2060"/>
      <c r="Q870" s="2060"/>
      <c r="R870" s="2060"/>
      <c r="S870" s="2060"/>
      <c r="T870" s="255"/>
      <c r="U870" s="255"/>
      <c r="V870" s="103"/>
    </row>
    <row r="871" spans="2:22">
      <c r="B871" s="2060"/>
      <c r="C871" s="2060"/>
      <c r="D871" s="2060"/>
      <c r="E871" s="255"/>
      <c r="H871" s="2060"/>
      <c r="I871" s="106"/>
      <c r="J871" s="2060"/>
      <c r="K871" s="2060"/>
      <c r="L871" s="2060"/>
      <c r="M871" s="2060"/>
      <c r="N871" s="2060"/>
      <c r="O871" s="2060"/>
      <c r="P871" s="2060"/>
      <c r="Q871" s="2060"/>
      <c r="R871" s="2060"/>
      <c r="S871" s="2060"/>
      <c r="T871" s="255"/>
      <c r="U871" s="255"/>
      <c r="V871" s="103"/>
    </row>
    <row r="872" spans="2:22">
      <c r="B872" s="2060"/>
      <c r="C872" s="2060"/>
      <c r="D872" s="2060"/>
      <c r="E872" s="255"/>
      <c r="H872" s="2060"/>
      <c r="I872" s="106"/>
      <c r="J872" s="2060"/>
      <c r="K872" s="2060"/>
      <c r="L872" s="2060"/>
      <c r="M872" s="2060"/>
      <c r="N872" s="2060"/>
      <c r="O872" s="2060"/>
      <c r="P872" s="2060"/>
      <c r="Q872" s="2060"/>
      <c r="R872" s="2060"/>
      <c r="S872" s="2060"/>
      <c r="T872" s="255"/>
      <c r="U872" s="255"/>
      <c r="V872" s="103"/>
    </row>
    <row r="873" spans="2:22">
      <c r="B873" s="2060"/>
      <c r="C873" s="2060"/>
      <c r="D873" s="2060"/>
      <c r="E873" s="255"/>
      <c r="H873" s="2060"/>
      <c r="I873" s="106"/>
      <c r="J873" s="2060"/>
      <c r="K873" s="2060"/>
      <c r="L873" s="2060"/>
      <c r="M873" s="2060"/>
      <c r="N873" s="2060"/>
      <c r="O873" s="2060"/>
      <c r="P873" s="2060"/>
      <c r="Q873" s="2060"/>
      <c r="R873" s="2060"/>
      <c r="S873" s="2060"/>
      <c r="T873" s="255"/>
      <c r="U873" s="255"/>
      <c r="V873" s="103"/>
    </row>
    <row r="874" spans="2:22">
      <c r="B874" s="2060"/>
      <c r="C874" s="2060"/>
      <c r="D874" s="2060"/>
      <c r="E874" s="255"/>
      <c r="H874" s="2060"/>
      <c r="I874" s="106"/>
      <c r="J874" s="2060"/>
      <c r="K874" s="2060"/>
      <c r="L874" s="2060"/>
      <c r="M874" s="2060"/>
      <c r="N874" s="2060"/>
      <c r="O874" s="2060"/>
      <c r="P874" s="2060"/>
      <c r="Q874" s="2060"/>
      <c r="R874" s="2060"/>
      <c r="S874" s="2060"/>
      <c r="T874" s="255"/>
      <c r="U874" s="255"/>
      <c r="V874" s="103"/>
    </row>
    <row r="875" spans="2:22">
      <c r="B875" s="2060"/>
      <c r="C875" s="2060"/>
      <c r="D875" s="2060"/>
      <c r="E875" s="255"/>
      <c r="H875" s="2060"/>
      <c r="I875" s="106"/>
      <c r="J875" s="2060"/>
      <c r="K875" s="2060"/>
      <c r="L875" s="2060"/>
      <c r="M875" s="2060"/>
      <c r="N875" s="2060"/>
      <c r="O875" s="2060"/>
      <c r="P875" s="2060"/>
      <c r="Q875" s="2060"/>
      <c r="R875" s="2060"/>
      <c r="S875" s="2060"/>
      <c r="T875" s="255"/>
      <c r="U875" s="255"/>
      <c r="V875" s="103"/>
    </row>
    <row r="876" spans="2:22">
      <c r="B876" s="2060"/>
      <c r="C876" s="2060"/>
      <c r="D876" s="2060"/>
      <c r="E876" s="255"/>
      <c r="H876" s="2060"/>
      <c r="I876" s="106"/>
      <c r="J876" s="2060"/>
      <c r="K876" s="2060"/>
      <c r="L876" s="2060"/>
      <c r="M876" s="2060"/>
      <c r="N876" s="2060"/>
      <c r="O876" s="2060"/>
      <c r="P876" s="2060"/>
      <c r="Q876" s="2060"/>
      <c r="R876" s="2060"/>
      <c r="S876" s="2060"/>
      <c r="T876" s="255"/>
      <c r="U876" s="255"/>
      <c r="V876" s="103"/>
    </row>
    <row r="877" spans="2:22">
      <c r="B877" s="2060"/>
      <c r="C877" s="2060"/>
      <c r="D877" s="2060"/>
      <c r="E877" s="255"/>
      <c r="H877" s="2060"/>
      <c r="I877" s="106"/>
      <c r="J877" s="2060"/>
      <c r="K877" s="2060"/>
      <c r="L877" s="2060"/>
      <c r="M877" s="2060"/>
      <c r="N877" s="2060"/>
      <c r="O877" s="2060"/>
      <c r="P877" s="2060"/>
      <c r="Q877" s="2060"/>
      <c r="R877" s="2060"/>
      <c r="S877" s="2060"/>
      <c r="T877" s="255"/>
      <c r="U877" s="255"/>
      <c r="V877" s="103"/>
    </row>
    <row r="878" spans="2:22">
      <c r="B878" s="2060"/>
      <c r="C878" s="2060"/>
      <c r="D878" s="2060"/>
      <c r="E878" s="255"/>
      <c r="H878" s="2060"/>
      <c r="I878" s="106"/>
      <c r="J878" s="2060"/>
      <c r="K878" s="2060"/>
      <c r="L878" s="2060"/>
      <c r="M878" s="2060"/>
      <c r="N878" s="2060"/>
      <c r="O878" s="2060"/>
      <c r="P878" s="2060"/>
      <c r="Q878" s="2060"/>
      <c r="R878" s="2060"/>
      <c r="S878" s="2060"/>
      <c r="T878" s="255"/>
      <c r="U878" s="255"/>
      <c r="V878" s="103"/>
    </row>
    <row r="879" spans="2:22">
      <c r="B879" s="2060"/>
      <c r="C879" s="2060"/>
      <c r="D879" s="2060"/>
      <c r="E879" s="255"/>
      <c r="H879" s="2060"/>
      <c r="I879" s="106"/>
      <c r="J879" s="2060"/>
      <c r="K879" s="2060"/>
      <c r="L879" s="2060"/>
      <c r="M879" s="2060"/>
      <c r="N879" s="2060"/>
      <c r="O879" s="2060"/>
      <c r="P879" s="2060"/>
      <c r="Q879" s="2060"/>
      <c r="R879" s="2060"/>
      <c r="S879" s="2060"/>
      <c r="T879" s="255"/>
      <c r="U879" s="255"/>
      <c r="V879" s="103"/>
    </row>
    <row r="880" spans="2:22">
      <c r="B880" s="2060"/>
      <c r="C880" s="2060"/>
      <c r="D880" s="2060"/>
      <c r="E880" s="255"/>
      <c r="H880" s="2060"/>
      <c r="I880" s="106"/>
      <c r="J880" s="2060"/>
      <c r="K880" s="2060"/>
      <c r="L880" s="2060"/>
      <c r="M880" s="2060"/>
      <c r="N880" s="2060"/>
      <c r="O880" s="2060"/>
      <c r="P880" s="2060"/>
      <c r="Q880" s="2060"/>
      <c r="R880" s="2060"/>
      <c r="S880" s="2060"/>
      <c r="T880" s="255"/>
      <c r="U880" s="255"/>
      <c r="V880" s="103"/>
    </row>
    <row r="881" spans="2:22">
      <c r="B881" s="2060"/>
      <c r="C881" s="2060"/>
      <c r="D881" s="2060"/>
      <c r="E881" s="255"/>
      <c r="H881" s="2060"/>
      <c r="I881" s="106"/>
      <c r="J881" s="2060"/>
      <c r="K881" s="2060"/>
      <c r="L881" s="2060"/>
      <c r="M881" s="2060"/>
      <c r="N881" s="2060"/>
      <c r="O881" s="2060"/>
      <c r="P881" s="2060"/>
      <c r="Q881" s="2060"/>
      <c r="R881" s="2060"/>
      <c r="S881" s="2060"/>
      <c r="T881" s="255"/>
      <c r="U881" s="255"/>
      <c r="V881" s="103"/>
    </row>
    <row r="882" spans="2:22">
      <c r="B882" s="2060"/>
      <c r="C882" s="2060"/>
      <c r="D882" s="2060"/>
      <c r="E882" s="255"/>
      <c r="H882" s="2060"/>
      <c r="I882" s="106"/>
      <c r="J882" s="2060"/>
      <c r="K882" s="2060"/>
      <c r="L882" s="2060"/>
      <c r="M882" s="2060"/>
      <c r="N882" s="2060"/>
      <c r="O882" s="2060"/>
      <c r="P882" s="2060"/>
      <c r="Q882" s="2060"/>
      <c r="R882" s="2060"/>
      <c r="S882" s="2060"/>
      <c r="T882" s="255"/>
      <c r="U882" s="255"/>
      <c r="V882" s="103"/>
    </row>
    <row r="883" spans="2:22">
      <c r="B883" s="2060"/>
      <c r="C883" s="2060"/>
      <c r="D883" s="2060"/>
      <c r="E883" s="255"/>
      <c r="H883" s="2060"/>
      <c r="I883" s="106"/>
      <c r="J883" s="2060"/>
      <c r="K883" s="2060"/>
      <c r="L883" s="2060"/>
      <c r="M883" s="2060"/>
      <c r="N883" s="2060"/>
      <c r="O883" s="2060"/>
      <c r="P883" s="2060"/>
      <c r="Q883" s="2060"/>
      <c r="R883" s="2060"/>
      <c r="S883" s="2060"/>
      <c r="T883" s="255"/>
      <c r="U883" s="255"/>
      <c r="V883" s="103"/>
    </row>
    <row r="884" spans="2:22">
      <c r="B884" s="2060"/>
      <c r="C884" s="2060"/>
      <c r="D884" s="2060"/>
      <c r="E884" s="255"/>
      <c r="H884" s="2060"/>
      <c r="I884" s="106"/>
      <c r="J884" s="2060"/>
      <c r="K884" s="2060"/>
      <c r="L884" s="2060"/>
      <c r="M884" s="2060"/>
      <c r="N884" s="2060"/>
      <c r="O884" s="2060"/>
      <c r="P884" s="2060"/>
      <c r="Q884" s="2060"/>
      <c r="R884" s="2060"/>
      <c r="S884" s="2060"/>
      <c r="T884" s="255"/>
      <c r="U884" s="255"/>
      <c r="V884" s="103"/>
    </row>
    <row r="885" spans="2:22">
      <c r="B885" s="2060"/>
      <c r="C885" s="2060"/>
      <c r="D885" s="2060"/>
      <c r="E885" s="255"/>
      <c r="H885" s="2060"/>
      <c r="I885" s="106"/>
      <c r="J885" s="2060"/>
      <c r="K885" s="2060"/>
      <c r="L885" s="2060"/>
      <c r="M885" s="2060"/>
      <c r="N885" s="2060"/>
      <c r="O885" s="2060"/>
      <c r="P885" s="2060"/>
      <c r="Q885" s="2060"/>
      <c r="R885" s="2060"/>
      <c r="S885" s="2060"/>
      <c r="T885" s="255"/>
      <c r="U885" s="255"/>
      <c r="V885" s="103"/>
    </row>
    <row r="886" spans="2:22">
      <c r="B886" s="2060"/>
      <c r="C886" s="2060"/>
      <c r="D886" s="2060"/>
      <c r="E886" s="255"/>
      <c r="H886" s="2060"/>
      <c r="I886" s="106"/>
      <c r="J886" s="2060"/>
      <c r="K886" s="2060"/>
      <c r="L886" s="2060"/>
      <c r="M886" s="2060"/>
      <c r="N886" s="2060"/>
      <c r="O886" s="2060"/>
      <c r="P886" s="2060"/>
      <c r="Q886" s="2060"/>
      <c r="R886" s="2060"/>
      <c r="S886" s="2060"/>
      <c r="T886" s="255"/>
      <c r="U886" s="255"/>
      <c r="V886" s="103"/>
    </row>
    <row r="887" spans="2:22">
      <c r="B887" s="2060"/>
      <c r="C887" s="2060"/>
      <c r="D887" s="2060"/>
      <c r="E887" s="255"/>
      <c r="H887" s="2060"/>
      <c r="I887" s="106"/>
      <c r="J887" s="2060"/>
      <c r="K887" s="2060"/>
      <c r="L887" s="2060"/>
      <c r="M887" s="2060"/>
      <c r="N887" s="2060"/>
      <c r="O887" s="2060"/>
      <c r="P887" s="2060"/>
      <c r="Q887" s="2060"/>
      <c r="R887" s="2060"/>
      <c r="S887" s="2060"/>
      <c r="T887" s="255"/>
      <c r="U887" s="255"/>
      <c r="V887" s="103"/>
    </row>
    <row r="888" spans="2:22">
      <c r="B888" s="2060"/>
      <c r="C888" s="2060"/>
      <c r="D888" s="2060"/>
      <c r="E888" s="255"/>
      <c r="H888" s="2060"/>
      <c r="I888" s="106"/>
      <c r="J888" s="2060"/>
      <c r="K888" s="2060"/>
      <c r="L888" s="2060"/>
      <c r="M888" s="2060"/>
      <c r="N888" s="2060"/>
      <c r="O888" s="2060"/>
      <c r="P888" s="2060"/>
      <c r="Q888" s="2060"/>
      <c r="R888" s="2060"/>
      <c r="S888" s="2060"/>
      <c r="T888" s="255"/>
      <c r="U888" s="255"/>
      <c r="V888" s="103"/>
    </row>
    <row r="889" spans="2:22">
      <c r="B889" s="2060"/>
      <c r="C889" s="2060"/>
      <c r="D889" s="2060"/>
      <c r="E889" s="255"/>
      <c r="H889" s="2060"/>
      <c r="I889" s="106"/>
      <c r="J889" s="2060"/>
      <c r="K889" s="2060"/>
      <c r="L889" s="2060"/>
      <c r="M889" s="2060"/>
      <c r="N889" s="2060"/>
      <c r="O889" s="2060"/>
      <c r="P889" s="2060"/>
      <c r="Q889" s="2060"/>
      <c r="R889" s="2060"/>
      <c r="S889" s="2060"/>
      <c r="T889" s="255"/>
      <c r="U889" s="255"/>
      <c r="V889" s="103"/>
    </row>
    <row r="890" spans="2:22">
      <c r="B890" s="2060"/>
      <c r="C890" s="2060"/>
      <c r="D890" s="2060"/>
      <c r="E890" s="255"/>
      <c r="H890" s="2060"/>
      <c r="I890" s="106"/>
      <c r="J890" s="2060"/>
      <c r="K890" s="2060"/>
      <c r="L890" s="2060"/>
      <c r="M890" s="2060"/>
      <c r="N890" s="2060"/>
      <c r="O890" s="2060"/>
      <c r="P890" s="2060"/>
      <c r="Q890" s="2060"/>
      <c r="R890" s="2060"/>
      <c r="S890" s="2060"/>
      <c r="T890" s="255"/>
      <c r="U890" s="255"/>
      <c r="V890" s="103"/>
    </row>
    <row r="891" spans="2:22">
      <c r="B891" s="2060"/>
      <c r="C891" s="2060"/>
      <c r="D891" s="2060"/>
      <c r="E891" s="255"/>
      <c r="H891" s="2060"/>
      <c r="I891" s="106"/>
      <c r="J891" s="2060"/>
      <c r="K891" s="2060"/>
      <c r="L891" s="2060"/>
      <c r="M891" s="2060"/>
      <c r="N891" s="2060"/>
      <c r="O891" s="2060"/>
      <c r="P891" s="2060"/>
      <c r="Q891" s="2060"/>
      <c r="R891" s="2060"/>
      <c r="S891" s="2060"/>
      <c r="T891" s="255"/>
      <c r="U891" s="255"/>
      <c r="V891" s="103"/>
    </row>
    <row r="892" spans="2:22">
      <c r="B892" s="2060"/>
      <c r="C892" s="2060"/>
      <c r="D892" s="2060"/>
      <c r="E892" s="255"/>
      <c r="H892" s="2060"/>
      <c r="I892" s="106"/>
      <c r="J892" s="2060"/>
      <c r="K892" s="2060"/>
      <c r="L892" s="2060"/>
      <c r="M892" s="2060"/>
      <c r="N892" s="2060"/>
      <c r="O892" s="2060"/>
      <c r="P892" s="2060"/>
      <c r="Q892" s="2060"/>
      <c r="R892" s="2060"/>
      <c r="S892" s="2060"/>
      <c r="T892" s="255"/>
      <c r="U892" s="255"/>
      <c r="V892" s="103"/>
    </row>
    <row r="893" spans="2:22">
      <c r="B893" s="2060"/>
      <c r="C893" s="2060"/>
      <c r="D893" s="2060"/>
      <c r="E893" s="255"/>
      <c r="H893" s="2060"/>
      <c r="I893" s="106"/>
      <c r="J893" s="2060"/>
      <c r="K893" s="2060"/>
      <c r="L893" s="2060"/>
      <c r="M893" s="2060"/>
      <c r="N893" s="2060"/>
      <c r="O893" s="2060"/>
      <c r="P893" s="2060"/>
      <c r="Q893" s="2060"/>
      <c r="R893" s="2060"/>
      <c r="S893" s="2060"/>
      <c r="T893" s="255"/>
      <c r="U893" s="255"/>
      <c r="V893" s="103"/>
    </row>
    <row r="894" spans="2:22">
      <c r="B894" s="2060"/>
      <c r="C894" s="2060"/>
      <c r="D894" s="2060"/>
      <c r="E894" s="255"/>
      <c r="H894" s="2060"/>
      <c r="I894" s="106"/>
      <c r="J894" s="2060"/>
      <c r="K894" s="2060"/>
      <c r="L894" s="2060"/>
      <c r="M894" s="2060"/>
      <c r="N894" s="2060"/>
      <c r="O894" s="2060"/>
      <c r="P894" s="2060"/>
      <c r="Q894" s="2060"/>
      <c r="R894" s="2060"/>
      <c r="S894" s="2060"/>
      <c r="T894" s="255"/>
      <c r="U894" s="255"/>
      <c r="V894" s="103"/>
    </row>
    <row r="895" spans="2:22">
      <c r="B895" s="2060"/>
      <c r="C895" s="2060"/>
      <c r="D895" s="2060"/>
      <c r="E895" s="255"/>
      <c r="H895" s="2060"/>
      <c r="I895" s="106"/>
      <c r="J895" s="2060"/>
      <c r="K895" s="2060"/>
      <c r="L895" s="2060"/>
      <c r="M895" s="2060"/>
      <c r="N895" s="2060"/>
      <c r="O895" s="2060"/>
      <c r="P895" s="2060"/>
      <c r="Q895" s="2060"/>
      <c r="R895" s="2060"/>
      <c r="S895" s="2060"/>
      <c r="T895" s="255"/>
      <c r="U895" s="255"/>
      <c r="V895" s="103"/>
    </row>
    <row r="896" spans="2:22">
      <c r="B896" s="2060"/>
      <c r="C896" s="2060"/>
      <c r="D896" s="2060"/>
      <c r="E896" s="255"/>
      <c r="H896" s="2060"/>
      <c r="I896" s="106"/>
      <c r="J896" s="2060"/>
      <c r="K896" s="2060"/>
      <c r="L896" s="2060"/>
      <c r="M896" s="2060"/>
      <c r="N896" s="2060"/>
      <c r="O896" s="2060"/>
      <c r="P896" s="2060"/>
      <c r="Q896" s="2060"/>
      <c r="R896" s="2060"/>
      <c r="S896" s="2060"/>
      <c r="T896" s="255"/>
      <c r="U896" s="255"/>
      <c r="V896" s="103"/>
    </row>
    <row r="897" spans="2:22">
      <c r="B897" s="2060"/>
      <c r="C897" s="2060"/>
      <c r="D897" s="2060"/>
      <c r="E897" s="255"/>
      <c r="H897" s="2060"/>
      <c r="I897" s="106"/>
      <c r="J897" s="2060"/>
      <c r="K897" s="2060"/>
      <c r="L897" s="2060"/>
      <c r="M897" s="2060"/>
      <c r="N897" s="2060"/>
      <c r="O897" s="2060"/>
      <c r="P897" s="2060"/>
      <c r="Q897" s="2060"/>
      <c r="R897" s="2060"/>
      <c r="S897" s="2060"/>
      <c r="T897" s="255"/>
      <c r="U897" s="255"/>
      <c r="V897" s="103"/>
    </row>
    <row r="898" spans="2:22">
      <c r="B898" s="2060"/>
      <c r="C898" s="2060"/>
      <c r="D898" s="2060"/>
      <c r="E898" s="255"/>
      <c r="H898" s="2060"/>
      <c r="I898" s="106"/>
      <c r="J898" s="2060"/>
      <c r="K898" s="2060"/>
      <c r="L898" s="2060"/>
      <c r="M898" s="2060"/>
      <c r="N898" s="2060"/>
      <c r="O898" s="2060"/>
      <c r="P898" s="2060"/>
      <c r="Q898" s="2060"/>
      <c r="R898" s="2060"/>
      <c r="S898" s="2060"/>
      <c r="T898" s="255"/>
      <c r="U898" s="255"/>
      <c r="V898" s="103"/>
    </row>
    <row r="899" spans="2:22">
      <c r="B899" s="2060"/>
      <c r="C899" s="2060"/>
      <c r="D899" s="2060"/>
      <c r="E899" s="255"/>
      <c r="H899" s="2060"/>
      <c r="I899" s="106"/>
      <c r="J899" s="2060"/>
      <c r="K899" s="2060"/>
      <c r="L899" s="2060"/>
      <c r="M899" s="2060"/>
      <c r="N899" s="2060"/>
      <c r="O899" s="2060"/>
      <c r="P899" s="2060"/>
      <c r="Q899" s="2060"/>
      <c r="R899" s="2060"/>
      <c r="S899" s="2060"/>
      <c r="T899" s="255"/>
      <c r="U899" s="255"/>
      <c r="V899" s="103"/>
    </row>
    <row r="900" spans="2:22">
      <c r="B900" s="2060"/>
      <c r="C900" s="2060"/>
      <c r="D900" s="2060"/>
      <c r="E900" s="255"/>
      <c r="H900" s="2060"/>
      <c r="I900" s="106"/>
      <c r="J900" s="2060"/>
      <c r="K900" s="2060"/>
      <c r="L900" s="2060"/>
      <c r="M900" s="2060"/>
      <c r="N900" s="2060"/>
      <c r="O900" s="2060"/>
      <c r="P900" s="2060"/>
      <c r="Q900" s="2060"/>
      <c r="R900" s="2060"/>
      <c r="S900" s="2060"/>
      <c r="T900" s="255"/>
      <c r="U900" s="255"/>
      <c r="V900" s="103"/>
    </row>
    <row r="901" spans="2:22">
      <c r="B901" s="2060"/>
      <c r="C901" s="2060"/>
      <c r="D901" s="2060"/>
      <c r="E901" s="255"/>
      <c r="H901" s="2060"/>
      <c r="I901" s="106"/>
      <c r="J901" s="2060"/>
      <c r="K901" s="2060"/>
      <c r="L901" s="2060"/>
      <c r="M901" s="2060"/>
      <c r="N901" s="2060"/>
      <c r="O901" s="2060"/>
      <c r="P901" s="2060"/>
      <c r="Q901" s="2060"/>
      <c r="R901" s="2060"/>
      <c r="S901" s="2060"/>
      <c r="T901" s="255"/>
      <c r="U901" s="255"/>
      <c r="V901" s="103"/>
    </row>
    <row r="902" spans="2:22">
      <c r="B902" s="2060"/>
      <c r="C902" s="2060"/>
      <c r="D902" s="2060"/>
      <c r="E902" s="255"/>
      <c r="H902" s="2060"/>
      <c r="I902" s="106"/>
      <c r="J902" s="2060"/>
      <c r="K902" s="2060"/>
      <c r="L902" s="2060"/>
      <c r="M902" s="2060"/>
      <c r="N902" s="2060"/>
      <c r="O902" s="2060"/>
      <c r="P902" s="2060"/>
      <c r="Q902" s="2060"/>
      <c r="R902" s="2060"/>
      <c r="S902" s="2060"/>
      <c r="T902" s="255"/>
      <c r="U902" s="255"/>
      <c r="V902" s="103"/>
    </row>
    <row r="903" spans="2:22">
      <c r="B903" s="2060"/>
      <c r="C903" s="2060"/>
      <c r="D903" s="2060"/>
      <c r="E903" s="255"/>
      <c r="H903" s="2060"/>
      <c r="I903" s="106"/>
      <c r="J903" s="2060"/>
      <c r="K903" s="2060"/>
      <c r="L903" s="2060"/>
      <c r="M903" s="2060"/>
      <c r="N903" s="2060"/>
      <c r="O903" s="2060"/>
      <c r="P903" s="2060"/>
      <c r="Q903" s="2060"/>
      <c r="R903" s="2060"/>
      <c r="S903" s="2060"/>
      <c r="T903" s="255"/>
      <c r="U903" s="255"/>
      <c r="V903" s="103"/>
    </row>
    <row r="904" spans="2:22">
      <c r="B904" s="2060"/>
      <c r="C904" s="2060"/>
      <c r="D904" s="2060"/>
      <c r="E904" s="255"/>
      <c r="H904" s="2060"/>
      <c r="I904" s="106"/>
      <c r="J904" s="2060"/>
      <c r="K904" s="2060"/>
      <c r="L904" s="2060"/>
      <c r="M904" s="2060"/>
      <c r="N904" s="2060"/>
      <c r="O904" s="2060"/>
      <c r="P904" s="2060"/>
      <c r="Q904" s="2060"/>
      <c r="R904" s="2060"/>
      <c r="S904" s="2060"/>
      <c r="T904" s="255"/>
      <c r="U904" s="255"/>
      <c r="V904" s="103"/>
    </row>
    <row r="905" spans="2:22">
      <c r="B905" s="2060"/>
      <c r="C905" s="2060"/>
      <c r="D905" s="2060"/>
      <c r="E905" s="255"/>
      <c r="H905" s="2060"/>
      <c r="I905" s="106"/>
      <c r="J905" s="2060"/>
      <c r="K905" s="2060"/>
      <c r="L905" s="2060"/>
      <c r="M905" s="2060"/>
      <c r="N905" s="2060"/>
      <c r="O905" s="2060"/>
      <c r="P905" s="2060"/>
      <c r="Q905" s="2060"/>
      <c r="R905" s="2060"/>
      <c r="S905" s="2060"/>
      <c r="T905" s="255"/>
      <c r="U905" s="255"/>
      <c r="V905" s="103"/>
    </row>
    <row r="906" spans="2:22">
      <c r="B906" s="2060"/>
      <c r="C906" s="2060"/>
      <c r="D906" s="2060"/>
      <c r="E906" s="255"/>
      <c r="H906" s="2060"/>
      <c r="I906" s="106"/>
      <c r="J906" s="2060"/>
      <c r="K906" s="2060"/>
      <c r="L906" s="2060"/>
      <c r="M906" s="2060"/>
      <c r="N906" s="2060"/>
      <c r="O906" s="2060"/>
      <c r="P906" s="2060"/>
      <c r="Q906" s="2060"/>
      <c r="R906" s="2060"/>
      <c r="S906" s="2060"/>
      <c r="T906" s="255"/>
      <c r="U906" s="255"/>
      <c r="V906" s="103"/>
    </row>
    <row r="907" spans="2:22">
      <c r="B907" s="2060"/>
      <c r="C907" s="2060"/>
      <c r="D907" s="2060"/>
      <c r="E907" s="255"/>
      <c r="H907" s="2060"/>
      <c r="I907" s="106"/>
      <c r="J907" s="2060"/>
      <c r="K907" s="2060"/>
      <c r="L907" s="2060"/>
      <c r="M907" s="2060"/>
      <c r="N907" s="2060"/>
      <c r="O907" s="2060"/>
      <c r="P907" s="2060"/>
      <c r="Q907" s="2060"/>
      <c r="R907" s="2060"/>
      <c r="S907" s="2060"/>
      <c r="T907" s="255"/>
      <c r="U907" s="255"/>
      <c r="V907" s="103"/>
    </row>
    <row r="908" spans="2:22">
      <c r="B908" s="2060"/>
      <c r="C908" s="2060"/>
      <c r="D908" s="2060"/>
      <c r="E908" s="255"/>
      <c r="H908" s="2060"/>
      <c r="I908" s="106"/>
      <c r="J908" s="2060"/>
      <c r="K908" s="2060"/>
      <c r="L908" s="2060"/>
      <c r="M908" s="2060"/>
      <c r="N908" s="2060"/>
      <c r="O908" s="2060"/>
      <c r="P908" s="2060"/>
      <c r="Q908" s="2060"/>
      <c r="R908" s="2060"/>
      <c r="S908" s="2060"/>
      <c r="T908" s="255"/>
      <c r="U908" s="255"/>
      <c r="V908" s="103"/>
    </row>
    <row r="909" spans="2:22">
      <c r="B909" s="2060"/>
      <c r="C909" s="2060"/>
      <c r="D909" s="2060"/>
      <c r="E909" s="255"/>
      <c r="H909" s="2060"/>
      <c r="I909" s="106"/>
      <c r="J909" s="2060"/>
      <c r="K909" s="2060"/>
      <c r="L909" s="2060"/>
      <c r="M909" s="2060"/>
      <c r="N909" s="2060"/>
      <c r="O909" s="2060"/>
      <c r="P909" s="2060"/>
      <c r="Q909" s="2060"/>
      <c r="R909" s="2060"/>
      <c r="S909" s="2060"/>
      <c r="T909" s="255"/>
      <c r="U909" s="255"/>
      <c r="V909" s="103"/>
    </row>
    <row r="910" spans="2:22">
      <c r="B910" s="2060"/>
      <c r="C910" s="2060"/>
      <c r="D910" s="2060"/>
      <c r="E910" s="255"/>
      <c r="H910" s="2060"/>
      <c r="I910" s="106"/>
      <c r="J910" s="2060"/>
      <c r="K910" s="2060"/>
      <c r="L910" s="2060"/>
      <c r="M910" s="2060"/>
      <c r="N910" s="2060"/>
      <c r="O910" s="2060"/>
      <c r="P910" s="2060"/>
      <c r="Q910" s="2060"/>
      <c r="R910" s="2060"/>
      <c r="S910" s="2060"/>
      <c r="T910" s="255"/>
      <c r="U910" s="255"/>
      <c r="V910" s="103"/>
    </row>
    <row r="911" spans="2:22">
      <c r="B911" s="2060"/>
      <c r="C911" s="2060"/>
      <c r="D911" s="2060"/>
      <c r="E911" s="255"/>
      <c r="H911" s="2060"/>
      <c r="I911" s="106"/>
      <c r="J911" s="2060"/>
      <c r="K911" s="2060"/>
      <c r="L911" s="2060"/>
      <c r="M911" s="2060"/>
      <c r="N911" s="2060"/>
      <c r="O911" s="2060"/>
      <c r="P911" s="2060"/>
      <c r="Q911" s="2060"/>
      <c r="R911" s="2060"/>
      <c r="S911" s="2060"/>
      <c r="T911" s="255"/>
      <c r="U911" s="255"/>
      <c r="V911" s="103"/>
    </row>
    <row r="912" spans="2:22">
      <c r="B912" s="2060"/>
      <c r="C912" s="2060"/>
      <c r="D912" s="2060"/>
      <c r="E912" s="255"/>
      <c r="H912" s="2060"/>
      <c r="I912" s="106"/>
      <c r="J912" s="2060"/>
      <c r="K912" s="2060"/>
      <c r="L912" s="2060"/>
      <c r="M912" s="2060"/>
      <c r="N912" s="2060"/>
      <c r="O912" s="2060"/>
      <c r="P912" s="2060"/>
      <c r="Q912" s="2060"/>
      <c r="R912" s="2060"/>
      <c r="S912" s="2060"/>
      <c r="T912" s="255"/>
      <c r="U912" s="255"/>
      <c r="V912" s="103"/>
    </row>
    <row r="913" spans="2:22">
      <c r="B913" s="2060"/>
      <c r="C913" s="2060"/>
      <c r="D913" s="2060"/>
      <c r="E913" s="255"/>
      <c r="H913" s="2060"/>
      <c r="I913" s="106"/>
      <c r="J913" s="2060"/>
      <c r="K913" s="2060"/>
      <c r="L913" s="2060"/>
      <c r="M913" s="2060"/>
      <c r="N913" s="2060"/>
      <c r="O913" s="2060"/>
      <c r="P913" s="2060"/>
      <c r="Q913" s="2060"/>
      <c r="R913" s="2060"/>
      <c r="S913" s="2060"/>
      <c r="T913" s="255"/>
      <c r="U913" s="255"/>
      <c r="V913" s="103"/>
    </row>
    <row r="914" spans="2:22">
      <c r="B914" s="2060"/>
      <c r="C914" s="2060"/>
      <c r="D914" s="2060"/>
      <c r="E914" s="255"/>
      <c r="H914" s="2060"/>
      <c r="I914" s="106"/>
      <c r="J914" s="2060"/>
      <c r="K914" s="2060"/>
      <c r="L914" s="2060"/>
      <c r="M914" s="2060"/>
      <c r="N914" s="2060"/>
      <c r="O914" s="2060"/>
      <c r="P914" s="2060"/>
      <c r="Q914" s="2060"/>
      <c r="R914" s="2060"/>
      <c r="S914" s="2060"/>
      <c r="T914" s="255"/>
      <c r="U914" s="255"/>
      <c r="V914" s="103"/>
    </row>
    <row r="915" spans="2:22">
      <c r="B915" s="2060"/>
      <c r="C915" s="2060"/>
      <c r="D915" s="2060"/>
      <c r="E915" s="255"/>
      <c r="H915" s="2060"/>
      <c r="I915" s="106"/>
      <c r="J915" s="2060"/>
      <c r="K915" s="2060"/>
      <c r="L915" s="2060"/>
      <c r="M915" s="2060"/>
      <c r="N915" s="2060"/>
      <c r="O915" s="2060"/>
      <c r="P915" s="2060"/>
      <c r="Q915" s="2060"/>
      <c r="R915" s="2060"/>
      <c r="S915" s="2060"/>
      <c r="T915" s="255"/>
      <c r="U915" s="255"/>
      <c r="V915" s="103"/>
    </row>
    <row r="916" spans="2:22">
      <c r="B916" s="2060"/>
      <c r="C916" s="2060"/>
      <c r="D916" s="2060"/>
      <c r="E916" s="255"/>
      <c r="H916" s="2060"/>
      <c r="I916" s="106"/>
      <c r="J916" s="2060"/>
      <c r="K916" s="2060"/>
      <c r="L916" s="2060"/>
      <c r="M916" s="2060"/>
      <c r="N916" s="2060"/>
      <c r="O916" s="2060"/>
      <c r="P916" s="2060"/>
      <c r="Q916" s="2060"/>
      <c r="R916" s="2060"/>
      <c r="S916" s="2060"/>
      <c r="T916" s="255"/>
      <c r="U916" s="255"/>
      <c r="V916" s="103"/>
    </row>
    <row r="917" spans="2:22">
      <c r="B917" s="2060"/>
      <c r="C917" s="2060"/>
      <c r="D917" s="2060"/>
      <c r="E917" s="255"/>
      <c r="H917" s="2060"/>
      <c r="I917" s="106"/>
      <c r="J917" s="2060"/>
      <c r="K917" s="2060"/>
      <c r="L917" s="2060"/>
      <c r="M917" s="2060"/>
      <c r="N917" s="2060"/>
      <c r="O917" s="2060"/>
      <c r="P917" s="2060"/>
      <c r="Q917" s="2060"/>
      <c r="R917" s="2060"/>
      <c r="S917" s="2060"/>
      <c r="T917" s="255"/>
      <c r="U917" s="255"/>
      <c r="V917" s="103"/>
    </row>
    <row r="918" spans="2:22">
      <c r="B918" s="2060"/>
      <c r="C918" s="2060"/>
      <c r="D918" s="2060"/>
      <c r="E918" s="255"/>
      <c r="H918" s="2060"/>
      <c r="I918" s="106"/>
      <c r="J918" s="2060"/>
      <c r="K918" s="2060"/>
      <c r="L918" s="2060"/>
      <c r="M918" s="2060"/>
      <c r="N918" s="2060"/>
      <c r="O918" s="2060"/>
      <c r="P918" s="2060"/>
      <c r="Q918" s="2060"/>
      <c r="R918" s="2060"/>
      <c r="S918" s="2060"/>
      <c r="T918" s="255"/>
      <c r="U918" s="255"/>
      <c r="V918" s="103"/>
    </row>
    <row r="919" spans="2:22">
      <c r="B919" s="2060"/>
      <c r="C919" s="2060"/>
      <c r="D919" s="2060"/>
      <c r="E919" s="255"/>
      <c r="H919" s="2060"/>
      <c r="I919" s="106"/>
      <c r="J919" s="2060"/>
      <c r="K919" s="2060"/>
      <c r="L919" s="2060"/>
      <c r="M919" s="2060"/>
      <c r="N919" s="2060"/>
      <c r="O919" s="2060"/>
      <c r="P919" s="2060"/>
      <c r="Q919" s="2060"/>
      <c r="R919" s="2060"/>
      <c r="S919" s="2060"/>
      <c r="T919" s="255"/>
      <c r="U919" s="255"/>
      <c r="V919" s="103"/>
    </row>
    <row r="920" spans="2:22">
      <c r="B920" s="2060"/>
      <c r="C920" s="2060"/>
      <c r="D920" s="2060"/>
      <c r="E920" s="255"/>
      <c r="H920" s="2060"/>
      <c r="I920" s="106"/>
      <c r="J920" s="2060"/>
      <c r="K920" s="2060"/>
      <c r="L920" s="2060"/>
      <c r="M920" s="2060"/>
      <c r="N920" s="2060"/>
      <c r="O920" s="2060"/>
      <c r="P920" s="2060"/>
      <c r="Q920" s="2060"/>
      <c r="R920" s="2060"/>
      <c r="S920" s="2060"/>
      <c r="T920" s="255"/>
      <c r="U920" s="255"/>
      <c r="V920" s="103"/>
    </row>
    <row r="921" spans="2:22">
      <c r="B921" s="2060"/>
      <c r="C921" s="2060"/>
      <c r="D921" s="2060"/>
      <c r="E921" s="255"/>
      <c r="H921" s="2060"/>
      <c r="I921" s="106"/>
      <c r="J921" s="2060"/>
      <c r="K921" s="2060"/>
      <c r="L921" s="2060"/>
      <c r="M921" s="2060"/>
      <c r="N921" s="2060"/>
      <c r="O921" s="2060"/>
      <c r="P921" s="2060"/>
      <c r="Q921" s="2060"/>
      <c r="R921" s="2060"/>
      <c r="S921" s="2060"/>
      <c r="T921" s="255"/>
      <c r="U921" s="255"/>
      <c r="V921" s="103"/>
    </row>
    <row r="922" spans="2:22">
      <c r="B922" s="2060"/>
      <c r="C922" s="2060"/>
      <c r="D922" s="2060"/>
      <c r="E922" s="255"/>
      <c r="H922" s="2060"/>
      <c r="I922" s="106"/>
      <c r="J922" s="2060"/>
      <c r="K922" s="2060"/>
      <c r="L922" s="2060"/>
      <c r="M922" s="2060"/>
      <c r="N922" s="2060"/>
      <c r="O922" s="2060"/>
      <c r="P922" s="2060"/>
      <c r="Q922" s="2060"/>
      <c r="R922" s="2060"/>
      <c r="S922" s="2060"/>
      <c r="T922" s="255"/>
      <c r="U922" s="255"/>
      <c r="V922" s="103"/>
    </row>
    <row r="923" spans="2:22">
      <c r="B923" s="2060"/>
      <c r="C923" s="2060"/>
      <c r="D923" s="2060"/>
      <c r="E923" s="255"/>
      <c r="H923" s="2060"/>
      <c r="I923" s="106"/>
      <c r="J923" s="2060"/>
      <c r="K923" s="2060"/>
      <c r="L923" s="2060"/>
      <c r="M923" s="2060"/>
      <c r="N923" s="2060"/>
      <c r="O923" s="2060"/>
      <c r="P923" s="2060"/>
      <c r="Q923" s="2060"/>
      <c r="R923" s="2060"/>
      <c r="S923" s="2060"/>
      <c r="T923" s="255"/>
      <c r="U923" s="255"/>
      <c r="V923" s="103"/>
    </row>
    <row r="924" spans="2:22">
      <c r="B924" s="2060"/>
      <c r="C924" s="2060"/>
      <c r="D924" s="2060"/>
      <c r="E924" s="255"/>
      <c r="H924" s="2060"/>
      <c r="I924" s="106"/>
      <c r="J924" s="2060"/>
      <c r="K924" s="2060"/>
      <c r="L924" s="2060"/>
      <c r="M924" s="2060"/>
      <c r="N924" s="2060"/>
      <c r="O924" s="2060"/>
      <c r="P924" s="2060"/>
      <c r="Q924" s="2060"/>
      <c r="R924" s="2060"/>
      <c r="S924" s="2060"/>
      <c r="T924" s="255"/>
      <c r="U924" s="255"/>
      <c r="V924" s="103"/>
    </row>
    <row r="925" spans="2:22">
      <c r="B925" s="2060"/>
      <c r="C925" s="2060"/>
      <c r="D925" s="2060"/>
      <c r="E925" s="255"/>
      <c r="H925" s="2060"/>
      <c r="I925" s="106"/>
      <c r="J925" s="2060"/>
      <c r="K925" s="2060"/>
      <c r="L925" s="2060"/>
      <c r="M925" s="2060"/>
      <c r="N925" s="2060"/>
      <c r="O925" s="2060"/>
      <c r="P925" s="2060"/>
      <c r="Q925" s="2060"/>
      <c r="R925" s="2060"/>
      <c r="S925" s="2060"/>
      <c r="T925" s="255"/>
      <c r="U925" s="255"/>
      <c r="V925" s="103"/>
    </row>
    <row r="926" spans="2:22">
      <c r="B926" s="2060"/>
      <c r="C926" s="2060"/>
      <c r="D926" s="2060"/>
      <c r="E926" s="255"/>
      <c r="H926" s="2060"/>
      <c r="I926" s="106"/>
      <c r="J926" s="2060"/>
      <c r="K926" s="2060"/>
      <c r="L926" s="2060"/>
      <c r="M926" s="2060"/>
      <c r="N926" s="2060"/>
      <c r="O926" s="2060"/>
      <c r="P926" s="2060"/>
      <c r="Q926" s="2060"/>
      <c r="R926" s="2060"/>
      <c r="S926" s="2060"/>
      <c r="T926" s="255"/>
      <c r="U926" s="255"/>
      <c r="V926" s="103"/>
    </row>
    <row r="927" spans="2:22">
      <c r="B927" s="2060"/>
      <c r="C927" s="2060"/>
      <c r="D927" s="2060"/>
      <c r="E927" s="255"/>
      <c r="H927" s="2060"/>
      <c r="I927" s="106"/>
      <c r="J927" s="2060"/>
      <c r="K927" s="2060"/>
      <c r="L927" s="2060"/>
      <c r="M927" s="2060"/>
      <c r="N927" s="2060"/>
      <c r="O927" s="2060"/>
      <c r="P927" s="2060"/>
      <c r="Q927" s="2060"/>
      <c r="R927" s="2060"/>
      <c r="S927" s="2060"/>
      <c r="T927" s="255"/>
      <c r="U927" s="255"/>
      <c r="V927" s="103"/>
    </row>
    <row r="928" spans="2:22">
      <c r="B928" s="2060"/>
      <c r="C928" s="2060"/>
      <c r="D928" s="2060"/>
      <c r="E928" s="255"/>
      <c r="H928" s="2060"/>
      <c r="I928" s="106"/>
      <c r="J928" s="2060"/>
      <c r="K928" s="2060"/>
      <c r="L928" s="2060"/>
      <c r="M928" s="2060"/>
      <c r="N928" s="2060"/>
      <c r="O928" s="2060"/>
      <c r="P928" s="2060"/>
      <c r="Q928" s="2060"/>
      <c r="R928" s="2060"/>
      <c r="S928" s="2060"/>
      <c r="T928" s="255"/>
      <c r="U928" s="255"/>
      <c r="V928" s="103"/>
    </row>
    <row r="929" spans="2:22">
      <c r="B929" s="2060"/>
      <c r="C929" s="2060"/>
      <c r="D929" s="2060"/>
      <c r="E929" s="255"/>
      <c r="H929" s="2060"/>
      <c r="I929" s="106"/>
      <c r="J929" s="2060"/>
      <c r="K929" s="2060"/>
      <c r="L929" s="2060"/>
      <c r="M929" s="2060"/>
      <c r="N929" s="2060"/>
      <c r="O929" s="2060"/>
      <c r="P929" s="2060"/>
      <c r="Q929" s="2060"/>
      <c r="R929" s="2060"/>
      <c r="S929" s="2060"/>
      <c r="T929" s="255"/>
      <c r="U929" s="255"/>
      <c r="V929" s="103"/>
    </row>
    <row r="930" spans="2:22">
      <c r="B930" s="2060"/>
      <c r="C930" s="2060"/>
      <c r="D930" s="2060"/>
      <c r="E930" s="255"/>
      <c r="H930" s="2060"/>
      <c r="I930" s="106"/>
      <c r="J930" s="2060"/>
      <c r="K930" s="2060"/>
      <c r="L930" s="2060"/>
      <c r="M930" s="2060"/>
      <c r="N930" s="2060"/>
      <c r="O930" s="2060"/>
      <c r="P930" s="2060"/>
      <c r="Q930" s="2060"/>
      <c r="R930" s="2060"/>
      <c r="S930" s="2060"/>
      <c r="T930" s="255"/>
      <c r="U930" s="255"/>
      <c r="V930" s="103"/>
    </row>
    <row r="931" spans="2:22">
      <c r="B931" s="2060"/>
      <c r="C931" s="2060"/>
      <c r="D931" s="2060"/>
      <c r="E931" s="255"/>
      <c r="H931" s="2060"/>
      <c r="I931" s="106"/>
      <c r="J931" s="2060"/>
      <c r="K931" s="2060"/>
      <c r="L931" s="2060"/>
      <c r="M931" s="2060"/>
      <c r="N931" s="2060"/>
      <c r="O931" s="2060"/>
      <c r="P931" s="2060"/>
      <c r="Q931" s="2060"/>
      <c r="R931" s="2060"/>
      <c r="S931" s="2060"/>
      <c r="T931" s="255"/>
      <c r="U931" s="255"/>
      <c r="V931" s="103"/>
    </row>
    <row r="932" spans="2:22">
      <c r="B932" s="2060"/>
      <c r="C932" s="2060"/>
      <c r="D932" s="2060"/>
      <c r="E932" s="255"/>
      <c r="H932" s="2060"/>
      <c r="I932" s="106"/>
      <c r="J932" s="2060"/>
      <c r="K932" s="2060"/>
      <c r="L932" s="2060"/>
      <c r="M932" s="2060"/>
      <c r="N932" s="2060"/>
      <c r="O932" s="2060"/>
      <c r="P932" s="2060"/>
      <c r="Q932" s="2060"/>
      <c r="R932" s="2060"/>
      <c r="S932" s="2060"/>
      <c r="T932" s="255"/>
      <c r="U932" s="255"/>
      <c r="V932" s="103"/>
    </row>
    <row r="933" spans="2:22">
      <c r="B933" s="2060"/>
      <c r="C933" s="2060"/>
      <c r="D933" s="2060"/>
      <c r="E933" s="255"/>
      <c r="H933" s="2060"/>
      <c r="I933" s="106"/>
      <c r="J933" s="2060"/>
      <c r="K933" s="2060"/>
      <c r="L933" s="2060"/>
      <c r="M933" s="2060"/>
      <c r="N933" s="2060"/>
      <c r="O933" s="2060"/>
      <c r="P933" s="2060"/>
      <c r="Q933" s="2060"/>
      <c r="R933" s="2060"/>
      <c r="S933" s="2060"/>
      <c r="T933" s="255"/>
      <c r="U933" s="255"/>
      <c r="V933" s="103"/>
    </row>
    <row r="934" spans="2:22">
      <c r="B934" s="2060"/>
      <c r="C934" s="2060"/>
      <c r="D934" s="2060"/>
      <c r="E934" s="255"/>
      <c r="H934" s="2060"/>
      <c r="I934" s="106"/>
      <c r="J934" s="2060"/>
      <c r="K934" s="2060"/>
      <c r="L934" s="2060"/>
      <c r="M934" s="2060"/>
      <c r="N934" s="2060"/>
      <c r="O934" s="2060"/>
      <c r="P934" s="2060"/>
      <c r="Q934" s="2060"/>
      <c r="R934" s="2060"/>
      <c r="S934" s="2060"/>
      <c r="T934" s="255"/>
      <c r="U934" s="255"/>
      <c r="V934" s="103"/>
    </row>
    <row r="935" spans="2:22">
      <c r="B935" s="2060"/>
      <c r="C935" s="2060"/>
      <c r="D935" s="2060"/>
      <c r="E935" s="255"/>
      <c r="H935" s="2060"/>
      <c r="I935" s="106"/>
      <c r="J935" s="2060"/>
      <c r="K935" s="2060"/>
      <c r="L935" s="2060"/>
      <c r="M935" s="2060"/>
      <c r="N935" s="2060"/>
      <c r="O935" s="2060"/>
      <c r="P935" s="2060"/>
      <c r="Q935" s="2060"/>
      <c r="R935" s="2060"/>
      <c r="S935" s="2060"/>
      <c r="T935" s="255"/>
      <c r="U935" s="255"/>
      <c r="V935" s="103"/>
    </row>
    <row r="936" spans="2:22">
      <c r="B936" s="2060"/>
      <c r="C936" s="2060"/>
      <c r="D936" s="2060"/>
      <c r="E936" s="255"/>
      <c r="H936" s="2060"/>
      <c r="I936" s="106"/>
      <c r="J936" s="2060"/>
      <c r="K936" s="2060"/>
      <c r="L936" s="2060"/>
      <c r="M936" s="2060"/>
      <c r="N936" s="2060"/>
      <c r="O936" s="2060"/>
      <c r="P936" s="2060"/>
      <c r="Q936" s="2060"/>
      <c r="R936" s="2060"/>
      <c r="S936" s="2060"/>
      <c r="T936" s="255"/>
      <c r="U936" s="255"/>
      <c r="V936" s="103"/>
    </row>
    <row r="937" spans="2:22">
      <c r="B937" s="2060"/>
      <c r="C937" s="2060"/>
      <c r="D937" s="2060"/>
      <c r="E937" s="255"/>
      <c r="H937" s="2060"/>
      <c r="I937" s="106"/>
      <c r="J937" s="2060"/>
      <c r="K937" s="2060"/>
      <c r="L937" s="2060"/>
      <c r="M937" s="2060"/>
      <c r="N937" s="2060"/>
      <c r="O937" s="2060"/>
      <c r="P937" s="2060"/>
      <c r="Q937" s="2060"/>
      <c r="R937" s="2060"/>
      <c r="S937" s="2060"/>
      <c r="T937" s="255"/>
      <c r="U937" s="255"/>
      <c r="V937" s="103"/>
    </row>
    <row r="938" spans="2:22">
      <c r="B938" s="2060"/>
      <c r="C938" s="2060"/>
      <c r="D938" s="2060"/>
      <c r="E938" s="255"/>
      <c r="H938" s="2060"/>
      <c r="I938" s="106"/>
      <c r="J938" s="2060"/>
      <c r="K938" s="2060"/>
      <c r="L938" s="2060"/>
      <c r="M938" s="2060"/>
      <c r="N938" s="2060"/>
      <c r="O938" s="2060"/>
      <c r="P938" s="2060"/>
      <c r="Q938" s="2060"/>
      <c r="R938" s="2060"/>
      <c r="S938" s="2060"/>
      <c r="T938" s="255"/>
      <c r="U938" s="255"/>
      <c r="V938" s="103"/>
    </row>
    <row r="939" spans="2:22">
      <c r="B939" s="2060"/>
      <c r="C939" s="2060"/>
      <c r="D939" s="2060"/>
      <c r="E939" s="255"/>
      <c r="H939" s="2060"/>
      <c r="I939" s="106"/>
      <c r="J939" s="2060"/>
      <c r="K939" s="2060"/>
      <c r="L939" s="2060"/>
      <c r="M939" s="2060"/>
      <c r="N939" s="2060"/>
      <c r="O939" s="2060"/>
      <c r="P939" s="2060"/>
      <c r="Q939" s="2060"/>
      <c r="R939" s="2060"/>
      <c r="S939" s="2060"/>
      <c r="T939" s="255"/>
      <c r="U939" s="255"/>
      <c r="V939" s="103"/>
    </row>
    <row r="940" spans="2:22">
      <c r="B940" s="2060"/>
      <c r="C940" s="2060"/>
      <c r="D940" s="2060"/>
      <c r="E940" s="255"/>
      <c r="H940" s="2060"/>
      <c r="I940" s="106"/>
      <c r="J940" s="2060"/>
      <c r="K940" s="2060"/>
      <c r="L940" s="2060"/>
      <c r="M940" s="2060"/>
      <c r="N940" s="2060"/>
      <c r="O940" s="2060"/>
      <c r="P940" s="2060"/>
      <c r="Q940" s="2060"/>
      <c r="R940" s="2060"/>
      <c r="S940" s="2060"/>
      <c r="T940" s="255"/>
      <c r="U940" s="255"/>
      <c r="V940" s="103"/>
    </row>
    <row r="941" spans="2:22">
      <c r="B941" s="2060"/>
      <c r="C941" s="2060"/>
      <c r="D941" s="2060"/>
      <c r="E941" s="255"/>
      <c r="H941" s="2060"/>
      <c r="I941" s="106"/>
      <c r="J941" s="2060"/>
      <c r="K941" s="2060"/>
      <c r="L941" s="2060"/>
      <c r="M941" s="2060"/>
      <c r="N941" s="2060"/>
      <c r="O941" s="2060"/>
      <c r="P941" s="2060"/>
      <c r="Q941" s="2060"/>
      <c r="R941" s="2060"/>
      <c r="S941" s="2060"/>
      <c r="T941" s="255"/>
      <c r="U941" s="255"/>
      <c r="V941" s="103"/>
    </row>
    <row r="942" spans="2:22">
      <c r="B942" s="2060"/>
      <c r="C942" s="2060"/>
      <c r="D942" s="2060"/>
      <c r="E942" s="255"/>
      <c r="H942" s="2060"/>
      <c r="I942" s="106"/>
      <c r="J942" s="2060"/>
      <c r="K942" s="2060"/>
      <c r="L942" s="2060"/>
      <c r="M942" s="2060"/>
      <c r="N942" s="2060"/>
      <c r="O942" s="2060"/>
      <c r="P942" s="2060"/>
      <c r="Q942" s="2060"/>
      <c r="R942" s="2060"/>
      <c r="S942" s="2060"/>
      <c r="T942" s="255"/>
      <c r="U942" s="255"/>
      <c r="V942" s="103"/>
    </row>
    <row r="943" spans="2:22">
      <c r="B943" s="2060"/>
      <c r="C943" s="2060"/>
      <c r="D943" s="2060"/>
      <c r="E943" s="255"/>
      <c r="H943" s="2060"/>
      <c r="I943" s="106"/>
      <c r="J943" s="2060"/>
      <c r="K943" s="2060"/>
      <c r="L943" s="2060"/>
      <c r="M943" s="2060"/>
      <c r="N943" s="2060"/>
      <c r="O943" s="2060"/>
      <c r="P943" s="2060"/>
      <c r="Q943" s="2060"/>
      <c r="R943" s="2060"/>
      <c r="S943" s="2060"/>
      <c r="T943" s="255"/>
      <c r="U943" s="255"/>
      <c r="V943" s="103"/>
    </row>
    <row r="944" spans="2:22">
      <c r="B944" s="2060"/>
      <c r="C944" s="2060"/>
      <c r="D944" s="2060"/>
      <c r="E944" s="255"/>
      <c r="H944" s="2060"/>
      <c r="I944" s="106"/>
      <c r="J944" s="2060"/>
      <c r="K944" s="2060"/>
      <c r="L944" s="2060"/>
      <c r="M944" s="2060"/>
      <c r="N944" s="2060"/>
      <c r="O944" s="2060"/>
      <c r="P944" s="2060"/>
      <c r="Q944" s="2060"/>
      <c r="R944" s="2060"/>
      <c r="S944" s="2060"/>
      <c r="T944" s="255"/>
      <c r="U944" s="255"/>
      <c r="V944" s="103"/>
    </row>
    <row r="945" spans="2:22">
      <c r="B945" s="2060"/>
      <c r="C945" s="2060"/>
      <c r="D945" s="2060"/>
      <c r="E945" s="255"/>
      <c r="H945" s="2060"/>
      <c r="I945" s="106"/>
      <c r="J945" s="2060"/>
      <c r="K945" s="2060"/>
      <c r="L945" s="2060"/>
      <c r="M945" s="2060"/>
      <c r="N945" s="2060"/>
      <c r="O945" s="2060"/>
      <c r="P945" s="2060"/>
      <c r="Q945" s="2060"/>
      <c r="R945" s="2060"/>
      <c r="S945" s="2060"/>
      <c r="T945" s="255"/>
      <c r="U945" s="255"/>
      <c r="V945" s="103"/>
    </row>
    <row r="946" spans="2:22">
      <c r="B946" s="2060"/>
      <c r="C946" s="2060"/>
      <c r="D946" s="2060"/>
      <c r="E946" s="255"/>
      <c r="H946" s="2060"/>
      <c r="I946" s="106"/>
      <c r="J946" s="2060"/>
      <c r="K946" s="2060"/>
      <c r="L946" s="2060"/>
      <c r="M946" s="2060"/>
      <c r="N946" s="2060"/>
      <c r="O946" s="2060"/>
      <c r="P946" s="2060"/>
      <c r="Q946" s="2060"/>
      <c r="R946" s="2060"/>
      <c r="S946" s="2060"/>
      <c r="T946" s="255"/>
      <c r="U946" s="255"/>
      <c r="V946" s="103"/>
    </row>
    <row r="947" spans="2:22">
      <c r="B947" s="2060"/>
      <c r="C947" s="2060"/>
      <c r="D947" s="2060"/>
      <c r="E947" s="255"/>
      <c r="H947" s="2060"/>
      <c r="I947" s="106"/>
      <c r="J947" s="2060"/>
      <c r="K947" s="2060"/>
      <c r="L947" s="2060"/>
      <c r="M947" s="2060"/>
      <c r="N947" s="2060"/>
      <c r="O947" s="2060"/>
      <c r="P947" s="2060"/>
      <c r="Q947" s="2060"/>
      <c r="R947" s="2060"/>
      <c r="S947" s="2060"/>
      <c r="T947" s="255"/>
      <c r="U947" s="255"/>
      <c r="V947" s="103"/>
    </row>
    <row r="948" spans="2:22">
      <c r="B948" s="2060"/>
      <c r="C948" s="2060"/>
      <c r="D948" s="2060"/>
      <c r="E948" s="255"/>
      <c r="H948" s="2060"/>
      <c r="I948" s="106"/>
      <c r="J948" s="2060"/>
      <c r="K948" s="2060"/>
      <c r="L948" s="2060"/>
      <c r="M948" s="2060"/>
      <c r="N948" s="2060"/>
      <c r="O948" s="2060"/>
      <c r="P948" s="2060"/>
      <c r="Q948" s="2060"/>
      <c r="R948" s="2060"/>
      <c r="S948" s="2060"/>
      <c r="T948" s="255"/>
      <c r="U948" s="255"/>
      <c r="V948" s="103"/>
    </row>
    <row r="949" spans="2:22">
      <c r="B949" s="2060"/>
      <c r="C949" s="2060"/>
      <c r="D949" s="2060"/>
      <c r="E949" s="255"/>
      <c r="H949" s="2060"/>
      <c r="I949" s="106"/>
      <c r="J949" s="2060"/>
      <c r="K949" s="2060"/>
      <c r="L949" s="2060"/>
      <c r="M949" s="2060"/>
      <c r="N949" s="2060"/>
      <c r="O949" s="2060"/>
      <c r="P949" s="2060"/>
      <c r="Q949" s="2060"/>
      <c r="R949" s="2060"/>
      <c r="S949" s="2060"/>
      <c r="T949" s="255"/>
      <c r="U949" s="255"/>
      <c r="V949" s="103"/>
    </row>
    <row r="950" spans="2:22">
      <c r="B950" s="2060"/>
      <c r="C950" s="2060"/>
      <c r="D950" s="2060"/>
      <c r="E950" s="255"/>
      <c r="H950" s="2060"/>
      <c r="I950" s="106"/>
      <c r="J950" s="2060"/>
      <c r="K950" s="2060"/>
      <c r="L950" s="2060"/>
      <c r="M950" s="2060"/>
      <c r="N950" s="2060"/>
      <c r="O950" s="2060"/>
      <c r="P950" s="2060"/>
      <c r="Q950" s="2060"/>
      <c r="R950" s="2060"/>
      <c r="S950" s="2060"/>
      <c r="T950" s="255"/>
      <c r="U950" s="255"/>
      <c r="V950" s="103"/>
    </row>
    <row r="951" spans="2:22">
      <c r="B951" s="2060"/>
      <c r="C951" s="2060"/>
      <c r="D951" s="2060"/>
      <c r="E951" s="255"/>
      <c r="H951" s="2060"/>
      <c r="I951" s="106"/>
      <c r="J951" s="2060"/>
      <c r="K951" s="2060"/>
      <c r="L951" s="2060"/>
      <c r="M951" s="2060"/>
      <c r="N951" s="2060"/>
      <c r="O951" s="2060"/>
      <c r="P951" s="2060"/>
      <c r="Q951" s="2060"/>
      <c r="R951" s="2060"/>
      <c r="S951" s="2060"/>
      <c r="T951" s="255"/>
      <c r="U951" s="255"/>
      <c r="V951" s="103"/>
    </row>
    <row r="952" spans="2:22">
      <c r="B952" s="2060"/>
      <c r="C952" s="2060"/>
      <c r="D952" s="2060"/>
      <c r="E952" s="255"/>
      <c r="H952" s="2060"/>
      <c r="I952" s="106"/>
      <c r="J952" s="2060"/>
      <c r="K952" s="2060"/>
      <c r="L952" s="2060"/>
      <c r="M952" s="2060"/>
      <c r="N952" s="2060"/>
      <c r="O952" s="2060"/>
      <c r="P952" s="2060"/>
      <c r="Q952" s="2060"/>
      <c r="R952" s="2060"/>
      <c r="S952" s="2060"/>
      <c r="T952" s="255"/>
      <c r="U952" s="255"/>
      <c r="V952" s="103"/>
    </row>
    <row r="953" spans="2:22">
      <c r="B953" s="2060"/>
      <c r="C953" s="2060"/>
      <c r="D953" s="2060"/>
      <c r="E953" s="255"/>
      <c r="H953" s="2060"/>
      <c r="I953" s="106"/>
      <c r="J953" s="2060"/>
      <c r="K953" s="2060"/>
      <c r="L953" s="2060"/>
      <c r="M953" s="2060"/>
      <c r="N953" s="2060"/>
      <c r="O953" s="2060"/>
      <c r="P953" s="2060"/>
      <c r="Q953" s="2060"/>
      <c r="R953" s="2060"/>
      <c r="S953" s="2060"/>
      <c r="T953" s="255"/>
      <c r="U953" s="255"/>
      <c r="V953" s="103"/>
    </row>
    <row r="954" spans="2:22">
      <c r="B954" s="2060"/>
      <c r="C954" s="2060"/>
      <c r="D954" s="2060"/>
      <c r="E954" s="255"/>
      <c r="H954" s="2060"/>
      <c r="I954" s="106"/>
      <c r="J954" s="2060"/>
      <c r="K954" s="2060"/>
      <c r="L954" s="2060"/>
      <c r="M954" s="2060"/>
      <c r="N954" s="2060"/>
      <c r="O954" s="2060"/>
      <c r="P954" s="2060"/>
      <c r="Q954" s="2060"/>
      <c r="R954" s="2060"/>
      <c r="S954" s="2060"/>
      <c r="T954" s="255"/>
      <c r="U954" s="255"/>
      <c r="V954" s="103"/>
    </row>
    <row r="955" spans="2:22">
      <c r="B955" s="2060"/>
      <c r="C955" s="2060"/>
      <c r="D955" s="2060"/>
      <c r="E955" s="255"/>
      <c r="H955" s="2060"/>
      <c r="I955" s="106"/>
      <c r="J955" s="2060"/>
      <c r="K955" s="2060"/>
      <c r="L955" s="2060"/>
      <c r="M955" s="2060"/>
      <c r="N955" s="2060"/>
      <c r="O955" s="2060"/>
      <c r="P955" s="2060"/>
      <c r="Q955" s="2060"/>
      <c r="R955" s="2060"/>
      <c r="S955" s="2060"/>
      <c r="T955" s="255"/>
      <c r="U955" s="255"/>
      <c r="V955" s="103"/>
    </row>
    <row r="956" spans="2:22">
      <c r="B956" s="2060"/>
      <c r="C956" s="2060"/>
      <c r="D956" s="2060"/>
      <c r="E956" s="255"/>
      <c r="H956" s="2060"/>
      <c r="I956" s="106"/>
      <c r="J956" s="2060"/>
      <c r="K956" s="2060"/>
      <c r="L956" s="2060"/>
      <c r="M956" s="2060"/>
      <c r="N956" s="2060"/>
      <c r="O956" s="2060"/>
      <c r="P956" s="2060"/>
      <c r="Q956" s="2060"/>
      <c r="R956" s="2060"/>
      <c r="S956" s="2060"/>
      <c r="T956" s="255"/>
      <c r="U956" s="255"/>
      <c r="V956" s="103"/>
    </row>
    <row r="957" spans="2:22">
      <c r="B957" s="2060"/>
      <c r="C957" s="2060"/>
      <c r="D957" s="2060"/>
      <c r="E957" s="255"/>
      <c r="H957" s="2060"/>
      <c r="I957" s="106"/>
      <c r="J957" s="2060"/>
      <c r="K957" s="2060"/>
      <c r="L957" s="2060"/>
      <c r="M957" s="2060"/>
      <c r="N957" s="2060"/>
      <c r="O957" s="2060"/>
      <c r="P957" s="2060"/>
      <c r="Q957" s="2060"/>
      <c r="R957" s="2060"/>
      <c r="S957" s="2060"/>
      <c r="T957" s="255"/>
      <c r="U957" s="255"/>
      <c r="V957" s="103"/>
    </row>
    <row r="958" spans="2:22">
      <c r="B958" s="2060"/>
      <c r="C958" s="2060"/>
      <c r="D958" s="2060"/>
      <c r="E958" s="255"/>
      <c r="H958" s="2060"/>
      <c r="I958" s="106"/>
      <c r="J958" s="2060"/>
      <c r="K958" s="2060"/>
      <c r="L958" s="2060"/>
      <c r="M958" s="2060"/>
      <c r="N958" s="2060"/>
      <c r="O958" s="2060"/>
      <c r="P958" s="2060"/>
      <c r="Q958" s="2060"/>
      <c r="R958" s="2060"/>
      <c r="S958" s="2060"/>
      <c r="T958" s="255"/>
      <c r="U958" s="255"/>
      <c r="V958" s="103"/>
    </row>
    <row r="959" spans="2:22">
      <c r="B959" s="2060"/>
      <c r="C959" s="2060"/>
      <c r="D959" s="2060"/>
      <c r="E959" s="255"/>
      <c r="H959" s="2060"/>
      <c r="I959" s="106"/>
      <c r="J959" s="2060"/>
      <c r="K959" s="2060"/>
      <c r="L959" s="2060"/>
      <c r="M959" s="2060"/>
      <c r="N959" s="2060"/>
      <c r="O959" s="2060"/>
      <c r="P959" s="2060"/>
      <c r="Q959" s="2060"/>
      <c r="R959" s="2060"/>
      <c r="S959" s="2060"/>
      <c r="T959" s="255"/>
      <c r="U959" s="255"/>
      <c r="V959" s="103"/>
    </row>
    <row r="960" spans="2:22">
      <c r="B960" s="2060"/>
      <c r="C960" s="2060"/>
      <c r="D960" s="2060"/>
      <c r="E960" s="255"/>
      <c r="H960" s="2060"/>
      <c r="I960" s="106"/>
      <c r="J960" s="2060"/>
      <c r="K960" s="2060"/>
      <c r="L960" s="2060"/>
      <c r="M960" s="2060"/>
      <c r="N960" s="2060"/>
      <c r="O960" s="2060"/>
      <c r="P960" s="2060"/>
      <c r="Q960" s="2060"/>
      <c r="R960" s="2060"/>
      <c r="S960" s="2060"/>
      <c r="T960" s="255"/>
      <c r="U960" s="255"/>
      <c r="V960" s="103"/>
    </row>
    <row r="961" spans="2:22">
      <c r="B961" s="2060"/>
      <c r="C961" s="2060"/>
      <c r="D961" s="2060"/>
      <c r="E961" s="255"/>
      <c r="H961" s="2060"/>
      <c r="I961" s="106"/>
      <c r="J961" s="2060"/>
      <c r="K961" s="2060"/>
      <c r="L961" s="2060"/>
      <c r="M961" s="2060"/>
      <c r="N961" s="2060"/>
      <c r="O961" s="2060"/>
      <c r="P961" s="2060"/>
      <c r="Q961" s="2060"/>
      <c r="R961" s="2060"/>
      <c r="S961" s="2060"/>
      <c r="T961" s="255"/>
      <c r="U961" s="255"/>
      <c r="V961" s="103"/>
    </row>
    <row r="962" spans="2:22">
      <c r="B962" s="2060"/>
      <c r="C962" s="2060"/>
      <c r="D962" s="2060"/>
      <c r="E962" s="255"/>
      <c r="H962" s="2060"/>
      <c r="I962" s="106"/>
      <c r="J962" s="2060"/>
      <c r="K962" s="2060"/>
      <c r="L962" s="2060"/>
      <c r="M962" s="2060"/>
      <c r="N962" s="2060"/>
      <c r="O962" s="2060"/>
      <c r="P962" s="2060"/>
      <c r="Q962" s="2060"/>
      <c r="R962" s="2060"/>
      <c r="S962" s="2060"/>
      <c r="T962" s="255"/>
      <c r="U962" s="255"/>
      <c r="V962" s="103"/>
    </row>
    <row r="963" spans="2:22">
      <c r="B963" s="2060"/>
      <c r="C963" s="2060"/>
      <c r="D963" s="2060"/>
      <c r="E963" s="255"/>
      <c r="H963" s="2060"/>
      <c r="I963" s="106"/>
      <c r="J963" s="2060"/>
      <c r="K963" s="2060"/>
      <c r="L963" s="2060"/>
      <c r="M963" s="2060"/>
      <c r="N963" s="2060"/>
      <c r="O963" s="2060"/>
      <c r="P963" s="2060"/>
      <c r="Q963" s="2060"/>
      <c r="R963" s="2060"/>
      <c r="S963" s="2060"/>
      <c r="T963" s="255"/>
      <c r="U963" s="255"/>
      <c r="V963" s="103"/>
    </row>
    <row r="964" spans="2:22">
      <c r="B964" s="2060"/>
      <c r="C964" s="2060"/>
      <c r="D964" s="2060"/>
      <c r="E964" s="255"/>
      <c r="H964" s="2060"/>
      <c r="I964" s="106"/>
      <c r="J964" s="2060"/>
      <c r="K964" s="2060"/>
      <c r="L964" s="2060"/>
      <c r="M964" s="2060"/>
      <c r="N964" s="2060"/>
      <c r="O964" s="2060"/>
      <c r="P964" s="2060"/>
      <c r="Q964" s="2060"/>
      <c r="R964" s="2060"/>
      <c r="S964" s="2060"/>
      <c r="T964" s="255"/>
      <c r="U964" s="255"/>
      <c r="V964" s="103"/>
    </row>
    <row r="965" spans="2:22">
      <c r="B965" s="2060"/>
      <c r="C965" s="2060"/>
      <c r="D965" s="2060"/>
      <c r="E965" s="255"/>
      <c r="H965" s="2060"/>
      <c r="I965" s="106"/>
      <c r="J965" s="2060"/>
      <c r="K965" s="2060"/>
      <c r="L965" s="2060"/>
      <c r="M965" s="2060"/>
      <c r="N965" s="2060"/>
      <c r="O965" s="2060"/>
      <c r="P965" s="2060"/>
      <c r="Q965" s="2060"/>
      <c r="R965" s="2060"/>
      <c r="S965" s="2060"/>
      <c r="T965" s="255"/>
      <c r="U965" s="255"/>
      <c r="V965" s="103"/>
    </row>
    <row r="966" spans="2:22">
      <c r="B966" s="2060"/>
      <c r="C966" s="2060"/>
      <c r="D966" s="2060"/>
      <c r="E966" s="255"/>
      <c r="H966" s="2060"/>
      <c r="I966" s="106"/>
      <c r="J966" s="2060"/>
      <c r="K966" s="2060"/>
      <c r="L966" s="2060"/>
      <c r="M966" s="2060"/>
      <c r="N966" s="2060"/>
      <c r="O966" s="2060"/>
      <c r="P966" s="2060"/>
      <c r="Q966" s="2060"/>
      <c r="R966" s="2060"/>
      <c r="S966" s="2060"/>
      <c r="T966" s="255"/>
      <c r="U966" s="255"/>
      <c r="V966" s="103"/>
    </row>
    <row r="967" spans="2:22">
      <c r="B967" s="2060"/>
      <c r="C967" s="2060"/>
      <c r="D967" s="2060"/>
      <c r="E967" s="255"/>
      <c r="H967" s="2060"/>
      <c r="I967" s="106"/>
      <c r="J967" s="2060"/>
      <c r="K967" s="2060"/>
      <c r="L967" s="2060"/>
      <c r="M967" s="2060"/>
      <c r="N967" s="2060"/>
      <c r="O967" s="2060"/>
      <c r="P967" s="2060"/>
      <c r="Q967" s="2060"/>
      <c r="R967" s="2060"/>
      <c r="S967" s="2060"/>
      <c r="T967" s="255"/>
      <c r="U967" s="255"/>
      <c r="V967" s="103"/>
    </row>
    <row r="968" spans="2:22">
      <c r="B968" s="2060"/>
      <c r="C968" s="2060"/>
      <c r="D968" s="2060"/>
      <c r="E968" s="255"/>
      <c r="H968" s="2060"/>
      <c r="I968" s="106"/>
      <c r="J968" s="2060"/>
      <c r="K968" s="2060"/>
      <c r="L968" s="2060"/>
      <c r="M968" s="2060"/>
      <c r="N968" s="2060"/>
      <c r="O968" s="2060"/>
      <c r="P968" s="2060"/>
      <c r="Q968" s="2060"/>
      <c r="R968" s="2060"/>
      <c r="S968" s="2060"/>
      <c r="T968" s="255"/>
      <c r="U968" s="255"/>
      <c r="V968" s="103"/>
    </row>
    <row r="969" spans="2:22">
      <c r="B969" s="2060"/>
      <c r="C969" s="2060"/>
      <c r="D969" s="2060"/>
      <c r="E969" s="255"/>
      <c r="H969" s="2060"/>
      <c r="I969" s="106"/>
      <c r="J969" s="2060"/>
      <c r="K969" s="2060"/>
      <c r="L969" s="2060"/>
      <c r="M969" s="2060"/>
      <c r="N969" s="2060"/>
      <c r="O969" s="2060"/>
      <c r="P969" s="2060"/>
      <c r="Q969" s="2060"/>
      <c r="R969" s="2060"/>
      <c r="S969" s="2060"/>
      <c r="T969" s="255"/>
      <c r="U969" s="255"/>
      <c r="V969" s="103"/>
    </row>
    <row r="970" spans="2:22">
      <c r="B970" s="2060"/>
      <c r="C970" s="2060"/>
      <c r="D970" s="2060"/>
      <c r="E970" s="255"/>
      <c r="H970" s="2060"/>
      <c r="I970" s="106"/>
      <c r="J970" s="2060"/>
      <c r="K970" s="2060"/>
      <c r="L970" s="2060"/>
      <c r="M970" s="2060"/>
      <c r="N970" s="2060"/>
      <c r="O970" s="2060"/>
      <c r="P970" s="2060"/>
      <c r="Q970" s="2060"/>
      <c r="R970" s="2060"/>
      <c r="S970" s="2060"/>
      <c r="T970" s="255"/>
      <c r="U970" s="255"/>
      <c r="V970" s="103"/>
    </row>
    <row r="971" spans="2:22">
      <c r="B971" s="2060"/>
      <c r="C971" s="2060"/>
      <c r="D971" s="2060"/>
      <c r="E971" s="255"/>
      <c r="H971" s="2060"/>
      <c r="I971" s="106"/>
      <c r="J971" s="2060"/>
      <c r="K971" s="2060"/>
      <c r="L971" s="2060"/>
      <c r="M971" s="2060"/>
      <c r="N971" s="2060"/>
      <c r="O971" s="2060"/>
      <c r="P971" s="2060"/>
      <c r="Q971" s="2060"/>
      <c r="R971" s="2060"/>
      <c r="S971" s="2060"/>
      <c r="T971" s="255"/>
      <c r="U971" s="255"/>
      <c r="V971" s="103"/>
    </row>
    <row r="972" spans="2:22">
      <c r="B972" s="2060"/>
      <c r="C972" s="2060"/>
      <c r="D972" s="2060"/>
      <c r="E972" s="255"/>
      <c r="H972" s="2060"/>
      <c r="I972" s="106"/>
      <c r="J972" s="2060"/>
      <c r="K972" s="2060"/>
      <c r="L972" s="2060"/>
      <c r="M972" s="2060"/>
      <c r="N972" s="2060"/>
      <c r="O972" s="2060"/>
      <c r="P972" s="2060"/>
      <c r="Q972" s="2060"/>
      <c r="R972" s="2060"/>
      <c r="S972" s="2060"/>
      <c r="T972" s="255"/>
      <c r="U972" s="255"/>
      <c r="V972" s="103"/>
    </row>
    <row r="973" spans="2:22">
      <c r="B973" s="2060"/>
      <c r="C973" s="2060"/>
      <c r="D973" s="2060"/>
      <c r="E973" s="255"/>
      <c r="H973" s="2060"/>
      <c r="I973" s="106"/>
      <c r="J973" s="2060"/>
      <c r="K973" s="2060"/>
      <c r="L973" s="2060"/>
      <c r="M973" s="2060"/>
      <c r="N973" s="2060"/>
      <c r="O973" s="2060"/>
      <c r="P973" s="2060"/>
      <c r="Q973" s="2060"/>
      <c r="R973" s="2060"/>
      <c r="S973" s="2060"/>
      <c r="T973" s="255"/>
      <c r="U973" s="255"/>
      <c r="V973" s="103"/>
    </row>
    <row r="974" spans="2:22">
      <c r="B974" s="2060"/>
      <c r="C974" s="2060"/>
      <c r="D974" s="2060"/>
      <c r="E974" s="255"/>
      <c r="H974" s="2060"/>
      <c r="I974" s="106"/>
      <c r="J974" s="2060"/>
      <c r="K974" s="2060"/>
      <c r="L974" s="2060"/>
      <c r="M974" s="2060"/>
      <c r="N974" s="2060"/>
      <c r="O974" s="2060"/>
      <c r="P974" s="2060"/>
      <c r="Q974" s="2060"/>
      <c r="R974" s="2060"/>
      <c r="S974" s="2060"/>
      <c r="T974" s="255"/>
      <c r="U974" s="255"/>
      <c r="V974" s="103"/>
    </row>
    <row r="975" spans="2:22">
      <c r="B975" s="2060"/>
      <c r="C975" s="2060"/>
      <c r="D975" s="2060"/>
      <c r="E975" s="255"/>
      <c r="H975" s="2060"/>
      <c r="I975" s="106"/>
      <c r="J975" s="2060"/>
      <c r="K975" s="2060"/>
      <c r="L975" s="2060"/>
      <c r="M975" s="2060"/>
      <c r="N975" s="2060"/>
      <c r="O975" s="2060"/>
      <c r="P975" s="2060"/>
      <c r="Q975" s="2060"/>
      <c r="R975" s="2060"/>
      <c r="S975" s="2060"/>
      <c r="T975" s="255"/>
      <c r="U975" s="255"/>
      <c r="V975" s="103"/>
    </row>
    <row r="976" spans="2:22">
      <c r="B976" s="2060"/>
      <c r="C976" s="2060"/>
      <c r="D976" s="2060"/>
      <c r="E976" s="255"/>
      <c r="H976" s="2060"/>
      <c r="I976" s="106"/>
      <c r="J976" s="2060"/>
      <c r="K976" s="2060"/>
      <c r="L976" s="2060"/>
      <c r="M976" s="2060"/>
      <c r="N976" s="2060"/>
      <c r="O976" s="2060"/>
      <c r="P976" s="2060"/>
      <c r="Q976" s="2060"/>
      <c r="R976" s="2060"/>
      <c r="S976" s="2060"/>
      <c r="T976" s="255"/>
      <c r="U976" s="255"/>
      <c r="V976" s="103"/>
    </row>
    <row r="977" spans="2:22">
      <c r="B977" s="2060"/>
      <c r="C977" s="2060"/>
      <c r="D977" s="2060"/>
      <c r="E977" s="255"/>
      <c r="H977" s="2060"/>
      <c r="I977" s="106"/>
      <c r="J977" s="2060"/>
      <c r="K977" s="2060"/>
      <c r="L977" s="2060"/>
      <c r="M977" s="2060"/>
      <c r="N977" s="2060"/>
      <c r="O977" s="2060"/>
      <c r="P977" s="2060"/>
      <c r="Q977" s="2060"/>
      <c r="R977" s="2060"/>
      <c r="S977" s="2060"/>
      <c r="T977" s="255"/>
      <c r="U977" s="255"/>
      <c r="V977" s="103"/>
    </row>
    <row r="978" spans="2:22">
      <c r="B978" s="2060"/>
      <c r="C978" s="2060"/>
      <c r="D978" s="2060"/>
      <c r="E978" s="255"/>
      <c r="H978" s="2060"/>
      <c r="I978" s="106"/>
      <c r="J978" s="2060"/>
      <c r="K978" s="2060"/>
      <c r="L978" s="2060"/>
      <c r="M978" s="2060"/>
      <c r="N978" s="2060"/>
      <c r="O978" s="2060"/>
      <c r="P978" s="2060"/>
      <c r="Q978" s="2060"/>
      <c r="R978" s="2060"/>
      <c r="S978" s="2060"/>
      <c r="T978" s="255"/>
      <c r="U978" s="255"/>
      <c r="V978" s="103"/>
    </row>
    <row r="979" spans="2:22">
      <c r="B979" s="2060"/>
      <c r="C979" s="2060"/>
      <c r="D979" s="2060"/>
      <c r="E979" s="255"/>
      <c r="H979" s="2060"/>
      <c r="I979" s="106"/>
      <c r="J979" s="2060"/>
      <c r="K979" s="2060"/>
      <c r="L979" s="2060"/>
      <c r="M979" s="2060"/>
      <c r="N979" s="2060"/>
      <c r="O979" s="2060"/>
      <c r="P979" s="2060"/>
      <c r="Q979" s="2060"/>
      <c r="R979" s="2060"/>
      <c r="S979" s="2060"/>
      <c r="T979" s="255"/>
      <c r="U979" s="255"/>
      <c r="V979" s="103"/>
    </row>
    <row r="980" spans="2:22">
      <c r="B980" s="2060"/>
      <c r="C980" s="2060"/>
      <c r="D980" s="2060"/>
      <c r="E980" s="255"/>
      <c r="H980" s="2060"/>
      <c r="I980" s="106"/>
      <c r="J980" s="2060"/>
      <c r="K980" s="2060"/>
      <c r="L980" s="2060"/>
      <c r="M980" s="2060"/>
      <c r="N980" s="2060"/>
      <c r="O980" s="2060"/>
      <c r="P980" s="2060"/>
      <c r="Q980" s="2060"/>
      <c r="R980" s="2060"/>
      <c r="S980" s="2060"/>
      <c r="T980" s="255"/>
      <c r="U980" s="255"/>
      <c r="V980" s="103"/>
    </row>
    <row r="981" spans="2:22">
      <c r="B981" s="2060"/>
      <c r="C981" s="2060"/>
      <c r="D981" s="2060"/>
      <c r="E981" s="255"/>
      <c r="H981" s="2060"/>
      <c r="I981" s="106"/>
      <c r="J981" s="2060"/>
      <c r="K981" s="2060"/>
      <c r="L981" s="2060"/>
      <c r="M981" s="2060"/>
      <c r="N981" s="2060"/>
      <c r="O981" s="2060"/>
      <c r="P981" s="2060"/>
      <c r="Q981" s="2060"/>
      <c r="R981" s="2060"/>
      <c r="S981" s="2060"/>
      <c r="T981" s="255"/>
      <c r="U981" s="255"/>
      <c r="V981" s="103"/>
    </row>
    <row r="982" spans="2:22">
      <c r="B982" s="2060"/>
      <c r="C982" s="2060"/>
      <c r="D982" s="2060"/>
      <c r="E982" s="255"/>
      <c r="H982" s="2060"/>
      <c r="I982" s="106"/>
      <c r="J982" s="2060"/>
      <c r="K982" s="2060"/>
      <c r="L982" s="2060"/>
      <c r="M982" s="2060"/>
      <c r="N982" s="2060"/>
      <c r="O982" s="2060"/>
      <c r="P982" s="2060"/>
      <c r="Q982" s="2060"/>
      <c r="R982" s="2060"/>
      <c r="S982" s="2060"/>
      <c r="T982" s="255"/>
      <c r="U982" s="255"/>
      <c r="V982" s="103"/>
    </row>
    <row r="983" spans="2:22">
      <c r="B983" s="2060"/>
      <c r="C983" s="2060"/>
      <c r="D983" s="2060"/>
      <c r="E983" s="255"/>
      <c r="H983" s="2060"/>
      <c r="I983" s="106"/>
      <c r="J983" s="2060"/>
      <c r="K983" s="2060"/>
      <c r="L983" s="2060"/>
      <c r="M983" s="2060"/>
      <c r="N983" s="2060"/>
      <c r="O983" s="2060"/>
      <c r="P983" s="2060"/>
      <c r="Q983" s="2060"/>
      <c r="R983" s="2060"/>
      <c r="S983" s="2060"/>
      <c r="T983" s="255"/>
      <c r="U983" s="255"/>
      <c r="V983" s="103"/>
    </row>
    <row r="984" spans="2:22">
      <c r="B984" s="2060"/>
      <c r="C984" s="2060"/>
      <c r="D984" s="2060"/>
      <c r="E984" s="255"/>
      <c r="H984" s="2060"/>
      <c r="I984" s="106"/>
      <c r="J984" s="2060"/>
      <c r="K984" s="2060"/>
      <c r="L984" s="2060"/>
      <c r="M984" s="2060"/>
      <c r="N984" s="2060"/>
      <c r="O984" s="2060"/>
      <c r="P984" s="2060"/>
      <c r="Q984" s="2060"/>
      <c r="R984" s="2060"/>
      <c r="S984" s="2060"/>
      <c r="T984" s="255"/>
      <c r="U984" s="255"/>
      <c r="V984" s="103"/>
    </row>
    <row r="985" spans="2:22">
      <c r="B985" s="2060"/>
      <c r="C985" s="2060"/>
      <c r="D985" s="2060"/>
      <c r="E985" s="255"/>
      <c r="H985" s="2060"/>
      <c r="I985" s="106"/>
      <c r="J985" s="2060"/>
      <c r="K985" s="2060"/>
      <c r="L985" s="2060"/>
      <c r="M985" s="2060"/>
      <c r="N985" s="2060"/>
      <c r="O985" s="2060"/>
      <c r="P985" s="2060"/>
      <c r="Q985" s="2060"/>
      <c r="R985" s="2060"/>
      <c r="S985" s="2060"/>
      <c r="T985" s="255"/>
      <c r="U985" s="255"/>
      <c r="V985" s="103"/>
    </row>
    <row r="986" spans="2:22">
      <c r="B986" s="2060"/>
      <c r="C986" s="2060"/>
      <c r="D986" s="2060"/>
      <c r="E986" s="255"/>
      <c r="H986" s="2060"/>
      <c r="I986" s="106"/>
      <c r="J986" s="2060"/>
      <c r="K986" s="2060"/>
      <c r="L986" s="2060"/>
      <c r="M986" s="2060"/>
      <c r="N986" s="2060"/>
      <c r="O986" s="2060"/>
      <c r="P986" s="2060"/>
      <c r="Q986" s="2060"/>
      <c r="R986" s="2060"/>
      <c r="S986" s="2060"/>
      <c r="T986" s="255"/>
      <c r="U986" s="255"/>
      <c r="V986" s="103"/>
    </row>
    <row r="987" spans="2:22">
      <c r="B987" s="2060"/>
      <c r="C987" s="2060"/>
      <c r="D987" s="2060"/>
      <c r="E987" s="255"/>
      <c r="H987" s="2060"/>
      <c r="I987" s="106"/>
      <c r="J987" s="2060"/>
      <c r="K987" s="2060"/>
      <c r="L987" s="2060"/>
      <c r="M987" s="2060"/>
      <c r="N987" s="2060"/>
      <c r="O987" s="2060"/>
      <c r="P987" s="2060"/>
      <c r="Q987" s="2060"/>
      <c r="R987" s="2060"/>
      <c r="S987" s="2060"/>
      <c r="T987" s="255"/>
      <c r="U987" s="255"/>
      <c r="V987" s="103"/>
    </row>
    <row r="988" spans="2:22">
      <c r="B988" s="2060"/>
      <c r="C988" s="2060"/>
      <c r="D988" s="2060"/>
      <c r="E988" s="255"/>
      <c r="H988" s="2060"/>
      <c r="I988" s="106"/>
      <c r="J988" s="2060"/>
      <c r="K988" s="2060"/>
      <c r="L988" s="2060"/>
      <c r="M988" s="2060"/>
      <c r="N988" s="2060"/>
      <c r="O988" s="2060"/>
      <c r="P988" s="2060"/>
      <c r="Q988" s="2060"/>
      <c r="R988" s="2060"/>
      <c r="S988" s="2060"/>
      <c r="T988" s="255"/>
      <c r="U988" s="255"/>
      <c r="V988" s="103"/>
    </row>
    <row r="989" spans="2:22">
      <c r="B989" s="2060"/>
      <c r="C989" s="2060"/>
      <c r="D989" s="2060"/>
      <c r="E989" s="255"/>
      <c r="H989" s="2060"/>
      <c r="I989" s="106"/>
      <c r="J989" s="2060"/>
      <c r="K989" s="2060"/>
      <c r="L989" s="2060"/>
      <c r="M989" s="2060"/>
      <c r="N989" s="2060"/>
      <c r="O989" s="2060"/>
      <c r="P989" s="2060"/>
      <c r="Q989" s="2060"/>
      <c r="R989" s="2060"/>
      <c r="S989" s="2060"/>
      <c r="T989" s="255"/>
      <c r="U989" s="255"/>
      <c r="V989" s="103"/>
    </row>
    <row r="990" spans="2:22">
      <c r="B990" s="2060"/>
      <c r="C990" s="2060"/>
      <c r="D990" s="2060"/>
      <c r="E990" s="255"/>
      <c r="H990" s="2060"/>
      <c r="I990" s="106"/>
      <c r="J990" s="2060"/>
      <c r="K990" s="2060"/>
      <c r="L990" s="2060"/>
      <c r="M990" s="2060"/>
      <c r="N990" s="2060"/>
      <c r="O990" s="2060"/>
      <c r="P990" s="2060"/>
      <c r="Q990" s="2060"/>
      <c r="R990" s="2060"/>
      <c r="S990" s="2060"/>
      <c r="T990" s="255"/>
      <c r="U990" s="255"/>
      <c r="V990" s="103"/>
    </row>
    <row r="991" spans="2:22">
      <c r="B991" s="2060"/>
      <c r="C991" s="2060"/>
      <c r="D991" s="2060"/>
      <c r="E991" s="255"/>
      <c r="H991" s="2060"/>
      <c r="I991" s="106"/>
      <c r="J991" s="2060"/>
      <c r="K991" s="2060"/>
      <c r="L991" s="2060"/>
      <c r="M991" s="2060"/>
      <c r="N991" s="2060"/>
      <c r="O991" s="2060"/>
      <c r="P991" s="2060"/>
      <c r="Q991" s="2060"/>
      <c r="R991" s="2060"/>
      <c r="S991" s="2060"/>
      <c r="T991" s="255"/>
      <c r="U991" s="255"/>
      <c r="V991" s="103"/>
    </row>
    <row r="992" spans="2:22">
      <c r="B992" s="2060"/>
      <c r="C992" s="2060"/>
      <c r="D992" s="2060"/>
      <c r="E992" s="255"/>
      <c r="H992" s="2060"/>
      <c r="I992" s="106"/>
      <c r="J992" s="2060"/>
      <c r="K992" s="2060"/>
      <c r="L992" s="2060"/>
      <c r="M992" s="2060"/>
      <c r="N992" s="2060"/>
      <c r="O992" s="2060"/>
      <c r="P992" s="2060"/>
      <c r="Q992" s="2060"/>
      <c r="R992" s="2060"/>
      <c r="S992" s="2060"/>
      <c r="T992" s="255"/>
      <c r="U992" s="255"/>
      <c r="V992" s="103"/>
    </row>
    <row r="993" spans="2:22">
      <c r="B993" s="2060"/>
      <c r="C993" s="2060"/>
      <c r="D993" s="2060"/>
      <c r="E993" s="255"/>
      <c r="H993" s="2060"/>
      <c r="I993" s="106"/>
      <c r="J993" s="2060"/>
      <c r="K993" s="2060"/>
      <c r="L993" s="2060"/>
      <c r="M993" s="2060"/>
      <c r="N993" s="2060"/>
      <c r="O993" s="2060"/>
      <c r="P993" s="2060"/>
      <c r="Q993" s="2060"/>
      <c r="R993" s="2060"/>
      <c r="S993" s="2060"/>
      <c r="T993" s="255"/>
      <c r="U993" s="255"/>
      <c r="V993" s="103"/>
    </row>
    <row r="994" spans="2:22">
      <c r="B994" s="2060"/>
      <c r="C994" s="2060"/>
      <c r="D994" s="2060"/>
      <c r="E994" s="255"/>
      <c r="H994" s="2060"/>
      <c r="I994" s="106"/>
      <c r="J994" s="2060"/>
      <c r="K994" s="2060"/>
      <c r="L994" s="2060"/>
      <c r="M994" s="2060"/>
      <c r="N994" s="2060"/>
      <c r="O994" s="2060"/>
      <c r="P994" s="2060"/>
      <c r="Q994" s="2060"/>
      <c r="R994" s="2060"/>
      <c r="S994" s="2060"/>
      <c r="T994" s="255"/>
      <c r="U994" s="255"/>
      <c r="V994" s="103"/>
    </row>
    <row r="995" spans="2:22">
      <c r="B995" s="2060"/>
      <c r="C995" s="2060"/>
      <c r="D995" s="2060"/>
      <c r="E995" s="255"/>
      <c r="H995" s="2060"/>
      <c r="I995" s="106"/>
      <c r="J995" s="2060"/>
      <c r="K995" s="2060"/>
      <c r="L995" s="2060"/>
      <c r="M995" s="2060"/>
      <c r="N995" s="2060"/>
      <c r="O995" s="2060"/>
      <c r="P995" s="2060"/>
      <c r="Q995" s="2060"/>
      <c r="R995" s="2060"/>
      <c r="S995" s="2060"/>
      <c r="T995" s="255"/>
      <c r="U995" s="255"/>
      <c r="V995" s="103"/>
    </row>
    <row r="996" spans="2:22">
      <c r="B996" s="2060"/>
      <c r="C996" s="2060"/>
      <c r="D996" s="2060"/>
      <c r="E996" s="255"/>
      <c r="H996" s="2060"/>
      <c r="I996" s="106"/>
      <c r="J996" s="2060"/>
      <c r="K996" s="2060"/>
      <c r="L996" s="2060"/>
      <c r="M996" s="2060"/>
      <c r="N996" s="2060"/>
      <c r="O996" s="2060"/>
      <c r="P996" s="2060"/>
      <c r="Q996" s="2060"/>
      <c r="R996" s="2060"/>
      <c r="S996" s="2060"/>
      <c r="T996" s="255"/>
      <c r="U996" s="255"/>
      <c r="V996" s="103"/>
    </row>
    <row r="997" spans="2:22">
      <c r="B997" s="2060"/>
      <c r="C997" s="2060"/>
      <c r="D997" s="2060"/>
      <c r="E997" s="255"/>
      <c r="H997" s="2060"/>
      <c r="I997" s="106"/>
      <c r="J997" s="2060"/>
      <c r="K997" s="2060"/>
      <c r="L997" s="2060"/>
      <c r="M997" s="2060"/>
      <c r="N997" s="2060"/>
      <c r="O997" s="2060"/>
      <c r="P997" s="2060"/>
      <c r="Q997" s="2060"/>
      <c r="R997" s="2060"/>
      <c r="S997" s="2060"/>
      <c r="T997" s="255"/>
      <c r="U997" s="255"/>
      <c r="V997" s="103"/>
    </row>
    <row r="998" spans="2:22">
      <c r="B998" s="2060"/>
      <c r="C998" s="2060"/>
      <c r="D998" s="2060"/>
      <c r="E998" s="255"/>
      <c r="H998" s="2060"/>
      <c r="I998" s="106"/>
      <c r="J998" s="2060"/>
      <c r="K998" s="2060"/>
      <c r="L998" s="2060"/>
      <c r="M998" s="2060"/>
      <c r="N998" s="2060"/>
      <c r="O998" s="2060"/>
      <c r="P998" s="2060"/>
      <c r="Q998" s="2060"/>
      <c r="R998" s="2060"/>
      <c r="S998" s="2060"/>
      <c r="T998" s="255"/>
      <c r="U998" s="255"/>
      <c r="V998" s="103"/>
    </row>
    <row r="999" spans="2:22">
      <c r="B999" s="2060"/>
      <c r="C999" s="2060"/>
      <c r="D999" s="2060"/>
      <c r="E999" s="255"/>
      <c r="H999" s="2060"/>
      <c r="I999" s="106"/>
      <c r="J999" s="2060"/>
      <c r="K999" s="2060"/>
      <c r="L999" s="2060"/>
      <c r="M999" s="2060"/>
      <c r="N999" s="2060"/>
      <c r="O999" s="2060"/>
      <c r="P999" s="2060"/>
      <c r="Q999" s="2060"/>
      <c r="R999" s="2060"/>
      <c r="S999" s="2060"/>
      <c r="T999" s="255"/>
      <c r="U999" s="255"/>
      <c r="V999" s="103"/>
    </row>
    <row r="1000" spans="2:22">
      <c r="B1000" s="2060"/>
      <c r="C1000" s="2060"/>
      <c r="D1000" s="2060"/>
      <c r="E1000" s="255"/>
      <c r="H1000" s="2060"/>
      <c r="I1000" s="106"/>
      <c r="J1000" s="2060"/>
      <c r="K1000" s="2060"/>
      <c r="L1000" s="2060"/>
      <c r="M1000" s="2060"/>
      <c r="N1000" s="2060"/>
      <c r="O1000" s="2060"/>
      <c r="P1000" s="2060"/>
      <c r="Q1000" s="2060"/>
      <c r="R1000" s="2060"/>
      <c r="S1000" s="2060"/>
      <c r="T1000" s="255"/>
      <c r="U1000" s="255"/>
      <c r="V1000" s="103"/>
    </row>
    <row r="1001" spans="2:22">
      <c r="B1001" s="2060"/>
      <c r="C1001" s="2060"/>
      <c r="D1001" s="2060"/>
      <c r="E1001" s="255"/>
      <c r="H1001" s="2060"/>
      <c r="I1001" s="106"/>
      <c r="J1001" s="2060"/>
      <c r="K1001" s="2060"/>
      <c r="L1001" s="2060"/>
      <c r="M1001" s="2060"/>
      <c r="N1001" s="2060"/>
      <c r="O1001" s="2060"/>
      <c r="P1001" s="2060"/>
      <c r="Q1001" s="2060"/>
      <c r="R1001" s="2060"/>
      <c r="S1001" s="2060"/>
      <c r="T1001" s="255"/>
      <c r="U1001" s="255"/>
      <c r="V1001" s="103"/>
    </row>
    <row r="1002" spans="2:22">
      <c r="B1002" s="2060"/>
      <c r="C1002" s="2060"/>
      <c r="D1002" s="2060"/>
      <c r="E1002" s="255"/>
      <c r="H1002" s="2060"/>
      <c r="I1002" s="106"/>
      <c r="J1002" s="2060"/>
      <c r="K1002" s="2060"/>
      <c r="L1002" s="2060"/>
      <c r="M1002" s="2060"/>
      <c r="N1002" s="2060"/>
      <c r="O1002" s="2060"/>
      <c r="P1002" s="2060"/>
      <c r="Q1002" s="2060"/>
      <c r="R1002" s="2060"/>
      <c r="S1002" s="2060"/>
      <c r="T1002" s="255"/>
      <c r="U1002" s="255"/>
      <c r="V1002" s="103"/>
    </row>
    <row r="1003" spans="2:22">
      <c r="B1003" s="2060"/>
      <c r="C1003" s="2060"/>
      <c r="D1003" s="2060"/>
      <c r="E1003" s="255"/>
      <c r="H1003" s="2060"/>
      <c r="I1003" s="106"/>
      <c r="J1003" s="2060"/>
      <c r="K1003" s="2060"/>
      <c r="L1003" s="2060"/>
      <c r="M1003" s="2060"/>
      <c r="N1003" s="2060"/>
      <c r="O1003" s="2060"/>
      <c r="P1003" s="2060"/>
      <c r="Q1003" s="2060"/>
      <c r="R1003" s="2060"/>
      <c r="S1003" s="2060"/>
      <c r="T1003" s="255"/>
      <c r="U1003" s="255"/>
      <c r="V1003" s="103"/>
    </row>
    <row r="1004" spans="2:22">
      <c r="B1004" s="2060"/>
      <c r="C1004" s="2060"/>
      <c r="D1004" s="2060"/>
      <c r="E1004" s="255"/>
      <c r="H1004" s="2060"/>
      <c r="I1004" s="106"/>
      <c r="J1004" s="2060"/>
      <c r="K1004" s="2060"/>
      <c r="L1004" s="2060"/>
      <c r="M1004" s="2060"/>
      <c r="N1004" s="2060"/>
      <c r="O1004" s="2060"/>
      <c r="P1004" s="2060"/>
      <c r="Q1004" s="2060"/>
      <c r="R1004" s="2060"/>
      <c r="S1004" s="2060"/>
      <c r="T1004" s="255"/>
      <c r="U1004" s="255"/>
      <c r="V1004" s="103"/>
    </row>
    <row r="1005" spans="2:22">
      <c r="B1005" s="2060"/>
      <c r="C1005" s="2060"/>
      <c r="D1005" s="2060"/>
      <c r="E1005" s="255"/>
      <c r="H1005" s="2060"/>
      <c r="I1005" s="106"/>
      <c r="J1005" s="2060"/>
      <c r="K1005" s="2060"/>
      <c r="L1005" s="2060"/>
      <c r="M1005" s="2060"/>
      <c r="N1005" s="2060"/>
      <c r="O1005" s="2060"/>
      <c r="P1005" s="2060"/>
      <c r="Q1005" s="2060"/>
      <c r="R1005" s="2060"/>
      <c r="S1005" s="2060"/>
      <c r="T1005" s="255"/>
      <c r="U1005" s="255"/>
      <c r="V1005" s="103"/>
    </row>
    <row r="1006" spans="2:22">
      <c r="B1006" s="2060"/>
      <c r="C1006" s="2060"/>
      <c r="D1006" s="2060"/>
      <c r="E1006" s="255"/>
      <c r="H1006" s="2060"/>
      <c r="I1006" s="106"/>
      <c r="J1006" s="2060"/>
      <c r="K1006" s="2060"/>
      <c r="L1006" s="2060"/>
      <c r="M1006" s="2060"/>
      <c r="N1006" s="2060"/>
      <c r="O1006" s="2060"/>
      <c r="P1006" s="2060"/>
      <c r="Q1006" s="2060"/>
      <c r="R1006" s="2060"/>
      <c r="S1006" s="2060"/>
      <c r="T1006" s="255"/>
      <c r="U1006" s="255"/>
      <c r="V1006" s="103"/>
    </row>
    <row r="1007" spans="2:22">
      <c r="B1007" s="2060"/>
      <c r="C1007" s="2060"/>
      <c r="D1007" s="2060"/>
      <c r="E1007" s="255"/>
      <c r="H1007" s="2060"/>
      <c r="I1007" s="106"/>
      <c r="J1007" s="2060"/>
      <c r="K1007" s="2060"/>
      <c r="L1007" s="2060"/>
      <c r="M1007" s="2060"/>
      <c r="N1007" s="2060"/>
      <c r="O1007" s="2060"/>
      <c r="P1007" s="2060"/>
      <c r="Q1007" s="2060"/>
      <c r="R1007" s="2060"/>
      <c r="S1007" s="2060"/>
      <c r="T1007" s="255"/>
      <c r="U1007" s="255"/>
      <c r="V1007" s="103"/>
    </row>
    <row r="1008" spans="2:22">
      <c r="B1008" s="2060"/>
      <c r="C1008" s="2060"/>
      <c r="D1008" s="2060"/>
      <c r="E1008" s="255"/>
      <c r="H1008" s="2060"/>
      <c r="I1008" s="106"/>
      <c r="J1008" s="2060"/>
      <c r="K1008" s="2060"/>
      <c r="L1008" s="2060"/>
      <c r="M1008" s="2060"/>
      <c r="N1008" s="2060"/>
      <c r="O1008" s="2060"/>
      <c r="P1008" s="2060"/>
      <c r="Q1008" s="2060"/>
      <c r="R1008" s="2060"/>
      <c r="S1008" s="2060"/>
      <c r="T1008" s="255"/>
      <c r="U1008" s="255"/>
      <c r="V1008" s="103"/>
    </row>
    <row r="1009" spans="2:22">
      <c r="B1009" s="2060"/>
      <c r="C1009" s="2060"/>
      <c r="D1009" s="2060"/>
      <c r="E1009" s="255"/>
      <c r="H1009" s="2060"/>
      <c r="I1009" s="106"/>
      <c r="J1009" s="2060"/>
      <c r="K1009" s="2060"/>
      <c r="L1009" s="2060"/>
      <c r="M1009" s="2060"/>
      <c r="N1009" s="2060"/>
      <c r="O1009" s="2060"/>
      <c r="P1009" s="2060"/>
      <c r="Q1009" s="2060"/>
      <c r="R1009" s="2060"/>
      <c r="S1009" s="2060"/>
      <c r="T1009" s="255"/>
      <c r="U1009" s="255"/>
      <c r="V1009" s="103"/>
    </row>
    <row r="1010" spans="2:22">
      <c r="B1010" s="2060"/>
      <c r="C1010" s="2060"/>
      <c r="D1010" s="2060"/>
      <c r="E1010" s="255"/>
      <c r="H1010" s="2060"/>
      <c r="I1010" s="106"/>
      <c r="J1010" s="2060"/>
      <c r="K1010" s="2060"/>
      <c r="L1010" s="2060"/>
      <c r="M1010" s="2060"/>
      <c r="N1010" s="2060"/>
      <c r="O1010" s="2060"/>
      <c r="P1010" s="2060"/>
      <c r="Q1010" s="2060"/>
      <c r="R1010" s="2060"/>
      <c r="S1010" s="2060"/>
      <c r="T1010" s="255"/>
      <c r="U1010" s="255"/>
      <c r="V1010" s="103"/>
    </row>
    <row r="1011" spans="2:22">
      <c r="B1011" s="2060"/>
      <c r="C1011" s="2060"/>
      <c r="D1011" s="2060"/>
      <c r="E1011" s="255"/>
      <c r="H1011" s="2060"/>
      <c r="I1011" s="106"/>
      <c r="J1011" s="2060"/>
      <c r="K1011" s="2060"/>
      <c r="L1011" s="2060"/>
      <c r="M1011" s="2060"/>
      <c r="N1011" s="2060"/>
      <c r="O1011" s="2060"/>
      <c r="P1011" s="2060"/>
      <c r="Q1011" s="2060"/>
      <c r="R1011" s="2060"/>
      <c r="S1011" s="2060"/>
      <c r="T1011" s="255"/>
      <c r="U1011" s="255"/>
      <c r="V1011" s="103"/>
    </row>
    <row r="1012" spans="2:22">
      <c r="B1012" s="2060"/>
      <c r="C1012" s="2060"/>
      <c r="D1012" s="2060"/>
      <c r="E1012" s="255"/>
      <c r="H1012" s="2060"/>
      <c r="I1012" s="106"/>
      <c r="J1012" s="2060"/>
      <c r="K1012" s="2060"/>
      <c r="L1012" s="2060"/>
      <c r="M1012" s="2060"/>
      <c r="N1012" s="2060"/>
      <c r="O1012" s="2060"/>
      <c r="P1012" s="2060"/>
      <c r="Q1012" s="2060"/>
      <c r="R1012" s="2060"/>
      <c r="S1012" s="2060"/>
      <c r="T1012" s="255"/>
      <c r="U1012" s="255"/>
      <c r="V1012" s="103"/>
    </row>
    <row r="1013" spans="2:22">
      <c r="B1013" s="2060"/>
      <c r="C1013" s="2060"/>
      <c r="D1013" s="2060"/>
      <c r="E1013" s="255"/>
      <c r="H1013" s="2060"/>
      <c r="I1013" s="106"/>
      <c r="J1013" s="2060"/>
      <c r="K1013" s="2060"/>
      <c r="L1013" s="2060"/>
      <c r="M1013" s="2060"/>
      <c r="N1013" s="2060"/>
      <c r="O1013" s="2060"/>
      <c r="P1013" s="2060"/>
      <c r="Q1013" s="2060"/>
      <c r="R1013" s="2060"/>
      <c r="S1013" s="2060"/>
      <c r="T1013" s="255"/>
      <c r="U1013" s="255"/>
      <c r="V1013" s="103"/>
    </row>
    <row r="1014" spans="2:22">
      <c r="B1014" s="2060"/>
      <c r="C1014" s="2060"/>
      <c r="D1014" s="2060"/>
      <c r="E1014" s="255"/>
      <c r="H1014" s="2060"/>
      <c r="I1014" s="106"/>
      <c r="J1014" s="2060"/>
      <c r="K1014" s="2060"/>
      <c r="L1014" s="2060"/>
      <c r="M1014" s="2060"/>
      <c r="N1014" s="2060"/>
      <c r="O1014" s="2060"/>
      <c r="P1014" s="2060"/>
      <c r="Q1014" s="2060"/>
      <c r="R1014" s="2060"/>
      <c r="S1014" s="2060"/>
      <c r="T1014" s="255"/>
      <c r="U1014" s="255"/>
      <c r="V1014" s="103"/>
    </row>
    <row r="1015" spans="2:22">
      <c r="B1015" s="2060"/>
      <c r="C1015" s="2060"/>
      <c r="D1015" s="2060"/>
      <c r="E1015" s="255"/>
      <c r="H1015" s="2060"/>
      <c r="I1015" s="106"/>
      <c r="J1015" s="2060"/>
      <c r="K1015" s="2060"/>
      <c r="L1015" s="2060"/>
      <c r="M1015" s="2060"/>
      <c r="N1015" s="2060"/>
      <c r="O1015" s="2060"/>
      <c r="P1015" s="2060"/>
      <c r="Q1015" s="2060"/>
      <c r="R1015" s="2060"/>
      <c r="S1015" s="2060"/>
      <c r="T1015" s="255"/>
      <c r="U1015" s="255"/>
      <c r="V1015" s="103"/>
    </row>
    <row r="1016" spans="2:22">
      <c r="B1016" s="2060"/>
      <c r="C1016" s="2060"/>
      <c r="D1016" s="2060"/>
      <c r="E1016" s="255"/>
      <c r="H1016" s="2060"/>
      <c r="I1016" s="106"/>
      <c r="J1016" s="2060"/>
      <c r="K1016" s="2060"/>
      <c r="L1016" s="2060"/>
      <c r="M1016" s="2060"/>
      <c r="N1016" s="2060"/>
      <c r="O1016" s="2060"/>
      <c r="P1016" s="2060"/>
      <c r="Q1016" s="2060"/>
      <c r="R1016" s="2060"/>
      <c r="S1016" s="2060"/>
      <c r="T1016" s="255"/>
      <c r="U1016" s="255"/>
      <c r="V1016" s="103"/>
    </row>
    <row r="1017" spans="2:22">
      <c r="B1017" s="2060"/>
      <c r="C1017" s="2060"/>
      <c r="D1017" s="2060"/>
      <c r="E1017" s="255"/>
      <c r="H1017" s="2060"/>
      <c r="I1017" s="106"/>
      <c r="J1017" s="2060"/>
      <c r="K1017" s="2060"/>
      <c r="L1017" s="2060"/>
      <c r="M1017" s="2060"/>
      <c r="N1017" s="2060"/>
      <c r="O1017" s="2060"/>
      <c r="P1017" s="2060"/>
      <c r="Q1017" s="2060"/>
      <c r="R1017" s="2060"/>
      <c r="S1017" s="2060"/>
      <c r="T1017" s="255"/>
      <c r="U1017" s="255"/>
      <c r="V1017" s="103"/>
    </row>
    <row r="1018" spans="2:22">
      <c r="B1018" s="2060"/>
      <c r="C1018" s="2060"/>
      <c r="D1018" s="2060"/>
      <c r="E1018" s="255"/>
      <c r="H1018" s="2060"/>
      <c r="I1018" s="106"/>
      <c r="J1018" s="2060"/>
      <c r="K1018" s="2060"/>
      <c r="L1018" s="2060"/>
      <c r="M1018" s="2060"/>
      <c r="N1018" s="2060"/>
      <c r="O1018" s="2060"/>
      <c r="P1018" s="2060"/>
      <c r="Q1018" s="2060"/>
      <c r="R1018" s="2060"/>
      <c r="S1018" s="2060"/>
      <c r="T1018" s="255"/>
      <c r="U1018" s="255"/>
      <c r="V1018" s="103"/>
    </row>
    <row r="1019" spans="2:22">
      <c r="B1019" s="2060"/>
      <c r="C1019" s="2060"/>
      <c r="D1019" s="2060"/>
      <c r="E1019" s="255"/>
      <c r="H1019" s="2060"/>
      <c r="I1019" s="106"/>
      <c r="J1019" s="2060"/>
      <c r="K1019" s="2060"/>
      <c r="L1019" s="2060"/>
      <c r="M1019" s="2060"/>
      <c r="N1019" s="2060"/>
      <c r="O1019" s="2060"/>
      <c r="P1019" s="2060"/>
      <c r="Q1019" s="2060"/>
      <c r="R1019" s="2060"/>
      <c r="S1019" s="2060"/>
      <c r="T1019" s="255"/>
      <c r="U1019" s="255"/>
      <c r="V1019" s="103"/>
    </row>
    <row r="1020" spans="2:22">
      <c r="B1020" s="2060"/>
      <c r="C1020" s="2060"/>
      <c r="D1020" s="2060"/>
      <c r="E1020" s="255"/>
      <c r="H1020" s="2060"/>
      <c r="I1020" s="106"/>
      <c r="J1020" s="2060"/>
      <c r="K1020" s="2060"/>
      <c r="L1020" s="2060"/>
      <c r="M1020" s="2060"/>
      <c r="N1020" s="2060"/>
      <c r="O1020" s="2060"/>
      <c r="P1020" s="2060"/>
      <c r="Q1020" s="2060"/>
      <c r="R1020" s="2060"/>
      <c r="S1020" s="2060"/>
      <c r="T1020" s="255"/>
      <c r="U1020" s="255"/>
      <c r="V1020" s="103"/>
    </row>
    <row r="1021" spans="2:22">
      <c r="B1021" s="2060"/>
      <c r="C1021" s="2060"/>
      <c r="D1021" s="2060"/>
      <c r="E1021" s="255"/>
      <c r="H1021" s="2060"/>
      <c r="I1021" s="106"/>
      <c r="J1021" s="2060"/>
      <c r="K1021" s="2060"/>
      <c r="L1021" s="2060"/>
      <c r="M1021" s="2060"/>
      <c r="N1021" s="2060"/>
      <c r="O1021" s="2060"/>
      <c r="P1021" s="2060"/>
      <c r="Q1021" s="2060"/>
      <c r="R1021" s="2060"/>
      <c r="S1021" s="2060"/>
      <c r="T1021" s="255"/>
      <c r="U1021" s="255"/>
      <c r="V1021" s="103"/>
    </row>
    <row r="1022" spans="2:22">
      <c r="B1022" s="2060"/>
      <c r="C1022" s="2060"/>
      <c r="D1022" s="2060"/>
      <c r="E1022" s="255"/>
      <c r="H1022" s="2060"/>
      <c r="I1022" s="106"/>
      <c r="J1022" s="2060"/>
      <c r="K1022" s="2060"/>
      <c r="L1022" s="2060"/>
      <c r="M1022" s="2060"/>
      <c r="N1022" s="2060"/>
      <c r="O1022" s="2060"/>
      <c r="P1022" s="2060"/>
      <c r="Q1022" s="2060"/>
      <c r="R1022" s="2060"/>
      <c r="S1022" s="2060"/>
      <c r="T1022" s="255"/>
      <c r="U1022" s="255"/>
      <c r="V1022" s="103"/>
    </row>
    <row r="1023" spans="2:22">
      <c r="B1023" s="2060"/>
      <c r="C1023" s="2060"/>
      <c r="D1023" s="2060"/>
      <c r="E1023" s="255"/>
      <c r="H1023" s="2060"/>
      <c r="I1023" s="106"/>
      <c r="J1023" s="2060"/>
      <c r="K1023" s="2060"/>
      <c r="L1023" s="2060"/>
      <c r="M1023" s="2060"/>
      <c r="N1023" s="2060"/>
      <c r="O1023" s="2060"/>
      <c r="P1023" s="2060"/>
      <c r="Q1023" s="2060"/>
      <c r="R1023" s="2060"/>
      <c r="S1023" s="2060"/>
      <c r="T1023" s="255"/>
      <c r="U1023" s="255"/>
      <c r="V1023" s="103"/>
    </row>
    <row r="1024" spans="2:22">
      <c r="B1024" s="2060"/>
      <c r="C1024" s="2060"/>
      <c r="D1024" s="2060"/>
      <c r="E1024" s="255"/>
      <c r="H1024" s="2060"/>
      <c r="I1024" s="106"/>
      <c r="J1024" s="2060"/>
      <c r="K1024" s="2060"/>
      <c r="L1024" s="2060"/>
      <c r="M1024" s="2060"/>
      <c r="N1024" s="2060"/>
      <c r="O1024" s="2060"/>
      <c r="P1024" s="2060"/>
      <c r="Q1024" s="2060"/>
      <c r="R1024" s="2060"/>
      <c r="S1024" s="2060"/>
      <c r="T1024" s="255"/>
      <c r="U1024" s="255"/>
      <c r="V1024" s="103"/>
    </row>
    <row r="1025" spans="2:22">
      <c r="B1025" s="2060"/>
      <c r="C1025" s="2060"/>
      <c r="D1025" s="2060"/>
      <c r="E1025" s="255"/>
      <c r="H1025" s="2060"/>
      <c r="I1025" s="106"/>
      <c r="J1025" s="2060"/>
      <c r="K1025" s="2060"/>
      <c r="L1025" s="2060"/>
      <c r="M1025" s="2060"/>
      <c r="N1025" s="2060"/>
      <c r="O1025" s="2060"/>
      <c r="P1025" s="2060"/>
      <c r="Q1025" s="2060"/>
      <c r="R1025" s="2060"/>
      <c r="S1025" s="2060"/>
      <c r="T1025" s="255"/>
      <c r="U1025" s="255"/>
      <c r="V1025" s="103"/>
    </row>
    <row r="1026" spans="2:22">
      <c r="B1026" s="2060"/>
      <c r="C1026" s="2060"/>
      <c r="D1026" s="2060"/>
      <c r="E1026" s="255"/>
      <c r="H1026" s="2060"/>
      <c r="I1026" s="106"/>
      <c r="J1026" s="2060"/>
      <c r="K1026" s="2060"/>
      <c r="L1026" s="2060"/>
      <c r="M1026" s="2060"/>
      <c r="N1026" s="2060"/>
      <c r="O1026" s="2060"/>
      <c r="P1026" s="2060"/>
      <c r="Q1026" s="2060"/>
      <c r="R1026" s="2060"/>
      <c r="S1026" s="2060"/>
      <c r="T1026" s="255"/>
      <c r="U1026" s="255"/>
      <c r="V1026" s="103"/>
    </row>
    <row r="1027" spans="2:22">
      <c r="B1027" s="2060"/>
      <c r="C1027" s="2060"/>
      <c r="D1027" s="2060"/>
      <c r="E1027" s="255"/>
      <c r="H1027" s="2060"/>
      <c r="I1027" s="106"/>
      <c r="J1027" s="2060"/>
      <c r="K1027" s="2060"/>
      <c r="L1027" s="2060"/>
      <c r="M1027" s="2060"/>
      <c r="N1027" s="2060"/>
      <c r="O1027" s="2060"/>
      <c r="P1027" s="2060"/>
      <c r="Q1027" s="2060"/>
      <c r="R1027" s="2060"/>
      <c r="S1027" s="2060"/>
      <c r="T1027" s="255"/>
      <c r="U1027" s="255"/>
      <c r="V1027" s="103"/>
    </row>
    <row r="1028" spans="2:22">
      <c r="B1028" s="2060"/>
      <c r="C1028" s="2060"/>
      <c r="D1028" s="2060"/>
      <c r="E1028" s="255"/>
      <c r="H1028" s="2060"/>
      <c r="I1028" s="106"/>
      <c r="J1028" s="2060"/>
      <c r="K1028" s="2060"/>
      <c r="L1028" s="2060"/>
      <c r="M1028" s="2060"/>
      <c r="N1028" s="2060"/>
      <c r="O1028" s="2060"/>
      <c r="P1028" s="2060"/>
      <c r="Q1028" s="2060"/>
      <c r="R1028" s="2060"/>
      <c r="S1028" s="2060"/>
      <c r="T1028" s="255"/>
      <c r="U1028" s="255"/>
      <c r="V1028" s="103"/>
    </row>
    <row r="1029" spans="2:22">
      <c r="B1029" s="2060"/>
      <c r="C1029" s="2060"/>
      <c r="D1029" s="2060"/>
      <c r="E1029" s="255"/>
      <c r="H1029" s="2060"/>
      <c r="I1029" s="106"/>
      <c r="J1029" s="2060"/>
      <c r="K1029" s="2060"/>
      <c r="L1029" s="2060"/>
      <c r="M1029" s="2060"/>
      <c r="N1029" s="2060"/>
      <c r="O1029" s="2060"/>
      <c r="P1029" s="2060"/>
      <c r="Q1029" s="2060"/>
      <c r="R1029" s="2060"/>
      <c r="S1029" s="2060"/>
      <c r="T1029" s="255"/>
      <c r="U1029" s="255"/>
      <c r="V1029" s="103"/>
    </row>
    <row r="1030" spans="2:22">
      <c r="B1030" s="2060"/>
      <c r="C1030" s="2060"/>
      <c r="D1030" s="2060"/>
      <c r="E1030" s="255"/>
      <c r="H1030" s="2060"/>
      <c r="I1030" s="106"/>
      <c r="J1030" s="2060"/>
      <c r="K1030" s="2060"/>
      <c r="L1030" s="2060"/>
      <c r="M1030" s="2060"/>
      <c r="N1030" s="2060"/>
      <c r="O1030" s="2060"/>
      <c r="P1030" s="2060"/>
      <c r="Q1030" s="2060"/>
      <c r="R1030" s="2060"/>
      <c r="S1030" s="2060"/>
      <c r="T1030" s="255"/>
      <c r="U1030" s="255"/>
      <c r="V1030" s="103"/>
    </row>
    <row r="1031" spans="2:22">
      <c r="B1031" s="2060"/>
      <c r="C1031" s="2060"/>
      <c r="D1031" s="2060"/>
      <c r="E1031" s="255"/>
      <c r="H1031" s="2060"/>
      <c r="I1031" s="106"/>
      <c r="J1031" s="2060"/>
      <c r="K1031" s="2060"/>
      <c r="L1031" s="2060"/>
      <c r="M1031" s="2060"/>
      <c r="N1031" s="2060"/>
      <c r="O1031" s="2060"/>
      <c r="P1031" s="2060"/>
      <c r="Q1031" s="2060"/>
      <c r="R1031" s="2060"/>
      <c r="S1031" s="2060"/>
      <c r="T1031" s="255"/>
      <c r="U1031" s="255"/>
      <c r="V1031" s="103"/>
    </row>
    <row r="1032" spans="2:22">
      <c r="B1032" s="2060"/>
      <c r="C1032" s="2060"/>
      <c r="D1032" s="2060"/>
      <c r="E1032" s="255"/>
      <c r="H1032" s="2060"/>
      <c r="I1032" s="106"/>
      <c r="J1032" s="2060"/>
      <c r="K1032" s="2060"/>
      <c r="L1032" s="2060"/>
      <c r="M1032" s="2060"/>
      <c r="N1032" s="2060"/>
      <c r="O1032" s="2060"/>
      <c r="P1032" s="2060"/>
      <c r="Q1032" s="2060"/>
      <c r="R1032" s="2060"/>
      <c r="S1032" s="2060"/>
      <c r="T1032" s="255"/>
      <c r="U1032" s="255"/>
      <c r="V1032" s="103"/>
    </row>
    <row r="1033" spans="2:22">
      <c r="B1033" s="2060"/>
      <c r="C1033" s="2060"/>
      <c r="D1033" s="2060"/>
      <c r="E1033" s="255"/>
      <c r="H1033" s="2060"/>
      <c r="I1033" s="106"/>
      <c r="J1033" s="2060"/>
      <c r="K1033" s="2060"/>
      <c r="L1033" s="2060"/>
      <c r="M1033" s="2060"/>
      <c r="N1033" s="2060"/>
      <c r="O1033" s="2060"/>
      <c r="P1033" s="2060"/>
      <c r="Q1033" s="2060"/>
      <c r="R1033" s="2060"/>
      <c r="S1033" s="2060"/>
      <c r="T1033" s="255"/>
      <c r="U1033" s="255"/>
      <c r="V1033" s="103"/>
    </row>
    <row r="1034" spans="2:22">
      <c r="B1034" s="2060"/>
      <c r="C1034" s="2060"/>
      <c r="D1034" s="2060"/>
      <c r="E1034" s="255"/>
      <c r="H1034" s="2060"/>
      <c r="I1034" s="106"/>
      <c r="J1034" s="2060"/>
      <c r="K1034" s="2060"/>
      <c r="L1034" s="2060"/>
      <c r="M1034" s="2060"/>
      <c r="N1034" s="2060"/>
      <c r="O1034" s="2060"/>
      <c r="P1034" s="2060"/>
      <c r="Q1034" s="2060"/>
      <c r="R1034" s="2060"/>
      <c r="S1034" s="2060"/>
      <c r="T1034" s="255"/>
      <c r="U1034" s="255"/>
      <c r="V1034" s="103"/>
    </row>
    <row r="1035" spans="2:22">
      <c r="B1035" s="2060"/>
      <c r="C1035" s="2060"/>
      <c r="D1035" s="2060"/>
      <c r="E1035" s="255"/>
      <c r="H1035" s="2060"/>
      <c r="I1035" s="106"/>
      <c r="J1035" s="2060"/>
      <c r="K1035" s="2060"/>
      <c r="L1035" s="2060"/>
      <c r="M1035" s="2060"/>
      <c r="N1035" s="2060"/>
      <c r="O1035" s="2060"/>
      <c r="P1035" s="2060"/>
      <c r="Q1035" s="2060"/>
      <c r="R1035" s="2060"/>
      <c r="S1035" s="2060"/>
      <c r="T1035" s="255"/>
      <c r="U1035" s="255"/>
      <c r="V1035" s="103"/>
    </row>
    <row r="1036" spans="2:22">
      <c r="B1036" s="2060"/>
      <c r="C1036" s="2060"/>
      <c r="D1036" s="2060"/>
      <c r="E1036" s="255"/>
      <c r="H1036" s="2060"/>
      <c r="I1036" s="106"/>
      <c r="J1036" s="2060"/>
      <c r="K1036" s="2060"/>
      <c r="L1036" s="2060"/>
      <c r="M1036" s="2060"/>
      <c r="N1036" s="2060"/>
      <c r="O1036" s="2060"/>
      <c r="P1036" s="2060"/>
      <c r="Q1036" s="2060"/>
      <c r="R1036" s="2060"/>
      <c r="S1036" s="2060"/>
      <c r="T1036" s="255"/>
      <c r="U1036" s="255"/>
      <c r="V1036" s="103"/>
    </row>
    <row r="1037" spans="2:22">
      <c r="B1037" s="2060"/>
      <c r="C1037" s="2060"/>
      <c r="D1037" s="2060"/>
      <c r="E1037" s="255"/>
      <c r="H1037" s="2060"/>
      <c r="I1037" s="106"/>
      <c r="J1037" s="2060"/>
      <c r="K1037" s="2060"/>
      <c r="L1037" s="2060"/>
      <c r="M1037" s="2060"/>
      <c r="N1037" s="2060"/>
      <c r="O1037" s="2060"/>
      <c r="P1037" s="2060"/>
      <c r="Q1037" s="2060"/>
      <c r="R1037" s="2060"/>
      <c r="S1037" s="2060"/>
      <c r="T1037" s="255"/>
      <c r="U1037" s="255"/>
      <c r="V1037" s="103"/>
    </row>
    <row r="1038" spans="2:22">
      <c r="B1038" s="2060"/>
      <c r="C1038" s="2060"/>
      <c r="D1038" s="2060"/>
      <c r="E1038" s="255"/>
      <c r="H1038" s="2060"/>
      <c r="I1038" s="106"/>
      <c r="J1038" s="2060"/>
      <c r="K1038" s="2060"/>
      <c r="L1038" s="2060"/>
      <c r="M1038" s="2060"/>
      <c r="N1038" s="2060"/>
      <c r="O1038" s="2060"/>
      <c r="P1038" s="2060"/>
      <c r="Q1038" s="2060"/>
      <c r="R1038" s="2060"/>
      <c r="S1038" s="2060"/>
      <c r="T1038" s="255"/>
      <c r="U1038" s="255"/>
      <c r="V1038" s="103"/>
    </row>
    <row r="1039" spans="2:22">
      <c r="B1039" s="2060"/>
      <c r="C1039" s="2060"/>
      <c r="D1039" s="2060"/>
      <c r="E1039" s="255"/>
      <c r="H1039" s="2060"/>
      <c r="I1039" s="106"/>
      <c r="J1039" s="2060"/>
      <c r="K1039" s="2060"/>
      <c r="L1039" s="2060"/>
      <c r="M1039" s="2060"/>
      <c r="N1039" s="2060"/>
      <c r="O1039" s="2060"/>
      <c r="P1039" s="2060"/>
      <c r="Q1039" s="2060"/>
      <c r="R1039" s="2060"/>
      <c r="S1039" s="2060"/>
      <c r="T1039" s="255"/>
      <c r="U1039" s="255"/>
      <c r="V1039" s="103"/>
    </row>
    <row r="1040" spans="2:22">
      <c r="B1040" s="2060"/>
      <c r="C1040" s="2060"/>
      <c r="D1040" s="2060"/>
      <c r="E1040" s="255"/>
      <c r="H1040" s="2060"/>
      <c r="I1040" s="106"/>
      <c r="J1040" s="2060"/>
      <c r="K1040" s="2060"/>
      <c r="L1040" s="2060"/>
      <c r="M1040" s="2060"/>
      <c r="N1040" s="2060"/>
      <c r="O1040" s="2060"/>
      <c r="P1040" s="2060"/>
      <c r="Q1040" s="2060"/>
      <c r="R1040" s="2060"/>
      <c r="S1040" s="2060"/>
      <c r="T1040" s="255"/>
      <c r="U1040" s="255"/>
      <c r="V1040" s="103"/>
    </row>
    <row r="1041" spans="2:22">
      <c r="B1041" s="2060"/>
      <c r="C1041" s="2060"/>
      <c r="D1041" s="2060"/>
      <c r="E1041" s="255"/>
      <c r="H1041" s="2060"/>
      <c r="I1041" s="106"/>
      <c r="J1041" s="2060"/>
      <c r="K1041" s="2060"/>
      <c r="L1041" s="2060"/>
      <c r="M1041" s="2060"/>
      <c r="N1041" s="2060"/>
      <c r="O1041" s="2060"/>
      <c r="P1041" s="2060"/>
      <c r="Q1041" s="2060"/>
      <c r="R1041" s="2060"/>
      <c r="S1041" s="2060"/>
      <c r="T1041" s="255"/>
      <c r="U1041" s="255"/>
      <c r="V1041" s="103"/>
    </row>
    <row r="1042" spans="2:22">
      <c r="B1042" s="2060"/>
      <c r="C1042" s="2060"/>
      <c r="D1042" s="2060"/>
      <c r="E1042" s="255"/>
      <c r="H1042" s="2060"/>
      <c r="I1042" s="106"/>
      <c r="J1042" s="2060"/>
      <c r="K1042" s="2060"/>
      <c r="L1042" s="2060"/>
      <c r="M1042" s="2060"/>
      <c r="N1042" s="2060"/>
      <c r="O1042" s="2060"/>
      <c r="P1042" s="2060"/>
      <c r="Q1042" s="2060"/>
      <c r="R1042" s="2060"/>
      <c r="S1042" s="2060"/>
      <c r="T1042" s="255"/>
      <c r="U1042" s="255"/>
      <c r="V1042" s="103"/>
    </row>
    <row r="1043" spans="2:22">
      <c r="B1043" s="2060"/>
      <c r="C1043" s="2060"/>
      <c r="D1043" s="2060"/>
      <c r="E1043" s="255"/>
      <c r="H1043" s="2060"/>
      <c r="I1043" s="106"/>
      <c r="J1043" s="2060"/>
      <c r="K1043" s="2060"/>
      <c r="L1043" s="2060"/>
      <c r="M1043" s="2060"/>
      <c r="N1043" s="2060"/>
      <c r="O1043" s="2060"/>
      <c r="P1043" s="2060"/>
      <c r="Q1043" s="2060"/>
      <c r="R1043" s="2060"/>
      <c r="S1043" s="2060"/>
      <c r="T1043" s="255"/>
      <c r="U1043" s="255"/>
      <c r="V1043" s="103"/>
    </row>
    <row r="1044" spans="2:22">
      <c r="B1044" s="2060"/>
      <c r="C1044" s="2060"/>
      <c r="D1044" s="2060"/>
      <c r="E1044" s="255"/>
      <c r="H1044" s="2060"/>
      <c r="I1044" s="106"/>
      <c r="J1044" s="2060"/>
      <c r="K1044" s="2060"/>
      <c r="L1044" s="2060"/>
      <c r="M1044" s="2060"/>
      <c r="N1044" s="2060"/>
      <c r="O1044" s="2060"/>
      <c r="P1044" s="2060"/>
      <c r="Q1044" s="2060"/>
      <c r="R1044" s="2060"/>
      <c r="S1044" s="2060"/>
      <c r="T1044" s="255"/>
      <c r="U1044" s="255"/>
      <c r="V1044" s="103"/>
    </row>
    <row r="1045" spans="2:22">
      <c r="B1045" s="2060"/>
      <c r="C1045" s="2060"/>
      <c r="D1045" s="2060"/>
      <c r="E1045" s="255"/>
      <c r="H1045" s="2060"/>
      <c r="I1045" s="106"/>
      <c r="J1045" s="2060"/>
      <c r="K1045" s="2060"/>
      <c r="L1045" s="2060"/>
      <c r="M1045" s="2060"/>
      <c r="N1045" s="2060"/>
      <c r="O1045" s="2060"/>
      <c r="P1045" s="2060"/>
      <c r="Q1045" s="2060"/>
      <c r="R1045" s="2060"/>
      <c r="S1045" s="2060"/>
      <c r="T1045" s="255"/>
      <c r="U1045" s="255"/>
      <c r="V1045" s="103"/>
    </row>
    <row r="1046" spans="2:22">
      <c r="B1046" s="2060"/>
      <c r="C1046" s="2060"/>
      <c r="D1046" s="2060"/>
      <c r="E1046" s="255"/>
      <c r="H1046" s="2060"/>
      <c r="I1046" s="106"/>
      <c r="J1046" s="2060"/>
      <c r="K1046" s="2060"/>
      <c r="L1046" s="2060"/>
      <c r="M1046" s="2060"/>
      <c r="N1046" s="2060"/>
      <c r="O1046" s="2060"/>
      <c r="P1046" s="2060"/>
      <c r="Q1046" s="2060"/>
      <c r="R1046" s="2060"/>
      <c r="S1046" s="2060"/>
      <c r="T1046" s="255"/>
      <c r="U1046" s="255"/>
      <c r="V1046" s="103"/>
    </row>
    <row r="1047" spans="2:22">
      <c r="B1047" s="2060"/>
      <c r="C1047" s="2060"/>
      <c r="D1047" s="2060"/>
      <c r="E1047" s="255"/>
      <c r="H1047" s="2060"/>
      <c r="I1047" s="106"/>
      <c r="J1047" s="2060"/>
      <c r="K1047" s="2060"/>
      <c r="L1047" s="2060"/>
      <c r="M1047" s="2060"/>
      <c r="N1047" s="2060"/>
      <c r="O1047" s="2060"/>
      <c r="P1047" s="2060"/>
      <c r="Q1047" s="2060"/>
      <c r="R1047" s="2060"/>
      <c r="S1047" s="2060"/>
      <c r="T1047" s="255"/>
      <c r="U1047" s="255"/>
      <c r="V1047" s="103"/>
    </row>
    <row r="1048" spans="2:22">
      <c r="B1048" s="2060"/>
      <c r="C1048" s="2060"/>
      <c r="D1048" s="2060"/>
      <c r="E1048" s="255"/>
      <c r="H1048" s="2060"/>
      <c r="I1048" s="106"/>
      <c r="J1048" s="2060"/>
      <c r="K1048" s="2060"/>
      <c r="L1048" s="2060"/>
      <c r="M1048" s="2060"/>
      <c r="N1048" s="2060"/>
      <c r="O1048" s="2060"/>
      <c r="P1048" s="2060"/>
      <c r="Q1048" s="2060"/>
      <c r="R1048" s="2060"/>
      <c r="S1048" s="2060"/>
      <c r="T1048" s="255"/>
      <c r="U1048" s="255"/>
      <c r="V1048" s="103"/>
    </row>
    <row r="1049" spans="2:22">
      <c r="B1049" s="2060"/>
      <c r="C1049" s="2060"/>
      <c r="D1049" s="2060"/>
      <c r="E1049" s="255"/>
      <c r="H1049" s="2060"/>
      <c r="I1049" s="106"/>
      <c r="J1049" s="2060"/>
      <c r="K1049" s="2060"/>
      <c r="L1049" s="2060"/>
      <c r="M1049" s="2060"/>
      <c r="N1049" s="2060"/>
      <c r="O1049" s="2060"/>
      <c r="P1049" s="2060"/>
      <c r="Q1049" s="2060"/>
      <c r="R1049" s="2060"/>
      <c r="S1049" s="2060"/>
      <c r="T1049" s="255"/>
      <c r="U1049" s="255"/>
      <c r="V1049" s="103"/>
    </row>
    <row r="1050" spans="2:22">
      <c r="B1050" s="2060"/>
      <c r="C1050" s="2060"/>
      <c r="D1050" s="2060"/>
      <c r="E1050" s="255"/>
      <c r="H1050" s="2060"/>
      <c r="I1050" s="106"/>
      <c r="J1050" s="2060"/>
      <c r="K1050" s="2060"/>
      <c r="L1050" s="2060"/>
      <c r="M1050" s="2060"/>
      <c r="N1050" s="2060"/>
      <c r="O1050" s="2060"/>
      <c r="P1050" s="2060"/>
      <c r="Q1050" s="2060"/>
      <c r="R1050" s="2060"/>
      <c r="S1050" s="2060"/>
      <c r="T1050" s="255"/>
      <c r="U1050" s="255"/>
      <c r="V1050" s="103"/>
    </row>
    <row r="1051" spans="2:22">
      <c r="B1051" s="2060"/>
      <c r="C1051" s="2060"/>
      <c r="D1051" s="2060"/>
      <c r="E1051" s="255"/>
      <c r="H1051" s="2060"/>
      <c r="I1051" s="106"/>
      <c r="J1051" s="2060"/>
      <c r="K1051" s="2060"/>
      <c r="L1051" s="2060"/>
      <c r="M1051" s="2060"/>
      <c r="N1051" s="2060"/>
      <c r="O1051" s="2060"/>
      <c r="P1051" s="2060"/>
      <c r="Q1051" s="2060"/>
      <c r="R1051" s="2060"/>
      <c r="S1051" s="2060"/>
      <c r="T1051" s="255"/>
      <c r="U1051" s="255"/>
      <c r="V1051" s="103"/>
    </row>
    <row r="1052" spans="2:22">
      <c r="B1052" s="2060"/>
      <c r="C1052" s="2060"/>
      <c r="D1052" s="2060"/>
      <c r="E1052" s="255"/>
      <c r="H1052" s="2060"/>
      <c r="I1052" s="106"/>
      <c r="J1052" s="2060"/>
      <c r="K1052" s="2060"/>
      <c r="L1052" s="2060"/>
      <c r="M1052" s="2060"/>
      <c r="N1052" s="2060"/>
      <c r="O1052" s="2060"/>
      <c r="P1052" s="2060"/>
      <c r="Q1052" s="2060"/>
      <c r="R1052" s="2060"/>
      <c r="S1052" s="2060"/>
      <c r="T1052" s="255"/>
      <c r="U1052" s="255"/>
      <c r="V1052" s="103"/>
    </row>
    <row r="1053" spans="2:22">
      <c r="B1053" s="2060"/>
      <c r="C1053" s="2060"/>
      <c r="D1053" s="2060"/>
      <c r="E1053" s="255"/>
      <c r="H1053" s="2060"/>
      <c r="I1053" s="106"/>
      <c r="J1053" s="2060"/>
      <c r="K1053" s="2060"/>
      <c r="L1053" s="2060"/>
      <c r="M1053" s="2060"/>
      <c r="N1053" s="2060"/>
      <c r="O1053" s="2060"/>
      <c r="P1053" s="2060"/>
      <c r="Q1053" s="2060"/>
      <c r="R1053" s="2060"/>
      <c r="S1053" s="2060"/>
      <c r="T1053" s="255"/>
      <c r="U1053" s="255"/>
      <c r="V1053" s="103"/>
    </row>
    <row r="1054" spans="2:22">
      <c r="B1054" s="2060"/>
      <c r="C1054" s="2060"/>
      <c r="D1054" s="2060"/>
      <c r="E1054" s="255"/>
      <c r="H1054" s="2060"/>
      <c r="I1054" s="106"/>
      <c r="J1054" s="2060"/>
      <c r="K1054" s="2060"/>
      <c r="L1054" s="2060"/>
      <c r="M1054" s="2060"/>
      <c r="N1054" s="2060"/>
      <c r="O1054" s="2060"/>
      <c r="P1054" s="2060"/>
      <c r="Q1054" s="2060"/>
      <c r="R1054" s="2060"/>
      <c r="S1054" s="2060"/>
      <c r="T1054" s="255"/>
      <c r="U1054" s="255"/>
      <c r="V1054" s="103"/>
    </row>
    <row r="1055" spans="2:22">
      <c r="B1055" s="2060"/>
      <c r="C1055" s="2060"/>
      <c r="D1055" s="2060"/>
      <c r="E1055" s="255"/>
      <c r="H1055" s="2060"/>
      <c r="I1055" s="106"/>
      <c r="J1055" s="2060"/>
      <c r="K1055" s="2060"/>
      <c r="L1055" s="2060"/>
      <c r="M1055" s="2060"/>
      <c r="N1055" s="2060"/>
      <c r="O1055" s="2060"/>
      <c r="P1055" s="2060"/>
      <c r="Q1055" s="2060"/>
      <c r="R1055" s="2060"/>
      <c r="S1055" s="2060"/>
      <c r="T1055" s="255"/>
      <c r="U1055" s="255"/>
      <c r="V1055" s="103"/>
    </row>
    <row r="1056" spans="2:22">
      <c r="B1056" s="2060"/>
      <c r="C1056" s="2060"/>
      <c r="D1056" s="2060"/>
      <c r="E1056" s="255"/>
      <c r="H1056" s="2060"/>
      <c r="I1056" s="106"/>
      <c r="J1056" s="2060"/>
      <c r="K1056" s="2060"/>
      <c r="L1056" s="2060"/>
      <c r="M1056" s="2060"/>
      <c r="N1056" s="2060"/>
      <c r="O1056" s="2060"/>
      <c r="P1056" s="2060"/>
      <c r="Q1056" s="2060"/>
      <c r="R1056" s="2060"/>
      <c r="S1056" s="2060"/>
      <c r="T1056" s="255"/>
      <c r="U1056" s="255"/>
      <c r="V1056" s="103"/>
    </row>
    <row r="1057" spans="2:22">
      <c r="B1057" s="2060"/>
      <c r="C1057" s="2060"/>
      <c r="D1057" s="2060"/>
      <c r="E1057" s="255"/>
      <c r="H1057" s="2060"/>
      <c r="I1057" s="106"/>
      <c r="J1057" s="2060"/>
      <c r="K1057" s="2060"/>
      <c r="L1057" s="2060"/>
      <c r="M1057" s="2060"/>
      <c r="N1057" s="2060"/>
      <c r="O1057" s="2060"/>
      <c r="P1057" s="2060"/>
      <c r="Q1057" s="2060"/>
      <c r="R1057" s="2060"/>
      <c r="S1057" s="2060"/>
      <c r="T1057" s="255"/>
      <c r="U1057" s="255"/>
      <c r="V1057" s="103"/>
    </row>
    <row r="1058" spans="2:22">
      <c r="B1058" s="2060"/>
      <c r="C1058" s="2060"/>
      <c r="D1058" s="2060"/>
      <c r="E1058" s="255"/>
      <c r="H1058" s="2060"/>
      <c r="I1058" s="106"/>
      <c r="J1058" s="2060"/>
      <c r="K1058" s="2060"/>
      <c r="L1058" s="2060"/>
      <c r="M1058" s="2060"/>
      <c r="N1058" s="2060"/>
      <c r="O1058" s="2060"/>
      <c r="P1058" s="2060"/>
      <c r="Q1058" s="2060"/>
      <c r="R1058" s="2060"/>
      <c r="S1058" s="2060"/>
      <c r="T1058" s="255"/>
      <c r="U1058" s="255"/>
      <c r="V1058" s="103"/>
    </row>
    <row r="1059" spans="2:22">
      <c r="B1059" s="2060"/>
      <c r="C1059" s="2060"/>
      <c r="D1059" s="2060"/>
      <c r="E1059" s="255"/>
      <c r="H1059" s="2060"/>
      <c r="I1059" s="106"/>
      <c r="J1059" s="2060"/>
      <c r="K1059" s="2060"/>
      <c r="L1059" s="2060"/>
      <c r="M1059" s="2060"/>
      <c r="N1059" s="2060"/>
      <c r="O1059" s="2060"/>
      <c r="P1059" s="2060"/>
      <c r="Q1059" s="2060"/>
      <c r="R1059" s="2060"/>
      <c r="S1059" s="2060"/>
      <c r="T1059" s="255"/>
      <c r="U1059" s="255"/>
      <c r="V1059" s="103"/>
    </row>
    <row r="1060" spans="2:22">
      <c r="B1060" s="2060"/>
      <c r="C1060" s="2060"/>
      <c r="D1060" s="2060"/>
      <c r="E1060" s="255"/>
      <c r="H1060" s="2060"/>
      <c r="I1060" s="106"/>
      <c r="J1060" s="2060"/>
      <c r="K1060" s="2060"/>
      <c r="L1060" s="2060"/>
      <c r="M1060" s="2060"/>
      <c r="N1060" s="2060"/>
      <c r="O1060" s="2060"/>
      <c r="P1060" s="2060"/>
      <c r="Q1060" s="2060"/>
      <c r="R1060" s="2060"/>
      <c r="S1060" s="2060"/>
      <c r="T1060" s="255"/>
      <c r="U1060" s="255"/>
      <c r="V1060" s="103"/>
    </row>
    <row r="1061" spans="2:22">
      <c r="B1061" s="2060"/>
      <c r="C1061" s="2060"/>
      <c r="D1061" s="2060"/>
      <c r="E1061" s="255"/>
      <c r="H1061" s="2060"/>
      <c r="I1061" s="106"/>
      <c r="J1061" s="2060"/>
      <c r="K1061" s="2060"/>
      <c r="L1061" s="2060"/>
      <c r="M1061" s="2060"/>
      <c r="N1061" s="2060"/>
      <c r="O1061" s="2060"/>
      <c r="P1061" s="2060"/>
      <c r="Q1061" s="2060"/>
      <c r="R1061" s="2060"/>
      <c r="S1061" s="2060"/>
      <c r="T1061" s="255"/>
      <c r="U1061" s="255"/>
      <c r="V1061" s="103"/>
    </row>
    <row r="1062" spans="2:22">
      <c r="B1062" s="2060"/>
      <c r="C1062" s="2060"/>
      <c r="D1062" s="2060"/>
      <c r="E1062" s="255"/>
      <c r="H1062" s="2060"/>
      <c r="I1062" s="106"/>
      <c r="J1062" s="2060"/>
      <c r="K1062" s="2060"/>
      <c r="L1062" s="2060"/>
      <c r="M1062" s="2060"/>
      <c r="N1062" s="2060"/>
      <c r="O1062" s="2060"/>
      <c r="P1062" s="2060"/>
      <c r="Q1062" s="2060"/>
      <c r="R1062" s="2060"/>
      <c r="S1062" s="2060"/>
      <c r="T1062" s="255"/>
      <c r="U1062" s="255"/>
      <c r="V1062" s="103"/>
    </row>
    <row r="1063" spans="2:22">
      <c r="B1063" s="2060"/>
      <c r="C1063" s="2060"/>
      <c r="D1063" s="2060"/>
      <c r="E1063" s="255"/>
      <c r="H1063" s="2060"/>
      <c r="I1063" s="106"/>
      <c r="J1063" s="2060"/>
      <c r="K1063" s="2060"/>
      <c r="L1063" s="2060"/>
      <c r="M1063" s="2060"/>
      <c r="N1063" s="2060"/>
      <c r="O1063" s="2060"/>
      <c r="P1063" s="2060"/>
      <c r="Q1063" s="2060"/>
      <c r="R1063" s="2060"/>
      <c r="S1063" s="2060"/>
      <c r="T1063" s="255"/>
      <c r="U1063" s="255"/>
      <c r="V1063" s="103"/>
    </row>
    <row r="1064" spans="2:22">
      <c r="B1064" s="2060"/>
      <c r="C1064" s="2060"/>
      <c r="D1064" s="2060"/>
      <c r="E1064" s="255"/>
      <c r="H1064" s="2060"/>
      <c r="I1064" s="106"/>
      <c r="J1064" s="2060"/>
      <c r="K1064" s="2060"/>
      <c r="L1064" s="2060"/>
      <c r="M1064" s="2060"/>
      <c r="N1064" s="2060"/>
      <c r="O1064" s="2060"/>
      <c r="P1064" s="2060"/>
      <c r="Q1064" s="2060"/>
      <c r="R1064" s="2060"/>
      <c r="S1064" s="2060"/>
      <c r="T1064" s="255"/>
      <c r="U1064" s="255"/>
      <c r="V1064" s="103"/>
    </row>
    <row r="1065" spans="2:22">
      <c r="B1065" s="2060"/>
      <c r="C1065" s="2060"/>
      <c r="D1065" s="2060"/>
      <c r="E1065" s="255"/>
      <c r="H1065" s="2060"/>
      <c r="I1065" s="106"/>
      <c r="J1065" s="2060"/>
      <c r="K1065" s="2060"/>
      <c r="L1065" s="2060"/>
      <c r="M1065" s="2060"/>
      <c r="N1065" s="2060"/>
      <c r="O1065" s="2060"/>
      <c r="P1065" s="2060"/>
      <c r="Q1065" s="2060"/>
      <c r="R1065" s="2060"/>
      <c r="S1065" s="2060"/>
      <c r="T1065" s="255"/>
      <c r="U1065" s="255"/>
      <c r="V1065" s="103"/>
    </row>
    <row r="1066" spans="2:22">
      <c r="B1066" s="2060"/>
      <c r="C1066" s="2060"/>
      <c r="D1066" s="2060"/>
      <c r="E1066" s="255"/>
      <c r="H1066" s="2060"/>
      <c r="I1066" s="106"/>
      <c r="J1066" s="2060"/>
      <c r="K1066" s="2060"/>
      <c r="L1066" s="2060"/>
      <c r="M1066" s="2060"/>
      <c r="N1066" s="2060"/>
      <c r="O1066" s="2060"/>
      <c r="P1066" s="2060"/>
      <c r="Q1066" s="2060"/>
      <c r="R1066" s="2060"/>
      <c r="S1066" s="2060"/>
      <c r="T1066" s="255"/>
      <c r="U1066" s="255"/>
      <c r="V1066" s="103"/>
    </row>
    <row r="1067" spans="2:22">
      <c r="B1067" s="2060"/>
      <c r="C1067" s="2060"/>
      <c r="D1067" s="2060"/>
      <c r="E1067" s="255"/>
      <c r="H1067" s="2060"/>
      <c r="I1067" s="106"/>
      <c r="J1067" s="2060"/>
      <c r="K1067" s="2060"/>
      <c r="L1067" s="2060"/>
      <c r="M1067" s="2060"/>
      <c r="N1067" s="2060"/>
      <c r="O1067" s="2060"/>
      <c r="P1067" s="2060"/>
      <c r="Q1067" s="2060"/>
      <c r="R1067" s="2060"/>
      <c r="S1067" s="2060"/>
      <c r="T1067" s="255"/>
      <c r="U1067" s="255"/>
      <c r="V1067" s="103"/>
    </row>
    <row r="1068" spans="2:22">
      <c r="B1068" s="2060"/>
      <c r="C1068" s="2060"/>
      <c r="D1068" s="2060"/>
      <c r="E1068" s="255"/>
      <c r="H1068" s="2060"/>
      <c r="I1068" s="2060"/>
      <c r="J1068" s="2060"/>
      <c r="K1068" s="2060"/>
      <c r="L1068" s="2060"/>
      <c r="M1068" s="2060"/>
      <c r="N1068" s="2060"/>
      <c r="O1068" s="2060"/>
      <c r="P1068" s="2060"/>
      <c r="Q1068" s="2060"/>
      <c r="R1068" s="2060"/>
      <c r="S1068" s="2060"/>
      <c r="T1068" s="255"/>
      <c r="U1068" s="255"/>
      <c r="V1068" s="103"/>
    </row>
    <row r="1069" spans="2:22">
      <c r="B1069" s="2060"/>
      <c r="C1069" s="2060"/>
      <c r="D1069" s="2060"/>
      <c r="E1069" s="255"/>
      <c r="H1069" s="2060"/>
      <c r="I1069" s="2060"/>
      <c r="J1069" s="2060"/>
      <c r="K1069" s="2060"/>
      <c r="L1069" s="2060"/>
      <c r="M1069" s="2060"/>
      <c r="N1069" s="2060"/>
      <c r="O1069" s="2060"/>
      <c r="P1069" s="2060"/>
      <c r="Q1069" s="2060"/>
      <c r="R1069" s="2060"/>
      <c r="S1069" s="2060"/>
      <c r="T1069" s="255"/>
      <c r="U1069" s="255"/>
      <c r="V1069" s="103"/>
    </row>
    <row r="1070" spans="2:22">
      <c r="B1070" s="2060"/>
      <c r="C1070" s="2060"/>
      <c r="D1070" s="2060"/>
      <c r="E1070" s="255"/>
      <c r="H1070" s="2060"/>
      <c r="I1070" s="2060"/>
      <c r="J1070" s="2060"/>
      <c r="K1070" s="2060"/>
      <c r="L1070" s="2060"/>
      <c r="M1070" s="2060"/>
      <c r="N1070" s="2060"/>
      <c r="O1070" s="2060"/>
      <c r="P1070" s="2060"/>
      <c r="Q1070" s="2060"/>
      <c r="R1070" s="2060"/>
      <c r="S1070" s="2060"/>
      <c r="T1070" s="255"/>
      <c r="U1070" s="255"/>
      <c r="V1070" s="103"/>
    </row>
    <row r="1071" spans="2:22">
      <c r="B1071" s="2060"/>
      <c r="C1071" s="2060"/>
      <c r="D1071" s="2060"/>
      <c r="E1071" s="255"/>
      <c r="H1071" s="2060"/>
      <c r="I1071" s="2060"/>
      <c r="J1071" s="2060"/>
      <c r="K1071" s="2060"/>
      <c r="L1071" s="2060"/>
      <c r="M1071" s="2060"/>
      <c r="N1071" s="2060"/>
      <c r="O1071" s="2060"/>
      <c r="P1071" s="2060"/>
      <c r="Q1071" s="2060"/>
      <c r="R1071" s="2060"/>
      <c r="S1071" s="2060"/>
      <c r="T1071" s="255"/>
      <c r="U1071" s="255"/>
      <c r="V1071" s="103"/>
    </row>
    <row r="1072" spans="2:22">
      <c r="B1072" s="2060"/>
      <c r="C1072" s="2060"/>
      <c r="D1072" s="2060"/>
      <c r="E1072" s="255"/>
      <c r="H1072" s="2060"/>
      <c r="I1072" s="2060"/>
      <c r="J1072" s="2060"/>
      <c r="K1072" s="2060"/>
      <c r="L1072" s="2060"/>
      <c r="M1072" s="2060"/>
      <c r="N1072" s="2060"/>
      <c r="O1072" s="2060"/>
      <c r="P1072" s="2060"/>
      <c r="Q1072" s="2060"/>
      <c r="R1072" s="2060"/>
      <c r="S1072" s="2060"/>
      <c r="T1072" s="255"/>
      <c r="U1072" s="255"/>
      <c r="V1072" s="103"/>
    </row>
    <row r="1073" spans="2:22">
      <c r="B1073" s="2060"/>
      <c r="C1073" s="2060"/>
      <c r="D1073" s="2060"/>
      <c r="E1073" s="255"/>
      <c r="H1073" s="2060"/>
      <c r="I1073" s="2060"/>
      <c r="J1073" s="2060"/>
      <c r="K1073" s="2060"/>
      <c r="L1073" s="2060"/>
      <c r="M1073" s="2060"/>
      <c r="N1073" s="2060"/>
      <c r="O1073" s="2060"/>
      <c r="P1073" s="2060"/>
      <c r="Q1073" s="2060"/>
      <c r="R1073" s="2060"/>
      <c r="S1073" s="2060"/>
      <c r="T1073" s="255"/>
      <c r="U1073" s="255"/>
      <c r="V1073" s="103"/>
    </row>
    <row r="1074" spans="2:22">
      <c r="B1074" s="2060"/>
      <c r="C1074" s="2060"/>
      <c r="D1074" s="2060"/>
      <c r="E1074" s="255"/>
      <c r="H1074" s="2060"/>
      <c r="I1074" s="2060"/>
      <c r="J1074" s="2060"/>
      <c r="K1074" s="2060"/>
      <c r="L1074" s="2060"/>
      <c r="M1074" s="2060"/>
      <c r="N1074" s="2060"/>
      <c r="O1074" s="2060"/>
      <c r="P1074" s="2060"/>
      <c r="Q1074" s="2060"/>
      <c r="R1074" s="2060"/>
      <c r="S1074" s="2060"/>
      <c r="T1074" s="255"/>
      <c r="U1074" s="255"/>
      <c r="V1074" s="103"/>
    </row>
    <row r="1075" spans="2:22">
      <c r="B1075" s="2060"/>
      <c r="C1075" s="2060"/>
      <c r="D1075" s="2060"/>
      <c r="E1075" s="255"/>
      <c r="H1075" s="2060"/>
      <c r="I1075" s="2060"/>
      <c r="J1075" s="2060"/>
      <c r="K1075" s="2060"/>
      <c r="L1075" s="2060"/>
      <c r="M1075" s="2060"/>
      <c r="N1075" s="2060"/>
      <c r="O1075" s="2060"/>
      <c r="P1075" s="2060"/>
      <c r="Q1075" s="2060"/>
      <c r="R1075" s="2060"/>
      <c r="S1075" s="2060"/>
      <c r="T1075" s="255"/>
      <c r="U1075" s="255"/>
      <c r="V1075" s="103"/>
    </row>
    <row r="1076" spans="2:22">
      <c r="B1076" s="2060"/>
      <c r="C1076" s="2060"/>
      <c r="D1076" s="2060"/>
      <c r="E1076" s="255"/>
      <c r="H1076" s="2060"/>
      <c r="I1076" s="2060"/>
      <c r="J1076" s="2060"/>
      <c r="K1076" s="2060"/>
      <c r="L1076" s="2060"/>
      <c r="M1076" s="2060"/>
      <c r="N1076" s="2060"/>
      <c r="O1076" s="2060"/>
      <c r="P1076" s="2060"/>
      <c r="Q1076" s="2060"/>
      <c r="R1076" s="2060"/>
      <c r="S1076" s="2060"/>
      <c r="T1076" s="255"/>
      <c r="U1076" s="255"/>
      <c r="V1076" s="103"/>
    </row>
    <row r="1077" spans="2:22">
      <c r="B1077" s="2060"/>
      <c r="C1077" s="2060"/>
      <c r="D1077" s="2060"/>
      <c r="E1077" s="255"/>
      <c r="H1077" s="2060"/>
      <c r="I1077" s="2060"/>
      <c r="J1077" s="2060"/>
      <c r="K1077" s="2060"/>
      <c r="L1077" s="2060"/>
      <c r="M1077" s="2060"/>
      <c r="N1077" s="2060"/>
      <c r="O1077" s="2060"/>
      <c r="P1077" s="2060"/>
      <c r="Q1077" s="2060"/>
      <c r="R1077" s="2060"/>
      <c r="S1077" s="2060"/>
      <c r="T1077" s="255"/>
      <c r="U1077" s="255"/>
      <c r="V1077" s="103"/>
    </row>
    <row r="1078" spans="2:22">
      <c r="B1078" s="2060"/>
      <c r="C1078" s="2060"/>
      <c r="D1078" s="2060"/>
      <c r="E1078" s="255"/>
      <c r="H1078" s="2060"/>
      <c r="I1078" s="2060"/>
      <c r="J1078" s="2060"/>
      <c r="K1078" s="2060"/>
      <c r="L1078" s="2060"/>
      <c r="M1078" s="2060"/>
      <c r="N1078" s="2060"/>
      <c r="O1078" s="2060"/>
      <c r="P1078" s="2060"/>
      <c r="Q1078" s="2060"/>
      <c r="R1078" s="2060"/>
      <c r="S1078" s="2060"/>
      <c r="T1078" s="255"/>
      <c r="U1078" s="255"/>
      <c r="V1078" s="103"/>
    </row>
    <row r="1079" spans="2:22">
      <c r="B1079" s="2060"/>
      <c r="C1079" s="2060"/>
      <c r="D1079" s="2060"/>
      <c r="E1079" s="255"/>
      <c r="H1079" s="2060"/>
      <c r="I1079" s="2060"/>
      <c r="J1079" s="2060"/>
      <c r="K1079" s="2060"/>
      <c r="L1079" s="2060"/>
      <c r="M1079" s="2060"/>
      <c r="N1079" s="2060"/>
      <c r="O1079" s="2060"/>
      <c r="P1079" s="2060"/>
      <c r="Q1079" s="2060"/>
      <c r="R1079" s="2060"/>
      <c r="S1079" s="2060"/>
      <c r="T1079" s="255"/>
      <c r="U1079" s="255"/>
      <c r="V1079" s="103"/>
    </row>
    <row r="1080" spans="2:22">
      <c r="B1080" s="2060"/>
      <c r="C1080" s="2060"/>
      <c r="D1080" s="2060"/>
      <c r="E1080" s="255"/>
      <c r="H1080" s="2060"/>
      <c r="I1080" s="2060"/>
      <c r="J1080" s="2060"/>
      <c r="K1080" s="2060"/>
      <c r="L1080" s="2060"/>
      <c r="M1080" s="2060"/>
      <c r="N1080" s="2060"/>
      <c r="O1080" s="2060"/>
      <c r="P1080" s="2060"/>
      <c r="Q1080" s="2060"/>
      <c r="R1080" s="2060"/>
      <c r="S1080" s="2060"/>
      <c r="T1080" s="255"/>
      <c r="U1080" s="255"/>
      <c r="V1080" s="103"/>
    </row>
    <row r="1081" spans="2:22">
      <c r="B1081" s="2060"/>
      <c r="C1081" s="2060"/>
      <c r="D1081" s="2060"/>
      <c r="E1081" s="255"/>
      <c r="H1081" s="2060"/>
      <c r="I1081" s="2060"/>
      <c r="J1081" s="2060"/>
      <c r="K1081" s="2060"/>
      <c r="L1081" s="2060"/>
      <c r="M1081" s="2060"/>
      <c r="N1081" s="2060"/>
      <c r="O1081" s="2060"/>
      <c r="P1081" s="2060"/>
      <c r="Q1081" s="2060"/>
      <c r="R1081" s="2060"/>
      <c r="S1081" s="2060"/>
      <c r="T1081" s="255"/>
      <c r="U1081" s="255"/>
      <c r="V1081" s="103"/>
    </row>
    <row r="1082" spans="2:22">
      <c r="B1082" s="2060"/>
      <c r="C1082" s="2060"/>
      <c r="D1082" s="2060"/>
      <c r="E1082" s="255"/>
      <c r="H1082" s="2060"/>
      <c r="I1082" s="2060"/>
      <c r="J1082" s="2060"/>
      <c r="K1082" s="2060"/>
      <c r="L1082" s="2060"/>
      <c r="M1082" s="2060"/>
      <c r="N1082" s="2060"/>
      <c r="O1082" s="2060"/>
      <c r="P1082" s="2060"/>
      <c r="Q1082" s="2060"/>
      <c r="R1082" s="2060"/>
      <c r="S1082" s="2060"/>
      <c r="T1082" s="255"/>
      <c r="U1082" s="255"/>
      <c r="V1082" s="103"/>
    </row>
    <row r="1083" spans="2:22">
      <c r="B1083" s="2060"/>
      <c r="C1083" s="2060"/>
      <c r="D1083" s="2060"/>
      <c r="E1083" s="255"/>
      <c r="H1083" s="2060"/>
      <c r="I1083" s="2060"/>
      <c r="J1083" s="2060"/>
      <c r="K1083" s="2060"/>
      <c r="L1083" s="2060"/>
      <c r="M1083" s="2060"/>
      <c r="N1083" s="2060"/>
      <c r="O1083" s="2060"/>
      <c r="P1083" s="2060"/>
      <c r="Q1083" s="2060"/>
      <c r="R1083" s="2060"/>
      <c r="S1083" s="2060"/>
      <c r="T1083" s="255"/>
      <c r="U1083" s="255"/>
      <c r="V1083" s="103"/>
    </row>
    <row r="1084" spans="2:22">
      <c r="B1084" s="2060"/>
      <c r="C1084" s="2060"/>
      <c r="D1084" s="2060"/>
      <c r="E1084" s="255"/>
      <c r="H1084" s="2060"/>
      <c r="I1084" s="2060"/>
      <c r="J1084" s="2060"/>
      <c r="K1084" s="2060"/>
      <c r="L1084" s="2060"/>
      <c r="M1084" s="2060"/>
      <c r="N1084" s="2060"/>
      <c r="O1084" s="2060"/>
      <c r="P1084" s="2060"/>
      <c r="Q1084" s="2060"/>
      <c r="R1084" s="2060"/>
      <c r="S1084" s="2060"/>
      <c r="T1084" s="255"/>
      <c r="U1084" s="255"/>
      <c r="V1084" s="103"/>
    </row>
    <row r="1085" spans="2:22">
      <c r="B1085" s="2060"/>
      <c r="C1085" s="2060"/>
      <c r="D1085" s="2060"/>
      <c r="E1085" s="255"/>
      <c r="H1085" s="2060"/>
      <c r="I1085" s="2060"/>
      <c r="J1085" s="2060"/>
      <c r="K1085" s="2060"/>
      <c r="L1085" s="2060"/>
      <c r="M1085" s="2060"/>
      <c r="N1085" s="2060"/>
      <c r="O1085" s="2060"/>
      <c r="P1085" s="2060"/>
      <c r="Q1085" s="2060"/>
      <c r="R1085" s="2060"/>
      <c r="S1085" s="2060"/>
      <c r="T1085" s="255"/>
      <c r="U1085" s="255"/>
      <c r="V1085" s="103"/>
    </row>
    <row r="1086" spans="2:22">
      <c r="B1086" s="2060"/>
      <c r="C1086" s="2060"/>
      <c r="D1086" s="2060"/>
      <c r="E1086" s="255"/>
      <c r="H1086" s="2060"/>
      <c r="I1086" s="2060"/>
      <c r="J1086" s="2060"/>
      <c r="K1086" s="2060"/>
      <c r="L1086" s="2060"/>
      <c r="M1086" s="2060"/>
      <c r="N1086" s="2060"/>
      <c r="O1086" s="2060"/>
      <c r="P1086" s="2060"/>
      <c r="Q1086" s="2060"/>
      <c r="R1086" s="2060"/>
      <c r="S1086" s="2060"/>
      <c r="T1086" s="255"/>
      <c r="U1086" s="255"/>
      <c r="V1086" s="103"/>
    </row>
    <row r="1087" spans="2:22">
      <c r="B1087" s="2060"/>
      <c r="C1087" s="2060"/>
      <c r="D1087" s="2060"/>
      <c r="E1087" s="255"/>
      <c r="H1087" s="2060"/>
      <c r="I1087" s="2060"/>
      <c r="J1087" s="2060"/>
      <c r="K1087" s="2060"/>
      <c r="L1087" s="2060"/>
      <c r="M1087" s="2060"/>
      <c r="N1087" s="2060"/>
      <c r="O1087" s="2060"/>
      <c r="P1087" s="2060"/>
      <c r="Q1087" s="2060"/>
      <c r="R1087" s="2060"/>
      <c r="S1087" s="2060"/>
      <c r="T1087" s="255"/>
      <c r="U1087" s="255"/>
      <c r="V1087" s="103"/>
    </row>
    <row r="1088" spans="2:22">
      <c r="B1088" s="2060"/>
      <c r="C1088" s="2060"/>
      <c r="D1088" s="2060"/>
      <c r="E1088" s="255"/>
      <c r="H1088" s="2060"/>
      <c r="I1088" s="2060"/>
      <c r="J1088" s="2060"/>
      <c r="K1088" s="2060"/>
      <c r="L1088" s="2060"/>
      <c r="M1088" s="2060"/>
      <c r="N1088" s="2060"/>
      <c r="O1088" s="2060"/>
      <c r="P1088" s="2060"/>
      <c r="Q1088" s="2060"/>
      <c r="R1088" s="2060"/>
      <c r="S1088" s="2060"/>
      <c r="T1088" s="255"/>
      <c r="U1088" s="255"/>
      <c r="V1088" s="103"/>
    </row>
    <row r="1089" spans="2:22">
      <c r="B1089" s="2060"/>
      <c r="C1089" s="2060"/>
      <c r="D1089" s="2060"/>
      <c r="E1089" s="255"/>
      <c r="H1089" s="2060"/>
      <c r="I1089" s="2060"/>
      <c r="J1089" s="2060"/>
      <c r="K1089" s="2060"/>
      <c r="L1089" s="2060"/>
      <c r="M1089" s="2060"/>
      <c r="N1089" s="2060"/>
      <c r="O1089" s="2060"/>
      <c r="P1089" s="2060"/>
      <c r="Q1089" s="2060"/>
      <c r="R1089" s="2060"/>
      <c r="S1089" s="2060"/>
      <c r="T1089" s="255"/>
      <c r="U1089" s="255"/>
      <c r="V1089" s="103"/>
    </row>
    <row r="1090" spans="2:22">
      <c r="B1090" s="2060"/>
      <c r="C1090" s="2060"/>
      <c r="D1090" s="2060"/>
      <c r="E1090" s="255"/>
      <c r="H1090" s="2060"/>
      <c r="I1090" s="2060"/>
      <c r="J1090" s="2060"/>
      <c r="K1090" s="2060"/>
      <c r="L1090" s="2060"/>
      <c r="M1090" s="2060"/>
      <c r="N1090" s="2060"/>
      <c r="O1090" s="2060"/>
      <c r="P1090" s="2060"/>
      <c r="Q1090" s="2060"/>
      <c r="R1090" s="2060"/>
      <c r="S1090" s="2060"/>
      <c r="T1090" s="255"/>
      <c r="U1090" s="255"/>
      <c r="V1090" s="103"/>
    </row>
    <row r="1091" spans="2:22">
      <c r="B1091" s="2060"/>
      <c r="C1091" s="2060"/>
      <c r="D1091" s="2060"/>
      <c r="E1091" s="255"/>
      <c r="H1091" s="2060"/>
      <c r="I1091" s="2060"/>
      <c r="J1091" s="2060"/>
      <c r="K1091" s="2060"/>
      <c r="L1091" s="2060"/>
      <c r="M1091" s="2060"/>
      <c r="N1091" s="2060"/>
      <c r="O1091" s="2060"/>
      <c r="P1091" s="2060"/>
      <c r="Q1091" s="2060"/>
      <c r="R1091" s="2060"/>
      <c r="S1091" s="2060"/>
      <c r="T1091" s="255"/>
      <c r="U1091" s="255"/>
      <c r="V1091" s="103"/>
    </row>
    <row r="1092" spans="2:22">
      <c r="B1092" s="2060"/>
      <c r="C1092" s="2060"/>
      <c r="D1092" s="2060"/>
      <c r="E1092" s="255"/>
      <c r="H1092" s="2060"/>
      <c r="I1092" s="2060"/>
      <c r="J1092" s="2060"/>
      <c r="K1092" s="2060"/>
      <c r="L1092" s="2060"/>
      <c r="M1092" s="2060"/>
      <c r="N1092" s="2060"/>
      <c r="O1092" s="2060"/>
      <c r="P1092" s="2060"/>
      <c r="Q1092" s="2060"/>
      <c r="R1092" s="2060"/>
      <c r="S1092" s="2060"/>
      <c r="T1092" s="255"/>
      <c r="U1092" s="255"/>
      <c r="V1092" s="103"/>
    </row>
    <row r="1093" spans="2:22">
      <c r="B1093" s="2060"/>
      <c r="C1093" s="2060"/>
      <c r="D1093" s="2060"/>
      <c r="E1093" s="255"/>
      <c r="H1093" s="2060"/>
      <c r="I1093" s="2060"/>
      <c r="J1093" s="2060"/>
      <c r="K1093" s="2060"/>
      <c r="L1093" s="2060"/>
      <c r="M1093" s="2060"/>
      <c r="N1093" s="2060"/>
      <c r="O1093" s="2060"/>
      <c r="P1093" s="2060"/>
      <c r="Q1093" s="2060"/>
      <c r="R1093" s="2060"/>
      <c r="S1093" s="2060"/>
      <c r="T1093" s="255"/>
      <c r="U1093" s="255"/>
      <c r="V1093" s="103"/>
    </row>
    <row r="1094" spans="2:22">
      <c r="B1094" s="2060"/>
      <c r="C1094" s="2060"/>
      <c r="D1094" s="2060"/>
      <c r="E1094" s="255"/>
      <c r="H1094" s="2060"/>
      <c r="I1094" s="2060"/>
      <c r="J1094" s="2060"/>
      <c r="K1094" s="2060"/>
      <c r="L1094" s="2060"/>
      <c r="M1094" s="2060"/>
      <c r="N1094" s="2060"/>
      <c r="O1094" s="2060"/>
      <c r="P1094" s="2060"/>
      <c r="Q1094" s="2060"/>
      <c r="R1094" s="2060"/>
      <c r="S1094" s="2060"/>
      <c r="T1094" s="255"/>
      <c r="U1094" s="255"/>
      <c r="V1094" s="103"/>
    </row>
    <row r="1095" spans="2:22">
      <c r="B1095" s="2060"/>
      <c r="C1095" s="2060"/>
      <c r="D1095" s="2060"/>
      <c r="E1095" s="255"/>
      <c r="H1095" s="2060"/>
      <c r="I1095" s="2060"/>
      <c r="J1095" s="2060"/>
      <c r="K1095" s="2060"/>
      <c r="L1095" s="2060"/>
      <c r="M1095" s="2060"/>
      <c r="N1095" s="2060"/>
      <c r="O1095" s="2060"/>
      <c r="P1095" s="2060"/>
      <c r="Q1095" s="2060"/>
      <c r="R1095" s="2060"/>
      <c r="S1095" s="2060"/>
      <c r="T1095" s="255"/>
      <c r="U1095" s="255"/>
      <c r="V1095" s="103"/>
    </row>
    <row r="1096" spans="2:22">
      <c r="B1096" s="2060"/>
      <c r="C1096" s="2060"/>
      <c r="D1096" s="2060"/>
      <c r="E1096" s="255"/>
      <c r="H1096" s="2060"/>
      <c r="I1096" s="2060"/>
      <c r="J1096" s="2060"/>
      <c r="K1096" s="2060"/>
      <c r="L1096" s="2060"/>
      <c r="M1096" s="2060"/>
      <c r="N1096" s="2060"/>
      <c r="O1096" s="2060"/>
      <c r="P1096" s="2060"/>
      <c r="Q1096" s="2060"/>
      <c r="R1096" s="2060"/>
      <c r="S1096" s="2060"/>
      <c r="T1096" s="255"/>
      <c r="U1096" s="255"/>
      <c r="V1096" s="103"/>
    </row>
    <row r="1097" spans="2:22">
      <c r="B1097" s="2060"/>
      <c r="C1097" s="2060"/>
      <c r="D1097" s="2060"/>
      <c r="E1097" s="255"/>
      <c r="H1097" s="2060"/>
      <c r="I1097" s="2060"/>
      <c r="J1097" s="2060"/>
      <c r="K1097" s="2060"/>
      <c r="L1097" s="2060"/>
      <c r="M1097" s="2060"/>
      <c r="N1097" s="2060"/>
      <c r="O1097" s="2060"/>
      <c r="P1097" s="2060"/>
      <c r="Q1097" s="2060"/>
      <c r="R1097" s="2060"/>
      <c r="S1097" s="2060"/>
      <c r="T1097" s="255"/>
      <c r="U1097" s="255"/>
      <c r="V1097" s="103"/>
    </row>
    <row r="1098" spans="2:22">
      <c r="B1098" s="2060"/>
      <c r="C1098" s="2060"/>
      <c r="D1098" s="2060"/>
      <c r="E1098" s="255"/>
      <c r="H1098" s="2060"/>
      <c r="I1098" s="2060"/>
      <c r="J1098" s="2060"/>
      <c r="K1098" s="2060"/>
      <c r="L1098" s="2060"/>
      <c r="M1098" s="2060"/>
      <c r="N1098" s="2060"/>
      <c r="O1098" s="2060"/>
      <c r="P1098" s="2060"/>
      <c r="Q1098" s="2060"/>
      <c r="R1098" s="2060"/>
      <c r="S1098" s="2060"/>
      <c r="T1098" s="255"/>
      <c r="U1098" s="255"/>
      <c r="V1098" s="103"/>
    </row>
    <row r="1099" spans="2:22">
      <c r="B1099" s="2060"/>
      <c r="C1099" s="2060"/>
      <c r="D1099" s="2060"/>
      <c r="E1099" s="255"/>
      <c r="H1099" s="2060"/>
      <c r="I1099" s="2060"/>
      <c r="J1099" s="2060"/>
      <c r="K1099" s="2060"/>
      <c r="L1099" s="2060"/>
      <c r="M1099" s="2060"/>
      <c r="N1099" s="2060"/>
      <c r="O1099" s="2060"/>
      <c r="P1099" s="2060"/>
      <c r="Q1099" s="2060"/>
      <c r="R1099" s="2060"/>
      <c r="S1099" s="2060"/>
      <c r="T1099" s="255"/>
      <c r="U1099" s="255"/>
      <c r="V1099" s="103"/>
    </row>
    <row r="1100" spans="2:22">
      <c r="B1100" s="2060"/>
      <c r="C1100" s="2060"/>
      <c r="D1100" s="2060"/>
      <c r="E1100" s="255"/>
      <c r="H1100" s="2060"/>
      <c r="I1100" s="2060"/>
      <c r="J1100" s="2060"/>
      <c r="K1100" s="2060"/>
      <c r="L1100" s="2060"/>
      <c r="M1100" s="2060"/>
      <c r="N1100" s="2060"/>
      <c r="O1100" s="2060"/>
      <c r="P1100" s="2060"/>
      <c r="Q1100" s="2060"/>
      <c r="R1100" s="2060"/>
      <c r="S1100" s="2060"/>
      <c r="T1100" s="255"/>
      <c r="U1100" s="255"/>
      <c r="V1100" s="103"/>
    </row>
    <row r="1101" spans="2:22">
      <c r="B1101" s="2060"/>
      <c r="C1101" s="2060"/>
      <c r="D1101" s="2060"/>
      <c r="E1101" s="255"/>
      <c r="H1101" s="2060"/>
      <c r="I1101" s="2060"/>
      <c r="J1101" s="2060"/>
      <c r="K1101" s="2060"/>
      <c r="L1101" s="2060"/>
      <c r="M1101" s="2060"/>
      <c r="N1101" s="2060"/>
      <c r="O1101" s="2060"/>
      <c r="P1101" s="2060"/>
      <c r="Q1101" s="2060"/>
      <c r="R1101" s="2060"/>
      <c r="S1101" s="2060"/>
      <c r="T1101" s="255"/>
      <c r="U1101" s="255"/>
      <c r="V1101" s="103"/>
    </row>
    <row r="1102" spans="2:22">
      <c r="B1102" s="2060"/>
      <c r="C1102" s="2060"/>
      <c r="D1102" s="2060"/>
      <c r="E1102" s="255"/>
      <c r="H1102" s="2060"/>
      <c r="I1102" s="2060"/>
      <c r="J1102" s="2060"/>
      <c r="K1102" s="2060"/>
      <c r="L1102" s="2060"/>
      <c r="M1102" s="2060"/>
      <c r="N1102" s="2060"/>
      <c r="O1102" s="2060"/>
      <c r="P1102" s="2060"/>
      <c r="Q1102" s="2060"/>
      <c r="R1102" s="2060"/>
      <c r="S1102" s="2060"/>
      <c r="T1102" s="255"/>
      <c r="U1102" s="255"/>
      <c r="V1102" s="103"/>
    </row>
    <row r="1103" spans="2:22">
      <c r="B1103" s="2060"/>
      <c r="C1103" s="2060"/>
      <c r="D1103" s="2060"/>
      <c r="E1103" s="255"/>
      <c r="H1103" s="2060"/>
      <c r="I1103" s="2060"/>
      <c r="J1103" s="2060"/>
      <c r="K1103" s="2060"/>
      <c r="L1103" s="2060"/>
      <c r="M1103" s="2060"/>
      <c r="N1103" s="2060"/>
      <c r="O1103" s="2060"/>
      <c r="P1103" s="2060"/>
      <c r="Q1103" s="2060"/>
      <c r="R1103" s="2060"/>
      <c r="S1103" s="2060"/>
      <c r="T1103" s="255"/>
      <c r="U1103" s="255"/>
      <c r="V1103" s="103"/>
    </row>
    <row r="1104" spans="2:22">
      <c r="B1104" s="2060"/>
      <c r="C1104" s="2060"/>
      <c r="D1104" s="2060"/>
      <c r="E1104" s="255"/>
      <c r="H1104" s="2060"/>
      <c r="I1104" s="2060"/>
      <c r="J1104" s="2060"/>
      <c r="K1104" s="2060"/>
      <c r="L1104" s="2060"/>
      <c r="M1104" s="2060"/>
      <c r="N1104" s="2060"/>
      <c r="O1104" s="2060"/>
      <c r="P1104" s="2060"/>
      <c r="Q1104" s="2060"/>
      <c r="R1104" s="2060"/>
      <c r="S1104" s="2060"/>
      <c r="T1104" s="255"/>
      <c r="U1104" s="255"/>
      <c r="V1104" s="103"/>
    </row>
    <row r="1105" spans="2:22">
      <c r="B1105" s="2060"/>
      <c r="C1105" s="2060"/>
      <c r="D1105" s="2060"/>
      <c r="E1105" s="255"/>
      <c r="H1105" s="2060"/>
      <c r="I1105" s="2060"/>
      <c r="J1105" s="2060"/>
      <c r="K1105" s="2060"/>
      <c r="L1105" s="2060"/>
      <c r="M1105" s="2060"/>
      <c r="N1105" s="2060"/>
      <c r="O1105" s="2060"/>
      <c r="P1105" s="2060"/>
      <c r="Q1105" s="2060"/>
      <c r="R1105" s="2060"/>
      <c r="S1105" s="2060"/>
      <c r="T1105" s="255"/>
      <c r="U1105" s="255"/>
      <c r="V1105" s="103"/>
    </row>
    <row r="1106" spans="2:22">
      <c r="B1106" s="2060"/>
      <c r="C1106" s="2060"/>
      <c r="D1106" s="2060"/>
      <c r="E1106" s="255"/>
      <c r="H1106" s="2060"/>
      <c r="I1106" s="2060"/>
      <c r="J1106" s="2060"/>
      <c r="K1106" s="2060"/>
      <c r="L1106" s="2060"/>
      <c r="M1106" s="2060"/>
      <c r="N1106" s="2060"/>
      <c r="O1106" s="2060"/>
      <c r="P1106" s="2060"/>
      <c r="Q1106" s="2060"/>
      <c r="R1106" s="2060"/>
      <c r="S1106" s="2060"/>
      <c r="T1106" s="255"/>
      <c r="U1106" s="255"/>
      <c r="V1106" s="103"/>
    </row>
    <row r="1107" spans="2:22">
      <c r="B1107" s="2060"/>
      <c r="C1107" s="2060"/>
      <c r="D1107" s="2060"/>
      <c r="E1107" s="255"/>
      <c r="H1107" s="2060"/>
      <c r="I1107" s="2060"/>
      <c r="J1107" s="2060"/>
      <c r="K1107" s="2060"/>
      <c r="L1107" s="2060"/>
      <c r="M1107" s="2060"/>
      <c r="N1107" s="2060"/>
      <c r="O1107" s="2060"/>
      <c r="P1107" s="2060"/>
      <c r="Q1107" s="2060"/>
      <c r="R1107" s="2060"/>
      <c r="S1107" s="2060"/>
      <c r="T1107" s="255"/>
      <c r="U1107" s="255"/>
      <c r="V1107" s="103"/>
    </row>
    <row r="1108" spans="2:22">
      <c r="B1108" s="2060"/>
      <c r="C1108" s="2060"/>
      <c r="D1108" s="2060"/>
      <c r="E1108" s="255"/>
      <c r="H1108" s="2060"/>
      <c r="I1108" s="2060"/>
      <c r="J1108" s="2060"/>
      <c r="K1108" s="2060"/>
      <c r="L1108" s="2060"/>
      <c r="M1108" s="2060"/>
      <c r="N1108" s="2060"/>
      <c r="O1108" s="2060"/>
      <c r="P1108" s="2060"/>
      <c r="Q1108" s="2060"/>
      <c r="R1108" s="2060"/>
      <c r="S1108" s="2060"/>
      <c r="T1108" s="255"/>
      <c r="U1108" s="255"/>
      <c r="V1108" s="103"/>
    </row>
    <row r="1109" spans="2:22">
      <c r="B1109" s="2060"/>
      <c r="C1109" s="2060"/>
      <c r="D1109" s="2060"/>
      <c r="E1109" s="255"/>
      <c r="H1109" s="2060"/>
      <c r="I1109" s="2060"/>
      <c r="J1109" s="2060"/>
      <c r="K1109" s="2060"/>
      <c r="L1109" s="2060"/>
      <c r="M1109" s="2060"/>
      <c r="N1109" s="2060"/>
      <c r="O1109" s="2060"/>
      <c r="P1109" s="2060"/>
      <c r="Q1109" s="2060"/>
      <c r="R1109" s="2060"/>
      <c r="S1109" s="2060"/>
      <c r="T1109" s="255"/>
      <c r="U1109" s="255"/>
      <c r="V1109" s="103"/>
    </row>
    <row r="1110" spans="2:22">
      <c r="B1110" s="2060"/>
      <c r="C1110" s="2060"/>
      <c r="D1110" s="2060"/>
      <c r="E1110" s="255"/>
      <c r="H1110" s="2060"/>
      <c r="I1110" s="2060"/>
      <c r="J1110" s="2060"/>
      <c r="K1110" s="2060"/>
      <c r="L1110" s="2060"/>
      <c r="M1110" s="2060"/>
      <c r="N1110" s="2060"/>
      <c r="O1110" s="2060"/>
      <c r="P1110" s="2060"/>
      <c r="Q1110" s="2060"/>
      <c r="R1110" s="2060"/>
      <c r="S1110" s="2060"/>
      <c r="T1110" s="255"/>
      <c r="U1110" s="255"/>
      <c r="V1110" s="103"/>
    </row>
    <row r="1111" spans="2:22">
      <c r="B1111" s="2060"/>
      <c r="C1111" s="2060"/>
      <c r="D1111" s="2060"/>
      <c r="E1111" s="255"/>
      <c r="H1111" s="2060"/>
      <c r="I1111" s="2060"/>
      <c r="J1111" s="2060"/>
      <c r="K1111" s="2060"/>
      <c r="L1111" s="2060"/>
      <c r="M1111" s="2060"/>
      <c r="N1111" s="2060"/>
      <c r="O1111" s="2060"/>
      <c r="P1111" s="2060"/>
      <c r="Q1111" s="2060"/>
      <c r="R1111" s="2060"/>
      <c r="S1111" s="2060"/>
      <c r="T1111" s="255"/>
      <c r="U1111" s="255"/>
      <c r="V1111" s="103"/>
    </row>
    <row r="1112" spans="2:22">
      <c r="B1112" s="2060"/>
      <c r="C1112" s="2060"/>
      <c r="D1112" s="2060"/>
      <c r="E1112" s="255"/>
      <c r="H1112" s="2060"/>
      <c r="I1112" s="2060"/>
      <c r="J1112" s="2060"/>
      <c r="K1112" s="2060"/>
      <c r="L1112" s="2060"/>
      <c r="M1112" s="2060"/>
      <c r="N1112" s="2060"/>
      <c r="O1112" s="2060"/>
      <c r="P1112" s="2060"/>
      <c r="Q1112" s="2060"/>
      <c r="R1112" s="2060"/>
      <c r="S1112" s="2060"/>
      <c r="T1112" s="255"/>
      <c r="U1112" s="255"/>
      <c r="V1112" s="103"/>
    </row>
    <row r="1113" spans="2:22">
      <c r="B1113" s="2060"/>
      <c r="C1113" s="2060"/>
      <c r="D1113" s="2060"/>
      <c r="E1113" s="255"/>
      <c r="H1113" s="2060"/>
      <c r="I1113" s="2060"/>
      <c r="J1113" s="2060"/>
      <c r="K1113" s="2060"/>
      <c r="L1113" s="2060"/>
      <c r="M1113" s="2060"/>
      <c r="N1113" s="2060"/>
      <c r="O1113" s="2060"/>
      <c r="P1113" s="2060"/>
      <c r="Q1113" s="2060"/>
      <c r="R1113" s="2060"/>
      <c r="S1113" s="2060"/>
      <c r="T1113" s="255"/>
      <c r="U1113" s="255"/>
      <c r="V1113" s="103"/>
    </row>
    <row r="1114" spans="2:22">
      <c r="B1114" s="2060"/>
      <c r="C1114" s="2060"/>
      <c r="D1114" s="2060"/>
      <c r="E1114" s="255"/>
      <c r="H1114" s="2060"/>
      <c r="I1114" s="2060"/>
      <c r="J1114" s="2060"/>
      <c r="K1114" s="2060"/>
      <c r="L1114" s="2060"/>
      <c r="M1114" s="2060"/>
      <c r="N1114" s="2060"/>
      <c r="O1114" s="2060"/>
      <c r="P1114" s="2060"/>
      <c r="Q1114" s="2060"/>
      <c r="R1114" s="2060"/>
      <c r="S1114" s="2060"/>
      <c r="T1114" s="255"/>
      <c r="U1114" s="255"/>
      <c r="V1114" s="103"/>
    </row>
    <row r="1115" spans="2:22">
      <c r="B1115" s="2060"/>
      <c r="C1115" s="2060"/>
      <c r="D1115" s="2060"/>
      <c r="E1115" s="255"/>
      <c r="H1115" s="2060"/>
      <c r="I1115" s="2060"/>
      <c r="J1115" s="2060"/>
      <c r="K1115" s="2060"/>
      <c r="L1115" s="2060"/>
      <c r="M1115" s="2060"/>
      <c r="N1115" s="2060"/>
      <c r="O1115" s="2060"/>
      <c r="P1115" s="2060"/>
      <c r="Q1115" s="2060"/>
      <c r="R1115" s="2060"/>
      <c r="S1115" s="2060"/>
      <c r="T1115" s="255"/>
      <c r="U1115" s="255"/>
      <c r="V1115" s="103"/>
    </row>
    <row r="1116" spans="2:22">
      <c r="B1116" s="2060"/>
      <c r="C1116" s="2060"/>
      <c r="D1116" s="2060"/>
      <c r="E1116" s="255"/>
      <c r="H1116" s="2060"/>
      <c r="I1116" s="2060"/>
      <c r="J1116" s="2060"/>
      <c r="K1116" s="2060"/>
      <c r="L1116" s="2060"/>
      <c r="M1116" s="2060"/>
      <c r="N1116" s="2060"/>
      <c r="O1116" s="2060"/>
      <c r="P1116" s="2060"/>
      <c r="Q1116" s="2060"/>
      <c r="R1116" s="2060"/>
      <c r="S1116" s="2060"/>
      <c r="T1116" s="255"/>
      <c r="U1116" s="255"/>
      <c r="V1116" s="103"/>
    </row>
    <row r="1117" spans="2:22">
      <c r="B1117" s="2060"/>
      <c r="C1117" s="2060"/>
      <c r="D1117" s="2060"/>
      <c r="E1117" s="255"/>
      <c r="H1117" s="2060"/>
      <c r="I1117" s="2060"/>
      <c r="J1117" s="2060"/>
      <c r="K1117" s="2060"/>
      <c r="L1117" s="2060"/>
      <c r="M1117" s="2060"/>
      <c r="N1117" s="2060"/>
      <c r="O1117" s="2060"/>
      <c r="P1117" s="2060"/>
      <c r="Q1117" s="2060"/>
      <c r="R1117" s="2060"/>
      <c r="S1117" s="2060"/>
      <c r="T1117" s="255"/>
      <c r="U1117" s="255"/>
      <c r="V1117" s="103"/>
    </row>
    <row r="1118" spans="2:22">
      <c r="B1118" s="2060"/>
      <c r="C1118" s="2060"/>
      <c r="D1118" s="2060"/>
      <c r="E1118" s="255"/>
      <c r="H1118" s="2060"/>
      <c r="I1118" s="2060"/>
      <c r="J1118" s="2060"/>
      <c r="K1118" s="2060"/>
      <c r="L1118" s="2060"/>
      <c r="M1118" s="2060"/>
      <c r="N1118" s="2060"/>
      <c r="O1118" s="2060"/>
      <c r="P1118" s="2060"/>
      <c r="Q1118" s="2060"/>
      <c r="R1118" s="2060"/>
      <c r="S1118" s="2060"/>
      <c r="T1118" s="255"/>
      <c r="U1118" s="255"/>
      <c r="V1118" s="103"/>
    </row>
    <row r="1119" spans="2:22">
      <c r="B1119" s="2060"/>
      <c r="C1119" s="2060"/>
      <c r="D1119" s="2060"/>
      <c r="E1119" s="255"/>
      <c r="H1119" s="2060"/>
      <c r="I1119" s="2060"/>
      <c r="J1119" s="2060"/>
      <c r="K1119" s="2060"/>
      <c r="L1119" s="2060"/>
      <c r="M1119" s="2060"/>
      <c r="N1119" s="2060"/>
      <c r="O1119" s="2060"/>
      <c r="P1119" s="2060"/>
      <c r="Q1119" s="2060"/>
      <c r="R1119" s="2060"/>
      <c r="S1119" s="2060"/>
      <c r="T1119" s="255"/>
      <c r="U1119" s="255"/>
      <c r="V1119" s="103"/>
    </row>
    <row r="1120" spans="2:22">
      <c r="B1120" s="2060"/>
      <c r="C1120" s="2060"/>
      <c r="D1120" s="2060"/>
      <c r="E1120" s="255"/>
      <c r="H1120" s="2060"/>
      <c r="I1120" s="2060"/>
      <c r="J1120" s="2060"/>
      <c r="K1120" s="2060"/>
      <c r="L1120" s="2060"/>
      <c r="M1120" s="2060"/>
      <c r="N1120" s="2060"/>
      <c r="O1120" s="2060"/>
      <c r="P1120" s="2060"/>
      <c r="Q1120" s="2060"/>
      <c r="R1120" s="2060"/>
      <c r="S1120" s="2060"/>
      <c r="T1120" s="255"/>
      <c r="U1120" s="255"/>
      <c r="V1120" s="103"/>
    </row>
    <row r="1121" spans="2:22">
      <c r="B1121" s="2060"/>
      <c r="C1121" s="2060"/>
      <c r="D1121" s="2060"/>
      <c r="E1121" s="255"/>
      <c r="H1121" s="2060"/>
      <c r="I1121" s="2060"/>
      <c r="J1121" s="2060"/>
      <c r="K1121" s="2060"/>
      <c r="L1121" s="2060"/>
      <c r="M1121" s="2060"/>
      <c r="N1121" s="2060"/>
      <c r="O1121" s="2060"/>
      <c r="P1121" s="2060"/>
      <c r="Q1121" s="2060"/>
      <c r="R1121" s="2060"/>
      <c r="S1121" s="2060"/>
      <c r="T1121" s="255"/>
      <c r="U1121" s="255"/>
      <c r="V1121" s="103"/>
    </row>
    <row r="1122" spans="2:22">
      <c r="B1122" s="2060"/>
      <c r="C1122" s="2060"/>
      <c r="D1122" s="2060"/>
      <c r="E1122" s="255"/>
      <c r="H1122" s="2060"/>
      <c r="I1122" s="2060"/>
      <c r="J1122" s="2060"/>
      <c r="K1122" s="2060"/>
      <c r="L1122" s="2060"/>
      <c r="M1122" s="2060"/>
      <c r="N1122" s="2060"/>
      <c r="O1122" s="2060"/>
      <c r="P1122" s="2060"/>
      <c r="Q1122" s="2060"/>
      <c r="R1122" s="2060"/>
      <c r="S1122" s="2060"/>
      <c r="T1122" s="255"/>
      <c r="U1122" s="255"/>
      <c r="V1122" s="103"/>
    </row>
    <row r="1123" spans="2:22">
      <c r="B1123" s="2060"/>
      <c r="C1123" s="2060"/>
      <c r="D1123" s="2060"/>
      <c r="E1123" s="255"/>
      <c r="H1123" s="2060"/>
      <c r="I1123" s="2060"/>
      <c r="J1123" s="2060"/>
      <c r="K1123" s="2060"/>
      <c r="L1123" s="2060"/>
      <c r="M1123" s="2060"/>
      <c r="N1123" s="2060"/>
      <c r="O1123" s="2060"/>
      <c r="P1123" s="2060"/>
      <c r="Q1123" s="2060"/>
      <c r="R1123" s="2060"/>
      <c r="S1123" s="2060"/>
      <c r="T1123" s="255"/>
      <c r="U1123" s="255"/>
      <c r="V1123" s="103"/>
    </row>
    <row r="1124" spans="2:22">
      <c r="B1124" s="2060"/>
      <c r="C1124" s="2060"/>
      <c r="D1124" s="2060"/>
      <c r="E1124" s="255"/>
      <c r="H1124" s="2060"/>
      <c r="I1124" s="2060"/>
      <c r="J1124" s="2060"/>
      <c r="K1124" s="2060"/>
      <c r="L1124" s="2060"/>
      <c r="M1124" s="2060"/>
      <c r="N1124" s="2060"/>
      <c r="O1124" s="2060"/>
      <c r="P1124" s="2060"/>
      <c r="Q1124" s="2060"/>
      <c r="R1124" s="2060"/>
      <c r="S1124" s="2060"/>
      <c r="T1124" s="255"/>
      <c r="U1124" s="255"/>
      <c r="V1124" s="103"/>
    </row>
    <row r="1125" spans="2:22">
      <c r="B1125" s="2060"/>
      <c r="C1125" s="2060"/>
      <c r="D1125" s="2060"/>
      <c r="E1125" s="255"/>
      <c r="H1125" s="2060"/>
      <c r="I1125" s="2060"/>
      <c r="J1125" s="2060"/>
      <c r="K1125" s="2060"/>
      <c r="L1125" s="2060"/>
      <c r="M1125" s="2060"/>
      <c r="N1125" s="2060"/>
      <c r="O1125" s="2060"/>
      <c r="P1125" s="2060"/>
      <c r="Q1125" s="2060"/>
      <c r="R1125" s="2060"/>
      <c r="S1125" s="2060"/>
      <c r="T1125" s="255"/>
      <c r="U1125" s="255"/>
      <c r="V1125" s="103"/>
    </row>
    <row r="1126" spans="2:22">
      <c r="B1126" s="2060"/>
      <c r="C1126" s="2060"/>
      <c r="D1126" s="2060"/>
      <c r="E1126" s="255"/>
      <c r="H1126" s="2060"/>
      <c r="I1126" s="2060"/>
      <c r="J1126" s="2060"/>
      <c r="K1126" s="2060"/>
      <c r="L1126" s="2060"/>
      <c r="M1126" s="2060"/>
      <c r="N1126" s="2060"/>
      <c r="O1126" s="2060"/>
      <c r="P1126" s="2060"/>
      <c r="Q1126" s="2060"/>
      <c r="R1126" s="2060"/>
      <c r="S1126" s="2060"/>
      <c r="T1126" s="255"/>
      <c r="U1126" s="255"/>
      <c r="V1126" s="103"/>
    </row>
    <row r="1127" spans="2:22">
      <c r="B1127" s="2060"/>
      <c r="C1127" s="2060"/>
      <c r="D1127" s="2060"/>
      <c r="E1127" s="255"/>
      <c r="H1127" s="2060"/>
      <c r="I1127" s="2060"/>
      <c r="J1127" s="2060"/>
      <c r="K1127" s="2060"/>
      <c r="L1127" s="2060"/>
      <c r="M1127" s="2060"/>
      <c r="N1127" s="2060"/>
      <c r="O1127" s="2060"/>
      <c r="P1127" s="2060"/>
      <c r="Q1127" s="2060"/>
      <c r="R1127" s="2060"/>
      <c r="S1127" s="2060"/>
      <c r="T1127" s="255"/>
      <c r="U1127" s="255"/>
      <c r="V1127" s="103"/>
    </row>
    <row r="1128" spans="2:22">
      <c r="B1128" s="2060"/>
      <c r="C1128" s="2060"/>
      <c r="D1128" s="2060"/>
      <c r="E1128" s="255"/>
      <c r="H1128" s="2060"/>
      <c r="I1128" s="2060"/>
      <c r="J1128" s="2060"/>
      <c r="K1128" s="2060"/>
      <c r="L1128" s="2060"/>
      <c r="M1128" s="2060"/>
      <c r="N1128" s="2060"/>
      <c r="O1128" s="2060"/>
      <c r="P1128" s="2060"/>
      <c r="Q1128" s="2060"/>
      <c r="R1128" s="2060"/>
      <c r="S1128" s="2060"/>
      <c r="T1128" s="255"/>
      <c r="U1128" s="255"/>
      <c r="V1128" s="103"/>
    </row>
    <row r="1129" spans="2:22">
      <c r="B1129" s="2060"/>
      <c r="C1129" s="2060"/>
      <c r="D1129" s="2060"/>
      <c r="E1129" s="255"/>
      <c r="H1129" s="2060"/>
      <c r="I1129" s="2060"/>
      <c r="J1129" s="2060"/>
      <c r="K1129" s="2060"/>
      <c r="L1129" s="2060"/>
      <c r="M1129" s="2060"/>
      <c r="N1129" s="2060"/>
      <c r="O1129" s="2060"/>
      <c r="P1129" s="2060"/>
      <c r="Q1129" s="2060"/>
      <c r="R1129" s="2060"/>
      <c r="S1129" s="2060"/>
      <c r="T1129" s="255"/>
      <c r="U1129" s="255"/>
      <c r="V1129" s="103"/>
    </row>
    <row r="1130" spans="2:22">
      <c r="B1130" s="2060"/>
      <c r="C1130" s="2060"/>
      <c r="D1130" s="2060"/>
      <c r="E1130" s="255"/>
      <c r="H1130" s="2060"/>
      <c r="I1130" s="2060"/>
      <c r="J1130" s="2060"/>
      <c r="K1130" s="2060"/>
      <c r="L1130" s="2060"/>
      <c r="M1130" s="2060"/>
      <c r="N1130" s="2060"/>
      <c r="O1130" s="2060"/>
      <c r="P1130" s="2060"/>
      <c r="Q1130" s="2060"/>
      <c r="R1130" s="2060"/>
      <c r="S1130" s="2060"/>
      <c r="T1130" s="255"/>
      <c r="U1130" s="255"/>
      <c r="V1130" s="103"/>
    </row>
    <row r="1131" spans="2:22">
      <c r="B1131" s="2060"/>
      <c r="C1131" s="2060"/>
      <c r="D1131" s="2060"/>
      <c r="E1131" s="255"/>
      <c r="H1131" s="2060"/>
      <c r="I1131" s="2060"/>
      <c r="J1131" s="2060"/>
      <c r="K1131" s="2060"/>
      <c r="L1131" s="2060"/>
      <c r="M1131" s="2060"/>
      <c r="N1131" s="2060"/>
      <c r="O1131" s="2060"/>
      <c r="P1131" s="2060"/>
      <c r="Q1131" s="2060"/>
      <c r="R1131" s="2060"/>
      <c r="S1131" s="2060"/>
      <c r="T1131" s="255"/>
      <c r="U1131" s="255"/>
      <c r="V1131" s="103"/>
    </row>
    <row r="1132" spans="2:22">
      <c r="B1132" s="2060"/>
      <c r="C1132" s="2060"/>
      <c r="D1132" s="2060"/>
      <c r="E1132" s="255"/>
      <c r="H1132" s="2060"/>
      <c r="I1132" s="2060"/>
      <c r="J1132" s="2060"/>
      <c r="K1132" s="2060"/>
      <c r="L1132" s="2060"/>
      <c r="M1132" s="2060"/>
      <c r="N1132" s="2060"/>
      <c r="O1132" s="2060"/>
      <c r="P1132" s="2060"/>
      <c r="Q1132" s="2060"/>
      <c r="R1132" s="2060"/>
      <c r="S1132" s="2060"/>
      <c r="T1132" s="255"/>
      <c r="U1132" s="255"/>
      <c r="V1132" s="103"/>
    </row>
    <row r="1133" spans="2:22">
      <c r="B1133" s="2060"/>
      <c r="C1133" s="2060"/>
      <c r="D1133" s="2060"/>
      <c r="E1133" s="255"/>
      <c r="H1133" s="2060"/>
      <c r="I1133" s="2060"/>
      <c r="J1133" s="2060"/>
      <c r="K1133" s="2060"/>
      <c r="L1133" s="2060"/>
      <c r="M1133" s="2060"/>
      <c r="N1133" s="2060"/>
      <c r="O1133" s="2060"/>
      <c r="P1133" s="2060"/>
      <c r="Q1133" s="2060"/>
      <c r="R1133" s="2060"/>
      <c r="S1133" s="2060"/>
      <c r="T1133" s="255"/>
      <c r="U1133" s="255"/>
      <c r="V1133" s="103"/>
    </row>
    <row r="1134" spans="2:22">
      <c r="B1134" s="2060"/>
      <c r="C1134" s="2060"/>
      <c r="D1134" s="2060"/>
      <c r="E1134" s="255"/>
      <c r="H1134" s="2060"/>
      <c r="I1134" s="2060"/>
      <c r="J1134" s="2060"/>
      <c r="K1134" s="2060"/>
      <c r="L1134" s="2060"/>
      <c r="M1134" s="2060"/>
      <c r="N1134" s="2060"/>
      <c r="O1134" s="2060"/>
      <c r="P1134" s="2060"/>
      <c r="Q1134" s="2060"/>
      <c r="R1134" s="2060"/>
      <c r="S1134" s="2060"/>
      <c r="T1134" s="255"/>
      <c r="U1134" s="255"/>
      <c r="V1134" s="103"/>
    </row>
    <row r="1135" spans="2:22">
      <c r="B1135" s="2060"/>
      <c r="C1135" s="2060"/>
      <c r="D1135" s="2060"/>
      <c r="E1135" s="255"/>
      <c r="H1135" s="2060"/>
      <c r="I1135" s="2060"/>
      <c r="J1135" s="2060"/>
      <c r="K1135" s="2060"/>
      <c r="L1135" s="2060"/>
      <c r="M1135" s="2060"/>
      <c r="N1135" s="2060"/>
      <c r="O1135" s="2060"/>
      <c r="P1135" s="2060"/>
      <c r="Q1135" s="2060"/>
      <c r="R1135" s="2060"/>
      <c r="S1135" s="2060"/>
      <c r="T1135" s="255"/>
      <c r="U1135" s="255"/>
      <c r="V1135" s="103"/>
    </row>
    <row r="1136" spans="2:22">
      <c r="B1136" s="2060"/>
      <c r="C1136" s="2060"/>
      <c r="D1136" s="2060"/>
      <c r="E1136" s="255"/>
      <c r="H1136" s="2060"/>
      <c r="I1136" s="2060"/>
      <c r="J1136" s="2060"/>
      <c r="K1136" s="2060"/>
      <c r="L1136" s="2060"/>
      <c r="M1136" s="2060"/>
      <c r="N1136" s="2060"/>
      <c r="O1136" s="2060"/>
      <c r="P1136" s="2060"/>
      <c r="Q1136" s="2060"/>
      <c r="R1136" s="2060"/>
      <c r="S1136" s="2060"/>
      <c r="T1136" s="255"/>
      <c r="U1136" s="255"/>
      <c r="V1136" s="103"/>
    </row>
    <row r="1137" spans="2:22">
      <c r="B1137" s="2060"/>
      <c r="C1137" s="2060"/>
      <c r="D1137" s="2060"/>
      <c r="E1137" s="255"/>
      <c r="H1137" s="2060"/>
      <c r="I1137" s="2060"/>
      <c r="J1137" s="2060"/>
      <c r="K1137" s="2060"/>
      <c r="L1137" s="2060"/>
      <c r="M1137" s="2060"/>
      <c r="N1137" s="2060"/>
      <c r="O1137" s="2060"/>
      <c r="P1137" s="2060"/>
      <c r="Q1137" s="2060"/>
      <c r="R1137" s="2060"/>
      <c r="S1137" s="2060"/>
      <c r="T1137" s="255"/>
      <c r="U1137" s="255"/>
      <c r="V1137" s="103"/>
    </row>
    <row r="1138" spans="2:22">
      <c r="B1138" s="2060"/>
      <c r="C1138" s="2060"/>
      <c r="D1138" s="2060"/>
      <c r="E1138" s="255"/>
      <c r="H1138" s="2060"/>
      <c r="I1138" s="2060"/>
      <c r="J1138" s="2060"/>
      <c r="K1138" s="2060"/>
      <c r="L1138" s="2060"/>
      <c r="M1138" s="2060"/>
      <c r="N1138" s="2060"/>
      <c r="O1138" s="2060"/>
      <c r="P1138" s="2060"/>
      <c r="Q1138" s="2060"/>
      <c r="R1138" s="2060"/>
      <c r="S1138" s="2060"/>
      <c r="T1138" s="255"/>
      <c r="U1138" s="255"/>
      <c r="V1138" s="103"/>
    </row>
    <row r="1139" spans="2:22">
      <c r="B1139" s="2060"/>
      <c r="C1139" s="2060"/>
      <c r="D1139" s="2060"/>
      <c r="E1139" s="255"/>
      <c r="H1139" s="2060"/>
      <c r="I1139" s="2060"/>
      <c r="J1139" s="2060"/>
      <c r="K1139" s="2060"/>
      <c r="L1139" s="2060"/>
      <c r="M1139" s="2060"/>
      <c r="N1139" s="2060"/>
      <c r="O1139" s="2060"/>
      <c r="P1139" s="2060"/>
      <c r="Q1139" s="2060"/>
      <c r="R1139" s="2060"/>
      <c r="S1139" s="2060"/>
      <c r="T1139" s="255"/>
      <c r="U1139" s="255"/>
      <c r="V1139" s="103"/>
    </row>
    <row r="1140" spans="2:22">
      <c r="B1140" s="2060"/>
      <c r="C1140" s="2060"/>
      <c r="D1140" s="2060"/>
      <c r="E1140" s="255"/>
      <c r="H1140" s="2060"/>
      <c r="I1140" s="2060"/>
      <c r="J1140" s="2060"/>
      <c r="K1140" s="2060"/>
      <c r="L1140" s="2060"/>
      <c r="M1140" s="2060"/>
      <c r="N1140" s="2060"/>
      <c r="O1140" s="2060"/>
      <c r="P1140" s="2060"/>
      <c r="Q1140" s="2060"/>
      <c r="R1140" s="2060"/>
      <c r="S1140" s="2060"/>
      <c r="T1140" s="255"/>
      <c r="U1140" s="255"/>
      <c r="V1140" s="103"/>
    </row>
    <row r="1141" spans="2:22">
      <c r="B1141" s="2060"/>
      <c r="C1141" s="2060"/>
      <c r="D1141" s="2060"/>
      <c r="E1141" s="255"/>
      <c r="H1141" s="2060"/>
      <c r="I1141" s="2060"/>
      <c r="J1141" s="2060"/>
      <c r="K1141" s="2060"/>
      <c r="L1141" s="2060"/>
      <c r="M1141" s="2060"/>
      <c r="N1141" s="2060"/>
      <c r="O1141" s="2060"/>
      <c r="P1141" s="2060"/>
      <c r="Q1141" s="2060"/>
      <c r="R1141" s="2060"/>
      <c r="S1141" s="2060"/>
      <c r="T1141" s="255"/>
      <c r="U1141" s="255"/>
      <c r="V1141" s="103"/>
    </row>
    <row r="1142" spans="2:22">
      <c r="B1142" s="2060"/>
      <c r="C1142" s="2060"/>
      <c r="D1142" s="2060"/>
      <c r="E1142" s="255"/>
      <c r="H1142" s="2060"/>
      <c r="I1142" s="2060"/>
      <c r="J1142" s="2060"/>
      <c r="K1142" s="2060"/>
      <c r="L1142" s="2060"/>
      <c r="M1142" s="2060"/>
      <c r="N1142" s="2060"/>
      <c r="O1142" s="2060"/>
      <c r="P1142" s="2060"/>
      <c r="Q1142" s="2060"/>
      <c r="R1142" s="2060"/>
      <c r="S1142" s="2060"/>
      <c r="T1142" s="255"/>
      <c r="U1142" s="255"/>
      <c r="V1142" s="103"/>
    </row>
    <row r="1143" spans="2:22">
      <c r="B1143" s="2060"/>
      <c r="C1143" s="2060"/>
      <c r="D1143" s="2060"/>
      <c r="E1143" s="255"/>
      <c r="H1143" s="2060"/>
      <c r="I1143" s="2060"/>
      <c r="J1143" s="2060"/>
      <c r="K1143" s="2060"/>
      <c r="L1143" s="2060"/>
      <c r="M1143" s="2060"/>
      <c r="N1143" s="2060"/>
      <c r="O1143" s="2060"/>
      <c r="P1143" s="2060"/>
      <c r="Q1143" s="2060"/>
      <c r="R1143" s="2060"/>
      <c r="S1143" s="2060"/>
      <c r="T1143" s="255"/>
      <c r="U1143" s="255"/>
      <c r="V1143" s="103"/>
    </row>
    <row r="1144" spans="2:22">
      <c r="B1144" s="2060"/>
      <c r="C1144" s="2060"/>
      <c r="D1144" s="2060"/>
      <c r="E1144" s="255"/>
      <c r="H1144" s="2060"/>
      <c r="I1144" s="2060"/>
      <c r="J1144" s="2060"/>
      <c r="K1144" s="2060"/>
      <c r="L1144" s="2060"/>
      <c r="M1144" s="2060"/>
      <c r="N1144" s="2060"/>
      <c r="O1144" s="2060"/>
      <c r="P1144" s="2060"/>
      <c r="Q1144" s="2060"/>
      <c r="R1144" s="2060"/>
      <c r="S1144" s="2060"/>
      <c r="T1144" s="255"/>
      <c r="U1144" s="255"/>
      <c r="V1144" s="103"/>
    </row>
    <row r="1145" spans="2:22">
      <c r="B1145" s="2060"/>
      <c r="C1145" s="2060"/>
      <c r="D1145" s="2060"/>
      <c r="E1145" s="255"/>
      <c r="H1145" s="2060"/>
      <c r="I1145" s="2060"/>
      <c r="J1145" s="2060"/>
      <c r="K1145" s="2060"/>
      <c r="L1145" s="2060"/>
      <c r="M1145" s="2060"/>
      <c r="N1145" s="2060"/>
      <c r="O1145" s="2060"/>
      <c r="P1145" s="2060"/>
      <c r="Q1145" s="2060"/>
      <c r="R1145" s="2060"/>
      <c r="S1145" s="2060"/>
      <c r="T1145" s="255"/>
      <c r="U1145" s="255"/>
      <c r="V1145" s="103"/>
    </row>
    <row r="1146" spans="2:22">
      <c r="B1146" s="2060"/>
      <c r="C1146" s="2060"/>
      <c r="D1146" s="2060"/>
      <c r="E1146" s="255"/>
      <c r="H1146" s="2060"/>
      <c r="I1146" s="2060"/>
      <c r="J1146" s="2060"/>
      <c r="K1146" s="2060"/>
      <c r="L1146" s="2060"/>
      <c r="M1146" s="2060"/>
      <c r="N1146" s="2060"/>
      <c r="O1146" s="2060"/>
      <c r="P1146" s="2060"/>
      <c r="Q1146" s="2060"/>
      <c r="R1146" s="2060"/>
      <c r="S1146" s="2060"/>
      <c r="T1146" s="255"/>
      <c r="U1146" s="255"/>
      <c r="V1146" s="103"/>
    </row>
    <row r="1147" spans="2:22">
      <c r="B1147" s="2060"/>
      <c r="C1147" s="2060"/>
      <c r="D1147" s="2060"/>
      <c r="E1147" s="255"/>
      <c r="H1147" s="2060"/>
      <c r="I1147" s="2060"/>
      <c r="J1147" s="2060"/>
      <c r="K1147" s="2060"/>
      <c r="L1147" s="2060"/>
      <c r="M1147" s="2060"/>
      <c r="N1147" s="2060"/>
      <c r="O1147" s="2060"/>
      <c r="P1147" s="2060"/>
      <c r="Q1147" s="2060"/>
      <c r="R1147" s="2060"/>
      <c r="S1147" s="2060"/>
      <c r="T1147" s="255"/>
      <c r="U1147" s="255"/>
      <c r="V1147" s="103"/>
    </row>
    <row r="1148" spans="2:22">
      <c r="B1148" s="2060"/>
      <c r="C1148" s="2060"/>
      <c r="D1148" s="2060"/>
      <c r="E1148" s="255"/>
      <c r="H1148" s="2060"/>
      <c r="I1148" s="2060"/>
      <c r="J1148" s="2060"/>
      <c r="K1148" s="2060"/>
      <c r="L1148" s="2060"/>
      <c r="M1148" s="2060"/>
      <c r="N1148" s="2060"/>
      <c r="O1148" s="2060"/>
      <c r="P1148" s="2060"/>
      <c r="Q1148" s="2060"/>
      <c r="R1148" s="2060"/>
      <c r="S1148" s="2060"/>
      <c r="T1148" s="255"/>
      <c r="U1148" s="255"/>
      <c r="V1148" s="103"/>
    </row>
    <row r="1149" spans="2:22">
      <c r="B1149" s="2060"/>
      <c r="C1149" s="2060"/>
      <c r="D1149" s="2060"/>
      <c r="E1149" s="255"/>
      <c r="H1149" s="2060"/>
      <c r="I1149" s="2060"/>
      <c r="J1149" s="2060"/>
      <c r="K1149" s="2060"/>
      <c r="L1149" s="2060"/>
      <c r="M1149" s="2060"/>
      <c r="N1149" s="2060"/>
      <c r="O1149" s="2060"/>
      <c r="P1149" s="2060"/>
      <c r="Q1149" s="2060"/>
      <c r="R1149" s="2060"/>
      <c r="S1149" s="2060"/>
      <c r="T1149" s="255"/>
      <c r="U1149" s="255"/>
      <c r="V1149" s="103"/>
    </row>
    <row r="1150" spans="2:22">
      <c r="B1150" s="2060"/>
      <c r="C1150" s="2060"/>
      <c r="D1150" s="2060"/>
      <c r="E1150" s="255"/>
      <c r="H1150" s="2060"/>
      <c r="I1150" s="2060"/>
      <c r="J1150" s="2060"/>
      <c r="K1150" s="2060"/>
      <c r="L1150" s="2060"/>
      <c r="M1150" s="2060"/>
      <c r="N1150" s="2060"/>
      <c r="O1150" s="2060"/>
      <c r="P1150" s="2060"/>
      <c r="Q1150" s="2060"/>
      <c r="R1150" s="2060"/>
      <c r="S1150" s="2060"/>
      <c r="T1150" s="255"/>
      <c r="U1150" s="255"/>
      <c r="V1150" s="103"/>
    </row>
    <row r="1151" spans="2:22">
      <c r="B1151" s="2060"/>
      <c r="C1151" s="2060"/>
      <c r="D1151" s="2060"/>
      <c r="E1151" s="255"/>
      <c r="H1151" s="2060"/>
      <c r="I1151" s="2060"/>
      <c r="J1151" s="2060"/>
      <c r="K1151" s="2060"/>
      <c r="L1151" s="2060"/>
      <c r="M1151" s="2060"/>
      <c r="N1151" s="2060"/>
      <c r="O1151" s="2060"/>
      <c r="P1151" s="2060"/>
      <c r="Q1151" s="2060"/>
      <c r="R1151" s="2060"/>
      <c r="S1151" s="2060"/>
      <c r="T1151" s="255"/>
      <c r="U1151" s="255"/>
      <c r="V1151" s="103"/>
    </row>
    <row r="1152" spans="2:22">
      <c r="B1152" s="2060"/>
      <c r="C1152" s="2060"/>
      <c r="D1152" s="2060"/>
      <c r="E1152" s="255"/>
      <c r="H1152" s="2060"/>
      <c r="I1152" s="2060"/>
      <c r="J1152" s="2060"/>
      <c r="K1152" s="2060"/>
      <c r="L1152" s="2060"/>
      <c r="M1152" s="2060"/>
      <c r="N1152" s="2060"/>
      <c r="O1152" s="2060"/>
      <c r="P1152" s="2060"/>
      <c r="Q1152" s="2060"/>
      <c r="R1152" s="2060"/>
      <c r="S1152" s="2060"/>
      <c r="T1152" s="255"/>
      <c r="U1152" s="255"/>
      <c r="V1152" s="103"/>
    </row>
    <row r="1153" spans="2:22">
      <c r="B1153" s="2060"/>
      <c r="C1153" s="2060"/>
      <c r="D1153" s="2060"/>
      <c r="E1153" s="255"/>
      <c r="H1153" s="2060"/>
      <c r="I1153" s="2060"/>
      <c r="J1153" s="2060"/>
      <c r="K1153" s="2060"/>
      <c r="L1153" s="2060"/>
      <c r="M1153" s="2060"/>
      <c r="N1153" s="2060"/>
      <c r="O1153" s="2060"/>
      <c r="P1153" s="2060"/>
      <c r="Q1153" s="2060"/>
      <c r="R1153" s="2060"/>
      <c r="S1153" s="2060"/>
      <c r="T1153" s="255"/>
      <c r="U1153" s="255"/>
      <c r="V1153" s="103"/>
    </row>
    <row r="1154" spans="2:22">
      <c r="B1154" s="2060"/>
      <c r="C1154" s="2060"/>
      <c r="D1154" s="2060"/>
      <c r="E1154" s="255"/>
      <c r="H1154" s="2060"/>
      <c r="I1154" s="2060"/>
      <c r="J1154" s="2060"/>
      <c r="K1154" s="2060"/>
      <c r="L1154" s="2060"/>
      <c r="M1154" s="2060"/>
      <c r="N1154" s="2060"/>
      <c r="O1154" s="2060"/>
      <c r="P1154" s="2060"/>
      <c r="Q1154" s="2060"/>
      <c r="R1154" s="2060"/>
      <c r="S1154" s="2060"/>
      <c r="T1154" s="255"/>
      <c r="U1154" s="255"/>
      <c r="V1154" s="103"/>
    </row>
    <row r="1155" spans="2:22">
      <c r="B1155" s="2060"/>
      <c r="C1155" s="2060"/>
      <c r="D1155" s="2060"/>
      <c r="E1155" s="255"/>
      <c r="H1155" s="2060"/>
      <c r="I1155" s="2060"/>
      <c r="J1155" s="2060"/>
      <c r="K1155" s="2060"/>
      <c r="L1155" s="2060"/>
      <c r="M1155" s="2060"/>
      <c r="N1155" s="2060"/>
      <c r="O1155" s="2060"/>
      <c r="P1155" s="2060"/>
      <c r="Q1155" s="2060"/>
      <c r="R1155" s="2060"/>
      <c r="S1155" s="2060"/>
      <c r="T1155" s="255"/>
      <c r="U1155" s="255"/>
      <c r="V1155" s="103"/>
    </row>
    <row r="1156" spans="2:22">
      <c r="B1156" s="2060"/>
      <c r="C1156" s="2060"/>
      <c r="D1156" s="2060"/>
      <c r="E1156" s="255"/>
      <c r="H1156" s="2060"/>
      <c r="I1156" s="2060"/>
      <c r="J1156" s="2060"/>
      <c r="K1156" s="2060"/>
      <c r="L1156" s="2060"/>
      <c r="M1156" s="2060"/>
      <c r="N1156" s="2060"/>
      <c r="O1156" s="2060"/>
      <c r="P1156" s="2060"/>
      <c r="Q1156" s="2060"/>
      <c r="R1156" s="2060"/>
      <c r="S1156" s="2060"/>
      <c r="T1156" s="255"/>
      <c r="U1156" s="255"/>
      <c r="V1156" s="103"/>
    </row>
    <row r="1157" spans="2:22">
      <c r="B1157" s="2060"/>
      <c r="C1157" s="2060"/>
      <c r="D1157" s="2060"/>
      <c r="E1157" s="255"/>
      <c r="H1157" s="2060"/>
      <c r="I1157" s="2060"/>
      <c r="J1157" s="2060"/>
      <c r="K1157" s="2060"/>
      <c r="L1157" s="2060"/>
      <c r="M1157" s="2060"/>
      <c r="N1157" s="2060"/>
      <c r="O1157" s="2060"/>
      <c r="P1157" s="2060"/>
      <c r="Q1157" s="2060"/>
      <c r="R1157" s="2060"/>
      <c r="S1157" s="2060"/>
      <c r="T1157" s="255"/>
      <c r="U1157" s="255"/>
      <c r="V1157" s="103"/>
    </row>
    <row r="1158" spans="2:22">
      <c r="B1158" s="2060"/>
      <c r="C1158" s="2060"/>
      <c r="D1158" s="2060"/>
      <c r="E1158" s="255"/>
      <c r="H1158" s="2060"/>
      <c r="I1158" s="2060"/>
      <c r="J1158" s="2060"/>
      <c r="K1158" s="2060"/>
      <c r="L1158" s="2060"/>
      <c r="M1158" s="2060"/>
      <c r="N1158" s="2060"/>
      <c r="O1158" s="2060"/>
      <c r="P1158" s="2060"/>
      <c r="Q1158" s="2060"/>
      <c r="R1158" s="2060"/>
      <c r="S1158" s="2060"/>
      <c r="T1158" s="255"/>
      <c r="U1158" s="255"/>
      <c r="V1158" s="103"/>
    </row>
    <row r="1159" spans="2:22">
      <c r="B1159" s="2060"/>
      <c r="C1159" s="2060"/>
      <c r="D1159" s="2060"/>
      <c r="E1159" s="255"/>
      <c r="H1159" s="2060"/>
      <c r="I1159" s="2060"/>
      <c r="J1159" s="2060"/>
      <c r="K1159" s="2060"/>
      <c r="L1159" s="2060"/>
      <c r="M1159" s="2060"/>
      <c r="N1159" s="2060"/>
      <c r="O1159" s="2060"/>
      <c r="P1159" s="2060"/>
      <c r="Q1159" s="2060"/>
      <c r="R1159" s="2060"/>
      <c r="S1159" s="2060"/>
      <c r="T1159" s="255"/>
      <c r="U1159" s="255"/>
      <c r="V1159" s="103"/>
    </row>
    <row r="1160" spans="2:22">
      <c r="B1160" s="2060"/>
      <c r="C1160" s="2060"/>
      <c r="D1160" s="2060"/>
      <c r="E1160" s="255"/>
      <c r="H1160" s="2060"/>
      <c r="I1160" s="2060"/>
      <c r="J1160" s="2060"/>
      <c r="K1160" s="2060"/>
      <c r="L1160" s="2060"/>
      <c r="M1160" s="2060"/>
      <c r="N1160" s="2060"/>
      <c r="O1160" s="2060"/>
      <c r="P1160" s="2060"/>
      <c r="Q1160" s="2060"/>
      <c r="R1160" s="2060"/>
      <c r="S1160" s="2060"/>
      <c r="T1160" s="255"/>
      <c r="U1160" s="255"/>
      <c r="V1160" s="103"/>
    </row>
    <row r="1161" spans="2:22">
      <c r="B1161" s="2060"/>
      <c r="C1161" s="2060"/>
      <c r="D1161" s="2060"/>
      <c r="E1161" s="255"/>
      <c r="H1161" s="2060"/>
      <c r="I1161" s="2060"/>
      <c r="J1161" s="2060"/>
      <c r="K1161" s="2060"/>
      <c r="L1161" s="2060"/>
      <c r="M1161" s="2060"/>
      <c r="N1161" s="2060"/>
      <c r="O1161" s="2060"/>
      <c r="P1161" s="2060"/>
      <c r="Q1161" s="2060"/>
      <c r="R1161" s="2060"/>
      <c r="S1161" s="2060"/>
      <c r="T1161" s="255"/>
      <c r="U1161" s="255"/>
      <c r="V1161" s="103"/>
    </row>
    <row r="1162" spans="2:22">
      <c r="B1162" s="2060"/>
      <c r="C1162" s="2060"/>
      <c r="D1162" s="2060"/>
      <c r="E1162" s="255"/>
      <c r="H1162" s="2060"/>
      <c r="I1162" s="2060"/>
      <c r="J1162" s="2060"/>
      <c r="K1162" s="2060"/>
      <c r="L1162" s="2060"/>
      <c r="M1162" s="2060"/>
      <c r="N1162" s="2060"/>
      <c r="O1162" s="2060"/>
      <c r="P1162" s="2060"/>
      <c r="Q1162" s="2060"/>
      <c r="R1162" s="2060"/>
      <c r="S1162" s="2060"/>
      <c r="T1162" s="255"/>
      <c r="U1162" s="255"/>
      <c r="V1162" s="103"/>
    </row>
    <row r="1163" spans="2:22">
      <c r="B1163" s="2060"/>
      <c r="C1163" s="2060"/>
      <c r="D1163" s="2060"/>
      <c r="E1163" s="255"/>
      <c r="H1163" s="2060"/>
      <c r="I1163" s="2060"/>
      <c r="J1163" s="2060"/>
      <c r="K1163" s="2060"/>
      <c r="L1163" s="2060"/>
      <c r="M1163" s="2060"/>
      <c r="N1163" s="2060"/>
      <c r="O1163" s="2060"/>
      <c r="P1163" s="2060"/>
      <c r="Q1163" s="2060"/>
      <c r="R1163" s="2060"/>
      <c r="S1163" s="2060"/>
      <c r="T1163" s="255"/>
      <c r="U1163" s="255"/>
      <c r="V1163" s="103"/>
    </row>
    <row r="1164" spans="2:22">
      <c r="B1164" s="2060"/>
      <c r="C1164" s="2060"/>
      <c r="D1164" s="2060"/>
      <c r="E1164" s="255"/>
      <c r="H1164" s="2060"/>
      <c r="I1164" s="2060"/>
      <c r="J1164" s="2060"/>
      <c r="K1164" s="2060"/>
      <c r="L1164" s="2060"/>
      <c r="M1164" s="2060"/>
      <c r="N1164" s="2060"/>
      <c r="O1164" s="2060"/>
      <c r="P1164" s="2060"/>
      <c r="Q1164" s="2060"/>
      <c r="R1164" s="2060"/>
      <c r="S1164" s="2060"/>
      <c r="T1164" s="255"/>
      <c r="U1164" s="255"/>
      <c r="V1164" s="103"/>
    </row>
    <row r="1165" spans="2:22">
      <c r="B1165" s="2060"/>
      <c r="C1165" s="2060"/>
      <c r="D1165" s="2060"/>
      <c r="E1165" s="255"/>
      <c r="H1165" s="2060"/>
      <c r="I1165" s="2060"/>
      <c r="J1165" s="2060"/>
      <c r="K1165" s="2060"/>
      <c r="L1165" s="2060"/>
      <c r="M1165" s="2060"/>
      <c r="N1165" s="2060"/>
      <c r="O1165" s="2060"/>
      <c r="P1165" s="2060"/>
      <c r="Q1165" s="2060"/>
      <c r="R1165" s="2060"/>
      <c r="S1165" s="2060"/>
      <c r="T1165" s="255"/>
      <c r="U1165" s="255"/>
      <c r="V1165" s="103"/>
    </row>
    <row r="1166" spans="2:22">
      <c r="B1166" s="2060"/>
      <c r="C1166" s="2060"/>
      <c r="D1166" s="2060"/>
      <c r="E1166" s="255"/>
      <c r="H1166" s="2060"/>
      <c r="I1166" s="2060"/>
      <c r="J1166" s="2060"/>
      <c r="K1166" s="2060"/>
      <c r="L1166" s="2060"/>
      <c r="M1166" s="2060"/>
      <c r="N1166" s="2060"/>
      <c r="O1166" s="2060"/>
      <c r="P1166" s="2060"/>
      <c r="Q1166" s="2060"/>
      <c r="R1166" s="2060"/>
      <c r="S1166" s="2060"/>
      <c r="T1166" s="255"/>
      <c r="U1166" s="255"/>
      <c r="V1166" s="103"/>
    </row>
    <row r="1167" spans="2:22">
      <c r="B1167" s="2060"/>
      <c r="C1167" s="2060"/>
      <c r="D1167" s="2060"/>
      <c r="E1167" s="255"/>
      <c r="H1167" s="2060"/>
      <c r="I1167" s="2060"/>
      <c r="J1167" s="2060"/>
      <c r="K1167" s="2060"/>
      <c r="L1167" s="2060"/>
      <c r="M1167" s="2060"/>
      <c r="N1167" s="2060"/>
      <c r="O1167" s="2060"/>
      <c r="P1167" s="2060"/>
      <c r="Q1167" s="2060"/>
      <c r="R1167" s="2060"/>
      <c r="S1167" s="2060"/>
      <c r="T1167" s="255"/>
      <c r="U1167" s="255"/>
      <c r="V1167" s="103"/>
    </row>
    <row r="1168" spans="2:22">
      <c r="B1168" s="2060"/>
      <c r="C1168" s="2060"/>
      <c r="D1168" s="2060"/>
      <c r="E1168" s="255"/>
      <c r="H1168" s="2060"/>
      <c r="I1168" s="2060"/>
      <c r="J1168" s="2060"/>
      <c r="K1168" s="2060"/>
      <c r="L1168" s="2060"/>
      <c r="M1168" s="2060"/>
      <c r="N1168" s="2060"/>
      <c r="O1168" s="2060"/>
      <c r="P1168" s="2060"/>
      <c r="Q1168" s="2060"/>
      <c r="R1168" s="2060"/>
      <c r="S1168" s="2060"/>
      <c r="T1168" s="255"/>
      <c r="U1168" s="255"/>
      <c r="V1168" s="103"/>
    </row>
    <row r="1169" spans="2:22">
      <c r="B1169" s="2060"/>
      <c r="C1169" s="2060"/>
      <c r="D1169" s="2060"/>
      <c r="E1169" s="255"/>
      <c r="H1169" s="2060"/>
      <c r="I1169" s="2060"/>
      <c r="J1169" s="2060"/>
      <c r="K1169" s="2060"/>
      <c r="L1169" s="2060"/>
      <c r="M1169" s="2060"/>
      <c r="N1169" s="2060"/>
      <c r="O1169" s="2060"/>
      <c r="P1169" s="2060"/>
      <c r="Q1169" s="2060"/>
      <c r="R1169" s="2060"/>
      <c r="S1169" s="2060"/>
      <c r="T1169" s="255"/>
      <c r="U1169" s="255"/>
      <c r="V1169" s="103"/>
    </row>
    <row r="1170" spans="2:22">
      <c r="B1170" s="2060"/>
      <c r="C1170" s="2060"/>
      <c r="D1170" s="2060"/>
      <c r="E1170" s="255"/>
      <c r="H1170" s="2060"/>
      <c r="I1170" s="2060"/>
      <c r="J1170" s="2060"/>
      <c r="K1170" s="2060"/>
      <c r="L1170" s="2060"/>
      <c r="M1170" s="2060"/>
      <c r="N1170" s="2060"/>
      <c r="O1170" s="2060"/>
      <c r="P1170" s="2060"/>
      <c r="Q1170" s="2060"/>
      <c r="R1170" s="2060"/>
      <c r="S1170" s="2060"/>
      <c r="T1170" s="255"/>
      <c r="U1170" s="255"/>
      <c r="V1170" s="103"/>
    </row>
    <row r="1171" spans="2:22">
      <c r="B1171" s="2060"/>
      <c r="C1171" s="2060"/>
      <c r="D1171" s="2060"/>
      <c r="E1171" s="255"/>
      <c r="H1171" s="2060"/>
      <c r="I1171" s="2060"/>
      <c r="J1171" s="2060"/>
      <c r="K1171" s="2060"/>
      <c r="L1171" s="2060"/>
      <c r="M1171" s="2060"/>
      <c r="N1171" s="2060"/>
      <c r="O1171" s="2060"/>
      <c r="P1171" s="2060"/>
      <c r="Q1171" s="2060"/>
      <c r="R1171" s="2060"/>
      <c r="S1171" s="2060"/>
      <c r="T1171" s="255"/>
      <c r="U1171" s="255"/>
      <c r="V1171" s="103"/>
    </row>
    <row r="1172" spans="2:22">
      <c r="B1172" s="2060"/>
      <c r="C1172" s="2060"/>
      <c r="D1172" s="2060"/>
      <c r="E1172" s="255"/>
      <c r="H1172" s="2060"/>
      <c r="I1172" s="2060"/>
      <c r="J1172" s="2060"/>
      <c r="K1172" s="2060"/>
      <c r="L1172" s="2060"/>
      <c r="M1172" s="2060"/>
      <c r="N1172" s="2060"/>
      <c r="O1172" s="2060"/>
      <c r="P1172" s="2060"/>
      <c r="Q1172" s="2060"/>
      <c r="R1172" s="2060"/>
      <c r="S1172" s="2060"/>
      <c r="T1172" s="255"/>
      <c r="U1172" s="255"/>
      <c r="V1172" s="103"/>
    </row>
    <row r="1173" spans="2:22">
      <c r="B1173" s="2060"/>
      <c r="C1173" s="2060"/>
      <c r="D1173" s="2060"/>
      <c r="E1173" s="255"/>
      <c r="H1173" s="2060"/>
      <c r="I1173" s="2060"/>
      <c r="J1173" s="2060"/>
      <c r="K1173" s="2060"/>
      <c r="L1173" s="2060"/>
      <c r="M1173" s="2060"/>
      <c r="N1173" s="2060"/>
      <c r="O1173" s="2060"/>
      <c r="P1173" s="2060"/>
      <c r="Q1173" s="2060"/>
      <c r="R1173" s="2060"/>
      <c r="S1173" s="2060"/>
      <c r="T1173" s="255"/>
      <c r="U1173" s="255"/>
      <c r="V1173" s="103"/>
    </row>
    <row r="1174" spans="2:22">
      <c r="B1174" s="2060"/>
      <c r="C1174" s="2060"/>
      <c r="D1174" s="2060"/>
      <c r="E1174" s="255"/>
      <c r="H1174" s="2060"/>
      <c r="I1174" s="2060"/>
      <c r="J1174" s="2060"/>
      <c r="K1174" s="2060"/>
      <c r="L1174" s="2060"/>
      <c r="M1174" s="2060"/>
      <c r="N1174" s="2060"/>
      <c r="O1174" s="2060"/>
      <c r="P1174" s="2060"/>
      <c r="Q1174" s="2060"/>
      <c r="R1174" s="2060"/>
      <c r="S1174" s="2060"/>
      <c r="T1174" s="255"/>
      <c r="U1174" s="255"/>
      <c r="V1174" s="103"/>
    </row>
    <row r="1175" spans="2:22">
      <c r="B1175" s="2060"/>
      <c r="C1175" s="2060"/>
      <c r="D1175" s="2060"/>
      <c r="E1175" s="255"/>
      <c r="H1175" s="2060"/>
      <c r="I1175" s="2060"/>
      <c r="J1175" s="2060"/>
      <c r="K1175" s="2060"/>
      <c r="L1175" s="2060"/>
      <c r="M1175" s="2060"/>
      <c r="N1175" s="2060"/>
      <c r="O1175" s="2060"/>
      <c r="P1175" s="2060"/>
      <c r="Q1175" s="2060"/>
      <c r="R1175" s="2060"/>
      <c r="S1175" s="2060"/>
      <c r="T1175" s="255"/>
      <c r="U1175" s="255"/>
      <c r="V1175" s="103"/>
    </row>
    <row r="1176" spans="2:22">
      <c r="B1176" s="2060"/>
      <c r="C1176" s="2060"/>
      <c r="D1176" s="2060"/>
      <c r="E1176" s="255"/>
      <c r="H1176" s="2060"/>
      <c r="I1176" s="2060"/>
      <c r="J1176" s="2060"/>
      <c r="K1176" s="2060"/>
      <c r="L1176" s="2060"/>
      <c r="M1176" s="2060"/>
      <c r="N1176" s="2060"/>
      <c r="O1176" s="2060"/>
      <c r="P1176" s="2060"/>
      <c r="Q1176" s="2060"/>
      <c r="R1176" s="2060"/>
      <c r="S1176" s="2060"/>
      <c r="T1176" s="255"/>
      <c r="U1176" s="255"/>
      <c r="V1176" s="103"/>
    </row>
    <row r="1177" spans="2:22">
      <c r="B1177" s="2060"/>
      <c r="C1177" s="2060"/>
      <c r="D1177" s="2060"/>
      <c r="E1177" s="255"/>
      <c r="H1177" s="2060"/>
      <c r="I1177" s="2060"/>
      <c r="J1177" s="2060"/>
      <c r="K1177" s="2060"/>
      <c r="L1177" s="2060"/>
      <c r="M1177" s="2060"/>
      <c r="N1177" s="2060"/>
      <c r="O1177" s="2060"/>
      <c r="P1177" s="2060"/>
      <c r="Q1177" s="2060"/>
      <c r="R1177" s="2060"/>
      <c r="S1177" s="2060"/>
      <c r="T1177" s="255"/>
      <c r="U1177" s="255"/>
      <c r="V1177" s="103"/>
    </row>
    <row r="1178" spans="2:22">
      <c r="B1178" s="2060"/>
      <c r="C1178" s="2060"/>
      <c r="D1178" s="2060"/>
      <c r="E1178" s="255"/>
      <c r="H1178" s="2060"/>
      <c r="I1178" s="2060"/>
      <c r="J1178" s="2060"/>
      <c r="K1178" s="2060"/>
      <c r="L1178" s="2060"/>
      <c r="M1178" s="2060"/>
      <c r="N1178" s="2060"/>
      <c r="O1178" s="2060"/>
      <c r="P1178" s="2060"/>
      <c r="Q1178" s="2060"/>
      <c r="R1178" s="2060"/>
      <c r="S1178" s="2060"/>
      <c r="T1178" s="255"/>
      <c r="U1178" s="255"/>
      <c r="V1178" s="103"/>
    </row>
    <row r="1179" spans="2:22">
      <c r="B1179" s="2060"/>
      <c r="C1179" s="2060"/>
      <c r="D1179" s="2060"/>
      <c r="E1179" s="255"/>
      <c r="H1179" s="2060"/>
      <c r="I1179" s="2060"/>
      <c r="J1179" s="2060"/>
      <c r="K1179" s="2060"/>
      <c r="L1179" s="2060"/>
      <c r="M1179" s="2060"/>
      <c r="N1179" s="2060"/>
      <c r="O1179" s="2060"/>
      <c r="P1179" s="2060"/>
      <c r="Q1179" s="2060"/>
      <c r="R1179" s="2060"/>
      <c r="S1179" s="2060"/>
      <c r="T1179" s="255"/>
      <c r="U1179" s="255"/>
      <c r="V1179" s="103"/>
    </row>
    <row r="1180" spans="2:22">
      <c r="B1180" s="2060"/>
      <c r="C1180" s="2060"/>
      <c r="D1180" s="2060"/>
      <c r="E1180" s="255"/>
      <c r="H1180" s="2060"/>
      <c r="I1180" s="2060"/>
      <c r="J1180" s="2060"/>
      <c r="K1180" s="2060"/>
      <c r="L1180" s="2060"/>
      <c r="M1180" s="2060"/>
      <c r="N1180" s="2060"/>
      <c r="O1180" s="2060"/>
      <c r="P1180" s="2060"/>
      <c r="Q1180" s="2060"/>
      <c r="R1180" s="2060"/>
      <c r="S1180" s="2060"/>
      <c r="T1180" s="255"/>
      <c r="U1180" s="255"/>
      <c r="V1180" s="103"/>
    </row>
    <row r="1181" spans="2:22">
      <c r="B1181" s="2060"/>
      <c r="C1181" s="2060"/>
      <c r="D1181" s="2060"/>
      <c r="E1181" s="255"/>
      <c r="H1181" s="2060"/>
      <c r="I1181" s="2060"/>
      <c r="J1181" s="2060"/>
      <c r="K1181" s="2060"/>
      <c r="L1181" s="2060"/>
      <c r="M1181" s="2060"/>
      <c r="N1181" s="2060"/>
      <c r="O1181" s="2060"/>
      <c r="P1181" s="2060"/>
      <c r="Q1181" s="2060"/>
      <c r="R1181" s="2060"/>
      <c r="S1181" s="2060"/>
      <c r="T1181" s="255"/>
      <c r="U1181" s="255"/>
      <c r="V1181" s="103"/>
    </row>
    <row r="1182" spans="2:22">
      <c r="B1182" s="2060"/>
      <c r="C1182" s="2060"/>
      <c r="D1182" s="2060"/>
      <c r="E1182" s="255"/>
      <c r="H1182" s="2060"/>
      <c r="I1182" s="2060"/>
      <c r="J1182" s="2060"/>
      <c r="K1182" s="2060"/>
      <c r="L1182" s="2060"/>
      <c r="M1182" s="2060"/>
      <c r="N1182" s="2060"/>
      <c r="O1182" s="2060"/>
      <c r="P1182" s="2060"/>
      <c r="Q1182" s="2060"/>
      <c r="R1182" s="2060"/>
      <c r="S1182" s="2060"/>
      <c r="T1182" s="255"/>
      <c r="U1182" s="255"/>
      <c r="V1182" s="103"/>
    </row>
    <row r="1183" spans="2:22">
      <c r="B1183" s="2060"/>
      <c r="C1183" s="2060"/>
      <c r="D1183" s="2060"/>
      <c r="E1183" s="255"/>
      <c r="H1183" s="2060"/>
      <c r="I1183" s="2060"/>
      <c r="J1183" s="2060"/>
      <c r="K1183" s="2060"/>
      <c r="L1183" s="2060"/>
      <c r="M1183" s="2060"/>
      <c r="N1183" s="2060"/>
      <c r="O1183" s="2060"/>
      <c r="P1183" s="2060"/>
      <c r="Q1183" s="2060"/>
      <c r="R1183" s="2060"/>
      <c r="S1183" s="2060"/>
      <c r="T1183" s="255"/>
      <c r="U1183" s="255"/>
      <c r="V1183" s="103"/>
    </row>
    <row r="1184" spans="2:22">
      <c r="B1184" s="2060"/>
      <c r="C1184" s="2060"/>
      <c r="D1184" s="2060"/>
      <c r="E1184" s="255"/>
      <c r="H1184" s="2060"/>
      <c r="I1184" s="2060"/>
      <c r="J1184" s="2060"/>
      <c r="K1184" s="2060"/>
      <c r="L1184" s="2060"/>
      <c r="M1184" s="2060"/>
      <c r="N1184" s="2060"/>
      <c r="O1184" s="2060"/>
      <c r="P1184" s="2060"/>
      <c r="Q1184" s="2060"/>
      <c r="R1184" s="2060"/>
      <c r="S1184" s="2060"/>
      <c r="T1184" s="255"/>
      <c r="U1184" s="255"/>
      <c r="V1184" s="103"/>
    </row>
    <row r="1185" spans="2:22">
      <c r="B1185" s="2060"/>
      <c r="C1185" s="2060"/>
      <c r="D1185" s="2060"/>
      <c r="E1185" s="255"/>
      <c r="H1185" s="2060"/>
      <c r="I1185" s="2060"/>
      <c r="J1185" s="2060"/>
      <c r="K1185" s="2060"/>
      <c r="L1185" s="2060"/>
      <c r="M1185" s="2060"/>
      <c r="N1185" s="2060"/>
      <c r="O1185" s="2060"/>
      <c r="P1185" s="2060"/>
      <c r="Q1185" s="2060"/>
      <c r="R1185" s="2060"/>
      <c r="S1185" s="2060"/>
      <c r="T1185" s="255"/>
      <c r="U1185" s="255"/>
      <c r="V1185" s="103"/>
    </row>
    <row r="1186" spans="2:22">
      <c r="B1186" s="2060"/>
      <c r="C1186" s="2060"/>
      <c r="D1186" s="2060"/>
      <c r="E1186" s="255"/>
      <c r="H1186" s="2060"/>
      <c r="I1186" s="2060"/>
      <c r="J1186" s="2060"/>
      <c r="K1186" s="2060"/>
      <c r="L1186" s="2060"/>
      <c r="M1186" s="2060"/>
      <c r="N1186" s="2060"/>
      <c r="O1186" s="2060"/>
      <c r="P1186" s="2060"/>
      <c r="Q1186" s="2060"/>
      <c r="R1186" s="2060"/>
      <c r="S1186" s="2060"/>
      <c r="T1186" s="255"/>
      <c r="U1186" s="255"/>
      <c r="V1186" s="103"/>
    </row>
    <row r="1187" spans="2:22">
      <c r="B1187" s="2060"/>
      <c r="C1187" s="2060"/>
      <c r="D1187" s="2060"/>
      <c r="E1187" s="255"/>
      <c r="H1187" s="2060"/>
      <c r="I1187" s="2060"/>
      <c r="J1187" s="2060"/>
      <c r="K1187" s="2060"/>
      <c r="L1187" s="2060"/>
      <c r="M1187" s="2060"/>
      <c r="N1187" s="2060"/>
      <c r="O1187" s="2060"/>
      <c r="P1187" s="2060"/>
      <c r="Q1187" s="2060"/>
      <c r="R1187" s="2060"/>
      <c r="S1187" s="2060"/>
      <c r="T1187" s="255"/>
      <c r="U1187" s="255"/>
      <c r="V1187" s="103"/>
    </row>
    <row r="1188" spans="2:22">
      <c r="B1188" s="2060"/>
      <c r="C1188" s="2060"/>
      <c r="D1188" s="2060"/>
      <c r="E1188" s="255"/>
      <c r="H1188" s="2060"/>
      <c r="I1188" s="2060"/>
      <c r="J1188" s="2060"/>
      <c r="K1188" s="2060"/>
      <c r="L1188" s="2060"/>
      <c r="M1188" s="2060"/>
      <c r="N1188" s="2060"/>
      <c r="O1188" s="2060"/>
      <c r="P1188" s="2060"/>
      <c r="Q1188" s="2060"/>
      <c r="R1188" s="2060"/>
      <c r="S1188" s="2060"/>
      <c r="T1188" s="255"/>
      <c r="U1188" s="255"/>
      <c r="V1188" s="103"/>
    </row>
    <row r="1189" spans="2:22">
      <c r="B1189" s="2060"/>
      <c r="C1189" s="2060"/>
      <c r="D1189" s="2060"/>
      <c r="E1189" s="255"/>
      <c r="H1189" s="2060"/>
      <c r="I1189" s="2060"/>
      <c r="J1189" s="2060"/>
      <c r="K1189" s="2060"/>
      <c r="L1189" s="2060"/>
      <c r="M1189" s="2060"/>
      <c r="N1189" s="2060"/>
      <c r="O1189" s="2060"/>
      <c r="P1189" s="2060"/>
      <c r="Q1189" s="2060"/>
      <c r="R1189" s="2060"/>
      <c r="S1189" s="2060"/>
      <c r="T1189" s="255"/>
      <c r="U1189" s="255"/>
      <c r="V1189" s="103"/>
    </row>
    <row r="1190" spans="2:22">
      <c r="B1190" s="2060"/>
      <c r="C1190" s="2060"/>
      <c r="D1190" s="2060"/>
      <c r="E1190" s="255"/>
      <c r="H1190" s="2060"/>
      <c r="I1190" s="2060"/>
      <c r="J1190" s="2060"/>
      <c r="K1190" s="2060"/>
      <c r="L1190" s="2060"/>
      <c r="M1190" s="2060"/>
      <c r="N1190" s="2060"/>
      <c r="O1190" s="2060"/>
      <c r="P1190" s="2060"/>
      <c r="Q1190" s="2060"/>
      <c r="R1190" s="2060"/>
      <c r="S1190" s="2060"/>
      <c r="T1190" s="255"/>
      <c r="U1190" s="255"/>
      <c r="V1190" s="103"/>
    </row>
    <row r="1191" spans="2:22">
      <c r="B1191" s="2060"/>
      <c r="C1191" s="2060"/>
      <c r="D1191" s="2060"/>
      <c r="E1191" s="255"/>
      <c r="H1191" s="2060"/>
      <c r="I1191" s="2060"/>
      <c r="J1191" s="2060"/>
      <c r="K1191" s="2060"/>
      <c r="L1191" s="2060"/>
      <c r="M1191" s="2060"/>
      <c r="N1191" s="2060"/>
      <c r="O1191" s="2060"/>
      <c r="P1191" s="2060"/>
      <c r="Q1191" s="2060"/>
      <c r="R1191" s="2060"/>
      <c r="S1191" s="2060"/>
      <c r="T1191" s="255"/>
      <c r="U1191" s="255"/>
      <c r="V1191" s="103"/>
    </row>
    <row r="1192" spans="2:22">
      <c r="B1192" s="2060"/>
      <c r="C1192" s="2060"/>
      <c r="D1192" s="2060"/>
      <c r="E1192" s="255"/>
      <c r="H1192" s="2060"/>
      <c r="I1192" s="2060"/>
      <c r="J1192" s="2060"/>
      <c r="K1192" s="2060"/>
      <c r="L1192" s="2060"/>
      <c r="M1192" s="2060"/>
      <c r="N1192" s="2060"/>
      <c r="O1192" s="2060"/>
      <c r="P1192" s="2060"/>
      <c r="Q1192" s="2060"/>
      <c r="R1192" s="2060"/>
      <c r="S1192" s="2060"/>
      <c r="T1192" s="255"/>
      <c r="U1192" s="255"/>
      <c r="V1192" s="103"/>
    </row>
    <row r="1193" spans="2:22">
      <c r="B1193" s="2060"/>
      <c r="C1193" s="2060"/>
      <c r="D1193" s="2060"/>
      <c r="E1193" s="255"/>
      <c r="H1193" s="2060"/>
      <c r="I1193" s="2060"/>
      <c r="J1193" s="2060"/>
      <c r="K1193" s="2060"/>
      <c r="L1193" s="2060"/>
      <c r="M1193" s="2060"/>
      <c r="N1193" s="2060"/>
      <c r="O1193" s="2060"/>
      <c r="P1193" s="2060"/>
      <c r="Q1193" s="2060"/>
      <c r="R1193" s="2060"/>
      <c r="S1193" s="2060"/>
      <c r="T1193" s="255"/>
      <c r="U1193" s="255"/>
      <c r="V1193" s="103"/>
    </row>
    <row r="1194" spans="2:22">
      <c r="B1194" s="2060"/>
      <c r="C1194" s="2060"/>
      <c r="D1194" s="2060"/>
      <c r="E1194" s="255"/>
      <c r="H1194" s="2060"/>
      <c r="I1194" s="2060"/>
      <c r="J1194" s="2060"/>
      <c r="K1194" s="2060"/>
      <c r="L1194" s="2060"/>
      <c r="M1194" s="2060"/>
      <c r="N1194" s="2060"/>
      <c r="O1194" s="2060"/>
      <c r="P1194" s="2060"/>
      <c r="Q1194" s="2060"/>
      <c r="R1194" s="2060"/>
      <c r="S1194" s="2060"/>
      <c r="T1194" s="255"/>
      <c r="U1194" s="255"/>
      <c r="V1194" s="103"/>
    </row>
    <row r="1195" spans="2:22">
      <c r="B1195" s="2060"/>
      <c r="C1195" s="2060"/>
      <c r="D1195" s="2060"/>
      <c r="E1195" s="255"/>
      <c r="H1195" s="2060"/>
      <c r="I1195" s="2060"/>
      <c r="J1195" s="2060"/>
      <c r="K1195" s="2060"/>
      <c r="L1195" s="2060"/>
      <c r="M1195" s="2060"/>
      <c r="N1195" s="2060"/>
      <c r="O1195" s="2060"/>
      <c r="P1195" s="2060"/>
      <c r="Q1195" s="2060"/>
      <c r="R1195" s="2060"/>
      <c r="S1195" s="2060"/>
      <c r="T1195" s="255"/>
      <c r="U1195" s="255"/>
      <c r="V1195" s="103"/>
    </row>
    <row r="1196" spans="2:22">
      <c r="B1196" s="2060"/>
      <c r="C1196" s="2060"/>
      <c r="D1196" s="2060"/>
      <c r="E1196" s="255"/>
      <c r="H1196" s="2060"/>
      <c r="I1196" s="2060"/>
      <c r="J1196" s="2060"/>
      <c r="K1196" s="2060"/>
      <c r="L1196" s="2060"/>
      <c r="M1196" s="2060"/>
      <c r="N1196" s="2060"/>
      <c r="O1196" s="2060"/>
      <c r="P1196" s="2060"/>
      <c r="Q1196" s="2060"/>
      <c r="R1196" s="2060"/>
      <c r="S1196" s="2060"/>
      <c r="T1196" s="255"/>
      <c r="U1196" s="255"/>
      <c r="V1196" s="103"/>
    </row>
    <row r="1197" spans="2:22">
      <c r="B1197" s="2060"/>
      <c r="C1197" s="2060"/>
      <c r="D1197" s="2060"/>
      <c r="E1197" s="255"/>
      <c r="H1197" s="2060"/>
      <c r="I1197" s="2060"/>
      <c r="J1197" s="2060"/>
      <c r="K1197" s="2060"/>
      <c r="L1197" s="2060"/>
      <c r="M1197" s="2060"/>
      <c r="N1197" s="2060"/>
      <c r="O1197" s="2060"/>
      <c r="P1197" s="2060"/>
      <c r="Q1197" s="2060"/>
      <c r="R1197" s="2060"/>
      <c r="S1197" s="2060"/>
      <c r="T1197" s="255"/>
      <c r="U1197" s="255"/>
      <c r="V1197" s="103"/>
    </row>
    <row r="1198" spans="2:22">
      <c r="B1198" s="2060"/>
      <c r="C1198" s="2060"/>
      <c r="D1198" s="2060"/>
      <c r="E1198" s="255"/>
      <c r="H1198" s="2060"/>
      <c r="I1198" s="2060"/>
      <c r="J1198" s="2060"/>
      <c r="K1198" s="2060"/>
      <c r="L1198" s="2060"/>
      <c r="M1198" s="2060"/>
      <c r="N1198" s="2060"/>
      <c r="O1198" s="2060"/>
      <c r="P1198" s="2060"/>
      <c r="Q1198" s="2060"/>
      <c r="R1198" s="2060"/>
      <c r="S1198" s="2060"/>
      <c r="T1198" s="255"/>
      <c r="U1198" s="255"/>
      <c r="V1198" s="103"/>
    </row>
    <row r="1199" spans="2:22">
      <c r="B1199" s="2060"/>
      <c r="C1199" s="2060"/>
      <c r="D1199" s="2060"/>
      <c r="E1199" s="255"/>
      <c r="H1199" s="2060"/>
      <c r="I1199" s="2060"/>
      <c r="J1199" s="2060"/>
      <c r="K1199" s="2060"/>
      <c r="L1199" s="2060"/>
      <c r="M1199" s="2060"/>
      <c r="N1199" s="2060"/>
      <c r="O1199" s="2060"/>
      <c r="P1199" s="2060"/>
      <c r="Q1199" s="2060"/>
      <c r="R1199" s="2060"/>
      <c r="S1199" s="2060"/>
      <c r="T1199" s="255"/>
      <c r="U1199" s="255"/>
      <c r="V1199" s="103"/>
    </row>
    <row r="1200" spans="2:22">
      <c r="B1200" s="2060"/>
      <c r="C1200" s="2060"/>
      <c r="D1200" s="2060"/>
      <c r="E1200" s="255"/>
      <c r="H1200" s="2060"/>
      <c r="I1200" s="2060"/>
      <c r="J1200" s="2060"/>
      <c r="K1200" s="2060"/>
      <c r="L1200" s="2060"/>
      <c r="M1200" s="2060"/>
      <c r="N1200" s="2060"/>
      <c r="O1200" s="2060"/>
      <c r="P1200" s="2060"/>
      <c r="Q1200" s="2060"/>
      <c r="R1200" s="2060"/>
      <c r="S1200" s="2060"/>
      <c r="T1200" s="255"/>
      <c r="U1200" s="255"/>
      <c r="V1200" s="103"/>
    </row>
    <row r="1201" spans="2:22">
      <c r="B1201" s="2060"/>
      <c r="C1201" s="2060"/>
      <c r="D1201" s="2060"/>
      <c r="E1201" s="255"/>
      <c r="H1201" s="2060"/>
      <c r="I1201" s="2060"/>
      <c r="J1201" s="2060"/>
      <c r="K1201" s="2060"/>
      <c r="L1201" s="2060"/>
      <c r="M1201" s="2060"/>
      <c r="N1201" s="2060"/>
      <c r="O1201" s="2060"/>
      <c r="P1201" s="2060"/>
      <c r="Q1201" s="2060"/>
      <c r="R1201" s="2060"/>
      <c r="S1201" s="2060"/>
      <c r="T1201" s="255"/>
      <c r="U1201" s="255"/>
      <c r="V1201" s="103"/>
    </row>
    <row r="1202" spans="2:22">
      <c r="B1202" s="2060"/>
      <c r="C1202" s="2060"/>
      <c r="D1202" s="2060"/>
      <c r="E1202" s="255"/>
      <c r="H1202" s="2060"/>
      <c r="I1202" s="2060"/>
      <c r="J1202" s="2060"/>
      <c r="K1202" s="2060"/>
      <c r="L1202" s="2060"/>
      <c r="M1202" s="2060"/>
      <c r="N1202" s="2060"/>
      <c r="O1202" s="2060"/>
      <c r="P1202" s="2060"/>
      <c r="Q1202" s="2060"/>
      <c r="R1202" s="2060"/>
      <c r="S1202" s="2060"/>
      <c r="T1202" s="255"/>
      <c r="U1202" s="255"/>
      <c r="V1202" s="103"/>
    </row>
    <row r="1203" spans="2:22">
      <c r="B1203" s="2060"/>
      <c r="C1203" s="2060"/>
      <c r="D1203" s="2060"/>
      <c r="E1203" s="255"/>
      <c r="H1203" s="2060"/>
      <c r="I1203" s="2060"/>
      <c r="J1203" s="2060"/>
      <c r="K1203" s="2060"/>
      <c r="L1203" s="2060"/>
      <c r="M1203" s="2060"/>
      <c r="N1203" s="2060"/>
      <c r="O1203" s="2060"/>
      <c r="P1203" s="2060"/>
      <c r="Q1203" s="2060"/>
      <c r="R1203" s="2060"/>
      <c r="S1203" s="2060"/>
      <c r="T1203" s="255"/>
      <c r="U1203" s="255"/>
      <c r="V1203" s="103"/>
    </row>
    <row r="1204" spans="2:22">
      <c r="B1204" s="2060"/>
      <c r="C1204" s="2060"/>
      <c r="D1204" s="2060"/>
      <c r="E1204" s="255"/>
      <c r="H1204" s="2060"/>
      <c r="I1204" s="2060"/>
      <c r="J1204" s="2060"/>
      <c r="K1204" s="2060"/>
      <c r="L1204" s="2060"/>
      <c r="M1204" s="2060"/>
      <c r="N1204" s="2060"/>
      <c r="O1204" s="2060"/>
      <c r="P1204" s="2060"/>
      <c r="Q1204" s="2060"/>
      <c r="R1204" s="2060"/>
      <c r="S1204" s="2060"/>
      <c r="T1204" s="255"/>
      <c r="U1204" s="255"/>
      <c r="V1204" s="103"/>
    </row>
    <row r="1205" spans="2:22">
      <c r="B1205" s="2060"/>
      <c r="C1205" s="2060"/>
      <c r="D1205" s="2060"/>
      <c r="E1205" s="255"/>
      <c r="H1205" s="2060"/>
      <c r="I1205" s="2060"/>
      <c r="J1205" s="2060"/>
      <c r="K1205" s="2060"/>
      <c r="L1205" s="2060"/>
      <c r="M1205" s="2060"/>
      <c r="N1205" s="2060"/>
      <c r="O1205" s="2060"/>
      <c r="P1205" s="2060"/>
      <c r="Q1205" s="2060"/>
      <c r="R1205" s="2060"/>
      <c r="S1205" s="2060"/>
      <c r="T1205" s="255"/>
      <c r="U1205" s="255"/>
      <c r="V1205" s="103"/>
    </row>
    <row r="1206" spans="2:22">
      <c r="B1206" s="2060"/>
      <c r="C1206" s="2060"/>
      <c r="D1206" s="2060"/>
      <c r="E1206" s="255"/>
      <c r="H1206" s="2060"/>
      <c r="I1206" s="2060"/>
      <c r="J1206" s="2060"/>
      <c r="K1206" s="2060"/>
      <c r="L1206" s="2060"/>
      <c r="M1206" s="2060"/>
      <c r="N1206" s="2060"/>
      <c r="O1206" s="2060"/>
      <c r="P1206" s="2060"/>
      <c r="Q1206" s="2060"/>
      <c r="R1206" s="2060"/>
      <c r="S1206" s="2060"/>
      <c r="T1206" s="255"/>
      <c r="U1206" s="255"/>
      <c r="V1206" s="103"/>
    </row>
    <row r="1207" spans="2:22">
      <c r="B1207" s="2060"/>
      <c r="C1207" s="2060"/>
      <c r="D1207" s="2060"/>
      <c r="E1207" s="255"/>
      <c r="H1207" s="2060"/>
      <c r="I1207" s="2060"/>
      <c r="J1207" s="2060"/>
      <c r="K1207" s="2060"/>
      <c r="L1207" s="2060"/>
      <c r="M1207" s="2060"/>
      <c r="N1207" s="2060"/>
      <c r="O1207" s="2060"/>
      <c r="P1207" s="2060"/>
      <c r="Q1207" s="2060"/>
      <c r="R1207" s="2060"/>
      <c r="S1207" s="2060"/>
      <c r="T1207" s="255"/>
      <c r="U1207" s="255"/>
      <c r="V1207" s="103"/>
    </row>
    <row r="1208" spans="2:22">
      <c r="B1208" s="2060"/>
      <c r="C1208" s="2060"/>
      <c r="D1208" s="2060"/>
      <c r="E1208" s="255"/>
      <c r="H1208" s="2060"/>
      <c r="I1208" s="2060"/>
      <c r="J1208" s="2060"/>
      <c r="K1208" s="2060"/>
      <c r="L1208" s="2060"/>
      <c r="M1208" s="2060"/>
      <c r="N1208" s="2060"/>
      <c r="O1208" s="2060"/>
      <c r="P1208" s="2060"/>
      <c r="Q1208" s="2060"/>
      <c r="R1208" s="2060"/>
      <c r="S1208" s="2060"/>
      <c r="T1208" s="255"/>
      <c r="U1208" s="255"/>
      <c r="V1208" s="103"/>
    </row>
    <row r="1209" spans="2:22">
      <c r="B1209" s="2060"/>
      <c r="C1209" s="2060"/>
      <c r="D1209" s="2060"/>
      <c r="E1209" s="255"/>
      <c r="H1209" s="2060"/>
      <c r="I1209" s="2060"/>
      <c r="J1209" s="2060"/>
      <c r="K1209" s="2060"/>
      <c r="L1209" s="2060"/>
      <c r="M1209" s="2060"/>
      <c r="N1209" s="2060"/>
      <c r="O1209" s="2060"/>
      <c r="P1209" s="2060"/>
      <c r="Q1209" s="2060"/>
      <c r="R1209" s="2060"/>
      <c r="S1209" s="2060"/>
      <c r="T1209" s="255"/>
      <c r="U1209" s="255"/>
      <c r="V1209" s="103"/>
    </row>
    <row r="1210" spans="2:22">
      <c r="B1210" s="2060"/>
      <c r="C1210" s="2060"/>
      <c r="D1210" s="2060"/>
      <c r="E1210" s="255"/>
      <c r="H1210" s="2060"/>
      <c r="I1210" s="2060"/>
      <c r="J1210" s="2060"/>
      <c r="K1210" s="2060"/>
      <c r="L1210" s="2060"/>
      <c r="M1210" s="2060"/>
      <c r="N1210" s="2060"/>
      <c r="O1210" s="2060"/>
      <c r="P1210" s="2060"/>
      <c r="Q1210" s="2060"/>
      <c r="R1210" s="2060"/>
      <c r="S1210" s="2060"/>
      <c r="T1210" s="255"/>
      <c r="U1210" s="255"/>
      <c r="V1210" s="103"/>
    </row>
    <row r="1211" spans="2:22">
      <c r="B1211" s="2060"/>
      <c r="C1211" s="2060"/>
      <c r="D1211" s="2060"/>
      <c r="E1211" s="255"/>
      <c r="H1211" s="2060"/>
      <c r="I1211" s="2060"/>
      <c r="J1211" s="2060"/>
      <c r="K1211" s="2060"/>
      <c r="L1211" s="2060"/>
      <c r="M1211" s="2060"/>
      <c r="N1211" s="2060"/>
      <c r="O1211" s="2060"/>
      <c r="P1211" s="2060"/>
      <c r="Q1211" s="2060"/>
      <c r="R1211" s="2060"/>
      <c r="S1211" s="2060"/>
      <c r="T1211" s="255"/>
      <c r="U1211" s="255"/>
      <c r="V1211" s="103"/>
    </row>
    <row r="1212" spans="2:22">
      <c r="B1212" s="2060"/>
      <c r="C1212" s="2060"/>
      <c r="D1212" s="2060"/>
      <c r="E1212" s="255"/>
      <c r="H1212" s="2060"/>
      <c r="I1212" s="2060"/>
      <c r="J1212" s="2060"/>
      <c r="K1212" s="2060"/>
      <c r="L1212" s="2060"/>
      <c r="M1212" s="2060"/>
      <c r="N1212" s="2060"/>
      <c r="O1212" s="2060"/>
      <c r="P1212" s="2060"/>
      <c r="Q1212" s="2060"/>
      <c r="R1212" s="2060"/>
      <c r="S1212" s="2060"/>
      <c r="T1212" s="255"/>
      <c r="U1212" s="255"/>
      <c r="V1212" s="103"/>
    </row>
    <row r="1213" spans="2:22">
      <c r="B1213" s="2060"/>
      <c r="C1213" s="2060"/>
      <c r="D1213" s="2060"/>
      <c r="E1213" s="255"/>
      <c r="H1213" s="2060"/>
      <c r="I1213" s="2060"/>
      <c r="J1213" s="2060"/>
      <c r="K1213" s="2060"/>
      <c r="L1213" s="2060"/>
      <c r="M1213" s="2060"/>
      <c r="N1213" s="2060"/>
      <c r="O1213" s="2060"/>
      <c r="P1213" s="2060"/>
      <c r="Q1213" s="2060"/>
      <c r="R1213" s="2060"/>
      <c r="S1213" s="2060"/>
      <c r="T1213" s="255"/>
      <c r="U1213" s="255"/>
      <c r="V1213" s="103"/>
    </row>
    <row r="1214" spans="2:22">
      <c r="B1214" s="2060"/>
      <c r="C1214" s="2060"/>
      <c r="D1214" s="2060"/>
      <c r="E1214" s="255"/>
      <c r="H1214" s="2060"/>
      <c r="I1214" s="2060"/>
      <c r="J1214" s="2060"/>
      <c r="K1214" s="2060"/>
      <c r="L1214" s="2060"/>
      <c r="M1214" s="2060"/>
      <c r="N1214" s="2060"/>
      <c r="O1214" s="2060"/>
      <c r="P1214" s="2060"/>
      <c r="Q1214" s="2060"/>
      <c r="R1214" s="2060"/>
      <c r="S1214" s="2060"/>
      <c r="T1214" s="255"/>
      <c r="U1214" s="255"/>
      <c r="V1214" s="103"/>
    </row>
    <row r="1215" spans="2:22">
      <c r="B1215" s="2060"/>
      <c r="C1215" s="2060"/>
      <c r="D1215" s="2060"/>
      <c r="E1215" s="255"/>
      <c r="H1215" s="2060"/>
      <c r="I1215" s="2060"/>
      <c r="J1215" s="2060"/>
      <c r="K1215" s="2060"/>
      <c r="L1215" s="2060"/>
      <c r="M1215" s="2060"/>
      <c r="N1215" s="2060"/>
      <c r="O1215" s="2060"/>
      <c r="P1215" s="2060"/>
      <c r="Q1215" s="2060"/>
      <c r="R1215" s="2060"/>
      <c r="S1215" s="2060"/>
      <c r="T1215" s="255"/>
      <c r="U1215" s="255"/>
      <c r="V1215" s="103"/>
    </row>
    <row r="1216" spans="2:22">
      <c r="B1216" s="2060"/>
      <c r="C1216" s="2060"/>
      <c r="D1216" s="2060"/>
      <c r="E1216" s="255"/>
      <c r="H1216" s="2060"/>
      <c r="I1216" s="2060"/>
      <c r="J1216" s="2060"/>
      <c r="K1216" s="2060"/>
      <c r="L1216" s="2060"/>
      <c r="M1216" s="2060"/>
      <c r="N1216" s="2060"/>
      <c r="O1216" s="2060"/>
      <c r="P1216" s="2060"/>
      <c r="Q1216" s="2060"/>
      <c r="R1216" s="2060"/>
      <c r="S1216" s="2060"/>
      <c r="T1216" s="255"/>
      <c r="U1216" s="255"/>
      <c r="V1216" s="103"/>
    </row>
    <row r="1217" spans="2:22">
      <c r="B1217" s="2060"/>
      <c r="C1217" s="2060"/>
      <c r="D1217" s="2060"/>
      <c r="E1217" s="255"/>
      <c r="H1217" s="2060"/>
      <c r="I1217" s="2060"/>
      <c r="J1217" s="2060"/>
      <c r="K1217" s="2060"/>
      <c r="L1217" s="2060"/>
      <c r="M1217" s="2060"/>
      <c r="N1217" s="2060"/>
      <c r="O1217" s="2060"/>
      <c r="P1217" s="2060"/>
      <c r="Q1217" s="2060"/>
      <c r="R1217" s="2060"/>
      <c r="S1217" s="2060"/>
      <c r="T1217" s="255"/>
      <c r="U1217" s="255"/>
      <c r="V1217" s="103"/>
    </row>
    <row r="1218" spans="2:22">
      <c r="B1218" s="2060"/>
      <c r="C1218" s="2060"/>
      <c r="D1218" s="2060"/>
      <c r="E1218" s="255"/>
      <c r="H1218" s="2060"/>
      <c r="I1218" s="2060"/>
      <c r="J1218" s="2060"/>
      <c r="K1218" s="2060"/>
      <c r="L1218" s="2060"/>
      <c r="M1218" s="2060"/>
      <c r="N1218" s="2060"/>
      <c r="O1218" s="2060"/>
      <c r="P1218" s="2060"/>
      <c r="Q1218" s="2060"/>
      <c r="R1218" s="2060"/>
      <c r="S1218" s="2060"/>
      <c r="T1218" s="255"/>
      <c r="U1218" s="255"/>
      <c r="V1218" s="103"/>
    </row>
    <row r="1219" spans="2:22">
      <c r="B1219" s="2060"/>
      <c r="C1219" s="2060"/>
      <c r="D1219" s="2060"/>
      <c r="E1219" s="255"/>
      <c r="H1219" s="2060"/>
      <c r="I1219" s="2060"/>
      <c r="J1219" s="2060"/>
      <c r="K1219" s="2060"/>
      <c r="L1219" s="2060"/>
      <c r="M1219" s="2060"/>
      <c r="N1219" s="2060"/>
      <c r="O1219" s="2060"/>
      <c r="P1219" s="2060"/>
      <c r="Q1219" s="2060"/>
      <c r="R1219" s="2060"/>
      <c r="S1219" s="2060"/>
      <c r="T1219" s="255"/>
      <c r="U1219" s="255"/>
      <c r="V1219" s="103"/>
    </row>
    <row r="1220" spans="2:22">
      <c r="B1220" s="2060"/>
      <c r="C1220" s="2060"/>
      <c r="D1220" s="2060"/>
      <c r="E1220" s="255"/>
      <c r="H1220" s="2060"/>
      <c r="I1220" s="2060"/>
      <c r="J1220" s="2060"/>
      <c r="K1220" s="2060"/>
      <c r="L1220" s="2060"/>
      <c r="M1220" s="2060"/>
      <c r="N1220" s="2060"/>
      <c r="O1220" s="2060"/>
      <c r="P1220" s="2060"/>
      <c r="Q1220" s="2060"/>
      <c r="R1220" s="2060"/>
      <c r="S1220" s="2060"/>
      <c r="T1220" s="255"/>
      <c r="U1220" s="255"/>
      <c r="V1220" s="103"/>
    </row>
    <row r="1221" spans="2:22">
      <c r="B1221" s="2060"/>
      <c r="C1221" s="2060"/>
      <c r="D1221" s="2060"/>
      <c r="E1221" s="255"/>
      <c r="H1221" s="2060"/>
      <c r="I1221" s="2060"/>
      <c r="J1221" s="2060"/>
      <c r="K1221" s="2060"/>
      <c r="L1221" s="2060"/>
      <c r="M1221" s="2060"/>
      <c r="N1221" s="2060"/>
      <c r="O1221" s="2060"/>
      <c r="P1221" s="2060"/>
      <c r="Q1221" s="2060"/>
      <c r="R1221" s="2060"/>
      <c r="S1221" s="2060"/>
      <c r="T1221" s="255"/>
      <c r="U1221" s="255"/>
      <c r="V1221" s="103"/>
    </row>
    <row r="1222" spans="2:22">
      <c r="B1222" s="2060"/>
      <c r="C1222" s="2060"/>
      <c r="D1222" s="2060"/>
      <c r="E1222" s="255"/>
      <c r="H1222" s="2060"/>
      <c r="I1222" s="2060"/>
      <c r="J1222" s="2060"/>
      <c r="K1222" s="2060"/>
      <c r="L1222" s="2060"/>
      <c r="M1222" s="2060"/>
      <c r="N1222" s="2060"/>
      <c r="O1222" s="2060"/>
      <c r="P1222" s="2060"/>
      <c r="Q1222" s="2060"/>
      <c r="R1222" s="2060"/>
      <c r="S1222" s="2060"/>
      <c r="T1222" s="255"/>
      <c r="U1222" s="255"/>
      <c r="V1222" s="103"/>
    </row>
    <row r="1223" spans="2:22">
      <c r="B1223" s="2060"/>
      <c r="C1223" s="2060"/>
      <c r="D1223" s="2060"/>
      <c r="E1223" s="255"/>
      <c r="H1223" s="2060"/>
      <c r="I1223" s="2060"/>
      <c r="J1223" s="2060"/>
      <c r="K1223" s="2060"/>
      <c r="L1223" s="2060"/>
      <c r="M1223" s="2060"/>
      <c r="N1223" s="2060"/>
      <c r="O1223" s="2060"/>
      <c r="P1223" s="2060"/>
      <c r="Q1223" s="2060"/>
      <c r="R1223" s="2060"/>
      <c r="S1223" s="2060"/>
      <c r="T1223" s="255"/>
      <c r="U1223" s="255"/>
      <c r="V1223" s="103"/>
    </row>
    <row r="1224" spans="2:22">
      <c r="B1224" s="2060"/>
      <c r="C1224" s="2060"/>
      <c r="D1224" s="2060"/>
      <c r="E1224" s="255"/>
      <c r="H1224" s="2060"/>
      <c r="I1224" s="2060"/>
      <c r="J1224" s="2060"/>
      <c r="K1224" s="2060"/>
      <c r="L1224" s="2060"/>
      <c r="M1224" s="2060"/>
      <c r="N1224" s="2060"/>
      <c r="O1224" s="2060"/>
      <c r="P1224" s="2060"/>
      <c r="Q1224" s="2060"/>
      <c r="R1224" s="2060"/>
      <c r="S1224" s="2060"/>
      <c r="T1224" s="255"/>
      <c r="U1224" s="255"/>
      <c r="V1224" s="103"/>
    </row>
    <row r="1225" spans="2:22">
      <c r="B1225" s="2060"/>
      <c r="C1225" s="2060"/>
      <c r="D1225" s="2060"/>
      <c r="E1225" s="255"/>
      <c r="H1225" s="2060"/>
      <c r="I1225" s="2060"/>
      <c r="J1225" s="2060"/>
      <c r="K1225" s="2060"/>
      <c r="L1225" s="2060"/>
      <c r="M1225" s="2060"/>
      <c r="N1225" s="2060"/>
      <c r="O1225" s="2060"/>
      <c r="P1225" s="2060"/>
      <c r="Q1225" s="2060"/>
      <c r="R1225" s="2060"/>
      <c r="S1225" s="2060"/>
      <c r="T1225" s="255"/>
      <c r="U1225" s="255"/>
      <c r="V1225" s="103"/>
    </row>
    <row r="1226" spans="2:22">
      <c r="B1226" s="2060"/>
      <c r="C1226" s="2060"/>
      <c r="D1226" s="2060"/>
      <c r="E1226" s="255"/>
      <c r="H1226" s="2060"/>
      <c r="I1226" s="2060"/>
      <c r="J1226" s="2060"/>
      <c r="K1226" s="2060"/>
      <c r="L1226" s="2060"/>
      <c r="M1226" s="2060"/>
      <c r="N1226" s="2060"/>
      <c r="O1226" s="2060"/>
      <c r="P1226" s="2060"/>
      <c r="Q1226" s="2060"/>
      <c r="R1226" s="2060"/>
      <c r="S1226" s="2060"/>
      <c r="T1226" s="255"/>
      <c r="U1226" s="255"/>
      <c r="V1226" s="103"/>
    </row>
    <row r="1227" spans="2:22">
      <c r="B1227" s="2060"/>
      <c r="C1227" s="2060"/>
      <c r="D1227" s="2060"/>
      <c r="E1227" s="255"/>
      <c r="H1227" s="2060"/>
      <c r="I1227" s="2060"/>
      <c r="J1227" s="2060"/>
      <c r="K1227" s="2060"/>
      <c r="L1227" s="2060"/>
      <c r="M1227" s="2060"/>
      <c r="N1227" s="2060"/>
      <c r="O1227" s="2060"/>
      <c r="P1227" s="2060"/>
      <c r="Q1227" s="2060"/>
      <c r="R1227" s="2060"/>
      <c r="S1227" s="2060"/>
      <c r="T1227" s="255"/>
      <c r="U1227" s="255"/>
      <c r="V1227" s="103"/>
    </row>
    <row r="1228" spans="2:22">
      <c r="B1228" s="2060"/>
      <c r="C1228" s="2060"/>
      <c r="D1228" s="2060"/>
      <c r="E1228" s="255"/>
      <c r="H1228" s="2060"/>
      <c r="I1228" s="2060"/>
      <c r="J1228" s="2060"/>
      <c r="K1228" s="2060"/>
      <c r="L1228" s="2060"/>
      <c r="M1228" s="2060"/>
      <c r="N1228" s="2060"/>
      <c r="O1228" s="2060"/>
      <c r="P1228" s="2060"/>
      <c r="Q1228" s="2060"/>
      <c r="R1228" s="2060"/>
      <c r="S1228" s="2060"/>
      <c r="T1228" s="255"/>
      <c r="U1228" s="255"/>
      <c r="V1228" s="103"/>
    </row>
    <row r="1229" spans="2:22">
      <c r="B1229" s="2060"/>
      <c r="C1229" s="2060"/>
      <c r="D1229" s="2060"/>
      <c r="E1229" s="255"/>
      <c r="H1229" s="2060"/>
      <c r="I1229" s="2060"/>
      <c r="J1229" s="2060"/>
      <c r="K1229" s="2060"/>
      <c r="L1229" s="2060"/>
      <c r="M1229" s="2060"/>
      <c r="N1229" s="2060"/>
      <c r="O1229" s="2060"/>
      <c r="P1229" s="2060"/>
      <c r="Q1229" s="2060"/>
      <c r="R1229" s="2060"/>
      <c r="S1229" s="2060"/>
      <c r="T1229" s="255"/>
      <c r="U1229" s="255"/>
      <c r="V1229" s="103"/>
    </row>
    <row r="1230" spans="2:22">
      <c r="B1230" s="2060"/>
      <c r="C1230" s="2060"/>
      <c r="D1230" s="2060"/>
      <c r="E1230" s="255"/>
      <c r="H1230" s="2060"/>
      <c r="I1230" s="2060"/>
      <c r="J1230" s="2060"/>
      <c r="K1230" s="2060"/>
      <c r="L1230" s="2060"/>
      <c r="M1230" s="2060"/>
      <c r="N1230" s="2060"/>
      <c r="O1230" s="2060"/>
      <c r="P1230" s="2060"/>
      <c r="Q1230" s="2060"/>
      <c r="R1230" s="2060"/>
      <c r="S1230" s="2060"/>
      <c r="T1230" s="255"/>
      <c r="U1230" s="255"/>
      <c r="V1230" s="103"/>
    </row>
    <row r="1231" spans="2:22">
      <c r="B1231" s="2060"/>
      <c r="C1231" s="2060"/>
      <c r="D1231" s="2060"/>
      <c r="E1231" s="255"/>
      <c r="H1231" s="2060"/>
      <c r="I1231" s="2060"/>
      <c r="J1231" s="2060"/>
      <c r="K1231" s="2060"/>
      <c r="L1231" s="2060"/>
      <c r="M1231" s="2060"/>
      <c r="N1231" s="2060"/>
      <c r="O1231" s="2060"/>
      <c r="P1231" s="2060"/>
      <c r="Q1231" s="2060"/>
      <c r="R1231" s="2060"/>
      <c r="S1231" s="2060"/>
      <c r="T1231" s="255"/>
      <c r="U1231" s="255"/>
      <c r="V1231" s="103"/>
    </row>
    <row r="1232" spans="2:22">
      <c r="B1232" s="2060"/>
      <c r="C1232" s="2060"/>
      <c r="D1232" s="2060"/>
      <c r="E1232" s="255"/>
      <c r="H1232" s="2060"/>
      <c r="I1232" s="2060"/>
      <c r="J1232" s="2060"/>
      <c r="K1232" s="2060"/>
      <c r="L1232" s="2060"/>
      <c r="M1232" s="2060"/>
      <c r="N1232" s="2060"/>
      <c r="O1232" s="2060"/>
      <c r="P1232" s="2060"/>
      <c r="Q1232" s="2060"/>
      <c r="R1232" s="2060"/>
      <c r="S1232" s="2060"/>
      <c r="T1232" s="255"/>
      <c r="U1232" s="255"/>
      <c r="V1232" s="103"/>
    </row>
    <row r="1233" spans="2:22">
      <c r="B1233" s="2060"/>
      <c r="C1233" s="2060"/>
      <c r="D1233" s="2060"/>
      <c r="E1233" s="255"/>
      <c r="H1233" s="2060"/>
      <c r="I1233" s="2060"/>
      <c r="J1233" s="2060"/>
      <c r="K1233" s="2060"/>
      <c r="L1233" s="2060"/>
      <c r="M1233" s="2060"/>
      <c r="N1233" s="2060"/>
      <c r="O1233" s="2060"/>
      <c r="P1233" s="2060"/>
      <c r="Q1233" s="2060"/>
      <c r="R1233" s="2060"/>
      <c r="S1233" s="2060"/>
      <c r="T1233" s="255"/>
      <c r="U1233" s="255"/>
      <c r="V1233" s="103"/>
    </row>
    <row r="1234" spans="2:22">
      <c r="B1234" s="2060"/>
      <c r="C1234" s="2060"/>
      <c r="D1234" s="2060"/>
      <c r="E1234" s="255"/>
      <c r="H1234" s="2060"/>
      <c r="I1234" s="2060"/>
      <c r="J1234" s="2060"/>
      <c r="K1234" s="2060"/>
      <c r="L1234" s="2060"/>
      <c r="M1234" s="2060"/>
      <c r="N1234" s="2060"/>
      <c r="O1234" s="2060"/>
      <c r="P1234" s="2060"/>
      <c r="Q1234" s="2060"/>
      <c r="R1234" s="2060"/>
      <c r="S1234" s="2060"/>
      <c r="T1234" s="255"/>
      <c r="U1234" s="255"/>
      <c r="V1234" s="103"/>
    </row>
    <row r="1235" spans="2:22">
      <c r="B1235" s="2060"/>
      <c r="C1235" s="2060"/>
      <c r="D1235" s="2060"/>
      <c r="E1235" s="255"/>
      <c r="H1235" s="2060"/>
      <c r="I1235" s="2060"/>
      <c r="J1235" s="2060"/>
      <c r="K1235" s="2060"/>
      <c r="L1235" s="2060"/>
      <c r="M1235" s="2060"/>
      <c r="N1235" s="2060"/>
      <c r="O1235" s="2060"/>
      <c r="P1235" s="2060"/>
      <c r="Q1235" s="2060"/>
      <c r="R1235" s="2060"/>
      <c r="S1235" s="2060"/>
      <c r="T1235" s="255"/>
      <c r="U1235" s="255"/>
      <c r="V1235" s="103"/>
    </row>
    <row r="1236" spans="2:22">
      <c r="B1236" s="2060"/>
      <c r="C1236" s="2060"/>
      <c r="D1236" s="2060"/>
      <c r="E1236" s="255"/>
      <c r="H1236" s="2060"/>
      <c r="I1236" s="2060"/>
      <c r="J1236" s="2060"/>
      <c r="K1236" s="2060"/>
      <c r="L1236" s="2060"/>
      <c r="M1236" s="2060"/>
      <c r="N1236" s="2060"/>
      <c r="O1236" s="2060"/>
      <c r="P1236" s="2060"/>
      <c r="Q1236" s="2060"/>
      <c r="R1236" s="2060"/>
      <c r="S1236" s="2060"/>
      <c r="T1236" s="255"/>
      <c r="U1236" s="255"/>
      <c r="V1236" s="103"/>
    </row>
    <row r="1237" spans="2:22">
      <c r="B1237" s="2060"/>
      <c r="C1237" s="2060"/>
      <c r="D1237" s="2060"/>
      <c r="E1237" s="255"/>
      <c r="H1237" s="2060"/>
      <c r="I1237" s="2060"/>
      <c r="J1237" s="2060"/>
      <c r="K1237" s="2060"/>
      <c r="L1237" s="2060"/>
      <c r="M1237" s="2060"/>
      <c r="N1237" s="2060"/>
      <c r="O1237" s="2060"/>
      <c r="P1237" s="2060"/>
      <c r="Q1237" s="2060"/>
      <c r="R1237" s="2060"/>
      <c r="S1237" s="2060"/>
      <c r="T1237" s="255"/>
      <c r="U1237" s="255"/>
      <c r="V1237" s="103"/>
    </row>
    <row r="1238" spans="2:22">
      <c r="B1238" s="2060"/>
      <c r="C1238" s="2060"/>
      <c r="D1238" s="2060"/>
      <c r="E1238" s="255"/>
      <c r="H1238" s="2060"/>
      <c r="I1238" s="2060"/>
      <c r="J1238" s="2060"/>
      <c r="K1238" s="2060"/>
      <c r="L1238" s="2060"/>
      <c r="M1238" s="2060"/>
      <c r="N1238" s="2060"/>
      <c r="O1238" s="2060"/>
      <c r="P1238" s="2060"/>
      <c r="Q1238" s="2060"/>
      <c r="R1238" s="2060"/>
      <c r="S1238" s="2060"/>
      <c r="T1238" s="255"/>
      <c r="U1238" s="255"/>
      <c r="V1238" s="103"/>
    </row>
    <row r="1239" spans="2:22">
      <c r="B1239" s="2060"/>
      <c r="C1239" s="2060"/>
      <c r="D1239" s="2060"/>
      <c r="E1239" s="255"/>
      <c r="H1239" s="2060"/>
      <c r="I1239" s="2060"/>
      <c r="J1239" s="2060"/>
      <c r="K1239" s="2060"/>
      <c r="L1239" s="2060"/>
      <c r="M1239" s="2060"/>
      <c r="N1239" s="2060"/>
      <c r="O1239" s="2060"/>
      <c r="P1239" s="2060"/>
      <c r="Q1239" s="2060"/>
      <c r="R1239" s="2060"/>
      <c r="S1239" s="2060"/>
      <c r="T1239" s="255"/>
      <c r="U1239" s="255"/>
      <c r="V1239" s="103"/>
    </row>
    <row r="1240" spans="2:22">
      <c r="B1240" s="2060"/>
      <c r="C1240" s="2060"/>
      <c r="D1240" s="2060"/>
      <c r="E1240" s="255"/>
      <c r="H1240" s="2060"/>
      <c r="I1240" s="2060"/>
      <c r="J1240" s="2060"/>
      <c r="K1240" s="2060"/>
      <c r="L1240" s="2060"/>
      <c r="M1240" s="2060"/>
      <c r="N1240" s="2060"/>
      <c r="O1240" s="2060"/>
      <c r="P1240" s="2060"/>
      <c r="Q1240" s="2060"/>
      <c r="R1240" s="2060"/>
      <c r="S1240" s="2060"/>
      <c r="T1240" s="255"/>
      <c r="U1240" s="255"/>
      <c r="V1240" s="103"/>
    </row>
    <row r="1241" spans="2:22">
      <c r="B1241" s="2060"/>
      <c r="C1241" s="2060"/>
      <c r="D1241" s="2060"/>
      <c r="E1241" s="255"/>
      <c r="H1241" s="2060"/>
      <c r="I1241" s="2060"/>
      <c r="J1241" s="2060"/>
      <c r="K1241" s="2060"/>
      <c r="L1241" s="2060"/>
      <c r="M1241" s="2060"/>
      <c r="N1241" s="2060"/>
      <c r="O1241" s="2060"/>
      <c r="P1241" s="2060"/>
      <c r="Q1241" s="2060"/>
      <c r="R1241" s="2060"/>
      <c r="S1241" s="2060"/>
      <c r="T1241" s="255"/>
      <c r="U1241" s="255"/>
      <c r="V1241" s="103"/>
    </row>
    <row r="1242" spans="2:22">
      <c r="B1242" s="2060"/>
      <c r="C1242" s="2060"/>
      <c r="D1242" s="2060"/>
      <c r="E1242" s="255"/>
      <c r="H1242" s="2060"/>
      <c r="I1242" s="2060"/>
      <c r="J1242" s="2060"/>
      <c r="K1242" s="2060"/>
      <c r="L1242" s="2060"/>
      <c r="M1242" s="2060"/>
      <c r="N1242" s="2060"/>
      <c r="O1242" s="2060"/>
      <c r="P1242" s="2060"/>
      <c r="Q1242" s="2060"/>
      <c r="R1242" s="2060"/>
      <c r="S1242" s="2060"/>
      <c r="T1242" s="255"/>
      <c r="U1242" s="255"/>
      <c r="V1242" s="103"/>
    </row>
    <row r="1243" spans="2:22">
      <c r="B1243" s="2060"/>
      <c r="C1243" s="2060"/>
      <c r="D1243" s="2060"/>
      <c r="E1243" s="255"/>
      <c r="H1243" s="2060"/>
      <c r="I1243" s="2060"/>
      <c r="J1243" s="2060"/>
      <c r="K1243" s="2060"/>
      <c r="L1243" s="2060"/>
      <c r="M1243" s="2060"/>
      <c r="N1243" s="2060"/>
      <c r="O1243" s="2060"/>
      <c r="P1243" s="2060"/>
      <c r="Q1243" s="2060"/>
      <c r="R1243" s="2060"/>
      <c r="S1243" s="2060"/>
      <c r="T1243" s="255"/>
      <c r="U1243" s="255"/>
      <c r="V1243" s="103"/>
    </row>
    <row r="1244" spans="2:22">
      <c r="B1244" s="2060"/>
      <c r="C1244" s="2060"/>
      <c r="D1244" s="2060"/>
      <c r="E1244" s="255"/>
      <c r="H1244" s="2060"/>
      <c r="I1244" s="2060"/>
      <c r="J1244" s="2060"/>
      <c r="K1244" s="2060"/>
      <c r="L1244" s="2060"/>
      <c r="M1244" s="2060"/>
      <c r="N1244" s="2060"/>
      <c r="O1244" s="2060"/>
      <c r="P1244" s="2060"/>
      <c r="Q1244" s="2060"/>
      <c r="R1244" s="2060"/>
      <c r="S1244" s="2060"/>
      <c r="T1244" s="255"/>
      <c r="U1244" s="255"/>
      <c r="V1244" s="103"/>
    </row>
    <row r="1245" spans="2:22">
      <c r="B1245" s="2060"/>
      <c r="C1245" s="2060"/>
      <c r="D1245" s="2060"/>
      <c r="E1245" s="255"/>
      <c r="H1245" s="2060"/>
      <c r="I1245" s="2060"/>
      <c r="J1245" s="2060"/>
      <c r="K1245" s="2060"/>
      <c r="L1245" s="2060"/>
      <c r="M1245" s="2060"/>
      <c r="N1245" s="2060"/>
      <c r="O1245" s="2060"/>
      <c r="P1245" s="2060"/>
      <c r="Q1245" s="2060"/>
      <c r="R1245" s="2060"/>
      <c r="S1245" s="2060"/>
      <c r="T1245" s="255"/>
      <c r="U1245" s="255"/>
      <c r="V1245" s="103"/>
    </row>
    <row r="1246" spans="2:22">
      <c r="B1246" s="2060"/>
      <c r="C1246" s="2060"/>
      <c r="D1246" s="2060"/>
      <c r="E1246" s="255"/>
      <c r="H1246" s="2060"/>
      <c r="I1246" s="2060"/>
      <c r="J1246" s="2060"/>
      <c r="K1246" s="2060"/>
      <c r="L1246" s="2060"/>
      <c r="M1246" s="2060"/>
      <c r="N1246" s="2060"/>
      <c r="O1246" s="2060"/>
      <c r="P1246" s="2060"/>
      <c r="Q1246" s="2060"/>
      <c r="R1246" s="2060"/>
      <c r="S1246" s="2060"/>
      <c r="T1246" s="255"/>
      <c r="U1246" s="255"/>
      <c r="V1246" s="103"/>
    </row>
    <row r="1247" spans="2:22">
      <c r="B1247" s="2060"/>
      <c r="C1247" s="2060"/>
      <c r="D1247" s="2060"/>
      <c r="E1247" s="255"/>
      <c r="H1247" s="2060"/>
      <c r="I1247" s="2060"/>
      <c r="J1247" s="2060"/>
      <c r="K1247" s="2060"/>
      <c r="L1247" s="2060"/>
      <c r="M1247" s="2060"/>
      <c r="N1247" s="2060"/>
      <c r="O1247" s="2060"/>
      <c r="P1247" s="2060"/>
      <c r="Q1247" s="2060"/>
      <c r="R1247" s="2060"/>
      <c r="S1247" s="2060"/>
      <c r="T1247" s="255"/>
      <c r="U1247" s="255"/>
      <c r="V1247" s="103"/>
    </row>
    <row r="1248" spans="2:22">
      <c r="B1248" s="2060"/>
      <c r="C1248" s="2060"/>
      <c r="D1248" s="2060"/>
      <c r="E1248" s="255"/>
      <c r="H1248" s="2060"/>
      <c r="I1248" s="2060"/>
      <c r="J1248" s="2060"/>
      <c r="K1248" s="2060"/>
      <c r="L1248" s="2060"/>
      <c r="M1248" s="2060"/>
      <c r="N1248" s="2060"/>
      <c r="O1248" s="2060"/>
      <c r="P1248" s="2060"/>
      <c r="Q1248" s="2060"/>
      <c r="R1248" s="2060"/>
      <c r="S1248" s="2060"/>
      <c r="T1248" s="255"/>
      <c r="U1248" s="255"/>
      <c r="V1248" s="103"/>
    </row>
    <row r="1249" spans="2:22">
      <c r="B1249" s="2060"/>
      <c r="C1249" s="2060"/>
      <c r="D1249" s="2060"/>
      <c r="E1249" s="255"/>
      <c r="H1249" s="2060"/>
      <c r="I1249" s="2060"/>
      <c r="J1249" s="2060"/>
      <c r="K1249" s="2060"/>
      <c r="L1249" s="2060"/>
      <c r="M1249" s="2060"/>
      <c r="N1249" s="2060"/>
      <c r="O1249" s="2060"/>
      <c r="P1249" s="2060"/>
      <c r="Q1249" s="2060"/>
      <c r="R1249" s="2060"/>
      <c r="S1249" s="2060"/>
      <c r="T1249" s="255"/>
      <c r="U1249" s="255"/>
      <c r="V1249" s="103"/>
    </row>
    <row r="1250" spans="2:22">
      <c r="B1250" s="2060"/>
      <c r="C1250" s="2060"/>
      <c r="D1250" s="2060"/>
      <c r="E1250" s="255"/>
      <c r="H1250" s="2060"/>
      <c r="I1250" s="2060"/>
      <c r="J1250" s="2060"/>
      <c r="K1250" s="2060"/>
      <c r="L1250" s="2060"/>
      <c r="M1250" s="2060"/>
      <c r="N1250" s="2060"/>
      <c r="O1250" s="2060"/>
      <c r="P1250" s="2060"/>
      <c r="Q1250" s="2060"/>
      <c r="R1250" s="2060"/>
      <c r="S1250" s="2060"/>
      <c r="T1250" s="255"/>
      <c r="U1250" s="255"/>
      <c r="V1250" s="103"/>
    </row>
    <row r="1251" spans="2:22">
      <c r="B1251" s="2060"/>
      <c r="C1251" s="2060"/>
      <c r="D1251" s="2060"/>
      <c r="E1251" s="255"/>
      <c r="H1251" s="2060"/>
      <c r="I1251" s="2060"/>
      <c r="J1251" s="2060"/>
      <c r="K1251" s="2060"/>
      <c r="L1251" s="2060"/>
      <c r="M1251" s="2060"/>
      <c r="N1251" s="2060"/>
      <c r="O1251" s="2060"/>
      <c r="P1251" s="2060"/>
      <c r="Q1251" s="2060"/>
      <c r="R1251" s="2060"/>
      <c r="S1251" s="2060"/>
      <c r="T1251" s="255"/>
      <c r="U1251" s="255"/>
      <c r="V1251" s="103"/>
    </row>
    <row r="1252" spans="2:22">
      <c r="B1252" s="2060"/>
      <c r="C1252" s="2060"/>
      <c r="D1252" s="2060"/>
      <c r="E1252" s="255"/>
      <c r="H1252" s="2060"/>
      <c r="I1252" s="2060"/>
      <c r="J1252" s="2060"/>
      <c r="K1252" s="2060"/>
      <c r="L1252" s="2060"/>
      <c r="M1252" s="2060"/>
      <c r="N1252" s="2060"/>
      <c r="O1252" s="2060"/>
      <c r="P1252" s="2060"/>
      <c r="Q1252" s="2060"/>
      <c r="R1252" s="2060"/>
      <c r="S1252" s="2060"/>
      <c r="T1252" s="255"/>
      <c r="U1252" s="255"/>
      <c r="V1252" s="103"/>
    </row>
    <row r="1253" spans="2:22">
      <c r="B1253" s="2060"/>
      <c r="C1253" s="2060"/>
      <c r="D1253" s="2060"/>
      <c r="E1253" s="255"/>
      <c r="H1253" s="2060"/>
      <c r="I1253" s="2060"/>
      <c r="J1253" s="2060"/>
      <c r="K1253" s="2060"/>
      <c r="L1253" s="2060"/>
      <c r="M1253" s="2060"/>
      <c r="N1253" s="2060"/>
      <c r="O1253" s="2060"/>
      <c r="P1253" s="2060"/>
      <c r="Q1253" s="2060"/>
      <c r="R1253" s="2060"/>
      <c r="S1253" s="2060"/>
      <c r="T1253" s="255"/>
      <c r="U1253" s="255"/>
      <c r="V1253" s="103"/>
    </row>
    <row r="1254" spans="2:22">
      <c r="B1254" s="2060"/>
      <c r="C1254" s="2060"/>
      <c r="D1254" s="2060"/>
      <c r="E1254" s="255"/>
      <c r="H1254" s="2060"/>
      <c r="I1254" s="2060"/>
      <c r="J1254" s="2060"/>
      <c r="K1254" s="2060"/>
      <c r="L1254" s="2060"/>
      <c r="M1254" s="2060"/>
      <c r="N1254" s="2060"/>
      <c r="O1254" s="2060"/>
      <c r="P1254" s="2060"/>
      <c r="Q1254" s="2060"/>
      <c r="R1254" s="2060"/>
      <c r="S1254" s="2060"/>
      <c r="T1254" s="255"/>
      <c r="U1254" s="255"/>
      <c r="V1254" s="103"/>
    </row>
    <row r="1255" spans="2:22">
      <c r="B1255" s="2060"/>
      <c r="C1255" s="2060"/>
      <c r="D1255" s="2060"/>
      <c r="E1255" s="255"/>
      <c r="H1255" s="2060"/>
      <c r="I1255" s="2060"/>
      <c r="J1255" s="2060"/>
      <c r="K1255" s="2060"/>
      <c r="L1255" s="2060"/>
      <c r="M1255" s="2060"/>
      <c r="N1255" s="2060"/>
      <c r="O1255" s="2060"/>
      <c r="P1255" s="2060"/>
      <c r="Q1255" s="2060"/>
      <c r="R1255" s="2060"/>
      <c r="S1255" s="2060"/>
      <c r="T1255" s="255"/>
      <c r="U1255" s="255"/>
      <c r="V1255" s="103"/>
    </row>
    <row r="1256" spans="2:22">
      <c r="B1256" s="2060"/>
      <c r="C1256" s="2060"/>
      <c r="D1256" s="2060"/>
      <c r="E1256" s="255"/>
      <c r="H1256" s="2060"/>
      <c r="I1256" s="2060"/>
      <c r="J1256" s="2060"/>
      <c r="K1256" s="2060"/>
      <c r="L1256" s="2060"/>
      <c r="M1256" s="2060"/>
      <c r="N1256" s="2060"/>
      <c r="O1256" s="2060"/>
      <c r="P1256" s="2060"/>
      <c r="Q1256" s="2060"/>
      <c r="R1256" s="2060"/>
      <c r="S1256" s="2060"/>
      <c r="T1256" s="255"/>
      <c r="U1256" s="255"/>
      <c r="V1256" s="103"/>
    </row>
    <row r="1257" spans="2:22">
      <c r="B1257" s="2060"/>
      <c r="C1257" s="2060"/>
      <c r="D1257" s="2060"/>
      <c r="E1257" s="255"/>
      <c r="H1257" s="2060"/>
      <c r="I1257" s="2060"/>
      <c r="J1257" s="2060"/>
      <c r="K1257" s="2060"/>
      <c r="L1257" s="2060"/>
      <c r="M1257" s="2060"/>
      <c r="N1257" s="2060"/>
      <c r="O1257" s="2060"/>
      <c r="P1257" s="2060"/>
      <c r="Q1257" s="2060"/>
      <c r="R1257" s="2060"/>
      <c r="S1257" s="2060"/>
      <c r="T1257" s="255"/>
      <c r="U1257" s="255"/>
      <c r="V1257" s="103"/>
    </row>
    <row r="1258" spans="2:22">
      <c r="B1258" s="2060"/>
      <c r="C1258" s="2060"/>
      <c r="D1258" s="2060"/>
      <c r="E1258" s="255"/>
      <c r="H1258" s="2060"/>
      <c r="I1258" s="2060"/>
      <c r="J1258" s="2060"/>
      <c r="K1258" s="2060"/>
      <c r="L1258" s="2060"/>
      <c r="M1258" s="2060"/>
      <c r="N1258" s="2060"/>
      <c r="O1258" s="2060"/>
      <c r="P1258" s="2060"/>
      <c r="Q1258" s="2060"/>
      <c r="R1258" s="2060"/>
      <c r="S1258" s="2060"/>
      <c r="T1258" s="255"/>
      <c r="U1258" s="255"/>
      <c r="V1258" s="103"/>
    </row>
    <row r="1259" spans="2:22">
      <c r="B1259" s="2060"/>
      <c r="C1259" s="2060"/>
      <c r="D1259" s="2060"/>
      <c r="E1259" s="255"/>
      <c r="H1259" s="2060"/>
      <c r="I1259" s="2060"/>
      <c r="J1259" s="2060"/>
      <c r="K1259" s="2060"/>
      <c r="L1259" s="2060"/>
      <c r="M1259" s="2060"/>
      <c r="N1259" s="2060"/>
      <c r="O1259" s="2060"/>
      <c r="P1259" s="2060"/>
      <c r="Q1259" s="2060"/>
      <c r="R1259" s="2060"/>
      <c r="S1259" s="2060"/>
      <c r="T1259" s="255"/>
      <c r="U1259" s="255"/>
      <c r="V1259" s="103"/>
    </row>
    <row r="1260" spans="2:22">
      <c r="B1260" s="2060"/>
      <c r="C1260" s="2060"/>
      <c r="D1260" s="2060"/>
      <c r="E1260" s="255"/>
      <c r="H1260" s="2060"/>
      <c r="I1260" s="2060"/>
      <c r="J1260" s="2060"/>
      <c r="K1260" s="2060"/>
      <c r="L1260" s="2060"/>
      <c r="M1260" s="2060"/>
      <c r="N1260" s="2060"/>
      <c r="O1260" s="2060"/>
      <c r="P1260" s="2060"/>
      <c r="Q1260" s="2060"/>
      <c r="R1260" s="2060"/>
      <c r="S1260" s="2060"/>
      <c r="T1260" s="255"/>
      <c r="U1260" s="255"/>
      <c r="V1260" s="103"/>
    </row>
    <row r="1261" spans="2:22">
      <c r="B1261" s="2060"/>
      <c r="C1261" s="2060"/>
      <c r="D1261" s="2060"/>
      <c r="E1261" s="255"/>
      <c r="H1261" s="2060"/>
      <c r="I1261" s="2060"/>
      <c r="J1261" s="2060"/>
      <c r="K1261" s="2060"/>
      <c r="L1261" s="2060"/>
      <c r="M1261" s="2060"/>
      <c r="N1261" s="2060"/>
      <c r="O1261" s="2060"/>
      <c r="P1261" s="2060"/>
      <c r="Q1261" s="2060"/>
      <c r="R1261" s="2060"/>
      <c r="S1261" s="2060"/>
      <c r="T1261" s="255"/>
      <c r="U1261" s="255"/>
      <c r="V1261" s="103"/>
    </row>
    <row r="1262" spans="2:22">
      <c r="B1262" s="2060"/>
      <c r="C1262" s="2060"/>
      <c r="D1262" s="2060"/>
      <c r="E1262" s="255"/>
      <c r="H1262" s="2060"/>
      <c r="I1262" s="2060"/>
      <c r="J1262" s="2060"/>
      <c r="K1262" s="2060"/>
      <c r="L1262" s="2060"/>
      <c r="M1262" s="2060"/>
      <c r="N1262" s="2060"/>
      <c r="O1262" s="2060"/>
      <c r="P1262" s="2060"/>
      <c r="Q1262" s="2060"/>
      <c r="R1262" s="2060"/>
      <c r="S1262" s="2060"/>
      <c r="T1262" s="255"/>
      <c r="U1262" s="255"/>
      <c r="V1262" s="103"/>
    </row>
    <row r="1263" spans="2:22">
      <c r="B1263" s="2060"/>
      <c r="C1263" s="2060"/>
      <c r="D1263" s="2060"/>
      <c r="E1263" s="255"/>
      <c r="H1263" s="2060"/>
      <c r="I1263" s="2060"/>
      <c r="J1263" s="2060"/>
      <c r="K1263" s="2060"/>
      <c r="L1263" s="2060"/>
      <c r="M1263" s="2060"/>
      <c r="N1263" s="2060"/>
      <c r="O1263" s="2060"/>
      <c r="P1263" s="2060"/>
      <c r="Q1263" s="2060"/>
      <c r="R1263" s="2060"/>
      <c r="S1263" s="2060"/>
      <c r="T1263" s="255"/>
      <c r="U1263" s="255"/>
      <c r="V1263" s="103"/>
    </row>
    <row r="1264" spans="2:22">
      <c r="B1264" s="2060"/>
      <c r="C1264" s="2060"/>
      <c r="D1264" s="2060"/>
      <c r="E1264" s="255"/>
      <c r="H1264" s="2060"/>
      <c r="I1264" s="2060"/>
      <c r="J1264" s="2060"/>
      <c r="K1264" s="2060"/>
      <c r="L1264" s="2060"/>
      <c r="M1264" s="2060"/>
      <c r="N1264" s="2060"/>
      <c r="O1264" s="2060"/>
      <c r="P1264" s="2060"/>
      <c r="Q1264" s="2060"/>
      <c r="R1264" s="2060"/>
      <c r="S1264" s="2060"/>
      <c r="T1264" s="255"/>
      <c r="U1264" s="255"/>
      <c r="V1264" s="103"/>
    </row>
    <row r="1265" spans="2:22">
      <c r="B1265" s="2060"/>
      <c r="C1265" s="2060"/>
      <c r="D1265" s="2060"/>
      <c r="E1265" s="255"/>
      <c r="H1265" s="2060"/>
      <c r="I1265" s="2060"/>
      <c r="J1265" s="2060"/>
      <c r="K1265" s="2060"/>
      <c r="L1265" s="2060"/>
      <c r="M1265" s="2060"/>
      <c r="N1265" s="2060"/>
      <c r="O1265" s="2060"/>
      <c r="P1265" s="2060"/>
      <c r="Q1265" s="2060"/>
      <c r="R1265" s="2060"/>
      <c r="S1265" s="2060"/>
      <c r="T1265" s="255"/>
      <c r="U1265" s="255"/>
      <c r="V1265" s="103"/>
    </row>
    <row r="1266" spans="2:22">
      <c r="B1266" s="2060"/>
      <c r="C1266" s="2060"/>
      <c r="D1266" s="2060"/>
      <c r="E1266" s="255"/>
      <c r="H1266" s="2060"/>
      <c r="I1266" s="2060"/>
      <c r="J1266" s="2060"/>
      <c r="K1266" s="2060"/>
      <c r="L1266" s="2060"/>
      <c r="M1266" s="2060"/>
      <c r="N1266" s="2060"/>
      <c r="O1266" s="2060"/>
      <c r="P1266" s="2060"/>
      <c r="Q1266" s="2060"/>
      <c r="R1266" s="2060"/>
      <c r="S1266" s="2060"/>
      <c r="T1266" s="255"/>
      <c r="U1266" s="255"/>
      <c r="V1266" s="103"/>
    </row>
    <row r="1267" spans="2:22">
      <c r="B1267" s="2060"/>
      <c r="C1267" s="2060"/>
      <c r="D1267" s="2060"/>
      <c r="E1267" s="255"/>
      <c r="H1267" s="2060"/>
      <c r="I1267" s="2060"/>
      <c r="J1267" s="2060"/>
      <c r="K1267" s="2060"/>
      <c r="L1267" s="2060"/>
      <c r="M1267" s="2060"/>
      <c r="N1267" s="2060"/>
      <c r="O1267" s="2060"/>
      <c r="P1267" s="2060"/>
      <c r="Q1267" s="2060"/>
      <c r="R1267" s="2060"/>
      <c r="S1267" s="2060"/>
      <c r="T1267" s="255"/>
      <c r="U1267" s="255"/>
      <c r="V1267" s="103"/>
    </row>
    <row r="1268" spans="2:22">
      <c r="B1268" s="2060"/>
      <c r="C1268" s="2060"/>
      <c r="D1268" s="2060"/>
      <c r="E1268" s="255"/>
      <c r="H1268" s="2060"/>
      <c r="I1268" s="2060"/>
      <c r="J1268" s="2060"/>
      <c r="K1268" s="2060"/>
      <c r="L1268" s="2060"/>
      <c r="M1268" s="2060"/>
      <c r="N1268" s="2060"/>
      <c r="O1268" s="2060"/>
      <c r="P1268" s="2060"/>
      <c r="Q1268" s="2060"/>
      <c r="R1268" s="2060"/>
      <c r="S1268" s="2060"/>
      <c r="T1268" s="255"/>
      <c r="U1268" s="255"/>
      <c r="V1268" s="103"/>
    </row>
    <row r="1269" spans="2:22">
      <c r="B1269" s="2060"/>
      <c r="C1269" s="2060"/>
      <c r="D1269" s="2060"/>
      <c r="E1269" s="255"/>
      <c r="H1269" s="2060"/>
      <c r="I1269" s="2060"/>
      <c r="J1269" s="2060"/>
      <c r="K1269" s="2060"/>
      <c r="L1269" s="2060"/>
      <c r="M1269" s="2060"/>
      <c r="N1269" s="2060"/>
      <c r="O1269" s="2060"/>
      <c r="P1269" s="2060"/>
      <c r="Q1269" s="2060"/>
      <c r="R1269" s="2060"/>
      <c r="S1269" s="2060"/>
      <c r="T1269" s="255"/>
      <c r="U1269" s="255"/>
      <c r="V1269" s="103"/>
    </row>
    <row r="1270" spans="2:22">
      <c r="B1270" s="2060"/>
      <c r="C1270" s="2060"/>
      <c r="D1270" s="2060"/>
      <c r="E1270" s="255"/>
      <c r="H1270" s="2060"/>
      <c r="I1270" s="2060"/>
      <c r="J1270" s="2060"/>
      <c r="K1270" s="2060"/>
      <c r="L1270" s="2060"/>
      <c r="M1270" s="2060"/>
      <c r="N1270" s="2060"/>
      <c r="O1270" s="2060"/>
      <c r="P1270" s="2060"/>
      <c r="Q1270" s="2060"/>
      <c r="R1270" s="2060"/>
      <c r="S1270" s="2060"/>
      <c r="T1270" s="255"/>
      <c r="U1270" s="255"/>
      <c r="V1270" s="103"/>
    </row>
    <row r="1271" spans="2:22">
      <c r="B1271" s="2060"/>
      <c r="C1271" s="2060"/>
      <c r="D1271" s="2060"/>
      <c r="E1271" s="255"/>
      <c r="H1271" s="2060"/>
      <c r="I1271" s="2060"/>
      <c r="J1271" s="2060"/>
      <c r="K1271" s="2060"/>
      <c r="L1271" s="2060"/>
      <c r="M1271" s="2060"/>
      <c r="N1271" s="2060"/>
      <c r="O1271" s="2060"/>
      <c r="P1271" s="2060"/>
      <c r="Q1271" s="2060"/>
      <c r="R1271" s="2060"/>
      <c r="S1271" s="2060"/>
      <c r="T1271" s="255"/>
      <c r="U1271" s="255"/>
      <c r="V1271" s="103"/>
    </row>
    <row r="1272" spans="2:22">
      <c r="B1272" s="2060"/>
      <c r="C1272" s="2060"/>
      <c r="D1272" s="2060"/>
      <c r="E1272" s="255"/>
      <c r="H1272" s="2060"/>
      <c r="I1272" s="2060"/>
      <c r="J1272" s="2060"/>
      <c r="K1272" s="2060"/>
      <c r="L1272" s="2060"/>
      <c r="M1272" s="2060"/>
      <c r="N1272" s="2060"/>
      <c r="O1272" s="2060"/>
      <c r="P1272" s="2060"/>
      <c r="Q1272" s="2060"/>
      <c r="R1272" s="2060"/>
      <c r="S1272" s="2060"/>
      <c r="T1272" s="255"/>
      <c r="U1272" s="255"/>
      <c r="V1272" s="103"/>
    </row>
    <row r="1273" spans="2:22">
      <c r="B1273" s="2060"/>
      <c r="C1273" s="2060"/>
      <c r="D1273" s="2060"/>
      <c r="E1273" s="255"/>
      <c r="H1273" s="2060"/>
      <c r="I1273" s="2060"/>
      <c r="J1273" s="2060"/>
      <c r="K1273" s="2060"/>
      <c r="L1273" s="2060"/>
      <c r="M1273" s="2060"/>
      <c r="N1273" s="2060"/>
      <c r="O1273" s="2060"/>
      <c r="P1273" s="2060"/>
      <c r="Q1273" s="2060"/>
      <c r="R1273" s="2060"/>
      <c r="S1273" s="2060"/>
      <c r="T1273" s="255"/>
      <c r="U1273" s="255"/>
      <c r="V1273" s="103"/>
    </row>
    <row r="1274" spans="2:22">
      <c r="B1274" s="2060"/>
      <c r="C1274" s="2060"/>
      <c r="D1274" s="2060"/>
      <c r="E1274" s="255"/>
      <c r="H1274" s="2060"/>
      <c r="I1274" s="2060"/>
      <c r="J1274" s="2060"/>
      <c r="K1274" s="2060"/>
      <c r="L1274" s="2060"/>
      <c r="M1274" s="2060"/>
      <c r="N1274" s="2060"/>
      <c r="O1274" s="2060"/>
      <c r="P1274" s="2060"/>
      <c r="Q1274" s="2060"/>
      <c r="R1274" s="2060"/>
      <c r="S1274" s="2060"/>
      <c r="T1274" s="255"/>
      <c r="U1274" s="255"/>
      <c r="V1274" s="103"/>
    </row>
    <row r="1275" spans="2:22">
      <c r="B1275" s="2060"/>
      <c r="C1275" s="2060"/>
      <c r="D1275" s="2060"/>
      <c r="E1275" s="255"/>
      <c r="H1275" s="2060"/>
      <c r="I1275" s="2060"/>
      <c r="J1275" s="2060"/>
      <c r="K1275" s="2060"/>
      <c r="L1275" s="2060"/>
      <c r="M1275" s="2060"/>
      <c r="N1275" s="2060"/>
      <c r="O1275" s="2060"/>
      <c r="P1275" s="2060"/>
      <c r="Q1275" s="2060"/>
      <c r="R1275" s="2060"/>
      <c r="S1275" s="2060"/>
      <c r="T1275" s="255"/>
      <c r="U1275" s="255"/>
      <c r="V1275" s="103"/>
    </row>
    <row r="1276" spans="2:22">
      <c r="B1276" s="2060"/>
      <c r="C1276" s="2060"/>
      <c r="D1276" s="2060"/>
      <c r="E1276" s="255"/>
      <c r="H1276" s="2060"/>
      <c r="I1276" s="2060"/>
      <c r="J1276" s="2060"/>
      <c r="K1276" s="2060"/>
      <c r="L1276" s="2060"/>
      <c r="M1276" s="2060"/>
      <c r="N1276" s="2060"/>
      <c r="O1276" s="2060"/>
      <c r="P1276" s="2060"/>
      <c r="Q1276" s="2060"/>
      <c r="R1276" s="2060"/>
      <c r="S1276" s="2060"/>
      <c r="T1276" s="255"/>
      <c r="U1276" s="255"/>
      <c r="V1276" s="103"/>
    </row>
    <row r="1277" spans="2:22">
      <c r="B1277" s="2060"/>
      <c r="C1277" s="2060"/>
      <c r="D1277" s="2060"/>
      <c r="E1277" s="255"/>
      <c r="H1277" s="2060"/>
      <c r="I1277" s="2060"/>
      <c r="J1277" s="2060"/>
      <c r="K1277" s="2060"/>
      <c r="L1277" s="2060"/>
      <c r="M1277" s="2060"/>
      <c r="N1277" s="2060"/>
      <c r="O1277" s="2060"/>
      <c r="P1277" s="2060"/>
      <c r="Q1277" s="2060"/>
      <c r="R1277" s="2060"/>
      <c r="S1277" s="2060"/>
      <c r="T1277" s="255"/>
      <c r="U1277" s="255"/>
      <c r="V1277" s="103"/>
    </row>
    <row r="1278" spans="2:22">
      <c r="B1278" s="2060"/>
      <c r="C1278" s="2060"/>
      <c r="D1278" s="2060"/>
      <c r="E1278" s="255"/>
      <c r="H1278" s="2060"/>
      <c r="I1278" s="2060"/>
      <c r="J1278" s="2060"/>
      <c r="K1278" s="2060"/>
      <c r="L1278" s="2060"/>
      <c r="M1278" s="2060"/>
      <c r="N1278" s="2060"/>
      <c r="O1278" s="2060"/>
      <c r="P1278" s="2060"/>
      <c r="Q1278" s="2060"/>
      <c r="R1278" s="2060"/>
      <c r="S1278" s="2060"/>
      <c r="T1278" s="255"/>
      <c r="U1278" s="255"/>
      <c r="V1278" s="103"/>
    </row>
    <row r="1279" spans="2:22">
      <c r="B1279" s="2060"/>
      <c r="C1279" s="2060"/>
      <c r="D1279" s="2060"/>
      <c r="E1279" s="255"/>
      <c r="H1279" s="2060"/>
      <c r="I1279" s="2060"/>
      <c r="J1279" s="2060"/>
      <c r="K1279" s="2060"/>
      <c r="L1279" s="2060"/>
      <c r="M1279" s="2060"/>
      <c r="N1279" s="2060"/>
      <c r="O1279" s="2060"/>
      <c r="P1279" s="2060"/>
      <c r="Q1279" s="2060"/>
      <c r="R1279" s="2060"/>
      <c r="S1279" s="2060"/>
      <c r="T1279" s="255"/>
      <c r="U1279" s="255"/>
      <c r="V1279" s="103"/>
    </row>
    <row r="1280" spans="2:22">
      <c r="B1280" s="2060"/>
      <c r="C1280" s="2060"/>
      <c r="D1280" s="2060"/>
      <c r="E1280" s="255"/>
      <c r="H1280" s="2060"/>
      <c r="I1280" s="2060"/>
      <c r="J1280" s="2060"/>
      <c r="K1280" s="2060"/>
      <c r="L1280" s="2060"/>
      <c r="M1280" s="2060"/>
      <c r="N1280" s="2060"/>
      <c r="O1280" s="2060"/>
      <c r="P1280" s="2060"/>
      <c r="Q1280" s="2060"/>
      <c r="R1280" s="2060"/>
      <c r="S1280" s="2060"/>
      <c r="T1280" s="255"/>
      <c r="U1280" s="255"/>
      <c r="V1280" s="103"/>
    </row>
    <row r="1281" spans="2:22">
      <c r="B1281" s="2060"/>
      <c r="C1281" s="2060"/>
      <c r="D1281" s="2060"/>
      <c r="E1281" s="255"/>
      <c r="H1281" s="2060"/>
      <c r="I1281" s="2060"/>
      <c r="J1281" s="2060"/>
      <c r="K1281" s="2060"/>
      <c r="L1281" s="2060"/>
      <c r="M1281" s="2060"/>
      <c r="N1281" s="2060"/>
      <c r="O1281" s="2060"/>
      <c r="P1281" s="2060"/>
      <c r="Q1281" s="2060"/>
      <c r="R1281" s="2060"/>
      <c r="S1281" s="2060"/>
      <c r="T1281" s="255"/>
      <c r="U1281" s="255"/>
      <c r="V1281" s="103"/>
    </row>
    <row r="1282" spans="2:22">
      <c r="B1282" s="2060"/>
      <c r="C1282" s="2060"/>
      <c r="D1282" s="2060"/>
      <c r="E1282" s="255"/>
      <c r="H1282" s="2060"/>
      <c r="I1282" s="2060"/>
      <c r="J1282" s="2060"/>
      <c r="K1282" s="2060"/>
      <c r="L1282" s="2060"/>
      <c r="M1282" s="2060"/>
      <c r="N1282" s="2060"/>
      <c r="O1282" s="2060"/>
      <c r="P1282" s="2060"/>
      <c r="Q1282" s="2060"/>
      <c r="R1282" s="2060"/>
      <c r="S1282" s="2060"/>
      <c r="T1282" s="255"/>
      <c r="U1282" s="255"/>
      <c r="V1282" s="103"/>
    </row>
    <row r="1283" spans="2:22">
      <c r="B1283" s="2060"/>
      <c r="C1283" s="2060"/>
      <c r="D1283" s="2060"/>
      <c r="E1283" s="255"/>
      <c r="H1283" s="2060"/>
      <c r="I1283" s="2060"/>
      <c r="J1283" s="2060"/>
      <c r="K1283" s="2060"/>
      <c r="L1283" s="2060"/>
      <c r="M1283" s="2060"/>
      <c r="N1283" s="2060"/>
      <c r="O1283" s="2060"/>
      <c r="P1283" s="2060"/>
      <c r="Q1283" s="2060"/>
      <c r="R1283" s="2060"/>
      <c r="S1283" s="2060"/>
      <c r="T1283" s="255"/>
      <c r="U1283" s="255"/>
      <c r="V1283" s="103"/>
    </row>
    <row r="1284" spans="2:22">
      <c r="B1284" s="2060"/>
      <c r="C1284" s="2060"/>
      <c r="D1284" s="2060"/>
      <c r="E1284" s="255"/>
      <c r="H1284" s="2060"/>
      <c r="I1284" s="2060"/>
      <c r="J1284" s="2060"/>
      <c r="K1284" s="2060"/>
      <c r="L1284" s="2060"/>
      <c r="M1284" s="2060"/>
      <c r="N1284" s="2060"/>
      <c r="O1284" s="2060"/>
      <c r="P1284" s="2060"/>
      <c r="Q1284" s="2060"/>
      <c r="R1284" s="2060"/>
      <c r="S1284" s="2060"/>
      <c r="T1284" s="255"/>
      <c r="U1284" s="255"/>
      <c r="V1284" s="103"/>
    </row>
    <row r="1285" spans="2:22">
      <c r="B1285" s="2060"/>
      <c r="C1285" s="2060"/>
      <c r="D1285" s="2060"/>
      <c r="E1285" s="255"/>
      <c r="H1285" s="2060"/>
      <c r="I1285" s="2060"/>
      <c r="J1285" s="2060"/>
      <c r="K1285" s="2060"/>
      <c r="L1285" s="2060"/>
      <c r="M1285" s="2060"/>
      <c r="N1285" s="2060"/>
      <c r="O1285" s="2060"/>
      <c r="P1285" s="2060"/>
      <c r="Q1285" s="2060"/>
      <c r="R1285" s="2060"/>
      <c r="S1285" s="2060"/>
      <c r="T1285" s="255"/>
      <c r="U1285" s="255"/>
      <c r="V1285" s="103"/>
    </row>
    <row r="1286" spans="2:22">
      <c r="B1286" s="2060"/>
      <c r="C1286" s="2060"/>
      <c r="D1286" s="2060"/>
      <c r="E1286" s="255"/>
      <c r="H1286" s="2060"/>
      <c r="I1286" s="2060"/>
      <c r="J1286" s="2060"/>
      <c r="K1286" s="2060"/>
      <c r="L1286" s="2060"/>
      <c r="M1286" s="2060"/>
      <c r="N1286" s="2060"/>
      <c r="O1286" s="2060"/>
      <c r="P1286" s="2060"/>
      <c r="Q1286" s="2060"/>
      <c r="R1286" s="2060"/>
      <c r="S1286" s="2060"/>
      <c r="T1286" s="255"/>
      <c r="U1286" s="255"/>
      <c r="V1286" s="103"/>
    </row>
    <row r="1287" spans="2:22">
      <c r="B1287" s="2060"/>
      <c r="C1287" s="2060"/>
      <c r="D1287" s="2060"/>
      <c r="E1287" s="255"/>
      <c r="H1287" s="2060"/>
      <c r="I1287" s="2060"/>
      <c r="J1287" s="2060"/>
      <c r="K1287" s="2060"/>
      <c r="L1287" s="2060"/>
      <c r="M1287" s="2060"/>
      <c r="N1287" s="2060"/>
      <c r="O1287" s="2060"/>
      <c r="P1287" s="2060"/>
      <c r="Q1287" s="2060"/>
      <c r="R1287" s="2060"/>
      <c r="S1287" s="2060"/>
      <c r="T1287" s="255"/>
      <c r="U1287" s="255"/>
      <c r="V1287" s="103"/>
    </row>
    <row r="1288" spans="2:22">
      <c r="B1288" s="2060"/>
      <c r="C1288" s="2060"/>
      <c r="D1288" s="2060"/>
      <c r="E1288" s="255"/>
      <c r="H1288" s="2060"/>
      <c r="I1288" s="2060"/>
      <c r="J1288" s="2060"/>
      <c r="K1288" s="2060"/>
      <c r="L1288" s="2060"/>
      <c r="M1288" s="2060"/>
      <c r="N1288" s="2060"/>
      <c r="O1288" s="2060"/>
      <c r="P1288" s="2060"/>
      <c r="Q1288" s="2060"/>
      <c r="R1288" s="2060"/>
      <c r="S1288" s="2060"/>
      <c r="T1288" s="255"/>
      <c r="U1288" s="255"/>
      <c r="V1288" s="103"/>
    </row>
    <row r="1289" spans="2:22">
      <c r="B1289" s="2060"/>
      <c r="C1289" s="2060"/>
      <c r="D1289" s="2060"/>
      <c r="E1289" s="255"/>
      <c r="H1289" s="2060"/>
      <c r="I1289" s="2060"/>
      <c r="J1289" s="2060"/>
      <c r="K1289" s="2060"/>
      <c r="L1289" s="2060"/>
      <c r="M1289" s="2060"/>
      <c r="N1289" s="2060"/>
      <c r="O1289" s="2060"/>
      <c r="P1289" s="2060"/>
      <c r="Q1289" s="2060"/>
      <c r="R1289" s="2060"/>
      <c r="S1289" s="2060"/>
      <c r="T1289" s="255"/>
      <c r="U1289" s="255"/>
      <c r="V1289" s="103"/>
    </row>
    <row r="1290" spans="2:22">
      <c r="B1290" s="2060"/>
      <c r="C1290" s="2060"/>
      <c r="D1290" s="2060"/>
      <c r="E1290" s="255"/>
      <c r="H1290" s="2060"/>
      <c r="I1290" s="2060"/>
      <c r="J1290" s="2060"/>
      <c r="K1290" s="2060"/>
      <c r="L1290" s="2060"/>
      <c r="M1290" s="2060"/>
      <c r="N1290" s="2060"/>
      <c r="O1290" s="2060"/>
      <c r="P1290" s="2060"/>
      <c r="Q1290" s="2060"/>
      <c r="R1290" s="2060"/>
      <c r="S1290" s="2060"/>
      <c r="T1290" s="255"/>
      <c r="U1290" s="255"/>
      <c r="V1290" s="103"/>
    </row>
    <row r="1291" spans="2:22">
      <c r="B1291" s="2060"/>
      <c r="C1291" s="2060"/>
      <c r="D1291" s="2060"/>
      <c r="E1291" s="255"/>
      <c r="H1291" s="2060"/>
      <c r="I1291" s="2060"/>
      <c r="J1291" s="2060"/>
      <c r="K1291" s="2060"/>
      <c r="L1291" s="2060"/>
      <c r="M1291" s="2060"/>
      <c r="N1291" s="2060"/>
      <c r="O1291" s="2060"/>
      <c r="P1291" s="2060"/>
      <c r="Q1291" s="2060"/>
      <c r="R1291" s="2060"/>
      <c r="S1291" s="2060"/>
      <c r="T1291" s="255"/>
      <c r="U1291" s="255"/>
      <c r="V1291" s="103"/>
    </row>
    <row r="1292" spans="2:22">
      <c r="B1292" s="2060"/>
      <c r="C1292" s="2060"/>
      <c r="D1292" s="2060"/>
      <c r="E1292" s="255"/>
      <c r="H1292" s="2060"/>
      <c r="I1292" s="2060"/>
      <c r="J1292" s="2060"/>
      <c r="K1292" s="2060"/>
      <c r="L1292" s="2060"/>
      <c r="M1292" s="2060"/>
      <c r="N1292" s="2060"/>
      <c r="O1292" s="2060"/>
      <c r="P1292" s="2060"/>
      <c r="Q1292" s="2060"/>
      <c r="R1292" s="2060"/>
      <c r="S1292" s="2060"/>
      <c r="T1292" s="255"/>
      <c r="U1292" s="255"/>
      <c r="V1292" s="103"/>
    </row>
    <row r="1293" spans="2:22">
      <c r="B1293" s="2060"/>
      <c r="C1293" s="2060"/>
      <c r="D1293" s="2060"/>
      <c r="E1293" s="255"/>
      <c r="H1293" s="2060"/>
      <c r="I1293" s="2060"/>
      <c r="J1293" s="2060"/>
      <c r="K1293" s="2060"/>
      <c r="L1293" s="2060"/>
      <c r="M1293" s="2060"/>
      <c r="N1293" s="2060"/>
      <c r="O1293" s="2060"/>
      <c r="P1293" s="2060"/>
      <c r="Q1293" s="2060"/>
      <c r="R1293" s="2060"/>
      <c r="S1293" s="2060"/>
      <c r="T1293" s="255"/>
      <c r="U1293" s="255"/>
      <c r="V1293" s="103"/>
    </row>
    <row r="1294" spans="2:22">
      <c r="B1294" s="2060"/>
      <c r="C1294" s="2060"/>
      <c r="D1294" s="2060"/>
      <c r="E1294" s="255"/>
      <c r="H1294" s="2060"/>
      <c r="I1294" s="2060"/>
      <c r="J1294" s="2060"/>
      <c r="K1294" s="2060"/>
      <c r="L1294" s="2060"/>
      <c r="M1294" s="2060"/>
      <c r="N1294" s="2060"/>
      <c r="O1294" s="2060"/>
      <c r="P1294" s="2060"/>
      <c r="Q1294" s="2060"/>
      <c r="R1294" s="2060"/>
      <c r="S1294" s="2060"/>
      <c r="T1294" s="255"/>
      <c r="U1294" s="255"/>
      <c r="V1294" s="103"/>
    </row>
    <row r="1295" spans="2:22">
      <c r="B1295" s="2060"/>
      <c r="C1295" s="2060"/>
      <c r="D1295" s="2060"/>
      <c r="E1295" s="255"/>
      <c r="H1295" s="2060"/>
      <c r="I1295" s="2060"/>
      <c r="J1295" s="2060"/>
      <c r="K1295" s="2060"/>
      <c r="L1295" s="2060"/>
      <c r="M1295" s="2060"/>
      <c r="N1295" s="2060"/>
      <c r="O1295" s="2060"/>
      <c r="P1295" s="2060"/>
      <c r="Q1295" s="2060"/>
      <c r="R1295" s="2060"/>
      <c r="S1295" s="2060"/>
      <c r="T1295" s="255"/>
      <c r="U1295" s="255"/>
      <c r="V1295" s="103"/>
    </row>
    <row r="1296" spans="2:22">
      <c r="B1296" s="2060"/>
      <c r="C1296" s="2060"/>
      <c r="D1296" s="2060"/>
      <c r="E1296" s="255"/>
      <c r="H1296" s="2060"/>
      <c r="I1296" s="2060"/>
      <c r="J1296" s="2060"/>
      <c r="K1296" s="2060"/>
      <c r="L1296" s="2060"/>
      <c r="M1296" s="2060"/>
      <c r="N1296" s="2060"/>
      <c r="O1296" s="2060"/>
      <c r="P1296" s="2060"/>
      <c r="Q1296" s="2060"/>
      <c r="R1296" s="2060"/>
      <c r="S1296" s="2060"/>
      <c r="T1296" s="255"/>
      <c r="U1296" s="255"/>
      <c r="V1296" s="103"/>
    </row>
    <row r="1297" spans="2:22">
      <c r="B1297" s="2060"/>
      <c r="C1297" s="2060"/>
      <c r="D1297" s="2060"/>
      <c r="E1297" s="255"/>
      <c r="H1297" s="2060"/>
      <c r="I1297" s="2060"/>
      <c r="J1297" s="2060"/>
      <c r="K1297" s="2060"/>
      <c r="L1297" s="2060"/>
      <c r="M1297" s="2060"/>
      <c r="N1297" s="2060"/>
      <c r="O1297" s="2060"/>
      <c r="P1297" s="2060"/>
      <c r="Q1297" s="2060"/>
      <c r="R1297" s="2060"/>
      <c r="S1297" s="2060"/>
      <c r="T1297" s="255"/>
      <c r="U1297" s="255"/>
      <c r="V1297" s="103"/>
    </row>
    <row r="1298" spans="2:22">
      <c r="B1298" s="2060"/>
      <c r="C1298" s="2060"/>
      <c r="D1298" s="2060"/>
      <c r="E1298" s="255"/>
      <c r="H1298" s="2060"/>
      <c r="I1298" s="2060"/>
      <c r="J1298" s="2060"/>
      <c r="K1298" s="2060"/>
      <c r="L1298" s="2060"/>
      <c r="M1298" s="2060"/>
      <c r="N1298" s="2060"/>
      <c r="O1298" s="2060"/>
      <c r="P1298" s="2060"/>
      <c r="Q1298" s="2060"/>
      <c r="R1298" s="2060"/>
      <c r="S1298" s="2060"/>
      <c r="T1298" s="255"/>
      <c r="U1298" s="255"/>
      <c r="V1298" s="103"/>
    </row>
    <row r="1299" spans="2:22">
      <c r="B1299" s="2060"/>
      <c r="C1299" s="2060"/>
      <c r="D1299" s="2060"/>
      <c r="E1299" s="255"/>
      <c r="H1299" s="2060"/>
      <c r="I1299" s="2060"/>
      <c r="J1299" s="2060"/>
      <c r="K1299" s="2060"/>
      <c r="L1299" s="2060"/>
      <c r="M1299" s="2060"/>
      <c r="N1299" s="2060"/>
      <c r="O1299" s="2060"/>
      <c r="P1299" s="2060"/>
      <c r="Q1299" s="2060"/>
      <c r="R1299" s="2060"/>
      <c r="S1299" s="2060"/>
      <c r="T1299" s="255"/>
      <c r="U1299" s="255"/>
      <c r="V1299" s="103"/>
    </row>
    <row r="1300" spans="2:22">
      <c r="B1300" s="2060"/>
      <c r="C1300" s="2060"/>
      <c r="D1300" s="2060"/>
      <c r="E1300" s="255"/>
      <c r="H1300" s="2060"/>
      <c r="I1300" s="2060"/>
      <c r="J1300" s="2060"/>
      <c r="K1300" s="2060"/>
      <c r="L1300" s="2060"/>
      <c r="M1300" s="2060"/>
      <c r="N1300" s="2060"/>
      <c r="O1300" s="2060"/>
      <c r="P1300" s="2060"/>
      <c r="Q1300" s="2060"/>
      <c r="R1300" s="2060"/>
      <c r="S1300" s="2060"/>
      <c r="T1300" s="255"/>
      <c r="U1300" s="255"/>
      <c r="V1300" s="103"/>
    </row>
    <row r="1301" spans="2:22">
      <c r="B1301" s="2060"/>
      <c r="C1301" s="2060"/>
      <c r="D1301" s="2060"/>
      <c r="E1301" s="255"/>
      <c r="H1301" s="2060"/>
      <c r="I1301" s="2060"/>
      <c r="J1301" s="2060"/>
      <c r="K1301" s="2060"/>
      <c r="L1301" s="2060"/>
      <c r="M1301" s="2060"/>
      <c r="N1301" s="2060"/>
      <c r="O1301" s="2060"/>
      <c r="P1301" s="2060"/>
      <c r="Q1301" s="2060"/>
      <c r="R1301" s="2060"/>
      <c r="S1301" s="2060"/>
      <c r="T1301" s="255"/>
      <c r="U1301" s="255"/>
      <c r="V1301" s="103"/>
    </row>
    <row r="1302" spans="2:22">
      <c r="B1302" s="2060"/>
      <c r="C1302" s="2060"/>
      <c r="D1302" s="2060"/>
      <c r="E1302" s="255"/>
      <c r="H1302" s="2060"/>
      <c r="I1302" s="2060"/>
      <c r="J1302" s="2060"/>
      <c r="K1302" s="2060"/>
      <c r="L1302" s="2060"/>
      <c r="M1302" s="2060"/>
      <c r="N1302" s="2060"/>
      <c r="O1302" s="2060"/>
      <c r="P1302" s="2060"/>
      <c r="Q1302" s="2060"/>
      <c r="R1302" s="2060"/>
      <c r="S1302" s="2060"/>
      <c r="T1302" s="255"/>
      <c r="U1302" s="255"/>
      <c r="V1302" s="103"/>
    </row>
    <row r="1303" spans="2:22">
      <c r="B1303" s="2060"/>
      <c r="C1303" s="2060"/>
      <c r="D1303" s="2060"/>
      <c r="E1303" s="255"/>
      <c r="H1303" s="2060"/>
      <c r="I1303" s="2060"/>
      <c r="J1303" s="2060"/>
      <c r="K1303" s="2060"/>
      <c r="L1303" s="2060"/>
      <c r="M1303" s="2060"/>
      <c r="N1303" s="2060"/>
      <c r="O1303" s="2060"/>
      <c r="P1303" s="2060"/>
      <c r="Q1303" s="2060"/>
      <c r="R1303" s="2060"/>
      <c r="S1303" s="2060"/>
      <c r="T1303" s="255"/>
      <c r="U1303" s="255"/>
      <c r="V1303" s="103"/>
    </row>
    <row r="1304" spans="2:22">
      <c r="B1304" s="2060"/>
      <c r="C1304" s="2060"/>
      <c r="D1304" s="2060"/>
      <c r="E1304" s="255"/>
      <c r="H1304" s="2060"/>
      <c r="I1304" s="2060"/>
      <c r="J1304" s="2060"/>
      <c r="K1304" s="2060"/>
      <c r="L1304" s="2060"/>
      <c r="M1304" s="2060"/>
      <c r="N1304" s="2060"/>
      <c r="O1304" s="2060"/>
      <c r="P1304" s="2060"/>
      <c r="Q1304" s="2060"/>
      <c r="R1304" s="2060"/>
      <c r="S1304" s="2060"/>
      <c r="T1304" s="255"/>
      <c r="U1304" s="255"/>
      <c r="V1304" s="103"/>
    </row>
    <row r="1305" spans="2:22">
      <c r="B1305" s="2060"/>
      <c r="C1305" s="2060"/>
      <c r="D1305" s="2060"/>
      <c r="E1305" s="255"/>
      <c r="H1305" s="2060"/>
      <c r="I1305" s="2060"/>
      <c r="J1305" s="2060"/>
      <c r="K1305" s="2060"/>
      <c r="L1305" s="2060"/>
      <c r="M1305" s="2060"/>
      <c r="N1305" s="2060"/>
      <c r="O1305" s="2060"/>
      <c r="P1305" s="2060"/>
      <c r="Q1305" s="2060"/>
      <c r="R1305" s="2060"/>
      <c r="S1305" s="2060"/>
      <c r="T1305" s="255"/>
      <c r="U1305" s="255"/>
      <c r="V1305" s="103"/>
    </row>
    <row r="1306" spans="2:22">
      <c r="B1306" s="2060"/>
      <c r="C1306" s="2060"/>
      <c r="D1306" s="2060"/>
      <c r="E1306" s="255"/>
      <c r="H1306" s="2060"/>
      <c r="I1306" s="2060"/>
      <c r="J1306" s="2060"/>
      <c r="K1306" s="2060"/>
      <c r="L1306" s="2060"/>
      <c r="M1306" s="2060"/>
      <c r="N1306" s="2060"/>
      <c r="O1306" s="2060"/>
      <c r="P1306" s="2060"/>
      <c r="Q1306" s="2060"/>
      <c r="R1306" s="2060"/>
      <c r="S1306" s="2060"/>
      <c r="T1306" s="255"/>
      <c r="U1306" s="255"/>
      <c r="V1306" s="103"/>
    </row>
    <row r="1307" spans="2:22">
      <c r="B1307" s="2060"/>
      <c r="C1307" s="2060"/>
      <c r="D1307" s="2060"/>
      <c r="E1307" s="255"/>
      <c r="H1307" s="2060"/>
      <c r="I1307" s="2060"/>
      <c r="J1307" s="2060"/>
      <c r="K1307" s="2060"/>
      <c r="L1307" s="2060"/>
      <c r="M1307" s="2060"/>
      <c r="N1307" s="2060"/>
      <c r="O1307" s="2060"/>
      <c r="P1307" s="2060"/>
      <c r="Q1307" s="2060"/>
      <c r="R1307" s="2060"/>
      <c r="S1307" s="2060"/>
      <c r="T1307" s="255"/>
      <c r="U1307" s="255"/>
      <c r="V1307" s="103"/>
    </row>
    <row r="1308" spans="2:22">
      <c r="B1308" s="2060"/>
      <c r="C1308" s="2060"/>
      <c r="D1308" s="2060"/>
      <c r="E1308" s="255"/>
      <c r="H1308" s="2060"/>
      <c r="I1308" s="2060"/>
      <c r="J1308" s="2060"/>
      <c r="K1308" s="2060"/>
      <c r="L1308" s="2060"/>
      <c r="M1308" s="2060"/>
      <c r="N1308" s="2060"/>
      <c r="O1308" s="2060"/>
      <c r="P1308" s="2060"/>
      <c r="Q1308" s="2060"/>
      <c r="R1308" s="2060"/>
      <c r="S1308" s="2060"/>
      <c r="T1308" s="255"/>
      <c r="U1308" s="255"/>
      <c r="V1308" s="103"/>
    </row>
    <row r="1309" spans="2:22">
      <c r="B1309" s="2060"/>
      <c r="C1309" s="2060"/>
      <c r="D1309" s="2060"/>
      <c r="E1309" s="255"/>
      <c r="H1309" s="2060"/>
      <c r="I1309" s="2060"/>
      <c r="J1309" s="2060"/>
      <c r="K1309" s="2060"/>
      <c r="L1309" s="2060"/>
      <c r="M1309" s="2060"/>
      <c r="N1309" s="2060"/>
      <c r="O1309" s="2060"/>
      <c r="P1309" s="2060"/>
      <c r="Q1309" s="2060"/>
      <c r="R1309" s="2060"/>
      <c r="S1309" s="2060"/>
      <c r="T1309" s="255"/>
      <c r="U1309" s="255"/>
      <c r="V1309" s="103"/>
    </row>
    <row r="1310" spans="2:22">
      <c r="B1310" s="2060"/>
      <c r="C1310" s="2060"/>
      <c r="D1310" s="2060"/>
      <c r="E1310" s="255"/>
      <c r="H1310" s="2060"/>
      <c r="I1310" s="2060"/>
      <c r="J1310" s="2060"/>
      <c r="K1310" s="2060"/>
      <c r="L1310" s="2060"/>
      <c r="M1310" s="2060"/>
      <c r="N1310" s="2060"/>
      <c r="O1310" s="2060"/>
      <c r="P1310" s="2060"/>
      <c r="Q1310" s="2060"/>
      <c r="R1310" s="2060"/>
      <c r="S1310" s="2060"/>
      <c r="T1310" s="255"/>
      <c r="U1310" s="255"/>
      <c r="V1310" s="103"/>
    </row>
    <row r="1311" spans="2:22">
      <c r="B1311" s="2060"/>
      <c r="C1311" s="2060"/>
      <c r="D1311" s="2060"/>
      <c r="E1311" s="255"/>
      <c r="H1311" s="2060"/>
      <c r="I1311" s="2060"/>
      <c r="J1311" s="2060"/>
      <c r="K1311" s="2060"/>
      <c r="L1311" s="2060"/>
      <c r="M1311" s="2060"/>
      <c r="N1311" s="2060"/>
      <c r="O1311" s="2060"/>
      <c r="P1311" s="2060"/>
      <c r="Q1311" s="2060"/>
      <c r="R1311" s="2060"/>
      <c r="S1311" s="2060"/>
      <c r="T1311" s="255"/>
      <c r="U1311" s="255"/>
      <c r="V1311" s="103"/>
    </row>
    <row r="1312" spans="2:22">
      <c r="B1312" s="2060"/>
      <c r="C1312" s="2060"/>
      <c r="D1312" s="2060"/>
      <c r="E1312" s="255"/>
      <c r="H1312" s="2060"/>
      <c r="I1312" s="2060"/>
      <c r="J1312" s="2060"/>
      <c r="K1312" s="2060"/>
      <c r="L1312" s="2060"/>
      <c r="M1312" s="2060"/>
      <c r="N1312" s="2060"/>
      <c r="O1312" s="2060"/>
      <c r="P1312" s="2060"/>
      <c r="Q1312" s="2060"/>
      <c r="R1312" s="2060"/>
      <c r="S1312" s="2060"/>
      <c r="T1312" s="255"/>
      <c r="U1312" s="255"/>
      <c r="V1312" s="103"/>
    </row>
    <row r="1313" spans="2:22">
      <c r="B1313" s="2060"/>
      <c r="C1313" s="2060"/>
      <c r="D1313" s="2060"/>
      <c r="E1313" s="255"/>
      <c r="H1313" s="2060"/>
      <c r="I1313" s="2060"/>
      <c r="J1313" s="2060"/>
      <c r="K1313" s="2060"/>
      <c r="L1313" s="2060"/>
      <c r="M1313" s="2060"/>
      <c r="N1313" s="2060"/>
      <c r="O1313" s="2060"/>
      <c r="P1313" s="2060"/>
      <c r="Q1313" s="2060"/>
      <c r="R1313" s="2060"/>
      <c r="S1313" s="2060"/>
      <c r="T1313" s="255"/>
      <c r="U1313" s="255"/>
      <c r="V1313" s="103"/>
    </row>
    <row r="1314" spans="2:22">
      <c r="B1314" s="2060"/>
      <c r="C1314" s="2060"/>
      <c r="D1314" s="2060"/>
      <c r="E1314" s="255"/>
      <c r="H1314" s="2060"/>
      <c r="I1314" s="2060"/>
      <c r="J1314" s="2060"/>
      <c r="K1314" s="2060"/>
      <c r="L1314" s="2060"/>
      <c r="M1314" s="2060"/>
      <c r="N1314" s="2060"/>
      <c r="O1314" s="2060"/>
      <c r="P1314" s="2060"/>
      <c r="Q1314" s="2060"/>
      <c r="R1314" s="2060"/>
      <c r="S1314" s="2060"/>
      <c r="T1314" s="255"/>
      <c r="U1314" s="255"/>
      <c r="V1314" s="103"/>
    </row>
    <row r="1315" spans="2:22">
      <c r="B1315" s="2060"/>
      <c r="C1315" s="2060"/>
      <c r="D1315" s="2060"/>
      <c r="E1315" s="255"/>
      <c r="H1315" s="2060"/>
      <c r="I1315" s="2060"/>
      <c r="J1315" s="2060"/>
      <c r="K1315" s="2060"/>
      <c r="L1315" s="2060"/>
      <c r="M1315" s="2060"/>
      <c r="N1315" s="2060"/>
      <c r="O1315" s="2060"/>
      <c r="P1315" s="2060"/>
      <c r="Q1315" s="2060"/>
      <c r="R1315" s="2060"/>
      <c r="S1315" s="2060"/>
      <c r="T1315" s="255"/>
      <c r="U1315" s="255"/>
      <c r="V1315" s="103"/>
    </row>
    <row r="1316" spans="2:22">
      <c r="B1316" s="2060"/>
      <c r="C1316" s="2060"/>
      <c r="D1316" s="2060"/>
      <c r="E1316" s="255"/>
      <c r="H1316" s="2060"/>
      <c r="I1316" s="2060"/>
      <c r="J1316" s="2060"/>
      <c r="K1316" s="2060"/>
      <c r="L1316" s="2060"/>
      <c r="M1316" s="2060"/>
      <c r="N1316" s="2060"/>
      <c r="O1316" s="2060"/>
      <c r="P1316" s="2060"/>
      <c r="Q1316" s="2060"/>
      <c r="R1316" s="2060"/>
      <c r="S1316" s="2060"/>
      <c r="T1316" s="255"/>
      <c r="U1316" s="255"/>
      <c r="V1316" s="103"/>
    </row>
    <row r="1317" spans="2:22">
      <c r="B1317" s="2060"/>
      <c r="C1317" s="2060"/>
      <c r="D1317" s="2060"/>
      <c r="E1317" s="255"/>
      <c r="H1317" s="2060"/>
      <c r="I1317" s="2060"/>
      <c r="J1317" s="2060"/>
      <c r="K1317" s="2060"/>
      <c r="L1317" s="2060"/>
      <c r="M1317" s="2060"/>
      <c r="N1317" s="2060"/>
      <c r="O1317" s="2060"/>
      <c r="P1317" s="2060"/>
      <c r="Q1317" s="2060"/>
      <c r="R1317" s="2060"/>
      <c r="S1317" s="2060"/>
      <c r="T1317" s="255"/>
      <c r="U1317" s="255"/>
      <c r="V1317" s="103"/>
    </row>
    <row r="1318" spans="2:22">
      <c r="B1318" s="2060"/>
      <c r="C1318" s="2060"/>
      <c r="D1318" s="2060"/>
      <c r="E1318" s="255"/>
      <c r="H1318" s="2060"/>
      <c r="I1318" s="2060"/>
      <c r="J1318" s="2060"/>
      <c r="K1318" s="2060"/>
      <c r="L1318" s="2060"/>
      <c r="M1318" s="2060"/>
      <c r="N1318" s="2060"/>
      <c r="O1318" s="2060"/>
      <c r="P1318" s="2060"/>
      <c r="Q1318" s="2060"/>
      <c r="R1318" s="2060"/>
      <c r="S1318" s="2060"/>
      <c r="T1318" s="255"/>
      <c r="U1318" s="255"/>
      <c r="V1318" s="103"/>
    </row>
    <row r="1319" spans="2:22">
      <c r="B1319" s="2060"/>
      <c r="C1319" s="2060"/>
      <c r="D1319" s="2060"/>
      <c r="E1319" s="255"/>
      <c r="H1319" s="2060"/>
      <c r="I1319" s="2060"/>
      <c r="J1319" s="2060"/>
      <c r="K1319" s="2060"/>
      <c r="L1319" s="2060"/>
      <c r="M1319" s="2060"/>
      <c r="N1319" s="2060"/>
      <c r="O1319" s="2060"/>
      <c r="P1319" s="2060"/>
      <c r="Q1319" s="2060"/>
      <c r="R1319" s="2060"/>
      <c r="S1319" s="2060"/>
      <c r="T1319" s="255"/>
      <c r="U1319" s="255"/>
      <c r="V1319" s="103"/>
    </row>
    <row r="1320" spans="2:22">
      <c r="B1320" s="2060"/>
      <c r="C1320" s="2060"/>
      <c r="D1320" s="2060"/>
      <c r="E1320" s="255"/>
      <c r="H1320" s="2060"/>
      <c r="I1320" s="2060"/>
      <c r="J1320" s="2060"/>
      <c r="K1320" s="2060"/>
      <c r="L1320" s="2060"/>
      <c r="M1320" s="2060"/>
      <c r="N1320" s="2060"/>
      <c r="O1320" s="2060"/>
      <c r="P1320" s="2060"/>
      <c r="Q1320" s="2060"/>
      <c r="R1320" s="2060"/>
      <c r="S1320" s="2060"/>
      <c r="T1320" s="255"/>
      <c r="U1320" s="255"/>
      <c r="V1320" s="103"/>
    </row>
    <row r="1321" spans="2:22">
      <c r="B1321" s="2060"/>
      <c r="C1321" s="2060"/>
      <c r="D1321" s="2060"/>
      <c r="E1321" s="255"/>
      <c r="H1321" s="2060"/>
      <c r="I1321" s="2060"/>
      <c r="J1321" s="2060"/>
      <c r="K1321" s="2060"/>
      <c r="L1321" s="2060"/>
      <c r="M1321" s="2060"/>
      <c r="N1321" s="2060"/>
      <c r="O1321" s="2060"/>
      <c r="P1321" s="2060"/>
      <c r="Q1321" s="2060"/>
      <c r="R1321" s="2060"/>
      <c r="S1321" s="2060"/>
      <c r="T1321" s="255"/>
      <c r="U1321" s="255"/>
      <c r="V1321" s="103"/>
    </row>
    <row r="1322" spans="2:22">
      <c r="B1322" s="2060"/>
      <c r="C1322" s="2060"/>
      <c r="D1322" s="2060"/>
      <c r="E1322" s="255"/>
      <c r="H1322" s="2060"/>
      <c r="I1322" s="2060"/>
      <c r="J1322" s="2060"/>
      <c r="K1322" s="2060"/>
      <c r="L1322" s="2060"/>
      <c r="M1322" s="2060"/>
      <c r="N1322" s="2060"/>
      <c r="O1322" s="2060"/>
      <c r="P1322" s="2060"/>
      <c r="Q1322" s="2060"/>
      <c r="R1322" s="2060"/>
      <c r="S1322" s="2060"/>
      <c r="T1322" s="255"/>
      <c r="U1322" s="255"/>
      <c r="V1322" s="103"/>
    </row>
    <row r="1323" spans="2:22">
      <c r="B1323" s="2060"/>
      <c r="C1323" s="2060"/>
      <c r="D1323" s="2060"/>
      <c r="E1323" s="255"/>
      <c r="H1323" s="2060"/>
      <c r="I1323" s="2060"/>
      <c r="J1323" s="2060"/>
      <c r="K1323" s="2060"/>
      <c r="L1323" s="2060"/>
      <c r="M1323" s="2060"/>
      <c r="N1323" s="2060"/>
      <c r="O1323" s="2060"/>
      <c r="P1323" s="2060"/>
      <c r="Q1323" s="2060"/>
      <c r="R1323" s="2060"/>
      <c r="S1323" s="2060"/>
      <c r="T1323" s="255"/>
      <c r="U1323" s="255"/>
      <c r="V1323" s="103"/>
    </row>
    <row r="1324" spans="2:22">
      <c r="B1324" s="2060"/>
      <c r="C1324" s="2060"/>
      <c r="D1324" s="2060"/>
      <c r="E1324" s="255"/>
      <c r="H1324" s="2060"/>
      <c r="I1324" s="2060"/>
      <c r="J1324" s="2060"/>
      <c r="K1324" s="2060"/>
      <c r="L1324" s="2060"/>
      <c r="M1324" s="2060"/>
      <c r="N1324" s="2060"/>
      <c r="O1324" s="2060"/>
      <c r="P1324" s="2060"/>
      <c r="Q1324" s="2060"/>
      <c r="R1324" s="2060"/>
      <c r="S1324" s="2060"/>
      <c r="T1324" s="255"/>
      <c r="U1324" s="255"/>
      <c r="V1324" s="103"/>
    </row>
    <row r="1325" spans="2:22">
      <c r="B1325" s="2060"/>
      <c r="C1325" s="2060"/>
      <c r="D1325" s="2060"/>
      <c r="E1325" s="255"/>
      <c r="H1325" s="2060"/>
      <c r="I1325" s="2060"/>
      <c r="J1325" s="2060"/>
      <c r="K1325" s="2060"/>
      <c r="L1325" s="2060"/>
      <c r="M1325" s="2060"/>
      <c r="N1325" s="2060"/>
      <c r="O1325" s="2060"/>
      <c r="P1325" s="2060"/>
      <c r="Q1325" s="2060"/>
      <c r="R1325" s="2060"/>
      <c r="S1325" s="2060"/>
      <c r="T1325" s="255"/>
      <c r="U1325" s="255"/>
      <c r="V1325" s="103"/>
    </row>
    <row r="1326" spans="2:22">
      <c r="B1326" s="2060"/>
      <c r="C1326" s="2060"/>
      <c r="D1326" s="2060"/>
      <c r="E1326" s="255"/>
      <c r="H1326" s="2060"/>
      <c r="I1326" s="2060"/>
      <c r="J1326" s="2060"/>
      <c r="K1326" s="2060"/>
      <c r="L1326" s="2060"/>
      <c r="M1326" s="2060"/>
      <c r="N1326" s="2060"/>
      <c r="O1326" s="2060"/>
      <c r="P1326" s="2060"/>
      <c r="Q1326" s="2060"/>
      <c r="R1326" s="2060"/>
      <c r="S1326" s="2060"/>
      <c r="T1326" s="255"/>
      <c r="U1326" s="255"/>
      <c r="V1326" s="103"/>
    </row>
    <row r="1327" spans="2:22">
      <c r="B1327" s="2060"/>
      <c r="C1327" s="2060"/>
      <c r="D1327" s="2060"/>
      <c r="E1327" s="255"/>
      <c r="H1327" s="2060"/>
      <c r="I1327" s="2060"/>
      <c r="J1327" s="2060"/>
      <c r="K1327" s="2060"/>
      <c r="L1327" s="2060"/>
      <c r="M1327" s="2060"/>
      <c r="N1327" s="2060"/>
      <c r="O1327" s="2060"/>
      <c r="P1327" s="2060"/>
      <c r="Q1327" s="2060"/>
      <c r="R1327" s="2060"/>
      <c r="S1327" s="2060"/>
      <c r="T1327" s="255"/>
      <c r="U1327" s="255"/>
      <c r="V1327" s="103"/>
    </row>
    <row r="1328" spans="2:22">
      <c r="B1328" s="2060"/>
      <c r="C1328" s="2060"/>
      <c r="D1328" s="2060"/>
      <c r="E1328" s="255"/>
      <c r="H1328" s="2060"/>
      <c r="I1328" s="2060"/>
      <c r="J1328" s="2060"/>
      <c r="K1328" s="2060"/>
      <c r="L1328" s="2060"/>
      <c r="M1328" s="2060"/>
      <c r="N1328" s="2060"/>
      <c r="O1328" s="2060"/>
      <c r="P1328" s="2060"/>
      <c r="Q1328" s="2060"/>
      <c r="R1328" s="2060"/>
      <c r="S1328" s="2060"/>
      <c r="T1328" s="255"/>
      <c r="U1328" s="255"/>
      <c r="V1328" s="103"/>
    </row>
    <row r="1329" spans="2:22">
      <c r="B1329" s="2060"/>
      <c r="C1329" s="2060"/>
      <c r="D1329" s="2060"/>
      <c r="E1329" s="255"/>
      <c r="H1329" s="2060"/>
      <c r="I1329" s="2060"/>
      <c r="J1329" s="2060"/>
      <c r="K1329" s="2060"/>
      <c r="L1329" s="2060"/>
      <c r="M1329" s="2060"/>
      <c r="N1329" s="2060"/>
      <c r="O1329" s="2060"/>
      <c r="P1329" s="2060"/>
      <c r="Q1329" s="2060"/>
      <c r="R1329" s="2060"/>
      <c r="S1329" s="2060"/>
      <c r="T1329" s="255"/>
      <c r="U1329" s="255"/>
      <c r="V1329" s="103"/>
    </row>
    <row r="1330" spans="2:22">
      <c r="B1330" s="2060"/>
      <c r="C1330" s="2060"/>
      <c r="D1330" s="2060"/>
      <c r="E1330" s="255"/>
      <c r="H1330" s="2060"/>
      <c r="I1330" s="2060"/>
      <c r="J1330" s="2060"/>
      <c r="K1330" s="2060"/>
      <c r="L1330" s="2060"/>
      <c r="M1330" s="2060"/>
      <c r="N1330" s="2060"/>
      <c r="O1330" s="2060"/>
      <c r="P1330" s="2060"/>
      <c r="Q1330" s="2060"/>
      <c r="R1330" s="2060"/>
      <c r="S1330" s="2060"/>
      <c r="T1330" s="255"/>
      <c r="U1330" s="255"/>
      <c r="V1330" s="103"/>
    </row>
    <row r="1331" spans="2:22">
      <c r="B1331" s="2060"/>
      <c r="C1331" s="2060"/>
      <c r="D1331" s="2060"/>
      <c r="E1331" s="255"/>
      <c r="H1331" s="2060"/>
      <c r="I1331" s="2060"/>
      <c r="J1331" s="2060"/>
      <c r="K1331" s="2060"/>
      <c r="L1331" s="2060"/>
      <c r="M1331" s="2060"/>
      <c r="N1331" s="2060"/>
      <c r="O1331" s="2060"/>
      <c r="P1331" s="2060"/>
      <c r="Q1331" s="2060"/>
      <c r="R1331" s="2060"/>
      <c r="S1331" s="2060"/>
      <c r="T1331" s="255"/>
      <c r="U1331" s="255"/>
      <c r="V1331" s="103"/>
    </row>
    <row r="1332" spans="2:22">
      <c r="B1332" s="2060"/>
      <c r="C1332" s="2060"/>
      <c r="D1332" s="2060"/>
      <c r="E1332" s="255"/>
      <c r="H1332" s="2060"/>
      <c r="I1332" s="2060"/>
      <c r="J1332" s="2060"/>
      <c r="K1332" s="2060"/>
      <c r="L1332" s="2060"/>
      <c r="M1332" s="2060"/>
      <c r="N1332" s="2060"/>
      <c r="O1332" s="2060"/>
      <c r="P1332" s="2060"/>
      <c r="Q1332" s="2060"/>
      <c r="R1332" s="2060"/>
      <c r="S1332" s="2060"/>
      <c r="T1332" s="255"/>
      <c r="U1332" s="255"/>
      <c r="V1332" s="103"/>
    </row>
    <row r="1333" spans="2:22">
      <c r="B1333" s="2060"/>
      <c r="C1333" s="2060"/>
      <c r="D1333" s="2060"/>
      <c r="E1333" s="255"/>
      <c r="H1333" s="2060"/>
      <c r="I1333" s="2060"/>
      <c r="J1333" s="2060"/>
      <c r="K1333" s="2060"/>
      <c r="L1333" s="2060"/>
      <c r="M1333" s="2060"/>
      <c r="N1333" s="2060"/>
      <c r="O1333" s="2060"/>
      <c r="P1333" s="2060"/>
      <c r="Q1333" s="2060"/>
      <c r="R1333" s="2060"/>
      <c r="S1333" s="2060"/>
      <c r="T1333" s="255"/>
      <c r="U1333" s="255"/>
      <c r="V1333" s="103"/>
    </row>
    <row r="1334" spans="2:22">
      <c r="B1334" s="2060"/>
      <c r="C1334" s="2060"/>
      <c r="D1334" s="2060"/>
      <c r="E1334" s="255"/>
      <c r="H1334" s="2060"/>
      <c r="I1334" s="2060"/>
      <c r="J1334" s="2060"/>
      <c r="K1334" s="2060"/>
      <c r="L1334" s="2060"/>
      <c r="M1334" s="2060"/>
      <c r="N1334" s="2060"/>
      <c r="O1334" s="2060"/>
      <c r="P1334" s="2060"/>
      <c r="Q1334" s="2060"/>
      <c r="R1334" s="2060"/>
      <c r="S1334" s="2060"/>
      <c r="T1334" s="255"/>
      <c r="U1334" s="255"/>
      <c r="V1334" s="103"/>
    </row>
    <row r="1335" spans="2:22">
      <c r="B1335" s="2060"/>
      <c r="C1335" s="2060"/>
      <c r="D1335" s="2060"/>
      <c r="E1335" s="255"/>
      <c r="H1335" s="2060"/>
      <c r="I1335" s="2060"/>
      <c r="J1335" s="2060"/>
      <c r="K1335" s="2060"/>
      <c r="L1335" s="2060"/>
      <c r="M1335" s="2060"/>
      <c r="N1335" s="2060"/>
      <c r="O1335" s="2060"/>
      <c r="P1335" s="2060"/>
      <c r="Q1335" s="2060"/>
      <c r="R1335" s="2060"/>
      <c r="S1335" s="2060"/>
      <c r="T1335" s="255"/>
      <c r="U1335" s="255"/>
      <c r="V1335" s="103"/>
    </row>
    <row r="1336" spans="2:22">
      <c r="B1336" s="2060"/>
      <c r="C1336" s="2060"/>
      <c r="D1336" s="2060"/>
      <c r="E1336" s="255"/>
      <c r="H1336" s="2060"/>
      <c r="I1336" s="2060"/>
      <c r="J1336" s="2060"/>
      <c r="K1336" s="2060"/>
      <c r="L1336" s="2060"/>
      <c r="M1336" s="2060"/>
      <c r="N1336" s="2060"/>
      <c r="O1336" s="2060"/>
      <c r="P1336" s="2060"/>
      <c r="Q1336" s="2060"/>
      <c r="R1336" s="2060"/>
      <c r="S1336" s="2060"/>
      <c r="T1336" s="255"/>
      <c r="U1336" s="255"/>
      <c r="V1336" s="103"/>
    </row>
    <row r="1337" spans="2:22">
      <c r="B1337" s="2060"/>
      <c r="C1337" s="2060"/>
      <c r="D1337" s="2060"/>
      <c r="E1337" s="255"/>
      <c r="H1337" s="2060"/>
      <c r="I1337" s="2060"/>
      <c r="J1337" s="2060"/>
      <c r="K1337" s="2060"/>
      <c r="L1337" s="2060"/>
      <c r="M1337" s="2060"/>
      <c r="N1337" s="2060"/>
      <c r="O1337" s="2060"/>
      <c r="P1337" s="2060"/>
      <c r="Q1337" s="2060"/>
      <c r="R1337" s="2060"/>
      <c r="S1337" s="2060"/>
      <c r="T1337" s="255"/>
      <c r="U1337" s="255"/>
      <c r="V1337" s="103"/>
    </row>
    <row r="1338" spans="2:22">
      <c r="B1338" s="2060"/>
      <c r="C1338" s="2060"/>
      <c r="D1338" s="2060"/>
      <c r="E1338" s="255"/>
      <c r="H1338" s="2060"/>
      <c r="I1338" s="2060"/>
      <c r="J1338" s="2060"/>
      <c r="K1338" s="2060"/>
      <c r="L1338" s="2060"/>
      <c r="M1338" s="2060"/>
      <c r="N1338" s="2060"/>
      <c r="O1338" s="2060"/>
      <c r="P1338" s="2060"/>
      <c r="Q1338" s="2060"/>
      <c r="R1338" s="2060"/>
      <c r="S1338" s="2060"/>
      <c r="T1338" s="255"/>
      <c r="U1338" s="255"/>
      <c r="V1338" s="103"/>
    </row>
    <row r="1339" spans="2:22">
      <c r="B1339" s="2060"/>
      <c r="C1339" s="2060"/>
      <c r="D1339" s="2060"/>
      <c r="E1339" s="255"/>
      <c r="H1339" s="2060"/>
      <c r="I1339" s="2060"/>
      <c r="J1339" s="2060"/>
      <c r="K1339" s="2060"/>
      <c r="L1339" s="2060"/>
      <c r="M1339" s="2060"/>
      <c r="N1339" s="2060"/>
      <c r="O1339" s="2060"/>
      <c r="P1339" s="2060"/>
      <c r="Q1339" s="2060"/>
      <c r="R1339" s="2060"/>
      <c r="S1339" s="2060"/>
      <c r="T1339" s="255"/>
      <c r="U1339" s="255"/>
      <c r="V1339" s="103"/>
    </row>
    <row r="1340" spans="2:22">
      <c r="B1340" s="2060"/>
      <c r="C1340" s="2060"/>
      <c r="D1340" s="2060"/>
      <c r="E1340" s="255"/>
      <c r="H1340" s="2060"/>
      <c r="I1340" s="2060"/>
      <c r="J1340" s="2060"/>
      <c r="K1340" s="2060"/>
      <c r="L1340" s="2060"/>
      <c r="M1340" s="2060"/>
      <c r="N1340" s="2060"/>
      <c r="O1340" s="2060"/>
      <c r="P1340" s="2060"/>
      <c r="Q1340" s="2060"/>
      <c r="R1340" s="2060"/>
      <c r="S1340" s="2060"/>
      <c r="T1340" s="255"/>
      <c r="U1340" s="255"/>
      <c r="V1340" s="103"/>
    </row>
    <row r="1341" spans="2:22">
      <c r="B1341" s="2060"/>
      <c r="C1341" s="2060"/>
      <c r="D1341" s="2060"/>
      <c r="E1341" s="255"/>
      <c r="H1341" s="2060"/>
      <c r="I1341" s="2060"/>
      <c r="J1341" s="2060"/>
      <c r="K1341" s="2060"/>
      <c r="L1341" s="2060"/>
      <c r="M1341" s="2060"/>
      <c r="N1341" s="2060"/>
      <c r="O1341" s="2060"/>
      <c r="P1341" s="2060"/>
      <c r="Q1341" s="2060"/>
      <c r="R1341" s="2060"/>
      <c r="S1341" s="2060"/>
      <c r="T1341" s="255"/>
      <c r="U1341" s="255"/>
      <c r="V1341" s="103"/>
    </row>
    <row r="1342" spans="2:22">
      <c r="B1342" s="2060"/>
      <c r="C1342" s="2060"/>
      <c r="D1342" s="2060"/>
      <c r="E1342" s="255"/>
      <c r="H1342" s="2060"/>
      <c r="I1342" s="2060"/>
      <c r="J1342" s="2060"/>
      <c r="K1342" s="2060"/>
      <c r="L1342" s="2060"/>
      <c r="M1342" s="2060"/>
      <c r="N1342" s="2060"/>
      <c r="O1342" s="2060"/>
      <c r="P1342" s="2060"/>
      <c r="Q1342" s="2060"/>
      <c r="R1342" s="2060"/>
      <c r="S1342" s="2060"/>
      <c r="T1342" s="255"/>
      <c r="U1342" s="255"/>
      <c r="V1342" s="103"/>
    </row>
    <row r="1343" spans="2:22">
      <c r="B1343" s="2060"/>
      <c r="C1343" s="2060"/>
      <c r="D1343" s="2060"/>
      <c r="E1343" s="255"/>
      <c r="H1343" s="2060"/>
      <c r="I1343" s="2060"/>
      <c r="J1343" s="2060"/>
      <c r="K1343" s="2060"/>
      <c r="L1343" s="2060"/>
      <c r="M1343" s="2060"/>
      <c r="N1343" s="2060"/>
      <c r="O1343" s="2060"/>
      <c r="P1343" s="2060"/>
      <c r="Q1343" s="2060"/>
      <c r="R1343" s="2060"/>
      <c r="S1343" s="2060"/>
      <c r="T1343" s="255"/>
      <c r="U1343" s="255"/>
      <c r="V1343" s="103"/>
    </row>
    <row r="1344" spans="2:22">
      <c r="B1344" s="2060"/>
      <c r="C1344" s="2060"/>
      <c r="D1344" s="2060"/>
      <c r="E1344" s="255"/>
      <c r="H1344" s="2060"/>
      <c r="I1344" s="2060"/>
      <c r="J1344" s="2060"/>
      <c r="K1344" s="2060"/>
      <c r="L1344" s="2060"/>
      <c r="M1344" s="2060"/>
      <c r="N1344" s="2060"/>
      <c r="O1344" s="2060"/>
      <c r="P1344" s="2060"/>
      <c r="Q1344" s="2060"/>
      <c r="R1344" s="2060"/>
      <c r="S1344" s="2060"/>
      <c r="T1344" s="255"/>
      <c r="U1344" s="255"/>
      <c r="V1344" s="103"/>
    </row>
    <row r="1345" spans="2:22">
      <c r="B1345" s="2060"/>
      <c r="C1345" s="2060"/>
      <c r="D1345" s="2060"/>
      <c r="E1345" s="255"/>
      <c r="H1345" s="2060"/>
      <c r="I1345" s="2060"/>
      <c r="J1345" s="2060"/>
      <c r="K1345" s="2060"/>
      <c r="L1345" s="2060"/>
      <c r="M1345" s="2060"/>
      <c r="N1345" s="2060"/>
      <c r="O1345" s="2060"/>
      <c r="P1345" s="2060"/>
      <c r="Q1345" s="2060"/>
      <c r="R1345" s="2060"/>
      <c r="S1345" s="2060"/>
      <c r="T1345" s="255"/>
      <c r="U1345" s="255"/>
      <c r="V1345" s="103"/>
    </row>
    <row r="1346" spans="2:22">
      <c r="B1346" s="2060"/>
      <c r="C1346" s="2060"/>
      <c r="D1346" s="2060"/>
      <c r="E1346" s="255"/>
      <c r="H1346" s="2060"/>
      <c r="I1346" s="2060"/>
      <c r="J1346" s="2060"/>
      <c r="K1346" s="2060"/>
      <c r="L1346" s="2060"/>
      <c r="M1346" s="2060"/>
      <c r="N1346" s="2060"/>
      <c r="O1346" s="2060"/>
      <c r="P1346" s="2060"/>
      <c r="Q1346" s="2060"/>
      <c r="R1346" s="2060"/>
      <c r="S1346" s="2060"/>
      <c r="T1346" s="255"/>
      <c r="U1346" s="255"/>
      <c r="V1346" s="103"/>
    </row>
    <row r="1347" spans="2:22">
      <c r="B1347" s="2060"/>
      <c r="C1347" s="2060"/>
      <c r="D1347" s="2060"/>
      <c r="E1347" s="255"/>
      <c r="H1347" s="2060"/>
      <c r="I1347" s="2060"/>
      <c r="J1347" s="2060"/>
      <c r="K1347" s="2060"/>
      <c r="L1347" s="2060"/>
      <c r="M1347" s="2060"/>
      <c r="N1347" s="2060"/>
      <c r="O1347" s="2060"/>
      <c r="P1347" s="2060"/>
      <c r="Q1347" s="2060"/>
      <c r="R1347" s="2060"/>
      <c r="S1347" s="2060"/>
      <c r="T1347" s="255"/>
      <c r="U1347" s="255"/>
      <c r="V1347" s="103"/>
    </row>
    <row r="1348" spans="2:22">
      <c r="B1348" s="2060"/>
      <c r="C1348" s="2060"/>
      <c r="D1348" s="2060"/>
      <c r="E1348" s="255"/>
      <c r="H1348" s="2060"/>
      <c r="I1348" s="2060"/>
      <c r="J1348" s="2060"/>
      <c r="K1348" s="2060"/>
      <c r="L1348" s="2060"/>
      <c r="M1348" s="2060"/>
      <c r="N1348" s="2060"/>
      <c r="O1348" s="2060"/>
      <c r="P1348" s="2060"/>
      <c r="Q1348" s="2060"/>
      <c r="R1348" s="2060"/>
      <c r="S1348" s="2060"/>
      <c r="T1348" s="255"/>
      <c r="U1348" s="255"/>
      <c r="V1348" s="103"/>
    </row>
    <row r="1349" spans="2:22">
      <c r="B1349" s="2060"/>
      <c r="C1349" s="2060"/>
      <c r="D1349" s="2060"/>
      <c r="E1349" s="255"/>
      <c r="H1349" s="2060"/>
      <c r="I1349" s="2060"/>
      <c r="J1349" s="2060"/>
      <c r="K1349" s="2060"/>
      <c r="L1349" s="2060"/>
      <c r="M1349" s="2060"/>
      <c r="N1349" s="2060"/>
      <c r="O1349" s="2060"/>
      <c r="P1349" s="2060"/>
      <c r="Q1349" s="2060"/>
      <c r="R1349" s="2060"/>
      <c r="S1349" s="2060"/>
      <c r="T1349" s="255"/>
      <c r="U1349" s="255"/>
      <c r="V1349" s="103"/>
    </row>
    <row r="1350" spans="2:22">
      <c r="B1350" s="2060"/>
      <c r="C1350" s="2060"/>
      <c r="D1350" s="2060"/>
      <c r="E1350" s="255"/>
      <c r="H1350" s="2060"/>
      <c r="I1350" s="2060"/>
      <c r="J1350" s="2060"/>
      <c r="K1350" s="2060"/>
      <c r="L1350" s="2060"/>
      <c r="M1350" s="2060"/>
      <c r="N1350" s="2060"/>
      <c r="O1350" s="2060"/>
      <c r="P1350" s="2060"/>
      <c r="Q1350" s="2060"/>
      <c r="R1350" s="2060"/>
      <c r="S1350" s="2060"/>
      <c r="T1350" s="255"/>
      <c r="U1350" s="255"/>
      <c r="V1350" s="103"/>
    </row>
    <row r="1351" spans="2:22">
      <c r="B1351" s="2060"/>
      <c r="C1351" s="2060"/>
      <c r="D1351" s="2060"/>
      <c r="E1351" s="255"/>
      <c r="H1351" s="2060"/>
      <c r="I1351" s="2060"/>
      <c r="J1351" s="2060"/>
      <c r="K1351" s="2060"/>
      <c r="L1351" s="2060"/>
      <c r="M1351" s="2060"/>
      <c r="N1351" s="2060"/>
      <c r="O1351" s="2060"/>
      <c r="P1351" s="2060"/>
      <c r="Q1351" s="2060"/>
      <c r="R1351" s="2060"/>
      <c r="S1351" s="2060"/>
      <c r="T1351" s="255"/>
      <c r="U1351" s="255"/>
      <c r="V1351" s="103"/>
    </row>
    <row r="1352" spans="2:22">
      <c r="B1352" s="2060"/>
      <c r="C1352" s="2060"/>
      <c r="D1352" s="2060"/>
      <c r="E1352" s="255"/>
      <c r="H1352" s="2060"/>
      <c r="I1352" s="2060"/>
      <c r="J1352" s="2060"/>
      <c r="K1352" s="2060"/>
      <c r="L1352" s="2060"/>
      <c r="M1352" s="2060"/>
      <c r="N1352" s="2060"/>
      <c r="O1352" s="2060"/>
      <c r="P1352" s="2060"/>
      <c r="Q1352" s="2060"/>
      <c r="R1352" s="2060"/>
      <c r="S1352" s="2060"/>
      <c r="T1352" s="255"/>
      <c r="U1352" s="255"/>
      <c r="V1352" s="103"/>
    </row>
    <row r="1353" spans="2:22">
      <c r="B1353" s="2060"/>
      <c r="C1353" s="2060"/>
      <c r="D1353" s="2060"/>
      <c r="E1353" s="255"/>
      <c r="H1353" s="2060"/>
      <c r="I1353" s="2060"/>
      <c r="J1353" s="2060"/>
      <c r="K1353" s="2060"/>
      <c r="L1353" s="2060"/>
      <c r="M1353" s="2060"/>
      <c r="N1353" s="2060"/>
      <c r="O1353" s="2060"/>
      <c r="P1353" s="2060"/>
      <c r="Q1353" s="2060"/>
      <c r="R1353" s="2060"/>
      <c r="S1353" s="2060"/>
      <c r="T1353" s="255"/>
      <c r="U1353" s="255"/>
      <c r="V1353" s="103"/>
    </row>
    <row r="1354" spans="2:22">
      <c r="B1354" s="2060"/>
      <c r="C1354" s="2060"/>
      <c r="D1354" s="2060"/>
      <c r="E1354" s="255"/>
      <c r="H1354" s="2060"/>
      <c r="I1354" s="2060"/>
      <c r="J1354" s="2060"/>
      <c r="K1354" s="2060"/>
      <c r="L1354" s="2060"/>
      <c r="M1354" s="2060"/>
      <c r="N1354" s="2060"/>
      <c r="O1354" s="2060"/>
      <c r="P1354" s="2060"/>
      <c r="Q1354" s="2060"/>
      <c r="R1354" s="2060"/>
      <c r="S1354" s="2060"/>
      <c r="T1354" s="255"/>
      <c r="U1354" s="255"/>
      <c r="V1354" s="103"/>
    </row>
    <row r="1355" spans="2:22">
      <c r="B1355" s="2060"/>
      <c r="C1355" s="2060"/>
      <c r="D1355" s="2060"/>
      <c r="E1355" s="255"/>
      <c r="H1355" s="2060"/>
      <c r="I1355" s="2060"/>
      <c r="J1355" s="2060"/>
      <c r="K1355" s="2060"/>
      <c r="L1355" s="2060"/>
      <c r="M1355" s="2060"/>
      <c r="N1355" s="2060"/>
      <c r="O1355" s="2060"/>
      <c r="P1355" s="2060"/>
      <c r="Q1355" s="2060"/>
      <c r="R1355" s="2060"/>
      <c r="S1355" s="2060"/>
      <c r="T1355" s="255"/>
      <c r="U1355" s="255"/>
      <c r="V1355" s="103"/>
    </row>
    <row r="1356" spans="2:22">
      <c r="B1356" s="2060"/>
      <c r="C1356" s="2060"/>
      <c r="D1356" s="2060"/>
      <c r="E1356" s="255"/>
      <c r="H1356" s="2060"/>
      <c r="I1356" s="2060"/>
      <c r="J1356" s="2060"/>
      <c r="K1356" s="2060"/>
      <c r="L1356" s="2060"/>
      <c r="M1356" s="2060"/>
      <c r="N1356" s="2060"/>
      <c r="O1356" s="2060"/>
      <c r="P1356" s="2060"/>
      <c r="Q1356" s="2060"/>
      <c r="R1356" s="2060"/>
      <c r="S1356" s="2060"/>
      <c r="T1356" s="255"/>
      <c r="U1356" s="255"/>
      <c r="V1356" s="103"/>
    </row>
    <row r="1357" spans="2:22">
      <c r="B1357" s="2060"/>
      <c r="C1357" s="2060"/>
      <c r="D1357" s="2060"/>
      <c r="E1357" s="255"/>
      <c r="H1357" s="2060"/>
      <c r="I1357" s="2060"/>
      <c r="J1357" s="2060"/>
      <c r="K1357" s="2060"/>
      <c r="L1357" s="2060"/>
      <c r="M1357" s="2060"/>
      <c r="N1357" s="2060"/>
      <c r="O1357" s="2060"/>
      <c r="P1357" s="2060"/>
      <c r="Q1357" s="2060"/>
      <c r="R1357" s="2060"/>
      <c r="S1357" s="2060"/>
      <c r="T1357" s="255"/>
      <c r="U1357" s="255"/>
      <c r="V1357" s="103"/>
    </row>
    <row r="1358" spans="2:22">
      <c r="B1358" s="2060"/>
      <c r="C1358" s="2060"/>
      <c r="D1358" s="2060"/>
      <c r="E1358" s="255"/>
      <c r="H1358" s="2060"/>
      <c r="I1358" s="2060"/>
      <c r="J1358" s="2060"/>
      <c r="K1358" s="2060"/>
      <c r="L1358" s="2060"/>
      <c r="M1358" s="2060"/>
      <c r="N1358" s="2060"/>
      <c r="O1358" s="2060"/>
      <c r="P1358" s="2060"/>
      <c r="Q1358" s="2060"/>
      <c r="R1358" s="2060"/>
      <c r="S1358" s="2060"/>
      <c r="T1358" s="255"/>
      <c r="U1358" s="255"/>
      <c r="V1358" s="103"/>
    </row>
    <row r="1359" spans="2:22">
      <c r="B1359" s="2060"/>
      <c r="C1359" s="2060"/>
      <c r="D1359" s="2060"/>
      <c r="E1359" s="255"/>
      <c r="H1359" s="2060"/>
      <c r="I1359" s="2060"/>
      <c r="J1359" s="2060"/>
      <c r="K1359" s="2060"/>
      <c r="L1359" s="2060"/>
      <c r="M1359" s="2060"/>
      <c r="N1359" s="2060"/>
      <c r="O1359" s="2060"/>
      <c r="P1359" s="2060"/>
      <c r="Q1359" s="2060"/>
      <c r="R1359" s="2060"/>
      <c r="S1359" s="2060"/>
      <c r="T1359" s="255"/>
      <c r="U1359" s="255"/>
      <c r="V1359" s="103"/>
    </row>
    <row r="1360" spans="2:22">
      <c r="B1360" s="2060"/>
      <c r="C1360" s="2060"/>
      <c r="D1360" s="2060"/>
      <c r="E1360" s="255"/>
      <c r="H1360" s="2060"/>
      <c r="I1360" s="2060"/>
      <c r="J1360" s="2060"/>
      <c r="K1360" s="2060"/>
      <c r="L1360" s="2060"/>
      <c r="M1360" s="2060"/>
      <c r="N1360" s="2060"/>
      <c r="O1360" s="2060"/>
      <c r="P1360" s="2060"/>
      <c r="Q1360" s="2060"/>
      <c r="R1360" s="2060"/>
      <c r="S1360" s="2060"/>
      <c r="T1360" s="255"/>
      <c r="U1360" s="255"/>
      <c r="V1360" s="103"/>
    </row>
    <row r="1361" spans="2:22">
      <c r="B1361" s="2060"/>
      <c r="C1361" s="2060"/>
      <c r="D1361" s="2060"/>
      <c r="E1361" s="255"/>
      <c r="H1361" s="2060"/>
      <c r="I1361" s="2060"/>
      <c r="J1361" s="2060"/>
      <c r="K1361" s="2060"/>
      <c r="L1361" s="2060"/>
      <c r="M1361" s="2060"/>
      <c r="N1361" s="2060"/>
      <c r="O1361" s="2060"/>
      <c r="P1361" s="2060"/>
      <c r="Q1361" s="2060"/>
      <c r="R1361" s="2060"/>
      <c r="S1361" s="2060"/>
      <c r="T1361" s="255"/>
      <c r="U1361" s="255"/>
      <c r="V1361" s="103"/>
    </row>
    <row r="1362" spans="2:22">
      <c r="B1362" s="2060"/>
      <c r="C1362" s="2060"/>
      <c r="D1362" s="2060"/>
      <c r="E1362" s="255"/>
      <c r="H1362" s="2060"/>
      <c r="I1362" s="2060"/>
      <c r="J1362" s="2060"/>
      <c r="K1362" s="2060"/>
      <c r="L1362" s="2060"/>
      <c r="M1362" s="2060"/>
      <c r="N1362" s="2060"/>
      <c r="O1362" s="2060"/>
      <c r="P1362" s="2060"/>
      <c r="Q1362" s="2060"/>
      <c r="R1362" s="2060"/>
      <c r="S1362" s="2060"/>
      <c r="T1362" s="255"/>
      <c r="U1362" s="255"/>
      <c r="V1362" s="103"/>
    </row>
    <row r="1363" spans="2:22">
      <c r="B1363" s="2060"/>
      <c r="C1363" s="2060"/>
      <c r="D1363" s="2060"/>
      <c r="E1363" s="255"/>
      <c r="H1363" s="2060"/>
      <c r="I1363" s="2060"/>
      <c r="J1363" s="2060"/>
      <c r="K1363" s="2060"/>
      <c r="L1363" s="2060"/>
      <c r="M1363" s="2060"/>
      <c r="N1363" s="2060"/>
      <c r="O1363" s="2060"/>
      <c r="P1363" s="2060"/>
      <c r="Q1363" s="2060"/>
      <c r="R1363" s="2060"/>
      <c r="S1363" s="2060"/>
      <c r="T1363" s="255"/>
      <c r="U1363" s="255"/>
      <c r="V1363" s="103"/>
    </row>
    <row r="1364" spans="2:22">
      <c r="B1364" s="2060"/>
      <c r="C1364" s="2060"/>
      <c r="D1364" s="2060"/>
      <c r="E1364" s="255"/>
      <c r="H1364" s="2060"/>
      <c r="I1364" s="2060"/>
      <c r="J1364" s="2060"/>
      <c r="K1364" s="2060"/>
      <c r="L1364" s="2060"/>
      <c r="M1364" s="2060"/>
      <c r="N1364" s="2060"/>
      <c r="O1364" s="2060"/>
      <c r="P1364" s="2060"/>
      <c r="Q1364" s="2060"/>
      <c r="R1364" s="2060"/>
      <c r="S1364" s="2060"/>
      <c r="T1364" s="255"/>
      <c r="U1364" s="255"/>
      <c r="V1364" s="103"/>
    </row>
    <row r="1365" spans="2:22">
      <c r="B1365" s="2060"/>
      <c r="C1365" s="2060"/>
      <c r="D1365" s="2060"/>
      <c r="E1365" s="255"/>
      <c r="H1365" s="2060"/>
      <c r="I1365" s="2060"/>
      <c r="J1365" s="2060"/>
      <c r="K1365" s="2060"/>
      <c r="L1365" s="2060"/>
      <c r="M1365" s="2060"/>
      <c r="N1365" s="2060"/>
      <c r="O1365" s="2060"/>
      <c r="P1365" s="2060"/>
      <c r="Q1365" s="2060"/>
      <c r="R1365" s="2060"/>
      <c r="S1365" s="2060"/>
      <c r="T1365" s="255"/>
      <c r="U1365" s="255"/>
      <c r="V1365" s="103"/>
    </row>
    <row r="1366" spans="2:22">
      <c r="B1366" s="2060"/>
      <c r="C1366" s="2060"/>
      <c r="D1366" s="2060"/>
      <c r="E1366" s="255"/>
      <c r="H1366" s="2060"/>
      <c r="I1366" s="2060"/>
      <c r="J1366" s="2060"/>
      <c r="K1366" s="2060"/>
      <c r="L1366" s="2060"/>
      <c r="M1366" s="2060"/>
      <c r="N1366" s="2060"/>
      <c r="O1366" s="2060"/>
      <c r="P1366" s="2060"/>
      <c r="Q1366" s="2060"/>
      <c r="R1366" s="2060"/>
      <c r="S1366" s="2060"/>
      <c r="T1366" s="255"/>
      <c r="U1366" s="255"/>
      <c r="V1366" s="103"/>
    </row>
    <row r="1367" spans="2:22">
      <c r="B1367" s="2060"/>
      <c r="C1367" s="2060"/>
      <c r="D1367" s="2060"/>
      <c r="E1367" s="255"/>
      <c r="H1367" s="2060"/>
      <c r="I1367" s="2060"/>
      <c r="J1367" s="2060"/>
      <c r="K1367" s="2060"/>
      <c r="L1367" s="2060"/>
      <c r="M1367" s="2060"/>
      <c r="N1367" s="2060"/>
      <c r="O1367" s="2060"/>
      <c r="P1367" s="2060"/>
      <c r="Q1367" s="2060"/>
      <c r="R1367" s="2060"/>
      <c r="S1367" s="2060"/>
      <c r="T1367" s="255"/>
      <c r="U1367" s="255"/>
      <c r="V1367" s="103"/>
    </row>
    <row r="1368" spans="2:22">
      <c r="B1368" s="2060"/>
      <c r="C1368" s="2060"/>
      <c r="D1368" s="2060"/>
      <c r="E1368" s="255"/>
      <c r="H1368" s="2060"/>
      <c r="I1368" s="2060"/>
      <c r="J1368" s="2060"/>
      <c r="K1368" s="2060"/>
      <c r="L1368" s="2060"/>
      <c r="M1368" s="2060"/>
      <c r="N1368" s="2060"/>
      <c r="O1368" s="2060"/>
      <c r="P1368" s="2060"/>
      <c r="Q1368" s="2060"/>
      <c r="R1368" s="2060"/>
      <c r="S1368" s="2060"/>
      <c r="T1368" s="255"/>
      <c r="U1368" s="255"/>
      <c r="V1368" s="103"/>
    </row>
    <row r="1369" spans="2:22">
      <c r="B1369" s="2060"/>
      <c r="C1369" s="2060"/>
      <c r="D1369" s="2060"/>
      <c r="E1369" s="255"/>
      <c r="H1369" s="2060"/>
      <c r="I1369" s="2060"/>
      <c r="J1369" s="2060"/>
      <c r="K1369" s="2060"/>
      <c r="L1369" s="2060"/>
      <c r="M1369" s="2060"/>
      <c r="N1369" s="2060"/>
      <c r="O1369" s="2060"/>
      <c r="P1369" s="2060"/>
      <c r="Q1369" s="2060"/>
      <c r="R1369" s="2060"/>
      <c r="S1369" s="2060"/>
      <c r="T1369" s="255"/>
      <c r="U1369" s="255"/>
      <c r="V1369" s="103"/>
    </row>
    <row r="1370" spans="2:22">
      <c r="B1370" s="2060"/>
      <c r="C1370" s="2060"/>
      <c r="D1370" s="2060"/>
      <c r="E1370" s="255"/>
      <c r="H1370" s="2060"/>
      <c r="I1370" s="2060"/>
      <c r="J1370" s="2060"/>
      <c r="K1370" s="2060"/>
      <c r="L1370" s="2060"/>
      <c r="M1370" s="2060"/>
      <c r="N1370" s="2060"/>
      <c r="O1370" s="2060"/>
      <c r="P1370" s="2060"/>
      <c r="Q1370" s="2060"/>
      <c r="R1370" s="2060"/>
      <c r="S1370" s="2060"/>
      <c r="T1370" s="255"/>
      <c r="U1370" s="255"/>
      <c r="V1370" s="103"/>
    </row>
    <row r="1371" spans="2:22">
      <c r="B1371" s="2060"/>
      <c r="C1371" s="2060"/>
      <c r="D1371" s="2060"/>
      <c r="E1371" s="255"/>
      <c r="H1371" s="2060"/>
      <c r="I1371" s="2060"/>
      <c r="J1371" s="2060"/>
      <c r="K1371" s="2060"/>
      <c r="L1371" s="2060"/>
      <c r="M1371" s="2060"/>
      <c r="N1371" s="2060"/>
      <c r="O1371" s="2060"/>
      <c r="P1371" s="2060"/>
      <c r="Q1371" s="2060"/>
      <c r="R1371" s="2060"/>
      <c r="S1371" s="2060"/>
      <c r="T1371" s="255"/>
      <c r="U1371" s="255"/>
      <c r="V1371" s="103"/>
    </row>
    <row r="1372" spans="2:22">
      <c r="B1372" s="2060"/>
      <c r="C1372" s="2060"/>
      <c r="D1372" s="2060"/>
      <c r="E1372" s="255"/>
      <c r="H1372" s="2060"/>
      <c r="I1372" s="2060"/>
      <c r="J1372" s="2060"/>
      <c r="K1372" s="2060"/>
      <c r="L1372" s="2060"/>
      <c r="M1372" s="2060"/>
      <c r="N1372" s="2060"/>
      <c r="O1372" s="2060"/>
      <c r="P1372" s="2060"/>
      <c r="Q1372" s="2060"/>
      <c r="R1372" s="2060"/>
      <c r="S1372" s="2060"/>
      <c r="T1372" s="255"/>
      <c r="U1372" s="255"/>
      <c r="V1372" s="103"/>
    </row>
    <row r="1373" spans="2:22">
      <c r="B1373" s="2060"/>
      <c r="C1373" s="2060"/>
      <c r="D1373" s="2060"/>
      <c r="E1373" s="255"/>
      <c r="H1373" s="2060"/>
      <c r="I1373" s="2060"/>
      <c r="J1373" s="2060"/>
      <c r="K1373" s="2060"/>
      <c r="L1373" s="2060"/>
      <c r="M1373" s="2060"/>
      <c r="N1373" s="2060"/>
      <c r="O1373" s="2060"/>
      <c r="P1373" s="2060"/>
      <c r="Q1373" s="2060"/>
      <c r="R1373" s="2060"/>
      <c r="S1373" s="2060"/>
      <c r="T1373" s="255"/>
      <c r="U1373" s="255"/>
      <c r="V1373" s="103"/>
    </row>
    <row r="1374" spans="2:22">
      <c r="B1374" s="2060"/>
      <c r="C1374" s="2060"/>
      <c r="D1374" s="2060"/>
      <c r="E1374" s="255"/>
      <c r="H1374" s="2060"/>
      <c r="I1374" s="2060"/>
      <c r="J1374" s="2060"/>
      <c r="K1374" s="2060"/>
      <c r="L1374" s="2060"/>
      <c r="M1374" s="2060"/>
      <c r="N1374" s="2060"/>
      <c r="O1374" s="2060"/>
      <c r="P1374" s="2060"/>
      <c r="Q1374" s="2060"/>
      <c r="R1374" s="2060"/>
      <c r="S1374" s="2060"/>
      <c r="T1374" s="255"/>
      <c r="U1374" s="255"/>
      <c r="V1374" s="103"/>
    </row>
    <row r="1375" spans="2:22">
      <c r="B1375" s="2060"/>
      <c r="C1375" s="2060"/>
      <c r="D1375" s="2060"/>
      <c r="E1375" s="255"/>
      <c r="H1375" s="2060"/>
      <c r="I1375" s="2060"/>
      <c r="J1375" s="2060"/>
      <c r="K1375" s="2060"/>
      <c r="L1375" s="2060"/>
      <c r="M1375" s="2060"/>
      <c r="N1375" s="2060"/>
      <c r="O1375" s="2060"/>
      <c r="P1375" s="2060"/>
      <c r="Q1375" s="2060"/>
      <c r="R1375" s="2060"/>
      <c r="S1375" s="2060"/>
      <c r="T1375" s="255"/>
      <c r="U1375" s="255"/>
      <c r="V1375" s="103"/>
    </row>
    <row r="1376" spans="2:22">
      <c r="B1376" s="2060"/>
      <c r="C1376" s="2060"/>
      <c r="D1376" s="2060"/>
      <c r="E1376" s="255"/>
      <c r="H1376" s="2060"/>
      <c r="I1376" s="2060"/>
      <c r="J1376" s="2060"/>
      <c r="K1376" s="2060"/>
      <c r="L1376" s="2060"/>
      <c r="M1376" s="2060"/>
      <c r="N1376" s="2060"/>
      <c r="O1376" s="2060"/>
      <c r="P1376" s="2060"/>
      <c r="Q1376" s="2060"/>
      <c r="R1376" s="2060"/>
      <c r="S1376" s="2060"/>
      <c r="T1376" s="255"/>
      <c r="U1376" s="255"/>
      <c r="V1376" s="103"/>
    </row>
    <row r="1377" spans="2:22">
      <c r="B1377" s="2060"/>
      <c r="C1377" s="2060"/>
      <c r="D1377" s="2060"/>
      <c r="E1377" s="255"/>
      <c r="H1377" s="2060"/>
      <c r="I1377" s="2060"/>
      <c r="J1377" s="2060"/>
      <c r="K1377" s="2060"/>
      <c r="L1377" s="2060"/>
      <c r="M1377" s="2060"/>
      <c r="N1377" s="2060"/>
      <c r="O1377" s="2060"/>
      <c r="P1377" s="2060"/>
      <c r="Q1377" s="2060"/>
      <c r="R1377" s="2060"/>
      <c r="S1377" s="2060"/>
      <c r="T1377" s="255"/>
      <c r="U1377" s="255"/>
      <c r="V1377" s="103"/>
    </row>
    <row r="1378" spans="2:22">
      <c r="B1378" s="2060"/>
      <c r="C1378" s="2060"/>
      <c r="D1378" s="2060"/>
      <c r="E1378" s="255"/>
      <c r="H1378" s="2060"/>
      <c r="I1378" s="2060"/>
      <c r="J1378" s="2060"/>
      <c r="K1378" s="2060"/>
      <c r="L1378" s="2060"/>
      <c r="M1378" s="2060"/>
      <c r="N1378" s="2060"/>
      <c r="O1378" s="2060"/>
      <c r="P1378" s="2060"/>
      <c r="Q1378" s="2060"/>
      <c r="R1378" s="2060"/>
      <c r="S1378" s="2060"/>
      <c r="T1378" s="255"/>
      <c r="U1378" s="255"/>
      <c r="V1378" s="255"/>
    </row>
    <row r="1379" spans="2:22">
      <c r="B1379" s="2060"/>
      <c r="C1379" s="2060"/>
      <c r="D1379" s="2060"/>
      <c r="E1379" s="255"/>
      <c r="H1379" s="2060"/>
      <c r="I1379" s="2060"/>
      <c r="J1379" s="2060"/>
      <c r="K1379" s="2060"/>
      <c r="L1379" s="2060"/>
      <c r="M1379" s="2060"/>
      <c r="N1379" s="2060"/>
      <c r="O1379" s="2060"/>
      <c r="P1379" s="2060"/>
      <c r="Q1379" s="2060"/>
      <c r="R1379" s="2060"/>
      <c r="S1379" s="2060"/>
      <c r="T1379" s="255"/>
      <c r="U1379" s="255"/>
      <c r="V1379" s="255"/>
    </row>
    <row r="1380" spans="2:22">
      <c r="B1380" s="2060"/>
      <c r="C1380" s="2060"/>
      <c r="D1380" s="2060"/>
      <c r="E1380" s="255"/>
      <c r="H1380" s="2060"/>
      <c r="I1380" s="2060"/>
      <c r="J1380" s="2060"/>
      <c r="K1380" s="2060"/>
      <c r="L1380" s="2060"/>
      <c r="M1380" s="2060"/>
      <c r="N1380" s="2060"/>
      <c r="O1380" s="2060"/>
      <c r="P1380" s="2060"/>
      <c r="Q1380" s="2060"/>
      <c r="R1380" s="2060"/>
      <c r="S1380" s="2060"/>
      <c r="T1380" s="255"/>
      <c r="U1380" s="255"/>
      <c r="V1380" s="255"/>
    </row>
    <row r="1381" spans="2:22">
      <c r="B1381" s="2060"/>
      <c r="C1381" s="2060"/>
      <c r="D1381" s="2060"/>
      <c r="E1381" s="255"/>
      <c r="H1381" s="2060"/>
      <c r="I1381" s="2060"/>
      <c r="J1381" s="2060"/>
      <c r="K1381" s="2060"/>
      <c r="L1381" s="2060"/>
      <c r="M1381" s="2060"/>
      <c r="N1381" s="2060"/>
      <c r="O1381" s="2060"/>
      <c r="P1381" s="2060"/>
      <c r="Q1381" s="2060"/>
      <c r="R1381" s="2060"/>
      <c r="S1381" s="2060"/>
      <c r="T1381" s="255"/>
      <c r="U1381" s="255"/>
      <c r="V1381" s="255"/>
    </row>
    <row r="1382" spans="2:22">
      <c r="B1382" s="2060"/>
      <c r="C1382" s="2060"/>
      <c r="D1382" s="2060"/>
      <c r="E1382" s="255"/>
      <c r="H1382" s="2060"/>
      <c r="I1382" s="2060"/>
      <c r="J1382" s="2060"/>
      <c r="K1382" s="2060"/>
      <c r="L1382" s="2060"/>
      <c r="M1382" s="2060"/>
      <c r="N1382" s="2060"/>
      <c r="O1382" s="2060"/>
      <c r="P1382" s="2060"/>
      <c r="Q1382" s="2060"/>
      <c r="R1382" s="2060"/>
      <c r="S1382" s="2060"/>
      <c r="T1382" s="255"/>
      <c r="U1382" s="255"/>
      <c r="V1382" s="255"/>
    </row>
    <row r="1383" spans="2:22">
      <c r="B1383" s="2060"/>
      <c r="C1383" s="2060"/>
      <c r="D1383" s="2060"/>
      <c r="E1383" s="255"/>
      <c r="H1383" s="2060"/>
      <c r="I1383" s="2060"/>
      <c r="J1383" s="2060"/>
      <c r="K1383" s="2060"/>
      <c r="L1383" s="2060"/>
      <c r="M1383" s="2060"/>
      <c r="N1383" s="2060"/>
      <c r="O1383" s="2060"/>
      <c r="P1383" s="2060"/>
      <c r="Q1383" s="2060"/>
      <c r="R1383" s="2060"/>
      <c r="S1383" s="2060"/>
      <c r="T1383" s="255"/>
      <c r="U1383" s="255"/>
      <c r="V1383" s="255"/>
    </row>
    <row r="1384" spans="2:22">
      <c r="B1384" s="2060"/>
      <c r="C1384" s="2060"/>
      <c r="D1384" s="2060"/>
      <c r="E1384" s="255"/>
      <c r="H1384" s="2060"/>
      <c r="I1384" s="2060"/>
      <c r="J1384" s="2060"/>
      <c r="K1384" s="2060"/>
      <c r="L1384" s="2060"/>
      <c r="M1384" s="2060"/>
      <c r="N1384" s="2060"/>
      <c r="O1384" s="2060"/>
      <c r="P1384" s="2060"/>
      <c r="Q1384" s="2060"/>
      <c r="R1384" s="2060"/>
      <c r="S1384" s="2060"/>
      <c r="T1384" s="255"/>
      <c r="U1384" s="255"/>
      <c r="V1384" s="255"/>
    </row>
    <row r="1385" spans="2:22">
      <c r="B1385" s="2060"/>
      <c r="C1385" s="2060"/>
      <c r="D1385" s="2060"/>
      <c r="E1385" s="255"/>
      <c r="H1385" s="2060"/>
      <c r="I1385" s="2060"/>
      <c r="J1385" s="2060"/>
      <c r="K1385" s="2060"/>
      <c r="L1385" s="2060"/>
      <c r="M1385" s="2060"/>
      <c r="N1385" s="2060"/>
      <c r="O1385" s="2060"/>
      <c r="P1385" s="2060"/>
      <c r="Q1385" s="2060"/>
      <c r="R1385" s="2060"/>
      <c r="S1385" s="2060"/>
      <c r="T1385" s="255"/>
      <c r="U1385" s="255"/>
      <c r="V1385" s="255"/>
    </row>
    <row r="1386" spans="2:22">
      <c r="B1386" s="2060"/>
      <c r="C1386" s="2060"/>
      <c r="D1386" s="2060"/>
      <c r="E1386" s="255"/>
      <c r="H1386" s="2060"/>
      <c r="I1386" s="2060"/>
      <c r="J1386" s="2060"/>
      <c r="K1386" s="2060"/>
      <c r="L1386" s="2060"/>
      <c r="M1386" s="2060"/>
      <c r="N1386" s="2060"/>
      <c r="O1386" s="2060"/>
      <c r="P1386" s="2060"/>
      <c r="Q1386" s="2060"/>
      <c r="R1386" s="2060"/>
      <c r="S1386" s="2060"/>
      <c r="T1386" s="255"/>
      <c r="U1386" s="255"/>
      <c r="V1386" s="255"/>
    </row>
    <row r="1387" spans="2:22">
      <c r="B1387" s="2060"/>
      <c r="C1387" s="2060"/>
      <c r="D1387" s="2060"/>
      <c r="E1387" s="255"/>
      <c r="H1387" s="2060"/>
      <c r="I1387" s="2060"/>
      <c r="J1387" s="2060"/>
      <c r="K1387" s="2060"/>
      <c r="L1387" s="2060"/>
      <c r="M1387" s="2060"/>
      <c r="N1387" s="2060"/>
      <c r="O1387" s="2060"/>
      <c r="P1387" s="2060"/>
      <c r="Q1387" s="2060"/>
      <c r="R1387" s="2060"/>
      <c r="S1387" s="2060"/>
      <c r="T1387" s="255"/>
      <c r="U1387" s="255"/>
      <c r="V1387" s="255"/>
    </row>
    <row r="1388" spans="2:22">
      <c r="B1388" s="2060"/>
      <c r="C1388" s="2060"/>
      <c r="D1388" s="2060"/>
      <c r="E1388" s="255"/>
      <c r="H1388" s="2060"/>
      <c r="I1388" s="2060"/>
      <c r="J1388" s="2060"/>
      <c r="K1388" s="2060"/>
      <c r="L1388" s="2060"/>
      <c r="M1388" s="2060"/>
      <c r="N1388" s="2060"/>
      <c r="O1388" s="2060"/>
      <c r="P1388" s="2060"/>
      <c r="Q1388" s="2060"/>
      <c r="R1388" s="2060"/>
      <c r="S1388" s="2060"/>
      <c r="T1388" s="255"/>
      <c r="U1388" s="255"/>
      <c r="V1388" s="255"/>
    </row>
    <row r="1389" spans="2:22">
      <c r="B1389" s="2060"/>
      <c r="C1389" s="2060"/>
      <c r="D1389" s="2060"/>
      <c r="E1389" s="255"/>
      <c r="H1389" s="2060"/>
      <c r="I1389" s="2060"/>
      <c r="J1389" s="2060"/>
      <c r="K1389" s="2060"/>
      <c r="L1389" s="2060"/>
      <c r="M1389" s="2060"/>
      <c r="N1389" s="2060"/>
      <c r="O1389" s="2060"/>
      <c r="P1389" s="2060"/>
      <c r="Q1389" s="2060"/>
      <c r="R1389" s="2060"/>
      <c r="S1389" s="2060"/>
      <c r="T1389" s="255"/>
      <c r="U1389" s="255"/>
      <c r="V1389" s="255"/>
    </row>
    <row r="1390" spans="2:22">
      <c r="B1390" s="2060"/>
      <c r="C1390" s="2060"/>
      <c r="D1390" s="2060"/>
      <c r="E1390" s="255"/>
      <c r="H1390" s="2060"/>
      <c r="I1390" s="2060"/>
      <c r="J1390" s="2060"/>
      <c r="K1390" s="2060"/>
      <c r="L1390" s="2060"/>
      <c r="M1390" s="2060"/>
      <c r="N1390" s="2060"/>
      <c r="O1390" s="2060"/>
      <c r="P1390" s="2060"/>
      <c r="Q1390" s="2060"/>
      <c r="R1390" s="2060"/>
      <c r="S1390" s="2060"/>
      <c r="T1390" s="255"/>
      <c r="U1390" s="255"/>
      <c r="V1390" s="255"/>
    </row>
    <row r="1391" spans="2:22">
      <c r="B1391" s="2060"/>
      <c r="C1391" s="2060"/>
      <c r="D1391" s="2060"/>
      <c r="E1391" s="255"/>
      <c r="H1391" s="2060"/>
      <c r="I1391" s="2060"/>
      <c r="J1391" s="2060"/>
      <c r="K1391" s="2060"/>
      <c r="L1391" s="2060"/>
      <c r="M1391" s="2060"/>
      <c r="N1391" s="2060"/>
      <c r="O1391" s="2060"/>
      <c r="P1391" s="2060"/>
      <c r="Q1391" s="2060"/>
      <c r="R1391" s="2060"/>
      <c r="S1391" s="2060"/>
      <c r="T1391" s="255"/>
      <c r="U1391" s="255"/>
      <c r="V1391" s="255"/>
    </row>
    <row r="1392" spans="2:22">
      <c r="B1392" s="2060"/>
      <c r="C1392" s="2060"/>
      <c r="D1392" s="2060"/>
      <c r="E1392" s="255"/>
      <c r="H1392" s="2060"/>
      <c r="I1392" s="2060"/>
      <c r="J1392" s="2060"/>
      <c r="K1392" s="2060"/>
      <c r="L1392" s="2060"/>
      <c r="M1392" s="2060"/>
      <c r="N1392" s="2060"/>
      <c r="O1392" s="2060"/>
      <c r="P1392" s="2060"/>
      <c r="Q1392" s="2060"/>
      <c r="R1392" s="2060"/>
      <c r="S1392" s="2060"/>
      <c r="T1392" s="255"/>
      <c r="U1392" s="255"/>
      <c r="V1392" s="255"/>
    </row>
    <row r="1393" spans="2:19">
      <c r="B1393" s="2060"/>
      <c r="C1393" s="2060"/>
      <c r="D1393" s="2060"/>
      <c r="E1393" s="255"/>
      <c r="H1393" s="2060"/>
      <c r="I1393" s="2060"/>
      <c r="J1393" s="2060"/>
      <c r="K1393" s="2060"/>
      <c r="L1393" s="2060"/>
      <c r="M1393" s="2060"/>
      <c r="N1393" s="2060"/>
      <c r="O1393" s="2060"/>
      <c r="P1393" s="2060"/>
      <c r="Q1393" s="2060"/>
      <c r="R1393" s="2060"/>
      <c r="S1393" s="2060"/>
    </row>
    <row r="1394" spans="2:19">
      <c r="B1394" s="2060"/>
      <c r="C1394" s="2060"/>
      <c r="D1394" s="2060"/>
      <c r="E1394" s="255"/>
      <c r="H1394" s="2060"/>
      <c r="I1394" s="2060"/>
      <c r="J1394" s="2060"/>
      <c r="K1394" s="2060"/>
      <c r="L1394" s="2060"/>
      <c r="M1394" s="2060"/>
      <c r="N1394" s="2060"/>
      <c r="O1394" s="2060"/>
      <c r="P1394" s="2060"/>
      <c r="Q1394" s="2060"/>
      <c r="R1394" s="2060"/>
      <c r="S1394" s="2060"/>
    </row>
    <row r="1395" spans="2:19">
      <c r="B1395" s="2060"/>
      <c r="C1395" s="2060"/>
      <c r="D1395" s="2060"/>
      <c r="E1395" s="255"/>
      <c r="H1395" s="2060"/>
      <c r="I1395" s="2060"/>
      <c r="J1395" s="2060"/>
      <c r="K1395" s="2060"/>
      <c r="L1395" s="2060"/>
      <c r="M1395" s="2060"/>
      <c r="N1395" s="2060"/>
      <c r="O1395" s="2060"/>
      <c r="P1395" s="2060"/>
      <c r="Q1395" s="2060"/>
      <c r="R1395" s="2060"/>
      <c r="S1395" s="2060"/>
    </row>
    <row r="1396" spans="2:19">
      <c r="B1396" s="2060"/>
      <c r="C1396" s="2060"/>
      <c r="D1396" s="2060"/>
      <c r="E1396" s="255"/>
      <c r="H1396" s="2060"/>
      <c r="I1396" s="2060"/>
      <c r="J1396" s="2060"/>
      <c r="K1396" s="2060"/>
      <c r="L1396" s="2060"/>
      <c r="M1396" s="2060"/>
      <c r="N1396" s="2060"/>
      <c r="O1396" s="2060"/>
      <c r="P1396" s="2060"/>
      <c r="Q1396" s="2060"/>
      <c r="R1396" s="2060"/>
      <c r="S1396" s="2060"/>
    </row>
    <row r="1397" spans="2:19">
      <c r="B1397" s="2060"/>
      <c r="C1397" s="2060"/>
      <c r="D1397" s="2060"/>
      <c r="E1397" s="255"/>
      <c r="H1397" s="2060"/>
      <c r="I1397" s="2060"/>
      <c r="J1397" s="2060"/>
      <c r="K1397" s="2060"/>
      <c r="L1397" s="2060"/>
      <c r="M1397" s="2060"/>
      <c r="N1397" s="2060"/>
      <c r="O1397" s="2060"/>
      <c r="P1397" s="2060"/>
      <c r="Q1397" s="2060"/>
      <c r="R1397" s="2060"/>
      <c r="S1397" s="2060"/>
    </row>
    <row r="1398" spans="2:19">
      <c r="B1398" s="2060"/>
      <c r="C1398" s="2060"/>
      <c r="D1398" s="2060"/>
      <c r="E1398" s="255"/>
      <c r="H1398" s="2060"/>
      <c r="I1398" s="2060"/>
      <c r="J1398" s="2060"/>
      <c r="K1398" s="2060"/>
      <c r="L1398" s="2060"/>
      <c r="M1398" s="2060"/>
      <c r="N1398" s="2060"/>
      <c r="O1398" s="2060"/>
      <c r="P1398" s="2060"/>
      <c r="Q1398" s="2060"/>
      <c r="R1398" s="2060"/>
      <c r="S1398" s="2060"/>
    </row>
    <row r="1399" spans="2:19">
      <c r="B1399" s="2060"/>
      <c r="C1399" s="2060"/>
      <c r="D1399" s="2060"/>
      <c r="E1399" s="255"/>
      <c r="H1399" s="2060"/>
      <c r="I1399" s="2060"/>
      <c r="J1399" s="2060"/>
      <c r="K1399" s="2060"/>
      <c r="L1399" s="2060"/>
      <c r="M1399" s="2060"/>
      <c r="N1399" s="2060"/>
      <c r="O1399" s="2060"/>
      <c r="P1399" s="2060"/>
      <c r="Q1399" s="2060"/>
      <c r="R1399" s="2060"/>
      <c r="S1399" s="2060"/>
    </row>
    <row r="1400" spans="2:19">
      <c r="B1400" s="2060"/>
      <c r="C1400" s="2060"/>
      <c r="D1400" s="2060"/>
      <c r="E1400" s="255"/>
      <c r="H1400" s="2060"/>
      <c r="I1400" s="2060"/>
      <c r="J1400" s="2060"/>
      <c r="K1400" s="2060"/>
      <c r="L1400" s="2060"/>
      <c r="M1400" s="2060"/>
      <c r="N1400" s="2060"/>
      <c r="O1400" s="2060"/>
      <c r="P1400" s="2060"/>
      <c r="Q1400" s="2060"/>
      <c r="R1400" s="2060"/>
      <c r="S1400" s="2060"/>
    </row>
    <row r="1401" spans="2:19">
      <c r="B1401" s="2060"/>
      <c r="C1401" s="2060"/>
      <c r="D1401" s="2060"/>
      <c r="E1401" s="255"/>
      <c r="H1401" s="2060"/>
      <c r="I1401" s="2060"/>
      <c r="J1401" s="2060"/>
      <c r="K1401" s="2060"/>
      <c r="L1401" s="2060"/>
      <c r="M1401" s="2060"/>
      <c r="N1401" s="2060"/>
      <c r="O1401" s="2060"/>
      <c r="P1401" s="2060"/>
      <c r="Q1401" s="2060"/>
      <c r="R1401" s="2060"/>
      <c r="S1401" s="2060"/>
    </row>
    <row r="1402" spans="2:19">
      <c r="B1402" s="2060"/>
      <c r="C1402" s="2060"/>
      <c r="D1402" s="2060"/>
      <c r="E1402" s="255"/>
      <c r="H1402" s="2060"/>
      <c r="I1402" s="2060"/>
      <c r="J1402" s="2060"/>
      <c r="K1402" s="2060"/>
      <c r="L1402" s="2060"/>
      <c r="M1402" s="2060"/>
      <c r="N1402" s="2060"/>
      <c r="O1402" s="2060"/>
      <c r="P1402" s="2060"/>
      <c r="Q1402" s="2060"/>
      <c r="R1402" s="2060"/>
      <c r="S1402" s="2060"/>
    </row>
    <row r="1403" spans="2:19">
      <c r="B1403" s="2060"/>
      <c r="C1403" s="2060"/>
      <c r="D1403" s="2060"/>
      <c r="E1403" s="255"/>
      <c r="H1403" s="2060"/>
      <c r="I1403" s="2060"/>
      <c r="J1403" s="2060"/>
      <c r="K1403" s="2060"/>
      <c r="L1403" s="2060"/>
      <c r="M1403" s="2060"/>
      <c r="N1403" s="2060"/>
      <c r="O1403" s="2060"/>
      <c r="P1403" s="2060"/>
      <c r="Q1403" s="2060"/>
      <c r="R1403" s="2060"/>
      <c r="S1403" s="2060"/>
    </row>
    <row r="1404" spans="2:19">
      <c r="B1404" s="2060"/>
      <c r="C1404" s="2060"/>
      <c r="D1404" s="2060"/>
      <c r="E1404" s="255"/>
      <c r="H1404" s="2060"/>
      <c r="I1404" s="2060"/>
      <c r="J1404" s="2060"/>
      <c r="K1404" s="2060"/>
      <c r="L1404" s="2060"/>
      <c r="M1404" s="2060"/>
      <c r="N1404" s="2060"/>
      <c r="O1404" s="2060"/>
      <c r="P1404" s="2060"/>
      <c r="Q1404" s="2060"/>
      <c r="R1404" s="2060"/>
      <c r="S1404" s="2060"/>
    </row>
    <row r="1405" spans="2:19">
      <c r="B1405" s="2060"/>
      <c r="C1405" s="2060"/>
      <c r="D1405" s="2060"/>
      <c r="E1405" s="255"/>
      <c r="H1405" s="2060"/>
      <c r="I1405" s="2060"/>
      <c r="J1405" s="2060"/>
      <c r="K1405" s="2060"/>
      <c r="L1405" s="2060"/>
      <c r="M1405" s="2060"/>
      <c r="N1405" s="2060"/>
      <c r="O1405" s="2060"/>
      <c r="P1405" s="2060"/>
      <c r="Q1405" s="2060"/>
      <c r="R1405" s="2060"/>
      <c r="S1405" s="2060"/>
    </row>
    <row r="1406" spans="2:19">
      <c r="B1406" s="2060"/>
      <c r="C1406" s="2060"/>
      <c r="D1406" s="2060"/>
      <c r="E1406" s="255"/>
      <c r="H1406" s="2060"/>
      <c r="I1406" s="2060"/>
      <c r="J1406" s="2060"/>
      <c r="K1406" s="2060"/>
      <c r="L1406" s="2060"/>
      <c r="M1406" s="2060"/>
      <c r="N1406" s="2060"/>
      <c r="O1406" s="2060"/>
      <c r="P1406" s="2060"/>
      <c r="Q1406" s="2060"/>
      <c r="R1406" s="2060"/>
      <c r="S1406" s="2060"/>
    </row>
    <row r="1407" spans="2:19">
      <c r="B1407" s="2060"/>
      <c r="C1407" s="2060"/>
      <c r="D1407" s="2060"/>
      <c r="E1407" s="255"/>
      <c r="H1407" s="2060"/>
      <c r="I1407" s="2060"/>
      <c r="J1407" s="2060"/>
      <c r="K1407" s="2060"/>
      <c r="L1407" s="2060"/>
      <c r="M1407" s="2060"/>
      <c r="N1407" s="2060"/>
      <c r="O1407" s="2060"/>
      <c r="P1407" s="2060"/>
      <c r="Q1407" s="2060"/>
      <c r="R1407" s="2060"/>
      <c r="S1407" s="2060"/>
    </row>
    <row r="1408" spans="2:19">
      <c r="B1408" s="2060"/>
      <c r="C1408" s="2060"/>
      <c r="D1408" s="2060"/>
      <c r="E1408" s="255"/>
      <c r="H1408" s="2060"/>
      <c r="I1408" s="2060"/>
      <c r="J1408" s="2060"/>
      <c r="K1408" s="2060"/>
      <c r="L1408" s="2060"/>
      <c r="M1408" s="2060"/>
      <c r="N1408" s="2060"/>
      <c r="O1408" s="2060"/>
      <c r="P1408" s="2060"/>
      <c r="Q1408" s="2060"/>
      <c r="R1408" s="2060"/>
      <c r="S1408" s="2060"/>
    </row>
    <row r="1409" spans="2:19">
      <c r="B1409" s="2060"/>
      <c r="C1409" s="2060"/>
      <c r="D1409" s="2060"/>
      <c r="E1409" s="255"/>
      <c r="H1409" s="2060"/>
      <c r="I1409" s="2060"/>
      <c r="J1409" s="2060"/>
      <c r="K1409" s="2060"/>
      <c r="L1409" s="2060"/>
      <c r="M1409" s="2060"/>
      <c r="N1409" s="2060"/>
      <c r="O1409" s="2060"/>
      <c r="P1409" s="2060"/>
      <c r="Q1409" s="2060"/>
      <c r="R1409" s="2060"/>
      <c r="S1409" s="2060"/>
    </row>
    <row r="1410" spans="2:19">
      <c r="B1410" s="2060"/>
      <c r="C1410" s="2060"/>
      <c r="D1410" s="2060"/>
      <c r="E1410" s="255"/>
      <c r="H1410" s="2060"/>
      <c r="I1410" s="2060"/>
      <c r="J1410" s="2060"/>
      <c r="K1410" s="2060"/>
      <c r="L1410" s="2060"/>
      <c r="M1410" s="2060"/>
      <c r="N1410" s="2060"/>
      <c r="O1410" s="2060"/>
      <c r="P1410" s="2060"/>
      <c r="Q1410" s="2060"/>
      <c r="R1410" s="2060"/>
      <c r="S1410" s="2060"/>
    </row>
    <row r="1411" spans="2:19">
      <c r="B1411" s="2060"/>
      <c r="C1411" s="2060"/>
      <c r="D1411" s="2060"/>
      <c r="E1411" s="255"/>
      <c r="H1411" s="2060"/>
      <c r="I1411" s="2060"/>
      <c r="J1411" s="2060"/>
      <c r="K1411" s="2060"/>
      <c r="L1411" s="2060"/>
      <c r="M1411" s="2060"/>
      <c r="N1411" s="2060"/>
      <c r="O1411" s="2060"/>
      <c r="P1411" s="2060"/>
      <c r="Q1411" s="2060"/>
      <c r="R1411" s="2060"/>
      <c r="S1411" s="2060"/>
    </row>
    <row r="1412" spans="2:19">
      <c r="B1412" s="2060"/>
      <c r="C1412" s="2060"/>
      <c r="D1412" s="2060"/>
      <c r="E1412" s="255"/>
      <c r="H1412" s="2060"/>
      <c r="I1412" s="2060"/>
      <c r="J1412" s="2060"/>
      <c r="K1412" s="2060"/>
      <c r="L1412" s="2060"/>
      <c r="M1412" s="2060"/>
      <c r="N1412" s="2060"/>
      <c r="O1412" s="2060"/>
      <c r="P1412" s="2060"/>
      <c r="Q1412" s="2060"/>
      <c r="R1412" s="2060"/>
      <c r="S1412" s="2060"/>
    </row>
    <row r="1413" spans="2:19">
      <c r="B1413" s="2060"/>
      <c r="C1413" s="2060"/>
      <c r="D1413" s="2060"/>
      <c r="E1413" s="255"/>
      <c r="H1413" s="2060"/>
      <c r="I1413" s="2060"/>
      <c r="J1413" s="2060"/>
      <c r="K1413" s="2060"/>
      <c r="L1413" s="2060"/>
      <c r="M1413" s="2060"/>
      <c r="N1413" s="2060"/>
      <c r="O1413" s="2060"/>
      <c r="P1413" s="2060"/>
      <c r="Q1413" s="2060"/>
      <c r="R1413" s="2060"/>
      <c r="S1413" s="2060"/>
    </row>
    <row r="1414" spans="2:19">
      <c r="B1414" s="2060"/>
      <c r="C1414" s="2060"/>
      <c r="D1414" s="2060"/>
      <c r="E1414" s="255"/>
      <c r="H1414" s="2060"/>
      <c r="I1414" s="2060"/>
      <c r="J1414" s="2060"/>
      <c r="K1414" s="2060"/>
      <c r="L1414" s="2060"/>
      <c r="M1414" s="2060"/>
      <c r="N1414" s="2060"/>
      <c r="O1414" s="2060"/>
      <c r="P1414" s="2060"/>
      <c r="Q1414" s="2060"/>
      <c r="R1414" s="2060"/>
      <c r="S1414" s="2060"/>
    </row>
    <row r="1415" spans="2:19">
      <c r="B1415" s="2060"/>
      <c r="C1415" s="2060"/>
      <c r="D1415" s="2060"/>
      <c r="E1415" s="255"/>
      <c r="H1415" s="2060"/>
      <c r="I1415" s="2060"/>
      <c r="J1415" s="2060"/>
      <c r="K1415" s="2060"/>
      <c r="L1415" s="2060"/>
      <c r="M1415" s="2060"/>
      <c r="N1415" s="2060"/>
      <c r="O1415" s="2060"/>
      <c r="P1415" s="2060"/>
      <c r="Q1415" s="2060"/>
      <c r="R1415" s="2060"/>
      <c r="S1415" s="2060"/>
    </row>
    <row r="1416" spans="2:19">
      <c r="B1416" s="2060"/>
      <c r="C1416" s="2060"/>
      <c r="D1416" s="2060"/>
      <c r="E1416" s="255"/>
      <c r="H1416" s="2060"/>
      <c r="I1416" s="2060"/>
      <c r="J1416" s="2060"/>
      <c r="K1416" s="2060"/>
      <c r="L1416" s="2060"/>
      <c r="M1416" s="2060"/>
      <c r="N1416" s="2060"/>
      <c r="O1416" s="2060"/>
      <c r="P1416" s="2060"/>
      <c r="Q1416" s="2060"/>
      <c r="R1416" s="2060"/>
      <c r="S1416" s="2060"/>
    </row>
    <row r="1417" spans="2:19">
      <c r="B1417" s="2060"/>
      <c r="C1417" s="2060"/>
      <c r="D1417" s="2060"/>
      <c r="E1417" s="255"/>
      <c r="H1417" s="2060"/>
      <c r="I1417" s="2060"/>
      <c r="J1417" s="2060"/>
      <c r="K1417" s="2060"/>
      <c r="L1417" s="2060"/>
      <c r="M1417" s="2060"/>
      <c r="N1417" s="2060"/>
      <c r="O1417" s="2060"/>
      <c r="P1417" s="2060"/>
      <c r="Q1417" s="2060"/>
      <c r="R1417" s="2060"/>
      <c r="S1417" s="2060"/>
    </row>
    <row r="1418" spans="2:19">
      <c r="B1418" s="2060"/>
      <c r="C1418" s="2060"/>
      <c r="D1418" s="2060"/>
      <c r="E1418" s="255"/>
      <c r="H1418" s="2060"/>
      <c r="I1418" s="2060"/>
      <c r="J1418" s="2060"/>
      <c r="K1418" s="2060"/>
      <c r="L1418" s="2060"/>
      <c r="M1418" s="2060"/>
      <c r="N1418" s="2060"/>
      <c r="O1418" s="2060"/>
      <c r="P1418" s="2060"/>
      <c r="Q1418" s="2060"/>
      <c r="R1418" s="2060"/>
      <c r="S1418" s="2060"/>
    </row>
    <row r="1419" spans="2:19">
      <c r="B1419" s="2060"/>
      <c r="C1419" s="2060"/>
      <c r="D1419" s="2060"/>
      <c r="E1419" s="255"/>
      <c r="H1419" s="2060"/>
      <c r="I1419" s="2060"/>
      <c r="J1419" s="2060"/>
      <c r="K1419" s="2060"/>
      <c r="L1419" s="2060"/>
      <c r="M1419" s="2060"/>
      <c r="N1419" s="2060"/>
      <c r="O1419" s="2060"/>
      <c r="P1419" s="2060"/>
      <c r="Q1419" s="2060"/>
      <c r="R1419" s="2060"/>
      <c r="S1419" s="2060"/>
    </row>
    <row r="1420" spans="2:19">
      <c r="B1420" s="2060"/>
      <c r="C1420" s="2060"/>
      <c r="D1420" s="2060"/>
      <c r="E1420" s="255"/>
      <c r="H1420" s="2060"/>
      <c r="I1420" s="2060"/>
      <c r="J1420" s="2060"/>
      <c r="K1420" s="2060"/>
      <c r="L1420" s="2060"/>
      <c r="M1420" s="2060"/>
      <c r="N1420" s="2060"/>
      <c r="O1420" s="2060"/>
      <c r="P1420" s="2060"/>
      <c r="Q1420" s="2060"/>
      <c r="R1420" s="2060"/>
      <c r="S1420" s="2060"/>
    </row>
    <row r="1421" spans="2:19">
      <c r="B1421" s="2060"/>
      <c r="C1421" s="2060"/>
      <c r="D1421" s="2060"/>
      <c r="E1421" s="255"/>
      <c r="H1421" s="2060"/>
      <c r="I1421" s="2060"/>
      <c r="J1421" s="2060"/>
      <c r="K1421" s="2060"/>
      <c r="L1421" s="2060"/>
      <c r="M1421" s="2060"/>
      <c r="N1421" s="2060"/>
      <c r="O1421" s="2060"/>
      <c r="P1421" s="2060"/>
      <c r="Q1421" s="2060"/>
      <c r="R1421" s="2060"/>
      <c r="S1421" s="2060"/>
    </row>
    <row r="1422" spans="2:19">
      <c r="B1422" s="2060"/>
      <c r="C1422" s="2060"/>
      <c r="D1422" s="2060"/>
      <c r="E1422" s="255"/>
      <c r="H1422" s="2060"/>
      <c r="I1422" s="2060"/>
      <c r="J1422" s="2060"/>
      <c r="K1422" s="2060"/>
      <c r="L1422" s="2060"/>
      <c r="M1422" s="2060"/>
      <c r="N1422" s="2060"/>
      <c r="O1422" s="2060"/>
      <c r="P1422" s="2060"/>
      <c r="Q1422" s="2060"/>
      <c r="R1422" s="2060"/>
      <c r="S1422" s="2060"/>
    </row>
    <row r="1423" spans="2:19">
      <c r="B1423" s="2060"/>
      <c r="C1423" s="2060"/>
      <c r="D1423" s="2060"/>
      <c r="E1423" s="255"/>
      <c r="H1423" s="2060"/>
      <c r="I1423" s="2060"/>
      <c r="J1423" s="2060"/>
      <c r="K1423" s="2060"/>
      <c r="L1423" s="2060"/>
      <c r="M1423" s="2060"/>
      <c r="N1423" s="2060"/>
      <c r="O1423" s="2060"/>
      <c r="P1423" s="2060"/>
      <c r="Q1423" s="2060"/>
      <c r="R1423" s="2060"/>
      <c r="S1423" s="2060"/>
    </row>
    <row r="1424" spans="2:19">
      <c r="B1424" s="2060"/>
      <c r="C1424" s="2060"/>
      <c r="D1424" s="2060"/>
      <c r="E1424" s="255"/>
      <c r="H1424" s="2060"/>
      <c r="I1424" s="2060"/>
      <c r="J1424" s="2060"/>
      <c r="K1424" s="2060"/>
      <c r="L1424" s="2060"/>
      <c r="M1424" s="2060"/>
      <c r="N1424" s="2060"/>
      <c r="O1424" s="2060"/>
      <c r="P1424" s="2060"/>
      <c r="Q1424" s="2060"/>
      <c r="R1424" s="2060"/>
      <c r="S1424" s="2060"/>
    </row>
    <row r="1425" spans="2:19">
      <c r="B1425" s="2060"/>
      <c r="C1425" s="2060"/>
      <c r="D1425" s="2060"/>
      <c r="E1425" s="255"/>
      <c r="H1425" s="2060"/>
      <c r="I1425" s="2060"/>
      <c r="J1425" s="2060"/>
      <c r="K1425" s="2060"/>
      <c r="L1425" s="2060"/>
      <c r="M1425" s="2060"/>
      <c r="N1425" s="2060"/>
      <c r="O1425" s="2060"/>
      <c r="P1425" s="2060"/>
      <c r="Q1425" s="2060"/>
      <c r="R1425" s="2060"/>
      <c r="S1425" s="2060"/>
    </row>
    <row r="1426" spans="2:19">
      <c r="B1426" s="2060"/>
      <c r="C1426" s="2060"/>
      <c r="D1426" s="2060"/>
      <c r="E1426" s="255"/>
      <c r="H1426" s="2060"/>
      <c r="I1426" s="2060"/>
      <c r="J1426" s="2060"/>
      <c r="K1426" s="2060"/>
      <c r="L1426" s="2060"/>
      <c r="M1426" s="2060"/>
      <c r="N1426" s="2060"/>
      <c r="O1426" s="2060"/>
      <c r="P1426" s="2060"/>
      <c r="Q1426" s="2060"/>
      <c r="R1426" s="2060"/>
      <c r="S1426" s="2060"/>
    </row>
    <row r="1427" spans="2:19">
      <c r="B1427" s="2060"/>
      <c r="C1427" s="2060"/>
      <c r="D1427" s="2060"/>
      <c r="E1427" s="255"/>
      <c r="H1427" s="2060"/>
      <c r="I1427" s="2060"/>
      <c r="J1427" s="2060"/>
      <c r="K1427" s="2060"/>
      <c r="L1427" s="2060"/>
      <c r="M1427" s="2060"/>
      <c r="N1427" s="2060"/>
      <c r="O1427" s="2060"/>
      <c r="P1427" s="2060"/>
      <c r="Q1427" s="2060"/>
      <c r="R1427" s="2060"/>
      <c r="S1427" s="2060"/>
    </row>
    <row r="1428" spans="2:19">
      <c r="B1428" s="2060"/>
      <c r="C1428" s="2060"/>
      <c r="D1428" s="2060"/>
      <c r="E1428" s="255"/>
      <c r="H1428" s="2060"/>
      <c r="I1428" s="2060"/>
      <c r="J1428" s="2060"/>
      <c r="K1428" s="2060"/>
      <c r="L1428" s="2060"/>
      <c r="M1428" s="2060"/>
      <c r="N1428" s="2060"/>
      <c r="O1428" s="2060"/>
      <c r="P1428" s="2060"/>
      <c r="Q1428" s="2060"/>
      <c r="R1428" s="2060"/>
      <c r="S1428" s="2060"/>
    </row>
    <row r="1429" spans="2:19">
      <c r="B1429" s="2060"/>
      <c r="C1429" s="2060"/>
      <c r="D1429" s="2060"/>
      <c r="E1429" s="255"/>
      <c r="H1429" s="2060"/>
      <c r="I1429" s="2060"/>
      <c r="J1429" s="2060"/>
      <c r="K1429" s="2060"/>
      <c r="L1429" s="2060"/>
      <c r="M1429" s="2060"/>
      <c r="N1429" s="2060"/>
      <c r="O1429" s="2060"/>
      <c r="P1429" s="2060"/>
      <c r="Q1429" s="2060"/>
      <c r="R1429" s="2060"/>
      <c r="S1429" s="2060"/>
    </row>
    <row r="1430" spans="2:19">
      <c r="B1430" s="2060"/>
      <c r="C1430" s="2060"/>
      <c r="D1430" s="2060"/>
      <c r="E1430" s="255"/>
      <c r="H1430" s="2060"/>
      <c r="I1430" s="2060"/>
      <c r="J1430" s="2060"/>
      <c r="K1430" s="2060"/>
      <c r="L1430" s="2060"/>
      <c r="M1430" s="2060"/>
      <c r="N1430" s="2060"/>
      <c r="O1430" s="2060"/>
      <c r="P1430" s="2060"/>
      <c r="Q1430" s="2060"/>
      <c r="R1430" s="2060"/>
      <c r="S1430" s="2060"/>
    </row>
    <row r="1431" spans="2:19">
      <c r="B1431" s="2060"/>
      <c r="C1431" s="2060"/>
      <c r="D1431" s="2060"/>
      <c r="E1431" s="255"/>
      <c r="H1431" s="2060"/>
      <c r="I1431" s="2060"/>
      <c r="J1431" s="2060"/>
      <c r="K1431" s="2060"/>
      <c r="L1431" s="2060"/>
      <c r="M1431" s="2060"/>
      <c r="N1431" s="2060"/>
      <c r="O1431" s="2060"/>
      <c r="P1431" s="2060"/>
      <c r="Q1431" s="2060"/>
      <c r="R1431" s="2060"/>
      <c r="S1431" s="2060"/>
    </row>
    <row r="1432" spans="2:19">
      <c r="B1432" s="2060"/>
      <c r="C1432" s="2060"/>
      <c r="D1432" s="2060"/>
      <c r="E1432" s="255"/>
      <c r="H1432" s="2060"/>
      <c r="I1432" s="2060"/>
      <c r="J1432" s="2060"/>
      <c r="K1432" s="2060"/>
      <c r="L1432" s="2060"/>
      <c r="M1432" s="2060"/>
      <c r="N1432" s="2060"/>
      <c r="O1432" s="2060"/>
      <c r="P1432" s="2060"/>
      <c r="Q1432" s="2060"/>
      <c r="R1432" s="2060"/>
      <c r="S1432" s="2060"/>
    </row>
    <row r="1433" spans="2:19">
      <c r="B1433" s="2060"/>
      <c r="C1433" s="2060"/>
      <c r="D1433" s="2060"/>
      <c r="E1433" s="255"/>
      <c r="H1433" s="2060"/>
      <c r="I1433" s="2060"/>
      <c r="J1433" s="2060"/>
      <c r="K1433" s="2060"/>
      <c r="L1433" s="2060"/>
      <c r="M1433" s="2060"/>
      <c r="N1433" s="2060"/>
      <c r="O1433" s="2060"/>
      <c r="P1433" s="2060"/>
      <c r="Q1433" s="2060"/>
      <c r="R1433" s="2060"/>
      <c r="S1433" s="2060"/>
    </row>
    <row r="1434" spans="2:19">
      <c r="B1434" s="2060"/>
      <c r="C1434" s="2060"/>
      <c r="D1434" s="2060"/>
      <c r="E1434" s="255"/>
      <c r="H1434" s="2060"/>
      <c r="I1434" s="2060"/>
      <c r="J1434" s="2060"/>
      <c r="K1434" s="2060"/>
      <c r="L1434" s="2060"/>
      <c r="M1434" s="2060"/>
      <c r="N1434" s="2060"/>
      <c r="O1434" s="2060"/>
      <c r="P1434" s="2060"/>
      <c r="Q1434" s="2060"/>
      <c r="R1434" s="2060"/>
      <c r="S1434" s="2060"/>
    </row>
    <row r="1435" spans="2:19">
      <c r="B1435" s="2060"/>
      <c r="C1435" s="2060"/>
      <c r="D1435" s="2060"/>
      <c r="E1435" s="255"/>
      <c r="H1435" s="2060"/>
      <c r="I1435" s="2060"/>
      <c r="J1435" s="2060"/>
      <c r="K1435" s="2060"/>
      <c r="L1435" s="2060"/>
      <c r="M1435" s="2060"/>
      <c r="N1435" s="2060"/>
      <c r="O1435" s="2060"/>
      <c r="P1435" s="2060"/>
      <c r="Q1435" s="2060"/>
      <c r="R1435" s="2060"/>
      <c r="S1435" s="2060"/>
    </row>
    <row r="1436" spans="2:19">
      <c r="B1436" s="2060"/>
      <c r="C1436" s="2060"/>
      <c r="D1436" s="2060"/>
      <c r="E1436" s="255"/>
      <c r="H1436" s="2060"/>
      <c r="I1436" s="2060"/>
      <c r="J1436" s="2060"/>
      <c r="K1436" s="2060"/>
      <c r="L1436" s="2060"/>
      <c r="M1436" s="2060"/>
      <c r="N1436" s="2060"/>
      <c r="O1436" s="2060"/>
      <c r="P1436" s="2060"/>
      <c r="Q1436" s="2060"/>
      <c r="R1436" s="2060"/>
      <c r="S1436" s="2060"/>
    </row>
    <row r="1437" spans="2:19">
      <c r="B1437" s="2060"/>
      <c r="C1437" s="2060"/>
      <c r="D1437" s="2060"/>
      <c r="E1437" s="255"/>
      <c r="H1437" s="2060"/>
      <c r="I1437" s="2060"/>
      <c r="J1437" s="2060"/>
      <c r="K1437" s="2060"/>
      <c r="L1437" s="2060"/>
      <c r="M1437" s="2060"/>
      <c r="N1437" s="2060"/>
      <c r="O1437" s="2060"/>
      <c r="P1437" s="2060"/>
      <c r="Q1437" s="2060"/>
      <c r="R1437" s="2060"/>
      <c r="S1437" s="2060"/>
    </row>
    <row r="1438" spans="2:19">
      <c r="B1438" s="2060"/>
      <c r="C1438" s="2060"/>
      <c r="D1438" s="2060"/>
      <c r="E1438" s="255"/>
      <c r="H1438" s="2060"/>
      <c r="I1438" s="2060"/>
      <c r="J1438" s="2060"/>
      <c r="K1438" s="2060"/>
      <c r="L1438" s="2060"/>
      <c r="M1438" s="2060"/>
      <c r="N1438" s="2060"/>
      <c r="O1438" s="2060"/>
      <c r="P1438" s="2060"/>
      <c r="Q1438" s="2060"/>
      <c r="R1438" s="2060"/>
      <c r="S1438" s="2060"/>
    </row>
    <row r="1439" spans="2:19">
      <c r="B1439" s="2060"/>
      <c r="C1439" s="2060"/>
      <c r="D1439" s="2060"/>
      <c r="E1439" s="255"/>
      <c r="H1439" s="2060"/>
      <c r="I1439" s="2060"/>
      <c r="J1439" s="2060"/>
      <c r="K1439" s="2060"/>
      <c r="L1439" s="2060"/>
      <c r="M1439" s="2060"/>
      <c r="N1439" s="2060"/>
      <c r="O1439" s="2060"/>
      <c r="P1439" s="2060"/>
      <c r="Q1439" s="2060"/>
      <c r="R1439" s="2060"/>
      <c r="S1439" s="2060"/>
    </row>
    <row r="1440" spans="2:19">
      <c r="B1440" s="2060"/>
      <c r="C1440" s="2060"/>
      <c r="D1440" s="2060"/>
      <c r="E1440" s="255"/>
      <c r="H1440" s="2060"/>
      <c r="I1440" s="2060"/>
      <c r="J1440" s="2060"/>
      <c r="K1440" s="2060"/>
      <c r="L1440" s="2060"/>
      <c r="M1440" s="2060"/>
      <c r="N1440" s="2060"/>
      <c r="O1440" s="2060"/>
      <c r="P1440" s="2060"/>
      <c r="Q1440" s="2060"/>
      <c r="R1440" s="2060"/>
      <c r="S1440" s="2060"/>
    </row>
    <row r="1441" spans="2:19">
      <c r="B1441" s="2060"/>
      <c r="C1441" s="2060"/>
      <c r="D1441" s="2060"/>
      <c r="E1441" s="255"/>
      <c r="H1441" s="2060"/>
      <c r="I1441" s="2060"/>
      <c r="J1441" s="2060"/>
      <c r="K1441" s="2060"/>
      <c r="L1441" s="2060"/>
      <c r="M1441" s="2060"/>
      <c r="N1441" s="2060"/>
      <c r="O1441" s="2060"/>
      <c r="P1441" s="2060"/>
      <c r="Q1441" s="2060"/>
      <c r="R1441" s="2060"/>
      <c r="S1441" s="2060"/>
    </row>
    <row r="1442" spans="2:19">
      <c r="B1442" s="2060"/>
      <c r="C1442" s="2060"/>
      <c r="D1442" s="2060"/>
      <c r="E1442" s="255"/>
      <c r="H1442" s="2060"/>
      <c r="I1442" s="2060"/>
      <c r="J1442" s="2060"/>
      <c r="K1442" s="2060"/>
      <c r="L1442" s="2060"/>
      <c r="M1442" s="2060"/>
      <c r="N1442" s="2060"/>
      <c r="O1442" s="2060"/>
      <c r="P1442" s="2060"/>
      <c r="Q1442" s="2060"/>
      <c r="R1442" s="2060"/>
      <c r="S1442" s="2060"/>
    </row>
    <row r="1443" spans="2:19">
      <c r="B1443" s="2060"/>
      <c r="C1443" s="2060"/>
      <c r="D1443" s="2060"/>
      <c r="E1443" s="255"/>
      <c r="H1443" s="2060"/>
      <c r="I1443" s="2060"/>
      <c r="J1443" s="2060"/>
      <c r="K1443" s="2060"/>
      <c r="L1443" s="2060"/>
      <c r="M1443" s="2060"/>
      <c r="N1443" s="2060"/>
      <c r="O1443" s="2060"/>
      <c r="P1443" s="2060"/>
      <c r="Q1443" s="2060"/>
      <c r="R1443" s="2060"/>
      <c r="S1443" s="2060"/>
    </row>
    <row r="1444" spans="2:19">
      <c r="B1444" s="2060"/>
      <c r="C1444" s="2060"/>
      <c r="D1444" s="2060"/>
      <c r="E1444" s="255"/>
      <c r="H1444" s="2060"/>
      <c r="I1444" s="2060"/>
      <c r="J1444" s="2060"/>
      <c r="K1444" s="2060"/>
      <c r="L1444" s="2060"/>
      <c r="M1444" s="2060"/>
      <c r="N1444" s="2060"/>
      <c r="O1444" s="2060"/>
      <c r="P1444" s="2060"/>
      <c r="Q1444" s="2060"/>
      <c r="R1444" s="2060"/>
      <c r="S1444" s="2060"/>
    </row>
    <row r="1445" spans="2:19">
      <c r="B1445" s="2060"/>
      <c r="C1445" s="2060"/>
      <c r="D1445" s="2060"/>
      <c r="E1445" s="255"/>
      <c r="H1445" s="2060"/>
      <c r="I1445" s="2060"/>
      <c r="J1445" s="2060"/>
      <c r="K1445" s="2060"/>
      <c r="L1445" s="2060"/>
      <c r="M1445" s="2060"/>
      <c r="N1445" s="2060"/>
      <c r="O1445" s="2060"/>
      <c r="P1445" s="2060"/>
      <c r="Q1445" s="2060"/>
      <c r="R1445" s="2060"/>
      <c r="S1445" s="2060"/>
    </row>
    <row r="1446" spans="2:19">
      <c r="B1446" s="2060"/>
      <c r="C1446" s="2060"/>
      <c r="D1446" s="2060"/>
      <c r="E1446" s="255"/>
      <c r="H1446" s="2060"/>
      <c r="I1446" s="2060"/>
      <c r="J1446" s="2060"/>
      <c r="K1446" s="2060"/>
      <c r="L1446" s="2060"/>
      <c r="M1446" s="2060"/>
      <c r="N1446" s="2060"/>
      <c r="O1446" s="2060"/>
      <c r="P1446" s="2060"/>
      <c r="Q1446" s="2060"/>
      <c r="R1446" s="2060"/>
      <c r="S1446" s="2060"/>
    </row>
    <row r="1447" spans="2:19">
      <c r="B1447" s="2060"/>
      <c r="C1447" s="2060"/>
      <c r="D1447" s="2060"/>
      <c r="E1447" s="255"/>
      <c r="H1447" s="2060"/>
      <c r="I1447" s="2060"/>
      <c r="J1447" s="2060"/>
      <c r="K1447" s="2060"/>
      <c r="L1447" s="2060"/>
      <c r="M1447" s="2060"/>
      <c r="N1447" s="2060"/>
      <c r="O1447" s="2060"/>
      <c r="P1447" s="2060"/>
      <c r="Q1447" s="2060"/>
      <c r="R1447" s="2060"/>
      <c r="S1447" s="2060"/>
    </row>
    <row r="1448" spans="2:19">
      <c r="B1448" s="2060"/>
      <c r="C1448" s="2060"/>
      <c r="D1448" s="2060"/>
      <c r="E1448" s="255"/>
      <c r="H1448" s="2060"/>
      <c r="I1448" s="2060"/>
      <c r="J1448" s="2060"/>
      <c r="K1448" s="2060"/>
      <c r="L1448" s="2060"/>
      <c r="M1448" s="2060"/>
      <c r="N1448" s="2060"/>
      <c r="O1448" s="2060"/>
      <c r="P1448" s="2060"/>
      <c r="Q1448" s="2060"/>
      <c r="R1448" s="2060"/>
      <c r="S1448" s="2060"/>
    </row>
    <row r="1449" spans="2:19">
      <c r="B1449" s="2060"/>
      <c r="C1449" s="2060"/>
      <c r="D1449" s="2060"/>
      <c r="E1449" s="255"/>
      <c r="H1449" s="2060"/>
      <c r="I1449" s="2060"/>
      <c r="J1449" s="2060"/>
      <c r="K1449" s="2060"/>
      <c r="L1449" s="2060"/>
      <c r="M1449" s="2060"/>
      <c r="N1449" s="2060"/>
      <c r="O1449" s="2060"/>
      <c r="P1449" s="2060"/>
      <c r="Q1449" s="2060"/>
      <c r="R1449" s="2060"/>
      <c r="S1449" s="2060"/>
    </row>
    <row r="1450" spans="2:19">
      <c r="B1450" s="2060"/>
      <c r="C1450" s="2060"/>
      <c r="D1450" s="2060"/>
      <c r="E1450" s="255"/>
      <c r="H1450" s="2060"/>
      <c r="I1450" s="2060"/>
      <c r="J1450" s="2060"/>
      <c r="K1450" s="2060"/>
      <c r="L1450" s="2060"/>
      <c r="M1450" s="2060"/>
      <c r="N1450" s="2060"/>
      <c r="O1450" s="2060"/>
      <c r="P1450" s="2060"/>
      <c r="Q1450" s="2060"/>
      <c r="R1450" s="2060"/>
      <c r="S1450" s="2060"/>
    </row>
    <row r="1451" spans="2:19">
      <c r="B1451" s="2060"/>
      <c r="C1451" s="2060"/>
      <c r="D1451" s="2060"/>
      <c r="E1451" s="255"/>
      <c r="H1451" s="2060"/>
      <c r="I1451" s="2060"/>
      <c r="J1451" s="2060"/>
      <c r="K1451" s="2060"/>
      <c r="L1451" s="2060"/>
      <c r="M1451" s="2060"/>
      <c r="N1451" s="2060"/>
      <c r="O1451" s="2060"/>
      <c r="P1451" s="2060"/>
      <c r="Q1451" s="2060"/>
      <c r="R1451" s="2060"/>
      <c r="S1451" s="2060"/>
    </row>
    <row r="1452" spans="2:19">
      <c r="B1452" s="2060"/>
      <c r="C1452" s="2060"/>
      <c r="D1452" s="2060"/>
      <c r="E1452" s="255"/>
      <c r="H1452" s="2060"/>
      <c r="I1452" s="2060"/>
      <c r="J1452" s="2060"/>
      <c r="K1452" s="2060"/>
      <c r="L1452" s="2060"/>
      <c r="M1452" s="2060"/>
      <c r="N1452" s="2060"/>
      <c r="O1452" s="2060"/>
      <c r="P1452" s="2060"/>
      <c r="Q1452" s="2060"/>
      <c r="R1452" s="2060"/>
      <c r="S1452" s="2060"/>
    </row>
    <row r="1453" spans="2:19">
      <c r="B1453" s="2060"/>
      <c r="C1453" s="2060"/>
      <c r="D1453" s="2060"/>
      <c r="E1453" s="255"/>
      <c r="H1453" s="2060"/>
      <c r="I1453" s="2060"/>
      <c r="J1453" s="2060"/>
      <c r="K1453" s="2060"/>
      <c r="L1453" s="2060"/>
      <c r="M1453" s="2060"/>
      <c r="N1453" s="2060"/>
      <c r="O1453" s="2060"/>
      <c r="P1453" s="2060"/>
      <c r="Q1453" s="2060"/>
      <c r="R1453" s="2060"/>
      <c r="S1453" s="2060"/>
    </row>
    <row r="1454" spans="2:19">
      <c r="B1454" s="2060"/>
      <c r="C1454" s="2060"/>
      <c r="D1454" s="2060"/>
      <c r="E1454" s="255"/>
      <c r="H1454" s="2060"/>
      <c r="I1454" s="2060"/>
      <c r="J1454" s="2060"/>
      <c r="K1454" s="2060"/>
      <c r="L1454" s="2060"/>
      <c r="M1454" s="2060"/>
      <c r="N1454" s="2060"/>
      <c r="O1454" s="2060"/>
      <c r="P1454" s="2060"/>
      <c r="Q1454" s="2060"/>
      <c r="R1454" s="2060"/>
      <c r="S1454" s="2060"/>
    </row>
    <row r="1455" spans="2:19">
      <c r="B1455" s="2060"/>
      <c r="C1455" s="2060"/>
      <c r="D1455" s="2060"/>
      <c r="E1455" s="255"/>
      <c r="H1455" s="2060"/>
      <c r="I1455" s="2060"/>
      <c r="J1455" s="2060"/>
      <c r="K1455" s="2060"/>
      <c r="L1455" s="2060"/>
      <c r="M1455" s="2060"/>
      <c r="N1455" s="2060"/>
      <c r="O1455" s="2060"/>
      <c r="P1455" s="2060"/>
      <c r="Q1455" s="2060"/>
      <c r="R1455" s="2060"/>
      <c r="S1455" s="2060"/>
    </row>
    <row r="1456" spans="2:19">
      <c r="B1456" s="2060"/>
      <c r="C1456" s="2060"/>
      <c r="D1456" s="2060"/>
      <c r="E1456" s="255"/>
      <c r="H1456" s="2060"/>
      <c r="I1456" s="2060"/>
      <c r="J1456" s="2060"/>
      <c r="K1456" s="2060"/>
      <c r="L1456" s="2060"/>
      <c r="M1456" s="2060"/>
      <c r="N1456" s="2060"/>
      <c r="O1456" s="2060"/>
      <c r="P1456" s="2060"/>
      <c r="Q1456" s="2060"/>
      <c r="R1456" s="2060"/>
      <c r="S1456" s="2060"/>
    </row>
    <row r="1457" spans="2:19">
      <c r="B1457" s="2060"/>
      <c r="C1457" s="2060"/>
      <c r="D1457" s="2060"/>
      <c r="E1457" s="255"/>
      <c r="H1457" s="2060"/>
      <c r="I1457" s="2060"/>
      <c r="J1457" s="2060"/>
      <c r="K1457" s="2060"/>
      <c r="L1457" s="2060"/>
      <c r="M1457" s="2060"/>
      <c r="N1457" s="2060"/>
      <c r="O1457" s="2060"/>
      <c r="P1457" s="2060"/>
      <c r="Q1457" s="2060"/>
      <c r="R1457" s="2060"/>
      <c r="S1457" s="2060"/>
    </row>
    <row r="1458" spans="2:19">
      <c r="B1458" s="2060"/>
      <c r="C1458" s="2060"/>
      <c r="D1458" s="2060"/>
      <c r="E1458" s="255"/>
      <c r="H1458" s="2060"/>
      <c r="I1458" s="2060"/>
      <c r="J1458" s="2060"/>
      <c r="K1458" s="2060"/>
      <c r="L1458" s="2060"/>
      <c r="M1458" s="2060"/>
      <c r="N1458" s="2060"/>
      <c r="O1458" s="2060"/>
      <c r="P1458" s="2060"/>
      <c r="Q1458" s="2060"/>
      <c r="R1458" s="2060"/>
      <c r="S1458" s="2060"/>
    </row>
    <row r="1459" spans="2:19">
      <c r="B1459" s="2060"/>
      <c r="C1459" s="2060"/>
      <c r="D1459" s="2060"/>
      <c r="E1459" s="255"/>
      <c r="H1459" s="2060"/>
      <c r="I1459" s="2060"/>
      <c r="J1459" s="2060"/>
      <c r="K1459" s="2060"/>
      <c r="L1459" s="2060"/>
      <c r="M1459" s="2060"/>
      <c r="N1459" s="2060"/>
      <c r="O1459" s="2060"/>
      <c r="P1459" s="2060"/>
      <c r="Q1459" s="2060"/>
      <c r="R1459" s="2060"/>
      <c r="S1459" s="2060"/>
    </row>
    <row r="1460" spans="2:19">
      <c r="B1460" s="2060"/>
      <c r="C1460" s="2060"/>
      <c r="D1460" s="2060"/>
      <c r="E1460" s="255"/>
      <c r="H1460" s="2060"/>
      <c r="I1460" s="2060"/>
      <c r="J1460" s="2060"/>
      <c r="K1460" s="2060"/>
      <c r="L1460" s="2060"/>
      <c r="M1460" s="2060"/>
      <c r="N1460" s="2060"/>
      <c r="O1460" s="2060"/>
      <c r="P1460" s="2060"/>
      <c r="Q1460" s="2060"/>
      <c r="R1460" s="2060"/>
      <c r="S1460" s="2060"/>
    </row>
    <row r="1461" spans="2:19">
      <c r="B1461" s="2060"/>
      <c r="C1461" s="2060"/>
      <c r="D1461" s="2060"/>
      <c r="E1461" s="255"/>
      <c r="H1461" s="2060"/>
      <c r="I1461" s="2060"/>
      <c r="J1461" s="2060"/>
      <c r="K1461" s="2060"/>
      <c r="L1461" s="2060"/>
      <c r="M1461" s="2060"/>
      <c r="N1461" s="2060"/>
      <c r="O1461" s="2060"/>
      <c r="P1461" s="2060"/>
      <c r="Q1461" s="2060"/>
      <c r="R1461" s="2060"/>
      <c r="S1461" s="2060"/>
    </row>
    <row r="1462" spans="2:19">
      <c r="B1462" s="2060"/>
      <c r="C1462" s="2060"/>
      <c r="D1462" s="2060"/>
      <c r="E1462" s="255"/>
      <c r="H1462" s="2060"/>
      <c r="I1462" s="2060"/>
      <c r="J1462" s="2060"/>
      <c r="K1462" s="2060"/>
      <c r="L1462" s="2060"/>
      <c r="M1462" s="2060"/>
      <c r="N1462" s="2060"/>
      <c r="O1462" s="2060"/>
      <c r="P1462" s="2060"/>
      <c r="Q1462" s="2060"/>
      <c r="R1462" s="2060"/>
      <c r="S1462" s="2060"/>
    </row>
    <row r="1463" spans="2:19">
      <c r="B1463" s="2060"/>
      <c r="C1463" s="2060"/>
      <c r="D1463" s="2060"/>
      <c r="E1463" s="255"/>
      <c r="H1463" s="2060"/>
      <c r="I1463" s="2060"/>
      <c r="J1463" s="2060"/>
      <c r="K1463" s="2060"/>
      <c r="L1463" s="2060"/>
      <c r="M1463" s="2060"/>
      <c r="N1463" s="2060"/>
      <c r="O1463" s="2060"/>
      <c r="P1463" s="2060"/>
      <c r="Q1463" s="2060"/>
      <c r="R1463" s="2060"/>
      <c r="S1463" s="2060"/>
    </row>
    <row r="1464" spans="2:19">
      <c r="B1464" s="2060"/>
      <c r="C1464" s="2060"/>
      <c r="D1464" s="2060"/>
      <c r="E1464" s="255"/>
      <c r="H1464" s="2060"/>
      <c r="I1464" s="2060"/>
      <c r="J1464" s="2060"/>
      <c r="K1464" s="2060"/>
      <c r="L1464" s="2060"/>
      <c r="M1464" s="2060"/>
      <c r="N1464" s="2060"/>
      <c r="O1464" s="2060"/>
      <c r="P1464" s="2060"/>
      <c r="Q1464" s="2060"/>
      <c r="R1464" s="2060"/>
      <c r="S1464" s="2060"/>
    </row>
    <row r="1465" spans="2:19">
      <c r="B1465" s="2060"/>
      <c r="C1465" s="2060"/>
      <c r="D1465" s="2060"/>
      <c r="E1465" s="255"/>
      <c r="H1465" s="2060"/>
      <c r="I1465" s="2060"/>
      <c r="J1465" s="2060"/>
      <c r="K1465" s="2060"/>
      <c r="L1465" s="2060"/>
      <c r="M1465" s="2060"/>
      <c r="N1465" s="2060"/>
      <c r="O1465" s="2060"/>
      <c r="P1465" s="2060"/>
      <c r="Q1465" s="2060"/>
      <c r="R1465" s="2060"/>
      <c r="S1465" s="2060"/>
    </row>
    <row r="1466" spans="2:19">
      <c r="B1466" s="2060"/>
      <c r="C1466" s="2060"/>
      <c r="D1466" s="2060"/>
      <c r="E1466" s="255"/>
      <c r="H1466" s="2060"/>
      <c r="I1466" s="2060"/>
      <c r="J1466" s="2060"/>
      <c r="K1466" s="2060"/>
      <c r="L1466" s="2060"/>
      <c r="M1466" s="2060"/>
      <c r="N1466" s="2060"/>
      <c r="O1466" s="2060"/>
      <c r="P1466" s="2060"/>
      <c r="Q1466" s="2060"/>
      <c r="R1466" s="2060"/>
      <c r="S1466" s="2060"/>
    </row>
    <row r="1467" spans="2:19">
      <c r="B1467" s="2060"/>
      <c r="C1467" s="2060"/>
      <c r="D1467" s="2060"/>
      <c r="E1467" s="255"/>
      <c r="H1467" s="2060"/>
      <c r="I1467" s="2060"/>
      <c r="J1467" s="2060"/>
      <c r="K1467" s="2060"/>
      <c r="L1467" s="2060"/>
      <c r="M1467" s="2060"/>
      <c r="N1467" s="2060"/>
      <c r="O1467" s="2060"/>
      <c r="P1467" s="2060"/>
      <c r="Q1467" s="2060"/>
      <c r="R1467" s="2060"/>
      <c r="S1467" s="2060"/>
    </row>
    <row r="1468" spans="2:19">
      <c r="B1468" s="2060"/>
      <c r="C1468" s="2060"/>
      <c r="D1468" s="2060"/>
      <c r="E1468" s="255"/>
      <c r="H1468" s="2060"/>
      <c r="I1468" s="2060"/>
      <c r="J1468" s="2060"/>
      <c r="K1468" s="2060"/>
      <c r="L1468" s="2060"/>
      <c r="M1468" s="2060"/>
      <c r="N1468" s="2060"/>
      <c r="O1468" s="2060"/>
      <c r="P1468" s="2060"/>
      <c r="Q1468" s="2060"/>
      <c r="R1468" s="2060"/>
      <c r="S1468" s="2060"/>
    </row>
    <row r="1469" spans="2:19">
      <c r="B1469" s="2060"/>
      <c r="C1469" s="2060"/>
      <c r="D1469" s="2060"/>
      <c r="E1469" s="255"/>
      <c r="H1469" s="2060"/>
      <c r="I1469" s="2060"/>
      <c r="J1469" s="2060"/>
      <c r="K1469" s="2060"/>
      <c r="L1469" s="2060"/>
      <c r="M1469" s="2060"/>
      <c r="N1469" s="2060"/>
      <c r="O1469" s="2060"/>
      <c r="P1469" s="2060"/>
      <c r="Q1469" s="2060"/>
      <c r="R1469" s="2060"/>
      <c r="S1469" s="2060"/>
    </row>
    <row r="1470" spans="2:19">
      <c r="B1470" s="2060"/>
      <c r="C1470" s="2060"/>
      <c r="D1470" s="2060"/>
      <c r="E1470" s="255"/>
      <c r="H1470" s="2060"/>
      <c r="I1470" s="2060"/>
      <c r="J1470" s="2060"/>
      <c r="K1470" s="2060"/>
      <c r="L1470" s="2060"/>
      <c r="M1470" s="2060"/>
      <c r="N1470" s="2060"/>
      <c r="O1470" s="2060"/>
      <c r="P1470" s="2060"/>
      <c r="Q1470" s="2060"/>
      <c r="R1470" s="2060"/>
      <c r="S1470" s="2060"/>
    </row>
    <row r="1471" spans="2:19">
      <c r="B1471" s="2060"/>
      <c r="C1471" s="2060"/>
      <c r="D1471" s="2060"/>
      <c r="E1471" s="255"/>
      <c r="H1471" s="2060"/>
      <c r="I1471" s="2060"/>
      <c r="J1471" s="2060"/>
      <c r="K1471" s="2060"/>
      <c r="L1471" s="2060"/>
      <c r="M1471" s="2060"/>
      <c r="N1471" s="2060"/>
      <c r="O1471" s="2060"/>
      <c r="P1471" s="2060"/>
      <c r="Q1471" s="2060"/>
      <c r="R1471" s="2060"/>
      <c r="S1471" s="2060"/>
    </row>
    <row r="1472" spans="2:19">
      <c r="B1472" s="2060"/>
      <c r="C1472" s="2060"/>
      <c r="D1472" s="2060"/>
      <c r="E1472" s="255"/>
      <c r="H1472" s="2060"/>
      <c r="I1472" s="2060"/>
      <c r="J1472" s="2060"/>
      <c r="K1472" s="2060"/>
      <c r="L1472" s="2060"/>
      <c r="M1472" s="2060"/>
      <c r="N1472" s="2060"/>
      <c r="O1472" s="2060"/>
      <c r="P1472" s="2060"/>
      <c r="Q1472" s="2060"/>
      <c r="R1472" s="2060"/>
      <c r="S1472" s="2060"/>
    </row>
    <row r="1473" spans="2:19">
      <c r="B1473" s="2060"/>
      <c r="C1473" s="2060"/>
      <c r="D1473" s="2060"/>
      <c r="E1473" s="255"/>
      <c r="H1473" s="2060"/>
      <c r="I1473" s="2060"/>
      <c r="J1473" s="2060"/>
      <c r="K1473" s="2060"/>
      <c r="L1473" s="2060"/>
      <c r="M1473" s="2060"/>
      <c r="N1473" s="2060"/>
      <c r="O1473" s="2060"/>
      <c r="P1473" s="2060"/>
      <c r="Q1473" s="2060"/>
      <c r="R1473" s="2060"/>
      <c r="S1473" s="2060"/>
    </row>
    <row r="1474" spans="2:19">
      <c r="B1474" s="2060"/>
      <c r="C1474" s="2060"/>
      <c r="D1474" s="2060"/>
      <c r="E1474" s="255"/>
      <c r="H1474" s="2060"/>
      <c r="I1474" s="2060"/>
      <c r="J1474" s="2060"/>
      <c r="K1474" s="2060"/>
      <c r="L1474" s="2060"/>
      <c r="M1474" s="2060"/>
      <c r="N1474" s="2060"/>
      <c r="O1474" s="2060"/>
      <c r="P1474" s="2060"/>
      <c r="Q1474" s="2060"/>
      <c r="R1474" s="2060"/>
      <c r="S1474" s="2060"/>
    </row>
    <row r="1475" spans="2:19">
      <c r="B1475" s="2060"/>
      <c r="C1475" s="2060"/>
      <c r="D1475" s="2060"/>
      <c r="E1475" s="255"/>
      <c r="H1475" s="2060"/>
      <c r="I1475" s="2060"/>
      <c r="J1475" s="2060"/>
      <c r="K1475" s="2060"/>
      <c r="L1475" s="2060"/>
      <c r="M1475" s="2060"/>
      <c r="N1475" s="2060"/>
      <c r="O1475" s="2060"/>
      <c r="P1475" s="2060"/>
      <c r="Q1475" s="2060"/>
      <c r="R1475" s="2060"/>
      <c r="S1475" s="2060"/>
    </row>
    <row r="1476" spans="2:19">
      <c r="B1476" s="2060"/>
      <c r="C1476" s="2060"/>
      <c r="D1476" s="2060"/>
      <c r="E1476" s="255"/>
      <c r="H1476" s="2060"/>
      <c r="I1476" s="2060"/>
      <c r="J1476" s="2060"/>
      <c r="K1476" s="2060"/>
      <c r="L1476" s="2060"/>
      <c r="M1476" s="2060"/>
      <c r="N1476" s="2060"/>
      <c r="O1476" s="2060"/>
      <c r="P1476" s="2060"/>
      <c r="Q1476" s="2060"/>
      <c r="R1476" s="2060"/>
      <c r="S1476" s="2060"/>
    </row>
    <row r="1477" spans="2:19">
      <c r="B1477" s="2060"/>
      <c r="C1477" s="2060"/>
      <c r="D1477" s="2060"/>
      <c r="E1477" s="255"/>
      <c r="H1477" s="2060"/>
      <c r="I1477" s="2060"/>
      <c r="J1477" s="2060"/>
      <c r="K1477" s="2060"/>
      <c r="L1477" s="2060"/>
      <c r="M1477" s="2060"/>
      <c r="N1477" s="2060"/>
      <c r="O1477" s="2060"/>
      <c r="P1477" s="2060"/>
      <c r="Q1477" s="2060"/>
      <c r="R1477" s="2060"/>
      <c r="S1477" s="2060"/>
    </row>
    <row r="1478" spans="2:19">
      <c r="B1478" s="2060"/>
      <c r="C1478" s="2060"/>
      <c r="D1478" s="2060"/>
      <c r="E1478" s="255"/>
      <c r="H1478" s="2060"/>
      <c r="I1478" s="2060"/>
      <c r="J1478" s="2060"/>
      <c r="K1478" s="2060"/>
      <c r="L1478" s="2060"/>
      <c r="M1478" s="2060"/>
      <c r="N1478" s="2060"/>
      <c r="O1478" s="2060"/>
      <c r="P1478" s="2060"/>
      <c r="Q1478" s="2060"/>
      <c r="R1478" s="2060"/>
      <c r="S1478" s="2060"/>
    </row>
    <row r="1479" spans="2:19">
      <c r="B1479" s="2060"/>
      <c r="C1479" s="2060"/>
      <c r="D1479" s="2060"/>
      <c r="E1479" s="255"/>
      <c r="H1479" s="2060"/>
      <c r="I1479" s="2060"/>
      <c r="J1479" s="2060"/>
      <c r="K1479" s="2060"/>
      <c r="L1479" s="2060"/>
      <c r="M1479" s="2060"/>
      <c r="N1479" s="2060"/>
      <c r="O1479" s="2060"/>
      <c r="P1479" s="2060"/>
      <c r="Q1479" s="2060"/>
      <c r="R1479" s="2060"/>
      <c r="S1479" s="2060"/>
    </row>
    <row r="1480" spans="2:19">
      <c r="B1480" s="2060"/>
      <c r="C1480" s="2060"/>
      <c r="D1480" s="2060"/>
      <c r="E1480" s="255"/>
      <c r="H1480" s="2060"/>
      <c r="I1480" s="2060"/>
      <c r="J1480" s="2060"/>
      <c r="K1480" s="2060"/>
      <c r="L1480" s="2060"/>
      <c r="M1480" s="2060"/>
      <c r="N1480" s="2060"/>
      <c r="O1480" s="2060"/>
      <c r="P1480" s="2060"/>
      <c r="Q1480" s="2060"/>
      <c r="R1480" s="2060"/>
      <c r="S1480" s="2060"/>
    </row>
    <row r="1481" spans="2:19">
      <c r="B1481" s="2060"/>
      <c r="C1481" s="2060"/>
      <c r="D1481" s="2060"/>
      <c r="E1481" s="255"/>
      <c r="H1481" s="2060"/>
      <c r="I1481" s="2060"/>
      <c r="J1481" s="2060"/>
      <c r="K1481" s="2060"/>
      <c r="L1481" s="2060"/>
      <c r="M1481" s="2060"/>
      <c r="N1481" s="2060"/>
      <c r="O1481" s="2060"/>
      <c r="P1481" s="2060"/>
      <c r="Q1481" s="2060"/>
      <c r="R1481" s="2060"/>
      <c r="S1481" s="2060"/>
    </row>
    <row r="1482" spans="2:19">
      <c r="B1482" s="2060"/>
      <c r="C1482" s="2060"/>
      <c r="D1482" s="2060"/>
      <c r="E1482" s="255"/>
      <c r="H1482" s="2060"/>
      <c r="I1482" s="2060"/>
      <c r="J1482" s="2060"/>
      <c r="K1482" s="2060"/>
      <c r="L1482" s="2060"/>
      <c r="M1482" s="2060"/>
      <c r="N1482" s="2060"/>
      <c r="O1482" s="2060"/>
      <c r="P1482" s="2060"/>
      <c r="Q1482" s="2060"/>
      <c r="R1482" s="2060"/>
      <c r="S1482" s="2060"/>
    </row>
    <row r="1483" spans="2:19">
      <c r="B1483" s="2060"/>
      <c r="C1483" s="2060"/>
      <c r="D1483" s="2060"/>
      <c r="E1483" s="255"/>
      <c r="H1483" s="2060"/>
      <c r="I1483" s="2060"/>
      <c r="J1483" s="2060"/>
      <c r="K1483" s="2060"/>
      <c r="L1483" s="2060"/>
      <c r="M1483" s="2060"/>
      <c r="N1483" s="2060"/>
      <c r="O1483" s="2060"/>
      <c r="P1483" s="2060"/>
      <c r="Q1483" s="2060"/>
      <c r="R1483" s="2060"/>
      <c r="S1483" s="2060"/>
    </row>
    <row r="1484" spans="2:19">
      <c r="B1484" s="2060"/>
      <c r="C1484" s="2060"/>
      <c r="D1484" s="2060"/>
      <c r="E1484" s="255"/>
      <c r="H1484" s="2060"/>
      <c r="I1484" s="2060"/>
      <c r="J1484" s="2060"/>
      <c r="K1484" s="2060"/>
      <c r="L1484" s="2060"/>
      <c r="M1484" s="2060"/>
      <c r="N1484" s="2060"/>
      <c r="O1484" s="2060"/>
      <c r="P1484" s="2060"/>
      <c r="Q1484" s="2060"/>
      <c r="R1484" s="2060"/>
      <c r="S1484" s="2060"/>
    </row>
    <row r="1485" spans="2:19">
      <c r="B1485" s="2060"/>
      <c r="C1485" s="2060"/>
      <c r="D1485" s="2060"/>
      <c r="E1485" s="255"/>
      <c r="H1485" s="2060"/>
      <c r="I1485" s="2060"/>
      <c r="J1485" s="2060"/>
      <c r="K1485" s="2060"/>
      <c r="L1485" s="2060"/>
      <c r="M1485" s="2060"/>
      <c r="N1485" s="2060"/>
      <c r="O1485" s="2060"/>
      <c r="P1485" s="2060"/>
      <c r="Q1485" s="2060"/>
      <c r="R1485" s="2060"/>
      <c r="S1485" s="2060"/>
    </row>
    <row r="1486" spans="2:19">
      <c r="B1486" s="2060"/>
      <c r="C1486" s="2060"/>
      <c r="D1486" s="2060"/>
      <c r="E1486" s="255"/>
      <c r="H1486" s="2060"/>
      <c r="I1486" s="2060"/>
      <c r="J1486" s="2060"/>
      <c r="K1486" s="2060"/>
      <c r="L1486" s="2060"/>
      <c r="M1486" s="2060"/>
      <c r="N1486" s="2060"/>
      <c r="O1486" s="2060"/>
      <c r="P1486" s="2060"/>
      <c r="Q1486" s="2060"/>
      <c r="R1486" s="2060"/>
      <c r="S1486" s="2060"/>
    </row>
    <row r="1487" spans="2:19">
      <c r="B1487" s="2060"/>
      <c r="C1487" s="2060"/>
      <c r="D1487" s="2060"/>
      <c r="E1487" s="255"/>
      <c r="H1487" s="2060"/>
      <c r="I1487" s="2060"/>
      <c r="J1487" s="2060"/>
      <c r="K1487" s="2060"/>
      <c r="L1487" s="2060"/>
      <c r="M1487" s="2060"/>
      <c r="N1487" s="2060"/>
      <c r="O1487" s="2060"/>
      <c r="P1487" s="2060"/>
      <c r="Q1487" s="2060"/>
      <c r="R1487" s="2060"/>
      <c r="S1487" s="2060"/>
    </row>
    <row r="1488" spans="2:19">
      <c r="B1488" s="2060"/>
      <c r="C1488" s="2060"/>
      <c r="D1488" s="2060"/>
      <c r="E1488" s="255"/>
      <c r="H1488" s="2060"/>
      <c r="I1488" s="2060"/>
      <c r="J1488" s="2060"/>
      <c r="K1488" s="2060"/>
      <c r="L1488" s="2060"/>
      <c r="M1488" s="2060"/>
      <c r="N1488" s="2060"/>
      <c r="O1488" s="2060"/>
      <c r="P1488" s="2060"/>
      <c r="Q1488" s="2060"/>
      <c r="R1488" s="2060"/>
      <c r="S1488" s="2060"/>
    </row>
    <row r="1489" spans="2:19">
      <c r="B1489" s="2060"/>
      <c r="C1489" s="2060"/>
      <c r="D1489" s="2060"/>
      <c r="E1489" s="255"/>
      <c r="H1489" s="2060"/>
      <c r="I1489" s="2060"/>
      <c r="J1489" s="2060"/>
      <c r="K1489" s="2060"/>
      <c r="L1489" s="2060"/>
      <c r="M1489" s="2060"/>
      <c r="N1489" s="2060"/>
      <c r="O1489" s="2060"/>
      <c r="P1489" s="2060"/>
      <c r="Q1489" s="2060"/>
      <c r="R1489" s="2060"/>
      <c r="S1489" s="2060"/>
    </row>
    <row r="1490" spans="2:19">
      <c r="B1490" s="2060"/>
      <c r="C1490" s="2060"/>
      <c r="D1490" s="2060"/>
      <c r="E1490" s="255"/>
      <c r="H1490" s="2060"/>
      <c r="I1490" s="2060"/>
      <c r="J1490" s="2060"/>
      <c r="K1490" s="2060"/>
      <c r="L1490" s="2060"/>
      <c r="M1490" s="2060"/>
      <c r="N1490" s="2060"/>
      <c r="O1490" s="2060"/>
      <c r="P1490" s="2060"/>
      <c r="Q1490" s="2060"/>
      <c r="R1490" s="2060"/>
      <c r="S1490" s="2060"/>
    </row>
    <row r="1491" spans="2:19">
      <c r="B1491" s="2060"/>
      <c r="C1491" s="2060"/>
      <c r="D1491" s="2060"/>
      <c r="E1491" s="255"/>
      <c r="H1491" s="2060"/>
      <c r="I1491" s="2060"/>
      <c r="J1491" s="2060"/>
      <c r="K1491" s="2060"/>
      <c r="L1491" s="2060"/>
      <c r="M1491" s="2060"/>
      <c r="N1491" s="2060"/>
      <c r="O1491" s="2060"/>
      <c r="P1491" s="2060"/>
      <c r="Q1491" s="2060"/>
      <c r="R1491" s="2060"/>
      <c r="S1491" s="2060"/>
    </row>
    <row r="1492" spans="2:19">
      <c r="B1492" s="2060"/>
      <c r="C1492" s="2060"/>
      <c r="D1492" s="2060"/>
      <c r="E1492" s="255"/>
      <c r="H1492" s="2060"/>
      <c r="I1492" s="2060"/>
      <c r="J1492" s="2060"/>
      <c r="K1492" s="2060"/>
      <c r="L1492" s="2060"/>
      <c r="M1492" s="2060"/>
      <c r="N1492" s="2060"/>
      <c r="O1492" s="2060"/>
      <c r="P1492" s="2060"/>
      <c r="Q1492" s="2060"/>
      <c r="R1492" s="2060"/>
      <c r="S1492" s="2060"/>
    </row>
    <row r="1493" spans="2:19">
      <c r="B1493" s="2060"/>
      <c r="C1493" s="2060"/>
      <c r="D1493" s="2060"/>
      <c r="E1493" s="255"/>
      <c r="H1493" s="2060"/>
      <c r="I1493" s="2060"/>
      <c r="J1493" s="2060"/>
      <c r="K1493" s="2060"/>
      <c r="L1493" s="2060"/>
      <c r="M1493" s="2060"/>
      <c r="N1493" s="2060"/>
      <c r="O1493" s="2060"/>
      <c r="P1493" s="2060"/>
      <c r="Q1493" s="2060"/>
      <c r="R1493" s="2060"/>
      <c r="S1493" s="2060"/>
    </row>
    <row r="1494" spans="2:19">
      <c r="B1494" s="2060"/>
      <c r="C1494" s="2060"/>
      <c r="D1494" s="2060"/>
      <c r="E1494" s="255"/>
      <c r="H1494" s="2060"/>
      <c r="I1494" s="2060"/>
      <c r="J1494" s="2060"/>
      <c r="K1494" s="2060"/>
      <c r="L1494" s="2060"/>
      <c r="M1494" s="2060"/>
      <c r="N1494" s="2060"/>
      <c r="O1494" s="2060"/>
      <c r="P1494" s="2060"/>
      <c r="Q1494" s="2060"/>
      <c r="R1494" s="2060"/>
      <c r="S1494" s="2060"/>
    </row>
    <row r="1495" spans="2:19">
      <c r="B1495" s="2060"/>
      <c r="C1495" s="2060"/>
      <c r="D1495" s="2060"/>
      <c r="E1495" s="255"/>
      <c r="H1495" s="2060"/>
      <c r="I1495" s="2060"/>
      <c r="J1495" s="2060"/>
      <c r="K1495" s="2060"/>
      <c r="L1495" s="2060"/>
      <c r="M1495" s="2060"/>
      <c r="N1495" s="2060"/>
      <c r="O1495" s="2060"/>
      <c r="P1495" s="2060"/>
      <c r="Q1495" s="2060"/>
      <c r="R1495" s="2060"/>
      <c r="S1495" s="2060"/>
    </row>
    <row r="1496" spans="2:19">
      <c r="B1496" s="2060"/>
      <c r="C1496" s="2060"/>
      <c r="D1496" s="2060"/>
      <c r="E1496" s="255"/>
      <c r="H1496" s="2060"/>
      <c r="I1496" s="2060"/>
      <c r="J1496" s="2060"/>
      <c r="K1496" s="2060"/>
      <c r="L1496" s="2060"/>
      <c r="M1496" s="2060"/>
      <c r="N1496" s="2060"/>
      <c r="O1496" s="2060"/>
      <c r="P1496" s="2060"/>
      <c r="Q1496" s="2060"/>
      <c r="R1496" s="2060"/>
      <c r="S1496" s="2060"/>
    </row>
    <row r="1497" spans="2:19">
      <c r="B1497" s="2060"/>
      <c r="C1497" s="2060"/>
      <c r="D1497" s="2060"/>
      <c r="E1497" s="255"/>
      <c r="H1497" s="2060"/>
      <c r="I1497" s="2060"/>
      <c r="J1497" s="2060"/>
      <c r="K1497" s="2060"/>
      <c r="L1497" s="2060"/>
      <c r="M1497" s="2060"/>
      <c r="N1497" s="2060"/>
      <c r="O1497" s="2060"/>
      <c r="P1497" s="2060"/>
      <c r="Q1497" s="2060"/>
      <c r="R1497" s="2060"/>
      <c r="S1497" s="2060"/>
    </row>
    <row r="1498" spans="2:19">
      <c r="B1498" s="2060"/>
      <c r="C1498" s="2060"/>
      <c r="D1498" s="2060"/>
      <c r="E1498" s="255"/>
      <c r="H1498" s="2060"/>
      <c r="I1498" s="2060"/>
      <c r="J1498" s="2060"/>
      <c r="K1498" s="2060"/>
      <c r="L1498" s="2060"/>
      <c r="M1498" s="2060"/>
      <c r="N1498" s="2060"/>
      <c r="O1498" s="2060"/>
      <c r="P1498" s="2060"/>
      <c r="Q1498" s="2060"/>
      <c r="R1498" s="2060"/>
      <c r="S1498" s="2060"/>
    </row>
    <row r="1499" spans="2:19">
      <c r="B1499" s="2060"/>
      <c r="C1499" s="2060"/>
      <c r="D1499" s="2060"/>
      <c r="E1499" s="255"/>
      <c r="H1499" s="2060"/>
      <c r="I1499" s="2060"/>
      <c r="J1499" s="2060"/>
      <c r="K1499" s="2060"/>
      <c r="L1499" s="2060"/>
      <c r="M1499" s="2060"/>
      <c r="N1499" s="2060"/>
      <c r="O1499" s="2060"/>
      <c r="P1499" s="2060"/>
      <c r="Q1499" s="2060"/>
      <c r="R1499" s="2060"/>
      <c r="S1499" s="2060"/>
    </row>
    <row r="1500" spans="2:19">
      <c r="B1500" s="2060"/>
      <c r="C1500" s="2060"/>
      <c r="D1500" s="2060"/>
      <c r="E1500" s="255"/>
      <c r="H1500" s="2060"/>
      <c r="I1500" s="2060"/>
      <c r="J1500" s="2060"/>
      <c r="K1500" s="2060"/>
      <c r="L1500" s="2060"/>
      <c r="M1500" s="2060"/>
      <c r="N1500" s="2060"/>
      <c r="O1500" s="2060"/>
      <c r="P1500" s="2060"/>
      <c r="Q1500" s="2060"/>
      <c r="R1500" s="2060"/>
      <c r="S1500" s="2060"/>
    </row>
    <row r="1501" spans="2:19">
      <c r="B1501" s="2060"/>
      <c r="C1501" s="2060"/>
      <c r="D1501" s="2060"/>
      <c r="E1501" s="255"/>
      <c r="H1501" s="2060"/>
      <c r="I1501" s="2060"/>
      <c r="J1501" s="2060"/>
      <c r="K1501" s="2060"/>
      <c r="L1501" s="2060"/>
      <c r="M1501" s="2060"/>
      <c r="N1501" s="2060"/>
      <c r="O1501" s="2060"/>
      <c r="P1501" s="2060"/>
      <c r="Q1501" s="2060"/>
      <c r="R1501" s="2060"/>
      <c r="S1501" s="2060"/>
    </row>
    <row r="1502" spans="2:19">
      <c r="B1502" s="2060"/>
      <c r="C1502" s="2060"/>
      <c r="D1502" s="2060"/>
      <c r="E1502" s="255"/>
      <c r="H1502" s="2060"/>
      <c r="I1502" s="2060"/>
      <c r="J1502" s="2060"/>
      <c r="K1502" s="2060"/>
      <c r="L1502" s="2060"/>
      <c r="M1502" s="2060"/>
      <c r="N1502" s="2060"/>
      <c r="O1502" s="2060"/>
      <c r="P1502" s="2060"/>
      <c r="Q1502" s="2060"/>
      <c r="R1502" s="2060"/>
      <c r="S1502" s="2060"/>
    </row>
    <row r="1503" spans="2:19">
      <c r="B1503" s="2060"/>
      <c r="C1503" s="2060"/>
      <c r="D1503" s="2060"/>
      <c r="E1503" s="255"/>
      <c r="H1503" s="2060"/>
      <c r="I1503" s="2060"/>
      <c r="J1503" s="2060"/>
      <c r="K1503" s="2060"/>
      <c r="L1503" s="2060"/>
      <c r="M1503" s="2060"/>
      <c r="N1503" s="2060"/>
      <c r="O1503" s="2060"/>
      <c r="P1503" s="2060"/>
      <c r="Q1503" s="2060"/>
      <c r="R1503" s="2060"/>
      <c r="S1503" s="2060"/>
    </row>
    <row r="1504" spans="2:19">
      <c r="B1504" s="2060"/>
      <c r="C1504" s="2060"/>
      <c r="D1504" s="2060"/>
      <c r="E1504" s="255"/>
      <c r="H1504" s="2060"/>
      <c r="I1504" s="2060"/>
      <c r="J1504" s="2060"/>
      <c r="K1504" s="2060"/>
      <c r="L1504" s="2060"/>
      <c r="M1504" s="2060"/>
      <c r="N1504" s="2060"/>
      <c r="O1504" s="2060"/>
      <c r="P1504" s="2060"/>
      <c r="Q1504" s="2060"/>
      <c r="R1504" s="2060"/>
      <c r="S1504" s="2060"/>
    </row>
    <row r="1505" spans="2:19">
      <c r="B1505" s="2060"/>
      <c r="C1505" s="2060"/>
      <c r="D1505" s="2060"/>
      <c r="E1505" s="255"/>
      <c r="H1505" s="2060"/>
      <c r="I1505" s="2060"/>
      <c r="J1505" s="2060"/>
      <c r="K1505" s="2060"/>
      <c r="L1505" s="2060"/>
      <c r="M1505" s="2060"/>
      <c r="N1505" s="2060"/>
      <c r="O1505" s="2060"/>
      <c r="P1505" s="2060"/>
      <c r="Q1505" s="2060"/>
      <c r="R1505" s="2060"/>
      <c r="S1505" s="2060"/>
    </row>
    <row r="1506" spans="2:19">
      <c r="B1506" s="2060"/>
      <c r="C1506" s="2060"/>
      <c r="D1506" s="2060"/>
      <c r="E1506" s="255"/>
      <c r="H1506" s="2060"/>
      <c r="I1506" s="2060"/>
      <c r="J1506" s="2060"/>
      <c r="K1506" s="2060"/>
      <c r="L1506" s="2060"/>
      <c r="M1506" s="2060"/>
      <c r="N1506" s="2060"/>
      <c r="O1506" s="2060"/>
      <c r="P1506" s="2060"/>
      <c r="Q1506" s="2060"/>
      <c r="R1506" s="2060"/>
      <c r="S1506" s="2060"/>
    </row>
    <row r="1507" spans="2:19">
      <c r="B1507" s="2060"/>
      <c r="C1507" s="2060"/>
      <c r="D1507" s="2060"/>
      <c r="E1507" s="255"/>
      <c r="H1507" s="2060"/>
      <c r="I1507" s="2060"/>
      <c r="J1507" s="2060"/>
      <c r="K1507" s="2060"/>
      <c r="L1507" s="2060"/>
      <c r="M1507" s="2060"/>
      <c r="N1507" s="2060"/>
      <c r="O1507" s="2060"/>
      <c r="P1507" s="2060"/>
      <c r="Q1507" s="2060"/>
      <c r="R1507" s="2060"/>
      <c r="S1507" s="2060"/>
    </row>
    <row r="1508" spans="2:19">
      <c r="B1508" s="2060"/>
      <c r="C1508" s="2060"/>
      <c r="D1508" s="2060"/>
      <c r="E1508" s="255"/>
      <c r="H1508" s="2060"/>
      <c r="I1508" s="2060"/>
      <c r="J1508" s="2060"/>
      <c r="K1508" s="2060"/>
      <c r="L1508" s="2060"/>
      <c r="M1508" s="2060"/>
      <c r="N1508" s="2060"/>
      <c r="O1508" s="2060"/>
      <c r="P1508" s="2060"/>
      <c r="Q1508" s="2060"/>
      <c r="R1508" s="2060"/>
      <c r="S1508" s="2060"/>
    </row>
    <row r="1509" spans="2:19">
      <c r="B1509" s="2060"/>
      <c r="C1509" s="2060"/>
      <c r="D1509" s="2060"/>
      <c r="E1509" s="255"/>
      <c r="H1509" s="2060"/>
      <c r="I1509" s="2060"/>
      <c r="J1509" s="2060"/>
      <c r="K1509" s="2060"/>
      <c r="L1509" s="2060"/>
      <c r="M1509" s="2060"/>
      <c r="N1509" s="2060"/>
      <c r="O1509" s="2060"/>
      <c r="P1509" s="2060"/>
      <c r="Q1509" s="2060"/>
      <c r="R1509" s="2060"/>
      <c r="S1509" s="2060"/>
    </row>
    <row r="1510" spans="2:19">
      <c r="B1510" s="2060"/>
      <c r="C1510" s="2060"/>
      <c r="D1510" s="2060"/>
      <c r="E1510" s="255"/>
      <c r="H1510" s="2060"/>
      <c r="I1510" s="2060"/>
      <c r="J1510" s="2060"/>
      <c r="K1510" s="2060"/>
      <c r="L1510" s="2060"/>
      <c r="M1510" s="2060"/>
      <c r="N1510" s="2060"/>
      <c r="O1510" s="2060"/>
      <c r="P1510" s="2060"/>
      <c r="Q1510" s="2060"/>
      <c r="R1510" s="2060"/>
      <c r="S1510" s="2060"/>
    </row>
    <row r="1511" spans="2:19">
      <c r="B1511" s="2060"/>
      <c r="C1511" s="2060"/>
      <c r="D1511" s="2060"/>
      <c r="E1511" s="255"/>
      <c r="H1511" s="2060"/>
      <c r="I1511" s="2060"/>
      <c r="J1511" s="2060"/>
      <c r="K1511" s="2060"/>
      <c r="L1511" s="2060"/>
      <c r="M1511" s="2060"/>
      <c r="N1511" s="2060"/>
      <c r="O1511" s="2060"/>
      <c r="P1511" s="2060"/>
      <c r="Q1511" s="2060"/>
      <c r="R1511" s="2060"/>
      <c r="S1511" s="2060"/>
    </row>
    <row r="1512" spans="2:19">
      <c r="B1512" s="2060"/>
      <c r="C1512" s="2060"/>
      <c r="D1512" s="2060"/>
      <c r="E1512" s="255"/>
      <c r="H1512" s="2060"/>
      <c r="I1512" s="2060"/>
      <c r="J1512" s="2060"/>
      <c r="K1512" s="2060"/>
      <c r="L1512" s="2060"/>
      <c r="M1512" s="2060"/>
      <c r="N1512" s="2060"/>
      <c r="O1512" s="2060"/>
      <c r="P1512" s="2060"/>
      <c r="Q1512" s="2060"/>
      <c r="R1512" s="2060"/>
      <c r="S1512" s="2060"/>
    </row>
    <row r="1513" spans="2:19">
      <c r="B1513" s="2060"/>
      <c r="C1513" s="2060"/>
      <c r="D1513" s="2060"/>
      <c r="E1513" s="255"/>
      <c r="H1513" s="2060"/>
      <c r="I1513" s="2060"/>
      <c r="J1513" s="2060"/>
      <c r="K1513" s="2060"/>
      <c r="L1513" s="2060"/>
      <c r="M1513" s="2060"/>
      <c r="N1513" s="2060"/>
      <c r="O1513" s="2060"/>
      <c r="P1513" s="2060"/>
      <c r="Q1513" s="2060"/>
      <c r="R1513" s="2060"/>
      <c r="S1513" s="2060"/>
    </row>
    <row r="1514" spans="2:19">
      <c r="B1514" s="2060"/>
      <c r="C1514" s="2060"/>
      <c r="D1514" s="2060"/>
      <c r="E1514" s="255"/>
      <c r="H1514" s="2060"/>
      <c r="I1514" s="2060"/>
      <c r="J1514" s="2060"/>
      <c r="K1514" s="2060"/>
      <c r="L1514" s="2060"/>
      <c r="M1514" s="2060"/>
      <c r="N1514" s="2060"/>
      <c r="O1514" s="2060"/>
      <c r="P1514" s="2060"/>
      <c r="Q1514" s="2060"/>
      <c r="R1514" s="2060"/>
      <c r="S1514" s="2060"/>
    </row>
    <row r="1515" spans="2:19">
      <c r="B1515" s="2060"/>
      <c r="C1515" s="2060"/>
      <c r="D1515" s="2060"/>
      <c r="E1515" s="255"/>
      <c r="H1515" s="2060"/>
      <c r="I1515" s="2060"/>
      <c r="J1515" s="2060"/>
      <c r="K1515" s="2060"/>
      <c r="L1515" s="2060"/>
      <c r="M1515" s="2060"/>
      <c r="N1515" s="2060"/>
      <c r="O1515" s="2060"/>
      <c r="P1515" s="2060"/>
      <c r="Q1515" s="2060"/>
      <c r="R1515" s="2060"/>
      <c r="S1515" s="2060"/>
    </row>
    <row r="1516" spans="2:19">
      <c r="B1516" s="2060"/>
      <c r="C1516" s="2060"/>
      <c r="D1516" s="2060"/>
      <c r="E1516" s="255"/>
      <c r="H1516" s="2060"/>
      <c r="I1516" s="2060"/>
      <c r="J1516" s="2060"/>
      <c r="K1516" s="2060"/>
      <c r="L1516" s="2060"/>
      <c r="M1516" s="2060"/>
      <c r="N1516" s="2060"/>
      <c r="O1516" s="2060"/>
      <c r="P1516" s="2060"/>
      <c r="Q1516" s="2060"/>
      <c r="R1516" s="2060"/>
      <c r="S1516" s="2060"/>
    </row>
    <row r="1517" spans="2:19">
      <c r="B1517" s="2060"/>
      <c r="C1517" s="2060"/>
      <c r="D1517" s="2060"/>
      <c r="E1517" s="255"/>
      <c r="H1517" s="2060"/>
      <c r="I1517" s="2060"/>
      <c r="J1517" s="2060"/>
      <c r="K1517" s="2060"/>
      <c r="L1517" s="2060"/>
      <c r="M1517" s="2060"/>
      <c r="N1517" s="2060"/>
      <c r="O1517" s="2060"/>
      <c r="P1517" s="2060"/>
      <c r="Q1517" s="2060"/>
      <c r="R1517" s="2060"/>
      <c r="S1517" s="2060"/>
    </row>
    <row r="1518" spans="2:19">
      <c r="B1518" s="2060"/>
      <c r="C1518" s="2060"/>
      <c r="D1518" s="2060"/>
      <c r="E1518" s="255"/>
      <c r="H1518" s="2060"/>
      <c r="I1518" s="2060"/>
      <c r="J1518" s="2060"/>
      <c r="K1518" s="2060"/>
      <c r="L1518" s="2060"/>
      <c r="M1518" s="2060"/>
      <c r="N1518" s="2060"/>
      <c r="O1518" s="2060"/>
      <c r="P1518" s="2060"/>
      <c r="Q1518" s="2060"/>
      <c r="R1518" s="2060"/>
      <c r="S1518" s="2060"/>
    </row>
    <row r="1519" spans="2:19">
      <c r="B1519" s="2060"/>
      <c r="C1519" s="2060"/>
      <c r="D1519" s="2060"/>
      <c r="E1519" s="255"/>
      <c r="H1519" s="2060"/>
      <c r="I1519" s="2060"/>
      <c r="J1519" s="2060"/>
      <c r="K1519" s="2060"/>
      <c r="L1519" s="2060"/>
      <c r="M1519" s="2060"/>
      <c r="N1519" s="2060"/>
      <c r="O1519" s="2060"/>
      <c r="P1519" s="2060"/>
      <c r="Q1519" s="2060"/>
      <c r="R1519" s="2060"/>
      <c r="S1519" s="2060"/>
    </row>
    <row r="1520" spans="2:19">
      <c r="B1520" s="2060"/>
      <c r="C1520" s="2060"/>
      <c r="D1520" s="2060"/>
      <c r="E1520" s="255"/>
      <c r="H1520" s="2060"/>
      <c r="I1520" s="2060"/>
      <c r="J1520" s="2060"/>
      <c r="K1520" s="2060"/>
      <c r="L1520" s="2060"/>
      <c r="M1520" s="2060"/>
      <c r="N1520" s="2060"/>
      <c r="O1520" s="2060"/>
      <c r="P1520" s="2060"/>
      <c r="Q1520" s="2060"/>
      <c r="R1520" s="2060"/>
      <c r="S1520" s="2060"/>
    </row>
    <row r="1521" spans="2:19">
      <c r="B1521" s="2060"/>
      <c r="C1521" s="2060"/>
      <c r="D1521" s="2060"/>
      <c r="E1521" s="255"/>
      <c r="H1521" s="2060"/>
      <c r="I1521" s="2060"/>
      <c r="J1521" s="2060"/>
      <c r="K1521" s="2060"/>
      <c r="L1521" s="2060"/>
      <c r="M1521" s="2060"/>
      <c r="N1521" s="2060"/>
      <c r="O1521" s="2060"/>
      <c r="P1521" s="2060"/>
      <c r="Q1521" s="2060"/>
      <c r="R1521" s="2060"/>
      <c r="S1521" s="2060"/>
    </row>
    <row r="1522" spans="2:19">
      <c r="B1522" s="2060"/>
      <c r="C1522" s="2060"/>
      <c r="D1522" s="2060"/>
      <c r="E1522" s="255"/>
      <c r="H1522" s="2060"/>
      <c r="I1522" s="2060"/>
      <c r="J1522" s="2060"/>
      <c r="K1522" s="2060"/>
      <c r="L1522" s="2060"/>
      <c r="M1522" s="2060"/>
      <c r="N1522" s="2060"/>
      <c r="O1522" s="2060"/>
      <c r="P1522" s="2060"/>
      <c r="Q1522" s="2060"/>
      <c r="R1522" s="2060"/>
      <c r="S1522" s="2060"/>
    </row>
    <row r="1523" spans="2:19">
      <c r="B1523" s="2060"/>
      <c r="C1523" s="2060"/>
      <c r="D1523" s="2060"/>
      <c r="E1523" s="255"/>
      <c r="H1523" s="2060"/>
      <c r="I1523" s="2060"/>
      <c r="J1523" s="2060"/>
      <c r="K1523" s="2060"/>
      <c r="L1523" s="2060"/>
      <c r="M1523" s="2060"/>
      <c r="N1523" s="2060"/>
      <c r="O1523" s="2060"/>
      <c r="P1523" s="2060"/>
      <c r="Q1523" s="2060"/>
      <c r="R1523" s="2060"/>
      <c r="S1523" s="2060"/>
    </row>
    <row r="1524" spans="2:19">
      <c r="B1524" s="2060"/>
      <c r="C1524" s="2060"/>
      <c r="D1524" s="2060"/>
      <c r="E1524" s="255"/>
      <c r="H1524" s="2060"/>
      <c r="I1524" s="2060"/>
      <c r="J1524" s="2060"/>
      <c r="K1524" s="2060"/>
      <c r="L1524" s="2060"/>
      <c r="M1524" s="2060"/>
      <c r="N1524" s="2060"/>
      <c r="O1524" s="2060"/>
      <c r="P1524" s="2060"/>
      <c r="Q1524" s="2060"/>
      <c r="R1524" s="2060"/>
      <c r="S1524" s="2060"/>
    </row>
    <row r="1525" spans="2:19">
      <c r="B1525" s="2060"/>
      <c r="C1525" s="2060"/>
      <c r="D1525" s="2060"/>
      <c r="E1525" s="255"/>
      <c r="H1525" s="2060"/>
      <c r="I1525" s="2060"/>
      <c r="J1525" s="2060"/>
      <c r="K1525" s="2060"/>
      <c r="L1525" s="2060"/>
      <c r="M1525" s="2060"/>
      <c r="N1525" s="2060"/>
      <c r="O1525" s="2060"/>
      <c r="P1525" s="2060"/>
      <c r="Q1525" s="2060"/>
      <c r="R1525" s="2060"/>
      <c r="S1525" s="2060"/>
    </row>
    <row r="1526" spans="2:19">
      <c r="B1526" s="2060"/>
      <c r="C1526" s="2060"/>
      <c r="D1526" s="2060"/>
      <c r="E1526" s="255"/>
      <c r="H1526" s="2060"/>
      <c r="I1526" s="2060"/>
      <c r="J1526" s="2060"/>
      <c r="K1526" s="2060"/>
      <c r="L1526" s="2060"/>
      <c r="M1526" s="2060"/>
      <c r="N1526" s="2060"/>
      <c r="O1526" s="2060"/>
      <c r="P1526" s="2060"/>
      <c r="Q1526" s="2060"/>
      <c r="R1526" s="2060"/>
      <c r="S1526" s="2060"/>
    </row>
    <row r="1527" spans="2:19">
      <c r="B1527" s="2060"/>
      <c r="C1527" s="2060"/>
      <c r="D1527" s="2060"/>
      <c r="E1527" s="255"/>
      <c r="H1527" s="2060"/>
      <c r="I1527" s="2060"/>
      <c r="J1527" s="2060"/>
      <c r="K1527" s="2060"/>
      <c r="L1527" s="2060"/>
      <c r="M1527" s="2060"/>
      <c r="N1527" s="2060"/>
      <c r="O1527" s="2060"/>
      <c r="P1527" s="2060"/>
      <c r="Q1527" s="2060"/>
      <c r="R1527" s="2060"/>
      <c r="S1527" s="2060"/>
    </row>
    <row r="1528" spans="2:19">
      <c r="B1528" s="2060"/>
      <c r="C1528" s="2060"/>
      <c r="D1528" s="2060"/>
      <c r="E1528" s="255"/>
      <c r="H1528" s="2060"/>
      <c r="I1528" s="2060"/>
      <c r="J1528" s="2060"/>
      <c r="K1528" s="2060"/>
      <c r="L1528" s="2060"/>
      <c r="M1528" s="2060"/>
      <c r="N1528" s="2060"/>
      <c r="O1528" s="2060"/>
      <c r="P1528" s="2060"/>
      <c r="Q1528" s="2060"/>
      <c r="R1528" s="2060"/>
      <c r="S1528" s="2060"/>
    </row>
    <row r="1529" spans="2:19">
      <c r="B1529" s="2060"/>
      <c r="C1529" s="2060"/>
      <c r="D1529" s="2060"/>
      <c r="E1529" s="255"/>
      <c r="H1529" s="2060"/>
      <c r="I1529" s="2060"/>
      <c r="J1529" s="2060"/>
      <c r="K1529" s="2060"/>
      <c r="L1529" s="2060"/>
      <c r="M1529" s="2060"/>
      <c r="N1529" s="2060"/>
      <c r="O1529" s="2060"/>
      <c r="P1529" s="2060"/>
      <c r="Q1529" s="2060"/>
      <c r="R1529" s="2060"/>
      <c r="S1529" s="2060"/>
    </row>
    <row r="1530" spans="2:19">
      <c r="B1530" s="2060"/>
      <c r="C1530" s="2060"/>
      <c r="D1530" s="2060"/>
      <c r="E1530" s="255"/>
      <c r="H1530" s="2060"/>
      <c r="I1530" s="2060"/>
      <c r="J1530" s="2060"/>
      <c r="K1530" s="2060"/>
      <c r="L1530" s="2060"/>
      <c r="M1530" s="2060"/>
      <c r="N1530" s="2060"/>
      <c r="O1530" s="2060"/>
      <c r="P1530" s="2060"/>
      <c r="Q1530" s="2060"/>
      <c r="R1530" s="2060"/>
      <c r="S1530" s="2060"/>
    </row>
    <row r="1531" spans="2:19">
      <c r="B1531" s="2060"/>
      <c r="C1531" s="2060"/>
      <c r="D1531" s="2060"/>
      <c r="E1531" s="255"/>
      <c r="H1531" s="2060"/>
      <c r="I1531" s="2060"/>
      <c r="J1531" s="2060"/>
      <c r="K1531" s="2060"/>
      <c r="L1531" s="2060"/>
      <c r="M1531" s="2060"/>
      <c r="N1531" s="2060"/>
      <c r="O1531" s="2060"/>
      <c r="P1531" s="2060"/>
      <c r="Q1531" s="2060"/>
      <c r="R1531" s="2060"/>
      <c r="S1531" s="2060"/>
    </row>
    <row r="1532" spans="2:19">
      <c r="B1532" s="2060"/>
      <c r="C1532" s="2060"/>
      <c r="D1532" s="2060"/>
      <c r="E1532" s="255"/>
      <c r="H1532" s="2060"/>
      <c r="I1532" s="2060"/>
      <c r="J1532" s="2060"/>
      <c r="K1532" s="2060"/>
      <c r="L1532" s="2060"/>
      <c r="M1532" s="2060"/>
      <c r="N1532" s="2060"/>
      <c r="O1532" s="2060"/>
      <c r="P1532" s="2060"/>
      <c r="Q1532" s="2060"/>
      <c r="R1532" s="2060"/>
      <c r="S1532" s="2060"/>
    </row>
    <row r="1533" spans="2:19">
      <c r="B1533" s="2060"/>
      <c r="C1533" s="2060"/>
      <c r="D1533" s="2060"/>
      <c r="E1533" s="255"/>
      <c r="H1533" s="2060"/>
      <c r="I1533" s="2060"/>
      <c r="J1533" s="2060"/>
      <c r="K1533" s="2060"/>
      <c r="L1533" s="2060"/>
      <c r="M1533" s="2060"/>
      <c r="N1533" s="2060"/>
      <c r="O1533" s="2060"/>
      <c r="P1533" s="2060"/>
      <c r="Q1533" s="2060"/>
      <c r="R1533" s="2060"/>
      <c r="S1533" s="2060"/>
    </row>
    <row r="1534" spans="2:19">
      <c r="B1534" s="2060"/>
      <c r="C1534" s="2060"/>
      <c r="D1534" s="2060"/>
      <c r="E1534" s="255"/>
      <c r="H1534" s="2060"/>
      <c r="I1534" s="2060"/>
      <c r="J1534" s="2060"/>
      <c r="K1534" s="2060"/>
      <c r="L1534" s="2060"/>
      <c r="M1534" s="2060"/>
      <c r="N1534" s="2060"/>
      <c r="O1534" s="2060"/>
      <c r="P1534" s="2060"/>
      <c r="Q1534" s="2060"/>
      <c r="R1534" s="2060"/>
      <c r="S1534" s="2060"/>
    </row>
    <row r="1535" spans="2:19">
      <c r="B1535" s="2060"/>
      <c r="C1535" s="2060"/>
      <c r="D1535" s="2060"/>
      <c r="E1535" s="255"/>
      <c r="H1535" s="2060"/>
      <c r="I1535" s="2060"/>
      <c r="J1535" s="2060"/>
      <c r="K1535" s="2060"/>
      <c r="L1535" s="2060"/>
      <c r="M1535" s="2060"/>
      <c r="N1535" s="2060"/>
      <c r="O1535" s="2060"/>
      <c r="P1535" s="2060"/>
      <c r="Q1535" s="2060"/>
      <c r="R1535" s="2060"/>
      <c r="S1535" s="2060"/>
    </row>
    <row r="1536" spans="2:19">
      <c r="B1536" s="2060"/>
      <c r="C1536" s="2060"/>
      <c r="D1536" s="2060"/>
      <c r="E1536" s="255"/>
      <c r="H1536" s="2060"/>
      <c r="I1536" s="2060"/>
      <c r="J1536" s="2060"/>
      <c r="K1536" s="2060"/>
      <c r="L1536" s="2060"/>
      <c r="M1536" s="2060"/>
      <c r="N1536" s="2060"/>
      <c r="O1536" s="2060"/>
      <c r="P1536" s="2060"/>
      <c r="Q1536" s="2060"/>
      <c r="R1536" s="2060"/>
      <c r="S1536" s="2060"/>
    </row>
    <row r="1537" spans="2:19">
      <c r="B1537" s="2060"/>
      <c r="C1537" s="2060"/>
      <c r="D1537" s="2060"/>
      <c r="E1537" s="255"/>
      <c r="H1537" s="2060"/>
      <c r="I1537" s="2060"/>
      <c r="J1537" s="2060"/>
      <c r="K1537" s="2060"/>
      <c r="L1537" s="2060"/>
      <c r="M1537" s="2060"/>
      <c r="N1537" s="2060"/>
      <c r="O1537" s="2060"/>
      <c r="P1537" s="2060"/>
      <c r="Q1537" s="2060"/>
      <c r="R1537" s="2060"/>
      <c r="S1537" s="2060"/>
    </row>
    <row r="1538" spans="2:19">
      <c r="B1538" s="2060"/>
      <c r="C1538" s="2060"/>
      <c r="D1538" s="2060"/>
      <c r="E1538" s="255"/>
      <c r="H1538" s="2060"/>
      <c r="I1538" s="2060"/>
      <c r="J1538" s="2060"/>
      <c r="K1538" s="2060"/>
      <c r="L1538" s="2060"/>
      <c r="M1538" s="2060"/>
      <c r="N1538" s="2060"/>
      <c r="O1538" s="2060"/>
      <c r="P1538" s="2060"/>
      <c r="Q1538" s="2060"/>
      <c r="R1538" s="2060"/>
      <c r="S1538" s="2060"/>
    </row>
    <row r="1539" spans="2:19">
      <c r="B1539" s="2060"/>
      <c r="C1539" s="2060"/>
      <c r="D1539" s="2060"/>
      <c r="E1539" s="255"/>
      <c r="H1539" s="2060"/>
      <c r="I1539" s="2060"/>
      <c r="J1539" s="2060"/>
      <c r="K1539" s="2060"/>
      <c r="L1539" s="2060"/>
      <c r="M1539" s="2060"/>
      <c r="N1539" s="2060"/>
      <c r="O1539" s="2060"/>
      <c r="P1539" s="2060"/>
      <c r="Q1539" s="2060"/>
      <c r="R1539" s="2060"/>
      <c r="S1539" s="2060"/>
    </row>
    <row r="1540" spans="2:19">
      <c r="B1540" s="2060"/>
      <c r="C1540" s="2060"/>
      <c r="D1540" s="2060"/>
      <c r="E1540" s="255"/>
      <c r="H1540" s="2060"/>
      <c r="I1540" s="2060"/>
      <c r="J1540" s="2060"/>
      <c r="K1540" s="2060"/>
      <c r="L1540" s="2060"/>
      <c r="M1540" s="2060"/>
      <c r="N1540" s="2060"/>
      <c r="O1540" s="2060"/>
      <c r="P1540" s="2060"/>
      <c r="Q1540" s="2060"/>
      <c r="R1540" s="2060"/>
      <c r="S1540" s="2060"/>
    </row>
    <row r="1541" spans="2:19">
      <c r="B1541" s="2060"/>
      <c r="C1541" s="2060"/>
      <c r="D1541" s="2060"/>
      <c r="E1541" s="255"/>
      <c r="H1541" s="2060"/>
      <c r="I1541" s="2060"/>
      <c r="J1541" s="2060"/>
      <c r="K1541" s="2060"/>
      <c r="L1541" s="2060"/>
      <c r="M1541" s="2060"/>
      <c r="N1541" s="2060"/>
      <c r="O1541" s="2060"/>
      <c r="P1541" s="2060"/>
      <c r="Q1541" s="2060"/>
      <c r="R1541" s="2060"/>
      <c r="S1541" s="2060"/>
    </row>
    <row r="1542" spans="2:19">
      <c r="B1542" s="2060"/>
      <c r="C1542" s="2060"/>
      <c r="D1542" s="2060"/>
      <c r="E1542" s="255"/>
      <c r="H1542" s="2060"/>
      <c r="I1542" s="2060"/>
      <c r="J1542" s="2060"/>
      <c r="K1542" s="2060"/>
      <c r="L1542" s="2060"/>
      <c r="M1542" s="2060"/>
      <c r="N1542" s="2060"/>
      <c r="O1542" s="2060"/>
      <c r="P1542" s="2060"/>
      <c r="Q1542" s="2060"/>
      <c r="R1542" s="2060"/>
      <c r="S1542" s="2060"/>
    </row>
    <row r="1543" spans="2:19">
      <c r="B1543" s="2060"/>
      <c r="C1543" s="2060"/>
      <c r="D1543" s="2060"/>
      <c r="E1543" s="255"/>
      <c r="H1543" s="2060"/>
      <c r="I1543" s="2060"/>
      <c r="J1543" s="2060"/>
      <c r="K1543" s="2060"/>
      <c r="L1543" s="2060"/>
      <c r="M1543" s="2060"/>
      <c r="N1543" s="2060"/>
      <c r="O1543" s="2060"/>
      <c r="P1543" s="2060"/>
      <c r="Q1543" s="2060"/>
      <c r="R1543" s="2060"/>
      <c r="S1543" s="2060"/>
    </row>
    <row r="1544" spans="2:19">
      <c r="B1544" s="2060"/>
      <c r="C1544" s="2060"/>
      <c r="D1544" s="2060"/>
      <c r="E1544" s="255"/>
      <c r="H1544" s="2060"/>
      <c r="I1544" s="2060"/>
      <c r="J1544" s="2060"/>
      <c r="K1544" s="2060"/>
      <c r="L1544" s="2060"/>
      <c r="M1544" s="2060"/>
      <c r="N1544" s="2060"/>
      <c r="O1544" s="2060"/>
      <c r="P1544" s="2060"/>
      <c r="Q1544" s="2060"/>
      <c r="R1544" s="2060"/>
      <c r="S1544" s="2060"/>
    </row>
    <row r="1545" spans="2:19">
      <c r="B1545" s="2060"/>
      <c r="C1545" s="2060"/>
      <c r="D1545" s="2060"/>
      <c r="E1545" s="255"/>
      <c r="H1545" s="2060"/>
      <c r="I1545" s="2060"/>
      <c r="J1545" s="2060"/>
      <c r="K1545" s="2060"/>
      <c r="L1545" s="2060"/>
      <c r="M1545" s="2060"/>
      <c r="N1545" s="2060"/>
      <c r="O1545" s="2060"/>
      <c r="P1545" s="2060"/>
      <c r="Q1545" s="2060"/>
      <c r="R1545" s="2060"/>
      <c r="S1545" s="2060"/>
    </row>
    <row r="1546" spans="2:19">
      <c r="B1546" s="2060"/>
      <c r="C1546" s="2060"/>
      <c r="D1546" s="2060"/>
      <c r="E1546" s="255"/>
      <c r="H1546" s="2060"/>
      <c r="I1546" s="2060"/>
      <c r="J1546" s="2060"/>
      <c r="K1546" s="2060"/>
      <c r="L1546" s="2060"/>
      <c r="M1546" s="2060"/>
      <c r="N1546" s="2060"/>
      <c r="O1546" s="2060"/>
      <c r="P1546" s="2060"/>
      <c r="Q1546" s="2060"/>
      <c r="R1546" s="2060"/>
      <c r="S1546" s="2060"/>
    </row>
    <row r="1547" spans="2:19">
      <c r="B1547" s="2060"/>
      <c r="C1547" s="2060"/>
      <c r="D1547" s="2060"/>
      <c r="E1547" s="255"/>
      <c r="H1547" s="2060"/>
      <c r="I1547" s="2060"/>
      <c r="J1547" s="2060"/>
      <c r="K1547" s="2060"/>
      <c r="L1547" s="2060"/>
      <c r="M1547" s="2060"/>
      <c r="N1547" s="2060"/>
      <c r="O1547" s="2060"/>
      <c r="P1547" s="2060"/>
      <c r="Q1547" s="2060"/>
      <c r="R1547" s="2060"/>
      <c r="S1547" s="2060"/>
    </row>
    <row r="1548" spans="2:19">
      <c r="B1548" s="2060"/>
      <c r="C1548" s="2060"/>
      <c r="D1548" s="2060"/>
      <c r="E1548" s="255"/>
      <c r="H1548" s="2060"/>
      <c r="I1548" s="2060"/>
      <c r="J1548" s="2060"/>
      <c r="K1548" s="2060"/>
      <c r="L1548" s="2060"/>
      <c r="M1548" s="2060"/>
      <c r="N1548" s="2060"/>
      <c r="O1548" s="2060"/>
      <c r="P1548" s="2060"/>
      <c r="Q1548" s="2060"/>
      <c r="R1548" s="2060"/>
      <c r="S1548" s="2060"/>
    </row>
    <row r="1549" spans="2:19">
      <c r="B1549" s="2060"/>
      <c r="C1549" s="2060"/>
      <c r="D1549" s="2060"/>
      <c r="E1549" s="255"/>
      <c r="H1549" s="2060"/>
      <c r="I1549" s="2060"/>
      <c r="J1549" s="2060"/>
      <c r="K1549" s="2060"/>
      <c r="L1549" s="2060"/>
      <c r="M1549" s="2060"/>
      <c r="N1549" s="2060"/>
      <c r="O1549" s="2060"/>
      <c r="P1549" s="2060"/>
      <c r="Q1549" s="2060"/>
      <c r="R1549" s="2060"/>
      <c r="S1549" s="2060"/>
    </row>
    <row r="1550" spans="2:19">
      <c r="B1550" s="2060"/>
      <c r="C1550" s="2060"/>
      <c r="D1550" s="2060"/>
      <c r="E1550" s="255"/>
      <c r="H1550" s="2060"/>
      <c r="I1550" s="2060"/>
      <c r="J1550" s="2060"/>
      <c r="K1550" s="2060"/>
      <c r="L1550" s="2060"/>
      <c r="M1550" s="2060"/>
      <c r="N1550" s="2060"/>
      <c r="O1550" s="2060"/>
      <c r="P1550" s="2060"/>
      <c r="Q1550" s="2060"/>
      <c r="R1550" s="2060"/>
      <c r="S1550" s="2060"/>
    </row>
    <row r="1551" spans="2:19">
      <c r="B1551" s="2060"/>
      <c r="C1551" s="2060"/>
      <c r="D1551" s="2060"/>
      <c r="E1551" s="255"/>
      <c r="H1551" s="2060"/>
      <c r="I1551" s="2060"/>
      <c r="J1551" s="2060"/>
      <c r="K1551" s="2060"/>
      <c r="L1551" s="2060"/>
      <c r="M1551" s="2060"/>
      <c r="N1551" s="2060"/>
      <c r="O1551" s="2060"/>
      <c r="P1551" s="2060"/>
      <c r="Q1551" s="2060"/>
      <c r="R1551" s="2060"/>
      <c r="S1551" s="2060"/>
    </row>
    <row r="1552" spans="2:19">
      <c r="B1552" s="2060"/>
      <c r="C1552" s="2060"/>
      <c r="D1552" s="2060"/>
      <c r="E1552" s="255"/>
      <c r="H1552" s="2060"/>
      <c r="I1552" s="2060"/>
      <c r="J1552" s="2060"/>
      <c r="K1552" s="2060"/>
      <c r="L1552" s="2060"/>
      <c r="M1552" s="2060"/>
      <c r="N1552" s="2060"/>
      <c r="O1552" s="2060"/>
      <c r="P1552" s="2060"/>
      <c r="Q1552" s="2060"/>
      <c r="R1552" s="2060"/>
      <c r="S1552" s="2060"/>
    </row>
    <row r="1553" spans="2:19">
      <c r="B1553" s="2060"/>
      <c r="C1553" s="2060"/>
      <c r="D1553" s="2060"/>
      <c r="E1553" s="255"/>
      <c r="H1553" s="2060"/>
      <c r="I1553" s="2060"/>
      <c r="J1553" s="2060"/>
      <c r="K1553" s="2060"/>
      <c r="L1553" s="2060"/>
      <c r="M1553" s="2060"/>
      <c r="N1553" s="2060"/>
      <c r="O1553" s="2060"/>
      <c r="P1553" s="2060"/>
      <c r="Q1553" s="2060"/>
      <c r="R1553" s="2060"/>
      <c r="S1553" s="2060"/>
    </row>
    <row r="1554" spans="2:19">
      <c r="B1554" s="2060"/>
      <c r="C1554" s="2060"/>
      <c r="D1554" s="2060"/>
      <c r="E1554" s="255"/>
      <c r="H1554" s="2060"/>
      <c r="I1554" s="2060"/>
      <c r="J1554" s="2060"/>
      <c r="K1554" s="2060"/>
      <c r="L1554" s="2060"/>
      <c r="M1554" s="2060"/>
      <c r="N1554" s="2060"/>
      <c r="O1554" s="2060"/>
      <c r="P1554" s="2060"/>
      <c r="Q1554" s="2060"/>
      <c r="R1554" s="2060"/>
      <c r="S1554" s="2060"/>
    </row>
    <row r="1555" spans="2:19">
      <c r="B1555" s="2060"/>
      <c r="C1555" s="2060"/>
      <c r="D1555" s="2060"/>
      <c r="E1555" s="255"/>
      <c r="H1555" s="2060"/>
      <c r="I1555" s="2060"/>
      <c r="J1555" s="2060"/>
      <c r="K1555" s="2060"/>
      <c r="L1555" s="2060"/>
      <c r="M1555" s="2060"/>
      <c r="N1555" s="2060"/>
      <c r="O1555" s="2060"/>
      <c r="P1555" s="2060"/>
      <c r="Q1555" s="2060"/>
      <c r="R1555" s="2060"/>
      <c r="S1555" s="2060"/>
    </row>
    <row r="1556" spans="2:19">
      <c r="B1556" s="2060"/>
      <c r="C1556" s="2060"/>
      <c r="D1556" s="2060"/>
      <c r="E1556" s="255"/>
      <c r="H1556" s="2060"/>
      <c r="I1556" s="2060"/>
      <c r="J1556" s="2060"/>
      <c r="K1556" s="2060"/>
      <c r="L1556" s="2060"/>
      <c r="M1556" s="2060"/>
      <c r="N1556" s="2060"/>
      <c r="O1556" s="2060"/>
      <c r="P1556" s="2060"/>
      <c r="Q1556" s="2060"/>
      <c r="R1556" s="2060"/>
      <c r="S1556" s="2060"/>
    </row>
    <row r="1557" spans="2:19">
      <c r="B1557" s="2060"/>
      <c r="C1557" s="2060"/>
      <c r="D1557" s="2060"/>
      <c r="E1557" s="255"/>
      <c r="H1557" s="2060"/>
      <c r="I1557" s="2060"/>
      <c r="J1557" s="2060"/>
      <c r="K1557" s="2060"/>
      <c r="L1557" s="2060"/>
      <c r="M1557" s="2060"/>
      <c r="N1557" s="2060"/>
      <c r="O1557" s="2060"/>
      <c r="P1557" s="2060"/>
      <c r="Q1557" s="2060"/>
      <c r="R1557" s="2060"/>
      <c r="S1557" s="2060"/>
    </row>
    <row r="1558" spans="2:19">
      <c r="B1558" s="2060"/>
      <c r="C1558" s="2060"/>
      <c r="D1558" s="2060"/>
      <c r="E1558" s="255"/>
      <c r="H1558" s="2060"/>
      <c r="I1558" s="2060"/>
      <c r="J1558" s="2060"/>
      <c r="K1558" s="2060"/>
      <c r="L1558" s="2060"/>
      <c r="M1558" s="2060"/>
      <c r="N1558" s="2060"/>
      <c r="O1558" s="2060"/>
      <c r="P1558" s="2060"/>
      <c r="Q1558" s="2060"/>
      <c r="R1558" s="2060"/>
      <c r="S1558" s="2060"/>
    </row>
    <row r="1559" spans="2:19">
      <c r="B1559" s="2060"/>
      <c r="C1559" s="2060"/>
      <c r="D1559" s="2060"/>
      <c r="E1559" s="255"/>
      <c r="H1559" s="2060"/>
      <c r="I1559" s="2060"/>
      <c r="J1559" s="2060"/>
      <c r="K1559" s="2060"/>
      <c r="L1559" s="2060"/>
      <c r="M1559" s="2060"/>
      <c r="N1559" s="2060"/>
      <c r="O1559" s="2060"/>
      <c r="P1559" s="2060"/>
      <c r="Q1559" s="2060"/>
      <c r="R1559" s="2060"/>
      <c r="S1559" s="2060"/>
    </row>
    <row r="1560" spans="2:19">
      <c r="B1560" s="2060"/>
      <c r="C1560" s="2060"/>
      <c r="D1560" s="2060"/>
      <c r="E1560" s="255"/>
      <c r="H1560" s="2060"/>
      <c r="I1560" s="2060"/>
      <c r="J1560" s="2060"/>
      <c r="K1560" s="2060"/>
      <c r="L1560" s="2060"/>
      <c r="M1560" s="2060"/>
      <c r="N1560" s="2060"/>
      <c r="O1560" s="2060"/>
      <c r="P1560" s="2060"/>
      <c r="Q1560" s="2060"/>
      <c r="R1560" s="2060"/>
      <c r="S1560" s="2060"/>
    </row>
    <row r="1561" spans="2:19">
      <c r="B1561" s="2060"/>
      <c r="C1561" s="2060"/>
      <c r="D1561" s="2060"/>
      <c r="E1561" s="255"/>
      <c r="H1561" s="2060"/>
      <c r="I1561" s="2060"/>
      <c r="J1561" s="2060"/>
      <c r="K1561" s="2060"/>
      <c r="L1561" s="2060"/>
      <c r="M1561" s="2060"/>
      <c r="N1561" s="2060"/>
      <c r="O1561" s="2060"/>
      <c r="P1561" s="2060"/>
      <c r="Q1561" s="2060"/>
      <c r="R1561" s="2060"/>
      <c r="S1561" s="2060"/>
    </row>
    <row r="1562" spans="2:19">
      <c r="B1562" s="2060"/>
      <c r="C1562" s="2060"/>
      <c r="D1562" s="2060"/>
      <c r="E1562" s="255"/>
      <c r="H1562" s="2060"/>
      <c r="I1562" s="2060"/>
      <c r="J1562" s="2060"/>
      <c r="K1562" s="2060"/>
      <c r="L1562" s="2060"/>
      <c r="M1562" s="2060"/>
      <c r="N1562" s="2060"/>
      <c r="O1562" s="2060"/>
      <c r="P1562" s="2060"/>
      <c r="Q1562" s="2060"/>
      <c r="R1562" s="2060"/>
      <c r="S1562" s="2060"/>
    </row>
    <row r="1563" spans="2:19">
      <c r="B1563" s="2060"/>
      <c r="C1563" s="2060"/>
      <c r="D1563" s="2060"/>
      <c r="E1563" s="255"/>
      <c r="H1563" s="2060"/>
      <c r="I1563" s="2060"/>
      <c r="J1563" s="2060"/>
      <c r="K1563" s="2060"/>
      <c r="L1563" s="2060"/>
      <c r="M1563" s="2060"/>
      <c r="N1563" s="2060"/>
      <c r="O1563" s="2060"/>
      <c r="P1563" s="2060"/>
      <c r="Q1563" s="2060"/>
      <c r="R1563" s="2060"/>
      <c r="S1563" s="2060"/>
    </row>
    <row r="1564" spans="2:19">
      <c r="B1564" s="2060"/>
      <c r="C1564" s="2060"/>
      <c r="D1564" s="2060"/>
      <c r="E1564" s="255"/>
      <c r="H1564" s="2060"/>
      <c r="I1564" s="2060"/>
      <c r="J1564" s="2060"/>
      <c r="K1564" s="2060"/>
      <c r="L1564" s="2060"/>
      <c r="M1564" s="2060"/>
      <c r="N1564" s="2060"/>
      <c r="O1564" s="2060"/>
      <c r="P1564" s="2060"/>
      <c r="Q1564" s="2060"/>
      <c r="R1564" s="2060"/>
      <c r="S1564" s="2060"/>
    </row>
    <row r="1565" spans="2:19">
      <c r="B1565" s="2060"/>
      <c r="C1565" s="2060"/>
      <c r="D1565" s="2060"/>
      <c r="E1565" s="255"/>
      <c r="H1565" s="2060"/>
      <c r="I1565" s="2060"/>
      <c r="J1565" s="2060"/>
      <c r="K1565" s="2060"/>
      <c r="L1565" s="2060"/>
      <c r="M1565" s="2060"/>
      <c r="N1565" s="2060"/>
      <c r="O1565" s="2060"/>
      <c r="P1565" s="2060"/>
      <c r="Q1565" s="2060"/>
      <c r="R1565" s="2060"/>
      <c r="S1565" s="2060"/>
    </row>
    <row r="1566" spans="2:19">
      <c r="B1566" s="2060"/>
      <c r="C1566" s="2060"/>
      <c r="D1566" s="2060"/>
      <c r="E1566" s="255"/>
      <c r="H1566" s="2060"/>
      <c r="I1566" s="2060"/>
      <c r="J1566" s="2060"/>
      <c r="K1566" s="2060"/>
      <c r="L1566" s="2060"/>
      <c r="M1566" s="2060"/>
      <c r="N1566" s="2060"/>
      <c r="O1566" s="2060"/>
      <c r="P1566" s="2060"/>
      <c r="Q1566" s="2060"/>
      <c r="R1566" s="2060"/>
      <c r="S1566" s="2060"/>
    </row>
    <row r="1567" spans="2:19">
      <c r="B1567" s="2060"/>
      <c r="C1567" s="2060"/>
      <c r="D1567" s="2060"/>
      <c r="E1567" s="255"/>
      <c r="H1567" s="2060"/>
      <c r="I1567" s="2060"/>
      <c r="J1567" s="2060"/>
      <c r="K1567" s="2060"/>
      <c r="L1567" s="2060"/>
      <c r="M1567" s="2060"/>
      <c r="N1567" s="2060"/>
      <c r="O1567" s="2060"/>
      <c r="P1567" s="2060"/>
      <c r="Q1567" s="2060"/>
      <c r="R1567" s="2060"/>
      <c r="S1567" s="2060"/>
    </row>
    <row r="1568" spans="2:19">
      <c r="B1568" s="2060"/>
      <c r="C1568" s="2060"/>
      <c r="D1568" s="2060"/>
      <c r="E1568" s="255"/>
      <c r="H1568" s="2060"/>
      <c r="I1568" s="2060"/>
      <c r="J1568" s="2060"/>
      <c r="K1568" s="2060"/>
      <c r="L1568" s="2060"/>
      <c r="M1568" s="2060"/>
      <c r="N1568" s="2060"/>
      <c r="O1568" s="2060"/>
      <c r="P1568" s="2060"/>
      <c r="Q1568" s="2060"/>
      <c r="R1568" s="2060"/>
      <c r="S1568" s="2060"/>
    </row>
    <row r="1569" spans="2:19">
      <c r="B1569" s="2060"/>
      <c r="C1569" s="2060"/>
      <c r="D1569" s="2060"/>
      <c r="E1569" s="255"/>
      <c r="H1569" s="2060"/>
      <c r="I1569" s="2060"/>
      <c r="J1569" s="2060"/>
      <c r="K1569" s="2060"/>
      <c r="L1569" s="2060"/>
      <c r="M1569" s="2060"/>
      <c r="N1569" s="2060"/>
      <c r="O1569" s="2060"/>
      <c r="P1569" s="2060"/>
      <c r="Q1569" s="2060"/>
      <c r="R1569" s="2060"/>
      <c r="S1569" s="2060"/>
    </row>
    <row r="1570" spans="2:19">
      <c r="B1570" s="2060"/>
      <c r="C1570" s="2060"/>
      <c r="D1570" s="2060"/>
      <c r="E1570" s="255"/>
      <c r="H1570" s="2060"/>
      <c r="I1570" s="2060"/>
      <c r="J1570" s="2060"/>
      <c r="K1570" s="2060"/>
      <c r="L1570" s="2060"/>
      <c r="M1570" s="2060"/>
      <c r="N1570" s="2060"/>
      <c r="O1570" s="2060"/>
      <c r="P1570" s="2060"/>
      <c r="Q1570" s="2060"/>
      <c r="R1570" s="2060"/>
      <c r="S1570" s="2060"/>
    </row>
    <row r="1571" spans="2:19">
      <c r="B1571" s="2060"/>
      <c r="C1571" s="2060"/>
      <c r="D1571" s="2060"/>
      <c r="E1571" s="255"/>
      <c r="H1571" s="2060"/>
      <c r="I1571" s="2060"/>
      <c r="J1571" s="2060"/>
      <c r="K1571" s="2060"/>
      <c r="L1571" s="2060"/>
      <c r="M1571" s="2060"/>
      <c r="N1571" s="2060"/>
      <c r="O1571" s="2060"/>
      <c r="P1571" s="2060"/>
      <c r="Q1571" s="2060"/>
      <c r="R1571" s="2060"/>
      <c r="S1571" s="2060"/>
    </row>
    <row r="1572" spans="2:19">
      <c r="B1572" s="2060"/>
      <c r="C1572" s="2060"/>
      <c r="D1572" s="2060"/>
      <c r="E1572" s="255"/>
      <c r="H1572" s="2060"/>
      <c r="I1572" s="2060"/>
      <c r="J1572" s="2060"/>
      <c r="K1572" s="2060"/>
      <c r="L1572" s="2060"/>
      <c r="M1572" s="2060"/>
      <c r="N1572" s="2060"/>
      <c r="O1572" s="2060"/>
      <c r="P1572" s="2060"/>
      <c r="Q1572" s="2060"/>
      <c r="R1572" s="2060"/>
      <c r="S1572" s="2060"/>
    </row>
    <row r="1573" spans="2:19">
      <c r="B1573" s="2060"/>
      <c r="C1573" s="2060"/>
      <c r="D1573" s="2060"/>
      <c r="E1573" s="255"/>
      <c r="H1573" s="2060"/>
      <c r="I1573" s="2060"/>
      <c r="J1573" s="2060"/>
      <c r="K1573" s="2060"/>
      <c r="L1573" s="2060"/>
      <c r="M1573" s="2060"/>
      <c r="N1573" s="2060"/>
      <c r="O1573" s="2060"/>
      <c r="P1573" s="2060"/>
      <c r="Q1573" s="2060"/>
      <c r="R1573" s="2060"/>
      <c r="S1573" s="2060"/>
    </row>
    <row r="1574" spans="2:19">
      <c r="B1574" s="2060"/>
      <c r="C1574" s="2060"/>
      <c r="D1574" s="2060"/>
      <c r="E1574" s="255"/>
      <c r="H1574" s="2060"/>
      <c r="I1574" s="2060"/>
      <c r="J1574" s="2060"/>
      <c r="K1574" s="2060"/>
      <c r="L1574" s="2060"/>
      <c r="M1574" s="2060"/>
      <c r="N1574" s="2060"/>
      <c r="O1574" s="2060"/>
      <c r="P1574" s="2060"/>
      <c r="Q1574" s="2060"/>
      <c r="R1574" s="2060"/>
      <c r="S1574" s="2060"/>
    </row>
    <row r="1575" spans="2:19">
      <c r="B1575" s="2060"/>
      <c r="C1575" s="2060"/>
      <c r="D1575" s="2060"/>
      <c r="E1575" s="255"/>
      <c r="H1575" s="2060"/>
      <c r="I1575" s="2060"/>
      <c r="J1575" s="2060"/>
      <c r="K1575" s="2060"/>
      <c r="L1575" s="2060"/>
      <c r="M1575" s="2060"/>
      <c r="N1575" s="2060"/>
      <c r="O1575" s="2060"/>
      <c r="P1575" s="2060"/>
      <c r="Q1575" s="2060"/>
      <c r="R1575" s="2060"/>
      <c r="S1575" s="2060"/>
    </row>
    <row r="1576" spans="2:19">
      <c r="B1576" s="2060"/>
      <c r="C1576" s="2060"/>
      <c r="D1576" s="2060"/>
      <c r="E1576" s="255"/>
      <c r="H1576" s="2060"/>
      <c r="I1576" s="2060"/>
      <c r="J1576" s="2060"/>
      <c r="K1576" s="2060"/>
      <c r="L1576" s="2060"/>
      <c r="M1576" s="2060"/>
      <c r="N1576" s="2060"/>
      <c r="O1576" s="2060"/>
      <c r="P1576" s="2060"/>
      <c r="Q1576" s="2060"/>
      <c r="R1576" s="2060"/>
      <c r="S1576" s="2060"/>
    </row>
    <row r="1577" spans="2:19">
      <c r="B1577" s="2060"/>
      <c r="C1577" s="2060"/>
      <c r="D1577" s="2060"/>
      <c r="E1577" s="255"/>
      <c r="H1577" s="2060"/>
      <c r="I1577" s="2060"/>
      <c r="J1577" s="2060"/>
      <c r="K1577" s="2060"/>
      <c r="L1577" s="2060"/>
      <c r="M1577" s="2060"/>
      <c r="N1577" s="2060"/>
      <c r="O1577" s="2060"/>
      <c r="P1577" s="2060"/>
      <c r="Q1577" s="2060"/>
      <c r="R1577" s="2060"/>
      <c r="S1577" s="2060"/>
    </row>
    <row r="1578" spans="2:19">
      <c r="B1578" s="2060"/>
      <c r="C1578" s="2060"/>
      <c r="D1578" s="2060"/>
      <c r="E1578" s="255"/>
      <c r="H1578" s="2060"/>
      <c r="I1578" s="2060"/>
      <c r="J1578" s="2060"/>
      <c r="K1578" s="2060"/>
      <c r="L1578" s="2060"/>
      <c r="M1578" s="2060"/>
      <c r="N1578" s="2060"/>
      <c r="O1578" s="2060"/>
      <c r="P1578" s="2060"/>
      <c r="Q1578" s="2060"/>
      <c r="R1578" s="2060"/>
      <c r="S1578" s="2060"/>
    </row>
    <row r="1579" spans="2:19">
      <c r="B1579" s="2060"/>
      <c r="C1579" s="2060"/>
      <c r="D1579" s="2060"/>
      <c r="E1579" s="255"/>
      <c r="H1579" s="2060"/>
      <c r="I1579" s="2060"/>
      <c r="J1579" s="2060"/>
      <c r="K1579" s="2060"/>
      <c r="L1579" s="2060"/>
      <c r="M1579" s="2060"/>
      <c r="N1579" s="2060"/>
      <c r="O1579" s="2060"/>
      <c r="P1579" s="2060"/>
      <c r="Q1579" s="2060"/>
      <c r="R1579" s="2060"/>
      <c r="S1579" s="2060"/>
    </row>
    <row r="1580" spans="2:19">
      <c r="B1580" s="2060"/>
      <c r="C1580" s="2060"/>
      <c r="D1580" s="2060"/>
      <c r="E1580" s="255"/>
      <c r="H1580" s="2060"/>
      <c r="I1580" s="2060"/>
      <c r="J1580" s="2060"/>
      <c r="K1580" s="2060"/>
      <c r="L1580" s="2060"/>
      <c r="M1580" s="2060"/>
      <c r="N1580" s="2060"/>
      <c r="O1580" s="2060"/>
      <c r="P1580" s="2060"/>
      <c r="Q1580" s="2060"/>
      <c r="R1580" s="2060"/>
      <c r="S1580" s="2060"/>
    </row>
    <row r="1581" spans="2:19">
      <c r="B1581" s="2060"/>
      <c r="C1581" s="2060"/>
      <c r="D1581" s="2060"/>
      <c r="E1581" s="255"/>
      <c r="H1581" s="2060"/>
      <c r="I1581" s="2060"/>
      <c r="J1581" s="2060"/>
      <c r="K1581" s="2060"/>
      <c r="L1581" s="2060"/>
      <c r="M1581" s="2060"/>
      <c r="N1581" s="2060"/>
      <c r="O1581" s="2060"/>
      <c r="P1581" s="2060"/>
      <c r="Q1581" s="2060"/>
      <c r="R1581" s="2060"/>
      <c r="S1581" s="2060"/>
    </row>
    <row r="1582" spans="2:19">
      <c r="B1582" s="2060"/>
      <c r="C1582" s="2060"/>
      <c r="D1582" s="2060"/>
      <c r="E1582" s="255"/>
      <c r="H1582" s="2060"/>
      <c r="I1582" s="2060"/>
      <c r="J1582" s="2060"/>
      <c r="K1582" s="2060"/>
      <c r="L1582" s="2060"/>
      <c r="M1582" s="2060"/>
      <c r="N1582" s="2060"/>
      <c r="O1582" s="2060"/>
      <c r="P1582" s="2060"/>
      <c r="Q1582" s="2060"/>
      <c r="R1582" s="2060"/>
      <c r="S1582" s="2060"/>
    </row>
    <row r="1583" spans="2:19">
      <c r="B1583" s="2060"/>
      <c r="C1583" s="2060"/>
      <c r="D1583" s="2060"/>
      <c r="E1583" s="255"/>
      <c r="H1583" s="2060"/>
      <c r="I1583" s="2060"/>
      <c r="J1583" s="2060"/>
      <c r="K1583" s="2060"/>
      <c r="L1583" s="2060"/>
      <c r="M1583" s="2060"/>
      <c r="N1583" s="2060"/>
      <c r="O1583" s="2060"/>
      <c r="P1583" s="2060"/>
      <c r="Q1583" s="2060"/>
      <c r="R1583" s="2060"/>
      <c r="S1583" s="2060"/>
    </row>
    <row r="1584" spans="2:19">
      <c r="B1584" s="2060"/>
      <c r="C1584" s="2060"/>
      <c r="D1584" s="2060"/>
      <c r="E1584" s="255"/>
      <c r="H1584" s="2060"/>
      <c r="I1584" s="2060"/>
      <c r="J1584" s="2060"/>
      <c r="K1584" s="2060"/>
      <c r="L1584" s="2060"/>
      <c r="M1584" s="2060"/>
      <c r="N1584" s="2060"/>
      <c r="O1584" s="2060"/>
      <c r="P1584" s="2060"/>
      <c r="Q1584" s="2060"/>
      <c r="R1584" s="2060"/>
      <c r="S1584" s="2060"/>
    </row>
    <row r="1585" spans="2:19">
      <c r="B1585" s="2060"/>
      <c r="C1585" s="2060"/>
      <c r="D1585" s="2060"/>
      <c r="E1585" s="255"/>
      <c r="H1585" s="2060"/>
      <c r="I1585" s="2060"/>
      <c r="J1585" s="2060"/>
      <c r="K1585" s="2060"/>
      <c r="L1585" s="2060"/>
      <c r="M1585" s="2060"/>
      <c r="N1585" s="2060"/>
      <c r="O1585" s="2060"/>
      <c r="P1585" s="2060"/>
      <c r="Q1585" s="2060"/>
      <c r="R1585" s="2060"/>
      <c r="S1585" s="2060"/>
    </row>
    <row r="1586" spans="2:19">
      <c r="B1586" s="2060"/>
      <c r="C1586" s="2060"/>
      <c r="D1586" s="2060"/>
      <c r="E1586" s="255"/>
      <c r="H1586" s="2060"/>
      <c r="I1586" s="2060"/>
      <c r="J1586" s="2060"/>
      <c r="K1586" s="2060"/>
      <c r="L1586" s="2060"/>
      <c r="M1586" s="2060"/>
      <c r="N1586" s="2060"/>
      <c r="O1586" s="2060"/>
      <c r="P1586" s="2060"/>
      <c r="Q1586" s="2060"/>
      <c r="R1586" s="2060"/>
      <c r="S1586" s="2060"/>
    </row>
    <row r="1587" spans="2:19">
      <c r="B1587" s="2060"/>
      <c r="C1587" s="2060"/>
      <c r="D1587" s="2060"/>
      <c r="E1587" s="255"/>
      <c r="H1587" s="2060"/>
      <c r="I1587" s="2060"/>
      <c r="J1587" s="2060"/>
      <c r="K1587" s="2060"/>
      <c r="L1587" s="2060"/>
      <c r="M1587" s="2060"/>
      <c r="N1587" s="2060"/>
      <c r="O1587" s="2060"/>
      <c r="P1587" s="2060"/>
      <c r="Q1587" s="2060"/>
      <c r="R1587" s="2060"/>
      <c r="S1587" s="2060"/>
    </row>
    <row r="1588" spans="2:19">
      <c r="B1588" s="2060"/>
      <c r="C1588" s="2060"/>
      <c r="D1588" s="2060"/>
      <c r="E1588" s="255"/>
      <c r="H1588" s="2060"/>
      <c r="I1588" s="2060"/>
      <c r="J1588" s="2060"/>
      <c r="K1588" s="2060"/>
      <c r="L1588" s="2060"/>
      <c r="M1588" s="2060"/>
      <c r="N1588" s="2060"/>
      <c r="O1588" s="2060"/>
      <c r="P1588" s="2060"/>
      <c r="Q1588" s="2060"/>
      <c r="R1588" s="2060"/>
      <c r="S1588" s="2060"/>
    </row>
    <row r="1589" spans="2:19">
      <c r="B1589" s="2060"/>
      <c r="C1589" s="2060"/>
      <c r="D1589" s="2060"/>
      <c r="E1589" s="255"/>
      <c r="H1589" s="2060"/>
      <c r="I1589" s="2060"/>
      <c r="J1589" s="2060"/>
      <c r="K1589" s="2060"/>
      <c r="L1589" s="2060"/>
      <c r="M1589" s="2060"/>
      <c r="N1589" s="2060"/>
      <c r="O1589" s="2060"/>
      <c r="P1589" s="2060"/>
      <c r="Q1589" s="2060"/>
      <c r="R1589" s="2060"/>
      <c r="S1589" s="2060"/>
    </row>
    <row r="1590" spans="2:19">
      <c r="B1590" s="2060"/>
      <c r="C1590" s="2060"/>
      <c r="D1590" s="2060"/>
      <c r="E1590" s="255"/>
      <c r="H1590" s="2060"/>
      <c r="I1590" s="2060"/>
      <c r="J1590" s="2060"/>
      <c r="K1590" s="2060"/>
      <c r="L1590" s="2060"/>
      <c r="M1590" s="2060"/>
      <c r="N1590" s="2060"/>
      <c r="O1590" s="2060"/>
      <c r="P1590" s="2060"/>
      <c r="Q1590" s="2060"/>
      <c r="R1590" s="2060"/>
      <c r="S1590" s="2060"/>
    </row>
    <row r="1591" spans="2:19">
      <c r="B1591" s="2060"/>
      <c r="C1591" s="2060"/>
      <c r="D1591" s="2060"/>
      <c r="E1591" s="255"/>
      <c r="H1591" s="2060"/>
      <c r="I1591" s="2060"/>
      <c r="J1591" s="2060"/>
      <c r="K1591" s="2060"/>
      <c r="L1591" s="2060"/>
      <c r="M1591" s="2060"/>
      <c r="N1591" s="2060"/>
      <c r="O1591" s="2060"/>
      <c r="P1591" s="2060"/>
      <c r="Q1591" s="2060"/>
      <c r="R1591" s="2060"/>
      <c r="S1591" s="2060"/>
    </row>
    <row r="1592" spans="2:19">
      <c r="B1592" s="2060"/>
      <c r="C1592" s="2060"/>
      <c r="D1592" s="2060"/>
      <c r="E1592" s="255"/>
      <c r="H1592" s="2060"/>
      <c r="I1592" s="2060"/>
      <c r="J1592" s="2060"/>
      <c r="K1592" s="2060"/>
      <c r="L1592" s="2060"/>
      <c r="M1592" s="2060"/>
      <c r="N1592" s="2060"/>
      <c r="O1592" s="2060"/>
      <c r="P1592" s="2060"/>
      <c r="Q1592" s="2060"/>
      <c r="R1592" s="2060"/>
      <c r="S1592" s="2060"/>
    </row>
    <row r="1593" spans="2:19">
      <c r="B1593" s="2060"/>
      <c r="C1593" s="2060"/>
      <c r="D1593" s="2060"/>
      <c r="E1593" s="255"/>
      <c r="H1593" s="2060"/>
      <c r="I1593" s="2060"/>
      <c r="J1593" s="2060"/>
      <c r="K1593" s="2060"/>
      <c r="L1593" s="2060"/>
      <c r="M1593" s="2060"/>
      <c r="N1593" s="2060"/>
      <c r="O1593" s="2060"/>
      <c r="P1593" s="2060"/>
      <c r="Q1593" s="2060"/>
      <c r="R1593" s="2060"/>
      <c r="S1593" s="2060"/>
    </row>
    <row r="1594" spans="2:19">
      <c r="B1594" s="2060"/>
      <c r="C1594" s="2060"/>
      <c r="D1594" s="2060"/>
      <c r="E1594" s="255"/>
      <c r="H1594" s="2060"/>
      <c r="I1594" s="2060"/>
      <c r="J1594" s="2060"/>
      <c r="K1594" s="2060"/>
      <c r="L1594" s="2060"/>
      <c r="M1594" s="2060"/>
      <c r="N1594" s="2060"/>
      <c r="O1594" s="2060"/>
      <c r="P1594" s="2060"/>
      <c r="Q1594" s="2060"/>
      <c r="R1594" s="2060"/>
      <c r="S1594" s="2060"/>
    </row>
    <row r="1595" spans="2:19">
      <c r="B1595" s="2060"/>
      <c r="C1595" s="2060"/>
      <c r="D1595" s="2060"/>
      <c r="E1595" s="255"/>
      <c r="H1595" s="2060"/>
      <c r="I1595" s="2060"/>
      <c r="J1595" s="2060"/>
      <c r="K1595" s="2060"/>
      <c r="L1595" s="2060"/>
      <c r="M1595" s="2060"/>
      <c r="N1595" s="2060"/>
      <c r="O1595" s="2060"/>
      <c r="P1595" s="2060"/>
      <c r="Q1595" s="2060"/>
      <c r="R1595" s="2060"/>
      <c r="S1595" s="2060"/>
    </row>
    <row r="1596" spans="2:19">
      <c r="B1596" s="2060"/>
      <c r="C1596" s="2060"/>
      <c r="D1596" s="2060"/>
      <c r="E1596" s="255"/>
      <c r="H1596" s="2060"/>
      <c r="I1596" s="2060"/>
      <c r="J1596" s="2060"/>
      <c r="K1596" s="2060"/>
      <c r="L1596" s="2060"/>
      <c r="M1596" s="2060"/>
      <c r="N1596" s="2060"/>
      <c r="O1596" s="2060"/>
      <c r="P1596" s="2060"/>
      <c r="Q1596" s="2060"/>
      <c r="R1596" s="2060"/>
      <c r="S1596" s="2060"/>
    </row>
    <row r="1597" spans="2:19">
      <c r="B1597" s="2060"/>
      <c r="C1597" s="2060"/>
      <c r="D1597" s="2060"/>
      <c r="E1597" s="255"/>
      <c r="H1597" s="2060"/>
      <c r="I1597" s="2060"/>
      <c r="J1597" s="2060"/>
      <c r="K1597" s="2060"/>
      <c r="L1597" s="2060"/>
      <c r="M1597" s="2060"/>
      <c r="N1597" s="2060"/>
      <c r="O1597" s="2060"/>
      <c r="P1597" s="2060"/>
      <c r="Q1597" s="2060"/>
      <c r="R1597" s="2060"/>
      <c r="S1597" s="2060"/>
    </row>
    <row r="1598" spans="2:19">
      <c r="B1598" s="2060"/>
      <c r="C1598" s="2060"/>
      <c r="D1598" s="2060"/>
      <c r="E1598" s="255"/>
      <c r="H1598" s="2060"/>
      <c r="I1598" s="2060"/>
      <c r="J1598" s="2060"/>
      <c r="K1598" s="2060"/>
      <c r="L1598" s="2060"/>
      <c r="M1598" s="2060"/>
      <c r="N1598" s="2060"/>
      <c r="O1598" s="2060"/>
      <c r="P1598" s="2060"/>
      <c r="Q1598" s="2060"/>
      <c r="R1598" s="2060"/>
      <c r="S1598" s="2060"/>
    </row>
    <row r="1599" spans="2:19">
      <c r="B1599" s="2060"/>
      <c r="C1599" s="2060"/>
      <c r="D1599" s="2060"/>
      <c r="E1599" s="255"/>
      <c r="H1599" s="2060"/>
      <c r="I1599" s="2060"/>
      <c r="J1599" s="2060"/>
      <c r="K1599" s="2060"/>
      <c r="L1599" s="2060"/>
      <c r="M1599" s="2060"/>
      <c r="N1599" s="2060"/>
      <c r="O1599" s="2060"/>
      <c r="P1599" s="2060"/>
      <c r="Q1599" s="2060"/>
      <c r="R1599" s="2060"/>
      <c r="S1599" s="2060"/>
    </row>
    <row r="1600" spans="2:19">
      <c r="B1600" s="2060"/>
      <c r="C1600" s="2060"/>
      <c r="D1600" s="2060"/>
      <c r="E1600" s="255"/>
      <c r="H1600" s="2060"/>
      <c r="I1600" s="2060"/>
      <c r="J1600" s="2060"/>
      <c r="K1600" s="2060"/>
      <c r="L1600" s="2060"/>
      <c r="M1600" s="2060"/>
      <c r="N1600" s="2060"/>
      <c r="O1600" s="2060"/>
      <c r="P1600" s="2060"/>
      <c r="Q1600" s="2060"/>
      <c r="R1600" s="2060"/>
      <c r="S1600" s="2060"/>
    </row>
    <row r="1601" spans="2:19">
      <c r="B1601" s="2060"/>
      <c r="C1601" s="2060"/>
      <c r="D1601" s="2060"/>
      <c r="E1601" s="255"/>
      <c r="H1601" s="2060"/>
      <c r="I1601" s="2060"/>
      <c r="J1601" s="2060"/>
      <c r="K1601" s="2060"/>
      <c r="L1601" s="2060"/>
      <c r="M1601" s="2060"/>
      <c r="N1601" s="2060"/>
      <c r="O1601" s="2060"/>
      <c r="P1601" s="2060"/>
      <c r="Q1601" s="2060"/>
      <c r="R1601" s="2060"/>
      <c r="S1601" s="2060"/>
    </row>
    <row r="1602" spans="2:19">
      <c r="B1602" s="2060"/>
      <c r="C1602" s="2060"/>
      <c r="D1602" s="2060"/>
      <c r="E1602" s="255"/>
      <c r="H1602" s="2060"/>
      <c r="I1602" s="2060"/>
      <c r="J1602" s="2060"/>
      <c r="K1602" s="2060"/>
      <c r="L1602" s="2060"/>
      <c r="M1602" s="2060"/>
      <c r="N1602" s="2060"/>
      <c r="O1602" s="2060"/>
      <c r="P1602" s="2060"/>
      <c r="Q1602" s="2060"/>
      <c r="R1602" s="2060"/>
      <c r="S1602" s="2060"/>
    </row>
    <row r="1603" spans="2:19">
      <c r="B1603" s="2060"/>
      <c r="C1603" s="2060"/>
      <c r="D1603" s="2060"/>
      <c r="E1603" s="255"/>
      <c r="H1603" s="2060"/>
      <c r="I1603" s="2060"/>
      <c r="J1603" s="2060"/>
      <c r="K1603" s="2060"/>
      <c r="L1603" s="2060"/>
      <c r="M1603" s="2060"/>
      <c r="N1603" s="2060"/>
      <c r="O1603" s="2060"/>
      <c r="P1603" s="2060"/>
      <c r="Q1603" s="2060"/>
      <c r="R1603" s="2060"/>
      <c r="S1603" s="2060"/>
    </row>
    <row r="1604" spans="2:19">
      <c r="B1604" s="2060"/>
      <c r="C1604" s="2060"/>
      <c r="D1604" s="2060"/>
      <c r="E1604" s="255"/>
      <c r="H1604" s="2060"/>
      <c r="I1604" s="2060"/>
      <c r="J1604" s="2060"/>
      <c r="K1604" s="2060"/>
      <c r="L1604" s="2060"/>
      <c r="M1604" s="2060"/>
      <c r="N1604" s="2060"/>
      <c r="O1604" s="2060"/>
      <c r="P1604" s="2060"/>
      <c r="Q1604" s="2060"/>
      <c r="R1604" s="2060"/>
      <c r="S1604" s="2060"/>
    </row>
    <row r="1605" spans="2:19">
      <c r="B1605" s="2060"/>
      <c r="C1605" s="2060"/>
      <c r="D1605" s="2060"/>
      <c r="E1605" s="255"/>
      <c r="H1605" s="2060"/>
      <c r="I1605" s="2060"/>
      <c r="J1605" s="2060"/>
      <c r="K1605" s="2060"/>
      <c r="L1605" s="2060"/>
      <c r="M1605" s="2060"/>
      <c r="N1605" s="2060"/>
      <c r="O1605" s="2060"/>
      <c r="P1605" s="2060"/>
      <c r="Q1605" s="2060"/>
      <c r="R1605" s="2060"/>
      <c r="S1605" s="2060"/>
    </row>
    <row r="1606" spans="2:19">
      <c r="B1606" s="2060"/>
      <c r="C1606" s="2060"/>
      <c r="D1606" s="2060"/>
      <c r="E1606" s="255"/>
      <c r="H1606" s="2060"/>
      <c r="I1606" s="2060"/>
      <c r="J1606" s="2060"/>
      <c r="K1606" s="2060"/>
      <c r="L1606" s="2060"/>
      <c r="M1606" s="2060"/>
      <c r="N1606" s="2060"/>
      <c r="O1606" s="2060"/>
      <c r="P1606" s="2060"/>
      <c r="Q1606" s="2060"/>
      <c r="R1606" s="2060"/>
      <c r="S1606" s="2060"/>
    </row>
    <row r="1607" spans="2:19">
      <c r="B1607" s="2060"/>
      <c r="C1607" s="2060"/>
      <c r="D1607" s="2060"/>
      <c r="E1607" s="255"/>
      <c r="H1607" s="2060"/>
      <c r="I1607" s="2060"/>
      <c r="J1607" s="2060"/>
      <c r="K1607" s="2060"/>
      <c r="L1607" s="2060"/>
      <c r="M1607" s="2060"/>
      <c r="N1607" s="2060"/>
      <c r="O1607" s="2060"/>
      <c r="P1607" s="2060"/>
      <c r="Q1607" s="2060"/>
      <c r="R1607" s="2060"/>
      <c r="S1607" s="2060"/>
    </row>
    <row r="1608" spans="2:19">
      <c r="B1608" s="2060"/>
      <c r="C1608" s="2060"/>
      <c r="D1608" s="2060"/>
      <c r="E1608" s="255"/>
      <c r="H1608" s="2060"/>
      <c r="I1608" s="2060"/>
      <c r="J1608" s="2060"/>
      <c r="K1608" s="2060"/>
      <c r="L1608" s="2060"/>
      <c r="M1608" s="2060"/>
      <c r="N1608" s="2060"/>
      <c r="O1608" s="2060"/>
      <c r="P1608" s="2060"/>
      <c r="Q1608" s="2060"/>
      <c r="R1608" s="2060"/>
      <c r="S1608" s="2060"/>
    </row>
    <row r="1609" spans="2:19">
      <c r="B1609" s="2060"/>
      <c r="C1609" s="2060"/>
      <c r="D1609" s="2060"/>
      <c r="E1609" s="255"/>
      <c r="H1609" s="2060"/>
      <c r="I1609" s="2060"/>
      <c r="J1609" s="2060"/>
      <c r="K1609" s="2060"/>
      <c r="L1609" s="2060"/>
      <c r="M1609" s="2060"/>
      <c r="N1609" s="2060"/>
      <c r="O1609" s="2060"/>
      <c r="P1609" s="2060"/>
      <c r="Q1609" s="2060"/>
      <c r="R1609" s="2060"/>
      <c r="S1609" s="2060"/>
    </row>
    <row r="1610" spans="2:19">
      <c r="B1610" s="2060"/>
      <c r="C1610" s="2060"/>
      <c r="D1610" s="2060"/>
      <c r="E1610" s="255"/>
      <c r="H1610" s="2060"/>
      <c r="I1610" s="2060"/>
      <c r="J1610" s="2060"/>
      <c r="K1610" s="2060"/>
      <c r="L1610" s="2060"/>
      <c r="M1610" s="2060"/>
      <c r="N1610" s="2060"/>
      <c r="O1610" s="2060"/>
      <c r="P1610" s="2060"/>
      <c r="Q1610" s="2060"/>
      <c r="R1610" s="2060"/>
      <c r="S1610" s="2060"/>
    </row>
    <row r="1611" spans="2:19">
      <c r="B1611" s="2060"/>
      <c r="C1611" s="2060"/>
      <c r="D1611" s="2060"/>
      <c r="E1611" s="255"/>
      <c r="H1611" s="2060"/>
      <c r="I1611" s="2060"/>
      <c r="J1611" s="2060"/>
      <c r="K1611" s="2060"/>
      <c r="L1611" s="2060"/>
      <c r="M1611" s="2060"/>
      <c r="N1611" s="2060"/>
      <c r="O1611" s="2060"/>
      <c r="P1611" s="2060"/>
      <c r="Q1611" s="2060"/>
      <c r="R1611" s="2060"/>
      <c r="S1611" s="2060"/>
    </row>
    <row r="1612" spans="2:19">
      <c r="B1612" s="2060"/>
      <c r="C1612" s="2060"/>
      <c r="D1612" s="2060"/>
      <c r="E1612" s="255"/>
      <c r="H1612" s="2060"/>
      <c r="I1612" s="2060"/>
      <c r="J1612" s="2060"/>
      <c r="K1612" s="2060"/>
      <c r="L1612" s="2060"/>
      <c r="M1612" s="2060"/>
      <c r="N1612" s="2060"/>
      <c r="O1612" s="2060"/>
      <c r="P1612" s="2060"/>
      <c r="Q1612" s="2060"/>
      <c r="R1612" s="2060"/>
      <c r="S1612" s="2060"/>
    </row>
    <row r="1613" spans="2:19">
      <c r="B1613" s="2060"/>
      <c r="C1613" s="2060"/>
      <c r="D1613" s="2060"/>
      <c r="E1613" s="255"/>
      <c r="H1613" s="2060"/>
      <c r="I1613" s="2060"/>
      <c r="J1613" s="2060"/>
      <c r="K1613" s="2060"/>
      <c r="L1613" s="2060"/>
      <c r="M1613" s="2060"/>
      <c r="N1613" s="2060"/>
      <c r="O1613" s="2060"/>
      <c r="P1613" s="2060"/>
      <c r="Q1613" s="2060"/>
      <c r="R1613" s="2060"/>
      <c r="S1613" s="2060"/>
    </row>
    <row r="1614" spans="2:19">
      <c r="B1614" s="2060"/>
      <c r="C1614" s="2060"/>
      <c r="D1614" s="2060"/>
      <c r="E1614" s="255"/>
      <c r="H1614" s="2060"/>
      <c r="I1614" s="2060"/>
      <c r="J1614" s="2060"/>
      <c r="K1614" s="2060"/>
      <c r="L1614" s="2060"/>
      <c r="M1614" s="2060"/>
      <c r="N1614" s="2060"/>
      <c r="O1614" s="2060"/>
      <c r="P1614" s="2060"/>
      <c r="Q1614" s="2060"/>
      <c r="R1614" s="2060"/>
      <c r="S1614" s="2060"/>
    </row>
    <row r="1615" spans="2:19">
      <c r="B1615" s="2060"/>
      <c r="C1615" s="2060"/>
      <c r="D1615" s="2060"/>
      <c r="E1615" s="255"/>
      <c r="H1615" s="2060"/>
      <c r="I1615" s="2060"/>
      <c r="J1615" s="2060"/>
      <c r="K1615" s="2060"/>
      <c r="L1615" s="2060"/>
      <c r="M1615" s="2060"/>
      <c r="N1615" s="2060"/>
      <c r="O1615" s="2060"/>
      <c r="P1615" s="2060"/>
      <c r="Q1615" s="2060"/>
      <c r="R1615" s="2060"/>
      <c r="S1615" s="2060"/>
    </row>
    <row r="1616" spans="2:19">
      <c r="B1616" s="2060"/>
      <c r="C1616" s="2060"/>
      <c r="D1616" s="2060"/>
      <c r="E1616" s="255"/>
      <c r="H1616" s="2060"/>
      <c r="I1616" s="2060"/>
      <c r="J1616" s="2060"/>
      <c r="K1616" s="2060"/>
      <c r="L1616" s="2060"/>
      <c r="M1616" s="2060"/>
      <c r="N1616" s="2060"/>
      <c r="O1616" s="2060"/>
      <c r="P1616" s="2060"/>
      <c r="Q1616" s="2060"/>
      <c r="R1616" s="2060"/>
      <c r="S1616" s="2060"/>
    </row>
    <row r="1617" spans="2:19">
      <c r="B1617" s="2060"/>
      <c r="C1617" s="2060"/>
      <c r="D1617" s="2060"/>
      <c r="E1617" s="255"/>
      <c r="H1617" s="2060"/>
      <c r="I1617" s="2060"/>
      <c r="J1617" s="2060"/>
      <c r="K1617" s="2060"/>
      <c r="L1617" s="2060"/>
      <c r="M1617" s="2060"/>
      <c r="N1617" s="2060"/>
      <c r="O1617" s="2060"/>
      <c r="P1617" s="2060"/>
      <c r="Q1617" s="2060"/>
      <c r="R1617" s="2060"/>
      <c r="S1617" s="2060"/>
    </row>
    <row r="1618" spans="2:19">
      <c r="B1618" s="2060"/>
      <c r="C1618" s="2060"/>
      <c r="D1618" s="2060"/>
      <c r="E1618" s="255"/>
      <c r="H1618" s="2060"/>
      <c r="I1618" s="2060"/>
      <c r="J1618" s="2060"/>
      <c r="K1618" s="2060"/>
      <c r="L1618" s="2060"/>
      <c r="M1618" s="2060"/>
      <c r="N1618" s="2060"/>
      <c r="O1618" s="2060"/>
      <c r="P1618" s="2060"/>
      <c r="Q1618" s="2060"/>
      <c r="R1618" s="2060"/>
      <c r="S1618" s="2060"/>
    </row>
    <row r="1619" spans="2:19">
      <c r="B1619" s="2060"/>
      <c r="C1619" s="2060"/>
      <c r="D1619" s="2060"/>
      <c r="E1619" s="255"/>
      <c r="H1619" s="2060"/>
      <c r="I1619" s="2060"/>
      <c r="J1619" s="2060"/>
      <c r="K1619" s="2060"/>
      <c r="L1619" s="2060"/>
      <c r="M1619" s="2060"/>
      <c r="N1619" s="2060"/>
      <c r="O1619" s="2060"/>
      <c r="P1619" s="2060"/>
      <c r="Q1619" s="2060"/>
      <c r="R1619" s="2060"/>
      <c r="S1619" s="2060"/>
    </row>
    <row r="1620" spans="2:19">
      <c r="B1620" s="2060"/>
      <c r="C1620" s="2060"/>
      <c r="D1620" s="2060"/>
      <c r="E1620" s="255"/>
      <c r="H1620" s="2060"/>
      <c r="I1620" s="2060"/>
      <c r="J1620" s="2060"/>
      <c r="K1620" s="2060"/>
      <c r="L1620" s="2060"/>
      <c r="M1620" s="2060"/>
      <c r="N1620" s="2060"/>
      <c r="O1620" s="2060"/>
      <c r="P1620" s="2060"/>
      <c r="Q1620" s="2060"/>
      <c r="R1620" s="2060"/>
      <c r="S1620" s="2060"/>
    </row>
    <row r="1621" spans="2:19">
      <c r="B1621" s="2060"/>
      <c r="C1621" s="2060"/>
      <c r="D1621" s="2060"/>
      <c r="E1621" s="255"/>
      <c r="H1621" s="2060"/>
      <c r="I1621" s="2060"/>
      <c r="J1621" s="2060"/>
      <c r="K1621" s="2060"/>
      <c r="L1621" s="2060"/>
      <c r="M1621" s="2060"/>
      <c r="N1621" s="2060"/>
      <c r="O1621" s="2060"/>
      <c r="P1621" s="2060"/>
      <c r="Q1621" s="2060"/>
      <c r="R1621" s="2060"/>
      <c r="S1621" s="2060"/>
    </row>
    <row r="1622" spans="2:19">
      <c r="B1622" s="2060"/>
      <c r="C1622" s="2060"/>
      <c r="D1622" s="2060"/>
      <c r="E1622" s="255"/>
      <c r="H1622" s="2060"/>
      <c r="I1622" s="2060"/>
      <c r="J1622" s="2060"/>
      <c r="K1622" s="2060"/>
      <c r="L1622" s="2060"/>
      <c r="M1622" s="2060"/>
      <c r="N1622" s="2060"/>
      <c r="O1622" s="2060"/>
      <c r="P1622" s="2060"/>
      <c r="Q1622" s="2060"/>
      <c r="R1622" s="2060"/>
      <c r="S1622" s="2060"/>
    </row>
    <row r="1623" spans="2:19">
      <c r="B1623" s="2060"/>
      <c r="C1623" s="2060"/>
      <c r="D1623" s="2060"/>
      <c r="E1623" s="255"/>
      <c r="H1623" s="2060"/>
      <c r="I1623" s="2060"/>
      <c r="J1623" s="2060"/>
      <c r="K1623" s="2060"/>
      <c r="L1623" s="2060"/>
      <c r="M1623" s="2060"/>
      <c r="N1623" s="2060"/>
      <c r="O1623" s="2060"/>
      <c r="P1623" s="2060"/>
      <c r="Q1623" s="2060"/>
      <c r="R1623" s="2060"/>
      <c r="S1623" s="2060"/>
    </row>
    <row r="1624" spans="2:19">
      <c r="B1624" s="2060"/>
      <c r="C1624" s="2060"/>
      <c r="D1624" s="2060"/>
      <c r="E1624" s="255"/>
      <c r="H1624" s="2060"/>
      <c r="I1624" s="2060"/>
      <c r="J1624" s="2060"/>
      <c r="K1624" s="2060"/>
      <c r="L1624" s="2060"/>
      <c r="M1624" s="2060"/>
      <c r="N1624" s="2060"/>
      <c r="O1624" s="2060"/>
      <c r="P1624" s="2060"/>
      <c r="Q1624" s="2060"/>
      <c r="R1624" s="2060"/>
      <c r="S1624" s="2060"/>
    </row>
    <row r="1625" spans="2:19">
      <c r="B1625" s="2060"/>
      <c r="C1625" s="2060"/>
      <c r="D1625" s="2060"/>
      <c r="E1625" s="255"/>
      <c r="H1625" s="2060"/>
      <c r="I1625" s="2060"/>
      <c r="J1625" s="2060"/>
      <c r="K1625" s="2060"/>
      <c r="L1625" s="2060"/>
      <c r="M1625" s="2060"/>
      <c r="N1625" s="2060"/>
      <c r="O1625" s="2060"/>
      <c r="P1625" s="2060"/>
      <c r="Q1625" s="2060"/>
      <c r="R1625" s="2060"/>
      <c r="S1625" s="2060"/>
    </row>
    <row r="1626" spans="2:19">
      <c r="B1626" s="2060"/>
      <c r="C1626" s="2060"/>
      <c r="D1626" s="2060"/>
      <c r="E1626" s="255"/>
      <c r="H1626" s="2060"/>
      <c r="I1626" s="2060"/>
      <c r="J1626" s="2060"/>
      <c r="K1626" s="2060"/>
      <c r="L1626" s="2060"/>
      <c r="M1626" s="2060"/>
      <c r="N1626" s="2060"/>
      <c r="O1626" s="2060"/>
      <c r="P1626" s="2060"/>
      <c r="Q1626" s="2060"/>
      <c r="R1626" s="2060"/>
      <c r="S1626" s="2060"/>
    </row>
    <row r="1627" spans="2:19">
      <c r="B1627" s="2060"/>
      <c r="C1627" s="2060"/>
      <c r="D1627" s="2060"/>
      <c r="E1627" s="255"/>
      <c r="H1627" s="2060"/>
      <c r="I1627" s="2060"/>
      <c r="J1627" s="2060"/>
      <c r="K1627" s="2060"/>
      <c r="L1627" s="2060"/>
      <c r="M1627" s="2060"/>
      <c r="N1627" s="2060"/>
      <c r="O1627" s="2060"/>
      <c r="P1627" s="2060"/>
      <c r="Q1627" s="2060"/>
      <c r="R1627" s="2060"/>
      <c r="S1627" s="2060"/>
    </row>
    <row r="1628" spans="2:19">
      <c r="B1628" s="2060"/>
      <c r="C1628" s="2060"/>
      <c r="D1628" s="2060"/>
      <c r="E1628" s="255"/>
      <c r="H1628" s="2060"/>
      <c r="I1628" s="2060"/>
      <c r="J1628" s="2060"/>
      <c r="K1628" s="2060"/>
      <c r="L1628" s="2060"/>
      <c r="M1628" s="2060"/>
      <c r="N1628" s="2060"/>
      <c r="O1628" s="2060"/>
      <c r="P1628" s="2060"/>
      <c r="Q1628" s="2060"/>
      <c r="R1628" s="2060"/>
      <c r="S1628" s="2060"/>
    </row>
    <row r="1629" spans="2:19">
      <c r="B1629" s="2060"/>
      <c r="C1629" s="2060"/>
      <c r="D1629" s="2060"/>
      <c r="E1629" s="255"/>
      <c r="H1629" s="2060"/>
      <c r="I1629" s="2060"/>
      <c r="J1629" s="2060"/>
      <c r="K1629" s="2060"/>
      <c r="L1629" s="2060"/>
      <c r="M1629" s="2060"/>
      <c r="N1629" s="2060"/>
      <c r="O1629" s="2060"/>
      <c r="P1629" s="2060"/>
      <c r="Q1629" s="2060"/>
      <c r="R1629" s="2060"/>
      <c r="S1629" s="2060"/>
    </row>
    <row r="1630" spans="2:19">
      <c r="B1630" s="2060"/>
      <c r="C1630" s="2060"/>
      <c r="D1630" s="2060"/>
      <c r="E1630" s="255"/>
      <c r="H1630" s="2060"/>
      <c r="I1630" s="2060"/>
      <c r="J1630" s="2060"/>
      <c r="K1630" s="2060"/>
      <c r="L1630" s="2060"/>
      <c r="M1630" s="2060"/>
      <c r="N1630" s="2060"/>
      <c r="O1630" s="2060"/>
      <c r="P1630" s="2060"/>
      <c r="Q1630" s="2060"/>
      <c r="R1630" s="2060"/>
      <c r="S1630" s="2060"/>
    </row>
    <row r="1631" spans="2:19">
      <c r="B1631" s="2060"/>
      <c r="C1631" s="2060"/>
      <c r="D1631" s="2060"/>
      <c r="E1631" s="255"/>
      <c r="H1631" s="2060"/>
      <c r="I1631" s="2060"/>
      <c r="J1631" s="2060"/>
      <c r="K1631" s="2060"/>
      <c r="L1631" s="2060"/>
      <c r="M1631" s="2060"/>
      <c r="N1631" s="2060"/>
      <c r="O1631" s="2060"/>
      <c r="P1631" s="2060"/>
      <c r="Q1631" s="2060"/>
      <c r="R1631" s="2060"/>
      <c r="S1631" s="2060"/>
    </row>
    <row r="1632" spans="2:19">
      <c r="B1632" s="2060"/>
      <c r="C1632" s="2060"/>
      <c r="D1632" s="2060"/>
      <c r="E1632" s="255"/>
      <c r="H1632" s="2060"/>
      <c r="I1632" s="2060"/>
      <c r="J1632" s="2060"/>
      <c r="K1632" s="2060"/>
      <c r="L1632" s="2060"/>
      <c r="M1632" s="2060"/>
      <c r="N1632" s="2060"/>
      <c r="O1632" s="2060"/>
      <c r="P1632" s="2060"/>
      <c r="Q1632" s="2060"/>
      <c r="R1632" s="2060"/>
      <c r="S1632" s="2060"/>
    </row>
    <row r="1633" spans="2:19">
      <c r="B1633" s="2060"/>
      <c r="C1633" s="2060"/>
      <c r="D1633" s="2060"/>
      <c r="E1633" s="255"/>
      <c r="H1633" s="2060"/>
      <c r="I1633" s="2060"/>
      <c r="J1633" s="2060"/>
      <c r="K1633" s="2060"/>
      <c r="L1633" s="2060"/>
      <c r="M1633" s="2060"/>
      <c r="N1633" s="2060"/>
      <c r="O1633" s="2060"/>
      <c r="P1633" s="2060"/>
      <c r="Q1633" s="2060"/>
      <c r="R1633" s="2060"/>
      <c r="S1633" s="2060"/>
    </row>
    <row r="1634" spans="2:19">
      <c r="B1634" s="2060"/>
      <c r="C1634" s="2060"/>
      <c r="D1634" s="2060"/>
      <c r="E1634" s="255"/>
      <c r="H1634" s="2060"/>
      <c r="I1634" s="2060"/>
      <c r="J1634" s="2060"/>
      <c r="K1634" s="2060"/>
      <c r="L1634" s="2060"/>
      <c r="M1634" s="2060"/>
      <c r="N1634" s="2060"/>
      <c r="O1634" s="2060"/>
      <c r="P1634" s="2060"/>
      <c r="Q1634" s="2060"/>
      <c r="R1634" s="2060"/>
      <c r="S1634" s="2060"/>
    </row>
    <row r="1635" spans="2:19">
      <c r="B1635" s="2060"/>
      <c r="C1635" s="2060"/>
      <c r="D1635" s="2060"/>
      <c r="E1635" s="255"/>
      <c r="H1635" s="2060"/>
      <c r="I1635" s="2060"/>
      <c r="J1635" s="2060"/>
      <c r="K1635" s="2060"/>
      <c r="L1635" s="2060"/>
      <c r="M1635" s="2060"/>
      <c r="N1635" s="2060"/>
      <c r="O1635" s="2060"/>
      <c r="P1635" s="2060"/>
      <c r="Q1635" s="2060"/>
      <c r="R1635" s="2060"/>
      <c r="S1635" s="2060"/>
    </row>
    <row r="1636" spans="2:19">
      <c r="B1636" s="2060"/>
      <c r="C1636" s="2060"/>
      <c r="D1636" s="2060"/>
      <c r="E1636" s="255"/>
      <c r="H1636" s="2060"/>
      <c r="I1636" s="2060"/>
      <c r="J1636" s="2060"/>
      <c r="K1636" s="2060"/>
      <c r="L1636" s="2060"/>
      <c r="M1636" s="2060"/>
      <c r="N1636" s="2060"/>
      <c r="O1636" s="2060"/>
      <c r="P1636" s="2060"/>
      <c r="Q1636" s="2060"/>
      <c r="R1636" s="2060"/>
      <c r="S1636" s="2060"/>
    </row>
    <row r="1637" spans="2:19">
      <c r="B1637" s="2060"/>
      <c r="C1637" s="2060"/>
      <c r="D1637" s="2060"/>
      <c r="E1637" s="255"/>
      <c r="H1637" s="2060"/>
      <c r="I1637" s="2060"/>
      <c r="J1637" s="2060"/>
      <c r="K1637" s="2060"/>
      <c r="L1637" s="2060"/>
      <c r="M1637" s="2060"/>
      <c r="N1637" s="2060"/>
      <c r="O1637" s="2060"/>
      <c r="P1637" s="2060"/>
      <c r="Q1637" s="2060"/>
      <c r="R1637" s="2060"/>
      <c r="S1637" s="2060"/>
    </row>
    <row r="1638" spans="2:19">
      <c r="B1638" s="2060"/>
      <c r="C1638" s="2060"/>
      <c r="D1638" s="2060"/>
      <c r="E1638" s="255"/>
      <c r="H1638" s="2060"/>
      <c r="I1638" s="2060"/>
      <c r="J1638" s="2060"/>
      <c r="K1638" s="2060"/>
      <c r="L1638" s="2060"/>
      <c r="M1638" s="2060"/>
      <c r="N1638" s="2060"/>
      <c r="O1638" s="2060"/>
      <c r="P1638" s="2060"/>
      <c r="Q1638" s="2060"/>
      <c r="R1638" s="2060"/>
      <c r="S1638" s="2060"/>
    </row>
    <row r="1639" spans="2:19">
      <c r="B1639" s="2060"/>
      <c r="C1639" s="2060"/>
      <c r="D1639" s="2060"/>
      <c r="E1639" s="255"/>
      <c r="H1639" s="2060"/>
      <c r="I1639" s="2060"/>
      <c r="J1639" s="2060"/>
      <c r="K1639" s="2060"/>
      <c r="L1639" s="2060"/>
      <c r="M1639" s="2060"/>
      <c r="N1639" s="2060"/>
      <c r="O1639" s="2060"/>
      <c r="P1639" s="2060"/>
      <c r="Q1639" s="2060"/>
      <c r="R1639" s="2060"/>
      <c r="S1639" s="2060"/>
    </row>
    <row r="1640" spans="2:19">
      <c r="B1640" s="2060"/>
      <c r="C1640" s="2060"/>
      <c r="D1640" s="2060"/>
      <c r="E1640" s="255"/>
      <c r="H1640" s="2060"/>
      <c r="I1640" s="2060"/>
      <c r="J1640" s="2060"/>
      <c r="K1640" s="2060"/>
      <c r="L1640" s="2060"/>
      <c r="M1640" s="2060"/>
      <c r="N1640" s="2060"/>
      <c r="O1640" s="2060"/>
      <c r="P1640" s="2060"/>
      <c r="Q1640" s="2060"/>
      <c r="R1640" s="2060"/>
      <c r="S1640" s="2060"/>
    </row>
    <row r="1641" spans="2:19">
      <c r="B1641" s="2060"/>
      <c r="C1641" s="2060"/>
      <c r="D1641" s="2060"/>
      <c r="E1641" s="255"/>
      <c r="H1641" s="2060"/>
      <c r="I1641" s="2060"/>
      <c r="J1641" s="2060"/>
      <c r="K1641" s="2060"/>
      <c r="L1641" s="2060"/>
      <c r="M1641" s="2060"/>
      <c r="N1641" s="2060"/>
      <c r="O1641" s="2060"/>
      <c r="P1641" s="2060"/>
      <c r="Q1641" s="2060"/>
      <c r="R1641" s="2060"/>
      <c r="S1641" s="2060"/>
    </row>
    <row r="1642" spans="2:19">
      <c r="B1642" s="2060"/>
      <c r="C1642" s="2060"/>
      <c r="D1642" s="2060"/>
      <c r="E1642" s="255"/>
      <c r="H1642" s="2060"/>
      <c r="I1642" s="2060"/>
      <c r="J1642" s="2060"/>
      <c r="K1642" s="2060"/>
      <c r="L1642" s="2060"/>
      <c r="M1642" s="2060"/>
      <c r="N1642" s="2060"/>
      <c r="O1642" s="2060"/>
      <c r="P1642" s="2060"/>
      <c r="Q1642" s="2060"/>
      <c r="R1642" s="2060"/>
      <c r="S1642" s="2060"/>
    </row>
    <row r="1643" spans="2:19">
      <c r="B1643" s="2060"/>
      <c r="C1643" s="2060"/>
      <c r="D1643" s="2060"/>
      <c r="E1643" s="255"/>
      <c r="H1643" s="2060"/>
      <c r="I1643" s="2060"/>
      <c r="J1643" s="2060"/>
      <c r="K1643" s="2060"/>
      <c r="L1643" s="2060"/>
      <c r="M1643" s="2060"/>
      <c r="N1643" s="2060"/>
      <c r="O1643" s="2060"/>
      <c r="P1643" s="2060"/>
      <c r="Q1643" s="2060"/>
      <c r="R1643" s="2060"/>
      <c r="S1643" s="2060"/>
    </row>
    <row r="1644" spans="2:19">
      <c r="B1644" s="2060"/>
      <c r="C1644" s="2060"/>
      <c r="D1644" s="2060"/>
      <c r="E1644" s="255"/>
      <c r="H1644" s="2060"/>
      <c r="I1644" s="2060"/>
      <c r="J1644" s="2060"/>
      <c r="K1644" s="2060"/>
      <c r="L1644" s="2060"/>
      <c r="M1644" s="2060"/>
      <c r="N1644" s="2060"/>
      <c r="O1644" s="2060"/>
      <c r="P1644" s="2060"/>
      <c r="Q1644" s="2060"/>
      <c r="R1644" s="2060"/>
      <c r="S1644" s="2060"/>
    </row>
    <row r="1645" spans="2:19">
      <c r="B1645" s="2060"/>
      <c r="C1645" s="2060"/>
      <c r="D1645" s="2060"/>
      <c r="E1645" s="255"/>
      <c r="H1645" s="2060"/>
      <c r="I1645" s="2060"/>
      <c r="J1645" s="2060"/>
      <c r="K1645" s="2060"/>
      <c r="L1645" s="2060"/>
      <c r="M1645" s="2060"/>
      <c r="N1645" s="2060"/>
      <c r="O1645" s="2060"/>
      <c r="P1645" s="2060"/>
      <c r="Q1645" s="2060"/>
      <c r="R1645" s="2060"/>
      <c r="S1645" s="2060"/>
    </row>
    <row r="1646" spans="2:19">
      <c r="B1646" s="2060"/>
      <c r="C1646" s="2060"/>
      <c r="D1646" s="2060"/>
      <c r="E1646" s="255"/>
      <c r="H1646" s="2060"/>
      <c r="I1646" s="2060"/>
      <c r="J1646" s="2060"/>
      <c r="K1646" s="2060"/>
      <c r="L1646" s="2060"/>
      <c r="M1646" s="2060"/>
      <c r="N1646" s="2060"/>
      <c r="O1646" s="2060"/>
      <c r="P1646" s="2060"/>
      <c r="Q1646" s="2060"/>
      <c r="R1646" s="2060"/>
      <c r="S1646" s="2060"/>
    </row>
    <row r="1647" spans="2:19">
      <c r="B1647" s="2060"/>
      <c r="C1647" s="2060"/>
      <c r="D1647" s="2060"/>
      <c r="E1647" s="255"/>
      <c r="H1647" s="2060"/>
      <c r="I1647" s="2060"/>
      <c r="J1647" s="2060"/>
      <c r="K1647" s="2060"/>
      <c r="L1647" s="2060"/>
      <c r="M1647" s="2060"/>
      <c r="N1647" s="2060"/>
      <c r="O1647" s="2060"/>
      <c r="P1647" s="2060"/>
      <c r="Q1647" s="2060"/>
      <c r="R1647" s="2060"/>
      <c r="S1647" s="2060"/>
    </row>
    <row r="1648" spans="2:19">
      <c r="B1648" s="2060"/>
      <c r="C1648" s="2060"/>
      <c r="D1648" s="2060"/>
      <c r="E1648" s="255"/>
      <c r="H1648" s="2060"/>
      <c r="I1648" s="2060"/>
      <c r="J1648" s="2060"/>
      <c r="K1648" s="2060"/>
      <c r="L1648" s="2060"/>
      <c r="M1648" s="2060"/>
      <c r="N1648" s="2060"/>
      <c r="O1648" s="2060"/>
      <c r="P1648" s="2060"/>
      <c r="Q1648" s="2060"/>
      <c r="R1648" s="2060"/>
      <c r="S1648" s="2060"/>
    </row>
    <row r="1649" spans="2:19">
      <c r="B1649" s="2060"/>
      <c r="C1649" s="2060"/>
      <c r="D1649" s="2060"/>
      <c r="E1649" s="255"/>
      <c r="H1649" s="2060"/>
      <c r="I1649" s="2060"/>
      <c r="J1649" s="2060"/>
      <c r="K1649" s="2060"/>
      <c r="L1649" s="2060"/>
      <c r="M1649" s="2060"/>
      <c r="N1649" s="2060"/>
      <c r="O1649" s="2060"/>
      <c r="P1649" s="2060"/>
      <c r="Q1649" s="2060"/>
      <c r="R1649" s="2060"/>
      <c r="S1649" s="2060"/>
    </row>
    <row r="1650" spans="2:19">
      <c r="B1650" s="2060"/>
      <c r="C1650" s="2060"/>
      <c r="D1650" s="2060"/>
      <c r="E1650" s="255"/>
      <c r="H1650" s="2060"/>
      <c r="I1650" s="2060"/>
      <c r="J1650" s="2060"/>
      <c r="K1650" s="2060"/>
      <c r="L1650" s="2060"/>
      <c r="M1650" s="2060"/>
      <c r="N1650" s="2060"/>
      <c r="O1650" s="2060"/>
      <c r="P1650" s="2060"/>
      <c r="Q1650" s="2060"/>
      <c r="R1650" s="2060"/>
      <c r="S1650" s="2060"/>
    </row>
    <row r="1651" spans="2:19">
      <c r="B1651" s="2060"/>
      <c r="C1651" s="2060"/>
      <c r="D1651" s="2060"/>
      <c r="E1651" s="255"/>
      <c r="H1651" s="2060"/>
      <c r="I1651" s="2060"/>
      <c r="J1651" s="2060"/>
      <c r="K1651" s="2060"/>
      <c r="L1651" s="2060"/>
      <c r="M1651" s="2060"/>
      <c r="N1651" s="2060"/>
      <c r="O1651" s="2060"/>
      <c r="P1651" s="2060"/>
      <c r="Q1651" s="2060"/>
      <c r="R1651" s="2060"/>
      <c r="S1651" s="2060"/>
    </row>
    <row r="1652" spans="2:19">
      <c r="B1652" s="2060"/>
      <c r="C1652" s="2060"/>
      <c r="D1652" s="2060"/>
      <c r="E1652" s="255"/>
      <c r="H1652" s="2060"/>
      <c r="I1652" s="2060"/>
      <c r="J1652" s="2060"/>
      <c r="K1652" s="2060"/>
      <c r="L1652" s="2060"/>
      <c r="M1652" s="2060"/>
      <c r="N1652" s="2060"/>
      <c r="O1652" s="2060"/>
      <c r="P1652" s="2060"/>
      <c r="Q1652" s="2060"/>
      <c r="R1652" s="2060"/>
      <c r="S1652" s="2060"/>
    </row>
    <row r="1653" spans="2:19">
      <c r="B1653" s="2060"/>
      <c r="C1653" s="2060"/>
      <c r="D1653" s="2060"/>
      <c r="E1653" s="255"/>
      <c r="H1653" s="2060"/>
      <c r="I1653" s="2060"/>
      <c r="J1653" s="2060"/>
      <c r="K1653" s="2060"/>
      <c r="L1653" s="2060"/>
      <c r="M1653" s="2060"/>
      <c r="N1653" s="2060"/>
      <c r="O1653" s="2060"/>
      <c r="P1653" s="2060"/>
      <c r="Q1653" s="2060"/>
      <c r="R1653" s="2060"/>
      <c r="S1653" s="2060"/>
    </row>
    <row r="1654" spans="2:19">
      <c r="B1654" s="2060"/>
      <c r="C1654" s="2060"/>
      <c r="D1654" s="2060"/>
      <c r="E1654" s="255"/>
      <c r="H1654" s="2060"/>
      <c r="I1654" s="2060"/>
      <c r="J1654" s="2060"/>
      <c r="K1654" s="2060"/>
      <c r="L1654" s="2060"/>
      <c r="M1654" s="2060"/>
      <c r="N1654" s="2060"/>
      <c r="O1654" s="2060"/>
      <c r="P1654" s="2060"/>
      <c r="Q1654" s="2060"/>
      <c r="R1654" s="2060"/>
      <c r="S1654" s="2060"/>
    </row>
    <row r="1655" spans="2:19">
      <c r="B1655" s="2060"/>
      <c r="C1655" s="2060"/>
      <c r="D1655" s="2060"/>
      <c r="E1655" s="255"/>
      <c r="H1655" s="2060"/>
      <c r="I1655" s="2060"/>
      <c r="J1655" s="2060"/>
      <c r="K1655" s="2060"/>
      <c r="L1655" s="2060"/>
      <c r="M1655" s="2060"/>
      <c r="N1655" s="2060"/>
      <c r="O1655" s="2060"/>
      <c r="P1655" s="2060"/>
      <c r="Q1655" s="2060"/>
      <c r="R1655" s="2060"/>
      <c r="S1655" s="2060"/>
    </row>
    <row r="1656" spans="2:19">
      <c r="B1656" s="2060"/>
      <c r="C1656" s="2060"/>
      <c r="D1656" s="2060"/>
      <c r="E1656" s="255"/>
      <c r="H1656" s="2060"/>
      <c r="I1656" s="2060"/>
      <c r="J1656" s="2060"/>
      <c r="K1656" s="2060"/>
      <c r="L1656" s="2060"/>
      <c r="M1656" s="2060"/>
      <c r="N1656" s="2060"/>
      <c r="O1656" s="2060"/>
      <c r="P1656" s="2060"/>
      <c r="Q1656" s="2060"/>
      <c r="R1656" s="2060"/>
      <c r="S1656" s="2060"/>
    </row>
    <row r="1657" spans="2:19">
      <c r="B1657" s="2060"/>
      <c r="C1657" s="2060"/>
      <c r="D1657" s="2060"/>
      <c r="E1657" s="255"/>
      <c r="H1657" s="2060"/>
      <c r="I1657" s="2060"/>
      <c r="J1657" s="2060"/>
      <c r="K1657" s="2060"/>
      <c r="L1657" s="2060"/>
      <c r="M1657" s="2060"/>
      <c r="N1657" s="2060"/>
      <c r="O1657" s="2060"/>
      <c r="P1657" s="2060"/>
      <c r="Q1657" s="2060"/>
      <c r="R1657" s="2060"/>
      <c r="S1657" s="2060"/>
    </row>
    <row r="1658" spans="2:19">
      <c r="B1658" s="2060"/>
      <c r="C1658" s="2060"/>
      <c r="D1658" s="2060"/>
      <c r="E1658" s="255"/>
      <c r="H1658" s="2060"/>
      <c r="I1658" s="2060"/>
      <c r="J1658" s="2060"/>
      <c r="K1658" s="2060"/>
      <c r="L1658" s="2060"/>
      <c r="M1658" s="2060"/>
      <c r="N1658" s="2060"/>
      <c r="O1658" s="2060"/>
      <c r="P1658" s="2060"/>
      <c r="Q1658" s="2060"/>
      <c r="R1658" s="2060"/>
      <c r="S1658" s="2060"/>
    </row>
    <row r="1659" spans="2:19">
      <c r="B1659" s="2060"/>
      <c r="C1659" s="2060"/>
      <c r="D1659" s="2060"/>
      <c r="E1659" s="255"/>
      <c r="H1659" s="2060"/>
      <c r="I1659" s="2060"/>
      <c r="J1659" s="2060"/>
      <c r="K1659" s="2060"/>
      <c r="L1659" s="2060"/>
      <c r="M1659" s="2060"/>
      <c r="N1659" s="2060"/>
      <c r="O1659" s="2060"/>
      <c r="P1659" s="2060"/>
      <c r="Q1659" s="2060"/>
      <c r="R1659" s="2060"/>
      <c r="S1659" s="2060"/>
    </row>
    <row r="1660" spans="2:19">
      <c r="B1660" s="2060"/>
      <c r="C1660" s="2060"/>
      <c r="D1660" s="2060"/>
      <c r="E1660" s="255"/>
      <c r="H1660" s="2060"/>
      <c r="I1660" s="2060"/>
      <c r="J1660" s="2060"/>
      <c r="K1660" s="2060"/>
      <c r="L1660" s="2060"/>
      <c r="M1660" s="2060"/>
      <c r="N1660" s="2060"/>
      <c r="O1660" s="2060"/>
      <c r="P1660" s="2060"/>
      <c r="Q1660" s="2060"/>
      <c r="R1660" s="2060"/>
      <c r="S1660" s="2060"/>
    </row>
    <row r="1661" spans="2:19">
      <c r="B1661" s="2060"/>
      <c r="C1661" s="2060"/>
      <c r="D1661" s="2060"/>
      <c r="E1661" s="255"/>
      <c r="H1661" s="2060"/>
      <c r="I1661" s="2060"/>
      <c r="J1661" s="2060"/>
      <c r="K1661" s="2060"/>
      <c r="L1661" s="2060"/>
      <c r="M1661" s="2060"/>
      <c r="N1661" s="2060"/>
      <c r="O1661" s="2060"/>
      <c r="P1661" s="2060"/>
      <c r="Q1661" s="2060"/>
      <c r="R1661" s="2060"/>
      <c r="S1661" s="2060"/>
    </row>
    <row r="1662" spans="2:19">
      <c r="B1662" s="2060"/>
      <c r="C1662" s="2060"/>
      <c r="D1662" s="2060"/>
      <c r="E1662" s="255"/>
      <c r="H1662" s="2060"/>
      <c r="I1662" s="2060"/>
      <c r="J1662" s="2060"/>
      <c r="K1662" s="2060"/>
      <c r="L1662" s="2060"/>
      <c r="M1662" s="2060"/>
      <c r="N1662" s="2060"/>
      <c r="O1662" s="2060"/>
      <c r="P1662" s="2060"/>
      <c r="Q1662" s="2060"/>
      <c r="R1662" s="2060"/>
      <c r="S1662" s="2060"/>
    </row>
    <row r="1663" spans="2:19">
      <c r="B1663" s="2060"/>
      <c r="C1663" s="2060"/>
      <c r="D1663" s="2060"/>
      <c r="E1663" s="255"/>
      <c r="H1663" s="2060"/>
      <c r="I1663" s="2060"/>
      <c r="J1663" s="2060"/>
      <c r="K1663" s="2060"/>
      <c r="L1663" s="2060"/>
      <c r="M1663" s="2060"/>
      <c r="N1663" s="2060"/>
      <c r="O1663" s="2060"/>
      <c r="P1663" s="2060"/>
      <c r="Q1663" s="2060"/>
      <c r="R1663" s="2060"/>
      <c r="S1663" s="2060"/>
    </row>
    <row r="1664" spans="2:19">
      <c r="B1664" s="2060"/>
      <c r="C1664" s="2060"/>
      <c r="D1664" s="2060"/>
      <c r="E1664" s="255"/>
      <c r="H1664" s="2060"/>
      <c r="I1664" s="2060"/>
      <c r="J1664" s="2060"/>
      <c r="K1664" s="2060"/>
      <c r="L1664" s="2060"/>
      <c r="M1664" s="2060"/>
      <c r="N1664" s="2060"/>
      <c r="O1664" s="2060"/>
      <c r="P1664" s="2060"/>
      <c r="Q1664" s="2060"/>
      <c r="R1664" s="2060"/>
      <c r="S1664" s="2060"/>
    </row>
    <row r="1665" spans="2:19">
      <c r="B1665" s="2060"/>
      <c r="C1665" s="2060"/>
      <c r="D1665" s="2060"/>
      <c r="E1665" s="255"/>
      <c r="H1665" s="2060"/>
      <c r="I1665" s="2060"/>
      <c r="J1665" s="2060"/>
      <c r="K1665" s="2060"/>
      <c r="L1665" s="2060"/>
      <c r="M1665" s="2060"/>
      <c r="N1665" s="2060"/>
      <c r="O1665" s="2060"/>
      <c r="P1665" s="2060"/>
      <c r="Q1665" s="2060"/>
      <c r="R1665" s="2060"/>
      <c r="S1665" s="2060"/>
    </row>
    <row r="1666" spans="2:19">
      <c r="B1666" s="2060"/>
      <c r="C1666" s="2060"/>
      <c r="D1666" s="2060"/>
      <c r="E1666" s="255"/>
      <c r="H1666" s="2060"/>
      <c r="I1666" s="2060"/>
      <c r="J1666" s="2060"/>
      <c r="K1666" s="2060"/>
      <c r="L1666" s="2060"/>
      <c r="M1666" s="2060"/>
      <c r="N1666" s="2060"/>
      <c r="O1666" s="2060"/>
      <c r="P1666" s="2060"/>
      <c r="Q1666" s="2060"/>
      <c r="R1666" s="2060"/>
      <c r="S1666" s="2060"/>
    </row>
    <row r="1667" spans="2:19">
      <c r="B1667" s="2060"/>
      <c r="C1667" s="2060"/>
      <c r="D1667" s="2060"/>
      <c r="E1667" s="255"/>
      <c r="H1667" s="2060"/>
      <c r="I1667" s="2060"/>
      <c r="J1667" s="2060"/>
      <c r="K1667" s="2060"/>
      <c r="L1667" s="2060"/>
      <c r="M1667" s="2060"/>
      <c r="N1667" s="2060"/>
      <c r="O1667" s="2060"/>
      <c r="P1667" s="2060"/>
      <c r="Q1667" s="2060"/>
      <c r="R1667" s="2060"/>
      <c r="S1667" s="2060"/>
    </row>
    <row r="1668" spans="2:19">
      <c r="B1668" s="2060"/>
      <c r="C1668" s="2060"/>
      <c r="D1668" s="2060"/>
      <c r="E1668" s="255"/>
      <c r="H1668" s="2060"/>
      <c r="I1668" s="2060"/>
      <c r="J1668" s="2060"/>
      <c r="K1668" s="2060"/>
      <c r="L1668" s="2060"/>
      <c r="M1668" s="2060"/>
      <c r="N1668" s="2060"/>
      <c r="O1668" s="2060"/>
      <c r="P1668" s="2060"/>
      <c r="Q1668" s="2060"/>
      <c r="R1668" s="2060"/>
      <c r="S1668" s="2060"/>
    </row>
    <row r="1669" spans="2:19">
      <c r="B1669" s="2060"/>
      <c r="C1669" s="2060"/>
      <c r="D1669" s="2060"/>
      <c r="E1669" s="255"/>
      <c r="H1669" s="2060"/>
      <c r="I1669" s="2060"/>
      <c r="J1669" s="2060"/>
      <c r="K1669" s="2060"/>
      <c r="L1669" s="2060"/>
      <c r="M1669" s="2060"/>
      <c r="N1669" s="2060"/>
      <c r="O1669" s="2060"/>
      <c r="P1669" s="2060"/>
      <c r="Q1669" s="2060"/>
      <c r="R1669" s="2060"/>
      <c r="S1669" s="2060"/>
    </row>
    <row r="1670" spans="2:19">
      <c r="B1670" s="2060"/>
      <c r="C1670" s="2060"/>
      <c r="D1670" s="2060"/>
      <c r="E1670" s="255"/>
      <c r="H1670" s="2060"/>
      <c r="I1670" s="2060"/>
      <c r="J1670" s="2060"/>
      <c r="K1670" s="2060"/>
      <c r="L1670" s="2060"/>
      <c r="M1670" s="2060"/>
      <c r="N1670" s="2060"/>
      <c r="O1670" s="2060"/>
      <c r="P1670" s="2060"/>
      <c r="Q1670" s="2060"/>
      <c r="R1670" s="2060"/>
      <c r="S1670" s="2060"/>
    </row>
    <row r="1671" spans="2:19">
      <c r="B1671" s="2060"/>
      <c r="C1671" s="2060"/>
      <c r="D1671" s="2060"/>
      <c r="E1671" s="255"/>
      <c r="H1671" s="2060"/>
      <c r="I1671" s="2060"/>
      <c r="J1671" s="2060"/>
      <c r="K1671" s="2060"/>
      <c r="L1671" s="2060"/>
      <c r="M1671" s="2060"/>
      <c r="N1671" s="2060"/>
      <c r="O1671" s="2060"/>
      <c r="P1671" s="2060"/>
      <c r="Q1671" s="2060"/>
      <c r="R1671" s="2060"/>
      <c r="S1671" s="2060"/>
    </row>
    <row r="1672" spans="2:19">
      <c r="B1672" s="2060"/>
      <c r="C1672" s="2060"/>
      <c r="D1672" s="2060"/>
      <c r="E1672" s="255"/>
      <c r="H1672" s="2060"/>
      <c r="I1672" s="2060"/>
      <c r="J1672" s="2060"/>
      <c r="K1672" s="2060"/>
      <c r="L1672" s="2060"/>
      <c r="M1672" s="2060"/>
      <c r="N1672" s="2060"/>
      <c r="O1672" s="2060"/>
      <c r="P1672" s="2060"/>
      <c r="Q1672" s="2060"/>
      <c r="R1672" s="2060"/>
      <c r="S1672" s="2060"/>
    </row>
    <row r="1673" spans="2:19">
      <c r="B1673" s="2060"/>
      <c r="C1673" s="2060"/>
      <c r="D1673" s="2060"/>
      <c r="E1673" s="255"/>
      <c r="H1673" s="2060"/>
      <c r="I1673" s="2060"/>
      <c r="J1673" s="2060"/>
      <c r="K1673" s="2060"/>
      <c r="L1673" s="2060"/>
      <c r="M1673" s="2060"/>
      <c r="N1673" s="2060"/>
      <c r="O1673" s="2060"/>
      <c r="P1673" s="2060"/>
      <c r="Q1673" s="2060"/>
      <c r="R1673" s="2060"/>
      <c r="S1673" s="2060"/>
    </row>
    <row r="1674" spans="2:19">
      <c r="B1674" s="2060"/>
      <c r="C1674" s="2060"/>
      <c r="D1674" s="2060"/>
      <c r="E1674" s="255"/>
      <c r="H1674" s="2060"/>
      <c r="I1674" s="2060"/>
      <c r="J1674" s="2060"/>
      <c r="K1674" s="2060"/>
      <c r="L1674" s="2060"/>
      <c r="M1674" s="2060"/>
      <c r="N1674" s="2060"/>
      <c r="O1674" s="2060"/>
      <c r="P1674" s="2060"/>
      <c r="Q1674" s="2060"/>
      <c r="R1674" s="2060"/>
      <c r="S1674" s="2060"/>
    </row>
    <row r="1675" spans="2:19">
      <c r="B1675" s="2060"/>
      <c r="C1675" s="2060"/>
      <c r="D1675" s="2060"/>
      <c r="E1675" s="255"/>
      <c r="H1675" s="2060"/>
      <c r="I1675" s="2060"/>
      <c r="J1675" s="2060"/>
      <c r="K1675" s="2060"/>
      <c r="L1675" s="2060"/>
      <c r="M1675" s="2060"/>
      <c r="N1675" s="2060"/>
      <c r="O1675" s="2060"/>
      <c r="P1675" s="2060"/>
      <c r="Q1675" s="2060"/>
      <c r="R1675" s="2060"/>
      <c r="S1675" s="2060"/>
    </row>
    <row r="1676" spans="2:19">
      <c r="B1676" s="2060"/>
      <c r="C1676" s="2060"/>
      <c r="D1676" s="2060"/>
      <c r="E1676" s="255"/>
      <c r="H1676" s="2060"/>
      <c r="I1676" s="2060"/>
      <c r="J1676" s="2060"/>
      <c r="K1676" s="2060"/>
      <c r="L1676" s="2060"/>
      <c r="M1676" s="2060"/>
      <c r="N1676" s="2060"/>
      <c r="O1676" s="2060"/>
      <c r="P1676" s="2060"/>
      <c r="Q1676" s="2060"/>
      <c r="R1676" s="2060"/>
      <c r="S1676" s="2060"/>
    </row>
    <row r="1677" spans="2:19">
      <c r="B1677" s="2060"/>
      <c r="C1677" s="2060"/>
      <c r="D1677" s="2060"/>
      <c r="E1677" s="255"/>
      <c r="H1677" s="2060"/>
      <c r="I1677" s="2060"/>
      <c r="J1677" s="2060"/>
      <c r="K1677" s="2060"/>
      <c r="L1677" s="2060"/>
      <c r="M1677" s="2060"/>
      <c r="N1677" s="2060"/>
      <c r="O1677" s="2060"/>
      <c r="P1677" s="2060"/>
      <c r="Q1677" s="2060"/>
      <c r="R1677" s="2060"/>
      <c r="S1677" s="2060"/>
    </row>
    <row r="1678" spans="2:19">
      <c r="B1678" s="2060"/>
      <c r="C1678" s="2060"/>
      <c r="D1678" s="2060"/>
      <c r="E1678" s="255"/>
      <c r="H1678" s="2060"/>
      <c r="I1678" s="2060"/>
      <c r="J1678" s="2060"/>
      <c r="K1678" s="2060"/>
      <c r="L1678" s="2060"/>
      <c r="M1678" s="2060"/>
      <c r="N1678" s="2060"/>
      <c r="O1678" s="2060"/>
      <c r="P1678" s="2060"/>
      <c r="Q1678" s="2060"/>
      <c r="R1678" s="2060"/>
      <c r="S1678" s="2060"/>
    </row>
    <row r="1679" spans="2:19">
      <c r="B1679" s="2060"/>
      <c r="C1679" s="2060"/>
      <c r="D1679" s="2060"/>
      <c r="E1679" s="255"/>
      <c r="H1679" s="2060"/>
      <c r="I1679" s="2060"/>
      <c r="J1679" s="2060"/>
      <c r="K1679" s="2060"/>
      <c r="L1679" s="2060"/>
      <c r="M1679" s="2060"/>
      <c r="N1679" s="2060"/>
      <c r="O1679" s="2060"/>
      <c r="P1679" s="2060"/>
      <c r="Q1679" s="2060"/>
      <c r="R1679" s="2060"/>
      <c r="S1679" s="2060"/>
    </row>
    <row r="1680" spans="2:19">
      <c r="B1680" s="2060"/>
      <c r="C1680" s="2060"/>
      <c r="D1680" s="2060"/>
      <c r="E1680" s="255"/>
      <c r="H1680" s="2060"/>
      <c r="I1680" s="2060"/>
      <c r="J1680" s="2060"/>
      <c r="K1680" s="2060"/>
      <c r="L1680" s="2060"/>
      <c r="M1680" s="2060"/>
      <c r="N1680" s="2060"/>
      <c r="O1680" s="2060"/>
      <c r="P1680" s="2060"/>
      <c r="Q1680" s="2060"/>
      <c r="R1680" s="2060"/>
      <c r="S1680" s="2060"/>
    </row>
    <row r="1681" spans="2:19">
      <c r="B1681" s="2060"/>
      <c r="C1681" s="2060"/>
      <c r="D1681" s="2060"/>
      <c r="E1681" s="255"/>
      <c r="H1681" s="2060"/>
      <c r="I1681" s="2060"/>
      <c r="J1681" s="2060"/>
      <c r="K1681" s="2060"/>
      <c r="L1681" s="2060"/>
      <c r="M1681" s="2060"/>
      <c r="N1681" s="2060"/>
      <c r="O1681" s="2060"/>
      <c r="P1681" s="2060"/>
      <c r="Q1681" s="2060"/>
      <c r="R1681" s="2060"/>
      <c r="S1681" s="2060"/>
    </row>
    <row r="1682" spans="2:19">
      <c r="B1682" s="2060"/>
      <c r="C1682" s="2060"/>
      <c r="D1682" s="2060"/>
      <c r="E1682" s="255"/>
      <c r="H1682" s="2060"/>
      <c r="I1682" s="2060"/>
      <c r="J1682" s="2060"/>
      <c r="K1682" s="2060"/>
      <c r="L1682" s="2060"/>
      <c r="M1682" s="2060"/>
      <c r="N1682" s="2060"/>
      <c r="O1682" s="2060"/>
      <c r="P1682" s="2060"/>
      <c r="Q1682" s="2060"/>
      <c r="R1682" s="2060"/>
      <c r="S1682" s="2060"/>
    </row>
    <row r="1683" spans="2:19">
      <c r="B1683" s="2060"/>
      <c r="C1683" s="2060"/>
      <c r="D1683" s="2060"/>
      <c r="E1683" s="255"/>
      <c r="H1683" s="2060"/>
      <c r="I1683" s="2060"/>
      <c r="J1683" s="2060"/>
      <c r="K1683" s="2060"/>
      <c r="L1683" s="2060"/>
      <c r="M1683" s="2060"/>
      <c r="N1683" s="2060"/>
      <c r="O1683" s="2060"/>
      <c r="P1683" s="2060"/>
      <c r="Q1683" s="2060"/>
      <c r="R1683" s="2060"/>
      <c r="S1683" s="2060"/>
    </row>
    <row r="1684" spans="2:19">
      <c r="B1684" s="2060"/>
      <c r="C1684" s="2060"/>
      <c r="D1684" s="2060"/>
      <c r="E1684" s="255"/>
      <c r="H1684" s="2060"/>
      <c r="I1684" s="2060"/>
      <c r="J1684" s="2060"/>
      <c r="K1684" s="2060"/>
      <c r="L1684" s="2060"/>
      <c r="M1684" s="2060"/>
      <c r="N1684" s="2060"/>
      <c r="O1684" s="2060"/>
      <c r="P1684" s="2060"/>
      <c r="Q1684" s="2060"/>
      <c r="R1684" s="2060"/>
      <c r="S1684" s="2060"/>
    </row>
    <row r="1685" spans="2:19">
      <c r="B1685" s="2060"/>
      <c r="C1685" s="2060"/>
      <c r="D1685" s="2060"/>
      <c r="E1685" s="255"/>
      <c r="H1685" s="2060"/>
      <c r="I1685" s="2060"/>
      <c r="J1685" s="2060"/>
      <c r="K1685" s="2060"/>
      <c r="L1685" s="2060"/>
      <c r="M1685" s="2060"/>
      <c r="N1685" s="2060"/>
      <c r="O1685" s="2060"/>
      <c r="P1685" s="2060"/>
      <c r="Q1685" s="2060"/>
      <c r="R1685" s="2060"/>
      <c r="S1685" s="2060"/>
    </row>
    <row r="1686" spans="2:19">
      <c r="B1686" s="2060"/>
      <c r="C1686" s="2060"/>
      <c r="D1686" s="2060"/>
      <c r="E1686" s="255"/>
      <c r="H1686" s="2060"/>
      <c r="I1686" s="2060"/>
      <c r="J1686" s="2060"/>
      <c r="K1686" s="2060"/>
      <c r="L1686" s="2060"/>
      <c r="M1686" s="2060"/>
      <c r="N1686" s="2060"/>
      <c r="O1686" s="2060"/>
      <c r="P1686" s="2060"/>
      <c r="Q1686" s="2060"/>
      <c r="R1686" s="2060"/>
      <c r="S1686" s="2060"/>
    </row>
    <row r="1687" spans="2:19">
      <c r="B1687" s="2060"/>
      <c r="C1687" s="2060"/>
      <c r="D1687" s="2060"/>
      <c r="E1687" s="255"/>
      <c r="H1687" s="2060"/>
      <c r="I1687" s="2060"/>
      <c r="J1687" s="2060"/>
      <c r="K1687" s="2060"/>
      <c r="L1687" s="2060"/>
      <c r="M1687" s="2060"/>
      <c r="N1687" s="2060"/>
      <c r="O1687" s="2060"/>
      <c r="P1687" s="2060"/>
      <c r="Q1687" s="2060"/>
      <c r="R1687" s="2060"/>
      <c r="S1687" s="2060"/>
    </row>
    <row r="1688" spans="2:19">
      <c r="B1688" s="2060"/>
      <c r="C1688" s="2060"/>
      <c r="D1688" s="2060"/>
      <c r="E1688" s="255"/>
      <c r="H1688" s="2060"/>
      <c r="I1688" s="2060"/>
      <c r="J1688" s="2060"/>
      <c r="K1688" s="2060"/>
      <c r="L1688" s="2060"/>
      <c r="M1688" s="2060"/>
      <c r="N1688" s="2060"/>
      <c r="O1688" s="2060"/>
      <c r="P1688" s="2060"/>
      <c r="Q1688" s="2060"/>
      <c r="R1688" s="2060"/>
      <c r="S1688" s="2060"/>
    </row>
    <row r="1689" spans="2:19">
      <c r="B1689" s="2060"/>
      <c r="C1689" s="2060"/>
      <c r="D1689" s="2060"/>
      <c r="E1689" s="255"/>
      <c r="H1689" s="2060"/>
      <c r="I1689" s="2060"/>
      <c r="J1689" s="2060"/>
      <c r="K1689" s="2060"/>
      <c r="L1689" s="2060"/>
      <c r="M1689" s="2060"/>
      <c r="N1689" s="2060"/>
      <c r="O1689" s="2060"/>
      <c r="P1689" s="2060"/>
      <c r="Q1689" s="2060"/>
      <c r="R1689" s="2060"/>
      <c r="S1689" s="2060"/>
    </row>
    <row r="1690" spans="2:19">
      <c r="B1690" s="2060"/>
      <c r="C1690" s="2060"/>
      <c r="D1690" s="2060"/>
      <c r="E1690" s="255"/>
      <c r="H1690" s="2060"/>
      <c r="I1690" s="2060"/>
      <c r="J1690" s="2060"/>
      <c r="K1690" s="2060"/>
      <c r="L1690" s="2060"/>
      <c r="M1690" s="2060"/>
      <c r="N1690" s="2060"/>
      <c r="O1690" s="2060"/>
      <c r="P1690" s="2060"/>
      <c r="Q1690" s="2060"/>
      <c r="R1690" s="2060"/>
      <c r="S1690" s="2060"/>
    </row>
    <row r="1691" spans="2:19">
      <c r="B1691" s="2060"/>
      <c r="C1691" s="2060"/>
      <c r="D1691" s="2060"/>
      <c r="E1691" s="255"/>
      <c r="H1691" s="2060"/>
      <c r="I1691" s="2060"/>
      <c r="J1691" s="2060"/>
      <c r="K1691" s="2060"/>
      <c r="L1691" s="2060"/>
      <c r="M1691" s="2060"/>
      <c r="N1691" s="2060"/>
      <c r="O1691" s="2060"/>
      <c r="P1691" s="2060"/>
      <c r="Q1691" s="2060"/>
      <c r="R1691" s="2060"/>
      <c r="S1691" s="2060"/>
    </row>
    <row r="1692" spans="2:19">
      <c r="B1692" s="2060"/>
      <c r="C1692" s="2060"/>
      <c r="D1692" s="2060"/>
      <c r="E1692" s="255"/>
      <c r="H1692" s="2060"/>
      <c r="I1692" s="2060"/>
      <c r="J1692" s="2060"/>
      <c r="K1692" s="2060"/>
      <c r="L1692" s="2060"/>
      <c r="M1692" s="2060"/>
      <c r="N1692" s="2060"/>
      <c r="O1692" s="2060"/>
      <c r="P1692" s="2060"/>
      <c r="Q1692" s="2060"/>
      <c r="R1692" s="2060"/>
      <c r="S1692" s="2060"/>
    </row>
    <row r="1693" spans="2:19">
      <c r="B1693" s="2060"/>
      <c r="C1693" s="2060"/>
      <c r="D1693" s="2060"/>
      <c r="E1693" s="255"/>
      <c r="H1693" s="2060"/>
      <c r="I1693" s="2060"/>
      <c r="J1693" s="2060"/>
      <c r="K1693" s="2060"/>
      <c r="L1693" s="2060"/>
      <c r="M1693" s="2060"/>
      <c r="N1693" s="2060"/>
      <c r="O1693" s="2060"/>
      <c r="P1693" s="2060"/>
      <c r="Q1693" s="2060"/>
      <c r="R1693" s="2060"/>
      <c r="S1693" s="2060"/>
    </row>
    <row r="1694" spans="2:19">
      <c r="B1694" s="2060"/>
      <c r="C1694" s="2060"/>
      <c r="D1694" s="2060"/>
      <c r="E1694" s="255"/>
      <c r="H1694" s="2060"/>
      <c r="I1694" s="2060"/>
      <c r="J1694" s="2060"/>
      <c r="K1694" s="2060"/>
      <c r="L1694" s="2060"/>
      <c r="M1694" s="2060"/>
      <c r="N1694" s="2060"/>
      <c r="O1694" s="2060"/>
      <c r="P1694" s="2060"/>
      <c r="Q1694" s="2060"/>
      <c r="R1694" s="2060"/>
      <c r="S1694" s="2060"/>
    </row>
    <row r="1695" spans="2:19">
      <c r="B1695" s="2060"/>
      <c r="C1695" s="2060"/>
      <c r="D1695" s="2060"/>
      <c r="E1695" s="255"/>
      <c r="H1695" s="2060"/>
      <c r="I1695" s="2060"/>
      <c r="J1695" s="2060"/>
      <c r="K1695" s="2060"/>
      <c r="L1695" s="2060"/>
      <c r="M1695" s="2060"/>
      <c r="N1695" s="2060"/>
      <c r="O1695" s="2060"/>
      <c r="P1695" s="2060"/>
      <c r="Q1695" s="2060"/>
      <c r="R1695" s="2060"/>
      <c r="S1695" s="2060"/>
    </row>
    <row r="1696" spans="2:19">
      <c r="B1696" s="2060"/>
      <c r="C1696" s="2060"/>
      <c r="D1696" s="2060"/>
      <c r="E1696" s="255"/>
      <c r="H1696" s="2060"/>
      <c r="I1696" s="2060"/>
      <c r="J1696" s="2060"/>
      <c r="K1696" s="2060"/>
      <c r="L1696" s="2060"/>
      <c r="M1696" s="2060"/>
      <c r="N1696" s="2060"/>
      <c r="O1696" s="2060"/>
      <c r="P1696" s="2060"/>
      <c r="Q1696" s="2060"/>
      <c r="R1696" s="2060"/>
      <c r="S1696" s="2060"/>
    </row>
    <row r="1697" spans="2:19">
      <c r="B1697" s="2060"/>
      <c r="C1697" s="2060"/>
      <c r="D1697" s="2060"/>
      <c r="E1697" s="255"/>
      <c r="H1697" s="2060"/>
      <c r="I1697" s="2060"/>
      <c r="J1697" s="2060"/>
      <c r="K1697" s="2060"/>
      <c r="L1697" s="2060"/>
      <c r="M1697" s="2060"/>
      <c r="N1697" s="2060"/>
      <c r="O1697" s="2060"/>
      <c r="P1697" s="2060"/>
      <c r="Q1697" s="2060"/>
      <c r="R1697" s="2060"/>
      <c r="S1697" s="2060"/>
    </row>
    <row r="1698" spans="2:19">
      <c r="B1698" s="2060"/>
      <c r="C1698" s="2060"/>
      <c r="D1698" s="2060"/>
      <c r="E1698" s="255"/>
      <c r="H1698" s="2060"/>
      <c r="I1698" s="2060"/>
      <c r="J1698" s="2060"/>
      <c r="K1698" s="2060"/>
      <c r="L1698" s="2060"/>
      <c r="M1698" s="2060"/>
      <c r="N1698" s="2060"/>
      <c r="O1698" s="2060"/>
      <c r="P1698" s="2060"/>
      <c r="Q1698" s="2060"/>
      <c r="R1698" s="2060"/>
      <c r="S1698" s="2060"/>
    </row>
    <row r="1699" spans="2:19">
      <c r="B1699" s="2060"/>
      <c r="C1699" s="2060"/>
      <c r="D1699" s="2060"/>
      <c r="E1699" s="255"/>
      <c r="H1699" s="2060"/>
      <c r="I1699" s="2060"/>
      <c r="J1699" s="2060"/>
      <c r="K1699" s="2060"/>
      <c r="L1699" s="2060"/>
      <c r="M1699" s="2060"/>
      <c r="N1699" s="2060"/>
      <c r="O1699" s="2060"/>
      <c r="P1699" s="2060"/>
      <c r="Q1699" s="2060"/>
      <c r="R1699" s="2060"/>
      <c r="S1699" s="2060"/>
    </row>
    <row r="1700" spans="2:19">
      <c r="B1700" s="2060"/>
      <c r="C1700" s="2060"/>
      <c r="D1700" s="2060"/>
      <c r="E1700" s="255"/>
      <c r="H1700" s="2060"/>
      <c r="I1700" s="2060"/>
      <c r="J1700" s="2060"/>
      <c r="K1700" s="2060"/>
      <c r="L1700" s="2060"/>
      <c r="M1700" s="2060"/>
      <c r="N1700" s="2060"/>
      <c r="O1700" s="2060"/>
      <c r="P1700" s="2060"/>
      <c r="Q1700" s="2060"/>
      <c r="R1700" s="2060"/>
      <c r="S1700" s="2060"/>
    </row>
    <row r="1701" spans="2:19">
      <c r="B1701" s="2060"/>
      <c r="C1701" s="2060"/>
      <c r="D1701" s="2060"/>
      <c r="E1701" s="255"/>
      <c r="H1701" s="2060"/>
      <c r="I1701" s="2060"/>
      <c r="J1701" s="2060"/>
      <c r="K1701" s="2060"/>
      <c r="L1701" s="2060"/>
      <c r="M1701" s="2060"/>
      <c r="N1701" s="2060"/>
      <c r="O1701" s="2060"/>
      <c r="P1701" s="2060"/>
      <c r="Q1701" s="2060"/>
      <c r="R1701" s="2060"/>
      <c r="S1701" s="2060"/>
    </row>
    <row r="1702" spans="2:19">
      <c r="B1702" s="2060"/>
      <c r="C1702" s="2060"/>
      <c r="D1702" s="2060"/>
      <c r="E1702" s="255"/>
      <c r="H1702" s="2060"/>
      <c r="I1702" s="2060"/>
      <c r="J1702" s="2060"/>
      <c r="K1702" s="2060"/>
      <c r="L1702" s="2060"/>
      <c r="M1702" s="2060"/>
      <c r="N1702" s="2060"/>
      <c r="O1702" s="2060"/>
      <c r="P1702" s="2060"/>
      <c r="Q1702" s="2060"/>
      <c r="R1702" s="2060"/>
      <c r="S1702" s="2060"/>
    </row>
    <row r="1703" spans="2:19">
      <c r="B1703" s="2060"/>
      <c r="C1703" s="2060"/>
      <c r="D1703" s="2060"/>
      <c r="E1703" s="255"/>
      <c r="H1703" s="2060"/>
      <c r="I1703" s="2060"/>
      <c r="J1703" s="2060"/>
      <c r="K1703" s="2060"/>
      <c r="L1703" s="2060"/>
      <c r="M1703" s="2060"/>
      <c r="N1703" s="2060"/>
      <c r="O1703" s="2060"/>
      <c r="P1703" s="2060"/>
      <c r="Q1703" s="2060"/>
      <c r="R1703" s="2060"/>
      <c r="S1703" s="2060"/>
    </row>
    <row r="1704" spans="2:19">
      <c r="B1704" s="2060"/>
      <c r="C1704" s="2060"/>
      <c r="D1704" s="2060"/>
      <c r="E1704" s="255"/>
      <c r="H1704" s="2060"/>
      <c r="I1704" s="2060"/>
      <c r="J1704" s="2060"/>
      <c r="K1704" s="2060"/>
      <c r="L1704" s="2060"/>
      <c r="M1704" s="2060"/>
      <c r="N1704" s="2060"/>
      <c r="O1704" s="2060"/>
      <c r="P1704" s="2060"/>
      <c r="Q1704" s="2060"/>
      <c r="R1704" s="2060"/>
      <c r="S1704" s="2060"/>
    </row>
    <row r="1705" spans="2:19">
      <c r="B1705" s="2060"/>
      <c r="C1705" s="2060"/>
      <c r="D1705" s="2060"/>
      <c r="E1705" s="255"/>
      <c r="H1705" s="2060"/>
      <c r="I1705" s="2060"/>
      <c r="J1705" s="2060"/>
      <c r="K1705" s="2060"/>
      <c r="L1705" s="2060"/>
      <c r="M1705" s="2060"/>
      <c r="N1705" s="2060"/>
      <c r="O1705" s="2060"/>
      <c r="P1705" s="2060"/>
      <c r="Q1705" s="2060"/>
      <c r="R1705" s="2060"/>
      <c r="S1705" s="2060"/>
    </row>
    <row r="1706" spans="2:19">
      <c r="B1706" s="2060"/>
      <c r="C1706" s="2060"/>
      <c r="D1706" s="2060"/>
      <c r="E1706" s="255"/>
      <c r="H1706" s="2060"/>
      <c r="I1706" s="2060"/>
      <c r="J1706" s="2060"/>
      <c r="K1706" s="2060"/>
      <c r="L1706" s="2060"/>
      <c r="M1706" s="2060"/>
      <c r="N1706" s="2060"/>
      <c r="O1706" s="2060"/>
      <c r="P1706" s="2060"/>
      <c r="Q1706" s="2060"/>
      <c r="R1706" s="2060"/>
      <c r="S1706" s="2060"/>
    </row>
    <row r="1707" spans="2:19">
      <c r="B1707" s="2060"/>
      <c r="C1707" s="2060"/>
      <c r="D1707" s="2060"/>
      <c r="E1707" s="255"/>
      <c r="H1707" s="2060"/>
      <c r="I1707" s="2060"/>
      <c r="J1707" s="2060"/>
      <c r="K1707" s="2060"/>
      <c r="L1707" s="2060"/>
      <c r="M1707" s="2060"/>
      <c r="N1707" s="2060"/>
      <c r="O1707" s="2060"/>
      <c r="P1707" s="2060"/>
      <c r="Q1707" s="2060"/>
      <c r="R1707" s="2060"/>
      <c r="S1707" s="2060"/>
    </row>
    <row r="1708" spans="2:19">
      <c r="B1708" s="2060"/>
      <c r="C1708" s="2060"/>
      <c r="D1708" s="2060"/>
      <c r="E1708" s="255"/>
      <c r="H1708" s="2060"/>
      <c r="I1708" s="2060"/>
      <c r="J1708" s="2060"/>
      <c r="K1708" s="2060"/>
      <c r="L1708" s="2060"/>
      <c r="M1708" s="2060"/>
      <c r="N1708" s="2060"/>
      <c r="O1708" s="2060"/>
      <c r="P1708" s="2060"/>
      <c r="Q1708" s="2060"/>
      <c r="R1708" s="2060"/>
      <c r="S1708" s="2060"/>
    </row>
    <row r="1709" spans="2:19">
      <c r="B1709" s="2060"/>
      <c r="C1709" s="2060"/>
      <c r="D1709" s="2060"/>
      <c r="E1709" s="255"/>
      <c r="H1709" s="2060"/>
      <c r="I1709" s="2060"/>
      <c r="J1709" s="2060"/>
      <c r="K1709" s="2060"/>
      <c r="L1709" s="2060"/>
      <c r="M1709" s="2060"/>
      <c r="N1709" s="2060"/>
      <c r="O1709" s="2060"/>
      <c r="P1709" s="2060"/>
      <c r="Q1709" s="2060"/>
      <c r="R1709" s="2060"/>
      <c r="S1709" s="2060"/>
    </row>
    <row r="1710" spans="2:19">
      <c r="B1710" s="2060"/>
      <c r="C1710" s="2060"/>
      <c r="D1710" s="2060"/>
      <c r="E1710" s="255"/>
      <c r="H1710" s="2060"/>
      <c r="I1710" s="2060"/>
      <c r="J1710" s="2060"/>
      <c r="K1710" s="2060"/>
      <c r="L1710" s="2060"/>
      <c r="M1710" s="2060"/>
      <c r="N1710" s="2060"/>
      <c r="O1710" s="2060"/>
      <c r="P1710" s="2060"/>
      <c r="Q1710" s="2060"/>
      <c r="R1710" s="2060"/>
      <c r="S1710" s="2060"/>
    </row>
    <row r="1711" spans="2:19">
      <c r="B1711" s="2060"/>
      <c r="C1711" s="2060"/>
      <c r="D1711" s="2060"/>
      <c r="E1711" s="255"/>
      <c r="H1711" s="2060"/>
      <c r="I1711" s="2060"/>
      <c r="J1711" s="2060"/>
      <c r="K1711" s="2060"/>
      <c r="L1711" s="2060"/>
      <c r="M1711" s="2060"/>
      <c r="N1711" s="2060"/>
      <c r="O1711" s="2060"/>
      <c r="P1711" s="2060"/>
      <c r="Q1711" s="2060"/>
      <c r="R1711" s="2060"/>
      <c r="S1711" s="2060"/>
    </row>
    <row r="1712" spans="2:19">
      <c r="B1712" s="2060"/>
      <c r="C1712" s="2060"/>
      <c r="D1712" s="2060"/>
      <c r="E1712" s="255"/>
      <c r="H1712" s="2060"/>
      <c r="I1712" s="2060"/>
      <c r="J1712" s="2060"/>
      <c r="K1712" s="2060"/>
      <c r="L1712" s="2060"/>
      <c r="M1712" s="2060"/>
      <c r="N1712" s="2060"/>
      <c r="O1712" s="2060"/>
      <c r="P1712" s="2060"/>
      <c r="Q1712" s="2060"/>
      <c r="R1712" s="2060"/>
      <c r="S1712" s="2060"/>
    </row>
    <row r="1713" spans="2:19">
      <c r="B1713" s="2060"/>
      <c r="C1713" s="2060"/>
      <c r="D1713" s="2060"/>
      <c r="E1713" s="255"/>
      <c r="H1713" s="2060"/>
      <c r="I1713" s="2060"/>
      <c r="J1713" s="2060"/>
      <c r="K1713" s="2060"/>
      <c r="L1713" s="2060"/>
      <c r="M1713" s="2060"/>
      <c r="N1713" s="2060"/>
      <c r="O1713" s="2060"/>
      <c r="P1713" s="2060"/>
      <c r="Q1713" s="2060"/>
      <c r="R1713" s="2060"/>
      <c r="S1713" s="2060"/>
    </row>
    <row r="1714" spans="2:19">
      <c r="B1714" s="2060"/>
      <c r="C1714" s="2060"/>
      <c r="D1714" s="2060"/>
      <c r="E1714" s="255"/>
      <c r="H1714" s="2060"/>
      <c r="I1714" s="2060"/>
      <c r="J1714" s="2060"/>
      <c r="K1714" s="2060"/>
      <c r="L1714" s="2060"/>
      <c r="M1714" s="2060"/>
      <c r="N1714" s="2060"/>
      <c r="O1714" s="2060"/>
      <c r="P1714" s="2060"/>
      <c r="Q1714" s="2060"/>
      <c r="R1714" s="2060"/>
      <c r="S1714" s="2060"/>
    </row>
    <row r="1715" spans="2:19">
      <c r="B1715" s="2060"/>
      <c r="C1715" s="2060"/>
      <c r="D1715" s="2060"/>
      <c r="E1715" s="255"/>
      <c r="H1715" s="2060"/>
      <c r="I1715" s="2060"/>
      <c r="J1715" s="2060"/>
      <c r="K1715" s="2060"/>
      <c r="L1715" s="2060"/>
      <c r="M1715" s="2060"/>
      <c r="N1715" s="2060"/>
      <c r="O1715" s="2060"/>
      <c r="P1715" s="2060"/>
      <c r="Q1715" s="2060"/>
      <c r="R1715" s="2060"/>
      <c r="S1715" s="2060"/>
    </row>
    <row r="1716" spans="2:19">
      <c r="B1716" s="2060"/>
      <c r="C1716" s="2060"/>
      <c r="D1716" s="2060"/>
      <c r="E1716" s="255"/>
      <c r="H1716" s="2060"/>
      <c r="I1716" s="2060"/>
      <c r="J1716" s="2060"/>
      <c r="K1716" s="2060"/>
      <c r="L1716" s="2060"/>
      <c r="M1716" s="2060"/>
      <c r="N1716" s="2060"/>
      <c r="O1716" s="2060"/>
      <c r="P1716" s="2060"/>
      <c r="Q1716" s="2060"/>
      <c r="R1716" s="2060"/>
      <c r="S1716" s="2060"/>
    </row>
    <row r="1717" spans="2:19">
      <c r="B1717" s="2060"/>
      <c r="C1717" s="2060"/>
      <c r="D1717" s="2060"/>
      <c r="E1717" s="255"/>
      <c r="H1717" s="2060"/>
      <c r="I1717" s="2060"/>
      <c r="J1717" s="2060"/>
      <c r="K1717" s="2060"/>
      <c r="L1717" s="2060"/>
      <c r="M1717" s="2060"/>
      <c r="N1717" s="2060"/>
      <c r="O1717" s="2060"/>
      <c r="P1717" s="2060"/>
      <c r="Q1717" s="2060"/>
      <c r="R1717" s="2060"/>
      <c r="S1717" s="2060"/>
    </row>
    <row r="1718" spans="2:19">
      <c r="B1718" s="2060"/>
      <c r="C1718" s="2060"/>
      <c r="D1718" s="2060"/>
      <c r="E1718" s="255"/>
      <c r="H1718" s="2060"/>
      <c r="I1718" s="2060"/>
      <c r="J1718" s="2060"/>
      <c r="K1718" s="2060"/>
      <c r="L1718" s="2060"/>
      <c r="M1718" s="2060"/>
      <c r="N1718" s="2060"/>
      <c r="O1718" s="2060"/>
      <c r="P1718" s="2060"/>
      <c r="Q1718" s="2060"/>
      <c r="R1718" s="2060"/>
      <c r="S1718" s="2060"/>
    </row>
    <row r="1719" spans="2:19">
      <c r="B1719" s="2060"/>
      <c r="C1719" s="2060"/>
      <c r="D1719" s="2060"/>
      <c r="E1719" s="255"/>
      <c r="H1719" s="2060"/>
      <c r="I1719" s="2060"/>
      <c r="J1719" s="2060"/>
      <c r="K1719" s="2060"/>
      <c r="L1719" s="2060"/>
      <c r="M1719" s="2060"/>
      <c r="N1719" s="2060"/>
      <c r="O1719" s="2060"/>
      <c r="P1719" s="2060"/>
      <c r="Q1719" s="2060"/>
      <c r="R1719" s="2060"/>
      <c r="S1719" s="2060"/>
    </row>
    <row r="1720" spans="2:19">
      <c r="B1720" s="2060"/>
      <c r="C1720" s="2060"/>
      <c r="D1720" s="2060"/>
      <c r="E1720" s="255"/>
      <c r="H1720" s="2060"/>
      <c r="I1720" s="2060"/>
      <c r="J1720" s="2060"/>
      <c r="K1720" s="2060"/>
      <c r="L1720" s="2060"/>
      <c r="M1720" s="2060"/>
      <c r="N1720" s="2060"/>
      <c r="O1720" s="2060"/>
      <c r="P1720" s="2060"/>
      <c r="Q1720" s="2060"/>
      <c r="R1720" s="2060"/>
      <c r="S1720" s="2060"/>
    </row>
    <row r="1721" spans="2:19">
      <c r="B1721" s="2060"/>
      <c r="C1721" s="2060"/>
      <c r="D1721" s="2060"/>
      <c r="E1721" s="255"/>
      <c r="H1721" s="2060"/>
      <c r="I1721" s="2060"/>
      <c r="J1721" s="2060"/>
      <c r="K1721" s="2060"/>
      <c r="L1721" s="2060"/>
      <c r="M1721" s="2060"/>
      <c r="N1721" s="2060"/>
      <c r="O1721" s="2060"/>
      <c r="P1721" s="2060"/>
      <c r="Q1721" s="2060"/>
      <c r="R1721" s="2060"/>
      <c r="S1721" s="2060"/>
    </row>
    <row r="1722" spans="2:19">
      <c r="B1722" s="2060"/>
      <c r="C1722" s="2060"/>
      <c r="D1722" s="2060"/>
      <c r="E1722" s="255"/>
      <c r="H1722" s="2060"/>
      <c r="I1722" s="2060"/>
      <c r="J1722" s="2060"/>
      <c r="K1722" s="2060"/>
      <c r="L1722" s="2060"/>
      <c r="M1722" s="2060"/>
      <c r="N1722" s="2060"/>
      <c r="O1722" s="2060"/>
      <c r="P1722" s="2060"/>
      <c r="Q1722" s="2060"/>
      <c r="R1722" s="2060"/>
      <c r="S1722" s="2060"/>
    </row>
    <row r="1723" spans="2:19">
      <c r="B1723" s="2060"/>
      <c r="C1723" s="2060"/>
      <c r="D1723" s="2060"/>
      <c r="E1723" s="255"/>
      <c r="H1723" s="2060"/>
      <c r="I1723" s="2060"/>
      <c r="J1723" s="2060"/>
      <c r="K1723" s="2060"/>
      <c r="L1723" s="2060"/>
      <c r="M1723" s="2060"/>
      <c r="N1723" s="2060"/>
      <c r="O1723" s="2060"/>
      <c r="P1723" s="2060"/>
      <c r="Q1723" s="2060"/>
      <c r="R1723" s="2060"/>
      <c r="S1723" s="2060"/>
    </row>
    <row r="1724" spans="2:19">
      <c r="B1724" s="2060"/>
      <c r="C1724" s="2060"/>
      <c r="D1724" s="2060"/>
      <c r="E1724" s="255"/>
      <c r="H1724" s="2060"/>
      <c r="I1724" s="2060"/>
      <c r="J1724" s="2060"/>
      <c r="K1724" s="2060"/>
      <c r="L1724" s="2060"/>
      <c r="M1724" s="2060"/>
      <c r="N1724" s="2060"/>
      <c r="O1724" s="2060"/>
      <c r="P1724" s="2060"/>
      <c r="Q1724" s="2060"/>
      <c r="R1724" s="2060"/>
      <c r="S1724" s="2060"/>
    </row>
    <row r="1725" spans="2:19">
      <c r="B1725" s="2060"/>
      <c r="C1725" s="2060"/>
      <c r="D1725" s="2060"/>
      <c r="E1725" s="255"/>
      <c r="H1725" s="2060"/>
      <c r="I1725" s="2060"/>
      <c r="J1725" s="2060"/>
      <c r="K1725" s="2060"/>
      <c r="L1725" s="2060"/>
      <c r="M1725" s="2060"/>
      <c r="N1725" s="2060"/>
      <c r="O1725" s="2060"/>
      <c r="P1725" s="2060"/>
      <c r="Q1725" s="2060"/>
      <c r="R1725" s="2060"/>
      <c r="S1725" s="2060"/>
    </row>
    <row r="1726" spans="2:19">
      <c r="B1726" s="2060"/>
      <c r="C1726" s="2060"/>
      <c r="D1726" s="2060"/>
      <c r="E1726" s="255"/>
      <c r="H1726" s="2060"/>
      <c r="I1726" s="2060"/>
      <c r="J1726" s="2060"/>
      <c r="K1726" s="2060"/>
      <c r="L1726" s="2060"/>
      <c r="M1726" s="2060"/>
      <c r="N1726" s="2060"/>
      <c r="O1726" s="2060"/>
      <c r="P1726" s="2060"/>
      <c r="Q1726" s="2060"/>
      <c r="R1726" s="2060"/>
      <c r="S1726" s="2060"/>
    </row>
    <row r="1727" spans="2:19">
      <c r="B1727" s="2060"/>
      <c r="C1727" s="2060"/>
      <c r="D1727" s="2060"/>
      <c r="E1727" s="255"/>
      <c r="H1727" s="2060"/>
      <c r="I1727" s="2060"/>
      <c r="J1727" s="2060"/>
      <c r="K1727" s="2060"/>
      <c r="L1727" s="2060"/>
      <c r="M1727" s="2060"/>
      <c r="N1727" s="2060"/>
      <c r="O1727" s="2060"/>
      <c r="P1727" s="2060"/>
      <c r="Q1727" s="2060"/>
      <c r="R1727" s="2060"/>
      <c r="S1727" s="2060"/>
    </row>
    <row r="1728" spans="2:19">
      <c r="B1728" s="2060"/>
      <c r="C1728" s="2060"/>
      <c r="D1728" s="2060"/>
      <c r="E1728" s="255"/>
      <c r="H1728" s="2060"/>
      <c r="I1728" s="2060"/>
      <c r="J1728" s="2060"/>
      <c r="K1728" s="2060"/>
      <c r="L1728" s="2060"/>
      <c r="M1728" s="2060"/>
      <c r="N1728" s="2060"/>
      <c r="O1728" s="2060"/>
      <c r="P1728" s="2060"/>
      <c r="Q1728" s="2060"/>
      <c r="R1728" s="2060"/>
      <c r="S1728" s="2060"/>
    </row>
    <row r="1729" spans="2:19">
      <c r="B1729" s="2060"/>
      <c r="C1729" s="2060"/>
      <c r="D1729" s="2060"/>
      <c r="E1729" s="255"/>
      <c r="H1729" s="2060"/>
      <c r="I1729" s="2060"/>
      <c r="J1729" s="2060"/>
      <c r="K1729" s="2060"/>
      <c r="L1729" s="2060"/>
      <c r="M1729" s="2060"/>
      <c r="N1729" s="2060"/>
      <c r="O1729" s="2060"/>
      <c r="P1729" s="2060"/>
      <c r="Q1729" s="2060"/>
      <c r="R1729" s="2060"/>
      <c r="S1729" s="2060"/>
    </row>
    <row r="1730" spans="2:19">
      <c r="B1730" s="2060"/>
      <c r="C1730" s="2060"/>
      <c r="D1730" s="2060"/>
      <c r="E1730" s="255"/>
      <c r="H1730" s="2060"/>
      <c r="I1730" s="2060"/>
      <c r="J1730" s="2060"/>
      <c r="K1730" s="2060"/>
      <c r="L1730" s="2060"/>
      <c r="M1730" s="2060"/>
      <c r="N1730" s="2060"/>
      <c r="O1730" s="2060"/>
      <c r="P1730" s="2060"/>
      <c r="Q1730" s="2060"/>
      <c r="R1730" s="2060"/>
      <c r="S1730" s="2060"/>
    </row>
    <row r="1731" spans="2:19">
      <c r="B1731" s="2060"/>
      <c r="C1731" s="2060"/>
      <c r="D1731" s="2060"/>
      <c r="E1731" s="255"/>
      <c r="H1731" s="2060"/>
      <c r="I1731" s="2060"/>
      <c r="J1731" s="2060"/>
      <c r="K1731" s="2060"/>
      <c r="L1731" s="2060"/>
      <c r="M1731" s="2060"/>
      <c r="N1731" s="2060"/>
      <c r="O1731" s="2060"/>
      <c r="P1731" s="2060"/>
      <c r="Q1731" s="2060"/>
      <c r="R1731" s="2060"/>
      <c r="S1731" s="2060"/>
    </row>
    <row r="1732" spans="2:19">
      <c r="B1732" s="2060"/>
      <c r="C1732" s="2060"/>
      <c r="D1732" s="2060"/>
      <c r="E1732" s="255"/>
      <c r="H1732" s="2060"/>
      <c r="I1732" s="2060"/>
      <c r="J1732" s="2060"/>
      <c r="K1732" s="2060"/>
      <c r="L1732" s="2060"/>
      <c r="M1732" s="2060"/>
      <c r="N1732" s="2060"/>
      <c r="O1732" s="2060"/>
      <c r="P1732" s="2060"/>
      <c r="Q1732" s="2060"/>
      <c r="R1732" s="2060"/>
      <c r="S1732" s="2060"/>
    </row>
    <row r="1733" spans="2:19">
      <c r="B1733" s="2060"/>
      <c r="C1733" s="2060"/>
      <c r="D1733" s="2060"/>
      <c r="E1733" s="255"/>
      <c r="H1733" s="2060"/>
      <c r="I1733" s="2060"/>
      <c r="J1733" s="2060"/>
      <c r="K1733" s="2060"/>
      <c r="L1733" s="2060"/>
      <c r="M1733" s="2060"/>
      <c r="N1733" s="2060"/>
      <c r="O1733" s="2060"/>
      <c r="P1733" s="2060"/>
      <c r="Q1733" s="2060"/>
      <c r="R1733" s="2060"/>
      <c r="S1733" s="2060"/>
    </row>
    <row r="1734" spans="2:19">
      <c r="B1734" s="2060"/>
      <c r="C1734" s="2060"/>
      <c r="D1734" s="2060"/>
      <c r="E1734" s="255"/>
      <c r="H1734" s="2060"/>
      <c r="I1734" s="2060"/>
      <c r="J1734" s="2060"/>
      <c r="K1734" s="2060"/>
      <c r="L1734" s="2060"/>
      <c r="M1734" s="2060"/>
      <c r="N1734" s="2060"/>
      <c r="O1734" s="2060"/>
      <c r="P1734" s="2060"/>
      <c r="Q1734" s="2060"/>
      <c r="R1734" s="2060"/>
      <c r="S1734" s="2060"/>
    </row>
    <row r="1735" spans="2:19">
      <c r="B1735" s="2060"/>
      <c r="C1735" s="2060"/>
      <c r="D1735" s="2060"/>
      <c r="E1735" s="255"/>
      <c r="H1735" s="2060"/>
      <c r="I1735" s="2060"/>
      <c r="J1735" s="2060"/>
      <c r="K1735" s="2060"/>
      <c r="L1735" s="2060"/>
      <c r="M1735" s="2060"/>
      <c r="N1735" s="2060"/>
      <c r="O1735" s="2060"/>
      <c r="P1735" s="2060"/>
      <c r="Q1735" s="2060"/>
      <c r="R1735" s="2060"/>
      <c r="S1735" s="2060"/>
    </row>
    <row r="1736" spans="2:19">
      <c r="B1736" s="2060"/>
      <c r="C1736" s="2060"/>
      <c r="D1736" s="2060"/>
      <c r="E1736" s="255"/>
      <c r="H1736" s="2060"/>
      <c r="I1736" s="2060"/>
      <c r="J1736" s="2060"/>
      <c r="K1736" s="2060"/>
      <c r="L1736" s="2060"/>
      <c r="M1736" s="2060"/>
      <c r="N1736" s="2060"/>
      <c r="O1736" s="2060"/>
      <c r="P1736" s="2060"/>
      <c r="Q1736" s="2060"/>
      <c r="R1736" s="2060"/>
      <c r="S1736" s="2060"/>
    </row>
    <row r="1737" spans="2:19">
      <c r="B1737" s="2060"/>
      <c r="C1737" s="2060"/>
      <c r="D1737" s="2060"/>
      <c r="E1737" s="255"/>
      <c r="H1737" s="2060"/>
      <c r="I1737" s="2060"/>
      <c r="J1737" s="2060"/>
      <c r="K1737" s="2060"/>
      <c r="L1737" s="2060"/>
      <c r="M1737" s="2060"/>
      <c r="N1737" s="2060"/>
      <c r="O1737" s="2060"/>
      <c r="P1737" s="2060"/>
      <c r="Q1737" s="2060"/>
      <c r="R1737" s="2060"/>
      <c r="S1737" s="2060"/>
    </row>
    <row r="1738" spans="2:19">
      <c r="B1738" s="2060"/>
      <c r="C1738" s="2060"/>
      <c r="D1738" s="2060"/>
      <c r="E1738" s="255"/>
      <c r="H1738" s="2060"/>
      <c r="I1738" s="2060"/>
      <c r="J1738" s="2060"/>
      <c r="K1738" s="2060"/>
      <c r="L1738" s="2060"/>
      <c r="M1738" s="2060"/>
      <c r="N1738" s="2060"/>
      <c r="O1738" s="2060"/>
      <c r="P1738" s="2060"/>
      <c r="Q1738" s="2060"/>
      <c r="R1738" s="2060"/>
      <c r="S1738" s="2060"/>
    </row>
    <row r="1739" spans="2:19">
      <c r="B1739" s="2060"/>
      <c r="C1739" s="2060"/>
      <c r="D1739" s="2060"/>
      <c r="E1739" s="255"/>
      <c r="H1739" s="2060"/>
      <c r="I1739" s="2060"/>
      <c r="J1739" s="2060"/>
      <c r="K1739" s="2060"/>
      <c r="L1739" s="2060"/>
      <c r="M1739" s="2060"/>
      <c r="N1739" s="2060"/>
      <c r="O1739" s="2060"/>
      <c r="P1739" s="2060"/>
      <c r="Q1739" s="2060"/>
      <c r="R1739" s="2060"/>
      <c r="S1739" s="2060"/>
    </row>
    <row r="1740" spans="2:19">
      <c r="B1740" s="2060"/>
      <c r="C1740" s="2060"/>
      <c r="D1740" s="2060"/>
      <c r="E1740" s="255"/>
      <c r="H1740" s="2060"/>
      <c r="I1740" s="2060"/>
      <c r="J1740" s="2060"/>
      <c r="K1740" s="2060"/>
      <c r="L1740" s="2060"/>
      <c r="M1740" s="2060"/>
      <c r="N1740" s="2060"/>
      <c r="O1740" s="2060"/>
      <c r="P1740" s="2060"/>
      <c r="Q1740" s="2060"/>
      <c r="R1740" s="2060"/>
      <c r="S1740" s="2060"/>
    </row>
    <row r="1741" spans="2:19">
      <c r="B1741" s="2060"/>
      <c r="C1741" s="2060"/>
      <c r="D1741" s="2060"/>
      <c r="E1741" s="255"/>
      <c r="H1741" s="2060"/>
      <c r="I1741" s="2060"/>
      <c r="J1741" s="2060"/>
      <c r="K1741" s="2060"/>
      <c r="L1741" s="2060"/>
      <c r="M1741" s="2060"/>
      <c r="N1741" s="2060"/>
      <c r="O1741" s="2060"/>
      <c r="P1741" s="2060"/>
      <c r="Q1741" s="2060"/>
      <c r="R1741" s="2060"/>
      <c r="S1741" s="2060"/>
    </row>
    <row r="1742" spans="2:19">
      <c r="B1742" s="2060"/>
      <c r="C1742" s="2060"/>
      <c r="D1742" s="2060"/>
      <c r="E1742" s="255"/>
      <c r="H1742" s="2060"/>
      <c r="I1742" s="2060"/>
      <c r="J1742" s="2060"/>
      <c r="K1742" s="2060"/>
      <c r="L1742" s="2060"/>
      <c r="M1742" s="2060"/>
      <c r="N1742" s="2060"/>
      <c r="O1742" s="2060"/>
      <c r="P1742" s="2060"/>
      <c r="Q1742" s="2060"/>
      <c r="R1742" s="2060"/>
      <c r="S1742" s="2060"/>
    </row>
    <row r="1743" spans="2:19">
      <c r="B1743" s="2060"/>
      <c r="C1743" s="2060"/>
      <c r="D1743" s="2060"/>
      <c r="E1743" s="255"/>
      <c r="H1743" s="2060"/>
      <c r="I1743" s="2060"/>
      <c r="J1743" s="2060"/>
      <c r="K1743" s="2060"/>
      <c r="L1743" s="2060"/>
      <c r="M1743" s="2060"/>
      <c r="N1743" s="2060"/>
      <c r="O1743" s="2060"/>
      <c r="P1743" s="2060"/>
      <c r="Q1743" s="2060"/>
      <c r="R1743" s="2060"/>
      <c r="S1743" s="2060"/>
    </row>
    <row r="1744" spans="2:19">
      <c r="B1744" s="2060"/>
      <c r="C1744" s="2060"/>
      <c r="D1744" s="2060"/>
      <c r="E1744" s="255"/>
      <c r="H1744" s="2060"/>
      <c r="I1744" s="2060"/>
      <c r="J1744" s="2060"/>
      <c r="K1744" s="2060"/>
      <c r="L1744" s="2060"/>
      <c r="M1744" s="2060"/>
      <c r="N1744" s="2060"/>
      <c r="O1744" s="2060"/>
      <c r="P1744" s="2060"/>
      <c r="Q1744" s="2060"/>
      <c r="R1744" s="2060"/>
      <c r="S1744" s="2060"/>
    </row>
    <row r="1745" spans="2:19">
      <c r="B1745" s="2060"/>
      <c r="C1745" s="2060"/>
      <c r="D1745" s="2060"/>
      <c r="E1745" s="255"/>
      <c r="H1745" s="2060"/>
      <c r="I1745" s="2060"/>
      <c r="J1745" s="2060"/>
      <c r="K1745" s="2060"/>
      <c r="L1745" s="2060"/>
      <c r="M1745" s="2060"/>
      <c r="N1745" s="2060"/>
      <c r="O1745" s="2060"/>
      <c r="P1745" s="2060"/>
      <c r="Q1745" s="2060"/>
      <c r="R1745" s="2060"/>
      <c r="S1745" s="2060"/>
    </row>
    <row r="1746" spans="2:19">
      <c r="B1746" s="2060"/>
      <c r="C1746" s="2060"/>
      <c r="D1746" s="2060"/>
      <c r="E1746" s="255"/>
      <c r="H1746" s="2060"/>
      <c r="I1746" s="2060"/>
      <c r="J1746" s="2060"/>
      <c r="K1746" s="2060"/>
      <c r="L1746" s="2060"/>
      <c r="M1746" s="2060"/>
      <c r="N1746" s="2060"/>
      <c r="O1746" s="2060"/>
      <c r="P1746" s="2060"/>
      <c r="Q1746" s="2060"/>
      <c r="R1746" s="2060"/>
      <c r="S1746" s="2060"/>
    </row>
    <row r="1747" spans="2:19">
      <c r="B1747" s="2060"/>
      <c r="C1747" s="2060"/>
      <c r="D1747" s="2060"/>
      <c r="E1747" s="255"/>
      <c r="H1747" s="2060"/>
      <c r="I1747" s="2060"/>
      <c r="J1747" s="2060"/>
      <c r="K1747" s="2060"/>
      <c r="L1747" s="2060"/>
      <c r="M1747" s="2060"/>
      <c r="N1747" s="2060"/>
      <c r="O1747" s="2060"/>
      <c r="P1747" s="2060"/>
      <c r="Q1747" s="2060"/>
      <c r="R1747" s="2060"/>
      <c r="S1747" s="2060"/>
    </row>
    <row r="1748" spans="2:19">
      <c r="B1748" s="2060"/>
      <c r="C1748" s="2060"/>
      <c r="D1748" s="2060"/>
      <c r="E1748" s="255"/>
      <c r="H1748" s="2060"/>
      <c r="I1748" s="2060"/>
      <c r="J1748" s="2060"/>
      <c r="K1748" s="2060"/>
      <c r="L1748" s="2060"/>
      <c r="M1748" s="2060"/>
      <c r="N1748" s="2060"/>
      <c r="O1748" s="2060"/>
      <c r="P1748" s="2060"/>
      <c r="Q1748" s="2060"/>
      <c r="R1748" s="2060"/>
      <c r="S1748" s="2060"/>
    </row>
    <row r="1749" spans="2:19">
      <c r="B1749" s="2060"/>
      <c r="C1749" s="2060"/>
      <c r="D1749" s="2060"/>
      <c r="E1749" s="255"/>
      <c r="H1749" s="2060"/>
      <c r="I1749" s="2060"/>
      <c r="J1749" s="2060"/>
      <c r="K1749" s="2060"/>
      <c r="L1749" s="2060"/>
      <c r="M1749" s="2060"/>
      <c r="N1749" s="2060"/>
      <c r="O1749" s="2060"/>
      <c r="P1749" s="2060"/>
      <c r="Q1749" s="2060"/>
      <c r="R1749" s="2060"/>
      <c r="S1749" s="2060"/>
    </row>
    <row r="1750" spans="2:19">
      <c r="B1750" s="2060"/>
      <c r="C1750" s="2060"/>
      <c r="D1750" s="2060"/>
      <c r="E1750" s="255"/>
      <c r="H1750" s="2060"/>
      <c r="I1750" s="2060"/>
      <c r="J1750" s="2060"/>
      <c r="K1750" s="2060"/>
      <c r="L1750" s="2060"/>
      <c r="M1750" s="2060"/>
      <c r="N1750" s="2060"/>
      <c r="O1750" s="2060"/>
      <c r="P1750" s="2060"/>
      <c r="Q1750" s="2060"/>
      <c r="R1750" s="2060"/>
      <c r="S1750" s="2060"/>
    </row>
    <row r="1751" spans="2:19">
      <c r="B1751" s="2060"/>
      <c r="C1751" s="2060"/>
      <c r="D1751" s="2060"/>
      <c r="E1751" s="255"/>
      <c r="H1751" s="2060"/>
      <c r="I1751" s="2060"/>
      <c r="J1751" s="2060"/>
      <c r="K1751" s="2060"/>
      <c r="L1751" s="2060"/>
      <c r="M1751" s="2060"/>
      <c r="N1751" s="2060"/>
      <c r="O1751" s="2060"/>
      <c r="P1751" s="2060"/>
      <c r="Q1751" s="2060"/>
      <c r="R1751" s="2060"/>
      <c r="S1751" s="2060"/>
    </row>
    <row r="1752" spans="2:19">
      <c r="B1752" s="2060"/>
      <c r="C1752" s="2060"/>
      <c r="D1752" s="2060"/>
      <c r="E1752" s="255"/>
      <c r="H1752" s="2060"/>
      <c r="I1752" s="2060"/>
      <c r="J1752" s="2060"/>
      <c r="K1752" s="2060"/>
      <c r="L1752" s="2060"/>
      <c r="M1752" s="2060"/>
      <c r="N1752" s="2060"/>
      <c r="O1752" s="2060"/>
      <c r="P1752" s="2060"/>
      <c r="Q1752" s="2060"/>
      <c r="R1752" s="2060"/>
      <c r="S1752" s="2060"/>
    </row>
    <row r="1753" spans="2:19">
      <c r="B1753" s="2060"/>
      <c r="C1753" s="2060"/>
      <c r="D1753" s="2060"/>
      <c r="E1753" s="255"/>
      <c r="H1753" s="2060"/>
      <c r="I1753" s="2060"/>
      <c r="J1753" s="2060"/>
      <c r="K1753" s="2060"/>
      <c r="L1753" s="2060"/>
      <c r="M1753" s="2060"/>
      <c r="N1753" s="2060"/>
      <c r="O1753" s="2060"/>
      <c r="P1753" s="2060"/>
      <c r="Q1753" s="2060"/>
      <c r="R1753" s="2060"/>
      <c r="S1753" s="2060"/>
    </row>
    <row r="1754" spans="2:19">
      <c r="B1754" s="2060"/>
      <c r="C1754" s="2060"/>
      <c r="D1754" s="2060"/>
      <c r="E1754" s="255"/>
      <c r="H1754" s="2060"/>
      <c r="I1754" s="2060"/>
      <c r="J1754" s="2060"/>
      <c r="K1754" s="2060"/>
      <c r="L1754" s="2060"/>
      <c r="M1754" s="2060"/>
      <c r="N1754" s="2060"/>
      <c r="O1754" s="2060"/>
      <c r="P1754" s="2060"/>
      <c r="Q1754" s="2060"/>
      <c r="R1754" s="2060"/>
      <c r="S1754" s="2060"/>
    </row>
    <row r="1755" spans="2:19">
      <c r="B1755" s="2060"/>
      <c r="C1755" s="2060"/>
      <c r="D1755" s="2060"/>
      <c r="E1755" s="255"/>
      <c r="H1755" s="2060"/>
      <c r="I1755" s="2060"/>
      <c r="J1755" s="2060"/>
      <c r="K1755" s="2060"/>
      <c r="L1755" s="2060"/>
      <c r="M1755" s="2060"/>
      <c r="N1755" s="2060"/>
      <c r="O1755" s="2060"/>
      <c r="P1755" s="2060"/>
      <c r="Q1755" s="2060"/>
      <c r="R1755" s="2060"/>
      <c r="S1755" s="2060"/>
    </row>
    <row r="1756" spans="2:19">
      <c r="B1756" s="2060"/>
      <c r="C1756" s="2060"/>
      <c r="D1756" s="2060"/>
      <c r="E1756" s="255"/>
      <c r="H1756" s="2060"/>
      <c r="I1756" s="2060"/>
      <c r="J1756" s="2060"/>
      <c r="K1756" s="2060"/>
      <c r="L1756" s="2060"/>
      <c r="M1756" s="2060"/>
      <c r="N1756" s="2060"/>
      <c r="O1756" s="2060"/>
      <c r="P1756" s="2060"/>
      <c r="Q1756" s="2060"/>
      <c r="R1756" s="2060"/>
      <c r="S1756" s="2060"/>
    </row>
    <row r="1757" spans="2:19">
      <c r="B1757" s="2060"/>
      <c r="C1757" s="2060"/>
      <c r="D1757" s="2060"/>
      <c r="E1757" s="255"/>
      <c r="H1757" s="2060"/>
      <c r="I1757" s="2060"/>
      <c r="J1757" s="2060"/>
      <c r="K1757" s="2060"/>
      <c r="L1757" s="2060"/>
      <c r="M1757" s="2060"/>
      <c r="N1757" s="2060"/>
      <c r="O1757" s="2060"/>
      <c r="P1757" s="2060"/>
      <c r="Q1757" s="2060"/>
      <c r="R1757" s="2060"/>
      <c r="S1757" s="2060"/>
    </row>
    <row r="1758" spans="2:19">
      <c r="B1758" s="2060"/>
      <c r="C1758" s="2060"/>
      <c r="D1758" s="2060"/>
      <c r="E1758" s="255"/>
      <c r="H1758" s="2060"/>
      <c r="I1758" s="2060"/>
      <c r="J1758" s="2060"/>
      <c r="K1758" s="2060"/>
      <c r="L1758" s="2060"/>
      <c r="M1758" s="2060"/>
      <c r="N1758" s="2060"/>
      <c r="O1758" s="2060"/>
      <c r="P1758" s="2060"/>
      <c r="Q1758" s="2060"/>
      <c r="R1758" s="2060"/>
      <c r="S1758" s="2060"/>
    </row>
    <row r="1759" spans="2:19">
      <c r="B1759" s="2060"/>
      <c r="C1759" s="2060"/>
      <c r="D1759" s="2060"/>
      <c r="E1759" s="255"/>
      <c r="H1759" s="2060"/>
      <c r="I1759" s="2060"/>
      <c r="J1759" s="2060"/>
      <c r="K1759" s="2060"/>
      <c r="L1759" s="2060"/>
      <c r="M1759" s="2060"/>
      <c r="N1759" s="2060"/>
      <c r="O1759" s="2060"/>
      <c r="P1759" s="2060"/>
      <c r="Q1759" s="2060"/>
      <c r="R1759" s="2060"/>
      <c r="S1759" s="2060"/>
    </row>
    <row r="1760" spans="2:19">
      <c r="B1760" s="2060"/>
      <c r="C1760" s="2060"/>
      <c r="D1760" s="2060"/>
      <c r="E1760" s="255"/>
      <c r="H1760" s="2060"/>
      <c r="I1760" s="2060"/>
      <c r="J1760" s="2060"/>
      <c r="K1760" s="2060"/>
      <c r="L1760" s="2060"/>
      <c r="M1760" s="2060"/>
      <c r="N1760" s="2060"/>
      <c r="O1760" s="2060"/>
      <c r="P1760" s="2060"/>
      <c r="Q1760" s="2060"/>
      <c r="R1760" s="2060"/>
      <c r="S1760" s="2060"/>
    </row>
    <row r="1761" spans="2:19">
      <c r="B1761" s="2060"/>
      <c r="C1761" s="2060"/>
      <c r="D1761" s="2060"/>
      <c r="E1761" s="255"/>
      <c r="H1761" s="2060"/>
      <c r="I1761" s="2060"/>
      <c r="J1761" s="2060"/>
      <c r="K1761" s="2060"/>
      <c r="L1761" s="2060"/>
      <c r="M1761" s="2060"/>
      <c r="N1761" s="2060"/>
      <c r="O1761" s="2060"/>
      <c r="P1761" s="2060"/>
      <c r="Q1761" s="2060"/>
      <c r="R1761" s="2060"/>
      <c r="S1761" s="2060"/>
    </row>
    <row r="1762" spans="2:19">
      <c r="B1762" s="2060"/>
      <c r="C1762" s="2060"/>
      <c r="D1762" s="2060"/>
      <c r="E1762" s="255"/>
      <c r="H1762" s="2060"/>
      <c r="I1762" s="2060"/>
      <c r="J1762" s="2060"/>
      <c r="K1762" s="2060"/>
      <c r="L1762" s="2060"/>
      <c r="M1762" s="2060"/>
      <c r="N1762" s="2060"/>
      <c r="O1762" s="2060"/>
      <c r="P1762" s="2060"/>
      <c r="Q1762" s="2060"/>
      <c r="R1762" s="2060"/>
      <c r="S1762" s="2060"/>
    </row>
    <row r="1763" spans="2:19">
      <c r="B1763" s="2060"/>
      <c r="C1763" s="2060"/>
      <c r="D1763" s="2060"/>
      <c r="E1763" s="255"/>
      <c r="H1763" s="2060"/>
      <c r="I1763" s="2060"/>
      <c r="J1763" s="2060"/>
      <c r="K1763" s="2060"/>
      <c r="L1763" s="2060"/>
      <c r="M1763" s="2060"/>
      <c r="N1763" s="2060"/>
      <c r="O1763" s="2060"/>
      <c r="P1763" s="2060"/>
      <c r="Q1763" s="2060"/>
      <c r="R1763" s="2060"/>
      <c r="S1763" s="2060"/>
    </row>
    <row r="1764" spans="2:19">
      <c r="B1764" s="2060"/>
      <c r="C1764" s="2060"/>
      <c r="D1764" s="2060"/>
      <c r="E1764" s="255"/>
      <c r="H1764" s="2060"/>
      <c r="I1764" s="2060"/>
      <c r="J1764" s="2060"/>
      <c r="K1764" s="2060"/>
      <c r="L1764" s="2060"/>
      <c r="M1764" s="2060"/>
      <c r="N1764" s="2060"/>
      <c r="O1764" s="2060"/>
      <c r="P1764" s="2060"/>
      <c r="Q1764" s="2060"/>
      <c r="R1764" s="2060"/>
      <c r="S1764" s="2060"/>
    </row>
    <row r="1765" spans="2:19">
      <c r="B1765" s="2060"/>
      <c r="C1765" s="2060"/>
      <c r="D1765" s="2060"/>
      <c r="E1765" s="255"/>
      <c r="H1765" s="2060"/>
      <c r="I1765" s="2060"/>
      <c r="J1765" s="2060"/>
      <c r="K1765" s="2060"/>
      <c r="L1765" s="2060"/>
      <c r="M1765" s="2060"/>
      <c r="N1765" s="2060"/>
      <c r="O1765" s="2060"/>
      <c r="P1765" s="2060"/>
      <c r="Q1765" s="2060"/>
      <c r="R1765" s="2060"/>
      <c r="S1765" s="2060"/>
    </row>
    <row r="1766" spans="2:19">
      <c r="B1766" s="2060"/>
      <c r="C1766" s="2060"/>
      <c r="D1766" s="2060"/>
      <c r="E1766" s="255"/>
      <c r="H1766" s="2060"/>
      <c r="I1766" s="2060"/>
      <c r="J1766" s="2060"/>
      <c r="K1766" s="2060"/>
      <c r="L1766" s="2060"/>
      <c r="M1766" s="2060"/>
      <c r="N1766" s="2060"/>
      <c r="O1766" s="2060"/>
      <c r="P1766" s="2060"/>
      <c r="Q1766" s="2060"/>
      <c r="R1766" s="2060"/>
      <c r="S1766" s="2060"/>
    </row>
    <row r="1767" spans="2:19">
      <c r="B1767" s="2060"/>
      <c r="C1767" s="2060"/>
      <c r="D1767" s="2060"/>
      <c r="E1767" s="255"/>
      <c r="H1767" s="2060"/>
      <c r="I1767" s="2060"/>
      <c r="J1767" s="2060"/>
      <c r="K1767" s="2060"/>
      <c r="L1767" s="2060"/>
      <c r="M1767" s="2060"/>
      <c r="N1767" s="2060"/>
      <c r="O1767" s="2060"/>
      <c r="P1767" s="2060"/>
      <c r="Q1767" s="2060"/>
      <c r="R1767" s="2060"/>
      <c r="S1767" s="2060"/>
    </row>
    <row r="1768" spans="2:19">
      <c r="B1768" s="2060"/>
      <c r="C1768" s="2060"/>
      <c r="D1768" s="2060"/>
      <c r="E1768" s="255"/>
      <c r="H1768" s="2060"/>
      <c r="I1768" s="2060"/>
      <c r="J1768" s="2060"/>
      <c r="K1768" s="2060"/>
      <c r="L1768" s="2060"/>
      <c r="M1768" s="2060"/>
      <c r="N1768" s="2060"/>
      <c r="O1768" s="2060"/>
      <c r="P1768" s="2060"/>
      <c r="Q1768" s="2060"/>
      <c r="R1768" s="2060"/>
      <c r="S1768" s="2060"/>
    </row>
    <row r="1769" spans="2:19">
      <c r="B1769" s="2060"/>
      <c r="C1769" s="2060"/>
      <c r="D1769" s="2060"/>
      <c r="E1769" s="255"/>
      <c r="H1769" s="2060"/>
      <c r="I1769" s="2060"/>
      <c r="J1769" s="2060"/>
      <c r="K1769" s="2060"/>
      <c r="L1769" s="2060"/>
      <c r="M1769" s="2060"/>
      <c r="N1769" s="2060"/>
      <c r="O1769" s="2060"/>
      <c r="P1769" s="2060"/>
      <c r="Q1769" s="2060"/>
      <c r="R1769" s="2060"/>
      <c r="S1769" s="2060"/>
    </row>
    <row r="1770" spans="2:19">
      <c r="B1770" s="2060"/>
      <c r="C1770" s="2060"/>
      <c r="D1770" s="2060"/>
      <c r="E1770" s="255"/>
      <c r="H1770" s="2060"/>
      <c r="I1770" s="2060"/>
      <c r="J1770" s="2060"/>
      <c r="K1770" s="2060"/>
      <c r="L1770" s="2060"/>
      <c r="M1770" s="2060"/>
      <c r="N1770" s="2060"/>
      <c r="O1770" s="2060"/>
      <c r="P1770" s="2060"/>
      <c r="Q1770" s="2060"/>
      <c r="R1770" s="2060"/>
      <c r="S1770" s="2060"/>
    </row>
    <row r="1771" spans="2:19">
      <c r="B1771" s="2060"/>
      <c r="C1771" s="2060"/>
      <c r="D1771" s="2060"/>
      <c r="E1771" s="255"/>
      <c r="H1771" s="2060"/>
      <c r="I1771" s="2060"/>
      <c r="J1771" s="2060"/>
      <c r="K1771" s="2060"/>
      <c r="L1771" s="2060"/>
      <c r="M1771" s="2060"/>
      <c r="N1771" s="2060"/>
      <c r="O1771" s="2060"/>
      <c r="P1771" s="2060"/>
      <c r="Q1771" s="2060"/>
      <c r="R1771" s="2060"/>
      <c r="S1771" s="2060"/>
    </row>
    <row r="1772" spans="2:19">
      <c r="B1772" s="2060"/>
      <c r="C1772" s="2060"/>
      <c r="D1772" s="2060"/>
      <c r="E1772" s="255"/>
      <c r="H1772" s="2060"/>
      <c r="I1772" s="2060"/>
      <c r="J1772" s="2060"/>
      <c r="K1772" s="2060"/>
      <c r="L1772" s="2060"/>
      <c r="M1772" s="2060"/>
      <c r="N1772" s="2060"/>
      <c r="O1772" s="2060"/>
      <c r="P1772" s="2060"/>
      <c r="Q1772" s="2060"/>
      <c r="R1772" s="2060"/>
      <c r="S1772" s="2060"/>
    </row>
    <row r="1773" spans="2:19">
      <c r="B1773" s="2060"/>
      <c r="C1773" s="2060"/>
      <c r="D1773" s="2060"/>
      <c r="E1773" s="255"/>
      <c r="H1773" s="2060"/>
      <c r="I1773" s="2060"/>
      <c r="J1773" s="2060"/>
      <c r="K1773" s="2060"/>
      <c r="L1773" s="2060"/>
      <c r="M1773" s="2060"/>
      <c r="N1773" s="2060"/>
      <c r="O1773" s="2060"/>
      <c r="P1773" s="2060"/>
      <c r="Q1773" s="2060"/>
      <c r="R1773" s="2060"/>
      <c r="S1773" s="2060"/>
    </row>
    <row r="1774" spans="2:19">
      <c r="B1774" s="2060"/>
      <c r="C1774" s="2060"/>
      <c r="D1774" s="2060"/>
      <c r="E1774" s="255"/>
      <c r="H1774" s="2060"/>
      <c r="I1774" s="2060"/>
      <c r="J1774" s="2060"/>
      <c r="K1774" s="2060"/>
      <c r="L1774" s="2060"/>
      <c r="M1774" s="2060"/>
      <c r="N1774" s="2060"/>
      <c r="O1774" s="2060"/>
      <c r="P1774" s="2060"/>
      <c r="Q1774" s="2060"/>
      <c r="R1774" s="2060"/>
      <c r="S1774" s="2060"/>
    </row>
    <row r="1775" spans="2:19">
      <c r="B1775" s="2060"/>
      <c r="C1775" s="2060"/>
      <c r="D1775" s="2060"/>
      <c r="E1775" s="255"/>
      <c r="H1775" s="2060"/>
      <c r="I1775" s="2060"/>
      <c r="J1775" s="2060"/>
      <c r="K1775" s="2060"/>
      <c r="L1775" s="2060"/>
      <c r="M1775" s="2060"/>
      <c r="N1775" s="2060"/>
      <c r="O1775" s="2060"/>
      <c r="P1775" s="2060"/>
      <c r="Q1775" s="2060"/>
      <c r="R1775" s="2060"/>
      <c r="S1775" s="2060"/>
    </row>
    <row r="1776" spans="2:19">
      <c r="B1776" s="2060"/>
      <c r="C1776" s="2060"/>
      <c r="D1776" s="2060"/>
      <c r="E1776" s="255"/>
      <c r="H1776" s="2060"/>
      <c r="I1776" s="2060"/>
      <c r="J1776" s="2060"/>
      <c r="K1776" s="2060"/>
      <c r="L1776" s="2060"/>
      <c r="M1776" s="2060"/>
      <c r="N1776" s="2060"/>
      <c r="O1776" s="2060"/>
      <c r="P1776" s="2060"/>
      <c r="Q1776" s="2060"/>
      <c r="R1776" s="2060"/>
      <c r="S1776" s="2060"/>
    </row>
    <row r="1777" spans="2:19">
      <c r="B1777" s="2060"/>
      <c r="C1777" s="2060"/>
      <c r="D1777" s="2060"/>
      <c r="E1777" s="255"/>
      <c r="H1777" s="2060"/>
      <c r="I1777" s="2060"/>
      <c r="J1777" s="2060"/>
      <c r="K1777" s="2060"/>
      <c r="L1777" s="2060"/>
      <c r="M1777" s="2060"/>
      <c r="N1777" s="2060"/>
      <c r="O1777" s="2060"/>
      <c r="P1777" s="2060"/>
      <c r="Q1777" s="2060"/>
      <c r="R1777" s="2060"/>
      <c r="S1777" s="2060"/>
    </row>
    <row r="1778" spans="2:19">
      <c r="B1778" s="2060"/>
      <c r="C1778" s="2060"/>
      <c r="D1778" s="2060"/>
      <c r="E1778" s="255"/>
      <c r="H1778" s="2060"/>
      <c r="I1778" s="2060"/>
      <c r="J1778" s="2060"/>
      <c r="K1778" s="2060"/>
      <c r="L1778" s="2060"/>
      <c r="M1778" s="2060"/>
      <c r="N1778" s="2060"/>
      <c r="O1778" s="2060"/>
      <c r="P1778" s="2060"/>
      <c r="Q1778" s="2060"/>
      <c r="R1778" s="2060"/>
      <c r="S1778" s="2060"/>
    </row>
    <row r="1779" spans="2:19">
      <c r="B1779" s="2060"/>
      <c r="C1779" s="2060"/>
      <c r="D1779" s="2060"/>
      <c r="E1779" s="255"/>
      <c r="H1779" s="2060"/>
      <c r="I1779" s="2060"/>
      <c r="J1779" s="2060"/>
      <c r="K1779" s="2060"/>
      <c r="L1779" s="2060"/>
      <c r="M1779" s="2060"/>
      <c r="N1779" s="2060"/>
      <c r="O1779" s="2060"/>
      <c r="P1779" s="2060"/>
      <c r="Q1779" s="2060"/>
      <c r="R1779" s="2060"/>
      <c r="S1779" s="2060"/>
    </row>
    <row r="1780" spans="2:19">
      <c r="B1780" s="2060"/>
      <c r="C1780" s="2060"/>
      <c r="D1780" s="2060"/>
      <c r="E1780" s="255"/>
      <c r="H1780" s="2060"/>
      <c r="I1780" s="2060"/>
      <c r="J1780" s="2060"/>
      <c r="K1780" s="2060"/>
      <c r="L1780" s="2060"/>
      <c r="M1780" s="2060"/>
      <c r="N1780" s="2060"/>
      <c r="O1780" s="2060"/>
      <c r="P1780" s="2060"/>
      <c r="Q1780" s="2060"/>
      <c r="R1780" s="2060"/>
      <c r="S1780" s="2060"/>
    </row>
    <row r="1781" spans="2:19">
      <c r="B1781" s="2060"/>
      <c r="C1781" s="2060"/>
      <c r="D1781" s="2060"/>
      <c r="E1781" s="255"/>
      <c r="H1781" s="2060"/>
      <c r="I1781" s="2060"/>
      <c r="J1781" s="2060"/>
      <c r="K1781" s="2060"/>
      <c r="L1781" s="2060"/>
      <c r="M1781" s="2060"/>
      <c r="N1781" s="2060"/>
      <c r="O1781" s="2060"/>
      <c r="P1781" s="2060"/>
      <c r="Q1781" s="2060"/>
      <c r="R1781" s="2060"/>
      <c r="S1781" s="2060"/>
    </row>
    <row r="1782" spans="2:19">
      <c r="B1782" s="2060"/>
      <c r="C1782" s="2060"/>
      <c r="D1782" s="2060"/>
      <c r="E1782" s="255"/>
      <c r="H1782" s="2060"/>
      <c r="I1782" s="2060"/>
      <c r="J1782" s="2060"/>
      <c r="K1782" s="2060"/>
      <c r="L1782" s="2060"/>
      <c r="M1782" s="2060"/>
      <c r="N1782" s="2060"/>
      <c r="O1782" s="2060"/>
      <c r="P1782" s="2060"/>
      <c r="Q1782" s="2060"/>
      <c r="R1782" s="2060"/>
      <c r="S1782" s="2060"/>
    </row>
    <row r="1783" spans="2:19">
      <c r="B1783" s="2060"/>
      <c r="C1783" s="2060"/>
      <c r="D1783" s="2060"/>
      <c r="E1783" s="255"/>
      <c r="H1783" s="2060"/>
      <c r="I1783" s="2060"/>
      <c r="J1783" s="2060"/>
      <c r="K1783" s="2060"/>
      <c r="L1783" s="2060"/>
      <c r="M1783" s="2060"/>
      <c r="N1783" s="2060"/>
      <c r="O1783" s="2060"/>
      <c r="P1783" s="2060"/>
      <c r="Q1783" s="2060"/>
      <c r="R1783" s="2060"/>
      <c r="S1783" s="2060"/>
    </row>
    <row r="1784" spans="2:19">
      <c r="B1784" s="2060"/>
      <c r="C1784" s="2060"/>
      <c r="D1784" s="2060"/>
      <c r="E1784" s="255"/>
      <c r="H1784" s="2060"/>
      <c r="I1784" s="2060"/>
      <c r="J1784" s="2060"/>
      <c r="K1784" s="2060"/>
      <c r="L1784" s="2060"/>
      <c r="M1784" s="2060"/>
      <c r="N1784" s="2060"/>
      <c r="O1784" s="2060"/>
      <c r="P1784" s="2060"/>
      <c r="Q1784" s="2060"/>
      <c r="R1784" s="2060"/>
      <c r="S1784" s="2060"/>
    </row>
    <row r="1785" spans="2:19">
      <c r="B1785" s="2060"/>
      <c r="C1785" s="2060"/>
      <c r="D1785" s="2060"/>
      <c r="E1785" s="255"/>
      <c r="H1785" s="2060"/>
      <c r="I1785" s="2060"/>
      <c r="J1785" s="2060"/>
      <c r="K1785" s="2060"/>
      <c r="L1785" s="2060"/>
      <c r="M1785" s="2060"/>
      <c r="N1785" s="2060"/>
      <c r="O1785" s="2060"/>
      <c r="P1785" s="2060"/>
      <c r="Q1785" s="2060"/>
      <c r="R1785" s="2060"/>
      <c r="S1785" s="2060"/>
    </row>
    <row r="1786" spans="2:19">
      <c r="B1786" s="2060"/>
      <c r="C1786" s="2060"/>
      <c r="D1786" s="2060"/>
      <c r="E1786" s="255"/>
      <c r="H1786" s="2060"/>
      <c r="I1786" s="2060"/>
      <c r="J1786" s="2060"/>
      <c r="K1786" s="2060"/>
      <c r="L1786" s="2060"/>
      <c r="M1786" s="2060"/>
      <c r="N1786" s="2060"/>
      <c r="O1786" s="2060"/>
      <c r="P1786" s="2060"/>
      <c r="Q1786" s="2060"/>
      <c r="R1786" s="2060"/>
      <c r="S1786" s="2060"/>
    </row>
    <row r="1787" spans="2:19">
      <c r="B1787" s="2060"/>
      <c r="C1787" s="2060"/>
      <c r="D1787" s="2060"/>
      <c r="E1787" s="255"/>
      <c r="H1787" s="2060"/>
      <c r="I1787" s="2060"/>
      <c r="J1787" s="2060"/>
      <c r="K1787" s="2060"/>
      <c r="L1787" s="2060"/>
      <c r="M1787" s="2060"/>
      <c r="N1787" s="2060"/>
      <c r="O1787" s="2060"/>
      <c r="P1787" s="2060"/>
      <c r="Q1787" s="2060"/>
      <c r="R1787" s="2060"/>
      <c r="S1787" s="2060"/>
    </row>
    <row r="1788" spans="2:19">
      <c r="B1788" s="2060"/>
      <c r="C1788" s="2060"/>
      <c r="D1788" s="2060"/>
      <c r="E1788" s="255"/>
      <c r="H1788" s="2060"/>
      <c r="I1788" s="2060"/>
      <c r="J1788" s="2060"/>
      <c r="K1788" s="2060"/>
      <c r="L1788" s="2060"/>
      <c r="M1788" s="2060"/>
      <c r="N1788" s="2060"/>
      <c r="O1788" s="2060"/>
      <c r="P1788" s="2060"/>
      <c r="Q1788" s="2060"/>
      <c r="R1788" s="2060"/>
      <c r="S1788" s="2060"/>
    </row>
    <row r="1789" spans="2:19">
      <c r="B1789" s="2060"/>
      <c r="C1789" s="2060"/>
      <c r="D1789" s="2060"/>
      <c r="E1789" s="255"/>
      <c r="H1789" s="2060"/>
      <c r="I1789" s="2060"/>
      <c r="J1789" s="2060"/>
      <c r="K1789" s="2060"/>
      <c r="L1789" s="2060"/>
      <c r="M1789" s="2060"/>
      <c r="N1789" s="2060"/>
      <c r="O1789" s="2060"/>
      <c r="P1789" s="2060"/>
      <c r="Q1789" s="2060"/>
      <c r="R1789" s="2060"/>
      <c r="S1789" s="2060"/>
    </row>
    <row r="1790" spans="2:19">
      <c r="B1790" s="2060"/>
      <c r="C1790" s="2060"/>
      <c r="D1790" s="2060"/>
      <c r="E1790" s="255"/>
      <c r="H1790" s="2060"/>
      <c r="I1790" s="2060"/>
      <c r="J1790" s="2060"/>
      <c r="K1790" s="2060"/>
      <c r="L1790" s="2060"/>
      <c r="M1790" s="2060"/>
      <c r="N1790" s="2060"/>
      <c r="O1790" s="2060"/>
      <c r="P1790" s="2060"/>
      <c r="Q1790" s="2060"/>
      <c r="R1790" s="2060"/>
      <c r="S1790" s="2060"/>
    </row>
    <row r="1791" spans="2:19">
      <c r="B1791" s="2060"/>
      <c r="C1791" s="2060"/>
      <c r="D1791" s="2060"/>
      <c r="E1791" s="255"/>
      <c r="H1791" s="2060"/>
      <c r="I1791" s="2060"/>
      <c r="J1791" s="2060"/>
      <c r="K1791" s="2060"/>
      <c r="L1791" s="2060"/>
      <c r="M1791" s="2060"/>
      <c r="N1791" s="2060"/>
      <c r="O1791" s="2060"/>
      <c r="P1791" s="2060"/>
      <c r="Q1791" s="2060"/>
      <c r="R1791" s="2060"/>
      <c r="S1791" s="2060"/>
    </row>
    <row r="1792" spans="2:19">
      <c r="B1792" s="2060"/>
      <c r="C1792" s="2060"/>
      <c r="D1792" s="2060"/>
      <c r="E1792" s="255"/>
      <c r="H1792" s="2060"/>
      <c r="I1792" s="2060"/>
      <c r="J1792" s="2060"/>
      <c r="K1792" s="2060"/>
      <c r="L1792" s="2060"/>
      <c r="M1792" s="2060"/>
      <c r="N1792" s="2060"/>
      <c r="O1792" s="2060"/>
      <c r="P1792" s="2060"/>
      <c r="Q1792" s="2060"/>
      <c r="R1792" s="2060"/>
      <c r="S1792" s="2060"/>
    </row>
    <row r="1793" spans="2:19">
      <c r="B1793" s="2060"/>
      <c r="C1793" s="2060"/>
      <c r="D1793" s="2060"/>
      <c r="E1793" s="255"/>
      <c r="H1793" s="2060"/>
      <c r="I1793" s="2060"/>
      <c r="J1793" s="2060"/>
      <c r="K1793" s="2060"/>
      <c r="L1793" s="2060"/>
      <c r="M1793" s="2060"/>
      <c r="N1793" s="2060"/>
      <c r="O1793" s="2060"/>
      <c r="P1793" s="2060"/>
      <c r="Q1793" s="2060"/>
      <c r="R1793" s="2060"/>
      <c r="S1793" s="2060"/>
    </row>
    <row r="1794" spans="2:19">
      <c r="B1794" s="2060"/>
      <c r="C1794" s="2060"/>
      <c r="D1794" s="2060"/>
      <c r="E1794" s="255"/>
      <c r="H1794" s="2060"/>
      <c r="I1794" s="2060"/>
      <c r="J1794" s="2060"/>
      <c r="K1794" s="2060"/>
      <c r="L1794" s="2060"/>
      <c r="M1794" s="2060"/>
      <c r="N1794" s="2060"/>
      <c r="O1794" s="2060"/>
      <c r="P1794" s="2060"/>
      <c r="Q1794" s="2060"/>
      <c r="R1794" s="2060"/>
      <c r="S1794" s="2060"/>
    </row>
    <row r="1795" spans="2:19">
      <c r="B1795" s="2060"/>
      <c r="C1795" s="2060"/>
      <c r="D1795" s="2060"/>
      <c r="E1795" s="255"/>
      <c r="H1795" s="2060"/>
      <c r="I1795" s="2060"/>
      <c r="J1795" s="2060"/>
      <c r="K1795" s="2060"/>
      <c r="L1795" s="2060"/>
      <c r="M1795" s="2060"/>
      <c r="N1795" s="2060"/>
      <c r="O1795" s="2060"/>
      <c r="P1795" s="2060"/>
      <c r="Q1795" s="2060"/>
      <c r="R1795" s="2060"/>
      <c r="S1795" s="2060"/>
    </row>
    <row r="1796" spans="2:19">
      <c r="B1796" s="2060"/>
      <c r="C1796" s="2060"/>
      <c r="D1796" s="2060"/>
      <c r="E1796" s="255"/>
      <c r="H1796" s="2060"/>
      <c r="I1796" s="2060"/>
      <c r="J1796" s="2060"/>
      <c r="K1796" s="2060"/>
      <c r="L1796" s="2060"/>
      <c r="M1796" s="2060"/>
      <c r="N1796" s="2060"/>
      <c r="O1796" s="2060"/>
      <c r="P1796" s="2060"/>
      <c r="Q1796" s="2060"/>
      <c r="R1796" s="2060"/>
      <c r="S1796" s="2060"/>
    </row>
    <row r="1797" spans="2:19">
      <c r="B1797" s="2060"/>
      <c r="C1797" s="2060"/>
      <c r="D1797" s="2060"/>
      <c r="E1797" s="255"/>
      <c r="H1797" s="2060"/>
      <c r="I1797" s="2060"/>
      <c r="J1797" s="2060"/>
      <c r="K1797" s="2060"/>
      <c r="L1797" s="2060"/>
      <c r="M1797" s="2060"/>
      <c r="N1797" s="2060"/>
      <c r="O1797" s="2060"/>
      <c r="P1797" s="2060"/>
      <c r="Q1797" s="2060"/>
      <c r="R1797" s="2060"/>
      <c r="S1797" s="2060"/>
    </row>
    <row r="1798" spans="2:19">
      <c r="B1798" s="2060"/>
      <c r="C1798" s="2060"/>
      <c r="D1798" s="2060"/>
      <c r="E1798" s="255"/>
      <c r="H1798" s="2060"/>
      <c r="I1798" s="2060"/>
      <c r="J1798" s="2060"/>
      <c r="K1798" s="2060"/>
      <c r="L1798" s="2060"/>
      <c r="M1798" s="2060"/>
      <c r="N1798" s="2060"/>
      <c r="O1798" s="2060"/>
      <c r="P1798" s="2060"/>
      <c r="Q1798" s="2060"/>
      <c r="R1798" s="2060"/>
      <c r="S1798" s="2060"/>
    </row>
    <row r="1799" spans="2:19">
      <c r="B1799" s="2060"/>
      <c r="C1799" s="2060"/>
      <c r="D1799" s="2060"/>
      <c r="E1799" s="255"/>
      <c r="H1799" s="2060"/>
      <c r="I1799" s="2060"/>
      <c r="J1799" s="2060"/>
      <c r="K1799" s="2060"/>
      <c r="L1799" s="2060"/>
      <c r="M1799" s="2060"/>
      <c r="N1799" s="2060"/>
      <c r="O1799" s="2060"/>
      <c r="P1799" s="2060"/>
      <c r="Q1799" s="2060"/>
      <c r="R1799" s="2060"/>
      <c r="S1799" s="2060"/>
    </row>
    <row r="1800" spans="2:19">
      <c r="B1800" s="2060"/>
      <c r="C1800" s="2060"/>
      <c r="D1800" s="2060"/>
      <c r="E1800" s="255"/>
      <c r="H1800" s="2060"/>
      <c r="I1800" s="2060"/>
      <c r="J1800" s="2060"/>
      <c r="K1800" s="2060"/>
      <c r="L1800" s="2060"/>
      <c r="M1800" s="2060"/>
      <c r="N1800" s="2060"/>
      <c r="O1800" s="2060"/>
      <c r="P1800" s="2060"/>
      <c r="Q1800" s="2060"/>
      <c r="R1800" s="2060"/>
      <c r="S1800" s="2060"/>
    </row>
    <row r="1801" spans="2:19">
      <c r="B1801" s="2060"/>
      <c r="C1801" s="2060"/>
      <c r="D1801" s="2060"/>
      <c r="E1801" s="255"/>
      <c r="H1801" s="2060"/>
      <c r="I1801" s="2060"/>
      <c r="J1801" s="2060"/>
      <c r="K1801" s="2060"/>
      <c r="L1801" s="2060"/>
      <c r="M1801" s="2060"/>
      <c r="N1801" s="2060"/>
      <c r="O1801" s="2060"/>
      <c r="P1801" s="2060"/>
      <c r="Q1801" s="2060"/>
      <c r="R1801" s="2060"/>
      <c r="S1801" s="2060"/>
    </row>
    <row r="1802" spans="2:19">
      <c r="B1802" s="2060"/>
      <c r="C1802" s="2060"/>
      <c r="D1802" s="2060"/>
      <c r="E1802" s="255"/>
      <c r="H1802" s="2060"/>
      <c r="I1802" s="2060"/>
      <c r="J1802" s="2060"/>
      <c r="K1802" s="2060"/>
      <c r="L1802" s="2060"/>
      <c r="M1802" s="2060"/>
      <c r="N1802" s="2060"/>
      <c r="O1802" s="2060"/>
      <c r="P1802" s="2060"/>
      <c r="Q1802" s="2060"/>
      <c r="R1802" s="2060"/>
      <c r="S1802" s="2060"/>
    </row>
    <row r="1803" spans="2:19">
      <c r="B1803" s="2060"/>
      <c r="C1803" s="2060"/>
      <c r="D1803" s="2060"/>
      <c r="E1803" s="255"/>
      <c r="H1803" s="2060"/>
      <c r="I1803" s="2060"/>
      <c r="J1803" s="2060"/>
      <c r="K1803" s="2060"/>
      <c r="L1803" s="2060"/>
      <c r="M1803" s="2060"/>
      <c r="N1803" s="2060"/>
      <c r="O1803" s="2060"/>
      <c r="P1803" s="2060"/>
      <c r="Q1803" s="2060"/>
      <c r="R1803" s="2060"/>
      <c r="S1803" s="2060"/>
    </row>
    <row r="1804" spans="2:19">
      <c r="B1804" s="2060"/>
      <c r="C1804" s="2060"/>
      <c r="D1804" s="2060"/>
      <c r="E1804" s="255"/>
      <c r="H1804" s="2060"/>
      <c r="I1804" s="2060"/>
      <c r="J1804" s="2060"/>
      <c r="K1804" s="2060"/>
      <c r="L1804" s="2060"/>
      <c r="M1804" s="2060"/>
      <c r="N1804" s="2060"/>
      <c r="O1804" s="2060"/>
      <c r="P1804" s="2060"/>
      <c r="Q1804" s="2060"/>
      <c r="R1804" s="2060"/>
      <c r="S1804" s="2060"/>
    </row>
    <row r="1805" spans="2:19">
      <c r="B1805" s="2060"/>
      <c r="C1805" s="2060"/>
      <c r="D1805" s="2060"/>
      <c r="E1805" s="255"/>
      <c r="H1805" s="2060"/>
      <c r="I1805" s="2060"/>
      <c r="J1805" s="2060"/>
      <c r="K1805" s="2060"/>
      <c r="L1805" s="2060"/>
      <c r="M1805" s="2060"/>
      <c r="N1805" s="2060"/>
      <c r="O1805" s="2060"/>
      <c r="P1805" s="2060"/>
      <c r="Q1805" s="2060"/>
      <c r="R1805" s="2060"/>
      <c r="S1805" s="2060"/>
    </row>
    <row r="1806" spans="2:19">
      <c r="B1806" s="2060"/>
      <c r="C1806" s="2060"/>
      <c r="D1806" s="2060"/>
      <c r="E1806" s="255"/>
      <c r="H1806" s="2060"/>
      <c r="I1806" s="2060"/>
      <c r="J1806" s="2060"/>
      <c r="K1806" s="2060"/>
      <c r="L1806" s="2060"/>
      <c r="M1806" s="2060"/>
      <c r="N1806" s="2060"/>
      <c r="O1806" s="2060"/>
      <c r="P1806" s="2060"/>
      <c r="Q1806" s="2060"/>
      <c r="R1806" s="2060"/>
      <c r="S1806" s="2060"/>
    </row>
    <row r="1807" spans="2:19">
      <c r="B1807" s="2060"/>
      <c r="C1807" s="2060"/>
      <c r="D1807" s="2060"/>
      <c r="E1807" s="255"/>
      <c r="H1807" s="2060"/>
      <c r="I1807" s="2060"/>
      <c r="J1807" s="2060"/>
      <c r="K1807" s="2060"/>
      <c r="L1807" s="2060"/>
      <c r="M1807" s="2060"/>
      <c r="N1807" s="2060"/>
      <c r="O1807" s="2060"/>
      <c r="P1807" s="2060"/>
      <c r="Q1807" s="2060"/>
      <c r="R1807" s="2060"/>
      <c r="S1807" s="2060"/>
    </row>
    <row r="1808" spans="2:19">
      <c r="B1808" s="2060"/>
      <c r="C1808" s="2060"/>
      <c r="D1808" s="2060"/>
      <c r="E1808" s="255"/>
      <c r="H1808" s="2060"/>
      <c r="I1808" s="2060"/>
      <c r="J1808" s="2060"/>
      <c r="K1808" s="2060"/>
      <c r="L1808" s="2060"/>
      <c r="M1808" s="2060"/>
      <c r="N1808" s="2060"/>
      <c r="O1808" s="2060"/>
      <c r="P1808" s="2060"/>
      <c r="Q1808" s="2060"/>
      <c r="R1808" s="2060"/>
      <c r="S1808" s="2060"/>
    </row>
    <row r="1809" spans="2:19">
      <c r="B1809" s="2060"/>
      <c r="C1809" s="2060"/>
      <c r="D1809" s="2060"/>
      <c r="E1809" s="255"/>
      <c r="H1809" s="2060"/>
      <c r="I1809" s="2060"/>
      <c r="J1809" s="2060"/>
      <c r="K1809" s="2060"/>
      <c r="L1809" s="2060"/>
      <c r="M1809" s="2060"/>
      <c r="N1809" s="2060"/>
      <c r="O1809" s="2060"/>
      <c r="P1809" s="2060"/>
      <c r="Q1809" s="2060"/>
      <c r="R1809" s="2060"/>
      <c r="S1809" s="2060"/>
    </row>
    <row r="1810" spans="2:19">
      <c r="B1810" s="2060"/>
      <c r="C1810" s="2060"/>
      <c r="D1810" s="2060"/>
      <c r="E1810" s="255"/>
      <c r="H1810" s="2060"/>
      <c r="I1810" s="2060"/>
      <c r="J1810" s="2060"/>
      <c r="K1810" s="2060"/>
      <c r="L1810" s="2060"/>
      <c r="M1810" s="2060"/>
      <c r="N1810" s="2060"/>
      <c r="O1810" s="2060"/>
      <c r="P1810" s="2060"/>
      <c r="Q1810" s="2060"/>
      <c r="R1810" s="2060"/>
      <c r="S1810" s="2060"/>
    </row>
    <row r="1811" spans="2:19">
      <c r="B1811" s="2060"/>
      <c r="C1811" s="2060"/>
      <c r="D1811" s="2060"/>
      <c r="E1811" s="255"/>
      <c r="H1811" s="2060"/>
      <c r="I1811" s="2060"/>
      <c r="J1811" s="2060"/>
      <c r="K1811" s="2060"/>
      <c r="L1811" s="2060"/>
      <c r="M1811" s="2060"/>
      <c r="N1811" s="2060"/>
      <c r="O1811" s="2060"/>
      <c r="P1811" s="2060"/>
      <c r="Q1811" s="2060"/>
      <c r="R1811" s="2060"/>
      <c r="S1811" s="2060"/>
    </row>
    <row r="1812" spans="2:19">
      <c r="B1812" s="2060"/>
      <c r="C1812" s="2060"/>
      <c r="D1812" s="2060"/>
      <c r="E1812" s="255"/>
      <c r="H1812" s="2060"/>
      <c r="I1812" s="2060"/>
      <c r="J1812" s="2060"/>
      <c r="K1812" s="2060"/>
      <c r="L1812" s="2060"/>
      <c r="M1812" s="2060"/>
      <c r="N1812" s="2060"/>
      <c r="O1812" s="2060"/>
      <c r="P1812" s="2060"/>
      <c r="Q1812" s="2060"/>
      <c r="R1812" s="2060"/>
      <c r="S1812" s="2060"/>
    </row>
    <row r="1813" spans="2:19">
      <c r="B1813" s="2060"/>
      <c r="C1813" s="2060"/>
      <c r="D1813" s="2060"/>
      <c r="E1813" s="255"/>
      <c r="H1813" s="2060"/>
      <c r="I1813" s="2060"/>
      <c r="J1813" s="2060"/>
      <c r="K1813" s="2060"/>
      <c r="L1813" s="2060"/>
      <c r="M1813" s="2060"/>
      <c r="N1813" s="2060"/>
      <c r="O1813" s="2060"/>
      <c r="P1813" s="2060"/>
      <c r="Q1813" s="2060"/>
      <c r="R1813" s="2060"/>
      <c r="S1813" s="2060"/>
    </row>
    <row r="1814" spans="2:19">
      <c r="B1814" s="2060"/>
      <c r="C1814" s="2060"/>
      <c r="D1814" s="2060"/>
      <c r="E1814" s="255"/>
      <c r="H1814" s="2060"/>
      <c r="I1814" s="2060"/>
      <c r="J1814" s="2060"/>
      <c r="K1814" s="2060"/>
      <c r="L1814" s="2060"/>
      <c r="M1814" s="2060"/>
      <c r="N1814" s="2060"/>
      <c r="O1814" s="2060"/>
      <c r="P1814" s="2060"/>
      <c r="Q1814" s="2060"/>
      <c r="R1814" s="2060"/>
      <c r="S1814" s="2060"/>
    </row>
    <row r="1815" spans="2:19">
      <c r="B1815" s="2060"/>
      <c r="C1815" s="2060"/>
      <c r="D1815" s="2060"/>
      <c r="E1815" s="255"/>
      <c r="H1815" s="2060"/>
      <c r="I1815" s="2060"/>
      <c r="J1815" s="2060"/>
      <c r="K1815" s="2060"/>
      <c r="L1815" s="2060"/>
      <c r="M1815" s="2060"/>
      <c r="N1815" s="2060"/>
      <c r="O1815" s="2060"/>
      <c r="P1815" s="2060"/>
      <c r="Q1815" s="2060"/>
      <c r="R1815" s="2060"/>
      <c r="S1815" s="2060"/>
    </row>
    <row r="1816" spans="2:19">
      <c r="B1816" s="2060"/>
      <c r="C1816" s="2060"/>
      <c r="D1816" s="2060"/>
      <c r="E1816" s="255"/>
      <c r="H1816" s="2060"/>
      <c r="I1816" s="2060"/>
      <c r="J1816" s="2060"/>
      <c r="K1816" s="2060"/>
      <c r="L1816" s="2060"/>
      <c r="M1816" s="2060"/>
      <c r="N1816" s="2060"/>
      <c r="O1816" s="2060"/>
      <c r="P1816" s="2060"/>
      <c r="Q1816" s="2060"/>
      <c r="R1816" s="2060"/>
      <c r="S1816" s="2060"/>
    </row>
    <row r="1817" spans="2:19">
      <c r="B1817" s="2060"/>
      <c r="C1817" s="2060"/>
      <c r="D1817" s="2060"/>
      <c r="E1817" s="255"/>
      <c r="H1817" s="2060"/>
      <c r="I1817" s="2060"/>
      <c r="J1817" s="2060"/>
      <c r="K1817" s="2060"/>
      <c r="L1817" s="2060"/>
      <c r="M1817" s="2060"/>
      <c r="N1817" s="2060"/>
      <c r="O1817" s="2060"/>
      <c r="P1817" s="2060"/>
      <c r="Q1817" s="2060"/>
      <c r="R1817" s="2060"/>
      <c r="S1817" s="2060"/>
    </row>
    <row r="1818" spans="2:19">
      <c r="B1818" s="2060"/>
      <c r="C1818" s="2060"/>
      <c r="D1818" s="2060"/>
      <c r="E1818" s="255"/>
      <c r="H1818" s="2060"/>
      <c r="I1818" s="2060"/>
      <c r="J1818" s="2060"/>
      <c r="K1818" s="2060"/>
      <c r="L1818" s="2060"/>
      <c r="M1818" s="2060"/>
      <c r="N1818" s="2060"/>
      <c r="O1818" s="2060"/>
      <c r="P1818" s="2060"/>
      <c r="Q1818" s="2060"/>
      <c r="R1818" s="2060"/>
      <c r="S1818" s="2060"/>
    </row>
    <row r="1819" spans="2:19">
      <c r="B1819" s="2060"/>
      <c r="C1819" s="2060"/>
      <c r="D1819" s="2060"/>
      <c r="E1819" s="255"/>
      <c r="H1819" s="2060"/>
      <c r="I1819" s="2060"/>
      <c r="J1819" s="2060"/>
      <c r="K1819" s="2060"/>
      <c r="L1819" s="2060"/>
      <c r="M1819" s="2060"/>
      <c r="N1819" s="2060"/>
      <c r="O1819" s="2060"/>
      <c r="P1819" s="2060"/>
      <c r="Q1819" s="2060"/>
      <c r="R1819" s="2060"/>
      <c r="S1819" s="2060"/>
    </row>
    <row r="1820" spans="2:19">
      <c r="B1820" s="2060"/>
      <c r="C1820" s="2060"/>
      <c r="D1820" s="2060"/>
      <c r="E1820" s="255"/>
      <c r="H1820" s="2060"/>
      <c r="I1820" s="2060"/>
      <c r="J1820" s="2060"/>
      <c r="K1820" s="2060"/>
      <c r="L1820" s="2060"/>
      <c r="M1820" s="2060"/>
      <c r="N1820" s="2060"/>
      <c r="O1820" s="2060"/>
      <c r="P1820" s="2060"/>
      <c r="Q1820" s="2060"/>
      <c r="R1820" s="2060"/>
      <c r="S1820" s="2060"/>
    </row>
    <row r="1821" spans="2:19">
      <c r="B1821" s="2060"/>
      <c r="C1821" s="2060"/>
      <c r="D1821" s="2060"/>
      <c r="E1821" s="255"/>
      <c r="H1821" s="2060"/>
      <c r="I1821" s="2060"/>
      <c r="J1821" s="2060"/>
      <c r="K1821" s="2060"/>
      <c r="L1821" s="2060"/>
      <c r="M1821" s="2060"/>
      <c r="N1821" s="2060"/>
      <c r="O1821" s="2060"/>
      <c r="P1821" s="2060"/>
      <c r="Q1821" s="2060"/>
      <c r="R1821" s="2060"/>
      <c r="S1821" s="2060"/>
    </row>
    <row r="1822" spans="2:19">
      <c r="B1822" s="2060"/>
      <c r="C1822" s="2060"/>
      <c r="D1822" s="2060"/>
      <c r="E1822" s="255"/>
      <c r="H1822" s="2060"/>
      <c r="I1822" s="2060"/>
      <c r="J1822" s="2060"/>
      <c r="K1822" s="2060"/>
      <c r="L1822" s="2060"/>
      <c r="M1822" s="2060"/>
      <c r="N1822" s="2060"/>
      <c r="O1822" s="2060"/>
      <c r="P1822" s="2060"/>
      <c r="Q1822" s="2060"/>
      <c r="R1822" s="2060"/>
      <c r="S1822" s="2060"/>
    </row>
    <row r="1823" spans="2:19">
      <c r="B1823" s="2060"/>
      <c r="C1823" s="2060"/>
      <c r="D1823" s="2060"/>
      <c r="E1823" s="255"/>
      <c r="H1823" s="2060"/>
      <c r="I1823" s="2060"/>
      <c r="J1823" s="2060"/>
      <c r="K1823" s="2060"/>
      <c r="L1823" s="2060"/>
      <c r="M1823" s="2060"/>
      <c r="N1823" s="2060"/>
      <c r="O1823" s="2060"/>
      <c r="P1823" s="2060"/>
      <c r="Q1823" s="2060"/>
      <c r="R1823" s="2060"/>
      <c r="S1823" s="2060"/>
    </row>
    <row r="1824" spans="2:19">
      <c r="B1824" s="2060"/>
      <c r="C1824" s="2060"/>
      <c r="D1824" s="2060"/>
      <c r="E1824" s="255"/>
      <c r="H1824" s="2060"/>
      <c r="I1824" s="2060"/>
      <c r="J1824" s="2060"/>
      <c r="K1824" s="2060"/>
      <c r="L1824" s="2060"/>
      <c r="M1824" s="2060"/>
      <c r="N1824" s="2060"/>
      <c r="O1824" s="2060"/>
      <c r="P1824" s="2060"/>
      <c r="Q1824" s="2060"/>
      <c r="R1824" s="2060"/>
      <c r="S1824" s="2060"/>
    </row>
    <row r="1825" spans="2:19">
      <c r="B1825" s="2060"/>
      <c r="C1825" s="2060"/>
      <c r="D1825" s="2060"/>
      <c r="E1825" s="255"/>
      <c r="H1825" s="2060"/>
      <c r="I1825" s="2060"/>
      <c r="J1825" s="2060"/>
      <c r="K1825" s="2060"/>
      <c r="L1825" s="2060"/>
      <c r="M1825" s="2060"/>
      <c r="N1825" s="2060"/>
      <c r="O1825" s="2060"/>
      <c r="P1825" s="2060"/>
      <c r="Q1825" s="2060"/>
      <c r="R1825" s="2060"/>
      <c r="S1825" s="2060"/>
    </row>
    <row r="1826" spans="2:19">
      <c r="B1826" s="2060"/>
      <c r="C1826" s="2060"/>
      <c r="D1826" s="2060"/>
      <c r="E1826" s="255"/>
      <c r="H1826" s="2060"/>
      <c r="I1826" s="2060"/>
      <c r="J1826" s="2060"/>
      <c r="K1826" s="2060"/>
      <c r="L1826" s="2060"/>
      <c r="M1826" s="2060"/>
      <c r="N1826" s="2060"/>
      <c r="O1826" s="2060"/>
      <c r="P1826" s="2060"/>
      <c r="Q1826" s="2060"/>
      <c r="R1826" s="2060"/>
      <c r="S1826" s="2060"/>
    </row>
    <row r="1827" spans="2:19">
      <c r="B1827" s="2060"/>
      <c r="C1827" s="2060"/>
      <c r="D1827" s="2060"/>
      <c r="E1827" s="255"/>
      <c r="H1827" s="2060"/>
      <c r="I1827" s="2060"/>
      <c r="J1827" s="2060"/>
      <c r="K1827" s="2060"/>
      <c r="L1827" s="2060"/>
      <c r="M1827" s="2060"/>
      <c r="N1827" s="2060"/>
      <c r="O1827" s="2060"/>
      <c r="P1827" s="2060"/>
      <c r="Q1827" s="2060"/>
      <c r="R1827" s="2060"/>
      <c r="S1827" s="2060"/>
    </row>
    <row r="1828" spans="2:19">
      <c r="B1828" s="2060"/>
      <c r="C1828" s="2060"/>
      <c r="D1828" s="2060"/>
      <c r="E1828" s="255"/>
      <c r="H1828" s="2060"/>
      <c r="I1828" s="2060"/>
      <c r="J1828" s="2060"/>
      <c r="K1828" s="2060"/>
      <c r="L1828" s="2060"/>
      <c r="M1828" s="2060"/>
      <c r="N1828" s="2060"/>
      <c r="O1828" s="2060"/>
      <c r="P1828" s="2060"/>
      <c r="Q1828" s="2060"/>
      <c r="R1828" s="2060"/>
      <c r="S1828" s="2060"/>
    </row>
    <row r="1829" spans="2:19">
      <c r="B1829" s="2060"/>
      <c r="C1829" s="2060"/>
      <c r="D1829" s="2060"/>
      <c r="E1829" s="255"/>
      <c r="H1829" s="2060"/>
      <c r="I1829" s="2060"/>
      <c r="J1829" s="2060"/>
      <c r="K1829" s="2060"/>
      <c r="L1829" s="2060"/>
      <c r="M1829" s="2060"/>
      <c r="N1829" s="2060"/>
      <c r="O1829" s="2060"/>
      <c r="P1829" s="2060"/>
      <c r="Q1829" s="2060"/>
      <c r="R1829" s="2060"/>
      <c r="S1829" s="2060"/>
    </row>
    <row r="1830" spans="2:19">
      <c r="B1830" s="2060"/>
      <c r="C1830" s="2060"/>
      <c r="D1830" s="2060"/>
      <c r="E1830" s="255"/>
      <c r="H1830" s="2060"/>
      <c r="I1830" s="2060"/>
      <c r="J1830" s="2060"/>
      <c r="K1830" s="2060"/>
      <c r="L1830" s="2060"/>
      <c r="M1830" s="2060"/>
      <c r="N1830" s="2060"/>
      <c r="O1830" s="2060"/>
      <c r="P1830" s="2060"/>
      <c r="Q1830" s="2060"/>
      <c r="R1830" s="2060"/>
      <c r="S1830" s="2060"/>
    </row>
    <row r="1831" spans="2:19">
      <c r="B1831" s="2060"/>
      <c r="C1831" s="2060"/>
      <c r="D1831" s="2060"/>
      <c r="E1831" s="255"/>
      <c r="H1831" s="2060"/>
      <c r="I1831" s="2060"/>
      <c r="J1831" s="2060"/>
      <c r="K1831" s="2060"/>
      <c r="L1831" s="2060"/>
      <c r="M1831" s="2060"/>
      <c r="N1831" s="2060"/>
      <c r="O1831" s="2060"/>
      <c r="P1831" s="2060"/>
      <c r="Q1831" s="2060"/>
      <c r="R1831" s="2060"/>
      <c r="S1831" s="2060"/>
    </row>
    <row r="1832" spans="2:19">
      <c r="B1832" s="2060"/>
      <c r="C1832" s="2060"/>
      <c r="D1832" s="2060"/>
      <c r="E1832" s="255"/>
      <c r="H1832" s="2060"/>
      <c r="I1832" s="2060"/>
      <c r="J1832" s="2060"/>
      <c r="K1832" s="2060"/>
      <c r="L1832" s="2060"/>
      <c r="M1832" s="2060"/>
      <c r="N1832" s="2060"/>
      <c r="O1832" s="2060"/>
      <c r="P1832" s="2060"/>
      <c r="Q1832" s="2060"/>
      <c r="R1832" s="2060"/>
      <c r="S1832" s="2060"/>
    </row>
    <row r="1833" spans="2:19">
      <c r="B1833" s="2060"/>
      <c r="C1833" s="2060"/>
      <c r="D1833" s="2060"/>
      <c r="E1833" s="255"/>
      <c r="H1833" s="2060"/>
      <c r="I1833" s="2060"/>
      <c r="J1833" s="2060"/>
      <c r="K1833" s="2060"/>
      <c r="L1833" s="2060"/>
      <c r="M1833" s="2060"/>
      <c r="N1833" s="2060"/>
      <c r="O1833" s="2060"/>
      <c r="P1833" s="2060"/>
      <c r="Q1833" s="2060"/>
      <c r="R1833" s="2060"/>
      <c r="S1833" s="2060"/>
    </row>
    <row r="1834" spans="2:19">
      <c r="B1834" s="2060"/>
      <c r="C1834" s="2060"/>
      <c r="D1834" s="2060"/>
      <c r="E1834" s="255"/>
      <c r="H1834" s="2060"/>
      <c r="I1834" s="2060"/>
      <c r="J1834" s="2060"/>
      <c r="K1834" s="2060"/>
      <c r="L1834" s="2060"/>
      <c r="M1834" s="2060"/>
      <c r="N1834" s="2060"/>
      <c r="O1834" s="2060"/>
      <c r="P1834" s="2060"/>
      <c r="Q1834" s="2060"/>
      <c r="R1834" s="2060"/>
      <c r="S1834" s="2060"/>
    </row>
    <row r="1835" spans="2:19">
      <c r="B1835" s="2060"/>
      <c r="C1835" s="2060"/>
      <c r="D1835" s="2060"/>
      <c r="E1835" s="255"/>
      <c r="H1835" s="2060"/>
      <c r="I1835" s="2060"/>
      <c r="J1835" s="2060"/>
      <c r="K1835" s="2060"/>
      <c r="L1835" s="2060"/>
      <c r="M1835" s="2060"/>
      <c r="N1835" s="2060"/>
      <c r="O1835" s="2060"/>
      <c r="P1835" s="2060"/>
      <c r="Q1835" s="2060"/>
      <c r="R1835" s="2060"/>
      <c r="S1835" s="2060"/>
    </row>
    <row r="1836" spans="2:19">
      <c r="B1836" s="2060"/>
      <c r="C1836" s="2060"/>
      <c r="D1836" s="2060"/>
      <c r="E1836" s="255"/>
      <c r="H1836" s="2060"/>
      <c r="I1836" s="2060"/>
      <c r="J1836" s="2060"/>
      <c r="K1836" s="2060"/>
      <c r="L1836" s="2060"/>
      <c r="M1836" s="2060"/>
      <c r="N1836" s="2060"/>
      <c r="O1836" s="2060"/>
      <c r="P1836" s="2060"/>
      <c r="Q1836" s="2060"/>
      <c r="R1836" s="2060"/>
      <c r="S1836" s="2060"/>
    </row>
    <row r="1837" spans="2:19">
      <c r="B1837" s="2060"/>
      <c r="C1837" s="2060"/>
      <c r="D1837" s="2060"/>
      <c r="E1837" s="255"/>
      <c r="H1837" s="2060"/>
      <c r="I1837" s="2060"/>
      <c r="J1837" s="2060"/>
      <c r="K1837" s="2060"/>
      <c r="L1837" s="2060"/>
      <c r="M1837" s="2060"/>
      <c r="N1837" s="2060"/>
      <c r="O1837" s="2060"/>
      <c r="P1837" s="2060"/>
      <c r="Q1837" s="2060"/>
      <c r="R1837" s="2060"/>
      <c r="S1837" s="2060"/>
    </row>
    <row r="1838" spans="2:19">
      <c r="B1838" s="2060"/>
      <c r="C1838" s="2060"/>
      <c r="D1838" s="2060"/>
      <c r="E1838" s="255"/>
      <c r="H1838" s="2060"/>
      <c r="I1838" s="2060"/>
      <c r="J1838" s="2060"/>
      <c r="K1838" s="2060"/>
      <c r="L1838" s="2060"/>
      <c r="M1838" s="2060"/>
      <c r="N1838" s="2060"/>
      <c r="O1838" s="2060"/>
      <c r="P1838" s="2060"/>
      <c r="Q1838" s="2060"/>
      <c r="R1838" s="2060"/>
      <c r="S1838" s="2060"/>
    </row>
    <row r="1839" spans="2:19">
      <c r="B1839" s="2060"/>
      <c r="C1839" s="2060"/>
      <c r="D1839" s="2060"/>
      <c r="E1839" s="255"/>
      <c r="H1839" s="2060"/>
      <c r="I1839" s="2060"/>
      <c r="J1839" s="2060"/>
      <c r="K1839" s="2060"/>
      <c r="L1839" s="2060"/>
      <c r="M1839" s="2060"/>
      <c r="N1839" s="2060"/>
      <c r="O1839" s="2060"/>
      <c r="P1839" s="2060"/>
      <c r="Q1839" s="2060"/>
      <c r="R1839" s="2060"/>
      <c r="S1839" s="2060"/>
    </row>
    <row r="1840" spans="2:19">
      <c r="B1840" s="2060"/>
      <c r="C1840" s="2060"/>
      <c r="D1840" s="2060"/>
      <c r="E1840" s="255"/>
      <c r="H1840" s="2060"/>
      <c r="I1840" s="2060"/>
      <c r="J1840" s="2060"/>
      <c r="K1840" s="2060"/>
      <c r="L1840" s="2060"/>
      <c r="M1840" s="2060"/>
      <c r="N1840" s="2060"/>
      <c r="O1840" s="2060"/>
      <c r="P1840" s="2060"/>
      <c r="Q1840" s="2060"/>
      <c r="R1840" s="2060"/>
      <c r="S1840" s="2060"/>
    </row>
    <row r="1841" spans="2:19">
      <c r="B1841" s="2060"/>
      <c r="C1841" s="2060"/>
      <c r="D1841" s="2060"/>
      <c r="E1841" s="255"/>
      <c r="H1841" s="2060"/>
      <c r="I1841" s="2060"/>
      <c r="J1841" s="2060"/>
      <c r="K1841" s="2060"/>
      <c r="L1841" s="2060"/>
      <c r="M1841" s="2060"/>
      <c r="N1841" s="2060"/>
      <c r="O1841" s="2060"/>
      <c r="P1841" s="2060"/>
      <c r="Q1841" s="2060"/>
      <c r="R1841" s="2060"/>
      <c r="S1841" s="2060"/>
    </row>
    <row r="1842" spans="2:19">
      <c r="B1842" s="2060"/>
      <c r="C1842" s="2060"/>
      <c r="D1842" s="2060"/>
      <c r="E1842" s="255"/>
      <c r="H1842" s="2060"/>
      <c r="I1842" s="2060"/>
      <c r="J1842" s="2060"/>
      <c r="K1842" s="2060"/>
      <c r="L1842" s="2060"/>
      <c r="M1842" s="2060"/>
      <c r="N1842" s="2060"/>
      <c r="O1842" s="2060"/>
      <c r="P1842" s="2060"/>
      <c r="Q1842" s="2060"/>
      <c r="R1842" s="2060"/>
      <c r="S1842" s="2060"/>
    </row>
    <row r="1843" spans="2:19">
      <c r="B1843" s="2060"/>
      <c r="C1843" s="2060"/>
      <c r="D1843" s="2060"/>
      <c r="E1843" s="255"/>
      <c r="H1843" s="2060"/>
      <c r="I1843" s="2060"/>
      <c r="J1843" s="2060"/>
      <c r="K1843" s="2060"/>
      <c r="L1843" s="2060"/>
      <c r="M1843" s="2060"/>
      <c r="N1843" s="2060"/>
      <c r="O1843" s="2060"/>
      <c r="P1843" s="2060"/>
      <c r="Q1843" s="2060"/>
      <c r="R1843" s="2060"/>
      <c r="S1843" s="2060"/>
    </row>
    <row r="1844" spans="2:19">
      <c r="B1844" s="2060"/>
      <c r="C1844" s="2060"/>
      <c r="D1844" s="2060"/>
      <c r="E1844" s="255"/>
      <c r="H1844" s="2060"/>
      <c r="I1844" s="2060"/>
      <c r="J1844" s="2060"/>
      <c r="K1844" s="2060"/>
      <c r="L1844" s="2060"/>
      <c r="M1844" s="2060"/>
      <c r="N1844" s="2060"/>
      <c r="O1844" s="2060"/>
      <c r="P1844" s="2060"/>
      <c r="Q1844" s="2060"/>
      <c r="R1844" s="2060"/>
      <c r="S1844" s="2060"/>
    </row>
    <row r="1845" spans="2:19">
      <c r="B1845" s="2060"/>
      <c r="C1845" s="2060"/>
      <c r="D1845" s="2060"/>
      <c r="E1845" s="255"/>
      <c r="H1845" s="2060"/>
      <c r="I1845" s="2060"/>
      <c r="J1845" s="2060"/>
      <c r="K1845" s="2060"/>
      <c r="L1845" s="2060"/>
      <c r="M1845" s="2060"/>
      <c r="N1845" s="2060"/>
      <c r="O1845" s="2060"/>
      <c r="P1845" s="2060"/>
      <c r="Q1845" s="2060"/>
      <c r="R1845" s="2060"/>
      <c r="S1845" s="2060"/>
    </row>
    <row r="1846" spans="2:19">
      <c r="B1846" s="2060"/>
      <c r="C1846" s="2060"/>
      <c r="D1846" s="2060"/>
      <c r="E1846" s="255"/>
      <c r="H1846" s="2060"/>
      <c r="I1846" s="2060"/>
      <c r="J1846" s="2060"/>
      <c r="K1846" s="2060"/>
      <c r="L1846" s="2060"/>
      <c r="M1846" s="2060"/>
      <c r="N1846" s="2060"/>
      <c r="O1846" s="2060"/>
      <c r="P1846" s="2060"/>
      <c r="Q1846" s="2060"/>
      <c r="R1846" s="2060"/>
      <c r="S1846" s="2060"/>
    </row>
    <row r="1847" spans="2:19">
      <c r="B1847" s="2060"/>
      <c r="C1847" s="2060"/>
      <c r="D1847" s="2060"/>
      <c r="E1847" s="255"/>
      <c r="H1847" s="2060"/>
      <c r="I1847" s="2060"/>
      <c r="J1847" s="2060"/>
      <c r="K1847" s="2060"/>
      <c r="L1847" s="2060"/>
      <c r="M1847" s="2060"/>
      <c r="N1847" s="2060"/>
      <c r="O1847" s="2060"/>
      <c r="P1847" s="2060"/>
      <c r="Q1847" s="2060"/>
      <c r="R1847" s="2060"/>
      <c r="S1847" s="2060"/>
    </row>
    <row r="1848" spans="2:19">
      <c r="B1848" s="2060"/>
      <c r="C1848" s="2060"/>
      <c r="D1848" s="2060"/>
      <c r="E1848" s="255"/>
      <c r="H1848" s="2060"/>
      <c r="I1848" s="2060"/>
      <c r="J1848" s="2060"/>
      <c r="K1848" s="2060"/>
      <c r="L1848" s="2060"/>
      <c r="M1848" s="2060"/>
      <c r="N1848" s="2060"/>
      <c r="O1848" s="2060"/>
      <c r="P1848" s="2060"/>
      <c r="Q1848" s="2060"/>
      <c r="R1848" s="2060"/>
      <c r="S1848" s="2060"/>
    </row>
    <row r="1849" spans="2:19">
      <c r="B1849" s="2060"/>
      <c r="C1849" s="2060"/>
      <c r="D1849" s="2060"/>
      <c r="E1849" s="255"/>
      <c r="H1849" s="2060"/>
      <c r="I1849" s="2060"/>
      <c r="J1849" s="2060"/>
      <c r="K1849" s="2060"/>
      <c r="L1849" s="2060"/>
      <c r="M1849" s="2060"/>
      <c r="N1849" s="2060"/>
      <c r="O1849" s="2060"/>
      <c r="P1849" s="2060"/>
      <c r="Q1849" s="2060"/>
      <c r="R1849" s="2060"/>
      <c r="S1849" s="2060"/>
    </row>
    <row r="1850" spans="2:19">
      <c r="B1850" s="2060"/>
      <c r="C1850" s="2060"/>
      <c r="D1850" s="2060"/>
      <c r="E1850" s="255"/>
      <c r="H1850" s="2060"/>
      <c r="I1850" s="2060"/>
      <c r="J1850" s="2060"/>
      <c r="K1850" s="2060"/>
      <c r="L1850" s="2060"/>
      <c r="M1850" s="2060"/>
      <c r="N1850" s="2060"/>
      <c r="O1850" s="2060"/>
      <c r="P1850" s="2060"/>
      <c r="Q1850" s="2060"/>
      <c r="R1850" s="2060"/>
      <c r="S1850" s="2060"/>
    </row>
    <row r="1851" spans="2:19">
      <c r="B1851" s="2060"/>
      <c r="C1851" s="2060"/>
      <c r="D1851" s="2060"/>
      <c r="E1851" s="255"/>
      <c r="H1851" s="2060"/>
      <c r="I1851" s="2060"/>
      <c r="J1851" s="2060"/>
      <c r="K1851" s="2060"/>
      <c r="L1851" s="2060"/>
      <c r="M1851" s="2060"/>
      <c r="N1851" s="2060"/>
      <c r="O1851" s="2060"/>
      <c r="P1851" s="2060"/>
      <c r="Q1851" s="2060"/>
      <c r="R1851" s="2060"/>
      <c r="S1851" s="2060"/>
    </row>
    <row r="1852" spans="2:19">
      <c r="B1852" s="2060"/>
      <c r="C1852" s="2060"/>
      <c r="D1852" s="2060"/>
      <c r="E1852" s="255"/>
      <c r="H1852" s="2060"/>
      <c r="I1852" s="2060"/>
      <c r="J1852" s="2060"/>
      <c r="K1852" s="2060"/>
      <c r="L1852" s="2060"/>
      <c r="M1852" s="2060"/>
      <c r="N1852" s="2060"/>
      <c r="O1852" s="2060"/>
      <c r="P1852" s="2060"/>
      <c r="Q1852" s="2060"/>
      <c r="R1852" s="2060"/>
      <c r="S1852" s="2060"/>
    </row>
    <row r="1853" spans="2:19">
      <c r="B1853" s="2060"/>
      <c r="C1853" s="2060"/>
      <c r="D1853" s="2060"/>
      <c r="E1853" s="255"/>
      <c r="H1853" s="2060"/>
      <c r="I1853" s="2060"/>
      <c r="J1853" s="2060"/>
      <c r="K1853" s="2060"/>
      <c r="L1853" s="2060"/>
      <c r="M1853" s="2060"/>
      <c r="N1853" s="2060"/>
      <c r="O1853" s="2060"/>
      <c r="P1853" s="2060"/>
      <c r="Q1853" s="2060"/>
      <c r="R1853" s="2060"/>
      <c r="S1853" s="2060"/>
    </row>
    <row r="1854" spans="2:19">
      <c r="B1854" s="2060"/>
      <c r="C1854" s="2060"/>
      <c r="D1854" s="2060"/>
      <c r="E1854" s="255"/>
      <c r="H1854" s="2060"/>
      <c r="I1854" s="2060"/>
      <c r="J1854" s="2060"/>
      <c r="K1854" s="2060"/>
      <c r="L1854" s="2060"/>
      <c r="M1854" s="2060"/>
      <c r="N1854" s="2060"/>
      <c r="O1854" s="2060"/>
      <c r="P1854" s="2060"/>
      <c r="Q1854" s="2060"/>
      <c r="R1854" s="2060"/>
      <c r="S1854" s="2060"/>
    </row>
    <row r="1855" spans="2:19">
      <c r="B1855" s="2060"/>
      <c r="C1855" s="2060"/>
      <c r="D1855" s="2060"/>
      <c r="E1855" s="255"/>
      <c r="H1855" s="2060"/>
      <c r="I1855" s="2060"/>
      <c r="J1855" s="2060"/>
      <c r="K1855" s="2060"/>
      <c r="L1855" s="2060"/>
      <c r="M1855" s="2060"/>
      <c r="N1855" s="2060"/>
      <c r="O1855" s="2060"/>
      <c r="P1855" s="2060"/>
      <c r="Q1855" s="2060"/>
      <c r="R1855" s="2060"/>
      <c r="S1855" s="2060"/>
    </row>
    <row r="1856" spans="2:19">
      <c r="B1856" s="2060"/>
      <c r="C1856" s="2060"/>
      <c r="D1856" s="2060"/>
      <c r="E1856" s="255"/>
      <c r="H1856" s="2060"/>
      <c r="I1856" s="2060"/>
      <c r="J1856" s="2060"/>
      <c r="K1856" s="2060"/>
      <c r="L1856" s="2060"/>
      <c r="M1856" s="2060"/>
      <c r="N1856" s="2060"/>
      <c r="O1856" s="2060"/>
      <c r="P1856" s="2060"/>
      <c r="Q1856" s="2060"/>
      <c r="R1856" s="2060"/>
      <c r="S1856" s="2060"/>
    </row>
    <row r="1857" spans="2:19">
      <c r="B1857" s="2060"/>
      <c r="C1857" s="2060"/>
      <c r="D1857" s="2060"/>
      <c r="E1857" s="255"/>
      <c r="H1857" s="2060"/>
      <c r="I1857" s="2060"/>
      <c r="J1857" s="2060"/>
      <c r="K1857" s="2060"/>
      <c r="L1857" s="2060"/>
      <c r="M1857" s="2060"/>
      <c r="N1857" s="2060"/>
      <c r="O1857" s="2060"/>
      <c r="P1857" s="2060"/>
      <c r="Q1857" s="2060"/>
      <c r="R1857" s="2060"/>
      <c r="S1857" s="2060"/>
    </row>
    <row r="1858" spans="2:19">
      <c r="B1858" s="2060"/>
      <c r="C1858" s="2060"/>
      <c r="D1858" s="2060"/>
      <c r="E1858" s="255"/>
      <c r="H1858" s="2060"/>
      <c r="I1858" s="2060"/>
      <c r="J1858" s="2060"/>
      <c r="K1858" s="2060"/>
      <c r="L1858" s="2060"/>
      <c r="M1858" s="2060"/>
      <c r="N1858" s="2060"/>
      <c r="O1858" s="2060"/>
      <c r="P1858" s="2060"/>
      <c r="Q1858" s="2060"/>
      <c r="R1858" s="2060"/>
      <c r="S1858" s="2060"/>
    </row>
    <row r="1859" spans="2:19">
      <c r="B1859" s="2060"/>
      <c r="C1859" s="2060"/>
      <c r="D1859" s="2060"/>
      <c r="E1859" s="255"/>
      <c r="H1859" s="2060"/>
      <c r="I1859" s="2060"/>
      <c r="J1859" s="2060"/>
      <c r="K1859" s="2060"/>
      <c r="L1859" s="2060"/>
      <c r="M1859" s="2060"/>
      <c r="N1859" s="2060"/>
      <c r="O1859" s="2060"/>
      <c r="P1859" s="2060"/>
      <c r="Q1859" s="2060"/>
      <c r="R1859" s="2060"/>
      <c r="S1859" s="2060"/>
    </row>
    <row r="1860" spans="2:19">
      <c r="B1860" s="2060"/>
      <c r="C1860" s="2060"/>
      <c r="D1860" s="2060"/>
      <c r="E1860" s="255"/>
      <c r="H1860" s="2060"/>
      <c r="I1860" s="2060"/>
      <c r="J1860" s="2060"/>
      <c r="K1860" s="2060"/>
      <c r="L1860" s="2060"/>
      <c r="M1860" s="2060"/>
      <c r="N1860" s="2060"/>
      <c r="O1860" s="2060"/>
      <c r="P1860" s="2060"/>
      <c r="Q1860" s="2060"/>
      <c r="R1860" s="2060"/>
      <c r="S1860" s="2060"/>
    </row>
    <row r="1861" spans="2:19">
      <c r="B1861" s="2060"/>
      <c r="C1861" s="2060"/>
      <c r="D1861" s="2060"/>
      <c r="E1861" s="255"/>
      <c r="H1861" s="2060"/>
      <c r="I1861" s="2060"/>
      <c r="J1861" s="2060"/>
      <c r="K1861" s="2060"/>
      <c r="L1861" s="2060"/>
      <c r="M1861" s="2060"/>
      <c r="N1861" s="2060"/>
      <c r="O1861" s="2060"/>
      <c r="P1861" s="2060"/>
      <c r="Q1861" s="2060"/>
      <c r="R1861" s="2060"/>
      <c r="S1861" s="2060"/>
    </row>
    <row r="1862" spans="2:19">
      <c r="B1862" s="2060"/>
      <c r="C1862" s="2060"/>
      <c r="D1862" s="2060"/>
      <c r="E1862" s="255"/>
      <c r="H1862" s="2060"/>
      <c r="I1862" s="2060"/>
      <c r="J1862" s="2060"/>
      <c r="K1862" s="2060"/>
      <c r="L1862" s="2060"/>
      <c r="M1862" s="2060"/>
      <c r="N1862" s="2060"/>
      <c r="O1862" s="2060"/>
      <c r="P1862" s="2060"/>
      <c r="Q1862" s="2060"/>
      <c r="R1862" s="2060"/>
      <c r="S1862" s="2060"/>
    </row>
    <row r="1863" spans="2:19">
      <c r="B1863" s="2060"/>
      <c r="C1863" s="2060"/>
      <c r="D1863" s="2060"/>
      <c r="E1863" s="255"/>
      <c r="H1863" s="2060"/>
      <c r="I1863" s="2060"/>
      <c r="J1863" s="2060"/>
      <c r="K1863" s="2060"/>
      <c r="L1863" s="2060"/>
      <c r="M1863" s="2060"/>
      <c r="N1863" s="2060"/>
      <c r="O1863" s="2060"/>
      <c r="P1863" s="2060"/>
      <c r="Q1863" s="2060"/>
      <c r="R1863" s="2060"/>
      <c r="S1863" s="2060"/>
    </row>
    <row r="1864" spans="2:19">
      <c r="B1864" s="2060"/>
      <c r="C1864" s="2060"/>
      <c r="D1864" s="2060"/>
      <c r="E1864" s="255"/>
      <c r="H1864" s="2060"/>
      <c r="I1864" s="2060"/>
      <c r="J1864" s="2060"/>
      <c r="K1864" s="2060"/>
      <c r="L1864" s="2060"/>
      <c r="M1864" s="2060"/>
      <c r="N1864" s="2060"/>
      <c r="O1864" s="2060"/>
      <c r="P1864" s="2060"/>
      <c r="Q1864" s="2060"/>
      <c r="R1864" s="2060"/>
      <c r="S1864" s="2060"/>
    </row>
    <row r="1865" spans="2:19">
      <c r="B1865" s="2060"/>
      <c r="C1865" s="2060"/>
      <c r="D1865" s="2060"/>
      <c r="E1865" s="255"/>
      <c r="H1865" s="2060"/>
      <c r="I1865" s="2060"/>
      <c r="J1865" s="2060"/>
      <c r="K1865" s="2060"/>
      <c r="L1865" s="2060"/>
      <c r="M1865" s="2060"/>
      <c r="N1865" s="2060"/>
      <c r="O1865" s="2060"/>
      <c r="P1865" s="2060"/>
      <c r="Q1865" s="2060"/>
      <c r="R1865" s="2060"/>
      <c r="S1865" s="2060"/>
    </row>
    <row r="1866" spans="2:19">
      <c r="B1866" s="2060"/>
      <c r="C1866" s="2060"/>
      <c r="D1866" s="2060"/>
      <c r="E1866" s="255"/>
      <c r="H1866" s="2060"/>
      <c r="I1866" s="2060"/>
      <c r="J1866" s="2060"/>
      <c r="K1866" s="2060"/>
      <c r="L1866" s="2060"/>
      <c r="M1866" s="2060"/>
      <c r="N1866" s="2060"/>
      <c r="O1866" s="2060"/>
      <c r="P1866" s="2060"/>
      <c r="Q1866" s="2060"/>
      <c r="R1866" s="2060"/>
      <c r="S1866" s="255"/>
    </row>
    <row r="1867" spans="2:19">
      <c r="B1867" s="2060"/>
      <c r="C1867" s="2060"/>
      <c r="D1867" s="2060"/>
      <c r="E1867" s="255"/>
      <c r="H1867" s="2060"/>
      <c r="I1867" s="2060"/>
      <c r="J1867" s="2060"/>
      <c r="K1867" s="2060"/>
      <c r="L1867" s="2060"/>
      <c r="M1867" s="2060"/>
      <c r="N1867" s="2060"/>
      <c r="O1867" s="2060"/>
      <c r="P1867" s="2060"/>
      <c r="Q1867" s="2060"/>
      <c r="R1867" s="2060"/>
      <c r="S1867" s="255"/>
    </row>
    <row r="1868" spans="2:19">
      <c r="B1868" s="2060"/>
      <c r="C1868" s="2060"/>
      <c r="D1868" s="2060"/>
      <c r="E1868" s="255"/>
      <c r="H1868" s="2060"/>
      <c r="I1868" s="2060"/>
      <c r="J1868" s="2060"/>
      <c r="K1868" s="2060"/>
      <c r="L1868" s="2060"/>
      <c r="M1868" s="2060"/>
      <c r="N1868" s="2060"/>
      <c r="O1868" s="2060"/>
      <c r="P1868" s="2060"/>
      <c r="Q1868" s="2060"/>
      <c r="R1868" s="2060"/>
      <c r="S1868" s="255"/>
    </row>
    <row r="1869" spans="2:19">
      <c r="B1869" s="2060"/>
      <c r="C1869" s="2060"/>
      <c r="D1869" s="2060"/>
      <c r="E1869" s="255"/>
      <c r="H1869" s="2060"/>
      <c r="I1869" s="2060"/>
      <c r="J1869" s="2060"/>
      <c r="K1869" s="2060"/>
      <c r="L1869" s="2060"/>
      <c r="M1869" s="2060"/>
      <c r="N1869" s="2060"/>
      <c r="O1869" s="2060"/>
      <c r="P1869" s="2060"/>
      <c r="Q1869" s="2060"/>
      <c r="R1869" s="2060"/>
      <c r="S1869" s="255"/>
    </row>
    <row r="1870" spans="2:19">
      <c r="B1870" s="2060"/>
      <c r="C1870" s="2060"/>
      <c r="D1870" s="2060"/>
      <c r="E1870" s="255"/>
      <c r="H1870" s="2060"/>
      <c r="I1870" s="2060"/>
      <c r="J1870" s="2060"/>
      <c r="K1870" s="2060"/>
      <c r="L1870" s="2060"/>
      <c r="M1870" s="2060"/>
      <c r="N1870" s="2060"/>
      <c r="O1870" s="2060"/>
      <c r="P1870" s="2060"/>
      <c r="Q1870" s="2060"/>
      <c r="R1870" s="2060"/>
      <c r="S1870" s="255"/>
    </row>
    <row r="1871" spans="2:19">
      <c r="B1871" s="2060"/>
      <c r="C1871" s="2060"/>
      <c r="D1871" s="2060"/>
      <c r="E1871" s="255"/>
      <c r="H1871" s="2060"/>
      <c r="I1871" s="2060"/>
      <c r="J1871" s="2060"/>
      <c r="K1871" s="2060"/>
      <c r="L1871" s="2060"/>
      <c r="M1871" s="2060"/>
      <c r="N1871" s="2060"/>
      <c r="O1871" s="2060"/>
      <c r="P1871" s="2060"/>
      <c r="Q1871" s="2060"/>
      <c r="R1871" s="2060"/>
      <c r="S1871" s="255"/>
    </row>
    <row r="1872" spans="2:19">
      <c r="B1872" s="2060"/>
      <c r="C1872" s="2060"/>
      <c r="D1872" s="2060"/>
      <c r="E1872" s="255"/>
      <c r="H1872" s="2060"/>
      <c r="I1872" s="2060"/>
      <c r="J1872" s="2060"/>
      <c r="K1872" s="2060"/>
      <c r="L1872" s="2060"/>
      <c r="M1872" s="2060"/>
      <c r="N1872" s="2060"/>
      <c r="O1872" s="2060"/>
      <c r="P1872" s="2060"/>
      <c r="Q1872" s="2060"/>
      <c r="R1872" s="2060"/>
      <c r="S1872" s="255"/>
    </row>
    <row r="1873" spans="2:18">
      <c r="B1873" s="2060"/>
      <c r="C1873" s="2060"/>
      <c r="D1873" s="2060"/>
      <c r="E1873" s="255"/>
      <c r="H1873" s="2060"/>
      <c r="I1873" s="2060"/>
      <c r="J1873" s="2060"/>
      <c r="K1873" s="2060"/>
      <c r="L1873" s="2060"/>
      <c r="M1873" s="2060"/>
      <c r="N1873" s="2060"/>
      <c r="O1873" s="2060"/>
      <c r="P1873" s="2060"/>
      <c r="Q1873" s="2060"/>
      <c r="R1873" s="2060"/>
    </row>
    <row r="1874" spans="2:18">
      <c r="B1874" s="2060"/>
      <c r="C1874" s="2060"/>
      <c r="D1874" s="2060"/>
      <c r="E1874" s="255"/>
      <c r="H1874" s="2060"/>
      <c r="I1874" s="2060"/>
      <c r="J1874" s="2060"/>
      <c r="K1874" s="2060"/>
      <c r="L1874" s="2060"/>
      <c r="M1874" s="2060"/>
      <c r="N1874" s="2060"/>
      <c r="O1874" s="2060"/>
      <c r="P1874" s="2060"/>
      <c r="Q1874" s="2060"/>
      <c r="R1874" s="2060"/>
    </row>
    <row r="1875" spans="2:18">
      <c r="B1875" s="2060"/>
      <c r="C1875" s="2060"/>
      <c r="D1875" s="2060"/>
      <c r="E1875" s="255"/>
      <c r="H1875" s="2060"/>
      <c r="I1875" s="2060"/>
      <c r="J1875" s="2060"/>
      <c r="K1875" s="2060"/>
      <c r="L1875" s="2060"/>
      <c r="M1875" s="2060"/>
      <c r="N1875" s="2060"/>
      <c r="O1875" s="2060"/>
      <c r="P1875" s="2060"/>
      <c r="Q1875" s="2060"/>
      <c r="R1875" s="2060"/>
    </row>
    <row r="1876" spans="2:18">
      <c r="B1876" s="2060"/>
      <c r="C1876" s="2060"/>
      <c r="D1876" s="2060"/>
      <c r="E1876" s="255"/>
      <c r="H1876" s="2060"/>
      <c r="I1876" s="2060"/>
      <c r="J1876" s="2060"/>
      <c r="K1876" s="2060"/>
      <c r="L1876" s="2060"/>
      <c r="M1876" s="2060"/>
      <c r="N1876" s="2060"/>
      <c r="O1876" s="2060"/>
      <c r="P1876" s="2060"/>
      <c r="Q1876" s="2060"/>
      <c r="R1876" s="2060"/>
    </row>
    <row r="1877" spans="2:18">
      <c r="B1877" s="2060"/>
      <c r="C1877" s="2060"/>
      <c r="D1877" s="2060"/>
      <c r="E1877" s="255"/>
      <c r="H1877" s="2060"/>
      <c r="I1877" s="2060"/>
      <c r="J1877" s="2060"/>
      <c r="K1877" s="2060"/>
      <c r="L1877" s="2060"/>
      <c r="M1877" s="2060"/>
      <c r="N1877" s="2060"/>
      <c r="O1877" s="2060"/>
      <c r="P1877" s="2060"/>
      <c r="Q1877" s="2060"/>
      <c r="R1877" s="2060"/>
    </row>
    <row r="1878" spans="2:18">
      <c r="B1878" s="2060"/>
      <c r="C1878" s="2060"/>
      <c r="D1878" s="2060"/>
      <c r="E1878" s="255"/>
      <c r="H1878" s="2060"/>
      <c r="I1878" s="2060"/>
      <c r="J1878" s="2060"/>
      <c r="K1878" s="2060"/>
      <c r="L1878" s="2060"/>
      <c r="M1878" s="2060"/>
      <c r="N1878" s="2060"/>
      <c r="O1878" s="2060"/>
      <c r="P1878" s="2060"/>
      <c r="Q1878" s="2060"/>
      <c r="R1878" s="2060"/>
    </row>
    <row r="1879" spans="2:18">
      <c r="B1879" s="2060"/>
      <c r="C1879" s="2060"/>
      <c r="D1879" s="2060"/>
      <c r="E1879" s="255"/>
      <c r="H1879" s="2060"/>
      <c r="I1879" s="2060"/>
      <c r="J1879" s="2060"/>
      <c r="K1879" s="2060"/>
      <c r="L1879" s="2060"/>
      <c r="M1879" s="2060"/>
      <c r="N1879" s="2060"/>
      <c r="O1879" s="2060"/>
      <c r="P1879" s="2060"/>
      <c r="Q1879" s="2060"/>
      <c r="R1879" s="2060"/>
    </row>
    <row r="1880" spans="2:18">
      <c r="B1880" s="2060"/>
      <c r="C1880" s="2060"/>
      <c r="D1880" s="2060"/>
      <c r="E1880" s="255"/>
      <c r="H1880" s="2060"/>
      <c r="I1880" s="2060"/>
      <c r="J1880" s="2060"/>
      <c r="K1880" s="2060"/>
      <c r="L1880" s="2060"/>
      <c r="M1880" s="2060"/>
      <c r="N1880" s="2060"/>
      <c r="O1880" s="2060"/>
      <c r="P1880" s="2060"/>
      <c r="Q1880" s="2060"/>
      <c r="R1880" s="2060"/>
    </row>
    <row r="1881" spans="2:18">
      <c r="B1881" s="2060"/>
      <c r="C1881" s="2060"/>
      <c r="D1881" s="2060"/>
      <c r="E1881" s="255"/>
      <c r="H1881" s="2060"/>
      <c r="I1881" s="2060"/>
      <c r="J1881" s="2060"/>
      <c r="K1881" s="2060"/>
      <c r="L1881" s="2060"/>
      <c r="M1881" s="2060"/>
      <c r="N1881" s="2060"/>
      <c r="O1881" s="2060"/>
      <c r="P1881" s="2060"/>
      <c r="Q1881" s="2060"/>
      <c r="R1881" s="2060"/>
    </row>
    <row r="1882" spans="2:18">
      <c r="B1882" s="2060"/>
      <c r="C1882" s="2060"/>
      <c r="D1882" s="2060"/>
      <c r="E1882" s="255"/>
      <c r="H1882" s="2060"/>
      <c r="I1882" s="2060"/>
      <c r="J1882" s="2060"/>
      <c r="K1882" s="2060"/>
      <c r="L1882" s="2060"/>
      <c r="M1882" s="2060"/>
      <c r="N1882" s="2060"/>
      <c r="O1882" s="2060"/>
      <c r="P1882" s="2060"/>
      <c r="Q1882" s="2060"/>
      <c r="R1882" s="2060"/>
    </row>
    <row r="1883" spans="2:18">
      <c r="B1883" s="2060"/>
      <c r="C1883" s="2060"/>
      <c r="D1883" s="2060"/>
      <c r="E1883" s="255"/>
      <c r="H1883" s="2060"/>
      <c r="I1883" s="2060"/>
      <c r="J1883" s="2060"/>
      <c r="K1883" s="2060"/>
      <c r="L1883" s="2060"/>
      <c r="M1883" s="2060"/>
      <c r="N1883" s="2060"/>
      <c r="O1883" s="2060"/>
      <c r="P1883" s="2060"/>
      <c r="Q1883" s="2060"/>
      <c r="R1883" s="2060"/>
    </row>
    <row r="1884" spans="2:18">
      <c r="B1884" s="2060"/>
      <c r="C1884" s="2060"/>
      <c r="D1884" s="2060"/>
      <c r="E1884" s="255"/>
      <c r="H1884" s="2060"/>
      <c r="I1884" s="2060"/>
      <c r="J1884" s="2060"/>
      <c r="K1884" s="2060"/>
      <c r="L1884" s="2060"/>
      <c r="M1884" s="2060"/>
      <c r="N1884" s="2060"/>
      <c r="O1884" s="2060"/>
      <c r="P1884" s="2060"/>
      <c r="Q1884" s="2060"/>
      <c r="R1884" s="2060"/>
    </row>
    <row r="1885" spans="2:18">
      <c r="B1885" s="2060"/>
      <c r="C1885" s="2060"/>
      <c r="D1885" s="2060"/>
      <c r="E1885" s="255"/>
      <c r="H1885" s="2060"/>
      <c r="I1885" s="2060"/>
      <c r="J1885" s="2060"/>
      <c r="K1885" s="2060"/>
      <c r="L1885" s="2060"/>
      <c r="M1885" s="2060"/>
      <c r="N1885" s="2060"/>
      <c r="O1885" s="2060"/>
      <c r="P1885" s="2060"/>
      <c r="Q1885" s="2060"/>
      <c r="R1885" s="2060"/>
    </row>
    <row r="1886" spans="2:18">
      <c r="B1886" s="2060"/>
      <c r="C1886" s="2060"/>
      <c r="D1886" s="2060"/>
      <c r="E1886" s="255"/>
      <c r="H1886" s="2060"/>
      <c r="I1886" s="2060"/>
      <c r="J1886" s="2060"/>
      <c r="K1886" s="2060"/>
      <c r="L1886" s="2060"/>
      <c r="M1886" s="2060"/>
      <c r="N1886" s="2060"/>
      <c r="O1886" s="2060"/>
      <c r="P1886" s="2060"/>
      <c r="Q1886" s="2060"/>
      <c r="R1886" s="2060"/>
    </row>
    <row r="1887" spans="2:18">
      <c r="B1887" s="2060"/>
      <c r="C1887" s="2060"/>
      <c r="D1887" s="2060"/>
      <c r="E1887" s="255"/>
      <c r="H1887" s="2060"/>
      <c r="I1887" s="2060"/>
      <c r="J1887" s="2060"/>
      <c r="K1887" s="2060"/>
      <c r="L1887" s="2060"/>
      <c r="M1887" s="2060"/>
      <c r="N1887" s="2060"/>
      <c r="O1887" s="2060"/>
      <c r="P1887" s="2060"/>
      <c r="Q1887" s="2060"/>
      <c r="R1887" s="2060"/>
    </row>
    <row r="1888" spans="2:18">
      <c r="B1888" s="2060"/>
      <c r="C1888" s="2060"/>
      <c r="D1888" s="2060"/>
      <c r="E1888" s="255"/>
      <c r="H1888" s="2060"/>
      <c r="I1888" s="2060"/>
      <c r="J1888" s="2060"/>
      <c r="K1888" s="2060"/>
      <c r="L1888" s="2060"/>
      <c r="M1888" s="2060"/>
      <c r="N1888" s="2060"/>
      <c r="O1888" s="2060"/>
      <c r="P1888" s="2060"/>
      <c r="Q1888" s="2060"/>
      <c r="R1888" s="2060"/>
    </row>
    <row r="1889" spans="2:18">
      <c r="B1889" s="2060"/>
      <c r="C1889" s="2060"/>
      <c r="D1889" s="2060"/>
      <c r="E1889" s="255"/>
      <c r="H1889" s="2060"/>
      <c r="I1889" s="2060"/>
      <c r="J1889" s="2060"/>
      <c r="K1889" s="2060"/>
      <c r="L1889" s="2060"/>
      <c r="M1889" s="2060"/>
      <c r="N1889" s="2060"/>
      <c r="O1889" s="2060"/>
      <c r="P1889" s="2060"/>
      <c r="Q1889" s="2060"/>
      <c r="R1889" s="2060"/>
    </row>
    <row r="1890" spans="2:18">
      <c r="B1890" s="2060"/>
      <c r="C1890" s="2060"/>
      <c r="D1890" s="2060"/>
      <c r="E1890" s="255"/>
      <c r="H1890" s="2060"/>
      <c r="I1890" s="2060"/>
      <c r="J1890" s="2060"/>
      <c r="K1890" s="2060"/>
      <c r="L1890" s="2060"/>
      <c r="M1890" s="2060"/>
      <c r="N1890" s="2060"/>
      <c r="O1890" s="2060"/>
      <c r="P1890" s="2060"/>
      <c r="Q1890" s="2060"/>
      <c r="R1890" s="2060"/>
    </row>
    <row r="1891" spans="2:18">
      <c r="B1891" s="2060"/>
      <c r="C1891" s="2060"/>
      <c r="D1891" s="2060"/>
      <c r="E1891" s="255"/>
      <c r="H1891" s="2060"/>
      <c r="I1891" s="2060"/>
      <c r="J1891" s="2060"/>
      <c r="K1891" s="2060"/>
      <c r="L1891" s="2060"/>
      <c r="M1891" s="2060"/>
      <c r="N1891" s="2060"/>
      <c r="O1891" s="2060"/>
      <c r="P1891" s="2060"/>
      <c r="Q1891" s="2060"/>
      <c r="R1891" s="2060"/>
    </row>
    <row r="1892" spans="2:18">
      <c r="B1892" s="2060"/>
      <c r="C1892" s="2060"/>
      <c r="D1892" s="2060"/>
      <c r="E1892" s="255"/>
      <c r="H1892" s="2060"/>
      <c r="I1892" s="2060"/>
      <c r="J1892" s="2060"/>
      <c r="K1892" s="2060"/>
      <c r="L1892" s="2060"/>
      <c r="M1892" s="2060"/>
      <c r="N1892" s="2060"/>
      <c r="O1892" s="2060"/>
      <c r="P1892" s="2060"/>
      <c r="Q1892" s="2060"/>
      <c r="R1892" s="2060"/>
    </row>
    <row r="1893" spans="2:18">
      <c r="B1893" s="2060"/>
      <c r="C1893" s="2060"/>
      <c r="D1893" s="2060"/>
      <c r="E1893" s="255"/>
      <c r="H1893" s="2060"/>
      <c r="I1893" s="2060"/>
      <c r="J1893" s="2060"/>
      <c r="K1893" s="2060"/>
      <c r="L1893" s="2060"/>
      <c r="M1893" s="2060"/>
      <c r="N1893" s="2060"/>
      <c r="O1893" s="2060"/>
      <c r="P1893" s="2060"/>
      <c r="Q1893" s="2060"/>
      <c r="R1893" s="2060"/>
    </row>
    <row r="1894" spans="2:18">
      <c r="B1894" s="2060"/>
      <c r="C1894" s="2060"/>
      <c r="D1894" s="2060"/>
      <c r="E1894" s="255"/>
      <c r="H1894" s="2060"/>
      <c r="I1894" s="2060"/>
      <c r="J1894" s="2060"/>
      <c r="K1894" s="2060"/>
      <c r="L1894" s="2060"/>
      <c r="M1894" s="2060"/>
      <c r="N1894" s="2060"/>
      <c r="O1894" s="2060"/>
      <c r="P1894" s="2060"/>
      <c r="Q1894" s="2060"/>
      <c r="R1894" s="2060"/>
    </row>
    <row r="1895" spans="2:18">
      <c r="B1895" s="2060"/>
      <c r="C1895" s="2060"/>
      <c r="D1895" s="2060"/>
      <c r="E1895" s="255"/>
      <c r="H1895" s="2060"/>
      <c r="I1895" s="2060"/>
      <c r="J1895" s="2060"/>
      <c r="K1895" s="2060"/>
      <c r="L1895" s="2060"/>
      <c r="M1895" s="2060"/>
      <c r="N1895" s="2060"/>
      <c r="O1895" s="2060"/>
      <c r="P1895" s="2060"/>
      <c r="Q1895" s="2060"/>
      <c r="R1895" s="2060"/>
    </row>
    <row r="1896" spans="2:18">
      <c r="B1896" s="2060"/>
      <c r="C1896" s="2060"/>
      <c r="D1896" s="2060"/>
      <c r="E1896" s="255"/>
      <c r="H1896" s="2060"/>
      <c r="I1896" s="2060"/>
      <c r="J1896" s="2060"/>
      <c r="K1896" s="2060"/>
      <c r="L1896" s="2060"/>
      <c r="M1896" s="2060"/>
      <c r="N1896" s="2060"/>
      <c r="O1896" s="2060"/>
      <c r="P1896" s="2060"/>
      <c r="Q1896" s="2060"/>
      <c r="R1896" s="2060"/>
    </row>
    <row r="1897" spans="2:18">
      <c r="B1897" s="2060"/>
      <c r="C1897" s="2060"/>
      <c r="D1897" s="2060"/>
      <c r="E1897" s="255"/>
      <c r="H1897" s="2060"/>
      <c r="I1897" s="2060"/>
      <c r="J1897" s="2060"/>
      <c r="K1897" s="2060"/>
      <c r="L1897" s="2060"/>
      <c r="M1897" s="2060"/>
      <c r="N1897" s="2060"/>
      <c r="O1897" s="2060"/>
      <c r="P1897" s="2060"/>
      <c r="Q1897" s="2060"/>
      <c r="R1897" s="2060"/>
    </row>
    <row r="1898" spans="2:18">
      <c r="B1898" s="2060"/>
      <c r="C1898" s="2060"/>
      <c r="D1898" s="2060"/>
      <c r="E1898" s="255"/>
      <c r="H1898" s="2060"/>
      <c r="I1898" s="2060"/>
      <c r="J1898" s="2060"/>
      <c r="K1898" s="2060"/>
      <c r="L1898" s="2060"/>
      <c r="M1898" s="2060"/>
      <c r="N1898" s="2060"/>
      <c r="O1898" s="2060"/>
      <c r="P1898" s="2060"/>
      <c r="Q1898" s="2060"/>
      <c r="R1898" s="2060"/>
    </row>
    <row r="1899" spans="2:18">
      <c r="B1899" s="2060"/>
      <c r="C1899" s="2060"/>
      <c r="D1899" s="2060"/>
      <c r="E1899" s="255"/>
      <c r="H1899" s="2060"/>
      <c r="I1899" s="2060"/>
      <c r="J1899" s="2060"/>
      <c r="K1899" s="2060"/>
      <c r="L1899" s="2060"/>
      <c r="M1899" s="2060"/>
      <c r="N1899" s="2060"/>
      <c r="O1899" s="2060"/>
      <c r="P1899" s="2060"/>
      <c r="Q1899" s="2060"/>
      <c r="R1899" s="2060"/>
    </row>
    <row r="1900" spans="2:18">
      <c r="B1900" s="2060"/>
      <c r="C1900" s="2060"/>
      <c r="D1900" s="2060"/>
      <c r="E1900" s="255"/>
      <c r="H1900" s="2060"/>
      <c r="I1900" s="2060"/>
      <c r="J1900" s="2060"/>
      <c r="K1900" s="2060"/>
      <c r="L1900" s="2060"/>
      <c r="M1900" s="2060"/>
      <c r="N1900" s="2060"/>
      <c r="O1900" s="2060"/>
      <c r="P1900" s="2060"/>
      <c r="Q1900" s="2060"/>
      <c r="R1900" s="2060"/>
    </row>
    <row r="1901" spans="2:18">
      <c r="B1901" s="2060"/>
      <c r="C1901" s="2060"/>
      <c r="D1901" s="2060"/>
      <c r="E1901" s="255"/>
      <c r="H1901" s="2060"/>
      <c r="I1901" s="2060"/>
      <c r="J1901" s="2060"/>
      <c r="K1901" s="2060"/>
      <c r="L1901" s="2060"/>
      <c r="M1901" s="2060"/>
      <c r="N1901" s="2060"/>
      <c r="O1901" s="2060"/>
      <c r="P1901" s="2060"/>
      <c r="Q1901" s="2060"/>
      <c r="R1901" s="2060"/>
    </row>
    <row r="1902" spans="2:18">
      <c r="B1902" s="2060"/>
      <c r="C1902" s="2060"/>
      <c r="D1902" s="2060"/>
      <c r="E1902" s="255"/>
      <c r="H1902" s="2060"/>
      <c r="I1902" s="2060"/>
      <c r="J1902" s="2060"/>
      <c r="K1902" s="2060"/>
      <c r="L1902" s="2060"/>
      <c r="M1902" s="2060"/>
      <c r="N1902" s="2060"/>
      <c r="O1902" s="2060"/>
      <c r="P1902" s="2060"/>
      <c r="Q1902" s="2060"/>
      <c r="R1902" s="2060"/>
    </row>
    <row r="1903" spans="2:18">
      <c r="B1903" s="2060"/>
      <c r="C1903" s="2060"/>
      <c r="D1903" s="2060"/>
      <c r="E1903" s="255"/>
      <c r="H1903" s="2060"/>
      <c r="I1903" s="2060"/>
      <c r="J1903" s="2060"/>
      <c r="K1903" s="2060"/>
      <c r="L1903" s="2060"/>
      <c r="M1903" s="2060"/>
      <c r="N1903" s="2060"/>
      <c r="O1903" s="2060"/>
      <c r="P1903" s="2060"/>
      <c r="Q1903" s="2060"/>
      <c r="R1903" s="2060"/>
    </row>
    <row r="1904" spans="2:18">
      <c r="B1904" s="2060"/>
      <c r="C1904" s="2060"/>
      <c r="D1904" s="2060"/>
      <c r="E1904" s="255"/>
      <c r="H1904" s="2060"/>
      <c r="I1904" s="2060"/>
      <c r="J1904" s="2060"/>
      <c r="K1904" s="2060"/>
      <c r="L1904" s="2060"/>
      <c r="M1904" s="2060"/>
      <c r="N1904" s="2060"/>
      <c r="O1904" s="2060"/>
      <c r="P1904" s="2060"/>
      <c r="Q1904" s="2060"/>
      <c r="R1904" s="2060"/>
    </row>
    <row r="1905" spans="2:18">
      <c r="B1905" s="2060"/>
      <c r="C1905" s="2060"/>
      <c r="D1905" s="2060"/>
      <c r="E1905" s="255"/>
      <c r="H1905" s="2060"/>
      <c r="I1905" s="2060"/>
      <c r="J1905" s="2060"/>
      <c r="K1905" s="2060"/>
      <c r="L1905" s="2060"/>
      <c r="M1905" s="2060"/>
      <c r="N1905" s="2060"/>
      <c r="O1905" s="2060"/>
      <c r="P1905" s="2060"/>
      <c r="Q1905" s="2060"/>
      <c r="R1905" s="2060"/>
    </row>
    <row r="1906" spans="2:18">
      <c r="B1906" s="2060"/>
      <c r="C1906" s="2060"/>
      <c r="D1906" s="2060"/>
      <c r="E1906" s="255"/>
      <c r="H1906" s="2060"/>
      <c r="I1906" s="2060"/>
      <c r="J1906" s="2060"/>
      <c r="K1906" s="2060"/>
      <c r="L1906" s="2060"/>
      <c r="M1906" s="2060"/>
      <c r="N1906" s="2060"/>
      <c r="O1906" s="2060"/>
      <c r="P1906" s="2060"/>
      <c r="Q1906" s="2060"/>
      <c r="R1906" s="2060"/>
    </row>
    <row r="1907" spans="2:18">
      <c r="B1907" s="2060"/>
      <c r="C1907" s="2060"/>
      <c r="D1907" s="2060"/>
      <c r="E1907" s="255"/>
      <c r="H1907" s="2060"/>
      <c r="I1907" s="2060"/>
      <c r="J1907" s="2060"/>
      <c r="K1907" s="2060"/>
      <c r="L1907" s="2060"/>
      <c r="M1907" s="2060"/>
      <c r="N1907" s="2060"/>
      <c r="O1907" s="2060"/>
      <c r="P1907" s="2060"/>
      <c r="Q1907" s="2060"/>
      <c r="R1907" s="2060"/>
    </row>
    <row r="1908" spans="2:18">
      <c r="B1908" s="2060"/>
      <c r="C1908" s="2060"/>
      <c r="D1908" s="2060"/>
      <c r="E1908" s="255"/>
      <c r="H1908" s="2060"/>
      <c r="I1908" s="2060"/>
      <c r="J1908" s="2060"/>
      <c r="K1908" s="2060"/>
      <c r="L1908" s="2060"/>
      <c r="M1908" s="2060"/>
      <c r="N1908" s="2060"/>
      <c r="O1908" s="2060"/>
      <c r="P1908" s="2060"/>
      <c r="Q1908" s="2060"/>
      <c r="R1908" s="2060"/>
    </row>
    <row r="1909" spans="2:18">
      <c r="B1909" s="2060"/>
      <c r="C1909" s="2060"/>
      <c r="D1909" s="2060"/>
      <c r="E1909" s="255"/>
      <c r="H1909" s="2060"/>
      <c r="I1909" s="2060"/>
      <c r="J1909" s="2060"/>
      <c r="K1909" s="2060"/>
      <c r="L1909" s="2060"/>
      <c r="M1909" s="2060"/>
      <c r="N1909" s="2060"/>
      <c r="O1909" s="2060"/>
      <c r="P1909" s="2060"/>
      <c r="Q1909" s="2060"/>
      <c r="R1909" s="2060"/>
    </row>
    <row r="1910" spans="2:18">
      <c r="B1910" s="2060"/>
      <c r="C1910" s="2060"/>
      <c r="D1910" s="2060"/>
      <c r="E1910" s="255"/>
      <c r="H1910" s="2060"/>
      <c r="I1910" s="2060"/>
      <c r="J1910" s="2060"/>
      <c r="K1910" s="2060"/>
      <c r="L1910" s="2060"/>
      <c r="M1910" s="2060"/>
      <c r="N1910" s="2060"/>
      <c r="O1910" s="2060"/>
      <c r="P1910" s="2060"/>
      <c r="Q1910" s="2060"/>
      <c r="R1910" s="2060"/>
    </row>
    <row r="1911" spans="2:18">
      <c r="B1911" s="2060"/>
      <c r="C1911" s="2060"/>
      <c r="D1911" s="2060"/>
      <c r="E1911" s="255"/>
      <c r="H1911" s="2060"/>
      <c r="I1911" s="2060"/>
      <c r="J1911" s="2060"/>
      <c r="K1911" s="2060"/>
      <c r="L1911" s="2060"/>
      <c r="M1911" s="2060"/>
      <c r="N1911" s="2060"/>
      <c r="O1911" s="2060"/>
      <c r="P1911" s="2060"/>
      <c r="Q1911" s="2060"/>
      <c r="R1911" s="2060"/>
    </row>
    <row r="1912" spans="2:18">
      <c r="B1912" s="2060"/>
      <c r="C1912" s="2060"/>
      <c r="D1912" s="2060"/>
      <c r="E1912" s="255"/>
      <c r="H1912" s="2060"/>
      <c r="I1912" s="2060"/>
      <c r="J1912" s="2060"/>
      <c r="K1912" s="2060"/>
      <c r="L1912" s="2060"/>
      <c r="M1912" s="2060"/>
      <c r="N1912" s="2060"/>
      <c r="O1912" s="2060"/>
      <c r="P1912" s="2060"/>
      <c r="Q1912" s="2060"/>
      <c r="R1912" s="2060"/>
    </row>
    <row r="1913" spans="2:18">
      <c r="B1913" s="2060"/>
      <c r="C1913" s="2060"/>
      <c r="D1913" s="2060"/>
      <c r="E1913" s="255"/>
      <c r="H1913" s="2060"/>
      <c r="I1913" s="2060"/>
      <c r="J1913" s="2060"/>
      <c r="K1913" s="2060"/>
      <c r="L1913" s="2060"/>
      <c r="M1913" s="2060"/>
      <c r="N1913" s="2060"/>
      <c r="O1913" s="2060"/>
      <c r="P1913" s="2060"/>
      <c r="Q1913" s="2060"/>
      <c r="R1913" s="2060"/>
    </row>
    <row r="1914" spans="2:18">
      <c r="B1914" s="2060"/>
      <c r="C1914" s="2060"/>
      <c r="D1914" s="2060"/>
      <c r="E1914" s="255"/>
      <c r="H1914" s="2060"/>
      <c r="I1914" s="2060"/>
      <c r="J1914" s="2060"/>
      <c r="K1914" s="2060"/>
      <c r="L1914" s="2060"/>
      <c r="M1914" s="2060"/>
      <c r="N1914" s="2060"/>
      <c r="O1914" s="2060"/>
      <c r="P1914" s="2060"/>
      <c r="Q1914" s="2060"/>
      <c r="R1914" s="2060"/>
    </row>
    <row r="1915" spans="2:18">
      <c r="B1915" s="2060"/>
      <c r="C1915" s="2060"/>
      <c r="D1915" s="2060"/>
      <c r="E1915" s="255"/>
      <c r="H1915" s="2060"/>
      <c r="I1915" s="2060"/>
      <c r="J1915" s="2060"/>
      <c r="K1915" s="2060"/>
      <c r="L1915" s="2060"/>
      <c r="M1915" s="2060"/>
      <c r="N1915" s="2060"/>
      <c r="O1915" s="2060"/>
      <c r="P1915" s="2060"/>
      <c r="Q1915" s="2060"/>
      <c r="R1915" s="2060"/>
    </row>
    <row r="1916" spans="2:18">
      <c r="B1916" s="2060"/>
      <c r="C1916" s="2060"/>
      <c r="D1916" s="2060"/>
      <c r="E1916" s="255"/>
      <c r="H1916" s="2060"/>
      <c r="I1916" s="2060"/>
      <c r="J1916" s="2060"/>
      <c r="K1916" s="2060"/>
      <c r="L1916" s="2060"/>
      <c r="M1916" s="2060"/>
      <c r="N1916" s="2060"/>
      <c r="O1916" s="2060"/>
      <c r="P1916" s="2060"/>
      <c r="Q1916" s="2060"/>
      <c r="R1916" s="2060"/>
    </row>
    <row r="1917" spans="2:18">
      <c r="B1917" s="2060"/>
      <c r="C1917" s="2060"/>
      <c r="D1917" s="2060"/>
      <c r="E1917" s="255"/>
      <c r="H1917" s="2060"/>
      <c r="I1917" s="2060"/>
      <c r="J1917" s="2060"/>
      <c r="K1917" s="2060"/>
      <c r="L1917" s="2060"/>
      <c r="M1917" s="2060"/>
      <c r="N1917" s="2060"/>
      <c r="O1917" s="2060"/>
      <c r="P1917" s="2060"/>
      <c r="Q1917" s="2060"/>
      <c r="R1917" s="2060"/>
    </row>
    <row r="1918" spans="2:18">
      <c r="B1918" s="2060"/>
      <c r="C1918" s="2060"/>
      <c r="D1918" s="2060"/>
      <c r="E1918" s="255"/>
      <c r="H1918" s="2060"/>
      <c r="I1918" s="2060"/>
      <c r="J1918" s="2060"/>
      <c r="K1918" s="2060"/>
      <c r="L1918" s="2060"/>
      <c r="M1918" s="2060"/>
      <c r="N1918" s="2060"/>
      <c r="O1918" s="2060"/>
      <c r="P1918" s="2060"/>
      <c r="Q1918" s="2060"/>
      <c r="R1918" s="2060"/>
    </row>
    <row r="1919" spans="2:18">
      <c r="B1919" s="2060"/>
      <c r="C1919" s="2060"/>
      <c r="D1919" s="2060"/>
      <c r="E1919" s="255"/>
      <c r="H1919" s="2060"/>
      <c r="I1919" s="2060"/>
      <c r="J1919" s="2060"/>
      <c r="K1919" s="2060"/>
      <c r="L1919" s="2060"/>
      <c r="M1919" s="2060"/>
      <c r="N1919" s="2060"/>
      <c r="O1919" s="2060"/>
      <c r="P1919" s="2060"/>
      <c r="Q1919" s="2060"/>
      <c r="R1919" s="2060"/>
    </row>
    <row r="1920" spans="2:18">
      <c r="B1920" s="2060"/>
      <c r="C1920" s="2060"/>
      <c r="D1920" s="2060"/>
      <c r="E1920" s="255"/>
      <c r="H1920" s="2060"/>
      <c r="I1920" s="2060"/>
      <c r="J1920" s="2060"/>
      <c r="K1920" s="2060"/>
      <c r="L1920" s="2060"/>
      <c r="M1920" s="2060"/>
      <c r="N1920" s="2060"/>
      <c r="O1920" s="2060"/>
      <c r="P1920" s="2060"/>
      <c r="Q1920" s="2060"/>
      <c r="R1920" s="2060"/>
    </row>
    <row r="1921" spans="2:18">
      <c r="B1921" s="2060"/>
      <c r="C1921" s="2060"/>
      <c r="D1921" s="2060"/>
      <c r="E1921" s="255"/>
      <c r="H1921" s="2060"/>
      <c r="I1921" s="2060"/>
      <c r="J1921" s="2060"/>
      <c r="K1921" s="2060"/>
      <c r="L1921" s="2060"/>
      <c r="M1921" s="2060"/>
      <c r="N1921" s="2060"/>
      <c r="O1921" s="2060"/>
      <c r="P1921" s="2060"/>
      <c r="Q1921" s="2060"/>
      <c r="R1921" s="2060"/>
    </row>
    <row r="1922" spans="2:18">
      <c r="B1922" s="2060"/>
      <c r="C1922" s="2060"/>
      <c r="D1922" s="2060"/>
      <c r="E1922" s="255"/>
      <c r="H1922" s="2060"/>
      <c r="I1922" s="2060"/>
      <c r="J1922" s="2060"/>
      <c r="K1922" s="2060"/>
      <c r="L1922" s="2060"/>
      <c r="M1922" s="2060"/>
      <c r="N1922" s="2060"/>
      <c r="O1922" s="2060"/>
      <c r="P1922" s="2060"/>
      <c r="Q1922" s="2060"/>
      <c r="R1922" s="2060"/>
    </row>
    <row r="1923" spans="2:18">
      <c r="B1923" s="2060"/>
      <c r="C1923" s="2060"/>
      <c r="D1923" s="2060"/>
      <c r="E1923" s="255"/>
      <c r="H1923" s="2060"/>
      <c r="I1923" s="2060"/>
      <c r="J1923" s="2060"/>
      <c r="K1923" s="2060"/>
      <c r="L1923" s="2060"/>
      <c r="M1923" s="2060"/>
      <c r="N1923" s="2060"/>
      <c r="O1923" s="2060"/>
      <c r="P1923" s="2060"/>
      <c r="Q1923" s="2060"/>
      <c r="R1923" s="2060"/>
    </row>
    <row r="1924" spans="2:18">
      <c r="B1924" s="2060"/>
      <c r="C1924" s="2060"/>
      <c r="D1924" s="2060"/>
      <c r="E1924" s="255"/>
      <c r="H1924" s="2060"/>
      <c r="I1924" s="2060"/>
      <c r="J1924" s="2060"/>
      <c r="K1924" s="2060"/>
      <c r="L1924" s="2060"/>
      <c r="M1924" s="2060"/>
      <c r="N1924" s="2060"/>
      <c r="O1924" s="2060"/>
      <c r="P1924" s="2060"/>
      <c r="Q1924" s="2060"/>
      <c r="R1924" s="2060"/>
    </row>
    <row r="1925" spans="2:18">
      <c r="B1925" s="2060"/>
      <c r="C1925" s="2060"/>
      <c r="D1925" s="2060"/>
      <c r="E1925" s="255"/>
      <c r="H1925" s="2060"/>
      <c r="I1925" s="2060"/>
      <c r="J1925" s="2060"/>
      <c r="K1925" s="2060"/>
      <c r="L1925" s="2060"/>
      <c r="M1925" s="2060"/>
      <c r="N1925" s="2060"/>
      <c r="O1925" s="2060"/>
      <c r="P1925" s="2060"/>
      <c r="Q1925" s="2060"/>
      <c r="R1925" s="2060"/>
    </row>
    <row r="1926" spans="2:18">
      <c r="B1926" s="2060"/>
      <c r="C1926" s="2060"/>
      <c r="D1926" s="2060"/>
      <c r="E1926" s="255"/>
      <c r="H1926" s="2060"/>
      <c r="I1926" s="2060"/>
      <c r="J1926" s="2060"/>
      <c r="K1926" s="2060"/>
      <c r="L1926" s="2060"/>
      <c r="M1926" s="2060"/>
      <c r="N1926" s="2060"/>
      <c r="O1926" s="2060"/>
      <c r="P1926" s="2060"/>
      <c r="Q1926" s="2060"/>
      <c r="R1926" s="2060"/>
    </row>
    <row r="1927" spans="2:18">
      <c r="B1927" s="2060"/>
      <c r="C1927" s="2060"/>
      <c r="D1927" s="2060"/>
      <c r="E1927" s="255"/>
      <c r="H1927" s="2060"/>
      <c r="I1927" s="2060"/>
      <c r="J1927" s="2060"/>
      <c r="K1927" s="2060"/>
      <c r="L1927" s="2060"/>
      <c r="M1927" s="2060"/>
      <c r="N1927" s="2060"/>
      <c r="O1927" s="2060"/>
      <c r="P1927" s="2060"/>
      <c r="Q1927" s="2060"/>
      <c r="R1927" s="2060"/>
    </row>
    <row r="1928" spans="2:18">
      <c r="B1928" s="2060"/>
      <c r="C1928" s="2060"/>
      <c r="D1928" s="2060"/>
      <c r="E1928" s="255"/>
      <c r="H1928" s="2060"/>
      <c r="I1928" s="2060"/>
      <c r="J1928" s="2060"/>
      <c r="K1928" s="2060"/>
      <c r="L1928" s="2060"/>
      <c r="M1928" s="2060"/>
      <c r="N1928" s="2060"/>
      <c r="O1928" s="2060"/>
      <c r="P1928" s="2060"/>
      <c r="Q1928" s="2060"/>
      <c r="R1928" s="2060"/>
    </row>
    <row r="1929" spans="2:18">
      <c r="B1929" s="2060"/>
      <c r="C1929" s="2060"/>
      <c r="D1929" s="2060"/>
      <c r="E1929" s="255"/>
      <c r="H1929" s="2060"/>
      <c r="I1929" s="2060"/>
      <c r="J1929" s="2060"/>
      <c r="K1929" s="2060"/>
      <c r="L1929" s="2060"/>
      <c r="M1929" s="2060"/>
      <c r="N1929" s="2060"/>
      <c r="O1929" s="2060"/>
      <c r="P1929" s="2060"/>
      <c r="Q1929" s="2060"/>
      <c r="R1929" s="2060"/>
    </row>
    <row r="1930" spans="2:18">
      <c r="B1930" s="2060"/>
      <c r="C1930" s="2060"/>
      <c r="D1930" s="2060"/>
      <c r="E1930" s="255"/>
      <c r="H1930" s="2060"/>
      <c r="I1930" s="2060"/>
      <c r="J1930" s="2060"/>
      <c r="K1930" s="2060"/>
      <c r="L1930" s="2060"/>
      <c r="M1930" s="2060"/>
      <c r="N1930" s="2060"/>
      <c r="O1930" s="2060"/>
      <c r="P1930" s="2060"/>
      <c r="Q1930" s="2060"/>
      <c r="R1930" s="2060"/>
    </row>
    <row r="1931" spans="2:18">
      <c r="B1931" s="2060"/>
      <c r="C1931" s="2060"/>
      <c r="D1931" s="2060"/>
      <c r="E1931" s="255"/>
      <c r="H1931" s="2060"/>
      <c r="I1931" s="2060"/>
      <c r="J1931" s="2060"/>
      <c r="K1931" s="2060"/>
      <c r="L1931" s="2060"/>
      <c r="M1931" s="2060"/>
      <c r="N1931" s="2060"/>
      <c r="O1931" s="2060"/>
      <c r="P1931" s="2060"/>
      <c r="Q1931" s="2060"/>
      <c r="R1931" s="2060"/>
    </row>
    <row r="1932" spans="2:18">
      <c r="B1932" s="2060"/>
      <c r="C1932" s="2060"/>
      <c r="D1932" s="2060"/>
      <c r="E1932" s="255"/>
      <c r="H1932" s="2060"/>
      <c r="I1932" s="2060"/>
      <c r="J1932" s="2060"/>
      <c r="K1932" s="2060"/>
      <c r="L1932" s="2060"/>
      <c r="M1932" s="2060"/>
      <c r="N1932" s="2060"/>
      <c r="O1932" s="2060"/>
      <c r="P1932" s="2060"/>
      <c r="Q1932" s="2060"/>
      <c r="R1932" s="2060"/>
    </row>
    <row r="1933" spans="2:18">
      <c r="B1933" s="2060"/>
      <c r="C1933" s="2060"/>
      <c r="D1933" s="2060"/>
      <c r="E1933" s="255"/>
      <c r="H1933" s="2060"/>
      <c r="I1933" s="2060"/>
      <c r="J1933" s="2060"/>
      <c r="K1933" s="2060"/>
      <c r="L1933" s="2060"/>
      <c r="M1933" s="2060"/>
      <c r="N1933" s="2060"/>
      <c r="O1933" s="2060"/>
      <c r="P1933" s="2060"/>
      <c r="Q1933" s="2060"/>
      <c r="R1933" s="2060"/>
    </row>
    <row r="1934" spans="2:18">
      <c r="B1934" s="2060"/>
      <c r="C1934" s="2060"/>
      <c r="D1934" s="2060"/>
      <c r="E1934" s="255"/>
      <c r="H1934" s="2060"/>
      <c r="I1934" s="2060"/>
      <c r="J1934" s="2060"/>
      <c r="K1934" s="2060"/>
      <c r="L1934" s="2060"/>
      <c r="M1934" s="2060"/>
      <c r="N1934" s="2060"/>
      <c r="O1934" s="2060"/>
      <c r="P1934" s="2060"/>
      <c r="Q1934" s="2060"/>
      <c r="R1934" s="2060"/>
    </row>
    <row r="1935" spans="2:18">
      <c r="B1935" s="2060"/>
      <c r="C1935" s="2060"/>
      <c r="D1935" s="2060"/>
      <c r="E1935" s="255"/>
      <c r="H1935" s="2060"/>
      <c r="I1935" s="2060"/>
      <c r="J1935" s="2060"/>
      <c r="K1935" s="2060"/>
      <c r="L1935" s="2060"/>
      <c r="M1935" s="2060"/>
      <c r="N1935" s="2060"/>
      <c r="O1935" s="2060"/>
      <c r="P1935" s="2060"/>
      <c r="Q1935" s="2060"/>
      <c r="R1935" s="2060"/>
    </row>
    <row r="1936" spans="2:18">
      <c r="B1936" s="2060"/>
      <c r="C1936" s="2060"/>
      <c r="D1936" s="2060"/>
      <c r="E1936" s="255"/>
      <c r="H1936" s="2060"/>
      <c r="I1936" s="2060"/>
      <c r="J1936" s="2060"/>
      <c r="K1936" s="2060"/>
      <c r="L1936" s="2060"/>
      <c r="M1936" s="2060"/>
      <c r="N1936" s="2060"/>
      <c r="O1936" s="2060"/>
      <c r="P1936" s="2060"/>
      <c r="Q1936" s="2060"/>
      <c r="R1936" s="2060"/>
    </row>
    <row r="1937" spans="2:18">
      <c r="B1937" s="2060"/>
      <c r="C1937" s="2060"/>
      <c r="D1937" s="2060"/>
      <c r="E1937" s="255"/>
      <c r="H1937" s="2060"/>
      <c r="I1937" s="2060"/>
      <c r="J1937" s="2060"/>
      <c r="K1937" s="2060"/>
      <c r="L1937" s="2060"/>
      <c r="M1937" s="2060"/>
      <c r="N1937" s="2060"/>
      <c r="O1937" s="2060"/>
      <c r="P1937" s="2060"/>
      <c r="Q1937" s="2060"/>
      <c r="R1937" s="2060"/>
    </row>
    <row r="1938" spans="2:18">
      <c r="B1938" s="2060"/>
      <c r="C1938" s="2060"/>
      <c r="D1938" s="2060"/>
      <c r="E1938" s="255"/>
      <c r="H1938" s="2060"/>
      <c r="I1938" s="2060"/>
      <c r="J1938" s="2060"/>
      <c r="K1938" s="2060"/>
      <c r="L1938" s="2060"/>
      <c r="M1938" s="2060"/>
      <c r="N1938" s="2060"/>
      <c r="O1938" s="2060"/>
      <c r="P1938" s="2060"/>
      <c r="Q1938" s="2060"/>
      <c r="R1938" s="2060"/>
    </row>
    <row r="1939" spans="2:18">
      <c r="B1939" s="2060"/>
      <c r="C1939" s="2060"/>
      <c r="D1939" s="2060"/>
      <c r="E1939" s="255"/>
      <c r="H1939" s="2060"/>
      <c r="I1939" s="2060"/>
      <c r="J1939" s="2060"/>
      <c r="K1939" s="2060"/>
      <c r="L1939" s="2060"/>
      <c r="M1939" s="2060"/>
      <c r="N1939" s="2060"/>
      <c r="O1939" s="2060"/>
      <c r="P1939" s="2060"/>
      <c r="Q1939" s="2060"/>
      <c r="R1939" s="2060"/>
    </row>
    <row r="1940" spans="2:18">
      <c r="B1940" s="2060"/>
      <c r="C1940" s="2060"/>
      <c r="D1940" s="2060"/>
      <c r="E1940" s="255"/>
      <c r="H1940" s="2060"/>
      <c r="I1940" s="2060"/>
      <c r="J1940" s="2060"/>
      <c r="K1940" s="2060"/>
      <c r="L1940" s="2060"/>
      <c r="M1940" s="2060"/>
      <c r="N1940" s="2060"/>
      <c r="O1940" s="2060"/>
      <c r="P1940" s="2060"/>
      <c r="Q1940" s="2060"/>
      <c r="R1940" s="2060"/>
    </row>
    <row r="1941" spans="2:18">
      <c r="B1941" s="2060"/>
      <c r="C1941" s="2060"/>
      <c r="D1941" s="2060"/>
      <c r="E1941" s="255"/>
      <c r="H1941" s="2060"/>
      <c r="I1941" s="2060"/>
      <c r="J1941" s="2060"/>
      <c r="K1941" s="2060"/>
      <c r="L1941" s="2060"/>
      <c r="M1941" s="2060"/>
      <c r="N1941" s="2060"/>
      <c r="O1941" s="2060"/>
      <c r="P1941" s="2060"/>
      <c r="Q1941" s="2060"/>
      <c r="R1941" s="2060"/>
    </row>
    <row r="1942" spans="2:18">
      <c r="B1942" s="2060"/>
      <c r="C1942" s="2060"/>
      <c r="D1942" s="2060"/>
      <c r="E1942" s="255"/>
      <c r="H1942" s="2060"/>
      <c r="I1942" s="2060"/>
      <c r="J1942" s="2060"/>
      <c r="K1942" s="2060"/>
      <c r="L1942" s="2060"/>
      <c r="M1942" s="2060"/>
      <c r="N1942" s="2060"/>
      <c r="O1942" s="2060"/>
      <c r="P1942" s="2060"/>
      <c r="Q1942" s="2060"/>
      <c r="R1942" s="2060"/>
    </row>
    <row r="1943" spans="2:18">
      <c r="B1943" s="2060"/>
      <c r="C1943" s="2060"/>
      <c r="D1943" s="2060"/>
      <c r="E1943" s="255"/>
      <c r="H1943" s="2060"/>
      <c r="I1943" s="2060"/>
      <c r="J1943" s="2060"/>
      <c r="K1943" s="2060"/>
      <c r="L1943" s="2060"/>
      <c r="M1943" s="2060"/>
      <c r="N1943" s="2060"/>
      <c r="O1943" s="2060"/>
      <c r="P1943" s="2060"/>
      <c r="Q1943" s="2060"/>
      <c r="R1943" s="2060"/>
    </row>
    <row r="1944" spans="2:18">
      <c r="B1944" s="2060"/>
      <c r="C1944" s="2060"/>
      <c r="D1944" s="2060"/>
      <c r="E1944" s="255"/>
      <c r="H1944" s="2060"/>
      <c r="I1944" s="2060"/>
      <c r="J1944" s="2060"/>
      <c r="K1944" s="2060"/>
      <c r="L1944" s="2060"/>
      <c r="M1944" s="2060"/>
      <c r="N1944" s="2060"/>
      <c r="O1944" s="2060"/>
      <c r="P1944" s="2060"/>
      <c r="Q1944" s="2060"/>
      <c r="R1944" s="2060"/>
    </row>
    <row r="1945" spans="2:18">
      <c r="B1945" s="2060"/>
      <c r="C1945" s="2060"/>
      <c r="D1945" s="2060"/>
      <c r="E1945" s="255"/>
      <c r="H1945" s="2060"/>
      <c r="I1945" s="2060"/>
      <c r="J1945" s="2060"/>
      <c r="K1945" s="2060"/>
      <c r="L1945" s="2060"/>
      <c r="M1945" s="2060"/>
      <c r="N1945" s="2060"/>
      <c r="O1945" s="2060"/>
      <c r="P1945" s="2060"/>
      <c r="Q1945" s="2060"/>
      <c r="R1945" s="2060"/>
    </row>
    <row r="1946" spans="2:18">
      <c r="B1946" s="2060"/>
      <c r="C1946" s="2060"/>
      <c r="D1946" s="2060"/>
      <c r="E1946" s="255"/>
      <c r="H1946" s="2060"/>
      <c r="I1946" s="2060"/>
      <c r="J1946" s="2060"/>
      <c r="K1946" s="2060"/>
      <c r="L1946" s="2060"/>
      <c r="M1946" s="2060"/>
      <c r="N1946" s="2060"/>
      <c r="O1946" s="2060"/>
      <c r="P1946" s="2060"/>
      <c r="Q1946" s="2060"/>
      <c r="R1946" s="2060"/>
    </row>
    <row r="1947" spans="2:18">
      <c r="B1947" s="2060"/>
      <c r="C1947" s="2060"/>
      <c r="D1947" s="2060"/>
      <c r="E1947" s="255"/>
      <c r="H1947" s="2060"/>
      <c r="I1947" s="2060"/>
      <c r="J1947" s="2060"/>
      <c r="K1947" s="2060"/>
      <c r="L1947" s="2060"/>
      <c r="M1947" s="2060"/>
      <c r="N1947" s="2060"/>
      <c r="O1947" s="2060"/>
      <c r="P1947" s="2060"/>
      <c r="Q1947" s="2060"/>
      <c r="R1947" s="2060"/>
    </row>
    <row r="1948" spans="2:18">
      <c r="B1948" s="2060"/>
      <c r="C1948" s="2060"/>
      <c r="D1948" s="2060"/>
      <c r="E1948" s="255"/>
      <c r="H1948" s="2060"/>
      <c r="I1948" s="2060"/>
      <c r="J1948" s="2060"/>
      <c r="K1948" s="2060"/>
      <c r="L1948" s="2060"/>
      <c r="M1948" s="2060"/>
      <c r="N1948" s="2060"/>
      <c r="O1948" s="2060"/>
      <c r="P1948" s="2060"/>
      <c r="Q1948" s="2060"/>
      <c r="R1948" s="2060"/>
    </row>
    <row r="1949" spans="2:18">
      <c r="B1949" s="2060"/>
      <c r="C1949" s="2060"/>
      <c r="D1949" s="2060"/>
      <c r="E1949" s="255"/>
      <c r="H1949" s="2060"/>
      <c r="I1949" s="2060"/>
      <c r="J1949" s="2060"/>
      <c r="K1949" s="2060"/>
      <c r="L1949" s="2060"/>
      <c r="M1949" s="2060"/>
      <c r="N1949" s="2060"/>
      <c r="O1949" s="2060"/>
      <c r="P1949" s="2060"/>
      <c r="Q1949" s="2060"/>
      <c r="R1949" s="2060"/>
    </row>
    <row r="1950" spans="2:18">
      <c r="B1950" s="2060"/>
      <c r="C1950" s="2060"/>
      <c r="D1950" s="2060"/>
      <c r="E1950" s="255"/>
      <c r="H1950" s="2060"/>
      <c r="I1950" s="2060"/>
      <c r="J1950" s="2060"/>
      <c r="K1950" s="2060"/>
      <c r="L1950" s="2060"/>
      <c r="M1950" s="2060"/>
      <c r="N1950" s="2060"/>
      <c r="O1950" s="2060"/>
      <c r="P1950" s="2060"/>
      <c r="Q1950" s="2060"/>
      <c r="R1950" s="2060"/>
    </row>
    <row r="1951" spans="2:18">
      <c r="B1951" s="2060"/>
      <c r="C1951" s="2060"/>
      <c r="D1951" s="2060"/>
      <c r="E1951" s="255"/>
      <c r="H1951" s="2060"/>
      <c r="I1951" s="2060"/>
      <c r="J1951" s="2060"/>
      <c r="K1951" s="2060"/>
      <c r="L1951" s="2060"/>
      <c r="M1951" s="2060"/>
      <c r="N1951" s="2060"/>
      <c r="O1951" s="2060"/>
      <c r="P1951" s="2060"/>
      <c r="Q1951" s="2060"/>
      <c r="R1951" s="2060"/>
    </row>
    <row r="1952" spans="2:18">
      <c r="B1952" s="2060"/>
      <c r="C1952" s="2060"/>
      <c r="D1952" s="2060"/>
      <c r="E1952" s="255"/>
      <c r="H1952" s="2060"/>
      <c r="I1952" s="2060"/>
      <c r="J1952" s="2060"/>
      <c r="K1952" s="2060"/>
      <c r="L1952" s="2060"/>
      <c r="M1952" s="2060"/>
      <c r="N1952" s="2060"/>
      <c r="O1952" s="2060"/>
      <c r="P1952" s="2060"/>
      <c r="Q1952" s="2060"/>
      <c r="R1952" s="2060"/>
    </row>
    <row r="1953" spans="2:18">
      <c r="B1953" s="2060"/>
      <c r="C1953" s="2060"/>
      <c r="D1953" s="2060"/>
      <c r="E1953" s="255"/>
      <c r="H1953" s="2060"/>
      <c r="I1953" s="2060"/>
      <c r="J1953" s="2060"/>
      <c r="K1953" s="2060"/>
      <c r="L1953" s="2060"/>
      <c r="M1953" s="2060"/>
      <c r="N1953" s="2060"/>
      <c r="O1953" s="2060"/>
      <c r="P1953" s="2060"/>
      <c r="Q1953" s="2060"/>
      <c r="R1953" s="2060"/>
    </row>
    <row r="1954" spans="2:18">
      <c r="B1954" s="2060"/>
      <c r="C1954" s="2060"/>
      <c r="D1954" s="2060"/>
      <c r="E1954" s="255"/>
      <c r="H1954" s="2060"/>
      <c r="I1954" s="2060"/>
      <c r="J1954" s="2060"/>
      <c r="K1954" s="2060"/>
      <c r="L1954" s="2060"/>
      <c r="M1954" s="2060"/>
      <c r="N1954" s="2060"/>
      <c r="O1954" s="2060"/>
      <c r="P1954" s="2060"/>
      <c r="Q1954" s="2060"/>
      <c r="R1954" s="2060"/>
    </row>
    <row r="1955" spans="2:18">
      <c r="B1955" s="2060"/>
      <c r="C1955" s="2060"/>
      <c r="D1955" s="2060"/>
      <c r="E1955" s="255"/>
      <c r="H1955" s="2060"/>
      <c r="I1955" s="2060"/>
      <c r="J1955" s="2060"/>
      <c r="K1955" s="2060"/>
      <c r="L1955" s="2060"/>
      <c r="M1955" s="2060"/>
      <c r="N1955" s="2060"/>
      <c r="O1955" s="2060"/>
      <c r="P1955" s="2060"/>
      <c r="Q1955" s="2060"/>
      <c r="R1955" s="2060"/>
    </row>
    <row r="1956" spans="2:18">
      <c r="B1956" s="2060"/>
      <c r="C1956" s="2060"/>
      <c r="D1956" s="2060"/>
      <c r="E1956" s="255"/>
      <c r="H1956" s="2060"/>
      <c r="I1956" s="2060"/>
      <c r="J1956" s="2060"/>
      <c r="K1956" s="2060"/>
      <c r="L1956" s="2060"/>
      <c r="M1956" s="2060"/>
      <c r="N1956" s="2060"/>
      <c r="O1956" s="2060"/>
      <c r="P1956" s="2060"/>
      <c r="Q1956" s="2060"/>
      <c r="R1956" s="2060"/>
    </row>
    <row r="1957" spans="2:18">
      <c r="B1957" s="2060"/>
      <c r="C1957" s="2060"/>
      <c r="D1957" s="2060"/>
      <c r="E1957" s="255"/>
      <c r="H1957" s="2060"/>
      <c r="I1957" s="2060"/>
      <c r="J1957" s="2060"/>
      <c r="K1957" s="2060"/>
      <c r="L1957" s="2060"/>
      <c r="M1957" s="2060"/>
      <c r="N1957" s="2060"/>
      <c r="O1957" s="2060"/>
      <c r="P1957" s="2060"/>
      <c r="Q1957" s="2060"/>
      <c r="R1957" s="2060"/>
    </row>
    <row r="1958" spans="2:18">
      <c r="B1958" s="2060"/>
      <c r="C1958" s="2060"/>
      <c r="D1958" s="2060"/>
      <c r="E1958" s="255"/>
      <c r="H1958" s="2060"/>
      <c r="I1958" s="2060"/>
      <c r="J1958" s="2060"/>
      <c r="K1958" s="2060"/>
      <c r="L1958" s="2060"/>
      <c r="M1958" s="2060"/>
      <c r="N1958" s="2060"/>
      <c r="O1958" s="2060"/>
      <c r="P1958" s="2060"/>
      <c r="Q1958" s="2060"/>
      <c r="R1958" s="2060"/>
    </row>
    <row r="1959" spans="2:18">
      <c r="B1959" s="2060"/>
      <c r="C1959" s="2060"/>
      <c r="D1959" s="2060"/>
      <c r="E1959" s="255"/>
      <c r="H1959" s="2060"/>
      <c r="I1959" s="2060"/>
      <c r="J1959" s="2060"/>
      <c r="K1959" s="2060"/>
      <c r="L1959" s="2060"/>
      <c r="M1959" s="2060"/>
      <c r="N1959" s="2060"/>
      <c r="O1959" s="2060"/>
      <c r="P1959" s="2060"/>
      <c r="Q1959" s="2060"/>
      <c r="R1959" s="2060"/>
    </row>
    <row r="1960" spans="2:18">
      <c r="B1960" s="2060"/>
      <c r="C1960" s="2060"/>
      <c r="D1960" s="2060"/>
      <c r="E1960" s="255"/>
      <c r="H1960" s="2060"/>
      <c r="I1960" s="2060"/>
      <c r="J1960" s="2060"/>
      <c r="K1960" s="2060"/>
      <c r="L1960" s="2060"/>
      <c r="M1960" s="2060"/>
      <c r="N1960" s="2060"/>
      <c r="O1960" s="2060"/>
      <c r="P1960" s="2060"/>
      <c r="Q1960" s="2060"/>
      <c r="R1960" s="2060"/>
    </row>
    <row r="1961" spans="2:18">
      <c r="B1961" s="2060"/>
      <c r="C1961" s="2060"/>
      <c r="D1961" s="2060"/>
      <c r="E1961" s="255"/>
      <c r="H1961" s="2060"/>
      <c r="I1961" s="2060"/>
      <c r="J1961" s="2060"/>
      <c r="K1961" s="2060"/>
      <c r="L1961" s="2060"/>
      <c r="M1961" s="2060"/>
      <c r="N1961" s="2060"/>
      <c r="O1961" s="2060"/>
      <c r="P1961" s="2060"/>
      <c r="Q1961" s="2060"/>
      <c r="R1961" s="2060"/>
    </row>
    <row r="1962" spans="2:18">
      <c r="B1962" s="2060"/>
      <c r="C1962" s="2060"/>
      <c r="D1962" s="2060"/>
      <c r="E1962" s="255"/>
      <c r="H1962" s="2060"/>
      <c r="I1962" s="2060"/>
      <c r="J1962" s="2060"/>
      <c r="K1962" s="2060"/>
      <c r="L1962" s="2060"/>
      <c r="M1962" s="2060"/>
      <c r="N1962" s="2060"/>
      <c r="O1962" s="2060"/>
      <c r="P1962" s="2060"/>
      <c r="Q1962" s="2060"/>
      <c r="R1962" s="2060"/>
    </row>
    <row r="1963" spans="2:18">
      <c r="B1963" s="2060"/>
      <c r="C1963" s="2060"/>
      <c r="D1963" s="2060"/>
      <c r="E1963" s="255"/>
      <c r="H1963" s="2060"/>
      <c r="I1963" s="2060"/>
      <c r="J1963" s="2060"/>
      <c r="K1963" s="2060"/>
      <c r="L1963" s="2060"/>
      <c r="M1963" s="2060"/>
      <c r="N1963" s="2060"/>
      <c r="O1963" s="2060"/>
      <c r="P1963" s="2060"/>
      <c r="Q1963" s="2060"/>
      <c r="R1963" s="2060"/>
    </row>
    <row r="1964" spans="2:18">
      <c r="B1964" s="2060"/>
      <c r="C1964" s="2060"/>
      <c r="D1964" s="2060"/>
      <c r="E1964" s="255"/>
      <c r="H1964" s="2060"/>
      <c r="I1964" s="2060"/>
      <c r="J1964" s="2060"/>
      <c r="K1964" s="2060"/>
      <c r="L1964" s="2060"/>
      <c r="M1964" s="2060"/>
      <c r="N1964" s="2060"/>
      <c r="O1964" s="2060"/>
      <c r="P1964" s="2060"/>
      <c r="Q1964" s="2060"/>
      <c r="R1964" s="2060"/>
    </row>
    <row r="1965" spans="2:18">
      <c r="B1965" s="2060"/>
      <c r="C1965" s="2060"/>
      <c r="D1965" s="2060"/>
      <c r="E1965" s="255"/>
      <c r="H1965" s="2060"/>
      <c r="I1965" s="2060"/>
      <c r="J1965" s="2060"/>
      <c r="K1965" s="2060"/>
      <c r="L1965" s="2060"/>
      <c r="M1965" s="2060"/>
      <c r="N1965" s="2060"/>
      <c r="O1965" s="2060"/>
      <c r="P1965" s="2060"/>
      <c r="Q1965" s="2060"/>
      <c r="R1965" s="2060"/>
    </row>
    <row r="1966" spans="2:18">
      <c r="B1966" s="2060"/>
      <c r="C1966" s="2060"/>
      <c r="D1966" s="2060"/>
      <c r="E1966" s="255"/>
      <c r="H1966" s="2060"/>
      <c r="I1966" s="2060"/>
      <c r="J1966" s="2060"/>
      <c r="K1966" s="2060"/>
      <c r="L1966" s="2060"/>
      <c r="M1966" s="2060"/>
      <c r="N1966" s="2060"/>
      <c r="O1966" s="2060"/>
      <c r="P1966" s="2060"/>
      <c r="Q1966" s="2060"/>
      <c r="R1966" s="2060"/>
    </row>
    <row r="1967" spans="2:18">
      <c r="B1967" s="2060"/>
      <c r="C1967" s="2060"/>
      <c r="D1967" s="2060"/>
      <c r="E1967" s="255"/>
      <c r="H1967" s="2060"/>
      <c r="I1967" s="2060"/>
      <c r="J1967" s="2060"/>
      <c r="K1967" s="2060"/>
      <c r="L1967" s="2060"/>
      <c r="M1967" s="2060"/>
      <c r="N1967" s="2060"/>
      <c r="O1967" s="2060"/>
      <c r="P1967" s="2060"/>
      <c r="Q1967" s="2060"/>
      <c r="R1967" s="2060"/>
    </row>
    <row r="1968" spans="2:18">
      <c r="B1968" s="2060"/>
      <c r="C1968" s="2060"/>
      <c r="D1968" s="2060"/>
      <c r="E1968" s="255"/>
      <c r="H1968" s="2060"/>
      <c r="I1968" s="2060"/>
      <c r="J1968" s="2060"/>
      <c r="K1968" s="2060"/>
      <c r="L1968" s="2060"/>
      <c r="M1968" s="2060"/>
      <c r="N1968" s="2060"/>
      <c r="O1968" s="2060"/>
      <c r="P1968" s="2060"/>
      <c r="Q1968" s="2060"/>
      <c r="R1968" s="2060"/>
    </row>
    <row r="1969" spans="2:18">
      <c r="B1969" s="2060"/>
      <c r="C1969" s="2060"/>
      <c r="D1969" s="2060"/>
      <c r="E1969" s="255"/>
      <c r="H1969" s="2060"/>
      <c r="I1969" s="2060"/>
      <c r="J1969" s="2060"/>
      <c r="K1969" s="2060"/>
      <c r="L1969" s="2060"/>
      <c r="M1969" s="2060"/>
      <c r="N1969" s="2060"/>
      <c r="O1969" s="2060"/>
      <c r="P1969" s="2060"/>
      <c r="Q1969" s="2060"/>
      <c r="R1969" s="2060"/>
    </row>
    <row r="1970" spans="2:18">
      <c r="B1970" s="2060"/>
      <c r="C1970" s="2060"/>
      <c r="D1970" s="2060"/>
      <c r="E1970" s="255"/>
      <c r="H1970" s="2060"/>
      <c r="I1970" s="2060"/>
      <c r="J1970" s="2060"/>
      <c r="K1970" s="2060"/>
      <c r="L1970" s="2060"/>
      <c r="M1970" s="2060"/>
      <c r="N1970" s="2060"/>
      <c r="O1970" s="2060"/>
      <c r="P1970" s="2060"/>
      <c r="Q1970" s="2060"/>
      <c r="R1970" s="2060"/>
    </row>
    <row r="1971" spans="2:18">
      <c r="B1971" s="2060"/>
      <c r="C1971" s="2060"/>
      <c r="D1971" s="2060"/>
      <c r="E1971" s="255"/>
      <c r="H1971" s="2060"/>
      <c r="I1971" s="2060"/>
      <c r="J1971" s="2060"/>
      <c r="K1971" s="2060"/>
      <c r="L1971" s="2060"/>
      <c r="M1971" s="2060"/>
      <c r="N1971" s="2060"/>
      <c r="O1971" s="2060"/>
      <c r="P1971" s="2060"/>
      <c r="Q1971" s="2060"/>
      <c r="R1971" s="2060"/>
    </row>
    <row r="1972" spans="2:18">
      <c r="B1972" s="2060"/>
      <c r="C1972" s="2060"/>
      <c r="D1972" s="2060"/>
      <c r="E1972" s="255"/>
      <c r="H1972" s="2060"/>
      <c r="I1972" s="2060"/>
      <c r="J1972" s="2060"/>
      <c r="K1972" s="2060"/>
      <c r="L1972" s="2060"/>
      <c r="M1972" s="2060"/>
      <c r="N1972" s="2060"/>
      <c r="O1972" s="2060"/>
      <c r="P1972" s="2060"/>
      <c r="Q1972" s="2060"/>
      <c r="R1972" s="2060"/>
    </row>
    <row r="1973" spans="2:18">
      <c r="B1973" s="2060"/>
      <c r="C1973" s="2060"/>
      <c r="D1973" s="2060"/>
      <c r="E1973" s="255"/>
      <c r="H1973" s="2060"/>
      <c r="I1973" s="2060"/>
      <c r="J1973" s="2060"/>
      <c r="K1973" s="2060"/>
      <c r="L1973" s="2060"/>
      <c r="M1973" s="2060"/>
      <c r="N1973" s="2060"/>
      <c r="O1973" s="2060"/>
      <c r="P1973" s="2060"/>
      <c r="Q1973" s="2060"/>
      <c r="R1973" s="2060"/>
    </row>
    <row r="1974" spans="2:18">
      <c r="B1974" s="2060"/>
      <c r="C1974" s="2060"/>
      <c r="D1974" s="2060"/>
      <c r="E1974" s="255"/>
      <c r="H1974" s="2060"/>
      <c r="I1974" s="2060"/>
      <c r="J1974" s="2060"/>
      <c r="K1974" s="2060"/>
      <c r="L1974" s="2060"/>
      <c r="M1974" s="2060"/>
      <c r="N1974" s="2060"/>
      <c r="O1974" s="2060"/>
      <c r="P1974" s="2060"/>
      <c r="Q1974" s="2060"/>
      <c r="R1974" s="2060"/>
    </row>
    <row r="1975" spans="2:18">
      <c r="B1975" s="2060"/>
      <c r="C1975" s="2060"/>
      <c r="D1975" s="2060"/>
      <c r="E1975" s="255"/>
      <c r="H1975" s="2060"/>
      <c r="I1975" s="2060"/>
      <c r="J1975" s="2060"/>
      <c r="K1975" s="2060"/>
      <c r="L1975" s="2060"/>
      <c r="M1975" s="2060"/>
      <c r="N1975" s="2060"/>
      <c r="O1975" s="2060"/>
      <c r="P1975" s="2060"/>
      <c r="Q1975" s="2060"/>
      <c r="R1975" s="2060"/>
    </row>
    <row r="1976" spans="2:18">
      <c r="B1976" s="2060"/>
      <c r="C1976" s="2060"/>
      <c r="D1976" s="2060"/>
      <c r="E1976" s="255"/>
      <c r="H1976" s="2060"/>
      <c r="I1976" s="2060"/>
      <c r="J1976" s="2060"/>
      <c r="K1976" s="2060"/>
      <c r="L1976" s="2060"/>
      <c r="M1976" s="2060"/>
      <c r="N1976" s="2060"/>
      <c r="O1976" s="2060"/>
      <c r="P1976" s="2060"/>
      <c r="Q1976" s="2060"/>
      <c r="R1976" s="2060"/>
    </row>
    <row r="1977" spans="2:18">
      <c r="B1977" s="2060"/>
      <c r="C1977" s="2060"/>
      <c r="D1977" s="2060"/>
      <c r="E1977" s="255"/>
      <c r="H1977" s="2060"/>
      <c r="I1977" s="2060"/>
      <c r="J1977" s="2060"/>
      <c r="K1977" s="2060"/>
      <c r="L1977" s="2060"/>
      <c r="M1977" s="2060"/>
      <c r="N1977" s="2060"/>
      <c r="O1977" s="2060"/>
      <c r="P1977" s="2060"/>
      <c r="Q1977" s="2060"/>
      <c r="R1977" s="2060"/>
    </row>
    <row r="1978" spans="2:18">
      <c r="B1978" s="2060"/>
      <c r="C1978" s="2060"/>
      <c r="D1978" s="2060"/>
      <c r="E1978" s="255"/>
      <c r="H1978" s="2060"/>
      <c r="I1978" s="2060"/>
      <c r="J1978" s="2060"/>
      <c r="K1978" s="2060"/>
      <c r="L1978" s="2060"/>
      <c r="M1978" s="2060"/>
      <c r="N1978" s="2060"/>
      <c r="O1978" s="2060"/>
      <c r="P1978" s="2060"/>
      <c r="Q1978" s="2060"/>
      <c r="R1978" s="2060"/>
    </row>
    <row r="1979" spans="2:18">
      <c r="B1979" s="2060"/>
      <c r="C1979" s="2060"/>
      <c r="D1979" s="2060"/>
      <c r="E1979" s="255"/>
      <c r="H1979" s="2060"/>
      <c r="I1979" s="2060"/>
      <c r="J1979" s="2060"/>
      <c r="K1979" s="2060"/>
      <c r="L1979" s="2060"/>
      <c r="M1979" s="2060"/>
      <c r="N1979" s="2060"/>
      <c r="O1979" s="2060"/>
      <c r="P1979" s="2060"/>
      <c r="Q1979" s="2060"/>
      <c r="R1979" s="2060"/>
    </row>
    <row r="1980" spans="2:18">
      <c r="B1980" s="2060"/>
      <c r="C1980" s="2060"/>
      <c r="D1980" s="2060"/>
      <c r="E1980" s="255"/>
      <c r="H1980" s="2060"/>
      <c r="I1980" s="2060"/>
      <c r="J1980" s="2060"/>
      <c r="K1980" s="2060"/>
      <c r="L1980" s="2060"/>
      <c r="M1980" s="2060"/>
      <c r="N1980" s="2060"/>
      <c r="O1980" s="2060"/>
      <c r="P1980" s="2060"/>
      <c r="Q1980" s="2060"/>
      <c r="R1980" s="2060"/>
    </row>
    <row r="1981" spans="2:18">
      <c r="B1981" s="2060"/>
      <c r="C1981" s="2060"/>
      <c r="D1981" s="2060"/>
      <c r="E1981" s="255"/>
      <c r="H1981" s="2060"/>
      <c r="I1981" s="2060"/>
      <c r="J1981" s="2060"/>
      <c r="K1981" s="2060"/>
      <c r="L1981" s="2060"/>
      <c r="M1981" s="2060"/>
      <c r="N1981" s="2060"/>
      <c r="O1981" s="2060"/>
      <c r="P1981" s="2060"/>
      <c r="Q1981" s="2060"/>
      <c r="R1981" s="2060"/>
    </row>
    <row r="1982" spans="2:18">
      <c r="B1982" s="2060"/>
      <c r="C1982" s="2060"/>
      <c r="D1982" s="2060"/>
      <c r="E1982" s="255"/>
      <c r="H1982" s="2060"/>
      <c r="I1982" s="2060"/>
      <c r="J1982" s="2060"/>
      <c r="K1982" s="2060"/>
      <c r="L1982" s="2060"/>
      <c r="M1982" s="2060"/>
      <c r="N1982" s="2060"/>
      <c r="O1982" s="2060"/>
      <c r="P1982" s="2060"/>
      <c r="Q1982" s="2060"/>
      <c r="R1982" s="2060"/>
    </row>
    <row r="1983" spans="2:18">
      <c r="B1983" s="2060"/>
      <c r="C1983" s="2060"/>
      <c r="D1983" s="2060"/>
      <c r="E1983" s="255"/>
      <c r="H1983" s="2060"/>
      <c r="I1983" s="2060"/>
      <c r="J1983" s="2060"/>
      <c r="K1983" s="2060"/>
      <c r="L1983" s="2060"/>
      <c r="M1983" s="2060"/>
      <c r="N1983" s="2060"/>
      <c r="O1983" s="2060"/>
      <c r="P1983" s="2060"/>
      <c r="Q1983" s="2060"/>
      <c r="R1983" s="2060"/>
    </row>
    <row r="1984" spans="2:18">
      <c r="B1984" s="2060"/>
      <c r="C1984" s="2060"/>
      <c r="D1984" s="2060"/>
      <c r="E1984" s="255"/>
      <c r="H1984" s="2060"/>
      <c r="I1984" s="2060"/>
      <c r="J1984" s="2060"/>
      <c r="K1984" s="2060"/>
      <c r="L1984" s="2060"/>
      <c r="M1984" s="2060"/>
      <c r="N1984" s="2060"/>
      <c r="O1984" s="2060"/>
      <c r="P1984" s="2060"/>
      <c r="Q1984" s="2060"/>
      <c r="R1984" s="2060"/>
    </row>
    <row r="1985" spans="2:18">
      <c r="B1985" s="2060"/>
      <c r="C1985" s="2060"/>
      <c r="D1985" s="2060"/>
      <c r="E1985" s="255"/>
      <c r="H1985" s="2060"/>
      <c r="I1985" s="2060"/>
      <c r="J1985" s="2060"/>
      <c r="K1985" s="2060"/>
      <c r="L1985" s="2060"/>
      <c r="M1985" s="2060"/>
      <c r="N1985" s="2060"/>
      <c r="O1985" s="2060"/>
      <c r="P1985" s="2060"/>
      <c r="Q1985" s="2060"/>
      <c r="R1985" s="2060"/>
    </row>
    <row r="1986" spans="2:18">
      <c r="B1986" s="2060"/>
      <c r="C1986" s="2060"/>
      <c r="D1986" s="2060"/>
      <c r="E1986" s="255"/>
      <c r="H1986" s="2060"/>
      <c r="I1986" s="2060"/>
      <c r="J1986" s="2060"/>
      <c r="K1986" s="2060"/>
      <c r="L1986" s="2060"/>
      <c r="M1986" s="2060"/>
      <c r="N1986" s="2060"/>
      <c r="O1986" s="2060"/>
      <c r="P1986" s="2060"/>
      <c r="Q1986" s="2060"/>
      <c r="R1986" s="2060"/>
    </row>
    <row r="1987" spans="2:18">
      <c r="B1987" s="2060"/>
      <c r="C1987" s="2060"/>
      <c r="D1987" s="2060"/>
      <c r="E1987" s="255"/>
      <c r="H1987" s="2060"/>
      <c r="I1987" s="2060"/>
      <c r="J1987" s="2060"/>
      <c r="K1987" s="2060"/>
      <c r="L1987" s="2060"/>
      <c r="M1987" s="2060"/>
      <c r="N1987" s="2060"/>
      <c r="O1987" s="2060"/>
      <c r="P1987" s="2060"/>
      <c r="Q1987" s="2060"/>
      <c r="R1987" s="2060"/>
    </row>
    <row r="1988" spans="2:18">
      <c r="B1988" s="2060"/>
      <c r="C1988" s="2060"/>
      <c r="D1988" s="2060"/>
      <c r="E1988" s="255"/>
      <c r="H1988" s="2060"/>
      <c r="I1988" s="2060"/>
      <c r="J1988" s="2060"/>
      <c r="K1988" s="2060"/>
      <c r="L1988" s="2060"/>
      <c r="M1988" s="2060"/>
      <c r="N1988" s="2060"/>
      <c r="O1988" s="2060"/>
      <c r="P1988" s="2060"/>
      <c r="Q1988" s="2060"/>
      <c r="R1988" s="2060"/>
    </row>
    <row r="1989" spans="2:18">
      <c r="B1989" s="2060"/>
      <c r="C1989" s="2060"/>
      <c r="D1989" s="2060"/>
      <c r="E1989" s="255"/>
      <c r="H1989" s="2060"/>
      <c r="I1989" s="2060"/>
      <c r="J1989" s="2060"/>
      <c r="K1989" s="2060"/>
      <c r="L1989" s="2060"/>
      <c r="M1989" s="2060"/>
      <c r="N1989" s="2060"/>
      <c r="O1989" s="2060"/>
      <c r="P1989" s="2060"/>
      <c r="Q1989" s="2060"/>
      <c r="R1989" s="2060"/>
    </row>
    <row r="1990" spans="2:18">
      <c r="B1990" s="2060"/>
      <c r="C1990" s="2060"/>
      <c r="D1990" s="2060"/>
      <c r="E1990" s="255"/>
      <c r="H1990" s="2060"/>
      <c r="I1990" s="2060"/>
      <c r="J1990" s="2060"/>
      <c r="K1990" s="2060"/>
      <c r="L1990" s="2060"/>
      <c r="M1990" s="2060"/>
      <c r="N1990" s="2060"/>
      <c r="O1990" s="2060"/>
      <c r="P1990" s="2060"/>
      <c r="Q1990" s="2060"/>
      <c r="R1990" s="2060"/>
    </row>
    <row r="1991" spans="2:18">
      <c r="B1991" s="2060"/>
      <c r="C1991" s="2060"/>
      <c r="D1991" s="2060"/>
      <c r="E1991" s="255"/>
      <c r="H1991" s="2060"/>
      <c r="I1991" s="2060"/>
      <c r="J1991" s="2060"/>
      <c r="K1991" s="2060"/>
      <c r="L1991" s="2060"/>
      <c r="M1991" s="2060"/>
      <c r="N1991" s="2060"/>
      <c r="O1991" s="2060"/>
      <c r="P1991" s="2060"/>
      <c r="Q1991" s="2060"/>
      <c r="R1991" s="2060"/>
    </row>
    <row r="1992" spans="2:18">
      <c r="B1992" s="2060"/>
      <c r="C1992" s="2060"/>
      <c r="D1992" s="2060"/>
      <c r="E1992" s="255"/>
      <c r="H1992" s="2060"/>
      <c r="I1992" s="2060"/>
      <c r="J1992" s="2060"/>
      <c r="K1992" s="2060"/>
      <c r="L1992" s="2060"/>
      <c r="M1992" s="2060"/>
      <c r="N1992" s="2060"/>
      <c r="O1992" s="2060"/>
      <c r="P1992" s="2060"/>
      <c r="Q1992" s="2060"/>
      <c r="R1992" s="2060"/>
    </row>
    <row r="1993" spans="2:18">
      <c r="B1993" s="2060"/>
      <c r="C1993" s="2060"/>
      <c r="D1993" s="2060"/>
      <c r="E1993" s="255"/>
      <c r="H1993" s="2060"/>
      <c r="I1993" s="2060"/>
      <c r="J1993" s="2060"/>
      <c r="K1993" s="2060"/>
      <c r="L1993" s="2060"/>
      <c r="M1993" s="2060"/>
      <c r="N1993" s="2060"/>
      <c r="O1993" s="2060"/>
      <c r="P1993" s="2060"/>
      <c r="Q1993" s="2060"/>
      <c r="R1993" s="2060"/>
    </row>
    <row r="1994" spans="2:18">
      <c r="B1994" s="2060"/>
      <c r="C1994" s="2060"/>
      <c r="D1994" s="2060"/>
      <c r="E1994" s="255"/>
      <c r="H1994" s="2060"/>
      <c r="I1994" s="2060"/>
      <c r="J1994" s="2060"/>
      <c r="K1994" s="2060"/>
      <c r="L1994" s="2060"/>
      <c r="M1994" s="2060"/>
      <c r="N1994" s="2060"/>
      <c r="O1994" s="2060"/>
      <c r="P1994" s="2060"/>
      <c r="Q1994" s="2060"/>
      <c r="R1994" s="2060"/>
    </row>
    <row r="1995" spans="2:18">
      <c r="B1995" s="2060"/>
      <c r="C1995" s="2060"/>
      <c r="D1995" s="2060"/>
      <c r="E1995" s="255"/>
      <c r="H1995" s="2060"/>
      <c r="I1995" s="2060"/>
      <c r="J1995" s="2060"/>
      <c r="K1995" s="2060"/>
      <c r="L1995" s="2060"/>
      <c r="M1995" s="2060"/>
      <c r="N1995" s="2060"/>
      <c r="O1995" s="2060"/>
      <c r="P1995" s="2060"/>
      <c r="Q1995" s="2060"/>
      <c r="R1995" s="2060"/>
    </row>
    <row r="1996" spans="2:18">
      <c r="B1996" s="2060"/>
      <c r="C1996" s="2060"/>
      <c r="D1996" s="2060"/>
      <c r="E1996" s="255"/>
      <c r="H1996" s="2060"/>
      <c r="I1996" s="2060"/>
      <c r="J1996" s="2060"/>
      <c r="K1996" s="2060"/>
      <c r="L1996" s="2060"/>
      <c r="M1996" s="2060"/>
      <c r="N1996" s="2060"/>
      <c r="O1996" s="2060"/>
      <c r="P1996" s="2060"/>
      <c r="Q1996" s="2060"/>
      <c r="R1996" s="2060"/>
    </row>
    <row r="1997" spans="2:18">
      <c r="B1997" s="2060"/>
      <c r="C1997" s="2060"/>
      <c r="D1997" s="2060"/>
      <c r="E1997" s="255"/>
      <c r="H1997" s="2060"/>
      <c r="I1997" s="2060"/>
      <c r="J1997" s="2060"/>
      <c r="K1997" s="2060"/>
      <c r="L1997" s="2060"/>
      <c r="M1997" s="2060"/>
      <c r="N1997" s="2060"/>
      <c r="O1997" s="2060"/>
      <c r="P1997" s="2060"/>
      <c r="Q1997" s="2060"/>
      <c r="R1997" s="2060"/>
    </row>
    <row r="1998" spans="2:18">
      <c r="B1998" s="2060"/>
      <c r="C1998" s="2060"/>
      <c r="D1998" s="2060"/>
      <c r="E1998" s="255"/>
      <c r="H1998" s="2060"/>
      <c r="I1998" s="2060"/>
      <c r="J1998" s="2060"/>
      <c r="K1998" s="2060"/>
      <c r="L1998" s="2060"/>
      <c r="M1998" s="2060"/>
      <c r="N1998" s="2060"/>
      <c r="O1998" s="2060"/>
      <c r="P1998" s="2060"/>
      <c r="Q1998" s="2060"/>
      <c r="R1998" s="2060"/>
    </row>
    <row r="1999" spans="2:18">
      <c r="B1999" s="2060"/>
      <c r="C1999" s="2060"/>
      <c r="D1999" s="2060"/>
      <c r="E1999" s="255"/>
      <c r="H1999" s="2060"/>
      <c r="I1999" s="2060"/>
      <c r="J1999" s="2060"/>
      <c r="K1999" s="2060"/>
      <c r="L1999" s="2060"/>
      <c r="M1999" s="2060"/>
      <c r="N1999" s="2060"/>
      <c r="O1999" s="2060"/>
      <c r="P1999" s="2060"/>
      <c r="Q1999" s="2060"/>
      <c r="R1999" s="2060"/>
    </row>
    <row r="2000" spans="2:18">
      <c r="B2000" s="2060"/>
      <c r="C2000" s="2060"/>
      <c r="D2000" s="2060"/>
      <c r="E2000" s="255"/>
      <c r="H2000" s="2060"/>
      <c r="I2000" s="2060"/>
      <c r="J2000" s="2060"/>
      <c r="K2000" s="2060"/>
      <c r="L2000" s="2060"/>
      <c r="M2000" s="2060"/>
      <c r="N2000" s="2060"/>
      <c r="O2000" s="2060"/>
      <c r="P2000" s="2060"/>
      <c r="Q2000" s="2060"/>
      <c r="R2000" s="2060"/>
    </row>
    <row r="2001" spans="2:18">
      <c r="B2001" s="2060"/>
      <c r="C2001" s="2060"/>
      <c r="D2001" s="2060"/>
      <c r="E2001" s="255"/>
      <c r="H2001" s="2060"/>
      <c r="I2001" s="2060"/>
      <c r="J2001" s="2060"/>
      <c r="K2001" s="2060"/>
      <c r="L2001" s="2060"/>
      <c r="M2001" s="2060"/>
      <c r="N2001" s="2060"/>
      <c r="O2001" s="2060"/>
      <c r="P2001" s="2060"/>
      <c r="Q2001" s="2060"/>
      <c r="R2001" s="2060"/>
    </row>
    <row r="2002" spans="2:18">
      <c r="B2002" s="2060"/>
      <c r="C2002" s="2060"/>
      <c r="D2002" s="2060"/>
      <c r="E2002" s="255"/>
      <c r="H2002" s="2060"/>
      <c r="I2002" s="2060"/>
      <c r="J2002" s="2060"/>
      <c r="K2002" s="2060"/>
      <c r="L2002" s="2060"/>
      <c r="M2002" s="2060"/>
      <c r="N2002" s="2060"/>
      <c r="O2002" s="2060"/>
      <c r="P2002" s="2060"/>
      <c r="Q2002" s="2060"/>
      <c r="R2002" s="2060"/>
    </row>
    <row r="2003" spans="2:18">
      <c r="B2003" s="2060"/>
      <c r="C2003" s="2060"/>
      <c r="D2003" s="2060"/>
      <c r="E2003" s="255"/>
      <c r="H2003" s="2060"/>
      <c r="I2003" s="2060"/>
      <c r="J2003" s="2060"/>
      <c r="K2003" s="2060"/>
      <c r="L2003" s="2060"/>
      <c r="M2003" s="2060"/>
      <c r="N2003" s="2060"/>
      <c r="O2003" s="2060"/>
      <c r="P2003" s="2060"/>
      <c r="Q2003" s="2060"/>
      <c r="R2003" s="2060"/>
    </row>
    <row r="2004" spans="2:18">
      <c r="B2004" s="2060"/>
      <c r="C2004" s="2060"/>
      <c r="D2004" s="2060"/>
      <c r="E2004" s="255"/>
      <c r="H2004" s="2060"/>
      <c r="I2004" s="2060"/>
      <c r="J2004" s="2060"/>
      <c r="K2004" s="2060"/>
      <c r="L2004" s="2060"/>
      <c r="M2004" s="2060"/>
      <c r="N2004" s="2060"/>
      <c r="O2004" s="2060"/>
      <c r="P2004" s="2060"/>
      <c r="Q2004" s="2060"/>
      <c r="R2004" s="2060"/>
    </row>
    <row r="2005" spans="2:18">
      <c r="B2005" s="2060"/>
      <c r="C2005" s="2060"/>
      <c r="D2005" s="2060"/>
      <c r="E2005" s="255"/>
      <c r="H2005" s="2060"/>
      <c r="I2005" s="2060"/>
      <c r="J2005" s="2060"/>
      <c r="K2005" s="2060"/>
      <c r="L2005" s="2060"/>
      <c r="M2005" s="2060"/>
      <c r="N2005" s="2060"/>
      <c r="O2005" s="2060"/>
      <c r="P2005" s="2060"/>
      <c r="Q2005" s="2060"/>
      <c r="R2005" s="2060"/>
    </row>
    <row r="2006" spans="2:18">
      <c r="B2006" s="2060"/>
      <c r="C2006" s="2060"/>
      <c r="D2006" s="2060"/>
      <c r="E2006" s="255"/>
      <c r="H2006" s="2060"/>
      <c r="I2006" s="2060"/>
      <c r="J2006" s="2060"/>
      <c r="K2006" s="2060"/>
      <c r="L2006" s="2060"/>
      <c r="M2006" s="2060"/>
      <c r="N2006" s="2060"/>
      <c r="O2006" s="2060"/>
      <c r="P2006" s="2060"/>
      <c r="Q2006" s="2060"/>
      <c r="R2006" s="2060"/>
    </row>
    <row r="2007" spans="2:18">
      <c r="B2007" s="2060"/>
      <c r="C2007" s="2060"/>
      <c r="D2007" s="2060"/>
      <c r="E2007" s="255"/>
      <c r="H2007" s="2060"/>
      <c r="I2007" s="2060"/>
      <c r="J2007" s="2060"/>
      <c r="K2007" s="2060"/>
      <c r="L2007" s="2060"/>
      <c r="M2007" s="2060"/>
      <c r="N2007" s="2060"/>
      <c r="O2007" s="2060"/>
      <c r="P2007" s="2060"/>
      <c r="Q2007" s="2060"/>
      <c r="R2007" s="2060"/>
    </row>
    <row r="2008" spans="2:18">
      <c r="B2008" s="2060"/>
      <c r="C2008" s="2060"/>
      <c r="D2008" s="2060"/>
      <c r="E2008" s="255"/>
      <c r="H2008" s="2060"/>
      <c r="I2008" s="2060"/>
      <c r="J2008" s="2060"/>
      <c r="K2008" s="2060"/>
      <c r="L2008" s="2060"/>
      <c r="M2008" s="2060"/>
      <c r="N2008" s="2060"/>
      <c r="O2008" s="2060"/>
      <c r="P2008" s="2060"/>
      <c r="Q2008" s="2060"/>
      <c r="R2008" s="2060"/>
    </row>
    <row r="2009" spans="2:18">
      <c r="B2009" s="2060"/>
      <c r="C2009" s="2060"/>
      <c r="D2009" s="2060"/>
      <c r="E2009" s="255"/>
      <c r="H2009" s="2060"/>
      <c r="I2009" s="2060"/>
      <c r="J2009" s="2060"/>
      <c r="K2009" s="2060"/>
      <c r="L2009" s="2060"/>
      <c r="M2009" s="2060"/>
      <c r="N2009" s="2060"/>
      <c r="O2009" s="2060"/>
      <c r="P2009" s="2060"/>
      <c r="Q2009" s="2060"/>
      <c r="R2009" s="2060"/>
    </row>
    <row r="2010" spans="2:18">
      <c r="B2010" s="2060"/>
      <c r="C2010" s="2060"/>
      <c r="D2010" s="2060"/>
      <c r="E2010" s="255"/>
      <c r="H2010" s="2060"/>
      <c r="I2010" s="2060"/>
      <c r="J2010" s="2060"/>
      <c r="K2010" s="2060"/>
      <c r="L2010" s="2060"/>
      <c r="M2010" s="2060"/>
      <c r="N2010" s="2060"/>
      <c r="O2010" s="2060"/>
      <c r="P2010" s="2060"/>
      <c r="Q2010" s="2060"/>
      <c r="R2010" s="2060"/>
    </row>
    <row r="2011" spans="2:18">
      <c r="B2011" s="2060"/>
      <c r="C2011" s="2060"/>
      <c r="D2011" s="2060"/>
      <c r="E2011" s="255"/>
      <c r="H2011" s="2060"/>
      <c r="I2011" s="2060"/>
      <c r="J2011" s="2060"/>
      <c r="K2011" s="2060"/>
      <c r="L2011" s="2060"/>
      <c r="M2011" s="2060"/>
      <c r="N2011" s="2060"/>
      <c r="O2011" s="2060"/>
      <c r="P2011" s="2060"/>
      <c r="Q2011" s="2060"/>
      <c r="R2011" s="2060"/>
    </row>
    <row r="2012" spans="2:18">
      <c r="B2012" s="2060"/>
      <c r="C2012" s="2060"/>
      <c r="D2012" s="2060"/>
      <c r="E2012" s="255"/>
      <c r="H2012" s="2060"/>
      <c r="I2012" s="2060"/>
      <c r="J2012" s="2060"/>
      <c r="K2012" s="2060"/>
      <c r="L2012" s="2060"/>
      <c r="M2012" s="2060"/>
      <c r="N2012" s="2060"/>
      <c r="O2012" s="2060"/>
      <c r="P2012" s="2060"/>
      <c r="Q2012" s="2060"/>
      <c r="R2012" s="2060"/>
    </row>
    <row r="2013" spans="2:18">
      <c r="B2013" s="2060"/>
      <c r="C2013" s="2060"/>
      <c r="D2013" s="2060"/>
      <c r="E2013" s="255"/>
      <c r="H2013" s="2060"/>
      <c r="I2013" s="2060"/>
      <c r="J2013" s="2060"/>
      <c r="K2013" s="2060"/>
      <c r="L2013" s="2060"/>
      <c r="M2013" s="2060"/>
      <c r="N2013" s="2060"/>
      <c r="O2013" s="2060"/>
      <c r="P2013" s="2060"/>
      <c r="Q2013" s="2060"/>
      <c r="R2013" s="2060"/>
    </row>
    <row r="2014" spans="2:18">
      <c r="B2014" s="2060"/>
      <c r="C2014" s="2060"/>
      <c r="D2014" s="2060"/>
      <c r="E2014" s="255"/>
      <c r="H2014" s="2060"/>
      <c r="I2014" s="2060"/>
      <c r="J2014" s="2060"/>
      <c r="K2014" s="2060"/>
      <c r="L2014" s="2060"/>
      <c r="M2014" s="2060"/>
      <c r="N2014" s="2060"/>
      <c r="O2014" s="2060"/>
      <c r="P2014" s="2060"/>
      <c r="Q2014" s="2060"/>
      <c r="R2014" s="2060"/>
    </row>
    <row r="2015" spans="2:18">
      <c r="B2015" s="2060"/>
      <c r="C2015" s="2060"/>
      <c r="D2015" s="2060"/>
      <c r="E2015" s="255"/>
      <c r="H2015" s="2060"/>
      <c r="I2015" s="2060"/>
      <c r="J2015" s="2060"/>
      <c r="K2015" s="2060"/>
      <c r="L2015" s="2060"/>
      <c r="M2015" s="2060"/>
      <c r="N2015" s="2060"/>
      <c r="O2015" s="2060"/>
      <c r="P2015" s="2060"/>
      <c r="Q2015" s="2060"/>
      <c r="R2015" s="2060"/>
    </row>
    <row r="2016" spans="2:18">
      <c r="B2016" s="2060"/>
      <c r="C2016" s="2060"/>
      <c r="D2016" s="2060"/>
      <c r="E2016" s="255"/>
      <c r="H2016" s="2060"/>
      <c r="I2016" s="2060"/>
      <c r="J2016" s="2060"/>
      <c r="K2016" s="2060"/>
      <c r="L2016" s="2060"/>
      <c r="M2016" s="2060"/>
      <c r="N2016" s="2060"/>
      <c r="O2016" s="2060"/>
      <c r="P2016" s="2060"/>
      <c r="Q2016" s="2060"/>
      <c r="R2016" s="2060"/>
    </row>
    <row r="2017" spans="2:18">
      <c r="B2017" s="2060"/>
      <c r="C2017" s="2060"/>
      <c r="D2017" s="2060"/>
      <c r="E2017" s="255"/>
      <c r="H2017" s="2060"/>
      <c r="I2017" s="2060"/>
      <c r="J2017" s="2060"/>
      <c r="K2017" s="2060"/>
      <c r="L2017" s="2060"/>
      <c r="M2017" s="2060"/>
      <c r="N2017" s="2060"/>
      <c r="O2017" s="2060"/>
      <c r="P2017" s="2060"/>
      <c r="Q2017" s="2060"/>
      <c r="R2017" s="2060"/>
    </row>
    <row r="2018" spans="2:18">
      <c r="B2018" s="2060"/>
      <c r="C2018" s="2060"/>
      <c r="D2018" s="2060"/>
      <c r="E2018" s="255"/>
      <c r="H2018" s="2060"/>
      <c r="I2018" s="2060"/>
      <c r="J2018" s="2060"/>
      <c r="K2018" s="2060"/>
      <c r="L2018" s="2060"/>
      <c r="M2018" s="2060"/>
      <c r="N2018" s="2060"/>
      <c r="O2018" s="2060"/>
      <c r="P2018" s="2060"/>
      <c r="Q2018" s="2060"/>
      <c r="R2018" s="2060"/>
    </row>
    <row r="2019" spans="2:18">
      <c r="B2019" s="2060"/>
      <c r="C2019" s="2060"/>
      <c r="D2019" s="2060"/>
      <c r="E2019" s="255"/>
      <c r="H2019" s="2060"/>
      <c r="I2019" s="2060"/>
      <c r="J2019" s="2060"/>
      <c r="K2019" s="2060"/>
      <c r="L2019" s="2060"/>
      <c r="M2019" s="2060"/>
      <c r="N2019" s="2060"/>
      <c r="O2019" s="2060"/>
      <c r="P2019" s="2060"/>
      <c r="Q2019" s="2060"/>
      <c r="R2019" s="2060"/>
    </row>
    <row r="2020" spans="2:18">
      <c r="B2020" s="2060"/>
      <c r="C2020" s="2060"/>
      <c r="D2020" s="2060"/>
      <c r="E2020" s="255"/>
      <c r="H2020" s="2060"/>
      <c r="I2020" s="2060"/>
      <c r="J2020" s="2060"/>
      <c r="K2020" s="2060"/>
      <c r="L2020" s="2060"/>
      <c r="M2020" s="2060"/>
      <c r="N2020" s="2060"/>
      <c r="O2020" s="2060"/>
      <c r="P2020" s="2060"/>
      <c r="Q2020" s="2060"/>
      <c r="R2020" s="2060"/>
    </row>
    <row r="2021" spans="2:18">
      <c r="B2021" s="2060"/>
      <c r="C2021" s="2060"/>
      <c r="D2021" s="2060"/>
      <c r="E2021" s="255"/>
      <c r="H2021" s="2060"/>
      <c r="I2021" s="2060"/>
      <c r="J2021" s="2060"/>
      <c r="K2021" s="2060"/>
      <c r="L2021" s="2060"/>
      <c r="M2021" s="2060"/>
      <c r="N2021" s="2060"/>
      <c r="O2021" s="2060"/>
      <c r="P2021" s="2060"/>
      <c r="Q2021" s="2060"/>
      <c r="R2021" s="2060"/>
    </row>
    <row r="2022" spans="2:18">
      <c r="B2022" s="2060"/>
      <c r="C2022" s="2060"/>
      <c r="D2022" s="2060"/>
      <c r="E2022" s="255"/>
      <c r="H2022" s="2060"/>
      <c r="I2022" s="2060"/>
      <c r="J2022" s="2060"/>
      <c r="K2022" s="2060"/>
      <c r="L2022" s="2060"/>
      <c r="M2022" s="2060"/>
      <c r="N2022" s="2060"/>
      <c r="O2022" s="2060"/>
      <c r="P2022" s="2060"/>
      <c r="Q2022" s="2060"/>
      <c r="R2022" s="2060"/>
    </row>
    <row r="2023" spans="2:18">
      <c r="B2023" s="2060"/>
      <c r="C2023" s="2060"/>
      <c r="D2023" s="2060"/>
      <c r="E2023" s="255"/>
      <c r="H2023" s="2060"/>
      <c r="I2023" s="2060"/>
      <c r="J2023" s="2060"/>
      <c r="K2023" s="2060"/>
      <c r="L2023" s="2060"/>
      <c r="M2023" s="2060"/>
      <c r="N2023" s="2060"/>
      <c r="O2023" s="2060"/>
      <c r="P2023" s="2060"/>
      <c r="Q2023" s="2060"/>
      <c r="R2023" s="2060"/>
    </row>
    <row r="2024" spans="2:18">
      <c r="B2024" s="2060"/>
      <c r="C2024" s="2060"/>
      <c r="D2024" s="2060"/>
      <c r="E2024" s="255"/>
      <c r="H2024" s="2060"/>
      <c r="I2024" s="2060"/>
      <c r="J2024" s="2060"/>
      <c r="K2024" s="2060"/>
      <c r="L2024" s="2060"/>
      <c r="M2024" s="2060"/>
      <c r="N2024" s="2060"/>
      <c r="O2024" s="2060"/>
      <c r="P2024" s="2060"/>
      <c r="Q2024" s="2060"/>
      <c r="R2024" s="2060"/>
    </row>
    <row r="2025" spans="2:18">
      <c r="B2025" s="2060"/>
      <c r="C2025" s="2060"/>
      <c r="D2025" s="2060"/>
      <c r="E2025" s="255"/>
      <c r="H2025" s="2060"/>
      <c r="I2025" s="2060"/>
      <c r="J2025" s="2060"/>
      <c r="K2025" s="2060"/>
      <c r="L2025" s="2060"/>
      <c r="M2025" s="2060"/>
      <c r="N2025" s="2060"/>
      <c r="O2025" s="2060"/>
      <c r="P2025" s="2060"/>
      <c r="Q2025" s="2060"/>
      <c r="R2025" s="2060"/>
    </row>
    <row r="2026" spans="2:18">
      <c r="B2026" s="2060"/>
      <c r="C2026" s="2060"/>
      <c r="D2026" s="2060"/>
      <c r="E2026" s="255"/>
      <c r="H2026" s="2060"/>
      <c r="I2026" s="2060"/>
      <c r="J2026" s="2060"/>
      <c r="K2026" s="2060"/>
      <c r="L2026" s="2060"/>
      <c r="M2026" s="2060"/>
      <c r="N2026" s="2060"/>
      <c r="O2026" s="2060"/>
      <c r="P2026" s="2060"/>
      <c r="Q2026" s="2060"/>
      <c r="R2026" s="2060"/>
    </row>
    <row r="2027" spans="2:18">
      <c r="B2027" s="2060"/>
      <c r="C2027" s="2060"/>
      <c r="D2027" s="2060"/>
      <c r="E2027" s="255"/>
      <c r="H2027" s="2060"/>
      <c r="I2027" s="2060"/>
      <c r="J2027" s="2060"/>
      <c r="K2027" s="2060"/>
      <c r="L2027" s="2060"/>
      <c r="M2027" s="2060"/>
      <c r="N2027" s="2060"/>
      <c r="O2027" s="2060"/>
      <c r="P2027" s="2060"/>
      <c r="Q2027" s="2060"/>
      <c r="R2027" s="2060"/>
    </row>
    <row r="2028" spans="2:18">
      <c r="B2028" s="2060"/>
      <c r="C2028" s="2060"/>
      <c r="D2028" s="2060"/>
      <c r="E2028" s="255"/>
      <c r="H2028" s="2060"/>
      <c r="I2028" s="2060"/>
      <c r="J2028" s="2060"/>
      <c r="K2028" s="2060"/>
      <c r="L2028" s="2060"/>
      <c r="M2028" s="2060"/>
      <c r="N2028" s="2060"/>
      <c r="O2028" s="2060"/>
      <c r="P2028" s="2060"/>
      <c r="Q2028" s="2060"/>
      <c r="R2028" s="2060"/>
    </row>
    <row r="2029" spans="2:18">
      <c r="B2029" s="2060"/>
      <c r="C2029" s="2060"/>
      <c r="D2029" s="2060"/>
      <c r="E2029" s="255"/>
      <c r="H2029" s="2060"/>
      <c r="I2029" s="2060"/>
      <c r="J2029" s="2060"/>
      <c r="K2029" s="2060"/>
      <c r="L2029" s="2060"/>
      <c r="M2029" s="2060"/>
      <c r="N2029" s="2060"/>
      <c r="O2029" s="2060"/>
      <c r="P2029" s="2060"/>
      <c r="Q2029" s="2060"/>
      <c r="R2029" s="2060"/>
    </row>
    <row r="2030" spans="2:18">
      <c r="B2030" s="2060"/>
      <c r="C2030" s="2060"/>
      <c r="D2030" s="2060"/>
      <c r="E2030" s="255"/>
      <c r="H2030" s="2060"/>
      <c r="I2030" s="2060"/>
      <c r="J2030" s="2060"/>
      <c r="K2030" s="2060"/>
      <c r="L2030" s="2060"/>
      <c r="M2030" s="2060"/>
      <c r="N2030" s="2060"/>
      <c r="O2030" s="2060"/>
      <c r="P2030" s="2060"/>
      <c r="Q2030" s="2060"/>
      <c r="R2030" s="2060"/>
    </row>
    <row r="2031" spans="2:18">
      <c r="B2031" s="2060"/>
      <c r="C2031" s="2060"/>
      <c r="D2031" s="2060"/>
      <c r="E2031" s="255"/>
      <c r="H2031" s="2060"/>
      <c r="I2031" s="2060"/>
      <c r="J2031" s="2060"/>
      <c r="K2031" s="2060"/>
      <c r="L2031" s="2060"/>
      <c r="M2031" s="2060"/>
      <c r="N2031" s="2060"/>
      <c r="O2031" s="2060"/>
      <c r="P2031" s="2060"/>
      <c r="Q2031" s="2060"/>
      <c r="R2031" s="2060"/>
    </row>
    <row r="2032" spans="2:18">
      <c r="B2032" s="2060"/>
      <c r="C2032" s="2060"/>
      <c r="D2032" s="2060"/>
      <c r="E2032" s="255"/>
      <c r="H2032" s="2060"/>
      <c r="I2032" s="2060"/>
      <c r="J2032" s="2060"/>
      <c r="K2032" s="2060"/>
      <c r="L2032" s="2060"/>
      <c r="M2032" s="2060"/>
      <c r="N2032" s="2060"/>
      <c r="O2032" s="2060"/>
      <c r="P2032" s="2060"/>
      <c r="Q2032" s="2060"/>
      <c r="R2032" s="2060"/>
    </row>
    <row r="2033" spans="2:18">
      <c r="B2033" s="2060"/>
      <c r="C2033" s="2060"/>
      <c r="D2033" s="2060"/>
      <c r="E2033" s="255"/>
      <c r="H2033" s="2060"/>
      <c r="I2033" s="2060"/>
      <c r="J2033" s="2060"/>
      <c r="K2033" s="2060"/>
      <c r="L2033" s="2060"/>
      <c r="M2033" s="2060"/>
      <c r="N2033" s="2060"/>
      <c r="O2033" s="2060"/>
      <c r="P2033" s="2060"/>
      <c r="Q2033" s="2060"/>
      <c r="R2033" s="2060"/>
    </row>
    <row r="2034" spans="2:18">
      <c r="B2034" s="2060"/>
      <c r="C2034" s="2060"/>
      <c r="D2034" s="2060"/>
      <c r="E2034" s="255"/>
      <c r="H2034" s="2060"/>
      <c r="I2034" s="2060"/>
      <c r="J2034" s="2060"/>
      <c r="K2034" s="2060"/>
      <c r="L2034" s="2060"/>
      <c r="M2034" s="2060"/>
      <c r="N2034" s="2060"/>
      <c r="O2034" s="2060"/>
      <c r="P2034" s="2060"/>
      <c r="Q2034" s="2060"/>
      <c r="R2034" s="2060"/>
    </row>
    <row r="2035" spans="2:18">
      <c r="B2035" s="2060"/>
      <c r="C2035" s="2060"/>
      <c r="D2035" s="2060"/>
      <c r="E2035" s="255"/>
      <c r="H2035" s="2060"/>
      <c r="I2035" s="2060"/>
      <c r="J2035" s="2060"/>
      <c r="K2035" s="2060"/>
      <c r="L2035" s="2060"/>
      <c r="M2035" s="2060"/>
      <c r="N2035" s="2060"/>
      <c r="O2035" s="2060"/>
      <c r="P2035" s="2060"/>
      <c r="Q2035" s="2060"/>
      <c r="R2035" s="2060"/>
    </row>
    <row r="2036" spans="2:18">
      <c r="B2036" s="2060"/>
      <c r="C2036" s="2060"/>
      <c r="D2036" s="2060"/>
      <c r="E2036" s="255"/>
      <c r="H2036" s="2060"/>
      <c r="I2036" s="2060"/>
      <c r="J2036" s="2060"/>
      <c r="K2036" s="2060"/>
      <c r="L2036" s="2060"/>
      <c r="M2036" s="2060"/>
      <c r="N2036" s="2060"/>
      <c r="O2036" s="2060"/>
      <c r="P2036" s="2060"/>
      <c r="Q2036" s="2060"/>
      <c r="R2036" s="2060"/>
    </row>
    <row r="2037" spans="2:18">
      <c r="B2037" s="2060"/>
      <c r="C2037" s="2060"/>
      <c r="D2037" s="2060"/>
      <c r="E2037" s="255"/>
      <c r="H2037" s="2060"/>
      <c r="I2037" s="2060"/>
      <c r="J2037" s="2060"/>
      <c r="K2037" s="2060"/>
      <c r="L2037" s="2060"/>
      <c r="M2037" s="2060"/>
      <c r="N2037" s="2060"/>
      <c r="O2037" s="2060"/>
      <c r="P2037" s="2060"/>
      <c r="Q2037" s="2060"/>
      <c r="R2037" s="2060"/>
    </row>
    <row r="2038" spans="2:18">
      <c r="B2038" s="2060"/>
      <c r="C2038" s="2060"/>
      <c r="D2038" s="2060"/>
      <c r="E2038" s="255"/>
      <c r="H2038" s="2060"/>
      <c r="I2038" s="2060"/>
      <c r="J2038" s="2060"/>
      <c r="K2038" s="2060"/>
      <c r="L2038" s="2060"/>
      <c r="M2038" s="2060"/>
      <c r="N2038" s="2060"/>
      <c r="O2038" s="2060"/>
      <c r="P2038" s="2060"/>
      <c r="Q2038" s="2060"/>
      <c r="R2038" s="2060"/>
    </row>
    <row r="2039" spans="2:18">
      <c r="B2039" s="2060"/>
      <c r="C2039" s="2060"/>
      <c r="D2039" s="2060"/>
      <c r="E2039" s="255"/>
      <c r="H2039" s="2060"/>
      <c r="I2039" s="2060"/>
      <c r="J2039" s="2060"/>
      <c r="K2039" s="2060"/>
      <c r="L2039" s="2060"/>
      <c r="M2039" s="2060"/>
      <c r="N2039" s="2060"/>
      <c r="O2039" s="2060"/>
      <c r="P2039" s="2060"/>
      <c r="Q2039" s="2060"/>
      <c r="R2039" s="2060"/>
    </row>
    <row r="2040" spans="2:18">
      <c r="B2040" s="2060"/>
      <c r="C2040" s="2060"/>
      <c r="D2040" s="2060"/>
      <c r="E2040" s="255"/>
      <c r="H2040" s="2060"/>
      <c r="I2040" s="2060"/>
      <c r="J2040" s="2060"/>
      <c r="K2040" s="2060"/>
      <c r="L2040" s="2060"/>
      <c r="M2040" s="2060"/>
      <c r="N2040" s="2060"/>
      <c r="O2040" s="2060"/>
      <c r="P2040" s="2060"/>
      <c r="Q2040" s="2060"/>
      <c r="R2040" s="2060"/>
    </row>
    <row r="2041" spans="2:18">
      <c r="B2041" s="2060"/>
      <c r="C2041" s="2060"/>
      <c r="D2041" s="2060"/>
      <c r="E2041" s="255"/>
      <c r="H2041" s="2060"/>
      <c r="I2041" s="2060"/>
      <c r="J2041" s="2060"/>
      <c r="K2041" s="2060"/>
      <c r="L2041" s="2060"/>
      <c r="M2041" s="2060"/>
      <c r="N2041" s="2060"/>
      <c r="O2041" s="2060"/>
      <c r="P2041" s="2060"/>
      <c r="Q2041" s="2060"/>
      <c r="R2041" s="2060"/>
    </row>
    <row r="2042" spans="2:18">
      <c r="B2042" s="2060"/>
      <c r="C2042" s="2060"/>
      <c r="D2042" s="2060"/>
      <c r="E2042" s="255"/>
      <c r="H2042" s="2060"/>
      <c r="I2042" s="2060"/>
      <c r="J2042" s="2060"/>
      <c r="K2042" s="2060"/>
      <c r="L2042" s="2060"/>
      <c r="M2042" s="2060"/>
      <c r="N2042" s="2060"/>
      <c r="O2042" s="2060"/>
      <c r="P2042" s="2060"/>
      <c r="Q2042" s="2060"/>
      <c r="R2042" s="2060"/>
    </row>
    <row r="2043" spans="2:18">
      <c r="B2043" s="2060"/>
      <c r="C2043" s="2060"/>
      <c r="D2043" s="2060"/>
      <c r="E2043" s="255"/>
      <c r="H2043" s="2060"/>
      <c r="I2043" s="2060"/>
      <c r="J2043" s="2060"/>
      <c r="K2043" s="2060"/>
      <c r="L2043" s="2060"/>
      <c r="M2043" s="2060"/>
      <c r="N2043" s="2060"/>
      <c r="O2043" s="2060"/>
      <c r="P2043" s="2060"/>
      <c r="Q2043" s="2060"/>
      <c r="R2043" s="2060"/>
    </row>
    <row r="2044" spans="2:18">
      <c r="B2044" s="2060"/>
      <c r="C2044" s="2060"/>
      <c r="D2044" s="2060"/>
      <c r="E2044" s="255"/>
      <c r="H2044" s="2060"/>
      <c r="I2044" s="2060"/>
      <c r="J2044" s="2060"/>
      <c r="K2044" s="2060"/>
      <c r="L2044" s="2060"/>
      <c r="M2044" s="2060"/>
      <c r="N2044" s="2060"/>
      <c r="O2044" s="2060"/>
      <c r="P2044" s="2060"/>
      <c r="Q2044" s="2060"/>
      <c r="R2044" s="2060"/>
    </row>
    <row r="2045" spans="2:18">
      <c r="B2045" s="2060"/>
      <c r="C2045" s="2060"/>
      <c r="D2045" s="2060"/>
      <c r="E2045" s="255"/>
      <c r="H2045" s="2060"/>
      <c r="I2045" s="2060"/>
      <c r="J2045" s="2060"/>
      <c r="K2045" s="2060"/>
      <c r="L2045" s="2060"/>
      <c r="M2045" s="2060"/>
      <c r="N2045" s="2060"/>
      <c r="O2045" s="2060"/>
      <c r="P2045" s="2060"/>
      <c r="Q2045" s="2060"/>
      <c r="R2045" s="2060"/>
    </row>
    <row r="2046" spans="2:18">
      <c r="B2046" s="2060"/>
      <c r="C2046" s="2060"/>
      <c r="D2046" s="2060"/>
      <c r="E2046" s="255"/>
      <c r="H2046" s="2060"/>
      <c r="I2046" s="2060"/>
      <c r="J2046" s="2060"/>
      <c r="K2046" s="2060"/>
      <c r="L2046" s="2060"/>
      <c r="M2046" s="2060"/>
      <c r="N2046" s="2060"/>
      <c r="O2046" s="2060"/>
      <c r="P2046" s="2060"/>
      <c r="Q2046" s="2060"/>
      <c r="R2046" s="2060"/>
    </row>
    <row r="2047" spans="2:18">
      <c r="B2047" s="2060"/>
      <c r="C2047" s="2060"/>
      <c r="D2047" s="2060"/>
      <c r="E2047" s="255"/>
      <c r="H2047" s="2060"/>
      <c r="I2047" s="2060"/>
      <c r="J2047" s="2060"/>
      <c r="K2047" s="2060"/>
      <c r="L2047" s="2060"/>
      <c r="M2047" s="2060"/>
      <c r="N2047" s="2060"/>
      <c r="O2047" s="2060"/>
      <c r="P2047" s="2060"/>
      <c r="Q2047" s="2060"/>
      <c r="R2047" s="2060"/>
    </row>
    <row r="2048" spans="2:18">
      <c r="B2048" s="2060"/>
      <c r="C2048" s="2060"/>
      <c r="D2048" s="2060"/>
      <c r="E2048" s="255"/>
      <c r="H2048" s="2060"/>
      <c r="I2048" s="2060"/>
      <c r="J2048" s="2060"/>
      <c r="K2048" s="2060"/>
      <c r="L2048" s="2060"/>
      <c r="M2048" s="2060"/>
      <c r="N2048" s="2060"/>
      <c r="O2048" s="2060"/>
      <c r="P2048" s="2060"/>
      <c r="Q2048" s="2060"/>
      <c r="R2048" s="2060"/>
    </row>
    <row r="2049" spans="2:18">
      <c r="B2049" s="2060"/>
      <c r="C2049" s="2060"/>
      <c r="D2049" s="2060"/>
      <c r="E2049" s="255"/>
      <c r="H2049" s="2060"/>
      <c r="I2049" s="2060"/>
      <c r="J2049" s="2060"/>
      <c r="K2049" s="2060"/>
      <c r="L2049" s="2060"/>
      <c r="M2049" s="2060"/>
      <c r="N2049" s="2060"/>
      <c r="O2049" s="2060"/>
      <c r="P2049" s="2060"/>
      <c r="Q2049" s="2060"/>
      <c r="R2049" s="2060"/>
    </row>
    <row r="2050" spans="2:18">
      <c r="B2050" s="2060"/>
      <c r="C2050" s="2060"/>
      <c r="D2050" s="2060"/>
      <c r="E2050" s="255"/>
      <c r="H2050" s="2060"/>
      <c r="I2050" s="2060"/>
      <c r="J2050" s="2060"/>
      <c r="K2050" s="2060"/>
      <c r="L2050" s="2060"/>
      <c r="M2050" s="2060"/>
      <c r="N2050" s="2060"/>
      <c r="O2050" s="2060"/>
      <c r="P2050" s="2060"/>
      <c r="Q2050" s="2060"/>
      <c r="R2050" s="2060"/>
    </row>
    <row r="2051" spans="2:18">
      <c r="B2051" s="2060"/>
      <c r="C2051" s="2060"/>
      <c r="D2051" s="2060"/>
      <c r="E2051" s="255"/>
      <c r="H2051" s="2060"/>
      <c r="I2051" s="2060"/>
      <c r="J2051" s="2060"/>
      <c r="K2051" s="2060"/>
      <c r="L2051" s="2060"/>
      <c r="M2051" s="2060"/>
      <c r="N2051" s="2060"/>
      <c r="O2051" s="2060"/>
      <c r="P2051" s="2060"/>
      <c r="Q2051" s="2060"/>
      <c r="R2051" s="2060"/>
    </row>
    <row r="2052" spans="2:18">
      <c r="B2052" s="2060"/>
      <c r="C2052" s="2060"/>
      <c r="D2052" s="2060"/>
      <c r="E2052" s="255"/>
      <c r="H2052" s="2060"/>
      <c r="I2052" s="2060"/>
      <c r="J2052" s="2060"/>
      <c r="K2052" s="2060"/>
      <c r="L2052" s="2060"/>
      <c r="M2052" s="2060"/>
      <c r="N2052" s="2060"/>
      <c r="O2052" s="2060"/>
      <c r="P2052" s="2060"/>
      <c r="Q2052" s="2060"/>
      <c r="R2052" s="2060"/>
    </row>
    <row r="2053" spans="2:18">
      <c r="B2053" s="2060"/>
      <c r="C2053" s="2060"/>
      <c r="D2053" s="2060"/>
      <c r="E2053" s="255"/>
      <c r="H2053" s="2060"/>
      <c r="I2053" s="2060"/>
      <c r="J2053" s="2060"/>
      <c r="K2053" s="2060"/>
      <c r="L2053" s="2060"/>
      <c r="M2053" s="2060"/>
      <c r="N2053" s="2060"/>
      <c r="O2053" s="2060"/>
      <c r="P2053" s="2060"/>
      <c r="Q2053" s="2060"/>
      <c r="R2053" s="2060"/>
    </row>
    <row r="2054" spans="2:18">
      <c r="B2054" s="2060"/>
      <c r="C2054" s="2060"/>
      <c r="D2054" s="2060"/>
      <c r="E2054" s="255"/>
      <c r="H2054" s="2060"/>
      <c r="I2054" s="2060"/>
      <c r="J2054" s="2060"/>
      <c r="K2054" s="2060"/>
      <c r="L2054" s="2060"/>
      <c r="M2054" s="2060"/>
      <c r="N2054" s="2060"/>
      <c r="O2054" s="2060"/>
      <c r="P2054" s="2060"/>
      <c r="Q2054" s="2060"/>
      <c r="R2054" s="2060"/>
    </row>
    <row r="2055" spans="2:18">
      <c r="B2055" s="2060"/>
      <c r="C2055" s="2060"/>
      <c r="D2055" s="2060"/>
      <c r="E2055" s="255"/>
      <c r="H2055" s="2060"/>
      <c r="I2055" s="2060"/>
      <c r="J2055" s="2060"/>
      <c r="K2055" s="2060"/>
      <c r="L2055" s="2060"/>
      <c r="M2055" s="2060"/>
      <c r="N2055" s="2060"/>
      <c r="O2055" s="2060"/>
      <c r="P2055" s="2060"/>
      <c r="Q2055" s="2060"/>
      <c r="R2055" s="2060"/>
    </row>
    <row r="2056" spans="2:18">
      <c r="B2056" s="2060"/>
      <c r="C2056" s="2060"/>
      <c r="D2056" s="2060"/>
      <c r="E2056" s="255"/>
      <c r="H2056" s="2060"/>
      <c r="I2056" s="2060"/>
      <c r="J2056" s="2060"/>
      <c r="K2056" s="2060"/>
      <c r="L2056" s="2060"/>
      <c r="M2056" s="2060"/>
      <c r="N2056" s="2060"/>
      <c r="O2056" s="2060"/>
      <c r="P2056" s="2060"/>
      <c r="Q2056" s="2060"/>
      <c r="R2056" s="2060"/>
    </row>
    <row r="2057" spans="2:18">
      <c r="B2057" s="2060"/>
      <c r="C2057" s="2060"/>
      <c r="D2057" s="2060"/>
      <c r="E2057" s="255"/>
      <c r="H2057" s="2060"/>
      <c r="I2057" s="2060"/>
      <c r="J2057" s="2060"/>
      <c r="K2057" s="2060"/>
      <c r="L2057" s="2060"/>
      <c r="M2057" s="2060"/>
      <c r="N2057" s="2060"/>
      <c r="O2057" s="2060"/>
      <c r="P2057" s="2060"/>
      <c r="Q2057" s="2060"/>
      <c r="R2057" s="2060"/>
    </row>
    <row r="2058" spans="2:18">
      <c r="B2058" s="2060"/>
      <c r="C2058" s="2060"/>
      <c r="D2058" s="2060"/>
      <c r="E2058" s="255"/>
      <c r="H2058" s="2060"/>
      <c r="I2058" s="2060"/>
      <c r="J2058" s="2060"/>
      <c r="K2058" s="2060"/>
      <c r="L2058" s="2060"/>
      <c r="M2058" s="2060"/>
      <c r="N2058" s="2060"/>
      <c r="O2058" s="2060"/>
      <c r="P2058" s="2060"/>
      <c r="Q2058" s="2060"/>
      <c r="R2058" s="2060"/>
    </row>
    <row r="2059" spans="2:18">
      <c r="B2059" s="2060"/>
      <c r="C2059" s="2060"/>
      <c r="D2059" s="2060"/>
      <c r="E2059" s="255"/>
      <c r="H2059" s="2060"/>
      <c r="I2059" s="2060"/>
      <c r="J2059" s="2060"/>
      <c r="K2059" s="2060"/>
      <c r="L2059" s="2060"/>
      <c r="M2059" s="2060"/>
      <c r="N2059" s="2060"/>
      <c r="O2059" s="2060"/>
      <c r="P2059" s="2060"/>
      <c r="Q2059" s="2060"/>
      <c r="R2059" s="2060"/>
    </row>
    <row r="2060" spans="2:18">
      <c r="B2060" s="2060"/>
      <c r="C2060" s="2060"/>
      <c r="D2060" s="2060"/>
      <c r="E2060" s="255"/>
      <c r="H2060" s="2060"/>
      <c r="I2060" s="2060"/>
      <c r="J2060" s="2060"/>
      <c r="K2060" s="2060"/>
      <c r="L2060" s="2060"/>
      <c r="M2060" s="2060"/>
      <c r="N2060" s="2060"/>
      <c r="O2060" s="2060"/>
      <c r="P2060" s="2060"/>
      <c r="Q2060" s="2060"/>
      <c r="R2060" s="2060"/>
    </row>
    <row r="2061" spans="2:18">
      <c r="B2061" s="2060"/>
      <c r="C2061" s="2060"/>
      <c r="D2061" s="2060"/>
      <c r="E2061" s="255"/>
      <c r="H2061" s="2060"/>
      <c r="I2061" s="2060"/>
      <c r="J2061" s="2060"/>
      <c r="K2061" s="2060"/>
      <c r="L2061" s="2060"/>
      <c r="M2061" s="2060"/>
      <c r="N2061" s="2060"/>
      <c r="O2061" s="2060"/>
      <c r="P2061" s="2060"/>
      <c r="Q2061" s="2060"/>
      <c r="R2061" s="2060"/>
    </row>
    <row r="2062" spans="2:18">
      <c r="B2062" s="2060"/>
      <c r="C2062" s="2060"/>
      <c r="D2062" s="2060"/>
      <c r="E2062" s="255"/>
      <c r="H2062" s="2060"/>
      <c r="I2062" s="2060"/>
      <c r="J2062" s="2060"/>
      <c r="K2062" s="2060"/>
      <c r="L2062" s="2060"/>
      <c r="M2062" s="2060"/>
      <c r="N2062" s="2060"/>
      <c r="O2062" s="2060"/>
      <c r="P2062" s="2060"/>
      <c r="Q2062" s="2060"/>
      <c r="R2062" s="2060"/>
    </row>
    <row r="2063" spans="2:18">
      <c r="B2063" s="2060"/>
      <c r="C2063" s="2060"/>
      <c r="D2063" s="2060"/>
      <c r="E2063" s="255"/>
      <c r="H2063" s="2060"/>
      <c r="I2063" s="2060"/>
      <c r="J2063" s="2060"/>
      <c r="K2063" s="2060"/>
      <c r="L2063" s="2060"/>
      <c r="M2063" s="2060"/>
      <c r="N2063" s="2060"/>
      <c r="O2063" s="2060"/>
      <c r="P2063" s="2060"/>
      <c r="Q2063" s="2060"/>
      <c r="R2063" s="2060"/>
    </row>
    <row r="2064" spans="2:18">
      <c r="B2064" s="2060"/>
      <c r="C2064" s="2060"/>
      <c r="D2064" s="2060"/>
      <c r="E2064" s="255"/>
      <c r="H2064" s="2060"/>
      <c r="I2064" s="2060"/>
      <c r="J2064" s="2060"/>
      <c r="K2064" s="2060"/>
      <c r="L2064" s="2060"/>
      <c r="M2064" s="2060"/>
      <c r="N2064" s="2060"/>
      <c r="O2064" s="2060"/>
      <c r="P2064" s="2060"/>
      <c r="Q2064" s="2060"/>
      <c r="R2064" s="2060"/>
    </row>
    <row r="2065" spans="2:18">
      <c r="B2065" s="2060"/>
      <c r="C2065" s="2060"/>
      <c r="D2065" s="2060"/>
      <c r="E2065" s="255"/>
      <c r="H2065" s="2060"/>
      <c r="I2065" s="2060"/>
      <c r="J2065" s="2060"/>
      <c r="K2065" s="2060"/>
      <c r="L2065" s="2060"/>
      <c r="M2065" s="2060"/>
      <c r="N2065" s="2060"/>
      <c r="O2065" s="2060"/>
      <c r="P2065" s="2060"/>
      <c r="Q2065" s="2060"/>
      <c r="R2065" s="2060"/>
    </row>
    <row r="2066" spans="2:18">
      <c r="B2066" s="2060"/>
      <c r="C2066" s="2060"/>
      <c r="D2066" s="2060"/>
      <c r="E2066" s="255"/>
      <c r="H2066" s="2060"/>
      <c r="I2066" s="2060"/>
      <c r="J2066" s="2060"/>
      <c r="K2066" s="2060"/>
      <c r="L2066" s="2060"/>
      <c r="M2066" s="2060"/>
      <c r="N2066" s="2060"/>
      <c r="O2066" s="2060"/>
      <c r="P2066" s="2060"/>
      <c r="Q2066" s="2060"/>
      <c r="R2066" s="2060"/>
    </row>
    <row r="2067" spans="2:18">
      <c r="B2067" s="2060"/>
      <c r="C2067" s="2060"/>
      <c r="D2067" s="2060"/>
      <c r="E2067" s="255"/>
      <c r="H2067" s="2060"/>
      <c r="I2067" s="2060"/>
      <c r="J2067" s="2060"/>
      <c r="K2067" s="2060"/>
      <c r="L2067" s="2060"/>
      <c r="M2067" s="2060"/>
      <c r="N2067" s="2060"/>
      <c r="O2067" s="2060"/>
      <c r="P2067" s="2060"/>
      <c r="Q2067" s="2060"/>
      <c r="R2067" s="2060"/>
    </row>
    <row r="2068" spans="2:18">
      <c r="B2068" s="2060"/>
      <c r="C2068" s="2060"/>
      <c r="D2068" s="2060"/>
      <c r="E2068" s="255"/>
      <c r="H2068" s="2060"/>
      <c r="I2068" s="2060"/>
      <c r="J2068" s="2060"/>
      <c r="K2068" s="2060"/>
      <c r="L2068" s="2060"/>
      <c r="M2068" s="2060"/>
      <c r="N2068" s="2060"/>
      <c r="O2068" s="2060"/>
      <c r="P2068" s="2060"/>
      <c r="Q2068" s="2060"/>
      <c r="R2068" s="2060"/>
    </row>
    <row r="2069" spans="2:18">
      <c r="B2069" s="2060"/>
      <c r="C2069" s="2060"/>
      <c r="D2069" s="2060"/>
      <c r="E2069" s="255"/>
      <c r="H2069" s="2060"/>
      <c r="I2069" s="2060"/>
      <c r="J2069" s="2060"/>
      <c r="K2069" s="2060"/>
      <c r="L2069" s="2060"/>
      <c r="M2069" s="2060"/>
      <c r="N2069" s="2060"/>
      <c r="O2069" s="2060"/>
      <c r="P2069" s="2060"/>
      <c r="Q2069" s="2060"/>
      <c r="R2069" s="2060"/>
    </row>
    <row r="2070" spans="2:18">
      <c r="B2070" s="2060"/>
      <c r="C2070" s="2060"/>
      <c r="D2070" s="2060"/>
      <c r="E2070" s="255"/>
      <c r="H2070" s="2060"/>
      <c r="I2070" s="2060"/>
      <c r="J2070" s="2060"/>
      <c r="K2070" s="2060"/>
      <c r="L2070" s="2060"/>
      <c r="M2070" s="2060"/>
      <c r="N2070" s="2060"/>
      <c r="O2070" s="2060"/>
      <c r="P2070" s="2060"/>
      <c r="Q2070" s="2060"/>
      <c r="R2070" s="2060"/>
    </row>
    <row r="2071" spans="2:18">
      <c r="B2071" s="2060"/>
      <c r="C2071" s="2060"/>
      <c r="D2071" s="2060"/>
      <c r="E2071" s="255"/>
      <c r="H2071" s="2060"/>
      <c r="I2071" s="2060"/>
      <c r="J2071" s="2060"/>
      <c r="K2071" s="2060"/>
      <c r="L2071" s="2060"/>
      <c r="M2071" s="2060"/>
      <c r="N2071" s="2060"/>
      <c r="O2071" s="2060"/>
      <c r="P2071" s="2060"/>
      <c r="Q2071" s="2060"/>
      <c r="R2071" s="2060"/>
    </row>
    <row r="2072" spans="2:18">
      <c r="B2072" s="2060"/>
      <c r="C2072" s="2060"/>
      <c r="D2072" s="2060"/>
      <c r="E2072" s="255"/>
      <c r="H2072" s="2060"/>
      <c r="I2072" s="2060"/>
      <c r="J2072" s="2060"/>
      <c r="K2072" s="2060"/>
      <c r="L2072" s="2060"/>
      <c r="M2072" s="2060"/>
      <c r="N2072" s="2060"/>
      <c r="O2072" s="2060"/>
      <c r="P2072" s="2060"/>
      <c r="Q2072" s="2060"/>
      <c r="R2072" s="2060"/>
    </row>
    <row r="2073" spans="2:18">
      <c r="B2073" s="2060"/>
      <c r="C2073" s="2060"/>
      <c r="D2073" s="2060"/>
      <c r="E2073" s="255"/>
      <c r="H2073" s="2060"/>
      <c r="I2073" s="2060"/>
      <c r="J2073" s="2060"/>
      <c r="K2073" s="2060"/>
      <c r="L2073" s="2060"/>
      <c r="M2073" s="2060"/>
      <c r="N2073" s="2060"/>
      <c r="O2073" s="2060"/>
      <c r="P2073" s="2060"/>
      <c r="Q2073" s="2060"/>
      <c r="R2073" s="2060"/>
    </row>
    <row r="2074" spans="2:18">
      <c r="B2074" s="2060"/>
      <c r="C2074" s="2060"/>
      <c r="D2074" s="2060"/>
      <c r="E2074" s="255"/>
      <c r="H2074" s="2060"/>
      <c r="I2074" s="2060"/>
      <c r="J2074" s="2060"/>
      <c r="K2074" s="2060"/>
      <c r="L2074" s="2060"/>
      <c r="M2074" s="2060"/>
      <c r="N2074" s="2060"/>
      <c r="O2074" s="2060"/>
      <c r="P2074" s="2060"/>
      <c r="Q2074" s="2060"/>
      <c r="R2074" s="2060"/>
    </row>
    <row r="2075" spans="2:18">
      <c r="B2075" s="2060"/>
      <c r="C2075" s="2060"/>
      <c r="D2075" s="2060"/>
      <c r="E2075" s="255"/>
      <c r="H2075" s="2060"/>
      <c r="I2075" s="2060"/>
      <c r="J2075" s="2060"/>
      <c r="K2075" s="2060"/>
      <c r="L2075" s="2060"/>
      <c r="M2075" s="2060"/>
      <c r="N2075" s="2060"/>
      <c r="O2075" s="2060"/>
      <c r="P2075" s="2060"/>
      <c r="Q2075" s="2060"/>
      <c r="R2075" s="2060"/>
    </row>
    <row r="2076" spans="2:18">
      <c r="B2076" s="2060"/>
      <c r="C2076" s="2060"/>
      <c r="D2076" s="2060"/>
      <c r="E2076" s="255"/>
      <c r="H2076" s="2060"/>
      <c r="I2076" s="2060"/>
      <c r="J2076" s="2060"/>
      <c r="K2076" s="2060"/>
      <c r="L2076" s="2060"/>
      <c r="M2076" s="2060"/>
      <c r="N2076" s="2060"/>
      <c r="O2076" s="2060"/>
      <c r="P2076" s="2060"/>
      <c r="Q2076" s="2060"/>
      <c r="R2076" s="2060"/>
    </row>
    <row r="2077" spans="2:18">
      <c r="B2077" s="2060"/>
      <c r="C2077" s="2060"/>
      <c r="D2077" s="2060"/>
      <c r="E2077" s="255"/>
      <c r="H2077" s="2060"/>
      <c r="I2077" s="2060"/>
      <c r="J2077" s="2060"/>
      <c r="K2077" s="2060"/>
      <c r="L2077" s="2060"/>
      <c r="M2077" s="2060"/>
      <c r="N2077" s="2060"/>
      <c r="O2077" s="2060"/>
      <c r="P2077" s="2060"/>
      <c r="Q2077" s="2060"/>
      <c r="R2077" s="2060"/>
    </row>
    <row r="2078" spans="2:18">
      <c r="B2078" s="2060"/>
      <c r="C2078" s="2060"/>
      <c r="D2078" s="2060"/>
      <c r="E2078" s="255"/>
      <c r="H2078" s="2060"/>
      <c r="I2078" s="2060"/>
      <c r="J2078" s="2060"/>
      <c r="K2078" s="2060"/>
      <c r="L2078" s="2060"/>
      <c r="M2078" s="2060"/>
      <c r="N2078" s="2060"/>
      <c r="O2078" s="2060"/>
      <c r="P2078" s="2060"/>
      <c r="Q2078" s="2060"/>
      <c r="R2078" s="2060"/>
    </row>
    <row r="2079" spans="2:18">
      <c r="B2079" s="2060"/>
      <c r="C2079" s="2060"/>
      <c r="D2079" s="2060"/>
      <c r="E2079" s="255"/>
      <c r="H2079" s="2060"/>
      <c r="I2079" s="2060"/>
      <c r="J2079" s="2060"/>
      <c r="K2079" s="2060"/>
      <c r="L2079" s="2060"/>
      <c r="M2079" s="2060"/>
      <c r="N2079" s="2060"/>
      <c r="O2079" s="2060"/>
      <c r="P2079" s="2060"/>
      <c r="Q2079" s="2060"/>
      <c r="R2079" s="2060"/>
    </row>
    <row r="2080" spans="2:18">
      <c r="B2080" s="2060"/>
      <c r="C2080" s="2060"/>
      <c r="D2080" s="2060"/>
      <c r="E2080" s="255"/>
      <c r="H2080" s="2060"/>
      <c r="I2080" s="2060"/>
      <c r="J2080" s="2060"/>
      <c r="K2080" s="2060"/>
      <c r="L2080" s="2060"/>
      <c r="M2080" s="2060"/>
      <c r="N2080" s="2060"/>
      <c r="O2080" s="2060"/>
      <c r="P2080" s="2060"/>
      <c r="Q2080" s="2060"/>
      <c r="R2080" s="2060"/>
    </row>
    <row r="2081" spans="2:18">
      <c r="B2081" s="2060"/>
      <c r="C2081" s="2060"/>
      <c r="D2081" s="2060"/>
      <c r="E2081" s="255"/>
      <c r="H2081" s="2060"/>
      <c r="I2081" s="2060"/>
      <c r="J2081" s="2060"/>
      <c r="K2081" s="2060"/>
      <c r="L2081" s="2060"/>
      <c r="M2081" s="2060"/>
      <c r="N2081" s="2060"/>
      <c r="O2081" s="2060"/>
      <c r="P2081" s="2060"/>
      <c r="Q2081" s="2060"/>
      <c r="R2081" s="2060"/>
    </row>
    <row r="2082" spans="2:18">
      <c r="B2082" s="2060"/>
      <c r="C2082" s="2060"/>
      <c r="D2082" s="2060"/>
      <c r="E2082" s="255"/>
      <c r="H2082" s="2060"/>
      <c r="I2082" s="2060"/>
      <c r="J2082" s="2060"/>
      <c r="K2082" s="2060"/>
      <c r="L2082" s="2060"/>
      <c r="M2082" s="2060"/>
      <c r="N2082" s="2060"/>
      <c r="O2082" s="2060"/>
      <c r="P2082" s="2060"/>
      <c r="Q2082" s="2060"/>
      <c r="R2082" s="2060"/>
    </row>
    <row r="2083" spans="2:18">
      <c r="B2083" s="2060"/>
      <c r="C2083" s="2060"/>
      <c r="D2083" s="2060"/>
      <c r="E2083" s="255"/>
      <c r="H2083" s="2060"/>
      <c r="I2083" s="2060"/>
      <c r="J2083" s="2060"/>
      <c r="K2083" s="2060"/>
      <c r="L2083" s="2060"/>
      <c r="M2083" s="2060"/>
      <c r="N2083" s="2060"/>
      <c r="O2083" s="2060"/>
      <c r="P2083" s="2060"/>
      <c r="Q2083" s="2060"/>
      <c r="R2083" s="2060"/>
    </row>
    <row r="2084" spans="2:18">
      <c r="B2084" s="2060"/>
      <c r="C2084" s="2060"/>
      <c r="D2084" s="2060"/>
      <c r="E2084" s="255"/>
      <c r="H2084" s="2060"/>
      <c r="I2084" s="2060"/>
      <c r="J2084" s="2060"/>
      <c r="K2084" s="2060"/>
      <c r="L2084" s="2060"/>
      <c r="M2084" s="2060"/>
      <c r="N2084" s="2060"/>
      <c r="O2084" s="2060"/>
      <c r="P2084" s="2060"/>
      <c r="Q2084" s="2060"/>
      <c r="R2084" s="2060"/>
    </row>
    <row r="2085" spans="2:18">
      <c r="B2085" s="2060"/>
      <c r="C2085" s="2060"/>
      <c r="D2085" s="2060"/>
      <c r="E2085" s="255"/>
      <c r="H2085" s="2060"/>
      <c r="I2085" s="2060"/>
      <c r="J2085" s="2060"/>
      <c r="K2085" s="2060"/>
      <c r="L2085" s="2060"/>
      <c r="M2085" s="2060"/>
      <c r="N2085" s="2060"/>
      <c r="O2085" s="2060"/>
      <c r="P2085" s="2060"/>
      <c r="Q2085" s="2060"/>
      <c r="R2085" s="2060"/>
    </row>
    <row r="2086" spans="2:18">
      <c r="B2086" s="2060"/>
      <c r="C2086" s="2060"/>
      <c r="D2086" s="2060"/>
      <c r="E2086" s="255"/>
      <c r="H2086" s="2060"/>
      <c r="I2086" s="2060"/>
      <c r="J2086" s="2060"/>
      <c r="K2086" s="2060"/>
      <c r="L2086" s="2060"/>
      <c r="M2086" s="2060"/>
      <c r="N2086" s="2060"/>
      <c r="O2086" s="2060"/>
      <c r="P2086" s="2060"/>
      <c r="Q2086" s="2060"/>
      <c r="R2086" s="2060"/>
    </row>
    <row r="2087" spans="2:18">
      <c r="B2087" s="2060"/>
      <c r="C2087" s="2060"/>
      <c r="D2087" s="2060"/>
      <c r="E2087" s="255"/>
      <c r="H2087" s="2060"/>
      <c r="I2087" s="2060"/>
      <c r="J2087" s="2060"/>
      <c r="K2087" s="2060"/>
      <c r="L2087" s="2060"/>
      <c r="M2087" s="2060"/>
      <c r="N2087" s="2060"/>
      <c r="O2087" s="2060"/>
      <c r="P2087" s="2060"/>
      <c r="Q2087" s="2060"/>
      <c r="R2087" s="2060"/>
    </row>
    <row r="2088" spans="2:18">
      <c r="B2088" s="2060"/>
      <c r="C2088" s="2060"/>
      <c r="D2088" s="2060"/>
      <c r="E2088" s="255"/>
      <c r="H2088" s="2060"/>
      <c r="I2088" s="2060"/>
      <c r="J2088" s="2060"/>
      <c r="K2088" s="2060"/>
      <c r="L2088" s="2060"/>
      <c r="M2088" s="2060"/>
      <c r="N2088" s="2060"/>
      <c r="O2088" s="2060"/>
      <c r="P2088" s="2060"/>
      <c r="Q2088" s="2060"/>
      <c r="R2088" s="2060"/>
    </row>
    <row r="2089" spans="2:18">
      <c r="B2089" s="2060"/>
      <c r="C2089" s="2060"/>
      <c r="D2089" s="2060"/>
      <c r="E2089" s="255"/>
      <c r="H2089" s="2060"/>
      <c r="I2089" s="2060"/>
      <c r="J2089" s="2060"/>
      <c r="K2089" s="2060"/>
      <c r="L2089" s="2060"/>
      <c r="M2089" s="2060"/>
      <c r="N2089" s="2060"/>
      <c r="O2089" s="2060"/>
      <c r="P2089" s="2060"/>
      <c r="Q2089" s="2060"/>
      <c r="R2089" s="2060"/>
    </row>
    <row r="2090" spans="2:18">
      <c r="B2090" s="2060"/>
      <c r="C2090" s="2060"/>
      <c r="D2090" s="2060"/>
      <c r="E2090" s="255"/>
      <c r="H2090" s="2060"/>
      <c r="I2090" s="2060"/>
      <c r="J2090" s="2060"/>
      <c r="K2090" s="2060"/>
      <c r="L2090" s="2060"/>
      <c r="M2090" s="2060"/>
      <c r="N2090" s="2060"/>
      <c r="O2090" s="2060"/>
      <c r="P2090" s="2060"/>
      <c r="Q2090" s="2060"/>
      <c r="R2090" s="2060"/>
    </row>
    <row r="2091" spans="2:18">
      <c r="B2091" s="2060"/>
      <c r="C2091" s="2060"/>
      <c r="D2091" s="2060"/>
      <c r="E2091" s="255"/>
      <c r="H2091" s="2060"/>
      <c r="I2091" s="2060"/>
      <c r="J2091" s="2060"/>
      <c r="K2091" s="2060"/>
      <c r="L2091" s="2060"/>
      <c r="M2091" s="2060"/>
      <c r="N2091" s="2060"/>
      <c r="O2091" s="2060"/>
      <c r="P2091" s="2060"/>
      <c r="Q2091" s="2060"/>
      <c r="R2091" s="2060"/>
    </row>
    <row r="2092" spans="2:18">
      <c r="B2092" s="2060"/>
      <c r="C2092" s="2060"/>
      <c r="D2092" s="2060"/>
      <c r="E2092" s="255"/>
      <c r="H2092" s="2060"/>
      <c r="I2092" s="2060"/>
      <c r="J2092" s="2060"/>
      <c r="K2092" s="2060"/>
      <c r="L2092" s="2060"/>
      <c r="M2092" s="2060"/>
      <c r="N2092" s="2060"/>
      <c r="O2092" s="2060"/>
      <c r="P2092" s="2060"/>
      <c r="Q2092" s="2060"/>
      <c r="R2092" s="2060"/>
    </row>
    <row r="2093" spans="2:18">
      <c r="B2093" s="2060"/>
      <c r="C2093" s="2060"/>
      <c r="D2093" s="2060"/>
      <c r="E2093" s="255"/>
      <c r="H2093" s="2060"/>
      <c r="I2093" s="2060"/>
      <c r="J2093" s="2060"/>
      <c r="K2093" s="2060"/>
      <c r="L2093" s="2060"/>
      <c r="M2093" s="2060"/>
      <c r="N2093" s="2060"/>
      <c r="O2093" s="2060"/>
      <c r="P2093" s="2060"/>
      <c r="Q2093" s="2060"/>
      <c r="R2093" s="2060"/>
    </row>
    <row r="2094" spans="2:18">
      <c r="B2094" s="2060"/>
      <c r="C2094" s="2060"/>
      <c r="D2094" s="2060"/>
      <c r="E2094" s="255"/>
      <c r="H2094" s="2060"/>
      <c r="I2094" s="2060"/>
      <c r="J2094" s="2060"/>
      <c r="K2094" s="2060"/>
      <c r="L2094" s="2060"/>
      <c r="M2094" s="2060"/>
      <c r="N2094" s="2060"/>
      <c r="O2094" s="2060"/>
      <c r="P2094" s="2060"/>
      <c r="Q2094" s="2060"/>
      <c r="R2094" s="2060"/>
    </row>
    <row r="2095" spans="2:18">
      <c r="B2095" s="2060"/>
      <c r="C2095" s="2060"/>
      <c r="D2095" s="2060"/>
      <c r="E2095" s="255"/>
      <c r="H2095" s="2060"/>
      <c r="I2095" s="2060"/>
      <c r="J2095" s="2060"/>
      <c r="K2095" s="2060"/>
      <c r="L2095" s="2060"/>
      <c r="M2095" s="2060"/>
      <c r="N2095" s="2060"/>
      <c r="O2095" s="2060"/>
      <c r="P2095" s="2060"/>
      <c r="Q2095" s="2060"/>
      <c r="R2095" s="2060"/>
    </row>
    <row r="2096" spans="2:18">
      <c r="B2096" s="2060"/>
      <c r="C2096" s="2060"/>
      <c r="D2096" s="2060"/>
      <c r="E2096" s="255"/>
      <c r="H2096" s="2060"/>
      <c r="I2096" s="2060"/>
      <c r="J2096" s="2060"/>
      <c r="K2096" s="2060"/>
      <c r="L2096" s="2060"/>
      <c r="M2096" s="2060"/>
      <c r="N2096" s="2060"/>
      <c r="O2096" s="2060"/>
      <c r="P2096" s="2060"/>
      <c r="Q2096" s="2060"/>
      <c r="R2096" s="2060"/>
    </row>
    <row r="2097" spans="2:18">
      <c r="B2097" s="2060"/>
      <c r="C2097" s="2060"/>
      <c r="D2097" s="2060"/>
      <c r="E2097" s="255"/>
      <c r="H2097" s="2060"/>
      <c r="I2097" s="2060"/>
      <c r="J2097" s="2060"/>
      <c r="K2097" s="2060"/>
      <c r="L2097" s="2060"/>
      <c r="M2097" s="2060"/>
      <c r="N2097" s="2060"/>
      <c r="O2097" s="2060"/>
      <c r="P2097" s="2060"/>
      <c r="Q2097" s="2060"/>
      <c r="R2097" s="2060"/>
    </row>
    <row r="2098" spans="2:18">
      <c r="B2098" s="2060"/>
      <c r="C2098" s="2060"/>
      <c r="D2098" s="2060"/>
      <c r="E2098" s="255"/>
      <c r="H2098" s="2060"/>
      <c r="I2098" s="2060"/>
      <c r="J2098" s="2060"/>
      <c r="K2098" s="2060"/>
      <c r="L2098" s="2060"/>
      <c r="M2098" s="2060"/>
      <c r="N2098" s="2060"/>
      <c r="O2098" s="2060"/>
      <c r="P2098" s="2060"/>
      <c r="Q2098" s="2060"/>
      <c r="R2098" s="2060"/>
    </row>
    <row r="2099" spans="2:18">
      <c r="B2099" s="2060"/>
      <c r="C2099" s="2060"/>
      <c r="D2099" s="2060"/>
      <c r="E2099" s="255"/>
      <c r="H2099" s="2060"/>
      <c r="I2099" s="2060"/>
      <c r="J2099" s="2060"/>
      <c r="K2099" s="2060"/>
      <c r="L2099" s="2060"/>
      <c r="M2099" s="2060"/>
      <c r="N2099" s="2060"/>
      <c r="O2099" s="2060"/>
      <c r="P2099" s="2060"/>
      <c r="Q2099" s="2060"/>
      <c r="R2099" s="2060"/>
    </row>
    <row r="2100" spans="2:18">
      <c r="B2100" s="2060"/>
      <c r="C2100" s="2060"/>
      <c r="D2100" s="2060"/>
      <c r="E2100" s="255"/>
      <c r="H2100" s="2060"/>
      <c r="I2100" s="2060"/>
      <c r="J2100" s="2060"/>
      <c r="K2100" s="2060"/>
      <c r="L2100" s="2060"/>
      <c r="M2100" s="2060"/>
      <c r="N2100" s="2060"/>
      <c r="O2100" s="2060"/>
      <c r="P2100" s="2060"/>
      <c r="Q2100" s="2060"/>
      <c r="R2100" s="2060"/>
    </row>
    <row r="2101" spans="2:18">
      <c r="B2101" s="2060"/>
      <c r="C2101" s="2060"/>
      <c r="D2101" s="2060"/>
      <c r="E2101" s="255"/>
      <c r="H2101" s="2060"/>
      <c r="I2101" s="2060"/>
      <c r="J2101" s="2060"/>
      <c r="K2101" s="2060"/>
      <c r="L2101" s="2060"/>
      <c r="M2101" s="2060"/>
      <c r="N2101" s="2060"/>
      <c r="O2101" s="2060"/>
      <c r="P2101" s="2060"/>
      <c r="Q2101" s="2060"/>
      <c r="R2101" s="2060"/>
    </row>
    <row r="2102" spans="2:18">
      <c r="B2102" s="2060"/>
      <c r="C2102" s="2060"/>
      <c r="D2102" s="2060"/>
      <c r="E2102" s="255"/>
      <c r="H2102" s="2060"/>
      <c r="I2102" s="2060"/>
      <c r="J2102" s="2060"/>
      <c r="K2102" s="2060"/>
      <c r="L2102" s="2060"/>
      <c r="M2102" s="2060"/>
      <c r="N2102" s="2060"/>
      <c r="O2102" s="2060"/>
      <c r="P2102" s="2060"/>
      <c r="Q2102" s="2060"/>
      <c r="R2102" s="2060"/>
    </row>
    <row r="2103" spans="2:18">
      <c r="B2103" s="2060"/>
      <c r="C2103" s="2060"/>
      <c r="D2103" s="2060"/>
      <c r="E2103" s="255"/>
      <c r="H2103" s="2060"/>
      <c r="I2103" s="2060"/>
      <c r="J2103" s="2060"/>
      <c r="K2103" s="2060"/>
      <c r="L2103" s="2060"/>
      <c r="M2103" s="2060"/>
      <c r="N2103" s="2060"/>
      <c r="O2103" s="2060"/>
      <c r="P2103" s="2060"/>
      <c r="Q2103" s="2060"/>
      <c r="R2103" s="2060"/>
    </row>
    <row r="2104" spans="2:18">
      <c r="B2104" s="2060"/>
      <c r="C2104" s="2060"/>
      <c r="D2104" s="2060"/>
      <c r="E2104" s="255"/>
      <c r="H2104" s="2060"/>
      <c r="I2104" s="2060"/>
      <c r="J2104" s="2060"/>
      <c r="K2104" s="2060"/>
      <c r="L2104" s="2060"/>
      <c r="M2104" s="2060"/>
      <c r="N2104" s="2060"/>
      <c r="O2104" s="2060"/>
      <c r="P2104" s="2060"/>
      <c r="Q2104" s="2060"/>
      <c r="R2104" s="2060"/>
    </row>
    <row r="2105" spans="2:18">
      <c r="B2105" s="2060"/>
      <c r="C2105" s="2060"/>
      <c r="D2105" s="2060"/>
      <c r="E2105" s="255"/>
      <c r="H2105" s="2060"/>
      <c r="I2105" s="2060"/>
      <c r="J2105" s="2060"/>
      <c r="K2105" s="2060"/>
      <c r="L2105" s="2060"/>
      <c r="M2105" s="2060"/>
      <c r="N2105" s="2060"/>
      <c r="O2105" s="2060"/>
      <c r="P2105" s="2060"/>
      <c r="Q2105" s="2060"/>
      <c r="R2105" s="2060"/>
    </row>
    <row r="2106" spans="2:18">
      <c r="B2106" s="2060"/>
      <c r="C2106" s="2060"/>
      <c r="D2106" s="2060"/>
      <c r="E2106" s="255"/>
      <c r="H2106" s="2060"/>
      <c r="I2106" s="2060"/>
      <c r="J2106" s="2060"/>
      <c r="K2106" s="2060"/>
      <c r="L2106" s="2060"/>
      <c r="M2106" s="2060"/>
      <c r="N2106" s="2060"/>
      <c r="O2106" s="2060"/>
      <c r="P2106" s="2060"/>
      <c r="Q2106" s="2060"/>
      <c r="R2106" s="2060"/>
    </row>
    <row r="2107" spans="2:18">
      <c r="B2107" s="2060"/>
      <c r="C2107" s="2060"/>
      <c r="D2107" s="2060"/>
      <c r="E2107" s="255"/>
      <c r="H2107" s="2060"/>
      <c r="I2107" s="2060"/>
      <c r="J2107" s="2060"/>
      <c r="K2107" s="2060"/>
      <c r="L2107" s="2060"/>
      <c r="M2107" s="2060"/>
      <c r="N2107" s="2060"/>
      <c r="O2107" s="2060"/>
      <c r="P2107" s="2060"/>
      <c r="Q2107" s="2060"/>
      <c r="R2107" s="2060"/>
    </row>
    <row r="2108" spans="2:18">
      <c r="B2108" s="2060"/>
      <c r="C2108" s="2060"/>
      <c r="D2108" s="2060"/>
      <c r="E2108" s="255"/>
      <c r="H2108" s="2060"/>
      <c r="I2108" s="2060"/>
      <c r="J2108" s="2060"/>
      <c r="K2108" s="2060"/>
      <c r="L2108" s="2060"/>
      <c r="M2108" s="2060"/>
      <c r="N2108" s="2060"/>
      <c r="O2108" s="2060"/>
      <c r="P2108" s="2060"/>
      <c r="Q2108" s="2060"/>
      <c r="R2108" s="2060"/>
    </row>
    <row r="2109" spans="2:18">
      <c r="B2109" s="2060"/>
      <c r="C2109" s="2060"/>
      <c r="D2109" s="2060"/>
      <c r="E2109" s="255"/>
      <c r="H2109" s="2060"/>
      <c r="I2109" s="2060"/>
      <c r="J2109" s="2060"/>
      <c r="K2109" s="2060"/>
      <c r="L2109" s="2060"/>
      <c r="M2109" s="2060"/>
      <c r="N2109" s="2060"/>
      <c r="O2109" s="2060"/>
      <c r="P2109" s="2060"/>
      <c r="Q2109" s="2060"/>
      <c r="R2109" s="2060"/>
    </row>
    <row r="2110" spans="2:18">
      <c r="B2110" s="2060"/>
      <c r="C2110" s="2060"/>
      <c r="D2110" s="2060"/>
      <c r="E2110" s="255"/>
      <c r="H2110" s="2060"/>
      <c r="I2110" s="2060"/>
      <c r="J2110" s="2060"/>
      <c r="K2110" s="2060"/>
      <c r="L2110" s="2060"/>
      <c r="M2110" s="2060"/>
      <c r="N2110" s="2060"/>
      <c r="O2110" s="2060"/>
      <c r="P2110" s="2060"/>
      <c r="Q2110" s="2060"/>
      <c r="R2110" s="2060"/>
    </row>
    <row r="2111" spans="2:18">
      <c r="B2111" s="2060"/>
      <c r="C2111" s="2060"/>
      <c r="D2111" s="2060"/>
      <c r="E2111" s="255"/>
      <c r="H2111" s="2060"/>
      <c r="I2111" s="2060"/>
      <c r="J2111" s="2060"/>
      <c r="K2111" s="2060"/>
      <c r="L2111" s="2060"/>
      <c r="M2111" s="2060"/>
      <c r="N2111" s="2060"/>
      <c r="O2111" s="2060"/>
      <c r="P2111" s="2060"/>
      <c r="Q2111" s="2060"/>
      <c r="R2111" s="2060"/>
    </row>
    <row r="2112" spans="2:18">
      <c r="B2112" s="2060"/>
      <c r="C2112" s="2060"/>
      <c r="D2112" s="2060"/>
      <c r="E2112" s="255"/>
      <c r="H2112" s="2060"/>
      <c r="I2112" s="2060"/>
      <c r="J2112" s="2060"/>
      <c r="K2112" s="2060"/>
      <c r="L2112" s="2060"/>
      <c r="M2112" s="2060"/>
      <c r="N2112" s="2060"/>
      <c r="O2112" s="2060"/>
      <c r="P2112" s="2060"/>
      <c r="Q2112" s="2060"/>
      <c r="R2112" s="2060"/>
    </row>
    <row r="2113" spans="2:18">
      <c r="B2113" s="2060"/>
      <c r="C2113" s="2060"/>
      <c r="D2113" s="2060"/>
      <c r="E2113" s="255"/>
      <c r="H2113" s="2060"/>
      <c r="I2113" s="2060"/>
      <c r="J2113" s="2060"/>
      <c r="K2113" s="2060"/>
      <c r="L2113" s="2060"/>
      <c r="M2113" s="2060"/>
      <c r="N2113" s="2060"/>
      <c r="O2113" s="2060"/>
      <c r="P2113" s="2060"/>
      <c r="Q2113" s="2060"/>
      <c r="R2113" s="2060"/>
    </row>
    <row r="2114" spans="2:18">
      <c r="B2114" s="2060"/>
      <c r="C2114" s="2060"/>
      <c r="D2114" s="2060"/>
      <c r="E2114" s="255"/>
      <c r="H2114" s="2060"/>
      <c r="I2114" s="2060"/>
      <c r="J2114" s="2060"/>
      <c r="K2114" s="2060"/>
      <c r="L2114" s="2060"/>
      <c r="M2114" s="2060"/>
      <c r="N2114" s="2060"/>
      <c r="O2114" s="2060"/>
      <c r="P2114" s="2060"/>
      <c r="Q2114" s="2060"/>
      <c r="R2114" s="2060"/>
    </row>
    <row r="2115" spans="2:18">
      <c r="B2115" s="2060"/>
      <c r="C2115" s="2060"/>
      <c r="D2115" s="2060"/>
      <c r="E2115" s="255"/>
      <c r="H2115" s="2060"/>
      <c r="I2115" s="2060"/>
      <c r="J2115" s="2060"/>
      <c r="K2115" s="2060"/>
      <c r="L2115" s="2060"/>
      <c r="M2115" s="2060"/>
      <c r="N2115" s="2060"/>
      <c r="O2115" s="2060"/>
      <c r="P2115" s="2060"/>
      <c r="Q2115" s="2060"/>
      <c r="R2115" s="2060"/>
    </row>
    <row r="2116" spans="2:18">
      <c r="B2116" s="2060"/>
      <c r="C2116" s="2060"/>
      <c r="D2116" s="2060"/>
      <c r="E2116" s="255"/>
      <c r="H2116" s="2060"/>
      <c r="I2116" s="2060"/>
      <c r="J2116" s="2060"/>
      <c r="K2116" s="2060"/>
      <c r="L2116" s="2060"/>
      <c r="M2116" s="2060"/>
      <c r="N2116" s="2060"/>
      <c r="O2116" s="2060"/>
      <c r="P2116" s="2060"/>
      <c r="Q2116" s="2060"/>
      <c r="R2116" s="2060"/>
    </row>
    <row r="2117" spans="2:18">
      <c r="B2117" s="2060"/>
      <c r="C2117" s="2060"/>
      <c r="D2117" s="2060"/>
      <c r="E2117" s="255"/>
      <c r="H2117" s="2060"/>
      <c r="I2117" s="2060"/>
      <c r="J2117" s="2060"/>
      <c r="K2117" s="2060"/>
      <c r="L2117" s="2060"/>
      <c r="M2117" s="2060"/>
      <c r="N2117" s="2060"/>
      <c r="O2117" s="2060"/>
      <c r="P2117" s="2060"/>
      <c r="Q2117" s="2060"/>
      <c r="R2117" s="2060"/>
    </row>
    <row r="2118" spans="2:18">
      <c r="B2118" s="2060"/>
      <c r="C2118" s="2060"/>
      <c r="D2118" s="2060"/>
      <c r="E2118" s="255"/>
      <c r="H2118" s="2060"/>
      <c r="I2118" s="2060"/>
      <c r="J2118" s="2060"/>
      <c r="K2118" s="2060"/>
      <c r="L2118" s="2060"/>
      <c r="M2118" s="2060"/>
      <c r="N2118" s="2060"/>
      <c r="O2118" s="2060"/>
      <c r="P2118" s="2060"/>
      <c r="Q2118" s="2060"/>
      <c r="R2118" s="2060"/>
    </row>
    <row r="2119" spans="2:18">
      <c r="B2119" s="2060"/>
      <c r="C2119" s="2060"/>
      <c r="D2119" s="2060"/>
      <c r="E2119" s="255"/>
      <c r="H2119" s="2060"/>
      <c r="I2119" s="2060"/>
      <c r="J2119" s="2060"/>
      <c r="K2119" s="2060"/>
      <c r="L2119" s="2060"/>
      <c r="M2119" s="2060"/>
      <c r="N2119" s="2060"/>
      <c r="O2119" s="2060"/>
      <c r="P2119" s="2060"/>
      <c r="Q2119" s="2060"/>
      <c r="R2119" s="2060"/>
    </row>
    <row r="2120" spans="2:18">
      <c r="B2120" s="2060"/>
      <c r="C2120" s="2060"/>
      <c r="D2120" s="2060"/>
      <c r="E2120" s="255"/>
      <c r="H2120" s="2060"/>
      <c r="I2120" s="2060"/>
      <c r="J2120" s="2060"/>
      <c r="K2120" s="2060"/>
      <c r="L2120" s="2060"/>
      <c r="M2120" s="2060"/>
      <c r="N2120" s="2060"/>
      <c r="O2120" s="2060"/>
      <c r="P2120" s="2060"/>
      <c r="Q2120" s="2060"/>
      <c r="R2120" s="2060"/>
    </row>
    <row r="2121" spans="2:18">
      <c r="B2121" s="2060"/>
      <c r="C2121" s="2060"/>
      <c r="D2121" s="2060"/>
      <c r="E2121" s="255"/>
      <c r="H2121" s="2060"/>
      <c r="I2121" s="2060"/>
      <c r="J2121" s="2060"/>
      <c r="K2121" s="2060"/>
      <c r="L2121" s="2060"/>
      <c r="M2121" s="2060"/>
      <c r="N2121" s="2060"/>
      <c r="O2121" s="2060"/>
      <c r="P2121" s="2060"/>
      <c r="Q2121" s="2060"/>
      <c r="R2121" s="2060"/>
    </row>
    <row r="2122" spans="2:18">
      <c r="B2122" s="2060"/>
      <c r="C2122" s="2060"/>
      <c r="D2122" s="2060"/>
      <c r="E2122" s="255"/>
      <c r="H2122" s="2060"/>
      <c r="I2122" s="2060"/>
      <c r="J2122" s="2060"/>
      <c r="K2122" s="2060"/>
      <c r="L2122" s="2060"/>
      <c r="M2122" s="2060"/>
      <c r="N2122" s="2060"/>
      <c r="O2122" s="2060"/>
      <c r="P2122" s="2060"/>
      <c r="Q2122" s="2060"/>
      <c r="R2122" s="2060"/>
    </row>
    <row r="2123" spans="2:18">
      <c r="B2123" s="2060"/>
      <c r="C2123" s="2060"/>
      <c r="D2123" s="2060"/>
      <c r="E2123" s="255"/>
      <c r="H2123" s="2060"/>
      <c r="I2123" s="2060"/>
      <c r="J2123" s="2060"/>
      <c r="K2123" s="2060"/>
      <c r="L2123" s="2060"/>
      <c r="M2123" s="2060"/>
      <c r="N2123" s="2060"/>
      <c r="O2123" s="2060"/>
      <c r="P2123" s="2060"/>
      <c r="Q2123" s="2060"/>
      <c r="R2123" s="2060"/>
    </row>
    <row r="2124" spans="2:18">
      <c r="B2124" s="2060"/>
      <c r="C2124" s="2060"/>
      <c r="D2124" s="2060"/>
      <c r="E2124" s="255"/>
      <c r="H2124" s="2060"/>
      <c r="I2124" s="2060"/>
      <c r="J2124" s="2060"/>
      <c r="K2124" s="2060"/>
      <c r="L2124" s="2060"/>
      <c r="M2124" s="2060"/>
      <c r="N2124" s="2060"/>
      <c r="O2124" s="2060"/>
      <c r="P2124" s="2060"/>
      <c r="Q2124" s="2060"/>
      <c r="R2124" s="2060"/>
    </row>
    <row r="2125" spans="2:18">
      <c r="B2125" s="2060"/>
      <c r="C2125" s="2060"/>
      <c r="D2125" s="2060"/>
      <c r="E2125" s="255"/>
      <c r="H2125" s="2060"/>
      <c r="I2125" s="2060"/>
      <c r="J2125" s="2060"/>
      <c r="K2125" s="2060"/>
      <c r="L2125" s="2060"/>
      <c r="M2125" s="2060"/>
      <c r="N2125" s="2060"/>
      <c r="O2125" s="2060"/>
      <c r="P2125" s="2060"/>
      <c r="Q2125" s="2060"/>
      <c r="R2125" s="2060"/>
    </row>
    <row r="2126" spans="2:18">
      <c r="B2126" s="2060"/>
      <c r="C2126" s="2060"/>
      <c r="D2126" s="2060"/>
      <c r="E2126" s="255"/>
      <c r="H2126" s="2060"/>
      <c r="I2126" s="2060"/>
      <c r="J2126" s="2060"/>
      <c r="K2126" s="2060"/>
      <c r="L2126" s="2060"/>
      <c r="M2126" s="2060"/>
      <c r="N2126" s="2060"/>
      <c r="O2126" s="2060"/>
      <c r="P2126" s="2060"/>
      <c r="Q2126" s="2060"/>
      <c r="R2126" s="2060"/>
    </row>
    <row r="2127" spans="2:18">
      <c r="B2127" s="2060"/>
      <c r="C2127" s="2060"/>
      <c r="D2127" s="2060"/>
      <c r="E2127" s="255"/>
      <c r="H2127" s="2060"/>
      <c r="I2127" s="2060"/>
      <c r="J2127" s="2060"/>
      <c r="K2127" s="2060"/>
      <c r="L2127" s="2060"/>
      <c r="M2127" s="2060"/>
      <c r="N2127" s="2060"/>
      <c r="O2127" s="2060"/>
      <c r="P2127" s="2060"/>
      <c r="Q2127" s="2060"/>
      <c r="R2127" s="2060"/>
    </row>
    <row r="2128" spans="2:18">
      <c r="B2128" s="2060"/>
      <c r="C2128" s="2060"/>
      <c r="D2128" s="2060"/>
      <c r="E2128" s="255"/>
      <c r="H2128" s="2060"/>
      <c r="I2128" s="2060"/>
      <c r="J2128" s="2060"/>
      <c r="K2128" s="2060"/>
      <c r="L2128" s="2060"/>
      <c r="M2128" s="2060"/>
      <c r="N2128" s="2060"/>
      <c r="O2128" s="2060"/>
      <c r="P2128" s="2060"/>
      <c r="Q2128" s="2060"/>
      <c r="R2128" s="2060"/>
    </row>
    <row r="2129" spans="2:18">
      <c r="B2129" s="2060"/>
      <c r="C2129" s="2060"/>
      <c r="D2129" s="2060"/>
      <c r="E2129" s="255"/>
      <c r="H2129" s="2060"/>
      <c r="I2129" s="2060"/>
      <c r="J2129" s="2060"/>
      <c r="K2129" s="2060"/>
      <c r="L2129" s="2060"/>
      <c r="M2129" s="2060"/>
      <c r="N2129" s="2060"/>
      <c r="O2129" s="2060"/>
      <c r="P2129" s="2060"/>
      <c r="Q2129" s="2060"/>
      <c r="R2129" s="2060"/>
    </row>
    <row r="2130" spans="2:18">
      <c r="B2130" s="2060"/>
      <c r="C2130" s="2060"/>
      <c r="D2130" s="2060"/>
      <c r="E2130" s="255"/>
      <c r="H2130" s="2060"/>
      <c r="I2130" s="2060"/>
      <c r="J2130" s="2060"/>
      <c r="K2130" s="2060"/>
      <c r="L2130" s="2060"/>
      <c r="M2130" s="2060"/>
      <c r="N2130" s="2060"/>
      <c r="O2130" s="2060"/>
      <c r="P2130" s="2060"/>
      <c r="Q2130" s="2060"/>
      <c r="R2130" s="2060"/>
    </row>
    <row r="2131" spans="2:18">
      <c r="B2131" s="2060"/>
      <c r="C2131" s="2060"/>
      <c r="D2131" s="2060"/>
      <c r="E2131" s="255"/>
      <c r="H2131" s="2060"/>
      <c r="I2131" s="2060"/>
      <c r="J2131" s="2060"/>
      <c r="K2131" s="2060"/>
      <c r="L2131" s="2060"/>
      <c r="M2131" s="2060"/>
      <c r="N2131" s="2060"/>
      <c r="O2131" s="2060"/>
      <c r="P2131" s="2060"/>
      <c r="Q2131" s="2060"/>
      <c r="R2131" s="2060"/>
    </row>
    <row r="2132" spans="2:18">
      <c r="B2132" s="2060"/>
      <c r="C2132" s="2060"/>
      <c r="D2132" s="2060"/>
      <c r="E2132" s="255"/>
      <c r="H2132" s="2060"/>
      <c r="I2132" s="2060"/>
      <c r="J2132" s="2060"/>
      <c r="K2132" s="2060"/>
      <c r="L2132" s="2060"/>
      <c r="M2132" s="2060"/>
      <c r="N2132" s="2060"/>
      <c r="O2132" s="2060"/>
      <c r="P2132" s="2060"/>
      <c r="Q2132" s="2060"/>
      <c r="R2132" s="2060"/>
    </row>
    <row r="2133" spans="2:18">
      <c r="B2133" s="2060"/>
      <c r="C2133" s="2060"/>
      <c r="D2133" s="2060"/>
      <c r="E2133" s="255"/>
      <c r="H2133" s="2060"/>
      <c r="I2133" s="2060"/>
      <c r="J2133" s="2060"/>
      <c r="K2133" s="2060"/>
      <c r="L2133" s="2060"/>
      <c r="M2133" s="2060"/>
      <c r="N2133" s="2060"/>
      <c r="O2133" s="2060"/>
      <c r="P2133" s="2060"/>
      <c r="Q2133" s="2060"/>
      <c r="R2133" s="2060"/>
    </row>
    <row r="2134" spans="2:18">
      <c r="B2134" s="2060"/>
      <c r="C2134" s="2060"/>
      <c r="D2134" s="2060"/>
      <c r="E2134" s="255"/>
      <c r="H2134" s="2060"/>
      <c r="I2134" s="2060"/>
      <c r="J2134" s="2060"/>
      <c r="K2134" s="2060"/>
      <c r="L2134" s="2060"/>
      <c r="M2134" s="2060"/>
      <c r="N2134" s="2060"/>
      <c r="O2134" s="2060"/>
      <c r="P2134" s="2060"/>
      <c r="Q2134" s="2060"/>
      <c r="R2134" s="2060"/>
    </row>
    <row r="2135" spans="2:18">
      <c r="B2135" s="2060"/>
      <c r="C2135" s="2060"/>
      <c r="D2135" s="2060"/>
      <c r="E2135" s="255"/>
      <c r="H2135" s="2060"/>
      <c r="I2135" s="2060"/>
      <c r="J2135" s="2060"/>
      <c r="K2135" s="2060"/>
      <c r="L2135" s="2060"/>
      <c r="M2135" s="2060"/>
      <c r="N2135" s="2060"/>
      <c r="O2135" s="2060"/>
      <c r="P2135" s="2060"/>
      <c r="Q2135" s="2060"/>
      <c r="R2135" s="2060"/>
    </row>
    <row r="2136" spans="2:18">
      <c r="B2136" s="2060"/>
      <c r="C2136" s="2060"/>
      <c r="D2136" s="2060"/>
      <c r="E2136" s="255"/>
      <c r="H2136" s="2060"/>
      <c r="I2136" s="2060"/>
      <c r="J2136" s="2060"/>
      <c r="K2136" s="2060"/>
      <c r="L2136" s="2060"/>
      <c r="M2136" s="2060"/>
      <c r="N2136" s="2060"/>
      <c r="O2136" s="2060"/>
      <c r="P2136" s="2060"/>
      <c r="Q2136" s="2060"/>
      <c r="R2136" s="2060"/>
    </row>
    <row r="2137" spans="2:18">
      <c r="B2137" s="2060"/>
      <c r="C2137" s="2060"/>
      <c r="D2137" s="2060"/>
      <c r="E2137" s="255"/>
      <c r="H2137" s="2060"/>
      <c r="I2137" s="2060"/>
      <c r="J2137" s="2060"/>
      <c r="K2137" s="2060"/>
      <c r="L2137" s="2060"/>
      <c r="M2137" s="2060"/>
      <c r="N2137" s="2060"/>
      <c r="O2137" s="2060"/>
      <c r="P2137" s="2060"/>
      <c r="Q2137" s="2060"/>
      <c r="R2137" s="2060"/>
    </row>
    <row r="2138" spans="2:18">
      <c r="B2138" s="2060"/>
      <c r="C2138" s="2060"/>
      <c r="D2138" s="2060"/>
      <c r="E2138" s="255"/>
      <c r="H2138" s="2060"/>
      <c r="I2138" s="2060"/>
      <c r="J2138" s="2060"/>
      <c r="K2138" s="2060"/>
      <c r="L2138" s="2060"/>
      <c r="M2138" s="2060"/>
      <c r="N2138" s="2060"/>
      <c r="O2138" s="2060"/>
      <c r="P2138" s="2060"/>
      <c r="Q2138" s="2060"/>
      <c r="R2138" s="2060"/>
    </row>
    <row r="2139" spans="2:18">
      <c r="B2139" s="2060"/>
      <c r="C2139" s="2060"/>
      <c r="D2139" s="2060"/>
      <c r="E2139" s="255"/>
      <c r="H2139" s="2060"/>
      <c r="I2139" s="2060"/>
      <c r="J2139" s="2060"/>
      <c r="K2139" s="2060"/>
      <c r="L2139" s="2060"/>
      <c r="M2139" s="2060"/>
      <c r="N2139" s="2060"/>
      <c r="O2139" s="2060"/>
      <c r="P2139" s="2060"/>
      <c r="Q2139" s="2060"/>
      <c r="R2139" s="2060"/>
    </row>
    <row r="2140" spans="2:18">
      <c r="B2140" s="2060"/>
      <c r="C2140" s="2060"/>
      <c r="D2140" s="2060"/>
      <c r="E2140" s="255"/>
      <c r="H2140" s="2060"/>
      <c r="I2140" s="2060"/>
      <c r="J2140" s="2060"/>
      <c r="K2140" s="2060"/>
      <c r="L2140" s="2060"/>
      <c r="M2140" s="2060"/>
      <c r="N2140" s="2060"/>
      <c r="O2140" s="2060"/>
      <c r="P2140" s="2060"/>
      <c r="Q2140" s="2060"/>
      <c r="R2140" s="2060"/>
    </row>
    <row r="2141" spans="2:18">
      <c r="B2141" s="2060"/>
      <c r="C2141" s="2060"/>
      <c r="D2141" s="2060"/>
      <c r="E2141" s="255"/>
      <c r="H2141" s="2060"/>
      <c r="I2141" s="2060"/>
      <c r="J2141" s="2060"/>
      <c r="K2141" s="2060"/>
      <c r="L2141" s="2060"/>
      <c r="M2141" s="2060"/>
      <c r="N2141" s="2060"/>
      <c r="O2141" s="2060"/>
      <c r="P2141" s="2060"/>
      <c r="Q2141" s="2060"/>
      <c r="R2141" s="2060"/>
    </row>
    <row r="2142" spans="2:18">
      <c r="B2142" s="2060"/>
      <c r="C2142" s="2060"/>
      <c r="D2142" s="2060"/>
      <c r="E2142" s="255"/>
      <c r="H2142" s="2060"/>
      <c r="I2142" s="2060"/>
      <c r="J2142" s="2060"/>
      <c r="K2142" s="2060"/>
      <c r="L2142" s="2060"/>
      <c r="M2142" s="2060"/>
      <c r="N2142" s="2060"/>
      <c r="O2142" s="2060"/>
      <c r="P2142" s="2060"/>
      <c r="Q2142" s="2060"/>
      <c r="R2142" s="2060"/>
    </row>
    <row r="2143" spans="2:18">
      <c r="B2143" s="2060"/>
      <c r="C2143" s="2060"/>
      <c r="D2143" s="2060"/>
      <c r="E2143" s="255"/>
      <c r="H2143" s="2060"/>
      <c r="I2143" s="2060"/>
      <c r="J2143" s="2060"/>
      <c r="K2143" s="2060"/>
      <c r="L2143" s="2060"/>
      <c r="M2143" s="2060"/>
      <c r="N2143" s="2060"/>
      <c r="O2143" s="2060"/>
      <c r="P2143" s="2060"/>
      <c r="Q2143" s="2060"/>
      <c r="R2143" s="2060"/>
    </row>
    <row r="2144" spans="2:18">
      <c r="B2144" s="2060"/>
      <c r="C2144" s="2060"/>
      <c r="D2144" s="2060"/>
      <c r="E2144" s="255"/>
      <c r="H2144" s="2060"/>
      <c r="I2144" s="2060"/>
      <c r="J2144" s="2060"/>
      <c r="K2144" s="2060"/>
      <c r="L2144" s="2060"/>
      <c r="M2144" s="2060"/>
      <c r="N2144" s="2060"/>
      <c r="O2144" s="2060"/>
      <c r="P2144" s="2060"/>
      <c r="Q2144" s="2060"/>
      <c r="R2144" s="2060"/>
    </row>
    <row r="2145" spans="2:18">
      <c r="B2145" s="2060"/>
      <c r="C2145" s="2060"/>
      <c r="D2145" s="2060"/>
      <c r="E2145" s="255"/>
      <c r="H2145" s="2060"/>
      <c r="I2145" s="2060"/>
      <c r="J2145" s="2060"/>
      <c r="K2145" s="2060"/>
      <c r="L2145" s="2060"/>
      <c r="M2145" s="2060"/>
      <c r="N2145" s="2060"/>
      <c r="O2145" s="2060"/>
      <c r="P2145" s="2060"/>
      <c r="Q2145" s="2060"/>
      <c r="R2145" s="2060"/>
    </row>
    <row r="2146" spans="2:18">
      <c r="B2146" s="2060"/>
      <c r="C2146" s="2060"/>
      <c r="D2146" s="2060"/>
      <c r="E2146" s="255"/>
      <c r="H2146" s="2060"/>
      <c r="I2146" s="2060"/>
      <c r="J2146" s="2060"/>
      <c r="K2146" s="2060"/>
      <c r="L2146" s="2060"/>
      <c r="M2146" s="2060"/>
      <c r="N2146" s="2060"/>
      <c r="O2146" s="2060"/>
      <c r="P2146" s="2060"/>
      <c r="Q2146" s="2060"/>
      <c r="R2146" s="2060"/>
    </row>
    <row r="2147" spans="2:18">
      <c r="B2147" s="2060"/>
      <c r="C2147" s="2060"/>
      <c r="D2147" s="2060"/>
      <c r="E2147" s="255"/>
      <c r="H2147" s="2060"/>
      <c r="I2147" s="2060"/>
      <c r="J2147" s="2060"/>
      <c r="K2147" s="2060"/>
      <c r="L2147" s="2060"/>
      <c r="M2147" s="2060"/>
      <c r="N2147" s="2060"/>
      <c r="O2147" s="2060"/>
      <c r="P2147" s="2060"/>
      <c r="Q2147" s="2060"/>
      <c r="R2147" s="2060"/>
    </row>
    <row r="2148" spans="2:18">
      <c r="B2148" s="2060"/>
      <c r="C2148" s="2060"/>
      <c r="D2148" s="2060"/>
      <c r="E2148" s="255"/>
      <c r="H2148" s="2060"/>
      <c r="I2148" s="2060"/>
      <c r="J2148" s="2060"/>
      <c r="K2148" s="2060"/>
      <c r="L2148" s="2060"/>
      <c r="M2148" s="2060"/>
      <c r="N2148" s="2060"/>
      <c r="O2148" s="2060"/>
      <c r="P2148" s="2060"/>
      <c r="Q2148" s="2060"/>
      <c r="R2148" s="2060"/>
    </row>
    <row r="2149" spans="2:18">
      <c r="B2149" s="2060"/>
      <c r="C2149" s="2060"/>
      <c r="D2149" s="2060"/>
      <c r="E2149" s="255"/>
      <c r="H2149" s="2060"/>
      <c r="I2149" s="2060"/>
      <c r="J2149" s="2060"/>
      <c r="K2149" s="2060"/>
      <c r="L2149" s="2060"/>
      <c r="M2149" s="2060"/>
      <c r="N2149" s="2060"/>
      <c r="O2149" s="2060"/>
      <c r="P2149" s="2060"/>
      <c r="Q2149" s="2060"/>
      <c r="R2149" s="2060"/>
    </row>
    <row r="2150" spans="2:18">
      <c r="B2150" s="2060"/>
      <c r="C2150" s="2060"/>
      <c r="D2150" s="2060"/>
      <c r="E2150" s="255"/>
      <c r="H2150" s="2060"/>
      <c r="I2150" s="2060"/>
      <c r="J2150" s="2060"/>
      <c r="K2150" s="2060"/>
      <c r="L2150" s="2060"/>
      <c r="M2150" s="2060"/>
      <c r="N2150" s="2060"/>
      <c r="O2150" s="2060"/>
      <c r="P2150" s="2060"/>
      <c r="Q2150" s="2060"/>
      <c r="R2150" s="2060"/>
    </row>
    <row r="2151" spans="2:18">
      <c r="B2151" s="2060"/>
      <c r="C2151" s="2060"/>
      <c r="D2151" s="2060"/>
      <c r="E2151" s="255"/>
      <c r="H2151" s="2060"/>
      <c r="I2151" s="2060"/>
      <c r="J2151" s="2060"/>
      <c r="K2151" s="2060"/>
      <c r="L2151" s="2060"/>
      <c r="M2151" s="2060"/>
      <c r="N2151" s="2060"/>
      <c r="O2151" s="2060"/>
      <c r="P2151" s="2060"/>
      <c r="Q2151" s="2060"/>
      <c r="R2151" s="2060"/>
    </row>
    <row r="2152" spans="2:18">
      <c r="B2152" s="2060"/>
      <c r="C2152" s="2060"/>
      <c r="D2152" s="2060"/>
      <c r="E2152" s="255"/>
      <c r="H2152" s="2060"/>
      <c r="I2152" s="2060"/>
      <c r="J2152" s="2060"/>
      <c r="K2152" s="2060"/>
      <c r="L2152" s="2060"/>
      <c r="M2152" s="2060"/>
      <c r="N2152" s="2060"/>
      <c r="O2152" s="2060"/>
      <c r="P2152" s="2060"/>
      <c r="Q2152" s="2060"/>
      <c r="R2152" s="2060"/>
    </row>
    <row r="2153" spans="2:18">
      <c r="B2153" s="2060"/>
      <c r="C2153" s="2060"/>
      <c r="D2153" s="2060"/>
      <c r="E2153" s="255"/>
      <c r="H2153" s="2060"/>
      <c r="I2153" s="2060"/>
      <c r="J2153" s="2060"/>
      <c r="K2153" s="2060"/>
      <c r="L2153" s="2060"/>
      <c r="M2153" s="2060"/>
      <c r="N2153" s="2060"/>
      <c r="O2153" s="2060"/>
      <c r="P2153" s="2060"/>
      <c r="Q2153" s="2060"/>
      <c r="R2153" s="2060"/>
    </row>
    <row r="2154" spans="2:18">
      <c r="B2154" s="2060"/>
      <c r="C2154" s="2060"/>
      <c r="D2154" s="2060"/>
      <c r="E2154" s="255"/>
      <c r="H2154" s="2060"/>
      <c r="I2154" s="2060"/>
      <c r="J2154" s="2060"/>
      <c r="K2154" s="2060"/>
      <c r="L2154" s="2060"/>
      <c r="M2154" s="2060"/>
      <c r="N2154" s="2060"/>
      <c r="O2154" s="2060"/>
      <c r="P2154" s="2060"/>
      <c r="Q2154" s="2060"/>
      <c r="R2154" s="2060"/>
    </row>
    <row r="2155" spans="2:18">
      <c r="B2155" s="2060"/>
      <c r="C2155" s="2060"/>
      <c r="D2155" s="2060"/>
      <c r="E2155" s="255"/>
      <c r="H2155" s="2060"/>
      <c r="I2155" s="2060"/>
      <c r="J2155" s="2060"/>
      <c r="K2155" s="2060"/>
      <c r="L2155" s="2060"/>
      <c r="M2155" s="2060"/>
      <c r="N2155" s="2060"/>
      <c r="O2155" s="2060"/>
      <c r="P2155" s="2060"/>
      <c r="Q2155" s="2060"/>
      <c r="R2155" s="2060"/>
    </row>
    <row r="2156" spans="2:18">
      <c r="B2156" s="2060"/>
      <c r="C2156" s="2060"/>
      <c r="D2156" s="2060"/>
      <c r="E2156" s="255"/>
      <c r="H2156" s="2060"/>
      <c r="I2156" s="2060"/>
      <c r="J2156" s="2060"/>
      <c r="K2156" s="2060"/>
      <c r="L2156" s="2060"/>
      <c r="M2156" s="2060"/>
      <c r="N2156" s="2060"/>
      <c r="O2156" s="2060"/>
      <c r="P2156" s="2060"/>
      <c r="Q2156" s="2060"/>
      <c r="R2156" s="2060"/>
    </row>
    <row r="2157" spans="2:18">
      <c r="B2157" s="2060"/>
      <c r="C2157" s="2060"/>
      <c r="D2157" s="2060"/>
      <c r="E2157" s="255"/>
      <c r="H2157" s="2060"/>
      <c r="I2157" s="2060"/>
      <c r="J2157" s="2060"/>
      <c r="K2157" s="2060"/>
      <c r="L2157" s="2060"/>
      <c r="M2157" s="2060"/>
      <c r="N2157" s="2060"/>
      <c r="O2157" s="2060"/>
      <c r="P2157" s="2060"/>
      <c r="Q2157" s="2060"/>
      <c r="R2157" s="2060"/>
    </row>
    <row r="2158" spans="2:18">
      <c r="B2158" s="2060"/>
      <c r="C2158" s="2060"/>
      <c r="D2158" s="2060"/>
      <c r="E2158" s="255"/>
      <c r="H2158" s="2060"/>
      <c r="I2158" s="2060"/>
      <c r="J2158" s="2060"/>
      <c r="K2158" s="2060"/>
      <c r="L2158" s="2060"/>
      <c r="M2158" s="2060"/>
      <c r="N2158" s="2060"/>
      <c r="O2158" s="2060"/>
      <c r="P2158" s="2060"/>
      <c r="Q2158" s="2060"/>
      <c r="R2158" s="2060"/>
    </row>
    <row r="2159" spans="2:18">
      <c r="B2159" s="2060"/>
      <c r="C2159" s="2060"/>
      <c r="D2159" s="2060"/>
      <c r="E2159" s="255"/>
      <c r="H2159" s="2060"/>
      <c r="I2159" s="2060"/>
      <c r="J2159" s="2060"/>
      <c r="K2159" s="2060"/>
      <c r="L2159" s="2060"/>
      <c r="M2159" s="2060"/>
      <c r="N2159" s="2060"/>
      <c r="O2159" s="2060"/>
      <c r="P2159" s="2060"/>
      <c r="Q2159" s="2060"/>
      <c r="R2159" s="2060"/>
    </row>
    <row r="2160" spans="2:18">
      <c r="B2160" s="2060"/>
      <c r="C2160" s="2060"/>
      <c r="D2160" s="2060"/>
      <c r="E2160" s="255"/>
      <c r="H2160" s="2060"/>
      <c r="I2160" s="2060"/>
      <c r="J2160" s="2060"/>
      <c r="K2160" s="2060"/>
      <c r="L2160" s="2060"/>
      <c r="M2160" s="2060"/>
      <c r="N2160" s="2060"/>
      <c r="O2160" s="2060"/>
      <c r="P2160" s="2060"/>
      <c r="Q2160" s="2060"/>
      <c r="R2160" s="2060"/>
    </row>
    <row r="2161" spans="2:18">
      <c r="B2161" s="2060"/>
      <c r="C2161" s="2060"/>
      <c r="D2161" s="2060"/>
      <c r="E2161" s="255"/>
      <c r="H2161" s="2060"/>
      <c r="I2161" s="2060"/>
      <c r="J2161" s="2060"/>
      <c r="K2161" s="2060"/>
      <c r="L2161" s="2060"/>
      <c r="M2161" s="2060"/>
      <c r="N2161" s="2060"/>
      <c r="O2161" s="2060"/>
      <c r="P2161" s="2060"/>
      <c r="Q2161" s="2060"/>
      <c r="R2161" s="2060"/>
    </row>
    <row r="2162" spans="2:18">
      <c r="B2162" s="2060"/>
      <c r="C2162" s="2060"/>
      <c r="D2162" s="2060"/>
      <c r="E2162" s="255"/>
      <c r="H2162" s="2060"/>
      <c r="I2162" s="2060"/>
      <c r="J2162" s="2060"/>
      <c r="K2162" s="2060"/>
      <c r="L2162" s="2060"/>
      <c r="M2162" s="2060"/>
      <c r="N2162" s="2060"/>
      <c r="O2162" s="2060"/>
      <c r="P2162" s="2060"/>
      <c r="Q2162" s="2060"/>
      <c r="R2162" s="2060"/>
    </row>
    <row r="2163" spans="2:18">
      <c r="B2163" s="2060"/>
      <c r="C2163" s="2060"/>
      <c r="D2163" s="2060"/>
      <c r="E2163" s="255"/>
      <c r="H2163" s="2060"/>
      <c r="I2163" s="2060"/>
      <c r="J2163" s="2060"/>
      <c r="K2163" s="2060"/>
      <c r="L2163" s="2060"/>
      <c r="M2163" s="2060"/>
      <c r="N2163" s="2060"/>
      <c r="O2163" s="2060"/>
      <c r="P2163" s="2060"/>
      <c r="Q2163" s="2060"/>
      <c r="R2163" s="2060"/>
    </row>
    <row r="2164" spans="2:18">
      <c r="B2164" s="2060"/>
      <c r="C2164" s="2060"/>
      <c r="D2164" s="2060"/>
      <c r="E2164" s="255"/>
      <c r="H2164" s="2060"/>
      <c r="I2164" s="2060"/>
      <c r="J2164" s="2060"/>
      <c r="K2164" s="2060"/>
      <c r="L2164" s="2060"/>
      <c r="M2164" s="2060"/>
      <c r="N2164" s="2060"/>
      <c r="O2164" s="2060"/>
      <c r="P2164" s="2060"/>
      <c r="Q2164" s="2060"/>
      <c r="R2164" s="2060"/>
    </row>
    <row r="2165" spans="2:18">
      <c r="B2165" s="2060"/>
      <c r="C2165" s="2060"/>
      <c r="D2165" s="2060"/>
      <c r="E2165" s="255"/>
      <c r="H2165" s="2060"/>
      <c r="I2165" s="2060"/>
      <c r="J2165" s="2060"/>
      <c r="K2165" s="2060"/>
      <c r="L2165" s="2060"/>
      <c r="M2165" s="2060"/>
      <c r="N2165" s="2060"/>
      <c r="O2165" s="2060"/>
      <c r="P2165" s="2060"/>
      <c r="Q2165" s="2060"/>
      <c r="R2165" s="2060"/>
    </row>
    <row r="2166" spans="2:18">
      <c r="B2166" s="2060"/>
      <c r="C2166" s="2060"/>
      <c r="D2166" s="2060"/>
      <c r="E2166" s="255"/>
      <c r="H2166" s="2060"/>
      <c r="I2166" s="2060"/>
      <c r="J2166" s="2060"/>
      <c r="K2166" s="2060"/>
      <c r="L2166" s="2060"/>
      <c r="M2166" s="2060"/>
      <c r="N2166" s="2060"/>
      <c r="O2166" s="2060"/>
      <c r="P2166" s="2060"/>
      <c r="Q2166" s="2060"/>
      <c r="R2166" s="2060"/>
    </row>
    <row r="2167" spans="2:18">
      <c r="B2167" s="2060"/>
      <c r="C2167" s="2060"/>
      <c r="D2167" s="2060"/>
      <c r="E2167" s="255"/>
      <c r="H2167" s="2060"/>
      <c r="I2167" s="2060"/>
      <c r="J2167" s="2060"/>
      <c r="K2167" s="2060"/>
      <c r="L2167" s="2060"/>
      <c r="M2167" s="2060"/>
      <c r="N2167" s="2060"/>
      <c r="O2167" s="2060"/>
      <c r="P2167" s="2060"/>
      <c r="Q2167" s="2060"/>
      <c r="R2167" s="2060"/>
    </row>
    <row r="2168" spans="2:18">
      <c r="B2168" s="2060"/>
      <c r="C2168" s="2060"/>
      <c r="D2168" s="2060"/>
      <c r="E2168" s="255"/>
      <c r="H2168" s="2060"/>
      <c r="I2168" s="2060"/>
      <c r="J2168" s="2060"/>
      <c r="K2168" s="2060"/>
      <c r="L2168" s="2060"/>
      <c r="M2168" s="2060"/>
      <c r="N2168" s="2060"/>
      <c r="O2168" s="2060"/>
      <c r="P2168" s="2060"/>
      <c r="Q2168" s="2060"/>
      <c r="R2168" s="2060"/>
    </row>
    <row r="2169" spans="2:18">
      <c r="B2169" s="2060"/>
      <c r="C2169" s="2060"/>
      <c r="D2169" s="2060"/>
      <c r="E2169" s="255"/>
      <c r="H2169" s="2060"/>
      <c r="I2169" s="2060"/>
      <c r="J2169" s="2060"/>
      <c r="K2169" s="2060"/>
      <c r="L2169" s="2060"/>
      <c r="M2169" s="2060"/>
      <c r="N2169" s="2060"/>
      <c r="O2169" s="2060"/>
      <c r="P2169" s="2060"/>
      <c r="Q2169" s="2060"/>
      <c r="R2169" s="2060"/>
    </row>
    <row r="2170" spans="2:18">
      <c r="B2170" s="2060"/>
      <c r="C2170" s="2060"/>
      <c r="D2170" s="2060"/>
      <c r="E2170" s="255"/>
      <c r="H2170" s="2060"/>
      <c r="I2170" s="2060"/>
      <c r="J2170" s="2060"/>
      <c r="K2170" s="2060"/>
      <c r="L2170" s="2060"/>
      <c r="M2170" s="2060"/>
      <c r="N2170" s="2060"/>
      <c r="O2170" s="2060"/>
      <c r="P2170" s="2060"/>
      <c r="Q2170" s="2060"/>
      <c r="R2170" s="2060"/>
    </row>
    <row r="2171" spans="2:18">
      <c r="B2171" s="2060"/>
      <c r="C2171" s="2060"/>
      <c r="D2171" s="2060"/>
      <c r="E2171" s="255"/>
      <c r="H2171" s="2060"/>
      <c r="I2171" s="2060"/>
      <c r="J2171" s="2060"/>
      <c r="K2171" s="2060"/>
      <c r="L2171" s="2060"/>
      <c r="M2171" s="2060"/>
      <c r="N2171" s="2060"/>
      <c r="O2171" s="2060"/>
      <c r="P2171" s="2060"/>
      <c r="Q2171" s="2060"/>
      <c r="R2171" s="2060"/>
    </row>
    <row r="2172" spans="2:18">
      <c r="B2172" s="2060"/>
      <c r="C2172" s="2060"/>
      <c r="D2172" s="2060"/>
      <c r="E2172" s="255"/>
      <c r="H2172" s="2060"/>
      <c r="I2172" s="2060"/>
      <c r="J2172" s="2060"/>
      <c r="K2172" s="2060"/>
      <c r="L2172" s="2060"/>
      <c r="M2172" s="2060"/>
      <c r="N2172" s="2060"/>
      <c r="O2172" s="2060"/>
      <c r="P2172" s="2060"/>
      <c r="Q2172" s="2060"/>
      <c r="R2172" s="2060"/>
    </row>
    <row r="2173" spans="2:18">
      <c r="B2173" s="2060"/>
      <c r="C2173" s="2060"/>
      <c r="D2173" s="2060"/>
      <c r="E2173" s="255"/>
      <c r="H2173" s="2060"/>
      <c r="I2173" s="2060"/>
      <c r="J2173" s="2060"/>
      <c r="K2173" s="2060"/>
      <c r="L2173" s="2060"/>
      <c r="M2173" s="2060"/>
      <c r="N2173" s="2060"/>
      <c r="O2173" s="2060"/>
      <c r="P2173" s="2060"/>
      <c r="Q2173" s="2060"/>
      <c r="R2173" s="2060"/>
    </row>
    <row r="2174" spans="2:18">
      <c r="B2174" s="2060"/>
      <c r="C2174" s="2060"/>
      <c r="D2174" s="2060"/>
      <c r="E2174" s="255"/>
      <c r="H2174" s="2060"/>
      <c r="I2174" s="2060"/>
      <c r="J2174" s="2060"/>
      <c r="K2174" s="2060"/>
      <c r="L2174" s="2060"/>
      <c r="M2174" s="2060"/>
      <c r="N2174" s="2060"/>
      <c r="O2174" s="2060"/>
      <c r="P2174" s="2060"/>
      <c r="Q2174" s="2060"/>
      <c r="R2174" s="2060"/>
    </row>
    <row r="2175" spans="2:18">
      <c r="B2175" s="2060"/>
      <c r="C2175" s="2060"/>
      <c r="D2175" s="2060"/>
      <c r="E2175" s="255"/>
      <c r="H2175" s="2060"/>
      <c r="I2175" s="2060"/>
      <c r="J2175" s="2060"/>
      <c r="K2175" s="2060"/>
      <c r="L2175" s="2060"/>
      <c r="M2175" s="2060"/>
      <c r="N2175" s="2060"/>
      <c r="O2175" s="2060"/>
      <c r="P2175" s="2060"/>
      <c r="Q2175" s="2060"/>
      <c r="R2175" s="2060"/>
    </row>
    <row r="2176" spans="2:18">
      <c r="B2176" s="2060"/>
      <c r="C2176" s="2060"/>
      <c r="D2176" s="2060"/>
      <c r="E2176" s="255"/>
      <c r="H2176" s="2060"/>
      <c r="I2176" s="2060"/>
      <c r="J2176" s="2060"/>
      <c r="K2176" s="2060"/>
      <c r="L2176" s="2060"/>
      <c r="M2176" s="2060"/>
      <c r="N2176" s="2060"/>
      <c r="O2176" s="2060"/>
      <c r="P2176" s="2060"/>
      <c r="Q2176" s="2060"/>
      <c r="R2176" s="2060"/>
    </row>
    <row r="2177" spans="2:18">
      <c r="B2177" s="2060"/>
      <c r="C2177" s="2060"/>
      <c r="D2177" s="2060"/>
      <c r="E2177" s="255"/>
      <c r="H2177" s="2060"/>
      <c r="I2177" s="2060"/>
      <c r="J2177" s="2060"/>
      <c r="K2177" s="2060"/>
      <c r="L2177" s="2060"/>
      <c r="M2177" s="2060"/>
      <c r="N2177" s="2060"/>
      <c r="O2177" s="2060"/>
      <c r="P2177" s="2060"/>
      <c r="Q2177" s="2060"/>
      <c r="R2177" s="2060"/>
    </row>
    <row r="2178" spans="2:18">
      <c r="B2178" s="2060"/>
      <c r="C2178" s="2060"/>
      <c r="D2178" s="2060"/>
      <c r="E2178" s="255"/>
      <c r="H2178" s="2060"/>
      <c r="I2178" s="2060"/>
      <c r="J2178" s="2060"/>
      <c r="K2178" s="2060"/>
      <c r="L2178" s="2060"/>
      <c r="M2178" s="2060"/>
      <c r="N2178" s="2060"/>
      <c r="O2178" s="2060"/>
      <c r="P2178" s="2060"/>
      <c r="Q2178" s="2060"/>
      <c r="R2178" s="2060"/>
    </row>
    <row r="2179" spans="2:18">
      <c r="B2179" s="2060"/>
      <c r="C2179" s="2060"/>
      <c r="D2179" s="2060"/>
      <c r="E2179" s="255"/>
      <c r="H2179" s="2060"/>
      <c r="I2179" s="2060"/>
      <c r="J2179" s="2060"/>
      <c r="K2179" s="2060"/>
      <c r="L2179" s="2060"/>
      <c r="M2179" s="2060"/>
      <c r="N2179" s="2060"/>
      <c r="O2179" s="2060"/>
      <c r="P2179" s="2060"/>
      <c r="Q2179" s="2060"/>
      <c r="R2179" s="2060"/>
    </row>
    <row r="2180" spans="2:18">
      <c r="B2180" s="2060"/>
      <c r="C2180" s="2060"/>
      <c r="D2180" s="2060"/>
      <c r="E2180" s="255"/>
      <c r="H2180" s="2060"/>
      <c r="I2180" s="2060"/>
      <c r="J2180" s="2060"/>
      <c r="K2180" s="2060"/>
      <c r="L2180" s="2060"/>
      <c r="M2180" s="2060"/>
      <c r="N2180" s="2060"/>
      <c r="O2180" s="2060"/>
      <c r="P2180" s="2060"/>
      <c r="Q2180" s="2060"/>
      <c r="R2180" s="2060"/>
    </row>
    <row r="2181" spans="2:18">
      <c r="B2181" s="2060"/>
      <c r="C2181" s="2060"/>
      <c r="D2181" s="2060"/>
      <c r="E2181" s="255"/>
      <c r="H2181" s="2060"/>
      <c r="I2181" s="2060"/>
      <c r="J2181" s="2060"/>
      <c r="K2181" s="2060"/>
      <c r="L2181" s="2060"/>
      <c r="M2181" s="2060"/>
      <c r="N2181" s="2060"/>
      <c r="O2181" s="2060"/>
      <c r="P2181" s="2060"/>
      <c r="Q2181" s="2060"/>
      <c r="R2181" s="2060"/>
    </row>
    <row r="2182" spans="2:18">
      <c r="B2182" s="2060"/>
      <c r="C2182" s="2060"/>
      <c r="D2182" s="2060"/>
      <c r="E2182" s="255"/>
      <c r="H2182" s="2060"/>
      <c r="I2182" s="2060"/>
      <c r="J2182" s="2060"/>
      <c r="K2182" s="2060"/>
      <c r="L2182" s="2060"/>
      <c r="M2182" s="2060"/>
      <c r="N2182" s="2060"/>
      <c r="O2182" s="2060"/>
      <c r="P2182" s="2060"/>
      <c r="Q2182" s="2060"/>
      <c r="R2182" s="2060"/>
    </row>
    <row r="2183" spans="2:18">
      <c r="B2183" s="2060"/>
      <c r="C2183" s="2060"/>
      <c r="D2183" s="2060"/>
      <c r="E2183" s="255"/>
      <c r="H2183" s="2060"/>
      <c r="I2183" s="2060"/>
      <c r="J2183" s="2060"/>
      <c r="K2183" s="2060"/>
      <c r="L2183" s="2060"/>
      <c r="M2183" s="2060"/>
      <c r="N2183" s="2060"/>
      <c r="O2183" s="2060"/>
      <c r="P2183" s="2060"/>
      <c r="Q2183" s="2060"/>
      <c r="R2183" s="2060"/>
    </row>
    <row r="2184" spans="2:18">
      <c r="B2184" s="2060"/>
      <c r="C2184" s="2060"/>
      <c r="D2184" s="2060"/>
      <c r="E2184" s="255"/>
      <c r="H2184" s="2060"/>
      <c r="I2184" s="2060"/>
      <c r="J2184" s="2060"/>
      <c r="K2184" s="2060"/>
      <c r="L2184" s="2060"/>
      <c r="M2184" s="2060"/>
      <c r="N2184" s="2060"/>
      <c r="O2184" s="2060"/>
      <c r="P2184" s="2060"/>
      <c r="Q2184" s="2060"/>
      <c r="R2184" s="2060"/>
    </row>
    <row r="2185" spans="2:18">
      <c r="B2185" s="2060"/>
      <c r="C2185" s="2060"/>
      <c r="D2185" s="2060"/>
      <c r="E2185" s="255"/>
      <c r="H2185" s="2060"/>
      <c r="I2185" s="2060"/>
      <c r="J2185" s="2060"/>
      <c r="K2185" s="2060"/>
      <c r="L2185" s="2060"/>
      <c r="M2185" s="2060"/>
      <c r="N2185" s="2060"/>
      <c r="O2185" s="2060"/>
      <c r="P2185" s="2060"/>
      <c r="Q2185" s="2060"/>
      <c r="R2185" s="2060"/>
    </row>
    <row r="2186" spans="2:18">
      <c r="B2186" s="2060"/>
      <c r="C2186" s="2060"/>
      <c r="D2186" s="2060"/>
      <c r="E2186" s="255"/>
      <c r="H2186" s="2060"/>
      <c r="I2186" s="2060"/>
      <c r="J2186" s="2060"/>
      <c r="K2186" s="2060"/>
      <c r="L2186" s="2060"/>
      <c r="M2186" s="2060"/>
      <c r="N2186" s="2060"/>
      <c r="O2186" s="2060"/>
      <c r="P2186" s="2060"/>
      <c r="Q2186" s="2060"/>
      <c r="R2186" s="2060"/>
    </row>
    <row r="2187" spans="2:18">
      <c r="B2187" s="2060"/>
      <c r="C2187" s="2060"/>
      <c r="D2187" s="2060"/>
      <c r="E2187" s="255"/>
      <c r="H2187" s="2060"/>
      <c r="I2187" s="2060"/>
      <c r="J2187" s="2060"/>
      <c r="K2187" s="2060"/>
      <c r="L2187" s="2060"/>
      <c r="M2187" s="2060"/>
      <c r="N2187" s="2060"/>
      <c r="O2187" s="2060"/>
      <c r="P2187" s="2060"/>
      <c r="Q2187" s="2060"/>
      <c r="R2187" s="2060"/>
    </row>
    <row r="2188" spans="2:18">
      <c r="B2188" s="2060"/>
      <c r="C2188" s="2060"/>
      <c r="D2188" s="2060"/>
      <c r="E2188" s="255"/>
      <c r="H2188" s="2060"/>
      <c r="I2188" s="2060"/>
      <c r="J2188" s="2060"/>
      <c r="K2188" s="2060"/>
      <c r="L2188" s="2060"/>
      <c r="M2188" s="2060"/>
      <c r="N2188" s="2060"/>
      <c r="O2188" s="2060"/>
      <c r="P2188" s="2060"/>
      <c r="Q2188" s="2060"/>
      <c r="R2188" s="2060"/>
    </row>
    <row r="2189" spans="2:18">
      <c r="B2189" s="2060"/>
      <c r="C2189" s="2060"/>
      <c r="D2189" s="2060"/>
      <c r="E2189" s="255"/>
      <c r="H2189" s="2060"/>
      <c r="I2189" s="2060"/>
      <c r="J2189" s="2060"/>
      <c r="K2189" s="2060"/>
      <c r="L2189" s="2060"/>
      <c r="M2189" s="2060"/>
      <c r="N2189" s="2060"/>
      <c r="O2189" s="2060"/>
      <c r="P2189" s="2060"/>
      <c r="Q2189" s="2060"/>
      <c r="R2189" s="2060"/>
    </row>
    <row r="2190" spans="2:18">
      <c r="B2190" s="2060"/>
      <c r="C2190" s="2060"/>
      <c r="D2190" s="2060"/>
      <c r="E2190" s="255"/>
      <c r="H2190" s="2060"/>
      <c r="I2190" s="2060"/>
      <c r="J2190" s="2060"/>
      <c r="K2190" s="2060"/>
      <c r="L2190" s="2060"/>
      <c r="M2190" s="2060"/>
      <c r="N2190" s="2060"/>
      <c r="O2190" s="2060"/>
      <c r="P2190" s="2060"/>
      <c r="Q2190" s="2060"/>
      <c r="R2190" s="2060"/>
    </row>
    <row r="2191" spans="2:18">
      <c r="B2191" s="2060"/>
      <c r="C2191" s="2060"/>
      <c r="D2191" s="2060"/>
      <c r="E2191" s="255"/>
      <c r="H2191" s="2060"/>
      <c r="I2191" s="2060"/>
      <c r="J2191" s="2060"/>
      <c r="K2191" s="2060"/>
      <c r="L2191" s="2060"/>
      <c r="M2191" s="2060"/>
      <c r="N2191" s="2060"/>
      <c r="O2191" s="2060"/>
      <c r="P2191" s="2060"/>
      <c r="Q2191" s="2060"/>
      <c r="R2191" s="2060"/>
    </row>
    <row r="2192" spans="2:18">
      <c r="B2192" s="2060"/>
      <c r="C2192" s="2060"/>
      <c r="D2192" s="2060"/>
      <c r="E2192" s="255"/>
      <c r="H2192" s="2060"/>
      <c r="I2192" s="2060"/>
      <c r="J2192" s="2060"/>
      <c r="K2192" s="2060"/>
      <c r="L2192" s="2060"/>
      <c r="M2192" s="2060"/>
      <c r="N2192" s="2060"/>
      <c r="O2192" s="2060"/>
      <c r="P2192" s="2060"/>
      <c r="Q2192" s="2060"/>
      <c r="R2192" s="2060"/>
    </row>
    <row r="2193" spans="2:18">
      <c r="B2193" s="2060"/>
      <c r="C2193" s="2060"/>
      <c r="D2193" s="2060"/>
      <c r="E2193" s="255"/>
      <c r="H2193" s="2060"/>
      <c r="I2193" s="2060"/>
      <c r="J2193" s="2060"/>
      <c r="K2193" s="2060"/>
      <c r="L2193" s="2060"/>
      <c r="M2193" s="2060"/>
      <c r="N2193" s="2060"/>
      <c r="O2193" s="2060"/>
      <c r="P2193" s="2060"/>
      <c r="Q2193" s="2060"/>
      <c r="R2193" s="2060"/>
    </row>
    <row r="2194" spans="2:18">
      <c r="B2194" s="2060"/>
      <c r="C2194" s="2060"/>
      <c r="D2194" s="2060"/>
      <c r="E2194" s="255"/>
      <c r="H2194" s="2060"/>
      <c r="I2194" s="2060"/>
      <c r="J2194" s="2060"/>
      <c r="K2194" s="2060"/>
      <c r="L2194" s="2060"/>
      <c r="M2194" s="2060"/>
      <c r="N2194" s="2060"/>
      <c r="O2194" s="2060"/>
      <c r="P2194" s="2060"/>
      <c r="Q2194" s="2060"/>
      <c r="R2194" s="2060"/>
    </row>
    <row r="2195" spans="2:18">
      <c r="B2195" s="2060"/>
      <c r="C2195" s="2060"/>
      <c r="D2195" s="2060"/>
      <c r="E2195" s="255"/>
      <c r="H2195" s="2060"/>
      <c r="I2195" s="2060"/>
      <c r="J2195" s="2060"/>
      <c r="K2195" s="2060"/>
      <c r="L2195" s="2060"/>
      <c r="M2195" s="2060"/>
      <c r="N2195" s="2060"/>
      <c r="O2195" s="2060"/>
      <c r="P2195" s="2060"/>
      <c r="Q2195" s="2060"/>
      <c r="R2195" s="2060"/>
    </row>
    <row r="2196" spans="2:18">
      <c r="B2196" s="2060"/>
      <c r="C2196" s="2060"/>
      <c r="D2196" s="2060"/>
      <c r="E2196" s="255"/>
      <c r="H2196" s="2060"/>
      <c r="I2196" s="2060"/>
      <c r="J2196" s="2060"/>
      <c r="K2196" s="2060"/>
      <c r="L2196" s="2060"/>
      <c r="M2196" s="2060"/>
      <c r="N2196" s="2060"/>
      <c r="O2196" s="2060"/>
      <c r="P2196" s="2060"/>
      <c r="Q2196" s="2060"/>
      <c r="R2196" s="2060"/>
    </row>
    <row r="2197" spans="2:18">
      <c r="B2197" s="2060"/>
      <c r="C2197" s="2060"/>
      <c r="D2197" s="2060"/>
      <c r="E2197" s="255"/>
      <c r="H2197" s="2060"/>
      <c r="I2197" s="2060"/>
      <c r="J2197" s="2060"/>
      <c r="K2197" s="2060"/>
      <c r="L2197" s="2060"/>
      <c r="M2197" s="2060"/>
      <c r="N2197" s="2060"/>
      <c r="O2197" s="2060"/>
      <c r="P2197" s="2060"/>
      <c r="Q2197" s="2060"/>
      <c r="R2197" s="2060"/>
    </row>
    <row r="2198" spans="2:18">
      <c r="B2198" s="2060"/>
      <c r="C2198" s="2060"/>
      <c r="D2198" s="2060"/>
      <c r="E2198" s="255"/>
      <c r="H2198" s="2060"/>
      <c r="I2198" s="2060"/>
      <c r="J2198" s="2060"/>
      <c r="K2198" s="2060"/>
      <c r="L2198" s="2060"/>
      <c r="M2198" s="2060"/>
      <c r="N2198" s="2060"/>
      <c r="O2198" s="2060"/>
      <c r="P2198" s="2060"/>
      <c r="Q2198" s="2060"/>
      <c r="R2198" s="2060"/>
    </row>
    <row r="2199" spans="2:18">
      <c r="B2199" s="2060"/>
      <c r="C2199" s="2060"/>
      <c r="D2199" s="2060"/>
      <c r="E2199" s="255"/>
      <c r="H2199" s="2060"/>
      <c r="I2199" s="2060"/>
      <c r="J2199" s="2060"/>
      <c r="K2199" s="2060"/>
      <c r="L2199" s="2060"/>
      <c r="M2199" s="2060"/>
      <c r="N2199" s="2060"/>
      <c r="O2199" s="2060"/>
      <c r="P2199" s="2060"/>
      <c r="Q2199" s="2060"/>
      <c r="R2199" s="2060"/>
    </row>
    <row r="2200" spans="2:18">
      <c r="B2200" s="2060"/>
      <c r="C2200" s="2060"/>
      <c r="D2200" s="2060"/>
      <c r="E2200" s="255"/>
      <c r="H2200" s="2060"/>
      <c r="I2200" s="2060"/>
      <c r="J2200" s="2060"/>
      <c r="K2200" s="2060"/>
      <c r="L2200" s="2060"/>
      <c r="M2200" s="2060"/>
      <c r="N2200" s="2060"/>
      <c r="O2200" s="2060"/>
      <c r="P2200" s="2060"/>
      <c r="Q2200" s="2060"/>
      <c r="R2200" s="2060"/>
    </row>
    <row r="2201" spans="2:18">
      <c r="B2201" s="2060"/>
      <c r="C2201" s="2060"/>
      <c r="D2201" s="2060"/>
      <c r="E2201" s="255"/>
      <c r="H2201" s="2060"/>
      <c r="I2201" s="2060"/>
      <c r="J2201" s="2060"/>
      <c r="K2201" s="2060"/>
      <c r="L2201" s="2060"/>
      <c r="M2201" s="2060"/>
      <c r="N2201" s="2060"/>
      <c r="O2201" s="2060"/>
      <c r="P2201" s="2060"/>
      <c r="Q2201" s="2060"/>
      <c r="R2201" s="2060"/>
    </row>
    <row r="2202" spans="2:18">
      <c r="B2202" s="2060"/>
      <c r="C2202" s="2060"/>
      <c r="D2202" s="2060"/>
      <c r="E2202" s="255"/>
      <c r="H2202" s="2060"/>
      <c r="I2202" s="2060"/>
      <c r="J2202" s="2060"/>
      <c r="K2202" s="2060"/>
      <c r="L2202" s="2060"/>
      <c r="M2202" s="2060"/>
      <c r="N2202" s="2060"/>
      <c r="O2202" s="2060"/>
      <c r="P2202" s="2060"/>
      <c r="Q2202" s="2060"/>
      <c r="R2202" s="2060"/>
    </row>
    <row r="2203" spans="2:18">
      <c r="B2203" s="2060"/>
      <c r="C2203" s="2060"/>
      <c r="D2203" s="2060"/>
      <c r="E2203" s="255"/>
      <c r="H2203" s="2060"/>
      <c r="I2203" s="2060"/>
      <c r="J2203" s="2060"/>
      <c r="K2203" s="2060"/>
      <c r="L2203" s="2060"/>
      <c r="M2203" s="2060"/>
      <c r="N2203" s="2060"/>
      <c r="O2203" s="2060"/>
      <c r="P2203" s="2060"/>
      <c r="Q2203" s="2060"/>
      <c r="R2203" s="2060"/>
    </row>
    <row r="2204" spans="2:18">
      <c r="B2204" s="2060"/>
      <c r="C2204" s="2060"/>
      <c r="D2204" s="2060"/>
      <c r="E2204" s="255"/>
      <c r="H2204" s="2060"/>
      <c r="I2204" s="2060"/>
      <c r="J2204" s="2060"/>
      <c r="K2204" s="2060"/>
      <c r="L2204" s="2060"/>
      <c r="M2204" s="2060"/>
      <c r="N2204" s="2060"/>
      <c r="O2204" s="2060"/>
      <c r="P2204" s="2060"/>
      <c r="Q2204" s="2060"/>
      <c r="R2204" s="2060"/>
    </row>
    <row r="2205" spans="2:18">
      <c r="B2205" s="2060"/>
      <c r="C2205" s="2060"/>
      <c r="D2205" s="2060"/>
      <c r="E2205" s="255"/>
      <c r="H2205" s="2060"/>
      <c r="I2205" s="2060"/>
      <c r="J2205" s="2060"/>
      <c r="K2205" s="2060"/>
      <c r="L2205" s="2060"/>
      <c r="M2205" s="2060"/>
      <c r="N2205" s="2060"/>
      <c r="O2205" s="2060"/>
      <c r="P2205" s="2060"/>
      <c r="Q2205" s="2060"/>
      <c r="R2205" s="2060"/>
    </row>
    <row r="2206" spans="2:18">
      <c r="B2206" s="2060"/>
      <c r="C2206" s="2060"/>
      <c r="D2206" s="2060"/>
      <c r="E2206" s="255"/>
      <c r="H2206" s="2060"/>
      <c r="I2206" s="2060"/>
      <c r="J2206" s="2060"/>
      <c r="K2206" s="2060"/>
      <c r="L2206" s="2060"/>
      <c r="M2206" s="2060"/>
      <c r="N2206" s="2060"/>
      <c r="O2206" s="2060"/>
      <c r="P2206" s="2060"/>
      <c r="Q2206" s="2060"/>
      <c r="R2206" s="2060"/>
    </row>
    <row r="2207" spans="2:18">
      <c r="B2207" s="2060"/>
      <c r="C2207" s="2060"/>
      <c r="D2207" s="2060"/>
      <c r="E2207" s="255"/>
      <c r="H2207" s="2060"/>
      <c r="I2207" s="2060"/>
      <c r="J2207" s="2060"/>
      <c r="K2207" s="2060"/>
      <c r="L2207" s="2060"/>
      <c r="M2207" s="2060"/>
      <c r="N2207" s="2060"/>
      <c r="O2207" s="2060"/>
      <c r="P2207" s="2060"/>
      <c r="Q2207" s="2060"/>
      <c r="R2207" s="2060"/>
    </row>
    <row r="2208" spans="2:18">
      <c r="B2208" s="2060"/>
      <c r="C2208" s="2060"/>
      <c r="D2208" s="2060"/>
      <c r="E2208" s="255"/>
      <c r="H2208" s="2060"/>
      <c r="I2208" s="2060"/>
      <c r="J2208" s="2060"/>
      <c r="K2208" s="2060"/>
      <c r="L2208" s="2060"/>
      <c r="M2208" s="2060"/>
      <c r="N2208" s="2060"/>
      <c r="O2208" s="2060"/>
      <c r="P2208" s="2060"/>
      <c r="Q2208" s="2060"/>
      <c r="R2208" s="2060"/>
    </row>
    <row r="2209" spans="2:18">
      <c r="B2209" s="2060"/>
      <c r="C2209" s="2060"/>
      <c r="D2209" s="2060"/>
      <c r="E2209" s="255"/>
      <c r="H2209" s="2060"/>
      <c r="I2209" s="2060"/>
      <c r="J2209" s="2060"/>
      <c r="K2209" s="2060"/>
      <c r="L2209" s="2060"/>
      <c r="M2209" s="2060"/>
      <c r="N2209" s="2060"/>
      <c r="O2209" s="2060"/>
      <c r="P2209" s="2060"/>
      <c r="Q2209" s="2060"/>
      <c r="R2209" s="2060"/>
    </row>
    <row r="2210" spans="2:18">
      <c r="B2210" s="2060"/>
      <c r="C2210" s="2060"/>
      <c r="D2210" s="2060"/>
      <c r="E2210" s="255"/>
      <c r="H2210" s="2060"/>
      <c r="I2210" s="2060"/>
      <c r="J2210" s="2060"/>
      <c r="K2210" s="2060"/>
      <c r="L2210" s="2060"/>
      <c r="M2210" s="2060"/>
      <c r="N2210" s="2060"/>
      <c r="O2210" s="2060"/>
      <c r="P2210" s="2060"/>
      <c r="Q2210" s="2060"/>
      <c r="R2210" s="2060"/>
    </row>
    <row r="2211" spans="2:18">
      <c r="B2211" s="2060"/>
      <c r="C2211" s="2060"/>
      <c r="D2211" s="2060"/>
      <c r="E2211" s="255"/>
      <c r="H2211" s="2060"/>
      <c r="I2211" s="2060"/>
      <c r="J2211" s="2060"/>
      <c r="K2211" s="2060"/>
      <c r="L2211" s="2060"/>
      <c r="M2211" s="2060"/>
      <c r="N2211" s="2060"/>
      <c r="O2211" s="2060"/>
      <c r="P2211" s="2060"/>
      <c r="Q2211" s="2060"/>
      <c r="R2211" s="2060"/>
    </row>
    <row r="2212" spans="2:18">
      <c r="B2212" s="2060"/>
      <c r="C2212" s="2060"/>
      <c r="D2212" s="2060"/>
      <c r="E2212" s="255"/>
      <c r="H2212" s="2060"/>
      <c r="I2212" s="2060"/>
      <c r="J2212" s="2060"/>
      <c r="K2212" s="2060"/>
      <c r="L2212" s="2060"/>
      <c r="M2212" s="2060"/>
      <c r="N2212" s="2060"/>
      <c r="O2212" s="2060"/>
      <c r="P2212" s="2060"/>
      <c r="Q2212" s="2060"/>
      <c r="R2212" s="2060"/>
    </row>
    <row r="2213" spans="2:18">
      <c r="B2213" s="2060"/>
      <c r="C2213" s="2060"/>
      <c r="D2213" s="2060"/>
      <c r="E2213" s="255"/>
      <c r="H2213" s="2060"/>
      <c r="I2213" s="2060"/>
      <c r="J2213" s="2060"/>
      <c r="K2213" s="2060"/>
      <c r="L2213" s="2060"/>
      <c r="M2213" s="2060"/>
      <c r="N2213" s="2060"/>
      <c r="O2213" s="2060"/>
      <c r="P2213" s="2060"/>
      <c r="Q2213" s="2060"/>
      <c r="R2213" s="2060"/>
    </row>
    <row r="2214" spans="2:18">
      <c r="B2214" s="2060"/>
      <c r="C2214" s="2060"/>
      <c r="D2214" s="2060"/>
      <c r="E2214" s="255"/>
      <c r="H2214" s="2060"/>
      <c r="I2214" s="2060"/>
      <c r="J2214" s="2060"/>
      <c r="K2214" s="2060"/>
      <c r="L2214" s="2060"/>
      <c r="M2214" s="2060"/>
      <c r="N2214" s="2060"/>
      <c r="O2214" s="2060"/>
      <c r="P2214" s="2060"/>
      <c r="Q2214" s="2060"/>
      <c r="R2214" s="2060"/>
    </row>
    <row r="2215" spans="2:18">
      <c r="B2215" s="2060"/>
      <c r="C2215" s="2060"/>
      <c r="D2215" s="2060"/>
      <c r="E2215" s="255"/>
      <c r="H2215" s="2060"/>
      <c r="I2215" s="2060"/>
      <c r="J2215" s="2060"/>
      <c r="K2215" s="2060"/>
      <c r="L2215" s="2060"/>
      <c r="M2215" s="2060"/>
      <c r="N2215" s="2060"/>
      <c r="O2215" s="2060"/>
      <c r="P2215" s="2060"/>
      <c r="Q2215" s="2060"/>
      <c r="R2215" s="2060"/>
    </row>
    <row r="2216" spans="2:18">
      <c r="B2216" s="2060"/>
      <c r="C2216" s="2060"/>
      <c r="D2216" s="2060"/>
      <c r="E2216" s="255"/>
      <c r="H2216" s="2060"/>
      <c r="I2216" s="2060"/>
      <c r="J2216" s="2060"/>
      <c r="K2216" s="2060"/>
      <c r="L2216" s="2060"/>
      <c r="M2216" s="2060"/>
      <c r="N2216" s="2060"/>
      <c r="O2216" s="2060"/>
      <c r="P2216" s="2060"/>
      <c r="Q2216" s="2060"/>
      <c r="R2216" s="2060"/>
    </row>
    <row r="2217" spans="2:18">
      <c r="B2217" s="2060"/>
      <c r="C2217" s="2060"/>
      <c r="D2217" s="2060"/>
      <c r="E2217" s="255"/>
      <c r="H2217" s="2060"/>
      <c r="I2217" s="2060"/>
      <c r="J2217" s="2060"/>
      <c r="K2217" s="2060"/>
      <c r="L2217" s="2060"/>
      <c r="M2217" s="2060"/>
      <c r="N2217" s="2060"/>
      <c r="O2217" s="2060"/>
      <c r="P2217" s="2060"/>
      <c r="Q2217" s="2060"/>
      <c r="R2217" s="2060"/>
    </row>
    <row r="2218" spans="2:18">
      <c r="B2218" s="2060"/>
      <c r="C2218" s="2060"/>
      <c r="D2218" s="2060"/>
      <c r="E2218" s="255"/>
      <c r="H2218" s="2060"/>
      <c r="I2218" s="2060"/>
      <c r="J2218" s="2060"/>
      <c r="K2218" s="2060"/>
      <c r="L2218" s="2060"/>
      <c r="M2218" s="2060"/>
      <c r="N2218" s="2060"/>
      <c r="O2218" s="2060"/>
      <c r="P2218" s="2060"/>
      <c r="Q2218" s="2060"/>
      <c r="R2218" s="2060"/>
    </row>
    <row r="2219" spans="2:18">
      <c r="B2219" s="2060"/>
      <c r="C2219" s="2060"/>
      <c r="D2219" s="2060"/>
      <c r="E2219" s="255"/>
      <c r="H2219" s="2060"/>
      <c r="I2219" s="2060"/>
      <c r="J2219" s="2060"/>
      <c r="K2219" s="2060"/>
      <c r="L2219" s="2060"/>
      <c r="M2219" s="2060"/>
      <c r="N2219" s="2060"/>
      <c r="O2219" s="2060"/>
      <c r="P2219" s="2060"/>
      <c r="Q2219" s="2060"/>
      <c r="R2219" s="2060"/>
    </row>
    <row r="2220" spans="2:18">
      <c r="B2220" s="2060"/>
      <c r="C2220" s="2060"/>
      <c r="D2220" s="2060"/>
      <c r="E2220" s="255"/>
      <c r="H2220" s="2060"/>
      <c r="I2220" s="2060"/>
      <c r="J2220" s="2060"/>
      <c r="K2220" s="2060"/>
      <c r="L2220" s="2060"/>
      <c r="M2220" s="2060"/>
      <c r="N2220" s="2060"/>
      <c r="O2220" s="2060"/>
      <c r="P2220" s="2060"/>
      <c r="Q2220" s="2060"/>
      <c r="R2220" s="2060"/>
    </row>
    <row r="2221" spans="2:18">
      <c r="B2221" s="2060"/>
      <c r="C2221" s="2060"/>
      <c r="D2221" s="2060"/>
      <c r="E2221" s="255"/>
      <c r="H2221" s="2060"/>
      <c r="I2221" s="2060"/>
      <c r="J2221" s="2060"/>
      <c r="K2221" s="2060"/>
      <c r="L2221" s="2060"/>
      <c r="M2221" s="2060"/>
      <c r="N2221" s="2060"/>
      <c r="O2221" s="2060"/>
      <c r="P2221" s="2060"/>
      <c r="Q2221" s="2060"/>
      <c r="R2221" s="2060"/>
    </row>
    <row r="2222" spans="2:18">
      <c r="B2222" s="2060"/>
      <c r="C2222" s="2060"/>
      <c r="D2222" s="2060"/>
      <c r="E2222" s="255"/>
      <c r="H2222" s="2060"/>
      <c r="I2222" s="2060"/>
      <c r="J2222" s="2060"/>
      <c r="K2222" s="2060"/>
      <c r="L2222" s="2060"/>
      <c r="M2222" s="2060"/>
      <c r="N2222" s="2060"/>
      <c r="O2222" s="2060"/>
      <c r="P2222" s="2060"/>
      <c r="Q2222" s="2060"/>
      <c r="R2222" s="2060"/>
    </row>
    <row r="2223" spans="2:18">
      <c r="B2223" s="2060"/>
      <c r="C2223" s="2060"/>
      <c r="D2223" s="2060"/>
      <c r="E2223" s="255"/>
      <c r="H2223" s="2060"/>
      <c r="I2223" s="2060"/>
      <c r="J2223" s="2060"/>
      <c r="K2223" s="2060"/>
      <c r="L2223" s="2060"/>
      <c r="M2223" s="2060"/>
      <c r="N2223" s="2060"/>
      <c r="O2223" s="2060"/>
      <c r="P2223" s="2060"/>
      <c r="Q2223" s="2060"/>
      <c r="R2223" s="2060"/>
    </row>
    <row r="2224" spans="2:18">
      <c r="B2224" s="2060"/>
      <c r="C2224" s="2060"/>
      <c r="D2224" s="2060"/>
      <c r="E2224" s="255"/>
      <c r="H2224" s="2060"/>
      <c r="I2224" s="2060"/>
      <c r="J2224" s="2060"/>
      <c r="K2224" s="2060"/>
      <c r="L2224" s="2060"/>
      <c r="M2224" s="2060"/>
      <c r="N2224" s="2060"/>
      <c r="O2224" s="2060"/>
      <c r="P2224" s="2060"/>
      <c r="Q2224" s="2060"/>
      <c r="R2224" s="2060"/>
    </row>
    <row r="2225" spans="2:18">
      <c r="B2225" s="2060"/>
      <c r="C2225" s="2060"/>
      <c r="D2225" s="2060"/>
      <c r="E2225" s="255"/>
      <c r="H2225" s="2060"/>
      <c r="I2225" s="2060"/>
      <c r="J2225" s="2060"/>
      <c r="K2225" s="2060"/>
      <c r="L2225" s="2060"/>
      <c r="M2225" s="2060"/>
      <c r="N2225" s="2060"/>
      <c r="O2225" s="2060"/>
      <c r="P2225" s="2060"/>
      <c r="Q2225" s="2060"/>
      <c r="R2225" s="2060"/>
    </row>
    <row r="2226" spans="2:18">
      <c r="B2226" s="2060"/>
      <c r="C2226" s="2060"/>
      <c r="D2226" s="2060"/>
      <c r="E2226" s="255"/>
      <c r="H2226" s="2060"/>
      <c r="I2226" s="2060"/>
      <c r="J2226" s="2060"/>
      <c r="K2226" s="2060"/>
      <c r="L2226" s="2060"/>
      <c r="M2226" s="2060"/>
      <c r="N2226" s="2060"/>
      <c r="O2226" s="2060"/>
      <c r="P2226" s="2060"/>
      <c r="Q2226" s="2060"/>
      <c r="R2226" s="2060"/>
    </row>
    <row r="2227" spans="2:18">
      <c r="B2227" s="2060"/>
      <c r="C2227" s="2060"/>
      <c r="D2227" s="2060"/>
      <c r="E2227" s="255"/>
      <c r="H2227" s="2060"/>
      <c r="I2227" s="2060"/>
      <c r="J2227" s="2060"/>
      <c r="K2227" s="2060"/>
      <c r="L2227" s="2060"/>
      <c r="M2227" s="2060"/>
      <c r="N2227" s="2060"/>
      <c r="O2227" s="2060"/>
      <c r="P2227" s="2060"/>
      <c r="Q2227" s="2060"/>
      <c r="R2227" s="2060"/>
    </row>
    <row r="2228" spans="2:18">
      <c r="B2228" s="2060"/>
      <c r="C2228" s="2060"/>
      <c r="D2228" s="2060"/>
      <c r="E2228" s="255"/>
      <c r="H2228" s="2060"/>
      <c r="I2228" s="2060"/>
      <c r="J2228" s="2060"/>
      <c r="K2228" s="2060"/>
      <c r="L2228" s="2060"/>
      <c r="M2228" s="2060"/>
      <c r="N2228" s="2060"/>
      <c r="O2228" s="2060"/>
      <c r="P2228" s="2060"/>
      <c r="Q2228" s="2060"/>
      <c r="R2228" s="2060"/>
    </row>
    <row r="2229" spans="2:18">
      <c r="B2229" s="2060"/>
      <c r="C2229" s="2060"/>
      <c r="D2229" s="2060"/>
      <c r="E2229" s="255"/>
      <c r="H2229" s="2060"/>
      <c r="I2229" s="2060"/>
      <c r="J2229" s="2060"/>
      <c r="K2229" s="2060"/>
      <c r="L2229" s="2060"/>
      <c r="M2229" s="2060"/>
      <c r="N2229" s="2060"/>
      <c r="O2229" s="2060"/>
      <c r="P2229" s="2060"/>
      <c r="Q2229" s="2060"/>
      <c r="R2229" s="2060"/>
    </row>
    <row r="2230" spans="2:18">
      <c r="B2230" s="2060"/>
      <c r="C2230" s="2060"/>
      <c r="D2230" s="2060"/>
      <c r="E2230" s="255"/>
      <c r="H2230" s="2060"/>
      <c r="I2230" s="2060"/>
      <c r="J2230" s="2060"/>
      <c r="K2230" s="2060"/>
      <c r="L2230" s="2060"/>
      <c r="M2230" s="2060"/>
      <c r="N2230" s="2060"/>
      <c r="O2230" s="2060"/>
      <c r="P2230" s="2060"/>
      <c r="Q2230" s="2060"/>
      <c r="R2230" s="2060"/>
    </row>
    <row r="2231" spans="2:18">
      <c r="B2231" s="2060"/>
      <c r="C2231" s="2060"/>
      <c r="D2231" s="2060"/>
      <c r="E2231" s="255"/>
      <c r="H2231" s="2060"/>
      <c r="I2231" s="2060"/>
      <c r="J2231" s="2060"/>
      <c r="K2231" s="2060"/>
      <c r="L2231" s="2060"/>
      <c r="M2231" s="2060"/>
      <c r="N2231" s="2060"/>
      <c r="O2231" s="2060"/>
      <c r="P2231" s="2060"/>
      <c r="Q2231" s="2060"/>
      <c r="R2231" s="2060"/>
    </row>
    <row r="2232" spans="2:18">
      <c r="B2232" s="2060"/>
      <c r="C2232" s="2060"/>
      <c r="D2232" s="2060"/>
      <c r="E2232" s="255"/>
      <c r="H2232" s="2060"/>
      <c r="I2232" s="2060"/>
      <c r="J2232" s="2060"/>
      <c r="K2232" s="2060"/>
      <c r="L2232" s="2060"/>
      <c r="M2232" s="2060"/>
      <c r="N2232" s="2060"/>
      <c r="O2232" s="2060"/>
      <c r="P2232" s="2060"/>
      <c r="Q2232" s="2060"/>
      <c r="R2232" s="2060"/>
    </row>
    <row r="2233" spans="2:18">
      <c r="B2233" s="2060"/>
      <c r="C2233" s="2060"/>
      <c r="D2233" s="2060"/>
      <c r="E2233" s="255"/>
      <c r="H2233" s="2060"/>
      <c r="I2233" s="2060"/>
      <c r="J2233" s="2060"/>
      <c r="K2233" s="2060"/>
      <c r="L2233" s="2060"/>
      <c r="M2233" s="2060"/>
      <c r="N2233" s="2060"/>
      <c r="O2233" s="2060"/>
      <c r="P2233" s="2060"/>
      <c r="Q2233" s="2060"/>
      <c r="R2233" s="2060"/>
    </row>
    <row r="2234" spans="2:18">
      <c r="B2234" s="2060"/>
      <c r="C2234" s="2060"/>
      <c r="D2234" s="2060"/>
      <c r="E2234" s="255"/>
      <c r="H2234" s="2060"/>
      <c r="I2234" s="2060"/>
      <c r="J2234" s="2060"/>
      <c r="K2234" s="2060"/>
      <c r="L2234" s="2060"/>
      <c r="M2234" s="2060"/>
      <c r="N2234" s="2060"/>
      <c r="O2234" s="2060"/>
      <c r="P2234" s="2060"/>
      <c r="Q2234" s="2060"/>
      <c r="R2234" s="2060"/>
    </row>
    <row r="2235" spans="2:18">
      <c r="B2235" s="2060"/>
      <c r="C2235" s="2060"/>
      <c r="D2235" s="2060"/>
      <c r="E2235" s="255"/>
      <c r="H2235" s="2060"/>
      <c r="I2235" s="2060"/>
      <c r="J2235" s="2060"/>
      <c r="K2235" s="2060"/>
      <c r="L2235" s="2060"/>
      <c r="M2235" s="2060"/>
      <c r="N2235" s="2060"/>
      <c r="O2235" s="2060"/>
      <c r="P2235" s="2060"/>
      <c r="Q2235" s="2060"/>
      <c r="R2235" s="2060"/>
    </row>
    <row r="2236" spans="2:18">
      <c r="B2236" s="2060"/>
      <c r="C2236" s="2060"/>
      <c r="D2236" s="2060"/>
      <c r="E2236" s="255"/>
      <c r="H2236" s="2060"/>
      <c r="I2236" s="2060"/>
      <c r="J2236" s="2060"/>
      <c r="K2236" s="2060"/>
      <c r="L2236" s="2060"/>
      <c r="M2236" s="2060"/>
      <c r="N2236" s="2060"/>
      <c r="O2236" s="2060"/>
      <c r="P2236" s="2060"/>
      <c r="Q2236" s="2060"/>
      <c r="R2236" s="2060"/>
    </row>
    <row r="2237" spans="2:18">
      <c r="B2237" s="2060"/>
      <c r="C2237" s="2060"/>
      <c r="D2237" s="2060"/>
      <c r="E2237" s="255"/>
      <c r="H2237" s="2060"/>
      <c r="I2237" s="2060"/>
      <c r="J2237" s="2060"/>
      <c r="K2237" s="2060"/>
      <c r="L2237" s="2060"/>
      <c r="M2237" s="2060"/>
      <c r="N2237" s="2060"/>
      <c r="O2237" s="2060"/>
      <c r="P2237" s="2060"/>
      <c r="Q2237" s="2060"/>
      <c r="R2237" s="2060"/>
    </row>
    <row r="2238" spans="2:18">
      <c r="B2238" s="2060"/>
      <c r="C2238" s="2060"/>
      <c r="D2238" s="2060"/>
      <c r="E2238" s="255"/>
      <c r="H2238" s="2060"/>
      <c r="I2238" s="2060"/>
      <c r="J2238" s="2060"/>
      <c r="K2238" s="2060"/>
      <c r="L2238" s="2060"/>
      <c r="M2238" s="2060"/>
      <c r="N2238" s="2060"/>
      <c r="O2238" s="2060"/>
      <c r="P2238" s="2060"/>
      <c r="Q2238" s="2060"/>
      <c r="R2238" s="2060"/>
    </row>
    <row r="2239" spans="2:18">
      <c r="B2239" s="2060"/>
      <c r="C2239" s="2060"/>
      <c r="D2239" s="2060"/>
      <c r="E2239" s="255"/>
      <c r="H2239" s="2060"/>
      <c r="I2239" s="2060"/>
      <c r="J2239" s="2060"/>
      <c r="K2239" s="2060"/>
      <c r="L2239" s="2060"/>
      <c r="M2239" s="2060"/>
      <c r="N2239" s="2060"/>
      <c r="O2239" s="2060"/>
      <c r="P2239" s="2060"/>
      <c r="Q2239" s="2060"/>
      <c r="R2239" s="2060"/>
    </row>
    <row r="2240" spans="2:18">
      <c r="B2240" s="2060"/>
      <c r="C2240" s="2060"/>
      <c r="D2240" s="2060"/>
      <c r="E2240" s="255"/>
      <c r="H2240" s="2060"/>
      <c r="I2240" s="2060"/>
      <c r="J2240" s="2060"/>
      <c r="K2240" s="2060"/>
      <c r="L2240" s="2060"/>
      <c r="M2240" s="2060"/>
      <c r="N2240" s="2060"/>
      <c r="O2240" s="2060"/>
      <c r="P2240" s="2060"/>
      <c r="Q2240" s="2060"/>
      <c r="R2240" s="2060"/>
    </row>
    <row r="2241" spans="2:18">
      <c r="B2241" s="2060"/>
      <c r="C2241" s="2060"/>
      <c r="D2241" s="2060"/>
      <c r="E2241" s="255"/>
      <c r="H2241" s="2060"/>
      <c r="I2241" s="2060"/>
      <c r="J2241" s="2060"/>
      <c r="K2241" s="2060"/>
      <c r="L2241" s="2060"/>
      <c r="M2241" s="2060"/>
      <c r="N2241" s="2060"/>
      <c r="O2241" s="2060"/>
      <c r="P2241" s="2060"/>
      <c r="Q2241" s="2060"/>
      <c r="R2241" s="2060"/>
    </row>
    <row r="2242" spans="2:18">
      <c r="B2242" s="2060"/>
      <c r="C2242" s="2060"/>
      <c r="D2242" s="2060"/>
      <c r="E2242" s="255"/>
      <c r="H2242" s="2060"/>
      <c r="I2242" s="2060"/>
      <c r="J2242" s="2060"/>
      <c r="K2242" s="2060"/>
      <c r="L2242" s="2060"/>
      <c r="M2242" s="2060"/>
      <c r="N2242" s="2060"/>
      <c r="O2242" s="2060"/>
      <c r="P2242" s="2060"/>
      <c r="Q2242" s="2060"/>
      <c r="R2242" s="2060"/>
    </row>
    <row r="2243" spans="2:18">
      <c r="B2243" s="2060"/>
      <c r="C2243" s="2060"/>
      <c r="D2243" s="2060"/>
      <c r="E2243" s="255"/>
      <c r="H2243" s="2060"/>
      <c r="I2243" s="2060"/>
      <c r="J2243" s="2060"/>
      <c r="K2243" s="2060"/>
      <c r="L2243" s="2060"/>
      <c r="M2243" s="2060"/>
      <c r="N2243" s="2060"/>
      <c r="O2243" s="2060"/>
      <c r="P2243" s="2060"/>
      <c r="Q2243" s="2060"/>
      <c r="R2243" s="2060"/>
    </row>
    <row r="2244" spans="2:18">
      <c r="B2244" s="2060"/>
      <c r="C2244" s="2060"/>
      <c r="D2244" s="2060"/>
      <c r="E2244" s="255"/>
      <c r="H2244" s="2060"/>
      <c r="I2244" s="2060"/>
      <c r="J2244" s="2060"/>
      <c r="K2244" s="2060"/>
      <c r="L2244" s="2060"/>
      <c r="M2244" s="2060"/>
      <c r="N2244" s="2060"/>
      <c r="O2244" s="2060"/>
      <c r="P2244" s="2060"/>
      <c r="Q2244" s="2060"/>
      <c r="R2244" s="2060"/>
    </row>
    <row r="2245" spans="2:18">
      <c r="B2245" s="2060"/>
      <c r="C2245" s="2060"/>
      <c r="D2245" s="2060"/>
      <c r="E2245" s="255"/>
      <c r="H2245" s="2060"/>
      <c r="I2245" s="2060"/>
      <c r="J2245" s="2060"/>
      <c r="K2245" s="2060"/>
      <c r="L2245" s="2060"/>
      <c r="M2245" s="2060"/>
      <c r="N2245" s="2060"/>
      <c r="O2245" s="2060"/>
      <c r="P2245" s="2060"/>
      <c r="Q2245" s="2060"/>
      <c r="R2245" s="2060"/>
    </row>
    <row r="2246" spans="2:18">
      <c r="B2246" s="2060"/>
      <c r="C2246" s="2060"/>
      <c r="D2246" s="2060"/>
      <c r="E2246" s="255"/>
      <c r="H2246" s="2060"/>
      <c r="I2246" s="2060"/>
      <c r="J2246" s="2060"/>
      <c r="K2246" s="2060"/>
      <c r="L2246" s="2060"/>
      <c r="M2246" s="2060"/>
      <c r="N2246" s="2060"/>
      <c r="O2246" s="2060"/>
      <c r="P2246" s="2060"/>
      <c r="Q2246" s="2060"/>
      <c r="R2246" s="2060"/>
    </row>
    <row r="2247" spans="2:18">
      <c r="B2247" s="2060"/>
      <c r="C2247" s="2060"/>
      <c r="D2247" s="2060"/>
      <c r="E2247" s="255"/>
      <c r="H2247" s="2060"/>
      <c r="I2247" s="2060"/>
      <c r="J2247" s="2060"/>
      <c r="K2247" s="2060"/>
      <c r="L2247" s="2060"/>
      <c r="M2247" s="2060"/>
      <c r="N2247" s="2060"/>
      <c r="O2247" s="2060"/>
      <c r="P2247" s="2060"/>
      <c r="Q2247" s="2060"/>
      <c r="R2247" s="2060"/>
    </row>
    <row r="2248" spans="2:18">
      <c r="B2248" s="2060"/>
      <c r="C2248" s="2060"/>
      <c r="D2248" s="2060"/>
      <c r="E2248" s="255"/>
      <c r="H2248" s="2060"/>
      <c r="I2248" s="2060"/>
      <c r="J2248" s="2060"/>
      <c r="K2248" s="2060"/>
      <c r="L2248" s="2060"/>
      <c r="M2248" s="2060"/>
      <c r="N2248" s="2060"/>
      <c r="O2248" s="2060"/>
      <c r="P2248" s="2060"/>
      <c r="Q2248" s="2060"/>
      <c r="R2248" s="2060"/>
    </row>
    <row r="2249" spans="2:18">
      <c r="B2249" s="2060"/>
      <c r="C2249" s="2060"/>
      <c r="D2249" s="2060"/>
      <c r="E2249" s="255"/>
      <c r="H2249" s="2060"/>
      <c r="I2249" s="2060"/>
      <c r="J2249" s="2060"/>
      <c r="K2249" s="2060"/>
      <c r="L2249" s="2060"/>
      <c r="M2249" s="2060"/>
      <c r="N2249" s="2060"/>
      <c r="O2249" s="2060"/>
      <c r="P2249" s="2060"/>
      <c r="Q2249" s="2060"/>
      <c r="R2249" s="2060"/>
    </row>
    <row r="2250" spans="2:18">
      <c r="B2250" s="2060"/>
      <c r="C2250" s="2060"/>
      <c r="D2250" s="2060"/>
      <c r="E2250" s="255"/>
      <c r="H2250" s="2060"/>
      <c r="I2250" s="2060"/>
      <c r="J2250" s="2060"/>
      <c r="K2250" s="2060"/>
      <c r="L2250" s="2060"/>
      <c r="M2250" s="2060"/>
      <c r="N2250" s="2060"/>
      <c r="O2250" s="2060"/>
      <c r="P2250" s="2060"/>
      <c r="Q2250" s="2060"/>
      <c r="R2250" s="2060"/>
    </row>
    <row r="2251" spans="2:18">
      <c r="B2251" s="2060"/>
      <c r="C2251" s="2060"/>
      <c r="D2251" s="2060"/>
      <c r="E2251" s="255"/>
      <c r="H2251" s="2060"/>
      <c r="I2251" s="2060"/>
      <c r="J2251" s="2060"/>
      <c r="K2251" s="2060"/>
      <c r="L2251" s="2060"/>
      <c r="M2251" s="2060"/>
      <c r="N2251" s="2060"/>
      <c r="O2251" s="2060"/>
      <c r="P2251" s="2060"/>
      <c r="Q2251" s="2060"/>
      <c r="R2251" s="2060"/>
    </row>
    <row r="2252" spans="2:18">
      <c r="B2252" s="2060"/>
      <c r="C2252" s="2060"/>
      <c r="D2252" s="2060"/>
      <c r="E2252" s="255"/>
      <c r="H2252" s="2060"/>
      <c r="I2252" s="2060"/>
      <c r="J2252" s="2060"/>
      <c r="K2252" s="2060"/>
      <c r="L2252" s="2060"/>
      <c r="M2252" s="2060"/>
      <c r="N2252" s="2060"/>
      <c r="O2252" s="2060"/>
      <c r="P2252" s="2060"/>
      <c r="Q2252" s="2060"/>
      <c r="R2252" s="2060"/>
    </row>
    <row r="2253" spans="2:18">
      <c r="B2253" s="2060"/>
      <c r="C2253" s="2060"/>
      <c r="D2253" s="2060"/>
      <c r="E2253" s="255"/>
      <c r="H2253" s="2060"/>
      <c r="I2253" s="2060"/>
      <c r="J2253" s="2060"/>
      <c r="K2253" s="2060"/>
      <c r="L2253" s="2060"/>
      <c r="M2253" s="2060"/>
      <c r="N2253" s="2060"/>
      <c r="O2253" s="2060"/>
      <c r="P2253" s="2060"/>
      <c r="Q2253" s="2060"/>
      <c r="R2253" s="2060"/>
    </row>
    <row r="2254" spans="2:18">
      <c r="B2254" s="255"/>
      <c r="C2254" s="255"/>
      <c r="D2254" s="255"/>
      <c r="E2254" s="255"/>
      <c r="H2254" s="73"/>
      <c r="I2254" s="73"/>
      <c r="J2254" s="255"/>
      <c r="K2254" s="255"/>
      <c r="L2254" s="255"/>
      <c r="M2254" s="255"/>
      <c r="N2254" s="255"/>
      <c r="O2254" s="255"/>
      <c r="P2254" s="255"/>
      <c r="Q2254" s="255"/>
      <c r="R2254" s="2060"/>
    </row>
    <row r="2255" spans="2:18">
      <c r="B2255" s="255"/>
      <c r="C2255" s="255"/>
      <c r="D2255" s="255"/>
      <c r="E2255" s="255"/>
      <c r="H2255" s="73"/>
      <c r="I2255" s="73"/>
      <c r="J2255" s="255"/>
      <c r="K2255" s="255"/>
      <c r="L2255" s="255"/>
      <c r="M2255" s="255"/>
      <c r="N2255" s="255"/>
      <c r="O2255" s="255"/>
      <c r="P2255" s="255"/>
      <c r="Q2255" s="255"/>
      <c r="R2255" s="2060"/>
    </row>
    <row r="2256" spans="2:18">
      <c r="B2256" s="255"/>
      <c r="C2256" s="255"/>
      <c r="D2256" s="255"/>
      <c r="E2256" s="255"/>
      <c r="H2256" s="73"/>
      <c r="I2256" s="73"/>
      <c r="J2256" s="255"/>
      <c r="K2256" s="255"/>
      <c r="L2256" s="255"/>
      <c r="M2256" s="255"/>
      <c r="N2256" s="255"/>
      <c r="O2256" s="255"/>
      <c r="P2256" s="255"/>
      <c r="Q2256" s="255"/>
      <c r="R2256" s="2060"/>
    </row>
    <row r="2257" spans="8:9">
      <c r="H2257" s="73"/>
      <c r="I2257" s="73"/>
    </row>
    <row r="2258" spans="8:9">
      <c r="H2258" s="73"/>
      <c r="I2258" s="73"/>
    </row>
    <row r="2259" spans="8:9">
      <c r="H2259" s="73"/>
      <c r="I2259" s="73"/>
    </row>
    <row r="2260" spans="8:9">
      <c r="H2260" s="73"/>
      <c r="I2260" s="73"/>
    </row>
    <row r="2261" spans="8:9">
      <c r="H2261" s="73"/>
      <c r="I2261" s="73"/>
    </row>
    <row r="2262" spans="8:9">
      <c r="H2262" s="73"/>
      <c r="I2262" s="73"/>
    </row>
    <row r="2263" spans="8:9">
      <c r="H2263" s="73"/>
      <c r="I2263" s="73"/>
    </row>
    <row r="2264" spans="8:9">
      <c r="H2264" s="73"/>
      <c r="I2264" s="73"/>
    </row>
    <row r="2265" spans="8:9">
      <c r="H2265" s="73"/>
      <c r="I2265" s="73"/>
    </row>
    <row r="2266" spans="8:9">
      <c r="H2266" s="73"/>
      <c r="I2266" s="73"/>
    </row>
    <row r="2267" spans="8:9">
      <c r="H2267" s="73"/>
      <c r="I2267" s="73"/>
    </row>
    <row r="2268" spans="8:9">
      <c r="H2268" s="73"/>
      <c r="I2268" s="73"/>
    </row>
    <row r="2269" spans="8:9">
      <c r="H2269" s="73"/>
      <c r="I2269" s="73"/>
    </row>
    <row r="2270" spans="8:9">
      <c r="H2270" s="73"/>
      <c r="I2270" s="73"/>
    </row>
    <row r="2271" spans="8:9">
      <c r="H2271" s="73"/>
      <c r="I2271" s="73"/>
    </row>
    <row r="2272" spans="8:9">
      <c r="H2272" s="73"/>
      <c r="I2272" s="73"/>
    </row>
    <row r="2273" spans="8:9">
      <c r="H2273" s="73"/>
      <c r="I2273" s="73"/>
    </row>
    <row r="2274" spans="8:9">
      <c r="H2274" s="73"/>
      <c r="I2274" s="73"/>
    </row>
    <row r="2275" spans="8:9">
      <c r="H2275" s="73"/>
      <c r="I2275" s="73"/>
    </row>
    <row r="2276" spans="8:9">
      <c r="H2276" s="73"/>
      <c r="I2276" s="73"/>
    </row>
    <row r="2277" spans="8:9">
      <c r="H2277" s="73"/>
      <c r="I2277" s="73"/>
    </row>
    <row r="2278" spans="8:9">
      <c r="H2278" s="73"/>
      <c r="I2278" s="73"/>
    </row>
    <row r="2279" spans="8:9">
      <c r="H2279" s="73"/>
      <c r="I2279" s="73"/>
    </row>
    <row r="2280" spans="8:9">
      <c r="H2280" s="73"/>
      <c r="I2280" s="73"/>
    </row>
    <row r="2281" spans="8:9">
      <c r="H2281" s="73"/>
      <c r="I2281" s="73"/>
    </row>
    <row r="2282" spans="8:9">
      <c r="H2282" s="73"/>
      <c r="I2282" s="73"/>
    </row>
    <row r="2283" spans="8:9">
      <c r="H2283" s="73"/>
      <c r="I2283" s="73"/>
    </row>
    <row r="2284" spans="8:9">
      <c r="H2284" s="73"/>
      <c r="I2284" s="73"/>
    </row>
    <row r="2285" spans="8:9">
      <c r="H2285" s="73"/>
      <c r="I2285" s="73"/>
    </row>
    <row r="2286" spans="8:9">
      <c r="H2286" s="73"/>
      <c r="I2286" s="73"/>
    </row>
    <row r="2287" spans="8:9">
      <c r="H2287" s="73"/>
      <c r="I2287" s="73"/>
    </row>
    <row r="2288" spans="8:9">
      <c r="H2288" s="73"/>
      <c r="I2288" s="73"/>
    </row>
    <row r="2289" spans="8:9">
      <c r="H2289" s="73"/>
      <c r="I2289" s="73"/>
    </row>
    <row r="2290" spans="8:9">
      <c r="H2290" s="73"/>
      <c r="I2290" s="73"/>
    </row>
    <row r="2291" spans="8:9">
      <c r="H2291" s="73"/>
      <c r="I2291" s="73"/>
    </row>
    <row r="2292" spans="8:9">
      <c r="H2292" s="73"/>
      <c r="I2292" s="73"/>
    </row>
    <row r="2293" spans="8:9">
      <c r="H2293" s="73"/>
      <c r="I2293" s="73"/>
    </row>
    <row r="2294" spans="8:9">
      <c r="H2294" s="73"/>
      <c r="I2294" s="73"/>
    </row>
    <row r="2295" spans="8:9">
      <c r="H2295" s="73"/>
      <c r="I2295" s="73"/>
    </row>
    <row r="2296" spans="8:9">
      <c r="H2296" s="73"/>
      <c r="I2296" s="73"/>
    </row>
    <row r="2297" spans="8:9">
      <c r="H2297" s="73"/>
      <c r="I2297" s="73"/>
    </row>
    <row r="2298" spans="8:9">
      <c r="H2298" s="73"/>
      <c r="I2298" s="73"/>
    </row>
    <row r="2299" spans="8:9">
      <c r="H2299" s="73"/>
      <c r="I2299" s="73"/>
    </row>
    <row r="2300" spans="8:9">
      <c r="H2300" s="73"/>
      <c r="I2300" s="73"/>
    </row>
    <row r="2301" spans="8:9">
      <c r="H2301" s="73"/>
      <c r="I2301" s="73"/>
    </row>
    <row r="2302" spans="8:9">
      <c r="H2302" s="73"/>
      <c r="I2302" s="73"/>
    </row>
    <row r="2303" spans="8:9">
      <c r="H2303" s="73"/>
      <c r="I2303" s="73"/>
    </row>
    <row r="2304" spans="8:9">
      <c r="H2304" s="73"/>
      <c r="I2304" s="73"/>
    </row>
    <row r="2305" spans="8:9">
      <c r="H2305" s="73"/>
      <c r="I2305" s="73"/>
    </row>
    <row r="2306" spans="8:9">
      <c r="H2306" s="73"/>
      <c r="I2306" s="73"/>
    </row>
    <row r="2307" spans="8:9">
      <c r="H2307" s="73"/>
      <c r="I2307" s="73"/>
    </row>
    <row r="2308" spans="8:9">
      <c r="H2308" s="73"/>
      <c r="I2308" s="73"/>
    </row>
    <row r="2309" spans="8:9">
      <c r="H2309" s="73"/>
      <c r="I2309" s="73"/>
    </row>
    <row r="2310" spans="8:9">
      <c r="H2310" s="73"/>
      <c r="I2310" s="73"/>
    </row>
    <row r="2311" spans="8:9">
      <c r="H2311" s="73"/>
      <c r="I2311" s="73"/>
    </row>
    <row r="2312" spans="8:9">
      <c r="H2312" s="73"/>
      <c r="I2312" s="73"/>
    </row>
    <row r="2313" spans="8:9">
      <c r="H2313" s="73"/>
      <c r="I2313" s="73"/>
    </row>
    <row r="2314" spans="8:9">
      <c r="H2314" s="73"/>
      <c r="I2314" s="73"/>
    </row>
    <row r="2315" spans="8:9">
      <c r="H2315" s="73"/>
      <c r="I2315" s="73"/>
    </row>
    <row r="2316" spans="8:9">
      <c r="H2316" s="73"/>
      <c r="I2316" s="73"/>
    </row>
    <row r="2317" spans="8:9">
      <c r="H2317" s="73"/>
      <c r="I2317" s="73"/>
    </row>
    <row r="2318" spans="8:9">
      <c r="H2318" s="73"/>
      <c r="I2318" s="73"/>
    </row>
    <row r="2319" spans="8:9">
      <c r="H2319" s="73"/>
      <c r="I2319" s="73"/>
    </row>
    <row r="2320" spans="8:9">
      <c r="H2320" s="73"/>
      <c r="I2320" s="73"/>
    </row>
    <row r="2321" spans="8:9">
      <c r="H2321" s="73"/>
      <c r="I2321" s="73"/>
    </row>
    <row r="2322" spans="8:9">
      <c r="H2322" s="73"/>
      <c r="I2322" s="73"/>
    </row>
    <row r="2323" spans="8:9">
      <c r="H2323" s="73"/>
      <c r="I2323" s="73"/>
    </row>
    <row r="2324" spans="8:9">
      <c r="H2324" s="73"/>
      <c r="I2324" s="73"/>
    </row>
    <row r="2325" spans="8:9">
      <c r="H2325" s="73"/>
      <c r="I2325" s="73"/>
    </row>
    <row r="2326" spans="8:9">
      <c r="H2326" s="73"/>
      <c r="I2326" s="73"/>
    </row>
    <row r="2327" spans="8:9">
      <c r="H2327" s="73"/>
      <c r="I2327" s="73"/>
    </row>
    <row r="2328" spans="8:9">
      <c r="H2328" s="73"/>
      <c r="I2328" s="73"/>
    </row>
    <row r="2329" spans="8:9">
      <c r="H2329" s="73"/>
      <c r="I2329" s="73"/>
    </row>
    <row r="2330" spans="8:9">
      <c r="H2330" s="73"/>
      <c r="I2330" s="73"/>
    </row>
    <row r="2331" spans="8:9">
      <c r="H2331" s="73"/>
      <c r="I2331" s="73"/>
    </row>
    <row r="2332" spans="8:9">
      <c r="H2332" s="73"/>
      <c r="I2332" s="73"/>
    </row>
    <row r="2333" spans="8:9">
      <c r="H2333" s="73"/>
      <c r="I2333" s="73"/>
    </row>
    <row r="2334" spans="8:9">
      <c r="H2334" s="73"/>
      <c r="I2334" s="73"/>
    </row>
    <row r="2335" spans="8:9">
      <c r="H2335" s="73"/>
      <c r="I2335" s="73"/>
    </row>
    <row r="2336" spans="8:9">
      <c r="H2336" s="73"/>
      <c r="I2336" s="73"/>
    </row>
    <row r="2337" spans="8:9">
      <c r="H2337" s="73"/>
      <c r="I2337" s="73"/>
    </row>
    <row r="2338" spans="8:9">
      <c r="H2338" s="73"/>
      <c r="I2338" s="73"/>
    </row>
    <row r="2339" spans="8:9">
      <c r="H2339" s="73"/>
      <c r="I2339" s="73"/>
    </row>
    <row r="2340" spans="8:9">
      <c r="H2340" s="73"/>
      <c r="I2340" s="73"/>
    </row>
    <row r="2341" spans="8:9">
      <c r="H2341" s="73"/>
      <c r="I2341" s="73"/>
    </row>
    <row r="2342" spans="8:9">
      <c r="H2342" s="73"/>
      <c r="I2342" s="73"/>
    </row>
    <row r="2343" spans="8:9">
      <c r="H2343" s="73"/>
      <c r="I2343" s="73"/>
    </row>
    <row r="2344" spans="8:9">
      <c r="H2344" s="73"/>
      <c r="I2344" s="73"/>
    </row>
    <row r="2345" spans="8:9">
      <c r="H2345" s="73"/>
      <c r="I2345" s="73"/>
    </row>
    <row r="2346" spans="8:9">
      <c r="H2346" s="73"/>
      <c r="I2346" s="73"/>
    </row>
    <row r="2347" spans="8:9">
      <c r="H2347" s="73"/>
      <c r="I2347" s="73"/>
    </row>
    <row r="2348" spans="8:9">
      <c r="H2348" s="73"/>
      <c r="I2348" s="73"/>
    </row>
    <row r="2349" spans="8:9">
      <c r="H2349" s="73"/>
      <c r="I2349" s="73"/>
    </row>
    <row r="2350" spans="8:9">
      <c r="H2350" s="73"/>
      <c r="I2350" s="73"/>
    </row>
    <row r="2351" spans="8:9">
      <c r="H2351" s="73"/>
      <c r="I2351" s="73"/>
    </row>
    <row r="2352" spans="8:9">
      <c r="H2352" s="73"/>
      <c r="I2352" s="73"/>
    </row>
    <row r="2353" spans="8:9">
      <c r="H2353" s="73"/>
      <c r="I2353" s="73"/>
    </row>
    <row r="2354" spans="8:9">
      <c r="H2354" s="73"/>
      <c r="I2354" s="73"/>
    </row>
    <row r="2355" spans="8:9">
      <c r="H2355" s="73"/>
      <c r="I2355" s="73"/>
    </row>
    <row r="2356" spans="8:9">
      <c r="H2356" s="73"/>
      <c r="I2356" s="73"/>
    </row>
    <row r="2357" spans="8:9">
      <c r="H2357" s="73"/>
      <c r="I2357" s="73"/>
    </row>
    <row r="2358" spans="8:9">
      <c r="H2358" s="73"/>
      <c r="I2358" s="73"/>
    </row>
    <row r="2359" spans="8:9">
      <c r="H2359" s="73"/>
      <c r="I2359" s="73"/>
    </row>
    <row r="2360" spans="8:9">
      <c r="H2360" s="73"/>
      <c r="I2360" s="73"/>
    </row>
    <row r="2361" spans="8:9">
      <c r="H2361" s="73"/>
      <c r="I2361" s="73"/>
    </row>
    <row r="2362" spans="8:9">
      <c r="H2362" s="73"/>
      <c r="I2362" s="73"/>
    </row>
    <row r="2363" spans="8:9">
      <c r="H2363" s="73"/>
      <c r="I2363" s="73"/>
    </row>
    <row r="2364" spans="8:9">
      <c r="H2364" s="73"/>
      <c r="I2364" s="73"/>
    </row>
    <row r="2365" spans="8:9">
      <c r="H2365" s="73"/>
      <c r="I2365" s="73"/>
    </row>
    <row r="2366" spans="8:9">
      <c r="H2366" s="73"/>
      <c r="I2366" s="73"/>
    </row>
    <row r="2367" spans="8:9">
      <c r="H2367" s="73"/>
      <c r="I2367" s="73"/>
    </row>
    <row r="2368" spans="8:9">
      <c r="H2368" s="73"/>
      <c r="I2368" s="73"/>
    </row>
    <row r="2369" spans="8:9">
      <c r="H2369" s="73"/>
      <c r="I2369" s="73"/>
    </row>
    <row r="2370" spans="8:9">
      <c r="H2370" s="73"/>
      <c r="I2370" s="73"/>
    </row>
    <row r="2371" spans="8:9">
      <c r="H2371" s="73"/>
      <c r="I2371" s="73"/>
    </row>
    <row r="2372" spans="8:9">
      <c r="H2372" s="73"/>
      <c r="I2372" s="73"/>
    </row>
    <row r="2373" spans="8:9">
      <c r="H2373" s="73"/>
      <c r="I2373" s="73"/>
    </row>
    <row r="2374" spans="8:9">
      <c r="H2374" s="73"/>
      <c r="I2374" s="73"/>
    </row>
    <row r="2375" spans="8:9">
      <c r="H2375" s="73"/>
      <c r="I2375" s="73"/>
    </row>
    <row r="2376" spans="8:9">
      <c r="H2376" s="73"/>
      <c r="I2376" s="73"/>
    </row>
    <row r="2377" spans="8:9">
      <c r="H2377" s="73"/>
      <c r="I2377" s="73"/>
    </row>
    <row r="2378" spans="8:9">
      <c r="H2378" s="73"/>
      <c r="I2378" s="73"/>
    </row>
    <row r="2379" spans="8:9">
      <c r="H2379" s="73"/>
      <c r="I2379" s="73"/>
    </row>
    <row r="2380" spans="8:9">
      <c r="H2380" s="73"/>
      <c r="I2380" s="73"/>
    </row>
    <row r="2381" spans="8:9">
      <c r="H2381" s="73"/>
      <c r="I2381" s="73"/>
    </row>
    <row r="2382" spans="8:9">
      <c r="H2382" s="73"/>
      <c r="I2382" s="73"/>
    </row>
    <row r="2383" spans="8:9">
      <c r="H2383" s="73"/>
      <c r="I2383" s="73"/>
    </row>
    <row r="2384" spans="8:9">
      <c r="H2384" s="73"/>
      <c r="I2384" s="73"/>
    </row>
    <row r="2385" spans="8:9">
      <c r="H2385" s="73"/>
      <c r="I2385" s="73"/>
    </row>
    <row r="2386" spans="8:9">
      <c r="H2386" s="73"/>
      <c r="I2386" s="73"/>
    </row>
    <row r="2387" spans="8:9">
      <c r="H2387" s="73"/>
      <c r="I2387" s="73"/>
    </row>
    <row r="2388" spans="8:9">
      <c r="H2388" s="73"/>
      <c r="I2388" s="73"/>
    </row>
    <row r="2389" spans="8:9">
      <c r="H2389" s="73"/>
      <c r="I2389" s="73"/>
    </row>
    <row r="2390" spans="8:9">
      <c r="H2390" s="73"/>
      <c r="I2390" s="73"/>
    </row>
    <row r="2391" spans="8:9">
      <c r="H2391" s="73"/>
      <c r="I2391" s="73"/>
    </row>
    <row r="2392" spans="8:9">
      <c r="H2392" s="73"/>
      <c r="I2392" s="73"/>
    </row>
    <row r="2393" spans="8:9">
      <c r="H2393" s="73"/>
      <c r="I2393" s="73"/>
    </row>
    <row r="2394" spans="8:9">
      <c r="H2394" s="73"/>
      <c r="I2394" s="73"/>
    </row>
    <row r="2395" spans="8:9">
      <c r="H2395" s="73"/>
      <c r="I2395" s="73"/>
    </row>
    <row r="2396" spans="8:9">
      <c r="H2396" s="73"/>
      <c r="I2396" s="73"/>
    </row>
    <row r="2397" spans="8:9">
      <c r="H2397" s="73"/>
      <c r="I2397" s="73"/>
    </row>
    <row r="2398" spans="8:9">
      <c r="H2398" s="73"/>
      <c r="I2398" s="73"/>
    </row>
    <row r="2399" spans="8:9">
      <c r="H2399" s="73"/>
      <c r="I2399" s="73"/>
    </row>
    <row r="2400" spans="8:9">
      <c r="H2400" s="73"/>
      <c r="I2400" s="73"/>
    </row>
    <row r="2401" spans="8:9">
      <c r="H2401" s="73"/>
      <c r="I2401" s="73"/>
    </row>
    <row r="2402" spans="8:9">
      <c r="H2402" s="73"/>
      <c r="I2402" s="73"/>
    </row>
    <row r="2403" spans="8:9">
      <c r="H2403" s="73"/>
      <c r="I2403" s="73"/>
    </row>
    <row r="2404" spans="8:9">
      <c r="H2404" s="73"/>
      <c r="I2404" s="73"/>
    </row>
    <row r="2405" spans="8:9">
      <c r="H2405" s="73"/>
      <c r="I2405" s="73"/>
    </row>
    <row r="2406" spans="8:9">
      <c r="H2406" s="73"/>
      <c r="I2406" s="73"/>
    </row>
    <row r="2407" spans="8:9">
      <c r="H2407" s="73"/>
      <c r="I2407" s="73"/>
    </row>
    <row r="2408" spans="8:9">
      <c r="H2408" s="73"/>
      <c r="I2408" s="73"/>
    </row>
    <row r="2409" spans="8:9">
      <c r="H2409" s="73"/>
      <c r="I2409" s="73"/>
    </row>
    <row r="2410" spans="8:9">
      <c r="H2410" s="73"/>
      <c r="I2410" s="73"/>
    </row>
    <row r="2411" spans="8:9">
      <c r="H2411" s="73"/>
      <c r="I2411" s="73"/>
    </row>
    <row r="2412" spans="8:9">
      <c r="H2412" s="73"/>
      <c r="I2412" s="73"/>
    </row>
    <row r="2413" spans="8:9">
      <c r="H2413" s="73"/>
      <c r="I2413" s="73"/>
    </row>
    <row r="2414" spans="8:9">
      <c r="H2414" s="73"/>
      <c r="I2414" s="73"/>
    </row>
    <row r="2415" spans="8:9">
      <c r="H2415" s="73"/>
      <c r="I2415" s="73"/>
    </row>
    <row r="2416" spans="8:9">
      <c r="H2416" s="73"/>
      <c r="I2416" s="73"/>
    </row>
    <row r="2417" spans="8:9">
      <c r="H2417" s="73"/>
      <c r="I2417" s="73"/>
    </row>
    <row r="2418" spans="8:9">
      <c r="H2418" s="73"/>
      <c r="I2418" s="73"/>
    </row>
    <row r="2419" spans="8:9">
      <c r="H2419" s="73"/>
      <c r="I2419" s="73"/>
    </row>
    <row r="2420" spans="8:9">
      <c r="H2420" s="73"/>
      <c r="I2420" s="73"/>
    </row>
    <row r="2421" spans="8:9">
      <c r="H2421" s="73"/>
      <c r="I2421" s="73"/>
    </row>
    <row r="2422" spans="8:9">
      <c r="H2422" s="73"/>
      <c r="I2422" s="73"/>
    </row>
    <row r="2423" spans="8:9">
      <c r="H2423" s="73"/>
      <c r="I2423" s="73"/>
    </row>
    <row r="2424" spans="8:9">
      <c r="H2424" s="73"/>
      <c r="I2424" s="73"/>
    </row>
    <row r="2425" spans="8:9">
      <c r="H2425" s="73"/>
      <c r="I2425" s="73"/>
    </row>
    <row r="2426" spans="8:9">
      <c r="H2426" s="73"/>
      <c r="I2426" s="73"/>
    </row>
    <row r="2427" spans="8:9">
      <c r="H2427" s="73"/>
      <c r="I2427" s="73"/>
    </row>
    <row r="2428" spans="8:9">
      <c r="H2428" s="73"/>
      <c r="I2428" s="73"/>
    </row>
    <row r="2429" spans="8:9">
      <c r="H2429" s="73"/>
      <c r="I2429" s="73"/>
    </row>
    <row r="2430" spans="8:9">
      <c r="H2430" s="73"/>
      <c r="I2430" s="73"/>
    </row>
    <row r="2431" spans="8:9">
      <c r="H2431" s="73"/>
      <c r="I2431" s="73"/>
    </row>
    <row r="2432" spans="8:9">
      <c r="H2432" s="73"/>
      <c r="I2432" s="73"/>
    </row>
    <row r="2433" spans="8:9">
      <c r="H2433" s="73"/>
      <c r="I2433" s="73"/>
    </row>
    <row r="2434" spans="8:9">
      <c r="H2434" s="73"/>
      <c r="I2434" s="73"/>
    </row>
    <row r="2435" spans="8:9">
      <c r="H2435" s="73"/>
      <c r="I2435" s="73"/>
    </row>
    <row r="2436" spans="8:9">
      <c r="H2436" s="73"/>
      <c r="I2436" s="73"/>
    </row>
    <row r="2437" spans="8:9">
      <c r="H2437" s="73"/>
      <c r="I2437" s="73"/>
    </row>
    <row r="2438" spans="8:9">
      <c r="H2438" s="73"/>
      <c r="I2438" s="73"/>
    </row>
    <row r="2439" spans="8:9">
      <c r="H2439" s="73"/>
      <c r="I2439" s="73"/>
    </row>
    <row r="2440" spans="8:9">
      <c r="H2440" s="73"/>
      <c r="I2440" s="73"/>
    </row>
    <row r="2441" spans="8:9">
      <c r="H2441" s="73"/>
      <c r="I2441" s="73"/>
    </row>
    <row r="2442" spans="8:9">
      <c r="H2442" s="73"/>
      <c r="I2442" s="73"/>
    </row>
    <row r="2443" spans="8:9">
      <c r="H2443" s="73"/>
      <c r="I2443" s="73"/>
    </row>
    <row r="2444" spans="8:9">
      <c r="H2444" s="73"/>
      <c r="I2444" s="73"/>
    </row>
    <row r="2445" spans="8:9">
      <c r="H2445" s="73"/>
      <c r="I2445" s="73"/>
    </row>
    <row r="2446" spans="8:9">
      <c r="H2446" s="73"/>
      <c r="I2446" s="73"/>
    </row>
    <row r="2447" spans="8:9">
      <c r="H2447" s="73"/>
      <c r="I2447" s="73"/>
    </row>
    <row r="2448" spans="8:9">
      <c r="H2448" s="73"/>
      <c r="I2448" s="73"/>
    </row>
    <row r="2449" spans="8:9">
      <c r="H2449" s="73"/>
      <c r="I2449" s="73"/>
    </row>
    <row r="2450" spans="8:9">
      <c r="H2450" s="73"/>
      <c r="I2450" s="73"/>
    </row>
    <row r="2451" spans="8:9">
      <c r="H2451" s="73"/>
      <c r="I2451" s="73"/>
    </row>
    <row r="2452" spans="8:9">
      <c r="H2452" s="73"/>
      <c r="I2452" s="73"/>
    </row>
    <row r="2453" spans="8:9">
      <c r="H2453" s="73"/>
      <c r="I2453" s="73"/>
    </row>
    <row r="2454" spans="8:9">
      <c r="H2454" s="73"/>
      <c r="I2454" s="73"/>
    </row>
    <row r="2455" spans="8:9">
      <c r="H2455" s="73"/>
      <c r="I2455" s="73"/>
    </row>
    <row r="2456" spans="8:9">
      <c r="H2456" s="73"/>
      <c r="I2456" s="73"/>
    </row>
    <row r="2457" spans="8:9">
      <c r="H2457" s="73"/>
      <c r="I2457" s="73"/>
    </row>
    <row r="2458" spans="8:9">
      <c r="H2458" s="73"/>
      <c r="I2458" s="73"/>
    </row>
    <row r="2459" spans="8:9">
      <c r="H2459" s="73"/>
      <c r="I2459" s="73"/>
    </row>
    <row r="2460" spans="8:9">
      <c r="H2460" s="73"/>
      <c r="I2460" s="73"/>
    </row>
    <row r="2461" spans="8:9">
      <c r="H2461" s="73"/>
      <c r="I2461" s="73"/>
    </row>
    <row r="2462" spans="8:9">
      <c r="H2462" s="73"/>
      <c r="I2462" s="73"/>
    </row>
    <row r="2463" spans="8:9">
      <c r="H2463" s="73"/>
      <c r="I2463" s="73"/>
    </row>
    <row r="2464" spans="8:9">
      <c r="H2464" s="73"/>
      <c r="I2464" s="73"/>
    </row>
    <row r="2465" spans="8:9">
      <c r="H2465" s="73"/>
      <c r="I2465" s="73"/>
    </row>
    <row r="2466" spans="8:9">
      <c r="H2466" s="73"/>
      <c r="I2466" s="73"/>
    </row>
    <row r="2467" spans="8:9">
      <c r="H2467" s="73"/>
      <c r="I2467" s="73"/>
    </row>
    <row r="2468" spans="8:9">
      <c r="H2468" s="73"/>
      <c r="I2468" s="73"/>
    </row>
    <row r="2469" spans="8:9">
      <c r="H2469" s="73"/>
      <c r="I2469" s="73"/>
    </row>
    <row r="2470" spans="8:9">
      <c r="H2470" s="73"/>
      <c r="I2470" s="73"/>
    </row>
    <row r="2471" spans="8:9">
      <c r="H2471" s="73"/>
      <c r="I2471" s="73"/>
    </row>
    <row r="2472" spans="8:9">
      <c r="H2472" s="73"/>
      <c r="I2472" s="73"/>
    </row>
    <row r="2473" spans="8:9">
      <c r="H2473" s="73"/>
      <c r="I2473" s="73"/>
    </row>
    <row r="2474" spans="8:9">
      <c r="H2474" s="73"/>
      <c r="I2474" s="73"/>
    </row>
    <row r="2475" spans="8:9">
      <c r="H2475" s="73"/>
      <c r="I2475" s="73"/>
    </row>
    <row r="2476" spans="8:9">
      <c r="H2476" s="73"/>
      <c r="I2476" s="73"/>
    </row>
    <row r="2477" spans="8:9">
      <c r="H2477" s="73"/>
      <c r="I2477" s="73"/>
    </row>
    <row r="2478" spans="8:9">
      <c r="H2478" s="73"/>
      <c r="I2478" s="73"/>
    </row>
    <row r="2479" spans="8:9">
      <c r="H2479" s="73"/>
      <c r="I2479" s="73"/>
    </row>
    <row r="2480" spans="8:9">
      <c r="H2480" s="73"/>
      <c r="I2480" s="73"/>
    </row>
    <row r="2481" spans="8:9">
      <c r="H2481" s="73"/>
      <c r="I2481" s="73"/>
    </row>
    <row r="2482" spans="8:9">
      <c r="H2482" s="73"/>
      <c r="I2482" s="73"/>
    </row>
    <row r="2483" spans="8:9">
      <c r="H2483" s="73"/>
      <c r="I2483" s="73"/>
    </row>
    <row r="2484" spans="8:9">
      <c r="H2484" s="73"/>
      <c r="I2484" s="73"/>
    </row>
    <row r="2485" spans="8:9">
      <c r="H2485" s="73"/>
      <c r="I2485" s="73"/>
    </row>
    <row r="2486" spans="8:9">
      <c r="H2486" s="73"/>
      <c r="I2486" s="73"/>
    </row>
    <row r="2487" spans="8:9">
      <c r="H2487" s="73"/>
      <c r="I2487" s="73"/>
    </row>
    <row r="2488" spans="8:9">
      <c r="H2488" s="73"/>
      <c r="I2488" s="73"/>
    </row>
    <row r="2489" spans="8:9">
      <c r="H2489" s="73"/>
      <c r="I2489" s="73"/>
    </row>
    <row r="2490" spans="8:9">
      <c r="H2490" s="73"/>
      <c r="I2490" s="73"/>
    </row>
    <row r="2491" spans="8:9">
      <c r="H2491" s="73"/>
      <c r="I2491" s="73"/>
    </row>
    <row r="2492" spans="8:9">
      <c r="H2492" s="73"/>
      <c r="I2492" s="73"/>
    </row>
    <row r="2493" spans="8:9">
      <c r="H2493" s="73"/>
      <c r="I2493" s="73"/>
    </row>
    <row r="2494" spans="8:9">
      <c r="H2494" s="73"/>
      <c r="I2494" s="73"/>
    </row>
    <row r="2495" spans="8:9">
      <c r="H2495" s="73"/>
      <c r="I2495" s="73"/>
    </row>
    <row r="2496" spans="8:9">
      <c r="H2496" s="73"/>
      <c r="I2496" s="73"/>
    </row>
    <row r="2497" spans="8:9">
      <c r="H2497" s="73"/>
      <c r="I2497" s="73"/>
    </row>
    <row r="2498" spans="8:9">
      <c r="H2498" s="73"/>
      <c r="I2498" s="73"/>
    </row>
    <row r="2499" spans="8:9">
      <c r="H2499" s="73"/>
      <c r="I2499" s="73"/>
    </row>
    <row r="2500" spans="8:9">
      <c r="H2500" s="73"/>
      <c r="I2500" s="73"/>
    </row>
    <row r="2501" spans="8:9">
      <c r="H2501" s="73"/>
      <c r="I2501" s="73"/>
    </row>
    <row r="2502" spans="8:9">
      <c r="H2502" s="73"/>
      <c r="I2502" s="73"/>
    </row>
    <row r="2503" spans="8:9">
      <c r="H2503" s="73"/>
      <c r="I2503" s="73"/>
    </row>
    <row r="2504" spans="8:9">
      <c r="H2504" s="73"/>
      <c r="I2504" s="73"/>
    </row>
    <row r="2505" spans="8:9">
      <c r="H2505" s="73"/>
      <c r="I2505" s="73"/>
    </row>
    <row r="2506" spans="8:9">
      <c r="H2506" s="73"/>
      <c r="I2506" s="73"/>
    </row>
    <row r="2507" spans="8:9">
      <c r="H2507" s="73"/>
      <c r="I2507" s="73"/>
    </row>
    <row r="2508" spans="8:9">
      <c r="H2508" s="73"/>
      <c r="I2508" s="73"/>
    </row>
    <row r="2509" spans="8:9">
      <c r="H2509" s="73"/>
      <c r="I2509" s="73"/>
    </row>
    <row r="2510" spans="8:9">
      <c r="H2510" s="73"/>
      <c r="I2510" s="73"/>
    </row>
    <row r="2511" spans="8:9">
      <c r="H2511" s="73"/>
      <c r="I2511" s="73"/>
    </row>
    <row r="2512" spans="8:9">
      <c r="H2512" s="73"/>
      <c r="I2512" s="73"/>
    </row>
    <row r="2513" spans="8:9">
      <c r="H2513" s="73"/>
      <c r="I2513" s="73"/>
    </row>
    <row r="2514" spans="8:9">
      <c r="H2514" s="73"/>
      <c r="I2514" s="73"/>
    </row>
    <row r="2515" spans="8:9">
      <c r="H2515" s="73"/>
      <c r="I2515" s="73"/>
    </row>
    <row r="2516" spans="8:9">
      <c r="H2516" s="73"/>
      <c r="I2516" s="73"/>
    </row>
    <row r="2517" spans="8:9">
      <c r="H2517" s="73"/>
      <c r="I2517" s="73"/>
    </row>
    <row r="2518" spans="8:9">
      <c r="H2518" s="73"/>
      <c r="I2518" s="73"/>
    </row>
    <row r="2519" spans="8:9">
      <c r="H2519" s="73"/>
      <c r="I2519" s="73"/>
    </row>
    <row r="2520" spans="8:9">
      <c r="H2520" s="73"/>
      <c r="I2520" s="73"/>
    </row>
    <row r="2521" spans="8:9">
      <c r="H2521" s="73"/>
      <c r="I2521" s="73"/>
    </row>
    <row r="2522" spans="8:9">
      <c r="H2522" s="73"/>
      <c r="I2522" s="73"/>
    </row>
    <row r="2523" spans="8:9">
      <c r="H2523" s="73"/>
      <c r="I2523" s="73"/>
    </row>
    <row r="2524" spans="8:9">
      <c r="H2524" s="73"/>
      <c r="I2524" s="73"/>
    </row>
    <row r="2525" spans="8:9">
      <c r="H2525" s="73"/>
      <c r="I2525" s="73"/>
    </row>
    <row r="2526" spans="8:9">
      <c r="H2526" s="73"/>
      <c r="I2526" s="73"/>
    </row>
    <row r="2527" spans="8:9">
      <c r="H2527" s="73"/>
      <c r="I2527" s="73"/>
    </row>
    <row r="2528" spans="8:9">
      <c r="H2528" s="73"/>
      <c r="I2528" s="73"/>
    </row>
    <row r="2529" spans="8:9">
      <c r="H2529" s="73"/>
      <c r="I2529" s="73"/>
    </row>
    <row r="2530" spans="8:9">
      <c r="H2530" s="73"/>
      <c r="I2530" s="73"/>
    </row>
    <row r="2531" spans="8:9">
      <c r="H2531" s="73"/>
      <c r="I2531" s="73"/>
    </row>
    <row r="2532" spans="8:9">
      <c r="H2532" s="73"/>
      <c r="I2532" s="73"/>
    </row>
    <row r="2533" spans="8:9">
      <c r="H2533" s="73"/>
      <c r="I2533" s="73"/>
    </row>
    <row r="2534" spans="8:9">
      <c r="H2534" s="73"/>
      <c r="I2534" s="73"/>
    </row>
    <row r="2535" spans="8:9">
      <c r="H2535" s="73"/>
      <c r="I2535" s="73"/>
    </row>
    <row r="2536" spans="8:9">
      <c r="H2536" s="73"/>
      <c r="I2536" s="73"/>
    </row>
    <row r="2537" spans="8:9">
      <c r="H2537" s="73"/>
      <c r="I2537" s="73"/>
    </row>
    <row r="2538" spans="8:9">
      <c r="H2538" s="73"/>
      <c r="I2538" s="73"/>
    </row>
    <row r="2539" spans="8:9">
      <c r="H2539" s="73"/>
      <c r="I2539" s="73"/>
    </row>
    <row r="2540" spans="8:9">
      <c r="H2540" s="73"/>
      <c r="I2540" s="73"/>
    </row>
    <row r="2541" spans="8:9">
      <c r="H2541" s="73"/>
      <c r="I2541" s="73"/>
    </row>
    <row r="2542" spans="8:9">
      <c r="H2542" s="73"/>
      <c r="I2542" s="73"/>
    </row>
    <row r="2543" spans="8:9">
      <c r="H2543" s="73"/>
      <c r="I2543" s="73"/>
    </row>
    <row r="2544" spans="8:9">
      <c r="H2544" s="73"/>
      <c r="I2544" s="73"/>
    </row>
    <row r="2545" spans="8:9">
      <c r="H2545" s="73"/>
      <c r="I2545" s="73"/>
    </row>
    <row r="2546" spans="8:9">
      <c r="H2546" s="73"/>
      <c r="I2546" s="73"/>
    </row>
    <row r="2547" spans="8:9">
      <c r="H2547" s="73"/>
      <c r="I2547" s="73"/>
    </row>
    <row r="2548" spans="8:9">
      <c r="H2548" s="73"/>
      <c r="I2548" s="73"/>
    </row>
    <row r="2549" spans="8:9">
      <c r="H2549" s="73"/>
      <c r="I2549" s="73"/>
    </row>
    <row r="2550" spans="8:9">
      <c r="H2550" s="73"/>
      <c r="I2550" s="73"/>
    </row>
    <row r="2551" spans="8:9">
      <c r="H2551" s="73"/>
      <c r="I2551" s="73"/>
    </row>
    <row r="2552" spans="8:9">
      <c r="H2552" s="73"/>
      <c r="I2552" s="73"/>
    </row>
    <row r="2553" spans="8:9">
      <c r="H2553" s="73"/>
      <c r="I2553" s="73"/>
    </row>
    <row r="2554" spans="8:9">
      <c r="H2554" s="73"/>
      <c r="I2554" s="73"/>
    </row>
    <row r="2555" spans="8:9">
      <c r="H2555" s="73"/>
      <c r="I2555" s="73"/>
    </row>
    <row r="2556" spans="8:9">
      <c r="H2556" s="73"/>
      <c r="I2556" s="73"/>
    </row>
    <row r="2557" spans="8:9">
      <c r="H2557" s="73"/>
      <c r="I2557" s="73"/>
    </row>
    <row r="2558" spans="8:9">
      <c r="H2558" s="73"/>
      <c r="I2558" s="73"/>
    </row>
    <row r="2559" spans="8:9">
      <c r="H2559" s="73"/>
      <c r="I2559" s="73"/>
    </row>
    <row r="2560" spans="8:9">
      <c r="H2560" s="73"/>
      <c r="I2560" s="73"/>
    </row>
    <row r="2561" spans="8:9">
      <c r="H2561" s="73"/>
      <c r="I2561" s="73"/>
    </row>
    <row r="2562" spans="8:9">
      <c r="H2562" s="73"/>
      <c r="I2562" s="73"/>
    </row>
    <row r="2563" spans="8:9">
      <c r="H2563" s="73"/>
      <c r="I2563" s="73"/>
    </row>
    <row r="2564" spans="8:9">
      <c r="H2564" s="73"/>
      <c r="I2564" s="73"/>
    </row>
    <row r="2565" spans="8:9">
      <c r="H2565" s="73"/>
      <c r="I2565" s="73"/>
    </row>
    <row r="2566" spans="8:9">
      <c r="H2566" s="73"/>
      <c r="I2566" s="73"/>
    </row>
    <row r="2567" spans="8:9">
      <c r="H2567" s="73"/>
      <c r="I2567" s="73"/>
    </row>
    <row r="2568" spans="8:9">
      <c r="H2568" s="73"/>
      <c r="I2568" s="73"/>
    </row>
    <row r="2569" spans="8:9">
      <c r="H2569" s="73"/>
      <c r="I2569" s="73"/>
    </row>
    <row r="2570" spans="8:9">
      <c r="H2570" s="73"/>
      <c r="I2570" s="73"/>
    </row>
    <row r="2571" spans="8:9">
      <c r="H2571" s="73"/>
      <c r="I2571" s="73"/>
    </row>
    <row r="2572" spans="8:9">
      <c r="H2572" s="73"/>
      <c r="I2572" s="73"/>
    </row>
    <row r="2573" spans="8:9">
      <c r="H2573" s="73"/>
      <c r="I2573" s="73"/>
    </row>
    <row r="2574" spans="8:9">
      <c r="H2574" s="73"/>
      <c r="I2574" s="73"/>
    </row>
    <row r="2575" spans="8:9">
      <c r="H2575" s="73"/>
      <c r="I2575" s="73"/>
    </row>
    <row r="2576" spans="8:9">
      <c r="H2576" s="73"/>
      <c r="I2576" s="73"/>
    </row>
    <row r="2577" spans="8:9">
      <c r="H2577" s="73"/>
      <c r="I2577" s="73"/>
    </row>
    <row r="2578" spans="8:9">
      <c r="H2578" s="73"/>
      <c r="I2578" s="73"/>
    </row>
    <row r="2579" spans="8:9">
      <c r="H2579" s="73"/>
      <c r="I2579" s="73"/>
    </row>
    <row r="2580" spans="8:9">
      <c r="H2580" s="73"/>
      <c r="I2580" s="73"/>
    </row>
    <row r="2581" spans="8:9">
      <c r="H2581" s="73"/>
      <c r="I2581" s="73"/>
    </row>
    <row r="2582" spans="8:9">
      <c r="H2582" s="73"/>
      <c r="I2582" s="73"/>
    </row>
    <row r="2583" spans="8:9">
      <c r="H2583" s="73"/>
      <c r="I2583" s="73"/>
    </row>
    <row r="2584" spans="8:9">
      <c r="H2584" s="73"/>
      <c r="I2584" s="73"/>
    </row>
    <row r="2585" spans="8:9">
      <c r="H2585" s="73"/>
      <c r="I2585" s="73"/>
    </row>
    <row r="2586" spans="8:9">
      <c r="H2586" s="73"/>
      <c r="I2586" s="73"/>
    </row>
    <row r="2587" spans="8:9">
      <c r="H2587" s="73"/>
      <c r="I2587" s="73"/>
    </row>
    <row r="2588" spans="8:9">
      <c r="H2588" s="73"/>
      <c r="I2588" s="73"/>
    </row>
    <row r="2589" spans="8:9">
      <c r="H2589" s="73"/>
      <c r="I2589" s="73"/>
    </row>
    <row r="2590" spans="8:9">
      <c r="H2590" s="73"/>
      <c r="I2590" s="73"/>
    </row>
    <row r="2591" spans="8:9">
      <c r="H2591" s="73"/>
      <c r="I2591" s="73"/>
    </row>
    <row r="2592" spans="8:9">
      <c r="H2592" s="73"/>
      <c r="I2592" s="73"/>
    </row>
    <row r="2593" spans="8:9">
      <c r="H2593" s="73"/>
      <c r="I2593" s="73"/>
    </row>
    <row r="2594" spans="8:9">
      <c r="H2594" s="73"/>
      <c r="I2594" s="73"/>
    </row>
    <row r="2595" spans="8:9">
      <c r="H2595" s="73"/>
      <c r="I2595" s="73"/>
    </row>
    <row r="2596" spans="8:9">
      <c r="H2596" s="73"/>
      <c r="I2596" s="73"/>
    </row>
    <row r="2597" spans="8:9">
      <c r="H2597" s="73"/>
      <c r="I2597" s="73"/>
    </row>
    <row r="2598" spans="8:9">
      <c r="H2598" s="73"/>
      <c r="I2598" s="73"/>
    </row>
    <row r="2599" spans="8:9">
      <c r="H2599" s="73"/>
      <c r="I2599" s="73"/>
    </row>
    <row r="2600" spans="8:9">
      <c r="H2600" s="73"/>
      <c r="I2600" s="73"/>
    </row>
    <row r="2601" spans="8:9">
      <c r="H2601" s="73"/>
      <c r="I2601" s="73"/>
    </row>
    <row r="2602" spans="8:9">
      <c r="H2602" s="73"/>
      <c r="I2602" s="73"/>
    </row>
    <row r="2603" spans="8:9">
      <c r="H2603" s="73"/>
      <c r="I2603" s="73"/>
    </row>
    <row r="2604" spans="8:9">
      <c r="H2604" s="73"/>
      <c r="I2604" s="73"/>
    </row>
    <row r="2605" spans="8:9">
      <c r="H2605" s="73"/>
      <c r="I2605" s="73"/>
    </row>
    <row r="2606" spans="8:9">
      <c r="H2606" s="73"/>
      <c r="I2606" s="73"/>
    </row>
    <row r="2607" spans="8:9">
      <c r="H2607" s="73"/>
      <c r="I2607" s="73"/>
    </row>
    <row r="2608" spans="8:9">
      <c r="H2608" s="73"/>
      <c r="I2608" s="73"/>
    </row>
    <row r="2609" spans="8:9">
      <c r="H2609" s="73"/>
      <c r="I2609" s="73"/>
    </row>
    <row r="2610" spans="8:9">
      <c r="H2610" s="73"/>
      <c r="I2610" s="73"/>
    </row>
    <row r="2611" spans="8:9">
      <c r="H2611" s="73"/>
      <c r="I2611" s="73"/>
    </row>
    <row r="2612" spans="8:9">
      <c r="H2612" s="73"/>
      <c r="I2612" s="73"/>
    </row>
    <row r="2613" spans="8:9">
      <c r="H2613" s="73"/>
      <c r="I2613" s="73"/>
    </row>
    <row r="2614" spans="8:9">
      <c r="H2614" s="73"/>
      <c r="I2614" s="73"/>
    </row>
    <row r="2615" spans="8:9">
      <c r="H2615" s="73"/>
      <c r="I2615" s="73"/>
    </row>
    <row r="2616" spans="8:9">
      <c r="H2616" s="73"/>
      <c r="I2616" s="73"/>
    </row>
    <row r="2617" spans="8:9">
      <c r="H2617" s="73"/>
      <c r="I2617" s="73"/>
    </row>
    <row r="2618" spans="8:9">
      <c r="H2618" s="73"/>
      <c r="I2618" s="73"/>
    </row>
    <row r="2619" spans="8:9">
      <c r="H2619" s="73"/>
      <c r="I2619" s="73"/>
    </row>
    <row r="2620" spans="8:9">
      <c r="H2620" s="73"/>
      <c r="I2620" s="73"/>
    </row>
    <row r="2621" spans="8:9">
      <c r="H2621" s="73"/>
      <c r="I2621" s="73"/>
    </row>
    <row r="2622" spans="8:9">
      <c r="H2622" s="73"/>
      <c r="I2622" s="73"/>
    </row>
    <row r="2623" spans="8:9">
      <c r="H2623" s="73"/>
      <c r="I2623" s="73"/>
    </row>
    <row r="2624" spans="8:9">
      <c r="H2624" s="73"/>
      <c r="I2624" s="73"/>
    </row>
    <row r="2625" spans="8:9">
      <c r="H2625" s="73"/>
      <c r="I2625" s="73"/>
    </row>
    <row r="2626" spans="8:9">
      <c r="H2626" s="73"/>
      <c r="I2626" s="73"/>
    </row>
    <row r="2627" spans="8:9">
      <c r="H2627" s="73"/>
      <c r="I2627" s="73"/>
    </row>
    <row r="2628" spans="8:9">
      <c r="H2628" s="73"/>
      <c r="I2628" s="73"/>
    </row>
    <row r="2629" spans="8:9">
      <c r="H2629" s="73"/>
      <c r="I2629" s="73"/>
    </row>
    <row r="2630" spans="8:9">
      <c r="H2630" s="73"/>
      <c r="I2630" s="73"/>
    </row>
    <row r="2631" spans="8:9">
      <c r="H2631" s="73"/>
      <c r="I2631" s="73"/>
    </row>
    <row r="2632" spans="8:9">
      <c r="H2632" s="73"/>
      <c r="I2632" s="73"/>
    </row>
    <row r="2633" spans="8:9">
      <c r="H2633" s="73"/>
      <c r="I2633" s="73"/>
    </row>
    <row r="2634" spans="8:9">
      <c r="H2634" s="73"/>
      <c r="I2634" s="73"/>
    </row>
    <row r="2635" spans="8:9">
      <c r="H2635" s="73"/>
      <c r="I2635" s="73"/>
    </row>
    <row r="2636" spans="8:9">
      <c r="H2636" s="73"/>
      <c r="I2636" s="73"/>
    </row>
    <row r="2637" spans="8:9">
      <c r="H2637" s="73"/>
      <c r="I2637" s="73"/>
    </row>
    <row r="2638" spans="8:9">
      <c r="H2638" s="73"/>
      <c r="I2638" s="73"/>
    </row>
    <row r="2639" spans="8:9">
      <c r="H2639" s="73"/>
      <c r="I2639" s="73"/>
    </row>
    <row r="2640" spans="8:9">
      <c r="H2640" s="73"/>
      <c r="I2640" s="73"/>
    </row>
    <row r="2641" spans="8:9">
      <c r="H2641" s="73"/>
      <c r="I2641" s="73"/>
    </row>
    <row r="2642" spans="8:9">
      <c r="H2642" s="73"/>
      <c r="I2642" s="73"/>
    </row>
    <row r="2643" spans="8:9">
      <c r="H2643" s="73"/>
      <c r="I2643" s="73"/>
    </row>
    <row r="2644" spans="8:9">
      <c r="H2644" s="73"/>
      <c r="I2644" s="73"/>
    </row>
    <row r="2645" spans="8:9">
      <c r="H2645" s="73"/>
      <c r="I2645" s="73"/>
    </row>
    <row r="2646" spans="8:9">
      <c r="H2646" s="73"/>
      <c r="I2646" s="73"/>
    </row>
    <row r="2647" spans="8:9">
      <c r="H2647" s="73"/>
      <c r="I2647" s="73"/>
    </row>
    <row r="2648" spans="8:9">
      <c r="H2648" s="73"/>
      <c r="I2648" s="73"/>
    </row>
    <row r="2649" spans="8:9">
      <c r="H2649" s="73"/>
      <c r="I2649" s="73"/>
    </row>
    <row r="2650" spans="8:9">
      <c r="H2650" s="73"/>
      <c r="I2650" s="73"/>
    </row>
    <row r="2651" spans="8:9">
      <c r="H2651" s="73"/>
      <c r="I2651" s="73"/>
    </row>
    <row r="2652" spans="8:9">
      <c r="H2652" s="73"/>
      <c r="I2652" s="73"/>
    </row>
    <row r="2653" spans="8:9">
      <c r="H2653" s="73"/>
      <c r="I2653" s="73"/>
    </row>
    <row r="2654" spans="8:9">
      <c r="H2654" s="73"/>
      <c r="I2654" s="73"/>
    </row>
    <row r="2655" spans="8:9">
      <c r="H2655" s="73"/>
      <c r="I2655" s="73"/>
    </row>
    <row r="2656" spans="8:9">
      <c r="H2656" s="73"/>
      <c r="I2656" s="73"/>
    </row>
    <row r="2657" spans="8:9">
      <c r="H2657" s="73"/>
      <c r="I2657" s="73"/>
    </row>
    <row r="2658" spans="8:9">
      <c r="H2658" s="73"/>
      <c r="I2658" s="73"/>
    </row>
    <row r="2659" spans="8:9">
      <c r="H2659" s="73"/>
      <c r="I2659" s="73"/>
    </row>
    <row r="2660" spans="8:9">
      <c r="H2660" s="73"/>
      <c r="I2660" s="73"/>
    </row>
    <row r="2661" spans="8:9">
      <c r="H2661" s="73"/>
      <c r="I2661" s="73"/>
    </row>
    <row r="2662" spans="8:9">
      <c r="H2662" s="73"/>
      <c r="I2662" s="73"/>
    </row>
    <row r="2663" spans="8:9">
      <c r="H2663" s="73"/>
      <c r="I2663" s="73"/>
    </row>
    <row r="2664" spans="8:9">
      <c r="H2664" s="73"/>
      <c r="I2664" s="73"/>
    </row>
    <row r="2665" spans="8:9">
      <c r="H2665" s="73"/>
      <c r="I2665" s="73"/>
    </row>
    <row r="2666" spans="8:9">
      <c r="H2666" s="73"/>
      <c r="I2666" s="73"/>
    </row>
    <row r="2667" spans="8:9">
      <c r="H2667" s="73"/>
      <c r="I2667" s="73"/>
    </row>
    <row r="2668" spans="8:9">
      <c r="H2668" s="73"/>
      <c r="I2668" s="73"/>
    </row>
    <row r="2669" spans="8:9">
      <c r="H2669" s="73"/>
      <c r="I2669" s="73"/>
    </row>
    <row r="2670" spans="8:9">
      <c r="H2670" s="73"/>
      <c r="I2670" s="73"/>
    </row>
    <row r="2671" spans="8:9">
      <c r="H2671" s="73"/>
      <c r="I2671" s="73"/>
    </row>
    <row r="2672" spans="8:9">
      <c r="H2672" s="73"/>
      <c r="I2672" s="73"/>
    </row>
    <row r="2673" spans="8:9">
      <c r="H2673" s="73"/>
      <c r="I2673" s="73"/>
    </row>
    <row r="2674" spans="8:9">
      <c r="H2674" s="73"/>
      <c r="I2674" s="73"/>
    </row>
    <row r="2675" spans="8:9">
      <c r="H2675" s="73"/>
      <c r="I2675" s="73"/>
    </row>
    <row r="2676" spans="8:9">
      <c r="H2676" s="73"/>
      <c r="I2676" s="73"/>
    </row>
    <row r="2677" spans="8:9">
      <c r="H2677" s="73"/>
      <c r="I2677" s="73"/>
    </row>
    <row r="2678" spans="8:9">
      <c r="H2678" s="73"/>
      <c r="I2678" s="73"/>
    </row>
    <row r="2679" spans="8:9">
      <c r="H2679" s="73"/>
      <c r="I2679" s="73"/>
    </row>
    <row r="2680" spans="8:9">
      <c r="H2680" s="73"/>
      <c r="I2680" s="73"/>
    </row>
    <row r="2681" spans="8:9">
      <c r="H2681" s="73"/>
      <c r="I2681" s="73"/>
    </row>
    <row r="2682" spans="8:9">
      <c r="H2682" s="73"/>
      <c r="I2682" s="73"/>
    </row>
    <row r="2683" spans="8:9">
      <c r="H2683" s="73"/>
      <c r="I2683" s="73"/>
    </row>
    <row r="2684" spans="8:9">
      <c r="H2684" s="73"/>
      <c r="I2684" s="73"/>
    </row>
    <row r="2685" spans="8:9">
      <c r="H2685" s="73"/>
      <c r="I2685" s="73"/>
    </row>
    <row r="2686" spans="8:9">
      <c r="H2686" s="73"/>
      <c r="I2686" s="73"/>
    </row>
    <row r="2687" spans="8:9">
      <c r="H2687" s="73"/>
      <c r="I2687" s="73"/>
    </row>
    <row r="2688" spans="8:9">
      <c r="H2688" s="73"/>
      <c r="I2688" s="73"/>
    </row>
    <row r="2689" spans="8:9">
      <c r="H2689" s="73"/>
      <c r="I2689" s="73"/>
    </row>
    <row r="2690" spans="8:9">
      <c r="H2690" s="73"/>
      <c r="I2690" s="73"/>
    </row>
    <row r="2691" spans="8:9">
      <c r="H2691" s="73"/>
      <c r="I2691" s="73"/>
    </row>
    <row r="2692" spans="8:9">
      <c r="H2692" s="73"/>
      <c r="I2692" s="73"/>
    </row>
    <row r="2693" spans="8:9">
      <c r="H2693" s="73"/>
      <c r="I2693" s="73"/>
    </row>
    <row r="2694" spans="8:9">
      <c r="H2694" s="73"/>
      <c r="I2694" s="73"/>
    </row>
    <row r="2695" spans="8:9">
      <c r="H2695" s="73"/>
      <c r="I2695" s="73"/>
    </row>
    <row r="2696" spans="8:9">
      <c r="H2696" s="73"/>
      <c r="I2696" s="73"/>
    </row>
    <row r="2697" spans="8:9">
      <c r="H2697" s="73"/>
      <c r="I2697" s="73"/>
    </row>
    <row r="2698" spans="8:9">
      <c r="H2698" s="73"/>
      <c r="I2698" s="73"/>
    </row>
    <row r="2699" spans="8:9">
      <c r="H2699" s="73"/>
      <c r="I2699" s="73"/>
    </row>
    <row r="2700" spans="8:9">
      <c r="H2700" s="73"/>
      <c r="I2700" s="73"/>
    </row>
    <row r="2701" spans="8:9">
      <c r="H2701" s="73"/>
      <c r="I2701" s="73"/>
    </row>
    <row r="2702" spans="8:9">
      <c r="H2702" s="73"/>
      <c r="I2702" s="73"/>
    </row>
    <row r="2703" spans="8:9">
      <c r="H2703" s="73"/>
      <c r="I2703" s="73"/>
    </row>
    <row r="2704" spans="8:9">
      <c r="H2704" s="73"/>
      <c r="I2704" s="73"/>
    </row>
    <row r="2705" spans="8:9">
      <c r="H2705" s="73"/>
      <c r="I2705" s="73"/>
    </row>
    <row r="2706" spans="8:9">
      <c r="H2706" s="73"/>
      <c r="I2706" s="73"/>
    </row>
    <row r="2707" spans="8:9">
      <c r="H2707" s="73"/>
      <c r="I2707" s="73"/>
    </row>
    <row r="2708" spans="8:9">
      <c r="H2708" s="73"/>
      <c r="I2708" s="73"/>
    </row>
    <row r="2709" spans="8:9">
      <c r="H2709" s="73"/>
      <c r="I2709" s="73"/>
    </row>
    <row r="2710" spans="8:9">
      <c r="H2710" s="73"/>
      <c r="I2710" s="73"/>
    </row>
    <row r="2711" spans="8:9">
      <c r="H2711" s="73"/>
      <c r="I2711" s="73"/>
    </row>
    <row r="2712" spans="8:9">
      <c r="H2712" s="73"/>
      <c r="I2712" s="73"/>
    </row>
    <row r="2713" spans="8:9">
      <c r="H2713" s="73"/>
      <c r="I2713" s="73"/>
    </row>
    <row r="2714" spans="8:9">
      <c r="H2714" s="73"/>
      <c r="I2714" s="73"/>
    </row>
    <row r="2715" spans="8:9">
      <c r="H2715" s="73"/>
      <c r="I2715" s="73"/>
    </row>
    <row r="2716" spans="8:9">
      <c r="H2716" s="73"/>
      <c r="I2716" s="73"/>
    </row>
    <row r="2717" spans="8:9">
      <c r="H2717" s="73"/>
      <c r="I2717" s="73"/>
    </row>
    <row r="2718" spans="8:9">
      <c r="H2718" s="73"/>
      <c r="I2718" s="73"/>
    </row>
    <row r="2719" spans="8:9">
      <c r="H2719" s="73"/>
      <c r="I2719" s="73"/>
    </row>
    <row r="2720" spans="8:9">
      <c r="H2720" s="73"/>
      <c r="I2720" s="73"/>
    </row>
    <row r="2721" spans="8:9">
      <c r="H2721" s="73"/>
      <c r="I2721" s="73"/>
    </row>
    <row r="2722" spans="8:9">
      <c r="H2722" s="73"/>
      <c r="I2722" s="73"/>
    </row>
    <row r="2723" spans="8:9">
      <c r="H2723" s="73"/>
      <c r="I2723" s="73"/>
    </row>
    <row r="2724" spans="8:9">
      <c r="H2724" s="73"/>
      <c r="I2724" s="73"/>
    </row>
    <row r="2725" spans="8:9">
      <c r="H2725" s="73"/>
      <c r="I2725" s="73"/>
    </row>
    <row r="2726" spans="8:9">
      <c r="H2726" s="73"/>
      <c r="I2726" s="73"/>
    </row>
    <row r="2727" spans="8:9">
      <c r="H2727" s="73"/>
      <c r="I2727" s="73"/>
    </row>
    <row r="2728" spans="8:9">
      <c r="H2728" s="73"/>
      <c r="I2728" s="73"/>
    </row>
    <row r="2729" spans="8:9">
      <c r="H2729" s="73"/>
      <c r="I2729" s="73"/>
    </row>
    <row r="2730" spans="8:9">
      <c r="H2730" s="73"/>
      <c r="I2730" s="73"/>
    </row>
    <row r="2731" spans="8:9">
      <c r="H2731" s="73"/>
      <c r="I2731" s="73"/>
    </row>
    <row r="2732" spans="8:9">
      <c r="H2732" s="73"/>
      <c r="I2732" s="73"/>
    </row>
    <row r="2733" spans="8:9">
      <c r="H2733" s="73"/>
      <c r="I2733" s="73"/>
    </row>
    <row r="2734" spans="8:9">
      <c r="H2734" s="73"/>
      <c r="I2734" s="73"/>
    </row>
    <row r="2735" spans="8:9">
      <c r="H2735" s="73"/>
      <c r="I2735" s="73"/>
    </row>
    <row r="2736" spans="8:9">
      <c r="H2736" s="73"/>
      <c r="I2736" s="73"/>
    </row>
    <row r="2737" spans="8:9">
      <c r="H2737" s="73"/>
      <c r="I2737" s="73"/>
    </row>
    <row r="2738" spans="8:9">
      <c r="H2738" s="73"/>
      <c r="I2738" s="73"/>
    </row>
    <row r="2739" spans="8:9">
      <c r="H2739" s="73"/>
      <c r="I2739" s="73"/>
    </row>
    <row r="2740" spans="8:9">
      <c r="H2740" s="73"/>
      <c r="I2740" s="73"/>
    </row>
    <row r="2741" spans="8:9">
      <c r="H2741" s="73"/>
      <c r="I2741" s="73"/>
    </row>
    <row r="2742" spans="8:9">
      <c r="H2742" s="73"/>
      <c r="I2742" s="73"/>
    </row>
    <row r="2743" spans="8:9">
      <c r="H2743" s="73"/>
      <c r="I2743" s="73"/>
    </row>
    <row r="2744" spans="8:9">
      <c r="H2744" s="73"/>
      <c r="I2744" s="73"/>
    </row>
    <row r="2745" spans="8:9">
      <c r="H2745" s="73"/>
      <c r="I2745" s="73"/>
    </row>
    <row r="2746" spans="8:9">
      <c r="H2746" s="73"/>
      <c r="I2746" s="73"/>
    </row>
    <row r="2747" spans="8:9">
      <c r="H2747" s="73"/>
      <c r="I2747" s="73"/>
    </row>
    <row r="2748" spans="8:9">
      <c r="H2748" s="73"/>
      <c r="I2748" s="73"/>
    </row>
    <row r="2749" spans="8:9">
      <c r="H2749" s="73"/>
      <c r="I2749" s="73"/>
    </row>
    <row r="2750" spans="8:9">
      <c r="H2750" s="73"/>
      <c r="I2750" s="73"/>
    </row>
    <row r="2751" spans="8:9">
      <c r="H2751" s="73"/>
      <c r="I2751" s="73"/>
    </row>
    <row r="2752" spans="8:9">
      <c r="H2752" s="73"/>
      <c r="I2752" s="73"/>
    </row>
    <row r="2753" spans="8:9">
      <c r="H2753" s="73"/>
      <c r="I2753" s="73"/>
    </row>
    <row r="2754" spans="8:9">
      <c r="H2754" s="73"/>
      <c r="I2754" s="73"/>
    </row>
    <row r="2755" spans="8:9">
      <c r="H2755" s="73"/>
      <c r="I2755" s="73"/>
    </row>
    <row r="2756" spans="8:9">
      <c r="H2756" s="73"/>
      <c r="I2756" s="73"/>
    </row>
    <row r="2757" spans="8:9">
      <c r="H2757" s="73"/>
      <c r="I2757" s="73"/>
    </row>
    <row r="2758" spans="8:9">
      <c r="H2758" s="73"/>
      <c r="I2758" s="73"/>
    </row>
    <row r="2759" spans="8:9">
      <c r="H2759" s="73"/>
      <c r="I2759" s="73"/>
    </row>
    <row r="2760" spans="8:9">
      <c r="H2760" s="73"/>
      <c r="I2760" s="73"/>
    </row>
    <row r="2761" spans="8:9">
      <c r="H2761" s="73"/>
      <c r="I2761" s="73"/>
    </row>
    <row r="2762" spans="8:9">
      <c r="H2762" s="73"/>
      <c r="I2762" s="73"/>
    </row>
    <row r="2763" spans="8:9">
      <c r="H2763" s="73"/>
      <c r="I2763" s="73"/>
    </row>
    <row r="2764" spans="8:9">
      <c r="H2764" s="73"/>
      <c r="I2764" s="73"/>
    </row>
    <row r="2765" spans="8:9">
      <c r="H2765" s="73"/>
      <c r="I2765" s="73"/>
    </row>
    <row r="2766" spans="8:9">
      <c r="H2766" s="73"/>
      <c r="I2766" s="73"/>
    </row>
    <row r="2767" spans="8:9">
      <c r="H2767" s="73"/>
      <c r="I2767" s="73"/>
    </row>
    <row r="2768" spans="8:9">
      <c r="H2768" s="73"/>
      <c r="I2768" s="73"/>
    </row>
    <row r="2769" spans="8:9">
      <c r="H2769" s="73"/>
      <c r="I2769" s="73"/>
    </row>
    <row r="2770" spans="8:9">
      <c r="H2770" s="73"/>
      <c r="I2770" s="73"/>
    </row>
    <row r="2771" spans="8:9">
      <c r="H2771" s="73"/>
      <c r="I2771" s="73"/>
    </row>
    <row r="2772" spans="8:9">
      <c r="H2772" s="73"/>
      <c r="I2772" s="73"/>
    </row>
    <row r="2773" spans="8:9">
      <c r="H2773" s="73"/>
      <c r="I2773" s="73"/>
    </row>
    <row r="2774" spans="8:9">
      <c r="H2774" s="73"/>
      <c r="I2774" s="73"/>
    </row>
    <row r="2775" spans="8:9">
      <c r="H2775" s="73"/>
      <c r="I2775" s="73"/>
    </row>
    <row r="2776" spans="8:9">
      <c r="H2776" s="73"/>
      <c r="I2776" s="73"/>
    </row>
    <row r="2777" spans="8:9">
      <c r="H2777" s="73"/>
      <c r="I2777" s="73"/>
    </row>
    <row r="2778" spans="8:9">
      <c r="H2778" s="73"/>
      <c r="I2778" s="73"/>
    </row>
    <row r="2779" spans="8:9">
      <c r="H2779" s="73"/>
      <c r="I2779" s="73"/>
    </row>
    <row r="2780" spans="8:9">
      <c r="H2780" s="73"/>
      <c r="I2780" s="73"/>
    </row>
    <row r="2781" spans="8:9">
      <c r="H2781" s="73"/>
      <c r="I2781" s="73"/>
    </row>
    <row r="2782" spans="8:9">
      <c r="H2782" s="73"/>
      <c r="I2782" s="73"/>
    </row>
    <row r="2783" spans="8:9">
      <c r="H2783" s="73"/>
      <c r="I2783" s="73"/>
    </row>
    <row r="2784" spans="8:9">
      <c r="H2784" s="73"/>
      <c r="I2784" s="73"/>
    </row>
    <row r="2785" spans="8:9">
      <c r="H2785" s="73"/>
      <c r="I2785" s="73"/>
    </row>
    <row r="2786" spans="8:9">
      <c r="H2786" s="73"/>
      <c r="I2786" s="73"/>
    </row>
    <row r="2787" spans="8:9">
      <c r="H2787" s="73"/>
      <c r="I2787" s="73"/>
    </row>
    <row r="2788" spans="8:9">
      <c r="H2788" s="73"/>
      <c r="I2788" s="73"/>
    </row>
    <row r="2789" spans="8:9">
      <c r="H2789" s="73"/>
      <c r="I2789" s="73"/>
    </row>
    <row r="2790" spans="8:9">
      <c r="H2790" s="73"/>
      <c r="I2790" s="73"/>
    </row>
    <row r="2791" spans="8:9">
      <c r="H2791" s="73"/>
      <c r="I2791" s="73"/>
    </row>
    <row r="2792" spans="8:9">
      <c r="H2792" s="73"/>
      <c r="I2792" s="73"/>
    </row>
    <row r="2793" spans="8:9">
      <c r="H2793" s="73"/>
      <c r="I2793" s="73"/>
    </row>
    <row r="2794" spans="8:9">
      <c r="H2794" s="73"/>
      <c r="I2794" s="73"/>
    </row>
    <row r="2795" spans="8:9">
      <c r="H2795" s="73"/>
      <c r="I2795" s="73"/>
    </row>
    <row r="2796" spans="8:9">
      <c r="H2796" s="73"/>
      <c r="I2796" s="73"/>
    </row>
    <row r="2797" spans="8:9">
      <c r="H2797" s="73"/>
      <c r="I2797" s="73"/>
    </row>
    <row r="2798" spans="8:9">
      <c r="H2798" s="73"/>
      <c r="I2798" s="73"/>
    </row>
    <row r="2799" spans="8:9">
      <c r="H2799" s="73"/>
      <c r="I2799" s="73"/>
    </row>
    <row r="2800" spans="8:9">
      <c r="H2800" s="73"/>
      <c r="I2800" s="73"/>
    </row>
    <row r="2801" spans="8:9">
      <c r="H2801" s="73"/>
      <c r="I2801" s="73"/>
    </row>
    <row r="2802" spans="8:9">
      <c r="H2802" s="73"/>
      <c r="I2802" s="73"/>
    </row>
    <row r="2803" spans="8:9">
      <c r="H2803" s="73"/>
      <c r="I2803" s="73"/>
    </row>
    <row r="2804" spans="8:9">
      <c r="H2804" s="73"/>
      <c r="I2804" s="73"/>
    </row>
    <row r="2805" spans="8:9">
      <c r="H2805" s="73"/>
      <c r="I2805" s="73"/>
    </row>
    <row r="2806" spans="8:9">
      <c r="H2806" s="73"/>
      <c r="I2806" s="73"/>
    </row>
    <row r="2807" spans="8:9">
      <c r="H2807" s="73"/>
      <c r="I2807" s="73"/>
    </row>
    <row r="2808" spans="8:9">
      <c r="H2808" s="73"/>
      <c r="I2808" s="73"/>
    </row>
    <row r="2809" spans="8:9">
      <c r="H2809" s="73"/>
      <c r="I2809" s="73"/>
    </row>
    <row r="2810" spans="8:9">
      <c r="H2810" s="73"/>
      <c r="I2810" s="73"/>
    </row>
    <row r="2811" spans="8:9">
      <c r="H2811" s="73"/>
      <c r="I2811" s="73"/>
    </row>
    <row r="2812" spans="8:9">
      <c r="H2812" s="73"/>
      <c r="I2812" s="73"/>
    </row>
    <row r="2813" spans="8:9">
      <c r="H2813" s="73"/>
      <c r="I2813" s="73"/>
    </row>
    <row r="2814" spans="8:9">
      <c r="H2814" s="73"/>
      <c r="I2814" s="73"/>
    </row>
    <row r="2815" spans="8:9">
      <c r="H2815" s="73"/>
      <c r="I2815" s="73"/>
    </row>
    <row r="2816" spans="8:9">
      <c r="H2816" s="73"/>
      <c r="I2816" s="73"/>
    </row>
    <row r="2817" spans="8:9">
      <c r="H2817" s="73"/>
      <c r="I2817" s="73"/>
    </row>
    <row r="2818" spans="8:9">
      <c r="H2818" s="73"/>
      <c r="I2818" s="73"/>
    </row>
    <row r="2819" spans="8:9">
      <c r="H2819" s="73"/>
      <c r="I2819" s="73"/>
    </row>
    <row r="2820" spans="8:9">
      <c r="H2820" s="73"/>
      <c r="I2820" s="73"/>
    </row>
    <row r="2821" spans="8:9">
      <c r="H2821" s="73"/>
      <c r="I2821" s="73"/>
    </row>
    <row r="2822" spans="8:9">
      <c r="H2822" s="73"/>
      <c r="I2822" s="73"/>
    </row>
    <row r="2823" spans="8:9">
      <c r="H2823" s="73"/>
      <c r="I2823" s="73"/>
    </row>
    <row r="2824" spans="8:9">
      <c r="H2824" s="73"/>
      <c r="I2824" s="73"/>
    </row>
    <row r="2825" spans="8:9">
      <c r="H2825" s="73"/>
      <c r="I2825" s="73"/>
    </row>
    <row r="2826" spans="8:9">
      <c r="H2826" s="73"/>
      <c r="I2826" s="73"/>
    </row>
    <row r="2827" spans="8:9">
      <c r="H2827" s="73"/>
      <c r="I2827" s="73"/>
    </row>
    <row r="2828" spans="8:9">
      <c r="H2828" s="73"/>
      <c r="I2828" s="73"/>
    </row>
    <row r="2829" spans="8:9">
      <c r="H2829" s="73"/>
      <c r="I2829" s="73"/>
    </row>
    <row r="2830" spans="8:9">
      <c r="H2830" s="73"/>
      <c r="I2830" s="73"/>
    </row>
    <row r="2831" spans="8:9">
      <c r="H2831" s="73"/>
      <c r="I2831" s="73"/>
    </row>
    <row r="2832" spans="8:9">
      <c r="H2832" s="73"/>
      <c r="I2832" s="73"/>
    </row>
    <row r="2833" spans="8:9">
      <c r="H2833" s="73"/>
      <c r="I2833" s="73"/>
    </row>
    <row r="2834" spans="8:9">
      <c r="H2834" s="73"/>
      <c r="I2834" s="73"/>
    </row>
    <row r="2835" spans="8:9">
      <c r="H2835" s="73"/>
      <c r="I2835" s="73"/>
    </row>
    <row r="2836" spans="8:9">
      <c r="H2836" s="73"/>
      <c r="I2836" s="73"/>
    </row>
    <row r="2837" spans="8:9">
      <c r="H2837" s="73"/>
      <c r="I2837" s="73"/>
    </row>
    <row r="2838" spans="8:9">
      <c r="H2838" s="73"/>
      <c r="I2838" s="73"/>
    </row>
    <row r="2839" spans="8:9">
      <c r="H2839" s="73"/>
      <c r="I2839" s="73"/>
    </row>
    <row r="2840" spans="8:9">
      <c r="H2840" s="73"/>
      <c r="I2840" s="73"/>
    </row>
    <row r="2841" spans="8:9">
      <c r="H2841" s="73"/>
      <c r="I2841" s="73"/>
    </row>
    <row r="2842" spans="8:9">
      <c r="H2842" s="73"/>
      <c r="I2842" s="73"/>
    </row>
    <row r="2843" spans="8:9">
      <c r="H2843" s="73"/>
      <c r="I2843" s="73"/>
    </row>
    <row r="2844" spans="8:9">
      <c r="H2844" s="73"/>
      <c r="I2844" s="73"/>
    </row>
    <row r="2845" spans="8:9">
      <c r="H2845" s="73"/>
      <c r="I2845" s="73"/>
    </row>
    <row r="2846" spans="8:9">
      <c r="H2846" s="73"/>
      <c r="I2846" s="73"/>
    </row>
    <row r="2847" spans="8:9">
      <c r="H2847" s="73"/>
      <c r="I2847" s="73"/>
    </row>
    <row r="2848" spans="8:9">
      <c r="H2848" s="73"/>
      <c r="I2848" s="73"/>
    </row>
    <row r="2849" spans="8:9">
      <c r="H2849" s="73"/>
      <c r="I2849" s="73"/>
    </row>
    <row r="2850" spans="8:9">
      <c r="H2850" s="73"/>
      <c r="I2850" s="73"/>
    </row>
    <row r="2851" spans="8:9">
      <c r="H2851" s="73"/>
      <c r="I2851" s="73"/>
    </row>
    <row r="2852" spans="8:9">
      <c r="H2852" s="73"/>
      <c r="I2852" s="73"/>
    </row>
    <row r="2853" spans="8:9">
      <c r="H2853" s="73"/>
      <c r="I2853" s="73"/>
    </row>
    <row r="2854" spans="8:9">
      <c r="H2854" s="73"/>
      <c r="I2854" s="73"/>
    </row>
    <row r="2855" spans="8:9">
      <c r="H2855" s="73"/>
      <c r="I2855" s="73"/>
    </row>
    <row r="2856" spans="8:9">
      <c r="H2856" s="73"/>
      <c r="I2856" s="73"/>
    </row>
    <row r="2857" spans="8:9">
      <c r="H2857" s="73"/>
      <c r="I2857" s="73"/>
    </row>
    <row r="2858" spans="8:9">
      <c r="H2858" s="73"/>
      <c r="I2858" s="73"/>
    </row>
    <row r="2859" spans="8:9">
      <c r="H2859" s="73"/>
      <c r="I2859" s="73"/>
    </row>
    <row r="2860" spans="8:9">
      <c r="H2860" s="73"/>
      <c r="I2860" s="73"/>
    </row>
    <row r="2861" spans="8:9">
      <c r="H2861" s="73"/>
      <c r="I2861" s="73"/>
    </row>
    <row r="2862" spans="8:9">
      <c r="H2862" s="73"/>
      <c r="I2862" s="73"/>
    </row>
    <row r="2863" spans="8:9">
      <c r="H2863" s="73"/>
      <c r="I2863" s="73"/>
    </row>
    <row r="2864" spans="8:9">
      <c r="H2864" s="73"/>
      <c r="I2864" s="73"/>
    </row>
    <row r="2865" spans="8:9">
      <c r="H2865" s="73"/>
      <c r="I2865" s="73"/>
    </row>
    <row r="2866" spans="8:9">
      <c r="H2866" s="73"/>
      <c r="I2866" s="73"/>
    </row>
    <row r="2867" spans="8:9">
      <c r="H2867" s="73"/>
      <c r="I2867" s="73"/>
    </row>
    <row r="2868" spans="8:9">
      <c r="H2868" s="73"/>
      <c r="I2868" s="73"/>
    </row>
    <row r="2869" spans="8:9">
      <c r="H2869" s="73"/>
      <c r="I2869" s="73"/>
    </row>
    <row r="2870" spans="8:9">
      <c r="H2870" s="73"/>
      <c r="I2870" s="73"/>
    </row>
    <row r="2871" spans="8:9">
      <c r="H2871" s="73"/>
      <c r="I2871" s="73"/>
    </row>
    <row r="2872" spans="8:9">
      <c r="H2872" s="73"/>
      <c r="I2872" s="73"/>
    </row>
    <row r="2873" spans="8:9">
      <c r="H2873" s="73"/>
      <c r="I2873" s="73"/>
    </row>
    <row r="2874" spans="8:9">
      <c r="H2874" s="73"/>
      <c r="I2874" s="73"/>
    </row>
    <row r="2875" spans="8:9">
      <c r="H2875" s="73"/>
      <c r="I2875" s="73"/>
    </row>
    <row r="2876" spans="8:9">
      <c r="H2876" s="73"/>
      <c r="I2876" s="73"/>
    </row>
    <row r="2877" spans="8:9">
      <c r="H2877" s="73"/>
      <c r="I2877" s="73"/>
    </row>
    <row r="2878" spans="8:9">
      <c r="H2878" s="73"/>
      <c r="I2878" s="73"/>
    </row>
    <row r="2879" spans="8:9">
      <c r="H2879" s="73"/>
      <c r="I2879" s="73"/>
    </row>
    <row r="2880" spans="8:9">
      <c r="H2880" s="73"/>
      <c r="I2880" s="73"/>
    </row>
    <row r="2881" spans="8:9">
      <c r="H2881" s="73"/>
      <c r="I2881" s="73"/>
    </row>
    <row r="2882" spans="8:9">
      <c r="H2882" s="73"/>
      <c r="I2882" s="73"/>
    </row>
    <row r="2883" spans="8:9">
      <c r="H2883" s="73"/>
      <c r="I2883" s="73"/>
    </row>
    <row r="2884" spans="8:9">
      <c r="H2884" s="73"/>
      <c r="I2884" s="73"/>
    </row>
    <row r="2885" spans="8:9">
      <c r="H2885" s="73"/>
      <c r="I2885" s="73"/>
    </row>
    <row r="2886" spans="8:9">
      <c r="H2886" s="73"/>
      <c r="I2886" s="73"/>
    </row>
    <row r="2887" spans="8:9">
      <c r="H2887" s="73"/>
      <c r="I2887" s="73"/>
    </row>
    <row r="2888" spans="8:9">
      <c r="H2888" s="73"/>
      <c r="I2888" s="73"/>
    </row>
    <row r="2889" spans="8:9">
      <c r="H2889" s="73"/>
      <c r="I2889" s="73"/>
    </row>
    <row r="2890" spans="8:9">
      <c r="H2890" s="73"/>
      <c r="I2890" s="73"/>
    </row>
    <row r="2891" spans="8:9">
      <c r="H2891" s="73"/>
      <c r="I2891" s="73"/>
    </row>
    <row r="2892" spans="8:9">
      <c r="H2892" s="73"/>
      <c r="I2892" s="73"/>
    </row>
    <row r="2893" spans="8:9">
      <c r="H2893" s="73"/>
      <c r="I2893" s="73"/>
    </row>
    <row r="2894" spans="8:9">
      <c r="H2894" s="73"/>
      <c r="I2894" s="73"/>
    </row>
    <row r="2895" spans="8:9">
      <c r="H2895" s="73"/>
      <c r="I2895" s="73"/>
    </row>
    <row r="2896" spans="8:9">
      <c r="H2896" s="73"/>
      <c r="I2896" s="73"/>
    </row>
    <row r="2897" spans="8:9">
      <c r="H2897" s="73"/>
      <c r="I2897" s="73"/>
    </row>
    <row r="2898" spans="8:9">
      <c r="H2898" s="73"/>
      <c r="I2898" s="73"/>
    </row>
    <row r="2899" spans="8:9">
      <c r="H2899" s="73"/>
      <c r="I2899" s="73"/>
    </row>
    <row r="2900" spans="8:9">
      <c r="H2900" s="73"/>
      <c r="I2900" s="73"/>
    </row>
    <row r="2901" spans="8:9">
      <c r="H2901" s="73"/>
      <c r="I2901" s="73"/>
    </row>
    <row r="2902" spans="8:9">
      <c r="H2902" s="73"/>
      <c r="I2902" s="73"/>
    </row>
    <row r="2903" spans="8:9">
      <c r="H2903" s="73"/>
      <c r="I2903" s="73"/>
    </row>
    <row r="2904" spans="8:9">
      <c r="H2904" s="73"/>
      <c r="I2904" s="73"/>
    </row>
    <row r="2905" spans="8:9">
      <c r="H2905" s="73"/>
      <c r="I2905" s="73"/>
    </row>
    <row r="2906" spans="8:9">
      <c r="H2906" s="73"/>
      <c r="I2906" s="73"/>
    </row>
    <row r="2907" spans="8:9">
      <c r="H2907" s="73"/>
      <c r="I2907" s="73"/>
    </row>
    <row r="2908" spans="8:9">
      <c r="H2908" s="73"/>
      <c r="I2908" s="73"/>
    </row>
    <row r="2909" spans="8:9">
      <c r="H2909" s="73"/>
      <c r="I2909" s="73"/>
    </row>
    <row r="2910" spans="8:9">
      <c r="H2910" s="73"/>
      <c r="I2910" s="73"/>
    </row>
    <row r="2911" spans="8:9">
      <c r="H2911" s="73"/>
      <c r="I2911" s="73"/>
    </row>
    <row r="2912" spans="8:9">
      <c r="H2912" s="73"/>
      <c r="I2912" s="73"/>
    </row>
    <row r="2913" spans="8:9">
      <c r="H2913" s="73"/>
      <c r="I2913" s="73"/>
    </row>
    <row r="2914" spans="8:9">
      <c r="H2914" s="73"/>
      <c r="I2914" s="73"/>
    </row>
    <row r="2915" spans="8:9">
      <c r="H2915" s="73"/>
      <c r="I2915" s="73"/>
    </row>
    <row r="2916" spans="8:9">
      <c r="H2916" s="73"/>
      <c r="I2916" s="73"/>
    </row>
    <row r="2917" spans="8:9">
      <c r="H2917" s="73"/>
      <c r="I2917" s="73"/>
    </row>
    <row r="2918" spans="8:9">
      <c r="H2918" s="73"/>
      <c r="I2918" s="73"/>
    </row>
    <row r="2919" spans="8:9">
      <c r="H2919" s="73"/>
      <c r="I2919" s="73"/>
    </row>
    <row r="2920" spans="8:9">
      <c r="H2920" s="73"/>
      <c r="I2920" s="73"/>
    </row>
    <row r="2921" spans="8:9">
      <c r="H2921" s="73"/>
      <c r="I2921" s="73"/>
    </row>
    <row r="2922" spans="8:9">
      <c r="H2922" s="73"/>
      <c r="I2922" s="73"/>
    </row>
    <row r="2923" spans="8:9">
      <c r="H2923" s="73"/>
      <c r="I2923" s="73"/>
    </row>
    <row r="2924" spans="8:9">
      <c r="H2924" s="73"/>
      <c r="I2924" s="73"/>
    </row>
    <row r="2925" spans="8:9">
      <c r="H2925" s="73"/>
      <c r="I2925" s="73"/>
    </row>
    <row r="2926" spans="8:9">
      <c r="H2926" s="73"/>
      <c r="I2926" s="73"/>
    </row>
    <row r="2927" spans="8:9">
      <c r="H2927" s="73"/>
      <c r="I2927" s="73"/>
    </row>
    <row r="2928" spans="8:9">
      <c r="H2928" s="73"/>
      <c r="I2928" s="73"/>
    </row>
    <row r="2929" spans="8:9">
      <c r="H2929" s="73"/>
      <c r="I2929" s="73"/>
    </row>
    <row r="2930" spans="8:9">
      <c r="H2930" s="73"/>
      <c r="I2930" s="73"/>
    </row>
    <row r="2931" spans="8:9">
      <c r="H2931" s="73"/>
      <c r="I2931" s="73"/>
    </row>
    <row r="2932" spans="8:9">
      <c r="H2932" s="73"/>
      <c r="I2932" s="73"/>
    </row>
    <row r="2933" spans="8:9">
      <c r="H2933" s="73"/>
      <c r="I2933" s="73"/>
    </row>
    <row r="2934" spans="8:9">
      <c r="H2934" s="73"/>
      <c r="I2934" s="73"/>
    </row>
    <row r="2935" spans="8:9">
      <c r="H2935" s="73"/>
      <c r="I2935" s="73"/>
    </row>
    <row r="2936" spans="8:9">
      <c r="H2936" s="73"/>
      <c r="I2936" s="73"/>
    </row>
    <row r="2937" spans="8:9">
      <c r="H2937" s="73"/>
      <c r="I2937" s="73"/>
    </row>
    <row r="2938" spans="8:9">
      <c r="H2938" s="73"/>
      <c r="I2938" s="73"/>
    </row>
    <row r="2939" spans="8:9">
      <c r="H2939" s="73"/>
      <c r="I2939" s="73"/>
    </row>
    <row r="2940" spans="8:9">
      <c r="H2940" s="73"/>
      <c r="I2940" s="73"/>
    </row>
    <row r="2941" spans="8:9">
      <c r="H2941" s="73"/>
      <c r="I2941" s="73"/>
    </row>
    <row r="2942" spans="8:9">
      <c r="H2942" s="73"/>
      <c r="I2942" s="73"/>
    </row>
    <row r="2943" spans="8:9">
      <c r="H2943" s="73"/>
      <c r="I2943" s="73"/>
    </row>
    <row r="2944" spans="8:9">
      <c r="H2944" s="73"/>
      <c r="I2944" s="73"/>
    </row>
    <row r="2945" spans="8:9">
      <c r="H2945" s="73"/>
      <c r="I2945" s="73"/>
    </row>
    <row r="2946" spans="8:9">
      <c r="H2946" s="73"/>
      <c r="I2946" s="73"/>
    </row>
    <row r="2947" spans="8:9">
      <c r="H2947" s="73"/>
      <c r="I2947" s="73"/>
    </row>
    <row r="2948" spans="8:9">
      <c r="H2948" s="73"/>
      <c r="I2948" s="73"/>
    </row>
    <row r="2949" spans="8:9">
      <c r="H2949" s="73"/>
      <c r="I2949" s="73"/>
    </row>
    <row r="2950" spans="8:9">
      <c r="H2950" s="73"/>
      <c r="I2950" s="73"/>
    </row>
    <row r="2951" spans="8:9">
      <c r="H2951" s="73"/>
      <c r="I2951" s="73"/>
    </row>
    <row r="2952" spans="8:9">
      <c r="H2952" s="73"/>
      <c r="I2952" s="73"/>
    </row>
    <row r="2953" spans="8:9">
      <c r="H2953" s="73"/>
      <c r="I2953" s="73"/>
    </row>
    <row r="2954" spans="8:9">
      <c r="H2954" s="73"/>
      <c r="I2954" s="73"/>
    </row>
    <row r="2955" spans="8:9">
      <c r="H2955" s="73"/>
      <c r="I2955" s="73"/>
    </row>
    <row r="2956" spans="8:9">
      <c r="H2956" s="73"/>
      <c r="I2956" s="73"/>
    </row>
    <row r="2957" spans="8:9">
      <c r="H2957" s="73"/>
      <c r="I2957" s="73"/>
    </row>
    <row r="2958" spans="8:9">
      <c r="H2958" s="73"/>
      <c r="I2958" s="73"/>
    </row>
    <row r="2959" spans="8:9">
      <c r="H2959" s="73"/>
      <c r="I2959" s="73"/>
    </row>
    <row r="2960" spans="8:9">
      <c r="H2960" s="73"/>
      <c r="I2960" s="73"/>
    </row>
    <row r="2961" spans="8:9">
      <c r="H2961" s="73"/>
      <c r="I2961" s="73"/>
    </row>
    <row r="2962" spans="8:9">
      <c r="H2962" s="73"/>
      <c r="I2962" s="73"/>
    </row>
    <row r="2963" spans="8:9">
      <c r="H2963" s="73"/>
      <c r="I2963" s="73"/>
    </row>
    <row r="2964" spans="8:9">
      <c r="H2964" s="73"/>
      <c r="I2964" s="73"/>
    </row>
    <row r="2965" spans="8:9">
      <c r="H2965" s="73"/>
      <c r="I2965" s="73"/>
    </row>
    <row r="2966" spans="8:9">
      <c r="H2966" s="73"/>
      <c r="I2966" s="73"/>
    </row>
    <row r="2967" spans="8:9">
      <c r="H2967" s="73"/>
      <c r="I2967" s="73"/>
    </row>
    <row r="2968" spans="8:9">
      <c r="H2968" s="73"/>
      <c r="I2968" s="73"/>
    </row>
    <row r="2969" spans="8:9">
      <c r="H2969" s="73"/>
      <c r="I2969" s="73"/>
    </row>
    <row r="2970" spans="8:9">
      <c r="H2970" s="73"/>
      <c r="I2970" s="73"/>
    </row>
    <row r="2971" spans="8:9">
      <c r="H2971" s="73"/>
      <c r="I2971" s="73"/>
    </row>
    <row r="2972" spans="8:9">
      <c r="H2972" s="73"/>
      <c r="I2972" s="73"/>
    </row>
    <row r="2973" spans="8:9">
      <c r="H2973" s="73"/>
      <c r="I2973" s="73"/>
    </row>
    <row r="2974" spans="8:9">
      <c r="H2974" s="73"/>
      <c r="I2974" s="73"/>
    </row>
    <row r="2975" spans="8:9">
      <c r="H2975" s="73"/>
      <c r="I2975" s="73"/>
    </row>
    <row r="2976" spans="8:9">
      <c r="H2976" s="73"/>
      <c r="I2976" s="73"/>
    </row>
    <row r="2977" spans="8:9">
      <c r="H2977" s="73"/>
      <c r="I2977" s="73"/>
    </row>
    <row r="2978" spans="8:9">
      <c r="H2978" s="73"/>
      <c r="I2978" s="73"/>
    </row>
    <row r="2979" spans="8:9">
      <c r="H2979" s="73"/>
      <c r="I2979" s="73"/>
    </row>
    <row r="2980" spans="8:9">
      <c r="H2980" s="73"/>
      <c r="I2980" s="73"/>
    </row>
    <row r="2981" spans="8:9">
      <c r="H2981" s="73"/>
      <c r="I2981" s="73"/>
    </row>
    <row r="2982" spans="8:9">
      <c r="H2982" s="73"/>
      <c r="I2982" s="73"/>
    </row>
    <row r="2983" spans="8:9">
      <c r="H2983" s="73"/>
      <c r="I2983" s="73"/>
    </row>
    <row r="2984" spans="8:9">
      <c r="H2984" s="73"/>
      <c r="I2984" s="73"/>
    </row>
    <row r="2985" spans="8:9">
      <c r="H2985" s="73"/>
      <c r="I2985" s="73"/>
    </row>
    <row r="2986" spans="8:9">
      <c r="H2986" s="73"/>
      <c r="I2986" s="73"/>
    </row>
    <row r="2987" spans="8:9">
      <c r="H2987" s="73"/>
      <c r="I2987" s="73"/>
    </row>
    <row r="2988" spans="8:9">
      <c r="H2988" s="73"/>
      <c r="I2988" s="73"/>
    </row>
    <row r="2989" spans="8:9">
      <c r="H2989" s="73"/>
      <c r="I2989" s="73"/>
    </row>
    <row r="2990" spans="8:9">
      <c r="H2990" s="73"/>
      <c r="I2990" s="73"/>
    </row>
    <row r="2991" spans="8:9">
      <c r="H2991" s="73"/>
      <c r="I2991" s="73"/>
    </row>
    <row r="2992" spans="8:9">
      <c r="H2992" s="73"/>
      <c r="I2992" s="73"/>
    </row>
    <row r="2993" spans="8:9">
      <c r="H2993" s="73"/>
      <c r="I2993" s="73"/>
    </row>
    <row r="2994" spans="8:9">
      <c r="H2994" s="73"/>
      <c r="I2994" s="73"/>
    </row>
    <row r="2995" spans="8:9">
      <c r="H2995" s="73"/>
      <c r="I2995" s="73"/>
    </row>
    <row r="2996" spans="8:9">
      <c r="H2996" s="73"/>
      <c r="I2996" s="73"/>
    </row>
    <row r="2997" spans="8:9">
      <c r="H2997" s="73"/>
      <c r="I2997" s="73"/>
    </row>
    <row r="2998" spans="8:9">
      <c r="H2998" s="73"/>
      <c r="I2998" s="73"/>
    </row>
    <row r="2999" spans="8:9">
      <c r="H2999" s="73"/>
      <c r="I2999" s="73"/>
    </row>
    <row r="3000" spans="8:9">
      <c r="H3000" s="73"/>
      <c r="I3000" s="73"/>
    </row>
    <row r="3001" spans="8:9">
      <c r="H3001" s="73"/>
      <c r="I3001" s="73"/>
    </row>
    <row r="3002" spans="8:9">
      <c r="H3002" s="73"/>
      <c r="I3002" s="73"/>
    </row>
    <row r="3003" spans="8:9">
      <c r="H3003" s="73"/>
      <c r="I3003" s="73"/>
    </row>
    <row r="3004" spans="8:9">
      <c r="H3004" s="73"/>
      <c r="I3004" s="73"/>
    </row>
    <row r="3005" spans="8:9">
      <c r="H3005" s="73"/>
      <c r="I3005" s="73"/>
    </row>
    <row r="3006" spans="8:9">
      <c r="H3006" s="73"/>
      <c r="I3006" s="73"/>
    </row>
    <row r="3007" spans="8:9">
      <c r="H3007" s="73"/>
      <c r="I3007" s="73"/>
    </row>
    <row r="3008" spans="8:9">
      <c r="H3008" s="73"/>
      <c r="I3008" s="73"/>
    </row>
    <row r="3009" spans="8:9">
      <c r="H3009" s="73"/>
      <c r="I3009" s="73"/>
    </row>
    <row r="3010" spans="8:9">
      <c r="H3010" s="73"/>
      <c r="I3010" s="73"/>
    </row>
    <row r="3011" spans="8:9">
      <c r="H3011" s="73"/>
      <c r="I3011" s="73"/>
    </row>
    <row r="3012" spans="8:9">
      <c r="H3012" s="73"/>
      <c r="I3012" s="73"/>
    </row>
    <row r="3013" spans="8:9">
      <c r="H3013" s="73"/>
      <c r="I3013" s="73"/>
    </row>
    <row r="3014" spans="8:9">
      <c r="H3014" s="73"/>
      <c r="I3014" s="73"/>
    </row>
    <row r="3015" spans="8:9">
      <c r="H3015" s="73"/>
      <c r="I3015" s="73"/>
    </row>
    <row r="3016" spans="8:9">
      <c r="H3016" s="73"/>
      <c r="I3016" s="73"/>
    </row>
    <row r="3017" spans="8:9">
      <c r="H3017" s="73"/>
      <c r="I3017" s="73"/>
    </row>
    <row r="3018" spans="8:9">
      <c r="H3018" s="73"/>
      <c r="I3018" s="73"/>
    </row>
    <row r="3019" spans="8:9">
      <c r="H3019" s="73"/>
      <c r="I3019" s="73"/>
    </row>
    <row r="3020" spans="8:9">
      <c r="H3020" s="73"/>
      <c r="I3020" s="73"/>
    </row>
    <row r="3021" spans="8:9">
      <c r="H3021" s="73"/>
      <c r="I3021" s="73"/>
    </row>
    <row r="3022" spans="8:9">
      <c r="H3022" s="73"/>
      <c r="I3022" s="73"/>
    </row>
    <row r="3023" spans="8:9">
      <c r="H3023" s="73"/>
      <c r="I3023" s="73"/>
    </row>
    <row r="3024" spans="8:9">
      <c r="H3024" s="73"/>
      <c r="I3024" s="73"/>
    </row>
    <row r="3025" spans="8:9">
      <c r="H3025" s="73"/>
      <c r="I3025" s="73"/>
    </row>
    <row r="3026" spans="8:9">
      <c r="H3026" s="73"/>
      <c r="I3026" s="73"/>
    </row>
    <row r="3027" spans="8:9">
      <c r="H3027" s="73"/>
      <c r="I3027" s="73"/>
    </row>
    <row r="3028" spans="8:9">
      <c r="H3028" s="73"/>
      <c r="I3028" s="73"/>
    </row>
    <row r="3029" spans="8:9">
      <c r="H3029" s="73"/>
      <c r="I3029" s="73"/>
    </row>
    <row r="3030" spans="8:9">
      <c r="H3030" s="73"/>
      <c r="I3030" s="73"/>
    </row>
    <row r="3031" spans="8:9">
      <c r="H3031" s="73"/>
      <c r="I3031" s="73"/>
    </row>
    <row r="3032" spans="8:9">
      <c r="H3032" s="73"/>
      <c r="I3032" s="73"/>
    </row>
    <row r="3033" spans="8:9">
      <c r="H3033" s="73"/>
      <c r="I3033" s="73"/>
    </row>
    <row r="3034" spans="8:9">
      <c r="H3034" s="73"/>
      <c r="I3034" s="73"/>
    </row>
    <row r="3035" spans="8:9">
      <c r="H3035" s="73"/>
      <c r="I3035" s="73"/>
    </row>
    <row r="3036" spans="8:9">
      <c r="H3036" s="73"/>
      <c r="I3036" s="73"/>
    </row>
    <row r="3037" spans="8:9">
      <c r="H3037" s="73"/>
      <c r="I3037" s="73"/>
    </row>
    <row r="3038" spans="8:9">
      <c r="H3038" s="73"/>
      <c r="I3038" s="73"/>
    </row>
    <row r="3039" spans="8:9">
      <c r="H3039" s="73"/>
      <c r="I3039" s="73"/>
    </row>
    <row r="3040" spans="8:9">
      <c r="H3040" s="73"/>
      <c r="I3040" s="73"/>
    </row>
    <row r="3041" spans="8:9">
      <c r="H3041" s="73"/>
      <c r="I3041" s="73"/>
    </row>
    <row r="3042" spans="8:9">
      <c r="H3042" s="73"/>
      <c r="I3042" s="73"/>
    </row>
    <row r="3043" spans="8:9">
      <c r="H3043" s="73"/>
      <c r="I3043" s="73"/>
    </row>
    <row r="3044" spans="8:9">
      <c r="H3044" s="73"/>
      <c r="I3044" s="73"/>
    </row>
    <row r="3045" spans="8:9">
      <c r="H3045" s="73"/>
      <c r="I3045" s="73"/>
    </row>
    <row r="3046" spans="8:9">
      <c r="H3046" s="73"/>
      <c r="I3046" s="73"/>
    </row>
    <row r="3047" spans="8:9">
      <c r="H3047" s="73"/>
      <c r="I3047" s="73"/>
    </row>
    <row r="3048" spans="8:9">
      <c r="H3048" s="73"/>
      <c r="I3048" s="73"/>
    </row>
    <row r="3049" spans="8:9">
      <c r="H3049" s="73"/>
      <c r="I3049" s="73"/>
    </row>
    <row r="3050" spans="8:9">
      <c r="H3050" s="73"/>
      <c r="I3050" s="73"/>
    </row>
    <row r="3051" spans="8:9">
      <c r="H3051" s="73"/>
      <c r="I3051" s="73"/>
    </row>
    <row r="3052" spans="8:9">
      <c r="H3052" s="73"/>
      <c r="I3052" s="73"/>
    </row>
    <row r="3053" spans="8:9">
      <c r="H3053" s="73"/>
      <c r="I3053" s="73"/>
    </row>
    <row r="3054" spans="8:9">
      <c r="H3054" s="73"/>
      <c r="I3054" s="73"/>
    </row>
    <row r="3055" spans="8:9">
      <c r="H3055" s="73"/>
      <c r="I3055" s="73"/>
    </row>
    <row r="3056" spans="8:9">
      <c r="H3056" s="73"/>
      <c r="I3056" s="73"/>
    </row>
    <row r="3057" spans="8:9">
      <c r="H3057" s="73"/>
      <c r="I3057" s="73"/>
    </row>
    <row r="3058" spans="8:9">
      <c r="H3058" s="73"/>
      <c r="I3058" s="73"/>
    </row>
    <row r="3059" spans="8:9">
      <c r="H3059" s="73"/>
      <c r="I3059" s="73"/>
    </row>
    <row r="3060" spans="8:9">
      <c r="H3060" s="73"/>
      <c r="I3060" s="73"/>
    </row>
    <row r="3061" spans="8:9">
      <c r="H3061" s="73"/>
      <c r="I3061" s="73"/>
    </row>
    <row r="3062" spans="8:9">
      <c r="H3062" s="73"/>
      <c r="I3062" s="73"/>
    </row>
    <row r="3063" spans="8:9">
      <c r="H3063" s="73"/>
      <c r="I3063" s="73"/>
    </row>
    <row r="3064" spans="8:9">
      <c r="H3064" s="73"/>
      <c r="I3064" s="73"/>
    </row>
    <row r="3065" spans="8:9">
      <c r="H3065" s="73"/>
      <c r="I3065" s="73"/>
    </row>
    <row r="3066" spans="8:9">
      <c r="H3066" s="73"/>
      <c r="I3066" s="73"/>
    </row>
    <row r="3067" spans="8:9">
      <c r="H3067" s="73"/>
      <c r="I3067" s="73"/>
    </row>
    <row r="3068" spans="8:9">
      <c r="H3068" s="73"/>
      <c r="I3068" s="73"/>
    </row>
    <row r="3069" spans="8:9">
      <c r="H3069" s="73"/>
      <c r="I3069" s="73"/>
    </row>
    <row r="3070" spans="8:9">
      <c r="H3070" s="73"/>
      <c r="I3070" s="73"/>
    </row>
    <row r="3071" spans="8:9">
      <c r="H3071" s="73"/>
      <c r="I3071" s="73"/>
    </row>
    <row r="3072" spans="8:9">
      <c r="H3072" s="73"/>
      <c r="I3072" s="73"/>
    </row>
    <row r="3073" spans="8:9">
      <c r="H3073" s="73"/>
      <c r="I3073" s="73"/>
    </row>
    <row r="3074" spans="8:9">
      <c r="H3074" s="73"/>
      <c r="I3074" s="73"/>
    </row>
    <row r="3075" spans="8:9">
      <c r="H3075" s="73"/>
      <c r="I3075" s="73"/>
    </row>
    <row r="3076" spans="8:9">
      <c r="H3076" s="73"/>
      <c r="I3076" s="73"/>
    </row>
    <row r="3077" spans="8:9">
      <c r="H3077" s="73"/>
      <c r="I3077" s="73"/>
    </row>
    <row r="3078" spans="8:9">
      <c r="H3078" s="73"/>
      <c r="I3078" s="73"/>
    </row>
    <row r="3079" spans="8:9">
      <c r="H3079" s="73"/>
      <c r="I3079" s="73"/>
    </row>
    <row r="3080" spans="8:9">
      <c r="H3080" s="73"/>
      <c r="I3080" s="73"/>
    </row>
    <row r="3081" spans="8:9">
      <c r="H3081" s="73"/>
      <c r="I3081" s="73"/>
    </row>
    <row r="3082" spans="8:9">
      <c r="H3082" s="73"/>
      <c r="I3082" s="73"/>
    </row>
    <row r="3083" spans="8:9">
      <c r="H3083" s="73"/>
      <c r="I3083" s="73"/>
    </row>
    <row r="3084" spans="8:9">
      <c r="H3084" s="73"/>
      <c r="I3084" s="73"/>
    </row>
    <row r="3085" spans="8:9">
      <c r="H3085" s="73"/>
      <c r="I3085" s="73"/>
    </row>
    <row r="3086" spans="8:9">
      <c r="H3086" s="73"/>
      <c r="I3086" s="73"/>
    </row>
    <row r="3087" spans="8:9">
      <c r="H3087" s="73"/>
      <c r="I3087" s="73"/>
    </row>
    <row r="3088" spans="8:9">
      <c r="H3088" s="73"/>
      <c r="I3088" s="73"/>
    </row>
    <row r="3089" spans="8:9">
      <c r="H3089" s="73"/>
      <c r="I3089" s="73"/>
    </row>
    <row r="3090" spans="8:9">
      <c r="H3090" s="73"/>
      <c r="I3090" s="73"/>
    </row>
    <row r="3091" spans="8:9">
      <c r="H3091" s="73"/>
      <c r="I3091" s="73"/>
    </row>
    <row r="3092" spans="8:9">
      <c r="H3092" s="73"/>
      <c r="I3092" s="73"/>
    </row>
    <row r="3093" spans="8:9">
      <c r="H3093" s="73"/>
      <c r="I3093" s="73"/>
    </row>
    <row r="3094" spans="8:9">
      <c r="H3094" s="73"/>
      <c r="I3094" s="73"/>
    </row>
    <row r="3095" spans="8:9">
      <c r="H3095" s="73"/>
      <c r="I3095" s="73"/>
    </row>
    <row r="3096" spans="8:9">
      <c r="H3096" s="73"/>
      <c r="I3096" s="73"/>
    </row>
    <row r="3097" spans="8:9">
      <c r="H3097" s="73"/>
      <c r="I3097" s="73"/>
    </row>
    <row r="3098" spans="8:9">
      <c r="H3098" s="73"/>
      <c r="I3098" s="73"/>
    </row>
    <row r="3099" spans="8:9">
      <c r="H3099" s="73"/>
      <c r="I3099" s="73"/>
    </row>
    <row r="3100" spans="8:9">
      <c r="H3100" s="73"/>
      <c r="I3100" s="73"/>
    </row>
    <row r="3101" spans="8:9">
      <c r="H3101" s="73"/>
      <c r="I3101" s="73"/>
    </row>
    <row r="3102" spans="8:9">
      <c r="H3102" s="73"/>
      <c r="I3102" s="73"/>
    </row>
    <row r="3103" spans="8:9">
      <c r="H3103" s="73"/>
      <c r="I3103" s="73"/>
    </row>
    <row r="3104" spans="8:9">
      <c r="H3104" s="73"/>
      <c r="I3104" s="73"/>
    </row>
    <row r="3105" spans="8:9">
      <c r="H3105" s="73"/>
      <c r="I3105" s="73"/>
    </row>
    <row r="3106" spans="8:9">
      <c r="H3106" s="73"/>
      <c r="I3106" s="73"/>
    </row>
    <row r="3107" spans="8:9">
      <c r="H3107" s="73"/>
      <c r="I3107" s="73"/>
    </row>
    <row r="3108" spans="8:9">
      <c r="H3108" s="73"/>
      <c r="I3108" s="73"/>
    </row>
    <row r="3109" spans="8:9">
      <c r="H3109" s="73"/>
      <c r="I3109" s="73"/>
    </row>
    <row r="3110" spans="8:9">
      <c r="H3110" s="73"/>
      <c r="I3110" s="73"/>
    </row>
    <row r="3111" spans="8:9">
      <c r="H3111" s="73"/>
      <c r="I3111" s="73"/>
    </row>
    <row r="3112" spans="8:9">
      <c r="H3112" s="73"/>
      <c r="I3112" s="73"/>
    </row>
    <row r="3113" spans="8:9">
      <c r="H3113" s="73"/>
      <c r="I3113" s="73"/>
    </row>
    <row r="3114" spans="8:9">
      <c r="H3114" s="73"/>
      <c r="I3114" s="73"/>
    </row>
    <row r="3115" spans="8:9">
      <c r="H3115" s="73"/>
      <c r="I3115" s="73"/>
    </row>
    <row r="3116" spans="8:9">
      <c r="H3116" s="73"/>
      <c r="I3116" s="73"/>
    </row>
    <row r="3117" spans="8:9">
      <c r="H3117" s="73"/>
      <c r="I3117" s="73"/>
    </row>
    <row r="3118" spans="8:9">
      <c r="H3118" s="73"/>
      <c r="I3118" s="73"/>
    </row>
    <row r="3119" spans="8:9">
      <c r="H3119" s="73"/>
      <c r="I3119" s="73"/>
    </row>
    <row r="3120" spans="8:9">
      <c r="H3120" s="73"/>
      <c r="I3120" s="73"/>
    </row>
    <row r="3121" spans="8:9">
      <c r="H3121" s="73"/>
      <c r="I3121" s="73"/>
    </row>
    <row r="3122" spans="8:9">
      <c r="H3122" s="73"/>
      <c r="I3122" s="73"/>
    </row>
    <row r="3123" spans="8:9">
      <c r="H3123" s="73"/>
      <c r="I3123" s="73"/>
    </row>
    <row r="3124" spans="8:9">
      <c r="H3124" s="73"/>
      <c r="I3124" s="73"/>
    </row>
    <row r="3125" spans="8:9">
      <c r="H3125" s="73"/>
      <c r="I3125" s="73"/>
    </row>
    <row r="3126" spans="8:9">
      <c r="H3126" s="73"/>
      <c r="I3126" s="73"/>
    </row>
    <row r="3127" spans="8:9">
      <c r="H3127" s="73"/>
      <c r="I3127" s="73"/>
    </row>
    <row r="3128" spans="8:9">
      <c r="H3128" s="73"/>
      <c r="I3128" s="73"/>
    </row>
    <row r="3129" spans="8:9">
      <c r="H3129" s="73"/>
      <c r="I3129" s="73"/>
    </row>
    <row r="3130" spans="8:9">
      <c r="H3130" s="73"/>
      <c r="I3130" s="73"/>
    </row>
    <row r="3131" spans="8:9">
      <c r="H3131" s="73"/>
      <c r="I3131" s="73"/>
    </row>
    <row r="3132" spans="8:9">
      <c r="H3132" s="73"/>
      <c r="I3132" s="73"/>
    </row>
    <row r="3133" spans="8:9">
      <c r="H3133" s="73"/>
      <c r="I3133" s="73"/>
    </row>
    <row r="3134" spans="8:9">
      <c r="H3134" s="73"/>
      <c r="I3134" s="73"/>
    </row>
    <row r="3135" spans="8:9">
      <c r="H3135" s="73"/>
      <c r="I3135" s="73"/>
    </row>
    <row r="3136" spans="8:9">
      <c r="H3136" s="73"/>
      <c r="I3136" s="73"/>
    </row>
    <row r="3137" spans="8:9">
      <c r="H3137" s="73"/>
      <c r="I3137" s="73"/>
    </row>
    <row r="3138" spans="8:9">
      <c r="H3138" s="73"/>
      <c r="I3138" s="73"/>
    </row>
    <row r="3139" spans="8:9">
      <c r="H3139" s="73"/>
      <c r="I3139" s="73"/>
    </row>
    <row r="3140" spans="8:9">
      <c r="H3140" s="73"/>
      <c r="I3140" s="73"/>
    </row>
    <row r="3141" spans="8:9">
      <c r="H3141" s="73"/>
      <c r="I3141" s="73"/>
    </row>
    <row r="3142" spans="8:9">
      <c r="H3142" s="73"/>
      <c r="I3142" s="73"/>
    </row>
    <row r="3143" spans="8:9">
      <c r="H3143" s="73"/>
      <c r="I3143" s="73"/>
    </row>
    <row r="3144" spans="8:9">
      <c r="H3144" s="73"/>
      <c r="I3144" s="73"/>
    </row>
    <row r="3145" spans="8:9">
      <c r="H3145" s="73"/>
      <c r="I3145" s="73"/>
    </row>
    <row r="3146" spans="8:9">
      <c r="H3146" s="73"/>
      <c r="I3146" s="73"/>
    </row>
    <row r="3147" spans="8:9">
      <c r="H3147" s="73"/>
      <c r="I3147" s="73"/>
    </row>
    <row r="3148" spans="8:9">
      <c r="H3148" s="73"/>
      <c r="I3148" s="73"/>
    </row>
    <row r="3149" spans="8:9">
      <c r="H3149" s="73"/>
      <c r="I3149" s="73"/>
    </row>
    <row r="3150" spans="8:9">
      <c r="H3150" s="73"/>
      <c r="I3150" s="73"/>
    </row>
    <row r="3151" spans="8:9">
      <c r="H3151" s="73"/>
      <c r="I3151" s="73"/>
    </row>
    <row r="3152" spans="8:9">
      <c r="H3152" s="73"/>
      <c r="I3152" s="73"/>
    </row>
    <row r="3153" spans="8:9">
      <c r="H3153" s="73"/>
      <c r="I3153" s="73"/>
    </row>
    <row r="3154" spans="8:9">
      <c r="H3154" s="73"/>
      <c r="I3154" s="73"/>
    </row>
    <row r="3155" spans="8:9">
      <c r="H3155" s="73"/>
      <c r="I3155" s="73"/>
    </row>
    <row r="3156" spans="8:9">
      <c r="H3156" s="73"/>
      <c r="I3156" s="73"/>
    </row>
    <row r="3157" spans="8:9">
      <c r="H3157" s="73"/>
      <c r="I3157" s="73"/>
    </row>
    <row r="3158" spans="8:9">
      <c r="H3158" s="73"/>
      <c r="I3158" s="73"/>
    </row>
    <row r="3159" spans="8:9">
      <c r="H3159" s="73"/>
      <c r="I3159" s="73"/>
    </row>
    <row r="3160" spans="8:9">
      <c r="H3160" s="73"/>
      <c r="I3160" s="73"/>
    </row>
    <row r="3161" spans="8:9">
      <c r="H3161" s="73"/>
      <c r="I3161" s="73"/>
    </row>
    <row r="3162" spans="8:9">
      <c r="H3162" s="73"/>
      <c r="I3162" s="73"/>
    </row>
    <row r="3163" spans="8:9">
      <c r="H3163" s="73"/>
      <c r="I3163" s="73"/>
    </row>
    <row r="3164" spans="8:9">
      <c r="H3164" s="73"/>
      <c r="I3164" s="73"/>
    </row>
    <row r="3165" spans="8:9">
      <c r="H3165" s="73"/>
      <c r="I3165" s="73"/>
    </row>
    <row r="3166" spans="8:9">
      <c r="H3166" s="73"/>
      <c r="I3166" s="73"/>
    </row>
    <row r="3167" spans="8:9">
      <c r="H3167" s="73"/>
      <c r="I3167" s="73"/>
    </row>
    <row r="3168" spans="8:9">
      <c r="H3168" s="73"/>
      <c r="I3168" s="73"/>
    </row>
    <row r="3169" spans="8:9">
      <c r="H3169" s="73"/>
      <c r="I3169" s="73"/>
    </row>
    <row r="3170" spans="8:9">
      <c r="H3170" s="73"/>
      <c r="I3170" s="73"/>
    </row>
    <row r="3171" spans="8:9">
      <c r="H3171" s="73"/>
      <c r="I3171" s="73"/>
    </row>
    <row r="3172" spans="8:9">
      <c r="H3172" s="73"/>
      <c r="I3172" s="73"/>
    </row>
    <row r="3173" spans="8:9">
      <c r="H3173" s="73"/>
      <c r="I3173" s="73"/>
    </row>
    <row r="3174" spans="8:9">
      <c r="H3174" s="73"/>
      <c r="I3174" s="73"/>
    </row>
    <row r="3175" spans="8:9">
      <c r="H3175" s="73"/>
      <c r="I3175" s="73"/>
    </row>
    <row r="3176" spans="8:9">
      <c r="H3176" s="73"/>
      <c r="I3176" s="73"/>
    </row>
    <row r="3177" spans="8:9">
      <c r="H3177" s="73"/>
      <c r="I3177" s="73"/>
    </row>
    <row r="3178" spans="8:9">
      <c r="H3178" s="73"/>
      <c r="I3178" s="73"/>
    </row>
    <row r="3179" spans="8:9">
      <c r="H3179" s="73"/>
      <c r="I3179" s="73"/>
    </row>
    <row r="3180" spans="8:9">
      <c r="H3180" s="73"/>
      <c r="I3180" s="73"/>
    </row>
    <row r="3181" spans="8:9">
      <c r="H3181" s="73"/>
      <c r="I3181" s="73"/>
    </row>
    <row r="3182" spans="8:9">
      <c r="H3182" s="73"/>
      <c r="I3182" s="73"/>
    </row>
    <row r="3183" spans="8:9">
      <c r="H3183" s="73"/>
      <c r="I3183" s="73"/>
    </row>
    <row r="3184" spans="8:9">
      <c r="H3184" s="73"/>
      <c r="I3184" s="73"/>
    </row>
    <row r="3185" spans="8:9">
      <c r="H3185" s="73"/>
      <c r="I3185" s="73"/>
    </row>
    <row r="3186" spans="8:9">
      <c r="H3186" s="73"/>
      <c r="I3186" s="73"/>
    </row>
    <row r="3187" spans="8:9">
      <c r="H3187" s="73"/>
      <c r="I3187" s="73"/>
    </row>
    <row r="3188" spans="8:9">
      <c r="H3188" s="73"/>
      <c r="I3188" s="73"/>
    </row>
    <row r="3189" spans="8:9">
      <c r="H3189" s="73"/>
      <c r="I3189" s="73"/>
    </row>
    <row r="3190" spans="8:9">
      <c r="H3190" s="73"/>
      <c r="I3190" s="73"/>
    </row>
    <row r="3191" spans="8:9">
      <c r="H3191" s="73"/>
      <c r="I3191" s="73"/>
    </row>
    <row r="3192" spans="8:9">
      <c r="H3192" s="73"/>
      <c r="I3192" s="73"/>
    </row>
    <row r="3193" spans="8:9">
      <c r="H3193" s="73"/>
      <c r="I3193" s="73"/>
    </row>
    <row r="3194" spans="8:9">
      <c r="H3194" s="73"/>
      <c r="I3194" s="73"/>
    </row>
    <row r="3195" spans="8:9">
      <c r="H3195" s="73"/>
      <c r="I3195" s="73"/>
    </row>
    <row r="3196" spans="8:9">
      <c r="H3196" s="73"/>
      <c r="I3196" s="73"/>
    </row>
    <row r="3197" spans="8:9">
      <c r="H3197" s="73"/>
      <c r="I3197" s="73"/>
    </row>
    <row r="3198" spans="8:9">
      <c r="H3198" s="73"/>
      <c r="I3198" s="73"/>
    </row>
    <row r="3199" spans="8:9">
      <c r="H3199" s="73"/>
      <c r="I3199" s="73"/>
    </row>
    <row r="3200" spans="8:9">
      <c r="H3200" s="73"/>
      <c r="I3200" s="73"/>
    </row>
    <row r="3201" spans="8:9">
      <c r="H3201" s="73"/>
      <c r="I3201" s="73"/>
    </row>
    <row r="3202" spans="8:9">
      <c r="H3202" s="73"/>
      <c r="I3202" s="73"/>
    </row>
    <row r="3203" spans="8:9">
      <c r="H3203" s="73"/>
      <c r="I3203" s="73"/>
    </row>
    <row r="3204" spans="8:9">
      <c r="H3204" s="73"/>
      <c r="I3204" s="73"/>
    </row>
    <row r="3205" spans="8:9">
      <c r="H3205" s="73"/>
      <c r="I3205" s="73"/>
    </row>
    <row r="3206" spans="8:9">
      <c r="H3206" s="73"/>
      <c r="I3206" s="73"/>
    </row>
    <row r="3207" spans="8:9">
      <c r="H3207" s="73"/>
      <c r="I3207" s="73"/>
    </row>
    <row r="3208" spans="8:9">
      <c r="H3208" s="73"/>
      <c r="I3208" s="73"/>
    </row>
    <row r="3209" spans="8:9">
      <c r="H3209" s="73"/>
      <c r="I3209" s="73"/>
    </row>
    <row r="3210" spans="8:9">
      <c r="H3210" s="73"/>
      <c r="I3210" s="73"/>
    </row>
    <row r="3211" spans="8:9">
      <c r="H3211" s="73"/>
      <c r="I3211" s="73"/>
    </row>
    <row r="3212" spans="8:9">
      <c r="H3212" s="73"/>
      <c r="I3212" s="73"/>
    </row>
    <row r="3213" spans="8:9">
      <c r="H3213" s="73"/>
      <c r="I3213" s="73"/>
    </row>
    <row r="3214" spans="8:9">
      <c r="H3214" s="73"/>
      <c r="I3214" s="73"/>
    </row>
    <row r="3215" spans="8:9">
      <c r="H3215" s="73"/>
      <c r="I3215" s="73"/>
    </row>
    <row r="3216" spans="8:9">
      <c r="H3216" s="73"/>
      <c r="I3216" s="73"/>
    </row>
    <row r="3217" spans="8:9">
      <c r="H3217" s="73"/>
      <c r="I3217" s="73"/>
    </row>
    <row r="3218" spans="8:9">
      <c r="H3218" s="73"/>
      <c r="I3218" s="73"/>
    </row>
    <row r="3219" spans="8:9">
      <c r="H3219" s="73"/>
      <c r="I3219" s="73"/>
    </row>
    <row r="3220" spans="8:9">
      <c r="H3220" s="73"/>
      <c r="I3220" s="73"/>
    </row>
    <row r="3221" spans="8:9">
      <c r="H3221" s="73"/>
      <c r="I3221" s="73"/>
    </row>
    <row r="3222" spans="8:9">
      <c r="H3222" s="73"/>
      <c r="I3222" s="73"/>
    </row>
    <row r="3223" spans="8:9">
      <c r="H3223" s="73"/>
      <c r="I3223" s="73"/>
    </row>
    <row r="3224" spans="8:9">
      <c r="H3224" s="73"/>
      <c r="I3224" s="73"/>
    </row>
    <row r="3225" spans="8:9">
      <c r="H3225" s="73"/>
      <c r="I3225" s="73"/>
    </row>
    <row r="3226" spans="8:9">
      <c r="H3226" s="73"/>
      <c r="I3226" s="73"/>
    </row>
    <row r="3227" spans="8:9">
      <c r="H3227" s="73"/>
      <c r="I3227" s="73"/>
    </row>
    <row r="3228" spans="8:9">
      <c r="H3228" s="73"/>
      <c r="I3228" s="73"/>
    </row>
    <row r="3229" spans="8:9">
      <c r="H3229" s="73"/>
      <c r="I3229" s="73"/>
    </row>
    <row r="3230" spans="8:9">
      <c r="H3230" s="73"/>
      <c r="I3230" s="73"/>
    </row>
    <row r="3231" spans="8:9">
      <c r="H3231" s="73"/>
      <c r="I3231" s="73"/>
    </row>
    <row r="3232" spans="8:9">
      <c r="H3232" s="73"/>
      <c r="I3232" s="73"/>
    </row>
    <row r="3233" spans="8:9">
      <c r="H3233" s="73"/>
      <c r="I3233" s="73"/>
    </row>
    <row r="3234" spans="8:9">
      <c r="H3234" s="73"/>
      <c r="I3234" s="73"/>
    </row>
    <row r="3235" spans="8:9">
      <c r="H3235" s="73"/>
      <c r="I3235" s="73"/>
    </row>
    <row r="3236" spans="8:9">
      <c r="H3236" s="73"/>
      <c r="I3236" s="73"/>
    </row>
    <row r="3237" spans="8:9">
      <c r="H3237" s="73"/>
      <c r="I3237" s="73"/>
    </row>
    <row r="3238" spans="8:9">
      <c r="H3238" s="73"/>
      <c r="I3238" s="73"/>
    </row>
    <row r="3239" spans="8:9">
      <c r="H3239" s="73"/>
      <c r="I3239" s="73"/>
    </row>
    <row r="3240" spans="8:9">
      <c r="H3240" s="73"/>
      <c r="I3240" s="73"/>
    </row>
    <row r="3241" spans="8:9">
      <c r="H3241" s="73"/>
      <c r="I3241" s="73"/>
    </row>
    <row r="3242" spans="8:9">
      <c r="H3242" s="73"/>
      <c r="I3242" s="73"/>
    </row>
    <row r="3243" spans="8:9">
      <c r="H3243" s="73"/>
      <c r="I3243" s="73"/>
    </row>
    <row r="3244" spans="8:9">
      <c r="H3244" s="73"/>
      <c r="I3244" s="73"/>
    </row>
    <row r="3245" spans="8:9">
      <c r="H3245" s="73"/>
      <c r="I3245" s="73"/>
    </row>
    <row r="3246" spans="8:9">
      <c r="H3246" s="73"/>
      <c r="I3246" s="73"/>
    </row>
    <row r="3247" spans="8:9">
      <c r="H3247" s="73"/>
      <c r="I3247" s="73"/>
    </row>
    <row r="3248" spans="8:9">
      <c r="H3248" s="73"/>
      <c r="I3248" s="73"/>
    </row>
    <row r="3249" spans="8:9">
      <c r="H3249" s="73"/>
      <c r="I3249" s="73"/>
    </row>
    <row r="3250" spans="8:9">
      <c r="H3250" s="73"/>
      <c r="I3250" s="73"/>
    </row>
    <row r="3251" spans="8:9">
      <c r="H3251" s="73"/>
      <c r="I3251" s="73"/>
    </row>
    <row r="3252" spans="8:9">
      <c r="H3252" s="73"/>
      <c r="I3252" s="73"/>
    </row>
    <row r="3253" spans="8:9">
      <c r="H3253" s="73"/>
      <c r="I3253" s="73"/>
    </row>
    <row r="3254" spans="8:9">
      <c r="H3254" s="73"/>
      <c r="I3254" s="73"/>
    </row>
    <row r="3255" spans="8:9">
      <c r="H3255" s="73"/>
      <c r="I3255" s="73"/>
    </row>
    <row r="3256" spans="8:9">
      <c r="H3256" s="73"/>
      <c r="I3256" s="73"/>
    </row>
    <row r="3257" spans="8:9">
      <c r="H3257" s="73"/>
      <c r="I3257" s="73"/>
    </row>
    <row r="3258" spans="8:9">
      <c r="H3258" s="73"/>
      <c r="I3258" s="73"/>
    </row>
    <row r="3259" spans="8:9">
      <c r="H3259" s="73"/>
      <c r="I3259" s="73"/>
    </row>
    <row r="3260" spans="8:9">
      <c r="H3260" s="73"/>
      <c r="I3260" s="73"/>
    </row>
    <row r="3261" spans="8:9">
      <c r="H3261" s="73"/>
      <c r="I3261" s="73"/>
    </row>
    <row r="3262" spans="8:9">
      <c r="H3262" s="73"/>
      <c r="I3262" s="73"/>
    </row>
    <row r="3263" spans="8:9">
      <c r="H3263" s="73"/>
      <c r="I3263" s="73"/>
    </row>
    <row r="3264" spans="8:9">
      <c r="H3264" s="73"/>
      <c r="I3264" s="73"/>
    </row>
    <row r="3265" spans="8:9">
      <c r="H3265" s="73"/>
      <c r="I3265" s="73"/>
    </row>
    <row r="3266" spans="8:9">
      <c r="H3266" s="73"/>
      <c r="I3266" s="73"/>
    </row>
    <row r="3267" spans="8:9">
      <c r="H3267" s="73"/>
      <c r="I3267" s="73"/>
    </row>
    <row r="3268" spans="8:9">
      <c r="H3268" s="73"/>
      <c r="I3268" s="73"/>
    </row>
    <row r="3269" spans="8:9">
      <c r="H3269" s="73"/>
      <c r="I3269" s="73"/>
    </row>
    <row r="3270" spans="8:9">
      <c r="H3270" s="73"/>
      <c r="I3270" s="73"/>
    </row>
    <row r="3271" spans="8:9">
      <c r="H3271" s="73"/>
      <c r="I3271" s="73"/>
    </row>
    <row r="3272" spans="8:9">
      <c r="H3272" s="73"/>
      <c r="I3272" s="73"/>
    </row>
    <row r="3273" spans="8:9">
      <c r="H3273" s="73"/>
      <c r="I3273" s="73"/>
    </row>
    <row r="3274" spans="8:9">
      <c r="H3274" s="73"/>
      <c r="I3274" s="73"/>
    </row>
    <row r="3275" spans="8:9">
      <c r="H3275" s="73"/>
      <c r="I3275" s="73"/>
    </row>
    <row r="3276" spans="8:9">
      <c r="H3276" s="73"/>
      <c r="I3276" s="73"/>
    </row>
    <row r="3277" spans="8:9">
      <c r="H3277" s="73"/>
      <c r="I3277" s="73"/>
    </row>
    <row r="3278" spans="8:9">
      <c r="H3278" s="73"/>
      <c r="I3278" s="73"/>
    </row>
    <row r="3279" spans="8:9">
      <c r="H3279" s="73"/>
      <c r="I3279" s="73"/>
    </row>
    <row r="3280" spans="8:9">
      <c r="H3280" s="73"/>
      <c r="I3280" s="73"/>
    </row>
    <row r="3281" spans="8:9">
      <c r="H3281" s="73"/>
      <c r="I3281" s="73"/>
    </row>
    <row r="3282" spans="8:9">
      <c r="H3282" s="73"/>
      <c r="I3282" s="73"/>
    </row>
    <row r="3283" spans="8:9">
      <c r="H3283" s="73"/>
      <c r="I3283" s="73"/>
    </row>
    <row r="3284" spans="8:9">
      <c r="H3284" s="73"/>
      <c r="I3284" s="73"/>
    </row>
    <row r="3285" spans="8:9">
      <c r="H3285" s="73"/>
      <c r="I3285" s="73"/>
    </row>
    <row r="3286" spans="8:9">
      <c r="H3286" s="73"/>
      <c r="I3286" s="73"/>
    </row>
    <row r="3287" spans="8:9">
      <c r="H3287" s="73"/>
      <c r="I3287" s="73"/>
    </row>
    <row r="3288" spans="8:9">
      <c r="H3288" s="73"/>
      <c r="I3288" s="73"/>
    </row>
    <row r="3289" spans="8:9">
      <c r="H3289" s="73"/>
      <c r="I3289" s="73"/>
    </row>
    <row r="3290" spans="8:9">
      <c r="H3290" s="73"/>
      <c r="I3290" s="73"/>
    </row>
    <row r="3291" spans="8:9">
      <c r="H3291" s="73"/>
      <c r="I3291" s="73"/>
    </row>
    <row r="3292" spans="8:9">
      <c r="H3292" s="73"/>
      <c r="I3292" s="73"/>
    </row>
    <row r="3293" spans="8:9">
      <c r="H3293" s="73"/>
      <c r="I3293" s="73"/>
    </row>
    <row r="3294" spans="8:9">
      <c r="H3294" s="73"/>
      <c r="I3294" s="73"/>
    </row>
    <row r="3295" spans="8:9">
      <c r="H3295" s="73"/>
      <c r="I3295" s="73"/>
    </row>
    <row r="3296" spans="8:9">
      <c r="H3296" s="73"/>
      <c r="I3296" s="73"/>
    </row>
    <row r="3297" spans="8:9">
      <c r="H3297" s="73"/>
      <c r="I3297" s="73"/>
    </row>
    <row r="3298" spans="8:9">
      <c r="H3298" s="73"/>
      <c r="I3298" s="73"/>
    </row>
    <row r="3299" spans="8:9">
      <c r="H3299" s="73"/>
      <c r="I3299" s="73"/>
    </row>
    <row r="3300" spans="8:9">
      <c r="H3300" s="73"/>
      <c r="I3300" s="73"/>
    </row>
    <row r="3301" spans="8:9">
      <c r="H3301" s="73"/>
      <c r="I3301" s="73"/>
    </row>
    <row r="3302" spans="8:9">
      <c r="H3302" s="73"/>
      <c r="I3302" s="73"/>
    </row>
    <row r="3303" spans="8:9">
      <c r="H3303" s="73"/>
      <c r="I3303" s="73"/>
    </row>
    <row r="3304" spans="8:9">
      <c r="H3304" s="73"/>
      <c r="I3304" s="73"/>
    </row>
    <row r="3305" spans="8:9">
      <c r="H3305" s="73"/>
      <c r="I3305" s="73"/>
    </row>
    <row r="3306" spans="8:9">
      <c r="H3306" s="73"/>
      <c r="I3306" s="73"/>
    </row>
    <row r="3307" spans="8:9">
      <c r="H3307" s="73"/>
      <c r="I3307" s="73"/>
    </row>
    <row r="3308" spans="8:9">
      <c r="H3308" s="73"/>
      <c r="I3308" s="73"/>
    </row>
    <row r="3309" spans="8:9">
      <c r="H3309" s="73"/>
      <c r="I3309" s="73"/>
    </row>
    <row r="3310" spans="8:9">
      <c r="H3310" s="73"/>
      <c r="I3310" s="73"/>
    </row>
    <row r="3311" spans="8:9">
      <c r="H3311" s="73"/>
      <c r="I3311" s="73"/>
    </row>
    <row r="3312" spans="8:9">
      <c r="H3312" s="73"/>
      <c r="I3312" s="73"/>
    </row>
    <row r="3313" spans="8:9">
      <c r="H3313" s="73"/>
      <c r="I3313" s="73"/>
    </row>
    <row r="3314" spans="8:9">
      <c r="H3314" s="73"/>
      <c r="I3314" s="73"/>
    </row>
    <row r="3315" spans="8:9">
      <c r="H3315" s="73"/>
      <c r="I3315" s="73"/>
    </row>
    <row r="3316" spans="8:9">
      <c r="H3316" s="73"/>
      <c r="I3316" s="73"/>
    </row>
    <row r="3317" spans="8:9">
      <c r="H3317" s="73"/>
      <c r="I3317" s="73"/>
    </row>
    <row r="3318" spans="8:9">
      <c r="H3318" s="73"/>
      <c r="I3318" s="73"/>
    </row>
    <row r="3319" spans="8:9">
      <c r="H3319" s="73"/>
      <c r="I3319" s="73"/>
    </row>
    <row r="3320" spans="8:9">
      <c r="H3320" s="73"/>
      <c r="I3320" s="73"/>
    </row>
    <row r="3321" spans="8:9">
      <c r="H3321" s="73"/>
      <c r="I3321" s="73"/>
    </row>
    <row r="3322" spans="8:9">
      <c r="H3322" s="73"/>
      <c r="I3322" s="73"/>
    </row>
    <row r="3323" spans="8:9">
      <c r="H3323" s="73"/>
      <c r="I3323" s="73"/>
    </row>
    <row r="3324" spans="8:9">
      <c r="H3324" s="73"/>
      <c r="I3324" s="73"/>
    </row>
    <row r="3325" spans="8:9">
      <c r="H3325" s="73"/>
      <c r="I3325" s="73"/>
    </row>
    <row r="3326" spans="8:9">
      <c r="H3326" s="73"/>
      <c r="I3326" s="73"/>
    </row>
    <row r="3327" spans="8:9">
      <c r="H3327" s="73"/>
      <c r="I3327" s="73"/>
    </row>
    <row r="3328" spans="8:9">
      <c r="H3328" s="73"/>
      <c r="I3328" s="73"/>
    </row>
    <row r="3329" spans="8:9">
      <c r="H3329" s="73"/>
      <c r="I3329" s="73"/>
    </row>
    <row r="3330" spans="8:9">
      <c r="H3330" s="73"/>
      <c r="I3330" s="73"/>
    </row>
    <row r="3331" spans="8:9">
      <c r="H3331" s="73"/>
      <c r="I3331" s="73"/>
    </row>
    <row r="3332" spans="8:9">
      <c r="H3332" s="73"/>
      <c r="I3332" s="73"/>
    </row>
    <row r="3333" spans="8:9">
      <c r="H3333" s="73"/>
      <c r="I3333" s="73"/>
    </row>
    <row r="3334" spans="8:9">
      <c r="H3334" s="73"/>
      <c r="I3334" s="73"/>
    </row>
    <row r="3335" spans="8:9">
      <c r="H3335" s="73"/>
      <c r="I3335" s="73"/>
    </row>
    <row r="3336" spans="8:9">
      <c r="H3336" s="73"/>
      <c r="I3336" s="73"/>
    </row>
    <row r="3337" spans="8:9">
      <c r="H3337" s="73"/>
      <c r="I3337" s="73"/>
    </row>
    <row r="3338" spans="8:9">
      <c r="H3338" s="73"/>
      <c r="I3338" s="73"/>
    </row>
    <row r="3339" spans="8:9">
      <c r="H3339" s="73"/>
      <c r="I3339" s="73"/>
    </row>
    <row r="3340" spans="8:9">
      <c r="H3340" s="73"/>
      <c r="I3340" s="73"/>
    </row>
    <row r="3341" spans="8:9">
      <c r="H3341" s="73"/>
      <c r="I3341" s="73"/>
    </row>
    <row r="3342" spans="8:9">
      <c r="H3342" s="73"/>
      <c r="I3342" s="73"/>
    </row>
    <row r="3343" spans="8:9">
      <c r="H3343" s="73"/>
      <c r="I3343" s="73"/>
    </row>
    <row r="3344" spans="8:9">
      <c r="H3344" s="73"/>
      <c r="I3344" s="73"/>
    </row>
    <row r="3345" spans="8:9">
      <c r="H3345" s="73"/>
      <c r="I3345" s="73"/>
    </row>
    <row r="3346" spans="8:9">
      <c r="H3346" s="73"/>
      <c r="I3346" s="73"/>
    </row>
    <row r="3347" spans="8:9">
      <c r="H3347" s="73"/>
      <c r="I3347" s="73"/>
    </row>
    <row r="3348" spans="8:9">
      <c r="H3348" s="73"/>
      <c r="I3348" s="73"/>
    </row>
    <row r="3349" spans="8:9">
      <c r="H3349" s="73"/>
      <c r="I3349" s="73"/>
    </row>
    <row r="3350" spans="8:9">
      <c r="H3350" s="73"/>
      <c r="I3350" s="73"/>
    </row>
    <row r="3351" spans="8:9">
      <c r="H3351" s="73"/>
      <c r="I3351" s="73"/>
    </row>
    <row r="3352" spans="8:9">
      <c r="H3352" s="73"/>
      <c r="I3352" s="73"/>
    </row>
    <row r="3353" spans="8:9">
      <c r="H3353" s="73"/>
      <c r="I3353" s="73"/>
    </row>
    <row r="3354" spans="8:9">
      <c r="H3354" s="73"/>
      <c r="I3354" s="73"/>
    </row>
    <row r="3355" spans="8:9">
      <c r="H3355" s="73"/>
      <c r="I3355" s="73"/>
    </row>
    <row r="3356" spans="8:9">
      <c r="H3356" s="73"/>
      <c r="I3356" s="73"/>
    </row>
    <row r="3357" spans="8:9">
      <c r="H3357" s="73"/>
      <c r="I3357" s="73"/>
    </row>
    <row r="3358" spans="8:9">
      <c r="H3358" s="73"/>
      <c r="I3358" s="73"/>
    </row>
    <row r="3359" spans="8:9">
      <c r="H3359" s="73"/>
      <c r="I3359" s="73"/>
    </row>
    <row r="3360" spans="8:9">
      <c r="H3360" s="73"/>
      <c r="I3360" s="73"/>
    </row>
    <row r="3361" spans="8:9">
      <c r="H3361" s="73"/>
      <c r="I3361" s="73"/>
    </row>
    <row r="3362" spans="8:9">
      <c r="H3362" s="73"/>
      <c r="I3362" s="73"/>
    </row>
    <row r="3363" spans="8:9">
      <c r="H3363" s="73"/>
      <c r="I3363" s="73"/>
    </row>
    <row r="3364" spans="8:9">
      <c r="H3364" s="73"/>
      <c r="I3364" s="73"/>
    </row>
    <row r="3365" spans="8:9">
      <c r="H3365" s="73"/>
      <c r="I3365" s="73"/>
    </row>
    <row r="3366" spans="8:9">
      <c r="H3366" s="73"/>
      <c r="I3366" s="73"/>
    </row>
    <row r="3367" spans="8:9">
      <c r="H3367" s="73"/>
      <c r="I3367" s="73"/>
    </row>
    <row r="3368" spans="8:9">
      <c r="H3368" s="73"/>
      <c r="I3368" s="73"/>
    </row>
    <row r="3369" spans="8:9">
      <c r="H3369" s="73"/>
      <c r="I3369" s="73"/>
    </row>
    <row r="3370" spans="8:9">
      <c r="H3370" s="73"/>
      <c r="I3370" s="73"/>
    </row>
    <row r="3371" spans="8:9">
      <c r="H3371" s="73"/>
      <c r="I3371" s="73"/>
    </row>
    <row r="3372" spans="8:9">
      <c r="H3372" s="73"/>
      <c r="I3372" s="73"/>
    </row>
    <row r="3373" spans="8:9">
      <c r="H3373" s="73"/>
      <c r="I3373" s="73"/>
    </row>
    <row r="3374" spans="8:9">
      <c r="H3374" s="73"/>
      <c r="I3374" s="73"/>
    </row>
    <row r="3375" spans="8:9">
      <c r="H3375" s="73"/>
      <c r="I3375" s="73"/>
    </row>
    <row r="3376" spans="8:9">
      <c r="H3376" s="73"/>
      <c r="I3376" s="73"/>
    </row>
    <row r="3377" spans="8:9">
      <c r="H3377" s="73"/>
      <c r="I3377" s="73"/>
    </row>
    <row r="3378" spans="8:9">
      <c r="H3378" s="73"/>
      <c r="I3378" s="73"/>
    </row>
    <row r="3379" spans="8:9">
      <c r="H3379" s="73"/>
      <c r="I3379" s="73"/>
    </row>
    <row r="3380" spans="8:9">
      <c r="H3380" s="73"/>
      <c r="I3380" s="73"/>
    </row>
    <row r="3381" spans="8:9">
      <c r="H3381" s="73"/>
      <c r="I3381" s="73"/>
    </row>
    <row r="3382" spans="8:9">
      <c r="H3382" s="73"/>
      <c r="I3382" s="73"/>
    </row>
    <row r="3383" spans="8:9">
      <c r="H3383" s="73"/>
      <c r="I3383" s="73"/>
    </row>
    <row r="3384" spans="8:9">
      <c r="H3384" s="73"/>
      <c r="I3384" s="73"/>
    </row>
    <row r="3385" spans="8:9">
      <c r="H3385" s="73"/>
      <c r="I3385" s="73"/>
    </row>
    <row r="3386" spans="8:9">
      <c r="H3386" s="73"/>
      <c r="I3386" s="73"/>
    </row>
    <row r="3387" spans="8:9">
      <c r="H3387" s="73"/>
      <c r="I3387" s="73"/>
    </row>
    <row r="3388" spans="8:9">
      <c r="H3388" s="73"/>
      <c r="I3388" s="73"/>
    </row>
    <row r="3389" spans="8:9">
      <c r="H3389" s="73"/>
      <c r="I3389" s="73"/>
    </row>
    <row r="3390" spans="8:9">
      <c r="H3390" s="73"/>
      <c r="I3390" s="73"/>
    </row>
    <row r="3391" spans="8:9">
      <c r="H3391" s="73"/>
      <c r="I3391" s="73"/>
    </row>
    <row r="3392" spans="8:9">
      <c r="H3392" s="73"/>
      <c r="I3392" s="73"/>
    </row>
    <row r="3393" spans="8:9">
      <c r="H3393" s="73"/>
      <c r="I3393" s="73"/>
    </row>
    <row r="3394" spans="8:9">
      <c r="H3394" s="73"/>
      <c r="I3394" s="73"/>
    </row>
    <row r="3395" spans="8:9">
      <c r="H3395" s="73"/>
      <c r="I3395" s="73"/>
    </row>
    <row r="3396" spans="8:9">
      <c r="H3396" s="73"/>
      <c r="I3396" s="73"/>
    </row>
    <row r="3397" spans="8:9">
      <c r="H3397" s="73"/>
      <c r="I3397" s="73"/>
    </row>
    <row r="3398" spans="8:9">
      <c r="H3398" s="73"/>
      <c r="I3398" s="73"/>
    </row>
    <row r="3399" spans="8:9">
      <c r="H3399" s="73"/>
      <c r="I3399" s="73"/>
    </row>
    <row r="3400" spans="8:9">
      <c r="H3400" s="73"/>
      <c r="I3400" s="73"/>
    </row>
    <row r="3401" spans="8:9">
      <c r="H3401" s="73"/>
      <c r="I3401" s="73"/>
    </row>
    <row r="3402" spans="8:9">
      <c r="H3402" s="73"/>
      <c r="I3402" s="73"/>
    </row>
    <row r="3403" spans="8:9">
      <c r="H3403" s="73"/>
      <c r="I3403" s="73"/>
    </row>
    <row r="3404" spans="8:9">
      <c r="H3404" s="73"/>
      <c r="I3404" s="73"/>
    </row>
    <row r="3405" spans="8:9">
      <c r="H3405" s="73"/>
      <c r="I3405" s="73"/>
    </row>
    <row r="3406" spans="8:9">
      <c r="H3406" s="73"/>
      <c r="I3406" s="73"/>
    </row>
    <row r="3407" spans="8:9">
      <c r="H3407" s="73"/>
      <c r="I3407" s="73"/>
    </row>
    <row r="3408" spans="8:9">
      <c r="H3408" s="73"/>
      <c r="I3408" s="73"/>
    </row>
    <row r="3409" spans="8:9">
      <c r="H3409" s="73"/>
      <c r="I3409" s="73"/>
    </row>
    <row r="3410" spans="8:9">
      <c r="H3410" s="73"/>
      <c r="I3410" s="73"/>
    </row>
    <row r="3411" spans="8:9">
      <c r="H3411" s="73"/>
      <c r="I3411" s="73"/>
    </row>
    <row r="3412" spans="8:9">
      <c r="H3412" s="73"/>
      <c r="I3412" s="73"/>
    </row>
    <row r="3413" spans="8:9">
      <c r="H3413" s="73"/>
      <c r="I3413" s="73"/>
    </row>
    <row r="3414" spans="8:9">
      <c r="H3414" s="73"/>
      <c r="I3414" s="73"/>
    </row>
    <row r="3415" spans="8:9">
      <c r="H3415" s="73"/>
      <c r="I3415" s="73"/>
    </row>
    <row r="3416" spans="8:9">
      <c r="H3416" s="73"/>
      <c r="I3416" s="73"/>
    </row>
    <row r="3417" spans="8:9">
      <c r="H3417" s="73"/>
      <c r="I3417" s="73"/>
    </row>
    <row r="3418" spans="8:9">
      <c r="H3418" s="73"/>
      <c r="I3418" s="73"/>
    </row>
    <row r="3419" spans="8:9">
      <c r="H3419" s="73"/>
      <c r="I3419" s="73"/>
    </row>
    <row r="3420" spans="8:9">
      <c r="H3420" s="73"/>
      <c r="I3420" s="73"/>
    </row>
    <row r="3421" spans="8:9">
      <c r="H3421" s="73"/>
      <c r="I3421" s="73"/>
    </row>
    <row r="3422" spans="8:9">
      <c r="H3422" s="73"/>
      <c r="I3422" s="73"/>
    </row>
    <row r="3423" spans="8:9">
      <c r="H3423" s="73"/>
      <c r="I3423" s="73"/>
    </row>
    <row r="3424" spans="8:9">
      <c r="H3424" s="73"/>
      <c r="I3424" s="73"/>
    </row>
    <row r="3425" spans="8:9">
      <c r="H3425" s="73"/>
      <c r="I3425" s="73"/>
    </row>
    <row r="3426" spans="8:9">
      <c r="H3426" s="73"/>
      <c r="I3426" s="73"/>
    </row>
    <row r="3427" spans="8:9">
      <c r="H3427" s="73"/>
      <c r="I3427" s="73"/>
    </row>
    <row r="3428" spans="8:9">
      <c r="H3428" s="73"/>
      <c r="I3428" s="73"/>
    </row>
    <row r="3429" spans="8:9">
      <c r="H3429" s="73"/>
      <c r="I3429" s="73"/>
    </row>
    <row r="3430" spans="8:9">
      <c r="H3430" s="73"/>
      <c r="I3430" s="73"/>
    </row>
    <row r="3431" spans="8:9">
      <c r="H3431" s="73"/>
      <c r="I3431" s="73"/>
    </row>
    <row r="3432" spans="8:9">
      <c r="H3432" s="73"/>
      <c r="I3432" s="73"/>
    </row>
    <row r="3433" spans="8:9">
      <c r="H3433" s="73"/>
      <c r="I3433" s="73"/>
    </row>
    <row r="3434" spans="8:9">
      <c r="H3434" s="73"/>
      <c r="I3434" s="73"/>
    </row>
    <row r="3435" spans="8:9">
      <c r="H3435" s="73"/>
      <c r="I3435" s="73"/>
    </row>
    <row r="3436" spans="8:9">
      <c r="H3436" s="73"/>
      <c r="I3436" s="73"/>
    </row>
    <row r="3437" spans="8:9">
      <c r="H3437" s="73"/>
      <c r="I3437" s="73"/>
    </row>
    <row r="3438" spans="8:9">
      <c r="H3438" s="73"/>
      <c r="I3438" s="73"/>
    </row>
    <row r="3439" spans="8:9">
      <c r="H3439" s="73"/>
      <c r="I3439" s="73"/>
    </row>
    <row r="3440" spans="8:9">
      <c r="H3440" s="73"/>
      <c r="I3440" s="73"/>
    </row>
    <row r="3441" spans="8:9">
      <c r="H3441" s="73"/>
      <c r="I3441" s="73"/>
    </row>
    <row r="3442" spans="8:9">
      <c r="H3442" s="73"/>
      <c r="I3442" s="73"/>
    </row>
    <row r="3443" spans="8:9">
      <c r="H3443" s="73"/>
      <c r="I3443" s="73"/>
    </row>
    <row r="3444" spans="8:9">
      <c r="H3444" s="73"/>
      <c r="I3444" s="73"/>
    </row>
    <row r="3445" spans="8:9">
      <c r="H3445" s="73"/>
      <c r="I3445" s="73"/>
    </row>
    <row r="3446" spans="8:9">
      <c r="H3446" s="73"/>
      <c r="I3446" s="73"/>
    </row>
    <row r="3447" spans="8:9">
      <c r="H3447" s="73"/>
      <c r="I3447" s="73"/>
    </row>
    <row r="3448" spans="8:9">
      <c r="H3448" s="73"/>
      <c r="I3448" s="73"/>
    </row>
    <row r="3449" spans="8:9">
      <c r="H3449" s="73"/>
      <c r="I3449" s="73"/>
    </row>
    <row r="3450" spans="8:9">
      <c r="H3450" s="73"/>
      <c r="I3450" s="73"/>
    </row>
    <row r="3451" spans="8:9">
      <c r="H3451" s="73"/>
      <c r="I3451" s="73"/>
    </row>
    <row r="3452" spans="8:9">
      <c r="H3452" s="73"/>
      <c r="I3452" s="73"/>
    </row>
    <row r="3453" spans="8:9">
      <c r="H3453" s="73"/>
      <c r="I3453" s="73"/>
    </row>
    <row r="3454" spans="8:9">
      <c r="H3454" s="255"/>
      <c r="I3454" s="255"/>
    </row>
    <row r="3455" spans="8:9">
      <c r="H3455" s="255"/>
      <c r="I3455" s="255"/>
    </row>
    <row r="3456" spans="8:9">
      <c r="H3456" s="255"/>
      <c r="I3456" s="255"/>
    </row>
    <row r="3457" spans="9:10">
      <c r="I3457" s="255"/>
      <c r="J3457" s="255"/>
    </row>
    <row r="3458" spans="9:10">
      <c r="I3458" s="255"/>
      <c r="J3458" s="255"/>
    </row>
    <row r="3459" spans="9:10">
      <c r="I3459" s="255"/>
      <c r="J3459" s="255"/>
    </row>
    <row r="3460" spans="9:10">
      <c r="I3460" s="255"/>
      <c r="J3460" s="126"/>
    </row>
    <row r="3461" spans="9:10">
      <c r="I3461" s="255"/>
      <c r="J3461" s="126"/>
    </row>
    <row r="3462" spans="9:10">
      <c r="I3462" s="255"/>
      <c r="J3462" s="126"/>
    </row>
    <row r="3463" spans="9:10">
      <c r="I3463" s="255"/>
      <c r="J3463" s="126"/>
    </row>
    <row r="3464" spans="9:10">
      <c r="I3464" s="255"/>
      <c r="J3464" s="126"/>
    </row>
    <row r="3465" spans="9:10">
      <c r="I3465" s="255"/>
      <c r="J3465" s="126"/>
    </row>
    <row r="3466" spans="9:10">
      <c r="I3466" s="255"/>
      <c r="J3466" s="126"/>
    </row>
    <row r="3467" spans="9:10">
      <c r="I3467" s="255"/>
      <c r="J3467" s="126"/>
    </row>
    <row r="3468" spans="9:10">
      <c r="I3468" s="255"/>
      <c r="J3468" s="126"/>
    </row>
    <row r="3469" spans="9:10">
      <c r="I3469" s="255"/>
      <c r="J3469" s="126"/>
    </row>
    <row r="3470" spans="9:10">
      <c r="I3470" s="255"/>
      <c r="J3470" s="126"/>
    </row>
    <row r="3471" spans="9:10">
      <c r="I3471" s="255"/>
      <c r="J3471" s="126"/>
    </row>
    <row r="3472" spans="9:10">
      <c r="I3472" s="255"/>
      <c r="J3472" s="126"/>
    </row>
    <row r="3473" spans="9:10">
      <c r="I3473" s="255"/>
      <c r="J3473" s="126"/>
    </row>
    <row r="3474" spans="9:10">
      <c r="I3474" s="255"/>
      <c r="J3474" s="126"/>
    </row>
    <row r="3475" spans="9:10">
      <c r="I3475" s="255"/>
      <c r="J3475" s="126"/>
    </row>
    <row r="3476" spans="9:10">
      <c r="I3476" s="255"/>
      <c r="J3476" s="126"/>
    </row>
    <row r="3477" spans="9:10">
      <c r="I3477" s="255"/>
      <c r="J3477" s="126"/>
    </row>
    <row r="3478" spans="9:10">
      <c r="I3478" s="255"/>
      <c r="J3478" s="126"/>
    </row>
    <row r="3479" spans="9:10">
      <c r="I3479" s="255"/>
      <c r="J3479" s="126"/>
    </row>
    <row r="3480" spans="9:10">
      <c r="I3480" s="255"/>
      <c r="J3480" s="126"/>
    </row>
    <row r="3481" spans="9:10">
      <c r="I3481" s="255"/>
      <c r="J3481" s="126"/>
    </row>
    <row r="3482" spans="9:10">
      <c r="I3482" s="255"/>
      <c r="J3482" s="126"/>
    </row>
    <row r="3483" spans="9:10">
      <c r="I3483" s="255"/>
      <c r="J3483" s="126"/>
    </row>
    <row r="3484" spans="9:10">
      <c r="I3484" s="255"/>
      <c r="J3484" s="126"/>
    </row>
    <row r="3485" spans="9:10">
      <c r="I3485" s="255"/>
      <c r="J3485" s="126"/>
    </row>
    <row r="3486" spans="9:10">
      <c r="I3486" s="255"/>
      <c r="J3486" s="126"/>
    </row>
    <row r="3487" spans="9:10">
      <c r="I3487" s="255"/>
      <c r="J3487" s="126"/>
    </row>
    <row r="3488" spans="9:10">
      <c r="I3488" s="255"/>
      <c r="J3488" s="126"/>
    </row>
    <row r="3489" spans="9:10">
      <c r="I3489" s="255"/>
      <c r="J3489" s="126"/>
    </row>
    <row r="3490" spans="9:10">
      <c r="I3490" s="255"/>
      <c r="J3490" s="126"/>
    </row>
    <row r="3491" spans="9:10">
      <c r="I3491" s="255"/>
      <c r="J3491" s="126"/>
    </row>
    <row r="3492" spans="9:10">
      <c r="I3492" s="255"/>
      <c r="J3492" s="126"/>
    </row>
    <row r="3493" spans="9:10">
      <c r="I3493" s="255"/>
      <c r="J3493" s="126"/>
    </row>
    <row r="3494" spans="9:10">
      <c r="I3494" s="255"/>
      <c r="J3494" s="126"/>
    </row>
    <row r="3495" spans="9:10">
      <c r="I3495" s="255"/>
      <c r="J3495" s="126"/>
    </row>
    <row r="3496" spans="9:10">
      <c r="I3496" s="255"/>
      <c r="J3496" s="126"/>
    </row>
    <row r="3497" spans="9:10">
      <c r="I3497" s="255"/>
      <c r="J3497" s="126"/>
    </row>
    <row r="3498" spans="9:10">
      <c r="I3498" s="255"/>
      <c r="J3498" s="126"/>
    </row>
    <row r="3499" spans="9:10">
      <c r="I3499" s="255"/>
      <c r="J3499" s="126"/>
    </row>
    <row r="3500" spans="9:10">
      <c r="I3500" s="255"/>
      <c r="J3500" s="126"/>
    </row>
    <row r="3501" spans="9:10">
      <c r="I3501" s="255"/>
      <c r="J3501" s="126"/>
    </row>
    <row r="3502" spans="9:10">
      <c r="I3502" s="255"/>
      <c r="J3502" s="126"/>
    </row>
    <row r="3503" spans="9:10">
      <c r="I3503" s="255"/>
      <c r="J3503" s="126"/>
    </row>
    <row r="3504" spans="9:10">
      <c r="I3504" s="255"/>
      <c r="J3504" s="126"/>
    </row>
    <row r="3505" spans="9:10">
      <c r="I3505" s="255"/>
      <c r="J3505" s="126"/>
    </row>
    <row r="3506" spans="9:10">
      <c r="I3506" s="255"/>
      <c r="J3506" s="126"/>
    </row>
    <row r="3507" spans="9:10">
      <c r="I3507" s="255"/>
      <c r="J3507" s="126"/>
    </row>
    <row r="3508" spans="9:10">
      <c r="I3508" s="255"/>
      <c r="J3508" s="126"/>
    </row>
    <row r="3509" spans="9:10">
      <c r="I3509" s="255"/>
      <c r="J3509" s="126"/>
    </row>
    <row r="3510" spans="9:10">
      <c r="I3510" s="255"/>
      <c r="J3510" s="126"/>
    </row>
    <row r="3511" spans="9:10">
      <c r="I3511" s="255"/>
      <c r="J3511" s="126"/>
    </row>
    <row r="3512" spans="9:10">
      <c r="I3512" s="255"/>
      <c r="J3512" s="126"/>
    </row>
    <row r="3513" spans="9:10">
      <c r="I3513" s="255"/>
      <c r="J3513" s="126"/>
    </row>
    <row r="3514" spans="9:10">
      <c r="I3514" s="255"/>
      <c r="J3514" s="126"/>
    </row>
    <row r="3515" spans="9:10">
      <c r="I3515" s="255"/>
      <c r="J3515" s="126"/>
    </row>
    <row r="3516" spans="9:10">
      <c r="I3516" s="255"/>
      <c r="J3516" s="126"/>
    </row>
    <row r="3517" spans="9:10">
      <c r="I3517" s="255"/>
      <c r="J3517" s="126"/>
    </row>
    <row r="3518" spans="9:10">
      <c r="I3518" s="255"/>
      <c r="J3518" s="126"/>
    </row>
    <row r="3519" spans="9:10">
      <c r="I3519" s="255"/>
      <c r="J3519" s="126"/>
    </row>
    <row r="3520" spans="9:10">
      <c r="I3520" s="255"/>
      <c r="J3520" s="126"/>
    </row>
    <row r="3521" spans="9:10">
      <c r="I3521" s="255"/>
      <c r="J3521" s="126"/>
    </row>
    <row r="3522" spans="9:10">
      <c r="I3522" s="255"/>
      <c r="J3522" s="126"/>
    </row>
    <row r="3523" spans="9:10">
      <c r="I3523" s="255"/>
      <c r="J3523" s="126"/>
    </row>
    <row r="3524" spans="9:10">
      <c r="I3524" s="255"/>
      <c r="J3524" s="126"/>
    </row>
    <row r="3525" spans="9:10">
      <c r="I3525" s="255"/>
      <c r="J3525" s="126"/>
    </row>
    <row r="3526" spans="9:10">
      <c r="I3526" s="255"/>
      <c r="J3526" s="126"/>
    </row>
    <row r="3527" spans="9:10">
      <c r="I3527" s="255"/>
      <c r="J3527" s="126"/>
    </row>
    <row r="3528" spans="9:10">
      <c r="I3528" s="255"/>
      <c r="J3528" s="126"/>
    </row>
    <row r="3529" spans="9:10">
      <c r="I3529" s="255"/>
      <c r="J3529" s="126"/>
    </row>
    <row r="3530" spans="9:10">
      <c r="I3530" s="255"/>
      <c r="J3530" s="126"/>
    </row>
    <row r="3531" spans="9:10">
      <c r="I3531" s="255"/>
      <c r="J3531" s="126"/>
    </row>
    <row r="3532" spans="9:10">
      <c r="I3532" s="255"/>
      <c r="J3532" s="126"/>
    </row>
    <row r="3533" spans="9:10">
      <c r="I3533" s="255"/>
      <c r="J3533" s="126"/>
    </row>
    <row r="3534" spans="9:10">
      <c r="I3534" s="255"/>
      <c r="J3534" s="126"/>
    </row>
    <row r="3535" spans="9:10">
      <c r="I3535" s="255"/>
      <c r="J3535" s="126"/>
    </row>
    <row r="3536" spans="9:10">
      <c r="I3536" s="255"/>
      <c r="J3536" s="126"/>
    </row>
    <row r="3537" spans="9:10">
      <c r="I3537" s="255"/>
      <c r="J3537" s="126"/>
    </row>
    <row r="3538" spans="9:10">
      <c r="I3538" s="255"/>
      <c r="J3538" s="126"/>
    </row>
    <row r="3539" spans="9:10">
      <c r="I3539" s="255"/>
      <c r="J3539" s="126"/>
    </row>
    <row r="3540" spans="9:10">
      <c r="I3540" s="255"/>
      <c r="J3540" s="126"/>
    </row>
    <row r="3541" spans="9:10">
      <c r="I3541" s="255"/>
      <c r="J3541" s="126"/>
    </row>
    <row r="3542" spans="9:10">
      <c r="I3542" s="255"/>
      <c r="J3542" s="126"/>
    </row>
    <row r="3543" spans="9:10">
      <c r="I3543" s="255"/>
      <c r="J3543" s="126"/>
    </row>
    <row r="3544" spans="9:10">
      <c r="I3544" s="255"/>
      <c r="J3544" s="126"/>
    </row>
    <row r="3545" spans="9:10">
      <c r="I3545" s="255"/>
      <c r="J3545" s="126"/>
    </row>
    <row r="3546" spans="9:10">
      <c r="I3546" s="255"/>
      <c r="J3546" s="126"/>
    </row>
    <row r="3547" spans="9:10">
      <c r="I3547" s="255"/>
      <c r="J3547" s="126"/>
    </row>
    <row r="3548" spans="9:10">
      <c r="I3548" s="255"/>
      <c r="J3548" s="126"/>
    </row>
    <row r="3549" spans="9:10">
      <c r="I3549" s="255"/>
      <c r="J3549" s="126"/>
    </row>
    <row r="3550" spans="9:10">
      <c r="I3550" s="255"/>
      <c r="J3550" s="126"/>
    </row>
    <row r="3551" spans="9:10">
      <c r="I3551" s="255"/>
      <c r="J3551" s="126"/>
    </row>
    <row r="3552" spans="9:10">
      <c r="I3552" s="255"/>
      <c r="J3552" s="126"/>
    </row>
    <row r="3553" spans="9:10">
      <c r="I3553" s="255"/>
      <c r="J3553" s="126"/>
    </row>
    <row r="3554" spans="9:10">
      <c r="I3554" s="255"/>
      <c r="J3554" s="126"/>
    </row>
    <row r="3555" spans="9:10">
      <c r="I3555" s="255"/>
      <c r="J3555" s="126"/>
    </row>
    <row r="3556" spans="9:10">
      <c r="I3556" s="255"/>
      <c r="J3556" s="126"/>
    </row>
    <row r="3557" spans="9:10">
      <c r="I3557" s="255"/>
      <c r="J3557" s="126"/>
    </row>
    <row r="3558" spans="9:10">
      <c r="I3558" s="255"/>
      <c r="J3558" s="126"/>
    </row>
    <row r="3559" spans="9:10">
      <c r="I3559" s="255"/>
      <c r="J3559" s="126"/>
    </row>
    <row r="3560" spans="9:10">
      <c r="I3560" s="255"/>
      <c r="J3560" s="126"/>
    </row>
    <row r="3561" spans="9:10">
      <c r="I3561" s="255"/>
      <c r="J3561" s="126"/>
    </row>
    <row r="3562" spans="9:10">
      <c r="I3562" s="255"/>
      <c r="J3562" s="126"/>
    </row>
    <row r="3563" spans="9:10">
      <c r="I3563" s="255"/>
      <c r="J3563" s="126"/>
    </row>
    <row r="3564" spans="9:10">
      <c r="I3564" s="255"/>
      <c r="J3564" s="126"/>
    </row>
    <row r="3565" spans="9:10">
      <c r="I3565" s="255"/>
      <c r="J3565" s="126"/>
    </row>
    <row r="3566" spans="9:10">
      <c r="I3566" s="255"/>
      <c r="J3566" s="126"/>
    </row>
    <row r="3567" spans="9:10">
      <c r="I3567" s="255"/>
      <c r="J3567" s="126"/>
    </row>
    <row r="3568" spans="9:10">
      <c r="I3568" s="255"/>
      <c r="J3568" s="126"/>
    </row>
    <row r="3569" spans="9:10">
      <c r="I3569" s="255"/>
      <c r="J3569" s="126"/>
    </row>
    <row r="3570" spans="9:10">
      <c r="I3570" s="255"/>
      <c r="J3570" s="126"/>
    </row>
    <row r="3571" spans="9:10">
      <c r="I3571" s="255"/>
      <c r="J3571" s="126"/>
    </row>
    <row r="3572" spans="9:10">
      <c r="I3572" s="255"/>
      <c r="J3572" s="126"/>
    </row>
    <row r="3573" spans="9:10">
      <c r="I3573" s="255"/>
      <c r="J3573" s="126"/>
    </row>
    <row r="3574" spans="9:10">
      <c r="I3574" s="255"/>
      <c r="J3574" s="126"/>
    </row>
    <row r="3575" spans="9:10">
      <c r="I3575" s="255"/>
      <c r="J3575" s="126"/>
    </row>
    <row r="3576" spans="9:10">
      <c r="I3576" s="255"/>
      <c r="J3576" s="126"/>
    </row>
    <row r="3577" spans="9:10">
      <c r="I3577" s="255"/>
      <c r="J3577" s="126"/>
    </row>
    <row r="3578" spans="9:10">
      <c r="I3578" s="255"/>
      <c r="J3578" s="126"/>
    </row>
    <row r="3579" spans="9:10">
      <c r="I3579" s="255"/>
      <c r="J3579" s="126"/>
    </row>
    <row r="3580" spans="9:10">
      <c r="I3580" s="255"/>
      <c r="J3580" s="126"/>
    </row>
    <row r="3581" spans="9:10">
      <c r="I3581" s="255"/>
      <c r="J3581" s="126"/>
    </row>
    <row r="3582" spans="9:10">
      <c r="I3582" s="255"/>
      <c r="J3582" s="126"/>
    </row>
    <row r="3583" spans="9:10">
      <c r="I3583" s="255"/>
      <c r="J3583" s="126"/>
    </row>
    <row r="3584" spans="9:10">
      <c r="I3584" s="255"/>
      <c r="J3584" s="126"/>
    </row>
    <row r="3585" spans="9:10">
      <c r="I3585" s="255"/>
      <c r="J3585" s="126"/>
    </row>
    <row r="3586" spans="9:10">
      <c r="I3586" s="255"/>
      <c r="J3586" s="126"/>
    </row>
    <row r="3587" spans="9:10">
      <c r="I3587" s="255"/>
      <c r="J3587" s="126"/>
    </row>
    <row r="3588" spans="9:10">
      <c r="I3588" s="255"/>
      <c r="J3588" s="126"/>
    </row>
    <row r="3589" spans="9:10">
      <c r="I3589" s="255"/>
      <c r="J3589" s="126"/>
    </row>
    <row r="3590" spans="9:10">
      <c r="I3590" s="255"/>
      <c r="J3590" s="126"/>
    </row>
    <row r="3591" spans="9:10">
      <c r="I3591" s="255"/>
      <c r="J3591" s="126"/>
    </row>
    <row r="3592" spans="9:10">
      <c r="I3592" s="255"/>
      <c r="J3592" s="126"/>
    </row>
    <row r="3593" spans="9:10">
      <c r="I3593" s="255"/>
      <c r="J3593" s="126"/>
    </row>
    <row r="3594" spans="9:10">
      <c r="I3594" s="255"/>
      <c r="J3594" s="126"/>
    </row>
    <row r="3595" spans="9:10">
      <c r="I3595" s="255"/>
      <c r="J3595" s="126"/>
    </row>
    <row r="3596" spans="9:10">
      <c r="I3596" s="255"/>
      <c r="J3596" s="126"/>
    </row>
    <row r="3597" spans="9:10">
      <c r="I3597" s="255"/>
      <c r="J3597" s="126"/>
    </row>
    <row r="3598" spans="9:10">
      <c r="I3598" s="255"/>
      <c r="J3598" s="126"/>
    </row>
    <row r="3599" spans="9:10">
      <c r="I3599" s="255"/>
      <c r="J3599" s="126"/>
    </row>
    <row r="3600" spans="9:10">
      <c r="I3600" s="255"/>
      <c r="J3600" s="126"/>
    </row>
    <row r="3601" spans="5:10">
      <c r="E3601" s="255"/>
      <c r="H3601" s="255"/>
      <c r="I3601" s="255"/>
      <c r="J3601" s="126"/>
    </row>
    <row r="3602" spans="5:10">
      <c r="E3602" s="255"/>
      <c r="H3602" s="255"/>
      <c r="I3602" s="255"/>
      <c r="J3602" s="126"/>
    </row>
    <row r="3603" spans="5:10">
      <c r="E3603" s="255"/>
      <c r="H3603" s="255"/>
      <c r="I3603" s="255"/>
      <c r="J3603" s="126"/>
    </row>
    <row r="3604" spans="5:10">
      <c r="E3604" s="255"/>
      <c r="H3604" s="255"/>
      <c r="I3604" s="255"/>
      <c r="J3604" s="126"/>
    </row>
    <row r="3605" spans="5:10">
      <c r="E3605" s="255"/>
      <c r="H3605" s="255"/>
      <c r="I3605" s="255"/>
      <c r="J3605" s="126"/>
    </row>
    <row r="3606" spans="5:10">
      <c r="E3606" s="255"/>
      <c r="H3606" s="255"/>
      <c r="I3606" s="255"/>
      <c r="J3606" s="126"/>
    </row>
    <row r="3607" spans="5:10">
      <c r="E3607" s="255"/>
      <c r="H3607" s="255"/>
      <c r="I3607" s="255"/>
      <c r="J3607" s="126"/>
    </row>
    <row r="3608" spans="5:10">
      <c r="E3608" s="255"/>
      <c r="H3608" s="255"/>
      <c r="I3608" s="126"/>
      <c r="J3608" s="255"/>
    </row>
    <row r="3609" spans="5:10">
      <c r="E3609" s="255"/>
      <c r="H3609" s="255"/>
      <c r="I3609" s="126"/>
      <c r="J3609" s="255"/>
    </row>
    <row r="3610" spans="5:10">
      <c r="E3610" s="255"/>
      <c r="H3610" s="255"/>
      <c r="I3610" s="126"/>
      <c r="J3610" s="255"/>
    </row>
    <row r="3611" spans="5:10">
      <c r="E3611" s="255"/>
      <c r="H3611" s="255"/>
      <c r="I3611" s="126"/>
      <c r="J3611" s="255"/>
    </row>
    <row r="3612" spans="5:10">
      <c r="E3612" s="255"/>
      <c r="H3612" s="255"/>
      <c r="I3612" s="126"/>
      <c r="J3612" s="255"/>
    </row>
    <row r="3613" spans="5:10">
      <c r="E3613" s="255"/>
      <c r="H3613" s="255"/>
      <c r="I3613" s="126"/>
      <c r="J3613" s="255"/>
    </row>
    <row r="3614" spans="5:10">
      <c r="E3614" s="255"/>
      <c r="H3614" s="255"/>
      <c r="I3614" s="126"/>
      <c r="J3614" s="255"/>
    </row>
    <row r="3615" spans="5:10">
      <c r="E3615" s="255"/>
      <c r="H3615" s="255"/>
      <c r="I3615" s="126"/>
      <c r="J3615" s="255"/>
    </row>
    <row r="3616" spans="5:10">
      <c r="E3616" s="255"/>
      <c r="H3616" s="255"/>
      <c r="I3616" s="126"/>
      <c r="J3616" s="255"/>
    </row>
    <row r="3617" spans="5:5">
      <c r="E3617" s="255"/>
    </row>
    <row r="3618" spans="5:5">
      <c r="E3618" s="255"/>
    </row>
    <row r="3619" spans="5:5">
      <c r="E3619" s="255"/>
    </row>
    <row r="3620" spans="5:5">
      <c r="E3620" s="255"/>
    </row>
    <row r="3621" spans="5:5">
      <c r="E3621" s="255"/>
    </row>
    <row r="3622" spans="5:5">
      <c r="E3622" s="255"/>
    </row>
    <row r="3623" spans="5:5">
      <c r="E3623" s="255"/>
    </row>
    <row r="3624" spans="5:5">
      <c r="E3624" s="255"/>
    </row>
    <row r="3625" spans="5:5">
      <c r="E3625" s="255"/>
    </row>
    <row r="3626" spans="5:5">
      <c r="E3626" s="255"/>
    </row>
    <row r="3627" spans="5:5">
      <c r="E3627" s="255"/>
    </row>
    <row r="3628" spans="5:5">
      <c r="E3628" s="255"/>
    </row>
    <row r="3629" spans="5:5">
      <c r="E3629" s="255"/>
    </row>
    <row r="3630" spans="5:5">
      <c r="E3630" s="255"/>
    </row>
    <row r="3631" spans="5:5">
      <c r="E3631" s="255"/>
    </row>
    <row r="3632" spans="5:5">
      <c r="E3632" s="255"/>
    </row>
    <row r="3633" spans="5:5">
      <c r="E3633" s="255"/>
    </row>
    <row r="3634" spans="5:5">
      <c r="E3634" s="255"/>
    </row>
    <row r="3635" spans="5:5">
      <c r="E3635" s="255"/>
    </row>
    <row r="3636" spans="5:5">
      <c r="E3636" s="255"/>
    </row>
    <row r="3637" spans="5:5">
      <c r="E3637" s="255"/>
    </row>
    <row r="3638" spans="5:5">
      <c r="E3638" s="255"/>
    </row>
    <row r="3639" spans="5:5">
      <c r="E3639" s="255"/>
    </row>
    <row r="3640" spans="5:5">
      <c r="E3640" s="255"/>
    </row>
    <row r="3641" spans="5:5">
      <c r="E3641" s="255"/>
    </row>
    <row r="3642" spans="5:5">
      <c r="E3642" s="255"/>
    </row>
    <row r="3643" spans="5:5">
      <c r="E3643" s="255"/>
    </row>
    <row r="3644" spans="5:5">
      <c r="E3644" s="255"/>
    </row>
    <row r="3645" spans="5:5">
      <c r="E3645" s="255"/>
    </row>
    <row r="3646" spans="5:5">
      <c r="E3646" s="255"/>
    </row>
    <row r="3647" spans="5:5">
      <c r="E3647" s="255"/>
    </row>
    <row r="3648" spans="5:5">
      <c r="E3648" s="255"/>
    </row>
    <row r="3649" spans="5:5">
      <c r="E3649" s="255"/>
    </row>
    <row r="3650" spans="5:5">
      <c r="E3650" s="255"/>
    </row>
    <row r="3651" spans="5:5">
      <c r="E3651" s="255"/>
    </row>
    <row r="3652" spans="5:5">
      <c r="E3652" s="255"/>
    </row>
    <row r="3653" spans="5:5">
      <c r="E3653" s="255"/>
    </row>
    <row r="3654" spans="5:5">
      <c r="E3654" s="255"/>
    </row>
    <row r="3655" spans="5:5">
      <c r="E3655" s="255"/>
    </row>
    <row r="3656" spans="5:5">
      <c r="E3656" s="255"/>
    </row>
    <row r="3657" spans="5:5">
      <c r="E3657" s="255"/>
    </row>
    <row r="3658" spans="5:5">
      <c r="E3658" s="255"/>
    </row>
    <row r="3659" spans="5:5">
      <c r="E3659" s="255"/>
    </row>
    <row r="3660" spans="5:5">
      <c r="E3660" s="255"/>
    </row>
    <row r="3661" spans="5:5">
      <c r="E3661" s="255"/>
    </row>
    <row r="3662" spans="5:5">
      <c r="E3662" s="255"/>
    </row>
    <row r="3663" spans="5:5">
      <c r="E3663" s="255"/>
    </row>
    <row r="3664" spans="5:5">
      <c r="E3664" s="255"/>
    </row>
    <row r="3665" spans="5:5">
      <c r="E3665" s="255"/>
    </row>
    <row r="3666" spans="5:5">
      <c r="E3666" s="255"/>
    </row>
    <row r="3667" spans="5:5">
      <c r="E3667" s="255"/>
    </row>
    <row r="3668" spans="5:5">
      <c r="E3668" s="255"/>
    </row>
    <row r="3669" spans="5:5">
      <c r="E3669" s="255"/>
    </row>
    <row r="3670" spans="5:5">
      <c r="E3670" s="255"/>
    </row>
    <row r="3671" spans="5:5">
      <c r="E3671" s="255"/>
    </row>
    <row r="3672" spans="5:5">
      <c r="E3672" s="255"/>
    </row>
    <row r="3673" spans="5:5">
      <c r="E3673" s="255"/>
    </row>
    <row r="3674" spans="5:5">
      <c r="E3674" s="255"/>
    </row>
    <row r="3675" spans="5:5">
      <c r="E3675" s="255"/>
    </row>
    <row r="3676" spans="5:5">
      <c r="E3676" s="255"/>
    </row>
    <row r="3677" spans="5:5">
      <c r="E3677" s="255"/>
    </row>
    <row r="3678" spans="5:5">
      <c r="E3678" s="255"/>
    </row>
    <row r="3679" spans="5:5">
      <c r="E3679" s="255"/>
    </row>
    <row r="3680" spans="5:5">
      <c r="E3680" s="255"/>
    </row>
    <row r="3681" spans="5:5">
      <c r="E3681" s="255"/>
    </row>
    <row r="3682" spans="5:5">
      <c r="E3682" s="255"/>
    </row>
    <row r="3683" spans="5:5">
      <c r="E3683" s="255"/>
    </row>
    <row r="3684" spans="5:5">
      <c r="E3684" s="255"/>
    </row>
    <row r="3685" spans="5:5">
      <c r="E3685" s="255"/>
    </row>
    <row r="3686" spans="5:5">
      <c r="E3686" s="255"/>
    </row>
    <row r="3687" spans="5:5">
      <c r="E3687" s="255"/>
    </row>
    <row r="3688" spans="5:5">
      <c r="E3688" s="255"/>
    </row>
    <row r="3689" spans="5:5">
      <c r="E3689" s="255"/>
    </row>
    <row r="3690" spans="5:5">
      <c r="E3690" s="255"/>
    </row>
    <row r="3691" spans="5:5">
      <c r="E3691" s="255"/>
    </row>
    <row r="3692" spans="5:5">
      <c r="E3692" s="255"/>
    </row>
    <row r="3693" spans="5:5">
      <c r="E3693" s="255"/>
    </row>
    <row r="3694" spans="5:5">
      <c r="E3694" s="255"/>
    </row>
    <row r="3695" spans="5:5">
      <c r="E3695" s="255"/>
    </row>
    <row r="3696" spans="5:5">
      <c r="E3696" s="255"/>
    </row>
    <row r="3697" spans="5:5">
      <c r="E3697" s="255"/>
    </row>
    <row r="3698" spans="5:5">
      <c r="E3698" s="255"/>
    </row>
    <row r="3699" spans="5:5">
      <c r="E3699" s="255"/>
    </row>
    <row r="3700" spans="5:5">
      <c r="E3700" s="255"/>
    </row>
    <row r="3701" spans="5:5">
      <c r="E3701" s="255"/>
    </row>
    <row r="3702" spans="5:5">
      <c r="E3702" s="255"/>
    </row>
    <row r="3703" spans="5:5">
      <c r="E3703" s="255"/>
    </row>
    <row r="3704" spans="5:5">
      <c r="E3704" s="255"/>
    </row>
    <row r="3705" spans="5:5">
      <c r="E3705" s="255"/>
    </row>
    <row r="3706" spans="5:5">
      <c r="E3706" s="255"/>
    </row>
    <row r="3707" spans="5:5">
      <c r="E3707" s="255"/>
    </row>
    <row r="3708" spans="5:5">
      <c r="E3708" s="255"/>
    </row>
    <row r="3709" spans="5:5">
      <c r="E3709" s="255"/>
    </row>
    <row r="3710" spans="5:5">
      <c r="E3710" s="255"/>
    </row>
    <row r="3711" spans="5:5">
      <c r="E3711" s="255"/>
    </row>
    <row r="3712" spans="5:5">
      <c r="E3712" s="255"/>
    </row>
    <row r="3713" spans="5:5">
      <c r="E3713" s="255"/>
    </row>
    <row r="3714" spans="5:5">
      <c r="E3714" s="255"/>
    </row>
    <row r="3715" spans="5:5">
      <c r="E3715" s="255"/>
    </row>
    <row r="3716" spans="5:5">
      <c r="E3716" s="255"/>
    </row>
    <row r="3717" spans="5:5">
      <c r="E3717" s="255"/>
    </row>
    <row r="3718" spans="5:5">
      <c r="E3718" s="255"/>
    </row>
    <row r="3719" spans="5:5">
      <c r="E3719" s="255"/>
    </row>
    <row r="3720" spans="5:5">
      <c r="E3720" s="255"/>
    </row>
    <row r="3721" spans="5:5">
      <c r="E3721" s="255"/>
    </row>
    <row r="3722" spans="5:5">
      <c r="E3722" s="255"/>
    </row>
    <row r="3723" spans="5:5">
      <c r="E3723" s="255"/>
    </row>
    <row r="3724" spans="5:5">
      <c r="E3724" s="255"/>
    </row>
    <row r="3725" spans="5:5">
      <c r="E3725" s="255"/>
    </row>
  </sheetData>
  <sortState ref="S30:S75">
    <sortCondition ref="S30"/>
  </sortState>
  <conditionalFormatting sqref="X200 X156 X163:X164 X169:X170 X174 X181 V212:V213">
    <cfRule type="duplicateValues" dxfId="6" priority="12"/>
  </conditionalFormatting>
  <conditionalFormatting sqref="S10">
    <cfRule type="expression" dxfId="5" priority="8">
      <formula>EngSelect&lt;&gt;3</formula>
    </cfRule>
  </conditionalFormatting>
  <conditionalFormatting sqref="AE4:AE6">
    <cfRule type="iconSet" priority="620">
      <iconSet>
        <cfvo type="percent" val="0"/>
        <cfvo type="percentile" val="33"/>
        <cfvo type="percentile" val="67"/>
      </iconSet>
    </cfRule>
  </conditionalFormatting>
  <conditionalFormatting sqref="M48:M50">
    <cfRule type="expression" dxfId="4" priority="1">
      <formula>M48=CheckReview</formula>
    </cfRule>
    <cfRule type="expression" dxfId="3" priority="2">
      <formula>M48=Pass</formula>
    </cfRule>
    <cfRule type="expression" dxfId="2" priority="3">
      <formula>M48=Fail</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pdateNotes">
    <tabColor rgb="FFC00000"/>
  </sheetPr>
  <dimension ref="A1:AB94"/>
  <sheetViews>
    <sheetView showGridLines="0" zoomScale="85" zoomScaleNormal="85" workbookViewId="0">
      <pane ySplit="6" topLeftCell="A7" activePane="bottomLeft" state="frozen"/>
      <selection pane="bottomLeft"/>
    </sheetView>
  </sheetViews>
  <sheetFormatPr defaultColWidth="9.33203125" defaultRowHeight="13.9"/>
  <cols>
    <col min="1" max="2" width="4.83203125" style="1023" customWidth="1"/>
    <col min="3" max="3" width="12.1640625" style="1023" customWidth="1"/>
    <col min="4" max="4" width="23.33203125" style="1023" customWidth="1"/>
    <col min="5" max="5" width="99.6640625" style="35" customWidth="1"/>
    <col min="6" max="6" width="19.1640625" style="972" customWidth="1"/>
    <col min="7" max="7" width="17.83203125" style="35" customWidth="1"/>
    <col min="8" max="8" width="15.1640625" style="452" customWidth="1"/>
    <col min="9" max="9" width="36.1640625" style="972" customWidth="1"/>
    <col min="10" max="20" width="12.33203125" style="1023" customWidth="1"/>
    <col min="21" max="26" width="9.33203125" style="1023" customWidth="1"/>
    <col min="27" max="27" width="25.33203125" style="1023" customWidth="1"/>
    <col min="28" max="28" width="4.83203125" style="1023" customWidth="1"/>
    <col min="29" max="16384" width="9.33203125" style="1023"/>
  </cols>
  <sheetData>
    <row r="1" spans="1:28" ht="21">
      <c r="A1" s="2060"/>
      <c r="B1" s="28" t="s">
        <v>2983</v>
      </c>
      <c r="C1" s="16"/>
      <c r="D1" s="333"/>
      <c r="E1" s="39"/>
      <c r="F1" s="37"/>
      <c r="G1" s="13"/>
      <c r="H1" s="13"/>
      <c r="I1" s="37"/>
      <c r="J1" s="333"/>
      <c r="K1" s="333"/>
      <c r="L1" s="333"/>
      <c r="M1" s="333"/>
      <c r="N1" s="333"/>
      <c r="O1" s="333"/>
      <c r="P1" s="333"/>
      <c r="Q1" s="333"/>
      <c r="R1" s="333"/>
      <c r="S1" s="333" t="s">
        <v>2711</v>
      </c>
      <c r="T1" s="333"/>
      <c r="U1" s="2060"/>
      <c r="V1" s="2060"/>
      <c r="W1" s="2060"/>
      <c r="X1" s="2060"/>
      <c r="Y1" s="2060"/>
      <c r="Z1" s="90" t="s">
        <v>2613</v>
      </c>
      <c r="AA1" s="43" t="s">
        <v>2614</v>
      </c>
      <c r="AB1" s="2060"/>
    </row>
    <row r="2" spans="1:28" ht="15.6">
      <c r="A2" s="2060"/>
      <c r="B2" s="838" t="str">
        <f>NameVersion</f>
        <v>VISTA Version 3.1  August 25 2017  32/64-bit</v>
      </c>
      <c r="C2" s="27"/>
      <c r="D2" s="2060"/>
      <c r="E2" s="1500"/>
      <c r="F2" s="38"/>
      <c r="G2" s="1500"/>
      <c r="H2" s="34"/>
      <c r="I2" s="38"/>
      <c r="J2" s="333"/>
      <c r="K2" s="333"/>
      <c r="L2" s="333"/>
      <c r="M2" s="333"/>
      <c r="N2" s="333"/>
      <c r="O2" s="2060"/>
      <c r="P2" s="2060"/>
      <c r="Q2" s="2060"/>
      <c r="R2" s="2060"/>
      <c r="S2" s="2060"/>
      <c r="T2" s="2060"/>
      <c r="U2" s="2060"/>
      <c r="V2" s="2060"/>
      <c r="W2" s="2060"/>
      <c r="X2" s="2060"/>
      <c r="Y2" s="2060"/>
      <c r="Z2" s="2060"/>
      <c r="AA2" s="2060"/>
      <c r="AB2" s="2060"/>
    </row>
    <row r="3" spans="1:28" s="255" customFormat="1">
      <c r="B3" s="2060"/>
      <c r="C3" s="45"/>
      <c r="D3" s="45"/>
      <c r="E3" s="40"/>
      <c r="F3" s="21"/>
      <c r="G3" s="40"/>
      <c r="H3" s="126"/>
      <c r="I3" s="21"/>
      <c r="J3" s="333"/>
      <c r="K3" s="333"/>
      <c r="L3" s="333"/>
      <c r="M3" s="333"/>
      <c r="N3" s="333"/>
      <c r="O3" s="2060"/>
      <c r="P3" s="2060"/>
      <c r="Q3" s="2060"/>
    </row>
    <row r="4" spans="1:28" s="255" customFormat="1">
      <c r="B4" s="2060"/>
      <c r="C4" s="1487"/>
      <c r="D4" s="1487"/>
      <c r="E4" s="1488"/>
      <c r="F4" s="21"/>
      <c r="G4" s="1488"/>
      <c r="H4" s="126"/>
      <c r="I4" s="21"/>
      <c r="J4" s="333"/>
      <c r="K4" s="333"/>
      <c r="L4" s="333"/>
      <c r="M4" s="333"/>
      <c r="N4" s="333"/>
      <c r="O4" s="2060"/>
      <c r="P4" s="2060"/>
      <c r="Q4" s="2060"/>
    </row>
    <row r="5" spans="1:28" ht="14.45" thickBot="1">
      <c r="A5" s="2060"/>
      <c r="B5" s="33">
        <f>COUNTA(C:C)</f>
        <v>54</v>
      </c>
      <c r="C5" s="1489" t="s">
        <v>178</v>
      </c>
      <c r="D5" s="1489" t="s">
        <v>2615</v>
      </c>
      <c r="E5" s="1490" t="s">
        <v>2612</v>
      </c>
      <c r="F5" s="1491" t="s">
        <v>2984</v>
      </c>
      <c r="G5" s="1490" t="s">
        <v>1578</v>
      </c>
      <c r="H5" s="1491" t="s">
        <v>2616</v>
      </c>
      <c r="I5" s="1491" t="s">
        <v>2617</v>
      </c>
      <c r="J5" s="333"/>
      <c r="K5" s="333"/>
      <c r="L5" s="333"/>
      <c r="M5" s="333"/>
      <c r="N5" s="333"/>
      <c r="O5" s="2060"/>
      <c r="P5" s="2060"/>
      <c r="Q5" s="2060"/>
      <c r="R5" s="2060"/>
      <c r="S5" s="2060"/>
      <c r="T5" s="2060"/>
      <c r="U5" s="2060"/>
      <c r="V5" s="2060"/>
      <c r="W5" s="2060"/>
      <c r="X5" s="2060"/>
      <c r="Y5" s="2060"/>
      <c r="Z5" s="2060"/>
      <c r="AA5" s="2060"/>
      <c r="AB5" s="2060"/>
    </row>
    <row r="6" spans="1:28" ht="14.45" thickTop="1">
      <c r="A6" s="2060"/>
      <c r="B6" s="2060"/>
      <c r="C6" s="30"/>
      <c r="D6" s="89"/>
      <c r="E6" s="1500"/>
      <c r="G6" s="1500"/>
      <c r="J6" s="333"/>
      <c r="K6" s="333"/>
      <c r="L6" s="333"/>
      <c r="M6" s="333"/>
      <c r="N6" s="333"/>
      <c r="O6" s="2060"/>
      <c r="P6" s="2060"/>
      <c r="Q6" s="2060"/>
      <c r="R6" s="2060"/>
      <c r="S6" s="2060"/>
      <c r="T6" s="2060"/>
      <c r="U6" s="2060"/>
      <c r="V6" s="2060"/>
      <c r="W6" s="2060"/>
      <c r="X6" s="2060"/>
      <c r="Y6" s="2060"/>
      <c r="Z6" s="2060"/>
      <c r="AA6" s="2060"/>
      <c r="AB6" s="2060"/>
    </row>
    <row r="7" spans="1:28" ht="17.45">
      <c r="A7" s="2060"/>
      <c r="B7" s="252"/>
      <c r="C7" s="31"/>
      <c r="D7" s="32"/>
      <c r="E7" s="42"/>
      <c r="F7" s="9"/>
      <c r="G7" s="42"/>
      <c r="H7" s="26"/>
      <c r="I7" s="9"/>
      <c r="J7" s="333"/>
      <c r="K7" s="333"/>
      <c r="L7" s="333"/>
      <c r="M7" s="333"/>
      <c r="N7" s="333"/>
      <c r="O7" s="2060"/>
      <c r="P7" s="2060"/>
      <c r="Q7" s="2060"/>
      <c r="R7" s="2060"/>
      <c r="S7" s="2060"/>
      <c r="T7" s="2060"/>
      <c r="U7" s="2060"/>
      <c r="V7" s="2060"/>
      <c r="W7" s="2060"/>
      <c r="X7" s="2060"/>
      <c r="Y7" s="2060"/>
      <c r="Z7" s="2060"/>
      <c r="AA7" s="2060"/>
      <c r="AB7" s="2060"/>
    </row>
    <row r="8" spans="1:28">
      <c r="A8" s="2060"/>
      <c r="B8" s="2068">
        <v>1</v>
      </c>
      <c r="C8" s="1428">
        <v>42786</v>
      </c>
      <c r="D8" s="2068" t="s">
        <v>2985</v>
      </c>
      <c r="E8" s="97" t="s">
        <v>2986</v>
      </c>
      <c r="F8" s="118" t="s">
        <v>2987</v>
      </c>
      <c r="G8" s="97" t="s">
        <v>2988</v>
      </c>
      <c r="H8" s="2060"/>
      <c r="I8" s="2060"/>
      <c r="J8" s="333"/>
      <c r="K8" s="333"/>
      <c r="L8" s="333"/>
      <c r="M8" s="333"/>
      <c r="N8" s="333"/>
      <c r="O8" s="2060"/>
      <c r="P8" s="2060"/>
      <c r="Q8" s="2060"/>
      <c r="R8" s="2060"/>
      <c r="S8" s="2060"/>
      <c r="T8" s="2060"/>
      <c r="U8" s="2060"/>
      <c r="V8" s="2060"/>
      <c r="W8" s="2060"/>
      <c r="X8" s="2060"/>
      <c r="Y8" s="2060"/>
      <c r="Z8" s="2060"/>
      <c r="AA8" s="2060"/>
      <c r="AB8" s="2060"/>
    </row>
    <row r="9" spans="1:28">
      <c r="A9" s="2060"/>
      <c r="B9" s="511">
        <v>2</v>
      </c>
      <c r="C9" s="1428">
        <v>42789</v>
      </c>
      <c r="D9" s="2068" t="s">
        <v>2989</v>
      </c>
      <c r="E9" s="97" t="s">
        <v>2990</v>
      </c>
      <c r="F9" s="118" t="s">
        <v>2987</v>
      </c>
      <c r="G9" s="97" t="s">
        <v>2782</v>
      </c>
      <c r="H9" s="2068" t="s">
        <v>2991</v>
      </c>
      <c r="I9" s="118"/>
      <c r="J9" s="333"/>
      <c r="K9" s="333"/>
      <c r="L9" s="333"/>
      <c r="M9" s="333"/>
      <c r="N9" s="333"/>
      <c r="O9" s="2060"/>
      <c r="P9" s="2060"/>
      <c r="Q9" s="2060"/>
      <c r="R9" s="2060"/>
      <c r="S9" s="2060"/>
      <c r="T9" s="2060"/>
      <c r="U9" s="2060"/>
      <c r="V9" s="2060"/>
      <c r="W9" s="2060"/>
      <c r="X9" s="2060"/>
      <c r="Y9" s="2060"/>
      <c r="Z9" s="2060"/>
      <c r="AA9" s="2060"/>
      <c r="AB9" s="2060"/>
    </row>
    <row r="10" spans="1:28">
      <c r="A10" s="2060"/>
      <c r="B10" s="511">
        <v>3</v>
      </c>
      <c r="C10" s="1428">
        <v>42789</v>
      </c>
      <c r="D10" s="2068" t="s">
        <v>2989</v>
      </c>
      <c r="E10" s="97" t="s">
        <v>2992</v>
      </c>
      <c r="F10" s="118" t="s">
        <v>2987</v>
      </c>
      <c r="G10" s="1500" t="s">
        <v>2993</v>
      </c>
      <c r="H10" s="2068"/>
      <c r="I10" s="2068" t="s">
        <v>2994</v>
      </c>
      <c r="J10" s="333"/>
      <c r="K10" s="333"/>
      <c r="L10" s="333"/>
      <c r="M10" s="333"/>
      <c r="N10" s="333"/>
      <c r="O10" s="2060"/>
      <c r="P10" s="2060"/>
      <c r="Q10" s="2060"/>
      <c r="R10" s="2060"/>
      <c r="S10" s="2060"/>
      <c r="T10" s="2060"/>
      <c r="U10" s="2060"/>
      <c r="V10" s="2060"/>
      <c r="W10" s="2060"/>
      <c r="X10" s="2060"/>
      <c r="Y10" s="2060"/>
      <c r="Z10" s="2060"/>
      <c r="AA10" s="2060"/>
      <c r="AB10" s="2060"/>
    </row>
    <row r="11" spans="1:28">
      <c r="A11" s="2060"/>
      <c r="B11" s="511">
        <v>4</v>
      </c>
      <c r="C11" s="1428">
        <v>42789</v>
      </c>
      <c r="D11" s="2068" t="s">
        <v>2989</v>
      </c>
      <c r="E11" s="97" t="s">
        <v>2995</v>
      </c>
      <c r="F11" s="118" t="s">
        <v>2987</v>
      </c>
      <c r="G11" s="97" t="s">
        <v>2777</v>
      </c>
      <c r="H11" s="2068" t="s">
        <v>2996</v>
      </c>
      <c r="I11" s="118"/>
      <c r="J11" s="333"/>
      <c r="K11" s="333"/>
      <c r="L11" s="333"/>
      <c r="M11" s="333"/>
      <c r="N11" s="333"/>
      <c r="O11" s="2060"/>
      <c r="P11" s="2060"/>
      <c r="Q11" s="2060"/>
      <c r="R11" s="2060"/>
      <c r="S11" s="2060"/>
      <c r="T11" s="2060"/>
      <c r="U11" s="2060"/>
      <c r="V11" s="2060"/>
      <c r="W11" s="2060"/>
      <c r="X11" s="2060"/>
      <c r="Y11" s="2060"/>
      <c r="Z11" s="2060"/>
      <c r="AA11" s="2060"/>
      <c r="AB11" s="2060"/>
    </row>
    <row r="12" spans="1:28">
      <c r="A12" s="2060"/>
      <c r="B12" s="511">
        <v>5</v>
      </c>
      <c r="C12" s="1428">
        <v>42789</v>
      </c>
      <c r="D12" s="2068" t="s">
        <v>2989</v>
      </c>
      <c r="E12" s="97" t="s">
        <v>2997</v>
      </c>
      <c r="F12" s="118" t="s">
        <v>2987</v>
      </c>
      <c r="G12" s="97" t="s">
        <v>2522</v>
      </c>
      <c r="H12" s="2068"/>
      <c r="I12" s="118" t="s">
        <v>1667</v>
      </c>
      <c r="J12" s="2060"/>
      <c r="K12" s="2060"/>
      <c r="L12" s="2060"/>
      <c r="M12" s="2060"/>
      <c r="N12" s="2060"/>
      <c r="O12" s="2060"/>
      <c r="P12" s="2060"/>
      <c r="Q12" s="2060"/>
      <c r="R12" s="2060"/>
      <c r="S12" s="2060"/>
      <c r="T12" s="2060"/>
      <c r="U12" s="2060"/>
      <c r="V12" s="2060"/>
      <c r="W12" s="2060"/>
      <c r="X12" s="2060"/>
      <c r="Y12" s="2060"/>
      <c r="Z12" s="2060"/>
      <c r="AA12" s="2060"/>
      <c r="AB12" s="2060"/>
    </row>
    <row r="13" spans="1:28" ht="55.15">
      <c r="A13" s="2060"/>
      <c r="B13" s="511">
        <v>6</v>
      </c>
      <c r="C13" s="1428">
        <v>42789</v>
      </c>
      <c r="D13" s="2068" t="s">
        <v>2998</v>
      </c>
      <c r="E13" s="97" t="s">
        <v>2999</v>
      </c>
      <c r="F13" s="118" t="s">
        <v>2987</v>
      </c>
      <c r="G13" s="97" t="s">
        <v>2810</v>
      </c>
      <c r="H13" s="97" t="s">
        <v>3000</v>
      </c>
      <c r="I13" s="118" t="s">
        <v>1667</v>
      </c>
      <c r="J13" s="2060"/>
      <c r="K13" s="2060"/>
      <c r="L13" s="2060"/>
      <c r="M13" s="2060"/>
      <c r="N13" s="2060"/>
      <c r="O13" s="2060"/>
      <c r="P13" s="2060"/>
      <c r="Q13" s="2060"/>
      <c r="R13" s="2060"/>
      <c r="S13" s="2060"/>
      <c r="T13" s="2060"/>
      <c r="U13" s="2060"/>
      <c r="V13" s="2060"/>
      <c r="W13" s="2060"/>
      <c r="X13" s="2060"/>
      <c r="Y13" s="2060"/>
      <c r="Z13" s="2060"/>
      <c r="AA13" s="2060"/>
      <c r="AB13" s="2060"/>
    </row>
    <row r="14" spans="1:28">
      <c r="A14" s="2068"/>
      <c r="B14" s="511">
        <v>7</v>
      </c>
      <c r="C14" s="1428">
        <v>42796</v>
      </c>
      <c r="D14" s="2068" t="s">
        <v>2998</v>
      </c>
      <c r="E14" s="97" t="s">
        <v>3001</v>
      </c>
      <c r="F14" s="118" t="s">
        <v>2987</v>
      </c>
      <c r="G14" s="97" t="s">
        <v>3002</v>
      </c>
      <c r="H14" s="2068"/>
      <c r="I14" s="118"/>
      <c r="J14" s="2060"/>
      <c r="K14" s="2060"/>
      <c r="L14" s="2060"/>
      <c r="M14" s="2060"/>
      <c r="N14" s="2060"/>
      <c r="O14" s="2060"/>
      <c r="P14" s="2060"/>
      <c r="Q14" s="2060"/>
      <c r="R14" s="2060"/>
      <c r="S14" s="2060"/>
      <c r="T14" s="2060"/>
      <c r="U14" s="2060"/>
      <c r="V14" s="2060"/>
      <c r="W14" s="2060"/>
      <c r="X14" s="2060"/>
      <c r="Y14" s="2060"/>
      <c r="Z14" s="2060"/>
      <c r="AA14" s="2060"/>
      <c r="AB14" s="2060"/>
    </row>
    <row r="15" spans="1:28" ht="27.6">
      <c r="A15" s="2068"/>
      <c r="B15" s="511">
        <v>8</v>
      </c>
      <c r="C15" s="1428">
        <v>42796</v>
      </c>
      <c r="D15" s="2068" t="s">
        <v>2998</v>
      </c>
      <c r="E15" s="97" t="s">
        <v>3003</v>
      </c>
      <c r="F15" s="118" t="s">
        <v>2987</v>
      </c>
      <c r="G15" s="97" t="s">
        <v>3004</v>
      </c>
      <c r="H15" s="2068"/>
      <c r="I15" s="118"/>
      <c r="J15" s="2060"/>
      <c r="K15" s="2060"/>
      <c r="L15" s="2060"/>
      <c r="M15" s="2060"/>
      <c r="N15" s="2060"/>
      <c r="O15" s="2060"/>
      <c r="P15" s="2060"/>
      <c r="Q15" s="2060"/>
      <c r="R15" s="2060"/>
      <c r="S15" s="2060"/>
      <c r="T15" s="2060"/>
      <c r="U15" s="2060"/>
      <c r="V15" s="2060"/>
      <c r="W15" s="2060"/>
      <c r="X15" s="2060"/>
      <c r="Y15" s="2060"/>
      <c r="Z15" s="2060"/>
      <c r="AA15" s="2060"/>
      <c r="AB15" s="2060"/>
    </row>
    <row r="16" spans="1:28">
      <c r="A16" s="2068"/>
      <c r="B16" s="511">
        <v>9</v>
      </c>
      <c r="C16" s="1428">
        <v>42796</v>
      </c>
      <c r="D16" s="2068" t="s">
        <v>2998</v>
      </c>
      <c r="E16" s="97" t="s">
        <v>3005</v>
      </c>
      <c r="F16" s="118" t="s">
        <v>2987</v>
      </c>
      <c r="G16" s="97" t="s">
        <v>2993</v>
      </c>
      <c r="H16" s="2068"/>
      <c r="I16" s="118"/>
      <c r="J16" s="2060"/>
      <c r="K16" s="2060"/>
      <c r="L16" s="2060"/>
      <c r="M16" s="2060"/>
      <c r="N16" s="2060"/>
      <c r="O16" s="2060"/>
      <c r="P16" s="2060"/>
      <c r="Q16" s="2060"/>
      <c r="R16" s="2060"/>
      <c r="S16" s="2060"/>
      <c r="T16" s="2060"/>
      <c r="U16" s="2060"/>
      <c r="V16" s="2060"/>
      <c r="W16" s="2060"/>
      <c r="X16" s="2060"/>
      <c r="Y16" s="2060"/>
      <c r="Z16" s="2060"/>
      <c r="AA16" s="2060"/>
      <c r="AB16" s="2060"/>
    </row>
    <row r="17" spans="1:28" ht="27.6">
      <c r="A17" s="2068"/>
      <c r="B17" s="511">
        <v>10</v>
      </c>
      <c r="C17" s="1428">
        <v>42800</v>
      </c>
      <c r="D17" s="2068" t="s">
        <v>3006</v>
      </c>
      <c r="E17" s="97" t="s">
        <v>3007</v>
      </c>
      <c r="F17" s="118" t="s">
        <v>2987</v>
      </c>
      <c r="G17" s="97" t="s">
        <v>2870</v>
      </c>
      <c r="H17" s="2068" t="s">
        <v>3008</v>
      </c>
      <c r="I17" s="118"/>
      <c r="J17" s="2060"/>
      <c r="K17" s="2060"/>
      <c r="L17" s="2060"/>
      <c r="M17" s="2060"/>
      <c r="N17" s="2060"/>
      <c r="O17" s="2060"/>
      <c r="P17" s="2060"/>
      <c r="Q17" s="2060"/>
      <c r="R17" s="2060"/>
      <c r="S17" s="2060"/>
      <c r="T17" s="2060"/>
      <c r="U17" s="2060"/>
      <c r="V17" s="2060"/>
      <c r="W17" s="2060"/>
      <c r="X17" s="2060"/>
      <c r="Y17" s="2060"/>
      <c r="Z17" s="2060"/>
      <c r="AA17" s="2060"/>
      <c r="AB17" s="2060"/>
    </row>
    <row r="18" spans="1:28">
      <c r="A18" s="2068"/>
      <c r="B18" s="511">
        <v>11</v>
      </c>
      <c r="C18" s="1428">
        <v>42802</v>
      </c>
      <c r="D18" s="2068" t="s">
        <v>3009</v>
      </c>
      <c r="E18" s="97" t="s">
        <v>3010</v>
      </c>
      <c r="F18" s="118" t="s">
        <v>2987</v>
      </c>
      <c r="G18" s="97" t="s">
        <v>2993</v>
      </c>
      <c r="H18" s="2068"/>
      <c r="I18" s="118"/>
      <c r="J18" s="2060"/>
      <c r="K18" s="2060"/>
      <c r="L18" s="2060"/>
      <c r="M18" s="2060"/>
      <c r="N18" s="2060"/>
      <c r="O18" s="2060"/>
      <c r="P18" s="2060"/>
      <c r="Q18" s="2060"/>
      <c r="R18" s="2060"/>
      <c r="S18" s="2060"/>
      <c r="T18" s="2060"/>
      <c r="U18" s="2060"/>
      <c r="V18" s="2060"/>
      <c r="W18" s="2060"/>
      <c r="X18" s="2060"/>
      <c r="Y18" s="2060"/>
      <c r="Z18" s="2060"/>
      <c r="AA18" s="2060"/>
      <c r="AB18" s="2060"/>
    </row>
    <row r="19" spans="1:28" ht="41.45">
      <c r="A19" s="2068"/>
      <c r="B19" s="511">
        <f t="shared" ref="B19:B24" si="0">B18+1</f>
        <v>12</v>
      </c>
      <c r="C19" s="1428">
        <v>42802</v>
      </c>
      <c r="D19" s="2068" t="s">
        <v>3009</v>
      </c>
      <c r="E19" s="1955" t="s">
        <v>3011</v>
      </c>
      <c r="F19" s="118" t="s">
        <v>2987</v>
      </c>
      <c r="G19" s="97" t="s">
        <v>2993</v>
      </c>
      <c r="H19" s="2068"/>
      <c r="I19" s="118"/>
      <c r="J19" s="2060"/>
      <c r="K19" s="2060"/>
      <c r="L19" s="2060"/>
      <c r="M19" s="2060"/>
      <c r="N19" s="2060"/>
      <c r="O19" s="2060"/>
      <c r="P19" s="2060"/>
      <c r="Q19" s="2060"/>
      <c r="R19" s="2060"/>
      <c r="S19" s="2060"/>
      <c r="T19" s="2060"/>
      <c r="U19" s="2060"/>
      <c r="V19" s="2060"/>
      <c r="W19" s="2060"/>
      <c r="X19" s="2060"/>
      <c r="Y19" s="2060"/>
      <c r="Z19" s="2060"/>
      <c r="AA19" s="2060"/>
      <c r="AB19" s="2060"/>
    </row>
    <row r="20" spans="1:28">
      <c r="A20" s="2068"/>
      <c r="B20" s="511">
        <f t="shared" si="0"/>
        <v>13</v>
      </c>
      <c r="C20" s="1428">
        <v>42802</v>
      </c>
      <c r="D20" s="2068" t="s">
        <v>3009</v>
      </c>
      <c r="E20" s="97" t="s">
        <v>3012</v>
      </c>
      <c r="F20" s="118" t="s">
        <v>2987</v>
      </c>
      <c r="G20" s="97" t="s">
        <v>2710</v>
      </c>
      <c r="H20" s="2068" t="s">
        <v>3013</v>
      </c>
      <c r="I20" s="118"/>
      <c r="J20" s="2060"/>
      <c r="K20" s="2060"/>
      <c r="L20" s="2060"/>
      <c r="M20" s="2060"/>
      <c r="N20" s="2060"/>
      <c r="O20" s="2060"/>
      <c r="P20" s="2060"/>
      <c r="Q20" s="2060"/>
      <c r="R20" s="2060"/>
      <c r="S20" s="2060"/>
      <c r="T20" s="2060"/>
      <c r="U20" s="2060"/>
      <c r="V20" s="2060"/>
      <c r="W20" s="2060"/>
      <c r="X20" s="2060"/>
      <c r="Y20" s="2060"/>
      <c r="Z20" s="2060"/>
      <c r="AA20" s="2060"/>
      <c r="AB20" s="2060"/>
    </row>
    <row r="21" spans="1:28">
      <c r="A21" s="2068"/>
      <c r="B21" s="511">
        <f t="shared" si="0"/>
        <v>14</v>
      </c>
      <c r="C21" s="1428">
        <v>42802</v>
      </c>
      <c r="D21" s="2068" t="s">
        <v>3009</v>
      </c>
      <c r="E21" s="97" t="s">
        <v>3014</v>
      </c>
      <c r="F21" s="118" t="s">
        <v>2987</v>
      </c>
      <c r="G21" s="97" t="s">
        <v>2885</v>
      </c>
      <c r="H21" s="2068" t="s">
        <v>3015</v>
      </c>
      <c r="I21" s="118"/>
      <c r="J21" s="2060"/>
      <c r="K21" s="2060"/>
      <c r="L21" s="2060"/>
      <c r="M21" s="2060"/>
      <c r="N21" s="2060"/>
      <c r="O21" s="2060"/>
      <c r="P21" s="2060"/>
      <c r="Q21" s="2060"/>
      <c r="R21" s="2060"/>
      <c r="S21" s="2060"/>
      <c r="T21" s="2060"/>
      <c r="U21" s="2060"/>
      <c r="V21" s="2060"/>
      <c r="W21" s="2060"/>
      <c r="X21" s="2060"/>
      <c r="Y21" s="2060"/>
      <c r="Z21" s="2060"/>
      <c r="AA21" s="2060"/>
      <c r="AB21" s="2060"/>
    </row>
    <row r="22" spans="1:28">
      <c r="A22" s="2068"/>
      <c r="B22" s="511">
        <f t="shared" si="0"/>
        <v>15</v>
      </c>
      <c r="C22" s="1428">
        <v>42802</v>
      </c>
      <c r="D22" s="2068" t="s">
        <v>3009</v>
      </c>
      <c r="E22" s="97" t="s">
        <v>3016</v>
      </c>
      <c r="F22" s="118" t="s">
        <v>2987</v>
      </c>
      <c r="G22" s="97" t="s">
        <v>2782</v>
      </c>
      <c r="H22" s="2068" t="s">
        <v>3017</v>
      </c>
      <c r="I22" s="118" t="s">
        <v>3018</v>
      </c>
      <c r="J22" s="2060"/>
      <c r="K22" s="2060"/>
      <c r="L22" s="2060"/>
      <c r="M22" s="2060"/>
      <c r="N22" s="2060"/>
      <c r="O22" s="2060"/>
      <c r="P22" s="2060"/>
      <c r="Q22" s="2060"/>
      <c r="R22" s="2060"/>
      <c r="S22" s="2060"/>
      <c r="T22" s="2060"/>
      <c r="U22" s="2060"/>
      <c r="V22" s="2060"/>
      <c r="W22" s="2060"/>
      <c r="X22" s="2060"/>
      <c r="Y22" s="2060"/>
      <c r="Z22" s="2060"/>
      <c r="AA22" s="2060"/>
      <c r="AB22" s="2060"/>
    </row>
    <row r="23" spans="1:28" ht="27.6">
      <c r="A23" s="2068"/>
      <c r="B23" s="511">
        <f t="shared" si="0"/>
        <v>16</v>
      </c>
      <c r="C23" s="1428">
        <v>42803</v>
      </c>
      <c r="D23" s="2068" t="s">
        <v>3019</v>
      </c>
      <c r="E23" s="97" t="s">
        <v>3020</v>
      </c>
      <c r="F23" s="118" t="s">
        <v>2987</v>
      </c>
      <c r="G23" s="97" t="s">
        <v>3021</v>
      </c>
      <c r="H23" s="2068" t="s">
        <v>3022</v>
      </c>
      <c r="I23" s="118"/>
      <c r="J23" s="2060"/>
      <c r="K23" s="2060"/>
      <c r="L23" s="2060"/>
      <c r="M23" s="2060"/>
      <c r="N23" s="2060"/>
      <c r="O23" s="2060"/>
      <c r="P23" s="2060"/>
      <c r="Q23" s="2060"/>
      <c r="R23" s="2060"/>
      <c r="S23" s="2060"/>
      <c r="T23" s="2060"/>
      <c r="U23" s="2060"/>
      <c r="V23" s="2060"/>
      <c r="W23" s="2060"/>
      <c r="X23" s="2060"/>
      <c r="Y23" s="2060"/>
      <c r="Z23" s="2060"/>
      <c r="AA23" s="2060"/>
      <c r="AB23" s="2060"/>
    </row>
    <row r="24" spans="1:28" ht="27.6">
      <c r="A24" s="2068"/>
      <c r="B24" s="511">
        <f t="shared" si="0"/>
        <v>17</v>
      </c>
      <c r="C24" s="1428">
        <v>42807</v>
      </c>
      <c r="D24" s="2068" t="s">
        <v>3023</v>
      </c>
      <c r="E24" s="97" t="s">
        <v>3024</v>
      </c>
      <c r="F24" s="118" t="s">
        <v>2987</v>
      </c>
      <c r="G24" s="97" t="s">
        <v>3025</v>
      </c>
      <c r="H24" s="2068" t="s">
        <v>3026</v>
      </c>
      <c r="I24" s="118"/>
      <c r="J24" s="2060"/>
      <c r="K24" s="2060"/>
      <c r="L24" s="2060"/>
      <c r="M24" s="2060"/>
      <c r="N24" s="2060"/>
      <c r="O24" s="2060"/>
      <c r="P24" s="2060"/>
      <c r="Q24" s="2060"/>
      <c r="R24" s="2060"/>
      <c r="S24" s="2060"/>
      <c r="T24" s="2060"/>
      <c r="U24" s="2060"/>
      <c r="V24" s="2060"/>
      <c r="W24" s="2060"/>
      <c r="X24" s="2060"/>
      <c r="Y24" s="2060"/>
      <c r="Z24" s="2060"/>
      <c r="AA24" s="2060"/>
      <c r="AB24" s="2060"/>
    </row>
    <row r="25" spans="1:28">
      <c r="A25" s="2068"/>
      <c r="B25" s="511">
        <v>18</v>
      </c>
      <c r="C25" s="1428">
        <v>42807</v>
      </c>
      <c r="D25" s="2068" t="s">
        <v>3027</v>
      </c>
      <c r="E25" s="97" t="s">
        <v>3028</v>
      </c>
      <c r="F25" s="118"/>
      <c r="G25" s="97" t="s">
        <v>3029</v>
      </c>
      <c r="H25" s="2068" t="s">
        <v>3030</v>
      </c>
      <c r="I25" s="118"/>
      <c r="J25" s="2060"/>
      <c r="K25" s="2060"/>
      <c r="L25" s="2060"/>
      <c r="M25" s="2060"/>
      <c r="N25" s="2060"/>
      <c r="O25" s="2060"/>
      <c r="P25" s="2060"/>
      <c r="Q25" s="2060"/>
      <c r="R25" s="2060"/>
      <c r="S25" s="2060"/>
      <c r="T25" s="2060"/>
      <c r="U25" s="2060"/>
      <c r="V25" s="2060"/>
      <c r="W25" s="2060"/>
      <c r="X25" s="2060"/>
      <c r="Y25" s="2060"/>
      <c r="Z25" s="2060"/>
      <c r="AA25" s="2060"/>
      <c r="AB25" s="2060"/>
    </row>
    <row r="26" spans="1:28">
      <c r="A26" s="2068"/>
      <c r="B26" s="511">
        <v>19</v>
      </c>
      <c r="C26" s="1428">
        <v>42808</v>
      </c>
      <c r="D26" s="2068" t="s">
        <v>3031</v>
      </c>
      <c r="E26" s="97" t="s">
        <v>3032</v>
      </c>
      <c r="F26" s="118" t="s">
        <v>2987</v>
      </c>
      <c r="G26" s="97" t="s">
        <v>2777</v>
      </c>
      <c r="H26" s="2068"/>
      <c r="I26" s="118"/>
      <c r="J26" s="2060"/>
      <c r="K26" s="2060"/>
      <c r="L26" s="2060"/>
      <c r="M26" s="2060"/>
      <c r="N26" s="2060"/>
      <c r="O26" s="2060"/>
      <c r="P26" s="2060"/>
      <c r="Q26" s="2060"/>
      <c r="R26" s="2060"/>
      <c r="S26" s="2060"/>
      <c r="T26" s="2060"/>
      <c r="U26" s="2060"/>
      <c r="V26" s="2060"/>
      <c r="W26" s="2060"/>
      <c r="X26" s="2060"/>
      <c r="Y26" s="2060"/>
      <c r="Z26" s="2060"/>
      <c r="AA26" s="2060"/>
      <c r="AB26" s="2060"/>
    </row>
    <row r="27" spans="1:28" ht="27.6">
      <c r="A27" s="2068"/>
      <c r="B27" s="511">
        <v>20</v>
      </c>
      <c r="C27" s="1428">
        <v>42811</v>
      </c>
      <c r="D27" s="2068" t="s">
        <v>3033</v>
      </c>
      <c r="E27" s="97" t="s">
        <v>3034</v>
      </c>
      <c r="F27" s="118" t="s">
        <v>2987</v>
      </c>
      <c r="G27" s="97" t="s">
        <v>2870</v>
      </c>
      <c r="H27" s="2068"/>
      <c r="I27" s="118"/>
      <c r="J27" s="2060"/>
      <c r="K27" s="2060"/>
      <c r="L27" s="2060"/>
      <c r="M27" s="2060"/>
      <c r="N27" s="2060"/>
      <c r="O27" s="2060"/>
      <c r="P27" s="2060"/>
      <c r="Q27" s="2060"/>
      <c r="R27" s="2060"/>
      <c r="S27" s="2060"/>
      <c r="T27" s="2060"/>
      <c r="U27" s="2060"/>
      <c r="V27" s="2060"/>
      <c r="W27" s="2060"/>
      <c r="X27" s="2060"/>
      <c r="Y27" s="2060"/>
      <c r="Z27" s="2060"/>
      <c r="AA27" s="2060"/>
      <c r="AB27" s="2060"/>
    </row>
    <row r="28" spans="1:28" ht="55.15">
      <c r="A28" s="2068"/>
      <c r="B28" s="511">
        <v>21</v>
      </c>
      <c r="C28" s="1428">
        <v>42822</v>
      </c>
      <c r="D28" s="2068" t="s">
        <v>3035</v>
      </c>
      <c r="E28" s="1955" t="s">
        <v>3036</v>
      </c>
      <c r="F28" s="118" t="s">
        <v>2987</v>
      </c>
      <c r="G28" s="97" t="s">
        <v>3037</v>
      </c>
      <c r="H28" s="2068"/>
      <c r="I28" s="118"/>
      <c r="J28" s="2060"/>
      <c r="K28" s="2060"/>
      <c r="L28" s="2060"/>
      <c r="M28" s="2060"/>
      <c r="N28" s="2060"/>
      <c r="O28" s="2060"/>
      <c r="P28" s="2060"/>
      <c r="Q28" s="2060"/>
      <c r="R28" s="2060"/>
      <c r="S28" s="2060"/>
      <c r="T28" s="2060"/>
      <c r="U28" s="2060"/>
      <c r="V28" s="2060"/>
      <c r="W28" s="2060"/>
      <c r="X28" s="2060"/>
      <c r="Y28" s="2060"/>
      <c r="Z28" s="2060"/>
      <c r="AA28" s="2060"/>
      <c r="AB28" s="2060"/>
    </row>
    <row r="29" spans="1:28" ht="27.6">
      <c r="A29" s="2068"/>
      <c r="B29" s="511">
        <v>22</v>
      </c>
      <c r="C29" s="1428">
        <v>42825</v>
      </c>
      <c r="D29" s="2068" t="s">
        <v>3038</v>
      </c>
      <c r="E29" s="97" t="s">
        <v>3039</v>
      </c>
      <c r="F29" s="118" t="s">
        <v>2987</v>
      </c>
      <c r="G29" s="97" t="s">
        <v>3040</v>
      </c>
      <c r="H29" s="2068" t="s">
        <v>3041</v>
      </c>
      <c r="I29" s="118"/>
      <c r="J29" s="2060"/>
      <c r="K29" s="2060"/>
      <c r="L29" s="2060"/>
      <c r="M29" s="2060"/>
      <c r="N29" s="2060"/>
      <c r="O29" s="2060"/>
      <c r="P29" s="2060"/>
      <c r="Q29" s="2060"/>
      <c r="R29" s="2060"/>
      <c r="S29" s="2060"/>
      <c r="T29" s="2060"/>
      <c r="U29" s="2060"/>
      <c r="V29" s="2060"/>
      <c r="W29" s="2060"/>
      <c r="X29" s="2060"/>
      <c r="Y29" s="2060"/>
      <c r="Z29" s="2060"/>
      <c r="AA29" s="2060"/>
      <c r="AB29" s="2060"/>
    </row>
    <row r="30" spans="1:28" ht="41.45">
      <c r="A30" s="2068"/>
      <c r="B30" s="511">
        <v>23</v>
      </c>
      <c r="C30" s="1428">
        <v>42825</v>
      </c>
      <c r="D30" s="2068" t="s">
        <v>3038</v>
      </c>
      <c r="E30" s="1955" t="s">
        <v>3042</v>
      </c>
      <c r="F30" s="118" t="s">
        <v>2987</v>
      </c>
      <c r="G30" s="97" t="s">
        <v>2782</v>
      </c>
      <c r="H30" s="2068"/>
      <c r="I30" s="118"/>
      <c r="J30" s="2060"/>
      <c r="K30" s="2060"/>
      <c r="L30" s="2060"/>
      <c r="M30" s="2060"/>
      <c r="N30" s="2060"/>
      <c r="O30" s="2060"/>
      <c r="P30" s="2060"/>
      <c r="Q30" s="2060"/>
      <c r="R30" s="2060"/>
      <c r="S30" s="2060"/>
      <c r="T30" s="2060"/>
      <c r="U30" s="2060"/>
      <c r="V30" s="2060"/>
      <c r="W30" s="2060"/>
      <c r="X30" s="2060"/>
      <c r="Y30" s="2060"/>
      <c r="Z30" s="2060"/>
      <c r="AA30" s="2060"/>
      <c r="AB30" s="2060"/>
    </row>
    <row r="31" spans="1:28" ht="27.6">
      <c r="A31" s="2068"/>
      <c r="B31" s="511">
        <v>23</v>
      </c>
      <c r="C31" s="1428">
        <v>42825</v>
      </c>
      <c r="D31" s="2068" t="s">
        <v>3038</v>
      </c>
      <c r="E31" s="1955" t="s">
        <v>3043</v>
      </c>
      <c r="F31" s="118" t="s">
        <v>2987</v>
      </c>
      <c r="G31" s="97" t="s">
        <v>2810</v>
      </c>
      <c r="H31" s="2068" t="s">
        <v>3044</v>
      </c>
      <c r="I31" s="118"/>
      <c r="J31" s="2060"/>
      <c r="K31" s="2060"/>
      <c r="L31" s="2060"/>
      <c r="M31" s="2060"/>
      <c r="N31" s="2060"/>
      <c r="O31" s="2060"/>
      <c r="P31" s="2060"/>
      <c r="Q31" s="2060"/>
      <c r="R31" s="2060"/>
      <c r="S31" s="2060"/>
      <c r="T31" s="2060"/>
      <c r="U31" s="2060"/>
      <c r="V31" s="2060"/>
      <c r="W31" s="2060"/>
      <c r="X31" s="2060"/>
      <c r="Y31" s="2060"/>
      <c r="Z31" s="2060"/>
      <c r="AA31" s="2060"/>
      <c r="AB31" s="2060"/>
    </row>
    <row r="32" spans="1:28" ht="27.6">
      <c r="A32" s="2068"/>
      <c r="B32" s="511">
        <v>24</v>
      </c>
      <c r="C32" s="1428">
        <v>42831</v>
      </c>
      <c r="D32" s="2068" t="s">
        <v>3045</v>
      </c>
      <c r="E32" s="290" t="s">
        <v>3046</v>
      </c>
      <c r="F32" s="118" t="s">
        <v>2987</v>
      </c>
      <c r="G32" s="97" t="s">
        <v>3047</v>
      </c>
      <c r="H32" s="2068" t="s">
        <v>3048</v>
      </c>
      <c r="I32" s="118" t="s">
        <v>3049</v>
      </c>
      <c r="J32" s="2060"/>
      <c r="K32" s="2060"/>
      <c r="L32" s="2060"/>
      <c r="M32" s="2060"/>
      <c r="N32" s="2060"/>
      <c r="O32" s="2060"/>
      <c r="P32" s="2060"/>
      <c r="Q32" s="2060"/>
      <c r="R32" s="2060"/>
      <c r="S32" s="2060"/>
      <c r="T32" s="2060"/>
      <c r="U32" s="2060"/>
      <c r="V32" s="2060"/>
      <c r="W32" s="2060"/>
      <c r="X32" s="2060"/>
      <c r="Y32" s="2060"/>
      <c r="Z32" s="2060"/>
      <c r="AA32" s="2060"/>
      <c r="AB32" s="2060"/>
    </row>
    <row r="33" spans="1:9">
      <c r="A33" s="2068"/>
      <c r="B33" s="511">
        <v>25</v>
      </c>
      <c r="C33" s="1428">
        <v>42841</v>
      </c>
      <c r="D33" s="2068" t="s">
        <v>3050</v>
      </c>
      <c r="E33" s="97" t="s">
        <v>3051</v>
      </c>
      <c r="F33" s="118" t="s">
        <v>2987</v>
      </c>
      <c r="G33" s="97" t="s">
        <v>2918</v>
      </c>
      <c r="H33" s="2068"/>
      <c r="I33" s="118"/>
    </row>
    <row r="34" spans="1:9" ht="27.6">
      <c r="A34" s="2068"/>
      <c r="B34" s="511">
        <f t="shared" ref="B34:B40" si="1">B33+1</f>
        <v>26</v>
      </c>
      <c r="C34" s="1428">
        <v>42841</v>
      </c>
      <c r="D34" s="2068" t="s">
        <v>3052</v>
      </c>
      <c r="E34" s="97" t="s">
        <v>3053</v>
      </c>
      <c r="F34" s="118" t="s">
        <v>2987</v>
      </c>
      <c r="G34" s="97" t="s">
        <v>2810</v>
      </c>
      <c r="H34" s="2068" t="s">
        <v>3054</v>
      </c>
      <c r="I34" s="118"/>
    </row>
    <row r="35" spans="1:9">
      <c r="A35" s="2068"/>
      <c r="B35" s="511">
        <f t="shared" si="1"/>
        <v>27</v>
      </c>
      <c r="C35" s="1428">
        <v>42857.486805555556</v>
      </c>
      <c r="D35" s="2068" t="s">
        <v>3055</v>
      </c>
      <c r="E35" s="97" t="s">
        <v>3056</v>
      </c>
      <c r="F35" s="118" t="s">
        <v>2987</v>
      </c>
      <c r="G35" s="97" t="s">
        <v>2782</v>
      </c>
      <c r="H35" s="2068" t="s">
        <v>3057</v>
      </c>
      <c r="I35" s="118" t="s">
        <v>3058</v>
      </c>
    </row>
    <row r="36" spans="1:9">
      <c r="A36" s="2060"/>
      <c r="B36" s="511">
        <f t="shared" si="1"/>
        <v>28</v>
      </c>
      <c r="C36" s="1428">
        <v>42866</v>
      </c>
      <c r="D36" s="2068" t="s">
        <v>3059</v>
      </c>
      <c r="E36" s="97" t="s">
        <v>3060</v>
      </c>
      <c r="F36" s="118" t="s">
        <v>2987</v>
      </c>
      <c r="G36" s="97"/>
      <c r="H36" s="36"/>
      <c r="I36" s="1501"/>
    </row>
    <row r="37" spans="1:9" ht="27.6">
      <c r="A37" s="2060"/>
      <c r="B37" s="511">
        <f t="shared" si="1"/>
        <v>29</v>
      </c>
      <c r="C37" s="1428">
        <v>42866</v>
      </c>
      <c r="D37" s="2068" t="s">
        <v>3059</v>
      </c>
      <c r="E37" s="97" t="s">
        <v>3061</v>
      </c>
      <c r="F37" s="118" t="s">
        <v>2987</v>
      </c>
      <c r="G37" s="97" t="s">
        <v>2810</v>
      </c>
      <c r="H37" s="36" t="s">
        <v>3062</v>
      </c>
      <c r="I37" s="1501"/>
    </row>
    <row r="38" spans="1:9">
      <c r="A38" s="2060"/>
      <c r="B38" s="511">
        <f t="shared" si="1"/>
        <v>30</v>
      </c>
      <c r="C38" s="1428">
        <v>42886</v>
      </c>
      <c r="D38" s="2068" t="s">
        <v>3063</v>
      </c>
      <c r="E38" s="97" t="s">
        <v>3064</v>
      </c>
      <c r="F38" s="118" t="s">
        <v>2987</v>
      </c>
      <c r="G38" s="97" t="s">
        <v>2782</v>
      </c>
      <c r="H38" s="36" t="s">
        <v>3065</v>
      </c>
      <c r="I38" s="1501"/>
    </row>
    <row r="39" spans="1:9">
      <c r="A39" s="2060"/>
      <c r="B39" s="511">
        <f t="shared" si="1"/>
        <v>31</v>
      </c>
      <c r="C39" s="1428">
        <v>42886</v>
      </c>
      <c r="D39" s="2068" t="s">
        <v>3063</v>
      </c>
      <c r="E39" s="2068" t="s">
        <v>3066</v>
      </c>
      <c r="F39" s="118" t="s">
        <v>2987</v>
      </c>
      <c r="G39" s="97" t="s">
        <v>2782</v>
      </c>
      <c r="H39" s="36" t="s">
        <v>3067</v>
      </c>
      <c r="I39" s="1501"/>
    </row>
    <row r="40" spans="1:9" ht="27.6">
      <c r="A40" s="2060"/>
      <c r="B40" s="511">
        <f t="shared" si="1"/>
        <v>32</v>
      </c>
      <c r="C40" s="1428">
        <v>42886</v>
      </c>
      <c r="D40" s="2068" t="s">
        <v>3063</v>
      </c>
      <c r="E40" s="97" t="s">
        <v>3068</v>
      </c>
      <c r="F40" s="118" t="s">
        <v>2987</v>
      </c>
      <c r="G40" s="97" t="s">
        <v>2870</v>
      </c>
      <c r="H40" s="36"/>
      <c r="I40" s="1501"/>
    </row>
    <row r="41" spans="1:9">
      <c r="A41" s="2060"/>
      <c r="B41" s="511">
        <f t="shared" ref="B41:B60" si="2">B40+1</f>
        <v>33</v>
      </c>
      <c r="C41" s="1428">
        <v>42886</v>
      </c>
      <c r="D41" s="2068" t="s">
        <v>3063</v>
      </c>
      <c r="E41" s="97" t="s">
        <v>3069</v>
      </c>
      <c r="F41" s="118" t="s">
        <v>2987</v>
      </c>
      <c r="G41" s="97" t="s">
        <v>3070</v>
      </c>
      <c r="H41" s="36" t="s">
        <v>3071</v>
      </c>
      <c r="I41" s="1501"/>
    </row>
    <row r="42" spans="1:9" ht="55.15">
      <c r="A42" s="2060"/>
      <c r="B42" s="511">
        <f t="shared" si="2"/>
        <v>34</v>
      </c>
      <c r="C42" s="1428">
        <v>42886</v>
      </c>
      <c r="D42" s="2068" t="s">
        <v>3072</v>
      </c>
      <c r="E42" s="97" t="s">
        <v>3073</v>
      </c>
      <c r="F42" s="118" t="s">
        <v>2987</v>
      </c>
      <c r="G42" s="97" t="s">
        <v>3074</v>
      </c>
      <c r="H42" s="36" t="s">
        <v>3075</v>
      </c>
      <c r="I42" s="2106" t="s">
        <v>3076</v>
      </c>
    </row>
    <row r="43" spans="1:9" ht="27.6">
      <c r="A43" s="2060"/>
      <c r="B43" s="511">
        <f t="shared" si="2"/>
        <v>35</v>
      </c>
      <c r="C43" s="1428">
        <v>42892</v>
      </c>
      <c r="D43" s="2068" t="s">
        <v>3072</v>
      </c>
      <c r="E43" s="97" t="s">
        <v>3077</v>
      </c>
      <c r="F43" s="118" t="s">
        <v>2987</v>
      </c>
      <c r="G43" s="97" t="s">
        <v>3074</v>
      </c>
      <c r="H43" s="36" t="s">
        <v>3078</v>
      </c>
      <c r="I43" s="2106"/>
    </row>
    <row r="44" spans="1:9">
      <c r="A44" s="2060"/>
      <c r="B44" s="511">
        <f t="shared" si="2"/>
        <v>36</v>
      </c>
      <c r="C44" s="1428">
        <v>42893</v>
      </c>
      <c r="D44" s="2068" t="s">
        <v>3079</v>
      </c>
      <c r="E44" s="97" t="s">
        <v>3080</v>
      </c>
      <c r="F44" s="118" t="s">
        <v>2987</v>
      </c>
      <c r="G44" s="97" t="s">
        <v>2782</v>
      </c>
      <c r="H44" s="36"/>
      <c r="I44" s="1501"/>
    </row>
    <row r="45" spans="1:9" ht="27.6">
      <c r="A45" s="2060"/>
      <c r="B45" s="511">
        <f t="shared" si="2"/>
        <v>37</v>
      </c>
      <c r="C45" s="1428">
        <v>42898</v>
      </c>
      <c r="D45" s="2068" t="s">
        <v>3081</v>
      </c>
      <c r="E45" s="97" t="s">
        <v>3082</v>
      </c>
      <c r="F45" s="1501"/>
      <c r="G45" s="97" t="s">
        <v>3083</v>
      </c>
      <c r="H45" s="36" t="s">
        <v>3084</v>
      </c>
      <c r="I45" s="2107" t="s">
        <v>3085</v>
      </c>
    </row>
    <row r="46" spans="1:9" ht="41.45">
      <c r="A46" s="2060"/>
      <c r="B46" s="511">
        <f t="shared" si="2"/>
        <v>38</v>
      </c>
      <c r="C46" s="1428">
        <v>42899</v>
      </c>
      <c r="D46" s="2068" t="s">
        <v>3086</v>
      </c>
      <c r="E46" s="97" t="s">
        <v>3087</v>
      </c>
      <c r="F46" s="118" t="s">
        <v>2987</v>
      </c>
      <c r="G46" s="97" t="s">
        <v>3088</v>
      </c>
      <c r="H46" s="36"/>
      <c r="I46" s="36"/>
    </row>
    <row r="47" spans="1:9">
      <c r="A47" s="2060"/>
      <c r="B47" s="511">
        <f t="shared" si="2"/>
        <v>39</v>
      </c>
      <c r="C47" s="1428">
        <v>42900</v>
      </c>
      <c r="D47" s="2068" t="s">
        <v>3089</v>
      </c>
      <c r="E47" s="97" t="s">
        <v>3090</v>
      </c>
      <c r="F47" s="118" t="s">
        <v>2987</v>
      </c>
      <c r="G47" s="97" t="s">
        <v>2782</v>
      </c>
      <c r="H47" s="36"/>
      <c r="I47" s="1501"/>
    </row>
    <row r="48" spans="1:9">
      <c r="A48" s="2060"/>
      <c r="B48" s="511">
        <f t="shared" si="2"/>
        <v>40</v>
      </c>
      <c r="C48" s="1428">
        <v>42900</v>
      </c>
      <c r="D48" s="2068" t="s">
        <v>3089</v>
      </c>
      <c r="E48" s="97" t="s">
        <v>3091</v>
      </c>
      <c r="F48" s="118" t="s">
        <v>2987</v>
      </c>
      <c r="G48" s="97" t="s">
        <v>3092</v>
      </c>
      <c r="H48" s="36"/>
      <c r="I48" s="1501"/>
    </row>
    <row r="49" spans="2:9">
      <c r="B49" s="511">
        <f t="shared" si="2"/>
        <v>41</v>
      </c>
      <c r="C49" s="1428">
        <v>42900</v>
      </c>
      <c r="D49" s="2068" t="s">
        <v>3089</v>
      </c>
      <c r="E49" s="97" t="s">
        <v>3093</v>
      </c>
      <c r="F49" s="118" t="s">
        <v>2987</v>
      </c>
      <c r="G49" s="97" t="s">
        <v>2885</v>
      </c>
      <c r="H49" s="36"/>
      <c r="I49" s="1501"/>
    </row>
    <row r="50" spans="2:9">
      <c r="B50" s="511">
        <f t="shared" si="2"/>
        <v>42</v>
      </c>
      <c r="C50" s="1428">
        <v>42901</v>
      </c>
      <c r="D50" s="2068" t="s">
        <v>3094</v>
      </c>
      <c r="E50" s="97" t="s">
        <v>3095</v>
      </c>
      <c r="F50" s="118" t="s">
        <v>2987</v>
      </c>
      <c r="G50" s="97" t="s">
        <v>2782</v>
      </c>
      <c r="H50" s="1501" t="s">
        <v>3096</v>
      </c>
      <c r="I50" s="1501"/>
    </row>
    <row r="51" spans="2:9">
      <c r="B51" s="511">
        <f t="shared" si="2"/>
        <v>43</v>
      </c>
      <c r="C51" s="1428">
        <v>42922</v>
      </c>
      <c r="D51" s="2068" t="s">
        <v>3097</v>
      </c>
      <c r="E51" s="97" t="s">
        <v>3098</v>
      </c>
      <c r="F51" s="118" t="s">
        <v>2987</v>
      </c>
      <c r="G51" s="97" t="s">
        <v>1577</v>
      </c>
      <c r="H51" s="36" t="s">
        <v>3099</v>
      </c>
      <c r="I51" s="1501"/>
    </row>
    <row r="52" spans="2:9">
      <c r="B52" s="511">
        <f t="shared" si="2"/>
        <v>44</v>
      </c>
      <c r="C52" s="1428">
        <v>42935</v>
      </c>
      <c r="D52" s="2068" t="s">
        <v>3100</v>
      </c>
      <c r="E52" s="97" t="s">
        <v>3101</v>
      </c>
      <c r="F52" s="118" t="s">
        <v>2987</v>
      </c>
      <c r="G52" s="97" t="s">
        <v>2782</v>
      </c>
      <c r="H52" s="1501" t="s">
        <v>3102</v>
      </c>
      <c r="I52" s="1501"/>
    </row>
    <row r="53" spans="2:9">
      <c r="B53" s="511">
        <f t="shared" si="2"/>
        <v>45</v>
      </c>
      <c r="C53" s="1428">
        <v>42935</v>
      </c>
      <c r="D53" s="2068" t="s">
        <v>3100</v>
      </c>
      <c r="E53" s="97" t="s">
        <v>3103</v>
      </c>
      <c r="F53" s="118" t="s">
        <v>2987</v>
      </c>
      <c r="G53" s="97" t="s">
        <v>3104</v>
      </c>
      <c r="H53" s="1501" t="s">
        <v>3105</v>
      </c>
      <c r="I53" s="1501"/>
    </row>
    <row r="54" spans="2:9">
      <c r="B54" s="511">
        <f t="shared" si="2"/>
        <v>46</v>
      </c>
      <c r="C54" s="1428">
        <v>42935</v>
      </c>
      <c r="D54" s="2068" t="s">
        <v>3100</v>
      </c>
      <c r="E54" s="97" t="s">
        <v>3106</v>
      </c>
      <c r="F54" s="118" t="s">
        <v>2987</v>
      </c>
      <c r="G54" s="97" t="s">
        <v>3107</v>
      </c>
      <c r="H54" s="1501"/>
      <c r="I54" s="1501"/>
    </row>
    <row r="55" spans="2:9">
      <c r="B55" s="511">
        <f t="shared" si="2"/>
        <v>47</v>
      </c>
      <c r="C55" s="1428">
        <v>42935</v>
      </c>
      <c r="D55" s="2068" t="s">
        <v>3100</v>
      </c>
      <c r="E55" s="97" t="s">
        <v>3108</v>
      </c>
      <c r="F55" s="118" t="s">
        <v>2987</v>
      </c>
      <c r="G55" s="97" t="s">
        <v>2782</v>
      </c>
      <c r="H55" s="1501"/>
      <c r="I55" s="1501"/>
    </row>
    <row r="56" spans="2:9">
      <c r="B56" s="511">
        <f t="shared" si="2"/>
        <v>48</v>
      </c>
      <c r="C56" s="1428">
        <v>42935</v>
      </c>
      <c r="D56" s="2068" t="s">
        <v>3100</v>
      </c>
      <c r="E56" s="97" t="s">
        <v>3109</v>
      </c>
      <c r="F56" s="118" t="s">
        <v>2987</v>
      </c>
      <c r="G56" s="97" t="s">
        <v>3104</v>
      </c>
      <c r="H56" s="1501"/>
      <c r="I56" s="1501"/>
    </row>
    <row r="57" spans="2:9">
      <c r="B57" s="511">
        <f t="shared" si="2"/>
        <v>49</v>
      </c>
      <c r="C57" s="1428">
        <v>42935</v>
      </c>
      <c r="D57" s="2068" t="s">
        <v>3100</v>
      </c>
      <c r="E57" s="97" t="s">
        <v>3110</v>
      </c>
      <c r="F57" s="118" t="s">
        <v>2987</v>
      </c>
      <c r="G57" s="97" t="s">
        <v>3111</v>
      </c>
      <c r="H57" s="1501"/>
      <c r="I57" s="1501"/>
    </row>
    <row r="58" spans="2:9">
      <c r="B58" s="511">
        <f t="shared" si="2"/>
        <v>50</v>
      </c>
      <c r="C58" s="1428">
        <v>42935</v>
      </c>
      <c r="D58" s="2068" t="s">
        <v>3100</v>
      </c>
      <c r="E58" s="97" t="s">
        <v>3112</v>
      </c>
      <c r="F58" s="118" t="s">
        <v>2987</v>
      </c>
      <c r="G58" s="97" t="s">
        <v>2782</v>
      </c>
      <c r="H58" s="1501"/>
      <c r="I58" s="1501"/>
    </row>
    <row r="59" spans="2:9" ht="27.6">
      <c r="B59" s="511">
        <f t="shared" si="2"/>
        <v>51</v>
      </c>
      <c r="C59" s="1428">
        <v>42935</v>
      </c>
      <c r="D59" s="2068" t="s">
        <v>3100</v>
      </c>
      <c r="E59" s="97" t="s">
        <v>3113</v>
      </c>
      <c r="F59" s="118" t="s">
        <v>2987</v>
      </c>
      <c r="G59" s="97" t="s">
        <v>2810</v>
      </c>
      <c r="H59" s="1501"/>
      <c r="I59" s="1501"/>
    </row>
    <row r="60" spans="2:9" ht="27.6">
      <c r="B60" s="511">
        <f t="shared" si="2"/>
        <v>52</v>
      </c>
      <c r="C60" s="1428">
        <v>42963</v>
      </c>
      <c r="D60" s="2068" t="s">
        <v>3114</v>
      </c>
      <c r="E60" s="97" t="s">
        <v>3115</v>
      </c>
      <c r="F60" s="118" t="s">
        <v>2987</v>
      </c>
      <c r="G60" s="97" t="s">
        <v>2810</v>
      </c>
      <c r="H60" s="1501"/>
      <c r="I60" s="1501"/>
    </row>
    <row r="61" spans="2:9">
      <c r="B61" s="2068"/>
      <c r="C61" s="2068"/>
      <c r="D61" s="2068"/>
      <c r="E61" s="97"/>
      <c r="F61" s="1501"/>
      <c r="G61" s="97"/>
      <c r="H61" s="36"/>
      <c r="I61" s="1501"/>
    </row>
    <row r="62" spans="2:9">
      <c r="B62" s="2068"/>
      <c r="C62" s="2068"/>
      <c r="D62" s="2068"/>
      <c r="E62" s="97"/>
      <c r="F62" s="1501"/>
      <c r="G62" s="97"/>
      <c r="H62" s="36"/>
      <c r="I62" s="1501"/>
    </row>
    <row r="63" spans="2:9">
      <c r="B63" s="2068"/>
      <c r="C63" s="2068"/>
      <c r="D63" s="2068"/>
      <c r="E63" s="97"/>
      <c r="F63" s="1501"/>
      <c r="G63" s="97"/>
      <c r="H63" s="36"/>
      <c r="I63" s="1501"/>
    </row>
    <row r="64" spans="2:9">
      <c r="B64" s="2068"/>
      <c r="C64" s="2068"/>
      <c r="D64" s="2068"/>
      <c r="E64" s="97"/>
      <c r="F64" s="1501"/>
      <c r="G64" s="97"/>
      <c r="H64" s="36"/>
      <c r="I64" s="1501"/>
    </row>
    <row r="65" spans="2:9">
      <c r="B65" s="2068"/>
      <c r="C65" s="2068"/>
      <c r="D65" s="2068"/>
      <c r="E65" s="97"/>
      <c r="F65" s="1501"/>
      <c r="G65" s="97"/>
      <c r="H65" s="36"/>
      <c r="I65" s="1501"/>
    </row>
    <row r="66" spans="2:9">
      <c r="B66" s="2068"/>
      <c r="C66" s="2068"/>
      <c r="D66" s="2068"/>
      <c r="E66" s="97"/>
      <c r="F66" s="1501"/>
      <c r="G66" s="97"/>
      <c r="H66" s="36"/>
      <c r="I66" s="1501"/>
    </row>
    <row r="67" spans="2:9">
      <c r="B67" s="2068"/>
      <c r="C67" s="2068"/>
      <c r="D67" s="2068"/>
      <c r="E67" s="97"/>
      <c r="F67" s="1501"/>
      <c r="G67" s="97"/>
      <c r="H67" s="36"/>
      <c r="I67" s="1501"/>
    </row>
    <row r="68" spans="2:9">
      <c r="B68" s="2068"/>
      <c r="C68" s="2068"/>
      <c r="D68" s="2068"/>
      <c r="E68" s="97"/>
      <c r="F68" s="1501"/>
      <c r="G68" s="97"/>
      <c r="H68" s="36"/>
      <c r="I68" s="1501"/>
    </row>
    <row r="69" spans="2:9">
      <c r="B69" s="2068"/>
      <c r="C69" s="2068"/>
      <c r="D69" s="2068"/>
      <c r="E69" s="97"/>
      <c r="F69" s="1501"/>
      <c r="G69" s="97"/>
      <c r="H69" s="36"/>
      <c r="I69" s="1501"/>
    </row>
    <row r="70" spans="2:9">
      <c r="B70" s="2068"/>
      <c r="C70" s="2068"/>
      <c r="D70" s="2068"/>
      <c r="E70" s="97"/>
      <c r="F70" s="1501"/>
      <c r="G70" s="97"/>
      <c r="H70" s="36"/>
      <c r="I70" s="1501"/>
    </row>
    <row r="71" spans="2:9">
      <c r="B71" s="2068"/>
      <c r="C71" s="2068"/>
      <c r="D71" s="2068"/>
      <c r="E71" s="97"/>
      <c r="F71" s="1501"/>
      <c r="G71" s="97"/>
      <c r="H71" s="36"/>
      <c r="I71" s="1501"/>
    </row>
    <row r="72" spans="2:9">
      <c r="B72" s="2068"/>
      <c r="C72" s="2068"/>
      <c r="D72" s="2068"/>
      <c r="E72" s="97"/>
      <c r="F72" s="1501"/>
      <c r="G72" s="97"/>
      <c r="H72" s="36"/>
      <c r="I72" s="1501"/>
    </row>
    <row r="73" spans="2:9">
      <c r="B73" s="2068"/>
      <c r="C73" s="2068"/>
      <c r="D73" s="2068"/>
      <c r="E73" s="97"/>
      <c r="F73" s="1501"/>
      <c r="G73" s="97"/>
      <c r="H73" s="36"/>
      <c r="I73" s="1501"/>
    </row>
    <row r="74" spans="2:9">
      <c r="B74" s="2068"/>
      <c r="C74" s="2068"/>
      <c r="D74" s="2068"/>
      <c r="E74" s="97"/>
      <c r="F74" s="1501"/>
      <c r="G74" s="97"/>
      <c r="H74" s="36"/>
      <c r="I74" s="1501"/>
    </row>
    <row r="75" spans="2:9">
      <c r="B75" s="2068"/>
      <c r="C75" s="2068"/>
      <c r="D75" s="2068"/>
      <c r="E75" s="97"/>
      <c r="F75" s="1501"/>
      <c r="G75" s="97"/>
      <c r="H75" s="36"/>
      <c r="I75" s="1501"/>
    </row>
    <row r="76" spans="2:9">
      <c r="B76" s="2068"/>
      <c r="C76" s="2068"/>
      <c r="D76" s="2068"/>
      <c r="E76" s="97"/>
      <c r="F76" s="1501"/>
      <c r="G76" s="97"/>
      <c r="H76" s="36"/>
      <c r="I76" s="1501"/>
    </row>
    <row r="77" spans="2:9">
      <c r="B77" s="2068"/>
      <c r="C77" s="2068"/>
      <c r="D77" s="2068"/>
      <c r="E77" s="97"/>
      <c r="F77" s="1501"/>
      <c r="G77" s="97"/>
      <c r="H77" s="36"/>
      <c r="I77" s="1501"/>
    </row>
    <row r="78" spans="2:9">
      <c r="B78" s="2068"/>
      <c r="C78" s="2068"/>
      <c r="D78" s="2068"/>
      <c r="E78" s="97"/>
      <c r="F78" s="1501"/>
      <c r="G78" s="97"/>
      <c r="H78" s="36"/>
      <c r="I78" s="1501"/>
    </row>
    <row r="79" spans="2:9">
      <c r="B79" s="2068"/>
      <c r="C79" s="2068"/>
      <c r="D79" s="2068"/>
      <c r="E79" s="97"/>
      <c r="F79" s="1501"/>
      <c r="G79" s="97"/>
      <c r="H79" s="36"/>
      <c r="I79" s="1501"/>
    </row>
    <row r="80" spans="2:9">
      <c r="B80" s="2068"/>
      <c r="C80" s="2068"/>
      <c r="D80" s="2068"/>
      <c r="E80" s="97"/>
      <c r="F80" s="1501"/>
      <c r="G80" s="97"/>
      <c r="H80" s="36"/>
      <c r="I80" s="1501"/>
    </row>
    <row r="81" spans="2:9">
      <c r="B81" s="2068"/>
      <c r="C81" s="2068"/>
      <c r="D81" s="2068"/>
      <c r="E81" s="97"/>
      <c r="F81" s="1501"/>
      <c r="G81" s="97"/>
      <c r="H81" s="36"/>
      <c r="I81" s="1501"/>
    </row>
    <row r="82" spans="2:9">
      <c r="B82" s="2068"/>
      <c r="C82" s="2068"/>
      <c r="D82" s="2068"/>
      <c r="E82" s="97"/>
      <c r="F82" s="1501"/>
      <c r="G82" s="97"/>
      <c r="H82" s="36"/>
      <c r="I82" s="1501"/>
    </row>
    <row r="83" spans="2:9">
      <c r="B83" s="2068"/>
      <c r="C83" s="2068"/>
      <c r="D83" s="2068"/>
      <c r="E83" s="97"/>
      <c r="F83" s="1501"/>
      <c r="G83" s="97"/>
      <c r="H83" s="36"/>
      <c r="I83" s="1501"/>
    </row>
    <row r="84" spans="2:9">
      <c r="B84" s="2068"/>
      <c r="C84" s="2068"/>
      <c r="D84" s="2068"/>
      <c r="E84" s="97"/>
      <c r="F84" s="1501"/>
      <c r="G84" s="97"/>
      <c r="H84" s="36"/>
      <c r="I84" s="1501"/>
    </row>
    <row r="85" spans="2:9">
      <c r="B85" s="2068"/>
      <c r="C85" s="2068"/>
      <c r="D85" s="2068"/>
      <c r="E85" s="97"/>
      <c r="F85" s="1501"/>
      <c r="G85" s="97"/>
      <c r="H85" s="36"/>
      <c r="I85" s="1501"/>
    </row>
    <row r="86" spans="2:9">
      <c r="B86" s="2068"/>
      <c r="C86" s="2068"/>
      <c r="D86" s="2068"/>
      <c r="E86" s="97"/>
      <c r="F86" s="1501"/>
      <c r="G86" s="97"/>
      <c r="H86" s="36"/>
      <c r="I86" s="1501"/>
    </row>
    <row r="87" spans="2:9">
      <c r="B87" s="2068"/>
      <c r="C87" s="2068"/>
      <c r="D87" s="2068"/>
      <c r="E87" s="97"/>
      <c r="F87" s="1501"/>
      <c r="G87" s="97"/>
      <c r="H87" s="36"/>
      <c r="I87" s="1501"/>
    </row>
    <row r="88" spans="2:9">
      <c r="B88" s="2068"/>
      <c r="C88" s="2068"/>
      <c r="D88" s="2068"/>
      <c r="E88" s="97"/>
      <c r="F88" s="1501"/>
      <c r="G88" s="97"/>
      <c r="H88" s="36"/>
      <c r="I88" s="1501"/>
    </row>
    <row r="89" spans="2:9">
      <c r="B89" s="2068"/>
      <c r="C89" s="2068"/>
      <c r="D89" s="2068"/>
      <c r="E89" s="97"/>
      <c r="F89" s="1501"/>
      <c r="G89" s="97"/>
      <c r="H89" s="36"/>
      <c r="I89" s="1501"/>
    </row>
    <row r="90" spans="2:9">
      <c r="B90" s="2068"/>
      <c r="C90" s="2068"/>
      <c r="D90" s="2068"/>
      <c r="E90" s="97"/>
      <c r="F90" s="1501"/>
      <c r="G90" s="97"/>
      <c r="H90" s="36"/>
      <c r="I90" s="1501"/>
    </row>
    <row r="91" spans="2:9">
      <c r="B91" s="2068"/>
      <c r="C91" s="2068"/>
      <c r="D91" s="2068"/>
      <c r="E91" s="97"/>
      <c r="F91" s="1501"/>
      <c r="G91" s="97"/>
      <c r="H91" s="36"/>
      <c r="I91" s="1501"/>
    </row>
    <row r="92" spans="2:9">
      <c r="B92" s="2068"/>
      <c r="C92" s="2068"/>
      <c r="D92" s="2068"/>
      <c r="E92" s="97"/>
      <c r="F92" s="1501"/>
      <c r="G92" s="97"/>
      <c r="H92" s="36"/>
      <c r="I92" s="1501"/>
    </row>
    <row r="93" spans="2:9">
      <c r="B93" s="2068"/>
      <c r="C93" s="2068"/>
      <c r="D93" s="2068"/>
      <c r="E93" s="97"/>
      <c r="F93" s="1501"/>
      <c r="G93" s="97"/>
      <c r="H93" s="36"/>
      <c r="I93" s="1501"/>
    </row>
    <row r="94" spans="2:9">
      <c r="B94" s="2068"/>
      <c r="C94" s="2068"/>
      <c r="D94" s="2068"/>
      <c r="E94" s="97"/>
      <c r="F94" s="1501"/>
      <c r="G94" s="97"/>
      <c r="H94" s="36"/>
      <c r="I94" s="1501"/>
    </row>
  </sheetData>
  <conditionalFormatting sqref="C2">
    <cfRule type="cellIs" dxfId="1" priority="4" operator="notEqual">
      <formula>OK</formula>
    </cfRule>
  </conditionalFormatting>
  <conditionalFormatting sqref="C3:D4">
    <cfRule type="cellIs" dxfId="0" priority="3" operator="equal">
      <formula>ERR</formula>
    </cfRule>
  </conditionalFormatting>
  <pageMargins left="0.6" right="0.4" top="0.5" bottom="0.5" header="0" footer="0.3"/>
  <pageSetup scale="70" orientation="landscape" blackAndWhite="1" cellComments="atEnd" r:id="rId1"/>
  <headerFooter>
    <oddFooter>&amp;CReliance restricted&amp;LSome totals may not add due to rounding. See Statement of Limiting Conditions.&amp;R© 2017 Ernst &amp; Young LLP. All Rights Reserved.</oddFooter>
  </headerFooter>
</worksheet>
</file>

<file path=customUI/customUI.xml><?xml version="1.0" encoding="utf-8"?>
<!-- This is the custom tab for BizVal 0 Model   -->
<!-- By John Tjia, EY New York, 30 July 2012, revised 28 August 2012, 9 April 2014, 10 Sep 2014, 10 Feb 2015 26 July 2015 7 Sep 2015  22 Jan 2016  21 April 2016 May 9 2016 July 8 2016-->
<!-- October 14 2016  Nov 1 2016  February 15 2017-->
<customUI xmlns="http://schemas.microsoft.com/office/2006/01/customui" onLoad="RibbonOnLoad">
  <ribbon>
    <tabs>
      <tab id="MyCustomTab" label="VISTA" keytip="S">
        <group id="customGroupA" label="Setup">
          <button id="customButtonA1" onAction="MacroA1" label="Unhide Worksheets" imageMso="ZoomToSelection" size="large" keytip="U" screentip="Unhide hidden sheets"/>
          <button id="customButtonA2" onAction="MacroA2" label="Hide Worksheets" imageMso="ReviewProtectWorkbook" size="large" keytip="W" screentip="Hide supplementary sheets"/>
          <separator id="MySeparator1"/>
          <button id="customButtonA3" onAction="MacroA3" label="Insert Blank Sheet" imageMso="CacheListData" size="large" keytip="I" screentip="Insert a new formatted blank sheet"/>
          <separator id="MySeparator2"/>
          <button id="customButtonGridOnOff" onAction="GridOnOff" label="Grid View On/Off" imageMso="SlideMasterTablePlaceholderInsert" size="large" keytip="V" screentip="Turn sheet grid view on or off"/>
          <button id="customButtonA4" onAction="MacroA4" label="Adjust Zoom" imageMso="ZoomPrintPreviewExcel" size="large" keytip="J" screentip="Adjust zoom across all sheets"/>
          <separator id="MySeparator10"/>
          <comboBox id="ComboBox1" label="Data Format: " onChange="callCases" sizeString="WWWWWWWWW" getItemCount="d1Count" getItemID="d1ID" getItemLabel="d1Label" getText="d1Text"/>
          <!-- keytip "Z" is not allowed apparently! -->
        </group>
        <group id="customGroupB" label="Capital IQ">
          <button id="customButtonB2" onAction="MacroB2" label="Refresh Data" imageMso="RefreshAll" size="large" keytip="R" screentip="Refresh all Capital IQ formulas in the workbook"/>
        </group>
        <group id="customGroupAA" label="Navigation">
          <button id="customButtonAA1" label="START Page" onAction="macroAA1" size="large" keytip="E" imageMso="BlogHomePage"/>
          <button id="customButtonAA2" label="Table of Contents" onAction="macroAA2" size="large" keytip="B" imageMso="CreateFormWithMultipleItems"/>
          <button id="customButtonAA3" label="Go to" onAction="macroAA3" size="large" keytip="G" imageMso="PropertySheet"/>
        </group>
        <group id="customGroupD" label="Review">
          <button id="customButtonD4" onAction="MacroD4" label="Error Check" imageMso="AcceptInvitation" size="large" keytip="K" screentip="Locate errors in the model" supertip="Go to the Error Check sheet to view locations of errors in the model. If there are any error messages on the Error Check sheet, double click on the worksheet name for a hyperlink to that location."/>
          <separator id="MySeparator3"/>
          <button id="customButtonD1" onAction="MacroD1" label="Trace Precedents" imageMso="TracePrecedents" size="normal" keytip="T" screentip="Trace all precedents of a highlighted range" supertip="Highlight a range and then click on this command. The shortcut key is Ctrl+Shift+M. Unlike the native Excel Trace Precedents, this sequence allows the tracing for multiple cells."/>
          <button id="customButtonD2" onAction="MacroD2" label="Trace Dependents" imageMso="TraceDependents" size="normal" keytip="D" screentip="Trace all dependents of a highlighted range" supertip="Highlight a range and then click on this command. The shortcut key is Ctrl+m. Unlike the native Excel Trace Dependents, this sequence allows the tracing for multiple cells."/>
          <button id="customButtonD3" onAction="MacroD3" label="Remove All Arrows" imageMso="TraceRemoveAllArrows" size="normal" keytip="O" screentip="Remove all tracing arrows"/>
          <separator id="MySeparator4"/>
          <button id="customButtonD5" onAction="MacroD5" label="Write a Note" imageMso="SignatureLineInsert" size="large" keytip="N" screentip="Write a note onto the Notes tab" supertip="Helpful tip: If you want to identify a particular cell or range of cells, highlight it before you run this macro. Click again from the Notes tab to return to worksheet."/>
          <button id="customButtonD6" onAction="MacroD6" label="Go to/Return from a Note" imageMso="TableSharePointListsRefreshList" size="large" keytip="F" screentip="Go to the Notes tab" supertip="Helpful tip: To return to the worksheet reference for a particular note, place your cursor on the note."/>
        </group>
        <group id="customGroupE" label="Printing">
          <button id="customButtonE6" onAction="MacroE6" label="Print Current Sheet(s)" imageMso="PrintAreaMenu" size="large" keytip="S" screentip="Print the selected worksheets." supertip="Print the selected sheets. You can select more than one sheet. This command is different from the basic Excel print (Ctrl+p) because it adds formatting sequences such as hiding rows with only zeros and adjusting margins for the paper setting."/>
          <separator id="MySeparator7"/>
          <button id="customButtonE8" label="Gather Sheets to Print" onAction="MacroE8" size="large" keytip="H" imageMso="ReviewCompareTwoVersions" screentip="Bring together worksheet(s) to be listed in the TOC for printing." supertip="Select the worksheet(s) you want to print by pressing Ctrl and clicking the tabs to print. Gather them for printing by clicking this button. Your worksheet(s) will be brought to between the two magenta tabs. The Table of Contents (TOC) sheet will show the headings titles, and the order of printing. To change the order, move you sheets between the magenta tabs to the order of printing."/>
          <button id="customButtonE9" label="Print Selection" onAction="MacroE9" size="large" keytip="P" imageMso="FilePrint" screentip="Print all sheets listed in the TOC (Table of Contents)." supertip="Before you print, please check that the exhibit number on the TOC is correct. Edit them directly on the TOC (they will be automatically copied to the sheets) or on the individual sheets."/>
          <separator id="MySeparator6"/>
          <button id="customButtonE1" onAction="MacroE1" label="Clear Print List in TOC" imageMso="DatabaseLinedTableManager" size="normal" keytip="C" supertip="Clear the list in the Table of Contents. All tabs are returned to their default order."/>
          <button id="customButtonE2" onAction="MacroE2" label="Use Last Print List" imageMso="FormsMenu" size="normal" keytip="L" supertip="This will bring the sheets last used to the TOC for printing"/>
          <button id="customButtonE33" onAction="MacroE33" label="Auto-Number Printouts" imageMso="Numbering" size="normal" keytip="M" supertip="Auto numbers the reports listed in the Table of Contents"/>
        </group>
        <group id="customGroupF" label="Help">
          <button id="customButtonF2" onAction="MacroF2" label="About" imageMso="FunctionsInformationInsertGallery" size="normal" keytip="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9cc9f4e4-efc4-4954-9a3a-92fa8d4fa5d0" ContentTypeId="0x010100826318CDA76982469C2C3CD2CD5847410101" PreviousValue="false"/>
</file>

<file path=customXml/item2.xml><?xml version="1.0" encoding="utf-8"?>
<ct:contentTypeSchema xmlns:ct="http://schemas.microsoft.com/office/2006/metadata/contentType" xmlns:ma="http://schemas.microsoft.com/office/2006/metadata/properties/metaAttributes" ct:_="" ma:_="" ma:contentTypeName="EY Collaboration Document" ma:contentTypeID="0x010100826318CDA76982469C2C3CD2CD584741010100C034B065C0110240BE8C9B7EC0478BA3" ma:contentTypeVersion="25" ma:contentTypeDescription="" ma:contentTypeScope="" ma:versionID="fcc9c6907ca0d2ae96107b5e868844a1">
  <xsd:schema xmlns:xsd="http://www.w3.org/2001/XMLSchema" xmlns:xs="http://www.w3.org/2001/XMLSchema" xmlns:p="http://schemas.microsoft.com/office/2006/metadata/properties" xmlns:ns1="http://schemas.microsoft.com/sharepoint/v3" xmlns:ns2="35818088-e62d-4edf-bbb6-409430aef268" xmlns:ns5="e802fae9-5764-4cec-8024-a6c7507225ba" xmlns:ns6="10dd80c3-6788-4413-9eb1-770b5a03f19e" targetNamespace="http://schemas.microsoft.com/office/2006/metadata/properties" ma:root="true" ma:fieldsID="99c6d559e80418816176cc3265bfbe14" ns1:_="" ns2:_="" ns5:_="" ns6:_="">
    <xsd:import namespace="http://schemas.microsoft.com/sharepoint/v3"/>
    <xsd:import namespace="35818088-e62d-4edf-bbb6-409430aef268"/>
    <xsd:import namespace="e802fae9-5764-4cec-8024-a6c7507225ba"/>
    <xsd:import namespace="10dd80c3-6788-4413-9eb1-770b5a03f19e"/>
    <xsd:element name="properties">
      <xsd:complexType>
        <xsd:sequence>
          <xsd:element name="documentManagement">
            <xsd:complexType>
              <xsd:all>
                <xsd:element ref="ns2:ClassificationDataNoteField" minOccurs="0"/>
                <xsd:element ref="ns2:Classification_x0020_Status" minOccurs="0"/>
                <xsd:element ref="ns2:b4187e12891e46deb4d240a4b28bdb90" minOccurs="0"/>
                <xsd:element ref="ns2:e0e024ccac5240e69ae9c38a41bfa7a5" minOccurs="0"/>
                <xsd:element ref="ns2:i14ea8bbd518495ea0e20ac1ad18c527" minOccurs="0"/>
                <xsd:element ref="ns2:a2816e29917746bd83e989e6e04e7abc" minOccurs="0"/>
                <xsd:element ref="ns2:TaxCatchAll" minOccurs="0"/>
                <xsd:element ref="ns2:k8128b1c45734e36a24fce652bc7ffb7" minOccurs="0"/>
                <xsd:element ref="ns2:TaxCatchAllLabel" minOccurs="0"/>
                <xsd:element ref="ns1:AverageRating" minOccurs="0"/>
                <xsd:element ref="ns1:RatingCount" minOccurs="0"/>
                <xsd:element ref="ns2:jc981bd8ab5b47fd91abb7684c0f405b" minOccurs="0"/>
                <xsd:element ref="ns1:RatedBy" minOccurs="0"/>
                <xsd:element ref="ns1:Ratings" minOccurs="0"/>
                <xsd:element ref="ns1:LikesCount" minOccurs="0"/>
                <xsd:element ref="ns1:LikedBy" minOccurs="0"/>
                <xsd:element ref="ns5:Specialty_x0020_practice" minOccurs="0"/>
                <xsd:element ref="ns5:Site_x0020_section" minOccurs="0"/>
                <xsd:element ref="ns5:Date_x0020_file_x0020_last_x0020_reviewed" minOccurs="0"/>
                <xsd:element ref="ns6:_dlc_DocId" minOccurs="0"/>
                <xsd:element ref="ns6:_dlc_DocIdUrl" minOccurs="0"/>
                <xsd:element ref="ns6: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23" nillable="true" ma:displayName="Rating (0-5)" ma:decimals="2" ma:description="Average value of all the ratings that have been submitted" ma:internalName="AverageRating" ma:readOnly="true">
      <xsd:simpleType>
        <xsd:restriction base="dms:Number"/>
      </xsd:simpleType>
    </xsd:element>
    <xsd:element name="RatingCount" ma:index="24" nillable="true" ma:displayName="Number of Ratings" ma:decimals="0" ma:description="Number of ratings submitted" ma:internalName="RatingCount" ma:readOnly="true">
      <xsd:simpleType>
        <xsd:restriction base="dms:Number"/>
      </xsd:simpleType>
    </xsd:element>
    <xsd:element name="RatedBy" ma:index="27"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28" nillable="true" ma:displayName="User ratings" ma:description="User ratings for the item" ma:hidden="true" ma:internalName="Ratings">
      <xsd:simpleType>
        <xsd:restriction base="dms:Note"/>
      </xsd:simpleType>
    </xsd:element>
    <xsd:element name="LikesCount" ma:index="29" nillable="true" ma:displayName="Number of Likes" ma:internalName="LikesCount">
      <xsd:simpleType>
        <xsd:restriction base="dms:Unknown"/>
      </xsd:simpleType>
    </xsd:element>
    <xsd:element name="LikedBy" ma:index="30"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5818088-e62d-4edf-bbb6-409430aef268" elementFormDefault="qualified">
    <xsd:import namespace="http://schemas.microsoft.com/office/2006/documentManagement/types"/>
    <xsd:import namespace="http://schemas.microsoft.com/office/infopath/2007/PartnerControls"/>
    <xsd:element name="ClassificationDataNoteField" ma:index="8" nillable="true" ma:displayName="ClassificationDataNoteField" ma:internalName="ClassificationDataNoteField" ma:readOnly="true">
      <xsd:simpleType>
        <xsd:restriction base="dms:Note"/>
      </xsd:simpleType>
    </xsd:element>
    <xsd:element name="Classification_x0020_Status" ma:index="9" nillable="true" ma:displayName="Classification Status" ma:internalName="Classification_x0020_Status" ma:readOnly="false">
      <xsd:simpleType>
        <xsd:restriction base="dms:Note"/>
      </xsd:simpleType>
    </xsd:element>
    <xsd:element name="b4187e12891e46deb4d240a4b28bdb90" ma:index="11" nillable="true" ma:taxonomy="true" ma:internalName="b4187e12891e46deb4d240a4b28bdb90" ma:taxonomyFieldName="ContentLanguage" ma:displayName="Content Language" ma:readOnly="false" ma:default="" ma:fieldId="{b4187e12-891e-46de-b4d2-40a4b28bdb90}" ma:taxonomyMulti="true" ma:sspId="9cc9f4e4-efc4-4954-9a3a-92fa8d4fa5d0" ma:termSetId="de7f4a9f-9315-4ba0-93d7-d7d3ca1129ab" ma:anchorId="00000000-0000-0000-0000-000000000000" ma:open="false" ma:isKeyword="false">
      <xsd:complexType>
        <xsd:sequence>
          <xsd:element ref="pc:Terms" minOccurs="0" maxOccurs="1"/>
        </xsd:sequence>
      </xsd:complexType>
    </xsd:element>
    <xsd:element name="e0e024ccac5240e69ae9c38a41bfa7a5" ma:index="15" nillable="true" ma:taxonomy="true" ma:internalName="e0e024ccac5240e69ae9c38a41bfa7a5" ma:taxonomyFieldName="Sector" ma:displayName="Sector" ma:default="" ma:fieldId="{e0e024cc-ac52-40e6-9ae9-c38a41bfa7a5}" ma:taxonomyMulti="true" ma:sspId="9cc9f4e4-efc4-4954-9a3a-92fa8d4fa5d0" ma:termSetId="a2f97da7-e69b-4e00-a045-c556c68352c3" ma:anchorId="00000000-0000-0000-0000-000000000000" ma:open="false" ma:isKeyword="false">
      <xsd:complexType>
        <xsd:sequence>
          <xsd:element ref="pc:Terms" minOccurs="0" maxOccurs="1"/>
        </xsd:sequence>
      </xsd:complexType>
    </xsd:element>
    <xsd:element name="i14ea8bbd518495ea0e20ac1ad18c527" ma:index="17" ma:taxonomy="true" ma:internalName="i14ea8bbd518495ea0e20ac1ad18c527" ma:taxonomyFieldName="EYContentType" ma:displayName="EY Content Type" ma:readOnly="false" ma:default="" ma:fieldId="{214ea8bb-d518-495e-a0e2-0ac1ad18c527}" ma:sspId="9cc9f4e4-efc4-4954-9a3a-92fa8d4fa5d0" ma:termSetId="6505b3fe-eead-400a-9754-f8a94624a621" ma:anchorId="00000000-0000-0000-0000-000000000000" ma:open="false" ma:isKeyword="false">
      <xsd:complexType>
        <xsd:sequence>
          <xsd:element ref="pc:Terms" minOccurs="0" maxOccurs="1"/>
        </xsd:sequence>
      </xsd:complexType>
    </xsd:element>
    <xsd:element name="a2816e29917746bd83e989e6e04e7abc" ma:index="18" nillable="true" ma:displayName="Business Issue_0" ma:hidden="true" ma:internalName="a2816e29917746bd83e989e6e04e7abc">
      <xsd:simpleType>
        <xsd:restriction base="dms:Note"/>
      </xsd:simpleType>
    </xsd:element>
    <xsd:element name="TaxCatchAll" ma:index="19" nillable="true" ma:displayName="Taxonomy Catch All Column" ma:description="" ma:hidden="true" ma:list="{45f587a2-dbd5-4149-938c-04a54ba54523}" ma:internalName="TaxCatchAll" ma:showField="CatchAllData" ma:web="10dd80c3-6788-4413-9eb1-770b5a03f19e">
      <xsd:complexType>
        <xsd:complexContent>
          <xsd:extension base="dms:MultiChoiceLookup">
            <xsd:sequence>
              <xsd:element name="Value" type="dms:Lookup" maxOccurs="unbounded" minOccurs="0" nillable="true"/>
            </xsd:sequence>
          </xsd:extension>
        </xsd:complexContent>
      </xsd:complexType>
    </xsd:element>
    <xsd:element name="k8128b1c45734e36a24fce652bc7ffb7" ma:index="20" ma:taxonomy="true" ma:internalName="k8128b1c45734e36a24fce652bc7ffb7" ma:taxonomyFieldName="ServiceLineFunction" ma:displayName="Service Line / Function" ma:default="" ma:fieldId="{48128b1c-4573-4e36-a24f-ce652bc7ffb7}" ma:taxonomyMulti="true" ma:sspId="9cc9f4e4-efc4-4954-9a3a-92fa8d4fa5d0" ma:termSetId="a54bfafd-6ceb-41d3-a4cd-e00da9f478ef" ma:anchorId="00000000-0000-0000-0000-000000000000" ma:open="false" ma:isKeyword="false">
      <xsd:complexType>
        <xsd:sequence>
          <xsd:element ref="pc:Terms" minOccurs="0" maxOccurs="1"/>
        </xsd:sequence>
      </xsd:complexType>
    </xsd:element>
    <xsd:element name="TaxCatchAllLabel" ma:index="21" nillable="true" ma:displayName="Taxonomy Catch All Column1" ma:description="" ma:hidden="true" ma:list="{45f587a2-dbd5-4149-938c-04a54ba54523}" ma:internalName="TaxCatchAllLabel" ma:readOnly="true" ma:showField="CatchAllDataLabel" ma:web="10dd80c3-6788-4413-9eb1-770b5a03f19e">
      <xsd:complexType>
        <xsd:complexContent>
          <xsd:extension base="dms:MultiChoiceLookup">
            <xsd:sequence>
              <xsd:element name="Value" type="dms:Lookup" maxOccurs="unbounded" minOccurs="0" nillable="true"/>
            </xsd:sequence>
          </xsd:extension>
        </xsd:complexContent>
      </xsd:complexType>
    </xsd:element>
    <xsd:element name="jc981bd8ab5b47fd91abb7684c0f405b" ma:index="26" ma:taxonomy="true" ma:internalName="jc981bd8ab5b47fd91abb7684c0f405b" ma:taxonomyFieldName="GeographicApplicability" ma:displayName="Geographic Applicability" ma:default="" ma:fieldId="{3c981bd8-ab5b-47fd-91ab-b7684c0f405b}" ma:taxonomyMulti="true" ma:sspId="9cc9f4e4-efc4-4954-9a3a-92fa8d4fa5d0" ma:termSetId="d4205efd-bf5c-4aee-a8ac-d84b5a7eb933"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802fae9-5764-4cec-8024-a6c7507225ba" elementFormDefault="qualified">
    <xsd:import namespace="http://schemas.microsoft.com/office/2006/documentManagement/types"/>
    <xsd:import namespace="http://schemas.microsoft.com/office/infopath/2007/PartnerControls"/>
    <xsd:element name="Specialty_x0020_practice" ma:index="31" nillable="true" ma:displayName="V&amp;BM audience" ma:internalName="Specialty_x0020_practice" ma:requiredMultiChoice="true">
      <xsd:complexType>
        <xsd:complexContent>
          <xsd:extension base="dms:MultiChoice">
            <xsd:sequence>
              <xsd:element name="Value" maxOccurs="unbounded" minOccurs="0" nillable="true">
                <xsd:simpleType>
                  <xsd:restriction base="dms:Choice">
                    <xsd:enumeration value="Global V&amp;BM (all V&amp;BM professionals)"/>
                    <xsd:enumeration value="US V&amp;BM"/>
                    <xsd:enumeration value="Canada V&amp;BM"/>
                    <xsd:enumeration value="Business Modelling"/>
                    <xsd:enumeration value="Capital Equipment"/>
                    <xsd:enumeration value="Complex Securities"/>
                    <xsd:enumeration value="Core Valuation"/>
                    <xsd:enumeration value="Decision Analytics and Operations Research"/>
                    <xsd:enumeration value="Economic Advisory"/>
                    <xsd:enumeration value="Financial Services Organization (FSO)"/>
                    <xsd:enumeration value="Portfolio Valuation Advisory Services (PVAS)"/>
                    <xsd:enumeration value="Transaction Real Estate"/>
                  </xsd:restriction>
                </xsd:simpleType>
              </xsd:element>
            </xsd:sequence>
          </xsd:extension>
        </xsd:complexContent>
      </xsd:complexType>
    </xsd:element>
    <xsd:element name="Site_x0020_section" ma:index="32" nillable="true" ma:displayName="Site section" ma:internalName="Site_x0020_section" ma:requiredMultiChoice="true">
      <xsd:complexType>
        <xsd:complexContent>
          <xsd:extension base="dms:MultiChoice">
            <xsd:sequence>
              <xsd:element name="Value" maxOccurs="unbounded" minOccurs="0" nillable="true">
                <xsd:simpleType>
                  <xsd:restriction base="dms:Choice">
                    <xsd:enumeration value="About this site"/>
                    <xsd:enumeration value="About V&amp;BM"/>
                    <xsd:enumeration value="Capital Transformation"/>
                    <xsd:enumeration value="Transaction Advisory Services"/>
                    <xsd:enumeration value="Sectors"/>
                    <xsd:enumeration value="Analytics"/>
                    <xsd:enumeration value="Developing client relationships"/>
                    <xsd:enumeration value="Thought leadership"/>
                    <xsd:enumeration value="Services and solutions"/>
                    <xsd:enumeration value="Identifying specialists"/>
                    <xsd:enumeration value="Pursuing new engagements"/>
                    <xsd:enumeration value="Platforms, models, and templates"/>
                    <xsd:enumeration value="Resources and technical matters"/>
                    <xsd:enumeration value="Global Talent Hub"/>
                    <xsd:enumeration value="Practice administration"/>
                    <xsd:enumeration value="Audit assist engagements"/>
                    <xsd:enumeration value="V&amp;BM new joiners"/>
                    <xsd:enumeration value="My Competencies"/>
                    <xsd:enumeration value="Learning"/>
                    <xsd:enumeration value="Performance management"/>
                    <xsd:enumeration value="Personal brand"/>
                  </xsd:restriction>
                </xsd:simpleType>
              </xsd:element>
            </xsd:sequence>
          </xsd:extension>
        </xsd:complexContent>
      </xsd:complexType>
    </xsd:element>
    <xsd:element name="Date_x0020_file_x0020_last_x0020_reviewed" ma:index="33" nillable="true" ma:displayName="Date file last reviewed" ma:format="DateOnly" ma:internalName="Date_x0020_file_x0020_last_x0020_review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0dd80c3-6788-4413-9eb1-770b5a03f19e" elementFormDefault="qualified">
    <xsd:import namespace="http://schemas.microsoft.com/office/2006/documentManagement/types"/>
    <xsd:import namespace="http://schemas.microsoft.com/office/infopath/2007/PartnerControls"/>
    <xsd:element name="_dlc_DocId" ma:index="34" nillable="true" ma:displayName="Document ID Value" ma:description="The value of the document ID assigned to this item." ma:internalName="_dlc_DocId" ma:readOnly="true">
      <xsd:simpleType>
        <xsd:restriction base="dms:Text"/>
      </xsd:simpleType>
    </xsd:element>
    <xsd:element name="_dlc_DocIdUrl" ma:index="3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6"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14" ma:displayName="Author"/>
        <xsd:element ref="dcterms:created" minOccurs="0" maxOccurs="1"/>
        <xsd:element ref="dc:identifier" minOccurs="0" maxOccurs="1"/>
        <xsd:element name="contentType" minOccurs="0" maxOccurs="1" type="xsd:string" ma:index="0" ma:displayName="Content Type"/>
        <xsd:element ref="dc:title" maxOccurs="1" ma:index="4" ma:displayName="Title"/>
        <xsd:element ref="dc:subject" minOccurs="0" maxOccurs="1"/>
        <xsd:element ref="dc:description" minOccurs="0" maxOccurs="1"/>
        <xsd:element name="keywords" minOccurs="0" maxOccurs="1" type="xsd:string" ma:index="25"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ikesCount xmlns="http://schemas.microsoft.com/sharepoint/v3" xsi:nil="true"/>
    <k8128b1c45734e36a24fce652bc7ffb7 xmlns="35818088-e62d-4edf-bbb6-409430aef268">
      <Terms xmlns="http://schemas.microsoft.com/office/infopath/2007/PartnerControls">
        <TermInfo xmlns="http://schemas.microsoft.com/office/infopath/2007/PartnerControls">
          <TermName xmlns="http://schemas.microsoft.com/office/infopath/2007/PartnerControls">Valuation and Business Modelling</TermName>
          <TermId xmlns="http://schemas.microsoft.com/office/infopath/2007/PartnerControls">5a0718db-ec66-42b1-b40a-291d13c67494</TermId>
        </TermInfo>
      </Terms>
    </k8128b1c45734e36a24fce652bc7ffb7>
    <e0e024ccac5240e69ae9c38a41bfa7a5 xmlns="35818088-e62d-4edf-bbb6-409430aef268">
      <Terms xmlns="http://schemas.microsoft.com/office/infopath/2007/PartnerControls"/>
    </e0e024ccac5240e69ae9c38a41bfa7a5>
    <a2816e29917746bd83e989e6e04e7abc xmlns="35818088-e62d-4edf-bbb6-409430aef268" xsi:nil="true"/>
    <Ratings xmlns="http://schemas.microsoft.com/sharepoint/v3" xsi:nil="true"/>
    <TaxCatchAll xmlns="35818088-e62d-4edf-bbb6-409430aef268">
      <Value>104</Value>
      <Value>5</Value>
      <Value>4</Value>
    </TaxCatchAll>
    <LikedBy xmlns="http://schemas.microsoft.com/sharepoint/v3">
      <UserInfo>
        <DisplayName/>
        <AccountId xsi:nil="true"/>
        <AccountType/>
      </UserInfo>
    </LikedBy>
    <b4187e12891e46deb4d240a4b28bdb90 xmlns="35818088-e62d-4edf-bbb6-409430aef268">
      <Terms xmlns="http://schemas.microsoft.com/office/infopath/2007/PartnerControls"/>
    </b4187e12891e46deb4d240a4b28bdb90>
    <Site_x0020_section xmlns="e802fae9-5764-4cec-8024-a6c7507225ba">
      <Value>Platforms, models, and templates</Value>
    </Site_x0020_section>
    <jc981bd8ab5b47fd91abb7684c0f405b xmlns="35818088-e62d-4edf-bbb6-409430aef268">
      <Terms xmlns="http://schemas.microsoft.com/office/infopath/2007/PartnerControls">
        <TermInfo xmlns="http://schemas.microsoft.com/office/infopath/2007/PartnerControls">
          <TermName xmlns="http://schemas.microsoft.com/office/infopath/2007/PartnerControls">Global</TermName>
          <TermId xmlns="http://schemas.microsoft.com/office/infopath/2007/PartnerControls">500f1427-2ec5-408e-9c7e-c7ecab3f14e9</TermId>
        </TermInfo>
      </Terms>
    </jc981bd8ab5b47fd91abb7684c0f405b>
    <Specialty_x0020_practice xmlns="e802fae9-5764-4cec-8024-a6c7507225ba">
      <Value>Global V&amp;BM (all V&amp;BM professionals)</Value>
    </Specialty_x0020_practice>
    <Date_x0020_file_x0020_last_x0020_reviewed xmlns="e802fae9-5764-4cec-8024-a6c7507225ba">2017-11-16T00:00:00+00:00</Date_x0020_file_x0020_last_x0020_reviewed>
    <Classification_x0020_Status xmlns="35818088-e62d-4edf-bbb6-409430aef268">Pending classification</Classification_x0020_Status>
    <i14ea8bbd518495ea0e20ac1ad18c527 xmlns="35818088-e62d-4edf-bbb6-409430aef268">
      <Terms xmlns="http://schemas.microsoft.com/office/infopath/2007/PartnerControls">
        <TermInfo xmlns="http://schemas.microsoft.com/office/infopath/2007/PartnerControls">
          <TermName xmlns="http://schemas.microsoft.com/office/infopath/2007/PartnerControls">Forms and Templates (Pursuit)</TermName>
          <TermId xmlns="http://schemas.microsoft.com/office/infopath/2007/PartnerControls">8f88dc13-8546-42b0-b33f-f7311c688613</TermId>
        </TermInfo>
      </Terms>
    </i14ea8bbd518495ea0e20ac1ad18c527>
    <RatedBy xmlns="http://schemas.microsoft.com/sharepoint/v3">
      <UserInfo>
        <DisplayName/>
        <AccountId xsi:nil="true"/>
        <AccountType/>
      </UserInfo>
    </RatedBy>
    <_dlc_DocId xmlns="10dd80c3-6788-4413-9eb1-770b5a03f19e">EWQWT7SDNZYT-1-1216</_dlc_DocId>
    <_dlc_DocIdUrl xmlns="10dd80c3-6788-4413-9eb1-770b5a03f19e">
      <Url>https://share.ey.net/sites/vbm/_layouts/15/DocIdRedir.aspx?ID=EWQWT7SDNZYT-1-1216</Url>
      <Description>EWQWT7SDNZYT-1-1216</Description>
    </_dlc_DocIdUrl>
    <ClassificationDataNoteField xmlns="35818088-e62d-4edf-bbb6-409430aef268">020cd733-dc92-413e-b0da-6ac66cd52ac3;2017-02-16 20:07:28;PENDINGCLASSIFICATION;False;False</ClassificationDataNoteField>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19E0AB-E531-4EE0-A98C-1D81E6578B35}">
  <ds:schemaRefs>
    <ds:schemaRef ds:uri="Microsoft.SharePoint.Taxonomy.ContentTypeSync"/>
  </ds:schemaRefs>
</ds:datastoreItem>
</file>

<file path=customXml/itemProps2.xml><?xml version="1.0" encoding="utf-8"?>
<ds:datastoreItem xmlns:ds="http://schemas.openxmlformats.org/officeDocument/2006/customXml" ds:itemID="{FF5F36FD-4BEC-4EFD-9169-08D1C1000F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818088-e62d-4edf-bbb6-409430aef268"/>
    <ds:schemaRef ds:uri="e802fae9-5764-4cec-8024-a6c7507225ba"/>
    <ds:schemaRef ds:uri="10dd80c3-6788-4413-9eb1-770b5a03f1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0D598-04C8-4B50-8C76-813C1FFE76FE}">
  <ds:schemaRefs>
    <ds:schemaRef ds:uri="http://schemas.microsoft.com/office/2006/metadata/properties"/>
    <ds:schemaRef ds:uri="10dd80c3-6788-4413-9eb1-770b5a03f19e"/>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e802fae9-5764-4cec-8024-a6c7507225ba"/>
    <ds:schemaRef ds:uri="35818088-e62d-4edf-bbb6-409430aef268"/>
    <ds:schemaRef ds:uri="http://purl.org/dc/elements/1.1/"/>
    <ds:schemaRef ds:uri="http://www.w3.org/XML/1998/namespace"/>
    <ds:schemaRef ds:uri="http://purl.org/dc/dcmitype/"/>
  </ds:schemaRefs>
</ds:datastoreItem>
</file>

<file path=customXml/itemProps4.xml><?xml version="1.0" encoding="utf-8"?>
<ds:datastoreItem xmlns:ds="http://schemas.openxmlformats.org/officeDocument/2006/customXml" ds:itemID="{EE9FAF27-B84D-4AF7-B007-DDEF2DB11C89}">
  <ds:schemaRefs>
    <ds:schemaRef ds:uri="http://schemas.microsoft.com/sharepoint/events"/>
  </ds:schemaRefs>
</ds:datastoreItem>
</file>

<file path=customXml/itemProps5.xml><?xml version="1.0" encoding="utf-8"?>
<ds:datastoreItem xmlns:ds="http://schemas.openxmlformats.org/officeDocument/2006/customXml" ds:itemID="{449A5AA7-4FFF-4C3D-AA16-A8773C371B0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 Web App</Application>
  <Manager/>
  <Company>Ernst &amp; Young</Company>
  <HyperlinkBase/>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VISTA</dc:title>
  <dc:subject/>
  <dc:creator>John.Tjia@ey.com</dc:creator>
  <cp:keywords>VISTA; Valuation Model; Global Core Model, successor to</cp:keywords>
  <dc:description/>
  <cp:lastModifiedBy>Akash Gupta</cp:lastModifiedBy>
  <dcterms:created xsi:type="dcterms:W3CDTF">2011-09-09T13:50:42Z</dcterms:created>
  <dcterms:modified xsi:type="dcterms:W3CDTF">2018-08-05T13:34:30Z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y fmtid="{D5CDD505-2E9C-101B-9397-08002B2CF9AE}" pid="3" name="{A44787D4-0540-4523-9961-78E4036D8C6D}">
    <vt:lpwstr>{171868AF-A42A-4149-BD09-6633A0FE87FF}</vt:lpwstr>
  </property>
  <property fmtid="{D5CDD505-2E9C-101B-9397-08002B2CF9AE}" pid="4" name="ContentTypeId">
    <vt:lpwstr>0x010100826318CDA76982469C2C3CD2CD584741010100C034B065C0110240BE8C9B7EC0478BA3</vt:lpwstr>
  </property>
  <property fmtid="{D5CDD505-2E9C-101B-9397-08002B2CF9AE}" pid="5" name="_dlc_DocIdItemGuid">
    <vt:lpwstr>f6f0ae3d-473e-472a-ab9e-344ab8b500c4</vt:lpwstr>
  </property>
  <property fmtid="{D5CDD505-2E9C-101B-9397-08002B2CF9AE}" pid="6" name="GeographicApplicability">
    <vt:lpwstr>5;#Global|500f1427-2ec5-408e-9c7e-c7ecab3f14e9</vt:lpwstr>
  </property>
  <property fmtid="{D5CDD505-2E9C-101B-9397-08002B2CF9AE}" pid="7" name="Sector">
    <vt:lpwstr/>
  </property>
  <property fmtid="{D5CDD505-2E9C-101B-9397-08002B2CF9AE}" pid="8" name="ContentLanguage">
    <vt:lpwstr/>
  </property>
  <property fmtid="{D5CDD505-2E9C-101B-9397-08002B2CF9AE}" pid="9" name="ServiceLineFunction">
    <vt:lpwstr>4;#Valuation and Business Modelling|5a0718db-ec66-42b1-b40a-291d13c67494</vt:lpwstr>
  </property>
  <property fmtid="{D5CDD505-2E9C-101B-9397-08002B2CF9AE}" pid="10" name="EYContentType">
    <vt:lpwstr>104;#Forms and Templates (Pursuit)|8f88dc13-8546-42b0-b33f-f7311c688613</vt:lpwstr>
  </property>
</Properties>
</file>